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<sst xmlns="http://schemas.openxmlformats.org/spreadsheetml/2006/main" count="286171" uniqueCount="60985">
  <si>
    <t>Reference Number</t>
  </si>
  <si>
    <t>Procuring Entity</t>
  </si>
  <si>
    <t>Title</t>
  </si>
  <si>
    <t>Area of Delivery</t>
  </si>
  <si>
    <t>Solicitation Number</t>
  </si>
  <si>
    <t>Trade Agreement</t>
  </si>
  <si>
    <t>Procurement Mode</t>
  </si>
  <si>
    <t>Classification</t>
  </si>
  <si>
    <t>Category</t>
  </si>
  <si>
    <t>Approved Budget for the Contract</t>
  </si>
  <si>
    <t>Contract Duration</t>
  </si>
  <si>
    <t>Client Agency</t>
  </si>
  <si>
    <t>Contact Person</t>
  </si>
  <si>
    <t>Status</t>
  </si>
  <si>
    <t>Associated Components</t>
  </si>
  <si>
    <t>Bid Supplements</t>
  </si>
  <si>
    <t>Document Request List</t>
  </si>
  <si>
    <t>Date Published</t>
  </si>
  <si>
    <t>Last Updated / Time</t>
  </si>
  <si>
    <t>Closing Date / Time</t>
  </si>
  <si>
    <t>Description</t>
  </si>
  <si>
    <t>Other Information</t>
  </si>
  <si>
    <t>Created by</t>
  </si>
  <si>
    <t>Date Created</t>
  </si>
  <si>
    <t>BARANGAY BOOL, TAGBILARAN, BOHOL</t>
  </si>
  <si>
    <t>DON JOSE S. MONFORT MEDICAL CENTER EXTENSION HOSPITAL</t>
  </si>
  <si>
    <t>PROGRESO ELEMENTARY SCHOOL</t>
  </si>
  <si>
    <t>BARANGAY BASIAO, CATBALOGAN CITY, SAMAR</t>
  </si>
  <si>
    <t>DEPARTMENT OF PUBLIC WORKS AND HIGHWAYS - CAVITE II DISTRICT</t>
  </si>
  <si>
    <t>MUNICIPALITY OF MARANTAO, LANAO DEL SUR</t>
  </si>
  <si>
    <t>BARANGAY DIGUMASED - DINAPIGUE ISABELA</t>
  </si>
  <si>
    <t>DEPARTMENT OF AGRARIAN REFORM - DAVAO ORIENTAL</t>
  </si>
  <si>
    <t>JOSE P. RIZAL ELEMENTARY SCHOOL</t>
  </si>
  <si>
    <t>METRO ROXAS WATER DISTRICT</t>
  </si>
  <si>
    <t>MUNICIPALITY OF PANGANTUCAN, BUKIDNON</t>
  </si>
  <si>
    <t>PROVINCE OF ILOCOS NORTE</t>
  </si>
  <si>
    <t>MUNICIPALITY OF MALVAR, BATANGAS</t>
  </si>
  <si>
    <t>BATA NATIONAL HIGH SCHOOL BACOLOD CITY NEGROS OCCIDENTAL</t>
  </si>
  <si>
    <t>MUNICIPALITY OF MALAY, AKLAN</t>
  </si>
  <si>
    <t>DEPARTMENT OF HEALTH - CARAGA</t>
  </si>
  <si>
    <t>MUNICIPALITY OF TINGLAYAN, KALINGA</t>
  </si>
  <si>
    <t>CITY OF KIDAPAWAN, NORTH COTABATO</t>
  </si>
  <si>
    <t>PROVINCE OF GUIMARAS</t>
  </si>
  <si>
    <t>TARLAC STATE UNIVERSITY</t>
  </si>
  <si>
    <t>CITY OF ILIGAN, LANAO DEL NORTE</t>
  </si>
  <si>
    <t>CITY OF CAGAYAN DE ORO, MISAMIS ORIENTAL</t>
  </si>
  <si>
    <t>PROVINCE OF NEGROS OCCIDENTAL</t>
  </si>
  <si>
    <t>MUNICIPALITY OF MAPANAS, NORTHERN SAMAR</t>
  </si>
  <si>
    <t>ASSOCIATION OF BARANGAY CAPTAINS - MINALABAC, CAMARINES SUR</t>
  </si>
  <si>
    <t>MUNICIPALITY OF DON CARLOS, BUKIDNON</t>
  </si>
  <si>
    <t>DENR-PENRO,ORIENTAL MINDORO</t>
  </si>
  <si>
    <t>CAVITE NATIONAL HIGH SCHOOL</t>
  </si>
  <si>
    <t>BARANGAY REMUS, BAGGAO, CAGAYAN</t>
  </si>
  <si>
    <t>MUNICIPALITY OF LILOAN, SOUTHERN LEYTE</t>
  </si>
  <si>
    <t>DOÑA HORTENCIA SALAS BENEDICTO NATIONAL HIGH SCHOOL-LA CARLO</t>
  </si>
  <si>
    <t>MUNICIPALITY OF MAUBAN, QUEZON</t>
  </si>
  <si>
    <t>PROVINCE OF ILOILO</t>
  </si>
  <si>
    <t>DEPARTMENT OF SOCIAL WELFARE AND DEVELOPMENT - CARAGA</t>
  </si>
  <si>
    <t>PROVINCE OF DAVAO DEL SUR</t>
  </si>
  <si>
    <t>PHILIPPINE STATISTICS AUTHORITY - REGION XIII</t>
  </si>
  <si>
    <t>BARANGAY NANGALINAN, BAGGAO, CAGAYAN</t>
  </si>
  <si>
    <t>MUNICIPALITY OF SAN JUAN, SOUTHERN LEYTE</t>
  </si>
  <si>
    <t>MUNICIPALITY OF TABONTABON, LEYTE</t>
  </si>
  <si>
    <t>BARANGAY CULLIT, GATTARAN, CAGAYAN</t>
  </si>
  <si>
    <t>MUNICIPALITY OF LAGONOY, CAMARINES SUR</t>
  </si>
  <si>
    <t>DEPARTMENT OF HEALTH - TREATMENT AND REHABILITATION CENTER -</t>
  </si>
  <si>
    <t>HANDUM ELEMENTARY SCHOOL -1- BACOLOD CITY</t>
  </si>
  <si>
    <t>STA. MONICA NATIONAL HIGH SCHOOL</t>
  </si>
  <si>
    <t>DEPARTMENT OF AGRARIAN REFORM - ZAMBOANGA DEL SUR PO</t>
  </si>
  <si>
    <t>BARANGAY MOCAG, BAGGAO, CAGAYAN</t>
  </si>
  <si>
    <t>DEPARTMENT OF PUBLIC WORKS AND HIGHWAYS - ALBAY 2ND DEO</t>
  </si>
  <si>
    <t>BARANGAY PALAGAO SUR, GATTARAN, CAGAYAN</t>
  </si>
  <si>
    <t>BARANGAY DALINGAP, CLARIN, MISAMIS OCCIDENTAL</t>
  </si>
  <si>
    <t>PROVINCE OF BATANES</t>
  </si>
  <si>
    <t>MUNICIPALITY OF QUIRINO, ILOCOS SUR</t>
  </si>
  <si>
    <t>PROVINCE OF CEBU</t>
  </si>
  <si>
    <t>GENERAL TRIAS CITY CAVITE</t>
  </si>
  <si>
    <t>MUNICIPALITY OF BAUKO, MOUNTAIN PROVINCE</t>
  </si>
  <si>
    <t>CITY OF BAIS, NEGROS ORIENTAL</t>
  </si>
  <si>
    <t>MUNICIPALITY OF STA. MARCELA, APAYAO</t>
  </si>
  <si>
    <t>BARANGAY CUNIG, GATTARAN, CAGAYAN</t>
  </si>
  <si>
    <t>CITY OF MANILA</t>
  </si>
  <si>
    <t>DEPARTMENT OF PUBLIC WORKS AND HIGHWAYS - MASBATE 1ST DEO</t>
  </si>
  <si>
    <t>GUIMBA WATER DISTRICT</t>
  </si>
  <si>
    <t>DEPARTMENT OF PUBLIC WORKS AND HIGHWAYS - BATANGAS 3RD ED</t>
  </si>
  <si>
    <t>CITY OF TACURONG, SULTAN KUDARAT</t>
  </si>
  <si>
    <t>MUNICIPALITY OF SAN JOSE, BATANGAS</t>
  </si>
  <si>
    <t>BARANGAY BAGACAY - PALAPAG NORTHERN SAMAR</t>
  </si>
  <si>
    <t>MUNICIPALITY OF ALFONSO CASTAÑEDA, NUEVA VIZCAYA</t>
  </si>
  <si>
    <t>BICOL MEDICAL CENTER</t>
  </si>
  <si>
    <t>TAGUIG INTEGRATED SCHOOL</t>
  </si>
  <si>
    <t>SAN CARLOS CITY WATER DISTRICT</t>
  </si>
  <si>
    <t>AGRICULTURAL TRAINING INSTITUTE</t>
  </si>
  <si>
    <t>MUNICIPALITY OF MABINI, PANGASINAN</t>
  </si>
  <si>
    <t>BARANGAY KAUNLARAN - NAVOTAS CITY</t>
  </si>
  <si>
    <t>RANIAG HIGH SCHOOL - RAMON ISABELA</t>
  </si>
  <si>
    <t>CITY OF VICTORIAS, NEGROS OCCIDENTAL</t>
  </si>
  <si>
    <t>MALINAO ILAYA NATIONAL HIGH SCHOOL - ATIMONAN QUEZON</t>
  </si>
  <si>
    <t>NATIONAL IRRIGATION ADMINISTRATION - SOUTH COTABATO</t>
  </si>
  <si>
    <t>SAN ISIDRO NATIONAL HIGH SCHOOL - CATANAUAN QUEZON</t>
  </si>
  <si>
    <t>MUNICIPALITY OF SAN AGUSTIN , SURIGAO DEL SUR</t>
  </si>
  <si>
    <t>DEPARTMENT OF PUBLIC WORKS AND HIGHWAYS - NEGROS ORIENTAL 1S</t>
  </si>
  <si>
    <t>RIZAL REGION NATIONAL HIGH SCHOOL - ALICIA ISABELA</t>
  </si>
  <si>
    <t>PLARIDEL WATER DISTRICT</t>
  </si>
  <si>
    <t>J H CERILLES STATE COLLEGE</t>
  </si>
  <si>
    <t>CITY OF PASSI, ILOILO</t>
  </si>
  <si>
    <t>MUNICIPALITY OF CABANGLASAN, BUKIDNON</t>
  </si>
  <si>
    <t>PROVINCE OF ILOCOS SUR</t>
  </si>
  <si>
    <t>MUNICIPALITY OF STA. BARBARA, ILOILO</t>
  </si>
  <si>
    <t>BARANGAY CANAGATAN, BAGGAO, CAGAYAN</t>
  </si>
  <si>
    <t>MUNICIPALITY OF BAUANG, LA UNION</t>
  </si>
  <si>
    <t>DEPARTMENT OF EDUCATION - DIVISION OF BAIS CITY</t>
  </si>
  <si>
    <t>PROVINCE OF SIQUIJOR</t>
  </si>
  <si>
    <t>ZAMBOANGA DEL NORTE NATIONAL HIGH SCHOOL</t>
  </si>
  <si>
    <t>METRO MIDSAYAP WATER DISTRICT</t>
  </si>
  <si>
    <t>CAPIZ PROVINCIAL GOVERNMENT</t>
  </si>
  <si>
    <t>MAHAYAG NATIONAL HIGH SCHOOL - MAHAYAG ZAMBOANGA DEL SUR</t>
  </si>
  <si>
    <t>BARANGAY POBLACION III - TALISAY, BATANGAS</t>
  </si>
  <si>
    <t>MUNICIPALITY OF CUYAPO, NUEVA ECIJA</t>
  </si>
  <si>
    <t>MUNICIPALITY OF PANGLAO, BOHOL</t>
  </si>
  <si>
    <t>DEPARTMENT OF AGRICULTURE - CARFU</t>
  </si>
  <si>
    <t>BUREAU OF FISHERIES AND AQUATIC RESOURCES - RV</t>
  </si>
  <si>
    <t>BENGUET NATIONAL HIGH SCHOOL-LA TRINIDAD BENGUET</t>
  </si>
  <si>
    <t>AMLAN CENTRAL ELEMENTARY SCHOOL - AMLAN NEGROS ORIENTAL</t>
  </si>
  <si>
    <t>PROVINCE OF MISAMIS OCCIDENTAL</t>
  </si>
  <si>
    <t>NATIONAL IRRIGATION ADMINISTRATION - REGION VI</t>
  </si>
  <si>
    <t>NATIONAL IRRIGATION ADMINISTRATION - UPRIIS, DIVISION I</t>
  </si>
  <si>
    <t>BARANGAY SIKITAN - KIDAPAWAN CITY, COTABATO</t>
  </si>
  <si>
    <t>DEVELOPMENT BANK OF THE PHILIPPINES - REGION VI</t>
  </si>
  <si>
    <t>SOUTHERN LEYTE STATE UNIVERSITY - SAN JUAN CAMPUS</t>
  </si>
  <si>
    <t>PHILIPPINE STATISTICS AUTHORITY RSSO-III</t>
  </si>
  <si>
    <t>DEPARTMENT OF PUBLIC WORKS AND HIGHWAYS - LEYTE 2ND DEO</t>
  </si>
  <si>
    <t>DILA ELEMENTARY SCHOOL</t>
  </si>
  <si>
    <t>SK OF BARANGAY SOUTHSIDE - MAKATI CITY</t>
  </si>
  <si>
    <t>CITY OF SAN FERNANDO, LA UNION</t>
  </si>
  <si>
    <t>DEPARTMENT OF EDUCATION - BAUNGON BUKIDNON</t>
  </si>
  <si>
    <t>BANGKO SENTRAL NG PILIPINAS - CABANATUAN</t>
  </si>
  <si>
    <t>BARANGAY GUISICAN, LABO, CAMARINES NORTE</t>
  </si>
  <si>
    <t>MUNICIPALITY OF PINUKPUK, KALINGA</t>
  </si>
  <si>
    <t>DEPARTMENT OF EDUCATION - DIVISION OF KALINGA</t>
  </si>
  <si>
    <t>BUREAU OF FISHERIES AND AQUATIC RESOURCES - REGION II</t>
  </si>
  <si>
    <t>BARANGAY BAGO GALLERA, DAVAO CITY, DAVAO DEL SUR</t>
  </si>
  <si>
    <t>BARANGAY LIBSONG WEST, LINGAYEN, PANGASINAN</t>
  </si>
  <si>
    <t>PROVINCE OF KALINGA</t>
  </si>
  <si>
    <t>BICOL REGIONAL TRAINING AND TEACHING HOSPITAL</t>
  </si>
  <si>
    <t>BARANGAY SALA - TANAUAN CITY BATANGAS</t>
  </si>
  <si>
    <t>MUNICIPALITY OF KABASALAN, ZAMBOANGA SIBUGAY</t>
  </si>
  <si>
    <t>PROVINCE OF NORTHERN SAMAR</t>
  </si>
  <si>
    <t>BARANGAY POBLACION I, HINDANG, LEYTE</t>
  </si>
  <si>
    <t>MUNICIPALITY OF SAN NARCISO, ZAMBALES</t>
  </si>
  <si>
    <t>MUNICIPALITY OF SAN LUIS, AURORA</t>
  </si>
  <si>
    <t>NAGPAYONG ELEMENTARY SCHOOL</t>
  </si>
  <si>
    <t>BARANGAY TUBIGAN, LEMERY, BATANGAS</t>
  </si>
  <si>
    <t>BARANGAY 57 REPOLYO - CAVITE CITY</t>
  </si>
  <si>
    <t>BARANGAY MATICMATIC, STA. BARBARA, PANGASINAN</t>
  </si>
  <si>
    <t>BUREAU OF FISHERIES AND AQUATIC RESOURCES - REGION VII</t>
  </si>
  <si>
    <t>BUREAU OF CORRECTIONS - (LEYTE REGIONAL PRISON) ABUYOG LEYTE</t>
  </si>
  <si>
    <t>CITY OF TACLOBAN, LEYTE</t>
  </si>
  <si>
    <t>BARANGAY KANLURAN KABUBUHAYAN, NAGCARLAN, LAGUNA</t>
  </si>
  <si>
    <t>BARANGAY BANLIC, CABUYAO, LAGUNA</t>
  </si>
  <si>
    <t>DEPARTMENT OF EDUCATION - DIVISION OF BILIRAN</t>
  </si>
  <si>
    <t>AGRICULTURAL TRAINING INSTITUTE-CORDILLERA ADMINISTRATIVE RE</t>
  </si>
  <si>
    <t>BARANGAY BUNGA, NAGCARLAN, LAGUNA</t>
  </si>
  <si>
    <t>MUNICIPALITY OF TUBLAY, BENGUET</t>
  </si>
  <si>
    <t>CITY OF MALAYBALAY, BUKIDNON</t>
  </si>
  <si>
    <t>EASTERN SAMAR STATE UNIVERSITY - SALCEDO CAMPUS</t>
  </si>
  <si>
    <t>DEPARTMENT OF HEALTH - CENTER FOR HEALTH DEVELOPMENT BICOL</t>
  </si>
  <si>
    <t>PHILIPPINE RICE RESEARCH INSTITUTE</t>
  </si>
  <si>
    <t>PROVINCE OF BILIRAN</t>
  </si>
  <si>
    <t>NEGROS ORIENTAL STATE UNIVERSITY</t>
  </si>
  <si>
    <t>BARANGAY SAN JUAN (RORO), SORSOGON CITY</t>
  </si>
  <si>
    <t>BUREAU OF FIRE PROTECTION - CARAGA REGION</t>
  </si>
  <si>
    <t>NATIONAL POWER CORPORATION - SPUG LUZON</t>
  </si>
  <si>
    <t>DEPARTMENT OF PUBLIC WORKS AND HIGHWAYS - LEYTE 4TH DEO</t>
  </si>
  <si>
    <t>BAYANAN ELEMENTARY SCHOOL UNIT I</t>
  </si>
  <si>
    <t>BARANGAY CABALABAGUAN MINA ILO-ILO</t>
  </si>
  <si>
    <t>MUNICIPALITY OF LAAK, DAVAO DE ORO</t>
  </si>
  <si>
    <t>MUNICIPALITY OF LA TRINIDAD, BENGUET</t>
  </si>
  <si>
    <t>SECURITIES AND EXCHANGE COMMISSION</t>
  </si>
  <si>
    <t>MUNICIPALITY OF CAUAYAN, NEGROS OCCIDENTAL</t>
  </si>
  <si>
    <t>CITY OF DUMAGUETE, NEGROS ORIENTAL</t>
  </si>
  <si>
    <t>MUNICIPALITY OF SUDIPEN, LA UNION</t>
  </si>
  <si>
    <t>MUNICIPALITY OF LAKE WOOD, ZAMBOANGA DEL SUR</t>
  </si>
  <si>
    <t>DELFIN ALBANO CENTRAL SCHOOL -DELFIN ALBANO (MAGSAYSAY) ISAB</t>
  </si>
  <si>
    <t>MUNICIPALITY OF VILLAVERDE, NUEVA VIZCAYA</t>
  </si>
  <si>
    <t>CITY OF SAN PEDRO, LAGUNA</t>
  </si>
  <si>
    <t>MUNICIPALITY OF TUMAUINI, ISABELA</t>
  </si>
  <si>
    <t>UNIVERSITY OF THE PHILIPPINES - VISAYAS</t>
  </si>
  <si>
    <t>MUNICIPALITY OF DUPAX DEL NORTE, NUEVA VIZCAYA</t>
  </si>
  <si>
    <t>OROQUIETA AGRO-INDUSTRIAL SCHOOL</t>
  </si>
  <si>
    <t>MUNICIPALITY OF MILAGROS, MASBATE</t>
  </si>
  <si>
    <t>MUNICIPALITY OF SALUG, ZAMBOANGA DEL NORTE</t>
  </si>
  <si>
    <t>102ND CONTRACTING OFFICE, AFP PROCUREMENT SERVICE</t>
  </si>
  <si>
    <t>MUNICIPALITY OF DINALUPIHAN, BATAAN</t>
  </si>
  <si>
    <t>MANILA INTERNATIONAL AIRPORT AUTHORITY</t>
  </si>
  <si>
    <t>DEPARTMENT OF PUBLIC WORKS AND HIGHWAYS - MASBATE 2ND DEO</t>
  </si>
  <si>
    <t>HOME DEVELOPMENT MUTUAL FUND - CALAMBA BRANCH</t>
  </si>
  <si>
    <t>MUNICIPALITY OF VERUELA, AGUSAN DEL SUR</t>
  </si>
  <si>
    <t>MUNICIPALITY OF SAN NICOLAS, ILOCOS NORTE</t>
  </si>
  <si>
    <t>LUMBANGAN NATIONAL HIGH SCHOOL</t>
  </si>
  <si>
    <t>BARANGAY NEW ANTIQUE - M'LANG COTABATO</t>
  </si>
  <si>
    <t>MUNICIPALITY OF BANGA, AKLAN</t>
  </si>
  <si>
    <t>LAND BANK OF THE PHILIPPINES URDANETA CITY BRANCH</t>
  </si>
  <si>
    <t>BARANGAY PATAG, LIBMANAN, CAMARINES SUR</t>
  </si>
  <si>
    <t>LIBMANAN WATER DISTRICT</t>
  </si>
  <si>
    <t>MUNICIPALITY OF ODIONGAN, ROMBLON</t>
  </si>
  <si>
    <t>BARANGAY WAWA, LINGAYEN, PANGASINAN</t>
  </si>
  <si>
    <t>CEBU TECHNOLOGICAL UNIVERSITY</t>
  </si>
  <si>
    <t>DEPARTMENT OF PUBLIC WORKS AND HIGHWAYS - AKLAN DEO</t>
  </si>
  <si>
    <t>MUNICIPALITY OF ARGAO, CEBU</t>
  </si>
  <si>
    <t>BARANGAY 20, SAN MIGUEL, LAOAG CITY, ILOCOS NORTE</t>
  </si>
  <si>
    <t>DAVAO DEL NORTE STATE COLLEGE</t>
  </si>
  <si>
    <t>MUNICIPALITY OF MARCOS, ILOCOS NORTE</t>
  </si>
  <si>
    <t>GOVERNMENT SERVICE INSURANCE SYSTEM - SURIGAO CITY</t>
  </si>
  <si>
    <t>DA - PHILIPPINE RURAL DEVELOPMENT PROJECT - PSO SOUTH LUZON</t>
  </si>
  <si>
    <t>BARANGAY STO. NINO, CLAVERIA,CAGAYAN</t>
  </si>
  <si>
    <t>DEPARTMENT OF EDUCATION - DIVISION OF NEGROS ORIENTAL</t>
  </si>
  <si>
    <t>COTABATO REGIONAL AND MEDICAL CENTER</t>
  </si>
  <si>
    <t>BARANGAY LAMAC, PINAMUNGAJAN, CEBU</t>
  </si>
  <si>
    <t>302ND CONTRACTING OFFICE, AFP PROCUREMENT SERVICE</t>
  </si>
  <si>
    <t>ASINGAN WATER DISTRICT</t>
  </si>
  <si>
    <t>MUNICIPALITY OF POLA, ORIENTAL MINDORO</t>
  </si>
  <si>
    <t>DEPARTMENT OF AGRICULTURE - REGION II</t>
  </si>
  <si>
    <t>UNIVERSITY OF THE PHILIPPINES - LOS BAÑOS</t>
  </si>
  <si>
    <t>BARANGAY BINDUYAN, PUERTO PRINCESA CITY, PALAWAN</t>
  </si>
  <si>
    <t>NAVAL INSTITUTE OF TECHNOLOGY</t>
  </si>
  <si>
    <t>BAYAWAN NATIONAL HIGH  SCHOOL -BAYAWAN CITY NEGROS ORIENTAL</t>
  </si>
  <si>
    <t xml:space="preserve">DEPARTMENT OF PUBLIC WORKS AND HIGHWAYS - COMPOSTELA VALLEY </t>
  </si>
  <si>
    <t>MUNICIPALITY OF BALANGKAYAN, EASTERN SAMAR</t>
  </si>
  <si>
    <t>DEPARTMENT OF PUBLIC WORKS AND HIGHWAYS - IFUGAO</t>
  </si>
  <si>
    <t>LAPASAN NATIONAL HIGH SCHOOL</t>
  </si>
  <si>
    <t>CITY OF SANTIAGO, ISABELA</t>
  </si>
  <si>
    <t>MUNICIPALITY OF TAYASAN, NEGROS ORIENTAL</t>
  </si>
  <si>
    <t>MUNICIPALITY OF GUTALAC, ZAMBOANGA DEL NORTE</t>
  </si>
  <si>
    <t>MUNICIPALITY OF KALILANGAN, BUKIDNON</t>
  </si>
  <si>
    <t>LUNG CENTER OF THE PHILIPPINES</t>
  </si>
  <si>
    <t>SAN PABLO NATIONAL HIGH SCHOOL - SAN PABLO, ISABELA</t>
  </si>
  <si>
    <t>CITY OF DAVAO, DAVAO DEL SUR</t>
  </si>
  <si>
    <t>BARANGAY CANTAM-IS BAGO, LOON, BOHOL</t>
  </si>
  <si>
    <t>BARANGAY MAREDE, STA. ANA, CAGAYAN</t>
  </si>
  <si>
    <t>MAA NATIONAL HIGH SCHOOL - DAVAO CITY DAVAO DEL SUR</t>
  </si>
  <si>
    <t>MUNICIPALITY OF TUDELA, MISAMIS OCCIDENTAL</t>
  </si>
  <si>
    <t>MUNICIPALITY OF SANTA BARBARA, PANGASINAN</t>
  </si>
  <si>
    <t>PROVINCE OF BENGUET</t>
  </si>
  <si>
    <t>DEPARTMENT OF PUBLIC WORKS AND HIGHWAYS - DAVAO ORIENTAL 2ND</t>
  </si>
  <si>
    <t>MUNICIPALITY OF BIEN UNIDO, BOHOL</t>
  </si>
  <si>
    <t>LUNUCAN ELEMENTARY SCHOOL - MANOLO FORTICH BUKIDNON</t>
  </si>
  <si>
    <t>BARANGAY SAN ROQUE, BURI CATBALOGAN CITY</t>
  </si>
  <si>
    <t>MUNICIPALITY OF MIDSAYAP, NORTH COTABATO</t>
  </si>
  <si>
    <t>MUNICIPALITY OF ROSARIO, CAVITE</t>
  </si>
  <si>
    <t>MUNICIPALITY OF PONTEVEDRA, NEGROS OCCIDENTAL</t>
  </si>
  <si>
    <t>BARANGAY CAMBUILAO - BAIS CITY NEGROS ORIENTAL</t>
  </si>
  <si>
    <t>DEPARTMENT OF AGRARIAN REFORM - KALINGA PROVINCE</t>
  </si>
  <si>
    <t>MUNICIPALITY OF MALALAG, DAVAO DEL SUR</t>
  </si>
  <si>
    <t>PHILIPPINE RURAL DEVELOPMENT PROJECT-MINDANAO CLUSTER</t>
  </si>
  <si>
    <t>PROVINCE OF ZAMBOANGA DEL SUR</t>
  </si>
  <si>
    <t>MUNICIPALITY OF DIMASALANG, MASBATE</t>
  </si>
  <si>
    <t>BARANGAY BALIWAGAN, BALAMBAN, CEBU</t>
  </si>
  <si>
    <t>MUNICIPALITY OF BOTOLAN, ZAMBALES</t>
  </si>
  <si>
    <t>PHILIPPINE RICE RESEARCH INSTITUTE - BICOL</t>
  </si>
  <si>
    <t>MUNICIPALITY OF GONZAGA, CAGAYAN</t>
  </si>
  <si>
    <t>DEPARTMENT OF PUBLIC WORKS AND HIGHWAYS - MALABON-NAVOTAS SD</t>
  </si>
  <si>
    <t>BARANGAY CAPACUJAN - PALAPAG NORTHERN SAMAR</t>
  </si>
  <si>
    <t>DIPOLOG CITY WATER DISTRICT</t>
  </si>
  <si>
    <t>MUNICIPALITY OF SIQUIJOR, SIQUIJOR</t>
  </si>
  <si>
    <t>WEST VISAYAS STATE UNIVERSITY - JANIUAY CAMPUS</t>
  </si>
  <si>
    <t>BARANGAY LOAKAN PROPER, BAGUIO CITY</t>
  </si>
  <si>
    <t>CITY OF MARIKINA</t>
  </si>
  <si>
    <t>VIRAC WATER DISTRICT</t>
  </si>
  <si>
    <t>MUNICIPALITY OF SAGNAY, CAMARINES SUR</t>
  </si>
  <si>
    <t>BARANGAY POBLACION, ARGAO, CEBU</t>
  </si>
  <si>
    <t>NATIONAL TOBACCO ADMINISTRATION - CANDON BRANCH</t>
  </si>
  <si>
    <t>MUNICIPALITY OF ALANGALANG, LEYTE</t>
  </si>
  <si>
    <t>BARANGAY PANTIHAN 4</t>
  </si>
  <si>
    <t>SIMEON SUAN VOCATIONAL AND TECHNICAL COLLEGE - TESDA</t>
  </si>
  <si>
    <t>BARANGAY BUENAVISTA - PIO DURAN, ALBAY</t>
  </si>
  <si>
    <t>MUNICIPALITY OF MACROHON, SOUTHERN LEYTE</t>
  </si>
  <si>
    <t>BARANGAY 11 MAOYOD - LEGAZPI CITY</t>
  </si>
  <si>
    <t>CITY OF TANDAG, SURIGAO DEL SUR</t>
  </si>
  <si>
    <t>MUNICIPALITY OF BACARRA, ILOCOS NORTE</t>
  </si>
  <si>
    <t>MUNICIPALITY OF MADRIDEJOS, CEBU</t>
  </si>
  <si>
    <t>DEPARTMENT OF AGRICULTURE - REGION VI</t>
  </si>
  <si>
    <t>MARINDUQUE STATE COLLEGE</t>
  </si>
  <si>
    <t>TANDANG SORA ELEMENTARY SCHOOL</t>
  </si>
  <si>
    <t>CITY OF BORONGAN, EASTERN SAMAR</t>
  </si>
  <si>
    <t>BARANGAY IRISAN, BAGUIO CITY</t>
  </si>
  <si>
    <t>DEPARTMENT OF INFORMATION AND COMMUNICATIONS TECHNOLOGY - DA</t>
  </si>
  <si>
    <t>MUNICIPALITY OF LIDLIDDA, ILOCOS SUR</t>
  </si>
  <si>
    <t>BARANGAY SAN PABLO, CATBALOGAN, SAMAR</t>
  </si>
  <si>
    <t>ARELLANO ELEMENTARY SCHOOL - ORION BATAAN</t>
  </si>
  <si>
    <t>MUNICIPALITY OF SISON, PANGASINAN</t>
  </si>
  <si>
    <t>PRESIDENTIAL COMMUNICATIONS OPERATIONS OFFICE</t>
  </si>
  <si>
    <t>MUNICIPALITY OF STO. TOMAS, BATANGAS</t>
  </si>
  <si>
    <t>PROVINCE OF QUIRINO</t>
  </si>
  <si>
    <t>MUNICIPALITY OF LIBERTAD, MISAMIS ORIENTAL</t>
  </si>
  <si>
    <t>PROVINCE OF BOHOL</t>
  </si>
  <si>
    <t>DEPARTMENT OF EDUCATION - DIVISION OF CITY SCHOOLS, DIGOS</t>
  </si>
  <si>
    <t>DEPARTMENT OF SOCIAL WELFARE AND DEVELOPMENT - TACLOBAN</t>
  </si>
  <si>
    <t>J. L. SUAREZ ELEMENTARY SCHOOL - VICTORIAS CITY</t>
  </si>
  <si>
    <t>DEPARTMENT OF HEALTH - REGION XII</t>
  </si>
  <si>
    <t>BARANGAY BACJAWAN SUR, CONCEPCION, ILOILO</t>
  </si>
  <si>
    <t>DEPARTMENT OF SOCIAL WELFARE AND DEVELOPMENT - CAR</t>
  </si>
  <si>
    <t>ENVIRONMENTAL MANAGEMENT BUREAU - DENR</t>
  </si>
  <si>
    <t>DEPARTMENT OF PUBLIC WORKS AND HIGHWAYS - BOHOL 3RD DEO</t>
  </si>
  <si>
    <t>BARANGAY GUISIJAN, LAUA-AN, ANTIQUE</t>
  </si>
  <si>
    <t>MUNICIPALITY OF PINAMALAYAN, ORIENTAL MINDORO</t>
  </si>
  <si>
    <t>MUNICIPALITY OF SIATON, NEGROS ORIENTAL</t>
  </si>
  <si>
    <t>MUNICIPALITY OF GUIMBA, NUEVA ECIJA</t>
  </si>
  <si>
    <t>DEPARTMENT OF PUBLIC WORKS AND HIGHWAYS - CAVITE I DEO</t>
  </si>
  <si>
    <t>PROVINCE OF SURIGAO DEL SUR</t>
  </si>
  <si>
    <t>DON EMILIO DEL VALLE MEMORIAL HOSPITAL</t>
  </si>
  <si>
    <t>DEPARTMENT OF SOCIAL WELFARE AND DEVELOPMENT - REGION XI</t>
  </si>
  <si>
    <t>BARANGAY DUTUNG A MATAS, CONCEPCION, TARLAC</t>
  </si>
  <si>
    <t>DEPARTMENT OF AGRICULTURE - REGION VIII</t>
  </si>
  <si>
    <t>BARANGAY KILKILING, CLAVERIA,CAGAYAN</t>
  </si>
  <si>
    <t xml:space="preserve">BUREAU OF PLANT INDUSTRY-DAVAO </t>
  </si>
  <si>
    <t>CATALUNAN GRANDE ELEMENTARY SCHOOL</t>
  </si>
  <si>
    <t>MUNICIPALITY OF AJUY, ILOILO</t>
  </si>
  <si>
    <t>MUNICIPALITY OF SANTA IGNACIA, TARLAC</t>
  </si>
  <si>
    <t>MUNICIPALITY OF BARAS, CATANDUANES</t>
  </si>
  <si>
    <t>DEPARTMENT OF ENVIRONMENT AND NATURAL RESOURCES - CENRO TAGB</t>
  </si>
  <si>
    <t>BUREAU OF CUSTOMS - SURIGAO CITY</t>
  </si>
  <si>
    <t>BANGKO SENTRAL NG PILIPINAS</t>
  </si>
  <si>
    <t>305TH CONTRACTING OFFICE, AFP PROCUREMENT SERVICE</t>
  </si>
  <si>
    <t>BONIFACIO MEMORIAL ELEMENTARY SCHOOL</t>
  </si>
  <si>
    <t>CITY OF BISLIG, SURIGAO DEL SUR</t>
  </si>
  <si>
    <t>PHILIPPINE CHILDREN'S MEDICAL CENTER</t>
  </si>
  <si>
    <t>BOTILAO ELEMENTARY SCHOOL</t>
  </si>
  <si>
    <t>JONES RURAL SCHOOL-MAIN</t>
  </si>
  <si>
    <t>DEPARTMENT OF ENVIRONMENT AND NATURAL RESOURCES - REGION V</t>
  </si>
  <si>
    <t>BARANGAY WESTERN POBLACION - BARAS CATANDUANES</t>
  </si>
  <si>
    <t>MUNICIPALITY OF TALUSAN, ZAMBOANGA SIBUGAY</t>
  </si>
  <si>
    <t>MUNICIPALITY OF TABANGO, LEYTE</t>
  </si>
  <si>
    <t>BOHOL ISLAND STATE UNIVERSITY - BILAR</t>
  </si>
  <si>
    <t>ISABELA STATE UNIVERSITY - CABAGAN CAMPUS</t>
  </si>
  <si>
    <t>MUNICIPALITY OF ANDA, PANGASINAN</t>
  </si>
  <si>
    <t>DEPARTMENT OF ENVIRONMENT AND NATURAL RES. - PENRO, BUKIDNON</t>
  </si>
  <si>
    <t>DEPARTMENT OF EDUCATION - DIVISION OF AGUSAN DEL SUR</t>
  </si>
  <si>
    <t>DEPARTMENT OF EDUCATION - DIVISION OF CAGAYAN DE ORO</t>
  </si>
  <si>
    <t>DEPARTMENT OF EDUCATION - DIVISION OF SULTAN KUDARAT</t>
  </si>
  <si>
    <t>BARANGAY PALLOCAN WEST, BATANGAS CITY</t>
  </si>
  <si>
    <t>MUNICIPALITY OF UBAY, BOHOL</t>
  </si>
  <si>
    <t>CITY OF TAGUM, DAVAO DEL NORTE</t>
  </si>
  <si>
    <t>DEPARTMENT OF SOCIAL WELFARE AND DEVELOPMENT - REGION XII</t>
  </si>
  <si>
    <t>LANTAPAN NATIONAL HIGH SCHOOL</t>
  </si>
  <si>
    <t>OSMEÑA ELEMENTARY SCHOOL</t>
  </si>
  <si>
    <t>DEPARTMENT OF ENVIRONMENT AND NATURAL RES. - PENRO Z. SIBUGA</t>
  </si>
  <si>
    <t>BUREAU OF FISHERIES AND AQUATIC RESOURCES - REGION III</t>
  </si>
  <si>
    <t>SOUTHERN ISABELA MEDICAL CENTER</t>
  </si>
  <si>
    <t>DAPDAP HIGH SCHOOL</t>
  </si>
  <si>
    <t>CITY OF SAN FERNANDO, PAMPANGA</t>
  </si>
  <si>
    <t>MINDANAO STATE UNIVERSITY - GENERAL SANTOS CITY CAMPUS</t>
  </si>
  <si>
    <t>REGION I MEDICAL CENTER</t>
  </si>
  <si>
    <t>BARANGAY KIPIT, LABASON, ZAMBOANGA DEL NORTE</t>
  </si>
  <si>
    <t>DEPARTMENT OF SCIENCE AND TECHNOLOGY - REGION - VIII</t>
  </si>
  <si>
    <t>BARANGAY LAPAZ, VILLASIS, PANGASINAN</t>
  </si>
  <si>
    <t>BARANGAY TALABA, ATIMONAN,QUEZON</t>
  </si>
  <si>
    <t>JOSE L. PORRAS ELEMENTARY SCHOOL</t>
  </si>
  <si>
    <t>DEPARTMENT OF SOCIAL WELFARE AND DEVELOPMENT - REGION I</t>
  </si>
  <si>
    <t>MUNICIPALIY OF PANITAN, CAPIZ</t>
  </si>
  <si>
    <t>BARANGAY BANAHAO, BONTOC, SOUTHERN LEYTE</t>
  </si>
  <si>
    <t>MUNICIPALITY OF MULANAY, QUEZON</t>
  </si>
  <si>
    <t>BARANGAY MARIGONDON, PIO DURAN, ALBAY</t>
  </si>
  <si>
    <t>BARANGAY MULANSONG - SAN PABLO ZAMBOANGA DEL SUR</t>
  </si>
  <si>
    <t>MUNICIPALITY OF BAGUMBAYAN, SULTAN KUDARAT</t>
  </si>
  <si>
    <t>MUNICIPALITY OF JONES, ISABELA</t>
  </si>
  <si>
    <t>DEPARTMENT OF THE INTERIOR AND LOCAL GOVERNMENT - REGION XI</t>
  </si>
  <si>
    <t>DEPARTMENT OF THE INTERIOR AND LOCAL GOVERNMENT - CALAMBA</t>
  </si>
  <si>
    <t>108TH CONTRACTING OFFICE, AFP PROCUREMENT SERVICE</t>
  </si>
  <si>
    <t>BUREAU OF THE TREASURY</t>
  </si>
  <si>
    <t>CITY OF TABACO, ALBAY</t>
  </si>
  <si>
    <t>MUNICIPALITY OF PEÑABLANCA, CAGAYAN</t>
  </si>
  <si>
    <t>CITY OF TARLAC, TARLAC</t>
  </si>
  <si>
    <t>DEPARTMENT OF ENVIRONMENT AND NATURAL RESOURCES - REGION IX</t>
  </si>
  <si>
    <t>DEPARTMENT OF TRADE AND INDUSTRY - REGION II, CAGAYAN VALLEY</t>
  </si>
  <si>
    <t>MUNICIPALITY OF DUMALNEG, ILOCOS NORTE</t>
  </si>
  <si>
    <t>MUNICIPALITY OF NAAWAN, MISAMIS ORIENTAL</t>
  </si>
  <si>
    <t>MUNICIPALITY OF TUBIGON, BOHOL</t>
  </si>
  <si>
    <t>STO. DOMINGO NATIONAL HIGH SCHOOL</t>
  </si>
  <si>
    <t>MUNICIPALITY OF LOOC, ROMBLON</t>
  </si>
  <si>
    <t>MUNICIPALITY OF PARACALE, CAMARINES NORTE</t>
  </si>
  <si>
    <t>MUNICIPALITY OF JULITA, LEYTE</t>
  </si>
  <si>
    <t>DEPARTMENT OF PUBLIC WORKS AND HIGHWAYS - MISAMIS OCCIDENTAL</t>
  </si>
  <si>
    <t>DEPARTMENT OF PUBLIC WORKS AND HIGHWAYS - NEGROS ORIENTAL 2N</t>
  </si>
  <si>
    <t>MUNICIPALITY  OF SAN JOSE, NEGROS ORIENTAL</t>
  </si>
  <si>
    <t>BARANGAY IMELDA - BATO, LEYTE</t>
  </si>
  <si>
    <t>MUNICIPALITY OF DAUIN, NEGROS ORIENTAL</t>
  </si>
  <si>
    <t>MUNICIPALITY OF MATANAO, DAVAO DEL SUR</t>
  </si>
  <si>
    <t>GOVERNMENT SERVICE INSURANCE SYSTEM</t>
  </si>
  <si>
    <t>BACOLOD WATER DISTRICT</t>
  </si>
  <si>
    <t>CITY  OF LA CARLOTA, NEGROS OCCIDENTAL</t>
  </si>
  <si>
    <t>MUNICIPALITY OF INITAO, MISAMIS ORIENTAL</t>
  </si>
  <si>
    <t>TESDA 4B MIMAROPA REGIONAL OFFICE</t>
  </si>
  <si>
    <t>DEPARTMENT OF PUBLIC WORKS AND HIGHWAYS - PAMPANGA 2ND DEO</t>
  </si>
  <si>
    <t>PNOC RENEWABLES CORPORATION</t>
  </si>
  <si>
    <t>NAGUILIAN NATIONAL HIGH SCHOOL - NAGUILIAN ISABELA</t>
  </si>
  <si>
    <t>DEPARTMENT OF PUBLIC WORKS AND HIGHWAYS - ILOCOS SUR 1ST DEO</t>
  </si>
  <si>
    <t>TABUK CITY NATIONAL HIGH SCHOOL</t>
  </si>
  <si>
    <t>DEPARTMENT OF EDUCATION - DIVISION OF COMPOSTELA VALLEY</t>
  </si>
  <si>
    <t>MUNICIPALITY OF STA.CRUZ, DAVAO DEL SUR</t>
  </si>
  <si>
    <t>PROVINCIAL GOVERNMENT OF CAMARINES SUR</t>
  </si>
  <si>
    <t>NATIONAL IRRIGATION ADMINISTRATION - ZAMBOANGA SIBUGAY</t>
  </si>
  <si>
    <t>CITY OF OZAMIS, MISAMIS OCCIDENTAL</t>
  </si>
  <si>
    <t>TANGUB CITY WATER DISTRICT</t>
  </si>
  <si>
    <t>CARAGA STATE UNIVERSITY - CABADBARAN CAMPUS</t>
  </si>
  <si>
    <t>MUNICIPALITY OF BULA, CAMARINES SUR</t>
  </si>
  <si>
    <t>MUNICIPALITY OF CASIGURAN, SORSOGON</t>
  </si>
  <si>
    <t>MUNICIPALITY OF ALFONSO LISTA, IFUGAO</t>
  </si>
  <si>
    <t>MUNICIPALITY OF VALLEHERMOSO, NEGROS</t>
  </si>
  <si>
    <t>407TH CONTRACTING OFFICE, AFP PROCUREMENT SERVICE</t>
  </si>
  <si>
    <t>DANGCAGAN NATIONAL HIGH SCHOOL</t>
  </si>
  <si>
    <t>PHILIPPINE NORMAL UNIVERSITY</t>
  </si>
  <si>
    <t>MUNICIPALITY OF BANTON, ROMBLON</t>
  </si>
  <si>
    <t>MUNICIPALITY OF BUGALLON - PANGASINAN</t>
  </si>
  <si>
    <t>SINALHAN ELEMENTARY SCHOOL</t>
  </si>
  <si>
    <t>HOUSE OF REPRESENTATIVES</t>
  </si>
  <si>
    <t>CITY OF CABADBARAN, AGUSAN DEL NORTE</t>
  </si>
  <si>
    <t>MUNICIPALITY OF PIKIT, NORTH COTABATO</t>
  </si>
  <si>
    <t>DEVELOPMENT BANK OF THE PHILIPPINES - HEAD OFFICE</t>
  </si>
  <si>
    <t>MUNICIPALITY OF COMPOSTELA, COMPOSTELA VALLEY</t>
  </si>
  <si>
    <t>SANKANAN NATIONAL HIGH SCHOOL  (JUNIOR ) - MANOLO FORTICH BU</t>
  </si>
  <si>
    <t>MUNICIPALITY OF NABUNTURAN, COMPOSTELA VALLEY</t>
  </si>
  <si>
    <t>BARANGAY SABANG, LIPA CITY</t>
  </si>
  <si>
    <t>MUNICIPALITY OF LA PAZ, LEYTE</t>
  </si>
  <si>
    <t>MUNICIPALITY OF TANZA, CAVITE</t>
  </si>
  <si>
    <t>BANGKO SENTRAL NG PILIPINAS - BACOLOD CITY</t>
  </si>
  <si>
    <t>RIZAL MEDICAL CENTER</t>
  </si>
  <si>
    <t>PROVINCE OF MOUNTAIN PROVINCE</t>
  </si>
  <si>
    <t>SAN PABLO 2ND NATIONAL HIGH SCHOOL</t>
  </si>
  <si>
    <t>SILLAWIT NATIONAL HIGH SCHOOL - CAUAYAN CITY ISABELA</t>
  </si>
  <si>
    <t>MUNICIPALITY OF HAMTIC, ANTIQUE</t>
  </si>
  <si>
    <t>BARANGAY BONIFACIO TANZA, ILOILO CITY</t>
  </si>
  <si>
    <t>CITY OF DASMARIÑAS, CAVITE</t>
  </si>
  <si>
    <t xml:space="preserve">TECHNICAL EDUCATION &amp; SKILLS DEVELOPMENT AUTHORITY - REGION </t>
  </si>
  <si>
    <t>MUNICIPALITY OF MATALOM, LEYTE</t>
  </si>
  <si>
    <t>BARANGAY YUKOS, NAGCARLAN, LAGUNA</t>
  </si>
  <si>
    <t>BARANGAY ORTIZ, CITY PROPER, ILOILO CITY</t>
  </si>
  <si>
    <t>BANGCUD NATIONAL HIGH SCHOOL -  MOOE</t>
  </si>
  <si>
    <t>MUNICIPALITY OF BUCAY, ABRA</t>
  </si>
  <si>
    <t>MINDANAO STATE UNIVERSITY - NAAWAN</t>
  </si>
  <si>
    <t>BARANGAY GUINABONAN MALITBOG SOUTHERN LEYTE</t>
  </si>
  <si>
    <t>MUNICIPALITY OF SILVINO LOBOS, NORTHERN SAMAR</t>
  </si>
  <si>
    <t>ENVIRONMENTAL MANAGEMENT BUREAU-REGION XII</t>
  </si>
  <si>
    <t>MUNICIPALITY OF STA. CATALINA, ILOCOS SUR</t>
  </si>
  <si>
    <t>PHILIPPINE RICE RESEARCH INSTITUTE - REGION VI</t>
  </si>
  <si>
    <t>PILI WATER DISTRICT</t>
  </si>
  <si>
    <t>BARANGAY JANIPA-AN WEST, MINA, ILOILO</t>
  </si>
  <si>
    <t>DEPARTMENT OF EDUCATION - DIVISION OF TACLOBAN CITY</t>
  </si>
  <si>
    <t>CITY  OF CANLAON, NEGROS ORIENTAL</t>
  </si>
  <si>
    <t>MUNICIPALITY OF BONIFACIO, MISAMIS OCCIDENTAL</t>
  </si>
  <si>
    <t>DEPARTMENT OF AGRARIAN REFORM - REGION VI</t>
  </si>
  <si>
    <t>ZAMBOANGA CITY MEDICAL CENTER</t>
  </si>
  <si>
    <t>MUNICIPALITY OF BURDEOS, QUEZON</t>
  </si>
  <si>
    <t>DEPARTMENT OF HEALTH EASTERN VISAYAS CHD - PALO LEYTE</t>
  </si>
  <si>
    <t>MARITIME SECURITY COMMAND - CAVITE CITY</t>
  </si>
  <si>
    <t>SURIGAO DEL SUR STATE UNIVERSITY</t>
  </si>
  <si>
    <t>MUNICIPALITY OF LICUAN-BAAY, ABRA</t>
  </si>
  <si>
    <t>MUNICIPALITY OF STA. LUCIA , ILOCOS SUR</t>
  </si>
  <si>
    <t>MUNICIPALITY OF DAUIS, BOHOL</t>
  </si>
  <si>
    <t>MUNICIPALITY OF TANAUAN, LEYTE</t>
  </si>
  <si>
    <t>113RD CO AFP PROCUREMENT SERVICE</t>
  </si>
  <si>
    <t>DEPARTMENT OF PUBLIC WORKS AND HIGHWAYS - REGION XI</t>
  </si>
  <si>
    <t>MUNICIPALITY OF DUMINGAG, ZAMBOANGA DEL SUR</t>
  </si>
  <si>
    <t>MUNICIPALITY OF GLAN, SARANGANI PROVINCE</t>
  </si>
  <si>
    <t>CITY OF VIGAN, ILOCOS SUR</t>
  </si>
  <si>
    <t>SOUTHERN LEYTE STATE UNIVERSITY</t>
  </si>
  <si>
    <t>DEPARTMENT OF TRADE AND INDUSTRY - MAIN</t>
  </si>
  <si>
    <t>MUNICIPALITY OF BANI, PANGASINAN</t>
  </si>
  <si>
    <t>CITY  OF CADIZ, NEGROS OCCIDENTAL</t>
  </si>
  <si>
    <t>MUNICIPALITY OF DARAGA, ALBAY</t>
  </si>
  <si>
    <t>BARANGAY MASALUKOT II, CANDELARIA, QUEZON</t>
  </si>
  <si>
    <t>BARANGAY 1 POBLACION GENERAL LUNA QUEZON</t>
  </si>
  <si>
    <t>GEN. TOMAS MASCARDO NATIONAL HIGH SCHOOL - IMUS CAVITE</t>
  </si>
  <si>
    <t>LINABO CENTRAL SCHOOL</t>
  </si>
  <si>
    <t>BARANGAY SAN JOAQUIN, PASIG CITY</t>
  </si>
  <si>
    <t>BARANGAY CALUMPANG EAST- SAN LUIS BATANGAS</t>
  </si>
  <si>
    <t>DAHAT NATIONAL VOCATIONAL HIGH SCHOOL - LAGONOY CAMARINES SU</t>
  </si>
  <si>
    <t>AGRICULTURAL TRAINING INSTITUTE-REGIONAL TRAINING CENTER X</t>
  </si>
  <si>
    <t>TECHNICAL EDUCATION &amp; SKILLS DEVELOPMENT AUTHORITY - NCR</t>
  </si>
  <si>
    <t>SUPREME COURT OF THE PHILIPPINES</t>
  </si>
  <si>
    <t>MUNICIPALITY OF BULALACAO, ORIENTAL MINDORO</t>
  </si>
  <si>
    <t>PANTAO NATIONAL HIGH SCHOOL</t>
  </si>
  <si>
    <t>VICTORIAS NATIONAL HIGH SCHOOL</t>
  </si>
  <si>
    <t>MUNICIPALITY OF VICTORIA, ORIENTAL MINDORO</t>
  </si>
  <si>
    <t>SOCIAL HOUSING FINANCE CORPORATION</t>
  </si>
  <si>
    <t>MUNICIPALITY OF NEW CORELLA, DAVAO DEL NORTE</t>
  </si>
  <si>
    <t>LIGA NG MGA BARANGAY, BANSALAN, DAVAO DEL SUR</t>
  </si>
  <si>
    <t>MUNICIPALITY OF BALASAN, ILOILO</t>
  </si>
  <si>
    <t>MUNICIPALITY OF TABUELAN, CEBU</t>
  </si>
  <si>
    <t>MUNICIPALITY OF VILLASIS, PANGASINAN</t>
  </si>
  <si>
    <t>BARANGAY DOLIS - CALATRAVA NEGROS OCCIDENTAL</t>
  </si>
  <si>
    <t>MUNICIPALITY OF DIMIAO, BOHOL</t>
  </si>
  <si>
    <t>MUNICIPALITY OF HUNGDUAN, IFUGAO</t>
  </si>
  <si>
    <t>MUNICIPALITY OF LUCBAN, QUEZON</t>
  </si>
  <si>
    <t>MUNICIPALITY OF SUMILAO, BUKIDNON</t>
  </si>
  <si>
    <t>AGUSAN DEL SUR SCHOOL OF ARTS AND TRADES - CARAGA</t>
  </si>
  <si>
    <t>DEPARTMENT OF PUBLIC WORKS AND HIGHWAYS - CAGAYAN DE ORO CIT</t>
  </si>
  <si>
    <t>MUNICIPALITY OF TALIBON, BOHOL</t>
  </si>
  <si>
    <t>NATIONAL ECONOMIC AND DEVELOPMENT AUTHORITY - CARAGA</t>
  </si>
  <si>
    <t>MUNICIPALITY OF DAGAMI, LEYTE</t>
  </si>
  <si>
    <t>BARANGAY PANGAO, LIPA CITY</t>
  </si>
  <si>
    <t>BARANGAY SAN ISIDRO, CANDELARIA, QUEZON</t>
  </si>
  <si>
    <t>MUNICIPALITY OF BADIAN, CEBU</t>
  </si>
  <si>
    <t>BARANGAY DAWAN, MATI CITY</t>
  </si>
  <si>
    <t>MUNICIPALITY OF MONKAYO, COMPOSTELA VALLEY</t>
  </si>
  <si>
    <t>DEPARTMENT OF LABOR AND EMPLOYMENT - CAR</t>
  </si>
  <si>
    <t>METRO COTABATO WATER DISTRICT</t>
  </si>
  <si>
    <t>CITY OF OLONGAPO, ZAMBALES</t>
  </si>
  <si>
    <t>NUESTRA SEÑORA DEL PILAR INTEGRATED SCHOOL</t>
  </si>
  <si>
    <t>MUNICIPALITY OF DAGOHOY, BOHOL</t>
  </si>
  <si>
    <t>LAND BANK OF THE PHILIPPINES - CEBU</t>
  </si>
  <si>
    <t>BARANGAY LIBERTAD - NABAS AKLAN</t>
  </si>
  <si>
    <t>BARANGAY TEJEROS CONVENTION ROSARIO CAVITE</t>
  </si>
  <si>
    <t>MUNICIPALITY OF SAN TEODORO, ORIENTAL MINDORO</t>
  </si>
  <si>
    <t>MUNICIPALITY OF CATANAUAN, QUEZON</t>
  </si>
  <si>
    <t>UNIVERSITY OF SOUTHERN MINDANAO</t>
  </si>
  <si>
    <t>MUNICIPALITY OF SAPANG DALAGA, MISAMIS OCCIDENTAL</t>
  </si>
  <si>
    <t>LIMINANGCONG NATIONAL HIGH SCHOOL - TAYTAY PALAWAN</t>
  </si>
  <si>
    <t>BARANGAY LOOC - PANGLAO, BOHOL</t>
  </si>
  <si>
    <t>TABUELAN WATER DISTRICT</t>
  </si>
  <si>
    <t>CITY OF EL SALVADOR, MISAMIS ORIENTAL</t>
  </si>
  <si>
    <t>BARANGAY PAA, HILONGOS, LEYTE</t>
  </si>
  <si>
    <t>MUNICIPALITY OF BATARAZA</t>
  </si>
  <si>
    <t>DEPARTMENT OF AGRICULTURE - REGION VII</t>
  </si>
  <si>
    <t>DOH-REGIONAL OFFICE IV-A</t>
  </si>
  <si>
    <t>AGUSAN DEL SUR NATIONAL HIGH SCHOOL</t>
  </si>
  <si>
    <t>MUNICIPALITY OF BURGOS, ILOCOS SUR</t>
  </si>
  <si>
    <t>MUNICIPALITY OF TALAKAG, BUKIDNON</t>
  </si>
  <si>
    <t>BARANGAY IBABANG DUPAY, LUCENA CITY</t>
  </si>
  <si>
    <t>BARANGAY STA. CRUZ, CALAPE, BOHOL</t>
  </si>
  <si>
    <t>NAGUILIAN WATER DISTRICT</t>
  </si>
  <si>
    <t>DEPARTMENT OF EDUCATION - SCHOOLS DIVISION OF BACOOR CITY</t>
  </si>
  <si>
    <t>MUNICIPALITY OF CARMEN COTABATO</t>
  </si>
  <si>
    <t>CARAGA STATE UNIVERSITY</t>
  </si>
  <si>
    <t>DAMPOL 2ND NHS ANNEX-STA. LUCIA HIGH SCHOOL</t>
  </si>
  <si>
    <t>DEPARTMENT OF PUBLIC WORKS AND HIGHWAYS - METRO MANILA 2ND D</t>
  </si>
  <si>
    <t>MUNICIPALITY OF ALCOY, CEBU</t>
  </si>
  <si>
    <t>PROVINCE OF LEYTE</t>
  </si>
  <si>
    <t>CITY OF SAN PABLO, LAGUNA</t>
  </si>
  <si>
    <t>MUNICIPALITY OF CAOAYAN, ILOCOS SUR</t>
  </si>
  <si>
    <t>MARGOSATUBIG REGIONAL HOSPITAL</t>
  </si>
  <si>
    <t>MUNICIPALITY OF HAGONOY, DAVAO DEL SUR</t>
  </si>
  <si>
    <t>PHILIPPINE SCIENCE HIGH SCHOOL - REGION II</t>
  </si>
  <si>
    <t>VISAYAS STATE UNIVERSITY - ISABEL CAMPUS</t>
  </si>
  <si>
    <t>MUNICIPALITY OF BANSUD, ORIENTAL MINDORO</t>
  </si>
  <si>
    <t>MUNICIPALITY OF PRESIDENT CARLOS P. GARCIA, BOHOL</t>
  </si>
  <si>
    <t>BARANGAY MABUHAY, VALENCIA CITY</t>
  </si>
  <si>
    <t>ILOILO STATE COLLEGE OF FISHERIES - MAIN CAMPUS</t>
  </si>
  <si>
    <t>BARANGAY CAMP 4, TUBA, BENGUET</t>
  </si>
  <si>
    <t xml:space="preserve">STA. ANASTACIA-SAN RAFAEL NATIONAL HIGH SCHOOL - STO. TOMAS </t>
  </si>
  <si>
    <t>DEPARTMENT OF AGRARIAN REFORM - SOUTH COTABATO PARO</t>
  </si>
  <si>
    <t>MUNICIPALITY OF PAYAO, ZAMBOANGA SIBUGAY</t>
  </si>
  <si>
    <t>MUNICIPALITY OF LUMBAN, LAGUNA</t>
  </si>
  <si>
    <t>CITY OF IMUS -  CAVITE</t>
  </si>
  <si>
    <t>PHILIPPINE CROP INSURANCE CORPORATION - REGION IV</t>
  </si>
  <si>
    <t>MUNICIPALITY OF MAASIM, SARANGANI</t>
  </si>
  <si>
    <t>SK OF BARANGAY  VALENZUELA - MAKATI CITY</t>
  </si>
  <si>
    <t>COLAMBUGON ELEMENTARY SCHOOL - MARAMAG BUKIDNON</t>
  </si>
  <si>
    <t>BARANGAY TAN-AWAN, OSLOB, CEBU</t>
  </si>
  <si>
    <t>NUEVA ECIJA UNIVERSITY OF SCIENCE AND TECHNOLOGY</t>
  </si>
  <si>
    <t>BARANGAY GALAS - DIPOLOG CITY</t>
  </si>
  <si>
    <t>BARANGAY LUBI, ATIMONAN, QUEZON</t>
  </si>
  <si>
    <t>MUNICIPALITY OF ROXAS, ORIENTAL MINDORO</t>
  </si>
  <si>
    <t>SAN PASCUAL NATIONAL HIGH SCHOOL - SAN PASCUAL BATANGAS</t>
  </si>
  <si>
    <t>MUNICIPALITY OF ALICIA, ISABELA</t>
  </si>
  <si>
    <t>SOUTH CITY CENTRAL SCHOOL</t>
  </si>
  <si>
    <t>MUNICIPALITY OF CALASIAO, PANGASINAN</t>
  </si>
  <si>
    <t>BARANGAY BUENAVISTA WEST, CANDELARIA, QUEZON</t>
  </si>
  <si>
    <t>CITY OF LIGAO, ALBAY</t>
  </si>
  <si>
    <t>AMANG RODRIGUEZ MEMORIAL MEDICAL CENTER</t>
  </si>
  <si>
    <t>CITY OF LAPU-LAPU</t>
  </si>
  <si>
    <t>BARANGAY PANTAY BATA, TANAUAN CITY, BATANGAS</t>
  </si>
  <si>
    <t>CNHS-ANDRES BONIFACIO EXTENSION HIGH SCHOOL - CADIZ CITY NEG</t>
  </si>
  <si>
    <t>QUIRINO STATE UNIVERSITY</t>
  </si>
  <si>
    <t>MUNICIPALITY OF JAGNA, BOHOL</t>
  </si>
  <si>
    <t>BARANGAY SAN ANDRES, NAUJAN, ORIENTAL MINDORO</t>
  </si>
  <si>
    <t>BARANGAY CAMPO IV- RAMON MAGSAYSAY ZAMBOANGA DEL SUR</t>
  </si>
  <si>
    <t>PROVINCE OF DINAGAT ISLANDS</t>
  </si>
  <si>
    <t>PARAÑAQUE NATIONAL HIGH SCHOOL - BACLARAN ANNEX</t>
  </si>
  <si>
    <t>MUNICIPALITY OF PASTRANA, LEYTE</t>
  </si>
  <si>
    <t>DEPARTMENT OF AGRARIAN REFORM - CAUAYAN CITY, ISABELA</t>
  </si>
  <si>
    <t>BARANGAY CABLONG, STA. BARBARA, PANGASINAN</t>
  </si>
  <si>
    <t>DEPARTMENT OF PUBLIC WORKS AND HIGHWAYS - MISAMIS ORIENTAL 1</t>
  </si>
  <si>
    <t>UNIVERSITY OF RIZAL SYSTEM</t>
  </si>
  <si>
    <t>MUNICIPALITY OF KAPATAGAN, LANAO DEL NORTE</t>
  </si>
  <si>
    <t>DEPARTMENT OF AGRICULTURE - REGION III</t>
  </si>
  <si>
    <t>CENTER FOR HEALTH DEVELOPMENT - REGION VI</t>
  </si>
  <si>
    <t>MUNICIPALITY OF SIBUNAG, GUIMARAS</t>
  </si>
  <si>
    <t>MUNICIPALITY OF LINGAYEN, PANGASINAN</t>
  </si>
  <si>
    <t>MUNICIPALITY OF SALVADOR, LANAO DEL NORTE</t>
  </si>
  <si>
    <t>HERNAN P. SALUDES ELEMENTARY SCHOOL - CAGAYAN DE ORO CITY</t>
  </si>
  <si>
    <t>PROVINCE OF ZAMBOANGA DEL NORTE</t>
  </si>
  <si>
    <t>TABAO ELEMENTARY SCHOOL</t>
  </si>
  <si>
    <t>PROVINCE OF MAGUINDANAO</t>
  </si>
  <si>
    <t xml:space="preserve">SANKANAN NATIONAL HIGH SCHOOL (SENIOR HIGH SCHOOL) - MANOLO </t>
  </si>
  <si>
    <t>DEPARTMENT OF PUBLIC WORKS AND HIGHWAYS - NEG. OCC. 2ND DEO</t>
  </si>
  <si>
    <t>DEPARTMENT OF THE INTERIOR AND LOCAL GOVERNMENT - SAMAR</t>
  </si>
  <si>
    <t>DEPARTMENT OF TRADE AND INDUSTRY - REGION VIII</t>
  </si>
  <si>
    <t>PROSPERIDAD WATER DISTRICT</t>
  </si>
  <si>
    <t>MUNICIPALITY OF SAN REMIGIO, CEBU</t>
  </si>
  <si>
    <t>DEPARTMENT OF ENVIRONMENT AND NATURAL RES. - REGION VIII</t>
  </si>
  <si>
    <t>BARANGAY TUGUIPA, HILONGOS, LEYTE</t>
  </si>
  <si>
    <t>MUNICIPALITY OF IBAAN, BATANGAS</t>
  </si>
  <si>
    <t>BOLO NORTE HIGH SCHOOL - SIPOCOT CAMARINES SUR</t>
  </si>
  <si>
    <t>CITY OF BOGO, CEBU</t>
  </si>
  <si>
    <t>MUNICIPALITY OF SAN MATEO, RIZAL</t>
  </si>
  <si>
    <t>POLO NATIONAL HIGH SCHOOL VALENZUELA CITY</t>
  </si>
  <si>
    <t>MUNICIPALITY OF BANTAY, ILOCOS SUR</t>
  </si>
  <si>
    <t>DEPARTMENT OF LABOR AND EMPLOYMENT - REGION XI</t>
  </si>
  <si>
    <t>LUNA GENERAL COMPREHENSIVE HIGH SCHOOL LUNA, ISABELA</t>
  </si>
  <si>
    <t>PHILIPPINE COAST GUARD</t>
  </si>
  <si>
    <t>BARANGAY TIGUISAN BANSUD ORIENTAL MINDORO</t>
  </si>
  <si>
    <t>MUNICIPALITY OF KAPALONG, DAVAO DEL NORTE</t>
  </si>
  <si>
    <t>BALITUCAN NATIONAL HIGH SCHOOL</t>
  </si>
  <si>
    <t>MUNICIPALITY OF LUNA, LA UNION</t>
  </si>
  <si>
    <t>SANTOLAN ELEMENTARY SCHOOL - DEPED</t>
  </si>
  <si>
    <t>COMMISSION ON AUDIT - REGION XI</t>
  </si>
  <si>
    <t>MUNICIPALITY OF HINATUAN , SURIGAO DEL SUR</t>
  </si>
  <si>
    <t>NATIONAL CHILDREN'S HOSPITAL</t>
  </si>
  <si>
    <t>MUNICIPALITY OF TUDELA, CEBU</t>
  </si>
  <si>
    <t>MUNICIPALITY OF BAYOG, ZAMBOANGA DEL SUR</t>
  </si>
  <si>
    <t>BARANGAY ACASIA MAASIN CITY SOUTHERN LEYTE</t>
  </si>
  <si>
    <t>NATIONAL IRRIGATION ADMINISTRATION - LAMISCA IMO</t>
  </si>
  <si>
    <t>BARANGAY CONCEPCION, BATANGAS CITY, BATANGAS</t>
  </si>
  <si>
    <t>CITY OF DIGOS, DAVAO DEL SUR</t>
  </si>
  <si>
    <t>MUNICIPALITY OF ALILEM, ILOCOS SUR</t>
  </si>
  <si>
    <t>CITY  OF HIMAMAYLAN, NEGROS OCCIDENTAL</t>
  </si>
  <si>
    <t>DEPARTMENT OF PUBLIC WORKS AND HIGHWAYS - ILOILO 1ST DEO</t>
  </si>
  <si>
    <t>DEPARTMENT OF AGRICULTURE - REGION X</t>
  </si>
  <si>
    <t>PROVINCE OF NUEVA VIZCAYA - BAYOMBONG NUEVA VIZCAYA</t>
  </si>
  <si>
    <t>PHILIPPINE NATIONAL POLICE - POLICE REGIONAL OFFICE 2</t>
  </si>
  <si>
    <t>QUEZON CITY LINGKOD BAYAN SKILLS DEVT. CTR.</t>
  </si>
  <si>
    <t>AGRICULTURAL TRAINING INSTITUTE-REGIONAL TRAINING CENTER-8</t>
  </si>
  <si>
    <t>IPIL-TITAY WATER DISTRICT</t>
  </si>
  <si>
    <t>BENGUET STATE UNIVERSITY</t>
  </si>
  <si>
    <t>BARANGAY MANOOK - GUBAT SORSOGON</t>
  </si>
  <si>
    <t>GOVERNMENT SERVICE INSURANCE SYSTEM - LUCENA CITY BRANCH</t>
  </si>
  <si>
    <t>BARANGAY CANHAWAN, CATBALOGAN CITY</t>
  </si>
  <si>
    <t>TECHNICAL EDUCATION &amp; SKILLS DEVELOPMENT AUTHORITY - BOHOL</t>
  </si>
  <si>
    <t>MUNICIPALITY OF ROXAS, PALAWAN</t>
  </si>
  <si>
    <t>OROQUIETA CITY WATER DISTRICT</t>
  </si>
  <si>
    <t>MUNICIPALITY OF SAN JOSE, ROMBLON</t>
  </si>
  <si>
    <t>INDUSTRIAL TECHNOLOGY DEVELOPMENT INSTITIUTE</t>
  </si>
  <si>
    <t>MUNICIPALITY OF MARIVELES, BATAAN</t>
  </si>
  <si>
    <t>BUREAU OF FISHERIES AND AQUATIC RESOURCES CARAGA</t>
  </si>
  <si>
    <t>MUNICIPALITY OF DUERO, BOHOL</t>
  </si>
  <si>
    <t>BARANGAY NORTH CENTRAL AURORA HILL, BAGUIO, BENGUET</t>
  </si>
  <si>
    <t>NATIONAL IRRIGATION ADMINISTRATION - SKIMO</t>
  </si>
  <si>
    <t>BARANGAY STO.TOMAS  - TUAO CAGAYAN</t>
  </si>
  <si>
    <t>BUREAU OF AGRICULTURAL RESEARCH</t>
  </si>
  <si>
    <t>BARANGAY MOROPONROS, OAS, ALBAY</t>
  </si>
  <si>
    <t>COMMISSION ON AUDIT - REGION V</t>
  </si>
  <si>
    <t>303RD CONTRACTING OFFICE, AFP PROCUREMENT SERVICE</t>
  </si>
  <si>
    <t>DEPARTMENT OF AGRARIAN REFORM - DAVAO DEL SUR</t>
  </si>
  <si>
    <t>MUNICIPALITY OF BASCO, BATANES</t>
  </si>
  <si>
    <t>PROVINCE OF BATAAN</t>
  </si>
  <si>
    <t>BARANGAY NARUANGAN - TUAO CAGAYAN</t>
  </si>
  <si>
    <t>GEN. PIO DEL PILAR NATIONAL HIGH SCHOOL</t>
  </si>
  <si>
    <t>BARANGAY BANUYO, GASAN, MARINDUQUE</t>
  </si>
  <si>
    <t>MUNICIPALITY OF INFANTA, QUEZON</t>
  </si>
  <si>
    <t>MUNICIPALITY OF KALIBO, AKLAN</t>
  </si>
  <si>
    <t>TAMBULIG NATIONAL HIGH SCHOOL</t>
  </si>
  <si>
    <t>MABALACAT CITY WATER DISTRICT</t>
  </si>
  <si>
    <t>DEPARTMENT OF PUBLIC WORKS AND HIGHWAYS - CATANDUANES ED</t>
  </si>
  <si>
    <t>MUNICIPALITY OF PUERTO GALERA, ORIENTAL MINDORO</t>
  </si>
  <si>
    <t>SANTA ROSA (NE) WATER DISTRICT</t>
  </si>
  <si>
    <t>CAGAYAN VALLEY MEDICAL CENTER</t>
  </si>
  <si>
    <t>MUNICIPALITY OF BANSALAN, DAVAO DEL SUR</t>
  </si>
  <si>
    <t>BARANGAY ISIO, CAUAYAN, NEGROS OCCIDENTAL</t>
  </si>
  <si>
    <t>SOUTHERN LUZON STATE UNIVERSITY</t>
  </si>
  <si>
    <t>MUNICIPALITY OF MONTEVISTA, COMPOSTELA VALLEY</t>
  </si>
  <si>
    <t>107TH CONTRACTING OFFICE, AFP PROCUREMENT SERVICE</t>
  </si>
  <si>
    <t>COMMISSION ON POPULATION - REGION V</t>
  </si>
  <si>
    <t>BARANGAY MALIOGLIOG, CONCEPCION, ILOILO</t>
  </si>
  <si>
    <t>BARANGAY LINAON</t>
  </si>
  <si>
    <t>MUNICIPALITY OF SAN MIGUEL, ZAMBOANGA DEL SUR</t>
  </si>
  <si>
    <t>ILOILO STATE COLLEGE OF FISHERIES - DINGLE CAMPUS</t>
  </si>
  <si>
    <t>MUNICIPALITY OF ZAMBOANGUITA, NEGROS ORIENTAL</t>
  </si>
  <si>
    <t>BARANGAY GUINACUTAN - LABO, CAMARINES NORTE</t>
  </si>
  <si>
    <t>LUCIANO MILLAN MEMORIAL SCHOOL OF ARTS AND TRADES</t>
  </si>
  <si>
    <t>MUNICIPALITY OF BALINGASAG, MISAMIS ORIENTAL</t>
  </si>
  <si>
    <t>MUNICIPALITY OF CALAMBA, MISAMIS OCCIDENTAL</t>
  </si>
  <si>
    <t>CIRIACO P. TINGA ELEMENTARY SCHOOL</t>
  </si>
  <si>
    <t>DEPARTMENT OF PUBLIC WORKS AND HIGHWAYS SARANGANI DISTRICT E</t>
  </si>
  <si>
    <t>CITY OF MALABON</t>
  </si>
  <si>
    <t>BARANGAY CENTRO 1 TUAO CAGAYAN</t>
  </si>
  <si>
    <t>DAMONG MALIIT ELEMENTARY SCHOOL</t>
  </si>
  <si>
    <t>BARANGAY PALCA - PALCA TUAO CAGAYAN</t>
  </si>
  <si>
    <t>UGAD HIGH SCHOOL</t>
  </si>
  <si>
    <t>MUNICIPALITY OF BURAUEN, LEYTE</t>
  </si>
  <si>
    <t>NATIONAL IRRIGATION ADMINISTRATION - DAVAO DEL NORTE IMO</t>
  </si>
  <si>
    <t>CITY OF TALISAY, NEGROS OCCIDENTAL</t>
  </si>
  <si>
    <t>MUNICIPALITY OF MARABUT, SAMAR</t>
  </si>
  <si>
    <t>BUREAU OF FIRE PROTECTION - REGION I</t>
  </si>
  <si>
    <t>MUNICIPALITY OF LEYTE, LEYTE</t>
  </si>
  <si>
    <t>MUNICIPALITY OF BANAYBANAY, DAVAO ORIENTAL</t>
  </si>
  <si>
    <t>BARANGAY TAMIS-AC -2, CONCEPCION, ILOILO</t>
  </si>
  <si>
    <t>BACOLOR WATER DISTRICT</t>
  </si>
  <si>
    <t>PHIL. INSTITUTE OF TRADITIONAL &amp; ALTERNATIVE HEALTH CARE</t>
  </si>
  <si>
    <t>PHILIPPINE NORMAL UNIVERSITY-AGUSAN CAMPUS</t>
  </si>
  <si>
    <t>BUKIDNON STATE UNIVERSITY</t>
  </si>
  <si>
    <t>EASTERN VISAYAS STATE UNIVERSITY</t>
  </si>
  <si>
    <t>DEPARTMENT OF PUBLIC WORKS AND HIGHWAYS - ILOILO CITY DEO</t>
  </si>
  <si>
    <t>MUNICIPALITY OF SAN MANUEL, PANGASINAN</t>
  </si>
  <si>
    <t>CITY OF BAYAWAN, NEGROS ORIENTAL</t>
  </si>
  <si>
    <t>DEPARTMENT OF PUBLIC WORKS AND HIGHWAYS - BUKIDNON 2ND DEO</t>
  </si>
  <si>
    <t>MUNICIPALITY OF PLARIDEL, MISAMIS OCCIDENTAL</t>
  </si>
  <si>
    <t>AGRICULTURAL TRAINING INSTITUTE - CARAGA REGION</t>
  </si>
  <si>
    <t>CITY OF MAKATI</t>
  </si>
  <si>
    <t>DEPARTMENT OF EDUCATION - DIVISION OF CATANDUANES</t>
  </si>
  <si>
    <t>PROVINCE OF SAMAR</t>
  </si>
  <si>
    <t>CITY OF SIPALAY, NEGROS OCCIDENTAL</t>
  </si>
  <si>
    <t>MUNICIPALITY OF TAYUM, ABRA</t>
  </si>
  <si>
    <t>CITY OF SILAY, NEGROS OCCIDENTAL</t>
  </si>
  <si>
    <t>ADVANCED SCIENCE AND TECHNOLOGY INSTITUTE</t>
  </si>
  <si>
    <t>MUNICIPALITY OF LOPEZ, QUEZON</t>
  </si>
  <si>
    <t>BARANGAY DUNGON, CONCEPCION, ILOILO</t>
  </si>
  <si>
    <t>COMMISSION ON AUDIT - REGION X</t>
  </si>
  <si>
    <t>MUNICIPALITY OF SAN PABLO, ZAMBOANGA DEL SUR</t>
  </si>
  <si>
    <t>MUNICIPALITY OF M'LANG, COTABATO</t>
  </si>
  <si>
    <t>DEPARTMENT OF HEALTH - REGION X</t>
  </si>
  <si>
    <t>PROVINCE OF CAGAYAN</t>
  </si>
  <si>
    <t>CABUYAO WATER DISTRICT</t>
  </si>
  <si>
    <t>MUNICIPALITY OF TRINIDAD, BOHOL</t>
  </si>
  <si>
    <t>PAROLE AND PROBATION ADMINISTRATION REGION IVB</t>
  </si>
  <si>
    <t>MUNICIPALITY OF IPIL, ZAMBOANGA SIBUGAY</t>
  </si>
  <si>
    <t>MUNICIPALITY OF CARMEN, DAVAO DEL NORTE</t>
  </si>
  <si>
    <t>PHILIPPINE DRUG ENFORCEMENT AGENCY</t>
  </si>
  <si>
    <t xml:space="preserve">TUMAUINI NORTH CENTRAL SCHOOL </t>
  </si>
  <si>
    <t>IFUGAO STATE UNIVERSITY</t>
  </si>
  <si>
    <t>MUNICIPALITY OF BAYAMBANG - PANGASINAN</t>
  </si>
  <si>
    <t>MUNICIPALITY OF CAPALONGA, CAMARINES NORTE</t>
  </si>
  <si>
    <t>CITY OF TANAUAN, BATANGAS</t>
  </si>
  <si>
    <t>BARANGAY 5, PASUQUIN, ILOCOS NORTE</t>
  </si>
  <si>
    <t>MUNICIPALITY OF PASACAO, CAMARINES SUR</t>
  </si>
  <si>
    <t>JOSE RIZAL MEMORIAL STATE COLLEGE - TAMPILISAN CAMPUS</t>
  </si>
  <si>
    <t>MUNICIPALITY OF SAN FRANCISCO, AGUSAN DEL SUR</t>
  </si>
  <si>
    <t>MUNICIPALITY OF DIPACULAO, AURORA</t>
  </si>
  <si>
    <t>NATIONAL HISTORICAL COMMISSION OF THE PHILIPPINES</t>
  </si>
  <si>
    <t>MUNICIPALITY OF BONGABONG, ORIENTAL MINDORO</t>
  </si>
  <si>
    <t>MUNICIPALITY OF PADRE BURGOS, SOUTHERN LEYTE</t>
  </si>
  <si>
    <t>CITY OF KORONADAL, SOUTH COTABATO</t>
  </si>
  <si>
    <t>NATIONAL IRRIGATION ADMINISTRATION - QIMO</t>
  </si>
  <si>
    <t>MUNICIPALITY OF ESPERANZA, AGUSAN DEL SUR</t>
  </si>
  <si>
    <t>MUNICIPALITY OF MARIA AURORA, AURORA</t>
  </si>
  <si>
    <t>DEPARTMENT OF EDUCATION - DIVISION OF NORTHERN SAMAR</t>
  </si>
  <si>
    <t>PHILIPPINE FISHERIES DEVELOPMENT AUTHORITY - MAIN</t>
  </si>
  <si>
    <t>MUNICIPALITY OF CARAMORAN, CATANDUANES</t>
  </si>
  <si>
    <t>CITY OF GINGOOG, MISAMIS ORIENTAL</t>
  </si>
  <si>
    <t>BARANGAY TALOTO-AN, CONCEPCION, ILOILO</t>
  </si>
  <si>
    <t>NATIONAL IRRIGATION ADMINISTRATION - REGION X</t>
  </si>
  <si>
    <t>MUNICIPALITY OF SAN FELIPE, ZAMBALES</t>
  </si>
  <si>
    <t>101ST CONTRACTING OFFICE, AFP PROCUREMENT SERVICE</t>
  </si>
  <si>
    <t>PROVINCE OF AGUSAN DEL NORTE</t>
  </si>
  <si>
    <t>GOVERNMENT SERVICE INSURANCE SYSTEM - MALAYBALAY BRANCH OFFI</t>
  </si>
  <si>
    <t>MUNICIPALITY  OF NUMANCIA, AKLAN</t>
  </si>
  <si>
    <t>LAND BANK OF THE PHILIPPINES - LEASING AND FINANCE CORPORATI</t>
  </si>
  <si>
    <t>BARANGAY POBLACION, MALUNGON, SARANGANI</t>
  </si>
  <si>
    <t>DEPARTMENT OF EDUCATION - DIVISION OF ZAMBOANGA DEL NORTE</t>
  </si>
  <si>
    <t>DEPARTMENT OF PUBLIC WORKS AND HIGHWAYS - LEYTE 3RD DEO</t>
  </si>
  <si>
    <t>BARANGAY A, BORONGAN CITY, EASTERN SAMAR</t>
  </si>
  <si>
    <t>BARANGAY CABUL-ANONAN, MALITBOG, SOUTHERN LEYTE</t>
  </si>
  <si>
    <t>AGUSAN DEL SUR STATE COLLEGE OF AGRICULTURE AND TECHNOLOGY</t>
  </si>
  <si>
    <t>MUNICIPALITY OF SIBAGAT, AGUSAN DEL SUR</t>
  </si>
  <si>
    <t>CITY OF DIPOLOG, ZAMBOANGA DEL NORTE</t>
  </si>
  <si>
    <t>MUNICIPALITY OF CARCAR, CEBU</t>
  </si>
  <si>
    <t>LAND TRANSPORTATION OFFICE - MAIN</t>
  </si>
  <si>
    <t>CITY OF ANTIPOLO, RIZAL</t>
  </si>
  <si>
    <t>CITY OF SAN JOSE DEL MONTE, BULACAN</t>
  </si>
  <si>
    <t>BAGUIO GENERAL HOSPITAL AND MEDICAL CENTER</t>
  </si>
  <si>
    <t>MUNICIPALITY OF GUINOBATAN, ALBAY</t>
  </si>
  <si>
    <t>DEPARTMENT OF EDUCATION - DIVISION OF ALBAY</t>
  </si>
  <si>
    <t>NATIONAL IRRIGATION ADMINISTRATION - ILOCOS NORTE IRRIGATION</t>
  </si>
  <si>
    <t>PROVINCIAL GOVERNMENT OF APAYAO</t>
  </si>
  <si>
    <t>MUNICIPALITY OF SAN JACINTO, PANGASINAN</t>
  </si>
  <si>
    <t>COURT OF APPEALS</t>
  </si>
  <si>
    <t>BARANGAY LIBERATION, ILOILO CITY</t>
  </si>
  <si>
    <t>MANOLO FORTICH WATER DISTRICT</t>
  </si>
  <si>
    <t>MUNICIPALITY OF TAYUG, PANGASINAN</t>
  </si>
  <si>
    <t>GOVERNOR CELESTINO GALLARES MEMORIAL HOSPITAL</t>
  </si>
  <si>
    <t>ISABELA CITY WATER DISTRICT</t>
  </si>
  <si>
    <t>VETERANS MEMORIAL MEDICAL CENTER, DND</t>
  </si>
  <si>
    <t>MUNICIPALITY OF SEVILLA, BOHOL</t>
  </si>
  <si>
    <t>VALENZUELA MEDICAL CENTER</t>
  </si>
  <si>
    <t>MUNICIPALITY OF PILI, CAMARINES SUR</t>
  </si>
  <si>
    <t>MUNICIPALITY OF TAGUDIN, ILOCOS SUR</t>
  </si>
  <si>
    <t>LAGUNA STATE POLYTECHNIC UNIVERSITY - SINILOAN CAMPUS</t>
  </si>
  <si>
    <t>PROVINCE OF NEGROS ORIENTAL</t>
  </si>
  <si>
    <t>DEPARTMENT OF SOCIAL WELFARE AND DEVELOPMENT - MAIN</t>
  </si>
  <si>
    <t>EUSEBIO C. SANTOS ELEMENTARY SCHOOL - TAGUIG CITY</t>
  </si>
  <si>
    <t>DEPARTMENT OF PUBLIC  WORKS AND HIGHWAYS - APAYAO 2ND DEO</t>
  </si>
  <si>
    <t>BARANGAY TIGBAWAN I, MALITBOG, SOUTHERN LEYTE</t>
  </si>
  <si>
    <t>BALIBAGO NATIONAL HIGH SCHOOL</t>
  </si>
  <si>
    <t>PALAWAN STATE UNIVERSITY</t>
  </si>
  <si>
    <t>UNIVERSITY OF SOUTHEASTERN PHILIPPINES - MINTAL CAMPUS</t>
  </si>
  <si>
    <t>GUIMARAS STATE COLLEGE</t>
  </si>
  <si>
    <t>MUNICIPALITY OF PALUAN, OCCIDENTAL MINDORO</t>
  </si>
  <si>
    <t>BUREAU OF INTERNAL REVENUE - REVENUE REGION NO. 10</t>
  </si>
  <si>
    <t>MANAOAG WATER DISTRICT</t>
  </si>
  <si>
    <t>MUNICIPALITY OF ALOGUINSAN, CEBU</t>
  </si>
  <si>
    <t>MUNICIPALITY OF SANTOL, LA UNION</t>
  </si>
  <si>
    <t>MUNICIPALITY OF STA. CRUZ, ILOCOS SUR</t>
  </si>
  <si>
    <t>MUNICIPALITY OF SEN. NINOY AQUINO, SULTAN KUDARAT</t>
  </si>
  <si>
    <t>WEST VISAYAS STATE UNIVERSITY - CALINOG BRANCH</t>
  </si>
  <si>
    <t>DEPARTMENT OF THE INTERIOR AND LOCAL GOVERNMENT - REGION VI</t>
  </si>
  <si>
    <t>DEPARTMENT OF PUBLIC WORKS AND HIGHWAYS - AURORA DEO</t>
  </si>
  <si>
    <t>DEPARTMENT OF PUBLIC WORKS AND HIGHWAYS - DINAGAT ISLANDS DI</t>
  </si>
  <si>
    <t>PROVINCE OF ROMBLON</t>
  </si>
  <si>
    <t xml:space="preserve">DEPARTMENT OF EDUCATION (SORSOGON CITY DIVISION) - SORSOGON </t>
  </si>
  <si>
    <t>DEPARTMENT OF EDUCATION - DIVISION OF CITY SCHOOLS, TAGBILAR</t>
  </si>
  <si>
    <t>MUNICIPALITY OF EL NIDO, PALAWAN</t>
  </si>
  <si>
    <t>MUNICIPALITY OF TOBIAS FORNIER,  ANTIQUE</t>
  </si>
  <si>
    <t>PROVINCE OF SARANGANI</t>
  </si>
  <si>
    <t>BARANGAY BASAG, LIGAO, ALBAY</t>
  </si>
  <si>
    <t>TALISAYAN WATER DISTRICT</t>
  </si>
  <si>
    <t>GUINAYANGAN NATIONAL HIGH SCHOOL</t>
  </si>
  <si>
    <t>BARANGAY MALAMA - LIGAO CITY</t>
  </si>
  <si>
    <t>DEPARTMENT OF SOCIAL WELFARE AND DEVELOPMENT - REGION III</t>
  </si>
  <si>
    <t>COMMISSION ON AUDIT - MAIN</t>
  </si>
  <si>
    <t>PROVINCE OF PAMPANGA</t>
  </si>
  <si>
    <t>CITY OF MATI, PROVINCE OF DAVAO ORIENTAL</t>
  </si>
  <si>
    <t>MUNICIPALITY OF GUIUAN, EASTERN SAMAR</t>
  </si>
  <si>
    <t>SOMBITO ELEMENTARY SCHOOL</t>
  </si>
  <si>
    <t>LAND MANAGEMENT BUREAU</t>
  </si>
  <si>
    <t>MARIANO MARCOS STATE UNIVERSITY</t>
  </si>
  <si>
    <t>BARANGAY BANILAD - BACONG NEGROS ORIENTAL</t>
  </si>
  <si>
    <t>BARANGAY TAMBO, LIPA CITY</t>
  </si>
  <si>
    <t>DEPARTMENT OF TRADE AND INDUSTRY - REGION III</t>
  </si>
  <si>
    <t>PHILIPPINE AMUSEMENT AND GAMING CORPORATION - ILOCOS NORTE</t>
  </si>
  <si>
    <t>ENVIRONMENTAL MANAGEMENT BUREAU - NCR, DENR</t>
  </si>
  <si>
    <t>METRO BANGUED WATER DISTRICT</t>
  </si>
  <si>
    <t>CITY OF NAGA, CAMARINES SUR</t>
  </si>
  <si>
    <t>201ST CONTRACTING OFFICE, AFP PROCUREMENT SERVICE</t>
  </si>
  <si>
    <t>CITY OF SAN JOSE, NUEVA ECIJA</t>
  </si>
  <si>
    <t>BARANGAY CABANTIAN, DAVAO CITY</t>
  </si>
  <si>
    <t>BARANGAY PANAMAON, LORETO, DINAGAT ISLAND</t>
  </si>
  <si>
    <t>ILOILO SCIENCE AND TECHNOLOGY UNIVERSITY</t>
  </si>
  <si>
    <t>DEPARTMENT OF PUBLIC WORKS AND HIGHWAYS - BATANES DEO</t>
  </si>
  <si>
    <t>MUNICIPALITY OF SAN FRANCISCO, QUEZON</t>
  </si>
  <si>
    <t>NATIONAL KIDNEY AND TRANSPLANT INSTITUTE</t>
  </si>
  <si>
    <t>MUNICIPALITY OF TARANGNAN, SAMAR</t>
  </si>
  <si>
    <t>EASTERN VISAYAS STATE UNIVERSITY-TANAUAN CAMPUS</t>
  </si>
  <si>
    <t>MUNICIPALITY OF CABAGAN, ISABELA</t>
  </si>
  <si>
    <t>MABUNGA ELEMENTARY SCHOOL - BAUNGON BUKIDNON</t>
  </si>
  <si>
    <t>BICOL REGION GENERAL HOSPITAL AND GERIATRIC MEDICAL CENTER(F</t>
  </si>
  <si>
    <t>MUNICIPALITY OF GUMACA, QUEZON</t>
  </si>
  <si>
    <t>DEVELOPMENT BANK OF THE PHILIPPINES - RMC-WESTERN MINDANAO</t>
  </si>
  <si>
    <t>MUNICIPALITY OF CUENCA, BATANGAS</t>
  </si>
  <si>
    <t>DEPARTMENT OF EDUCATION - DIVISION OF SAN JUAN CITY</t>
  </si>
  <si>
    <t>WAO DISTRICT HOSPITAL</t>
  </si>
  <si>
    <t>NATIONAL COMMISSION ON INDIGENOUS PEOPLES - REGION I</t>
  </si>
  <si>
    <t>TALA HIGH SCHOOL</t>
  </si>
  <si>
    <t>MATUSALEM NATIONAL HIGH SCHOOL  - ROXAS ISABELA</t>
  </si>
  <si>
    <t>PROVINCE OF IFUGAO</t>
  </si>
  <si>
    <t>MUNICIPALITY OF TAYSAN, BATANGAS</t>
  </si>
  <si>
    <t>MUNICIPALITY OF SARIAYA, QUEZON</t>
  </si>
  <si>
    <t>CAMARINES SUR POLYTECHNIC COLLEGES - NABUA CAMPUS</t>
  </si>
  <si>
    <t>MUNICIPALITY OF SAN EMILIO, ILOCOS SUR</t>
  </si>
  <si>
    <t>SOUTHERN PHILIPPINES MEDICAL CENTER</t>
  </si>
  <si>
    <t>MINDANAO STATE UNIVERSITY - ILIGAN INSTITUTE OF TECHNOLOGY</t>
  </si>
  <si>
    <t>CITY OF MUNTINLUPA</t>
  </si>
  <si>
    <t>CAMIGUIN POLYTECHNIC STATE COLLEGE</t>
  </si>
  <si>
    <t>ILLUMINADO NESSIA ELEMENTARY SCHOOL SR.</t>
  </si>
  <si>
    <t>LUBAO ELEMENTARY SCHOOL</t>
  </si>
  <si>
    <t>PAMPANGA STATE AGRICULTURAL UNIVERSITY</t>
  </si>
  <si>
    <t>MUNICIPALITY OF MACO, COMPOSTELA VALLEY</t>
  </si>
  <si>
    <t>DEPARTMENT OF PUBLIC WORKS AND HIGHWAYS - ALBAY 1ST DEO</t>
  </si>
  <si>
    <t>BARANGAY SAN ROQUE ENRILE CAGAYAN</t>
  </si>
  <si>
    <t>BATUAN ELEMENTARY SCHOOL - VALLADOLID NEGROS OCCIDENTAL</t>
  </si>
  <si>
    <t>MUNICIPALITY OF CALANASAN, APAYAO</t>
  </si>
  <si>
    <t>CAPAS HIGH SCHOOL</t>
  </si>
  <si>
    <t>DEPARTMENT OF ENVIRONMENT AND NATURAL RES. - PENRO, PALAWAN</t>
  </si>
  <si>
    <t>RIZAL ELEMENTARY SCHOOL</t>
  </si>
  <si>
    <t>DR. PAULINO J. GARCIA MEMORIAL RESEARCH AND MEDICAL CENTER</t>
  </si>
  <si>
    <t>MUNICIPALITY OF COLUMBIO, SULTAN KUDARAT</t>
  </si>
  <si>
    <t>MUNICIPALITY OF DUMANJUG, CEBU</t>
  </si>
  <si>
    <t>POLANGUI GENERAL COMPREHENSIVE HIGH SCHOOL</t>
  </si>
  <si>
    <t>DEPARTMENT OF PUBLIC WORKS AND HIGHWAYS - QUIRINO DEO</t>
  </si>
  <si>
    <t>DEPARTMENT OF SOCIAL WELFARE AND DEVELOPMENT - REGION VIII</t>
  </si>
  <si>
    <t>LOCAL GOVERNMENT UNIT OF DAET</t>
  </si>
  <si>
    <t>NATIONAL POLICE COMMISSION</t>
  </si>
  <si>
    <t>MUNICIPALITY OF SAN FABIAN, PANGASINAN</t>
  </si>
  <si>
    <t>MARIVELES MENTAL WELLNESS AND GENERAL HOSPITAL</t>
  </si>
  <si>
    <t>MUNICIPALITY OF BILAR, BOHOL</t>
  </si>
  <si>
    <t>TUMAUINI WATER DISTRICT</t>
  </si>
  <si>
    <t>MUNICIPALITY OF DON MARCELINO - DAVAO OCCIDENTAL</t>
  </si>
  <si>
    <t>PROVINCE OF ORIENTAL MINDORO</t>
  </si>
  <si>
    <t>DUMALAG VOCATIONAL TECHNICAL SCHOOL</t>
  </si>
  <si>
    <t>BOHOL ISLAND STATE UNIVERSITY - MAIN CAMPUS</t>
  </si>
  <si>
    <t>MUNICIPALITY OF LEBAK, SULTAN KUDARAT</t>
  </si>
  <si>
    <t>ISLAND GARDEN CITY OF SAMAL WATER DISTRICT</t>
  </si>
  <si>
    <t>DA - PHILIPPINE RURAL DEVELOPMENT PROJECT - PSO LUZON A</t>
  </si>
  <si>
    <t>MUNICIPALITY OF HILONGOS, LEYTE</t>
  </si>
  <si>
    <t>STA. MARIA WATER DISTRICT</t>
  </si>
  <si>
    <t>PROVINCIAL GOVERNMENT OF SURIGAO DEL NORTE</t>
  </si>
  <si>
    <t>MUNICIPALITY OF MERCEDES, EASTERN SAMAR</t>
  </si>
  <si>
    <t>FERTILIZER AND PESTICIDE AUTHORITY - QUEZON CITY METRO MANIL</t>
  </si>
  <si>
    <t>MUNICIPALITY OF RAMON, ISABELA</t>
  </si>
  <si>
    <t>BARANGAY CEMBO, MAKATI CITY</t>
  </si>
  <si>
    <t>CENTER FOR HEALTH DEVELOPMENT - REGION I</t>
  </si>
  <si>
    <t>BUREAU OF INTERNAL REVENUE - REVENUE REGION NO. 9A-CABAMIRO</t>
  </si>
  <si>
    <t>MUNICIPALITY OF PATNOÑGON, ANTIQUE</t>
  </si>
  <si>
    <t>PHILIPPINE HEALTH INSURANCE CORPORATION - REGION III</t>
  </si>
  <si>
    <t>MUNICIPALITY OF SOLSONA, ILOCOS NORTE</t>
  </si>
  <si>
    <t>MUNICIPALITY OF ALCALA, PANGASINAN</t>
  </si>
  <si>
    <t>MUNICIPALITY OF ALCANTARA, ROMBLON</t>
  </si>
  <si>
    <t>DEPARTMENT OF AGRARIAN REFORM - MAIN</t>
  </si>
  <si>
    <t>PHILIPPINE SCIENCE HIGH SCHOOL SYSTEM - QUEZON CITY METRO MA</t>
  </si>
  <si>
    <t>MUNICIPALITY OF LAMBUNAO, ILOILO</t>
  </si>
  <si>
    <t>DEPARTMENT OF PUBLIC WORKS AND HIGHWAYS - REGION III</t>
  </si>
  <si>
    <t>PHILIPPINE PORTS AUTHORITY, PMO - BATAAN/AURORA</t>
  </si>
  <si>
    <t>DEPARTMENT OF PUBLIC WORKS AND HIGHWAYS - BUKIDNON 1ST DEO</t>
  </si>
  <si>
    <t>ANGELES CITY WATER DISTRICT</t>
  </si>
  <si>
    <t>MUNICIPALITY OF MAMBUSAO, CAPIZ</t>
  </si>
  <si>
    <t>DEPARTMENT OF EDUCATION - DIVISION OF SURIGAO DEL SUR</t>
  </si>
  <si>
    <t>LUPANG PANGAKO ELEMENTARY SCHOOL</t>
  </si>
  <si>
    <t>PASSI TRADE SCHOOL</t>
  </si>
  <si>
    <t>CARAGA REGIONAL HOSPITAL</t>
  </si>
  <si>
    <t>CITY OF QUEZON</t>
  </si>
  <si>
    <t>MUNICIPALITY OF CURRIMAO, ILOCOS NORTE</t>
  </si>
  <si>
    <t>DEPARTMENT OF AGRICULTURE - MAIN</t>
  </si>
  <si>
    <t>INFANTA (QUEZON) WATER DISTRICT</t>
  </si>
  <si>
    <t>DEPARTMENT OF EDUCATION - BOGO CITY, CEBU</t>
  </si>
  <si>
    <t>BARANGAY TIMALAN BALSAHAN - NAIC CAVITE</t>
  </si>
  <si>
    <t>MUNICIPALITY OF ABORLAN, PALAWAN</t>
  </si>
  <si>
    <t>SK OF BARANGAY  POBLACION - MAKATI CITY</t>
  </si>
  <si>
    <t>CITY OF BAGUIO, BENGUET</t>
  </si>
  <si>
    <t>DEPARTMENT OF EDUCATION - DIVISION OF CALAMBA CITY</t>
  </si>
  <si>
    <t>MUNICIPALITY OF SOCORRO, ORIENTAL MINDORO</t>
  </si>
  <si>
    <t>MUNICIPALITY OF BINALONAN, PANGASINAN</t>
  </si>
  <si>
    <t>MUNICIPALITY OF NATIVIDAD -  PANGASINAN</t>
  </si>
  <si>
    <t>BARANGAY AMPARO - PATNONGON, ANTIQUE</t>
  </si>
  <si>
    <t>PHILIPPINE NATIONAL POLICE - LOGISTICS SUPPORT SERVICE</t>
  </si>
  <si>
    <t xml:space="preserve">DA - PHILIPPINE RURAL DEVELOPMENT PROJECT - PSO VISAYAS </t>
  </si>
  <si>
    <t>MUNICIPALITY OF CABUGAO, ILOCOS SUR</t>
  </si>
  <si>
    <t>109TH CONTRACTING OFFICE, AFP PROCUREMENT SERVICE</t>
  </si>
  <si>
    <t xml:space="preserve">DEPARTMENT OF EDUCATION MOUNTAIN PROVINCE - BONTOC MOUNTAIN </t>
  </si>
  <si>
    <t>CITY OF DAPITAN</t>
  </si>
  <si>
    <t>BUREAU OF FISHERIES AND AQUATIC RESOURCES</t>
  </si>
  <si>
    <t>CITY OF VALENZUELA</t>
  </si>
  <si>
    <t>DEPED-STA.ANA CENTRAL ELEMENTARY SCHOOL</t>
  </si>
  <si>
    <t>BARANGAY PAGASPAS, TANAUAN CITY</t>
  </si>
  <si>
    <t>MUNICIPALITY OF SAN JULIAN, EASTERN SAMAR</t>
  </si>
  <si>
    <t>MUNICIPALITY OF ROXAS, ISABELA</t>
  </si>
  <si>
    <t>MUNICIPALITY OF KAWAYAN, BILIRAN</t>
  </si>
  <si>
    <t>CITY OF BATAC, ILOCOS NORTE</t>
  </si>
  <si>
    <t>MUNICIPALITY OF LUBANG, OCCIDENTAL MINDORO</t>
  </si>
  <si>
    <t>SAN JOAQUIN KALAWAAN HIGH SCHOOL</t>
  </si>
  <si>
    <t>CITY OF KABANKALAN, NEGROS OCCIDENTAL</t>
  </si>
  <si>
    <t>BILIRAN PROVINCE STATE UNIVERSITY-BILIRAN CAMPUS</t>
  </si>
  <si>
    <t>MUNICIPALITY OF ASINGAN, PANGASINAN</t>
  </si>
  <si>
    <t>PHILIPPINE COCONUT AUTHORITY-REGION XI</t>
  </si>
  <si>
    <t>MUNICIPALITY OF LILOAN, CEBU</t>
  </si>
  <si>
    <t>BUREAU OF FISHERIES AND AQUATIC RESOURCES REGION 1</t>
  </si>
  <si>
    <t>RAMON MAGSAYSAY ELEMENTARY SCHOOL - SAN CARLOS CITY</t>
  </si>
  <si>
    <t>PHILIPPINE CARABAO CENTER</t>
  </si>
  <si>
    <t>DALIRIG ELEMENTARY SCHOOL</t>
  </si>
  <si>
    <t>408TH CONTRACTING OFFICE, AFP PROCUREMENT SERVICE</t>
  </si>
  <si>
    <t>MUNICIPALITY OF PITOGO, ZAMBOANGA DEL SUR</t>
  </si>
  <si>
    <t>DEPARTMENT OF PUBLIC WORKS AND HIGHWAYS - QUEZON 2ND ED</t>
  </si>
  <si>
    <t>BARANGAY POBLACION IV - TANAUAN CITY</t>
  </si>
  <si>
    <t>MUNICIPALITY OF SAN JOAQUIN, ILOILO</t>
  </si>
  <si>
    <t>DEPARTMENT OF ENVIRONMENT AND NATURAL RESOURCES-10</t>
  </si>
  <si>
    <t>CLAVERIA WATER DISTRICT</t>
  </si>
  <si>
    <t>DAMPOL 2ND NATIONAL HIGH SCHOOL</t>
  </si>
  <si>
    <t>MUNICIPALITY OF BULAN, SORSOGON</t>
  </si>
  <si>
    <t xml:space="preserve">DEPARTMENT OF PUBLIC WORKS AND HIGHWAYS - ZAMBOANGA SIBUGAY </t>
  </si>
  <si>
    <t>COUNCIL FOR THE WELFARE OF CHILDREN, DSWD</t>
  </si>
  <si>
    <t>MUNICIPALITY OF MABITAC, LAGUNA</t>
  </si>
  <si>
    <t>BARANGAY ORAS, TABACO CITY</t>
  </si>
  <si>
    <t>AGRICULTURAL TRAINING INSTITUTE - REGION I</t>
  </si>
  <si>
    <t>405TH CONTRACTING OFFICE, AFP PROCUREMENT SERVICE</t>
  </si>
  <si>
    <t>BARANGAY POBLACION, TOLOSA, LEYTE</t>
  </si>
  <si>
    <t>CAMBA NATIONAL HIGH SCHOOL</t>
  </si>
  <si>
    <t>BARANGAY CONGAN, GLAN, SARANGANI PROVINCE</t>
  </si>
  <si>
    <t>MUNICIPALITY OF SAN FERNANDO, BUKIDNON</t>
  </si>
  <si>
    <t>MUNICIPALITY OF SAN ISIDRO, LEYTE</t>
  </si>
  <si>
    <t>KALANGANAN ELEMENTARY SCHOOL - BAUNGON BUKIDNON</t>
  </si>
  <si>
    <t>BARANGAY MALINAO, NAGCARLAN, LAGUNA</t>
  </si>
  <si>
    <t>LUIS HORA MEMORIAL REGIONAL HOSPITAL</t>
  </si>
  <si>
    <t>NORTHERN ILOILO POLYTECHNIC STATE COLLEGE</t>
  </si>
  <si>
    <t>DEPARTMENT OF PUBLIC WORKS AND HIGHWAYS - PANGASINAN 3RD DEO</t>
  </si>
  <si>
    <t>104TH CONTRACTING OFFICE, AFP PROCUREMENT SERVICE</t>
  </si>
  <si>
    <t>PROVINCE OF ZAMBALES</t>
  </si>
  <si>
    <t xml:space="preserve">DEPARTMENT OF AGRARIAN REFORM - PROVINCIAL OFFICE DAVAO DEL </t>
  </si>
  <si>
    <t>DEPARTMENT OF TRADE AND INDUSTRY - IFUGAO</t>
  </si>
  <si>
    <t>403RD CONTRACTING OFFICE, AFP PROCUREMENT SERVICE</t>
  </si>
  <si>
    <t>DEPARTMENT OF HEALTH - CHD, ZAMBOANGA PENINSULA</t>
  </si>
  <si>
    <t>DR. VICENTE F. GUSTILO MEMORIAL NATIONAL HIGH SCHOOL</t>
  </si>
  <si>
    <t>MUNICIPALITY OF MABALACAT, PAMPANGA</t>
  </si>
  <si>
    <t>MUNICIPALITY OF CALACA, BATANGAS</t>
  </si>
  <si>
    <t>MOUNTAIN PROVINCE STATE POLYTECHNIC COLLEGE</t>
  </si>
  <si>
    <t>HOME DEVELOPMENT MUTUAL FUND - REGION VII</t>
  </si>
  <si>
    <t>BUREAU OF INTERNAL REVENUE - REVENUE REGION NO. 19</t>
  </si>
  <si>
    <t>PHILIPPINE NATIONAL POLICE - HEALTH SERVICE</t>
  </si>
  <si>
    <t>DEPARTMENT OF EDUCATION - DIVISION OF SAN PABLO CITY</t>
  </si>
  <si>
    <t>LOPEZ WATER DISTRICT</t>
  </si>
  <si>
    <t>BANGKO SENTRAL NG PILIPINAS (SECURITY PLANT COMPLEX) - QUEZO</t>
  </si>
  <si>
    <t>DEPARTMENT OF PUBLIC WORKS AND HIGHWAYS - ILOILO 2ND DISTRIC</t>
  </si>
  <si>
    <t>KATIPUNAN NATIONAL HIGH SCHOOL</t>
  </si>
  <si>
    <t>DEPARTMENT OF NATIONAL DEFENSE - GOVERNMENT ARSENAL, BATAAN</t>
  </si>
  <si>
    <t>MUNICIPALITY OF ABULUG, CAGAYAN</t>
  </si>
  <si>
    <t>E. RODRIGUEZ VOCATIONAL HIGH SCHOOL</t>
  </si>
  <si>
    <t>MUNICIPALITY OF STA. CATALINA, NEGROS ORIENTAL</t>
  </si>
  <si>
    <t>DEPARTMENT OF ENVIRONMENT AND NATURAL RESOURCES - MAIN</t>
  </si>
  <si>
    <t>DEPARTMENT OF PUBLIC WORKS AND HIGHWAYS - SOUTHERN LEYTE DEO</t>
  </si>
  <si>
    <t>NATIONAL IRRIGATION ADMINISTRATION - IMO DAVAO DEL SUR</t>
  </si>
  <si>
    <t>MINISTRY OF THE INTERIOR AND LOCAL GOVERNMENT - BARMM</t>
  </si>
  <si>
    <t>DEPARTMENT OF EDUCATION - DIVISION OF PANGASINAN II</t>
  </si>
  <si>
    <t>LABUAN GENERAL HOSPITAL</t>
  </si>
  <si>
    <t>DEPED-STO. TOMAS HIGH SCHOOL</t>
  </si>
  <si>
    <t>MUNICIPALITY OF SAN JUAN, SIQUIJOR</t>
  </si>
  <si>
    <t>DEPARTMENT OF SCIENCE AND TECHNOLOGY - REGION IX</t>
  </si>
  <si>
    <t>BARANGAY SAN FRANCISCO NABUA CAMARINES SUR</t>
  </si>
  <si>
    <t>DEPARTMENT OF BUDGET AND MANAGEMENT</t>
  </si>
  <si>
    <t>MUNICIPALITY OF MAMBAJAO, CAMIGUIN</t>
  </si>
  <si>
    <t>CANDABA WATER DISTRICT</t>
  </si>
  <si>
    <t>BARANGAY FORTALIZA, TUBURAN, CEBU</t>
  </si>
  <si>
    <t>MUNICIPALITY OF SAN CLEMENTE, TARLAC</t>
  </si>
  <si>
    <t>DEPED-ROVI-DIVISION OF AKLAN</t>
  </si>
  <si>
    <t>DEPARTMENT OF AGRARIAN REFORM - BASCO, BATANES</t>
  </si>
  <si>
    <t>DEPARTMENT OF ENVIRONMENT AND NATURAL RES. - PENRO, MT. PROV</t>
  </si>
  <si>
    <t>202ND CONTRACTING OFFICE, AFP PROCUREMENT SERVICE</t>
  </si>
  <si>
    <t>VISAYAS STATE UNIVERSITY - MAIN CAMPUS</t>
  </si>
  <si>
    <t>MUNICIPALITY OF TUBA, BENGUET</t>
  </si>
  <si>
    <t>PALOMPON INSTITUTE OF TECHNOLOGY - TABANGO CAMPUS</t>
  </si>
  <si>
    <t>MUNICIPALITY OF POTOTAN, ILOILO</t>
  </si>
  <si>
    <t>METROPOLITAN TUGUEGARAO WATER DISTRICT</t>
  </si>
  <si>
    <t>MUNICIPALITY OF SAN JOSE, OCCIDENTAL MINDORO</t>
  </si>
  <si>
    <t>MUNICIPALITY OF AMULUNG, CAGAYAN</t>
  </si>
  <si>
    <t>MUNICIPALITY OF ARINGAY, LA UNION</t>
  </si>
  <si>
    <t>CAPIZ STATE UNIVERSITY - CENTRAL ADMINISTRATION</t>
  </si>
  <si>
    <t>MUNICIPALITY OF KAPANGAN, BENGUET</t>
  </si>
  <si>
    <t>TESDA PROVINCIAL TRAINING CENTER - GUINOBATAN</t>
  </si>
  <si>
    <t>DEPARTMENT OF EDUCATION - SCHOOLS DIVISION OF CITY OF MEYCAU</t>
  </si>
  <si>
    <t>AURORA PACIFIC ECONOMIC ZONE AND FREEPORT AUTHORITY</t>
  </si>
  <si>
    <t>MUNICIPALITY OF JANIUAY, ILOILO</t>
  </si>
  <si>
    <t>MUNICIPALITY OF STO. DOMINGO, ALBAY</t>
  </si>
  <si>
    <t>DEPARTMENT OF ENVIRONMENT AND NATURAL RESOURCES - RIV-A</t>
  </si>
  <si>
    <t>DEPARTMENT OF EDUCATION - DIVISION OF SAMAR</t>
  </si>
  <si>
    <t>MUNICIPALITY OF BATO, LEYTE</t>
  </si>
  <si>
    <t>BUREAU OF INTERNAL REVENUE, REVENUE REGION NO. 7B EAST NCR</t>
  </si>
  <si>
    <t>NARVACAN WATER DISTRICT</t>
  </si>
  <si>
    <t>PROVINCE OF ANTIQUE</t>
  </si>
  <si>
    <t>BONTONGON ELEMENTARY SCHOOL - IMPASUG-ONG BUKIDNON</t>
  </si>
  <si>
    <t>BARANGAY STA.CRUZ, MAKATI CITY</t>
  </si>
  <si>
    <t>DEPARTMENT OF JUSTICE - MAIN</t>
  </si>
  <si>
    <t>DEPARTMENT OF EDUCATION - SCHOOLS DIVISION OF SORSOGON PROVI</t>
  </si>
  <si>
    <t>BARANGAY TABLON, OAS, ALBAY</t>
  </si>
  <si>
    <t>BARANGAY SAN LORENZO, SAN PABLO CITY, LAGUNA</t>
  </si>
  <si>
    <t>BARANGAY DAMACAN, BACACAY, AL BAY</t>
  </si>
  <si>
    <t>TAYAP ELEMENTARY SCHOOL</t>
  </si>
  <si>
    <t xml:space="preserve">DEPARTMENT OF AGRARIAN REFORM - NEGROS OCCIDENTAL 1 </t>
  </si>
  <si>
    <t>NORTHWESTERN MINDANAO STATE COLLEGE OF SCIENCE &amp; TECHNOLOGY</t>
  </si>
  <si>
    <t>TOURISM PROMOTIONS BOARD</t>
  </si>
  <si>
    <t>PHILIPPINE STATISTICS AUTHORITY - REGION IV-B</t>
  </si>
  <si>
    <t>MUNICIPALITY OF FAMY, LAGUNA</t>
  </si>
  <si>
    <t>MUNICIPALITY OF PLACER, MASBATE</t>
  </si>
  <si>
    <t>BARANGAY SAN ANDRES - ALAMINOS, LAGUNA</t>
  </si>
  <si>
    <t>BUREAU OF PLANT INDUSTRY - REGION X</t>
  </si>
  <si>
    <t>MUNICIPALITY OF SAN NARCISO, QUEZON</t>
  </si>
  <si>
    <t>BARANGAY POBLACION A - TAYUG PANGASINAN</t>
  </si>
  <si>
    <t>MUNICIPALITY OF STA. RITA, WESTERN SAMAR</t>
  </si>
  <si>
    <t>PRESIDENTIAL BROADCAST STAFF ,RTVM</t>
  </si>
  <si>
    <t>BARANGAY SAN TEODORO, MABINI, BATANGAS</t>
  </si>
  <si>
    <t>PONTEVEDRA NORTH ELEMENTARY SCHOOL, PONTEVEDRA II, NEGROS OC</t>
  </si>
  <si>
    <t>MUNICIPALITY OF SAN ROQUE - NORTHERN SAMAR</t>
  </si>
  <si>
    <t>DEPARTMENT OF EDUCATION - REGION VII</t>
  </si>
  <si>
    <t>DEPARTMENT OF EDUCATION - REGION V</t>
  </si>
  <si>
    <t>MUNICIPALITY OF CALAUAG, QUEZON</t>
  </si>
  <si>
    <t>MUNICIPALITY OF CORON, PALAWAN</t>
  </si>
  <si>
    <t>DEPARTMENT OF AGRICULTURE - REGION V</t>
  </si>
  <si>
    <t>BARANGAY CALICANTO, BATANGAS CITY, BATANGAS</t>
  </si>
  <si>
    <t>BARANGAY USUSAN, TAGUIG CITY</t>
  </si>
  <si>
    <t>DEPARTMENT OF EDUCATION - DIVISION OF NAGA CITY</t>
  </si>
  <si>
    <t>PHILIPPINE SCIENCE HIGH SCHOOL - CALABARZON REGION CAMPUS</t>
  </si>
  <si>
    <t>BARANGAY CAMOBOAN, TABOGON, CEBU</t>
  </si>
  <si>
    <t>DEPARTMENT OF EDUCATION - DIVISION OF CAMARINES NORTE</t>
  </si>
  <si>
    <t>BARANGAY ANILAO, BONGABONG, ORIENTAL MINDORO</t>
  </si>
  <si>
    <t>CITY OF IRIGA</t>
  </si>
  <si>
    <t>BUREAU OF CUSTOMS</t>
  </si>
  <si>
    <t>NEWTON JISON ELEMENTARY SCHOOL - BAGO CITY</t>
  </si>
  <si>
    <t>BARANGAY VII-C, SAN PABLO CITY</t>
  </si>
  <si>
    <t>MUNICIPALITY OF BUGUIAS, BENGUET</t>
  </si>
  <si>
    <t>MUNICIPALITY OF LINAMON, LANAO DEL NORTE</t>
  </si>
  <si>
    <t>ISABELO DELOS REYES ELEMENTARY SCHOOL</t>
  </si>
  <si>
    <t>BARANGAY RIZAL POBLACION, BANGA, SOUTH COTABATO</t>
  </si>
  <si>
    <t>MINDORO STATE COLLEGE OF AGRICULTURE AND TECHNOLOGY</t>
  </si>
  <si>
    <t>DEPARTMENT OF HEALTH - MAIN</t>
  </si>
  <si>
    <t>NATIONAL IRRIGATION ADMINISTRATION - CENTRAL OFFICE</t>
  </si>
  <si>
    <t>PEDRO 'OLOY' N. ROA SR. HIGH SCHOOL</t>
  </si>
  <si>
    <t>BARANGAY GARITA B MARAGONDON CAVITE</t>
  </si>
  <si>
    <t>MUNICIPALITY OF MALLIG, ISABELA</t>
  </si>
  <si>
    <t>MUNICIPALITY OF SABLAYAN, OCCIDENTAL MINDORO</t>
  </si>
  <si>
    <t>OFFICE OF THE VICE-PRESIDENT OF THE PHILIPPINES</t>
  </si>
  <si>
    <t>BARANGAY MAGALLANES, LOPEZ, QUEZON</t>
  </si>
  <si>
    <t>DEPARTMENT OF AGRICULTURE - REGION XI</t>
  </si>
  <si>
    <t>BARANGAY PULOSAHI, BONGABONG, ORIENTAL MINDORO</t>
  </si>
  <si>
    <t>BARANGAY BAGUMBAYAN - TIGBAUAN ILOILO</t>
  </si>
  <si>
    <t>CITY OF NAGA, CEBU</t>
  </si>
  <si>
    <t>DEPARTMENT OF SOCIAL WELFARE AND DEVELOPMENT - REGION IX</t>
  </si>
  <si>
    <t>NATIONAL IRRIGATION ADMINISTRATION REGION 7</t>
  </si>
  <si>
    <t>BARANGAY 9 POBLACION - TIGBAUAN ILOILO</t>
  </si>
  <si>
    <t>POLOPANGYAN ELEMENTARY SCHOOL</t>
  </si>
  <si>
    <t>ENERGY REGULATORY COMMISSION</t>
  </si>
  <si>
    <t>BARANGAY MASISIT SANCHEZ MIRA CAGAYAN</t>
  </si>
  <si>
    <t>MUNICIPALITY OF BALAYAN, BATANGAS</t>
  </si>
  <si>
    <t>MUNICIPALITY OF SULOP, DAVAO DEL SUR</t>
  </si>
  <si>
    <t>CITY OF CALOOCAN</t>
  </si>
  <si>
    <t>METRO MANILA DEVELOPMENT AUTHORITY</t>
  </si>
  <si>
    <t>MUNICIPALITY OF BENITO SOLIVEN, ISABELA</t>
  </si>
  <si>
    <t>MUNICIPALITY OF BASEY, SAMAR</t>
  </si>
  <si>
    <t>BARANGAY NALASIN, SOLSONA, ILOCOS NORTE</t>
  </si>
  <si>
    <t>NATIONAL FOOD AUTHORITY - PALAWAN PROVINCIAL OFFICE</t>
  </si>
  <si>
    <t>PHILIPPINE OVERSEAS EMPLOYMENT ADMINISTRATION</t>
  </si>
  <si>
    <t>MUNICIPALITY OF ESPERANZA, MASBATE</t>
  </si>
  <si>
    <t>MUNICIPALITY OF SAN ISIDRO, DAVAO ORIENTAL</t>
  </si>
  <si>
    <t>COMMISSION ON HUMAN RIGHTS</t>
  </si>
  <si>
    <t>BARANGAY STA. LUCIA - PASIG CITY</t>
  </si>
  <si>
    <t>NATIONAL POWER CORPORATION</t>
  </si>
  <si>
    <t>BARANGAY PORO - SAN FERNANDO CITY, LA UNION</t>
  </si>
  <si>
    <t>BICOL UNIVERSITY</t>
  </si>
  <si>
    <t>MUNICIPALITY OF CLAVERIA, CAGAYAN</t>
  </si>
  <si>
    <t>DEPARTMENT OF EDUCATION - SCHOOLS DIVISION OF MABALACAT CITY</t>
  </si>
  <si>
    <t>ODIONG ELEMENTARY SCHOOL LA CASTELLANA II</t>
  </si>
  <si>
    <t>BARANGAY CENTRAL SIGNAL VILLAGE -TAGUIG CITY</t>
  </si>
  <si>
    <t>MINISTRY OF AGRICULTURE, FISHERIES AND AGRARIAN REFORM - COT</t>
  </si>
  <si>
    <t>APLAYA ELEMENTARY SCHOOL</t>
  </si>
  <si>
    <t>MUNICIPALITY OF LIANGA, SURIGAO DEL SUR</t>
  </si>
  <si>
    <t>NATIONAL HOME MORTGAGE FINANCE CORPORATION</t>
  </si>
  <si>
    <t>BARANGAY MACAAS,	TUBIGON, BOHOL</t>
  </si>
  <si>
    <t>BARANGAY BOSONGON, TUBIGON, BOHOL</t>
  </si>
  <si>
    <t>DEPARTMENT OF EDUCATION - DIVISION OF PAGADIAN CITY</t>
  </si>
  <si>
    <t>PROFESSIONAL REGULATION COMMISSION</t>
  </si>
  <si>
    <t>MUNICIPALITY OF PASUQUIN, ILOCOS NORTE</t>
  </si>
  <si>
    <t>AGRICULTURAL TRAINING INSTITUTE- REGIONAL TRAINING CENTER 6</t>
  </si>
  <si>
    <t>TAYSAN NATIONAL HIGH SCHOOL (DEP-ED)</t>
  </si>
  <si>
    <t>BARANGAY CARUSIKIS, PASUQUIN, ILOCOS NORTE</t>
  </si>
  <si>
    <t>BARANGAY POBLACION, ANTIPAS, COTABATO</t>
  </si>
  <si>
    <t>BARANGAY 12 PUYUPUYAN, PASUQUIN, ILOCOS NORTE</t>
  </si>
  <si>
    <t>BUREAU OF FISHERIES AND AQUATIC RESOURCES - REGION VI</t>
  </si>
  <si>
    <t>MUNICIPALITY OF PANDAN , CATANDUANES</t>
  </si>
  <si>
    <t xml:space="preserve">DEPARTMENT OF JUSTICE - OFFICE OF THE REGIONAL PROSECUTOR - </t>
  </si>
  <si>
    <t>PROVINCE OF NUEVA ECIJA</t>
  </si>
  <si>
    <t>PEDRO OLOY N. ROA SR. ELEMENTARY SCHOOL</t>
  </si>
  <si>
    <t>NAGPAYONG HIGH SCHOOL</t>
  </si>
  <si>
    <t>CITY OF ANGELES, PAMPANGA</t>
  </si>
  <si>
    <t>DEPARTMENT OF THE INTERIOR AND LOCAL GOVERNMENT - MAIN</t>
  </si>
  <si>
    <t>BARANGAY JULUGAN V - TANZA CAVITE</t>
  </si>
  <si>
    <t>PHILIPPINE STATISTICS AUTHORITY - REGION VII</t>
  </si>
  <si>
    <t>MUNICIPALITY OF LAPINIG, NORTHERN SAMAR</t>
  </si>
  <si>
    <t>BARANGAY EASTERN, HILONGOS, LEYTE</t>
  </si>
  <si>
    <t>MUNICIPALITY OF MAGDIWANG, ROMBLON</t>
  </si>
  <si>
    <t>UNIVERSITY OF THE PHILIPPINES - DILIMAN</t>
  </si>
  <si>
    <t>LUMBIA ELEMENTARY SCHOOL - CAUAYAN NEGROS OCCIDENTAL</t>
  </si>
  <si>
    <t>PROVINCE OF TARLAC</t>
  </si>
  <si>
    <t>PATPAT ELEMENTARY SCHOOL - BAUNGON BUKIDNON</t>
  </si>
  <si>
    <t>MAYPAJO HIGH SCHOOL</t>
  </si>
  <si>
    <t>DEPARTMENT OF EDUCATION - DIVISION OF LAPU-LAPU CITY</t>
  </si>
  <si>
    <t>PROVINCIAL GOVERNMENT OF MASBATE</t>
  </si>
  <si>
    <t>MUNICIPALITY OF BURGOS, LA UNION</t>
  </si>
  <si>
    <t>MUNICIPALITY OF SAN JUAN, BATANGAS</t>
  </si>
  <si>
    <t>PHILIPPINE NAVY PROCUREMENT CENTER, AFP PROCUREMENT SERVICE</t>
  </si>
  <si>
    <t>BARANGAY IBABANG IYAM, LUCENA CITY</t>
  </si>
  <si>
    <t>PROVINCE OF CAVITE</t>
  </si>
  <si>
    <t>AYUNGON ELEMENTARY SCHOOL - VALLADOLID NEGROS OCCIDENTAL</t>
  </si>
  <si>
    <t>PHILIPPINE PORTS AUTHORITY - REGION VIII</t>
  </si>
  <si>
    <t>PHILIPPINE HEALTH INSURANCE CORPORATION - REGION VI</t>
  </si>
  <si>
    <t>DEPARTMENT OF FINANCE - MAIN</t>
  </si>
  <si>
    <t>MUNICIPALITY OF LUBUAGAN, KALINGA</t>
  </si>
  <si>
    <t>MUNICIPALITY OF STA. MAGDALENA, SORSOGON</t>
  </si>
  <si>
    <t>BAUNGON NATIONAL HIGH SCHOOL</t>
  </si>
  <si>
    <t>PROVINCE OF DAVAO OCCIDENTAL</t>
  </si>
  <si>
    <t>MUNICIPALITY OF TRENTO, AGUSAN DEL SUR</t>
  </si>
  <si>
    <t>BARANGAY TIBAL-OG, STO.TOMAS, DAVAO</t>
  </si>
  <si>
    <t>GUILANG-GUILANG INTEGRATED SCHOOL - MANOLO FORTICH BUKIDNON</t>
  </si>
  <si>
    <t>MUNICIPALITY OF SAN FERNANDO, CAMARINES SUR</t>
  </si>
  <si>
    <t>MUNICIPALITY OF PAGBILAO, QUEZON</t>
  </si>
  <si>
    <t>MUNICIPALITY OF SURALLAH, SOUTH COTABATO</t>
  </si>
  <si>
    <t>ARAYAT CENTRAL ELEMENTARY SCHOOL</t>
  </si>
  <si>
    <t>BARANGAY ABUNDA - MAGSAYSAY MISAMIS ORIENTAL</t>
  </si>
  <si>
    <t>CITY GOVERNMENT OF NAVOTAS</t>
  </si>
  <si>
    <t>MUNICIPALITY OF CALINOG, ILOILO</t>
  </si>
  <si>
    <t>EULOGIO "AMANG" RODRIGUEZ INSTITUTE OF SCIENCE AND TECH.</t>
  </si>
  <si>
    <t>BARANGAY HABINGAN, ATIMONAN,QUEZON</t>
  </si>
  <si>
    <t xml:space="preserve">DEPARTMENT OF PUBLIC WORKS AND HIGHWAYS - SURIGAO DEL NORTE </t>
  </si>
  <si>
    <t>KIDAPAWAN CITY NATIONAL HIGH SCHOOL</t>
  </si>
  <si>
    <t>DEPARTMENT OF AGRICULTURE - REGION I</t>
  </si>
  <si>
    <t>CAGAYAN DE ORO CITY WATER DISTRICT</t>
  </si>
  <si>
    <t>TALISAY WATER DISTRICT</t>
  </si>
  <si>
    <t>DEPARTMENT OF TOURISM - REGION VII</t>
  </si>
  <si>
    <t>MUNICIPALITY OF VINCENZO SAGUN, ZAMBOANGA DEL SUR</t>
  </si>
  <si>
    <t>MUNICIPALITY OF BATO, CATANDUANES</t>
  </si>
  <si>
    <t>CITY  OF CALBAYOG, SAMAR</t>
  </si>
  <si>
    <t>PHIVIDEC INDUSTRIAL AUTHORITY, DND</t>
  </si>
  <si>
    <t>MUNICIPALITY OF VALENCIA, NEGROS ORIENTAL</t>
  </si>
  <si>
    <t>MUNICIPALITY OF MACABEBE, PAMPANGA</t>
  </si>
  <si>
    <t>MUNICIPALITY OF SANTA CRUZ, LAGUNA</t>
  </si>
  <si>
    <t>MUNICIPAL GOVERNMENT OF ATOK, BENGUET</t>
  </si>
  <si>
    <t>MUNICIPALITY OF NAIC, CAVITE</t>
  </si>
  <si>
    <t>MUNICIPALITY OF BASUD, CAMARINES NORTE</t>
  </si>
  <si>
    <t>DEPARTMENT OF EDUCATION - DIVISION OF LEYTE</t>
  </si>
  <si>
    <t>PHILIPPINE NORMAL UNIVERSITY - ISABELA CAMPUS</t>
  </si>
  <si>
    <t>CITY OF SAN CARLOS, NEGROS OCCIDENTAL</t>
  </si>
  <si>
    <t>CITY OF BATANGAS, BATANGAS</t>
  </si>
  <si>
    <t>BARANGAY STO. TOMAS - MUTIA ZAMBOANGA DEL NORTE</t>
  </si>
  <si>
    <t>BARANGAY DUMMUN, GATTARAN, CAGAYAN</t>
  </si>
  <si>
    <t>BARANGAY PIÑA ESTE, GATTARAN, CAGAYAN</t>
  </si>
  <si>
    <t>BARANGAY CENTO SUR GATTARAN CAGAYAN</t>
  </si>
  <si>
    <t>MUNICIPALITY OF LAS NIEVES , AGUSAN DEL NORTE</t>
  </si>
  <si>
    <t>MUNICIPALITY OF CORCUERA, ROMBLON</t>
  </si>
  <si>
    <t>ZAMBOANGA STATE COLLEGE OF MARINE SCIENCES AND TECHNOLOGY</t>
  </si>
  <si>
    <t>MUNICIPALITY OF BINGAWAN, ILOILO</t>
  </si>
  <si>
    <t>DEPARTMENT OF ENVIRONMENT AND NATURAL RES. - PENRO, BILIRAN</t>
  </si>
  <si>
    <t>NATIONAL IRRIGATION ADMINISTRATION - UPRIIS, DIVISION 5</t>
  </si>
  <si>
    <t>MUNICIPALITY OF DIMATALING, ZAMBOANGA DEL SUR</t>
  </si>
  <si>
    <t>BARANGAY ESTADO NATIONAL HIGH SCHOOL - VICTORIAS CITY NEGROS</t>
  </si>
  <si>
    <t>BARANGAY BANTUD FABRICA, DUMANGAS, ILOILO</t>
  </si>
  <si>
    <t>DEPARTMENT OF PUBLIC WORKS AND HIGHWAYS - BUKIDNON 3RD DEO</t>
  </si>
  <si>
    <t>BARANGAY 6, LUCBAN, QUEZON</t>
  </si>
  <si>
    <t>BARANGAY MALIGAYA, LEMERY, BATANGAS</t>
  </si>
  <si>
    <t>STOP AGUINALDO ELEM SCHOOL</t>
  </si>
  <si>
    <t>VICENTE SOTTO MEMORIAL MEDICAL CENTER - REGION VII</t>
  </si>
  <si>
    <t>PUNTIAN ELEMENTARY SCHOOL</t>
  </si>
  <si>
    <t>FOOD AND DRUG ADMINISTRATION</t>
  </si>
  <si>
    <t>MUNICIPALITY OF UNISAN, QUEZON</t>
  </si>
  <si>
    <t>BARANGAY LANAO PILAR CEBU</t>
  </si>
  <si>
    <t>BARANGAY AMPUCAO, ITOGON, BENGUET</t>
  </si>
  <si>
    <t>WESTERN BICUTAN NATIONAL HIGH SCHOOL</t>
  </si>
  <si>
    <t>BARANGAY MAGUIHAN, LEMERY, BATANGAS</t>
  </si>
  <si>
    <t>CIVIL AVIATION AUTHORITY OF THE PHILIPPINES - ILOILO AIRPORT</t>
  </si>
  <si>
    <t>BARANGAY BAGONG POOK, SAN JOSE, BATANGAS</t>
  </si>
  <si>
    <t>NATIONAL POWER CORPORATION - MINDANAO GENERATION</t>
  </si>
  <si>
    <t>WEST KIBAWE ELEMENTARY SCHOOL</t>
  </si>
  <si>
    <t>MUNICIPALITY OF MATALAM, COTABATO</t>
  </si>
  <si>
    <t>PROVINCIAL GOVERNMENT OF CAMARINES NORTE</t>
  </si>
  <si>
    <t>MUNICIPALITY OF POLANCO, ZAMBOANGA DEL NORTE</t>
  </si>
  <si>
    <t>PHILIPPINE NATIONAL VOLUNTEER SERVICE COORDINATING AGENCY</t>
  </si>
  <si>
    <t>DEPARTMENT OF EDUCATION - DIVISION OF VALENCIA CITY</t>
  </si>
  <si>
    <t>MUNICIPALITY OF GEN. MAMERTO NATIVIDAD, NUEVA ECIJA</t>
  </si>
  <si>
    <t>MUNICIPALITY OF MAGALLANES, SORSOGON</t>
  </si>
  <si>
    <t>BARANGAY BIABAS,UBAY,BOHOL</t>
  </si>
  <si>
    <t>JOSE R. REYES MEMORIAL MEDICAL CENTER</t>
  </si>
  <si>
    <t>DEPARTMENT OF EDUCATION - DIVISION OF BENGUET</t>
  </si>
  <si>
    <t>BARANGAY PICO LA TRINIDAD BENGUET</t>
  </si>
  <si>
    <t>MUNICIPALITY OF MOISES PADILLA, NEGROS OCCIDENTAL</t>
  </si>
  <si>
    <t>MUNICIPALITY OF LIBONA, BUKIDNON</t>
  </si>
  <si>
    <t>BINALONAN WATER DISTRICT</t>
  </si>
  <si>
    <t xml:space="preserve">DEPARTMENT OF EDUCATION, DIVISION OF DAVAO DEL SUR </t>
  </si>
  <si>
    <t>BATANES STATE COLLEGE</t>
  </si>
  <si>
    <t>BIDS AND AWARDS COMMITTEE - MUNICIPALITY OF CALATRAVA</t>
  </si>
  <si>
    <t>BATANGAS STATE UNIVERSITY</t>
  </si>
  <si>
    <t>BARANGAY DISTRICT IV, LEMERY, BATANGAS</t>
  </si>
  <si>
    <t>BARANGAY BAGACAY WEST, LA PAZ, LEYTE</t>
  </si>
  <si>
    <t>MUNICIPALITY OF BALIGUIAN, ZAMBOANGA DEL NORTE</t>
  </si>
  <si>
    <t>BARANGAY BARAOAS SUR, NAGUILIAN, LA UNION</t>
  </si>
  <si>
    <t>DBP LEASING CORPORATION</t>
  </si>
  <si>
    <t>INTERCOUNTRY ADOPTION BOARD</t>
  </si>
  <si>
    <t>MUNICIPALITY OF SAMAL, BATAAN</t>
  </si>
  <si>
    <t>MUNICIPALITY OF MALAPATAN, SARANGANI</t>
  </si>
  <si>
    <t>BARANGAY POBLACION 1, PURA, TARLAC</t>
  </si>
  <si>
    <t>NATIONAL IRRIGATION ADMINISTRATION - REGION IX</t>
  </si>
  <si>
    <t>PHILIPPINE HEALTH INSURANCE CORPORATION - REGION - IV A</t>
  </si>
  <si>
    <t>BARANGAY LABAO, LIBMANAN, CAMARINES SUR</t>
  </si>
  <si>
    <t>NATIONAL IRRIGATION ADMINISTRATION - MALITUBOG-MARIDAGAO IRR</t>
  </si>
  <si>
    <t>CITY OF TANJAY, NEGROS ORIENTAL</t>
  </si>
  <si>
    <t>BARANGAY MABATO, ROSARIO, BATANGAS</t>
  </si>
  <si>
    <t>MUNICIPALITY OF MALABUYOC, CEBU</t>
  </si>
  <si>
    <t>CITY OF GAPAN, NUEVA ECIJA</t>
  </si>
  <si>
    <t>MUNICIPALITY OF NEW LUCENA, ILOILO</t>
  </si>
  <si>
    <t>BARANGAY MIJARES - DIPACULAO AURORA</t>
  </si>
  <si>
    <t>LAND BANK OF THE PHILIPPINES - REGION X</t>
  </si>
  <si>
    <t>BARANGAY CARANAN - PASACAO, CAMARINES SUR</t>
  </si>
  <si>
    <t>BARANGAY POBLACION, BINMALEY, PANGASINAN</t>
  </si>
  <si>
    <t>MUNICIPALITY OF TAYTAY, PALAWAN</t>
  </si>
  <si>
    <t>CITY OF PAGADIAN, ZAMBOANGA DEL SUR</t>
  </si>
  <si>
    <t>MARIANO MARCOS MEMORIAL HOSPITAL AND MEDICAL CENTER</t>
  </si>
  <si>
    <t>MUNICIPALITY OF TUBUNGAN, ILOILO</t>
  </si>
  <si>
    <t>MUNICIPALITY OF SAN AGUSTIN, ISABELA</t>
  </si>
  <si>
    <t>MUNICIPALITY OF LAUREL, BATANGAS</t>
  </si>
  <si>
    <t>MUNICIPALITY OF GUBAT, SORSOGON</t>
  </si>
  <si>
    <t>MUNICIPALITY OF ANTIPAS, COTABATO</t>
  </si>
  <si>
    <t>MUNICIPALITY OF SAN MARCELINO, ZAMBALES</t>
  </si>
  <si>
    <t>MUNICIPALITY OF TALISAY, CAMARINES NORTE</t>
  </si>
  <si>
    <t>BUREAU OF ANIMAL INDUSTRY, DA</t>
  </si>
  <si>
    <t>PROVINCE OF DAVAO ORIENTAL</t>
  </si>
  <si>
    <t>BALANDRA ELEMENTARY SCHOOL</t>
  </si>
  <si>
    <t>MUNICIPALITY OF CAMALIGAN, CAMARINES SUR</t>
  </si>
  <si>
    <t>JOSE ZAVALLA MEMORIAL ELEMENTARY SCHOOL</t>
  </si>
  <si>
    <t>AGRICULTURAL TRAINING INSTITUTE - REGION IV-B</t>
  </si>
  <si>
    <t>DEPARTMENT OF EDUCATION - BISLIG CITY DIVISION</t>
  </si>
  <si>
    <t>MUNICIPALITY OF DOÑA REMEDIOS TRINIDAD, BULACAN</t>
  </si>
  <si>
    <t>BARANGAY UGONG, PASIG CITY</t>
  </si>
  <si>
    <t>BARANGAY MALAYA, NAGCARLAN, LAGUNA</t>
  </si>
  <si>
    <t>MUNICIPALITY OF HERNANI, EASTERN SAMAR</t>
  </si>
  <si>
    <t>BARANGAY SABANG, NAGA CITY</t>
  </si>
  <si>
    <t>NORTHERN MINDANAO MEDICAL CENTER</t>
  </si>
  <si>
    <t>BARANGAY ANGANG - TUAO CAGAYAN</t>
  </si>
  <si>
    <t>MUNICIPALITY OF CLAVER, SURIGAO DEL NORTE</t>
  </si>
  <si>
    <t>BARANGAY LIBAS, CATBALOGAN, SAMAR</t>
  </si>
  <si>
    <t>ENVIRONMENTAL MANAGEMENT BUREAU - REGION VIII</t>
  </si>
  <si>
    <t>BARANGAY TIGBAWAN II MALITBOG SOUTHERN LEYTE</t>
  </si>
  <si>
    <t>NATIONAL IRRIGATION ADMINISTRATION - NVIMO</t>
  </si>
  <si>
    <t>DEPARTMENT OF EDUCATION - DIVISION OF MISAMIS ORIENTAL</t>
  </si>
  <si>
    <t>MINISTRY OF BASIC HIGHER AND TECHNICAL EDUCATION -  BARMM</t>
  </si>
  <si>
    <t>DEPARTMENT OF EDUCATION - SCHOOLS DIVISION OF TANDAG CITY</t>
  </si>
  <si>
    <t>SUMALIG ELEMENTARY SCHOOL</t>
  </si>
  <si>
    <t>MUNICIPALITY OF ISABELA, NEGROS OCCIDENTAL</t>
  </si>
  <si>
    <t>DEPARTMENT OF AGRARIAN REFORM - DAVAO CITY PROVINCIAL OFFICE</t>
  </si>
  <si>
    <t>PHILIPPINE SCIENCE HIGH SCHOOL - REGION V</t>
  </si>
  <si>
    <t>BARANGAY DEL NORTE -  PANDAN, CATANDUANES</t>
  </si>
  <si>
    <t>MUNICIPALITY OF SAN PASCUAL, BATANGAS</t>
  </si>
  <si>
    <t>ISABELA SCHOOL OF FISHERIES - PALANAN ISABELA</t>
  </si>
  <si>
    <t>SAN PABLO CITY WATER DISTRICT</t>
  </si>
  <si>
    <t>DEPARTMENT OF PUBLIC WORKS AND HIGHWAYS - REGION X</t>
  </si>
  <si>
    <t>MUNICIPALITY OF LOPEZ JAENA , MISAMIS OCCIDENTAL</t>
  </si>
  <si>
    <t>MUNICIPALITY OF ANILAO - ILOILO</t>
  </si>
  <si>
    <t>PAG-IBIG FUND - DAVAO HUB (TECHNICAL AND ADMIN SUPPORT)</t>
  </si>
  <si>
    <t>MUNICIPALITY OF CAIBIRAN, BILIRAN</t>
  </si>
  <si>
    <t>PHILIPPINE HEALTH INSURANCE CORPORATION - CAR</t>
  </si>
  <si>
    <t>MUNICIPALITY OF SAN PASCUAL, MASBATE</t>
  </si>
  <si>
    <t>MUNICIPALITY OF REMEDIOS T. ROMUALDEZ, AGUSAN DEL NORTE</t>
  </si>
  <si>
    <t>MUNICIPALITY OF AGOO, LA UNION</t>
  </si>
  <si>
    <t>114TH CONTRACTING OFFICE FOR INFRASTRUCTURE, AFPPS</t>
  </si>
  <si>
    <t>PHILIPPINE SCIENCE HIGH SCHOOL - CENTRAL MINDANAO CAMPUS</t>
  </si>
  <si>
    <t>ANTI-MONEY LAUNDERING COUNCIL</t>
  </si>
  <si>
    <t>MUNICIPALITY OF MABINAY, NEGROS ORIENTAL</t>
  </si>
  <si>
    <t>MUNICIPALITY OF LUPI, CAMARINES SUR</t>
  </si>
  <si>
    <t>MUNICIPALITY OF LASAM, CAGAYAN</t>
  </si>
  <si>
    <t>DEPARTMENT OF AGRARIAN REFORM - CAMARINES NORTE</t>
  </si>
  <si>
    <t>ST. ANTHONY MOTHER AND CHILD HOSPITAL</t>
  </si>
  <si>
    <t>BARANGAY APIAN, LEON, ILOILO</t>
  </si>
  <si>
    <t>MUNICIPALITY OF BANGAR, LA UNION</t>
  </si>
  <si>
    <t>PROVINCE OF CAMIGUIN</t>
  </si>
  <si>
    <t>CIVIL AVIATION AUTHORITY OF THE PHILIPPINES - REGION II</t>
  </si>
  <si>
    <t>NATIONAL FOOD AUTHORITY - IPIL</t>
  </si>
  <si>
    <t>PHILIPPINE INFORMATION AGENCY - REGION 2</t>
  </si>
  <si>
    <t>BARANGAY ALASASIN, MARIVELES, BATAAN</t>
  </si>
  <si>
    <t>MUNICIPALITY OF AGLIPAY, QUIRINO</t>
  </si>
  <si>
    <t>MUNICIPALITY OF LIMAY, BATAAN</t>
  </si>
  <si>
    <t>BARANGAY NAGSULAY, LILA, BOHOL</t>
  </si>
  <si>
    <t>COLACLING ELEMENTARY SCHOOL</t>
  </si>
  <si>
    <t>MINES AND GEOSCIENCES BUREAU - REGION XII</t>
  </si>
  <si>
    <t>LAS PIÑAS GOLDEN ACRES NATIONAL HIGH SCHOOL</t>
  </si>
  <si>
    <t>MUNICIPALITY OF ROSARIO, LA UNION</t>
  </si>
  <si>
    <t>BARANGAY LIBOD - PANDAN, CATANDUANES</t>
  </si>
  <si>
    <t>DEPARTMENT OF PUBLIC WORKS AND HIGHWAYS - UPPER KALINGA DEO</t>
  </si>
  <si>
    <t>BARANGAY CAPACUAN, PARACALE, CAMARINES NORTE</t>
  </si>
  <si>
    <t>AGRICULTURAL TRAINING INSTITUTE - REGIONAL TRAINING CENTER-R</t>
  </si>
  <si>
    <t>PALATIW ELEMENTARY SCHOOL</t>
  </si>
  <si>
    <t>MUNICIPALITY OF TUBAO, LA UNION</t>
  </si>
  <si>
    <t>DUTY FREE PHILIPPINES CORPORATION</t>
  </si>
  <si>
    <t>DEPARTMENT OF SOCIAL WELFARE AND DEVELOPMENT - REGION V</t>
  </si>
  <si>
    <t>POLOMOLOK WATER DISTRICT</t>
  </si>
  <si>
    <t>BANILAD NATIONAL HIGH SCHOOL - NASUGBU BATANGAS</t>
  </si>
  <si>
    <t>BARANGAY MALIBAGO, LABO, CAMARINES NORTE</t>
  </si>
  <si>
    <t>CANSILAYAN ELEMENTARY SCHOOL</t>
  </si>
  <si>
    <t>PULUNG SANTOL NATIONAL HIGH SCHOOL</t>
  </si>
  <si>
    <t>MUNICIPALITY OF NUNUNGAN, LANAO DEL NORTE</t>
  </si>
  <si>
    <t>NATIONAL IRRIGATION ADMINISTRATION - KALINGA IRRIGATION MANA</t>
  </si>
  <si>
    <t>MUNICIPALITY OF MEXICO, PAMPANGA</t>
  </si>
  <si>
    <t>MUNICIPALITY OF ALEGRIA, CEBU</t>
  </si>
  <si>
    <t>MUNICIPALITY OF MANGALDAN, PANGASINAN</t>
  </si>
  <si>
    <t>MUNICIPALITY OF AGUINALDO, IFUGAO</t>
  </si>
  <si>
    <t>105TH CONTRACTING OFFICE, AFP PROCUREMENT SERVICE</t>
  </si>
  <si>
    <t>LEYTE NATIONAL HIGH SCHOOL</t>
  </si>
  <si>
    <t>GOVERNMENT SERVICE INSURANCE SYSTEM - BATANGAS BRANCH</t>
  </si>
  <si>
    <t>SAN ANTONIO ELEMENTARY SCHOOL - DELFIN ALBANO, ISABELA</t>
  </si>
  <si>
    <t>CITY OF LAS PIÑAS</t>
  </si>
  <si>
    <t>BUREAU OF CUSTOMS - BATANGAS CITY</t>
  </si>
  <si>
    <t>MACTAN-CEBU INTERNATIONAL AIRPORT AUTHORITY</t>
  </si>
  <si>
    <t>BUREAU OF INTERNAL REVENUE</t>
  </si>
  <si>
    <t>MUNICIPALITY OF MANITO, ALBAY</t>
  </si>
  <si>
    <t>CADUHA-AN NATIONAL HIGH SCHOOL</t>
  </si>
  <si>
    <t>BARANGAY BONGOL -  SAN VICENTE, GUIMBAL, ILOILO</t>
  </si>
  <si>
    <t>TECHNICAL EDUCATION &amp; SKILLS DEVELOPMENT AUTHORITY - MASBATE</t>
  </si>
  <si>
    <t>BARANGAY SANGAHON MALITBOG SOUTHERN LEYTE</t>
  </si>
  <si>
    <t>BARANGAY POBLACION ZONE II, DEL GALLEGO, CAMARINES SUR</t>
  </si>
  <si>
    <t>DA - RFO I ILOCOS NORTE RESEARCH &amp; EXPERIMENT CENTER</t>
  </si>
  <si>
    <t>BARANGAY 3, LUCENA CITY</t>
  </si>
  <si>
    <t>MUNICIPALITY OF SAN LUIS, PAMPANGA</t>
  </si>
  <si>
    <t>BARANGAY ALAWIJAO - BADIAN CEBU</t>
  </si>
  <si>
    <t>MUNICIPALITY OF MABINI, COMPOSTELA VALLEY</t>
  </si>
  <si>
    <t>BASILAN STATE COLLEGE</t>
  </si>
  <si>
    <t>MUNICIPALITY OF TALACOGON, AGUSAN DEL SUR</t>
  </si>
  <si>
    <t>BARANGAY DISTRICT II, LEMERY, BATANGAS</t>
  </si>
  <si>
    <t>MUNICIPALITY OF SINDANGAN, ZAMBOANGA DEL NORTE</t>
  </si>
  <si>
    <t>BARANGAY POBLACION, COMPOSTELA, COMPOSTELA VALLEY</t>
  </si>
  <si>
    <t>DEPARTMENT OF PUBLIC WORKS AND HIGHWAYS - LAGUNA 1ST ED</t>
  </si>
  <si>
    <t>CALAMBA NATIONAL HIGH SCHOOL-MAIN</t>
  </si>
  <si>
    <t>MUNICIPALITY OF LORETO - DINAGAT ISLANDS</t>
  </si>
  <si>
    <t>PARTIDO DEVELOPMENT ADMINISTRATION</t>
  </si>
  <si>
    <t>NUMANCIA WATER DISTRICT</t>
  </si>
  <si>
    <t>LAND TRANSPORTATION AND FRANCHISING REGULATORY BOARD - MAIN</t>
  </si>
  <si>
    <t>LA PURISIMA NATIONAL HIGH SCHOOL - NABUA CAMARINES SUR</t>
  </si>
  <si>
    <t>MUNICIPALITY OF STO. DOMINGO, NUEVA ECIJA</t>
  </si>
  <si>
    <t>CITY  OF CAVITE</t>
  </si>
  <si>
    <t>BARANGAY NAGRANGTAYAN SANCHEZ MIRA CAGAYAN</t>
  </si>
  <si>
    <t>BARANGAY CANTUGBAS</t>
  </si>
  <si>
    <t>PROVINCE OF PALAWAN</t>
  </si>
  <si>
    <t>MUNICIPALITY OF JIABONG, SAMAR</t>
  </si>
  <si>
    <t>CITY OF OROQUIETA, MISAMIS OCCIDENTAL</t>
  </si>
  <si>
    <t xml:space="preserve">DR. CRISOGONO B. ERMITA SR. MEMORIAL NATIONAL HIGH SCHOOL - </t>
  </si>
  <si>
    <t>MUNICIPALITY OF VILLAREAL, SAMAR</t>
  </si>
  <si>
    <t>DEPARTMENT OF EDUCATION - DIVISION OF SAGAY CITY</t>
  </si>
  <si>
    <t>LAND TRANSPORTATION OFFICE - NCR</t>
  </si>
  <si>
    <t>BARANGAY DIGDIGON - GOA CAMARINES SUR</t>
  </si>
  <si>
    <t>SAYAWAN ELEMENTARY SCHOOL</t>
  </si>
  <si>
    <t>DEVELOPMENT ACADEMY OF THE PHILIPPINES</t>
  </si>
  <si>
    <t>BARANGAY MASLOG -   DANAO CITY CEBU</t>
  </si>
  <si>
    <t>BARANGAY HILAAN, BONTOC, SOUTHERN LEYTE</t>
  </si>
  <si>
    <t>MUNICIPALITY OF NORZAGARAY, BULACAN</t>
  </si>
  <si>
    <t>BARANGAY POBLACION 9 - NASUGBU BATANGAS</t>
  </si>
  <si>
    <t>CENTRAL BOARD OF ASSESSMENT APPEALS</t>
  </si>
  <si>
    <t>DAVAO CITY WATER DISTRICT</t>
  </si>
  <si>
    <t>MUNICIPALITY OF CAGWAIT, SURIGAO DEL SUR</t>
  </si>
  <si>
    <t>DEPARTMENT OF AGRARIAN REFORM - PARACELIS MOUNTAIN PROVINCE</t>
  </si>
  <si>
    <t>ILOCOS TRAINING AND REGIONAL MEDICAL CENTER</t>
  </si>
  <si>
    <t>BARANGAY PUGAOAN - PINILI ILOCOS NORTE</t>
  </si>
  <si>
    <t>DR. ARTEMIO E. NATIVIDAD ELEMENTARY SCHOOL - TAGUIG CITY</t>
  </si>
  <si>
    <t>CAMARINES NORTE STATE COLLEGE</t>
  </si>
  <si>
    <t>BARANGAY NAGCALSOT - RAPU-RAPU, ALBAY</t>
  </si>
  <si>
    <t>BARANGAY LIBAS - SOGOD SOUTHERN LEYTE</t>
  </si>
  <si>
    <t>PROVINCE OF AGUSAN DEL SUR</t>
  </si>
  <si>
    <t>NORTHERN MINDANAO SCHOOL OF FISHERIES</t>
  </si>
  <si>
    <t>MUNICIPALITY OF BASILISA, DINAGAT ISLAND</t>
  </si>
  <si>
    <t>BARANGAY SAN GABRIEL I, BACARRA, ILOCOS NORTE</t>
  </si>
  <si>
    <t>DEPARTMENT OF EDUCATION - REGION XII</t>
  </si>
  <si>
    <t>PUERTO PRINCESA CITY WATER DISTRICT</t>
  </si>
  <si>
    <t>DEPARTMENT OF ENVIRONMENT AND NATURAL RES. - PENRO ZAMBALES</t>
  </si>
  <si>
    <t>MUNICIPALITY OF SAN FRANCISCO, CEBU</t>
  </si>
  <si>
    <t>BARANGAY STO NIÑO TUGBOK DISTRICT, DAVAO CITY</t>
  </si>
  <si>
    <t>CAMACHILES NATIONAL HIGH SCHOOL - MABALACAT CITY PAMPANGA</t>
  </si>
  <si>
    <t>BARANGAY LACTUDAN, LAUA-AN, ANTIQUE</t>
  </si>
  <si>
    <t>MUNICIPALITY OF MEDELLIN, CEBU</t>
  </si>
  <si>
    <t>MUNICIPALITY OF KITCHARAO , AGUSAN DEL NORTE</t>
  </si>
  <si>
    <t>MUNICIPALITY OF BALABAC, PALAWAN</t>
  </si>
  <si>
    <t>MUNICIPALITY OF DIPLAHAN, ZAMBOANGA SIBUGAY</t>
  </si>
  <si>
    <t>MUNICIPALITY OF CLAVERIA, MISAMIS ORIENTAL</t>
  </si>
  <si>
    <t>BUREAU OF CUSTOMS - DAVAO CITY</t>
  </si>
  <si>
    <t>BARANGAY BULUANGAN I -  VALDERRAMA ANTIQUE</t>
  </si>
  <si>
    <t>ISLAND GARDEN CITY OF SAMAL, DAVAO DEL NORTE</t>
  </si>
  <si>
    <t>SAN MATEO VOCATIONAL AND INDUSTRIAL HIGH SCHOOL</t>
  </si>
  <si>
    <t>DAGUPAN CITY WATER DISTRICT</t>
  </si>
  <si>
    <t>MUNICIPALITY OF SAN JORGE, SAMAR</t>
  </si>
  <si>
    <t>DOÑA AURORA NATIONAL HIGH SCHOOL</t>
  </si>
  <si>
    <t>CENTRAL BICOL STATE UNIVERSITY OF AGRICULTURE-SIPOCOT CAMPUS</t>
  </si>
  <si>
    <t>BARANGAY 50, BUTTONG, LAOAG CITY</t>
  </si>
  <si>
    <t>DEPARTMENT OF EDUCATION - DIVISION OF TANJAY CITY</t>
  </si>
  <si>
    <t>BARANGAY VISTA ALEGRE -  PATNONGON ANTIQUE</t>
  </si>
  <si>
    <t>MUNICIPALITY OF MACALELON, QUEZON</t>
  </si>
  <si>
    <t>SAINT PAUL VOCATIONAL &amp; INDUSTRIAL HIGH SCHOOL - SENIOR HIGH</t>
  </si>
  <si>
    <t>BARANGAY CADAJUG, LAUA-AN, ANTIQUE</t>
  </si>
  <si>
    <t>BARANGAY BANI, BACARRA, ILOCOS NORTE</t>
  </si>
  <si>
    <t>SK OF BARANGAY SAPA III - ROSARIO CAVITE</t>
  </si>
  <si>
    <t>DEPARTMENT OF EDUCATION - DIVISION OF CAMARINES SUR</t>
  </si>
  <si>
    <t>SALINUNGAN NATIONAL HIGH SCHOOL - JUNIOR HIGH SCHOOL</t>
  </si>
  <si>
    <t>DEPARTMENT OF TRADE AND INDUSTRY - DAVAO DEL SUR</t>
  </si>
  <si>
    <t>BARANGAY POBLACION, KIBLAWAN, DAVAO DEL SUR</t>
  </si>
  <si>
    <t>MUNICIPALITY OF QUEZON, QUEZON</t>
  </si>
  <si>
    <t>BARANGAY CARATAGAN, PIO DURAN, ALBAY</t>
  </si>
  <si>
    <t>MUNICIPALITY OF NASIPIT, AGUSAN DEL NORTE</t>
  </si>
  <si>
    <t>MUNICIPALITY OF PAMPLONA, NEGROS ORIENTAL</t>
  </si>
  <si>
    <t>MUNICIPALITY OF PALOMPON, LEYTE</t>
  </si>
  <si>
    <t>BARANGAY LICOLICO, SEVILLA, BOHOL</t>
  </si>
  <si>
    <t>DEPARTMENT OF ENVIRONMENT AND NATURAL RESOURCES - REGION XI</t>
  </si>
  <si>
    <t>BARANGAY LUMBIA-ESTANCIA ILOILO</t>
  </si>
  <si>
    <t>MUNICIPALITY OF ENRILE, CAGAYAN</t>
  </si>
  <si>
    <t>CAGAYAN STATE UNIVERSITY - TUGUEGARAO CITY CAGAYAN</t>
  </si>
  <si>
    <t>DEPARTMENT OF FOREIGN AFFAIRS - MAIN</t>
  </si>
  <si>
    <t>TECHNICAL EDUCATION AND SKILLS DEVELOPMENT AUTHORITY - REGIO</t>
  </si>
  <si>
    <t>MUNICIPALITY OF TORRIJOS, MARINDUQUE</t>
  </si>
  <si>
    <t>MUNICIPALITY OF KANANGA, LEYTE</t>
  </si>
  <si>
    <t>CIVIL AVIATION AUTHORITY OF THE PHILIPPINES - COTABATO</t>
  </si>
  <si>
    <t>ALEJANDRA L. NAVARRO CENTRAL ELEMENTARY SCHOOL</t>
  </si>
  <si>
    <t>MUNICIPALITY OF HINUNDAYAN, SOUTHERN LEYTE</t>
  </si>
  <si>
    <t>JULIO ARZAGA MEMORIAL ELEMENTARY SCHOOL</t>
  </si>
  <si>
    <t>TALAVERA WATER DISTRICT</t>
  </si>
  <si>
    <t>SENATE OF THE PHILIPPINES</t>
  </si>
  <si>
    <t>MOONWALK NATIONAL HIGH SCHOOL</t>
  </si>
  <si>
    <t>DEPARTMENT OF EDUCATION - DIVISION OF DAPITAN CITY</t>
  </si>
  <si>
    <t>MUNICIPALITY OF PALO - LEYTE LEYTE</t>
  </si>
  <si>
    <t>BARANGAY RIZAL, ANAO, TARLAC</t>
  </si>
  <si>
    <t>MUNICIPALITY OF BUGUEY, CAGAYAN</t>
  </si>
  <si>
    <t>UPPER MATE ELEMENTARY SCHOOL</t>
  </si>
  <si>
    <t>DEPARTMENT OF EDUCATION - DIVISION OF CAGAYAN</t>
  </si>
  <si>
    <t>MACASANDIG ELEMENTARY SCHOOL</t>
  </si>
  <si>
    <t>CITY OF SURIGAO, SURIGAO DEL NORTE</t>
  </si>
  <si>
    <t>BARANGAY PUSSIAN, ALCALA, CAGAYAN</t>
  </si>
  <si>
    <t>PELOCOBAN ELEMENTARY SCHOOL - TAMBULIG ZAMBOANGA DEL SUR</t>
  </si>
  <si>
    <t>DINALUPIHAN WATER DISTRICT</t>
  </si>
  <si>
    <t>MUNICIPALITY OF CAPAS, TARLAC</t>
  </si>
  <si>
    <t>MUNICIPALITY OF DANGCAGAN, BUKIDNON</t>
  </si>
  <si>
    <t>BARANGAY PINAGBUHATAN, PASIG CITY</t>
  </si>
  <si>
    <t>MUNICIPALITY OF SAN MATEO - ISABELA</t>
  </si>
  <si>
    <t>MUNICIPALITY OF MANSALAY, ORIENTAL MINDORO</t>
  </si>
  <si>
    <t>MUNICIPALITY OF LAGUINDINGAN, MISAMIS ORIENTAL</t>
  </si>
  <si>
    <t>BARANGAY KULAMAN VALLEY ARAKAN COTABATO</t>
  </si>
  <si>
    <t>BARANGAY MAYBUNGA - PASIG CITY</t>
  </si>
  <si>
    <t>NATIONAL LIBRARY OF THE PHILIPPINES</t>
  </si>
  <si>
    <t>MUNICIPALITY OF ALBUERA, LEYTE</t>
  </si>
  <si>
    <t>MUNICIPALITY OF ALAMINOS, LAGUNA</t>
  </si>
  <si>
    <t>METRO VIGAN WATER DISTRICT</t>
  </si>
  <si>
    <t>BARANGAY BANJO WEST, TANAUAN CITY, BATANGAS</t>
  </si>
  <si>
    <t>BUREAU OF THE TREASURY, REGION 06</t>
  </si>
  <si>
    <t>GEN. RICARDO G. PAPA SR. MEMORIAL HIGH SCHOOL - ANNEX</t>
  </si>
  <si>
    <t>CITY GOVERNMENT OF BALANGA, BATAAN</t>
  </si>
  <si>
    <t>MUNICIPALITY OF GEN. M. ALVAREZ, CAVITE</t>
  </si>
  <si>
    <t>EASTERN VISAYAS REGIONAL MEDICAL CENTER - DOH</t>
  </si>
  <si>
    <t>MUNICIPALITY OF ALCALA, CAGAYAN</t>
  </si>
  <si>
    <t>BARANGAY JANOPOL OCCIDENTAL, TANAUAN CITY, BATANGAS</t>
  </si>
  <si>
    <t>UNIVERSITY OF SCIENCE AND TECHNOLOGY OF SOUTHERN PHILIPPINES</t>
  </si>
  <si>
    <t>DEPARTMENT OF PUBLIC WORKS AND HIGHWAYS - BATANGAS IV DEO</t>
  </si>
  <si>
    <t>TARLAC COLLEGE OF AGRICULTURE</t>
  </si>
  <si>
    <t>OBANDO WATER DISTRICT</t>
  </si>
  <si>
    <t>MUNICIPALITY OF RODRIGUEZ, RIZAL</t>
  </si>
  <si>
    <t>PROVINCE OF OCCIDENTAL MINDORO</t>
  </si>
  <si>
    <t>JOSE RIZAL MEMORIAL STATE UNIVERSITY - KATIPUNAN CAMPUS</t>
  </si>
  <si>
    <t>MACABALAN NATIONAL HIGH SCHOOL</t>
  </si>
  <si>
    <t>DEPARTMENT OF EDUCATION - DIVISION OF CITY SCHOOLS, MANILA</t>
  </si>
  <si>
    <t>DEPARTMENT OF EDUCATION - DIVISION OF BATANGAS CITY</t>
  </si>
  <si>
    <t>MAHARLIKA ELEMENTARY SCHOOL</t>
  </si>
  <si>
    <t>BARANGAY STA. MILAGROSA, CALAUAG, QUEZON</t>
  </si>
  <si>
    <t>DEPARTMENT OF PUBLIC WORKS AND HIGHWAYS - SORSOGON 2ND DEO</t>
  </si>
  <si>
    <t>DEPARTMENT OF SOCIAL WELFARE AND DEVELOPMENT - NCR</t>
  </si>
  <si>
    <t>MALLIG NATIONAL HIGH SCHOOL - MALLIG ISABELA</t>
  </si>
  <si>
    <t>PHIL. ATMOSPHERIC GEOPHYSICAL &amp; ASTRONOMICAL SERVICES ADM.</t>
  </si>
  <si>
    <t>BARANGAY PAKU, BONTOC, SOUTHERN LEYTE</t>
  </si>
  <si>
    <t>PHILIPPINE NATIONAL POLICE - REGION IX</t>
  </si>
  <si>
    <t>PROVINCE OF SORSOGON</t>
  </si>
  <si>
    <t>MUNICIPALITY OF PILAR, SORSOGON</t>
  </si>
  <si>
    <t>PHILIPPINE PORTS AUTHORITY - HEAD OFFICE</t>
  </si>
  <si>
    <t>MUNICIPALITY OF BURGOS, PANGASINAN</t>
  </si>
  <si>
    <t>BARANGAY NEW TUBIGON - SIBAGAT, AGUSAN DEL SUR</t>
  </si>
  <si>
    <t>MUNICIPALITY OF OLUTANGA, ZAMBOANGA SIBUGAY</t>
  </si>
  <si>
    <t>MUNICIPALITY OF SAN NICOLAS, PANGASINAN</t>
  </si>
  <si>
    <t>BARANGAY  MALIBATUAN - ARAKAN  COTABATO</t>
  </si>
  <si>
    <t>DEPARTMENT OF PUBLIC WORKS AND HIGHWAYS - LEYTE 1ST ED</t>
  </si>
  <si>
    <t>DEPARTMENT OF ENVIRONMENT AND NATURAL RES. - PENRO, SAMAR</t>
  </si>
  <si>
    <t>CAVITE STATE UNIVERSITY - NAIC CAMPUS</t>
  </si>
  <si>
    <t>KABASALAN INSTITUTE OF TECHNOLOGY</t>
  </si>
  <si>
    <t>DEPARTMENT OF HEALTH - CAR OFFICE</t>
  </si>
  <si>
    <t>DEPARTMENT OF AGRICULTURE - REGION IV-A</t>
  </si>
  <si>
    <t>SANTA MARIA HIGH SCHOOL - STA. MARIA ISABELA</t>
  </si>
  <si>
    <t>DEPARTMENT OF ENVIRONMENT AND NATURAL RESOURCES - IFUGAO</t>
  </si>
  <si>
    <t>MUNICIPALITY OF AMLAN, NEGROS ORIENTAL</t>
  </si>
  <si>
    <t>DEPARTMENT OF LABOR AND EMPLOYMENT - ADMINISTRATIVE SERVICES</t>
  </si>
  <si>
    <t>PHILIPPINE PORTS AUTHORITY - PMO WESTERN LEYTE/BILIRAN</t>
  </si>
  <si>
    <t>MUNICIPALITY OF ANAHAWAN, SOUTHERN LEYTE</t>
  </si>
  <si>
    <t>MUNICIPALITY OF ATIMONAN, QUEZON</t>
  </si>
  <si>
    <t>MUNICIPALITY OF SAN MIGUEL, LEYTE</t>
  </si>
  <si>
    <t>ROXAS CITY GOVERNMENT</t>
  </si>
  <si>
    <t>BARANGAY V, DAET, CAMARINES NORTE</t>
  </si>
  <si>
    <t>DEPARTMENT OF PUBLIC WORKS AND HIGHWAYS - ABRA ED</t>
  </si>
  <si>
    <t>MUNICIPALITY OF DINGRAS, ILOCOS NORTE</t>
  </si>
  <si>
    <t>IPONAN ELEMENTARY SCHOOL</t>
  </si>
  <si>
    <t>MUNICIPALITY OF JOSE DALMAN, ZAMBOANGA DEL NORTE</t>
  </si>
  <si>
    <t>MUNICIPALITY OF LEZO, AKLAN</t>
  </si>
  <si>
    <t>MUNICIPALITY OF BAGULIN, LA UNION</t>
  </si>
  <si>
    <t>NEW ORMOC CITY NATIONAL HIGH SCHOOL</t>
  </si>
  <si>
    <t>MUNICIPALITY OF LIBJO, DINAGAT ISLANDS</t>
  </si>
  <si>
    <t>DEPARTMENT OF  EDUCATION - DIVISION OF CAUAYAN CITY</t>
  </si>
  <si>
    <t>SAN FRANCISCO INSTITUTE OF SCIENCE &amp; TECHNOLOGY</t>
  </si>
  <si>
    <t>CEBU PORT AUTHORITY</t>
  </si>
  <si>
    <t>BARANGAY CADARUHAN NORTE MALITBOG SOUTHERN LEYTE</t>
  </si>
  <si>
    <t>BARANGAY TAMBONG GLORIA ORIENTAL MINDORO</t>
  </si>
  <si>
    <t>SANTO DOMINGO ELEMENTARY SCHOOL - SANTA ROSA CITY, LAGUNA</t>
  </si>
  <si>
    <t>PROVINCE OF AURORA</t>
  </si>
  <si>
    <t>CAMANDAG ELEMENTARY SCHOOL</t>
  </si>
  <si>
    <t>METROPOLITAN NAGA WATER DISTRICT</t>
  </si>
  <si>
    <t>BARANGAY SAN JUAN, ALLACAPAN, CAGAYAN</t>
  </si>
  <si>
    <t>DEPARTMENT OF PUBLIC WORKS AND HIGHWAYS - CAPIZ 1ST DEO</t>
  </si>
  <si>
    <t>DEPARTMENT OF PUBLIC WORKS AND HIGHWAYS - REGION VI</t>
  </si>
  <si>
    <t>404TH CONTRACTING OFFICE, AFP PROCUREMENT SERVICE</t>
  </si>
  <si>
    <t>MUNICIPALITY OF GINGOOG CITY, MISAMIS ORIENTAL</t>
  </si>
  <si>
    <t>TESDA PROVINCIAL TRAINING CENTER-IFUGAO</t>
  </si>
  <si>
    <t>DEPARTMENT OF EDUCATION - DIVISION OF KIDAPAWAN CITY</t>
  </si>
  <si>
    <t>MUNICIPALITY OF BAY, LAGUNA</t>
  </si>
  <si>
    <t>MUNICIPALITY OF SAN MARIANO, ISABELA</t>
  </si>
  <si>
    <t>SK OF BARANGAY PINAGKAISAHAN - MAKATI CITY METRO MANILA</t>
  </si>
  <si>
    <t>LUNA NATIONAL HIGH SCHOOL - LUNA ISABELA</t>
  </si>
  <si>
    <t>MUNICIPALITY OF DAMULOG, BUKIDNON</t>
  </si>
  <si>
    <t>MUNICIPALITY OF BALENO, MASBATE</t>
  </si>
  <si>
    <t>MUNICIPALITY OF AMBAGUIO, NUEVA VIZCAYA</t>
  </si>
  <si>
    <t>CLARK DEVELOPMENT CORPORATION</t>
  </si>
  <si>
    <t>CARLOS HILADO MEMORIAL STATE COLLEGE</t>
  </si>
  <si>
    <t>MUNICIPALITY OF PANGIL, LAGUNA</t>
  </si>
  <si>
    <t>DIPOLOG SCHOOL OF FISHERIES</t>
  </si>
  <si>
    <t>BARANGAY MASAGAOSAO KAWAYAN BILIRAN</t>
  </si>
  <si>
    <t xml:space="preserve">DEPARTMENT OF PUBLIC WORKS AND HIGHWAYS - NUEVA VIZCAYA 1ST </t>
  </si>
  <si>
    <t>TONDO MEDICAL CENTER</t>
  </si>
  <si>
    <t>BUREAU OF INTERNAL REVENUE - REVENUE REGION NO. 12</t>
  </si>
  <si>
    <t>BULUA NATIONAL HIGH SCHOOL</t>
  </si>
  <si>
    <t>BARANGAY MANILA, RAPU-RAPU, ALBAY</t>
  </si>
  <si>
    <t>TUMAUINI NATIONAL HIGH SCHOOL</t>
  </si>
  <si>
    <t>DEPARTMENT OF PUBLIC WORKS AND HIGHWAYS - ILOCOS NORTE 2ND D</t>
  </si>
  <si>
    <t>BARANGAY LANAO, BONTOC SOUTHERN LEYTE</t>
  </si>
  <si>
    <t>BARANGAY SAN IGNACIO MANAY DAVAO ORIENTAL</t>
  </si>
  <si>
    <t>BARANGAY MAPURAO ALLACAPAN CAGAYAN</t>
  </si>
  <si>
    <t>CONCEPCION WATER DISTRICT</t>
  </si>
  <si>
    <t>NATIONAL PARKS DEVELOPMENT COMMITTEE</t>
  </si>
  <si>
    <t>EASTERN VISAYAS STATE UNIVERSITY-ORMOC CITY CAMPUS</t>
  </si>
  <si>
    <t>GHQ PROCUREMENT CENTER, AFP PROCUREMENT SERVICE</t>
  </si>
  <si>
    <t>CITY OF ZAMBOANGA, ZAMBOANGA DEL SUR</t>
  </si>
  <si>
    <t>MUNICIPALITY OF PORAC, PAMPANGA</t>
  </si>
  <si>
    <t>MUNICIPALITY OF MABINI, BOHOL</t>
  </si>
  <si>
    <t>MUNICIPALITY OF SANTO DOMINGO, ILOCOS SUR</t>
  </si>
  <si>
    <t>ENVIRONMENTAL MANAGEMENT BUREAU - REGION - LA UNION</t>
  </si>
  <si>
    <t>BATANGAS MEDICAL CENTER</t>
  </si>
  <si>
    <t>DEPARTMENT OF INFORMATION AND COMMUNICATIONS TECHNOLOGY</t>
  </si>
  <si>
    <t>MUNICIPALITY OF MAHAYAG, ZAMBOANGA DEL SUR</t>
  </si>
  <si>
    <t>304TH CONTRACTING OFFICE, AFP PROCUREMENT SERVICE</t>
  </si>
  <si>
    <t>PHILIPPINE COCONUT AUTHORITY - ALBAY RESEARCH CENTER</t>
  </si>
  <si>
    <t>MUNICIPALITY OF SEBASTE, ANTIQUE</t>
  </si>
  <si>
    <t>PROVINCE OF COMPOSTELA VALLEY</t>
  </si>
  <si>
    <t>MUNICIPALITY OF FLORIDABLANCA, PAMPANGA</t>
  </si>
  <si>
    <t>BARANGAY MAGALANG-GALANG, BAUAN, BATANGAS</t>
  </si>
  <si>
    <t>DEPARTMENT OF THE INTERIOR AND LOCAL GOVERNMENT - REGION X</t>
  </si>
  <si>
    <t>NATIONAL TAX RESEARCH CENTER</t>
  </si>
  <si>
    <t>BARANGAY LUYANG - BAYOMBONG NUEVA VIZCAYA</t>
  </si>
  <si>
    <t>MUNICIPALITY OF BINALBAGAN, NEGROS OCCIDENTAL</t>
  </si>
  <si>
    <t>CITY OF ORMOC, LEYTE</t>
  </si>
  <si>
    <t>MUNICIPALITY OF SIBONGA, CEBU</t>
  </si>
  <si>
    <t>SOUTHVILLE IV NATIONAL HIGH SCHOOL</t>
  </si>
  <si>
    <t>DEPARTMENT OF PUBLIC WORKS AND HIGHWAYS - SURIGAO DEL SUR 1S</t>
  </si>
  <si>
    <t>GUIMARAS NATIONAL CROPS RESEARCH, DEVELOPMENT &amp; PRODUCTION S</t>
  </si>
  <si>
    <t>MUNICIPALITY OF LAOAC, PANGASINAN</t>
  </si>
  <si>
    <t>PALOMPON INSTITUTE OF TECHNOLOGY</t>
  </si>
  <si>
    <t>MUNICIPALITY OF CALUYA, ANTIQUE</t>
  </si>
  <si>
    <t>MUNICIPALITY OF SINACABAN , MISAMIS OCCIDENTAL</t>
  </si>
  <si>
    <t>CITY  OF CAUAYAN, ISABELA</t>
  </si>
  <si>
    <t>TESDA PROVINCIAL TRAINING CENTER - CAMARINES SUR</t>
  </si>
  <si>
    <t>BARANGAY NABAG-O, VALENCIA CITY</t>
  </si>
  <si>
    <t>SANTIAGO WATER DISTRICT</t>
  </si>
  <si>
    <t>MUNICIPALITY OF DON VICTORIANO CHIONGBIAN, MIS. OCCIDENTAL</t>
  </si>
  <si>
    <t>LIGHT RAIL TRANSIT AUTHORITY</t>
  </si>
  <si>
    <t>CITY OF MASBATE, MASBATE</t>
  </si>
  <si>
    <t>BANGKO SENTRAL NG PILIPINAS - TACLOBAN BRANCH</t>
  </si>
  <si>
    <t>SALVADOR TRADE SCHOOL</t>
  </si>
  <si>
    <t>MUNICIPALITY OF PINAMUNGAJAN, CEBU</t>
  </si>
  <si>
    <t>DEPARTMENT OF PUBLIC WORKS AND HIGHWAYS - AGUSAN DEL SUR 2ND</t>
  </si>
  <si>
    <t>NATIONAL FOOD AUTHORITY - REGION V</t>
  </si>
  <si>
    <t>MUNICIPALITY OF PILILLA, RIZAL</t>
  </si>
  <si>
    <t>NATIONAL IRRIGATION ADMINISTRATION - IMO AGUSAN DEL SUR</t>
  </si>
  <si>
    <t>SILAHIS ELEMENTARY SCHOOL</t>
  </si>
  <si>
    <t>MUNICIPALITY OF SAN SEBASTIAN, SAMAR</t>
  </si>
  <si>
    <t>BARANGAY TUBIGAN IBABA - MACALELON QUEZON</t>
  </si>
  <si>
    <t>PROVINCE OF LAGUNA</t>
  </si>
  <si>
    <t>DEPARTMENT OF EDUCATION - DIVISION OF ILOCOS NORTE</t>
  </si>
  <si>
    <t>BARANGAY CABCAB - SAN ANDRES, CATANDUANES</t>
  </si>
  <si>
    <t>NATIONAL IRRIGATION ADMINISTRATION - AGUSAN DEL NORTE IMO</t>
  </si>
  <si>
    <t>BARANGAY AGUILA, SAN JOSE, BATANGAS</t>
  </si>
  <si>
    <t>BARANGAY CAB ILAN - DINAGAT DINAGAT ISLAND</t>
  </si>
  <si>
    <t>SAN MIGUEL ELEMENTARY SCHOOL</t>
  </si>
  <si>
    <t>BARANGAY DATU LADAYON -  ARAKAN COTABATO</t>
  </si>
  <si>
    <t>BARANGAY MARIBLO -  QUEZON CITY</t>
  </si>
  <si>
    <t>CALULUAN HIGH SCHOOL - CONCEPCION TARLAC</t>
  </si>
  <si>
    <t>MUNICIPALITY OF SAN NICOLAS, BATANGAS</t>
  </si>
  <si>
    <t>BALINTAD ELEMENTARY SCHOOL - BAUNGON BUKIDNON</t>
  </si>
  <si>
    <t>MARITIME INDUSTRY AUTHORITY (MARINA)</t>
  </si>
  <si>
    <t>BARANGAY CALOOGAN - SAN JOSE PALO, LEYTE</t>
  </si>
  <si>
    <t>MUNICIPALITY OF KINOGUITAN , MISAMIS ORIENTAL</t>
  </si>
  <si>
    <t>BARANGAY LUNAS MAASIN CITY LEYTE</t>
  </si>
  <si>
    <t>BARANGAY MASALONG, LABO, CAMARINES NORTE</t>
  </si>
  <si>
    <t>PHILIPPINE STATISTICS AUTHORITY</t>
  </si>
  <si>
    <t>BARANGAY TALUMPOK KANLURAN, BATANGAS CITY, BATANGAS</t>
  </si>
  <si>
    <t>CITY OF SORSOGON, SORSOGON</t>
  </si>
  <si>
    <t>F. DE MESA ELEMENTARY SCHOOL</t>
  </si>
  <si>
    <t>MUNICIPALITY OF LANTAPAN, BUKIDNON</t>
  </si>
  <si>
    <t>PHILIPPINE COCONUT AUTHORITY - ZAMBOANGA RESEARCH CENTER</t>
  </si>
  <si>
    <t>BALINTAWAK ELEMENTARY SCHOOL, BALINTAWAK,KIBAWE,BUKIDNON</t>
  </si>
  <si>
    <t>BARANGAY TINOCDUGAN, LEYTE, LEYTE</t>
  </si>
  <si>
    <t>BARANGAY MALAMIG, CALAPAN CITY, ORIENTAL MINDORO</t>
  </si>
  <si>
    <t>MUNICIPALITY OF CARAMOAN, CAMARINES SUR</t>
  </si>
  <si>
    <t>BARANGAY KUMINTANG ILAYA, BATANGAS CITY, BATANGAS</t>
  </si>
  <si>
    <t>SK OF BARANGAY WEST REMBO - MAKATI CITY</t>
  </si>
  <si>
    <t>BARANGAY 74 ZONE 6 DISTRICT I</t>
  </si>
  <si>
    <t>BARANGAY CALAHUNAN, MANDURRIAO, ILOILO CITY</t>
  </si>
  <si>
    <t>PAYAO ELEMENTARY SCHOOL</t>
  </si>
  <si>
    <t>F.M. CABRAS ELEMENTARY SCHOOL</t>
  </si>
  <si>
    <t>CABALANTIAN ELEMENTARY SCHOOL</t>
  </si>
  <si>
    <t>BARANGAY ALIBUNGBUNGAN, NAGCARLAN, LAGUNA</t>
  </si>
  <si>
    <t>MANUEL LUIS QUEZON ELEMENTARY SCHOOL</t>
  </si>
  <si>
    <t>SAN CARLOS-SAN LUIS NATIONAL HIGH SCHOOL</t>
  </si>
  <si>
    <t>STA. CRUZ NATIONAL HIGH SCHOOL - OCCIENTAL MINDORO</t>
  </si>
  <si>
    <t>BARANGAY KIAS, BAGUIO CITY</t>
  </si>
  <si>
    <t>DEPARTMENT OF PUBLIC WORKS AND HIGHWAYS - QUEZON 1ST ED</t>
  </si>
  <si>
    <t>STA. CRUZ ELEM. SCHOOL</t>
  </si>
  <si>
    <t>BARANGAY SAN PEDRO - ALBUERA LEYTE</t>
  </si>
  <si>
    <t>ENVIRONMENTAL MANAGEMENT BUREAU REGION VI</t>
  </si>
  <si>
    <t>BARANGAY BARAOIDAN, GATTARAN, CAGAYAN</t>
  </si>
  <si>
    <t>BARANGAY TALIGAN, GATTARAN, CAGAYAN</t>
  </si>
  <si>
    <t>BARANGAY CANAMUCAN, COMPOSTELA, CEBU</t>
  </si>
  <si>
    <t>BARANGAY POBLACION III, NAGCARLAN, LAGUNA</t>
  </si>
  <si>
    <t>EASTERN VISAYAS STATE UNIVERSITY - CARIGARA CAMPUS</t>
  </si>
  <si>
    <t>BARANGAY BAYBAY, TIWI, ALBAY</t>
  </si>
  <si>
    <t>ARACELI NATIONAL HIGH SCHOOL - ARACELI PALAWAN</t>
  </si>
  <si>
    <t>BONGABON WATER DISTRICT</t>
  </si>
  <si>
    <t>MUNICIPALITY OF BAKUN, BENGUET</t>
  </si>
  <si>
    <t>BARANGAY BANGATAN  - GATTARAN CAGAYAN</t>
  </si>
  <si>
    <t>ALI-AL ELEMENTARY SCHOOL</t>
  </si>
  <si>
    <t>BARANGAY MABUTTAL EAST, BALLESTEROS, CAGAYAN</t>
  </si>
  <si>
    <t>BARANGAY LIBERTY, HILONGOS, LEYTE</t>
  </si>
  <si>
    <t>ASIA ELEMENTARY SCHOOL</t>
  </si>
  <si>
    <t>MUNICIPALITY OF BOLINAO, PANGASINAN</t>
  </si>
  <si>
    <t>KISOLON CENTRAL ELEMENTARY SCHOOL</t>
  </si>
  <si>
    <t>PHILIPPINE ECONOMIC ZONE AUTHORITY - BAGUIO CITY ECOZONE</t>
  </si>
  <si>
    <t>BARANGAY CENTRO EAST, BALLESTEROS, CAGAYAN</t>
  </si>
  <si>
    <t>BARANGAY SAN ISIDRO, ATIMONAN,QUEZON</t>
  </si>
  <si>
    <t>BUREAU OF JAIL MANAGEMENT AND PENOLOGY - REGION X</t>
  </si>
  <si>
    <t>BARANGAY APITONG - NAUJAN, ORIENTAL MINDORO</t>
  </si>
  <si>
    <t>MUNICIPALITY OF BAROTAC VIEJO, ILOILO</t>
  </si>
  <si>
    <t>AGRICULTURAL TRAINING INSTITUTE - CAMARINES SUR</t>
  </si>
  <si>
    <t>TINAJERO HIGH SCHOOL - ANNEX</t>
  </si>
  <si>
    <t>MUNICIPALITY OF ROSARIO, AGUSAN DEL SUR</t>
  </si>
  <si>
    <t>DEPARTMENT OF TRADE AND INDUSTRY - EASTERN SAMAR</t>
  </si>
  <si>
    <t>OFFICE OF THE CHIEF MINISTER  - BARMM</t>
  </si>
  <si>
    <t>MUNTINLUPA BUSINESS HIGH SCHOOL (SUCAT ANNEX) - MUNTINLUPA C</t>
  </si>
  <si>
    <t>FOREST PRODUCT RESEARCH AND DEVELOPMENT INSTITUTE ( FPRDI )</t>
  </si>
  <si>
    <t>MUNICIPALITY OF ISULAN, SULTAN KUDARAT</t>
  </si>
  <si>
    <t>MUNICIPALITY OF KALAWIT, ZAMBOANGA DEL NORTE</t>
  </si>
  <si>
    <t>DEPARTMENT OF SOCIAL WELFARE AND DEVELOPMENT - REGION X</t>
  </si>
  <si>
    <t>BARANGA MAUSWAGON - LA LIBERTAD ZAMBOANGA DEL NORTE</t>
  </si>
  <si>
    <t>MUNICIPALITY OF DIVILACAN, ISABELA</t>
  </si>
  <si>
    <t>PROVINCE OF DAVAO DEL NORTE</t>
  </si>
  <si>
    <t>BARANGAY KULAWIT, ATIMONAN, QUEZON</t>
  </si>
  <si>
    <t>BARANGAY NATO</t>
  </si>
  <si>
    <t>MUNICIPALITY OF MAMBURAO, OCCIDENTAL MINDORO</t>
  </si>
  <si>
    <t>DAVAO REGIONAL MEDICAL CENTER</t>
  </si>
  <si>
    <t>BARANGAY BUQUIG - BANTAY ILOCOS SUR</t>
  </si>
  <si>
    <t>BARANGAY CANASAGAN - SAN JUAN, SIQUIJOR</t>
  </si>
  <si>
    <t>MUNICIPALITY OF MOBO, MASBATE</t>
  </si>
  <si>
    <t>BARANGAY TAPUL, TABOGON, CEBU</t>
  </si>
  <si>
    <t>NATIONAL FOOD AUTHORITY - REGION III</t>
  </si>
  <si>
    <t>PUNTA ELEMENTARY SCHOOL</t>
  </si>
  <si>
    <t>BARANGAY PITOGO, MAKATI CITY</t>
  </si>
  <si>
    <t>BARANGAY SOUTHSIDE, MAKATI CITY</t>
  </si>
  <si>
    <t>MUNICIPALITY OF GEN. LUNA, QUEZON</t>
  </si>
  <si>
    <t>DEPARTMENT OF THE INTERIOR AND LOCAL GOVERNMENT - REGION IX</t>
  </si>
  <si>
    <t>COTABATO CITY STATE POLYTECHNIC COLLEGE</t>
  </si>
  <si>
    <t>BARANGAY MANAGUIT, DUMANGAS, ILOILO</t>
  </si>
  <si>
    <t>BARANGAY KAPITOLYO, PASIG CITY</t>
  </si>
  <si>
    <t>MUNICIPALITY OF BOAC, MARINDUQUE</t>
  </si>
  <si>
    <t>BARANGAY SALVACION, PANABO CITY</t>
  </si>
  <si>
    <t>MALINAO ELEMENTARY SCHOOL</t>
  </si>
  <si>
    <t>BARANGAY DISTRICT 16 - AGUA DULCE, ORMOC CITY</t>
  </si>
  <si>
    <t>BARANGAY CONCEPCION PEQUEÑA, NAGA CITY</t>
  </si>
  <si>
    <t>CITY OF PASAY</t>
  </si>
  <si>
    <t>BARANGAY MANAGASE, TABOGON, CEBU</t>
  </si>
  <si>
    <t>IMPASUGONG NATIONAL HIGH SCHOOL</t>
  </si>
  <si>
    <t>PROVINCE OF COTABATO</t>
  </si>
  <si>
    <t>F. BANGOY NATIONAL HIGH SCHOOL</t>
  </si>
  <si>
    <t>PHILIPPINE SCIENCE HIGH SCHOOL - SOCCSKSARGEN REGION CAMPUS</t>
  </si>
  <si>
    <t>MUNICIPALITY OF PROSPERIDAD, AGUSAN DEL SUR</t>
  </si>
  <si>
    <t>UNIVERSITY OF THE PHILIPPINES - SYSTEM</t>
  </si>
  <si>
    <t>BARANGAY CASAY VIEJO, ANINI-Y, ANTIQUE</t>
  </si>
  <si>
    <t>BARANGAY PANTAL, DAGUPAN CITY</t>
  </si>
  <si>
    <t>BARANGAY DURUNGAO, BAUAN, BATANGAS</t>
  </si>
  <si>
    <t>CITY OF SAN JUAN</t>
  </si>
  <si>
    <t>BARANGAY MALITBOG, BONGABONG, ORIENTAL MINDORO</t>
  </si>
  <si>
    <t>BARANGAY PINGET, BAGUIO CITY</t>
  </si>
  <si>
    <t>DR. ALEJANDRO ALBERT ELEMENTARY SCHOOL - MANILA</t>
  </si>
  <si>
    <t>NATIONAL IRRIGATION ADMINISTRATION - INSIMO</t>
  </si>
  <si>
    <t>BARANGAY WAWA I ROSARIO CAVITE</t>
  </si>
  <si>
    <t>PADRE MARIANO GOMEZ ELEMENTARY SCHOOL</t>
  </si>
  <si>
    <t>BULACAN AGRICULTURAL STATE COLLEGE</t>
  </si>
  <si>
    <t>LANDBANK OF THE PHILIPPINES - REGION IV-A</t>
  </si>
  <si>
    <t>BARANGAY 601, ZONE 59, DISTRICT VI, MANILA</t>
  </si>
  <si>
    <t>MUNICIPALITY OF LUNA, APAYAO</t>
  </si>
  <si>
    <t>BARANGAY BOTONGON-ESTANCIA ILOILO</t>
  </si>
  <si>
    <t>MINES AND GEO-SCIENCES BUREAU - REGION X</t>
  </si>
  <si>
    <t>DARAGA NATIONAL HIGH SCHOOL</t>
  </si>
  <si>
    <t>CALAWIS NATIONAL HIGH SCHOOL</t>
  </si>
  <si>
    <t>SICABA NATIONAL HIGH SCHOOL</t>
  </si>
  <si>
    <t>BARANGAY LUYANG, SIBALOM, ANTIQUE</t>
  </si>
  <si>
    <t>DEPARTMENT OF PUBLIC WORKS AND HIGHWAYS - ISABELA CITY DEO</t>
  </si>
  <si>
    <t>DEPARTMENT OF EDUCATION - DIVISION OF MASBATE CITY</t>
  </si>
  <si>
    <t>CITY OF GENERAL SANTOS , SOUTH COTABATO</t>
  </si>
  <si>
    <t>NAVOTAS NATIONAL HIGH SCHOOL</t>
  </si>
  <si>
    <t>MUNICIPALITY OF BIRI, NORTHERN SAMAR</t>
  </si>
  <si>
    <t>BARANGAY ARANGIN, NAUJAN, ORIENTAL MINDORO</t>
  </si>
  <si>
    <t>DAGATAN NATIONAL HIGH SCHOOL - TAYSAN BATANGAS</t>
  </si>
  <si>
    <t>MUNICIPALITY OF GARCHITORENA, CAMARINES SUR</t>
  </si>
  <si>
    <t>CLIMATE CHANGE COMMISSION</t>
  </si>
  <si>
    <t>BARANGAY SILANGAN ILAYA, NAGCARLAN, LAGUNA</t>
  </si>
  <si>
    <t>NAPINDAN INTEGRATED SCHOOL</t>
  </si>
  <si>
    <t>JOSE B. LINGAD MEMORIAL GENERAL HOSPITAL</t>
  </si>
  <si>
    <t>MUNICIPALITY OF PAOAY, ILOCOS NORTE</t>
  </si>
  <si>
    <t>MUNICIPALITY OF BINMALEY, PANGASINAN</t>
  </si>
  <si>
    <t>BARANGAY GAWISAN-MAASIN CITY SOUTHERN LEYTE</t>
  </si>
  <si>
    <t>BARANGAY ESPINOSA, JORDAN, GUIMARAS</t>
  </si>
  <si>
    <t>MUNICIPALITY OF TULUNAN, NORTH COTABATO</t>
  </si>
  <si>
    <t>HOME DEVELOPMENT MUTUAL FUND - MAKATI BRANCH</t>
  </si>
  <si>
    <t>MUNICIPALITY OF DATU ODIN SINSUAT, MAGUINDANAO</t>
  </si>
  <si>
    <t>BARANGAY BUCAL 4A MARAGONDON CAVITE</t>
  </si>
  <si>
    <t>MUNICIPALITY OF HINABANGAN, SAMAR</t>
  </si>
  <si>
    <t>BARANGAY STO. NINO, NAUJAN, ORIENTAL MINDORO</t>
  </si>
  <si>
    <t>BARANGAY SAN AGUSTIN II, NAUJAN, ORIENTAL MINDORO</t>
  </si>
  <si>
    <t>KAPALARAN ELEMENTARY SCHOOL</t>
  </si>
  <si>
    <t>MUNICIPALITY OF CANTILAN, SURIGAO DEL SUR</t>
  </si>
  <si>
    <t>BARANGAY 15 ILAWOD EAST- LEGAZPI CITY ALBAY</t>
  </si>
  <si>
    <t>BARANGAY 787 ZONE 86 DISTRICT V, MANILA</t>
  </si>
  <si>
    <t>MUNICIPALITY OF BACACAY, ALBAY</t>
  </si>
  <si>
    <t>DEPED-GUILLERMO D. MENDOZA HIGH SCHOOL</t>
  </si>
  <si>
    <t>BARANGAY 567, ZONE 55, DISTRICT IV MANILA</t>
  </si>
  <si>
    <t>SIBUYAO NATIONAL HIGH SCHOOL</t>
  </si>
  <si>
    <t>106TH CONTRACTING OFFICE, AFP PROCUREMENT SERVICE</t>
  </si>
  <si>
    <t>BARANGAY TEBENG, DAGUPAN, PANGASINAN</t>
  </si>
  <si>
    <t>BARANGAY HAGAN, BONGABONG, ORIENTAL MINDORO</t>
  </si>
  <si>
    <t>MUNICIPALITY OF SAN ANDRES, CATANDUANES</t>
  </si>
  <si>
    <t>BARANGAY BAGONG PAG-ASA - QUEZON CITY METRO MANILA</t>
  </si>
  <si>
    <t>DAGATKIDAVAO INTEGRATED SCHOOL  - VALENCIA CITY BUKIDNON</t>
  </si>
  <si>
    <t>DEPARTMENT OF PUBLIC WORKS AND HIGHWAYS - APAYAO 1ST DEO</t>
  </si>
  <si>
    <t>PASONG BUAYA III ELEMENTARY SCHOOL - IMUS CAVITE</t>
  </si>
  <si>
    <t>MONCADA NATIONAL HIGH SCHOOL - MONCADA TARLAC</t>
  </si>
  <si>
    <t>BARANGAY LIWAN NORTE -ENRILE CAGAYAN</t>
  </si>
  <si>
    <t>BARANGAY 07 POBLACION, CATBALOGAN, SAMAR</t>
  </si>
  <si>
    <t>MAGSAYSAY ELEMENTARY SCHOOL - KIBAWE BUKIDNON</t>
  </si>
  <si>
    <t>NATIONAL FOOD AUTHORITY - REGION VI</t>
  </si>
  <si>
    <t>MUNICIPALITY OF LIBON, ALBAY</t>
  </si>
  <si>
    <t>CEMBO ELEMENTARY SCHOOL</t>
  </si>
  <si>
    <t>BARANGAY TAGGAT SUR, CLAVERIA, CAGAYAN</t>
  </si>
  <si>
    <t>DEPARTMENT OF PUBLIC WORKS AND HIGHWAYS - MINDORO OCCIDENTAL</t>
  </si>
  <si>
    <t>SAN LAZARO HOSPITAL</t>
  </si>
  <si>
    <t>BARANGAY BATONG MALAKE, LOS BAÑOS, LAGUNA</t>
  </si>
  <si>
    <t>KUMALIWAT ELEMENTARY SCHOOL</t>
  </si>
  <si>
    <t>MUNICIPALITY OF LOAY, BOHOL</t>
  </si>
  <si>
    <t>BARANGAY NAGUILIAN LALLO CAGAYAN</t>
  </si>
  <si>
    <t>BARANGAY ALSEM, VINTAR, ILOCOS NORTE</t>
  </si>
  <si>
    <t>MUNICIPALITY OF SILANG , CAVITE</t>
  </si>
  <si>
    <t>CAPITAN BAYONG ELEMENTARY SCHOOL</t>
  </si>
  <si>
    <t>MUNICIPALITY OF SAN FERNANDO, ROMBLON</t>
  </si>
  <si>
    <t>BARANGAY 649, ZONE 68, DISTRICT V, PORT AREA, MANILA</t>
  </si>
  <si>
    <t>DEPARTMENT OF PUBLIC WORKS AND HIGHWAYS - RIZAL 1ST ED</t>
  </si>
  <si>
    <t>BARANGAY TONDOD, SAN JOSE CITY, NUEVA ECIJA</t>
  </si>
  <si>
    <t>COMMISSION ON HIGHER EDUCATION - MAIN</t>
  </si>
  <si>
    <t>BANLAG ELEMENTARY SCHOOL - BANLAG VALENCIA CITY</t>
  </si>
  <si>
    <t>BARANGAY CABALAYANGAN, BAUANG, LA UNION</t>
  </si>
  <si>
    <t>BARANGAY NEW COMPOSTELA, DAMULOG, BUKIDNON</t>
  </si>
  <si>
    <t>BARANGAY BANYAGA, AGONCILLO, BATANGAS</t>
  </si>
  <si>
    <t>NATIONAL ECONOMIC AND DEVELOPMENT AUTHORITY - MAIN</t>
  </si>
  <si>
    <t>MUNICIPALITY OF STO. TOMAS, DAVAO DEL NORTE</t>
  </si>
  <si>
    <t>BARANGAY BILIBINWANG, AGONCILLO, BATANGAS</t>
  </si>
  <si>
    <t>BARANGAY PALINA, PUGO, LA UNION</t>
  </si>
  <si>
    <t>DEPARTMENT OF TRADE AND INDUSTRY - CAR</t>
  </si>
  <si>
    <t>OFFICE OF THE GOVERNMENT CORPORATE COUNSEL</t>
  </si>
  <si>
    <t>BARANGAY BAGONG SILANG, CALATAGAN, BATANGAS</t>
  </si>
  <si>
    <t>BARANGAY CAGBUNGA GAINZA CAMARINES SUR</t>
  </si>
  <si>
    <t>STO. DOMINGO INTEGRATED HIGH SCHOOL</t>
  </si>
  <si>
    <t>FORCHACU III ELEMENTARY SCHOOL</t>
  </si>
  <si>
    <t>MUNICIPALITY OF STA. ANA, PAMPANGA</t>
  </si>
  <si>
    <t>PN BAC SECRETARIAT, AFP PROCUREMENT SERVICE</t>
  </si>
  <si>
    <t>COMMISSION ON POPULATION - REGION XII</t>
  </si>
  <si>
    <t>DEPARTMENT OF EDUCATION - DIVISION OF DAVAO DEL NORTE</t>
  </si>
  <si>
    <t>METRO CARIGARA WATER DISTRICT</t>
  </si>
  <si>
    <t>BARANGAY MAGAIS 1, DEL GALLEGO, CAMARINES SUR</t>
  </si>
  <si>
    <t>BARANGAY ALIBAGO ENRILE CAGAYAN</t>
  </si>
  <si>
    <t>BARANGAY 7 POBLACION, LUCENA CITY</t>
  </si>
  <si>
    <t>MUNICIPALITY OF PILAR, CEBU</t>
  </si>
  <si>
    <t>DEPARTMENT OF PUBLIC WORKS AND HIGHWAYS - REGION IV-B</t>
  </si>
  <si>
    <t>SMALL BUSINESS GUARANTEE AND FINANCE CORPORATION - MAKATI CI</t>
  </si>
  <si>
    <t>MUNICIPALITY OF LIBAGON, SOUTHERN LEYTE</t>
  </si>
  <si>
    <t>MUNICIPALITY OF ADAMS, ILOCOS NORTE</t>
  </si>
  <si>
    <t>MUNICIPALITY OF STA. JOSEFA, AGUSAN DEL SUR</t>
  </si>
  <si>
    <t>BARANGAY SAN ROQUE, ANTIPOLO CITY</t>
  </si>
  <si>
    <t>MUNICIPALITY OF IGBARAS, ILOILO</t>
  </si>
  <si>
    <t>DOMINGO LACSON NATIONAL HIGH SCHOOL</t>
  </si>
  <si>
    <t>DEPARTMENT OF ENVIRONMENT AND NATURAL RES. - PENRO KALINGA</t>
  </si>
  <si>
    <t>COMMISSION ON POPULATION AND DEVELOPMENT</t>
  </si>
  <si>
    <t>MUNICIPALITY OF BESAO, MOUNTAIN PROVINCE</t>
  </si>
  <si>
    <t>MUNICIPALITY OF SANTA FE, NUEVA VIZCAYA</t>
  </si>
  <si>
    <t>DEPARTMENT OF EDUCATION - DIVISION OF ISLAND GARDEN CITY</t>
  </si>
  <si>
    <t>DEPARTMENT OF EDUCATION - DIVISION OF BAGUIO CITY</t>
  </si>
  <si>
    <t>DEPARTMENT OF EDUCATION - DIVISION OF LAOAG CITY</t>
  </si>
  <si>
    <t>BARANGAY PUNTA I, TANZA, CAVITE</t>
  </si>
  <si>
    <t>DEPARTMENT OF PUBLIC WORKS AND HIGHWAYS - CAVITE 3RD DISTRIC</t>
  </si>
  <si>
    <t>BARANGAY BINUBONGAN, ALLACAPAN, CAGAYAN</t>
  </si>
  <si>
    <t>MUNICIPALITY OF CABANGAN, ZAMBALES</t>
  </si>
  <si>
    <t>BARANGAY DISTRICT 8, ORMOC CITY, LEYTE</t>
  </si>
  <si>
    <t>BARANGAY TICUB, LAUREL, BATANGAS</t>
  </si>
  <si>
    <t>DEPARTMENT OF EDUCATION - DIVISION OF SIARGAO</t>
  </si>
  <si>
    <t>MUNICIPALITY OF LARENA, SIQUIJOR</t>
  </si>
  <si>
    <t>MUNICIPALITY OF GERONA, TARLAC</t>
  </si>
  <si>
    <t>BARANGAY SANTIAGO SANCHEZ MIRA CAGAYAN</t>
  </si>
  <si>
    <t>BARANGAY BONBON, CAGAYAN DE ORO CITY</t>
  </si>
  <si>
    <t>PEDRO E. RAMOS SR. ELEMENTARY SCHOOL</t>
  </si>
  <si>
    <t>DEPARTMENT OF PUBLIC WORKS AND HIGHWAYS - CEBU 3RD DEO</t>
  </si>
  <si>
    <t>SULU SANITARIUM</t>
  </si>
  <si>
    <t>OCCIDENTAL MINDORO STATE COLLEGE</t>
  </si>
  <si>
    <t>LIGA NG MGA BARANGAY - VILLABA LEYTE CHAPTER</t>
  </si>
  <si>
    <t>MUNICIPALITY OF SAN ISIDRO, NORTHERN SAMAR</t>
  </si>
  <si>
    <t>DEPARTMENT OF PUBLIC WORKS AND HIGHWAYS - QUEZON CITY 2ND ED</t>
  </si>
  <si>
    <t>DEPARTMENT OF EDUCATION - REGION XI</t>
  </si>
  <si>
    <t>BARANGAY PINAGSABANGAN I, NAUJAN, ORIENTAL MINDORO</t>
  </si>
  <si>
    <t>MUNICIPALITY OF SADANGA, MOUNTAIN PROVINCE</t>
  </si>
  <si>
    <t>BARANGAY PUTING BATO WEST, CALACA, BATANGAS</t>
  </si>
  <si>
    <t>SUBIC WATER DISTRICT</t>
  </si>
  <si>
    <t>CALAMBA WATER DISTRICT</t>
  </si>
  <si>
    <t>BARANGAY BULUANG, COMPOSTELA, CEBU</t>
  </si>
  <si>
    <t>MUNICIPALITY OF BAGABAG, NUEVA VIZCAYA</t>
  </si>
  <si>
    <t>TALAVERA GENERAL HOSPITAL</t>
  </si>
  <si>
    <t>MUNICIPALITY OF NAGBUKEL, ILOCOS SUR</t>
  </si>
  <si>
    <t>MUNICIPALITY OF CANAMAN, CAMARINES SUR</t>
  </si>
  <si>
    <t>CITY OF MEYCAUAYAN, BULACAN</t>
  </si>
  <si>
    <t>SCIENCE AND TECHNOLOGY INFORMATION INSTITUTE</t>
  </si>
  <si>
    <t>CITY OF CALAMBA, LAGUNA</t>
  </si>
  <si>
    <t>BARANGAY TANZA - ESTANCIA ILOILO</t>
  </si>
  <si>
    <t>MUNICIPALITY OF PALANAS, MASBATE</t>
  </si>
  <si>
    <t>MUNICIPALITY OF BAUAN, BATANGAS</t>
  </si>
  <si>
    <t>STA. JUSTINA EAST ELEMENTARY SCHOOL</t>
  </si>
  <si>
    <t>CUGMAN ELEMENTARY SCHOOL</t>
  </si>
  <si>
    <t>BARANGAY 30-C, DAVAO CITY, DAVAO DEL SUR</t>
  </si>
  <si>
    <t>BARANGAY TALAGA, ARGAO, CEBU</t>
  </si>
  <si>
    <t>DEPARTMENT OF AGRICULTURE MIMAROPA</t>
  </si>
  <si>
    <t>DEPARTMENT OF EDUCATION - DIVISION OF SIPALAY CITY</t>
  </si>
  <si>
    <t>BARANGAY CAMP AGUINALDO - QUEZON CITY</t>
  </si>
  <si>
    <t>BASILAN NATIONAL HIGH SCHOOL - ISABELA CITY BASILAN</t>
  </si>
  <si>
    <t>BARANGAY VILLA PANTINOPLE - BASILISA, DINAGAT ISLAND</t>
  </si>
  <si>
    <t>MUNICIPALITY OF PAGSANGHAN, SAMAR</t>
  </si>
  <si>
    <t>DEPARTMENT OF PUBLIC WORKS AND HIGHWAYS - BACOLOD CITY DEO</t>
  </si>
  <si>
    <t>CABADIANGAN ELEMENTARY SCHOOL- SCHOOL BASED FEEDING PROGRAM</t>
  </si>
  <si>
    <t>GENARO P. ALVAREZ ELEM. SCHOOL</t>
  </si>
  <si>
    <t>NATIONAL DEFENSE COLLEGE OF THE PHILIPPINES, DND</t>
  </si>
  <si>
    <t>BUENAVISTA NATIONAL HIGH SCHOOL</t>
  </si>
  <si>
    <t>BARANGAY SAN ANTONIO CLAVERIA CAGAYAN</t>
  </si>
  <si>
    <t>DEPARTMENT OF AGRARIAN REFORM - LAGUNA PROVINCIAL OFFICE</t>
  </si>
  <si>
    <t>CARTAGENA ELEMENTARY SCHOOL, SIPALAY II, NEGROS OCCIDENTAL</t>
  </si>
  <si>
    <t>MUNICIPALITY OF BATAD, ILOILO</t>
  </si>
  <si>
    <t>SURIGAO STATE COLLEGE OF TECHNOLOGY</t>
  </si>
  <si>
    <t>MUNICIPALITY OF PORO, CEBU</t>
  </si>
  <si>
    <t>DEPARTMENT OF PUBLIC WORKS AND HIGHWAYS - LANAO DEL NORTE 2N</t>
  </si>
  <si>
    <t>PNOC EXPLORATION CORPORATION - TAGUIG CITY</t>
  </si>
  <si>
    <t>BARANGAY TORAN - APARRI CAGAYAN</t>
  </si>
  <si>
    <t>BARANGAY CALUMPANG, ILOILO CITY</t>
  </si>
  <si>
    <t>DEPARTMENT OF PUBLIC WORKS AND HIGHWAYS - ILOCOS SUR 2ND DEO</t>
  </si>
  <si>
    <t>BARANGAY SAN PEDRO -  TALIBON BOHOL</t>
  </si>
  <si>
    <t>AKLAN STATE UNIVERSITY - BANGA CAMPUS</t>
  </si>
  <si>
    <t>PROVINCE OF BUKIDNON</t>
  </si>
  <si>
    <t>DEPARTMENT OF TRADE AND INDUSTRY - REGION XI</t>
  </si>
  <si>
    <t>SAN JOSE (DINAGAT ISLAND) WATER DISTRICT</t>
  </si>
  <si>
    <t>BARANGAY ALABIAO, TUAO, CAGAYAN</t>
  </si>
  <si>
    <t>BARANGAY CABARITAN WEST, BALLESTEROS, CAGAYAN</t>
  </si>
  <si>
    <t>HOLY SPIRIT ELEMENTARY SCHOOL</t>
  </si>
  <si>
    <t>MUNICIPALITY OF MASIU, LANAO DEL SUR</t>
  </si>
  <si>
    <t>MUNICIPALITY OF ALLACAPAN, CAGAYAN</t>
  </si>
  <si>
    <t>BARANGAY KAYAPA, BAKUN, BENGUET</t>
  </si>
  <si>
    <t>BARANGAY CABUYEW, NAGCARLAN, LAGUNA</t>
  </si>
  <si>
    <t>MUNICIPALITY OF GUINDULMAN, BOHOL</t>
  </si>
  <si>
    <t>LAS PIÑAS GENERAL HOSPITAL AND SATELLITE TRAUMA CENTER</t>
  </si>
  <si>
    <t>DEPARTMENT OF PUBLIC WORKS AND HIGHWAYS - BULACAN 1ST DEO</t>
  </si>
  <si>
    <t>COMMISSION ON HIGHER EDUCATION - REGION VIII</t>
  </si>
  <si>
    <t>PAYATAS B ELEMENTARY SCHOOL</t>
  </si>
  <si>
    <t>VILLA VERDE ELEMENTARY SCHOOL</t>
  </si>
  <si>
    <t>DEPARTMENT OF EDUCATION - DIVISION OF LANAO DEL NORTE</t>
  </si>
  <si>
    <t>BARANGAY BAY-ANG UBAY BOHOL</t>
  </si>
  <si>
    <t>LBP RESOURCES AND DEVELOPMENT CORPORATION</t>
  </si>
  <si>
    <t>BARANGAY PORTABAGA- STA. PRAXEDES CAGAYAN</t>
  </si>
  <si>
    <t>MUNICIPALITY OF BANGA</t>
  </si>
  <si>
    <t>MUNICIPALITY OF GUIMBAL, ILOILO</t>
  </si>
  <si>
    <t>CITY OF CALAPAN, ORIENTAL MINDORO</t>
  </si>
  <si>
    <t>MUNICIPALITY OF TIAONG, QUEZON</t>
  </si>
  <si>
    <t>BUREAU OF FISHERIES AND AQUATIC RESOURCES - REGION X</t>
  </si>
  <si>
    <t>BARANGAY BANAHAO - BAYBAY CITY LEYTE</t>
  </si>
  <si>
    <t>MUNICIPALITY OF LAGAWE, IFUGAO</t>
  </si>
  <si>
    <t>DEPARTMENT OF EDUCATION - MIMAROPA REGION</t>
  </si>
  <si>
    <t>BARANGAY SOOC, AREVALO, ILOILO CITY</t>
  </si>
  <si>
    <t>DAVAO ORIENTAL STATE COLLEGE OF  SCIENCE AND  TECHNOLOGY</t>
  </si>
  <si>
    <t>PROVINCE OF APAYAO</t>
  </si>
  <si>
    <t>DAPITAN CITY WATER DISTRICT</t>
  </si>
  <si>
    <t>MUNICIPALITY OF MOALBOAL, CEBU</t>
  </si>
  <si>
    <t>ILOCOS SUR POLYTECHNIC STATE COLLEGE</t>
  </si>
  <si>
    <t>MUNICIPALITY OF SIPOCOT, CAMARINES SUR</t>
  </si>
  <si>
    <t>MUNICIPALITY OF NABUA, CAMARINES SUR</t>
  </si>
  <si>
    <t>MUNICIPALITY OF MARAGUSAN COMPOSTELA VALLEY</t>
  </si>
  <si>
    <t>CITY OF CEBU, CEBU</t>
  </si>
  <si>
    <t>BARANGAY SAN ROQUE - MACO, COMPOSTELA VALLEY</t>
  </si>
  <si>
    <t>MUNICIPALITY OF TALISAYAN, MISAMIS ORIENTAL</t>
  </si>
  <si>
    <t>DEPARTMENT OF PUBLIC WORKS AND HIGHWAYS - BUTUAN CITY DEO</t>
  </si>
  <si>
    <t>PROVINCE OF PANGASINAN</t>
  </si>
  <si>
    <t>BARANGAY POMPONAN - BAYBAY CITY LEYTE</t>
  </si>
  <si>
    <t>BARANGAY FUNDADO, CAMARINES NORTE</t>
  </si>
  <si>
    <t>BARANGAY SAPA - BAYBAY CITY LEYTE</t>
  </si>
  <si>
    <t>BARANGAY TAWID, ANDA, BOHOL</t>
  </si>
  <si>
    <t>MUNICIPALITY OF MEDINA, MISAMIS ORIENTAL</t>
  </si>
  <si>
    <t>MUNICIPALITY OF BAMBAN, TARLAC</t>
  </si>
  <si>
    <t>MUNICIPALITY OF ALIMODIAN, ILOILO</t>
  </si>
  <si>
    <t>BARANGAY BALIW - HILONGOS, LEYTE</t>
  </si>
  <si>
    <t>BARANGAY TOMOY-TOMOY, MAASIN CITY SOUTHERN LEYTE</t>
  </si>
  <si>
    <t>EAST AVENUE MEDICAL CENTER</t>
  </si>
  <si>
    <t>BARANGAY ABBANGKERUAN, PAMPLONA, CAGAYAN</t>
  </si>
  <si>
    <t>DEPARTMENT OF PUBLIC WORKS AND HIGHWAYS - GUIMARAS DEO</t>
  </si>
  <si>
    <t>BARANGAY  PANAMOREN - LAAK COMPOSTELA VALLEY</t>
  </si>
  <si>
    <t>MUNICIPALITY OF SUAL -  PANGASINAN</t>
  </si>
  <si>
    <t>MUNICIPALITY OF CAMALIG, ALBAY</t>
  </si>
  <si>
    <t>MUNICIPALITY OF PANIQUI, TARLAC</t>
  </si>
  <si>
    <t>DEPARTMENT OF AGRARIAN REFORM - AGUSAN DEL NORTE</t>
  </si>
  <si>
    <t>MUNICIPALITY OF MATNOG , SORSOGON</t>
  </si>
  <si>
    <t>CORAZON LOCSIN MONTELIBANO MEMORIAL REGIONAL HOSPITAL-DOH R6</t>
  </si>
  <si>
    <t>KIBOGTOK ELEMENTARY SCHOOL</t>
  </si>
  <si>
    <t>DEPARTMENT OF PUBLIC WORKS AND HIGHWAYS - PALAWAN 2ND DEO</t>
  </si>
  <si>
    <t>BARANGAY BARBO, DULAG, LEYTE</t>
  </si>
  <si>
    <t>BARANGAY STO. TOMAS, BIÑAN, LAGUNA</t>
  </si>
  <si>
    <t>CENTRAL BICOL STATE UNIVERSITY OF AGRICULTURE (CBSUA)</t>
  </si>
  <si>
    <t>DIFFUN WATER DISTRICT</t>
  </si>
  <si>
    <t>NATIONAL ARCHIVES OF THE PHILIPPINES</t>
  </si>
  <si>
    <t>MUNICIPALITY  OF MALASIQUI, PANGASINAN</t>
  </si>
  <si>
    <t>MUNICIPALITY OF MOLAVE, ZAMBOANGA DEL SUR</t>
  </si>
  <si>
    <t>BARANGAY MAHIPON-LUMOT - CAVINTI LAGUNA</t>
  </si>
  <si>
    <t>MUNICIPALITY OF OCAMPO, CAMARINES SUR</t>
  </si>
  <si>
    <t>BARANGAY 49-B RARABURAN, LAOAG CITY, ILOCOS NORTE</t>
  </si>
  <si>
    <t>MUNICIPALITY OF CAN-AVID, EASTERN SAMAR</t>
  </si>
  <si>
    <t>KALAMPIGAN ELEMENTARY SCHOOL - IMPASUG-ONG BUKIDNON</t>
  </si>
  <si>
    <t>DEPARTMENT OF ENVIRONMENT AND NATURAL RES. - PENRO, REGION I</t>
  </si>
  <si>
    <t>MUNICIPALITY OF MAGARAO, CAMARINES SUR</t>
  </si>
  <si>
    <t>MUNICIPALITY OF BALLESTEROS, CAGAYAN</t>
  </si>
  <si>
    <t>MUNICIPALITY OF SIAYAN, ZAMBOANGA DEL NORTE</t>
  </si>
  <si>
    <t>CONSTRUCTION INDUSTRY AUTHORITY OF THE PHILIPPINES</t>
  </si>
  <si>
    <t>MUNICIPALITY OF VINZONS, CAMARINES NORTE</t>
  </si>
  <si>
    <t>MUNICIPALITY OF BATUAN, BOHOL</t>
  </si>
  <si>
    <t>PAMANTASAN NG LUNGSOD NG MAYNILA</t>
  </si>
  <si>
    <t>FOREST MANAGEMENT BUREAU ,DENR</t>
  </si>
  <si>
    <t>BARANGAY STO. CRISTO, SAN JOSE, BATANGAS</t>
  </si>
  <si>
    <t>CITY  OF CABANATUAN, NUEVA ECIJA</t>
  </si>
  <si>
    <t>BARANGAY NAPO, INABANGA, BOHOL</t>
  </si>
  <si>
    <t>DEPARTMENT OF EDUCATION - REGION II</t>
  </si>
  <si>
    <t xml:space="preserve">LOPEZ JAENA  ELEMENTARY SCHOOL </t>
  </si>
  <si>
    <t>MUNICIPALITY OF MABUHAY, ZAMBOANGA SIBUGAY</t>
  </si>
  <si>
    <t>MUNICIPALITY OF TUAO, CAGAYAN</t>
  </si>
  <si>
    <t>NATIONAL RESEARCH COUNCIL OF THE PHILIPPINES</t>
  </si>
  <si>
    <t>DEPARTMENT OF SCIENCE AND TECHNOLOGY-PCAARRD</t>
  </si>
  <si>
    <t>BENGUET GENERAL HOSPITAL</t>
  </si>
  <si>
    <t>DEPARTMENT OF PUBLIC WORKS AND HIGHWAYS - MIS. OCC. SUB-DEO</t>
  </si>
  <si>
    <t>DEPARTMENT OF SOCIAL WELFARE AND DEVELOPMENT - REGION VII</t>
  </si>
  <si>
    <t>MUNICIPALITY OF SIBUCO, ZAMBOANGA DEL NORTE</t>
  </si>
  <si>
    <t>BARANGAY CABUNGAHAN - MAAYON CAPIZ</t>
  </si>
  <si>
    <t>DBP BRANCH BANKING GROUP - BICOL</t>
  </si>
  <si>
    <t>RIZAL TECHNOLOGICAL UNIVERSITY</t>
  </si>
  <si>
    <t>MUNICIPALITY OF CATARMAN, CAMIGUIN</t>
  </si>
  <si>
    <t>MUNICIPALITY OF TINAMBAC, CAMARINES SUR</t>
  </si>
  <si>
    <t>MUNICIPALITY OF BUTIG, LANAO DEL SUR</t>
  </si>
  <si>
    <t>BARANGAY TAGBACAN SILANGAN, CATANAUAN, QUEZON</t>
  </si>
  <si>
    <t>IBAJAY NATIONAL HIGH SCHOOL</t>
  </si>
  <si>
    <t>DEPARTMENT OF PUBLIC WORKS AND HIGHWAYS - LANAO DEL NORTE 1S</t>
  </si>
  <si>
    <t>DEPARTMENT OF ENVIRONMENT AND NATURAL RES. - PENRO, ISABELA</t>
  </si>
  <si>
    <t>BAYAMBANG NATIONAL HIGH SCHOOL - BAYAMBANG, PANGASINAN</t>
  </si>
  <si>
    <t>MUNICIPALITY OF BUENAVISTA, MARINDUQUE</t>
  </si>
  <si>
    <t>SURIGAO METROPOLITAN WATER DISTRICT</t>
  </si>
  <si>
    <t>MUNICIPALITY OF PILAR, CAPIZ</t>
  </si>
  <si>
    <t>BARANGAY BARBARANGAY BANNA ILOCOS NORTE</t>
  </si>
  <si>
    <t>PHILIPPINE MINING DEVELOPMENT CORPORATION</t>
  </si>
  <si>
    <t>WEST VISAYAS STATE UNIVERSITY MEDICAL CENTER - REGION VI</t>
  </si>
  <si>
    <t>MUNICIPALITY OF CALATAGAN, BATANGAS</t>
  </si>
  <si>
    <t>MUNICIPALITY OF NUEVA VALENCIA, GUIMARAS</t>
  </si>
  <si>
    <t>DEPARTMENT OF AGRICULTURE - REGION IX</t>
  </si>
  <si>
    <t>BARANGAY MILAGROSA, CATANAUAN, QUEZON</t>
  </si>
  <si>
    <t>BARANGAY COTTA, LUCENA CITY</t>
  </si>
  <si>
    <t>MUNICIPALITY OF ITOGON, BENGUET</t>
  </si>
  <si>
    <t>BARANGAY LA VICTORIA - IMELDA ZAMBOANGA SIBUGAY</t>
  </si>
  <si>
    <t>TECHNICAL EDUCATION &amp; SKILLS DEVELOPMENT AUTHORITY - SAMAR</t>
  </si>
  <si>
    <t>MUNICIPALITY OF MARIHATAG, SURIGAO DEL SUR</t>
  </si>
  <si>
    <t>MUNICIPALITY OF BARLIG MOUNTAIN PROVINCE</t>
  </si>
  <si>
    <t>DEPARTMENT OF PUBLIC WORKS AND HIGHWAYS - CAPIZ 2ND ED</t>
  </si>
  <si>
    <t>BARANGAY STA. CRUZ, MEXICO, PAMPANGA</t>
  </si>
  <si>
    <t>DEPARTMENT OF PUBLIC WORKS AND HIGHWAYS - DAVAO CITY DEO</t>
  </si>
  <si>
    <t>BOHOL ISLAND STATE UNIVERSITY - CLARIN CAMPUS</t>
  </si>
  <si>
    <t>MUNICIPALITY OF MAITUM, SARANGANI</t>
  </si>
  <si>
    <t>MUNICIPALITY OF CALABANGA, CAMARINES SUR</t>
  </si>
  <si>
    <t>BARANGAY MURITULA, SAN LUIS, AGUSAN DEL SUR</t>
  </si>
  <si>
    <t>DEPARTMENT OF EDUCATION - DIVISION OF NUEVA VIZCAYA</t>
  </si>
  <si>
    <t>MUNICIPALITY OF MONCADA, TARLAC</t>
  </si>
  <si>
    <t>ESTANZA ELEMENTARY SCHOOL - LEGAZPI CITY ALBAY</t>
  </si>
  <si>
    <t>MUNICIPALITY OF LEMERY, BATANGAS</t>
  </si>
  <si>
    <t>MUNICIPALITY OF GARCIA-HERNANDEZ, BOHOL</t>
  </si>
  <si>
    <t>MUNICIPALITY OF BUENAVISTA, BOHOL</t>
  </si>
  <si>
    <t>BARANGAY GINES LEON ILO-ILO</t>
  </si>
  <si>
    <t>NATIONAL INTELLIGENCE COORDINATING AGENCY</t>
  </si>
  <si>
    <t>BARANGAY MALAGA - BINDOY (PAYABON) NEGROS ORIENTAL</t>
  </si>
  <si>
    <t>DEPARTMENT OF SCIENCE AND TECHNOLOGY - REGION V</t>
  </si>
  <si>
    <t>CIVIL AVIATION AUTHORITY OF THE PHILIPPINES - REGION V</t>
  </si>
  <si>
    <t>DEPARTMENT OF EDUCATION - DIVISION OF BACOLOD CITY</t>
  </si>
  <si>
    <t>KADINGILAN CENTRAL ELEMENTARY SCHOOL</t>
  </si>
  <si>
    <t>NATIONAL POWER CORPORATION SPUG-MINDANAO</t>
  </si>
  <si>
    <t>MUNICIPALITY OF GEN. MACARTHUR, EASTERN SAMAR</t>
  </si>
  <si>
    <t>DEPARTMENT OF PUBLIC WORKS AND HIGHWAYS - METRO MANILA 3RD E</t>
  </si>
  <si>
    <t>BICOL UNIVERSITY POLANGUI CAMPUS</t>
  </si>
  <si>
    <t>BANGKO SENTRAL NG PILIPINAS - ROXAS BRANCH</t>
  </si>
  <si>
    <t>WESTERN PHILIPPINES UNIVERSITY</t>
  </si>
  <si>
    <t>SUGAR REGULATORY ADMINISTRATION</t>
  </si>
  <si>
    <t>MUNICIPALITY OF DULAG, LEYTE</t>
  </si>
  <si>
    <t>BARANGAY NUEVO TRABAJO, SAN LUIS, AGUSAN DEL SUR</t>
  </si>
  <si>
    <t>BANGKO SENTRAL NG PILIPINAS - DUMAGUETE BRANCH</t>
  </si>
  <si>
    <t>WESTERN VISAYAS MEDICAL CENTER</t>
  </si>
  <si>
    <t>BARANGAY BADIAN, OAS, ALBAY</t>
  </si>
  <si>
    <t>BARANGAY SAPA I ROSARIO CAVITE</t>
  </si>
  <si>
    <t>MUNICIPALITY OF SARRAT, ILOCOS NORTE</t>
  </si>
  <si>
    <t>MUNICIPALITY OF SAN ANDRES, QUEZON</t>
  </si>
  <si>
    <t>SK OF  BARANGAY OLYMPIA - MAKATI CITY</t>
  </si>
  <si>
    <t>BARANGAY KINUBAN, MACO, COMPOSTELA VALLEY</t>
  </si>
  <si>
    <t>PAHANOCOY BAYBAY ELEMENTARY SCHOOL - BACOLOD CITY</t>
  </si>
  <si>
    <t>MUNICIPALITY OF MARAMAG, BUKIDNON</t>
  </si>
  <si>
    <t>MUNICIPALITY OF SAN ANTONIO, NORTHERN SAMAR</t>
  </si>
  <si>
    <t>CITY OF MALOLOS, BULACAN</t>
  </si>
  <si>
    <t>MUNICIPALITY OF ORION, BATAAN</t>
  </si>
  <si>
    <t>MUNICIPALITY OF QUEZON, NUEVA VIZCAYA</t>
  </si>
  <si>
    <t>MUNICIPALITY OF MAYDOLONG, EASTERN SAMAR</t>
  </si>
  <si>
    <t>BARANGAY MARUNGKO - ANGAT BULACAN</t>
  </si>
  <si>
    <t>BARANGAY BALIT, SAN LUIS, AGUSAN DEL SUR</t>
  </si>
  <si>
    <t>DEPARTMENT OF EDUCATION - DIVISION OF DUMAGUETE CITY</t>
  </si>
  <si>
    <t>MUNICIPALITY OF JORDAN, GUIMARAS</t>
  </si>
  <si>
    <t>MUNICIPALITY OF BALAMBAN, CEBU</t>
  </si>
  <si>
    <t>BARANGAY SICO, LIPA CITY</t>
  </si>
  <si>
    <t>MUNICIPALITY OF MAPANDAN, PANGASINAN</t>
  </si>
  <si>
    <t>PHILIPPINE CARABAO CENTER AT CENTRAL MINDANAO UNIVERSITY</t>
  </si>
  <si>
    <t>DEPARTMENT OF AGRARIAN REFORM - QUIRINO PROVINCIAL OFFICE</t>
  </si>
  <si>
    <t>LOOC NATIONAL HIGH SCHOOL -  LOOC NATIONAL HIGH SCHOOL</t>
  </si>
  <si>
    <t>OFFICE OF CIVIL DEFENSE</t>
  </si>
  <si>
    <t>DEPARTMENT OF PUBLIC WORKS AND HIGHWAYS - BILIRAN ED</t>
  </si>
  <si>
    <t>MUNICIPALITY OF AROROY, MASBATE</t>
  </si>
  <si>
    <t>SABLAYAN WATER DISTRICT</t>
  </si>
  <si>
    <t>MUNICIPALITY OF DOLORES, EASTERN SAMAR</t>
  </si>
  <si>
    <t>SAN CELESTINO NATIONAL HIGH SCHOOL</t>
  </si>
  <si>
    <t>MUNICIPALITY OF BURUANGA, AKLAN</t>
  </si>
  <si>
    <t>BARANGAY BATI-AWAN, TAFT EASTERN SAMAR</t>
  </si>
  <si>
    <t>BARANGAY SAN FELIPE, NAGA CITY, CAMARINES SUR</t>
  </si>
  <si>
    <t>BARANGAY SAN FELIPE TANTANGAN SOUTH COTABATO</t>
  </si>
  <si>
    <t>BARANGAY KINAGUNAN ILAYA PADRE BURGOS QUEZON</t>
  </si>
  <si>
    <t>BARANGAY ALTURA MATANDA, TANAUAN CITY, BATANGAS</t>
  </si>
  <si>
    <t>DR. E. B. ESPINOSA, SR. MEMORIAL STATE COL OF AGRIC AND TECH</t>
  </si>
  <si>
    <t>BARANGAY NG CALAYUAN MATNOG SOROSOGON</t>
  </si>
  <si>
    <t>MUNICIPALITY OF AGNO, PANGASINAN</t>
  </si>
  <si>
    <t>ADELA SERRA TY MEMORIAL MEDICAL CENTER</t>
  </si>
  <si>
    <t>ILUGIN ELEMENTARY SCHOOL</t>
  </si>
  <si>
    <t>MUNICIPALITY OF LOOC, OCCIDENTAL MINDORO</t>
  </si>
  <si>
    <t>MUNICIPALITY OF POLANGUI, ALBAY</t>
  </si>
  <si>
    <t>BARANGAY OBALIW-RINAS, OAS, ALBAY</t>
  </si>
  <si>
    <t>NATURAL RESOURCES DEVELOPMENT CORPORATION</t>
  </si>
  <si>
    <t>BARANGAY SUA MATNOG SORSOGON</t>
  </si>
  <si>
    <t>BALIWAG WATER DISTRICT</t>
  </si>
  <si>
    <t>BARANGAY SAN ISIDRO PADRE BURGOS QUEZON</t>
  </si>
  <si>
    <t>DEPARTMENT OF TRADE &amp; INDUSTRY - REGION IX</t>
  </si>
  <si>
    <t>BINULIG ELEMENTARY. SCHOOL, - SIPALAY II</t>
  </si>
  <si>
    <t>BUREAU OF SOILS AND WATER MANAGEMENT</t>
  </si>
  <si>
    <t>MUNICIPALITY OF JUBAN, SORSOGON</t>
  </si>
  <si>
    <t>BARANGAY MARZAN SANCHEZ MIRA CAGAYAN</t>
  </si>
  <si>
    <t>MUNICIPALITY OF ECHAGUE, ISABELA</t>
  </si>
  <si>
    <t>MUNICIPALITY OF BAGGAO, CAGAYAN</t>
  </si>
  <si>
    <t>MUNICIPALITY OF TAPAZ, CAPIZ</t>
  </si>
  <si>
    <t>DON EUSTAQUIO HOFILENA MEMORIAL ELEMENTARY SCHOOLDEHMES</t>
  </si>
  <si>
    <t>MUNICIPALITY OF ANGONO, RIZAL</t>
  </si>
  <si>
    <t>ISABELA REHABILITATION CENTER</t>
  </si>
  <si>
    <t>CITY OF TAGBILARAN, BOHOL</t>
  </si>
  <si>
    <t>NATIONAL HOUSING AUTHORITY</t>
  </si>
  <si>
    <t>PROVINCE OF MISAMIS ORIENTAL</t>
  </si>
  <si>
    <t>BARANGAY CECILIA, SAN LUIS, AGUSAN DEL SUR</t>
  </si>
  <si>
    <t>MUNICIPALITY OF PASIL, KALINGA</t>
  </si>
  <si>
    <t xml:space="preserve">ISABELA EAST ELEMENTARY SCHOOL - SBFP </t>
  </si>
  <si>
    <t>BARANGAY  TOKETEC - TAYUG, PANGASINAN</t>
  </si>
  <si>
    <t>MUNICIPALITY OF NOVELETA, CAVITE</t>
  </si>
  <si>
    <t>MUNICIPALITY OF MATAAS NA KAHOY, BATANGAS</t>
  </si>
  <si>
    <t>BARANGAY APGAHAN -  PATNONGON, ANTIQUE</t>
  </si>
  <si>
    <t>CITY OF BIÑAN, LAGUNA</t>
  </si>
  <si>
    <t>MUNICIPALITY OF NAGUILIAN, ISABELA</t>
  </si>
  <si>
    <t>BARANGAY CARANGAN - OZAMIS CITY, MISAMIS OCCIDENTAL</t>
  </si>
  <si>
    <t>DEPARTMENT OF ENVIRONMENT AND NATURAL RESOURCES - CAR</t>
  </si>
  <si>
    <t>CITY OF MAASIN, SOUTHERN LEYTE</t>
  </si>
  <si>
    <t>MUNICIPALITY OF CARMEN , SURIGAO DEL SUR</t>
  </si>
  <si>
    <t>MUNICIPALITY OF NAGCARLAN, LAGUNA</t>
  </si>
  <si>
    <t>MUNICIPALITY OF PONTEVEDRA, CAPIZ</t>
  </si>
  <si>
    <t>DEPARTMENT OF JUSTICE - REGIONAL PROSECUTION OFFICE NO. II</t>
  </si>
  <si>
    <t>NATIONAL HOUSING AUTHORITY REGION 4 - QUEZON CITY METRO MANI</t>
  </si>
  <si>
    <t>DEPARTMENT OF EDUCATION - DIVISION OF STA. ROSA CITY</t>
  </si>
  <si>
    <t>MUNICIPALITY OF SAN MIGUEL, SURIGAO DEL SUR</t>
  </si>
  <si>
    <t>DEPARTMENT OF PUBLIC WORKS AND HIGHWAYS - ZAMBOANGA DEL NORT</t>
  </si>
  <si>
    <t>GMA WATER DISTRICT</t>
  </si>
  <si>
    <t>PHILIPPINE FIBER INDUSTRY DEVELOPMENT AUTHORITY, RO7</t>
  </si>
  <si>
    <t>DEPARTMENT OF EDUCATION - CAR</t>
  </si>
  <si>
    <t>CANDELARIA WATER DISTRICT (ZAMBALES) - CANDELARIA ZAMBALES</t>
  </si>
  <si>
    <t>PHILIPPINE ORTHOPEDIC CENTER</t>
  </si>
  <si>
    <t>BARANGAY POBLACION III, CALATAGAN, BATANGAS</t>
  </si>
  <si>
    <t>DEPARTMENT OF SOCIAL WELFARE AND DEVELOPMENT - REGION II</t>
  </si>
  <si>
    <t>MATAASNAKAHOY NATIONAL HIGH SCHOOL - MATAAS NA KAHOY BATANGA</t>
  </si>
  <si>
    <t>DEPARTMENT OF ENVIRONMENT AND NATURAL RES. - PENRO, APAYAO</t>
  </si>
  <si>
    <t>UNIVERSITY OF THE PHILIPPINES - MANILA PGH</t>
  </si>
  <si>
    <t>NATIONAL FOOD AUTHORITY - REGION XI</t>
  </si>
  <si>
    <t>DEPARTMENT OF PUBLIC WORKS AND HIGHWAYS - SOUTHERN MINDORO D</t>
  </si>
  <si>
    <t>MUNICIPALITY OF LILA,  BOHOL</t>
  </si>
  <si>
    <t>BARANGAY KAPITAN PEPE CABANATUAN CITY NUEVA ECIJA</t>
  </si>
  <si>
    <t>MUNICIPALITY OF MAGALLANES, CAVITE</t>
  </si>
  <si>
    <t>STA. CRUZ WATER DISTRICT - STA. CRUZ ZAMBALES</t>
  </si>
  <si>
    <t>MUNICIPALITY OF CABUCGAYAN, BILIRAN</t>
  </si>
  <si>
    <t>MUNICIPALITY OF SAN DIONISIO, ILOILO</t>
  </si>
  <si>
    <t>MISAMIS ORIENTAL GENERAL COMPREHENSIVE HIGH SCHOOL</t>
  </si>
  <si>
    <t>NATIONAL POWER CORPORATION - MINGEN, PULANGI IV HEP</t>
  </si>
  <si>
    <t>SOCIAL SECURITY SYSTEM - CORDILLERA ADMINISTRATIVE REGION</t>
  </si>
  <si>
    <t>DEPARTMENT OF AGRARIAN REFORM - NEGROS OCCIDENTAL 2 (SOUTH)</t>
  </si>
  <si>
    <t>NATIONAL FOOD AUTHORITY - REGION VIII</t>
  </si>
  <si>
    <t>BARANGAY LIGA IBAAN BATANGAS</t>
  </si>
  <si>
    <t>MUNICIPALITY OF NAUJAN, ORIENTAL MINDORO</t>
  </si>
  <si>
    <t>BARANGAY CANTURING-MAASIN CITY SOUTHERN LEYTE</t>
  </si>
  <si>
    <t>MUNICIPALITY OF BADIANGAN, ILOILO</t>
  </si>
  <si>
    <t>BARANGAY BAYA, RAGAY, CAMARINES SUR</t>
  </si>
  <si>
    <t>MUNICIPALITY OF HINGYON, IFUGAO</t>
  </si>
  <si>
    <t>BARANGAY SAN FELIPE, LLANERA, NUEVA ECIJA</t>
  </si>
  <si>
    <t>BARANGAY TINOPAN - RAPU-RAPU ALBAY</t>
  </si>
  <si>
    <t>DEPARTMENT OF SCIENCE AND TECHNOLOGY - REGION II</t>
  </si>
  <si>
    <t>BARANGAY MATANDANG BALARA, QUEZON CITY</t>
  </si>
  <si>
    <t>MUNICIPALITY OF KASIBU, NUEVA VIZCAYA</t>
  </si>
  <si>
    <t>MUNICIPALITY OF TUPI, SOUTH COTABATO</t>
  </si>
  <si>
    <t>MUNICIPALITY OF MINALIN, PAMPANGA</t>
  </si>
  <si>
    <t>PHILIPPINE NATIONAL POLICE - CRIME LABORATORY</t>
  </si>
  <si>
    <t>BARANGAY RIZAL - SORSOGON CITY SORSOGON</t>
  </si>
  <si>
    <t>MUNICIPALITY OF LANUZA, SURIGAO DEL SUR</t>
  </si>
  <si>
    <t>MUNICIPALITY OF PAMPLONA, CAMARINES SUR</t>
  </si>
  <si>
    <t>MUNICIPALITY OF SAN ANDRES, ROMBLON</t>
  </si>
  <si>
    <t>BARANGAY CALANAGA, RAPU-RAPU, ALBAY</t>
  </si>
  <si>
    <t>PROVINCE OF EASTERN SAMAR</t>
  </si>
  <si>
    <t>DEPARTMENT OF ENVIRONMENT AND NATURAL RES. - PENRO, DAGUPAN</t>
  </si>
  <si>
    <t>MUNICIPALITY OF SAPIAN, CAPIZ</t>
  </si>
  <si>
    <t>LANDBANK OF THE PHILIPPINES - REGION VI</t>
  </si>
  <si>
    <t>BARANGAY QUIPOT - SAN JUAN, BATANGAS</t>
  </si>
  <si>
    <t>BARANGAY GALICIA, RAPU-RAPU, ALBAY</t>
  </si>
  <si>
    <t>BARANGAY PINAMOPOAN, CAPOOCAN, LEYTE</t>
  </si>
  <si>
    <t>MUNICIPALITY OF MENDEZ-NUÑEZ, CAVITE</t>
  </si>
  <si>
    <t>BAGONG SILANG ELEMENTARY SCHOOL</t>
  </si>
  <si>
    <t>BARANGAY PUNTOD, CAGAYAN DE ORO CITY</t>
  </si>
  <si>
    <t>MUNICIPALITY OF GUIPOS, ZAMBOANGA DEL SUR</t>
  </si>
  <si>
    <t>CITY OF TRECE MARTIRES</t>
  </si>
  <si>
    <t>CITY OF PANABO, DAVAO DEL NORTE</t>
  </si>
  <si>
    <t>MUNICIPALITY OF LA CASTELLANA, NEGROS OCCIDENTAL</t>
  </si>
  <si>
    <t>NORZAGARAY WATER DISTRICT</t>
  </si>
  <si>
    <t>MUNICIPALITY OF LAMUT, IFUGAO</t>
  </si>
  <si>
    <t>PRES. CORAZON C. AQUINO HIGH SCHOOL</t>
  </si>
  <si>
    <t>MUNICIPALITY OF CALAMANIUGAN, CAGAYAN</t>
  </si>
  <si>
    <t>DEPARTMENT OF AGRARIAN REFORM - AGUSAN DEL SUR</t>
  </si>
  <si>
    <t>BUREAU OF FIRE PROTECTION - NATIONAL HEADQUARTERS</t>
  </si>
  <si>
    <t>CITY OF BAYUGAN, AGUSAN DEL SUR</t>
  </si>
  <si>
    <t>BARANGAY PATAG, OPOL, MISAMIS ORIENTAL</t>
  </si>
  <si>
    <t>DEPARTMENT OF EDUCATION - SCHOOLS DIVISION OF CALAPAN CITY</t>
  </si>
  <si>
    <t>DEPARTMENT OF AGRARIAN REFORM - AURORA</t>
  </si>
  <si>
    <t>DEPARTMENT OF AGRARIAN REFORM - CARAGA</t>
  </si>
  <si>
    <t>PHILIPPINE STATISTICS AUTHORITY - REGION II</t>
  </si>
  <si>
    <t>DEPARTMENT OF PUBLIC WORKS AND HIGHWAYS - SIQUIJOR DEO</t>
  </si>
  <si>
    <t>CULION SANITARIUM AND GENERAL HOSPITAL</t>
  </si>
  <si>
    <t>MINDANAO CENTRAL SANITARIUM &amp; GENERAL HOSPITAL</t>
  </si>
  <si>
    <t>BARANGAY LOCAL GOVERNMENT UNIT OF DOLORES</t>
  </si>
  <si>
    <t>BUREAU OF JAIL MANAGEMENT AND PENOLOGY - NHQ</t>
  </si>
  <si>
    <t>MUNICIPALITY OF TAMBULIG, ZAMBOANGA DEL SUR</t>
  </si>
  <si>
    <t>DR. JOSE FABELLA MEMORIAL HOSPITAL</t>
  </si>
  <si>
    <t>BARANGAY WEST BALABAG, VALENCIA, NEGROS ORIENTAL</t>
  </si>
  <si>
    <t>BULAD ELEMENTARY SCHOOL</t>
  </si>
  <si>
    <t>BARANGAY DALAYAP, TARLAC CITY</t>
  </si>
  <si>
    <t>BARANGAY AN-ANNAM  - BANTAY ILOCOS SUR</t>
  </si>
  <si>
    <t>BARANGAY LUBAS - SAN ANDRES CATANDUANES</t>
  </si>
  <si>
    <t>DANGEROUS DRUGS BOARD</t>
  </si>
  <si>
    <t>ENVIRONMENTAL MANAGEMENT BUREAU - REG IV - B, MIMAROPA</t>
  </si>
  <si>
    <t>DEPARTMENT OF ENVIRONMENT AND NATURAL RES. - REGION IV MIMAR</t>
  </si>
  <si>
    <t>DEPARTMENT OF EDUCATION - DIVISION OF CADIZ CITY</t>
  </si>
  <si>
    <t>COL. LAURO D. DIZON MEMORIAL NATIONAL HIGH SCHOOL</t>
  </si>
  <si>
    <t>MUNICIPALITY OF CONCEPCION, TARLAC</t>
  </si>
  <si>
    <t>BAUAN NATIONAL AGRICULTURAL AND VOCATIONAL HIGH SCHOOL</t>
  </si>
  <si>
    <t>BARANGAY MOJON-TAMPOY, SAN JOSE, BATANGAS</t>
  </si>
  <si>
    <t>NATIONAL NUTRITION COUNCIL - REGION VII</t>
  </si>
  <si>
    <t>MUNICIPALITY OF AGUILAR, PANGASINAN</t>
  </si>
  <si>
    <t>DEPARTMENT OF PUBLIC WORKS AND HIGHWAYS - COTABATO SUB-DEO</t>
  </si>
  <si>
    <t>BARANGAY POBLACION 1 - DARAM SAMAR</t>
  </si>
  <si>
    <t>BARANGAY MALUED, DAGUPAN CITY</t>
  </si>
  <si>
    <t>MALINAO ELEMENTARY SCHOOL - KALILANGAN BUKIDNON</t>
  </si>
  <si>
    <t>MINES AND GEO-SCIENCES BUREAU</t>
  </si>
  <si>
    <t>PINAMULA ELEMENTARY SCHOOL</t>
  </si>
  <si>
    <t>MUNICIPALITY OF OBANDO, BULACAN</t>
  </si>
  <si>
    <t>BARANGAY AMBIONG, LA TRINIDAD, BENGUET</t>
  </si>
  <si>
    <t>BARANGAY EMBARCADERO, CARRASCAL, SURIGAO DEL SUR</t>
  </si>
  <si>
    <t>JERUSALEM NATIONAL HIGH SCHOOL - CADIZ CITY NEGROS OCCIDENTA</t>
  </si>
  <si>
    <t>BARANGAY BULAG - BANTAY ILOCOS SUR</t>
  </si>
  <si>
    <t>MUNICIPALITY OF GLORIA, ORIENTAL MINDORO</t>
  </si>
  <si>
    <t>BARANGAY LIMBUHAN GUTI, TANAUAN, LEYTE</t>
  </si>
  <si>
    <t>DEPARTMENT OF TOURISM</t>
  </si>
  <si>
    <t>BARANGAY SAN ANDRES, KADINGILAN, BUKIDNON</t>
  </si>
  <si>
    <t>PHILIPPINE STATISTICS AUTHORITY - SAMAR</t>
  </si>
  <si>
    <t>NATIONAL IRRIGATION ADMINISTRATION - SARIS</t>
  </si>
  <si>
    <t>BARANGAY SAMBAT - TANAUAN CITY</t>
  </si>
  <si>
    <t>TECHNICAL EDUCATION &amp; SKILLS DEVELOPMENT AUTHORITY - REGIONA</t>
  </si>
  <si>
    <t>DEPARTMENT OF PUBLIC WORKS AND HIGHWAYS - DAVAO DEL NORTE DE</t>
  </si>
  <si>
    <t>BARANGAY MANLAYAG, DANAO CITY</t>
  </si>
  <si>
    <t>DEPARTMENT OF PUBLIC WORKS AND HIGHWAYS - CEBU 6TH DEO</t>
  </si>
  <si>
    <t>CREDIT INFORMATION CORPORATION</t>
  </si>
  <si>
    <t>NORTHWEST SAMAR STATE UNIVERSITY</t>
  </si>
  <si>
    <t>BARANGAY 656 ZONE 69 DISTRICT V, MANILA</t>
  </si>
  <si>
    <t>MUNICIPALITY OF ALFONSO, CAVITE</t>
  </si>
  <si>
    <t>CONCEPCION ELEMENTARY SCHOOL-TALISAY CITY NEGROS OCCIDENTAL</t>
  </si>
  <si>
    <t>BARANGAY SYNDICATE, AROROY, MASBATE</t>
  </si>
  <si>
    <t>BIGAA NATIONAL HIGH SCHOOL</t>
  </si>
  <si>
    <t>MUNICIPALITY OF BAMBANG, NUEVA VIZCAYA</t>
  </si>
  <si>
    <t>BARANGAY MAASIN - PASSI CITY ILOILO</t>
  </si>
  <si>
    <t>BARANGAY BAGONG LIPUNAN, MATALOM, LEYTE</t>
  </si>
  <si>
    <t>COMMISSION ON AUDIT - NEGROS ISLAND REGION</t>
  </si>
  <si>
    <t>BARANGAY BALON BATO, QUEZON CITY</t>
  </si>
  <si>
    <t>DEPARTMENT OF PUBLIC WORKS AND HIGHWAYS - BATAAN 1ST DEO</t>
  </si>
  <si>
    <t>MUNICIPALITY OF MANOLO FORTICH, BUKIDNON</t>
  </si>
  <si>
    <t>MUNICIPALITY OF SIBUTAD, ZAMBOANGA DEL NORTE</t>
  </si>
  <si>
    <t>BARANGAY HINAPU GAMAY, MAASIN CITY</t>
  </si>
  <si>
    <t>MUNICIPALITY OF TITAY, ZAMBOANGA SIBUGAY</t>
  </si>
  <si>
    <t>NATIONAL ECONOMIC AND DEVELOPMENT AUTHORITY - CAR</t>
  </si>
  <si>
    <t>BARANGAY TANDAYAG, AMLAN, NEGROS ORIENTAL</t>
  </si>
  <si>
    <t>MUNICIPALITY OF CATARMAN, NORTHERN SAMAR</t>
  </si>
  <si>
    <t>BARANGAY BAGONG TUBIG - SAN LUIS BATANGAS</t>
  </si>
  <si>
    <t>BARANGAY TALAVERA, TAGANA-AN, SURIGAO DEL NORTE</t>
  </si>
  <si>
    <t>CITY GOVERNMENT OF BACOOR</t>
  </si>
  <si>
    <t>MUNICIPALITY OF STA. FE, LEYTE</t>
  </si>
  <si>
    <t>MUNICIPALITY OF IMPASUGONG, BUKIDNON</t>
  </si>
  <si>
    <t>CITY OF ILOILO</t>
  </si>
  <si>
    <t>BARANGAY MAHABANG DAHILIG -BATANGAS CITY BATANGAS</t>
  </si>
  <si>
    <t>BARANGAY STO.NINO, MARIKINA CITY</t>
  </si>
  <si>
    <t>MUNICIPALITY OF STA. ANA, CAGAYAN</t>
  </si>
  <si>
    <t>MUNICIPALITY OF CULASI, ANTIQUE</t>
  </si>
  <si>
    <t>MUNICIPALITY OF ZARAGOZA, NUEVA ECIJA</t>
  </si>
  <si>
    <t>BARANGAY PORT JUNCTION SUR, RAGAY, CAMARINES SUR</t>
  </si>
  <si>
    <t>LAND BANK OF THE PHILIPPINES - REGION XII</t>
  </si>
  <si>
    <t>CAVITE STATE UNIVERSITY</t>
  </si>
  <si>
    <t>CENTER FOR INTERNATIONAL TRADE EXPOSITIONS AND MISSIONS, DTI</t>
  </si>
  <si>
    <t>MUNICIPALITY OF GAINZA, CAMARINES SUR</t>
  </si>
  <si>
    <t>BARANGAY BOLANEY, ALAMINOS, PANGASINAN</t>
  </si>
  <si>
    <t>MUNICIPALITY OF CAJIDIOCAN, ROMBLON</t>
  </si>
  <si>
    <t>MUNICIPALITY OF OMAR, SULU</t>
  </si>
  <si>
    <t>MUNICIPALITY OF CAPUL, NORTHERN SAMAR</t>
  </si>
  <si>
    <t>MUNICIPALITY OF DINGALAN, AURORA</t>
  </si>
  <si>
    <t>BARANGAY GRACE ESTATE, BAYUGAN CITY</t>
  </si>
  <si>
    <t>DEPARTMENT OF PUBLIC WORKS AND HIGHWAYS - BENGUET I DEO</t>
  </si>
  <si>
    <t>BARANGAY BINITAYAN, DARAGA, ALBAY</t>
  </si>
  <si>
    <t>CALOOCAN CITY BUSINESS HIGH SCHOOL</t>
  </si>
  <si>
    <t>CITY OF BAGO, NEGROS OCCIDENTAL</t>
  </si>
  <si>
    <t>CULTURAL CENTER OF THE PHILIPPINES - PASAY CITY METRO MANILA</t>
  </si>
  <si>
    <t>MUNICIPALITY OF STA. ELENA, CAMARINES NORTE</t>
  </si>
  <si>
    <t>BARANGAY PINYA, LABO, CAMARINES NORTE</t>
  </si>
  <si>
    <t>LAGUNA LAKE DEVELOPMENT AUTHORITY, DENR</t>
  </si>
  <si>
    <t>MUNICIPALITY OF BACNOTAN, LA UNION</t>
  </si>
  <si>
    <t>BARANGAY TUBOG, UBAY, BOHOL</t>
  </si>
  <si>
    <t>MUNICIPALITY OF MAGSAYSAY, MISAMIS ORIENTAL</t>
  </si>
  <si>
    <t>BARANGAY CONSUEGRA - BANGAR LA UNION</t>
  </si>
  <si>
    <t>BARANGAY CAWAYAN, LOPEZ, QUEZON</t>
  </si>
  <si>
    <t>BARANGAY PORT JUNCTION NORTE, RAGAY, CAMARINES SUR</t>
  </si>
  <si>
    <t>MALIWALO NATIONAL HIGH SCHOOL</t>
  </si>
  <si>
    <t>BARANGAY TAYSAN, SAN JOSE, BATANGAS</t>
  </si>
  <si>
    <t>NATIONAL IRRIGATION ADMINISTRATION - CBIMO</t>
  </si>
  <si>
    <t>BARANGAY SAN RAFAEL LUISIANA, LAGUNA</t>
  </si>
  <si>
    <t>RIZZA ELEMENTARY SCHOOL</t>
  </si>
  <si>
    <t>CITY OF BUTUAN, AGUSAN DEL NORTE</t>
  </si>
  <si>
    <t>MALIWALO NATIONAL HIGH SCHOOL (SENIOR HIGH) - TARLAC CITY TA</t>
  </si>
  <si>
    <t>BARANGAY POLOPINA, CONCEPCION, ILOILO</t>
  </si>
  <si>
    <t>MUNICIPALITY OF MAKATO, AKLAN</t>
  </si>
  <si>
    <t>MUNICIPALITY OF GUINAYANGAN, QUEZON</t>
  </si>
  <si>
    <t>MUNICIPALITY OF TOBOSO, NEGROS OCCIDENTAL</t>
  </si>
  <si>
    <t>MUNICIPALITY OF DINAS, ZAMBOANGA DEL SUR</t>
  </si>
  <si>
    <t>BARANGAY ADRIALUNA, NAUJAN, ORIENTAL MINDORO</t>
  </si>
  <si>
    <t>BARANGAY SAN MIGUEL, TAGUM CITY, DAVAO DEL NORTE</t>
  </si>
  <si>
    <t>PHILIPPINE SCIENCE HIGH SCHOOL - CENTRAL VISAYAS CAMPUS</t>
  </si>
  <si>
    <t>MUNICIPALITY OF PUDTOL, APAYAO</t>
  </si>
  <si>
    <t>MINTAL ELEMENTARY SCHOOL</t>
  </si>
  <si>
    <t>BARANGAY UPPER STA. CRUZ, RAGAY, CAMARINES SUR</t>
  </si>
  <si>
    <t>PROVINCE OF MARINDUQUE</t>
  </si>
  <si>
    <t>NATIONAL POWER CORPORATION SPUG - MINDANAO(EMOD)</t>
  </si>
  <si>
    <t>BUREAU OF PLANT INDUSRTY - REGION II</t>
  </si>
  <si>
    <t>MUNICIPALITY OF STA. MARIA, PANGASINAN</t>
  </si>
  <si>
    <t>BARANGAY 62-B KANGKONG - CAVITE CITY</t>
  </si>
  <si>
    <t>BARANGAY BONGABONG, TUDELA, MISAMIS OCCIDENTAL</t>
  </si>
  <si>
    <t>BARANGAY SAN JOSE, CONCEPCION, TARLAC</t>
  </si>
  <si>
    <t>MUNICIPALITY OF NARVACAN, ILOCOS SUR</t>
  </si>
  <si>
    <t>MUNICIPALITY OF STA. CRUZ, ZAMBALES</t>
  </si>
  <si>
    <t>MUNICIPALITY OF CABA, LA UNION</t>
  </si>
  <si>
    <t>MUNICIPALITY OF SANTA FE, CEBU</t>
  </si>
  <si>
    <t>BARANGAY SAPSAP PASTRANA LEYTE</t>
  </si>
  <si>
    <t>MUNICIPALITY OF CANDELARIA, QUEZON</t>
  </si>
  <si>
    <t>MUNICIPALITY OF JOSE PANGANIBAN, CAMARINES NORTE</t>
  </si>
  <si>
    <t>DEPARTMENT OF PUBLIC WORKS AND HIGHWAYS - NORTH COTABATO 1ST</t>
  </si>
  <si>
    <t>PUBLIC-PRIVATE PARTNERSHIP (PPP) CENTER OF THE PHILIPPI</t>
  </si>
  <si>
    <t>MUNICIPALITY OF CALAYAN, CAGAYAN</t>
  </si>
  <si>
    <t>BARANGAY BALIBAGO, CALATAGAN, BATANGAS</t>
  </si>
  <si>
    <t>BARANGAY LUBIGAN SR., SIPOCOT, CAMARINES SUR</t>
  </si>
  <si>
    <t>BUREAU OF JAIL MANAGEMENT AND PENOLOGY XI</t>
  </si>
  <si>
    <t>BARANGAY PALAMIS, ALAMINOS CITY</t>
  </si>
  <si>
    <t>DEPARTMENT OF PUBLIC WORKS AND HIGHWAYS - BOHOL 1ST ED</t>
  </si>
  <si>
    <t>BARANGAY LIBOD, CAMALIG, ALBAY</t>
  </si>
  <si>
    <t>MUNICIPALITY OF SAN MIGUEL, CATANDUANES</t>
  </si>
  <si>
    <t>MUNICIPALITY OF BALINGOAN, MISAMIS ORIENTAL</t>
  </si>
  <si>
    <t>COSINA INTEGRATED SCHOOL - TALAKAG BUKIDNON</t>
  </si>
  <si>
    <t>PHILIPPINE NUCLEAR RESEARCH INSTITUTE</t>
  </si>
  <si>
    <t>BARANGAY VILLA IBABA, ATIMONAN, QUEZON</t>
  </si>
  <si>
    <t>MUNICIPALITY OF TAGO, SURIGAO DEL SUR</t>
  </si>
  <si>
    <t>MUNICIPALITY OF SIGMA, CAPIZ</t>
  </si>
  <si>
    <t>DEPARTMENT OF AGRICULTURE - REGION XII</t>
  </si>
  <si>
    <t>PHILIPPINE SCIENCE HIGH SCHOOL - MIMAROPA REGION CAMPUS</t>
  </si>
  <si>
    <t>BARANGAY FUFUNG - GENERAL SANTOS CITY</t>
  </si>
  <si>
    <t>BARANGAY LUCUTAN - MAUBAN QUEZON</t>
  </si>
  <si>
    <t>BARANGAY SALAPUNGAN, GERONA, TARLAC</t>
  </si>
  <si>
    <t>MUNICIPALITY OF AYUNGON, NEGROS ORIENTAL</t>
  </si>
  <si>
    <t>BARANGAY SAN JOSE GERONA TARLAC</t>
  </si>
  <si>
    <t>BARANGAY TINAGO, CAMALIG, ALBAY</t>
  </si>
  <si>
    <t>BARANGAY DEL ROSARIO, CAMALIG, ALBAY</t>
  </si>
  <si>
    <t>BARANGAY BOOD, UBAY, BOHOL</t>
  </si>
  <si>
    <t>MUNICIPALITY OF LUPAO, NUEVA ECIJA</t>
  </si>
  <si>
    <t>BARANGAY PINDONGAN - KIANGAN IFUGAO</t>
  </si>
  <si>
    <t>BARANGAY DADIANGAS SOUTH, GENERAL SANTOS CITY, SOUTH COTABAT</t>
  </si>
  <si>
    <t>JOSE RIZAL MEMORIAL STATE UNIVERSITY - DIPOLOG CAMPUS</t>
  </si>
  <si>
    <t>BARANGAY POBLACION III</t>
  </si>
  <si>
    <t>BARANGAY POBLACION, PITOGO, ZAMBOANGA DEL SUR</t>
  </si>
  <si>
    <t>BARANGAY GENERAL ESCO, NAUJAN, ORIENTAL MINDORO</t>
  </si>
  <si>
    <t>PALICO ELEMENTARY SCHOOL</t>
  </si>
  <si>
    <t>METROPOLITAN CEBU WATER DISTRICT</t>
  </si>
  <si>
    <t>BASILAN GENERAL HOSPITAL</t>
  </si>
  <si>
    <t>BARANGAY PANSOL - QUEZON CITY</t>
  </si>
  <si>
    <t>CITY OF PALAYAN, NUEVA ECIJA</t>
  </si>
  <si>
    <t>BARANGAY GUMITAN, DAVAO CITY</t>
  </si>
  <si>
    <t>BARANGAY ACHILA UBAY BOHOL</t>
  </si>
  <si>
    <t>MUNICIPALITY OF GAMU, ISABELA</t>
  </si>
  <si>
    <t>BARANGAY MELGAR A, NAUJAN, ORIENTAL MINDORO</t>
  </si>
  <si>
    <t>BARANGAY POBLACION IRAYA, RAGAY, CAMARINES SUR</t>
  </si>
  <si>
    <t>CITY OF DAGUPAN  - PANGASINAN</t>
  </si>
  <si>
    <t>BARANGAY SOUTH FUNDIDOR MOLO, ILOILO CITY</t>
  </si>
  <si>
    <t>BARANGAY BANTAY, BOAC, MARINDUQUE</t>
  </si>
  <si>
    <t>DEPARTMENT OF PUBLIC WORKS AND HIGHWAYS - NEGROS ORIENTAL 3R</t>
  </si>
  <si>
    <t>MUNICIPALITY OF FLORA, APAYAO</t>
  </si>
  <si>
    <t>BARANGAY OBRERO - BUTUAN CITY AGUSAN DEL NORTE</t>
  </si>
  <si>
    <t>BUREAU OF INTERNAL REVENUE - REVENUE REGION NO.18</t>
  </si>
  <si>
    <t>MUNICIPALITY OF NAGUILIAN, LA UNION</t>
  </si>
  <si>
    <t>BARANGAY 147 ZONE 13, MANILA</t>
  </si>
  <si>
    <t>MUNICIPALITY OF BALBALAN, KALINGA</t>
  </si>
  <si>
    <t>BARANGAY BIGAIN 1.0, SAN JOSE, BATANGAS</t>
  </si>
  <si>
    <t>DEPARTMENT OF PUBLIC WORKS AND HIGHWAYS - MAGUINDANAO 2ND DE</t>
  </si>
  <si>
    <t>MUNICIPALITY OF LOS BAÑOS, LAGUNA</t>
  </si>
  <si>
    <t>BARANGAY ALANGAN, LIMAY, BATAAN</t>
  </si>
  <si>
    <t>PROVINCE OF BULACAN</t>
  </si>
  <si>
    <t>BARANGAY POBLACION, VALENCIA CITY</t>
  </si>
  <si>
    <t>MUNICIPALITY OF TAFT, EASTERN SAMAR</t>
  </si>
  <si>
    <t>BARANGAY 7-B, NUESTRA SEÑORA DE NATIVIDAD, LAOAG CITY</t>
  </si>
  <si>
    <t>MUNICIPALITY OF SAN JUAN, ILOCOS SUR</t>
  </si>
  <si>
    <t>MUNICIPALITY OF ARTECHE, EASTERN SAMAR</t>
  </si>
  <si>
    <t>BARANGAY LILOAN SUR - INABANGA BOHOL</t>
  </si>
  <si>
    <t>MUNICIPALITY OF CLARIN, BOHOL</t>
  </si>
  <si>
    <t>BOHOL ISLAND STATE UNIVERSITY - CANDIJAY CAMPUS</t>
  </si>
  <si>
    <t>MUNICIPALITY OF LABANGAN, ZAMBOANGA DEL SUR</t>
  </si>
  <si>
    <t>MUNICIPALITY OF BOKOD, BENGUET</t>
  </si>
  <si>
    <t>MUNICIPALITY OF AGDANGAN, QUEZON</t>
  </si>
  <si>
    <t>MUNICIPALITY OF SIBULAN, NEGROS ORIENTAL</t>
  </si>
  <si>
    <t>MANUEL J. ESCALANTE ELEMENTARY SCHOOL</t>
  </si>
  <si>
    <t>SAN FERNANDO WATER DISTRICT</t>
  </si>
  <si>
    <t>BARANGAY BUGANG, INABANGA, BOHOL</t>
  </si>
  <si>
    <t>MUNICIPALITY OF SALAY , MISAMIS ORIENTAL</t>
  </si>
  <si>
    <t>BARANGAY POBLACION V, MENDEZ-NUNEZ, CAVITE</t>
  </si>
  <si>
    <t>MUNICIPALITY OF SAN PABLO, ISABELA</t>
  </si>
  <si>
    <t>PROVINCE OF LANAO DEL SUR</t>
  </si>
  <si>
    <t>DEPARTMENT OF PUBLIC WORKS AND HIGHWAYS - NORTHERN SAMAR 2ND</t>
  </si>
  <si>
    <t>CITY OF TOLEDO, CEBU</t>
  </si>
  <si>
    <t>NATIONAL IRRIGATION ADMINISTRATION -CAUAYAN CITY ISABELA</t>
  </si>
  <si>
    <t>BANGKO SENTRAL NG PILIPINAS - COTABATO BRANCH</t>
  </si>
  <si>
    <t>BARANGAY  BERSHIBA, KITAOTAO, BUKIDNON</t>
  </si>
  <si>
    <t>DEPARTMENT OF AGRICULTURE - REGION IV-B (MIMAROPA)</t>
  </si>
  <si>
    <t>MUNICIPALITY OF PIÑAN, ZAMBOANGA DEL NORTE</t>
  </si>
  <si>
    <t>BARANGAY WESTERN POBLACION, HILONGOS, LEYTE</t>
  </si>
  <si>
    <t>BARANGAY 40 BALATONG, LAOAG CITY</t>
  </si>
  <si>
    <t>DEPARTMENT OF PUBLIC WORKS AND HIGHWAYS - BATAAN 2ND DEO</t>
  </si>
  <si>
    <t>LA CASTELLANA NATIONAL HIGH SCHOOL-SHS</t>
  </si>
  <si>
    <t>DEPARTMENT OF EDUCATION - DIVISION OF GINGOOG CITY</t>
  </si>
  <si>
    <t>PROVINCE OF AKLAN</t>
  </si>
  <si>
    <t>BARANGAY BURABOD, LIBON, ALBAY</t>
  </si>
  <si>
    <t>BARANGAY STA. ANASTACIA, STO. TOMAS, BATANGAS</t>
  </si>
  <si>
    <t>POLYTECHNIC UNIVERSITY OF THE PHILIPPINES</t>
  </si>
  <si>
    <t>DEPARTMENT OF LABOR AND EMPLOYMENT - CARAGA</t>
  </si>
  <si>
    <t>DEPARTMENT OF EDUCATION - DIVISION OF COTABATO</t>
  </si>
  <si>
    <t>BARANGAY CUMBA, LIAN, BATANGAS</t>
  </si>
  <si>
    <t>BARANGAY OLOC, LAUA-AN, ANTIQUE</t>
  </si>
  <si>
    <t>PHILIPPINE RICE RESEARCH INSTITUTE - AGUSAN</t>
  </si>
  <si>
    <t xml:space="preserve">DEPARTMENT OF PUBLIC WORKS AND HIGHWAYS - CAMARINES SUR 3RD </t>
  </si>
  <si>
    <t>CITY OF LAOAG, ILOCOS NORTE</t>
  </si>
  <si>
    <t>BARANGAY CAPAOAY, SAN JACINTO, PANGASINAN</t>
  </si>
  <si>
    <t>CITY OF TAGUIG</t>
  </si>
  <si>
    <t>BARANGAY SAN PEDRO - QUINAPONDAN EASTERN SAMAR</t>
  </si>
  <si>
    <t>MUNICIPALITY OF DARAM, SAMAR</t>
  </si>
  <si>
    <t>KIKIPOT ELEMENTARY SCHOOL - KIBAWE BUKIDNON</t>
  </si>
  <si>
    <t>MUNICIPALITY OF BAGANGA, DAVAO ORIENTAL</t>
  </si>
  <si>
    <t>MUNICIPALITY OF SOUTH UPI, MAGUINADANAO</t>
  </si>
  <si>
    <t>BUREAU OF TREASURY - REGION X</t>
  </si>
  <si>
    <t>MUNICIPALITY OF CAGDIANAO, DINAGAT ISLAND</t>
  </si>
  <si>
    <t>BARANGAY MAYMATAN - GOA CAMARINES SUR</t>
  </si>
  <si>
    <t>NATIONAL ACADEMY OF SCIENCE AND TECHNOLOGY</t>
  </si>
  <si>
    <t>SAN FRANCISCO ELEMENTARY SCHOOL - BIÑAN LAGUNA</t>
  </si>
  <si>
    <t>ZAMBOANGA CITY STATE POLYTECHNIC COLLEGE</t>
  </si>
  <si>
    <t>MUNICIPALITY OF INOPACAN, LEYTE</t>
  </si>
  <si>
    <t>DEPARTMENT OF SCIENCE AND TECHNOLOGY - CARAGA</t>
  </si>
  <si>
    <t>KITAOTAO NATIONAL HIGH SCHOOL</t>
  </si>
  <si>
    <t>BARANGAY STA. MARIA, FLORA, APAYAO</t>
  </si>
  <si>
    <t>BARANGAY POBLACION 5, GEN. MARIANO ALVAREZ, CAVITE</t>
  </si>
  <si>
    <t>MUNICIPALITY OF VALENCIA, BOHOL</t>
  </si>
  <si>
    <t>DEPARTMENT OF EDUCATION - DIVISION OF BAYAWAN CITY</t>
  </si>
  <si>
    <t>CARMONA WATER DISTRICT</t>
  </si>
  <si>
    <t>MUNICIPALITY OF RAGAY, CAMARINES SUR</t>
  </si>
  <si>
    <t>TANJAY WATER DISTRICT</t>
  </si>
  <si>
    <t>BATAAN PENINSULA STATE UNIVERSITY</t>
  </si>
  <si>
    <t>BARANGAY LAPING DEL SUR - LAPINIG NORTHERN SAMAR</t>
  </si>
  <si>
    <t>BAYUGAN WATER DISTRICT</t>
  </si>
  <si>
    <t>QUIRINO MEMORIAL MEDICAL CENTER</t>
  </si>
  <si>
    <t>MUNICIPALITY OF POLOMOLOK, SOUTH COTABATO</t>
  </si>
  <si>
    <t>BARANGAY HINAGDANAN, TAGBINA, SURIGAO DEL SUR</t>
  </si>
  <si>
    <t>MUNICIPALITY OF LIBUNGAN, COTABATO</t>
  </si>
  <si>
    <t>DEPARTMENT OF PUBLIC WORKS AND HIGHWAYS - LOWER KALINGA DEO</t>
  </si>
  <si>
    <t>BARANGAY CASAMBALANGAN, STA. ANA, CAGAYAN</t>
  </si>
  <si>
    <t>NATIONAL IRRIGATION ADMINISTRATION - CAMARINES SUR IMO</t>
  </si>
  <si>
    <t>SUBIC BAY METROPOLITAN AUTHORITY</t>
  </si>
  <si>
    <t>PHILIPPINE STATISTICAL RESEARCH AND TRAINING INSTITUTE</t>
  </si>
  <si>
    <t>BARANGAY BECKEL, LA TRINIDAD, BENGUET</t>
  </si>
  <si>
    <t>DEPARTMENT OF EDUCATION - DIVISION OF PANABO CITY</t>
  </si>
  <si>
    <t>BARANGAY CAMBAILAN - CATIGBIAN BOHOL</t>
  </si>
  <si>
    <t>MUNICIPALITY OF TAMPAKAN, SOUTH COTABATO</t>
  </si>
  <si>
    <t>MUNICIPALITY OF BULUAN</t>
  </si>
  <si>
    <t>SK OF BARANGAY BANGKAL - MAKATI CITY</t>
  </si>
  <si>
    <t>ABRA STATE INSTITUTE OF SCIENCES AND TECHNOLOGY -ABRA</t>
  </si>
  <si>
    <t>BARANGAY CABACUNGAN, LOON, BOHOL</t>
  </si>
  <si>
    <t>VICTORIA HOMES ELEMENTARY SCHOOL</t>
  </si>
  <si>
    <t>BARANGAY MAGDALENA, ANINI-Y, ANTIQUE</t>
  </si>
  <si>
    <t>MANGSEE NATIONAL HIGH SCHOOL - BALABAC PALAWAN</t>
  </si>
  <si>
    <t>MUNICIPALITY OF PANTUKAN, COMPOSTELA VALLEY</t>
  </si>
  <si>
    <t>MUNICIPALITY OF ESPERANZA, SULTAN KUDARAT</t>
  </si>
  <si>
    <t>BARANGAY STA. FE, MATALOM, LEYTE</t>
  </si>
  <si>
    <t>BARANGAY LAS ARENAS - PANTUKAN COMPOSTELA VALLEY</t>
  </si>
  <si>
    <t>BARANGAY SAWANG, SIBUTAD, ZAMBOANGA DEL NORTE</t>
  </si>
  <si>
    <t>BARANGAY DON MARTIN MARUNDAN, MATI, DAVAO ORIENTAL</t>
  </si>
  <si>
    <t>BANSALAN WATER DISTRICT</t>
  </si>
  <si>
    <t>MUNICIPALITY OF ALICIA, BOHOL</t>
  </si>
  <si>
    <t>HOME DEVELOPMENT MUTUAL FUND - CUBAO BRANCH</t>
  </si>
  <si>
    <t>MUNICIPALITY OF CATEEL, DAVAO ORIENTAL</t>
  </si>
  <si>
    <t>MUNICIPALITY OF PAVIA, ILOILO</t>
  </si>
  <si>
    <t>MUNICIPALITY OF HINIGARAN, NEGROS OCCIDENTAL</t>
  </si>
  <si>
    <t>CADUHA-AN NATIONAL HIGH SCHOOL - TAGBANON EXTENSION HIGH SCH</t>
  </si>
  <si>
    <t>LAGUNA STATE POLYTECHNIC UNIVERSITY - LOS BAÑOS CAMPUS</t>
  </si>
  <si>
    <t>BARANGAY PANUNGYAN II</t>
  </si>
  <si>
    <t>MUNICIPALITY OF KAYAPA, NUEVA VIZCAYA</t>
  </si>
  <si>
    <t>OFFICE OF THE PRESIDENT</t>
  </si>
  <si>
    <t>DEPARTMENT OF PUBLIC WORKS AND HIGHWAYS - ROMBLON DEO</t>
  </si>
  <si>
    <t>MUNICIPALITY OF PRESENTACION, CAMARINES SUR</t>
  </si>
  <si>
    <t>MUNICIPALITY OF PARACELIS, MOUNTAIN PROVINCE</t>
  </si>
  <si>
    <t>BARANGAY SAN ANTONIO, TOMAS OPPUS, SOUTHERN LEYTE</t>
  </si>
  <si>
    <t>MUNICIPALITY OF MAGPET - NORTH COTABATO</t>
  </si>
  <si>
    <t>CITY OF COTABATO</t>
  </si>
  <si>
    <t>DEPARTMENT OF PUBLIC WORKS AND HIGHWAYS - PAMPANGA 3RD DEO</t>
  </si>
  <si>
    <t>DEPARTMENT OF EDUCATION - GENERAL SANTOS CITY</t>
  </si>
  <si>
    <t>SULTAN KUDARAT STATE UNIVERSITY</t>
  </si>
  <si>
    <t>BARANGAY SINGCANG-AIRPORT NATIONAL HIGH SCHOOL</t>
  </si>
  <si>
    <t>MUNICIPALITY OF SAN FRANCISCO, SURIGAO DEL NORTE</t>
  </si>
  <si>
    <t>BARANGAY TAGGAT NORTE, CLAVERIA, CAGAYAN</t>
  </si>
  <si>
    <t>BUREAU OF FIRE PROTECTION - REGION IV-B (MIMAROPA)</t>
  </si>
  <si>
    <t>MUNICIPALITY OF LABO, CAMARINES NORTE</t>
  </si>
  <si>
    <t>MUNICIPALITY OF CERVANTES, ILOCOS SUR</t>
  </si>
  <si>
    <t>BARANGAY 43 CAVIT, LAOAG CITY, ILOCOS NORTE</t>
  </si>
  <si>
    <t>BARANGAY ZONE 5 - SAN ROQUE NORTHERN SAMAR</t>
  </si>
  <si>
    <t>MLANG WATER DISTRICT</t>
  </si>
  <si>
    <t>BARANGAY BANAWAN, PIO DURAN, ALBAY</t>
  </si>
  <si>
    <t>BARANGAY POBLACION, CALANASAN, APAYAO</t>
  </si>
  <si>
    <t>BARANGAY MAYURO ROSARIO BATANGAS</t>
  </si>
  <si>
    <t>METRO TAYUG WATER DISTRICT</t>
  </si>
  <si>
    <t>BARANGAY POBLACION, AROROY, MASBATE</t>
  </si>
  <si>
    <t>BARANGAY MANGILAGSUR, CANDELARIA, QUEZON</t>
  </si>
  <si>
    <t>MUNICIPALITY OF UPI, MAGUINDANAO</t>
  </si>
  <si>
    <t>MUNICIPALITY OF SAN MIGUEL, BOHOL</t>
  </si>
  <si>
    <t>DEPARTMENT OF PUBLIC WORKS AND HIGHWAYS - ZAMBALES 2ND DEO</t>
  </si>
  <si>
    <t>BARANGAY 253, ZONE 23, DISTRICT II, MANILA</t>
  </si>
  <si>
    <t>MUNICIPALITY OF RIZAL, KALINGA</t>
  </si>
  <si>
    <t>MUNICIPALITY OF SAN JOSE DE BUENAVISTA, ANTIQUE</t>
  </si>
  <si>
    <t>P.A. CUAYCONG ELEMENTARY SCHOOL</t>
  </si>
  <si>
    <t>MUNICIPALITY OF MAYOYAO, IFUGAO</t>
  </si>
  <si>
    <t>DEPARTMENT OF EDUCATION - DIVISION OF GUIMARAS</t>
  </si>
  <si>
    <t>BARANGAY BUNG-AW, HILONGOS, LEYTE</t>
  </si>
  <si>
    <t>VILLASIS WATER DISTRICT</t>
  </si>
  <si>
    <t>NATIONAL FOOD AUTHORITY - REGION II</t>
  </si>
  <si>
    <t>CITY OF GENERAL TRIAS, CAVITE</t>
  </si>
  <si>
    <t>LAND TRANSPORTATION OFFICE - REGION IX</t>
  </si>
  <si>
    <t>PHILIPPINE CROP INSURANCE CORPORATION - REGION II</t>
  </si>
  <si>
    <t>MUNICIPALITY OF CORDON, ISABELA</t>
  </si>
  <si>
    <t>DEPARTMENT OF THE INTERIOR AND LOCAL GOVERNMENT - REGION II</t>
  </si>
  <si>
    <t>BARANGAY PALIWAN - BUGASONG, ANTIQUE</t>
  </si>
  <si>
    <t>BARANGAY PAGATPAT, CAGAYAN DE ORO CITY</t>
  </si>
  <si>
    <t>DON LEON MERCADO SR. MEMORIAL NATIONAL HIGH SCHOOL</t>
  </si>
  <si>
    <t>NORALA WATER DISTRICT</t>
  </si>
  <si>
    <t>DEPARTMENT OF PUBLIC WORKS AND HIGHWAYS - MAIN</t>
  </si>
  <si>
    <t>MUNICIPALITY OF BINANGONAN, RIZAL</t>
  </si>
  <si>
    <t>JOSE RIZAL MEMORIAL STATE UNIVERSITY - MAIN CAMPUS</t>
  </si>
  <si>
    <t>DEVELOPMENT BANK OF THE PHILIPPINES - CATBALOGAN BRANCH</t>
  </si>
  <si>
    <t>MAYTUBIG ELEMENTARY SCHOOL - ISABELA NEGROS OCCIDENTAL</t>
  </si>
  <si>
    <t>HERMOSA WATER DISTRICT</t>
  </si>
  <si>
    <t>DEPARTMENT OF PUBLIC WORKS AND HIGHWAYS - QUEZON 3RD ED</t>
  </si>
  <si>
    <t>BARANGAY ZONE 9 - BAYBAY CITY LEYTE</t>
  </si>
  <si>
    <t>METRO KALIBO WATER DISTRICT</t>
  </si>
  <si>
    <t>SURIGAO DEL NORTE COLLEGE OF AGRICULTURE &amp; TECHNOLOGY</t>
  </si>
  <si>
    <t>BARANGAY JAO-ASAN, MAGDIWANG ROMBLON</t>
  </si>
  <si>
    <t>BALAOAN WATER DISTRICT</t>
  </si>
  <si>
    <t>PHILIPPINE TEXTILE RESEARCH INSTITUTE</t>
  </si>
  <si>
    <t>BARANGAY LIBERTAD, ODIONGAN, ROMBLON</t>
  </si>
  <si>
    <t>DEPARTMENT OF TRADE AND INDUSTRY - SOUTHERN LEYTE</t>
  </si>
  <si>
    <t>BARANGAY 153 - CALOOCAN CITY</t>
  </si>
  <si>
    <t>MUNICIPALITY OF LAOANG, NORTHERN SAMAR</t>
  </si>
  <si>
    <t>MUNICIPALITY OF ALABEL, SARANGANI PROVINCE</t>
  </si>
  <si>
    <t>BARANGAY  KIMBA -  LAZI, SIQUIJOR</t>
  </si>
  <si>
    <t>MAINAGA ELEMENTARY SCHOOL, IBA, CABANGLASAN, BUKIDNON</t>
  </si>
  <si>
    <t>CITY OF CATBALOGAN, SAMAR</t>
  </si>
  <si>
    <t>BANGAHAN ELEMENTARY SCHOOL</t>
  </si>
  <si>
    <t>BARANGAY UNANG SIGAW - QUEZON CITY</t>
  </si>
  <si>
    <t>BUREAU OF CORRECTIONS - SABLAYAN PRISON AND PENAL FARM</t>
  </si>
  <si>
    <t>BARANGAY PALINGON-TIPAS, TAGUIG CITY</t>
  </si>
  <si>
    <t>DEVELOPMENT BANK OF THE PHILIPPINES - TOLEDO BRANCH</t>
  </si>
  <si>
    <t>MUNICIPALITY OF BULUSAN, SORSOGON</t>
  </si>
  <si>
    <t>BARANGAY KAYPIAN, SAN JOSE DEL MONTE CITY</t>
  </si>
  <si>
    <t>BARANGAY BARONGAPAITAN STA. MARIA PANGASINAN</t>
  </si>
  <si>
    <t>BARANGAY LIGTONG III ROSARIO CAVITE</t>
  </si>
  <si>
    <t>STO. NINO ELEMENTARY SCHOOL - MANOLO FORTICH BUKIDNON</t>
  </si>
  <si>
    <t>DEPARTMENT OF PUBLIC WORKS AND HIGHWAYS - IFUGAO 2ND DEO</t>
  </si>
  <si>
    <t>PUALAS ELEMENTARY SCHOOL</t>
  </si>
  <si>
    <t>BARANGAY SILANGAN II ROSARIO CAVITE</t>
  </si>
  <si>
    <t>BARANGAY SAN RAFAEL, SAN PABLO CITY, LAGUNA</t>
  </si>
  <si>
    <t xml:space="preserve">CADUHA-AN NATIONAL HIGH SCHOOL (LUNA EXTENSION HIGH SCHOOL) </t>
  </si>
  <si>
    <t>BALON ELEMENTARY SCHOOL</t>
  </si>
  <si>
    <t>MUNICIPALITY OF NASUGBU, BATANGAS</t>
  </si>
  <si>
    <t>POWER SECTOR ASSETS AND LIABILITIES MANAGEMENT CORPORATION-Q</t>
  </si>
  <si>
    <t>BARANGAY DIOQUINO ZOBEL, QUEZON CITY</t>
  </si>
  <si>
    <t>MUNICIPALITY OF CALUMPIT, BULACAN</t>
  </si>
  <si>
    <t>BARANGAY LALAGUNA, LOPEZ, QUEZON</t>
  </si>
  <si>
    <t>BARANGAY ADLAY, CARRASCAL, SURIGAO DEL SUR</t>
  </si>
  <si>
    <t>BARANGAY CENTRAL, QUEZON CITY</t>
  </si>
  <si>
    <t>FOOD AND NUTRITION RESEARCH INSTITUTE</t>
  </si>
  <si>
    <t>DEPARTMENT OF EDUCATION - DIVISION OF CAMIGUIN</t>
  </si>
  <si>
    <t>BARANGAY TUBAHAN - ROSARIO, BATANGAS</t>
  </si>
  <si>
    <t>MUNICIPALITY OF BROOKE'S POINT, PALAWAN</t>
  </si>
  <si>
    <t>SUM-AG NATIONAL HIGH SCHOOL</t>
  </si>
  <si>
    <t>BARANGAY SAN JOSE SICO, BATANGAS CITY, BATANGAS</t>
  </si>
  <si>
    <t>PHILIPPINE NATIONAL RAILWAYS</t>
  </si>
  <si>
    <t>BARANGAY PASIL, TANAUAN, LEYTE</t>
  </si>
  <si>
    <t>BARANGAY MALOBAGO - SAN ROQUE NORTHERN SAMAR</t>
  </si>
  <si>
    <t>ALITAGTAG NATIONAL HIGH SCHOOL - ALITAGTAG BATANGAS</t>
  </si>
  <si>
    <t>MUNICIPALITY OF BAUNGON, BUKIDNON</t>
  </si>
  <si>
    <t>MUNICIPALITY OF SAN LORENZO RUIZ, CAMARINES NORTE</t>
  </si>
  <si>
    <t>BARANGAY LIGTONG I ROSARIO CAVITE</t>
  </si>
  <si>
    <t>DON LUIS CONSING ELEMENTARY SCHOOL</t>
  </si>
  <si>
    <t>BARANGAY BAGBAG 2 ROSARIO CAVITE</t>
  </si>
  <si>
    <t>MUNICIPALITY OF SAPAD, LANAO DEL NORTE</t>
  </si>
  <si>
    <t>MUNICIPALITY OF TINOC, IFUGAO</t>
  </si>
  <si>
    <t>BARANGAY CAGUTSAN, CATBALOGAN CITY</t>
  </si>
  <si>
    <t>BARANGAY BARANGOBONG - TAYUG, PANGASINAN</t>
  </si>
  <si>
    <t>BARANGAY BONBON, OPOL, MISAMIS ORIENTAL</t>
  </si>
  <si>
    <t>BARANGAY DAUNGAN MAUBAN, QUEZON</t>
  </si>
  <si>
    <t>MUNICIPALITY OF SOFRONIO ESPAÑOLA, PALAWAN</t>
  </si>
  <si>
    <t>DEPARTMENT OF PUBLIC WORKS AND HIGHWAYS - REGION I</t>
  </si>
  <si>
    <t>MUNICIPALITY OF MASANTOL, PAMPANGA</t>
  </si>
  <si>
    <t>VILLA CONCEPCION HIGH SCHOOL (BACULOD EXTENSION) - CAUAYAN C</t>
  </si>
  <si>
    <t>LANDBANK OF THE PHILIPPINES - NEGROS ORIENTAL AND SIQUIJOR</t>
  </si>
  <si>
    <t>BARANGAY LUCMAYAN, NUEVA VALENCIA, GUIMARAS</t>
  </si>
  <si>
    <t>UNIVERSITY OF THE PHILIPPINES - MANILA</t>
  </si>
  <si>
    <t>MUNICIPALITY OF DIFFUN, QUIRINO</t>
  </si>
  <si>
    <t>BARANGAY MALTANA - TAMPAKAN SOUTH COTABATO</t>
  </si>
  <si>
    <t>MUNICIPALITY OF TANGALAN, AKLAN</t>
  </si>
  <si>
    <t>MUNICIPALITY OF SAN VICENTE, CAMARINES NORTE</t>
  </si>
  <si>
    <t>BARANGAY PIAO-ROXAS, ZAMBOANGA DEL NORTE</t>
  </si>
  <si>
    <t>BARANGAY KINATIHAN 2, CANDELARIA, QUEZON</t>
  </si>
  <si>
    <t>BARANGAY PALID I, LEYTE, LEYTE</t>
  </si>
  <si>
    <t>MUNICIPALITY OF STA. MARGARITA, SAMAR</t>
  </si>
  <si>
    <t>LUBAO WATER DISTRICT</t>
  </si>
  <si>
    <t>BARANGAY PANSAGAN - BAYBAY CITY LEYTE</t>
  </si>
  <si>
    <t>FAR NORTH LUZON GENERAL HOSPITAL &amp; TRAINING CENTER - LUNA AP</t>
  </si>
  <si>
    <t>BARANGAY LABANGAL, GENERAL SANTOS CITY</t>
  </si>
  <si>
    <t>MUNICIPALITY OF SARANGANI, DAVAO OCCIDENTAL</t>
  </si>
  <si>
    <t>BARANGAY SAN PABLO, TACURONG, SULTAN KUDARAT</t>
  </si>
  <si>
    <t>BARANGAY POBLACION, NUEVA VALENCIA, GUIMARAS</t>
  </si>
  <si>
    <t>DEPARTMENT OF PUBLIC WORKS AND HIGHWAYS - SAMAR 1ST DEO</t>
  </si>
  <si>
    <t xml:space="preserve">DEPARTMENT OF PUBLIC WORKS AND HIGHWAYS - CAMARINES SUR 1ST </t>
  </si>
  <si>
    <t>BARANGAY SAN ANTONIO - LOS BAÑOS, LAGUNA</t>
  </si>
  <si>
    <t>BUREAU OF INTERNAL REVENUE  RR8A  - MAKATI CITY</t>
  </si>
  <si>
    <t>MUNICIPALITY OF PRES. MANUEL A. ROXAS, ZAMBOANGA DEL NORTE</t>
  </si>
  <si>
    <t>MUNICIPALITY OF MINGLANILLA, CEBU</t>
  </si>
  <si>
    <t>BARANGAY SAN PEDRO, BATANGAS CITY</t>
  </si>
  <si>
    <t>DEPARTMENT OF PUBLIC WORKS AND HIGHWAYS - ZAMBOANGA CITY DEO</t>
  </si>
  <si>
    <t>MUNICIPALITY OF STA. CRUZ, MARINDUQUE</t>
  </si>
  <si>
    <t>CITY OF SAGAY, NEGROS OCCIDENTAL</t>
  </si>
  <si>
    <t>BARANGAY CAMBULAGA - SORSOGON CITY</t>
  </si>
  <si>
    <t>MUNICIPALITY OF DEL GALLEGO, CAMARINES SUR</t>
  </si>
  <si>
    <t>PROVINCE OF ALBAY</t>
  </si>
  <si>
    <t>MUNICIPALITY OF SAN ILDEFONSO, ILOCOS SUR</t>
  </si>
  <si>
    <t>BARANGAY FORMON</t>
  </si>
  <si>
    <t>SOUTH DALURONG ELEMENTARY SCHOOL</t>
  </si>
  <si>
    <t>NIA-CHICO RIVER PUMP IRRIGATION PROJECT, TUAO, CAGAYAN</t>
  </si>
  <si>
    <t>BARANGAY LUMBIA, CAGAYAN DE ORO CITY</t>
  </si>
  <si>
    <t>BARANGAY BUNGAHAN, CUENCA, BATANGAS</t>
  </si>
  <si>
    <t>BARANGAY SAMBAT, SAN PASCUAL, BATANGAS</t>
  </si>
  <si>
    <t>BARANGAY CATANDUNGANON, MERCEDES, CAMARINES NORTE</t>
  </si>
  <si>
    <t>BARANGAY 666 ZONE 72 DISTRICT V, MANILA</t>
  </si>
  <si>
    <t>NATIONAL IRRIGATION ADMINISTRATION - QUEZON IMO, LUCENA CITY</t>
  </si>
  <si>
    <t>BARANGAY VISAYAN VILLAGE, TAGUM CITY</t>
  </si>
  <si>
    <t>BARANGAY CONCEPCION, NAUJAN, ORIENTAL MINDORO</t>
  </si>
  <si>
    <t>BARANGAY PANIKIAN, CARRASCAL, SURIGAO DEL SUR</t>
  </si>
  <si>
    <t>MUNICIPALITY OF LA LIBERTAD ZAMBOANGA DEL NORTE</t>
  </si>
  <si>
    <t>BENIGNO S. AQUINO NATIONAL HIGH SCHOOL</t>
  </si>
  <si>
    <t>PHILIPPINE CENTER FOR POSTHARVEST DEV'T AND MECHANIZATION</t>
  </si>
  <si>
    <t>DEPARTMENT OF PUBLIC WORKS AND HIGHWAYS - CAGAYAN 2ND DEO</t>
  </si>
  <si>
    <t>MUNICIPALITY OF CABATUAN, ISABELA</t>
  </si>
  <si>
    <t>BATAAN NATIONAL HIGH SCHOOL</t>
  </si>
  <si>
    <t>DEPARTMENT OF PUBLIC WORKS AND HIGHWAYS - SORSOGON 1ST DEO</t>
  </si>
  <si>
    <t>BARANGAY MABILBILA SUR, SANTA, ILOCOS SUR</t>
  </si>
  <si>
    <t>PAULINA MANALO ELEMENTARY SCHOOL - PATEROS</t>
  </si>
  <si>
    <t>BARANGAY DALIPIT WEST, CUENCA, BATANGAS</t>
  </si>
  <si>
    <t>MUNICIPALITY OF MALITBOG, SOUTHERN LEYTE</t>
  </si>
  <si>
    <t>NATIONAL TOBACCO ADMINISTRATION - VILLASIS PANGASINAN</t>
  </si>
  <si>
    <t>MUNICIPALITY OF KIAMBA, SARANGANI</t>
  </si>
  <si>
    <t>MUNICIPALITY OF VALLADOLID, NEGROS OCCIDENTAL</t>
  </si>
  <si>
    <t>BARANGAY  PONDANG - DARAM SAMAR</t>
  </si>
  <si>
    <t>BARANGAY 06 POBLACION - CATANAUAN, QUEZON</t>
  </si>
  <si>
    <t>BARANGAY PERRELOS - CARCAR, CEBU</t>
  </si>
  <si>
    <t>BUREAU OF PLANT INDUSTRY - LA GRANJA NCRDC</t>
  </si>
  <si>
    <t>BARANGAY CABUNGAHAN - CAWAYAN, MASBATE</t>
  </si>
  <si>
    <t>MUNICIPALITY OF SABTANG, BATANES</t>
  </si>
  <si>
    <t>BARANGAY OLD GUINLO, TAYTAY, PALAWAN</t>
  </si>
  <si>
    <t>BARANGAY IBOL, CATBALOGAN CITY, SAMAR</t>
  </si>
  <si>
    <t>BARANGAY CHICO ISLAND, CAWAYAN, MASBATE</t>
  </si>
  <si>
    <t>DEPARTMENT OF PUBLIC WORKS AND HIGHWAYS - CAGAYAN 3RD DEO</t>
  </si>
  <si>
    <t>BARANGAY CANTUBOD - DANAO BOHOL</t>
  </si>
  <si>
    <t>DEPARTMENT OF PUBLIC WORKS AND HIGHWAYS - DAVAO CITY II DEO</t>
  </si>
  <si>
    <t>TIMBAO ELEMENTARY SCHOOL</t>
  </si>
  <si>
    <t>MUNICIPALITY OF NAGTIPUNAN, QUIRINO</t>
  </si>
  <si>
    <t>MUNICIPALITY OF TOLOSA, LEYTE</t>
  </si>
  <si>
    <t>BARANGAY ESTAKA, CATBALOGAN CITY</t>
  </si>
  <si>
    <t>BARANGAY GUIOM, CAWAYAN, MASBATE</t>
  </si>
  <si>
    <t>MUNICIPALITY OF CULABA, BILIRAN</t>
  </si>
  <si>
    <t>MUNICIPALITY OF CARMEN, BOHOL</t>
  </si>
  <si>
    <t>NIA-JALAUR RIVER MULTI-PURPOSE PROJECT STAGE II</t>
  </si>
  <si>
    <t>GEN. TINIO NATIONAL HIGH SCHOOL</t>
  </si>
  <si>
    <t>BARANGAY PINAMANAGAN, ABUYOG, LEYTE</t>
  </si>
  <si>
    <t>DEPARTMENT OF ENVIRONMENT AND NATURAL RES. - PENRO, BULACAN</t>
  </si>
  <si>
    <t>BARANGAY DADIANGAS WEST - GENERAL SANTOS CITY, SOUTH COTABAT</t>
  </si>
  <si>
    <t>DEVELOPMENT BANK OF THE PHILIPPINES - CENTRAL LUZON</t>
  </si>
  <si>
    <t>BARANGAY CINCO SIERRA, CATBALOGAN CITY, SAMAR</t>
  </si>
  <si>
    <t>BARANGAY CANCAVAN, CARMEN, SURIGAO DEL SUR</t>
  </si>
  <si>
    <t>BARANGAY CARNAGA, TOMAS OPPUS, SOUTHERN LEYTE</t>
  </si>
  <si>
    <t>BARANGAY BATO - BORONGAN EASTERN SAMAR</t>
  </si>
  <si>
    <t>BARANGAY CANUBING II, CALAPAN, ORIENTAL MINDORO</t>
  </si>
  <si>
    <t>DEPARTMENT OF AGRICULTURE (A- PRDP RPCO 8) - TACLOBAN CITY L</t>
  </si>
  <si>
    <t>BARANGAY TAMBIS, HILONGOS, LEYTE</t>
  </si>
  <si>
    <t>BARANGAY AMBALITE, PUGO, LA UNION</t>
  </si>
  <si>
    <t>BARANGAY NORTH SAN JOSE MOLO, ILOILO CITY</t>
  </si>
  <si>
    <t>BARANGAY BALOGO, BINMALEY, PANGASINAN</t>
  </si>
  <si>
    <t>MUNICIPALITY OF ALEOSAN, COTABATO</t>
  </si>
  <si>
    <t>MUNICIPALITY OF MAASIN, ILOILO</t>
  </si>
  <si>
    <t>DEPARTMENT OF SCIENCE AND TECHNOLOGY - REGION VII</t>
  </si>
  <si>
    <t>BARANGAY BANZA, BUTUAN CITY</t>
  </si>
  <si>
    <t>DEPARTMENT OF PUBLIC WORKS AND HIGHWAYS - BATANGAS 2ND ED</t>
  </si>
  <si>
    <t>LIGA NG MGA BARANGAY, NATIVIDAD CHAPTER</t>
  </si>
  <si>
    <t>BARANGAY DORULOMAN ARAKAN COTABATO</t>
  </si>
  <si>
    <t>MUNICIPALITY OF LUBAO, PAMPANGA</t>
  </si>
  <si>
    <t>MABINI NATIONAL HIGH SCHOOL - NEGROS OCCIDENTAL</t>
  </si>
  <si>
    <t>MUNICIPALITY OF BUENAVISTA, GUIMARAS</t>
  </si>
  <si>
    <t>MUNICIPALITY OF PRESIDENT ROXAS, COTABATO</t>
  </si>
  <si>
    <t>PANAYABAN TE SIMSIMEN</t>
  </si>
  <si>
    <t>BARANGAY GREATER LAGRO</t>
  </si>
  <si>
    <t>BARANGAY APALE, RAGAY, CAMARINES SUR</t>
  </si>
  <si>
    <t>DEPARTMENT OF PUBLIC WORKS AND HIGHWAYS - SAMAR 2ND DEO</t>
  </si>
  <si>
    <t>BARANGAY SAN JUAN, MOLO, ILOILO CITY</t>
  </si>
  <si>
    <t>PHILIPPINE COCONUT AUTHORITY - REGION XII</t>
  </si>
  <si>
    <t>BARANGAY BATABAT SUR BUENAVISTA, QUEZON</t>
  </si>
  <si>
    <t>BARANGAY CUNSAD JANIUAY ILOILO</t>
  </si>
  <si>
    <t>BARANGAY BANABAN - ANGAT BULACAN</t>
  </si>
  <si>
    <t>BARANGAY GAMA PEQUENO - CALINOG, ILOILO</t>
  </si>
  <si>
    <t>MUNICIPALITY OF QUEZON, ISABELA</t>
  </si>
  <si>
    <t>BARANGAY LANAO KURAN - ARAKAN COTOBATO</t>
  </si>
  <si>
    <t>BARANGAY MALIBAYO, BATANGAS CITY</t>
  </si>
  <si>
    <t>BARANGAY  POBLACION C - TAYUG PANGASINAN</t>
  </si>
  <si>
    <t>CADIZ VIEJO ELEMENTARY SCHOOL</t>
  </si>
  <si>
    <t>BARANGAY LOPOC, LABASON, ZAMBOANGA DEL NORTE</t>
  </si>
  <si>
    <t>MUNICIPALITY OF LAVEZARES, NORTHERN SAMAR</t>
  </si>
  <si>
    <t>NATIONAL IRRIGATION ADMINISTRATION - NEGROS ISLAND REGION</t>
  </si>
  <si>
    <t>BARANGAY CAGAY - MASBATE CITY</t>
  </si>
  <si>
    <t>TAMBO CENTRAL SCHOOL</t>
  </si>
  <si>
    <t>MUNICIPALITY OF ALBURQUERQUE, BOHOL</t>
  </si>
  <si>
    <t>BARANGAY BANOYO - SAN LUIS BATANGAS</t>
  </si>
  <si>
    <t>MUNICIPALITY OF MALINAO, AKLAN</t>
  </si>
  <si>
    <t>MUNICIPALITY OF ROSALES, PANGASINAN</t>
  </si>
  <si>
    <t>MUNICIPALITY OF IROSIN, SORSOGON</t>
  </si>
  <si>
    <t>BARANGAY CAPUDLOSAN, HINDANG, LEYTE</t>
  </si>
  <si>
    <t>MUNICIPALITY OF SAN ENRIQUE, ILOILO</t>
  </si>
  <si>
    <t>BARANGAY POBLACION - JETAFE BOHOL</t>
  </si>
  <si>
    <t>BARANGAY SASA, DAVAO CITY</t>
  </si>
  <si>
    <t>DEPARTMENT OF INFORMATION AND COMMUNICATIONS TECHNOLOGY-CDO</t>
  </si>
  <si>
    <t>BARANGAY CALIPAYAN - CULABA BILIRAN</t>
  </si>
  <si>
    <t>BARANGAY CAGUTIAN, CATBALOGAN CITY, SAMAR</t>
  </si>
  <si>
    <t>NATIONAL MARITIME POLYTECHNIC - REGION VIII</t>
  </si>
  <si>
    <t>BARANGAY ROSARIO - MAUBAN QUEZON</t>
  </si>
  <si>
    <t>BARANGAY LUTA DEL SUR - MALVAR BATANGAS</t>
  </si>
  <si>
    <t>MUNICIPALITY OF DAPA, SURIGAO DEL NORTE</t>
  </si>
  <si>
    <t>BARANGAY TANGKULAN, DAMULOG</t>
  </si>
  <si>
    <t>BARANGAY BUYOG - JETAFE BOHOL</t>
  </si>
  <si>
    <t>PHILIPPINE PORTS AUTHORITY - PMO MINDORO</t>
  </si>
  <si>
    <t>BARANGAY MATIN-AO-MAASIN CITY SOUTHERN LEYTE</t>
  </si>
  <si>
    <t>MUNICIPALITY OF STA. MONICA, SURIGAO DEL NORTE</t>
  </si>
  <si>
    <t>CITY OF TAGAYTAY, CAVITE</t>
  </si>
  <si>
    <t>BARANGAY POBLACION - NABUNTURAN, COMPOSTELA VALLEY</t>
  </si>
  <si>
    <t>BARANGAY BACLAYAN - BOLJOON, CEBU</t>
  </si>
  <si>
    <t>MUNICIPALITY OF SOLANA, CAGAYAN</t>
  </si>
  <si>
    <t>MUNICIPALITY OF LUGAIT, MISAMIS ORIENTAL</t>
  </si>
  <si>
    <t>DEPARTMENT OF TRADE AND INDUSTRY - REGION X</t>
  </si>
  <si>
    <t>MUNICIPALITY OF ANAO, TARLAC</t>
  </si>
  <si>
    <t>BARANGAY STO.NIÑO, SABLAYAN, OCCIDENTAL MINDORO</t>
  </si>
  <si>
    <t>MARINDUQUE NATIONAL HIGH SCHOOL</t>
  </si>
  <si>
    <t>MERIDA WATER DISTRICT</t>
  </si>
  <si>
    <t>BARANGAY BANUYAO LAPAZ, ILOILO CITY</t>
  </si>
  <si>
    <t>BARANGAY ANGELES, ATIMONAN,QUEZON</t>
  </si>
  <si>
    <t>BULACAN STATE UNIVERSITY</t>
  </si>
  <si>
    <t>MUNICIPALITY OF AURORA, ISABELA</t>
  </si>
  <si>
    <t>MUNICIPALITY OF KITAOTAO, BUKIDNON</t>
  </si>
  <si>
    <t>BARANGAY SAN AGAPITO ISLA VERDE, BATANGAS CITY, BATANGAS</t>
  </si>
  <si>
    <t>PHILIPPINE PORTS AUTHORITY - PMO ILIGAN</t>
  </si>
  <si>
    <t>NATIONAL ECONOMIC AND DEVELOPMENT AUTHORITY - REGION X</t>
  </si>
  <si>
    <t>CITY OF GUIHULNGAN, NEGROS ORIENTAL</t>
  </si>
  <si>
    <t>BARANGAY ESPERANZA - PILAR CEBU</t>
  </si>
  <si>
    <t>BARANGAY DAGBASAN - MABINAY NEGROS ORIENTAL</t>
  </si>
  <si>
    <t>BARANGAY MABAGON, HINDANG, LEYTE</t>
  </si>
  <si>
    <t>BARANGAY SAGRADA FAMILIA, SIPOCOT, CAMARINES SUR</t>
  </si>
  <si>
    <t>BARANGAY POBLACION, KIAMBA, SARANGANI</t>
  </si>
  <si>
    <t>MUNICIPALITY OF CONNER, APAYAO</t>
  </si>
  <si>
    <t>PHILIPPINE HEALTH INSURANCE CORPORATION - CARAGA</t>
  </si>
  <si>
    <t>PHILIPPINE FISHERIES DEVELOPMENT AUTHORITY - NAVOTAS FISH PO</t>
  </si>
  <si>
    <t>BARANGAY CABAOHAN - PASTRANA LEYTE</t>
  </si>
  <si>
    <t>MUNICIPALITY OF CASIGURAN, AURORA</t>
  </si>
  <si>
    <t>MUNICIPALITY OF ORANI, BATAAN</t>
  </si>
  <si>
    <t>BARAGAY  BANTAD - GUMACA QUEZON</t>
  </si>
  <si>
    <t>MUNICIPALITY OF BARCELONA, SORSOGON</t>
  </si>
  <si>
    <t>HIYANG-HIYANG ELEMENTARY SCHOOL</t>
  </si>
  <si>
    <t>MUNICIPALITY OF STA. PRAXEDES, CAGAYAN</t>
  </si>
  <si>
    <t>MUNICIPALITY OF JOSE ABAD SANTOS, DAVAO DEL SUR</t>
  </si>
  <si>
    <t>BARANGAY JEREOS LAPAZ, ILOILO CITY</t>
  </si>
  <si>
    <t>BIODIVERSITY MANAGEMENT BUREAU</t>
  </si>
  <si>
    <t>MUNICIPALITY OF TUBOD, LANAO DEL NORTE</t>
  </si>
  <si>
    <t>BARANGAY ESTRELLA, MABINI, BATANGAS</t>
  </si>
  <si>
    <t>MUNICIPALITY OF MARIPIPI, BILIRAN</t>
  </si>
  <si>
    <t>BARANGAY STA. ROSA, CONCEPCION, TARLAC</t>
  </si>
  <si>
    <t>MUNICIPALITY OF PIAT, CAGAYAN</t>
  </si>
  <si>
    <t>BARANGAY VETERANS VILLAGE CITY PROPER, ILOILO CITY</t>
  </si>
  <si>
    <t>SK OF BARANGAY GUADALUPE VIEJO  - MAKATI CITY METRO MANILA</t>
  </si>
  <si>
    <t>BARANGAY 13 AGUILA - CAVITE CITY CAVITE</t>
  </si>
  <si>
    <t>BARANGAY TINGA LABAC, BATANGAS CITY</t>
  </si>
  <si>
    <t>BARANGAY ZONE 18 - BAYBAY CITY LEYTE</t>
  </si>
  <si>
    <t>DEPARTMENT OF PUBLIC WORKS AND HIGHWAYS - REGION VIII</t>
  </si>
  <si>
    <t>MUNICIPALITY OF TABINA, ZAMBOANGA DEL SUR</t>
  </si>
  <si>
    <t>BARANGAY PANDO, CONCEPCION, TARLAC</t>
  </si>
  <si>
    <t>BARANGAY BUNGAHAN, GUMACA, QUEZON</t>
  </si>
  <si>
    <t>BARANGAY CARANDAY, BAAO, CAMARINES SUR</t>
  </si>
  <si>
    <t>ILOILO STATE COLLEGE OF FISHERIES - BAROTAC NUEVO CAMPUS</t>
  </si>
  <si>
    <t>METRO LIPA WATER DISTRICT</t>
  </si>
  <si>
    <t>NATIONAL TELECOMMUNICATIONS COMMISSION - REGION XI</t>
  </si>
  <si>
    <t>NATIONAL FOOD AUTHORITY - ARMM</t>
  </si>
  <si>
    <t>BARANGAY PITABUNAN, CONCEPCION, TARLAC</t>
  </si>
  <si>
    <t>BARANGAY BAGONG POOK, LIPA CITY</t>
  </si>
  <si>
    <t>BARANGAY TAVORA EAST, PUGO, LA UNION</t>
  </si>
  <si>
    <t>BARANGAY NAGPALANGAN, BINMALEY, PANGASINAN</t>
  </si>
  <si>
    <t>DEPARTMENT OF AGRARIAN REFORM - SURIGAO DEL SUR</t>
  </si>
  <si>
    <t>MUNICIPALITY OF RAPU-RAPU, ALBAY</t>
  </si>
  <si>
    <t>BARANGAY CAMBALIDIO, LIBMANAN, CAMARINES SUR</t>
  </si>
  <si>
    <t>BAYLANAN ELEMENTARY SCHOOL - TALAKAG, BUKIDNON</t>
  </si>
  <si>
    <t>BARANGAY ALANGILAN, BATANGAS CITY, BATANGAS</t>
  </si>
  <si>
    <t>DEPARTMENT OF TOURISM - REGION VIII</t>
  </si>
  <si>
    <t>DEPARTMENT OF HEALTH REGIONAL OFFICE II</t>
  </si>
  <si>
    <t>PHILIPPINE AMUSEMENT AND GAMING CORPORATION</t>
  </si>
  <si>
    <t>BARANGAY ZONE II POBLACION, ATIMONAN, QUEZON</t>
  </si>
  <si>
    <t>DEPARTMENT OF AGRARIAN REFORM - ZAMBOANGA DEL NORTE</t>
  </si>
  <si>
    <t>BARANGAY SAN JOSE, SAN FERNANDO CITY</t>
  </si>
  <si>
    <t>BANGKO SENTRAL NG PILIPINAS - DAVAO REGIONAL OFFICE</t>
  </si>
  <si>
    <t>BARANGAY SAN CARLOS, LIPA CITY</t>
  </si>
  <si>
    <t>BARANGAY TIPACAN, LIPA CITY</t>
  </si>
  <si>
    <t>BARANGAY DUHATAN, LIPA CITY</t>
  </si>
  <si>
    <t>BARANGAY DAGATAN, LIPA CITY, BATANGAS</t>
  </si>
  <si>
    <t>MUNICIPALITY OF LUISIANA, LAGUNA</t>
  </si>
  <si>
    <t>LANDBANK OF THE PHILIPPINES - HEAD OFFICE</t>
  </si>
  <si>
    <t>BARANGAY MALITLIT, LIPA CITY, BATANGAS</t>
  </si>
  <si>
    <t>BARANGAY CUMBA, LIPA CITY</t>
  </si>
  <si>
    <t>PIG-AWAKAN ELEMENTARY SCHOOL</t>
  </si>
  <si>
    <t>BARANGAY BOLO, BAUAN, BATANGAS</t>
  </si>
  <si>
    <t>BARANGAY NAPARAAN, SALCEDO, EASTERN SAMAR</t>
  </si>
  <si>
    <t>BARANGAY CAIGANGAN, BUENAVISTA, MARINDUQUE</t>
  </si>
  <si>
    <t>DEPARTMENT OF ENVIRONMENT AND NATURAL RESOURCES - NCR</t>
  </si>
  <si>
    <t>MUNICIPALITY OF ALAMADA, COTABATO</t>
  </si>
  <si>
    <t>MUNICIPALITY OF MATANOG, MAGUINDANAO</t>
  </si>
  <si>
    <t>BARANGAY PALI-BENEDICTO, MANDURRIAO, ILOILO CITY</t>
  </si>
  <si>
    <t>BARANGAY SAN NICOLAS - GAPAN CITY NUEVA ECIJA</t>
  </si>
  <si>
    <t>BARANGAY SOUTH CENTRO - SIPOCOT, CAMARINES SUR</t>
  </si>
  <si>
    <t>PIRADA ELEMENETARY SCHOOL - CABADBARAN CITY AGUSAN DEL NORTE</t>
  </si>
  <si>
    <t>BARANGAY OTSO - MAMBURAO OCCIDENTAL MINDORO</t>
  </si>
  <si>
    <t>MUNICIPALITY OF BALATAN, CAMARINES SUR</t>
  </si>
  <si>
    <t>BARANGAY CODON - SAN ANDRES CATANDUANES</t>
  </si>
  <si>
    <t>MUNICIPALITY OF NUEVA ERA, ILOCOS NORTE</t>
  </si>
  <si>
    <t>BARANGAY DUANG NIOG, LIBMANAN, CAMARINES SUR</t>
  </si>
  <si>
    <t>BARANGAY 17 - GINGOOG CITY MISAMIS ORIENTAL</t>
  </si>
  <si>
    <t>MUNICIPALITY OF MUTIA, ZAMBOANGA DEL NORTE</t>
  </si>
  <si>
    <t>BARANGAY CANSAMADA EAST - DAGAMI LEYTE</t>
  </si>
  <si>
    <t>TUNASAN ELEMENTARY SCHOOL</t>
  </si>
  <si>
    <t>DEPARTMENT OF  EDUCATION - DIVISION OF SAN CARLOS CITY</t>
  </si>
  <si>
    <t>BARANGAY BUAYA, LAPU-LAPU CITY, CEBU</t>
  </si>
  <si>
    <t>COMMISSION ON APPOINTMENTS</t>
  </si>
  <si>
    <t>MUNICIPALITY OF SIERRA BULLONES, BOHOL</t>
  </si>
  <si>
    <t>METRO ILOILO WATER DISTRICT</t>
  </si>
  <si>
    <t>BARANGAY CAPALIZ, DUMANGAS, ILOILO</t>
  </si>
  <si>
    <t>DEPARTMENT OF PUBLIC WORKS AND HIGHWAYS - SULTAN KUDARAT 1ST</t>
  </si>
  <si>
    <t>MUNICIPALITY OF MAJAYJAY, LAGUNA</t>
  </si>
  <si>
    <t>BARANGAY PALUA, MANGALDAN, PANGASINAN</t>
  </si>
  <si>
    <t>NATIONAL BUREAU OF INVESTIGATION</t>
  </si>
  <si>
    <t>BARANGAY TEBAG, MANGALDAN, PANGASINAN</t>
  </si>
  <si>
    <t>MINISTRY OF PUBLIC WORKS-BARMM</t>
  </si>
  <si>
    <t>CITY OF PUERTO PRINCESA, PALAWAN</t>
  </si>
  <si>
    <t>MUNICIPALITY OF LABASON, ZAMBOANGA DEL NORTE</t>
  </si>
  <si>
    <t>PHILIPPINE COMPETITION COMMISSION</t>
  </si>
  <si>
    <t>DEPARTMENT OF ENERGY - MAIN</t>
  </si>
  <si>
    <t>MINDANAO STATE UNIVERSITY - TAWI-TAWI</t>
  </si>
  <si>
    <t>MUNICIPALITY OF SAN JOSE, DINAGAT ISLANDS</t>
  </si>
  <si>
    <t>PROVINCE OF CATANDUANES</t>
  </si>
  <si>
    <t>CITY OF MANDAUE, CEBU</t>
  </si>
  <si>
    <t>MUNICIPALITY OF KABUGAO, APAYAO</t>
  </si>
  <si>
    <t>MUNICIPALITY OF SULAT, EASTERN SAMAR</t>
  </si>
  <si>
    <t>BARANGAY EMBARCADERO - JUBAN SORSOGON</t>
  </si>
  <si>
    <t>BARANGAY BAGONG ANYO - DOLORES, QUEZON</t>
  </si>
  <si>
    <t>BARANGAY KAPATAGAN, DIGOS CITY</t>
  </si>
  <si>
    <t>MUNICIPALITY OF DOLORES, QUEZON</t>
  </si>
  <si>
    <t>PROVINCE OF SOUTHERN LEYTE</t>
  </si>
  <si>
    <t>MUNICIPALITY  OF KABAYAN, BENGUET</t>
  </si>
  <si>
    <t>INTELLECTUAL PROPERTY OF THE PHILIPPINES - TAGUIG CITY</t>
  </si>
  <si>
    <t>BARANGAY GUMBOC, LEON, ILOILO</t>
  </si>
  <si>
    <t>BARANGAY DUSACAN - LEON ILOILO</t>
  </si>
  <si>
    <t>SAPANG PALAY NATIONAL HIGH SCHOOL  (SENIOR HIGH SCHOOL) - SA</t>
  </si>
  <si>
    <t>BARANGAY BANABA CENTER, BATANGAS CITY</t>
  </si>
  <si>
    <t>BARANGAY PAMBUHAN, MERCEDES, CAMARINES NORTE</t>
  </si>
  <si>
    <t>NATIONAL HOUSING AUTHORITY - REGION I</t>
  </si>
  <si>
    <t>CITY  OF DANAO, CEBU</t>
  </si>
  <si>
    <t>BARANGAY TEBAG EAST, STA. BARBARA, PANGASINAN</t>
  </si>
  <si>
    <t>BARANGAY TIBONGBONG, MATANAO, DAVAO DEL SUR</t>
  </si>
  <si>
    <t>DEPARTMENT OF PUBLIC WORKS AND HIGHWAYS - REGION V</t>
  </si>
  <si>
    <t>BARANGAY MALINAO, GINGOOG CITY</t>
  </si>
  <si>
    <t>BARANGAY LARAY, JAVIER, LEYTE</t>
  </si>
  <si>
    <t>BARANGAY SAPRIANA - SINAIT, ILOCOS SUR</t>
  </si>
  <si>
    <t>MUNICIPALITY OF ILOG, NEGROS OCCIDENTAL</t>
  </si>
  <si>
    <t>NATIONAL CENTER FOR MENTAL HEALTH</t>
  </si>
  <si>
    <t>BARANGAY BUGNAY TUAO CAGAYAN</t>
  </si>
  <si>
    <t>MUNICIPALITY OF TIGBAO, ZAMBOANGA DEL SUR</t>
  </si>
  <si>
    <t xml:space="preserve">DEPARTMENT OF PUBLIC WORKS AND HIGHWAYS - ZAMBOANGA DEL SUR </t>
  </si>
  <si>
    <t>BARANGAY SANTIAGO, SAN LUIS, AGUSAN DEL SUR</t>
  </si>
  <si>
    <t>BARANGAY MANDAUG, CALAPE, BOHOL</t>
  </si>
  <si>
    <t xml:space="preserve">DEPARTMENT OF PUBLIC WORKS AND HIGHWAYS - CAMARINES SUR 4TH </t>
  </si>
  <si>
    <t>SUGAR REGULATORY ADMINISTRATION - VISAYAS</t>
  </si>
  <si>
    <t>BARANGAY  PATING - MASBATE CITY</t>
  </si>
  <si>
    <t>BARANGAY PICAS NORTE, JAVIER, LEYTE</t>
  </si>
  <si>
    <t>MUNICIPALITY OF AURORA, ZAMBOANGA DEL SUR</t>
  </si>
  <si>
    <t>WEST VISAYAS STATE UNIVERSITY – COLLEGE OF AGRICULTURE AND F</t>
  </si>
  <si>
    <t>DEPARTMENT OF PUBLIC WORKS AND HIGHWAYS - CAMIGUIN DEO</t>
  </si>
  <si>
    <t>MUNICIPALITY OF CONCEPCION, MISAMIS OCCIDENTAL</t>
  </si>
  <si>
    <t>BARANGAY NANGKA - BAYAWAN CITY NEGROS ORIENTAL</t>
  </si>
  <si>
    <t>BARANGAY SANTICON, BADIAN, CEBU</t>
  </si>
  <si>
    <t>BARANGAY TIGBINAN, LABO, CAMARINES NORTE</t>
  </si>
  <si>
    <t>MUNICIPALITY OF PITOGO, QUEZON</t>
  </si>
  <si>
    <t>BARANGAY PUALAS, TUBOD, LANAO DEL NORTE</t>
  </si>
  <si>
    <t>FERNANDO AIR BASE NATIONAL HIGH SCHOOL - LIPA CITY</t>
  </si>
  <si>
    <t>MUNICIPALITY OF STO. TOMAS, PAMPANGA</t>
  </si>
  <si>
    <t>BARANGAY CATAGBACAN NORTE, LOON, BOHOL</t>
  </si>
  <si>
    <t>BAYBAY CITY WATER DISTRICT</t>
  </si>
  <si>
    <t>MUNICIPALITY OF BUUG - ZAMBOANGA SIBUGAY</t>
  </si>
  <si>
    <t>BARANGAY MANIBAUG, PASIG PORAC, PAMPANGA</t>
  </si>
  <si>
    <t>DEPARTMENT OF EDUCATION - DIVISION OF CAPIZ</t>
  </si>
  <si>
    <t>PHILIPPINE HEALTH INSURANCE CORPORATION - REGION V</t>
  </si>
  <si>
    <t>MUNICIPALITY OF GIGMOTO, CATANDUANES</t>
  </si>
  <si>
    <t>PROVINCE OF SOUTH COTABATO</t>
  </si>
  <si>
    <t>BARANGAY NADAWISAN, CATAINGAN, MASBATE</t>
  </si>
  <si>
    <t>BARANGAY STA.CRUZ, HILONGOS, LEYTE</t>
  </si>
  <si>
    <t>BARANGAY TAMBALIZA, CONCEPCION, ILOILO</t>
  </si>
  <si>
    <t>MINDANAO STATE UNIVERSITY - MARAWI CITY</t>
  </si>
  <si>
    <t>MUNICIPALITY OF SOLANO, NUEVA VIZCAYA</t>
  </si>
  <si>
    <t>CITY OF TALISAY, CEBU</t>
  </si>
  <si>
    <t>CITY OF ALAMINOS, PANGASINAN</t>
  </si>
  <si>
    <t>MUNICIPALITY OF DINGLE, ILOILO</t>
  </si>
  <si>
    <t>BARANGAY SAYON, STA. JOSEFA, AGUSAN DEL SUR</t>
  </si>
  <si>
    <t>PHILIPPINE PUBLIC SAFETY COLLEGE</t>
  </si>
  <si>
    <t>BARANGAY STA. IRENE, BAYUGAN CITY, AGUSAN DEL SUR</t>
  </si>
  <si>
    <t>TIGBAO ELEMENTARY SCHOOL - LIBONA BUKIDNON</t>
  </si>
  <si>
    <t>MUNICIPALITY OF VIRAC , CATANDUANES</t>
  </si>
  <si>
    <t>STA. FE ELEMENTARY SCHOOL - LIBONA BUKIDNON</t>
  </si>
  <si>
    <t>BARANGAY SAN MARCOS, SAN PABLO CITY, LAGUNA</t>
  </si>
  <si>
    <t>MUNICIPALITY OF GINATILAN, CEBU</t>
  </si>
  <si>
    <t>BARANGAY NORTH FAIRVIEW, Q.C.</t>
  </si>
  <si>
    <t>BARANGAY SAN JOSE - MADALAG AKLAN</t>
  </si>
  <si>
    <t>BARANGAY UTAN, ALLACAPAN, CAGAYAN</t>
  </si>
  <si>
    <t>BARANGAY MACASIN - MAUBAN QUEZON</t>
  </si>
  <si>
    <t>BARANGAY POBLACION 2, TAGBILARAN CITY</t>
  </si>
  <si>
    <t>MUNICIPALITY OF BABATNGON, LEYTE</t>
  </si>
  <si>
    <t>MUNICIPALITY OF ALABAT, QUEZON</t>
  </si>
  <si>
    <t>DR. JOSE RIZAL MEMORIAL HOSPITAL</t>
  </si>
  <si>
    <t>BARANGAY POGO - ALAMINOS, PANGASINAN</t>
  </si>
  <si>
    <t>BARANGAY MABINI, BURDEOS, QUEZON</t>
  </si>
  <si>
    <t>MUNICIPALITY OF VALDERRAMA, ANTIQUE</t>
  </si>
  <si>
    <t>MUNICIPALITY OF KIBAWE , BUKIDNON</t>
  </si>
  <si>
    <t>PAGADIAN WATER DISTRICT</t>
  </si>
  <si>
    <t>BARANGAY IGBARAWAN - PATNONGON, ANTIQUE</t>
  </si>
  <si>
    <t>BARANGAY MAHABANG DAHILIG, LEMERY, BATANGAS</t>
  </si>
  <si>
    <t>BARANGAY NATO, ANINI-Y, ANTIQUE</t>
  </si>
  <si>
    <t>MUNICIPALITY OF MABINI, BATANGAS</t>
  </si>
  <si>
    <t>DEPARTMENT OF PUBLIC WORKS AND HIGHWAYS - EASTERN SAMAR DEO</t>
  </si>
  <si>
    <t>MUNICIPALITY OF TALAINGOD, DAVAO DEL NORTE</t>
  </si>
  <si>
    <t>RAMON MAGSAYSAY TECHNOLOGICAL UNIVERSITY</t>
  </si>
  <si>
    <t>WEST VISAYAS STATE UNIVERSITY - POTOTAN BRANCH</t>
  </si>
  <si>
    <t>MUNICIPALITY OF BARUGO, LEYTE</t>
  </si>
  <si>
    <t>BARANGAY ALAMINOS - MADALAG AKLAN</t>
  </si>
  <si>
    <t>BARANGAY PUTAT, TUBURAN, CEBU</t>
  </si>
  <si>
    <t>DEPARTMENT OF TRADE AND INDUSTRY - REGION VII</t>
  </si>
  <si>
    <t>DUMANLAS ELEMENTARY SCHOOL</t>
  </si>
  <si>
    <t>MUNICIPALITY OF ENRIQUE VILLANUEVA, SIQUIJOR</t>
  </si>
  <si>
    <t>BARANGAY CAMALANDA-AN, CAUAYAN, NEGROS OCCIDENTAL</t>
  </si>
  <si>
    <t>LOOC NATIONAL HIGH SCHOOL</t>
  </si>
  <si>
    <t>409TH CONTRACTING OFFICE</t>
  </si>
  <si>
    <t>MUNICIPALITY OF ASTURIAS, CEBU</t>
  </si>
  <si>
    <t>BARANGAY ZONE 1 - BAYBAY CITY</t>
  </si>
  <si>
    <t>BARANGAY 157, ZONE 14, DISTRICT II, MANILA</t>
  </si>
  <si>
    <t>MUNICIPALITY OF MALANGAS, ZAMBOANGA SIBUGAY</t>
  </si>
  <si>
    <t>BARANGAY AREBASORE - MABINAY  NEGROS ORIENTAL</t>
  </si>
  <si>
    <t>MUNICIPALITY OF GENERAL NAKAR, QUEZON</t>
  </si>
  <si>
    <t>BARANGAY SAN VICENTE, ANGONO, RIZAL</t>
  </si>
  <si>
    <t>BARANGAY KILIM - BAYBAY CITY LEYTE</t>
  </si>
  <si>
    <t>BARANGAY MARNAY, SINAIT, ILOCOS SUR</t>
  </si>
  <si>
    <t>MUNICIPALITY OF CONSOLACION, CEBU</t>
  </si>
  <si>
    <t>LAGUNA STATE POLYTECHNIC UNIVERSITY - STA. CRUZ CAMPUS</t>
  </si>
  <si>
    <t>BARANGAY TANAGAN, CALATAGAN, BATANGAS</t>
  </si>
  <si>
    <t>DEPARTMENT OF PUBLIC WORKS AND HIGHWAYS - REGION VII</t>
  </si>
  <si>
    <t>DON MARIANO MARCOS MEMORIAL STATE UNIVERSITY - BACNOTAN</t>
  </si>
  <si>
    <t>PHILIPPINE AMUSEMENT AND GAMING CORPORATION-BACOLOD</t>
  </si>
  <si>
    <t>BARANGAY BALLUYAN FLORA APAYAO</t>
  </si>
  <si>
    <t>DEPARTMENT OF PUBLIC WORKS AND HIGHWAYS - CEBU 1ST DEO</t>
  </si>
  <si>
    <t>BARANGAY  SAN ISIDRO - BONGABONG ORIENTAL MINDORO</t>
  </si>
  <si>
    <t>BARANGAY TAGNATE, HILONGOS, LEYTE</t>
  </si>
  <si>
    <t>BARANGAY SAN RAFAEL, MAC ARTHUR HIGHWAY, TARLAC CITY</t>
  </si>
  <si>
    <t>BARANGAY SAN JUAN -  CAINTA, RIZAL</t>
  </si>
  <si>
    <t>BARANGAY DALIPE, CAWAYAN, MASBATE</t>
  </si>
  <si>
    <t>MUNICIPALITY OF KAWIT,CAVITE</t>
  </si>
  <si>
    <t>DEPARTMENT OF PUBLIC WORKS AND HIGHWAYS - LAGUNA II DEO</t>
  </si>
  <si>
    <t>DEPARTMENT OF PUBLIC WORKS AND HIGHWAYS - QUEZON 4TH ED</t>
  </si>
  <si>
    <t>BARANGAY DANAO - JANIUAY ILOILO</t>
  </si>
  <si>
    <t>BARANGAY ESPERANZA, PORO, CEBU</t>
  </si>
  <si>
    <t>BARANGAY 261, ZONE 24 DISTRICT II, MANILA</t>
  </si>
  <si>
    <t>SULTAN KUDARAT WATER DISTRICT</t>
  </si>
  <si>
    <t>BARANGAY BUNTAY, DULAG, LEYTE</t>
  </si>
  <si>
    <t>BARANGAY BIDLINAN - BAYBAY CITY LEYTE</t>
  </si>
  <si>
    <t>MUNICIPALITY OF BALAOAN, LA UNION</t>
  </si>
  <si>
    <t>BARANGAY R.M. MAGBALON, CAWAYAN, MASBATE</t>
  </si>
  <si>
    <t>MUNICIPALITY OF DUMARAN, PALAWAN</t>
  </si>
  <si>
    <t>MUNICIPALITY OF LA PAZ, AGUSAN DEL SUR</t>
  </si>
  <si>
    <t>BARANGAY BAUGO MAASIN CITY SOUTHERN LEYTE</t>
  </si>
  <si>
    <t>DEPARTMENT OF PUBLIC WORKS AND HIGHWAYS - MISAMIS ORIENTAL 2</t>
  </si>
  <si>
    <t>BARANGAY MALUBIBIT NORTE FLORA APAYAO</t>
  </si>
  <si>
    <t>MUNICIPALITY OF SAGADA, MOUNTAIN PROVINCE</t>
  </si>
  <si>
    <t>MUNICIPALITY OF GASAN, MARINDUQUE</t>
  </si>
  <si>
    <t>MUNICIPALITY OF BALUD, MASBATE</t>
  </si>
  <si>
    <t>BARANGAY BAGONG BAYAN II, BONGABONG, ORIENTAL MINDORO</t>
  </si>
  <si>
    <t>BARANGAY CABAS-AN, AROROY, MASBATE</t>
  </si>
  <si>
    <t>CENTER FOR HEALTH DEVELOPMENT - REGION IV-B (MIMAROPA)</t>
  </si>
  <si>
    <t>MUNICIPALITY OF LAGAYAN, ABRA</t>
  </si>
  <si>
    <t>NATIONAL POWER CORPORATION - SPUG/BICOL OPERATIONS DIVISION</t>
  </si>
  <si>
    <t>BARANGAY SAN AGUSTIN, DULAG, LEYTE</t>
  </si>
  <si>
    <t>BARANGAY WAWA - NASUGBU BATANGAS</t>
  </si>
  <si>
    <t>BARANGAY POBLACION - SIBAGAT, AGUSAN DEL SUR</t>
  </si>
  <si>
    <t>MUNICIPALITY OF TANAY, RIZAL</t>
  </si>
  <si>
    <t>BARANGAY NORTE, DON CARLOS, BUKIDNON</t>
  </si>
  <si>
    <t>BARANGAY CENTRO 2,  SANCHEZ MIRA, CAGAYAN</t>
  </si>
  <si>
    <t>MUNICIPALITY OF BALANGIGA, EASTERN SAMAR</t>
  </si>
  <si>
    <t>BANGSMORO TRANSITION AUTHORITY - BARMM</t>
  </si>
  <si>
    <t>BARANGAY PINAGSANJAN - PAGSANJAN LAGUNA</t>
  </si>
  <si>
    <t>DEPARTMENT OF PUBLIC WORKS AND HIGHWAYS - PAMPANGA 1ST DEO</t>
  </si>
  <si>
    <t>BARANGAY POBLACION, BURDEOS, QUEZON</t>
  </si>
  <si>
    <t>PHILIPPINE NATIONAL POLICE - CARAGA</t>
  </si>
  <si>
    <t>BARANGAY DEL MONTE, TALACOGON, AGUSAN DEL SUR</t>
  </si>
  <si>
    <t>DIGOS WATER DISTRICT</t>
  </si>
  <si>
    <t>NATIONAL HOUSING AUTHORITY - REGION XII</t>
  </si>
  <si>
    <t>MUNICIPALITY OF PINABACDAO, SAMAR</t>
  </si>
  <si>
    <t>MUNICIPALITY OF JASAAN , MISAMIS ORIENTAL</t>
  </si>
  <si>
    <t>CITY  OF ESCALANTE, NEGROS OCCIDENTAL</t>
  </si>
  <si>
    <t>BARANGAY 560 ZONE 55 DISTRICT IV, MANILA</t>
  </si>
  <si>
    <t>PHILIPPINE COCONUT AUTHORITY - REGION VIII</t>
  </si>
  <si>
    <t>BARANGAY CANRAMOS, TANAUAN, LEYTE</t>
  </si>
  <si>
    <t>BARANGAY PINAMANGGUAN, KADINGILAN, BUKIDNON</t>
  </si>
  <si>
    <t>BARANGAY 790 ZONE 86 DISTRICT V, MANILA</t>
  </si>
  <si>
    <t>MUNICIPALITY OF SANTA MARIA, ILOCOS SUR</t>
  </si>
  <si>
    <t>MUNICIPALITY OF GUAGUA, PAMPANGA</t>
  </si>
  <si>
    <t>BARANGAY POBLACION, BONGABONG, ORIENTAL MINDORO</t>
  </si>
  <si>
    <t>MUNICIPALITY OF CAVINTI, LAGUNA</t>
  </si>
  <si>
    <t>MUNICIPALITY OF TOMAS OPPUS, SOUTHERN LEYTE</t>
  </si>
  <si>
    <t>PHILIPPINE PHARMA PROCUREMENT, INC.</t>
  </si>
  <si>
    <t>DEPARTMENT OF EDUCATION - DIVISION OF TOLEDO CITY, CEBU</t>
  </si>
  <si>
    <t>BARANGAY PINAGDAPUGAN, POLANGUI, ALBAY</t>
  </si>
  <si>
    <t>BARANGAY SABANG SOUTH -  BORONGAN CITY, EASTERN SAMAR</t>
  </si>
  <si>
    <t>TIGLAWIGAN NATIONAL HIGH SCHOOL</t>
  </si>
  <si>
    <t>LUIS UY CHIAT ELEMENTARY SCHOOL</t>
  </si>
  <si>
    <t>MUNICIPALITY OF LAWAAN, EASTERN SAMAR</t>
  </si>
  <si>
    <t>PROVINCE OF ZAMBOANGA SIBUGAY</t>
  </si>
  <si>
    <t>GHQ BAC1 SECRETARIAT, AFP PROCUREMENT SERVICE</t>
  </si>
  <si>
    <t>MUNICIPALITY OF SARA, ILOILO</t>
  </si>
  <si>
    <t>BARANGAY AGDAHON - PASSI CITY ILOILO</t>
  </si>
  <si>
    <t>MUNICIPALITY OF MADALAG, AKLAN</t>
  </si>
  <si>
    <t xml:space="preserve">DEPARTMENT OF PUBLIC WORKS AND HIGHWAYS - CAMARINES SUR 2ND </t>
  </si>
  <si>
    <t>MUNICIPALITY OF CORDOVA, CEBU</t>
  </si>
  <si>
    <t>DEPARTMENT OF PUBLIC WORKS AND HIGHWAYS - NEG. OCC. 1ST DEO</t>
  </si>
  <si>
    <t>BARANGAY GINES VIEJO - PASSI CITY ILOILO</t>
  </si>
  <si>
    <t>BARANGAY POBLACION - MADALAG AKLAN</t>
  </si>
  <si>
    <t>BARANGAY BANCAGAN, NAGUILIAN, LA UNION</t>
  </si>
  <si>
    <t>PAY-AS ELEMENTARY SCHOOL</t>
  </si>
  <si>
    <t>MUNICIPALITY OF DONSOL, SORSOGON</t>
  </si>
  <si>
    <t>MUNICIPALITY OF LOPE DE VEGA, NORTHERN SAMAR</t>
  </si>
  <si>
    <t>CITY OF SAN CARLOS, PANGASINAN</t>
  </si>
  <si>
    <t>MUNICIPALITY OF SIBALOM, ANTIQUE</t>
  </si>
  <si>
    <t>BARANGAY DUGONG - M'LANG COTABATO</t>
  </si>
  <si>
    <t>BARANGAY PURISIMA - MANAPLA NEGROS OCCIDENTAL</t>
  </si>
  <si>
    <t>PHILIPPINE NATIONAL POLICE - HIGHWAY PATROL GROUP</t>
  </si>
  <si>
    <t>BARANGAY POBLACION - LIBUNGAN COTABATO</t>
  </si>
  <si>
    <t>MUNICIPALITY OF ABRA DE ILOG, OCCIDENTAL MINDORO</t>
  </si>
  <si>
    <t>BARANGAY 58-A PATOLA SAN ROQUE CAVITE CITY CAVITE</t>
  </si>
  <si>
    <t>BARANGAY PANIPIASON - MADALAG AKLAN</t>
  </si>
  <si>
    <t>MUNICIPALITY OF VICTORIA, LAGUNA</t>
  </si>
  <si>
    <t>MUNICIPALITY OF MAINIT, SURIGAO DEL NORTE</t>
  </si>
  <si>
    <t>DEPARTMENT OF HEALTH - REGION VII</t>
  </si>
  <si>
    <t>MUNICIPALITY OF PATEROS</t>
  </si>
  <si>
    <t>MUNICIPALITY OF SAN RAFAEL, ILOILO</t>
  </si>
  <si>
    <t>BARANGAY NABUTAY - MARIA SIQUIJOR</t>
  </si>
  <si>
    <t>PROVINCE OF LANAO DEL NORTE</t>
  </si>
  <si>
    <t>MUNICIPALITY OF BINDOY, NEGROS ORIENTAL</t>
  </si>
  <si>
    <t>DEPARTMENT OF SCIENCE AND TECHNOLOGY - REGION IV-A</t>
  </si>
  <si>
    <t>BARANGAY CUPANG, BAUAN, BATANGAS</t>
  </si>
  <si>
    <t>MUNICIPALITY OF SAN ISIDRO, ISABELA</t>
  </si>
  <si>
    <t>BARANGAY MINDORO, BANGAR, LA UNION</t>
  </si>
  <si>
    <t>MUNICIPALITY OF SALCEDO, EASTERN SAMAR</t>
  </si>
  <si>
    <t>MUNICIPALITY OF BAGAC, BATAAN</t>
  </si>
  <si>
    <t>BARANGAY SEMIRARA, CALUYA, ANTIQUE</t>
  </si>
  <si>
    <t>BARANGAY SARAPAN - PASSI CITY ILOILO</t>
  </si>
  <si>
    <t>BARANGAY HILAGPAD, TANAUAN, LEYTE</t>
  </si>
  <si>
    <t>BANGUINGUI TONGKIL SULU</t>
  </si>
  <si>
    <t>BARANGAY BACURANAN - PASSI CITY ILOILO</t>
  </si>
  <si>
    <t>BARANGAY KIMAYA JASAAN MISAMIS ORIENTAL</t>
  </si>
  <si>
    <t>BARANGAY BAGUMBAYAN SOUTH, NAVOTAS CITY</t>
  </si>
  <si>
    <t>MUNICIPALITY OF NAGA, ZAMBOANGA SIBUGAY</t>
  </si>
  <si>
    <t>BARANGAY LOOK, ANAHAWAN, SOUTHERN LEYTE</t>
  </si>
  <si>
    <t>MUNICIPALITY OF SAN ANTONIO, QUEZON</t>
  </si>
  <si>
    <t>MUNICIPALITY OF SUYO, ILOCOS SUR</t>
  </si>
  <si>
    <t>MUNICIPALITY OF SAN JOSE DE BUAN, SAMAR</t>
  </si>
  <si>
    <t>BARANGAY HIBAO-AN NORTE, MANDURRIAO, ILOILO CITY</t>
  </si>
  <si>
    <t>MUNICIPALITY OF STA. MARIA, DAVAO OCCIDENTAL</t>
  </si>
  <si>
    <t>BARANGAY DIGON, MARGOSATUBIG, ZAMBOANGA DEL SUR</t>
  </si>
  <si>
    <t>BARANGAY BAGUMBAYAN, TAGUIG CITY</t>
  </si>
  <si>
    <t>PROVINCE OF QUEZON</t>
  </si>
  <si>
    <t>BUREAU OF FISHERIES AND AQUATIC RESOURCES - REGION VIII</t>
  </si>
  <si>
    <t>BARANGAY SADSARAN - MAUBAN QUEZON</t>
  </si>
  <si>
    <t>BARANGAY SAPANG MAISAC, MEXICO, PAMPANGA</t>
  </si>
  <si>
    <t>AUTHORITY OF THE FREEPORT AREA OF BATAAN</t>
  </si>
  <si>
    <t>MUNICIPALITY OF SAN JOSE, NORTHERN SAMAR</t>
  </si>
  <si>
    <t>MUNICIPALITY OF LLORENTE, EASTERN SAMAR</t>
  </si>
  <si>
    <t>BARANGAY CAMANCI SUR - NUMANCIA, AKLAN</t>
  </si>
  <si>
    <t>DEPARTMENT OF EDUCATION - REGION VIII</t>
  </si>
  <si>
    <t>UNIVERSITY OF THE PHILIPPINES - BAGUIO</t>
  </si>
  <si>
    <t>TAGBANON ELEMENTARY SCHOOL</t>
  </si>
  <si>
    <t>AGUSAN ELEMENTARY SCHOOL - CAGAYAN DE ORO CITY</t>
  </si>
  <si>
    <t>BARANGAY POBLACION, TUBA, BENGUET</t>
  </si>
  <si>
    <t>GOVERNOR FELICIANO LEVISTE MEMORIAL NATIONAL HIGH SCHOOL</t>
  </si>
  <si>
    <t>TOLEDO CITY WATER DISTRICT</t>
  </si>
  <si>
    <t>MUNICIPALITY OF SOGOD, CEBU</t>
  </si>
  <si>
    <t>HON. PEDRO R. VILLENA ELEMENTARY SCHOOL</t>
  </si>
  <si>
    <t xml:space="preserve">DEPARTMENT OF PUBLIC WORKS AND HIGHWAYS - CAMARINES SUR 5TH </t>
  </si>
  <si>
    <t>MUNICIPALITY OF PILAR, SURIGAO DEL NORTE</t>
  </si>
  <si>
    <t>MUNICIPALITY OF RAMON MAGSAYSAY, ZAMBOANGA DEL SUR</t>
  </si>
  <si>
    <t>MUNICIPALITY OF DUPAX DEL SUR, NUEVA VIZCAYA</t>
  </si>
  <si>
    <t>BARANGAY PIO DEL PILAR, MAKATI CITY</t>
  </si>
  <si>
    <t>BARANGAY SAN AGUSTIN - MONDRAGON NORTHERN SAMAR</t>
  </si>
  <si>
    <t>BARANGAY BABUYAN, CARRASCAL, SURIGAO DEL SUR</t>
  </si>
  <si>
    <t>BARANGAY POBLACION ZONE 3, ESTANCIA, ILOILO</t>
  </si>
  <si>
    <t>SK BARANGAY POBLACION 1A - MARAGONDON CAVITE</t>
  </si>
  <si>
    <t>BARANGAY MATINDEG, PURA, TARLAC</t>
  </si>
  <si>
    <t>SANDAYONG SUR NATIONAL HIGH SCHOOL - DANAO CITY CEBU</t>
  </si>
  <si>
    <t>MUNICIPALITY OF NAMPICUAN, NUEVA ECIJA</t>
  </si>
  <si>
    <t>BARANGAY SAN MIGUEL - SAN ISIDRO DAVAO ORIENTAL</t>
  </si>
  <si>
    <t>BARANGAY PALMA GIL, TALAINGOD, DAVAO DEL NORTE</t>
  </si>
  <si>
    <t>BARANGAY BUNAVISTA (BACON DISTRICT) - SORSOGON CITY</t>
  </si>
  <si>
    <t>BARANGAY 595, ZONE 59, DISTRICT VI, MANILA</t>
  </si>
  <si>
    <t>PHILIPPINE COCONUT AUTHORITY - REGION X</t>
  </si>
  <si>
    <t>MUNICIPALITY OF BUGASONG, ANTIQUE</t>
  </si>
  <si>
    <t>MUNICIPALITY OF SAN MANUEL, ISABELA</t>
  </si>
  <si>
    <t>MUNICIPALITY OF BUSUANGA, PALAWAN</t>
  </si>
  <si>
    <t>MUNICIPALITY OF LAPUYAN, ZAMBOANGA DEL SUR</t>
  </si>
  <si>
    <t>MUNICIPALITY OF QUEZON , BUKIDNON</t>
  </si>
  <si>
    <t>SCHISTOSOMIASIS CONTROL AND RESEARCH HOSPITAL</t>
  </si>
  <si>
    <t>SOCIAL SECURITY SYSTEM</t>
  </si>
  <si>
    <t>MUNICIPALITY OF CARDONA, RIZAL</t>
  </si>
  <si>
    <t>BARANGAY SAN VICENTE, STA. ANA, CAGAYAN</t>
  </si>
  <si>
    <t>MUNICIPALITY  OF BANATE, ILOILO</t>
  </si>
  <si>
    <t>DEPARTMENT OF AGRARIAN REFORM - PALAWAN PROVINCIAL OFFICE</t>
  </si>
  <si>
    <t>BALAYAN NATIONAL HIGH SCHOOL - BALAYAN BATANGAS</t>
  </si>
  <si>
    <t>DEPARTMENT OF PUBLIC WORKS AND HIGHWAYS - MINDORO ORIENTAL D</t>
  </si>
  <si>
    <t>MUNICIPALITY OF BANGUI, ILOCOS NORTE</t>
  </si>
  <si>
    <t>BARANGAY APAD, RAGAY, CAMARINES SUR</t>
  </si>
  <si>
    <t>DEPARTMENT OF PUBLIC WORKS AND HIGHWAYS - REGION IV-A</t>
  </si>
  <si>
    <t>BARANGAY CONSUELO - BUNAWAN AGUSAN DEL SUR</t>
  </si>
  <si>
    <t>BARANGAY ANTAO ,CARMEN SURIGAO DEL SUR</t>
  </si>
  <si>
    <t>PHILIPPINE HEALTH INSURANCE CORPORATION - REGION II</t>
  </si>
  <si>
    <t>MUNICIPALITY OF MALIMONO, SURIGAO DEL NORTE</t>
  </si>
  <si>
    <t>BARANGAY POBLACION, OPOL, MISAMIS ORIENTAL</t>
  </si>
  <si>
    <t>DEPARTMENT OF PUBLIC WORKS AND HIGHWAYS - MT. PROVINCE I DEO</t>
  </si>
  <si>
    <t>BARANGAY NATI-MAASIN CITY SOUTHERN LEYTE</t>
  </si>
  <si>
    <t>BARANGAY TALAYONG BADIAN CEBU</t>
  </si>
  <si>
    <t>DEPARTMENT OF AGRARIAN REFORM - PANGASINAN PROVINCIAL OFFICE</t>
  </si>
  <si>
    <t>BARANGAY PINGGAN, GASAN, MARINDUQUE</t>
  </si>
  <si>
    <t>MUNICIPALITY OF STO. TOMAS, LA UNION</t>
  </si>
  <si>
    <t>DEPARTMENT OF PUBLIC WORKS AND HIGHWAYS - NORTH COTABATO 2ND</t>
  </si>
  <si>
    <t>MUNICIPALITY OF AL BARKA</t>
  </si>
  <si>
    <t>MUNICIPALITY OF PALAPAG, NORTHERN SAMAR</t>
  </si>
  <si>
    <t>HOME DEVELOPMENT MUTUAL FUND - CORPORATE HEADQUARTERS</t>
  </si>
  <si>
    <t>NATIONAL POWER CORPORATION - SPUG VISAYAS</t>
  </si>
  <si>
    <t>CITY OF BACOLOD, NEGROS OCCIDENTAL</t>
  </si>
  <si>
    <t>BARANGAY RANG AY, CABATUAN, ISABELA</t>
  </si>
  <si>
    <t>COTABATO SANITARIUM</t>
  </si>
  <si>
    <t>MUNICIPALITY OF MACONACON, ISABELA</t>
  </si>
  <si>
    <t>BARANGAY  SUDLON - DAVAO ORIENTAL</t>
  </si>
  <si>
    <t>BARANGAY STO. ROSARIO - BAYBAY CITY LEYTE</t>
  </si>
  <si>
    <t>BARANGAY AMBUKLAO, BOKOD, BENGUET</t>
  </si>
  <si>
    <t>MUNICIPALITY OF CALATRAVA, ROMBLON</t>
  </si>
  <si>
    <t>BARANGAY QUIBONGBONGAN GUINOBATAN, ALBAY</t>
  </si>
  <si>
    <t>BARANGAY TANZA 2 - NAVOTAS CITY</t>
  </si>
  <si>
    <t>BARANGAY TANDARORA, GUINOBATAN, ALBAY</t>
  </si>
  <si>
    <t>BARANGAY VILLA KANANGA, BUTUAN CITY</t>
  </si>
  <si>
    <t>BARANGAY UPPER BAGONG TUDELA, JOSEFINA, ZAMBOANGA DEL SUR</t>
  </si>
  <si>
    <t>DAGA EXTENSION HIGH SCHOOL - CADIZ CITY NEGROS OCCIDENTAL</t>
  </si>
  <si>
    <t>CITY OF TABUK, KALINGA</t>
  </si>
  <si>
    <t>BARANGAY CULLIT LALLO CAGAYAN</t>
  </si>
  <si>
    <t>NATIONAL MUSEUM - MANILA METRO MANILA</t>
  </si>
  <si>
    <t>MUNICIPALITY OF PILAR, BATAAN</t>
  </si>
  <si>
    <t>MUNICIPALITY OF CUYO, PALAWAN</t>
  </si>
  <si>
    <t>BARANGAY BAYOG DARAM SAMAR</t>
  </si>
  <si>
    <t>BARANGAY MAGANHAN - BATO LEYTE</t>
  </si>
  <si>
    <t>LIGA NG MGA BARANGAY TIGBAUAN CHAPTER - TIGBAUAN ILOILO</t>
  </si>
  <si>
    <t>BARANGAY ZONE 23 -  BAYBAY CITY LEYTE</t>
  </si>
  <si>
    <t>MUNICIPALITY OF MAHAPLAG - LEYTE</t>
  </si>
  <si>
    <t>MUNICIPALITY OF DATU BLAH T. SINSUAT - UPI MAGUINDANAO</t>
  </si>
  <si>
    <t>MUNICIPALITY OF QUIRINO, ISABELA</t>
  </si>
  <si>
    <t>BARANGAY SAN VICENTE, STO. TOMAS, BATANGAS</t>
  </si>
  <si>
    <t>MUNICIPALITY OF SAN QUINTIN, PANGASINAN</t>
  </si>
  <si>
    <t>MUNICIPALITY OF BONTOC, MOUNTAIN PROVINCE</t>
  </si>
  <si>
    <t>BARANGAY MALINTA, MASBATE CITY</t>
  </si>
  <si>
    <t>BARANGAY LIGPIT BANTAYAN -  GUINAYANGAN QUEZON</t>
  </si>
  <si>
    <t>CITY OF VALENCIA, BUKIDNON</t>
  </si>
  <si>
    <t>BARANGAY STA CLARA STA. ANA CAGAYAN</t>
  </si>
  <si>
    <t>UNIVERSITY OF SOUTHERN MINDANAO - KIDAPAWAN CITY CAMPUS</t>
  </si>
  <si>
    <t>BARANGAY BATU-PARADA, STA. ANA, CAGAYAN</t>
  </si>
  <si>
    <t>BARANGAY BALABAG, PAVIA, ILOILO</t>
  </si>
  <si>
    <t>MUNICIPALITY OF LA PAZ, ABRA</t>
  </si>
  <si>
    <t>DEPARTMENT OF LABOR AND EMPLOYMENT - REGION VIII</t>
  </si>
  <si>
    <t>MUNICIPALITY OF DEL CARMEN, SURIGAO DEL NORTE</t>
  </si>
  <si>
    <t>GENERAL SANTOS CITY WATER DISTRICT</t>
  </si>
  <si>
    <t>DEPARTMENT OF SCIENCE AND TECHNOLOGY</t>
  </si>
  <si>
    <t>DEPARTMENT OF PUBLIC WORKS AND HIGHWAYS - BATANGAS 1ST DISTR</t>
  </si>
  <si>
    <t>BUREAU OF FISHERIES AND AQUATIC RESOURCES - REGION XI</t>
  </si>
  <si>
    <t>BARANGAY STA. ANA - PANDAN ANTIQUE</t>
  </si>
  <si>
    <t>BARANGAY MILITAR, TUKURAN, ZAMBOANGA DEL SUR</t>
  </si>
  <si>
    <t>MUNICIPALITY OF SAN VICENTE, PALAWAN</t>
  </si>
  <si>
    <t>DEPARTMENT OF PUBLIC WORKS AND HIGHWAYS - LAGUNA III DISTRIC</t>
  </si>
  <si>
    <t>BARANGAY LOBONG, SAN JACINTO, PANGASINAN</t>
  </si>
  <si>
    <t>DEPARTMENT OF BUDGET AND MANAGEMENT - REGIONAL OFFICE V</t>
  </si>
  <si>
    <t>BARANGAY MASARA, MACO, COMPOSTELA VALLEY</t>
  </si>
  <si>
    <t>BATANES GENERAL HOSPITAL</t>
  </si>
  <si>
    <t>CALABANGA WATER DISTRICT</t>
  </si>
  <si>
    <t>BARANGAY BUNGA - LANUZA SURIGAO DEL SUR</t>
  </si>
  <si>
    <t>BARANGAY GUIA PANDAN ANTIQUE</t>
  </si>
  <si>
    <t>BARANGAY IGANG - BAYBAY CITY LEYTE</t>
  </si>
  <si>
    <t>ALAMINOS CITY WATER DISTRICT</t>
  </si>
  <si>
    <t>BARANGAY KABATUAN - BAYBAY CITY LEYTE</t>
  </si>
  <si>
    <t>BARANGAY 21-C, DAVAO CITY</t>
  </si>
  <si>
    <t>BARANGAY MARIANA - QUEZON CITY METRO MANILA</t>
  </si>
  <si>
    <t>PARTIDO STATE UNIVERSITY - GOA CAMPUS</t>
  </si>
  <si>
    <t>DEPARTMENT OF PUBLIC WORKS AND HIGHWAYS - RIZAL II DEO</t>
  </si>
  <si>
    <t>MUNICIPALITY OF RIZAL, CAGAYAN</t>
  </si>
  <si>
    <t>PHILIPPINE RETIREMENT AUTHORITY</t>
  </si>
  <si>
    <t>DEPARTMENT OF AGRICULTURE - CARAGA</t>
  </si>
  <si>
    <t>BARANGAY BON-OT, CARRASCAL, SURIGAO DEL SUR</t>
  </si>
  <si>
    <t>MUNICIPALITY OF TERESA, RIZAL</t>
  </si>
  <si>
    <t>BARANGAY SIPI, DARAGA, ALBAY</t>
  </si>
  <si>
    <t>NATIONAL FOOD AUTHORITY - REGION VII</t>
  </si>
  <si>
    <t>DEPARTMENT OF PUBLIC WORKS AND HIGHWAYS - SULTAN KUDARAT 2ND</t>
  </si>
  <si>
    <t>DEPARTMENT OF PUBLIC WORKS AND HIGHWAYS - DAVAO OCCIDENTAL D</t>
  </si>
  <si>
    <t>BARANGAY 2 MANAPLA - NEGROS OCCIDENTAL</t>
  </si>
  <si>
    <t>JUVENILE JUSTICE AND WELFARE COUNCIL</t>
  </si>
  <si>
    <t>BARANGAY BUKAL, BONGABONG, ORIENTAL MINDORO</t>
  </si>
  <si>
    <t>MUNICIPALITY OF LOBO, BATANGAS</t>
  </si>
  <si>
    <t>DEPARTMENT OF PUBLIC WORKS AND HIGHWAYS - LA UNION 2ND ED</t>
  </si>
  <si>
    <t>NATIONAL IRRIGATION ADMINISTRATION - REGION 12</t>
  </si>
  <si>
    <t>BARANGAY SAN VICENTE - IGUIG CAGAYAN</t>
  </si>
  <si>
    <t>BARANGAY WEST REMBO</t>
  </si>
  <si>
    <t>BARANGAY MORENTE, BONGABONG, ORIENTAL MINDORO</t>
  </si>
  <si>
    <t>BARANGAY DATAL TAMPAL - MALUNGON SARANGANI</t>
  </si>
  <si>
    <t>BARANGAY CAROMANGAY - HAMTIC ANTIQUE</t>
  </si>
  <si>
    <t>BARANGAY MASLOG, TOMAS OPPUS, SOUTHERN LEYTE</t>
  </si>
  <si>
    <t>PULO NATIONAL HIGH SCHOOL - CABUYAO LAGUNA</t>
  </si>
  <si>
    <t>BARANGAY SAN LORENZO, MAKATI CITY</t>
  </si>
  <si>
    <t>DEPARTMENT OF EDUCATION - DIVISION OF CALBAYOG CITY</t>
  </si>
  <si>
    <t>BARANGAY SAN ROQUE - ALAMINOS CITY</t>
  </si>
  <si>
    <t>MUNICIPALITY OF SAN ISIDRO, DAVAO DEL NORTE</t>
  </si>
  <si>
    <t>ASSOCIATION OF BARANGAY TREASURERS - GEN. MAMERTO NATIVIDAD</t>
  </si>
  <si>
    <t>BARANGAY PACDAL, BAGUIO CITY</t>
  </si>
  <si>
    <t>PHILIPPINE NATIONAL POLICE</t>
  </si>
  <si>
    <t>BARANGAY HORSESHOE, QUEZON CITY</t>
  </si>
  <si>
    <t>DEPARTMENT OF PUBLIC WORKS AND HIGHWAYS - ISABELA 2ND DEO</t>
  </si>
  <si>
    <t>MUNICIPALITY OF SAGUDAY, QUIRINO</t>
  </si>
  <si>
    <t>MUNICIPALITY OF SIOCON</t>
  </si>
  <si>
    <t>BARANGAY ANAHAWAY, PALO, LEYTE</t>
  </si>
  <si>
    <t>DEPARTMENT OF AGRARIAN REFORM - ZAMBOANGA SIBUGAY</t>
  </si>
  <si>
    <t>DEPARTMENT OF PUBLIC WORKS AND HIGHWAYS - NEG. OCC. 3RD DEO</t>
  </si>
  <si>
    <t>BARANGAY CARIDAD - BAYBAY CITY LEYTE</t>
  </si>
  <si>
    <t>BARANGAY COYUGAN NORTE - LEON ILOILO</t>
  </si>
  <si>
    <t>DEPARTMENT OF PUBLIC WORKS AND HIGHWAYS - TACLOBAN CITY SDEO</t>
  </si>
  <si>
    <t>BARANGAY PATA  - TUAO CAGAYAN</t>
  </si>
  <si>
    <t>MUNICIPALITY OF DINAPIGUE, ISABELA</t>
  </si>
  <si>
    <t>BARANGAY LAKAMBINI - TUAO CAGAYAN</t>
  </si>
  <si>
    <t>BARANGAY POBLACION, MAKATI CITY</t>
  </si>
  <si>
    <t>BARANGAY RAWIS, VIRAC, CATANDUANES</t>
  </si>
  <si>
    <t>CAGAYAN STATE UNIVERSITY - SANCHEZ MIRA</t>
  </si>
  <si>
    <t>BARANGAY ALABUG - TUAO CAGAYAN</t>
  </si>
  <si>
    <t>DEPARTMENT OF AGRARIAN REFORM - NORTHERN SAMAR</t>
  </si>
  <si>
    <t>MUNICIPALITY OF CARLES, ILOILO</t>
  </si>
  <si>
    <t>BUREAU OF INTERNAL REVENUE - REVENUE REGION NO. 5</t>
  </si>
  <si>
    <t>BARANGAY VILLA CELESTIAL, MANSALAY, ORIENTAL MINDORO</t>
  </si>
  <si>
    <t>BARANGAY KILIKILIHAN - SAN MIGUEL CATANDUANES</t>
  </si>
  <si>
    <t>MUNICIPALITY OF GUINSILIBAN, CAMIGUIN</t>
  </si>
  <si>
    <t>MUNICIPALITY OF PIDDIG, PIDDIG, ILOCOS NORTE</t>
  </si>
  <si>
    <t>CITY OF CABUYAO, LAGUNA</t>
  </si>
  <si>
    <t>BARANGAY ASLUMAN CARLES ILOILO</t>
  </si>
  <si>
    <t>BARANGAY ARAWANE - DARAM SAMAR</t>
  </si>
  <si>
    <t>BARANGAY IQUIRAN - DARAM SAMAR</t>
  </si>
  <si>
    <t>MUNICIPALITY OF KIBUNGAN, BENGUET</t>
  </si>
  <si>
    <t>SAN RAFAEL ELEMENTARY SCHOOL - CADIZ CITY</t>
  </si>
  <si>
    <t>MUNICIPALITY OF CORTES, SURIGAO DEL SUR</t>
  </si>
  <si>
    <t>BARANGAY OF BONGOL SAN MIGUEL, GUIMBAL, ILOILO</t>
  </si>
  <si>
    <t>MUNICIPALITY OF KOLAMBUGAN, LANAO DEL NORTE</t>
  </si>
  <si>
    <t>ANDRES BONIFACIO ELEMENTARY SCHOOL</t>
  </si>
  <si>
    <t>BARANGAY AGMANAPHAO, MINA, ILOILO</t>
  </si>
  <si>
    <t>MUNICIPALITY OF PINTUYAN, SOUTHERN LEYTE</t>
  </si>
  <si>
    <t>MUNICIPALITY OF KALAYAAN, PALAWAN</t>
  </si>
  <si>
    <t>MUNICIPALITY OF TUBURAN, CEBU</t>
  </si>
  <si>
    <t>MUNICIPALITY OF MARIA, SIQUIJOR</t>
  </si>
  <si>
    <t>MUNICIPALITY OF TUKURAN, ZAMBOANGA DEL SUR</t>
  </si>
  <si>
    <t>BARANGAY YANGTA DARAM SAMAR</t>
  </si>
  <si>
    <t>SAN PEDRO NATIONAL HIGH SCHOOL</t>
  </si>
  <si>
    <t>VILLACIN ELEMENTARY SCHOOL</t>
  </si>
  <si>
    <t>DANAO CITY CENTRAL SCHOOL - DANAO CITY CEBU</t>
  </si>
  <si>
    <t>CITY OF SANTA ROSA, LAGUNA</t>
  </si>
  <si>
    <t>WEST VISAYAS STATE UNIVERSITY</t>
  </si>
  <si>
    <t>MUNICIPALITY OF BUENAVISTA, AGUSAN DEL NORTE</t>
  </si>
  <si>
    <t>BARANGAY KILAIT, ATIMONAN, QUEZON</t>
  </si>
  <si>
    <t>SCIENCE CITY OF MUÑOZ, NUEVA ECIJA</t>
  </si>
  <si>
    <t>BARANGAY MAMBAGO-A SAMAL DAVAO DEL NORTE</t>
  </si>
  <si>
    <t>MUNICIPALITY OF SAN JOSE, CAMARINES SUR</t>
  </si>
  <si>
    <t>BAUAN TECHNICAL HIGH SCHOOL</t>
  </si>
  <si>
    <t>BARANGAY BAGONG POOK, LIAN, BATANGAS</t>
  </si>
  <si>
    <t>TOURISM INFRASTRUCTURE AND ENTERPRISE ZONE AUTHORITY</t>
  </si>
  <si>
    <t>MUNICIPALITY OF PUGO, LA UNION</t>
  </si>
  <si>
    <t>MUNICIPALITY OF NAVAL, BILIRAN</t>
  </si>
  <si>
    <t>DEPARTMENT OF PUBLIC WORKS AND HIGHWAYS - CAMARINES NORTE ED</t>
  </si>
  <si>
    <t>BARANGAY DAYHAHAN,CARLES,ILOILO</t>
  </si>
  <si>
    <t>DEPARTMENT OF AGRARIAN REFORM - SOUTHERN LEYTE</t>
  </si>
  <si>
    <t>MUNICIPALITY OF BACOLOR, PAMPANGA</t>
  </si>
  <si>
    <t>VETERANS REGIONAL HOSPITAL</t>
  </si>
  <si>
    <t>BARANGAY BALOGO,EAST DISTRICT,SORSOGON CITY</t>
  </si>
  <si>
    <t>METALS INDUSTRY RESEARCH &amp; DEVELOPMENT CENTER</t>
  </si>
  <si>
    <t>CENTRAL PHILIPPINES STATE UNIVERSITY</t>
  </si>
  <si>
    <t>PHILIPPINE PORTS AUTHORITY - PMO BATANGAS</t>
  </si>
  <si>
    <t>ALIMATOC ELEMENTARY SCHOOL</t>
  </si>
  <si>
    <t>ISABELA STATE UNIVERSITY - ECHAGUE</t>
  </si>
  <si>
    <t>BARANGAY BALAYBALAY - MAUBAN QUEZON</t>
  </si>
  <si>
    <t>NATIONAL IRRIGATION ADMINISTRATION</t>
  </si>
  <si>
    <t>BARANGAY MASI STA. TERESITA CAGAYAN</t>
  </si>
  <si>
    <t>CIVIL AVIATION AUTHORITY OF THE PHILIPPINES</t>
  </si>
  <si>
    <t>SCIENCE EDUCATION INSTITUTE</t>
  </si>
  <si>
    <t>MUNICIPAL GOVERNMENT OF PALIMBANG</t>
  </si>
  <si>
    <t>MUNICIPALITY OF LORETO, AGUSAN DEL SUR</t>
  </si>
  <si>
    <t>BARANGAY TADIANGAN, TUBA, BENGUET</t>
  </si>
  <si>
    <t>ESCOLASTICA ELEMENTARY SCHOOL</t>
  </si>
  <si>
    <t>BARANGAY CALZADA, GUINOBATAN, ALBAY</t>
  </si>
  <si>
    <t>MUNICIPALITY OF TALAYAN, MAGUINDANAO</t>
  </si>
  <si>
    <t>BARANGAY LIGTONG II  - ROSARIO CAVITE</t>
  </si>
  <si>
    <t>RESEARCH INSTITUTE FOR TROPICAL MEDICINE, DOH</t>
  </si>
  <si>
    <t>MUNICIPALITY OF INDANG, CAVITE</t>
  </si>
  <si>
    <t>PHILIPPINE PORTS AUTHORITY - REGION VI</t>
  </si>
  <si>
    <t>DEPARTMENT OF PUBLIC WORKS AND HIGHWAYS - SOUTH COTABATO 1ST</t>
  </si>
  <si>
    <t>BARANGAY POBLACION - VALLADOLID NEGROS OCCIDENTAL</t>
  </si>
  <si>
    <t>MUNICIPALITY OF PANTAR, LANAO DEL NORTE</t>
  </si>
  <si>
    <t>NATIONAL IRRIGATION ADMINISTRATION - UPRIIS, DRD</t>
  </si>
  <si>
    <t>DEPARTMENT OF EDUCATION - DIVISION OF TAYABAS CITY</t>
  </si>
  <si>
    <t>BARANGAY SAPUL, CALAPAN, ORIENTAL MINDORO</t>
  </si>
  <si>
    <t>MUNICIPALITY OF BALETE, BATANGAS</t>
  </si>
  <si>
    <t>MUNICIPALITY OF REINA MERCEDES, ISABELA</t>
  </si>
  <si>
    <t>BANAY-BANAY ELEMENTARY SCHOOL</t>
  </si>
  <si>
    <t>BARANGAY SAN VICENTE CASTILLA SORSOGON</t>
  </si>
  <si>
    <t>BARANGAY 01 POBLACION - LLORENTE EASTERN SAMAR</t>
  </si>
  <si>
    <t>BARANGAY PAWA, BOAC, MARINDUQUE</t>
  </si>
  <si>
    <t>BARANGAY  - ROXAS ORIENTAL MINDORO</t>
  </si>
  <si>
    <t>MUNICIPALITY OF DILASAG, AURORA</t>
  </si>
  <si>
    <t>BARANGAY TABUNOK, PALOMPON, LEYTE</t>
  </si>
  <si>
    <t>BARANGAY MATACLA - GOA CAMARINES SUR</t>
  </si>
  <si>
    <t>BARANGAY MAGSAYSAY, PALOMPON, LEYTE</t>
  </si>
  <si>
    <t>MUNICIPALITY OF BAROBO, SURIGAO DEL SUR</t>
  </si>
  <si>
    <t>MUNICIPALITY OF MAGSINGAL - ILOCOS SUR</t>
  </si>
  <si>
    <t>CITY OF MARAWI</t>
  </si>
  <si>
    <t>WEST VISAYAS STATE UNIVERSITY  - LAMBUNAO  CAMPUS</t>
  </si>
  <si>
    <t>BARANGAY DATU SALUMAY, MARILOG DISTRICT, DAVAO, DAVAO DEL SU</t>
  </si>
  <si>
    <t>MUNICIPALITY OF SANTA FE, ROMBLON</t>
  </si>
  <si>
    <t>BARANGAY ZONE 11 - BAYBAY CITY LEYTE</t>
  </si>
  <si>
    <t>BARANGAY SALOG LEYTE, LEYTE</t>
  </si>
  <si>
    <t>MUNICIPALITY OF LINGIG, SURIGAO DEL SUR</t>
  </si>
  <si>
    <t>BARANGAY DASMARIÑAS, MAKATI CITY</t>
  </si>
  <si>
    <t>MUNICIPALITY OF LIMASAWA, SOUTHERN LEYTE</t>
  </si>
  <si>
    <t>YEE ON ELEMENTARY SCHOOL</t>
  </si>
  <si>
    <t>ZAMBOANGA CITY WATER DISTRICT - ZAMBOANGA CITY ZAMBOANGA DEL</t>
  </si>
  <si>
    <t>BARANGAY NAGSUROT, BURGOS, ILOCOS NORTE</t>
  </si>
  <si>
    <t>BARANGAY MAITUM - BAYBAY CITY LEYTE</t>
  </si>
  <si>
    <t>PHILIPPINE POSTAL CORPORATION - REGION X</t>
  </si>
  <si>
    <t>DEPARTMENT OF PUBLIC WORKS AND HIGHWAYS - AGUSAN DEL SUR 1ST</t>
  </si>
  <si>
    <t>MUNICIPALITY OF BAAO, CAMARINES SUR</t>
  </si>
  <si>
    <t>CLARK INTERNATIONAL AIRPORT CORPORATION</t>
  </si>
  <si>
    <t>BARANGAY SINISIAN EAST, LEMERY, BATANGAS</t>
  </si>
  <si>
    <t>MUNICIPALITY OF NEW WASHINGTON, AKLAN</t>
  </si>
  <si>
    <t>BARANGAY BULAD - GUIMBAL, ILOILO</t>
  </si>
  <si>
    <t>MUNICIPALITY OF BOLJOON, CEBU</t>
  </si>
  <si>
    <t>DEPARTMENT OF PUBLIC WORKS AND HIGHWAYS - REGION XIII (CARAG</t>
  </si>
  <si>
    <t>MUNICIPALITY OF LAMBAYONG, SULTAN KUDARAT</t>
  </si>
  <si>
    <t>BARANGAY DANUS, LEYTE, LEYTE</t>
  </si>
  <si>
    <t>PROFESSIONAL REGULATION COMMISSION - REGION X</t>
  </si>
  <si>
    <t>BARANGAY 7, SAN MANUEL SARRAT, ILOCOS NORTE</t>
  </si>
  <si>
    <t>BARANGAY CENTRO 09 - TUGUEGAGARAO CITY</t>
  </si>
  <si>
    <t>BATAAN GENERAL HOSPITAL AND MEDICAL CENTER</t>
  </si>
  <si>
    <t>DEPARTMENT OF PUBLIC WORKS AND HIGHWAYS - ALBAY 3RD DEO</t>
  </si>
  <si>
    <t>MUNICIPALITY OF BATUAN, MASBATE</t>
  </si>
  <si>
    <t>MUNICIPALITY OF BAROTAC NUEVO, ILOILO</t>
  </si>
  <si>
    <t>BARANGAY MARILOG PROPER, DAVAO CITY</t>
  </si>
  <si>
    <t>DEPARTMENT OF PUBLIC WORKS AND HIGHWAYS - CAR</t>
  </si>
  <si>
    <t>DEPARTMENT OF AGRARIAN REFORM - LA UNION PROVINCIAL OFFICE</t>
  </si>
  <si>
    <t>BARANGAY MABASA, ARGAO, CEBU</t>
  </si>
  <si>
    <t>DEPARTMENT OF SCIENCE AND TECHNOLOGY - NCR</t>
  </si>
  <si>
    <t>BARANGAY TABAYAG, ARGAO, CEBU</t>
  </si>
  <si>
    <t>CITY OF BAYBAY, LEYTE</t>
  </si>
  <si>
    <t>DEPARTMENT OF TOURISM - INTRAMUROS ADMINISTRATION</t>
  </si>
  <si>
    <t>PROVINCE OF ISABELA</t>
  </si>
  <si>
    <t>BARANGAY KALUMSING - SAN EMILIO ILOCOS SUR</t>
  </si>
  <si>
    <t>DEPARTMENT OF PUBLIC WORKS AND HIGHWAYS - PANGASINAN IV DEO</t>
  </si>
  <si>
    <t>BARANGAY LAIYA IBABAO - SAN JUAN BATANGAS</t>
  </si>
  <si>
    <t>BARANGAY TABGON - GOA CAMARINES SUR</t>
  </si>
  <si>
    <t>CITY OF TUGUEGARAO, CAGAYAN</t>
  </si>
  <si>
    <t>BARANGAY KALUKNAYAN, LUGAIT, MISAMIS ORIENTAL</t>
  </si>
  <si>
    <t>PHILIPPINE COCONUT AUTHORITY - CARAGA</t>
  </si>
  <si>
    <t>BARANGAY CALUBCOB 1 - SAN JUAN BATANGAS</t>
  </si>
  <si>
    <t>MUNICIPALITY OF USON, MASBATE</t>
  </si>
  <si>
    <t>DEPARTMENT OF PUBLIC WORKS AND HIGHWAYS - LEYTE 5TH ED</t>
  </si>
  <si>
    <t>DEPARTMENT OF PUBLIC WORKS AND HIGHWAYS - NORTH MANILA DEO</t>
  </si>
  <si>
    <t>MUNICIPALITY OF SAINT BERNARD, SOUTHERN LEYTE</t>
  </si>
  <si>
    <t>DEPARTMENT OF PUBLIC WORKS AND HIGHWAYS - REGION II</t>
  </si>
  <si>
    <t>MUNICIPALITY OF CORELLA, BOHOL</t>
  </si>
  <si>
    <t>DEPARTMENT OF ENVIRONMENT AND NATURAL RES. - PENRO, ANTIQUE</t>
  </si>
  <si>
    <t>BARANGAY COGON, PALO, LEYTE</t>
  </si>
  <si>
    <t>MUNICIPALITY OF BANAUE, IFUGAO</t>
  </si>
  <si>
    <t>MUNICIPALITY OF MANAOAG, PANGASINAN</t>
  </si>
  <si>
    <t>MUNICIPALITY OF MAKILALA, NORTH COTABATO</t>
  </si>
  <si>
    <t>CAVITE ECONOMIC ZONE - PEZA</t>
  </si>
  <si>
    <t>DEPARTMENT OF PUBLIC WORKS AND HIGHWAYS - BULACAN 2ND DEO</t>
  </si>
  <si>
    <t>BARANGAY VILLAHERMOSA, DARAGA, ALBAY</t>
  </si>
  <si>
    <t>BARANGAY POBLACION ILAWOD</t>
  </si>
  <si>
    <t>DEPARTMENT OF EDUCATION - DIVISION OF GENERAL TRIAS CITY - G</t>
  </si>
  <si>
    <t>DEPARTMENT OF PUBLIC WORKS AND HIGHWAYS - BENGUET 2ND DEO</t>
  </si>
  <si>
    <t>MUNICIPALITY OF PATNANUNGAN, QUEZON</t>
  </si>
  <si>
    <t>BUREAU OF PLANT INDUSTRY - NCR</t>
  </si>
  <si>
    <t>MUNICIPALITY OF BANAYOYO, ILOCOS SUR</t>
  </si>
  <si>
    <t>BARANGAY SAN ANTONIO, GAMAY, NORTHERN SAMAR</t>
  </si>
  <si>
    <t>DEPARTMENT OF PUBLIC WORKS AND HIGHWAYS - PANGASINAN 2ND</t>
  </si>
  <si>
    <t>CADIZ EAST ELEMENTARY SCHOOL II</t>
  </si>
  <si>
    <t>MUNICIPALITY OF TAMPILISAN, ZAMBOANGA DEL NORTE</t>
  </si>
  <si>
    <t>MUNICIPALITY OF MADDELA, QUIRINO</t>
  </si>
  <si>
    <t>MUNICIPALITY OF GATTARAN, CAGAYAN</t>
  </si>
  <si>
    <t>BARANGAY BUYO, VIRAC, CATANDUANES</t>
  </si>
  <si>
    <t>BARANGAY TEACHERS VILLAGE EAST - QUEZON CITY</t>
  </si>
  <si>
    <t>BARANGAY SAMPALOC - PAGSANJAN, LAGUNA</t>
  </si>
  <si>
    <t>MUNICIPALITY OF MARIBOJOC, BOHOL</t>
  </si>
  <si>
    <t>MUNICIPALITY OF CABIAO, NUEVA ECIJA</t>
  </si>
  <si>
    <t>BARANGAY LIM-AO, KANANGA, LEYTE</t>
  </si>
  <si>
    <t>MUNICIPALITY OF CUARTERO, CAPIZ</t>
  </si>
  <si>
    <t>BARANGAY TIGBAWAN - LAZI, SIQUIJOR</t>
  </si>
  <si>
    <t>BARANGAY HABANA, BURUANGA, AKLAN</t>
  </si>
  <si>
    <t>MUNICIPALITY OF DUEÑAS, ILOILO</t>
  </si>
  <si>
    <t>PHILIPPINE COCONUT AUTHORITY - REGION VI</t>
  </si>
  <si>
    <t>PROVINCE OF LA UNION</t>
  </si>
  <si>
    <t>MUNICIPALITY OF SIASI, SULU</t>
  </si>
  <si>
    <t>BAGUIO WATER DISTRICT - BAGUIO CITY</t>
  </si>
  <si>
    <t>MUNICIPALITY OF MIDSALIP, ZAMBOANGA DEL SUR</t>
  </si>
  <si>
    <t>BARANGAY MASAYA - BUENAVISTA, QUEZON</t>
  </si>
  <si>
    <t>BARANGAY B. TITONG - MASBATE CITY MASBATE</t>
  </si>
  <si>
    <t>BARANGAY KAPANIKIAN STA. ANA CAGAYAN</t>
  </si>
  <si>
    <t>MUNICIPALITY OF MAGSAYSAY, OCCIDENTAL MINDORO</t>
  </si>
  <si>
    <t>MUNICIPALITY OF BANISILAN, COTABATO</t>
  </si>
  <si>
    <t>BARANGAY SAN ANDRES I - QUEZON, NUEVA ECIJA</t>
  </si>
  <si>
    <t>PROVINCE OF ABRA</t>
  </si>
  <si>
    <t>MUNICIPALITY OF CONCEPCION, ILOILO</t>
  </si>
  <si>
    <t>MUNICIPALITY OF QUINAPONDAN, EASTERN SAMAR</t>
  </si>
  <si>
    <t>BARANGAY II (POBLACION) - QUEZON, NUEVA ECIJA</t>
  </si>
  <si>
    <t>DEPARTMENT OF PUBLIC WORKS AND HIGHWAYS - ISABELA 1ST DEO</t>
  </si>
  <si>
    <t>BARANGAY ANNAFUNAN EAST - TUGUEGARAO CITY CAGAYAN</t>
  </si>
  <si>
    <t>DEPARTMENT OF PUBLIC WORKS AND HIGHWAYS - NCR</t>
  </si>
  <si>
    <t>MUNICIPALITY OF TAGKAWAYAN, QUEZON</t>
  </si>
  <si>
    <t>BARANGAY POBLACION, TAGBINA, SURIGAO DEL SUR</t>
  </si>
  <si>
    <t>TALISAY DISTRICT HOSPITAL</t>
  </si>
  <si>
    <t>MUNICIPALITY OF MAYORGA, LEYTE</t>
  </si>
  <si>
    <t>MUNICIPALITY OF MINA, ILOILO</t>
  </si>
  <si>
    <t>DEPARTMENT OF PUBLIC WORKS AND HIGHWAYS - MARINDUQUE DEO</t>
  </si>
  <si>
    <t>MUNICIPALITY OF BALIWAG, BULACAN</t>
  </si>
  <si>
    <t>MUNICIPALITY OF PEREZ, QUEZON</t>
  </si>
  <si>
    <t>BARANGAY TANZA - TUGUEGARAO CITY CAGAYAN</t>
  </si>
  <si>
    <t>CADIZ WEST II ELEMENTARY SCHOOL</t>
  </si>
  <si>
    <t>BARANGAY BUNGA, MAMBUSAO, CAPIZ</t>
  </si>
  <si>
    <t>DEPED DIVISION OF CABUYAO</t>
  </si>
  <si>
    <t>BARANGAY NAJUS-AN, MAMBUSAO, CAPIZ</t>
  </si>
  <si>
    <t>MUNICIPALITY OF MINALABAC, CAMARINES SUR</t>
  </si>
  <si>
    <t>DEPARTMENT OF AGRARIAN REFORM - CAGAYAN PROVINCIAL OFFICE</t>
  </si>
  <si>
    <t>BARANGAY CENTRO 01 - TUGUEGARAO CITY, CAGAYAN</t>
  </si>
  <si>
    <t>BARANGAY. PINAMASAGAN - BUENAVISTA QUEZON</t>
  </si>
  <si>
    <t>BARANGAY GACAT - BAYBAY CITY LEYTE</t>
  </si>
  <si>
    <t>DEPARTMENT OF AGRARIAN REFORM - NUEVA VIZCAYA PROV'L OFFICE</t>
  </si>
  <si>
    <t>PRESIDENTIAL MANAGEMENT STAFF</t>
  </si>
  <si>
    <t>DEPARTMENT OF EDUCATION - DIVISION OF BUTUAN CITY</t>
  </si>
  <si>
    <t>BARANGAY CARANGIAN, TARLAC CITY, TARLAC</t>
  </si>
  <si>
    <t>MUNICIPALITY OF OPOL, MISAMIS ORIENTAL</t>
  </si>
  <si>
    <t>DEPARTMENT OF AGRARIAN REFORM - REGION VI - CAPIZ</t>
  </si>
  <si>
    <t>MUNICIPALITY OF COMPOSTELA, CEBU</t>
  </si>
  <si>
    <t>COMMISSION ON ELECTIONS</t>
  </si>
  <si>
    <t>NATIONAL FOOD AUTHORITY  - REGION XII</t>
  </si>
  <si>
    <t>TIGLAWIGAN ELEMENTARY SCHOOL</t>
  </si>
  <si>
    <t>BARANGAY M.CABIGUHAN - TRINIDAD BOHOL</t>
  </si>
  <si>
    <t>MUNICIPALITY OF DATU SAUDI AMPATUAN, MAGUINDANAO</t>
  </si>
  <si>
    <t>MUNICIPALITY OF BALILIHAN, BOHOL</t>
  </si>
  <si>
    <t>PROCUREMENT SERVICE</t>
  </si>
  <si>
    <t>MUNICIPALITY OF ALMERIA, BILIRAN</t>
  </si>
  <si>
    <t>CITY OF LIPA, BATANGAS</t>
  </si>
  <si>
    <t>CENTER FOR HEALTH DEVELOPMENT - REGION III</t>
  </si>
  <si>
    <t>NATIONAL IRRIGATION ADMINISTRATION - REGION IV-B</t>
  </si>
  <si>
    <t>MUNICIPALITY OF SIAY, ZAMBOANGA SIBUGAY</t>
  </si>
  <si>
    <t>DEPARTMENT OF EDUCATION - DIVISION OF BATANGAS</t>
  </si>
  <si>
    <t>BARANGAY POBLACION - LEGANES ILOILO</t>
  </si>
  <si>
    <t>SANGAY ELEMENTARY SCHOOL</t>
  </si>
  <si>
    <t>TECHNOLOGICAL UNIVERSITY OF THE PHILIPPINES - MANILA CAMPUS</t>
  </si>
  <si>
    <t>DEPARTMENT OF PUBLIC WORKS AND HIGHWAYS - PALAWAN 1ST DEO</t>
  </si>
  <si>
    <t>MUNICIPALITY OF LEMERY, ILOILO</t>
  </si>
  <si>
    <t>MUNICIPALITY OF FERROL, ROMBLON</t>
  </si>
  <si>
    <t>PHILIPPINE DEPOSIT INSURANCE CORPORATION</t>
  </si>
  <si>
    <t>MUNICIPALITY OF VILLANUEVA, MISAMIS ORIENTAL</t>
  </si>
  <si>
    <t>BARANGAY MAILAG, VALENCIA CITY</t>
  </si>
  <si>
    <t>BARANGAY GUIWANON, BARILI, CEBU</t>
  </si>
  <si>
    <t>DEPARTMENT OF EDUCATION - DIVISION OF SIQUIJOR</t>
  </si>
  <si>
    <t>DEPARTMENT OF NATIONAL DEFENSE - PROCUREMENT UNIT</t>
  </si>
  <si>
    <t>MUNICIPALITY OF RAMOS, TARLAC</t>
  </si>
  <si>
    <t>DEPARTMENT OF EDUCATION - DIVISION OF ROXAS CITY</t>
  </si>
  <si>
    <t>PHILIPPINE SCIENCE HIGH SCHOOL - REGION XI</t>
  </si>
  <si>
    <t>BARANGAY LANGKONG - M'LANG COTABATO</t>
  </si>
  <si>
    <t>MUNICIPALITY OF MAGSAYSAY, DAVAO DEL SUR</t>
  </si>
  <si>
    <t>BARANGAY CAMINDOROAN - SAN JUAN, ILOCOS SUR</t>
  </si>
  <si>
    <t>BARANGAY GUIMOD NORTE, SAN JUAN, ILOCOS SUR</t>
  </si>
  <si>
    <t>BARANGAY BANAOANG, STA. BARBARA, PANGASINAN</t>
  </si>
  <si>
    <t>SEWAHON ELEMENTARY SCHOOL</t>
  </si>
  <si>
    <t>MUNICIPALITY OF STO. NIÑO, SAMAR</t>
  </si>
  <si>
    <t>BARANGAY SOLEDAD - MAUBAN QUEZON</t>
  </si>
  <si>
    <t>PHILIPPINE FIBER INDUSTRY DEVELOPMENT AUTHORITY</t>
  </si>
  <si>
    <t>PRIVATIZATION AND MANAGEMENT OFFICE</t>
  </si>
  <si>
    <t>PORO POINT MANAGEMENT CORPORATION</t>
  </si>
  <si>
    <t>TIGLAWIGAN NATIONAL HIGH SCHOOL SENIOR HIGH SCHOOL</t>
  </si>
  <si>
    <t>BARANGAY DAGUERAY SANCHEZ MIRA CAGAYAN</t>
  </si>
  <si>
    <t>MUNICIPALITY OF PINILI, ILOCOS NORTE</t>
  </si>
  <si>
    <t>BARANGAY MAGAPIT, LAL-LO, CAGAYAN</t>
  </si>
  <si>
    <t>NATIONAL STATISTICS OFFICE - REGION I</t>
  </si>
  <si>
    <t>BARANGAY KANG - HAAS - HILONGOS, LEYTE</t>
  </si>
  <si>
    <t>WESTERN MINDANAO STATE UNIVERSITY</t>
  </si>
  <si>
    <t>CONNER DISTRICT HOSPITAL</t>
  </si>
  <si>
    <t>PEOPLE'S TELEVISION NETWORK, INC.</t>
  </si>
  <si>
    <t>TAGUM WATER DISTRICT</t>
  </si>
  <si>
    <t>MUNICIPALITY OF ARITAO, NUEVA VIZCAYA</t>
  </si>
  <si>
    <t>MUNICIPALITY OF TIGAON, CAMARINES SUR</t>
  </si>
  <si>
    <t>MUNICIPALITY OF ALICIA, ZAMBOANGA SIBUGAY</t>
  </si>
  <si>
    <t>BARANGAY SAOSAO - MAWAB COMPOSTELA VALLEY</t>
  </si>
  <si>
    <t>DEPARTMENT OF PUBLIC WORKS AND HIGHWAYS - AGUSAN DEL NORTE D</t>
  </si>
  <si>
    <t>BARANGAY NEW LEYTE, MACO, COMPOSTELA VALLEY PROVINCE</t>
  </si>
  <si>
    <t>BUREAU OF FIRE PROTECTION - REGION IV-A (CALABARZON)</t>
  </si>
  <si>
    <t>MUNICIPALITY OF SAN GUILLERMO, ISABELA</t>
  </si>
  <si>
    <t>BARANGAY CENTRAL, HILONGOS, LEYTE</t>
  </si>
  <si>
    <t>BARANGAY LUPAC, BOAC, MARINDUQUE</t>
  </si>
  <si>
    <t>BARANGAY PAMPANGO LIBACAO AKLAN</t>
  </si>
  <si>
    <t>MUNICIPALITY OF MATAG-OB, LEYTE</t>
  </si>
  <si>
    <t>BARANGAY LAPAY, ARGAO, CEBU</t>
  </si>
  <si>
    <t>BARANGAY POBLACION, LAGUINDINGAN, MISAMIS ORIENTAL</t>
  </si>
  <si>
    <t>MUNICIPALITY OF MANUKAN, ZAMBOANGA DEL NORTE</t>
  </si>
  <si>
    <t>NATIONAL FOOD AUTHORITY - CARAGA REGION</t>
  </si>
  <si>
    <t>PHILIPPINE HEALTH INSURANCE CORPORATION - REGION VIII</t>
  </si>
  <si>
    <t>BARANGAY SAN JOSE - LEMERY, ILOILO</t>
  </si>
  <si>
    <t>MUNICIPALITY OF LIBACAO, AKLAN</t>
  </si>
  <si>
    <t>PNOC - ALTERNATIVE FUELS CORPORATION</t>
  </si>
  <si>
    <t>MUNICIPALITY OF VINTAR, ILOCOS NORTE</t>
  </si>
  <si>
    <t>DEPARTMENT OF PUBLIC WORKS AND HIGHWAYS - DAVAO ORIENTAL 1ST</t>
  </si>
  <si>
    <t>BARANGAY ALFONSOXII - LIBACAO AKLAN</t>
  </si>
  <si>
    <t>MUNICIPALITY OF MASLOG, EASTERN SAMAR</t>
  </si>
  <si>
    <t>PHILIPPINE ECONOMIC ZONE AUTHORITY</t>
  </si>
  <si>
    <t>DEPARTMENT OF PUBLIC WORKS AND HIGHWAYS - METRO MANILA 1ST E</t>
  </si>
  <si>
    <t>MUNICIPALITY OF TAGBINA, SURIGAO DEL SUR</t>
  </si>
  <si>
    <t>MUNICIPALITY OF MERIDA, LEYTE</t>
  </si>
  <si>
    <t>BARANGAY OSIAO -  SORSOGON CITY</t>
  </si>
  <si>
    <t>MUNICIPALITY OF MATUGUINAO, SAMAR</t>
  </si>
  <si>
    <t>DEPARTMENT OF PUBLIC WORKS AND HIGHWAYS - SOUTH COTABATO  1S</t>
  </si>
  <si>
    <t>BARANGAY KANLANDOG - MURCIA NEGROS OCCIDENTAL</t>
  </si>
  <si>
    <t>BARANGAY CAMP 3, TUBA, BENGUET</t>
  </si>
  <si>
    <t>MUNICIPALITY OF PEÑARANDA, NUEVA ECIJA</t>
  </si>
  <si>
    <t>MUNICIPALITY OF GIPORLOS, EASTERN SAMAR</t>
  </si>
  <si>
    <t>BARANGAY CABATUAN - ALAMINOS, PANGASINAN</t>
  </si>
  <si>
    <t>MUNICIPALITY OF SAMPALOC, QUEZON</t>
  </si>
  <si>
    <t>MUNICIPALITY OF CABATUAN, ILOILO</t>
  </si>
  <si>
    <t>MUNICIPALITY OF  DATU ABDULLAH SANGKI- MAGUINDANAO</t>
  </si>
  <si>
    <t>BUTUAN CITY WATER DISTRICT</t>
  </si>
  <si>
    <t>SK BARANGAY TANGCARANG - ALAMINOS CITY PANGASINAN</t>
  </si>
  <si>
    <t>BARANGAY BITANHUAN - BAYBAY CITY LEYTE</t>
  </si>
  <si>
    <t>MUNICIPALITY OF LABRADOR, PANGASINAN</t>
  </si>
  <si>
    <t>MUNICIPALITY OF SUGBONGCOGON, MISAMIS ORIENTAL</t>
  </si>
  <si>
    <t>MUNICIPALITY OF SOCORRO , SURIGAO DEL NORTE</t>
  </si>
  <si>
    <t>BARANGAY AYALA ALABANG, MUNTINLUPA CITY</t>
  </si>
  <si>
    <t>MUNICIPALITY OF SUGPON, ILOCOS SUR</t>
  </si>
  <si>
    <t>SOUTHERN LEYTE STATE UNIVERSITY - TOMAS OPPUS</t>
  </si>
  <si>
    <t>DEPARTMENT OF AGRARIAN REFORM - SULTAN KUDARAT</t>
  </si>
  <si>
    <t>MUNICIPALITY OF IVISAN, CAPIZ</t>
  </si>
  <si>
    <t>MUNICIPALITY OF GALIMUYOD, ILOCOS SUR</t>
  </si>
  <si>
    <t>BARANGAY MALIGAYA, BOAC, MARINDUQUE</t>
  </si>
  <si>
    <t>UNIVERSITY OF SOUTHEASTERN PHILIPPINES -REGIONAL TRADES, CRA</t>
  </si>
  <si>
    <t>BARANGAY MANTALONGON, BARILI, CEBU</t>
  </si>
  <si>
    <t>DEPARTMENT OF PUBLIC WORKS AND HIGHWAYS - NORTHERN SAMAR 1ST</t>
  </si>
  <si>
    <t>DEPARTMENT OF PUBLIC WORKS AND HIGHWAYS - NUEVA ECIJA 2ND DE</t>
  </si>
  <si>
    <t>ENVIRONMENTAL MANAGEMENT BUREAU - REGION V</t>
  </si>
  <si>
    <t>BARANGAY MALIMATOC 2, MABINI, BATANGAS</t>
  </si>
  <si>
    <t>MUNICIPALITY OF ARACELI, PALAWAN</t>
  </si>
  <si>
    <t>BARANGAY PINEDA, PASIG CITY</t>
  </si>
  <si>
    <t>BUREAU OF FISHERIES AND AQUATIC RESOURCES 9</t>
  </si>
  <si>
    <t>NATIONAL TELECOMMUNICATIONS COMMISSION - REGION IV</t>
  </si>
  <si>
    <t>DEPARTMENT OF INFORMATION AND COMMUNICATIONS TECHNOLOGY REGI</t>
  </si>
  <si>
    <t>SAMAR STATE UNIVERSITY</t>
  </si>
  <si>
    <t>BARANGAY BONBON - CATARMAN CAMIGUIN</t>
  </si>
  <si>
    <t>CENTER FOR HEALTH DEVELOPMENT - REGION XI</t>
  </si>
  <si>
    <t>PHILIPPINE SCIENCE HIGH SCHOOL - EASTERN VISAYAS CAMPUS</t>
  </si>
  <si>
    <t>MUNICIPALITY OF CONCEPCION, ROMBLON</t>
  </si>
  <si>
    <t>MABINI WATER DISTRICT</t>
  </si>
  <si>
    <t>MUNICIPALITY OF SIGAY, ILOCOS SUR</t>
  </si>
  <si>
    <t>BARANGAY SAN ANTONIO, BAGGAO, CAGAYAN</t>
  </si>
  <si>
    <t>DEPARTMENT OF PUBLIC WORKS AND HIGHWAYS - ISABELA 4TH DEO</t>
  </si>
  <si>
    <t>BARANGAY SAN JOSE, BAGGAO, CAGAYAN</t>
  </si>
  <si>
    <t>CENTRAL LUZON STATE UNIVERSITY</t>
  </si>
  <si>
    <t>BARANGAY SAN BLAS, PAOAY ILOCOS NORTE</t>
  </si>
  <si>
    <t>BARANGAY BUNGA - BAYBAY CITY LEYTE</t>
  </si>
  <si>
    <t>BARANGAY CANDIGUM - LARENA SIQUIJOR</t>
  </si>
  <si>
    <t>MUNICIPALITY OF SAN REMIGIO, ANTIQUE</t>
  </si>
  <si>
    <t>BARANGAY LISAP, BONGABONG, ORIENTAL MINDORO</t>
  </si>
  <si>
    <t>BARANGAY NAMABBALAN NORTE - TUGUEGARAO CITY CAGAYAN</t>
  </si>
  <si>
    <t>TANAY WATER DISTRICT</t>
  </si>
  <si>
    <t>MUNICIPALITY OF SAN FERNANDO, CEBU</t>
  </si>
  <si>
    <t>BARANGAY LABNEY, SAN JACINTO, PANGASINAN</t>
  </si>
  <si>
    <t>MUNICIPALITY OF SANTIAGO, ILOCOS SUR</t>
  </si>
  <si>
    <t>BUREAU OF FIRE PROTECTION - REGION VI</t>
  </si>
  <si>
    <t>WESTERN VISAYAS SANITARIUM - DOH</t>
  </si>
  <si>
    <t>MUNICIPALITY OF ALLEN, NORTHERN SAMAR</t>
  </si>
  <si>
    <t>CITY OF TAYABAS, QUEZON</t>
  </si>
  <si>
    <t xml:space="preserve">BUREAU OF FISHERIES AND AQUATIC RESOURCES - REGION IV-B </t>
  </si>
  <si>
    <t>MUNICIPALITY OF STA. CRUZ, OCCIDENTAL MINDORO</t>
  </si>
  <si>
    <t>BALER WATER DISTRICT</t>
  </si>
  <si>
    <t>MUNICIPALITY OF CAPOOCAN, LEYTE</t>
  </si>
  <si>
    <t>DEPARTMENT OF PUBLIC WORKS AND HIGHWAYS - ISABELA 3RD DEO</t>
  </si>
  <si>
    <t>MUNICIPALITY OF ABUYOG, LEYTE</t>
  </si>
  <si>
    <t>CITY OF URDANETA, PANGASINAN</t>
  </si>
  <si>
    <t>BARANGAY CATUGAY, BAGGAO, CAGAYAN</t>
  </si>
  <si>
    <t>PHILIPPINE POSTAL CORPORATION</t>
  </si>
  <si>
    <t>PHILIPPINE NATIONAL POLICE - INTELLIGENCE GROUP</t>
  </si>
  <si>
    <t>DEPARTMENT OF PUBLIC WORKS AND HIGHWAYS - NUEVA ECIJA 1ST DE</t>
  </si>
  <si>
    <t>MUNICIPALITY OF HINOBA-AN, NEGROS OCCIDENTAL</t>
  </si>
  <si>
    <t>PHILIPPINE INTERNATIONAL CONVENTION CENTER</t>
  </si>
  <si>
    <t>BARANGAY SALOMAGUE, PANIQUI,TARLAC</t>
  </si>
  <si>
    <t>DEPARTMENT OF ENVIRONMENT AND NATURAL RES. - PENRO, N. VIZCA</t>
  </si>
  <si>
    <t>CATANDUANES STATE COLLEGES</t>
  </si>
  <si>
    <t>CANDELARIA WATER DISTRICT</t>
  </si>
  <si>
    <t>DEPARTMENT OF PUBLIC WORKS AND HIGHWAYS - CEBU 2ND DEO</t>
  </si>
  <si>
    <t>BUREAU OF FISHERIES AND AQUATIC RESOURCES - CAR</t>
  </si>
  <si>
    <t>BARANGAY BARAYONG, ABUYOG, LEYTE</t>
  </si>
  <si>
    <t>DEPARTMENT OF INFORMATION AND COMMUNICATIONS TECHNOLOGY - RE</t>
  </si>
  <si>
    <t>NATIONAL HOUSING AUTHORITY NCR WEST SECTOR 2-MANILA</t>
  </si>
  <si>
    <t>PHILIPPINE ARMY (PA)</t>
  </si>
  <si>
    <t>MUNICIPALITY OF SOMINOT, ZAMBOANGA DEL SUR</t>
  </si>
  <si>
    <t>BARANGAY JULITA, LIBACAO, AKLAN</t>
  </si>
  <si>
    <t>PA BAC SECRETARIAT, AFP PROCUREMENT SERVICE</t>
  </si>
  <si>
    <t>BUREAU OF JAIL MANAGEMENT AND PENOLOGY - REGION II</t>
  </si>
  <si>
    <t>MUNICIPALITY OF NARRA, PALAWAN</t>
  </si>
  <si>
    <t>BUREAU OF JAIL MANAGEMENT AND PENOLOGY - REGION VII</t>
  </si>
  <si>
    <t>BARANGAY SAMPAGAR, DAMULOG, BUKIDNON</t>
  </si>
  <si>
    <t>BARANGAY KIBUNGSOD, MAGSAYSAY, MISAMIS ORIENTAL</t>
  </si>
  <si>
    <t>MUNICIPALITY OF BURGOS, SURIGAO DEL NORTE</t>
  </si>
  <si>
    <t>MUNICIPALITY OF  PANAON, MISAMIS OCCIDENTAL</t>
  </si>
  <si>
    <t>PHILIPPINE POSTAL CORPORATION - REGION IV</t>
  </si>
  <si>
    <t>MORONG WATER DISTRICT</t>
  </si>
  <si>
    <t>BARANGAY POBLACION - PUERTO GALERA ORIENTAL MINDORO</t>
  </si>
  <si>
    <t>PHILIPPINE HEALTH INSURANCE CORPORATION - REGION XI</t>
  </si>
  <si>
    <t>BARANGAY CENTRO - MASBATE CITY</t>
  </si>
  <si>
    <t>METROPOLITAN WATERWORKS AND SEWERAGE SYSTEM</t>
  </si>
  <si>
    <t>SPECIAL EDUCATION HIGH SCHOOL</t>
  </si>
  <si>
    <t>BARANGAY MAHAYAG, QUEZON, BUKIDNON</t>
  </si>
  <si>
    <t>DEPARTMENT OF INFORMATION &amp; COMMUNICATIONS TECHNOLOGY - MIND</t>
  </si>
  <si>
    <t>DPWH - ANTIQUE DISTRICT ENGINEERING OFFICE</t>
  </si>
  <si>
    <t>PHILIPPINE INSTITUTE OF VOLCANOLOGY AND SEISMOLOGY</t>
  </si>
  <si>
    <t>BARANGAY DALAOIG, ALCALA, CAGAYAN</t>
  </si>
  <si>
    <t>ROXAS (ISABELA) WATER DISTRICT</t>
  </si>
  <si>
    <t>NATIONAL IRRIGATION ADMINISTRATION - CARAGA</t>
  </si>
  <si>
    <t>DEPARTMENT OF PUBLIC WORKS AND HIGHWAYS - PANGASINAN 1ST DEO</t>
  </si>
  <si>
    <t>DEPARTMENT OF AGRARIAN REFORM - ILOCOS SUR</t>
  </si>
  <si>
    <t>MUNICIPALITY OF ILAGAN, ISABELA</t>
  </si>
  <si>
    <t>BARANGAY CENTRO NORTE, ALCALA, CAGAYAN</t>
  </si>
  <si>
    <t>CIVIL SERVICE COMMISSION  - CENTRAL OFFICE</t>
  </si>
  <si>
    <t>BARANGAY BAGUMBUHAY, QUEZON CITY</t>
  </si>
  <si>
    <t>CIVIL SERVICE COMMISSION - REGION IV</t>
  </si>
  <si>
    <t>PHILIPPINE TRADE TRAINING CENTER</t>
  </si>
  <si>
    <t>NATIONAL IRRIGATION ADMINISTRATION - REGION V</t>
  </si>
  <si>
    <t>ENVIRONMENTAL MANAGEMENT BUREAU - REGION II</t>
  </si>
  <si>
    <t>BARANGAY AMOT, BURDEOS, QUEZON</t>
  </si>
  <si>
    <t>DEPARTMENT OF ENVIRONMENT AND NATURAL RESOURCES - COMPOSTELA</t>
  </si>
  <si>
    <t>PHILIPPINE INTERNATIONAL TRADING CORPORATION</t>
  </si>
  <si>
    <t>PILI INTEGRATED SCHOOL - DANAO CITY CEBU</t>
  </si>
  <si>
    <t>PHILIPPINE HEALTH INSURANCE CORPORATION</t>
  </si>
  <si>
    <t>PHILIPPINE AMUSEMENT AND GAMING CORPORATION-ANGELES</t>
  </si>
  <si>
    <t>BANGKO SENTRAL NG PILIPINAS - TUGUEGARAO BRANCH</t>
  </si>
  <si>
    <t>PHILIPPINE AMUSEMENT AND GAMING CORPORATION-DAVAO</t>
  </si>
  <si>
    <t>NATIONAL DEVELOPMENT COMPANY</t>
  </si>
  <si>
    <t>DEPARTMENT OF PUBLIC WORKS AND HIGHWAYS - TARLAC 1ST DEO</t>
  </si>
  <si>
    <t>BARANGAY CATO-OGAN TOBIAS FORNIER ANTIQUE</t>
  </si>
  <si>
    <t>MUNICIPALITY OF SAN VICENTE, ILOCOS SUR</t>
  </si>
  <si>
    <t>DEPARTMENT OF PUBLIC WORKS AND HIGHWAYS - LA UNION 1ST ED</t>
  </si>
  <si>
    <t>DEPARTMENT OF EDUCATION - DIVISION OF EL SALVADOR CITY</t>
  </si>
  <si>
    <t>PHILIPPINE COCONUT AUTHORITY - REGION V</t>
  </si>
  <si>
    <t>PHILIPPINE ARMY PROCUREMENT CENTER, AFP PROCUREMENT SERVICE</t>
  </si>
  <si>
    <t>LIGA NG MGA BARANGAY - ALIMODIAN ILOILO</t>
  </si>
  <si>
    <t>MUNICIPALITY OF JIPAPAD, EASTERN SAMAR</t>
  </si>
  <si>
    <t>BARANGAY CALINAN, DAVAO CITY</t>
  </si>
  <si>
    <t>BUREAU OF CORRECTIONS - MUNTINLUPA CITY METRO MANILA</t>
  </si>
  <si>
    <t>MUNICIPALITY OF TANTANGAN, SOUTH COTABATO</t>
  </si>
  <si>
    <t>BANGKO SENTRAL NG PILIPINAS- LA UNION REGIONAL OFFICE</t>
  </si>
  <si>
    <t>COMMISSION ON AUDIT - REGION VIII</t>
  </si>
  <si>
    <t>BARANGAY SAN VICENTE - ALAMINOS CITY PANGASINA</t>
  </si>
  <si>
    <t xml:space="preserve">DEPARTMENT OF PUBLIC WORKS AND HIGHWAYS - NUEVA VIZCAYA 2ND </t>
  </si>
  <si>
    <t>MUNICIPALITY OF ESTANCIA, ILOILO</t>
  </si>
  <si>
    <t>CITY OF PASIG</t>
  </si>
  <si>
    <t>BARANGAY SAN JOSE - ALAMINOS, PANGASINAN</t>
  </si>
  <si>
    <t>BARANGAY BUYO, GOA, CAMARINES SUR</t>
  </si>
  <si>
    <t>BARANGAY TANAYTAY - ALAMINOS, PANGASINAN</t>
  </si>
  <si>
    <t>BARANGAY CENTRO NORTH, CAMALANIUGAN, CAGAYAN</t>
  </si>
  <si>
    <t>BARANGAY ALTAVISTA - BAYBAY CITY LEYTE</t>
  </si>
  <si>
    <t>MUNICIPALITY OF JAMINDAN, CAPIZ</t>
  </si>
  <si>
    <t>AURORA STATE COLLEGE OF TECHNOLOGY</t>
  </si>
  <si>
    <t>MUNICIPALITY OF MAGALLANES, AGUSAN DEL NORTE</t>
  </si>
  <si>
    <t>PHILIPPINE GUARANTEE CORPORATION</t>
  </si>
  <si>
    <t>SK OF BARANGAY CARMONA - MAKATI CITY</t>
  </si>
  <si>
    <t>DEPARTMENT OF AGRARIAN REFORM - EASTERN SAMAR</t>
  </si>
  <si>
    <t>BARANGAY TAGUM CAMALANIUGAN,CAGAYAN</t>
  </si>
  <si>
    <t>BARANGAY MAGNESIA DEL NORTE - VIRAC, CATANDUANES</t>
  </si>
  <si>
    <t>BARANGAY LAMPAYA - CALINOG, ILOILO</t>
  </si>
  <si>
    <t>RE-BID REHABILATATION OF BOOL MULTI-PURPOSE COVERED COURT, BOOL, TAGBILARAN CITY</t>
  </si>
  <si>
    <t>IB 2020-08-012 PME2 Procurement of Medical Equipment (Part 2) 2020-12</t>
  </si>
  <si>
    <t>PES Purchase of Printer (Epson) 2020-Supplemental</t>
  </si>
  <si>
    <t>Invitation to Bid</t>
  </si>
  <si>
    <t>20-CSDG-02: Consultancy Services for the Conduct of Preliminary Detailed Engineering (PDE) Activities – Geotechnical Investigation and Detailed Engineering Design of various Road Slope Protection Stru</t>
  </si>
  <si>
    <t>Project Reference No.: 20R0001- Equipment Rental for the Rehabilitation of Municipal Complex Road (Phase I) @ Marantao, Lanao del Sur</t>
  </si>
  <si>
    <t>Construction of Two (2) Storey Multi-purpose Hall Phase I at Barangay Digumased, Dinapigue</t>
  </si>
  <si>
    <t>Office Supplies</t>
  </si>
  <si>
    <t>REHAB. OF THE PIPING SYSTEM DUE TO LEAKAGES</t>
  </si>
  <si>
    <t>Computer Parts</t>
  </si>
  <si>
    <t>INSTALLATION OF N-MAX SURVEYING SOFTWARE</t>
  </si>
  <si>
    <t>CONTRACT FOR THE SUPPLY AND DELIVERY OF VARIOUS PIPES AND  FITTINGS, GATE VALVES AND CONSTRUCTION MATERIALS</t>
  </si>
  <si>
    <t>Purchase of Laptops for PLEB, BFP &amp; MBO</t>
  </si>
  <si>
    <t>Procurement of Office Supplies for the use of the different offices of the PGIN for the 3rd Quarter 2020</t>
  </si>
  <si>
    <t>PURCHASE OF THIRTY ONE (31) UNITS OF PRINTER TO BE USED FOR DEP-ED ONLINE TEACHING (MODULE LEARNING)</t>
  </si>
  <si>
    <t>Procurement of Supplies and Equipment for use in Printing of Learning Modules of Bata National High School</t>
  </si>
  <si>
    <t>PES Purchase of Office Supplies 2020-Supplemental</t>
  </si>
  <si>
    <t>Procurement of Office Supplies for Municipal Peace and Order and Public Safety Program</t>
  </si>
  <si>
    <t>Procurement of RHU 2020 Medical Instrument Lot 4- Rebidding</t>
  </si>
  <si>
    <t>Procurement of RHU 2020 Medical Instrument Lot 3- Rebidding</t>
  </si>
  <si>
    <t>Purchase of assorted medicines for RHU Tinglayan</t>
  </si>
  <si>
    <t>Proposed Road Concreting of Circumferential Road/Ninoy Aquino Extension at junction Kidapawan-Calunasan Mlang Road-Purslane Section, Brgy. Magsaysay, Kidapawan City</t>
  </si>
  <si>
    <t>Supply and Delivery of Office Equipment.</t>
  </si>
  <si>
    <t>SUPPLY, DELIVERY, INSTALLATION AND CONFIGURATION OF TSU WIFI MODERNIZATION FOR LUCINDA CAMPUS (PHASE I)</t>
  </si>
  <si>
    <t>Supply and Delivery of Spare Parts</t>
  </si>
  <si>
    <t>Procurement of 12 pcs. Interior and 7 Other Items;PR No. 20-1660 dated December 12, 2019</t>
  </si>
  <si>
    <t>Supply and Delivery of Water Treatment Equipment.</t>
  </si>
  <si>
    <t>Procurement of RHU 2020 Refrigerator- Rebidding</t>
  </si>
  <si>
    <t>Office Supplies &amp; Consumable for NOLI-2020-0034</t>
  </si>
  <si>
    <t>REHABILITATION/IMPROVEMENT OF POBLACION TO SILJAGON FMR,  MAPANAS, NORTHERN SAMAR</t>
  </si>
  <si>
    <t>REHABILITATION/IMPROVEMENT OF  PATHWAY OF BRGY. BALIUAG VIEJO AT ZONE 3</t>
  </si>
  <si>
    <t>Food Packs for Nutrition Month Celebration Municipal Nutrition Office</t>
  </si>
  <si>
    <t>ESTABLISHMENT OF THREE (3) UNITS OF SMALL WATER IMPOUNDING SYSTEM (SWIS) AT BRGY. ROSACARA, BANSUD, ORIENTAL MINDORO</t>
  </si>
  <si>
    <t>Supply and Delivery of Office Supplies and Devices</t>
  </si>
  <si>
    <t>PURCHASE OF MATERIALS FOR THE REPAIR AND IMPROVEMENT  OF MULTI-PURPOSE BUILDING AT  REMUS, BAGGAO, CAGAYAN</t>
  </si>
  <si>
    <t>Procurement of RHU 2020 Medical Instrument Lot 2- Rebidding</t>
  </si>
  <si>
    <t>PURCHASE OF MATERIALS FOR THE CONSTRUCTION/INSTALLATION OF STREETLIGHT (SOLAR) AT  REMUS, BAGGAO, CAGAYAN</t>
  </si>
  <si>
    <t>Procurement of RHU 2020 Oxygen Tank with Gauge in Trolley or Rack (20L)- Rebidding</t>
  </si>
  <si>
    <t>Purchase of Medicines</t>
  </si>
  <si>
    <t>PROCUREMENT TONERS AND OTHER SUPPLIES FOR REPRODUCTION AND DISTRIBUTION OF MODULES</t>
  </si>
  <si>
    <t>Medical Supplies for NOLI-2020-0199 &amp; 0206</t>
  </si>
  <si>
    <t>Supply and delivery of Office Supplies, Mayor's Office, Mauban, Quezon.</t>
  </si>
  <si>
    <t>DRL-20-0327-B PURCHASE OF DIGITAL COPIER PRINTER SCANNER</t>
  </si>
  <si>
    <t>Supply and delivery of 3 units Ondoy Boat to be used during emergency response in flood prone barangay of Mauban, Quezon.</t>
  </si>
  <si>
    <t>Purchase of COVID-19 Hygiene Supplies for FMD use (66 Staffs for 3 months)</t>
  </si>
  <si>
    <t>Supply and delivery of Materials for Installation of Water Supply System of various barangay, Mauban, Quezon.</t>
  </si>
  <si>
    <t>Supply / Delivery of Medical, Dental and Laboratory Supplies</t>
  </si>
  <si>
    <t>ICT Equipment and Supplies for RSSO XIII use</t>
  </si>
  <si>
    <t>Purchase of materials for the construction/installation of streetlights  at Nangalinan, Baggao, Cagayan</t>
  </si>
  <si>
    <t>Completion of MultiPurpose and Productivity Center at Brgy. Sua, San Juan, Southern Leyte</t>
  </si>
  <si>
    <t>DRL-20-0744-B PURCHASE OF INFANT WEIGHING SCALE</t>
  </si>
  <si>
    <t>Purchase of Medical Supplies</t>
  </si>
  <si>
    <t>DRL-20-0745-B PURCHASE OF SUCTION MACHINE</t>
  </si>
  <si>
    <t>Supply and Delivery of Office Equipment</t>
  </si>
  <si>
    <t>SUPPLY AND DELIVERY OF CONSTRUCTION MATERIALS FOR THE CONSTRUCTION OF HEALTH CENTER KITCHEN WITH COMFORT ROOM</t>
  </si>
  <si>
    <t>Supply &amp; Delivery 20 tubes OPT Toner 35A &amp; other item; PR No. 20-1705 dated May 15, 2020</t>
  </si>
  <si>
    <t>019-INFRA-003 / CONSTRUCTION PROJECTS</t>
  </si>
  <si>
    <t>Procurement of Cleaning and Disinfecting Supplies</t>
  </si>
  <si>
    <t>Provision of pocket wifi</t>
  </si>
  <si>
    <t>office equipment and consumable supplies</t>
  </si>
  <si>
    <t>SUPPLIES FOR JULY 2020</t>
  </si>
  <si>
    <t>REQUEST FOR EXPRESSION OF INTEREST FOR THE CONSULTANCY SERVICES FOR INSTALLATION OF A FINANCIAL AND INVENTORY MANAGEMENT SYSTEM FOR MAHAYAG FARMERS MULTI-PURPOSE COOPERATIVE(MAFAMCO) OF THE SALUG VALL</t>
  </si>
  <si>
    <t>Purchase of mixed gravel and sand for the const./rehab of road (regravelling) at Mocag,  Baggao, Cagayan</t>
  </si>
  <si>
    <t>Concreting of Brgy. Pawa to Brgy. Nagotgot FMR, Brgy. Pawa and Brgy. Nagotgot, Manito, Albay</t>
  </si>
  <si>
    <t>Procurement of Medical Equipment for Taglatawan Hygienic Clinic- Hygienic- Rebidding</t>
  </si>
  <si>
    <t>Concreting of Brgy. Bariis to Brgy. Banquerohan FMR Phase 2, Brgy. Bariis and Brgy. Banquerohan, Legazpi City, Albay</t>
  </si>
  <si>
    <t>DRL-20-0743-B PURCHASE OF CAUTERY MACHINE</t>
  </si>
  <si>
    <t>SUPPLY AND DELIVERY OF CONSTRUCTION MATERIALS FOR THE CONCRETING OF BARANGAY ROADS (L=83m, W=5m, T=0.23m)</t>
  </si>
  <si>
    <t>DRL-20-0723-B PURCHASE OF PORTABLE DROPLIGHT</t>
  </si>
  <si>
    <t>SUPPLY AND DELIVERY OF MATERIALS FOR REHABILITION OF DAY CARE CENTER</t>
  </si>
  <si>
    <t>DRL-20-0721-B PURCHASE OF EMERGENCY CART TROLLY</t>
  </si>
  <si>
    <t>S &amp; D of Laboratory Equipment (PHO)</t>
  </si>
  <si>
    <t>Improvement of Lobolbo Creek to Banoen Plaza, Banoen, Quirino, Ilocos Sur</t>
  </si>
  <si>
    <t>Repainting of Exterior Walls at Provincial District Hospital, Carcar City, Cebu</t>
  </si>
  <si>
    <t>DRL-20-0326-B PURCHASE OF DUPLICATING MACHINE</t>
  </si>
  <si>
    <t>Industrial Pumps for MAM-2019-0014</t>
  </si>
  <si>
    <t>Continuation of the Construction of Inawey Flood Control, Lamag, Quirino, Ilocos Sur</t>
  </si>
  <si>
    <t>Concreting/ Improvement of Poblacion-Sombil Diversion Road Section, Tabuelan, Cebu</t>
  </si>
  <si>
    <t>INFR-20-021- INSTALLATION OF ONE HUNDRED FORTY (140) UNITS 150 WATTS LED STREETLIGHTS LAMP AND ELECTRICAL WIRINGS ALONG NOVELETA TEJERO DIVERSION ROAD (EPZA-BACAO), BARANGAY BACAO I TO BARANGAY TEJERO</t>
  </si>
  <si>
    <t>Waste Management Supplies for PHO-2020-0373</t>
  </si>
  <si>
    <t>DRL-20-0722-B PURCHASE OF NEBULIZER MACHINE</t>
  </si>
  <si>
    <t>P – 2020 – 16: Road Opening of Pangao – Leseb</t>
  </si>
  <si>
    <t>25	pcs.	2" x 3" x 10' G.melina, etc. PR # 293-20</t>
  </si>
  <si>
    <t>PROCUREMENT OF OFFICE SUPPLIES (ACCOUNTING OFFICE)</t>
  </si>
  <si>
    <t>20	pcs.	2" x 6" x 12' G.melina, etc. PR # 281-20</t>
  </si>
  <si>
    <t>Concreting/ Improvement of Poblacion-Cogon-Lawaan Road Section, Dumanjug, Cebu</t>
  </si>
  <si>
    <t>20-CSDG-03: Consultancy Services for the Conduct of Preliminary Detailed Engineering (PDE) Activities – Geotechnical Investigation  of various Road and Bridge Projects; Project I.D. # 20-CSDG-03</t>
  </si>
  <si>
    <t>141	bags	Portland Cement, 40 kg, etc. PR # 238-20</t>
  </si>
  <si>
    <t>10	boxes	Diluent; 20 li/box - Reagents for Abacus 380 HemaAnalyzer, etc. PR # 531-20</t>
  </si>
  <si>
    <t>30	pcs.	2" x 6" x12' G.melina/Mahogany, etc. PR # 420-19</t>
  </si>
  <si>
    <t>100	pcs.	Good lumber, 2"x3"x10' (Gmelina), etc. PR # 316-20</t>
  </si>
  <si>
    <t>SUPPLY AND DELIVERY OF CONSTRUCTION MATERIALS FOR THE REHABILITATION OF STREET LIGHTS</t>
  </si>
  <si>
    <t>Procurement of one (1) lot Laboratory Examinations and Diagnostic Procedures Send Out for 2020</t>
  </si>
  <si>
    <t>PR NO 2020-07-041 PURCHASE OF VARIOUS OFFICE SUPPLIES FOR USE IN DPWH MASBATE 1ST DEO, SAN FERNANDO, MASBATE</t>
  </si>
  <si>
    <t>Request for Quotation of Tapping Materials</t>
  </si>
  <si>
    <t>2020-14-S- Repair of Maintenance Equipment L2-1451 (Loader)(Foton) for use in the Maintenance of National Roads and Bridges.</t>
  </si>
  <si>
    <t>5	pcs.	2" x 6" x 10' G.melina, etc. PR # 280-20</t>
  </si>
  <si>
    <t>Other Supplies/Janitorial Supplies - Various Offices</t>
  </si>
  <si>
    <t>Information Technology Equipment for PHO-2020-0277</t>
  </si>
  <si>
    <t>Supply of Labor, Materials and Equipment for the Installation of Streetlights, Brgy. Don Luis, San Jose, Batangas</t>
  </si>
  <si>
    <t>DELIVERY AND SUPPLY OF 1 UNIT GARBAGE MOTOR VEHICLE</t>
  </si>
  <si>
    <t>Supply of Labor, Materials and Equipment for the Installation of Streetlights, Brgy. Mojon-Tampoy, San Jose, Batangas</t>
  </si>
  <si>
    <t>SUPPLY AND DELIVERY OF ONE (1) UNIT 65” SMART TV ULTRA HIGH DEFINITION (UHD) 4K WITH BRACKET</t>
  </si>
  <si>
    <t>Construction of One (1) Unit Post Harvest Facility with Multi-Purpose Drying Pavement (INFRA2020-11)</t>
  </si>
  <si>
    <t>Construction of Drainage Canal – Prk 02 (INFRA2020-10)</t>
  </si>
  <si>
    <t>Airconditioning Unit, 1.5hp, Non-Inveter type Window Type</t>
  </si>
  <si>
    <t>S &amp; D of Office Supplies (PGSO)</t>
  </si>
  <si>
    <t>EEG ELECTRODES</t>
  </si>
  <si>
    <t>Complete Vacuum Delivery System with Palm Pump</t>
  </si>
  <si>
    <t>S &amp; D of IT Equipment and Supplies (P. Agri)</t>
  </si>
  <si>
    <t>Work Stool</t>
  </si>
  <si>
    <t>SUPPLY AND DELIVERY OF FIRST QUARTER WORKSHEETS OF JHS</t>
  </si>
  <si>
    <t>Health Safety Equipment for PHO-2020-0374</t>
  </si>
  <si>
    <t>Supply of Labor, Materials and Equipment for the Installation of Streetlights, Brgy. Palanca, San Jose, Batangas</t>
  </si>
  <si>
    <t>Purchase of Towel and Soap Dispensers</t>
  </si>
  <si>
    <t>Supply and Delivery of Motor Vehicle, Waterworks Section, San Jose, Batangas (Re-Bid)</t>
  </si>
  <si>
    <t>Outside Labor (with necessary tools/equipment) and materials for Fabrication including installation/ mounting of glass wall partition with sliding door  and sliding window for BMC Blood Bank Office at</t>
  </si>
  <si>
    <t>Supply and Delivery of Supplies to be used of PAD for the 2nd Semester of 2020</t>
  </si>
  <si>
    <t>Purchase of Supplies and Materials for 18 Child Development Centers</t>
  </si>
  <si>
    <t>AB '20 PROCUREMENT OF BDRRM DISASTER SUPPLIES</t>
  </si>
  <si>
    <t>PROCUREMENT OF MATERIALS FOR THE MODULES</t>
  </si>
  <si>
    <t>Supply of Labor, Materials and Equipment for the Installation of Streetlights, Brgy. Lapolapo I, San Jose, Batangas</t>
  </si>
  <si>
    <t>S &amp; D of Materials for the Installation of Water Supply Pipelines to Batanes Resort (PEO)</t>
  </si>
  <si>
    <t>Purchase of HUmidifier Oil scents</t>
  </si>
  <si>
    <t>Public Restroom with Rainwater Tank, Lake Danao Park, San Francisco, Camotes Island</t>
  </si>
  <si>
    <t>Establishment of School Library at Pilar Central School Comp., Lower Poblacion, Pilar, Cebu</t>
  </si>
  <si>
    <t>Proposed Multi-Purpose Covered Court, Malapascua Island, Logon, Daanbantayan, Cebu.</t>
  </si>
  <si>
    <t>Purchase of Supplies and Materials for Eco-Center</t>
  </si>
  <si>
    <t>MALINAO ILAYA NATIONAL HIGH SCHOOL - Self Learning Module</t>
  </si>
  <si>
    <t>Construction of Support Facility (Hazardous Waste Storage Building) at Ricardo L. Maningo Memorial Hospital, San Francisco, Cebu</t>
  </si>
  <si>
    <t>Construction of Covered Court at Brgy's. Bae, Basak, Papan, Dugoan, Can-aga and Cantularoy, Sibonga, Cebu.</t>
  </si>
  <si>
    <t>Supply of Labor, Materials and Equipment for the Installation of Streetlights, Brgy. Lapolapo I (Sitio Aguila Compound), San Jose, Batangas</t>
  </si>
  <si>
    <t>AB '20 PROCUREMENT OF OFFICE SUPPLIES</t>
  </si>
  <si>
    <t>Supply of Labor, Materials and Equipment for the Improvement of Sidewalk, Poblacion Barangay I, San Jose, Batangas</t>
  </si>
  <si>
    <t>AB '20 PROCUREMENT OF BDRRM DISASTER EQUIPMENT</t>
  </si>
  <si>
    <t>REQUEST FOR QUOTATION FOR USE OF ENGINEERING SECTION - SURVEY USE</t>
  </si>
  <si>
    <t>SAN ISIDRO NATIONAL HIGH SCHOOL - Printing of Self-Learning Module</t>
  </si>
  <si>
    <t>PROCUREMENT OF CATERING SERVICES</t>
  </si>
  <si>
    <t>Office Supplies - Various Offices</t>
  </si>
  <si>
    <t>Desktop Computers w/ Printers and CCTV Monitoring Equipment - Office of the City Mayor</t>
  </si>
  <si>
    <t>Concreting of Marikit-Mulawin Road (INFRA2020-09)</t>
  </si>
  <si>
    <t>Supply of Labor, Materials and Equipment for the Construction/Rehabilitation of Pipe Culvert/Box Culvert, Brgy. Pinagtung-Ulan, San Jose, Batangas</t>
  </si>
  <si>
    <t>Improvement of Patiacan FMR, Inuman, Patiacan, Quirino, Ilocos Sur</t>
  </si>
  <si>
    <t>Livestock for VET-2020-0122</t>
  </si>
  <si>
    <t>Construction/Rehabilitation of Water Supply/Septage and Sewerages/Rain Water Collectors - Rain Water Collectors in Public Facilities, Construction of Sixteen (16) units of Rainwater Collection System</t>
  </si>
  <si>
    <t>CONSTRUCTION OF BOB-OCOC FOOTBRIDGE, POBLACION, QUIRINO, ILOCOS SUR</t>
  </si>
  <si>
    <t>Tires for NFBC-2020-0020</t>
  </si>
  <si>
    <t>S &amp; D of Construction Materials (PGSO)</t>
  </si>
  <si>
    <t>Office Supplies &amp; Consumable for NOSP-2020-0022</t>
  </si>
  <si>
    <t>CONCRETING/IMPROVEMENT OF ALLIBANG STREET, POBLACION, QUIRINO, ILOCOS SUR</t>
  </si>
  <si>
    <t>MATERIALS FOR PRODUCTION OF MODULES AND ACTIVITY SHEETS - BATCH 1</t>
  </si>
  <si>
    <t>Supply and Delivery of C.I Sleeve Type Coupling</t>
  </si>
  <si>
    <t>SUPPLY, DELIVERY &amp; INSTALLATION OF LABORATORY FURNITURE, EQUIPMENT AND ACCESSORIES FOR CRIME LABORATORY</t>
  </si>
  <si>
    <t>Two (2) Units of Motorcycle/BFP</t>
  </si>
  <si>
    <t>For Covid COntrolpoint and LSI/ROF Isolation Unit</t>
  </si>
  <si>
    <t>Folded Tables, Monoblock Chairs, Retractable Tent and Water Dispenser - Office of the City Vice-Mayor</t>
  </si>
  <si>
    <t>Construction of Post-Harvest Facility at Brgy. Lapting Sur, Nagbukel, Ilocos Sur</t>
  </si>
  <si>
    <t>Concreting of Camambugan  Barangay Road</t>
  </si>
  <si>
    <t>Purchase of  mixed gravel and sand for the regravelling of brgy road at Canagatan, Baggao, Cagayan</t>
  </si>
  <si>
    <t>Procurement of office equipment of various offices</t>
  </si>
  <si>
    <t>Supply and Delivery of an Integrated Mobile Command Center System and Platform for the PDRRMC of Ilocos Sur</t>
  </si>
  <si>
    <t>Concreting of Tagsing to Malawog  Barangay Roads</t>
  </si>
  <si>
    <t>Purchase &amp; Delivery of Spare Parts for the Ilocos Sur Dancing Fountain</t>
  </si>
  <si>
    <t>Printing &amp; Tacking of Modules including Delivery to Bais City Division Ofiice, Bais City, Negros Oriental</t>
  </si>
  <si>
    <t>Replacement &amp; Relocation of Electrical Poles &amp; Its Accessories Affected by the PEO Widening Project at Ponong-Cang-Asa, Siquijor and Poblacion-Cansayang, San Juan, Siquijor, Cang-Asa, Siquijor &amp; Cansa</t>
  </si>
  <si>
    <t>Development of Post-Harvest Facility at Brgy. Labut Norte, Santa, Ilocos Sur</t>
  </si>
  <si>
    <t>SHS-Appliances</t>
  </si>
  <si>
    <t>Water System Development at the Lazi Medicare Community Hospital, Lazi, Siquijor</t>
  </si>
  <si>
    <t>Concreting of Tugas to Bantay Barangay Roads</t>
  </si>
  <si>
    <t>Repair/Improvement of Tourism Office, Capitol Building, Polangyuta, Siquijor &amp; Repair/Improvement of Tourism Office (Phase 2), Capitol Building, Polangyuta, Siquijor, Siquijor, “Cluster A”</t>
  </si>
  <si>
    <t>Concreting of Tuburan to Conaynay Barangay Road</t>
  </si>
  <si>
    <t>SUPPLY AND DELIVERY OF VARIOUS CONSTRUCTION MATERIALS</t>
  </si>
  <si>
    <t>Purchase &amp; Delivery of Heavy Duty Fast Speed Full Color Printer Line- Inkjet System with Consumables for the Reproduction of Learning Modules &amp; Self-learning Kits in Support &amp; Compliance to Basic Educ</t>
  </si>
  <si>
    <t>Construction of Water System at Brgy. Cadacad, Nagbukel, Ilocos Sur</t>
  </si>
  <si>
    <t>Public Bidding of 2 Lots for the Supply &amp; Delivery of Water Dispenser &amp; Monobloc Chair for the Office of Board Member Teves, under ITB No. 2020-021R</t>
  </si>
  <si>
    <t>Public Bidding of 2 Lots for the Supply &amp; Delivery of I.T. Equipment for Tapaz District Hospital, under ITB No. 2020-020R.</t>
  </si>
  <si>
    <t>MNHS SUPPLIES FOR MODULE PRODUCTION</t>
  </si>
  <si>
    <t>Procurement of Digital Hanging Scale and Height and Length Board for distribution in the Municipal/Barangay Evacuation Center to assess Preschooler</t>
  </si>
  <si>
    <t>Rehabilitation of Lined Canal at Barangay Poblacion 3, Talisay, Batangas</t>
  </si>
  <si>
    <t>Purchase of Spare Parts for Dump Truck, Rescue Truck and Police Car</t>
  </si>
  <si>
    <t>S &amp; D of Motorcycle (ENRO)</t>
  </si>
  <si>
    <t>SUPPLIES AND MATERIALS TO BE USED IN THE HUDYAKA 2020</t>
  </si>
  <si>
    <t>Purchase of mixed gravel and sand for the rehabilitation of brgy. road (regravelling) at Nangalinan, Baggao, Cagayan</t>
  </si>
  <si>
    <t>Supply and delivery of various vehicle spareparts</t>
  </si>
  <si>
    <t>Supply and Delivery of FSP Advocacy Bag</t>
  </si>
  <si>
    <t>For reproduction of modules and Learning Activity Sheets.</t>
  </si>
  <si>
    <t>Procurement of Reproduction Supplies of Amlan Central Elementary School</t>
  </si>
  <si>
    <t>2020-07-931 "Procurement of 1 unit 6x4 Water Truck for PGO"</t>
  </si>
  <si>
    <t>Public Bidding of 3 Lots for the Supply &amp; Delivery of Construction Materials for the Various Projects of Provincial Engineer’s Office, under ITB No. 2020-019R</t>
  </si>
  <si>
    <t>Construction of Panay River Basin Integrated Development Project</t>
  </si>
  <si>
    <t>SUPPLY AND DELIVERY OF OFFICE EQUIPMENT, (I.T. EQUIPMENT) FOR THE USE OF NIA UPRIIS DIVISION 1 INSTITUTIONAL DEVELOPMENT UNIT</t>
  </si>
  <si>
    <t>IMPROVEMENT OF BARANGAY HALL/MUTI PURPOSE BUILDING THRU THE INSTALLATION OF ROOF MOUNTED</t>
  </si>
  <si>
    <t>BACOLOD BRANCH - Fabrication and Installation of Safety Barriers</t>
  </si>
  <si>
    <t>Construction of Magdalena-Baladjay CIP</t>
  </si>
  <si>
    <t>Procurement and Delivery of Construction Materials for Repair/Rehabilitation of Registrar's Office</t>
  </si>
  <si>
    <t>Catering Services for the 2020 Census of Population and Housing 4th Level Training- MORONG, BATAAN</t>
  </si>
  <si>
    <t>20GID0024 - Supply and Delivery of Unleaded Gasoline for Operational use of Various Grass Cutter assigned at Maintenance Section Maintenance Section of DPWH Leyte 2nd DEO,Carigara,Leyte</t>
  </si>
  <si>
    <t>Procurement for the Supply and Delivery of Materials for Alternative Delivery Mode-Module</t>
  </si>
  <si>
    <t>20GID0023 - Supply and Delivery of Photocopier Toner for use in Planning and Design Section of DPWH Leyte 2nd DEO, Carigara, Leyte</t>
  </si>
  <si>
    <t>Catering Services for the 2020 Census of Population and Housing 4th Level Training-SAMAL BATAAN</t>
  </si>
  <si>
    <t>Catering Services for the 2020 Census of Population and Housing 4th Level Training- ORION, BATAAN</t>
  </si>
  <si>
    <t>Catering Services for the 2020 Census of Population and Housing 4th Level Training- ORANI BATAAN</t>
  </si>
  <si>
    <t>Catering Services for the 2020 Census of Population and Housing 4th Level Training- MARIVELES,  BATAAN</t>
  </si>
  <si>
    <t>Catering Services for the 2020 Census of Population and Housing 4th Level Training- LIMAY, BATAAN</t>
  </si>
  <si>
    <t>Catering Services for the 2020 Census of Population and Housing 4th Level Training- HERMOSA, BATAAN</t>
  </si>
  <si>
    <t>Catering Services for the 2020 Census of Population and Housing 4th Level Training- DINALUPIHAN, BATAAN</t>
  </si>
  <si>
    <t>MOBILE LIBRARY</t>
  </si>
  <si>
    <t>Procurement and Installation of Partition</t>
  </si>
  <si>
    <t>Procurement of School and Office Supply</t>
  </si>
  <si>
    <t>1,200 pcs – N95 PPE</t>
  </si>
  <si>
    <t>Procurement of Construction Materials for Construction of FMR</t>
  </si>
  <si>
    <t>Procurement of office equipment</t>
  </si>
  <si>
    <t>EPSON printer and ink for the reproduction of locally developed LRs for by the teachers of Kalinga</t>
  </si>
  <si>
    <t>Supply and Delivery of Two (2) Units Reefer Van in Support to KADIWA on Wheels Activities</t>
  </si>
  <si>
    <t>Procurement of it equipment and software</t>
  </si>
  <si>
    <t>Catering Services for the 2020 Census of Population and Housing 4th Level Training- PILAR, BATAAN</t>
  </si>
  <si>
    <t>SUPPLY, CONSTRUCTION, INSTALLATION AND RENOVATION OF SESSION HALL (3rd floor)</t>
  </si>
  <si>
    <t>Invitation to Bid for the Delivery of Solar Streetlighting System at Barangay Libsong West, Lingayen, Pangasinan</t>
  </si>
  <si>
    <t>Procurement of Animal Feeds PR # 20-07-1248 OVS</t>
  </si>
  <si>
    <t>Request for Provision of Recertification Audit for ISO 9001:2015 Quality Management System</t>
  </si>
  <si>
    <t>Purchase of clothing allowance</t>
  </si>
  <si>
    <t>CONCRETING OF BARANGAY LITTLE BAGUIO ROAD SECTION</t>
  </si>
  <si>
    <t>Purchase of Office Supplies 2020-07-0276</t>
  </si>
  <si>
    <t>20GID0025 - Supply and Delivery of Diesel Fuel for Operational use of various service vehicle and equipment of DPWH Leyte 2nd DEO,Carigara,Leyte</t>
  </si>
  <si>
    <t>REHAB OF BRGY. MULTIPURPOSE CENTER HALL (PHASE-111)</t>
  </si>
  <si>
    <t>Purchase and Delivery of Cellcards of SB for the Month of August</t>
  </si>
  <si>
    <t>PURCHASE OF SUPPLIES FOR THE REPRODUCTION OF MODULES</t>
  </si>
  <si>
    <t>Eco Bag</t>
  </si>
  <si>
    <t>Catering Services 2020-07-0284</t>
  </si>
  <si>
    <t>HEALTH KIT</t>
  </si>
  <si>
    <t>Purchase of Office Supplies</t>
  </si>
  <si>
    <t>INSTALLATION OF 8 UNITS SOLAR STREET LIGHT AT BARANGAY 57, SAN ROQUE, CAVITE CITY</t>
  </si>
  <si>
    <t>Delivery of various materials for the construction of Perimeter fence of Muulti-Purpose Hall</t>
  </si>
  <si>
    <t>103 pcs Cellcard for use to conduct a webinar on the transcribing of developed ADM in Math</t>
  </si>
  <si>
    <t>Purchase of Animal Feeds 2020-07-0289</t>
  </si>
  <si>
    <t>Supply of Airconditioning System and Installation of ACU Pipeline  from  Indoor to Outdoor for ER (OR) and OC (DR1): with 10 feet pipeline package</t>
  </si>
  <si>
    <t>PR# 20-07-745-A PROCUREMENT OF ANIMAL FEEDS FOR FEEDING BANGUS FINGERLINGS PRODUCTION FOR CVMNDTC, BENTIG, CALAPE, BOHOL.</t>
  </si>
  <si>
    <t>PROCUREMENT OF MATERIALS NEEDED FOR TRIAGE AND QUARANTINE AREA TO DETECT, ISOLATE, TREAT, AND PREVENT THE SPREAD OF COVID19</t>
  </si>
  <si>
    <t>Fixtures</t>
  </si>
  <si>
    <t>Catering Services for the Procurement and delivery of meals and snacks for the 2020 Census of Population and Housing (CPH) Fourth Level Training – Municipality of Angat</t>
  </si>
  <si>
    <t>Purchase &amp; Delivery of Janitorial &amp; Other Supplies for the Office of SPM Christopher R. Baterina</t>
  </si>
  <si>
    <t>Supply and Delivery of 1 unit Projector</t>
  </si>
  <si>
    <t>PRODUCTION OF LEARNING MODULE</t>
  </si>
  <si>
    <t>Purchase of Supplies for COVID-19 Pandemic of Sangguniang Barangay of Banlic</t>
  </si>
  <si>
    <t>OFFICE EQUIPMENT</t>
  </si>
  <si>
    <t>Supply and delivery of construction materials for the repair of ATI-CAR Housing/Dormitory Roofing</t>
  </si>
  <si>
    <t>Supply and Delivery of Desktop</t>
  </si>
  <si>
    <t>OFFICE SUPPLIES</t>
  </si>
  <si>
    <t>PROCUREMENT OF CLOSED CIRCUIT TELEVISION (CCTV) FOR THE MUNICIPALITY OF TUBLAY</t>
  </si>
  <si>
    <t>For the repair &amp; maintenance of the New City Hall Building.</t>
  </si>
  <si>
    <t>Construction of Cabaroan Box Culvert, Patungcaleo, Quirino, Ilocos Sur</t>
  </si>
  <si>
    <t>Furniture</t>
  </si>
  <si>
    <t>20GID0026 - Supply and Delivery of Diesel Fuel for operational use of service vehicle with Plate # BOZ-373 assigned at Planning and Design Section of DPWH Leyte 2nd DEO,Carigara,Leyte</t>
  </si>
  <si>
    <t>Power Generation and Machinery</t>
  </si>
  <si>
    <t>PROCUREMENT OF EIGHT UNIT DESKTOP COMPUTER WITH COMPLETE ACCESSORIES AND COMPUTER STAND</t>
  </si>
  <si>
    <t>OFFICE SUPPLIES AND CONSUMABLES AT RESEARCH OFFICE</t>
  </si>
  <si>
    <t>LABOR: REPAIR/REHABILITATION OF BICOL REGIONAL DIAGNOSTIC REFERENCE LABORATORY (BRDRL) - COVID19 LABORATORY</t>
  </si>
  <si>
    <t>Supply and Delivery of 3in1 Printer</t>
  </si>
  <si>
    <t>Catering Services for Modified Farmers Field School for RiceBIS Farmers</t>
  </si>
  <si>
    <t>Purchase &amp; Delivery of Office Supplies &amp; Consumables for the Office of SPM Elpidio Sr. A. Quines</t>
  </si>
  <si>
    <t>Purchase of 1,500 Pcs Grafted Jackfruit Seedlings (EVIARC Sweet) for OPAS</t>
  </si>
  <si>
    <t>Request for Quotation of Aircon at NORSU Main Campus</t>
  </si>
  <si>
    <t>CONSTRUCTION/ REHABILITATION OF HEALTH CENTER @ SAN JUAN RORO SORSOGON</t>
  </si>
  <si>
    <t>20GID0028 - Supply and Delivery of Diesel Fuel for operational use of service vehicle with Plate # BOZ-494 assigned at Quality Assurance Section of DPWH Leyte 2nd DEO,Carigara,Leyte</t>
  </si>
  <si>
    <t>Printing of Fire Safety Inspection Certificate (FSIC) and After Inspection Report (AIR) Forms for operational use of BFP Caraga Region</t>
  </si>
  <si>
    <t>Supply and Delivery of Equipment for Power House Maintenance, Security and Safety for POLILLO DPP</t>
  </si>
  <si>
    <t>CID NO. 20IF0078 (READV)-CONSTRUCTION OF BRGY. CATIGAHAN-BRGY. HINAGBUAN ROAD, PALOMPON, LEYTE</t>
  </si>
  <si>
    <t>Module kit</t>
  </si>
  <si>
    <t>IMPROVEMENT OF MULTI-PURPOSE CENTER (COVERED GYM CONCRETE OVERLAY)</t>
  </si>
  <si>
    <t>REQUEST FOR QUOTATION FOR USE OF TOYOTA PICK-UP W/ PLATE # SDC627 ASSIGNED AT ALARIS</t>
  </si>
  <si>
    <t>Catering Services for the Procurement and delivery of meals and snacks for the 2020 Census of Population and Housing (CPH) Fourth Level Training – Municipality of Balagtas</t>
  </si>
  <si>
    <t>Supply and delivery of materials for the repair of Aspulan Hall Comfort Room Premises</t>
  </si>
  <si>
    <t>Procurement of Various Vegetable Seeds, Fertilizers, Insecticide and Fungicide for the Vegetable Production and Demonstration of MAGRO - Laak, Davao De Oro</t>
  </si>
  <si>
    <t>PROCUREMENT OF AGRICULTURAL SUPPLIES</t>
  </si>
  <si>
    <t>Supply and Delivery of Two (2) Units of Safety Vaults for OCS and BCEO</t>
  </si>
  <si>
    <t>MEALS AND SNACKS OF PERSON UNDER COVID-ISOLATION CENTER AT CAUAYAN BUS TERMINAL, BARANGAY POBLACION, CAUAYAN, NEGROS OCCIDENTAL</t>
  </si>
  <si>
    <t>20GID0027 - Supply and Delivery of Diesel Fuel for operational use of service vehicle with Plate # SGM-593 assigned at Construction Section of DPWH Leyte 2nd DEO,Carigara,Leyte</t>
  </si>
  <si>
    <t>OFFICE SUPPLIES AND CONSUMABLES OF THE UNIVERSITY</t>
  </si>
  <si>
    <t>7600 pcs CHB 4” for construction of perimeter fence at proposed Barangay Taclobo government center, Barangay Taclobo.</t>
  </si>
  <si>
    <t>SLOPE PROTECTION OF FARM TO MARKET ROAD (SECTOR 6) LOCATED AT BARANGAY SAN FRANCISCO NORTE, SUDIPEN, LA UNION</t>
  </si>
  <si>
    <t>SLOPE PROTECTION OF CREEK (WAIG DAKKEL) LOCATED AT BARANGAY CASTRO, SUDIPEN, LA UNION</t>
  </si>
  <si>
    <t>PBD OF CELLPHONE ANDROID</t>
  </si>
  <si>
    <t>20GID0029 - Supply and Delivery of Alcohol Dispenser w/ stand and non-contact Infrared thermometer for use to fight COVID 19 of DPWH Leyte 2nd DEO,Carigara,Leyte</t>
  </si>
  <si>
    <t>Supply and delivery of materials for the installation of emergency lights and fire extinguisher</t>
  </si>
  <si>
    <t>Electrical Supplies</t>
  </si>
  <si>
    <t>SUPPLY AND DELIVERY OF DIGITAL HOD SCALE WITH BUILT-IN PRINTER WITH 4 LOAD CELLS ON TOP</t>
  </si>
  <si>
    <t>Supply and Delivery of Refill of Medical Oxygen for official use of JLAEH</t>
  </si>
  <si>
    <t>Request for Quotation of Desktop and Scanner at NORSU Main Campus</t>
  </si>
  <si>
    <t>Procurement of 50 bags of rice to be given to Barangay Antagan 1st, Tumauini, Isabela Constituents</t>
  </si>
  <si>
    <t>Purchase of Construction Materials &amp; Supplies 2020-07-0274</t>
  </si>
  <si>
    <t>Purchase of Laboratory Supplies of RRC ( RFQ 2020-249)</t>
  </si>
  <si>
    <t>Communication Facilities (Antenna Tower for Wireless Extender)</t>
  </si>
  <si>
    <t>Supply and Delivery of Various Supplies&amp;Materials (SwineNC-II toolkit)</t>
  </si>
  <si>
    <t>Purchase of Office Supplies 2020-07-0282</t>
  </si>
  <si>
    <t>Supply and Delivery of Ambulance with Complete Accessories and LTO Registration</t>
  </si>
  <si>
    <t>Fertilizers</t>
  </si>
  <si>
    <t>Procurement of Two (2) units Risograph Machine</t>
  </si>
  <si>
    <t>FOR CONSTRUCTION</t>
  </si>
  <si>
    <t>Procurement of Goods</t>
  </si>
  <si>
    <t>PURCHASE OF IT EQUIPMENT</t>
  </si>
  <si>
    <t>20GID0031 - Supply and Delivery of Toner KIP 770 and KIP Roll for White Printing Machine use in printing plans at Planning and Design Section of DPWH Leyte 2nd DEO, Carigara, Leyte</t>
  </si>
  <si>
    <t>Supply and Delivery of Stainless Retractable Belt Stanchion and A4 Size Sign Board for Stanchion (R.I.S. No.: 20-60-019)</t>
  </si>
  <si>
    <t>Goods2020-02-004 -the Purchase of 64 pcs. Longsleeve Shirt w/ hood (w/ zipper), 64 pcs. Pearsing Cap, 64 pcs. Safety Vest, 8 units Wheel/ Walking Meter, 24 units Rubberized Bollard, 24 units Flasher &amp;</t>
  </si>
  <si>
    <t>Sealed Quotation - One (1) Lot Supply, Delivery and Installation of Various Furniture for Pag-IBIG Fund Calamba TAS, Housing and Branches</t>
  </si>
  <si>
    <t>20GID0030 - Supply and Delivery of Various supplies and accessories for use in the Conduct for CY 2020 National Road Traffic Survey Program within the District of DPWH Leyte 2nd DEO,Carigara,Leyte</t>
  </si>
  <si>
    <t>EARTHWORKS</t>
  </si>
  <si>
    <t>purchase of fertilizers for fertilizer dispersal project</t>
  </si>
  <si>
    <t>Reproduction of Delivery of Lerning Modules</t>
  </si>
  <si>
    <t>Installation of Solar Street Lights</t>
  </si>
  <si>
    <t>Supply and Delivery of Customized Reflectorized Safety Vest (R.I.S. No.: 20-96-041)</t>
  </si>
  <si>
    <t>Supply and Delivery of Commercial Feeds</t>
  </si>
  <si>
    <t>Construction of Street Light</t>
  </si>
  <si>
    <t>ITB2020-020 LBP Agoo Branch re: Establishment of LANDBANK Agoo Branch Offsite ATM at Tubao</t>
  </si>
  <si>
    <t>SLOPE PROTECTION OF FARM TO MARKET ROAD (PALACAPAC ROAD) LOCATED AT BARANGAY PORPORIKET, SUDIPEN, LA UNION</t>
  </si>
  <si>
    <t>CONCRETE ROAD</t>
  </si>
  <si>
    <t>Supply and Security Services for 3rd quarter and 4th quarter of 2020 for LIWAD premises.</t>
  </si>
  <si>
    <t>PROCUREMENT OF VARIOUS CONSTRUCTION MATERIALS FOR THE REPAIR AND MAINTENANCE OF PERIMETER FENCE AND POST TOWERS OF ALL CAMPS</t>
  </si>
  <si>
    <t>RFQ -152-07-20 MDRRMO STOCKFILE</t>
  </si>
  <si>
    <t>Invitation to bid for the stage construction with comfort room at Barangay Wawa, Lingayen, Pangasinan</t>
  </si>
  <si>
    <t>CONSTRUCTION MATERIALS AND SUPPLIES</t>
  </si>
  <si>
    <t>20GGA0008-Purchase of Asphalt MC 60/70 for use in the Maintenance of National Roads and Bridges Along Aklan East &amp; West Road Section</t>
  </si>
  <si>
    <t>SLOPE PROTECTION OF FARM TO MARKET ROAD (SITIO IMMAYUS) LOCATED AT BARANGAY SAN JOSE, SUDIPEN, LA UNION</t>
  </si>
  <si>
    <t>SUPPLY OF MATERIALS FOR THE PROPOSED BARANGAY ROAD CONCRETING AT PROPER MANDILIKIT, MANDILIKIT, ARGAO, CEBU</t>
  </si>
  <si>
    <t>purchase of const materials &amp; supplies for the Repair &amp; maintenance of Cayetano Bumanglag E/S</t>
  </si>
  <si>
    <t>Rehabilitation and dredging of canal</t>
  </si>
  <si>
    <t>RFQ 2020-01-0077-MATERIALS FOR REPAIR AND FABRICATION OF ROOF OF STUDY SHED BESIDE GYMNASIUM AREA</t>
  </si>
  <si>
    <t>Provision of Meals and Snacks to be served for the 2nd Semester CY 2020 for meetings and other activities of various divisions and offices of ATI Central Office</t>
  </si>
  <si>
    <t>PARTS AND ACCESSORIES OF TOYOTA HILUX VEHICLE</t>
  </si>
  <si>
    <t>Concreting of Farm to Market Road with Slope Protection at Sitio 4, Brgy. Tabucbuc</t>
  </si>
  <si>
    <t>SUR BO OF RENOVATION 2020</t>
  </si>
  <si>
    <t>20GID0033 - Supply and Delivery of Grass Cutter supplies and accessories for use in the Maintenance Section Maintenance Section of DPWH Leyte 2nd DEO,Carigara,Leyte</t>
  </si>
  <si>
    <t>Construction of 332 L.M. Concrete Drainage Cover @ Brgy. III Bonifacio</t>
  </si>
  <si>
    <t>20GID0034 - Rental of Service Vehicle ( 4 x 2 Pick -up type for 60 days) for conduct of CY 2020 Annual Road Condition(ROCOND) Survey within the district.</t>
  </si>
  <si>
    <t>Purchase of electrical Supplies of CDMO ( RFQ 2020-4255)</t>
  </si>
  <si>
    <t>Supply and Delivery of various Medical Supplies to be used by PRDP South Luzon Cluster</t>
  </si>
  <si>
    <t>Procurement of ICT Equipment for the use of CEC and MNHS Main Campus</t>
  </si>
  <si>
    <t>20GID0032 - Supply and Delivery of Plotter Ink for use in Printing Plans at Planning and Design Section of DPWH Leyte 2nd DEO,Carigara,Leyte</t>
  </si>
  <si>
    <t>Provision of IT equipment and software</t>
  </si>
  <si>
    <t>SUPPLY AND DELIVERY OF CONSTRUCTION MATERIALS</t>
  </si>
  <si>
    <t>Catering Services during a THREE-DAY WORKSHOP ON THE COMPLETION OF THE DIVISION INITIATED LESSON PLAN FOR EPP/TLE/TVL SUBJECT</t>
  </si>
  <si>
    <t>SUPPLY, DELIVERY &amp; INSTALLATION OF SUBMERSIBLE PUMP</t>
  </si>
  <si>
    <t>EXTENSION OF LAMAC MULTI-PURPOSE BUILDING</t>
  </si>
  <si>
    <t>General Merchandise</t>
  </si>
  <si>
    <t>Supply and Delivery of 5 units Stainless Table (1.00m x 1.20m x 0.80m)</t>
  </si>
  <si>
    <t>Regular Office Supplies</t>
  </si>
  <si>
    <t>Supply and Delivery of Cheese Cake and Crackers (R.I.S. No.: 20-03-013)</t>
  </si>
  <si>
    <t>Construction of Flood Control @ BRgy. Calima</t>
  </si>
  <si>
    <t>2019-12-1246 "Procurement of Works for the Proposed Renovation of Provincial Capitol Lobby"</t>
  </si>
  <si>
    <t>CONCRETE PAVING OF BARANGAY ROAD (SITIO LUGALOG) LOCATED AT BARANGAY SAN FRANCISCO SUR, SUDIPEN, LA UNION</t>
  </si>
  <si>
    <t>PR NO. 1951 CATERING SERVICES</t>
  </si>
  <si>
    <t>UPLB-RQ-8-162-20-RES SUPPLY AND DELIVERY OF CHEMICALS &amp; CHEMICAL PRODUCTS FOR IPB</t>
  </si>
  <si>
    <t>REPAIR AND MAINTENANCE OF EMERGENCY VEHICLE</t>
  </si>
  <si>
    <t>Delivery of Construction Materials &amp; Supplies for the Rehabilitation of Barangay Multipurpose Hall Phase I</t>
  </si>
  <si>
    <t>laptop</t>
  </si>
  <si>
    <t>Supply and Delivery of Copier Paper, A4, Substance 20 for Bayawan NHS - Senior HS Department</t>
  </si>
  <si>
    <t>20LA0345 Construction of One (1) Unit, One (1) Storey Four (4) Classroom School Building at Doroteo De Castro ES, Pantukan, Compostela Valley</t>
  </si>
  <si>
    <t>UPGRADING OF LOCAL ACCESS ROAD ALONG INFRES ROAD SECTION</t>
  </si>
  <si>
    <t>PR2020-07-040 - Office Equipment, Supplies and Consumables</t>
  </si>
  <si>
    <t>Procurement for the Supply and Delivery of Anti-COVID-19 Supplies and Materials for GAD</t>
  </si>
  <si>
    <t>Upgrading /Improvement of Municipal Road at Poblacion Brgy. Lydia</t>
  </si>
  <si>
    <t>12 sack Rice and other items for Malnourish Pre-schooler children and pregnant women from 25 Barangay of the city of Dumaguete for CY 2020.</t>
  </si>
  <si>
    <t>REPRODUCTION OF SELF LEARNING MODULES OF LAPASAN NATIONAL HIGH SCHOOL</t>
  </si>
  <si>
    <t>Supply and Delivery of Various Monitoring Supplies</t>
  </si>
  <si>
    <t>SUPPLY AND DELIVERY OF MEALS AND SNACKS FOR VARIOUS ORIENTATION SEMINAR OF COOP</t>
  </si>
  <si>
    <t>Purchase of Materials for the Construction of Watersystem (GAD) for Barangays Linao,Jilabangan,Dalaupon,Saying,Pinalubngan,Tanlad, and Lag-it, Tayasan, Neg. Or.</t>
  </si>
  <si>
    <t>PARTS AND ACCESSORIES OF TOYOTA COASTER</t>
  </si>
  <si>
    <t>construction of municipal quarantine facility/mho</t>
  </si>
  <si>
    <t>CONSTRUCTION OF  POTABLE WATER SYSTEM KIMBAROY TO PUROK 4</t>
  </si>
  <si>
    <t>EPIRUBICIN FOR QUOTATION</t>
  </si>
  <si>
    <t>PROCUREMENTS OF MATERIALS FOR LEARNING MODULES</t>
  </si>
  <si>
    <t>RFQ-DVO-PR.NO. 2006450 CAT. 73 CONSTRUCTION REPAIR</t>
  </si>
  <si>
    <t>Construction of Farm to Market Road with Slope Protection at Sitio 6, Brgy. Santiago</t>
  </si>
  <si>
    <t>Materials for Barangay Water System</t>
  </si>
  <si>
    <t>MATERIALS FOR CAMPUS LANDSCAPING</t>
  </si>
  <si>
    <t>20LA0347 Construction of One (1) Unit, Two (2) Storey Four (4) Classroom Building at Nagas ES, Pantukan, Compostela Valley</t>
  </si>
  <si>
    <t>Supply and Delivery of Oval Plastic Trash Bin (R.I.S. No.: 20-69-032)</t>
  </si>
  <si>
    <t>Office Supplies and Devices</t>
  </si>
  <si>
    <t>Purchase of Laminar Flow of Oil Basrd TDT ( RFQ 2020-4273)</t>
  </si>
  <si>
    <t>Purchase of Laboratory Testing Kits and Supplies for COVID-19 Suspects.</t>
  </si>
  <si>
    <t>Continuation of Improvement of Multi-Purpose Hall at Marede</t>
  </si>
  <si>
    <t>PROCUREMENT OF 15 PIECES OF EXTERNAL HARD DRIVE</t>
  </si>
  <si>
    <t>PURCHASE OF IT EQUIPMENTS, ACCESSORIES &amp; ETC. (sec. publication)</t>
  </si>
  <si>
    <t>Rice assistance for Brgys. Maningding and Poblacion Norte</t>
  </si>
  <si>
    <t>RFQ 032-02-2020 Body Painting of Tribike of all Franchise Holder</t>
  </si>
  <si>
    <t>20LA0352 Construction of One (1) Unit, Two (2) Storey Four (4) Classroom Building at Bon-Temple ES, Pantukan, Compostela Valley</t>
  </si>
  <si>
    <t>SUPPLY AND DELIVERY OF VARIOUS MATERIALS AND DEVICES FOR COVID 19 FRONTLINERS USE</t>
  </si>
  <si>
    <t>1 unit motor vehicle, passenger van</t>
  </si>
  <si>
    <t>RFQ-DVO-PR.NO. 2007227 CAT. OIL AND LUBRICANTS</t>
  </si>
  <si>
    <t>RFQ No. 20-08-197 for PR No. 20-07-191</t>
  </si>
  <si>
    <t>PROCUREMENT OF FLASH DRIVE</t>
  </si>
  <si>
    <t>PURCHASE OF TIRES - RESCUE TRUCK</t>
  </si>
  <si>
    <t>Purchase of Agriculture Product 2020-06-0249</t>
  </si>
  <si>
    <t>Supply and Delivery of Materials re: Fabrication of Municipal and Provincial Road Name and Signages</t>
  </si>
  <si>
    <t>Construction of Slope Protection at Sitio Casilagan, Brgy. Mabuti</t>
  </si>
  <si>
    <t>MOOE 2020-01/KITAM-IS ELEMENTARY SCHOOL</t>
  </si>
  <si>
    <t>MAINTENANCE OF THREE PUBLIC CEMETERIES (Dapawan, Libertad and Anahao)</t>
  </si>
  <si>
    <t>FABRICATION AND INSTALLATION OF NETWORK CABINET LIGHTING ARRESTER</t>
  </si>
  <si>
    <t>For maintenance 2020 ( Carpentry Works ) - Administration</t>
  </si>
  <si>
    <t>SUPPLY AND DELIVERY OF VARIOUS SUPPLIES AND MATERIALS FOR HALFWAY HOME FOR GIRLS AND BALAY NAMNAMA YOUTH HOME FOR BOYS</t>
  </si>
  <si>
    <t>invitation to bid</t>
  </si>
  <si>
    <t>2020-083, CONCRETTING OF FARM TO MARKET ROAD FROM PUROK 2 TO PUROK 7,  BALIKI, MIDSAYAP, COTABATO</t>
  </si>
  <si>
    <t>Supply &amp; Delivery of Various School Supplies for Students of Municipality of Rosario, Cavite</t>
  </si>
  <si>
    <t>Supply &amp; Delivery of 12 units Risograph Machine , Toner &amp; Master Roll for Rosario District Schools</t>
  </si>
  <si>
    <t>Purchase of Transportation Services and Hauling of Project Oil TDT ( RFQ 2020-4274)</t>
  </si>
  <si>
    <t>Concrete Paving at Purok 1, Brgy. Cambarus</t>
  </si>
  <si>
    <t>Construction/Rehab of MPP (Covered Court)</t>
  </si>
  <si>
    <t>1	pcs.	G.l Foot Valve 1"Ø, etc. - 005</t>
  </si>
  <si>
    <t>Procurement of Bakery Equipment and materials under the Sustainable Livelihood for Disaster affected areas at Rizal</t>
  </si>
  <si>
    <t>Motorpool_Repair &amp; Maintenance (DT 03 and DT 04)</t>
  </si>
  <si>
    <t>Food and Venue for the Conduct of Mindanao Stakeholders Consultation for the Updated VCA – Cacao ( Davao City) October 7-9, 2020</t>
  </si>
  <si>
    <t>Concrete Paving  at Sitio Pinabalunan, Brgy. Antipolo</t>
  </si>
  <si>
    <t>Procurement of Airtime Services for DepEd Radio Classes from August to December 2020</t>
  </si>
  <si>
    <t>SLAUGHTERHOUSE WASTE COMPOSTING FACILITY</t>
  </si>
  <si>
    <t>20GID0035 - Supply and Delivery of Safety Shoes and Jacket with hood for use in RoCOND survey and/or inspection of proposed and on-going projects within the district</t>
  </si>
  <si>
    <t>2020-07-999 "Procurement of Civil Works for the Rehabilitation of Bahay Pag-asa Development Center"</t>
  </si>
  <si>
    <t>Supply &amp; Delivery of Books for Day Care Pupils of the Municipality of Rosario, Cavite</t>
  </si>
  <si>
    <t>Purchase of PH Sensors etc of Design Devin ( RFQ 2020-4281)</t>
  </si>
  <si>
    <t>SUPPLY AND DELIVERY OF ELECTRICAL SUPPLIES FOR RESCUE OPERATION OF DRRMO</t>
  </si>
  <si>
    <t>2020-091, CONCRETING OF PAVEMENT AND DRAINAGE CANAL AT POBLACION 5, MIDSAYAP,  COTABATO</t>
  </si>
  <si>
    <t>Supply and Delivery of Two (2) Units Ambulance Re-bid</t>
  </si>
  <si>
    <t>BORDER RESTRICTION FOR BARANGAY (Barangay Check-Point) - PRENZA, BALAMBAN, CEBU</t>
  </si>
  <si>
    <t>Purchase of Seedlings for families with highest Incidence of Malnutrition,Botolan, Zambales</t>
  </si>
  <si>
    <t>Printing and Delivery of Wall Calendar with Metal Hanger Hook</t>
  </si>
  <si>
    <t>Supply and Delivery of Construction Supplies and Materials</t>
  </si>
  <si>
    <t>RFQ-DVO-PR.NO. 2007191 CAT. 61 TIRES, BATTERIES, ACCESSORIES</t>
  </si>
  <si>
    <t>20OA0077: Construction/Rehabilitation of Water Supply/Septage and Sewerage/Rain Water Collectors – Rain Water Collectors in Public Facilities, Navotas City.</t>
  </si>
  <si>
    <t>REQUEST FOR QUOTATION OF SUPPLIES &amp; MATERIALS FOR THE REHABILITATION OF BARANGAY MULTI-PURPOSE HALL PHASE-III</t>
  </si>
  <si>
    <t>Supply and Delivery of 50hp Vertical Submersible Pump &amp; Motor Assembly Stainless Steel ( G-056-0513-20 )</t>
  </si>
  <si>
    <t>procurement of fuel and lubricants/vice mayor's office</t>
  </si>
  <si>
    <t>Acquisition For Accounting Office</t>
  </si>
  <si>
    <t>PROCUREMENT OF VARIOUS I.T. EQUIPMENT</t>
  </si>
  <si>
    <t>Improvement of Drainage Canal between Catao Cmpd. and Marcela Ignacio Residence at Purok Pidaawan, Loakan Proper, Baguio City</t>
  </si>
  <si>
    <t>Supply and Delivery of Welding Rod and MS Plate for Repair Transfer Station &amp; MRF, CEMO, Marikina City</t>
  </si>
  <si>
    <t>Catering Services for the Procurement and delivery of meals and snacks for the 2020 Census of Population and Housing (CPH) Fourth Level Training – Municipality of Baliuag</t>
  </si>
  <si>
    <t>2020-095, SUPPLY AND DELIVERY OF VETERINARY MEDICINES TO PREVENT THE SPREAD OF AFRICAN  SWINE FEVER (ASF) AT LGU MIDSAYAP, COTABATO</t>
  </si>
  <si>
    <t>Materials for District Metered Area - Water Meter Clustering Project</t>
  </si>
  <si>
    <t>PROCUREMENT OF OFFICE APPLIANCES AND SUPPLIES</t>
  </si>
  <si>
    <t>Supply of Materials for the Improvement of Multi-Purpose Covered Court (24 meter Bleachers)</t>
  </si>
  <si>
    <t>Purchase of Aircon and Steel Filing Cabinet</t>
  </si>
  <si>
    <t>RFQ-DVO-PR.NO. 2007249 CAT. 25 FOOD AND CATERING SERVICES</t>
  </si>
  <si>
    <t>Supply and Delivery of Filling Materials</t>
  </si>
  <si>
    <t>PURCHASE 1 UNIT  AUTOCLAVE MACHINE FOR COVID-19 RESPONSE</t>
  </si>
  <si>
    <t>Purchase of chainsaw &amp; other supplies</t>
  </si>
  <si>
    <t>RFQ-DVO-PR.NO. 2007148  CAT. 6 AUTO REPAIR SHOP</t>
  </si>
  <si>
    <t>RFQ FOR LAPTOPS</t>
  </si>
  <si>
    <t>Improvement of Multi-Purpose Building</t>
  </si>
  <si>
    <t>Aircon Installation Services</t>
  </si>
  <si>
    <t>PROPOSED REHABILITATION OF LINE CANAL AT PUROK 2, 3 &amp; 6</t>
  </si>
  <si>
    <t>Cement,Gravel 3/4 dia,Sand</t>
  </si>
  <si>
    <t>SUPPLY AND DELIVERY OF VARIOUS MECHANICAL FITTINGS FOR POTABLE WATER</t>
  </si>
  <si>
    <t>Purchase of Computer of RRC ( RFQ 2020-4285)</t>
  </si>
  <si>
    <t>Repair and Maintenance of Heavy Equipment</t>
  </si>
  <si>
    <t>Supply and Delivery with Installation of Airconditioning Unit for various government offices</t>
  </si>
  <si>
    <t>Provision of meals and snacks for the meeting of the Chief Executive with the Local Government Employee</t>
  </si>
  <si>
    <t>RFQ No. 20-08-198 for PR No. 20-07-192</t>
  </si>
  <si>
    <t>SUPPLY OF LABOR, MATERIALS AND EQUIPMENT FOR THE PROPOSED BARANGAY ROAD CONCRETING AT SITIO-TIPOSO, BARANGAY BULASA, ARGAO, CEBU</t>
  </si>
  <si>
    <t>Procurement of supply and delivery of Agricultural Supplies</t>
  </si>
  <si>
    <t>PURCHASE OF FUEL AND LUBRICANTS</t>
  </si>
  <si>
    <t>Reproduction of Activity Sheet</t>
  </si>
  <si>
    <t>REPRODUCTION OF SELF LEARNING MODULES OF LAPASAN NATIONAL HIGH SCHOOL SHS DEPARTMENT</t>
  </si>
  <si>
    <t>Supply, delivery and installation of multi-function full color inkjet printer for the printing and reproduction of self-learning modules of the Kidapawan City Division</t>
  </si>
  <si>
    <t>RFQ-DVO-PR.NO. 2006296 CAT. 44 OFFICE SUPPLIES AND MATERIALS</t>
  </si>
  <si>
    <t>Procurement of Vehicle Tires</t>
  </si>
  <si>
    <t>program of work for the proposed project, "IMPROVEMENT OF DRAINAGE CANAL BLOCK 1 PUROK 14 LOWER" at Irisan Barangay, Baguio City.</t>
  </si>
  <si>
    <t>Aircon unit Split type 2.5HP</t>
  </si>
  <si>
    <t>OTHER SUPPLIES AND MATERIALS FOR THE REPRODUCTION OF SELF LEARNING MODULES</t>
  </si>
  <si>
    <t>Acquisition For Waste</t>
  </si>
  <si>
    <t>ESTABLISHMENT OF LIVELIHOOD PROJECT(PIGGERY)-PHASE I</t>
  </si>
  <si>
    <t>Procurement of Office Equipment Supplies and Consumables</t>
  </si>
  <si>
    <t>Acquisition For Uniform</t>
  </si>
  <si>
    <t>Purchase of Lab Supplies of  Genomics ( RFQ 2020-4294)</t>
  </si>
  <si>
    <t>REHABILITATION AND IMPROVEMENT OF WATER SUPPLY DISTRIBUTION SYSTEM AT BRGY PALDIT, SISON PANGASINAN</t>
  </si>
  <si>
    <t>RFQ 2020-08-0116 (DRONE)</t>
  </si>
  <si>
    <t>PR#20-07-0367 IT Equipment</t>
  </si>
  <si>
    <t>Supply and Delivery of Medical Supplies</t>
  </si>
  <si>
    <t>PURCHASE OF MULTI CAB</t>
  </si>
  <si>
    <t>PURCHASE OF LABORATORY SUPPLIES USED AT THE COVID ISOLATION CENTER AT CAUAYAN BUS TERMINAL, POBLACION, CAUAYAN, NEGROS OCCIDENTAL</t>
  </si>
  <si>
    <t>2020-0185-PR2020-0530 Rebid Procurement of Chilling Tub, Evisceration &amp; Inspection Table, Scalding &amp; Complete De-plucking Table, Chicken Feather Plucking Machine, Commercial Ice Maker Machine and Auto</t>
  </si>
  <si>
    <t>Procurement of 4 Cubic Chest Freezer</t>
  </si>
  <si>
    <t>PURCHASE OF OFFICE SUPPLIES AND DEVICES FOR BUSINESS AFFAIRS OFFICE</t>
  </si>
  <si>
    <t>RFQ NO. J2020-07-0467 RPMO and ACT Office Supplies for 2nd Semester of 2020</t>
  </si>
  <si>
    <t>MOOE 2020 3RD QUARTER SCHOOL AND OFFICE SUPPLIES</t>
  </si>
  <si>
    <t>OTHER SUPPLIES FOR PANTAWID PAMILYANG PILIPINO PROGRAM RPMO SUPPLIES</t>
  </si>
  <si>
    <t>PRINTING OF MSC ANNUAL REPORT 2019</t>
  </si>
  <si>
    <t>Peer Education Training</t>
  </si>
  <si>
    <t>RFQ-DVO-PR.NO. 2007187-A CAT. 6 AUTO REPAIR SHOP</t>
  </si>
  <si>
    <t>Purchase Office Supply</t>
  </si>
  <si>
    <t>Catering Services for the Procurement and delivery of meals and snacks for the 2020 Census of Population and Housing (CPH) Fourth Level Training – Municipality of Bocaue</t>
  </si>
  <si>
    <t>PURCHASE OF GOODS FOR THE 10TH CYCLE SUPPLEMENTARY FEEDING PROGRAM IN TINGLAYAN, KALINGA</t>
  </si>
  <si>
    <t>SUPPLY, DELIVERY AND INSTALLATION OF COUNTER COVER FOR RECEIVING (RECORDS SECTION) RFQ NO. EMB-EMB-PGSS 2020-0102-08-4-2020 PR NO.2020-0667</t>
  </si>
  <si>
    <t>PR 20-07-0091 Supply and Delivery of Common Laboratory Equipment’s, Quality and Assurance Section, DPWH-Bohol III, DEO</t>
  </si>
  <si>
    <t>Purchase of materials for the establishment of MRF</t>
  </si>
  <si>
    <t>PROCUREMENT OF OFFICE SUPPLIES (MAYOR'S OFFICE)</t>
  </si>
  <si>
    <t>UPGRADING/ IMPROVEMENT OF LEGISLATIVE BUILDING, CAPITOL COMPOUND</t>
  </si>
  <si>
    <t>SUPPLY &amp; DELIVERY OF MISCELLANEOUS EXPENSES FOR 3rd QUARTER, 2020 IN THE OFFICE OF THE MUNICIPAL MAYOR</t>
  </si>
  <si>
    <t>REHABILITATION OF VARIOUS BRGY. ROAD MUNICIPAL WIDE (BACKFILL MATERIAL) @ BRGY. APOLOY, BRGY. MANTIQUIL, BRGY. BONAWON AND BRGY. CASALAAN (RE-BIDDING)</t>
  </si>
  <si>
    <t>PURCHASE OF MATERIALS FOR THE PROPOSED WIRING INSTALLATION (FROM GENERATOR SET TO MAYOR’S OFFICE)</t>
  </si>
  <si>
    <t>Supply and Delivery of RFIQU Tactical Pants, Field Uniform Longsleeve and Polo Shirt</t>
  </si>
  <si>
    <t>20GDF0022 (RFQ) - Purchasing of Various Materials for the Repair and Maintenance of Various Vehicles and Equipment used in the Maintenance of National Roads under Cavite 1st DEO, Trece Martires City</t>
  </si>
  <si>
    <t>Supply and Delivery of Appliances</t>
  </si>
  <si>
    <t>For MHO Maintenance of equipment and rhu rescue vehicle</t>
  </si>
  <si>
    <t>Procurement of Office Equipment for Provincial Social Welfare Development Office.</t>
  </si>
  <si>
    <t>Training on Vaccines, Cold Chain and Logistics Management</t>
  </si>
  <si>
    <t>Procurement of Office Equipment</t>
  </si>
  <si>
    <t>Materials for Rehabilitation of Virgin St. Distribution Pipeline Project</t>
  </si>
  <si>
    <t>2020-08-405 CANVASS ON JANITORIAL SUPPLIES</t>
  </si>
  <si>
    <t>Cement,Gravel 3/4 dia,Sand,10mm RSB</t>
  </si>
  <si>
    <t>Repair of Heavy Equipment (Road Grader)</t>
  </si>
  <si>
    <t>To provide meal and snacks for the conduct of RRCY 3rd Quarter Socialization for Residents and Staff</t>
  </si>
  <si>
    <t>RFQ No. 20-08-200 for PR No. 20-07-194</t>
  </si>
  <si>
    <t>PURCHASE OF MATERIALS FOR THE IMPROVEMENT OF COVERED COURT METAL CLADDING PHASE 1 &amp; 2</t>
  </si>
  <si>
    <t>Supply and Delivery of Various Machineries</t>
  </si>
  <si>
    <t>INVITATION TO BID-SUPPLY OF MATERIALS-WATER SYSTEM</t>
  </si>
  <si>
    <t>PURCHASE OF SUPPLIES USED AT MHO/ISOLATION CENTER, MUNICIPALITY OF CAUAYAN, NEGROS OCCIDENTAL</t>
  </si>
  <si>
    <t>RFQ No. 20-07-021 7,200 containers Mineral Water</t>
  </si>
  <si>
    <t>REQUEST FOR QUOTATION FOR SUPPLY AND PRINTING OF SEED TAG</t>
  </si>
  <si>
    <t>2020-05-693 "Procurement of Goods for Repainting of Capitol Old and New Building (Exterior Surface)"</t>
  </si>
  <si>
    <t>SAN LORENZO ES CASH ADVANCE MOOE  for July and August 2020</t>
  </si>
  <si>
    <t>PROCUREMENT OF IT PARTS AND ACCESSORIES FOR THE INTERNET CONNECTION OF THE DIFFERENT OFFICES</t>
  </si>
  <si>
    <t>PURCHASE OF SEMI-PERISHABLE GOODS FOR THE 10TH CYCLE SUPPLEMENTARY FEEDING PROGRAM IN MANKAYAN, BENGUET</t>
  </si>
  <si>
    <t>Purchase of Fire Fighter Equipment</t>
  </si>
  <si>
    <t>Purchase &amp; Delivery of Alcohol for LGU</t>
  </si>
  <si>
    <t>Procurement and Delivery of 1 Unit 6-Wheeler Mini Dump Truck</t>
  </si>
  <si>
    <t>Procurement of ICT Equipment</t>
  </si>
  <si>
    <t>REP. OF SLIDING GLASS</t>
  </si>
  <si>
    <t>PROCUREMENT OF COMPUTER</t>
  </si>
  <si>
    <t>RFQ-DVO-PR.NO. 2007141 CAT. 61 TIRE, BATTERIES AND ACCESSORIES</t>
  </si>
  <si>
    <t>One (1) Lot – Hiring of Service Provider for the  Crafting of the Documents Necessary for the BSP Head Office’s Certification under the Building for Ecologically Responsive Design Excellence - Green B</t>
  </si>
  <si>
    <t>To support the proc of Two Hundred (200) ea Alcohol, Isoprophyl and 10 other L/I for use in the "Check C" Sched Maint of F-27 acft with tail nr 259.</t>
  </si>
  <si>
    <t>Purchase of Sequencing Grade Trysin etc of Mussel Biotechnology ( RFQ 2020-4305</t>
  </si>
  <si>
    <t>Supply and Installation of Roll-up Door for Circulating Mechanical Dryer Shed (Phase 2)</t>
  </si>
  <si>
    <t>MEDICAL EQUIPMENT, Covid Test Lab</t>
  </si>
  <si>
    <t>PERSONAL PROTECTIVE EQUIPMENT AND MEDICAL SUPPLIES FOR THE SCHOOL</t>
  </si>
  <si>
    <t>REQUEST FOR QUOTATION</t>
  </si>
  <si>
    <t>Procurement of Supplies and Inks for the Reproduction of Learning Materials</t>
  </si>
  <si>
    <t>Labor and Materials Repair of ISUZU BOOM TRUCK (CR3732) per RFQ-170-2020-ED</t>
  </si>
  <si>
    <t>RFQ NO. J2020-07-0483 Regional Fiduciary Workshop cum Regional Liquidation Workshop for 26 Municipalities (Class 1-3), etc</t>
  </si>
  <si>
    <t>procurement and delivery of construction supplies and materials for the repair/improvement of drainage canal</t>
  </si>
  <si>
    <t>Pontor (Water System) Barangay Ninoy Aquino, Kalilangan, Bukidnon</t>
  </si>
  <si>
    <t>REPAIR AND MAINTENANCE OF PUBLIC BLDG. (2)</t>
  </si>
  <si>
    <t>RFQ-DVO-PR.NO. 2007084 CAT. 6 AUTO REPAIR SHOP</t>
  </si>
  <si>
    <t>SUPPLY AND DELIVERY OF CONSTRUCTION MATERIALS AND SUPPLIES FOR CONSTRUCTION/IMPROVEMENT OF SEEDLING NURSERY FACILITIES</t>
  </si>
  <si>
    <t>RFQ-DVO-PR.NO. 2006343 CAT. 80 FUEL, OIL, LUBRICANTS AND SERVICING</t>
  </si>
  <si>
    <t>Construction of Food Court @ Tabango Seafront Park/ Plaza</t>
  </si>
  <si>
    <t>Purchase of Sequencing Services of Clarias Macrocepahlus ( RFQ 2020-4306)</t>
  </si>
  <si>
    <t>RFQ#20-06-0107-Delivery of Agricultural Supplies for SciCAT Project</t>
  </si>
  <si>
    <t>supply &amp; del. of IT equipment for CHED-IDIG Program: Balik-Scientist Program for the Northern Sierra Madre Barcodes of Life</t>
  </si>
  <si>
    <t>PROCUREMENT OF MATERIALS FOR REPAIR AND MAINTENANCE OF MUNICIPAL AMBULANCE (FOTON)</t>
  </si>
  <si>
    <t>To provide meal and snacks for the conduct of Building Team Synergy for RRCY Staff</t>
  </si>
  <si>
    <t>Housing &amp; Resettlement Project Access Road to LGU Lot No. 2793, Mabua, Tandag City</t>
  </si>
  <si>
    <t>IMPROVEMENT OF LIBERTAD WATERWORKS SYSTEM          (Purok 8, Poblacion Libertad, Mis.Or)</t>
  </si>
  <si>
    <t>Procurement of office supplies for the official use of Mt. Kitanglad Range Natural Park</t>
  </si>
  <si>
    <t>PURCHASE OF CONSTRUCTION MATERIALS FOR SAN ANDRES ES</t>
  </si>
  <si>
    <t>Procurement of Printing Services for Modules for Kindergarten of DepEd - CDOC SY 2020-2021</t>
  </si>
  <si>
    <t>EPI Basic Skills Training</t>
  </si>
  <si>
    <t>REPOSTING OF PROCUREMENT OF ANTIVIRUS SOFTWARE</t>
  </si>
  <si>
    <t>Purchase of Various Medicines</t>
  </si>
  <si>
    <t>Catering Services for the Procurement and delivery of meals and snacks for the 2020 Census of Population and Housing (CPH) Fourth Level Training – Municipality of Bulakan</t>
  </si>
  <si>
    <t>PROCUREMENT OF OUTDOOR PROJECTOR</t>
  </si>
  <si>
    <t>PURCHASE OF OFFICE EQUIPMENTS, OFFICE SUPPLIES, DEVICES, AND CONSUMABLES FOR VARIOUS OFFICES</t>
  </si>
  <si>
    <t>RFQ - Procurement of Goods: Medical &amp; Laboratory Supplies for the use of CMO -Admin (Anti Drug Abuse Program) (PR#100-20-08-0014)</t>
  </si>
  <si>
    <t>Laptop For the use of Social Pension Unit for the implementation of its program</t>
  </si>
  <si>
    <t>Procurement and Delivery of Office/School Supplies, Materials and Consumables</t>
  </si>
  <si>
    <t>cash advance for the month of april to june 2020</t>
  </si>
  <si>
    <t>Purchase of Office Equipment 2020-05-0179</t>
  </si>
  <si>
    <t>Procurement of Labor Services (PR. No 2007957)</t>
  </si>
  <si>
    <t>Procurement of Drugs and Medicines for Cortes Municipal Hospital Pharmacy. (4th Quarter)</t>
  </si>
  <si>
    <t>PURCHASE OF AIR CONDITIONING UNITS FOR THE VARIOUS OFFICES</t>
  </si>
  <si>
    <t>RFQ No. 20-08-022 1 lot Hardware Supplies</t>
  </si>
  <si>
    <t>Supply and Delivery of supplies for monitoring and surveillance activity: Physical Fitness Test</t>
  </si>
  <si>
    <t>PROCUREMENT FOR JANITORIAL SUPPLIES P.R NO. 0714 SERIES 2020</t>
  </si>
  <si>
    <t>EXTERIOR CEILING (SPANDRELL WORKS AT SECOND FLOOR-MAIN BUILDING)</t>
  </si>
  <si>
    <t>Supply and Delivery of IT Equipment to be used at the City Human Resource Management Office of the City of San Fernando, Pampanga</t>
  </si>
  <si>
    <t>Electrical maintenance - PPD</t>
  </si>
  <si>
    <t>Fabrication and Installation of Stainless cut-out</t>
  </si>
  <si>
    <t>Construction of 2.40 m X 1.80 m  2 - Comfort Room at Covered Court, Kipit, Labason, ZN.</t>
  </si>
  <si>
    <t>LOCAL SCHOOL BOARD TALUSAN ELEMEN.SCHOOL</t>
  </si>
  <si>
    <t>Emergency Repair of DOST8 Conference Room</t>
  </si>
  <si>
    <t>CONSTRUCTION OF MULTI PURPOSE HALL PHASE III(BRGY.LABIT, VILLASIS, PANGASINAN)</t>
  </si>
  <si>
    <t>REQUEST FOR QUOTATION FOR REPLACEMENT OF TURN TABLE OF HITACHI BACKHOE UH07 W/ PROP #15-14 ASSIGNED AT ALARIS</t>
  </si>
  <si>
    <t>RFQ-DVO-PR.NO. 2007205 CAT. 10 COMPUTER EQUIPMENT AND ACCESSORIES</t>
  </si>
  <si>
    <t>Procurement of Office Supplies for the Operational use  of BFP Caraga Region</t>
  </si>
  <si>
    <t>RICE20-01-14-0163 Supply and Delivery Geothicnical Instrument.</t>
  </si>
  <si>
    <t>Purchase of Relief Goods</t>
  </si>
  <si>
    <t>4 pcs Printer, Print, Scan &amp; Copy with Built-in Wireless and other items for enhancement of the educational learning of Piapi High school.</t>
  </si>
  <si>
    <t>contrauction materials and educational supplies</t>
  </si>
  <si>
    <t>Office Supplies for use of Listahanan 3 Validation Activities</t>
  </si>
  <si>
    <t>RFQ - Procurement of Goods: Various Supplies for the use of CMO - Admin CADAC Program (OPLAN ALSA MASA) (PR#100-20-08-0013)</t>
  </si>
  <si>
    <t>Equipage for emergency operation center, Dadivas Civic Center, Brgy. Pob. Ilawod, Panitan, Capiz Lot 1 (Mayors Office Capital Outlay) Repost</t>
  </si>
  <si>
    <t>Purchase of Office Equipment</t>
  </si>
  <si>
    <t>Medical Supplies to be used as support in the 2020 Brigada Eskwela and Oplan Eskwela</t>
  </si>
  <si>
    <t>OFFICE FURNITURES-INTENDED FOR DRMD OTHER OFFICE SUPPLIES</t>
  </si>
  <si>
    <t>Construction of Street Lights</t>
  </si>
  <si>
    <t>Fuel for Road Graveling from boundary Buton to Luka</t>
  </si>
  <si>
    <t>RFQ-DVO-PR.NO. 2006442 CAT. 13 COMPUTER SUPPLIES AND MATERIALS</t>
  </si>
  <si>
    <t>PROCUREMENT OF 1 UNIT AMBULANCE</t>
  </si>
  <si>
    <t>Catering Services for the Procurement and delivery of meals and snacks for the 2020 Census of Population and Housing (CPH) Fourth Level Training – Municipality of Bustos</t>
  </si>
  <si>
    <t>For Nutrition Office  for Nutrition in Emergencies Feeding Program</t>
  </si>
  <si>
    <t>Supply and Delivery of Laboratory Supply at PGBICH (3rd Quarter 2020)</t>
  </si>
  <si>
    <t>PURCHASE OF OFFICE AND SCHOOL SUPPLIES FOR STA. INES ES</t>
  </si>
  <si>
    <t>PLUMBING MAINTENANCE - PPD</t>
  </si>
  <si>
    <t>RFQ: Procurement for the upgrading and replacement of existing laptops of DILG XI Personnel</t>
  </si>
  <si>
    <t>PROCUREMENT FOR THE 4,440 LITERS OF DIESOLINE FOR THE ALIGNMENT OF RIVER AT NURSERY BRGY. POBLACION BSK</t>
  </si>
  <si>
    <t>RENT TO OWN for 5 Months . For the digitization of documents/records of the Regional and Provincial Offices, as part of the shift to Online Document Management System as response to Covid-19 Pandemic</t>
  </si>
  <si>
    <t>Request For Quotation-8FAU</t>
  </si>
  <si>
    <t>Construction Materials for DICT-MC3 STORE ROOM</t>
  </si>
  <si>
    <t>To support for the procurement of three (3) gallons Epoxy Primer with PN: MIL-PRF-2377/FS 1105/Akzo Nobel 10P8-11/EC-286 and 3 other L/I for use of N22B.</t>
  </si>
  <si>
    <t>COMPREHENSIVE PREVENTIVE MAINTENANCE FOR THE AUDIO VISUAL SYSTEM AT THE CAFETERIA, MARBLE HALL AND OSMENA THEATER OF THE BUREAU OF THE TREASURY</t>
  </si>
  <si>
    <t>RFQ - Procurement of Goods: Office Supplies for the use of CMO - Admin (Anti Drug Abuse Program) (PR#100-20-08-0015)</t>
  </si>
  <si>
    <t>Repair &amp; Maintenance of Ambulance</t>
  </si>
  <si>
    <t>For Araw ng Cabanglasan 2020</t>
  </si>
  <si>
    <t>RHU Medical Supplies</t>
  </si>
  <si>
    <t>Construction of Cabasan Pallay Road</t>
  </si>
  <si>
    <t>Supply and Delivery of Electrical Supplies for Installation of 10KVA Transformer</t>
  </si>
  <si>
    <t>Load Assessment of RHU Building</t>
  </si>
  <si>
    <t>Supply and Delivery of Disposable Face Mask for IATF-Tarlac City use</t>
  </si>
  <si>
    <t>2020-07-1004 "Procurement of Works for the Construction of Multi-Purpose Building at Provincial Engineer's (PEO)"</t>
  </si>
  <si>
    <t>PURCHASE OF FOOD SUPPLIES AND MATERIALS FOR CATERING SERVICE</t>
  </si>
  <si>
    <t>Digital Voice Recorder, etc..</t>
  </si>
  <si>
    <t>Implementation of the Pangkabuhayan at Pag bangon at Ginhawa (PBG) in the Province of Cagayan through the provision of Livelihood Kits (Sari-sari Store Package) to eligible/qualified MSME-Beneficiarie</t>
  </si>
  <si>
    <t>RFQ-DVO-PR.NO. 2007199 CAT. 10 COMPUTER EQUIPMENT AND ACCESSORIES</t>
  </si>
  <si>
    <t>RFQ-DVO-PR.NO. 2007194 CAT. 10 COMPUTER EQUIPMENT AND ACCESSORIES</t>
  </si>
  <si>
    <t>PROCUREMENT OF CELLCARDS FOR THE MUNICIPAL OFFICIALS &amp;   EMPLOYEES OF LGU DUMALNEG</t>
  </si>
  <si>
    <t>PROCUREMENT FOR MEDICAL SUPPLIES P.R NO. 0718 SERIES 2020</t>
  </si>
  <si>
    <t>Food, Venue and Accommodation for the Conduct of Training of Trainers (TOT) on Extension Delivery System for Agricultural Extension Workers on October 12-16, 2020 at Butuan City</t>
  </si>
  <si>
    <t>Construction Services for Water System Rehabilitation and Improvement</t>
  </si>
  <si>
    <t>Supply and Delivery of Anti-Rabies Vaccines for Animal Bite Treatment Use</t>
  </si>
  <si>
    <t>OFFice Supplies for Reproduction of Modules</t>
  </si>
  <si>
    <t>Supply and Delivery of Office Equipment for Municipal Engineering Office</t>
  </si>
  <si>
    <t>MEALS AND SNACKS</t>
  </si>
  <si>
    <t>RFQ No. 20-08-201 for PR No. 20-07-195</t>
  </si>
  <si>
    <t>Installation of Upgraded Local Government System and Purchase of Read and Bill</t>
  </si>
  <si>
    <t>Supply &amp; Delivery of Construction Materials &amp; Supplies for the Demolition &amp; Relocation of Residential House (Phase II) at Various Barangays Tabaco City</t>
  </si>
  <si>
    <t>20GDKJ0098</t>
  </si>
  <si>
    <t>Rehabilitation/Improvement of Freedom Park (Phase I)</t>
  </si>
  <si>
    <t>IMPROVEMENT OF LIBERTAD WATERWORKS SYSEM</t>
  </si>
  <si>
    <t>ADAPTER FOR QUOTATION</t>
  </si>
  <si>
    <t>PROCUREMENT OF VARIOUS CONSTRUCTION MATERIALS FOR THE CONSTRUCTION OF BOX CULVERT AT UPPER ALAS-AS BRGY.MASIAG BSK</t>
  </si>
  <si>
    <t>Supply and Delivery of Fuel  for use in the Maintenance of National Roads and Bridges</t>
  </si>
  <si>
    <t>Purchase of 1 Unit Air Conditioner</t>
  </si>
  <si>
    <t>Supply and Delivery of Animals and Feeds</t>
  </si>
  <si>
    <t>Purchase of 1-unit Printer of Barangay Imelda, Bato, Leyte</t>
  </si>
  <si>
    <t>RFQ-DVO-PR.NO. 2007234 CAT. 12 COMPUTER SOFTWARE</t>
  </si>
  <si>
    <t>DELIVERY/SUPPLY FOR THE IMPROVEMENT OF MULTI-PURPOSE HALL, DISTRICT 2, DAUIN.</t>
  </si>
  <si>
    <t>PURCHASE OF MOTORCYCLE FOR UBAY FIRE STATION OFFICE</t>
  </si>
  <si>
    <t>Supply and delivery of fuel and oil for the maintenance of barangay road at barangay Kauswagan, Matanao, Davao del Sur</t>
  </si>
  <si>
    <t>Procurement of Photocopier Machine and Toner</t>
  </si>
  <si>
    <t>Transfer of Airconditioning</t>
  </si>
  <si>
    <t>REPRODUCTION OF SELF LEARNING MODULES OF LAPASAN NATIONAL HIGH SCHOOL SHS DEPARTMENT Q1 MONTH 1</t>
  </si>
  <si>
    <t>REQUEST FOR QUOTATION-SUPPLY AND DELIVERY OF MATERIALS FOR 3 PHASE PRIMARY LINE EXTENSION</t>
  </si>
  <si>
    <t>IMPROVEMENT OF NIA ACCESS ROAD TO CARAA GROUND</t>
  </si>
  <si>
    <t>Supply &amp; Delivery of Construction Materials for the Rehab/Repair of Office at City Hall Bldg City Annex Tabaco City</t>
  </si>
  <si>
    <t>CONDUCT ORIENTATION ADVOCACY AWARENESS ON RA 9208 10364 TRAFFICKING IN PERSON</t>
  </si>
  <si>
    <t>HOTEL ACCOMMODATION AND MEALS FOR 3-DAY PQA WORKSHOP</t>
  </si>
  <si>
    <t>EQUIPMENT RENTAL, RELOCATION SITE EARTH WORKS OF LOT 332-B-5 &amp; LOT 332-B-9, BARANGAY AYUNGON, LA CARLOTA  CITY</t>
  </si>
  <si>
    <t>PR#20-07-0368 Office supplies (INK)</t>
  </si>
  <si>
    <t>Supply and Delivery of Equipments for Criminology Laboratory (IC) Rebidding</t>
  </si>
  <si>
    <t>Procurement of Tiles and Tile Adhesive for TESDA MIMAROPA Regional Office and TESDA Oriental Mindoro Provincial Office- Tiles of newley erected building at Tawiran, Calapan City.</t>
  </si>
  <si>
    <t>20GCH0014: Procurement of Diesel for use of Government Service Vehicles &amp; Equipment at DPWH Pampanga 2nd DEO, San Antonio, Guagua, Pampanga (Maintenance Section for the 3rd Quarter CY-2020)</t>
  </si>
  <si>
    <t>Batteries (3rd Rebid)</t>
  </si>
  <si>
    <t>1 UNIT VACUUM CLEANER HEAVY DUTY</t>
  </si>
  <si>
    <t>AUTO SPARE PARTS</t>
  </si>
  <si>
    <t>RFQ: Implementation of the Communicating for Perpetual End for Extreme Violence and Forming Alliance Towards Positive Peace and Enriched Communities (C4PEACE) Program in Region XI</t>
  </si>
  <si>
    <t>20GAC0034 - Conduct of Axle Load Survey Along National Road</t>
  </si>
  <si>
    <t>Procurement of Supplies for the School Opening SY 2020-2021</t>
  </si>
  <si>
    <t>PROCUREMENT OF OFFICE SUPPLIES (CONSUMABLES ) FOR LEARNING RESOURCES</t>
  </si>
  <si>
    <t>Procurement of Foodstuff (MTC Foodstuff)</t>
  </si>
  <si>
    <t>HARDWARE MATERIALS</t>
  </si>
  <si>
    <t>Supply and Delivery of Hardware Materials</t>
  </si>
  <si>
    <t>Supply, Delivery &amp; Installation of Split Type Air Conditioner- Zamboanga Sibugay IMO</t>
  </si>
  <si>
    <t>Supply and Delivery of Duplicating Machine intended for the Reproduction of Learning Modules of Don Carlos District I</t>
  </si>
  <si>
    <t>Supply and Delivery of Books for Criminology Program (IC)</t>
  </si>
  <si>
    <t>PROCUREMENT OF VARIOUS CONSTRUCTION MATERIALS FOR THE LEVEL III POTABLE WATER SYSTEM AT BRGY. DALUGA BSK</t>
  </si>
  <si>
    <t>Ozamiz City, Misamis Occidental HFEP 2019 Proposed New Construction of Bañadero MCP</t>
  </si>
  <si>
    <t>Water Meter 20mm non-reversible (branded) 20-08-0001</t>
  </si>
  <si>
    <t>RFQ - Procurement of Goods: Const'n Materials &amp; Supplies for the use of CMO (Rehabilitation of Multi-Purpose Bldg. - Enhancement of Open Arena) (PR#100-20-07-0207)</t>
  </si>
  <si>
    <t>PROCUREMENT ON SUPPLY AND DELIVERY OF YEARBOOK PRINTING</t>
  </si>
  <si>
    <t>20M0012-13 Procurement of Construction Materials Materials for the use various of Repair/Improvement in Marantao, Lanao del Sur</t>
  </si>
  <si>
    <t>CONSTRUCTION OF PATHWAY, BALBALAN PROPER</t>
  </si>
  <si>
    <t>Construction of Sanitary Landfill, Brgy. Upper Katungal, Tacurong City</t>
  </si>
  <si>
    <t>SUPPLY AND DELIVERY OF INFORMATION TECHNOLOGY (I,T.) EQUIPMENTS, OFFICE EQUIPMENTS, FURNITURE AND FIXTURES, OTHER PERIPHERALS AND CONSUMABLES</t>
  </si>
  <si>
    <t>Purchase of 1-unit Generator Set</t>
  </si>
  <si>
    <t>PROCUREMENT ON SUPPLY AND DELIVERY OF CSUCC APPLIANCES</t>
  </si>
  <si>
    <t>RFQ-DVO-PR.NO. 2007187 CAT. 42  OFFICE EQUIPMENT</t>
  </si>
  <si>
    <t>PROCUREMENT OF COMMUNICATION EQUIPMENT</t>
  </si>
  <si>
    <t>20GCH0015: Procurement of Diesel for use of Government Service Vehicles &amp; Equipment at DPWH-Pampanga 2nd DEO, San Antonio, Guagua, Pampanga (Maintenance Section for the 4th Quarter CY-2020)</t>
  </si>
  <si>
    <t>Procurement of Janitorial Supplies</t>
  </si>
  <si>
    <t>PR#20-08- 0373 Construction materials</t>
  </si>
  <si>
    <t>Office Equipment Parts and Accessories</t>
  </si>
  <si>
    <t>Vehicle repair &amp; maintenance</t>
  </si>
  <si>
    <t>20GAC0035 - Purchase of BMS Equipment and Kits for Bridge and Management System Activities</t>
  </si>
  <si>
    <t>DANGCAGAN NHS-MAIN-JUNIOR HIGH SCHOOL (MATERIALS, SUPPLIES, FOR OFFICE AND SCHOOL OPERATIONS FOR THE MONTH OF JANUARY TO MARCH 2020).</t>
  </si>
  <si>
    <t>DELIVERY/SUPPLY FOR THE CONSTRUCTION OF COMFORT ROOM AT MAAYUNGTUBIG WHARF</t>
  </si>
  <si>
    <t>REQUEST FOR QUOTATION FOR USE OF PMO - RO OFFICE</t>
  </si>
  <si>
    <t>Supply, Delivery and Installation of Koppel Aircondition Parts for the Office of Admission</t>
  </si>
  <si>
    <t>Purchase of Food Supplies for Nutrition-Negotiated Procurement</t>
  </si>
  <si>
    <t>For the Fabrication of 3 - Sets Garbage Bin at Barangay Asinan, Bugallon, Pangasinan</t>
  </si>
  <si>
    <t>General Repair</t>
  </si>
  <si>
    <t>Project Tuloy ang Edukasyon para sa Batang SES,Procurement of office supply</t>
  </si>
  <si>
    <t>Water Service Connection Materials / Fittings 20-08-0002</t>
  </si>
  <si>
    <t>Supply and delivery of 20 pcs - Heavy Duty Plastic Pallets as per PR 20-06-0341</t>
  </si>
  <si>
    <t>PURCHASE OF OFFICE AND SCHOOL SUPPLIES FOR ANISLAGAN ES</t>
  </si>
  <si>
    <t>Purchase of Materials for the Concreting of Road at Brgy. Calima</t>
  </si>
  <si>
    <t>SUPPLY, DELIVERY AND INSTALLATION OF COMMUNITY-BASED EARLY WARNING SIGNAGES</t>
  </si>
  <si>
    <t>PROCUREMENT ON SUPPLY AND DELIVERY OF FURNITURE AND FIXTURE</t>
  </si>
  <si>
    <t>supply and Delivery of Medicines for the use of Provincial Health Office</t>
  </si>
  <si>
    <t>PIKCOT-SUPP-002020-0164 (SUPPLY AND DELIVERY OF OFFICE EQUIPMENT)</t>
  </si>
  <si>
    <t>PROC-20-COIN BAGS</t>
  </si>
  <si>
    <t>Repair and Maintenance for PNP Vehicle - PNP</t>
  </si>
  <si>
    <t>PROCUREMENT OF SCHOOL AND OFFICE SUPPLIES THROUGH MOOE</t>
  </si>
  <si>
    <t>RFQ-DVO-PR.NO. 2007301 CAT. 41.1 ELECTRONIC CONSUMABLES</t>
  </si>
  <si>
    <t>One (1) Unit Computer Set with Complete Accessories</t>
  </si>
  <si>
    <t>Ozamiz City, Misamis Occidental HFEP 2019 Proposed New Construction of San Roque BHS</t>
  </si>
  <si>
    <t>IMPROVEMENT OF DRAINAGE SYSTEM - NARRA ST.</t>
  </si>
  <si>
    <t>SUPPLY &amp; DELIVERY OF MEDICAL SUPPLIES</t>
  </si>
  <si>
    <t>CONSTRUCTION OF LOCAL ACCESS ROAD (BRGY. BAGACAY WEST-PANSUD ROAD)</t>
  </si>
  <si>
    <t>PROCUREMENT OF FUEL (COVID19 PANDEMIC)</t>
  </si>
  <si>
    <t>IMPROVEMENT OF BUSINESS CENTER BUILDING I &amp; II</t>
  </si>
  <si>
    <t>PROCUREMENT FOR MEDICAL EQUIPMENT P.R NO. 0719 SERIES 2020</t>
  </si>
  <si>
    <t>Supply &amp; Delivery of Petroleum, Oil and Lubricants</t>
  </si>
  <si>
    <t>PR1000033064 PLATFORM TRUCK</t>
  </si>
  <si>
    <t>Supply and Delivery of variois Medical and Non-Medical Books</t>
  </si>
  <si>
    <t>Catering Services for the Procurement and delivery of meals and snacks for the 2020 Census of Population and Housing (CPH) Fourth Level Training – Municipality of Calumpit</t>
  </si>
  <si>
    <t>Fuel</t>
  </si>
  <si>
    <t>Supply of Drugs and Medicines for Paracelis District Hospital</t>
  </si>
  <si>
    <t>REPAIR/CLEANING OF AIRCON AND MAINTENANCE OF MUNICIPAL SERVICE VEHICLE</t>
  </si>
  <si>
    <t>Printing of Learning Modules</t>
  </si>
  <si>
    <t>Supplies</t>
  </si>
  <si>
    <t>Procurement of Sticker</t>
  </si>
  <si>
    <t>20GAC0036 - Purchase of RBIA Kits for Road and Bridge Information Application Activities</t>
  </si>
  <si>
    <t>Ozamiz City, Misamis Occidental HFEP 2019 Proposed New Construction of Labo MCP</t>
  </si>
  <si>
    <t>REHABILITATION OF DRAINAGE SYSTEM</t>
  </si>
  <si>
    <t>CONSTRUCTION OF DRAINAGE CANAL, TAWANG</t>
  </si>
  <si>
    <t>CONSTRUCTION OF WATER WORKS SYSTEM, SAN FRANCISCO</t>
  </si>
  <si>
    <t>PROCUREMENT OF SELF LEARNING MODULES (SLMs) FOR SENIOR HIGH SCHOOL STUDENTS OF VARIOUS PUBLIC SCHOOLS IN THE CITY OF DASMARIÑAS</t>
  </si>
  <si>
    <t>Supply and delivery of office equipment for use in the BS Physics Laboratory of ISU Cabagan</t>
  </si>
  <si>
    <t>Supplies and Materials for Communiy Based Training on Raise Free Range Chicken at Sitio Luyan, Brgy. Tambobong, Baguio Dist. Davao City, Tapak Tawan Tawan, Baguio Dist. Davao City and Brgy. Saliducon</t>
  </si>
  <si>
    <t>REPRODUCTION/RISOGRAPH OF FORMS (4 RMS. APPLICATION FORM)</t>
  </si>
  <si>
    <t>RFQ - Procurement of Spare Parts</t>
  </si>
  <si>
    <t>PROCUREMENT ON SUPPLY AND DELIVERY KITCHENWARE FOR CTHM LABORATORY</t>
  </si>
  <si>
    <t>Vehicle Repair &amp; Maintenance</t>
  </si>
  <si>
    <t>PR#20-07-0369 IT equipments</t>
  </si>
  <si>
    <t>Supply and Delivering of Food Stuff for Disaster/ Calamity</t>
  </si>
  <si>
    <t>INSTALLED CCTV CAMERA</t>
  </si>
  <si>
    <t>Procurement of Materials for Repair of Classrooms</t>
  </si>
  <si>
    <t>Spareparts</t>
  </si>
  <si>
    <t>Purchase of Two Sets Hand Tractor with Tools and Complete Accessories</t>
  </si>
  <si>
    <t>20-02-219a_Medicine supplies for MSUN Infirmary use.</t>
  </si>
  <si>
    <t>PROCUREMENT ON SUPPLY AND DELIVERY OF MUSICAL INSTRUMENT</t>
  </si>
  <si>
    <t>Supply and Delivery of Office Supplies</t>
  </si>
  <si>
    <t>SUPPLY AND DELIVERY  FOR THE PROCUREMENT  OF TWO COMPLETE SETS  4TB CCTV DIGITAL VIDEO  RECORDER (DVR)</t>
  </si>
  <si>
    <t>RFQ Repair and Maintenance of Horiba U-50 Series or its Equivalent Water Quality Checker</t>
  </si>
  <si>
    <t>Construction of Water Pump and Gen. Set House</t>
  </si>
  <si>
    <t>Filling Materials for maintenance of Access Road</t>
  </si>
  <si>
    <t>Generator Set Accessories</t>
  </si>
  <si>
    <t>RFQ-DVO-PR.NO. 2007188 CAT. 52 RADIO COMMUNICATIONS EQUIPMENT</t>
  </si>
  <si>
    <t>20R002-03 Rental of Heavy Equipment for the use various of Repair/Improvement in Marantao, Lanao del Sur</t>
  </si>
  <si>
    <t>63 LITERS DIESEL</t>
  </si>
  <si>
    <t>Supply and delivery with installation of Air-Cons for use in the newly constructed building of ISU Cabagan</t>
  </si>
  <si>
    <t>CONSTRUCTION OF 65LM SLOPE PROTECTION OF PUROK 3 PHASE II</t>
  </si>
  <si>
    <t>Veterinary Supplies</t>
  </si>
  <si>
    <t>Supplies and Materials for use in Port Operation</t>
  </si>
  <si>
    <t>Automatic Alcohol Despenser for SDO Entrance &amp; SDS Office Entrance</t>
  </si>
  <si>
    <t>Supply and Delivery of Fiber Glass Basketball Board Support to Barangay for Public Use</t>
  </si>
  <si>
    <t>Office Supplies- City Accounting Office</t>
  </si>
  <si>
    <t>SUPPLY AND DELIVERY OF FUEL (GASOLINE AND DIESEL) FOR VARIOUS OFFICES</t>
  </si>
  <si>
    <t>Procurement of Office Supplies</t>
  </si>
  <si>
    <t>One (1) unit Photocopier</t>
  </si>
  <si>
    <t>Supply and Delivery of Various Office Supplies intended for the Reproduction of Learning Modules of Don Carlos District I</t>
  </si>
  <si>
    <t>Supply, Delivery and Installation of Radio Broadcast Facility</t>
  </si>
  <si>
    <t>CONSTRUCTION OF FOOTPATH, CENTRO POBLACION</t>
  </si>
  <si>
    <t>S &amp; D of Session Table (SPO)</t>
  </si>
  <si>
    <t>Request For Quotation - Loyalty Ring</t>
  </si>
  <si>
    <t>Supply and Delivery of Embosser for Tarlac City Mayor's Office use</t>
  </si>
  <si>
    <t>Supply and Delivery of Meals and Snacks for the Rescue &amp; Saturation Drive of Badjao Mendicants in the City of Tarlac</t>
  </si>
  <si>
    <t>SUPPLY AND DELIVERY OF PLASTIC ACETATE #12</t>
  </si>
  <si>
    <t>Purchase of Office Equipment for Municipal Mayor's Office</t>
  </si>
  <si>
    <t xml:space="preserve">RFQ: Procurement of Catering Services for the Conduct of Implementation of the Communicating for Perpetual End of Extreme Violence and Forming Alliance Towards Positive Peace and Enriched Communities </t>
  </si>
  <si>
    <t>PIKCOT-SUPP-002020-0165 ( SUPPLY AND DELIVERY OF OFFICE SUPPLIES)</t>
  </si>
  <si>
    <t>Office Equipment</t>
  </si>
  <si>
    <t>PROCUREMENT ON SUPPLY AND DELIVERY OF COMMON USE SUPPLIES</t>
  </si>
  <si>
    <t>PR No. 2020-0591 (Egargo) Lease of venue with meals for the conduct of HRH Consultative Meeting on COVID Response, Province of Eastern Samar.</t>
  </si>
  <si>
    <t>Division Training for Scriptwriters, Production/Technical Team and Teacher-Broadcasters for TV-Based Instruction</t>
  </si>
  <si>
    <t>Purchase of Two Sets Water Pump</t>
  </si>
  <si>
    <t>MUNICIPAL COUNTERPART FOR THE CONSTRUCTION OF ISOLATION UNITS FOR 16 BARANGAYS (Procurement of Hardware Materials)</t>
  </si>
  <si>
    <t>CONCRETING OF BARANGAY NAZARETH ROAD SECTION</t>
  </si>
  <si>
    <t>One (1) Unit Computer with Complete accessories and printer</t>
  </si>
  <si>
    <t>Procurement of Office Supplies and Equipment</t>
  </si>
  <si>
    <t>Supply and Installation of 5100 Fixed Volleyball Post for Volleyball Post and Net, City of Passi Arena, Passi City, Iloilo/CSDO.</t>
  </si>
  <si>
    <t>Supply and Delivery of ICT Equipment &amp; Supplies Consolidated Request STF of SDSSU Tandag Campus</t>
  </si>
  <si>
    <t>Advertising Services 2020-07-0265</t>
  </si>
  <si>
    <t>CONSTRUCTION OF TWO - STOREY BARANGAY HALL PHASE II</t>
  </si>
  <si>
    <t>Brushing/Clearing of Mogao-Dominglay Singit-Poblacion-Caoayan-Baquero-Bulbulala Road</t>
  </si>
  <si>
    <t>Catering Services for the Procurement and delivery of meals and snacks for the 2020 Census of Population and Housing (CPH) Fourth Level Training – Municipality of Doña Remedios Trinidad</t>
  </si>
  <si>
    <t>CONSTRUCTION OF WATER WORKS SYSTEM PUROK 6, HILLTOP</t>
  </si>
  <si>
    <t>Supply and Delivery of Fertilizers</t>
  </si>
  <si>
    <t>PR#20-08-0374 Office supplies (ink/master roll</t>
  </si>
  <si>
    <t>142-Supply and Delivery of ICT Equipment &amp; Supplies Consolidated Request STF of SDSSU Tandag Campus</t>
  </si>
  <si>
    <t>Procurement of Digital Mobile X-Ray Machine</t>
  </si>
  <si>
    <t>Ozamiz City, Misamis Occidental HFEP 2019 Proposed New Construction of Liposong BHS</t>
  </si>
  <si>
    <t>Catering Services for the Procurement and delivery of meals and snacks for the 2020 Census of Population and Housing (CPH) Fourth Level Training – Municipality of Guiguinto</t>
  </si>
  <si>
    <t>Supply and Delivery of Materials for the Waterworks System in the Municipality of Dauis, Bohol.</t>
  </si>
  <si>
    <t>RFQ-DVO-PR.NO. 2007222 CAT. 47 PLUMBING SUPPLIES AND MATERIALS</t>
  </si>
  <si>
    <t>CONSTRUCTION OF DRAINAGE CANAL LINING, SAN JULIAN</t>
  </si>
  <si>
    <t>For 15 barangay to instill relevant information and awareness about covid19 and hiv/aids that is vital to the LGBT+ Community and to inculcate new ways of life through the paradigm of normal to new No</t>
  </si>
  <si>
    <t>PURCHASE OF BONDPAPER FOR THE PRODUCTION OF THE INSTRUCTIONAL MATERIALS OF TANAUAN II DISTRICT</t>
  </si>
  <si>
    <t>Repair and Maintenance of Different Vehicles of Mayor's Office, PNP and BFP</t>
  </si>
  <si>
    <t>Procurement of Construction Materials and Supplies of AABn, LSG, ASCOM, PA amounting to Php 59,975.00</t>
  </si>
  <si>
    <t>Feeds</t>
  </si>
  <si>
    <t>RFQ No. 2020-08-047; PR No. 2020-06-067 (Rebid): PROCUREMENT OF ONE (1) JOB ORDER: LABOR AND MATERIALS, FOR THE PRINTING OF 2019 ANNUAL REPORT, FOR USE IN THE ORD-PAIO UNIT, DPWH R.O. XI, DAVAO CITY</t>
  </si>
  <si>
    <t>Construction /  Installation of  Forty Two (42)  Units Street  Lightings</t>
  </si>
  <si>
    <t>Supply of Fuel for Various Offices (3rd Qtr.)</t>
  </si>
  <si>
    <t>Supply and Delivery of Various Materials for the Concreting of Line Canal (along E. Alegado Street) (with Labor and Equipment rental).</t>
  </si>
  <si>
    <t>Purchase of Fifteen Units Hose</t>
  </si>
  <si>
    <t>Construction of Vigan Display Center-Phase IV at Crisologo St. Barangay I, Vigan City</t>
  </si>
  <si>
    <t>Procurement of 1 (One) Unit Double Cab Pick – Up for the Prevention of Human Induced Hazards</t>
  </si>
  <si>
    <t>PROCUREMENT OF ICT EQUIPMENT FOR ONLINE CLASS AND ENROLLMENT</t>
  </si>
  <si>
    <t>Toner Cartridges</t>
  </si>
  <si>
    <t>Procurement of Repair and Maintenance of HMARSEC Golf Cart</t>
  </si>
  <si>
    <t>RFQ-DVO-PR.NO. 2007166 CAT. 6 AUTO REPAIR SHOP</t>
  </si>
  <si>
    <t>Medical supplies for RHU</t>
  </si>
  <si>
    <t>PIKCOT-002020-0166 (SUPPLY AND DELIVERY OF OFFICE SUPPLIES)</t>
  </si>
  <si>
    <t>Supply, Delivery &amp; Installation of Outdoor Full Color LED &amp; Accessories</t>
  </si>
  <si>
    <t>PR No. 2020-0812 (Egargo) Lease of venue with meals for the conduct of HRH Consultative Meeting on COVID Response, Province of Eastern Samar.</t>
  </si>
  <si>
    <t>SUPPLY AND DELIVERY OF ONE (1) UNIT VAN TYPE MULTICAB (5 SEATERS) FOR PERSONS WITH DISABILITY AFFAIRS OFFICE</t>
  </si>
  <si>
    <t>Printing Services Intended for the 2020 National Disaster Resilience Month Celebration</t>
  </si>
  <si>
    <t>One (1) Unit Multicab (Van Type)</t>
  </si>
  <si>
    <t>Fabrication/Installation of Roller Shades</t>
  </si>
  <si>
    <t>Concreting of Barangay Road Widening / Spillway Slope Protection</t>
  </si>
  <si>
    <t>PURCHASE OF DIESEL FUEL FOR THE OPERATION OF VARIOUS MUNICIPAL VEHICLES OF MUNICIPALITY OF CAUAYAN, NEGROS OCCIDENTAL</t>
  </si>
  <si>
    <t>CONSTRUCTION OF SOLAR LIGHTS</t>
  </si>
  <si>
    <t>Supply and Delivery of Meals, Bottled Waters and Materials for the Tree Planting Activity of the City Government of Tarlac</t>
  </si>
  <si>
    <t>REQUEST FOR QUOTATION FOR PURCHASE OF PRINTING OF ALTERNATIVE LEARNING MODULES</t>
  </si>
  <si>
    <t>Disinfectant and Fogging Machine (Rebid)</t>
  </si>
  <si>
    <t>Monitoring, Evaluation, Accoutability, and Learning (MEAL) Activities During the SY 2020-2021 Opening of Classes</t>
  </si>
  <si>
    <t>REHAB OF TUDELA PUBLIC MARKET WATER SYSTEM (sec. publication)</t>
  </si>
  <si>
    <t>RFQ FOR SCHOOL'S OFFICE SUPPLIES</t>
  </si>
  <si>
    <t>PROCUREMENT OF SELF LEARNING MODULES (SLMs) FOR KINDERGARTEN TO GRADE 10 STUDENTS OF VARIOUS PUBLIC SCHOOLS IN THE CITY OF DASMARIÑAS FOR THE FIRST QUARTER OF SCHOOL YEAR 2020-2021</t>
  </si>
  <si>
    <t>PURCHASE OF VITAMINS FOR KIDS AND MEDICINES</t>
  </si>
  <si>
    <t>Purchase of materials for rehabilitation of multi purpose of Barangay Calumpang East San Luis Batangas</t>
  </si>
  <si>
    <t>Purchase of Riso Machine for Printing of Module</t>
  </si>
  <si>
    <t>Catering Services for the Procurement and delivery of meals and snacks for the 2020 Census of Population and Housing (CPH) Fourth Level Training – Municipality of Hagonoy</t>
  </si>
  <si>
    <t>Request for Quotation for the Provision of Printing services to be used for various trainings for the 2md semester of 2020</t>
  </si>
  <si>
    <t>Vehicle accessories</t>
  </si>
  <si>
    <t>Food, Venue and Accommodation for the Conduct of Assessment/Documentation of Convergence Initiative on August 24-28, 2020 in Butuan City</t>
  </si>
  <si>
    <t>Procurement of Materials for Improvement of Municipal Building</t>
  </si>
  <si>
    <t>Medical and Disinfectant Supplies</t>
  </si>
  <si>
    <t>Reproduction of Learning Modules used by Pantao NHS Students</t>
  </si>
  <si>
    <t>Purchase of Supplies and Consumables for Module Reproduction</t>
  </si>
  <si>
    <t>MSU LANDMARK (ILOVEMSU)</t>
  </si>
  <si>
    <t>RFQ-DVO-PR.NO. 2007196 CAT. 43 OFFICE EQUIPMENT</t>
  </si>
  <si>
    <t>PIKCOT-SUPP-02020-0167 (SUPPLY AND DELIVERY OF CONSTRUCTION SUPPLIES)</t>
  </si>
  <si>
    <t>Provision of school supplies to 28 Public Elementary and 7 Secondary Schools in the Municipality of Victoria as support to the implementation of modular approach of basic education amidst Covid-19 pan</t>
  </si>
  <si>
    <t>Supply and delivery of Office Supplies</t>
  </si>
  <si>
    <t>PROCUREMENT OF PRINTER</t>
  </si>
  <si>
    <t>Catering Services for the Procurement and delivery of meals and snacks for the 2020 Census of Population and Housing (CPH) Fourth Level Training – City of Malolos B</t>
  </si>
  <si>
    <t>Purchase of One Unit Chariot Motorcycle</t>
  </si>
  <si>
    <t>SUPPLY AND DELIVERY OF 223 VERO CELL VIALS FOR THE CITY HEALTH OFFICE</t>
  </si>
  <si>
    <t>CONSTRUCTION OF SLOPE PROTECTION, MASABLANG</t>
  </si>
  <si>
    <t>Medical Supplies for Different Offices at LGU New Corella</t>
  </si>
  <si>
    <t>PURCHASE OF PHOTOCOPY MACHINE FOR TANAUAN SCHOOL OF ARTS AND TRADE (TSAT)</t>
  </si>
  <si>
    <t>CONCRETING OF PORTION ANGGA ROAD (FARM TO MARKET ROAD)</t>
  </si>
  <si>
    <t>20GAC0037 - Purchase of RAP and EIA Kits for Right-of-Way Action Plan and Environmental Impact Assessment Activities</t>
  </si>
  <si>
    <t>Procurement of 3 units Grasscutter to be used for Barangay Lawis, Balasan, Iloilo</t>
  </si>
  <si>
    <t>Supply and delivery of Photographic Equipment with complete accessories for use in the CCJE of ISU Cabagan</t>
  </si>
  <si>
    <t>CONSTRUCTION OF WATER WORKS SYSTEM PHASE 1, SAN PEDRO</t>
  </si>
  <si>
    <t>Calibration of Power Quality Analyzer (Rebid)</t>
  </si>
  <si>
    <t>Additional Supplies and Materials for Community Based Training on Free Raise Chicken at Sitio Kapihan Brgy. Malabog, Paquibato Dist. Davao City</t>
  </si>
  <si>
    <t>PURCHASE OF MATERIALS FOR THE REHAB/IMPROVEMENT OF WATER SYSTEM AT BARANGAY AT BARANGAY TALACDAN, CAUAYAN, NEGROS OCCIDENTAL</t>
  </si>
  <si>
    <t>Supply and Delivery of Office IT Equipment to be used for different schools of the Municipality of Tabuelan, Cebu</t>
  </si>
  <si>
    <t>Supply &amp; Delivery of Face Shields &amp; Face masks  for Covid-19 protection, LGU Villasis, Pangasinan</t>
  </si>
  <si>
    <t>PIKCOT-SUPP-002020-0168 (SUPPLY AND DELIVERY OF CONSTRUCTION SUPPLIES)</t>
  </si>
  <si>
    <t>Purchase of Construction  Materials</t>
  </si>
  <si>
    <t>Progressive Construction of Multi-Purpose Building, City Hall Compound, Brgy. Poblacion, Tacurong City</t>
  </si>
  <si>
    <t>Catering Services for the Procurement and delivery of meals and snacks for the 2020 Census of Population and Housing (CPH) Fourth Level Training – Municipality of Marilao</t>
  </si>
  <si>
    <t>RAPID DIAGNOSTIC TEST KIT</t>
  </si>
  <si>
    <t>Procurement of Heavy Duty Photocopier</t>
  </si>
  <si>
    <t>for office use</t>
  </si>
  <si>
    <t>CONCRETING OF BARANGAY ROAD BRGY. MAHABANG PARANG, LUCBAN, QUEZON</t>
  </si>
  <si>
    <t>Supply and Delivery of Materials for Footbridge Construction at Sitio Sinatalan to Sitio Sumibang</t>
  </si>
  <si>
    <t>Procurement of Various Medical Supplies for COVID-19 Prevention</t>
  </si>
  <si>
    <t>REHABILITATION OF BARANGAY ROADS AT SUMILAO AREA 2020</t>
  </si>
  <si>
    <t>request for quotation</t>
  </si>
  <si>
    <t>Contract ID: 20KH0048 Construction of Classrooms: 2STY4CL Iponan National High School,Cagayan de Oro City, Misamis Oriental</t>
  </si>
  <si>
    <t>4 pcs. Bearing # 6310 for the repair of Municipal Tractor</t>
  </si>
  <si>
    <t>Medicine and Vaccine</t>
  </si>
  <si>
    <t>PR# 20-07-745-B PROCUREMENT OF 3 UNITS PADDLE WHEEL AERATOR SET FOR CVMNDTC, BENTIG, CALAPE, BOHOL.</t>
  </si>
  <si>
    <t>REQUEST FOR QUOTATION FOR LAMUAL SIP</t>
  </si>
  <si>
    <t>Support to Operation Center (OPCEN)</t>
  </si>
  <si>
    <t>Supply, Delivery and Installation of Addressable Fire Detection and Alarm System</t>
  </si>
  <si>
    <t>SUPPLY AND DELIVERY OF TENTS</t>
  </si>
  <si>
    <t>CONSTRUCTION OF MULTI PURPOSE BUILDING</t>
  </si>
  <si>
    <t>CONSTRUCTION OF DRAINAGE SYSTEM PUROK 8</t>
  </si>
  <si>
    <t>CONSTRUCTION OF BARANGAY OUTPOST</t>
  </si>
  <si>
    <t>PROCUREMENT OF 1 UNIT COMPUTER DESKTOP SET W/ PRINTER AND SPEAKER FOR THE OFFICE OF THE SANGGUNIANG BAYAN USAGE</t>
  </si>
  <si>
    <t>Procurement Services for Event Coordinator for Hardin sa Panimalay (The green Heart Catalyst Program)/CIEPO</t>
  </si>
  <si>
    <t>Construction of Material Recovery Facility (15 units)</t>
  </si>
  <si>
    <t>DECLOGGING/REHABILITATION OF DRAINAGE CANAL</t>
  </si>
  <si>
    <t>Procurement of One (1) Unit X-Ray Tube Assembly and One (1) Unit High Voltage Tank for CT Scan Compatible with GE Brightspeed Select Edge CT Scan, 8 Slice</t>
  </si>
  <si>
    <t>Construction of Barangay Road @ proper toward Cabugao, Brgy. San Rafael, Burdeos, Quezon</t>
  </si>
  <si>
    <t>PURCHASE OF MAINTENANCE SUPPLIES AND MATERIALS FOR CARPENTRY AND PAINTING</t>
  </si>
  <si>
    <t>Supply and delivery of Janitorial Supplies</t>
  </si>
  <si>
    <t>PR No. 2020-0813 (Egargo) Lease of venue with meals for the conduct of COVID Technical Updates for RHU-HRH, Province of Eastern Samar.</t>
  </si>
  <si>
    <t>INVITATION TO BID FOR THE PROCUREMENT OF FUEL FOR MAYOR’S OFFICE USE</t>
  </si>
  <si>
    <t>Supply and Delivery with Installation of Airconditioning Unit for Executive Office &amp; Admin Office at Brgy.Chrysanthemum</t>
  </si>
  <si>
    <t>2020-TSSD-19 JOBSTART</t>
  </si>
  <si>
    <t>Supply and Delivery of 3 units Container Van 20'</t>
  </si>
  <si>
    <t>Procurement for the Supply &amp; Delivery of Vehicle Parts &amp;  Accessories</t>
  </si>
  <si>
    <t>Reproduction of Modules and Detailed Lesson Plan Activity Sheets for   Elem</t>
  </si>
  <si>
    <t>RFQ-DVO-PR.NO. 2006020 CAT. 10 COMPUTER EQUIPMENT AND ACCESSORIES</t>
  </si>
  <si>
    <t>Purchase of Medicine for the Rural Health Unit of LGU-Dagohoy</t>
  </si>
  <si>
    <t>Purchase of Office Supplies for 3rd quarter CY 2020 -Bureau of Custom Branch</t>
  </si>
  <si>
    <t>IMPROVEMENT OF WATER SYSTEM</t>
  </si>
  <si>
    <t>SUPPLY OF LABOR AND MATERIALS FOR THE PROPOSED BARANGAY ROAD CONCRETING AT SITIO BATAHA, BARANGAY MANDILIKIT, ARGAO, CEBU</t>
  </si>
  <si>
    <t>INVITATION TO BID FOR THE PROCUREMENT OF FOOD SUPPLIES FOR PROVISION OF FOOD ASSISTANCE TO INDIGENT FAMILY</t>
  </si>
  <si>
    <t>Supply and Delivery of Medicines for Support to Doctors to the Barangay CY-2020</t>
  </si>
  <si>
    <t>Construction/ Rehabilitation of Barangay Road @ Sitio Daungan, Brgy. San Rafael, Burdeos, Quezon</t>
  </si>
  <si>
    <t>FLU VACCINE</t>
  </si>
  <si>
    <t>Invitation to Bid for the Construction of Public Market</t>
  </si>
  <si>
    <t>SUPPLY AND DELIVERY OF MATERIALS FOR THE REHABILITATION OF WATER SYSTEM, BARANGAY GATASAN, CATANAUAN, QUEZON</t>
  </si>
  <si>
    <t>CONTINUATION OF SLOPE PROTECTION , LOWER TANAP, BALBALAN PROPER</t>
  </si>
  <si>
    <t>Supply and Delivery of Corrugated Plastic Conduit ½ (Electrical)</t>
  </si>
  <si>
    <t>Catering Services for the Procurement and delivery of meals and snacks for the 2020 Census of Population and Housing (CPH) Fourth Level Training – City of Meycuayan</t>
  </si>
  <si>
    <t>RFQ 17014 - laboratory facilities</t>
  </si>
  <si>
    <t>Construction of Integrated Bus and Jeepney Terminal at Poblacion, Sapang Dalaga, Misamis Occidental</t>
  </si>
  <si>
    <t>SUPPLY AND DELIVERY OF 55 SACKS WELL - MILLED RICE (50kg) FOR NATIONAL TUBERCULOSIS CONTROL PROGRAM</t>
  </si>
  <si>
    <t>MUSICAL INSTRUMENTS</t>
  </si>
  <si>
    <t>CONSTRUCTION OF WELCOME ARC</t>
  </si>
  <si>
    <t>Supply and delivery of Office and School Supplies for First Quarter Procurement</t>
  </si>
  <si>
    <t>CONSTRUCTION OF MULTI PURPOSE CENTER/CONSTRUCTION OF MULTI PURPOSE BUILDING</t>
  </si>
  <si>
    <t>Catering Services for the Procurement and delivery of meals and snacks for the 2020 Census of Population and Housing (CPH) Fourth Level Training – Municipality of Norzagaray</t>
  </si>
  <si>
    <t>PURCHASE OF OFFICE EQUIPMENTS FOR UBAY FIRE STATION OFFICE</t>
  </si>
  <si>
    <t>PR No. 2020-0814 (Cerro) Communication Cards for COVID-19 Response</t>
  </si>
  <si>
    <t>2020-TSSD-18 PESO ICT</t>
  </si>
  <si>
    <t>800 bags Poly Aluminum Chloride (PAC)</t>
  </si>
  <si>
    <t>Reproduction of Modules and Detailed Lesson Plan, Activity Sheets for students for JHS</t>
  </si>
  <si>
    <t>CONSTRUCTION OF WATER WORKS SYSTEM, TALOCTOC</t>
  </si>
  <si>
    <t>Water Exploration Drilling Project</t>
  </si>
  <si>
    <t>PR No. 2020-0817 (Cerro) Procurement of Brother and Epson Toner</t>
  </si>
  <si>
    <t>PR No. 2020-0815 (Cerro) External Hard Drive (1TB)</t>
  </si>
  <si>
    <t>PROCUREMENT OF FOGGING MACHINE</t>
  </si>
  <si>
    <t>Purchase of Office Equipment’s for DEP-ED NORTH</t>
  </si>
  <si>
    <t>Procurement of Various Supplies &amp; Material</t>
  </si>
  <si>
    <t>SUPPLY &amp; DELIVERY OF R/M SERVICE VEHICLE</t>
  </si>
  <si>
    <t>ILD-SF-20-3029: Procurement of Agricultural Supplies to be used for the Management and Control of Fall Armyworm (FAW) Infestation</t>
  </si>
  <si>
    <t>SUPPLY AND DELIVERY OF CONSTRUCTION SUPPLIES AND MATERIALS FOR ENVIRONMENTAL HEALTH AND SANITATION PROGRAM</t>
  </si>
  <si>
    <t>PURCHASE OF AUTO SUPPLIES FOR THE REGULAR MAINTENANCE OF 17 MPVs</t>
  </si>
  <si>
    <t>Installation of 2 Units Contamination Chamber, Waiting Area &amp; Concrete Stairs</t>
  </si>
  <si>
    <t>Services 2020-07-0292</t>
  </si>
  <si>
    <t>PROCUREMENT OF MEDICAL AND LABORATORY SUPPLIES FOR BLOOD PROGRAM</t>
  </si>
  <si>
    <t>Purchase of School Supplies for Das agan National High School</t>
  </si>
  <si>
    <t>Potable Water System - Mambug</t>
  </si>
  <si>
    <t>MEALS (FOR POPULATION AND CENSUS TRAINING)</t>
  </si>
  <si>
    <t>Labor Pakyaw and Equipment for Footbridge Construction at Sitio Sinatalan to Sitio Sumibang</t>
  </si>
  <si>
    <t>Constructions Materials</t>
  </si>
  <si>
    <t>CONCRETING OF SITIO COGON &amp; TUGAS PATHWAY</t>
  </si>
  <si>
    <t>To support the procurement of two (2) quartz Black Laminar X-500 with PN: Akzo Nobel 8B6A/50C3A and 2 other L/I for use in the Unsched Maint of C295 aircraft.</t>
  </si>
  <si>
    <t>Supply &amp; delivery of Chlorinator set with complete accessories</t>
  </si>
  <si>
    <t>Purchase of Equipment for ICT</t>
  </si>
  <si>
    <t>Supply and Delivery of Office Equipment for Municipal Social Welfare and Development Office</t>
  </si>
  <si>
    <t>REQUEST FOR QUOTATION FOR MARBEL 1 RIS - FOR IMPLEMENTING FARMLAND GIS</t>
  </si>
  <si>
    <t>PURCHASE OF COMMUNICATION EQUIPMENT FOR MDRRMO &amp; COMCENTER</t>
  </si>
  <si>
    <t>Materials for Repair/Maint. - Brgy. Road</t>
  </si>
  <si>
    <t>Purchase of Meals COVID Isolation Facility</t>
  </si>
  <si>
    <t>PROCUREMENT OF FAMILY PLANNING KITS</t>
  </si>
  <si>
    <t>Supply and delivery of Carpentry Supplies</t>
  </si>
  <si>
    <t>RFQ-TO PROVIDE SUBSCRIPTION SERVICES FOR THE OPERATON OF CSU  ONLINE CLASS.IGF-164-20-07-166</t>
  </si>
  <si>
    <t>PROCUREMENT OF N95 1860 MASKS</t>
  </si>
  <si>
    <t>Purchase of materials for the construction of drainage canal</t>
  </si>
  <si>
    <t>Procurement of Materials for Building Maintenance</t>
  </si>
  <si>
    <t>School Supplies for Learning Materials</t>
  </si>
  <si>
    <t>Improvement of Multi-Purpose Hall (Extension &amp; CR) - Mambug</t>
  </si>
  <si>
    <t>RFQ: Provision of Fuel, Lubricants and Services for the DILG Davao City Vehicles for the Implementation of C4PEACE in Davao City</t>
  </si>
  <si>
    <t>Supply and Delivery of Construction Materials for Routine Maintenance (Construction Materials / Hand Tools ) (Roads) (CY-2020-3rd Quarter).</t>
  </si>
  <si>
    <t>Supply and Delivery of Garbage Bins for Solid Waste Management Program in the Municipality</t>
  </si>
  <si>
    <t>SUPPLY AND DELIVERY OF COMPUTER DESKTOP (ASSESSOR'S OFFICE)-LGU CATANAUAN, QUEZON</t>
  </si>
  <si>
    <t>Construction of Multi-Purpose Bldg. (Covered Court) in Brgy. Campokpok, Tabango, Leyte, ABC PHP4,989,598.41</t>
  </si>
  <si>
    <t>Payment of books to be use in DLSP Library.</t>
  </si>
  <si>
    <t>Improvement/Construction of FMR at DAQ</t>
  </si>
  <si>
    <t>20OA0078: Repair/Maintenance of DPWH Building, Malabon-Navotas District Engineering Office, Navotas City.</t>
  </si>
  <si>
    <t>REQUEST FOR QUOTATION ON THE SUPPLY AND DELIVERY OF COLLAPSIBLE MULTI-COMMODITY SOLAR DRYER SYSTEM FOR BPI-DAVAO PRODUCTION SECTION</t>
  </si>
  <si>
    <t>Supply of Risograph Machine</t>
  </si>
  <si>
    <t>Procurement for the Supply, Delivery &amp; Printing of Garbage  Clearance Form, Health Certificate &amp; Inspection Report</t>
  </si>
  <si>
    <t>Purchase of Materials for the repair and Maitenance of Various Government Facilities</t>
  </si>
  <si>
    <t>Procurement of Drugs and Medicines</t>
  </si>
  <si>
    <t>Fabrication of 8 units Triple Portable Stainless Sink</t>
  </si>
  <si>
    <t>Supply &amp; Delivery of Textbooks &amp; Instructional Materials</t>
  </si>
  <si>
    <t>UPLB-S-050-08-20, SUPPLY AND DELIVERY OF  BOOKS FOR UNIVERSITY LIBRARY</t>
  </si>
  <si>
    <t>PROCUREMENT OF HFEP EQUIPMENT</t>
  </si>
  <si>
    <t>Books</t>
  </si>
  <si>
    <t>REHABILITATION OF MULTI PURPOSE BUILDING</t>
  </si>
  <si>
    <t>Construction of Water System in Brgy. Nebga, Abuyog, Leyte, ABC PHP4,278,091.47</t>
  </si>
  <si>
    <t>2019-06-015</t>
  </si>
  <si>
    <t>Catering Services for the Procurement and delivery of meals and snacks for the 2020 Census of Population and Housing (CPH) Fourth Level Training – Municipality of Obando</t>
  </si>
  <si>
    <t>R&amp;DR-20-3033: Procurement of 2 sets Grain Moisture Meter to be used in the collection, processing, and management of research data for DS and WS cropping…</t>
  </si>
  <si>
    <t>20OA0079: Construction of Box Culvert along Gov. W. Pascual Ave. (from MH del Pilar St. to Maria Clara St.), Malabon City.</t>
  </si>
  <si>
    <t>Purchase of ICT Equipment</t>
  </si>
  <si>
    <t>AMBULANCE REPAIR</t>
  </si>
  <si>
    <t>CONSTRUCTION OF EVACUATION CENTER, PHASE 11</t>
  </si>
  <si>
    <t>REPOSTING: REPAIR AND MAINTENANCE OF COLLEGE FACILITIES (MAIN WATER SUPPLY)</t>
  </si>
  <si>
    <t>Supply and Delivery of Asphalt Sealant (60/70) for Routine Maintenance (CY-2020-3rd Quarter).</t>
  </si>
  <si>
    <t>Construction Projects A</t>
  </si>
  <si>
    <t>Printing of Modules</t>
  </si>
  <si>
    <t>PURCHASE OF CLEANING MATERIALS</t>
  </si>
  <si>
    <t>Heavy Duty Printer Intended for DRMD Other Office Supplies</t>
  </si>
  <si>
    <t>RFQ 16999 - AirConditioner</t>
  </si>
  <si>
    <t>PROCUREMENT OF AIR COOLER FOR THE USE OF RECORDS SECTION</t>
  </si>
  <si>
    <t>PURCHASE OF COMPUTER DESKTOP (MBO)</t>
  </si>
  <si>
    <t>Rehabilitation of Barangay Hall</t>
  </si>
  <si>
    <t>Supply and Delivery of Asphalt Cold Mix for Routine Maintenance (CY-2020-3rd Quarter).</t>
  </si>
  <si>
    <t>Catering Services for the Procurement and delivery of meals and snacks for the 2020 Census of Population and Housing (CPH) Fourth Level Training – Municipality of Pandi B</t>
  </si>
  <si>
    <t>Purchase of Indoor/Outdoor/Curve LED Wall for the use of the City Government of Imus</t>
  </si>
  <si>
    <t>20OA0080: Construction (Completion) of Multi-purpose Building, Brgy. Panghulo, Malabon City.</t>
  </si>
  <si>
    <t>160 pcs. 2019- nCoV Ab Test (Colloidal Gold) IgM/IgG Whole Blood/Serum/Plasma Combo to be used as screening test for COVID 19 suspected cases</t>
  </si>
  <si>
    <t>SUPPLY AND DELIVERY OF OFFICE SUPPLIES</t>
  </si>
  <si>
    <t>Diesel (Land Preparation/Establishment of Permanent Evacuation) – Brgy. Poblacion</t>
  </si>
  <si>
    <t>LINGGO NG KABATAAN</t>
  </si>
  <si>
    <t>Supply and Delivery of Item 302 (SSI) Bituminous Tack Coat (Rapid Curing) for Routine Maintenance (CY-2020-3rd Quarter).</t>
  </si>
  <si>
    <t>Concreting of Road in Brgy. Buenavista, Palompon, Leyte, ABC PHP3,637,869.68</t>
  </si>
  <si>
    <t>Supply and Delivery of Asphalt Sealant (60/70) for Bridges for Routine Maintenance (CY-2020-3rd Quarter).</t>
  </si>
  <si>
    <t>Sealed Quotation - Supply of Various Medical Equipment &amp; Supplies</t>
  </si>
  <si>
    <t>RFQ: Supply of Face Mask, Alcohol, Face Shield for use in the Implementation of the C4PEACE in Davao City</t>
  </si>
  <si>
    <t>Construction of Multi-Purpose Bldg. (Phase 2) in Brgy. Calingcaguing, Barugo, Leyte, ABC PHP3,315,231.96</t>
  </si>
  <si>
    <t>Supply and Delivery of Equipment / Equipment Accessories and Services for the use of MMIIDEO for Various National Bridges.</t>
  </si>
  <si>
    <t>2 pcs. S/S Flange #2 and 6 pcs. Metal Screw for the Repair of MSWD Office</t>
  </si>
  <si>
    <t>Accommodation and Catering Services Intended for DRMD Monthly Meetings</t>
  </si>
  <si>
    <t>PROPOSED INSTALLATION OF EIGHTY-FOUR (84) UNITS STREETLIGHTS AT SITIO CANGCUAY, TAN-AWAN, OSLOB, CEBU</t>
  </si>
  <si>
    <t>RFQ Screen Doors and Windows (University Dormitory)</t>
  </si>
  <si>
    <t>CONSTRUCTION OF SIDEWALK, CURB AND GUTTER</t>
  </si>
  <si>
    <t>Purchase of Bajaj RE "BAO BAO"</t>
  </si>
  <si>
    <t>Purchase of Uniform</t>
  </si>
  <si>
    <t>Supply &amp; Delivery of HP Toner for General use of this District for CY-2020 .</t>
  </si>
  <si>
    <t>PROCUREMENT OF CAN GOODS FOR PREPOSITIONING OF MDRRMO</t>
  </si>
  <si>
    <t>Re post of procurement of reproduction and delivery of learning modules</t>
  </si>
  <si>
    <t>RFQ-DVO-PR.NO. 2006193 CAT. BREEDING ANIMALS</t>
  </si>
  <si>
    <t>PROCUREMENT OF THE UPGRADING AND IMPROVEMENT OF LOCAL ACCESS ROAD OF  BARANGAY LINGLINGAY-MARINIT SALVACION ALICIA, ISABELA</t>
  </si>
  <si>
    <t>RFQ: Supply of Cellcards for use in the Implementation of the C4PEACE in Davao City</t>
  </si>
  <si>
    <t>Repair and Maintenance of Mitsubishi Adventure NDB 1796</t>
  </si>
  <si>
    <t>Budget Matrix for reproduction of modules and activity sheets for first quarter</t>
  </si>
  <si>
    <t>Repair and Maintenance of Service Vehicle Toyota Hilux POB 379</t>
  </si>
  <si>
    <t>Materials for the Completion of Brgy. Stage @ Magsaysay, Talibon, Bohol</t>
  </si>
  <si>
    <t>Meal and Snacks</t>
  </si>
  <si>
    <t>PROPOSED INSTALLATION OF EIGHTY-FOUR (84) UNITS STREETLIGHTS AT SITIO CAMUGTAS, TAN-AWAN, OSLOB, CEBU</t>
  </si>
  <si>
    <t>SUPPLY &amp; DELIVERY OF VARIOUS GOODS</t>
  </si>
  <si>
    <t>Repair of Roofing at 3rd Floor Municipal Building</t>
  </si>
  <si>
    <t>Annual Preventive Maintenance of MMIIDEO 250KVA StandBy Generator set Model XSA250.</t>
  </si>
  <si>
    <t>EXPANSION / REHABILITATION OF KALAHI BUILDING</t>
  </si>
  <si>
    <t>Materials for the Construction/Fabrication of COVID-19 Quarantine &amp; Isolation Rooms Evacuation Center @ San  Agustin National High School,Talibon, Bohol</t>
  </si>
  <si>
    <t>Purchase of Temperature Disinfection Kiosk and  Personal Protective Equipment.</t>
  </si>
  <si>
    <t>PROPOSED INSTALLATION OF ONE HUNDRED SEVEN (107) UNITS STREETLIGHTS AT SITIO COBONG, TAN-AWAN, OSLOB, CEBU</t>
  </si>
  <si>
    <t>PROCUREMENT OF THE CONTINUATION OF THE CONTRUCTION OF 2ND FLOOR OF COMMERCIAL CENTER (ROBINSON’S PLACE) LOCATED AT AURORA, ALICIA, ISABELA.</t>
  </si>
  <si>
    <t>PR# 20-07-745-C PROCUREMENT OF 1 UNIT SUBMERSIBLE PUMP FOR CVMNDTC, BENTIG, CALAPE, BOHOL.</t>
  </si>
  <si>
    <t>RFQ-TO PROVIDE OFFICE SUPPLIES AND OTHER MATERIALS FOR THE OPERATION OF CHED FIGHT AGAINST COVID 19.TRF-184-20-07-117</t>
  </si>
  <si>
    <t>Supply and delivery of materials for the repair/rehab of barangay hall at barangay San Miguel, Matanao, Davao del Sur</t>
  </si>
  <si>
    <t>PROCUREMENT OF RICE NFA RICE FOR PREPOSITIONING OF MDRRM OFFICE</t>
  </si>
  <si>
    <t>Procurement of Rice</t>
  </si>
  <si>
    <t>Procurement of Laboratory supplies</t>
  </si>
  <si>
    <t>PROCUREMENT OF HOUSEKEEPING SUPPLIES ITB No. 2020-29</t>
  </si>
  <si>
    <t>SUPPLY AND DELIVERY OF MATERIALS FOR THE FABRICATION OF BOOK SHELVES (ASSESSOR'S OFFICE)</t>
  </si>
  <si>
    <t xml:space="preserve">Furnishing and Delivery of IT Equipments - eNGAS / eBudget Server and File Storage for information  and  Communication Technology - Office the District Engineer Metro Manila 2nd District Engineering		</t>
  </si>
  <si>
    <t>RFQ-DVO-PR.NO. 2007313 CAT. 77 FABRICATION</t>
  </si>
  <si>
    <t>Concreting of Road in Brgy. Sta. Fe, Abuyog, Leyte, ABC PHP3,264,650.15</t>
  </si>
  <si>
    <t>PR 20-06-0711</t>
  </si>
  <si>
    <t>Supply &amp; delivery of various medicines</t>
  </si>
  <si>
    <t>PROCUREMENT OF VARIOUS OFFICE SUPPLIES, CLEANING EQUIPMENT SUPPLIES AND COMPUTER SUPPLIES (3RD &amp; 4TH QUARTER CONSOLIDATED 2020) (BY LOT), LGU, MALAYBALAY CITY.</t>
  </si>
  <si>
    <t>Supply and Delivery of Glucometer Kits</t>
  </si>
  <si>
    <t>OTHER SUPPLIES JHS</t>
  </si>
  <si>
    <t>RFQ Power System Analysis Software</t>
  </si>
  <si>
    <t>SUPPLY, DELIVERY AND INSTALLATION OF STANDARD (NON-INVERTER) SPLIT TYPE ACU</t>
  </si>
  <si>
    <t>REPAIR AND MAINTENANCE OF GOVERNMENT VEHICLE (MINI DUMP TRUCK-HINO)</t>
  </si>
  <si>
    <t>Procurement of Various Supplies</t>
  </si>
  <si>
    <t>HIRING OF CONSULTANT FOR THE DEVELOPMENT OF NATIONAL AIR QUALITY STATUS REPORT (NAQSR) 2019 UNDER EMB-CCD REOI No. EMB-EEID-CONSULTANCY-096 7-29-2020 P.R. NO. 2020-0645</t>
  </si>
  <si>
    <t>Youth Month Program</t>
  </si>
  <si>
    <t>Supply &amp; Delivery of Janitorial Supplies 05D(SG&amp;SOWER) H09-2020</t>
  </si>
  <si>
    <t>Printing of Activity Sheets/Worksheets and Other Teaching Materials</t>
  </si>
  <si>
    <t>RFQ-TO PROVIDE AIRCOOLING EQUIPMENT FOR THE OPERATION OF ONLINE CLASSROOM.IGF-164-20-07-159</t>
  </si>
  <si>
    <t>RDT FOR COVID-19 PURPOSE (TRUST FUND)</t>
  </si>
  <si>
    <t>SUPPLY &amp; DELIVERY OF COMMUNICATION EQUIPMENT</t>
  </si>
  <si>
    <t>Purchase of Construction Materials and Other Supplies</t>
  </si>
  <si>
    <t>PROCUREMENT OF SUPPLY AND DELIVER OF DRUGS AND MEDICINES</t>
  </si>
  <si>
    <t>Supply and delivery of materials for the repair/rehab of multipurpose building at barangay San Miguel, Matanao, Davao del Sur</t>
  </si>
  <si>
    <t>REPAIR AND MAINTENANCE</t>
  </si>
  <si>
    <t>Construction of Footbridge</t>
  </si>
  <si>
    <t>Construction of Multipurpose Drying Pavement</t>
  </si>
  <si>
    <t>Supply and Delivery of Fuel, Oil and Lubricants</t>
  </si>
  <si>
    <t>Catering Services for the Procurement and delivery of meals and snacks for the 2020 Census of Population and Housing (CPH) Fourth Level Training – Municipality of Paombong</t>
  </si>
  <si>
    <t>PURCHASE OF 2 UNITS GRASSCUTTER AND TANGSI</t>
  </si>
  <si>
    <t>Supply &amp; Delivery of ICT 07D TESDA &amp; DA-BAR Vermi H12-2020</t>
  </si>
  <si>
    <t>DARAB REGION 02 3rd QUARTER ASSESSMENT AND CATCH UP PLANNING ON SEPTEMBER 24-25, 2020</t>
  </si>
  <si>
    <t>RFQ-TO PROVIDE INTERNET SERVICES FOR THE OPERATION OF CSU ONLINE CLASS.IGF-164-20-07-157</t>
  </si>
  <si>
    <t>Procurement of Item 201</t>
  </si>
  <si>
    <t>RDT FOR COVID-19 PURPOSE</t>
  </si>
  <si>
    <t>2500	ltr.	Diesel, etc. PR # 639-20</t>
  </si>
  <si>
    <t>SUPPLY AND DELIVERY OF CONFERENCE TABLE UNDER EMB-PAB RFQ NO. EMB-PAB-SHOPPING-G-098-8-4-2020 – 2nd Posting PR NO. 2020-0567</t>
  </si>
  <si>
    <t>PR # 2020-07-147 - Supply and Delivery of Janitorial Supplies to be used at DPWH-MOFDEO</t>
  </si>
  <si>
    <t>Request for Proposal for the Construction of Stock Room at URS Morong Campus</t>
  </si>
  <si>
    <t>Supply and Delivery of Veterinary Supplies</t>
  </si>
  <si>
    <t>Construction Materials for road upgrading</t>
  </si>
  <si>
    <t>Concreting of Farm to Market Road</t>
  </si>
  <si>
    <t>Food, Venue and Accommodation for the Conduct of Partners forum Cum Situation Analysis Workshop on Mainstreaming I-REAP to Inter-Agency Convergence in Tagum City on Sept. 8-10, 2020 (1st Batch)</t>
  </si>
  <si>
    <t>REPOST  Supply &amp; Delivery of Lowland Vegetable Seeds for use in HVCD Program with PR#DA3-2020-7-7-85 &amp; ABC of P233,520.72</t>
  </si>
  <si>
    <t>Supply of foodstuff for support to CAFGU</t>
  </si>
  <si>
    <t>Purchase &amp; Delivery of Seedlings for propagation and beautification for Forest Resource Management Program of the Province</t>
  </si>
  <si>
    <t>Provision for various supplies and materials for Workplace Safety (COVID-19 Response and Recovery) of this Office.</t>
  </si>
  <si>
    <t>Improvement of Water System</t>
  </si>
  <si>
    <t>2,376	ltrs. 	Diesel, PR # 652-20</t>
  </si>
  <si>
    <t>SUPPLY &amp; DELIVERY OF OFFICE FIXTURES</t>
  </si>
  <si>
    <t>INVITATION TO BID FOR THE FABRICATION AND DELIVERY OF DETACHABLE STAGE AT DELA CRUZ AUDITORUIM, BARANGAY POBLACION, LINGAYEN, PANGASINAN</t>
  </si>
  <si>
    <t>PURCHASE OF BRAND NEW AMBULANCE AND MEDICAL EQUIPMENT</t>
  </si>
  <si>
    <t>RFQ-PROVISION OF OTHER SUPPLIES AND MATERIALS (HARDWARE) FOR THE OPERATION OF FABLAB CARAGA.BRF-161-20-07-66</t>
  </si>
  <si>
    <t>HINO BUS TIRES</t>
  </si>
  <si>
    <t>Supply and Delivery of Live Animals</t>
  </si>
  <si>
    <t>Printing Services and Delivery of Modules</t>
  </si>
  <si>
    <t>Purchase Materials for the Improvement of BPLK</t>
  </si>
  <si>
    <t>Procurement of Office supplies</t>
  </si>
  <si>
    <t>SUPPLY &amp; DELIVERY OF OTHER MOOE</t>
  </si>
  <si>
    <t>Procurement of Various IT Equipment-07-004(F)PAO</t>
  </si>
  <si>
    <t>MOOE 2nd Quarter 2020 LOt 7 ....</t>
  </si>
  <si>
    <t>Purchase &amp; Delivery of Medicines for the 3rd Quarter 2020</t>
  </si>
  <si>
    <t>REQUEST FOR QUOTATION FOR THE MONTH OF AUGUST:TIRES OF LIGHT AND HEAVY EQUIPMENT OF PEO</t>
  </si>
  <si>
    <t>PR # 2020-07-148 - Supply and Delivery of Consumable Supplies to be used at Electrical Unit, Administrative Section and ODE</t>
  </si>
  <si>
    <t>Procurement of Various Construction Supplies and Materials-07-436(O)PEO</t>
  </si>
  <si>
    <t>SUBM#2020 -08 - 08 -  To purchase materials for use in repainting of Kilometer Post, Guardrails, Road Right of Way Markers, Road Signages and other safety devices along National Roads within the Negro</t>
  </si>
  <si>
    <t>Duplicator Machine</t>
  </si>
  <si>
    <t>RFQ 2020-08-01 Provincial Team Conference for the Month of August, 2020</t>
  </si>
  <si>
    <t>Purchase of Picture Frame</t>
  </si>
  <si>
    <t>RFQ-DVO-PR.NO. 2006283 CAT. 44 OFFICE SUPPLIES AND MATERIALS</t>
  </si>
  <si>
    <t>Supply and Delivery of Goods: PRINTING SERVICES</t>
  </si>
  <si>
    <t>Procurement of 2 Units Dosing Pump,(Blue-White)Model: C-630P-230VAC, 2 pcs. Gear Box Assembly,(Blue-White Part Model:C-630P-230VAC, and 2 pcs. Dosing Pump Parts, Diaphragm (Vintage Control) Model: G14</t>
  </si>
  <si>
    <t>RFQ-DVO-PR.NO. 2007237 CAT. 19 ELECTRICAL EQUIPMENT AND APPLIANCES</t>
  </si>
  <si>
    <t>Purchase of Ambulance San Remigio</t>
  </si>
  <si>
    <t>2020-07-0024 PROCUREMENT OF OFFICE SUPPLIES &amp; CONSUMABLES</t>
  </si>
  <si>
    <t>SUPPLY &amp; DELIVERY OF ELECTRICAL MATERIALS &amp; SUPPLIES</t>
  </si>
  <si>
    <t>BDRRM SUPPLIES</t>
  </si>
  <si>
    <t>Provision of Furnitures and Fixtures and Construction of Kitchen and Barracks for Sibunag Police Station</t>
  </si>
  <si>
    <t>REQUEST FOR QUOTATION FOR THE MONTH OF AUGUST:SPARE PARTS OF LIGHT AND HEAVY EQUIPMENT OF PEO</t>
  </si>
  <si>
    <t>Purchase of Medical and Laboratory Supplies for the Northern Samar Provincial Hospital Barangay Acacia Catarman, Northern Samar</t>
  </si>
  <si>
    <t>Purchase of Medicine &amp; Vitamins for the Municipal Health Office, Ibaan, Batangas</t>
  </si>
  <si>
    <t>Procurement of Influenza Vaccine</t>
  </si>
  <si>
    <t>RFQ-DVO-PR.NO. 2006361 CAT. 52 RADIO COMMUNICATIONS EQUIPMENT</t>
  </si>
  <si>
    <t>Printing of 1st Quarter Modules for Junior High School</t>
  </si>
  <si>
    <t>INVITATION TO BID FOR THE PROCUREMENT OF CATERING SERVICES FOR VARIOUS OFFICES</t>
  </si>
  <si>
    <t>General Revision</t>
  </si>
  <si>
    <t>Purchase of Construction Materials used for the Repair of Road at Gen. Luna St., Brgy. Banaba to Guitnangbayan I, San Mateo, Rizal</t>
  </si>
  <si>
    <t>R&amp;DR-20-3038: Procurement of Agricultural Supplies needed in support to the Implementation of the RICE UP Project</t>
  </si>
  <si>
    <t>REQUEST FOR QUOTATION FOR  USE OF OF MARBEL 2 RIS - FOR IMPLEMENTING FARMLAND GIS</t>
  </si>
  <si>
    <t>PLastic Envelope for Learning Packets</t>
  </si>
  <si>
    <t>Purchase of Office/School Supplies and Consummables</t>
  </si>
  <si>
    <t>Procurement of Various Office Supplies-07-003(F)PAO</t>
  </si>
  <si>
    <t>Improvement of Mayor's Office Extension</t>
  </si>
  <si>
    <t>Procurement of Various Housekeeping Supplies-07-036(P)PSWDO</t>
  </si>
  <si>
    <t>PR # 2020-07-153 - Supply and Delivery of Office Supplies (Data Filer) to be used for filing of documents for CY 2020 at DPWH-MOFDEO</t>
  </si>
  <si>
    <t>Supply and Delivery of IT Equipment</t>
  </si>
  <si>
    <t>Procurement of Various Office Supplies-07-009(AD)PBO</t>
  </si>
  <si>
    <t>DOLE ONSE MAGAZINE 2020 SEMESTRAL ISSUE</t>
  </si>
  <si>
    <t>Supply and Delivery of Tri-Wheeler Motorcycle to be used at the Isolation Facility, City Civic Center in the City of San Fernando, Pampanga</t>
  </si>
  <si>
    <t>Procurement of Materials for the Modules</t>
  </si>
  <si>
    <t>RFQ-DVO-PR.NO. 2007200 CAT. 94 SERVICES</t>
  </si>
  <si>
    <t>REPAIR OF TOYOTA INNOVA</t>
  </si>
  <si>
    <t>Installation and Rehabilitation of Street Lights</t>
  </si>
  <si>
    <t>Supply and Delivery of Various Medicines and Medical Supplies</t>
  </si>
  <si>
    <t>Supply &amp; Delivery of  Office Equipment (LEIPO)</t>
  </si>
  <si>
    <t>SUPPLIES FOR MODULES CLASS</t>
  </si>
  <si>
    <t>LABOR AND MATERIALS FOR PRINTING OF IDENTIFICATION CARDS FOR MUNICIPAL OFFICIALS AND EMPLOYEES OF LUNA, LA UNION</t>
  </si>
  <si>
    <t>Improvement of Multi-Purpose Pavement</t>
  </si>
  <si>
    <t>PAINTING MATERIALS FOR RO TOWER</t>
  </si>
  <si>
    <t>REQUEST FOR QUOTATION FOR THE MONTH OF AUGUST:OILS AND LUBRICANTS OF LIGHT AND HEAVY EQUIPMENT OF PEO</t>
  </si>
  <si>
    <t>Procurement of Various Drugs and Medicines for QIP</t>
  </si>
  <si>
    <t>Purchase and Delivery of Furniture and Fixtures (GCH)</t>
  </si>
  <si>
    <t>RFQ-DVO-PR.NO. 2007217 CAT. 60 TIRES, BATTERIES AND ACCESSORIES</t>
  </si>
  <si>
    <t>Office supplies for the 3RD quarter of CY 2020.</t>
  </si>
  <si>
    <t>Procurement of Various IT Equipment-07-006(F)PAO</t>
  </si>
  <si>
    <t>Completion of Ecopark Perimeter Fence - Sitio Kape, Bitoon Lot B, C &amp; D</t>
  </si>
  <si>
    <t>Construction of Additional Residual Containment Area - Sitio Kape, Bitoon Lot B, C &amp; D</t>
  </si>
  <si>
    <t>REQUEST FOR QUOTATION FOR THE PROCUREMENT OF GOODS: DRUGS AND MEDICINES (SVP 2020-171)</t>
  </si>
  <si>
    <t>MATERIALS FOR RIPRAPPING/ RETAINING  WALL</t>
  </si>
  <si>
    <t>“SUPPLY AND DELIVERY OF CONSTRUCTION SUPPLIES AND MATERIALS for the Repair and Improvement of Drainage Canal”</t>
  </si>
  <si>
    <t>REHABILITATION OF EVACUATION CENTER</t>
  </si>
  <si>
    <t>INVITATION TO PAKYAW GROUP - TC-LDN-LIMUAG-FAW-RRECIS-2019-03</t>
  </si>
  <si>
    <t>Rehabilitation of Comfort Room at 2nd Floor RHU BLDG.</t>
  </si>
  <si>
    <t>Procurement of Various Housekeeping Supplies-07-005(F)PAO</t>
  </si>
  <si>
    <t>10 pcs. Record book (150 leaves)</t>
  </si>
  <si>
    <t>Reconstruction of School Entrance Gate (Alilem National High School)</t>
  </si>
  <si>
    <t>Catering Services for the Procurement and delivery of meals and snacks for the 2020 Census of Population and Housing (CPH) Fourth Level Training – Municipality of Plaridel</t>
  </si>
  <si>
    <t>Procurement of Catering Services-07-082(M)OPAG</t>
  </si>
  <si>
    <t>RFQ - CM DODIONGAN CIP (2017)</t>
  </si>
  <si>
    <t>Procurement of Various Housekeeping Supplies-07-008(AD)PBO</t>
  </si>
  <si>
    <t>Supply &amp; Delivery of Various Hardware &amp; Construction Materials &amp; Supplies use for Repair of Water System at Barangay Nabali-an (Prk. 5), Himamaylan City</t>
  </si>
  <si>
    <t>20GGF0023 – Procurement of One (1) Unit Laptop, Five (5) Units Desktop Computer and Three (3) Units Ups (As per Approved Specifications) for use in the Planning and Design Section, DPWH Iloilo 1st Dis</t>
  </si>
  <si>
    <t>Labor and Materials for the Fabrication of 8 Units Retractable Tent REG-62400</t>
  </si>
  <si>
    <t>(PDRRMO) INVITATION TO BID FOR THE SUPPLY AND DELIVERY OF IRON SYRUPS/DROPS/TABLETS</t>
  </si>
  <si>
    <t>Supply and Delivery of  5.56MM (SS109) AMMUNITION (August 2020)</t>
  </si>
  <si>
    <t>SUPPLY AND DELIVERY OF INKS AND TONERS FOR OFFICE SUPPLIES STOCK RFQ NO. EMB-EMB-PGSS 103-08-04-2020- PR NO.2020-0437</t>
  </si>
  <si>
    <t>CSS Module Printing and Binding</t>
  </si>
  <si>
    <t>PURCHASE OF RESCUE PROTECTIVE GEAR</t>
  </si>
  <si>
    <t>Additional Agricultural supplies for School on Air on RCEF</t>
  </si>
  <si>
    <t>RFQ-DVO-PR.NO. 2007290 CAT. 87 OXYGEN AND ACETYLENE</t>
  </si>
  <si>
    <t>Procurement of Live Animals-07-077(M)OPAG</t>
  </si>
  <si>
    <t>(PENARO) INVITATION TO BID FOR THE SUPPLY, DELIVERY &amp; FABRICATION OF 30 UNITS STORAGE BINS FOR THE  PROVINCIAL ENVIRONMENT &amp; NATURAL RESOURCES OFFICE--450,000.00</t>
  </si>
  <si>
    <t>Construction Equipment</t>
  </si>
  <si>
    <t>PROCUREMENT OF CONSTRUCTION EQUIPMENT -GSO</t>
  </si>
  <si>
    <t>Purchase &amp; Installation of Wood Frame for Tarpaulin IEC</t>
  </si>
  <si>
    <t>CONSTRUCTION OF LINE CANAL W/ CONCRETE COVER</t>
  </si>
  <si>
    <t>Supply &amp; Delivery of Water Meters and Angle Valve</t>
  </si>
  <si>
    <t>PR 20-07-0718</t>
  </si>
  <si>
    <t>Procurement of Various General Merchandise-07-078(M)OPAG</t>
  </si>
  <si>
    <t>Purchase of Construction Materials used for the Construction of Drainage Canal at Divine Mercy Brgy. Guitnangbayan 1, San Mateo, Rizal</t>
  </si>
  <si>
    <t>Procurement of Live Animals-07-067(M)OPAG</t>
  </si>
  <si>
    <t>Repair and Maintenance of Motorcycle (KAWASAKI ROUSER) (PNP)</t>
  </si>
  <si>
    <t>(PENARO) INVITATION TO BID FOR THE SUPPLY, DELIVERY &amp; PRINTING OF DELIVERY RECEIPTS, TRANSPORT SLIPS AND SIGN BOARDS FOR THE  PROVINCIAL ENVIRONMENT &amp; NATURAL RESOURCES OFFICE--366,000.00</t>
  </si>
  <si>
    <t>Catering Services for the Procurement and delivery of meals and snacks for the 2020 Census of Population and Housing (CPH) Fourth Level Training – Municipality of Pulilan</t>
  </si>
  <si>
    <t>SUPPLY OF MATERIALS FOR THE COMPLETION OF 1-UNIT-2-CLASSROOM SCHOOL BUILDING AT SITIO-MALALAG, BARANGAY UBAUB, ARGAO, CEBU</t>
  </si>
  <si>
    <t>LUC-AMPE 2020</t>
  </si>
  <si>
    <t>RFQ PTC BILAR TRAINING USE</t>
  </si>
  <si>
    <t>Purchase of photocopier (Heavy Duty)</t>
  </si>
  <si>
    <t>SUPPLY AND DELIVERY OF SLIDING WINDOW AND SLIDING DOOR FOR BFP OFFICE</t>
  </si>
  <si>
    <t>Purchase of Office Supply (Printer Ink)</t>
  </si>
  <si>
    <t>Invitation to Bid for the Excavation, Backfilling, Compaction, Pavement Demolition and Restoration of the Proposed Rehabilitation of Old Distribution Main Line of City Proper &amp; Villafor #1 Pumping Sta</t>
  </si>
  <si>
    <t>PBD OF VETERINARY SUPPLIES AND BIOLOGICS USE FOR AGRI-OFFICE</t>
  </si>
  <si>
    <t>Procurement of Medical Supplies-07-072(M)OPAG</t>
  </si>
  <si>
    <t>PURCHASE OF MATERIALS FOR COMPLETION OF COMMUNAL PUBLIC TOILET</t>
  </si>
  <si>
    <t>ITDI-200545- SUPPLY AND DELIVERY OF ACETYLENE GAS REFILL AND ARGON GAS REFILL</t>
  </si>
  <si>
    <t>Catering Services for the Procurement and delivery of meals and snacks for the 2020 Census of Population and Housing (CPH) Fourth Level Training – Municipality of San Ildefonso</t>
  </si>
  <si>
    <t>RFQ - CATER MEALS, SNACK , LODGING AND VENUE FOR THECONDUCT O &amp; M CONFERENCE IN LDN</t>
  </si>
  <si>
    <t>Procurement of Various IT Equipment-07-068(M)OPAG</t>
  </si>
  <si>
    <t>Food, Venue and Accommodation for the Conduct of Partners forum Cum Situation Analysis Workshop on Mainstreaming I-REAP to Inter-Agency Convergence in Butuan City on Sept. 15 – 17, 2020 (2nd Batch)</t>
  </si>
  <si>
    <t>EMERGENCY PURCHASE OF PERSONAL PROTECTIVE SUPPLIES TO BE USED DURING COVID-19 PANDEMIC</t>
  </si>
  <si>
    <t>“SUPPLY AND DELIVERY OF OFFICE FURNITURE AND ICT EQUIPMENT”</t>
  </si>
  <si>
    <t>SUPPLY &amp; DELIVERY OF FUEL, OIL AND LUBRICANTS</t>
  </si>
  <si>
    <t>Procurement of materials for construction of Warehouse at Provincial Fishery Office, Agusan Del Sur</t>
  </si>
  <si>
    <t>Request for Quotation for the Provision of Catering services to be served during the conduct of Adopt a Community in support to Urban Agriculture Program on July to November 2020 at Cagayan de Oro Cit</t>
  </si>
  <si>
    <t>Vehicle Repair and Maintenance - Purchase of 2 pcs. Fuel Injector - Duero, Bohol</t>
  </si>
  <si>
    <t>SUPPLY AND DELIVERY OF MEALS FOR ISOLATION FACILITIES FOR THE OPERATION OF TASK FORCE COVID-19</t>
  </si>
  <si>
    <t>Purchase of BDRRMC Equipments</t>
  </si>
  <si>
    <t>Supply and delivery of Laboratory Equipment for K2MIPP Laboratory use</t>
  </si>
  <si>
    <t>request for quotation of electrical supplies</t>
  </si>
  <si>
    <t>Supply of Materials for Community Food Bank Facility</t>
  </si>
  <si>
    <t>Heavy Duty Storage Tub (Small, Medium &amp; Large)</t>
  </si>
  <si>
    <t>Construction of Line Canal</t>
  </si>
  <si>
    <t>RFQ- BLDG MARKER, ETC.</t>
  </si>
  <si>
    <t>drugs and medicines expenses for NIFSL4</t>
  </si>
  <si>
    <t>Procurement of Various Air Conditioning-07-120(Q)</t>
  </si>
  <si>
    <t>155.2020 VEHICLE MAINTENANCE</t>
  </si>
  <si>
    <t>Procurement of Catering Services (On-Site) re: Conduct of Social Infrastructure Building Trainings for ARBOs in DARMO Hagonoy and Kiblawan, Davao del Sur for 2nd Semester 2020</t>
  </si>
  <si>
    <t>INVITATION FOR NEGOTIATED PROCUREMENT  Supplies and Materials for the Operation and Maintenance of Child-Minding Center (Small Value Procurement)</t>
  </si>
  <si>
    <t>PROCUREMENT OF SERVICES FOR IDENTIFICATION CARD FOR TEACHING AND NON-TEACHING AND TARPAULIN DESIGN AND REPRODUCTION</t>
  </si>
  <si>
    <t>RFQ-DVO-PR.NO. 2004162 CAT. 80 FUEL, OIL, LUBRICANTS AND SERVICING</t>
  </si>
  <si>
    <t>PR 20-07-0731</t>
  </si>
  <si>
    <t>Labor and Materials for the Repair of Farm Tractor Kubota RCUD-190783</t>
  </si>
  <si>
    <t>PROCUREMENT OF VARIOUS CONSTRUCTION TOOLS AND SUPPLIES-GSO</t>
  </si>
  <si>
    <t>Purchase of materials fo donation to fire victims in Orani, Bataan</t>
  </si>
  <si>
    <t>request for quotation of surveying instrument</t>
  </si>
  <si>
    <t>(GO-Pjail) INVITATION TO BID FOR THE SUPPLY &amp; DELIVERY OF1 UNIT LAPTOP   FOR THE  GOVERNOR’S OFFICE – PROVINCIAL JAIL--55,000.00</t>
  </si>
  <si>
    <t>otg holder ID lace</t>
  </si>
  <si>
    <t>Supply and Delivery of Office Equipment for PDAO</t>
  </si>
  <si>
    <t>Disinfectant at the Residual Containment Area (RCA)/CWMO</t>
  </si>
  <si>
    <t>Food, Venue and Accommodation for the Conduct of Technical Briefing on Care, Maintenance and Processing of Cacao - (3 batches) from Surigao Sur &amp; Norte and Agusan del No</t>
  </si>
  <si>
    <t>Labor and Materials for the Installation of Accessories of Government Vehicle RCUD-70000</t>
  </si>
  <si>
    <t>PURCHASE OF MATERIALS FOR CONTRUCTION OF OLD BARANGAY HALL</t>
  </si>
  <si>
    <t>Procurement of Various General Merchandise-07-443(A)PGO</t>
  </si>
  <si>
    <t>Procurement of Diesel Fuel -07-428(A)PGO</t>
  </si>
  <si>
    <t>SUPPLY AND DELIVERY OF BRAND NEW SERVICE UTILITY VAN  INTENDED FOR MUNICIPAL ENGINEERING OFFICE OF INFANTA, QUEZON</t>
  </si>
  <si>
    <t>Repair &amp; Maintenance of School Building &amp; Government Facilities</t>
  </si>
  <si>
    <t>OFFICE SUPPLIES FOR TEACHERS  / OFFICE USE</t>
  </si>
  <si>
    <t>RESCUE OPERATION EQUIPMENT</t>
  </si>
  <si>
    <t>Supply and Delivery of External Hard Drive, Flash Drive, Router and UPS</t>
  </si>
  <si>
    <t>20FH0100 - CONSTRUCTION OF TWO (2) STOREY SIX (6) CLASSROOM (7X9) SENIOR HIGH SCHOOL BUILDING, TINAGO NATIONAL HIGH SCHOOL, VIGA, CATANDUANES</t>
  </si>
  <si>
    <t>Procurement of Diesel Fuel -07-426(A)PGO</t>
  </si>
  <si>
    <t>SUPPLY AND DELIVERY OF MEALS FOR CHECKPOINT FRONT LINERS FOR THE OPERATION OF TASK FORCE COVID-19</t>
  </si>
  <si>
    <t>Supply &amp; Delivery of Risograph Machine</t>
  </si>
  <si>
    <t>Supply and Delivery of Service Connection Materials</t>
  </si>
  <si>
    <t>PROCUREMENT OF PETROLEUM, OIL AND LUBRICANT PRODUCTS (POL)</t>
  </si>
  <si>
    <t>Spare Parts for the Repair and Maintenance of Heavy Equipment and Vehicle</t>
  </si>
  <si>
    <t>REHABILITATION OF BARANGAY BASKETBALL COURT, DALUPA</t>
  </si>
  <si>
    <t>REQUEST FOR QUOTATION FOR  USE OF ALA RIS OFFICE SUPPLIES</t>
  </si>
  <si>
    <t>MDRRM Medical and Rescue Equipment</t>
  </si>
  <si>
    <t>PROCUREMENT OF CASSAVA DIGGER (FOR CALIDAFA BUB 2015)</t>
  </si>
  <si>
    <t>PURCHASE OF ONE UNIT RESCUE/ MULTI-PURPOSE VEHICLE OF BRGY. ISIO, CAUAYAN. NEGROS OCCIDENTAL</t>
  </si>
  <si>
    <t>Vehicle Repair and Maintenance - Purchase of Supplies and Materials - Duero, Bohol</t>
  </si>
  <si>
    <t>2020-07-1116 "Procurement of Pipes for Transmission and Distribution, Solar Pumps for Water System"</t>
  </si>
  <si>
    <t>JGE SCHOOL BUILDING ROOF IMPROVEMENT</t>
  </si>
  <si>
    <t>RFQ-DVO-PR.NO. 2001586 CAT. OFFICE SUPPLIES AND MATERIALS</t>
  </si>
  <si>
    <t>PR 20-07-0738</t>
  </si>
  <si>
    <t>Medical Supplies</t>
  </si>
  <si>
    <t>S/D OF FIVE (5) BXS D5 NM1LX12’S AND FORTY EIGHT (48) OTHER LI OF FMASH, 7ID, PA (PHP 216,980.00)</t>
  </si>
  <si>
    <t>CONSTRUCTION OF DRAINAGE CANAL, P3, RAMIREZ ST.,  BULANAO NORTE</t>
  </si>
  <si>
    <t>Civil Society Organization (CSO) PROVISION OF FAMILY PLANNING SERVICES</t>
  </si>
  <si>
    <t>Purchase of Medical Supply</t>
  </si>
  <si>
    <t>1. IT Equipment (Server Computer)/BPLO 2. Office Equipment (Desktop Computer w/ Complete Accessories)/City Administrative Office</t>
  </si>
  <si>
    <t>PURCHASE OF ONE UNIT RESCUE/ MULTI-PURPOSE VEHICLE OF BRGY. LINAON, CAUAYAN. NEGROS OCCIDENTAL</t>
  </si>
  <si>
    <t>(PIHO) INVITATION TO BID FOR THE SUPPLY AND DELIVERY OF ONE (1) SET REFRIGERATED CENTRIFUGE</t>
  </si>
  <si>
    <t>Supply and delivery of Office/Janitorial Supplies and Equipment se for Public Employeent Service Office</t>
  </si>
  <si>
    <t>SUPPLY OF ADDITIONAL MATERIALS OF ROOF FRAMING FOR THE COVERED COURT OF BRGY. SAN ISIDRO, SAN MIGUEL, Z.D.S</t>
  </si>
  <si>
    <t>Procurement of Spare Parts-07-441(O)PEO</t>
  </si>
  <si>
    <t>Purchase of Agricultural Equipment for the Provincial Agriculture Office/ Provincial Research at Switch, RM, Zamboanga del Sur</t>
  </si>
  <si>
    <t>Supply and Delivery of Various Office Furniture &amp; Fixture</t>
  </si>
  <si>
    <t>5 Units HDMI to VGA Converter, 3 Units Portable Wifi Router &amp; 12 Units Wireless Speaker</t>
  </si>
  <si>
    <t>Purchase of Office Supplies for Agriculture Office</t>
  </si>
  <si>
    <t>Procurement of Power Generation-07-073(M)OPAG</t>
  </si>
  <si>
    <t>RIPRAP OF BARANGAY ROAD CANAL (PHASE 2)</t>
  </si>
  <si>
    <t>CONSTRUCTION OF DEEPWELL, MADOPDOP, LACNOG</t>
  </si>
  <si>
    <t>Request for Quotation (RFQ) for Medical Supplies and Laboratory Instrument to be use in every Qualifications</t>
  </si>
  <si>
    <t>1. One (1) Job Repair of Toyota Hilux with plate no. SJU-399/CMO-Motorpool 2. Batteries of Forland and FAW trucks for garbage collection of the City/CWMO 3. Spareparts of SJU-381 Toyota 2010 Tamaraw F</t>
  </si>
  <si>
    <t>PURCHASE OF MATERIALS FOR THE COMPLETION OF SUBANEN BUILDING FOR COVID-19 ISOLATION FACILITY</t>
  </si>
  <si>
    <t>Catering Services for the Procurement and delivery of meals and snacks for the 2020 Census of Population and Housing (CPH) Fourth Level Training – Municipality of San Miguel</t>
  </si>
  <si>
    <t>UPGRADING OF PERIMETER FENCE OF CIRIACO P. TINGA ELEMENTARY SCHOOL</t>
  </si>
  <si>
    <t>Spare Parts for the Repair and Maintenance of Heavy Equipment</t>
  </si>
  <si>
    <t>20GME0060(Rebid) - Supply &amp; Delivery of Const. Materials for use in  Repair/Maintenance of National Roads within Sarangani District Engineering Office (Thermoplastic Pavement Markings), Sarangani Prov</t>
  </si>
  <si>
    <t>SUBM#2020 -08 - 07 - To purchase Personal Equipment for use in Lakbay Alalay Tent along National Roads within the Negros Occidental 2nd District Engineering Office, Binalbagan, Negros Occidental</t>
  </si>
  <si>
    <t>20GME0044(Rebid) - Supply &amp; Delivery of Lubricants for use of various  Vehicles of DPWH-Sarangani District Engineering Office Contract, Sarangani Province</t>
  </si>
  <si>
    <t>Supply and delivery of Materials for Repair and Improvement of Tejero Elem. School (Doors, Windows and Painting) in Tejero Elem. School, Brgy. Lual Bo., Mauban, Quezon.</t>
  </si>
  <si>
    <t>Procurement of Various Hardware Supplies-07-079(M)OPAG</t>
  </si>
  <si>
    <t>SUPPLY AND DELIVERY OF MEALS FOR THE PROJECT "PROVISION OF ASSISTANCE TO VICTIMS OF DISASTER (HOT MEALS)"</t>
  </si>
  <si>
    <t>PROCUREMENT OF OFFICE SUPPLIES AND DEVICES INTENDED FOR THE VARIOUS OFFICES OF LGU-INFANTA, QUEZON</t>
  </si>
  <si>
    <t>20FH0096 - REPAIR/MAINTENANCE OF DPWH BUILDING, MAIN OFFICE BUILDING, CATANDUANES DEO, VIRAC, CATANDUANES</t>
  </si>
  <si>
    <t>Purchase of 2 Folding Bed used in the Office of the Agriculture as temporary accommodation for clientele from far areas.</t>
  </si>
  <si>
    <t>CONSTRUCTION OF MARFUWANG FOOTPATH, BELONG MAN-UBAL</t>
  </si>
  <si>
    <t>Purchase of External Hard Drive</t>
  </si>
  <si>
    <t>Supply &amp; Delivery of tools &amp; supplies 07D DA-BAR Vermi H08-2020</t>
  </si>
  <si>
    <t>Request for quotation of general merchandise</t>
  </si>
  <si>
    <t>UPLB-S-030-08-20 REBID, PROCUREMENT OF SIPHONING SERVICES OF SEPTIC TANKS FOR UPLB DORMITORIES (NEW DORMITORY, VETMED DORMITORY, FORESTRY RESIDENCE HALL, NEW FORESTRY RESIDENCE HALL) REBID</t>
  </si>
  <si>
    <t>CONSTRUCTION OF COVERED PATHWALK</t>
  </si>
  <si>
    <t>Request for Quotation of Construction Materials and Supplies</t>
  </si>
  <si>
    <t>PR 20-07-0745</t>
  </si>
  <si>
    <t>“SUPPLY AND DELIVERY OF TIRES FOR HEAVY EQUIPMENT”</t>
  </si>
  <si>
    <t>VARIOUS INFRASTRUCTURE PROJECTS</t>
  </si>
  <si>
    <t>20GME0065 - Supply &amp; Delivery of various Vehicle Parts for use  in Repair of Stake Truck (H2-254) at Sarangani District Engineering Office, Sarangani Province</t>
  </si>
  <si>
    <t>Catering Services for the Procurement and delivery of meals and snacks for the 2020 Census of Population and Housing (CPH) Fourth Level Training – Municipality of San Rafael</t>
  </si>
  <si>
    <t>PURCHASE OF TRASH BIN FOR OFFICE USE</t>
  </si>
  <si>
    <t>Procurement of Various Hardware Supplies-07-074(M)OPAG</t>
  </si>
  <si>
    <t>DDN GDSI 2020-35</t>
  </si>
  <si>
    <t>Procurement of Various Hardware Supplies-07-075(M)OPAG</t>
  </si>
  <si>
    <t>Medicine</t>
  </si>
  <si>
    <t>Supply and delivery of Materials for Repair and Maintenance of Slaughterhouse - Pigpen in Brgy. Polo, Mauban, Quezon</t>
  </si>
  <si>
    <t>20GME0064 - Supply &amp; Delivery of Office Furniture for use in  Construction Section, Alabel, Sarangani Province</t>
  </si>
  <si>
    <t>PURCHASE AND DELIVERY  OF PPE FOR STAFF AGAINST COVID-19 FOR THE THIRD QUARTER OF 2020</t>
  </si>
  <si>
    <t>Purchase of Five (units) Motorcyle with various specification</t>
  </si>
  <si>
    <t>Multi-Purpose Pavement-Gaboc</t>
  </si>
  <si>
    <t>SUPPLY OF ADDITIONAL MATERIALS OF ROOF FRAMING FOR THE COVERED COURT OF BRGY. LAPERIAN, SAN MIGUEL, Z.D.S</t>
  </si>
  <si>
    <t>IMPROVEMENT OF MATERIAL RECOVERY FACILITY (MRF)</t>
  </si>
  <si>
    <t>SUPPLY AND DELIVERY OF PLAQUES FOR THE CONDUCT OF BFP ANNIVERSARY CELEBRATION OF BFP REGION 1, CY 2020</t>
  </si>
  <si>
    <t>Supply and delivery of Materials for Construction of Irrigation System, Sitio Ilaya, Brgy. San Isidro, Mauban, Quezon</t>
  </si>
  <si>
    <t>Purchase of contruction materials for the fabrication of citizines charter's frame</t>
  </si>
  <si>
    <t>SLEEPING GEARS TO BE USED IN THE COVID-19 MUNICIPAL TEMPORARY TREATMENT AND ISOLATION FACILITY</t>
  </si>
  <si>
    <t>Purchase School Supply (from SK Fund)</t>
  </si>
  <si>
    <t>Supply and Delivery of Chlorine Dosing Pump</t>
  </si>
  <si>
    <t>Pest Control Services for the Philippine Institute of Traditional and Alternative Health Care (PITAHC)</t>
  </si>
  <si>
    <t>Supply and Delivery of 10 units Aircon, Split Type</t>
  </si>
  <si>
    <t>SUPPLY &amp; DELIVERY OF FURNITURE &amp; FIXTURES</t>
  </si>
  <si>
    <t>(PIHO-BDH) INVITATION TO BID FOR THE SUPPLY AND DELIVERY OF VARIOUS HOSPITAL EQUIPMENT</t>
  </si>
  <si>
    <t>RFQ No.06-0414-20 NSTP SUPPLY AND DELIVERY OF VARIOUS OFFICE SUPPLIES AND CONSUMABLES</t>
  </si>
  <si>
    <t>Supply and Delivery of Various Supplies and Materials for the Reproduction of Teacher-Made Modules</t>
  </si>
  <si>
    <t>20GGJ0058 Request for Quotation</t>
  </si>
  <si>
    <t>PR 20-07-0746</t>
  </si>
  <si>
    <t>Supply , Delivery and Installation of the Waterproofing at the Roof Deck of SEC Cebu Extension Office Building</t>
  </si>
  <si>
    <t>PROCUREMENT OF THREE (3) UNITS RISO DIGITAL DUPLICATOR AND TWENTY-FOUR (24) UNITS MULTI-FUNCTION COPIER PRINT</t>
  </si>
  <si>
    <t>Request for Quotation (RFQ) for Medical Supplies and Laboratory Equipment for GAD Social $ Health Services for Different Brgy in Asingan</t>
  </si>
  <si>
    <t>Delivery of various Consolidated office supplies and materials needed for various offices (1st Semester 2020) (re-bid) (ITB 20-094)</t>
  </si>
  <si>
    <t>10 bots Rubbing Alcohol</t>
  </si>
  <si>
    <t>1 set Transit Total Station (GNSSRTK)</t>
  </si>
  <si>
    <t>Supply and delivery of OIl/Lubricants to be used of Service Vehicle assigned in the Office of the Planning and Design Section, 3rd Quarter CY 2020</t>
  </si>
  <si>
    <t>CONCTRETING OF GEN. LUNA EXTENSION / MUNICIPAL STREET</t>
  </si>
  <si>
    <t>ICT Equipment for CCTV-DVR</t>
  </si>
  <si>
    <t>Proposed Rehabilitation and Upgrading of Existing Streetlighting along Antipolo Street (Phase 1 and 2) located at Barangay Poblacion/Valenzuela, Makati City</t>
  </si>
  <si>
    <t>Office supplies c/o Ruth Sorrera-Empowering Beginning Reading Teachers and Home Facilitators during Pandemic</t>
  </si>
  <si>
    <t>20GME0066 - Supply &amp; Delivery of Garments for use in  Maintenance Section, Sarangani District Engineering Office, Sarangani Province</t>
  </si>
  <si>
    <t>meals</t>
  </si>
  <si>
    <t>PURCHASE OF MATERIALS FOR THE CONSTRUCTION OF COVERED COURT PHASE III RSHS PAG- ASA, BANSUD ORIENTAL MINDORO</t>
  </si>
  <si>
    <t>EMERGENCY PURCHASE OF PERSONAL PROTECTIVE EQUIPMENT TO BE USED AGAINST COVID-19</t>
  </si>
  <si>
    <t>Supply &amp; Delivery of various materials for the Installation of Water Pump &amp; Pipeline at Sitio Barasbarasan Detachment, Brgy. Manlucahoc,, Sipalay City, Neg. Occ.</t>
  </si>
  <si>
    <t>Procurement of Duplicator</t>
  </si>
  <si>
    <t>PURCHASE OF CONSTRUCTION MATERIALS AND SUPPLIES FOR USE OF CONSTRUCTION OF SHALLOW WELLS/DEEP WELLS/REPAIR &amp; MAINTENANCE OF VARIOUS ARTESIAN WELLS/REPLACEMENT OF JETMATIC PUMPS,SILAY CITY.	(REBID)</t>
  </si>
  <si>
    <t>Supply and Delivery of 3-Dimensional Printer PLA Filament Black for Prototyping and Other Items</t>
  </si>
  <si>
    <t>MAINTENANCE OF 3V'S BARANGAY ROAD (CONCRETING)-Barangay Villa Espina Lopez, Quezon</t>
  </si>
  <si>
    <t>Procurement of Various Hardware Supplies-07-448(O)PEO</t>
  </si>
  <si>
    <t>Purchase Face Mask</t>
  </si>
  <si>
    <t>Dismantling/Transfer, Cleaning &amp; Maintenance of Airconditioning Units from COA Training Center to COA Regional Office Building</t>
  </si>
  <si>
    <t>Purchase of Rice Assistance for Person Under Monitoring (PUM).</t>
  </si>
  <si>
    <t>PURCHASE OF BABY DIAPERS &amp; HYGIENE KITS FOR PDAO</t>
  </si>
  <si>
    <t>Supply and delivery of Fuel for Mlang PNP vehicles use.</t>
  </si>
  <si>
    <t>Catering Services for the Procurement and delivery of meals and snacks for the 2020 Census of Population and Housing (CPH) Fourth Level Training – Municipality of Santa Maria</t>
  </si>
  <si>
    <t>Lot #1: Airing of IEC for Health (TV Advertisement) IEC for Health Events</t>
  </si>
  <si>
    <t>Supply and Delivery of assorted vegetable seedlings for mass production</t>
  </si>
  <si>
    <t>PR 20-07-0747</t>
  </si>
  <si>
    <t>PURCHASE OF ELECTRICAL SUPPLY</t>
  </si>
  <si>
    <t>PURCHASE OF VARIOUS OFFICE SUPPLIES</t>
  </si>
  <si>
    <t>PROCUREMENT OF OFFICE SUPPLIES FOR THIRD QUARTER OF REGIONAL OFFICE AND FIELD OFFICES (CALAPAN CITY PPO, ORIENTAL MDO PPO AND ROMBLON PPO)</t>
  </si>
  <si>
    <t>Airconditioner General Cleaning &amp; Repair-MHO-TF-MCP</t>
  </si>
  <si>
    <t>Supply and delivery of Fuel for Official Travel of MHO personnel.</t>
  </si>
  <si>
    <t>Construction of Municipal Isolation Unit - SB # 03 CY 2020 (Procurement of Hardware Materials) - MEO</t>
  </si>
  <si>
    <t>purchase of rapid testing kits</t>
  </si>
  <si>
    <t>Purchase of Dissinfecting Supplies/Various Medical Supplies</t>
  </si>
  <si>
    <t>Proposed Entry Landmark in Various Locations at Makati City</t>
  </si>
  <si>
    <t>RFQ - Hydrotesting and Refilling of SCBA Tanks</t>
  </si>
  <si>
    <t>Laptop for BAC Office</t>
  </si>
  <si>
    <t>COST OF 3000 PCS OF TARPAULIN OF MAGNA KARTA NG KABABAIHAN FOR THE NEW NORMAL TO BE USED AT THE OFFICE OF PERMITS &amp; LICENSE DIVISION.</t>
  </si>
  <si>
    <t>RB2020-08-252 Cement delivered to various Barangay</t>
  </si>
  <si>
    <t>Proposed Perimeter Fence along Residential Area at Makati Homes-I, located at H. Santos Street, Brgy. Tejeros, Makati City</t>
  </si>
  <si>
    <t>CONSTRUCTION OF 2-STOREY GENDER SENSITIVE RESEARCH FACILITY AT PUP CAMPUS-Brgy. Burgos Lopez, Quezon</t>
  </si>
  <si>
    <t>RFQ20-25</t>
  </si>
  <si>
    <t>Labor and materials for service vehicle with plate number SAA2994 MITSUBISHI MONTERO</t>
  </si>
  <si>
    <t>60 pax 1 Snack &amp; 1 Lunch serve during MPOC Meeting</t>
  </si>
  <si>
    <t>PURCHASE OF CONSTRUCTION MATERIALS &amp; SUPPLIES FOR THE IMPROVEMENT OF SENIOR CITIZEN'S BUILDING</t>
  </si>
  <si>
    <t>REPAIR AND MAINTENANCE OF VEHICLES</t>
  </si>
  <si>
    <t>CONSTRUCTION OF MATERIAL RECOVERY FACILITY (MRF) FOR BARANGAY HUBANG, BARANGAY PISAAN AND BARANGAY 3, SFADS</t>
  </si>
  <si>
    <t>Improvement of Multi-Purpose Hall (North Poblacion)</t>
  </si>
  <si>
    <t>Supply and delivery of Printer</t>
  </si>
  <si>
    <t>Supply &amp; Delivery of Other Supplies for Mayor's Office</t>
  </si>
  <si>
    <t>Procurement of Multi-Functional Ambulance</t>
  </si>
  <si>
    <t>1 LOT REPAIR &amp; REPLACEMENT OF CCTV UNIT &amp; ACCESSORIES</t>
  </si>
  <si>
    <t>Purchase of IT parts and accessories for Library used.</t>
  </si>
  <si>
    <t>GOODS-OS-29-2020</t>
  </si>
  <si>
    <t>SUPPLY AND DELIVERY OF CONSTRUCTION MATERIALS USE FOR CONSTRUCTION OF MULTI-PURPOSE DRYING PAVEMENT AT BARANGAY POBLACION &amp; LABAO, ESPERANZA, ADS.</t>
  </si>
  <si>
    <t>Repair and Maintenance of Heavy Vehicles</t>
  </si>
  <si>
    <t>SUPPLY AND DELIVERY OF VARIOUS OFFICE SUPPLIES: CONSUMABLES OF GESTETNER DX2430 COPY PRINTER (BLACK AND WHITE)</t>
  </si>
  <si>
    <t>Service Award Tokens ( Television and Ring )</t>
  </si>
  <si>
    <t>CONSTRUCTION OF BARANGAY STAGE-MABINI, CARAMORAN, CATANDUANES</t>
  </si>
  <si>
    <t>Purchase of Office Equipment For COA Office Use. Under P.R. No. 80-20-01-006</t>
  </si>
  <si>
    <t>IT Equipment-Accounting Office</t>
  </si>
  <si>
    <t>ink</t>
  </si>
  <si>
    <t>PURCHASE OF MATERIALS FOR THE IMPROVEMENT OF SCHOOL SITE</t>
  </si>
  <si>
    <t>NEGOTIATED PROCUREMENT OF SOLAR STREET LIGHT FOR IP COMMUNITY-Brgy. Villa Espina Lopez, Quezon</t>
  </si>
  <si>
    <t>Purchase Office Appliances</t>
  </si>
  <si>
    <t>Supply and Delivery of Storage Shelves for Stockroom Use</t>
  </si>
  <si>
    <t>CONSTRUCTION OF MATERIAL RECOVERY FACILITY (MRF) FOR BARANGAY ALEGRIA, BARANGAY KARAOS AND BARANGAY SAN ISIDRO, SFADS</t>
  </si>
  <si>
    <t>CONSTRUCTION OF MATERIAL RECOVERY FACILITY (MRF) FOR BARANGAY BAYUGAN 2, BARANGAY LAPINIGAN AND BARANGAY PASTA, SFADS</t>
  </si>
  <si>
    <t>Delivery of Shirts and Polo Shirts of Different Association</t>
  </si>
  <si>
    <t>Concreting of Various Streets (Phase V) ITB NO: SFZ-INFRA 2020-007</t>
  </si>
  <si>
    <t>To Support The Logistical Requirements of 1FAB,AAR,PA</t>
  </si>
  <si>
    <t>Procurement of ICT Equipment for various offices</t>
  </si>
  <si>
    <t>PR-2020-1480 Three (3) Units Laptop-PHO</t>
  </si>
  <si>
    <t>SUPPLY AND DELIVERY OF RANK &amp; FILE TABLES FOR GSIS MALAYBALAY BRANCH OFFICE</t>
  </si>
  <si>
    <t>Purchase of Well-Milled Rice</t>
  </si>
  <si>
    <t>Supply and Delivery of Ink Cartridge</t>
  </si>
  <si>
    <t>Office Supplies-MSWDO-Admin</t>
  </si>
  <si>
    <t>Internet Connection for Various Office of LGU San Pablo.</t>
  </si>
  <si>
    <t>Conduct of CY 2020 Customer Satisfaction Survey (CSS)</t>
  </si>
  <si>
    <t>books</t>
  </si>
  <si>
    <t>SUPPLIES FOR REFRESHMENT/ EATERY</t>
  </si>
  <si>
    <t>COMMUNICATION  PARTS AND EQUIPMENT/TOOLS FOR THE LEARNING THROUGH RADIO &amp; TELEVISION IN TIME OF COVID - 19 IN "NORTE"</t>
  </si>
  <si>
    <t>Photocopy of Various Documents- MPDC</t>
  </si>
  <si>
    <t>Purchase of Medical Supplies and Medicines for BEMONC Bansud</t>
  </si>
  <si>
    <t>PR-2020-0665 Portable Anthropometric Tool (Renegotiated)-PSWDO</t>
  </si>
  <si>
    <t>20GIE0022 - Gender &amp; Development (GAD) Integration Framework in Road Infrastructure Sector and other Related Activities for Gender and Development Activity Women’s Month Celebration CY 2020. DPWH, Ley</t>
  </si>
  <si>
    <t>Procurement of VEHICLE (SINGLE CAB)</t>
  </si>
  <si>
    <t>ITB-2020-002 Construction of Toilet</t>
  </si>
  <si>
    <t>Supply and Delivery of Various ICT Equipment and Accessories</t>
  </si>
  <si>
    <t>PUBLICATION OF EMB MC ON THE CLARIFICATION OF ANNEX 5 UNDER EMB-EQMD-WQMS RFQ NO. EMB-EQD-SHOPPING-G-0101-8-03-2020  2020-0701</t>
  </si>
  <si>
    <t>USE FOR THE INSTALLATION OF MOTOR PUMPS &amp; WATER STORAGE TANK FOR MAO OFFICE</t>
  </si>
  <si>
    <t>Brake Drum etc. (07-0812) Operation of Public Motorpool</t>
  </si>
  <si>
    <t>Procurement of Eight (8) units Digital Duplicator / RISO for making of learning modules</t>
  </si>
  <si>
    <t>Procurement of HP Laserjet Imaging Drum for HP Printer, LJ Pro M102a</t>
  </si>
  <si>
    <t>S/D OF TWENTY (20) PCS GI SHEET # 12 AND TWENTY THREE (23) OTHER LI OF 1LBMS, AAR, PA (PHP 52,000.00)</t>
  </si>
  <si>
    <t>Procurement of Furniture and Fixtures for the IFSU Alumni Center</t>
  </si>
  <si>
    <t>INSTALLATION OF AC POWERED LED STREETLIGHT ALONG TOOG AVENUE, BARANGAY 2, SFADS</t>
  </si>
  <si>
    <t>SUPPLY AND DELIVERY OF FIRST AID KIT</t>
  </si>
  <si>
    <t>Supply &amp; Installation of Roller Blinds</t>
  </si>
  <si>
    <t>Purchase of Student Registration Card for the incoming freshmen and sophomores of the City College SY 2021 - 2022</t>
  </si>
  <si>
    <t>Purchase of Softbound Student Handbook to be given to the students and their parents/guardians and understanding of the general rules and guidelines of the City College of San Jose Del Monte</t>
  </si>
  <si>
    <t>Supply and Delivery of Tube, Thorascostomy G.32, with adaptor</t>
  </si>
  <si>
    <t>Completion of Multi-Purpose Building (Proper Calidngan) at Calidngan, Carcar City, Cebu</t>
  </si>
  <si>
    <t>Purchase of Office and Other supplies for used at Budget Office</t>
  </si>
  <si>
    <t>Construction of Three (3) Units Department Vehicle Garage</t>
  </si>
  <si>
    <t>Supply and delivery of Supplies for Business and Tricycle Permit use.</t>
  </si>
  <si>
    <t>To provide catering services during the conduct of various meetings / conferences / trainings relative to the implementation of different programs and services of DSWD Field Office XI</t>
  </si>
  <si>
    <t>Supply and Delivery of Construction Materials and Supplies for Proposed Bicycle Lane Signages within Marikina CIty</t>
  </si>
  <si>
    <t>Supply and Delivery of Handheld GPS for NIA INISAIP</t>
  </si>
  <si>
    <t>Supply and Delivery of Earphones for Alternative Work Schemes of Faculty and Administrative Staff for Administrative and Academic Operations</t>
  </si>
  <si>
    <t>Supply and Delivery of Various Sporting Goods and Equipment</t>
  </si>
  <si>
    <t>Other Supplies-MSWDO Admin</t>
  </si>
  <si>
    <t>Procurement of Various Food Stuff [07-121(Q)] ZNMC</t>
  </si>
  <si>
    <t>EXECUTIVE TABLE FOR THE DEPARTMENT HEAD</t>
  </si>
  <si>
    <t>Materials for Improvement of Multi-Purpose Hall Phase I</t>
  </si>
  <si>
    <t>Procurement of various spare parts for the repair and maintenance of Motor Vehicles</t>
  </si>
  <si>
    <t>Procurement of Sikpaw for Dog Catching</t>
  </si>
  <si>
    <t>Purchase of IT parts and accessories for TCC used.</t>
  </si>
  <si>
    <t>Polyethylene Hose etc . (07-0800) Hon. Asprer</t>
  </si>
  <si>
    <t>BIOMETRIC UNIT FOR STA. MARCELA DISTRICT HOSPITAL</t>
  </si>
  <si>
    <t>Office Equipment and Curtains (Blind Type) for use at Budget Office</t>
  </si>
  <si>
    <t>electrical supplies</t>
  </si>
  <si>
    <t>SUPPLY AND DELIVERY OF CEILING MOUNTED INVERTER ACU SPLIT TYPE 3TR INCLUDING DISMANTLING AND INSTALLATION</t>
  </si>
  <si>
    <t>Purchase of Rapid Test Kits.</t>
  </si>
  <si>
    <t>SUPPLY AND DELIVERY OF OFFICE MOBILE PEDESTAL FOR GSIS MALAYBALAY BRANCH OFFICE</t>
  </si>
  <si>
    <t>purchase of photocopier</t>
  </si>
  <si>
    <t>Printing of MFWD officiala receipts</t>
  </si>
  <si>
    <t>PB2020-07-117 Procurement of Various Laboratory Reagents for 2020 GABMMC, JJASGH, OMMC</t>
  </si>
  <si>
    <t>INSTALLATION/REHABILITATION OF STREETLIGHTS – NATIONAL HIGHWAY (Re-post)</t>
  </si>
  <si>
    <t>Supply &amp; Delivery of Intraoral Aerosol Suction w/ Saliva Ejector for Dental Clinic used, Sipalay City, Neg. Occ.</t>
  </si>
  <si>
    <t>Calibrator cartridge for (ABG), 500-700 samples/kit</t>
  </si>
  <si>
    <t>SUPPLY AND DELIVERY OF SUBMERSIBLE PUMP, MOTOR 3HP, THERMAL OVERLOAD RELAY AND #10 Submersible Cable, 3C</t>
  </si>
  <si>
    <t>Medical Supplies - (3rd) MEDICATION TRAY</t>
  </si>
  <si>
    <t>SUPPLY AND DELIVERY OF STEEL RACKS FOR GSIS MALAYBALAY BRANCH OFFICE</t>
  </si>
  <si>
    <t>Rehabilitation of LGU Owned Potable Water Supply System</t>
  </si>
  <si>
    <t>Procurement of Various Medical Supplies</t>
  </si>
  <si>
    <t>Concreting of Barangay Road Rebi, Teniapan San Pablo ZDS.</t>
  </si>
  <si>
    <t>PROCUREMENT OF SUPPLIES FOR DRESSMAKING</t>
  </si>
  <si>
    <t>Concreting of Binanuaanan Road at Binanuaanan, Pili, Camarines Sur</t>
  </si>
  <si>
    <t>SUPPLY AND DELIVERY OF TELEPHONE OPERATORS HEADSET</t>
  </si>
  <si>
    <t>1 LOT SUPPLY, DELIVERY &amp; INSTALLATION OF 2 UNITS SUBMERSIBLE WATER PUMP FOR CITY TERMINAL USE</t>
  </si>
  <si>
    <t>Concreting of Access Road at Sitio Aromayan Binanuaanan, Pili, Camarines Sur</t>
  </si>
  <si>
    <t>Procurement of Vegetable Seeds (OPV) for the High Value Commodity Development Program of Municipal Agriculture Office, Tagudin, Ilocos Sur</t>
  </si>
  <si>
    <t>Purchase of electrical supplies for the improvement of street lights at Josefa Village</t>
  </si>
  <si>
    <t>Construction of Perimeter Fence of Sports Complex Phase I at Poblacion III, Carcar City, Cebu</t>
  </si>
  <si>
    <t>PROCUREMENT OF DISINFECTANT SUPPLIES, OTHER MATERIALS AND EQUIPMENT FOR UNIVERSITY CLINIC</t>
  </si>
  <si>
    <t>1 pack Activated Charcoal 50g &amp; etc. for Bais District Hospital		 (S-260-2020)</t>
  </si>
  <si>
    <t>RFQ No. 20-0708 NP-SV Supply and Delivery of Drone Camera</t>
  </si>
  <si>
    <t>Procurement of Executive Chair</t>
  </si>
  <si>
    <t>Printing of Self-Learning Module</t>
  </si>
  <si>
    <t>20GGL0007 - PROCUREMENT OF MATERIALS FOR USE IN THE REPAIR AND MAINTENANCE OF ASPHALT AND CONCRETE PAVEMENT WITHIN THE NEGROS OCCIDENTAL 2ND DISTRICT ENGINEERING OFFICE, BINALBAGAN, NEGROS OCC.</t>
  </si>
  <si>
    <t>20PC0062 DPWH MODIFIED STANDARD TWO (2) UNITS HEALTH FACILITY TENT</t>
  </si>
  <si>
    <t>Supply and Delivery of 2 Units Cellphone</t>
  </si>
  <si>
    <t>Procurement of Learning Materials for Printing of Modules</t>
  </si>
  <si>
    <t>MAINTENANCE OF SERVICE VEHICLE.</t>
  </si>
  <si>
    <t>2 unit Hanging Cabinet (Fabricated)</t>
  </si>
  <si>
    <t>REPRODUCTIONS OF MODULE</t>
  </si>
  <si>
    <t>FOR PPDO USE</t>
  </si>
  <si>
    <t>Labor &amp; Materials: For Pest Control and Treatment at Hemodialysis Center And environment and Natural Resources Buildings</t>
  </si>
  <si>
    <t>Repair &amp; Cleaning of Aircon-Accounting Office</t>
  </si>
  <si>
    <t>MOTOR CYCLE WITH SIDE CAR</t>
  </si>
  <si>
    <t>SUPPLY, DELIVERY, AND AFTER SALES SERVICE OF COMMON USE SUPPLIES (CUS) - SUPPLIES AND MATERIALS AT PSU MAIN AND EXTERNAL CAMPUSES</t>
  </si>
  <si>
    <t>SUPPLY OF 1-YEAR LICENSE SUBSCRIPTIONS FOR ONE (1) UNIT OF SONICWALL NSA-6600, TWO (2) UNITS OF SONICWALL NSA-3600  AND 1-YEAR SONICWALL GMS E-CLASS SOFTWARE SUPPORT</t>
  </si>
  <si>
    <t>RFQ 2020-07-069 OFFICE EQUIPMENT</t>
  </si>
  <si>
    <t>Printing of 400 Copies Diploma for the College Registrar's Office of Guimaras State College (Salvador Campus)</t>
  </si>
  <si>
    <t>Repair/Maintenance of I.T Equipment</t>
  </si>
  <si>
    <t>Flatbed Scanner PRO (Heavy Duty) ADF &amp; etc. for SP Office (N-602-2020)</t>
  </si>
  <si>
    <t>hotel accommodations</t>
  </si>
  <si>
    <t>PROCUREMENT OF 1 UNIT REFRIGERATED VAN (BRAND NEW), MINI ALUMINUM VAN (RECONDITIONED) AND 11 UNITS MOTORCYCLES (BY LOT) LGU, MALAYBALAY CITY.</t>
  </si>
  <si>
    <t>Repair of BIR COA Office entrance door</t>
  </si>
  <si>
    <t>Supply &amp; Delivery of various materials for the Construction of Cross Drainage at various Barangays of Sipalay City, Neg. Occ.</t>
  </si>
  <si>
    <t>Labor &amp; Materials for Land Filling &amp; Piling of Earth Bags within the Premises of Pump Station Pugaro (new)</t>
  </si>
  <si>
    <t>SUPPLY AND DELIVERY OF STAIRS PUMP W/ ADAPTER FOR BRGY. BOJO WATER SYSTEM</t>
  </si>
  <si>
    <t>PROCUREMENT OF SUPPLIES FOR VULCANIZING SERVICES AND  MOTOR SPARE PARTS</t>
  </si>
  <si>
    <t>Fuels For use in the Transportation Department, Bais District Hospital (N-605-2020)</t>
  </si>
  <si>
    <t>Procurement of various construction supplies and materials</t>
  </si>
  <si>
    <t>Construction of Municipal Isolation Unit - SB# 03 CY 2020 (Procurement Supply/Delivery/Installation of Concrete and Steel Poles for Electrical Source) - MEO</t>
  </si>
  <si>
    <t>Purchase and Delivery of Farm Equipments Assistance to Santol Tobacco Farmers Association</t>
  </si>
  <si>
    <t>Installation of Water Tank cover for Water Treatment Plant</t>
  </si>
  <si>
    <t>SUPPLY &amp; DELIVERY OF HARDWARE AND ELECTRICAL SUPPLIES</t>
  </si>
  <si>
    <t>Animal Zoological Supplies-MAO</t>
  </si>
  <si>
    <t>Office Supplies for use at SB Office</t>
  </si>
  <si>
    <t>Purchase of Office Equipment (MOOE Others Supplies and Equipment)</t>
  </si>
  <si>
    <t>Procurement of Animal feeds (PCC)</t>
  </si>
  <si>
    <t>USED FOR MUNICIPAL BREEDING CENTER,POULTRY,GOAT &amp; BAKAS</t>
  </si>
  <si>
    <t>PROCUREMENT OF FIVE (5) UNITS MOTORCYCLE FOR THE OFFICE OF THE BUILDING OFFICIAL</t>
  </si>
  <si>
    <t>Construction of School Building</t>
  </si>
  <si>
    <t>Supply and Delivery of Relief Goods</t>
  </si>
  <si>
    <t>SUPPLY AND DELIVERY OF FURNITURE</t>
  </si>
  <si>
    <t>Procurement of RISO Toner Cartridge &amp; US Bond Paper for making of learning modules</t>
  </si>
  <si>
    <t>SUPPLY,  DELIVERY,  AND AFTER SALES SERVICEOF NON-COMMON USE SUPPLIES (NCUS) - SUPPLIES AND MATERIALS AT PSU MAIN CAMPUS</t>
  </si>
  <si>
    <t>RFQ 20-27</t>
  </si>
  <si>
    <t>Supply and Delivery of Materials for NIA Region X Repair Works</t>
  </si>
  <si>
    <t>CABINET, STEEL, 4 DRAWERS</t>
  </si>
  <si>
    <t>20CN0163 - Purchase of Materials for use the Repair and Maintenance of Road Safety Facilities</t>
  </si>
  <si>
    <t>Procurement of Agricultural and other Laboratory supplies (PCC)</t>
  </si>
  <si>
    <t>20GNE0044-Supplies/Deliveries for the Procurement of various Common Office Supplies to be used in Administrative Section and Planning &amp; Design Section of this office for the 3rd Quarter of C.Y. 2020</t>
  </si>
  <si>
    <t>Procurement of Janitorial Supplies for use of Romblon District Hospital, Romblon, Romblon</t>
  </si>
  <si>
    <t>PROCUREMENT OF PRINTING MATERIALS FOR THE PREPARATION OF SLMs FOR THE 3RD AND 4TH QUARTER</t>
  </si>
  <si>
    <t>FOR SAFEKEEPING OF MODULES FOR GRADE 12</t>
  </si>
  <si>
    <t>Construction of Water System Kalilangan, San Pablo ZDS.</t>
  </si>
  <si>
    <t>(OTHER MACHINES &amp; EQUIPMENTS) TO BE USED AT ATSC_PAYANAN</t>
  </si>
  <si>
    <t>20AC0115 - Concreting of Brgy. Maas-asin to Maratudo FMR, Brgy. Maas-asin and Brgy. Maratudo, Magsingal, Ilocos Sur</t>
  </si>
  <si>
    <t>Food Catering</t>
  </si>
  <si>
    <t>General Examination Chair</t>
  </si>
  <si>
    <t>Proc. of Various Drug and Medicine for 3rd Quarter</t>
  </si>
  <si>
    <t>Supply &amp; Delivery of various Supplies for COVID 19-used, Sipalay City, Neg. Occ.</t>
  </si>
  <si>
    <t>Medical Supplies - (3rd) AMPULE OPENER</t>
  </si>
  <si>
    <t>Construction of Learning Center</t>
  </si>
  <si>
    <t>SUPPLY AND DELIVERY OF PREPAID CARDS FOR THE MONTHS APRIL TO SEPTEMBER 2020 FOR PSU MAIN CAMPUS USE</t>
  </si>
  <si>
    <t>Procurement of Meals and Snacks</t>
  </si>
  <si>
    <t>Vegetable Seeds - Upland Development Program</t>
  </si>
  <si>
    <t>Supply and Delivery Tube, Naso Gastric, fr. 16, non toxic 100% medical grade</t>
  </si>
  <si>
    <t>Medical Supplies - (3rd) NASOGASTRIC TUBE FR 12 SILICON TYPE</t>
  </si>
  <si>
    <t>PR NO. 2020-08-023 CONSTRUCTION OF 50 LN.M. FLOOD CONTROL, BRGY. E. LAODENIO &amp; BRGY. DEL SUR, MAPANAS, NORTHERN SAMAR</t>
  </si>
  <si>
    <t>Purchase &amp; Delivery of Various Medical Supplies  for PVET (Re-bid)</t>
  </si>
  <si>
    <t>FURNISHING OF MATERIALS FOR THE REPAIR OF ROOF AND CEILING OF BARANGAY HALL</t>
  </si>
  <si>
    <t>FURNITURE &amp; FIXTURES TO BE USED AT THE OFFICE &amp; ATSC-PAYANAN</t>
  </si>
  <si>
    <t>Supply and Delivery of 1 Unit Portable Generator 10kva</t>
  </si>
  <si>
    <t>TABLE AND CHAIRS  FOR PVET PERSONNEL</t>
  </si>
  <si>
    <t>Supply &amp; Delivery of various materials for the Construction of Peripheral Fence at Various Schools, Sipalay City, Neg. Occ.</t>
  </si>
  <si>
    <t>water Connection Materials &amp; Fittings</t>
  </si>
  <si>
    <t>Procurement of Hardware and Construction Materials for Proposed Construction of Perimeter Fence at Provincial Engineers Office Compound.</t>
  </si>
  <si>
    <t xml:space="preserve">RFQ No. 2020-07-043; PR No. 2020-07-090: PROCUREMENT OF VARIOUS MEDICAL SUPPLIES AND EQUIPMENT, FOR USE IN THE PREVENTION OF COVID-19 INFECTION, UNDER THE ADMINISTRATIVE DIVISION, DPWH R.O. XI, DAVAO </t>
  </si>
  <si>
    <t>1 LOT SUPPLY, DELIVERY &amp; INSTALLATION OF 2 UNITS AIRCON FOR MTCC USE</t>
  </si>
  <si>
    <t>Brake Fluid etc. (06-0630) Operation of Public Motorpool</t>
  </si>
  <si>
    <t>Procurement of Garments for the use during the Linggo ng Kabataang Sirib 2020</t>
  </si>
  <si>
    <t>Purchase &amp; Delivery of Office Supplies &amp; Consumables for the Office of SPM Ronnie R. Rapanut</t>
  </si>
  <si>
    <t>PRINTING OF JHS and SHS MODULES</t>
  </si>
  <si>
    <t>FURNISHING OF MATERIALS &amp; RENTAL OF EQUIPMENT FOR THE CONSTRUCTION OF MINI BAGSACAN/ WAITING SHED NEAR PUBLIC CEMETERY</t>
  </si>
  <si>
    <t>PURCHASE OF PROPERTY, PLANT &amp; EQUIPMENT (PPE), SEMI-EXPENDABLE EQUIPMENT (ICT EQUIPMENT) TO BE USED BY VARIOUS OFFICES/PROGRAMS OF DSWD FO III FOR THE 1ST SEMESTER OF 2020</t>
  </si>
  <si>
    <t>INFORMATION TECHNOLOGY SOFTWARE</t>
  </si>
  <si>
    <t>FOR SAFEKEEPING OF MODULES FOR GRADE 11</t>
  </si>
  <si>
    <t>20GGL0009 - PROCUREMENT OF MATERIALS FOR USE IN APPLICATION OF REFLECTORIZED THERMOPLASTIC PAVEMENT MARKING ALONG BACOLOD SOUTH ROAD, K0048+500 - K0082+170 WITH EXCEPTION, BINALBAGAN - HIMAMAYLAN CITY</t>
  </si>
  <si>
    <t>PR# 20-1765- LEGAL OFFICE USE</t>
  </si>
  <si>
    <t>SNACKS-MCO(MCDC)</t>
  </si>
  <si>
    <t>REQUEST FOR QUOTATION (RFQ) R.I.S. No.: 20-08-008</t>
  </si>
  <si>
    <t>INVITATION TO BID FOR Procurement of Construction Materials for Construction of Rural Health Unit II</t>
  </si>
  <si>
    <t>Oxygen Refill for Human Consumption</t>
  </si>
  <si>
    <t>Procurement of Seedlings (Forest Greening and Reforestation)</t>
  </si>
  <si>
    <t>PROCUREMENT OF SUPPLIES FOR BARBERSHOP</t>
  </si>
  <si>
    <t>Hiring of Learning Service Provider (LSP) for the Conduct of E-Learning program entitled: Making Virtual Teams</t>
  </si>
  <si>
    <t>20GGL0008 - PROCUREMENT OF FUEL FOR USE OF H1-7456, H1-7483, 6FA-213, JDJ-706, SDK-391, SDK-421, SDK-487, SKS-150, H3-6643, FAY-568, DMAX-11226, ROAD GRADER NI-1517 AND ROAD GRADER NI-1960, ASPHALT KE</t>
  </si>
  <si>
    <t>Supply and delivery of 32 panels black out curtain (size 60x109)</t>
  </si>
  <si>
    <t>9 PCS DOUBLE HOG TROLLEYS ETC. FOR SLAUGHTERHOUSE USE</t>
  </si>
  <si>
    <t>Installation of Hand washing Facility</t>
  </si>
  <si>
    <t>SUPPLY AND DELIVER 3 IN 1 PRINTER</t>
  </si>
  <si>
    <t>Renovation/Repair/Rehabilitation/Improvement of Day Care Centers</t>
  </si>
  <si>
    <t>FURNITURES AND FIXTURES FOR PHO</t>
  </si>
  <si>
    <t>Supply Materials and Labor for Printing of Milk &amp; Dairy Products Labels of PCC at MMSU</t>
  </si>
  <si>
    <t>Purchase of Mini Dump Truck, Banilad Bacong, Negros Oriental</t>
  </si>
  <si>
    <t>CONSTRUCTION OF MULTI PURPOSE FACILITIES</t>
  </si>
  <si>
    <t>Purchase of spare parts &amp; labor for CDRRMO service vehicles.</t>
  </si>
  <si>
    <t>Office Supplies - MEO</t>
  </si>
  <si>
    <t>DTI Pangkabuhayan sa Pagbangon at Ginhawa Livelihood Project (DTI-PBG) Livelihood Starter Kits</t>
  </si>
  <si>
    <t>Supply and Delivery of Giveaways Item for 2020 Themed Events and Programs under ITB No. SV20-06-004ILOa-08 (re-bidding)</t>
  </si>
  <si>
    <t>RFQ 2020-08-328 Procurement of various supplies and materials for OM</t>
  </si>
  <si>
    <t>Bubo(Fish Pot) etc. (07-0791) Agriculture</t>
  </si>
  <si>
    <t>REQUEST FOR QUOTATION (RFQ) PROCUREMENT FOR DIGITAL/ELECTRONIC SIGNATURE PAD (WITH SYSTEM) RFQ No.050 -2020</t>
  </si>
  <si>
    <t>PROCUREMENT OF OFFICE SUPPLIES</t>
  </si>
  <si>
    <t>10 packs Cotton pledget</t>
  </si>
  <si>
    <t>office supplies for module</t>
  </si>
  <si>
    <t>Purchase of 12" UPVC pipe</t>
  </si>
  <si>
    <t>Rehabilitation of Power House Generator Set</t>
  </si>
  <si>
    <t>410MW Consumables</t>
  </si>
  <si>
    <t>Procurement of Construction Materials, SAN JOSE CITY NUEVA ECIJA</t>
  </si>
  <si>
    <t>Construction of Access Road in Brgy. Sta. Cruz</t>
  </si>
  <si>
    <t>Supply &amp; Delivery of Wheelchair intended for PWD to be distributed during the NDPR Week Celebration and for Children with Cerebral Palsy,, Sipalay City, Neg. Occ.</t>
  </si>
  <si>
    <t>BARANGAY IT SYSTEM</t>
  </si>
  <si>
    <t>Consolidated IT Equipment/Office Equipment (Supplemental) of Guimaras State College (Salvador Campus)</t>
  </si>
  <si>
    <t>IMPROVEMENT OF BARANGAY MULTIPURPOSE GYM</t>
  </si>
  <si>
    <t>Procurement of IT and Electronics Supplies</t>
  </si>
  <si>
    <t>20BA0004-GOODS: Purchase of Common Office Supplies for Planning and Design Section</t>
  </si>
  <si>
    <t>Construction of Multi-purpose Pavement (Sitio Abadilla II, Barangay Cawayan II)</t>
  </si>
  <si>
    <t>ITB No. 20-073: Supply and Delivery of Three Hundred (300) vial of Polymyxin B Sulfate 500,000 units powder for solution, 5mL</t>
  </si>
  <si>
    <t>Medical Supplies - (3rd) SUTURE MONOFILAMENT POLYPROPYLENE W/ 11MM 3/6 CIRCLE CUTTING NEEDLES S 4/0, 12 &amp; 4 OTHERS</t>
  </si>
  <si>
    <t>ITB Med2020</t>
  </si>
  <si>
    <t>RFQ No. 2020-07-044; PR No. 2020-07-089: PROCUREMENT OF VARIOUS SUPPLIES AND MATERIALS FOR PORTABLE HANDWASHING BOOTH, FOR USE IN THE PREVENTION OF COVID-19 INFECTION, UNDER THE ADMINISTRATIVE DIVISIO</t>
  </si>
  <si>
    <t>Purchase of Hardware Supplies</t>
  </si>
  <si>
    <t>SUPPLY &amp; DELIVERY OF OFFICE EQUIPMENT &amp; ACCESSORIES</t>
  </si>
  <si>
    <t>Installation of 5-Sets Cubicle with Provision of Tables and Filing Cabinets</t>
  </si>
  <si>
    <t>MOOE</t>
  </si>
  <si>
    <t>FOR THE USE OF SANTA MARCELA DISTRICT HOSPITAL</t>
  </si>
  <si>
    <t>Procurement of Electrical Supplies</t>
  </si>
  <si>
    <t>Rehabilitation of Breakwater/Retaining Wall at Reclamation Area Brgy. Tabing Dagat Gumaca, Quezon</t>
  </si>
  <si>
    <t>Purchase &amp; Delivery of Janitorial &amp; Other Supplies for the Office of SPM Elpidio Sr. A. Quines</t>
  </si>
  <si>
    <t>REQUEST FOR QUOTATION -Supply, Delivery, Wiring and Installation of One (1) Unit Automatic Transfer Switch for 80KVACummins Genset</t>
  </si>
  <si>
    <t>ITB MPHallP3</t>
  </si>
  <si>
    <t>Purchase of Laptop for Use in the OMPDC</t>
  </si>
  <si>
    <t>Vehicle Repair and Maintenance SAA 6384</t>
  </si>
  <si>
    <t>Printing  and Binding of Modules</t>
  </si>
  <si>
    <t>Supply and Delivery of ICT Supplies (Semi-expandable) for Computer Laboratory of SDSSU Tandag Campus</t>
  </si>
  <si>
    <t>PROCUREMENT OF MEDICAL SUPPLIES</t>
  </si>
  <si>
    <t>Supply and Delivery of Tubings for ADULT mechanical ventilator</t>
  </si>
  <si>
    <t>PROVISION OF MEDICINES</t>
  </si>
  <si>
    <t>Conversion of 2 Wooden Dividers in ESP Building into Concrete Dividers &amp; improvisation of 50 teachers table shield.</t>
  </si>
  <si>
    <t>1 LOT LANDSCAPING OF CITY HALL FAÇADE LABOR &amp; MATERIALS</t>
  </si>
  <si>
    <t>Procurement of Office and Janitorial Supplies for the Use of the Office of the Mayor, LGU, Tagudin, Ilocos Sur</t>
  </si>
  <si>
    <t>RFQ No. 2020- 12 (5 Single Projects + 18 Packages with 45 Projects= 50 Projects)</t>
  </si>
  <si>
    <t>Supply and Delivery of Materials and Supplies for CEMO</t>
  </si>
  <si>
    <t>Procurement of Supplies for PCC at MMSU</t>
  </si>
  <si>
    <t>REPAIR AND MAINTENANCE OF MINI DUMPTRUCK AND HEAVY EQIUPMENT (LOADER)-088</t>
  </si>
  <si>
    <t>PHOTOCOPIER FOR PPDO USE (CAPITAL OUTLAY 2020 OFFICE EQUIPMENT )</t>
  </si>
  <si>
    <t>100 CUBIC METERS BOULDERS ROCK TO BE USED FOR THE URBAN GREEN PROGRAM OF THE CITY</t>
  </si>
  <si>
    <t>PROCUREMENT OF PETROLEUM, OIL AND LUBRICANT (POL) FOR REHABILITATION OF SALUG FMR &amp; ROAD GRAVELLING BRGY. PIGLAWIGAN, ESPERANZA, AGUSAN DEL SUR</t>
  </si>
  <si>
    <t>Pregnant Cattle/Breedable Hiefer-MAO</t>
  </si>
  <si>
    <t>Procurement of Construction Materials (PCC)</t>
  </si>
  <si>
    <t>ITB Park2020</t>
  </si>
  <si>
    <t>Medical Supplies - (3rd)ICE BAG SIZE 9 &amp; 5</t>
  </si>
  <si>
    <t>Supply and Delivery of Materials for the Fabrication of Scaffolding at Municipal Cemetery</t>
  </si>
  <si>
    <t>PR#20-07-0370 Publication of Bidding</t>
  </si>
  <si>
    <t>Fuel use for the maintenance of Disaster Vehicles &amp; Medical Responses, Himamaylan City</t>
  </si>
  <si>
    <t>TO BE USED FOR DISPLAY OF PROMOTIONAL ITEMS,TOKENS @ THE SHOWROOM AND TO</t>
  </si>
  <si>
    <t>Santolan Elementary School - Health Kit</t>
  </si>
  <si>
    <t>Procurement of Office Equipment for College of Business Management</t>
  </si>
  <si>
    <t>Purchase of DRR Related Equipment</t>
  </si>
  <si>
    <t>Purchase &amp; Delivery of Medicines and Vitamins</t>
  </si>
  <si>
    <t>Procurement of Agricultural Supplies</t>
  </si>
  <si>
    <t>RFQ: Vehicle Spare Parts</t>
  </si>
  <si>
    <t>Fabrication and installation of Acrylic Barrier and Glass</t>
  </si>
  <si>
    <t>Supply and Delivery of Materials for the Repair of the Backside of Perimeter Wall at PATNANUNGAN DPP</t>
  </si>
  <si>
    <t>Procurement of books (rebidding) for ECCD children educational supplies</t>
  </si>
  <si>
    <t>PROCUREMENT OF SUPPLIES FOR WIELDING/VULCANIZING AND DRILLING SERVICES</t>
  </si>
  <si>
    <t>1 pack Beaker...etc</t>
  </si>
  <si>
    <t>FOR CALAOAN AGRARAIN REFORM BENEFICIARIES MULTI-PORPOSE COOPERATIVE</t>
  </si>
  <si>
    <t>SUPPLY &amp; DELIVERY OF VARIOUS ICT EQUIPMENT FOR THE E-LEARNING TELECONFERENCING UNDER THE NEW NORMAL EDUCATION SYSTEM IN PLMUN</t>
  </si>
  <si>
    <t>RFQ-2020-195A Procurement, Supply &amp; Delivery of Materials &amp; Services for Research Office (DOST funded project)</t>
  </si>
  <si>
    <t>REPAIR AND MAINTENANCE OF HEAVY EQUIPMENT (GRADER) -089</t>
  </si>
  <si>
    <t>CONSTRUCTION PROJECTS</t>
  </si>
  <si>
    <t>Reproduction of Learning Modules</t>
  </si>
  <si>
    <t>Chlorine etc. (07-0799) CGSO</t>
  </si>
  <si>
    <t>Supply, Installation and Delivery of Equipment for the Newly Constructed PSAU Innovation Center (Category VI)</t>
  </si>
  <si>
    <t>SOUND SYSTEM</t>
  </si>
  <si>
    <t>Contract ID No. 20FA0062: CLUSTER 35 - REHABILITATION/RECONSTRUCTION OF NATIONAL ROADS WITH SLIPS, SLOPE COLLAPSE AND LANDSLIDE ALONG DM-JCT.-LEGAZPI-STO. DOMINGO-TABACO-TIWI-CAM. SUR BDRY. ROAD, K058</t>
  </si>
  <si>
    <t>Concreting of Barangay Road</t>
  </si>
  <si>
    <t>Purchase of Computer, furniture and air condition unit.</t>
  </si>
  <si>
    <t>PLANTING MATERIALS FOR CGSO USE</t>
  </si>
  <si>
    <t>Delivery of Laptop for MHO Frontline Office</t>
  </si>
  <si>
    <t>Supply of Labor for the Repair of Plant Perimeter Wall and Renovation of Control Room at PATNANUNGAN DPP</t>
  </si>
  <si>
    <t>REQUEST FOR QUOTATION (RFQ) R.I.S. No.: 20-08-007 Various Materials for MISD's repair and maintenance</t>
  </si>
  <si>
    <t>3rd Quarter MOOE  C.Y. 2020</t>
  </si>
  <si>
    <t>Procurement of Office Supplies for PCC at MMSU</t>
  </si>
  <si>
    <t>Purchase of school supplies for indigent school children</t>
  </si>
  <si>
    <t>supply and delivery of hardware materials use for the continuation of electrification-bagong lipunan-rimut poblacion</t>
  </si>
  <si>
    <t>Procurement of Veterinary Supplies for PCC at MMSU</t>
  </si>
  <si>
    <t>Computer units and Peripherals</t>
  </si>
  <si>
    <t>Procurement of Digital Full Color Copier</t>
  </si>
  <si>
    <t>Purchase of Educational Materials and Supplies</t>
  </si>
  <si>
    <t>Purchase of Diving Accessories/ Equipments</t>
  </si>
  <si>
    <t>SUPPLY AND DELIVERY OF SCHOOL CARD JACKET FOR SCHOOL YEAR 2020-2021</t>
  </si>
  <si>
    <t>RFQ No.: 2020 – 134 - Preventive Maintenance of Various Type of Aircon Unit</t>
  </si>
  <si>
    <t>Procurement of Monoblock Chairs (1)</t>
  </si>
  <si>
    <t>Supplies for LGU Officials and Employees</t>
  </si>
  <si>
    <t>ELECTRICAL &amp; LIGHTING MATERIALS FOR CGSO USE</t>
  </si>
  <si>
    <t>RFQ: LAMIVUDINE/TENOFOVIR/EFAVIRENZ</t>
  </si>
  <si>
    <t>RFQ: Meal Box, Spork for Frontliners</t>
  </si>
  <si>
    <t>Procurement of Photocopier</t>
  </si>
  <si>
    <t>20M0044 - Purchase of Office Equipment for use in the Procurement Unit Office, this district</t>
  </si>
  <si>
    <t>ITB Access AM2020</t>
  </si>
  <si>
    <t>RFQ: Meal Box, Spork for Patients</t>
  </si>
  <si>
    <t>20-06-0801 - Procurement of office supplies for RPMO &amp; 6 Provinces Supplies 1st to 4th Quarter Year 2020.</t>
  </si>
  <si>
    <t>Procurement of Glass Pulvorizer</t>
  </si>
  <si>
    <t>RFQ No. 2020-075-045; PR No. 2020-07-088: PROCUREMENT OF ONE (1) JOB ORDER: LABOR AND MATERIALS, FOR THE INSTALLATION OF WIDE AREA CONNECTIVITY (VOICE DATA), FOR USE IN THE DPWH R.O. XI, UNDER THE ORD</t>
  </si>
  <si>
    <t>Procurement of ICT Equipment for Vice Mayor's Office</t>
  </si>
  <si>
    <t>Medical Supplies - (3rd) BLADE SURGICAL DETACHABLE STERILE CARBON STEEL #20, 100'S</t>
  </si>
  <si>
    <t>Medical Supplies - (3rd) NEEDLE CUTTER &amp; SHARP CONTAINER</t>
  </si>
  <si>
    <t>Fortiwifi-90D UTM FIREWALL Licenses (for Regional Office)</t>
  </si>
  <si>
    <t>SUPPLY,  DELIVERY,  AND AFTER SALES SERVICEOF NON-COMMON USE SUPPLIES (NCUS) OF ICT OFFICE AT PSU MAIN CAMPUS</t>
  </si>
  <si>
    <t>Purchase of Uniforms -PNP Station, San Fabian, Pangasinan</t>
  </si>
  <si>
    <t>Procurement of Foot Press Alcohol Dispenser</t>
  </si>
  <si>
    <t>Medical Supplies - (3rd) SUTURE POLYGLECAPRONE 25 VIOLET SIZE 6 &amp; 2/0</t>
  </si>
  <si>
    <t>Procurement of Office Equipment for SB office</t>
  </si>
  <si>
    <t>DRILLING OF 3 (THREE) UNITS EXPLORATORY/PRODUCTION WELL FOR GAMU WATER DISTRICT (REBID)</t>
  </si>
  <si>
    <t>General merchandise</t>
  </si>
  <si>
    <t>Rehabilitation/Construction of Gamaon Water System Level II (Brgy. Mangagoy, Bislig City, Surigao del Sur  ).</t>
  </si>
  <si>
    <t>RFQ: PPE, Umbilical Catheter, Power Injector, Connector Tubing, Shunt Catheter</t>
  </si>
  <si>
    <t>RFQ: Centrifugal Pump, Water Differential Pressure Switch, Pipe Wrench, Pipe Cutter</t>
  </si>
  <si>
    <t>Drugs and Medicines</t>
  </si>
  <si>
    <t>Procurement of Filing Cabinet for Records Office</t>
  </si>
  <si>
    <t>Repair of Evacuation Center at Camantigue, Bongabong, Oriental Mindoro</t>
  </si>
  <si>
    <t>Procurement of T-shirt with School Logo</t>
  </si>
  <si>
    <t>1 kit Angiotensin Converting Enzyme (ACE)..... etc</t>
  </si>
  <si>
    <t>Procurement of Labor Pakyaw Manpower</t>
  </si>
  <si>
    <t>Procurement of Sound System for Sangguniang Bayan Session Hall</t>
  </si>
  <si>
    <t>Contract of Service for the Upholstery of Various Vehicles, CEMO</t>
  </si>
  <si>
    <t>FOR SMAW NC-I LABORATORY</t>
  </si>
  <si>
    <t>Supply and Delivery of Multimedia Projectors (PR No. 2020-02-0185, 2020-02-0299, 2020-02-0152, 2020-02-0339, 2020-02-0270, 2020-02-0299, 2020-02-0261)</t>
  </si>
  <si>
    <t>Purchase of Shredder Machines</t>
  </si>
  <si>
    <t>Particles Filter for Air purifier Blueair 650E (1 unit: 3 filters)</t>
  </si>
  <si>
    <t>Procurement of Photocopier Machine for Bids And Awards Committee</t>
  </si>
  <si>
    <t>PURCHASE OF HYGIENE KIT FOR SENIOR CITIZENS BENEFICIARIES FOR BULACAN, NUEVA ECIJA AND TARLAC</t>
  </si>
  <si>
    <t>For PS 06 Pipeline use</t>
  </si>
  <si>
    <t>Supply and Delivery of Various Janitorial Supplies and Office Consumables</t>
  </si>
  <si>
    <t>Labor and Materials for the Completion Works for Command and Control Center at Civic Center, San Isidro, City of San Fernando, Pampanga</t>
  </si>
  <si>
    <t>SUPPLY AND DELIVERY OF CLASS B WATER METERS AND FLOW METERS FOR REPLENISHMENT OF STOCKS OF THE SMWD FOR THE YEAR 2020</t>
  </si>
  <si>
    <t>SUPPLY AND DELIVERY OF DESKTOP COMPUTER W/ ACCESSORIES, ETC.</t>
  </si>
  <si>
    <t>PROCUREMENT OF DRUGS AND MEDICINE</t>
  </si>
  <si>
    <t>Medical Supplies - (3rd) SUTURE MONOFILAMENT POLYPROPYLENE NON ABS W/ TAPER POINT 25MM 1/2 CIRCLE SIZE 3 &amp; 4</t>
  </si>
  <si>
    <t>Procurement of Common Computer Supplies Consumables</t>
  </si>
  <si>
    <t>for the Repair and Maintenance of Naval Finance Service Unit - Cebu (NFSU-C) Office Building  (Nr-003)</t>
  </si>
  <si>
    <t>Preventive Maintenance and Calibration of   Water Purification System</t>
  </si>
  <si>
    <t>UPGRADING OF LOCAL ACCESS ROAD II AT P5 GENERAL AGUINALDO, RAMON, ISABELA</t>
  </si>
  <si>
    <t>RFQ: Calcium Carbonate, Multivitamins+Iron, Hepatitis B Immunoglobulin, Levothyroxine</t>
  </si>
  <si>
    <t>RESOURCE ENHANCEMENT PROGRAM - CCTV cameras repair and maintenance</t>
  </si>
  <si>
    <t>PROJECT 1 - PROCUREMENT AND DELIVERY OF VARIOUS HOSPITAL FIXTURE FOR THE USE OF DISTRICT 2 OF LINGAYEN PANGASINAN</t>
  </si>
  <si>
    <t>SUPPLY AND DELIVERY OF TWO (2) UNITS PORTABLE SPEAKER W/ MIC FOR CSWD OFFICE - TWO FAILED BIDDING</t>
  </si>
  <si>
    <t>Supply and Delivery of Materials use for early warning signage</t>
  </si>
  <si>
    <t>SUPPLY AND DELIVERY OF THERMAL PAPER FOR OFFICIAL USE OF BIR, RR9A-CABAMIRO, STO. TOMAS BATANGAS</t>
  </si>
  <si>
    <t>Procurement of Mug with School Logo</t>
  </si>
  <si>
    <t>PURCHASE OF VARIOUS OFFICE SUPPLIES FOR DEPED MODULAR LEARNING MODALITY- REPRODUCTION OF MIDDLESBROUGH, DEP ED</t>
  </si>
  <si>
    <t>Office Equipment for KALAHI Office</t>
  </si>
  <si>
    <t>Construction of 5 Unit Tomb</t>
  </si>
  <si>
    <t>Labor and Materials for the Repair/Rehabilitation of Health Center at Sta. Lucia, City of San Fernando, Pampanga</t>
  </si>
  <si>
    <t>RFQ for the Supply and Delivery of Medical Supplies for PhilHealth Regional Office III Use</t>
  </si>
  <si>
    <t>Labor and Materials for the Improvement/Construction of Road at Bulaon, City of San Fernando, Pampanga</t>
  </si>
  <si>
    <t>20M0045 - Purchase of IT Parts and Peripherals for use in the Wireless Fidelity, this district</t>
  </si>
  <si>
    <t>Purchase of Office Supplies and Devices</t>
  </si>
  <si>
    <t>Purchase of Various Fertilizers-Tobacco Farmers (MAO)</t>
  </si>
  <si>
    <t>Supply and Delivery of Various Laboratory Supplies for the Municipal Health Office</t>
  </si>
  <si>
    <t>CONSTRUCTION OF EVACUATION CENTER</t>
  </si>
  <si>
    <t>Certified Rice Seeds-MAO</t>
  </si>
  <si>
    <t>PURCHASE OF IT EQUIPMENTS FOR DEPED MODULAR LEARNING MODALITY- REPRODUCTION OF MODULES , DEP ED</t>
  </si>
  <si>
    <t>Supply and Delivery of 40 Boxes of Blood Sugar Strip (50 pcs. per Box)</t>
  </si>
  <si>
    <t>Procurement of "Adaptive Design for Learning" Training / Workshop</t>
  </si>
  <si>
    <t>SUPPLY AND DELIVERY OF 2pcs TRACTOR FRONT TIRE - 2ND BIDDING</t>
  </si>
  <si>
    <t>Provision of Quality Policy and VGMO at Various CSPC Building</t>
  </si>
  <si>
    <t>Supply, Delivery &amp; Installation of Close Circuit Television (CCTV)</t>
  </si>
  <si>
    <t>Battery for Service Vehicle and Genset</t>
  </si>
  <si>
    <t>Procurement of meals for Training of Trainers PR number 20-07-189</t>
  </si>
  <si>
    <t>MATERIALS FOR THE STEEL BENCHES</t>
  </si>
  <si>
    <t>Purchase of Fuel &amp; Oil for the Farm to Market Road (Concreting), Brgy. Cunarom, Lambunao, Iloilo</t>
  </si>
  <si>
    <t>Labor and Materials for the Improvement/Construction of Road at San Felipe, City of San Fernando, Pampanga</t>
  </si>
  <si>
    <t>PROJECT 2 - PROCUREMENT AND DELIVERY OF VARIOUS MEDICAL EQUIPMENT FOR THE USE OF DISTRICT 2 OF LINGAYEN PANGASINAN</t>
  </si>
  <si>
    <t>To support procurement of 107ea Mighty Bond and 37 other L/I for use in the 10th and 11th PIP Inspection schedule maintenance.</t>
  </si>
  <si>
    <t>Procurement of Heavy Duty Foot Operated Alcohol Dispenser for Alcohol Hand Disinfection for Covid-19 Prevention</t>
  </si>
  <si>
    <t>REQUEST FOR QUOTATION (RFQ) For the Procurement of Vehicle Parts For the Provincial Integrated Health Office (PIHO)</t>
  </si>
  <si>
    <t>ITB and Bid Docs for Procurement ID/Contract ID:    20C00053  Contract Name:      Construction of Groundsills Across Pasig-Potrero River at Downstream of Mancatian Bridge, Angeles-Porac River (Grounds</t>
  </si>
  <si>
    <t>Supply and Delivery of Information Technology (IT) Equipment for the Municipal Assessor’s Office</t>
  </si>
  <si>
    <t>Sling Bag with School Logo</t>
  </si>
  <si>
    <t>20-07-0936 B  OFFICE SUPPLIES FOR SLP</t>
  </si>
  <si>
    <t>ITB No. GOP/20-DSWD-028-B - Supply and Delivery of Stretch Film to be used for the Production of Family Food Packs for CY 2020 Through Framework Agreement</t>
  </si>
  <si>
    <t>Renovation of Room 309 (CADD Laboratory/Lecture Lab)</t>
  </si>
  <si>
    <t>RFQ 2020-08-329 Procurement of various janitorial supplies for OM</t>
  </si>
  <si>
    <t>Procurement of IT and Office Equipment</t>
  </si>
  <si>
    <t>PROJECT 3 - PROCUREMENT AND DELIVERY OF VARIOUS LABORATORY EQUIPMENT FOR THE USE OF DISTRICT 2 OF LINGAYEN PANGASINAN</t>
  </si>
  <si>
    <t>PROJECT 4 -  PROCUREMENT AND DELIVERY OF VARIOUS EQUIPMENT FOR THE USE OF DISTRICT 2 OF LINGAYEN PANGASINAN</t>
  </si>
  <si>
    <t>Purchase of Hardware Supplies/Materials</t>
  </si>
  <si>
    <t>(PBO) REQUEST FOR QUOTATION (RFQ) For the Procurement of Vehicle Parts  For the Provincial Budget Office (PBO)</t>
  </si>
  <si>
    <t>SUPPLY AND DELIVERY OF CORRUGATED AND HARD KRAFT BOXES FOR OFFICIAL USE OF ALL MALE AND FEMALE EMPLOYEES OF BIR, RR9A-CABAMIRO, STO. TOMAS BATANGAS</t>
  </si>
  <si>
    <t>Request for Quotation - Supply, Delivery and Installation of Seven Brand New Air Conditioning Units at DMCT Bldg.</t>
  </si>
  <si>
    <t>20CSKA0001 Conduct of Soil Testing/Exploration for F.Y. 2021 Projects Malaybalay City</t>
  </si>
  <si>
    <t>PROJECT 6 - PROCUREMENT AND DELIVERY OF VARIOUS LABORATORY EQUIPMENT FOR LGU HOSPITALS IN ILOCOS REGION</t>
  </si>
  <si>
    <t>RFQ 3rd Party Asset Variation of ACWD Properties 20-06-072-A</t>
  </si>
  <si>
    <t>SUPPLY AND DELIVERY OF CONSTRUCTION SUPPLIES &amp; MATERIALS FOR THE REPAIR OF ALS MAKESHIFT CLASSROOM IN NORCACES - 2ND BIDDING</t>
  </si>
  <si>
    <t>Subscription on a Video-Conferencing Platform for Online Learning Management System</t>
  </si>
  <si>
    <t>FOR ELECTRICAL WORKS (SUPERVISION WORKS)</t>
  </si>
  <si>
    <t>PROCUREMENT OF DIESEL, GASOLINE AND OIL FOR 3RD QUARTER (MAYOR’S OFFICE)</t>
  </si>
  <si>
    <t>SUPPLIES AND MATERIALS FOR THE REPRODUCTION OF ALS LEARNING MATERIALS/MODULES FOR ALS LEARNERS</t>
  </si>
  <si>
    <t>PROJECT 7 -PROCUREMENT AND DELIVERY OF VARIOUS MEDICAL EQUIPMENT FOR RURAL HEALTH UNIT (RHU) IN ILOCOS REGION</t>
  </si>
  <si>
    <t>Purchase of Fuel &amp; Oil for the Farm to Market Road (Concreting), Brgy. Pandan, Lambunao, Iloilo</t>
  </si>
  <si>
    <t>TILING OF 3RD FLOOR LOBBY 35 SQ.M OF S.B. BUILDING</t>
  </si>
  <si>
    <t>Procurement of Grocery Items for PCC at MMSU</t>
  </si>
  <si>
    <t>P.R. NO. 2020-06-115</t>
  </si>
  <si>
    <t>SUPPLY AND DELIVERY OF VARIOUS MEDICAL GAS</t>
  </si>
  <si>
    <t>GF-20-02-00317 - Procurement of Full Duplex Wireless Intercom with All–In-One Headsets</t>
  </si>
  <si>
    <t>Supply, Delivery &amp; Installation of Various Office Equipment</t>
  </si>
  <si>
    <t>Procurement of Dental Equipment and Supplies</t>
  </si>
  <si>
    <t>PROJECT 8 - PROCUREMENT AND DELIVERY OF VARIOUS MEDICAL EQUIPMENT FOR BARANGAY HEALTH STATION (BHS) IN ILOCOS REGION</t>
  </si>
  <si>
    <t>GF-20-03-00531 - PROCUREMENT OF BATTERY AND TIRE</t>
  </si>
  <si>
    <t>Purchase Of General Mechandise</t>
  </si>
  <si>
    <t>Purchase of Cellcards</t>
  </si>
  <si>
    <t>NP 110-20: SUPPLY AND DELIVERY OF FOOT PEDAL DISPENSER FOR OFFICIAL USE OF DEPARTMENT OF AGRICULTURE FOR COVID-19</t>
  </si>
  <si>
    <t>SUPPLY AND DELIVERY OF USB LACE</t>
  </si>
  <si>
    <t>Supply and Delivery of One (1) Unit Photocopier Machine</t>
  </si>
  <si>
    <t>Provision of Supplies for the learners by grade level</t>
  </si>
  <si>
    <t>Purchase of Second Hand Garbage Truck (2019 Model)</t>
  </si>
  <si>
    <t>CONSTRUCTION OF MULTI-PURPOSE PAVEMENT  (SOLAR DRYER) AT BGY. TIGMAN, ABORLAN</t>
  </si>
  <si>
    <t>BUG-OUT BAG</t>
  </si>
  <si>
    <t>8918-20-018)  CONTINUATION OF ROAD WIDENING ALONG CARIÑO STREET CONNECTING BRIGHT ALLEY AND EVERLASTING STREET C/O CEO</t>
  </si>
  <si>
    <t>GF-20-06-00926 - PLASTIC COVER</t>
  </si>
  <si>
    <t>CONCRETING OF BARANGAY ROAD-TOYTOY, CARAMORAN, CATANDUANES</t>
  </si>
  <si>
    <t>DIVISION OFFICE PERSONNEL ANNUAL PHYSICAL EXAMINATION FOR THE YEAR 2020</t>
  </si>
  <si>
    <t>PROJECT 5 -  PROCUREMENT AND DELIVERY OF VARIOUS MEDICAL EQUIPMENT FOR LGU HOSPITALS IN ILOCOS REGION</t>
  </si>
  <si>
    <t>“LAKAS KITA, LAKAS PAMILYA” PROGRAM - Caregiver NC2</t>
  </si>
  <si>
    <t>PROC-200097-TISSUE TOILET</t>
  </si>
  <si>
    <t>Meals and Snacks on Integrative Health Training</t>
  </si>
  <si>
    <t>Supply &amp; Delivery of Services for Website Development</t>
  </si>
  <si>
    <t>Purchase of Various Medicines and Medical Supplies</t>
  </si>
  <si>
    <t>Procurement of Supplies and Materials for PCC at MMSU</t>
  </si>
  <si>
    <t>Supply and Delivery of Medicines</t>
  </si>
  <si>
    <t>Supply and Delivery of Photocopier for Vice Mayor's Office use.</t>
  </si>
  <si>
    <t>Construction of Public Toilet at Four (4) Barangays in Natividad, Pangasinan</t>
  </si>
  <si>
    <t>Subscription on SMS Blast Platform and Purchase of ICT Materials for Online Learning Management System</t>
  </si>
  <si>
    <t>Materials for Potable Water Supply Improvement</t>
  </si>
  <si>
    <t>SUPPLY AND DELIVERY OF 75 DRUMS POLY ALUMINUM CHLORIDE</t>
  </si>
  <si>
    <t>Purchase of Fuel &amp; Oil for the Farm to Market Road (Concreting), Brgy. Bayuco, Lambunao, Iloilo</t>
  </si>
  <si>
    <t>Office Supplies 3LSSM2020A-111</t>
  </si>
  <si>
    <t>Supply and Delivery of Day Care Worker Supplies</t>
  </si>
  <si>
    <t>Procurement of Grocery items for the Food Service @ MMSU</t>
  </si>
  <si>
    <t>Procurement of Internet Load for the conduct of Value Chain Analysis: Modular E-Learning through</t>
  </si>
  <si>
    <t>PROJECT 9 – PROCUREMENT AND DELIVERY OF MEDICAL EQUIPMENT FOR THE USE OF VARIOUS FACILITIES IN REGION I</t>
  </si>
  <si>
    <t>(PEO)   REQUEST FOR QUOTATION (RFQ) For the Procurement of Office Supplies (2nd  Quarter) For the Provincial Engineering Office (PEO)</t>
  </si>
  <si>
    <t>Office Supplies-MPDC</t>
  </si>
  <si>
    <t>Purchase of Office Supplies to be Used by the Different Departments, Cabugao, Ilocos Sur</t>
  </si>
  <si>
    <t>Invitation to Bid for the Construction of drainage canal at Mayor's Street, Barangay Maniboc, Lingayen, Pangasinan</t>
  </si>
  <si>
    <t>Supply and Delivery of Goods for the Training Supply of 31IB (51,000.00)</t>
  </si>
  <si>
    <t>Load Cards for Webinar on Gender Needs Analysis and Attribution</t>
  </si>
  <si>
    <t>Procurement of Customized Jackets PR # 2020-07-20-265-A</t>
  </si>
  <si>
    <t>Supply and Delivery of IT Equipment of SDSSU San Miguel Campus</t>
  </si>
  <si>
    <t>Supply and Delivery of Laboratory Supplies</t>
  </si>
  <si>
    <t>INVITATION TO BID FOR THE SALE OF VARIOUS UNSERVICEABLE PROPERTIES ON “AS IS, WHERE IS” BASIS</t>
  </si>
  <si>
    <t>PROCUREMENT OF UTILITY SUPPLIES USED OF GSO/ESO OFFICE</t>
  </si>
  <si>
    <t>PRN 039- MEDICAL/DEN/LAB SUPPLIES-CHO-GOODS-2020</t>
  </si>
  <si>
    <t>FURNITURE and FIXTURE</t>
  </si>
  <si>
    <t>COST OF OTHER EQUIPMENT FOR REPAIR &amp; MAINTENANCE TO BE USED IN OSPITAL NG IMUS 2020.</t>
  </si>
  <si>
    <t>Construction Materials &amp; Supplies</t>
  </si>
  <si>
    <t>SUPPLY AND DELIVERY OF GENERAL MERCHANDISE FOR VARIOUS PURCHASE REQUESTS OF THE CITY UNDER SMALL VALUE PROCUREMENT</t>
  </si>
  <si>
    <t>Supply &amp; delivery of School Supplies &amp; other supplies</t>
  </si>
  <si>
    <t>SUPPLY AND DELIVERY OF 50 PAILS OF 70% CALCIUM HYPOCHLORITE (CHLORINE)</t>
  </si>
  <si>
    <t>RFQ No. 2020-07-091; PR No. 2020-07-091: PROCUREMENT OF VARIOUS OFFICE SUPPLIES, FOR USE IN THE DPWH R.O. XI, UNDER THE ADMINISTRATIVE DIVISION, DAVAO CITY</t>
  </si>
  <si>
    <t>SUPPLY &amp; DELIVERY OF  IT SUPPLIES, MATERIALS &amp; CONSUMABLES</t>
  </si>
  <si>
    <t>Supply and Delivery of Construction Materials for the Plastering of Brgy. Community Center, Imbiao, Roxas, Isabela</t>
  </si>
  <si>
    <t>(PPDO)  REQUEST FOR QUOTATION (RFQ) For the Procurement of Office Supplies (3rd Quarter) For the Provincial Planning and Development Office (PPDO)</t>
  </si>
  <si>
    <t>Supply and Delivery of PPE’s and Medical Supplies for the Municipality of Kawayan</t>
  </si>
  <si>
    <t>PURCHASE OF ALCOHOL</t>
  </si>
  <si>
    <t>SUPPLY AND DELIVERY OF TWO (2) UNITS MOTORCYCLE FOR ENVIRONMENTAL PROTECTION AND MANAGEMENT DIVISION (EPMD) - TWO FAILED BIDDING</t>
  </si>
  <si>
    <t>Purchase of of Materials for the Improvement of Cabugao Waterwork System (Installation of Blow Off &amp; Gate Valve) at Brgy. Lipit &amp; Brgy. Cuancabal, Cabugao, Ilocos Sur</t>
  </si>
  <si>
    <t>Purchase of Office Supplies for Municipal Offices LGU, Gumaca, Quezon</t>
  </si>
  <si>
    <t>Liquified Petroleum Gas (LPG)</t>
  </si>
  <si>
    <t>INVITATION TO BID FOR PURCHASE OF AUTOMATED EXTERNAL DEFIBRILLATOR (AED)</t>
  </si>
  <si>
    <t>Procurement and Delivery of Paints/Painting Materials</t>
  </si>
  <si>
    <t>PROCUREMENT OF SIX THOUSAND FIVE HUNDRED (6,500) REAMS OF A4-SIZED MULTIPURPOSE BOND PAPER</t>
  </si>
  <si>
    <t>PURCHASE OF INK SUPPLIES</t>
  </si>
  <si>
    <t>Various Infrastructure Projects (Infra-20-13), Kabankalan City, Negros Occidental</t>
  </si>
  <si>
    <t>Materials for Installation of Additional Barangay Streetlights</t>
  </si>
  <si>
    <t>“LAKAS KITA, LAKAS PAMILYA” PROGRAM - Soap, Fabric Conditioner, Dishwashing Liquid and Perfume Making Training</t>
  </si>
  <si>
    <t>2020-079, SUPPLY AND DELIVERY OF 2 UNITS MOTORCYCLE (BRAND NEW) AT LGU MIDSAYAP, COTABATO</t>
  </si>
  <si>
    <t>For Printing of Modules</t>
  </si>
  <si>
    <t>Office Supplies 3LSSM2020A-113</t>
  </si>
  <si>
    <t>PROCUREMENT OF DIESEL, GASOLINE AND OIL FOR 3RD QUARTER (MDRRM)</t>
  </si>
  <si>
    <t>“LAKAS KITA, LAKAS PAMILYA” PROGRAM - Massage Therapy NC2</t>
  </si>
  <si>
    <t>INVITATION TO BID FOR PROVISION OF PLANTING MATERIALS AND POULTRY TO MALNOURISHED HOUSEHOLDS</t>
  </si>
  <si>
    <t>Other Supplies-MEO</t>
  </si>
  <si>
    <t>PRINTING &amp; DELIVERY OF INSTRUCTIONAL MATERIALS FOR VARIOUS SCHOOLS IN MUNTINLUPA CITY</t>
  </si>
  <si>
    <t>Construction of Partition for the Police Headquarters at Asingan, Pangasinan.</t>
  </si>
  <si>
    <t>Supply, Handling, Transport, and  Delivery of Various Fertilizer</t>
  </si>
  <si>
    <t>For LIvelihood Project for Fisherfolks</t>
  </si>
  <si>
    <t>supply &amp; delivery of construction supplies &amp; materials for the Fabrication of Environmental Science Lab. cabinets &amp; office tables</t>
  </si>
  <si>
    <t>To support the procurement of 30 can WD-40 Degreaser and 17 other L/I for use in the 14th and 15th PIP Inspection Scheduled Maintenance of C-130H Aircraft with tail nr 4704.</t>
  </si>
  <si>
    <t>Delivery of Various Feeds</t>
  </si>
  <si>
    <t>Procurement of Plastic Products for the Food Service Operation-MMSU</t>
  </si>
  <si>
    <t>Supply and Delivery of 810 pcs portable storage device(Micro USB OTG Ultra Dual Drive, 512GB)</t>
  </si>
  <si>
    <t>School Learning Continuity Plan (SLCP) Needs (Modules, worksheets, Educational support</t>
  </si>
  <si>
    <t>GF-20-02-00305 - TIME RECORDING MACHINE</t>
  </si>
  <si>
    <t>(JOY-CDCPF) - SUPPLY &amp; DELIVERY OF REFINED SUGAR FOR CDCPF</t>
  </si>
  <si>
    <t>Office Supplies 3LSSM2020A-112</t>
  </si>
  <si>
    <t>RFQ: Bookpaper, Transport Box/Cooler, Storage Box</t>
  </si>
  <si>
    <t>Procurement of Hardware Materials</t>
  </si>
  <si>
    <t>ITB No. 20-077 Supply and Delivery of Various Fruits and Vegetables (Line Bidding)</t>
  </si>
  <si>
    <t>14 Heads Cow-MAO</t>
  </si>
  <si>
    <t>Concreting of Rivadelo Street</t>
  </si>
  <si>
    <t>Training Expenses (03-426)</t>
  </si>
  <si>
    <t>Repair and Maintenance of Motor Vehicles of Pitogo Municipal Police Station</t>
  </si>
  <si>
    <t>20DJ0106-Concreting of Brgy. Cabay FMR, Brgy. Cabay, Tiaong, Quezon</t>
  </si>
  <si>
    <t>Purchase of 5 unit Fogging Machine</t>
  </si>
  <si>
    <t>Construction of Multi-purpose Pavement (Barangay Sto. Niño)</t>
  </si>
  <si>
    <t>Repair and Maintenance of Water System</t>
  </si>
  <si>
    <t>Relocation of HRT Hot and Cold Laboratory Room</t>
  </si>
  <si>
    <t>GF-20-05-00735 - DRUM CARTRIDGE</t>
  </si>
  <si>
    <t>2020-080, SUPPLY AND DELIVERY OF BUSINESS REGISTRATION PLATE AT LGU MIDSAYAP, COTABATO</t>
  </si>
  <si>
    <t>SUPPLY AND DELIVERY OF VARIOUS CI FITTINGS</t>
  </si>
  <si>
    <t>TO BE USED @ ATSC-FOR GARBAGE DISPOSAL</t>
  </si>
  <si>
    <t>PURCHASE OF MATERIALS FOR THE IMPROVEMENT OF BARANGAY HOLDING FACILITIES FOR COVID-19 LSI</t>
  </si>
  <si>
    <t>TO BE USED FOR THE COTTAGES @ ATSC-PAYANAN</t>
  </si>
  <si>
    <t>Projcurement of Relief Goods (Commercial Rice) in response to COVID-19 Pandemic</t>
  </si>
  <si>
    <t>Labor and materials for the repair of MBL Boat for HAB Monitoring</t>
  </si>
  <si>
    <t>Construction of MRF extension as counterpart of the Cebu Provincial Government donated equipment</t>
  </si>
  <si>
    <t>GF-20-05-00717 - Procurement of Dry Seal, White Board and Others</t>
  </si>
  <si>
    <t>Purchase and Fabrication of Wall-mounted Acrylic plaque/ signage</t>
  </si>
  <si>
    <t>20-06-0855A-FOR BUDGET SUPPLIES CY 2020</t>
  </si>
  <si>
    <t>PROCUREMENT OF CIVIL WORKS FOR PANGASIHAN CIP (2020) SUPP.</t>
  </si>
  <si>
    <t>MISC. - LIQUID DETERGENT, ALL PURPOSE CONCENTRATED (2nd POSTING)</t>
  </si>
  <si>
    <t>REPAIR OF FLOOR TILES AND CEILING AND REPLACEMENT OF DOOR AND PAINTING OF WALLS AT MIS OFFICE , PLMUN, POBLACION, MUNTINLUPA CITY</t>
  </si>
  <si>
    <t>for the Procurement of Medical Equipment.</t>
  </si>
  <si>
    <t>Foods during Barangay Visitation for the year 2020 (17 Rural Barangays)</t>
  </si>
  <si>
    <t>Supply and Delivery of Construction Supplies for the Renovation of Farm Machinery Shop Building of SDSSU San Miguel Campus</t>
  </si>
  <si>
    <t>60 PCS. BOLARD LIGHTS FOR CGSO USE</t>
  </si>
  <si>
    <t>Procurement of Diesoline (for MHO Ambulance)</t>
  </si>
  <si>
    <t>Supply and Delivery of Four (4) sets Sliding Window (1.50 x 3.00) including installation services per PR# 2020-07-0400</t>
  </si>
  <si>
    <t>Supply abd Delivery of Service Connection Materials</t>
  </si>
  <si>
    <t>Office supplies</t>
  </si>
  <si>
    <t>PR#20-08-0371 Rapid Test Kits (CHO)</t>
  </si>
  <si>
    <t>PROCUREMENT OF MATERIALS AND EQUIPMENT RENTAL FOR THE IMPROVEMENT /REHABILITATION OF SB BUILDING OFFICE</t>
  </si>
  <si>
    <t>Food Supplies 3LSSM2020A-114</t>
  </si>
  <si>
    <t>20GJI0062-Furnishing of Labor including provision of equipment necessary for the pavement maintenance (routine maintenance 71x emergency projects) along Lanao-Pagadian-Zamboanga City Road K1724+(-591)</t>
  </si>
  <si>
    <t>MISC. - WATER, MINERAL, REFILL (2nd POSTING)</t>
  </si>
  <si>
    <t>CWC-UNICEF HIV/Adolescent Health Program Webinar Management Tool and Online Meeting Platform Subscription.</t>
  </si>
  <si>
    <t>Construction/Rehabilitation/Upgrading of Barangay Road in Brgy. Bayanihan, Mabitac, Laguna</t>
  </si>
  <si>
    <t>Invitation to Bid for the Repair of Basketball Court at Barangay Sagurong, Tabaco City</t>
  </si>
  <si>
    <t>Extension support (Free-range chicken) in support to urban gardening/ conduct of Back to Basics: Scientific and Sustainable Livestock and Poultry Production in various municipalities/ cities of Region</t>
  </si>
  <si>
    <t>PURCHASE &amp; DELIVERY OF CUSTOMIZED RESCUE VEHICLE</t>
  </si>
  <si>
    <t>To support the procurement of 150 can Penetrating Oil 333ml ansd 17 other L/I for use in the Check "C" Scheduled Maintenance of F-27 Aircraft with tail nr 259.</t>
  </si>
  <si>
    <t>PURCHASE OF OFFICE EQUIPMENT AND SUPPLIES FOR THE PRODUCTION OF INSTRUCTION MATERIALS FOR MODULAR INSTRUCTION SCHEME FOR SY 2020 - 2021 OF MUNICIPALITY OF CAUAYAN, NEGROS OCCIDENTAL</t>
  </si>
  <si>
    <t>Supply and Installation of Solar Streetlights (Phase II) at Brgy. Poblacion, Tolosa, Leyte</t>
  </si>
  <si>
    <t>Construction of Maranum Information Office at Batchelor East, Natividad, Pangasinan</t>
  </si>
  <si>
    <t>Food Supplies 3LSSM2020A-115</t>
  </si>
  <si>
    <t>school supplies</t>
  </si>
  <si>
    <t>Supply and Delivery of Information Technology (IT) Equipment for the Municipal Engineering Office</t>
  </si>
  <si>
    <t>Supply and Delivery of Steel Sheet Piles for use in the maintenance /repair of provincial roads and bridges provincewide</t>
  </si>
  <si>
    <t>Purchase of Spare Parts, Tires, Batteries and Accessories to be used for Different Government Vehicles of the Municipality of Tabuelan, Cebu</t>
  </si>
  <si>
    <t>PROCUREMENT OF CONST. MATERIALS AND SUPPLIES FOR CONCRETING OF BRGY. ROADS OF ODIONG</t>
  </si>
  <si>
    <t>EXPANDED ENVELOPES</t>
  </si>
  <si>
    <t>20DJ0107-Concreting of Brgy. Bukal Norte FMR, Brgy. Bukal Norte, Candelaria, Quezon</t>
  </si>
  <si>
    <t>2020-081, SUPPLY AND DELIVERY OF ELECTRONIC DEVICES AND EQUIPMENT FOR EXPLOSIVE ORDNANCE DISPOSAL (EOD) UNIT AT LGU MIDSAYAP, COTABATO</t>
  </si>
  <si>
    <t>PROCUREMENT FOR THE SUPPLY AND DELIVERY OF THREE (3) UNITS DUMP TRUCK FOR ESMO</t>
  </si>
  <si>
    <t>Hiring/Rental of Service Vehicle</t>
  </si>
  <si>
    <t>Purchase of Tarpaulin Used at HRM Office, Cabugao, Ilocos Sur</t>
  </si>
  <si>
    <t>Supply, Handling, Transport, and  Delivery of Coconut Coir Based Organic Fertilizer</t>
  </si>
  <si>
    <t>Purchase of 1 set Computer at Barangay Poblacion IV, Tanauan City, Batangas</t>
  </si>
  <si>
    <t>Supply of Fuel use in various mobilization activities in relation to COVID-19 pandemic</t>
  </si>
  <si>
    <t>Improvement of Multi-purpose Building, San Vicente</t>
  </si>
  <si>
    <t>Meals and venue- Empowering Beginning Reading Teachers and Home Facilitators During Pandemic- Aug. 11-13, 2020</t>
  </si>
  <si>
    <t>Supply and Delivery of Tables &amp; chairs</t>
  </si>
  <si>
    <t>CONSTRUCTION OF CONCRETE PATHWAY @ SITIO PIKAS, BRGY. HACIENDA MARIA</t>
  </si>
  <si>
    <t>REQUEST FOR PRICE QUOTATION</t>
  </si>
  <si>
    <t>Supply and Delivery of Rice</t>
  </si>
  <si>
    <t>Request for Quotation for Construction Materials (181,500.00)</t>
  </si>
  <si>
    <t>Procurement for IT suppplies and equipment of ComRel PR# 20-07-191</t>
  </si>
  <si>
    <t>Procurement of Airconditioning Supply &amp; Materials - Estancia Campus</t>
  </si>
  <si>
    <t>Supply &amp; Delivery of Office Supplies 05D(SOWER&amp;SG) H07-2020</t>
  </si>
  <si>
    <t>MISC. - BATTERY FOR ACER ASPIRE 4755G LAPTOP (2nd POSTING)</t>
  </si>
  <si>
    <t>RFQ 2020-08-029: Procurement of Printer with Wi-Fi, Rubber Shoes, Go Pro Camera and Jacket</t>
  </si>
  <si>
    <t>Procurement of Vehicle Spare Parts</t>
  </si>
  <si>
    <t>Purchase of 20 pcs T-Shirt's Covid Marcial at Barangay Pob. IV, Tanauan City, Batangas</t>
  </si>
  <si>
    <t>Supply and Delivery of Medical Oxygen Supplies for use of San Marcelino District Hospital (SMDH) and Ospital ng Sta. Cruz (OSC)</t>
  </si>
  <si>
    <t>Supply &amp; Delivery of medical supplies 07D TESDA H10-2020</t>
  </si>
  <si>
    <t>procurement of Agricultural Machineries &amp; Equipment  ( RICE MILL for MAMFIC)</t>
  </si>
  <si>
    <t>COMPLETE REPAIR OF COFFEE ROASTER</t>
  </si>
  <si>
    <t>Supply and Delivery of Dental Supplies for use of HSCtr-C, AFPHSC for 3rd Quarter 2020</t>
  </si>
  <si>
    <t>Quotation No. 20-07-423 = PRINTING OF IEC MATERIALS</t>
  </si>
  <si>
    <t>Supply and Delivery of Office Supplies for 3QR 2020</t>
  </si>
  <si>
    <t>Other Supplies and Materials 3LSSM2020A-116</t>
  </si>
  <si>
    <t>Motorcycle</t>
  </si>
  <si>
    <t>Procurement of two hundred sixty six (266) pairs Heavy Duty Boots, two hundred sixty six (266) pairs Heavy Duty Rubber Gloves (Oil Resistant) and one hundred (100) rolls Nylon Cord #300 to be used for</t>
  </si>
  <si>
    <t>PROCUREMENT OF CONST. MATERIALS AND SUPPLIES FOR IMPROVEMENT OF BRGY. VICTORIA</t>
  </si>
  <si>
    <t>Procurement of Catering Services for the 2020 Kamustahan sa Feeding sa DepEd - Cagayan de Oro City</t>
  </si>
  <si>
    <t>2020-082, CONSTRUCTION OF MULTI-PURPOSE BUILDING FOR RURAL IMPROVEMENT CLUB (RIC)  AND FARMERS ASSOCIATION AT ILBOCEAN, MIDSAYAP, COTABATO</t>
  </si>
  <si>
    <t>Invitation to Bid for Solid Wastes/ Garbage Collection and Disposal Services at Calaca, Batangas</t>
  </si>
  <si>
    <t>PROCUREMENT OF VARIOUS GOODS AND MATERIALS FOR SK COUNCIL AND PROGRAM USE</t>
  </si>
  <si>
    <t>Procurement of Other Supplies</t>
  </si>
  <si>
    <t>IMPROVEMENT OF NURSING RESEARCH OFFICE</t>
  </si>
  <si>
    <t>CCTV Camera System for Calbayog Branch</t>
  </si>
  <si>
    <t>Purchase of vehicle maintenance for Heavy equipments</t>
  </si>
  <si>
    <t>To Support the procurement of Seventy (70) ea Cloth Tape (Red) 2 inches and 11 Other L/l for use in the "100 Hours Inspection" Scheduled Maintenance of N-22 Acft Nr B-12.</t>
  </si>
  <si>
    <t>Procurement of Various Projects (Package 4)</t>
  </si>
  <si>
    <t>REPAIR OF MALE COMFORT ROOM ON RDO 132 EAST DAVAO</t>
  </si>
  <si>
    <t>GF-20-02-00160 - LAPTOP AND DESKTOP COMPUTER</t>
  </si>
  <si>
    <t>CONSTRUCTION OF RAMP AT THE FRONTAGE OF SCHOOL CLINIC</t>
  </si>
  <si>
    <t>Procurement for IT suppplies and equipment of TOT PR# 20-08-194</t>
  </si>
  <si>
    <t>Request for Quotation for Construction Materials (78,935.41)</t>
  </si>
  <si>
    <t>Procurement of Other Supplies &amp; Materials</t>
  </si>
  <si>
    <t>Supply and Delivery of Steel Ladder (Pilipino Bldg.) Materials. (Hardware supplies 3Q</t>
  </si>
  <si>
    <t>Construction of Multipurpose Building</t>
  </si>
  <si>
    <t>Procurement of Construction Materials - PR. No. 149</t>
  </si>
  <si>
    <t>PROCUREMENT OF FIVE THOUSAND FIVE HUNDRED (5,500) PIECES OF EXPANDING PLASTIC ENVELOP WITH  SJKHS LOGO</t>
  </si>
  <si>
    <t>20GJI0063-Furnishing of Labor including provision of equipment for the installation of guardrails (routine maintenance 71x Special Maintenance Project) along Lanao-Pagadian-Zamboanga City Road,K1724+(</t>
  </si>
  <si>
    <t>Quotation No.20-05-304 REBID = N95 Mask</t>
  </si>
  <si>
    <t>Purchase of Tools for Repair and Maintenance of Heavy Equipment</t>
  </si>
  <si>
    <t>Supply and Delivery of Steel Fence Materials (Hardware Supplies (3rd Quarter</t>
  </si>
  <si>
    <t>1 lot Various Laboratory Supplies...</t>
  </si>
  <si>
    <t>Supply/Delivery of 2 units Desktop Computer, branded</t>
  </si>
  <si>
    <t>RENTAL OF SOUND SYSTEM FOR THE HUDYAKA SA PANGLAO 2020</t>
  </si>
  <si>
    <t>Request for Quotation of Water Meters</t>
  </si>
  <si>
    <t>One (1) Lot Supply and Installation of Additional Security Fence and Gate at Gate 2, BSP Quezon City, as per BSP Scope of Work and Specifications and Plans/Drawings</t>
  </si>
  <si>
    <t>20GG0059-G - Procurement of Survey Essentials and Protective Gears for the use of Planning and Design Section, DPWH Iloilo 2nd DEO, Balabag, Dumangas, Iloilo</t>
  </si>
  <si>
    <t>Purchase of IT Equipment</t>
  </si>
  <si>
    <t>TARPAULIN FOR BUWAN NG WIKA</t>
  </si>
  <si>
    <t>Supply &amp; Delivery of Other Supplies to be use for Linggo ng Kabataan on August 10 - 16, 2020</t>
  </si>
  <si>
    <t>NCB Publication No. 2020- 28 (First Publication)- Package 2020-12 - PB (1. Buti-e - Tanifong FMR Rehab, Itab 2. Buti-e Overflow Constrcution, Itab)</t>
  </si>
  <si>
    <t>Procurement of Construction Supplies</t>
  </si>
  <si>
    <t>Procurement of Various Chemicals</t>
  </si>
  <si>
    <t>Purchase of Automatic Soap Dispenser &amp; Foot Bath Tray w/ Coil Matting</t>
  </si>
  <si>
    <t>Construction of Tourist Waiting/Registration Area (Phase 2) (Serve as toll gate, display center of souvenir items and coffee shop)</t>
  </si>
  <si>
    <t>ROAD CONCRETING (BRGY. STA. FILOMENA)</t>
  </si>
  <si>
    <t>Request for Quotation for Construction Materials (52,568.00)</t>
  </si>
  <si>
    <t>Other Supplies and Materials 3LSSM2020A-118</t>
  </si>
  <si>
    <t>Purchase of Various Equipment for Engineering Office</t>
  </si>
  <si>
    <t>PURCHASE OF MEDICAL SUPPLIES -090</t>
  </si>
  <si>
    <t>Procurement of Office Supplies to be used for the Office of the COA</t>
  </si>
  <si>
    <t>1 lot 1 bottle Titanium (IV) Butoxide....etc</t>
  </si>
  <si>
    <t>Purchase of office supplies and consumables</t>
  </si>
  <si>
    <t>PROCUREMENT OF VARIOUS MEDICAL EQUIPMENT</t>
  </si>
  <si>
    <t>SUPPLY AND DELIVERY OF 6-WHEELER DUMP TRUCKS 4X2 (BRAND NEW)</t>
  </si>
  <si>
    <t>NCB Publication No. 2020- 29 (First Publication)- Package 2020-13 - PB (1. Kiling- Palaad Road Concreting 2. Kiling- Palaad FMR Concreting 3. Kiling to Catubangan FMR Concreting)</t>
  </si>
  <si>
    <t>Procurement of supply and delivery of cassava cuttings</t>
  </si>
  <si>
    <t>Supply and Delivery of Hardware Materials for water drainage upgrade.</t>
  </si>
  <si>
    <t>Request for Quotation of various service connection materials</t>
  </si>
  <si>
    <t>Procurement of Medical, Dental &amp; Laboratory Supplies</t>
  </si>
  <si>
    <t>Supply and delivery of 25 pcs. Four-Stage Air Purifying System</t>
  </si>
  <si>
    <t>To support the procurement of One Hundred (100) sack Saw Dust and 27 Other L/I for use in sched maint of C-130B acft with tail Nr 3633.</t>
  </si>
  <si>
    <t>20CSIL0001(SUBSURFACE SOIL TESTING FOR THE PROPOSED WIDENING OF PERMANENT BRIDGES)</t>
  </si>
  <si>
    <t>Catering Services good for 2 days with 102 participants for the conduct Provincial Review and Planning Workshop</t>
  </si>
  <si>
    <t>Invitation to Bid for the Procurement of Brand New Motor Vehicles</t>
  </si>
  <si>
    <t>INVITATION TO BID FOR THE SCHOOL DENTAL HEALTH CARE PROGRAM</t>
  </si>
  <si>
    <t>PR# 20-07-745-D PROCUREMENT OF ANIMAL FEEDS FOR CVMNDTC, BENTIG, CALAPE, BOHOL.</t>
  </si>
  <si>
    <t>SUPPLY, DELIVERY AND INSTALLATION OF VARIOUS MEDICAL, IT AND OFFICE EQUIPMENT</t>
  </si>
  <si>
    <t>Printing Services</t>
  </si>
  <si>
    <t>Request for Quotation on Provision of response and preventive efforts for necessary COVID-19 related PPAS and other expenses( MDRRMF 70 % Disaster Preparedness and Mitigation Fund)</t>
  </si>
  <si>
    <t>Procurement of Drugs &amp; Medicines</t>
  </si>
  <si>
    <t>SUPPLY AND DELIVERY OF NETWORK ATTACHED STORAGE RACKMOUNTED TYPE</t>
  </si>
  <si>
    <t>MATERIALS USED FOR THE COMPLETION OF MULTI-PURPOSE BUILDING (BPATS) AT BRGY. CACUB, CITY OF KORONADAL</t>
  </si>
  <si>
    <t>Supply &amp; Delivery of Materials and Equipment Rentals for use in the CONSTRUCTION OF BOX CULVERT AND INSTALLATION OF 0.60MØ RCCP.</t>
  </si>
  <si>
    <t>SUPPLY AND DELIVERY OF WATER TANKER (SURPLUS)</t>
  </si>
  <si>
    <t>3RD QUARTER DRUGS &amp; MEDICINES FOR CITY HEALTH OPERATIONS</t>
  </si>
  <si>
    <t>Supply and Delivery of Cleaning and Disinfecting Products for 3rd Quarter.</t>
  </si>
  <si>
    <t>5 pcs Filter Paper....etc</t>
  </si>
  <si>
    <t>Supply, Delivery, Installation, Configuration, Migration, and Testing of Additional Servers for BTMS Infrastructure</t>
  </si>
  <si>
    <t>Purchase of Heavy Equipment (Mini Dump truck)</t>
  </si>
  <si>
    <t>ELECTRICAL SUPPLIES</t>
  </si>
  <si>
    <t>Procurement of Various Projects (Package 5)</t>
  </si>
  <si>
    <t>1 LOT SUPPLY, DELIVERY &amp; INSTALLATION OF 2 UNITS DIRECTIONAL DIRECTORY FOR C ITY TERMINAL USE</t>
  </si>
  <si>
    <t>Procurement Materials for the Construction of Fortaliza Water System</t>
  </si>
  <si>
    <t>Purchase of 1 unit Portable Multi Purpose shredder &amp; 1 unit Multi-Purpose Mixer</t>
  </si>
  <si>
    <t>PRN 053-IT EQPT-LSB-GOODS-2020</t>
  </si>
  <si>
    <t>Procurement of Additional of Materials for the Reproduction/Printing of Self-learning Modules for the Opening of Classes for the SY 2020-2021</t>
  </si>
  <si>
    <t>Road Shouldering of Ramon Magsaysay - JP Laurel St. (342.70 L.M. x 0.90 M.) Both Ways</t>
  </si>
  <si>
    <t>Procurement of Equipment &amp; supplies for the Provision of Mechanical Cane Juicer under CRFPS Support</t>
  </si>
  <si>
    <t>Catering and Lodging services in the conduct of Region Wide Midyear Assessment</t>
  </si>
  <si>
    <t>Purchase of One (1) Unit Vehicle Bongo for Disaster Preparedness</t>
  </si>
  <si>
    <t>Other Supplies and Materials 3LSSM2020A-117</t>
  </si>
  <si>
    <t>Procurement of Catering Services for Various Trainings, Meetings and Events for Enhancement of Agricultural Development and Extension Service Program to Support Peace and Development of the Provincial</t>
  </si>
  <si>
    <t>Aviation Product</t>
  </si>
  <si>
    <t>GF-20-05-00722 PROCUREMENT OF FIRE EXTINGUISHER</t>
  </si>
  <si>
    <t>MEDICAL, DENTAL &amp; LABORATORY SUPPLIES FOR CITY HEALTH OPERATIONS</t>
  </si>
  <si>
    <t>PROCUREMENT AND DELIVERY OF OFFICE SUPPLIES for TBI, VSU-Main, Visca, Baybay City, Leyte (PSMO20-07-0333)</t>
  </si>
  <si>
    <t>GF-20-05-00848 - EXECUTIVE CHAIR</t>
  </si>
  <si>
    <t>Purchase of 15 units 3 in 1 Printer</t>
  </si>
  <si>
    <t xml:space="preserve">NCB Publication No. 2020- 30 (First Publication)- Package 2020-14 - PB (1. Ubuag Brgy. Gym Finishing 2. Multi-purpose Building Construction/ Continuation, Ubuag 3. Multi-purpose Building Construction </t>
  </si>
  <si>
    <t>Repair and Maintenance of RP Vehicle SKX 311</t>
  </si>
  <si>
    <t>RFQ for Construction Supplies &amp; Materials (FSM)</t>
  </si>
  <si>
    <t>Supply and Delivery of 14 Units of Copier  for use of DepEd District of Pototan II, Pototan, Iloilo in the Reproduction of Modules to be Distributed to the Students in every levels during the Pandemic</t>
  </si>
  <si>
    <t>GF-20-03-00539 TONER, RIBBON CARTRIDGE AND CONTINUOUS FORM</t>
  </si>
  <si>
    <t>GF-20-07-01114 PRINTING OF DROP BANNER AND OTHERS</t>
  </si>
  <si>
    <t>SUPPLY OF MATERIALS, LABOR AND EQUIPMENT FOR THE CONSTRUCTION OF PUMP HOUSE AND PERIMETER FENCE AND SITE DEVELOPMENT OF LINAO NORTE PUMPING STATION 02, LINAO NORTE, TUGUEGARAO CITY (RE-BIDDING)</t>
  </si>
  <si>
    <t>Purchase of Split-type Airconditioning unit (2.5 hp)</t>
  </si>
  <si>
    <t>Purchase of Office Supplies for 3rd Quarter CY 2020</t>
  </si>
  <si>
    <t>1 LOT SUPPLY, DELIVERY &amp; INSTALLATION OF ONE (1) UNIT OUTDOOR ADVERTISEMENT USE FOR THE OPERATION OF PUBLIC TERMINAL</t>
  </si>
  <si>
    <t>Procurement of Office Supplies Equipment and Consumables</t>
  </si>
  <si>
    <t>Supply and Delivery of Meals &amp; Snacks for Sub Office Anniversary</t>
  </si>
  <si>
    <t>Supply, Handling, Transport, and  Delivery of Livestock</t>
  </si>
  <si>
    <t>Invitation to Bid for the Procurement of One (1) Unit Passenger Van (converted into an ambulance and fitted with necessary medical equipment and apparatus) for the use in this municipality.</t>
  </si>
  <si>
    <t>PROCUREMENT OF REHABILITATION OF THE EXISTING CROP AND SOIL SCIENCE LABORATORY BUILDING AND UPGRADING OF THE WATER SYSTEM AND ELECTRICAL INSTALLATION OF CAPSU RDE-CSRDC (LOCATED AT CAPSU BURIAS CAMPUS</t>
  </si>
  <si>
    <t>DSWD NNP No. 20-TFB-005 - Renovation of DSWD-Social Welfare and Development Center for Asia and the Pacific (SWADCAP) at 2nd Floor (Phase II)</t>
  </si>
  <si>
    <t>Procurement and Delivery of Farm Implements to be distributed to identified Farmer Beneficiaries of the Municipality of Kapangan</t>
  </si>
  <si>
    <t>Other Supplies and Materials 3LSSM2020A-120</t>
  </si>
  <si>
    <t>Aircraft Spare Parts</t>
  </si>
  <si>
    <t>PROCUREMENT OF BIOMETRIC TIME ATTENDANCE SYSTEM</t>
  </si>
  <si>
    <t>Reproduction of Modules/Activity Sheets and Manual/Brochures (GAD)</t>
  </si>
  <si>
    <t>GF-20-02-00329 CLERICAL AND EXECUTIVE CHAIR</t>
  </si>
  <si>
    <t>Building and Maintenance Tools</t>
  </si>
  <si>
    <t>Procurement of ICT Supplies, Consumables, and Software</t>
  </si>
  <si>
    <t>1 LOT SUPPLY, DELIVERY &amp; INSTALLATION OF 2 UNITS AIR CON USE FOR RECORDING AND MEDIA PRODUCTION FACILITY</t>
  </si>
  <si>
    <t>Invitation to Quote for Metal Fabrication for Philrootcrops, VSU-Main, Visca, Baybay City, Leyte (PO20-07-0329)</t>
  </si>
  <si>
    <t>300 STUBS CITATION TICKETS FOR USE IN SUPPORT TO CTO OPERATIONS</t>
  </si>
  <si>
    <t>Other Supplies and Materials 3LSSM2020A-119</t>
  </si>
  <si>
    <t>Supply &amp; Delivery of Materials and Equipment Rentals for use in the CONSTRUCTION OF LINE CANAL WITH COVER.</t>
  </si>
  <si>
    <t>Procurement of Copier</t>
  </si>
  <si>
    <t>Concreting of ARC Road, Brgy. Jibolo-Balanac-Aguingay-Danao and Calmay, JAniuay, Iloilo</t>
  </si>
  <si>
    <t>VARIOUS ACCOUNTABLE FORMS FOR TREASURY OPERATIONS</t>
  </si>
  <si>
    <t>One(1) Job Labor, Materials and Equipment Rentals for the Construction of Drainage Canal, Improvement of Grounds and Rehabilitation of Playground Equipments of DSWD Center at Pototan New Public Market</t>
  </si>
  <si>
    <t>RFQ 08-01-2020 Item A</t>
  </si>
  <si>
    <t>GF-20-02-00362 PROCUREMENT OF INK CARTRIDGE</t>
  </si>
  <si>
    <t>Invitation to Bid for the Procurement of One (1) Unit Pick-up (for conversion into a rescue vehicle equipped with necessary equipment and apparatus) for rescue and disaster response activities in this</t>
  </si>
  <si>
    <t>GF-20-03-00589B PROCUREMENT OF TIRES AND BATTERIES</t>
  </si>
  <si>
    <t>Procurement of ICT Equipment and Accessories 2020</t>
  </si>
  <si>
    <t>Repair and Improvement of the Division Office (Accounting Office and HandWashing Facility)</t>
  </si>
  <si>
    <t>Purchase of various parts for use in the repair of Rescue Vehicle of LGU, Bato, Leyte</t>
  </si>
  <si>
    <t>Purchase of Office Equipment for Elementary schools (SEF)</t>
  </si>
  <si>
    <t>Battery for Genset</t>
  </si>
  <si>
    <t>Purchase of Office Equipment for MTO use</t>
  </si>
  <si>
    <t>Reproduction of Modules/Activity Sheets and Manual/Brochures (GAD)-Lot 2</t>
  </si>
  <si>
    <t>Invitation to Bid for the Supply &amp; Delivery of Medicines, Medical Equipment &amp; Medical Supplies to be used at the Isolation Facility, this municipality</t>
  </si>
  <si>
    <t>Supply and Delivery of 17 Units of Copier and 2 Units of Risograph for use of DepEd District of Pototan I, Pototan, Iloilo in the Reproduction of Modules to be Distributed to the Students in every lev</t>
  </si>
  <si>
    <t>Rehabilitation of Flat Bed Dryer, Brgy. Caraudan, Janiuay, Iloilo</t>
  </si>
  <si>
    <t>RFQ 08-01-2020 Item C</t>
  </si>
  <si>
    <t>PR NO-322 IT EQUIPMENT - JOSE LIM NATIONAL HIGH SCHOOL</t>
  </si>
  <si>
    <t>MATERIALS USED FOR THE IMPROVEMENT OF MULTI PURPOSE BUILDING AT LOWER ACUB, BRGY. SAN ISIDRO, CITY OF KORONADAL</t>
  </si>
  <si>
    <t>Construction of Residual Containment Area at Dumpsite Marobbob, Amulung Cagayan</t>
  </si>
  <si>
    <t>Relocation of existing Air conditioning unit from Old Office Building to New Office Building</t>
  </si>
  <si>
    <t>Purchase of 12 Laptop &amp; Accessories - SB</t>
  </si>
  <si>
    <t>Supply &amp; Delivery of Computer Equipment for use of Various Elementary Schools of District of Janiuay I, Janiuay, Iloilo</t>
  </si>
  <si>
    <t>NARVACAN WATER SUPPLY SYSTEM IMPROVEMENT PROJECT</t>
  </si>
  <si>
    <t>CONSTRUCTION OF WATER SYSTEM PROJECT (Brgy. Esparar, Barbaza, Antique)/IB. NO. K-2020-090(SC)</t>
  </si>
  <si>
    <t>3LSSM2020A-122 Office Supplies</t>
  </si>
  <si>
    <t>procurement and delivery of school supply for the first quarter of sy 2020 for bontongon elementary school</t>
  </si>
  <si>
    <t>Invitation to Bid for the Supply &amp; Delivery of Rapid Antibody Test Kits to be used at the Isolation Facility, this municipality</t>
  </si>
  <si>
    <t>RFQ 08-01-2020 Item B</t>
  </si>
  <si>
    <t>PR NO-338 IT EQUIPMENT &amp; APPLIANCES - BACOLOD ELEMENTARY SCHOOL</t>
  </si>
  <si>
    <t>PR NO-342 T EQUIPMENT &amp; APPLIANCES - OZAMIZ CITY SCHOOL OF ARTS AND TRADES</t>
  </si>
  <si>
    <t>PR NO-341 IT EQUIPMENT &amp; APPLIANCES - SINUSA INTEGRATED SCHOOL</t>
  </si>
  <si>
    <t>RFQ for Construction Supplies &amp; Materials (CD)</t>
  </si>
  <si>
    <t>Procurement of Drugs and Medicines &amp; Laboratory Supplies</t>
  </si>
  <si>
    <t>INVITATION TO BID - 2.) Supply and Delivery of 90 units Document Scanner &amp; 2 Units Projector</t>
  </si>
  <si>
    <t>GF-20-02-00394-PROCUREMENT OF CONFERENCE TABLE AND OTHERS</t>
  </si>
  <si>
    <t>Reproduction of Modules/Activity Sheets and Manual/Brochures (GAD)-Lot 3</t>
  </si>
  <si>
    <t>REQUEST FOR QUOTATION (RFQ)  PROCUREMENT FOR DISPOSABLE FILTER UNIT FOR MALABON ANALYZER RFQ No.055 -2020</t>
  </si>
  <si>
    <t>PROVISION OF CATERING SERVICES ON THE CONDUCT OF THE PRINCIPAL TRAINING AND DEVELOPMENT PROGRAM AND DIVISION BOARD CONFERENCE</t>
  </si>
  <si>
    <t>3LSSM2020A-121 Other Supplies  and Materials</t>
  </si>
  <si>
    <t>DRUGS AND MEDICINES/IB No. MM-2020-030(m)</t>
  </si>
  <si>
    <t>PR NO-320 EQUIPMENT &amp; APPLIANCES - DIEGO TUASTOMBAN ELEMENTARTY SCHOOL</t>
  </si>
  <si>
    <t>DRUGS AND MEDICINES/RE-IB No. MM-2020-007(m)</t>
  </si>
  <si>
    <t>PR NO-357 T EQUIPMENT &amp; APPLIANCES - MISAMIS ANNEX INTEGRATED SCHOOL</t>
  </si>
  <si>
    <t>Procurement of supplies and materials for the repair/installation of Street Barriers</t>
  </si>
  <si>
    <t>Improvement of Covered Court</t>
  </si>
  <si>
    <t>PR NO-356 IT EQUIPMENT &amp; APPLIANCES - MALAUBANG INTEGRATED SCHOOL</t>
  </si>
  <si>
    <t>RIPRAPPING OF STEEP ROAD SIDE(Brgy. Codiong, Libertad, Antique)/RE-IB. NO. K-2020-059(SC)</t>
  </si>
  <si>
    <t>INVITATION TO BID - 1.) Purchase of 10 Units High-End Laptop and 104 units Regular Laptop</t>
  </si>
  <si>
    <t>Concreting of Brgy. Road</t>
  </si>
  <si>
    <t>Supply  &amp; Delivery of Construction Materials for the Fabrication &amp; Installation of 15 Units Permenent Early Warning Signages</t>
  </si>
  <si>
    <t>PR NO-321 IT EQUIPMENT - TABID NATIONAL HIGH SCHOOL</t>
  </si>
  <si>
    <t>Purchase of Calamity and Disaster Equipment</t>
  </si>
  <si>
    <t>Procurement of Furniture and Fixtures</t>
  </si>
  <si>
    <t>3LSSM2020A-123 Procurement of Audio Visual Equipment</t>
  </si>
  <si>
    <t>GF-20-03-00584-PROCUREMENT OF CONFERENCE CHAIRS</t>
  </si>
  <si>
    <t>INVITATION TO BID - 3.) Purchase of 132 units All-In-One Ink Tank Printers &amp; 1 Unit Multifunction Printer (High End)</t>
  </si>
  <si>
    <t>SUPPLY AND DELIVERY OF MATERIALS - Construction of Jetmatic Pump (BDF 2018)</t>
  </si>
  <si>
    <t>REQUEST FOR QUOTATION (RFQ)  PROCUREMENT FOR 5 FILTER MASS CAL. VERIFICATION KIT RFQ No.056 -2020</t>
  </si>
  <si>
    <t>PR NO-355 T EQUIPMENT &amp; APPLIANCES - DONA CONSUELO ELEMENTARTY SCHOOL</t>
  </si>
  <si>
    <t>Procurement of Tent and Supplies &amp; Materials for Signages</t>
  </si>
  <si>
    <t>PR NO-323 EQUIPMENT &amp; APPLIANCES - STA CRUZ ELEMENTARY SCHOOL</t>
  </si>
  <si>
    <t>Repair &amp; Improvement of Multipurpose /NGA Building at Centro, Amulung Cagayan</t>
  </si>
  <si>
    <t>OFFICE EQUIPMENT(AIR ONDITIONER, DRUM FUN, INDUSTRIAL FUN )/IB No. MM-2020-032(m)</t>
  </si>
  <si>
    <t>PR NO-365 T EQUIPMENT &amp; APPLIANCES - LABO NATIONAL HIGH SCHOOL</t>
  </si>
  <si>
    <t>LABOR “PAKYAW” - Construction of Jetmatic (BDF 2018)</t>
  </si>
  <si>
    <t>Tayap ES Request for Quotation</t>
  </si>
  <si>
    <t>PR NO-364 EQUIPMENT - OZAMIZ CITY CENTRAL SCHOOL SPED CENTER</t>
  </si>
  <si>
    <t>Procurement of Pre-Paid Cell Cards (Globe) for the Official Use of DAR, Negros Occidental 1.</t>
  </si>
  <si>
    <t>Request for Price Quotation -Supply and Delivery of 6 units of Digital Duplicator</t>
  </si>
  <si>
    <t>PR NO-337  EQUIPMENT &amp; APPLIANCES - ANDREA D. COSTENERA ELEM SCHOOL</t>
  </si>
  <si>
    <t>PR NO-354  EQUIPMENT &amp; APPLIANCES - FELIPE CARREON CENTRAL SCHOOL</t>
  </si>
  <si>
    <t>GF-20-02-00356 POS PRINTER AND NETWORK SWITCH</t>
  </si>
  <si>
    <t>OFFICE EQUIPMENT(DIGITAL DUPLICATOR, DIGITAL COPIER )/IB No. MM-2020-033(m)</t>
  </si>
  <si>
    <t>PR NO-340  EQUIPMENT &amp; APPLIANCES - OZAMIZ CITY NATIONAL HIGH SCHOOL</t>
  </si>
  <si>
    <t>TPB-PR.2020.07.220 PROCUREMENT OF AUTOMATIC ALCOHOL DISPENSER</t>
  </si>
  <si>
    <t>4th Level Training for 2020 Census of Population and Housing (2020 CPH) – Boac</t>
  </si>
  <si>
    <t>RFQ NO. 20-07-097 - Procurement of Tires and Vehicle Parts for use of various service vehicles and heavy equipment.</t>
  </si>
  <si>
    <t>ITB for the Completion of the Rewiring of the Electrical Feeder Lines of PIT Tabango</t>
  </si>
  <si>
    <t>Relocation Survey / Lay out of Blocking of Memorial Park/Public Cemetery</t>
  </si>
  <si>
    <t>LIVE ANIMALS(UPGRADED HEIFER)/IB No. AA-2020-004(m)</t>
  </si>
  <si>
    <t>PR NO-324  EQUIPMENT &amp; APPLIANCES - GOTOKAN  DAKU  ELEMENTARY</t>
  </si>
  <si>
    <t>REPAIR AND MAINTENANCE FOR HEALTH CENTER</t>
  </si>
  <si>
    <t>OFFICE EQUIPMENT(BOOK BINDER AND PAPER CUTTER)/RE-IB No.DE-2020-006</t>
  </si>
  <si>
    <t>PR NO-339T EQUIPMENT &amp; APPLIANCES - GALA NATIONAL HIGH SCHOOL</t>
  </si>
  <si>
    <t>Purchase of 7 IN 1 HEALTH MONITORING DEVICE</t>
  </si>
  <si>
    <t>PR NO-363  EQUIPMENT &amp; APPLIANCES - PULOT ELEMENTARY SCHOOL</t>
  </si>
  <si>
    <t>INFORMATION AND COMMUNICATION EQUIPMENT/RE-IB No.DE-2020-010</t>
  </si>
  <si>
    <t>CONSTRUCTION OF DRAINAGE SYSTEM AT TAMBALING 2, PEDRO SA BACULIO, EL SALVADOR CITY</t>
  </si>
  <si>
    <t>Lease of Venue, including accommodation and meals for SI OPV Corn Seed Production Training</t>
  </si>
  <si>
    <t>SUPPLY AND DELIVERY OF HI-CHLON CHLORINE</t>
  </si>
  <si>
    <t>RFQ NO 20-07-091 - Purchase of Toner for use in the Photocopier Machine of Various Section for the 2nd &amp; 3rd Quarter</t>
  </si>
  <si>
    <t>CATERING SERVICES/SVP No. AA-2020-07-006</t>
  </si>
  <si>
    <t>VARIOUS OFFICE APPLIANCES/IB No. MM-2020-034</t>
  </si>
  <si>
    <t>CONSTRUCTION OF WATERWORKS SYSTEM AT RELOCATION SITE, LINABO, COGON, EL SALVADOR CITY</t>
  </si>
  <si>
    <t>PR NO-358 EQUIPMENT &amp; APPLIANCES - SAN ANTONIO ELEMENTARTY SCHOOL</t>
  </si>
  <si>
    <t>INVITATION TO BID FOR THE SUPPLY AND DELIVERY OF EQUIPMENT FOR E-LIBRARY OF BARANGAY POBLACION A, TAYUG, PANGASINAN</t>
  </si>
  <si>
    <t>SUPPLY AND DELIVERY OF FOOD COMMODITIES FOR RHU INTRA HOUSEHOLD BASED FEEDING PROGRAM</t>
  </si>
  <si>
    <t>INSTALLATION OF STREETLIGHTS</t>
  </si>
  <si>
    <t>PROCUREMENT OF JANITORIAL SUPPLIES</t>
  </si>
  <si>
    <t>construction of  concrete water tank @ Sitio Aguada</t>
  </si>
  <si>
    <t>2020-089, SUPPLY, DELIVERY AND INSTALLATION OF SOLAR STREET LIGHTS AT IDENTIFIED EVACUATION CENTERS  OF LGU MIDSAYAP, COTABATO</t>
  </si>
  <si>
    <t>2020-085, SUPPLY AND DELIVERY OF I.T. AND OFFICE SUPPLIES FOR VARIOUS SCHOOLS OF MIDSAYAP, COTABATO</t>
  </si>
  <si>
    <t>Supply and Delivery of Office Supplies and Equipment</t>
  </si>
  <si>
    <t>Procurement of Construction Materials Project ID Nr: 2020-1011-01016 to 01032</t>
  </si>
  <si>
    <t>REPRODUCTION AND DOOR TO DOOR DELIVERY TO SCHOOLS DIVISION OFFICES OF REGION VII OF SELF-LEARNING MODULES PROVIDED BY THE DEPED CENTRAL OFFICE FOR QUARTER I</t>
  </si>
  <si>
    <t>2020-084, SUPPLY AND DELIVERY OF I.T. EQUIPMENTS FOR VARIOUS SCHOOLS OF MIDSAYAP, COTABATO</t>
  </si>
  <si>
    <t>PHOTO AND VIDEO PRESENTATION FOR REGIONAL COOPERATIVE CONVENTION/IB No. N-2020-003</t>
  </si>
  <si>
    <t>CATERING SERVICES/IB No. X-2020-001</t>
  </si>
  <si>
    <t>rehabilitation of brgy. road @ Sitio Guitisan</t>
  </si>
  <si>
    <t>Fuel (Garbage Collection, Transport and Disposal)</t>
  </si>
  <si>
    <t>Supply and Delivery of Regional Office Bulletin Board Supplies and Materials</t>
  </si>
  <si>
    <t>concreting of pathway @ Sitio Panay</t>
  </si>
  <si>
    <t>2020-094, CONSTRUCTION OF DISTRIBUTION LINE AT UPPER GLAD 2 RESETTLEMENT PROJECT  PHASE 1 AT UPPER GLAD 2, MIDSAYAP, COTABATO</t>
  </si>
  <si>
    <t>RFQ 2020-08-17 SUPPLY ROOM</t>
  </si>
  <si>
    <t>Office Uniforms (Conduct of Traffic Enforcement)</t>
  </si>
  <si>
    <t>Invitation to Bid for the Supply and Delivery of Hygiene Supplies K to Grade 6 Learners for SHDP</t>
  </si>
  <si>
    <t>2020-092, CONCRETING OF ROAD FROM OLD SLAUGHTERHOUSE TO DAY CARE CENTER AT  POBLACION 1, MIDSAYAP, COTABATO</t>
  </si>
  <si>
    <t>Supply and Delivery of Materials for the Repair and Maintenance of Municipal Slaughterhouse</t>
  </si>
  <si>
    <t>VARIOUS MACHINERY AND EQUIPMENT/SVP No. M-2020-07-011</t>
  </si>
  <si>
    <t>Supply and Delivery of 1666 Units Android Tablets for use of the students for the new normal delivery of Basic Education</t>
  </si>
  <si>
    <t>LEASE OF VENUE WITH CATERING SERVICES/NEG. PROC. 53.10 X-2020-07-002</t>
  </si>
  <si>
    <t>Supply and Delivery of 726 bags of Rice for Distribution to DA RFO 5 Permanent Employees ( for January to March 2020) under 2020 STO-FPMA and STO- O&amp;M of ILD</t>
  </si>
  <si>
    <t>Provision of Prepaid Load for Authorized LGU Officials and Personnel to be used in the performance of their official duties and responsibilities for the month of August to December 2020</t>
  </si>
  <si>
    <t>GF-20-02-00196 RM-COPIER MACHINE (PARTS AND LABOR)</t>
  </si>
  <si>
    <t>various office equipment and other supplies</t>
  </si>
  <si>
    <t>Anti Rabies and Tetanus Toxoid (Indigent Constituents of the City of Mati-LGU Medical Assistance Program Lingap para sa Mati)</t>
  </si>
  <si>
    <t>Tents (LGU MATI)</t>
  </si>
  <si>
    <t>MISTING CHEMICAL</t>
  </si>
  <si>
    <t xml:space="preserve">LOT 1 – SUPPLY AND DELIVERY to Schools of Substance 20, A4 Bond Paper for the Reproduction of Learning Modules for the Implementation of the Basic Education – Learning Continuity Plan (BE-LCP) to the </t>
  </si>
  <si>
    <t>Supply and Delivery of Motor Vehicle for the use of Municipal Slaughterhouse</t>
  </si>
  <si>
    <t>Supply and Delivery of Various Toners and Inks with Free Use of Service Printers for Central and Eastern Visayas (Re-bidding)</t>
  </si>
  <si>
    <t>HEALTH AND SANITARY SUPPLIES 4</t>
  </si>
  <si>
    <t>INVITATION TO BID FOR THE PURCHASE OF COMPUTERS AND COMPUTER PERIPHERALS/GOODS-2020-04 (RE-BIDDING)</t>
  </si>
  <si>
    <t>CONSTRUCTION OF BARANGAY RIVER LANDING</t>
  </si>
  <si>
    <t>HEALTH AND SANITARY SUPPLIES 3</t>
  </si>
  <si>
    <t>CONCRETE FENCING (FRONTAGE OF TENNIS COURT)</t>
  </si>
  <si>
    <t>Fuel (SHE 919)</t>
  </si>
  <si>
    <t>Procurement of A4 Bond Papers for the Reproduction of First Quarter Modules for SY 2020-2021</t>
  </si>
  <si>
    <t>Supply and Delivery of Supplies and Materials for Massage Therapist</t>
  </si>
  <si>
    <t>Hemopoint Cuvette (Laboratory Office)</t>
  </si>
  <si>
    <t>Supply and Delivery of One (1) Lot Decoration and Lighting Materials for Municipal Building</t>
  </si>
  <si>
    <t>Opening of Barangay Road</t>
  </si>
  <si>
    <t>HEALTH AND SANITARY SUPPLIES 2</t>
  </si>
  <si>
    <t>Repair and Maintenance of Transportation Equipment - Foton Ambulance SAA 6383</t>
  </si>
  <si>
    <t>FURNISHING AND DELIVERING LABOR AND MATERIALS FOR THE INSTALLATION OF BARANGAY STREETLIGHTS WITH CONCRETED &amp; STEEL POST AT BARANGAY BUSTRAC, NABUA, CAMARINES SUR</t>
  </si>
  <si>
    <t>Lease of K9 Narcotics Trained Detection Dogs</t>
  </si>
  <si>
    <t>OFFICE SUPPLIES EXPENSES</t>
  </si>
  <si>
    <t>OTHER SUPPLIES 3</t>
  </si>
  <si>
    <t>SUPPLY AND DELIVERY OF  MATERIALS AND EQUIPMENT RENTALS  USE FOR THE FOR THE CONSTRUCTION OF BARANGAY HEALTH CENTER (COUNTERPART) AT ZONE 3, BARANGAY STA. LUCIA, NABUA, CAMARINES SUR</t>
  </si>
  <si>
    <t>Procurement of School Office Supplies- Newton Jison Elem. School</t>
  </si>
  <si>
    <t>SUPPLY AND DELIVERY to Schools of Substance 20, A4 Bond Paper for the Reproduction of Learning Modules for the Implementation of the Basic Education – Learning Continuity Plan (BE-LCP) to all the Dist</t>
  </si>
  <si>
    <t>Proposed Purchase of Various Office Equipment; Furniture and Fixtures</t>
  </si>
  <si>
    <t>Procurement of Live Animals (Pig) to be used during Salamat Mabuhay Program of Municipal Employees fo LGU-Buguias on August 10, 2020-HRMO</t>
  </si>
  <si>
    <t>OTHER SUPPLIES 2</t>
  </si>
  <si>
    <t>OTHER SUPPLIES 1</t>
  </si>
  <si>
    <t>INVITATION TO BID FOR SUPPLY AND DELIVERY OF EDUCATIONAL SUPPLIES &amp; EQUIPMENT FOR THE DIFFERENT SCHOOLS IN THE MUNICIPALITY OF LINAMON</t>
  </si>
  <si>
    <t>OTHER SUPPLIES 4</t>
  </si>
  <si>
    <t>HEALTH AND SANITARY SUPPLIES 7</t>
  </si>
  <si>
    <t>RFQ No. 20-07-087 - Purchase of Coring Bit for use of Quality Assurance Section</t>
  </si>
  <si>
    <t>HEALTH AND SANITARY SUPPLIES 6</t>
  </si>
  <si>
    <t>OG1-MSE-08-20-951 Medical Supplies Expenses</t>
  </si>
  <si>
    <t>Supply and delivery of materials for Fabrication of Cabinet ( Administrative Office)-LGU Catanauan, Quezon</t>
  </si>
  <si>
    <t>HEALTH AND SANITARY SUPPLIES 5</t>
  </si>
  <si>
    <t>PURCHASE OF SCHOOL FORMS AND OTHER SUPPLIES</t>
  </si>
  <si>
    <t>OTHER SUPPLIES 5</t>
  </si>
  <si>
    <t>FURNISHING AND DELIVERING LABOR AND MATERIALS FOR RIPRAPPING OF BARANGAY ROAD, ZONE 4, BARANGAY BUSTRAC, NABUA, CAMARINES SUR</t>
  </si>
  <si>
    <t>Installation of Streetlights at Brgy Rizal Pob. Banga, South Cotabato</t>
  </si>
  <si>
    <t>Construction Materials for Back filling and Covering, North Terminal</t>
  </si>
  <si>
    <t>“SUPPLY AND DELIVERY OF 5,000 PIECES AFRICAN CATFISH FINGERLINGS FOR DISTRIBUTION AS AS LIVELIHOOD ASSISTANCE FOR THE FISHERFOLKS AFFECTED BY COVID-19 PANDEMIC IN THE AREA OF MINDANAO.”</t>
  </si>
  <si>
    <t>PURCHASE OF RESPONSE AND RESCUE EQUIPMENT</t>
  </si>
  <si>
    <t>Supply and Delivery of Office Supplies for Various Offices in MinSCAT Calapan Campus</t>
  </si>
  <si>
    <t>Medical Equipment</t>
  </si>
  <si>
    <t>PROCUREMENT OF PLASTIC PALLET IB NO. 2020-232</t>
  </si>
  <si>
    <t>Agricultural Materials &amp; Supplies</t>
  </si>
  <si>
    <t>Supply and  Delivery of I.T. Equipment</t>
  </si>
  <si>
    <t>SUPPLY AND DELIVERY OF MATERIALS FOR ELECTRICAL MAINTENANCE OF MUNICIPAL BUILDING (POWER SUPPLY)</t>
  </si>
  <si>
    <t>EMERGENCY PURCHASE OF GOODS AND SERVICES 2</t>
  </si>
  <si>
    <t>Reproduction of Learner's Module (Grade 7-Grade 12) of Pedro "Oloy" N. Roa Sr. High School</t>
  </si>
  <si>
    <t>REPAIR AND MAINTENANCE OF HEAVY EQUIPMENT (GRADER)</t>
  </si>
  <si>
    <t>EMERGENCY PURCHASE OF GOODS AND SERVICES 1</t>
  </si>
  <si>
    <t>PURCHASE OF ELECTRICAL SUPPLIES</t>
  </si>
  <si>
    <t>OTHER SUPPLIES 6</t>
  </si>
  <si>
    <t>Invitation to Bid for Construction of silage Bunker Phase 2</t>
  </si>
  <si>
    <t>SOCIAL WELFARE PROGRAM</t>
  </si>
  <si>
    <t>Invitation to Bid for Concreting of San Ramon - Centro 1 Farm to Market Road</t>
  </si>
  <si>
    <t>Repair of Water Distribution System Auxiliary Wet Market</t>
  </si>
  <si>
    <t>Procurement of Supplies Given to Client</t>
  </si>
  <si>
    <t>ENVIRONMENT AND SANITATION PROGRAM</t>
  </si>
  <si>
    <t>EMERGENCY PURCHASE OF GOODS AND SERVICES 3</t>
  </si>
  <si>
    <t>Procurement of Supplies for Operation of Sablayan Grand Terminal</t>
  </si>
  <si>
    <t>PURCHASE OF EMERGENCY MATERIALS AND SUPPLIES</t>
  </si>
  <si>
    <t>EMERGENCY PURCHASE OF GOODS AND SERVICES 5</t>
  </si>
  <si>
    <t>Supply and Delivery of Materials for the Proposed Ceiling Works, 3rd Floor, ICT Building, Sta. Cruz Sur, Iriga City</t>
  </si>
  <si>
    <t>Invitation to Bid for Construction of Casili Bridge - 2</t>
  </si>
  <si>
    <t>Disinfection Services</t>
  </si>
  <si>
    <t>Construction of Multi-Purpose Pavement</t>
  </si>
  <si>
    <t>PRDP-RPCOXI-016-2020 Fuel, Oil, Lubricants and Complete Servicing for PRDP Vehicles</t>
  </si>
  <si>
    <t>EMERGENCY PURCHASE OF GOODS AND SERVICES 4</t>
  </si>
  <si>
    <t>Rehabilitation of San Pedro National High School</t>
  </si>
  <si>
    <t>REHABILITATION OF STREETLIGHTS AT BRGY RIZAL POB. BANGA, SOUTH COTABATO</t>
  </si>
  <si>
    <t>Procurement of Groceries Supplies for Representation</t>
  </si>
  <si>
    <t>Procurement of Spareparts for Maintenance of Heavy Equipment</t>
  </si>
  <si>
    <t>Supply and Delivery of Office supplies for official use of PMES</t>
  </si>
  <si>
    <t>Water System (Drilling, Replacement/Installation of Jetmatic Pump)</t>
  </si>
  <si>
    <t>Supply and Delivery of 140 Units of Laptop and LTE Modem to NMSCST Faculty</t>
  </si>
  <si>
    <t>Procurement of Tires for LGU Service Vehicle</t>
  </si>
  <si>
    <t>Supply and Delivery of Office Supplies for Reproductive Biology Study</t>
  </si>
  <si>
    <t>PROCUREMENT OF MATERIALS FOR THE CONSTRUCTION OF EVACUATION CENTER (COVERED GYM)</t>
  </si>
  <si>
    <t>Procurement of Vitamins for the City Government of Naga, Cebu</t>
  </si>
  <si>
    <t>Procurement of Alcohol (Ethyl) 150 mL for the City Government of Naga, Cebu</t>
  </si>
  <si>
    <t>ITB-2020-08-061 PROCUREMENT OF PERISHABLE ITEMS FOR BANGUN IMPLEMENTATION IN SULU PROVINCE</t>
  </si>
  <si>
    <t>Supply and Delivery of Materials for the Rehabilitation of  Santiago Integrated School, Santiago,  Iriga City</t>
  </si>
  <si>
    <t>Supply and Delivery of Materials for the Rehabilitation of Zeferino Arroyo High School, San Agustin,  Iriga City</t>
  </si>
  <si>
    <t>Fabrication of Turnout Steelgate for Dulog CIS Ext'n.</t>
  </si>
  <si>
    <t>Supply and Delivery of Materials for the Rehabilitation of Tiriktirikan Elementary School, Sto. Niño,  Iriga City</t>
  </si>
  <si>
    <t>Supply and Delivery of Materials for the Rehabilitation of Salvacion Elementary School, Salvacion,  Iriga City</t>
  </si>
  <si>
    <t>PROCUREMENT OF MATERIALS FOR THE CONSTRUCTION OF MULTI-PURPOSE HALL</t>
  </si>
  <si>
    <t>Supply and Delivery of Materials for the Rehabilitation of San Antonio National High School, San Antonio,  Iriga City</t>
  </si>
  <si>
    <t>Procurement of IT Parts &amp; Accessories &amp; Pherip for School Module Reproductive-MO-DEP-ED</t>
  </si>
  <si>
    <t>MOOE 3rd Quarter</t>
  </si>
  <si>
    <t>Procurement of Security Services (For the Energy Regulatory Commission’s Main Office, Visayas Area Operations Division, and Mindanao Area Operations Division)</t>
  </si>
  <si>
    <t>ROAD OPENING</t>
  </si>
  <si>
    <t>SUPPLY AND DELIVERY OF CHEMICALS FOR INSECTICIDES AND DISINFECTANTS - MHO</t>
  </si>
  <si>
    <t>Purchase of Municipal Vehicle-1-SBO</t>
  </si>
  <si>
    <t>Supply and Delivery of Materials for the Rehabilitation of San Isidro Elementary School</t>
  </si>
  <si>
    <t>Improvement of Existing Facility (Infront of Senior Citizens) Building) City Hall Complex</t>
  </si>
  <si>
    <t>REQUEST FOR QUOTATION (RFQ) PROCUREMENT FOR LAPTOP COMPUTER  RFQ No.083-2020</t>
  </si>
  <si>
    <t>Concreting of CII to Tala-o Farm to Market Road</t>
  </si>
  <si>
    <t>ITB-2020-08-059 PROCUREMENT OF GROCERY ITEMS FOR BANGUN IMPLEMENTATION IN TAWI-TAWI PROVINCE</t>
  </si>
  <si>
    <t>Supply and Delivery of Medicines for VMCH (2nd Qtr) 2020 at City of Naga, Cebu</t>
  </si>
  <si>
    <t>CONSTRUCTION OF POBLACION TO MALANTUYON BAYWALK ACCESS ROAD</t>
  </si>
  <si>
    <t>Procurement of Internet Access Subscription (IAS2) (Main, Visayas, Mindanao) (100, 20, 20 Mbps)</t>
  </si>
  <si>
    <t>Repair and Maintenance of Vehicles Assigned to Various Offices of the City Government</t>
  </si>
  <si>
    <t>Purchase of Municipal Vehicle -2-SBO</t>
  </si>
  <si>
    <t>Proposed Construction of Sewage Treatment Plant House with Solar Panel Installation for Carbon Footprint Reduction and Water Storage Tank</t>
  </si>
  <si>
    <t>Procurement of Medicines &amp; Medical Supplies-3rd Quarter (General Fund)</t>
  </si>
  <si>
    <t>SUPPLY AND DELIVERY OF CHEMICALS AND FILTERING SUPPLIES -  MENRO</t>
  </si>
  <si>
    <t>ITB-2020-08-056 PROCUREMENT OF GROCERY ITEMS FOR BANGUN IMPLEMENTATION IN BASILAN PROVINCE</t>
  </si>
  <si>
    <t>CIVIL WORKS FOR THE BARANGAYWIDE DEVELOPMENT PROJECTS 2020 (BATCH 26), BASEY, SAMAR</t>
  </si>
  <si>
    <t>Procurement of Meals and Snacks for RHU Main, North and South Programs Charged to GAD</t>
  </si>
  <si>
    <t>Supply and Delivery of ICT Equipment</t>
  </si>
  <si>
    <t>Procurement of Purified Verocell Rabies Vaccine for VMCH, City of Naga, Cebu</t>
  </si>
  <si>
    <t>Supply of ink for Various Office Printer of NOSO</t>
  </si>
  <si>
    <t>Supply and Delivery of Medical Supplies for VMCH Infirmary (2nd Qtr) 2020 at City of Naga, Cebu</t>
  </si>
  <si>
    <t>INVITATION TO BID FOR THE  SUPPLY, DELIVERY, AND INSTALLATION OF TECHNICAL AND SCIENTIFIC EQUIPMENT FOR THE ADVANCED SCIENCE AND TECHNOLOGY BUILDING  OF PSHS CALABARZON REGION CAMPUS/GOODS-2020-05</t>
  </si>
  <si>
    <t>Supply and Delivery of Office supplies for official use of Leasing and Licensing Section</t>
  </si>
  <si>
    <t>Procurement of Medicines &amp; Medical Supplies-3rd Quarter (GAD Fund)</t>
  </si>
  <si>
    <t>Purchase of Solar Street Lights</t>
  </si>
  <si>
    <t>Repair of ID Printer Assigned to Information Technology and Development Office</t>
  </si>
  <si>
    <t>module printing JHS</t>
  </si>
  <si>
    <t>Supply and Delivery of Medicines for VMCH Infirmary (2nd Qtr) 2020 at City of Naga, Cebu</t>
  </si>
  <si>
    <t>SUPPLY AND DELIVERY OF MATERIALS AND LABOR FOR THE REHABILITATION/REPAIR AND REPAINTING OF TWO (2) MITSUBISHI ADVENTURE OF NFA PALAWAN</t>
  </si>
  <si>
    <t>Supply of Labor and Materials for the Installation of IP CCTV Camera w/ Solar Power and Fiber Optic at Brgy. Colon, City of Naga, Cebu</t>
  </si>
  <si>
    <t>Reinsurance of the Industrial All Risk Insurance of the Department of Transportation – Metro Rail Transit 3 (DOTr-MRT3)</t>
  </si>
  <si>
    <t>Layout, Printing and Delivery of the OFW Handbook Landbased and Seabased English (ITB 04-2020)</t>
  </si>
  <si>
    <t>Supply and Delivery of Medical Supplies for Maternal Care under the Gender and Development (GAD) Program</t>
  </si>
  <si>
    <t>PROC. OF WORKS FOR THE CONST'N OF MULTI-PURPOSE BUILDINGH AT BITAOGAN NATIONAL HIGH SCHOOL</t>
  </si>
  <si>
    <t>Procurement and Installation of CCTV Cameras for MMDA’s No Contact Apprehension Program to Expand MMDA’s Network Coverage in Traffic Monitoring and Safe Environment</t>
  </si>
  <si>
    <t>CHR Digital Promotion Support Services</t>
  </si>
  <si>
    <t>ITB-2020-08-062 PROCUREMENT OF GROCERY ITEMS FOR BANGUN IMPLEMENTATION IN SULU PROVINCE</t>
  </si>
  <si>
    <t>IT EQUIPMENT PR 0282</t>
  </si>
  <si>
    <t>PROC 20-030 ALCOHOL</t>
  </si>
  <si>
    <t>Purchase of Bond Paper for the City Division Office, City of Naga, Cebu</t>
  </si>
  <si>
    <t>Education Program</t>
  </si>
  <si>
    <t>OFFICE EQUIPMENT AND SUPPLIES PR 0276</t>
  </si>
  <si>
    <t>HO-FFW20-005 - Supply of Labor and Materials for the Repair &amp; Maintenance of Airconditioning Unit of Fifteen (15) Patrol Vehicle Mitsubishi Strada</t>
  </si>
  <si>
    <t>Livelihood Program</t>
  </si>
  <si>
    <t>Supply and Delivery of Painting Materials for City Environmental Management Department</t>
  </si>
  <si>
    <t>Supply of Various Office Supplies for NOSO</t>
  </si>
  <si>
    <t>PROC. OF WORKS FOR THE CONST'N OF MULTI-PURPOSE BUILDING AT IP's SCHOOL NASA, TALISAY</t>
  </si>
  <si>
    <t>HO-LLR20-002 - Supply, Delivery and Installation of CAD Software for Civil Engineering Design and Documentation (3D), Three (3) Years Subscription, Including Training of Users</t>
  </si>
  <si>
    <t>Rehabilitation of Drainage Canal Tawi-Tawi, Barangay Poro</t>
  </si>
  <si>
    <t>Supply and Delivery of Office Supplies of BUGS Registrar’s Office</t>
  </si>
  <si>
    <t>Clean and Green Program</t>
  </si>
  <si>
    <t>Purchase of const. mat'ls &amp; supplies (Renovation of Barangay Hall)</t>
  </si>
  <si>
    <t>PRINTER INK PR 0281</t>
  </si>
  <si>
    <t>Supply and Delivery of Medicine for the Municipal Health Office (MHO)</t>
  </si>
  <si>
    <t>PROC. OF WORKS FOR THE CONST'N OF MULTI-PURPOSE BUILDING AT SAN ISIDRO NATIONAL HIGH SCHOOL</t>
  </si>
  <si>
    <t>Procurement of Materials for Livelihood Projects of Fisherfolks</t>
  </si>
  <si>
    <t>SUPPLY AND DELIVERY OF PROFICIENCY TESTING SAMPLE FOR DOST IX-RSTL</t>
  </si>
  <si>
    <t>Catering Services for the 2020 Census of Population and Housing 4th Level Training- ABUCAY, BATAAN</t>
  </si>
  <si>
    <t>PROCUREMENT OF PRINTING MATERIALS FOR THE PRINTING OF MODULES</t>
  </si>
  <si>
    <t>module printing SHS</t>
  </si>
  <si>
    <t>Supply of Zoom Pro License</t>
  </si>
  <si>
    <t>SCHOOL MOOE CY 2020 2ND QUARTER</t>
  </si>
  <si>
    <t>CIVIL WORKS FOR THE BARANGAYWIDE DEVELOPMENT PROJECTS 2020 (BATCH 27), BASEY, SAMAR</t>
  </si>
  <si>
    <t>Supply and Delivery of Materials for the Installation of Steel Sidings for Mini-Dump Truck (3rd Posting)</t>
  </si>
  <si>
    <t>Procurement of Agricultural Inputs</t>
  </si>
  <si>
    <t>GF-20-03-00406 EXECUTIVE TABLE AND CHAIR</t>
  </si>
  <si>
    <t>Procurement of Materials for Fish Aggregating Device (PAYAO)</t>
  </si>
  <si>
    <t>Supply and Delivery of COVID-19 materials and materials for reproduction of modules and printed materials</t>
  </si>
  <si>
    <t>SUPPLY AND DELIVERY OF VARIOUS LABORATORY SUPPLIES</t>
  </si>
  <si>
    <t>SUPPLY &amp; DELIVERY OF OFFICE EQUIPMENT</t>
  </si>
  <si>
    <t>1 LOT DISINFECTION SERVICES/TREATMENT OF OFFICE SPACE/FACILITIES</t>
  </si>
  <si>
    <t>IMPROVEMENT OF MULTI-PURPOSE BUILDING</t>
  </si>
  <si>
    <t>ITB-2020-08-063 PROCUREMENT OF SEMI-PERISHABLE ITEMS FOR BANGUN IMPLEMENTATION IN SULU PROVINCE</t>
  </si>
  <si>
    <t>CONSTRUCTION OF NEW MULTI-PURPOSE BUILDING (PHASE I)</t>
  </si>
  <si>
    <t>IT EQUIPMENT AND ACCESSORIES PR 0284</t>
  </si>
  <si>
    <t>Supply and Delivery of One Thousand (1000) Kilograms Peanut Seeds</t>
  </si>
  <si>
    <t>1 LOT GENERAL PEST CONTROL SERVICES/TREATMENT OF OFFICE SPACE/FACILITIES</t>
  </si>
  <si>
    <t>Reproduction of Learning Modules for Quarter 1 - Module 2 for Grade 1 (PE, Music, &amp; Esp) and Grade 2 (English and Filipino)</t>
  </si>
  <si>
    <t>Various Consumables for DLR 7000 ABPMs</t>
  </si>
  <si>
    <t>PROCUREMENT OF A4  BONDPAPER FOR THE PRINTING OF MODULES IN THE DEPED DIVISION OF MABALACAT CITY</t>
  </si>
  <si>
    <t>SUPPLY, AND DELIVERY OF BROTHER TONER, TN-3448 (ORIGINAL) COMPATIBLE WITH  HL-L6400DW HIGH VOLUME MONOCHROME LASER PRINTER</t>
  </si>
  <si>
    <t>PROCUREMENT OF 1000 LICENSES FOR CLOUD ENDPOINT SECURITY SOLUTION 2020</t>
  </si>
  <si>
    <t>Provision of Courier Services</t>
  </si>
  <si>
    <t>Expansion of Barangay Teen Center Barangay Poro</t>
  </si>
  <si>
    <t>Purchase of Battery for the Maintenance of Grader</t>
  </si>
  <si>
    <t>SEF-20-06-00376 DIGITAL CAMERA AND SOLAR PANEL</t>
  </si>
  <si>
    <t>GF-20-02-00366 LABELLER AND TAPE CARTRIDGE</t>
  </si>
  <si>
    <t>Catering Services for the 2020 Census of Population and Housing 4th Level Training-BALANGA CITY, BATAAN</t>
  </si>
  <si>
    <t>ITB-2020-08-057 PROCUREMENT OF SEMI-PERISHABLE ITEMS FOR BANGUN IMPLEMENTATION IN BASILAN PROVINCE</t>
  </si>
  <si>
    <t>Supply and Delivery of 3000 heads Free Range Chicken</t>
  </si>
  <si>
    <t>Repost -Printing, Binding and Delivery of  Modules-All subject for Grade 7 to Grade 10</t>
  </si>
  <si>
    <t>Office Supplies and materials</t>
  </si>
  <si>
    <t>Purchase of Materials for the Installation of Streetlight</t>
  </si>
  <si>
    <t>Catering Services for the 2020 Census of Population and Housing 4th Level Training- BAGAC, BATAAN</t>
  </si>
  <si>
    <t>Provision of laboratory services for the ITS/DNA Sequencing of sample species: Prevalence of taro leaf blight and corm out rot caused by Phytophthora colocasiae in the Province of Albay and evaluation</t>
  </si>
  <si>
    <t>Supply and Delivery of Ten Thousand (10,000) Kilograms Organic Rice Seeds</t>
  </si>
  <si>
    <t>Supply and Delivery of Brand New 1 unit Motorcycle</t>
  </si>
  <si>
    <t>Purchase of Materials for the Installation of Barangay Streetlights</t>
  </si>
  <si>
    <t>NEGOTIATED PROCUREMENT OF VARIOUS AGRICULTURAL INPUTS AND POST HARVEST FACILITIES FOR TECHNO DEMO NAD POST HARVEST PROJECTS IMPLEMENTATION UNDER THE NFP 0ROJECT OF BFAR 6 FOR CY 2020</t>
  </si>
  <si>
    <t>Supply and Delivery of 1 unit Rice Thresher</t>
  </si>
  <si>
    <t>Construction of Multi-Purpose Hall (Phase II)</t>
  </si>
  <si>
    <t>Supply and Delivery of One Thousand (1000) Kilograms Ginger Rhizomes</t>
  </si>
  <si>
    <t>SUPPLY &amp; DELIVERY OF VARIOUS MEDICINES</t>
  </si>
  <si>
    <t>Procurement of Internet and Telephone Services for the NATIONAL PROSECUTION SERVICE OFFICES IN REGION VII</t>
  </si>
  <si>
    <t>Fuel and other Lubricants Deposit for use of DA-RFO 5 Service Vehicles for Second Semester of Calendar year 2020 under 2020 Various Funds</t>
  </si>
  <si>
    <t>PROCUREMENT OF MATERIALS FOR TOURISM OFFICE</t>
  </si>
  <si>
    <t>PROCUREMENT OF OFFICE SUPPLIES FOR THE PRINTING OF MODULES IN THE DEPED DIVISION OF MABALACAT CITY</t>
  </si>
  <si>
    <t>SUPPLY AND DELIVERY OF PRINTING MATERIALS FOR THE PRINTING OF MODULES</t>
  </si>
  <si>
    <t>SUPPLY AND DELIVERY OF MEALS AND SNACKS FOR  SANGGUNIANG PANLALAWIGAN</t>
  </si>
  <si>
    <t>Proposed Fabrication and Installation of Stairs and Waiting Shed for Bus Stop at MRT3/LRT1 and Footbridges along EDSA from Roxas Blvd. to Monumento</t>
  </si>
  <si>
    <t>Road Opening of Porot San Isidro Road (Phase II)</t>
  </si>
  <si>
    <t>ITB-2020-08-060 PROCUREMENT OF SEMI-PERISHABLE ITEMS FOR BANGUN IMPLEMENTATION IN TAWI-TAWI PROVINCE</t>
  </si>
  <si>
    <t>HO-TFM20-061 - Supply and Delivery of Various Lighting Components</t>
  </si>
  <si>
    <t>Reproduction of Modules of PONROSES</t>
  </si>
  <si>
    <t>BDRRM Program</t>
  </si>
  <si>
    <t>SUPPLY AND DELIVERY OF VARIOUS LABORATORY CHEMICALS AND REAGENTS</t>
  </si>
  <si>
    <t>CONSTRUCTION MATERIALS FOR THE COMPLETION OF FARMERS TRAINING CENTER</t>
  </si>
  <si>
    <t>Supply and Delivery of 5 units Rice Reaper</t>
  </si>
  <si>
    <t>Procurement of Office Equipment-MDRRMO</t>
  </si>
  <si>
    <t>PROCUREMENT OF BOND PAPERS FOR MODULES REPRODUCTION</t>
  </si>
  <si>
    <t>Procurement of Endotracheal tubes etc,,,</t>
  </si>
  <si>
    <t>SUPPLY AND DELIVERY OF MEALS AND SNACKS FOR THE USE OF  GOVERNOR’S OFFICE</t>
  </si>
  <si>
    <t>RFQ NO. 2020-181</t>
  </si>
  <si>
    <t>Procurement of Consulting Services for the Technical Review and Audit of the Net Settlement Surplus (NSS) Allocation of the Wholesale Electricity Spot Market (WESM)</t>
  </si>
  <si>
    <t>Procurement of HBSAG etc..</t>
  </si>
  <si>
    <t>SUPPLY AND DELIVERY OF LABOR AND MATERIALS FOR THE IMPROVEMENT AND REPAIR OF CANAL LINING WITH COVER</t>
  </si>
  <si>
    <t>CIVIL WORKS FOR THE BARANGAYWIDE DEVELOPMENT PROJECTS 2020 (BATCH 28), BASEY, SAMAR</t>
  </si>
  <si>
    <t>Supply and Delivery of Office Supplies and Equipment to be use during the Office Transfer</t>
  </si>
  <si>
    <t>GOODS-ITB 2020-08-015-A SUPPLY AND DELIVERY OF MATERIALS FOR THE CONSTRUCTION OR PROVISION OF WATER SYSTEM IN POTONG NATIONAL HIGH SCHOOL, BRGY. POTONG DEL SUR, LAPINIG, N. SAMAR  (2ND POSTING)</t>
  </si>
  <si>
    <t>PREVENTIVE MAINTENANCE SERVICE OF ONE (1) UNIT WATER PURIFICATION SYSTEM (LABOSTAR TWF UV7) SN: 1399200-10 WITH SUPPLY AND DELIVERY AND INSTALLATION AND REPLACEMENT OF PARTS UNDER EMB-ERLSD-ECMU</t>
  </si>
  <si>
    <t>PURCHASE OF STEEL CABINET FOR KATARUNGANG PAMBARANGAY RECORDS AND ADMINISTRATIVE USE</t>
  </si>
  <si>
    <t>Supply and Delivery of Fish Net</t>
  </si>
  <si>
    <t>Procurement of Insecticides</t>
  </si>
  <si>
    <t>SUPPLY AND DELIVERY OF LABORATORY CONSUMABLES (FILTERS) UNDER EMB-ERLSD-ELSS-INORGANICS LABORATORY</t>
  </si>
  <si>
    <t>Supply and Delivery of Two (2) units Corn Sheller</t>
  </si>
  <si>
    <t>REHAB./ IMPROVEMENT OF MAGDIWANG LEVEL III WATER SYSTEM</t>
  </si>
  <si>
    <t>Construction of Health Center</t>
  </si>
  <si>
    <t>Procurement of Technical Assistance for the Evaluation and Approval of the Price Determination Methodology (PDM) of the Wholesale Electricity Spot Market (WESM)</t>
  </si>
  <si>
    <t>SUPPLY &amp; DELIVERY OF LIVESTOCK AND OTHER VARIOUS MATERIALS FOR ICFP PROGRAM</t>
  </si>
  <si>
    <t>AMP SVP-D NO: 20-07-0417  One (1) Lot DNA Polymerase and Reagent</t>
  </si>
  <si>
    <t>MOOE 3RD QUARTER OFFICE SUPPLY</t>
  </si>
  <si>
    <t>Supply and delivery of various foodstuff- (Vegetable and Chicken Meat) for use at the  Dietary Section of the IPHO-Tarlac Provincial Hospital</t>
  </si>
  <si>
    <t>Procurement of Supplies for Pampang Market</t>
  </si>
  <si>
    <t>UPGRADING OF LOCAL ACCESS ROAD IN SITIO PINAMANG AN</t>
  </si>
  <si>
    <t>OFFICE AND SCHOOL SUPPLIES</t>
  </si>
  <si>
    <t>Hiring of Social Media Management and Content Writing for Go Lokal</t>
  </si>
  <si>
    <t>PROCUREMENT OF VARIOUS MEDICAL EQUIPMENT (MTB/RIF ASSAY PCR MACHINE, ULTRASOUND MACHINE, MEAL DELIVERY TRAY CART, FOOD CONVEYOR BELT AND TRANSPORT STRETCHER)</t>
  </si>
  <si>
    <t>REHAB./IMPROVEMENT OF PUROK  BAGONG BAYAN ACCESS ROAD</t>
  </si>
  <si>
    <t>AMP SVP-D NO: 20-07-0416  One (1) Lot Lateral Flow Fabrication Materials</t>
  </si>
  <si>
    <t>Ordering Agreement Contract for the Procurement of Various Fish Feeds for Fish Stocks of the 4 Units Aquaponics, 6 units Pond with Venturi and 10 units Fish Cages</t>
  </si>
  <si>
    <t>SUPPLY AND DELIVERY OF TRACTOR PARTS AND VARIOUS MATERIALS AND EQUIPMENT FOR REHAB AND FARM MACHINERIES MAINTENANCE</t>
  </si>
  <si>
    <t>PURCHASE OF OFFICE SUPPLIES FOR ADMINISTRATIVE USE</t>
  </si>
  <si>
    <t>Procurement of One Lot Office Equipment 2020-03</t>
  </si>
  <si>
    <t>Installation of the School Material and Recovery Facility</t>
  </si>
  <si>
    <t>SUPPLY AND DELIVERY OF GLASSWARE UNDER EMB-ERLSD-ELSS-INORGANICS LABORATORY UNIT</t>
  </si>
  <si>
    <t>Supply and Delivery of Bond Paper for DepED-Division of Lapu-Lapu City</t>
  </si>
  <si>
    <t>Supply, Delivery and Installation of various materials to be use in the construction of Solar Power Frame and Floater for 6 Units Venturi Aeration System as Resilience Project under ALPAS COVID 19</t>
  </si>
  <si>
    <t>Repair of Aircon</t>
  </si>
  <si>
    <t>Concreting of Talisay Road Pasiagon Placer, Masbate</t>
  </si>
  <si>
    <t>Construction of Warehouse Claveria District Hospital Claveria, Masbate</t>
  </si>
  <si>
    <t>Construction of Two (2) Storey Mango Processing Plant Building Brgy. Lalaguna Mobo, Masbate</t>
  </si>
  <si>
    <t>Repair of Claveria District Hospital Claveria, Masbate</t>
  </si>
  <si>
    <t>PROCUREMENT OF 1 UNIT STAKE TRUCK PR # 20-06-1064 PDRRM</t>
  </si>
  <si>
    <t>Improvement of Child Development Center at Sitio Maligaya, Sta. Brigida, Mansalay, Oriental Mindoro</t>
  </si>
  <si>
    <t>Completion of Electrical System of Heallth/Diagnostic and Training Center  PHO, Masbate City</t>
  </si>
  <si>
    <t>SUPPLY &amp; DELIVERY OF TRUCKS FOR ABORLAN MDRRMO</t>
  </si>
  <si>
    <t>Hiring of Consulting Services</t>
  </si>
  <si>
    <t>PURCHASE OF WATER TANK</t>
  </si>
  <si>
    <t>Supply and delivery of Foodstuff (grocery items) for use at the dietary section of IPHO-TPH</t>
  </si>
  <si>
    <t>PURCHASE/INSTALLATION OF SUBMERSIBLE PUMP- SITIO BAGONG POOK, BRGY. SAPANGAN</t>
  </si>
  <si>
    <t>Construction of Covered Drainage Canal at Calero, Calapan City, Oriental Mindoro</t>
  </si>
  <si>
    <t>Completion of Evacuation Center at Happy Valley, Socorro, Oriental Mindoro and Completion of Evacuation Center at Sto. Domingo (Lapog), Socorro, Oriental Mindoro</t>
  </si>
  <si>
    <t>Rehabilitation of Covered Court at Tawagan, Calapan City, Oriental Mindoro</t>
  </si>
  <si>
    <t>Supply and Delivery of Water Crafts Parts and Materials (NCEBde)</t>
  </si>
  <si>
    <t>Office Suuplies</t>
  </si>
  <si>
    <t>Construction of Drainage Canal at Alcate, Victoria, Oriental Mindoro</t>
  </si>
  <si>
    <t>Repair of Day Care Center at Bacungan, Naujan Or. Mindoro and Repair of Day Care Center at Gamao, Naujan, Or. Mindoro</t>
  </si>
  <si>
    <t>Supply and Delivery of Foodstuff (Meat) for use at the Dietary Service of IPHO-TPH</t>
  </si>
  <si>
    <t>PROCUREMENT OF MATERIALS FOR SWMP PROGRAM</t>
  </si>
  <si>
    <t>PURCHASE/INSTALLATION OF SUBMERSIBLE PUMP- SITIO CARUFF, BRGY. SAMPIRO</t>
  </si>
  <si>
    <t>One Job Supply of Materials and  Labor for the Rehabilitation/Upgrading of Provincial Roads (Rehabilitation/Upgrading of Concordia-Oracon-Botconaway Road Section) at Brgy. San Antonio and Brgy. Oracon</t>
  </si>
  <si>
    <t>PURCHASE/INSTALLATION OF SUBMERSIBLE PUMP- SITIO NIUGAN, BRGY. SAPANGAN</t>
  </si>
  <si>
    <t>PURCHASE/INSTALLATION OF SUBMERSIBLE PUMP- BRGY. LIBATO</t>
  </si>
  <si>
    <t>SUPPLY AND DELIVERY OF LABORATORY METAL STANDARDS UNDER EMB-ERLSD-ELSS-INORGANICS LABORATORY UNIT</t>
  </si>
  <si>
    <t>Completion of Provincial Hospital of Masbate Masbate City</t>
  </si>
  <si>
    <t>SUPPLY AND DELIVERY OF SODIUM ASCORBATE (VITAMIN C) FOR THE BOTIKA ON WHEELS PROGRAM OF THE PROVINCIAL GOVERNMENT OF CAVITE</t>
  </si>
  <si>
    <t>AYES MOOE 2020- 3rd QUARTER</t>
  </si>
  <si>
    <t>Upgrading/Concreting/Improvement of Junction National Road-Stockfarm Road</t>
  </si>
  <si>
    <t>brand new concrete mixer</t>
  </si>
  <si>
    <t>DEVELOPMENT/IMPROVEMENT OF THE PORT OF SAN ANTONIO, PORT OF SAN ANTONIO, SAN ANTONIO, NORTHERN SAMAR</t>
  </si>
  <si>
    <t>PURCHASE OF SOLAR STREETLIGHTS</t>
  </si>
  <si>
    <t>SUPPLY AND DELIVERY OF VARIOUS DRUGS AND MEDICINES FOR THE BOTIKA ON WHEELS PROGRAM OF THE PROVINCIAL GOVERNMENT OF CAVITE</t>
  </si>
  <si>
    <t>PROCUREMENT OF OTHER SUPPLIES AND MATERIALS FOR CY 2020 (Hardware Supply)</t>
  </si>
  <si>
    <t>PQ# 057-2020 Alcohol and sanitizer</t>
  </si>
  <si>
    <t>PACKAGE 2020-06: CONSTRUCTION OF FOOTSTEPS/FOOTPATH WITH DRAINAGE CANAL AT BARANGAY POBLACION</t>
  </si>
  <si>
    <t>Supply and Delivery of Drugs and Medicines</t>
  </si>
  <si>
    <t>SUPPLY AND DELIVERY OF CONSOLIDATED JANITORIAL SUPPLIES FOR USE OF PROVINCIAL HOSPITAL/SATELLITE HOSPITALS AND CCMH</t>
  </si>
  <si>
    <t>SUPPLY AND DELIVERY OF 2 TRI-CAB</t>
  </si>
  <si>
    <t>PURCHASE OF HIGH PRESSURE VEHICLE EXTRICATION KIT AND DRONE FOR USE IN DISASTER PREPAREDNESS PROGRAMS FOR CY 2020</t>
  </si>
  <si>
    <t>PURCHASE/INSTALLATION OF SUBMERSIBLE PUMP- BRGY. ESCRIBANO</t>
  </si>
  <si>
    <t>SUPPLY AND DELIVERY OF CONSTRUCTION MATERIALS OF NEW DISTRICT OFFICE BUILDING</t>
  </si>
  <si>
    <t>PURCHASE/INSTALLATION OF SUBMERSIBLE PUMP- BRGY. PUTINGBUHANGIN</t>
  </si>
  <si>
    <t>RFQ ON MINOR REPAIR SUPPLIES</t>
  </si>
  <si>
    <t>PURCHASE OF BRAND NEW JET SKI WITH TRAILER FOR USE IN PEACE AND ORDER PROGRAM OF THE PROVINCIAL GOVERNMENT</t>
  </si>
  <si>
    <t>CONSTRUCTION OF STORM DRAINAGE (Butao)</t>
  </si>
  <si>
    <t>PPDO-FURNITURES AND FIXTURES</t>
  </si>
  <si>
    <t>SUPPLY AND DELIVERY OF VARIOUS SUPPLIES FOR USE IN THE REPAIR/TROUBLESHOOTING/ MAINTENANCE OF IT EQUIPMENT OF DIFFERENT OFFICES OF THE PROVINCIAL GOVERNMENT OF CAVITE</t>
  </si>
  <si>
    <t>BAC-LAPTOP</t>
  </si>
  <si>
    <t>SUPPLY AND DELIVERY OF CONSOLIDATED OFFICE SUPPLIES FOR USE OF PROVINCIAL HOSPITAL/SATELLITE HOSPITALS AND CCMH</t>
  </si>
  <si>
    <t>BAC-DIESEL</t>
  </si>
  <si>
    <t>BAC-JANITORIAL SUPPLIES</t>
  </si>
  <si>
    <t>PACKAGE 2020-08: CONSTRUCTION OF FOOTSTEPS AT UPPER UMA AND WESTERN UMA</t>
  </si>
  <si>
    <t>CONSTRUCTION OF MUNICIPAL RESIDUAL PROCESSING CENTER</t>
  </si>
  <si>
    <t>PPDO-OFFICE SUPPLIES</t>
  </si>
  <si>
    <t>PHO (GF)-DIESEL AND GASOLINE</t>
  </si>
  <si>
    <t>Upgrading/Concreting/Improvement of Junction National Road-Bangad Road Milagros, Masbate</t>
  </si>
  <si>
    <t>PENRO-LAPTOP</t>
  </si>
  <si>
    <t>BAC-MULTIFUNCTION COPIER</t>
  </si>
  <si>
    <t>PHO-FUEL, OIL AND LUBRICANTS</t>
  </si>
  <si>
    <t>Concreting of Road Section at Purok 8, Fdr. 3, Barangay Tibal-og, Santo Tomas, Davao del Norte</t>
  </si>
  <si>
    <t>PACKAGE 19-04: CONTINUATION OF LUBUAGAN MULTI-PURPOSE BUILDING</t>
  </si>
  <si>
    <t>CONSO-PAGRO- ICT EQUIPMENT</t>
  </si>
  <si>
    <t>PHO-FURNITURES AND FIXTURES</t>
  </si>
  <si>
    <t>CONSTRUCTION OF MULTI PURPOSE BLDG P1 (sugoc, namaltugan)</t>
  </si>
  <si>
    <t>Procurement and Delivery for the Second Quarter</t>
  </si>
  <si>
    <t>SUPPLY, DELIVERY, INSTALLATION, AND COMMISSIONING OF ONE (1) UNIT MOTOR PUMP FOR WATER  METER TEST BENCH</t>
  </si>
  <si>
    <t>supply and delivery of hardware materials use for the Upgrading of Aldos St. (Construction of canal lining) and Construction of Bunot St. (Canal lining)</t>
  </si>
  <si>
    <t>IMPROVEMENT OF WATER TANK</t>
  </si>
  <si>
    <t>SUPPLY AND DELIVERY OF MATERIALS FRO AWICHON DEMO FARM</t>
  </si>
  <si>
    <t>PHO-SAFETY VAULT</t>
  </si>
  <si>
    <t>SUPPLY AND DELIVERY OF MULTI FUNCTION TILLER /CULTIVATOR</t>
  </si>
  <si>
    <t>PGO-OFFICE SUPPLIES</t>
  </si>
  <si>
    <t>REHABILITATION OF MULTI-PURPOSE BUILDING (MUNICIPAL ECCD CENTER)</t>
  </si>
  <si>
    <t>PAGRO-OFFICE SUPPLIES</t>
  </si>
  <si>
    <t>Purchase of Construction Materials (Accounting)</t>
  </si>
  <si>
    <t>Supply and Delivery of Plaques</t>
  </si>
  <si>
    <t>PURCHASE OF BRAND NEW SHUTTLE BUS FOR USE AS SHUTTLE SERVICE OF THE PROVINCIAL CAPITOL EMPLOYEES</t>
  </si>
  <si>
    <t>Supply and Delivery of Hardware Materials use for the improvement of Makkaway St.</t>
  </si>
  <si>
    <t>IMPROVEMENT OF DRAINAGE CANAL ALONG NATIONAL HIGHWAY.</t>
  </si>
  <si>
    <t>TLDH-WELL MILLED RICE</t>
  </si>
  <si>
    <t>Supply and Delivery of Memorabilia</t>
  </si>
  <si>
    <t>Rehabilitation of Material Recovery Facility</t>
  </si>
  <si>
    <t>Procurement of One (1) Unit Brand New Utility Vehicle</t>
  </si>
  <si>
    <t>IB NO. 08-2020 - PROCUREMENT OF UV GERMICIDAL LIGHT (HFEP)</t>
  </si>
  <si>
    <t>Purchase of Medicine (MHO)</t>
  </si>
  <si>
    <t>SUPPLY AND INSTALLATION OF ANALOCK PARTITION AND DOOR</t>
  </si>
  <si>
    <t>Supply and Delivery of Supplies and Materials</t>
  </si>
  <si>
    <t>Concreting of Road at Balgoma- Lopez Area, Purok 19, Fdr. 4, Barangay Tibal-og, Santo Tomas, Davao del Norte</t>
  </si>
  <si>
    <t>REHABILITATION OF MUNICIPAL PUBLIC CEMETERY</t>
  </si>
  <si>
    <t>Purchase of Construction Materials (SFWSS)</t>
  </si>
  <si>
    <t>CONSO-OFFICE TABLES AND CHAIRS</t>
  </si>
  <si>
    <t>Rehabilitation/Improvement of Local Access Road with Drainage Improvement, Shouldering and Slope Protection in Bgrys Lupi and Pipian</t>
  </si>
  <si>
    <t>Procurement of Construction Materials for the Completion of Streetlights from Round Ball to Iglesia ni Kristo</t>
  </si>
  <si>
    <t>Concreting of Barangay Street (Materials Only)</t>
  </si>
  <si>
    <t>KC : Catering Service for the conduct of PAMANA CEAC Activities Cycle 2 in the municipality of Dumingag, Siayan, &amp; Mahayag ZDS</t>
  </si>
  <si>
    <t>PROCUREMENT OF OTHER SUPPLIES AND MATERIALS (FOOD/GROCERY ITEMS) FOR THE USE OF NAVOTAS INSTITUTE</t>
  </si>
  <si>
    <t>PHO (IPHP)-DIESEL AND GASOLINE</t>
  </si>
  <si>
    <t>PROCUREMENT OF PRINTING SERVICES FOR THE USE OF VARIOUS OFFICES OF THE CITY GOVERNMENT OF NAVOTAS (SECOND BIDDING)</t>
  </si>
  <si>
    <t>PURCHASE OF MDRRMO EQUIPMENT</t>
  </si>
  <si>
    <t>Proc. of Materials for the Construction of CR at Ecopark</t>
  </si>
  <si>
    <t>Rehabilitation and Improvement of Mabuti-Caparian Provincial Road, Marcos and Batac City, Ilocos Norte</t>
  </si>
  <si>
    <t>Upgrading of Concrete Nursery and Production Tanks at Burgos Fish Farm, Brgy. Bobon, Burgos, Ilocos Norte</t>
  </si>
  <si>
    <t>Proc. of Parts for the repair &amp; maintenance of Tractor</t>
  </si>
  <si>
    <t>PROCUREMENT OF OTHER SUPPLIES AND MATERIALS FOR THE USE OF NAVOTAS INSTITUTE</t>
  </si>
  <si>
    <t>Fencing of Multi-Purpose Bldg./Covered Court</t>
  </si>
  <si>
    <t>Installation of Road Signages and Warning Signs along Provincial Roads, Ilocos Norte</t>
  </si>
  <si>
    <t>CONNECTING THE EARIST LABORATORIES AND FACULTY ROOMS in the immediate distribution function for the demands on LMS/Blended Learning</t>
  </si>
  <si>
    <t>CONCRETE OF BRGY ACCESS ROAD (PHASE III)</t>
  </si>
  <si>
    <t>20-07-0098 - PROCUREMENT OF VARIOUS ELECTRICAL SUPPLIES FOR USE IN THE REHABILITATION OF ELECTRICAL INSTALLATION AT THE PLANNING AND DESIGN SECTION</t>
  </si>
  <si>
    <t>20-07-0096 - PROCUREMENT OF DIESEL FUEL FOR USE IN THE OPERATION OF VARIOUS EQUIPMENT UTILIZED IN CONNECTION WITH THE CONSTRUCTION SECTION, ADMIN SECTION, QAS AND ACCOUNTING SECTION</t>
  </si>
  <si>
    <t>2020-07-685</t>
  </si>
  <si>
    <t>Procurement of Materials for the Construction of Material Recovery Facility</t>
  </si>
  <si>
    <t>Supply and delivery of 3000 kgs Molasses and 50 rolls Plastic Mulch to be distributed to individual farmers in support to the National organic Agriculture Program.</t>
  </si>
  <si>
    <t>( PR NO. 20-07-07-0220 SUPPLY AND DELIVERY OF 348 kgs Welding Rod E6012)</t>
  </si>
  <si>
    <t>Procurement of Construction Materials for the Construction of Stairway of Bahay Pag-asa</t>
  </si>
  <si>
    <t>Procurement of Construction Materials for the Construction of Garage (Demo Farm)</t>
  </si>
  <si>
    <t>Materials Supply for Rehabilitation of 6-inch Pipelines at the 380m³ Storage Concrete Tank Pumping Station</t>
  </si>
  <si>
    <t>PURCHASE OF OFFICE EQUIPMENT FOR RHU OFFICE</t>
  </si>
  <si>
    <t>20-07-0095 - PROCUREMENT OF DIESEL FUEL FOR USE IN THE OPERATION OF VARIOUS EQUIPMENT UTILIZED IN CONNECTION WITH THE MAINTENANCE OF NATIONAL ROADS AND BRIDGES</t>
  </si>
  <si>
    <t>Supply and Delivery of Other Supplies and Materials (PNFC)</t>
  </si>
  <si>
    <t>Office Equipment Supplies and Consumables</t>
  </si>
  <si>
    <t>Supply and delivery of various chemicals to be used in the analysis of soil, fertilizer, water and plant tissue samples by the Regional Soils Laboratory</t>
  </si>
  <si>
    <t>Procurement of Construction Materials for the Concreting of Roads-from Lamual to Sitio Batnawan Road, Brgy. Canahay</t>
  </si>
  <si>
    <t>Supply and Delivery of Military, Police and Security Equipment (PMC)</t>
  </si>
  <si>
    <t>DOT-7 JANITORIAL SERVICES FROM AUGUST-DECEMBER 2020</t>
  </si>
  <si>
    <t>PURCHASE OF OFFICE SUPPLIES FOR MSWDO</t>
  </si>
  <si>
    <t>Procurement of Construction Materials and Supplies</t>
  </si>
  <si>
    <t>Procurement of two (2) units BRAND NEW DRR VEHICLE</t>
  </si>
  <si>
    <t>PURCHASE OF OFFICE SUPPLIES/ PEN-20-0910-NP(SV)</t>
  </si>
  <si>
    <t>Procurement of Construction Materials for the Construction of Potable Water System</t>
  </si>
  <si>
    <t>KC: Catering Service for the conduct of PAMANA CEAC Activities Cycle 2 in the municipality of Tungawan, ZSP.</t>
  </si>
  <si>
    <t>supply and delivery of hardware materials use for the rehabilitation/improvement balungog water system and nagraraban amuyao water system</t>
  </si>
  <si>
    <t>Appliances</t>
  </si>
  <si>
    <t>Supply and Delivery of Office Supplies (PNFC)</t>
  </si>
  <si>
    <t>Improvement Works at Provincial Engineering Office, Provincial Motor Pool, Laoag City</t>
  </si>
  <si>
    <t>Supply and Delivery of Machinery Parts and Accessories (PMC)</t>
  </si>
  <si>
    <t>( PR NO. 20-07-07-0203 SUPPLY AND DELIVERY OF 15 lgths Flat Bar 1/2" thk x 2" x 6m, 84 lgths Deformed Bars 20mmØ x6m, 103 lgths Deformed Bars 10mmØ x6m, 2 lgths Plain Round Bar 25mmØ x 6m, 1 lgth Plai</t>
  </si>
  <si>
    <t>Repair/Rehabilitation of Damaged Protection works at Malacañang of the North, Paoay, Ilocos Norte</t>
  </si>
  <si>
    <t>Supply and Delivery of Motor Vehicles Parts and Accessories (PMC)</t>
  </si>
  <si>
    <t>Supply and Delivery of Office Supplies (CMOG-PN)</t>
  </si>
  <si>
    <t>Supply and delivery of 20 pieces Trapal/Tolda/Lona to be used to cover the delivered fertilizers and machineries at DA stations</t>
  </si>
  <si>
    <t>Improvement of Sangguniang Panlalawigan Office, Provincial Capitol Building, Laoag City</t>
  </si>
  <si>
    <t>Construction/Improvement/Rehabilitation of Vintar District Hospital, Vintar, Ilocos Norte</t>
  </si>
  <si>
    <t>PURCHASE OF VEGETABLE SEEDS FOR  AGRICULTURE OFFICE</t>
  </si>
  <si>
    <t>( PR NO. 20-07-04-0089 SUPPLY AND DELIVERY OF 200 pc 15 watt T8 LED Tube, 20 pc 8 watt T8 LED Tube, 1 roll Royal Cord AWG #12, 50 pc 5 watt E27 LED Bulb)</t>
  </si>
  <si>
    <t>PURCHASE OF DUMP TRUCK TIRES AND SHOP SUPPLIES, CGSO, CALBAYOG CITY</t>
  </si>
  <si>
    <t>Supply and Delivery of Office Equipment Parts and Accessories (PMC)</t>
  </si>
  <si>
    <t>Repair and Improvement of Dingras Fish Farm Building, Dingras, Ilocos Norte</t>
  </si>
  <si>
    <t>Supply and Delivery of Other Supplies and Materials (CMOG-PN)</t>
  </si>
  <si>
    <t>Supply and Delivery of Grocery Items (CMOG-PN)</t>
  </si>
  <si>
    <t>MINI-PC	GSD J-20-347</t>
  </si>
  <si>
    <t>LIVE ANIMALS (Livestock)</t>
  </si>
  <si>
    <t>PURCHASE OF 2 UNITS MOTORCYCLE, CGSO, CALBAYOG CITY</t>
  </si>
  <si>
    <t>FOR NISSAN URVAN NV350, SUZUKI MULTICAB SJT-666, SUZUKI MULTICAB SJV-759, SUZUKI MULTICAB SJW-448</t>
  </si>
  <si>
    <t>Labor and materials for the replacement and maintenance of RP vehicle BEJ-698 (ISUZU DMAX) assigned at Integrated Laboratory Division</t>
  </si>
  <si>
    <t>Provision of labor and materials to be installed to RP Vehicle DOL-009 assigned at Corn Banner</t>
  </si>
  <si>
    <t>( PR NO. 20-07-07-0223 1 lot Desludging of septic tanks near PW#32 at brgy. Camaman-an CDOC.	PW No. 32-25 septic tanks (4,500 per truck load)</t>
  </si>
  <si>
    <t>Procurement of Van Hire</t>
  </si>
  <si>
    <t>( PR NO. 20-07-05A-0046 SUPPLY AND DELIVERY OF 600 liters 15W/40-Diesel)</t>
  </si>
  <si>
    <t>Rehabilitation of Swimming Pool at Plaza del Norte, Laoag City</t>
  </si>
  <si>
    <t>Repair and Maintenance of various Rescue Vehicle for use of Provincial Government of Tarlac (PDRRMC)</t>
  </si>
  <si>
    <t>Labor of Construction of 2 Triple Engine Patrol Boat for PNP and PA</t>
  </si>
  <si>
    <t>INVITATION TO BID FOR Street Lights</t>
  </si>
  <si>
    <t>Furnishing Emergency Equipment for Disaster Response in this Municipality of Santa Cruz Laguna</t>
  </si>
  <si>
    <t>PURCHASE OF ALUMINUM MOVABLE FRAMING FOR BURAUEN COMMUNITY CENTER (MHU)</t>
  </si>
  <si>
    <t>Furnishing 4 units Laptop i5  for Office use of the Local School Board in this Municipality of Santa Cruz Laguna</t>
  </si>
  <si>
    <t>Supply and Delivery of Grocery Items (PMC)</t>
  </si>
  <si>
    <t>Desktop Computer with Printer - Office of the City Mayor</t>
  </si>
  <si>
    <t>( PR NO. 20-07-03-0011 SUPPLY AND DELIVERY OF 1 unit LAPTOP)</t>
  </si>
  <si>
    <t>PR NO 2020-07-034 PROCUREMENT OF PM PARTS FOR EQUIPMENT AND SERVICE VEHICLE ASSIGNED AT MASBATE 1ST DEO, SAN FERNANDO, MASBATE</t>
  </si>
  <si>
    <t>Construction of Oxygen Generating Plant Housing at Gov. Roque B. Ablan Sr. Memorial Hospital, Laoag City</t>
  </si>
  <si>
    <t xml:space="preserve">PR NO. 2020-07-022 PURCHASE OF VARIOUS SUPPLIES FOR USE IN ROAD AND BRIDGE INFORMATION APPLICATION (RBIA) SURVEYS, ROAD CONDITION (ROCOND) ASSESSMENT SURVEYS AND VALIDATION SURVEYS FOR CY 2020 AND FU </t>
  </si>
  <si>
    <t>B PACKAGE 2020 – 01: Rehabilitation of Pathways, Barangay Road and Construction/Completion of Tribunal Center/Multi-purpose Hall</t>
  </si>
  <si>
    <t>Construction/Improvement/Rehabilitation of Bangui District Hospital, Bangui, Ilocos Norte</t>
  </si>
  <si>
    <t>SUPPLY AND DELIVERY OF ONE (1) UNIT SILENT DIESEL GENERATOR SET TO BE USED/INSTALLED AT THE NEW MUNICIPAL BUILDING</t>
  </si>
  <si>
    <t>336	pcs.	2" x 6" x 12' G.melina, etc. PR # 459-20</t>
  </si>
  <si>
    <t>P – 2020 – 15: Improvement/Rehabilitation/Construction of BHS, Flood Control, RCA and Box Culvert</t>
  </si>
  <si>
    <t>20	pcs.	2" x3"x12' G.melina, etc. PR # 458-20</t>
  </si>
  <si>
    <t>4	gals.	All purpose adhesive, 4liters/gal., etc. PR # 355-20</t>
  </si>
  <si>
    <t>Request for Quotation for the Provision of Catering Services to be served during the Training on Propagation Protocols for Edible and Economic Ferns at CEBREM, Central Mindanao University (CMU), Maram</t>
  </si>
  <si>
    <t>Supply and Installation of Air-conditioning Units at Various Offices</t>
  </si>
  <si>
    <t>30	bags	Portland Cement (40kg/bag)type 1, etc. PR # 335-20</t>
  </si>
  <si>
    <t>SUPPLY AND DELIVERY OF AIR CONDITIONING UNITS</t>
  </si>
  <si>
    <t>Van Rental of service vehicle for the conduct of On-Site Performance Validation for the Candidates for Promotion to PSDS, Principal, Head Teacher &amp; Master Teacher Positions for SY 2020-2021</t>
  </si>
  <si>
    <t>Supply and Delivery of Flash Drive for Flexible Learning</t>
  </si>
  <si>
    <t>SUPPLY AND DELIVERY OF VARIOUS TESTING KITS TO BE USED FOR HEALTH SERVICES IN THE MUNICIPALITY</t>
  </si>
  <si>
    <t>100	pcs.	2" x 4"x 12' Coco lumber, etc. PR # 319-20</t>
  </si>
  <si>
    <t>20	pcs.	2" x 6" x 12' G.melina, etc. PR # 430-20</t>
  </si>
  <si>
    <t>GF-20-02-00225 - PROCUREMENT OF TARPAULIN AND T-SHIRT</t>
  </si>
  <si>
    <t>Construction of Drainage Canal Quezon Ave. (Beside SKSU), Brgy. Poblacion, City of Tacurong</t>
  </si>
  <si>
    <t>Purchase of 28 Boxes COVID2 SARS Diagnostic Kit for Biliran Provincial Hospital, COVID19 RESPONSE</t>
  </si>
  <si>
    <t>15 gals liquid tile primer white</t>
  </si>
  <si>
    <t>PR 1-20-07-0892, FOR USE IN FREE RANGE CHICKEN UPGRADING AND MULTIPLIER FARM PROGRAM, CITY AGRICULTURE OFFICE, THIS CITY.</t>
  </si>
  <si>
    <t>PR 1-20-07-0869, FOR USE OF OFFICE OF THE BUILDING OFFICIAL, CITY ENGINEERING DEPARTMENT.</t>
  </si>
  <si>
    <t>PR 1-20-07-0867, FOR USE OF CITY HEALTH OFFICE IN CONNECTION WITH VOLUNTARY BLOOD DONATION PROGRAM.</t>
  </si>
  <si>
    <t>PR 1-20-07-0811, TO BE USED BY THE COOPERATIVES AND LIVELIHODD DEVELOPMENT OFFICE (CLDO).</t>
  </si>
  <si>
    <t>PR 1-20-07-0842, TO BE USE BY THE CITY TOURISM OFFICE.</t>
  </si>
  <si>
    <t>PR 1-20-07-0916, TO BE USED BY CITY DISASTER RISK REDUCTION AND MANAGEMENT OFFICE FOR FILE BACK UP.</t>
  </si>
  <si>
    <t>PR 1-20-07-0840, FOR USE IN ORGANIC AGRICULTURE DEVELOPMENT PROGRAM, CITY AGRICULTURE OFFICE, THIS CITY.</t>
  </si>
  <si>
    <t>PR 1-20-07-0846, FOR THE PURCHASE OF ANTI-HUMAN RABIES VACCINES AS PART OF CITY HEALTH OFFICE ANTI-RABIES PROGRAM.</t>
  </si>
  <si>
    <t>PR 1-20-07-0824, FOR USE OF VARIOUS EQUIPMENT ASSIGNED AT CED, THIS CITY.</t>
  </si>
  <si>
    <t>repair &amp; maintenance of various service vehicles</t>
  </si>
  <si>
    <t>PR 1-20-07-0845, FOR USE OF CITY HEALTH OFFICE IN CONNECTION WITH FAMILY PLANNING PROGRAM (CY 2020).</t>
  </si>
  <si>
    <t>PR 1-20-07-0910, FOR USE IN TECHNICAL AND MARKET SUPPORT FOR INTEGRATED FARMING SYSTEM, CITY AGRICULTURE OFFICE, THIS CITY.</t>
  </si>
  <si>
    <t>PR 9-20-06-0794, FOR USE OF SAN CARLOS CITY HOSPITAL, THIS CITY.</t>
  </si>
  <si>
    <t>supply &amp; delivery of Various Construction Materials</t>
  </si>
  <si>
    <t>supply, delivery &amp; installation of Acrylic Clear Cast Protective Screen</t>
  </si>
  <si>
    <t>supply &amp; delivery of Various Dental Equipment</t>
  </si>
  <si>
    <t>supply &amp; delivery of Various Office Supplies &amp; Equipment</t>
  </si>
  <si>
    <t>Installation of Flood Light for Covered Court</t>
  </si>
  <si>
    <t>Purchase of materials for the Rehabilitation of Old Spanish Road, Brgy. Misi, Lambunao, Iloilo</t>
  </si>
  <si>
    <t>SUPPLY AND DELIVERY OF CONSTRUCTION MATERIALS FOR THE CONSTRUCTION OF MULTI-PURPOSE HALL PHASE II</t>
  </si>
  <si>
    <t>SUPPLY AND DELIVERY OF CONSTRUCTION MATERIALS FOR THE CONSTRUCTION OF BARANGAY RISK REDUCTION MANAGEMENT (BDRRM) OFFICE - PHASE I</t>
  </si>
  <si>
    <t>SUPPLY AND DELIVERY OF CONSTRUCTION MATERIALS FOR THE EXTENSION OF MULTI-PURPOSE HALL</t>
  </si>
  <si>
    <t>Construction of Human Resource Development Center at P-1A,P-1B, P-3 &amp; P-5</t>
  </si>
  <si>
    <t>Procurement of Copier Machines - TF-20-06-00901</t>
  </si>
  <si>
    <t>Support to Tourism</t>
  </si>
  <si>
    <t>Construction/Concreting of Local Access Road From Barangay San Vicente to Barangay Gobon</t>
  </si>
  <si>
    <t>SUPPLY AND DELIVERY OF CONSTRUCTION MATERIALS FOR THE REHABILITATION OF ONE (1) SPAN MULTI-PURPOSE HALL</t>
  </si>
  <si>
    <t>B-011-2020 SUPPLY AND DELIVERY 1 UNIT STEEL CABINET - NEGOTIATED</t>
  </si>
  <si>
    <t>B-010-2020-C SUPPLY AND DELIVERY 1 UNIT SOUND SYSTEM - NEGOTIATED</t>
  </si>
  <si>
    <t>PR 1-20-07-0825, FOR USE IN THE STREET LIGHTING MAINTENANCE AT RURAL AND  URBAN BARANGAYS AND LOCAL GOVERNMENT-OWNED BUILDINGS/FACILITIES., THIS CITY CY-2020.</t>
  </si>
  <si>
    <t>B-010-2020-B SUPPLY AND DELIVERY 1 LOT IT EQUIPMENT, ACCESSORIES AND PERIPHERALS - NEGOTIATED</t>
  </si>
  <si>
    <t>KC-2020-07-0300: Catering Services For the conduct of PAMANA CEAC Activities Cycle 2 in the municipality of Labangan,ZDS</t>
  </si>
  <si>
    <t>Furniture and Fixtures</t>
  </si>
  <si>
    <t>2020-08-118 Procurement of Various IT Equipment</t>
  </si>
  <si>
    <t>Installation of Municipal Lighting System 3 Phase</t>
  </si>
  <si>
    <t>PURCHASE OF MATERIALS FOR THE CONSTRUCTION/REHABILITATION OF EVACUATION CENTER</t>
  </si>
  <si>
    <t>PURCHASE OF MATERIALS FOR THE CONSTRUCTION/REHAB OF DRAINAGE SYSTEM/DECLOGGING OF CANALS</t>
  </si>
  <si>
    <t>PR 1-20-07-0887, FOR USE IN RICE PRODUCTION PROGRAM, CITY AGRICULTURE OFFICE, THIS CITY.</t>
  </si>
  <si>
    <t>ENVELOPES</t>
  </si>
  <si>
    <t>B-010-2020-A SUPPLY AND DELIVERY 1 LOT OFFICE FURNITURE, FIXTURES AND EQUIPMENT - NEGOTIATED</t>
  </si>
  <si>
    <t>rent to own one(1) unit total station</t>
  </si>
  <si>
    <t>PROCUREMENT OF MATERIALS FOR MDRRMO  MITIGATION AND RECOVERY PROGRAM</t>
  </si>
  <si>
    <t>Rapid Test (CoViD 19)</t>
  </si>
  <si>
    <t>PURCHASE OF MATERIALS FOR THE REHABILITATION OF WATER SYSTEM</t>
  </si>
  <si>
    <t>UPGRADING/CONCRETING OF LIBERTAD-TIPANGE ROAD SECTION</t>
  </si>
  <si>
    <t>Purchase of Printers and USB Falshdrives</t>
  </si>
  <si>
    <t>B-015-2020 SUPPLY AND DELIVERY OF 1 SET DESKTOP COMPUTER WITH COMPLETE ACCESSORIES - NEGOTIATED</t>
  </si>
  <si>
    <t>Construction of Barangay Road</t>
  </si>
  <si>
    <t>2020-07-0138 - PROCUREMENT OF VEHICLE PARTS AND ACCESSORIES FOR USE IN THE OPERATION OF MITSUBISHI STRADA 102008 (HI-6092) (3RD QUARTER CY 2020)</t>
  </si>
  <si>
    <t>PURCHASE AND DELIVERY OF FURNITURE</t>
  </si>
  <si>
    <t>Improvement Rehabilitation and Modernisation of Barangay Multi-Purpose Hall</t>
  </si>
  <si>
    <t>PURCHASE OF FURNITURES AND FIXTURES</t>
  </si>
  <si>
    <t>PURCHASE AND DELIVERY OF ASSORTED  TOOLS AND GADGETS TO BE USED BY THE LDRRM OFFICE OF BURGOS, LA UNION</t>
  </si>
  <si>
    <t>PR 1-20-07-0893, FOR USE OF THE CITY MAYOR’S OFFICE, THIS CITY.</t>
  </si>
  <si>
    <t>2020-07-0135 - PROCUREMENT OF LABORATORY SUPPLIES AND EQUIPMENT FOR USE IN THE OPERATION OF MATERIAL TESTING UNIT OF QUALITY ASSURANCE SECTION (1ST QUARTER CY 2020)</t>
  </si>
  <si>
    <t>Purchase of Supplies for Repair &amp; Maintenance of Streetlights</t>
  </si>
  <si>
    <t>Construction of Bantulinao Water Supply System (Level II) at Brgy. Bantulinao, Calauag, Quezon</t>
  </si>
  <si>
    <t>PURCHASE ANDE DELIVERY OF IT EQUIPMENT</t>
  </si>
  <si>
    <t>Supply and Delivery of UV Sterilization Box</t>
  </si>
  <si>
    <t>019-INFRA-002 / CONSTRUCTION PROJECTS</t>
  </si>
  <si>
    <t>Office supplies devices</t>
  </si>
  <si>
    <t>SUPPLY AND DELIVERY OF MEDICAL SUPPLY</t>
  </si>
  <si>
    <t>SCHOOL SUPPLIES</t>
  </si>
  <si>
    <t>NP-SVP(A)-2020-15-ICTMD - Procurement pf SSL with Extended Validated Certificate</t>
  </si>
  <si>
    <t>NP-SVP(A)-2020-007-CSL - Purchase of Microorganisms for Routing Microbiological Analysis</t>
  </si>
  <si>
    <t>SUPPLY AND DELIVERY OF MATERIALS FOR THE IMPROVEMENT OF MULTI-PURPOSE HALL, BRGY. IBABANG CABULIHAN, UNISAN, QUEZON</t>
  </si>
  <si>
    <t>Proposed Construction of Barangay Road Concreting Project</t>
  </si>
  <si>
    <t>Purchase of Construction Materials and Supplies only for the Construction of Retaining Wall at Northern Samuyao (Phase II)</t>
  </si>
  <si>
    <t>Demolition of Declined Old Hand-Washing and Installation of New Hand-Washing Facility No.1 at Building 1</t>
  </si>
  <si>
    <t>Repair of Covered Drainage</t>
  </si>
  <si>
    <t>Purchase of Drugs and Medicines</t>
  </si>
  <si>
    <t>Repair and Maintenance of Municipal Building</t>
  </si>
  <si>
    <t>REPAIR AND MAINTENANCE OF ASPHALT PAVEMENT AT ACESS ROADS AND SERVICE ROADS AT ILOILO INTERNATIONAL AIRPORT</t>
  </si>
  <si>
    <t>Proposed Drainage Improvement Phase II</t>
  </si>
  <si>
    <t>Construction of Sta. Milagrosa Water Supply System (Level II) at Brgy. Sta. Milagrosa, Calauag, Quezon</t>
  </si>
  <si>
    <t>Invitation to Bid for the Construction of RHU I Building and Birthing Facility at Avenida Rizal west, Barangay Poblacion, Lingayen, Pangasinan</t>
  </si>
  <si>
    <t>Installation of Streetlights</t>
  </si>
  <si>
    <t>TAPE</t>
  </si>
  <si>
    <t>AIRCONDITIONING UNIT</t>
  </si>
  <si>
    <t>Meals &amp; Snacks for 165 pax</t>
  </si>
  <si>
    <t>Procurement and Delivery  of School and Office Supplies of West Kibawe Elementary School</t>
  </si>
  <si>
    <t>purchase of vehicle parts &amp; accessories</t>
  </si>
  <si>
    <t>Kopiko Black,Nescafe,Downy,etc....</t>
  </si>
  <si>
    <t>Construction of Bagong Silang Water Supply System (Level II) at Brgy.  Bagong Silang, Calauag, Quezon</t>
  </si>
  <si>
    <t>Rice assistance for the Ampucao Baranbgay Tanods and selected Barangay Responders for the Third and Fourth Quarter of CY 2019</t>
  </si>
  <si>
    <t>20	bags	Cement, etc. PR # 481-20</t>
  </si>
  <si>
    <t>Supply and Delivery of Isolation/OR Gown (unsterile) &amp; 2 others</t>
  </si>
  <si>
    <t>Purchase of Service Drop Wire for Electrification of All Barangay</t>
  </si>
  <si>
    <t>Diesel Fuel</t>
  </si>
  <si>
    <t>CIRCUIT BREAKER</t>
  </si>
  <si>
    <t>Innova Tire,Coolant,Brake Fluid,etc....</t>
  </si>
  <si>
    <t>Invitation to Bid for the Rehabilitation of Perimeter Plaza at Barangay Poblacion, Lingayen, Pangasinan</t>
  </si>
  <si>
    <t>Hiring of an Editor for the Improvement of PNVSCA's Volunteer Management System (VMS) Toolkit</t>
  </si>
  <si>
    <t>CONTACTOR</t>
  </si>
  <si>
    <t>Supply and Delivery of Office/School Supplies (Calvario ES)</t>
  </si>
  <si>
    <t>DUMAGUETE BRANCH - Fabrication and Installation of Safety Barriers</t>
  </si>
  <si>
    <t>Supply of 10KVA Transformer</t>
  </si>
  <si>
    <t>School and  office supplies use for Lumbayao ES</t>
  </si>
  <si>
    <t>Rehabilitation of Gymnasium at Bravo Elementary School</t>
  </si>
  <si>
    <t>Improvement of Concrete Stage Phase I</t>
  </si>
  <si>
    <t>50	pcs.	Marker Bouys, (50cm. dia., plastic), orange, etc. PR # 530-20</t>
  </si>
  <si>
    <t>Continuation of Barangay Road Concreting @ Purok 1</t>
  </si>
  <si>
    <t>2020-08-904 BP App Adult</t>
  </si>
  <si>
    <t>34	Igth.	2' Ø x 10' PVC Pipe (S-1000), etc. PR # 488-20</t>
  </si>
  <si>
    <t>SUPPLY AND DELIVERY OF INCONTINENT PAD ADULT 30X30</t>
  </si>
  <si>
    <t>RFQ Rubber Rain Boots &amp; Safety Shoes 20-07-097-A</t>
  </si>
  <si>
    <t>2020-08-905 BP App Pedia</t>
  </si>
  <si>
    <t>Office Supplies for Laurencio Fianza National High School</t>
  </si>
  <si>
    <t>Procurement of construction materials for  Construction of Potable Water System @ Laya</t>
  </si>
  <si>
    <t>PURCHASE OF IT EQUIPMENT FOR COMMUNIY AFFAIRS OFFICE</t>
  </si>
  <si>
    <t>30	pcs.	2" x 2" x 12' G.melina, etc. PR # 487-20</t>
  </si>
  <si>
    <t>Equipment for Evelio Javier Memorial National High School - Annex</t>
  </si>
  <si>
    <t>Improvement of Road at Capjaran near Bahingawan area to Pagaspas area</t>
  </si>
  <si>
    <t>RFQ FOR INSTALLATION OF FLOWMETER</t>
  </si>
  <si>
    <t>Supply and delivery of materials for construction of drainage canal &amp; MRF of brgy nangka</t>
  </si>
  <si>
    <t>SUPPLY &amp; DELIVERY OF FOOD PACKAGING SUPPLIES</t>
  </si>
  <si>
    <t>70	bags	Portland Cement (40kg/bag)type 1, etc. PR # 574-20</t>
  </si>
  <si>
    <t>HARDWARE SUPPLIES</t>
  </si>
  <si>
    <t>140 bags Portland Cement 40 kgs and other items for construction of 2 storey gender sensitive living quarter of girls CICL/CAR at Dumaguete Youth Home at Brgy/ Talay-1st Revision.</t>
  </si>
  <si>
    <t>20-07-1010-FMD INTEGRATED PREW GAD ORIENTATION AND USE OF GENDER FAIR LANGUAGE CUM OPC/IPC WOTKSHOP &amp; TEAM BUILDING ACTIVITIES</t>
  </si>
  <si>
    <t>Procurement of Essential goods for COVID-19</t>
  </si>
  <si>
    <t>Procurement of Book papaer A4, Subs. 20</t>
  </si>
  <si>
    <t>Purchase of Standing Wreath for the Late Resident of the Municipality</t>
  </si>
  <si>
    <t>2020-08-903 Pulse Ox</t>
  </si>
  <si>
    <t>Annual Subscription for VPS Hosting</t>
  </si>
  <si>
    <t>PBD OF HEAVY EQUIPMENT AND LIGHT VEHICLE OF THIS MUNICIPALITY</t>
  </si>
  <si>
    <t>20	pcs	2" x 6" x 12' G. Melina, etc. PR # 573-20</t>
  </si>
  <si>
    <t>Procurement of Supplies for the daily operation of Project Management Office for the 2nd and 3rd Quarter of 2020</t>
  </si>
  <si>
    <t>Job Order: Lumpsum for completion of the construction of 2-storey gender sensitive living quarter of girl CICL/CAR at Dumaguete Youth Home at Barangay Talay.</t>
  </si>
  <si>
    <t>Purchase of Electrical Supplies</t>
  </si>
  <si>
    <t>CONSTRUCTION/REHABILITATION OF WATER SYSTEM</t>
  </si>
  <si>
    <t>MOOE2020-02</t>
  </si>
  <si>
    <t>Procurement of Gardening Tools and Fertilizers</t>
  </si>
  <si>
    <t>PROCUREMENT OF OFFICE SUPPLIES FOR MAYORS OFFICE USE</t>
  </si>
  <si>
    <t>2020-07-0137 - PROCUREMENT OF SURVEYING INSTRUMENT FOR USE AT THE PLANNING AND DESIGN SECTION</t>
  </si>
  <si>
    <t>IMPROVEMENT OF MULTI-PURPOSE HALL</t>
  </si>
  <si>
    <t>1	set	Panel board, moulded circuit breaker, 40 Amp center, etc. PR # 601-20</t>
  </si>
  <si>
    <t>Contruction/Improvement of Road Network &amp; Facilities @ Quezon St., Camunggay Road, Pob. North</t>
  </si>
  <si>
    <t>MULTI-PURPOSE ROOFING OF THE EVACUATION CENTER</t>
  </si>
  <si>
    <t>Procurement of Four (4) Laptop units</t>
  </si>
  <si>
    <t>Supply and Delivery of Nine (9) Desktop and Six (6) Laptop for ICAB</t>
  </si>
  <si>
    <t>Labor Charge for Wheel Alignment of Municipal Vehicle (Toyota Fortuner)</t>
  </si>
  <si>
    <t>COVERING OF THE DRAINAGE OF THE EVACUATION CENTER</t>
  </si>
  <si>
    <t>Repair/Maintenance of Municipal Vehicle ( L-300 w/ Conduction Sticker No. B1D405 ) @ Samal, Bataan</t>
  </si>
  <si>
    <t>Procurement of Services for RP Vehicle Isuzu Crosswind SGL-466</t>
  </si>
  <si>
    <t>PROVISION AND INSTALLATION OF EIGHT (8) UNITS SOLAR STREETLIGHTS @ BRGY.POBLACION 1</t>
  </si>
  <si>
    <t>170	pcs.	Lumber Coco - 2" x 2" x 10, etc. PR # 547-20</t>
  </si>
  <si>
    <t>CONSTRUCTION OF BEACH COTTAGE (KUBO) AT TONDOL BEACH</t>
  </si>
  <si>
    <t>Supply, Delivery and Installation of Airconditioning Unit for Men's Dormitory 05D(DORM) H01-2020</t>
  </si>
  <si>
    <t>Supply &amp; Delivery of Office Equipment for the use of NIA-RO9, Acctng Section, NIA-Regional Office, Labangan, Zamboanga del Sur</t>
  </si>
  <si>
    <t>materials and labor for the repair and maintenance of Toyota Hi Ace Commuter SJX829</t>
  </si>
  <si>
    <t>STREETLIGHT</t>
  </si>
  <si>
    <t>25	bag	Portland Cement, etc. PR # 630-20</t>
  </si>
  <si>
    <t>Removal of Waste from the Portalet located at PPA Talibon</t>
  </si>
  <si>
    <t>Supply and Delivery of Viral Transport Medium with Oropharyngeal and Nasopharyngeal Swab</t>
  </si>
  <si>
    <t>SUPPLY &amp; DELIVERY OF WATER DISPENSER &amp; GALLONS</t>
  </si>
  <si>
    <t>10 pcs. 20 watts capsule LED Bulb for the replacement of LED Light Bulb that no longer illuminated at Talibon Integrated Transport Terminal</t>
  </si>
  <si>
    <t>Supply and Deliver of IT Equipment for Accounting Office</t>
  </si>
  <si>
    <t>Supply and Delivery of Vehicle Spare Parts for Mitsubishi L300 B0M-793, Grader GD 28, Ambulance SKN-740, Isuzu Forward SFP-223 and Mini Dump 07c-398</t>
  </si>
  <si>
    <t>CONSOLIDATED PR'S (2020-07-244 2ND QUOTE) PROCUREMENT OF CI SADDLE CLAMP</t>
  </si>
  <si>
    <t>Construction of School Building located at Barangay Gatid, Santa Cruz, Laguna</t>
  </si>
  <si>
    <t>Purchase of Plastic Chairs</t>
  </si>
  <si>
    <t>Supply of materials &amp; rental of equipment  for use in the Concreting of Brgy. Road, Brgy. Mabato, Rosario, Batangas</t>
  </si>
  <si>
    <t>Repair of Public Market Roofing @ Barangay Poblacion Uno, Malabuyoc, Cebu</t>
  </si>
  <si>
    <t>Supply &amp; Delivery of Tents with Lona</t>
  </si>
  <si>
    <t>Purchase of toiletries for RRCY 3rd Quarter 2020 use</t>
  </si>
  <si>
    <t>Delivery of Cloned Desktop Computer System needed for Cemetery Operation (ITB 20-090)</t>
  </si>
  <si>
    <t>ROAD CONCRETING</t>
  </si>
  <si>
    <t>Purchase of Passenger Van</t>
  </si>
  <si>
    <t>ROXAS BRANCH - QUEUING MACHINE AND TV</t>
  </si>
  <si>
    <t>Labor Charge for Replacement of Parts for Municipal Vehicle (Toyota Fortuner)</t>
  </si>
  <si>
    <t>Supply and Delivery of Drugs and Medicines for Candelaria District Hospital (CDH) and San Marcelino District Hospital (SMDH)</t>
  </si>
  <si>
    <t>Supply and delivery of materials for ext of covered court, MPDP and nangka water system</t>
  </si>
  <si>
    <t>Supplies and Disinfectant Materials</t>
  </si>
  <si>
    <t>Rebidding: Job Order: (Lumpsum) for construction of two storey Multi-purpose building (Phase I) at Purok Gabi at Barangay Tabuc-tubig-1st Revision.</t>
  </si>
  <si>
    <t>SUPPLY &amp; DELIVERY OF HARDWARE SUPPLIES</t>
  </si>
  <si>
    <t>Supply and Delivery of Three (3) sets of Lineman’s Gloves, as per BSP Supplied Evaluation Matrix, Technical Specifications and Terms and Conditions</t>
  </si>
  <si>
    <t>Purchase of Computer Set</t>
  </si>
  <si>
    <t>Request for Quotation for Other Structures</t>
  </si>
  <si>
    <t>Supply and Delivery of 4 Drawers steel filling Cabinet for Office use</t>
  </si>
  <si>
    <t>SUPPLY OF MATERIALS</t>
  </si>
  <si>
    <t>Rebidding: 3 gals Denatured alcohol and other items for City Health Office laboratory.</t>
  </si>
  <si>
    <t>CONSTRUCTION OF 12 SETS SOLAR STREET LIGHTS PHASE I</t>
  </si>
  <si>
    <t>Purchase of 2,000 Liters Premium Gasoline</t>
  </si>
  <si>
    <t>Delivery of  ICT, Furniture &amp; Fixtures &amp; Communication equipment for office use (ITB 20-093)</t>
  </si>
  <si>
    <t>PBG-2020-07-22 PROCUREMENT OF RICE FOR PNP/BFP/BJMP PERSONNEL.</t>
  </si>
  <si>
    <t>RFQ (20-07-097) Various Drugs and Medicines</t>
  </si>
  <si>
    <t>1 pail Oil 10 and 1 pail Oil 40 use for Payloader</t>
  </si>
  <si>
    <t>Improvement of Barangay Road located at Barangay Bikil, Tubungan, Iloilo</t>
  </si>
  <si>
    <t>Delivery of Other supplies &amp; materials for Network &amp; maintenance use (ITB 20-092)</t>
  </si>
  <si>
    <t>Procurement of Construction Materials and Supplies of ARMOR, DIV, PA amounting to Php 100,000.00</t>
  </si>
  <si>
    <t>Purchase of Computer Set and Laptop</t>
  </si>
  <si>
    <t>For COA office use</t>
  </si>
  <si>
    <t>PROCUREMENT OF 2 UNITS PHOTOCOPIER MACHINE FOR THE DEP. ED. SAN AGUSTIN</t>
  </si>
  <si>
    <t>PURCHASE OF SHREDDING MACHINE</t>
  </si>
  <si>
    <t>152.2020 ORED</t>
  </si>
  <si>
    <t>PURCHASE OF MEDICAL SUPPLIES FOR MDRRMO EMERGENCY MEDICAL SERVICES</t>
  </si>
  <si>
    <t>SUPPLY AND INSTALLATION OF SOLAR LIGHTS WITH POST AT TONDOL BEACH</t>
  </si>
  <si>
    <t>Supply and Delivery of School Equipment</t>
  </si>
  <si>
    <t>Purchase of Office Supplies for Pontevedra I &amp; II</t>
  </si>
  <si>
    <t>procurement of food stuff/ mdrrmc</t>
  </si>
  <si>
    <t>Septic Vault Maintenance</t>
  </si>
  <si>
    <t>80	pcs.	Lumber Coco - 2" x 2" x 10, etc. PR # 546-20</t>
  </si>
  <si>
    <t>Re Bidding - Rehabilitation of Apolinario dela Cruz Waterworks System Improvement of Main Water Source and Intake Box, Installation of additional pipelines and fittings, Replacement of dilapidated pip</t>
  </si>
  <si>
    <t>Purchase of Desktop and Laptop Computers for Office of the ABC</t>
  </si>
  <si>
    <t>Delivery of Laptop Computer System &amp; Brush Cutter for Office use (ITB 20-091)</t>
  </si>
  <si>
    <t>3 page Publication of Statement of Receipts and Expenditures for BLGF Compliance</t>
  </si>
  <si>
    <t>Purchase of Jetmatic Pump and HDPE Pipe SDR II for the Improvement of Water Supply System of All Barangay</t>
  </si>
  <si>
    <t>Rehabilitation of Techno Demo Farm and Office (Total Repair of Warehouse Roof, Office Roof and Ceiling) Caawigan,Talisay Camarines Norte</t>
  </si>
  <si>
    <t>Sack (50 kg capacity) slightly used sack rice</t>
  </si>
  <si>
    <t>Cataloging Tools for TPC Library References</t>
  </si>
  <si>
    <t>LOT Procurement of LABORATORY SUPPLIES for the Use of DOPMC</t>
  </si>
  <si>
    <t>PURCHASE OF PUPILS LEARNING KIT</t>
  </si>
  <si>
    <t>procurement of office supplies/hrmo</t>
  </si>
  <si>
    <t>1 pc. Head Gasket for the maintenance of ISWM Foton Truck</t>
  </si>
  <si>
    <t>SUPPLY AND DELIVER OF RISOGRAPHIC MACHINE</t>
  </si>
  <si>
    <t>Procurement for the month of June 2020</t>
  </si>
  <si>
    <t>Procurement of Laboratory Equipment for the Development of the Solar Chili Dryer</t>
  </si>
  <si>
    <t>GENERAL REPAIR AND MAINTENANCE SERVICES</t>
  </si>
  <si>
    <t>Provision of Vehicle Rental for the conduct of SL TOT on Corn for FFS and PTD Site</t>
  </si>
  <si>
    <t>CONCRETING OF FTMR</t>
  </si>
  <si>
    <t>For Senior High School Modules</t>
  </si>
  <si>
    <t>OTHER SUPPLIES EXPENSES</t>
  </si>
  <si>
    <t>Purchase of Equipment for BDRRM use</t>
  </si>
  <si>
    <t>Purchase of Meals and Snacks</t>
  </si>
  <si>
    <t>INSTALLATION OF CCTV CAMERAS</t>
  </si>
  <si>
    <t>Supply and Delivery of Medical Equipment for San Marcelino District Hospital (SMDH), San Marcelino</t>
  </si>
  <si>
    <t>Supply and Delivery of Laptop, Printer and LED Computer Monitor</t>
  </si>
  <si>
    <t>Supply and Delivery of 2 units Desktop Computer for CDO LC</t>
  </si>
  <si>
    <t>Request for Quotation of Construction Materials</t>
  </si>
  <si>
    <t>SUPPLY &amp; DELIVERY OF ELECTRICAL SUPPLIES</t>
  </si>
  <si>
    <t>PROCUREMENT OF MEALS AND SNACKS</t>
  </si>
  <si>
    <t>DARF02.QES.115.20-07-076 ESTABLISHMENT OF RAIN HARVESTER WATER TANK</t>
  </si>
  <si>
    <t>Rebidding: 4 pcs Plastic Tile Trim 10mm x 3.0m and other items for rehabilitation/Improvement of Office and Women Center and other facilities of CSWDO (Phase I) at Barangay Poblacion 1.</t>
  </si>
  <si>
    <t>MG-TSE20-038</t>
  </si>
  <si>
    <t>Procurement of Others Supplies of 522ECB, 51EBde, PA amounting to Php 164,520.00</t>
  </si>
  <si>
    <t>2020-07-143 (Procurement of Various ICT Equipment and Supplies)</t>
  </si>
  <si>
    <t>Supply and Delivery of Materials for the Construction of Drainage Canal</t>
  </si>
  <si>
    <t>Subscription to On-Line Document Retrieval System</t>
  </si>
  <si>
    <t>CONSTRUCTION OF WATER TANKS, SUPPLY/DELIVERY AND INSTALLATION OF PIPELINES AND DISTRIBUTION PIPELINES FOR CALLIANGAN BALANGABANG SIP PHASE III, KAYAPA, NUEVA VIZCAYA</t>
  </si>
  <si>
    <t>Procurement of A4 size, 80gsm Bond Paper for Hinaplanan National High School, Claveria, Misamis Oriental</t>
  </si>
  <si>
    <t>1 set/lot Brand New Radio Repeater</t>
  </si>
  <si>
    <t>Procurement of supplies and materials for the  Construction of Office Space at MBHTE Warehouse at Pansacala Area.</t>
  </si>
  <si>
    <t>PURCHASE of Vehicle Part</t>
  </si>
  <si>
    <t>Supply and Delivering of Disaster/Calamity Tools</t>
  </si>
  <si>
    <t>Development of SHS Budget of Work and Learning Activity Sheets</t>
  </si>
  <si>
    <t>SUMALIG ELEMENTARY SCHOOL MOOE APRIL-MAY 2020</t>
  </si>
  <si>
    <t>Rebidding: 1 unit Motorcycle (Fuel Injection, Scooter, Full transistorized ignition, 125cc) for utilization of 20% LGU Share on Fire code fees collection intended for DCFS Day to Day operation.</t>
  </si>
  <si>
    <t>Purchase of Fuel for Gov't. Vehicles, LGU-Isabela, Neg. Occ</t>
  </si>
  <si>
    <t>Purchase of IT Equipment and Office Equipment</t>
  </si>
  <si>
    <t>MG-IPP20-010</t>
  </si>
  <si>
    <t>Procurement of Fluids for Cortes Municipal Hospital Pharmacy (4th Quarter).</t>
  </si>
  <si>
    <t>Procurement of Live Animals-Upgraded Free Range Native Chicken</t>
  </si>
  <si>
    <t>Supplies &amp; Materials for Infection Prevention &amp; Control of COVID-19</t>
  </si>
  <si>
    <t>Supply and Deliveryg of Medicines</t>
  </si>
  <si>
    <t>Supply and Delivery of Various Construction Materials (Construction of Drainage System)</t>
  </si>
  <si>
    <t>Procurement of Various Drugs and Medicines for the Use of Davao Oriental Provincial Medical Center (DOPMC)</t>
  </si>
  <si>
    <t>CONSTRUCTION/REHABILITATION/IMPROVEMENT OF LOCAL GOVERNMENT-OWNED POTABLE WATER SUPPLY SYSTEM @ BRGY. SAN MARIANO, SAN PASCUAL, BATANGAS</t>
  </si>
  <si>
    <t>PROCUREMENT OF MATERIALS FOR THE REPRODUCTION OF LEARNING RESOURCES</t>
  </si>
  <si>
    <t>Repair and Maintenance of Ambulance, LGU-Isabela, Neg. Occ.</t>
  </si>
  <si>
    <t>Curtain and Curtain Rods to be use at MSWD Office</t>
  </si>
  <si>
    <t>Hardware and Construction Materials</t>
  </si>
  <si>
    <t>Supply &amp; Delivery of 2nd and 3rd Quarterly Office Supplies -Repost</t>
  </si>
  <si>
    <t>Procurement of Thermal Gun, Face Shield, N95 Mask, Surgical Mask, and alchohol for the MBHTE Employees</t>
  </si>
  <si>
    <t>Supply &amp; Delivery of 30 pcs. CI Dresser Coupling 3 for PVC and Other Fittings (w/ requirements)</t>
  </si>
  <si>
    <t>Contract ID No. 20CSK00002 - Real Property Appraisal Services for Properties Affected by the projects:   1. 20K00074-CDO-Opol-El Salvadror-Alubijid-Laguindingan Airport (Pueblo de Oro/CDO Airport to J</t>
  </si>
  <si>
    <t>Supply/Delivery of  Construction Materials for Indoor Isolation Facility  (PR# 20-07-0758)</t>
  </si>
  <si>
    <t>Procurement of Printing Machine (Risograph)-DepEd ,Lopez Jaena</t>
  </si>
  <si>
    <t>2 pcs Borosilicate Glass Beaker....etc</t>
  </si>
  <si>
    <t>Supply of Materials for the Construction of Temporary Shed</t>
  </si>
  <si>
    <t>Supply and delivery of (100) pcs Monobloc Chair</t>
  </si>
  <si>
    <t>Supply and Delivery of Contamination Control Floating Floor Mats for Candelaria District Hospital (CDH), Candelaria</t>
  </si>
  <si>
    <t>Acquisition of Electrical Supplies</t>
  </si>
  <si>
    <t>ITB-2020-08-055 PROCUREMENT OF PERISHABLE ITEMS FOR BANGUN IMPLEMENTATION IN BASILAN PROVINCE</t>
  </si>
  <si>
    <t>Procurement of Tarpaulin Printing</t>
  </si>
  <si>
    <t>PURCHASE OF VEHICLE MAINTENANCE PARTS AND SUPPLIES</t>
  </si>
  <si>
    <t>TO TRANSPORT PATIENTS TO HEALTH FACILITY/HOSPITAL</t>
  </si>
  <si>
    <t>RE BIDDING - SUPPLY AND DELIVERY OF SCHOOL SUPPLIES FOR THE STUDENTS OF LUCBAN, QUEZON</t>
  </si>
  <si>
    <t>Vehicle Repair and Maintenance</t>
  </si>
  <si>
    <t>construction of municipal streets timol-galope section/meo</t>
  </si>
  <si>
    <t>Purchase of Motorcycle for Brgy. Canroma, Pontevedra, Neg. Occ.</t>
  </si>
  <si>
    <t>Laptop for Online Medical check up of the constituents  of Maco</t>
  </si>
  <si>
    <t>Purchase of Gasoline &amp; Diesel</t>
  </si>
  <si>
    <t>Materials for Rehab. of BDRRMO Service Boat @ San Francisco, Talibon, Bohol</t>
  </si>
  <si>
    <t>CONSTRUCTION/REHABILITATION/WIDENING OF LOCAL ROAD @ SAN ANTONIO, SAN PASCUAL, BATANGAS</t>
  </si>
  <si>
    <t>Procurement of Vehicle Part &amp; Accessories for 522ECB, 51EBde, PA amounting to Php 79,810.00</t>
  </si>
  <si>
    <t>Supply and Delivery of Risograph Machine and Consumables for Reproduction of Learning Materials for Department of Education-RTR District</t>
  </si>
  <si>
    <t>CONSTRUCTION OF MULTI-PURPOSE BUILDING LOCATED AT SAN ISIDRO, AGOO, LA UNION</t>
  </si>
  <si>
    <t>Proc of Veh Parts &amp; Acc, 9FSSU</t>
  </si>
  <si>
    <t>RFQ Raincoat, Safety Earmuff &amp; Reflectorized Vest 20-07-097-A</t>
  </si>
  <si>
    <t>Concreting of Barangay Road @ Munoz East, Roxas, Isabela</t>
  </si>
  <si>
    <t>Materials for TPC Computer Tables and NSTP Office</t>
  </si>
  <si>
    <t>Procurement of Supplies for Dormitory</t>
  </si>
  <si>
    <t>Delivery of Printer</t>
  </si>
  <si>
    <t>IMPROVEMENT OF EVACUATION &amp; MULTI-PURPOSE CENTER</t>
  </si>
  <si>
    <t>Catering &amp; Supplies for Family Day</t>
  </si>
  <si>
    <t>Procurement of Hardware and Construction Supplies for BULAWAN SR.</t>
  </si>
  <si>
    <t>Procurement of Information Technology Equipment</t>
  </si>
  <si>
    <t>Purchase of 1 Unit Split Type Aircon 2HP with installation for the equipage of DRRM Operation Center</t>
  </si>
  <si>
    <t>Supply and Delivery of Various Construction Materials (Construction of Multi-Purpose Hall)</t>
  </si>
  <si>
    <t>HO-PES20-004 - Supply and Delivery of Automatic Dater Stamp</t>
  </si>
  <si>
    <t>HO-ESD20-002 - Supply and Delivery of Date and Time Stamping Machine</t>
  </si>
  <si>
    <t>PROCUREMENT OF OFFICE SUPPLIES FOR DAR PROVINCIAL OFFICE OF CAMARINES NORTE COVERING THE PERIOD OF 2nd SEMESTER              CY 2020</t>
  </si>
  <si>
    <t>supply and delivery of various medical instruments</t>
  </si>
  <si>
    <t>COMPUTER SET WITH COMPLETE ACCESSORIES</t>
  </si>
  <si>
    <t>REPAIR AND MAINTENANCE OF BUILDINGS &amp; OTHER STRUCTURES</t>
  </si>
  <si>
    <t>Purchase and Installation of Airconditioning Units</t>
  </si>
  <si>
    <t>Supply and Delivery of 1,000 Pcs Compendium Folder</t>
  </si>
  <si>
    <t>RFQ</t>
  </si>
  <si>
    <t>PURCHASE OF SELF CONTAINED BREATHING APPARATUS (SCBA) TANK W/ BUDDY BREATHER</t>
  </si>
  <si>
    <t>Supply &amp; Delivery of 30 cyl. Liquid Chlorine Gas 68kgs/cyl. (w/ Technical Specs &amp; requirements)</t>
  </si>
  <si>
    <t>PROCUREMENT OF THERMAL SCANNER, ETC.</t>
  </si>
  <si>
    <t>Representation Expenses, 547 ECB</t>
  </si>
  <si>
    <t>PROCUREMENT OF AIR CONDITIONER</t>
  </si>
  <si>
    <t>Procurement of Hardware &amp; Electrical Supplies for BAGONG SIKAT</t>
  </si>
  <si>
    <t>Contract ID No. 20CSK00003 - Real Property Appraisal Services for Properties Affected by the projects:  	1. 18K00253-Cagayan de Oro Diversion Road, (Jct. Balubal Sayre Highway-Pueblo de Oro, CDO-Old A</t>
  </si>
  <si>
    <t>Spareparts for the Repair of Dumptruck GNN-774 @ Motorpool San Roque, Talibon, Bohol</t>
  </si>
  <si>
    <t>Procurement of Medical Supplies</t>
  </si>
  <si>
    <t>HO-CRT20-003 - Supply and Delivery of Automatic Dater</t>
  </si>
  <si>
    <t>Supply and delivery of various office supplies to be used at Accounting Section with an ABC of P84, 852.00; PR No. 56-07-06-2020</t>
  </si>
  <si>
    <t>SUPPLY AND DELIVERY OF VARIOUS ADMINISTRATIVE FACILITIES FOR NFA ZAMBOANGA SIBUGAY</t>
  </si>
  <si>
    <t>Repair/Maintenance of Municipal Vehicle ( L-300 w/ Conduction Sticker # B1R698 ) @ Samal, Bataan</t>
  </si>
  <si>
    <t>Consultant - Creative Services for the Dev. Of the SHFC 2019 AR</t>
  </si>
  <si>
    <t>Airconditioning unit for En banc</t>
  </si>
  <si>
    <t>Maintenance of Komatsu Backhoe</t>
  </si>
  <si>
    <t>Repair of Comfort Rooms</t>
  </si>
  <si>
    <t>PURCHASE OF FERTILIZERS</t>
  </si>
  <si>
    <t>Food for PUM/Under Monitoring/Investigation/Frontliners</t>
  </si>
  <si>
    <t>Purchase and Delivery for the Construction of Multipurpose Drying Pavement</t>
  </si>
  <si>
    <t>Contract ID No. 20CSK00004 - Real Property Appraisal Services for Properties Affected by the projects:  	1. 19K00073-Construction of Missing Link/ New Road, Tagoloan-Misamis Oriental Boundary Road, Pa</t>
  </si>
  <si>
    <t>KALIBO BRANCH - Safety Barriers (Tellers Station)</t>
  </si>
  <si>
    <t>REHABILITATION OF DRAINAGE AND CONSTRUCTION OF PATHWALK AT KITANG ELEMENTARY SCHOOL</t>
  </si>
  <si>
    <t>Purchase of Vegetable Seeds, Fertilizers and Herbicide</t>
  </si>
  <si>
    <t>ITB-2020-08-058 PROCUREMENT OF PERISHABLE ITEMS FOR BANGUN IMPLEMENTATION IN TAWI-TAWI PROVINCE</t>
  </si>
  <si>
    <t>Supply and Delivery of Spare Parts (1unit Differential Assy 6holes - surplus &amp; 1unit Differential Assy 8holes - surplus) for NIA-Bukidnon Dumptruck NII3-04 &amp; Stake Truck I2-445</t>
  </si>
  <si>
    <t>Repair of CSDT Canopy and DXBU Bulletin Board</t>
  </si>
  <si>
    <t>Purchase of 3,000 pcs of KN95</t>
  </si>
  <si>
    <t>Purchase of 3 units Motorbike</t>
  </si>
  <si>
    <t>Construction of Fence in the New Brgy. Health Station</t>
  </si>
  <si>
    <t>Procurement of School Educational Materials and supplies</t>
  </si>
  <si>
    <t>Procurement of Supplies for the implementation of Tertiary Education Subsidy (TES)</t>
  </si>
  <si>
    <t>SMART PHONE</t>
  </si>
  <si>
    <t>Purchase of Plastic Envelopes, Notebooks, Ballpens, and Pad Papers</t>
  </si>
  <si>
    <t>Supply and Delivery of Spine board</t>
  </si>
  <si>
    <t>Request for Quotation for Supply and Delivery of Five (5) Units Pressure  Transducer 4-20 MA, 4-30 VDC, ¼ NPT for ABB Variable Frequency Drive</t>
  </si>
  <si>
    <t>Procurement of Printed Forms, MHO</t>
  </si>
  <si>
    <t>RFQ Additional Airconditioning for the Laboratory Office</t>
  </si>
  <si>
    <t>Request for Quotation for ICT Equipment</t>
  </si>
  <si>
    <t>IMPROVEMENT OF WATER WORKS SYSTEM_BGY. JANAY-JANAY</t>
  </si>
  <si>
    <t>Supply and Delivery of Various Construction Materials (Manpower Center)</t>
  </si>
  <si>
    <t>20PK0073 - Installation of Road Safety Devices along Kalinga - Abra Road K064+(-136) - K0488+000 (I.S.), Pasil and Balbalan, Kalinga</t>
  </si>
  <si>
    <t>Contract ID No. 20CSK00005 - Real Property Appraisal Services for Properties Affected by the projects:  	1. 18K00250-Cluster "50" Construction of By-passes Valencia City-Pangantucan By-pass Road, incl</t>
  </si>
  <si>
    <t>Supply &amp; Delivery of 30 L PVC Pipe 2 C-150 Blue Fixed Seal and Other Fittings (w/ requirements)</t>
  </si>
  <si>
    <t>CONST. MAT.  FOR CONST. OF WATERWORKS SYSTEM FOR PHIL. ARMY @ NORTH POBLACION</t>
  </si>
  <si>
    <t>Purchase of various laboratory equipment</t>
  </si>
  <si>
    <t>PROCUREMENT OF TROPHIES, ETC.</t>
  </si>
  <si>
    <t>For Municipal Vehicle (Municipal Ambulance Foton)</t>
  </si>
  <si>
    <t>PROCUREMENT OF EMERGENCY LIGHTS AEL-390, ETC.</t>
  </si>
  <si>
    <t>Construction of covered walk from the main building to the ISS office and to the 2-storey ATIng Tahanan Building</t>
  </si>
  <si>
    <t>Concreting of Barangay Roads at San Pedro, Roxas, Isabela</t>
  </si>
  <si>
    <t>Proposed Medical Clinic Interior @ Health Services Building</t>
  </si>
  <si>
    <t>Reproduction of Modules for Grades 4, 5 &amp; 6</t>
  </si>
  <si>
    <t>Installation of network outlet</t>
  </si>
  <si>
    <t>PURCHASE OF MDRRM VEHICLE</t>
  </si>
  <si>
    <t>PROCUREMENT OF FOLDING TABLE, ETC. (BALAY SILANGAN REFORMATION CENTER)</t>
  </si>
  <si>
    <t>PURCHASE OF VARIOUS FURNITURE AND FIXTURES FOR THE NEW OFFICE OF BIDS AND AWARDS COMMITTEE (BAC)</t>
  </si>
  <si>
    <t>Security Surveillance and Detection Equipment</t>
  </si>
  <si>
    <t>PROVISION OF HYGIENE KIT FOR COMPRE BENEFICIRIES (FAMILIES and STREET CHILDREN) FOR LGU Legazpi City for CY 2020</t>
  </si>
  <si>
    <t>REPOSTING OF PROCUREMENT OF EXTERNAL HARD DRIVES</t>
  </si>
  <si>
    <t>Purchase of 4 wheels car</t>
  </si>
  <si>
    <t>SUPPLY AND DELIVERY OF FACE SHIELD AND HOUSEHOLD KIT TO BE USE IN BARANGAY VISITATION</t>
  </si>
  <si>
    <t>PURCHASE OF 1 UNIT MOTORCYCLE</t>
  </si>
  <si>
    <t>Annual Physical Examination of PolWD Employees</t>
  </si>
  <si>
    <t>Reproduction and delivery of learning modules</t>
  </si>
  <si>
    <t>CATHETER FOR QUOTATION</t>
  </si>
  <si>
    <t>fabricate of steel materials recovery facilities</t>
  </si>
  <si>
    <t>Office School Expense</t>
  </si>
  <si>
    <t>20-07-1040 SFP PROGRAM REVIEW AND EVALUATION WORKSHOP CY 2020</t>
  </si>
  <si>
    <t>GARDENING TOOLS PR 0266</t>
  </si>
  <si>
    <t>ELECTRICAL TRANSFORMER</t>
  </si>
  <si>
    <t>Construction of Public Toilet</t>
  </si>
  <si>
    <t>Supply and Delivery of Water Pump with Accessories - Php 1,131,486.16</t>
  </si>
  <si>
    <t>ILOILO BRANCH - Safety Barriers</t>
  </si>
  <si>
    <t>PROCUREMENT OF ICT EQUIPMENT FOR LOCAL SCHOOL BOARD</t>
  </si>
  <si>
    <t>1 unit 25 KVA Electronic Transformer for Street Lighting Project @ Purok 3 Sto. Niño, Talibon, Bohol</t>
  </si>
  <si>
    <t>P.R NO. 2020-07-152</t>
  </si>
  <si>
    <t>Purchase of Vitamins</t>
  </si>
  <si>
    <t>IMPROVEMENT OF MUNICIPAL ROAD IN BRGY. HITUDPAN TO BRGY. BALIW</t>
  </si>
  <si>
    <t>Contract ID No. 20CSK00007 - Real Property Appraisal Services for Properties Affected by the projects:  	1. 20K00184-Construction of By-pass and Diversion Roads, Sayre Highway Parallel Road II (Valenc</t>
  </si>
  <si>
    <t>CONSTRUCTION OF TRANSPORT TERMINAL (COMPLETION) - MCH TERMINAL &amp; DRAINAGE SYSTEM</t>
  </si>
  <si>
    <t>20GG0058-G - Procurement of laboratory testing equipment and apparatus for use of Quality Assurance Section DPWH Iloilo 2nd DEO, Balabag, Dumangas, Iloilo</t>
  </si>
  <si>
    <t>PURCHASE OF MATERIALS FOR ADDITIONAL DISTRIBUTION PIPES FOR STACA, COMPOSTELA AND LEGASPI</t>
  </si>
  <si>
    <t>FENTANYL CITRATE FOR QUOTATION</t>
  </si>
  <si>
    <t>Purchase of 1 unit Pick -up Truck for LGU-Mangaldan</t>
  </si>
  <si>
    <t>ADDITIONAL FOR THE CONSTRUCTION OF CONCRETE PEDESTAL FOR SOLAR LAMP AT VARIOUS ELEMENTARY SCHOOL</t>
  </si>
  <si>
    <t>Procurement of Laboratory Equipment and Supplies for the Project "Multiplication of Garlic Clean Planting Materials Through Tissue-Culture and Bulbil Approaches</t>
  </si>
  <si>
    <t>REHABILITATION/IMPROVEMENT OF LOCAL ACCESS ROAD WITH DRAINAGE IMPROVEMENT</t>
  </si>
  <si>
    <t>CATERING SERVICES SSBN 130,000.00</t>
  </si>
  <si>
    <t>Purchase of Electrical Supply for Municipal Streetlights</t>
  </si>
  <si>
    <t xml:space="preserve">Contract ID No. 20CSK00009 - Real Property Appraisal Services for Properties Affected by the projects:  	1. 18K00237-Cluster "36" Construction of By-pass and Diversion Roads in Bukidnon Sayre Highway </t>
  </si>
  <si>
    <t>SMART TV 40" WITH WALL BRACKET</t>
  </si>
  <si>
    <t>2020 Installation of Glass</t>
  </si>
  <si>
    <t>1 unit Water Dispenser (Hot and Cold) for patients and health staff at Talibon Municipal Birthing Center</t>
  </si>
  <si>
    <t>for the procurement of Dental Supplies for Dental Services</t>
  </si>
  <si>
    <t>Concreting Of Barangay Roads at Barangay Dalaupon, Tayasan, Neg. Or.</t>
  </si>
  <si>
    <t>Purchase of Diesel</t>
  </si>
  <si>
    <t>20 pcs. 36"dia RCCP</t>
  </si>
  <si>
    <t>FOOD COMMODITIES FOR THE DISTRIBUTION TO THE DIFFERENT MILITARY/CAFGU DETACHMENT IN CANLAON CITY, WHILE CONDUCTION DIFFERENT ACTIVITIES IN LINE WITH ANTI-INSURGENCY PROGRAM IN CONNECTION WITH MAINT. O</t>
  </si>
  <si>
    <t>Customer Care Center Furnitures</t>
  </si>
  <si>
    <t>Rehabilitation of Water System at EcoPark @ Samal, Bataan</t>
  </si>
  <si>
    <t>Purchase of Field Supplies to be used in CHED-IDIG Project</t>
  </si>
  <si>
    <t>Procurement of Grocery Items</t>
  </si>
  <si>
    <t>CONST. MAT.  FOR CONST. OF DEEP WELLS @ BRGY. NAPASUA-AN, BULIBULIHAN,BANABAN,MANLINGAY &amp; AREBASORE</t>
  </si>
  <si>
    <t>4 pails – Aircon Cleaner</t>
  </si>
  <si>
    <t>Contract ID No. 20CSK00011 - Real Property Appraisal Services for Properties Affected by the projects:  	1. 17K00230-Construction of Valencia City-Pangantucan Diversion Road, incl. ROW, Package 2, Buk</t>
  </si>
  <si>
    <t>PR No. 2020-07-181 (Annual Preventive Maintenance and Tune up of Generator Set)</t>
  </si>
  <si>
    <t>Contract ID No. 20CSK00008 - Real Property Appraisal Services for Properties Affected by the projects:  	1. 17K00175-Construction of By Passes/Diversion Road, Including ROW CDO Diversion Road Jct. Bal</t>
  </si>
  <si>
    <t>045 Procurement of Padlocks Repost</t>
  </si>
  <si>
    <t>Supply &amp; Delivery of other supplies 01D HES H02-2020</t>
  </si>
  <si>
    <t>Construction/Rehabilitation of Street Lights</t>
  </si>
  <si>
    <t>20-07-1033 ADVOCACY MATERIALS FOR SFP</t>
  </si>
  <si>
    <t>Contract ID No. 20CSK00010 - Real Property Appraisal Services for Properties Affected by the projects:  	1. 17K00366-Construction of Valencia City-Pangantucan Diversion Road, incl. ROW, Package 3, Buk</t>
  </si>
  <si>
    <t>1 unit – Leak Repair of Split Type 3TR LG Floor-Mounted Aircon Unit at Civil Works Office</t>
  </si>
  <si>
    <t>PROCUREMENT OF FIFTEEN (15) UNIT RISOGRAPH MACHINE WITH ONE HUNDRED (100) UNIT MASTER ROLL</t>
  </si>
  <si>
    <t>Supplies and Materials for the construction of Car Port/Garage/Multi-Purpose Hall/Shed</t>
  </si>
  <si>
    <t>PR NO. 20-07-288 (2020-08-261) PROCUREMENT OF MEALS/LUNCH FOR BOARD MEETINGS</t>
  </si>
  <si>
    <t>Supply and Delivery of Materials for the Installation of Movable Goal</t>
  </si>
  <si>
    <t>PURCHASE AND INTALLATION OF CCTV</t>
  </si>
  <si>
    <t>Materials for the Renovation of Multi-Purpose Center @ Purok 3 Poblacion, Talibon, Bohol</t>
  </si>
  <si>
    <t>Supply &amp; Delivery of Electrical Materials 01D(GASS) H03-2020</t>
  </si>
  <si>
    <t>Provision of labor and materials for the repair and maintenance of airconditioning units at DA-INREC Batac Station</t>
  </si>
  <si>
    <t>Supply/Delivery of Drugs and Medicines</t>
  </si>
  <si>
    <t>SUPPLY, DELIVERY AND INSTALLATION OF THREE (3) UNITS 50KVA TRANSFORMER AND ACCESSORIES OF MUNICIPAL HALL BUILDING</t>
  </si>
  <si>
    <t>Purchase of one (1) unit Motorcycle for use as waste collection at Brgy. Cabaliatian, Asingan, Pangasinan.</t>
  </si>
  <si>
    <t>Rehabilitation/Construction of Street Lights</t>
  </si>
  <si>
    <t>LABOR AND MATERIALS FOR THE CONSTRUCTION OF CONCRETE RESERVOIR</t>
  </si>
  <si>
    <t>Purchase of Various Kitchen Equipment for Kitchen Lounge at the Biliran Bridge</t>
  </si>
  <si>
    <t>Supply and Delivery of Materials for the Rehabilitation of Farm to Market Roads @ Brgy. Pindasan JCT Anding-Pindasan Road, Pindasan, Mabini, Davao De Oro</t>
  </si>
  <si>
    <t>P.R. No. 20-164-034 "Office Equipment for the College of Information  Communication and Trade Technology "</t>
  </si>
  <si>
    <t>Purchase of Materials for the Proposed Bicycle Lane/Parking (MEO)</t>
  </si>
  <si>
    <t>SUPPLY AND DELIVERY OF OFFICE EQUIPMENT AND COMPUTER WITH COMPLETE ACCESSORIES 1ST AND 2ND QUARTER</t>
  </si>
  <si>
    <t>purchase of drugs &amp; medicines</t>
  </si>
  <si>
    <t>Purchase of Window Type Aircon</t>
  </si>
  <si>
    <t>Purchase of Waterproof Professional Two-Way Radio</t>
  </si>
  <si>
    <t>200 loads Mountain Mixed</t>
  </si>
  <si>
    <t>Procurement of Vehicle Spare Parts and Accessories</t>
  </si>
  <si>
    <t>CATERING SERVICES 50IB 85,000.00</t>
  </si>
  <si>
    <t>Renovation of Customer Care Center in Bureau of Customs Port of Batangas</t>
  </si>
  <si>
    <t>FOR SUPPLY AND RELOCATE CCTV SERVER</t>
  </si>
  <si>
    <t>Purchase of Materials for Meals on Wheels</t>
  </si>
  <si>
    <t>Purchase of CCTV and accessories with Installation and Fabrication</t>
  </si>
  <si>
    <t>PURCHASE OF VAULT</t>
  </si>
  <si>
    <t>EXPANSION OF TB DOTS CENTER</t>
  </si>
  <si>
    <t>PROCUREMENT OF SUPPLIES TO BE USED IN MODULAR LEARNING</t>
  </si>
  <si>
    <t>Purchase of Petroleum/Oil/Lubricants</t>
  </si>
  <si>
    <t>Purchase of Office Supplies - MO</t>
  </si>
  <si>
    <t>Purchase of Flat Latex Paint White and Gloves to be used in the maintenance activities (repainting of parapets and wheel guards) of DPWH-Laguna I District Engineering Office, Sta. Cruz, Laguna</t>
  </si>
  <si>
    <t>RIS# 20-13-252</t>
  </si>
  <si>
    <t>Sealed Quotation - One (1) Lot Supply, Delivery and Installation of Glass Tint of Pag-IBIG Fund Calapan Branch</t>
  </si>
  <si>
    <t>Furnishing Medicine for Indigent Patients and TB Dots in this Municipality of Santa Cruz Laguna</t>
  </si>
  <si>
    <t>PROCUREMENT OF DOUBLE DECK, ETC. (BALAY SILANGAN REFORMATION CENTER)</t>
  </si>
  <si>
    <t>Office.Supply</t>
  </si>
  <si>
    <t>147.2020 PAMBCS</t>
  </si>
  <si>
    <t>Contract ID No. 20CSK00006 - Real Property Appraisal Services for Properties Affected by the projects:  	1. 20K00226-Construction of By-Pass and Diversion Roads, Sayre Highway Parallel Road II (Valenc</t>
  </si>
  <si>
    <t>Materials for Provision of Water Connection of Municipal Evacuation Center</t>
  </si>
  <si>
    <t>Supply and Delivery of Meals</t>
  </si>
  <si>
    <t>Procurement, Supply and Delivery of Clean Potable Water with an initial Volume of Two Thousand (2,000) Cubic Meters Per Day for the Municipality of Carles, Iloilo</t>
  </si>
  <si>
    <t>Procurement of Kitchenwares</t>
  </si>
  <si>
    <t>INVITATION FOR NEGOTIATED PROCUREMENT FOR THE SUPPLY AND DELIVERY OF 16 AIR-CONDITIONING UNITS FOR CY 2020</t>
  </si>
  <si>
    <t>Supply and Delivery of Various Sorghum Hybrid Seeds</t>
  </si>
  <si>
    <t>One (1) Lot – One (1) year Supply at Sewage Treatment Plant Parameter to be analyzed as per DENR Administrative Order (DAO) 2016-08 (Water Quality Guidelines and General Effluent Standards) under tabl</t>
  </si>
  <si>
    <t>Purchase of Materials for the Fabrication of Hanging Cabinets (PNP)</t>
  </si>
  <si>
    <t>Construction of Concrete Pathway</t>
  </si>
  <si>
    <t>RFQ MATERIALS FOR SMAW/TIG FABRICATION</t>
  </si>
  <si>
    <t>Supplies for Module Printing for SY 2020-2021 (Phase 1)</t>
  </si>
  <si>
    <t>for the Sustainment of Office - NIFC.</t>
  </si>
  <si>
    <t>Contract ID No. 20CSK00012 - Real Property Appraisal Services for Properties Affected by the projects:  	1. 20K00184-Construction of By-pass and Diversion Roads, Sayre Highway Parallel Road II (Valenc</t>
  </si>
  <si>
    <t>Concreting of Brgy Bamban Multi-Purpose Pavement</t>
  </si>
  <si>
    <t>1 unit Branded All-in-One Printer....etc</t>
  </si>
  <si>
    <t>Printing Services – Tarpaulin/ Newsletter/Annual Report/etc.</t>
  </si>
  <si>
    <t>Renovation of Lobby</t>
  </si>
  <si>
    <t>Electrification of Different Barangays, Municipality of Sto. Domingo, Nueva Ecija</t>
  </si>
  <si>
    <t>PURCHASE OF VARIOUS MEDICAL SUPPLIES FOR USE OF CITY HEALTH OFFICE - LABORATORY, CAVITE CITY</t>
  </si>
  <si>
    <t>50 sacks Iron Fortified Rice</t>
  </si>
  <si>
    <t>PURCHASE 2"X 3" X 10'S4S GOOD LUMBER,1/4"THK.FICEM BOARD,HARDIFLEX,4"C.W.NAILS,3"C.W.NAILS</t>
  </si>
  <si>
    <t>Vehicle Parts and Accessories</t>
  </si>
  <si>
    <t>Purchase of Office Supplies - SB</t>
  </si>
  <si>
    <t>Supply and Delivery of Materials for the Continuation/Rehabilitation of Stockroom</t>
  </si>
  <si>
    <t>Books for the Library Holdings</t>
  </si>
  <si>
    <t>PRINTER INK PR 0278</t>
  </si>
  <si>
    <t>PURCHASE OF VARIOUS EQUIPMENT IN SUPPORT TO BDRRMC</t>
  </si>
  <si>
    <t>PURCHASE OF SUPPLIES FOR THE CARABAO MULTIPLIER FARM</t>
  </si>
  <si>
    <t>CONSTRUCTION OF DRAINAGE/CANAL BRGY KARUNUNGAN JIABONG, SAMAR</t>
  </si>
  <si>
    <t>SUPPLY &amp; DELIVERY OF WATER FITTINGS &amp; PIPINGS</t>
  </si>
  <si>
    <t>SUPPLY &amp; DELIVERY ONE JOB ORDER - CATERING SERVICES AM SNACKS ONLY, 285 PERSONS ETC... FOR VOLUNTARY BLOOD DONATION ON AUGUST 19, 2020.</t>
  </si>
  <si>
    <t>Purchase of one (1) unit Motorcycle for use as waste collection at Brgy. Poblacion West, Asingan, Pangasinan.</t>
  </si>
  <si>
    <t>Concreting of Barangay Road at Imbiao, Roxas, Isabela</t>
  </si>
  <si>
    <t>Purchase of various janitorial supplies  to be used in DPWH-Laguna I Distict Engineering Office, Sta. Cruz, Laguna</t>
  </si>
  <si>
    <t>PRINTING OF MODULES OF ALL SUBJECT AREAS FROM GRADE 7 TO GRADE 10</t>
  </si>
  <si>
    <t>PURCHASE OF VARIOUS I.T. EQUIPMENT AND SUPPLIES FOR USE OF THE CITY HEALTH OFFICE, - SOCIAL HYGIENE CLINIC, CAVITE CITY</t>
  </si>
  <si>
    <t>CONSTRUCTIONF LOCAL ACCESS ROAD AT BRGY LAM-AWAN TO POLANGI, VILLAREAL, SAMAR</t>
  </si>
  <si>
    <t>CNH-0620-063</t>
  </si>
  <si>
    <t>20GIL0051(SUPPLY/DELIVERY OF SPAREPARTS FOR XEROX MACHINE,DPWH-SLDEO, MAASIN CITY, SOUTHERN LEYTE)</t>
  </si>
  <si>
    <t>1 set TENSILE JIG</t>
  </si>
  <si>
    <t>Supply &amp; Delivery of Material for Radio Based-Instruction Lesson</t>
  </si>
  <si>
    <t>355 Tires, 235/75r 17.5 Tubeless &amp; 16 L/I</t>
  </si>
  <si>
    <t>Relocation and Maintenance of Various Air-conditioning Units</t>
  </si>
  <si>
    <t>CONCRETING OF FARM TO MARKET ROAD</t>
  </si>
  <si>
    <t>Supply and Installation of Overhead  Sprinkler System at Brgy. Sta. Cruz, COAFC</t>
  </si>
  <si>
    <t>Purchase of Office Supplies - MNAO</t>
  </si>
  <si>
    <t>Procurement and Delivery of School Supplies for the First Quarter of School Year 2020 for Sayawan Elementary School</t>
  </si>
  <si>
    <t>INKS</t>
  </si>
  <si>
    <t>GARBAGE TRUCK FOR MASLOG,DANAO CITY</t>
  </si>
  <si>
    <t>4Ps : 17 BOX BALL PEN--885 PCS. WASHABLE FACE MASK; FOR THE OFFICE SUPPLIES FOR 2020 PANTAWID OFFICE IPIL, ZAMBOANGA SIBUGAY</t>
  </si>
  <si>
    <t>CONSTRUCTION OF MULTI-PURPOSE BUILDING LOCATED AT SAN VICENTE NORTE, AGOO, LA UNION</t>
  </si>
  <si>
    <t>PURCHASE OF ADVOCACY MATERIALS OF LISTAHANAN III RE: LACE-LANYARD &amp; REUSABLE MASK &amp; PRINTING AND PUBLICATION (VALIDATION FLYER BROCHURE)</t>
  </si>
  <si>
    <t>Supply and Delivery of Tires for the Maintenance of Dump Trucks (White &amp; Green)</t>
  </si>
  <si>
    <t>Procurement of General Merchandise</t>
  </si>
  <si>
    <t>Provision of material, labor &amp;equipment for the installation of modular cabinets for the office of the Regional executive Director</t>
  </si>
  <si>
    <t>Improvement of Health Center Building</t>
  </si>
  <si>
    <t>Supply and Delivery of Various Materials</t>
  </si>
  <si>
    <t>Purchase of Medical Supplies/Materials and Equipment</t>
  </si>
  <si>
    <t>Parts and Labor Services (Repair of Service Vehicle)</t>
  </si>
  <si>
    <t>PURCHASE OF SECURITY EQUIPMENT - CCTV</t>
  </si>
  <si>
    <t>355 Liquid Hand Soap,500ml per bottle &amp; 13 L/I</t>
  </si>
  <si>
    <t>20GAC0033 - Purchase of Tubeless Tires for Use at DPWH, Ilocos Sur 1st DEO</t>
  </si>
  <si>
    <t>OFFICE FURNITURES, Cagayan De Oro city</t>
  </si>
  <si>
    <t>Supply of 20 pieces Spider Guide 10" dia.</t>
  </si>
  <si>
    <t>Construction of COVID-19 Isolation Facility</t>
  </si>
  <si>
    <t>Procurement of Farm Machineries/Equipments, Farm Inputs and Poultry for the CRFPS Project</t>
  </si>
  <si>
    <t>Procurement of Hardware/Construction Materials</t>
  </si>
  <si>
    <t>Purchase of Meals and Snacks for Programs and Activities of the Municipality of Calasiao</t>
  </si>
  <si>
    <t>SUPPLY AND DELIVERY OF 4 UNITS RISO DIGITAL DUPLICATOR CV1200 (100CPM)</t>
  </si>
  <si>
    <t>Supply &amp; Delivery of Agricultural Supplies for the Mushroom Production Project 07D(DA-BAR Mushroom) H05-2020</t>
  </si>
  <si>
    <t>Supply Labor and Materials for the Fabrication of 30,000 pieces Meter Seal</t>
  </si>
  <si>
    <t>Printing of Module First Quarter</t>
  </si>
  <si>
    <t>PROCUREMENT OF SUPPLIES FOR INTERNET CONNECTION</t>
  </si>
  <si>
    <t>Supply and Delivery of Office Supplies to Sustain IP-TBM Project 4A</t>
  </si>
  <si>
    <t>Construction and Installation of Solar Powered Street Lights</t>
  </si>
  <si>
    <t>Construction of Evacuation Center, Daguit High School, Brgy. Daguit, Labo, Camarines Norte</t>
  </si>
  <si>
    <t>FOOD COMMODITIES FOR USE AS ASSISTANCE FOR JUSTICE AND PEACE INITIATIVES</t>
  </si>
  <si>
    <t>REHABILITATION/REPAIR OF WATER SYSTEM PIPELINE</t>
  </si>
  <si>
    <t>Procurement of Information Technology</t>
  </si>
  <si>
    <t>75 sacks Rice (F1)</t>
  </si>
  <si>
    <t>Janitorials Supplies</t>
  </si>
  <si>
    <t>Supply and Installation of Patch Fitting Door and Counter Top Cover</t>
  </si>
  <si>
    <t>Purchase of Communication Device</t>
  </si>
  <si>
    <t>SUPPLY AND DELIVERY OF AIRBORNE PARTICLE COUNTER WITH BUILT-IN BAROMETER AND RH METER</t>
  </si>
  <si>
    <t>Supply and Delivery of Office Equipment for Roxas Memorial Provincial Hospital</t>
  </si>
  <si>
    <t>355 Tire 16.9x28 12 PR with Inner Tube &amp; 5 L/I</t>
  </si>
  <si>
    <t>Construction of nunungan welcome landmark</t>
  </si>
  <si>
    <t>PURCHASE OF CONSTRUCTION MATERIALS FOR THE IMPROVEMENT OF MPB</t>
  </si>
  <si>
    <t>PR NO. 2020-08-020 PROCUREMENT OF 1 UNIT RISOGRAPH OF LGU-MAPANAS, NORTHERN SAMAR</t>
  </si>
  <si>
    <t>Reposting: Various IT tools, equipment and parts</t>
  </si>
  <si>
    <t>IMPROVEMENT OF SCHOOL STAGE @ ALALUM NATIONAL HIGH SCHOOL, SAN PASCUAL, BATANGAS</t>
  </si>
  <si>
    <t>Supply and Delivery of Office Chair</t>
  </si>
  <si>
    <t>Purchase of Fuel (August 2020) for Vehicles &amp; Equipment of Municipal Government of Ibaan, Batangas</t>
  </si>
  <si>
    <t>FABRICATION AND INSTALLATION OF SIGNAGES</t>
  </si>
  <si>
    <t>RFQ 16804</t>
  </si>
  <si>
    <t>ZOOM MEETING SUBSCRIPTION</t>
  </si>
  <si>
    <t>INVITATION TO BID TO SUPPLY LABOR, MATERIAL &amp; EQUIPMENT FOR THE CONSTRUCTION OF LEVEL III WATER SYSTEM IN BARANGAY SANTIAGO, SAN FRANCISCO, CEBU.</t>
  </si>
  <si>
    <t>Rehabilitationof Evacuation Center, Barangay VII, Mercedes, Camarines Norte</t>
  </si>
  <si>
    <t>ROAD CONCRETING AT LANZONES STREET, PUROK 8, PHASE 2, BARANGAY STO. NIÑO, TUGBOK DISTRICT, DAVAO CITY</t>
  </si>
  <si>
    <t>Purchase of Wi-Fi</t>
  </si>
  <si>
    <t>Rehabilitation of Water Supply System Incorporating  CC &amp; CV</t>
  </si>
  <si>
    <t>355 Engine Assy, Brushcutter MS DT40 &amp; 6 L/I</t>
  </si>
  <si>
    <t>HO-OMR20-004 - Supply and Delivery of Vehicle Tires and Batteries</t>
  </si>
  <si>
    <t>Construction of Evacuation Center, Brgy. Catioan, Capalonga, Camarines Norte</t>
  </si>
  <si>
    <t>PROCUREMENT OF 1 UNIT PUMPBOAT</t>
  </si>
  <si>
    <t>Upgrading of Sitio Seahorse-Pula Road</t>
  </si>
  <si>
    <t>Concreting of Barangay Roads @ Munoz West, Roxas, Isabela</t>
  </si>
  <si>
    <t>Purchase of 2 UNITS OF RISOGRAPH</t>
  </si>
  <si>
    <t>Procurement of 3in1 Printer for (Cashier's Office)</t>
  </si>
  <si>
    <t>COMPLETION OF 4 UNITS DAY CARE CENTER AT CENTRO BANCALAAN, BGY. POBLACION 5, PANAAN CATAGUPAN AND MATANGULE BGY. BANCALAAN, BALABAC, PALAWAN</t>
  </si>
  <si>
    <t>CONCRETING OF BRGY. ROAD</t>
  </si>
  <si>
    <t>Supply and Delivery of Flow Probe, Water Velocity Meter</t>
  </si>
  <si>
    <t>Procurement of Appliances for the Use of SB Members</t>
  </si>
  <si>
    <t>Supply Labor for the Certification and Recertification of Laboratory Equipments</t>
  </si>
  <si>
    <t>RE-BIDDING- Procurement of IT Equipment -MEO,Lopez Jaena</t>
  </si>
  <si>
    <t>Construction of Slope Protection and Line Canal @ Diversion Road, Bolod &amp; Terraplin</t>
  </si>
  <si>
    <t>SUPPLY &amp; DELIVERY OF I.T. TELECOMMUNICATIONS</t>
  </si>
  <si>
    <t>355 Scanner Assy for Printer Pixma G2010 Model &amp; 18 L/I</t>
  </si>
  <si>
    <t>Procurement of  construction of one (1)  classroom building at barangay  Bulahan</t>
  </si>
  <si>
    <t>TENT</t>
  </si>
  <si>
    <t>Supply Equipment Rental of 0.50 cu.m. Backhoe (operated) Crawler Type including Mobilization and Demobilization</t>
  </si>
  <si>
    <t>PURCHASE OF VARIOUS IT EQUIPMENT &amp; SUPPLIES</t>
  </si>
  <si>
    <t>Purchase of One (1) Unit Service Vehicle for the Use of Brgy. Buluangan I</t>
  </si>
  <si>
    <t>PROCUREMENT OF BUNTIS KIT</t>
  </si>
  <si>
    <t>1 Lot – Supply, Delivery and Installation of Home Furnitures</t>
  </si>
  <si>
    <t>Supply and Delivery of IQ Plus Shrimp Haemocyte Iridescent Virus</t>
  </si>
  <si>
    <t>Purchase of FUEL for the Maintenance of City Roads @ Talicud Island, Kaputian District, IGACOS under PR# 2020-04-2222.</t>
  </si>
  <si>
    <t>Supply and Delivery of Office Equipment for Provincial Governor's Office</t>
  </si>
  <si>
    <t>SEPTIC TANK CLEANING SERVICES</t>
  </si>
  <si>
    <t>procurement of materials for printing of learning modules</t>
  </si>
  <si>
    <t>RAIN GEAR 2020</t>
  </si>
  <si>
    <t>Procurement of submersible pump</t>
  </si>
  <si>
    <t>PROCUREMENT OF ONE UNIT (1) OF SEA AMBULANCE AND TWO UNITS (2) PATROL BOAT</t>
  </si>
  <si>
    <t>OFFICE FURNITURE'S</t>
  </si>
  <si>
    <t>REQUEST FOR QUOTATION on MATERIALS FOR THE PRODUCTION OF LEARNING RESOURCE</t>
  </si>
  <si>
    <t>Supply and Delivery of Hardware Materials for the Repair Building Works, Electrical Works and Plumbing Works to be used as Maintenance Purposes</t>
  </si>
  <si>
    <t>Supply &amp; Delivery of cloth &amp; curtains 01D HES H04-2020</t>
  </si>
  <si>
    <t>Invitation to Bid for the Expansion &amp; Improvement of Municipal Building Phase 2</t>
  </si>
  <si>
    <t>Procurement of pre-disaster supplies</t>
  </si>
  <si>
    <t>Purchase Office Supplies for Dry Run/Simulation of Self Learning Modules on August 10-14, 2020</t>
  </si>
  <si>
    <t>Improvement of Water Supply (Purok 1 &amp; 2)</t>
  </si>
  <si>
    <t>Supply and Delivery of Furniture and Fixtures for Rural Health Unit</t>
  </si>
  <si>
    <t>ANTIQUE BRANCH Materials and Labor for installation of horizontal signage for DBP Antique</t>
  </si>
  <si>
    <t>Procurement of Garments</t>
  </si>
  <si>
    <t>Supply and Delivery of Office Equipment for PGO/Capiz Rehabilitation Center</t>
  </si>
  <si>
    <t>INVITATION FOR NEGOTIATED PROCUREMENT of  IEC Training Materials for the Reproductive Health Program (Small Value Procurement)</t>
  </si>
  <si>
    <t>HO-OMR20-006 - Supply and Delivery of  Various Vehicle Parts</t>
  </si>
  <si>
    <t>Purchase of Rack/Shelves</t>
  </si>
  <si>
    <t>PURCHASE OF CONSTRUCTION MATERIALS FOR THE REHABILITATION OF BARANGAY ROADS</t>
  </si>
  <si>
    <t>flu vaccine</t>
  </si>
  <si>
    <t>TEMPORARY LEARNING SPACE</t>
  </si>
  <si>
    <t>DRMD : 50 BOX ALCOHOL--50 ROLLS TISSUE, 2 PLY FOR THE USE OF DISASTER MANAGEMENT DIVISION STAFF</t>
  </si>
  <si>
    <t>Supply and Delivery of Palintest Free Chlorine, DPD1 Tablets</t>
  </si>
  <si>
    <t>PROCUREMENT MATERIAL FOR THE MODULES</t>
  </si>
  <si>
    <t>Supply Labor for the Calibration of Laboratory Equipment. Issues Certification of Calibration in accordance with ISO/IEC 17025 and with PAB Logo</t>
  </si>
  <si>
    <t>STARTER PACK FOR SARI-SARI STORE BUSINESS</t>
  </si>
  <si>
    <t>Acquisition of Equipment for Techno-Gabay Program</t>
  </si>
  <si>
    <t>Procurement of Construction  of  Fence For Kimlawis Elementary School</t>
  </si>
  <si>
    <t>Repair and Maintenance of Payloader</t>
  </si>
  <si>
    <t>Improvement of Multi-Purpose Hall</t>
  </si>
  <si>
    <t>Catering services for Barangay-based training on organic household model gardens (2 Batches)</t>
  </si>
  <si>
    <t>RFQ Kitchen Equipments for TLE Lab (FMC)</t>
  </si>
  <si>
    <t>Supply and Delivery of Corn Seeds (OPV)</t>
  </si>
  <si>
    <t>Purchase of personalized medals to be given to different schools of the City of Tanauan.</t>
  </si>
  <si>
    <t>3rd Quarter - Textbooks and Instructional Materials Procurement Program 2020 (Malabon City Library)</t>
  </si>
  <si>
    <t>SURGICAL MASK</t>
  </si>
  <si>
    <t>PURCHASE of mEDICAL AND ELECTRICAL SUPPLIES</t>
  </si>
  <si>
    <t>5 bxs Pancit Canton (Lucky Me)</t>
  </si>
  <si>
    <t>Supply, Delivery and Installation of IP HD CCTV to be installed at the Rich Town 1, City of San Fernando, Pampanga</t>
  </si>
  <si>
    <t>Repair and Maintenance of Volvo Truck</t>
  </si>
  <si>
    <t>Construction of Multi-Purpose Evacuation Center @ Villa Concepcion, Roxas, Isabela</t>
  </si>
  <si>
    <t>Supply and Delivery of Office Supplies to be used for the Instructional Module production</t>
  </si>
  <si>
    <t>Information Technology Parts &amp; Accessories &amp; Peripherals</t>
  </si>
  <si>
    <t>Supply and Delivery of One (1) Unit of Laptop with accessories to Sustain IP-TBM Project 4A</t>
  </si>
  <si>
    <t>MEDICAL SUPPLIES &amp; OTHER SUPPLIES</t>
  </si>
  <si>
    <t>HO-UAR20-006 - Supply and Delivery of  Ink for EPSON</t>
  </si>
  <si>
    <t>Dengue Prevention &amp; Control</t>
  </si>
  <si>
    <t>Improvement of Covered Court At Brgy. San Roque, Naic, Cavite</t>
  </si>
  <si>
    <t>PURCHASE OF OTHER SUPPLIES-087</t>
  </si>
  <si>
    <t>ROAD CONCRETING IN BETWEEN IMELDA ELEMTARY SCHOOL &amp; STO. NIÑO NATIONAL HIGH SCHOOL, BARANGAY STO. NIÑO, TUGBOK DISTRICT, DAVAO CITY</t>
  </si>
  <si>
    <t>PR NO. 20-07-294 (2020-08-260) PROCUREMENT OF PHYSICAL AND CHEMICAL ANALYSIS FOR THE DIFFERENT PUMPING STATIONS</t>
  </si>
  <si>
    <t>materials for the Rehabilitation/Improvement of  Multi-Purpose Hall</t>
  </si>
  <si>
    <t>Procurement of Equipment for Glass Bottom Kayak's &amp; Equipment for Rentals</t>
  </si>
  <si>
    <t>CONSTRUCTION OF DRAINAGE STRUCTURES ALONG SAGRADA SECTION</t>
  </si>
  <si>
    <t>Supply and Delivery of  Materials and Installation</t>
  </si>
  <si>
    <t>355 Track Rod Link, (Left &amp; Right) &amp; 16 L/I</t>
  </si>
  <si>
    <t>Supply and delivery of office furniture &amp; fixtures</t>
  </si>
  <si>
    <t>Catering Services PR # 2020-07-15-245</t>
  </si>
  <si>
    <t>CONSTRUCTION OF EMERGENCY STEEL FOOT BRIDGES AT SAN JOSE MALINO AND TINAJERO SAN ANTONIO</t>
  </si>
  <si>
    <t>Supply and Deliveyr of Dexamethasone 4mg tablet</t>
  </si>
  <si>
    <t>Purchase of Laptop Computer</t>
  </si>
  <si>
    <t>Construction of MPH at Brgy. Sabang, Naic, Cavite</t>
  </si>
  <si>
    <t>Water Delivery for 2 Months</t>
  </si>
  <si>
    <t>RFQ for Materials of Construction of Box Culvert</t>
  </si>
  <si>
    <t>SUPPLY AND DELIVERY FOR THE REGRAVELLING OF FARM TO MARKET ROAD</t>
  </si>
  <si>
    <t>Supply and Delivery of Amiodarone HCI 50mg/ml, 3ml ampule (IV)</t>
  </si>
  <si>
    <t>REPAIR OF LRMDC RODRIGUEZ ANNEX</t>
  </si>
  <si>
    <t>FOR ISO 9001-2015</t>
  </si>
  <si>
    <t>Procurement of Construction  of  Fence For Kimlawis National High School</t>
  </si>
  <si>
    <t>Supply and Delivery of Notarial Gold Seal</t>
  </si>
  <si>
    <t>Training Supplies and Materials for Carpentry Works to be used for TCP.</t>
  </si>
  <si>
    <t>Materials for Perimeter Fencing of 1-unit of Water Tank Purok7, Poblacion, Torrijos</t>
  </si>
  <si>
    <t>Concreting of Magsaysay Highway-Purok 5 Road</t>
  </si>
  <si>
    <t>Supply &amp; Delivery of ICT 05D Res H06-2020</t>
  </si>
  <si>
    <t>Procurement of Electrical &amp; Lighting Materials for Isolation Facilities in the Municipality of Kananga</t>
  </si>
  <si>
    <t>Printed Modules Holder</t>
  </si>
  <si>
    <t>Supply and delivery of Diesel and Gasoline Fuel(1 lot)</t>
  </si>
  <si>
    <t>Construction of Flood Control Project (Construction of Single Barrel Box Culvert) @ M.L. Quezon Street</t>
  </si>
  <si>
    <t>SUPPLY AND DELIVERY OF THE PROCUREMENT OF PLANTING MATERIALS FOR USAD PROGRAM</t>
  </si>
  <si>
    <t>HO-UAR20-005 - Supply and Delivery of  Various Construction Materials</t>
  </si>
  <si>
    <t>REMOVAL AND REPLACEMENT OF FLOOR TILES (LOBBY AREA) MUNICIPAL BLDG LGU COMPOUND MARIVELES</t>
  </si>
  <si>
    <t>Furnishing labor and materials for repair of HI-LUX TOYOTA</t>
  </si>
  <si>
    <t>INSTALLATION OF FIXED GLASS PARTITION AND DOORS AT MARIVELES TRIAGE BUILDING</t>
  </si>
  <si>
    <t>OTHER SUPPLIES AND MATERIALS</t>
  </si>
  <si>
    <t>Service provider for the Surveying for the Establishment of Sanitary Landfill</t>
  </si>
  <si>
    <t>rental of Photocopying Machine</t>
  </si>
  <si>
    <t>Catering Services for the Division Enhancement Workshop on Learning Continuity Planning &amp; Development on August 12-14, 2020</t>
  </si>
  <si>
    <t>Purchase of Tanod Uniform &amp; Supplies</t>
  </si>
  <si>
    <t>Proc of Const Supplies &amp; Materials, 54 EBDE</t>
  </si>
  <si>
    <t>Procurement of Genset</t>
  </si>
  <si>
    <t>Procurement of Catering Services</t>
  </si>
  <si>
    <t>SUPPLY &amp; DELIVERY OF MEDICINE FOR PROVINCEWIDE MEDICAL MISSION - GOVERNOR'S OFFICE</t>
  </si>
  <si>
    <t>Improvement of Barangay Health Center at Brgy. Taugtog, Botolan, Zambales.</t>
  </si>
  <si>
    <t>PR NO. 2020-08-022 PROCUREMENT OF 6 PCS. TIRE EXTERIOR, LGU MAPANAS, NORTHERN SAMAR</t>
  </si>
  <si>
    <t>SUPPLY &amp; DELIVERY OF WHEELCHAIRS AND READING GLASSES TO SENIOR CITIZEN AND PWD IN THE PROVINCE OF MAGUINDANAO - GOVERNOR'S OFFICE</t>
  </si>
  <si>
    <t>COMPLETION OF 4 UNITS BARANGAY HEALTH STATION/BIRTHING HOMES AT TIMBAYAN BANCALAA,BGY. SALANG, BGY MELVILLE AND BY. CATAGUPAN, BALABAC, PALAWAN</t>
  </si>
  <si>
    <t>Supply  and Delivery of materials for Construction of Drainage Canal  @ Brgy. Navalita  Hinundayan So.  Leyte</t>
  </si>
  <si>
    <t>Supply and Delivery of Office and School Suplies and Materials, Semi-expendable and Hardware &amp; Construction Materials for 2nd Quarter of Julio Arzaga Elementary School</t>
  </si>
  <si>
    <t>SUPPLY &amp; DELIVERY OF FOOD PRODUCTS FOR PROVINCEWIDE DISTRIBUTION-GOVERNOR'S OFFICE</t>
  </si>
  <si>
    <t>SUPPLY, DELIVERY, INSTALLATION &amp; COMMISSIONING OF LAPAROSCOPY TOWER (1 Lot) ITB No. 2020-27</t>
  </si>
  <si>
    <t>PRE-BID CONFERENCE 11/Aug/2020 - Procurement of Goods: 37 Units SHOTGUN for the use of CGSO -Safety and Security (PR#100-20-07-0335)</t>
  </si>
  <si>
    <t>Proc of Veh Parts &amp; Acc, 54 EBde</t>
  </si>
  <si>
    <t>MODULES FOR STUDENTS</t>
  </si>
  <si>
    <t>SUPPLY AND DELIVERY OF uPVC PIPES</t>
  </si>
  <si>
    <t>Procurement of Fuel</t>
  </si>
  <si>
    <t>Proc of Office Sups &amp; Devices, 1102 BDE</t>
  </si>
  <si>
    <t>P.R.#20-07-273 Audio Video Capture &amp; Playback Device</t>
  </si>
  <si>
    <t>KN95 FACE MASK</t>
  </si>
  <si>
    <t>BACTERIAL BLOCK FOR WASTEWATER TREATMENT</t>
  </si>
  <si>
    <t>SUPPLY AND DELIVERY OF SACKS FOR REPACKING OF RICE FOR RELIEF OPERATION</t>
  </si>
  <si>
    <t>Purchasing Office Supplies</t>
  </si>
  <si>
    <t>Supply and Delivery of Hospital Equipments for use of San Marcelino District Hospital (SMDH), San Marcelino</t>
  </si>
  <si>
    <t>ADC Wall Angle &amp; 36 L/I</t>
  </si>
  <si>
    <t>CONDUCTING THE CADASTRAL SURVEY, LAND TITLING FOR PRESERVATION OF WATERSHED AREAS (Phase 1)</t>
  </si>
  <si>
    <t>SUPPLY, DELIVERY, INSTALLATION &amp; COMMISSIONING OF DEEP TRANSCRANIAL MAGNETIC STIMULATION MACHINE ITB No. 2020-28</t>
  </si>
  <si>
    <t>UPGRADING OF ELECTRICAL SYSTEM AND INSTALLATION OF 1-37.5 KVA TRANSFORMER AT POTUNGAN CENTRAL SCHOOL</t>
  </si>
  <si>
    <t>CONSTRUCTION OF SAN AGUSTIN MEMORIAL PARK/CEMETERY (PHASE 4)</t>
  </si>
  <si>
    <t>Repainting of Fence at Brgy. Taugtog, Botolan, Zambales</t>
  </si>
  <si>
    <t>COMPLETION OF BARANGAY HEALTH STATION/BIRTHING HOME AT MARABON BGY. BANCALAAN, BALABAC, PALAWAN</t>
  </si>
  <si>
    <t>PROCUREMENT OF MATERIALS FOR BANGUS IN CAGE PRODUCTION</t>
  </si>
  <si>
    <t>Proc of Const Supplies &amp; Materials, 1102 BDE</t>
  </si>
  <si>
    <t>JAGNA WATERWORKS SYSTEM</t>
  </si>
  <si>
    <t>Supply/Delivery of Office Tables for the Sanguniang Bayan of Palo, Leyte.</t>
  </si>
  <si>
    <t>REPAIR AND MAINTENANCE OF MCPC BUILDING BARANGAY POBLACION</t>
  </si>
  <si>
    <t>SUPPLY AND DELIVERY OF BOREHOLE DEEPWELL PUMP, ROUND SUBMERSIBLE CABLE AND AC LINE MONITORING VOLTAGE RELAY</t>
  </si>
  <si>
    <t>SELF ADHESIVE TISSUE DISPENSER</t>
  </si>
  <si>
    <t>CONCRETING OF BARILI ROAD (Phase I)</t>
  </si>
  <si>
    <t>SUPPLY, DELIVERY AND INSTALLATION OF INCREASED WATER PRESSURE SYSTEM FOR THE PSHS - CALABARZON REGION CAMPUS RESIDENCE HALLS</t>
  </si>
  <si>
    <t>SUPPLY &amp; DELIVERY OF OFFICE SUPPLIES - GOVERNOR'S OFFICE</t>
  </si>
  <si>
    <t>REPIR/IMPROVEMENT OF ONE (1) UNIT CONTAINER VAN (RE-BID)</t>
  </si>
  <si>
    <t>PPE SUIT</t>
  </si>
  <si>
    <t>School Supplies and Repair</t>
  </si>
  <si>
    <t>Supply and Delivery of Medical Supplies for Office Use for the Prevention of COVID 19</t>
  </si>
  <si>
    <t>PURCHASE OF BOND PAPERS</t>
  </si>
  <si>
    <t>PR-2020-1930 Agricultural Supplies-PAO</t>
  </si>
  <si>
    <t>Proc of Veh Parts &amp; Acc, 1102Bde</t>
  </si>
  <si>
    <t>Other Supplies (COVID Response in Isolation Facility) - MDRRMO</t>
  </si>
  <si>
    <t>Purchase of Spare Parts to be Used by Official Vehicle Assigned at Municipal Engineering Office</t>
  </si>
  <si>
    <t>Used for the Concreting of School Ground of C.V. Diez Mem. E/S, Brgy. Washington, Surigao City</t>
  </si>
  <si>
    <t>SUPPLY AND DELIVERY OF WEIGHING SCALE (INFANT &amp; ADULT) AND ECG MACHINE 1-CHANNEL</t>
  </si>
  <si>
    <t>Concreting of Street at Kiyaab Beside Barangay Hall</t>
  </si>
  <si>
    <t>Purchase of Fuel for the Concreting of FMR, Brgy. Supoc, Lambunao, Iloilo</t>
  </si>
  <si>
    <t>Proc of Veh Parts &amp; Acc, 547ECB</t>
  </si>
  <si>
    <t>Radiogram</t>
  </si>
  <si>
    <t>BAG-ONG KAUSWAGAN ES MOOE JAN-MARCH 2020</t>
  </si>
  <si>
    <t>Purchase of Agricultural Product For Vegetable Production. Under P.R. No. 50-20-05-040</t>
  </si>
  <si>
    <t>Proc of Veh Parts &amp; Acc, 1102 Bde</t>
  </si>
  <si>
    <t>Supply of Labor for Pipeline Expansion Project in Brgy. Pentor</t>
  </si>
  <si>
    <t>PR-2020-1887 Agricultural Equipment &amp; Supplies-PAO</t>
  </si>
  <si>
    <t>Representation Expenses, 1102 BDE</t>
  </si>
  <si>
    <t>Improvement of Basketball Court at Sitio Lourdes, Brgy. Talaga, Capas, Tarlac</t>
  </si>
  <si>
    <t>CONSTRUCTION/REHABILITATION OF WOODEN WHARF AT BARANGAY MANGSEE, BALABAC, PALAWAN</t>
  </si>
  <si>
    <t>Medical</t>
  </si>
  <si>
    <t>Retaining Wall</t>
  </si>
  <si>
    <t>COMPLETION OF 3 STOREY 6 CLASSROOM SCHOOL BUILDING AT BALABAC, CENTRAL SCHOOL, BARANGAY POBLACION 3, BALABAC, PALAWAN</t>
  </si>
  <si>
    <t>Purchase of Support Logistics Equipment, Facilities and Supplies P.R. No. : 2020-01-1394.</t>
  </si>
  <si>
    <t>REHABILITATION/UPGRADING OF WATER SYSTEM @ BRGY. POBLACION</t>
  </si>
  <si>
    <t>PR-2020-1495 Agricultural Seeds-PAO</t>
  </si>
  <si>
    <t>Purchase of reusable/washable facemask for the use of Brgy. Pinagbuhatan, Pasig City</t>
  </si>
  <si>
    <t>SURGICAL GLOVES</t>
  </si>
  <si>
    <t>CONSTRUCTION OF BARANGAY HALL (PHASE I) 2ND FLOOR OF MULTI-PURPOSE BUILDING IN SAN MANUEL</t>
  </si>
  <si>
    <t>Catering Services for use in Different Visitors of CMO, Surigao City</t>
  </si>
  <si>
    <t>Purchase and Deliver of Office Equipment</t>
  </si>
  <si>
    <t>Procurement of Laboratory Supplies and Equipment</t>
  </si>
  <si>
    <t>Purchase of T-Shirt</t>
  </si>
  <si>
    <t>Purchase of various supplies for the use of Brgy. Pinagbuhatan, Pasig City</t>
  </si>
  <si>
    <t>Supply and Delivery of Server Rack for Office Use of City Accounting Office</t>
  </si>
  <si>
    <t>SUPPLY AND DELIVERY OF CADAVER BAG FOR BESPREN SA KALANGITAN</t>
  </si>
  <si>
    <t>PR-2020-1902 Computer desktop &amp; Printer-PGO</t>
  </si>
  <si>
    <t>FLUORESCENT LAMP</t>
  </si>
  <si>
    <t>Imp. of Multi-Purpose Hall</t>
  </si>
  <si>
    <t>TONER CARTRIDGE FOR FUJI DOCUCENTRE S2011 (2nd Posting)</t>
  </si>
  <si>
    <t>Rehabilitation of Water System @Sitio Rancho</t>
  </si>
  <si>
    <t>PURCHASE OF CCTV EQUIPMENT INCLUDING REHABILITATION OF CCTV</t>
  </si>
  <si>
    <t>SUPP &amp; MAT FOR IMPROVEMENT OF CONFERENCE ROOM</t>
  </si>
  <si>
    <t>Supply and Delivery of Dental Supplies/Equipments for NLP</t>
  </si>
  <si>
    <t>Food Supplies - MO</t>
  </si>
  <si>
    <t>Supply and Delivery of Beractant 25mg/ml suspension, 4ml vial</t>
  </si>
  <si>
    <t>CAN- JJASGH 796 OFF SUPPLIES</t>
  </si>
  <si>
    <t>Supply and Installation of of 4-units CCTV (Surveillance and Detection Equipment) Mahayag, Albuera, Leyte</t>
  </si>
  <si>
    <t>Supply and Delivery of Empty Colony Box for Stingless Bee Production</t>
  </si>
  <si>
    <t>Concreting of Street Beside JMT Gas Station at Luhong</t>
  </si>
  <si>
    <t>Supply, and Delivery of Water Pump Motor, Sub Meter; Door Pull Handle  and Foldable Platform Push Cart for Use of University Project c/o FMSS &amp; AUX</t>
  </si>
  <si>
    <t>SUPPLY &amp; DELIVERY OF FUEL, OIL &amp; LUBRICANTS - PGSO</t>
  </si>
  <si>
    <t>PR 1-20-07-0913, FOR USE OF THE CITY GOV'T OF SAN CARLOS INTENDED FOR VARIOUS CITY PROJECTS.</t>
  </si>
  <si>
    <t>Supply and Delivery of P.E Tubing and Fittings</t>
  </si>
  <si>
    <t>Procurement of Desktop Computer for use at Various Offices of Tarlac Provincial Hospital</t>
  </si>
  <si>
    <t>PR-2020-1819 Catering Services-PGO/JAIL</t>
  </si>
  <si>
    <t>Procurement of Equipment and CCTV Set for New I.T. Building</t>
  </si>
  <si>
    <t>BALLPEN, MEDIUM POINT, VIOLET &amp; 5 OTHERS (2nd Posting)</t>
  </si>
  <si>
    <t>SUPPLY AND DELIVERY OF PLASTIC ROAD BARRIER FOR COVID 19 CHECKPOINTS OPERATION</t>
  </si>
  <si>
    <t>SUPPLY AND DELIVERY OF SLIT-LAMP BREATH SHIELD</t>
  </si>
  <si>
    <t>Request for Quotation Supply and Installation of Air-conditioning Units and Television Sets</t>
  </si>
  <si>
    <t>Concreting of Dolores-Canaan Road Via Barangay Hall</t>
  </si>
  <si>
    <t>Supply and Delivery of Office Supplies and Consumables for the Third Quarter CY 2020</t>
  </si>
  <si>
    <t>Supply and Delivery of Anti-Tetanus Serum</t>
  </si>
  <si>
    <t>GRPMHS (MAIN) JHS Printing of Module</t>
  </si>
  <si>
    <t>Supply and Delivery of Laptop to be used by City Engineering Office and City Assessor Office</t>
  </si>
  <si>
    <t>JUMBO ROLL TISSUE</t>
  </si>
  <si>
    <t>PROPOSED INSTALLATION OF SOLAR POWERED STREETLIGHTS SAN GABRIEL</t>
  </si>
  <si>
    <t>Request for Quotation for PROGESTERONE-ONLY PILL per PR No. 20-07-0218</t>
  </si>
  <si>
    <t>PR-2020-1813 Drugs &amp; Medicines-PHO</t>
  </si>
  <si>
    <t>Purchase of Machinery and Equipment for White Corn Processing Center</t>
  </si>
  <si>
    <t>Supply &amp; delivery of 11 rolls of PE Pipe at Barangay Janopol Occidental, Tanauan City, Batangas</t>
  </si>
  <si>
    <t>PR-2020-1881 Tube, Pin, Heating Element, U-Shape, 230V, 3000w (For Autoclave Machine)-PHO</t>
  </si>
  <si>
    <t>Procurement for the Supply, and Delivery of ICT Equipment to Support Flexible Learning for USTP-CDO</t>
  </si>
  <si>
    <t>SUPPLY &amp; DELIVERY OF FUEL, OIL &amp; LUBRICANTS - BUDGET OFFICE</t>
  </si>
  <si>
    <t>Supply and Delivery of Catering Services for Bureau of Fire Protection</t>
  </si>
  <si>
    <t>PR 18-20-06-0773, FOR USE IN CONSOLIDATION SUBDIVISION SURVEY AND APPROVAL OF PLAN OF LOT 9 &amp; LOT 10 FOR HOMELOT PROGRAM OF SAN CARLOS CITY.</t>
  </si>
  <si>
    <t>20DD0377 Construction of 4STY20CL, Gaudencio B. Lontok Memorial Integrated School, Lipa City, Batangas</t>
  </si>
  <si>
    <t>2020 RFQ 037 "REFURBISHMENT AND REPAIR OF SWEETPOTATO GREENHOUSES"</t>
  </si>
  <si>
    <t>PR-2020-1891 Diesel, Gasoline &amp; Oil-PEO</t>
  </si>
  <si>
    <t>Supply and Delivery of Anchor Plate (High-Angle), Descender (High Angle) Equipment and Stair Chair to be used by the Responders during Emergency</t>
  </si>
  <si>
    <t>PAPER LETTER HEAD W/ LOGO OF LTFRB</t>
  </si>
  <si>
    <t>PROCUREMENT OF THREE HUNDRED (300) TRUCKLOAD FILLING MATERIALS INCLUDING FUEL, OIL AND RIGHTS FOR ROAD MAINTENANCE AT EL SALVADOR CITY</t>
  </si>
  <si>
    <t>Procurement of Supplies for Reproduction of Modules (Week 1 &amp; 2)</t>
  </si>
  <si>
    <t>Purchase of 5 unit Fogging Machine at Barangay Poblacion IV, Tanauan City, Batangas</t>
  </si>
  <si>
    <t>JHS-Printing of Module</t>
  </si>
  <si>
    <t>Spareparts o different Vehicles (Hilux VN-7250, Revo SGA-494, I Care SJU-381)/Motorpool</t>
  </si>
  <si>
    <t>Request for Quotation for INTRAUTERINE DEVICE (IUD)  per PR No. 20-07-0215</t>
  </si>
  <si>
    <t>CORRECTION TAPE DISPOSABLE USABLE LENGTH 6 METERS MIN 5MM WIDTH &amp; 7 OTHERS (2nd Posting)</t>
  </si>
  <si>
    <t>REQUEST FOR QUOTATION  SHOPPING OF 2 UNITS OF TRUCK BATTERY RFQ No. 2020-05-005</t>
  </si>
  <si>
    <t>PR-2020-1884 Diesel &amp; Gasoline-PGO</t>
  </si>
  <si>
    <t>( PR NO. 20-07-05A-0041 SUPPLY AND DELIVERY OF 48 pcs Clamp, Saddle;DI; 50mmØ x 20mmØ (for uPVC/HDPE), 89 pcs Clamp, Saddle;DI; 100mmØ x 20mmØ (for uPVC/HDPE))</t>
  </si>
  <si>
    <t>Acquisition of upgraded one (1) unit Rice Mill, Post-Harvest Facilities: 1 unit Hand Tractor with Roto-tiller/Rotavator with fabricated trailer, and 1 unit Corn Sheller</t>
  </si>
  <si>
    <t>AGRICULTURAL MACHINERY &amp; EQUIPMENT</t>
  </si>
  <si>
    <t>SUPPLY AND DELIVERY OF FUEL,OIL AND LUBRICANTS TO BE USED BY SANGGUNIANG BAYAN SEA CRAFT</t>
  </si>
  <si>
    <t>Concreting of Feeder Road (Phase II) at Sitio Centro Toboy, Asingan, Pangasinan</t>
  </si>
  <si>
    <t>SUPPLY &amp; DELIVERY OF VARIOUS RESCUE EQUIPMENTS FOR MDRRMO, RODRIGUEZ, RIZAL</t>
  </si>
  <si>
    <t>PURCHASE OF CHEMICALS FOR FOGGING TREATMENT FOR DENGUE CONTROL PROGRAM USED AT THE MUNICIPALITY OF CAUAYAN, NEGROS OCCIDENTAL</t>
  </si>
  <si>
    <t>Repair of Gymnasium at Adrialuna, Naujan, Oriental Mindoro</t>
  </si>
  <si>
    <t>Supply and Delivery of Office Equipment (PGO Culture &amp; Arts) use</t>
  </si>
  <si>
    <t>FOOD FOR PIA'S 46TH ANNIVERSARY	GSD J-20-382</t>
  </si>
  <si>
    <t>Proc of Commo Parts &amp; Acc, 41IB</t>
  </si>
  <si>
    <t>RFQ PR NO. 861 Office Supplies</t>
  </si>
  <si>
    <t>Supply and Delivery of Flood Light and Water Proofed Action Camera to be used by the Responder during Emergency</t>
  </si>
  <si>
    <t>PROVISION OF COVID-19 KIT RESPONSE</t>
  </si>
  <si>
    <t>SUPPLY AND DELIVERY OF SPECTRACIDES AND TERMICIDE POWDER FOR PEST CONTROL FOR PESO USE</t>
  </si>
  <si>
    <t>Procurement of Materials for Reproduction of Modules</t>
  </si>
  <si>
    <t>SUPPLY &amp; DELIVERY OF FUEL, OIL &amp; LUBRICANTS - PPDO</t>
  </si>
  <si>
    <t>For use in the City Civil Registry Office, City of Surigao.</t>
  </si>
  <si>
    <t>Provision for Pest Control/Termite Infestation Treatment within SDO Batangas City</t>
  </si>
  <si>
    <t>Construction of two (2) units C.R., Dadivas Civic Center (Back stage), Brgy. Pob. Ilawod, Panitan, Capiz (Bayanihan Grant to Cities and Municipalities)</t>
  </si>
  <si>
    <t>Supply &amp; Delivery of Various Office Equipment Supplies &amp; Consumables use for City Treasurer's Office for 3rd quarter 2020 , Himamaylan City</t>
  </si>
  <si>
    <t>Purchase of Office Supplies for PDMU in Support to Operation in the Imolementation of LOcally Funded Projects</t>
  </si>
  <si>
    <t>Procurement of Medical Supplies and Laboratory Instrument</t>
  </si>
  <si>
    <t>SUPPLY &amp; DELIVERY OF VARIOUS OFFICE SUPPLIES @ MDRRMO, RODRIGUEZ, RIZAL</t>
  </si>
  <si>
    <t>Request for Quotation for Breathing Circuit Filter per PR No. 20-07-0212</t>
  </si>
  <si>
    <t>Procurement of Diesel (for VMO Vehicles)</t>
  </si>
  <si>
    <t>Purchase of Materials for the Road Concreting, Brgy. Lanot Pequeno, Lambunao, Iloilo</t>
  </si>
  <si>
    <t>MEGAPHONE</t>
  </si>
  <si>
    <t>Procurement of 1 Lot Const. Materials (for Construction of Comfort Room at SCNHS (Senior High))</t>
  </si>
  <si>
    <t>20DD0378 Construction of 4STY12CL, Sen. Claro M. Recto Memorial Integrated School, Lipa City, Batangas</t>
  </si>
  <si>
    <t>For the Repainting/Repair of Sangguniang Bayan Building at Barangay Poblacion, Bugallon, Pangasinan</t>
  </si>
  <si>
    <t>SUPPLY &amp; DELIVERY OF FUEL, OIL &amp; LUBRICANTS - GOVERNOR'S OFFICE</t>
  </si>
  <si>
    <t>Re-bidding: Supply and Delivery of Arm Chairs and Sala Sets (PR No. 2020-02-0376, 2020-02-0240, 2020-02-0371)</t>
  </si>
  <si>
    <t>PR 18-20-07-0875, FOR USE OF CONSTRUCTION OF WATER TANK AND OTHER FIXTURES AT VIEWDECK, SO. PUNOD, BRGY PROSPERIDAD.</t>
  </si>
  <si>
    <t>Supply and Delivery of Ink Toner for Photocopy Machine of Management Information System Office (MIS)</t>
  </si>
  <si>
    <t>Procurement of Tower Server for Document Tracking System use.</t>
  </si>
  <si>
    <t>REHABILITATION OF MULTIPURPOSE BUILDING @ BRGY. POBLACION</t>
  </si>
  <si>
    <t>PRINTING OF MODULES</t>
  </si>
  <si>
    <t>Request for Quotation for DRUG TESTING KIT per PR No. 20-07-0216</t>
  </si>
  <si>
    <t>RESOURCE ENHANCEMENT PROGRAM - Installation of IP Camera (CCTV System)</t>
  </si>
  <si>
    <t>FOOD PROCESSING EQUIPMENT</t>
  </si>
  <si>
    <t>IMPROVEMENT OF MULTI PURPOSE HALL</t>
  </si>
  <si>
    <t>PROVISION OF LABOR COST FOR MODUE REPRODUCTION</t>
  </si>
  <si>
    <t>20GFL0005-Supply and delivery of various tires for use of various service vehicle at DPWH Sorsogon 2nd District Engineering Office</t>
  </si>
  <si>
    <t>Supply and Delivery of Assorted Medicines for Indigenous People, Indigent and Senior Citizen of the Province</t>
  </si>
  <si>
    <t>Supply &amp; Delivery of Various Office Furniture's use for Various Offices, Himamaylan City</t>
  </si>
  <si>
    <t>CONSTRUCTION OF FOOTBRIDGE-TUCAO-BUENAVISTA, CARAMORAN, CATANDUANES</t>
  </si>
  <si>
    <t>SUPPLY AND DELIVERY OF KATRINA CLOTH 60" WIDTH, LIGHT BLUE</t>
  </si>
  <si>
    <t>Re-bidding: Supply and Delivery of Plaque for the PRAISE Awarding 2020 (PR No. 2020-06-0584)</t>
  </si>
  <si>
    <t>Purchase of Drugs and Medicine for RHU San Pablo, ZDS.</t>
  </si>
  <si>
    <t>20DD0379 Construction of 2STY4CL, Aya Elementary School, San Jose, Batangas</t>
  </si>
  <si>
    <t>7 bags Portland Cement 40 kgs and other items for installation of canopy at the Dumaguete Police station at Barangay Poblacion 7.</t>
  </si>
  <si>
    <t>Construction of Water System at Casiligan, Pola, Oriental Mindoro</t>
  </si>
  <si>
    <t>Supply &amp; Delivery of Various Appliances use for Various Quarantine Facility related to Covid-19, Himamaylan City</t>
  </si>
  <si>
    <t>SUPPLY AND DELIVERY | TACTICAL BOOTS , TACTICAL PANTS , BULL CAP AND RAIN COAT (BAC RFQ 20-550 , DRMD)</t>
  </si>
  <si>
    <t>To be used for the Construction of Mini Covered Court @ San Jose Elementary School, Brgy. San Jose, Surigao City.</t>
  </si>
  <si>
    <t>Proc of Veh Parts &amp; Acc, 1101 Bde</t>
  </si>
  <si>
    <t>Procurement of 1 Lot Const. Materials (Construction of Breastfeeding Facility at Brgy. Zone III)</t>
  </si>
  <si>
    <t>Re-bidding: Supply and Delivery of Hotel Property Management System (PMS) Software (PR No. 2020-03-0474)</t>
  </si>
  <si>
    <t>100 box Working gloves</t>
  </si>
  <si>
    <t>SUPPLY AND DELIVERY OF FUEL,OIL AND LUBRICANTS TO BE USED BY MUNICIPAL MAYOR'S SEA CRAFT</t>
  </si>
  <si>
    <t>REPAIR AND REPAINTING OF KITANG ELEMENTARY SCHOOL BARANGAY KITANG, LIMAY, BATAAN</t>
  </si>
  <si>
    <t>Request for Quotation (MPRSD-2020-07-0336 Electrical and Hardware supplies)</t>
  </si>
  <si>
    <t>FUEL, OIL AND LUBRICANTS</t>
  </si>
  <si>
    <t>FOD-L-20-2842 (R1): Procurement of Free Range Chickens (Male and Female)</t>
  </si>
  <si>
    <t>Procurement of 1 Lot Electrical Materials (for Installation of Solar Lights at Sibulan, Sta. Cruz, Davao del Sur)</t>
  </si>
  <si>
    <t>Supply and Delivery of Printers and Scanner (PR No. 2020-06-0593, 2020-05-0507, 2020-02-0243, 2020-02-0308, 2020-02-0210, 2020-03-0462, 2020-02-0314, 2020-01-0052, 2020-02-0260, 2020-02-0120, 2020-02-</t>
  </si>
  <si>
    <t>MEDICAL SUPPLIES- ANTI RABIES VACCINATION</t>
  </si>
  <si>
    <t>Purchase of Fuel &amp; Oil for the Farm to Market Road (Concreting), Brgy. Binabaan Labayno, Lambunao, Iloilo</t>
  </si>
  <si>
    <t>Supply and Installation of Glass Partition</t>
  </si>
  <si>
    <t>SUPPLY &amp; DELIVERY OF FUEL, OIL &amp; LUBRICANTS - TREASURER'S OFFICE</t>
  </si>
  <si>
    <t>RFQ - Procurement of Cal 5.56 FMJ Ammunition</t>
  </si>
  <si>
    <t>Purchase of Information Technology Parts and Accessories &amp; Perip</t>
  </si>
  <si>
    <t>( PR NO. 20-07-07-0238 SUPPLY AND DELIVERY OF 1 set CI Std pavement Manhole Cover 1000mmØ)</t>
  </si>
  <si>
    <t>Supply and Delivery of Office Supplies for San Jose District Hospital use</t>
  </si>
  <si>
    <t>Procurement of 1 Lot Plumbing Materials (For installation of water pump, water tank and accessories @ Municipal Hall)</t>
  </si>
  <si>
    <t>Forms for use in Day Care Centers for pre-schoolers in Surigao City</t>
  </si>
  <si>
    <t>PURCHASE AND DELIVERY OF FOOD SUPPLIES FOR SFP IN BAKUN, BENGUET</t>
  </si>
  <si>
    <t>2020-074, SUPPLY AND DELIVERY OF 2 UNITS MINI DUMPTRUCK (SURPLUS) AT LGU MIDSAYAP, COTABATO</t>
  </si>
  <si>
    <t>TISSUE PAPER AND RULER</t>
  </si>
  <si>
    <t>SUPPLY AND DELIVERY OF DRUGS AND MEDICINES</t>
  </si>
  <si>
    <t>PROCUREMENT OF IT EQUIPMENT|SUPPLIES</t>
  </si>
  <si>
    <t>Supply and Delivery of Office Supplies (External Hard Drive)</t>
  </si>
  <si>
    <t>( PR NO. 20-07-07-0237 SUPPLY AND DELIVERY OF 2 shts MS Plate 4' x 8' x 3/4" thk, 1 sht MS Plate 4' x 8' x 1/2" thk)</t>
  </si>
  <si>
    <t>SUPPLY AND DELIVERY OF CONSTRUCTION MATERIALS FOR IMPROVEMENT OF CITY ECONOMIC &amp; INVESTMENT PROMOTION OFFICE</t>
  </si>
  <si>
    <t>PR NO. 1788 CATERING SERVICES</t>
  </si>
  <si>
    <t>Purchase of Information Technology Equipment</t>
  </si>
  <si>
    <t>To be used for the Extension of Covered Court &amp; 	Construction of Stage of C.V. Diez MCES,Brgy. Washington, S.C.</t>
  </si>
  <si>
    <t>Supply &amp; Delivery of Various Uniforms use for Traffic Enforcement Team, Himamaylan City</t>
  </si>
  <si>
    <t>Vegetable Seeds for Food Production</t>
  </si>
  <si>
    <t>Labor and Materials for Rehabilitation of Archive Wing Room at Accounting Office</t>
  </si>
  <si>
    <t>SUPPLY &amp; DELIVERY OF FUEL, OIL &amp; LUBRICANTS - AGRICULTURIST OFFICE</t>
  </si>
  <si>
    <t>Rebidding: 1 unit Search Light with tripod (10,000 lumens) and other items for utilization of 20% LGU share on fire code fees collection intended for DCFS Day to Day operation.</t>
  </si>
  <si>
    <t>To be used for the Construction of Stage of Day-asan Elem.	School, Brgy. Day-asan, Surigao City</t>
  </si>
  <si>
    <t>Supply &amp; Delivery of Various Spare Parts for the repair of various City Service Vehicles, Sipalay City, Neg. Occ.</t>
  </si>
  <si>
    <t>Procurement of 1 Lot Const. Materials (for Construction of Perimeter Fence at Idong ES)</t>
  </si>
  <si>
    <t>CONSTRUCTION OF OPEN STORGAE AT BARANGAY NEW TUBIGON,SIBAGAT,AGUSAN DEL SUR</t>
  </si>
  <si>
    <t>Procurement of IT Equipment PR # 2020-07-06-222</t>
  </si>
  <si>
    <t>SUPPLY AND DELIVERY OF VARIOUS MATERIALS AND EQUIPMENT FOR IMPROVEMENT OF AMPHITHEATER OF BALINTOCATOC</t>
  </si>
  <si>
    <t>20DD0380 Construction of 2STY4CL, Marilag Elementary School, Rosario, Batangas</t>
  </si>
  <si>
    <t>Procurement of Construction Materials and Supplies of SSTS, ASCOM, PA amounting to Php 52,000.00</t>
  </si>
  <si>
    <t>LIVESTOCK (AGRICULTURE)</t>
  </si>
  <si>
    <t>PROCUREMENT OF OFFICE SUPPLIES FOR COA USE</t>
  </si>
  <si>
    <t>SUPPLY AND DELIVERY OF UPS 3kVA</t>
  </si>
  <si>
    <t>SUPPLY AND DELIVERY OF FUEL,OIL AND LUBRICANTS TO BE USED BY MUNICIPAL ENGINEERING OFFICE BALABAC, PALAWAN</t>
  </si>
  <si>
    <t>Purchase of Rescue Vehicle</t>
  </si>
  <si>
    <t>P.R. No. 2020-07-071 Supply and Delivery of Non-Common Use Supplies for Planning and Design Section Use</t>
  </si>
  <si>
    <t>500 prefilled syr Epoetin (alpha) 4,000 IU &amp; etc. for the use at Dialysis SECTION of NOPH (S-262-2020)</t>
  </si>
  <si>
    <t>PURCHASE AND DELIVERY OF FOOD SUPPLIES FOR SFP IN TUBA, BENGUET</t>
  </si>
  <si>
    <t>for the Procurement of Handheld Radios.</t>
  </si>
  <si>
    <t>Office Supplies for PENRO Samar</t>
  </si>
  <si>
    <t>ANIMAL FEEDS</t>
  </si>
  <si>
    <t>( PR NO. 20-07-07-0213 SUPPLY AND DELIVERY OF 4 lgth Pipe, BI; S40, 75mmØ x 6m, 4 lgth Pipe, BI; S40, 100mmØ x 6m, 4 lgth Pipe, BI; S40, 125mmØ x 6m, 5 lgth Pipe, BI; S40, 200mmØ x 6m, 2 lgth Pipe, BI</t>
  </si>
  <si>
    <t>Tarpaulin etc. (06-0681) Tourism</t>
  </si>
  <si>
    <t>Marine Plywood 4x8x3/4		 &amp; etc. for Bindoy District Hospital	 (N-592-2020)</t>
  </si>
  <si>
    <t>SUPPLY AND DELIVERY OF IV FLUIDS</t>
  </si>
  <si>
    <t>IMPROVEMENT OF ENTRANCE GATE CvSU-NAIC</t>
  </si>
  <si>
    <t>PURCHASE AND DELIVERY OF FOOD SUPPLIES FOR SFP IN NATONIN, MOUNTAIN PROVINCE</t>
  </si>
  <si>
    <t>Supply and Delivery of Laptops (PR No. 2020-02-0226, 2020-02-0210, 2020-02-0280)</t>
  </si>
  <si>
    <t>(1) one Unit Motorcycle 150cc for the use at BM Baldado Office Delivery of Communications to different barangays (N-596-2020)</t>
  </si>
  <si>
    <t>ADMIN OFFICE SUPPLIES (JULY TO SEPTEMBER 2020)</t>
  </si>
  <si>
    <t>CATERING SERVICES</t>
  </si>
  <si>
    <t>SUPPLY AND DELIVERY OF SPARE PARTS FOR LGU VEHICLES</t>
  </si>
  <si>
    <t>Procurement of various Agricultural Supplies for use of Rice R&amp;D RCM related project for 2020 under Rice Banner Program</t>
  </si>
  <si>
    <t>brand new generator set, DIESEL</t>
  </si>
  <si>
    <t>Procurement of Folding Beds with Mattress</t>
  </si>
  <si>
    <t>Consulting Services</t>
  </si>
  <si>
    <t>MARKER PERMANENT BLACK BELT TIP MEDIUM POINT NON TOXIC  and 6 OTHERS (2nd Posting)</t>
  </si>
  <si>
    <t>Supply &amp; Delivery of 665 vials Rabies Vaccine for Rabies Prevention &amp; Control Program 2020 of Agriculture's Office (Dog Pound Section), Himamaylan City</t>
  </si>
  <si>
    <t>ITB-B15-2020</t>
  </si>
  <si>
    <t>Supply &amp; Delivery of Various Janitorial Supplies use for Anti Illegal Logging Program, Himamaylan City</t>
  </si>
  <si>
    <t>Supply and Delivery of Desktop Computers (PR No. 2020-01-0054, 2020-02-0308, 2020-02-0204, 2020-06-0563)</t>
  </si>
  <si>
    <t>KRAFT PAPER BAG, SIZE #10, BUNDLE OF 2,000’S &amp; 2 OTHERS (2nd Posting)</t>
  </si>
  <si>
    <t>REQUEST FOR QUOTATION FOR THE SUPPLY AND DELIVERY OF OFFICE SUPPLIES, EQUIPMENTS AND CONSUMABLES FOR USE OF CDS and MNGP-REFO PLAN FOR FINAL PACKAGING</t>
  </si>
  <si>
    <t>CONSTRUCTION OF BOUNDARY MARKER (LED DISPLAY)</t>
  </si>
  <si>
    <t>Cleaning and Maintenance of Air-conditions - SB</t>
  </si>
  <si>
    <t>Provision of Comprehensive Preventive Maintenance and Repair Services of the Three (3) Elevator Units located at the DOLE Main Building</t>
  </si>
  <si>
    <t>FABRICATION OF MOVABLE INTERLINK FENCE, PORT OF BAYBAY/MAASIN/NAVAL/HILONGOS/PALOMPON</t>
  </si>
  <si>
    <t>Construction/Repair of Building to Accomodate Covid19 Probable and Suspected Persons</t>
  </si>
  <si>
    <t>Purchase of Fuel &amp; Oil for the Farm to Market Road (Concreting), Brgy. Pajo, Lambunao, Iloilo</t>
  </si>
  <si>
    <t>CONSTRUCTION OF BLEACHER, BARANGAY TIGUMA, PAGADIAN CITY</t>
  </si>
  <si>
    <t>Purchase of IT Equipment for the PNP Office Zamboanguita</t>
  </si>
  <si>
    <t>Supply and delivery of  GOODS/SUPPLIES re: For Support to Livestock Multiflier Farm c/o OMA.</t>
  </si>
  <si>
    <t>Oil for Diesel SAE 15 W-40		 &amp; etc. for use in the Office Of the Governor			 (N-614-2020)</t>
  </si>
  <si>
    <t>Materials for the Repair of Evacuation Center (Walling and Roofing) @ Santo Nino Elem. School - Santo Nino, Talibon,Bohol</t>
  </si>
  <si>
    <t>Procurement of Fixture -07-447(O)PEO</t>
  </si>
  <si>
    <t>20DD0381 Concreting of Brgy. Mavalor to Brgy. Tiquiwan FMR, Brgy. Mavalor and Brgy. Tiquiwan, Rosario, Batangas</t>
  </si>
  <si>
    <t>P.R. No. 2020-07-064 Supply and Delivery of Non-Common Use Supplies for Planning and Design Section Use</t>
  </si>
  <si>
    <t>2020-07-144 (Procurement  of Various ICT Equipment)</t>
  </si>
  <si>
    <t>PAPER, PAD, RULED, SIZE: 216MM X 330MM, 55 GSM, YELLOW OR WHITE, 90 SHEETS PER PAD &amp; 4 OTHERS (2nd Posting)</t>
  </si>
  <si>
    <t>PROPOSED INSTALLATION OF SOLAR POWERED STREETLIGHTS POBLACION 3</t>
  </si>
  <si>
    <t>Purchase of Vehicle Parts and Accessories FOR REPAIR AND MAINTENANCE OF VARIOUS HEAVY EQUIPMENT. Under P.R. No. 30-20-07-083</t>
  </si>
  <si>
    <t>PURCHASE AND DELIVERY OF FOOD SUPPLIES FOR SFP IN LAGAWE, IFUGAO</t>
  </si>
  <si>
    <t>Supply &amp; Delivery of IT Equipment and Semi-Expendable Machinery &amp; Equipment</t>
  </si>
  <si>
    <t>HVCDP PROGRAM (AGRICULTURE)</t>
  </si>
  <si>
    <t>Supply and Delivery of IT Equipment (Re-bidding)</t>
  </si>
  <si>
    <t>FABRICATION OF CABINET</t>
  </si>
  <si>
    <t>P.R. No. 2020-07-080 Supply and Delivery of Non-Common Use Supplies (UV Lamps) for DPWH Leyte First District Engineering Office Use</t>
  </si>
  <si>
    <t>ESTABLISHMENT OF ECO-TOURISM SPOT, BINUMBUHAN FALLS, BRGY. CARAYCARAY, SAN MIGUEL, LEYTE</t>
  </si>
  <si>
    <t>SUPPLY AND DELIVERY OF VARIOUS MATERIALS FOR THE REPAIR AND MAINTENANCE OF MUNICIPAL HEAVY EQUIPMENTS AT BALABAC, PALAWAN</t>
  </si>
  <si>
    <t>REQUEST FOR QUOTATION (RFQ)R.I.S. No.: 20-03-012 Supply, Delivery and Installation of Internet Subscription at the Public Affairs Facilities</t>
  </si>
  <si>
    <t>( PR NO. 20-07-09-0021 SUPPLY AND DELIVERY OF 250 pcs Meter Coupling(Brass Tailpiece) 13mmØ x 75mm (1/2" x 3")</t>
  </si>
  <si>
    <t>PROPOSED INSTALLATION OF SOLAR POWERED STREETLIGHTS POB. 4</t>
  </si>
  <si>
    <t>Supply and Delivery of Detachable Tablet Laptop, Printer, and Heavy-Duty Cross Cut Shredder for the use of City Administrator’s Office</t>
  </si>
  <si>
    <t>Office supplies for Market and Slaughterhouse</t>
  </si>
  <si>
    <t>Construction of Public Parks and Plaza</t>
  </si>
  <si>
    <t>Purchase of Information Technology Equipment (Laptop and Printer) at Mayor's Office Gumaca, Quezon</t>
  </si>
  <si>
    <t>REHABILITATION / REPAINT OF MULTIPURPOSE HALL/ BLDG.</t>
  </si>
  <si>
    <t>DUMAGUETE BRANCH - BIOMETRIC DOOR ACCES SYSTEM (FOR VAULT's SECONDARY STEEL DOOR)</t>
  </si>
  <si>
    <t>ASSESSMENT OFFICE SUPPLIES (JULY TO SEPTEMBER 2020)</t>
  </si>
  <si>
    <t>Office Supplies for NOPH supply office (S-261-2020)</t>
  </si>
  <si>
    <t>20PA0137 : REPAIR/MAINTENANCE OF DOST BUILDING, PROVINCIAL SCIENCE AND TECHNOLOGY CENTER BUILDING, Calaba, Bangued, Abra</t>
  </si>
  <si>
    <t>Delivery of Laptop</t>
  </si>
  <si>
    <t>Purchase of Diesel/Fuel - PNP</t>
  </si>
  <si>
    <t>Purchase of hardware and chain saw accessories of MDRRMC of the Municipality of Dingras, Ilocos Norte.</t>
  </si>
  <si>
    <t>Procurement of Heavy Duty Electric Fans (Industrial Type)</t>
  </si>
  <si>
    <t>Procurement of PPE for ManCom and PMO Personnel</t>
  </si>
  <si>
    <t>Purchase of Other Supplies and Other Materials</t>
  </si>
  <si>
    <t>PURCHASE AND DELIVERY OF FOOD SUPPLIES FOR SFP IN KIANGAN AND ASIPULO, IFUGAO</t>
  </si>
  <si>
    <t>IMPROVEMENT OF MULTI-PURPOSE HALL , BARANGAY TIGUMA, PAGADIAN CITY</t>
  </si>
  <si>
    <t>PROPOSED INSTALLATION OF SOLAR POWERED STREETLIGHTS LUMBRERAS</t>
  </si>
  <si>
    <t>Supply and delivery of  HARDWARE MATERIALS  re: For construction of MRF at Brgy. Inaclagan, Atimonan, Quezon.</t>
  </si>
  <si>
    <t>Purchase of Office Supplies for PNP Office</t>
  </si>
  <si>
    <t>Lot 2: Supply and Delivery of Laboratory Supplies for Garments Technology Instruction (PR No. 2020-02-0285)</t>
  </si>
  <si>
    <t>Card etc. - REBID (07-0721) CMO-License</t>
  </si>
  <si>
    <t>PURCHASE AND DELIVERY OF FOOD SUPPLIES FOR SFP IN CALANASAN, APAYAO</t>
  </si>
  <si>
    <t>Purchase of Steel Cabinet for PNP Zamboanguita Station</t>
  </si>
  <si>
    <t>REPRODUCTION OF MODULES (GRADES 1-6) ALL SUBJECTS</t>
  </si>
  <si>
    <t>CONSTRUCTION PROJECT/CONSTRUCTION/FABRICATION OF SEAWEEDS DRYER</t>
  </si>
  <si>
    <t>Equipping of Local Covid Center</t>
  </si>
  <si>
    <t>Procurement of Student\s Profiling and Test Materials</t>
  </si>
  <si>
    <t>Supply and delivery of  OFFICE SUPPLIES  re: For Various Offices use  c/o  GSO.</t>
  </si>
  <si>
    <t>For Disinfectant and Sanitation.</t>
  </si>
  <si>
    <t>10 Fire Boots (harvick)</t>
  </si>
  <si>
    <t>Animal / Zoological Supplies-MAO</t>
  </si>
  <si>
    <t>( PR NO. 20-07-08-0056 SUPPLY AND DELIVERY OF 1 unit Replacement of Roof for pump control, power house building of PW# 27)</t>
  </si>
  <si>
    <t>Purchase of Office Supplies and Equipment of Bacacay East Central School</t>
  </si>
  <si>
    <t>SUPPLY AND DELIVERY OF PRINTER WITH SCANNER</t>
  </si>
  <si>
    <t>SUPPLY &amp; DELIVERY OF MATERIALS FOR THE IMPROVEMENT AT MULTI-PURPOSE HALL, DAGUP, BAGULIN, lu</t>
  </si>
  <si>
    <t>Equipments</t>
  </si>
  <si>
    <t>RFQ 20-08-048P: SUPPLY AND DELIVERY OF VARIOUS DIGITAL WEIGHING SCALE</t>
  </si>
  <si>
    <t>Purchase of Office Equipment Supplies and Consumables</t>
  </si>
  <si>
    <t>Supply and delivery of 2 units desktop for PRIME Project RTF-022-265</t>
  </si>
  <si>
    <t>Embankment of Shoreline Protection with Docking Facility (Phase VII)</t>
  </si>
  <si>
    <t>1 set 4" diameter Submersible motor, etc.</t>
  </si>
  <si>
    <t>for the procurement of fire extinguishers.</t>
  </si>
  <si>
    <t>PROCUREMENT OF BOND PAPER/INK</t>
  </si>
  <si>
    <t>Procurement of 2,205 heads Kayumanggi or Khaki itik pinas breed for Livestock Assistance of CALABARZON</t>
  </si>
  <si>
    <t>PR # 7013 AIRCON-ADMIN</t>
  </si>
  <si>
    <t>Supply and Delivery of BHW Supplies</t>
  </si>
  <si>
    <t>Purchase of Fuel &amp; Oil for the Farm to Market Road (Concreting), Brgy. Malag-it, Lambunao, Iloilo</t>
  </si>
  <si>
    <t>Vegetable Seeds- MAO</t>
  </si>
  <si>
    <t>purchase od storage box</t>
  </si>
  <si>
    <t>( PR NO. 20-07-07-0205 SUPPLY AND DELIVERY OF 35 m³ Washed Sand, 15 m³ Crushed Gravel 3/4", 4 m³ Crushed Gravel G1, 32 m³ Filling Materials (for staggered delivery)</t>
  </si>
  <si>
    <t>SCHOOL SUPPLIES FOR STUDENTS</t>
  </si>
  <si>
    <t>PURCHASE LED TV 55"</t>
  </si>
  <si>
    <t>Purchase of Spare Parts and Lubricants to be used for repair and maintenance of Backhoe of the Municipality of Tabuelan, Cebu</t>
  </si>
  <si>
    <t>Lot 1: Supply and Delivery of Laboratory Equipment for Food Technology Instruction (PR No. 2020-02-0292) &amp; Lot 2: Supply and Delivery of Tools and Materials for Food Technology Instruction (PR No. 202</t>
  </si>
  <si>
    <t>PROPOSED INSTALLATION OF SOLAR POWERED STREETLIGHTS DE LAS ALAS</t>
  </si>
  <si>
    <t>Office.Supply.02</t>
  </si>
  <si>
    <t>PROPOSED INSTALLATION OF SOLAR POWERED STREETLIGHTS F. DECASTRO</t>
  </si>
  <si>
    <t>Improvement of Senior Citizen Hall at Pinagsabangan I, Naujan, Or. Mindoro and Construction of Water System at Pinagsabangan I, Naujan, Or. Mindoro</t>
  </si>
  <si>
    <t>Supply and Delivery of Certificate Holder to be used of PAD for 2nd Semester for FY 2020</t>
  </si>
  <si>
    <t>Trolley 5 layers</t>
  </si>
  <si>
    <t>Supply and delivery of  IT EQUIPMENTS  re: For Instructional purposes of various schools (Secondary Education)</t>
  </si>
  <si>
    <t>Procurement of Catering Services-07-034(P)PSWDO</t>
  </si>
  <si>
    <t>Purchase of Medical Supplies for RHU San Pablo, ZDS.</t>
  </si>
  <si>
    <t>CONSTRUCTION OF MATERIAL RECOVERY FACILITY (MRF) FOR BARANGAY 1, BARANGAY 2, BARANGAY 4 &amp; BARANGAY 5, SFADS</t>
  </si>
  <si>
    <t>Supply and Delivery of Water Service Connection Materials/Fittings (PR#20-07-0298)</t>
  </si>
  <si>
    <t>20DD0382 Local Program, Local Infrastructure Program, Buildings and Other Structures, Multipurpose/ Facilities, Construction of Multi-Purpose Building/ Brgy. Hall, Brgy. Quilo-Quilo North, Padre Garci</t>
  </si>
  <si>
    <t>5 kls. Welding rod</t>
  </si>
  <si>
    <t>1 pc Single Channel adjustable volume pipette....etc</t>
  </si>
  <si>
    <t>Procurement of Steel Cabinet</t>
  </si>
  <si>
    <t>SUPPLY AND DELIVERY OF 1 SET OF DESKTOP AND 1 UNIT PRINTER FOR LICENSING OFFICE</t>
  </si>
  <si>
    <t>Proposed Construction of Police Headquarters, Mapsa Headquarters &amp; Cental Fire Station, located at Malugay Street, Brgy. San Antonio, Makati City</t>
  </si>
  <si>
    <t>PURCHASE OF TONER NEEDED IN MODULE PRINTING</t>
  </si>
  <si>
    <t>Supply &amp; Delivery of Handheld GPS to be used for the Survey &amp; Mapping of various Environmental Program &amp; Projects, Sipalay City, Neg. Occ.</t>
  </si>
  <si>
    <t>SCHOOL MOOE CY 2020 3RD QUARTER</t>
  </si>
  <si>
    <t>RFQ-020-2020 - PROCUREMENT OF FUEL, FOR THE USE OF VARIOUS SERVICE VEHICLE ASSIGNED IN THE CONSTRUCTION SECTION</t>
  </si>
  <si>
    <t>20G00114 - Construction of River bank protection works along Kalibo River, Kalibo Bridge III, Tigayon, Kalibo Section, Aklan</t>
  </si>
  <si>
    <t>Supply and Delivery of Construction Materials for Construction of Latrine in different Barangay’s of the Municipality of Tabuelan, Cebu</t>
  </si>
  <si>
    <t>Supply and Delivery of Various Medical Supplies and Equipment</t>
  </si>
  <si>
    <t>Supply and Delivery of Nine (9) unit of Colored Printer with three (3) sets of Toner Cartridges per printer (black, cyan, magenta and yellow) at SEC Extension Offices</t>
  </si>
  <si>
    <t>Purchase of Office Supplies and Equipment of Lacag National High School</t>
  </si>
  <si>
    <t>Other Supplies- Accounting Office</t>
  </si>
  <si>
    <t>OTHER MACHINERIES AND EQUIPMENT</t>
  </si>
  <si>
    <t>PR-2020-2026 Office Supplies-PHO</t>
  </si>
  <si>
    <t>PURCHASE AND DELIVERY OF FOOD SUPPLIES FOR SFP IN CONNER, APAYAO</t>
  </si>
  <si>
    <t>Construction of Multi-Purpose Evacuation Center @ Doña Concha, Roxas, Isabela</t>
  </si>
  <si>
    <t>Proc of 16 bots Epson Ink 001 Black and 17 L/I</t>
  </si>
  <si>
    <t>PURCHASE PF REPAIR AND MAINTENANCE MATERIALS FOR SCHOOL AND OTHER LEARNING CENTERS FOR THE IMPLEMENTATION OF BRIGADA SKWELA ON MAY 2020 under P.R. no.  20-20-04-140</t>
  </si>
  <si>
    <t>Supply and Delivery of Materials for the Improvement of Waterworks System</t>
  </si>
  <si>
    <t>Procurement of Construction supplies and materials</t>
  </si>
  <si>
    <t>Procurement of various supplies to be used in Biogas Digester (second posting)</t>
  </si>
  <si>
    <t>Provision of Hygiene Kits to SBFP-Mil Component Beneficiaries for CY 2020 (2019 Funds)</t>
  </si>
  <si>
    <t>( PR NO. 20-07-07-0214 SUPPLY AND DELIVERY OF 5 lgth Deformed Round Bars 16mmØ(5/8"Ø), 10 lgth Deformed Round Bars 10mmØ(3/8"Ø), 5 lgth Plain Round Bars, 16mmØ(5/8"Ø), 10 lgth Plain Round Bars, 10mmØ(</t>
  </si>
  <si>
    <t>SH-014-2020 - PROCUREMENT AND DELIVERY OF CORING BLADE TO BE USED IN CORING MACHINE AT QUALITY ASSURANCE SECTION.</t>
  </si>
  <si>
    <t>Supply and Installation of Airconditioning Unit to be sed for the Office of the Mayor</t>
  </si>
  <si>
    <t>Printing supplies</t>
  </si>
  <si>
    <t>DELIVERY OF LABOR AND MATERIALS FOR THE CONSTRUCTION OF PATHWAY AT BRGY PUYPUY BAY LAGUNA FOR THEIR IMPLEMENTATION OF 20% ECONOMIC DEVELOPMENT FUND CY 2020 (KAGAWAD)</t>
  </si>
  <si>
    <t>Supply and Delivery of Tanod Supplies</t>
  </si>
  <si>
    <t>Laying of Concrete Pavers at Mun. Hall Compound &amp; Construction of Wingwall, Headwall and Apron Slab of Pipe Culvert at Barangay Mallabo, San Mariano, Isabela</t>
  </si>
  <si>
    <t>Procurement of Hardware Supplies-07-071(M)OPAG</t>
  </si>
  <si>
    <t>Cookery NC II (Tools and Materials)</t>
  </si>
  <si>
    <t>IMPROVEMENT OF MULTIPURPOSE HALL AT DAANG AMAYA II</t>
  </si>
  <si>
    <t>Supply and Delivery of One (1) Unit of RISO Machine</t>
  </si>
  <si>
    <t>SUPPLY &amp; DELIVERY OF CONSTRUCTION MATERIALS</t>
  </si>
  <si>
    <t>Supply and Delivery of Office Equipment (PR No. 2020-02-0311, 2020-02-0380, 2020-02-0273, 2020-01-0141)</t>
  </si>
  <si>
    <t>Supply and Delivery of Canvass Covers for Mini Dump Trucks, CEMO</t>
  </si>
  <si>
    <t>Supply and Delivery of Instructional Tools and Equipment for Technical Vocational Livelihood (TVL) Course, for Science Laboratory and for Information and Communication Technology Course</t>
  </si>
  <si>
    <t>ITB20-7(infra)</t>
  </si>
  <si>
    <t>Renovation and Improvement of Pitogo Community Complex located at Cebu St. Cor. Luzon St., Brgy. Pitogo, Makati City</t>
  </si>
  <si>
    <t>Invitation to Apply for Eligibility and to Bid for CONSTRUCTION OF BARANGAY GANGAO LEVEL II WATER SYSTEM</t>
  </si>
  <si>
    <t>FOR THE SUPPLY OF CONSTRUCTION MATERIALS</t>
  </si>
  <si>
    <t>Procurement of Hardware Supplies-07-456(O)PEO</t>
  </si>
  <si>
    <t>Supply and Installation of Audio-Visual Equipment</t>
  </si>
  <si>
    <t>Procurement of Various Textbooks for References of the College Library - Binalbagan Campus</t>
  </si>
  <si>
    <t>DBP BUENAVISTA BRANCH - SUPPLY AND DELIVERY OF VARIOUS OFFICE EQUIPMENT</t>
  </si>
  <si>
    <t>( PR NO. 20-07-07-0236 SUPPLY AND DELIVERY OF 6 lgths Wide Flange, W6x15, 8 lgths Square Bar, 12mm, 2 lgths Flat Bar 50mm x 6.00 x 6.35 thk)</t>
  </si>
  <si>
    <t>Purchase of Meals and Snacks For National Early Learning Framework on August 17, 18, 19 1st Batch and August 25, 26, 27 2nd Batch. Under P.R. No. 60-20-07-162</t>
  </si>
  <si>
    <t>REQUEST FOR QUOTATION (RFQ)R.I.S. No.: 20-83-149 Replacement of Defective Variable Frequency Drive for Motor of East Buildup Carousel at NAIA Terminal 1</t>
  </si>
  <si>
    <t>Delivery of Weighing Equipment</t>
  </si>
  <si>
    <t>Construction of Ramp and Other PWD Requirements (Various Public Schools and Public Buildings), located at Makati City</t>
  </si>
  <si>
    <t>20G00115 - Construction of River Bank Protection Works along Kalibo River, Kalibo Bridge III, Mina, Lezo Section, Aklan</t>
  </si>
  <si>
    <t>Foods for the Formulation of Executive and Legislative Agenda and Comprehensive and Development Plan Workshop</t>
  </si>
  <si>
    <t>Procurement of Catering Services-07-035(P)PSWDO</t>
  </si>
  <si>
    <t>Rehabilitation, Repair, Renovation and Repainting of Cembo Talipapa located at Narra St. Brgy. Cembo, Makati City</t>
  </si>
  <si>
    <t>Supply &amp; Delivery of Educational Materials and Supplies</t>
  </si>
  <si>
    <t>SUPPLY &amp; DELIVERY OF FUEL, OIL &amp; LUBRICANTS - ENGINEERING OFFICE</t>
  </si>
  <si>
    <t>Tarpauline (Goodbye Bulate Campaign) for the use of Deworming Campaign on August 2020</t>
  </si>
  <si>
    <t>Rebidding of Supplies, Materials &amp; Equipment for Control and Mitigation of ASF</t>
  </si>
  <si>
    <t>Supply &amp; Delivery of various materials for the Fabrication of 100 units Coffin at Brgy. Gil Montilla, Sipalay City, Neg. Occ.</t>
  </si>
  <si>
    <t>REQUEST FOR QUOTATION-PURCHASE OF WELDING GENERATOR</t>
  </si>
  <si>
    <t>Procurement of Supply of Materials and Labor for the Improvement of Water System</t>
  </si>
  <si>
    <t>Supply and Delivery of Construction Materials for the Improvement and Extension of BFP Office of the Municipality of Tabuelan, Cebu</t>
  </si>
  <si>
    <t>SUPPLY &amp; DELIVERY OF FUEL, OIL &amp; LUBRICANTS - VETERINARIAN OFFICE</t>
  </si>
  <si>
    <t>Supply &amp; Delivery of MOTOR VEHICLE</t>
  </si>
  <si>
    <t>“Purchase of Three (3) units Ambulance with Medical Equipment and Accessories for use in the City of Guihulngan, Province of Negros Oriental (B-115-2020)</t>
  </si>
  <si>
    <t>Procurement of Various Construction Supplies and Materials-07-449(O)PEO</t>
  </si>
  <si>
    <t>Procurement of Various Construction Supplies and Materials-07-450(O)PEO</t>
  </si>
  <si>
    <t>Internet for COAFC Dormitory &amp; Cottages</t>
  </si>
  <si>
    <t>Improvement/Repair of Concrete Pathway</t>
  </si>
  <si>
    <t>Procurement of 10 drums Emulsified Asphalt etc. for use in the Maintenance of National Roads and Bridges</t>
  </si>
  <si>
    <t>20GNE0043 -Supplies/Deliveries for the Procurement of Diesel Fuel and Special Gasoline to be used in the official vehicles of Construction Section, and Planning and Design Section of this office for t</t>
  </si>
  <si>
    <t>SUPPLY &amp; DELIVERY OF FUEL, OIL &amp; LUBRICANTS - ACCOUNTANT OFFICE</t>
  </si>
  <si>
    <t>Construction of Lateral Road at Zone 3, Tagbong, Pili, Camarines Sur</t>
  </si>
  <si>
    <t>Office supplies- A4</t>
  </si>
  <si>
    <t>AMP SVP-D NO: 20-07-0248B: Certification Services to ISO 9001:2015</t>
  </si>
  <si>
    <t>PROCUREMENT OF SUPPLIES FOR CARPENTRY</t>
  </si>
  <si>
    <t>Proposed Improvement of STP at Makati Homes-I located at H. Santos Street, Barangay Tejeros, Makati City</t>
  </si>
  <si>
    <t>PURCHASE OF OFFICE SUPPLIES</t>
  </si>
  <si>
    <t>HAND TRUCK / PLATFORM TRUCK AND ELECTRIC SHOWER HEATER OF PHARMACY SECTION</t>
  </si>
  <si>
    <t>SH-015-2020 - PROCUREMENT AND DELIVERY OF MATERIALS FOR THE PROPOSED GUARD HOUSE TOILET AND SERVICE AREA, ROXAS CITY, CAPIZ</t>
  </si>
  <si>
    <t>Purchase of Airconditioning System</t>
  </si>
  <si>
    <t>Repair of Auditor's Office.</t>
  </si>
  <si>
    <t>Continuation of MDRRM Building</t>
  </si>
  <si>
    <t>SUPPLY &amp; DELIVERY OF FUEL, OIL &amp; LUBRICANTS - ADMINISTRATOR'S OFFICE</t>
  </si>
  <si>
    <t>Procurement of Various Spare Parts-07-439(O)PEO</t>
  </si>
  <si>
    <t>Municipal Tax aps Digitization Project.</t>
  </si>
  <si>
    <t>Procurement of Hardware Supplies-07-4446(O)PEO</t>
  </si>
  <si>
    <t>Procurement of Various Office Supplies, Consumables and Printer for Research and Development Services Office use - Talisay Campus</t>
  </si>
  <si>
    <t>Supply &amp; Delivery of OTHER SUPPLIES (Business Plate)</t>
  </si>
  <si>
    <t>Supply &amp; Delivery of Motorcycle for Monitoring, Animal Treatment &amp; Veterinary Services City Wide of Sipalay City, Neg. Occ.</t>
  </si>
  <si>
    <t>hotel accommodation with meals and venue</t>
  </si>
  <si>
    <t>Hiring of Laborers for the Construction of Drainage System</t>
  </si>
  <si>
    <t>CONSTRUCTION OF SOLAR STREETLIGHT(PHASE II), BRGY. LIBTONG, SAN MIGUEL, LEYTE</t>
  </si>
  <si>
    <t>Proposed Rehabilitation and Upgrading of Existing Streetlighting along H. Santos Street located at Barangay Tejeros, Makati City</t>
  </si>
  <si>
    <t>RFQ 16963A CCTV Repair</t>
  </si>
  <si>
    <t>Provision of Freezers/ Ice Boxes to Identified Drop-Off Points Schools for SBFP-Milk Feeding Component CY 2020 (2019 Funds)</t>
  </si>
  <si>
    <t>Purchase of Various Fertilizers-Other than Tobacco Farmers (MAO)</t>
  </si>
  <si>
    <t>FACIAL MASKS &amp; ALCOHOL</t>
  </si>
  <si>
    <t>PREVENTIVE MAINTENANCE OF PHYSICAL FACILITIES FOR THE 2ND HALF RELEASE CY 2020</t>
  </si>
  <si>
    <t>Supply and Delivery of Various ICT Supplies and Equipment</t>
  </si>
  <si>
    <t>Procurement of Various IT Equipment-07-010(AD)PBO</t>
  </si>
  <si>
    <t>DEDICATED SERVER HOSTING SUBSCRIPTION AND OTHER SYSTEMS</t>
  </si>
  <si>
    <t>REQUEST FOR QUOTATION-SUPPLY AND DELIVERY OF COLUMN PIPE (PVC Sure-loc) AND FITTINGS</t>
  </si>
  <si>
    <t>Concreting of Barangay Road at Mallavera Brgy. Villa Padua Gumaca, Quezon</t>
  </si>
  <si>
    <t>Procurement of Personal Protective Suit</t>
  </si>
  <si>
    <t>INSTRUCTIONAL MATERIALS</t>
  </si>
  <si>
    <t>REBIDDING OF CONCRETING OF NURSERY ROAD- Barangay Tan-ag Ibaba, Lopez, Quezon</t>
  </si>
  <si>
    <t>PURCHASE OF IT EQUIPMENTS</t>
  </si>
  <si>
    <t>Procurement of Various Spare Parts-07-440(O)PEO</t>
  </si>
  <si>
    <t>Supply and Delivery of Technical Books (CSD)</t>
  </si>
  <si>
    <t>OFFICE ENHANCEMENT PROGRAM</t>
  </si>
  <si>
    <t>Purchase of Office Equipment For Gingoog City Rural Improvement Club (RIC) Federation. Under P.R. No. 80-20-02-019</t>
  </si>
  <si>
    <t>Procurement of furniture and fixtures</t>
  </si>
  <si>
    <t>Supply and Delivery of Office Table &amp; Chair and Sofa Set</t>
  </si>
  <si>
    <t>SUPPLY AND DELIVERY OF HEIGHT BOARD FOR OPERATION TIMBANG (TWO FAILED BIDDING/NEGOTIATED PROCUREMENT)</t>
  </si>
  <si>
    <t>( PR NO. 20-03-05-0004 Re-canvass SUPPLY AND DELIVERY OF 1 unit ESFF DESKTOP)</t>
  </si>
  <si>
    <t>Toner for Photocopier-MHO-TF-MCP</t>
  </si>
  <si>
    <t>Supply and Delivery of One (1) unit Tabletop Sandblaster, as per BSP Technical Specifications and Terms and Conditions</t>
  </si>
  <si>
    <t>Purchase of Fuel &amp; Oil for the Farm to Market Road (Concreting), Brgy. Maite Pequeno, Lambunao, Iloilo</t>
  </si>
  <si>
    <t>Purchase of Desktop Computer with UPS</t>
  </si>
  <si>
    <t>Printing of graduation picture set for June 2020 graduating students of Batangas State University JPLPC Malvar Campus</t>
  </si>
  <si>
    <t>Purchase of Food COmmodities for Task Force 3rd Quarter</t>
  </si>
  <si>
    <t>Procurement of 20 gal. Rubberized Paint white etc. for use in the Maintenance of National roads and Bridges</t>
  </si>
  <si>
    <t>RFQ - Procurement of Goods: Vehicle Parts (BATTERY) for the use of CEO - Motorpool Repair &amp; Maintenance (PR#100-20-07-0430)</t>
  </si>
  <si>
    <t>hotel accommodation with meals</t>
  </si>
  <si>
    <t>CONSTRUCTION OF MPTH, FIANZA, SAN NICOLAS, PAGASINAN</t>
  </si>
  <si>
    <t>Delivery of ICT Equipment for Office use (SVP 20-0917).</t>
  </si>
  <si>
    <t>Inkjet Printer 3-in-1 for the use of RESDRU staff deployed in Provinces, Cities, Hospitals and Regional Office</t>
  </si>
  <si>
    <t>Purchase of 2 Units Water Tank for RHU San Pablo, ZDS.</t>
  </si>
  <si>
    <t>Supply and Delivery of Eyelet No. 5</t>
  </si>
  <si>
    <t>PURCHASE OF FURNITURE AND FIXTURES</t>
  </si>
  <si>
    <t>Supplies for Reproduction of Learning Materials</t>
  </si>
  <si>
    <t>PR-2020-1481 Two (2) Units Desktop-PHO</t>
  </si>
  <si>
    <t>Supply and Delivery of Materials for Barangay Road Concreting Purok Perico P-II</t>
  </si>
  <si>
    <t>MEDICINE (MHU-LGU)</t>
  </si>
  <si>
    <t>20AB0123: CONSTRUCTION OF ONE (1) STOREY - FOUR (4) CLASSROOM SCHOOL BUILDING, (100241) DON MARIANO MEMORIAL SCHOOL, PINILI, ILOCOS NORTE</t>
  </si>
  <si>
    <t>Supply and Delivery of IT Parts and Accessories (PR No. 2020-02-0120, 2020-02-0312, 2020-02-0203, 2020-02-0337, 2020-01-0034, 2020-01-0053, 2020-02-0225, 2020-02-0271, 2020-02-0308, 2020-02-0329, 2020</t>
  </si>
  <si>
    <t>Procurement of Hardware Supplies-07-069(M)OPAG</t>
  </si>
  <si>
    <t>Procurement of Catering Services-07-033(P)PSWDO</t>
  </si>
  <si>
    <t>Mop Squeezer (heavy duty)</t>
  </si>
  <si>
    <t>Purchase of Trashbins</t>
  </si>
  <si>
    <t>Construction of Multi Purpose DryingPavement</t>
  </si>
  <si>
    <t>Services of an ISO 9001:2015 Certifying Body</t>
  </si>
  <si>
    <t>Purchase of 4 in 1 Printer Machines</t>
  </si>
  <si>
    <t>For the Concreting of Perimeter Pathways at SB Building, Bugallon, Pangasinan</t>
  </si>
  <si>
    <t>Procurement of FUEL</t>
  </si>
  <si>
    <t>General Cleaning of Nine (9) Unit Computer Desktop-MBO</t>
  </si>
  <si>
    <t>SUPPLY AND DELIVERY OF DRUGS AND MEDICINES (ASPIRIN, FILGRASTIM AND WADDING SHEET)</t>
  </si>
  <si>
    <t>Procurement of Fertilizer-07-090(M)OPAG</t>
  </si>
  <si>
    <t>SEWING MACHINE</t>
  </si>
  <si>
    <t>PURCHASE AND DELIVERY OF FOOD SUPPLIES FOR SFP IN KABUGAO, APAYAO</t>
  </si>
  <si>
    <t>Supply and delivery of Sensorized Hands-Free Alcohol Dispenser</t>
  </si>
  <si>
    <t>Construction of National Child Development Center</t>
  </si>
  <si>
    <t>INSTALLATION OF STREETLIGHTS , BARANGAY TIGUMA, PAGADIAN CITY</t>
  </si>
  <si>
    <t>Renovation of Comfort Room</t>
  </si>
  <si>
    <t>PURCHASE AND DELIVERY OF FOOD SUPPLIES FOR SFP IN LAMUT, IFUGAO</t>
  </si>
  <si>
    <t>Procurement of Seeds-07-070(M)OPAG</t>
  </si>
  <si>
    <t>Installation of Automated Weather Station</t>
  </si>
  <si>
    <t>REQUEST FOR QUOTATION-Food and Beverage Services and Cookery Equipment for Extension Services</t>
  </si>
  <si>
    <t>P.R. No. X6-20-06-251 - Supply and Delivery for the operation of Mitsubishi Strada (AAS-1891)-100801</t>
  </si>
  <si>
    <t>Rehabilitation and Improvement of Pugaoan-MAdupayas-Camanga-Liliputen Provincial Road (Madupayas-Camanga Section) Brgys. Madupayas and Camanga, Badoc, Ilocos Norte</t>
  </si>
  <si>
    <t>Concreting of Station Driveway (BFP-2020)</t>
  </si>
  <si>
    <t>Purchase of Various Construction Materials and Supplies for Animal Breeding Center</t>
  </si>
  <si>
    <t>Rehabilitation/Improvement of Pias-Comcomloong-Puritac Provincial Road, Brgys. Pias and Comcomloong, Currimao and Brgy. Dalayap, Pinili, Ilocos Norte</t>
  </si>
  <si>
    <t>Other Supplies &amp; Materials Expenses (OJ4-553,287.56)</t>
  </si>
  <si>
    <t>Fabrication of Divider Racks at Commission on Audit Office, Provincial Capitol Building, Laoag City</t>
  </si>
  <si>
    <t>Furnishing 220 unit Foot Pedal Sanitizer Dispenser for Distribution to all Public School in this Municipality of Santa Cruz Laguna</t>
  </si>
  <si>
    <t>Improvement of Landscaping of Malacañang Garden, Paoay, Ilocos Norte</t>
  </si>
  <si>
    <t>360 liters Gasoline, Extra, etc.</t>
  </si>
  <si>
    <t>Maintenance of Porac Public Market (Comfort rooms and Gutter)</t>
  </si>
  <si>
    <t>6480	liters Gasoline, Special</t>
  </si>
  <si>
    <t>Concreting of Pathway at Fishport, Poblacion 1, Mabini, Bohol</t>
  </si>
  <si>
    <t>Purchase of ICT Equipment to be used by Planas High School</t>
  </si>
  <si>
    <t>PROJECT: PURCHASE OF GROCERIES FOR GENDER AND DEVELOPMENT</t>
  </si>
  <si>
    <t>2 units Hammer Drill, 2 speed, etc.</t>
  </si>
  <si>
    <t>REQUEST FOR QUOTATION - Office Supplies for Research and Development Office</t>
  </si>
  <si>
    <t>Concreting of Barangay Road at Purok 6, Cabidian, Mabini, Bohol</t>
  </si>
  <si>
    <t>Fabrication of Six pcs Table Office and 30 pcs Height Board @ RHU I</t>
  </si>
  <si>
    <t>Supply and Delivery of 300 Pieces Magazine Holder and Three (3) Bundles of Loose-Leaf Cover</t>
  </si>
  <si>
    <t>PURCHASE OF CONSUMABLE SHOP SUPPLIES, CGSO, CALBAYOG CITY</t>
  </si>
  <si>
    <t>RFQ MEALS OF PERSONNEL AT THE COVID WARD, QUARANTINE AREA AND COVID AND MOLECULAR LABORATORY FOR THE PERIOD OF AUGUST 7 – 21, 2020</t>
  </si>
  <si>
    <t>P.R. No. X3-20-06-239 - Supply and Delivery for the repair and maintenance of Mitsubishi Montero, H1-1668 (B5-A833) assigned at Finance Division</t>
  </si>
  <si>
    <t>1 unit Filing Cabinet, etc.</t>
  </si>
  <si>
    <t>For the operation of the Phil. Intelligent Boracay Project</t>
  </si>
  <si>
    <t>Purchase of Risograph needed by the Ajuy National High School and Luca Junior High School for the reproduction of their educational materials</t>
  </si>
  <si>
    <t>CPU BOX [SSD]	GSD J-20-297</t>
  </si>
  <si>
    <t>Procurement of Spare Parts</t>
  </si>
  <si>
    <t>Rehabilitation and Improvement of Dingras-Mangitayag-Tonoton Provincial Road, brgys. Tonoton and Mangitayag, Piddig and Brgy. Bagut, Dingras, Ilocos Norte</t>
  </si>
  <si>
    <t>Purchase of 2 HP Aircon to be used by Planas High School</t>
  </si>
  <si>
    <t>Procurement of Rescue Boat Outboard Motor (30 HP)</t>
  </si>
  <si>
    <t>Power Generation and Distribution Machinery</t>
  </si>
  <si>
    <t>Labor for the Construction of Brooder Cage, use in Animal Breeding Center</t>
  </si>
  <si>
    <t>Improvement of Covered at Abaca, Mabini, Bohol</t>
  </si>
  <si>
    <t>480 ltrs Premium Gasoline, etc.</t>
  </si>
  <si>
    <t>CHEMICALS</t>
  </si>
  <si>
    <t>FOR ISUZU ELF TRUCK JAB-6091 &amp; SUZUKI MULTICAB SKK-444,SJT-666 and SGP-293</t>
  </si>
  <si>
    <t>Improvement of Barangay San Roque Waterworks System at San Roque, Mabini, Bohol</t>
  </si>
  <si>
    <t>240 ltrs EXTRA GASOLINE, etc.</t>
  </si>
  <si>
    <t>Construction of Pathway to Municipal Cemetery @ Poblacion 2, Mabini, Bohol</t>
  </si>
  <si>
    <t>01 unit Copier Machine (colored)</t>
  </si>
  <si>
    <t>( PR NO. 20-02-08-0020 Re-canvass SUPPLY AND DELIVERY OF 2 pcs Stainless steel couplings 3"dia applicable fittings to adapt 3 inch flexible pipe, 1 pc Vertical check valve 3" dia female tread end adap</t>
  </si>
  <si>
    <t>Furnishing 23 units Digital Black &amp; White Multi Function Printer for Distribution to all Public School in this Municipality of Santa Cruz Laguna</t>
  </si>
  <si>
    <t>UPDATING OF ASSESSMENT RECORD</t>
  </si>
  <si>
    <t>Procurement of 500 pcs polo shirt with design-B-20-0216</t>
  </si>
  <si>
    <t>Procurement of 5,251 pcs. Washable face mask-B-20-0215</t>
  </si>
  <si>
    <t>Supply and Delivery of Training Supplies (CMOG-PN)</t>
  </si>
  <si>
    <t>Improvement of MCES Auditorium at MCES, Poblacion, Mabini, Bohol</t>
  </si>
  <si>
    <t>Procurement of Printing Services</t>
  </si>
  <si>
    <t>Improvement of Covered Court at San Isidro, Mabini, Bohol</t>
  </si>
  <si>
    <t>For Improvement of South Poblacion Drainage Canal</t>
  </si>
  <si>
    <t>Procurement of Supply and Delivery of Office  Supplies&amp; Equipment</t>
  </si>
  <si>
    <t>P.R. No. X1-20-05-215 - Supply and Delivery for the reproduction of the CY 2019 Annual Report, this Office</t>
  </si>
  <si>
    <t>Supply and Delivery of Printing and Publication (CMOG-PN)</t>
  </si>
  <si>
    <t>Improvement of Waterworks System at Concepcion, Mabini, Bohol</t>
  </si>
  <si>
    <t>Site Clearing &amp; Loading of Garbage at Transfer Station, Pandaguirig, Floridablanca, Pampanga</t>
  </si>
  <si>
    <t>CONCRETING OF BARANGAY ROAD AT BARANGAY MAGALANG-GALANG, BAUAN, BATANGAS</t>
  </si>
  <si>
    <t>RFQ 2020-07-447 Procurement of Food and Drinks for OM</t>
  </si>
  <si>
    <t>Procurement of veterinary drugs and biologics-B-20-0213</t>
  </si>
  <si>
    <t>Procurement of supply and delivery of farm chemicals</t>
  </si>
  <si>
    <t>REQUEST FOR QUOTATION-Chairs and Tables for Library</t>
  </si>
  <si>
    <t>Procurement of 1 lot Supply and installation of chlorination system-B-20-0105-rebid</t>
  </si>
  <si>
    <t>1 unit Photocopier Machine</t>
  </si>
  <si>
    <t>Various PPEs, IT equipment, office supplies for PDMU/ Engineers use for inspection</t>
  </si>
  <si>
    <t>2 lot AIRCONDITIONER</t>
  </si>
  <si>
    <t>Procurement of One (1) License of Adobe Creative Cloud All Applications</t>
  </si>
  <si>
    <t>Procurement of feed ingredients-B-20-0214</t>
  </si>
  <si>
    <t>INVITATION TO BID FOR THE CONSTRUCTION OF EVACUATION CENTER (PHASE 1)</t>
  </si>
  <si>
    <t>For use in the Construction of Line Canal at Barangay Road, Hinugusan, San Agustin, Romblon</t>
  </si>
  <si>
    <t>Procurement of Carabao for Carabao Based Farming System at LGU-Mabini, Bohol</t>
  </si>
  <si>
    <t>LABORATORY EQUIPMENT</t>
  </si>
  <si>
    <t>Procurement of Security Services</t>
  </si>
  <si>
    <t>RFQ No.07-0455A-20 COE Catering Services for module writing activity</t>
  </si>
  <si>
    <t>P.R. No. X6-20-07-292 - Supply and Delivery for the use in Weighbridge Station Operation, Maintenance Division</t>
  </si>
  <si>
    <t>P.R. No. X11-20-07-325 - Supply and Delivery for the repair of Nissan Navara, H1-6590/100101 (FOK-937), assigned at EMD</t>
  </si>
  <si>
    <t>Procurement of Combine Harvester for Rice at LGU-Mabini, Bohol</t>
  </si>
  <si>
    <t>CPU BOX [GPR]	GSD J-20-282</t>
  </si>
  <si>
    <t>CPU BOX [EAD]	GSD J-20-283</t>
  </si>
  <si>
    <t>Procurement of Engine (Pumpboat)</t>
  </si>
  <si>
    <t>PURCHASE OF GRASS CUTTER AND STEEL CABINET, CGSO, CALBAYOG CITY</t>
  </si>
  <si>
    <t>Purchase of 30 sacks Commercial Rice for Kabankalan City District Jail Inmates Food Subsistence Allowance for August 2020</t>
  </si>
  <si>
    <t>Purchase of Medical Supplies for RHU use under Philhealth Capitation Fund at LGU-Mabini, Bohol</t>
  </si>
  <si>
    <t>Purchase of 2 units Computer Unit Desktop Branded w/ complete package for City Civil Registrars Office use</t>
  </si>
  <si>
    <t>174 ltrs. Gasoline, etc.</t>
  </si>
  <si>
    <t>Spare parts</t>
  </si>
  <si>
    <t>PURCHASE &amp; DELIVERY OF VARIOUS MATERIALS FOR THE INSTALLATION OF REFLECTORIZED SIGNAGES FOR NEW TRAFFIC SCHEME AT NATIONAL ROAD TUNASAN</t>
  </si>
  <si>
    <t>Supply and Delivery of Meals and Snacks and Hygiene Kits for the Consultation/Dialogue with Restobar owners as regards to the Modified General Community Quarantine Guidelines of the City Government of</t>
  </si>
  <si>
    <t>P.R. No. X7-20-06-241 - Supply and Delivery for the use in the Conduct of Traffic Count Survey Regionwide, Planning and Design Division</t>
  </si>
  <si>
    <t>RFQ No.07-0464-20 CAAD SUPPLY AND DELIVERY OF TONER</t>
  </si>
  <si>
    <t>PURCHASE OF EMERGENCY RESPONSE VEHICLES FOR VARIOUS BARANGAYS IN THE MUNICIPALITY OF BINALBAGAN NEGROS OCCIDENTAL</t>
  </si>
  <si>
    <t>BROTHER INK CARTRIDGES	GSD J-20-346</t>
  </si>
  <si>
    <t>Labor and materials for the replacement and maintenance of RP vehicle SJB-110 (Toyota Hi-Ace) assigned at Regional Soils Laboratory</t>
  </si>
  <si>
    <t>PURCHASE OF SOUND SYSTEM, LAPTOP AND LCD PROJECTOR, COOP, CALBAYOG CITY</t>
  </si>
  <si>
    <t>For use in the Replacement of G.I Sheet Corr. Of Fish Sanctuary Guard House and the Construction of Spillway of Interior Ilaya, Brgy. Binonga-an San Agustin, Romblon</t>
  </si>
  <si>
    <t>Supply, Delivery and Installation of Drywall Partitions and other improvement works for Calbayog Branch</t>
  </si>
  <si>
    <t>Supply &amp; Delivery of Piglets for Distribution to Farmer Association in Ormoc City</t>
  </si>
  <si>
    <t>IMPROVEMENT OF BUSINESS CENTER BUILDING III</t>
  </si>
  <si>
    <t>1 unit DIGITAL COPIER MACHINE</t>
  </si>
  <si>
    <t>Purchase of various construction supplies for Fabrication of R.C. Pipes for Roads &amp; Bridges for different Brgys.use</t>
  </si>
  <si>
    <t>Supply &amp; Delivery of Various Information Technology Peripherals for Official use (City Admin &amp; Public Market Office), Ormoc Public Market, Ormoc City</t>
  </si>
  <si>
    <t>P.R. No. X7-20-06-233 - Supply and delivery for the use in the various seminars and trainings of Planning and Design Division</t>
  </si>
  <si>
    <t>30 units Incubator</t>
  </si>
  <si>
    <t>P.R. No. X7-20-07-321 - Supply and Delivery for the use in the Planning and Design Division</t>
  </si>
  <si>
    <t xml:space="preserve">Repair &amp; Maintenance of Early Warning System Repair of Local Flood Warning System Receiver Station on Ormoc CDRRMO Operation Center &amp; Automated Water Level Sensor on Purok 3, Brgy. RM Tan, Ormoc City </t>
  </si>
  <si>
    <t>Purchase of Three (3) Computer Sets with Accessories and Printers for OSCA Office at LGU-Mabini, Bohol</t>
  </si>
  <si>
    <t>PURCHASE &amp; DELIVERY OF MATERIALS FOR THE INSTALLATION OF AIRCON UNITS AT ENGINEERING OFFICE</t>
  </si>
  <si>
    <t>CONSTRUCTION / REPAIR / REHABILITATION OF CELL FOR INMATE, ROMBLON, ROMBLON</t>
  </si>
  <si>
    <t>71,155 Liters Gasoline Fuel, etc.</t>
  </si>
  <si>
    <t>IMPROVEMENT OF CANAL LINING (CANAL COVER) AT POBLACION II</t>
  </si>
  <si>
    <t>Supply &amp; Delivery of Various Appliances for Office use, Video/Web Conferencing &amp; Webinars, City Accounting Office, Ormoc City</t>
  </si>
  <si>
    <t>Support to DepEd Learning Continuity Plan (Procurement of 30 Units Printer) at LGU-Mabini, Bohol</t>
  </si>
  <si>
    <t>P.R. No. X11-20-06-253 - Supply and Delivery for the repair and Maintenance of Mitsubishi Montero, H1-7092 (100804/LMR-504) assigned at EMD</t>
  </si>
  <si>
    <t>Supply &amp; Delivery of Various Construction Materials &amp; Supplies for Provision of Materials for Community Aid Program of Various Barangays, City Mayor's Office, Ormoc City</t>
  </si>
  <si>
    <t>SUPPLY &amp; DELIVERY OF OFFICE CURTAINS USE FOR SANGGUNIANG BAYAN OFFICE 2ND QUARTER 2020</t>
  </si>
  <si>
    <t>Purchase/Acquisition of Fuels for the Maintenance of Municipal Vehicles &amp; Heavy Equipment</t>
  </si>
  <si>
    <t>Procurement of One (1) unit Sonic Wall License Renewal</t>
  </si>
  <si>
    <t>COMPLETION OF RED CROSS TRAINING CENTER, ROMBLON, ROMBLON</t>
  </si>
  <si>
    <t>Supply &amp; Delivery of Chest Freezer for Milk Storage for the Milk Bank Program use, City Health Office, Ormoc City</t>
  </si>
  <si>
    <t>Procurement of Learners Material for the Reproduction of Learners' Module</t>
  </si>
  <si>
    <t>7 bottles Auto Transmission Fluid, 1 liter, etc.</t>
  </si>
  <si>
    <t>Supply &amp; Delivery of Various Electrical Wire &amp; Supplies for Water Pumping Station, Ormoc Water Works System Administration Office, Ormoc City</t>
  </si>
  <si>
    <t>DDN GDSI 2020-34</t>
  </si>
  <si>
    <t>Supply and Delivery of Pick Up Vehicle use for Vice Mayor’s Office</t>
  </si>
  <si>
    <t>10 pieces Ballast, Electronic, single - 40watts, 240volts, etc.</t>
  </si>
  <si>
    <t>Supply &amp; Delivery of Feeds for Bangus Fingerlings/Fry Distributed to Association. City Agriculture's Office, Ormoc City</t>
  </si>
  <si>
    <t>PR NO. 2020-07-176 PURCHASE OF 4G-LTE MOBILE GLOBAL NETWORK WALKIE - TALKIE AND ACCESSORIES FOR USE IN THE MAINTENANCE SECTION</t>
  </si>
  <si>
    <t>6 packs Bag, Poly - 3 x 8, 100s/pack, etc.</t>
  </si>
  <si>
    <t>1 unit COPIER MACHINE</t>
  </si>
  <si>
    <t>PURCHASE OF MONOBLOC TABLE &amp; CHAIR &amp; CURTAINS, COOP, CALBAYOG CITY</t>
  </si>
  <si>
    <t>CONSTRUCTION OF PATHOLOGICAL PIT, ROMBLON DISTRICT HOSPITAL (RDH), ROMBLON, ROMBLON</t>
  </si>
  <si>
    <t>Supply &amp; Delivery of Ope Shelves for CHD-Pharmacy Bodega use, City Health Office, Ormoc City</t>
  </si>
  <si>
    <t>Supply &amp; Delivery of Various Kitchen Supplies for Slaughterhouse Personnel Protective Equipment, Ormoc Slaughterhouse, Ormoc City</t>
  </si>
  <si>
    <t>IMPROVEMENT OF OFFICE OF THE MUNICIPAL MAYOR</t>
  </si>
  <si>
    <t>PURCHASE OF AIRCON, COOP, CALBAYOG CITY</t>
  </si>
  <si>
    <t>Repair of District Office at MCES, Poblacion, Mabini, Bohol</t>
  </si>
  <si>
    <t>Supply &amp; Delivery of agricultural Supplies</t>
  </si>
  <si>
    <t>13,260 liters Gasoline Fuel, etc.</t>
  </si>
  <si>
    <t>Supply, Delivery and Installation of Glass Partitions and Glass Doors of Calbayog Branch</t>
  </si>
  <si>
    <t>Supply &amp; Delivery of Rabies Vaccine (10 dose) for the use of City Veterinary Office, Ormoc City</t>
  </si>
  <si>
    <t>Supply &amp; Delivery of Bangus Fry (fingerlings) for Distribution to Fisherfolk Association/Fisherfolk in Ormoc City, City Agriculture's Office, Ormoc City</t>
  </si>
  <si>
    <t>PROCUREMENT OF FARM INPUTS FOR RICE TECHNO-DEMO IN VARIOUS BARANGAYS</t>
  </si>
  <si>
    <t>To Support The Logistical Requirements of HHCO,55EBDE,PA</t>
  </si>
  <si>
    <t>Supply &amp; Delivery of Crablet for Distribution to Fisherfolks Association, City Agriculture's Office, Ormoc City</t>
  </si>
  <si>
    <t>RFQ 2020-07-448 Procurement of various I.T. Equipment for MCL</t>
  </si>
  <si>
    <t>2 units Computer Laptop, etc.</t>
  </si>
  <si>
    <t>SUPPLY AND DELIVERY OF VARIOUS LABORATORY SUPPLIES &amp; REAGENTS FOR LABORATORY SET-UP UNDER TIE-UP SCHEME FOR 4 PROVINCIAL HOSPITALS, 12 DISTRICT HOSPITALS AND CPHO MAIN LABORATORY FOR THE PROVINCE OF C</t>
  </si>
  <si>
    <t>PROCUREMENT OF OFFICE EQUIPMENT AND SUPPLY (Supply. Delivery of IT Equipment and Airconditioner)</t>
  </si>
  <si>
    <t>Photo &amp; Video Coverage Services for Linggo ng Kabataan 2020 from August 9-15, 2020, City Mayor's Office, Ormoc City</t>
  </si>
  <si>
    <t>200 coblets Albendazole Coblet, etc.</t>
  </si>
  <si>
    <t>To Support The Logistical Requirements of 97IB,1ID,PA</t>
  </si>
  <si>
    <t>1 unit Laptop, etc.</t>
  </si>
  <si>
    <t>PURCHASE OF MATERIALS FOR TEMPORARY SHELTER/SHED FOR ZERO WASTE TECHNOLOGY MACHINERIES</t>
  </si>
  <si>
    <t>Rental of LED Wall Screen for Various Activities for the Month of August 2020, City Mayor's Office, Ormoc City</t>
  </si>
  <si>
    <t>1 Unit Computer Server, etc.</t>
  </si>
  <si>
    <t>PURCHASE OF WORKING GLOVES AND GARBAGE BAG TO BE USED FOR SOLID WASTE MANAGEMENT PROGRAM OF THE MUNICIPALITY</t>
  </si>
  <si>
    <t>CONSTRUCTION OF LEACHATE POND ( SANITARY LANDFILL)</t>
  </si>
  <si>
    <t>Procurement of Surveillance Equipment for Mayor’s Office</t>
  </si>
  <si>
    <t>SABANGAN ROAD OPENING</t>
  </si>
  <si>
    <t>Supply &amp; Delivery of Feeds for Ducks &amp; Pig/Swine Distributed to Farmers Association, City Agriculture's Office, Ormoc City</t>
  </si>
  <si>
    <t>PROPOSED CONSTRUCTION OF MULTI-PURPOSE BUILDING AT BARANGAY TAGARAN, CAUAYAN CITY, ISABELA</t>
  </si>
  <si>
    <t>Supply &amp; Delivery of Organic Fertilizer (50kls/bag) for the use of City Nursery &amp; Demo Farm of the Office, City Agriculture's Office, Ormoc City</t>
  </si>
  <si>
    <t>Wiring of new LAN Cabling for all workstations of new office space of Calbayog Branch</t>
  </si>
  <si>
    <t>Procurement of Food Stuff</t>
  </si>
  <si>
    <t>To Support The Logistical Requirements of 553EBDE,55EBDE,PA</t>
  </si>
  <si>
    <t>To Support The Logistical Requirements of 42IB,9ID,PA</t>
  </si>
  <si>
    <t>Supply and Delivery of One (1) Motor Vehicle (Brand New) Passenger Van – 15 Seater</t>
  </si>
  <si>
    <t>REPRESENTATION EXPENSE (OJ8-220,800.00)</t>
  </si>
  <si>
    <t>Supply &amp; Delivery of Various Office Equipment's to be used Business Permits Office, Business Permits, Licensing &amp; Franchising Division Office, Ormoc City</t>
  </si>
  <si>
    <t>csptc office supply</t>
  </si>
  <si>
    <t>Supply &amp; Delivery of Various Hardware &amp; Construction Supplies use for Gtaw, Driving, Automotive Plumbing &amp; Maintenance of TESDC Office, Ormoc City</t>
  </si>
  <si>
    <t>To Support The Logistical Requirements of 101BDE,1ID,PA</t>
  </si>
  <si>
    <t>Supply, Delivery, Installation and Commissioning of Air Conditioning Units of Calbayog Branch</t>
  </si>
  <si>
    <t>SUPPLY AND DELIVERY OF 12 UNITS BRAND NEW COMMUNICATION EQUIPMENT</t>
  </si>
  <si>
    <t>20NG0099 - REPAIR/MAINTENANCE OF DPWH BUILDING AES - PLANNING AND REPAIR BUILDING/ BERNADETTE VILLAGE, BRGY. LUNA, SURIGAO CITY</t>
  </si>
  <si>
    <t>20NG0030(RE-AD) - NETWORK DEVELOPMENT PROGRAM: ROAD WIDENING - PRIMARY ROADS, DAANG MAHARLIKA (SURIGAO - AGUSAN SECTION) - K1160+784.00 - K1162+084.72, K1163+600.00 - K1163+660.00/ ALEGRIA, SURIGAO DE</t>
  </si>
  <si>
    <t>Supply &amp; Delivery of Copier for SP use, Sangguniang Panlungsod, Ormoc City</t>
  </si>
  <si>
    <t>CONSULTANCY SERVICES FOR THE ASSESSMENT AND CAPACITY-BUILDING TO ADDRESS THE NON-REVENUE WATER (NRW) OF SANTIAGO WATER DISTRICT (SANWAD)</t>
  </si>
  <si>
    <t>OTHER SUPPLIES &amp; MATERIAL EXP (OJ8-PHP158,265.00)</t>
  </si>
  <si>
    <t>INVITATION TO BID REQUEST FOR QUOTATION FOR IMPROVEMENT OF PUBLIC BUILDING</t>
  </si>
  <si>
    <t>Supply, Delivery and Installation of LED Lights at Calbayog Branch</t>
  </si>
  <si>
    <t>To Support The Logistical Requirements of 554EBN,55EBDE,PA</t>
  </si>
  <si>
    <t>SUPPLY OF 1,500 PCS. FACEMASK under PR No. GSD-2007-083 and ITB No. 2007-045-12</t>
  </si>
  <si>
    <t>Supply and Delivery of Gold Bracelet Jewelry</t>
  </si>
  <si>
    <t>Procurement of various medical supplies-B-20-0219</t>
  </si>
  <si>
    <t>Supply and Delivery of Gold Necklace</t>
  </si>
  <si>
    <t>ROAD CONCRETING AT SAN FRANCISCO PUBLIC CEMETERY, CAUAYAN CITY, ISABELA</t>
  </si>
  <si>
    <t>Procurement of Office Equipment (MDRRMO)</t>
  </si>
  <si>
    <t>Procurement of Publication of 18 pages ordinance-B-20-0218</t>
  </si>
  <si>
    <t>ROAD CONSTRUCTION AND BOX CULVERT AT CATTLEYA STREET, BARANGAY SAN FERMIN, CAUAYAN CITY, ISABELA</t>
  </si>
  <si>
    <t>Procurement of construction materials-B-20-0217</t>
  </si>
  <si>
    <t>2020MC-SVP077 Supply &amp; Delivery of Vegetables &amp; Condiments for the Feeding Program of the Underweight &amp; Severely Underweight Children @ Masbate City</t>
  </si>
  <si>
    <t>To Support The Logistical Requirements of 12DRC,1ID,PA</t>
  </si>
  <si>
    <t>2020MC-SVP076 Purchase of Photocopier Machine for City DepEd of LGU - Masbate City</t>
  </si>
  <si>
    <t>Shrink Wrapping Machine as per BSP Specification</t>
  </si>
  <si>
    <t>2020MC-SVP075 Purchase of Surgical Mask &amp; Gloves in Relation to Covid - 19 Pandemic of LGU - Masbate City</t>
  </si>
  <si>
    <t>ROAD CONSTRUCTION AND BOX CULVERT AT BARANGAY VILLA CONCEPCION, CAUAYAN CITY, ISABELA</t>
  </si>
  <si>
    <t>To Support The Logistical Requirements of 12CMOBN,(P),PA</t>
  </si>
  <si>
    <t>To Support The Logistical Requirements of 10IB,1ID,PA</t>
  </si>
  <si>
    <t>PROCUREMENT OF MATERIALS &amp; SUPPLIES FOR THE IN HOUSE REPRODUCTION OF MODULES IN ALL LEARNING AREAS PER GRADE LEVEL</t>
  </si>
  <si>
    <t>supply and delivery of office supplies to be used at Regional Soils Laboratory with PR#332 dated 6/26/20 with an ABC of 230,900</t>
  </si>
  <si>
    <t>To Support The Logistical Requirements of 102BDE,1ID,PA</t>
  </si>
  <si>
    <t>Provision of Meals and Snacks to be served during the inauguration of RADDL on August 12 in CLIARC, Tarlac City with an ABC of P51,000.00 &amp; PR#DA3-2020-7-27-377</t>
  </si>
  <si>
    <t>Packaging Materials for Twenty Five (25)Program Registration Documents</t>
  </si>
  <si>
    <t>2020MC-SVP74 Purchase of Rapid Test Kit for Covid - 19 Pandemic at Masbate City</t>
  </si>
  <si>
    <t>Purchase of Hardware and Electrical Materials</t>
  </si>
  <si>
    <t>ROAD CONCRETING AT BARANGAY SAN ANTONIO, CAUAYAN CITY, ISABELA</t>
  </si>
  <si>
    <t>ROAD CONCRETING AT BARANGAYS CULALABAT - GUAYABAL, CAUAYAN CITY, ISABELA</t>
  </si>
  <si>
    <t>Procurement of One (1) Unit BACKHOE</t>
  </si>
  <si>
    <t>ASPHALTING AND INSTALLATION OF PVC CANAL WITH GRATING, SIDEWALK, CURB AND GUTTER AT SPORTS COMPLEX, BARANGAY TAGARAN, CAUAYAN CITY, ISABELA</t>
  </si>
  <si>
    <t>IMPROVEMENT OF EXISTING ROCK CAUSEWAY, PORT OF SAN ROQUE, DARAM, SAMAR</t>
  </si>
  <si>
    <t>CONSTRUCTION OF WATER SUPPLY AT BAHONG AND MARAGEM</t>
  </si>
  <si>
    <t>ROAD REBLOCKING AT BARANGAY SAN FERMIN, CAUAYAN CITY, ISABELA</t>
  </si>
  <si>
    <t>CONSTRUCTION OF WATER SUPPLY AT BOKIG AND PITDAO IN BARANGAY PASDONG</t>
  </si>
  <si>
    <t>LIGHTING OF THE MUNICIPAL PUBLIC MARKET 					(at Brgy. Poblacion)</t>
  </si>
  <si>
    <t>ROAD CONCRETING AT BARANGAYS RIZAL – SAN FRANCISCO, CAUAYAN CITY, ISABELA</t>
  </si>
  <si>
    <t>REHABILITATION OF WATER SUPPLY AT BONENG IN BARANGAY NAGUEY</t>
  </si>
  <si>
    <t>FABRICATION AND INSTALLATION OF 8 PAIRS BASKETBALL GOALS, BOARDS &amp; RINGS</t>
  </si>
  <si>
    <t xml:space="preserve">Contract ID No. 20CSNC0005 - Cluster 5 - Consulting Services for the Conduct of Soil Exploration and/or Geotechnical Investigation in the preparation for the Preliminary Engineering Design of various </t>
  </si>
  <si>
    <t>Contract ID No. 20CSNC0004 - Cluster 4 - Consulting Services for the Conduct of Soil Exploration and/or Geotechnical Investigation in the preparation for the Preliminary Engineering Design of various</t>
  </si>
  <si>
    <t>For use of TOYOTA Hi-Ace Ambulance with Plate No, CS    and Hyundai Starex w/plate No, SHU 760</t>
  </si>
  <si>
    <t>Supply and Delivery of Diesel for Solid Waste Management Unit</t>
  </si>
  <si>
    <t>Three (3) Lots for the Supply and Delivery of Diesel and Motor Oil for Roxas City PNP, City Assessor’s Office and Roxas City Disaster Risk Reduction and Management Office</t>
  </si>
  <si>
    <t>ROAD CONCRETING AT LINDAIN STREET, BARANGAY DISTRICT 3, CAUAYAN CITY, ISABELA</t>
  </si>
  <si>
    <t>REROOFING OF GID WAREHOUSE AND OFFICE AT NFA COMPOUND, MASBATE CITY</t>
  </si>
  <si>
    <t>ROAD CONCRETING AT BARANGAYS LABINAB – DUMINIT, CAUAYAN CITY, ISABELA</t>
  </si>
  <si>
    <t xml:space="preserve">Contract ID No. 20CSNC0006 - Cluster 6 - Consulting Services for the Conduct of Soil Exploration and/or Geotechnical Investigation in the preparation for the Preliminary Engineering Design of various </t>
  </si>
  <si>
    <t>Repair/Improvement of Comfort Rooms @ Niogan Elementary School, Brgy. Niogan</t>
  </si>
  <si>
    <t>Supply and Delivery of Construction Materials at Baobo Repair</t>
  </si>
  <si>
    <t>Repair/Improvement of Portion of Road @ A. Mabini Street, Brgy. Takungan</t>
  </si>
  <si>
    <t>Repair/Improvement  of PNP Barracks  @ Brgy. Bagumbayan</t>
  </si>
  <si>
    <t>PURCHASE OF DIVING ACCESSORIES FOR THE COASTAL RESOURCE MANAGEMENT PROGRAM</t>
  </si>
  <si>
    <t>Supply and Delivery of School MOOE of Silahis Elementary School</t>
  </si>
  <si>
    <t>Repair/Improvement of Principals Office @ Bugarin National High School, Brgy. Halayhayin</t>
  </si>
  <si>
    <t xml:space="preserve">Contract ID No. 20CSNC0009 - Cluster 9 - Consulting Services for the Conduct of Soil Exploration and/or Geotechnical Investigation in the preparation for the Preliminary Engineering Design of various </t>
  </si>
  <si>
    <t>AGR-20-0906-B Purchase of HOUSEKEEPING SUPPLIES</t>
  </si>
  <si>
    <t>CONSTRUCTION OF WATER SUPPLY AT BOY-OTAN AND ANDIONGAN IN BARANGAY ABIANG</t>
  </si>
  <si>
    <t>GOV-20-0942-B Purchase of DIESEL FUEL</t>
  </si>
  <si>
    <t>REPAIR &amp; MAINTENANCE MOTOR VEHICLE (OJ4-PHP80,758.00)</t>
  </si>
  <si>
    <t>AGR-20-0905-B PURCHASE  OF OFFICE SUPPLIES</t>
  </si>
  <si>
    <t>PROCUREMENT OF ADVOCACY POLO SHIRTS</t>
  </si>
  <si>
    <t>PPD-20-0901-B Purchase of Office Supplies</t>
  </si>
  <si>
    <t>Repair/Improvement of Open-Lined Canal at Interior A. Mabini Street @ Brgy. Takungan</t>
  </si>
  <si>
    <t>PURCHASE OF MEDICINES</t>
  </si>
  <si>
    <t>Supply and Delivery of materials for the Improvement of Multi-Purpose Hall</t>
  </si>
  <si>
    <t>Supply and Delivery of Construction Materials at Boan CIS</t>
  </si>
  <si>
    <t xml:space="preserve">Contract ID No. 20CSNC0007 - Cluster 7 - Consulting Services for the Conduct of Soil Exploration and/or Geotechnical Investigation in the preparation for the Preliminary Engineering Design of various </t>
  </si>
  <si>
    <t>Laboratory equipment for LPH-Dr. Jose P. Rizal Memorial District Hospital (DJPRMDH)</t>
  </si>
  <si>
    <t>Materials and other supplies for Laguna Medical Center Malasakit Center Networking</t>
  </si>
  <si>
    <t>Office, IT and other equipment for Laguna Medical Center (Malasakit Center)</t>
  </si>
  <si>
    <t>OFFICE SUPPLIES FOR THE 1ST QUARTER OF 2020</t>
  </si>
  <si>
    <t>Medical supplies for LPH-Bay District Hospital</t>
  </si>
  <si>
    <t>JANITORIAL SUPPLIES FOR THE 1ST QUARTER OF 2020</t>
  </si>
  <si>
    <t>AGR-20-0925-B Purchase of AGRICULTURAL SEEDS</t>
  </si>
  <si>
    <t>Contract ID No. 20CSNC0008 - Cluster 8 - Consulting Services for the Conduct of Soil Exploration and/or Geotechnical Investigation in the preparation for the Preliminary Engineering Design of various</t>
  </si>
  <si>
    <t>COMPUTER SUPPLIES AND SEMI-EXPANDABLE MATERIALS FOR 2ND QUARTER OF 2020</t>
  </si>
  <si>
    <t>PURCHASE OF MATERIALS FOR CONSTRUCTION DRAINAGE SYSTEM</t>
  </si>
  <si>
    <t>Acrylic name tag for LPH-Dr. Jose P. Rizal Memorial District Hospital</t>
  </si>
  <si>
    <t>Supply and Delivery of Spare Parts for Mahindra Scorpio EG4004</t>
  </si>
  <si>
    <t>Medical supplies for Laguna Medical Center</t>
  </si>
  <si>
    <t>Office Equipment, other machinery and equipment for LPH-Dr. Jose P. Rizal Memorial District Hospital</t>
  </si>
  <si>
    <t>PROCUREMENT OF ANTI-RABIES VACCINES</t>
  </si>
  <si>
    <t>AGR-20-0924-B Purchase of AGRICULTURAL SUPPLIES</t>
  </si>
  <si>
    <t>GOV-20-0916-NP (SV)</t>
  </si>
  <si>
    <t>Water pump single phase 1.5HP (Shallow Well) for Laguna Medical Center</t>
  </si>
  <si>
    <t>Construction of  Irrigation Facilities/CABTRIS 20</t>
  </si>
  <si>
    <t>Various supplies for Governor’s Office – Executive</t>
  </si>
  <si>
    <t>COMPUTER SUPPLIES AND SEMI-EXPANDABLE MATERIALS FOR THE 1ST QUARTER OF 2020</t>
  </si>
  <si>
    <t>Emergency Purchase of Food Stuff and Other Materials for Maintenance of Control Point</t>
  </si>
  <si>
    <t>Improvement of Multi-purpose building</t>
  </si>
  <si>
    <t>Request for Price Quotation/ Invitation to Bid</t>
  </si>
  <si>
    <t>Rehabilitation of Multi-Purpose Building</t>
  </si>
  <si>
    <t>Purchase of Waste Management Supplies and Materials</t>
  </si>
  <si>
    <t>Purchase of Office Supplies and Materials</t>
  </si>
  <si>
    <t>Purchase and Installation of Accessories of Rescue Vehicle with plate no. P6 N257 of the Municipality of San Nicolas, Batangas</t>
  </si>
  <si>
    <t>OTHER SUPPLIES:FOR PANTAWID PAMILYANG PILIPINO PROGRAM USE</t>
  </si>
  <si>
    <t>Purchase Request for Balintad ES (District of Baungon I)</t>
  </si>
  <si>
    <t>PROCUREMENT FOR CATERING SERVICES  P.R NO. 0706 SERIES 2020</t>
  </si>
  <si>
    <t>PROCUREMENT OF CONSULTANCY SERVICES FOR THE IMPLEMENTATION OF PROFICIENCY STAGE OF THE PGS WITHIN THE MARINA ORGANIZATION</t>
  </si>
  <si>
    <t>Supply and Delivery of 15 units Palay Thresher &amp; 15 units Handtractor  with trailer for implementation under 2020 SAAD Program</t>
  </si>
  <si>
    <t>For use of Toyota Hi-lux pick up w/ plate no. SHU-723.</t>
  </si>
  <si>
    <t>Proposed Construction of Concrete Walkway</t>
  </si>
  <si>
    <t>Purchase of 1 unit MAVIC 2 PRO Drone with FLY MORE KIT</t>
  </si>
  <si>
    <t>FABRICATION OF FIBERGLASS BASKETBALL GOAL</t>
  </si>
  <si>
    <t>PURCHASE OF GOODS AND SUPPLIES FOR LOCALLY STRANDED INDIVIDUAL OF BARANGAY STA. CRUZ</t>
  </si>
  <si>
    <t>Meals &amp; Snacks for Sangguniang Kabataan Federation &amp; City Youth Development Council Activities for 2020 Linggo ng Kabataan, City Mayor's Office, Ormoc City</t>
  </si>
  <si>
    <t>Address Stub</t>
  </si>
  <si>
    <t>PROCUREMENT OF PLUMBING SUPPLIES AND MATERIALS FOR THE DRAINAGE FACILITY OF THE FOOD COURT IN THE CITY PUBLIC MARKET</t>
  </si>
  <si>
    <t>PROCUREMENT FOR JANITORIAL SUPPLIES  P.R NO. 0702 SERIES 2020</t>
  </si>
  <si>
    <t>ECO BAG</t>
  </si>
  <si>
    <t>PURCHASE OF GOODS AND SUPPLIES OF BARANGAY STA. CRUZ</t>
  </si>
  <si>
    <t>SUPPLY AND DELIVERY OF JANITORIAL SUPPLIES P.R NO. 0703 SERIES 2020</t>
  </si>
  <si>
    <t>Purchase of 1 unit Municipal Rescue Vehicle/Emergency Transport Unit</t>
  </si>
  <si>
    <t>PURCHASE OF TWO (2) UNITS DUMPTRUCK (1ST BID)</t>
  </si>
  <si>
    <t>Procurement and Delivery of One (1) assembly Drying Oven-Incubator (Dual-Use)</t>
  </si>
  <si>
    <t>Procurement and delivery of School materials and  office supplies of Balintawak Elementary School</t>
  </si>
  <si>
    <t>Supply and Delivery of Office/School Supplies (Perez ES)</t>
  </si>
  <si>
    <t>Purchase of Meals &amp; Snacks for the Celebration of 65th Founding Anniversary of the Municipality of San Nicolas, Batangas</t>
  </si>
  <si>
    <t>SUPPLY AND DELIVERY OF COVERALL JUMPSUITS AND WATERPROOF RAIN SHOES</t>
  </si>
  <si>
    <t>SUPPLY AND DELIVERY OF MEDICAL EQUIPMENT P.R NO. 0705 SERIES 2020</t>
  </si>
  <si>
    <t>Purchase and Installation of Accessories of Rescue Vehicle with plate no. P6 P925 of the Municipality of San Nicolas, Batangas</t>
  </si>
  <si>
    <t>SUPPLY AND DELIVERY OF (OFFICE EQUIPMENT) REPRODUCTION MACHINE  FOR THE CITY GENERAL SERVICES OFFICE</t>
  </si>
  <si>
    <t>Construction/ Improvement of Concrete Pavement Brgy. Tinucdugan Leyte, Leyte</t>
  </si>
  <si>
    <t>Supply and Delivery of Construction Materials - Rehabilitation/Repair of Caramoan Community College Building</t>
  </si>
  <si>
    <t>Purchase of CCTV Cameras (Brgy. Dev't Plan)</t>
  </si>
  <si>
    <t>Vehicle Pepair and Maintenance of L300 Van VCV 759 and Multicab</t>
  </si>
  <si>
    <t>SUPPLY DELIVERY AND INSTALLATION OF VARIOUS MATERIALS FOR THE REHABILITATION AND REPLACEMENT OF TRAFFIC SIGNAGES</t>
  </si>
  <si>
    <t>SANITARY DAY</t>
  </si>
  <si>
    <t>GAMIT KO, GAMIT MO, GAMIT NATING LAHAT</t>
  </si>
  <si>
    <t>CALAMITY FUND</t>
  </si>
  <si>
    <t>Supplies and Delivery of General Merchandise YDF (School Supplies)</t>
  </si>
  <si>
    <t>CONSTRUCTION OF DRAINAGE SYSTEM</t>
  </si>
  <si>
    <t>rfq</t>
  </si>
  <si>
    <t>Recorder, Standalone h.264 USB, portable</t>
  </si>
  <si>
    <t>SUPPLY AND DELIVERY OF CONSTRUCTION MATERIALS AND SUPPLIES P.R NO. 0642 SERIES 2020</t>
  </si>
  <si>
    <t>PURCHASE OF DIGITAL DUPLICATING MACHINE, LAPTOP AND PRINTER USE FOR MODULAR REPRODUCTION OF DEPED LANTAPAN EAST AND WEST DISTRICT [1ST BID]</t>
  </si>
  <si>
    <t>2020 Office Supplies</t>
  </si>
  <si>
    <t>CONDUCT WORLD TEACHER'S DAY (October 2020)</t>
  </si>
  <si>
    <t>Agricultural Products</t>
  </si>
  <si>
    <t>PURCHASE OF EXPANDING PLASTIC ENVELOPE LONG</t>
  </si>
  <si>
    <t>Office suplies</t>
  </si>
  <si>
    <t>Purchase and Delivery of Office Equipment - STCNHS</t>
  </si>
  <si>
    <t>PURCHASE OF OFFICE IT EQUIPMENT AND OTHERS OFFICE SUPPLIES</t>
  </si>
  <si>
    <t>Linggo ng Kabataan</t>
  </si>
  <si>
    <t>Concreting of Sitio Cabangan, Barangay Norte to Barangay Kilogan Farm to Market Road, Barangay Norte and Barangay Kilogan, Patnanungan, Quezon</t>
  </si>
  <si>
    <t>Rehabilitation of Water system -NEGOTIATED</t>
  </si>
  <si>
    <t>For use  at DPWH Quezon I DEO, Lucban, Quezon (Planning &amp; Design Section)</t>
  </si>
  <si>
    <t>Concreting of Barangay Amot to Bonifacio Farm to Market Road Barangay Amot and Bonifacio Burdeos, Quezon</t>
  </si>
  <si>
    <t>Medical, dental and laboratory supplies</t>
  </si>
  <si>
    <t>Purchase of  Close Circuit Television CCTV</t>
  </si>
  <si>
    <t>SUPPLY AND DELIVERY OF VARIOUS MATERIALS FOR CONSTRUCTION/INSTALLATION OF SOLAR STREETLIGHTS, CONCRETING OF BARANGAY ROAD (ZONE VI), CONCRETING OF BARANGAY ROAD (PHASE 1)ZONE I</t>
  </si>
  <si>
    <t>PROCUREMENT OF GYM EQUIPMENT FOR OFFICIAL USE OF EMB R6</t>
  </si>
  <si>
    <t>PRINTING OF FRANCHISE  STICKERS FOR THE REPLACEMENT OF EXISTING STICKERS</t>
  </si>
  <si>
    <t>PROCUREMENT OF LAPTOP AND PRINTER</t>
  </si>
  <si>
    <t>SUPPLY AND DELIVERY OF CONSTRUCTION MATERIALS FOR THE CONCRETING OF BARANGAY ROADS PHASE II (L=90MTS, W=5MTS, T=9")</t>
  </si>
  <si>
    <t>SUPPLY AND DELIVERY OF CONSTRUCTION MATERIALS FOR THE REHABILITATION OF MULTI-PURPOSE HALL</t>
  </si>
  <si>
    <t>BRGY. ROAD CONCRETING EXPANSION (PUROK TABAY)</t>
  </si>
  <si>
    <t>Supply &amp; Delivery of Construction Materials for the Construction of Streetlights @ Barangay Gogon-Namuat</t>
  </si>
  <si>
    <t>Purchase of Materials for Repair of Equipment</t>
  </si>
  <si>
    <t>CONSTRUCTION OF BARANGAY PATHWAY</t>
  </si>
  <si>
    <t>Supply &amp; Delivery of Construction Materials for the Construction of Streetlights @ Barangay Escuala-Inlagadian</t>
  </si>
  <si>
    <t>Construction materials and Supplies</t>
  </si>
  <si>
    <t>2020-08-001-a.m</t>
  </si>
  <si>
    <t>Procurement of Hardware and Constructions Supplies for Construction of Deepwell/Shallow Well</t>
  </si>
  <si>
    <t>Procurement of Medical and laboratory Supplies</t>
  </si>
  <si>
    <t>Maritime Spare Parts</t>
  </si>
  <si>
    <t>SUPPLY AND DELIVERY OF AMBULANCE</t>
  </si>
  <si>
    <t>PROCUREMENT OF TECHNICAL AND SCIENTIFIC EQUIPMENT</t>
  </si>
  <si>
    <t>Supply and Delivery of Various Powered Tools, Carpentry Tools and Generator for use in the Implementation of Barangay Infrastructure Projects</t>
  </si>
  <si>
    <t>VAN RENTAL SERVICES</t>
  </si>
  <si>
    <t>PROCUREMENT OF INFORMATION AND COMMUNICATION TECHNOLOGY EQUIPMENT</t>
  </si>
  <si>
    <t>Procurement of Laboratory Supplies</t>
  </si>
  <si>
    <t>PROCUREMENT OF DIESEL</t>
  </si>
  <si>
    <t>PROCUREMENT OF  SUPPLY, DELIVERY, INSTALLATION, TESTING AND COMMISSIONING OF PUMPING AND CHLORINATION EQUIPMENT AND GENERATOR SETS</t>
  </si>
  <si>
    <t>Common Office Equipment</t>
  </si>
  <si>
    <t>Common ICT Equipment</t>
  </si>
  <si>
    <t>PROCUREMENT OF COMPUTERIZED HOSPITAL INFORMATION SYSTEM &amp; ELECTRONIC HEALTH RECORD FOR THE USE OF NAVOTAS CITY HOSPITAL &amp; 25 HEALTH CENTERS (SECOND BIDDING)</t>
  </si>
  <si>
    <t>IMPROVEMENT OF SOOKAN-GAMBANG FMR, GAMBANG, BAKUN, BENGUET</t>
  </si>
  <si>
    <t>RIPRAPPING OF BANGLELAO ACCESS ROAD, DALIPEY, BAKUN, BENGUET</t>
  </si>
  <si>
    <t>SUPPLY DELIVERY OF CONSTRUCTION MATERIALS FOR THE CONSTRUCTION OF MULTI-PURPOSE HALL</t>
  </si>
  <si>
    <t>PROCUREMENT &amp; DELIVERY OF VARIOUS OFFICE SUPPLIES</t>
  </si>
  <si>
    <t>KC : CATERING SERVICE RE: conduct of PAMANA CEAC Activities Cycle 2 in the municipality of Bayog,ZDS</t>
  </si>
  <si>
    <t>“Procurement of Various Materials for the Installation &amp; Procurement of Solar Streetlights”</t>
  </si>
  <si>
    <t>Purchase of Drugs &amp; Medicines</t>
  </si>
  <si>
    <t>Purchase of Various Medical Supplies for Isolation Facilities</t>
  </si>
  <si>
    <t>Supply and Delivery of Construction Supplies</t>
  </si>
  <si>
    <t>PROVISION OF SUPPLIES FOR REPRODUCTION OF MODULES (F.Y. 2020)</t>
  </si>
  <si>
    <t>Supply and delivery of 450box Disposable Face Mask (50pcs./box) 540btl.  Alcohol (50ml.) 70% Solution and 900 Sachet Soap (60grm.)</t>
  </si>
  <si>
    <t>Janitorial Supplies</t>
  </si>
  <si>
    <t>procurement and delivery of office supies and consumables</t>
  </si>
  <si>
    <t>Purchase and Delivery of Office Supplies - STCNHS</t>
  </si>
  <si>
    <t>Supply and Delivery of Spare Parts for the BCEZ Vehicles (Nissan Navara SAA 6736, Toyota Innova SHB 437, Mitsubishi Adventure Patrol SHP 824)</t>
  </si>
  <si>
    <t>“Procurement of Various Materials for the Construction of Drainage Canal along B. Cortez Street”</t>
  </si>
  <si>
    <t>IMPROVEMENT OF SINACBAT TO BEYENG FARM TO MARKET ROAD,POBLACION, BAKUN, BENGUET</t>
  </si>
  <si>
    <t>KC : CATERING SERVICE for the conduct of PAMANA CEAC Activities Cycle 2 in the municipality of Mabuhay,ZSP</t>
  </si>
  <si>
    <t>Supply and Delivery of Materials for Construction of Barangay  Access Road at Purok Maligaya Dos</t>
  </si>
  <si>
    <t>Supply and Delivery of Materials for Construction of Barangay  Access Road at Purok Maligaya Uno</t>
  </si>
  <si>
    <t>PROCUREMENT OF REHAB SUPPLIES (ALS &amp; SPORTING GOODS)</t>
  </si>
  <si>
    <t>Installation of Street Lights at Sitio Dike</t>
  </si>
  <si>
    <t>VARIOUS  PROJECTS UNDER CLUSTER J-2020, POBLACION, BAKUN, BENGUET</t>
  </si>
  <si>
    <t>Request for Quotation</t>
  </si>
  <si>
    <t>Procurement of laminated sacks</t>
  </si>
  <si>
    <t>EXPANDING PLASTIC ENVELOPE FOR GRADE 7,8 &amp; 9</t>
  </si>
  <si>
    <t>Health Essential Supplies (Face Shield)</t>
  </si>
  <si>
    <t>200 pax Catering Services (1 meal and 2 snacks)</t>
  </si>
  <si>
    <t>Construction of Retaining Wall (Phase III), Barangay Sta. Rosa Noveleta, Cavite.</t>
  </si>
  <si>
    <t>Supply and Delivery of Materials for Construction of Barangay Access Road at Purok Sambat Dos</t>
  </si>
  <si>
    <t>Supply &amp; Delivery of Construction Materials for the Construction of Streetlights @ Barangay Lungib-Tigbao-San Juan</t>
  </si>
  <si>
    <t>KC : Catering Services For the conduct of PAMANA CEAC Activities Cycle 2 in the municipality of Alicia, ZSP</t>
  </si>
  <si>
    <t>KC : Catering Service For the conduct of PAMANA CEAC Activities Cycle 2 in the municipality of Leon Postigo, ZDN</t>
  </si>
  <si>
    <t>PROCUREMENT OF REHAB SUPPLIES (PANTS &amp; TSHIRTS)</t>
  </si>
  <si>
    <t>PROCUREMENT OF REHAB SUPPLIES (GROOMING KIT)</t>
  </si>
  <si>
    <t>Honorarium of Resource Person for the conduct of OTOP Next Gen. Intensive Product Development for Food OTOPRENEURS 2020 on August 7 and 10-11, 2020 in Borongan City.</t>
  </si>
  <si>
    <t>Construction of grouted riprap at Along Araro Creek Barangay Poblacion 1, Gen.Emilio Aguinaldo, Cavite.</t>
  </si>
  <si>
    <t>Supply and Delivery of Materials for Construction of Barangay Access Road at  Purok Maligaya Tres</t>
  </si>
  <si>
    <t>PROCUREMENT OF OFFICE SUPPLIES AND CONSUMMABLE  (ACCOUNTING DIVISION)</t>
  </si>
  <si>
    <t>Concreting of road at Sitio Malinta, Barangay Kabulusan, Magallanes, Cavite.</t>
  </si>
  <si>
    <t>Supply and Delivery of Materials for Construction of Concrete Fence with Cyclone Wire at  Covered Court</t>
  </si>
  <si>
    <t>Construction of concrete slope protection@ Cavite Evacuation Center at Barangay San Agustin, Trece Martires City, Cavite.</t>
  </si>
  <si>
    <t>KC : Catering Service For the conduct of PAMANA CEAC Activities Cycle 2 in the municipality of Lakewood, ZDS</t>
  </si>
  <si>
    <t>Construction of 10 Units Portable 3 Stage Bleacher</t>
  </si>
  <si>
    <t>Purchase of 3100 Printed Ecobag for Modules of Students</t>
  </si>
  <si>
    <t>KC: Catering Services For the conduct of PAMANA CEAC Activities Cycle 2 in the municipality of Sindangan,ZDN and Siayan, ZDN</t>
  </si>
  <si>
    <t>KC : Catering Services For the conduct of PAMANA CEAC Activities Cycle 2 in the municipality of Godod and Kabasalan, Zamboanga Sibugay Province</t>
  </si>
  <si>
    <t>Supply and delivery of laboratory supplies (ALQ 2020-100)</t>
  </si>
  <si>
    <t>SUPPLY AND DELIVERY OF OFFICE SUPPLIES AND MATERIALS FOR ALTERNATIVE LEARNING SYSTEM (ALS), LGU-SFADS</t>
  </si>
  <si>
    <t>“Procurement of Various Materials for Rehabilitation of Various Roads of Barangay Centro East - Aggregates for Shoulders”</t>
  </si>
  <si>
    <t>PROCUREMENT OF OFFICE SUPPLIES AND CONSUMMABLE  BRIDGE - BARMM (ENGINEERING DIVISION)</t>
  </si>
  <si>
    <t>Supply &amp; Delivery of Various Agricultural Supplies</t>
  </si>
  <si>
    <t>Construction of concrete shoulder and 18.30 m riprap at Barangay Anuling Cerca I, Mendez, Cavite.</t>
  </si>
  <si>
    <t>SUPPLY OF GASOLINE, DIESOLINE AND LUBRICANTS FOR USE AT DA-CNLRRS, DAET, CAMARINES NORTE UNDER CORN PROGRAM</t>
  </si>
  <si>
    <t>PREVENTIVE MAINTENANCE SERVICE OF ONE (1) WATER PURIFICATION SYSTEM, BRAND/MODEL LABOSTAR TWF 7 (S/N: 153556-09) OF VARIOUS ANAYLYSIS IN THE ELSS</t>
  </si>
  <si>
    <t>Procurement of Goods for Fish Production-Related Program in Support to Bayanihan to Heal as One Act</t>
  </si>
  <si>
    <t>PROCUREMENT OF SUPPLY AND DELIVERY OF 1 UNIT AIRCONDITION, 1.5HP, SPLIT TYPE, INCLUDING INSTALLATION(MAYOR’S OFFICE)</t>
  </si>
  <si>
    <t>meals and accommodation for 2020 Program Implementation Review</t>
  </si>
  <si>
    <t>PROCUREMENT OF OFFICE SUPPLIES AND CONSUMMABLE  BRIDGE - BARMM (MAGUINDANAO PROVINCE - HR DIVISION)</t>
  </si>
  <si>
    <t>Purchase of Service Vehicle Parts and Accessories</t>
  </si>
  <si>
    <t>Asphalt overlay of road at Purok 1, Purok 2, at Barangay Gregorio, Trece Martires City, Cavite.</t>
  </si>
  <si>
    <t>PROCUREMENT OF SUPPLY AND DELIVERY OF 2,050 LITERS DIESEL FUEL(FOR THE USE OF LDRRMC VEHICLES)</t>
  </si>
  <si>
    <t>LABOR AND MATERIALS FOR THE REPAIR AND PAINTING OF TNZ-151 SERVICE VEHICLE FOR USE AT THE OFFICE OF RTD FOR RESEARCH AND REGULATIONS</t>
  </si>
  <si>
    <t>Construction of grouted riprap at Barangay Limbon, Indang, Cavite.</t>
  </si>
  <si>
    <t>SUPPLY AND DELIVERY OF VARIOUS LABORATORY CONSUMABLES UNDER EMB-ERLSD-ELSS-DIOXINS AND FURANS LABORATORY</t>
  </si>
  <si>
    <t>SUPPLY AND DELIVERY OF INK RIBBON FOR DATA PRINTER OF MICROBALANCE AND RESPIRATOR FOR EMB LABORATORY STAFF UNIT</t>
  </si>
  <si>
    <t>PROCUREMENT OF SUPPLY AND DELIVERY OF 2,000 LITERS DIESEL FUEL(FOR THE USE OF PNP VEHICLES)</t>
  </si>
  <si>
    <t>Supply &amp; Delivery of Complete Fertilizer</t>
  </si>
  <si>
    <t>4Ps : 2222	BXS	SURGICAL FACE MASK--32	BOX	ALCOHOL FOR PANTAWID PAMILYA STAFF SUPPLIES  FROM AUG. TO DEC. 2020</t>
  </si>
  <si>
    <t>C20204158 IT Equipment for PEO use (Dist 1, Dist 2, QACD, PDPMD, SMAD)</t>
  </si>
  <si>
    <t>meals and snacks for Municipal Fiduciary Workshop</t>
  </si>
  <si>
    <t>LAMINATING FILM</t>
  </si>
  <si>
    <t>Rental of Heavy Equipment P.R. No. 137 - DEPW</t>
  </si>
  <si>
    <t>PURCHASE OF KITCHEN WARES</t>
  </si>
  <si>
    <t>Construction of Provincial Veterinary Multi Purpose Building at Barangay Osorio, Trece Martires City, Cavite.</t>
  </si>
  <si>
    <t>Purchase and Delivery of One (1) Unit of Cargo Type Tricycle</t>
  </si>
  <si>
    <t>Supply and Delivery of Bio Composting Machine (Organic Fertilizer Machine and System), Plastic Grinding Machine, Paver Press, Waste Mixer and Waste Baler Machine</t>
  </si>
  <si>
    <t>PURCHASE OF HANDHELD RADIO</t>
  </si>
  <si>
    <t>Procurement of Various Hospital Equipment</t>
  </si>
  <si>
    <t>Construction of Drainage Canal w/ Steel Grating Cover</t>
  </si>
  <si>
    <t>Purchase of 4 Set Venetian Blind</t>
  </si>
  <si>
    <t>Concreting of Farm-to-Market Road</t>
  </si>
  <si>
    <t>meals and snacks for Video Conferencing Meeting for KC-RPMO</t>
  </si>
  <si>
    <t>Procurement of Information Technology (I.T.) Equipment</t>
  </si>
  <si>
    <t>KC : Catering Service For the conduct of PAMANA CEAC Activities Cycle 2 in the municipality of Payao ZSP.</t>
  </si>
  <si>
    <t>Improvement of Multi Purpose Hall</t>
  </si>
  <si>
    <t>meals and accommodation for Finance Technical Session CY2020</t>
  </si>
  <si>
    <t>Procurement of Desktop Computers for Various Offices and Campuses in Batangas State University</t>
  </si>
  <si>
    <t>PROCUREMENT OF SUPPLY AND DELIVERY OF 1,300 LITERS DIESEL FUEL(FOR THE USE OF MAYOR’S OFFICE VEHICLES)</t>
  </si>
  <si>
    <t>Purchase of Construction Materials and Supplies</t>
  </si>
  <si>
    <t>Construction Materials and Supplies</t>
  </si>
  <si>
    <t>Construction of Sanitary Landfill</t>
  </si>
  <si>
    <t>Construction of Residual Containment Area</t>
  </si>
  <si>
    <t>meals and snacks for CEAC Closing activities for IP-CDD B2-C3 Talakag CY2020-</t>
  </si>
  <si>
    <t>SUPPLY AND DELIVERY OF LABORATORY CONSUMABLES UNDER EMB-ERLSD-ENVIRONMENTAL LABORATORY SERVICES SECTION (ELSS) INORGANICS LABORATORY UNIT</t>
  </si>
  <si>
    <t>meals and accommodation for CDD Sector Technical Session CY2020</t>
  </si>
  <si>
    <t>Construction of Municipal Material Nursery Facility Phase 2</t>
  </si>
  <si>
    <t>meals and snacks for CEAC Closing activities for IP-CDD B2-C3 Claveria-Gingoog CY2020</t>
  </si>
  <si>
    <t>meals and snacks for Representation CY2020</t>
  </si>
  <si>
    <t>SUPPLEMENTAL FEEDING</t>
  </si>
  <si>
    <t>CONSTRUCTION OF TWO (2) UNITS WAITING SHED @ BRGY. POB. DIST. NO. 2, MOBO, MASBATE</t>
  </si>
  <si>
    <t>Supply and delivery of laboratory supplies (ALQ 2020-103)</t>
  </si>
  <si>
    <t>meals and snacks for Municipal Fiduciary workshop Talakag</t>
  </si>
  <si>
    <t>meals and accommodation for Program Assessment &amp; Planning workshop CY2020</t>
  </si>
  <si>
    <t>meals and snacks for Municipal Fiduciary workshop-Quezon Bukidnon</t>
  </si>
  <si>
    <t>CONSTRUCTION OF SLOPE PROTECTION AT BARANGAY NEW POBLACION</t>
  </si>
  <si>
    <t>Supply and delivery of Laboratory  Supplies (ALQ 2020-101</t>
  </si>
  <si>
    <t>Purchase of 1 Unit Laptop and 1 Unit Printer with Copier</t>
  </si>
  <si>
    <t>meals and accommodation for CEAC Closing activities for IP-CDD B2-C2 Claveria/Gingoog</t>
  </si>
  <si>
    <t>C20204165  IT Equipment for information technology and communication equipment for integrated mgt of fusarium wilt of bananas</t>
  </si>
  <si>
    <t>Supply and Delivery of Brand New Cargo Trike Motorcycle with Canopy and Windshield</t>
  </si>
  <si>
    <t>Purchase of Audio Equipment and Accessories</t>
  </si>
  <si>
    <t>Purchase of 65 Cavan Rice</t>
  </si>
  <si>
    <t>meals and snacks for Municipal Fiduciary. workshop-claveria mis or.</t>
  </si>
  <si>
    <t>Supply and Delivery of Various Office Equipment</t>
  </si>
  <si>
    <t>IMPROVEMENT OF SEAWALL</t>
  </si>
  <si>
    <t>Purchase of 3 Unit Portable Speaker</t>
  </si>
  <si>
    <t>PROCUREMENT OF PRIVATE MILLING SERVICES FOR NFA REGION 3 FOR THE YEAR 2020</t>
  </si>
  <si>
    <t>meals and accommodation for Quarterly MDM forum CY2020</t>
  </si>
  <si>
    <t>Supply and delivery of school and office supplies .</t>
  </si>
  <si>
    <t>CONSTRUCTION OF LANDMARK: WELCOME SIGNAGES AT BARANGAY BUGCAON AND BASAC (1ST BID)</t>
  </si>
  <si>
    <t>meals and snacks for Municipal Fiduciary workshop-Gingoog</t>
  </si>
  <si>
    <t>SOLAR POWERED STREETLIGHTS</t>
  </si>
  <si>
    <t>meals and accommodation for Joint Infra &amp; Procurement Technical Session CY2020</t>
  </si>
  <si>
    <t>meals and accommodation for Sustainability planning workshop/process documentation and conference</t>
  </si>
  <si>
    <t>Brangay Operation Monitoring System (BOMS)</t>
  </si>
  <si>
    <t>Repair and Improvement of DCC Building - Bicobian</t>
  </si>
  <si>
    <t>Makati Waterways Clean-up</t>
  </si>
  <si>
    <t>Supply and delivery of Office Tables, Chairs and drawers (EPM 2020-110)</t>
  </si>
  <si>
    <t>Breast Feeding Patrol (BFP) and ERPAT for Breastfeeding</t>
  </si>
  <si>
    <t>meals and accommodation for CEAC Closing activities for IP-CDD B2-C2 Talakag Bukidnon</t>
  </si>
  <si>
    <t>Purchase of Aircon-SB Records Section Office</t>
  </si>
  <si>
    <t>Procurement of Office Equipment, Supplies &amp; Consumales</t>
  </si>
  <si>
    <t>Supply &amp; Delivery of Other Structures Supplies and Materials, BNS</t>
  </si>
  <si>
    <t>Construction of CAFF Building (Phase 2)</t>
  </si>
  <si>
    <t>Extension of Existing Drainage Canal</t>
  </si>
  <si>
    <t>Supply &amp; Delivery of Other Supplies and Materials, (MNH), BNS</t>
  </si>
  <si>
    <t>BDRRM</t>
  </si>
  <si>
    <t>PREVENTIVE MAINTENANCE, VALIDATION, AND DECONTAMINATION OF ONE (1) BIOLOGICAL SAFETY CABINET (S/N: 2017-T10148) UNDER EMB-ERLSD-ELSS-ECMU</t>
  </si>
  <si>
    <t>Supply and Delivery of Office Supplies for the Municipal Accountant's Office</t>
  </si>
  <si>
    <t>PURCHASE OF BARANGAY DISASTER RISK REDUCTION MANAGEMENT COMMITTEE RESCUE VEHICLE (BONGO) OF BRGY. SALVACION, PANABO CITY.</t>
  </si>
  <si>
    <t>Supply and Delivery of One (1) Unit Sports Utility Vehicle (SUV) for official use of the Office of the Municipal Mayor</t>
  </si>
  <si>
    <t>Purchase of ICT Supplies, Materials and Equipment</t>
  </si>
  <si>
    <t>Dep-Ed-RO6-D1-MOOE – REPRODUCTION EQUIPMENT- 007-2020</t>
  </si>
  <si>
    <t>Supply and Delivery of Three (3) Units Window Type Airconditioning Unit</t>
  </si>
  <si>
    <t>Supply and Celivery of Window Type Aircon and other Equipment for the Municipal Accountant's Office</t>
  </si>
  <si>
    <t>MATERIAL RECOVERY FACILITY (MRF)</t>
  </si>
  <si>
    <t>2020-05: ITB - Proposed Drainage at Zone 4B, De La Paz (3rd) Street, DCV, Concepcion Pequeña, Naga City</t>
  </si>
  <si>
    <t>Anti covid program</t>
  </si>
  <si>
    <t>Proposed Repair and Replacement of parts of one (1) unit Government Motor Vehicle, Mitsubishi L300 with Plate No. SHU-513 used by the Office of the City Vice Mayor (RFQ2020-07-120)</t>
  </si>
  <si>
    <t>Procurement of Office Health Essentials, Supplies &amp; consumables</t>
  </si>
  <si>
    <t>CONCRETE PAVEMENT OF TENNIS COURT AND BARANGAY ROAD CONCRETING</t>
  </si>
  <si>
    <t>Supply &amp; Delivery of Grocery Items, (O/TNJA), BNS</t>
  </si>
  <si>
    <t>Reposting of the Items Needed for Module Reproduction for Shopping Due to Re-Purchase in PS-DBM CDO</t>
  </si>
  <si>
    <t>PB-20-378, Supply &amp; Delivery of 3 units Brand New Utility Vehicle, Double Cabin Dropside for Provincial Engineer’s Office, Amas, Kidapawan City</t>
  </si>
  <si>
    <t>PB-20-377, Supply &amp; Delivery of Certified Palay Seeds for production support to rice farmers in the Province of Cotabato</t>
  </si>
  <si>
    <t>CARTRIDGE</t>
  </si>
  <si>
    <t>PB-20-372, Supply &amp; Delivery of Brand New Utility Vehicle (Pick-Up) for Provincial Project &amp; Monitoring Committee (PPMC)</t>
  </si>
  <si>
    <t>ELECTRICAL MATERIALS</t>
  </si>
  <si>
    <t>Supply and Delivery of Vegetable Seeds, Zoological Supplies and Fishing Supplies/Materials</t>
  </si>
  <si>
    <t>Improvement/Rehabilitation of Drainage System</t>
  </si>
  <si>
    <t>Printing of One Lot Rubberwood Manual  (VGR 2020-106)</t>
  </si>
  <si>
    <t>Supply &amp; Delivery of Grocery Items, (O/N8), HPN</t>
  </si>
  <si>
    <t>Purchase of Solar</t>
  </si>
  <si>
    <t>PURCHASE OF OFFICE EQUIPMENT/FURNITURE FOR MEEDO OFFICE</t>
  </si>
  <si>
    <t>OFFICE FURNITURE/EQUIPMENTS</t>
  </si>
  <si>
    <t>Supply and Delivery of Thermal Scanners</t>
  </si>
  <si>
    <t>OFFICE SUPPLIES AND CONSUMABLES</t>
  </si>
  <si>
    <t>PB-20-423, Supply of Petroleum Products for RP vehicles use in the conduct of various programs, projects and activities of the province</t>
  </si>
  <si>
    <t>Door to Door Campaign on Waste Segregation</t>
  </si>
  <si>
    <t>PB-20-422, Supply &amp; Delivery of Laboratory Reagents for Cotabato Provincial Hospital, Amas, Kidapawan City</t>
  </si>
  <si>
    <t>VEHICLE REPAIR AND MAINTENANCE</t>
  </si>
  <si>
    <t>Procurement of Office Supplies and Device for the use of DOH SFLU TRC</t>
  </si>
  <si>
    <t>AMP SVP-S NO: 20-07-0332B: Software Development Devices - Developer computer, Mobile development device</t>
  </si>
  <si>
    <t>Construction of Multi-purpose Fence</t>
  </si>
  <si>
    <t>PB-20-419, Supply &amp; Delivery of Medicines for Cotabato Provincial Hospital, Amas, Kidapawan City</t>
  </si>
  <si>
    <t>Renovation of Dilapidated Wooden Grandstand</t>
  </si>
  <si>
    <t>Supply and Delivery of Materials for Installation of Solar Energy Lighting</t>
  </si>
  <si>
    <t>PB-20-418, Supply &amp; Delivery of Medicines for Cotabato Provincial Hospital, Amas, Kidapawan City</t>
  </si>
  <si>
    <t>PB-20-417, Supply &amp; Delivery of Medicines for Cotabato Provincial Hospital, Amas, Kidapawan City</t>
  </si>
  <si>
    <t>Supply &amp; Delivery of Office Supplies and Materials, (HRO), HPN</t>
  </si>
  <si>
    <t>Supply &amp; Delivery of Vehicle Parts and Accessories, (HRO), HPN</t>
  </si>
  <si>
    <t>PROCUREMENT OF OFFICE SUPPLIES AND MATERIALS</t>
  </si>
  <si>
    <t>PB-20-424, Supply &amp; Delivery of Various Supplies for MuseyoKutawato, Amas, Kidapawan City</t>
  </si>
  <si>
    <t>PB-20-420, Supply &amp; Delivery of Medical Supplies for Cotabato Provincial Hospital, Amas, Kidapawan City</t>
  </si>
  <si>
    <t>Widening of Barangay Road, Laying of CHB &amp; Installation of Grating at Sitio Guintuan, Durungao, Bauan, Batangas</t>
  </si>
  <si>
    <t>Supply and delivery of Clamp Carrier &amp; Dowel Cutter Head (VGR 2020-111)</t>
  </si>
  <si>
    <t>Supply and Delivery of Liquid Bleach for City Operations Against the Threat of Corona Virus Disease (COVID 19)</t>
  </si>
  <si>
    <t>Procurement of Consulting Services for the Development of the RAB Handbook to include the Standardization of the Replacement Costs and Asset Lives for Privately-Owned Distribution Utilities and Fieldw</t>
  </si>
  <si>
    <t>Construction of 250 Meters Concrete Canal at Barangay Maluno Norte</t>
  </si>
  <si>
    <t>Design &amp; Build of Safe Closure and Rehabilitation of Existing Dumpsite at Purok Maligaya Barangay Lungag, Digos City, with progress billing:</t>
  </si>
  <si>
    <t>Supply and Delivery of Airconditioning Units and Washing Machine</t>
  </si>
  <si>
    <t>Supply and Delivery of Air Purifiers</t>
  </si>
  <si>
    <t>PB INFRA 20-053_Concreting of Saguing - Libertad Road, Makilala, Catabato</t>
  </si>
  <si>
    <t>Laundry Services for San Juan Medical Center  (September – December 2020)</t>
  </si>
  <si>
    <t>Procurement of Consulting Services for the Validation of the Actual Performance of NGCP for the Year 2016 to 2018</t>
  </si>
  <si>
    <t>Supply &amp; Delivery of Office Equipment Parts and Accessories (HRO), HPN</t>
  </si>
  <si>
    <t>PURCHASE OF LAPTOP COMPUTER AND PRINTER TO BE USED IN THE OFFICE OF SANGGUNIANG BAYAN</t>
  </si>
  <si>
    <t>PB INFRA 20-055_Concreting of Presbitero - Tigbawan Road, Pigcawayan, Cotabato</t>
  </si>
  <si>
    <t>DRILLING OF EXPLORATORY/PRODUCTION WELLS FOR BINGAWAN WATER DISTRICT</t>
  </si>
  <si>
    <t>Procurement of Goods for the Implementation of the Livelihood Project Entitled “T-Shirt Printing and Tailoring Services”</t>
  </si>
  <si>
    <t>Installation of Solar Street Lights Sitio Sto.Niño</t>
  </si>
  <si>
    <t>PB INFRA 20-047_Construction of Two (2) Lane RCDG Bridge, Manobo, Magpet, Cotabato</t>
  </si>
  <si>
    <t>Purchase of Plastic Expanding Envelopes with Handle and Lock</t>
  </si>
  <si>
    <t>RFQ-0012NS-2020-SUPPLY&amp;DELIVERY OF VARIOUS SPARE PARTS</t>
  </si>
  <si>
    <t>Road Concreting and Installation of RC Pipes at Barangay Sevillana</t>
  </si>
  <si>
    <t>RECONSTRUCTION OF CANAL W/ COVER @ NEWYORK COMPOUND., WAWA I, ROSARIO, CAVITE</t>
  </si>
  <si>
    <t>Concreting of 40 Meters Road at Barangay Maluno Norte</t>
  </si>
  <si>
    <t>PURCHASE OF MATERIALS FOR THE CONSTRUCTION OF DRAINAGE SYSTEM</t>
  </si>
  <si>
    <t>PROCUREMENT OF HARDWARE SUPPLIES AND MATERIALS</t>
  </si>
  <si>
    <t>PB-20-426, Supply &amp; Delivery of High Volume Low Speed Ceiling Fan for PSWDO-Warehouse, Amas, Kidapawan City</t>
  </si>
  <si>
    <t>Supply and Delivery of Alcohol for City Operations Against the threat of Corona Virus Disease (COVID 19)</t>
  </si>
  <si>
    <t>Proposed Repair and General Cleaning of various AIRCONDITION used by the City Engineering Office (RFQ2020-07-121)</t>
  </si>
  <si>
    <t>IT Equipment and Supplies for PO DDN Operations</t>
  </si>
  <si>
    <t>Supply and Delivery of Materials for Protective Face Mask Production CHED</t>
  </si>
  <si>
    <t>Handwashing repair</t>
  </si>
  <si>
    <t>Supply and Delivery of Construction Materials for Poultry House DA BAR Project</t>
  </si>
  <si>
    <t>SUPPLY, DELIVERY AND INSTALLATION OF PROTECTIVE PLASTIC SHEET FOR BANK FRONT LINERS OF LBP PUERTO PRINCESA CITY BRANCH</t>
  </si>
  <si>
    <t>Materials for Clean and Green</t>
  </si>
  <si>
    <t>Supply and Delivery of Office Equipment (Supplemental 2020)</t>
  </si>
  <si>
    <t>SUPPLY AND DELIVERY OF MEALS FOR THE USE OF PDRRMO (SUBJECT TO ORDERING AGREEMENT)</t>
  </si>
  <si>
    <t>C20204181 Nutri-tech air purification system for Provincial Adminstrative Division</t>
  </si>
  <si>
    <t>Provision of Room Accommodation for the conduct of Training on High Quality Inbred Rice Production</t>
  </si>
  <si>
    <t>RFQ-0011NS-2020-ENGINE OIL</t>
  </si>
  <si>
    <t>C20204167 Diesel &amp; gasoline for PEEDO-DDNH IGACOS Zone</t>
  </si>
  <si>
    <t>One (1) Lot –Pest Control Services for City Government of San Juan</t>
  </si>
  <si>
    <t>PROCUREMENTOF MARYAMA TARPAULIN</t>
  </si>
  <si>
    <t>Supply and Delivery of ICT Office Supplies and Equipment for MGB-Region X for FY 2020</t>
  </si>
  <si>
    <t>Supply and Delivery of ICT Office Supplies for MGB-Region X for FY 2020</t>
  </si>
  <si>
    <t>C20204170 Germicidal soap &amp; bleaching Liquid for dist to diff brgys of DDN as COVID Response</t>
  </si>
  <si>
    <t>Procurement of Printing Services of Learners Module of Daraga National High School</t>
  </si>
  <si>
    <t>One (1) Lot –Supply and Delivery of Office Supplies for the use of SJMC</t>
  </si>
  <si>
    <t>Purchase of Materials for the Repair of Pay Loader 02, Lambunao, Iloilo</t>
  </si>
  <si>
    <t>Supply of 5 Sets of Desktop Computer</t>
  </si>
  <si>
    <t>Procurement of Purchase of Pipes For Development of Water System</t>
  </si>
  <si>
    <t>Public Bidding for the Supply and Delivery of Construction Materials for the Repair / Rehab of Kabalaka People's Center @ Esla, Brgy. Lanot, Roxas City (Phase 1), under ITB No. 2020-017R-A</t>
  </si>
  <si>
    <t>Procurement of Learning Resources</t>
  </si>
  <si>
    <t>Pest Control (termite) for Library Room.</t>
  </si>
  <si>
    <t>Purchase of Agricultural Machinery</t>
  </si>
  <si>
    <t>NEGOTIATED PROCUREMENT - PROCUREMENT OF TARPAULINS FOR INFORMATION DISSEMINATION OF THE PUBLIC INFORMATION OFFICE</t>
  </si>
  <si>
    <t>Air Conditioner for use in the DPWH Construction Section &amp; Monitoring Unit, Isabela City DEO</t>
  </si>
  <si>
    <t>Supply of Water Service Connection Materials</t>
  </si>
  <si>
    <t>PROCUREMENT OF OTHER SUPPLIES</t>
  </si>
  <si>
    <t>Supply and Delivery of Materials for the Maintenance of Generator Set</t>
  </si>
  <si>
    <t>SUPPLY AND DELIVERY OF 32-INCH SMART TV FOR USE IN THE DIVISION OFFICE</t>
  </si>
  <si>
    <t>Supply/Delivery of Office Supplies</t>
  </si>
  <si>
    <t>(2FB)N20-07-073 PURCHASE OF PURIFIED DRINKING WATER</t>
  </si>
  <si>
    <t>(2FB)N20-07-063 PURCHASE OF OFFICE EQUIPMENT</t>
  </si>
  <si>
    <t>Reproduction of Division-Based Developed ADM-Modules for Kindergarden, Senior High School, Technology and Livelihood Education (TLE-JHS) and Activity Sheets for K to 12 Learners intended for the Opera</t>
  </si>
  <si>
    <t>PROCUREMENT OF TRUCKING SERVICES FOR THE INTRA AND INTER-REGIONAL TRANSFER OF GRAINS OF NFA REGION 3 FOR THE CALENDAR YEAR 2020</t>
  </si>
  <si>
    <t>Purchase of one (1) unit Multi-Cab</t>
  </si>
  <si>
    <t>Delivery of Two Units Refrigerated Van</t>
  </si>
  <si>
    <t>VENUE FACILITIES AND 5-DAY HOTEL &amp; LODGING FOR THE CONDUCT OF DIVISION WORKSHOP ON DEVELOPMENT OF THE CONTEXTUALIZED K TO 3 SELF-LEARNING MODULES (SLMS)</t>
  </si>
  <si>
    <t>Procurement of Parts for the Various Nissan Motor Vehicles</t>
  </si>
  <si>
    <t>rehabilitation of National Child Development Center (NCDC) at municipal compound, Barangay Poblacion, Biri, Northern Samar</t>
  </si>
  <si>
    <t>SUPPLY AND INSTALLATION OF 4 UNITS CLOSE CIRCUIT TELEVISION (CCTV) CAMERAS OF BARANGAY ARANGIN, NAUJAN, ORIENTAL MINDORO</t>
  </si>
  <si>
    <t>Learning Modality Supplies (Junior HS)</t>
  </si>
  <si>
    <t>MILK FEEDING</t>
  </si>
  <si>
    <t>PROCUREMENT OF DIGITAL EVENT MANAGEMENT FOR THE CONDUCT OF ACCELERATED CLIMATE ACTION AND TRANSFORMATION (ACT) LOCAL ONLINE CONFERENCE</t>
  </si>
  <si>
    <t>Supply of 1 unit Motorcycle 125cc TMX</t>
  </si>
  <si>
    <t>PB INFRA 20-058_Concreting of New Leon - Luanan Road, Aleosan, Cotabato</t>
  </si>
  <si>
    <t>SK COUNCIL MANAGEMENT PROGRAM</t>
  </si>
  <si>
    <t>PURCHASE OF EQUIPMENT</t>
  </si>
  <si>
    <t>Procurement for the Refill of Portable Fire Extinguisher</t>
  </si>
  <si>
    <t>PB INFRA 20-057_Concreting of Busaon  Road, Banisilan, Cotabato</t>
  </si>
  <si>
    <t>PB-20-425, Supply &amp; Delivery of Buntis Kits for the implementation of Maternal &amp; Child Health Program of Integrated Provincial Health Office, Amas, Kidapawan City</t>
  </si>
  <si>
    <t>PURCHASE OF HOUSEKEEPING SUPPLIES FOR MUNICIPAL HEALTH OFFICE AND IDENTIFIED MHO AND DOH PERSONNEL FOR QUARANTINE PERIOD</t>
  </si>
  <si>
    <t>printing of Learning Modules for Elementary for 2 Weeks</t>
  </si>
  <si>
    <t>One (1) Lot – Pest and Termite Control Services for SJMC</t>
  </si>
  <si>
    <t>20CB-GSC-488	PURCHASE OF IT EQUIPMENT</t>
  </si>
  <si>
    <t>20CB-GSC-487	REHABILITATION OF MITSUBISHI L300 FOR CEO</t>
  </si>
  <si>
    <t>Procurement of 96-well pcr plates and other laboratory supplies</t>
  </si>
  <si>
    <t>Purchase of materials for the construction of isolation rooms of the Municipality</t>
  </si>
  <si>
    <t>Purchase of office supplies to be use by the different offices of the Municipality (1st and 2nd Quarter 2020)</t>
  </si>
  <si>
    <t>Procurement of Meals and Snacks for the conduct of 4th Level Training on the 2020 CPH in Magalang, Pampanga</t>
  </si>
  <si>
    <t>SUPPLY AND DELIVERY OF FOOD FOR THE MONITORING TEAM AND CHECKPOINT PESONNEL DURING MGCQ NCOV PANDEMIC</t>
  </si>
  <si>
    <t>Purchase of office equipment for the use at the Sangguniang Bayan Office</t>
  </si>
  <si>
    <t>20CB-GSC-485	PURCHASE OF OFFICE EQUIPMENT</t>
  </si>
  <si>
    <t>20CB-GSC-482	PURCHASE OF FURNITURE AND FIXTURES</t>
  </si>
  <si>
    <t>20CB-GSC-486	PURCHASE OF SHOP SUPPLIES FOR CEO</t>
  </si>
  <si>
    <t>(2FB)N20-07-072 LANDLINE SUBSCRIPTION W/ INTERNET</t>
  </si>
  <si>
    <t>INSTALLATION OF PUBLIC ADDRESS SYSTEM</t>
  </si>
  <si>
    <t>Goat Raising Project</t>
  </si>
  <si>
    <t>SUPPLY AND DELIVERY OF BUDDED RUBBER SEEDLINGS UNDER MinSAAD SUB-PROJECT RUBBER PRODUCTION AND MARKETING FOR  LGU TULUNAN, COTABATO</t>
  </si>
  <si>
    <t>20CB-GSC-483	PURCHASE OF DIESEL FOR BJMP-FEMALE</t>
  </si>
  <si>
    <t>procurement of Structural Analysis</t>
  </si>
  <si>
    <t>Pag-IBIG Fund TAS NCR South (SUPPLY AND DELIVERY OF VARIOUS OFFICE SUPPLIES FOR 2ND QUARTER OF 2020)</t>
  </si>
  <si>
    <t>Procurement for Installation of Hand Washing Facilities</t>
  </si>
  <si>
    <t>PB-20-416, Supply &amp; Delivery of Office &amp; IT Equipment for Provincial Budget Office, Amas, Kidapawan City</t>
  </si>
  <si>
    <t>PURCHASE OF AIRCON</t>
  </si>
  <si>
    <t>20CB GSC 481 GENERAL MERCHANDISE (RE BID)</t>
  </si>
  <si>
    <t>Purchase of 1 Unit Fire Extinguisher</t>
  </si>
  <si>
    <t>IMPROVEMENT OF BRGY. CANANO MULTI-PURPOSE COVERED COURT PHASE II</t>
  </si>
  <si>
    <t>Supply and Delivery of Construction Materials</t>
  </si>
  <si>
    <t>procurement of Fertilizer and Pesticide</t>
  </si>
  <si>
    <t>Construction of Bridge</t>
  </si>
  <si>
    <t>Concreting of Road Shoulder</t>
  </si>
  <si>
    <t>Supply and Delivery of School and Office Supplies for Kapalaran ES</t>
  </si>
  <si>
    <t>Procurement for the Beautification of Municipal Plaza</t>
  </si>
  <si>
    <t>Supply and Delivery of Sand and Gravel for the Concreting of New Tubigon FMR of Barangay New Tubigon,Sibagat Agusan del Sur</t>
  </si>
  <si>
    <t>SUPPLY AND DELIVERY for the INSTALLATION OF STREETLIGHTS AT BARANGAY ANAHAWAN,SIBAGAT AGUSAN DEL SUR</t>
  </si>
  <si>
    <t>Improvement of Farm to Market Road at Sitio Bantolinao,Barangay Padiay,Sibagat Agusan del Sur</t>
  </si>
  <si>
    <t>Supply and Delivery of Hardware Materials for the Construction of New Tubigon FMR of Barangay New Tubigon,Sibagat,Agusan del Sur</t>
  </si>
  <si>
    <t>Supply &amp; Delivery of Supplies for Maintenance of Animal Breeding Center</t>
  </si>
  <si>
    <t>Supply &amp; Delivery of Materials for Installation of Tigabong to Magasang Street Lighting</t>
  </si>
  <si>
    <t>ITB 002 PROPOSED IMPROVEMENT OF BARANGAY FACILITIES AT MULTI-PURPOSED BUILDING</t>
  </si>
  <si>
    <t>Supply &amp; Delivery of Materials for Completion of Eco Park</t>
  </si>
  <si>
    <t>Supply &amp; Delivery of Materials for Installation of Street Lights at Barangay Palasao</t>
  </si>
  <si>
    <t>Barangay 787 BDF "CCTV CAMERA" / RRMF "DISASTER TOOLS, DISASTER SUPPLIES, DRUGS &amp; MEDICINES, FIRE EXTINGUISHER W/ HOUSING" 2020</t>
  </si>
  <si>
    <t>Supply &amp; Delivery of Materials for Concreting of Road Widening at Iron and Herrera Street, Poblacion Cantilan</t>
  </si>
  <si>
    <t>Barangay 787 MOOE "PEACE &amp; ORDER, ELECTRICAL SUPPLIES, REFILL OF FIRE EXT." / C.O. "PRINTER, PUBLIC ADDRESS SYSTEM" / BDF "CLEAN &amp; BEAUTIFICATION" 2020</t>
  </si>
  <si>
    <t>Supply &amp; Delivery of Spare Parts for Vehicle Maintenance</t>
  </si>
  <si>
    <t>20GJI0064 - Procurement of Split type aircondition for use in the Finance Section, DPWH, 1st DEO, Diplahan, Zamboanga Sibugay.</t>
  </si>
  <si>
    <t>SVP-20-0566, Supply and delivery of  Meals and Snacks for the use of Office of the Provincial Agriculturist (OPAG)</t>
  </si>
  <si>
    <t>LOCAL ACCESS ROAD IN BRGY. CANANO TO BRGY. DALOSDOSON ROUTE</t>
  </si>
  <si>
    <t>SUPPLY AND DELIVERY OF FISHING GEAR PARAPHERNALIA</t>
  </si>
  <si>
    <t>procurement of printing materials</t>
  </si>
  <si>
    <t>SUPPLY AND DELIVERY OF LABORATORY ITEMS UNDER EMB-ERLSD-ELSS-ELSS</t>
  </si>
  <si>
    <t>SVP-20-0564, Supply and delivery of  snacks for the use of Provincial Cooperatives Development Office (PCDO)</t>
  </si>
  <si>
    <t>Construction of “ESPERANZA RISING” Marker</t>
  </si>
  <si>
    <t>SVP-20-0568, Supply and delivery of   Various Supplies  for the use of Office of the Provincial Agriculturist (OPAG)</t>
  </si>
  <si>
    <t>AB BDF 2020 PROJECT-REHABILITATION OF STREET LIGHTS, SUPPLIES, DEVICES AND GENERAL MERCHANDISE</t>
  </si>
  <si>
    <t>SVP-20-0569, Supply and delivery of   various supplies  for the use of Office of the Provincial Agriculturist (OPAG)</t>
  </si>
  <si>
    <t>SVP-20-0559, Supply and delivery of  IT Equipment for the use of Public Attorney's Office (PAO)</t>
  </si>
  <si>
    <t>PROCUREMENT OF SUPPLIES AND MATERIALS FOR SKILLS TRAINING AND CAPABILITY BUILDING ON BLAAN TRIBE ATTIRE MAKING</t>
  </si>
  <si>
    <t>SVP-20-0561, Supply and delivery of  Vehicle Parts for the use of Cotabato Provincial Hospital (CPH)</t>
  </si>
  <si>
    <t>SM-20-031, Supply &amp; Delivery of Office Supplies for Cotabato Provincial Hospital, Amas, Kidapawan City</t>
  </si>
  <si>
    <t>RFQ office supplies</t>
  </si>
  <si>
    <t>SVP-20-0565, Procurement of Accommodation with Meals and Snacks for the use of Provincial Cooperatives Development Office (PCDO)</t>
  </si>
  <si>
    <t>106CO-6DCAU-2020-609</t>
  </si>
  <si>
    <t>PROCUREMENT OF DRUGS AND MEDICINES</t>
  </si>
  <si>
    <t>RFQ hARDWAREaug2020</t>
  </si>
  <si>
    <t>Educational Materials and Supplies</t>
  </si>
  <si>
    <t>106CO-601BDE-2020-611</t>
  </si>
  <si>
    <t>Supply and Delivery of ICT Software Subscription</t>
  </si>
  <si>
    <t>ADVERTISING SERVICES</t>
  </si>
  <si>
    <t>Construction of Open Canal Additional (Hagan Elem School)</t>
  </si>
  <si>
    <t>106CO-2MECH BN-2020-612</t>
  </si>
  <si>
    <t>20GKC0013 -PROCUREMENT OF OFFICE EQUIPMENT FOR USE AT THE PLANNING AND DESIGN SECTION OF DPWH BUKIDNON 3RD DEO</t>
  </si>
  <si>
    <t>Procurement, Supply and Delivery of Catering Services</t>
  </si>
  <si>
    <t>PB-20-421, Supply &amp; Delivery of Medical Supplies for Cotabato Provincial Hospital, Amas, Kidapawan City</t>
  </si>
  <si>
    <t>PROCUREMENT OF OTHER SUPPLIES &amp; MATERIALS</t>
  </si>
  <si>
    <t>SVP-20-0570, Supply and delivery of  various supplies  for the use of Bids and Awards Committee (BAC)</t>
  </si>
  <si>
    <t>Construction of Water System (So. Balite)</t>
  </si>
  <si>
    <t>106CO-6SIGNAL BN-2020-610</t>
  </si>
  <si>
    <t>PROCUREMENT OF  INFORMATION AND COMMUNICATION TECHNOLOGY EQUIPMENT</t>
  </si>
  <si>
    <t>SM-20-030, Supply &amp; Delivery of Office Supplies for Provincial Legal Office, Amas, Kidapawan City</t>
  </si>
  <si>
    <t>20GKC0012 PROCUREMENT OF SURVEY INSTRUMENT FOR USE AT THE PLANNING AND DESIGN SECTION OF DPWH BUKIDNON 3RD DEO</t>
  </si>
  <si>
    <t>BCPC Profiling</t>
  </si>
  <si>
    <t>SUPPLY AND DELIVERY OF MATERIALS FOR COMPLETION OF PAVEMENT OF PUBLIC PLAZA</t>
  </si>
  <si>
    <t>Pag-IBIG Fund TAS NCR South (SUPPLY AND DELIVERY OF VARIOUS COMPUTER SUPPLIES FOR 2ND QUARTER OF 2020-ORIGINAL CARTRIDGE)</t>
  </si>
  <si>
    <t>PROCUREMENT OF  OFFICE EQUIPMENT</t>
  </si>
  <si>
    <t>SUPPLY AND DELIVERY OF MATERIALS FOR REPAIR/REHAB OF MUNICIPAL HALL</t>
  </si>
  <si>
    <t>Maintenance/Repair of Airconditioning Units</t>
  </si>
  <si>
    <t>Concreting of Canal at Purok 9-C, Fdr. 3, Barangay Tibal-og, Santo Tomas, Davao del Norte</t>
  </si>
  <si>
    <t>Concreting of Canal at Purok 7-B, Fdr. 2, Barangay Tibal-og, Santo Tomas, Davao del Norte</t>
  </si>
  <si>
    <t>Reproduction</t>
  </si>
  <si>
    <t>Purchase of covid supplies</t>
  </si>
  <si>
    <t>SUPPLY AND DELIVERY OF MEDICINES</t>
  </si>
  <si>
    <t>REGRAVELLING OF BARANGAY ROAD</t>
  </si>
  <si>
    <t>RFQ GEn.mdse aug2020</t>
  </si>
  <si>
    <t>RFQ Furniture</t>
  </si>
  <si>
    <t>Supply &amp; Delivery of Materials for Rehabilitation of CECES Covered Court</t>
  </si>
  <si>
    <t>Procurement of School and Office Supplies</t>
  </si>
  <si>
    <t>AIR CONDITIONER, 1.5 HP WINDOW TYPE, INVERTER</t>
  </si>
  <si>
    <t>Purchase of Medical Supplies and Equipment</t>
  </si>
  <si>
    <t>PROCUREMENT OF 1 UNIT WINDOW TYPE 1 HP AIRCON</t>
  </si>
  <si>
    <t>PROCUREMENT OF SWIVEL CHAIR</t>
  </si>
  <si>
    <t>Supply &amp; Delivery of Tires for Garbage Compactor</t>
  </si>
  <si>
    <t>20GEB0058-R1: Procurement/Supply/Delivery of Traffic Counting Machine Accessories for use in Conduct of NRTSP, DPWH – Mindoro Occidental DEO Planning and Design Section (Lubang Field Office)</t>
  </si>
  <si>
    <t>Procurement of Garbage Bins (Color Coded)</t>
  </si>
  <si>
    <t>CY 2019 BASIC EDUCATIONAL FACILITIES FUND (BEFF) REPAIR OF CLASSROOMS/ CONVERSION TO DENTAL/ MEDICAL CLINIC (SAVINGS)</t>
  </si>
  <si>
    <t>A.2.2 X-RAY ENVELOPES</t>
  </si>
  <si>
    <t>PRINTING AND PUBLICATION SERVICES</t>
  </si>
  <si>
    <t>PIKCOT-SUPP-002020-00153 (SUPPLY AND DELIVERY OF MEDICINES )</t>
  </si>
  <si>
    <t>INVITATION TO NEGOTIATE</t>
  </si>
  <si>
    <t>A.2.3 CT SCAN SUPPLIES</t>
  </si>
  <si>
    <t>Maintenance and Other Operating Expenses (MOOE)</t>
  </si>
  <si>
    <t>SUPPLY AND DELIVERY OF MATERIALS FOR REPAIR/REHAB OF ROAD LEADING TO  MUNICIPAL BUILDING</t>
  </si>
  <si>
    <t>Supplies and Medicines for the Ligtas COVID19 Center Isolation Facility</t>
  </si>
  <si>
    <t>A.2.4 ULTRASOUND SUPPLIES</t>
  </si>
  <si>
    <t>Purchase of Various Medicines &amp; Medical Supplies</t>
  </si>
  <si>
    <t>CONSTRUCTION OF HEAD WALL OF PROTECTION WORKS</t>
  </si>
  <si>
    <t>Construction of Canal Lining</t>
  </si>
  <si>
    <t>1st Quarter Common Office Supplies and Janitorial Services (FY 2020)</t>
  </si>
  <si>
    <t>PROCUREMENT OF SCHOOL SUPPLIES</t>
  </si>
  <si>
    <t>Purchase of Tires for Maintenance of Heavy Equipment</t>
  </si>
  <si>
    <t>SUPPLIES AND DELIVERY OF GENERAL MERCHANDISE GOODS FOR MOOE, CO, BDF &amp;RRMF 2020</t>
  </si>
  <si>
    <t>20DN0135 (Re-bid) - CONSTRUCTION AND/ OR REPAIR/ REHABILITATION OF MULTI - PURPOSE BUILDING, BRGY. KALAWAAN, BINANGONAN, RIZAL</t>
  </si>
  <si>
    <t>LOCAL ACCESS ROAD UPGRADING AT BARANGAY SAN JOSE</t>
  </si>
  <si>
    <t>PROCUREMENT OF MATERIALS AND EQUIPMENT FOR WATER SYSTEM</t>
  </si>
  <si>
    <t>LOCAL ACCESS ROAD UPGRADING OF ROAD LEADING TO PROPOSED SANITARY LANDFILL</t>
  </si>
  <si>
    <t>Facemasks and Gloves for Liloan Covid-19 Response</t>
  </si>
  <si>
    <t>SUPPLIES AND DELIVERY OF GENERAL MERCHANDISE GOODS FOR CO,BDF 2020</t>
  </si>
  <si>
    <t>Liloan COVID-19 RESPONSE USE</t>
  </si>
  <si>
    <t>Purchase of Fogging MAchine</t>
  </si>
  <si>
    <t>For COVID-19 Additional PPEs</t>
  </si>
  <si>
    <t>PURCHASED OF 2 UNIT AIRCONDITIONED (SPLIT TYPE)</t>
  </si>
  <si>
    <t>PB2020-07-008 GAA Procurement of Service Provider for Shuttle Services for CHED Employees for Three (3) Months (Rebid)</t>
  </si>
  <si>
    <t>PROCUREMENT OF BLANK CD</t>
  </si>
  <si>
    <t>Construction of Dimapnat Evacuation Center</t>
  </si>
  <si>
    <t>INSTALLATION OF SOLAR STREET LIGHTS</t>
  </si>
  <si>
    <t>PURHCASE OF MATERIALS FOR REHABILITATION OF STONE RIPRAP WITH CONCRETE FACING</t>
  </si>
  <si>
    <t>A.1.1 BED MATTRESS</t>
  </si>
  <si>
    <t>Construction of Multipurpose Building Phase II (ROOFING AND TINSMITHRY WORKS AND HARDWARE</t>
  </si>
  <si>
    <t>CONCRETING OF BARANGAY ROAD,PARIS STREET</t>
  </si>
  <si>
    <t>Short Message Service (SMS) Subscription for One (1) year</t>
  </si>
  <si>
    <t>Purchase of Machinery and Equipment for MEEDMO – Waterworks use</t>
  </si>
  <si>
    <t>Purchase of Office Supplies and Other Supplies for MASSO and OMA use</t>
  </si>
  <si>
    <t>CONCRETING OF BRGY. ROAD, ASITABA STREET</t>
  </si>
  <si>
    <t>Renovation of Multi-Purpose Hall</t>
  </si>
  <si>
    <t>A.2.1 DRY FILM FOR COMPUTERIZED RADIOGRAPHY</t>
  </si>
  <si>
    <t>DEVELOPING THE HANDICRAFT INDUSTRY OF THE AGAYAP AGRICULTURE AND LIVELIHOOD ORGANIZATION – LOT 2</t>
  </si>
  <si>
    <t>Procurement of Laid Papers and Multicopy Paper</t>
  </si>
  <si>
    <t>Construction of Bicobian - Dimapnat Road</t>
  </si>
  <si>
    <t>PURCHASE OF HANDHELD RADIO AND ACCESSORIES</t>
  </si>
  <si>
    <t>Concreting of New Municipal Public Market Road</t>
  </si>
  <si>
    <t>DEVELOPING THE HANDICRAFT INDUSTRY OF THE AGAYAP AGRICULTURE AND LIVELIHOOD ORGANIZATION – LOT 3</t>
  </si>
  <si>
    <t>SUPPLY AND DELIVERY OF OFFICE SUPPLIES FOR VARIOUS OFFICES</t>
  </si>
  <si>
    <t>Purchase of Well Milled Rice for Relief and Food Assistance of Covid19 Emergency Cases</t>
  </si>
  <si>
    <t>SUPPLY AND DELIVERY OF VARIOUS KITCHEN WARE AND UTENSILS</t>
  </si>
  <si>
    <t>20DN0180 - CONCRETING OF BRGY. SAN JUAN FMR PHASE 2, BRGY. SAN JUAN, TAYTAY, RIZAL</t>
  </si>
  <si>
    <t>Rehabilitation of Blue Marlin Street</t>
  </si>
  <si>
    <t>SUPPLY AND DELIVERY OF MATERIAL FOR PROMOTION AND SELECTION BOARD</t>
  </si>
  <si>
    <t>Purchase of 1 unit ,3 Channel Echo-cardiograph for Mun. Health Office</t>
  </si>
  <si>
    <t>SUPPLY AND DELIVERY OF VARIOUS IT EQUIPMENT AND ACCESSORIES</t>
  </si>
  <si>
    <t>SUPPLY AND DELIVERY OF LABOR AND MATERIALS FOR THE PROJECT PARTIAL CONSTRUCTION OF LOCAL ACCESS ROAD (ROAD OPENING), BARANGAY SAN ANTONIO PALA, CATANAUAN, QUEZON</t>
  </si>
  <si>
    <t>SUPPLY AND DELIVERY OF DOUBLE DECK BEDS</t>
  </si>
  <si>
    <t>Developing the Food Processing Industry of the Baang Women’s Organization and Rural Improvement Club – Lot 1</t>
  </si>
  <si>
    <t>SUPPLY AND DELIVERY OF CELLCARD</t>
  </si>
  <si>
    <t>DEVELOPING THE ROOT CROPS INDUSTRY OF THE AHIN FARMERS DEVELOPMENT ORGANIZATION INCORPORATED – LOT 3</t>
  </si>
  <si>
    <t>Labor and Materials for Installation of Internet Connection for different Schools</t>
  </si>
  <si>
    <t>PIKCOT-SUPP-002020-00154 (SUPPLY AND DELIVERY OF MEDICAL SUPPLIES )</t>
  </si>
  <si>
    <t>Purchase of Disaster Response and Rescue Equipment for MDRRMO Operation use</t>
  </si>
  <si>
    <t>Purchase of Petroleum, Oil and Lubricants for Engineering Office &amp; Project Mobilization</t>
  </si>
  <si>
    <t>CONSTRUCTION OF BARANGAY OUTPOST PHASE 2</t>
  </si>
  <si>
    <t>Rehabilitation of Local Access Road</t>
  </si>
  <si>
    <t>Printing of Modules (Procurement of Copy Papers and Binding Materials) SHS</t>
  </si>
  <si>
    <t>Purchase of 3 Set Laptop</t>
  </si>
  <si>
    <t>PIKCOT-SUPP-002020-00157 (SUPPLY AND DELIVERY OF OFFICE SUPPLIES )</t>
  </si>
  <si>
    <t>SUPPLY AND DELIVERY OF LABOR AND  MATERIALS FOR THE PROJECT,CONCERTING OF LOCAL ACCESS ROAD WITH 5M WIDTH AND 200MM THICK,  BARANGAY MATANDANG SABANG SILANGAN, CATANAUAN, QUEZON</t>
  </si>
  <si>
    <t>MOOE SUPPLIES</t>
  </si>
  <si>
    <t>PIKCOT-SUPP-002020-00156 (SUPPLY AND DELIVERY OF VEHICLE PARTS )</t>
  </si>
  <si>
    <t>Purchase of 100 Boxes of Face Mask for SK Federation of Mangaldan</t>
  </si>
  <si>
    <t>SUPPLY AND DELIVERY OF MATERIALS FOR THE PROJECT, PARTIAL CONSTRUCTION OF SAN ISIDRO E/S COVERED COURT, BARANGAY SAN ISIDRO, CATANAUAN, QUEZON</t>
  </si>
  <si>
    <t>DEVELOPING THE ROOT CROPS INDUSTRY OF THE AHIN FARMERS DEVELOPMENT ORGANIZATION INCORPORATED – LOT 2</t>
  </si>
  <si>
    <t>PIKCOT-SUPP-002020-00155 (SUPPLY AND DELIVERY OF AGRICULTURAL CHEMICALS )</t>
  </si>
  <si>
    <t>Purchase of Mobile Cellcards for MENRO use</t>
  </si>
  <si>
    <t>Purchase of Office Furniture</t>
  </si>
  <si>
    <t>DEVELOPING THE ROOT CROPS INDUSTRY OF THE AHIN FARMERS DEVELOPMENT ORGANIZATION INCORPORATED – LOT 4</t>
  </si>
  <si>
    <t>Purchase of it supplies for the maintenance of the office equipment of LDRRMO</t>
  </si>
  <si>
    <t>PROCUREMENT OF CONSTRUCTION MATERIALS</t>
  </si>
  <si>
    <t>SUPPLY AND DELIVERY OF LABOR AND MATERIALS  FOR THE PROJECT, REHABILITATION OF MULTI-PURPOSE ,BARANGAY TAGBACAN SILANGAN, CATANAUAN, QUEZON</t>
  </si>
  <si>
    <t>Supply and Delivery of Parts for KM Trucks</t>
  </si>
  <si>
    <t>Rent-to-Own Equipment</t>
  </si>
  <si>
    <t>Printing of tarpaulin to be installed at the conspicuous places of the municipality for the information dissemination on the wearing of face mask and no helmet travel policy</t>
  </si>
  <si>
    <t>Purchase of office equipment for the use at the Municipal Assessors Office</t>
  </si>
  <si>
    <t>for covid-19 preparedness and response measure and use of covi-19 task force</t>
  </si>
  <si>
    <t>Purchase of Communication Equipment for VMO use</t>
  </si>
  <si>
    <t>Purchase of spareparts for the repair of the dumptruck forward white</t>
  </si>
  <si>
    <t>Purchase of Information and Communication Technology Equipment for VMO use</t>
  </si>
  <si>
    <t>DEVELOPING THE ROOT CROPS INDUSTRY OF THE AHIN FARMERS DEVELOPMENT ORGANIZATION INCORPORATED – LOT 1</t>
  </si>
  <si>
    <t>RFQ2020-07-017 GAA Procurement of various supplies for the UNIFAST Office use (Repost)</t>
  </si>
  <si>
    <t>SUPPLY AND DELIVERY OF MATTRESS AND BEDDINGS (FOR DOUBLE DECK)</t>
  </si>
  <si>
    <t>20DN0179 - CONCRETING OF BRGY. MACAMOT FMR PHASE 3, BRGY. MACAMOT, BINANGONAN, RIZAL</t>
  </si>
  <si>
    <t>Supply, Delivery and Testing of Benchtop Turbidimeter for the Daily Turbidity Monitoring Tests of the Four (4) Service Areas and the Production Area of MCWD</t>
  </si>
  <si>
    <t>SUPPLY AND DELIVERY OF LABOR AND MATERIALS FOR THE PROJECT,  CONSTRUCTION OF LOCAL ACCESS ROAD (ROAD OPENING), BARANGAY SAN ANTONIO MAGCOPA, CATANAUAN, QUEZON</t>
  </si>
  <si>
    <t>Supply and Delivery of Free Chlorine Reagent for Chlorine Residual Monitoring in the Entire Service Coverage of MCWD</t>
  </si>
  <si>
    <t>PROCUREMENT OF OTHER SUPPLIES AND MATERIALS</t>
  </si>
  <si>
    <t>CEMENTING OF BARANGAY ROAD AT RABUS 1(Barangay Site)</t>
  </si>
  <si>
    <t>Purchase of Petroleum, Oil and Lubricants for VMO Operation use</t>
  </si>
  <si>
    <t>COFFEE PROCESSING PROJECT OF THE LUBU-ONG BIMMOBLE ORGANIZATION – LOT 1</t>
  </si>
  <si>
    <t>Purchase of spareparts for the repair and maintenance of the backhoe doosan</t>
  </si>
  <si>
    <t>Purchase of 3 Set Curtain</t>
  </si>
  <si>
    <t>DEVELOPING THE FOOD PROCESSING INDUSTRY OF THE BAANG WOMEN’S ORGANIZATION AND RURAL IMPROVEMENT CLUB – LOT 2</t>
  </si>
  <si>
    <t>Supply, Delivery and Unloading of Various Fittings and Hardware Supplies for the Proposed Pipeline Re-alignment at Kalgara Bridge</t>
  </si>
  <si>
    <t>SUPPLY, DELIVERY AND INSTALLATION OF SSF EQUIPMENT FOR THE ESTABLISHMENT OF FABRICATION LABORATORY IN CAR - LOT 4</t>
  </si>
  <si>
    <t>PIKCOT-SUPP-002020-00159 (SUPPLY AND DELIVERY OF FEEDS )</t>
  </si>
  <si>
    <t>SUPPLY AND DELIVERY OF UAV DRONE FOR DIGITALIZATION OF AGRICULTURE VALUE CHAIN IN CACAO AND COFFEE PRODUCTIVITY IN ZAMBOANGA DEL SUR” (DOST IX-20-004)</t>
  </si>
  <si>
    <t>PROVISION OF CITRUS PROCESSING EQUIPMENT AND FACILITIES</t>
  </si>
  <si>
    <t>19DN0232 v- REHABILITATION OF BINANGONAN PUBLIC MARKET, LIBID, BINANGONAN, RIZAL</t>
  </si>
  <si>
    <t>HO-ESD20-003 - Supply and Delivery of Toner Cartridge, Telephone &amp; Power Strip Extension Outlet</t>
  </si>
  <si>
    <t>HO-MSD20-008 - Supply and Delivery of Strapping Kit</t>
  </si>
  <si>
    <t>EXTENSION OF THE MULTI-PURPOSE HALL   (RE-ADVERTISED)</t>
  </si>
  <si>
    <t>PROCUREMENT OF CONSTRUCTION SUPPLIES WITH TENT CANVAS</t>
  </si>
  <si>
    <t>CONSTRUCTION OF SLOPE PROTECTION STRUCTURE AT BARANGAY SITE OF MAGAIS I.</t>
  </si>
  <si>
    <t>HO-MSD20-010 - Supply and Delivery of Bulb - Mercury</t>
  </si>
  <si>
    <t>PROCUREMENT OF CONSTRUCTION SUPPLIES WITH TENT COVER</t>
  </si>
  <si>
    <t>HO-EMA20-015 - Supply and Delivery of Carbon Brush for Staplex Air Sampler</t>
  </si>
  <si>
    <t>HEIRLOOM RICE PROCESSING</t>
  </si>
  <si>
    <t>Purchase of Typewriter</t>
  </si>
  <si>
    <t>Fabrication of Steel Tunnel Type Greenhouse at Belance, Dupax del Norte</t>
  </si>
  <si>
    <t>Repair and Maintenance of Machinery and Equipment</t>
  </si>
  <si>
    <t>HO-BCS20-006 - Supply and Delivery of Document Camera</t>
  </si>
  <si>
    <t>PIKCOT-SUPP-002020-00158 (COMPUTER SERVICES )</t>
  </si>
  <si>
    <t>SUPPLY, DELIVERY AND INSTALLATION OF SSF EQUIPMENT FOR SUGARCANE PROCESSING</t>
  </si>
  <si>
    <t>STRENGTHENING OF THE WEAVING PROJECT OF HUNGDUAN WEAVER’S ASSOCIATION – LOT 2</t>
  </si>
  <si>
    <t>STRENGTHENING OF THE WEAVING PROJECT OF HUNGDUAN WEAVER’S ASSOCIATION – LOT 1</t>
  </si>
  <si>
    <t>EMERGENCY PROCUREMENT OF MEDICAL &amp; LABORATORY SUPPIES &amp; MATERIALS FOR THE MENACE OF N-COVID 19 UNDER BGCM</t>
  </si>
  <si>
    <t>BANANA CHIPS PROCESSING LIVELIHOOD PROJECT</t>
  </si>
  <si>
    <t>ENHANCING THE LIVELIHOOD OF TINANANG INCORPORATED (TI) THROUGH HEIRLOOM RICE PROCESSING</t>
  </si>
  <si>
    <t>PROCUREMENT OF GROCERY ITEMS FOR FEEDING PROGRAM</t>
  </si>
  <si>
    <t>SUPPLY AND DELIVERY OF LOYALTY MEMORABILIA</t>
  </si>
  <si>
    <t>WHITE CORN PROCESSING LIVELIHOOD PROJECT</t>
  </si>
  <si>
    <t>PIKCOT-SUPP-002020-00160 (SUPPLY AND DELIVERY OF VETERINARY SUPPLIES )</t>
  </si>
  <si>
    <t>ENHANCING THE LIVELIHOOD OF GAANG TRIBAL UNITY FOR DEVELOPMENT (GATUD) THROUGH HEIRLOOM RICE PROCESSING</t>
  </si>
  <si>
    <t>RENTAL OF ONE BAGGER CONCRETE MIXER FOR 18 DAYS AND WELDING MACHINE FOR 7 DAYS</t>
  </si>
  <si>
    <t>PROVISION OF PROCESSING CENTER AND PROCESSING FACILITIES FOR THE ENHANCEMENT OF BANANA PROCESSING INDUSTRY</t>
  </si>
  <si>
    <t>REHABILITATION/CONSTRUCTION OF STA. MARIA LINED CANAL</t>
  </si>
  <si>
    <t>FRUIT WINE PROCESSING</t>
  </si>
  <si>
    <t>PIKCOT-SUPP-002020-00161 (SUPPLY AND DELIVERY OF ANIMAL FEEDS )</t>
  </si>
  <si>
    <t>Purchase of Office TV and Accessories</t>
  </si>
  <si>
    <t>DSWD NNP NO. 20-DFAT-SVCF-005 - HIRING OF CONSULTANCY FIRM IN THE PREPARATION OF THE FIRST (1st) GENERAL ADMINISTRATION SUPPORT SERVICES GROUP (GASSG) SURVEILLANCE AUDIT FOR CY 2020</t>
  </si>
  <si>
    <t>REI_20CSE014: Consulting Services on the Conduct of Sub-soil Investigation for the Proposed Construction of Rehabilitation/ Major Repair of Slope Protection Structure along Tablas Circumferential Road</t>
  </si>
  <si>
    <t>NATURAL FERTILIZER MAKING LIVELIHOOD PROJECT</t>
  </si>
  <si>
    <t>COMPLETION OF ACCESS ROAD FOR STA. MARIA ELEMENTARY SCHOOL</t>
  </si>
  <si>
    <t>Procurement of Birthing Kit and Newborn Kit for BEmONC supplies in evacuation centers to ensure prompt safe motherhood and newborn services provision even in extreme environment conditions</t>
  </si>
  <si>
    <t>Purchase of Office Supplies for MBO use</t>
  </si>
  <si>
    <t>Repair and Maintenance of Building and Other Structure</t>
  </si>
  <si>
    <t>RENTAL OF ONE BAGGER CONCRETE MIXER FOR 7 DAYS</t>
  </si>
  <si>
    <t>Purchase of Drugs and Medicines for MHO use</t>
  </si>
  <si>
    <t>PROCUREMENT OF FILLING MATERIALS</t>
  </si>
  <si>
    <t>Purchase of Spare Parts for various motorcycles of MASSO</t>
  </si>
  <si>
    <t>Supply and Delivery of Multi-Vitamins</t>
  </si>
  <si>
    <t>Improvement of Women's Training Center</t>
  </si>
  <si>
    <t>VEGETABLE PROCESSING LIVELIHOOD PROJECT (INREMP-LES2) – LOT 2</t>
  </si>
  <si>
    <t>VEGETABLE PROCESSING LIVELIHOOD PROJECT (INREMP-LES2) – LOT 1</t>
  </si>
  <si>
    <t>Purchase of 1 Unit Projector with Complete Accessories</t>
  </si>
  <si>
    <t>Purchase of Office Supplies for SBO use</t>
  </si>
  <si>
    <t>Purchase of Paper Shredder for MENRO use</t>
  </si>
  <si>
    <t>construction of covered canal</t>
  </si>
  <si>
    <t>Purchase of 5 Unit Ceiling Fan</t>
  </si>
  <si>
    <t>Purchase of Air-conditioner and Accessories</t>
  </si>
  <si>
    <t>RFQ No. SAJDS SVP 2020-24: Procurement of 5 Pcs Office Table (Wooden-Narra)</t>
  </si>
  <si>
    <t>PURCHASE OF 2 UNITS 2.0 HP AIRCON,  2 SETS OF DESKTOP COMPUTER AND 2 UNITS OF PRINTER</t>
  </si>
  <si>
    <t>REPLACEMENT OF EXISTING TILES AT COA, SATELITE OFFICE AND HALLWAY OF GINGOOG BRANCH</t>
  </si>
  <si>
    <t>OFFICE EQUIPMENT SUPPLIES AND CONSUMABLES</t>
  </si>
  <si>
    <t>PIKCOT-SUPP-002020-00162 (SUPPLY AND DELIVERY OF LIVE ANIMALS )</t>
  </si>
  <si>
    <t>CONSTRUCTION OF BARANGAY STAGE, BRGY. IGCABUGAO, IGBARAS, ILOILO</t>
  </si>
  <si>
    <t>CONCRETING OF MULTI-PURPOSE PAVEMENT, BRGY. TABIAC, IGBARAS, ILOILO</t>
  </si>
  <si>
    <t>CONSTRUCTION OF ROAD CANAL, BRGY. LACAY DOLDOL, IGBARAS, ILOILO</t>
  </si>
  <si>
    <t>CONSTRUCTION OF ROAD CANAL, BRGY. 6 POBLACION, IGBARAS, ILOILO</t>
  </si>
  <si>
    <t>PROCUREMENT OF MATERIALS FOR REPIPING OF DISTRIBUTION LINE OF WATER SUPPLY AND CONSTRUCTION OF HAND WASHING FACILITIES</t>
  </si>
  <si>
    <t>Construction of Perimeter Fence - Dimapnat</t>
  </si>
  <si>
    <t>PROVISION OF OFFICE SUPPLIES FOR PRINTING OF LEARNING MATERIALS</t>
  </si>
  <si>
    <t>Provision Of  Semi-Expendable ICT Equipment for MEDTRANS and CCS Students</t>
  </si>
  <si>
    <t>REHABILITATION OF STREETLIGHTS, BRGY. MANTANGON, IGBARAS, ILOILO</t>
  </si>
  <si>
    <t>Delivery of labor and materials for the Construction/Rehabilitation of Drainage System at Brgy. Dila, Bay, Laguna for their implementation of 20% Economic Development Fund (C.Y. 2020)</t>
  </si>
  <si>
    <t>Provision of Supplies and Materials for SMAW Students</t>
  </si>
  <si>
    <t>Procurement of plate sealing film and other laboratory supplies</t>
  </si>
  <si>
    <t>EMERGENCY PURCHASE OF MEDICAL AND LABORATORY SUPPLIES UNDER BGCM</t>
  </si>
  <si>
    <t>INSTALLATION OF FENCE AROUND BRGY. PLAZA, BRGY. BOCLOD IGBARAS, ILOILO</t>
  </si>
  <si>
    <t>BANANA AND TARO PROCESSING</t>
  </si>
  <si>
    <t>IMPROVEMENT OF MULTI-PURPOSE BUILDING, BRGY. TALAYATAY, IGBARAS, ILOILO</t>
  </si>
  <si>
    <t>BADAC Operation</t>
  </si>
  <si>
    <t>Procurement of meals, snacks and accommodation</t>
  </si>
  <si>
    <t>SHIPPING AND HAULING OF DMPA, CONDOM, COC AND NFP CHARTS TO THE REGIONAL OFFICES AND POPCOM CENTRAL WAREHOUSE</t>
  </si>
  <si>
    <t>PIKCOT-SUPP-002020-00163 (SUPPLY AND DELIVERY OF CONSTRUCTION MATERIALS )</t>
  </si>
  <si>
    <t>Improvement of Barangay Road-Lamagan</t>
  </si>
  <si>
    <t>Implementation of Children’s Code: Improvement of BHS Premises at Pangweo, Laylaya and Bunga, Catengan</t>
  </si>
  <si>
    <t>Improvement of Multi-purpose Building</t>
  </si>
  <si>
    <t>Procurement of Freezer for Health and Nutrition Unit</t>
  </si>
  <si>
    <t>RFQ&gt;&gt;&gt; Supply and Delivery of Office supplies for the Division Office | ABC=P85,155.00</t>
  </si>
  <si>
    <t>FOR THE PRINTING AND BINDING (SOFTBOUND) OF SELF LEARNING MODULES FOR KINDERGARTEN, GRADES 1-3, 5, 7 AND 9 AS PROVIDED BY THE CENTRAL OFFICE FOR THE SCHOOLS DIVISION OF LAOAG CITY LEARNERS</t>
  </si>
  <si>
    <t>RFQ&gt;&gt;&gt; Supply and Delivery of Cell Cards for Pilot Schools | ABC=P120,960.00</t>
  </si>
  <si>
    <t>Request for Quotation (RFQ) for Office Equipment</t>
  </si>
  <si>
    <t>Repair/Maintenance of DPWH Building Staffhouse/Multi-Purpose Building, Isabela City, Basilan</t>
  </si>
  <si>
    <t>RFQ&gt;&gt;&gt; Supply and Delivery of Cell Cards | ABC=P73,560.00</t>
  </si>
  <si>
    <t>Cluster 4:  Rehabilitation of Drainage Canal (Domepnas Residence to ANO’s Residence Soquib); Rehabilitation of Pathways (Beleo’s Residence to Aluyen’s Residence Soquib)</t>
  </si>
  <si>
    <t>Improvement of Bocao Dap-ay Besao West</t>
  </si>
  <si>
    <t>SUPPLY AND DELIVERY OF LABOR AND MATERIALS FOR THE RE-IMPROVEMENT OF BASKETBALL@ BRGY PUNTA I.TANZA CAVITE</t>
  </si>
  <si>
    <t>20CSDQ01 - CONDUCT OF CONSULTANCY SERVICES FOR THE PARCELLARY SURVEY FOR FY 2021 PROJECTS</t>
  </si>
  <si>
    <t>Procurement of Meal and Snacks for the Orientation on the Implementing Guidelines of School-Based Feeding Program Milk Component</t>
  </si>
  <si>
    <t>Improvement of Barangay Road from Besao East to Soquib Besao East</t>
  </si>
  <si>
    <t>20CSDQ03 – CONSULTING SERVICES FOR THE CONDUCT OF SUB SURFACE SOIL EXPLORATION AND GEOTECHNICAL INVESTIGATION FOR VARIOUS ROAD NETWORK DEVELOPMENT AND CONSTRUCTION OF FLOOD CONTROL STRUCTURES (CLUSTER</t>
  </si>
  <si>
    <t>20CSDQ02 – CONSULTING SERVICES FOR THE CONDUCT OF SUB SURFACE SOIL EXPLORATION AND GEOTECHNICAL INVESTIGATION FOR VARIOUS ROAD NETWORK DEVELOPMENT AND CONSTRUCTION OF FLOOD CONTROL STRUCTURES (CLUSTER</t>
  </si>
  <si>
    <t>Supply and Delivery of Monobloc Chairs and Folding Table</t>
  </si>
  <si>
    <t>Public Bidding for the Proposed Construction of Multi-Purpose Covered Court @ Brgy. Binantu-an, Panay, Capiz, Under ITB No. 2020-006C-A</t>
  </si>
  <si>
    <t>INSTALLATION/FABRICATION OF MATERIAL RECOVERY FACILITY</t>
  </si>
  <si>
    <t>PROCUREMENT OF MATERIALS FOR BRIGADA ESKWELA 2020</t>
  </si>
  <si>
    <t>Public Bidding for the Proposed Construction of Multi-Purpose Covered Court @ Brgy. Goce, Pres. Roxas, Capiz, Under ITB No. 2020-010C</t>
  </si>
  <si>
    <t>Public Bidding for the Proposed Construction of Multi-Purpose Covered Court @ Brgy. Lus-onan, Panay, Capiz, Under ITB No. 2020-007C</t>
  </si>
  <si>
    <t>CONCRETING OF BARANGAY ROAD</t>
  </si>
  <si>
    <t>SUPPLY AND DELIVERY OF T-SHIRT W/ COLLAR AND PRINT FOR THE 53rd DEPED SIARGAO FOUNDING ANNIVERSARY</t>
  </si>
  <si>
    <t>Procurement of Electrical Supplies (Barangay Energization Project)</t>
  </si>
  <si>
    <t>PROCUREMENT OF CERTIFICATION SERVICES FOR THE QUALITY MANAGEMENT SYSTEM OF SOUTHERN ISABELA MEDICAL CENTER UNDER ISO 9001:2015</t>
  </si>
  <si>
    <t>Procurement of Materials for the Extension of Office Building</t>
  </si>
  <si>
    <t>Public Bidding for the Proposed Construction of Multi-Purpose Covered Court @ Brgy. Culilang, Pres. Roxas, Capiz, Under ITB No. 2020-009C</t>
  </si>
  <si>
    <t>Procurement of Office Supplies for 3rd &amp; 4th Quarter 2020</t>
  </si>
  <si>
    <t>Public Bidding for the Proposed Construction of Multi-Purpose Covered Court @ Brgy. Cubay, Pres. Roxas, Capiz, Under ITB No. 2020-008C</t>
  </si>
  <si>
    <t>Construction of Animal Bite Center (RHU-1), Gerona, Tarlac</t>
  </si>
  <si>
    <t>1 J.O. Supply of Labor &amp; Materials for the Repair of Electrical System &amp; Computer Scanning, Repair &amp; Check-Up Brake System &amp; Transmission Reconditioning &amp; Replacement of various worn out parts...</t>
  </si>
  <si>
    <t>Purchase of Furniture, Fixtures &amp; Equipment (w/ Installation) for Legislative Building, Gerona, Tarlac</t>
  </si>
  <si>
    <t>IT EQUIPMENT</t>
  </si>
  <si>
    <t>Rehabilitation and Improvement of Bleachers</t>
  </si>
  <si>
    <t>CNH-0520-057</t>
  </si>
  <si>
    <t>20CSDQ04 – CONSULTING SERVICES FOR THE CONDUCT OF SUB SURFACE SOIL EXPLORATION AND GEOTECHNICAL INVESTIGATION FOR VARIOUS ROAD NETWORK DEVELOPMENT AND CONSTRUCTION OF FLOOD CONTROL STRUCTURES (CLUSTER</t>
  </si>
  <si>
    <t>Printing/Reproduction of Learning Modules</t>
  </si>
  <si>
    <t>Purchased of Mobile Loads</t>
  </si>
  <si>
    <t>20GHF0008: Supply and Delivery of Reflectorized Traffic Paints for use in Roadside/Routine Maintenance Activities for the 3rd Quarter of CY 2020</t>
  </si>
  <si>
    <t>PRINTING AND DELIVERY OF MODULES FOR GENERAL EDUCATION SUBJECTS</t>
  </si>
  <si>
    <t>20GHF0007: Supply and Delivery of 42,900 Seedlings as Tree Replacement for the trees affected by the projects of DPWH Cebu 3rd DEO</t>
  </si>
  <si>
    <t>MEDICINE AND MEDICAL EQUIPENT</t>
  </si>
  <si>
    <t>IMPROVEMENT OF BRGY. WATER SYSTEM PHASE 2</t>
  </si>
  <si>
    <t>Supply and Delivery of Prepaid Load Card</t>
  </si>
  <si>
    <t>Supply and Delivery of Consumable Items</t>
  </si>
  <si>
    <t>Supply and Delivery of Three (3) Units Duplicator Machine</t>
  </si>
  <si>
    <t>PURCHASED OF COVID-19 RESPONSE ITEMS</t>
  </si>
  <si>
    <t>Disaster Rescue Equipment</t>
  </si>
  <si>
    <t>REI_20CSE013: Consulting Services for the Master Plan and Detailed Architectural and Engineering Design (DAED) for Palawan Convention Centers, Palawan</t>
  </si>
  <si>
    <t>SUPPLY AND DELIVERY OF VARIOUS FERTILIZERS  FOR DAR-MinSAAD SUB-PROJECT BANANA PRODUCTION AND MARKETING FOR LGU TULUNAN, COTABATO</t>
  </si>
  <si>
    <t>Conduct of Detailed Structural Plan and Design for the Construction of Multi - purpose Building at Kalantiaw Elementary School, Barangay Bagumbuhay,, Quezon City</t>
  </si>
  <si>
    <t>Procurement of a Heavy Equipment Vehicle (Dump Truck)</t>
  </si>
  <si>
    <t>PR000058_HRDD_Shopping-B_Executive-Chairs</t>
  </si>
  <si>
    <t>Rehabilitation of Multi-Purpose Hall</t>
  </si>
  <si>
    <t>Printing and Reproduction of K to 12 First Quarter Self-Learning Modules</t>
  </si>
  <si>
    <t>Extraordinary and Miscellaneous Expenses</t>
  </si>
  <si>
    <t>SUPPLY AND DELIVERY OF FARM MACHIINERY (TRAILER AND TRANSMISSION) FOR DAR-MinSAAD SUB-PROJECT CORN PRODUCTION, MILLING AND MARKETING FOR LGU TULUNAN, COTABATO</t>
  </si>
  <si>
    <t>DRUG PREVENTION AND AWARENESS PROGRAM (ALAS DIYES)</t>
  </si>
  <si>
    <t>FOD-C-20-2904: Procurement of 586 bags of GM Hybrid Yellow Corn Seeds</t>
  </si>
  <si>
    <t>Supply and Delivery of Construction Materials (Betwagan 2020-02)</t>
  </si>
  <si>
    <t>20CB-GSC-489	PURCHASE OF IT EQUIPMENT AND SUPPLIES</t>
  </si>
  <si>
    <t>Public Bidding for the Proposed Construction of Multi-Purpose Covered Court @ Brgy. Bilao, Sapian, Capiz, Under ITB No. 2020-012C</t>
  </si>
  <si>
    <t>Public Bidding for the Proposed Construction of Multi-Purpose Covered Court @ Brgy. Carmincita, Pres. Roxas, Capiz, Under ITB No. 2020-011C</t>
  </si>
  <si>
    <t>Procurement of Smart TV</t>
  </si>
  <si>
    <t>Purchase of Electrical Massage Chair and Sala Set (Upholstery)</t>
  </si>
  <si>
    <t>PURCHASE OF MEDICAL EQUIPMENT FOR THE PAGAMUTAN NG DASMARIÑAS</t>
  </si>
  <si>
    <t>INVITATION TO BID FOR SUPPLY AND DELIVER OF AGRICULTURAL FERTILIZER</t>
  </si>
  <si>
    <t>supply and delivery of jetmatic pump &amp; gi pipe</t>
  </si>
  <si>
    <t>Drilling of Exploratory Well on Various Areas of Calamba City, Laguna</t>
  </si>
  <si>
    <t>RIPRAPPING OF BARANGAY CAMINO ROAD</t>
  </si>
  <si>
    <t>PROCUREMENT FOR SUPPLY AND DELIVERY OF VARIOUS REGULAR MEDICINES AND IV FLUIDS ITB NO. 20-12</t>
  </si>
  <si>
    <t>Concreting of Deborok Barangay Road to Ditoray Barangay Road    3SAIP20-8000-B1c</t>
  </si>
  <si>
    <t>SUPPLY &amp; DELIVERY OF MATERIALS FOR THE CONST. OF DRAINAGE CANAL ALONG DOLORES ST. &amp; BARIUAN ST.</t>
  </si>
  <si>
    <t>IBTGH No. 2020-009 Construction of Outpatient Department Extension Building of Talavera General Hospital</t>
  </si>
  <si>
    <t>20KD0070 - Concreting of Brgy. Agusan FMR, Brgy. Agusan, Cagayan de Oro City, Misamis Oriental</t>
  </si>
  <si>
    <t>CONSTRUCTION OF MULTI-PURPOSE ALL WEATHER FACILITY</t>
  </si>
  <si>
    <t>Supply and Delivery of one (1) unit Desktop Computer Set and one (1) unit External Hard Disk</t>
  </si>
  <si>
    <t>20GEB0022-R1: Procurement/Supply of Diesel Fuel for use in the operation of DPWH Service Vehicles for Mindoro Occidental DEO Planning and Design Section</t>
  </si>
  <si>
    <t>CONSTRUCTION OF MULTI-PURPOSE DRYING PAVEMENT OF BRGY. BALAWEG-PHASE II</t>
  </si>
  <si>
    <t>Hospital Equipment and Supplies in connection with COVID-19 RT-PCR Examination</t>
  </si>
  <si>
    <t>Procurement of SPED Instructional Materials and Assessment Tools for the use of SPED Learners at Saluysoy Integrated School, City of Meycauayan, Bulacan</t>
  </si>
  <si>
    <t>PROVISION OF AGRICULTURAL MACHINERIES, EQUIPMENT &amp; ACCESSORIES</t>
  </si>
  <si>
    <t>Conc./Impvt.of Road (Continuation) Leading to Brgy.Muricay (new route)      2SAIP20-8000-C1a11</t>
  </si>
  <si>
    <t>FOD-C-20-2993: Procurement of Various Inorganic Fertilizer</t>
  </si>
  <si>
    <t>CONSTRUCTION OF PATHWAY PAVING OF BRGY. POB. WEST</t>
  </si>
  <si>
    <t>Purchase of Office Supplies, Ink &amp; Other Supplies, Gerona, Tarlac</t>
  </si>
  <si>
    <t>RFQ: One (1) Lot Supply, delivery, repair and maintenance of DOST-STII office cubicles and glass and acrylic</t>
  </si>
  <si>
    <t>PROVISION OF AGRICULTURAL INPUTS</t>
  </si>
  <si>
    <t>G-2020-487 Supply and Delivery of Breastmilk Storage Bottles, Gender and Development</t>
  </si>
  <si>
    <t>PROCUREMENT FOR SUPPLY AND DELIVERY OF VARIOUS ONCOLOGY DRUGS ITB NO. 2013</t>
  </si>
  <si>
    <t>G-2020-486 Supply and Delivery of Office &amp; Janitorial Supplies, City Housing and Settlements Department</t>
  </si>
  <si>
    <t>G-2020-485 Publication of Advertisement, City Planning and Development Office</t>
  </si>
  <si>
    <t>PURCHASED OF OFFICE SUPPLIES</t>
  </si>
  <si>
    <t>Public Bidding for the Concreting of Farm to Market Road at Brgy. Milibili, Roxas City, Under ITB No. 2020-015C</t>
  </si>
  <si>
    <t>G-2020-477 Supply and Delivery of T-shirt, City Social Services Department</t>
  </si>
  <si>
    <t>Contract for the Supply of Various Spare Parts (Kit Mimic Panel HMI, Fuse 200A, Fuse 10A, etc.) under PR No. RS-0620-008 and ITB No. 2007-038-01</t>
  </si>
  <si>
    <t>G-2020-475 Supply and Delivery of Medical Supplies, Gender and Development</t>
  </si>
  <si>
    <t>G-2020-474 Supply and Delivery of I.T. Equipment, City Planning and Development Office</t>
  </si>
  <si>
    <t>G-2020-471 Supply and Delivery of Printed Materials, City Social Services Department</t>
  </si>
  <si>
    <t>Supply and Delivery of One (1) Unit Pump Boat</t>
  </si>
  <si>
    <t>Development of the proposed evacuation site at Manghinao Proper, Bauan, Batangas</t>
  </si>
  <si>
    <t>Reproduction of Self Learning Modules (SLM)</t>
  </si>
  <si>
    <t>Supply &amp; Delivery of Office Supplies, I.T. Supplies, I.T. Consumables &amp; Janitorial Supplies</t>
  </si>
  <si>
    <t>Public Bidding for the Concreting of Farm to Market Road at Sitio Proper to Sitio Rosal, Brgy. Mongpong, Roxas City, Under ITB No. 2020-014C</t>
  </si>
  <si>
    <t>REPRODUCTION OF MODULES</t>
  </si>
  <si>
    <t>HFW : PSYCHOLOGICAL TEST AND ASSESSMENT MATERIALS OF HOME FOR WOMEN CLIENT</t>
  </si>
  <si>
    <t>HFW : CONDUCT OF RAPID ANTIBODY TEST AND PPEs FOR HOME FOR WOMEN.</t>
  </si>
  <si>
    <t>REHABILITATION OF DRAINAGE ALONG MONTEVERDE AVE., BARANGAY 30-C, POBLACION, DAVAO CITY</t>
  </si>
  <si>
    <t>Public Bidding for the Concreting of Cabug-Cabug – Bayuyan – Yating – Tabun-acan Provincial Road (Portion), Under ITB No. 2020-013C</t>
  </si>
  <si>
    <t>G-2020-480 Supply and Delivery of Office Supplies, Commission on Elections</t>
  </si>
  <si>
    <t>SUPPLY AND DELIVERY OF ELECTRICAL AND HARDWARE MATERIALS FOR STREET LIGHTING PROJECT IN SITIO MALALAG</t>
  </si>
  <si>
    <t>RFQ No. SJADS SVP 2020-25: Procurement of 54 Sacks (Rice/Well Milled)</t>
  </si>
  <si>
    <t>Supply &amp; delivery of 1 set Zoom Stereo Microscope in Barcenaga, Naujan, Oriental Mindoro</t>
  </si>
  <si>
    <t>Supply and delivery of Office Supplies and Consumable</t>
  </si>
  <si>
    <t>ELECTRONIC PARTS AND COMPONENTS</t>
  </si>
  <si>
    <t>Supply and Delivery of Digital Printing Machine with consumables ink and Master Roll for SHS Basilan National High School</t>
  </si>
  <si>
    <t>PROVISION OF MATERIALS FOR THE CONSTRUCTION OF DRAINAGE CANAL –    SEWER SYSTEM 690 Lm PHASE I</t>
  </si>
  <si>
    <t>Purchase of Medical Supplies for Laboratory, RHU-Pagsanghan, Samar</t>
  </si>
  <si>
    <t>2020-07-0027 - Survey Equipment/Materials and Office Supplies for the Conduct of Bridge Management System (BMS) Assessment and Validation Program assigned to the Planning and Design Section of this Di</t>
  </si>
  <si>
    <t>INFRA2020-IPP-010 Supply of Labor and Materials- Replaced Ceiling and Repair of Flooring of MRSQ Housing Quarter No. 11 at NPC Mindanao Generation, Maria Cristina, Iligan City.</t>
  </si>
  <si>
    <t>Supply and delivery of Office Supplies and Devices</t>
  </si>
  <si>
    <t>RFQ for the Cost of Catering Services for Meals and Snacks</t>
  </si>
  <si>
    <t>S3-CTW20-024 &amp; 4 OTHERS - Supply and Delivery of Various Electrical Spare Parts of Cummins Generator sets under SPUG WMOD Plants</t>
  </si>
  <si>
    <t>Supply and Delivery of Drum and Toner for FUJI Xerox at Buenavista NHS Junior HS</t>
  </si>
  <si>
    <t>Purchase of Hardware, Construction &amp; Lumber Materials- Repair of Concrete Drainage Canal, Brgy. Canlapwas, Pagsanghan, Samar</t>
  </si>
  <si>
    <t>INVITATION TO BID-CONSTRUCTION SUPPLIES AND MATERIALS</t>
  </si>
  <si>
    <t>Procurement of Various Agricultural Machineries/ Farm Equipment under CRFPS program of DAR-Laguna</t>
  </si>
  <si>
    <t>For the use City mayor's Office (HATOD SERBISYO).</t>
  </si>
  <si>
    <t>Repair/ Improvement of Mun. Bldg. ground floor CR</t>
  </si>
  <si>
    <t>Supply and Delivery of Materials and Equipment for reproduction of learners at Buenavista NHS Junior HS</t>
  </si>
  <si>
    <t>RFQ (P.R. No.) 2020-07-098</t>
  </si>
  <si>
    <t>Supply and Delivery of Quail Feeds for Japanese Quail Production at Mainit Campus</t>
  </si>
  <si>
    <t>SUPPLY AND DELIVERY OF SOFTWARE WITH HARDWARE AND TRAINING STAND-ALONE LICENSE POWER SYSTEM ANALYSIS OF WMTSD</t>
  </si>
  <si>
    <t>SUPPLY AND DELIVERY OF FOOD SUPPLIES (MEALS AND SNACKS) NEEDED FOR PARTICIPANTS DURING THE CONDUCT OF TRAINING ON SUSTAINABLE CORN PRODUCTION IN SLOPING AREAS (SCOPSA) IN BRGY. STA. RITA, PORO, CEBU</t>
  </si>
  <si>
    <t>20GKF0046-Purchase of Desktop Computer and Printer (Photocopy, Print, Scan) for use in Quality Assurance Section</t>
  </si>
  <si>
    <t>Supply and Delivery of Various Construction, Hardware and Plumbing Materials – 4 Lots (“Project”)</t>
  </si>
  <si>
    <t>Construction of Canal at Zone-4</t>
  </si>
  <si>
    <t>Purchase of ICT equipment(Computer set,printer,laptop,projector)</t>
  </si>
  <si>
    <t>RFQ-DVO-PR.NO. 2002213 CAT. 44 OFFICE SUPPLIES AND MATERIALS</t>
  </si>
  <si>
    <t>20AD0097 : Construction of Candon Sports Complex, Phase II, Bagani Campo, Candon City, Ilocos Sur</t>
  </si>
  <si>
    <t>Procurement of of Construction Materials for the Construcion of Rip Rap at SRF and SLRC</t>
  </si>
  <si>
    <t>G-2020-478 Supply and Delivery of Vegetable Seed, Gender and Development</t>
  </si>
  <si>
    <t>Purchase of Monobloc Tables and Chairs</t>
  </si>
  <si>
    <t>Procurement of Laptop Computer for University BOR Secretary</t>
  </si>
  <si>
    <t>G-2020-498 Supply and Delivery of Payroll Printer, City Schools Division</t>
  </si>
  <si>
    <t>CONSTRUCTION OF DRAINAGE CANAL AT RELOCATION SITE.</t>
  </si>
  <si>
    <t>S3-SCL20-014 &amp; 4 OTHERS - Supply and Delivery of Various Electrical Spare Parts of Perkins Generator Sets of SPUG WMOD Plants</t>
  </si>
  <si>
    <t>Repair and Maintenance for Gov't Vehicles</t>
  </si>
  <si>
    <t>Supply and Delivery of Agricultural Implements ITB No. 2020-170A</t>
  </si>
  <si>
    <t>Honorarium for Resource Speaker - Social Media Management and Digital Marketing Training Workshop</t>
  </si>
  <si>
    <t>2 pcs. Halogen Bulb</t>
  </si>
  <si>
    <t>Crude/Diesel Oill</t>
  </si>
  <si>
    <t>Procurement of Materials for the Installation of Street Lights (14 Units)</t>
  </si>
  <si>
    <t>“Procurement of Various Materials for the Fabrication and Installation of Solar Streetlights Along Rizal Street”</t>
  </si>
  <si>
    <t>Construction of Ligao City Sports Complex (Phase I) at Binatagan</t>
  </si>
  <si>
    <t>Supply &amp; Delivery of  various Construction Supplies and Materials to be used in the Construction of a Materials Recovery Facility beside the MMDA Parking Area</t>
  </si>
  <si>
    <t>PROCUREMENT OF IT SUPPLIES ( TONER AND INK CARTRIDGES)</t>
  </si>
  <si>
    <t>Reproduction of School-Based Activity of all Learning Areas for Kindergarten to Grade 3</t>
  </si>
  <si>
    <t>Concreting of Buadiamaloy Road(2020-07-002)</t>
  </si>
  <si>
    <t>Concreting of Kaluntay Rogan Farm Road(2020-07-001)</t>
  </si>
  <si>
    <t>S1-BRS20-014 - Supply, Delivery, Installation and Test of 2 x 60m3 Fuel Oil Storage for San Pascual DPP Including Construction of Associated Facilities</t>
  </si>
  <si>
    <t>20GCH0013:  Procurement of Asphalt Overlay along Jose Abad Santos Avenue K0076+010-K0079+000 and K0089+000-K0096+245 (intermittent Section) within DPWH Pampanga 2 nd  DEO, San Antonio, Guagua, Pampang</t>
  </si>
  <si>
    <t>IMPROVEMENT OF PLARIDEL CIVIC CENTER - PHASE I</t>
  </si>
  <si>
    <t>20GCH0012: Procurement of Asphalt for use in Repair/Maintenance along National Roads and Bridges within DPWH Pampanga 2nd  DEO, San Antonio, Guagua, Pampanga.</t>
  </si>
  <si>
    <t>Purchase of Personal Protective Equipment for MDRRMO, Botolan, Zambales</t>
  </si>
  <si>
    <t>Procurement of One set Generator</t>
  </si>
  <si>
    <t>Supply and Delivery of Materials for VAWC Room (Fabrication and Installation of Aluminum Glass Wall)</t>
  </si>
  <si>
    <t>Supply and Delivery of Supplies for reproduction of learning materials at Buenavista NHS Senior HS</t>
  </si>
  <si>
    <t>RFQ PR No. 2020-07-099</t>
  </si>
  <si>
    <t>SUPPLY AND DELIVERY OF ADDITIONAL MATERIALS FOR THE MULTI-PURPOSE COVERED COURT AT BARANGAY GUIO-ANG, GUINDULMAN, BOHOL.</t>
  </si>
  <si>
    <t>Ink for Brother Printer</t>
  </si>
  <si>
    <t>CONSTRUCTION OF MECHANICAL DRYER</t>
  </si>
  <si>
    <t>20AD0098 : Construction of Candon Sports Complex, Phase I, Bagani Campo, Candon City, Ilocos Sur</t>
  </si>
  <si>
    <t>Antibacterial Liquid Hand Soap</t>
  </si>
  <si>
    <t>Rehabilitation of Public Works</t>
  </si>
  <si>
    <t>RFQ PR No. 2020-07-100</t>
  </si>
  <si>
    <t>Supply and Delivery of various construction supply to be used for the repair/maintenance of drainage canal with flume covers and replacement of damage concrete pavement along various national roads</t>
  </si>
  <si>
    <t>2020 ASEAN Month Celebration</t>
  </si>
  <si>
    <t>SMART LED TV</t>
  </si>
  <si>
    <t>Supplies and Materials for SDO Response to Covid-19</t>
  </si>
  <si>
    <t>Supply &amp; Delivery Brand New Service Vehicle</t>
  </si>
  <si>
    <t>Provision of Consumables for the photocopier of Districts and Photocopier of Division Office Sections for the period of July to December 2020</t>
  </si>
  <si>
    <t>Reproduction of School-Based Activity of all Learning Areas for Kindergarten to Grade 6</t>
  </si>
  <si>
    <t>PROCUREMENT FOR THE CONSTRUCTION OF THREE (3) UNITS OF HAND WASHING FACILITIES AT DIVISION OFFICE OF LANAO DEL NORTE</t>
  </si>
  <si>
    <t>Procurement of Allen Sticks to be distributed to all municipalities of the Province of Surigao del Sur for Nutritional Assessment.</t>
  </si>
  <si>
    <t>S3-KDP20-008 - Supply and Delivery of Various Mechanical Spare Parts 600kW Cummins with Engine No: 41238156 and S.O No. SO66416</t>
  </si>
  <si>
    <t>Rehabilitation of Barangay Basketball Court</t>
  </si>
  <si>
    <t>G-2020-491 Supply and Delivery of Office and Janitorial Supplies, City Planning And Development Office</t>
  </si>
  <si>
    <t>G-2020-490 Supply and Delivery of Drugs &amp; Medicines, City Health Services Department</t>
  </si>
  <si>
    <t>LBRDC MOST COMMONLY USED MATERIALS (SUPPLY OF PLUMBING FIXTURES)</t>
  </si>
  <si>
    <t>Widening/Conc.  of Road (1.0m both sides) from Brgy. Tiguma to Airport  (Leading to White Beach Road)  DF20-8000-B1d</t>
  </si>
  <si>
    <t>HO-SBP20-001 - Service Contract for the Conduct of NPC's Customer Satisfaction Rating Survey for CY 2020</t>
  </si>
  <si>
    <t>FOD-R-20-2981: Procurement of 12,351 bags @ 50 kgs./bag of Urea Fertilizer (46-0-0)</t>
  </si>
  <si>
    <t>FOD-OA-20-3018: Procurement of 450 containers of Molasses and 1,000 bags of Organic Fertilizer</t>
  </si>
  <si>
    <t>N20-07-094 PURCHASE OF GENERAL MERCHANDISE</t>
  </si>
  <si>
    <t>(2FB)N20-07-074 PRINTING OF SIGNAGE</t>
  </si>
  <si>
    <t>Supply &amp; Delivery of Grocery Items, (HPN &amp; HSG), HPN</t>
  </si>
  <si>
    <t>Preventive Maintenance and Hardware Validation of UV VIS Spectrophotometer (KWB 2020-102</t>
  </si>
  <si>
    <t>PURCHASE OF MATERIALS FOR THE REPAIR OF SIBAY POWERHOUSE ELECTRICAL CONDUIT FOR CABLE WIRES, CONCRETING OF FUEL TANK PAD AND CONCRETING OF TRANSFORMER PAD</t>
  </si>
  <si>
    <t>Supply and Delivery of Feeds</t>
  </si>
  <si>
    <t>G-2020-493 Supply and Delivery of Books, City College of Calamba</t>
  </si>
  <si>
    <t>N20-07-097 CATERING SERVICES</t>
  </si>
  <si>
    <t>Improvement/Rehabilitation of ICT Building</t>
  </si>
  <si>
    <t>Supply &amp; Delivery of Medical, Dental and Laboratory Supplies (1301st PN Dental Dispensary), BNS</t>
  </si>
  <si>
    <t>Supply and Delivery of P.E. Hose and P.E Coupling for the Improvement of Water System of Purok 6, Barangay Balangbalang</t>
  </si>
  <si>
    <t>IMPROVEMENT/WIDENING OF KAWIT BARANGAY ROAD LEADING TO AIRPORT-TIGUMA RD   DF19-8000- B1-b14</t>
  </si>
  <si>
    <t>Supply &amp; Delivery of Training Supplies and Materials, (O/TNJA), BNS</t>
  </si>
  <si>
    <t>PURCHASE MATERIALS FOR THE ROAD OPENING/REHABILITATION OF FARM TO MARKET ROAD (FMR), LGU-Banga, South Cotabato</t>
  </si>
  <si>
    <t>Improvement of Holding Area (MSWD)</t>
  </si>
  <si>
    <t>Materials for the concreting of Lalud-Pachoca Road</t>
  </si>
  <si>
    <t>LOCAL ACCESS ROAD (Brgy. Lusacan)</t>
  </si>
  <si>
    <t>INFORMATION AND TECHNOLOGY PARTS AND ACCESSORIES PERIPERALS FOR THE DIVISION PUBLIC ADDRESS SYSTEM</t>
  </si>
  <si>
    <t>Food for Locally Stranded Individuals (LSI)</t>
  </si>
  <si>
    <t>LABOR AND MATERIALS FOR THE CONSTRUCTION OF FIBERGLASS REINFORCED PLASTIC (FRP) BOATS FOR SPECIAL AREAS FOR AGRICULTURAL DEVELOPMENT (SAAD) PROGRAM/PROJECT IMPLEMENTATION IN THE PROVINCE OF MISAMIS OC</t>
  </si>
  <si>
    <t>CONSTRUCTION OF DRAINAGE CANAL</t>
  </si>
  <si>
    <t>ITB No. 2020-I-P8-01: Construction &amp; Improvement of Various Infra Projects</t>
  </si>
  <si>
    <t>Procurement for the Cleaning Services of Airconditioning Units in DepEd MIMAROPA Region</t>
  </si>
  <si>
    <t>Installation of Dry Stand Pipe</t>
  </si>
  <si>
    <t>Reproduction of Self-learning Modules for Modular Distance Learning</t>
  </si>
  <si>
    <t>AMIA-20-3028: Supply of Food to be served during the conduct of DA7 Management Committee Meeting at the DA7 Complex, Mandaue City</t>
  </si>
  <si>
    <t>Request for Quotation (Continuous Form)</t>
  </si>
  <si>
    <t>Invitation to Bid for MHO-Medicines</t>
  </si>
  <si>
    <t>Improvement/Rehabilitation of Child Development Center, Malekkeg, Sta. Marcela, Apayao</t>
  </si>
  <si>
    <t>Supply and Delivery of Construction Materials/Supplies (RE-BID)</t>
  </si>
  <si>
    <t>Purchase of Bond Paper for Learning Modules Reproduction</t>
  </si>
  <si>
    <t>Honorarium for Resource Speaker - Product Packaging/Labelling and Consultancy Sessions</t>
  </si>
  <si>
    <t>Purchase of IT Equipment of MDRRMO, Botolan, Zambales</t>
  </si>
  <si>
    <t>Centennial Year Projects (Centennial of Museum)</t>
  </si>
  <si>
    <t>Purchase of Aircondition Units</t>
  </si>
  <si>
    <t>Network Installation Materials Passive Components (PR#20-07-0373)</t>
  </si>
  <si>
    <t>Request for Quotation (Envelope, Documentary; etc.)</t>
  </si>
  <si>
    <t>Procurement of Electro-Mechanical,Piping Distribtution,Electrical,Water Treatment Facilities and Civil Works for the Construction of San Roque Pumping Stationn</t>
  </si>
  <si>
    <t>Various Office Supplies</t>
  </si>
  <si>
    <t>Purchase of Equipment for President Office Use and Mobile Phone for President</t>
  </si>
  <si>
    <t>for Assessor's Office use</t>
  </si>
  <si>
    <t>Purchase of Janitorial Supplies</t>
  </si>
  <si>
    <t>Procurement of  Foldable Metal Tables &amp; Monoblock Chairs - GSO</t>
  </si>
  <si>
    <t>RFQ-DVO. PR NO. 2002212 CAT. 13 COMPUTER SUPPLIES AND MATERIALS</t>
  </si>
  <si>
    <t>AMIA-20-3027: Supply of Food to be served during the conduct of DA7 Full-Time Delivery Unit Meeting at the DA7 Complex, Mandaue City</t>
  </si>
  <si>
    <t>Concreting of Local Road at Zone 3, Inapatan, Nabua, Camarines Sur</t>
  </si>
  <si>
    <t>101-20-07-RFQ0928 - LANDSCAPING COMMITTE</t>
  </si>
  <si>
    <t>supply and delivery 5 drums Ultra Diesel Engine Oil 15W/40 VDS-3,208L/drum and other items (Lubricants for VOLVO Equipment)</t>
  </si>
  <si>
    <t>SUPPLIES AND DELIVERIES FOR EDUCATIONAL SUPPLIES AND MATERIALS FOR THE PUBLICATION OD DIVISION NEWSLETTER "ZN FOCUS", (QUARTERLY - PROPOSED DATE)</t>
  </si>
  <si>
    <t>Construction of Quarantine Facility Building (materials, labor &amp; equiptment rental) Brgy.San Roque</t>
  </si>
  <si>
    <t>Vehicle Repair &amp; Maintenance (Honda CRV)(SGS 318)</t>
  </si>
  <si>
    <t>Concreting of Local Road at Zone 5, Inapatan, Nabua, Camarines Sur</t>
  </si>
  <si>
    <t>Purchase of Perishable Goods for Meals of PUI's at the Quarantine</t>
  </si>
  <si>
    <t>INVITATION TO BID FOR PURCHASE OF MATERIALS FOR  REHABILITATION OF TALISAYAN CENTRAL SCHOOL BUILDING</t>
  </si>
  <si>
    <t>Purchase of Office Supplies &amp; Equipment</t>
  </si>
  <si>
    <t>Concreting of Local Road at Zone 5, Santiago Young, Nabua, Camarines Sur</t>
  </si>
  <si>
    <t>Construction of Hanging Bridge (Sitio Riverside, Ilayang Tayuman)</t>
  </si>
  <si>
    <t>HFW : GROCERY ITEMS FOR THE CONSUMPTION OF HOME FOR WOMEN FOR 2nd SEM. 2020</t>
  </si>
  <si>
    <t>PR# 20-07-736 Establishment of Packing Area and 2 units Concrete Tanks in Multi-Species Hatchery-Kawit, Medellin, Cebu</t>
  </si>
  <si>
    <t>CP 2020-45 BIDDING FOR THE SUPPLY,DELIVERY AND INSTALLATION OF STRAWBERRY GREENHOUSES AND OTHERS INCLUDING TRAINING C/O CVAO</t>
  </si>
  <si>
    <t>Supply &amp; Delivery of Photocopying Machine for General Services Office and Bids and Awards Committee Office</t>
  </si>
  <si>
    <t>Snacks for Mayor's office for the month of July 2020, Botolan, Zambales</t>
  </si>
  <si>
    <t>RFQ - Assorted Information Technology Equipment &amp; Supplies for use in the Consolidation of Various Information Technology Equipment and Supplies of DPWH-BCDEO</t>
  </si>
  <si>
    <t>REPAIR/REHABILITATION OF  FARM TO MARKET ROAD</t>
  </si>
  <si>
    <t>Procurement of Minit Excavator (Surplus)</t>
  </si>
  <si>
    <t>Purchase of Various Construction Materials</t>
  </si>
  <si>
    <t>Repair and Replacement of Parts of Water Pumps</t>
  </si>
  <si>
    <t>Purchase of Vehicle Parts for Change oil and Repair of DRRM Vehicles</t>
  </si>
  <si>
    <t>Riprapping of Local Road at Zone 7, Paloyon Oriental, Nabua, Camarines Sur</t>
  </si>
  <si>
    <t>CONSTRUCTION / REHABILITATION OF MINI-PUBLIC MARKET</t>
  </si>
  <si>
    <t>20GFL0004-Procurement of gasoline/diesel and oil for use in the operation of DPWH Sorsogon 2nd DEO various vehicle and equipment</t>
  </si>
  <si>
    <t>Fabrication/Installation of 216pcs Signages/Billboards</t>
  </si>
  <si>
    <t>Purchase of Supplies and Materials for the Installation/Construction of Open Line Canal (P1-P2)</t>
  </si>
  <si>
    <t>Procurement of Office Supplies and Consumables</t>
  </si>
  <si>
    <t>Kitchen and Janitorial Supplies for Mayor's office for the month July 2020, Botolan, Zambales</t>
  </si>
  <si>
    <t>INSTALLATION OF WATER METER</t>
  </si>
  <si>
    <t>SUPPLY &amp; DELIVERY OF MATERIALS FOR THE IMPROVEMENT OF TABBAN FTMR</t>
  </si>
  <si>
    <t>SUPPLY AND DELIVERY  OF MATERIALS FOR THE CONSTRUCTION OF SOLAR DRIER, PUROK 6, CAIMPUGAN, SAN FRANCISCO, AGUSAN DEL SUR</t>
  </si>
  <si>
    <t>Procurement of construction materials for Construction of Side Walk Shed National Road to Municipal Hall</t>
  </si>
  <si>
    <t>Public Bidding for the Proposed Construction of Multi-Purpose Covered Court @ Brgy. San Ramon, Pilar, Capiz, Under ITB No. 2020-016C</t>
  </si>
  <si>
    <t>procurement of food stuff/ mayor</t>
  </si>
  <si>
    <t>Catering Services and Room Accommodation for 40 Pax for Use in the Conduct of BHW Federated President’s Meeting (3rd-4th Quarter 2020)</t>
  </si>
  <si>
    <t>Purchase of Materials for the Improvement of Perimeter Fence of Tawid Holding Center, Tawid, Anda, Bohol</t>
  </si>
  <si>
    <t>Supply and delivery of 1 pc. A3 Digital Photocopier Printer Scanner</t>
  </si>
  <si>
    <t>Purchase of Hardware Materials</t>
  </si>
  <si>
    <t>Purchase of 20,000 liters Diesel Fuel</t>
  </si>
  <si>
    <t>Completion of Covered Court/Evacuation Center @ South Poblacion, Medina, Mis. Or.</t>
  </si>
  <si>
    <t>FURNISHING LABOR AND MATERIALS FOR THE BAMBAN PUBLIC MARKET (PHASE 2) CIVIL WORKS OF THE GROUND FLOOR OF 3-STOREY DRY MARKET AND TRAINING CENTER</t>
  </si>
  <si>
    <t>Purchase of goods for covid 19</t>
  </si>
  <si>
    <t>ESTABLISHMENT/PROVISION OF THREE UNIT ISOLATION FACILITIES</t>
  </si>
  <si>
    <t>IMPROVEMENT OF EVACUATION CENTER</t>
  </si>
  <si>
    <t>BIDDING FOR SUPPLY &amp; DELIVERY OF ENGINEERING SUPPLIES – MASONRY &amp; CARPENTRY - II</t>
  </si>
  <si>
    <t>Purchase of IT Equipment for Local School Board</t>
  </si>
  <si>
    <t>20GE0032G - PR No. R06.14-35 - Purchase of Gasoline for use in Maintenance service vehicle and other maintenance equipments</t>
  </si>
  <si>
    <t>Supply and Delivery of Materials for the Rehabilitation of Covered Court Comfort Room of BLGU Aguinaldo, Laak, Davao De Oro</t>
  </si>
  <si>
    <t>Invitation to Bid for PROCUREMENT OF TABLETS</t>
  </si>
  <si>
    <t>SUPPLY &amp; DELIVERY OF MATERIALS FOR THE CONCRETING OF DOLORS STREET (Completion)</t>
  </si>
  <si>
    <t>SUPPLY AND INSTALLATION OF OV WILDCARD SSL CERTIFICATE FOR SENATE.GOV.PH DOMAIN</t>
  </si>
  <si>
    <t>CP 2020-50 BIDDING FOR THE SUPPLY, DELIVERY AND INSTALLATION OF FILE COMPACTOR C/O LCR</t>
  </si>
  <si>
    <t>Equipment for Banana Tissue Culture Laboratory</t>
  </si>
  <si>
    <t>Public Bidding for the Proposed Construction of Multi-Purpose Covered Court @ Brgy. Quios, Panitan, Capiz, Under ITB No. 2020-018C</t>
  </si>
  <si>
    <t>Purchase of Office Equipment &amp; Devices</t>
  </si>
  <si>
    <t>Public Bidding for the Proposed Construction of Multi-Purpose Covered Court @ Brgy. Poblacion Ilaya, Panitan, Capiz, Under ITB No. 2020-017C</t>
  </si>
  <si>
    <t>Invitation to Bid for PROCUREMENT OF EQUIPMENT FOR COMPUTER ROOMS  AND COMMUNITY LEARNING HUBS</t>
  </si>
  <si>
    <t>PROCUREMENT OF LAPTOP FOR MAYORS OFFICE- SAN NICOLAS, PANGASINAN</t>
  </si>
  <si>
    <t>Purchase of Office Supplies and Consumables</t>
  </si>
  <si>
    <t>Purchase of other/janitorial supplies for various office for 2nd quarter-B under PR#CONSOLIDATED-23</t>
  </si>
  <si>
    <t>Procurement of agricultural supplies to be given to the rice farmers of the municipality of Camalig</t>
  </si>
  <si>
    <t>SUPPLY AND DELIVERY OF VARIOUS VITAMINS FOR SENIOR CITIZEN</t>
  </si>
  <si>
    <t>Supply &amp; Delivery of One (1) Unit Laptop and Microphone Set to be used at the SB Session Hall, Sangguniang Bayan of Paniqui, Tarlac</t>
  </si>
  <si>
    <t>Swimming Pool Disinfectant and Swimming Pool Vacuum Hose For SINP</t>
  </si>
  <si>
    <t>Request for Quotation for the Construction of the Truck Scale Foundation</t>
  </si>
  <si>
    <t>PROCUREMENT OF OFFICE EQUIPMENT FOR USE AT THE SANGGUNIANG BAYAN</t>
  </si>
  <si>
    <t>OUTSOURCE GENERAL CLEANING OF AIRCONDITIONING UNITS</t>
  </si>
  <si>
    <t>RICE20-07-29-0966 Supply and Delivery of Vehicle Parts and Accessories.</t>
  </si>
  <si>
    <t>For School / Office Supplies and other materials</t>
  </si>
  <si>
    <t>Purchase of Tires for Repair and Maintenance of DRRM Vehicles</t>
  </si>
  <si>
    <t>CP 2020-49 BIDDING FOR JANITORIAL SERVICES FOR THE PERIOD OCTOBER 01, 2020 TO SEPTEMBER 30, 2023</t>
  </si>
  <si>
    <t>SUPPLY &amp; DELIVERY OF MATERIALS FOR THE MAINT./IMPROV. OF AMBALLO NORTH - AMBALLO SOUTH FTMR</t>
  </si>
  <si>
    <t>NEGOTIATION DUE TO TWO FAILED BIDDINGS FOR SUPPLY &amp; DELIVERY OF LABORATORY SUPPLIES – BACTERIOLOGY REAGENTS - I</t>
  </si>
  <si>
    <t>BIDDING FOR SUPPLY &amp; DELIVERY OF ENGINEERING SUPPLIES – PAINTING - II</t>
  </si>
  <si>
    <t>20GEF013 Cluster VII – 1. Supply and Delivery of Office equipment for use in the Office of the District Engineer 2. Supply and Delivery of Semi-Expendable Furniture &amp; Fixtures and Furniture &amp; Fixtures</t>
  </si>
  <si>
    <t>Construction of Early Child Care &amp; Development Center @ P-4, Pahindong, Medina, Mis. Or.</t>
  </si>
  <si>
    <t>Purchase of Construction Materials</t>
  </si>
  <si>
    <t>101-20-07-RFQ0930 - USE IN MENRO FOR SOLID WASTE MGT. BOARD OPERATION (OFFICE SUPPLIES EXP.)</t>
  </si>
  <si>
    <t>Purchase of Grocery Items</t>
  </si>
  <si>
    <t>Modality Treatment Bed (Rehab)</t>
  </si>
  <si>
    <t>RFQ-NP-SVP-322b-2020-Procurement of  Aircon for Office Equipment</t>
  </si>
  <si>
    <t>Supply/Delivery of 24 pcs Cellcard (125.00 per piece)</t>
  </si>
  <si>
    <t>Purchase of office supplies for various office for 2nd quarter-B under PR#CONSOLIDATED-24</t>
  </si>
  <si>
    <t>Procurement of various office supplies with PR # 814 &amp; 854</t>
  </si>
  <si>
    <t>SUPPLY OF 9 CYLINDERS OF HELIUM GAS</t>
  </si>
  <si>
    <t>PURCHASE OF CCTV FOR THE USE OF BRGY.STO. TOMAS CITY OF BINAN LAGUNA</t>
  </si>
  <si>
    <t>provision of IT Equipment</t>
  </si>
  <si>
    <t>CP 2020-51 BIDDING FOR THE SUPPLY AND DELIVERY OF VARIOUS TIRES C/O GSO</t>
  </si>
  <si>
    <t>WIRELESS BONE CONDUCTION HEADPHONES</t>
  </si>
  <si>
    <t>Canvass SDR Pipe</t>
  </si>
  <si>
    <t>LOT Procurement of VETERINARY SUPPLIES for Use in Provincial Livestock and Breeding Center at PARDC, Magay, City of Mati</t>
  </si>
  <si>
    <t>Improvement of the Luis Hora Gym</t>
  </si>
  <si>
    <t>B20200289 - MEDICAL OXYGEN STD FOR DAVAO DEL NORTE HOSPITAL, IGACOS ZONE</t>
  </si>
  <si>
    <t>Procurement of Microsoft Office Standard Device Single Language 2019</t>
  </si>
  <si>
    <t>Supply and delivery of various toner for printer</t>
  </si>
  <si>
    <t>Catering Services and Room Accommodation for 30 Pax for Use in the Conduct of PIMAM Training for Health and Nutrition Service Providers (3rd – 4th Qrtr 2020)</t>
  </si>
  <si>
    <t>PURCHASE OF OFFICE EQUIPMENT</t>
  </si>
  <si>
    <t>Rehabilitation of Concrete Stair &amp; Pathway of Brgy. Hall</t>
  </si>
  <si>
    <t>LOCAL ACCESS ROAD (Brgy. Lagalag)</t>
  </si>
  <si>
    <t>NEGOTIATION DUE TO TWO FAILED BIDDINGS FOR SUPPLY &amp; DELIVERY OF LABORATORY SUPPLIES – BLOOD BANK REAGENT - I</t>
  </si>
  <si>
    <t>RFQ-NP-SVP-323-2020-Procurement of  Printing Services for Printing Press</t>
  </si>
  <si>
    <t>SUPPLY OF DIESOLINE AND SPL GAS FOR THE  CONSUMPTION OF THE DIFFERENT VEHICLE/OFFICES  OF LGU-MOLAVE, ZDS</t>
  </si>
  <si>
    <t>Meals serve during the regular session of the Provincial Board Members</t>
  </si>
  <si>
    <t>Supply and Delivery of Laboratory Supplies, PR# 2020-07-0176, RCF-102-000</t>
  </si>
  <si>
    <t>PURCHASE OF XEROX MACHINE &amp; PRINTER</t>
  </si>
  <si>
    <t>Procurement of Appliances</t>
  </si>
  <si>
    <t>Purchase of Agri-Fishery Supply</t>
  </si>
  <si>
    <t>101-20-07-RFQ0933 - USE FOR MENRO/REFORESTATION PROGRAM (OFFICE SUPPLIES EXPENSES)</t>
  </si>
  <si>
    <t>PROCUREMENT OF OFFICE EQUIPMENT</t>
  </si>
  <si>
    <t>Snacks serve during the committee hearing at the Sangguniang Panlalawigan Session Hall</t>
  </si>
  <si>
    <t>NEGOTIATION DUE TO TWO FAILED BIDDINGS FOR SUPPLY &amp; DELIVERY OF LABORATORY SUPPLIES - GENERAL SUPPLIES</t>
  </si>
  <si>
    <t>Supply and Delivery of Job Order Installation of Sliding Doors, Window &amp; Swing Doors and Window Blinds ( G-081-0538-20 )</t>
  </si>
  <si>
    <t>HVCDP20-07-29-0634 Provide services through piecework system in processing of liquidation documents for the quick response fund under HVCD Program.</t>
  </si>
  <si>
    <t>Procurement of 2 units desktop</t>
  </si>
  <si>
    <t>20HF0100 Construction of One (1) Unit – Four (4) Storey, Twelve (12) CL, Modified Standard DPWH-DepEd Std. School Building at Minolos Integrated School (Option 3 - Computer Laboratory), Barili, Cebu</t>
  </si>
  <si>
    <t>PURCHASE AND DELIVERY OF OFFICE EQUIPMENTS, RHU, Can-avid Eastern Samar</t>
  </si>
  <si>
    <t>Catering Services and Room Accommodation for 166 Pax for Use in the Conduct of PIMAM Training for Health and Nutrition Volunteers (3rd – 4th Qrtr 2020)</t>
  </si>
  <si>
    <t>MOOE SCHOOL, OFFICE SUPPLIES AND EQUIPMENT OF KALAMPIGAN ELEMENTARY SCHOOL FOR THE MONTH OF JANUARY TO JUNE 2020</t>
  </si>
  <si>
    <t>WASTE WATER TREATMENT PLANT PREVENTIVE MAINTENANCE</t>
  </si>
  <si>
    <t>Purchase of Automotive Battery 3SM</t>
  </si>
  <si>
    <t>Procurement of Diesel Fuel for Provincial Planning and Development Office Service Vehicle</t>
  </si>
  <si>
    <t>Procurement of 15,740 Pieces COCO SEEDNUTS in Support to Coconut Farm Intercropping Project</t>
  </si>
  <si>
    <t>Procurement of REAGENTS for Water Analysis for the Use of the City Health Office and 10 Municipal Health Offices of Davao Oriental</t>
  </si>
  <si>
    <t>ICT EQUIPMENTS - LAWIN</t>
  </si>
  <si>
    <t>CONSTRUCTION OF CENTRAL MATERIALS RECOVERY FACILITY AT STA. LUCIA</t>
  </si>
  <si>
    <t>20GEF015 Supply and Delivery of Spare Parts for use in the Preventive Maintenance of Service Vehicles assigned to District Engineer of DPWH Palawan 2nd DEO Narra, Palawan</t>
  </si>
  <si>
    <t>(JOY-NPIG PROJECT) - GENE SEQUENCING SERVICE FOR NATIVE PIGS PROJECT</t>
  </si>
  <si>
    <t>101-20-07-RFQ0929 - USE FOR MENRO/OPERATIONS OF ESWM PARK (OFFICE SUP. EXP.)</t>
  </si>
  <si>
    <t>Supply &amp; Delivery of Vegetable Seeds for Community Based Vegetable Gardening of Municipal Agriculture Office</t>
  </si>
  <si>
    <t>UPGRADING AND IMPROVEMENT OF  LOCAL ACCESS ROADS</t>
  </si>
  <si>
    <t>SUPPLY &amp; DELIVERY OF 1-UNIT 4X4 DUMPTRUCK</t>
  </si>
  <si>
    <t>LOT Procurement of SPAREPARTS for the Use of Toyota Grandia of the Provincial Tourism Office</t>
  </si>
  <si>
    <t>B20200290 - AGRICULTURAL SUPPLIES FOR LABORATORY FOR PRODUCTION OF TISSUE CULTURE PLANTLETS</t>
  </si>
  <si>
    <t>PROCUREMENT OF COMPUTER SUPPLIES FOR COMPUTER REPAIR/REPLACEMENT IN THE DIVISION OFFICE</t>
  </si>
  <si>
    <t>PROCUREMENT OF DUPLO INK for LCP</t>
  </si>
  <si>
    <t>(20NH0093)Concreting of Brgy. Magsaysay to Brgy. Songkit FMR, Brgy. Magsaysay and Brgy. Songkit, Madrid, Surigao del Sur</t>
  </si>
  <si>
    <t>Procurement of Office Equipment for Provincial Planning and Development Office Project Documentation</t>
  </si>
  <si>
    <t>CLEANING SUPPLIES (PR#20-07-70707)</t>
  </si>
  <si>
    <t>20GEF014 Supply and Delivery of Materials for Repair/ Maintenance of safety Devices/Signages along National Roads and Bridges Palawan II District Engineering Office (all Road Section)</t>
  </si>
  <si>
    <t xml:space="preserve">20GEF011 (Re-bid 1) Supply and Delivery of IT equipment, Parts Tools and Software for Installation and Configuration of Communication Networking Equipment including System Integration of DPWH Palawan </t>
  </si>
  <si>
    <t>CONSTRUCTION OF NEW EVACUATION CENTER</t>
  </si>
  <si>
    <t>101-20-07-RFQ0936 - FOR MACCO OPERATION</t>
  </si>
  <si>
    <t>Supply and Delivery of Various Archival Supplies for the University Archives and Records Management Unit</t>
  </si>
  <si>
    <t>LOT Procurement of Vehicle Parts for the Use of Isuzu Elf</t>
  </si>
  <si>
    <t>Invitation to Bid (Baler, Aurora)(Imus City, Cavite)</t>
  </si>
  <si>
    <t>Supply and Delivery of Laboratory Supplies and Equipment, Project 41</t>
  </si>
  <si>
    <t>Supply and Delivery of One (1) Unit Dinghy and One (1) Unit Rescue Cutter with Complete Accessories</t>
  </si>
  <si>
    <t>CORN20-07-29-0220 Supply and Delivery of Agricultural Product.</t>
  </si>
  <si>
    <t>Supply and Delivery of floor rags, 32" TV Bracket, Towel, Bed Sheet and mop ( G-082-0539-20 )</t>
  </si>
  <si>
    <t>B20200291 - FURNITURES AND FIXTURES FOR PROVINCILA GOVERNORS OFFICE</t>
  </si>
  <si>
    <t>(NVPH) REQUEST FOR QUOTATION (RFQ)  For the Procurement of 20 tubes Duplicator Ink for DD3344, etc. For the Nueva Vizcaya Provincial Hospital--114,500.00</t>
  </si>
  <si>
    <t>Procurement of Various Office Supplies and devices</t>
  </si>
  <si>
    <t>Consulting Services for Tendering Assistance, System Redesign, Database Programming and Redevelopment of CIAP website</t>
  </si>
  <si>
    <t>Purchase of Gasoline, Oil and Lubricants, etc.</t>
  </si>
  <si>
    <t>Purchase of Electrical Suppy</t>
  </si>
  <si>
    <t>PURCHASE OF SEEDLINGS FOR THE DEVELOPMENT OF ECO-PARK AT CIVOLEG, BRGY. LUNOTAN UNDER P.R. NO. 50-20-07-059</t>
  </si>
  <si>
    <t>Procurement of Food Processing Equipment</t>
  </si>
  <si>
    <t>101-20-07-RFQ0931 - USE FOR MENRO/ADOPT - A CREEK PROGRAM (OFFICE SUPPLIES EXPENSES)</t>
  </si>
  <si>
    <t>PURCHASE OF 12 SETS COMPUTER DESKTOP WITH PRINTER, CAMERA, MONITOR AND HEADSET FOR VIRTUAL SESSION OF SB</t>
  </si>
  <si>
    <t>(KMH) REQUEST FOR QUOTATION (RFQ)  For the Procurement of Office Supplies (Paper Multi-Purpose, Toner Cart, etc. For the Kasibu Municipal Hospital--76,490.00</t>
  </si>
  <si>
    <t>CONSTRUCTION OF BRGY. MISSION CIS</t>
  </si>
  <si>
    <t>SUPPLY AND CELIVERY OF MATERIALS FOR THE CONCRETING OF TIRE PATH AT SITIO KAWAYAN, CARDIZ</t>
  </si>
  <si>
    <t>Supply and Delivery of Audio Equipment, Supplies &amp; Peripherals (18svp)</t>
  </si>
  <si>
    <t>101-20-07-RFQ0937 - USE FOR MEEDO / SLAUGHTER HOUSE 3RD QUARTER</t>
  </si>
  <si>
    <t>Procurement of Paper Materials and Products</t>
  </si>
  <si>
    <t>20HF0101 Concreting of Brgy. Tubod FMR, Brgy. Tubod, Barili, Cebu</t>
  </si>
  <si>
    <t>Establishment of Engineering Physics Laboratory - Potia Campus</t>
  </si>
  <si>
    <t>CORN20-07-29-0219 Supply and Delivery of Agricultural Product.</t>
  </si>
  <si>
    <t>P.R. No. 20-101-053 "Electrical Supplies for the BaSC Main Campus and 5 Extension Campuses"</t>
  </si>
  <si>
    <t>101-20-07-RFQ0935 - USE FOR OFFICE SUPPLIES/DILG/SK</t>
  </si>
  <si>
    <t>Procurement of Management Information System (MIS) Specialist</t>
  </si>
  <si>
    <t>PURCHASE/ INSTALLATION OF CCTV (LGU)</t>
  </si>
  <si>
    <t>Supply and delivery of DRRM Hygiene Kit</t>
  </si>
  <si>
    <t>101-20-07-RFQ0939 - USE FOR MEEDO / REPAIR AND MAINTENANCE FO PUBLIC MARKET SITE 3RD QUARTER</t>
  </si>
  <si>
    <t>B20200297 - PRINTER FOR VARIOUS SCHOOLS IN DAVAO DEL NORTE PROVINCE</t>
  </si>
  <si>
    <t>B20200293 - DRUGS AND MEDICINE FOR PROVINCIAL HEALTH OFFICE MEDICAL OUTREACH / WALK IN CLIENTS</t>
  </si>
  <si>
    <t>Purchase of supplies for the preventive measure against COVID-19</t>
  </si>
  <si>
    <t>HFW: OCCUPATIONAL THERAPIST  &amp; PHYSICAL THERAPIST FOR  HOME FOR WOMEN.</t>
  </si>
  <si>
    <t>Barangay Road Concreting ( Pacac)</t>
  </si>
  <si>
    <t>SUPPLY AND DELIVERY OF AIRCONDITIONING UNITS</t>
  </si>
  <si>
    <t>B20200299 - FURNITURE AND FIXTURE FOR HALFWAY HOUSE FOR FORMER REBELS - PSWDO</t>
  </si>
  <si>
    <t>Improvement of Multi-purpose Hall</t>
  </si>
  <si>
    <t>REHABILITATION OF BRGY. CADACAD CIS</t>
  </si>
  <si>
    <t>Supply &amp; Delivery of Medical Supplies for Massive Deworming and Vitamin Injection of Livestocks Animals on September 1 - December 31, 2020</t>
  </si>
  <si>
    <t>Supply / Delivery of Gasoline (Special), Diesel, Oil (Diesel) SAE 40, Oil Automatic Transmission Fluid (ATF) &amp; Oil (Gasoline) 2T</t>
  </si>
  <si>
    <t>RFQ - Nameplate</t>
  </si>
  <si>
    <t>CHICKEN (PR#20-07-70706)</t>
  </si>
  <si>
    <t>B20200296 - SEEDLINGS FOR CONDUCT OF TREE PLANTING ACTIVITY - PENRO</t>
  </si>
  <si>
    <t>101-20-07-RFQ0934 - USE FOR OFFICE SUPPLIES/ABC</t>
  </si>
  <si>
    <t>Enhancement of Internet Connectivity, NIPSC, Estancia, Iloilo</t>
  </si>
  <si>
    <t>Procurement of Vehicle &amp; Accessories</t>
  </si>
  <si>
    <t>PROCUREMENT OF ICT EQUIPMENT</t>
  </si>
  <si>
    <t>PROCUREMENT OF OFFICE EQUIPMENT/IT PRODUCTS</t>
  </si>
  <si>
    <t>B20200201 - BOOKS FOR SENIOR HIGH SCHOOL STUDENTS</t>
  </si>
  <si>
    <t>IMPROVEMENT OF WATER AND SANITATIONS</t>
  </si>
  <si>
    <t>Supply and Delivery of Various Laboratory Supplies, RTF-03</t>
  </si>
  <si>
    <t>B20200295 - OTHER SUPPLIES FOR WASHABLE FACE MASK MAKING FOR PADO-EWDD USE</t>
  </si>
  <si>
    <t>Procurement of Multiple Hooks and Line for Fisherfolks Livelihood Projects</t>
  </si>
  <si>
    <t>Purchase and Delivery of Office Equipment</t>
  </si>
  <si>
    <t>CALIBRATION SERVICES FOR BIOMEDICAL TEST EQUIPMENT</t>
  </si>
  <si>
    <t>Request for Price Quotation -Supply and Delivery of 14 Units  Android Tablet</t>
  </si>
  <si>
    <t>Supply and Delivery of ICT Networking Equipment and Supplies</t>
  </si>
  <si>
    <t>Procurement of Bangus Production for Plaridel Fisherfolks sustainable livelihood association</t>
  </si>
  <si>
    <t>Supply and Delivery of Q3-Q4 CY 2020 Office Supplies</t>
  </si>
  <si>
    <t>Construction of Reflecting Pool with Musical Fountain and Landscaping (Project Sub Component #2 of the Proposed Davao Occidental-Government Business Center and Industrial Estates) located at Lais, Mal</t>
  </si>
  <si>
    <t>Purchase of  50 kgs Rice (2020-07-130)</t>
  </si>
  <si>
    <t>Supply / Delivery of 1 unit Motorcycle (Sports Type)</t>
  </si>
  <si>
    <t>Concreting of Brgy. Aurora FMR, Brgy. Aurora, Quezon, Nueva Vizcaya</t>
  </si>
  <si>
    <t>20KJ0189: Repair/Maintenance of Flood Control and Drainage Structures along Labuyo-Tangub-Silanga Road, K1684+500, Tangub City, Misamis Occidental</t>
  </si>
  <si>
    <t>DSWD7-2020-0796; Vehicle Repair &amp; Maintenance</t>
  </si>
  <si>
    <t>Preventive maintenance of Backhoe loader</t>
  </si>
  <si>
    <t>Supply and Delivery of Materials for the Operation and Maintenance of BALATUBAT DPP</t>
  </si>
  <si>
    <t>SUPPLY &amp; DELIVERY OF DRUGS AND MEDICINES FOR LGU-BORONGAN CITY, EASTERN SAMAR</t>
  </si>
  <si>
    <t>SUPPLY &amp; DELIVERY OF MATERIALS FOR THE CONCRETING OF BARANGAY ROAD</t>
  </si>
  <si>
    <t>Supply of Materials and Equipment for PALANAN DPP</t>
  </si>
  <si>
    <t>LOCAL ACCESS ROAD REHABILITATION/IMPROVEMENT</t>
  </si>
  <si>
    <t>20HF0102 Concreting of Brgy. Lamac to Brgy. Camugao FMR, Brgy. Lamac and Brgy. Camugao, Pinamungahan, Cebu</t>
  </si>
  <si>
    <t>PROCUREMENT OF AGRICULTURE INPUTS AND SUPPLIES</t>
  </si>
  <si>
    <t>Kabuhayan Starter Kit</t>
  </si>
  <si>
    <t>Supply of General Plant Equipment (Projector Multimedia) for MARINDUQUE 69KV TL &amp; SS</t>
  </si>
  <si>
    <t>SUPPLEMENTAL BID BULLETIN ON SOLICITATION NO. PB 2020-001: PROCUREMENT OF SERVICES OF CONTRACTOR FOR THE PROPOSED CONSTRUCTION OF DBP LEGAZPI BRANCH CASH CENTER</t>
  </si>
  <si>
    <t>Procurement of Printing Supplies ( Ink)</t>
  </si>
  <si>
    <t>Laptop Computer for MCR</t>
  </si>
  <si>
    <t>Supply and Delivery of Tools, Materials and Equipment for the Operation and Maintenance of BALATUBAT DPP</t>
  </si>
  <si>
    <t>PROCUREMENT OF LGU BAND EQUIPMENTS</t>
  </si>
  <si>
    <t>PURCHASE OF RESPONSE &amp; RESCUE EQUIPMENTS</t>
  </si>
  <si>
    <t>Supply and delivery of materials for the improvment of drainage/sewerage at public market</t>
  </si>
  <si>
    <t>Procurement of IT Software</t>
  </si>
  <si>
    <t>CONSTRUCTION OF BUTIG PUBLIC MARKET</t>
  </si>
  <si>
    <t>Laptop Computer for Accounting Office</t>
  </si>
  <si>
    <t>Supply/Delivery of Catering Services</t>
  </si>
  <si>
    <t>Supply/Delivery of Food Stuff (Groceries)</t>
  </si>
  <si>
    <t>Rehabilitation of Farm to Market Road</t>
  </si>
  <si>
    <t>Supply of Materials and Equipment for Maintenance and Operation of MONGPONG DPP</t>
  </si>
  <si>
    <t>Supply/Delivery of Diesel, Gasoline-Unleaded, Engine Oil (SAE-40) &amp; Brake Fluid</t>
  </si>
  <si>
    <t>20KJ0191: Provision of 71X Special Maintenance Under Work Category No.16 Drainage Maintenance, K1700+832, Ozamiz City, Misamis Occidental</t>
  </si>
  <si>
    <t>20CSKG03 - Conduct of Preliminary Detailed Engineering (PDE) Activities for the Project : Construction of Multi-purpose Building (Performance Arts Center) at Kapatagan National High School,Kapatagan,</t>
  </si>
  <si>
    <t>SH-047-20 : ICT EQUIPMENT: PORTABLE EXTERNAL SSD Under PR 20-207</t>
  </si>
  <si>
    <t>B20200298 - LUBRICANTS FOR VARIOUS PROV'L. EQUIPMENT FOR PROV'L. ROADS AND BRIDGES</t>
  </si>
  <si>
    <t>NP 109-20: ICT EQUIPMENT UNDER PR 20-202</t>
  </si>
  <si>
    <t>STO20-07-28-0348 Supplyn and Delivery of Agricultural Equipment and Supplies.</t>
  </si>
  <si>
    <t>FISH (PR#20-07-70705)</t>
  </si>
  <si>
    <t>Supply and Delivery of Station Used Transformer for PATNANUNGAN DPP</t>
  </si>
  <si>
    <t>RE-BIDDING FOR SUPPLY &amp; DELIVERY OF LABORATORY SUPPLIES – IMMUNOLOGY/SEROLOGY REAGENT – IV</t>
  </si>
  <si>
    <t>SUPPLY AND DELIVERY OF SEEDLINGS FOR OFFICIAL USE of PENRO ISABELA</t>
  </si>
  <si>
    <t>Procurement of construction materials for Construction of Side Walk Shed (Phase 2), Sta. Maria</t>
  </si>
  <si>
    <t>CP 2020-52 BIDDING FOR THE SUPPLY AND DELIVERY OF ONE (1) UNIT INSULATED MANLIFT TRUCK C/O CEO</t>
  </si>
  <si>
    <t>Furnitures ( executive Table and Chairs)</t>
  </si>
  <si>
    <t>procurement of fuel and lubricants/mayors office</t>
  </si>
  <si>
    <t>Purchase &amp; Delivery of Janitorial &amp; Other Supplies for the Office of SPM Benjamin Maggay</t>
  </si>
  <si>
    <t>Supply and Delivery of Office Equipment for Radyo Kamalindig</t>
  </si>
  <si>
    <t>Consultancy and Training Services for SMWD ISO Certification</t>
  </si>
  <si>
    <t>CONSTRUCTION OF PUBLIC TOILET FOR THE BRGY.GYM</t>
  </si>
  <si>
    <t>Internet Subscription for San Isidro Campus</t>
  </si>
  <si>
    <t>Construction of Street Lights - Rosario to Natividad, Pilar, Capiz</t>
  </si>
  <si>
    <t>Supply and Delivery of Materials for the Concreting of Drainage System of Purok 1, 2, 3 &amp; 4 at BLGU Aguinaldo, Laak, Davao De Oro</t>
  </si>
  <si>
    <t>LOCAL ACCESS ROAD (Brgy. Bukal)</t>
  </si>
  <si>
    <t>SUPPLY AND DELIVERY OF CONSTRUCTION MATERIALS FOR THE CONTINUATION/CONSTRUCTION OF PATHWAY</t>
  </si>
  <si>
    <t>PURCHASE AND DELIVERY OF MATERIALS FOR THE CONSTRUCTION OF CAN-AVID MARKER AT CAN-AVID GREAT PARK, Brgy. 7 Poblacion, Can-avid Eastern Samar</t>
  </si>
  <si>
    <t>Concreting of Brgy. Cabuluan FMR, Brgy. Cabuluan, Villaverde, Nueva Vizcaya</t>
  </si>
  <si>
    <t>Construction/Installation of Streetlights at Sta. Lucia, Nabua, Camarines Sur</t>
  </si>
  <si>
    <t>DESKTOP and LAPTOP UNIT FOR SHE Division</t>
  </si>
  <si>
    <t>Procurement of 1 Lot Various Laboratory Reagents</t>
  </si>
  <si>
    <t>Supply of General Plant Equipment for MARINDUQUE 69KV TL &amp; SS</t>
  </si>
  <si>
    <t>Purchase of Office Equipment For FOR PAPERLESS SESSION.	Under P.R. No. 80-20-07-095</t>
  </si>
  <si>
    <t>ITB No. 2020-07-29 SUPPLY AND DELIVERY OF  VARIOUS LIVESTOCK</t>
  </si>
  <si>
    <t>Emergency Purchase of Non Perishable Goods for the Quarantine Checkpoints in relation to COVID-19 Pandemic</t>
  </si>
  <si>
    <t>PROCUREMENT OF DUPLICATING MACHINES</t>
  </si>
  <si>
    <t>Supplies to be used for the Operation of Solid Waste Managment Program-MO, Supplies to be used for the Operation of environment management Program-MO and Office Supplies –Budget Office</t>
  </si>
  <si>
    <t>SH-048-20 : SUPPLY AND DELIVERY OF 10 UNITS OF STEEL LATERAL FILING CABINET (4 DRAWERS) Under PR 20-242</t>
  </si>
  <si>
    <t>ITB 07-005-20 Drugs and Biologics for Department of Agriculture IX (LIVESTOCK PROGRAM 2020)</t>
  </si>
  <si>
    <t>Rehabilitation of Manpower Development Center</t>
  </si>
  <si>
    <t>TOOLS &amp; EQUIPMENT (Tailoring NC II)</t>
  </si>
  <si>
    <t>RFQ-NP-SVP-312-2020-Procurement of Internet Subscription for Panaon Campus.</t>
  </si>
  <si>
    <t>Supply of Labor, Parts, Materials and Equipment (Turbocharger MAN NR15 Unit No. 2-500kw MAN of CASIGURAN DPP</t>
  </si>
  <si>
    <t>Purchase of Construction Materials and Supplies For Repainting of City Hall Perimeter Fence &amp; Landscaping Besides Negosyo Center Building @ Barangay 22-A. Under P.R. No. 20-20-07-225</t>
  </si>
  <si>
    <t>Vehicle Repair and Maintenance Payloader/SD200N</t>
  </si>
  <si>
    <t>purchase of xerox machine</t>
  </si>
  <si>
    <t>Purchase and delivery of Residual Processing Machines to be used in the operation and implementation of Municipal Ecological Solid Waste Maangement</t>
  </si>
  <si>
    <t>Procurement of Various Construction Supplies -07-451(O)PEO</t>
  </si>
  <si>
    <t>To provide packed lunch and snacks for the conduct of Re-orientation of Program Participants of SCF and Launching / Release of SCF / SLPA's activity based on Memorandum Circular 22</t>
  </si>
  <si>
    <t>Supply/Delivery of 2 sets P.A. (Public Address) Speaker System with 2-Speaker Stands</t>
  </si>
  <si>
    <t>Supply of Labor and Materials for Pipeline Expansion Project in Brgy. Mabini Ext. to Common Terminal</t>
  </si>
  <si>
    <t>PURCHASE/ INSTALLATION OF CCTV</t>
  </si>
  <si>
    <t>Supply and delivery of materials for the repair and maintenance of farm to market road at centro brgy. Saub-Sitio Kilong, Manga</t>
  </si>
  <si>
    <t>Purchase of CCTV Recorder to be installed along Gen. Luna St., Brgy. Maly to Brgy. Banaba, San Mateo, Rizal</t>
  </si>
  <si>
    <t>Supply and Delivery of Disinfectant and Medicine for MQNL</t>
  </si>
  <si>
    <t>IMPROVEMENT OF MUNICIPAL PARK/PLAZA</t>
  </si>
  <si>
    <t>Supply and Delivery of Materials for the Operations and Maintenance of MINABEL DPP</t>
  </si>
  <si>
    <t>Procurement of Computer Spare Parts and Peripherals</t>
  </si>
  <si>
    <t>Emergency Purchase of Perishable Goods for the Quarantine Checkpoints in relation to COVID-19 Pandemic</t>
  </si>
  <si>
    <t>Improvement of Barangay Road</t>
  </si>
  <si>
    <t>2020-07-006 Supply and Delivery of Construction materials</t>
  </si>
  <si>
    <t>Supply of General Plant Equipment for TORRIJOS DPP</t>
  </si>
  <si>
    <t>Supply and Delivery of Tools and Equipment for the Operation and Maintenance of MINABEL DPP</t>
  </si>
  <si>
    <t>IMPROVEMENT/GRAVELLING OF FARM TO MARKET ROADS @ NEW CARTAGENA</t>
  </si>
  <si>
    <t>Supply/Delivery of 10,000 pcs GSIS Cut Paper and 5,000 pcs BIR Blank Form Special Cut Paper</t>
  </si>
  <si>
    <t>SUPPLY, DELIVERY, AND INSTALLATION OF AIRCONDITIONING AND AIRCONDITIONING SYSTEMS P.R. 0696 SERIES OF 2020</t>
  </si>
  <si>
    <t>Purchase of webcam and speakers for video conferencing use</t>
  </si>
  <si>
    <t>Supply and Delivery of Office Supplies, Laptop and IT Peripherals</t>
  </si>
  <si>
    <t>Supply/Delivery of Medicines for Rural Health Unit Consultation and Birthing Clinic Medicines  (PR# 20-07-0743)</t>
  </si>
  <si>
    <t>CONSTRUCTION OF DRAINAGE CANAL ALONG NATIONAL RD. AT PUROK 2 BRGY. SF II</t>
  </si>
  <si>
    <t>Supply and Delivery of Surgical Face Mask</t>
  </si>
  <si>
    <t>PROCUREMENT OF TRANSPORT MEDIUM FOR SWAB TESTING</t>
  </si>
  <si>
    <t>20GP0073-Construction of 3STY9CL, Vicente Fabuna ES, Cuartero, Capiz</t>
  </si>
  <si>
    <t>Purchase of Medical Supplies For Control of Diarrheal Desease Program. Under P.R. No. 40-20-02-015</t>
  </si>
  <si>
    <t>Supply and Delivery of Bottom Set Gill Net intended for SAAD Beneficiaries in Matnog Sorsogon</t>
  </si>
  <si>
    <t>Stack Emission Test of 450kW FG Wilson Engines for CALAYAN DPP</t>
  </si>
  <si>
    <t>INSTALLATION OF CCTV</t>
  </si>
  <si>
    <t>PR No. 05-031-2020 - Purchase of Service Vehicle Spare Parts (for SDV 562 and SHE-652) asigned at Cons</t>
  </si>
  <si>
    <t>PROCUREMENT OF MATERIALS FOR THE REPLACEMENT OF SUBMERSIBLE PUMP FOR WATER SYSTEM</t>
  </si>
  <si>
    <t>PR No. 03-029-2020 - Rental of Service Vehicle Chargeable to the District Engineering Administrative Overhead (EAO), 1 Unit of Pick-up Dbl Cab Pick-up (std) M/T and 1 unit of Wagon 2.8L Diesel M/T int</t>
  </si>
  <si>
    <t>Rebidding: 2 units Solid Panel Door (D-1) 0.90m x 2.10m and other items for construction of two storey multi-purpose building (Phase I) at Purok Gabi at Barangay Tabuc-tubig 1st Revision.</t>
  </si>
  <si>
    <t>Procurement of 17,857 liters Crude Oil</t>
  </si>
  <si>
    <t>20KJ0190: Provision of 41X Emergency Project – Concrete Reblocking along Ozamiz Port Road, Chainage 000 – Chainage 556 (Intermittent Section), Ozamiz City, Misamis Occidental</t>
  </si>
  <si>
    <t>PURCHASE OF CEMENT</t>
  </si>
  <si>
    <t>Procurement of Various Aggregates Supplies-07-452(O)PEO</t>
  </si>
  <si>
    <t>PR No. 06-048-2020 - Purchase of 2 units of Fabricated Portable Sink w/ Accessories for the use of DPWH Davao City District Engineering Office, Davao City</t>
  </si>
  <si>
    <t>Supply &amp; Delivery of Office Supplies for the Different Offices</t>
  </si>
  <si>
    <t>Supply and Delivery of Tablet and Desktop Computer (Brand New and Branded) of DepEd Alaminos District</t>
  </si>
  <si>
    <t>Construction of Lined Canal within Barangay Malalag</t>
  </si>
  <si>
    <t>PR No. 06-042-2020 - Rental of Service Vehicle Chargeable to District Engineering Administrative Overhead (EAO) of Quality Assurance Section (QAS), One (1) unit of Pick-up 4x2 Dbl Cab (std) M/T intend</t>
  </si>
  <si>
    <t>MODIFICATION OF BOX CULVERT AND RIPRAPPING OF OUTFALL AT PUROK 2 BRGY. SF II</t>
  </si>
  <si>
    <t>PR No. 06-041-2020 - Rental of Service Vehicle Chargeable to District Engineering Administrative Overhead (EAO) of Quality Assurance Section (QAS), One (1) unit of Pick-up 4x2 Dbl Cab (std) M/T intend</t>
  </si>
  <si>
    <t>PROCUREMENT OF ITEM 201 (CLASS A) FOR THE REHABILITATION/MAINTENANCE OF INFRES ROADS AND OTHER LOCAL ROADS ( SPORADIS) AT DIFFERENT BARANGAYS</t>
  </si>
  <si>
    <t>20KF0135 - Rehabilitation of Public Market in Brgy. Poblacion, Maigo, Lanao del Norte</t>
  </si>
  <si>
    <t>CONSTRUCTION OF MABASA POTABLE WATER SUPPLY SYSTEM (LEVEL II)</t>
  </si>
  <si>
    <t>CONST.OF MULTI-PURPOSE BUILDING</t>
  </si>
  <si>
    <t>PR No. 05-032-2020 - Purchase of Service Vehicle Spare Parts (for VV 9619: LGF-500 &amp; SDV-562) assigned at Construction Section DPWH-DCDEO, Davao City</t>
  </si>
  <si>
    <t>RFQ for Materials for the Portable Learning Materials Repository and Open Education Resource Hotspot</t>
  </si>
  <si>
    <t>Radiator, Fabrication/Customized for CALAYAN DPP</t>
  </si>
  <si>
    <t>Purchase of Construction Materials and Supplies Construction of Genderized Comfort Room @ Civoleg IS @ Barangay Lunotan, Gingoog City. Under P.R. No. 20-20-04-169</t>
  </si>
  <si>
    <t>Supply and Delivery of One (1) Lot Spare parts and Materials for the repair of L300 Firetruck.</t>
  </si>
  <si>
    <t>Construction of Perimeter Fence at Material Recovery Facility ( MRF)</t>
  </si>
  <si>
    <t>CONSTRUCTION OF ONE (1) CLASSROOM TEMPORARY LEARNING SHELTER (TLS)</t>
  </si>
  <si>
    <t>Purchase of Gasoline for  Service Vehicle of various offices</t>
  </si>
  <si>
    <t>Supply and delivery of office equipment to be used in the Quality Assurance and Hydrology Section of DPWH Bulacan 1st DEO</t>
  </si>
  <si>
    <t>Purchase of Drugs and Medicines for RHU</t>
  </si>
  <si>
    <t>PR No. 03-025-2020 - Rental of Service Vehicle Chargeable to the District Engineering Administrative Overhead (EAO), 1 Unit of Pick-up Dbl Cab Pick-up (std) M/T and 1 unit of Wagon 2.8L Diesel M/T int</t>
  </si>
  <si>
    <t>REHABILITATION OF BARANGAY ROAD AT SWEETLAND, BUENAVISTA, BOHOL</t>
  </si>
  <si>
    <t>Purchase and delivery of books and other leaning materials for DepEd Calapan City</t>
  </si>
  <si>
    <t>FABRICATION STEEL SHELVES FOR THE ACCOUNTING'S BODEGA</t>
  </si>
  <si>
    <t>ITB No. 2020-I-P9-01: Continuation &amp; Improvement of Various Infra Projects</t>
  </si>
  <si>
    <t>20GP0074-Construction of 2STY6CL, Mahabang Sapa PS, Cuartero, Capiz</t>
  </si>
  <si>
    <t>P.R. No. 2020-07-059 Supply and Delivery of Office Supplies for Planning and Design Section Use</t>
  </si>
  <si>
    <t>RFQ FORTISWITCH</t>
  </si>
  <si>
    <t>Procurement of  Materials</t>
  </si>
  <si>
    <t>Repair of Wall, Repainting of ORD Office &amp; Provision of Wooden Partition with Shelves and Cabinet and Console for Wall Mounted Television</t>
  </si>
  <si>
    <t>Supply and Delivery of Compact Monochrome Laser Printer and Other Items</t>
  </si>
  <si>
    <t>Supply/Delivery of 1 unit Unipolar Electrosurgical Cautery Unit</t>
  </si>
  <si>
    <t>PURCHASE OF SCHOOL EQUIPMENT &amp; SUPPLIES</t>
  </si>
  <si>
    <t>Supply and Delivery of Materials for Livelihood Assistance</t>
  </si>
  <si>
    <t>RFQ WINDOWS SERVER 2019 VOLUME LICENSE KEY</t>
  </si>
  <si>
    <t>CONSTRUCTION OF STREET LIGHTING FOUNDATION INCLUDING POLE INSTALLATION AT LIMAY PUBLIC MARKET</t>
  </si>
  <si>
    <t>NEGOTIATION DUE TO TWO FAILED BIDDINGS FOR SUPPLY &amp; DELIVERY OF LABORATORY SUPPLIES – HEMATOLOGY REAGENTS – II</t>
  </si>
  <si>
    <t>Repair of Anti-Violence Against Women and their Children (VAWC) Office</t>
  </si>
  <si>
    <t>Supply/Delivery of Janitorial Supplies</t>
  </si>
  <si>
    <t>Provision Of Runway Markers And Markings At Bacon Airport – 3rd SVP</t>
  </si>
  <si>
    <t>ITB 07-006-20 Supply and Delivery of 2,005 bags of CORN SEEDS OPV</t>
  </si>
  <si>
    <t>Procurement of Bond Paper for the Subsidy for Development, Quality Assurance and Reproduction of Locally-Developed Learning Resources of DepEd, Division of Bacolod City</t>
  </si>
  <si>
    <t>Supply and Delivery of Fuel &amp; Lubricants (IMPROVEMENT OF BARANGAY ROAD, LANAO KAPANGLAO, Datalbukay).</t>
  </si>
  <si>
    <t>Supply and Delivery of Various I.T Equipment of Different Departments</t>
  </si>
  <si>
    <t>PROCUREMENT OF SCHOOL AND OFFICE SUPPLIES</t>
  </si>
  <si>
    <t>Supply and Delivery of Various materials for Operation, Maintenance and Safety Requirements of PALANAN DPP</t>
  </si>
  <si>
    <t>Supply &amp; Delivery of Various Mechanical Parts for Pandami DPP (S3-PDM20-022)</t>
  </si>
  <si>
    <t>Construction of Slope Protection</t>
  </si>
  <si>
    <t>GENERAL INFORMATION ON THE SUPPLY AND DELIVERY OF MILK FOR SCHOOL-BASED FEEDING PROGRAM (SBFP)-MILK FEEDING PROGRAM COMPONENT</t>
  </si>
  <si>
    <t>CID No. 20OD0215 - Rehabilitation of Multi-purpose Building with School Ground Improvement, Marulas Central Elementary School, Barangay Marulas, Valenzuela City</t>
  </si>
  <si>
    <t>Provision Of Runway Markers And Markings At Bulan Airport – 3rd SVP</t>
  </si>
  <si>
    <t>PURCHASE OF (2) UNITS LAPTOP AND (1) UNIT PRINTER TO BE USED AT ACCOUNTING AND ADMIN OFFICE</t>
  </si>
  <si>
    <t>One (1) Lot – Building Repair Works of BSP Roxas Branch</t>
  </si>
  <si>
    <t>Procurement of materials</t>
  </si>
  <si>
    <t>Supply, delivery and Installation of CCTV camera</t>
  </si>
  <si>
    <t>SUPPLY AND DELIVERY OF ONE (1) UNIT ATOMIC ABSORPTION SPECTROPHOTOMETER (AAS)</t>
  </si>
  <si>
    <t>SH 049-20: Supply and Delivery of Folding Beds and Mattress Foams</t>
  </si>
  <si>
    <t>ROAD CONCRETING (CONCRETE PAVING), BRGY. BOLONGTOHAN, DULAG LEYTE</t>
  </si>
  <si>
    <t>IMPROVEMENT OF MULTI-PURPOSE BUILDING STAGE</t>
  </si>
  <si>
    <t>Procurement of Various Construction Supplies and Materials-02-124(O)PEO</t>
  </si>
  <si>
    <t>Supply and delivery of 1 unt MOTORIZED TREADMILL</t>
  </si>
  <si>
    <t>SUPPLY AND DELIVERY OF OFFICE EQUIPMENT P.R NO. 0690 SERIES 2020</t>
  </si>
  <si>
    <t>Purchase of Medical Supplies for the use of Ospital ng Lungsod ng San Jose Del Monte</t>
  </si>
  <si>
    <t>CONCRETING OF AMBALLO NORTH-AMBALLO SOUTH FTMR (Portion)</t>
  </si>
  <si>
    <t>Request for Quotation for 3 unit Laptop Computer 0380</t>
  </si>
  <si>
    <t>Request for Quotation for Labor and materials for the Fabrication and Installation of Gates Panaflex Signages 0392</t>
  </si>
  <si>
    <t>Construction of Multi-Purpose Building Phase II</t>
  </si>
  <si>
    <t>Supply of one (1) unit Printer, Multifunction</t>
  </si>
  <si>
    <t>Supply and Delivery of Vehicle parts and Accessories for 4D56 Pajero, Model 1997 Stationed at CASIGURAN DPP</t>
  </si>
  <si>
    <t>To conduct Medical Health Services (flu vaccine) at Barangay Sapa I, Rosario, Cavite</t>
  </si>
  <si>
    <t>Improvement of FTMR at Sitio Sinigpit and Construction of Slope Protection Along Creek Near Potable Water Reservoir</t>
  </si>
  <si>
    <t>Construction of Drainage System in Sitio Biñanan, Brgy. Pansoy, San Andres, Quezon</t>
  </si>
  <si>
    <t>Supply and Delivery of Construction materials to be used for the repair/maintenance along Daang Maharlika, Guiguinto Section, Guiguinto, Bulacan</t>
  </si>
  <si>
    <t>SK MANAGEMENT PROGRAM</t>
  </si>
  <si>
    <t>SUBM#2020 -08 - 05 - To purchase fuel for use of H1-7456, H1-7483, 6FA-213, JDJ-706, SDK-391, SDK-421, SDK-487, SKS-150, H3-6643, FAY-568, DMAX-11226, Road Grader NI-1517 and Road Grader-1960, Asphalt</t>
  </si>
  <si>
    <t>CONSTRUCTION OF WATER SYSTEM IN BARANGAY GUBATAN MACO DAVAO DE ORO</t>
  </si>
  <si>
    <t>Procurement of Various Construction Supplies and Materials-07-403(O)PEO</t>
  </si>
  <si>
    <t>Supply of three (3) units Transmitter for Electromagnetic Flowmeter (AC powered and DC powered)</t>
  </si>
  <si>
    <t>handwashing</t>
  </si>
  <si>
    <t>Supply Professional Medical Services and Materials needed for the Conduct of the Annual Physical Examination (APE) to DCWD Male Matina Office</t>
  </si>
  <si>
    <t>Purchase of Agricultural For Barangay Self Sufficiency Program. Under P.R. No. 50-20-04-035</t>
  </si>
  <si>
    <t>Procurement of Various Construction Supplies and Materials-07-402(O)PEO</t>
  </si>
  <si>
    <t>Supply and delivery of 50 pcs. Composite Filling Materials and other items</t>
  </si>
  <si>
    <t>SUBM#2020 -08 - 06 - To purchase fuel to be used in Nissan Navarra Temp. Plate #060401, Toyota Hi-Lux Temp. Plate # 0601-492282, and Nissan Navarra Temp. Plate #0601-501786 assigned in the Constructio</t>
  </si>
  <si>
    <t>INSTALLATION OF STREETLIGHTS AT P. MANGGAHAN ST. SAPA I, ROSARIO, CAVITE</t>
  </si>
  <si>
    <t>Construction of temporary public market extension...</t>
  </si>
  <si>
    <t>Procurement of Various Construction Supplies and Materials-07-401(O)PEO</t>
  </si>
  <si>
    <t>REHABILITATION OF  MULTI PURPOSE  BUILDING- Barangay  Dalnac, Paracale,Camarines  Norte</t>
  </si>
  <si>
    <t>SJADS GOODS 20-10: PROCUREMENT OF SPAREPARTS FOR HEAVY EQUIPMENT</t>
  </si>
  <si>
    <t>P.R. No. 20-101-051 "Office Supplies for 2nd and 3rd Quarter"</t>
  </si>
  <si>
    <t>gate</t>
  </si>
  <si>
    <t>Supply of ten (1) units Battery Pack for ABB Electromagnetic Flowmeter</t>
  </si>
  <si>
    <t>PROCUREMENT OF HARDWARE MATERIALS AND EQUIPMENT RENTAL FOR THE REHABILITATION OF MULTIPURPOSE BUILDING (MARKET OFFICE)</t>
  </si>
  <si>
    <t>STO20-07-28-0347 Coordination Meeting in the Implementation of various Agricultural and other Infrastracture Projects.</t>
  </si>
  <si>
    <t>Purchase of Nasopharyngeal Swab ( 2020-07-107)</t>
  </si>
  <si>
    <t>NEGOTIATION DUE TO TWO FAILED BIDDINGS FOR SUPPLY &amp; DELIVERY OF LABORATORY SUPPLIES – HISTOPATHOLOGY REAGENTS- I</t>
  </si>
  <si>
    <t>Request for Quotation for Labor and materials for the Fabrication of Cabinets for Surgical Office 0399</t>
  </si>
  <si>
    <t>Furnishing of Materials, Labor and Equipment for the Construction/Installation of 108 units Solar Powered Streetlights for 20 Barangays of the Municipality funded under 20% LDF FY2020</t>
  </si>
  <si>
    <t>VAW DESK ROOM (BARANGAY CANJALON AND MABINI)</t>
  </si>
  <si>
    <t>Purchase of Books Materials</t>
  </si>
  <si>
    <t>SUPPLY AND DELIVERY OF VIRAL TRANSPORT MEDIUM FOR DIAGNOSIS USE</t>
  </si>
  <si>
    <t>OPTRA MPC  LIVELIHOOD PROGRAM</t>
  </si>
  <si>
    <t>Procurement of Various Construction Supplies and Materials-07-404(O)PEO</t>
  </si>
  <si>
    <t>Purchase of 1 Unit Ambulance for the use of Disaster Risk Reduction and Management Office (Re-Bidding)</t>
  </si>
  <si>
    <t>Supply Professional Medical Services and Materials needed for the Conduct of the Annual Physical Examination (APE) to Female Rank &amp; File Employees</t>
  </si>
  <si>
    <t>Purchase and Delivery of Desktop Computer Set Use for Universal Health Care Implementation of RHU-Orion, Bataan</t>
  </si>
  <si>
    <t>Supply and delivery of 22 Rolls PE Plastic Rolls  for isolation barrier and fence</t>
  </si>
  <si>
    <t>Request for Quotation for 2 unit Scanjet Scanner 0388</t>
  </si>
  <si>
    <t>Procurement of Barangay Office Tables and Chairs</t>
  </si>
  <si>
    <t>Supply and Delivery of Early Warning Device</t>
  </si>
  <si>
    <t>handwash and gate laborer</t>
  </si>
  <si>
    <t>CONSTRUCTION OF 8 UNITS MATERIALS RECOVERY FACILITY (MRF) AT BARANGAY GUBATAN MACO DDO</t>
  </si>
  <si>
    <t>Supply and Delivery of 1000 pieces Grafted Cashew.</t>
  </si>
  <si>
    <t>Request for Quotation for 1 Unit Refurbished/Used Container Van 20-07-0431</t>
  </si>
  <si>
    <t>ITB 07-007-20 Supply and Delivery of Assorted Vegetable Seeds (DA IX-HVCDP 2020)</t>
  </si>
  <si>
    <t>Supply and Delivery of Embankment Material for lot of of new multi-purpose building &amp; evacuation Center Phase 1.</t>
  </si>
  <si>
    <t>R&amp;DR-20-2936(R1): Procurement of 1 Set Soil pH Meter to be used in the Collection and Management of Research Data for Farmer and Field Characterization...</t>
  </si>
  <si>
    <t>NEGOTIATION DUE TO TWO FAILED BIDDINGS FOR SUPPLY &amp; DELIVERY OF NUTRITION &amp; DIETETIC SUPPLIES –  COMMERCIAL FORMULA MILK</t>
  </si>
  <si>
    <t>CONSTRUCTION OF CONCRETE FENCE</t>
  </si>
  <si>
    <t>Supply and Delivery of 13" Portable Touchscreen and Other Items</t>
  </si>
  <si>
    <t>Purchase of Materials and Supplies for Medical Mission</t>
  </si>
  <si>
    <t>Supply and Delivery of HM Furnitures</t>
  </si>
  <si>
    <t>Procurement of Diesel Fuel - MENRO</t>
  </si>
  <si>
    <t>NEGOTIATION DUE TO TWO FAILED BIDDINGS FOR SUPPLY &amp; DELIVERY OF NUTRITION &amp; DIETETIC SUPPLIES – GROCERIES</t>
  </si>
  <si>
    <t>Supply Professional Medical Services and Materials needed for the Conduct of the Annual Physical Examination (APE) to DCWD Male Talomo Office</t>
  </si>
  <si>
    <t>Supply and Delivery of Limestone Material – BARANGAY SAN ROQUE</t>
  </si>
  <si>
    <t>Supply and delivery of Primers for genotyping activities of nextGen Plus Project</t>
  </si>
  <si>
    <t>23 pairs – Black Charol Shoes (assorted sizes)</t>
  </si>
  <si>
    <t>Request for Quotation for 120 Can Preschool Age Milk 0430</t>
  </si>
  <si>
    <t>RFQ No. 20-0697 NP-SV - Supply and Delivery of Materials for the Installation of Hand Dryer and Tissue Holder</t>
  </si>
  <si>
    <t>PROCUREMENT OF CONSTRUCTION/REHABILITATION OF OTHER PUBLIC FACILITIES (REHABILITATION OF LRV WAITING SHED), BRGY. SAN ANTONIO POB.</t>
  </si>
  <si>
    <t>Procurement of Barangay Office Equipment</t>
  </si>
  <si>
    <t>Provide Hauling Services for the Shipment of Various Spare Parts &amp; Materials from SPUG-MOD Warehouse, Zamboanga City to Manuk Mangkaw DPP (S3-MAN20-017)</t>
  </si>
  <si>
    <t>Purchase of Desktop and Laptop</t>
  </si>
  <si>
    <t>CONSTRUCTION OF COVERED COURT (Sitio Pundok, Pondol, Balamban, Cebu)</t>
  </si>
  <si>
    <t>CONSTRUCTION OF CROSS DRAINAGE AND DRAINAGE CANAL  (Corner D.C. Sanchez St. and Malvar St., Sta. Cruz, Balamban, Cebu)</t>
  </si>
  <si>
    <t>Procurement of Various Construction Supplies and Materials-07-407(O)PEO</t>
  </si>
  <si>
    <t>Furnishing of Materials, Labor and Equipment in the Construction of Home for the Aged with a Total Floor Area of 1,143sq.m Located at Magsaysay Demo Farm, Kuya, Maramag, Bukidnon (Phase I) funded unde</t>
  </si>
  <si>
    <t>PROCUREMENT OF HARDWARE MATERIALS AND EQUIPMENT RENTAL FOR THE CONSTRUCTION/REHABILITATION OF OTHER PUBLIC FACILITIES (IMPROVEMENT OF PUBLIC CEMETERY), BRGY. BIGAAS</t>
  </si>
  <si>
    <t>Construction of Multi-Purpose Drying Pavement, Lower Maton, Pudtol, Apayao</t>
  </si>
  <si>
    <t>PURCHASE OF (4) UNITS LAPTOP TO BE USED IN THE TEACHER EDUCATION DEPT. &amp; SUPPLY OFFICE</t>
  </si>
  <si>
    <t>Supply and Delivery of Drugs and Medicines(3rd Quarter 2020)</t>
  </si>
  <si>
    <t>IMPROVEMENT OF DRAINAGE SYSTEM AT VARIOUS PUROK, BARANGAY SICO, LIPA CITY</t>
  </si>
  <si>
    <t>P.R. No. 20-101-057 "Medical Supplies for the School Clinic"</t>
  </si>
  <si>
    <t>Local Bridge Rehabilitation/Improvement at Brgy.Torres,Jimenez Bridge Mapandan,Pangasinan</t>
  </si>
  <si>
    <t>Purchase of tires and stud bolt with nuts</t>
  </si>
  <si>
    <t>Supply and Delivery of Agricultural Farm Machinery and Equipment</t>
  </si>
  <si>
    <t>Furnishing of Materials, Labor and Equipment in the Completion of Hall of Justice Building with an area of 20m x 28.10m located at Anahawon, Maramag, Bukidnon funded by PGO FY2019.</t>
  </si>
  <si>
    <t>115 bags Portland Cement 40 kgs and other items for completion of the construction of 2-storey gender sensitive living quarter of girl CICL/CAR at Dumaguete Youth Home at Barangay Talay.</t>
  </si>
  <si>
    <t>Rehabilitation of  Multi  Purpose  Building-Barangay  Palanas, Paracale  Camarines  Norte</t>
  </si>
  <si>
    <t>NEGOTIATION DUE TO TWO FAILED BIDDINGS FOR SUPPLY &amp; DELIVERY OF ENGINEERING SUPPLIES – MASONRY &amp; CARPENTRY</t>
  </si>
  <si>
    <t>Palaisdaan sa Barangay Project, Aga, Pudtol, Apayao</t>
  </si>
  <si>
    <t>provision of Subscription to E-Mail API and SMTP Relay and Premium LMS Brand App</t>
  </si>
  <si>
    <t>Supply and Delivery of Office Supplies Not Available at PS-DBM – GSO (Rebid)</t>
  </si>
  <si>
    <t>Procurement of Reproduction and Delivery of Learning Modules</t>
  </si>
  <si>
    <t>Supply and Delivery of Medicine Supplies  for TB</t>
  </si>
  <si>
    <t>Supply Professional Medical Services and Materials Needed for the Conduct of the Annual Physical Examination (APE) to DCWD Male Bajada Office</t>
  </si>
  <si>
    <t>Procurement of Paint Materials for the Repainting of OCD Admin and Old NDRRMC Operation Center</t>
  </si>
  <si>
    <t>21CSIA004 Conduct of Soil Exploration for the following Flood Control Projects under FY 2021 Infrastructure Program</t>
  </si>
  <si>
    <t>CONSTRUCTION OF MINI PIER AT BRGY. DAYHAGAN</t>
  </si>
  <si>
    <t>DRILLING OF TWO (2) UNITS EXPLORATORY/PRODUCTION WELLS FOR SABLAYAN WATER DISTRICT WATER SUPPLY SYSTEM IMPROVEMENT AND EXPANSION PROJECT (REBID)</t>
  </si>
  <si>
    <t>LOCAL ROAD OPENING (PHASE II)</t>
  </si>
  <si>
    <t>Construction of Multi-Purpose Drying Pavement, Amado, Pudtol, Apayao</t>
  </si>
  <si>
    <t>Purchase of Tools of Emergency Equipment of MDRRMO, Botolan, Zambales</t>
  </si>
  <si>
    <t>MEDICAL SUPPLIES (BDSK)</t>
  </si>
  <si>
    <t>Urban Greening</t>
  </si>
  <si>
    <t>Procurement for COVID Supplies of San Celestino Integrated National High School</t>
  </si>
  <si>
    <t>NEGOTIATION DUE TO TWO FAILED BIDDINGS FOR SUPPLY &amp; DELIVERY OF NUTRITION &amp; DIETETIC SUPPLIES – KITCHEN UTENSILS</t>
  </si>
  <si>
    <t>Supply and Delivery of Emergency (E) Balde</t>
  </si>
  <si>
    <t>Procurement of Various Construction Supplies and Materials-07-406(O)PEO</t>
  </si>
  <si>
    <t>OFFICE SUPPLIES AND MATERIALS</t>
  </si>
  <si>
    <t>INSTALLATION OF STREET LIGHTS USING SOLAR ENERGY</t>
  </si>
  <si>
    <t>meals and accommodation for PIMS &amp; GWA Database training (AC &amp; 1 CEF) CY2020</t>
  </si>
  <si>
    <t>Supply and delivery of laboratory engineering testing tools (EPM 2020-109)</t>
  </si>
  <si>
    <t>Computer Literacy Program</t>
  </si>
  <si>
    <t>Barangay Budget Forum and Orientation Workshop on Local Budget Memorandum No. 80</t>
  </si>
  <si>
    <t>PURCHASE OF MEDICINE-VITAMINS C</t>
  </si>
  <si>
    <t>PROCUREMENT OF EQUIPMENT, TOOLS &amp; SUPPLIES, LGU-Buruanga, Aklan</t>
  </si>
  <si>
    <t>Procurement of Various Construction Supplies and Materials-07-405(O)PEO</t>
  </si>
  <si>
    <t>Purchase of tires for Hino Dump truck 500 Series</t>
  </si>
  <si>
    <t>PURCHASE AND DELIVERY OF ONE (1) UNIT OF  CARGO TYPE TRICYCLE</t>
  </si>
  <si>
    <t>Purchase of Spareparts for DT#3</t>
  </si>
  <si>
    <t>Purchase of T shirts with Print</t>
  </si>
  <si>
    <t>Concreting of Farm to Market Road (Inmanduyan West Rd.)</t>
  </si>
  <si>
    <t>Proposed RipRap and Pathwalk Extension</t>
  </si>
  <si>
    <t>Consulting Services For The  Revenue and Finance Operation Modernization Project</t>
  </si>
  <si>
    <t>Barangay Greening and Beautification Program</t>
  </si>
  <si>
    <t>SUPPLY AND DELIVERY OF FUEL (DIESEL AND GASOLINE) FOR VARIOUS OFFICES</t>
  </si>
  <si>
    <t>CONCRETING OF DRAINAGE SYSTEM (PHASE III) AT BARANGAY POBLACION, CAUAYAN, NEGROS OCCIDENTAL</t>
  </si>
  <si>
    <t>Purchase of Materials for Concreting of Drainage Canal</t>
  </si>
  <si>
    <t>Construction of Multi-Purpose Drying Pavement, San Juan, Sta. Marcela, Apayao</t>
  </si>
  <si>
    <t>Supply and Delivery of Materials and Labor for the Rehabilitation/Improvement of Multi-Purpose Hall at Brgy. Kinagunan Ilaya</t>
  </si>
  <si>
    <t>CONCRETING OF BARANGAY ROAD  (Laray III, Kamanggahan, Buanoy, Balamban, Cebu)</t>
  </si>
  <si>
    <t xml:space="preserve">NEGOTIATION DUE TO TWO FAILED BIDDINGS FOR ONE (1) LOT OPERATION AND PREVENTIVE MAINTENANCE OF OXYGEN  GENERATING PLANT WITH PROVISION FOR SUPPLY &amp; DELIVERY OF CONSUMABLES (MAINTENANCE PARTS) (1-YEAR </t>
  </si>
  <si>
    <t>Supply Professional Medical Services and Materials needed for the Conduct of the Annual Physical Examination (APE) to DCWD Male Catalunan Grande</t>
  </si>
  <si>
    <t>C20204162  Medical Supplies for Provincial Health Office for Medical Outreach/walk-in clients</t>
  </si>
  <si>
    <t>Rehabilitation of Streetlights of Barangay Tranca, Tallisay, BAtangas</t>
  </si>
  <si>
    <t>PUBLICATION OF MUNICIPAL ORDINANCES</t>
  </si>
  <si>
    <t>FABRICATION OF NEW CLASSROOM'S CUBICLE TABLE (180SETS)</t>
  </si>
  <si>
    <t>CONSTRUCTION OF WELCOME ARCH</t>
  </si>
  <si>
    <t>IMPROVEMENT OF BARANGAY AUDITORIUM</t>
  </si>
  <si>
    <t>Medicines for the Medical Patients and Maternal Delivery</t>
  </si>
  <si>
    <t>Construction of Multi-Purpose Drying Pavement, Mallig, Flora, Apayao</t>
  </si>
  <si>
    <t>SUPPLY AND DELIVERY OF  DRRM RESCUE VEHICLE (4 WHEEL DRIVE MULTICAB)</t>
  </si>
  <si>
    <t>Re-Gravelling along Barangay Road (Barangay San Juan)</t>
  </si>
  <si>
    <t>RFQ No. 20-0696 NP-SV - Supply and Delivery of Materials for the Installation of Dry Wall Partition in Warehouse G (Volunteers Area)</t>
  </si>
  <si>
    <t>Supply and Delivery of Photocopier Machine and Toner</t>
  </si>
  <si>
    <t>Procurement of Housekeeping Supplies RFQ No. 503</t>
  </si>
  <si>
    <t>CONSTRUCTION OF BOX CULVERT  (Baliwagan, Balamban, Cebu)</t>
  </si>
  <si>
    <t>Supply and Delivery of 1 unit 15 Seater Service Vehicle.</t>
  </si>
  <si>
    <t>Supply and Delivery of Monobloc Chairs and Tables for 2020 (2nd posting)</t>
  </si>
  <si>
    <t>HYGIENE KIT FOR LEARNERS SY 2020-2021</t>
  </si>
  <si>
    <t>Rehabilitation/Backfilling/Improvement of Seawall in Brgy. Guitna</t>
  </si>
  <si>
    <t>CONSTRUCTION OF LGU-POLANGUI COMMUNITY RADIO</t>
  </si>
  <si>
    <t>Supply Professional Medical Services and Materials needed for the Conduct of the Annual Physical Examination (APE) to DCWD Job Order Order Employees</t>
  </si>
  <si>
    <t>SUPPLY AND DELIVERY OF VARIOUS IT EQUIPMENT (DESKTOP COMPUTER, LAPTOP, PRINTER) FOR THE CITY HEALTH OFFICE</t>
  </si>
  <si>
    <t>Rehabilitation of Line Canal</t>
  </si>
  <si>
    <t>DIESEL</t>
  </si>
  <si>
    <t>Supply of one (1) unit Business Notebook with Software</t>
  </si>
  <si>
    <t>CONSTRUCTION OF CONCRETE PATHWAY</t>
  </si>
  <si>
    <t>Construction of Evacuation Center, Mugao, Impugong, Tinoc, Ifugao</t>
  </si>
  <si>
    <t>CONSTRUCTION OF MULTI-PURPOSE BUILDING PHASE II (EMILLIANA)</t>
  </si>
  <si>
    <t>PURCHASE OF CAMERA FOR VIDEOGRAPHY AND CAMERA TRIPOD</t>
  </si>
  <si>
    <t>Supply and Delivery of Materials for Maintenance of Organic Demo Farm</t>
  </si>
  <si>
    <t>Supply and Delivery of Materials and Labor for the Construction of Riprapping of Riverside at Brgy. San Isidro</t>
  </si>
  <si>
    <t>HO-EMA20-023 - Supply, Delivery and Commissioning of Nitrate Ion-Selective Electrode for Nitrate at NPC EMD Analytical Services Laboratory</t>
  </si>
  <si>
    <t>Supply and Delivery of Materials for the Repair of Classrooms and Other School Facilities (2nd posting)</t>
  </si>
  <si>
    <t>Procurement of 19 units Smart Phone for 19 Negosyo Centers in Zamboanga Del Norte</t>
  </si>
  <si>
    <t>Construction of Multi-Purpose Drying Pavement, Nueva, Sta. Marcela, Apayao</t>
  </si>
  <si>
    <t>SUPPLY, DELIVERY AND SERVICES OF ELECTRONICS PARTS/ COMPONENTS P.R NO. 0668 SERIES 2020</t>
  </si>
  <si>
    <t>Supply and Delivery for Fuel/Lubricants for Rehab/Improvement of Barangay Road, Jct. Prov. Road to Purok Yap, Brgy. Calpidong, Glan, Sarangani Province.</t>
  </si>
  <si>
    <t>Procurement  of   Diesel, Gasoline, Oil and  Lubricants  for  the month of  July  to  September 2020</t>
  </si>
  <si>
    <t>Laboratory Supplies and Equipment</t>
  </si>
  <si>
    <t>Procurement of Conference Table Six (6) seaters and Eight (8) seaters</t>
  </si>
  <si>
    <t>CONSTRUCTION OF SLOPE PROTECTION STRUCTURE  (Cabasiangan, Balamban, Cebu)</t>
  </si>
  <si>
    <t>Supply, delivery and installation of 1 panel blackout curtain</t>
  </si>
  <si>
    <t>FURNISHING AND DELIVERY OF POWDERED MILK FOR THE NUTRITIONALLY AT RISK PREGNANT WOMEN</t>
  </si>
  <si>
    <t>UPLB-RQ-7-092-20-GOODS SUPPLY AND DELIVERY OF COMPUTER RENTAL FOR IMSP</t>
  </si>
  <si>
    <t>Supply and Delivery for Fuel/Lubricants for Rehab/Improvement of Barangay Road, Jct. Prov. Road to Brgy. Site, Brgy. New Aklan, Glan, Sarangani Province.</t>
  </si>
  <si>
    <t>LABOR AND MATERIALS FOR THE REHAB/IMPROVEMENT OF AGRICULTURE OFFICE, CAUAYAN, NEGROS OCCIDENTAL</t>
  </si>
  <si>
    <t>Purchase of Medicine</t>
  </si>
  <si>
    <t>Various Infrastructure Projects (Infra-20-11), Kabankalan City, Negros Occidental</t>
  </si>
  <si>
    <t>PROCUREMENT OF   DIGITAL DUPLICATOR</t>
  </si>
  <si>
    <t>NEGOTIATION DUE TO TWO FAILED BIDDINGS FOR SUPPLY &amp; DELIVERY OF ENGINEERING SUPPLIES – PAINTING</t>
  </si>
  <si>
    <t>Purchase of IT Equipment to be used of various offices at LGU-Baggao</t>
  </si>
  <si>
    <t>2 box Electrical Wire 150mtrs/box (black) #3.5mm² THHN and other items for completion of the construction of 2-storey gender sensitive living quarter of girl CICL/CAR at Dumaguete Youth Home at Barang</t>
  </si>
  <si>
    <t>Furnishing and delivery of office supplies 1st and 2nd quarter 2020</t>
  </si>
  <si>
    <t>Purchase of Consulting Services for the Establishment of Municipal Sanitary Landfill-Second Posting</t>
  </si>
  <si>
    <t>RFQ No. 20-0701 NP-SVP - For Maintenance Check-up of DSWD Vehicle Toyota Hi-Ace Grandia 2011 with plate number SKM-740 (Kalahi Cidss)</t>
  </si>
  <si>
    <t>PROCUREMENT OF MESSENGERIAL SERVICE</t>
  </si>
  <si>
    <t>meals and accommodation for Technical session Meeting</t>
  </si>
  <si>
    <t>Supply and Delivery of Materials and Labor for the Continuation of Concreting of Farm to Market Road at Brgy. San Isidro</t>
  </si>
  <si>
    <t>Procurement of Works for the Construction of Support Facilities to Category 3 Sanitary Land Fill (SLF), Brgy. Agcococ, Tapaz, Capiz</t>
  </si>
  <si>
    <t>office supplies for the calendar year 2020 for the 3rd quarter</t>
  </si>
  <si>
    <t>Laboratory Instrument (Oropharyngeal Swab)</t>
  </si>
  <si>
    <t>PROCUREMENT OF LEARNING EQUIPMENT AND SUPPLIES</t>
  </si>
  <si>
    <t>2020-07-0129 Supply and Installation of PABX Telephone System (re-post) of DOH-DATRC R02, City of Ilagan, Isabela</t>
  </si>
  <si>
    <t>Construction of Multi-Purpose Drying Pavement, Malayugan, Flora, Apayao</t>
  </si>
  <si>
    <t>101-20-07-RFQ0933 - USE FOR MENRO/REFORESTATION PROGRAM (OFFICE SUPPLIES EXPENSES</t>
  </si>
  <si>
    <t>Procurement of Executive Table</t>
  </si>
  <si>
    <t>2020-07-0158 Supply and delivery of Various Medical Equipment for COVID-19 Response of DOH-DATRC, City of Ilagan, Isabela</t>
  </si>
  <si>
    <t>Purchase of Construction Materials for the Repair/Maintenance of School Canteen (Bagbag Solsona NHS)-Second Posting</t>
  </si>
  <si>
    <t>RFQ No. 2007-368 Proc. of Goods (Thermal Scanners and Face Masks)</t>
  </si>
  <si>
    <t>NOTICE OF AWARD, PR# 378-20</t>
  </si>
  <si>
    <t>Ref. No. 2020-019 Labuan Sea Breeze Subdivision Phase 1 Located at Brgy. Labuan, Zamboanga City</t>
  </si>
  <si>
    <t>20PK0072 - Construction of Two (2) Storey - Four (4) Classroom Building</t>
  </si>
  <si>
    <t>Request for Quotation PR NO. 1064-19</t>
  </si>
  <si>
    <t>SUPPLY OF LABOR, MATERIALS &amp; EQUIPMENT FOR THE IMPROVEMENT OF LEVEL III WATER SYSTEM AT BALA-AS, ARGAO, CEBU</t>
  </si>
  <si>
    <t>Procurement of Works for the Construction of Category 3 Sanitary Land Fill (SLF), Brgy. Agcococ, Tapaz, Capiz</t>
  </si>
  <si>
    <t>Asphalt Overlay along Cardinal Santos Street (Second Bidding)</t>
  </si>
  <si>
    <t>PROCUREMENT OF ELECTRICAL SUPPLIES FOR THE INSTALLATION OF PERIMETER LIGHTS AT PUBLIC MARKET AT CALABANGA PUBLIC MARKET</t>
  </si>
  <si>
    <t>101-20-07-RFQ0938 - USE FOR MEEDO / REPAIR &amp; MAINTENANCE OF MARKET BUILING 3RD QUARTER</t>
  </si>
  <si>
    <t>Ref. No. 2020-020 Proposed Repair and Refurbishment of HTREX Building Located at NHA Main Compound, Elliptical Road, Diliman, Quezon City (Re-Bid)</t>
  </si>
  <si>
    <t>LABOR AND MATERIALS FOR THE CONSTRUCTION OF CONCRETE PAVEMENT AT CAUAYAN DISTRICT HOSPITAL, BARANGAY ISIO, CAUAYAN, NEGROS OCCIDENTAL</t>
  </si>
  <si>
    <t>IMPROVEMENT OF MULTI-PURPOSE BUILDING STAGE LUMBER MATERIALS</t>
  </si>
  <si>
    <t>Supply and Delivery of Office Devices, Furnitures and Kitchen Appliances for the Municipal Treasury Office</t>
  </si>
  <si>
    <t>MOOE3RD QUARTER</t>
  </si>
  <si>
    <t>PURCHASE OF MATERIALS FOR THE REHAB/IMPROVEMENT OF CAUAYAN DISTRICT HOSPITAL, BARANGAY ISIO, CAUAYAN, NEGROS OCCIDENTAL</t>
  </si>
  <si>
    <t>SUPPLY AND DELIVERY OF MATERIALS AND INSTALLATION OF STREET LIGHTS-REPOST</t>
  </si>
  <si>
    <t>Construction of Multi-Purpose Drying Pavement, Malubibit Sur, Flora, Apayao</t>
  </si>
  <si>
    <t>REHABILITATION OF LOCAL ACCESS ROAD AT NOVELETA, CAVITE</t>
  </si>
  <si>
    <t>PROCUREMENT OF HARDWARE MATERIALS AND EQUIPMENT RENTAL FOR THE CONSTRUCTION/REHABILITATION OF POST HARVEST FACILITIES (COCO COIR PROCESSING BUILDING), BRGY. BURABOD</t>
  </si>
  <si>
    <t>Compacted Solid Waste (Garbage) hauling and disposal to hauler’s disposal site-LGU Mataasnakahoy, Batangas</t>
  </si>
  <si>
    <t>LIVESTOCK BREEDING PROGRAM</t>
  </si>
  <si>
    <t>DICT GEN.SAN CONS. MATERIALS</t>
  </si>
  <si>
    <t>Improvement of Gomez St.</t>
  </si>
  <si>
    <t>CONSTRUCTION OF ACCESS ROAD</t>
  </si>
  <si>
    <t>Supply, delivery and installation of Fiber Optic Connectivity in the City of Binan, Laguna</t>
  </si>
  <si>
    <t>15 bags Portland Cement 40 kgs and other items for continuance construction of Talay Barangay Health Center at Barangay Talay 1st Revision.</t>
  </si>
  <si>
    <t>Purchase of medicines and medical supplies for patients of Circumcision from July 25 to July 31, 2020</t>
  </si>
  <si>
    <t>Vehicle Rental</t>
  </si>
  <si>
    <t>CONSTRUCTION OF MULTI-PURPOSE BUILDING (PHASE 1) IN BARANGAY MAGSAYSAY, NAGUILIAN, ISABELA</t>
  </si>
  <si>
    <t>CONCRETING OF CARANGAN BRGY. ROAD</t>
  </si>
  <si>
    <t>Office supplies for NGP</t>
  </si>
  <si>
    <t>20CSCN02 -Consulting Services for the Concept Study of Baler By-Pass Road, Baler, Aurora</t>
  </si>
  <si>
    <t>Supply and Delivery of ID Lace with Cellphone/USB Loop for Flexible Learning</t>
  </si>
  <si>
    <t>HIV/AIDS SEMINAR AND FREE TESTING</t>
  </si>
  <si>
    <t>One (1) set Cityhood Anniversary Decoration for 20th Cityhood Anniversary of the City of Maasin (CMO-CIPTO).</t>
  </si>
  <si>
    <t>PROCUREMENT  OF  MEDICINES  AND  SUPPLIES  FOR  MUNICIPAL  HEALTH OFFICE - RHU1 AND RHU 11- 3RD AND 4TH QUARTER</t>
  </si>
  <si>
    <t>CONSTRUCTION OF SCHOOL CLINIC AT CARMEN CENTRAL ELEM SCHOOL</t>
  </si>
  <si>
    <t>Ref. No. 2020-021 Procurement of Additional Fully Developed Lots and Completed Housing Units Under NHA's Yolanda Permanent Housing Program - Coron Heights, Coron, Palawan</t>
  </si>
  <si>
    <t>RFQ No. 20-0702 NP-SVP - For Maintenance Check-up of DSWD Vehicle Toyota Innova 2015 with plate number SAA-3128 (Kalahi Cidss)</t>
  </si>
  <si>
    <t>REPRODUCTION OF LEARNING MODULES FOR THE FIRST QUARTER</t>
  </si>
  <si>
    <t>21CSIA001 Conduct of Soil Exploration for the widening of Permanent Bridges – Moog and Busali Bridges in Busali, Biliran, Biliran under FY 2021 Fund.</t>
  </si>
  <si>
    <t>Supply and delivery of Food to be used for various meeting</t>
  </si>
  <si>
    <t>SJADS INFRA 20-09: CONSTRUCTION OF SOLAR DRYER</t>
  </si>
  <si>
    <t>SUPPLY AND DELIVERY SIGNAGES AND ACCESSORIES P.R 0692 SERIES 2020</t>
  </si>
  <si>
    <t>PURCHASE  OF OFFICE SUPPLIES</t>
  </si>
  <si>
    <t>REPAIR &amp; PAINTING WORKS (SMAW BLDG., CEILING WINDOW GRILLES) AT LAMAO HIGH SCHOOL BARANGAY LAMAO, LIMAY, BATAAN</t>
  </si>
  <si>
    <t>Purchase of medicines and medical supplies for patients of circumcision August 1-7,2020</t>
  </si>
  <si>
    <t>Purchase of Office Supplies &amp; Devices</t>
  </si>
  <si>
    <t>INSTALLATION OF STREET LIGHTS AT SAN RAFAEL III AND SAN RAFAEL IV NOVELETA, CAVITE</t>
  </si>
  <si>
    <t>Supply and Delivery of Various School Supplies</t>
  </si>
  <si>
    <t>REQUEST FOR PRICE QUOTATION - OFFICE SUPPLIES</t>
  </si>
  <si>
    <t>Replacement of Worn-Out clutch assembly and maintenance check-up for Service Vehicle – Toyota Innova with plate no. SKM 3462 of Laguna District Office</t>
  </si>
  <si>
    <t>RFQ No. 2007-370 Proc. of Goods (Reusable Coverall)</t>
  </si>
  <si>
    <t>Procurement of Refrigerator</t>
  </si>
  <si>
    <t>Supply and Delivery of Motor Parts and Accessories for Indigenous Peoples Former Rebel Organization of San Miguel, Surigao del Sur (IPFOS)</t>
  </si>
  <si>
    <t>CONSTRUCTION / IMPROVEMENT OF GYMNASIUM AT SAN RAFAEL II</t>
  </si>
  <si>
    <t>IMPROVEMENT OF MAIN HEALTH CENTER</t>
  </si>
  <si>
    <t>INVITATION TO BID FOR THE SUPPLY AND DELIVERY 14 UNITS LAPTOP FOR USE IN THE LEGISLATIVE TRACKING SYSTEM OF THE SANGGUNIANG PANLUNGSOD, OROQUIETA CITY</t>
  </si>
  <si>
    <t>Ref. No. 2020-022 Procurement of Additional Fully Developed Lots and Completed Housing Units Under NHA's Yolanda Permanent Housing Program - Coron Residences, Coron, Palawan</t>
  </si>
  <si>
    <t>Construction of flood control (slope protection) at Brgy. San Vicente, City of Binan, Laguna</t>
  </si>
  <si>
    <t>20JBG0060 – RFQ with PR No.20-07-86 for Various Vehicle Parts for replacement of worn – out parts of lighting system/components for vehicle MITSUBISHI CANTER, SDK-902 assigned at Maintenance Section o</t>
  </si>
  <si>
    <t>PROCUREMENT OF SOUND SYSTEM, OFFICE FURNITURES &amp; EQUIPMENT</t>
  </si>
  <si>
    <t>Supply and delivery of Submersible Pump and Submersible motor for the rehabilitation of Pump Station # 22, Barangay Olaes.</t>
  </si>
  <si>
    <t>PURCHASE OF RADIO HANDSET</t>
  </si>
  <si>
    <t>RFQ-Flexible Learning Studio Supplies/Materials</t>
  </si>
  <si>
    <t>Construction Materials for DICT-MC3 Koronadal City</t>
  </si>
  <si>
    <t>for laboratory testing: Pregnancy test, Trop 1, Syphilis Screening ,Thyroid Function test, Botolan, Zambales</t>
  </si>
  <si>
    <t>RFQ No. 2007-369 Proc. of Goods (Motorcycles)</t>
  </si>
  <si>
    <t>PROCUREMENT  OF  1 UNIT  AMBULANCE VEHICLE  FOR  BARANGAY GUMAUS, PARACALE,CAMS. NORTE</t>
  </si>
  <si>
    <t>VARIOUS REPAIR AND REHABILITATION OF DEPED-CAR REGIONAL OFFICE</t>
  </si>
  <si>
    <t>Installation of Street Lights</t>
  </si>
  <si>
    <t>PUBLICATION OF VARIOUS CITY RESOLUTION OF THIS CITY</t>
  </si>
  <si>
    <t>SUPPLY AND DELIVERY OF HARDWARE SUPPLIES AND MATERIALS FOR VARIOUS OFFICES</t>
  </si>
  <si>
    <t>SUPPLY AND DELIVERY OF VEHICLE MAINTENANCE SUPPLIES, PARTS AND ACCESSORIES FOR VARIOUS TRANSPORTATION EQUIPMENT / VEHICLE OF THE CITY</t>
  </si>
  <si>
    <t>Drilling of One (1) Exploratory/ Production well</t>
  </si>
  <si>
    <t>Purchase &amp; Delivery of Fishing Boat (Banca) for different Fishermen of the Province</t>
  </si>
  <si>
    <t>Construction of Drainage at Bakhaw Sur, Kalibo, Aklan (to Drainage Outlet)</t>
  </si>
  <si>
    <t>Supply and Delivery of 520 pcs Dri-fit Uniform for Gso,Mtrg &amp; Building Guard</t>
  </si>
  <si>
    <t>Supply and delivery of IT Peripherals &amp; Accessories to be used in the Office of the Municipal Administrator</t>
  </si>
  <si>
    <t>Procurement of External HDD Back-Up, 4TB</t>
  </si>
  <si>
    <t>RFQ No. 2007-373 Proc. of Goods (Flyers for COVID-19)</t>
  </si>
  <si>
    <t>Supply and delivery of Food to be used for Formulation of CDP and Local Tourism Development Plan and Update of CLUP</t>
  </si>
  <si>
    <t>PURCHASE OF SPARE PARTS FOR REPAIR AND MAINTENANCE OF GOVERNMENT VEHICLES AND HEAVY EQUIPMENTS</t>
  </si>
  <si>
    <t>RFQ No. 2007-371 Proc. of Goods (Supplies for Search, Rescue and Response Operations)</t>
  </si>
  <si>
    <t>Procurement of Plat Form Scale</t>
  </si>
  <si>
    <t>SUPPLY AND DELIVERY OF RADIOLOGY SUPPLIES (JULY-DECEMBER 2020)</t>
  </si>
  <si>
    <t>Procurement of Airconditioning Units for the Provincial Veterinary Office</t>
  </si>
  <si>
    <t>Purchased of Disasters Supplies and Materials</t>
  </si>
  <si>
    <t>Supply and delivery of Snack for different Committee Hearing &amp; Meetings of the Office of the Sangguniang Bayan</t>
  </si>
  <si>
    <t>Procurement of Resealable plastic bag and other supplies</t>
  </si>
  <si>
    <t>LANOR AND MATERIALS FOR THE REHAB/IMPROVEMENT OF MULTI-PURPOSE BUILDING AT BARANGAY TILING, CAUAYAN NEGROS OCCIDENTAL</t>
  </si>
  <si>
    <t>:  Supply and Delivery of Food Items (1 lot) for the Supplementary Feeding Program for the 10th cycle implementation CY 2020</t>
  </si>
  <si>
    <t>Ref. No. 2020-024 Procurement of Additional Fully Developed Lots and Completed Housing Units Under NHA's Yolanda Permanent Housing Program - Burauen, Leyte (Re-Bid)</t>
  </si>
  <si>
    <t>Procurement of Rubber Rain Boots</t>
  </si>
  <si>
    <t>Supply and delivery of Firewood to be used at Slaughterhouse @ Brgy. Palayan, Nagcarlan, Laguna</t>
  </si>
  <si>
    <t>IMPROVEMENT OF SCHOOL BUILDING AT T.I.P. AT SAN RAFAEL III</t>
  </si>
  <si>
    <t>Proposed City Architect’s Office</t>
  </si>
  <si>
    <t>CONCRETE ACCESS ROAD GOING TO BRGY. BUENAVISTA EVACUATION CENTER</t>
  </si>
  <si>
    <t>For laboratory testing: for Urine Test and Blood Extraction Supplies</t>
  </si>
  <si>
    <t>Supply and delivery of Personal Protective Equipments (PPE) to be used by Frontliners</t>
  </si>
  <si>
    <t>RFQ No. 2007-378 Proc. of Goods (Multicab)</t>
  </si>
  <si>
    <t>PROCUREMENT  OF  1 UNIT  EMERGENCY VEHICLE ( L300  TYPE ) -BRGY CAPACUAN</t>
  </si>
  <si>
    <t>Labor to conduct Land Preparation up to planting of Cotton Farms</t>
  </si>
  <si>
    <t>Supply and Delivery of Various Hygiene Kits</t>
  </si>
  <si>
    <t>REPOST - PROCUREMENT OF REPRODUCTION AND DELIVERY OF LEARNING MODULES</t>
  </si>
  <si>
    <t>RFQ No. 2007-376 Proc. of Goods (Ribbon Color YMCKOK)</t>
  </si>
  <si>
    <t>Procurement of Diesel Fuel for TSP-SPM Charles P. Arreza Service Vehicle.</t>
  </si>
  <si>
    <t>Ref. No. 2020-025 Procurement of Additional Fully Developed Lots and Completed Housing Units Under NHA's Yolanda Permanent Housing Program - Our Lady of Assumption, Tanauan, Leyte (Re-Bid)</t>
  </si>
  <si>
    <t>CATERING SERVICES WITH ACCOMMODATION  DURING THE CONDUCT OF MIDYEAR ASSESSMENT WORKSHOP ( INREMP)</t>
  </si>
  <si>
    <t>INSTALLATION OF LONG BEACH RECREATIONAL FACILITIES AT SAN RAFAEL IV AT NOVELETA, CAVITE</t>
  </si>
  <si>
    <t>Supply and delivery of Newborn Screening Filters to be used in the Office of the Municipal Health Officer</t>
  </si>
  <si>
    <t>SUPPLY &amp; DELIVERY OF 5 UNITS SMART TV</t>
  </si>
  <si>
    <t>SVP PUR20-05-0392 Procurement of Chlorexidine gluconate, etc.</t>
  </si>
  <si>
    <t>Supply &amp; Delivery of IT Equipment &amp; Accessories for office use (CMO).</t>
  </si>
  <si>
    <t>Supply and Installation of Glas Partition</t>
  </si>
  <si>
    <t>SMALL VALUE PROCUREMENT OF THE CONTRACT FOR THE SUPPLY AND DELIVERY OF 8 UNITS CONFERENCE TABLE AND 20 PCS MONOBLOCK CHAIR FOR NATIONAL FOOD AUTHORITY-DAVAO DEL NORTE PROVINCIAL OFFICE</t>
  </si>
  <si>
    <t>20EI0185 - Concreting of Brgy. Maliwanag to Brgy. Roma FMR, Brgy. Maliwanag and Brgy. Roma, Mansalay, Oriental Mindoro_077</t>
  </si>
  <si>
    <t>Ref. No. 2020-026 Procurement of Additional Fully Developed Lots and Completed Housing Units Under NHA's Yolanda Permanent Housing Program - Prime Town IV, Tanauan, Leyte (Re-Bid)</t>
  </si>
  <si>
    <t>COMPLETION OF TEACHER'S COTTAGE (TABINAS COMMUNITY ELEM SCHOOL)</t>
  </si>
  <si>
    <t>Purchasing one (1) unit Rescue Vehicle</t>
  </si>
  <si>
    <t>Ref. No. 2020-023 Procurement of Additional Fully Developed Lots and Completed Housing Units Under NHA's Yolanda Permanent Housing Program - Tabontabon, Leyte (Re-Bid)</t>
  </si>
  <si>
    <t>Purchase of Various Venetian Blinds (MHO)</t>
  </si>
  <si>
    <t>PROCUREMENT OF FOODSTUFF  FOR COVID 19   OPERATIONS</t>
  </si>
  <si>
    <t>20EI0184 - Concreting of Sitio Lumbayan, Proper Bansud FMR, Brgy. Proper Bansud, Bansud, Oriental Mindoro_076</t>
  </si>
  <si>
    <t>Installation of Roll-Up Door (Market)</t>
  </si>
  <si>
    <t>EXPANSION OF MUNICIPAL WATERWORKS SYSTEM</t>
  </si>
  <si>
    <t>Supply and delivery of Disinfectant and other Disinfection Supplies</t>
  </si>
  <si>
    <t>Various Infrastructure Projects (Infra-20-12), Kabankalan City, Negros Occidental</t>
  </si>
  <si>
    <t>Beautification of Barangay Facility</t>
  </si>
  <si>
    <t>CONCRETING OF FARM-TO-MARKET ROAD AT GAZELLIAN COLLEGE, BRGY. PKABULUSAN, MAGALLANES, CAVITE</t>
  </si>
  <si>
    <t>Drilling of One (1) Exploratory/Production Well</t>
  </si>
  <si>
    <t>Supply and Delivery of Solid Waste Management Equipment</t>
  </si>
  <si>
    <t>Procurement of Animal Feeds</t>
  </si>
  <si>
    <t>Negotiated Procurement of Supply and Delivery of Office Supplies</t>
  </si>
  <si>
    <t>PROCUREMENT OF DUPLICATING MACHINE WITH DIRECT PC</t>
  </si>
  <si>
    <t>BARANGAY ROAD CONCRETING - VITO, BALAMBAN, CEBU</t>
  </si>
  <si>
    <t>Delivery of Two (2) Units Ambulance (Brand New)</t>
  </si>
  <si>
    <t>Flash Drive-OTG for Digital Modules for Junior &amp; Senior High School Students</t>
  </si>
  <si>
    <t>Water Quality Analysis</t>
  </si>
  <si>
    <t>Rescue vehicle (Brandnew)</t>
  </si>
  <si>
    <t>Supply and delivery of Rapid Antibody Test to be used by people of Nagcarlangin</t>
  </si>
  <si>
    <t>LABOR AND MATERIALS FOR THE REHAB/IMPROVEMENT OF PERIMETER FENCE AT BARANGAY MAN-ULING , CAUAYAN, NEGROS OCCIDENTAL</t>
  </si>
  <si>
    <t>Ref. No. 2020-027 Procurement of Additional Fully Developed Lots and Completed Housing Units Under NHA's Yolanda Permanent Housing Program - Kawayan, Biliran (Re-Bid)</t>
  </si>
  <si>
    <t>Various Medical Supplies</t>
  </si>
  <si>
    <t>MG-PLM20-077 - CLEARING OF TREES NEAR 13.8KV LINE AT PULANGI IV HEP</t>
  </si>
  <si>
    <t>Constrction of 200 cu.m. elevated water steel tank, pumphouse, perimeter fence, electro-mechanical equipment, water chlorination facility, transmission pipelines and installation of 2" ombination air</t>
  </si>
  <si>
    <t>SUPPLY AND DELIVERY OF COLOR ROOF &amp; WINDOWS FOR 2 STOREY FTC</t>
  </si>
  <si>
    <t>Preventive Maintenance of Uninterruptible Power Supply (UPS) for two (2) quarters at various SSS Branch Offices under Luzon North 1 Division (1 lot) CY 2020</t>
  </si>
  <si>
    <t>PROCUREMENT OF PREPAID CELLULAR CARDS</t>
  </si>
  <si>
    <t>Maintenance of City Roads, Bridges and Drainages and other Structure (3rd quarter 2020),Malaybalay City.</t>
  </si>
  <si>
    <t>INVITATION TO BID   REPAIR OF GID WAREHOUSE AT RAWIS, NORTHERN SAMAR</t>
  </si>
  <si>
    <t>Repair and Maintenance of Tent for barangay @ Talaibon, Ibaan, Batangas</t>
  </si>
  <si>
    <t>Supply and Delivery of Medical and Other Supplies to be used by Frontliners and Employees of the Municipality of Naujan, Oriental Mindoro</t>
  </si>
  <si>
    <t>CONSTRUCTION OF MULTI PURPOSE HALL (PHASE 2)</t>
  </si>
  <si>
    <t>MG-PAT20-036 - ROYAL CORD #5.5mm² TTHN/THWN &amp; 1 OTHER ITEM</t>
  </si>
  <si>
    <t>Construction/ Completion of Isolation Facility, Brgy. Cabayogan, Badiangan, Iloilo</t>
  </si>
  <si>
    <t>Rehabilitation  of Municipal Hall</t>
  </si>
  <si>
    <t>MG-PLM20-137 - POWER TOOL KIT COMPLETE POWER/ELECTRICAL KIT</t>
  </si>
  <si>
    <t>Supply and delivery of Plumbing Materials for Brgy. Bangcuro, Nagcarlan, Laguna</t>
  </si>
  <si>
    <t>Ref. No. 2020-028 Procurement of Additional Fully Developed Lots and Completed Housing Units Under NHA's Yolanda Permanent Housing Program - Sta. Fe Residences, Pandan, Antique (Re-Bid)</t>
  </si>
  <si>
    <t>Construction of Concrete Barangay road</t>
  </si>
  <si>
    <t>Project No. 1 and 2</t>
  </si>
  <si>
    <t>Purchase of Steel Armchair to be used by the students Mataasnakahoy National High School</t>
  </si>
  <si>
    <t>ITB No. 015-2020-First Posting-Construction of Various Infrastructure Projects in the Municipality of Hingyon, Ifugao.</t>
  </si>
  <si>
    <t>Safe Closure and Rehabilitation of Dumpsite</t>
  </si>
  <si>
    <t>SMALL VALUE PROCUREMENT OF THE CONTRACT FOR THE SUPPLY AND DELIVERY OF MATERIALS/PARTS FOR THE REPAIR OF FOTON AUMAN TRUCK 2012 MODEL OF NATIONAL FOOD AUTHORITY-DAVAO CITY PROVINCIAL OFFICE</t>
  </si>
  <si>
    <t>Supply and Delivery of Office Supplies - FASST</t>
  </si>
  <si>
    <t>MG-PAT20-029 - SUPPLY AND DELIVERY OF CARBON BRUSHES FOR PULANGI IV HEP GENERATING UNIT</t>
  </si>
  <si>
    <t>LABOR AND MATERIALS FOR THE REHAB/IMPROVEMENT OF MULTI-PURPOSE BUILDING AT BARANGAY MAMBUGSAY, CAUAYAN, NEGROS OCCIDENTAL</t>
  </si>
  <si>
    <t>Procurement of office Supplies</t>
  </si>
  <si>
    <t>Supply &amp; Delivery of Consumable Materials, Labor &amp; Expertise for the Reconditioning of VTR-304 Turbocharger, for Jolo DPP (S3-JOL20-017 (NP4)</t>
  </si>
  <si>
    <t>Installation of Solar Powered Street Lights (Purok 1-3)</t>
  </si>
  <si>
    <t>CSR SUPPLIES (PR#20-07-70696)</t>
  </si>
  <si>
    <t>Installation of Solar Street Lights along Municipal &amp; Barangay Road at Brgy. Buhanginan, Bunga, Taytay, Sil. Napapatid &amp; Kan. Lazaan, Nagcarlan, Laguna</t>
  </si>
  <si>
    <t>Installation of four (4) Fumehood Motors &amp; Exhaust Piping of RSTL</t>
  </si>
  <si>
    <t>Office supplies for LPDD</t>
  </si>
  <si>
    <t>Construction of Apartment-Type Tomb</t>
  </si>
  <si>
    <t>Purchase of Furniture &amp; Fixtures</t>
  </si>
  <si>
    <t>Provision of Labor and Materials for the Replacement of Valley and Inside Gutters of TESDA Region Office III Building</t>
  </si>
  <si>
    <t>Supply and Delivery of Office Supplies for the First Quarter</t>
  </si>
  <si>
    <t>MG-PHP20-019 - BATTERY, RECHARGEABLE, SIZE AA, NI-MH, 1000 MAH &amp; 6 OTHER ITEMS</t>
  </si>
  <si>
    <t>Conduct of School-Based Training and Supplies for Non-Contact Sports.</t>
  </si>
  <si>
    <t>RFQ No. 2007-379 Proc. of Goods [Supplies for COVID-19 Isolation Area (Solvent Cement 80ml, etc.)]</t>
  </si>
  <si>
    <t>SMALL VALUE PROCUREMENT OF THE CONTRACT FOR THE SUPPLY OF LABOR, TOOLS AND MATERIALS/PARTS FOR THE REPAIR OF HINO TRUCK VAN 2000 MODEL OF NATIONAL FOOD AUTHORITY-DAVAO CITY PROVINCIAL OFFICE</t>
  </si>
  <si>
    <t>TRAINING ON DISASTER PREPAREDNESS AND BASIC EMERGENCY MANAGEMENT: KNOW DEFENSE, NO PAIN</t>
  </si>
  <si>
    <t>Supply and Delivery of One(1) unit Brand New Garbage Truck (Mini Dumping Cargo)</t>
  </si>
  <si>
    <t>SUPPORT TO RICE PRODUCTION (30 HECTARES RICE DEMO FARM PHASE II)</t>
  </si>
  <si>
    <t>SUPPLY &amp; DELIVERY OF 2 UNITS COMPUTER DESKTOP WITH PRINTER</t>
  </si>
  <si>
    <t>LABOR AND MATERIALS FOR THE CONSTRUCTION OF SOLAR DRYER, BARANGAY CAMINDANGAN, CAUAYAN, NEGROS OCCIDENTAL</t>
  </si>
  <si>
    <t>PROVISION OF MATERIALS FOR CONSTRUCTION OF BOX CULVERT</t>
  </si>
  <si>
    <t>RFQ No. 2007-380 Proc. of Goods (Washer with Electric Dryer)</t>
  </si>
  <si>
    <t>SUPPLY AND DELIVERY OF OFFICE AND OTHER SUPPLIES</t>
  </si>
  <si>
    <t>Various Janitorial Supplies</t>
  </si>
  <si>
    <t>DESILTING OF ILOG BALEN / YABUT RIVER, MINALIN, PAMPANGA</t>
  </si>
  <si>
    <t>ITB# 112-2020 Training Expenses</t>
  </si>
  <si>
    <t>Construction/Rehabilitation of Breakwater</t>
  </si>
  <si>
    <t>MG-PLM20-107 - SUPPLY AND DELIVERY OF RUBBER CORK GASKET SHEET (5 x 1000 x 2000mm)</t>
  </si>
  <si>
    <t>Supply and Delivery of Electrical Supplies - DAS ADMIN</t>
  </si>
  <si>
    <t>INSTALLATION OF WATER SYSTEM (PHASE 2)</t>
  </si>
  <si>
    <t>CSR SUPPLIES (PR#20-07-70708)</t>
  </si>
  <si>
    <t>RFQ-NP-SVP-223-2020-Procurement for IT Consultancy Services for Digital Transformation Project</t>
  </si>
  <si>
    <t>RFQ No. 2007-340 Proc. of Goods [Installation and Configuration of PABX][Repost]</t>
  </si>
  <si>
    <t>Procurement of Expanded Plastic Envelope, Long</t>
  </si>
  <si>
    <t>ECG MACHINE</t>
  </si>
  <si>
    <t>Supply and Delivery of PE Tubings # 1/2" dia x 300mtrs/roll SDR 11</t>
  </si>
  <si>
    <t>PROCUREMENT OF HARDWARE MATERIALS FOR CONSTRUCTION OF 83.95 LM. OPEN CANAL ALONG THE NATIONAL HIGHWAY AT ZONE II, LANUZA SURIGAO DEL SUR</t>
  </si>
  <si>
    <t>PROCUREMENT OF MEDICINES AND MEDICAL SUPPLIES FOR RURAL HEALTH UNIT</t>
  </si>
  <si>
    <t>REPAIR AND UPGRADE OF MUNICIPAL PUBLIC RESTROOM</t>
  </si>
  <si>
    <t>Purchase of Office Equipment for Office of Vice Mayor, LGU San Andres, Romblon</t>
  </si>
  <si>
    <t>Installation of Solar Street Lights along National Road at Brgy. Sabang, Balayong, Lawaguin, Maravilla, Manaol &amp; Wakat, Nagcarlan, Laguna</t>
  </si>
  <si>
    <t>Supply &amp; Delivery of Various O-Rings &amp; Rubber Ring for Power Barge 119 (S3-B1920-009 (NP-2)</t>
  </si>
  <si>
    <t>PROCUREMENT OF HABAL-HABAL MINI SPAREPARTS STORE WITH CARWASH WELDING AND VULCANIZING SHOP AT BARANGAY MAMPI, LANUZA, SURIGAO DEL SUR</t>
  </si>
  <si>
    <t>CONSTRUCTION OF PWD COMFORT ROOM</t>
  </si>
  <si>
    <t>ITB No. (INF) 2020-07-113 CONSTRUCTION OF MULTI-PURPOSE PDRRMO DISASTER RESILIENT BUILDING, Capitol Site, Brgy. Alang-alang, Borongan City, Eastern Samar</t>
  </si>
  <si>
    <t>Procurement of Various Office Supplies of DENR CENRO-Alaminos</t>
  </si>
  <si>
    <t>Handwashing Facility</t>
  </si>
  <si>
    <t>SUPPLY AND DELIVERY OF PATIENT'S BED</t>
  </si>
  <si>
    <t>Procurement of one (1) unit Tarpaulin Maker Machine, DRRM, Isabela, Neg. Occ.</t>
  </si>
  <si>
    <t>SUPPLY AND DELIVERY OF ANESTHESIA SUPPLIES (JULY-DECEMBER 2020)</t>
  </si>
  <si>
    <t>Supply and Delivery of Office Supplies - IALS</t>
  </si>
  <si>
    <t>RFQ-NP-SVP-324-2020-Procurement of  Furniture and Fixture for Jasaan Campus 3rd Quarter</t>
  </si>
  <si>
    <t>Supply of fuel for support to burial services</t>
  </si>
  <si>
    <t>PURCHASE OF TWO (2) UNITS PORTABLE BILL COUNTER (HEAVY DUTY)</t>
  </si>
  <si>
    <t>RFQ-NP-SVP-322-2020-Procurement of  Office Equipment</t>
  </si>
  <si>
    <t>Procurement of Petroleum (Diesel and Unleaded Gas)</t>
  </si>
  <si>
    <t>IMPROVEMENTS OF BARANGAY HALL (Brgy. Quipot)</t>
  </si>
  <si>
    <t>CAO : 96	BOXES	SURGICAL FACE MASK AND 8	BOXES	ETHYL ALCOHOL</t>
  </si>
  <si>
    <t>ITB# 115-2020 Office Supplies</t>
  </si>
  <si>
    <t>IMPROVEMENTS OF HEALTH CENTER (Brgy. Quipot)</t>
  </si>
  <si>
    <t>SUPPLY AND DELIVERY OF GOVERNMENT VEHICLE (AMBULANCE)-LGU CATANAUAN, QUEZON</t>
  </si>
  <si>
    <t>SUPPLY OF LABOR, MATERIALS &amp; EQUIPMENT FOR THE CONSTRUCTION OF LEVEL III WATER SYSTEM (24 CU.M. RESERVOIR)-PHASE II AT SITIO CABULIHAN, BARANGAY GUTLANG, ARGAO, CEBU</t>
  </si>
  <si>
    <t>ITB# 113-2020 Office Supplies</t>
  </si>
  <si>
    <t>Construction of conference room and rural sanitary inspection room at Sapian Rural Health Unit</t>
  </si>
  <si>
    <t>Supply and Delivery of Meals &amp; Snacks for Sabayang Patak Kontra Polio  (SPKP) Orientation and Feedbacking of RHU Personnel and Staff at LGU Midsayap, Cotabato</t>
  </si>
  <si>
    <t>Digital Duplicator</t>
  </si>
  <si>
    <t>ITB# 114-2020 Office Supplies</t>
  </si>
  <si>
    <t>Purchase of Heavy Equipment</t>
  </si>
  <si>
    <t>Procurement of Petroleum (Diesel and Engine Oil)</t>
  </si>
  <si>
    <t>COMPLETION OF PWD BUILDING</t>
  </si>
  <si>
    <t>Procurement of Supplies and Materials for the Construction of Garage</t>
  </si>
  <si>
    <t>Integrated Monitoring, Observation and Communication System for the Municipality of Mendez-Nuñez with Command Center</t>
  </si>
  <si>
    <t>ITB# 116-2020 Office Supplies</t>
  </si>
  <si>
    <t>INSTALLATION /FABRICATION OF SAFETY GRILLES AT THE NEWLY CONSTRUCTED 4STY 8CL BUILDING</t>
  </si>
  <si>
    <t>Supply and Delivery of following Building Supplies (3 itenms), as per BSP Technical Specifications and Terms and Conditions</t>
  </si>
  <si>
    <t>Construction Materials: Proposed 3-Office Room at 3rd Floor</t>
  </si>
  <si>
    <t>SUPPLY AND DELIVERY OF SANITATION AND CLEANING SUPPLIES INTENDED FOR 20 ELEMENTARY SCHOOLS AND 4 SECONDARY SCHOOLS</t>
  </si>
  <si>
    <t>Procurement of Petroleum (Engine Oil and Unleaded Gas)</t>
  </si>
  <si>
    <t>PURCHASE OF LICENSED MS OFFICE SOFTWARE FOR LAPTOP OF CITY ENGINEERING OFFICE</t>
  </si>
  <si>
    <t>MOTORCYCLE</t>
  </si>
  <si>
    <t>Purchase of Steel Armchair to be used by the students  of Mataasnakahoy Senior High School</t>
  </si>
  <si>
    <t>COMPLETION OF BODEGA/WAREHOUSE</t>
  </si>
  <si>
    <t>4 UNITS COVID WASTE FACILITY AT SITIO CALAPNAGAN,BRGY. BIAKNABATO</t>
  </si>
  <si>
    <t>Construction of Quarantine FAcilities/Isolation Rooms with comfort facility at Multipurpose Gym Brgy Bilao, Agtatacay Norte, and Lonoy, Sapian, Capiz</t>
  </si>
  <si>
    <t>40 FOOTER CONTAINER VAN</t>
  </si>
  <si>
    <t>ITB# 119-2020 Food Supplies</t>
  </si>
  <si>
    <t>Request for Quotation for the supply and delivery of 6"x10m HDPE Pipe SDR 11 for repipe laying in Kaymino Road to Holcim Road, Villarama Highway, Norzagaray, Bulacan</t>
  </si>
  <si>
    <t>SUPPLY OF MATERIALS FOR LEVEL III WATER SYSTEM (24 CU.M. RESERVOIR)-PHASE I AT SITIO CABULIHAN, BARANGAY GUTLANG, ARGAO, CEBU</t>
  </si>
  <si>
    <t>RFQ-NP-SVP-328-2020-Procurement of   System Wide - Digital Tranformation Project</t>
  </si>
  <si>
    <t>WALL MOUNTED AIRCONDITIONING UNIT</t>
  </si>
  <si>
    <t>Supply / Delivery of Wheelchairs, Digital Hearing Aid, Crutches, Quad Cane &amp; Folded Cane</t>
  </si>
  <si>
    <t>Package 026- Procurement of various Infra Projects</t>
  </si>
  <si>
    <t>Proposed Early Warning System and DRRM IEC Equipment</t>
  </si>
  <si>
    <t>ITB# 118-2020 Office Supplies</t>
  </si>
  <si>
    <t>COMPLETION OF BARANGAY OUTPOST AT GOLDEN HORIZON, BRGY. HUGO PEREZ, TMC</t>
  </si>
  <si>
    <t>COMPLETION OF GYM</t>
  </si>
  <si>
    <t>Supply / Delivery of 1,680 cyls. Medical Oxygen Refill – Standard (180psi – sealed)</t>
  </si>
  <si>
    <t>ITB# 117-2020 Office Supplies</t>
  </si>
  <si>
    <t>SUPPLY  OF MATERIALS FOR VERTICAL GARDEN AT PRES. CORAZON AQUINO MONUMENT</t>
  </si>
  <si>
    <t>19KA0162 Concreting of Sitio Kibuda, Brgy. Kibangay FMR, Brgy. Kibangay, Lantapan, Bukidnon Brgy. Kibangay, Lantapan, Bukidnon Lantapan, Bukidnon 2nd LD</t>
  </si>
  <si>
    <t>Procurement of Supplies and Materials for the Improvement of Multi-Purpose Center (Perimeter Fence)</t>
  </si>
  <si>
    <t>Procurement of Supplies and Materials for the Improvement of Water System</t>
  </si>
  <si>
    <t>ITB# 120-2020 Food Supplies</t>
  </si>
  <si>
    <t>LABOR AND MATERIALS FOR THE CONSTRUCTION OF STAGE AT CAUAYAN CENTRAL ELEMENTARY SCHOOL , POBLACION, CAUAYAN, NEGROS OCCIDENTAL</t>
  </si>
  <si>
    <t>Installation of SK Joy Center Signages and Marker</t>
  </si>
  <si>
    <t>Supply and Delivery of Various ICT Equipment for 2020 MITHI Program (DOST IX-20-003B)</t>
  </si>
  <si>
    <t>LABOR AND MATERIALS FOR THE REPAIR/MAINTENANCE OF DAY CARE CENTER AT BARANGAY LINA-ON , CAUAYAN, NEGROS OCCIDENTAL</t>
  </si>
  <si>
    <t>Supply &amp; delivery of 10 pcs Toilet Pump and Other Items, For use at the Isolation/Facility Area</t>
  </si>
  <si>
    <t>REPAIR AND MAINTENANCE OF COMFORT ROOM AND WASH AREA AT CABUCO NATIONAL HIGH SCHOOL, TMC</t>
  </si>
  <si>
    <t>Supply and Delivery of Materials for PMS of Service Vehicle of KABUGAO DPP</t>
  </si>
  <si>
    <t>Supply &amp; Delivery of Various Electrical Parts for Perkins &amp; FG Wilson Gensets of Manuk Mangkaw DPP for PR # S3-MAN20-007, S3-MAN20-008 &amp; S3-MAN20-010 (S3-SPUGWM20-003 (NP4)</t>
  </si>
  <si>
    <t>Supply &amp; Delivery of 1 pc Click Torque Wrench, Heavy Duty, 3" Drive x 100-700ft lbs 48" and other items, For use at OCPS Motorpool</t>
  </si>
  <si>
    <t>FURNISHING &amp; DELIVERY OF A4 BONDPAPER FOR PRINTING OF MODULES @ CAMALANIUGAN DISTRICT</t>
  </si>
  <si>
    <t>Supply and Delivery of Office Fixtures use at the RHU Dauis, Bohol.</t>
  </si>
  <si>
    <t>REPAIR OF OFFICE CUBICLE AND INSTALLATION OF SLIDING GLASS DOOR WITH FIXED GLASS</t>
  </si>
  <si>
    <t>INSTALLATION OF ELECTRICAL SERVICE  ENTRANCE  OF TMCNHS- HUGO PEREZ , GOLDEN HORIZON, TMC</t>
  </si>
  <si>
    <t>PROCUREMENT/SUPPLY OF TECHNICAL ASSISTANCE FOR MARKETING OF RICE COMMODITY OF VETREBUNS ARC CLUSTER UNDER PROJECT CONVERGE</t>
  </si>
  <si>
    <t>PROFESSIONAL SERVICES FOR ENGAGEMENT OF CERTIFYING BOY TO CONDUCT SECOND (2ND) SURVEILLANCE AUDIT TO DETERMINE THE COMPLIANCE OF BFP WITH ISO 9001:2015 QUALITY MANAGEMENT SYSTEM (QMS) STANDARD</t>
  </si>
  <si>
    <t>INSTALLATION /FABRICATION OF SAFETY GRILLES AT THE NEWLY CONSTRUCTED 4STY 12CL BUILDING</t>
  </si>
  <si>
    <t>Supply and Delivery of Catering Services for Bayugan City On  wheels Activities</t>
  </si>
  <si>
    <t>RFQ-NP-SVP-329-2020-Procurement of   Office Equipment for Jasaan Campus 3rd Quarter</t>
  </si>
  <si>
    <t>CONSTRUCTION OF DRAINAGE SYSTEM , BRGY. STA. RITA, MINALIN, PAMPANGA</t>
  </si>
  <si>
    <t>FURNISHING AND DELIVERY OF ONE (1) UNIT XEROX/COPIER MACHINE WITH CABINET</t>
  </si>
  <si>
    <t>PROPOSED CONSTRUCTION OF BLEACHERS</t>
  </si>
  <si>
    <t>Reproduction of ADM Modules</t>
  </si>
  <si>
    <t>ITB# 122-2020 Medical, Dental &amp; Laboratory Supplies</t>
  </si>
  <si>
    <t>Construction of Proposed Power House</t>
  </si>
  <si>
    <t>PROCUREMENT OF EGG MACHINE CAGE, PULLETS, FEEDS AND BIOLOGICS FOR EGG PRODUCTION UNDER THE LIVELIHOOD SUPPORT FOR WOMEN IN CRISIS SITUATION, COMPONENT “C” (PACKAGE III), FUNDED UNDER THE PASSOVER: ARB</t>
  </si>
  <si>
    <t>Purchase of Polo Shirt with Print for the Youth Symposium on the National Security Framework and Effects and Impacts of Illegal Drugs Program of the Province of Zamboanga del Sur (2nd Batch)</t>
  </si>
  <si>
    <t>1 LOT SUPPLY &amp; DELIVERY OF PARTS FOR THE MAINTENANCE OF AIR COMPRESSOR UNIT WITH LABOR CHARGE</t>
  </si>
  <si>
    <t>Lease of one (1) unit Laptop</t>
  </si>
  <si>
    <t>Procurement of Janitorial Supplies PR # 2020-07-20-267</t>
  </si>
  <si>
    <t>ITB# 121-2020 Food Supplies</t>
  </si>
  <si>
    <t>INVITATION TO BID   REPAIR OF GID BOBON  WAREHOUSE  IN DANCALAN, BOBON ,NORTHERN SAMAR</t>
  </si>
  <si>
    <t>Invitation to Bid for the Installation of Fiber Optic, CCTV, Early Warning System, and other Paraphernalia for Central Command Center</t>
  </si>
  <si>
    <t>PRINTING OF TARPAULIN FOR THE 2020 CENSUS OF POPULATION AND HOUSING (2020 CPH)  - PUBLICITY AND IEC MATERIALS FOR THE BARANGAYS OF ISABELA</t>
  </si>
  <si>
    <t>Procurement of Medical Supplies PR # 2020-07-28-295</t>
  </si>
  <si>
    <t>Procurement of Office Equipment PR # 2020-07-23-284</t>
  </si>
  <si>
    <t>20HM0093 - OO1: Ensure Safe And Reliable National Road System, Asset Preservation – Rehabilitation/ Reconstruction/ Upgrading of Damaged Paved Roads – Siquijor Circumferential Rd – K0047+588 – K0047+8</t>
  </si>
  <si>
    <t>LABOR AND MATERIALS FOR THE CONCRETING OF DRAINAGE WITH CURB AND GUTTER AT STO. NINO STREET, BARANGAY POBACION, CAUAYAN, NEGROS OCCIDENTAL</t>
  </si>
  <si>
    <t>Procurement of Different Equipment 2020</t>
  </si>
  <si>
    <t>Construction of Billboard, Covered Walkway and Steel Gate</t>
  </si>
  <si>
    <t>LABOR AND MATERIALS FOR THE CONCRETING OF ROADS AT STO. NINO STREET (NATIONAL HIGHWAY TO CCES) BARANGAY POBLACION, CAUAYAN, NEGROS OCCIDENTAL</t>
  </si>
  <si>
    <t>SUPPLY OF MATERIALS FOR THE INSTALLATION OF SOLAR STREET LIGHT @ PROPER GUTLANG, ARGAO, CEBU</t>
  </si>
  <si>
    <t>Construction of Brgy.Dolores Multi-Purpose Hall (Phase 2)</t>
  </si>
  <si>
    <t>Invitation to Bid for the Construction of “Ang Lumang Gapan Project”</t>
  </si>
  <si>
    <t>Procurement of L – Type Wall Partition PR # 2020-07-21-268</t>
  </si>
  <si>
    <t>CATERING SERVICES DURING THE 2020 CENSUS OF POPULATION AND HOUSING (2020 CPH)  THIRD AND FOURTH LEVEL TRAINING ON AUGUST 17-22, 2020 AT BASCO, BATANES</t>
  </si>
  <si>
    <t>Procurement of Office Supplies &amp; IT Equipment PR # 2020-07-17-252 &amp; 2020-07-17-260</t>
  </si>
  <si>
    <t>Package 027-Procurement of various Infra Projects</t>
  </si>
  <si>
    <t>Purchase of Fertilizers and Materials for Rice, Banana, Sweet Water Coconut and Corn Program of Provincial Agriculture Office</t>
  </si>
  <si>
    <t>Procurement of Hardware Supplies PR # 2020-07-14-246, 2020-07-17-251, 2020-07-20-265, 2020-07-23-278 &amp; 2020-07-23-284</t>
  </si>
  <si>
    <t>RFQ-TPB-PR.2020.07.219 PROCUREMENT OF SHUTTLE SERVICE FOR TPB FOR AUGUST 2020</t>
  </si>
  <si>
    <t>2020-172-I PROCUREMENT AND DELIVERY OF FEEDS FOR RESEARCH DIVISION, ILD, NLP AND SAAD PROGRAM FOR CY 2020</t>
  </si>
  <si>
    <t>Supply and Delivery of Various Government Forms (2nd Publication)</t>
  </si>
  <si>
    <t>IMPROVEMENT OF TAMBULIG MOUNTAIN RESORT PHASE III</t>
  </si>
  <si>
    <t>ITB# 124-2020 Medical, Dental &amp; Laboratory Supplies</t>
  </si>
  <si>
    <t>RFQ-Exhaust Fan</t>
  </si>
  <si>
    <t>Purchase of various materials for Concreting of Balili Road (Section 1 and 2), Brgy. Balili</t>
  </si>
  <si>
    <t>THIRD QUARTER MOOE SUPPLIES OF BULAD ELEM. SCHOOL</t>
  </si>
  <si>
    <t>Other Supplies (City Health Office-Mati Balay Paanakan South Badas, North Dahican and GIDA-Luban)</t>
  </si>
  <si>
    <t>Foods</t>
  </si>
  <si>
    <t>RFQ-Bench</t>
  </si>
  <si>
    <t>Repair and Parts Replacement for 4th Floor Led Indicator Push Button and Car Operating Board of the BJMP NHQ Elevator</t>
  </si>
  <si>
    <t>SUPPLY AND DELIVERY OF MEDICAL SUPPLIES P.R NO. 0701 SERIES 2020</t>
  </si>
  <si>
    <t>LABOR AND MATERIALS FOR THE CONSTRUCTION OF OVERFLOW AT BARANGAY TAMBAD, CAUAYAN, NEGROS OCCIDENTAL</t>
  </si>
  <si>
    <t>Supply and Delivery of Sailor Battle Dress Uniform (SBDU) with Herring Bone Twill (HBT) Cap (FRAMEWORK AGREEMENT)</t>
  </si>
  <si>
    <t>CONCRETING OF FARM-TO-MARKET ROAD</t>
  </si>
  <si>
    <t>ITB# 123-2020 Medical, Dental &amp; Laboratory Supplies</t>
  </si>
  <si>
    <t>LABOR AND MATERIALS FOR THE CONSTRUCTION OF CONCRETE PAVEMENT AT CAUAYAN DISTRICT HOSPITAL , BARANGAY ISIO, CAUAYAN, NEGROS OCCIDENTAL</t>
  </si>
  <si>
    <t>Procurement of Septic Tank Excavation PR # 2020-07-23-284</t>
  </si>
  <si>
    <t>Supply and Materials for the Conduct of Recruitment for Officers and EP Pre-Entry Trainees</t>
  </si>
  <si>
    <t xml:space="preserve">20GGF0021 – Procurement of Various Road Safety Materials for use in the Repair/Maintenance of national roads within  the jurisdiction of Iloilo 1st District Engineering Office, Fort San Pedro, Iloilo </t>
  </si>
  <si>
    <t xml:space="preserve">Purchase of Construction Supplies and Materials for the Establishment of Demonstration Site for Vegetable Fruit Tees Production, Fruit Trees Nursery, Nursery Plant and Seeds Bank, Sweet Water Coconut </t>
  </si>
  <si>
    <t>PURCHASE OF MATERIALS FOR CONCRETING OF BARANGAY ROAD W/ BOX CULVERT</t>
  </si>
  <si>
    <t>Supply &amp; delivery of school supplies at Barangay Balele, Tanauan City, Batangas</t>
  </si>
  <si>
    <t>Medicine (City Health Office- Mati Balay Paanakan South Badas, North Dahican and GIDA-Luban)</t>
  </si>
  <si>
    <t>Procurement of Service for Information System and Infrastructure VAPT</t>
  </si>
  <si>
    <t>20GGF0022 – Procurement of Various Tools and Equipment to be used by the Maintenance Point Persons for the Maintenance of National Roads and Bridges under Maintenance Section, Iloilo 1st District Engi</t>
  </si>
  <si>
    <t>PROCUREMENT OF VARIOUS LABORATORY CONSUMABLES FOR PALAWAN LABORATORY</t>
  </si>
  <si>
    <t>RFQ: SUPPLY AND DELIVERY OF CAR ACCESSORY (TIRE)</t>
  </si>
  <si>
    <t>Procurement of School Bus for City College of El Salvador (Surplus) (Rebidding)</t>
  </si>
  <si>
    <t>Supplies/Material for CCIE Mobstock for Reservist</t>
  </si>
  <si>
    <t>RFQ-TPB-PR.2020.07.218 PROCUREMENT OF FOOT BATH SANITATION SET</t>
  </si>
  <si>
    <t>REPRODUCTION OF DEPED ADM MODULES FOR K TO 12 LEARNERS</t>
  </si>
  <si>
    <t>PURCHASE OF MATERIALS FOR REPAIR &amp; MAINTENANCE OF STREET LIGHTS</t>
  </si>
  <si>
    <t>Riso Ink and Riso Master</t>
  </si>
  <si>
    <t>PURCHASE OF ONE (1) UNIT 6 WHEELER MAN-LIFT TRUCK OF MUNICIPALITY OF CAUAYAN, NEGROS OCCIDENTAL</t>
  </si>
  <si>
    <t>Labor and Materials for the Construction of Multi-Purpose Hall Building at Various Barangays of Concepcion, Tarlac</t>
  </si>
  <si>
    <t>learning module storage</t>
  </si>
  <si>
    <t>REPAIR OF DRAINAGE CANAL AT URIARTE SUBDIVISION, BARANGAY III,  LA CARLOTA CITY</t>
  </si>
  <si>
    <t>PURCHASE OF ONE (1) UNIT BRAND NEW FUNERAL TRANSPORT SERVICE OF MUNICPALITY OF CAUAYAN, NEGROS OCCIDENTAL</t>
  </si>
  <si>
    <t>CONSTRUCTION OF DRAINAGE SYSTEM ALONG BURGOS STREET, CORNER VALOIS STREET TO SAN AGUSTIN STREET, LA CARLOTA CITY</t>
  </si>
  <si>
    <t>2020 REGIONAL GRAND NUTRITION AWARDS</t>
  </si>
  <si>
    <t>PURCHASE OF ONE (1) UNIT BRAND NEW SIX WHEELER DUMPTRUCK OF MUNICIPALITY OF CAUAYAN, NEGROS OCCIDENTAL</t>
  </si>
  <si>
    <t>LABOR AND MATERIALS FOR THE CONCRETING OF FARM TO MARKET ROAD AT BARANGAY TAMBAD, CAUAYAN, NEGROS OCCIDENTAL</t>
  </si>
  <si>
    <t>PROPOSED CONSTRUCTION OF DRAINAGE SYSTEM AND ROAD WIDENING ALONG LA PAZ ST. FROM GURREA ST. TO  OGATIS STREET, LA CARLOTA CITY</t>
  </si>
  <si>
    <t>Food Acomodation during the Aguilar Day Celebration</t>
  </si>
  <si>
    <t>REHABILITATION OF MULTIPURPOSE HALL</t>
  </si>
  <si>
    <t>CONCRETING OF PATHWALK</t>
  </si>
  <si>
    <t>Request for Quotation of Supply and Delivery of Anti Rabies Vaccine</t>
  </si>
  <si>
    <t>Purchase of Traffic Signs for Bridges along Various Road Sections</t>
  </si>
  <si>
    <t>Construction of 2 Units Jetmatic Pump</t>
  </si>
  <si>
    <t>Labor and Materials for the Concreting of Road at Barangay Sta Rita, Concepcion, Tarlac</t>
  </si>
  <si>
    <t>For School / Office Supplies and other materials - MALINAO ELEMENTARY SCHOOL, KADINGILAN, BUKIDNON</t>
  </si>
  <si>
    <t>One (1) Lot Printing Equipment</t>
  </si>
  <si>
    <t>Supply and Delivery of Construction Supplies and Materials for Selected School Beneficiaries of BCEZ 2020 Brigada Eskwela Project</t>
  </si>
  <si>
    <t>Consulting Services for the Implementation of the Performance Governance System (PGS) and Attainment of PGS Initiation and Compliance Stages for the City Government of Baguio</t>
  </si>
  <si>
    <t>Procurement of nasopharyngeal swab-flocked sterile</t>
  </si>
  <si>
    <t>School and Office Supplies</t>
  </si>
  <si>
    <t>CONSTRUCTION OF DAY CARE CENTER</t>
  </si>
  <si>
    <t>Procurement of Filtered Pippette Tips and other laboratory supplies</t>
  </si>
  <si>
    <t>Upgrading/Concreting of Access Road (Daungang Pari) Pag-asa, Obando, Bulacan</t>
  </si>
  <si>
    <t>PROCUREMENT OF SOLID WASTE MANAGEMENT EQUIPMENT - DUMP TRUCK (FORWARD)</t>
  </si>
  <si>
    <t>PROCUREMENT OF COVID TEST KITS</t>
  </si>
  <si>
    <t>Procurement of Paper Multicopy A4 Size</t>
  </si>
  <si>
    <t>SUPPLY AND DELIVERY OF CONSERVATION, PRESERVATION AND EXHIBITION MATERIALS FOR THE NATIONAL LIBRARY OF THE PHILIPPINES</t>
  </si>
  <si>
    <t>CONSTRUCTIOIN OF MULTI-PURPOSE COVERED COURT (PHASE II)</t>
  </si>
  <si>
    <t>Purchase and delivery of Various supplies (COVID19 PPA'S) to be used in the Municipality of Concepcion, Tarlac</t>
  </si>
  <si>
    <t>Supply &amp; delivery of Electrical supplies (Bulb ) at Barangay Balele, Tanauan City, Batangas</t>
  </si>
  <si>
    <t>Purchase of Office Equipment (Executive Table)</t>
  </si>
  <si>
    <t>Medical Supplies &amp; Equipment (Mati Balay Paanakan South Badas, North-Dahican &amp; Gida-Luban Maternal &amp; Neonatal Health Care Services)</t>
  </si>
  <si>
    <t>2020-07-0149 - PROCUREMENT OF HARDWARE/MACHINE/EQUIPMENT FOR USE IN THE IMPLEMENTATION OF MINIMUM SAFETY MEASURES FOR THE EMPLOYEES AND STAKEHOLDERS, TO AVOID THE CONTAMINATION OF COVID 19 OF BUKIDNON</t>
  </si>
  <si>
    <t>Request for Quotation of Supply and Delivery of IV Fluids</t>
  </si>
  <si>
    <t>MOBILE LOAD - SMALL VALUE</t>
  </si>
  <si>
    <t>Fabrication of Steelgate with Lifting Mechanism for Sta. Agueda-Datagon IP</t>
  </si>
  <si>
    <t>CONSTRUCTION OF ROAD PROTECTION</t>
  </si>
  <si>
    <t>TARPAULINS FOR SENIOR HIGH - SMALL VALUE</t>
  </si>
  <si>
    <t>ITB# 127-2020 Other Supplies and Materials</t>
  </si>
  <si>
    <t>Supply and Delivery of Photocopying Machine</t>
  </si>
  <si>
    <t>PROC 20-029 INK CART PANINI</t>
  </si>
  <si>
    <t>TARPAULINS  - SMALL VALUE</t>
  </si>
  <si>
    <t>Purchase of Office Supplies and Equipments for the use of Planning and Design Section</t>
  </si>
  <si>
    <t>Road Concreting</t>
  </si>
  <si>
    <t>Request for Quotation of Supply and Delivery of Animal Supplies</t>
  </si>
  <si>
    <t>Services of a Technical Consultant (Writer)</t>
  </si>
  <si>
    <t>OFFICE SUPPLIES - SMALL VALUE</t>
  </si>
  <si>
    <t>Purchase of Temporary Signs and Traffic Management for Maintenance Works on Roads and Bridges Along Various Road Sections</t>
  </si>
  <si>
    <t>Construction of Water System @ Purok 5</t>
  </si>
  <si>
    <t>Food, Venue and Catering Services for Lunch and two (2) snacks - AM &amp; PM, for the 4th level training on 2020 Census of Population and Housing in Gandara, Samar</t>
  </si>
  <si>
    <t>ITB# 125-2020 Medical, Dental &amp; Laboratory Supplies</t>
  </si>
  <si>
    <t>Supply, Delivery and Installation of Barangay Solar Street Light (Off-Grid Street Lighting) for Barangay Electrification Program of the Provincial Government of Zamboanga del Sur</t>
  </si>
  <si>
    <t>Supply and Delivery of Office Supplies -3rd and 4th Quarter</t>
  </si>
  <si>
    <t>CONSTRUCTION OF LOCAL ROADS @ BLOCK 1 TO 3</t>
  </si>
  <si>
    <t>ITB# 128-2020 Other Supplies and Materials</t>
  </si>
  <si>
    <t>ITB# 126-2020 Medical, Dental &amp; Laboratory Supplies</t>
  </si>
  <si>
    <t>Repair &amp; Maintenance of Brgy.  Patrol at  Barangay Sambat, Tanauan City, Batangas</t>
  </si>
  <si>
    <t>One (1) Lot Information Technology</t>
  </si>
  <si>
    <t>IMPROVEMENT OF IRRIGATION - SANJERA TAMMO</t>
  </si>
  <si>
    <t>ITB# 129-2020 Other Supplies and Materials</t>
  </si>
  <si>
    <t>2020-07-0162 - PROCUREMENT OF GENERAL MERCHANDISE FOR USE OF RBIA COORDINATORS UNDER PLANNING AND DESIGN SECTION (RBIA 2020)</t>
  </si>
  <si>
    <t>20LC0112 - Concreting of Purok 5 to Purok 8, Brgy. Pantaron FMR, Brgy. Pantaron, Sto. Tomas, Davao del Norte</t>
  </si>
  <si>
    <t>Construction of Water System @ Purok 3</t>
  </si>
  <si>
    <t>ELECTRIFICATION OF 4 STOREY, 16 CLASS ROOMS</t>
  </si>
  <si>
    <t>Supply and Delivery of Vegetable Seeds</t>
  </si>
  <si>
    <t>invitation to bid- construction / fabrication of steel railing</t>
  </si>
  <si>
    <t>2020-07-0076 Procurement of On-ground Automatic Traffic Classifier and other traffic count accessories</t>
  </si>
  <si>
    <t>ITB# 130-2020 Other Supplies and Materials</t>
  </si>
  <si>
    <t>20LC0162 - Construction of 2STY8CL School Building at Dujali Central Elementary School, Braulio E. Dujali, Davao del Norte</t>
  </si>
  <si>
    <t>Request for Quotation of Repair &amp; Maintenance of Elevator</t>
  </si>
  <si>
    <t>2020-07-0163 - PROCUREMENT OF GENERAL MERCHANDISE FOR USE OF RBIA COORDINATORS UNDER PLANNING AND DESIGN SECTION (RBIA 2020)</t>
  </si>
  <si>
    <t>Request for Quotation of Supply and Delivery of Uniform (Prov'l Disaster Emergency Response Group Uniform)</t>
  </si>
  <si>
    <t>Renewal of Contract for EMC Server Maintenance Services</t>
  </si>
  <si>
    <t>INTERNET LOAD - 2ND BIDDING</t>
  </si>
  <si>
    <t>Request for Quotation of Supply and Delivery of Office Identification Card</t>
  </si>
  <si>
    <t>2020-07-0077 Procurement of caution tape (yellow)</t>
  </si>
  <si>
    <t>20LC0168 - Concreting of Purok 9 to Purok 3, Brgy. Anibongan FMR, Brgy. Anibongan, Carmen, Davao del Norte</t>
  </si>
  <si>
    <t>Request for Quotation of Supply and Delivery of Office Equipment</t>
  </si>
  <si>
    <t>2020-07-0082 Procurement of 50 rolls A2 matte film (Mylar Paper), 420 x 594mm, 100 microns</t>
  </si>
  <si>
    <t>20LC0166 - Construction of 3STY6CL School Building at Magdum National High School, City of Tagum, Davao del Norte</t>
  </si>
  <si>
    <t>2020-07-0080 Procurement of Wheelbarrow, bolo and circular saw.</t>
  </si>
  <si>
    <t>CONSTRUCGTION OF AKI LOWER FMR</t>
  </si>
  <si>
    <t>construction of multi purpose hall</t>
  </si>
  <si>
    <t>20LC0164 - Construction of 2STY6CL School Building at Consolacion ES, City of Panabo, Davao del Norte</t>
  </si>
  <si>
    <t>Supply, Delivery and Installation of Aircon for SPFIDO (GAA-ESAOCAR3/PR No. 20-07-149 Repost)</t>
  </si>
  <si>
    <t>2020-07-0083 Rental of Equipment</t>
  </si>
  <si>
    <t>Barangay 656 MOOE / C.O. / BDF / RRMF 2020</t>
  </si>
  <si>
    <t>20LC0165 - Construction of 2STY4CL School Building at J.P. Laurel ES, City of Panabo, Davao del Norte</t>
  </si>
  <si>
    <t>20LC0169 - Concreting of Brgy. Poblacion to Brgy. New Bohol FMR, Brgy. Poblacion and Brgy. New Bohol, New Corella, Davao del Norte</t>
  </si>
  <si>
    <t>20LC0167 - Construction of 1STY3CL School Building with Toilet Attached at Sampao IS, Kapalong, Davao del Norte</t>
  </si>
  <si>
    <t>Request for Quotation of Supply and Delivery of Medical and Dental Equipment</t>
  </si>
  <si>
    <t>2020-07-0170 - PROCUREMENT OF SURVEY INSTRUMENTS FOR USE OF RBIA COORDINATORS UNDER PLAANING AND DESIGN SECTION (RBIA 2020)</t>
  </si>
  <si>
    <t>ITB# 131-2020 Other Supplies and Materials</t>
  </si>
  <si>
    <t>Request for Quotation of Supply and Delivery of Agricultural &amp; Marine Supplies</t>
  </si>
  <si>
    <t>20LC0170 - Concreting of Crossing Purok 1 to Sitio Banate, Brgy. Capungagan FMR, Brgy. Capungagan, Kapalong, Davao del Norte</t>
  </si>
  <si>
    <t>Delivery of office equipment for Elementary and Secondary Modules, Alfonso, Cavite</t>
  </si>
  <si>
    <t>Procurement of Security Services for Batangas State University</t>
  </si>
  <si>
    <t>PR# 20-07-743 PROCUREMENT OF 20 CAN BRINE SHRIMP EGGS FOR FARM INPUTS FOR AFRICAN CATFISH AND FRESHWATER PRAWN HATCHERY OPERATION IN CFFF, CALUWASAN, CLARIN, BOHOL.</t>
  </si>
  <si>
    <t>Supply and delivery of various office and school supplies for Elementary and Secondary Modules, Alfonso, Cavite</t>
  </si>
  <si>
    <t>20LC0163 - Construction of 1STY3CL School Building at Maguintalunan ES, Sto. Tomas, Davao del Norte</t>
  </si>
  <si>
    <t>Request for Quotation of Supply and Delivery of Furnitures and Fixtures</t>
  </si>
  <si>
    <t>OFFICE SUPPLIES FOR REPRODUCTION OF MODULES</t>
  </si>
  <si>
    <t>INVITATION TO BID- REPAIR / IMPROVEMENT OR CONRETING OF BRGY. ROAD</t>
  </si>
  <si>
    <t>Procurement of Ambulance to be used by the City of Mabalacat</t>
  </si>
  <si>
    <t>Concreting of Pathway (0.10m x 1.50m x 60.0m)</t>
  </si>
  <si>
    <t>Construction of Drainage Canal ( 0.60m x 0.80m x 220.0m)</t>
  </si>
  <si>
    <t>Installation of Pipeline @ Purok 1</t>
  </si>
  <si>
    <t>Construction of Drainage Canal (0.60m x 0.80m x 175.0m) with Box culvert (2-1.0m x 5.0m)</t>
  </si>
  <si>
    <t>2020-07-0029- Supply of Diesel Fuel for use in the Conduct of Feasibility Study/Pre- Feasibility/Preliminary Detailed Engineering (PDE) Activities for Region VI assigned to the Planning and Design Sec</t>
  </si>
  <si>
    <t>PR# 20-07-745 PROCUREMENT OF VARIOUS MATERIALS FOR AQUAPONICS DEMONSTRATION IN CFFF, CALUWASAN, CLARIN, BOHOL.</t>
  </si>
  <si>
    <t>PR# 20-07-727A PROCUREMENT OF 1 UNIT STANDBY POWER GENERATOR FOR LDFFF, CAMOTES.</t>
  </si>
  <si>
    <t>Request for Quotation of Supply and Delivery of Construction and Electrical Supplies</t>
  </si>
  <si>
    <t>Project No. 1: Design and Build: Construction of Wastewater Treatment Facility Pasil Fish Market, Brgy. Pasil, Cebu City</t>
  </si>
  <si>
    <t>Supply and Delivery of Personal Protective Equipment (PPE) Supplies for the 2020 Census of Population and Housing (CPH)</t>
  </si>
  <si>
    <t>20LC0133 - Construction of Road, Brgy. Canocotan, Tagum City, Davao del Norte</t>
  </si>
  <si>
    <t>20LC0159 - Construction/Rehabilitation of Water Supply/Septage and Sewerage/ Rain Water Collectors 1. Sto. Niño ES, Carmen, Davao del Norte 2. Salvacion ES, Panabo City, Davao del Norte 3. Panabo Cent</t>
  </si>
  <si>
    <t>Procurement of Multi-Purpose Vehicle to be used by Early Childhood Care and Development (ECCD) Office</t>
  </si>
  <si>
    <t>Procurement for the Proposed Rehabilitation of Old Municipal Hall (Historical Building) (Phase 1) at Brgy. Poblacion, Mabalacat City, Pampanga</t>
  </si>
  <si>
    <t>Construction of School Playground (0.10m x 15.0m x 38.0m)</t>
  </si>
  <si>
    <t>CNH-0520-056</t>
  </si>
  <si>
    <t>Supply of Civil Works for the Construction of Civic Center</t>
  </si>
  <si>
    <t>INVITATION TO BID</t>
  </si>
  <si>
    <t>CONSTRUCTION OF PATHWAY AT ZONE 7 BRGY. CATANUSAN</t>
  </si>
  <si>
    <t>Rehaitation of Merfuwang water resorviorat poblacion, Tinglayan Kalinga</t>
  </si>
  <si>
    <t>SUPPLY AND DELIVERY OF 1 UNIT RESCUE VEHICLE - BARANGAY CALAOCAN</t>
  </si>
  <si>
    <t>CONSTRUCTION OF MULTI PURPOSE HALL I</t>
  </si>
  <si>
    <t>ITB - PROCUREMENT OF CONSTRUCTION MATERIALS &amp; SUPPLY FOR BRGY ROAD CONCRETING</t>
  </si>
  <si>
    <t>janitorial</t>
  </si>
  <si>
    <t>Acquisition of Medicines, RHU</t>
  </si>
  <si>
    <t>CONSTRUCTION OF MATERIALS RECOVERY FACILITY OF BRGY. MALITBOG</t>
  </si>
  <si>
    <t>BARANGAY SERVICE AND RESCUE MOTOR VEHICLE WITH SIDECAR OF ANTIPOLO</t>
  </si>
  <si>
    <t>PROCUREMENT OF MATERIALS FOR THE REPAIR AND MAINTENANCE OF BUILDINGS AND OTHER STRUCTURES</t>
  </si>
  <si>
    <t>Aircon Maintenance</t>
  </si>
  <si>
    <t>Gasoline/Diesoline</t>
  </si>
  <si>
    <t>CCTV</t>
  </si>
  <si>
    <t>Procurement of   Road Safety Devices used for the Maint., Repair and Rehab. of Infrastructure Facilities and other Related Activities-Repair and Maintenance of Road Safety Facilities JLBMPR, JASA, Gov</t>
  </si>
  <si>
    <t>PURCHASE OF MATERIALS FOR THE MAINTENANCE OF VARIOUS HEAVY EQUIPMENTS</t>
  </si>
  <si>
    <t>PROCUREMENT OF LAPTOP FOR OFFICE USE</t>
  </si>
  <si>
    <t>REHABILITATION OF ROADS AND BRIDGES</t>
  </si>
  <si>
    <t>PURCHASE OF SERVER FOR IT DIVISION OFFICE USE</t>
  </si>
  <si>
    <t>20NG0098 - REPAIR/MAINTENANCE OF DILG BUILDING PNP – BARRACKS BUILDING / BRGY. TAFT, BORROMEO STREET, SURIGAO DEL NORTE</t>
  </si>
  <si>
    <t>Purchase of  materials for the repainting of Firefighting Equipment</t>
  </si>
  <si>
    <t>PURCHASE OF CONSTRUCTION MATERIALS FOR THE COMPLETION OF MAMBATANGAN ELEMENTARY SCHOOL 2 CLASSROOMS</t>
  </si>
  <si>
    <t>PURCHASE OF SPARE PARTS FOR SLAUGHTER HOUSE MOTOR VEHICLE  (2ND BID OPENING)</t>
  </si>
  <si>
    <t>Supply and Delivery of Computer Desktop Monitor</t>
  </si>
  <si>
    <t>Construction of MPP at Lower Collog, Junction, Pinukpuk</t>
  </si>
  <si>
    <t>(PR No. 20-06-05A-0036) Supply and Delivery of 9,620 Sets of 13mmØ Mechanical Water Meters</t>
  </si>
  <si>
    <t>REBIDDING OF LOT 1: SUPPLY AND DELIVERY OF VARIOUS MEDICAL SURGICAL DEVICES</t>
  </si>
  <si>
    <t>Package 1: Various Drainage Facility, Junction, Pinukpuk</t>
  </si>
  <si>
    <t>PROCUREMENT AND DELIVERY OF PAINTING, ELECTRICAL, CARPENTRY &amp; PLUMBING SUPPLIES</t>
  </si>
  <si>
    <t>PROCUREMENT OF IT EQUIPMENTS AND ACCESSORIES</t>
  </si>
  <si>
    <t>REBIDDING OF THE SUPPLY AND DELIVERY OF VARIOUS CONSTRUCTION/MAINTENANCE SUPPLIES</t>
  </si>
  <si>
    <t>Electric Metering of Barangay Tandayag Electrical Lights</t>
  </si>
  <si>
    <t>Bid No. 20-0366 - PROCUREMENT OF MOTORCYCLE - MUNICIPAL AGRICULTURE OFFICE</t>
  </si>
  <si>
    <t>Labor and Materials for the Construction of New Municipal Disaster Risk Reduction and Management Office Headquarters (Phase II)</t>
  </si>
  <si>
    <t>Package 2: Various Concrete Pathway, Apatan, Pinukpuk</t>
  </si>
  <si>
    <t>Supply and Delivery of Various ICT Equipment</t>
  </si>
  <si>
    <t>Procurement of HIV Supplies - Rebidding</t>
  </si>
  <si>
    <t>Procurement of Qualitative Fit Test Kit for N95- Rebidding</t>
  </si>
  <si>
    <t>CONCRETING OF BANGKURO FARM TO MARKET ROAD @ SITIO BANGKURO, BRGY. LAKDAYAN</t>
  </si>
  <si>
    <t>SUPPLY AND DELIVERY OF SPAREPARTS FOR THE REPAIR AND MAINTENANCE OF HEAVY EQUIPMENT/MOTOR VEHICLE</t>
  </si>
  <si>
    <t>REHAB OF DCC COMFORT ROOM, CODDOG, ALLAGUIA</t>
  </si>
  <si>
    <t>Rehab of FMR, Coddog- Tanggawan, Allaguia, Pinukpuk</t>
  </si>
  <si>
    <t>Tarpaulin etc. (05-0536) PNP</t>
  </si>
  <si>
    <t>Procurement of Medical Supplies Lot 1- Rebidding</t>
  </si>
  <si>
    <t>Supply &amp; Delivery of Office Equipment Supplies and Consumables</t>
  </si>
  <si>
    <t>Proposed Construction of open canal (Installation RCP 24”Ø (32pcs) / Open Canal Equiv. 24” RCP (L-208 mtrs.)) at Sinsuat Street (from Petron – Perez St. Section), Brgy. Poblacion, Kidapawan City</t>
  </si>
  <si>
    <t>Proposed Road Concreting (Phase I)(2 lanes(L-68mtrs., W-6.10mtrs.)) at Rizal Street, Brgy. Poblacion, Kidapawan City</t>
  </si>
  <si>
    <t>Proposed Improvement of Tennis Court (Infra Support Program) at Brgy. Sudapin, Kidapawan City</t>
  </si>
  <si>
    <t>Rehabilitation of Streetlight- Bagong Tubig, San Luis, Batangas</t>
  </si>
  <si>
    <t>Proposed Construction of Establishment Mini Rice Mill/DA Village Type Rice Mill (Proposed Extension of Village Type Rice Mill) at Purok 6B, Brgy. Binoligan, Kidapawan City</t>
  </si>
  <si>
    <t>CONSTRUCTION OF SANITARY LANDFILL PERIMETER FENCE, Brgy. Talavera, Tagana-an, Surigao del Norte</t>
  </si>
  <si>
    <t>PURCHASE OF CERTIFIED SEEDS (PALAY SEEDS)-Agriculture Office</t>
  </si>
  <si>
    <t>PROCUREMENT OF 1ST AND 2ND QUARTER NON-COMMON CONSOLIDATED OF OFFICE SUPPLIES MATERIALS AND EQUIPMENTS FOR CY-2020</t>
  </si>
  <si>
    <t>PR 221-20-06-0710, CONSTRUCTION OF COVERED COURT WITH STAGE AND BLEACHERS AT SIPAWAY NATIONALHIGH SCHOOL, BRGY SAN JUAN, SAN CARLOS CITY.</t>
  </si>
  <si>
    <t>G-2020-22: SUPPLY AND DELIVERY OF ONE HUNDRED TEN (110) SETS OF BRAND-NEW CHECK SCANNER WITH SCANNING LICENSE FOR THE DEVELOPMENT BANK OF THE PHILIPPINES</t>
  </si>
  <si>
    <t>Invitation to Bid for  PURCHASED OF FILLING MATERIALS FOR STA. FE-SENIOR HIGH SCHOOL, POBLACION, STA. FE, LEYTE (CW-2020-04)</t>
  </si>
  <si>
    <t>PURCHASE AND DELIVERY OF 4 WHEELER TRUCK DROPSIDE WITH FULL CANOPY</t>
  </si>
  <si>
    <t>One Package Construction of Barangay Health Station @ Brgys. Igcado &amp; Nasuli-A (package 1)</t>
  </si>
  <si>
    <t>1.2mm thkx2"x4" C-Purlins 6m etc. (06-0657) CEO</t>
  </si>
  <si>
    <t>PURCHASE OF TABLET FOR CBMS (2ND BID OPENING)</t>
  </si>
  <si>
    <t>Rehabilitation/Improvement of Barangay Hall Barangay Del Pilar, Dinalupihan, Bataan</t>
  </si>
  <si>
    <t>PROCUREMENT OF ONE  (1)UNIT MINI DUMP TRUCK</t>
  </si>
  <si>
    <t>Construction of Drainage Along 19th St., Nazareth; SN 163 - 2020</t>
  </si>
  <si>
    <t>Construction of Brgy. 15 Session Hall &amp; Day Care (Burgos St.); SN 165 - 2020</t>
  </si>
  <si>
    <t>SUPPLY AND DELIVERY OF 3RD QUARTER MEDICINES AND MEDICAL SUPPLIES</t>
  </si>
  <si>
    <t>PR 221-20-06-0723, CONSTRUCTION OF CONST. OF AVR-ICT ROOM AT DON CARLOS NATIONAL HIGH SCHOOL, BRGY BULUANGAN, SAN CARLOS CITY.</t>
  </si>
  <si>
    <t>SUPPLY OF METER READING DEVICE AND MOBILE THERMAL PRINTER</t>
  </si>
  <si>
    <t>Construction of Drainage along 4th St. to 21st St. (Nazareth); SN 164 - 2020</t>
  </si>
  <si>
    <t>Supply &amp; Delivery of Spare Parts for Garbage Truck Repair and Maintenance</t>
  </si>
  <si>
    <t>PURCHASE OF MATERIALS FOR OVERLAYING OF PATHWAYS, INSTALLATION OF DRAINAGE, NICHES CONSTRUCTION FOR RECOVERED BONES-Bacoor Cemetery Office</t>
  </si>
  <si>
    <t>PURCHASE OF FERTILIZER FOR INCREASE IN FOOD PRODUCTION OF FARMERS-Agriculture Office</t>
  </si>
  <si>
    <t>One Package Construction of Barangay Health Stations @ Brgys Nagsubuan and Atabay (Package 3)</t>
  </si>
  <si>
    <t>Supply and delivery of electrical materials for the Proposed Line Rehab 1 Phase to 3 Phase (Rice Processing Center) at Brgy. San Isidro, Kidapawan City.</t>
  </si>
  <si>
    <t>Supply and Delivery of Airconditioning Units, Parts and Accessories Including Labor for Installation (PR No. 20-07-0268)</t>
  </si>
  <si>
    <t>Supply and Delivery of One (1) Unit Cargo Truck; PR No. 20-1650 dated 14 May 2020; SN 175 - 2020</t>
  </si>
  <si>
    <t>Purchase of Handheld Radio</t>
  </si>
  <si>
    <t>Supply and Delivery of Various Equipment (20-07-0270)</t>
  </si>
  <si>
    <t>One Package Construction of Barangay Health Stations @ Brgys Quezon, Villaflor, and Igbangcal C (Package#6)</t>
  </si>
  <si>
    <t>Purchase of One (1) Unit Brand-new Hydraulic Excavator (Backhoe)</t>
  </si>
  <si>
    <t>Supply and Delivery of Eye Level Physician Scale (PR No. 20-07-0283)</t>
  </si>
  <si>
    <t>One Package Construction of Barangay Health Stations @ Brgys Sto. Tomas and Ballescas (Package#4)</t>
  </si>
  <si>
    <t>Supply and Delivery of Office Equipment (PR No. 20-07-0266)</t>
  </si>
  <si>
    <t>Supply and Delivery of Office Equipment (PR No. 20-07-0279)</t>
  </si>
  <si>
    <t>CRCF : INSTALLATION OF COMBAT WIRES AT CENTERS AND INSTITUTIONS</t>
  </si>
  <si>
    <t>Supply of Media Services (PR No. 20-01-0016)</t>
  </si>
  <si>
    <t>One Package Construction of Barangay Health Station @ Brgys. Igtugas and Igcabuad (package 2)</t>
  </si>
  <si>
    <t>One Package Construction of Barangay Health Stations @ Brgys Igbalogo and Igcalawagan (Package#5)</t>
  </si>
  <si>
    <t>PR 221-20-06-0766, CONSTRUCTION OF CONST. OF AVR-ICT ROOM AT BAGONBON NATIONAL HIGH SCHOOL, BRGY BAGONBON, SAN CARLOS CITY.</t>
  </si>
  <si>
    <t>Invitation to Bid for  CONSTRUCTION OF DRAINAGE SYSTEM AT STA. FE CENTRAL SCHOOL, STA. FE, LEYTE (CW-2020-05)</t>
  </si>
  <si>
    <t>Acetylene Standard contents etc.(07-0782) Operation of Public Motorpool</t>
  </si>
  <si>
    <t>Supply of fuel for the use of the RP Vehicles of the City Treasurer’s Office, Kidapawan City.</t>
  </si>
  <si>
    <t>PROCUREMENT OF OFFICE EQUIPMENTS AND ACCESSORIES</t>
  </si>
  <si>
    <t>Supply and Delivery of Medical Ambulance/Transport (PR No. 20-07-0275)</t>
  </si>
  <si>
    <t>Improvement of Manpower Development Center (Public Market) Brgy. Centro Poblacion, Culasi, Antique</t>
  </si>
  <si>
    <t>Printing of stickers(No Smoking) for the use City Health Office, Kidapawan City.</t>
  </si>
  <si>
    <t>Supply and Delivery of Motor Oil and Supplies (PR No. 20-06-0237)</t>
  </si>
  <si>
    <t>RFQ 2020-01-0076-MATERIALS FOR REPAIR OF 2 COMFORT ROOMS FOR GRADUATE SCHOOL FACULTY</t>
  </si>
  <si>
    <t>Improvement of Roofing at Vigan Public Market Bagsakan Section-Module 4 at Alcantara Street, Barangay VIII, Vigan City</t>
  </si>
  <si>
    <t>Construction/Rehabilitation/Repair/Widening of Roads at Brgy. Guzman Jesena (JEMS Subdivision), Mandurriao, Iloilo City (Bid No. 20-160)</t>
  </si>
  <si>
    <t>Construction of BHS NHA Esperanza with Amenities, Brgy. Esperanza, Culasi, Antique</t>
  </si>
  <si>
    <t>Supply and delivery of office supplies for the printing and reproduction of self-learning modules of the Kidapawan City Division</t>
  </si>
  <si>
    <t>Construction/Rehabilitation of Existing Drainage System at Brgy. Sto. Niño Norte, Arevalo, Iloilo City (Bid No. 20-165)</t>
  </si>
  <si>
    <t>Supply and delivery of grocery items and perishable goods for the Pangkabuhayan Starter Kits Beneficiaries of the City Government of Kidapawan</t>
  </si>
  <si>
    <t>Construction/Rehabilitation/Improvement of Multi-Purpose Hall at Brgy. M.H. del Pilar, (Don Francisco Village), Jaro, Iloilo City (Bid No. 20-164)</t>
  </si>
  <si>
    <t>Construction Project for PEO-2020-1108-1109</t>
  </si>
  <si>
    <t>Construction/Rehabilitation/Repair/Widening of Roads at Brgy. PHHC Blk. 17, Mandurriao, Iloilo City (Bid No. 20-163)</t>
  </si>
  <si>
    <t>Risographing of forms for the use of the CDRRMO, Kidapawan City.</t>
  </si>
  <si>
    <t>Purchase of Various Furnitures and Fixtures</t>
  </si>
  <si>
    <t>Purchase of Instructional Reading Materials for Kindergarten Learners</t>
  </si>
  <si>
    <t>Supply &amp; Delivery of Office Supplies for Various Department of the Municipality of Rosario, Cavite</t>
  </si>
  <si>
    <t>Supply and delivery of office supplies for the use of the City Treasurer’s Office, Kidapawan City.</t>
  </si>
  <si>
    <t>IT Equipment for GOV-2020-0411</t>
  </si>
  <si>
    <t>Public Bidding of 3 Lots for the Supply and Delivery of Office Supplies, Computer Inks &amp; Cartridges and Janitorial Supplies for the use of Various Offices in the Roxas City Government (3rd Batch) unde</t>
  </si>
  <si>
    <t>Installation of Solar Streetlights</t>
  </si>
  <si>
    <t>Procurement of BHS Package - Rebidding</t>
  </si>
  <si>
    <t>Construction of Flood Control/Slope Protection (Revetment) Brgy. Batonan Sur, Culasi, Antique</t>
  </si>
  <si>
    <t>Proposed Improvement of City Agriculturist Office at City Hall, Brgy. Poblacion, Kidapawan City</t>
  </si>
  <si>
    <t>Supply &amp; Delivery of Equipment for the Management of Emerging Infectious Diseases in the Municipality of Rosario</t>
  </si>
  <si>
    <t>PBD 20-091 Small Components, Workstation and Accessories</t>
  </si>
  <si>
    <t>Supply &amp; Delivery of Various School Supplies for Daycare Pupils of the Municipality of Rosario, Cavite</t>
  </si>
  <si>
    <t>Supply &amp; Delivery of Various Supplies for Various Department of the Municipality of Rosario, Cavite</t>
  </si>
  <si>
    <t>PROCUREMENT OF MULTI-PURPOSE SHREDDER</t>
  </si>
  <si>
    <t>Procurement of Microscope Binocular- Rebidding</t>
  </si>
  <si>
    <t>Procurement of Fetal Doppler- Rebidding</t>
  </si>
  <si>
    <t>Supply, Delivery &amp; Installation of Refrigerant Pipe Run for the New Municipal Building of Rosario, Cavite</t>
  </si>
  <si>
    <t>Supply of fuels for the proposed road rehabilitation/crowning and compaction of various barangay roads of different barangays (Perez, Poblacion, San Isidro, San Roque,  Sibawan) all of Kidapawan City</t>
  </si>
  <si>
    <t>PROCUREMENT OF EQUIPMENT, FOR USE ENGINEERING OFFICE</t>
  </si>
  <si>
    <t>Supply of fuels for the proposed road rehabilitation/crowning and compaction of various barangay roads of different barangays (Sikitan, Singao, Sto.Niño, Sudapin, Sumbac) all of Kidapawan City</t>
  </si>
  <si>
    <t>Medical Equipment for HOD-2020-0565</t>
  </si>
  <si>
    <t>Supply and delivery of Order of Payment and Certificate of Clearance Forms for official use in the issuance of clearance for CFV</t>
  </si>
  <si>
    <t>Rehaitation of Malasin water works system at poblacion, Tinglayan Kalinga</t>
  </si>
  <si>
    <t>Supply and delivery of construction materials for the Proposed Temporary Facility of the City Health Office, Kidapawan City.</t>
  </si>
  <si>
    <t>Construction/Rehabilitation/Repair/Widening of Roads (with Drainage) at Brgy. Taal, Molo, Iloilo City (Bid No. 20-166)</t>
  </si>
  <si>
    <t>Construction of Danao CIP</t>
  </si>
  <si>
    <t>Supply and delivery of Scanner Roller Kit for official use of NSAP</t>
  </si>
  <si>
    <t>SUPPLY AND DELIVERY OF 60 UNITS 12V,18AH BATTERY WITH INSTALLATION AND DELIVERY CHARGE FOR LBP GENSAN PIONEER BRANCH</t>
  </si>
  <si>
    <t>Supply and delivery of various materials for webinar and teleconference setup</t>
  </si>
  <si>
    <t>Supply of 4 episodes of 30-minute radio blocktime program for School-on-Air</t>
  </si>
  <si>
    <t>Supply and delivery of various water connection materials for use on hatchery operation of TOS Brackishwater</t>
  </si>
  <si>
    <t>Procurement of Reagent Refrigerator for Pharmaceutical Use- Rebidding</t>
  </si>
  <si>
    <t>Procurement of Medical Instrument Package- Rebidding</t>
  </si>
  <si>
    <t>Supply and Delivery of Various Furniture for CCJ</t>
  </si>
  <si>
    <t>HIRING OF LIFESTYLE PHOTOGRAPHER FOR THE MANILA FAME DIGITAL CATALOG</t>
  </si>
  <si>
    <t>Procurement of Special Equipment Package 4- Rebidding</t>
  </si>
  <si>
    <t>HIRING OF DROPOUT STUDIO PHOTOGRAPHER FOR THE MANILA FAME DIGITAL CATALOG (ZONE 2) COVERAGE</t>
  </si>
  <si>
    <t>CONCRETING OF POBLACION ROAD @ BRGY. MALIGAYA</t>
  </si>
  <si>
    <t>Procurement of Physical Therapy Equipment Set- Rebidding</t>
  </si>
  <si>
    <t>PR-2020-06-132 Campus Road Improvement Project</t>
  </si>
  <si>
    <t>CONCRETING OF LOCAL ACCESS ROAD UPGRADING</t>
  </si>
  <si>
    <t>Fabrication of 1 pair Movable Basketball Board with Ring &amp; Net at Brgy. Bolaney, Alaminos City, Pangasinan</t>
  </si>
  <si>
    <t>Construction of Igcabidio CIP</t>
  </si>
  <si>
    <t>PBD 20-090 MASCOT Software</t>
  </si>
  <si>
    <t>20NF0080:CONCRETING OF BRGY. CANCOHOY FMR, BRGY. CANCOHOY, DEL CARMEN, SURIGAO DEL NORTE</t>
  </si>
  <si>
    <t>FOOTBRIDGE REHABILITATION /IMPROVEMENT</t>
  </si>
  <si>
    <t>PURCHASE OF OFFICE SUPPLIES, MSWDO, CAJIDIOCAN, ROMBLON</t>
  </si>
  <si>
    <t>PURCHASE OF MOBILE PHONES, SB OFFICE, CAJIDIOCAN, ROMBLON</t>
  </si>
  <si>
    <t>CONSTRUCTION OF LINE CANAL</t>
  </si>
  <si>
    <t>PURCHASE OF FISHING EQUIPMENT, MAO, CAJIDIOCAN, ROMBLON</t>
  </si>
  <si>
    <t>PURCHASE OF IT EQUIPMENT AND FURNITURE, MTO, CAJIDIOCAN, ROMBLON</t>
  </si>
  <si>
    <t>Construction of Public Market</t>
  </si>
  <si>
    <t>PURCHASED AND DELIVERY OF GOODS - IT EQUIPMENT (BAC)</t>
  </si>
  <si>
    <t>PROPOSED CONSTRUCTION OF HALFWAY HOUSE</t>
  </si>
  <si>
    <t>REHABILITATION/IMPROVEMENT OF  BASKETBALL COURT ZONE 6 OF BRGY. CATANUSAN</t>
  </si>
  <si>
    <t>PROCUREMENT OF IT EQUIPMENT - COMPUTER TABLET</t>
  </si>
  <si>
    <t>PROCUREMENT OF SUPPLIES FOR PRINTING OF MODULES FOR ELEMENTARY STUDENTS</t>
  </si>
  <si>
    <t>20NF-GOODS-01: DELIVERY AND INSTALLATION OF DPWH OFFICE CUBICLE STAND @ PLANNING AND DESIGN SECTION</t>
  </si>
  <si>
    <t>Supply and delivery of Lubricants and additives for the use of the RP Vehicles of the CDRRMO, Kidapawan City</t>
  </si>
  <si>
    <t>19GL00119; P.R. No. 2020-03-042 DATED 03/19/2020: PROCUREMENT OF ONE (1) LOT OF VARIOUS FURNITURE, FOR USE IN THE OPERATION OF THE DPWH R.O. XI (NEW BUILDING), UNDER THE PLANNING AND DESIGN, CONSTRUCT</t>
  </si>
  <si>
    <t>PURCHASE  MATERIALS FOR THE CONSTRUCTION OF MULTI-PURPOSE CENTER</t>
  </si>
  <si>
    <t>Supply and Delivery of A3/A4Printer, IT Equipment with accessories and Xerox Machine for the use of Finance Section and Office of the District Engineer, BFDEO</t>
  </si>
  <si>
    <t>Labor and Materials for the Improvement/Rehabilitation of the City Transfer, Lara, City of San Fernando, Pampanga</t>
  </si>
  <si>
    <t>PROCUREMENT OF IT EQUIPMENT - LAPTOP</t>
  </si>
  <si>
    <t>Various Infrastructure Projects</t>
  </si>
  <si>
    <t>PURCHASE OF BOND PAPERS FOR PRODUCTION OF MODULES</t>
  </si>
  <si>
    <t>FOR LABOR AND MATERIALS FOR TEMPORARY OPERATOR'S PERMIT (TOP) FOR THE USE OF TRAFFIC 		 MANAGEMENT DIVISION OF THE CITY/CMO</t>
  </si>
  <si>
    <t>INVITATION TO BID FOR PURCHASE OF CONCRETING MATERIALS OF ROAD TO EVACUATION CENTER</t>
  </si>
  <si>
    <t>DRUGS AND MEDICINES-RTH-20-0213-B</t>
  </si>
  <si>
    <t>Installation of a functional hall way paging system for the utilization of SDO to minimize face to face contact with peers and teamates</t>
  </si>
  <si>
    <t>PROCUREMENT OF CONSTRUCTION MATERIALS FOR THE REPAIR AND MAINTENANCE OF DIFFERENT SCHOOLS</t>
  </si>
  <si>
    <t>PURCHASE OF NUTRITION PRODUCTS (ADULT MILK AND INSTANT OATMEAL), MDRRMO, CAJIDIOCAN, ROMBLON</t>
  </si>
  <si>
    <t>Purchase of various office supplies</t>
  </si>
  <si>
    <t>Labor and Materials for the Construction of City Materials Recovery Facility (office) for the Improvement of the City Transfer Station at Barangay Lara, City of San Fernando, Pampanga</t>
  </si>
  <si>
    <t>Rehabilitation of ILU' CIS</t>
  </si>
  <si>
    <t>Procurement of Laptop for Use in the MDRRMO</t>
  </si>
  <si>
    <t>Improvement of Drainage Canal  -  Patac</t>
  </si>
  <si>
    <t>CONCRETING OF BASKETBALL COURT ZONE 2 OF BRGY. CATANUSAN</t>
  </si>
  <si>
    <t>Reproduction of R.A 9165</t>
  </si>
  <si>
    <t>repair of water system  (solar water / water pump)</t>
  </si>
  <si>
    <t>INVITATION TO BID FOR PURCHASE OF CONCRETING MATERIALS OF ACCESS ROAD TO ELEMENTARY SCHOOL</t>
  </si>
  <si>
    <t>ROAD WIDENING/SHOULDERING OF BRGY. SAN FELIPE-SANTIAGO</t>
  </si>
  <si>
    <t>Set-up and Installation of Internet Connection</t>
  </si>
  <si>
    <t>Purchase of One (1) Unit Forward Six Wheeler Truck Self-Loading with Boom (Second Hand)</t>
  </si>
  <si>
    <t>IMPROVEMENT OF HEALTH STATION IN BARANGAY GUINTARCAN, VILLAREAL, SAMAR</t>
  </si>
  <si>
    <t>Purchase of Personal Protective Equipments and Supplies, Bacnotan, La Union</t>
  </si>
  <si>
    <t>Rehabilitation of Multi Purpose Building</t>
  </si>
  <si>
    <t>Rehab. of Cultural &amp; Sports Development Complex (Phase 3) Materials Only</t>
  </si>
  <si>
    <t>PURCHASE OF OFFICE SUPPLIES, BFP-DILG, CAJIDIOCAN, ROMBLON</t>
  </si>
  <si>
    <t>CONSTRUCTION OF RETAINING WALLS and DRAINAGE SYSTEM-Tangkeng Tihaya, Brgy. Ayusan II</t>
  </si>
  <si>
    <t>Motorcycle with sidecar for garbage collection</t>
  </si>
  <si>
    <t>improvement of multi-purpose building</t>
  </si>
  <si>
    <t>DRUGS AND MEDICINES-RTH-20-0370-B</t>
  </si>
  <si>
    <t>Supply and Delivery of Office Equipment (1unit Drone, 3unit Handheld GPS, 10unit External Hard Drive 2TB, 10unit Laptop i7, 2unit Desktop Computer &amp; 2unit Printer A3) for Bukidnon IMO</t>
  </si>
  <si>
    <t>Supply and Delivery of Materials for Gill Net Set-2nd Bid</t>
  </si>
  <si>
    <t>Procurement of Hardware and Construction Materials</t>
  </si>
  <si>
    <t>Construction of Deep well</t>
  </si>
  <si>
    <t>Re-bid for Contract Labor and Materials for the Expansion of Potable Water System Level III at Brgy. El Katipunan, Laak, Davao De Oro</t>
  </si>
  <si>
    <t>PURCHASE OF ORGANIC FERTILIZER FOR RICE AND VEGETABLE PRODUCTION</t>
  </si>
  <si>
    <t>Construction of 37 meters concrete perimeter fence</t>
  </si>
  <si>
    <t>Purchase of Food Stuff and Other Materials for Maintenance of Control Point</t>
  </si>
  <si>
    <t>Procurement of medicines of the municipality</t>
  </si>
  <si>
    <t>Desilting Works at Main Canal extension, Sta 20+745- Sta 21+045 - East Apayao Abulug Irrigation System, Allacapan, Cagayan</t>
  </si>
  <si>
    <t>GARDEN SUPPLIES</t>
  </si>
  <si>
    <t>Proposed Installation of Steel Grille Door and Windows at Barangay Hall, Barangay San Rafael, Luisiana, Laguna.</t>
  </si>
  <si>
    <t>RFQ - Printing of Learning Resources</t>
  </si>
  <si>
    <t>REHABILITATION/IMPROVEMENT OF  BASKETBALL COURT ZONE 2 OF BRGY. CATANUSAN</t>
  </si>
  <si>
    <t>FOR FISCAL OFFICE USE</t>
  </si>
  <si>
    <t>Procurement of 1 Unit Water Finder/Resistivity under P.R No. 2314-2020 -CMO -Provision for Technical and Scientific Equipment (Continuing)</t>
  </si>
  <si>
    <t>Bid No. 20-0367 - PROCUREMENT OF OFFICE SUPPLIES - BIR OPERATIONS</t>
  </si>
  <si>
    <t>LALAWI- AMENGAW CIS REHAB</t>
  </si>
  <si>
    <t>Construction of 24 meters concrete perimeter fence</t>
  </si>
  <si>
    <t>Construction of Barangay Hand Washing Counter for Covid-19</t>
  </si>
  <si>
    <t>Supply and Delivery of One Unit Brand New Municipal Service Vehicle</t>
  </si>
  <si>
    <t>Construction/Rehabilitation of Existing Drainage System at Brgy. Concepcion, City Proper, Iloilo City (Bid No. 20-167)</t>
  </si>
  <si>
    <t>OFFICE SUPPLIES-ACC-20-0897-B</t>
  </si>
  <si>
    <t>PURCHASE OF CONSTRUCTION MATERIALS AND SUPPLIES FOR IMPROVEMENT OF STAGE FOR INGHOY NATIONAL HIGH SCHOOL</t>
  </si>
  <si>
    <t>Supply and Delivery of Construction Materials - ITB 046B-2020 GQ</t>
  </si>
  <si>
    <t>FOR THE USE OF THE CASH DIVISION CITY TREASURER'S OFFICE</t>
  </si>
  <si>
    <t>Purchase of IT Supplies for the 2020 General Revision of Real Property Assessment and Classification</t>
  </si>
  <si>
    <t>Purchase of tarpaulin printer and accessories to be used in this municipality</t>
  </si>
  <si>
    <t>Supply and Delivery of Construction Materials - ITB 047B-2020 GQ</t>
  </si>
  <si>
    <t>Supply and Delivery of Construction Materials - ITB 048B-2020 GQ</t>
  </si>
  <si>
    <t>50 SACKS RICE-3RD QUARTER 2020</t>
  </si>
  <si>
    <t>MUNICIPAL STREETS CONCRETING PADAO MORO STREETS</t>
  </si>
  <si>
    <t>SUPPLY AND DELIVERY OF MATERIALS TO BE USED IN CONCRETING OF BARANGAY ROAD, SITIO HULO, BARANGAY ADRIALUNA</t>
  </si>
  <si>
    <t>CONSTRUCTION OF DRAINAGE CANALS IN PRK. 12 BRGY. SAN MIGUEL, T.C.</t>
  </si>
  <si>
    <t>Grammarly Premium Subscription</t>
  </si>
  <si>
    <t>Procurement of Additional Regular Drugs and Medicines Supplies of MHO - Laak, Davao De ORo</t>
  </si>
  <si>
    <t>Construction/Rehabilitation/Improvement of Multi-Purpose Hall at Brgy. Pali-Benedicto, Mandurriao, Iloilo City (Bid No. 20-168)</t>
  </si>
  <si>
    <t>SUPPLY, DELIVERY AND COMMISSIONING OF ONE (1) LOT SOLID WASTE MACHINERIES</t>
  </si>
  <si>
    <t>TO BE USED IN TOURISM AFFAIRS OFFICE</t>
  </si>
  <si>
    <t>Concreting of San luis-amado boundary road</t>
  </si>
  <si>
    <t>1 unit floor polisher etc ..</t>
  </si>
  <si>
    <t>Supply and Delivery of Office Equipment  - ITB 050B-2020  GQ</t>
  </si>
  <si>
    <t>Procurement of Various Materials and Equipment for the Sound System of Laak National HIgh School, Kapatagan National High School and Kaligutan Elementary School - Laak, Davao De Oro</t>
  </si>
  <si>
    <t>TES Construction Supplies and Materials</t>
  </si>
  <si>
    <t>MUNICIPAL STREETS CONCRETING LACUAREN STREETS</t>
  </si>
  <si>
    <t>Rehabilitation/ Improvement of FMR</t>
  </si>
  <si>
    <t>UPGRADING AND IMPROVEMENT OF SITIO DOPONGAN ROAD</t>
  </si>
  <si>
    <t>Supply and Delivery of Medical Supplies - ITB 051B-2020 GQ</t>
  </si>
  <si>
    <t>For the Rehabilitation 10 hectare of Open Area within Bukidnon Tagoloan Tribe.</t>
  </si>
  <si>
    <t>Furnishing labor, materials and  rental of equipment for the Improvement of Governor’s Office/Right Wing, Santol, Boac, Marinduque</t>
  </si>
  <si>
    <t>Purchase of fuel for the maintenance of LGU vehicle &amp; Heavy equipment</t>
  </si>
  <si>
    <t>Supply &amp; delivery of Item 200 for the rehab/gravelling of Brgy. Kitabog Farm to Market Road</t>
  </si>
  <si>
    <t>Procurement of Medical Supplies for Cortes Municipal Hospital Pharmacy (4th Quarter).</t>
  </si>
  <si>
    <t>EMISSION TEST OF 2 x 500kW AND 1 x 1500kW GENSETS AT DINAGAT DPP AS PER REQUIREMENT OF DENR - EMB</t>
  </si>
  <si>
    <t>PURCHASE OF MATERIALS FOR PROPOSED INSTALLATION OF TWO PIPELINE JUNCTION AND SIMA REFLOATATION</t>
  </si>
  <si>
    <t>4 unit rim with tire, brand new etc..</t>
  </si>
  <si>
    <t>Supply and Delivery of Construction Materials - ITB 049B-2020 GQ</t>
  </si>
  <si>
    <t>REHABILITATION OF STREETLIGHT IN BRGY. SAN MIGUEL, TAGUM CITY</t>
  </si>
  <si>
    <t>QRF-URSULA20-07-16-0015 Supply and Delivery of Planting Materials.</t>
  </si>
  <si>
    <t>Bid No. 20-0380 - PROCUREMENT OF OFFICE EQUIPMENT - MEO &amp; MOTORPOOL OPERATIONS</t>
  </si>
  <si>
    <t>I.T. EQUIPMENT AND SOFTWARE-ACC-20-0918-B</t>
  </si>
  <si>
    <t>Laboratory Supplies</t>
  </si>
  <si>
    <t>PURCHASE AND DELIVERY OF DRUGS AND MEDICINES FOR RURAL HEALTH UNIT</t>
  </si>
  <si>
    <t>T-PIECE</t>
  </si>
  <si>
    <t>Demolition of old Slaughterhouse,old warehouse,old water tank</t>
  </si>
  <si>
    <t>REPAIR OF MULTI PURPOSE HALL AT BARANGAY #62-B, CAVITE CITY</t>
  </si>
  <si>
    <t>PROPOSED CONSTRUCTION OF WATER TANK-BARANGAY MAIKAY</t>
  </si>
  <si>
    <t>Purchase of Standard Q Covid 19 Ag Test</t>
  </si>
  <si>
    <t>Development of Eco Park at Civoleg, Brgy. Lunotan (Back Fencing) under Contract Ref. No. 2020-INFRA-059</t>
  </si>
  <si>
    <t>DELIVERY OF VARIOUS SUPPLIES FOR USE IN DISASTER PREPAREDNESS PROGRAMS FOR CY 2020 IN THE PDRRMO</t>
  </si>
  <si>
    <t>Construction of 1 Unit 2 Classrooms at Sitio Salvacion, Barangay Manila De Bugabos, Butuan City</t>
  </si>
  <si>
    <t>PURCHASE OF 9 UNITS MOUNTAIN BIKES</t>
  </si>
  <si>
    <t>Bid No. 20-0381 - PROCUREMENT OF OFFICE EQUIPMENT - MEO OPERATIONS</t>
  </si>
  <si>
    <t>Procurement of Office Chairs</t>
  </si>
  <si>
    <t>VMDS20-07-28-0077 Provide catering services during the Enterprise Assessment in Mahaplag, Leyte on September 22-23, 2020; in Tabon-tabon, Leyte on September 29-30, 2020.</t>
  </si>
  <si>
    <t>INVITATION TO BID FOR THE SUPPLY AND DELIVERY OF TRIMOBILE FOR THE OFFICE OF THE SANGGUNIANG BAYA, STA. CRUZ, ZAMBALES</t>
  </si>
  <si>
    <t>REHABILITATION OF LOCAL ROADS IN PRK.2,2-A,3 EAST,5,7,8,11-A AND13-A, SAN MIGUEL,TAGUM CITY</t>
  </si>
  <si>
    <t>Concreting of Alban Street,Cabatacan Pudtol,Apayao</t>
  </si>
  <si>
    <t>COMPLETION OF SCHOOL BUILDING (Lusacan NHS, Brgy. Lusacan)</t>
  </si>
  <si>
    <t>Supply and Delivery of Construction Materials and Supplies for Additional Fabrication of Emergency Quarantine Facility (6 units)</t>
  </si>
  <si>
    <t>Installation of Solar streetlights</t>
  </si>
  <si>
    <t>Furnishing labor, materials and  rental of equipment for the Improvement of Governor’s Office/Left Wing, Santol, Boac, Marinduque</t>
  </si>
  <si>
    <t>Procurement of Supplies and Materials for the repair and maintenance of AVR of the Technopreneurship at DOST GIA TBI 4.0 KITE Program</t>
  </si>
  <si>
    <t>ITB, Santiago Sur, infra 02</t>
  </si>
  <si>
    <t>ADULT PAD PACK &amp; PEDRIATIC PAD PACK</t>
  </si>
  <si>
    <t>Purchase of Materials for Road Concreting, Sitio Sampaguita, Okoy, Santa Fe, Cebu - Municipal</t>
  </si>
  <si>
    <t>CONSTRUCTION OF CONCRETE PATHWAY (L=70m, W=1m, H=0.1016m)</t>
  </si>
  <si>
    <t>Concreting/Construction/Widening of Climate Change Resilient road at Barangay Bucal, Lemery, Batangas</t>
  </si>
  <si>
    <t>ITB, San Sarlos 02</t>
  </si>
  <si>
    <t>10 units Aircon System</t>
  </si>
  <si>
    <t>Purchase of 1 unit All-in One Desktop computer for Municipal Vice Mayor’s Office</t>
  </si>
  <si>
    <t>SUPPLY AND DELIVERY OF 500 REAMS BOND PAPER FOR DONATION TO PUBLIC ELEMENTARY SCHOOLS AND NATIONAL HIGH SCHOOLS, MAYOR'S OFFICE, LGU CANDELARIA, QUEZON</t>
  </si>
  <si>
    <t>RFQ - PURCHASE OF RICE FOR ECO BOTTLES PROGRAM (LGU-JPCN)</t>
  </si>
  <si>
    <t>Construction of Two (2) Storey Six (6) Classroom School Building, New Bohol ES, Kidapawan City, North Cotabato</t>
  </si>
  <si>
    <t>Development of Eco Park at Civoleg (Orchidarium Phase I) under Contract Ref. No. 2020-INFRA-060</t>
  </si>
  <si>
    <t>Provision of Cloud-based, Enterprise-wide, Productivity Applications and Related Technical Support</t>
  </si>
  <si>
    <t>supply and delivery of HARDWARE MATERIALS</t>
  </si>
  <si>
    <t>Supply and Delivery of Information Technology Equipment for Engineering Office of the Municipality of Calayan, Province of Cagayan.</t>
  </si>
  <si>
    <t>Additional ICT Peripherals</t>
  </si>
  <si>
    <t>Aupply, Delivery &amp; Installation of Two (2) Units High Volume Low Speed (HVLS) Fan for ABL Memorial Hall, Poblacion, Makato, Aklan</t>
  </si>
  <si>
    <t>PURCHASED OF LAPTOP COMPUTER WITH PRINTER</t>
  </si>
  <si>
    <t>SUPPLY AND DELIVERY OF RADIO COMMUNICATION SYSTEM ACCESSORIES FOR USE IN DISASTER PREPAREDNESS PROGRAMS FOR CY 2020 IN THE PDRRMO</t>
  </si>
  <si>
    <t>SAAD20-07-27-0240 Supply and Delivery of Drugs and Biologics.</t>
  </si>
  <si>
    <t>Purchase of 1 unit All-in Laptop for  MPDO use</t>
  </si>
  <si>
    <t>CONCRETING OF PATHWAY</t>
  </si>
  <si>
    <t>Procurement of Printing and Publication of Commencement Program for the Graduation 2020</t>
  </si>
  <si>
    <t>Procurement of 1 Lot Various Drugs and Medicines</t>
  </si>
  <si>
    <t>Supply and Delivery of Computerized Notice of Billing ( G-032-0489-20 )</t>
  </si>
  <si>
    <t>Bid No. 20-0384 - PROCUREMENT OF CONSTRUCTION MATERIALS - MEO OPERATIONS (DEVELOPMENT OF CHILDREN'S PLAZA - MUNICIPAL OVAL, POBLACION, MARAGUSAN, DAVAO DE ORO)</t>
  </si>
  <si>
    <t>Furnishing labor, materials and equipment rental for the Repair of Capitol Building (Governor’s Hall) at Capitol Compound, Santol, Boac, Marinduque.</t>
  </si>
  <si>
    <t>Improvement of Basketball Court at Multi PUrpose Building, Brgy. Palamis, Alaminos City, Pangasinan</t>
  </si>
  <si>
    <t>Procurement of Hardware Supplies (Materials for Community-Based PWUDs)</t>
  </si>
  <si>
    <t>Purchase and Delivery of Cell Cards</t>
  </si>
  <si>
    <t>Supply of Office Equipment for IDO Personnel Use</t>
  </si>
  <si>
    <t>20HA0134 - REPAIR/MAINTENANCE OF DPWH MAIN BUILDING</t>
  </si>
  <si>
    <t>Repair/Improvement of Street Lights</t>
  </si>
  <si>
    <t>PURCHASE OF MEDICINE</t>
  </si>
  <si>
    <t>Concreting/Construction/Widening of Climate Change Resilient road at Barangay Masalisi, Lemery, Batangas</t>
  </si>
  <si>
    <t>Procurement of Auto Supplies</t>
  </si>
  <si>
    <t>SUPPLY AND DELIVERY OF MECHANICAL SPARE PARTS for 1.5 MW CUMMINS GENSET, MODEL QSK60-G15, ENGINE NO. 33207906</t>
  </si>
  <si>
    <t>Bid No. 20-0383 - PROCUREMENT OF CONSTRUCTION MATERIALS - MEO OPERATIONS (DEVELOPMENT OF CHILDREN'S PLAZA - MUNICIPAL OVAL, POBLACION, MARAGUSAN, DAVAO DE ORO)</t>
  </si>
  <si>
    <t>Bid No. 20-0382 - PROCUREMENT OF OFFICE EQUIPMENT - MEO OPERATIONS</t>
  </si>
  <si>
    <t>Supply and Delivery of 400 Reams Resograph ECCD Programs/CSWD Forms; PR No. 20-1606 dated June 08, 2020</t>
  </si>
  <si>
    <t>Procurement of Toilet Bowls (for Distribution to Different Barangays)</t>
  </si>
  <si>
    <t>Seed Inspectors Training</t>
  </si>
  <si>
    <t>Furnishing labor, materials and rental of equipment for the Improvement of Governors Hall &amp; Hallway, Santol, Boac, Marinduque</t>
  </si>
  <si>
    <t>PURCHASE OF MATERIALS FOR DEVELOPMENT OF WATER SYSTEM</t>
  </si>
  <si>
    <t>Purchase of Office Supplies - Mayor's Office</t>
  </si>
  <si>
    <t>1ST AND SECOND QUARTER PURCHASE OF EDUCATIONAL SUPPLIES</t>
  </si>
  <si>
    <t>Procurement of One (1) bottle Sodium Iminodiacetate dibasic</t>
  </si>
  <si>
    <t>MAINTENANCE OF ST. LIGHT</t>
  </si>
  <si>
    <t>Purchase of Food Supply</t>
  </si>
  <si>
    <t>Concreting/Construction/Widening of Climate Change Resilient road at Barangay Mataas na Bayan, Lemery, Batangas</t>
  </si>
  <si>
    <t>For use of City General Services Office personnel. (Admin., Maintenance, Warehouse and Inventory &amp; Archives Section)</t>
  </si>
  <si>
    <t>Procurement of Construction Materials and Supplies for the Construction of Perimeter Fence Around Agriculture Office</t>
  </si>
  <si>
    <t>Bid No. 20-0385 - PROCUREMENT OF CONSTRUCTION MATERIALS - MEO OPERATIONS (IMPROVEMENT OF GENERAL SERVICES OFFICE - MUNICIPAL COMPOUND, MARAGUSAN, DAVAO DE ORO</t>
  </si>
  <si>
    <t>Bid No. 20-0386 - PROCUREMENT OF CONSTRUCTION MATERIALS - MEO OPERATIONS (CONSTRUCTION OF GSO WAREHOUSE - MUNICIPAL COMPOUND, MARAGUSAN, DAVAO DE ORO)</t>
  </si>
  <si>
    <t>Supply &amp; delivery of Other Supplies for use in Livestock Program with an ABC of P59,250.00 &amp; PR #DA3-2020-7-20-196</t>
  </si>
  <si>
    <t>Supply &amp; Delivery of Animals ABC:120,000.00</t>
  </si>
  <si>
    <t>Acquisition For Office Use</t>
  </si>
  <si>
    <t>SUPPLY AND DELIVERY OF MATERIALS TO BE USED FOR OFFICE RELATED WORKS AND ACTIVITIES(Projector and Steel Rack 4 layers) AT KALAMANSIG DPP, LOT AWARD</t>
  </si>
  <si>
    <t>Fabrication &amp; Installation of of Hanging Board with ring &amp; net at Multi Purpose Building (Gymnasium), Brgy. Palamis, Alaminos City, Pangasinan</t>
  </si>
  <si>
    <t>INVITATION TO BID CORN SEEDS, BROILER, FISH FEEDS AND PLASTIC DRUMS USED FOR FARM INPUTS FOR INTEGRATED FARMING (FARMER’S LIVELIHOOD) OF LGU, SAN FRANCISCO, CEBU. (2nd posting)</t>
  </si>
  <si>
    <t>Bid No. 20-0387 - PROCUREMENT OF MODULAR PLAY SYSTEM - MEO OPERATIONS (DEVELOPMENT OF CHILDREN'S PLAZA - MUNICIPAL OVAL, POBLACION, MARAGUSAN, DAVAO DE ORO)</t>
  </si>
  <si>
    <t>19GL00120; P.R. No. 2020-03-042 DATED 03/19/2020: PROCUREMENT OF ONE (1) LOT OF VARIOUS CABINETS &amp; FILE STORAGE, FOR USE IN THE DPWH R.O. XI, UNDER ADMINISTRATIVE DIVISION, DAVAO CITY</t>
  </si>
  <si>
    <t>Maintenance of Irrigation System UCRIS - Php534,563.42</t>
  </si>
  <si>
    <t>SUPPLY &amp; DELIVERY OF PSHS-MRC'S 2020 OFFICE SUPPLIES (2ND HALF)</t>
  </si>
  <si>
    <t>Repair &amp; Replace of various Spareparts including Overhauling, Body Works For Government Vehicle bearing Plate no.: SGX-798 of Barangay Apopong GSC.</t>
  </si>
  <si>
    <t>Provision of Fuel for Various Municipal Health Vehicle for August 2020</t>
  </si>
  <si>
    <t>Concreting/Construction/Widening of Climate Change Resilient road at Barangay Ayao-Iyao, Lemery, Batangas</t>
  </si>
  <si>
    <t>SAAD20-07-27-0239 Supply and Delivery of Planting Materials.</t>
  </si>
  <si>
    <t>Supply and delivery of materials for the Improvement of Multi - Purpose Hall (Tile Works) at Sitio Ibaba, Barangay Lucutan</t>
  </si>
  <si>
    <t>Purchase of Ambulance for Brgy. Salapungan, Gerona, Tarlac</t>
  </si>
  <si>
    <t>PURCHASE OF OFFICE EQUIPMENT FOR DIFF. OFFICES OF BCC</t>
  </si>
  <si>
    <t>Park lights/Street lights Electrical Maintenance (3rd Quarter)</t>
  </si>
  <si>
    <t>INVITATION TO BID FOR THE SUPPLY, DELIVERY AND INSTALLATION OF SLAUGHTERHOUSE EQUIPMENT &amp; ACCESSORIES FOR COMPLETION OF MUNICIPAL SLAUGHTERHOUSE AT PAGATPAT, STA. CRUZ, ZAMBALES</t>
  </si>
  <si>
    <t>CONCRETING OF SITIO KANLUKDUHAN, BARANGAY GOMENTOC, BARANGAY ROAD, AYUNGON, NEGROS ORIENTAL (2ND POSTING)</t>
  </si>
  <si>
    <t>Purchase of Water System Materials &amp; supply</t>
  </si>
  <si>
    <t>Construction of Plaza Fence, San Jose, Gerona, Tarlac</t>
  </si>
  <si>
    <t>RSQ NO.20-07-023/PR NO.20-07-306(MPFS)</t>
  </si>
  <si>
    <t>PURCHASE OF RESPONDER ENDURANCE AND PHYSICAL ENHANCEMENT MACHINE</t>
  </si>
  <si>
    <t>Construction of Multi-Purpose Building (Phase II)</t>
  </si>
  <si>
    <t>REPAIR OF BARANGAY BALACDAS MULTI-PURPOSE CENTER AT BARANGAY BALACDAS, BORONGAN CITY, EASTERN SAMAR</t>
  </si>
  <si>
    <t>Construction of Solar Street Lights</t>
  </si>
  <si>
    <t>Streetlighting at Purok 3</t>
  </si>
  <si>
    <t>Construction Materials for Office CANOPY</t>
  </si>
  <si>
    <t>Concreting of Farm-To-Market Road (San-Isidro Mapangpang Road)</t>
  </si>
  <si>
    <t>CONSTRUCTION OF BARANGAY  ROAD AT BRGY CONANT, VILLAREAL, SAMAR</t>
  </si>
  <si>
    <t>Supply and Delivery of Construction Materials - ITB 053-2020 GQ</t>
  </si>
  <si>
    <t>CONSTRUCTION OF UNGBUL-LABANNON FARM TO MARKET ROAD</t>
  </si>
  <si>
    <t>PURCHASE OF 1 UNIT GARBAGE DUMPTRUCK</t>
  </si>
  <si>
    <t>Supply and Delivery of One (1) Unit Risograph Machine/ Digital Duplicator</t>
  </si>
  <si>
    <t>IMPROVEMENT OF DRAINAGE CANAL AT PUROK VI NEAR GELAWA'S RESIDENCE DOWN, IRISAN BARANGAY, BAGUIO CITY</t>
  </si>
  <si>
    <t>CONCRETING OF TAMBO BARANGAY ROAD, AYUNGON, NEGROS ORIENTAL (2ND POSTING)</t>
  </si>
  <si>
    <t>Furnishing labor, materials and equipment rental for the Rehab./Improvement of Brgy. Water Works System, Brgy. Puting Buhangin, Mogpog, Marinduque</t>
  </si>
  <si>
    <t>Supply and Delivery of Spare Parts (SFK 988) - Php26,000.00</t>
  </si>
  <si>
    <t>Provision of Food &amp; Accommodation for 2 days ABC:97,500.00</t>
  </si>
  <si>
    <t>Furnishing labor, materials and equipment rental for the Concreting/Rehabilitation/Improvement/Upgrading of Villa Mendez, Mogpog, Marinduque</t>
  </si>
  <si>
    <t>Printing &amp; Delivery of Livestock IEC Materials ABC:105,000.00</t>
  </si>
  <si>
    <t>Bid No. 20-0388 - PROCUREMENT OF CONSTRUCTION MATERIALS - MEO OPERATIONS (CONSTRUCTION OF GSO WAREHOUSE - MUNICIPAL COMPOUND, MARAGUSAN, DAVAO DE ORO</t>
  </si>
  <si>
    <t>Rehabilitation of Multi-purposed Building</t>
  </si>
  <si>
    <t>Purchase of Office Supplies - MTO</t>
  </si>
  <si>
    <t>For the use in the City Legal Office</t>
  </si>
  <si>
    <t>Purchase of Materials for Road Concreting, Purok Aquarius, Talisay, Santa Fe, Cebu - Municipal</t>
  </si>
  <si>
    <t>Procurement of Air Conditioning Equipment used for Quarantine Facilities</t>
  </si>
  <si>
    <t>Bid No. 20-0389 - PROCUREMENT OF PLUMBING MATERIALS - GSO (REPAIR &amp; MAINTENANCE OF MUNICIPAL BUILDINGS &amp; FACILITIES</t>
  </si>
  <si>
    <t>RFQ for Laptop for Radio and Television Broadcast Materials for the New Normal Modalities</t>
  </si>
  <si>
    <t>SUPPLY AND DELIVERY OF MATERIALS TO BE USED FOR REPAIR AND MAINTENANCE OF OTHER STRUCTURE (MPH), SITIO CENTRO, BARANGAY GEN. ESCO</t>
  </si>
  <si>
    <t>13 units Portable Generator</t>
  </si>
  <si>
    <t>CONSTRUCTION OF 2 STOREY GOVERNMENT OFFICE/BUILDING (UTILITY/KALIPI/4P's) PHASE 1</t>
  </si>
  <si>
    <t>REPAIR AND MAINTENENACE OF KOMATSU MINI WHEEL BACKHOE OF PEO</t>
  </si>
  <si>
    <t>INVITATION TO BID ON TONER FOR PRINTER USED FOR PRINTING SUPPORT TO BIG SCHOOLS IN DISTANCE LEARNING PROGRAM.</t>
  </si>
  <si>
    <t>PURCHASE OF TWO (2) UNITS COPYING MACHINE</t>
  </si>
  <si>
    <t>Procurement of Repair and Maintenance - NRW</t>
  </si>
  <si>
    <t>Procurement of Hospital Equipment</t>
  </si>
  <si>
    <t>Servicing of Printing 114 sets per month of SABURAN (Bayawan City Publication).</t>
  </si>
  <si>
    <t>MATERIALS FOR THE CONCRETING OF ROAD PUROK 5</t>
  </si>
  <si>
    <t>steet light</t>
  </si>
  <si>
    <t>Procurement of Service Utility Vehicle (SUV)</t>
  </si>
  <si>
    <t>PROCUREMENT OF RAPID TESTING KIT</t>
  </si>
  <si>
    <t>Supply &amp; Delivery of Organic Fertilizer ABC:366,000.00</t>
  </si>
  <si>
    <t>Road Concreting at Proper Gumitan Purok 1, Brgy. Gumitan, MArilog District, Davao City</t>
  </si>
  <si>
    <t>Bid No. 20-0390 - PROCUREMENT OF CONSTRUCTION MATERIALS - MEO OPERATIONS (IMPROVEMENT OF GENERAL SERVICES OFFICE - MUNICIPAL COMPOUND, MARAGUSAN, DAVAO DE ORO)</t>
  </si>
  <si>
    <t>Fencing of Barangay Site</t>
  </si>
  <si>
    <t>SUPPLY &amp; DELIVERY OF GROCERY ITEMS</t>
  </si>
  <si>
    <t>construction supply and materials</t>
  </si>
  <si>
    <t>Supply &amp; Delivery of  Mallard Ducks (Itik Pinas) ABC:900,000.00</t>
  </si>
  <si>
    <t>CONCRETING OF LAMIGAN (ABURAO SECTION) BARANGAY ROAD AT AYUNGON, NEGROS ORIENTAL (2ND POSTING)</t>
  </si>
  <si>
    <t>Concreting of Union Barangay Road</t>
  </si>
  <si>
    <t>Delivery of Other Supplies  for Market Linkaging and Agri-Business Support Program (SVP 20-0907).</t>
  </si>
  <si>
    <t>PROCUREMENT OF VARIOUS LABORATORY CHEMICALS FOR VISAYAS AVE. QUEZON CITY LABORATORY</t>
  </si>
  <si>
    <t>REPAIR AND MAINTENANCE OF GOVERNMENT VEHICLE NISSAN SENTRA WITH PLATE NO. KD 2780</t>
  </si>
  <si>
    <t>SUPPLY AND DELIVERY OF MATERIALS TO BE USED IN FLOOD MITIGATION PROGRAM, SITIO BONIFACIO &amp; LOOBAN, BARANGAY MELGAR A</t>
  </si>
  <si>
    <t>REPAIR AND MAINTENANCE OF GOVERNMENT VEHICLE HYUNDAI TUCSON WITH PLATE NO. SAA 2726</t>
  </si>
  <si>
    <t>REQUEST FOR QUOTATION OF THE COMMUNICATION CARDS OF LGU SAN FRANCISCO'S LOCAL OFFICES INTENDED/USED FOR 1ST, 2ND &amp; 3RD QUARTER OF 2020.</t>
  </si>
  <si>
    <t>OFFICE EQUIPMENT (PWD)</t>
  </si>
  <si>
    <t>Supply &amp; Delivery of  Toner TK-6329 use as refill toner for TASKALFA 40021 photocopier assigned at MPCG Office</t>
  </si>
  <si>
    <t>IMPROVEMENT/REBLOCKING/SHOULDER/CANAL OF MUNICIPAL STREET- KAPITANA TIRAY STREET, DEGUIT STREET, TABURAZA STREET, ENARDECIDO STREET AND VILLANUEVA STREET, BRGY. POBLACION, AYUNGON, NEGROS ORIENTAL (2N</t>
  </si>
  <si>
    <t>CONTINUATION FOR THE IMPROVEMENT OF DRAINAGE CANAL AT PUROK XXVII NEAR TARIAGAO RESIDENCE GOING UP, IRISAN BARANGAY BAGUIO CITY</t>
  </si>
  <si>
    <t>19GL00121; P.R. No. 2020-03-042 DATED 03/19/2020: PROCUREMENT OF ONE (1) OF LOT ROLLER BLINDS,  FOR USE IN THE OPERATION OF THE DPWH R.O. XI (NEW BUILDING), UNDER THE PLANNING AND DESIGN, CONSTRUCTION</t>
  </si>
  <si>
    <t>Furnishing labor, materials and equipment rental for the Rehab./Improvement of Brgy. Water Works System, Brgy. Amoingon, Boac, Marinduque</t>
  </si>
  <si>
    <t>REPAIR AND MAINTENANCE OF GOVERNMENT VEHICLE MITSUBISHI L300 WITH PLATE NO. SAA 1575</t>
  </si>
  <si>
    <t>Bid No. 20-0391 - PROCUREMENT OF OFFICE SUPPLIES - MEO OPERATIONS</t>
  </si>
  <si>
    <t>Repair and maintenance of Streetlights</t>
  </si>
  <si>
    <t>19GL00122; P.R. No. 2020-07-084 DATED 07/16/2020: PROCUREMENT OF COMPUTER/I.T. EQUIPMENT FOR USE IN THE PROCUREMENT UNIT, DPWH R.O. XI, DAVAO CITY</t>
  </si>
  <si>
    <t>PROCUREMENT OF VARIOUS ICT EQUIPMENTS AND COMMUNICATION EQUIPMENT</t>
  </si>
  <si>
    <t>SUPPLY AND DELIVERY OF MECHANICAL SPARE PARTS for 260kW DALE PERKINS, LOT AWARD</t>
  </si>
  <si>
    <t>Purchase of Materials for Road Concreting, Sitio Pasil, Langub, Santa Fe, Cebu - Municipal</t>
  </si>
  <si>
    <t>PROCUREMENT OF VARIOUS OFFICE SUPPLIES</t>
  </si>
  <si>
    <t>PURCHASE OF CCTV WITH INSTALLATION</t>
  </si>
  <si>
    <t>SUPPLY AND DELIVERY OF  GARDEN TOOLS</t>
  </si>
  <si>
    <t>20HL0112 - Construction/ Rehabilitation of Water Supply/ Septage and Sewerage/ Rain Water Collectors - Rain Water Collectors in Public Facilities - Region VII, Bacong, Dauin, Zamboanguita, Siaton, Sta</t>
  </si>
  <si>
    <t>PURCHASE OF MICROBS FOR SOLID WASTE MANAGEMENT PROGRAM</t>
  </si>
  <si>
    <t>CAN - Various Office Supplies - CPDO, DA, ONS PR No. 860, 870, 808</t>
  </si>
  <si>
    <t>Furnishing labor, materials and equipment rental for the Improvement of View Deck Building, Brgy. Balanacan, Mogpog, Marinduque</t>
  </si>
  <si>
    <t>Concreting of Farm-To-Market Road (Sitio Baybayabas, Balbalungao))</t>
  </si>
  <si>
    <t>Construction Materials fo Turmeric Laboratory</t>
  </si>
  <si>
    <t>FURNITURE AND FIXTURE FOR PWD</t>
  </si>
  <si>
    <t>Concreting of Farm-To-Market Road (Agupalo Este Road)</t>
  </si>
  <si>
    <t>Concreting of Farm-To-Market Road (San Isidro)</t>
  </si>
  <si>
    <t>DELIVERY OF VARIOUS SUPPLIES FOR USE OF DASMARIÑAS BIRTHING HOME</t>
  </si>
  <si>
    <t>Supply &amp; Delivery of  Various Types of Airconditioning Unit for the use of different Offices at Traffic Discipline Office</t>
  </si>
  <si>
    <t>VARIOUS MATERIALS FOR THE CONSTRUCTION OF OPEN DRAINAGE CANAL</t>
  </si>
  <si>
    <t>Supply and Delivery of Toner Cartridge</t>
  </si>
  <si>
    <t>REQUEST FOR QUOTATION ON MEALS AND SNACKS DURING MARMANSHIP TRAINING.</t>
  </si>
  <si>
    <t>AB-2020-0021:Supply and Delivery of Reflectorized Traffic Paint White for use along National Roads within Ilocos Norte 2nd DEO</t>
  </si>
  <si>
    <t>Bid No. 20-0392 - PROCUREMENT OF AIRCRAFT MONITOR - MDRRMO OPERATIONS</t>
  </si>
  <si>
    <t>PURCHASE OF AMBULANCE.</t>
  </si>
  <si>
    <t>10 SETS COMPUTER TABLE W/ CHAIR</t>
  </si>
  <si>
    <t>PROCUREMENT OF 1 (PACKAGE) CONSTRUCTION MATERIALS FOR BARANGAY TIBYAWAN MULTI-PURPOSE HALL , BARANGAY TIBYAWAN, AYUNGON, NEGROS ORIENTAL (2ND POSTING)</t>
  </si>
  <si>
    <t>Supply &amp; Delivery of Foliar Fertilizer ABC:244,000.00</t>
  </si>
  <si>
    <t>Delivery of Other Supplies for Market Linkaging and Agri-Business Support Program for 3rd Quarter 2020 (SVP 20-0906).</t>
  </si>
  <si>
    <t>PROCUREMENT OF 1 UNIT DIGITAL COPIER</t>
  </si>
  <si>
    <t>PROJ. 147 - SK 2020</t>
  </si>
  <si>
    <t>PROCUREMENT OF VARIOUS LABORATORY CONSUMABLES FOR VISAYAS AVE. QUEZON CITY LABORATORY</t>
  </si>
  <si>
    <t>Procurement of Drugs and Medicines used for Tuberculosis Patients Maintenance</t>
  </si>
  <si>
    <t>PURCHASE OF VARIOUS COMMODITIES FOR GABAY PAGMAMAHAL SA NAKAKATANDA 2020</t>
  </si>
  <si>
    <t>Procurement of office supplies (Engineering Office)</t>
  </si>
  <si>
    <t>Delivery of Zoological Supplies for Crab Production (SVP 20-0905).</t>
  </si>
  <si>
    <t>Supply &amp; Delivery of  Welding Generator, 300 amps., for the use of MPCG Fabrication Group and Maintenance</t>
  </si>
  <si>
    <t>Procurement of Diesel</t>
  </si>
  <si>
    <t>Provision of Food (meals &amp; snacks) 3 batches @ 2 days	ABC:72,000.00</t>
  </si>
  <si>
    <t>Procurement of office supplies (Accounting Office)</t>
  </si>
  <si>
    <t>PROCUREMENT OF 1 (PACKAGE) CONSTRUCTION MATERIALS FOR S.E.F. 2019 FOR 6 SCHOOL RECIPIENTS ANHS, INACBAN ES, CANLUKDUHAN ES, BUENAVISTA ES, TAMBO ES AND KILABAN ES AT AYUNGON, NEGROS ORIENTAL (2ND POST</t>
  </si>
  <si>
    <t>Delivery of Family Planning Supplies for 2nd Quarter 2020 (SVP 20-0904).</t>
  </si>
  <si>
    <t>CONSTRUCTION OF BARANGAY HALL PERIMETER FENCING, BUAYA</t>
  </si>
  <si>
    <t>Supply &amp; Delivery of Electrical Supplies ABC:254,322.77</t>
  </si>
  <si>
    <t>Supply and delivery of printing supplies</t>
  </si>
  <si>
    <t>To provide Information &amp; Communication Technology units for Cultural Heritage &amp; Arts Promotions Office.(SVP 20-0605)</t>
  </si>
  <si>
    <t>PROCUREMENT OF VARIOUS MACHINERY EQUIPMENT</t>
  </si>
  <si>
    <t>Provision of Food &amp; Accommodation for 3 batches @ 2 days ABC:390,000.00</t>
  </si>
  <si>
    <t>Concreting of Farm-To-Market Road (San Roque)</t>
  </si>
  <si>
    <t>Furnishing labor, materials and equipment for the Concreting/Rehabilitation/Improvement/Upgrading of Lipa Road, Sta. Cruz, Marinduque</t>
  </si>
  <si>
    <t>BARANGAY MULTI- PURPOSE BUILDING IMPROVEMENT</t>
  </si>
  <si>
    <t>Provide Labor &amp; Materials for RP Vehicle Repair (Plate # SAA-5044) ABC:156,460.00</t>
  </si>
  <si>
    <t>PROPER BUTAC-NUMBASAL FMR ROAD OPENING CONTINUATION</t>
  </si>
  <si>
    <t>Provision of Food &amp; Accommodation for 2 days ABC:102,500.00</t>
  </si>
  <si>
    <t>For use in the Maintenance of CHO Service  Vehicles, CHO, Surigao City</t>
  </si>
  <si>
    <t>Emergency Purchase of Food Stuff and Other Materials for Control Point</t>
  </si>
  <si>
    <t>For use in the Office of the City Treasurer's Office.</t>
  </si>
  <si>
    <t>Supply &amp; Delivery of  Assorted Vegetables Seeds ABC:450,000.00</t>
  </si>
  <si>
    <t>2020-297-CONSTRUCTION OF STEEL GATE &amp; LANDSCAPING OF AGRIBUSINESS DEVELOPMENT CENTER AREA</t>
  </si>
  <si>
    <t>REQUEST FOR QUOTATION ON IT EQUIPMENTS AND PARTS USED AT MUNICIPAL TREASURER'S OFFICE AND BPLO.</t>
  </si>
  <si>
    <t>20-07-241 Procurement of HDW 14x20</t>
  </si>
  <si>
    <t>AB-2020-0025: Supply and Deliver of Various Materials for the REPAIR/ REHABILITATION OF SLOPE PROTECTION ALONG ILOCOS NORTE - ABRA ROAD AT K0509+400-K0509+409 &amp; K0514+700-K0514+713.5</t>
  </si>
  <si>
    <t>PROCUREMENT OF COMMUNICATION EQUIPMENT (FOR POPSP USE)</t>
  </si>
  <si>
    <t>REQUEST FOR QUOTATION OF PRINTER USED FOR PRINTING SUPPORT TO A SMALL SCHOOLS IN DISTANCE LEARNING.</t>
  </si>
  <si>
    <t>NVITATION TO BID FOR THE PROCUREMENT OF CONSTRUCTION MATERIALS FOR HONEYCOMB CONSTRUCTION &amp; FABRICATION OF NICHES</t>
  </si>
  <si>
    <t>PROCUREMENT OF 2 UNITS BRAND NEW MOTORCYCLE</t>
  </si>
  <si>
    <t>Construction of Kayakaya Concrete Bridge ,STA. 0+845 - STA0+ 860, Datu Abdullah Sangki, Maguindanao</t>
  </si>
  <si>
    <t>Delivery of Agricultural and Other Supplies &amp; Materials for 3rd Quarter (SVP 20-0901).</t>
  </si>
  <si>
    <t>Furnishing labor, materials and equipment for the Concreting/Rehabilitation/Improvement/Upgrading of Hupi Road, Brgy. Hupi, Sta. Cruz, Marinduque</t>
  </si>
  <si>
    <t>SVP-SUPPLY AND DELIVERY OF INFORMATION &amp; COMMUNICATION TECHNOLOGY EQUIPMENT FOR IMPROVEMENT OF BRGY. HEALTH STATIONS, LOS BANOS, LAGUNA</t>
  </si>
  <si>
    <t>PROCUREMENT OF PVC ID CARD, INK AND WEBCAM</t>
  </si>
  <si>
    <t>Coffee Table</t>
  </si>
  <si>
    <t>OFFICE BUILDING IMPROVEMENT (MA)</t>
  </si>
  <si>
    <t>Purchase of Janitorial Supplies for the LGU</t>
  </si>
  <si>
    <t>NATIONAL ROAD TO DAMAG NORTH ELEMENTARY SCHOOL ROAD</t>
  </si>
  <si>
    <t>PURCHASE OF AGRICULTURAL EQUIPMENT RICE PLANTER FOR BRGY. ALANGAN</t>
  </si>
  <si>
    <t>12 SEATER CONFERENCE TABLE</t>
  </si>
  <si>
    <t>20-07-238 Procurement of Various Medical Supplies</t>
  </si>
  <si>
    <t>PROCUREMENT OF VARIOUS NON-ACCOUNTABLE FORMS</t>
  </si>
  <si>
    <t>Supply &amp; Delivery of spare parts of RP vehicle ABC:232,440.00</t>
  </si>
  <si>
    <t>SAGPAT-ULALANI-UPPER POSNAAN-CORINTINAS ROAD IMPROVEMENT (ORD. NO. 2016-10)</t>
  </si>
  <si>
    <t>PROCUREMENT OF 1 (PACKAGE) CONSTRUCTION MATERIALS FOR THE CONSTRUCTION OF 5 FEEDING CENTERS AT DULI DULI, LIBTACON, BANBAN, MABATO AND POBLACION ELEMENTARY SCHOOL, AT AYUNGON, NEGROS ORIENTAL (2ND POS</t>
  </si>
  <si>
    <t>DELIVERY OF VARIOUS SUPPLIES FOR THE USE IN GENERAL SERVICES OFFICE</t>
  </si>
  <si>
    <t>RFQ-19-11-2805 - OFFICE SUPPLIES FOR PDRRMC</t>
  </si>
  <si>
    <t>For use in Completion of Tourist Inn, Barangay Alegria,  Surigao City</t>
  </si>
  <si>
    <t>Delivery of Agricultural and Other Supplies for the Operation of Agricultural Development Centers (ADCs) &amp; Nurseries (SVP 20-0900).</t>
  </si>
  <si>
    <t>PURCHASE OF FACE MASK &amp; PPE'S</t>
  </si>
  <si>
    <t>Catering Services of Meals and Snacks - Php 40,000.00</t>
  </si>
  <si>
    <t>OFFICE EQUIPMENT (Brgy, LOOC-SAPI)</t>
  </si>
  <si>
    <t>PROPOSED CONSTRUCTION OF ONE (1) STOREY MULTI-PURPOSE EVACUATION CENTER</t>
  </si>
  <si>
    <t>RFQ-20-06-1460 - OFFICE EQUIPMENT FOR PAO</t>
  </si>
  <si>
    <t>RFQ-19-11-2748 - OFFICE SUPPLIES FOR PPAS</t>
  </si>
  <si>
    <t>Concreting of Calean- Tenok - Paitan Road (Phase 3) Sta.  (PERPENDICULAR TO RI 2015 AMPUPAO ROAD) STA. 0+000-STA. 1+ 080, Mangudadatu, Maguindanao</t>
  </si>
  <si>
    <t>PROCUREMENT OF 1 (PACKAGE) BRAND NEW TIRES FOR MUNICIPAL SERVICE VEHICLE USE AT MUNICIPALITY OF AYUNGON, NEGROS ORIENTAL</t>
  </si>
  <si>
    <t>Supply &amp; Delivery of Forage Chopper ABC:200,000.00</t>
  </si>
  <si>
    <t>INVITATION TO BID FOR THE PROCUREMENT OF FUEL FOR HONEYCOMB CONSTRUCTION &amp; FABRICATION OF NICHES</t>
  </si>
  <si>
    <t>HARD. MTLS. FOR THE CONST. OF DRAINAGE CANAL WITH COVER PUROK 4 (CAL. SUR), MTLS. FOR THE INSTALLATION OF SOLAR LIGHTS P2 - P3 (AGUIT-IT) AND  MTLS. FOR THE INSTALLATION OF SOLAR LIGHTS P3 - P4 (MANGC</t>
  </si>
  <si>
    <t>Procurement of VACCINE, INFLUENZA</t>
  </si>
  <si>
    <t>OFFICE EQUIPMENT (Brgy, VILLAGONZALO-SEF)</t>
  </si>
  <si>
    <t>CHALOG FMR IMPROVEMENT</t>
  </si>
  <si>
    <t>Construction of Kenit Concrete Bridge, STA. 0+104 of Sta. 0+119 , Shariff Aguak, Maguindanao</t>
  </si>
  <si>
    <t>Labor and materials for the construction of fishpond and gazebo</t>
  </si>
  <si>
    <t>For use in the office of Sangguiniang Panlungsod, this city.</t>
  </si>
  <si>
    <t>***Improvement of Multi-Purpose Hall***</t>
  </si>
  <si>
    <t>Prepaid cards</t>
  </si>
  <si>
    <t>LOWER AWAYAN - MALIWANOY - TOAYONG - GOTOR ROAD (Ord. No. 2016-10)</t>
  </si>
  <si>
    <t>REHABILITATION OF WATER SYSTEM (MAIN SOURCE)</t>
  </si>
  <si>
    <t>RFQ-20-03-0723 - BROWN BAG FOR MEDICINES</t>
  </si>
  <si>
    <t>LIBERTY ROAD IMPROVEMENT</t>
  </si>
  <si>
    <t>PURCHASE/INSTALLATION OF CCTV - SAN JUAN, ILOCOS SUR</t>
  </si>
  <si>
    <t>GARMENTS AND PRINTING SHOP PROJECT</t>
  </si>
  <si>
    <t>RFQ-2020-02-0169 SUPPLIES-SPORTS</t>
  </si>
  <si>
    <t>Procurement/Supply and Delivery of Six (6) Wheelers Hauling Truck</t>
  </si>
  <si>
    <t>Proposed Medical Intervention and Evacuation Center located at Barangay Jasaan, Santa Cruz, Laguna</t>
  </si>
  <si>
    <t>PACKAGE I</t>
  </si>
  <si>
    <t>RFQ-20-01-0091 - EXECUTIVE CHAIR LEATHER TYPE, BLACK</t>
  </si>
  <si>
    <t>PROCUREMENT OF 1ST QUARTER AND 2ND QUARTER NON-COMMON CONSOLIDATED OF OFFICE SUPPLIES MATERIALS AND EQUIPMENTS FOR CY-2020</t>
  </si>
  <si>
    <t>For use in the service vehicle of CMO-Beautification.</t>
  </si>
  <si>
    <t>PURCHASE OF ONE (1) UNIT HI-ACE GRANDIA ,15 SEATERS FOR THE USE AT BRGY. ALANGAN</t>
  </si>
  <si>
    <t>Construction of Water System Phase 2</t>
  </si>
  <si>
    <t>Supply and Delivery of Office Supply - Php 574,320.00</t>
  </si>
  <si>
    <t>Rehabilitation of Barangay Hall- Cantoyoc, Clarin, Bohol</t>
  </si>
  <si>
    <t>Supply &amp; Delivery of Water Quality Analysis and Containers (3 samples per 3 Rivers:Upstream,Midstream &amp; Downstream</t>
  </si>
  <si>
    <t>PACKAGE III</t>
  </si>
  <si>
    <t>PURCHASE OF ONE (1) UNIT MULTI-PURPOSE VEHICLE FOR BARANGAY SAN JUAN, BINALBAGAN NEGROS OCCIDENTAL</t>
  </si>
  <si>
    <t>Purchase of Materials for Road Concreting, Purok Kalambuan, Poblacion, Santa Fe, Cebu - Municipal</t>
  </si>
  <si>
    <t>INVITATION TO BID FOR THE PROCUREMENT CATERING SERVICES FOR VARIOUS OFFICES</t>
  </si>
  <si>
    <t>MINOR REPAIR OF DISTRICT OFFICE (ROOF &amp; CEILING) @ LABANGAN DISTRICT II</t>
  </si>
  <si>
    <t>5 Unit Desktop Computer</t>
  </si>
  <si>
    <t>Purchase and Deliver of Information &amp; Communication Tech. Equipment</t>
  </si>
  <si>
    <t>Supply and Delivery of Office Supply - Php 446,480.00</t>
  </si>
  <si>
    <t>PACKAGE II</t>
  </si>
  <si>
    <t>Purchase of Tablet for the Pupils who are in the Junior High School and Senior High School Using On-line Class on Various Schools Under  the City School Division of Bacoor – CSDO</t>
  </si>
  <si>
    <t>Procurement of Supply &amp; Delivery of 186 heads Goat</t>
  </si>
  <si>
    <t>PRDP-ISUPPORT-016: Procurement of Various Load Cards…</t>
  </si>
  <si>
    <t>6 PCS. TIRE</t>
  </si>
  <si>
    <t>RFQ-20-02-4831-1 - 2,000 PCS POSTER WITH FRAME</t>
  </si>
  <si>
    <t>PROCUREMENT OF VARIOUS DISASTER RESPONSE &amp; RESCUE EQUIPMENT (MDRRMF 2020), BOKOD, BENGUET</t>
  </si>
  <si>
    <t>INVITATION TO BID FOR THE PROCUREMENT OF OFFICE EQUIPMENT FOR MTOU OPERATION</t>
  </si>
  <si>
    <t>Acquisition For Station</t>
  </si>
  <si>
    <t>Concreting of Local Core Road at Sitio Balot 2</t>
  </si>
  <si>
    <t>POJNAAN PROPER FMR IMPROVEMENT</t>
  </si>
  <si>
    <t>PURCHASE OF ONE (1) UNIT MULTI-PURPOSE VEHICLE FOR BARANGAY STO. ROSARIO, BINALBAGAN NEGROS OCCIDENTAL</t>
  </si>
  <si>
    <t>SUPPLY AND DELIVERY OF MECHANICAL SPARE PARTS for Perkins genset Model 2006-TG1 SN: 8B27396U88044W Engine Model:1106A-70 TAG2 SN: PR82603R005990A, LOT AWARD</t>
  </si>
  <si>
    <t>Construction of Drainage Canal - BARANGAY TUBTUBON</t>
  </si>
  <si>
    <t>Procurement of Equipment for the BatStateU Main I - CONAHS Department Amphitheater</t>
  </si>
  <si>
    <t>6 SEATER CONFERENCE TABLE W/ CHAIRS</t>
  </si>
  <si>
    <t>OFFICE EQUIPMENT (Brgy, St. Maria-SEF)</t>
  </si>
  <si>
    <t>REHABILITATION/IMPROVEMENT OF SAN JOSE DIVERSION DAM</t>
  </si>
  <si>
    <t>Purchase of Office Supplies for use in the Maintenance Section (3rd Quarter)</t>
  </si>
  <si>
    <t>Purchase of Supplies</t>
  </si>
  <si>
    <t>Procurement of IT Equipment</t>
  </si>
  <si>
    <t>MINOR REPAIR OF TEACHER'S CENTER @ LABANGAN DISTRICT II</t>
  </si>
  <si>
    <t>ROAD OPENING AT BABY'S BREATH, POBLACION WEST, FLORA, APAYAO</t>
  </si>
  <si>
    <t>PURCHASE OF COMMUNICATION EQUIPMENT, ELEVEN (11) UNITS CELLPHONE FOR BRGY. OFFICIALS</t>
  </si>
  <si>
    <t>INVITATION TO BID FOR THE PROCUREMENT OF FUEL FOR MASSIVE BARANGAY BASED DRR-CCA COMMUNITY EDUCATION AND PUBLIC AWARENESS AND SUPPORT TO MEDICAL AND SOCIAL SERVICES CARAVAN</t>
  </si>
  <si>
    <t>Notice of Award, PR 256-20</t>
  </si>
  <si>
    <t>Purchase of Materials for Road Concreting, Sitio Alice Beach, Okoy, Santa Fe, Cebu - Municipal</t>
  </si>
  <si>
    <t>PROCUREMENT OF VARIOUS I.T. SUPPLIES AND MATERIALS FOR INTERNET CONNECTION OF VARIOUS LIMAY PUBLIC SCHOOLS</t>
  </si>
  <si>
    <t>Construction of Day Care Center</t>
  </si>
  <si>
    <t>PR 20-07-0084 Supply and Delivery of Common Maintenance Equipment’s, Maintenance Section, DPWH-Bohol III DEO</t>
  </si>
  <si>
    <t>PROCUREMENT OF DRUGS AND MEDICINES (MHO-MOOE 2020), BOKOD, BENGUET</t>
  </si>
  <si>
    <t>Rehabilitation of 2nd Floor MPB - SB Building (Phase 1)</t>
  </si>
  <si>
    <t>MINOR REPAIR OF TEACHER'S CENTER @ LABANGAN DISTRICT I</t>
  </si>
  <si>
    <t>Supply &amp; Delivery of Laptop for Online Enrollment use</t>
  </si>
  <si>
    <t>Canal Lining and Cover and Pathwalk</t>
  </si>
  <si>
    <t>ITB - Supply and Delivery of Various Oral Health Supplies LOT 2</t>
  </si>
  <si>
    <t>Purchase of Materials for Street Lighting, NHA, Marikaban, Santa Fe, Cebu - Municipal</t>
  </si>
  <si>
    <t>Supply and Delivery of Office Supplies for Budget, HRMO and MSWD Office</t>
  </si>
  <si>
    <t>PACKAGE V</t>
  </si>
  <si>
    <t>Procurement of Equipment for the UHT/HTST Pasteurizer &amp; Blastr Freezer of the Food Innovation Center (FIC)</t>
  </si>
  <si>
    <t>INVITATION TO BID FOR THE PROCUREMENT OF DRUGS AND MEDICINES FOR MSWD VARIOUS PROGRAM</t>
  </si>
  <si>
    <t>Purchase of Goods/Materials for Concreting of Malabo Brgy. Road (Re-Bid)</t>
  </si>
  <si>
    <t>MAINTENANCE OF 9 PUBLIC ELEMENTARY SCHOOLS @ LABANGAN DISTRICT II</t>
  </si>
  <si>
    <t>PACKAGE IV</t>
  </si>
  <si>
    <t>Radio Airtime for RCEF</t>
  </si>
  <si>
    <t>PROPERTY ADMINISTRATION OF PASIG CENTRAL BUSINESS PARK – 5TH BIDDING</t>
  </si>
  <si>
    <t>INVITATION TO BID FOR THE SUPPLY AND DELIVERY OF 97 PCS 18K SERVICE RING FOR LGU EMPLOYEES OF OROQUIETA CITY (SECOND NOTICE)</t>
  </si>
  <si>
    <t>VARIOUS CONSTRUCTION PROJECTS</t>
  </si>
  <si>
    <t>MINOR REPAIR OF DISTRICT OFFICE (CEILING &amp; ENTRANCE ROOF) @ LABANGAN DISTRICT I</t>
  </si>
  <si>
    <t>Furnishing labor and materials for the Construction of  Water Works System, Brgy. Isok II, Brgy. Isok II, Boac, Marinduque</t>
  </si>
  <si>
    <t>PURCHASE OF 31 UNITS 3IN1 PRINTER</t>
  </si>
  <si>
    <t>Acquisition For Program</t>
  </si>
  <si>
    <t>ITB - Supply and Delivery of Various Oral Health Supplies LOT 3</t>
  </si>
  <si>
    <t>20R0106-107</t>
  </si>
  <si>
    <t>Acquisition For Motorcycle</t>
  </si>
  <si>
    <t>Procurement of Internet Provider/Services</t>
  </si>
  <si>
    <t>20II0061(Re-Ad), Repair and Maintenance of Road Safety Facilities (Supply, Delivery and Installation of Danger, Hazard, Warning, Regulatory and Informative Signages) along Catarman Laoang Road, Laoang</t>
  </si>
  <si>
    <t>Proposed Completion of GSD Warehouse &amp; Construction of Perimeter Fence @ Brgy. Poblacion, Toledo City</t>
  </si>
  <si>
    <t>Acquisition For Supplies</t>
  </si>
  <si>
    <t>MAINTENANCE OF 16 PUBLIC ELEMENTARY SCHOOLS @ LABANGAN DISTRICT I</t>
  </si>
  <si>
    <t>Maintenance of City Roads, Bridges &amp; Drainages and other Structure (2nd quarter 2020)</t>
  </si>
  <si>
    <t>Procurement of Various Dietary and Linen Supplies, OMMC &amp; JJASGH</t>
  </si>
  <si>
    <t>NOTICE OF NEGOTIATED PROCUREMENT</t>
  </si>
  <si>
    <t>ITB - Supply and Delivery of Various Oral Health Supplies LOT 1</t>
  </si>
  <si>
    <t>PURCHASE OF FOOD SUPPLEMENTS FOR 6-59 MONTHS CHILDREN, PWDS AND PREGNANT WOMEN (SUPPORT TO NUTRITION), BOKOD, BENGUET</t>
  </si>
  <si>
    <t>Improvement of Barangay North Poblacion Road</t>
  </si>
  <si>
    <t>Paper, Book, A4,  subs. 20 - 270 Reams</t>
  </si>
  <si>
    <t>Purchase of Materials for Road Concreting, Purok Panagdait, Balidbid, Santa Fe, Cebu - Municipal</t>
  </si>
  <si>
    <t>Supply and Delivery of Goods: IT EQUIPMENT FOR DTI8 RAPID GROWTH PROJECT</t>
  </si>
  <si>
    <t>SUPPLY AND DELIVERY OF ELETRICAL SPARE PARTS for HIKDOP DPP 4 units gensets, LOT AWARD</t>
  </si>
  <si>
    <t>Supply and Delivery of Construction Materials for use for the construction of Perimeter Fence at NIA-EAAIS, Allacapan, Cagayan</t>
  </si>
  <si>
    <t>Concreting of Brgy. Road in Barangay Salvacion</t>
  </si>
  <si>
    <t>Furnishing labor, materials and equipment rental for the Construction of Brgy. Water Supply System (Phase 1), Brgy. Tabionan, Gasan, Marinduque</t>
  </si>
  <si>
    <t>Purchase of Other Machinery and Equipment – Home for Boys - CSWDO</t>
  </si>
  <si>
    <t>SVP-SUPPLY AND DELIVERY OF MATERIALS FOR THE IMPROVEMENT OF RHU II, LOS BANOS, LAGUNA</t>
  </si>
  <si>
    <t>Barangay Streetlights</t>
  </si>
  <si>
    <t>PROCUREMENT  OF DRUGS, MEDICINES  AND MEDICAL  SUPPLIES</t>
  </si>
  <si>
    <t>PROVISION OF MEALS AND SNACKS FOR 2 DAYS ON THREE DIFFERENT DATES IN EL NIDO, PALAWAN</t>
  </si>
  <si>
    <t>RFQ-20-04-1139 - LABORATORY SUPPLIES FOR RMMMH</t>
  </si>
  <si>
    <t>AB-2020-0026: Supply and Delivery of Various Materials for the REPAIR/ REHABILITATION OF SLOPE PROTECTION ALONG ILOCOS NORTE - APAYAO ROAD AT K0486+400</t>
  </si>
  <si>
    <t>Furnishing labor, materials and equipment rental for the Construction of Brgy. Water Works System, Brgy. Datingbayan, Sta. Cruz, Marinduque</t>
  </si>
  <si>
    <t>Delivery of Agricultural and Other Supplies for the Operation of Agricultural Development Centers (ADCs) &amp; Nurseries (SVP 20-0903).</t>
  </si>
  <si>
    <t>BUNHIAN - MAJLONG - BUWAG ROAD</t>
  </si>
  <si>
    <t>PROCUREMENT OF VARIOUS WATER SERVICE CONNECTION MATERIALS/FITTINGS USE FOR THE OPERATION OF WATERSYSTEM (MAINTENANCE OF WATERWAYS)</t>
  </si>
  <si>
    <t>Purchase of Relief Goods (OKADA)</t>
  </si>
  <si>
    <t>10 unit wheelchair, etc..</t>
  </si>
  <si>
    <t>PROCUREMENT OF JETMATIC PUMP</t>
  </si>
  <si>
    <t>***Continuation of Multi-Purpose Hall***</t>
  </si>
  <si>
    <t>2020-07-019: Procurement of Various Materials for use in the Repair of Wheelguards along Jct. Layac-Balanga-Mariveles Port Road (Mariveles Zigzag Road) at Bataan 2nd District</t>
  </si>
  <si>
    <t>TVL-SMAW WELDING AND GRINDING AREA</t>
  </si>
  <si>
    <t>Proposed Construction of Multi-Purpose Building (Phase II) @ Brgy. Cabitoonan, Toledo City</t>
  </si>
  <si>
    <t>Furnishing labor, materials &amp; equipment for the Construction of  Hospital Facilities (Storage) Santol, Boac, Marinduque</t>
  </si>
  <si>
    <t>Purchased of Construction Materials for Service Entrance of Dormitory Type Hotel.</t>
  </si>
  <si>
    <t>Purchase of Materials for Street Lighting, Purok Malipayon, Hagdan, Santa Fe, Cebu - Municipal</t>
  </si>
  <si>
    <t>CONDUCT OF CELEBRATION OF SENIOR CITIZEN WEEK</t>
  </si>
  <si>
    <t>RFQ (20-07-095) Electrical Supplies and Electrical Fixtures</t>
  </si>
  <si>
    <t>Purchased of Construction Materials for Service Entrance of Multi-Purpose Convention Center.</t>
  </si>
  <si>
    <t>Provision of Health and Wellness Program of the Division</t>
  </si>
  <si>
    <t>CONDUCT OF CELEBRATION OF DISABILITY WEEK 2020</t>
  </si>
  <si>
    <t>Furnishing labor, materials &amp; equipment for the Construction of  Hospital Facilities (Morgue) Santol, Boac, Marinduque</t>
  </si>
  <si>
    <t>Furnishing labor, materials and  equipment for the Construction/Rehabilitation of Poblacion Provincial Road at Rizal St., Magsaysay-Quezon St., D. Mercader- A. Dela Santa St., San Miguel St., Col. Aba</t>
  </si>
  <si>
    <t>UV STERILIZER</t>
  </si>
  <si>
    <t>Procurement of 500 pcs Garden Spade</t>
  </si>
  <si>
    <t>SUPPLY AND DELIVERY OF MECHANICAL SPARE PARTS for 120kW CUMMINS genset Model No. 6BTAA5.9G2, Engine Serial no. 87058381, LOT AWARD</t>
  </si>
  <si>
    <t>PURCHASE OF ONE (1) UNIT VEHICLE VAN</t>
  </si>
  <si>
    <t>RFQ (20-07-085) Dietary Supplies</t>
  </si>
  <si>
    <t>Purchase of Materials for Improvement of Barangay Health Center, Brgy. Proper Kinatarkan, Santa Fe, Cebu - Municipal</t>
  </si>
  <si>
    <t>Procurement of Pick Up Truck for the use of apprehension and collection of tax on Sand and Gravel and other quarry Resources of Provincial Treasurer’s Office, Kalibo, Aklan- Re Bidding/ITB no: 2020-42</t>
  </si>
  <si>
    <t>CONSTRUCTION OF DRAINAGE CANAL WITH COVER (BARANGAY I)</t>
  </si>
  <si>
    <t>Purchase of Materials for Road Concreting, Purok Kalambuan, Poblacion Santa Fe, Cebu - Municipal</t>
  </si>
  <si>
    <t>Procurement of Electric Kettle for Office Use</t>
  </si>
  <si>
    <t>purchase of brgy. patrol vehicle</t>
  </si>
  <si>
    <t>Supply and Delivery of Digital Copyprinter for DepEd Buenavista</t>
  </si>
  <si>
    <t>Procurement of corporate giveaways (advocacy shirts)</t>
  </si>
  <si>
    <t>CONSTRUCTION OF ISOLATION ROOM</t>
  </si>
  <si>
    <t>Additional Fund for Water System Barangay Imbayao, Malaybalay City.</t>
  </si>
  <si>
    <t>AMP-20-07-051	Procurement of Scanner (PR # 20-06-0132/133)</t>
  </si>
  <si>
    <t>P.R. No.: 20-07-0085  Supply and Delivery of Common Construction Materials Supplies, Maintenance Section, DPWH-Bohol III DEO</t>
  </si>
  <si>
    <t>PROCUREMENT OF PERSONAL PROTECTIVE EQUIPMENT OF BENEFICIARIES FOR THE IMPLEMENTATION OF TUPAD POST COVID-19 FOR THE PROVINCES OF AGUSAN DEL NORTE, SURIGAO DEL NORTE AND AGUSAN DEL SUR</t>
  </si>
  <si>
    <t>PR2020-07-031 - Purchase and Delivery of Vehicle Parts</t>
  </si>
  <si>
    <t>Purchase/Delivery of Medical Supplies for Lying-In and RHU Used</t>
  </si>
  <si>
    <t>15 Set Desktop Computer</t>
  </si>
  <si>
    <t>Waterworks Materials</t>
  </si>
  <si>
    <t>Supply, Delivery and Installation of Common Office Equipment-Airconditioner</t>
  </si>
  <si>
    <t>P.R. No.: 20-07-0087 Supply and Delivery of Common Spare parts of Equipment’s and Vehicles, Maintenance Section, DPWH-Bohol III DEO</t>
  </si>
  <si>
    <t>Procurement of 500pcs Rechargeable AM/FM/SW Radio</t>
  </si>
  <si>
    <t>Procurement of IT Equipments-07-403(A)PGO</t>
  </si>
  <si>
    <t>Improvement of Health Center.</t>
  </si>
  <si>
    <t>4 pcs portable handheld radio</t>
  </si>
  <si>
    <t>Procurement of Book Paper for the Reproduction of Modules</t>
  </si>
  <si>
    <t>Procurement of Office Equipment-07-404(A)PGO</t>
  </si>
  <si>
    <t>Procurement of 313,150 liters Diesel Fuel</t>
  </si>
  <si>
    <t>Asphalt Overlay</t>
  </si>
  <si>
    <t>SUPPLY AND DELIVERY OF MATERIALS AND TOOLS FOR THE PSHS-CALABARZON REGION CAMPUS UTILITY WORKERS' REPAIR AND MAINTENANCE TASKS</t>
  </si>
  <si>
    <t>INVITATION TO BID FOR THE PROCUREMENT OF BUSINESS PLATE 2021</t>
  </si>
  <si>
    <t>RFQ-DVO-PR.NO. 2003067 CAT. 62 VEHICLE AND ACCESSORIES</t>
  </si>
  <si>
    <t>Procurement of Catering Services-07-037(P)PSWDO</t>
  </si>
  <si>
    <t>Supply and Delivery of Various Brand New Tires</t>
  </si>
  <si>
    <t>RFQ-DVO-PR.NO. 2002291 CAT. 39.3 LABORATORY REAGENTS AND CHEMICALS</t>
  </si>
  <si>
    <t>P.R. No.: 20-07-0086 Supply and Delivery of Lubricants/Fuel of Vehicles and Heavy Equipment’s, Maintenance Section, DPWH-Bohol III DEO</t>
  </si>
  <si>
    <t>Procurement of Machine Parts</t>
  </si>
  <si>
    <t>SUPPLY AND DELIVERY OF CLEANING TOOLS AND EQUIPMENT FOR THE MAINTENANCE OF NINE(9) PSHS-CALABARZON REGION CAMPUS BUILDINGS</t>
  </si>
  <si>
    <t>Concreting of Barangay Road with Climate Resilient Design</t>
  </si>
  <si>
    <t>PROCUREMENT OF COMMUNICATION EQUIPMENT, BOKOD, BENGUET</t>
  </si>
  <si>
    <t>Supply &amp; Delivery of Steel Cabinets (4 drawers)</t>
  </si>
  <si>
    <t>P.R. No. 2020-07-0047 - Procurement of Fuel for use of QAS Service Vehicle (HI-6290) for 2nd Quarter CY-2020</t>
  </si>
  <si>
    <t>Dairy Production (Construction of Bunker Silo) @ Sitio Civoleg, Barangay Lunotan, Gingoog City, Misamis Oriental under Contract Ref. No. 2020-INFRA-061</t>
  </si>
  <si>
    <t>One (1) Lot General Merchandise</t>
  </si>
  <si>
    <t>P.R. No.: 20-07-0089 Supply and Delivery of Common Construction Materials Supplies, Maintenance Section, DPWH-Bohol III DEO</t>
  </si>
  <si>
    <t>Purchase of 227 vials Purified Chick Rabies Vaccine for use at the City Health Office, Laoag City</t>
  </si>
  <si>
    <t>Procurement of Various Office Supplies-07-434(A)PGO</t>
  </si>
  <si>
    <t>Catering Services</t>
  </si>
  <si>
    <t>Procurement of Various Grocery Items-07-032(P)PSWDO</t>
  </si>
  <si>
    <t>P.R. No.: 20-07-0088 Supply and Delivery of Vehicle Parts and Accessories, Maintenance Section, DPWH-Bohol III DEO</t>
  </si>
  <si>
    <t>PROCUREMENT OF SPARE PARTS FOR MAINTENANCE OF ISUZU NPR</t>
  </si>
  <si>
    <t>Purchase of 2 Units Mini Bus 4x2 DSL M/T (29 - seater) for Disaster and Emergency Purposes PDRRMO Province of Northern Samar</t>
  </si>
  <si>
    <t>Construction and Installation of 4units Streetlighting System</t>
  </si>
  <si>
    <t>Supply and Delivery of Construction Supplies and Materials for Repair and Maintenance of Various Buildings</t>
  </si>
  <si>
    <t>Purchase of IT Equipment, Nine (9) Units of Laptop, Santa Fe, Cebu - Municipal</t>
  </si>
  <si>
    <t>SUPPLY AND DELIVERY OF MECHANICAL SPARE PARTS for 160kW FG Wilson genset Model P300H SN: LL5014J, SN: 92030004, LOT AWARD</t>
  </si>
  <si>
    <t>REHABILITATION OF BRGY. HALL (TOILET AND KITCHEN)</t>
  </si>
  <si>
    <t>Setting-Up of Covered Court as Isolation Area to Accommodate COVID-19 Patients &amp; Persons under Monitoring/Investigation</t>
  </si>
  <si>
    <t>Procurement of Transportation equipment for Sea borne Patrol.</t>
  </si>
  <si>
    <t>Procurement of Common Office Supplies and Equipment for 2nd Quarter CY 2020</t>
  </si>
  <si>
    <t>Procurement of Various Food Stuff-07-435(A)PGO</t>
  </si>
  <si>
    <t>Kikipot Elementary School, school and office supplies.</t>
  </si>
  <si>
    <t>PROCUREMENT OF I.T. EQUIPMENT AND SUPPLIES FOR LIMAY MUNICIPAL HALL</t>
  </si>
  <si>
    <t>2020-07-020: Procurement of Materials for use in Repair &amp; Maintenance of Slope Protection &amp; Installation of Concrete Headwall along Jct. Layac Balanga Mariveles Port Road (Mariveles-Zigzag Road) (SO13</t>
  </si>
  <si>
    <t>Furnishing labor, materials and equipment for the Concreting/Rehabilitation/Improvement/Upgrading of Janagdong Road, Brgy. Janagdong, Mogpog, Marinduque</t>
  </si>
  <si>
    <t>PR 2020-07-143 Supply and Delivery of Lubricants for use in Preventive Maintenance of Various Service Vehicle and Heavy Equipments DEO, Nabunturan, Davao de Oro Province</t>
  </si>
  <si>
    <t>Procurement of Various Housekeeping Supplies-07-423(A)PGO</t>
  </si>
  <si>
    <t>Purchase of Materials for use in the Repair/Maint. of Carriageway along Paco-Roxas-Arakan Valley Road. (Arakan-Katipunan Section)</t>
  </si>
  <si>
    <t>Procurement of Infrastructure-Road Opening at Ikog Buaya Sitio Nonocan, Brgy. Dapnan Phase III</t>
  </si>
  <si>
    <t>ITB - Supply and Delivery of Hygiene Kits LOT1</t>
  </si>
  <si>
    <t>Purchase of Food Stuff</t>
  </si>
  <si>
    <t>REPAIR AND MAINTENANCE OF BULLDOZER(CATERPILLAR DGH SERIES II</t>
  </si>
  <si>
    <t>Supply and Delivery of Construction Supplies and Materials for Repair and Maintenance of Roads</t>
  </si>
  <si>
    <t>PR 2020-07-145 Supply and Delivery of Spare Parts for the use in Dump Truck UD Quester H3-6569 DEO, Nabunturan, Davao de Oro Province</t>
  </si>
  <si>
    <t>Procurement of Various Office Supplies-07-397(A)PGO</t>
  </si>
  <si>
    <t>Procurement of Various Hardware Supplies-07-433(A)PGO</t>
  </si>
  <si>
    <t>Procurement of VARIOUS WRENCHES</t>
  </si>
  <si>
    <t>Procurement of Various Office Supplies-07-424(A)PGO</t>
  </si>
  <si>
    <t>Security Service</t>
  </si>
  <si>
    <t>RFQ-DVO-PR.NO. 2005248 CAT. 62 VEHICLE AND ACCESSORIES</t>
  </si>
  <si>
    <t>Purchase of Materials for use in the Repair/Maint. of Carriageway along Poblacion Magpet-Binay-Nowa-Doruluman-Greenfield Road (Binay-Basak Section)</t>
  </si>
  <si>
    <t>SUPPLY AND DELIVERY OF AIR PURIFIER AND AEROSOL EVACUATOR</t>
  </si>
  <si>
    <t>Procurement of Various Housekeeping Supplies-07-398(A)PGO</t>
  </si>
  <si>
    <t>Construction and Installation of  Streetlighting System</t>
  </si>
  <si>
    <t>RFQ PR No. 2020-07-079 Purchase of UV C with Ozone for Sanitation Control and Management of COVID-19 at DPWH-Batangas IV District Engineering Office</t>
  </si>
  <si>
    <t>P.R. No.: 20-07-0092 Supply and Delivery of Lubricants/Fuel of Vehicles and Heavy Equipment, Planning and Design Section, DPWH-Bohol III DEO</t>
  </si>
  <si>
    <t>SUPPLY AND DELIVERY OF VARIOUS MATERIALS USE FOR CONSTRUCTION OF WATER INTAKE BOX (1.80 M. X 1.80 M. X 1.80 M.) BARANGAY DUANGAN, ESPERANZA, ADS.</t>
  </si>
  <si>
    <t>for Repair of Backhoe</t>
  </si>
  <si>
    <t>Purchase of Diesel Fuel for the maint. of govt. vehicles  @ Vice Mayor's Office</t>
  </si>
  <si>
    <t>PR 2020-07-144 Supply and Delivery of Materials (Grass Cutter) for use in Maintenance Crew for Maintenance for National Roads and Bridges [Daang Maharlika Road (K1377±201 – K1445+1058), Montevista – D</t>
  </si>
  <si>
    <t>Construction of Drainage Canal Phase II</t>
  </si>
  <si>
    <t>INVITATION TO BID FOR THE PROCUREMENT OF FUEL FOR MOBILIZATION OF VARIOUS OFFICES</t>
  </si>
  <si>
    <t>PR-2020-1358 Construction Materials (Rebid)-PSWDO</t>
  </si>
  <si>
    <t>SAAD-20-0997(R1): Procurement of Other Supplies to be used at DA SAAD Offices in Region 7</t>
  </si>
  <si>
    <t>PROCUREMENT OF MATERIALS FOR THE CONSTRUCTION OF ROAD SHOULDERING</t>
  </si>
  <si>
    <t>PRODUCTION AND INSTALLATION  OF ONE (1) ADDITIONAL HOLOGRAM EXHIBIT</t>
  </si>
  <si>
    <t>20DJ0100 (Re-Advertised) - LOCAL PROGRAM, Local Infrastructure Program, Construction of Multi-Purpose Building (Municipal Hall) at Dolores, Quezon</t>
  </si>
  <si>
    <t>SUPPLIES AND EQUIPMENT</t>
  </si>
  <si>
    <t>Supply and Delivery of Electrical Supplies</t>
  </si>
  <si>
    <t>Delivery/Provision of Complete Security Services 24/7 at DPWH-Cotabato 2nd DEO, Lanao, Kidapawan City Two (2) shifts with 5 Guards/shift, for the Month of  January 1, 2021 – March 31, 2021</t>
  </si>
  <si>
    <t>Procurement of Various Construction Supplies-06-341(O)PEO</t>
  </si>
  <si>
    <t>Q-122-20 PROCUREMENT OF LEARNING MANAGEMENT SYSTEM</t>
  </si>
  <si>
    <t>Procurement of Various Aggregates Supplies-06-343(O)PEO</t>
  </si>
  <si>
    <t>Publication of Zoning Ordinance</t>
  </si>
  <si>
    <t>PR-2020-1435 Laboratory Supplies(Rebid)-PHO</t>
  </si>
  <si>
    <t>RFQ - 1 lot Subscription to Video Conferencing Application</t>
  </si>
  <si>
    <t>PR 2020-07-146 Supply and Delivery of Spare Parts to Replace Defective/ Worn-out Parts of Boom Truck (Plate No. H2-237) of Quality Assurance Section DEO, Nabunturan, Davao de Oro Province</t>
  </si>
  <si>
    <t>Senior High School Procurement for 2nd Quarter</t>
  </si>
  <si>
    <t>PR-2020-1389 Laboratory Supplies (Rebid)-PHO</t>
  </si>
  <si>
    <t>IMPROVEMENT OF STA. MARIA DAY CARE CENTER</t>
  </si>
  <si>
    <t>PR-2020-1808 Three (3) Units Computer Desktop Set-PGO</t>
  </si>
  <si>
    <t>SUPPLY AND DELIVERY OF SUPPLIES, MATERIALS AND EQUIPMENT TO BE USED FOR DENTAL SERVICES- 2nd Posting</t>
  </si>
  <si>
    <t>Procurement of Diesel for Rechanneling of Rivers (Along Poblacion-SR 1 water ways)</t>
  </si>
  <si>
    <t>RFQ-DVO-PR.NO. 2003043 CAT. 62 VEHICLE AND ACCESSORIES</t>
  </si>
  <si>
    <t>ITB - Supply and Delivery of Hygiene Kits LOT2</t>
  </si>
  <si>
    <t>Information Technology &amp; Accessories &amp; Perip</t>
  </si>
  <si>
    <t>PR 2020-07-147 Supply and Delivery of Engineering Device / Equipment &amp; Supplies, for use in the Office of the Construction Section DEO, Nabunturan, Davao de Oro Province</t>
  </si>
  <si>
    <t>Procurement of Various Spare Parts-07-430(O)PEO</t>
  </si>
  <si>
    <t>RFQ 2020-01-0042-FURNITURE &amp; FIXTURES FOR IAAS</t>
  </si>
  <si>
    <t>Supply and Delivery of Janitorial Supplies and Materials</t>
  </si>
  <si>
    <t>PROCUREMENT OF SERVICE VEHICLE FOR MAYOR’S OFFICE</t>
  </si>
  <si>
    <t>Procurement of Various Spare Parts-07-026(X)SDH</t>
  </si>
  <si>
    <t>SVP - RFQ REHABILITATION OF LAVATORY AT SDS COMFORT ROOM AND FABRICATION OF TV STAND AND SHELF</t>
  </si>
  <si>
    <t>Request for Quotation for the Supply and Delivery of One (1) Unit of 3Tonner (4HP) Floor Mounted Inverter Air- Conditioner</t>
  </si>
  <si>
    <t>Purchase of Hand Tools for use in Various Routine Maintenance Activities (Various national roads of this district)</t>
  </si>
  <si>
    <t>SUPPLY AND DELIVERY OF LAPTOPS AND DESKTOP COMPUTER FOR THE HUMAN RESOURCE DEVELOPMENT DIVISION</t>
  </si>
  <si>
    <t>SUPPLY AND DELIVERY OF MEALS</t>
  </si>
  <si>
    <t>Supply and Delivery of Customized Forms</t>
  </si>
  <si>
    <t>Procurement of Various Spare Parts-07-429(O)PEO</t>
  </si>
  <si>
    <t>PR# 2020-07-08 Water Treatment Plant Disinfection use</t>
  </si>
  <si>
    <t>Construction of Iligan's Best Display Center</t>
  </si>
  <si>
    <t>BPSU:CO-OSA-STUDENT GROUP ACCIDENT INSURANCE</t>
  </si>
  <si>
    <t>GOODS-ITB 2020-07-001FABRICATION AND INSTALLATION OF SOLAR STREET LIGHTS IN BRGY. LAPINIG DEL SUR, LAPINIG, N. SAMAR (2ND POSTING)</t>
  </si>
  <si>
    <t>RFQ No. 20-07-194 for PR No. 20-07-187</t>
  </si>
  <si>
    <t>Supply and Delivery of Grocery Items</t>
  </si>
  <si>
    <t>Supply/Delivery of Motor Vehicle</t>
  </si>
  <si>
    <t>Procurement of Various Office supplies for the use of different Provincial Offices and Hospitals, Province of Aklan/ITB no: 2020-425</t>
  </si>
  <si>
    <t>SUPPLY AND DELIVERY OF DENTAL INSTRUMENTS AND DEVICES</t>
  </si>
  <si>
    <t>for water meter installation</t>
  </si>
  <si>
    <t>Supply and Delivery of Flowers</t>
  </si>
  <si>
    <t>PROCUREMENT OF AGRICULTURAL PRODUCT (VEGETABLE SEEDS)</t>
  </si>
  <si>
    <t>Purchase of Paint for use in Various Routine Traffic Services along Davao-Cotabato Road and Paco-Roxas-Arakan Valley Road (Bulatukan - Patadon Section; Paco -Datu Ladayon Section)</t>
  </si>
  <si>
    <t>SUPPLY AND DELIVERY OF MATERIALS FOR THE COVID PREVENTATION, MITIGATION, AND RESPONSE MEASURES (DISINFECTION OF FACILITIES, EQUIPMENT IN SCHOOLS AND PROTECTION OF EMPLOYEES)</t>
  </si>
  <si>
    <t>Improvement and Rehabilitation of Boulevard Drainage Canal</t>
  </si>
  <si>
    <t>20L00172 : Construction of Rainwater Collection System, Island Garden City of Samal, Davao del Norte</t>
  </si>
  <si>
    <t>Procurement of 10 units Emergency Lights and Trash Bag, MHD-PR-841</t>
  </si>
  <si>
    <t>2020-07-1113 Supply and Installation of four (4) Year Maintenance</t>
  </si>
  <si>
    <t>Supply &amp; Delivery of Furniture for CADS,Library,RDE Office and Disaster</t>
  </si>
  <si>
    <t>FUEL FOR REHAB. OF WATER WAYS, DRY CREEKS &amp; FARM TO MARKET ROADS - MO-MDRRMO (20-03-0974x)</t>
  </si>
  <si>
    <t>Supply and delivery of materials for the Const. of Barangay Water System</t>
  </si>
  <si>
    <t>LBRDC MOST COMMONLY USED MATERIALS (SUPPLY OF VARIOUS CONSTRUCTION MATERIALS)</t>
  </si>
  <si>
    <t>SUPPLY AND DELIVERY OF CONSOLIDATED DRUGS &amp; MEDICINES</t>
  </si>
  <si>
    <t>Field Equipment for CENRO Sta. Rita</t>
  </si>
  <si>
    <t>Upgrading of Evacuation Facility(Concreting of Slab on fill)</t>
  </si>
  <si>
    <t>Supply and Delivery of Various Medicines, as per BSP Terms of Reference</t>
  </si>
  <si>
    <t>Procurement of Delivery Item 200 Aggregates</t>
  </si>
  <si>
    <t>20GPL0002 - Purchase of Common-use Supplies for use of DPWH-LKDEO</t>
  </si>
  <si>
    <t>Supply and Delivery of Medical and Dental Supplies (Lots)</t>
  </si>
  <si>
    <t>Supply and Delivery of Medicines (Lots)</t>
  </si>
  <si>
    <t>Supply and Delivery of Various Construction Materials and Supplies for the Proposed Improvement of Goodrich Subd. Park, Brgy. Concepcion II, Marikina City</t>
  </si>
  <si>
    <t>One (1) Year Garbage Collection, Transport and Disposal Services (2nd Posting)</t>
  </si>
  <si>
    <t>FUEL, OIL AND LUBRICANTS - MO-SH (20-0953X)</t>
  </si>
  <si>
    <t>Rehabilitation of Material Recovery Facility (MRF)</t>
  </si>
  <si>
    <t>PR 2020-07-148 Leasing of One (1) Unit Service Vehicle Chargeable to Preliminary and Detailed Engineering (PDE)/ Rocond Survey: *Montevista – Compostela – New Bataan – Maragusan – Mati Bdry. Road (S00</t>
  </si>
  <si>
    <t>Supply/Delivery of Medical Supplies</t>
  </si>
  <si>
    <t>RFQ-DVO-PR.NO. 2002424 CAT. 39.3 LABORATORY REAGENTS AND CHEMICALS</t>
  </si>
  <si>
    <t>Supply and Delivery of Food and Water</t>
  </si>
  <si>
    <t>ITB - Supply and Delivery of Hygiene Kits LOT3</t>
  </si>
  <si>
    <t>20GPL0003 – Purchase of spare parts, tires, batteries and lubricants for use of various motor vehicles/equipment assigned at DPWH-LKDEO</t>
  </si>
  <si>
    <t>Procurement of Digital Duplicator and Digital Copier</t>
  </si>
  <si>
    <t>Supply/Delivery of Construction Materials use in the construction of concrete canal lining under 30M CY 2019 POW Force Account Works of MAMBALITE PALANGON PIP, Libmanan, Camarines Sur</t>
  </si>
  <si>
    <t>2020-07-021: Purchase and Delivery of Materials and Accessories for Automatic Traffic Classifiers (ATC) for the Conduct of National Road Traffic Survey Program (NRTSP), DPWH-Bataan 2nd DEO</t>
  </si>
  <si>
    <t>CONSTRUCTION OFCIVIC CENTER BRGY CANDAYAO JIABONG SAMAR</t>
  </si>
  <si>
    <t>(SBMA-BAC-CONS-RFEI-20-03) CONSULTANCY SERVICES FOR THE PREPARATION OF DETAILED ENGINEERING DESIGN FOR THE REHABILITATION OF SHIP REPAIR FACILITIES (SRF) PIER AND WHARVES PROJECT</t>
  </si>
  <si>
    <t>Supply and Delivery of Oxygen</t>
  </si>
  <si>
    <t>IMPROVEMENT OF STA. MARIA MULTI-PURPOSE HALL</t>
  </si>
  <si>
    <t>SUPPLY AND DELIVERY OF DESKTOP COMPUTER W/ COMPLETE ACCESSORIES &amp; PRINTER (REBID)</t>
  </si>
  <si>
    <t>Highly Technical Consultant - Topic Specialist for Research Study on Determining the Minimum Wage of Domestic Workers in the Philippines</t>
  </si>
  <si>
    <t>FUEL, OIL &amp; LUBRICANTS FOR THE USE OF LIGHT AND HEAVY EQUIPMENT - MEO (20-07-1023X)</t>
  </si>
  <si>
    <t>Purchase of various Table to be use during various event of this City</t>
  </si>
  <si>
    <t>Supply and Delivery of Spare Parts for Various Vehicle</t>
  </si>
  <si>
    <t>CONSTRUCTION OF CENTRALIZED CANAL AT SITIO OBULAN</t>
  </si>
  <si>
    <t>LBP IMELDA BRANCH RENOVATION (SUPPLY OF CONCRETE AND MASONRY WORKS MATERIALS)</t>
  </si>
  <si>
    <t>PR 2020-07-150 Leasing of One (1) Unit Service Vehicle Chargeable to Preliminary and Detailed Engineering (PDE)/ use for Parcellary Survey - * 9 Projects Under FY 2021 Regular Infra/ DND Projects FY 2</t>
  </si>
  <si>
    <t>RFQ No. 20-07-193 for PR No. 20-07-176</t>
  </si>
  <si>
    <t>Purchase of Desk Shield for the use of various Offices of this City</t>
  </si>
  <si>
    <t>Expansion of Coral for PRDP Carabao</t>
  </si>
  <si>
    <t>PR 2020-07-149 Leasing of One (1) Unit Service Vehicle Chargeable to Preliminary and Detailed Engineering (PDE)/ Validation and Reconnaisance Survey of Project / * 4 Projects under FY 2021 Regular Inf</t>
  </si>
  <si>
    <t>RFQ NO. 20-0676 NP-SV - SUPPLY AND DELIVERY OF MATERIALS FOR THE FABRICATION OF SIX (6) UNITS OFFICE TABLES</t>
  </si>
  <si>
    <t>Procurement of Thermal Scanner for use in the determination of body temperature of learners upon resumption of classes as mitigation for COVID-19 (Elementary and Secondary Schools)</t>
  </si>
  <si>
    <t>PR 2020-07-153 Supply and Delivery of Materials for use in Activity 121 (Patching Concrete Pavement) along Daang Maharlika Road (Intermittent Section) K1377±-K1445+1058 intermittent Davao de Oro Provi</t>
  </si>
  <si>
    <t>Upgrading of Electrification For Schools at Cagangohan National High School under the CY 2020 BEFF Upgrading of Electrification Of Un-energized Schools and Modernization of Electrical Systems  on Grid</t>
  </si>
  <si>
    <t>Procurement of Office Supplies (Plastic Cellophane) for office use</t>
  </si>
  <si>
    <t xml:space="preserve">PR 2020-07-151 Leasing of One (1) Unit Service Vehicle Chargeable to Preliminary and Detailed Engineering (PDE)/ use for Survey Works *6 Projects under FY 2021 Flood Control 1.) Construction of Flood </t>
  </si>
  <si>
    <t>Request for Quotation for the Supply and Delivery of Labor and Materials Preventive Maintenance of Three (3) Units of Generator Set</t>
  </si>
  <si>
    <t>Supply and Delivery of Laptop Computer</t>
  </si>
  <si>
    <t>PR 2020-07-152 Supply and Delivery of Materials for use in Repair/ Maintenance of Cross Drainage along Surigao – Davao Coastal Road, Maco Section Davao de Oro Province</t>
  </si>
  <si>
    <t>Office Equipment for CENRO Catbalogan</t>
  </si>
  <si>
    <t>CONSTRUCTION OF COVERED CANAL AT QUEZON ST., BRGY. LUZ-PHASE I</t>
  </si>
  <si>
    <t>LBP VALENZUELA BRANCH RENOVATION/RELOCATION (SUPPLY OF CASH VAULT CEILING MATERIALS)</t>
  </si>
  <si>
    <t>SVP PUR20-05-0403 Procurement of Microtubes,etc. for MRL Central Supply</t>
  </si>
  <si>
    <t>ESTABLISHMENT OF READING CENTER</t>
  </si>
  <si>
    <t>Supply and Delivery of Agricultural Supplies</t>
  </si>
  <si>
    <t>Supply and Delivery of CCTV Equipment</t>
  </si>
  <si>
    <t>Municipal Wide 79 Cameras CCTV and Fiber optic Delivery and Installation</t>
  </si>
  <si>
    <t>Supply and Delivery of Materials for COVID 19 Prevention and Control and Medicines for Municipal Health Office</t>
  </si>
  <si>
    <t>PR 2020-07-154 Supply and Delivery of Fuel, Additives, Lubricants &amp; Anti-Corrosive for the use in Construction Section DEO, Nabunturan, Davao de Oro Province in the Implementation of Projects</t>
  </si>
  <si>
    <t>Office Enhancement Project</t>
  </si>
  <si>
    <t>Office Supplies and Materials</t>
  </si>
  <si>
    <t>Procurement of Larvicide: For the use of larviciding activities under the Dengue Prevention and Control Program of DOH CHD I</t>
  </si>
  <si>
    <t>PR-2020-1541 Two (2) Units Brand new Cardio Trace ECG Machine (Rebid)-PHO</t>
  </si>
  <si>
    <t>Procurement of Laptop and printer for the use of RESU HEMS</t>
  </si>
  <si>
    <t>CONSTRUCTION OF MULTPURPOSE DRYING PAVEMENT ( 2 UNITS)</t>
  </si>
  <si>
    <t>Supply/Delivery of Spare Parts and Materials for Repair and Maintenance of Assigned Service Vehicle at NIA-RIIS, Sta. Elena, Iriga City</t>
  </si>
  <si>
    <t>Supply and Delivery of Computer Accessories</t>
  </si>
  <si>
    <t>Improvement of Multipurpose Hall</t>
  </si>
  <si>
    <t>RFQ - Supply and Delivery of Laboratory Supplies for Micro and Chem Analyses</t>
  </si>
  <si>
    <t>PR 2020-07-155 Supply and Delivery of Fuel (Diesel), for use in H1-6932 Pick-up, DEO, Nabunturan Davao de Oro Province</t>
  </si>
  <si>
    <t>FOOD PACKS FOR MUNICIPAL QUARANTINE AND ISOLATION CENTERS FOR VARIOUS TASK RELATIVE TO LGU COVID-19 INTERVENTIONS ACTIVITIES</t>
  </si>
  <si>
    <t>Construction of Brgy. Boa Concrete Bridge</t>
  </si>
  <si>
    <t>ECOBAG/KIT with print for learning modules</t>
  </si>
  <si>
    <t>LBP MIAG-AO BRANCH OFFICE BUILDING CONSTRUCTION (TRUCKING SERVICES)</t>
  </si>
  <si>
    <t>SVP PUR20-07-0586 -Procurement of Oxygen Flowmeter,  CCU-MAT</t>
  </si>
  <si>
    <t>Construction Supplies and Materials</t>
  </si>
  <si>
    <t>Supply/Delivery of Spare Parts for use in the repair of TOYOTA HI-LUX w/ Plate No. SCN-371 and SCN-368 assigned at NIA-THIRIS, Sta. Lucia, Magarao, Camarines Sur</t>
  </si>
  <si>
    <t>SUPPLY AND DELIVERY OF DRUGS &amp; MEDICINES</t>
  </si>
  <si>
    <t>RFQ-DVO-PR.NO. 2002444 CAT. 14 CONSTRUCTION SUPPLIES AND MATERIALS</t>
  </si>
  <si>
    <t>Procurement of Laptop with stylus pen for use of MAIP</t>
  </si>
  <si>
    <t>MAINTENANCE AND SUPPLY</t>
  </si>
  <si>
    <t>Construction of School Building Lubluban Elementary School, Libertad,  Misamis Oriental</t>
  </si>
  <si>
    <t>RENEGOTIATION for the Procurement of Supply &amp; Delivery of Various Fertilizers</t>
  </si>
  <si>
    <t>PR-2020-0617 Laboratory Supplies (Negotiated)-PHO</t>
  </si>
  <si>
    <t>Supply/Delivery of Computers and Office Equipments use in Farmland Geographic Information System (FGIS) of LCPIS, Libmanan, Camarines Sur and NIA-THIRIS, Magarao, Camarines Sur</t>
  </si>
  <si>
    <t>25 pail hydraulic oil, AW 68 for bulldozer used.</t>
  </si>
  <si>
    <t>Construction of Monitoring Station - Panganason, Kingking, Pantukan (Materials)</t>
  </si>
  <si>
    <t>Supply and Delivery of Chemical Broth and Solution</t>
  </si>
  <si>
    <t>CONSTRUCTION OF SITIO LIFILIFIAN POTABLE WATER SYSTEM LEVEL II (SPRING DEVELOPMENT)</t>
  </si>
  <si>
    <t>RFQ No. 20-0694 Shopping (B): 2020 1st Quarter Ink Cartridge Supplies of SMS</t>
  </si>
  <si>
    <t>PBD 20-092 Satellite Tracking Kits, Accessories and Other Laboratory Supplies</t>
  </si>
  <si>
    <t>ITB - BARANGAY ROAD CONCRETING- (agbanga)</t>
  </si>
  <si>
    <t>INSTALLATION OF CCTV W/ NVR &amp; MONITOR AT VARIOUS RESETTLEMENT SITES FOR PEACE AND ORDER MONITORING @ GOLDEN HORIZON , SUNSHINE VILEE &amp; SOUTHVILLE 2 PHASE 3, TMC</t>
  </si>
  <si>
    <t>Various agricultural inputs</t>
  </si>
  <si>
    <t>Construction of Evacuation Center Phase 3</t>
  </si>
  <si>
    <t>PR-2020-0820 Laboratory Supplies (Negotiated)-PHO</t>
  </si>
  <si>
    <t>Purchase of 2 unit FB Van for GSO</t>
  </si>
  <si>
    <t>Construction of Pantry and tiling of PE Office ( RFQ 2020-4235)</t>
  </si>
  <si>
    <t>Invitation to Bid for the Procurement of Services for Hosting, Training, Customizing and Managing an Online Learning Management System (LMS)</t>
  </si>
  <si>
    <t>Procurement of office equipment for MDRRMC Operation Center Equipage, Dadivas Civic Center, Brgy. Pob. Ilawod, Panitan, Capiz (MDRRM fund 2020)</t>
  </si>
  <si>
    <t>To hire contractor to provide materials, labor, and equipment for the “Construction of Malaunay-Dobdob Road, Valencia, Negros Oriental” (B-109-2020)</t>
  </si>
  <si>
    <t>Various Spare Parts/RE-IB No. K-2020-001</t>
  </si>
  <si>
    <t>CAPABILITY BUILDING ON ABACA DISEASE PREVENTION WITH PROVISION OF ABACA PROCESSING TECHNOLOGY</t>
  </si>
  <si>
    <t>PROCUREMENT OF ONE (1) LOT SUPPLY LABOR AND MATERIALS FOR THE CONCRETING OF BRGY. ROAD OF BRGY. LIMBUHAN GUTI AND BANGON TO TALOLORA ROAD SECTION, TANAUAN, LEYTE</t>
  </si>
  <si>
    <t>rebidding of the requirement “Four (4) Lots Various Construction Materials for the use in the Rehabilitation/Improvement of Drainage System and Road Sidewalk within Barangay Pobalcion 6, Dumaguete Cit</t>
  </si>
  <si>
    <t>Purchase of 1 unit  Ambulance for MHO</t>
  </si>
  <si>
    <t>Supply/Delivery of Office Equipments use of Construction Unit &amp; Contract Management Unit, NIA-CSIMO, Naga City</t>
  </si>
  <si>
    <t>CONSTRUCTION OF VARIOUS PROJECTS</t>
  </si>
  <si>
    <t>PR2020-07-043 - OFFICE SUPPLIES AND DEVICES</t>
  </si>
  <si>
    <t>LABORATORY SUPPLIES - various</t>
  </si>
  <si>
    <t>Purchase of 1 unit FB Van for MHO</t>
  </si>
  <si>
    <t>Installation of Streetlighting System</t>
  </si>
  <si>
    <t>Purchase of 1 unit Pick- up Truck for Engineering and 1 unit FB Van Multipurpose for GSO</t>
  </si>
  <si>
    <t>PR# 20-1610- Laboratory Supplies (Stockpiling)</t>
  </si>
  <si>
    <t>R&amp;DL-20-2955: Procurement of 1 Unit Pelletizing Machine to be used for the Formulation of Indigenous Feedstuff at Ubay Stock Farm, Lomangog, Ubay, Bohol</t>
  </si>
  <si>
    <t>PROCUREMENT OF ONE (1) LOT SUPPLY LABOR AND MATERIALS FOR THE CONSTRUCTION OF MULTI-PURPOSE HALL, BRGY. MAGHULOD, TANAUAN, LEYTE</t>
  </si>
  <si>
    <t>Purchase of Perishable Goods for the Quarantine Checkpoints</t>
  </si>
  <si>
    <t>Supply and Delivery of Materials for the Reproduction of SL modules</t>
  </si>
  <si>
    <t>RFQ No. 20-0691 Shopping (B): Procurement of Various Office Supplies</t>
  </si>
  <si>
    <t>For Repair and Maintenance of BWD Vehicle LGJ 665</t>
  </si>
  <si>
    <t>Various hardware Materials</t>
  </si>
  <si>
    <t>Purchase of Spareparts for Mun. Vehicles (Rescue, Firetruck, SAF Vehicle and Tractor), Alicia, Bohol</t>
  </si>
  <si>
    <t>PROVISION OF DOMESTIC FORWARDING/FREIGHT SERVICES FOR THE SENDING OF POUCHES FROM PAG-IBIG FUND MEMBER SERVICES OPERATIONS (MSO) NCR NORTH OFFICES TO PAG-IBIG FUND OFFICES</t>
  </si>
  <si>
    <t>PR2020-07-042 - PERSONAL HEALTH CARE PRODUCTS</t>
  </si>
  <si>
    <t>SUPPLY AND DELIVERY OF JANITORIAL SUPPLIES P.R NO. 0699 SERIES 2020</t>
  </si>
  <si>
    <t>Procurement of Fuel &amp; Lubricants</t>
  </si>
  <si>
    <t>Purchase of School and Office Equipment, ACES, Poblacion, Alicia, Bohol</t>
  </si>
  <si>
    <t>CAPITAL EXPENDITURE ON LOCAL ECONOMIC DEV'T. FOR THE CONSTRUCTION OF LGU MEMORIAL PARK PHASE-II</t>
  </si>
  <si>
    <t>12 cu.m Sand, std. specs and other items for completion of the construction. Of 2 storey gender sensitive living quarters of grils CICL/CAR at Dgte. Youth Home Brgy. Talay.</t>
  </si>
  <si>
    <t>Purchase of Laptop Computer for the use of Different Public Schools in the Municipality</t>
  </si>
  <si>
    <t>SUPPLY AND DELIVERY OF OFFICE EQUIPMENTS</t>
  </si>
  <si>
    <t>Plastic Products</t>
  </si>
  <si>
    <t>To hire contractor to provide materials, labor and equipment for two (2) Infrastructure Projects, viz: (Pamplona) (B-111-2020)</t>
  </si>
  <si>
    <t>Procurement of materials for Rehabilitation of Waterworks System</t>
  </si>
  <si>
    <t>PROCUREMENT OF ONE (1) LOT SUPPLY LABOR AND MATERIALS FOR THE CONCRETING OF PATHWAYS OF BRGYS. CANBALISARA, HILAGPAD AND CABUYANAN, TANAUAN, LEYTE</t>
  </si>
  <si>
    <t>SUPPLY AND DELIVERY OF JANITORIAL SUPPLIES P.R NO. 0700 SERIES 2020</t>
  </si>
  <si>
    <t>CONSTRUCTION OF COVERED CANAL AT QUEZON ST., BRGY. LUZ-PHASE II</t>
  </si>
  <si>
    <t>Procurement of Hardware &amp; Construction Supplies for BAGANGAN SR.</t>
  </si>
  <si>
    <t>Purchase of 1 unit  Refrigerated Van (14 Cubic Feet) for Slaughterhouse Section</t>
  </si>
  <si>
    <t>CONSTRUCTION OF SITIO KUED POTABLE WATER SYSTEM LEVEL II (SPRING DEVELOPMENT)</t>
  </si>
  <si>
    <t>Supply and Delivery of 205 vials Purified Chick Embryo Cell 1ml/vial and (2) other items under Purchase Request No. 1053-20</t>
  </si>
  <si>
    <t>Supply and delivery of Drugs and Medicines for use at the City Health Office, RHU’s, BHS’s &amp; Medical Mission Request (for 3rd &amp; 4th quarter), Laoag City</t>
  </si>
  <si>
    <t>Purchase of Furniture and Fixtures for Mayor’s Office and MENR Office</t>
  </si>
  <si>
    <t>SUPPLY, DELIVERY AND INSTALLATION OF CUSTOMIZED STEEL CONTAINER VANS</t>
  </si>
  <si>
    <t>Food Stuff</t>
  </si>
  <si>
    <t>ITB No. 20-070 One (1) Lot Supply and Delivery of Two (2) Complete Video Laryngsocope Systems Inclusive of Five (5) Blades with Connectors, Two (2) Units Flexible Tip and Four (4) Magill Forceps</t>
  </si>
  <si>
    <t>CONSTRUCTION OF COVERED CANAL AT QUEZON ST., BRGY. LUZ-PHASE III</t>
  </si>
  <si>
    <t>Construction of Dry Market Building’s Perimeter Covered Walkway</t>
  </si>
  <si>
    <t>PROPOSED 100MM X 394 LM. DI PIPELINE EXPANSION AT SITIO LUTAW-LUTAW, BRGY. TISA, CEBU CITY, CEBU</t>
  </si>
  <si>
    <t>Equipment for Drone CENRO Sta. Rita</t>
  </si>
  <si>
    <t>Procurement of Hardware &amp; Construction Supplies for DEL CARMEN-2ND. SCHEDULE</t>
  </si>
  <si>
    <t>Purchase of of Jetmatic Pumps and Fittings for the use of 24 Barangays of the Municipality of Hinigaran, Negros Occidental.</t>
  </si>
  <si>
    <t>Tarp Printing</t>
  </si>
  <si>
    <t>Supply and Delivery of 2020 1st Quarter Supplies for Cotabato Division</t>
  </si>
  <si>
    <t>Supply and Delivery of One (1) lot Various Materials for Construction of Day Care Center Phase II</t>
  </si>
  <si>
    <t>SUPPLY AND DELIVERY OF EQUIPMENT FOR PRESIDENT OFFICE AND CAMPUS DIRECTOR OFFICE</t>
  </si>
  <si>
    <t>SUPPLY, DELIVERY OF VARIOUS OPTHALMIC SURGERY MEDICAL EQUIPMENT (5 LOTS)</t>
  </si>
  <si>
    <t>REHABILITATION OF MULTI-PURPOSE HALL (PHASE2)</t>
  </si>
  <si>
    <t>Cont. Ref. No. 086-20: Construction of Retaining Wall along Labilab Road (near Fr. Solang) at Loacan, Itogon, Benguet</t>
  </si>
  <si>
    <t>Repair and Maintenance of Various Barangay Roads (Regraveling of Barangay Cabugao Norte, Sitio Red Fox, Barangay Cabugao Sur and Railway, Barangay Purok II, Pavia, Iloilo)</t>
  </si>
  <si>
    <t>Improvement of Farmer’s Information Technology Services (FITS) Center</t>
  </si>
  <si>
    <t>CONSTRUCTION OF PLAMANGO POTABLE WATER SYSTEM LEVEL II (SPRING DEVELOPMENT)</t>
  </si>
  <si>
    <t>Procurement of Freight Services</t>
  </si>
  <si>
    <t>SUPPLY, DELIVERY AND INSTALLATION OF QUEUING SYSTEM WITH SOFTWARE AND CONSUMABLES</t>
  </si>
  <si>
    <t>Improvement of Exterior and Interior Ceiling</t>
  </si>
  <si>
    <t>Supply and Delivery of CM for the improvement of CIS @ Tudkol, Pingkian and Improvement of CIS @ Mapayao,KNV</t>
  </si>
  <si>
    <t>Procurement of Hardware &amp; Construction  Supplies for POLANTUNA</t>
  </si>
  <si>
    <t>Construction of Buntis Lounge</t>
  </si>
  <si>
    <t>PUBLIC BIDDING / PR 20-06-1410  / LICENSES,NETWORK ACCESS CONTROL (NAC) APPLAINCE</t>
  </si>
  <si>
    <t>Procurement of Equipment for Maydolong Water System</t>
  </si>
  <si>
    <t>Cont. Ref. No. 101-20: Enhancement of Tuding Proper Gym and Evacuation Center at Tuding, Itogon, Benguet</t>
  </si>
  <si>
    <t>Construction of Multi – Purpose Building  (Auditorium Phase I), Brgy. Poblacion, San Agustin, Romblon</t>
  </si>
  <si>
    <t>SUPPLY AND DELIVERY OF VARIOUS LABORATORY EQUIPMENT (2 LOTS)</t>
  </si>
  <si>
    <t>Online Two-day training seminar on Root Cause Analysis and Corrective Action</t>
  </si>
  <si>
    <t>Four (4) Lots Construction Materials for use Rehab./Improvement of Barangay Roads, Poblacion, Guihulngan City, Negros Oriental (B-108-2020)</t>
  </si>
  <si>
    <t>Procurement of IT Supplies and Accessories</t>
  </si>
  <si>
    <t>Communication Equipment</t>
  </si>
  <si>
    <t>Acrylic Counters</t>
  </si>
  <si>
    <t>Improvement of School at Ungka II Elementary School (Improvement of Grade VI Room and Construction of Study Area)</t>
  </si>
  <si>
    <t>2020-07-431 Procurement of Various Construction, Painting, Plumbing and Electrical Supplies</t>
  </si>
  <si>
    <t>Supply and Delivery of 13 sets gongs (4 pcs per set)</t>
  </si>
  <si>
    <t>RFQ-DVO-PR.NO. 2003097 CAT. 18 ELECTRICAL AND APPLIANCES</t>
  </si>
  <si>
    <t>PURCHASE OF AIRCONDTIONER (including installation)</t>
  </si>
  <si>
    <t>PURCHASE OF HARDWARE MATERIALS FOR LIGTAS COVID-19 TREATMENT &amp; MONITORING FACILITIES</t>
  </si>
  <si>
    <t>Cont. Ref. No. 100-20: Constructions of Footpath with Railings from Municipal Ground to Ayosip Nursery at Poblacion, Itogon, Benguet</t>
  </si>
  <si>
    <t>PURCHASE OF VARIOUS OFFICE SUPPLIES, EQUIPMENTS AND MATERIALS</t>
  </si>
  <si>
    <t>Support to the Linggo Kabataan Celebration of Sangguniang Kabataan of Mandaluyong City</t>
  </si>
  <si>
    <t>LOCAL ACCESS ROAD (Brgy. Lalig)</t>
  </si>
  <si>
    <t>Concreting of Hedriana Street, Pavia, Iloilo</t>
  </si>
  <si>
    <t>RFQ 2020-01-0066-BARTENDING SET FOR BSTM HOTEL LABORATORY</t>
  </si>
  <si>
    <t>RFQ- metering materials</t>
  </si>
  <si>
    <t>PURCHASE OF MATERIALS FOR INSTALLATION WATER PIPE LINES</t>
  </si>
  <si>
    <t>Purchase of Various Medicines for  RHU</t>
  </si>
  <si>
    <t>PROCUREMENT OF MEALS AND SNACKS FOR DRRM CAPABILITY BUILDING,ENHANCEMENT TRAINING,REFRESHER COURSE OF MDRRMO STAFF AND RESPONDERS TRAINING</t>
  </si>
  <si>
    <t>USE FOR THE INSTALLATION OF TRENCH MAINTENANCE BOX-18 UNIT &amp; SAFETY COVER OF EXISTING BOXES AT BONG SOURCE, KABANGKALAN, VILLAHERMOSA, TUDELA, CEBU</t>
  </si>
  <si>
    <t>Reproduction Equipment for use in the Reproduction of Modules and other Instructional Materials, Schools District of Badiangan, Badiangan, Iloilo</t>
  </si>
  <si>
    <t>For use of CMO-Office of the Licensing Officer</t>
  </si>
  <si>
    <t>Supply and Delivery of ICT Equipment for Municipal Budget Office and Radyo Kamalindig</t>
  </si>
  <si>
    <t>rebidding of the requirement “Five (5) Lots Various Construction Materials for the use in the Construction/Rehabilitation of Shoreline Protection Structures along Coastal Barangays, Dumaguete City, Pr</t>
  </si>
  <si>
    <t>Reproduction of School Forms</t>
  </si>
  <si>
    <t>SUPPLY AND DELIVERY OF 23 UNITS CORN MILL</t>
  </si>
  <si>
    <t>Procurement of Infrastructure - Construction of 1 unit Multi-Purpose Pavement</t>
  </si>
  <si>
    <t>(PHRMO) REQUEST FOR QUOTATION (RFQ)  For the Procurement Meals &amp; Snacks, etc. (For Various Trainings and Workshops) For the Provincial Human Resource Management Office--92,000.00</t>
  </si>
  <si>
    <t>Procurement of Hardware and Construction Supplies for TANAWAN</t>
  </si>
  <si>
    <t>Construction Barangay Wharf-Barangay Apad</t>
  </si>
  <si>
    <t>CONSTRUCTION OF SAGASA – GAWAD KALINGA  POTABLE WATER SYSTEM LEVEL II (DEEP WELL)</t>
  </si>
  <si>
    <t>PROCUREMENT OF VARIOUS OFFICE SUPPLIES FOR USE IN PLANNING AND DESIGN SECTION AT DPWH PAMPANGA 3RD DISTRICT ENGINEERING OFFICE</t>
  </si>
  <si>
    <t>Supply and Delivery of CM for the construction of Hanging Bridge Phase I @ Nansipokan, Cabayo NV</t>
  </si>
  <si>
    <t>SUPPLY AND DELIVERY OF VARIOUS LABORATORY SUPPLIES (3 LOTS)</t>
  </si>
  <si>
    <t>Purchase of 2 Unit Printer</t>
  </si>
  <si>
    <t>PURCHASE OF ONE (1) LOT SUPPLIES FOR MDRRMO EMERGENCY USE</t>
  </si>
  <si>
    <t>PROCUREMENT OF SUPPLIES FOR MODULAR LEARNING MATERIALS for Romana C. Acharon Central Elementary School</t>
  </si>
  <si>
    <t>Supply/Delivery of Office Equipment for ISO Surveilance</t>
  </si>
  <si>
    <t>Supply and Delivery of Culture Bottles (200-220ml) under Purchase Request No. 1042-20</t>
  </si>
  <si>
    <t>CPU UNIT FOR OFFICE USE</t>
  </si>
  <si>
    <t>Purchase of one (1) unit Brand New Garbage Truck Compactor</t>
  </si>
  <si>
    <t>Pakyaw of Labor for the Const. of Monitoring Station at Panganason, Kingking, Pantukan</t>
  </si>
  <si>
    <t>2 cu.m Sand, std. specs and other items for continuance construction of Talay Brgy Health Center at Brgy. Talay – 1st Revision.</t>
  </si>
  <si>
    <t>PROCUREMENT FOR THE SUPPLY AND DELIVERY OF ONE (1) UNIT PICK-UP TRUCK</t>
  </si>
  <si>
    <t>Proposed Construction of Perimeter Fence Alagatan Elementary School School, Barangay Alagatan, Gingoog City,  Misamis Oriental</t>
  </si>
  <si>
    <t>13 cu.m Sand, std. specs and other items for completion of the construction. Of 2 storey gender sensitive living quarters of grils CICL/CAR at Dgte. Youth Home Brgy. Talay.</t>
  </si>
  <si>
    <t>Office Supplies - AWAS</t>
  </si>
  <si>
    <t>To hire contractor to provide materials, labor and equipment for two (2) Infrastructure Projects, viz (Dumaguete) (B-110-2020)</t>
  </si>
  <si>
    <t>1ST QUARTER AND 2ND QUARTER NON-COMMON CONSOLIDATED OF OFFICE SUPPLIES MATERIALS AND EQUIPMENTS FOR CY-2020 (REPAIR MAINTENANCE AND MOTOR VEHICLES)</t>
  </si>
  <si>
    <t>Provision of Comfort Rooms in Covered Court (Isolation Facility)</t>
  </si>
  <si>
    <t>Supply and Delivery of the following Office Equipments - 4 units Heavy Duty Duplicator and 4 units Digital Copier for Santa Barbara Central Elementary School</t>
  </si>
  <si>
    <t>PURCHASE OF VARIOUS OFFICE SUPPLIES FOR USE IN DPWH PAMPANGA 3RD DISTRICT ENGINEERING OFFICE (3RD QUARTER) AT ANGELES CITY</t>
  </si>
  <si>
    <t>Supply and Delivery of Diesoline Fuel and Oil</t>
  </si>
  <si>
    <t>2020-07-022: Purchase of Five Hundred (500) Reams of A4 Bond Paper for use of various Sections at DPWH-Bataan 2nd DEO</t>
  </si>
  <si>
    <t>UPLB-RQ-7-161-20-I SUPPLY AND DELIVERY OF CONSTRUCTION PROJECTS FOR CPAF - DO</t>
  </si>
  <si>
    <t>PR-2020-1383 Laboratory Supplies (Negotiated)-CDH</t>
  </si>
  <si>
    <t>Procurement of machinery equipment for Upland Tractor</t>
  </si>
  <si>
    <t>PROCUREMENT OF ONE (1) LOT SUPPLY LABOR AND MATERIALS FOR THE CONSTRUCTION OF ELEVATED WATER TANK PLATFORM FOR THREE (3) EVACUATION CENTERS AT BRGYS. LICOD, CALOGCOG AND EVSU TC, TANAUAN, LEYTE</t>
  </si>
  <si>
    <t>Installation of Air Conditioners including Labor at 24/7 Operations Center and MENR Office</t>
  </si>
  <si>
    <t>Supply and Delivery of CM for the Improvement of Padang, Acacia -Mapayao Road</t>
  </si>
  <si>
    <t>PROCUREMENT OF SUPPLIES FOR MODULAR LEARNING MATERIALS for BAlunto Elementary School, GEneral Santos City</t>
  </si>
  <si>
    <t>Procurement of Civil Works for the Site Dev./Construction/Rehab of Materials Recovery Facility (MRF)</t>
  </si>
  <si>
    <t>Procurement of Office Equipment (Archiving Machine)</t>
  </si>
  <si>
    <t>SUPPLY AND DELIVERY OF GOODS-AGRICULTURAL PRODUCTS</t>
  </si>
  <si>
    <t>CONSTRUCTION OF SOLAR LIGTHINGS-BARANGAY SAN NICOLAS</t>
  </si>
  <si>
    <t>ENCLOSURE OF BPAT / COMPAC BLDG. AT BRGY. CABACUNGAN</t>
  </si>
  <si>
    <t>ITB Procurement of 2 Units Generators for use of Mansalay and Socorro Fire Station, Oriental</t>
  </si>
  <si>
    <t>Procurement of Office and IT Supplies</t>
  </si>
  <si>
    <t>Installation of Street Lighting System at Cabugao-Tigum Road, Pavia, Iloilo</t>
  </si>
  <si>
    <t>RENOVATION OF MULTI-PURPOSE BLDG. AT BRGY. CABACUNGAN</t>
  </si>
  <si>
    <t>PROPOSED PIPELINE REHABILITATION PROJECT FOR GARDEN BLOOM ACRES SUBDIVISION, BRGY. PITOGO, CONSOLACION, CEBU</t>
  </si>
  <si>
    <t>Procurement of Infrastructure - Construction of PDAO Office Extension Building</t>
  </si>
  <si>
    <t>SUPPLY AND DELIVERY OF VARIOUS BOOKS FOR UNIVERSITY OF MAKATI’S LIBRARY SERVICE PROGRAM</t>
  </si>
  <si>
    <t>Various Spare Parts/RE-IB No. K-2020-002</t>
  </si>
  <si>
    <t>REPAIR AND MAINTENANCE OF CONCRETE PAVEMENT @ BRGY. BAYANIHAN</t>
  </si>
  <si>
    <t>BIdding (Infra Project)</t>
  </si>
  <si>
    <t>REPAIR &amp; MAINTENANCE OF MUNICIPAL BUILDINGS &amp; OTHER STRUCTURE</t>
  </si>
  <si>
    <t>PURCHASE OF OFFICE EQUIPMENTS AND FURNITURES</t>
  </si>
  <si>
    <t>SUPPLY AND DELIVERY OF BRAND NEW TRACTOR TRUCK WITH LOW BED SEMI-TRAILER</t>
  </si>
  <si>
    <t>SUPPLY AND DELIVERY OF MEALS FOR VARIOUS ACTIVITIES OF MAKATI CITY POLICE AND PLEB</t>
  </si>
  <si>
    <t>Procurement of Brand New Rescue Equipment Vehicle (Mini Bus)</t>
  </si>
  <si>
    <t>Purchase &amp; Delivery of Office Supplies &amp; Consumables for the Office of SPM Benjamin Maggay</t>
  </si>
  <si>
    <t>construction of Slope Protection</t>
  </si>
  <si>
    <t>Audio and Visual Equipment</t>
  </si>
  <si>
    <t>Improvement of Computer Tables</t>
  </si>
  <si>
    <t>Purchase of Office Equipment for use in the Airconditioning for the New Two (2) Storey DPWH Building, Cotabato 2nd DEO Lanao, Kidapawan City</t>
  </si>
  <si>
    <t>LSI MEALS (EMERGENCY FOR COVID-19)</t>
  </si>
  <si>
    <t>PURCHASE OF OIL, FUEL &amp; LUBRICANTS USE FOR DIFFERENT VEHICLES OF THE LGU FOR THE MONTH OF AUGUST 2020 (FIRE TRUCK, BACKHOE, DUMPTRUCK OLD &amp; NEW, MOTORCYCLES,GRASS CUTTER, SEABORNE PATROL)</t>
  </si>
  <si>
    <t>Supply and delivery of various kinds of Medicines, City Health Office, City of Sto. Tomas, Batangas</t>
  </si>
  <si>
    <t>Installation of Street Lighting System at KABSAKA Road, Pavia, Iloilo</t>
  </si>
  <si>
    <t>Supply and Delivery of 247 sets Complete PPE’s and (5) other items under Purchase Request No. 1051-20</t>
  </si>
  <si>
    <t>REQUEST FOR QUOTATION - Purchase of Semi-Expendable Furnitures and Computer Printer for NPS Region IX</t>
  </si>
  <si>
    <t>Procurement of Infrastructure - Barangay Road Opening from Barangay Site Saoquigue to Diversion Road</t>
  </si>
  <si>
    <t>Procurement of Office Equipment - Speaker</t>
  </si>
  <si>
    <t>Supply of Materials for FMR Caulisihan</t>
  </si>
  <si>
    <t>REQUEST FOR QUOTATION - Purchase of Various Office Supplies NOT Available in PS for NPS Region IX</t>
  </si>
  <si>
    <t>(GO-PDRRMO) REQUEST FOR QUOTATION (RFQ)  For the Procurement of Tarpaulin (4,000 sq.ft) &amp; Stickers (2,000 sq.ft) For the Governor’s Office – Provincial Disaster Risk Reduction &amp; Management Office--160</t>
  </si>
  <si>
    <t>SUPPLY AND DELIVERY OF HYBRID CORN SEEDS (Yellow) GMO</t>
  </si>
  <si>
    <t>Rehabilitation of Concrete Pathway</t>
  </si>
  <si>
    <t>Procurement of Infrastructure-Barangay Road Opening at Ikog Buaya, Sitio Nonocan, Brgy. Dapnan Phase II</t>
  </si>
  <si>
    <t>Installation of Street Lighting System at Anilao-Pagsanga-an Road, Pavia, Iloilo</t>
  </si>
  <si>
    <t>Supply and Delivery of uPVC Pipes</t>
  </si>
  <si>
    <t>Supply of Materials for the FMR Linao-Marao</t>
  </si>
  <si>
    <t>Procurement of Offcie Equipment -Printer</t>
  </si>
  <si>
    <t>Rehabilitation of Street Lights</t>
  </si>
  <si>
    <t>Various Equipment/IB No. MM-2020-029</t>
  </si>
  <si>
    <t>Repair, Improvement and Maintenance of School at Pavia National High School (Repair of Gymnasium)</t>
  </si>
  <si>
    <t>(NVPH) REQUEST FOR QUOTATION (RFQ)  For the Procurement of Rolling Bins (200ltrs) &amp; Hooded Trash Bins For the Nueva Vizcaya Provincial Hospital--112,700.</t>
  </si>
  <si>
    <t>SUPPLY AND DELIVERY OF VARIOUS DIETARY AND OTHER SUPPLIES THROUGH ORDERING AGREEMENT</t>
  </si>
  <si>
    <t>Rehabilitation of Multi Purpose Building Phase II</t>
  </si>
  <si>
    <t>SUPPLY AND DELIVERY OF CT TRIPAK INJECTORS THROUGH ORDERING AGREEMENT</t>
  </si>
  <si>
    <t>Construction of Septic Vault</t>
  </si>
  <si>
    <t>Proposed Construction of Perimeter Fence Gumaod Integrated School, Gumaod, Claveria,  Misamis Oriental</t>
  </si>
  <si>
    <t>Supply of materials for the Construction of Retaining Wall (Grouted Rip-rap)</t>
  </si>
  <si>
    <t>Purchase of Document Envelopes with Handle to be used in Different Public Schools in the Muncipality</t>
  </si>
  <si>
    <t>Procurement Of Furniture ( Tables)</t>
  </si>
  <si>
    <t>Water Service Connection Fittings/Materials</t>
  </si>
  <si>
    <t>Renovation of SK Hall</t>
  </si>
  <si>
    <t>Procurement of Hauling Services, City of Sto. Tomas, Batangas</t>
  </si>
  <si>
    <t>Purchase of One (1) unit DSLR Camera and One (1) unit Notebook with various specifications</t>
  </si>
  <si>
    <t>Purchase of I.T. Equipment for Various Offices of the municipality (Mayor Gerardo Gorriceta Sr. Memorial School, Municipal Treasurer’s Office, Mayor’s Office-MIS, Pavia DILG Office and HRM Office)</t>
  </si>
  <si>
    <t>CONSTRUCTION OF LINE CANAL WITH GRATINGS</t>
  </si>
  <si>
    <t>Bid Supplemental- Procurement of Goods for LGU-Upi Transformer</t>
  </si>
  <si>
    <t>Procurement of Offcie Equipment -Photocopier</t>
  </si>
  <si>
    <t>Expansion of Water System</t>
  </si>
  <si>
    <t>SUPPLY AND DELIVERY OF 25 UNITS MIST BLOWERS FOR DISINFECTION AND DECONTAMINATION OF PUBLIC FACILITIES, MDRRMO, LGU CANDELARIA, QUEZON</t>
  </si>
  <si>
    <t>Fabrication of Furniture and Fixtures  for Various Child Development Centers of the municipality</t>
  </si>
  <si>
    <t>Procurement of Software</t>
  </si>
  <si>
    <t>Bidding (Infra Project)</t>
  </si>
  <si>
    <t>SUPPLY AND DELIVERY OF 40 PIECES WHEELCHAIRS, MSWDO, LGU CANDELARIA, QUEZON</t>
  </si>
  <si>
    <t>PR-2020-07-0035 - Procurement of Cleaning and Janitorial Supplies for use by DPWH Zambales 2nd DEO  Castillejos, Zambales</t>
  </si>
  <si>
    <t>Purchase of Audio Visual System  for Various Child Development Centers of the municipality</t>
  </si>
  <si>
    <t>UPLB-RES-038-08-20  SUPPLY AND DELIVERY OF BRANDED AND BRAND NEW VEHICLES FOR CEAT-AMTEC (3)</t>
  </si>
  <si>
    <t>SUPPLY AND DELIVERY OF CONSTRUCTION MATERIALS USE FOR CONSTRUCTION OF MULTI PURPOSE HALL PHASE III @ BARANGAY CEBULAN ,ESPERANZA ,AGUSAN DEL SUR</t>
  </si>
  <si>
    <t>Renovation/Upgrading of Amparo Barangay Health Station at Barangay Amparo, Pavia, Iloilo</t>
  </si>
  <si>
    <t>PROJ. 253 - YDP 2020</t>
  </si>
  <si>
    <t>Procurement of Appliances ( Refrigerator)</t>
  </si>
  <si>
    <t>Drugs and Medicines/RE-IB No. DD-2020-014(m)</t>
  </si>
  <si>
    <t>Animal Feeds/RE-IB No. AA-2020-003</t>
  </si>
  <si>
    <t>PURCHASE OF MEDICAL SUPPLIES</t>
  </si>
  <si>
    <t>Supply and Delivery of 7 kits Human HBA1C Reagent and (10) other items under Purchase Request No. 1017-20</t>
  </si>
  <si>
    <t>Purchase of Medicines and Medical Supplies</t>
  </si>
  <si>
    <t>Agricultural Supplies</t>
  </si>
  <si>
    <t>Training of Trainers on the NTP Manual of Procedure, 6th Edition</t>
  </si>
  <si>
    <t>Installation of Basketball Court Light</t>
  </si>
  <si>
    <t>SUPPLY AND DELIVERY OF 97,0000 PCS. CACAO CERTIFIED SEEDLINGS</t>
  </si>
  <si>
    <t>Procurement of fire Extinguisher</t>
  </si>
  <si>
    <t>Purchase of Two (2) units Brand New Motorcycles for Pavia Bureau of Fire Protection</t>
  </si>
  <si>
    <t>SUPPLY AND DELIVERY OF VARIOUS BED NETS AND CHEMICAL PRODUCTS, FOR THE DENGUE PREVENTION AND MANAGEMENT PROGRAM, OFFICE OF THE MUNICIPAL MAYOR, LGU CANDELARIA, QUEZON</t>
  </si>
  <si>
    <t>Catering Services for Various Activities of the Sangguniang Bayan Office</t>
  </si>
  <si>
    <t>Procurement of Communication Equipment</t>
  </si>
  <si>
    <t>PUBLIC BIDDING / PR 19-11-1191 Re-Bid / BRAND NEW 4x2 6 WHEELER CAB</t>
  </si>
  <si>
    <t>PURCHASE OF COMMUNICATION SUPPLIES (PREPAID CARDS)</t>
  </si>
  <si>
    <t>Care and Maintenance of Poultry and Swine at Farmville, San Jose, Antique</t>
  </si>
  <si>
    <t>Supply and Delivery of 20 boxes Adhesive Plaster, HypoAllergenic, 1”, 10 yards, 12’s and (110) other items under Purchase Request No. 1024-20</t>
  </si>
  <si>
    <t>Supply and Delivery of Single Aplit air conditioner</t>
  </si>
  <si>
    <t>SUPPLY AND DELIVERY OF VARIOUS OFFICE FURNITURES FOR THE OFFICE OF THE MAYOR AND ADMINISTRATOR, LGU CANDELARIA, QUEZON</t>
  </si>
  <si>
    <t>PR NO. 1919 Labor Services</t>
  </si>
  <si>
    <t>Bid Supplemental- Procurement of High Valued Crops for BDC Projects</t>
  </si>
  <si>
    <t>SUPPLY AND DELIVERY OF ONE (1) UNIT PROJECTOR FOR THE CITY PLANNING AND DEVELOPMENT COORDINATOR’S OFFICE – 2ND BIDDING</t>
  </si>
  <si>
    <t>Supply and Delivery of One (1) Unit GPS</t>
  </si>
  <si>
    <t>REQUEST FOR QUOTATION TO PURCHASE A FIRE HOSE USED AT BFP SAN FRANCISCO FROM THEIR 20% SHARE IN THE FIRE CODE REVENUES.</t>
  </si>
  <si>
    <t>Supply and Delivery of 3 kits HDL-Cholesterol Liquicolor 80ml and (4) other items under Purchase Request No. 1022-20</t>
  </si>
  <si>
    <t>Drugs and Medicines/RE-IB No. MM-2020-023(m)</t>
  </si>
  <si>
    <t>Construction of Sanitary Land Fill</t>
  </si>
  <si>
    <t>Samsung and HP Toners for Production Accounts Division</t>
  </si>
  <si>
    <t>Drugs and Medicines/RE- IB No. MM-2020-022(m)</t>
  </si>
  <si>
    <t>Supply and Delivery of 2 lbs EC medium broth (E.coli medium) anhydrous and (14) other items under Purchase Request No. 1052-20</t>
  </si>
  <si>
    <t>R/M-PROPERTY,PLANT &amp; EQUIPMENT(ELECTRIFICATION)</t>
  </si>
  <si>
    <t>Improvement of Anilao and Jibao-an Child Development Centers (Walling of Material Recovery Facility at Anilao CDC and Concreting of Additional Comfort Room at Jibao-an CDC)</t>
  </si>
  <si>
    <t>Agricultural Seeds/IB No. B-2020-003</t>
  </si>
  <si>
    <t>Appliances/Neg. Proc. No. C-2020-07-002</t>
  </si>
  <si>
    <t>Purchase of Boxing &amp; MMA Equipment &amp; Other Sports Equipment</t>
  </si>
  <si>
    <t>PURCHASE OF 1 UNIT PRINTER WITH SCANNER</t>
  </si>
  <si>
    <t>Printing Services for the 2019 ASPBI Field Operations and Processing Manual</t>
  </si>
  <si>
    <t>Purchase of Furniture and Fixtures for Provincial Jail Office use</t>
  </si>
  <si>
    <t>DRILLING AND PIPELAYING PROJECT IN BARANGAY LIPAY</t>
  </si>
  <si>
    <t>REPAIR OF CONCRETE PAVEMENT AND APPROACH TO TRUCKSCALE WEIGHBRIDGE AT MATUCAY, ALLACAPAN, CAGAYAN</t>
  </si>
  <si>
    <t>RFQ NO. 028-Procurement of 1 Unit Brand New Laptop</t>
  </si>
  <si>
    <t>Drugs and Medicines/RE-IB No. MM-2020-026(m)</t>
  </si>
  <si>
    <t>Procurement of Airconditioning Units</t>
  </si>
  <si>
    <t>Purchase of Glass Pulverizer</t>
  </si>
  <si>
    <t>RENOVATION OF MULTI-PURPOSE STRUCTURE AT BRGY. ROBLES</t>
  </si>
  <si>
    <t>Purchase of Digital Duplicator for the use of the Different Public Schools in the Municipality</t>
  </si>
  <si>
    <t>Purchase of Purified Drinking Water of Different Offices – Mayor’s Office</t>
  </si>
  <si>
    <t>HP Toners for Standard Service</t>
  </si>
  <si>
    <t>PURCHASE OF TWO UNITS OWNER TYPE JEEPNEY AT BARANGAY SAN FRANCISCO CITY OF GENERAL TRIAS CAVITE</t>
  </si>
  <si>
    <t>PURCHASE OF VARIOUS MATERIALS FOR SIX SCHOOLS AT BARANGAY SAN FRANCISCO CITY OF GENERAL TRIAS CAVITE</t>
  </si>
  <si>
    <t>Purchase of 8 bags Pre Starter @ 25 kgs, 20 bags Starter, etc. for use at the Laoag City Breeding Station, Laoag City</t>
  </si>
  <si>
    <t>Supply and Delivery of One (1) Unit Heavy Duty 3 in 1 Multifunctional Digital Copier</t>
  </si>
  <si>
    <t>PROCUREMENT OF CHEMICAL (FERTILIZER AND FUNGICIDE)</t>
  </si>
  <si>
    <t>RENOVATION OF LTO BUILDING FOR DRIVERS EDUCATION CENTER</t>
  </si>
  <si>
    <t>PURCHASE OF VARIOUS MATERIALS FOR CANAL LINING WITH COVER AT BARANGAY SAN FRANCISCO CITY OF GENERAL TRIAS CAVITE</t>
  </si>
  <si>
    <t>Procurement of Engineering Office Equipment</t>
  </si>
  <si>
    <t>Office Supplies/Quotation No. T-2020-07-011</t>
  </si>
  <si>
    <t>STRENGTHENING OF HANGING FOOTBRIDGE AT BARANGAY SAN MATEO, BORONGAN CITY EASTERN SAMAR</t>
  </si>
  <si>
    <t>PR-2020-07-0036 - Purchase of basic tools for BHME and Road Maintenance along DPWH Zambales 2nd DEO</t>
  </si>
  <si>
    <t>SUPPLY AND DELIVERY OF 2 UNITS COLLAPSIBLE TENT</t>
  </si>
  <si>
    <t>LGU-COR. 2020-85</t>
  </si>
  <si>
    <t>PURCHASE OF 1 UNIT CEILING FAN</t>
  </si>
  <si>
    <t>ITB - Restoration and Upgrading of Teachers' Hall Phase 1</t>
  </si>
  <si>
    <t>Procurement of Sodium Bicarbonate and other drugs and medicine</t>
  </si>
  <si>
    <t>Supply &amp; Delivery of Various Chemicals for Languyan DPP, per PR No. S3-LGY20-009 &amp; S3-LGY20-018 (S3-SPUGWM20-014)</t>
  </si>
  <si>
    <t>Supply &amp; Delivery of SDR for main line of water source</t>
  </si>
  <si>
    <t>PROCUREMENT OF SMART TV</t>
  </si>
  <si>
    <t>Rental of Service Vehicle Chargeable to CY 2020 Annual Maintenance Work Program (AMWP) for Inspection and Supervision of Routine/Periodic Maintenance for Roads and Bridges Projects along Banisilan-Gui</t>
  </si>
  <si>
    <t>COMMUNICATION EQUIPMENT/Neg. Proc. No. BB-2020-07-003</t>
  </si>
  <si>
    <t>Supply and Delivery of Battery, 21 Plates + 17 Items for Basilan DPP (S3-BAI20-012)</t>
  </si>
  <si>
    <t>RFQ No. 029- Procurement of Office Equipment (Steel Cabinet, Sleeping Kits, Swivel Chairs)</t>
  </si>
  <si>
    <t>Procurement of Ultrasound Transducer for ultrasound machine</t>
  </si>
  <si>
    <t>ITB - Construction of 3-Phase Power Distribution Line &amp; Installation of Electrical System</t>
  </si>
  <si>
    <t>PR-2020-07-0037 - Purchase of material for Crack &amp; Joint Sealing of Bituminous Pavement along Olongapo-Bugallon Road with exeption, SO1359LZ</t>
  </si>
  <si>
    <t>SUPPLY AND DELIVERY OF VARIOUS CONSTRUCTION MATERIALS FOR THE REHAB OF ST. LIGHTS</t>
  </si>
  <si>
    <t>Procurement of Supplies and Materials for the Construction of Barangay Doors and Window Grills</t>
  </si>
  <si>
    <t>To provide EXCAVATION SERVICES for Manual Construction of 10 units Fish Ponds in various barangays for 2nd Semester 2020 (SVP 20-0473.4)</t>
  </si>
  <si>
    <t>BDRRMC Van Office</t>
  </si>
  <si>
    <t>Purchase of 95 units Branded Laptop for use by Senior High School Learners in the Publci Secondary Schools, Laoag City</t>
  </si>
  <si>
    <t>Reproduction and Delivery of Learning Modules</t>
  </si>
  <si>
    <t>To provide EXCAVATION SERVICES for Manual Construction of 10 units Fish Ponds in various barangays for 2nd Semester 2020 (SVP 20-0473.3)</t>
  </si>
  <si>
    <t>SUPPLY AND DELIVERY OF SERVICE CONNECTION MATERIALS</t>
  </si>
  <si>
    <t>REPAIR AND MAINTENANCE OF CONCRETE PAVEMENT @ M. RAMOS ST., BRGY. MALIGAYA</t>
  </si>
  <si>
    <t>UPLB-RES-035-08-20 PROCUREMENT OF DIAGNOSTIC AND LABORATORY SERVICES FOR BIOTEC</t>
  </si>
  <si>
    <t>PROCUREMENT OF  BUSINESS PLATES  AND TRICYCLE STICKERS</t>
  </si>
  <si>
    <t>20CSZ006 - Consulting Services for the Updating of the Social and Environmental Management System (SEMS) Manual</t>
  </si>
  <si>
    <t>Rental of Service Vehicle for Use in Supervision of Various Projects within the Cotabato Sub-District Engineering office assigned in the Quality Assurance Section (1 unit 4x4) (August 16-31, 2020) (Eq</t>
  </si>
  <si>
    <t>SUPPLY AND DELIVERY OF PORTABLE CARDIAC MONITOR TO BE USED AT MDRRM OFFICE</t>
  </si>
  <si>
    <t>Supply and delivery of materials for the expansion of Potable Water System at brgy. Cabligan, Matanao, Davao del Sur</t>
  </si>
  <si>
    <t>Supply &amp; Delivery of GAD Related Reading Materials</t>
  </si>
  <si>
    <t>2020-RFQ-036 "PURCHASE OF BAKERY EQUIPMENT FOR THE TAU COFFEE SHOP"</t>
  </si>
  <si>
    <t>Request for Quotation (CAD-2020-07-0331 Sofa bed)</t>
  </si>
  <si>
    <t>Supply and Delivery of One (1) Unit Metering Pump</t>
  </si>
  <si>
    <t>REQUEST FOR QUOTATION - SAFETY BARRIER TELLERS STATION &amp; NEW ACCOUNTS</t>
  </si>
  <si>
    <t>PR-2020-07-0038 - Purchase of Traffic Safety Devices Materials, Tools, Equipment and PPE</t>
  </si>
  <si>
    <t>SVP FOR THE BODY REPAIR, REPAINTING, AND REPLACEMENT OF PARTS OF SERVICE VEHICLE TOYOTA INNOVA (SHY 133) OF NFA LEGAZPI REGIONAL OFFICE V</t>
  </si>
  <si>
    <t>Construction Materials for Proposed Two Storey Office Building</t>
  </si>
  <si>
    <t>Rental of Service Vehicle for Roads and Bridges Investigation Activities for DPWH Projects (August 17-31, 2020) (Equipment Rental Only)</t>
  </si>
  <si>
    <t>Supply and Delivery of One (1) Unit Generator Set to be used in the Evacuation Center at Naujan Sports Complex, Naujan, Oriental Mindoro</t>
  </si>
  <si>
    <t>One Job Order Catering Services of Meals for 95 persons a day for 14 days, For food provision of ROF/LSI and Frontliners at the Facilities and Holding Area.</t>
  </si>
  <si>
    <t>Procurement of Various Office Supplies</t>
  </si>
  <si>
    <t>CONCRETING OF FMR (Brgy. Jalandoni-Camancijan, Culasi, Antique)/IB No. K-2020-089(SC)</t>
  </si>
  <si>
    <t>Procurement of Infrastructure and Construction Supplies RFQ No. 500</t>
  </si>
  <si>
    <t>Construction Materials for the project of Proposed Right Wing Canopy @ Covered Court</t>
  </si>
  <si>
    <t>Supply &amp; Delivery of Various Materials for Preventive Maintenance Schedule for Balimbing DPP Under PR#s (S3-BAD20-006 &amp; S3-BAD20-007) (S3-SPUGWM20-001 (Extended)</t>
  </si>
  <si>
    <t>3RD QUARTER MOOE SUPPLIES OF MAYTUBIG ELEM. SCHOOL</t>
  </si>
  <si>
    <t>Supply &amp; Delivery of Supplies &amp; Materials for JRMSU Main Campus Swimming Pool</t>
  </si>
  <si>
    <t>SUPPLY OF LABOR AND EQUIPMENT FOR THE REHABILITATION OF PIPELINE AT PUROK 6, BRGY. PALIHAN, HERMOSA</t>
  </si>
  <si>
    <t>PROCUREMENT OF  FACE  MASKS</t>
  </si>
  <si>
    <t>PR-2020-07-0039 - Purchase of Spare Parts with free installation For the repair of Toyota Hilux SKA 499</t>
  </si>
  <si>
    <t>Supply and Delivery of One (1) Unit Brand New Ten Wheeler Dump Truck to be used in the Rehabilitation and Repair of Damaged Roads, Naujan, Oriental Mindoro</t>
  </si>
  <si>
    <t>Procurement of PPEs to be used by TUPAD Post Covid Beneficiaries in District 1 of Surigao del Sur</t>
  </si>
  <si>
    <t>Supply and Delivery of Nine Thousand (9,000) Bottles of Fresh Carabaos Choc Milk</t>
  </si>
  <si>
    <t>Supply and Delivery of Light Rescue 4x4 Vehicle</t>
  </si>
  <si>
    <t>Cellcards for the Digital Platform re: Monitoring of SWDAs, ABSNet Meetings and Webinar</t>
  </si>
  <si>
    <t>REPAIR AND MAINTENANCE OF RP VEHICLE - 086</t>
  </si>
  <si>
    <t>Supply &amp; Delivery of Battery + 6 Items for Sacol DPP (S3-SCL20-008 (Extended)</t>
  </si>
  <si>
    <t>CONCRETING OF BERI-SAN ANTONIO PROVINCIAL ROAD (Barbaza, Antique)/IB No. K-2020-082(SC)</t>
  </si>
  <si>
    <t>Supply and Delivery of Various Mine Equipment for PNOC EC Mine 3 Coal Development Project  (2 Lots) - Nego. Proc. - Two Failed Biddings</t>
  </si>
  <si>
    <t>Supply of Genuine Desktop Computer and  Brand New Laptop for FLGIS</t>
  </si>
  <si>
    <t>REHABILITATION OF PROVINCIAL ROAD (Boulevard St.) (Boulevard St., Brgy. Poblacion, Laua-an, Antique)/IB. NO. K-2020-088(SC)</t>
  </si>
  <si>
    <t>Supply and Delivery of One (1) Lot Office Supplies</t>
  </si>
  <si>
    <t>SUPPLY AND DELIVERY OF CUSTOMIZED MAILING ENVELOPES</t>
  </si>
  <si>
    <t>UPLB-RES-036-08-20  SUPPLY AND DELIVERY OF BRANDED AND BRAND NEW LABORATORY AND SCIENTIFIC EQUIPMENT FOR BIOTECH AND IFST</t>
  </si>
  <si>
    <t>SUPPLY AND DELIVERY OF FEEDS FOR FISHERFOLK BENEFICIARIES  UNDER SPECIAL AREAS FOR AGRICULTURAL DEVELOPMENT (SAAD) PROGRAMS CY 2020 IN LANAO DEL NORTE (2ND POSTING)</t>
  </si>
  <si>
    <t>SUPPLY AND DELIVERY OF 6,250 SACHET PLANT GROWTH ENHANCER (FOLIAR FERTILIZER) TO BE DISTRIBUTED IN DIFFERENT PROVINCES OF REGION III IN SUPPORT TO THE AGENCY’S FOOD SECURITY PLAN UNDER RICE PROGRAM FO</t>
  </si>
  <si>
    <t>PROCUREMENT OF DRUGS AND MEDICAL SUPPLIES FOR USE IN THE SCHOOL CLINIC</t>
  </si>
  <si>
    <t>SUPPLY AND DELIVERY OF HOSPITAL LABORATORY AND CSR SUPPLIES</t>
  </si>
  <si>
    <t>20GDM0164 (P.R. No. 2020-07-0164) Procurement of Vehicle Parts including Job Order of Service Vehicle w/ DPWH Property No. H1-7928 Detailed at DPWH Quezon III DEO, Catanauan, Quezon</t>
  </si>
  <si>
    <t>INSTALLATION OF RC PIPE CULVERT</t>
  </si>
  <si>
    <t>GULAYAN SA BARANGAY AND GREEN REVOLUTION PROGRAM : LOT 1. PLANTING MATERIALS ( FRUIT TREES) / LOT 2. ASSORTED SEEDLINGS / LOT 3.AGRICULTURAL INPUT</t>
  </si>
  <si>
    <t>RFQ2020-07-044_SUPPLY AND DELIVERY OF VARIOUS WATER SERVICE CONNECTION MATERIALS FOR MAINTENANCE USE FOR 2ND AND 3RD QUARTER PROCUREMENT OF CY 2020</t>
  </si>
  <si>
    <t>RFQ-MOTORCYLE TOOLS</t>
  </si>
  <si>
    <t>CONSTRUCTION OF TWO (2) UNIT COMFORT ROOM</t>
  </si>
  <si>
    <t>20GDM0163 (P.R. No. 2020-07-0163) Procurement of Vehicle Parts including Job Order of Service Vehicle w/ DPWH Property No. H1-7926 Detailed at DPWH Quezon III DEO, Catanauan, Quezon</t>
  </si>
  <si>
    <t>SUPPLY AND DELIVERY OF ICT EQUIPMENT AND SUPPLIES</t>
  </si>
  <si>
    <t>20GDM00162 (P.R. No. 2020-07-0162) Procurement of Vehicle Parts including Job Order of Service Vehicle w/ DPWH Property No. H1-7927 Detailed at DPWH Quezon III DEO, Catanauan, Quezon</t>
  </si>
  <si>
    <t>20GDM0161 (P.R. No. 2020-07-0161) Purchase of Basic Hygiene and Protection Supplies for the Prevention of COVID-19, Office of the District Engineer DPWH Quezon III DEO, Catanauan, Quezon</t>
  </si>
  <si>
    <t>CONSTRUCTION OF SOLAR DRYER</t>
  </si>
  <si>
    <t>Concreting of Brgy. Dolores – Datu Celo FMR, Brgy. Dolores, Antipas, North Cotabato</t>
  </si>
  <si>
    <t>SUPPLY &amp; DELIVERY OF CHEMICALS FOR BALAOAN WD</t>
  </si>
  <si>
    <t>RFQ No. 337-20 ( R ) Constant Climate Chamber with Accessories</t>
  </si>
  <si>
    <t>ITB 07-05-2020 Item A</t>
  </si>
  <si>
    <t>One (1) Lot – Operation and Maintenance Services of Air-conditioning System at ITIOD Data Center, BSP Head Office, as per BSP Terms of Reference</t>
  </si>
  <si>
    <t>CONSTRUCTION OF RESIDUAL CELL WITH TRUCK WEIGHING SCALE AT BRGY.CAPIZ, ALANGALANG, LEYTE</t>
  </si>
  <si>
    <t>Procurement of PPEs to be used by TUPAD Post Covid Beneficiaries in District 2 of Surigao del Sur</t>
  </si>
  <si>
    <t>Agricultural Supplies/Neg. Proc. No. B-2020-07-007</t>
  </si>
  <si>
    <t>Tarpaulin Printing including fabrication of Frame, delivery and installation</t>
  </si>
  <si>
    <t>20GDM0166 (P.R. No. 2020-07-0166) Purchase of IT Equipment (Mobile Phone) to be used in the Multi-Year Programming and Scheduling Application (MYPS) Validation Survey Equipment</t>
  </si>
  <si>
    <t>CONSTRUCTION OF PATHWAY</t>
  </si>
  <si>
    <t>Procurement of Catering Services for NSB - LSP Activities for Bontoc, So. Leyte</t>
  </si>
  <si>
    <t>CONSTRUCTION OF MULTI-PURPOSE CENTER (Barangay Bitadton Norte, Culasi, Antique)/IB No. K-2020-085(SC)</t>
  </si>
  <si>
    <t>Procurement of Infrastructure-Completion for Child Development Center at Sitio Kabutungan</t>
  </si>
  <si>
    <t>CONSTRUCTION OF MULTI-PURPOSE CENTER/EMERGENCY EVACUATION CENTER (Brgy. Bulanao, Libertad, Antique)/IB No. K-2020-087(SC)</t>
  </si>
  <si>
    <t>IMPROVEMENT OF CANALS WITH COVER AND DECLOGGING (PANGASINAN AND BULACAN ALLEYS)</t>
  </si>
  <si>
    <t>Procurement of Infrastructure-Construction of Multi-Purpose Hall</t>
  </si>
  <si>
    <t>SUPPLY AND DELIVERY OF ICT SUPPLIES AND OTHER PERIPHERALS OF EMB REGION VI CY 2020  (TWO FAILED BIDDING)</t>
  </si>
  <si>
    <t>Procurement of Infrastructure - Construction of Potable Water System</t>
  </si>
  <si>
    <t>CONSTRUCTION &amp; IMPROVEMENT OF BRGY. HEALTH CENTER, CONSTRUCTION &amp; REHABILITATION OF MULTI-PURPOSE HALL AND CONSTRUCTION OF 92 ln.m. CONCRETE PAVEMENT (92 Ln.m X 4m X 200mm thk. With 150mm Base course)</t>
  </si>
  <si>
    <t>20GDM0170 (P.R. No. 2020-07-0170) Purchase of Survey Tools, Supplies &amp; Devices to be used in the Conduct of Bridge Condition Survey within Quezon III Legislative District</t>
  </si>
  <si>
    <t>INVITATION TO BID FOR THE SUPPLY OF LABOR AND MATERIALS FOR  SITE DEVELOPMENT OF DENR RIV-A REGIONAL OFFICE</t>
  </si>
  <si>
    <t>PROCUREMENT OF ONE (1) UNIT RESCUE VEHICLE 2.2 L 4x4 Manual Transmission</t>
  </si>
  <si>
    <t>Supply and Delivery of Fishing Gears and Paraphernalia for the Implementation of the Fisheries Projects/ Programs CY 2020</t>
  </si>
  <si>
    <t>20GDM0168 (P.R. No. 2020-07-0168) Purchase of Survey Supplies &amp; Devices to be used in the Conduct of Annual Road Condition (RoCond) Survey  within Quezon III Legislative District</t>
  </si>
  <si>
    <t>Rental of Service Vehicle for Supervision/Implementation of Regular Infra Projects (August 16-31, 2020) (Equipment Rental Only)</t>
  </si>
  <si>
    <t>INSTALLATION OF SOLAR POWERED STREET LIGHTING FACILITIES</t>
  </si>
  <si>
    <t>PURCHASE OF FURNITURE &amp; FIXTURES</t>
  </si>
  <si>
    <t>Various Materials</t>
  </si>
  <si>
    <t>INSTALLATION OF RADIO COMMUNICATION EQUIPMENT</t>
  </si>
  <si>
    <t>Construction of 4m x 6m RCBC in Barangay Pag-alad</t>
  </si>
  <si>
    <t>Procurement of Confirmatory Test Reagents for HIV 1 &amp; 2 with Machine Tie-Up  under NP No. 2020 - 034</t>
  </si>
  <si>
    <t>INSTALLATION OF AIR-CONDITIONING UNIT (OFFICE EQUIPMENT)</t>
  </si>
  <si>
    <t>20FL0087-Concreting of Brgy. San Antonio to Brgy. Manlabong FMR</t>
  </si>
  <si>
    <t>SUPPLY AND DELIVERY OF NON-PERISHABLE GOODS</t>
  </si>
  <si>
    <t>Goods 2020-018 Supply and Delivery of  Computer Equipment (Laptop and Printer)  and Nine (9) units Office Equipment (aircondition)</t>
  </si>
  <si>
    <t>Procurement of Infrastructure-Repair and Dredging of Banahaw Creek/Spillway and Dredging of Pagkusahan Creek</t>
  </si>
  <si>
    <t>PURCHASE OF DRUGS AND MEDICINES</t>
  </si>
  <si>
    <t>INVITATION TO BID FOR THE  PROJECT: SUPPLY AND DELIVERY OF AMBULANCE MEDICAL EQUIPMENT AND INSTRUMENTS │ ITB NO. 2020-07-018</t>
  </si>
  <si>
    <t>SUPPLY AND DELIVERY OF MEDICINES AND HOSPITAL PHARMACY SUPPLIES</t>
  </si>
  <si>
    <t>Repair of RCPC Canal in Poblacion, San Andres, Romblon</t>
  </si>
  <si>
    <t>SUPPLY AND DELIVERY OF 8,346 BAGS HYBRID RICE SEEDS IN SUPPORT TO THE AGENCY’S FOOD SECURITY PLAN AMIDST COVID-19 UNDER RICE PROGRAM FOR CY 2020</t>
  </si>
  <si>
    <t>CCTV camera installations</t>
  </si>
  <si>
    <t>Supply &amp; Delivery of Various Materials and Tools for the Repair of Siburan Sub-Prison Facilities (2Lots)</t>
  </si>
  <si>
    <t>SUPPLY AND DELIVERY OF BICYCLES FOR SK PROJECT</t>
  </si>
  <si>
    <t>PROCUREMENT OF WAREHOUSE HANDLING(AND ALLIED) SERVICES FOR GRAINS OF NFA REGION XI FOR THE YEAR 2020</t>
  </si>
  <si>
    <t>PURCHASE OF OFFICE SUPPLIES AND MATERIALS</t>
  </si>
  <si>
    <t>SUPPLY &amp; DELIVERY OF TWO (2) UNITS PORTABLE HEAVY DUTY MONEY COUNTER</t>
  </si>
  <si>
    <t>PROCUREMENT OF GOODS (Municipal Nutrition Council)</t>
  </si>
  <si>
    <t>Motor Oil</t>
  </si>
  <si>
    <t>CONSTRUCTION OF FOOTBRIDGE @ SITIO CANSAMIO, BRGY. SAN VICENTE</t>
  </si>
  <si>
    <t>Supply, Delivery and Commissioning of Submersible Pumps and Motors, Motor Controller (VFD) and Accessories for PS No. 7</t>
  </si>
  <si>
    <t>SCHOOL SUPPLIES 800 SETS (SK PROJECT)</t>
  </si>
  <si>
    <t>Invitation to Bid for the Improvement of farm to market Road at Brgy. Paitan Sta. Maria Pangasinan</t>
  </si>
  <si>
    <t>HYGIENE KIT 800 SETS (SK PROJECT)</t>
  </si>
  <si>
    <t>Medical Health Service at Barangay Ligtong III, Rosario, Cavite</t>
  </si>
  <si>
    <t>20GDM0169 (P.R. No. 2020-07-0169) Purchase of Tools and Supplies to be used in the preparation of Annual Road Slope Management (RSM) within Quezon III Legislative District</t>
  </si>
  <si>
    <t>Medical and drugs supplies</t>
  </si>
  <si>
    <t>Supply and Installation of Elevator Equipment (GOODS-20-40)</t>
  </si>
  <si>
    <t>Supply and Delivery of Cast Iron (CI) Fittings</t>
  </si>
  <si>
    <t>20GG0057-G - PROCUREMENT OF ELECTRICAL MATERIALS FOR THE LIGHTING MAINTENANCE OF DPWH - ILOILO 2ND DEO, BALABAG, DUMANGAS, ILOILO</t>
  </si>
  <si>
    <t>Supply and Delivery of Flashdrive Units for Flexible Learning</t>
  </si>
  <si>
    <t>20PJ0034: LOCAL INFRASTRUCTURE PROGRAM - IMPROVEMENT OF MULTI-PURPOSE BUILDING, POSNAAN, AGUINALDO, IFUGAO</t>
  </si>
  <si>
    <t>PURCHASE OF DRUG TESTING KIT</t>
  </si>
  <si>
    <t>METAL FABRICATION</t>
  </si>
  <si>
    <t>MACHINERY AND EQUIPMENT</t>
  </si>
  <si>
    <t>PROVISION OF FOOTWALK FROM SCHOOL ENTRANCE TO SCHOOL EXIT (F.Y. 2020)</t>
  </si>
  <si>
    <t>Purchase of Hardware and Construction Supplies for BatStateU-ARASOF Nasugbu</t>
  </si>
  <si>
    <t>Procurement of Fuel PR # 2020-07-17-255</t>
  </si>
  <si>
    <t>Office Supplies and Construction Supplies</t>
  </si>
  <si>
    <t>Procurement of Hardware Supplies PR # 2020-07-17-250, 2020-07-17-253, 2020-07-17-254, 2020-07-17-255-A, 2020-07-17-256</t>
  </si>
  <si>
    <t>Supply and Delivery of Assorted Service Connection Materials</t>
  </si>
  <si>
    <t>Supply &amp; Delivery of  GPS Unit</t>
  </si>
  <si>
    <t>Medical Health Service at Barangay Silangan II, Rosario, Cavite</t>
  </si>
  <si>
    <t>Supply, Delivery and Commissioning of Submersible Pumps and Motors with Accessories for PS No. 4, PS N0. 9 and PS No. 9A</t>
  </si>
  <si>
    <t>Supply and  Delivery of Medical Supplies</t>
  </si>
  <si>
    <t>Procurement of Prepaid Cards &amp; Office Supplies &amp; Devices PR # 2020-07-15-241, 2020-07-15-242, 2020-07-15-244, 2020-07-15-247, 2020-07-15-248 &amp; 2020-07-17-259</t>
  </si>
  <si>
    <t>SUPPLY, DELIVERY &amp; CONSTRUCTION OF STOCKROOM &amp; RENOVATION OF RESTROOM</t>
  </si>
  <si>
    <t>PROPOSED CONSTRUCTION OF LINE CANAL WITH COVER AT BRGY. SAN RAFAEL, SAN PABLO CITY</t>
  </si>
  <si>
    <t>Hiring of Consultant for the Design and Development of Online Peer Education (PE) Program, PE Manual, Job Aids and Monitoring and Evaluation Mechanisms (Duration: August to October 2020)</t>
  </si>
  <si>
    <t>Office Supplies 01</t>
  </si>
  <si>
    <t>PURCHASE OF FOOD AND NON-FOOD ITEMS FOR STOCKPILE OF FAMILY FOOD PACKS (FFP)</t>
  </si>
  <si>
    <t>Procurement of Food Stuff (rice, etc.) PR # 2020-07-16-249</t>
  </si>
  <si>
    <t>Health and Safety Supplies</t>
  </si>
  <si>
    <t>Procurement of Goods ITB No. 20-12</t>
  </si>
  <si>
    <t>Supply and Delivery of Assorted Materials for the Establishment of District Metering Area</t>
  </si>
  <si>
    <t>Procurement of Security Services for Angat Hydroelectric Power Plant</t>
  </si>
  <si>
    <t>GARBAGE WASTE DISPOSAL</t>
  </si>
  <si>
    <t>MAINTENANCE OF MOTOR SERVICE VEHICLE, REPAIR, SERVICING &amp; PARTS</t>
  </si>
  <si>
    <t>Procurement of Security Services for Mexico Central Warehouse and Stockyard</t>
  </si>
  <si>
    <t>Procurement of Security Services for San Roque Multi-Purpose Facilities and Boundaries</t>
  </si>
  <si>
    <t>Fabrication/Installation of stainless steel gate for various elementary schools in Calumpit, Bulacan</t>
  </si>
  <si>
    <t>Procurement of Security Services for Pulangui IV Hydroelectric Power Plant and General Santos Land Property</t>
  </si>
  <si>
    <t>EXTENSION OF BARANGAY HALL</t>
  </si>
  <si>
    <t>Printing services</t>
  </si>
  <si>
    <t>Supply, Delivery and Commissioning of Submersible Pumps and Motors, Motor Controller (VFD) and Accessories for PS No. 8</t>
  </si>
  <si>
    <t>Procurement of Security Services for South Luzon Plants, Facilities &amp; Installations</t>
  </si>
  <si>
    <t>PURCHASE OF BUSINESS PLATE</t>
  </si>
  <si>
    <t>Procurement of One (1) Unit Bottle Crusher</t>
  </si>
  <si>
    <t>Supply and Delivery of Laptop</t>
  </si>
  <si>
    <t>INVITATION TO BID Printing, Binding, Packaging and Delivery of Self Learning Modules</t>
  </si>
  <si>
    <t>Expansion of Potable Water Supply System (Bul. &amp; Aur.)</t>
  </si>
  <si>
    <t>Construction of Sanitary Landfill Cell I</t>
  </si>
  <si>
    <t>Procurement of Fuel &amp; Lubricants PR # 2020-07-17-258</t>
  </si>
  <si>
    <t>RFQ 2020-07-446 Procurement of Food and Drinks for DTCAM</t>
  </si>
  <si>
    <t>Expansion of Potable Water Supply System (Baresbes)</t>
  </si>
  <si>
    <t>Construction of Sanitary Landfill Accessories Support Facilities</t>
  </si>
  <si>
    <t>Expansion of Potable Water Supply System (Caliat)</t>
  </si>
  <si>
    <t>Installation of Agat-Maluad Street Lights</t>
  </si>
  <si>
    <t>Repair/Improvement of Drainage Canal at Barangay Zone IV, San Roque N. Samar</t>
  </si>
  <si>
    <t>Fencing of Tumalip Open Gymnasium and Civic Center</t>
  </si>
  <si>
    <t>Const. Materials for use in the Maintenance of National Roads and Bridges, Isabela City DEO</t>
  </si>
  <si>
    <t>Supply of materials &amp; rental of concrete mixer for the concreting of barangay road</t>
  </si>
  <si>
    <t>Supply And Delivery of Spare Parts for the needs of MENRO Equipment, Brooke’s Point, Palawan</t>
  </si>
  <si>
    <t>SUPPLY AND DELIVERY OF MONOBLOC CHAIRS FOR SENIOR CITIZENS ASSOCIATION IN 27 BARANGAYS OF LGU TULUNAN,COTABATO</t>
  </si>
  <si>
    <t>Supply and Delivery of 31 pails Chlorine 70-G (Lot #1) and 13 box Chlorine Test Kit (Lot #2) to be used for the Operation of Water System, Brooke’s Point, Palawan</t>
  </si>
  <si>
    <t>PROVISION OF INK FOR THE PRINTING OF MODULES FOR SY 2020 - 2021</t>
  </si>
  <si>
    <t>Procurement of Books PR # 2020-07-20-266</t>
  </si>
  <si>
    <t>Supply and Delivery of Portable Hygrometer and Anenometer</t>
  </si>
  <si>
    <t>SUPPLY AND DELIVERY OF ANTI-RABIES VACCINES</t>
  </si>
  <si>
    <t>Concreting of Barangay Road at Sitio Cumba, San Jose Sico, Batangas City</t>
  </si>
  <si>
    <t>Lubricants for use in the various Service Vehicle of the Maintenance Section (Equipment Services Unit), DPWH Isabela City DEO</t>
  </si>
  <si>
    <t>PROCUREMENT OF VARIOUS MATERIALS FOR THE REPAIR AND MAINTENANCE OF OBW MULTI PURPOSE VEHICLE</t>
  </si>
  <si>
    <t>Painting and Floor Tiles of Brgy. Hall</t>
  </si>
  <si>
    <t>Maintenance and Technical Support Services for the existing IBM Pure Application System (PureApps) Appliances of the BSP</t>
  </si>
  <si>
    <t>IMPROVEMENT OF MULTI-PURPOSE BUILDING / BARANGAY HALL</t>
  </si>
  <si>
    <t>Construction/Improvement of Drainage Canal</t>
  </si>
  <si>
    <t>PROCUREMENT OF PRINTING AND DELIVERY OF LEARNER'S MODULE</t>
  </si>
  <si>
    <t>20CSKC0002: CONDUCT OF ROAD SURVEY FOR FY 2021 REGULAR INFRASTRUCTURE PROJECTS: MANOLO FORTICH, SUMILAO, LIBONA, MALITBOG, TALAKAG, KALILANGAN &amp; PANGANTUCAN, BUKIDNON</t>
  </si>
  <si>
    <t>SUPPLY AND DELIVERY OF SURVEYING INSTRUMENT (GPS) AND IT EQUIPMENT TO BE USED FOR GEOTAGGING ACTIVITY OF THE MUNICIPAL ENGINEERING OFFICE, LLGU TULUNAN, COTABATO</t>
  </si>
  <si>
    <t>Fuel for use in the Maintenance of National Roads and Bridges, Isabela City DEO</t>
  </si>
  <si>
    <t>Hiring of Individual Consultant/Institutional Service Provider to Design, Development and Pilot-Run of E-Learning Platform for Pre-Marriage Orientation (PMO) and Sexually Healthy and Personally Empowe</t>
  </si>
  <si>
    <t>Invitation to Bid for the Rehabilitation of Water Treatment System for Turbidity Removal at Salapac, Poblacion, Aringay, La Union.</t>
  </si>
  <si>
    <t>Invitation to Bid for the Construction of Waste Water Facility at Public Market, San Benito Sur, Aringay, La Union.</t>
  </si>
  <si>
    <t>REPRODUCTION OF MODULAR INSTRUCTIONAL MATERIALS- DEPED</t>
  </si>
  <si>
    <t>PROVISION OF SEMI EXPENDABLE, SUPPLIES, MATERIALS FOR PRINTING OF THE MODULES FIRST SEMESTER SY 2020 - 2021</t>
  </si>
  <si>
    <t>Local School Board Modules</t>
  </si>
  <si>
    <t>Invitation to Bid for the Improvement of Child Development Center at Sta. Cecilia, this municipality</t>
  </si>
  <si>
    <t>DESKTOP COMPUTER- MEO</t>
  </si>
  <si>
    <t>Invitation to Bid for the Improvement of Farmer's Multi-Purpose Building at San Juan East, this municipality</t>
  </si>
  <si>
    <t>Deep Cycle Batteries for use in the replacement of UPS Battery of the Network Room, DPWH Isabela City DEO</t>
  </si>
  <si>
    <t>Invitation to Bid for the Construction of Slope Protection at Zone 1, San Eugenio Creek, San Eugenio, Aringay, La Union.</t>
  </si>
  <si>
    <t>Fuel for use in the Office of the District Engineer, Isabela City DEO</t>
  </si>
  <si>
    <t>SUPPLY AND DELIVERY OF MATERIALS FOR CONSTRUCTION OF WATER SYSTEM AT PUROK 1 AND 3, PUALAS, BAUNGON, BUKIDNON</t>
  </si>
  <si>
    <t>INSTALLATION OF LED STREET LIGHTS (LOTE IMBATUG-NICDAO, BAUNGON, BUK.)</t>
  </si>
  <si>
    <t>Fuel for use in the Construction Section, Isabela City DEO</t>
  </si>
  <si>
    <t>Supply and Delivery of Spare parts for the use of Municipal Health Office Vehicle, Brooke’s Point, Palawan</t>
  </si>
  <si>
    <t>SB MEALS AND SNACKS</t>
  </si>
  <si>
    <t>INSTALLATION OF LED SOLAR STREET LIGHTING SYSTEM (CROSSING KAMATAYAN, NICDAO TO LINGATING, BAUNGON, BUKIDNON)</t>
  </si>
  <si>
    <t>Invitation to Bid for the Completion of Rural Health Unit 1 at Poblacion, Aringay, La Union.</t>
  </si>
  <si>
    <t>Procurement of ICT Equipment of POPCOM (Computer Accessories)</t>
  </si>
  <si>
    <t>Const. Materials for use in the Const. Section for Tapped Water to Bunkhouse by Proj. Inspector and Proj. Engr. at Tumahubong-Sumisip-Maluso Section</t>
  </si>
  <si>
    <t>PURCHASE OF COMPUTER</t>
  </si>
  <si>
    <t>20CSKC0001: CONDUCT OF PARCELLARY SURVEY ALONG 1ST LEGISLATIVE DISTRICT NATIONAL ROADS: SAYRE HIGHWAY (ALAE-KISOLON)</t>
  </si>
  <si>
    <t>CONCRETING OF PATHWAY AT TALISAY ST., BRGY. LIGTONG I, ROSARIO, CAVITE</t>
  </si>
  <si>
    <t>Supply and delivery of One (1) unit OF Table Top Electronic Digital Score Board for Basket Ball to be used for Sangguniang Kabataan Activity, Brooke’s Point, Palawan</t>
  </si>
  <si>
    <t>Cost of Labor and Materials for the Construction of Health Center at Anabu II-D</t>
  </si>
  <si>
    <t>SUPPLY AND DELIVERY OF ASSISTIVE DEVICES FOR PERSONS WITH DISABILITY IN THE MUNICIPALITY OF TULUNAN, COTABATO</t>
  </si>
  <si>
    <t>Fuel for use in the Monitoring Unit, Isabela City DEO</t>
  </si>
  <si>
    <t>20GG0056-G - PROCUREMENT OF ROAD SAFETY DEVICES AND SUPPLIES FOR THE USE OF PLANNING AND DESIGN SECTION, DPWH - ILOILO 2ND DEO, BALABAG, DUMANGAS, ILOILO</t>
  </si>
  <si>
    <t>PROJECT: CONSTRUCTION OF FARMERS POST HARVEST FACILITY</t>
  </si>
  <si>
    <t>Medical Health Service at Barangay Bagbag II, Rosario, Cavite</t>
  </si>
  <si>
    <t>PROJECT: CONCRETING OF FARM TO MARKET ROAD</t>
  </si>
  <si>
    <t>Purchased of Power Generator</t>
  </si>
  <si>
    <t>Office Supplies for use in the Human Resource and Administrative Section, Isabela City DEO</t>
  </si>
  <si>
    <t>Supply and Delivery of Various Furniture &amp; Fixtures (MPDO)</t>
  </si>
  <si>
    <t>Package 15 (A. Impugong-Eheb-Tukucan Core Road Improvement, B. Ambotdan Road improvement-Tukucan)</t>
  </si>
  <si>
    <t>Package 14 (A. Gumhang MRF Construction, B. Ahbunan FP-Hand Rails Construction-Gumhang, C. Kulog-Malinghi FMR Improvement (Bekeh Section), and D. Awa-Bekeh FMR Improvement)</t>
  </si>
  <si>
    <t>INVITATION TO BID FOR THE SUPPLY AND DELIVERY OF SIXTEEN (16) UNITS OF CCTV CAMERAS AND ACCESSORIES WITH INSTALLATION</t>
  </si>
  <si>
    <t>DELIVERY OF GOODS FOR IMPROVEMENT OF WATER SYSTEM (CONTINUING)</t>
  </si>
  <si>
    <t>PROJECT: REHABILITATION/CONCRETING OF FARM TO MARKET ROAD</t>
  </si>
  <si>
    <t>Civil Works by Contract for the Improvement of Market Building</t>
  </si>
  <si>
    <t>REPLACEMENT OF DOORS AND WINDOWS OF MULTI-PURPOSE HALL</t>
  </si>
  <si>
    <t>PROJECT: CONSTRUCTION OF REINFORCED CONCRETE BOX CULVERT</t>
  </si>
  <si>
    <t>20A00218: Construction of Makeshift Healthcare Facilities (Quarantine/Isolation Facilities) for COVID-19 Patients</t>
  </si>
  <si>
    <t>Supply and Delivery of Medical and Laboratory Supplies for San Marcelino District Hospital (SMDH) and Candelaria District Hospital (CDH)</t>
  </si>
  <si>
    <t>Supply and Delivery of One (1) Lot Various Materials for the Rehabilitation of Wet Market Building</t>
  </si>
  <si>
    <t>Hardware &amp; Construction Supplies</t>
  </si>
  <si>
    <t>Upgrading of School Ground at Sapang Kawayan Elementary School Brgy.Sapang Kawayan</t>
  </si>
  <si>
    <t>PURCHASE OF MULTI-PURPOSE MOTORCYCLE</t>
  </si>
  <si>
    <t>Procurement of A4 Bond Paper</t>
  </si>
  <si>
    <t>20CSA011: Feasibility Study of Proposed Construction of Bypasses/ Diversion Roads, Construction of Alaminos-Lucap Bypass Road</t>
  </si>
  <si>
    <t>GOODS 2020-019 SUPPLY AND DELIVERY OF BLINDS, CITY DIVISION OFFICE</t>
  </si>
  <si>
    <t>SUPPLY, DELIVERY AND INSTALLATION OF PLASTIC PROTECTIVE SHEETS</t>
  </si>
  <si>
    <t xml:space="preserve">One (1) lot Supply, Delivery, Commissioning and Testing of Two (2) units – Industrial Coin Counting Machine including Operational and Safety Training, as per BSP Technical Specifications and Terms of </t>
  </si>
  <si>
    <t>INVITATION TO BID FOR THE  PROJECT: SUPPLY AND DELIVERY OF LAUNDRY EQUIPMENT │ ITB NO. 2020-07-017</t>
  </si>
  <si>
    <t>Supply and Delivery of Drugs and Medicines for Candelaria District Hospital (CDH), Candelaria</t>
  </si>
  <si>
    <t>Concreting of Brgy. Manobo to Sitio Punong FMR, Brgy. Manobo, Magpet, North Cotabato</t>
  </si>
  <si>
    <t>Materials, Labor and Installation of HDPE Cage</t>
  </si>
  <si>
    <t>20GDM0167 (P.R. No. 2020-07-0167) Purchase of Supplies &amp; Devices to be used in the Preparation of Annual Pavement Management System (PMS)</t>
  </si>
  <si>
    <t>PURCHASE OF ONE (1) UNIT BRAND NEW PASSENGER VAN</t>
  </si>
  <si>
    <t>20GG0055-G - Procurement of Fuel – Diesel for Use of Various Basic Highway Maintenance Equipment Assigned for the  Repair and Maintenance of National Roads of DPWH Iloilo 2nd DEO, Balabag, Dumangas Il</t>
  </si>
  <si>
    <t>Installation and Delivery of Public  Address Sysytem-Brgy. Lucmayan</t>
  </si>
  <si>
    <t>UL PR-11170-Toner Cartridges</t>
  </si>
  <si>
    <t>Procurement of IT device and accessories for Municipal Tourism &amp; Information Office</t>
  </si>
  <si>
    <t>REHABILITATION OF HANDWASHING AREA, LCR &amp; ACCOUNTING OFFICE (Const'n/Rehab. of Municipal hall building)</t>
  </si>
  <si>
    <t>SUPPLY AND DELIVERY OF VARIOUS ICT EQUIPMENT OF EMB REGION VI CY 2020 (TWO FAILED BIDDING)</t>
  </si>
  <si>
    <t>CONSTRUCTION OF EVACUATION CENTER MESS HALL BUILDING</t>
  </si>
  <si>
    <t>LOCAL ACCESS ROAD - UPGRADING OF LOPEZ JAENA ST., RIZAL, DIFFUN, QUIRINO</t>
  </si>
  <si>
    <t>20CSGG0002 - SUB-SURFACE EXPLORATION FOR THE PROPOSED REHABILITATION/ RECONSTRUCTION OF NATIONAL ROADS WITH SLIPS, SLOPE COLLAPSE, LANDSLIDE ALONG NATIONAL ROADS, CONSTRUCTION/MAINTENANCE OF FLOOD MIT</t>
  </si>
  <si>
    <t>Procurement of Diesel Fuel-07-427(A)PGO</t>
  </si>
  <si>
    <t>IMPROVEMENT &amp; MAINTENANCE OF MUNICIPAL ST./ROADS, BANNAWAG, DIFFUN QUIRINO</t>
  </si>
  <si>
    <t>Procurement of Various IT Equipment-07-410(A)PGO</t>
  </si>
  <si>
    <t>REHABILITATION/ IMPROVEMENT OF POBLACION-ISIDRO PAREDES-SAN ISIDRO ROAD (PHASE II)</t>
  </si>
  <si>
    <t>Contruction of Materials Recovery Facility</t>
  </si>
  <si>
    <t>PROCUREMENT OF SERVICE VEHICLE</t>
  </si>
  <si>
    <t>IMPROVEMENT OF PARKS AND PLAZA</t>
  </si>
  <si>
    <t>IMPROVEMENT/REPAIR OF TANGALAN SPORTS &amp; CULTURAL CENTER</t>
  </si>
  <si>
    <t>Purchase of Sports Supplies for Sports Committee</t>
  </si>
  <si>
    <t>PROCUREMENT OF OFFICE SUPPLIES (VM/SB OFFICE)</t>
  </si>
  <si>
    <t>Procurement of Materials for the Repair of Municipal Building</t>
  </si>
  <si>
    <t>PURCHASE OF FURNITURE AND FIXTURE</t>
  </si>
  <si>
    <t>S &amp; D of Const. Mat. - Rehab. of Brgy. Nakanmuan MPB (PEO)</t>
  </si>
  <si>
    <t>Purchase of Writing &amp; Counting Books for Day Care Centers, Gerona, Tarlac</t>
  </si>
  <si>
    <t>Supply and Delivery of Materials on the Proposed Installation of 36" Dia. RCPC</t>
  </si>
  <si>
    <t>HP Toners for Satellite Accounts Division</t>
  </si>
  <si>
    <t>S &amp; D of IEC/Advocacy Materials (PGO-Nutrition Section)</t>
  </si>
  <si>
    <t>REPAIR / REHABILITATION OF FOOT BRIDGE &amp; HANGING BRIDGE</t>
  </si>
  <si>
    <t>Rehabilitation/Improvement of Water System</t>
  </si>
  <si>
    <t>Procurement of BOWA Multi Tilling Machine with Complete Accessories</t>
  </si>
  <si>
    <t>Procurement of Rice Transplanter (Walk Behind)</t>
  </si>
  <si>
    <t>PROJECT: CONSTRUCTION OF SLOPE PROTECTION</t>
  </si>
  <si>
    <t>Procurement of Books for Day Care and SNP Children</t>
  </si>
  <si>
    <t>PROCUREMENT OF AIR CONDITIONING UNITS</t>
  </si>
  <si>
    <t>REHAB./CONC.OF ROAD AT LOWER SIBATANG NEAR LENGUE NATIONAL HS, LOWER SIBATANG    2SAIP20-8000-C1a9</t>
  </si>
  <si>
    <t>CONC./IMPVT.OF ROAD LEADING TO MUSLIM VILLAGE, BRGY.KAWIT  2SAIP20-8000-C1a1</t>
  </si>
  <si>
    <t>CONC./IMPVT.OF ROAD NEAR DAMPALAN SPILLWAY (AT DIFFICULT PORTION)   2SAIP20-8000-C1a8 , DAMPALAN</t>
  </si>
  <si>
    <t>Supply and Delivery of Medicines, Medical and Laboratory  Supplies for 3rd and 4th Quarter 2020</t>
  </si>
  <si>
    <t>Procurement of Various Medicines and Medical Supplies</t>
  </si>
  <si>
    <t>Rental of Service Vehicle Chargeable to CY 2020 Annual Maintenance Work Program (AMWP) for Inspection and Supervision of Routine/Periodic Maintenance for Roads and Bridges (August 16-31, 2020) (Equipm</t>
  </si>
  <si>
    <t>B-046-2020 UPGRADE OF MARITIME EDUCATION LABORATORIES AND EQUIPMENT</t>
  </si>
  <si>
    <t>PIPELAYING PROJECT IN BACAG WEST</t>
  </si>
  <si>
    <t>Proposed Anuling Road Extension Upgrading at Barangay Anuling Cerca II, Mendez, Cavite</t>
  </si>
  <si>
    <t>Provision of services for the appraisal/valuation of Lubao Water District properties located in various locations in Lubao, Pampanga</t>
  </si>
  <si>
    <t>PROCUREMENT OF SIX (6) UNITS BIOMETRC  FACE AND FINGERPRINT TIME ATTENDANCE</t>
  </si>
  <si>
    <t>Consulting Services for the Preparation of Complete Design and other Relevant Documents for the Proposed Construction of OMSC Three-Storey 15- Classroom Building</t>
  </si>
  <si>
    <t>Proposed Construction of RCDG Bridge Phase II at Barangay Galicia I and Barangay Bukal, Mendez, Cavite</t>
  </si>
  <si>
    <t>'Tarpaulin Printing including fabrication of Frame, delivery and installation.</t>
  </si>
  <si>
    <t>Rental of Service Vehicle for Road Slope and Survey Investigation Activities for DPWH Projects (August 17-31, 2020) (Equipment Rental Only)</t>
  </si>
  <si>
    <t>Procurement of Tent Indoor</t>
  </si>
  <si>
    <t>REHABILITATION OF SPRING POTABLE WATER SYSTEM (Brgy. San Gregorio, Culasi, Antique)/IB No. K-2020-084 (SC)</t>
  </si>
  <si>
    <t>Supply and Delivery of One (1) Unit Heavyduty Photocopier Machine</t>
  </si>
  <si>
    <t>Supply and Delivery of Dialysis Supplies</t>
  </si>
  <si>
    <t>CONCRETING OF FMR (Sitio Agusipan, Trinidad-Bagumbayan, San Remigio, Antique)/IB. NO. K-2020-081(SC)</t>
  </si>
  <si>
    <t>IMPVT/WIDENING OF ROAD OF AQUINO ST. (SABATE ST. - NORTHWARD)     DF20-8000-B1m, SAN JOSE</t>
  </si>
  <si>
    <t>Construction of Flood Control</t>
  </si>
  <si>
    <t>S &amp; D of Hauling Truck (P. Agri)</t>
  </si>
  <si>
    <t>Purchase of Medicines (Anti-Rabies)</t>
  </si>
  <si>
    <t>Supply &amp; Installation of Deep Well Drilling for the Establishment of Solar Pump (P. Agri)</t>
  </si>
  <si>
    <t>Supply and delivery of one (1) lot SERVER (iHOMIS) and one (1) lot CLOSED RACK CABINET for the use of the PCGH</t>
  </si>
  <si>
    <t>S &amp; D of Dump Truck (PDRRMO)</t>
  </si>
  <si>
    <t>Procurement of Fuel, Oil and Lubricants</t>
  </si>
  <si>
    <t>CONSTRUCTION OF MULTI-PURPOSE BUILDING (BODEGA) (8000-2-2-15) MABILA, SARANGANI, DAVAO OCCIDENTAL</t>
  </si>
  <si>
    <t>Purchase of Airconditioner (floor mounted)</t>
  </si>
  <si>
    <t>Supply, Delivery and Installation Solar LED Streetlights with ABC P 210,000.00</t>
  </si>
  <si>
    <t>Pathway Concreting (Sitio Proper – Habyan)</t>
  </si>
  <si>
    <t>Construction of Steel Garbage Can with Steel Frame</t>
  </si>
  <si>
    <t>Supply and Delivery of Risograph/Digital Duplicator</t>
  </si>
  <si>
    <t>Construction of Various Facilities at San Pedro Eco Park, Barangay San Pedro, Floridablanca, Pampanga</t>
  </si>
  <si>
    <t>CONSTRUCTION OF BOLO-PULANG LUPA ROAD</t>
  </si>
  <si>
    <t>CONTRACT ID 20GIJ-0003 SUPPLY/DELIVERY OF VARIOUS AUTO SPARE PARTS &amp; SHOP TOOLS FOR USE IN THE PREVENTIVE &amp; CORRECTIVE MAINTENANCE OF VARIOUS SERVICE VEHICLES &amp; MAN DUMP TRUCK</t>
  </si>
  <si>
    <t>Contract ID Number 20FD0071 REPLACEMENT OF SEVERAL CONCRETE PAVEMENTS (ACTIVITY 71X – SPECIAL MAINTENANCE), ROLANDO R. ANDAYA HIGHWAY</t>
  </si>
  <si>
    <t>Proposed PEST CONTROL SERVICES for the Pasay City General Hospital</t>
  </si>
  <si>
    <t>S &amp; D of Office and Other Supplies (SPO)</t>
  </si>
  <si>
    <t>ITB- SUPPLY &amp; DELIVERY OF CONST MATERIALSFOR THE IMPVT OF MULTI PURPOSE HALL, SN ANTONIO, LOS BANOS, LAGUNA</t>
  </si>
  <si>
    <t>INFRA PROJECT AUGUST 18, 2020 (REBID)</t>
  </si>
  <si>
    <t>Contract ID No. 19CSK00053 – Consulting Services for the Conduct of Soil Testing/Exploration for Bridge Projects - Geotechnical Investigation - Construction of Pigsuotan Bridge, Brgy. Mandulog, Iligan</t>
  </si>
  <si>
    <t>INVITATION TO BID FOR PACKAGE – XIII A.) REBLOCKING OF F. CLAR STREET B.) CONCRETING OF ROAD @ PUROK 4 HERSANA STREET CARAMCAM DISTRICT</t>
  </si>
  <si>
    <t>SUPPLY AND INSTALLATION OF MODULAR PARTITIONS AND FURNITURE IN REVENUE DISTRICT OFFICES OF RR8A MAKATI CITY</t>
  </si>
  <si>
    <t>INVITATION TO BID FOR THE CONCRETING OF ROAD @ BARANGAY PIAO WITH PR#2020-20%-07-019 FOR MEO AND ABC OF P 995,416.27</t>
  </si>
  <si>
    <t>Procurement of Medical, Dental and Laboratory Supplies</t>
  </si>
  <si>
    <t>S &amp; D of Other Supplies and Materials (IDH)</t>
  </si>
  <si>
    <t>SUPPLY AND DELIVERY OF FOLDING BED (P.R. NO. 100-20-07-0285)</t>
  </si>
  <si>
    <t>INVITATION TO BID FOR SUPPLY AND DELIVERY OF FUEL AND LUBRICANTS FOR REPAIR AND MAINTENANCE OF ROADS AND BRIDGES AT BISLIG CITY</t>
  </si>
  <si>
    <t>Repair and Maintenance of Roads</t>
  </si>
  <si>
    <t>IB No. 2007-367 Proc. of Infra (Safe Closure and Rehabilitation of Dampas Dumpsite)</t>
  </si>
  <si>
    <t>Contract ID No. 19CSK00056 – Consulting Services for the Conduct of Soil Testing/Exploration for Bridge Projects - Geotechnical Investigation - Construction of Bridge, Cagayan de Oro Diversion Road, J</t>
  </si>
  <si>
    <t>IMPROVEMENT/ CONSTRUCTION OF DRAINAGE SYSTEM AT BRGY. TULAY, MINGLANILLA, CEBU</t>
  </si>
  <si>
    <t>IMPROVEMENT  OF BRGY. LINAO COVERED COURT/ MULTI-PURPOSE HALL AT LINAO, MINGLANILLA, CEBU</t>
  </si>
  <si>
    <t>Procurement of Parts for the Repair and Maintenance of Machinery and Equipment of Machinery and Equipment</t>
  </si>
  <si>
    <t>20JA0092 - CONSTRUCTION OF (4) FOUR STOREY (12) TWELVE CLASSROOM SCHOOL BUILDING – PHASE 1, AT GUIWAN ELEMENTARY SCHOOL, ZAMBOANGA CITY</t>
  </si>
  <si>
    <t>Training on Food Processing, Preservation &amp; Baking (Baking Tools)</t>
  </si>
  <si>
    <t>Procurement of Information and Communication Technology Equipment</t>
  </si>
  <si>
    <t>Supply and Delivery of Digital Photocopier Machines for Tubigon East District Schools</t>
  </si>
  <si>
    <t>Supply and Delivery of Janitorial Supplies.</t>
  </si>
  <si>
    <t>Training on Food Processing, Preservation &amp; Baking (Commodities)</t>
  </si>
  <si>
    <t>Supply and Delivery of IT Equipment (Cagayan De Oro City)</t>
  </si>
  <si>
    <t>Renewal of Sophos XG 330 Firewall Intrusion Detection System</t>
  </si>
  <si>
    <t>Supply and Delivery of Janitorial Supplies</t>
  </si>
  <si>
    <t>S &amp; D of Fuel (PGSO)</t>
  </si>
  <si>
    <t>VARIOUS SCHOOL SUPPLIES FOR PROJECT LAPIS KAG PAPEL  FOR DEPED DIVISION OF SAGAY CITY</t>
  </si>
  <si>
    <t>Purchase of Office Equipments for LGU (Re-Bid)</t>
  </si>
  <si>
    <t>Procurement of Other Supplies and Materials</t>
  </si>
  <si>
    <t>CONSTRUCTION OF LINED CANAL @ PUROK 2, 4 &amp; 6, BRGY CAMBULAGA WEST DIST. SORSOGON CITY</t>
  </si>
  <si>
    <t>Supply and  Delivery of Drugs &amp; Medicines for RHU II</t>
  </si>
  <si>
    <t>Purchase of Medical Equipment for RHU I &amp; II</t>
  </si>
  <si>
    <t>PUBLICATION OF MUNICIPAL ORDINANCE</t>
  </si>
  <si>
    <t>PURCHASE OF INTERACTIVE EDUCATION SYSTEM PACKAGES FOR 12 PUBLIC SCHOOLS (ELEMENTARY AND SENIOR HIGH) IN THE CITY OF DASMARIÑAS, CAVITE</t>
  </si>
  <si>
    <t>Procurement of Fuel, Oil &amp; Lubricants</t>
  </si>
  <si>
    <t>Supply &amp; Delivery of One (1) Unit Multi-Purpose Vehicle (MPV) with Engine Displacement not exceeding 2,500cc for diesel-fed, 4 cylinder 2020(G)-008</t>
  </si>
  <si>
    <t>Supply &amp; Delivery of 1,500 Units Jetmatic Pump with PGA Seal (Embossed) 2020(G)-006</t>
  </si>
  <si>
    <t>Procurement of Construction Materials for the Improvement of Comfort Room</t>
  </si>
  <si>
    <t>Procurement of Chemicals for ALWASA Treatment Plant</t>
  </si>
  <si>
    <t>Procurement of Agricultural and Marine Supplies</t>
  </si>
  <si>
    <t>ITB-SUPPLY AND DELIVERY OF JANITORIAL SUPPLIES FOR 1ST &amp; 2ND QTR 2020, LOS BANOS, LAGUNA</t>
  </si>
  <si>
    <t>IMPROVEMENT  OF BRGY. WARD I COVERED COURT/ MULTI-PURPOSE BUILDING (PHASE III) AT BRGY. WARD I, MINGLANILLA, CEBU</t>
  </si>
  <si>
    <t>Construction of Auditorium II, Albay Farmer's Bounty Village, Brgy. Cabangan, Camalig, Albay 2020(I)-008</t>
  </si>
  <si>
    <t>Supply and Delivery of Various ICT Equipments</t>
  </si>
  <si>
    <t>PURCHASE OF MEDICAL, DENTAL &amp; LABORATORY SUPPLIES ALLOCATION FOR 2020 FOR RHU 2 FOR MINGLANILLA, CEBU</t>
  </si>
  <si>
    <t>Construction/Rehab. of Hospital Facilities at Rapu-Rapu, Albay 2020(I)-007</t>
  </si>
  <si>
    <t>Procurement of Motor Vehicle</t>
  </si>
  <si>
    <t>ITB-SUPPLY AND DELIVERY OF INFORMATION &amp; COMMUNICATION TECHNOLOGY EQUIPMENT, LOS BANOS, LAGUNA</t>
  </si>
  <si>
    <t>ITB-SUPPLY AND DELIVERY OF6 UNITS LAPTOP FOR BAGONG SILANG NATIONAL HIGH SCHOOL, LOS BANOS, LAGUNA</t>
  </si>
  <si>
    <t>SUPPLY AND DELIVERY OF MATERIALS FOR INSTALLATION OF WATER FACILITIES LOCATED AT MUNICIPAL COMPOUND, LGU TULUNAN, COTABATO</t>
  </si>
  <si>
    <t>CONSTRUCTION OF 3-BEDROOM ISOLATION BUILDING SAN ILDEFONSO, ILOCOS SUR</t>
  </si>
  <si>
    <t>SUPPLY AND DELIVERY OF MATERIALS FOR DISASTER  PREPAREDNESS AND RESPONSE</t>
  </si>
  <si>
    <t>SUPPLY AND DELIVERY OF ANTI-RABIES VACCINE AND ANTI-TETANUS SERUM</t>
  </si>
  <si>
    <t>ITB-SUPPLY AND DELIVERY OF INFORMATION &amp; COMMUNICATION TECHNOLOGY EQUIPMENT FOR DEPED, LOS BANOS, LAGUNA</t>
  </si>
  <si>
    <t>CONSTRUCTION OF MULTI-PURPOSE BUILDING</t>
  </si>
  <si>
    <t>CONCRETING OF WALKWAY AND CONSTRYCTION OF DRAINAGE CANAL AT SAN ILDEFONSO CENTRAL SCHOOL SAN ILDEFONSO, ILOCOS SUR</t>
  </si>
  <si>
    <t>SUPPLY AND DELIVERY OF SUPPLIES AND MATERIALS FOR REPRODUCTION AND PROVISION OF LEARNING MATERIALS FOR THIRTY FIVE(35) SCHOOLS IN THE DISTRICT, SPED/TRANSITION PROGRAM AND ALS LEARNERS</t>
  </si>
  <si>
    <t>SUPPLY AND DELIVERY OF MISTING MACHINE AND INSECTICIDE</t>
  </si>
  <si>
    <t>Procurement of supplies for Renal Care Unit</t>
  </si>
  <si>
    <t>Construction of WCPD and FJGAD Building (Rebid)</t>
  </si>
  <si>
    <t>SUPPLY AND DELIVERY OF MOTORCYCLE</t>
  </si>
  <si>
    <t>SUPPLY AND DELIVERY OF PORTABLE TWO-WAY RADIO</t>
  </si>
  <si>
    <t>Supply and Delivery of Various Medicines for Use in the City Government of Balanga, Bataan</t>
  </si>
  <si>
    <t>Supply and Delivery of Portable Ultrasound System for the City Government of Balanga, Bataan</t>
  </si>
  <si>
    <t>Supply and Delivery of Real-Time Kinematic</t>
  </si>
  <si>
    <t>Expansion/Installation of Streetlights</t>
  </si>
  <si>
    <t>Rehabilitation of Covered Court</t>
  </si>
  <si>
    <t>Supply and Delivery of Various Medicines for Mental Health Use @ Municipal Health Office</t>
  </si>
  <si>
    <t>PURCHASE OF MEDICAL, DENTAL &amp; LABORATORY SUPPLIES ALLOCATION FOR 2020 FOR RHU 1 FOR MINGLANILLA, CEBU</t>
  </si>
  <si>
    <t>HFE : IT EQUIPMENT AND SUPPLIES For the HOME FOR THE ELDERLY operation, 2nd semester CY 2020.</t>
  </si>
  <si>
    <t>CONSTRUCTION OF 2-STOREY FARMER’S MULTI-PURPOSE BUILDING LOCATED AT STA. BARBARA, AGOO, LA UNION</t>
  </si>
  <si>
    <t>Supply &amp; Delivery of 21,000 Bags Portland Cement 2020(G)-007</t>
  </si>
  <si>
    <t>SUPPLY AND DELIVERY OF VARIOUS IT EQUIPMENT AND SUPPLIES FOR MIS OFFICE</t>
  </si>
  <si>
    <t>Purchase of Meals &amp; Snacks for LEEA-MARKET</t>
  </si>
  <si>
    <t>Purchase of Office Equipment for DILG</t>
  </si>
  <si>
    <t>PURCHASE</t>
  </si>
  <si>
    <t>20JA0093 - CONSTRUCTION OF TWO (2) STOREY FOUR (4) CLASSROOMS SCHOOL BUILDING BARANGAY LUMBANGAN, ZAMBOANGA CITY</t>
  </si>
  <si>
    <t>2nd Posting - Supply and Delivery of Harwdware Materials for the Rehabilitation of Multi-Purpose Hall</t>
  </si>
  <si>
    <t>Purchasae of Fertilizer (46-0-0) for Rice Banner Program</t>
  </si>
  <si>
    <t>Installation of Airconditioned unit t Multi Purpose Hall of Brgy. Bolaney, Alaminos City, Pangasinan</t>
  </si>
  <si>
    <t>20JA0094 - CONSTRUCTION OF FOUR (4) STOREY TWENTY (20) CLASSROOM SCHOOL BUILDING – PHASE 1 AT ZNHS WEST – BALIWASAN SENIOR HIGH SCHOOL, ZAMBOANGA CITY</t>
  </si>
  <si>
    <t>MOOE 2020</t>
  </si>
  <si>
    <t>Supply, delivery &amp; installation of temporary drainage crossing of Quipot IP located at Brgy. Callejon, Del Valle &amp; San Antonio, Quezon</t>
  </si>
  <si>
    <t>OFFICE SUPPLIES AND DEVICES</t>
  </si>
  <si>
    <t>Purchase of farniture and fixtures</t>
  </si>
  <si>
    <t>HARDWARE/PAINTING SUPPLIES/MATERIALS</t>
  </si>
  <si>
    <t>Procurement of Musical Instruments</t>
  </si>
  <si>
    <t>CONSTRUCTION MATERIALS FOR THE CONVERSION OF OLD BASKETBALL COURT TO TENNIS COURT</t>
  </si>
  <si>
    <t>500 PCS. NEWSLETTER AND 5 PCS. TARPAULIN 4'X8' AND 3'X6'</t>
  </si>
  <si>
    <t>1 UNIT STEEL CABINET</t>
  </si>
  <si>
    <t>Improvement/Expansion of Water Supply System (La Libertad, Zamboanga del Norte)</t>
  </si>
  <si>
    <t>Procurement of Catering Services (Socio Cultural Activities 2020) Theme: SOAR EL SALVADOR 2020</t>
  </si>
  <si>
    <t>Purchase of Office Supplies and Other Supplies for PBCC</t>
  </si>
  <si>
    <t>ONE (1) SET ARTHROSCOPY TOWER IMAGING SYSTEM</t>
  </si>
  <si>
    <t>Purchase of IT Equipment for use of the Different Offices of the City Government of Laoag.</t>
  </si>
  <si>
    <t>CONSTRUCTION OF 1 UNIT MATERIAL RECOVERY FACILITY (MRF)</t>
  </si>
  <si>
    <t>REHABILITATION AND IMPROVEMENT OF ROAD LEADING TO SANITARY LANDFILL LOCATED AT CABARITAN NORTE, NAGUILIAN, LA UNION.</t>
  </si>
  <si>
    <t>Construction of  Roofing and Supply of Materials</t>
  </si>
  <si>
    <t>Purchase of Spare parts for HI-LUX SJJ 990 for MMO</t>
  </si>
  <si>
    <t>Construction of Day CAre Center at Gogon, Tupaz</t>
  </si>
  <si>
    <t>Supply and Delivery of Various Materials for the Installation of Secondary lines at Lower Centro, Cang-ampa, Bagtic Sur Cawayanan and Purok 7 (Talenceras)Tubigon, Bohol</t>
  </si>
  <si>
    <t>25 PCS. RAPID TEST KIT</t>
  </si>
  <si>
    <t>RFQ - Supply of labor and materials for the preventive maintenance of PHilMech Aircon Units</t>
  </si>
  <si>
    <t>VEGETABLE SEEDS</t>
  </si>
  <si>
    <t>Internet Subscription (Upgrading of the Existing Bandwidth)</t>
  </si>
  <si>
    <t>Purchase and delivery of office supplies and devices to be used by different schools of Calapan City</t>
  </si>
  <si>
    <t>2020-07-0128/2020-07-0131 Furnishing/Delivery of spareparts for use of service vehicles assigned in the Construction and Quality Assurnace Section</t>
  </si>
  <si>
    <t>Purchase of Office Equipment’s for PBCC</t>
  </si>
  <si>
    <t>40 PCS. FABRICATED STAINLESS CUT-OFF LETTERS 7" AND 6"</t>
  </si>
  <si>
    <t>Package 1:  Construction &amp; Improvement of Access Road, Collog- PInococ, Pinukpuk</t>
  </si>
  <si>
    <t>Upgrading and Improvement of Road Section from Brgy. Poblacion to Brgy. Singaran (Poblacion and Singaran, LLZDN)</t>
  </si>
  <si>
    <t>Construction of Covered Drainage Canal</t>
  </si>
  <si>
    <t>Delivery of supplies and equipment for SHS Learning Activity Package</t>
  </si>
  <si>
    <t>Materials for the installation of GSO Partition wall</t>
  </si>
  <si>
    <t>Equipment for Auditor's Office</t>
  </si>
  <si>
    <t>Purchase and delivery of fabricated stainless steel handwashing sink</t>
  </si>
  <si>
    <t>Rehabilitation of Access Road to Sanitary Landfill</t>
  </si>
  <si>
    <t>Procurement of 200 pcs monoblock chairs</t>
  </si>
  <si>
    <t>20FK0051–(RE-BID)Bridge-Refrofitting/Strenthening of Permanent Bridges-Mauhang Bridge (B04697LZ) along Daan Maharlika (LZ) Casiguran Sorsogon</t>
  </si>
  <si>
    <t>SUPPLY AND DELIVERY OF MATERIALS FOR THE IMPROVEMENT OF EVACUATION CENTER OF BARANGAY MATE, SAN FRANCISCO AGUSAN DEL SUR</t>
  </si>
  <si>
    <t>Supply and Delivery of Mineral Oil, Vegetable Oil and Citronella Plants</t>
  </si>
  <si>
    <t>INSTALLATION OF OFFICE DIVIDERS AND TILES  AT THE PRINCIPAL'S OFFICE</t>
  </si>
  <si>
    <t>PURCHASE OF RESCUE VEHICLE</t>
  </si>
  <si>
    <t>Purchase and deliver of 11 units all in one computer to be used at the City College of Calapan</t>
  </si>
  <si>
    <t>construction of access road</t>
  </si>
  <si>
    <t>ROAD CONCRETING AND INSTALLATION OF STREET LIGHTING @ BAYWALK</t>
  </si>
  <si>
    <t>REPAIR OF ROOFING</t>
  </si>
  <si>
    <t>FUELS/FUEL ADDITIVES &amp; LUBRICANT &amp; ANTI-CORROSIVE</t>
  </si>
  <si>
    <t>7 LITERS PETRON FULLY SYNTHETIC OIL AND 1 PC. OIL FILTER</t>
  </si>
  <si>
    <t>Delivery of colored Tshirt with print-BHW</t>
  </si>
  <si>
    <t>Materials to be use for the rehabilitation of animal cage at Bulusan Park</t>
  </si>
  <si>
    <t>2020-07-0142-Furnishing/Delivery of Steel Plates for use as Deck Slab of Claveria Bridge</t>
  </si>
  <si>
    <t>ITB No. (INF) 2020-110 ROAD OPENING/FMR VIGAN TO LIMBUJAN ROAD, Brgy. Vigan, Gen. MacArthur, Eastern Samar</t>
  </si>
  <si>
    <t>Purchase of Printer Ecotank &amp; Flat Screen Television 32" ( Dept. of Education)</t>
  </si>
  <si>
    <t>Preventive Maintenance of Substations</t>
  </si>
  <si>
    <t>Delivery of 2 units 45" LED TV to be used by City College of Calapan</t>
  </si>
  <si>
    <t>ITB No. (INF) 2020-07-111 CONSTRUCTION OF BRGY. STO NIÑO COVERED COURT, Sitio Hamorawon, Brgy. Sto. Niño, Sulat, Eastern Samar</t>
  </si>
  <si>
    <t>Supply and Delivery of Various Supplies Materials for the Upgrading of Internet Connection</t>
  </si>
  <si>
    <t>Construction &amp; Repair of Brgy. Road</t>
  </si>
  <si>
    <t>REHABILITATION/IMPROVEMENT OF MANPOWER DEVELOPMENT CENTER</t>
  </si>
  <si>
    <t>Materials for the construction of child development center</t>
  </si>
  <si>
    <t>Expenses for national disability prevention and rehabilitation week</t>
  </si>
  <si>
    <t>OFFICE EQUIPMENT (Brgy,ESPERANZA-SEF)</t>
  </si>
  <si>
    <t>CONCRETING OF SITIO KAPATAGAN BRGY. ROAD (MATERIALS AND LABOR)</t>
  </si>
  <si>
    <t>LABOR AND TOOLS FOR THE REPAIR AND MAINTENANCE OF STORAGE FACILITY</t>
  </si>
  <si>
    <t>ITB No. (INF) 2020-07-112 ROAD OPENING/FARM-TO-MARKET ROAD, TUGOP TO MACAPAGAL ROAD, INOLANGOHAN TO MAGSAYSAY ROAD, QUEZON TO OSMEÑA ROAD, BINALAY TO LAUREL ROAD, Gen. MacArthur, Eastern Samar</t>
  </si>
  <si>
    <t>SUPPLY &amp; DELIVERY OF KITCHEN UTENSILS &amp; EQUIPMENT</t>
  </si>
  <si>
    <t>60 PCS. POLO SHIRT WITH PRINT</t>
  </si>
  <si>
    <t>CONCRETING OF PATHWAY AT PUROK 1</t>
  </si>
  <si>
    <t>Procurement of Supplies for the Repair of MDRRM Vehicle</t>
  </si>
  <si>
    <t>Procurement of One (1) set Desktop Computer and One (1) unit of Printer - IT Equipment for Tribal Operation of LGU Laak, Davao De Oro</t>
  </si>
  <si>
    <t>Rehab of multi-Purpose Building Bgy. hall</t>
  </si>
  <si>
    <t>OFFICE EQUIPMENT (Brgy, San-isidro -SEF)</t>
  </si>
  <si>
    <t>One (1) Computer Laptop (Cebu City)</t>
  </si>
  <si>
    <t>CS001-20 - (RE-ADVERTISEMENT) CONDUCT OF SOIL TESTING/EXPLORATION FOR TWO-STOREY BUILDING AT TAGBILARAN CITY SPORTS COMPLEX, TAGBILARAN CITY, BOHOL</t>
  </si>
  <si>
    <t>Procurement of Server to be used for CRAMMS (Covid-19 Risk, Assessment Monitoring and Management System)</t>
  </si>
  <si>
    <t xml:space="preserve">2020-07-0143- Furnishing/Delivery of Maintenance Tools &amp; Materials for use in the Fabrication of Guardrail/Kilometer(KM) Post,Road Right-of-Way(RROW),Drainage Marker &amp; Chevron/Information/Directional </t>
  </si>
  <si>
    <t>Office Supplies &amp; Consumable for VGOV-2020-0014-0015</t>
  </si>
  <si>
    <t>PEO-2020-0192 PR2020-0546 INVITATION TO BID FOR THE PROCUREMENT OF STAAD PRO PERPETUAL LICENSE FOR USE AT PROVINCIAL ENGINEER"S OFFICE</t>
  </si>
  <si>
    <t>REPAIR OF MULTI-PURPOSE BUILDING</t>
  </si>
  <si>
    <t>Spare PArts for PEO-2020-00537 &amp; 0573</t>
  </si>
  <si>
    <t>Supply and Delivery of Computer Laptops</t>
  </si>
  <si>
    <t>2020-07-0150-Furnishing/Delivery of Office Supplies for use in the District</t>
  </si>
  <si>
    <t>Purchase of Agricultural Machinery &amp; Equipments (Post Harvest Facility)</t>
  </si>
  <si>
    <t>Construction of Submerge Sea Wall (Sea Pond) - Poblacion, Baras, Catanduanes</t>
  </si>
  <si>
    <t>Procurement  of Diesel Fuel - MO</t>
  </si>
  <si>
    <t>Electrification @ KNP, Pantukan, Davao De Oro (Materials)</t>
  </si>
  <si>
    <t>20CSBD001 - CONSULTING SERVICES FOR PARCELLARY SURVEY, ROUTE SURVEY-DETAILED ENGINEERING SURVEY, MONUMENTING AND RESEARCH WORKS FOR THE CONVERSION OF ROAD FROM LOCAL TO NATIONAL ROAD, QUIBAL-NANGUILAT</t>
  </si>
  <si>
    <t>SUPPLY AND DELIVERY OF CONSTRUCTION MATERIALS FOR THE IMPROVEMENT/REHABILITATION OF BARANGAY STAGE IN CANTUBOD DANAO, BOHOL</t>
  </si>
  <si>
    <t>AGRICULTURAL PRODUCT (SEEDS, SEEDLINGS, PLANTS) &amp; OTHER SUPPLIES</t>
  </si>
  <si>
    <t>Toner-copier/printer Black 1600series,Toner-copier/printer Color CYM 1600 series,etc...</t>
  </si>
  <si>
    <t>Projector 1200 Lumens,Steel Cabinet 4 Drawers,Computer Desktop</t>
  </si>
  <si>
    <t>Purchased and Delivery of One (1) UNIT CHAINSAW</t>
  </si>
  <si>
    <t>20GLH0017 (PR 2020-07-042 dated 07/23/2020) For use in the DPWH-DCII DEO, Tugbok District, Davao City</t>
  </si>
  <si>
    <t>Office Equipment, Equipment Supplies and Consumables</t>
  </si>
  <si>
    <t>Fuels for MPD Office</t>
  </si>
  <si>
    <t>RP Vehicle Tire Maintenance (MEO)</t>
  </si>
  <si>
    <t>Construction, Repair &amp; Declogging of Drainage Canal in Brgy. Imelda, Tolosa, Leyte</t>
  </si>
  <si>
    <t>Airconditioning System for PRDP-2020-0096</t>
  </si>
  <si>
    <t>PURCHASE OF TIRES OF MUN. DUMPTRUCK</t>
  </si>
  <si>
    <t>GENERAL MERCHANDISE</t>
  </si>
  <si>
    <t>Undernourished Relief Packs for Pre-school Children</t>
  </si>
  <si>
    <t>Repair of Daycare Center at Purok 1</t>
  </si>
  <si>
    <t>One (1) Year Provision of Sanitizers for the restrooms of the CCP  with the installation and maintenance of 96 units toilet sanitizers (2nd Posting)</t>
  </si>
  <si>
    <t>Improvement of Footbridge In Brgy. San Vicente, Tolosa, Leyte</t>
  </si>
  <si>
    <t>Contract for the Supply of Various Spare Parts (Static Inverter IGBT, Static Inverter Gate Drive Unit, and SIV Fuse) under P.R. No. RS-0720-010 and ITB No.2007-037-01</t>
  </si>
  <si>
    <t>Reblocking of Aggub Barangay Road</t>
  </si>
  <si>
    <t>Replacement of 21.60 ln.m. Olamhay Footbridge 1 and 28.80 ln.m. Olamhay Footbridge 2, Manapla, Neg. Occ./PEO-2020-1080</t>
  </si>
  <si>
    <t>CONSTRUCTION OF SERVICE ROAD AND LANDSCAPING, MUNICIPAL COMPOUND, CULABA, BILIRAN</t>
  </si>
  <si>
    <t>Supply &amp; Delivery 2 pcs Alternator Assembly (KIA) &amp; other items; PR No. 20-1690 dated June 23, 2020</t>
  </si>
  <si>
    <t>PURCHASE OF ANAPOG BINDER ( EXCLUDING HAULING COST) FOR THE REGRAVELLING OF ROADS @ LGU-CARMEN, BOHOL (RE-BIDDING)</t>
  </si>
  <si>
    <t>Construction of Perimeter Fence</t>
  </si>
  <si>
    <t>Construction of Multi-purpose Building (Phase 1) in Brgy. Imelda, Tolosa, Leyte</t>
  </si>
  <si>
    <t>Vehicle Parts and Accessories JRMPII-145-2020</t>
  </si>
  <si>
    <t>CS002-20 - (RE-ADVERTISEMENT) CONDUCT OF SOIL TESTING/EXPLORATION FOR THE CONSTRUCTION OF CONCRETE BRIDGE IN PUROK 2, BARANGAY TABUAN, ANTEQUERA, BOHOL</t>
  </si>
  <si>
    <t>Supply, Delivery, Installation of One (1) Unit Aircondition</t>
  </si>
  <si>
    <t>Vehicle Repair and Maintenance JRMPII-152-2020</t>
  </si>
  <si>
    <t>MOTORIZED PATROL BOAT</t>
  </si>
  <si>
    <t>Construction Project for PEMO-2020-2110</t>
  </si>
  <si>
    <t>Information Technology Equipment for PHO-2020-0078</t>
  </si>
  <si>
    <t>Rehabilitation of Road w/ Provision of Slope Protection and Cross Drainage</t>
  </si>
  <si>
    <t>Rehabilitation of San Isidro RHU (Phase I)</t>
  </si>
  <si>
    <t>Rehabilitation of Admin. Office</t>
  </si>
  <si>
    <t>Repair/Improvement of Municipal Streets at Capt. Laylay St., Sta. Cruz, San Juan, Southern Leyte</t>
  </si>
  <si>
    <t>PURCHASE OF VARIOUS IT EQUIPMENT</t>
  </si>
  <si>
    <t>Electrification @ KNP, Pantukan, Davao De Oro (Labor)</t>
  </si>
  <si>
    <t>Office Equipment Supplies and Consumables JRMPII-151-2020</t>
  </si>
  <si>
    <t>LABOR AND MATERIALS FOR THE CONSTRUCTION OF POST HARVEST FACILITIES (SOLAR DRYER) @ SITIO PALIAN, CALATRAVA, CARMEN, BOHOL</t>
  </si>
  <si>
    <t>LABOR AND MATERIALS FOR THE CONSTRUCTION OF POST HARVEST FACILITIES (SOLAR DRYER) @ LA SALVACION, CARMEN, BOHOL (NEAR CHAPEL)</t>
  </si>
  <si>
    <t>Installation of Internet Connection for 24 Elementary Schools &amp; 6 National High Schools - Pilar, Capiz</t>
  </si>
  <si>
    <t>INST'N  OF CEILING W/PAINTING OF MULTI PURPOSE HALL(BRGY.POB.ZONE II,VILLASIS,PANGASINAN)</t>
  </si>
  <si>
    <t>BLGU-PINAMANAGAN-AL-01-2020 CONSTRUCTION OF MULTI-PURPOSE BUILDING</t>
  </si>
  <si>
    <t>Supply of Food</t>
  </si>
  <si>
    <t>Rehabilitation of People’s Organization (PO) Catering Hall and Guide House at Biak-Na-Bato National Park (BNBNP), San Miguel and Doña Remedios Trinidad, Bulacan</t>
  </si>
  <si>
    <t>Proposed Construction of Heavy Equipment</t>
  </si>
  <si>
    <t>CONCRETING OF PORTION OF SINUKNIPAN II GOING TO PUTING BUHANGIN</t>
  </si>
  <si>
    <t>Office Table with Office Chair,Aluminum Fixture</t>
  </si>
  <si>
    <t>Concreting of Access Road to Evacuation Center Phase 2 Brgy. Awasian, Tandag City</t>
  </si>
  <si>
    <t>CONCRETING/COMPLETION OF SITIO LOWER PROPER PERRELOS BRGY. ROAD (MATERIALS AND LABOR)</t>
  </si>
  <si>
    <t>SUPPLY, DELIVERY AND TESTING OF ONE (1) UNIT HEAVY DUTY MONEY COUNTER FOR DBP PALAYAN BRANCH</t>
  </si>
  <si>
    <t>SUPPLY AND DELIVERY OF CLEANING SUPPLIES (P.R. NO. 100-20-07-0272)</t>
  </si>
  <si>
    <t>BLGU-PINAMANAGAN-AL-02-2020 CONSTRUCTION OF 12M CONCRETE PAVEMENT</t>
  </si>
  <si>
    <t>CS003-20 - CONDUCT OF SOIL TESTING/EXPLORATION FOR THE CONSTRUCTION OF 4 STOREY 20 CLASSROOM BUILDING AT DR. CECILIO PUTONG NHS, TAGBILARAN CITY, BOHOL</t>
  </si>
  <si>
    <t>Office Supplies and Devices JRMPII-158-2020</t>
  </si>
  <si>
    <t>20GII0010 Supply and Delivery of Reflectorized Traffic Paint along Pangpang-Palapag-Mapanas-Gamay-Lapinig Road, K0800+327 – K0842+236, Northern Samar Second District</t>
  </si>
  <si>
    <t>IMPROVEMENT OF SENIOR CITIZEN BUILDING</t>
  </si>
  <si>
    <t>PROCUREMENT OF MEDICAL EQUIPMENT FOR SPECIAL CARE - REBID</t>
  </si>
  <si>
    <t>CCTV CAMERAS AND DVR'S</t>
  </si>
  <si>
    <t>PROPOSED CONSTRUCTION OF MULTI-PURPOSE CENTER (PHASE-1)</t>
  </si>
  <si>
    <t>Repainting of Parks and monuments and repair of stage Poblacion, Guinobatan, albay</t>
  </si>
  <si>
    <t>Repair of Road shoulder and gutter along paterno, ocfemia, zamora and mabini street, guinobatan, albay</t>
  </si>
  <si>
    <t>B20200287 - LABORATORY SUPPLY FOR PEEDO USE</t>
  </si>
  <si>
    <t>20GKG0036 (PR No. 20-07-116) (Equipment Rental) - Repair/Maintenance of Drainage along Tagoloan-Baloi Road (Tagoloan Section), Tagoloan, Lanao del Norte, K1536+764-K1539+880 with exception (RS)</t>
  </si>
  <si>
    <t>CONCRETING OF PORTION OF MABINI ROAD</t>
  </si>
  <si>
    <t>Procurement of Electrical Supplies and Fixture for the College of Engineering,Architecture and Fine Arts</t>
  </si>
  <si>
    <t>PURCHASE OF MILK AND SUGAR</t>
  </si>
  <si>
    <t>CONCRETING &amp; ROAD REHABILITATION OF SITIO DUNGGO-AN BRGY. ROAD (MATERIALS AND LABOR)</t>
  </si>
  <si>
    <t>Medical Supplies for CDH-2020-0059 &amp; TJPH-2020-0151</t>
  </si>
  <si>
    <t>ITB-003-2020 Construction of Drainage Canal</t>
  </si>
  <si>
    <t>S &amp; D of Office Supplies (PHO)</t>
  </si>
  <si>
    <t>Construction of Multi-Purpose Building Phase 1</t>
  </si>
  <si>
    <t>Procurement of Clerical Table, Mobile Cabinet and Clerical Chair</t>
  </si>
  <si>
    <t>20GKG0035 (PR No. 20-07-079)- Procurement of Office Supplies and Consumables for use in the immediate use of Laser Printer (Multifunction Color A4) Konica Minolta (Bizhub C308) with serial no. A7PY041</t>
  </si>
  <si>
    <t>Supply and Delivery of Various Printing Supplies</t>
  </si>
  <si>
    <t>Procurement of Water Pump Engine</t>
  </si>
  <si>
    <t>PROCUREMENT OF OFFICE EQUIPMENTS AND OTHER PPE FOR DIFFERENT OFFICES</t>
  </si>
  <si>
    <t>Construction of New Evacuation Center</t>
  </si>
  <si>
    <t>REHABILITATION OF LAPU LAPU STREET, PHASE 2 AT BRGY BANQUEL, VILLAREAL, SAMAR</t>
  </si>
  <si>
    <t>Purchase of MRF ( Materials Recovery Facilities)</t>
  </si>
  <si>
    <t>BLGU-PINAMANAGAN-AL-03-2020 CONSTRUCTION OF 13M CONCRETE PAVEMENT WITH CONCRETE CANAL</t>
  </si>
  <si>
    <t>Purchase of Supplemental MAterials</t>
  </si>
  <si>
    <t>Printing of Sanitary Health Cards for the City Health Offce, Kidapawan City.</t>
  </si>
  <si>
    <t>Rehabilitation of Level II Potable Water Supply</t>
  </si>
  <si>
    <t>LABOR AND MATERIALS FOR THE CONSTRUCTION OF BOX CULVERT @ BOUNDARY BICAO AND VALLEHERMOSO, CARMEN, BOHOL</t>
  </si>
  <si>
    <t>CS004-20 - CONDUCT OF SOIL TESTING/EXPLORATION FOR THE CONSTRUCTION OF 4 STOREY, 4 LABORATORY BUILDING AT TAGBILARAN CITY SCIENCE HIGH SCHOOL, TAGBILARAN CITY, BOHOL</t>
  </si>
  <si>
    <t>Procurement of Personal Protective Equipment and Other Supplies for Covid-19 Purposes</t>
  </si>
  <si>
    <t>Purchase of Furnitures And Fixtures</t>
  </si>
  <si>
    <t>CONSTRUCTION/INSTALLATION OF SOLAR POWER STREETLIGHTS</t>
  </si>
  <si>
    <t>S &amp; D of Office and Other Supplies (ENRO)</t>
  </si>
  <si>
    <t>SUPPLY AND DELIVERY OF PORTABLE MICROBIOLOGICAL TEST FOR WATER</t>
  </si>
  <si>
    <t>PURCHASE OF ID SUPPLIES</t>
  </si>
  <si>
    <t>PURCHASE OF CONSTRUCTION MATERIALS FOR THE CONSTRUCTION OF 14 UNIT HAND WASHING FACILITIES  AT VILLAREAL, SAMAR</t>
  </si>
  <si>
    <t>20GKG0037 (PR No. 20-07-117) (Equipment Rental) - Repair/Maintenance of Drainage along Tagoloan-Baloi Road (Tagoloan Section), Tagoloan, Lanao del Norte, K1544+373.6-K1544+757.6 with exception (RS)</t>
  </si>
  <si>
    <t>SGOD Supplies 2020 B</t>
  </si>
  <si>
    <t>Supply and delivery of desktop Computers and Printers for the use of the Kidapawan City Blood Center, Kidapawan City</t>
  </si>
  <si>
    <t>Proposed Upgrading of Multi-Purpose Center (Phase 1)</t>
  </si>
  <si>
    <t>Embankment and Cementing of Proposed Basketball Court and Parking Area (Phase I)</t>
  </si>
  <si>
    <t>Patrol Boat-Municipal Agriculturist Office</t>
  </si>
  <si>
    <t>Supply and Delivery of various materials for the Construction of Man Made Lagoon Phase II, Brgy. Kalanggaman, Bato, Leyte</t>
  </si>
  <si>
    <t>Supply &amp; Delivery of Supplies &amp; Materials for Disinfection,Health and Safety from COVID-19</t>
  </si>
  <si>
    <t>Construction of Entrance Marker (Overated) and Concrete Plant Box at Barangay Mandog, Maasin, Iloilo</t>
  </si>
  <si>
    <t>Road Concreting Cabanbanan-Pulang Daga Road, Balatan, Camarines Sur</t>
  </si>
  <si>
    <t>INVITATION TO BID FOR THE PROCUREMENT OF MATERIALS FOR THE REHABILITATION OF MUNICIPAL BUILDING-STAIRS AND HALLWAY</t>
  </si>
  <si>
    <t>INVITATION TO BID - Various ICT Equipment</t>
  </si>
  <si>
    <t>IMPROVEMENT OF SB BUILDING</t>
  </si>
  <si>
    <t>Rehab of Hanging Bridge Piasusuan @ Napnapan, Pantukan, Davao De Oro (Labor)</t>
  </si>
  <si>
    <t>ITB No. 2020-G-05-02: Purchase of Brand New Service Vehicle</t>
  </si>
  <si>
    <t>SUPPLY AND DELIVERY OF A4 BOND PAPER SUB 20 - SEF</t>
  </si>
  <si>
    <t>SUPPLY AND DELIVERY OF VARIOUS DRUGS &amp; MEDICINES</t>
  </si>
  <si>
    <t>ENHANCEMENT OF HEALTH CENTER BUILDING</t>
  </si>
  <si>
    <t>Supply, Delivery &amp; Installation of A3 Colored Multifunction Photocopier Machine for FMO</t>
  </si>
  <si>
    <t>CONSTRUCTION OF LUCKY 9 ADDITIONAL FACILITIES PHASE IV</t>
  </si>
  <si>
    <t>Pakyaw Labor  for the Proposed Line Rehab 1 Phase to 3 Phase (Rice Processing Center) at Brgy. San Isidro, Kidapawan City</t>
  </si>
  <si>
    <t>Supply and delivery of furnitures and fixtures for the Office of the Sangguniang Panlungsod, Kidapawan City</t>
  </si>
  <si>
    <t>20DE0157 Concreting of Brgy. Manalupang FMR, Brgy. Manalupang, Bauan, Batangas</t>
  </si>
  <si>
    <t>6 Units of Motorcycle-MDRRMO</t>
  </si>
  <si>
    <t>Supply/Delivery of Drugs and Medicines (re-bid)</t>
  </si>
  <si>
    <t>ENHANCEMENT OF MULTIPURPOSE BUILDING</t>
  </si>
  <si>
    <t>20DE0156 Concreting of Brgy. Calo FMR, Brgy. Calo, Lobo, Batangas</t>
  </si>
  <si>
    <t>Supply and Delivery of Fishnet</t>
  </si>
  <si>
    <t>S &amp; D of ICT and Other Equipment (P. Acctg.)</t>
  </si>
  <si>
    <t>Construction of Public Toilet with Dressing Room at Brgy. Hall, Purok 6</t>
  </si>
  <si>
    <t>PROCUREMENT OF OFFICE AND PRINTING SUPPLIES OF CAPSU CENTRAL ADMINISTRATION AND BURIAS CAMPUS</t>
  </si>
  <si>
    <t>Contract for One (1) Lot Cloud Storage, 20TB under P.R. No. KMT-2002-008 and ITB No. 2006-029-10</t>
  </si>
  <si>
    <t>CONCRETING/CONSTRUCTION OF BOBONAON-BIYABID ROAD</t>
  </si>
  <si>
    <t>Provision for Drivers Education Center at LTO-NCR West Regional Office</t>
  </si>
  <si>
    <t>Road Concreting Garchitorena - Bahi Road, Garchitorena, Camarines Sur</t>
  </si>
  <si>
    <t>Proposed Improvement of CPDC Office(Construction of Canopy and Fabrication of Shelves Cabinet) at the Back of City Hall, Brgy. Poblacion, Kidapawan City.</t>
  </si>
  <si>
    <t>ENHANCEMENT OF MULTI PURPOSE COVERED COURT</t>
  </si>
  <si>
    <t>Procurement of Electrical supplies Dr. Rafael S. Tumbokon Memorial Hospital-EEDD, Kalibo, Aklan /ITB no: 2020-420</t>
  </si>
  <si>
    <t>Repair of Hanging Bridge Deadman</t>
  </si>
  <si>
    <t>CONSTRUCTION OF PARKING SHED</t>
  </si>
  <si>
    <t>Ri Bid for Materials for the Construction of Social Hall</t>
  </si>
  <si>
    <t>PROCUREMENT OF GOODS FOR STOCKPILING OF RELIEF GOODS</t>
  </si>
  <si>
    <t>Ri Bid for Materials for the Construction of Stock Room</t>
  </si>
  <si>
    <t>ITB FOR PROCUREMENT OF INTERNET LOAD</t>
  </si>
  <si>
    <t>ADDITIONAL INSTALLATION OF BRGY. STREETLIGHTS (MATERIALS AND LABOR)</t>
  </si>
  <si>
    <t>Motorized Banca-MDRRMO</t>
  </si>
  <si>
    <t>CONSTRUCTION OF DRAINAGE SYSTEM ALONG  JACINTO ST. IN BARANGAY POBLACION</t>
  </si>
  <si>
    <t>Purchase of service vehicle for the Office of the Municipal Vice Mayor in Calumpit, Bulacan</t>
  </si>
  <si>
    <t>S &amp; D of Food Supplies (IDH)</t>
  </si>
  <si>
    <t>Purchase of Materials for the Comprehensive Improvement of Buenavista Road Network - Const. of Mclain (Sto.Niño) - Supang Access Road - M.E.O.</t>
  </si>
  <si>
    <t>INVITATION TO BID for the Procurement of Printing Services for Grade 3 to Grade 10 Learning Modules of the Division Office of Pagadian City</t>
  </si>
  <si>
    <t>Supply and Delivery of three (3) units heavy duty copyprinter with metal stand for use of the three (3) districts of President Roxas (South, North and Central), this municipality.</t>
  </si>
  <si>
    <t>Ri Bid for Materials for the Construction of Back Stage</t>
  </si>
  <si>
    <t>Repair of Silkworm Rearing Center in Balubal CDO: A Support to the Silk Industry in Mindanao; SN 166 - 2020</t>
  </si>
  <si>
    <t>Supply and delivery of feeds (feeding of Tilapia) for the City Agriculturist Office, Kidapawan City</t>
  </si>
  <si>
    <t>Purchase of Materials for the Comprehensive Improvement of Buenavista Road Network (Const. of Access Road) at Sitio Wawan, Brgy. San Isidro - M.E.O.</t>
  </si>
  <si>
    <t>purchases of offices supplies and device</t>
  </si>
  <si>
    <t>Furniture and Fixture</t>
  </si>
  <si>
    <t>PROCUREMENT OF BUS PARKING SHADE STRUCTURE OF CAPSU ROXAS MAIN CAMPUS</t>
  </si>
  <si>
    <t>Rehabilitation/ Improvement of Storage/ Stock room</t>
  </si>
  <si>
    <t>SUPPLY &amp; DELIVERY OF FUEL USE FOR REHABILITATION OF ROADS &amp; BRIDGES OF BARANGAY MARARAG</t>
  </si>
  <si>
    <t>PURCHASE OF CONSTRUCTION MATERIALS FOR REPAIR/IMPROVEMEMENT OF ECCD CENTER AT BRGY MIRAMAR, VILLAREAL, SAMAR</t>
  </si>
  <si>
    <t>PROCUREMENT OF ASSORTED CELLCARDS FOR COMMUNICATION PURPOSES (3RD &amp; 4TH QTR 2020) - 1ST POSTING</t>
  </si>
  <si>
    <t>20GIK0011-Supply of Fuel and Lubricants for use in various the operation of vehicles and equipment assigned to the district</t>
  </si>
  <si>
    <t>Procurement of 3 Day Board and Lodging (for LCPC, M/BPAC and VAW Desk Functionalities)</t>
  </si>
  <si>
    <t>OTHER SUPPLIES &amp; MATERIALS EXPENSES</t>
  </si>
  <si>
    <t>IT Equipment</t>
  </si>
  <si>
    <t>Ri Bid for Materials for the Rehabilitation of Slaughter House</t>
  </si>
  <si>
    <t>Riso Machine and Ink-DepEd</t>
  </si>
  <si>
    <t>Rescue Vehicles/Ambulance-Villa Mercedes</t>
  </si>
  <si>
    <t>SUPPLY, TRANSPORT, DELIVERY &amp; HANDLING OF OFFICE SUPPLIES FOR PCA RXII</t>
  </si>
  <si>
    <t>Purchase of Materials for the Fabrication of Wooden windows Mosquito Net Frame at Bryg. Poblacion, San Andres, Quezon</t>
  </si>
  <si>
    <t>Construction of Slope Protection Structure at Dunggoan Elem. School, Tignapoloan; SN 160 - 2020</t>
  </si>
  <si>
    <t>PROCUREMENT OF FUEL DISPENSER (FOR LGU DIESOLINE TANK USE)</t>
  </si>
  <si>
    <t>Supply and Delivery of Materials for Spring Development</t>
  </si>
  <si>
    <t>HIRING OF RESEARCH BOAT AND MOTOR LAUNCH FOR OFFICIAL USE OF TUBBATAHA REEFS NATURAL PARK – MANAGEMENT OFFICE</t>
  </si>
  <si>
    <t>ISC-20-0899-B SPORTING GOODS</t>
  </si>
  <si>
    <t>“SUPPLY AND DELIVERY OF MEALS AND SNACKS”</t>
  </si>
  <si>
    <t>Supply and Delivery of Construction Materials for Installation of Floor Tiles, Installation of Doors &amp; Construction of Perimeter Fence of Barangay Health Center, Barangay Cunsad, Janiuay, Iloilo and C</t>
  </si>
  <si>
    <t>ISC-20-0900-B PURCHASE OF CONSTRUCTION SUPPLIES</t>
  </si>
  <si>
    <t>Purchase of Office Equipment for Office Modernization of Office of Sangguniang Bayan, LGU San Andres, Romblon</t>
  </si>
  <si>
    <t>Procurement of Non-Contact Temperature Screening Camera for the Covid-19 Prevention of the College</t>
  </si>
  <si>
    <t>P.R No. 20-07-0719: 1 Lot Training Pneumatic Package Equipment Set</t>
  </si>
  <si>
    <t>Supply, Delivery and Installation of Paging System and Public Address</t>
  </si>
  <si>
    <t>Provision of Training Services for Advance/Refresher Diving Course</t>
  </si>
  <si>
    <t>IB No. 2006-310 Proc. of Goods (Supply and Installation of Close Circuit Television Security)(Rebid)</t>
  </si>
  <si>
    <t>COMPLETION OF MULTI-PURPOSE HALL</t>
  </si>
  <si>
    <t>PURCHASE OF MATERIALS FOR THE IMPROVEMENT OF BARANGAY ROAD</t>
  </si>
  <si>
    <t>Rehabilitation of Slaughter House Roofing</t>
  </si>
  <si>
    <t>Purchase of Brand New Motor Vehicle (Ambulance/ Rescue)</t>
  </si>
  <si>
    <t>Invitation to Bid for the CONSTRUCTION OF DAIRY GOAT BARN WITH WATER SYSTEM AND SILO</t>
  </si>
  <si>
    <t>COO-20-0416-NPSV / FOOD AND ACCOMMODATION</t>
  </si>
  <si>
    <t>Installation of Basketball Ring Fiber Glass (1Set) With Stand/Post</t>
  </si>
  <si>
    <t>MA-A2H20-012 Submersible Pump, Domestic Water, 25HP</t>
  </si>
  <si>
    <t>Supply and Delivery of Construction Materials for Improvement of Multi-Purpose Building</t>
  </si>
  <si>
    <t>Supply and Delivery of Drugs &amp; Medicines for Medical Mission</t>
  </si>
  <si>
    <t>Hotel Accommodation for 65 persons for 14 days, For Isolation/Quarantine Facility for LSI and ROF</t>
  </si>
  <si>
    <t>20KB0172   Re - Rehabilitation of Multi-Purpose Building (Day Care Center) Brgy. Kianggat, Dangcagan, Bukidnon</t>
  </si>
  <si>
    <t>MA-A2M20-035 Replacement of Turbine Oil,37 drums/ lot AG1</t>
  </si>
  <si>
    <t>PURCHASE OF 1 UNIT 4X4 MULTICAB</t>
  </si>
  <si>
    <t>Multi-Purpose Building</t>
  </si>
  <si>
    <t>SUPPLY AND DELIVERY OF ELECTRICAL EQUIPMENT AND MATERIALS FOR TINGLOY DPP</t>
  </si>
  <si>
    <t>Procurement of Other Supplies &amp; Materials for the use of Dr. Rafael S. Tumbokon Memorial Hospital-EEDD, Kalibo, Aklan /ITB no: 2020-419</t>
  </si>
  <si>
    <t>DELIVERY OF MATERIALS FOR THE IMPROVEMENT OF JAGNA PUBLIC MARKET</t>
  </si>
  <si>
    <t>Printing Supplies</t>
  </si>
  <si>
    <t>MA-A2M20-51 O/M Instrumentation and Control Equipment and Auxillaries, 1lot, AG2</t>
  </si>
  <si>
    <t>Construction of 57.20 LM  CHB Wall Fence with Iron Grills at Covered Court, Lopoc, Labason, Z.N.</t>
  </si>
  <si>
    <t>Purchase of Motorcycle 125cc For use in Municipal Health  Office field Monitoring</t>
  </si>
  <si>
    <t>Construction of Open Canal (Purok Adelfa)</t>
  </si>
  <si>
    <t>20KB0186   Construction of Evacuation Center in Brgy. South Poblacion, Maramag, Bukidnon</t>
  </si>
  <si>
    <t>Supply and Delivery of Laptop for use of editing Drone Videos and office related Video Documentation/Presentation</t>
  </si>
  <si>
    <t>MA-A2M20-024 Repair of street lightings</t>
  </si>
  <si>
    <t>Supply and Delivery of Mosquito Larvicide Comprising of Calcium Hydroxide and Clinoptilolite 25kls.</t>
  </si>
  <si>
    <t>Purchase of 2 Unit Laptop With 1 Unit Printer</t>
  </si>
  <si>
    <t>Const./Rehab/Repair of Street Lights @ Brgy. Plaza (Solar Lights)</t>
  </si>
  <si>
    <t>Delivery of materials for construction of Material Recovery Facility</t>
  </si>
  <si>
    <t>20GKI0044 (Public Bidding) Contract Name: Furnishing of Materials for Maintenance, Repair and Rehabilitation of Infrastructure Facilities and other Related Activities, Repair and Maintenance of Road S</t>
  </si>
  <si>
    <t>1 unit motor vehicle, pick-up 4wd</t>
  </si>
  <si>
    <t>Supply/Delivery of 1 Lot Digital Duplicating Machine and 6 Units Duplicating Machine</t>
  </si>
  <si>
    <t>PEO-20-0929-B- Purchase of Spare Parts for use in the repair of Isuzu Dump Truck (NDT 21-40) Model: FTR33FLD and Komatsu Bulldozer (KB-2) Model: D65EX-16 assigned at PEP, Sta. Barbara, Iloilo</t>
  </si>
  <si>
    <t>SUPPLY AND DELIVERY OF WOVEN FABRIC FOR THE REGIONAL OFFICE EMPLOYEES</t>
  </si>
  <si>
    <t>Procurement of Poster of the Vice Mayor w/ PR # 905</t>
  </si>
  <si>
    <t>SUPPLY AND DELIVERY OF ELECTRICAL SPARE PARTS FOR 163KW PERKINS GENERATING SET OF CALAYAN DPP</t>
  </si>
  <si>
    <t>20KB0184   Concreting of Purok 18, Brgy. Butong FMR, Brgy. Butong, Quezon, Bukidnon</t>
  </si>
  <si>
    <t>20KB0185   Concreting of Purok 3B Sitio Mahayag to Purok 4 Sitio Dagohoy, Poblacion FMR Phase II, Brgy. Poblacion, Dangcagan, Bukidnon</t>
  </si>
  <si>
    <t>PROCUREMENT OF VARIOUS OFFICE SUPPLIES AND EQUIPMENT</t>
  </si>
  <si>
    <t>Supply &amp; Delivery of Construction Materials &amp; Supplies for the Construction Niches at Socorro Public Memorial Garden</t>
  </si>
  <si>
    <t>PROCUREMENT OF VARIOUS PLUMBING SUPPLIES</t>
  </si>
  <si>
    <t>Concreting of Circumferential Road (BLISS), EPO</t>
  </si>
  <si>
    <t>Purchase of Barangay Officials and Barangay Tanod uniform of Barangay Banoyo, San Luis, Batangas</t>
  </si>
  <si>
    <t>Procurement of Emergency Birthing Kits,  IB No. SB-2020-016</t>
  </si>
  <si>
    <t>CONSTRUCTION OF PATHWAY @ BRGY.PUTI</t>
  </si>
  <si>
    <t>:   Completion/Installation of CHB Wall w/ Cement Plaster,Floor Tiles, Ceiling Board, Lig Electrical Facilities, and Painting Works at Barangay Hall, Lopoc, Labason, Z.N.</t>
  </si>
  <si>
    <t>SUPPLY AND DELIVERY OF OF THERMAL SCANNER, HIGH RESOLUTION OF BALONGBONG HEPP</t>
  </si>
  <si>
    <t>TAPE, GLASS WITH ADHESIVE</t>
  </si>
  <si>
    <t>Improvement of senior citizen hall</t>
  </si>
  <si>
    <t>PROCUREMENT OF TIRES FOR GRADER USE</t>
  </si>
  <si>
    <t>“SUPPLY, DELIVERY AND INSTALLATION OF TWO (2) AIRCONDITION UNITS”</t>
  </si>
  <si>
    <t>INSTALLATION OF STREET LIGHTS AT BARANGAY BULABUD</t>
  </si>
  <si>
    <t>CONSTRUCTION OF OPEN CANAL ( Purok Rose)</t>
  </si>
  <si>
    <t>CONSTRUCTION MATERIALS</t>
  </si>
  <si>
    <t>Procurement of Consulting Services for the Site Development, Ground Preparation and Beautification, Concrete Works, Electrical Works, Plumbing and Fixtures and Tile Works (Design &amp; Construction Superv</t>
  </si>
  <si>
    <t>supply, delivery and installation of various roofing materials for the completion of evacuation center roofing</t>
  </si>
  <si>
    <t>Construction of Impounding Area for Astray Animals</t>
  </si>
  <si>
    <t>CONSTRUCTION OF LOCAL  ROAD- Sitio Panghulan 2, Brgy. Bula</t>
  </si>
  <si>
    <t>PEO-20-0928-B- Purchase of Batteries for use in the replacement of Defective Batteries of Various Light and Heavy Equipment assigned at PEP, Motorpool, Sta. Barbara, Iloilo</t>
  </si>
  <si>
    <t>PROCUREMENT OF VARIOUS OFFICE AND EQUIPMENT</t>
  </si>
  <si>
    <t>Supply, Delivery and Installation of CCTV</t>
  </si>
  <si>
    <t>Rehabilitation/Improvement of Multi-purpose Hall/Evacuation Center (Basement and Mayor's Office)</t>
  </si>
  <si>
    <t>MA-A2M20-052 O/M of Overhead Feeders, 1 lot, AG2</t>
  </si>
  <si>
    <t>( PR NO. 19-11-07-0181 RECANVASS SUPPLY AND DELIVERY OF 1 unit Electromagnetic Flow Meter, Remote Type, SS, FE x FE, 150mmØ, 1 unit Electromagnetic Flow Meter, Remote Type, SS, FE x FE, 200mmØ, 1 unit</t>
  </si>
  <si>
    <t>20KB0187   Construction of Evacuation Center in Brgy. Poblacion, Quezon, Bukidnon</t>
  </si>
  <si>
    <t>Contract ID: 20FD0073- CONSTRUCTION OF ONE (1) STOREY, FOUR (4) CLASSROOM SCHOOL BUILDING, DEL GALLEGO CENTRAL SCHOOL. DEL GALLEGO, CAMARINES SUR</t>
  </si>
  <si>
    <t>Contract ID Number 20FD0072 CONSTRUCTION/REHABILITATION OF WATER SUPPLY/SEPTAGE AND SEWERAGE/RAIN WATER COLLECTORS – RAIN WATER COLLECTORS IN PUBLIC FACILITIES, SAN VICENTE E/S,</t>
  </si>
  <si>
    <t>Supply and Delivery of Drugs and Medicines for RHU I</t>
  </si>
  <si>
    <t>SUPPLY &amp; DELIVERY OF HARDWARE/MATERIALS FOR THE IMPROVEMENT OF BRGY. BULAWAN WATER SYSTEM</t>
  </si>
  <si>
    <t>Procurement of Office Supplies for the use of Dr. Rafael S. Tumbokon Memorial Hospital-EEDD, Kalibo, Aklan /ITB no: 2020-418</t>
  </si>
  <si>
    <t>CONSTRUCTION OF OPEN CANAL (Purok Water Lily)</t>
  </si>
  <si>
    <t>Cogon Market Kiosk; SN 176 - 2020</t>
  </si>
  <si>
    <t>GASKET</t>
  </si>
  <si>
    <t>construction of BNS BUILDING</t>
  </si>
  <si>
    <t>20KB0183   Construction of One Unit One Storey-Five (5) Classroom School Building at Malinao ES, Kadingilan, Bukidnon</t>
  </si>
  <si>
    <t>MA-A2H20-013 Relay Coil Holding Protection for 5C &amp; 5P, 2 units, AG2</t>
  </si>
  <si>
    <t>SUPPLY AND DELIVERY OF VARIOUS CONSTRUCTION MATERIALS FOR THE COMPLETION OF UNIDAD COMMUNITY TRAINING CENTER</t>
  </si>
  <si>
    <t>Purchase of Materials for the Road Concreting, Brgy. Patag, Lambunao, Iloilo</t>
  </si>
  <si>
    <t>Purchase of Milk Powder to be used by RHU</t>
  </si>
  <si>
    <t>Proposed Footbridge at Brgy. Catan-agan, San Enrique, Iloilo</t>
  </si>
  <si>
    <t>PR NO: 2020-07-033: SUPPLY AND DELIVERY OF FIRE EXTINGUISHER.</t>
  </si>
  <si>
    <t>Concreting of Pathway Sun-ok (Pruok 6, Bogo)</t>
  </si>
  <si>
    <t>PEO-20-0927-B- Purchase of Spare Parts for use in the repair of Isuzu Dump Truck (NDT 21-40) Model: FTR33FLD assigned at PEP, Sta. Barbara, Iloilo</t>
  </si>
  <si>
    <t>GOODS 2020-07-0006 PROCUREMENT OF DISASTER EQUIPMENT AND ACCESSORIES</t>
  </si>
  <si>
    <t>20PK0071 - Opening and Concreting of Ababa-an Farm-to-Market Road (FMR), Brgy. Ababa-an, Balbalan, Kalinga</t>
  </si>
  <si>
    <t>2 units brand new pick-up vehicle 4x4</t>
  </si>
  <si>
    <t>CONSTRUCTION  OF WATER  TANK  ( Purok Ma.Luz)</t>
  </si>
  <si>
    <t>S &amp; D of Office Equipment (PVO)</t>
  </si>
  <si>
    <t>INVITATION TO BID FOR THE SUPPLY AND DELIVERY  OF 1 UNIT GENERATOR SET FOR CDRRMO, OROQUIETA CITY</t>
  </si>
  <si>
    <t>Rebidding of Disinfectants,  IB No. SB-2020-020</t>
  </si>
  <si>
    <t>STREETLIGHTING</t>
  </si>
  <si>
    <t>Motorcycle for Project Monitoring Committee</t>
  </si>
  <si>
    <t>MA-A2M20-021 O/M of Lifting Mechanism, 1lot, AG2</t>
  </si>
  <si>
    <t>Procurement of Student Group Accident Insurance of PNU Manila and PNU South Luzon Undergraduate Students for School Year 2020-2021</t>
  </si>
  <si>
    <t>CONSTRUCTION OF MULTI-PURPOSE HAL (GYM TYPE) AT THE OPEN SPACE OF PUROK CRYSTAL MEADOWS</t>
  </si>
  <si>
    <t>REPAIR AND REHABILITATION OF MARAMAG MESSAGE CENTER</t>
  </si>
  <si>
    <t>Supply of Office Furniture and Fixtures for barangay @ Palindan, Ibaan, Batangas</t>
  </si>
  <si>
    <t>Procurement of Mini Dumptruck (Surplus)</t>
  </si>
  <si>
    <t>FOOD STOCKING</t>
  </si>
  <si>
    <t>Supply and Delivery of Motor Vehicles</t>
  </si>
  <si>
    <t>Supply &amp; Delivery of Cartridge/Toner HP LaserJet 17A</t>
  </si>
  <si>
    <t>IMPROVEMENT OF WATER SYSTEM, BRGY. CALIPAYAN, CULABA, BILIRAN</t>
  </si>
  <si>
    <t>Package 16 (A. RHU-Landing Road Improvement, B. Athletic Oval Drainage Outlet, and C. Palabayan Elementary School Slope Protection)</t>
  </si>
  <si>
    <t>SUPPLY &amp; DELIVERY OF FUEL USE FOR REHABILITION OF ROADS &amp; BRIDGES OF BARANGAY STA. CRUZ</t>
  </si>
  <si>
    <t>Procurement of Installation of Street LIGHTS P-7, Namillangan</t>
  </si>
  <si>
    <t>ITB No. 2020-G-06-02: Purchase of Transformer w/ Installation and  metering</t>
  </si>
  <si>
    <t>Supply and Delivery of Rescue Equipment</t>
  </si>
  <si>
    <t>Supply and Delivery of Personal Protective Equipment (PPE) for Basic Courses Unit Use Public Bidding No. 2020-003-G</t>
  </si>
  <si>
    <t>B20200288 - MEDICAL SUPPLIES FOR PEEDO KAPALONG USE</t>
  </si>
  <si>
    <t>Supply and delivery of materials for the Improvement of Multi-Purpose Hall (Phase I) at Barangay Rosario</t>
  </si>
  <si>
    <t>CONSTRUCTION OF PATHWAYS AT BARANGAY LUTA SUR, MALVAR, BATANGAS</t>
  </si>
  <si>
    <t>CONSTRUCTION OF LGU HOTEL PHASE-II</t>
  </si>
  <si>
    <t>Proposed Renovation of City Internal Audit Services, City Hall; SN 167 - 2020</t>
  </si>
  <si>
    <t>Purchase of Service Vehicle for MDRRMO Office</t>
  </si>
  <si>
    <t>SUPPLY AND DELIVERY OF VARIOUS CONSTRUCTION MATERIALS FOR IMPROVEMENT OF MULTI-PURPOSE BUILDING(PHASE 1)</t>
  </si>
  <si>
    <t>Concreting of Buyog Barangay Road</t>
  </si>
  <si>
    <t>CONSTRUCTION OF SLAUGHTERHOUSE PHASE II AND OTHER AMENITIES</t>
  </si>
  <si>
    <t>brand new multi-purpose vehicle</t>
  </si>
  <si>
    <t>REHABILITATION AND REPAIR OF BRGY. CAURINGAN WATER SYSTEM AT BRGY. CAURINGAN SISON, PANGASINAN</t>
  </si>
  <si>
    <t>San Jose Port Development Project, Port of San Jose, Paluan, Occidental Mindoro</t>
  </si>
  <si>
    <t>PR NO: 2020-07-034: SUPPLY AND DELIVERY OF CONSTRUCTION MATERIALS.</t>
  </si>
  <si>
    <t>PROCUREMENT OF FIBER GLASS BASKETBALL BOARD (SET)</t>
  </si>
  <si>
    <t>CONSTRUCTION OF OPEN CAN 2 (Purok Water Lily)</t>
  </si>
  <si>
    <t>Construction of Perimeter Fence (4 units)/School Pergula (1-unit)/Stage &amp; Roof Repair (1 unit)</t>
  </si>
  <si>
    <t>Purchase of materials for the Construction of Evacuation Center (Phase II), Brgy. San Gregorio, Lambunao, Iloilo</t>
  </si>
  <si>
    <t>20GG00024 - Procurement of Automatic Traffic Classifier (ATC) using In-Ground Sensors for four (4) lanes survey sites including installation for use of Planning and Design Division, DPWH Regional Offi</t>
  </si>
  <si>
    <t>RELIEF GOODS</t>
  </si>
  <si>
    <t>Renovation of Comport Rooms at City College of Tagaytay, Brgy. Kaybagal South, Tagaytay City</t>
  </si>
  <si>
    <t>Rebidding of N95 Mask,  IB No. SB-2020-021</t>
  </si>
  <si>
    <t>Supply and Installation of Fire Detection, Alarm and Suppression for Three (3) Storey New Municipal Hall Bldg.</t>
  </si>
  <si>
    <t>Rebidding of NAAT – LAMP Reagents and Consumables, IB No. SB-2020-022</t>
  </si>
  <si>
    <t>Supply and Delivery of Construction &amp; Electrical Materials for Construction of Streetlights for Barangay Binobong, Anayan,Bagong Sirang, San Vicente, Tagbong, Himaao and Curry, Pili, Cam. Sur</t>
  </si>
  <si>
    <t>1 Unit Plastic and Cellophane Pulverizer Machine</t>
  </si>
  <si>
    <t>PROCUREMENT OF VARIOUS PUBLICATION &amp; PRINTING EQUIPMENT</t>
  </si>
  <si>
    <t>Procurement of Medical Supplies,  IB No. SB-2020-026</t>
  </si>
  <si>
    <t>Purchase of Street lighting materials</t>
  </si>
  <si>
    <t>supply and delivery of meal and snack</t>
  </si>
  <si>
    <t>SUPPLY AND DELIVERY OF VARIOUS AMENITIES FOR USE AT THE ISOLATION/QUARANTINE ROOMS AT BUL. EAST, SISON, PANGASINAN</t>
  </si>
  <si>
    <t>Procurement of Printing of 2019 Annual Report</t>
  </si>
  <si>
    <t>Procurement of 10-Units Photocopier Machine and Consumables for the Lugait District under Local School Board of Local Government Unit of Lugait, Misamis Oriental.</t>
  </si>
  <si>
    <t>PROCUREMENT OF THERMAL SCANNERS (FOR DEPED III USE)</t>
  </si>
  <si>
    <t>PR NO: 2020-07-035: SUPPLY AND DELIVERY OF COPIER TONER.</t>
  </si>
  <si>
    <t>Procurement of Janitorial Services for DTI-Region 10 for the year 2020(2020-07-180)</t>
  </si>
  <si>
    <t>PURCHASE OF OFFICE SUPPLIES FOR 1ST AND 2ND QUARTER 2020</t>
  </si>
  <si>
    <t>Supply and Delivery of Office Supplies and Devices for 3rd Quarter of CY 2020</t>
  </si>
  <si>
    <t>Procurement of Urine Pregnancy Test Kit,  IB No. SB-2020-025</t>
  </si>
  <si>
    <t>Purchase of Garbage Collection Vehicle ("Kolong-Kolong")</t>
  </si>
  <si>
    <t>PROCUREMENT OF VEHICLE|AMBULANCE</t>
  </si>
  <si>
    <t>“SUPPLY, DELIVERY AND INSTALLATION OF AIRCONDITION UNITS”</t>
  </si>
  <si>
    <t>Concreting of 50 In.m.x3mx.15m Alley Road with .5m width shouldering both side</t>
  </si>
  <si>
    <t>PR 20-07-019 for izuzu hi lander</t>
  </si>
  <si>
    <t>supply and delivery of materials and fittings</t>
  </si>
  <si>
    <t>CONSTRUCTION OF OPEN CANAL  PUROK ORCHIDS</t>
  </si>
  <si>
    <t>Repair of Ceiling at the Coop Office, Mahogany Market compound, Brgy. Kaybagal South, Tagaytay City</t>
  </si>
  <si>
    <t>CONSTRUCTION OF BOX CULVERT- Sitio Cotta, Brgy. Lalig</t>
  </si>
  <si>
    <t>Payment of materials for environmental purposes</t>
  </si>
  <si>
    <t>Procurement of Various Vitamins for Senior Citizens, Frontliners, Covid-19 Patients and Children</t>
  </si>
  <si>
    <t>Installation of Solar Panel for Street lighting</t>
  </si>
  <si>
    <t>Rehabilitation of Water System in MinSCAT Forest Reserved  in MinSCAT Main Campus</t>
  </si>
  <si>
    <t>Procurement of 3 Month Advertising Expense under P.R No. 2797-2020-Office of the City Civil Registrar</t>
  </si>
  <si>
    <t>Procurement of Reagents and Glassware,  IB No. SB-2020-028</t>
  </si>
  <si>
    <t>PROCUREMENT OF VEHICLE|RESCUE VEHICLE</t>
  </si>
  <si>
    <t>Procurement of Municipal Health Office Medicine Supplies</t>
  </si>
  <si>
    <t>Procurement of Ointments and Essential Medicines,  IB No. SB-2020-027</t>
  </si>
  <si>
    <t>Supply and Delivery of IT &amp; Office Equipment for Municipal Accounting Office</t>
  </si>
  <si>
    <t>Procurement of Office Supplies for Operation and Maintenance of the COA</t>
  </si>
  <si>
    <t>Procurement of Vehicle Repair and Maintenance under P.R.Nos. 1886-2020(City Environment &amp; Natural Resources Office- City Parks and Waterways Services Division),etc.-1Lot.</t>
  </si>
  <si>
    <t>Purchase of Materials for Rehab./Improvement of Brgy. MPH (Phase II)</t>
  </si>
  <si>
    <t>Consulting Services for the Preparation of Complete Design and Other Relevant Documents for the Proposed Construction of OMSC Theater</t>
  </si>
  <si>
    <t>PR# 20-1533- To supply labor, materials and necessary equipment for the Improvement of Barangay Road at Candelaria, Macabebe, Pampanga</t>
  </si>
  <si>
    <t>Road Opening from Purok 5 to Libtong, Cabarian</t>
  </si>
  <si>
    <t>CONSTRUCTION OF TWO CLASSROOM GABALDON, Sta. Cruz, Calapan City</t>
  </si>
  <si>
    <t>Supply and Delivery of Construction Material for Construction of Small Water Impounding Project at Del Rosario, Pili, Cam. Sur</t>
  </si>
  <si>
    <t>Materials for Material Recovery Facility (MRF)</t>
  </si>
  <si>
    <t>PROCUREMENT OF WATER PURIFIER SET</t>
  </si>
  <si>
    <t>POS-20-0698-B Security Services</t>
  </si>
  <si>
    <t>Modern Audio Visual Room at Laboratory High School (LHS) I-2020-17</t>
  </si>
  <si>
    <t>Construction of one (1) Building Public Market (10M x 34.2M) Stall Section</t>
  </si>
  <si>
    <t>PR# 20-1534- To supply labor, materials and necessary equipment for the Construction of Two (2) Storey Multi-Purpose Building at Prado Siongco, Lubao, Pampanga</t>
  </si>
  <si>
    <t>Construction of Multi-Purpose Covered Court, Brgy. San Isidro, Paniqui, Tarlac</t>
  </si>
  <si>
    <t>PR# 20-1532- To supply labor, materials and necessary equipment for Improvement/Construction of Line Canal at Barangay Magsaysay, Guagua, Pampanga.</t>
  </si>
  <si>
    <t>INVITATION TO BID FOR THE  SUPPLY AND DELIVERY OF CORPORATION STOP AND BRASS COUPLING PR Nos. 2777-001-004</t>
  </si>
  <si>
    <t>INVITATION TO BID FOR THE  SUPPLY AND DELIVERY OF RESISTIVITY FIELD METER PR Nos. 27838 – 001</t>
  </si>
  <si>
    <t>Procurement of Laboratory Supplies for TB Infection Control,  IB No. SB-2020-030</t>
  </si>
  <si>
    <t>Supply and Delivery of Construction Materials for the Construction of Post-Harvest Facilities/Multipurpose Drying Pavement (BUB 2014), Poblacion, Kitaotao, Bukidnon</t>
  </si>
  <si>
    <t>Purchase of Heavy Equipment Forward Vehicle</t>
  </si>
  <si>
    <t>Supply and Delivery of Construction Material for Riprapping and Backfilling of Farm to Market Road at Sitio Caboclodan, San Jose, Pili, Cam. Sur</t>
  </si>
  <si>
    <t>Supply and Delivery of Office Equipment for Municipal Assessor Office</t>
  </si>
  <si>
    <t>RFQ-GLASS PARTITION FOR CASHIER &amp; ACCOUNTING OFFICE</t>
  </si>
  <si>
    <t>PURCHASE OF SCHOOL SUPPLIES</t>
  </si>
  <si>
    <t>PURCHASE OF DIESEL</t>
  </si>
  <si>
    <t>LIGHTING MAINTENANCE</t>
  </si>
  <si>
    <t>NEDA-X: 1U rack mount Server</t>
  </si>
  <si>
    <t>Construction of one (1) Building Public Market (8M x 34.2M)-Meat Section</t>
  </si>
  <si>
    <t>Supply and Delivery of Various Office Equipment for Municipal Treasurer Office</t>
  </si>
  <si>
    <t>PR# 20-1804- To supply labor, materials and necessary equipment for the Improvement/Concreting of Barangay Road at Sta. Lucia Anac-San Isidro, Masantol, Pampanga</t>
  </si>
  <si>
    <t>SUPPLY AND DELIVERY OF VARIOUS OFFICE EQUIPMENT USE FOR MCDO, MCR &amp; HRM OFFICE</t>
  </si>
  <si>
    <t>PROCUREMENT OF 7 POSTS OF SOLAR POWERED  STREET LIGHTING SYSTEM</t>
  </si>
  <si>
    <t>INVITATION TO BID FOR THE  SUPPLY AND DELIVERY OF COMPUTER NOTEBOOK PR Nos. 27852-001</t>
  </si>
  <si>
    <t>INVITATION TO BID FOR THE  SUPPLY AND DELIVERY OF COMPUTER SOFTWARE AUTOCAD PR Nos. 27828-001</t>
  </si>
  <si>
    <t>Concreting of Local Road – Brgy. Plagatasanon</t>
  </si>
  <si>
    <t>20PC0061 CONSTRUCTION OF EVACUATION CENTER, SAN CARLOS, STA. MARCELA, APAYAO</t>
  </si>
  <si>
    <t>Supply and Delivery of Office Equipment for Municipal Planning &amp; Development Office</t>
  </si>
  <si>
    <t>Proposed Construction of Esperanza Multi-Purpose Hall Phase 1</t>
  </si>
  <si>
    <t>Purchase of Rapid Testing Kit for COVID 19, Alicia, Bohol</t>
  </si>
  <si>
    <t>Construction of one (1) Building Public Market (13M x 34.2M)-Vegetable Section</t>
  </si>
  <si>
    <t>Procurement of materials,supply of labor and rental of equipment for Solar Light for Fourteen (14) Barangays of Madridejos,Cebu</t>
  </si>
  <si>
    <t>Procurement of materials,supply of labor and rental of equipment for Rehabilitation of Kota Park at Poblacion,Madridejos,Cebu</t>
  </si>
  <si>
    <t>MULTI-PURPOSE PAVEMENT, BRGY. SABANG DAGUITAN, DULAG LEYTE</t>
  </si>
  <si>
    <t>Rehabilitation of Local Access Road (Phase 1), Brgy. Nagmisaan to Brgy. San Juan De Milla, Paniqui, Tarlac</t>
  </si>
  <si>
    <t>ROAD CONCRETING @ BRGY. DAGBASAN</t>
  </si>
  <si>
    <t>Procurement of materials,supply of labor and rental of equipment for Cultural Canopy at LGU-Compound,Poblacion,Madridejos,Cebu</t>
  </si>
  <si>
    <t>Supply and Delivery of Office Equipment-Total Station, GPS Reader and Handheld Radio</t>
  </si>
  <si>
    <t>Const./ Imp./ Installation of Electrification, Power &amp; Energy Citywide (Purchase of Installation of 3-10KVA Electrical Transformer and its Accessories)</t>
  </si>
  <si>
    <t>REPAIR OF BUTTERFLY VALVE LIGHTING SYSTEM</t>
  </si>
  <si>
    <t>Construction of Deep Well Potable Water Supply System</t>
  </si>
  <si>
    <t>IB No. 2006-327 Proc. of Goods (Medicines)(Rebid)</t>
  </si>
  <si>
    <t>Purchase of Food Supplies for COVID 19 Frontliners, Alicia, Bohol</t>
  </si>
  <si>
    <t>Procurement of Materials for the Project "Improvement of Waterworks System"</t>
  </si>
  <si>
    <t>Supply and Delivery of IT &amp; Office Equipment and Furniture and Fixtures for Municipal Budget Office</t>
  </si>
  <si>
    <t>Construction of one (1) Building Public Market (8M x 34.2M)-Fish Section</t>
  </si>
  <si>
    <t>REPAIR OF A6 NATURE'S PARK LANDPARK</t>
  </si>
  <si>
    <t>Improvement of 33 Day Care Center</t>
  </si>
  <si>
    <t>Procurement of various office supplies with PR # 48</t>
  </si>
  <si>
    <t>purchase of amterials for upgrading of water system</t>
  </si>
  <si>
    <t>CONSTRUCTION OF INTAKE TANK (8X8X8) TO SITIO LANIE, BRGY. NATO</t>
  </si>
  <si>
    <t>Procurement of Fire and IT Equipment (Bureau of Fire Protection - Larena)</t>
  </si>
  <si>
    <t>Purchase of Construction. /Installation of Solar Street Light (Phase II)</t>
  </si>
  <si>
    <t>Lot1- Purchase of School Supplies to be distributed to all Elementary Pupils (4 districts)</t>
  </si>
  <si>
    <t>PR-2020-1794 Drugs &amp; Medicines-PSWDO</t>
  </si>
  <si>
    <t>PR# 20-1453- To supply labor, materials and necessary equipment for the Concreting of Barangay Road, San Francisco, Lubao, Pampanga.</t>
  </si>
  <si>
    <t>FURNISHING OF LABORERS THRU "PAKYAW" BASIS TO ASSIST THE AGUS 6 HEP MECHANICAL SECTION DURING REPAIR OF SPILLWAY GATES</t>
  </si>
  <si>
    <t>Procurement of materials,supply of labor and rental of equipment for Cultural Grilles at LGU-Compound,Poblacion,Madridejos,Cebu</t>
  </si>
  <si>
    <t>Fabrication of Office Tables</t>
  </si>
  <si>
    <t>Construction of Slope Protection Structures, Mandi-i, Brgy. Magsaysay</t>
  </si>
  <si>
    <t>Establishment of Vermi Composting Chambers within the Dumpsite Vicinity</t>
  </si>
  <si>
    <t>PROCUREMENT OF VARIOUS OFFICE SUPPLIES AND EQUIPMENTS</t>
  </si>
  <si>
    <t>Lot1-Purchase of materials for the construction of Slope Protection at Sitio Masisit E/S (Revised) at Asassi, Baggao, Cagayan</t>
  </si>
  <si>
    <t>installation of isolation unit</t>
  </si>
  <si>
    <t>Supply &amp; Delivery of Appliances for Office use</t>
  </si>
  <si>
    <t>RJO FABRICATION, REPAIR AND SERVICING- FURNISHING OF LABOR, TOOLS AND EQUIPMENT CONSUMABLES AND EXPERTISE FOR THE REPAIR AND REPLACEMENT OF HEAVILY CORRODED AND LEAKING PENSTOCK</t>
  </si>
  <si>
    <t>PROCUREMENT OF VARIOUS ELECTRICAL SUPPLIES</t>
  </si>
  <si>
    <t>PR# 20-1759- To supply labor, materials and necessary equipment for the Construction of Thirty (30) Units Outpost for KALAM Checker at Various Municipalities of Pampanga.</t>
  </si>
  <si>
    <t>Rental Of Equipment (Concreting of 50 In.m x 3m x 15m Alley Road with .5m width shouldering both side</t>
  </si>
  <si>
    <t>Purchase of Spare Parts for Repair &amp; Maintenance of Heavy Equipment</t>
  </si>
  <si>
    <t>Supply and Delivery of Construction Materials for the Construction of PNP Parking Shelter, Poblacion, Kitaotao, Bukidnon</t>
  </si>
  <si>
    <t>INSTALLATION OF FOOT BATH, DISINFECTION BOOTH AND TENTS</t>
  </si>
  <si>
    <t>EXPANSION OF PWS LEVEL III PHASE IV (MATERIALS)</t>
  </si>
  <si>
    <t>REPLACEMENT OF DAMAGE (100M) WATER PIPELINE OF MANANAWIN ELEMENTARY SCHOOL,BRGY. MASULOG</t>
  </si>
  <si>
    <t>Rehabilitation and Improvement of Barangay Street Lighting System</t>
  </si>
  <si>
    <t>Concreting of Pathway</t>
  </si>
  <si>
    <t>Procurement of fruit tree seedlings for agricultural produce for tree planting to different barangays</t>
  </si>
  <si>
    <t>Lot1-Purchase of personalized notebooks to be distributed to all Elementary Pupils (4 districts)</t>
  </si>
  <si>
    <t>Improvement of Dilasag-Dinapigue Provincial Road, Brgy. Diagyan, Dilasag, Aurora</t>
  </si>
  <si>
    <t>Invitation to Bid for the Procurement of Janitorial Services for CY2020</t>
  </si>
  <si>
    <t>Supply and Delivery of IT Equipment for Municipal Agriculture Office</t>
  </si>
  <si>
    <t>Annual Physical and Medical Examination for PFDA-NFPC Employees</t>
  </si>
  <si>
    <t>PR# 20-1452 - To supply labor, materials and necessary equipment for the Improvement of Two (2) Storey Multi-Purpose Building at Sto. Nino, San Luis, Pampanga.</t>
  </si>
  <si>
    <t>PR# 20-1546- To supply labor, materials and necessary equipment for the Improvement of Masantol Multi-Purpose Building at Kalsadang Bayu, San Nicolas, Masantol, Pampanga</t>
  </si>
  <si>
    <t>20GNE0042 – SUPPLIES/DELIVERIES FOR THE PROCUREMENT OF VARIOUS IT EQUIPMENT AND ACCESSORIES TO BE USED IN ADMINISTRATIVE SECTION, MAINTENANCE SECTION, QUALITY ASSURANCE SECTION, PLANNING &amp; DESIGN SECT</t>
  </si>
  <si>
    <t>PR# 20-0825- To supply labor, materials and necessary equipment for the Construction of Two (2) Storey Multi-Purpose Building at San Jose Gumi, Lubao, Pampanga</t>
  </si>
  <si>
    <t>Establishment of Residual Containment Area (RCA) at Sitio Balaysungayan, Poblacion</t>
  </si>
  <si>
    <t>PURCHASE AND INSTALLATION OF ONE (1) SET OF PUBLIC ADDRESS</t>
  </si>
  <si>
    <t>ITB and Bid Docs for ProcurementID/ContractID:20C00049 ContractName:Local Program-Construction/Repair/Rehabilitation/Improvement of various Infrastructure including Local Projects - Local Roads – Cons</t>
  </si>
  <si>
    <t>Procurement of various medicines for the use of 8 City Health Units and 32 Barangay Health Stations for 2nd Semester of CY 2020 in the City of Meycauayan, Bulacan</t>
  </si>
  <si>
    <t>PR$ 20-0620- To supply labor, materials and necessary equipment for the Construction of Drainage Canal at Barangay San Nicolas, Mexico, Pampanga</t>
  </si>
  <si>
    <t>Procurement of materials,supply of labor and rental of equipment for Fourteen (14) Modular Classroom Flooring and Electrical at Madridejos Community College(MCC),Bunakan,Madridejos,Cebu</t>
  </si>
  <si>
    <t>Construction of Pathway – Brgy. P.Zamora</t>
  </si>
  <si>
    <t>CONSTRUCTION OF PADDIG CHILD DEVELOPMENT CENTER (FENCING)-Caglayan</t>
  </si>
  <si>
    <t>PROCUREMENT OF VARIOUS CONSTRUCTION MATERIALS AND SUPPLIES</t>
  </si>
  <si>
    <t>PR-2020-1491 Education Materials-Coloring Set-PSWDO</t>
  </si>
  <si>
    <t>(PPDO)  2ND INVITATION TO BID FOR THE SUPPLY AND DELIVERY OF 1 UNIT  MOTOR VEHICLE/SERVICE VEHICLE (4X2) BRAND NEW   FOR THE  PROVINCIAL PLANNING AND DEVELOPMENT OFFICE (PPDO)</t>
  </si>
  <si>
    <t>Purchase of Initial Installation of Early Warning System and Monitoring in Lucod, Central and Lambajon</t>
  </si>
  <si>
    <t>Completion of Barangay Kitchen - Brgy. Bugbuga</t>
  </si>
  <si>
    <t>IMPROVEMENT OF SACPIL NATIONAL HIGH SCHOOL ACCESS ROAD-SACPIL</t>
  </si>
  <si>
    <t>Insurance of Enrolled Students of the University for SY 2020 - 2021 - CapSU Central</t>
  </si>
  <si>
    <t>Installation of Street Lighting System (Solar) @ Brgy. 01, Casiguran, Aurora</t>
  </si>
  <si>
    <t>ANAY TREATMENT OF SIX (6) PUBLIC SCHOOLS</t>
  </si>
  <si>
    <t>REHABILITATION OF MULTI - PURPOSE BUILDING</t>
  </si>
  <si>
    <t>PURCHASE OF DIGITAL DUPLICATOR MACHINES AND PHOTOCOPIER MACHINES UNDER P.R. NO. 80-20-07-084</t>
  </si>
  <si>
    <t>Supply and Delivery of Eco Solvent Large Format Printer (6 feet)</t>
  </si>
  <si>
    <t>Supply and Delivery of Furniture for Municipal Treasurer Office</t>
  </si>
  <si>
    <t>COMPLETION OF PUROK 3 BARANGAY BALUNTAY LEVEL III WATER SYSTEM Alabel, Sarangani Province</t>
  </si>
  <si>
    <t>SUPPLY AND DELIVERY OF AGRICULTURAL SUPPLIES</t>
  </si>
  <si>
    <t>ITB for CoViD-19 Pandemic Preparedness Supplies</t>
  </si>
  <si>
    <t>Invitation to Bid for the Procurement of Security Services for CY2020</t>
  </si>
  <si>
    <t>Supply and Delivery of 3units Photocopier, 1unit Computer Laptop &amp; 1unit Printer</t>
  </si>
  <si>
    <t>Construction of Evacuation Center – Brgy. Linantuyan</t>
  </si>
  <si>
    <t>CONSTRUCTION OF CALAOAN MULTI PURPOSE BUILDING BUILING (PHASE I)-BULUAN</t>
  </si>
  <si>
    <t>Supply and Delivery of Blinds (Plain gray, for windows, 23.92 sq.ft.)</t>
  </si>
  <si>
    <t>Purchase of  Medicines</t>
  </si>
  <si>
    <t>Supply and Delivery of Crude Oil</t>
  </si>
  <si>
    <t>Supply and Delivery of Office &amp; IT Equipment for Municipal Civil Registar Office</t>
  </si>
  <si>
    <t>PURCHASE OF LIQUID CHLORINE, CHLORINATOR HOSE, TEFLONE TAPE &amp; POLY ALUMINUM CHLORIDE</t>
  </si>
  <si>
    <t>PURCHASE OF 22 UNITS SUPER DIGITAL DUPLICATOR MACHINE</t>
  </si>
  <si>
    <t>Installation of 1 unit Transformer &amp; Primary Metering</t>
  </si>
  <si>
    <t>Lot1-Purchase of Hygiene Kit to be distributed to all Elementary Pupils and High School Students (4 districts) (4 districts)</t>
  </si>
  <si>
    <t>Construction of Multi-Purpose Hall</t>
  </si>
  <si>
    <t>Const./Concreting of poblacion protecting wall at Poblacion,Tinglayan Kalinga</t>
  </si>
  <si>
    <t>Improvement of Water System (level 2)</t>
  </si>
  <si>
    <t>ONE (1) YEAR CONTRACT CORPORATE ANTI-VIRUS</t>
  </si>
  <si>
    <t>SUPPLY AND DELIVERY OF REAGENTS</t>
  </si>
  <si>
    <t>CONSTRUCTION OF COLUMBARIUM NICHES Public Cemetery, Tubod, Lanao del Norte</t>
  </si>
  <si>
    <t>Upgrading and Improvement of Labuo to Sumakwelan in Barangay Labu-o, this municipality</t>
  </si>
  <si>
    <t>SUPPLY AND DELIVERY OF DIALYSIS SUPPLIES</t>
  </si>
  <si>
    <t>Procurement of 1,225 LITERS LIQUID FOLIAR FERTILIZER in Support to Farmers of the Province</t>
  </si>
  <si>
    <t>PURCHASE OF AIRCON &amp; TV</t>
  </si>
  <si>
    <t>PURCHASE OF TIRE</t>
  </si>
  <si>
    <t>Concreting of Local Road – Brgy. Calupaan</t>
  </si>
  <si>
    <t>PROCUREMENT OF TIRES FOR USE OF SELF LOADING,BOOM TRUCK.</t>
  </si>
  <si>
    <t>Heavy Equipment-MDRRMO</t>
  </si>
  <si>
    <t>REHABILITATION OF WATER SYSTEM-PADDAOAN</t>
  </si>
  <si>
    <t>ITB for Modules</t>
  </si>
  <si>
    <t>Purchase of 6 Unit set Radio Base for MPOC</t>
  </si>
  <si>
    <t>Purchase of Supplies and Materials needed for Evacuation Center - MDRRMO</t>
  </si>
  <si>
    <t>(PSWDO)	  2ND INVITATION TO BID FOR THE SUPPLY AND DELIVERY OF 1 UNIT  MOTOR VEHICLE/SERVICE VEHICLE (4X4 PICK-UP) FOR THE  PROVINCIAL SOCIAL WELFARE AND DEVELOPMENT OFFICE (PSWDO)</t>
  </si>
  <si>
    <t>PROCUREMENT OF STENO WRITER/MACHINE</t>
  </si>
  <si>
    <t>MATERIALS FOR THE CONCRETING OF ROAD ALLEY PHASE 1, 2 &amp; 3</t>
  </si>
  <si>
    <t>Pick-Up Truck-MDRRMO</t>
  </si>
  <si>
    <t>CONCRETING OF ROAD AT DAISY ST., BRGY. URDANETA, MAGALLANES, CAVITE</t>
  </si>
  <si>
    <t>PURCHASE OF GASOLINE AND DIESEL</t>
  </si>
  <si>
    <t>1 LOT IT SUPPLIES FOR CY 2020</t>
  </si>
  <si>
    <t>Purchase of 10 Units 5 KVA Portable Generator Set</t>
  </si>
  <si>
    <t>CONSTRUCTION OF DRAINAGE CANAL WITH STIFFENERS @ Minanga, Piat, Cagayan</t>
  </si>
  <si>
    <t>CONSTRUCTION OF ADDITIONAL CELLS AND INFIRMARY FOR SARANGANI PROVINCIAL JAIL Alabel, Sarangani Province</t>
  </si>
  <si>
    <t>SUPPLY AND DELIVERY OF SEEDS ITB No. 2020-186</t>
  </si>
  <si>
    <t>Purchase of Solar Powered Lighting Facilities</t>
  </si>
  <si>
    <t>CCTV Surveillance System complete with Accessories</t>
  </si>
  <si>
    <t>Office Enhancement Program</t>
  </si>
  <si>
    <t>Purchase of Computers and Printer to be Used in  Molave Rural Health Unit</t>
  </si>
  <si>
    <t>CONSTRUCTION OF PATHWAY AT BARANGAY #13, STA. CRUZ, CAVITE CITY</t>
  </si>
  <si>
    <t>ESTABLISHMENT OF LGU-MANAGED FM RADIO STATION Tubod, Lanao del Norte</t>
  </si>
  <si>
    <t>PURCHASE OF CONSTRUCTION MATERIALS</t>
  </si>
  <si>
    <t>Purchase of Materials for Improvement of Birhen Nature Resort, Birhen, La Hacienda, Alicia, Bohol</t>
  </si>
  <si>
    <t>Lot1-Purchase of 29,350 liters Diesel fuel for Service Vehicles &amp; equipment (2nd quarter of 2020) and Lot2-Purchase of 23,500 liters Diesel fuel for Heavy Equipment</t>
  </si>
  <si>
    <t>PURCHASE OF VARIOUS MEDICINES</t>
  </si>
  <si>
    <t>CONSTRUCTION OF CHILD DEVELOPMENT CENTER-DAGA</t>
  </si>
  <si>
    <t>CONCRETE PAVING OF ROAD (ROAD RIGHT OF WAY)</t>
  </si>
  <si>
    <t>IMPROVEMENT OF KIOGAM MULTI-PURPOSE BUILDING Glan, Sarangani Province</t>
  </si>
  <si>
    <t>Additional Construction of Apartment Type (Multi-Leveled) Niches in Mabitac Public Cemetery, Brgy. Lucong, Mabitac, Laguna</t>
  </si>
  <si>
    <t>Supply and Delivery of Furniture &amp; Fixture and Office Equipment for Municipal Planning &amp; Development Office</t>
  </si>
  <si>
    <t>CID No. 20GI0-07-0104 - Purchase/delivery of consumable inks for use at the Maintenance Division, DPWH Regional Office VIII, Baras, Palo, Leyte</t>
  </si>
  <si>
    <t>Procurement of materials,supply of labor and rental of equipment for Cultural Fence and Upper Beam Walling at LGU-Compound,Poblacion,Madridejos,Cebu</t>
  </si>
  <si>
    <t>PURCHASE OF OFFICE SUPPLIES AND OFFICE EQUIPMENT</t>
  </si>
  <si>
    <t>ANIMALS FEEDS &amp; OTHER SUPPLIES</t>
  </si>
  <si>
    <t>Purchase of Office Tables and Chairs to be Used in  Molave Rural Health Unit</t>
  </si>
  <si>
    <t>MATERIALS FOR THE CONSTRUCTION OF CHB OPEN CANAL PHASE I</t>
  </si>
  <si>
    <t>PROCUREMENT OF TIRE 10:00 X WITH TUBE AND FLAP FOR USE OF DUMPTRUCK NO. 4</t>
  </si>
  <si>
    <t>Hinatuan Quarantine Facility Building 2 Lot B (Tank Pressure)</t>
  </si>
  <si>
    <t>Supply and Delivery of One (1) lot Various Sizes of Visual Aids per PR# 2020-07-0370</t>
  </si>
  <si>
    <t>Rescue Transport Vehicle (Ambulance)</t>
  </si>
  <si>
    <t>Personal Protective Gear/ Equipment for Disaster Preparedness and Response in this Municipality of Santa Cruz Laguna</t>
  </si>
  <si>
    <t>Supply and Delivery of Materials for Construction of Material Recovery Facility in 12 Barangays</t>
  </si>
  <si>
    <t>INSTALLATION OF STREET LIGHTS AT BARANGAY  BALUNTAY, ALABEL Alabel, Sarangani Province</t>
  </si>
  <si>
    <t>RFQ 2020-07-440 Procurement of various medical and other supplies for OM-PESO</t>
  </si>
  <si>
    <t>SUPPLY AND DELIVERY OF OLYSET NET WINDOW SCREEN ITB No. 2020-187</t>
  </si>
  <si>
    <t>Supply and Delivery of 1 Unit Brand New Heavy Duty Water Tanker 6 Cylinder, common rail fuel injection diesel engine.</t>
  </si>
  <si>
    <t>CONSTRUCTION OF BLEACHERS FOR TUYAN SPORTS CENTER Malapatan, Sarangani Province</t>
  </si>
  <si>
    <t>REHABILITATION OF MULTI - PURPOSE HALL</t>
  </si>
  <si>
    <t>Information Technology &amp; Communication Equipment (Computer Printer)</t>
  </si>
  <si>
    <t>ASS-20-0878-B/ Purchase of I.T Equipment (Laptop)</t>
  </si>
  <si>
    <t>RFQ 2020-07-439 Procurement of Various IT Equipment for OM</t>
  </si>
  <si>
    <t>Supply and Delivery of Various Tires and other items.REBID</t>
  </si>
  <si>
    <t>SUPPLY AND DELIVERY OF SUPPLIES, MATERIALS AND EQUIPMENT TO BE USED AT THE IP-TBM FACILITY</t>
  </si>
  <si>
    <t>CRBI OF ROADS AND BRIDGES</t>
  </si>
  <si>
    <t>Purchase and Delivery of Laptop for ISCOF System</t>
  </si>
  <si>
    <t>RFQ No. 20-07-188 for PR No. 20-07-172</t>
  </si>
  <si>
    <t>20-07-236 Procurement of High Flow Theraphy Machine</t>
  </si>
  <si>
    <t>Proposed MLWD Collection Booth at Lipa Public Market, Brgy. 03, Lipa City</t>
  </si>
  <si>
    <t>Supply and Delivery of 2000 Units Fire Extinguishers Weight: 5.0 kilos and 3000 Kilos Refill of Fire Extinguishers.</t>
  </si>
  <si>
    <t>Rehabilitation and Construction of Various Projects at Barangay Ba-ayan, Tublay, Benguet</t>
  </si>
  <si>
    <t>Invitation to Bid in a one-year contract for the services of three security guards</t>
  </si>
  <si>
    <t>PROCUREMENT  FOR CY 2020 PESTICIDES REQUIREMENT FOR NFA REGION XIV</t>
  </si>
  <si>
    <t>SUPPLY AND DELIVERY OF  IT EQUIPMENT FOR AMC</t>
  </si>
  <si>
    <t>Drone accessories</t>
  </si>
  <si>
    <t>SUPPLY AND DELIVERY OF  VARIOUS OFFICE SUPPLIES FOR DIFFERENT OFFICES (3RD QUARTER)</t>
  </si>
  <si>
    <t>SUPPLY AND DELIVERY OF AGRICULTURAL EQUIPMENT ITB No. 2020-185</t>
  </si>
  <si>
    <t>PURCHASE OF NON-PERISHABLE GOODS FOR MASANAO SUPPLIES</t>
  </si>
  <si>
    <t>RFQ 2020-07-441 Procurement of various printing materials for OM</t>
  </si>
  <si>
    <t>WELDING ROD</t>
  </si>
  <si>
    <t>SUPPLY AND DELIVERY OF SPARE PARTS OF MUNICIPAL ROAD GRADER AND BULLDOZER</t>
  </si>
  <si>
    <t>Supply and Delivery of 330 Bags Thermoplastic Road Marking Compound-White and other items including purchase of Construction supplies.</t>
  </si>
  <si>
    <t>PURCHASE OF MATERIALS FOR THE IMPROVEMENT OF COVERED COURT</t>
  </si>
  <si>
    <t>Supply and Delivery Consumables with free use Monochrome Photocopier Machine and other items.</t>
  </si>
  <si>
    <t>REPAIR OF CCTV</t>
  </si>
  <si>
    <t>RFQ 2020-07-442 Subscription of handyphone for OM</t>
  </si>
  <si>
    <t>IMPROVEMENT OF MULTI-PURPOSE BUILDING (GYMNASIUM)-CAGLAYAN</t>
  </si>
  <si>
    <t>LOCAL BRIDGE IN BARANGAYS TUBUAN III, POBLACION V AND BARANGAY IBA</t>
  </si>
  <si>
    <t>Purchase of Sacks</t>
  </si>
  <si>
    <t>Purchase of Chainsaw to be Used for Clearing Operations during Disaster and Pruning Trees on Pre-Disaster Operations</t>
  </si>
  <si>
    <t>Construction of Marine Engineering Laboratory</t>
  </si>
  <si>
    <t>REPAIR OF PUBLIC ADDRESS SYSTEM</t>
  </si>
  <si>
    <t>PURCHASE OF ONE (1) UNIT MOTORCYLE</t>
  </si>
  <si>
    <t>PURCHASE OF 5 UNITS LAPTOP COMPUTER</t>
  </si>
  <si>
    <t>Supply and Delivery of 20 Pieces Battery, N100L, LM, 80 RC Min., 15 Plates, 600 CCA and other various items.</t>
  </si>
  <si>
    <t>Lot1-Construction of Drainage System (Phase II) at San Jose, Baggao, Cagayan</t>
  </si>
  <si>
    <t>Invitation to Bid for the Procurement of Materials for the Rehabilitation of Water System at Barangay Comon, Tabaco City</t>
  </si>
  <si>
    <t>(GO-PJail) INVITATION TO BID FOR THE SUPPLY &amp; DELIVERY OF FIREARMS (9MM FS W/ LICENSE)  FOR THE  GOVERNOR’S OFFICE – PROVINCIAL JAIL--150,000.00</t>
  </si>
  <si>
    <t>SUPPLY, DELIVERY AND TRANSPORT OF 35HP 4WD FARM TRACTOR UNDER CRFPS</t>
  </si>
  <si>
    <t>Purchase of Food Supplies</t>
  </si>
  <si>
    <t>Clustered Infrastructure Projects( Drainage, Construction of Bgy. Road)</t>
  </si>
  <si>
    <t>SMALL VALUE PROCUREMENT FOR  THE CONTRACT FOR THE SUPPLY, DELIVERY,  INSTALLATION AND LOAD TESTING OF ONE(1) UNIT BRAND NEW SINGLE PHASE DIESEL GENERATOR SET AT NFA COMPOUND, MARAWI CITY, LANAO DEL SU</t>
  </si>
  <si>
    <t>UPLB-S-049-08-20, PROCUREMENT FOR THE REHABILITATION/UPGRADE OF INTERNET CONNECTION FOR BAC SECRETARIAT OFFICE</t>
  </si>
  <si>
    <t>UPLB-S-047-08-20, SUPPLY AND DELIVERY OF BRANDED AND BRAND NEW VARIOUS INFORMATION TECHNOLOGY, PARTS &amp; ACCESSORIES &amp; PERIPHERALS</t>
  </si>
  <si>
    <t>2ND QUARTER PURCHASE OF EDUCATIONAL SUPPLIES OF BAYLANAN ELEMENTARY SCHOOL</t>
  </si>
  <si>
    <t>IMPROVEMENT OF MULTI PURPOSE BUILDING</t>
  </si>
  <si>
    <t>2020-NPSV-12 Two Years Internet Subscription of LHIO Calamba San Pedro Center</t>
  </si>
  <si>
    <t>General Repair of Barangay Patrol Toyota Revo</t>
  </si>
  <si>
    <t>(GO-PDRRMO) SUPPLY &amp; DELIVERY OF GROCERY ITEMS FOR STOCKPILING (RICE, SARDINES, ETC.)  FOR THE  GOVERNOR’S OFFICE – PROVINCIAL DISASTER RISK REDUCTION MANAGEMENT OFFICE--4,805,000.00</t>
  </si>
  <si>
    <t>RFQ No. 20-07-192 for PR No. 20-07-185</t>
  </si>
  <si>
    <t>PURCHASE OF OFFICE SUPPLIES AND DEVICES</t>
  </si>
  <si>
    <t>Food Assistance</t>
  </si>
  <si>
    <t>PURCHASE OF LAPTOP</t>
  </si>
  <si>
    <t>20CB-GSC-466	PURCHASE OF AGRICULTURAL SUPPLIES  (RE-BID)</t>
  </si>
  <si>
    <t>PURCHASE OF MEDICAL EQUIPMENT</t>
  </si>
  <si>
    <t>RFQ - DOT8 WASH AREA SET UP</t>
  </si>
  <si>
    <t>Supply and Delivery of 1 Brand New Ambulance</t>
  </si>
  <si>
    <t>VEHICLES</t>
  </si>
  <si>
    <t>CONSTRUCTION OF DRAINAGE SYSTEM PUROK 1</t>
  </si>
  <si>
    <t>IB NO.2020-08-18(09)CAT I - DRUGS &amp; MEDICINES</t>
  </si>
  <si>
    <t>MULTI PURPOSE PAVEMENT, BRGY. BATUG, DULAG LEYTE</t>
  </si>
  <si>
    <t>INFORMATION TECHNOLOGY</t>
  </si>
  <si>
    <t>(GO-PJail) INVITATION TO BID FOR THE SUPPLY &amp; DELIVERY OF1 UNIT PHOTOCOPIER   FOR THE  GOVERNOR’S OFFICE – PROVINCIAL JAIL--150,000.00</t>
  </si>
  <si>
    <t>Supply &amp; Delivery of Commercial Feeds for Bangus and Vannamei Production</t>
  </si>
  <si>
    <t>Reblocking of Local Road, Zone 7, Sitio Panganiban, Brgy. Malawag, Nabua, Camarines Sur</t>
  </si>
  <si>
    <t>20CB-GSC-469	PURCHASE OF OFFICE EQUIPMENT (RE-BID)</t>
  </si>
  <si>
    <t>PURCHASE OF OFFICE EQUIPMENT AND ACCESSORIES FOR THE USE OF CENTER OPERATION UNDER P.R. NO. 80-20-04-051</t>
  </si>
  <si>
    <t>20CB-GSC-465	PURCHASE OF ENGINE OIL FOR CTO (RE-BID)</t>
  </si>
  <si>
    <t>SUPPLY AND DELIVERY OF LABOR &amp; MATERIALS FOR THE CONSTRUCTION OF 100,000 BAGS CAPACITY WAREHOUSE WITH WS II OFFICE AT NFA COMPOUND IN  SCIENCE CITY OF MUÑOZ, NUEVA ECIJA</t>
  </si>
  <si>
    <t>Procurement of Labor and Materials for the Preventive Maintenance Services of Four (4) Units Generator Set at Ronquillo Satellite For Two (2) Years</t>
  </si>
  <si>
    <t>5% BDRRM Fund ‘ 2020</t>
  </si>
  <si>
    <t>Purchase of 1,000 Units Portable FM Radio</t>
  </si>
  <si>
    <t>Purchase of Office Supplies and Cellcards for the Census Activity</t>
  </si>
  <si>
    <t>20CB-GSC-468	PRINTING OF STICKERS, WEIGHTS PLATES AND PLAQUES</t>
  </si>
  <si>
    <t>DIS-20-0817-B - Purchase of Medical &amp; Laboratory Supplies</t>
  </si>
  <si>
    <t>Concreting of Local Road, Zone 4, Brgy. Lourdes Old , Nabua, Camarines Sur</t>
  </si>
  <si>
    <t>INVITATION TO BID  FOR FARM MACHINE RY AND EQUIPEMNT</t>
  </si>
  <si>
    <t>CONSTRUCTION OF DRAINAGE SYSTEM PUROK 7A</t>
  </si>
  <si>
    <t>20CB-GSC-467	PURCHASE OF LAWN TRACTOR</t>
  </si>
  <si>
    <t>Supply and Delivery of Voucher Boxes for use at the Provincial Accounting Office</t>
  </si>
  <si>
    <t>SUPPLY AND DELIVERY OF LABOR &amp; MATERIALS FOR THE CONSTRUCTION OF 100,000 BAGS CAPACITY WAREHOUSE WITH WS II OFFICE AT NFA COMPOUNDIN  CABANATUAN CITY, NUEVA ECIJA</t>
  </si>
  <si>
    <t>20% BDF ‘ 2020</t>
  </si>
  <si>
    <t>PROVISION OF SANITARY TOILET</t>
  </si>
  <si>
    <t>20CB-GSC-464	PURCHASE OF TROPHIES AND TOKENS FOR ICCAD (RE-BID)</t>
  </si>
  <si>
    <t>S1-B0620-004 - Supply and Delivery of Mechanical Spare Parts for 3.6MW Daihatsu Diesel Engine, Model No.: 12DK-32B of Power Barge 106</t>
  </si>
  <si>
    <t>Construction, Rehabilitation and Improvement of Pier Poblacion (Seaport System)</t>
  </si>
  <si>
    <t>Procurement of Thermal Scanner and Disinfecting Materials for use in different offices of the Sangguniang Panlalawigan</t>
  </si>
  <si>
    <t>CONSTRUCTION OF DRAINAGE SYSTEM PUROK 7B</t>
  </si>
  <si>
    <t>UPLB-S-048-08-20, SUPPLY AND DELIVERY OF BRANDED AND BRAND NEW CHEMICALS AND CHEMICAL PRODUCTS FOR BIOTECH</t>
  </si>
  <si>
    <t>SUPPLY AND DELIVERY OF COMPUTER NOTEBOOKS   FOR DIVISION OF CITY SCHOOLS</t>
  </si>
  <si>
    <t>Repair and Maintenance of Municipal Heavy Equipment for 2nd Quarter 2020</t>
  </si>
  <si>
    <t>Supply of Labor and Materials for the Replacement of the Roofing System of the Philippine Science Heritage Center (PSHC) Building</t>
  </si>
  <si>
    <t>S1-ROM20-004 - Supply and Delivery of Mechanical Spare Parts for 600kW Cummins Chongqing China, Model: KTA38-G1 of Romblon Diesel Power Plant</t>
  </si>
  <si>
    <t>20CB-GSC-472	PURCHASE OF FOOD SUPPLIES</t>
  </si>
  <si>
    <t>Concreting of Local Road, Zone 6, Brgy. San Jose, Nabua, Camarines Sur</t>
  </si>
  <si>
    <t>Supply and Delivery of CCTV Cameras with Complete Accessories to be Installed at different Puroks of Barangay San Jose, City of San Fernando, Pampanga</t>
  </si>
  <si>
    <t>S3-BLD20-008 - Supply and Delivery of Various Mechanical Spare Parts for 163kW Perkins, 160kW FG Wilson and 80kW FG Wilson for Balut DPP</t>
  </si>
  <si>
    <t>Concreting of Local Road, Zone 7, San Isidro Inapatan, Nabua, Camarines Sur</t>
  </si>
  <si>
    <t>Supply and Installation of Day Gate at FSS Vault of BSPRO -  Davao (see attached TOR)</t>
  </si>
  <si>
    <t>Supply &amp; Delivery of Office Equipment for CTAS &amp; CTE</t>
  </si>
  <si>
    <t>S1-VDP20-001 - Supply and Delivery of Mechanical Spare Parts for 2 x 560kW Perkins Engine Model: 3012TAG2A of Viga Diesel Power Plant</t>
  </si>
  <si>
    <t>20CB-GSC-470	PURCHASE OF GREASE, OIL AND FUEL STABILIZER</t>
  </si>
  <si>
    <t>20CB-GSC-473	PURCHASE OF SPAREPARTS FOR HEAVY EQUIPMENTS</t>
  </si>
  <si>
    <t>Procurement of Infrastructure - Rehabilitation of Barangay Road from Sitio Cabanbanan, Barangay Dapnan to Sitio Lapaz &amp; Sitio Calinaban, Barangay San Isidro</t>
  </si>
  <si>
    <t>SUPPLY, DELIVERY, INSTALLATION AND COMMISSIONING OF 80 TONS PITLESS TYPE OF ELECTRONIC TRUCKSCALE AT NFA COMPOUND IN AGUSO, TARLAC</t>
  </si>
  <si>
    <t>One (1) Lot Re-pressurization of FM200 Fire Suppression System Tank at BSP Security Plant Complex, as per BSP Terms of Reference</t>
  </si>
  <si>
    <t>IB NO.2020-08-18(09)CAT IV OTHER COMMODITIES</t>
  </si>
  <si>
    <t>20CB-GSC-478	PURCHASE OF INK AND  TONERS FOR BAC</t>
  </si>
  <si>
    <t>Supply and Delivery of Drugs and Medicines to be used at Barangay San Jose, City of San Fernando, Pampanga</t>
  </si>
  <si>
    <t>EMBANKMENT/DEVELOPMENT OF BAYWALK</t>
  </si>
  <si>
    <t>SUPPLY AND DELIVERY OF TEST SCORING MACHINES    FOR DIVISION OF CITY SCHOOLS</t>
  </si>
  <si>
    <t>UPGRADING/IMPROVEMENT OF ROAD, BLK. 2, PUROK MURMURAY, LAYA EAST</t>
  </si>
  <si>
    <t>Supply &amp; Delivery of Steel Cabinets for Different Departments</t>
  </si>
  <si>
    <t>Purchase and Delivery of Office Supplies - MO</t>
  </si>
  <si>
    <t>UPGRADING/IMPROVEMENT OF ROAD, CALBAYAN, CALBAYAN</t>
  </si>
  <si>
    <t>CONSTRUCTION OF CIS, SUKIAP, TANGLAG</t>
  </si>
  <si>
    <t>20CB-GSC-477	PURCHASE OF GENERAL MERCHANDISE FOR DRRM (RE-BID)</t>
  </si>
  <si>
    <t>Supply and Delivery of Materials for the Construction of Uniformed Brgy. Hall (Malamig Brgy. Hall-Phase III)</t>
  </si>
  <si>
    <t>20CB-GSC-476	PURCHASE OF MEDICAL SUPPLIES FOR CHO (RE-BID)</t>
  </si>
  <si>
    <t>PROCUREMENT OF VARIOUS PRINTER INK FOR ENGINEERING DEPARTMENT</t>
  </si>
  <si>
    <t>Procurement of Infrastructure-Barangay Road Opening from Proposed Cemetery, Brgy. Salingcomot</t>
  </si>
  <si>
    <t>IMPROVEMENT OF DRAINAGE SYSTEM</t>
  </si>
  <si>
    <t>SUPPLY AND DELIVERY OF OPTICAL MARK READER (OMR) ANSWER SHEETS              FOR DIVISION OF CITY SCHOOLS</t>
  </si>
  <si>
    <t>Procurement of 5 Units Brand New Motorcycle 125cc</t>
  </si>
  <si>
    <t>Purchase of BS Information Systems Books for Zamboanga del Sur Provincial Government College (ZDSPGC) use.</t>
  </si>
  <si>
    <t>Supply and Delivery of Materials for the Construction of Uniformed Brgy. Hall (M. Adriatico Brgy. Hall-Phase III)</t>
  </si>
  <si>
    <t>concreting of road</t>
  </si>
  <si>
    <t>Reroofing Works of Stage at Municipal Town Plaza to Include Ceiling, Fascia Board and Repair of Gutter and Downspout</t>
  </si>
  <si>
    <t>Procurement of Infrastructure - Rehabilitation of Barangay Road from Proper San Victor to Sitio Heni</t>
  </si>
  <si>
    <t>CONSTRUCTION OF RIPRAP FRONT OF WESTERN KALINGA NHS, BUAYA</t>
  </si>
  <si>
    <t>Installation of Street Lighting System (Solar) @ Alhambra, Calderon, Burgos &amp; Zamora St. @ Brgy. 05, Casiguran, Aurora</t>
  </si>
  <si>
    <t>Procurement of Technical and Scientific Equipment for the BS Biology Program use of the Zamboanga del Sur Provincial Government College.</t>
  </si>
  <si>
    <t>CONSTRUCTION OF CONCRETE FOOTPATH, BACACAO BRIDGE TO IP HALL, TAWANG</t>
  </si>
  <si>
    <t>Procurement of Infrastructure - Rehabilitation of Sunrise Boulevard</t>
  </si>
  <si>
    <t>CONSTRUCTION OF PATHWAYS</t>
  </si>
  <si>
    <t>20CB-GSC-479	PURCHASE OF FURNITURE AND FIXTURES</t>
  </si>
  <si>
    <t>IMPROVEMENT OF FARM TO MARKET ROAD, BAWAK, MALUCSAD</t>
  </si>
  <si>
    <t>Procurement of Infrastructure-Rehabilitation of Brgy. Road from Diversion Road to Sitio Paopagon</t>
  </si>
  <si>
    <t>Supply and Delivery of Materials for the Construction of Uniformed Brgy. Hall (Malubay Brgy. Hall-Phase III)</t>
  </si>
  <si>
    <t>Concreting of Pathway, Zone 2, Sta. Elena, Nabua, Camarines Sur</t>
  </si>
  <si>
    <t>Supply &amp; Delivery of Airconditioning &amp; Aircinditioning Systems - CO for RDE, Clinic, Extension, CADS, IGE &amp; Planning</t>
  </si>
  <si>
    <t>4th Level Training on 2020 Census of Population and Housing (CPH) September 2020 - Cuyo</t>
  </si>
  <si>
    <t>Purchase of Petroleum, Oil and Lubricants for Census Activity use</t>
  </si>
  <si>
    <t>Purchase of Meals and Snacks for Census Training and Seminar</t>
  </si>
  <si>
    <t>20CB-GSC-474	PURCHASE OF OFFICE EQUIPMENT</t>
  </si>
  <si>
    <t>IB NO.2020-08-18(09)CAT III CHEM/CHEM PRODUCTS</t>
  </si>
  <si>
    <t>20CB-GSC-475	PURCHASE OF IT EQUIPMENT</t>
  </si>
  <si>
    <t>Purchase of Automated External Defibrillator (AED) Complete Set - MO-MDRRMO</t>
  </si>
  <si>
    <t>ITB-GS-20200611-01 - Supply and Delivery of Additional 120 Units for Existing Cisco ISR 4221 Routers</t>
  </si>
  <si>
    <t>4th Level Training on 2020 Census of Population and Housing (CPH) September 2020 - Culion</t>
  </si>
  <si>
    <t>Procurement of IT Equipment and Survey Equipment for Monitoring of Infrastructure Project of the Province of Zamboanga del Sur.</t>
  </si>
  <si>
    <t>20CB-GSC-471	PURCHASE OF DIESEL AND GASOLINE</t>
  </si>
  <si>
    <t>MAINTENANCE/REPAIR OF PROVINCIAL ROAD, LIWAN WEST-ANONANG PROVINCIAL ROAD</t>
  </si>
  <si>
    <t>IMPROVEMENT OF BARANGAY OUTPOST</t>
  </si>
  <si>
    <t>4th Level Training on Census of Population &amp; Housing (CPH) September 2020 - Bataraza</t>
  </si>
  <si>
    <t>CONSTRUCTION OF CANAL COVER</t>
  </si>
  <si>
    <t>4th Level Training on Census of Population &amp; Housing (CPH) September 2020 - Agutaya</t>
  </si>
  <si>
    <t>Purchase of 1 Unit Rescue &amp; Response Brand New Motor Vehicle for MDRRMO use</t>
  </si>
  <si>
    <t>20LG0120 - Construction of Classrooms, Tamisan Elementary School, City of Mati, Davao Oriental</t>
  </si>
  <si>
    <t>Installation of Street Light at Unag, Amulung Cagayan</t>
  </si>
  <si>
    <t>4th Level Training on Census of Population &amp; Housing (CPH) September 2020 - Rizal</t>
  </si>
  <si>
    <t>Proposed Establishment of Ecological Park Phase II</t>
  </si>
  <si>
    <t>Fourth Level Training on 2020 Census of Population and Housing (CPH) in the municipality of Linapacan</t>
  </si>
  <si>
    <t>SUPPLY AND DELIVERY OF GOODS FOR EGG PRODUCTION PROJECT</t>
  </si>
  <si>
    <t>Fourth Level Training on 2020 Census of Population and Housing (CPH) in the municipality of Araceli</t>
  </si>
  <si>
    <t>PROCUREMENT OF TWO (2) PIECES AIRCON UNITS 2HP FOR LEGAL AND TSE DIVISION</t>
  </si>
  <si>
    <t>CONSTRUCTION OF WATER WORKS, DANGOY</t>
  </si>
  <si>
    <t>4th Level Training on Census of Population &amp; Housing (CPH) September 2020 - Busuanga</t>
  </si>
  <si>
    <t>Construction of seaside Street, Brgy. Garden</t>
  </si>
  <si>
    <t>Procurement delivery of various</t>
  </si>
  <si>
    <t>Installation of Potable Water Supply (Phase 1) at Unag, Amulung Cagayan</t>
  </si>
  <si>
    <t>MG-A5M20-137 ( WIRE GRIP AG5 ROPE LUBRICATOR )</t>
  </si>
  <si>
    <t>Improvement of Multi-Purpose Hall at Barangay Bolo, Bauan, Batangas</t>
  </si>
  <si>
    <t>Supply, Delivery and Installation of Electrical Materialand Solar Lightings</t>
  </si>
  <si>
    <t>EXTENSION OF SUPPLY STORAGE</t>
  </si>
  <si>
    <t>Installation of Pipelines for the Water System at Bacring, Amulung Cagayan 2nd Publication</t>
  </si>
  <si>
    <t>REPAIR OF OFFICE CEILING (A=867.38 sq.m.)</t>
  </si>
  <si>
    <t>MG-A5C20-067 ( LADDER, COMBINATION )</t>
  </si>
  <si>
    <t>CONSTRUCTION OF DRAINAGE CANAL, DANGOY</t>
  </si>
  <si>
    <t>ROOFING/CONCRETING OF FLOORING OF FLEA MARKET</t>
  </si>
  <si>
    <t>(SBMA-BAC-INFRA-IB-08-20) REHABILITATION OF MT. STA. RITA COMMUNICATION FACILITY</t>
  </si>
  <si>
    <t>HIRING OF CONTENT PRODUCER FOR MANILA FAME DIGITAL CATALOG</t>
  </si>
  <si>
    <t>Installation of Street Lighting System @ Gala St. to Paterno St. @ Brgy. 06, Casiguran, Aurora</t>
  </si>
  <si>
    <t>Procurement of RTK &amp; Drone Equipment for Manila Bay Rehabilitation Program (2020-020 and 2020-213)</t>
  </si>
  <si>
    <t>PROPOSED CONSTRUCTION OF R.C. RETAINING WALL AT DILIMAN CREEK (T. GENER ST.), BARANGAY KAMUNING,  QUEZON CITY</t>
  </si>
  <si>
    <t>20-06-492 Repair and Maintenance of DH6 II Bulldozer</t>
  </si>
  <si>
    <t>Installation of Street Lighting System in all Streets @ Brgy. 08, Casiguran, Aurora</t>
  </si>
  <si>
    <t>Supply &amp; Delivery of Telecommunication Supplies</t>
  </si>
  <si>
    <t>Invitation to Bid for the Rehabilitation of multi-purpose hall at Brgy. San  Vicente Sta. Maria Pangasinan</t>
  </si>
  <si>
    <t>Construction of Municipal Gate, Fence and Pathways, Phase 1</t>
  </si>
  <si>
    <t>Const. of Multi-Purpose Hall (2-Storey) @ Brgy. Calangcuasan, Casiguran, Aurora</t>
  </si>
  <si>
    <t>Drugs and Medicines Supplies</t>
  </si>
  <si>
    <t>Const. of Evacuation Center @ Brgy. Proper, Brgy. Culat, Casiguran, Aurora</t>
  </si>
  <si>
    <t>Procurement of Infrastructure-Barangay Road Opening from NHJ Sitio Tuajon, Brgy. Dapnan to Sitio Kasukan, Brgy. San Victor</t>
  </si>
  <si>
    <t>Rehabilitation and Raising of Municipal Road Phase-11 (Portion of Bonifacio and Tirol Street)</t>
  </si>
  <si>
    <t>Road Construction</t>
  </si>
  <si>
    <t>Construction of Evacuation Center  (Phase I)</t>
  </si>
  <si>
    <t>Const. of Multi-Purpose Hall @ Brgy. Site, Brgy. Cozo, Casiguran, Aurora</t>
  </si>
  <si>
    <t>ACTION REQUESTED ON THE ITEMS</t>
  </si>
  <si>
    <t>20PJ0059: CY 2020 Basic Educational Facilities Fund (BEFF - Batch 1): Construction of Two-Storey Four Classrooms Caragasan National High School, Alfonso Lista, Ifugao</t>
  </si>
  <si>
    <t>Construction of Materials and Supplies</t>
  </si>
  <si>
    <t>Procurement of Meals and Snacks for the Division Mass Quality Assurance of the Developed Supplementary Learning Materials Across Learning Areas</t>
  </si>
  <si>
    <t>PURCHASE OF EQUIPMENTS AND MATERIALS FOR FISH PASTE PROJECT  [GOODS-CB-2020-07-009]</t>
  </si>
  <si>
    <t>Office Supplies (bond Paper)</t>
  </si>
  <si>
    <t>20CSCM05 - Consultancy Services for the Geotechnical Investigation (Sub-Soil Exploration) of Various Flood Control and National Road Projects for the proposed  FY 2021 Infrastructure Program of Zambal</t>
  </si>
  <si>
    <t>Rehab. of Brgy. Health Center @ Centro, Brgy. Esteves, Casiguran, Aurora</t>
  </si>
  <si>
    <t>PROPOSED CONSTRUCTION OF R.C. RETAINING WALL AT QUINCE ST., BARANGAY ROXAS, QUEZON CITY</t>
  </si>
  <si>
    <t>(SBMA-BAC-INFRA-IB-07-20) PROPOSED CONSTRUCTION OF STORAGE FACILITY FOR HAZARDOUS MATERIALS</t>
  </si>
  <si>
    <t>PROCUREMENT OF MATERIALS FOR CONSTRUCTION OF WATER SYSTEM</t>
  </si>
  <si>
    <t>20GD0108 - CONCRETING OF SUGARCANE FARM-TO-MILL ROAD, SITIO ESPERANZA, BRGY. BINUNTUCAN TO BRGY. CABUNGAHAN ROAD</t>
  </si>
  <si>
    <t>Supply &amp; Delivery of Office Furniture</t>
  </si>
  <si>
    <t>INVITATION TO BID FOR THE CONCRETING OF BARANGAY ROAD IN BARANGAY CABULOAN, STA. MARIA, PANGASINAN.</t>
  </si>
  <si>
    <t>Construction of Tuguis Child Development Center</t>
  </si>
  <si>
    <t>Supply and Delivery of 7 Units Laser Printers</t>
  </si>
  <si>
    <t>PROPOSED REHABILITATION OF ROAD AND DRAINAGE AT AKLAN ST. AND CONSTRUCTION OF R.C. BOX CULVERT AND R.C. CANAL AT KALAMIONG CREEK,  BARANGAY PAYATAS, DISTRICT 2, QUEZON CITY</t>
  </si>
  <si>
    <t>Const. of Drainage System @ Brgy. Proper, Brgy. Tabas, Casiguran, Aurora</t>
  </si>
  <si>
    <t>Construction of Clustered Infra. Projects ( 1. Streetlight ; 2. Material Recovery Facilities )</t>
  </si>
  <si>
    <t>Const. of Drainage System @ Entire Poblacion (Phase-3) Casiguran, Aurora</t>
  </si>
  <si>
    <t>Relocation and Subdivision Survey of 20 Lots</t>
  </si>
  <si>
    <t>Rehabilitation of Agojo Child Development Center</t>
  </si>
  <si>
    <t>Procurement of HD-CCTV 1080P Equipment &amp; Accessories with Installation</t>
  </si>
  <si>
    <t>Bidding for Supply &amp; Delivery of Medical Supplies – Face Mask</t>
  </si>
  <si>
    <t>PB-20-395, Supply &amp; Delivery of Printed Tarpaulins to be used as tents in the evacuation centers</t>
  </si>
  <si>
    <t>S3-SIA20-003 &amp; 4 OTHERS - Supply and Delivery of Various Mechanical Spare Parts of Cummins Generator Sets of SPUG WMOD Plants</t>
  </si>
  <si>
    <t>Purchase of one(1) unit CCTV Surveillance Equipment P tp P Wire &amp; Wireless System   all in one package</t>
  </si>
  <si>
    <t>PROPOSED CONSTRUCTION OF REINFORCED CONCRETE RETAINING WALL AT CREEK NEAR SAINT PATRICK SCHOOL, BARANGAY BAHAY TORO DISTRICT 1, QUEZON CITY</t>
  </si>
  <si>
    <t>PB-20-394, Supply &amp; Delivery of Hybrid Corn Seeds for distribution to farmers affected by calamities provincewide</t>
  </si>
  <si>
    <t>20GD0110 - CONCRETING OF SITIO KATAN-AGAN-PROPER, BRGY. EAST VILLAFLORES, MAAYON, CAPIZ</t>
  </si>
  <si>
    <t>Continuing of 48 sq.m. Day Care Center (Furnish)</t>
  </si>
  <si>
    <t>Procurement of Operational Materials and Equipment to Support Commercial Fishing</t>
  </si>
  <si>
    <t>PB-20-397, Procurement of Radio Airtime (Information advocacy) Blocktime “Masaganang Cotabato” simulcast to 10 radio station and teleradyo in the Province of Cotabato</t>
  </si>
  <si>
    <t>Internet Service Connection Kits for Remote Locations</t>
  </si>
  <si>
    <t>SUPPLY AND DELIVERY OF MULTI-TILLERS</t>
  </si>
  <si>
    <t>Procurement of Food Packs for Individual in Crisis Situation [MSWDO]</t>
  </si>
  <si>
    <t>SUPPLY AND DELIVERY OF VARIOUS AGRICULTURAL MACHINERIES AND EQUIPMENT</t>
  </si>
  <si>
    <t>SUPPLY AND DELIVERY OF MATERIALS FOR FABRICATION OF WOODEN TABLES OF TULUNAN PEACE INSTITUTE OF SCIENCE AND TECHNOLOGY (TPIST)</t>
  </si>
  <si>
    <t>20GD0109 - CONCRETING OF BRGY. VIZCAYA FMR, PRESIDENT ROXAS, CAPIZ</t>
  </si>
  <si>
    <t>PROPOSED CONSTRUCTION OF RETAINING WALL AT ILANG ILANG CREEK, PALMERA V, BARANGAY STA. MONICA,  DISTRICT 5, QUEZON CITY</t>
  </si>
  <si>
    <t>PB-20-396, Supply of Diesel Fuel for RP Vehicles of various Committees in the Sangguniang Panlalawigan, Amas, Kidapawan City</t>
  </si>
  <si>
    <t>EDUCATIONAL MODULE KITS</t>
  </si>
  <si>
    <t>SUPPLY, DELIVERY, INSTALLATION, TESTING AND COMMISSIONING OF  VARIOUS ICT EQUIPMENT FOR THE ESTABLISHMENT OF EMERGENCY AND RESCUE TELECOMMUNICATION NETWORK OPERATIONS CENTER (ADDITIONAL)</t>
  </si>
  <si>
    <t>PR# 20-07-067-051 DATED JULY 9, 2020 SUPPLY AND DELIVERY OF VARIOUS ICT EQUIPMENT, DEPED, Division of San Carlos City, Negros Occidental</t>
  </si>
  <si>
    <t>S3-JOL20-010 - Battery Stationary 110VDC, Gel Type, 55 Cells, 2V per Cell, 150AH Min. Cap. 2.25VDC Floaf Charge, 2 Terminals Welded each with Copper Insert, Tubular Plates Design, w/ Rack &amp; Maintenanc</t>
  </si>
  <si>
    <t>PROPOSED CONSTRUCTION OF REINFORCED CONCRETE RETAINING WALL AT HURA HOME II (PHASE 2), BARANGAY VASRA, DISTRICT 1, QUEZON CITY</t>
  </si>
  <si>
    <t>HIRING OF DROPOUT STUDIO PHOTOGRAPHER FOR THE MANILA FAME DIGITAL CATALOG (ZONE 1) COVERAGE</t>
  </si>
  <si>
    <t>PB-20-370, Supply &amp; Delivery of Medical Supplies for Aleosan District Hospital, Aleosan, Cotabato</t>
  </si>
  <si>
    <t>Rehabilitation of Manhac Evacuation Center</t>
  </si>
  <si>
    <t>Rehabilitation of Child Development Center at Buenavista and Limon Norte</t>
  </si>
  <si>
    <t>4th Level Training on 2020 Census of Population and Housing (CPH) September 2020 - Dumaran</t>
  </si>
  <si>
    <t>Procurement of 2-3 units motorcycle.</t>
  </si>
  <si>
    <t>Invitation to Bid for the Procurement of Broadcast Camera and Video Switcher for Streaming with Accessories</t>
  </si>
  <si>
    <t>CONSTRUCTION OF BAKAN CREEK CIP, BAKAN, CALACCAD</t>
  </si>
  <si>
    <t>20-06-493 Repair and Maintenance of D6R Bulldozer</t>
  </si>
  <si>
    <t>4th Level Training on 2020 Census of Population and Housing (CPH) September 2020 - San Vicente</t>
  </si>
  <si>
    <t>Purchase of Tires for the Maintenance of PEO Prime Mover and Low Bed Trailer. Location:	Provincial Government of Zamboanga del Sur</t>
  </si>
  <si>
    <t>Supply &amp; Delivery of Construction Materials</t>
  </si>
  <si>
    <t>Barangay Multi-Purpose Improvement  - Brgy. Villa Garcia</t>
  </si>
  <si>
    <t>Const. of Drainage System @ Brgy. Proper, Brgy. Calantas, Casiguran, Aurora</t>
  </si>
  <si>
    <t>INVITATION TO BID FOR Supply and Delivery of Tokens (Gold Rings) PR no. 13820</t>
  </si>
  <si>
    <t>Improvement of Day Care Center</t>
  </si>
  <si>
    <t>IMPROVEMENT OF DRAINAGE CANAL, A. CANAO</t>
  </si>
  <si>
    <t>Purchase of T-Shirt with Print for Census of Population &amp; Housing Program use</t>
  </si>
  <si>
    <t>S3-BAI20-017 - Supply and Delivery of Mechanical Spare Parts for the 5 x 1.0MW of MAN Diesel Genset, Model 6L 21/31 with Serial No. 7A6L00022 Intended for Basilan DPP</t>
  </si>
  <si>
    <t>4th Level Training on Census of Population &amp; Housing (CPH) September 2020 - Brooke’s Point</t>
  </si>
  <si>
    <t xml:space="preserve">REQUEST FOR EXPRESSION OF INTEREST FOR THE PROCUREMENT OF CONSULTING SERVICES TO DEVELOP THE COMMISSION ON HUMAN RIGHTS ORGANIZATIONAL STRUCTURE AND STAFFING PATTERN AND PREPARATION FOR LEVEL 2 PRIME </t>
  </si>
  <si>
    <t>Supply and Delivery of Construction Materials to be used for the Improvement of Daycare Center of Barangay San Jose, City of San Fernando, Pampanga</t>
  </si>
  <si>
    <t>S1-VDP20-002 - Supply and Delivery of Mechanical Spare Parts for 1 x 500kW Cummins Engine Model: KTAA19-G6A of Viga Diesel Power Plant</t>
  </si>
  <si>
    <t>Procurement of Accountable Forms for use in the 26 Municipalities and other Accountable Officers of the Province of Zamboanga del Sur</t>
  </si>
  <si>
    <t>PPD-20-0845-B - Purchase of Office Equipment</t>
  </si>
  <si>
    <t>AGRICULTURAL PRODUCT (SEEDS, SEEDLINGS, PLANTS)</t>
  </si>
  <si>
    <t>20MF0089-CONSTRUCTION OF MULTI-PURPOSE BUILDING AT BRGY. LUTAYAN PROPER, LUTAYAN, SULTAN KUDARAT</t>
  </si>
  <si>
    <t>Installation of Street Lighting System (Solar) (Gala, Paterno, Mercado, Salamera Blvd.) @ Brgy. 04, Casiguran, Aurora</t>
  </si>
  <si>
    <t>Purchase of Cooking Gas (LPG Refill)</t>
  </si>
  <si>
    <t>SUPPLY AND DELIVERY OF OFFICE SUPPLIES AND EQUIPMENT TO BE USED AT THE TWG, DGE, CASHIER, SUPPLY AND RECORDS OFFICE</t>
  </si>
  <si>
    <t>REHABILITATION OF MUNICIPAL BUILDING</t>
  </si>
  <si>
    <t>IB NO.2020-08-18(09)CAT II - MED/ LAB SUPPLIES &amp; REAGENTS</t>
  </si>
  <si>
    <t>Repair of Municipal Building (Portion Only – MRC, Treasurer, Accounting Office)</t>
  </si>
  <si>
    <t>IMPROVEMENT OF WATER WORKS SYSTEM, BISSONG, POBLACION</t>
  </si>
  <si>
    <t>Procurement of One (1) Unit Hauling Truck (Brand New)</t>
  </si>
  <si>
    <t>PB-20-407, Supply &amp; Delivery of Medical Supplies for Arakan Valley District Hospital, Antipas, Cotabato</t>
  </si>
  <si>
    <t>PR# 20-07-067-053 dated July 9, 2020 for the project SUPPLY AND DELIVERY OF VARIOUS OFFICE EQUIPMENT, DEPED, Division of San Carlos City, Negros Occidental</t>
  </si>
  <si>
    <t>PB-20-406, Supply &amp; Delivery of Medical Supplies &amp; Medicines for Integrated Provincial Health Office, Amas, Kidapawan City</t>
  </si>
  <si>
    <t>PB-20-399, Supply &amp; Delivery of Goats for distribution to farmers affected by earthquake provincewide</t>
  </si>
  <si>
    <t>PB-20-409, Supply &amp; Delivery of IT Equipment for Provincial Disaster Risk Reduction Operation Center, Amas, Kidapawan City</t>
  </si>
  <si>
    <t>Purchase of 1 unit of Multi-purpose Vehicle (L-300 Reconditioned) for Brgy.Buenlag Mangaldan,Pangasinan</t>
  </si>
  <si>
    <t>PB-20-398, Supply &amp; Delivery of Muscovy Duck for distribution to farmers affected by earthquake provincewide</t>
  </si>
  <si>
    <t>PB-20-410, Supply &amp; Delivery of Medicines for Cotabato Provincial Hospital, Amas, Kidapawan City</t>
  </si>
  <si>
    <t>Construction of Erosion Control Structure</t>
  </si>
  <si>
    <t>PB-20-408, Supply &amp; Delivery of Office &amp; Janitorial Supplies for Arakan Valley District Hospital, Antipas, Cotabato</t>
  </si>
  <si>
    <t>Procurement of Livestock</t>
  </si>
  <si>
    <t>2020 Basic Education Facilities Fund (BEFF) Repair of Classrooms for DEPED, San Carlos City, Negros Occidental</t>
  </si>
  <si>
    <t>PROCUREMENT OF CCTV SYSTEMS (4Megapixels IP CCTV System) -Supply &amp; Delivery</t>
  </si>
  <si>
    <t>Construction of Multipurpose Hall (Bahay Pulungan)</t>
  </si>
  <si>
    <t>ACQUISITION OF FORENSIC TOOLS AND EQUIPMENT</t>
  </si>
  <si>
    <t>Procurement of Materials for Painting, Upholstery and boby repair of Service vehicle KIA          VESTA VAN SEM 679</t>
  </si>
  <si>
    <t>PB-20-411, Supply &amp; Delivery of Medicines for Cotabato Provincial Hospital, Amas, Kidapawan City</t>
  </si>
  <si>
    <t>Purchase and Installation of 10 units LED Barangay Streetlights of Brgy. Tebag Mangaldan, Pangasinan</t>
  </si>
  <si>
    <t>HO-IST20-018 - Three (3) Years License Renewal - Secure Socket Layer (SSL) Certificates and Certificate Management Service</t>
  </si>
  <si>
    <t>Procurement of spare Parts for Service vehicle [Military Jeep SGT 488]</t>
  </si>
  <si>
    <t>PB-20-412, Supply &amp; Delivery of Medicines for Cotabato Provincial Hospital, Amas, Kidapawan City</t>
  </si>
  <si>
    <t>Procurement of Direct Internet Access Service with 6Mbps dedicated Bandwidth for 3 Years</t>
  </si>
  <si>
    <t>SUPPLY AND DELIVERY OF OILS, LUBRICANTS AND AUTOMOTIVE FILTERS</t>
  </si>
  <si>
    <t>PROCUREMENT OF GENERATOR SET - Supply &amp; Delivery</t>
  </si>
  <si>
    <t>20GGO0004-Rental of one (1) unit Action Utility Vehicle or its equivalent (with fuel &amp; driver) which will be used to convey surveyors for the: a.) conduct of data collection, for the conduct of road c</t>
  </si>
  <si>
    <t>Negotiation due to Two Failed Biddings for Various Drugs and Medicines</t>
  </si>
  <si>
    <t>Supply and Delivery of T-shirt Long Sleeve Survey Jersey with Personalized Print (Assorted Size) for the use of MPW Mag. 1 Employees / Maintenance Section</t>
  </si>
  <si>
    <t>Construction of Multi-Purpose Building</t>
  </si>
  <si>
    <t>100-2020-07-846 Supply and delivery of construction materials and supplies re Construction of Double Barrel RC Box Culvert with Approach Pavement at Bgy. Sta. Lourdes</t>
  </si>
  <si>
    <t>100-2020-07-856 Supply and delivery of 1106.76 cu.m. ready mixed concrete re Opening of Parangue Road, Bgy. Sicsican</t>
  </si>
  <si>
    <t>100-2020-07-848 Supply and delivery of 268.27 cu,m. ready mixed concrete re Construction of Double Barrel RC Box Culvert with Approach Pavement at Bgy. Sta. Lourdes</t>
  </si>
  <si>
    <t>100-2020-07-852 Supply and delivery of construction materials and supplies re Opening of Parangue Road, Bgy. Sicsican</t>
  </si>
  <si>
    <t>100-2020-07-857 Supply and delivery of 1108.37 cu.m. ready mixed concrete re Concreting of San Carlos Road Phase III, Barangay Bacungan</t>
  </si>
  <si>
    <t>HO-BCS20-002 - Supply, Delivery, Labor &amp; Installation, Configuration, Test and Commisioning of Digital Teleconferencing System</t>
  </si>
  <si>
    <t>Re-Roofing of Municipal Building ,Labason, Zamboanga del Norte</t>
  </si>
  <si>
    <t>Consulting Services for the Conduct of Social Media-based Advertisement for Stakeholder Awareness and Competition Enforcement</t>
  </si>
  <si>
    <t>100-2020-07-850 Supply and delivery of construction materials and supplies re Concreting of San Carlos Road Phase III, Barangay Bacungan</t>
  </si>
  <si>
    <t>Procurement of Heavy Duty Cot Beds</t>
  </si>
  <si>
    <t>INVITATION TO BID FOR THE Rebidding of Procurement for Energy Efficiency and Conservation Division Various ICT Equipment under the Locally Funded Project - National Efficiency and Conservation Project</t>
  </si>
  <si>
    <t>RENOVATION OF THE ACADEMIC BUILDING (COLLEGE OF EDUCATION) PHASE 1</t>
  </si>
  <si>
    <t>Supply and Delivery of DIGITAL PHOTOCOPIER MACHINE</t>
  </si>
  <si>
    <t>Procurement of Consolidated IT Equipment</t>
  </si>
  <si>
    <t>Procurement, Supply &amp; Delivery of Medical Oxygen Refill</t>
  </si>
  <si>
    <t>19FI0063- Cluster I a. Construction (Completion) of 1-Unit 2-Storey 2-ICT Building (9.50m x 23.0m) at Alejandro Delos Reyes Integrated School, Masbate City b. Construction (Completion) of 1-Unit 3-Sto</t>
  </si>
  <si>
    <t>Procurement of 2-Units Government Vehicle (Rescue &amp; Service Vehicle)</t>
  </si>
  <si>
    <t>20FI0039(RE-ADVERTISED)- Construction of 1-Unit 2-Storey 4-Classroom (9.50m x 23.0m) School Building at Potoson Elementary School, Using Exposure D (Wind V=340 KPH)</t>
  </si>
  <si>
    <t>Diorite (Soil Covering) (PR-2020-1061-0201)</t>
  </si>
  <si>
    <t>(PAssO) INVITATION TO BID FOR THE SUPPLY &amp; DELIVERY OF HIGH-SPEED SCANNER, LAPTOP &amp; ALL IN ONE DESKTOP COMPUTER FOR THE  PROVINCIAL ASSESSMENT OFFICE--305,000.00</t>
  </si>
  <si>
    <t>Procurement, Supply &amp; Delivery of Ambulance Vehicle</t>
  </si>
  <si>
    <t>Construction of 1 Unit Day Care Center</t>
  </si>
  <si>
    <t>PEO-20-0664 B- Purchase of Diesel Fuel for use in the truck team operations for the repair/maintenance of Provincial roads and bridges in the Province of Iloilo</t>
  </si>
  <si>
    <t>Purchase of 3 sets Brand New Desktop Computer w/ complete accessories and 2 sets printer, WIFI Integrated Ink Tank of the Mayor's Office, Sa Enrique, Iloilo. (Rebid)</t>
  </si>
  <si>
    <t>Air Conditioning Units for LPH-Dr. J.P. Rizal Memorial District Hospital</t>
  </si>
  <si>
    <t>Medicines for Laguna Medical Center (NBB)</t>
  </si>
  <si>
    <t>Dump Truck and Light Cargo Truck with Dropside Body for Solid Waste Management Program of the Provincial Government of Laguna</t>
  </si>
  <si>
    <t>Medicines for Laguna Medical Center for 3rd and 4th Quarter</t>
  </si>
  <si>
    <t>PROCUREMENT OF MULTIVITAMINS FOR THE PROVISION OF SUPPLEMENTARY FEEDING</t>
  </si>
  <si>
    <t>REPAIR/REHABILITATION OF POBLACION, SAN FRANCISCO, DEL REMEDIO CIRCUMFERENTIAL ROAD</t>
  </si>
  <si>
    <t>Construction of Tubigan Ilaya - Tubigan Ibaba FMR</t>
  </si>
  <si>
    <t>INVITATION TO BID FOR THE SUPPLY AND DELIVERY OF MATERIALS FOR THE IMPROVEMENT OF MULTI PURPOSE BUILDING</t>
  </si>
  <si>
    <t>20GCB0007: (Re-advertisement) Proposed Deployment of Three(3) Private Security Guard for use in DPWH Equipment Management Division, Balanga City, Bataan</t>
  </si>
  <si>
    <t>Improvement of Brgy. Liptong Multi-Purpose Building</t>
  </si>
  <si>
    <t>SUPPLY AND DELIVERY OF RESCUE AMBULANCE</t>
  </si>
  <si>
    <t>PURCHASE OF MATERIALS(SEEDLING) FOR TREE PLANTING /GROWING.</t>
  </si>
  <si>
    <t>Purchase of IT and Office Equipment’s to be use for Different Offices- Supplemental Budget.</t>
  </si>
  <si>
    <t>LED 60W UV Germicidal Lamp with Remote Control</t>
  </si>
  <si>
    <t>Construction of Jacquez ECCD Learning Center</t>
  </si>
  <si>
    <t>WIDENING/REHABILITATION/CONCRETING OF CADARAPIZAAN ROAD  AT SITIO CADARAPIZAAN, BANTAY INSIK, SISON, PANGASINAN</t>
  </si>
  <si>
    <t>Construction of Drainage Canal 2nd Block Gonzales Subdivision, Purok 9, Barangay Poblacion , City of Tacurong</t>
  </si>
  <si>
    <t>Supply &amp; Delivery of Medicines/Medical &amp; Laboratory Supplies</t>
  </si>
  <si>
    <t>Construction of Flood and Erosion Control Structures Along River &amp; Waterways (Re-Bid)</t>
  </si>
  <si>
    <t>Procurement of Various Office Supplies &amp; Aluminum Ladder - Lot 2 - Aluminum Ladder - PASSO</t>
  </si>
  <si>
    <t>Procurement of Various Office Supplies &amp; Aluminum Ladder - Lot 1 - Office Supplies - PASSO</t>
  </si>
  <si>
    <t>PROCUREMENT OF ONE UNIT WHEEL LOADER</t>
  </si>
  <si>
    <t>ACQUISITION OF OFFSITE STORAGE FACILITY FOR IPOPHLY RECORDS (for 2-years)</t>
  </si>
  <si>
    <t>CONSTRUCTION OF BARANGAY HEALTH CENTER AT VICTORIA, LUNA, LA UNION</t>
  </si>
  <si>
    <t>CONSTRUCTION OF BARANGAY HEALTH CENTER AT OAQUI NO. 4, LUNA, LA UNION</t>
  </si>
  <si>
    <t>CONCRETE PAVING OF MEDINA STREET, MAGALLANES, LUNA, LA UNION</t>
  </si>
  <si>
    <t>CONCRETE PAVING OF FARM TO MARKET ROAD AT OAQUI NO. 1, LUNA, LA UNION</t>
  </si>
  <si>
    <t>SUPPLY AND DELIVERY OF VARIOUS APPLIANCES, FURNITURE AND FIXTURE AND UTILITY SUPPLIES</t>
  </si>
  <si>
    <t>Improvement of the Municipal Beach Resort (Phase I &amp; II)</t>
  </si>
  <si>
    <t>Supplies/Deliveries of Construction Materials for the Project Improvement of Organic Fertilizer Production Center</t>
  </si>
  <si>
    <t>Rehabilitation/Improvement of Kong St. Barangay Don Ruben Road</t>
  </si>
  <si>
    <t>supply &amp; delivery of Various Medicines</t>
  </si>
  <si>
    <t>Procurement of Spare parts and Services - OSP</t>
  </si>
  <si>
    <t>Procurement, Supply &amp; Delivery of Rescue Ambulance</t>
  </si>
  <si>
    <t>Procurement of Premium Gasoline - PGO</t>
  </si>
  <si>
    <t>Procurement of Various Vehicle Spare parts - PGO</t>
  </si>
  <si>
    <t>Procurement of Various Office Supplies - PHSO</t>
  </si>
  <si>
    <t>Procurement of Spare parts and Services - OVG</t>
  </si>
  <si>
    <t>Procurement of Various Housekeeping Supplies and Office Supplies - PEO MOTORPOOL</t>
  </si>
  <si>
    <t>Procurement of One (1) Unit Service Vehicle (Coaster) - OSP</t>
  </si>
  <si>
    <t>Procurement of Various Office Supplies - PSWDO</t>
  </si>
  <si>
    <t>Procurement of Air condition with Installation, Camera with complete Accessories &amp; Computer Set  - Lot 3 - IT Equipment (Computer Set) - TOURISM</t>
  </si>
  <si>
    <t>Rental of Service Vehicle 4x4 Pick Up Vehicle Fuel and Driver included whole day use for the use for project monitoring and supervision of various BARMM - B.R.I.D.G.E Projects</t>
  </si>
  <si>
    <t>Procurement of Various Tire Wheel - Lot 4 - Tire Wheel - PHSO</t>
  </si>
  <si>
    <t>Procurement of Various Tire Wheel - Lot 3 - Tire Wheel - PAGSO</t>
  </si>
  <si>
    <t>Procurement of Air condition with Installation, Camera with complete Accessories &amp; Computer Set - Lot 1 - Air condition with Installation - TOURISM</t>
  </si>
  <si>
    <t>Procurement of One (1) Unit Photocopier Machine - PBCH</t>
  </si>
  <si>
    <t>Procurement of Various Tire Wheel - Lot 2 - Tire Wheel - PDH</t>
  </si>
  <si>
    <t>PROCUREMENT OF MEDICAL &amp; OTHER HEALTH RELATED EQUIPMENT (2) ITB No. 2020-26</t>
  </si>
  <si>
    <t>Procurement of Air condition with Installation, Camera with complete Accessories &amp; Computer Set - Lot 2 - Camera with complete accessories - TOURISM - TOURISM</t>
  </si>
  <si>
    <t>PROCUREMENT OF MULTI-FUNCTION PRINTER AND COPY PRINTER</t>
  </si>
  <si>
    <t>Supply &amp; Delivery of Medicines</t>
  </si>
  <si>
    <t>(PR No. 20-06-05A-0035) 1 Lot Supply and Delivery of Various Galvanized Steel Service Connection Fittings and Materials</t>
  </si>
  <si>
    <t>Procurement of Catering Services &amp; Venue - Lot 2 - Venue - PDRRMO</t>
  </si>
  <si>
    <t>PROCUREMENT OF HAND SANITIZER (1 LOT) ITB No. 2020-24</t>
  </si>
  <si>
    <t>CONSTRUCTION OF MULTI-PURPOSE GYM</t>
  </si>
  <si>
    <t>Procurement of Diesel Fuel - OSP/OVG</t>
  </si>
  <si>
    <t>Complete set up of Hand Washing and pathwalk phase 2 and 3</t>
  </si>
  <si>
    <t>Construction of MP building kitchen</t>
  </si>
  <si>
    <t>PURCHASE OF MOTOR VEHICLE</t>
  </si>
  <si>
    <t>CONCRETING OF ROAD @ GUMARUENG, PIAT, CAGAYAN</t>
  </si>
  <si>
    <t>Supply and Delivery of Hardware Materials for Installation of Lights at Sea Wall</t>
  </si>
  <si>
    <t>Procurement of Catering Services &amp; Venue - Lot 1 - Catering Services - PDRRMO</t>
  </si>
  <si>
    <t>Supply and Delivery of Hardware Materials for Rehabilitation of Multi-Purpose Hall (Phase 4)</t>
  </si>
  <si>
    <t>Land Development and Construction of 57 Loftable Housing Units for San Fabian Resettlement Project</t>
  </si>
  <si>
    <t>Invitation to Bid - Supply and Delivery of Gasoline for Stock (GSO)</t>
  </si>
  <si>
    <t>Upgrading of Damaged Infrastructure(Brgy. Utan Road)</t>
  </si>
  <si>
    <t>Delivery of various materials for the repair and repainting of Multi-Purpose Hall</t>
  </si>
  <si>
    <t>Supply and Delivery of Injector Valve and Chemical Hose</t>
  </si>
  <si>
    <t>INVITATION TO BID FOR THE PROCUREMENT OF BOTTLE CRUSHER</t>
  </si>
  <si>
    <t>Procurement &amp; Installation of Municipal Children's Playground and Shipping fee</t>
  </si>
  <si>
    <t>CONSTRUCTION/CONCRETING OF PROVINCIAL ROADS, HIGHWAYS AND BRIDGES (MATIN-AO-CANTUGAS ROAD SECTION)</t>
  </si>
  <si>
    <t>Supply and Delivery of Supplies and Materials for the Improvement of Water System</t>
  </si>
  <si>
    <t>supply and delivery of piping materials</t>
  </si>
  <si>
    <t>Delivery of 1 unit Ink Jet printer and 2 units projector for CCMDO (SVP 20-0885).</t>
  </si>
  <si>
    <t>Construction of 64 Duplex-type Housing Units for the Nueva Era Resettlement Project</t>
  </si>
  <si>
    <t>Procurement of Automated Weather Station (AWS) Equipment with Installation and IT Equipment  - Lot 2 - IT Equipment - PAGSO</t>
  </si>
  <si>
    <t>Procurement of One (1) Unit Service Vehicle  - PSWDO</t>
  </si>
  <si>
    <t>20DG0046: Construction of PNP Multi-purpose Building (Main Station) Brgy. Mendez, Crossing East (Spur Rd), Brgy. Mendez Crossing East, Tagaytay City; Project I.D No. 20DG0046</t>
  </si>
  <si>
    <t>Delivery of Communication and Military Police &amp; Security Equipment (SVP 20-0882).</t>
  </si>
  <si>
    <t>SUBDIVISION SURVEY FOR LAND DISTRIBUTION OWNED BY LGU PAYAO</t>
  </si>
  <si>
    <t>19GF00010 (Line Items 8 &amp; 9) Procurement of Dredging and Support Equipment, Amphibious Excavator, etc. (PR No. 19-09-201 dated 9/27/2019), EMD, DPWH, Region V, Rawis, Legazpi City</t>
  </si>
  <si>
    <t>Procurement of Automated Weather Station (AWS) Equipment with Installation and IT Equipment - Lot 1 - Automated Weather Station Equipment - PAGSO</t>
  </si>
  <si>
    <t>Purchase &amp; Delivery of Various Medical Supplies  for SMC</t>
  </si>
  <si>
    <t>Supply and Delivery of Garbage Receptacle for the Clean and Green Program</t>
  </si>
  <si>
    <t>REPAIR AND REPLACEMENT OF BASKETBALL LIGHTS</t>
  </si>
  <si>
    <t>Supply and Delivery of Various DepEd Modules for different grade level on Division of Marikina ( Quarter 1), Marikina City</t>
  </si>
  <si>
    <t>SUPPLY AND DELIVERY OF SUPPLIES USED TO MAINTAIN THE CLEANLINESS OF ALL FACILITIES OF THIS MUNICIPALITIES</t>
  </si>
  <si>
    <t>PROCUREMENT AND INSTALLATION OF PUBLIC ADDRESS SYSTEM, AUDIO VISUAL ROOM AND CONFERENCE ROOM (BLDG 1,2 &amp; OLD BLDG)</t>
  </si>
  <si>
    <t>Construction of Drainage System at Brgy. Laray, Javier, Leyte.</t>
  </si>
  <si>
    <t>Supply and Delivery of  IT Equipment, Parts and Accessories for MMO Use</t>
  </si>
  <si>
    <t>20DG0045: Construction of Multi Level Multi-purpose Building, City Market, Brgy. Tolentino East, Tagaytay City, Cavite; Project I.D No. 20DG0045</t>
  </si>
  <si>
    <t>Purchase &amp; Delivery of Computer Sets for PVGO</t>
  </si>
  <si>
    <t>Delivery of Acetylene and Oxygen Gass Refill Needed for Various Dumptruck and Heavy Equipment(SVP 20-0877)</t>
  </si>
  <si>
    <t>AVRC : MACHINE TOOLS</t>
  </si>
  <si>
    <t>Construction of Tambulan Farm to Market Road (Road to Sitio Anocot) at Brgy. Tambulan , Tayasan, Neg. Or.</t>
  </si>
  <si>
    <t>Procurement of Window Grills - SLPL</t>
  </si>
  <si>
    <t>supply  and delivery of construction materials</t>
  </si>
  <si>
    <t>Purchase of Medical supplies for the use of 15 Barangays of Ilog, Birthing Facility and Circumcision. Ilog, Neg. Occ.</t>
  </si>
  <si>
    <t>UPGRADING OF CATABAN BAILEY BRIDGE II TO RCDG (BGY. CATABAN, TAYTAY, PALAWAN)</t>
  </si>
  <si>
    <t>Improvement of Water System of LGU, Garcia-Hernandez, Bohol</t>
  </si>
  <si>
    <t>Procurement of Systems and Solutions with Managed Services  for the NCMH Crisis Hotline CY 2020</t>
  </si>
  <si>
    <t>Rehabilitation of Barangay Roads</t>
  </si>
  <si>
    <t>Purchase of materials for the implementation of Ilog Flood &amp; Erosion Control Project (Riprapping), Malinao Creek, Vista Alegre, Ilog, Neg. Occ.</t>
  </si>
  <si>
    <t>Construction of IBT and Commercial Center</t>
  </si>
  <si>
    <t>Construction of Pinalubngan Farm to Market Road at Brgy. Pinalubngan,Tayasan, Neg. Or.</t>
  </si>
  <si>
    <t>20JG0088 - Concreting of Brgy. Poblacion FMR, Brgy. Poblacion  Dimataling , Zamboanga del Sur</t>
  </si>
  <si>
    <t>RFQ No. 2020-07-042; PR No. 2020-07-081: PROCUREMENT OF ONE (1) LOT OF VARIOUS ELECTRICAL AND CONSTRUCTION SUPPLIES AND MATERIALS, FOR USE IN THE DPWH R.O. XI, UNDER THE ADMINISTRATIVE DIVISION, DPWH</t>
  </si>
  <si>
    <t>Purchase and delivery of One (1) Unit Off Multi-Purpose Vehicle (MPV) For Rescue Operation</t>
  </si>
  <si>
    <t>INSTALLATION OF POTABLE WATER SYSTEM</t>
  </si>
  <si>
    <t>IMPROVEMENT OF MANDAUG GAMAY BRGY. HEALTH STATION</t>
  </si>
  <si>
    <t>20JG0087 - Concreting of Brgy. Ambulon to Brgy. Sumbaga FMR , Brgy. Ambulon and Brgy. Sumbaga , V-Sagun , Zamboanga del Sur</t>
  </si>
  <si>
    <t>20GFG0023 - Procurement of construction materials for use in the Repair and Maintenance Tinambac –Siruma and Tinambac-Tamban Road Tinambac and Siruma, Camarines Sur</t>
  </si>
  <si>
    <t>Various agricultural chemicals and supplies (Fertilizer, etc.)</t>
  </si>
  <si>
    <t>Procurement of Various Medical Equipment - SDH</t>
  </si>
  <si>
    <t>ITB FOR PROCUREMENT OF UNINTERRUPTED POWER SUPPLY</t>
  </si>
  <si>
    <t>Purchase &amp; Delivery of Service Utility Vehicle  for DCMMH</t>
  </si>
  <si>
    <t>Construction of Concrete Pathwalk at Sitio Tayud, Brgy. Picas Norte, Javier, Leyte.</t>
  </si>
  <si>
    <t>CONSTRUCTION OF PUROK HALL OF PUROK CALAANAN</t>
  </si>
  <si>
    <t>Purchase of Fuel for the use of Municipal Service Vehicle. Ilog, Neg. Occ.</t>
  </si>
  <si>
    <t>20GFG0024 - Procurement of Fuel, Oil and Lubricants for use in various Equipment, Machine Tools and Service Vehicles at Maintenance Section for 3rd and Quarter CY-2020 DPWH, Cam. Sur 4th DEO, Caraycay</t>
  </si>
  <si>
    <t>IMPROVEMENT OF CANAL LINING (STEEL COVER) AT POBLACION III</t>
  </si>
  <si>
    <t>CONSTRUCTION OF RETAINING WALL AND COMFORT ROOM @ Poblacion 1 (Ubbug), Piat, Cagayan</t>
  </si>
  <si>
    <t>HO-MSD20-019 - Supply and Delivery of Toner for Fuji Xerox Printer Model: DP-CM305DF</t>
  </si>
  <si>
    <t>Procurement of Customized BOOM TRUCK (Surplus) for MDRRMO Operation</t>
  </si>
  <si>
    <t>Quotation No. 20-07-0415- Blood Donation Advocacy: Blood Donor’s Towel – cloth: 100% cotton, size: LxH-24 inches x 113 inches, color: white with DOH ZPCHD, NVBSP Logo and BY DONATING BLOOD, YOU CAN SA</t>
  </si>
  <si>
    <t>Supply / Delivery of Diesoline, Super Gasoline, Engine Oil Diesel (SAE 15W-40) and Engine Oil Super (SAE 20W-50)</t>
  </si>
  <si>
    <t>AVRC : 100	CANS	CORNED BEEF---150	BTLS.	BOTTLED WATER  INITIAL FOOD PROVISION TO NEWLY ACTIVATED PWD CLIENTS.</t>
  </si>
  <si>
    <t>Reblocking of Man-up-Lupit-Ambolong-Batan Road, Batan, Aklan (Re-bidding)</t>
  </si>
  <si>
    <t>Calamity Equipment</t>
  </si>
  <si>
    <t>Motor Vehicle</t>
  </si>
  <si>
    <t>Lot 1 – Supply, Delivery and Installation of 2 - Aircondition Units for the use of Planning &amp; Design Section</t>
  </si>
  <si>
    <t>Quotation No. 20-07-0414- Laboratory Supplies – Triple Bag (4s)/ pack</t>
  </si>
  <si>
    <t>ESTABLISHMENT OF LOCAL ECONOMIC LIVELIHOOD PROJECTS</t>
  </si>
  <si>
    <t>Quotation No. 20-07-0416- Cloud Video Conferencing Subscription (6 months)</t>
  </si>
  <si>
    <t>IMPROVEMENT OF CANAL LINING WITH COVER (PHASE II) AT JULUGAN VI</t>
  </si>
  <si>
    <t>20GKK0035 – Supply and Delivery of Fuel to be used by DPWH-MOFDEO Service Vehicles and Equipment of All Section</t>
  </si>
  <si>
    <t>Procurement of Airconditioning units for TNHS &amp;GHS</t>
  </si>
  <si>
    <t>Invitation to Bid - Supply and Installation of 2 Units Fuel Storage Underground Tank (GSO)</t>
  </si>
  <si>
    <t>Rescue Vehicle</t>
  </si>
  <si>
    <t>Proposed Installation of Rope Lighting @ Marikina Bridge , Marikina City</t>
  </si>
  <si>
    <t>HO-LLR20-001 - Supply and Delivery of Various Ink and Toner Cartridges</t>
  </si>
  <si>
    <t>20GFG0022 - Procurement of construction materials for use in the Repair and Maintenance along Lagonoy-Presentacion Road; Tigaon-Goa-San Jose-Lagonoy-Guijalo via San Vicente Road (Maligaya – Caramoan S</t>
  </si>
  <si>
    <t>Supply and Delivery of  Communication Equipment (Cellphones) - SBO</t>
  </si>
  <si>
    <t>Meals for 35 pax for 4 days,Snacks for 35 pax for 4 days</t>
  </si>
  <si>
    <t>Construction of DILG Aklan Provincial Field Office (Phase 2), Provincial Capitol Grounds, Kalibo, Aklan</t>
  </si>
  <si>
    <t>ITB No. (INF) 2020-07-106 BRGY. ROAD CONCRETING, Brgy. Santa Monica, Oras, Eastern Samar</t>
  </si>
  <si>
    <t>LABOR AND MATERIALS FOR THE REHABILITATION OF BASKETBALL COURT AND PERIMETER FENCE</t>
  </si>
  <si>
    <t>Continuation of Construction of Multi Purpose Building /cum evac.center Phase 3</t>
  </si>
  <si>
    <t>Supply/Delivery of Bath Soap, Laundry Soap, Bath Towel, Pail w/ Cover, Dipper, Cooking Pot, Fry Pan, Sleeping Mat and Blanket</t>
  </si>
  <si>
    <t>Purchase of materials for the improvement of roads (Regravelling) Brgy. Balicotoc Proper to So. Taysican, Brgy. Balicotoc, Ilog, Neg. Occ.</t>
  </si>
  <si>
    <t>Procurement of Various Laboratory Supplies - SDH</t>
  </si>
  <si>
    <t>Supply and Delivery of Tilapaia Feeds (MAO)</t>
  </si>
  <si>
    <t>REHABILITATION OF RAC MULTI-PURPOSE BUILDING (BONO-BONO, BATARAZA, PALAWAN)</t>
  </si>
  <si>
    <t>Invitation to Bid - Supply and Delivery of (24) Units Heavy Duty Copyprinter/RESO Machine (DepEd)</t>
  </si>
  <si>
    <t>CONSTRUCTION OF DAY CARE CENTER AT BUCAL</t>
  </si>
  <si>
    <t>RELOCATION SURVEY OF VARIOUS MUNICIPAL ROADS</t>
  </si>
  <si>
    <t>Concreting of  700.00 LM Farm to Market Road at Lawagan, Labason, Zamboanga del Norte</t>
  </si>
  <si>
    <t>CONCRETING OF FARM TO MARKET ROAD Purok 3 &amp; 4, Barangay Pualas, Tubod, Lanao del Norte</t>
  </si>
  <si>
    <t>RFQ-Educational Supplies</t>
  </si>
  <si>
    <t>SUPPLY AND DELIVERY OF GUNS AND AMMUNITION</t>
  </si>
  <si>
    <t>LGU-COR. 2020-34</t>
  </si>
  <si>
    <t>Construction of Bahay Pagbabago</t>
  </si>
  <si>
    <t>materials for landscape / improvement of mini plaza</t>
  </si>
  <si>
    <t>Invitation to Bid - Supply and Delivery of One (1) Unit Heavy Duty Digital Copier (DepEd)</t>
  </si>
  <si>
    <t>ITB No. (INF) 2020-07-107 CONCRETING OF BARANGAY ROAD, Brgy. Mantang, Taft, Eastern Samar</t>
  </si>
  <si>
    <t>IMPROVEMENT OF MULTIPURPOSE HALL AT AMAYA IV</t>
  </si>
  <si>
    <t>Various laboratory chemicals (Potassium Standard, etc.)</t>
  </si>
  <si>
    <t>PURCHASE AND INSTALLATION OF 1 SET BASKETBALL BOARD Barangay Pualas, Tubod, Lanao del Norte</t>
  </si>
  <si>
    <t>Proposed Installation of Rope Lighting @ Barangka Bridge , Marikina City</t>
  </si>
  <si>
    <t>Various laboratory chemicals (Ammonium Acetate, etc.)</t>
  </si>
  <si>
    <t>GAS OVEN STANDARD RANGE</t>
  </si>
  <si>
    <t>Surveying instrument-infrastructure multi-purpose design system-integrated RTK GNSS hardware and software with training</t>
  </si>
  <si>
    <t>CONCRETING OF LOCAL ACCESS ROAD WITH DRAINAGE IMPROVEMENT</t>
  </si>
  <si>
    <t>Concreting of Baculod – San Jose Road Iguig, Cagayan</t>
  </si>
  <si>
    <t>20GKK0036 – Supply and Delivery of Lubricants to be used by DPWH-MOFDEO Service Vehicles and Equipment of All Section</t>
  </si>
  <si>
    <t>PROCUREMENT OF FOOD SUPPLIES (INTENSIFIED NUTRITION PROGRAM)</t>
  </si>
  <si>
    <t>vehicle service</t>
  </si>
  <si>
    <t>ITB - Procurement of various Procurement of various ISSP-MITHI 2020 Equipment for DOST Caraga Region</t>
  </si>
  <si>
    <t>Supply and delivery of materials for the construction of elevated steel reservoir at brgy. Asbang, Matanao, Davao del Sur</t>
  </si>
  <si>
    <t>Invitation to Bid - Supply and Delivery of Six (6) Units Heavy Duty Copyprinter/RESO Machine (DepEd)</t>
  </si>
  <si>
    <t>2020-0190-PR2020-0544  Procurement of Materials (Anapog) for the Maintenance of Various Provincial Roads for the Project Management Division (PMD) I, of the Provincial Engineer's Office, New Capitol B</t>
  </si>
  <si>
    <t>Cluster 2 Concreting of Barangay Road Gagabutan West Rizal Cagayan and Concreting of Access Road Leading to Sanitary Landfill, Masical Sto Niño, Cagayan</t>
  </si>
  <si>
    <t>CY 2020 QRF Repair and Rehabilitation of Classrooms damaged by Fire Incidents and Various Calamities and Construction of Slope Project of School Building-Lot1</t>
  </si>
  <si>
    <t>RFQ (20-07-078) various dietary supplies</t>
  </si>
  <si>
    <t>PROCUREMENT OF 2 LOTS VARIOUS OFFICE EQUIPMENT (PROV-2020-02-GS)</t>
  </si>
  <si>
    <t>Cluster 7 Construction of Concrete Canal, Ugac Norte Tuguegarao City, Concreting of Barangay Road at Taguinod St. Quibal Peñablanca, Cagayan and Concreting of Farm to Market Road at Parabba Peñablanca</t>
  </si>
  <si>
    <t>Invitation to Bid - Supply and Delivery of (184) sets Student Tables and Chairs (DepEd)</t>
  </si>
  <si>
    <t>Construction of Evacuation Center, Poblacion, Altavas, Aklan</t>
  </si>
  <si>
    <t>RFQ No. 20-07-175 for PR No. 20-07-168</t>
  </si>
  <si>
    <t>Construction of Camaa Hanging Footbridge</t>
  </si>
  <si>
    <t>Lot 2 – Supply, Delivery and Installation of Office Cubicle with chairs &amp; Mobile Pedestal for the use of Planning &amp; Design Section</t>
  </si>
  <si>
    <t>Invitation to Bid - Supply and Delivery of Supplementary Food of Pregnant Women for Nutrition Services Office</t>
  </si>
  <si>
    <t>Purchase of Office Equipments</t>
  </si>
  <si>
    <t>Rehabilitation of Municipal Roads</t>
  </si>
  <si>
    <t>Renovation &amp; Improvement of Provincial Human Resource and Management Office, Capitol Site, Kalibo, Aklan</t>
  </si>
  <si>
    <t>PROCUREMENT OF 1 LOT LIVELIHOOD TRAINING EQUIPMENT AND SUPPLIES</t>
  </si>
  <si>
    <t>RFQ (20-07-075) Pre-filter and hepa filter for PC respiratory hood</t>
  </si>
  <si>
    <t>Upgrading of Bagumbayan – Magallongon Road Lal – lo, Cagayan</t>
  </si>
  <si>
    <t>Supply &amp; Delivery of Medical Equipment for COVID-19</t>
  </si>
  <si>
    <t>Retirement tokens for the 2020 retirees of SRA Visayas</t>
  </si>
  <si>
    <t>2020-0191-PR2020-0545 Procurement of Materials (Anapog) for the Maintenance of Various Provincial Roads for the Project Management Division (PMD) I, of the Provincial Engineer's Office, New Capitol Bu</t>
  </si>
  <si>
    <t>Supply &amp; Delivery of various Poultry Feeds</t>
  </si>
  <si>
    <t>ITB 20-0057-A - Supply and Delivery of Various Laboratory &amp; Medical Supplies.</t>
  </si>
  <si>
    <t>construction of welcome sign</t>
  </si>
  <si>
    <t>Cluster 8 Repair/ Rehab of Gymnasium San Gabriel Tuguegarao City, Construction of Perimeter Fence Barangay Hall Cataggaman Pardo Tuguegarao City and Construction of Two – Classroom Transition Learning</t>
  </si>
  <si>
    <t>RETAINING WALL BRGY. GYM</t>
  </si>
  <si>
    <t>Supply and Delivery of 3TR Floor Mounted Aircon for MPDO and Printer for ICT Section</t>
  </si>
  <si>
    <t>Construction of Rural Access Road of Various Sitios (Barangay Tambaliza)</t>
  </si>
  <si>
    <t>2020-0177-PR2020-0466 Rebid Procurement of Desktop, Laptop, Fire Extinguisher, Multi Function Printer, Dome Type Camera, Patch Panel, Floor Mounted Air Conditioning Unit, Computer Cubicles &amp; Chairs, S</t>
  </si>
  <si>
    <t>SUPPLY AND DELIVERY OF OFFICE SUPPLIES FOR CULTURAL HERITAGE CENTER EQUIPMENT, MSU MAIN CAMPUS, MARAWI CITY</t>
  </si>
  <si>
    <t>Supply &amp; delivery of floodlight</t>
  </si>
  <si>
    <t>Supply &amp; Delivery of Six Hundred (600) Monoblock Chairs</t>
  </si>
  <si>
    <t>Electrical Power System</t>
  </si>
  <si>
    <t>CONSTRUCTION OF LOWER PATONG FLOOD CONTROL (TANGLAGAN) PHASE II</t>
  </si>
  <si>
    <t>Purchase of Educational Supplies for Baylanan Elementary School</t>
  </si>
  <si>
    <t>One  (1)  Lot  Engagement  of  Consultant  for  the  Assessment  of  Enterprise  Risk,  Business  Continuity  Management  Frameworks  and  Development  of  Compliance  Management  Framework and Progra</t>
  </si>
  <si>
    <t>Rescue Boat- MDRRMO</t>
  </si>
  <si>
    <t>Invitation to Bid - Supply and Delivery of Nutri Dry Cereals and Complimentary Foods to 6-24 Months Children for Nutrition Services Office</t>
  </si>
  <si>
    <t>SUPPLY AND DELIVERY OF FURNITURES AND FIXTURES</t>
  </si>
  <si>
    <t>Delivery and Installation of Solar Street Lights at Doña Maria Dizon Subdivison at Buenlag, Calasiao, Pangasinan</t>
  </si>
  <si>
    <t>CY 2020 QRF Repair and Rehabilitation of Classrooms damaged by Fire Incidents and Various Calamities and Construction of Slope Project of School Building-Lot2</t>
  </si>
  <si>
    <t>Supply and Delivery of Office Furnitures</t>
  </si>
  <si>
    <t>Fuel, Oil &amp; Lub. Expense- BJMP Service vehicles</t>
  </si>
  <si>
    <t>ITB 20-0073 - Supply and Delivery of Various Hospital Equipment.</t>
  </si>
  <si>
    <t>Supply and Delivery of DRRM Equipment Five (5) Units Rain Gauge</t>
  </si>
  <si>
    <t>ENCLOSURE OF EXISTING GAZEBO FOR SENIOR CITIZEN / PERSONS WITH DISABILITIES (PWD) LOUNGE AND CLINIC AT LUCAP WHARF, BRGY. LUCAP, CITY OF ALAMINOS, PANGASINAN</t>
  </si>
  <si>
    <t>PURCHASE AND DELIVERY OF THREE (3) UNITS CEILING FAN</t>
  </si>
  <si>
    <t>Purchase of Construction Materials for Improvement and Repair of New Engineering Office</t>
  </si>
  <si>
    <t>Supply &amp; delivery of medical equipment for COVID-19 Response</t>
  </si>
  <si>
    <t>ITB 20-0074 - Supply and Delivery of 34,880 liters Diesoline.</t>
  </si>
  <si>
    <t>SUPPLY AND DELIVERY OF SERVICE/GARDENING TOOLS FOR CULTURAL HERITAGE CENTER EQUIPMENT, MSU MAIN CAMPUS, MARAWI CITY</t>
  </si>
  <si>
    <t>CONSTRUCTION OF MULTI-PURPOSE BUILDING (COMPLETION)</t>
  </si>
  <si>
    <t>ITB 20-0075 - Supply and Delivery of 195 units Fabricated Double Deck Bed.</t>
  </si>
  <si>
    <t>Supply &amp; Delivery of Materials for the Proposed Construction of Multi-Purpose Center (Phase II) @ Brgy. Banquerohan, Cadiz City</t>
  </si>
  <si>
    <t>CONSTRUCTION OF PERIMETER FENCE AT SLAUGHTERHOUSE, BRGY. POBLACION, CITY OF ALAMINOS, PANGASINAN</t>
  </si>
  <si>
    <t>Supply and Delivery of IT Supplies (PR No. 2020-02-0130, 2020-06-0564, 2020-06-0598, 2020-01-0032, 2020-05-0507, 2020-02-0163)</t>
  </si>
  <si>
    <t>PROCUREMENT AND INSTALLATION OF FOUR (4) UNITS GENERATOR SET FOR THE PPSC HEAD OFFICE AND NPC SILANG</t>
  </si>
  <si>
    <t>SUPPLY AND DELIVERY OF  VARIOUS GOODS</t>
  </si>
  <si>
    <t>Supply and Delivery of Goods: NORTHERN SAMAR LIVELIHOOD SEEDING PROGRAM</t>
  </si>
  <si>
    <t>SCHOOL AND OFFICE SUPPLIES</t>
  </si>
  <si>
    <t>Procurement-Supply &amp; Delivery of Office Supplies</t>
  </si>
  <si>
    <t>SUPPLY AND DELIVERY OF SAN FRANCISCO, AGUSAN DEL SUR BARANGAY TANOD'S UNIFORM FOR BARANGAY PEACE AND ORDER ACTIVITIES, SFADS</t>
  </si>
  <si>
    <t>Hauling of Hazardous Waste</t>
  </si>
  <si>
    <t>Vehicles - Purchase of One (1) Unit Motor Vehicle - Duero, Bohol</t>
  </si>
  <si>
    <t>CONSTRUCTION OF LGU DINGLE EVACUATION CENTER PHASE IV</t>
  </si>
  <si>
    <t>PURCHASE OF BARANGAY SERVICE VEHICLE</t>
  </si>
  <si>
    <t>PROCUREMENT OF FUEL (JULY TO DECEMBER 2020)</t>
  </si>
  <si>
    <t>Office Supplies - OMAG</t>
  </si>
  <si>
    <t>Purchase and Distribution of School Supplies and Go-Bag Emergency Kits</t>
  </si>
  <si>
    <t>Supply and Delivery of Construction Materials for Construction of MPP Second Floor.</t>
  </si>
  <si>
    <t>ITB No. (INF) 2020-07-109 CONCRETING OF BARANGAY 7 TO ROXAS ROAD, Brgy. 7, Giporlos, Eastern Samar</t>
  </si>
  <si>
    <t>Expansion of Water System Level II-Phase II in Brgy. Pasi I</t>
  </si>
  <si>
    <t>Acquisition of Tires (tubeless &amp; non tubeless)</t>
  </si>
  <si>
    <t>Purchase of 1 Unit Laptop w/ printer to be used at Accounting Office</t>
  </si>
  <si>
    <t>PROCUREMENT OF VARIOUS VEHICLE SPARE PARTS</t>
  </si>
  <si>
    <t>Supply and Delivery of Windows 10 Operating System (PR No. 2020-02-0130)</t>
  </si>
  <si>
    <t>Supply, Delivery, Installation and Commissioning of Airconditioning Units for Philippine Ports Authority Head Office</t>
  </si>
  <si>
    <t>Production of Lapulapu Figurines Based on Guillermo Tolentino’s Lapulapu Bust</t>
  </si>
  <si>
    <t>PROCUREMENT AND INSTALLATION OF AIR-CONDITIONING UNITS FOR THE OFFICES &amp; CLASSROOMS OF THE NFSTI</t>
  </si>
  <si>
    <t>CY 2020 Quick Response Fund (QRF)- Repair and Rehabilitation of Classrooms damaged by Fire Incidents and Various Calamities and Construction of Slope Protection of School Building- Lot 3</t>
  </si>
  <si>
    <t>Maintenance of Barangay Road</t>
  </si>
  <si>
    <t>CLUSTER 26: CLUSTERED PROJECTS OF BARANGAY POBLACION - 2</t>
  </si>
  <si>
    <t>Supply and Delivery of Appliance</t>
  </si>
  <si>
    <t>Supply and delivery of materials for the Installation of Water Pump, Pressure Tank w/ Pump House and Water System</t>
  </si>
  <si>
    <t>Delivery of various Equipment &amp; Motorcycle needed for City Agriculture Office (ITB 20-089)</t>
  </si>
  <si>
    <t>Bidding of Supply and delivery of Food items for Supplementary Feeding Program 10th cycle</t>
  </si>
  <si>
    <t>CY 2020 Quick Response Fund (QRF)- Repair and Rehabilitation of Classrooms damaged by Fire Incidents and Various Calamities and Construction of Slope Protection of School Building- Lot5</t>
  </si>
  <si>
    <t>Delivery of Drungs and Medicines for Assistance to Psychiatric Program for Second and Third Quarter 2020(SVP 20-0890).</t>
  </si>
  <si>
    <t>NEW XEROX MACHINE</t>
  </si>
  <si>
    <t>Cluster 1 Concreting of Barangay Road Jones Street Centro Abulug, Cagayan, Concreting of Barangay Road Aguinaldo Street at Boundrey of bagu and Centro Abulug, Cagayan, Concreting of Dana – Ili- San Ju</t>
  </si>
  <si>
    <t>Supply and Delivery of Office Furniture (PR No. 2020-06-0542, 2020-02-0145, 2020-06-0553)</t>
  </si>
  <si>
    <t>REHABILITATION OF CALANASAN SPORTS &amp; CULTURAL/EVACUATION CENTER</t>
  </si>
  <si>
    <t>Procurement-Supply &amp; Delivery of Drug Testing Kits &amp; Other Supplies</t>
  </si>
  <si>
    <t>Lot 1: Supply and Delivery of Electrical Supplies for Maintenance of School Lighting/Wiring System (PR No. 2020-02-0095, 2020-02-0096, 2020-02-0200) Lot 2: Supply and Delivery of Electrical Tools and</t>
  </si>
  <si>
    <t>Procurement of One (1) Unit BRAND NEW PALAY HARVESTER</t>
  </si>
  <si>
    <t>Servicing of Parts Needed for Payloader No. PL-04 10705080-007-0003 &amp; PL-05 10705080-007-0004 (SVP 20-0883).</t>
  </si>
  <si>
    <t>Supply and Delivery of FarmInputs and Equipment- Palay Production, San Jose, Madalag, Aklan</t>
  </si>
  <si>
    <t>PROCUREMENT OF PLASTIC STORAGE BOX WITH ROLLER</t>
  </si>
  <si>
    <t>Procurement-Supply &amp; Delivery of WASH/WATSAN Supplies</t>
  </si>
  <si>
    <t>CY 2020 Quick Response Fund (QRF)- Repair and Rehabilitation of Classrooms damaged by Fire Incidents and Various Calamities and Construction of Slope Protection of School Building- Lot 4</t>
  </si>
  <si>
    <t>Supply and Delivery of Appliances for the 2nd quarter (PR No. 2020-01-0029, 2020-02-0178, 2020-02-0168, 2020-02-0130, 2020-06-0576)</t>
  </si>
  <si>
    <t>CONSTRUCTION OF POTABLE DEEPWELL WATER SUPPLY   PHASE II – MARKET SITE, SAN ISIDRO</t>
  </si>
  <si>
    <t>Supply and Delivery of Materials for the Improvement of Multi-Purpose Hall /Evacuation Center</t>
  </si>
  <si>
    <t>NCB Publication No. 2020- 24 (Second Publication)- Improvement of Ubao- Lubuan Road</t>
  </si>
  <si>
    <t>supply and delivery of hardware materials use for the rehabilitation of Magnas Footbridge</t>
  </si>
  <si>
    <t>SUPPLY AND DELIVERY OF OFFICE APPLIANCES AND EQUIPMENT, LGU - UNISAN, QUEZON</t>
  </si>
  <si>
    <t>PROCUREMENT OF VARIOUS MEDICAL EQUIPMENT, DR. JOSE RIZAL MEMORIAL HOSPITAL</t>
  </si>
  <si>
    <t>PROPOSED REPAIR AND MAINTENANCE OF STREETLIGHTS</t>
  </si>
  <si>
    <t>Purchase of 1 Unit Laptop and AVR for IT Equipment for 2nd Quarter 2020</t>
  </si>
  <si>
    <t>Procurement-Supply &amp; Delivery of Agricultural Supplies, Livestock &amp; Equipment</t>
  </si>
  <si>
    <t>SUPPLY AND DELIVERY OF VARIOUS PROTECTIVE EQUIPMENT AND DISINFECTANTS</t>
  </si>
  <si>
    <t>CY 2020 Quick Response Fund (QRF)- Repair and Rehabilitation of Classrooms damaged by Fire Incidents and Various Calamities and Construction of Slope Protection of School Building- Lot 6</t>
  </si>
  <si>
    <t>SUPPLY AND DELIVERY OF COMMON USED OFFICE SUPPLIES, GSO, SFADS</t>
  </si>
  <si>
    <t>20HB0171 Maintenance, Repair and Rehabilitation of Infrastructure Facilities and Other Related Activities – Repair and Maintenance of Road Safety Facilities – Repair and Maintenance of Road Safety Fac</t>
  </si>
  <si>
    <t>CONTINUATION OF GOVERNMENT CENTER (PERIMETER FENCE ALONG EKB PARK &amp; YMANDAY VILLAGE REPLICA) OTHER LAND IMPROVEMENT (CONSTRUCTION OF BLEACHERS AND CANAL LINING) EKB PARK</t>
  </si>
  <si>
    <t>IMPROVEMENT OF BASKETBALL COURT AND CONSTRUCTION OF CONCRETE BENCH, BARANGAY MABINI, BURDEOS, QUEZON</t>
  </si>
  <si>
    <t>20HB0170 Maintenance, Repair and Rehabilitation of Infrastructure Facilities and Other Related Activities –Routine Maintenance of National Roads and Bridges-Repair/ Maintenance of Damaged Concrete Pav</t>
  </si>
  <si>
    <t>PROCUREMENT OF LGU-MEDICINES FOR 2ND AND 3RD QUARTER OF 2020</t>
  </si>
  <si>
    <t>PURCHASE OF PROTECTIVE EQUIPMENT AND SUPPLIES NEEDED FOR COVID-19 PREVENTION AND MITIGATION</t>
  </si>
  <si>
    <t>20GLB0072 - PR No. 07-053-20 dated July 13, 2020 - Purchase of Bituminous Concrete Surface Course (2nd Quarter CY2020) for Repair/Maintenance of National Roads and Bridges, Davao City</t>
  </si>
  <si>
    <t>ITB No. (INF) 2020-07-108 CONCRETING OF BARANGAY ROAD, Brgy. Dao, Oras, Eastern Samar</t>
  </si>
  <si>
    <t>Construction of Semi Private Room Building Lasam District Hospital, Lasam, Cagayan</t>
  </si>
  <si>
    <t>PROCUREMENT AND DELIVERY OF CONSTRUCTION MATERIALS FOR BRGY. BAGONG BAYAN</t>
  </si>
  <si>
    <t>ITB-SUPPLY AND DELIVERY OF 1250 PIECES MULTI-JET WATER METERS</t>
  </si>
  <si>
    <t>Improvement of Barangay Streetlights</t>
  </si>
  <si>
    <t>REHABILITATION OF WATER FACILITIES</t>
  </si>
  <si>
    <t>Installation of Additional Distribution Line at Callao Water System</t>
  </si>
  <si>
    <t>20LB0298 - Repair/Maintenance of DILG Building PNP – Old DRDA Building Camp. Sgt. Quintin M. Merecido Catitipan, Davao City</t>
  </si>
  <si>
    <t>PR# 20-1897- Office Equipments</t>
  </si>
  <si>
    <t>PROCUREMENT AND DELIVERY OF CONSTRUCTION MATERIALS FOR BRGY. ABERAWAN</t>
  </si>
  <si>
    <t>Procurement of Commercial Rice</t>
  </si>
  <si>
    <t>Procurement-Supply &amp; Delivery of Vehicle Accessories for Rescue vehicle</t>
  </si>
  <si>
    <t>20LB0315 - Repair/Rehabilitation of Buhangin Underpass Pumping Station, Km 1504+551, Davao City</t>
  </si>
  <si>
    <t>Purchase of IT Equipments for PNP Labason:</t>
  </si>
  <si>
    <t>HAND WASHING</t>
  </si>
  <si>
    <t>Expansion of Water System Level II-Phase II in Brgy. Pasi II</t>
  </si>
  <si>
    <t>Contract ID No. 20K00356 - Cluster "RO-02" Construction of Building Projects in Bukidnon 1. Construction of Southern Track and Field and Track Oval, Brgy. Laguitas, Malaybalay City, Bukidnon = Php 30,</t>
  </si>
  <si>
    <t>20LB0314 - Repair/Maintenance of Davao River Control, Ledesma Section, Sta. 7+250 - Sta. 7+729, Brgy. 19-B, Davao City</t>
  </si>
  <si>
    <t>Delivery of Electrical Supplies for Third Quarter 2020 (SVP 20-0876).</t>
  </si>
  <si>
    <t>PROCUREMENT AND DELIVERY OF CONSTRUCTION MATERIAL FOR BRGY. VILLA LIBERTAD</t>
  </si>
  <si>
    <t>FABRICATION OF STEEL DRAINAGE COVER AT PEDRO BUNOT CENTRAL SCHOOL</t>
  </si>
  <si>
    <t>PURCHASE OF TWO (2) UNITS RESCUE VEHICLE FOR BDRRM OF BRGY. APOPONG GSC.</t>
  </si>
  <si>
    <t>Contract ID No. 20K00355 - Cluster "RO-01" Construction of Various Road Projects in Misamis Oriental: 1. Construction of By-Pass and Diversion Roads, Magsaysay-Butuan City Coastal Bypass/Alternate Roa</t>
  </si>
  <si>
    <t>Providing of food, Accommodation and use of function hall for the PGS Coreteam Workshop on July 22-24, 2020 (SVP 20-0891).</t>
  </si>
  <si>
    <t>School Supplies</t>
  </si>
  <si>
    <t>SITE DEVELOPMENT OF MUNICIPAL EXTENSION GROUND (PHASE 1) @ POBLACION, MABINI, BATANGAS</t>
  </si>
  <si>
    <t>PROCUREMENT AND DELIVERY OF CONSTRUCTION MATERIALS FOR BRGY. TENEGUIBAN</t>
  </si>
  <si>
    <t>20GIB0037: Purchase/delivery of Spareparts and supplies for various service vehicles and Heavy Equipment.</t>
  </si>
  <si>
    <t>Construction of Person With Disability (PWD)-Phase II @ Sto. Nino, Talaingod, DDN</t>
  </si>
  <si>
    <t>20LB0308 - Repair/Maintenance of DILG Building NAPOLCOM Headquarters Camp Captain Domingo E. Leonor, Davao City</t>
  </si>
  <si>
    <t>INVITATION TO BID FOR THE SUPPLY &amp; DELIVERY OF VARIOUS DRUGS&amp;MEDICINES FOR RHU WITH PR#2020-GF-06-355 AND ABC OF P 337,497.50</t>
  </si>
  <si>
    <t>Re-Bidding of Supply &amp; Delivery of Computer Equipment Packages</t>
  </si>
  <si>
    <t>Purchase of One (1) Unit 3 in 1 Printer for RHU:</t>
  </si>
  <si>
    <t>20LB0322 - Repair/Maintenance of Flood Control &amp; Drainage along Daang Maharlika Road, K1491+198 – K1491+202., Davao City</t>
  </si>
  <si>
    <t>Supply &amp; delivery of medical supplies</t>
  </si>
  <si>
    <t>CONSTRUCTION OF MULTI-PURPOSE BUILDING (PHASE II)/COMPLEX</t>
  </si>
  <si>
    <t>CY 2020 Quick Response Fund (QRF)- Repair and Rehabilitation of Classrooms damaged by Fire Incidents and Various Calamities and Construction of Slope Protection of School Building- Lot 7</t>
  </si>
  <si>
    <t>CY 2020 Quick Response Fund (QRF)- Repair and Rehabilitation of Classrooms damaged by Fire Incidents and Various Calamities and Construction of Slope Protection of School Building- Lot 8</t>
  </si>
  <si>
    <t>Supply and Delivery of Medical Equipment (PR No. 2020-06-0597, 2020-02-0122)</t>
  </si>
  <si>
    <t>NCB Publication No. 2020- 25 (Second Publication)- FMR Improvement at Sanafe</t>
  </si>
  <si>
    <t>CONSTRUCTION/IMPROVEMENT OF MULTI-PURPOSE HALL (PHASE II) @ BRGY. LAUREL, MABINI, BATANGAS</t>
  </si>
  <si>
    <t>ITB-uPVC Pipe</t>
  </si>
  <si>
    <t>CID NO. 20IF0108- (READV) Concreting of Farm to Mill Road (FMR), Brgy. Can-untog to Brgy. Quezon, Jr., Ormoc City, Leyte</t>
  </si>
  <si>
    <t>Construction of 2 Unit Covid Ligtas Design Center.</t>
  </si>
  <si>
    <t>Supply and Delivery of Materials, Labor and Construction of Transmitter House at Mt. Tapyas View Deck, Barangay Poblacion 4, Coron, Palawan.</t>
  </si>
  <si>
    <t>CONCRETING OF FARM-TO-MARKET ROAD AT SITIO PULO, MAGALLANES, CAVITE</t>
  </si>
  <si>
    <t>REHABILITATION OF MATERIAL RECOVERY FACILITIES @ BRGY. DOLOROSA</t>
  </si>
  <si>
    <t>Supply and Delivery of Lights and Electrical Material</t>
  </si>
  <si>
    <t>REHABILITATION/IMPROVEMENT OF UNIVERSITY STRUCTURE/FACILITIES IN IBA, SAN MARCELINO, BOTOLAN AND CANDELARIA CAMPUSES</t>
  </si>
  <si>
    <t>Procurement of Floating Ball Buoy</t>
  </si>
  <si>
    <t>PROCUREMENT OF FLASH DRIVES</t>
  </si>
  <si>
    <t>CONSTRUCTION/IMPROVEMENT OF MULTI-PURPOSE HALL (PHASE II) @ BRGY. GASANG, MABINI, BATANGAS</t>
  </si>
  <si>
    <t>20G00106 - Construction of Permanent Evacuation Center/Multi-Purpose Covered Court (Standard)</t>
  </si>
  <si>
    <t>PROCUREMENT AND DELIVERY OF CONSTRUCTION MATERIALS FOR BRGY. MALIGAYA</t>
  </si>
  <si>
    <t>PROCUREMENT OF INTRA-AORTIC BALLOON PUMP (IABP) ITB No. 2020-25</t>
  </si>
  <si>
    <t>20G00105 - Construction of Permanent Evacuation Center/Multi-Purpose Covered Court (Standard)</t>
  </si>
  <si>
    <t>Procurement of Civil Works for the Repair/Rehabilitation of Legislative Building (Phase I)  Municipal Compound, Pob. Dist. I, Barugo, Leyte</t>
  </si>
  <si>
    <t>Supply and Delivery of Construction Materials for the Concreting of Brgy. Road, Alaminos, Madalag, Aklan</t>
  </si>
  <si>
    <t>PROCUREMENT OF LAPTOPS (SUPPLY AND DELIVERY)</t>
  </si>
  <si>
    <t>Supply and Delivery of Heavy Duty Copier Under PRRI-2020-039</t>
  </si>
  <si>
    <t>Construction of Multi-Purpose Building,  (Agricultural Training and Tourism Center), Hungduan, Ifugao</t>
  </si>
  <si>
    <t>PROCUREMENT OF FOOD STUFF  (FOR MDRRMO STOCK FILLING OF FOOD SUPPLY)</t>
  </si>
  <si>
    <t>CONSTRUCTION/IMPROVEMENT OF MULTI-PURPOSE HALL (PHASE I) @ BRGY. PILAHAN, MABINI, BATANGAS</t>
  </si>
  <si>
    <t>PR-2020-1285 One (1) Unit Brand new Pick-Up Vehicle-PGO</t>
  </si>
  <si>
    <t>Construction of Seawall (Phase 3), Dapdap, Tangalan, Aklan</t>
  </si>
  <si>
    <t>NCB Publication No. 2020- 26 (First Publication)- Improvement of Lamut Diversion Road (Little Ifugao Site)</t>
  </si>
  <si>
    <t>Procurement of Materials for the Tire Path Road Concreting</t>
  </si>
  <si>
    <t>PROCUREMENT OF VARIOUS SUPPLIES (LOT 1. PROCUREMENT OF OFFICE SUPPLIES; LOT 2. PROCUREMENT OF JANITORIAL AND OTHER SUPPLIES; LOT 3. PROCUREMENT OF ICT SUPPLIES</t>
  </si>
  <si>
    <t>Expansion of Level II Water System Project</t>
  </si>
  <si>
    <t>CY 2020 Quick Response Fund (QRF)- Repair and Rehabilitation of Classrooms damaged by Fire Incidents and Various Calamities and Construction of Slope Protection of School Building- Lot 9</t>
  </si>
  <si>
    <t>DIgital Event Production, PR, Marketing and Branding Service for DTI-7 Online Programs-(48 sessions of Digital Conferences, Trainings and Workshops).</t>
  </si>
  <si>
    <t>Invitation to Bid - Supply and Delivery of One (1) Unit Desktop Computer for City Legal Office</t>
  </si>
  <si>
    <t>20G00109 - Construction of Permanent Evacuation Center/Multi-Purpose Covered Court (Standard)</t>
  </si>
  <si>
    <t>DUMANLAS ELEMENTARY SCHOOL GENERAL MERCHANDISE</t>
  </si>
  <si>
    <t>PROCUREMENT AND DELIVERY OF CONSTRUCTION MATERIALS FOR BRGY. CORONG CORONG</t>
  </si>
  <si>
    <t>Contract ID No. 19CSK00055 – Consulting Services for the Conduct of Soil Testing/Exploration for Bridge Projects - Geotechnical Investigation - Construction of Concrete Bridge, Impasug-ong Bdry. Bukid</t>
  </si>
  <si>
    <t>20G00108 - Construction of Permanent Evacuation Center/Multi-Purpose Covered Court (Standard)</t>
  </si>
  <si>
    <t>Invitation to Bid - Supply and Delivery of IT Equipment for City Admin./Waterworks Division</t>
  </si>
  <si>
    <t>Construction of Multi-purpose 2 Storey Conference Building</t>
  </si>
  <si>
    <t>Invitation to Bid - Supply and Delivery of One (1) Unit Copier (CENRO)</t>
  </si>
  <si>
    <t>Delivery of Electrical Supplies for Third Quarter 2020 (SVP 20-0875).</t>
  </si>
  <si>
    <t>20LB0318 - Construction of Rainwater Collector System (RWCS)  a.) Tapak National High School, Davao City;  b.) Tapak Elementary School, Davao City;  c.) Salapawan Elementary School, Davao City;  d.) P</t>
  </si>
  <si>
    <t>Purchase of Computers for CY 2020</t>
  </si>
  <si>
    <t>Contract ID No. 19CSK00054 – Consulting Services for the Conduct of Soil Testing/Exploration for Bridge Projects - Geotechnical Investigation - Construction of Concrete Bridge, Magsaysay-Butuan City C</t>
  </si>
  <si>
    <t>Purchase of Office Supplies for SEF Use</t>
  </si>
  <si>
    <t>PURCHASE OF ONE UNIT RESCUE/ MULTI-PURPOSE VEHICLE OF BRGY. CAMALANDA-AN, CAUAYAN. NEGROS OCCIDENTAL</t>
  </si>
  <si>
    <t>For Online Class</t>
  </si>
  <si>
    <t>R &amp; M of Buildings</t>
  </si>
  <si>
    <t>Procurement of Office Supplies for City of Naga, Cebu Division  office.</t>
  </si>
  <si>
    <t>Nabannagan Water System Level II at Nabannagan West, Lasam, Cagayan</t>
  </si>
  <si>
    <t>Construction of Fire Truck Shed (Second Bidding)</t>
  </si>
  <si>
    <t>IMPROVEMENT OF MULTI-PURPOSE ENHANCEMENT CENTER {Rehabilitation of Cultural/Historical Sites (1) Rehab./Imp. Of Cultural/Historical Sites}</t>
  </si>
  <si>
    <t>Labor services and materials for the pesticide residues extraction and analysis specifically diuron and 2,4-D</t>
  </si>
  <si>
    <t>Construction of Anaao MPH, Phase VI</t>
  </si>
  <si>
    <t>Construction of Child Development Center, Brgy. Bagahabag, SNV.</t>
  </si>
  <si>
    <t>Invitation to Bid - Supply and Delivery of One (1) Unit Desktop Computer (CENRO)</t>
  </si>
  <si>
    <t>Cluster 9 Construction of Multi – Purpose Building Centro Norte Alcala, Cagayan and Installation of Barangay Street Lights along Anquiray Amulung Cagayan</t>
  </si>
  <si>
    <t>COMPLETION OF BUCAROT FOOT BRIDGE</t>
  </si>
  <si>
    <t>Supply &amp; delivery of various poultry feeds</t>
  </si>
  <si>
    <t>20HB0172 Construction and Completion of 1-storey, 2 Classrooms, Jagna Central Elementary School, Jagna, Bohol</t>
  </si>
  <si>
    <t>Construction of School Multi -Purpose Building Cagumitan E/S, Cagumitan, Tuao, Cagayan</t>
  </si>
  <si>
    <t>CONTINUATION OF DEMO FARM BUILDING AND RESEARCH CENTER (POBLACION) P III</t>
  </si>
  <si>
    <t>URBAN GREENING AND REFORESTATION</t>
  </si>
  <si>
    <t>20G00107 - Construction of Permanent Evacuation Center/Multi-Purpose Covered Court (Standard)</t>
  </si>
  <si>
    <t>PURCHASE OF OTHER SUPPLIES -084</t>
  </si>
  <si>
    <t>Construction of Road Protection (Sea Wall) in Barangay Biong</t>
  </si>
  <si>
    <t>B20200276 - BALAI PIG IMMIMANAN, SITIO MESULONG, STO. NINO, TALAINGOD, DAVAO DEL NORTE</t>
  </si>
  <si>
    <t>Purchase of Drugs and Medicines to be used for the Local Council for the Protection of Children</t>
  </si>
  <si>
    <t xml:space="preserve">Construction of Cadaver Holding Area, Material Recovery Facility, Repair of Toilets, Windows Screen, Repair of Admin Building and General Electrical Rewiring Nuestra Señora de Piat District Hospital, </t>
  </si>
  <si>
    <t>CONCRETING OF ROAD RIGHT OF WAY</t>
  </si>
  <si>
    <t>Improvement/Renovation/Rehabilitation of Public Toilet, Dressing Room &amp; Repainting of Basketball Court @ ABL Sports Complex, Capitol Site, Kalibo, Aklan</t>
  </si>
  <si>
    <t>UPGRADING OF POBLACION-MADALAPANG FMR</t>
  </si>
  <si>
    <t>PRN 052-WORKTEXT 2020-LSB-GOODS-2020</t>
  </si>
  <si>
    <t>PROJ. 157- YDP 2020</t>
  </si>
  <si>
    <t>CONSTRUCTION OF MULTI-PURPOSE COVERED COURT (PHASE 1) AT BRGY. GASANG, MABINI, BATANGAS</t>
  </si>
  <si>
    <t>INVITATION TO BID FOR THE REPAIR &amp; MAINTENANCE OF 2 DRR RESCUE VEHICLE(PICK-UP &amp; SUV) WITH PR#2020-5%-07-060 FOR MDRRMO AND ABC OF P 1,000,000.00</t>
  </si>
  <si>
    <t>B20200275 - BALAI LUPOWANAN, SITIO NASILABAN, PALMA GIL TALAINGOD, DAVAO DEL NORTE</t>
  </si>
  <si>
    <t>Reblocking of Banga-Libacao Road (Banga &amp; Libacao Segment), Banga and Libacao, Aklan</t>
  </si>
  <si>
    <t>Invitation to Bid - Supply and Delivery of Three (3) Units Laptop for CDRRM Office</t>
  </si>
  <si>
    <t>IMPROVEMENT OF MULTI-PURPOSE COVERED COURT (PHASE II) AT BRGY. PULANG LUPA, MABINI, BATANGAS</t>
  </si>
  <si>
    <t>PROCUREMENT OF 26 UNITS OF MULTIFUNCTION INKTANK PRINTER AND 26 SETS OF INK 003 (4 PCS) USE IN PNHS-DILAWA, PIÑAN CENTRAL ELEMENTARY SCHOOL, AGRICULTURE OFFICE AND HUMAN RESOURCES MANAGEMENT OFFICE</t>
  </si>
  <si>
    <t>CY 2020 Quick Response Fund (QRF)- Repair and Rehabilitation of Classrooms damaged by Fire Incidents and Various Calamities and Construction of Slope Protection of School Building- Lot 10</t>
  </si>
  <si>
    <t>Improvement of Covered Court for School of Philippine Craftsmen, Poblacion, Malinao, Aklan</t>
  </si>
  <si>
    <t>LGU-COR. 2020-84</t>
  </si>
  <si>
    <t>AVRC : MEDICAL CLINIC EQUIPMENT AT AVRC III.</t>
  </si>
  <si>
    <t>20DG0044: Construction of Multi-purpose Building (Municipal Slaughter House), Brgy. Ibayo Silangan, Naic, Cavite; Project I.D No. 20DG0044</t>
  </si>
  <si>
    <t>Supply and Delivery of Remote Sensing Software License CY 2020 IB NO: BSWM-2020-07-010</t>
  </si>
  <si>
    <t>RENOVATION OF MARKET BUILDING</t>
  </si>
  <si>
    <t>Applicant Risk Profiler</t>
  </si>
  <si>
    <t>Procurement of Consulting Services  - PGO</t>
  </si>
  <si>
    <t>Construction of Southern Leyte COVID Testing Center, SOYMPH. Brgy. Dongon, Maasin City, Southern Leyte</t>
  </si>
  <si>
    <t>ROAD REHABILITATION FARM TO MARKET ROAD(FROM PROPER TO SITIO ILOG, SITIO TALANGBAN &amp;  SITIO ALAGASIHAN</t>
  </si>
  <si>
    <t>Construction / Concreting of Bridge, Sapang Anoling, Brgy. Anoling, General Nakar, Quezon</t>
  </si>
  <si>
    <t>B-045-2020 UPGRADING THE OFFICE EQUIPMENT AND FACILITIES AND ACCESSORIES OF THE CFFS</t>
  </si>
  <si>
    <t>B-044-2020 PROCUREMENT OF 1 LOT VARIOUS MEDICAL and DENTAL SUPPLIES</t>
  </si>
  <si>
    <t>CONSTRUCTION OF MULTI-PURPOSE COVERED COURT STAGE AT BRGY. SOLO, MABINI, BATANGAS</t>
  </si>
  <si>
    <t>CONSTRUCTION OF ROAD AT SO. CAALAN, BRGY. MASAGANA</t>
  </si>
  <si>
    <t>PROCUREMENT OF MINI DUMPTRUCK</t>
  </si>
  <si>
    <t>Construction of Evacuation Center, Poblacion West, Lamut, Ifugao</t>
  </si>
  <si>
    <t>PRN 024-ELECTRICAL ITEMS-R/M-CESO-GOODS-2020</t>
  </si>
  <si>
    <t>CONSTRUCTION OF MULTI-PURPOSE BLDG. PHASE 1</t>
  </si>
  <si>
    <t>B-043-2020 CONTINUOUS SUBSCRIPTION TO E-JOURNAL &amp; E-BOOKS AND SUBSCRIPTION OF E-LEARNING RESOURCES</t>
  </si>
  <si>
    <t>NCB Publication No. 2020- 27 (First Publication)- Package 2020-11 - PB (1. Alupapan, Pugol (along Brawner lot) Road Improvement 2. Sition Alupapan Road Concreting, Pugol)</t>
  </si>
  <si>
    <t>Procurement of Mini Dump Truck</t>
  </si>
  <si>
    <t>INSTALLATION OF WINDOW GLASS OF MULTI-PURPOSE HALL</t>
  </si>
  <si>
    <t>Supply and Delivery of Materials for the Repair of Road Grader Gallion 830</t>
  </si>
  <si>
    <t>Contract ID No. 20K00270 - Construction of Multi-Purpose Building (Public Market) Butig, Lanao del Sur (re-ITB)</t>
  </si>
  <si>
    <t>LABOR AND MATERIALS FOR THE CONCRETING OF MUNICIPAL ROADS/STREETS AT POBLACION,BADIAN,CEBU</t>
  </si>
  <si>
    <t>Procurement of Medicines</t>
  </si>
  <si>
    <t>Purchase of Office Supplies for various offices</t>
  </si>
  <si>
    <t>Construction of Pigpen, Barangay Buenavista, Bontoc, Southern Leyte</t>
  </si>
  <si>
    <t>PROCUREMENT OF DRUGS AND MEDICINES, City HEALTH OFFICE</t>
  </si>
  <si>
    <t>Replacement/Upgrading of Public Address System of PGO Conference Room, Governor’s Office, Provincial Capitol, Kalibo, Aklan ITB no: 2020-304</t>
  </si>
  <si>
    <t>CID NO. 20IF0109 (READV) - CONCRETING F FARM TO MILL ROAD (FMR), PUROK 4 BRGY. JUATON TO SITION GUIN-OWANAN, BRGY. DOLORES ROAD, ORMOC CITY, LEYTE</t>
  </si>
  <si>
    <t>INVITATION TO BID FOR THE PROCUREMENT AND UPGRADING  OF ICT EQUIPMENT OF LSPU</t>
  </si>
  <si>
    <t>Purchase of Laboratory Supplies for use at the Laoag City General Hospital – Dialysis Unit.</t>
  </si>
  <si>
    <t>PROCUREMENT OF DIESEL ENGINE FOR MINI DUMP TRUCK</t>
  </si>
  <si>
    <t>Purchased of Movable tent</t>
  </si>
  <si>
    <t>Sporting Goods for PSB-2019-0167</t>
  </si>
  <si>
    <t>Contract ID No. 20K00354 - Construction/Rehabilitation of Water Supply/Septage and Sewerage/ Rain Water Collectors in Region X 1.	Const. of Rainwater Collection System(RWCS),Balongkot ES, Brgy. Dansol</t>
  </si>
  <si>
    <t>Procurement of Laboratory Supplies and Equipment for TLDC Project 2</t>
  </si>
  <si>
    <t>PROCUREMENT OF SUPPLIES FOR ROUTINE LABORATORY AND PRENATAL SERVICES</t>
  </si>
  <si>
    <t>20H00081 - Proposed Improvement of Storage Room for National Road Traffic Survey Program (NRTSP) instruments under the Engineering Survey and Investigation Section, Repair of Plan Storage and Addition</t>
  </si>
  <si>
    <t>PROCUREMENT OF SUPPLIES, DRUGS AND MEDICINES</t>
  </si>
  <si>
    <t>Request for Quotation MHO</t>
  </si>
  <si>
    <t>ITB, River wall Pob Sur</t>
  </si>
  <si>
    <t>Laboratory Equipment for Advance Technology Training Center for Robotics and Automation, DMMMSU-MLUC, City of San Fernando, La Union</t>
  </si>
  <si>
    <t>Invitation to Bid - Supply and Delivery of Six (6) sets Venetian Blinds for City Accounting Office</t>
  </si>
  <si>
    <t>PROCUREMENT OF 3 UNITS OF PHOTOCOPIER AND 5 CARTRIDGE TONER/TENEUR USE IN PIÑAN NATIONAL HIGH SCHOOL AND PIÑAN CENTRAL ELEMENTARY SCHOOL (PRINTING OF SCHOOL PAPERS AND MODULES)</t>
  </si>
  <si>
    <t>SUPPLY AND DELIVERY OF THREE (3) LOTS VARIOUS OFFICE SUPPLIES FOR CF-BACOLOD (LOT-2)</t>
  </si>
  <si>
    <t>REPAIR/REHABILITATION OF TIMBER BRIDGE @ PUROK STA. CRUZ,SAN PABLO 1 &amp; SAN PABLO 2 (PACKAGE 01-2020)</t>
  </si>
  <si>
    <t>20HD0097 - Repair and Maintenance of Road Safety Facilities along Cebu North Hagnaya Wharf Road, Sogod-Tabuelan Road, Antonio Y de Pio H-way, Bogo-Curva-Medellin-Daanbantayan-Maya Road and Toledo-Tabu</t>
  </si>
  <si>
    <t>SUPPLY AND DELIVERY OF THREE (3) LOTS VARIOUS OFFICE SUPPLIES FOR CF-BACOLOD (lLOT-1)</t>
  </si>
  <si>
    <t>INVITATION TO BID FOR THE SUPPLY &amp; DELIVERY OF VARIOUS AGRI.SUPPLIES WITH PR#2020-20%-07-021 FOR MAO AND ABC OF P 124,500.00</t>
  </si>
  <si>
    <t>IMPROVEMENT OF BARANGAY HALL</t>
  </si>
  <si>
    <t>Repair and Improvement of Brgy. Annex, San Juan, Cainta, Rizal</t>
  </si>
  <si>
    <t>Supply and Delivery of 200 Sacks Clean Rice, Tapaz, Capiz.</t>
  </si>
  <si>
    <t>Road Concreting at Cansaga-Latasan, Consolacion, Cebu</t>
  </si>
  <si>
    <t>Concreting of Pathway at Purok 1 with river control</t>
  </si>
  <si>
    <t>Completion of Multi-Purpose Building at Tolotolo, Consolacion, Cebu</t>
  </si>
  <si>
    <t>S1-CUY20-002 - Supply and Delivery of Mechanical Spare Parts for 500 kW MAN CXZ Diesel Engine (Model No. 6L 20/27) of Cuyo Diesel Power Plant</t>
  </si>
  <si>
    <t>Invitation to Bid - Supply and Delivery of IT Equipment (CMO/EDP)</t>
  </si>
  <si>
    <t>Supply and Delivery of Office Equipment (District 1 &amp; 2</t>
  </si>
  <si>
    <t>Invitation to Bid for the Construction of Multi-Purpose Building, @ Brgy. Alinaay (Proper), Cabugao, Ilocos Sur</t>
  </si>
  <si>
    <t>One (1) Lot Replacement of Twelve (12) sets Roll-Up Doors at the Cash Loading Bay, Bldg. D, BSP-SPC, as per BSP Scope of Works and Specifications and Plan/Drawing</t>
  </si>
  <si>
    <t>Supply and Delivery of Laboratory Equipment - B, DMMMSU-SRDI, Sapilang, Bacnotan, La Union (Rebid)</t>
  </si>
  <si>
    <t>Supply and Delivery of 150 bags Bentonite</t>
  </si>
  <si>
    <t>SUPPLY &amp; DELIVERY OF VARIOUS FOOD SUPPLEMENT FOR RHU WITH PR#2020-GF-06-353 AND ABC OF P 74,500.00</t>
  </si>
  <si>
    <t>PROCUREMENT OF various post harvest machineries</t>
  </si>
  <si>
    <t>Construction of Multu-Purpose Building Phase III</t>
  </si>
  <si>
    <t>Concreting of Municipal Road  (65 ln.m.) @ P. Garcia St., Pob. South</t>
  </si>
  <si>
    <t>PROCUREMENT AND DELIVERY OF BRAND NEW SPEED BOAT</t>
  </si>
  <si>
    <t>SUPPLY &amp; DELIVERY OF PHOTOCOPIER TO BE DISTRIBUTED IN VARIOUS SCHOOLS IN MUNTINLUPA CITY</t>
  </si>
  <si>
    <t>Hiring of Consultancy Services (Individual Consultants)</t>
  </si>
  <si>
    <t>Procurement of DRR Rescue Vehicle (5 Units Motorcycle)-Rebid</t>
  </si>
  <si>
    <t>RFQ No. 2007-333 Proc. of Goods (Shredder Machine)(Repost)</t>
  </si>
  <si>
    <t>CONCRETING OF LUNA EXT. – MANGA DRIVE, PUROK CARABAO located at ZONE III, DIGOS CITY, DAVAO DEL SUR</t>
  </si>
  <si>
    <t>SUPPLY AND DELIVERY OF THREE (3) LOTS VARIOUS OFFICE SUPPLIES FOR CF-BACOLOD (LOT 3)</t>
  </si>
  <si>
    <t>Bid No. 20-0365 - PROCUREMENT OF MOTORCYCLE - MAGRO/MCDC OPERATIONS</t>
  </si>
  <si>
    <t>20CSDI03 - CONSULTANCY SERVICES FOR THE CONDUCT OF SUB-SURFACE SOIL EXPLORATION AND GEOTECHNICAL INVESTIGATION (BORING) FOR THE CONSTRUCTION/ MAINTENANCE OF FLOOD MITIGATION STRUCTURES &amp; DRAINAGE SYST</t>
  </si>
  <si>
    <t>Procurement of Sanitation Supplies for Water Disinfection</t>
  </si>
  <si>
    <t>20 – 0029 – S - Repair/Maintenance of Roads along MSR, Jct. Lopez-Catanauan Road, K0217+(-)890 - K0236+128 (Intermittent Section) (3rd Quarter)</t>
  </si>
  <si>
    <t>HO-FFW20-004 - Supply and Delivery of Various FFWSD Spare Parts and its Accessories</t>
  </si>
  <si>
    <t>RFQ No. 2007-351 Proc. of Goods (Submersible Motor and Submersible Pump)(Repost)</t>
  </si>
  <si>
    <t>Supply and Delivery of Materials for the Livelihood Development Program - Constructed Facilities for VCO Making</t>
  </si>
  <si>
    <t>Construction of Water System, Sitio Buga, Brgy. Danao, Janiuay, Iloilo</t>
  </si>
  <si>
    <t>Purchase of Materials for the Rehabilitation of Lower Cantaw-ang Stage &amp; Conc. Pavement</t>
  </si>
  <si>
    <t>Supply and Delivery of Hospital Equipment for Official Use of Laboratory Unit at GALIC</t>
  </si>
  <si>
    <t>20CSDI02 - CONSULTANCY SERVICES FOR THE CONDUCT OF SUB-SURFACE SOIL EXPLORATION AND GEOTECHNICAL INVESTIGATION (BORING) FOR THE CONSTRUCTION/ MAINTENANCE OF FLOOD MITIGATION STRUCTURES &amp; DRAINAGE SYST</t>
  </si>
  <si>
    <t>S1-NDP20-009 - Supply and Delivery of Spare Parts for 105 kW FG Wilson Genset Model P165-5 of Naro DPP</t>
  </si>
  <si>
    <t>Local Infrastructure Program; Building and other Structures; Multi-Purpose/ Facilities; Rehabilitation/ Improvement of Multi-Purpose Buildings (Barangay Hall and Bonifacio Romero High School stage) Pu</t>
  </si>
  <si>
    <t>Purchase of Reinforced Concrete Culvert Pipes (RCCP) for Various Barangays in the Province of Zamboanga del Sur</t>
  </si>
  <si>
    <t>CONSTRUCTION OF BALLAYANGON COMMUNAL IRRIGATION SYSTEM (PUDAYAN-BOTOL), ABABA-AN</t>
  </si>
  <si>
    <t>CONCRETING OF TIMAMANA-SAN ISIDRO-GUINOB-AN-MARAYAG ROAD</t>
  </si>
  <si>
    <t>Supply and Delivery of Hardware &amp; Construction Materials</t>
  </si>
  <si>
    <t>PROJ. 261 - YDP 2020</t>
  </si>
  <si>
    <t>SUPPLY AND DELIVERY OF FOUR (4) UNITS BRANDNEW MOTOR VEHICLE</t>
  </si>
  <si>
    <t>Repair and Improvement of Lupon Office Barangay San Juan, Cainta, Rizal</t>
  </si>
  <si>
    <t>SUBM#2020 -08 - 02 - To purchase materials for use in the Repair of Roadside Drainage Structures along National Roads   within the Negros Occidental 2nd District Engineering Office, Binalbagan, Negros</t>
  </si>
  <si>
    <t>Construction of Rural Health Unit- Phase II at Capas Plazuela, Brgy. Sto. Rosario, Capas, Tarlac</t>
  </si>
  <si>
    <t>3000 WATTS ON-GRID SOLAR PANEL, BRGY. BUNTAY, DULAG LEYTE</t>
  </si>
  <si>
    <t>CONSTRUCTION OF DAYCARE CENTER</t>
  </si>
  <si>
    <t>SUPPLY &amp; DELIVERY OF  VARIOUS MATERIALS FOR CONSOLIDATED PROJECT AT DIST. 1 &amp; 2, MUNTINLUPA CITY (*RE-POSTED)</t>
  </si>
  <si>
    <t>20 – 0033 – S - Procurement of Spare Parts for use of  Dump Truck with DPWH no. H3-6632 detailed in the Maintenance Section, DPWH-Quezon IV District Engineering Office, Gumaca Quezon.</t>
  </si>
  <si>
    <t>PURCHASE OF RAPID ELECTRIC VEHICLE CHARGER (FOR  E-TRIKE)</t>
  </si>
  <si>
    <t>Construction of Nagsabaran Sur Farm Slope Protection</t>
  </si>
  <si>
    <t>20 – 0032– S - Procurement of Office Supplies for use in this District, DPWH, Quezon IV District Engineering Office, Gumaca, Quezon      (3rd Quarter)</t>
  </si>
  <si>
    <t>SUPPLY &amp; DELIVERY OF ICT EQUIPMENT FOR THE IMPLEMENTATION OF LEARNING CONTINUITY PLAN (LCP) ON DISTANCE LEARNING DELIVERY</t>
  </si>
  <si>
    <t>Concreting of Pathway at Purok 5</t>
  </si>
  <si>
    <t>Provision of Higher Education Services (Purchase of Various Equipment)</t>
  </si>
  <si>
    <t>PROCUREMENT OF NJMPTI FURNITURE &amp; FIXTURE FY2020</t>
  </si>
  <si>
    <t>Repair/Rehab of Cansaga Bay Park (Bridge Under) located at Tayud, Consolacion, Cebu</t>
  </si>
  <si>
    <t>20 – 0034 – S - Procurement of Spare Parts for use of Mitsubishi L-200 SFG-504 detailed in the Maintenance Section, DPWH-Quezon IV District Engineering Office, Gumaca Quezon.</t>
  </si>
  <si>
    <t>Supply and Delivery of Laboratory Equipment - A, DMMMSU-SRDI, Sapilang, Bacnotan, La Union (Rebid)</t>
  </si>
  <si>
    <t>Procurement of Fishcage Materials and Supplies</t>
  </si>
  <si>
    <t>Construction of Disaster Operation Center at Bgy. Danleg, Dumaran, Palawan</t>
  </si>
  <si>
    <t>Construction of Barangay Health Station, Calacja I, Hamtic, Antique</t>
  </si>
  <si>
    <t>INVITATION TO BID FOR THE SUPPLY &amp; DELIVERY OF VARIOUS AGRICULTURAL SUPPLIES FOR MAO WITH PR#2020-GF-07-421 AND ABC OF P 101,825.00</t>
  </si>
  <si>
    <t>20 – 0030 – S - Repair/Maintenance of Roads along Daang Maharlika, Pagbilao-Atimonan-Plaridel Section, K0135+(-)732 - K0187+000 (Intermittent Section) (3rd Quarter)</t>
  </si>
  <si>
    <t>Improvement of Sector 07 Bungol Farm to Market Road</t>
  </si>
  <si>
    <t>Improvement of Sinapangan Norte Farmers Multi-purpose Building</t>
  </si>
  <si>
    <t>20 – 0037 – S - Procurement of Tarpaulin, Personal Protective Equipment, Office Supplies and Printer Supplies for use in the Gender and Developemnt (GAD) Integration Framework in Road Infrastructure S</t>
  </si>
  <si>
    <t>Upgrading of Multipurpose Building</t>
  </si>
  <si>
    <t>20 – 0036 – S - Procurement of Office Supplies and Printer Supplies for use in the Multi-Year Planning and Scheduling (MYPS), DPWH, Quezon IV District Engineering Office, Gumaca, Quezon</t>
  </si>
  <si>
    <t>Rehabilitation of Evacuation Center</t>
  </si>
  <si>
    <t>Supply and delivery of Food to be served during PESO Laguna Chapter Monthly Meeting</t>
  </si>
  <si>
    <t>Improvement of Sector one (1) Pantar Norte Farm to Market Road</t>
  </si>
  <si>
    <t>20 – 0031 – S - Repair/Maintenance of Road along  Daang Maharlika, Gumaca-Lopez-Calauag Section, K0187+000 - K0246+724 (Intermittent Section) (3rd Quarter)</t>
  </si>
  <si>
    <t>SUBM#2020 -08 - 03 - To purchase Equipment and Personal Protective Equipment for use in the repair and maintenance of National Roads  within the Negros Occidental 2nd District Engineering Office, Bina</t>
  </si>
  <si>
    <t>Supply and delivery of IT Peripherals and Accessories to be used in the Office of the Municipal Budget Officer</t>
  </si>
  <si>
    <t>20CSDI04 - CONSULTANCY SERVICES FOR THE CONDUCT OF SUB-SURFACE SOIL EXPLORATION AND GEOTECHNICAL INVESTIGATION (BORING) FOR THE CONSTRUCTION/ MAINTENANCE OF FLOOD MITIGATION STRUCTURES &amp; DRAINAGE SYST</t>
  </si>
  <si>
    <t>20KL0142 - CONSTRUCTION OF MULTI-PURPOSE BUILDING-BARANGAY HALL BRGY. PATAG, MANTICAO, MISAMIS ORIENTAL</t>
  </si>
  <si>
    <t>CONSTRUCTION OF STP AT MUNTINLUPA CITY HALL, NATIONAL ROAD BRGY. PUTATAN, MUNTINLUPA CITY</t>
  </si>
  <si>
    <t>IMPROVEMENT OF BARANGAY ROADS</t>
  </si>
  <si>
    <t>CONSTRUCTION OF 4-STOREY LAKEVIEW SENIOR HIGH SCHOOL (PHASE 2 &amp; 3) AT LAKEVIEW, BRGY. PUTATAN, MUNTINLUPA CITY</t>
  </si>
  <si>
    <t>PROCUREMENT OF VACCINE</t>
  </si>
  <si>
    <t>Construction of Storage Building and Parking Area- LDRMMO (Phase II) at Municipal Compound, Capas, Tarlac</t>
  </si>
  <si>
    <t>BINMALEY RESETTLEMENT PROECT PHASE II</t>
  </si>
  <si>
    <t>Procurement of DRR Rescue Equipment for Emergency Response</t>
  </si>
  <si>
    <t>Improvement of Purok 4, 6 &amp; 7 Bet-ang Farm to Market Road</t>
  </si>
  <si>
    <t>CONSTRUCTION OF DONGAWON-UMBALI COMMUNAL IRRIGATION SYSTEM, MABACA,</t>
  </si>
  <si>
    <t>Contract Labor and Materials for the Construction of Multi-Purpose Building (Bleacher) of BLGU Bagong Silang, Laak, Davao De Oro</t>
  </si>
  <si>
    <t>CONSTRUCTION/REHAB./IMPROVEMENT OF VARIOUS INFRA PROJECTS (CLUSTER 6)</t>
  </si>
  <si>
    <t>Construction of Model Child Development Center with Facilities, Poblacion, Calanasan, APayao</t>
  </si>
  <si>
    <t>Improvement of 2, 4 &amp; 5 Antonino Canals</t>
  </si>
  <si>
    <t>CONSTRUCTION OF SUMEGCOL MATERIAL RECOVERY FACILITY</t>
  </si>
  <si>
    <t>SUPPLY AND DELIVERY OF MEDICINES FOR COVID-19 RESPONSE</t>
  </si>
  <si>
    <t>CONSTRUCTION/REHAB./IMPROVEMENT OF VARIOUS INFRA PROJECTS (CLUSTER 7)</t>
  </si>
  <si>
    <t>Purchase of Diesel Fuel for the Rehabilitation of Various Roads in the Province of Zamboanga del Sur.</t>
  </si>
  <si>
    <t>Improvement of Camilo Osias Canals</t>
  </si>
  <si>
    <t>Construction of Butubut Norte Farm Slope Protection</t>
  </si>
  <si>
    <t>Municipal and/or Barangay Roads and Bridges</t>
  </si>
  <si>
    <t>CONCRETING OF TACTAC-ATBU ROAD</t>
  </si>
  <si>
    <t>Machinery and Equipment Outlay</t>
  </si>
  <si>
    <t>SUBM#2020 -08 - 04 - To purchase materials for use in crack and joint sealing of concrete pavement along National Roads within the Negros Occidental 2nd District Engineering Office, Binalbagan, Negros</t>
  </si>
  <si>
    <t>SUPPLY AND DELIVERY OF COCONUT SEEDLINGS</t>
  </si>
  <si>
    <t>Agricultural Equipment for OPA-2019-1645</t>
  </si>
  <si>
    <t>Rehabilitation of Barangay Plaza</t>
  </si>
  <si>
    <t>Supply &amp; Delivery of Electrical Supplies &amp; Materials for GSO</t>
  </si>
  <si>
    <t>Procurement of Catering Services for Feeding Program 2020</t>
  </si>
  <si>
    <t>PUBLIC BIDDING FOR THE SUPPLY AND DELIVERY OF VARIOUS MEDICAL EQUIPMENTS FOR THE EQUIPPING OF SELECTED HEALTH FACILITIES OF MIMAROPA UNDER BAYANIHAN TO HEAL AS ONE ACT OR RA 11469 (LINE ITEMS)</t>
  </si>
  <si>
    <t>PR-2020-03-071 Upgrading of Internet Infrastructure</t>
  </si>
  <si>
    <t>PURCHASE OF FOLIAR FERTILIZER</t>
  </si>
  <si>
    <t>Procurement and Installation of Barangay Information System Automated Data Base &amp; Data Link</t>
  </si>
  <si>
    <t>Procurement of Four (4) Units Ten (10) Wheeler Dump Trucks for the Rehabilitation and Maintenance of Various Roads within the Province of Zamboanga del Sur</t>
  </si>
  <si>
    <t>Container 20 Liters Capacity &amp; 5 Others</t>
  </si>
  <si>
    <t>Procurement of One (1) set 3hp Submersible Pump with Control Box and Complete Accessories for the Rehabilitation of Potable Water System og BLGU Bagong Silang, Laak, Davao De Oro</t>
  </si>
  <si>
    <t>OPENING OF BUTOD TO COMO FARM TO MARKET ROAD, BUAYA-MABACA, BALBALAN,</t>
  </si>
  <si>
    <t>INSTALLATION OF FOURTEEN (14) UNITS STREETLIGHT, BRGY. SAN AGUSTIN, DULAG LEYTE</t>
  </si>
  <si>
    <t>Improvement of Kabayan Hall</t>
  </si>
  <si>
    <t>Construction of Calliat Farmers Civic Center</t>
  </si>
  <si>
    <t>AMAD-20-3020: Procurement of Printed Retractable Tent</t>
  </si>
  <si>
    <t>Community Service Aftercare and Reintegration Bayanihan (Purchase of Rice and Grocery Subsidy), Santa Fe, Cebu-Municipal</t>
  </si>
  <si>
    <t>Purchase of Electrical Steel Pole for On- Grid Electrification (Aid to Barangay) Program of the Provincial Government of Zamboanga del Sur</t>
  </si>
  <si>
    <t>20NE0097 - Construction of Multipurpose Building, Brgy. Magsaysay, Loreto, Dinagat Islands</t>
  </si>
  <si>
    <t>PURCHASE OF MEDICAL SUPPLIES-085</t>
  </si>
  <si>
    <t>Expansion of Water System Level II-Phase II in Brgy. Batong Dalig</t>
  </si>
  <si>
    <t>Invitation to Bid for the Construction of Post Harvest Facility @ Brgy. Pug-os (Proper), Cabugao, Ilocos Sur</t>
  </si>
  <si>
    <t>Procurement and Installation of ODIC data banking and linkage system</t>
  </si>
  <si>
    <t>INVITATION TO BID FOR PURCHASE OF SUPPLIES AND MATERIALS FOR THE IN-HOUSE REPRODUCTION OF LOCALLY DEVELOPED SELF-LEARNING MODULES</t>
  </si>
  <si>
    <t>Construction of Drainage System</t>
  </si>
  <si>
    <t>CONCRETING OF PILI-KARIHATAG ROAD STA.0+000 - STA. 0+883.25</t>
  </si>
  <si>
    <t>PURCHASE OF MATERIALS FOR THE IMPROVEMENT OF MULTI-PURPOSE EVACUATION CENTER</t>
  </si>
  <si>
    <t>Concreting of Core Local Access Road Cabulisan-De Los Santos</t>
  </si>
  <si>
    <t>PROCUREMENT OF PERSONAL PROTECTIVE EQUIPMENT (PPE)</t>
  </si>
  <si>
    <t>Invitation to Bid for the Improvement of Farm to Market Road @ Brgy. Rizal (Savellano St.), Cabugao, Ilocos Sur</t>
  </si>
  <si>
    <t>CONCRETING, BRGY. SAN AGUSTIN, DULAG LEYTE</t>
  </si>
  <si>
    <t>SUPPLY AND DELIVERY OF HARDWARE MATERIALS FOR THE CONSTRUCTION OF BLEACHER FOR EVACUATION CENTER</t>
  </si>
  <si>
    <t>Opening of Road at Poblacion-Tinago (Diversion Road)</t>
  </si>
  <si>
    <t>G-2020-23: PROCUREMENT OF MANAGED DETECTION RESPONSE PLUS REMEDIATION SERVICE FOR THE DEVELOPMENT BANK OF THE PHILIPPINES</t>
  </si>
  <si>
    <t>Supply and Delivery of Risograph  and Consumables for Reproduction of Learning Materials for FY 2020-2021 of Department of Education-Tanay,Rizal</t>
  </si>
  <si>
    <t>Invitation to Bid for the Improvement of Farm to Market Road @ Brgy. Quezon (Siruno St.), Cabugao, Ilocos Sur</t>
  </si>
  <si>
    <t>PR-2020-03-060 Supply &amp; Delivery of Reference Books for the Library</t>
  </si>
  <si>
    <t>Invitation to Bid for the Improvement of Farm to Market Road @ Brgy. Rizal (Sison St), Cabugao, Ilocos Sur</t>
  </si>
  <si>
    <t>Supply &amp; Delivery of Limestone &amp; Grader Rental intended for the Rehab./Maintenance of Brgy. Roads</t>
  </si>
  <si>
    <t>CLUSTER 27: IMPROVEMENT OF OLD PUBLIC MARKET PHASE III</t>
  </si>
  <si>
    <t>Construction of Multi-Purpose Hall at Barangay Porac, Botolan, Zambales</t>
  </si>
  <si>
    <t>Invitation to Bid for the Improvement of Farm to Market Road @ Brgy. Rizal (Singson St), Cabugao, Ilocos Sur</t>
  </si>
  <si>
    <t>REHABILITATION OF LINE CANAL ALONG BURGOS ST, MARZAN ST, MORIONES ST &amp; BONIFACIO ST CENTRO 02, SANCHEZ MIRA, CAGAYAN</t>
  </si>
  <si>
    <t>Supply &amp; Delivery of Office Equipment for Cashier's Office</t>
  </si>
  <si>
    <t>Invitation to Bid for the Improvement of Farm to Market Road @ Brgy. Catucdaan (Proper), Cabugao, Ilocos Sur</t>
  </si>
  <si>
    <t>SUPPLY &amp; DELIVERY OF PLANTING MATERIALS</t>
  </si>
  <si>
    <t>Procurement of Office Supplies for use of the City Government of Tarlac B2020-098-A</t>
  </si>
  <si>
    <t>Procurement of Catering Services (Buffet Meals) for Various Meetings and Conferences of the Province of Zamboanga del Sur</t>
  </si>
  <si>
    <t>PCDP : FOOD STUFF FOR DEPORTEES</t>
  </si>
  <si>
    <t>Proposed Construction of Flood Control Dike Located at Purok 2 &amp; 3, Brgy. Mamuyao, Tanay,Rizal</t>
  </si>
  <si>
    <t>Invitation to Bid for the Improvement of Farm to Market Road @ Brgy. Bonifacio-Turod Patac Road @ Cabugao, Ilocos Sur</t>
  </si>
  <si>
    <t>Procurement of Two (2) units Rock Crusher (Surplus) for the Rehabilitation and Maintenance of Various Roads within the Province of Zamboanga del Sur</t>
  </si>
  <si>
    <t>Supply &amp; Delivery of Office Supplies &amp; Equipment for FMO</t>
  </si>
  <si>
    <t>Improvement of Pantar Norte Canals</t>
  </si>
  <si>
    <t>Improvement/ Roofing and Restoration of Various Infra Projects (Cluster 5)</t>
  </si>
  <si>
    <t>Invitation to Bid for the Improvement of Farm to Market Road @ Brgy.Quezon (Tandang Sora St.), Cabugao, Ilocos Sur</t>
  </si>
  <si>
    <t>SECURITY SURVEILLANCE AND DETECTION EQUIPMENT</t>
  </si>
  <si>
    <t>Purchase of Medicines- RHU I, LGU, San Fabian, Pangasinan</t>
  </si>
  <si>
    <t>Bidding of Supply and delivery of Food and Non-Food Items for Replenishment of family food packs for the Disaster Response and Management Division (DRMD) Stockpile</t>
  </si>
  <si>
    <t>CONSTRUCTION OF OPEN CANAL</t>
  </si>
  <si>
    <t>20CG0254 - Concreting of Purok 5, Brgy. San Isidro to Brgy. Lacmit FMR, Brgy. San Isidro and Brgy. Lacmit, Sta. Ana, Pampanga</t>
  </si>
  <si>
    <t>PURCHASE OF REFLECTORIZE PAINT FOR STREET SIGNAGES, BARANGAY POBLACION, BURDEOS, QUEZON</t>
  </si>
  <si>
    <t>20CG0256 - Concreting of Brgy. Baliti to Brgy. Telebastagan Road FMR, Brgy. Baliti and Brgy. Telebastagn, San Fernando, Pampanga</t>
  </si>
  <si>
    <t>CONCRETING OF ROAD AT RELOCATION, PUROK SUNRISE,  BARANGAY BATUAN, LA CARLOTA CITY</t>
  </si>
  <si>
    <t>Construction of Camp Col Rodriguez 8-Bullet Firing Range</t>
  </si>
  <si>
    <t>20CG0255 - Concreting of Sitio 2 to Sitio 3, Brgy. Vizal San Pablo FMR, Brgy. Vizal San Pablo, Candaba, Pampanga</t>
  </si>
  <si>
    <t>SUPPLY AND DELIVERY OF CONSTRUCTION MATERIALS FOR THE REPAIR AND MAINTENANCE OF SK OFFICE</t>
  </si>
  <si>
    <t>Invitation to Bid for the Supply, Delivery, Installation, Testing and Commissioning of the Electro-mechanical Equipment for the New Pumping Station No. 11 at Brgy. Sinawilan, Digos City</t>
  </si>
  <si>
    <t>20CG0253 - Concreting of Brgy. Paralaya FMR Brgy. Paralaya, Candaba, Pampanga</t>
  </si>
  <si>
    <t>07-004-20 Supply and Delivery of Free Range Chicken (DA IX LIVESTOCK Program)</t>
  </si>
  <si>
    <t>20CG0252 - Local Infrastructure Program: Buildings and Other Structures – Multipurpose/ Facilities – Construction and/or Repair/ Rehabilitation of Multi-Purpose Building, San Fernando City, Pampanga</t>
  </si>
  <si>
    <t>Construction of Makilala Institute of Science and Technology (MIST) Indigenous People Dormitory Located at Brgy. Concepcion, Makilala, Cotabato</t>
  </si>
  <si>
    <t>Purchase and Delivery of 1 Unit Speed Boat</t>
  </si>
  <si>
    <t>EQUIPMENT RENTAL FOR THE OPENING OF FARM TO MARKET ROAD OF PUROK BASAK, SITIO MABINI, DEL MONTE, TADS</t>
  </si>
  <si>
    <t>Supply, Delivery and Installation of Various Spare Parts of Aircondition and Delivery of Various Circuit Breaker of the University Use c/o FMSS</t>
  </si>
  <si>
    <t>Proposed Road Concreting to Old Covered Court</t>
  </si>
  <si>
    <t>Equipment,Medical Equipment&amp; Supplies and Office Equipment &amp; Supplies for the Implementation of School Feeding Program-Milk Feeding Program</t>
  </si>
  <si>
    <t>REHABILITATION OF TENNIS COURT, LOCSIN-LEDESMA ST.,  LA CARLOTA CITY</t>
  </si>
  <si>
    <t>20CG0250 - Construction/ Repair/ Rehabilitation/ Improvement of Various Infrastructures including Local Projects: Buildings and Other Structures – Multi-Purpose/ Facilities – Construction of Multi-Pur</t>
  </si>
  <si>
    <t>Rehab of Local Access Road, Magaogao - Collog, Junction - Pinococ, Pinukpuk</t>
  </si>
  <si>
    <t>Supply and Installation of Closed-Circuit Television</t>
  </si>
  <si>
    <t>PROPOSED REPAIR/IMPROVEMENT OF MAYOR’S OFFICE (STRAIGHT CONTRACT LABOR &amp; MATERIALS)</t>
  </si>
  <si>
    <t>Barangay 560 BDF "CLEAN &amp; BEAUTIFICATION" 2020</t>
  </si>
  <si>
    <t>Purchase of Ambulance</t>
  </si>
  <si>
    <t>Supply and Delivery of Automated DNA/RNA Extraction System to be used at the Green City Medical Center Molecular Laboratory for COVID-19 Response in the City of San Fernando, Pampanga</t>
  </si>
  <si>
    <t>20CG0251 - Local Infrastructure Program: Buildings and Other Structures – Multipurpose/ Facilities – Construction of Multi-Purpose Building (motorpool), San Fernando, Pampanga</t>
  </si>
  <si>
    <t>SUPPLY, HANDLING, TRANSPORT AND DELIVERY OF 298, 257 COCONUT SEEDLINGS</t>
  </si>
  <si>
    <t>Enrollment Form, Exam Permit, Validation Stickers &amp; I.D Card</t>
  </si>
  <si>
    <t>Construction of Covered Walk</t>
  </si>
  <si>
    <t>CONCRETING OF ROAD AT BARANGAY NAGASI, LA CARLOTA CITY</t>
  </si>
  <si>
    <t>Repair &amp; Maint. of Various School Buildings</t>
  </si>
  <si>
    <t>Purchase of Rescue equipment and general merchandise</t>
  </si>
  <si>
    <t>CONCRETING OF ROAD AT BARANGAY AYUNGON, LA CARLOTA CITY</t>
  </si>
  <si>
    <t>20CG0258 - Construction of Two (2) Storey, Ten (10) Classroom School Building at San Simon Elementary School, San Simon, Pampanga</t>
  </si>
  <si>
    <t>Rehabilitation of Storage Room/Disaster Office</t>
  </si>
  <si>
    <t>Invitation to Bid for the Procurement of uPVC Pipes and Fittings, C.I, Fittings and Construction Materials for the Maintenance of Pipelines.</t>
  </si>
  <si>
    <t>CONCRETING OF ROAD AT RELOCATION SITE (BESIDE WATER DISTRICT PUMP HOUSE), BARANGAY BATUAN, LA CARLOTA CITY</t>
  </si>
  <si>
    <t>Supply and Delivery of Various IT Accessories for the Educating Science Teachers for All (ESTA) Project</t>
  </si>
  <si>
    <t>FOOD COMMODITIES</t>
  </si>
  <si>
    <t>CONCRETING OF SISON-TAGBAYANI-MAYAG ROAD</t>
  </si>
  <si>
    <t>Road Maintenance</t>
  </si>
  <si>
    <t>Tire</t>
  </si>
  <si>
    <t>Electrical Works for Flexible Learning Hub, MMSU, City of Batac</t>
  </si>
  <si>
    <t>Construction/Rehabilitation of Barangay Foot Trails</t>
  </si>
  <si>
    <t>CONCRETING OF ROAD AT ECO-CENTER, PHASE III, BARANGAY BATUAN,  LA CARLOTA CITY</t>
  </si>
  <si>
    <t>ITB 07-003-20 Supply and Delivery of 1,333 bags of Feeds, Grower (Pellets)</t>
  </si>
  <si>
    <t>20CG0257 - Construction of Two-Storey Six (6) Classroom School Building at Sto. Rosario HS, Apalit, Pampanga</t>
  </si>
  <si>
    <t>Construction of Consuelo Bridge, Sta. Marcela, Apayao</t>
  </si>
  <si>
    <t>Barangay 790 MOOE "R/M OF PUBLIC ADDRESS SYSTEM, REFILL OF FIRE EXT." / RRMF "TWO WAY RADIO, PUBLIC ADDRESS SYSTEM" 2020</t>
  </si>
  <si>
    <t>CONSTRUCTON OF DRAINGE CANAL (TANGAOAN)</t>
  </si>
  <si>
    <t>Concreting of Sto. Niño Cerville, Guagua, Pampanga</t>
  </si>
  <si>
    <t>Concreting of Mustang Road</t>
  </si>
  <si>
    <t>Supply and Delivery of Office Supplies 2020</t>
  </si>
  <si>
    <t>Concreting of Gattac Road</t>
  </si>
  <si>
    <t>Concreting/Upgrading of Road at Purok 5 (St. Dominic) Barangay San Pablo, Guagua, Pampanga</t>
  </si>
  <si>
    <t>CONSTRUCTION OF MULTI-PURPOSE BUILDING CUM EVACUATION CENTER (Four Sites) - Supply &amp; Delivery of Construction Materials - Tinnery</t>
  </si>
  <si>
    <t>SUPPLY &amp; DELIVERY OF CONSTRUCTION MATERIALS (CONSTRUCTION OF HANGING BRIDGE)</t>
  </si>
  <si>
    <t>Concreting of Hilltop Panantuleng Road</t>
  </si>
  <si>
    <t>Improvement of Sto. Niño Road Approach, Guagua, Pampanga</t>
  </si>
  <si>
    <t>Installation of Solar Street Light</t>
  </si>
  <si>
    <t>Improvement/Rehabilitation/Repair of Apayao Child Development Center, San Isidro Sur, Luna, Apayao</t>
  </si>
  <si>
    <t>Infra 2020-02 - Construction of Two (2) Storey, Four (4) Classroom Building</t>
  </si>
  <si>
    <t>Goods 2020-01 - Procurement of Ambulance</t>
  </si>
  <si>
    <t>Procurement of Materials for Site Development of Relocation Site</t>
  </si>
  <si>
    <t>Infra 2020-01 - Construction of Farm to Market Road in Brgy. Labayo</t>
  </si>
  <si>
    <t>Procurement of Materials for the Repair and Maintenance of Municipal Building</t>
  </si>
  <si>
    <t>Communal Irrigation System at Natividad-San Jose, Guagua, Pampanga</t>
  </si>
  <si>
    <t>Improvement of Road at Sta. Ursula, Betis, Guagua, Pampanga</t>
  </si>
  <si>
    <t>Procurement of Third-Party Provider for Warehousing and Forwarding Services for DOH Commodities for Diabetes Mellitus, Mental Health &amp; Cancer Medicine Program of the Department of Health (DOH) for the</t>
  </si>
  <si>
    <t>SUPPLY AND DELIVERY OF TRAINING SUPPLIES AND MATERIALS FOR THE LSP-NSB ACTIVITIES IN THE PROVINCE OF BOHOL</t>
  </si>
  <si>
    <t>Completion of VIP Cottages, Payanan, San Gregorio, Luna, Apayao</t>
  </si>
  <si>
    <t>Procurement of Materials for the Fabrication of Material Recovery Facility</t>
  </si>
  <si>
    <t>Provision of Security Services for Gen. P. Del Rosario Elementary School</t>
  </si>
  <si>
    <t>Infra 2020-05 - Construction of Potable Water System (Brgy. Udia)</t>
  </si>
  <si>
    <t>Infra 2020-04 - Construction of Potable Water System (Brgy. Bulajo)</t>
  </si>
  <si>
    <t>Concreting of Poblacion East (Purok Bagong Silang) Sta. 000+163 to 000+321 and 0+420 to 0+480 Cemetery Road, Flora, Apayao</t>
  </si>
  <si>
    <t>REHABILITATION OF WATER FACILITIES (PUROK 7)</t>
  </si>
  <si>
    <t>Declogging of Drainage Canals and Hauling of Spoils within the Central Business District, Guagua, Pampanga</t>
  </si>
  <si>
    <t xml:space="preserve">4411-19-022) IMPROVEMENT AND EXTENSION OF THE EXISTING SCOUT BARRIO HEALTH CENTER AT SCOUT BARRIO C/O CBAO (RE-BIDDING)                                                                                 </t>
  </si>
  <si>
    <t>Riprapping of Bebe Creek at San Miguel (Purok 2), Betis, Guagua, Pampanga</t>
  </si>
  <si>
    <t>Concreting of Municipal Street  (Osmeña Street, Poblacion, Alabel, Sarangani Province)</t>
  </si>
  <si>
    <t>2nd Posting Procurement of ID Cord</t>
  </si>
  <si>
    <t>ITB for PROCUREMENT OF SUPPLIES TO BE USED FOR MODULAR LEARNING 2020</t>
  </si>
  <si>
    <t>2nd Posting Procurement of Biometric Machine</t>
  </si>
  <si>
    <t>Request for Quotation Glass and Aluminum Supply</t>
  </si>
  <si>
    <t>8918-20-002)CONSTRUCTION OF SEWERLINE FROM PORTA VAGA AREA TO POST OFFICE AT KABAYANIHAN C/O CEPMO (RE-BIDDING)</t>
  </si>
  <si>
    <t>2nd posting procurement of school forms</t>
  </si>
  <si>
    <t>Infra 2020-06 - Construction of Potable Water System (Brgy. Layug)</t>
  </si>
  <si>
    <t>Infra 2020-07 - Construction of Potable Water System (Brgy. Banco)</t>
  </si>
  <si>
    <t>20FG0102 - Concreting of Barangay Catagbacan Farm to Market Road (FMR) Barangay Catagbacan, Goa, Camarines Sur</t>
  </si>
  <si>
    <t>2nd Posting Procurement of Air Conditioning Unit</t>
  </si>
  <si>
    <t>Infra 2020-03 - Construction of National Child Development Center</t>
  </si>
  <si>
    <t>LOCAL BRIDGE IN MABONGTOT</t>
  </si>
  <si>
    <t>Concreting of Gecobe Road</t>
  </si>
  <si>
    <t>New Born Hearing Screening Machine (PR No. 100-2020-0988) ZSPH</t>
  </si>
  <si>
    <t>Procurement of Non-Food Supplies Requirement of VLMC, AFPHSC</t>
  </si>
  <si>
    <t>Improvement of EKB Avenue (Limits: Sta. 0+000 to 2+256), lUNA, aPAYAO</t>
  </si>
  <si>
    <t>supply and delivery of hardware materials use for the rehabilitation of parina water system</t>
  </si>
  <si>
    <t>CONSTRUCTION OF INFIRMARY (PHASE IV)</t>
  </si>
  <si>
    <t>FOD-C-20-2905: Procurement of 104 bags of Hybrid White Corn Seeds</t>
  </si>
  <si>
    <t>supply and delivery of hardware materials use for the rehabilitation of RHU building and improvement/maintenance/repair of various water system (improvement of rimut spring development)</t>
  </si>
  <si>
    <t>Veterinary Supplies for Distribution to Para-technician for Animal Health Care Services (PR No. 100-2020-0943) PVET</t>
  </si>
  <si>
    <t>FOD-C-20-2903: Procurement of 1,500 bags of Conventional Hybrid Yellow Corn Seeds</t>
  </si>
  <si>
    <t>CONCRETING OF BRGY. ROAD AT BRGY. SALVACION, ROSALES, PANGASINAN</t>
  </si>
  <si>
    <t>FOD-C-20-2902: Procurement of GM Yellow Corn Seeds</t>
  </si>
  <si>
    <t>8918-18-041)  CHANGE OF SEWER PIPES AND SEWER COVER AT VALENZUELA ROAD 1 HAPPY GLEN LOOP FROM MARANAN RESIDENCE AT SALUD MITRA C/O CEPMO (RE-BIDDING)</t>
  </si>
  <si>
    <t>Purchase &amp; Delivery of one (1) unit Brand New Service Vehicle, SP, Surigao City</t>
  </si>
  <si>
    <t>Purchase &amp; Delivery of Brand New Service Vehicle, SP, Surigao City</t>
  </si>
  <si>
    <t>Concreting of Barangay Road, Brgy. Manjagao, Surigao City</t>
  </si>
  <si>
    <t>Purchase &amp; Delivery of Const. Materials &amp; Supplies for the  project Construction of Seawall along the Shoreline, Brgy. Baybay, Surigao City</t>
  </si>
  <si>
    <t>Road Upgrading and Improvement at Barangay Bancal (Pascual), Guagua, Pampanga</t>
  </si>
  <si>
    <t>Supply and Delivery various Agricultural Inputs for CY 2020 IB NO: BSWM-2020-07-011</t>
  </si>
  <si>
    <t>8918-20-014)  REHABILITATION OF DRAINAGE SYSTEM AT EAST QUIRINO HILL TOWARDS MAGSAYSAY AVENUE AT EAST QUIRINO HILL C/O CEO (RE-BIDDING)</t>
  </si>
  <si>
    <t>Purchase &amp; Delivery of Const. Materials &amp; Supplies for the  project Concreting of Brgy. Site Road, Brgy. San Roque</t>
  </si>
  <si>
    <t>20-07-591 Supplies and Materials for the Maintenance of Government Facilities (Municipal Plaza, Municipal Building and Municipal Gym)</t>
  </si>
  <si>
    <t>Livelihood Assistance to Tricycle Drivers/Farmers</t>
  </si>
  <si>
    <t>Conc. of Jct. San Rafael - Salvacion PR (Ph. 1)</t>
  </si>
  <si>
    <t>IMPROVEMENT OF MULTIPURPOSE HALL</t>
  </si>
  <si>
    <t>Conc. of Jct. Cobo-Dinungsuran PR</t>
  </si>
  <si>
    <t>Urban Greening for Christ The Redeemer Park at Barangay Sta. Ursula, Betis, Guagua, Pampanga</t>
  </si>
  <si>
    <t>Const. of Mayngaway River Control</t>
  </si>
  <si>
    <t>Conc. of Jct. Caramoran - Tucao PR (Ph. 2)</t>
  </si>
  <si>
    <t>Supply and Delivery of Construction Materials for Improvement of MPP Proper Covered Court,</t>
  </si>
  <si>
    <t xml:space="preserve">20CSFE03 - Consulting Services for the Parcellary Survey of Danao-Pasacao Rd (S03522LZ) - K0419 + (-642) - K0427 + 233 and Milaor-Minalabac-Pili Rd (S03524LZ) - K0433 + (-096) - K0445 + 786 under the </t>
  </si>
  <si>
    <t>Rehabilitation/Improvement of Existing Building to a Drug Rehabilitation Facility</t>
  </si>
  <si>
    <t>Construction of Barangay Stage at Guinobatan, Calapan City, Oriental Mindoro</t>
  </si>
  <si>
    <t>Completion of Covered Court with Bleachers at Villa Pag-asa, Bansud, Oriental Mindoro</t>
  </si>
  <si>
    <t>Construction of Stage at Balite, Calapan City, Oriental Mindoro</t>
  </si>
  <si>
    <t>Supply and Delivery of Office Furniture-Office of the Sangguniang Bayan, Sta. Catalina, I. Sur</t>
  </si>
  <si>
    <t>Completion of Evacuation Center at Mayabig, Baco, Oriental Mindoro</t>
  </si>
  <si>
    <t>Improvement of Evacuation Center at Malapad, Baco, Or. Mindoro</t>
  </si>
  <si>
    <t>20GGK0008 - Supply and Delivery of Materials for use in the Maintenance Section for Painting of Pavement Centerline Solid Markings, Edge Lines and Pedestrian Lane along Bacolod – Murcia – DS Benedicto</t>
  </si>
  <si>
    <t xml:space="preserve">20GGK0007 - Supply and Delivery of Materials for use in the Maintenance Section for Painting of Pavement Road Markings, Centerline, Edge Lines and Pedestrian Lane along Bacolod North Road (S00403NR), </t>
  </si>
  <si>
    <t>Construction of Protection Dike at So. 3 and So. 7 at Merit, Victoria, Oriental Mindoro</t>
  </si>
  <si>
    <t>Improvement of Evacuation Center at Aninuan, Puerto Galera, Oriental Mindoro</t>
  </si>
  <si>
    <t>REHAB/ CONSTRUCTION OF BRGY STREET LIGHTS</t>
  </si>
  <si>
    <t>Road Concreting Project (Sitio Songkuean), Poblacion, Madalag, Aklan</t>
  </si>
  <si>
    <t>Purchase of Hardware Materials for the Construction of Septic Vault (Various Barangay) and Construction of Placenta Pit (Various Barangay)</t>
  </si>
  <si>
    <t>CONSTRUCTION OF POTABLE WATER SYSTEM LEVEL II (3 LOTS) IN THREE (3) IDENTIFIED BARANGAYS NAMELY NABUNDASAN, NEW CULASI AND TAMBAC, ALL OF THE MUNICIPALITY OF TULUNAN, COTABATO</t>
  </si>
  <si>
    <t>CONSTRUCTION OF DAY CARE CENTER LOCATED AT PUROK 7, BARANGAY DUNGOS, TULUNAN, COTABATO</t>
  </si>
  <si>
    <t>PURCHASE OF MEDICAL SUPPLIES &amp; EQUIPMENTS</t>
  </si>
  <si>
    <t>Const. of Hicming River Control</t>
  </si>
  <si>
    <t>supply and delivery of hardware materials for the construction of canal lining within school ground(Sabangan)</t>
  </si>
  <si>
    <t>Concreting of Oco-Burgos-Almojuela Road</t>
  </si>
  <si>
    <t>SUPPLY AND DELIVERY OF DIGITAL DUPLICATOR FOR COLLEGES USE</t>
  </si>
  <si>
    <t>Construction of Sioron Seawall</t>
  </si>
  <si>
    <t>Construction of CHB Drainage Canal Along Padre Burgos Street Antonino, Labason, Zamboanga del Norte</t>
  </si>
  <si>
    <t>Re-Roofing of Public Market (Vegetable/Serials Section) ,Public Market ,Labason, Zamboanga del Norte</t>
  </si>
  <si>
    <t>Rehabilitation of Barangay Hall at Manihala, Bansud, Oriental Mindoro</t>
  </si>
  <si>
    <t>PAY-AS Q22020</t>
  </si>
  <si>
    <t>Completion of Tennis Court at OMNHS, Calapan City, Oriental Mindoro</t>
  </si>
  <si>
    <t>Improvement of Perimeter (Donsol Centrum for Recreation)</t>
  </si>
  <si>
    <t>Supply and Delivery of Various Construction Materials for Municipal Isolation Unit Intended for COVID19 Pandemic</t>
  </si>
  <si>
    <t>Supply and Delivery of Various Cast Iron Fittings</t>
  </si>
  <si>
    <t>Improvement of Day Care Center at Fortuna, Socorro, Oriental Mindoro</t>
  </si>
  <si>
    <t>Procurement Of Thirty (30) Units Video Camera For The Use Of Over Speeding   Enforcement Group</t>
  </si>
  <si>
    <t>CONTRACT FOR THE SUPPLY AND DELIVERY OF ONE (1) ASSEMBLY MOULDED  CASE CIRCUIT BREAKER AND ONE (1) ASSEMBLY AUTOMATIC TRANSFER  SWITCH (ATS)  INCLUDING INSTALLATION, TESTING, AND COMMISSIONING</t>
  </si>
  <si>
    <t>Procurement of Flu Vaccine Quadrivalent &amp; Prefilled Syringe</t>
  </si>
  <si>
    <t>20CSIB10: CONSULTANCY SERVICES FOR PARCELLARY SURVEY OF THE CONSTRUCTION OF BORONGAN BYPASS AND DIVERSION ROAD, BORONGAN CITY, EASTERN SAMAR.</t>
  </si>
  <si>
    <t>Procurement of Various Drugs and Medicines Requirements of PHSC, AFPHSC (Per Line Item Bidding)</t>
  </si>
  <si>
    <t>Concreting of Cagraray - Barrio Site FMR</t>
  </si>
  <si>
    <t>Progressive Construction of Multi-Purpose Building, Legislative Compound, Brgy. Poblacion, Tacurong City</t>
  </si>
  <si>
    <t>Global Navigation Satellite System</t>
  </si>
  <si>
    <t>SUPPLY/DELIVERY OF 1 UNIT LED WALL DISPLAY (OUTDOOR), 1 UNIT LED MOBILE TRAILER</t>
  </si>
  <si>
    <t>SUPPLY/DELIVERY OF VARIOUS VACCINES FOR ANIMAL BITE TREATMENT CENTER</t>
  </si>
  <si>
    <t>IB-2020-VIII-17-01 FARM TO MARKET ROAD</t>
  </si>
  <si>
    <t>Supply and Delivery of Various Electrical Supplies</t>
  </si>
  <si>
    <t>Procurement of Three (3) Year Hotel Accommodations for Casino Guest of Satellite Operations Group (SOG) 4 under ITB No.  PB20-02-026CORa-07</t>
  </si>
  <si>
    <t>Construction of Barangay Material Recovery Facility (rolling) for Bgys. Market Site, Banban, Awaii, Dancalan, and Bandi)</t>
  </si>
  <si>
    <t>Construction of Barangay Material Recovery Facility (Fixed) for Bgys. Pinamanaan, Lourdes, Girawan, Cristo and Orange)</t>
  </si>
  <si>
    <t>Supply and Delivery of Various ICT Equipment to be used by the PMO under Metro Manila Flood Management Project</t>
  </si>
  <si>
    <t>Lot 8 Supply and Delivery of Vodka, 700 ml</t>
  </si>
  <si>
    <t>Invitation to Bid for PROCUREMENT OF ONE (1) UNIT PAYLOADER</t>
  </si>
  <si>
    <t>COMPLETION OF BARANGAY HAL PHASE V</t>
  </si>
  <si>
    <t>SUPPLY, DELIVERY AND COMMISSIONING  OF ONE (1) UNIT PRECISION BALANCE SCALE, ONE (1) UNIT DEFIBRILLATOR ANALYZER AND ONE (1) UNIT ELECTROSURGICAL (ESU) ANALYZER</t>
  </si>
  <si>
    <t>Rehabilitation of water system(level II)</t>
  </si>
  <si>
    <t>Lot 10 Supply and Delivery of Cabernet Sauvignon, 750 ml.</t>
  </si>
  <si>
    <t>Lot 5 Supply and Delivery of   Champagne,750 ml.</t>
  </si>
  <si>
    <t>Lot 11 Supply and Delivery of Wine, Red Wine</t>
  </si>
  <si>
    <t>Lot 7 Supply and Delivery of Sparkling  Wine, 750 ml.</t>
  </si>
  <si>
    <t>Lot 9 Supply and Delivery of White  Wine, 750 ml.</t>
  </si>
  <si>
    <t>Renovation of Office (IMD &amp; PCRD) 870-20</t>
  </si>
  <si>
    <t>Supply and Delivery of Various ICT Equipment for the Faster Measurement of  Surveying Data Collection of Complex Waterways, Rivers and Drainage Catchments within Pumping Station</t>
  </si>
  <si>
    <t>CONTRACT ID #: 19-11-219 2ND REBID = CLUSTER OF COMPLETION/REPAIR/RENOVATION/REHABILITATION OF ZAMBOANGA DEL SUR MEDICAL CENTER</t>
  </si>
  <si>
    <t>Lot 3 Supply and Delivery of Fine Champagne Cognac Extra Old, 700 ml.</t>
  </si>
  <si>
    <t>Lot 6 Supply and Delivery of Brandy, 700 ml.</t>
  </si>
  <si>
    <t>CONTRACT ID # 20-07-101 = PPROPOSED COMPLETION OF SAN MIGUEL RURAL HEALTH UNIT</t>
  </si>
  <si>
    <t>CONTRACT ID # 20-07-100 = PROPOSED COMPLETION OF LAPUYAN RURAL HEALTH UNIT</t>
  </si>
  <si>
    <t>Lot 4 Supply and Delivery of Premium Cognac Extra Old, 700 ml.</t>
  </si>
  <si>
    <t>Lot 1 Supply and Delivery of  Whisky, 1 Liter</t>
  </si>
  <si>
    <t>Procurement Project for the Extension of Three Phase 13.8kV Primary Line</t>
  </si>
  <si>
    <t>CONSTRUCTION OF POTABLE WATER SYSTEM LEVEL 1</t>
  </si>
  <si>
    <t>COMPLETION OF MULTI-PURPOSE BRGY. HALL BINENG (2ND POSTING)</t>
  </si>
  <si>
    <t>Construction of SB Building (Phase 2)</t>
  </si>
  <si>
    <t>GEODETIC SERVICES for the Lot Relocation and Subdivision Survey</t>
  </si>
  <si>
    <t>PURCHASE OF DRUGS AND MEDICINES, BARANGAY HALL OF POBLACION, BURDEOS, QUEZON</t>
  </si>
  <si>
    <t>Lot 2 Supply and Delivery of Fine  Champagne  Cognac, 700 ml.</t>
  </si>
  <si>
    <t>20GKI0043 (Public Bidding) Contract Name: Delivery of Aircon Split Type 2.5hp with Installation (35 ft. distance), Freon – 3 tons 			  Inverter and Panel Board (for Admin Floor Mtd. Aircon) for use in</t>
  </si>
  <si>
    <t>20GKI0039 (Public Bidding) Contract Name: Supply of Various Construction Materials for use in the Maintenance Section</t>
  </si>
  <si>
    <t>20GKI0041 (Public Bidding) Contract Name: Supply of Diesel Fuel and Other Various Items 		  for use in the Operation of Service Vehicles of DPWH-Mis. Occ. 1st DEO</t>
  </si>
  <si>
    <t>Construction of Potable Water System, Brgy. Sta. Maria</t>
  </si>
  <si>
    <t>SUPPLY AND INSTALLATION OF TRANSFORMER AT BARANGAY LUBANG, BUENAVISTA, BOHOL</t>
  </si>
  <si>
    <t>20GKI0038 (Public Bidding) Contract Name: Supply of Tires, Battery II Plates and Other Vehicle Spare Parts for use in the replacement 		  of worn out parts of DPWH service vehicles</t>
  </si>
  <si>
    <t>20GKI0035 (Public Bidding) Contract Name: Supply of One (1) set Rain Visor L/R and One (1) Steel Roll on/off Cargo Bay Cover for 		  Pick-up for use in the DE Service Vehicle</t>
  </si>
  <si>
    <t>20GKI0036 (Public Bidding) Contract Name: Supply of Various Vehicle Spare Parts and Lubricant for use in the Repair/Maintenance of 		  H3H-6622, H3L-6860, H1M-4260 and H1M-5117 in the Maintenance Sect</t>
  </si>
  <si>
    <t>20GKI0042 (Public Bidding) Contract Name: Procurement of Metal Cut Off Saw Machine, Combi Ring Binder Machine and Other Various 		  Items for use in the DPWH Office</t>
  </si>
  <si>
    <t>Various Catheterization Laboratory Supplies for 2020 use</t>
  </si>
  <si>
    <t>20GKI0037 (Public Bidding) Contract Name: Purchase of Epson Maintenance Box (C13T671400) for the Replacement of Epson  		  WF-C869R Printers in Planning &amp; Design, Finance, Quality Assurance, Administr</t>
  </si>
  <si>
    <t>Upgrading and Improvement of Kuli-kuli Road 3</t>
  </si>
  <si>
    <t>Supply and Delivery of Materials for the Construction of Barangay Multi-Purpose Hall, Sta. Maria</t>
  </si>
  <si>
    <t>PURCHASE OF INKJET PRINTER- SEF WEST DISTRICT</t>
  </si>
  <si>
    <t>20KI0098 Contract Name		: Construction of Evacuation Center, Brgy. San Vicente Alto,  			  Oroquieta City, Misamis Occidental</t>
  </si>
  <si>
    <t>CONTRACT ID # 19-10-197 2ND REBID = CONSTRUCTION OF LUNDAY BHS</t>
  </si>
  <si>
    <t>INSTALLATION OF 5 UNITS SOLAR STREET LIGHT AT BARANGAY 58-A, SAN ROQUE, CAVITE CITY</t>
  </si>
  <si>
    <t>Supply and Delivery of Construction Materials for Construction of Footbridge, Panipaison, MADALAG, Aklan</t>
  </si>
  <si>
    <t>CONSTRUCTION OF WATER SYSTEM- SUBMERSIBLE PUMP &amp; ELEVATED TANK (BJMP AND PNP STATION)</t>
  </si>
  <si>
    <t>IMPROVEMENT OF RELOCATION SITE (SLOPE PROTECTION- RIVER ENBANKMENT) BRGY. LAIYA APLAYA</t>
  </si>
  <si>
    <t>CONSTRUCTION OF WATER SYSTEM- ELEVATED TANK (MUNICIPAL SLAUGHTERHOUSE)</t>
  </si>
  <si>
    <t>PURCHASE &amp; DELIVERY OF WHEEL LOADER</t>
  </si>
  <si>
    <t>IMPROVEMENT OF RELOCATION SITE (IMPROVEMENT OF CANAL) BRGY. LAIYA APLAYA</t>
  </si>
  <si>
    <t>CONTRACT ID #: 20-07-104 = PROPOSED EXTENSION OF LEON POSTIGO RURAL HEALTH UNIT</t>
  </si>
  <si>
    <t>Construction of Legislative Building Phase 4 at RMTU Old Site, Iba</t>
  </si>
  <si>
    <t>IMPROVEMENT OF RELOCATION SITE (CONCRETING OF ROAD) BRGY. LAIYA APLAYA</t>
  </si>
  <si>
    <t>IMPROVEMENT OF DRAINAGE SYSTEM- BRGY. LIPAHAN</t>
  </si>
  <si>
    <t>CONTRACT ID # 20-07-103 = REPAIR / UPGRADING OF GODOD RURAL HEALTH UNIT</t>
  </si>
  <si>
    <t>FLOOD CONTROL PROJECT (CONSTRUCTION OF CANAL)- BRGY. LAIYA APLAYA</t>
  </si>
  <si>
    <t>PROCUREMENT OF ONE (1) UNIT PASSENGER VAN FOR THE OFFICIAL USE OF MUNICIPAL OFFICIALS AND EMPLOYEES, ATOK, BENGUET</t>
  </si>
  <si>
    <t>MDF CLUSTER 7-2020 PROJECTS AT PAOAY, ATOK, BENGUET</t>
  </si>
  <si>
    <t>Supply and Delivery of 83 units Desk Computer</t>
  </si>
  <si>
    <t>Construction of Four (4) Classroom School Building W/CR &amp; Façade  at Goa Science High School, Goa, Camarines Sur</t>
  </si>
  <si>
    <t>PROCUREMENT OF VARIOUS MEDICINES (TF) FOR THE USE OF MUNICIPAL HEALTH OFFICE AND BARANGAY HEALTH STATIONS OF ATOK, BENGUET</t>
  </si>
  <si>
    <t>Completion of 2-Storey of Multi Purpose Building,    Brgy. Togbongon, Surigao City</t>
  </si>
  <si>
    <t>Supplementary Feeding Program</t>
  </si>
  <si>
    <t>INVITATION TO BID - Purchase of Various Office Furniture &amp; Fixtures</t>
  </si>
  <si>
    <t>Procurement of Farm Machineries and Equipment Support for Rice Production, Mushroom Production and Duck Egg Production under Climate Resilient Farm Productivity Support (CRFPS) to Selected ARBOs in Ne</t>
  </si>
  <si>
    <t>INVITATION TO BID - Purchase of Roll up Blinds and Folding Doors</t>
  </si>
  <si>
    <t>PURCHASE OF FILE COMPACTORS WRINKLED ENAMEL FINISH OF MUNICIPAL CIVIL REGISTRAR OFFICE, Tubod, Lanao del Norte</t>
  </si>
  <si>
    <t>Concreting of Road (Completion), Brgy. Zaragosa, Surigao City</t>
  </si>
  <si>
    <t>Supply and Delivery of Construction Materials for Improvement of MPP, Panipiason, Madalag, Aklan</t>
  </si>
  <si>
    <t>Purchase &amp; Delivery of one (1) unit  Service Vehicle  (brand new) 2.0 4x2 AT,  CMO, Surigao City</t>
  </si>
  <si>
    <t>Rehabilitation of Togonan Falls, Slope Protection and Concrete Stairs</t>
  </si>
  <si>
    <t>Supply &amp; Delivery of OTHER PPE-OSB</t>
  </si>
  <si>
    <t>Supply &amp; Delivery of OTHER PPE-SB</t>
  </si>
  <si>
    <t>CONTRACT ID #: 20-07-107 = REPAIR / RENOVATION OF LABASON RURAL HEALTH UNIT</t>
  </si>
  <si>
    <t>CONTRACT ID # 20-07-102 = PROPOSED COMPLETION OF SAN PABLO RURAL HEALTH UNIT</t>
  </si>
  <si>
    <t>PURCHASE OF INKJET PRINTER- SEF EAST DISTRICT</t>
  </si>
  <si>
    <t>ONE JOB ORDER FOR REPAIR/RENOVATION/COMPLETION OF STA.ROSA COMMUNITY HOSPITAL,TALISAY RHU I BRGY.CANSOJONG,MEDELLIN RHU,SAN REMEGIO RHU II AND TAMIAO BHS COMPOSTELA CEBU (BAC 2020-I02)</t>
  </si>
  <si>
    <t>Procurement of Brand New Notebook Laptop intended for the utilization  of the Office of the Mayor, Municipality of Pateros</t>
  </si>
  <si>
    <t>IMPROVEMENT/COMPLETION OF EVACUATION CENTER</t>
  </si>
  <si>
    <t>PURCHASE OF SOLAR PANEL LIGHT WITH POST, BARANGAY POBLACION, BURDEOS, QUEZON</t>
  </si>
  <si>
    <t>DDN GDSI 2020-33</t>
  </si>
  <si>
    <t>Hospital and Medical Equipment (PR No. 100-2020-0852, 0692, 0820, 0880)</t>
  </si>
  <si>
    <t>CONTRACT ID #Z:  20-07-105 = REPAIR RENOVATION OF LABASON DISTRICT HOSPITAL</t>
  </si>
  <si>
    <t>ONE JOB ORDER FOR LABOR AND MATERIALS FOR COMPLETION/REPAIR/RENOVATION OF BIEN UNIDO RHU I,CARLOS P. GARCIA,CANDIJAY AND SI,EON G. TORIBO MEMORIAL HOSPITAL (BAC 2020-I03)</t>
  </si>
  <si>
    <t>DRUGS, MEDICINES, MEDICAL LABORATORY-DENTAL SUPPLY</t>
  </si>
  <si>
    <t>CONTRACT ID #: 20-07-106 = REPAIR / RENOVATION / UPGRADING OF MANUKAN RHU</t>
  </si>
  <si>
    <t>FABRICATION/INSTALLATION OF PRE-FABICATED  ISOLATION FACILITIES BRGY. MALABANBAN NORTE  CANDELARIA, QUEZON</t>
  </si>
  <si>
    <t>REHABILITATION/IMPROVEMENT OF FARM TO MARKET ROAD AT BRGY. SAN ROQUE, SAN MANUEL, PANGASINAN</t>
  </si>
  <si>
    <t>Construction of SRT Green House with Storage (In support to Potato Tuberlets Production and Marketing)</t>
  </si>
  <si>
    <t>Rehabililataion of Barangay Office</t>
  </si>
  <si>
    <t>PURCHASE OF SOLID WASTE MANAGEMENT TRUCK (Brgy. BAHONG)</t>
  </si>
  <si>
    <t>Supply and delivery of One unit Brandnew Ambulance for PGLDN covid-19 response use.</t>
  </si>
  <si>
    <t>DRUGS, MEDICINES, MEDICAL LABORATORY-DENTAL SUPPLIES &amp; MEDICAL EQUIPMENT</t>
  </si>
  <si>
    <t>Construction of Flood Control Dike (Phase 2)</t>
  </si>
  <si>
    <t>SUPPLY AND DELIVERY OF VARIOUS HYGIENE KIT FOR PRE-SCHOOL CHILDREN IN THE MUNICIPALITY</t>
  </si>
  <si>
    <t>Purchase of Various Medicine</t>
  </si>
  <si>
    <t>PEO-20-0898 B- Purchase of Spare Parts for use in the repair of Kawasaki Payloader (KFL-3) Model: 65Z III assigned at PEP, Sta. Barbara, Iloilo</t>
  </si>
  <si>
    <t>Procurement of various drugs and medicines for provision of commodities and supplies for the continuation of PGLDN Covid-19 response.</t>
  </si>
  <si>
    <t>PURCHASE OF OFFICE SUPPLIES AND EQUIPMENT, BARANGAY POBLACION, BURDEOS, QUEZON</t>
  </si>
  <si>
    <t>Procurement of Equipment for the project "Medium-Term Information and Communications Technology Harmonization Initiative (MITHI), Second Bidding</t>
  </si>
  <si>
    <t>Supply &amp; Delivery of MOTOR VEHICLE-EO</t>
  </si>
  <si>
    <t>PURCHASE OF TOILET BOWL, BARANGAY POBLACION HALL, BURDEOS, QUEZON</t>
  </si>
  <si>
    <t>Construction of PGLDN Butterfly House.</t>
  </si>
  <si>
    <t>ITB No. 20-071 SUPPLY AND DELIVERY OF THIRTY (30) UINTS CARDIAC MONITORS</t>
  </si>
  <si>
    <t>PROCUREMENT OF ONE (1) UNIT PASSENGER VAN WITH DUAL AIRCON FOR THE OFFICIAL USE OF MDRRM OFFICE, ATOK, BENGUET</t>
  </si>
  <si>
    <t>CONSTRUCTION OF KINUMAN NORTE FOUR (4) STOREY MULTI-PURPOSE HALL AT BARANGAY KINUMAN NORTE</t>
  </si>
  <si>
    <t>SEF-20-07-01113 INK AND MASTER</t>
  </si>
  <si>
    <t>Rehabilitation of Water System</t>
  </si>
  <si>
    <t>Supply and Delivery of Drugs and Medicines for use of the Provincial Health Office, Masbate</t>
  </si>
  <si>
    <t>Supply and Delivery of  Medical and Surgical Supplies for use of the Provincial Health Office, Masbate</t>
  </si>
  <si>
    <t>Procurement of Various Medical Equipment for use of the Provincial Health Office, Masbate</t>
  </si>
  <si>
    <t>Supply and Delivery of IV Fluidsfor use of the Provincial Health Office, Masbate</t>
  </si>
  <si>
    <t>Procurement of 1 Unit Mini Bus</t>
  </si>
  <si>
    <t>20GFH0022 - SUPPLY AND DELIVERY OF OFFICE STEEL CABINETS FOR USE IN THE DPWH, VIRAC, CATANDUANES (PR#20-07-043 DATED 7/21/2020)</t>
  </si>
  <si>
    <t>Procurement of One (1) unit service vehicle for PVO field operation.</t>
  </si>
  <si>
    <t>Construction of MCC-HOTEL WAREHOUSE BUILDING</t>
  </si>
  <si>
    <t>Covered Canal at Purok Gabi (corner VNHS going to Brgy. Hall), Brgy. Bong-ao</t>
  </si>
  <si>
    <t>Supply and Delivery of Various Fertilizers</t>
  </si>
  <si>
    <t>NEGOTIATED PROCUREMENT OF SUPPLY AND DELIVERY OF VARIOUS LABORATORY SUPPLIES AND CONSUMABLES          (32 items)</t>
  </si>
  <si>
    <t>20GFH0023 - SUPPLY AND INSTALLATION OF STAINLESS BUILT-UP LOGO AND LETTERS FOR USE IN THE DPWH BUILDING, VIRAC, CATANDUANES (PR#20-07-042 DATED 7/21/2020)</t>
  </si>
  <si>
    <t>REHABILITATION OF EVACUATION CENTER (ABC HALL BUILDING), CITY HALL COMPOUND</t>
  </si>
  <si>
    <t>Supply, Delivery and Installation of Public Address System</t>
  </si>
  <si>
    <t>8731-20-025) CONSTRUCTION OF GREENHOUSE FOREST NURSERY AT BUSOL WATERSHED AT EAST BAYAN PARK C/O CBAO</t>
  </si>
  <si>
    <t>Supply and Delivery of 2 sets Computer Desktop</t>
  </si>
  <si>
    <t>CONTRACT ID #: 19-10-195 = COMPLETION OF DIPOLOG CHO (PHASE II)</t>
  </si>
  <si>
    <t>CONSTRUCTION OF  POTABLE WATER SYSTEM</t>
  </si>
  <si>
    <t>Supply and Delivery of Handset Radio</t>
  </si>
  <si>
    <t>Supply and Delivery of Construction Materials for Concreting of Brgy. Road, San Jose, Madalag, Aklan</t>
  </si>
  <si>
    <t>Preventive Maintenance of Road (Asphalt Overlay) along Calamba-Sta. Cruz-Famy Junction Road, K0082+680 to K0082+890, Sta. Cruz, Laguna</t>
  </si>
  <si>
    <t>Repair/Maintenance of DPWH Building, Main/Admin Building, Laguna I DEO DPWH Compound, Sta. Cruz, Laguna</t>
  </si>
  <si>
    <t>8731-20-024) CONSTRUCTION OF GREENHOUSE AT BOTANICAL NURSERY, LEONARD WOOD ROAD C/O CBAO</t>
  </si>
  <si>
    <t>Concreting of Brgy. Bagumbayan FMR, Brgy. Bagumbayan, Sta. Maria, Laguna</t>
  </si>
  <si>
    <t>Construction of Health Center Phase II</t>
  </si>
  <si>
    <t>Concreting of Brgy. Maytoong FMR, Brgy. Maytoong, Paete, Laguna</t>
  </si>
  <si>
    <t>ITB-Supply and Delivery of Office Equipment</t>
  </si>
  <si>
    <t>UPLB-IF-005-08-20 REBID, COMPLETION OF TECHNOLOGY HUB SND ONE STOP SHOP, MARIANO M. MONDOÑEDO AVE., UPLB, COLLEGE, LAGUNA</t>
  </si>
  <si>
    <t>PROCUREMENT  OF TWO (2) UNITS  BRAND NEW MEDICAL AMBULANCE</t>
  </si>
  <si>
    <t>Digital Duplicator Machine and Multi-function Digital Copier for 5 District of Deped SDO-Kabankalan City</t>
  </si>
  <si>
    <t>Repainting of Different Schools of Bagac, Bagac, Bataan</t>
  </si>
  <si>
    <t>Procurement of Goods: Supply and delivery of one (1) unit service vehicle for Barangay Semirara, Caluya, Antique</t>
  </si>
  <si>
    <t>Equipment/Supplies for Division Audio Visual Studio of Deped SDO-Kabankalan City.</t>
  </si>
  <si>
    <t>Concreting of Brgy. Magsaysay FMR, Brgy. Magsaysay, Siniloan, Laguna</t>
  </si>
  <si>
    <t>ROOFING OF ABC HALL BUILDING, CITY HALL COMPOUND</t>
  </si>
  <si>
    <t>Supply and Delivery of Toners with Free Use of Printers</t>
  </si>
  <si>
    <t>Request for Expression of Interest for Consulting Services for the DAED for the Proposed Construction of the New FNRI Building-REFERENCE # 2020-07-07</t>
  </si>
  <si>
    <t>Supply and Delivery of Rescue Van for Emergency Response</t>
  </si>
  <si>
    <t>Supply &amp; Installation of RRCY Underground Structured Cabling, CCTV Installation and IP PBX Installation</t>
  </si>
  <si>
    <t>Procurement &amp; Delivery of Medical Supplies</t>
  </si>
  <si>
    <t>Supply and Delivery of Drugs and Biologics</t>
  </si>
  <si>
    <t xml:space="preserve">20GFH0024 - SUPPLY AND DELIVERY OF DPWH STANDARD PROJECT LOGBOOKS PER D.O. #50 S. 2020 FOR USE IN CONSTRUCTION AND QUALITY ASSURANCE SECTIONS, DPWH-CATANDUANES DISTRICT ENGINEERING OFFICE, SAN ISIDRO </t>
  </si>
  <si>
    <t>Supply &amp; Installation of HFG Underground Structured Cabling, CCTV Installation and IP PBX Installation</t>
  </si>
  <si>
    <t>ROAD CONCRETING (Brgy. Buhingtubig)</t>
  </si>
  <si>
    <t>Fabrication/Installation of Solar Streetlight</t>
  </si>
  <si>
    <t>IMPROVEMENT OF GOVERNMENT OWNED BUILDING</t>
  </si>
  <si>
    <t>Supply and Delivery of Office Fixtures</t>
  </si>
  <si>
    <t>COSTRUCTION OF MULTI PURPOSE CENTER (Phase 1)</t>
  </si>
  <si>
    <t>NEGOTIATED PROCUREMENT OF SUPPLY AND DELIVERY OF VARIOUS LABORATORY CHEMICALS AND SUPPLIES (3 items)</t>
  </si>
  <si>
    <t>Installation of Tiles of Multi-Purpose Hall</t>
  </si>
  <si>
    <t>CONCRETING OF MUNICIPAL GROUND</t>
  </si>
  <si>
    <t>CONSTRUCTION OF BARANGAY HEALTH CENTER</t>
  </si>
  <si>
    <t>Procurement of School Supplies to be distributed to 810 elementary and junior high school students from the poor families in the Municipality of Bay, Laguna  on August 12, 2020</t>
  </si>
  <si>
    <t>UPLB-IF-016-08-20 REBID, CONSTRUCTION OF AREA DRAIN WITH INTERCEPTOR CANAL, DEPARTMENT OF MILITARY SCIENCE AND TACTICS, UPLB, COLLEGE, LAGUNA</t>
  </si>
  <si>
    <t>nstallation of Metal Guardrails along Calamba-Sta. Cruz-Famy Junction Road, K0097+327 to K0097+945, Kalayaan, Laguna</t>
  </si>
  <si>
    <t>INSTALLATION OF STREET LIGHTS</t>
  </si>
  <si>
    <t>Construction of Barangay Stage (Materials Only)</t>
  </si>
  <si>
    <t>PURCHASE OF CCTV CAMERA AND WIRE</t>
  </si>
  <si>
    <t>Acquisition of 2-Units Brand New Six Wheeler Dump Truck</t>
  </si>
  <si>
    <t>Covered Canal (Phase IV) at Purok Gabi, Brgy. Bong-ao</t>
  </si>
  <si>
    <t>Supply and Delivery of Disaster Preparedness Equipment</t>
  </si>
  <si>
    <t>UPGRADING LOCAL ACCESS ROAD WITH DRAINAGE SYSTEM AND RIPRAP CONSTRUCTION OF BARANGAY PAGSANGAAN, PRESENTACION, CAMARINES SUR</t>
  </si>
  <si>
    <t>PURCHASE OF 2 UNIT OF AIR CONDITION</t>
  </si>
  <si>
    <t>Acquisition of 2-Units Brand New Hydraulic Excavator</t>
  </si>
  <si>
    <t>UPGRADING LOCAL ACCESS ROAD WITH DRAINAGE SYSTEM OF BARANGAY LIDONG, PRESENTACION, CAMARINES SUR</t>
  </si>
  <si>
    <t>Covered Canal at Purok Mani beside Bong-ao Elementary School, Brgy. Bong-ao</t>
  </si>
  <si>
    <t>CONSTRUCTION OF ACCESS ROAD TO EVACUATION CENTER</t>
  </si>
  <si>
    <t>CONSTRUCTION OF DUNGON ACCESS ROAD</t>
  </si>
  <si>
    <t>procurement of Goods: Supply and Delivery of one (1) unit emergency response vehicle for Barangay Semirara, Caluya, Antique</t>
  </si>
  <si>
    <t>Procurement of Domestic Appliances for the Provincial COVID19 Quarantine Facilities</t>
  </si>
  <si>
    <t>Procurement of one (1) unit Telescope of Barangay Semirara, Caluya, Antique</t>
  </si>
  <si>
    <t>UPGRADING LOCAL ACCESS ROAD WITH DRAINAGE SYSTEM OF BARANGAY BANTUGAN, PRESENTACION, CAMARINES SUR</t>
  </si>
  <si>
    <t xml:space="preserve">Purchase of Supplies and Materials for Upgrading of alley with improvement of drainage canal int. 100 St. Brgy. Bagumbayan South, Navotas City and Installation of Solar Light Int. Taganahan St. Brgy. </t>
  </si>
  <si>
    <t>Supply and Delivery of Steel Sheet Piles</t>
  </si>
  <si>
    <t>Motorcycle for solid waste management</t>
  </si>
  <si>
    <t>PURCHASE OF ABC BOOKS</t>
  </si>
  <si>
    <t>Acquisition of One (1)-Unit Brand New Single Drum Vibratory Compactor</t>
  </si>
  <si>
    <t>Acquisition of One (1)-Unit Brand New Six Wheeler Boom Truck</t>
  </si>
  <si>
    <t>Rehabilitation of Water Supply System at Brgy. Sampaguita,Poblacion,Buliran,San Jose</t>
  </si>
  <si>
    <t>Supply and Delivery of Brand New Light Vehicles</t>
  </si>
  <si>
    <t>Supply and Delivery of Safety/Disaster Equipment</t>
  </si>
  <si>
    <t>Acquisition of One (1)-Unit Brand New Motor Grader</t>
  </si>
  <si>
    <t>Const. and Heavy Equipment</t>
  </si>
  <si>
    <t>PURCHASE OF OFFICE EQUIPMENT &amp; SUPPLIES</t>
  </si>
  <si>
    <t>CONCRETING OF LOCAL ACCESS ROAD WITH DRAINAGE IMPROVEMENT AT BARANGAY SAN MATEO</t>
  </si>
  <si>
    <t>Supply and Delivery Various Medicines</t>
  </si>
  <si>
    <t>Supply and Delivery of Various Office and Janitorial Supplies</t>
  </si>
  <si>
    <t>Supply and delivery of 1,000 boxes CONTINUOUS FORM, 2ply 280mm x 241mm, carbonless sub16 and 1,000 boxes CONTINUOUS FORM, 3ply 280mm x 241mm, carbonless sub16</t>
  </si>
  <si>
    <t>Proposed FOGGING, MISTING and SPRAYING OF PESTICIDE</t>
  </si>
  <si>
    <t>Supply, Delivery and Installation of Information, Communications and Surveillance Equipment</t>
  </si>
  <si>
    <t>Supply and Delivery of Various Brand-New Medical Equipment</t>
  </si>
  <si>
    <t>PURCHASE OF VEGETABLE SEEDS, BIOLOGICS AND FERTILIZERS</t>
  </si>
  <si>
    <t>Construction of Footbridge at Sitio Apad, Bgy. Juan Adre, Donsol, Sorsogon</t>
  </si>
  <si>
    <t>Construction of Women Crisis Center</t>
  </si>
  <si>
    <t>Procurement of SECURITY Services for One (1) Year Contract</t>
  </si>
  <si>
    <t>PB-20-392, Supply &amp; Delivery of Disinfectants for Quarantine Services Program of the Office of the Provincial Veterinarian, Amas, Kidapawan City</t>
  </si>
  <si>
    <t>Supply and Delivery of Laptop Computers for the Department of Trade &amp; Industry (DTI)</t>
  </si>
  <si>
    <t>CONSTRUCTION OF COVERED WALK</t>
  </si>
  <si>
    <t>PB-20-393, Supply &amp; Delivery of IV Fluids for Cotabato Provincial Hospital, Amas, Kidapawan City</t>
  </si>
  <si>
    <t>SUPPLY AND DELIVERY OF COOKING EQUIPMENTS</t>
  </si>
  <si>
    <t>CONSTRUCTION OF 2 STOREY MULTI-PURPOSE BUILDING (PROGRESSIVE TYPE)</t>
  </si>
  <si>
    <t>PROCUREMENT OF ONE (1) YEAR SUBSCRIPTION TO THE LATEST TOURISM MARKET RESEARCH DATABASE</t>
  </si>
  <si>
    <t>INSTALLATION OF BASKETBALL GOAL/RING WITH TEMPERED GLASS BOARD</t>
  </si>
  <si>
    <t>Construction of Drainage System at Sitio Butas</t>
  </si>
  <si>
    <t>Consulting Service for the Support and Maintenance of the Business Name Registration System Next Generation (BNRSNextGEN)</t>
  </si>
  <si>
    <t>Improvement of Evacuation Center</t>
  </si>
  <si>
    <t>3403-20 Restoration of Provincial Capitol Building - Mechanical Retrofitting at Left Wing (Gridlines E-N, 2-13), Quezon Capitol Compound, Lucena City - PEO</t>
  </si>
  <si>
    <t>20-07-0660 LABOR AND MATERIALS FOR THE REPAIR OF 145 MTRS. PERIMETER FENCE (PHASE I) AT GMFDC, GUIUAN EASTERN SAMAR</t>
  </si>
  <si>
    <t>CONSTRUCTION OF SCHOOL PLAYGROUND APPARATUS</t>
  </si>
  <si>
    <t>Supply and Delivery of materials for the Improvement of Multi - Purpose Hall located at Sitio 6 Dulo, Barangay Sadsaran</t>
  </si>
  <si>
    <t>PROCUREMENT OF SOLAR STREET LIGHT</t>
  </si>
  <si>
    <t>20DF0192 - 20DF0194 (By Contract) - Construction of 2STY 4CL School Building at Bagumbuhay ES, Cavite City and two (2) others</t>
  </si>
  <si>
    <t>Power Supply Contract (522kW Power Demand)</t>
  </si>
  <si>
    <t>CONSTRUCTION/REBLOCKING OF MUNICIPAL STREETS, BARANGAY EAST, SAN JOSE, NORTHERN SAMAR</t>
  </si>
  <si>
    <t>20-07-0664 LABOR AND MATERIALS FOR THE REHABILITATION OF TWO (2) STOREY GMFDC ADMINISTRATION BUILDING AT GMFDC, BRGY. STO. NIÑO GUIUAN EASTERN, SAMAR</t>
  </si>
  <si>
    <t>20-07-0649 Procurement of Two (2) units Six-Wheeler Brand New Refrigerated Van in support to KADIWA (on Wheels) Regional Activities of BFAR 8</t>
  </si>
  <si>
    <t>3371-20 Procurement of Transport Vehicle</t>
  </si>
  <si>
    <t>20-07-0662 LABOR AND MATERIALS FOR THE IMPROVEMENT OF BLUE SWIMMING CRAB HATCHERY AT GMFDC, GUIUAN EASTERN SAMAR</t>
  </si>
  <si>
    <t>0625-20 Purchase of Motor Vehicle (Ambulance and Cadaver Van)</t>
  </si>
  <si>
    <t>MG-A7C20-007, Rubber Gasket, Rectangular, 8mm x 15mm x 8m for Agus 6 ME</t>
  </si>
  <si>
    <t>2860-20 Construction of Convention Center, Phase 2, (Northern Quezon Auditorium), Brgy. Common, Infanta, Quezon - PEO</t>
  </si>
  <si>
    <t>Supply and Delivery of Assorted Construction Materials</t>
  </si>
  <si>
    <t>ITB No. 20-28 Procurement of Maintenance Supplies (Re-Bidding)</t>
  </si>
  <si>
    <t>IMPROVEMENT OF MULTI-PURPOSE HALL (PHASE 1)</t>
  </si>
  <si>
    <t>PROCUREMENT FOR MEDICINES AND SUPPLIES FOR IDENTIFIED CENTRAL ELEMENTARY SCHOOL CLINICS</t>
  </si>
  <si>
    <t>Supply and Delivery of Diesel Fuel and Lubricants for Use of Maintenance Section, Planning and Design Section, Quality Assurance Section, Construction Section, Office of the District Engineer and Admi</t>
  </si>
  <si>
    <t>HFE: PHYSICAL THERAPIST</t>
  </si>
  <si>
    <t>HFE: REPAIR AND MAINTENANCE FOR THE CENTER VEHICLE TOYOTA LAND CRUISER plate no.: SAT-218 of the HOME FOR THE ELDERLY, CY 2020.</t>
  </si>
  <si>
    <t>PURCHASE OF AMBULANCE</t>
  </si>
  <si>
    <t>SUPPLY, DELIVERY AND INSTALLATION OF VARIOUS SCIENTIFIC EQUIPMENT FOR THE PROJECT: TUKLAS ESKAPE AT UP BAGUIO</t>
  </si>
  <si>
    <t>PROCUREMENT FOR REPLENISHMENT OF ORAL HEALTH SUPPLIES FOR THE REGIONAL AND IDENTIFIED 250 CENTRAL ELEMENTARY SCHOOLS (DENTAL SUPPLIES)</t>
  </si>
  <si>
    <t>PURCHASE OF MULTI-PURPOSE VEHICLE</t>
  </si>
  <si>
    <t>20-07-589 Supplies and Materials for Grants and Donation for 2nd Quarter (Aid to Different Schools, Organizations &amp; Purok Centers)</t>
  </si>
  <si>
    <t>Provision of Supplies for Modular learning</t>
  </si>
  <si>
    <t>REPRODUCTION OF MODULES OF AGUSAN ELEMENTARY SCHOOL</t>
  </si>
  <si>
    <t>PROCUREMENT FOR DENTAL HEALTH CARE SUPPLIES</t>
  </si>
  <si>
    <t>Purchase of Office Equipment for Pontevedra I &amp; II</t>
  </si>
  <si>
    <t>Continuing Appropriations Infrastructure Project 2020-005</t>
  </si>
  <si>
    <t>Procurement of Construction materials of Handwashing Facility at MNHS - Main Campus &amp; Agunit Campus and Procurement of Construction Materials for MNHS Santiago Campus (Support to Brigada Eskwela)</t>
  </si>
  <si>
    <t>Consultancy Service for the Detailed Design of Water Supply System at Phase 4 Freeport Area of Bataan, Mariveles, Bataan</t>
  </si>
  <si>
    <t>20CSEI0001 - Feasibility Study of Mansalay Bypass Road, Mansalay, Oriental Mindoro_075</t>
  </si>
  <si>
    <t>PROCUREMENT OF CONSULTING SERVICES FOR THE DEVELOPMENT OF ELECTRONIC DOCUMENT CONTROL CENTER (EDCC) FOR THE IMPLEMENTATION OF THE DEPARTMENT OF TOURISM'S QUALITY MANAGEMENT SYSTEM (2nd Posting)</t>
  </si>
  <si>
    <t>Termite Treatment Service for 2020</t>
  </si>
  <si>
    <t>SECURITY SERVICES (OCTOBER 31,2020-JANUARY 31,2021) CITY MAYOR'S OFFICE, MALAYBALAY CITY</t>
  </si>
  <si>
    <t>Improvement Of RHU  Building</t>
  </si>
  <si>
    <t>Reproduction and Delivery of Learning Modules for Junior High School students</t>
  </si>
  <si>
    <t>Upgrading/Improvement of JNR Iriron-Malpalon (Phase II)-Calintaan, Occidental Mindoro</t>
  </si>
  <si>
    <t>Invitation to Bid for the Upgrading of Kamatis Road</t>
  </si>
  <si>
    <t>Supply of 167 pieces Steel Flange Ring, 100mm. (4")</t>
  </si>
  <si>
    <t>Procurement of Internal Hard Drive Enterprise to be used as Storage of Uploaded Learning Resources</t>
  </si>
  <si>
    <t>20CN0161 - Repair and Maintenance of Road Safety Facilities, District Wide</t>
  </si>
  <si>
    <t>Supply and delivery of one (1) lot Various DRUGS AND MEDICINES for the Health Maintenance Program for Senior Citizens</t>
  </si>
  <si>
    <t>ELECTRIFICATION OF BACUT LAKE (COTTAGES, SPOT LIGHTS, STREET LIGHTS, MAIN FEEDER &amp; POWER HOUSE)</t>
  </si>
  <si>
    <t>PROCUREMENT OF VARIOUS COMPUTER SET TO BE USE BY IDENTIFIED OFFICES TO REPLACE DEFECTVE AND MALFUNCTION UNITS (1 LOT) CITY TREASURER'S OFFICE, MALAYBALAY CITY.</t>
  </si>
  <si>
    <t>Procurement of Materials and Supplies for Pro-poor Project at North Section (Brgy. Sto. Niño to Dumlog) (Re-bidding) - PR 2020-05-044</t>
  </si>
  <si>
    <t>CONSTRUCTION OF PERIMETER FENCE @ Municipal Compound, LGU-Banga, South Cotabato</t>
  </si>
  <si>
    <t>PROCUREMENT OF MATERIALS FOR THE COMPLETE REPAIR OF 40FT REINFORCED FIBER GLASS PATROL BOAT WITH ACCESSORIES</t>
  </si>
  <si>
    <t>CONSTRUCTION OF EKB PARK PHASE II</t>
  </si>
  <si>
    <t>Fabrication of Bleacher 6M 3 layer, Barangay Bawo, Sogod, Cebu</t>
  </si>
  <si>
    <t>Construction of Ampongol Barangay Hall Extension</t>
  </si>
  <si>
    <t>PURCHASE OF 1 UNIT AIRCONDITIONER</t>
  </si>
  <si>
    <t>SUPPLY AND DELIVERY OF ONE (1) UNIT BONGGO 2 (TRUCK) FOR GARBAGE COLLECTOR, BAYUGAN II, SFADS</t>
  </si>
  <si>
    <t>Fabrication &amp; Installation of Basketball Goal at Mohon Sports Complex</t>
  </si>
  <si>
    <t>MATERIALS FOR REPRODUCTION OF MODULE</t>
  </si>
  <si>
    <t>Restoration &amp; Improvement of Cultural &amp; Historical Sites</t>
  </si>
  <si>
    <t>Procurement of Bactericides/Pesticides for Crop Protection and Veterinary Medicines for Animal Health Care and Disease Control</t>
  </si>
  <si>
    <t>For use at Bago city Hospital, Bago City (Medical Supplies)</t>
  </si>
  <si>
    <t>Rehabilitation/ Improvement of H.E Building at Sulong Elem. School</t>
  </si>
  <si>
    <t>20GP0072-Concreting of Sitio Agkaningay, Brgy. Damayan FMR, Brgy. Damayan, Sapi-an, Capiz</t>
  </si>
  <si>
    <t>PURCHASE OF 1 UNIT DUMP TRUCK</t>
  </si>
  <si>
    <t>20GFN0013 Furnishing and delivery of Consumable and Accessories for use in Office Equipment assigned at Construction, Finance, Maintenance, Human Resource &amp; Admin Section, Supply &amp; Priority, NetAd, BA</t>
  </si>
  <si>
    <t>Repair of Mitsubishi Canter Blue GRH-120/GSO, this City</t>
  </si>
  <si>
    <t>Supply of 430 pieces C.I. Saddle Clamp for P.E. (CTS Pipe) 50mm x 19mm</t>
  </si>
  <si>
    <t>Installation of High-Definition Wireless CCTV(Phase 4)</t>
  </si>
  <si>
    <t>Improvement of of Covered Gym at Brgy. Luan-Luan</t>
  </si>
  <si>
    <t>Installation of Roof Ventilators at Public Market Building 1, 2 and 4, Brgy Poblacion, Bago City</t>
  </si>
  <si>
    <t>LGU-PILAR PROGRAMS &amp; ACTIVITIES</t>
  </si>
  <si>
    <t>Upgrading/Improvement of JNR Sto. Niño-Pitogo-Aguas-Limlim Provincial Road (Phase III)-Rizal, Occidental Mindoro</t>
  </si>
  <si>
    <t>Procurement of civil works</t>
  </si>
  <si>
    <t>Prop. Road Side Improvement @ Toledo City Science High School, Brgy. Ilihan, Toledo City</t>
  </si>
  <si>
    <t>Slope Protection at Sitio Bagulayag, Tubigon, Ferrol, Romblon</t>
  </si>
  <si>
    <t>Establishment of Water System at Mabuhay II</t>
  </si>
  <si>
    <t>PROCUREMENT OF 2ND &amp; 3RD QTR MEDICINES AT BAGULIN LU</t>
  </si>
  <si>
    <t>FURNISHING AND DELIVERY OF PNEUMONIA VACCINE FOR THE IMMUNIZATION OF OFFICIALS AND EMPLOYEES</t>
  </si>
  <si>
    <t>FIXTURES</t>
  </si>
  <si>
    <t>Supply,Delivery,Design,Development,Testing and Implementation of Central Public Utility Vehicle Monitoring System(CPUVMS) and Establishment of Central Command Station(CCS) for CY 2020</t>
  </si>
  <si>
    <t>ITB IMPROVEMENT OF DRAINAGE SYSTEM AT PUROK II &amp; III, SUYO, BAGULIN LU</t>
  </si>
  <si>
    <t>SUPPLY AND DELIVERY OF 56ROLL P.E HOSE FDR FOR THE WATER SYSTEM DISTRIBUTION LINE IN BRGY. DEL PILAR</t>
  </si>
  <si>
    <t>Office Equipment Information And Communication Technology And Other Machinery Equipment</t>
  </si>
  <si>
    <t>Supply of 64 lengths B.I. Square Tube 2mm. x 2ft x 4ft</t>
  </si>
  <si>
    <t>CATERING SERVICES FOR VARIOUS MEETINGS / CONFERENCES / EVENTS OF THE CITY</t>
  </si>
  <si>
    <t>ISOLATION</t>
  </si>
  <si>
    <t>ITB-Procurement of Service Provider for Digital Marketing to Promote the PhilRice RCEF Seed Program under the New Normal Through Social Media RCEF Goods 20-07-06</t>
  </si>
  <si>
    <t>Supply of 36 pieces C.I. Mechanical End Cap 100mm with 50mm Threaded Hole</t>
  </si>
  <si>
    <t>Supply &amp; Delivery of Pineapple Seedlings</t>
  </si>
  <si>
    <t>Construction of street concreting at Barangay San Agustin, Mondragon, Northern Samar</t>
  </si>
  <si>
    <t>SUPPLY AND DELIVERY OF MOTORCYCLE WITH PROTECTIVE HELMET ITB No. 2020-166A</t>
  </si>
  <si>
    <t>Supply and Delivery of IT Equipment for use of Sangguniang Panlalawigan Office- 2nd Bid</t>
  </si>
  <si>
    <t>CONSTRUCTION OF MULTI-PURPOSE HALL cum evacuation center (phase II)</t>
  </si>
  <si>
    <t>GASOLINE, OIL &amp; LUBRICANTS</t>
  </si>
  <si>
    <t>Procurement of Steel Cabinet for Guidance Office</t>
  </si>
  <si>
    <t>Hardware Supplies</t>
  </si>
  <si>
    <t>SUPPLY OF MATERIALS, LABOR AND EQUIPMENT FOR THE PROPOSED CONSTRUCTION OF SMWD COVERED COURT AT BRGY. RIZAL, SURIGAO CITY</t>
  </si>
  <si>
    <t>CONCRETING OF BARANGAY ROAD IN CABAYUGAN SITIO PUNGTOD</t>
  </si>
  <si>
    <t>SUPPLY AND DELIVERY OF EQUIPMENTS</t>
  </si>
  <si>
    <t>Procurement of Materials for CEAS Department</t>
  </si>
  <si>
    <t>Supply and Delivery of Network Equipment and Supplies for Provincial Wide Networking Connectivity and Direct Corporate Internet of Provl. Govt. (2nd Bid)</t>
  </si>
  <si>
    <t>ITB-PROCUREMENT OF A SERVICE PROVIDER TO RENDER MEDIA PLACEMENT FOR THE WIDE-SCALE PROMOTION OF THE RCEF-RICE EXTENSION SERVICES PROGRAM UNDER RCEF GOODS 20-07-08</t>
  </si>
  <si>
    <t>ITB-Procurement of a Service Provider to Conduct an Information, Education and Communication (IEC) Strategy in Support of the PhilRice RCEF Extension Program Under the New Normal RCEF Goods 20-07-07</t>
  </si>
  <si>
    <t>CONCRETING OF FMR CABAYUGAN TO ECO-PARK</t>
  </si>
  <si>
    <t>Reconstruction for streetlight pole</t>
  </si>
  <si>
    <t>Repair and Replacement of Spare Parts of College Vehicle Coaster</t>
  </si>
  <si>
    <t>PURCHASE OF HYGIENE KITS</t>
  </si>
  <si>
    <t>PURCHASE OF VEHICLE</t>
  </si>
  <si>
    <t>REHAB/IMPROVEMENT OF TUANGAN FMR, DAGUP, BAGULIN, LA UNION</t>
  </si>
  <si>
    <t>ROAD WIDENING WITH SLOPE PROTECTION WORKS AT ECO-PARK, STA ROSA, STA. MARIA, PANGASINAN</t>
  </si>
  <si>
    <t>Prop. Pavement Resurfacing/ Asphalt Overlay Along S. Osmeña Sr. St. (Brgys. Poblacion, Luray 2 and Sangi), Sta. 0+860-Sta. 2+160, Toledo City</t>
  </si>
  <si>
    <t>For Information Education Campaign of CDRRM Office, Bago City</t>
  </si>
  <si>
    <t>I.T. EQUIPMENT</t>
  </si>
  <si>
    <t>2nd posting watchman</t>
  </si>
  <si>
    <t>MATERIALS FOR THE CONSTRUCTION OF BASKETBALL COURT (Phase 1)</t>
  </si>
  <si>
    <t>Procurement of Office Supplies to be Used for Project Enhancing Technology Through IPM-TBM in CSPC</t>
  </si>
  <si>
    <t>Delivery and Supply of One(1) Unit Heavy Equipment/Dump Truck (Brand New)</t>
  </si>
  <si>
    <t>Conitnuation of 1Kilometer Water pipeline</t>
  </si>
  <si>
    <t>RFQ:CI Adaptor, &amp; C.I. Tee, etc.</t>
  </si>
  <si>
    <t>ICT Supplies &amp; Equipment</t>
  </si>
  <si>
    <t>PROCUREMENT OF 1 UNIT SERVICE VEHICLE</t>
  </si>
  <si>
    <t>Purchase of LED Emergency Lighting with Battery Pack for NAIA</t>
  </si>
  <si>
    <t>PURCHASE OF 13 UNITS OF COMMUNICATION FACILITIES/CELLPHONE WITH CAMERA</t>
  </si>
  <si>
    <t>Renovation of Mayor's Office Project ID Nr: 2020-8751-01012 (Rebidding)</t>
  </si>
  <si>
    <t>FABRICATION OF CONCRETE TETRAPOD STEEL FORM</t>
  </si>
  <si>
    <t>Upgrading/Improvement of JCT Ibud-Victoria Provincial Road (Phase II)-Sablayan, Occidental Mindoro</t>
  </si>
  <si>
    <t>SUPPLY AND DELIVERY OF APPLIANCES FOR CULTURAL HERITAGE CENTER  MSU MAIN CAMPUS, MARAWI CITY</t>
  </si>
  <si>
    <t>CONSTRUCTION OF SOIL EROSION CONTROL</t>
  </si>
  <si>
    <t>P.R No. 20-03-0434 SUPPLEMENTARY LEARNING MATERIALS- READING ENGLISH FOR ELEMENTARY</t>
  </si>
  <si>
    <t>Purchase of Protective Clothing (Bunker Suit)</t>
  </si>
  <si>
    <t>Concreting of Barangay Road at Brgy. Bagumbayan-Ilajas</t>
  </si>
  <si>
    <t>20DJ0105-Rain Water Collectors in Public Facilities- Region IV- A</t>
  </si>
  <si>
    <t>Local Footbridge construction Phase 2 connecting Barangay Kauswagan and Barangay MacArthur, all in the municipality of Biri, Northern Samar</t>
  </si>
  <si>
    <t>SOLID WASTE MANAGEMENT PROJECT CONSTRUCTION OF ACCESS ROAD TO SWM-ECO PARK</t>
  </si>
  <si>
    <t>Supply and Delivery of Agricultural Supplies, Seeds, Seedlings and Fertilizers ITB No. 2020-160A</t>
  </si>
  <si>
    <t>Supply and Delivery of Twenty Five (25) Units Laptop Computer</t>
  </si>
  <si>
    <t>PROJ. 595 - BDF &amp; RRMF 2020</t>
  </si>
  <si>
    <t>SUPPLY,HANDLING &amp; DELIVERY OF 1 UNIT CONCRETE PUGON WITH SHED</t>
  </si>
  <si>
    <t>Supply, Delivery and Installation of Interactive Projector (Educational Use)</t>
  </si>
  <si>
    <t>Supply Labor and Materials for the Production of 50 pieces Customized Hygiene Kits</t>
  </si>
  <si>
    <t>Supply of three (3) pieces Tiger Bronze, 8" x 10" x 13"</t>
  </si>
  <si>
    <t>Supply and Delivery of Office Fixtures use at the Dauis Central Elenmentary School at Dauis, Bohol.</t>
  </si>
  <si>
    <t>CONCRETING OF ROAD NAVITAS FMR (SITIO LAGUDIAN)</t>
  </si>
  <si>
    <t>SUPPLY, HANDLING &amp; DELIVERY OF THE FOLLOWING PROCESSING EQUIPMENTS</t>
  </si>
  <si>
    <t>Construction of Multi-purpose Hall/Evacuation Center</t>
  </si>
  <si>
    <t>Supply Labor and Materials for the Production and Printing of 3,000 pieces Customized Notebooks</t>
  </si>
  <si>
    <t>SUPPLY,HANDLING &amp; DELIVERY OF THE FOLLOWING COCO SUGAR PROCESSING MATERIALS &amp; EQUIPMENTS</t>
  </si>
  <si>
    <t>Chemicals</t>
  </si>
  <si>
    <t>Procurement Training and Workshop on the World Bank Harmonized Procurement Guidelines</t>
  </si>
  <si>
    <t>Purchase of Chemicals for Vector Prevention and Control</t>
  </si>
  <si>
    <t>Laboratory Chemicals</t>
  </si>
  <si>
    <t>Construction of Municipal Multi-Purpose Hall Phase 1 under the "Design and Build" scheme at Barangay Poblacion, Biri, Northern Samar</t>
  </si>
  <si>
    <t>CONSTRUCTION OF TANOD OUTPOST</t>
  </si>
  <si>
    <t>Supply of 13 pieces Mens Watch</t>
  </si>
  <si>
    <t>Supply of seven (7) pieces Ladies Watch</t>
  </si>
  <si>
    <t>Purchase of Brand new Firetruck</t>
  </si>
  <si>
    <t>CONSTRUCTION OF 90 LM LGU-SAN MANUEL PUBLIC MARKET'S PERIMETER ROAD PHASE-II</t>
  </si>
  <si>
    <t>Supply Labor and Materials including Installation for the Replacement of Battery for Jungheinrich Forklift and Commissioning</t>
  </si>
  <si>
    <t>Supply of one (1) unit Chlorine Ejector</t>
  </si>
  <si>
    <t>Supply of two (2) units Chlorine Ejector</t>
  </si>
  <si>
    <t>Supply, Delivery and Installation of Various Equipment for CBDEM Audiovisual Room (LOT BIDDING)</t>
  </si>
  <si>
    <t>Purchase of Reconditioned Firetruck</t>
  </si>
  <si>
    <t>Supply of five (5) units Chlorine Vacuum Regulator (100ppd) with Flow Meter and Ejector</t>
  </si>
  <si>
    <t>Supply and Delivery of Wireless Network Connection (Wifi ng Bayan – Phase 1)</t>
  </si>
  <si>
    <t>PROCUREMENT OF COLORED PHOTOCOPIER (MTO)</t>
  </si>
  <si>
    <t>Supply and Delivery of Various Office Equipment for IMEAS</t>
  </si>
  <si>
    <t>PROCUREMENT OF MEDICAL KITS</t>
  </si>
  <si>
    <t>Construction of Flood Control along Jct. (Valencia-Batangan) Laligan Road (Construction of Retaining Wall along Laligan River) at Valencia City</t>
  </si>
  <si>
    <t>ICT Supplies</t>
  </si>
  <si>
    <t>SUPPLY AND DELIVERY OF THE REHAB, RENOVATION OF STL, MPC (PB-LAP-2020-085)</t>
  </si>
  <si>
    <t>Supply and Delivery of Various Laboratory Supplies for Tuklas-Lunas</t>
  </si>
  <si>
    <t>Procurement of Vehicles</t>
  </si>
  <si>
    <t>REPAINTING OF ROOF, INTERIOR &amp; EXTERIOR CEILING AND WALL OF BUILDINGS AT LIMAY PARK</t>
  </si>
  <si>
    <t>Construction of Flood Control Structure along Cabuloha-Paradise-Tugop Road at Cabanglasan</t>
  </si>
  <si>
    <t>2nd Invitation to Bid for the  IMPROVEMENT OF ELECTRICAL SYSTEM OF GUARD HOUSE, STREET LIGHTS AND WATER PUMP MOTOR AT NVPH Located at NVPH, Bambang, Nueva Vizcaya</t>
  </si>
  <si>
    <t>PURCHASE AND DELIVERY OF CONSTRUCTION MATERIALS FOR THE REPAIR/IMPROVEMENT OF RURAL HEALTH UNIT BUILDING, RHU Building, Brgy. 4, Can-avid Eastern Samar</t>
  </si>
  <si>
    <t>Supply and Delivery of Various I.T. Equipment for UTDC (LOT BIDDING)</t>
  </si>
  <si>
    <t>LABOR, MATERIALS AND EQUIPMENT FOR BARANGAY ROAD CONCRETING @ SUYCO ST., LAMACAN, ARGAO, CEBU</t>
  </si>
  <si>
    <t>2nd Invitation to Bid for the  IMPROVEMENT OF D.E.H. BUILDINGS (COVERED WALK WAYS) Located at Diadi, Nueva Vizcaya</t>
  </si>
  <si>
    <t>Procurement of Security Services for Schistosomiasis Hospital for a Period of one(1) year ITB#2020-16</t>
  </si>
  <si>
    <t>Supply and Delivery of One (1) lot Various Information Communication &amp; Technology Equipment (ICTE)</t>
  </si>
  <si>
    <t>SUPPLY &amp; DELIVERY OF SPARE PARTS FOR TOYOTA INNOVA MODEL 2010</t>
  </si>
  <si>
    <t>(PEO)  INVITATION TO BID FOR THE SUPPLY AND DELIVERY OF VEHICLE PARTS (II) FOR THE  PROVINCIAL ENGINEERING OFFICE (PEO)</t>
  </si>
  <si>
    <t>ROAD CONCRETING, BRGY. RIZAL, DULAG LEYTE</t>
  </si>
  <si>
    <t>VARIOUS EQUIPMENT FOR THE FURNISHINGS OF THE GOVERNMENT FACILITIES OF THE MUNICIPALITY OF LAPUYAN (PB-LAP-2020-086)</t>
  </si>
  <si>
    <t>Repair of Barangay Hall, Apang, Alilem, Ilocos Sur</t>
  </si>
  <si>
    <t>Supply and delivery of materials for the Purchased of Vehicle, Single Motorcycle</t>
  </si>
  <si>
    <t>Procurement of Construction Materials</t>
  </si>
  <si>
    <t>Construction of Flood Control Structure along (Cabula-Imbatug) Salimbalan-San Vicente Road (Concrete Line Canal) at Baungon</t>
  </si>
  <si>
    <t>2nd Invitation to Bid for the  IMPROVEMENT OF K.M.H. ADMINISTRATION BUILDING Located at Pudi, Kasibu, Nueva Vizcaya</t>
  </si>
  <si>
    <t>SUBSCRIPTION OF 300 MBPS INTERNET ACCESS FOR MAIN OFFICE AND DISASTER RECOVERY (DR) SITE FOR A PERIOD OF ONE (1) YEAR</t>
  </si>
  <si>
    <t>Concreting of Barangay Road, Brgy. Catubig, Badiangan, Iloilo</t>
  </si>
  <si>
    <t>Supply of ten (10) pieces Nozzle for 100ppd Ejector</t>
  </si>
  <si>
    <t>Procurement of One (1) Unit Ambulance for the Use of the Rural Health Unit, LGU-Tagudin, Ilocos Sur</t>
  </si>
  <si>
    <t>SUPPLY AND DELIVERY OF MULTIPURPOSE SHREDDER REDUCTION MACHINE</t>
  </si>
  <si>
    <t>Construction of Flood Control Structure along Jct. National H'way (Masimag) San Francisco-New Visayas-Salvacion Road (Construction of RC Box Culvert) New Visayas at Don Carlos</t>
  </si>
  <si>
    <t>20IJ-0088 CONCRETING OF BRGY. DE VICTORIA TO BRGY. SAN ISIDRO FMR, BRGY. DE VICTORIA AND BRGY. SAN ISIDRO, CALBAYOG CITY, SAMAR</t>
  </si>
  <si>
    <t>PURCHASE &amp; DELIVERY OF TABLET ( STUDENT EMPOWERMENT ASSISTANCE PROGRAM-COMPUTER AID</t>
  </si>
  <si>
    <t>2nd Invitation to Bid for the  IMPROVEMENT OF JCT. NATIONAL-GALINTUJA-DELACTAN-MAGINO ROAD Located at Alfonso Castañeda, Nueva Vizcaya</t>
  </si>
  <si>
    <t>(PVSO) 2ND INVITATION TO BID FOR THE SUPPLY AND DELIVERY OF ANIMAL FEEDS  AND VETERINARY SUPPLIES   FOR THE  PROVINCIAL VETERINARY SERVICES OFFICE (PVSO)</t>
  </si>
  <si>
    <t>Supply and Delivery of One (1) lot Various Furniture &amp; Fixtures</t>
  </si>
  <si>
    <t>SUPPLY AND DELIVERY OF BIOTECH LABORATORY EQUIPMENT FOR CULTURAL HERITAGE CENTER EQUIPMENT, MSU MAIN CAMPUS, MARAWI CITY</t>
  </si>
  <si>
    <t>2nd Invitation to Bid for the  IMPROVEMENT OF PALABOTAN-BANILA-CAINO-ANAYO-CANAREM ROAD Located at Dupax del Sur, Nueva Vizcaya</t>
  </si>
  <si>
    <t>Procurement of Various Drugs and Medicines (Re-Bidding) ITB#2020-17</t>
  </si>
  <si>
    <t>2nd Invitation to Bid for the  IMPROVEMENT OF SAN FERNANDO-BANAO-MANAING-LITLIT ROAD Located at Bambang, Nueva Vizcaya</t>
  </si>
  <si>
    <t>CONSTRUCTION OF NATIONAL CHILD DEVELOPMENT CENTER (RE-POST)</t>
  </si>
  <si>
    <t>SUPPLY AND DELIVERY OF AUDIO &amp; VISUAL EQUIPMENT  FOR CULTURAL HERITAGE CENTER, MSU MAIN CAMPUS, MARAWI CITY</t>
  </si>
  <si>
    <t>SUPPLY AND DELIVERY OF IT EQUIPMENT FOR CULTURAL HERITAGE CENTER EQUIPMENT, MSU MAIN CAMPUS, MARAWI CITY</t>
  </si>
  <si>
    <t>2nd Invitation to Bid for the  IMPROVEMENT OF JCT. NATIONAL-BATU-BALINTUGON ROAD Located at Alfonso Castañeda, Nueva Vizcaya</t>
  </si>
  <si>
    <t>SUPPLY AND DELIVERY OF MISTING MACHINE (ITB No. 2020-145-B)-(pgo-pdrrmd)</t>
  </si>
  <si>
    <t>Establishment of Drainage System at Ogaong, Sto. Niño FMR</t>
  </si>
  <si>
    <t>PHASE II PALAUI SUB STATION (Kitchen &amp; Plastering)</t>
  </si>
  <si>
    <t>ROAD CONCRETING, BRGY. SAN ISIDRO, DULAG LEYTE</t>
  </si>
  <si>
    <t>(GO)  2ND INVITATION TO BID FOR THE SUPPLY AND DELIVERY OF 12, 750 MONOBLOCK CHAIRS    FOR THE  GOVERNOR’S OFFICE (GO)</t>
  </si>
  <si>
    <t>Supply and Delivery of One (1) lot Various Materials for Construction of Retaining Wall of the Proposed Lot Area for Multi-Purpose Covered Court Building (Phase I) Balugo</t>
  </si>
  <si>
    <t>20IJ-0089 CONSTRUCTION OF RAINWATER COLLECTION SYSTEM (RWCS),</t>
  </si>
  <si>
    <t>PROVISION OF ADDITIONAL FISHING GEARS AS AN ALTERNATIVE LIVELIHOOD TO MUNICIPAL MODIFIED DANISH SEINE (HULBOT – HULBOT DE MANO)</t>
  </si>
  <si>
    <t>Construction of 1 Barrel (2.4m. x 1.8m.) Spillway Type Box Culvert along Jct. Capinonan-Mauswagon Freedom Road at Cabanglasan</t>
  </si>
  <si>
    <t>Construction of Flood Control Structure along Cebole-Pinilayan-Sta. Cruz Road (Construction of RC Box Culvert) at Quezon</t>
  </si>
  <si>
    <t>Supply and Delivery of One (1) lot Various Office Equipment</t>
  </si>
  <si>
    <t>Construction of Box Culvert along Jct. (Nat'l. Highway) Palacapao-East Dalurong-West Dalurong Road at Kitaotao</t>
  </si>
  <si>
    <t>Supply and Delivery of Operating Room (OR) Medical Supplies ITB NO. 2020-18</t>
  </si>
  <si>
    <t>(PGSO) 2ND INVITATION TO BID FOR THE SUPPLY AND DELIVERY OF CONSTRUCTION MATERIALS  FOR THE  PROVINCIAL GENERAL SERVICES OFFICE (PGSO)</t>
  </si>
  <si>
    <t>SUPPLY AND DELIVERY OF PASSENGER TYPE VAN (ITB No. 2020-130-C)-(pgo-pdrc)</t>
  </si>
  <si>
    <t>CONSTRUCTION OF MATERIALS RECOVERY FACILITY, MERCED, BANATE, ILOILO</t>
  </si>
  <si>
    <t>Purchase of Materials  for Compliance to the Protocol on COVID 19 Preventive  Measures by Establishing Facilities Needed Lot 1,2,3,4</t>
  </si>
  <si>
    <t>Supply and Delivery of uPVC Pipes with EPDM Rubber Gasket (Re-bidding)</t>
  </si>
  <si>
    <t>20GF0008 - For use of Repair/Rehabilitation/Iprovement of Road Shoulder along Dulawan-Marbel Road K1745+300-K1745+700 (Left Side), Tinumiguez, Lambayong, Sultan Kudarat</t>
  </si>
  <si>
    <t>SUPPLY AND DELIVERY OF FIVE (5) UNITS PEANUT SHELLER</t>
  </si>
  <si>
    <t>Supply, Delivery, Installation, Commissioning and Testing of Jail Service Digital Communications Systems for Region VI</t>
  </si>
  <si>
    <t>SUPPLY AND DELIVERY OF FURNITURE &amp; FIXTURE FOR CULTURAL HERITAGE CENTER EQUIPMENT, MSU MAIN CAMPUS, MARAWI CITY</t>
  </si>
  <si>
    <t>20MC-GOODS-041 Supply &amp; Delivery of Duplicator Machines for City DepEd of LGU - Masbate City</t>
  </si>
  <si>
    <t>Refill of Specialized Gas for CSR Stocking/Sales Purposes</t>
  </si>
  <si>
    <t>INVITATION TO BID PRINTING OF MODULES FOR SENIOR HIGH SCHOOLS</t>
  </si>
  <si>
    <t>EMBANKMENT OF PROPOSED ROAD AND OTHER STRUCTURES AT GREAT PARK, Brgy. 03 Poblacion, Can-avid Eastern Samar</t>
  </si>
  <si>
    <t>Supply and Delivery of Various Farm Machinery for the Climate Resilient Farm Productivity Support Project (CRFPSP)</t>
  </si>
  <si>
    <t>20IK0099-Concreting of Brgy. Lagundi – Brgy. Pangdan Farm to Market Road,Brgy. Lagundi and Brgy. Pangdan, Catbalogan City, Samar</t>
  </si>
  <si>
    <t>Repair of BJMP NHQ 2020</t>
  </si>
  <si>
    <t>Reproduction and delivery of printed learning modules</t>
  </si>
  <si>
    <t>Construction of 3Sty 6CL, Isidoro Suzara Memorial School, Puerto Galera</t>
  </si>
  <si>
    <t>Procurement and Installation of Closed Circuit Television (CCTV) System &amp; Relocation of the Old CCTV System</t>
  </si>
  <si>
    <t>CONSTRUCTION OF MARKET STALL-PHASE I</t>
  </si>
  <si>
    <t>AMP-20-07-042	Procurement of Glasswares (PR # 20-07-0140)</t>
  </si>
  <si>
    <t>PURCHASE OF FOUR (4) UNITS SPLIT TYPE AIR CONDITIONERS</t>
  </si>
  <si>
    <t>Digital Duplicator Machine/Photocopier Machine &amp; Office Supplies</t>
  </si>
  <si>
    <t>20MC-INFRA-039 Cluster #11 Const./Rehab. of Multi-purpose Buildings @ Various Barangyas in MAsbate City</t>
  </si>
  <si>
    <t>Regravelling of Barangay Roads</t>
  </si>
  <si>
    <t>Regravelling of Barangay Road</t>
  </si>
  <si>
    <t>20% Barangay Supplemental Budget CY2019 Improvement of Poblacion Waterworks</t>
  </si>
  <si>
    <t>Supply and Delivery of Vehicle Spare Parts and Accessories</t>
  </si>
  <si>
    <t>5% LDRRM CY 2020 SLOPE PROTECTION AT THE CEMETERY ROAD</t>
  </si>
  <si>
    <t>Provision and  Distribution of Quality Vegetable Seeds and Other Supplies for  OMA and IPAO 2nd Bid</t>
  </si>
  <si>
    <t>Rehabilitation of Water Supply System at Brgy. Sampaguita,Poblacion,Buliran &amp; San Jose</t>
  </si>
  <si>
    <t>Improvement Of Covered Court and Multi-purpose Hall</t>
  </si>
  <si>
    <t>Procurement of Patrolling Equipment in Support to Marine Protection Area Management – MENRO 2nd Bid</t>
  </si>
  <si>
    <t>Rehabilitation/Improvement of Municipal Cemetery</t>
  </si>
  <si>
    <t>Procurement of Forest and Fruit Trees to reforest/rehabilitate 7,000 hectares degraded forest land and to provide sustainable and environment friendly livelihood to lowland and upland areas</t>
  </si>
  <si>
    <t>Road Upgrading of Cadawingan-Guinatungan Road, Brgy. Guinatungan&amp;Brgy. Plaridel, Basud, Camarines Norte</t>
  </si>
  <si>
    <t>PROCUREMENT OF DIRECT DIGITAL RADIOGRAPHY SYSTEM</t>
  </si>
  <si>
    <t>20CSGG0001 - SUB-SURFACE EXPLORATION FOR THE PROPOSED WIDENING OF BRIDGES ALONG NATIONAL ROADS, CONSTRUCTION OF LOCAL ROADS AND BRIDGES AND CONSTRUCTION OF BY-PASS AND DIVERSION ROADS OF ILOILO 3RD AN</t>
  </si>
  <si>
    <t>20CSDM01 – Consultancy Services for the Conduct of Preliminary Detailed Engineering (Parcellary Survey) along Padre Burgos-Pototanin Road, Province of Quezon</t>
  </si>
  <si>
    <t>Service Provider for Technical Personnel, Drivers and Administrative Aide/Encoders  (ITB 03-2020)</t>
  </si>
  <si>
    <t>20CSD004:CONSULTING SERVICES FOR THE CONDUCT OF FEASIBILITY STUDY OF MALVAR - BALETE DIVERSION ROAD, BATANGAS</t>
  </si>
  <si>
    <t>CONST. OF ONE UNIT (1) DAY CARE CENTER PHASE 2</t>
  </si>
  <si>
    <t>Procurement for the Desilting and Declogging of Creeks</t>
  </si>
  <si>
    <t>AMP-20-07-045	Procurement of Hammer Drill (PR # 20-06-0125)</t>
  </si>
  <si>
    <t>20MC-INFRA-040 Cluster #12 Construction of Multi-purpose Buildings @ City Hall &amp; Motorpool Compounds, MAsbate City</t>
  </si>
  <si>
    <t>20MC-INFRA-038 Cluster #10 Const./Rehab. of Child Development Centers @ Various Barangays in Masbate City</t>
  </si>
  <si>
    <t>IMPROVEMENT OF SENIOR CITIZEN CENTER</t>
  </si>
  <si>
    <t>Procurement of Office Eqipment, Furniture and Fixtures</t>
  </si>
  <si>
    <t>Laptop and Printer</t>
  </si>
  <si>
    <t>Invitation To Bid</t>
  </si>
  <si>
    <t>Procurement of Various Drugs and Medicines-07-422(A)PGO</t>
  </si>
  <si>
    <t>20CSD003: CONSULTING SERVICES FOR THE CONDUCT OF FEASIBILITY STUDY OF PARIAN – SAN JOSE – BUCAL BYPASS ROAD</t>
  </si>
  <si>
    <t>20PI0098 - Improvement and rehabilitation of Sadsadan-Balicanao-Salin Access Road, Bauko, Mountain Province</t>
  </si>
  <si>
    <t>20PI0099 - Improvement of Bagnen Oriente - Bagnen Proper Provincial Road located at the vegetable producing Bauko, Mountain Province</t>
  </si>
  <si>
    <t>Concreting of Tulahong Local Road, Maasin, Iloilo</t>
  </si>
  <si>
    <t>20AD0110 : Construction of Classrooms Candon Information Technology NHS,     Candon City, Ilocos Sur</t>
  </si>
  <si>
    <t>HOSPITAL EQUIPMENT</t>
  </si>
  <si>
    <t>ESTABLISHMENT OF THREE (3) UNITS OF SMALL WATER IMPOUNDING SYSTEM (SWIS) AT BRGY. CAAGUTAYAN, SAN TEODORO, ORIENTAL MINDORO</t>
  </si>
  <si>
    <t>20PI0097 - CSSP - Bontoc - Mainit - Sagada Road leading to Guina-ang Rice Terraces, Mainit Hotsprings, Bomod-ok Falls, Mountain Province</t>
  </si>
  <si>
    <t>20AD0111 : Construction of Classrooms Santa Central School, Santa, Ilocos Sur</t>
  </si>
  <si>
    <t>Rehabilitation of Solar Streetlights, Cory Aquino Boulevard, Camarines Norte</t>
  </si>
  <si>
    <t>REHABILITATION OF MULTI-PURPOSE HALL</t>
  </si>
  <si>
    <t>LABOR AND MATERIALS FOR THE CONSTRUCTION OF PERIMETER FENCE ALONG BASKETBALL COURT</t>
  </si>
  <si>
    <t>Farm Mechanization as Climate Change Adaptation Measures to Build the Resiliency of ARBs under SLSDAA-CRFPS_Farm Inputs</t>
  </si>
  <si>
    <t>Procurement of 2 Units Motor Vehicle (Sports Utility Vehicle) for the use of the Ilocos Norte Police Provincial Office</t>
  </si>
  <si>
    <t>AMP-20-07-044	Procurement of Angel Grinder (PR # 20-06-0126)</t>
  </si>
  <si>
    <t>Construction/Expansion of Camarines Norte, Provincial Hospital Building, Bagasbas Road, Daet, Camarines Norte</t>
  </si>
  <si>
    <t>PURCHASE AND INSTALLATION OF CCTV AND DELIVERY OF DDR MATERIALS</t>
  </si>
  <si>
    <t>Construction of Side Slope Protection at Manacliw River</t>
  </si>
  <si>
    <t>Purchase of Materials for the Improvement of Buenavista Drainage System (Phase II) - M.E.O.</t>
  </si>
  <si>
    <t>Purchase of Additional Materials for the Coastal Resource Management Program - M.E.O.</t>
  </si>
  <si>
    <t>Supply, Delivery, Installation, Commissioning, Configuration, Integration and Testing of Regional Jail Service Intelligence Center BJMP RO XI</t>
  </si>
  <si>
    <t>PR No. 20061132 – Supply and Delivery of Police, Military&amp; Security Equipment for CNPJ Security Supplies Use</t>
  </si>
  <si>
    <t>Purchase/Delivery and Installation of CCTVs</t>
  </si>
  <si>
    <t>Construction of Multi-Purpose Drying Pavement</t>
  </si>
  <si>
    <t>Purchase and Delivery of Office Supplies</t>
  </si>
  <si>
    <t>Rehabilitation of Municipal Road</t>
  </si>
  <si>
    <t>Rehabilitation of Fire Alarm, Smoke Detector, Fire Hose System and Fire Exit Stairs, TLJPH, Silay City, Neg. Occ./PEO-2018-3162</t>
  </si>
  <si>
    <t>CATERING SERVICES OF FOODS AND DRINKING/BEVERAGES</t>
  </si>
  <si>
    <t>Purchase and Delivery of Medicines and Other Medical Supplies</t>
  </si>
  <si>
    <t>20MD0134 Concreting of Brgy. Balongis to Brgy. Balabak FMR, Brgy. Balongis and Brgy. Balabak, Pikit, North Cotabato</t>
  </si>
  <si>
    <t>PROCUREMENT OF CIVIL WORKS FOR THE CONSTRUCTION OF CAMBUG CONCRETE PORT, BRGY. MCAMBUG, AL BARKA, BASILAN.</t>
  </si>
  <si>
    <t>Construction of Multi-Purpose Building at Fortunata Village, Barangay San Isidro, Parañaque City, Metro Manila</t>
  </si>
  <si>
    <t>20MD0135 Concreting of Brgy. New Panay to Brgy. New Leon FMR, Brgy. New Panay and Brgy. New Leon, Aleosan, North Cotabato</t>
  </si>
  <si>
    <t>Procurement of  Brand  New Van-Type AMBULANCE</t>
  </si>
  <si>
    <t>Road Opening of Macnit-Languyin     	  Polillo, Quezon</t>
  </si>
  <si>
    <t>Pag-IBIG Fund CHQ (PROVISION OF A QUANTITATIVE SURVEY ON LEVELS OF AWARENESS  AND PREFERENCE ON PAG-IBIG FUND PRODUCTS)</t>
  </si>
  <si>
    <t>Construction of  Agos River Flood Control                                             Infanta, Quezon</t>
  </si>
  <si>
    <t>Procurement of Civil Work for the Construction of Bucalao Concrete Port, Barangay Bucalao, Al Barka Basilan.</t>
  </si>
  <si>
    <t>Procurement of Civil Works for the Construction of Extension Roro Sitio Lakit, Brgy. Kuhun Lennuh, Al Barka, Basilan.</t>
  </si>
  <si>
    <t>SUPPLY &amp; DELIVERY OF VARIOUS MECHANICAL SPARE PARTS UNIT 4 FOR 315KW FG WILSON PERKINS MODEL NO. 2506A-E15TAG3, SERIAL NO. MGDF7150U10595A INTENDED FOR MARIPIPI DPP</t>
  </si>
  <si>
    <t>Step Stool (set of 3)</t>
  </si>
  <si>
    <t>Improvement of Multi-Purpose Hall (Bleachers and Pavement)</t>
  </si>
  <si>
    <t>THE PURCHASE OF MATERIALS FOR THE ROAD IMPROVEMENT OF STA. ANA ST., BRGY. 30 &amp; 31 (FROM EXISTING PAVEMENT-LUZURIAGA ST.)</t>
  </si>
  <si>
    <t>HFE: 50	boxes	disposable face mask--100	boxes	Disposable clean gloves; FOR THE USE CLIENT AND STAFF FOR HOME FOR THE ELDERLY.</t>
  </si>
  <si>
    <t>PRINTING OF COLLEGE YEARBOOK SY 2019-2020 INCLUDING PHOTOGRAPHY</t>
  </si>
  <si>
    <t>20FK0060-Cluster XV Repair/Maintenance of Barn House II, and Repair of Maintenance of DPWH Quarters Cabid-an and Guinlajon, Sorsogon City</t>
  </si>
  <si>
    <t>IMPROVEMENT OF SAN MATEO LEVEL III WATER SYSTEM</t>
  </si>
  <si>
    <t>Supply and Delivery of Various Medicines &amp; Medical Supplies for Rural Health Unit (1st - 3rd Quarter)</t>
  </si>
  <si>
    <t>INVITATION TO BID FOR LABOR AND MATERIALS FOR THE IMPROVEMENT/ENHANCEMENT OF HISTORICAL SITES</t>
  </si>
  <si>
    <t>Purchase/Delivery and Installation of Sound System at the People's Hall</t>
  </si>
  <si>
    <t>IMPROVEMENT OF BARANGAY NEW LEON LEVEL II WATER SYSTEM</t>
  </si>
  <si>
    <t>Furnishing of materials for the Construction of Drainage Canal</t>
  </si>
  <si>
    <t>Medical Supplies - NP</t>
  </si>
  <si>
    <t>Supply of Labor and Materials for Transmission Line Program along DRT Highway between BS Aquino Avenue and V. Gonzales Street Including Permits</t>
  </si>
  <si>
    <t>PURCHASE OF ONE PICK UP TRUCK FOR USE OF CDRRMO CAVITE CITY</t>
  </si>
  <si>
    <t>Construction of slope protection wall at dimatulang creek</t>
  </si>
  <si>
    <t>Construction of Minanga slope protection at bridge approach</t>
  </si>
  <si>
    <t>Construction of flood control at Diana</t>
  </si>
  <si>
    <t>PROC OF CIVIL WORKS OF FLOOD CONTROL (150meters)</t>
  </si>
  <si>
    <t>CONSTRUCTION OF PAGANGAN LEVEL II PWS</t>
  </si>
  <si>
    <t>Widening of Road Lot 2 with Drainage and Streetlights</t>
  </si>
  <si>
    <t>CONSTRUCTION OF FENCE/SEAWALL</t>
  </si>
  <si>
    <t>Construction of flood control at Malasin</t>
  </si>
  <si>
    <t>IMPROVEMENT OF BANGAO B/C</t>
  </si>
  <si>
    <t>SUPPLY &amp; DELIVERY OF INJECTOR SLEEVE REMOVER KIT FOR 160KW FG WILSON (PERKINS) MODEL NO. P300H-1; SERIAL NO. FGWNAV04P JSW00270 INTENDED FOR CAPUL DPP</t>
  </si>
  <si>
    <t>PROCUREMENT OF MICRO-INFRA PROJECTS - CLUSTER 1</t>
  </si>
  <si>
    <t>PURCHASE OF MATERIALS FOR IMPROVEMENT OF FACILITIES AT SOCIAL DEVELOPMENT CENTER, BRGY. SINGCANG-AIRPORT, BACOLOD CITY</t>
  </si>
  <si>
    <t>FOR THE PROCUREMENT OF PLYWOOD FOR DISASTER AFFECTED</t>
  </si>
  <si>
    <t>CONSTRUCTION/REHABILITATION/ IMPROVEMENT OF DRAINAGE SYSTEM @ BRGY. 27</t>
  </si>
  <si>
    <t>PROCUREMENT OF MEDICINE</t>
  </si>
  <si>
    <t>ROAD CONCRETING PUROK 3</t>
  </si>
  <si>
    <t>VARIOUS MATERIALS FOR THE CONSTRUCTION OF MULTI-PURPOSE BUILDING  (PHASE-2)</t>
  </si>
  <si>
    <t>PURCHASE OF TWO (2) DESKTOP COMPUTER FOR LAMAK CS</t>
  </si>
  <si>
    <t>CONSTRUCTION OF BASKETBALL COURT PERIMETER FENCE</t>
  </si>
  <si>
    <t>PURCHASE OF MATERIALS FOR THE CONCRETING OF ROAD AT FORTUNE TOWNE, 5TH ROAD, BRGY. ESTEFANIA</t>
  </si>
  <si>
    <t>Supply and Installation of Regulatory and Informatory Signages</t>
  </si>
  <si>
    <t>Negotiated Procurement of Motor Vehicles (Patrol Vehicles) for the use of 16 Barangays of Lopez, Quezon</t>
  </si>
  <si>
    <t>Supplies for Module Printing</t>
  </si>
  <si>
    <t>20GCB0009: Procurement of Network Equipment and Cables, DPWH-Bataan 2nd DEO</t>
  </si>
  <si>
    <t>Improvement of Road (GAD) Balacang St, Magsaysay</t>
  </si>
  <si>
    <t>Waterworks Equipment</t>
  </si>
  <si>
    <t>MAINTENANCE OF LOCAL ROADS &amp; BRIDGES</t>
  </si>
  <si>
    <t>Construction of Shoreline Protection at Brgy. San Antonio</t>
  </si>
  <si>
    <t>CONCRETING OF BARANGAY ROAD @ ZONE 6</t>
  </si>
  <si>
    <t>SUPPLY &amp; DELIVERY OF VARIOUS MECHANICAL SPARE PARTS FOR 80KW CUMMINS.  MODEL 6BTAA5.9-G2; SERIAL NO.: 78333539 INTENDED FOR STO NINO DPP</t>
  </si>
  <si>
    <t>DIETARY SUPPLEMENTATION FOR PREGNANT WOMEN</t>
  </si>
  <si>
    <t>Improvement of Road (GAD) Mataddong, Bantay</t>
  </si>
  <si>
    <t>PURCHASE &amp; DELIVERY OF SUPPLIES AND MATERIALS OF VARIOUS OFFICE</t>
  </si>
  <si>
    <t>PURCHASE OF ONE (1) UNIT LAPTOP FOR LAMAK CS</t>
  </si>
  <si>
    <t>20EB0134: Completion of Evacuation Center, Sto. Niño, Sablayan, Occidental Mindoro</t>
  </si>
  <si>
    <t>SUPPLY AND DELIVERY OF T'NALAK, WOVEN ABACA TEXTILES AND BLOUSE DECORATED WITH MOTHER OF PEARL SHELLS</t>
  </si>
  <si>
    <t>PROCUREMENT OF CONSTRUCTION MATERIALS FOR THE REHABILITATION OF TEMPORARY SHELTERS</t>
  </si>
  <si>
    <t>Supply and delivery of streetlight supplies and materials for installation and maintenance of streetlights at various barangay of Capas,Tarlac</t>
  </si>
  <si>
    <t>Installation of Pipeline at Bagumbayan, Pilar, Bataan</t>
  </si>
  <si>
    <t>SUPPLY &amp; DELIVERY OF VARIOUS MECHANICAL SPARE PARTS FOR 163KW PERKINS GENSET MODEL: 2006-TGI, SERIAL NO. 52/ENGINE NO.:8B27396U86224V  INTENDED FOR SAN VICENTE DPP</t>
  </si>
  <si>
    <t>Construction of 2STY6CL School Building at Midas Elementary School, Midas ES, Itogon, Benguet</t>
  </si>
  <si>
    <t>CONST. OF TIAONG MUN. HOSPITAL (HOSPITAL LIFT ELEVATOR/RESTRUCTURING/ROOFING)-MUNICIPAL GROUND, BRGY.POB.3</t>
  </si>
  <si>
    <t>20II0064, Concreting of Brgy. Bangon to Brgy. Bonifacio to Brgy. Lonoy FMR, Brgy. Bangon, Brgy. Bonifacio &amp; Lonoy, Gamay Northern Samar</t>
  </si>
  <si>
    <t>PURCHASE OF MATERIALS FOR THE ROAD IMPROVEMENT AT SAN SEBASTIAN ST. (DAWIS), BRGY. 13 (SAN JUAN ST. TO PALANCA ST.)</t>
  </si>
  <si>
    <t>PURCHASE OF LAPTOP FOR EBEIS ROOM OF HILONGOS SOUTH CENTRAL SCHOOL</t>
  </si>
  <si>
    <t>Construction of Perimeter Fence at Brgy. Poblacion, Tolosa, Leyte</t>
  </si>
  <si>
    <t>Construction of Labayao-Tuway Road ,Construction of Malingin-Cabadiangan Road, Construction of Pamunglo-Pokan-Davao-Malingin Road and Construction of Labayao-Lobo-Kibugtong-Lanao Road</t>
  </si>
  <si>
    <t>PURCHASE OF MATERIALS FOR THE ROAD IMPROVEMENT AT JUNCTION BURGOS AND SAN JUAN STREETS (SAN JUAN TO RECLAMATION AREA) (BURGOS TO BRIDGE)</t>
  </si>
  <si>
    <t>CONCRETING OF CVR BASCARAN-SINGIAN-AGGUB ROAD Located at Solano, Nueva Vizcaya</t>
  </si>
  <si>
    <t>20GCB0008: Resurfacing of Shoulders along Gov. J.J. Linao Road (SO4822LZ) Binukawan Section (Both Sides) Bagac, Bataan</t>
  </si>
  <si>
    <t>CONSTRUCTION OF ARINGAY FIRE STATION, LA UNION, CY 2020 (REBIDDING)</t>
  </si>
  <si>
    <t>Supply and Delivery of Office Supplies for Elementary &amp; Secondary Schools, Cuyo District</t>
  </si>
  <si>
    <t>Continuation of Multi-Purpose Pavement @ Mapaoay, Ipil</t>
  </si>
  <si>
    <t>Concreting of Road @ Employees Village, Bulanao</t>
  </si>
  <si>
    <t>Procurement of One (1) unit Prime Mover with Low Bed Trailer</t>
  </si>
  <si>
    <t>Protection Wall @ Purok 3, Cabaritan</t>
  </si>
  <si>
    <t>RECONSTRUCTION OF TUCAL BRIDGE APPROACH (ABUTMENT &amp; WATERWAY) Located at Solano, Nueva Vizcaya</t>
  </si>
  <si>
    <t>REHABILITATION OF CVR BAYOMBONG-MASOC-AMBAGUIO ROAD (AMBAGUIO SECTION) Located at Ambaguio, Nueva Vizcaya</t>
  </si>
  <si>
    <t>Construction of 2 units palay shed</t>
  </si>
  <si>
    <t>SUPPLY &amp; DELIVERY OF VARIOUS MECHANICAL SPARE PARTS FOR 80KW CUMMINS.  MODEL 6BTAA5.9-G2; SERIAL NO.: M-C110 INTENDED FOR MINI GRID STO NINO</t>
  </si>
  <si>
    <t>IMPROVEMENT OF JCT. SALINAS-MAPAYAO-BINALIAN-BABADI-PINAYAG-NANSIAKAN ROAD Located at Kayapa, Nueva Vizcaya</t>
  </si>
  <si>
    <t>RECONSTRUCTION OF LABBUNAN BRIDGE (ABUTMENT &amp; WATERWAY) Located at Villaverde, Nueva Vizcaya</t>
  </si>
  <si>
    <t>VARIOUS LABORATORY SUPPLIES</t>
  </si>
  <si>
    <t>Improvement of Road @ Isla Basao, San Juan</t>
  </si>
  <si>
    <t>SUPPLY &amp; DELIVERY OF VARIOUS MECHANICAL SPARE PARTS FOR 100KW CUMMINS.  MODEL 6BTA59G2; SERIAL NO.: 78333492 INTENDED FOR LIMASAWA DPP</t>
  </si>
  <si>
    <t>Improvement of Pathways along NRRES, L. Millan and P. Ramos St., Brgy. Poblacion West, Asingan, Pangasinan.</t>
  </si>
  <si>
    <t>Concreting of Kiloyao Road</t>
  </si>
  <si>
    <t>Rehabilitation of Cover Court</t>
  </si>
  <si>
    <t>CONSTRUCTION OF WATER SYSTEM</t>
  </si>
  <si>
    <t>IMPROVEMENT OF BACOLOD ARTS CENTER, BCNHS CPD., BRGY. TACULING, BACOLOD CITY</t>
  </si>
  <si>
    <t>Construction of Box Culvert @ Dulgadog, Lucog</t>
  </si>
  <si>
    <t>PCDP : MEDICAL SUPPLIES  FOR CDP</t>
  </si>
  <si>
    <t>Covered Walk @ Bulanao CS, Bulanao Norte</t>
  </si>
  <si>
    <t>Upgrading and Improvement of Kaytitinga JCT- Pilipit - Baliwag Roat at Kaytitinga Section, at Barangay Kaytitinga I, Alfonso, Cavite.</t>
  </si>
  <si>
    <t>Irrigation System Counterpart to NIA (GAD) Namnama, Laya West</t>
  </si>
  <si>
    <t>Construction of Box Culvert @ Balani, Lucog</t>
  </si>
  <si>
    <t>Supply and Delivery of Service Land Rescue Vehicle (Pick up Rescue Car)</t>
  </si>
  <si>
    <t>B20200283 - ELECTRICAL SUPPLIES FOR DNSTC GROUND AND BUILDING MAINTENANCE</t>
  </si>
  <si>
    <t>Concreting of Montay - USM Road</t>
  </si>
  <si>
    <t>Barangay Development Project 20% Development Fund( Multi-Purpose Hall, Water Supply System, Flood &amp; Erosion Control Project, &amp; Evacuation Center)</t>
  </si>
  <si>
    <t>B20200285 - FUEL FOR REHAB OF JCT HWAY GUADALUPE-BDRY. TAGUM PROV'L. ROAD (PHASE I), CARMEN, DDN 3RD QTR.</t>
  </si>
  <si>
    <t>Improvement of Road @ Saranay, Laya East</t>
  </si>
  <si>
    <t>FURNISHING OF LABOR AND MATERIALS FOR THE CONSTRUCTION OF MULTIPURPOSE GYM/ EVACUATION CENTER OF BARANGAY NAPNAPAN NORTE, SITIO NASULI, TIGBAUAN, ILOILO</t>
  </si>
  <si>
    <t>B20200284 - FUEL FOR REHAB OF FD. RD.2 STO. TOMAS-MAGWAWA &amp; SAN MIGUEL CROSING KINAMAYAN PROV'L. RD (PH I)</t>
  </si>
  <si>
    <t>PURCHASE OF FLAT SCREEN TV</t>
  </si>
  <si>
    <t>B20200282 - FUEL FOR VARIOUS LOCAL ROADS &amp; DRAINAGE DEV'T. PRJ. (REVISED) BE DUJALI (3RD QTR.)</t>
  </si>
  <si>
    <t>REHABILITATION/IMPROVEMENT OF CLOSED DUMPSITE, BARANGAY GENGAROG, SAN JOSE, NORTHERN SAMAR</t>
  </si>
  <si>
    <t>20DL0232 - CONCRETING OF BAGONG SILANG FMR, BRGY. BAGONG SILANG, TAGKAWAYAN, QUEZON</t>
  </si>
  <si>
    <t>B20200281 - FUEL FOR REHAB OF FD. RD 3 SAN JOSE PROV'L. RD (PHASE I), STO TOMAS, DDN</t>
  </si>
  <si>
    <t>B20200280 - FUEL FOR IMPV'T. OF MABAUS-SALVACION PROV'L. ROAD CONTINUING ROAD OPENING, CARMEN, DDN</t>
  </si>
  <si>
    <t>20DL0233 - CONCRETING OF BRGY. RIZAL FMR, BRGY. RIZAL, PEREZ, QUEZON</t>
  </si>
  <si>
    <t>B20200286 - FUEL FOR REHAB OF JCT HWAY GUADALUPE-BDRY. TAGUM PROV'L. ROAD (PHASE I) CARMEN, DDN 4TH QTR.</t>
  </si>
  <si>
    <t>IMPROVEMENT OF DRAINAGE CANAL</t>
  </si>
  <si>
    <t>Enhancing Rice Agricultural Productivity under CRFPS-MCBBFP_Farm Inputs</t>
  </si>
  <si>
    <t>Construction of drainage canal system phase II</t>
  </si>
  <si>
    <t>20EB0135: Construction of Evacuation Center/Multi-Purpose Center, Salvacion Elementary School, Salvacion, Rizal, Occidental Mindoro</t>
  </si>
  <si>
    <t>B20200279 - POULTRY BREEDER PARENT STOCK FEMALE AND MALE FOR MULTIPLIER FARM AT TALAINGOD, DDN</t>
  </si>
  <si>
    <t>Procurement of Materials for the Rehabilitation of Street Light at Brgy. Upper, Mahaplag, Leyte</t>
  </si>
  <si>
    <t>SUPPLY &amp; DELIVERY OF VARIOUS MECHANICAL SPARE PARTS FOR 163KW PERKINS GENSET MODE NO.L: 2006-TGI, SERIAL NO. 48 INTENDED FOR STO NINO DPP</t>
  </si>
  <si>
    <t>PROCUREMENT OF RADIOLOGIC EQUIPMENT  (ULTRASOUND &amp; FULL DIGITAL MOBILE X-RAY MACHINE)</t>
  </si>
  <si>
    <t>PROCUREMENT OF MATERIALS FOR THE CONTINUING CONSTRUCTION OF DAY CARE CENTER (PHASE II) OF BRGY. DORONG-AN, TIGBAUAN, ILOILO</t>
  </si>
  <si>
    <t>Provision of 1-Unit Disaster Risk Reduction &amp; Management (DRRM) Quick Response Vehicle</t>
  </si>
  <si>
    <t>Supply and Delivery of Materials to be used in the Concreting Roads in 8 Different Barangays, Naujan, Oriental Mindoro</t>
  </si>
  <si>
    <t>ROAD CONCRETING OF TOBACCO PRODUCING BARANGAY (CAMAAL)</t>
  </si>
  <si>
    <t>RFQ (20-07-074) T-shirts</t>
  </si>
  <si>
    <t>Supply of materials for renovation/rehabilitation/improvement of Multi-Purpose Hall</t>
  </si>
  <si>
    <t>Concreting of Sitio Parasapas Road</t>
  </si>
  <si>
    <t>20BD0013 – RE-AD -LOCAL PROGRAM – LOCAL INFRASTRUCTURE PROGRAM – BUILDINGS AND OTHER STRUCTURES – MULTIPURPOSE/FACILITIES – CONSTRUCTION OF MULTI-PURPOSE BUILDING IN STA. TERESA ELEMENTARY SCHOOL, BRG</t>
  </si>
  <si>
    <t>20EB0137: Construction of Protection Dike/Sea Wall, Brgy. V, San Jose, Occidental Mindoro</t>
  </si>
  <si>
    <t>20EB0136: Construction of Drainage Canal, Purok Luban, San Roque I, San Jose, Occidental Mindoro</t>
  </si>
  <si>
    <t>Construction of Covered Court, Covered Walkway (GAD) Dilag Integrated School, Dilag</t>
  </si>
  <si>
    <t>Concreting of Binatug-Luzcon Gangalan Road Section</t>
  </si>
  <si>
    <t>Construction of Municipal Parking Space</t>
  </si>
  <si>
    <t>Purchase of Calcium Hypochlorite</t>
  </si>
  <si>
    <t>Cluster 09-2020 (1. Installation of Railings and Construction of Drainage Towards Favuyan Barangay Health Center 2. Improvement of Tobtob Pathway with Slope Protection, Bontoc Ili 3.Concreting of Fata</t>
  </si>
  <si>
    <t>20BM-001 Construction of Street Lights, Barangay Malinta, Masbate City</t>
  </si>
  <si>
    <t>Purchase Office Equipment, LGU-Banga, South Cotabato</t>
  </si>
  <si>
    <t>Improvement of Farm to Market Road (Regravelling)</t>
  </si>
  <si>
    <t>BARANGAY SPRING, KIORAO, GUTAPOL &amp; LABUAGON WATER SYSTEM</t>
  </si>
  <si>
    <t>Upgrading/Concreting of Red Hills Brgy. Road-New Dagupan, Calintaan, Occidental Mindoro</t>
  </si>
  <si>
    <t>SUPPLY, DELIVERY, INSTALLATION AND COMMISSIONING OF VARIOUS OB-GYNE EQUIPMENT</t>
  </si>
  <si>
    <t>Construction of 1-Unit 2-Storey Isolation Building with Amenities (Phase 1)</t>
  </si>
  <si>
    <t>INVITATION TO BID FOR THE PROPOSED CONSTRUCTION OF BAHAY PAG-ASA PHASE II AT POBLACION, VALENCIA CITY, BUKIDNON</t>
  </si>
  <si>
    <t>SUPPLY AND DELIVERY OF VARIOUS ELECTRICAL SPARE PARTS FOR 300/336KW CUMMINS INTENDED FOR CALUYA DPP</t>
  </si>
  <si>
    <t>DELIVERY OF MATERIALS FOR THE IMPROVEMENT OF MULTI-PURPOSE HALL - LACA</t>
  </si>
  <si>
    <t>20BD0018 – RE-AD - LOCAL PROGRAM – LOCAL INFRASTRUCTURE PROGRAM – BUILDINGS AND OTHER STRUCTURES – MULTIPURPOSE/FACILITIES – REHABILITATION OF MULTI-PURPOSE BUILDING IN UGAC ELEMENTARY SCHOOL, BRGY. S</t>
  </si>
  <si>
    <t>Purchase of Risograph needed by the Elementary and High School for the reproduction of their educational materials</t>
  </si>
  <si>
    <t>20ND0075 - Concreting of Purok 6, Brgy. Bobon FMR, Brgy. Bobon, Butuan City</t>
  </si>
  <si>
    <t>20BD0017 – RE-AD - LOCAL PROGRAM – LOCAL INFRASTRUCTURE PROGRAM – BUILDINGS AND OTHER STRUCTURES – MULTIPURPOSE/FACILITIES – REHABILITATION OF MULTI-PURPOSE BUILDING, BRGY. MARACURU, ENRILE, CAGAYAN</t>
  </si>
  <si>
    <t>Repair and Maintenance of Infra Streetlight</t>
  </si>
  <si>
    <t>20BD0016 – RE-AD - LOCAL PROGRAM – LOCAL INFRASTRUCTURE PROGRAM – BUILDINGS AND OTHER STRUCTURES – MULTIPURPOSE/FACILITIES – REHABILITATION OF MULTI-PURPOSE BUILDING, BRGY. ROMA NORTE, ENRILE, CAGAYAN</t>
  </si>
  <si>
    <t>CONCRETING OF BARANGAY ROAD AT BRGY. BUKAL TAYSAN BATANGAS-077</t>
  </si>
  <si>
    <t>SUPPLY AND DELIVERY OF OFFICE SUPPLIES, MATERIALS AND EQUIPMENT</t>
  </si>
  <si>
    <t>Purchase of Drugs and Medicines for use in City Health Office, Silay City.</t>
  </si>
  <si>
    <t>Supply and Delivery of Equipment for Different Offices and Department.</t>
  </si>
  <si>
    <t>PURCHASE OF MULTI-PURPOSE PAPER</t>
  </si>
  <si>
    <t>CONCRETING OF BARANGAY ROAD AT BRGY. GUINHAWA TAYSAN BATANGAS-081</t>
  </si>
  <si>
    <t>20EB0138: Construction of Flood Control Structure, Malisbong, Sablayan, Occidental Mindoro</t>
  </si>
  <si>
    <t>SUPPLY AND DELIVERY OF OFFICE SUPPLIES, I.T. AND OFFICE EQUIPMENT</t>
  </si>
  <si>
    <t>CONSTRUCTION OF ONE(1) UNIT GPG-TYPE SCHOOL BUILDING AT STO. NIÑO  E/S TAYSAN,BATANGAS-075</t>
  </si>
  <si>
    <t>ITB FOR PROCUREMENT OF VARIOUS PAINTS</t>
  </si>
  <si>
    <t>Supply and Delivery of Information Technology Equipment</t>
  </si>
  <si>
    <t>20BD0025 – RE-AD - LOCAL PROGRAM – LOCAL INFRASTRUCTURE PROGRAM – BUILDINGS AND OTHER STRUCTURES – MULTIPURPOSE/FACILITIES – CONSTRUCTION (COMPLETION) OF MULTI – PURPOSE BUILDING, BRGY. CATARAUAN, AMU</t>
  </si>
  <si>
    <t>20ND0078 - Concreting of Purok 6, Brgy. Bonbon FMR, Brgy. Bonbon, Butuan City</t>
  </si>
  <si>
    <t>Purchase of Musical Instruments for Ajuy National High School</t>
  </si>
  <si>
    <t>20EB0139: Construction of Flood Control Gabions, Sitio Manggahan, Cabacao, Abra de Ilog, Occidental Mindoro</t>
  </si>
  <si>
    <t>20BD0027 – RE-AD - ORGANIZATIONAL OUTCOME 1: ENSURE SAFE AND RELIABLE NATIONAL ROAD SYSTEM, BRIDGE PROGRAM – WIDENING OF PERMANENT BRIDGES, MALABBAC BR. (B01917LZ) ALONG CAGAYAN VALLEY RD. BRGY. MALAB</t>
  </si>
  <si>
    <t>Upgrading for the Repair &amp; Maintenance of Street Lights</t>
  </si>
  <si>
    <t>Purchase of Plumbing Materials</t>
  </si>
  <si>
    <t>SUPPLY AND DELIVERY OF 17,247 BOXES OF CANNED SARDINES (155g,100 cans / box), 17,247 BOXES OF CANNED BEEFLOAF (155g,100 cans/ box) and 3,449,244 SACHETS OF COFFEE (3-in-1 20g)</t>
  </si>
  <si>
    <t>Procurement for the Supply and Delivery of Various Personal Protective Equipment (PPE), Municipal Disaster Risk Reduction Management Office, Barugo, Leyte</t>
  </si>
  <si>
    <t>INFRA PROJECT AUGUST 17, 2020</t>
  </si>
  <si>
    <t>Hog Fattening Project</t>
  </si>
  <si>
    <t>SUPPLY AND DELIVERY OF VARIOUS MECHANICAL SPARE PARTS FOR 192.5KW FG WILSON INTENDED FOR GUINTARCAN DPP</t>
  </si>
  <si>
    <t>SUPPLY AND DELIVERY OF IT PARAPHERNALIA FOR REPAIR AND MAINTENANCE OF ICT EQUIPMENT (2ND POSTING)</t>
  </si>
  <si>
    <t>SUPPLY AND DELIVERY OF VARIOUS ELECTRICAL SPARE PARTS FOR 106 KW CUMMINS INTENDED FOR BOHOL 2 MINI GRID</t>
  </si>
  <si>
    <t>Purchase of Equipment, Furniture and Fixtures for the Teen Center of Luca National High School</t>
  </si>
  <si>
    <t>Construction of Water Supply System Level II-Ilin Island, San Jose, Occidental Mindoro</t>
  </si>
  <si>
    <t>Construction of Drainage and Widening of Roads</t>
  </si>
  <si>
    <t>Vehicle</t>
  </si>
  <si>
    <t>20BD0039 – RE-AD - LOCAL PROGRAM - LOCAL INFRASTRUCTURE PROGRAM - BUILDINGS AND OTHER STRUCTURES - MULTIPURPOSE/FACILITIES - CONSTRUCTION OF MULTI-PURPOSE BUILDING, BRGY. LOGUNG, AMULUNG, CAGAYAN</t>
  </si>
  <si>
    <t>Supply and delivery of 184 sacks good quality white rice and 23 units weighing scales, fabrication of 14 units Nego karts, 40 units pedicabs and tools, equipment, grocery items for the implementation</t>
  </si>
  <si>
    <t>CONCRETING OF MUNICIPAL STREETS (LAPU-LAPU/ GREGORIO DEL PILAR / M.H. DEL PILAR STREET</t>
  </si>
  <si>
    <t>CONCRETING OF PILI-KARIHATAG ROAD (SOHOTON SECTION BYPASS)</t>
  </si>
  <si>
    <t>Procurement and Installation of Floating Pontoon</t>
  </si>
  <si>
    <t>Project 2020-17: Construction of Water Testing Laboratory</t>
  </si>
  <si>
    <t>PROCUREMENT OF 1-UNIT HIGH-END ROUTER UNDER MITHI FOR CY2020 (2ND BIDDING)</t>
  </si>
  <si>
    <t>CONSTRUCTION OF PERIMETER FENCE</t>
  </si>
  <si>
    <t>Purchase of Office Equipment for the Year 2020</t>
  </si>
  <si>
    <t>CONCRETING OF BARANGAY ROAD AT BRGY, MATAAS NA LUPA TAYSAN BATANGAS-078</t>
  </si>
  <si>
    <t>20GDB0038 Supply of Materials for the Repair/Maintenance of various Service Vehicle and Heavy Equipment of Maintenance Section of DPWH Batangas I DEO</t>
  </si>
  <si>
    <t>20EB0140: Construction of Gabions File Flood Control Protection, Zone 1 – Zone 5, Ilvita, Sablayan, Occidental Mindoro</t>
  </si>
  <si>
    <t>PROCUREMENT OF MATERIALS FOR THE CONST. OF PATHWAY PUROK 1 TO 7</t>
  </si>
  <si>
    <t>SUPPLY AND DELIVERY OF ICT EQUIPMENT UNITS AND HARDWARE PERIPHERALS CY 2020</t>
  </si>
  <si>
    <t>20BC0215 - Restoration of Eroded Shoulder along Manila North Road, K0601+330-K0601+413</t>
  </si>
  <si>
    <t>Procurement and Delivery of various materials for the Rehabilitation of multi-Purpose Hall</t>
  </si>
  <si>
    <t>Supply and Delivery of Vehicles</t>
  </si>
  <si>
    <t>PURCHASE OF PLASTIC CHAIRS</t>
  </si>
  <si>
    <t>Procurement for the Supply and Delivery of Various Medicines,  Municipal Health Office, Barugo, Leyte</t>
  </si>
  <si>
    <t xml:space="preserve">20BD0037 – RE-AD - ORGANIZATIONAL OUTCOME 1: ENSURE SAFE AND RELIABLE NATIONAL ROAD SYSTEM, NETWORK DEVELOPMENT PROGRAM – BRIDGE PROGRAM – WIDENING OF PERMANENT BRIDGES, TAGGA BRIDGE (B01908LZ) ALONG </t>
  </si>
  <si>
    <t>Purchase of Various Medicines for RHU</t>
  </si>
  <si>
    <t>20BD0068 – RE-AD - LOCAL PROGRAM - LOCAL INFRASTRUCTURE PROGRAM – BUILDINGS AND OTHER STRUCTURES - MULTIPURPOSE/FACILITIES - REHABILITATION OF MULTI-PURPOSE BUILDING, BRGY. MAGALALAG WEST, ENRILE, CAG</t>
  </si>
  <si>
    <t>SUPPLY AND DELIVERY OF OFFICE SUPPLIES AND EQUIPMENT NOT AVAILABLE AT PROCUREMENT SERVICE (PS)-DEPOT INTENDED FOR DIFFERENT OFFICES FOR CY 2020, THIS MUNICIPALITY</t>
  </si>
  <si>
    <t>Laboratory Reagents Subject to Ordering Agreement (REBID)</t>
  </si>
  <si>
    <t>Purchase of Brand New Utility Vehicle</t>
  </si>
  <si>
    <t>Supply and Delivery of Rice funded from Emerging/Re-emerging Disease Program/COVID-19 under PR No. 2020-06-2786</t>
  </si>
  <si>
    <t>20JB0087 - Repair/Maintenance of National Roads and Bridges along the Road Network of this          district at Intermittent Section 41x Emergency Projects (Roads) – Fabrication and Installation of Gu</t>
  </si>
  <si>
    <t>20GDB0039 Purchase of Consumables for Repair/Maintenance of Photocopier Machine (Sharp DX-2500) DPWH - Batangas I DEO</t>
  </si>
  <si>
    <t>Purchase of Steel Cabiner</t>
  </si>
  <si>
    <t>20JB0086 - Repair/Maintenance of National Roads and Bridges (41x Emergency Project) –  Fabrication and Installation of Right – of Way (ROW) Markers along the Road  Network of this district.</t>
  </si>
  <si>
    <t>Procurement of Supply &amp; Delivery of 2,200 bags Various NSIC Approved Hybrid Rice Seeds</t>
  </si>
  <si>
    <t>SUPPLY AND DELIVERY OF 287,437 BOTTLES OF LINIMENT OIL (60 ml) INTENDED FOR  “HALAD SA GUGMA ALANG KANG LOLA UG LOLO” TO SENIOR CITIZEN OF  51 LGUs IN THE PROVINCE OF CEBU</t>
  </si>
  <si>
    <t>20JB0085 - Repair/Maintenance of National Roads and Bridges 41x Special Maintenance (Roads) – Re-Blocking of Shattered Blocks (4.5m/block) along Dipolog – Punta – Dansullan – S. Osmeña Road</t>
  </si>
  <si>
    <t>Rehabilitation of Rural Health Unit @ Brgy. Tacas</t>
  </si>
  <si>
    <t>2020-07-55R Medical  Supplies</t>
  </si>
  <si>
    <t>20CB-GSC-452	PURCHASE OF FUEL FOR DEPED (RE-BID)</t>
  </si>
  <si>
    <t>PROCUREMENT OF COMMON SERVICE FACILITIES &amp; FARM IMPLEMENTS FOR THE IMPLEMENTATION OF CLIMATE RESILIENT FARM PRODUCTIVITY SUPPORT PROG.-SAPANG KAWAYAN, ARB COOPERATIVE (SKARBC), DIPACULAO, AURORA</t>
  </si>
  <si>
    <t>Purchase of construction materials for construction of Caluya Vendor Stall at Caluya Shoreline/seawall protection at Caluya, Sapang Dalaga, Mis. Occ.</t>
  </si>
  <si>
    <t>CONCRETING/CONSTRUCTION OF FARM TO MARKET ROAD</t>
  </si>
  <si>
    <t>20BD0067 – RE-AD - LOCAL PROGRAM - LOCAL INFRASTRUCTURE PROGRAM – BUILDINGS AND OTHER STRUCTURES - MULTIPURPOSE/FACILITIES - REHABILITATION OF MULTI-PURPOSE BUILDING, BRGY. INGA, ENRILE, CAGAYAN</t>
  </si>
  <si>
    <t>Relocation of Streetlights System, Salcedo St., Brgy. Capaoay, San Jacinto, Pangasinan</t>
  </si>
  <si>
    <t>REPAIRS OF OLD PIGGERY 1 &amp; 2 AT OMSC MURTHA DAMAGED BY TYPHOON URSULA</t>
  </si>
  <si>
    <t>SUPPLY AND DELIVERY OF 1 UNIT BRAND NEW RESCUE PICK-UP 4 X 4 FOR EMERGENCY AND DISASTER SITUATION AND DISASTER PREPAREDNESS PROGRAM,  THIS MUNICIPALITY /2020-009</t>
  </si>
  <si>
    <t>Purchase of LCD Projector including Installation</t>
  </si>
  <si>
    <t>20DP0079 : Concreting of Brgy. Limao FMR, Brgy. Limao, Calauan, Laguna</t>
  </si>
  <si>
    <t>Purchase and Delivery of Office Supplies, Equipment and Other Expenses for Various Offices</t>
  </si>
  <si>
    <t>SUPPLY AND DELIVERY OF 1 UNIT BRAND NEW RESCUE VAN VEHICLE FOR EMERGENCY AND DISASTER SITUATION AND DISASTER PREPAREDNESS PROGRAM,  THIS MUNICIPALITY /2020-010</t>
  </si>
  <si>
    <t>PROCUREMENT OF VARIOUS CONSTRUCTION MATERIALS AND SUPPLIES USE IN CONSTRUCTION OF WOMEN LIVELIHOOD AND TRAINING CENTER @ PIÑAN, ZN</t>
  </si>
  <si>
    <t>PROCUREMENT OF  GOAT AND SHEEP  ( INCLUDE SKILLS TRAINING)</t>
  </si>
  <si>
    <t>RE-BIDDING FOR THE PURCHASE OF ASSISTIVE DEVICE</t>
  </si>
  <si>
    <t>Labor Hire for Construction of Caluya Vendor Stall at shoreline/seawall protection at Caluya, Sapang Dalaga, Mis. Occ.</t>
  </si>
  <si>
    <t>SUPPLY AND DELIVERY OF HARDWARE MATERIALS FOR THE REHABILITATION OF PUBLIC MARKET ROOFING AND GUTTER, BGY. POBLACION,  THIS MUNICIPALITY /2020-008</t>
  </si>
  <si>
    <t>20DP0078 : Concreting of Brgy. Sabang FMR, Brgy. Sabang, Nagcarlan, Laguna</t>
  </si>
  <si>
    <t>Procurement of Levetiracetam</t>
  </si>
  <si>
    <t>SUPPLY AND DELIVERY OF HARDWARE MATERIALS FOR THE REHABILITATION OF PUBLIC MARKET, BGY. POBLACION,  THIS MUNICIPALITY /2020-007</t>
  </si>
  <si>
    <t>SUPPLY AND DELIVERY OF READING EYEGLASSES INTENDED FOR HALAD SA GUGMA ALANG KANG LOLO UG LOLA TO SENIOR CITIZENS OF 51 LGU’s OF CEBU PROVINCE</t>
  </si>
  <si>
    <t>SUPPLY AND DELIVERY OF 16,300 PIECES OF BRGY.TANOD T-SHIRTS (POLO, WITH PRINT, DRI-FIT CLOTH) FOR DISTRIBUTION OF T-SHIRTS TO BARANGAY TANODS IN CEBU PROVINCE</t>
  </si>
  <si>
    <t>Relocation of Streetlights, Sitio Centro, Brgy. Lobong, San Jacinto, Pangasinan</t>
  </si>
  <si>
    <t>NOTICE OF NEGOTIATED PROCUREMENT FOR THE  SUPPLY AND DELIVERY OF VARIOUS PUMPS PR Nos. 27090-001-003</t>
  </si>
  <si>
    <t>CONSTRUCTION/CONCRETING OF PROVINCIAL ROADS, HIGHWAYS AND BRIDGES (PILI-KARIHATAG ROAD SOHOTON SECTION BYPASS) (PHASE-II)</t>
  </si>
  <si>
    <t>Supply and Delivery of Plants to be used for the Second Phase Greening at Jose Abad Santos Avenue Center Island in the City of San Fernando, Pampanga</t>
  </si>
  <si>
    <t>Construction of Multi-purpose Hall</t>
  </si>
  <si>
    <t>Concreting of  Barangay Road (Phase VIII) @ San Eusebio Subd., Brgy. Zone II, Cadiz City</t>
  </si>
  <si>
    <t>PROCUREMENT OF JANITORIAL SERVICES FOR DBM-ROV FOR THE DURATION OF THREE (3) YEARS</t>
  </si>
  <si>
    <t>PURCHASE OF OFFICE SUPPLIES AND CONSUMABLES FOR THE USE OF VARIOUS OFFICES/PROGRAMS OF DSWD RO III FOR THE PERIOD OF AUGUST - SEPTEMBER 2020</t>
  </si>
  <si>
    <t>Supply &amp; Delivery of Medical Supplies for COVID-19 Response</t>
  </si>
  <si>
    <t>Installation of Solar Streetlights, Centro I, Barangay Lobong, San Jacinto, Panagasinan</t>
  </si>
  <si>
    <t>1 Lot Construction of 8.0m x 8.4m Brgy. Health Station, @ Brgy. Masara, Maco, Davao de Oro Province (Furnishing Labor, Equipment and Materials).</t>
  </si>
  <si>
    <t>Construction and/or Repair/Rehabilitation of Multi-Purpose Building, Old Brgy. Hall, Ninoy Aquino Ave., La Huerta, Parañaque City, Metro Manila</t>
  </si>
  <si>
    <t>CONSTRUCTION/IMPROVEMENT OF PROVINCIAL MANPOWER AND TRAINING CENTER</t>
  </si>
  <si>
    <t>Construction of One (1) Unit Water System @ Brgy. Malapag, Carmen, Cotabato</t>
  </si>
  <si>
    <t>Repair/Improvement of Covered Court/Stage and Backstage</t>
  </si>
  <si>
    <t>SUPPLY AND DELIVERY OF TEN (10) UNITS DESKTOP COMPUTER INTENDED FOR THE MAYOR’S OFFICE, THIS MUNICIPALITY /2020-012</t>
  </si>
  <si>
    <t>SUPPLY AND DELIVERY OF INFORMATION AND COMMUNICATION TECHNOLOGY EQUIPMENT FOR INFORMATION TECHNOLOGY (IT) CLIENT SYSTEM @ MAYOR’S OFFICE, THIS MUNICIPALITY /2020-011</t>
  </si>
  <si>
    <t>PROCUREMENT OF ONE (1) UNIT MANLIFTER</t>
  </si>
  <si>
    <t>CONSTRUCTION AND FABRICATION OF VARIOUS BARANGAY PROJECTS</t>
  </si>
  <si>
    <t>Purchase of  Equipment, Supplies and Matl's. for Satellite Production Center for Women Specialized in Sewing - MSWDO</t>
  </si>
  <si>
    <t>20DP0080 : Concreting of Brgy. Poblacion to Brgy. San Juan FMR, Brgy. Poblacion and Brgy. San Juan, Alaminos, Laguna</t>
  </si>
  <si>
    <t>Supply&amp; Delivery of Various Medicines (Re-bid)</t>
  </si>
  <si>
    <t>PROCUREMENT OF SECURITY SERVICES FOR DBM-ROV FOR THE DURATION OF THREE (3) YEARS</t>
  </si>
  <si>
    <t>PROCUREMENT OF ONE (1) LOT SUPPLY LABOR AND MATERIALS FOR THE REHABILITATION/CONVERSION OF EXISTING STRUCTURE TO FIT AS COVID-19 MUNICIPAL QUARANTINE AND ISOLATION CENTER</t>
  </si>
  <si>
    <t>SUPPLY AND DELIVERY OF INFORMATION TECHNOLOGY (IT) EQUIPMENT AND ACCESSORIES FOR E-GOVERNMENT FOR DIFFERENT OFFICES, THIS MUNICIPALITY /2020-013</t>
  </si>
  <si>
    <t>CONCRETING OF BARANGAY ROAD AT BRGY. BACAO, TAYSAN BATANGAS-082</t>
  </si>
  <si>
    <t>LABOR AND MATERIALS FOR THE RIPRAPPING OF MULTI-PURPOSE HALL AREA</t>
  </si>
  <si>
    <t>Pag-IBIG Fund CHQ (Supply, Delivery and Implementation of Various Network Equipment and Structured Fiber-Optic Network Backbone Cabling)</t>
  </si>
  <si>
    <t>Concreting of Ugalingan - Sitio Dungguan Road, Brgy. Ugalingan, Carmen, Cotabato</t>
  </si>
  <si>
    <t>Concreting of Farm-To-Market Road (FMR) Leading to Ecological Waste (Eco-Center) Processing Center</t>
  </si>
  <si>
    <t>Conduct Ground Delineation Survey of Community Protected Areas at Barangay Nurcia, Sibahay,Zone III, Mampi and Pakwan</t>
  </si>
  <si>
    <t>20CB-GSC-458	CATERING SERVICES WITH VENUE FOR SEF</t>
  </si>
  <si>
    <t>REPLACEMENT OF ROOFING BETWEEN 6- COMMERCIAL BUILDING @ PUBLIC MARKET</t>
  </si>
  <si>
    <t>Construction of One (1) Unit Water System @ Manarapan ES, Brgy. Manarapan, Carmen, Cotabato</t>
  </si>
  <si>
    <t>SUPPLY AND DELIVERY OF CHICKEN/EGGS PRODUCTION</t>
  </si>
  <si>
    <t>Rehabilitation of Street lighting System @ 7Sitio, Brgy. Lobong, San Jacinto, Pangasinan</t>
  </si>
  <si>
    <t>20EB0142: Concreting of Zone III to Zone V, Brgy. Sta. Lucia FMR, Brgy. Sta. Lucia, Sablayan, Occidental Mindoro</t>
  </si>
  <si>
    <t>Supply of Materials for FMR Cabulisan Boundary to Caminto</t>
  </si>
  <si>
    <t>SUPPLY AND DELIVERY OF DUPLICATORS</t>
  </si>
  <si>
    <t>COLLECTION, HAULING, TRANSPORT AND DISPOSAL OF WASTES OF CITY OF TRECE MARTIRES AUG.16 TO OCT.20,2020</t>
  </si>
  <si>
    <t>S2-EVO20-001 &amp; S2-WVO20-001 - Supply of Two (2) Years Security Services for Eastern and Western Visayas Areas Plants and Installations in Two (2) Packages</t>
  </si>
  <si>
    <t>19PL0162 - Concreting of Sitio San Isidro, Brgy. Cudal FMR, Brgy. Cudal, Tabuk City, Kalinga</t>
  </si>
  <si>
    <t>Purchase of Database Server for I-trac System, Smart UPS and Laptops under PR No. 2020-06-2661.</t>
  </si>
  <si>
    <t>DISTRIBUTION LINE EXPANSION AT BRGY. FABRICA - LABOR AND MATERIALS</t>
  </si>
  <si>
    <t>PROCUREMENT OF HARDWARE MATERIALS FOR REHABILITATION OF EXISTING BUSANAMCO RATTAN PROCESSING CENTER AT BARANGAY BUNGA, LANUZA, SURIGAO DEL SUR</t>
  </si>
  <si>
    <t>CONSTRUCTION OF BARANGAY HEALTH STATION P1</t>
  </si>
  <si>
    <t>Purchase of Medical Supplies for CMH</t>
  </si>
  <si>
    <t>Construction of One (1) Unit Water System @ Brgy. Ugalingan, Carmen, Cotabato</t>
  </si>
  <si>
    <t>Supply and Delivery of Rice funded from Emerging/Re-emerging Disease Program/COVID-19 under PR No. 2020-06-2808</t>
  </si>
  <si>
    <t>Supply and Delivery of Brand New Submersible Motor #6"</t>
  </si>
  <si>
    <t>FURNISHING AND DELIVERY OF RECONDITIONED MULTI-PURPOSE MULTI-CAB 4X4 VEHICLE</t>
  </si>
  <si>
    <t>Construction of Multi-Purpose Building @ Brgy. Kibudtungan, Carmen, COtabato</t>
  </si>
  <si>
    <t>Concreting of Road @ Carmen Eco-park Brgy. Liliongan</t>
  </si>
  <si>
    <t>Construction of Giant Swing @ Carmen Eco-Park</t>
  </si>
  <si>
    <t>S1-MRO20-010 - Supply and Delivery of Mechanical &amp; Electrical Spare Parts for 300kW Cummins Diesel Engine, Model No. KTA19-G2 Intended for Power Plants under MROD</t>
  </si>
  <si>
    <t>S1-SPS20-015 - Supply and Delivery of Spares, SF6 Gas Circuit Breaker and Lightning Arrester for Southern Palawan Substations and 69kV Transmission Lines</t>
  </si>
  <si>
    <t>20CB-GSC-460	REHABILITATION OF GOV'T BUILDING FOPR CDRRM (RE-BID)</t>
  </si>
  <si>
    <t>CID No. 20IO0083 (Re-Advertisement): Rehabilitation / Reconstruction / Upgrading of Damaged Paved Roads along Tigbao – Sta. Fe – San Miguel Road, K0907+400 – K0907+900, Tacloban City</t>
  </si>
  <si>
    <t>S1-SPS20-013 &amp; S1-SPS20-016 - Supply and Delivery of Spares, 21pcs of 90ft Steel Poles for Northern and Southern Palawan Substations &amp; 69kV Transmission Lines</t>
  </si>
  <si>
    <t>ITB No. 20-069  RE-BIDDING OF ONE (1) LOT SUPPLY AND DELIVERY OF LABOR, TOOLS, EQUIPMENT, MATERIALS, CONSUMABLES, SUPERVISION AND TECHNICAL EXPERTISE FOR THE CLEAN ROOM VALIDATION AND REPLACEMENT OF H</t>
  </si>
  <si>
    <t>Rehabilitation of Evacuation Center (Construction of Stockroom)</t>
  </si>
  <si>
    <t>PUBLIC BIDDING / PR 20-07-0430 / MULTI-FUNCTION PRINTERS</t>
  </si>
  <si>
    <t>PROCUREMENT OF OFFICE TABLES, CABINET AND CHAIRS</t>
  </si>
  <si>
    <t>CONSTRUCTION OF OPEN CANAL FOR FLOOD MITIGATION AT BRGY. SAN AGUSTIN ,TMC</t>
  </si>
  <si>
    <t>20DP0081 : Concreting of Purok 3, Brgy. Tuy-Baanan FMR, Brgy. Tuy-Baanan, Liliw, Laguna</t>
  </si>
  <si>
    <t>20PI0100 - Construction of Evacuation Center, Bilibid, Caluttit, Bontoc, Mountain Province</t>
  </si>
  <si>
    <t>REHABILITATION OF WATER SYSTEM</t>
  </si>
  <si>
    <t>PACKAGE PROJECT: A.) CONSTRUCTION OF BARANGAY HALL AT BLOCK 65, BARANGAY 21-C, POBLACION DISTRICT, DAVAO CITY B.) CONSTRUCTION OF MULTI- PURPOSE BUILDING AT BLOCK 65, BARANGAY 21-C, POBLACION DISTRICT</t>
  </si>
  <si>
    <t>Purchase of Humps</t>
  </si>
  <si>
    <t>20CB-GSC-459	CATERING SERVICES WITH VENUE (BUFFET LUNCH) FOR SEF</t>
  </si>
  <si>
    <t>S1-IDP20-002 - Supply and Delivery of Electrical Spare Parts of 2 x 100kW Perkins, 6 Cylinders of Itbayat DPP</t>
  </si>
  <si>
    <t>CONST. OF THREE (3) STOREY-SIX (6) CLASSROOOM SCH. BLDG. AT TMC ELEM. SCH. BRGY. SAN AGUSTIN , TMC</t>
  </si>
  <si>
    <t>Construction of Lined Canal, Confessor Street, Brgy. Zone II, City of Koronadal</t>
  </si>
  <si>
    <t>Installation of Solar Streetlighting System, Proper west, Brgy. Lobong, San Jacinto,Pangasinan</t>
  </si>
  <si>
    <t>Construction of Multi-Purpose Building and Sports Facility, Mabini Campus, Sta. Mesa, Manila (Phase III).</t>
  </si>
  <si>
    <t>S1-IDP20-001 - Supply and Delivery of PMS Spare Parts for Unit 1 &amp; 2 - 163kW Dale Perkins, 2006-TG1, 6 Cylinders of Itbayat DPP</t>
  </si>
  <si>
    <t>20EB0141: Concreting of Brgy. Bonbon FMR, Brgy. Bonbon, Looc, Occidental Mindoro</t>
  </si>
  <si>
    <t>1 Lot Concreting of Road, Masara, Maco, Davao de Oro Province (Furnishing Labor, Equipment and Materials).</t>
  </si>
  <si>
    <t>Supply of Materials for Opening of Road at Poblacion-Tinago (Diversion Road)</t>
  </si>
  <si>
    <t>POWER UPGRADING - CARAMOAN &amp; SALOGON CAMPUS</t>
  </si>
  <si>
    <t>INVITATION TO BID FOR THE PROPOSED CONSTRUCTION OF DRAINAGE CANAL AT MANANGKILA ST., VALENCIA CITY, BUKIDNON</t>
  </si>
  <si>
    <t>Supply of Materials for the Rehabilitation/Establishment of Marine Sanctuary</t>
  </si>
  <si>
    <t>20BD0024 – RE-AD - LOCAL PROGRAM – LOCAL INFRASTRUCTURE PROGRAM – BUILDINGS AND OTHER STRUCTURES – MULTIPURPOSE/FACILITIES – CONSTRUCTION OF MULTI – PURPOSE BUILDING, BRGY. SAN ROQUE, ENRILE, CAGAYAN</t>
  </si>
  <si>
    <t>CONST. OF TWO 92) STOREY PASALUBONG CENTER/EMPLOYEES CANTEEN AT CITY HALL COMPOUND, BRGY. SAN AGUSTIN, TMC</t>
  </si>
  <si>
    <t>Concreting of Poblacion - Noro FMR</t>
  </si>
  <si>
    <t>Construction of Heirloom Rice Center in Support to Heirloom Rice Processing and Marketing</t>
  </si>
  <si>
    <t>20BD0019 – RE-AD - LOCAL PROGRAM – LOCAL INFRASTRUCTURE PROGRAM – BUILDINGS AND OTHER STRUCTURES – MULTIPURPOSE/FACILITIES – REHABILITATION OF MULTI-PURPOSE BUILDING, BRGY. BANGAG, SOLANA, CAGAYAN</t>
  </si>
  <si>
    <t>CONSTRUCTION OF BOUNDARY ARC</t>
  </si>
  <si>
    <t>20ND0077 - Concreting of Brgy. Lemon to Brgy. Basag FMR, Brgy. Lemon and Brgy. Basag, Butuan City,  Agusan del Norte 1st  LD</t>
  </si>
  <si>
    <t>Installation of Solar Streetlights, Centro II, Brgy. Lobong, San Jacinto, Pangasinan</t>
  </si>
  <si>
    <t>20BD0015 – RE-AD - LOCAL PROGRAM – LOCAL INFRASTRUCTURE PROGRAM – BUILDINGS AND OTHER STRUCTURES – MULTIPURPOSE/FACILITIES – REHABILITATION OF MULTI-PURPOSE BUILDING, BRGY. MASICAL, AMULUNG, CAGAYAN</t>
  </si>
  <si>
    <t>Purchase of Rescue Vehicles for use of City Disaster Risk Reduction and Management Office</t>
  </si>
  <si>
    <t>MDRRM Operation center phase II</t>
  </si>
  <si>
    <t>20-DO-0088: Public Markets/Farmers Markets (Bagsakan Centers) and Public Cemeteries Projects – Expansion of Rodriguez Municipal Public Cemetery</t>
  </si>
  <si>
    <t>Procurement of Labor and Materials- Contruction of Pumping Station @ Inandawa</t>
  </si>
  <si>
    <t>Opening and Regravelling of Gaggabutan East Farm to Market Road(FMR)</t>
  </si>
  <si>
    <t>Procurement of Managed Cloud Services</t>
  </si>
  <si>
    <t>Various Office Equipment for Different Departments/Offices Province of Northern Samar</t>
  </si>
  <si>
    <t>Construction of overflow concrete bridge phase II</t>
  </si>
  <si>
    <t>Supply &amp; Delivery of Riso Graph Machine for use in reproduction of modules (DepEd-Maasin).</t>
  </si>
  <si>
    <t>Purchase of Motorcycle Barangay Patrol</t>
  </si>
  <si>
    <t>Procurement of Laboratory Supplies for the use of Dr. Rafael S. Tumbokon Memorial Hospital-EEDD, Kalibo, Aklan- Re Bidding/ITB no: 2020-400</t>
  </si>
  <si>
    <t>Supply &amp; Delivery of Materials to be used in the Repair and Maintenance of school building in various schools, Naujan, Oriental Mindoro</t>
  </si>
  <si>
    <t>Rehabilitation of Sapang Buwaya Creek Tributary near Napa &amp; Cervantes Compound, Brgy. Marcelo Green, Parañaque City, Metro Manila</t>
  </si>
  <si>
    <t>20-DO-0087: LOCAL PROGRAM – Local Infrastructure Program – Buildings and other Structures – Multipurpose/Facilities – Construction of Multi-purpose Building (Barangay Health Center), Sub-Urban Village</t>
  </si>
  <si>
    <t>Construction Of Drainage Canal @ All Puroks 2 &amp; 3, Bulanao Norte</t>
  </si>
  <si>
    <t>B20200278 - MEDICAL SUPPLIES FOR DDNH-KAPALONG ZONE</t>
  </si>
  <si>
    <t>Purchase/Upgrading of Health Facilities and Equipment, Maasin, Iloilo</t>
  </si>
  <si>
    <t>B20200277 - FURNITURES AND FIXTURES FOR DDNH-KAPALONG ZONE</t>
  </si>
  <si>
    <t>Supply and Delivery of 22,259 bags Urea (46-0-0) Granules</t>
  </si>
  <si>
    <t>ROAD CONCRETING AT BRGY. MULTI PURPOSE GYM GROUND</t>
  </si>
  <si>
    <t>Supply and Delivery of Truck Mounted Long Distance/ Wide Range Sprayer</t>
  </si>
  <si>
    <t>Supply and Delivery of Various Hybrid Rice Seeds</t>
  </si>
  <si>
    <t>Construction of Parasapas Diversion Dam</t>
  </si>
  <si>
    <t>REPAIR/IMPROVEMENT OF DAYCARE CENTER</t>
  </si>
  <si>
    <t>Purchase and Delivery of Office Machinery and Equipment for Elementary and Secondary Education</t>
  </si>
  <si>
    <t>SEF-20-07-01088 PRINTING OF MODULES FOR ALL SUBJECT AREAS</t>
  </si>
  <si>
    <t>Supply and Delivery of 2,086 bags Hybrid Corn Seeds (9kg/bag)</t>
  </si>
  <si>
    <t>20GDB0037 Purchase of Uniforms, Personal Protective Equipment (PPE) and Tools for Roadside Maintenance Workers and Maintenance Point Persons (MPP)</t>
  </si>
  <si>
    <t>Construction of the Livestock Research and Production Building</t>
  </si>
  <si>
    <t>20ND0076 - Concreting of Purok 3, Sitio Kabacungan, Brgy. Kinamlutan to Sitio Mandakpan, Brgy. San Vicente FMR, Butuan City Agusan del Norte 1st LD</t>
  </si>
  <si>
    <t>GF-20-06-00893 SUPPLY, INSTALLATION, TESTING AND COMMISSIONING OF AN ONLINE UNIFIED BUSINESS PERMIT APPLICATION SYSTEM FOR NEW, RENEWAL, AMENDMENT AND SPECIAL BUSINESS PERMITS (PHASE I)</t>
  </si>
  <si>
    <t>Supply and Delivery of Various Livestock and Poultry</t>
  </si>
  <si>
    <t>Riprapping of brgy. road @  Sitio Aguada San Teodoro,Mabini,Batangas</t>
  </si>
  <si>
    <t>NOTICE OF INVITATION TO SUBMIT PRICE OFFERS FOR THE NEGOTIATED PROCUREMENT OF THE REPAIR OF WAREHOUSE AT TUDELA, CAMOTES ISLAND, CEBU</t>
  </si>
  <si>
    <t>20GMH071 - SUPPLY/DELIVERYOFOFFICESUPPLIESFORUSEOFTHEDISTRICTENGINEER'SOFFICE,SULTANKUDARAT 2ND DISTRICT ENGINEERING OFFICE</t>
  </si>
  <si>
    <t>CID No. 20GLE0092/PR 20-07-0146 Purchase of Spare Parts for use in Heavy Equipment</t>
  </si>
  <si>
    <t>20GMH070 - SUPPLY/DELIVERYOFCOMBIBLINDSW/ACCESSORIESFORUSEOFRESIDENTAUDITOR'SOFFICE</t>
  </si>
  <si>
    <t>20GMH069 -  SUPPLY/DELIVERYOFCONSTRUCTIONMATERIALSFORTHEREPAIR/MAINTENANCEOFRCPCDRAINAGEOUTFALLALONGISULANJCT.-SEN.NINOYAQUINOROAD, K1802+350-K1802+360</t>
  </si>
  <si>
    <t>20GMH068 - SUPPLY/DELIVERYOFTIREANDBATTERYOFTOYOTAHILUXFORUSEOFCONSTRUCTIONSECTIONINTHESUPERVISION/INSPECTIONOFVARIOUSON-GOINGPROJECTSFOR3RDQUARTEROF 2020</t>
  </si>
  <si>
    <t>20GMH067 - SUPPLY/DELIVERYOFITSUPPLIESFORUSEOFPLANNINGANDDESIGNSECTION,DPWH-SULTANKUDARAT 2ND DISTRICT ENGINEERING OFFICE</t>
  </si>
  <si>
    <t>INSTALLATION OF 20 UNITS STREET LIGHTS</t>
  </si>
  <si>
    <t>Procurement of Consultancy Services (Individual) for the Review and Evaluation of the DSWD Self-Instructional Manual for Social Workers in Assessing Discernment of CICL</t>
  </si>
  <si>
    <t>20GMH066 - SUPPLY/DELIVERYOFITSUPPLIESFORUSEOFPLANNINGANDDESIGNSECTION,DPWH-SULTANKUDARAT 2ND DISTRICT ENGINEERING OFFICE</t>
  </si>
  <si>
    <t>SEF-20-07-01111- PROCUREMENT OF DIGITAL DUPLICATOR AND HEAVY DUTY ELECTRONIC STAPLER</t>
  </si>
  <si>
    <t>20GMH065 - SUPPLY/DELIVERYOFHEALTHPERSONALEQUIPMENTFORUSEINGENDERANDDEVELOPMENT(GAD)PROGRAM,DPWH-SULTANKUDARAT 2ND DISTRICT ENGINEERING OFFICE</t>
  </si>
  <si>
    <t>One (1) lot New Air Conditioning Units at Reception Area, Building A-Annex, BSP Quezon City</t>
  </si>
  <si>
    <t>CID No. 20GLE0090/PR 20-07-0144 Purchase of Spare Parts and Oils for use in Heavy Equipment</t>
  </si>
  <si>
    <t>Upgrading and Improvement of Proper Anlugan to Compound Anlugan Road</t>
  </si>
  <si>
    <t>CID No. 20GLE0089/PR 20-07-0143 Purchase of Tires for use in Mitsubishi Pick-Up, 123007, H1-6200</t>
  </si>
  <si>
    <t>SEF-20-07-01097 SUPPLY, DELIVERY, INSTALLATION, TESTING AND COMMISSIONING OF ONLINE LEARNING MANAGEMENT SYSTEM FOR SENIOR HIGH SCHOOL STUDENTS</t>
  </si>
  <si>
    <t>Purchase of Generator Set to be installed at New Public Market, Barangay Poblacion, Lobo, Batangas</t>
  </si>
  <si>
    <t>Supply and Delivery of 2,500 bags Inbred Seeds (Certified)</t>
  </si>
  <si>
    <t>20GAF0003, PURCHASE AND DELIVERY OF EQUIPMENT AND SUPPLIES FOR USE IN THE CONDUCT OF PRELIMINARY DETAILED ENGINERING, DPWH-LUSDEO, NATIVIDAD, NAGUILIAN, LA UNION</t>
  </si>
  <si>
    <t>VARIOUS SUPPLY AND MATERIALS FOR THE CONSTRUCTION OF MULTI-PURPOSE BUILDING (PHASE-1)</t>
  </si>
  <si>
    <t>Invitation To Bid To Supply and Delivery of Goods/Services for Equipment Rental of K2MIPP</t>
  </si>
  <si>
    <t>20BD0137 – REPAIR/MAINTENANCE OF NATIONAL ROAD: ASPHALT OVERLAY ALONG KALINGA CALANAN ROAD, K442+395 – K442+830 BL, ENRILE, CAGAYAN</t>
  </si>
  <si>
    <t>Upgrading and Improvement of Mendez - Alfonso Road at Barangay Panungyan, Mendez, Cavite.</t>
  </si>
  <si>
    <t>CID No. 20GLE0091/PR 20-07-0145 Purchase of Spare Parts for use in Heavy Equipment</t>
  </si>
  <si>
    <t>Contraction of Evacuation Center Phase 3</t>
  </si>
  <si>
    <t>CID No. 20GLE0093/PR 20-07-0147 Purchase of Fuel for use in various service vehicle of Davao Occidental DEO-Malita along Davao-Sarangani Coastal Road, Lapuan - Caburan Section (for 3rd Quarter CY 2020</t>
  </si>
  <si>
    <t>Procurement of Office and Other Supplies - MDRRMO,MO, ADMIN, Engineering</t>
  </si>
  <si>
    <t>Maghanda Magsiguro Makibalita</t>
  </si>
  <si>
    <t>Procurement of Fuel and Lubricants for the Office of the Municipal Administrator</t>
  </si>
  <si>
    <t>Procurement of Air Condition Floor Mounted  with Installation - MHO</t>
  </si>
  <si>
    <t>CID No. 20GLE0098/PR 20-07-0152 Purchase of Fuel for use in various Equipment/Service Vehicle Davao-Sarangani Coastal Road (Sta.Maria-Malita-JAS-Glan), Sta. Maria-Malita, Pangian-Pinalpalan Road, Demo</t>
  </si>
  <si>
    <t>CID No. 20GLE0097/PR 20-07-0151 Purchase of Fuel for use in various Equipment/Service Vehicle Davao-Sarangani Coastal Road (Sta.Maria-Malita-JAS-Glan), H-way Jnct.-lagumit-little baguio, New Argao, La</t>
  </si>
  <si>
    <t>Rehabilitation/Upgrading and Drainage Improvement of Dela Rosa Street and its Vicinity, Brgy. Pio del Pilar,  Makati City, Metro Manila</t>
  </si>
  <si>
    <t>FURNISHED LABOR AND MATERIALS FOR THE CONSTRUCTION OF TRIBAL HALL</t>
  </si>
  <si>
    <t>IMPROVEMENT OF BARANGAY SEAWALL</t>
  </si>
  <si>
    <t>Cluster II: Rehabilitation/Concreting of Batong Paloway Barangay Road/Datag Barangay Road</t>
  </si>
  <si>
    <t>Office Supplies Expenses</t>
  </si>
  <si>
    <t>Rehabilitation of Multi Purpose Hall</t>
  </si>
  <si>
    <t>CID No. 20GLE0094/PR 20-07-0148 Purchase of Fuel for use in various service vehicle of Davao Occidental DEO-Malita along Buhangin-Tubalan-Kitana-Pinalpalan Projects (for 3rd Quarter CY 2020).</t>
  </si>
  <si>
    <t>CONSTRUCTION OF MRF</t>
  </si>
  <si>
    <t>Rehabilitation/Reblocking of San Andres Poblacion Municipal Road</t>
  </si>
  <si>
    <t>20GMH072 - SUPPLY/DELIVERYOFOFFICESUPPLIESANDITEQUIPMENTFORUSEOFTHEASSISTANTDISTRICTENGINEER'SOFFICE,SULTANKUDARAT2NDDISTRICT ENGINEERING OFFICE</t>
  </si>
  <si>
    <t>Construction of Deep Well &amp; Shed (GAD) Madopdop, Lacnog</t>
  </si>
  <si>
    <t>Improvement of Road @ Bayabat, Dilag</t>
  </si>
  <si>
    <t>CID No. 20GLE0096/PR 20-07-0150 Purchase of Fuel for use in various Equipment/Service Vehicle Davao-Sarangani Coastal Road (Sta.Maria-Malita-JAS-Glan) Lapuan - Caburan Road Section Within Davao Occide</t>
  </si>
  <si>
    <t>Upgrading and Improvement of Maragondon - General E. Aguinaldo Road at Barangay Mabato, Maragondon, Cavite.</t>
  </si>
  <si>
    <t>Construction of Hanging Footbridge at Barangay Buntalan  Connecting Tigum River-Abay, Maasin, Iloilo</t>
  </si>
  <si>
    <t>Procurement of Materials for the Road Concreting at Sitio Taglibas, Brgy. Upper, Mahaplag, Leyte</t>
  </si>
  <si>
    <t>Construction of Drainage Canal (GAD) All Puroks, Bagumbayan</t>
  </si>
  <si>
    <t>CID No. 20GLE0095/PR 20-07-0149 Purchase of I.T. Accessories and Supplies for use in Office of the District Engineer (I.T. Support Officer).</t>
  </si>
  <si>
    <t>Construction of Information research center for farmers</t>
  </si>
  <si>
    <t>REHAB./UPGRADING OF CADINGRASAN BRIDGE Located at Villaverde, Nueva Vizcaya</t>
  </si>
  <si>
    <t>SUPPLY AND DELIVERY OF VARIOUS ELECTRICAL SPARE PARTS FOR 163KW PERKINS, MODEL NO. 2006-TGI, SERIAL NO. 8B27396U86337U INTENDED FOR SAN ANTONIO DPP</t>
  </si>
  <si>
    <t>Construction of Barangay Barrido Health Station</t>
  </si>
  <si>
    <t>Rehabilitation of Linong-Poblacion Road</t>
  </si>
  <si>
    <t>Concrete Paving of Brgy. San Isidro-MH Del Pilar Road, Rural Access(Road Upgrading), Brgy. San Isidro-MH Del Pilar, Pontevedra, Neg. Occ./PEO-2020-0988</t>
  </si>
  <si>
    <t>PURCHASE OF 50 sacks of Rice</t>
  </si>
  <si>
    <t>20GNE0041-Supplies/Deliveries of Surveillance Camera System with Installation in the New DPWH Building, DIDEO for the 3rd Quarter C.Y. 2020</t>
  </si>
  <si>
    <t>Concreting of Tuy-an East Local Road, Tuy-an East, Maasin, Iloilo</t>
  </si>
  <si>
    <t>Printing and Delivery of Modules</t>
  </si>
  <si>
    <t>AMP-20-07-043	Procurement of Portable High Pressure Washer (PR # 20-06-0127)</t>
  </si>
  <si>
    <t>Demolition and Relocation of Existing Satellite Clinic and Tanod Outpost (Negotiated Procurement - Two Failed Bidding) / Contract No. NP IF 2020-07-001</t>
  </si>
  <si>
    <t>Procurement of Streetlights</t>
  </si>
  <si>
    <t>Purchase and Installation of Solar Street Lighting</t>
  </si>
  <si>
    <t>S3-B1920-002 (PB2) - Furnishing of Labor and Materials for Dry Docking and Ship Repair of PB 119</t>
  </si>
  <si>
    <t>Procurement of Construction Materials for Construction of Spider Lily Production Area</t>
  </si>
  <si>
    <t>Construction of Bumasgao Waterworkd</t>
  </si>
  <si>
    <t>S1-PLB20-001 - Supply and Delivery of Spare Parts for 1 x 80kW Cummins Engine, 6BTAA5.9-G2 of Palumbanes DPP</t>
  </si>
  <si>
    <t>S1-B0620-006 - Supply, Delivery and Test of 110 VDC Storage Battery for Power Barge 106</t>
  </si>
  <si>
    <t>CONSTRUCTION OF DRUG REHABILITATION CENTER BRGY. ALIJIS, BACOLOD CITY</t>
  </si>
  <si>
    <t>PURCHASE &amp; DELIVERY OF IT EQUIPMENT (LAPTOP) AND DUPLICATING MACHINE TO BE USED BY ELEMENTARY SCHOOL</t>
  </si>
  <si>
    <t>Procurement of Outboard Motor Capacity Building for SRR</t>
  </si>
  <si>
    <t>REPAIR/REHABILITATION OF CLASSROOMS CY 2020 QUICK RESPONSE FUND under Basic Educational Facilities Funds (BEFF) Cluster 5</t>
  </si>
  <si>
    <t>City Slaughter House and Facilities</t>
  </si>
  <si>
    <t>Rehabilitation/Upgrading and Drainage Improvement along Conorado Street, Gonzales Street and its Vicinity, Brgy. Guadalupe Viejo, Makati City, Metro Manila</t>
  </si>
  <si>
    <t>Construction of Comfort Room</t>
  </si>
  <si>
    <t>REPAIR/REHABILITATION OF CLASSROOMS CY 2020 QUICK RESPONSE FUND under Basic Educational Facilities Funds (BEFF) Cluster 3</t>
  </si>
  <si>
    <t>REPAIR/REHABILITATION OF CLASSROOMS CY 2020 QUICK RESPONSE FUND under Basic Educational Facilities Funds (BEFF) Cluster 2</t>
  </si>
  <si>
    <t>20EB0098: Concreting of Farm to Market Road, Sitio Cawit to Brgy. Gapasan, Magsaysay, Occidental Mindoro</t>
  </si>
  <si>
    <t>20EB0095: Construction of Barangay Hall, Brgy. VI, Paluan, Occidental Mindoro</t>
  </si>
  <si>
    <t>20EB0096: Construction of Protection Dike, Sitio Aroma, Brgy. Tayamaan, Mamburao, Occidental Mindoro</t>
  </si>
  <si>
    <t>REPAIR/REHABILITATION OF CLASSROOMS CY 2020 QUICK RESPONSE FUND under Basic Educational Facilities Funds (BEFF) Cluster 1</t>
  </si>
  <si>
    <t>20EB0093: Construction of Evacuation Center, Brgy. Tayamaan, Mamburao, Occidental Mindoro</t>
  </si>
  <si>
    <t>20EB0132: Construction of 2STY-4CL, Mapaya II ES, San Jose, Occidental Mindoro</t>
  </si>
  <si>
    <t>Electrical Works for Basketball Court Spotlight at Brgy. San Roque, Alaminos City, Pangasinan</t>
  </si>
  <si>
    <t>20EB0097: Construction of Evacuation Center, Concepcion Elementary School, Concepcion, Calintaan, Occidental Mindoro</t>
  </si>
  <si>
    <t>20EB0094: Construction of Balibago Bridge, Brgy. Payompon, Mamburao, Occidental Mindoro</t>
  </si>
  <si>
    <t>Fabrication of 1 pair Movable Basketball Board with Ring for SK SPorts League 2020 at Brgy. San Roque, Alaminos CIty, Pangasinan</t>
  </si>
  <si>
    <t>REPAIR/REHABILITATION OF CLASSROOMS CY 2020 QUICK RESPONSE FUND under Basic Educational Facilities Funds (BEFF) Cluster 4</t>
  </si>
  <si>
    <t>20GK0233 - Construction of 2STY4CL, Silay SPED Center, Silay City</t>
  </si>
  <si>
    <t>Construction/ Rehabilitation of Bahay Silangan Center at Camp Samal Brgy. Arcon, Tumauini, Isabela</t>
  </si>
  <si>
    <t>20GK0235 - Construction of Workshop Bldg. (7X18), Sofronio Carmona Mem. NHS (Annex), Salvador Benedicto, Negros Occidental</t>
  </si>
  <si>
    <t>Proosed Potable Water Supply (Level II / III) Luz Banzon - Kimaya</t>
  </si>
  <si>
    <t>20GK0234 - Construction of 2STY6CL, Jose M. Consing Memorial School, Enrique B.  Magalona (Saravia), Negros Occidental</t>
  </si>
  <si>
    <t>Procurement of VEHICLES</t>
  </si>
  <si>
    <t>LOCAL ROAD UPGRADING (AM 2019)</t>
  </si>
  <si>
    <t>REPAIR/REHABILITATION OF CLASSROOMS CY 2020 QUICK RESPONSE FUND under Basic Educational Facilities Funds (BEFF) Cluster 13</t>
  </si>
  <si>
    <t>REPAIR/REHABILITATION OF CLASSROOMS CY 2020 QUICK RESPONSE FUND under Basic Educational Facilities Funds (BEFF) Cluster 12</t>
  </si>
  <si>
    <t>REPAIR/REHABILITATION OF CLASSROOMS CY 2020 QUICK RESPONSE FUND under Basic Educational Facilities Funds (BEFF) Cluster 11</t>
  </si>
  <si>
    <t>20GK0232 - Construction of 2STY4CL, Paitan IS, Escalante</t>
  </si>
  <si>
    <t>REPAIR/REHABILITATION OF CLASSROOMS CY 2020 QUICK RESPONSE FUND under Basic Educational Facilities Funds (BEFF) Cluster 10</t>
  </si>
  <si>
    <t>REPAIR/REHABILITATION OF CLASSROOMS CY 2020 QUICK RESPONSE FUND under Basic Educational Facilities Funds (BEFF) Cluster 8</t>
  </si>
  <si>
    <t>REPAIR/REHABILITATION OF CLASSROOMS CY 2020 QUICK RESPONSE FUND under Basic Educational Facilities Funds (BEFF) Cluster 14</t>
  </si>
  <si>
    <t>TRAINING AND STUDENT ACTIVITY CENTER (TSAC) PHASE 3 (REBIDDING)</t>
  </si>
  <si>
    <t>REPAIR/REHABILITATION OF CLASSROOMS CY 2020 QUICK RESPONSE FUND under Basic Educational Facilities Funds (BEFF) Cluster 9</t>
  </si>
  <si>
    <t>AMP SVP-S NO: 20-07-0405  One (1) Lot Amazon Web Services Training</t>
  </si>
  <si>
    <t>REPAIR/REHABILITATION OF CLASSROOMS CY 2020 QUICK RESPONSE FUND under Basic Educational Facilities Funds (BEFF) Cluster 6</t>
  </si>
  <si>
    <t>Reproduction of Alternative Delivery Mode for K to 12 Learners</t>
  </si>
  <si>
    <t>Supply and Delivery of One (1) lot Various Supplies and Ingredients for Supplementary Feeding for Day Care Children</t>
  </si>
  <si>
    <t>REPAIR/REHABILITATION OF CLASSROOMS CY 2020 QUICK RESPONSE FUND under Basic Educational Facilities Funds (BEFF) Cluster 7</t>
  </si>
  <si>
    <t>Construction Projects in the Municipality of Tumauini</t>
  </si>
  <si>
    <t>CONSTRUCTION OF  EVACUATION CENTER</t>
  </si>
  <si>
    <t>Rehabilitation of Drainage System and Pavement along Capitol Area, Brgy. Capaclan, Romblon, Romblon</t>
  </si>
  <si>
    <t>2020-07-0997-1000 - Supply and Delivery of Assorted Goods for SFP Implementation</t>
  </si>
  <si>
    <t>20EB0133: Construction of 2STY-6CL, Concepcion NHS, Calintaan, Occidental Mindoro</t>
  </si>
  <si>
    <t>CONCRETING OF MABUHAY ROAD</t>
  </si>
  <si>
    <t>PBD 20-087 Disposal of PCB Wastes at UP International Center</t>
  </si>
  <si>
    <t>INSTALLATION OF STREET LIGHTS ALONG PROVINCIAL ROAD FROM PUROK 3 TO PUROK 4, BARANGAY COMAGASCAS</t>
  </si>
  <si>
    <t>Supply and Delivery of Soil Cover for City Waste Disposal Facility (PR No. 20-07-0257)</t>
  </si>
  <si>
    <t>Procurement of Ambulance Van for use in transferring of patients from Corcuera (Calatrava to RPH-Odiongan) and PDRRMO, Province of Romblon</t>
  </si>
  <si>
    <t>Supply and Delivery of Medical/Laboratory Equipment (PR No. 20-06-0243)</t>
  </si>
  <si>
    <t>INVITATION TO BID FOR THE DELIVERY OF MATERIALS FOR THE CONTINUATION OF TWO STOREY BARANGAY MULTI PURPOSE HALL</t>
  </si>
  <si>
    <t>Procurement of Educational Materials and Supplies</t>
  </si>
  <si>
    <t>Clustered Project 2019</t>
  </si>
  <si>
    <t>IMPROVEMENT/REHABILITATION OF DRAINAGE CANAL</t>
  </si>
  <si>
    <t>Various Engineering Supplies</t>
  </si>
  <si>
    <t>CONSTRUCTION OF MULTI-PURPOSE HALL (PHASE I) IN BARANGAY POBLACION</t>
  </si>
  <si>
    <t>20IE0108 - Construction of Rainwater Collection System (RWCS),  Hinabuyan CS,  Villaba, Leyte</t>
  </si>
  <si>
    <t>20F00127 - CLUSTER III: A. Repair/Maintenance of DILG Building, PDEA RO-V Building, Camp Simeon Ola, Legazpi City; B. Repair/Maintenance of DepEd Building, DepEd RO-V Canteen Building, Regional Center</t>
  </si>
  <si>
    <t>HFW : 1 unit WEIGHING SCALE -- 20 pcs. HIGH DENSITY THICK YOGA MAT Medical Supplies and Equipment for Home for Woman.</t>
  </si>
  <si>
    <t>ITB No. 305000-48-2020 Food Supplies Expense</t>
  </si>
  <si>
    <t>20IE0107 - Construction of Rainwater Collection System (RWCS),  San Miguel ES, San Isidro, Leyte</t>
  </si>
  <si>
    <t>Rehabilitation of Drainage Canal, Installation of Checkered Plate Drainage and Manhole Covers, Carmen, SN 168 - 2020</t>
  </si>
  <si>
    <t>ITB No. 305000-45-2020 Food Supplies Expense</t>
  </si>
  <si>
    <t>ITB No. 301000-47-2020 Office Supplies Expense</t>
  </si>
  <si>
    <t>Concrete Paving of Road at Gold City Village (Phase 3), Balulang; SN 156 - 2020</t>
  </si>
  <si>
    <t>Concrete Paving of Road at Interior of Moco, Carmen; SN 157 - 2020</t>
  </si>
  <si>
    <t>ITB No. 301000-44-2020 Office Supplies Expense</t>
  </si>
  <si>
    <t>ITB No. 399000-43-2020 Other Supplies and Materials Expense</t>
  </si>
  <si>
    <t>20IE0106 - Construction of Rainwater Collection System (RWCS),  Tabunoc ES,  Villaba, Leyte</t>
  </si>
  <si>
    <t>ITB No. 399000-49-2020 Other Supplies and Materials Expense</t>
  </si>
  <si>
    <t>ITB No. 399000-46-2020 Other Supplies and Materials Expense</t>
  </si>
  <si>
    <t>Acquisition of Office Supplies</t>
  </si>
  <si>
    <t>20BF0065: Concreting of Brgy. Sta. Rita to Brgy. Nampicuan FMR, Brgy. Sta. Rita to Brgy. Nampicuan, Aurora, Isabela</t>
  </si>
  <si>
    <t>Improvement of Matingbe Wharf (Phase II)</t>
  </si>
  <si>
    <t>Construction of Anhaon Creek Bank Protection Structure Phase 2, Bulua; SN 159 - 2020</t>
  </si>
  <si>
    <t>Expansion of Evacuation Center in Barangay Magsaysay</t>
  </si>
  <si>
    <t>Renovation of Three (3) units Classroom School Building located at Dos Hermanas Elementary School</t>
  </si>
  <si>
    <t>Purchase of Animal and Zoological Supplies in the Office	of the Provincial Veterinarian, Bataan</t>
  </si>
  <si>
    <t>Local Access Road Construction at Purok 2 Aurelio to Purok 3 Justiniana Edera</t>
  </si>
  <si>
    <t>Concrete Paving of NHA Lourdesville Circumferential Road, Balulang (Phase 3); SN 158 - 2020</t>
  </si>
  <si>
    <t>ITB No. 301000-39-2020 Office Supplies Expense</t>
  </si>
  <si>
    <t>Construction/Rehabilitation of Existing Drainage System at Brgy. Don Esteban, Lapuz, Iloilo City (Bid No. 20-108)</t>
  </si>
  <si>
    <t>Concrete Paving of Ysalina St. GAP Section, Lumbia; SN 153 - 2020</t>
  </si>
  <si>
    <t>20IE0109 - Construction of Rainwater Collection System (RWCS),  Cahigan ES,  Villaba, Leyte</t>
  </si>
  <si>
    <t>Construction of Motorpool Building (Phase I) M. Francisco, Siocon, ZDN</t>
  </si>
  <si>
    <t>20IE0110 - Construction of Rainwater Collection System (RWCS),  Don Bernardo ES, Tabango, Leyte</t>
  </si>
  <si>
    <t>CONSTRUCTION OF STANDARD DAYCARE CENTER BUILDING WITH COMPLETE FACILITIES</t>
  </si>
  <si>
    <t>Public Address System</t>
  </si>
  <si>
    <t>COMPLETION OF STANDRD BIRTHING CLINIC - ALIMIT</t>
  </si>
  <si>
    <t>Construction of Aurelio ECCD Learning Center</t>
  </si>
  <si>
    <t>CONSTRUCTION OF EVACUATION CENTER-CATARAWAN</t>
  </si>
  <si>
    <t>3LSSM2020A-088 Other Supplies and Materials</t>
  </si>
  <si>
    <t>Construction of  Perimeter Fence Morong Senior High School (New Site) Morong, Bataan</t>
  </si>
  <si>
    <t>3LSSM2020A-087 Other Supplies and Materials</t>
  </si>
  <si>
    <t>3LSSM2020A-084 Office Supplies</t>
  </si>
  <si>
    <t>3LSSM2020A-083 Office Supplies</t>
  </si>
  <si>
    <t>IMPROVEMENT OF FMR-EDRALIN-ATAN ROAD</t>
  </si>
  <si>
    <t>3LSSM2020A-085 Food Supplies</t>
  </si>
  <si>
    <t>ITB NO. 20-068: RE-BIDDING FOR THE SUPPLY AND DELIVERY OF VARIOUS MEDICAL AND SURGICAL SUPPLIES</t>
  </si>
  <si>
    <t>3LSSM2020A-089 Other Supplies and Materials</t>
  </si>
  <si>
    <t>Supply, Delivery, Installation and Commissioning of 24 Units Solar Powered Pumps</t>
  </si>
  <si>
    <t>One (1) lot Calibration of Precision Equipment (12 items), as per BSP Technical Specifications, and Terms of Reference</t>
  </si>
  <si>
    <t>3LSSM2020A-086 Food Supplies</t>
  </si>
  <si>
    <t>Local Access Road Construction at Poblacion to Aurelio (Cemetery Area)</t>
  </si>
  <si>
    <t>Construction of Welcome Arch 1 Section (East &amp; West Entry Point, Cagayan de Oro City); SN 171 - 2020</t>
  </si>
  <si>
    <t>Local Access Road Construction at Isabel St., P2 San Juan</t>
  </si>
  <si>
    <t>Supply and Delivery of Agricultural Farm Machineries and Equipment /Inputs under CRFPSP</t>
  </si>
  <si>
    <t>Construction of Three (3) Storey 6 Classroom with Demolition  Completion of Three (3) Storey 6 Classroom with Demolition  at A. Mirasol Elementary School, mandurriao, Iloilo City (Bid No. 20-062)</t>
  </si>
  <si>
    <t>ITB No. 301000-42-2020 Office Supplies Expense</t>
  </si>
  <si>
    <t>20GGM0016 - Procurement of Engineering and Laboratory Testing Equipment for use in the Bridge Engineering and Building Inspection of the projects, DPWH, Negros Occidental 3rd District Engineering Offi</t>
  </si>
  <si>
    <t>Local Access Road Construction at Purok 3 to 5 Mahayahay</t>
  </si>
  <si>
    <t>20IE0105 - Construction of Rainwater Collection System (RWCS),  Daja CS, San Isidro, Leyte</t>
  </si>
  <si>
    <t>Construction of Slope Protection and Access Road at the Women and Children Crisis Center (Phase I &amp; II)</t>
  </si>
  <si>
    <t>RIPRAPPING (SLOPE PROTECTION) ALONG TOTONOGEN RIVER BANK BRGY. TOMANA EAST, ROSALES, PANGASINAN</t>
  </si>
  <si>
    <t>Construction of Drainage System Along Daumar St. from JR Borja St. to J. Ramonal St. (Brgy. 32) SN 162 - 2020</t>
  </si>
  <si>
    <t>ITB No. 399000-41-2020 Other Supplies and Materials Expense</t>
  </si>
  <si>
    <t>20GKJ0005: Supply and Delivery of Materials for Painting of Lane Line Markings along National Road and Bridges, Misamis Occidental 2nd DEO</t>
  </si>
  <si>
    <t>ITB No. 305000-40-2020 Food Supplies Expenses</t>
  </si>
  <si>
    <t>20BF0066: Concreting of Brgy. Quiling to Brgy. Doña Concha FMR, Brgy. Quiling and Brgy. Doña Concha, Roxas, Isabela</t>
  </si>
  <si>
    <t>PURCHASE OF MULTICAB</t>
  </si>
  <si>
    <t>Pavement Re-surfacing with Pebble at Wet Section Carmen Market; SN 169 - 2020</t>
  </si>
  <si>
    <t>ITB NO. (GDS)  2020-07-019 PROCUREMENT OF 1 UNIT DIESEL AMBULANCE MANUAL TRANSMISSION WITH COMPLETE ACCESSORIES, Province of Eastern Samar</t>
  </si>
  <si>
    <t>Procurement-Supply &amp; Delivery of Agricultural Supplies</t>
  </si>
  <si>
    <t>PURCHASE OF ONE (1) UNIT LAPTOP w/ COMPLETE ACCESSORIES and ONE (1) UNIT COMMUNICATION EQUIPMENT ( CELLPHONE)</t>
  </si>
  <si>
    <t>Repair/Improvement of Multipurpose Bldg. ( Old PNP Station)</t>
  </si>
  <si>
    <t>20FK0058-Concreting of Brgy. San Isidro Farm to Market Road San Isidro, Castilla, Sorsogon</t>
  </si>
  <si>
    <t>Procurement-For Furnishing Materials Labor &amp; Equipment in Connection w/ the Upgrading of Local Access Road located @ Purok 7, Brgy Road, San Isidro Village, Virac, Catanduanes</t>
  </si>
  <si>
    <t>COMPLETION OF MULTIPURPOSE GYM (PHASE II)-CAPISAAN</t>
  </si>
  <si>
    <t>Procurement-Supply &amp; Delivery of Office Equipment</t>
  </si>
  <si>
    <t>Subsurface Exploration/Geotechnical Investigation for the Construction of Flood Mitigation Structure/Revetment, Tacloban City</t>
  </si>
  <si>
    <t>Construction of Drainage at Diel St. towards Gumamela St., Carmen, SN 161 - 2020</t>
  </si>
  <si>
    <t>Procurement of medical, dental and lab supplies</t>
  </si>
  <si>
    <t>Improvement of Multipurpose Building, Tigbao, Zds)</t>
  </si>
  <si>
    <t>Upgrading of La Paz - Sitio Barnachea FMR</t>
  </si>
  <si>
    <t>FURNITURE AND OTHER ACCESSORIES FOR BIRTHING FACILITY</t>
  </si>
  <si>
    <t>20FK0059-Concreting of Brgy. Malinao Farm to Market Road to Brgy. Tuba Donsol, Sorsogon</t>
  </si>
  <si>
    <t>Concrete Fencing of Multi-Purpose Hall</t>
  </si>
  <si>
    <t>REHABILITATION/RECONSTRUCTION OF HANGING FOOT BRIDGE (between Alimit and Nagabgaban,Alimit)</t>
  </si>
  <si>
    <t>Procurement of Rice for COVID 19 Relief Operation</t>
  </si>
  <si>
    <t>20IE0112 - Construction of Rainwater Collection System (RWCS),  Uson ES, Calubian, Leyte</t>
  </si>
  <si>
    <t>Purchase of Motorcycles (Brand New)1.Two (2) units of Motorcycles - ₱ 100,000.00 2.One (1) unit of Motorcycle - ₱ 74,200.00 at Dinapigue, Isabela</t>
  </si>
  <si>
    <t>20IE0111 - Construction of Rainwater Collection System (RWCS),  Kawayan ES, Tabango, Leyte</t>
  </si>
  <si>
    <t>20GIB0036: Purchase/delivery of Blade and Spark Plug for use of Grasscutter and Chainsaw</t>
  </si>
  <si>
    <t>Purchased of Motorcycle 1 Unit of Honda TMX 125</t>
  </si>
  <si>
    <t>5-DAY (Live-In) GAD related ORIENTATION SEMINAR AND TRAINING FOR MUNICIPAL GAD FOCAL POINT SYSTEM</t>
  </si>
  <si>
    <t>Procurement of Labor and Materials- Upgrading &amp; Improvement of brgy. Road</t>
  </si>
  <si>
    <t>19GL00118; P.R. No. 2020-07-079 DATED 07/06/2020: PROCUREMENT OF DIESEL FUEL, FOR USE IN THE DREDGING EQUIPMENT AND SERVICE VEHICLE, ASSIGNED IN THE DREDGING OF AGUSAN RIVER, COMPOSTELA, DAVAO DE ORO,</t>
  </si>
  <si>
    <t>CONCRETING OF FMR (Provincial Road) Sta. Justa, Tibiao, Antique/IB No. K-2020-077(SC)</t>
  </si>
  <si>
    <t>LOT 35-PVDC-2020 Various Medical Supplies</t>
  </si>
  <si>
    <t>20IE0115 - Construction of Rainwater Collection System (RWCS),  Ugbon ES, Leyte, Leyte</t>
  </si>
  <si>
    <t>Construction of DCC and Provision of Facilities</t>
  </si>
  <si>
    <t>BARANGAY ENHANCEMENT PROGRAM - SPECIAL ACTION GROUP (2ND QUARTER)</t>
  </si>
  <si>
    <t>Completion of CLUP</t>
  </si>
  <si>
    <t>BARANGAY ENHANCEMENT PROGRAM - PEACE AND ORDER (2ND QUARTER)</t>
  </si>
  <si>
    <t>Construction of Multi-Purpose Hall for Casa Agrarian Cooperative located at Sitio Casa, Barangay Concepcion</t>
  </si>
  <si>
    <t>Construction of Day Care Center and Provision of its Facilities</t>
  </si>
  <si>
    <t>CONSTRUCTION OF DRAINAGE SYSTEM (PROCUREMENT OF MATERIALS)</t>
  </si>
  <si>
    <t>20IE0114 - Construction of Rainwater Collection System (RWCS),  Macupa CS, Leyte, Leyte</t>
  </si>
  <si>
    <t>PROCUREMENT OF TWO (2) UNITS REFRIGERATED TRUCK/REEFER VAN OF BFAR 6</t>
  </si>
  <si>
    <t>BARANGAY ENHANCEMENT PROGRAM - ARTS, CULTURE AND TOURISM (2ND QUARTER)</t>
  </si>
  <si>
    <t>Construction/Rehabilitation/Improvement of Multi-Purpose Hall at Brgy. Bakhaw, Mandurriao, Iloilo City (Bid No. 20-135)</t>
  </si>
  <si>
    <t>Procurement of ICT Equipment and Supplies</t>
  </si>
  <si>
    <t>20IE0113 - Construction of Rainwater Collection System (RWCS),  Limite ES, Calubian, Leyte</t>
  </si>
  <si>
    <t>PURCHASE OF 15 UNITS WHEEL TIRE LOCK CLAMPS AND IMMOBILITY CHAINS, 3 UNITS SPEEDGUN ( BUSHNELL SPEEDSTER 3 RADAR) AND TRAFFIC PARAPHERNALIA</t>
  </si>
  <si>
    <t>Opening/Rehabilitation/Improvement of FMR with Flood Control (Gabions and Matresses) at Bannawag</t>
  </si>
  <si>
    <t>Supply and Delivery of Five Thousand (5,000) Heads Mallard Ducks Ready-to-Lay for the Municipality of Roxas, Isabela</t>
  </si>
  <si>
    <t>SUPPLY AND DELIVERY OF 20 DESKTOP COMPUTERS FOR CICS LABORATORY USE</t>
  </si>
  <si>
    <t>FURNISHING AND DELIVERY OF ONE (1) UNIT CAMERA AND TWO (2) UNITS LAPTOP</t>
  </si>
  <si>
    <t>Construction of ICARE Center at Time Square Gaisano, Gaisano Time Square Center Compound, B. Aquino Ave. Mandurriao, Iloilo City (Bid No. 20-123)</t>
  </si>
  <si>
    <t>CONSTRUCTION OF FOUR (4) STOREY, TWENTY (20) CLASSROOM SCHOOL BUILDING BINALONAN NORTH CS SPED CENTER (BINALONAN NORTH CENTRAL IS) AT BINALONAN, PANGASINAN</t>
  </si>
  <si>
    <t>CONSTRUCTION OF MULTI-PURPOSE CENTER (Brgy. Delima, Belison, Antique)/IB No. K-2020-075(SC)</t>
  </si>
  <si>
    <t>SUPPLY AND DELIVERY OF IT SUPPLIES &amp; EQUIPMENT AND OFFICE SUPPLIES FOR THE DIVISION OFFICE FOR 4TH QUARTER OF 2020 (LOT 1-2)</t>
  </si>
  <si>
    <t>FURNISHING &amp; DELIVERY OF MATERIALS FOR THE REPAIR AND MAINTENANCE OF WATER SYSTEM @ JURISDICCION, JULIAN OLIVAS AND DACAL-LA FUGU</t>
  </si>
  <si>
    <t>Construction of Local bridge at barangay Switch</t>
  </si>
  <si>
    <t>SUBDIVISION SURVEY OF LANDHOLDING UNDER MODULE NO. 2020 CC-01 CY 2020</t>
  </si>
  <si>
    <t>Supplies &amp; Materials</t>
  </si>
  <si>
    <t>Procurement of Medicines and Medical Supplies</t>
  </si>
  <si>
    <t>Opening/Rehabilitation of FMR with RC Pipes #24 (includes wingwall ) at Malasin-Bagnos</t>
  </si>
  <si>
    <t>Rehab &amp; improvement of existing mun. water system</t>
  </si>
  <si>
    <t>RIP-RAPPING AND SLOPE PROTECTION</t>
  </si>
  <si>
    <t>CONCRETING OF APPROACH BOTH SIDES OF ATOG BRIDGE AND CONCRETING OF REMAINING 200 METERS PORTION OF PROVINCIAL ROAD (Brgy. Paliwan, Bugasong, Antique/IB No. K-2020-076(SC)</t>
  </si>
  <si>
    <t>Supply and Delivery of Deep Sea Fishing with Complete Accessories</t>
  </si>
  <si>
    <t>BARANGAY ENHANCEMENT PROGRAM - BARANGAY HALL (2ND QUARTER)</t>
  </si>
  <si>
    <t>Concreting of Footwalk in Bgy. Pantalan, Carles, Iloilo</t>
  </si>
  <si>
    <t>Supplemental/Bid Bulletin No. 2020-002</t>
  </si>
  <si>
    <t>Procurement of ICT Supplies</t>
  </si>
  <si>
    <t>Purchase of Digital Duplicating Machine</t>
  </si>
  <si>
    <t>Purchase and Deliver of Mini-Ambulance</t>
  </si>
  <si>
    <t>Supply and Delivery of Duplicating Machines.</t>
  </si>
  <si>
    <t>20IE0116 - Construction of Rainwater Collection System (RWCS),  Juson ES, Calubian, Leyte</t>
  </si>
  <si>
    <t>REHAB WATER SYSTEM</t>
  </si>
  <si>
    <t>Purchase of Common Use Office Supplies for LGU-Guinsiliban</t>
  </si>
  <si>
    <t>Supply and Delivery of Various Agricultural Products.</t>
  </si>
  <si>
    <t>Supply and Delivery of 1 unit Brand New 4x4 Automatic SUV Service Vehicle.</t>
  </si>
  <si>
    <t>Supply and Delivery of Various Seedlings.</t>
  </si>
  <si>
    <t>Procurement of Office and Janitorial Supplies</t>
  </si>
  <si>
    <t>20GKI0040 (Public Bidding) Contract Name: Purchased of Office Supplies and Other Various Items for use in the DPWH Office</t>
  </si>
  <si>
    <t>Concreting of Farm to Market Roads in various barangays</t>
  </si>
  <si>
    <t>Supply and Delivery of Drugs and Medicines for Medical and Dental Outreach.</t>
  </si>
  <si>
    <t>Elevator at Clark Museum (Civil Works)</t>
  </si>
  <si>
    <t>20PA0135 : REPAIR/MAINTENANCE OF SAN RAMON FLOOD CONTROL, Manabo, Abra</t>
  </si>
  <si>
    <t>BARANGAY MULTI PURPOSE CENTER CONSTRUCTION FOR SALAGUIAWAN AT SALAGUIAWAN , PATNONGON, ANTIQUE</t>
  </si>
  <si>
    <t>Concreting of Footwalk in Bgy. Tabugon, Carles, Iloilo</t>
  </si>
  <si>
    <t>CONSTRUCTION OF MULTI-PURPOSE CENTER (Barangay Sagua, Anini-y, Antique)/IB No. K-2020-074(SC)</t>
  </si>
  <si>
    <t>PURCHASE OF OFFICE SUPPLIES.</t>
  </si>
  <si>
    <t>20BC0178 re-adv.- Construction of 1 Storey 1 Classroom with CR, Minanga Elementary School, Piat Cagayan</t>
  </si>
  <si>
    <t>Public Bidding of 6 Lots for the Supply &amp; Delivery of Vehicle Spare Parts for Various Vehicles &amp; Heavy Equipment of the Equipment Pool Division, under ITB No. 2020-018R</t>
  </si>
  <si>
    <t>SUPPLY AND INSTALLATION OF MEDICAL GAS PIPING WORKS IN CCH BUILDING</t>
  </si>
  <si>
    <t>Purchase of Furniture Bgy. Asluman, Carles, Iloilo</t>
  </si>
  <si>
    <t>Supply and Delivery of Various Printing Requirements of the Corporate Affairs Office, as per BSP Production Specifications</t>
  </si>
  <si>
    <t>COMPLETION OF MULTI-PURPOSE CENTER (Lapaz ES, Barangay Lapaz, Hamtic, Antique/IB No. K-2020-072(SC)</t>
  </si>
  <si>
    <t>Construction of Irrigation Diversion Canal in Brgy. Abucay</t>
  </si>
  <si>
    <t>20GNE0040 – SUPPLIES/DELIVERIES FOR THE PROCUREMENT OF VARIOUS SPARE PARTS FOR THE PREVENTIVE MAINTENANCE OF THE OFFICIAL VEHICLES OF DPWH-DIDEO, DPWH-COMPOUND, BRGY. CUARINTA, SAN JOSE, DINAGAT ISLAN</t>
  </si>
  <si>
    <t>CLUSTER 36-2020</t>
  </si>
  <si>
    <t>Construction of Soil Erosion Slope Protection</t>
  </si>
  <si>
    <t>Invitation to Bid for the Expansion of Level 3 Water System Phase 12</t>
  </si>
  <si>
    <t>CONCRETING OF MUNICIPAL ROADS, Poblacion, Can-avid Eastern Samar</t>
  </si>
  <si>
    <t>CLUSTER 37-2020</t>
  </si>
  <si>
    <t>Public Bidding for the Proposed Renovation &amp; Improvement of Emergency Room at Roxas Memorial Provincial Hospital, Under ITB No. 2020-005C</t>
  </si>
  <si>
    <t>Procurement of 1 unit Passenger Van Body Vehicle for use of Provincial Social Welfare and Development Office, Province of Romblon</t>
  </si>
  <si>
    <t>20PA0136 (PACKAGE) : REPAIR/ MAINTENANCE OF DRAINAGE ALONG NATIONAL ROADS, a.) Abra-Ilocos Sur Road, K0388+350-K0388+364.50, Tangadan, San Quintin, Abra; b.) Abra-Ilocos Sur Road, K0387+890-K0387+897,</t>
  </si>
  <si>
    <t>CLUSTER 38-2020</t>
  </si>
  <si>
    <t>PURCHASE OF 15 TELEVISION SETS AS PART OF THE E-LEARNING PROGRAM OF THE DISTRICT FOR THE 15 GRADE 1 CLASSES</t>
  </si>
  <si>
    <t>Concreting of Sitio Purahan Road, Barangay Ibaba Kinagunan</t>
  </si>
  <si>
    <t>Acquisition of CCTV</t>
  </si>
  <si>
    <t>PURCHASE OF 3 IN 1 PRINTER FOR THE EBEIS ROOM OF CONCEPCION CENTRAL SCHOOL</t>
  </si>
  <si>
    <t>20ND0066 (Re-Ad) - REPAIR/MAINTENANCE OF DPWH BLDG. MULTI-PURPOSE HALL BUTUAN CITY DISTRICT ENGINEERING OFFICE</t>
  </si>
  <si>
    <t>PACKAGE 5-2020</t>
  </si>
  <si>
    <t>Supply of Crossover Utility Vehicle (CUV)</t>
  </si>
  <si>
    <t>PURCHASED OF VARIOUS OFFICE SUPPLIES</t>
  </si>
  <si>
    <t>CONCRETING OF ACCESS ROAD (PHASE III) PUROK 3-4 IMELDA</t>
  </si>
  <si>
    <t>Purchase of Professional Drone</t>
  </si>
  <si>
    <t>Irrigation System</t>
  </si>
  <si>
    <t>20CSBC0001- Geotechnical Exploration for Proposed 2021 Projects</t>
  </si>
  <si>
    <t>Purchase one (1) unit brand new patient transport vehicle (PTV), LGU-Banga, South Cotabato</t>
  </si>
  <si>
    <t>Procurement of Materials for the Construction of Filter Tank at Brgy. Mabunga, Mahaplag, Leyte</t>
  </si>
  <si>
    <t>CLUSTER 40-2020</t>
  </si>
  <si>
    <t>PROCUREMENT OF VENETIAN BLINDS</t>
  </si>
  <si>
    <t>Procurement of Materials for the Rehabilitation of Solar Drier at Brgy. Mabunga, Mahaplag, Leyte</t>
  </si>
  <si>
    <t>PROCUREMENT OF OFFICE SUPPLIES FOR THE 3RD QUARTER</t>
  </si>
  <si>
    <t>20DI0171 - Construction of Multi-Purpose Building (Livelihood Training Center), Brgy. Maharlika, San Pedro City, Laguna</t>
  </si>
  <si>
    <t>REHABILITATION/REPAIR OF MULTI-PURPOSE STAGE, Can-avid Central Elementary School, Brgy.4 Poblacion, Can-avid Eastern Samar</t>
  </si>
  <si>
    <t>CONSTRUCTION OF MULTI-PURPOSE CENTER (Aras-asan NHS, Aras-asan, Tobias Fornier, Antique/IB No. K-2020-073(SC)</t>
  </si>
  <si>
    <t>REHABILITATION OF EVACUATION CENTER AT CENTRAL EAST NO. 2 PHASE II AND COMPLETION OF BANGAR EVACUATION CENTER, CENTRAL EAST NO. 2</t>
  </si>
  <si>
    <t>20DI0172 - Construction of Multi-Purpose Building, San Pedro, Laguna (Phase 1)</t>
  </si>
  <si>
    <t>Upgrading of Local Access Road in Salinungan West</t>
  </si>
  <si>
    <t>ITB FOR PROCUREMENT OF CONTRUCTION MATERIALS AND SUPPLIES</t>
  </si>
  <si>
    <t>20BC0181- Construction of 1 Storey 1 Classroom with CR, Warat Elementary School, Piat Cagayan</t>
  </si>
  <si>
    <t>PR 18-20-06-0788, FOR USE IN REHABILITATION AND RENOVATION OF SO. MAG-AMIHAN BRGY HEALTH STATION.</t>
  </si>
  <si>
    <t>CLUSTER 39-2020</t>
  </si>
  <si>
    <t>Purchase of Construction Materials for various Infrastructure Projects of the Municipality of Dingras, Ilocos Norte.</t>
  </si>
  <si>
    <t>20ND0074 - Concreting of Brgy. Basag to Brgy. Camayahan FMR, Brgy. Basag and Brgy. Camayahan, Butuan City</t>
  </si>
  <si>
    <t>20GFE0013 – SUPPLY OF FUEL, OIL AND LUBRICANT FOR VARIOUS DPWH EQUIPMENT AND SERVICE VEHICLE – 3RD QUARTER</t>
  </si>
  <si>
    <t>CONSTRUCTION OF EVACUATION CENTER (Brgy. Maray, Bugasong, Antique) /IB No. K-202-078(SC)</t>
  </si>
  <si>
    <t>20GFE0014 – PURCHASE OF UNMANNED AERIAL VEHICLE/SYSTEM (UAV/UAS/RPA) – MULTIROTOR CAMERA DRONE (FOR INSPECTION/MONITORING)</t>
  </si>
  <si>
    <t>PR 31-20-07-0814, FOR THE USE OF PUBLIC DISTRICT SCHOOLS STUDENTS, TEACHERS OF DEPED DIVISION OF SAN CARLOS CITY, NEG. OCC.</t>
  </si>
  <si>
    <t>INSTALLATION OF SOLAR STREETLIGHTS 15 UNITS</t>
  </si>
  <si>
    <t>20BC0182 - Construction of 2 Storey 6 Classroom, Piat National School, Piat Cagayan</t>
  </si>
  <si>
    <t>2020-007 INFRA "IMPROVEMENT OF TAU DATA CENTER AND CAMPUS NETWORK INFRASTRUCTURE"</t>
  </si>
  <si>
    <t>Construction of Barangay Sanitary Facilities - Kulasihan</t>
  </si>
  <si>
    <t>Construction of Barangay Sanitary Facilities - Pagalungan</t>
  </si>
  <si>
    <t>Procurement of supplies to be used in modular learning #2.doc</t>
  </si>
  <si>
    <t>IMPROVEMENT OF LOCAL ACCESS ROAD (SLOPE PROTECTION) PUROK 1, PANAY</t>
  </si>
  <si>
    <t>CONSTRUCTION OF SLOPE PROTECTION PHASE II</t>
  </si>
  <si>
    <t>Procurement of Life Saving and Rescue Equipments for the use in the conduct of Search, Rescue and Recovery Operations of Provincial Disaster Risk Reduction and Management Office, Kalibo, Aklan /ITB no</t>
  </si>
  <si>
    <t>Construction of Barangay Sanitary Facilities - Inudaran</t>
  </si>
  <si>
    <t>Repair &amp; Rehabilitation of Barangay Road with Drainage System at Dalapang-Stimson Abordo Road, Ozamiz City</t>
  </si>
  <si>
    <t>Construction of Barangay Sanitary Facilities - Mukas</t>
  </si>
  <si>
    <t>Cont. Ref. No. 096-20:Construction of Fence for Multi-Purpose Drying pavement @ Cashet at Dalupirip, Itogon, Benguet</t>
  </si>
  <si>
    <t>Procurement of Construction Materials for Apartment Type Tomb, Siocon Public Cemetery</t>
  </si>
  <si>
    <t>20GGJ0055 Supply and Delivery of Materials for the conduct of Monitoring and Evaluation System including Travel Time Survey Program for the use of Planning and Design Section, DPWH - ICDEO</t>
  </si>
  <si>
    <t>20DI0173 - Construction of Multi-purpose Building, Brgy. Pulong Santa Cruz, Sta. Rosa City, Laguna</t>
  </si>
  <si>
    <t>RFQ / 20-06-0311 / PROCUREMENT OF 10 SETS BRAKE PAD AND 22 OTHER LINE ITEMS</t>
  </si>
  <si>
    <t>20GGJ0054 Supply and Delivery of Materials for the conduct of Road Condition and Inventory Surveys, Roughness Surveys, VOC/RUC Surveys and Technology Enhancement for RBIA for the use of Planning and D</t>
  </si>
  <si>
    <t>Repair &amp; Rehabilitation of Barangay Dalapang Barangay Road with Drainage System at Pantaon-Dalapang Road, Ozamiz City</t>
  </si>
  <si>
    <t>Purchase of various office supplies and devices for use of the offices of the Municipality of Dingras, Ilocos Norte</t>
  </si>
  <si>
    <t>Procurement of Medicines and Medical Supplies for 1st &amp; 2nd Quarter 2020 General Fund Allocation</t>
  </si>
  <si>
    <t>Construction of Barangay Sanitary Facilities - Pantaon</t>
  </si>
  <si>
    <t>Supply and delivery of 600 sets Galvanized Metal Layer with 48 heads of ready-to-lay Pullets per set of cages, ABC PHP30,900,000.00</t>
  </si>
  <si>
    <t>Supply and Delivery of 2 bots. Pointe Glucose Reagent and (19) other items under Purchase Request No. 1016-20</t>
  </si>
  <si>
    <t>20GJ0114 Construction of Classrooms 3STY Unique Workshop at Fort San Pedro National High School, Iloilo City</t>
  </si>
  <si>
    <t>Design and Build Scheme Infrastructure Project: Completion of Water System</t>
  </si>
  <si>
    <t>Cont. Ref. No. 050-20:Construction of footpath at Lower Co-og (Conrado’s Kimbes Residence)  at Tinongdan, Itogon, Benguet</t>
  </si>
  <si>
    <t>20BC0180 - Construction of 1 Storey 2 Classroom with CR, Sto. Domingo Elementary School, Piat Cagayan</t>
  </si>
  <si>
    <t>Construction of Barangay Sanitary Facilities - San Roque</t>
  </si>
  <si>
    <t>20GGJ0053 Supply and Delivery of Various Spare Parts of Service Vehicles and Heavy Equipment for the use of Maintenance Section, DPWH - ICDEO</t>
  </si>
  <si>
    <t>Additional 700 load for communication purposes#2.doc</t>
  </si>
  <si>
    <t>Supply and delivery of Hog Feeds to various MIC Farmer Associations in Leyte, ABC PHP10,536,600.00</t>
  </si>
  <si>
    <t>Purchase of Farm Inputs</t>
  </si>
  <si>
    <t>20CB-GSC-461	PURCHASE OF IT EQUIPMENT FOR CEO</t>
  </si>
  <si>
    <t>20LB0191 - Road Widening along Davao City Div Rd - K1511 + 535 –  K1513 +700, K1514 + 100 - K1514 + 581, K1514 + 646 –  K1515 + 000</t>
  </si>
  <si>
    <t>“CONSTRUCTION OF EVACUATION CENTER PHASE II IN PAG-ASA ISLAND”</t>
  </si>
  <si>
    <t>20LB0194 - Road Widening &amp; Construction of Drainage along Daang Maharlika (MN) - K1507+223 - K1507+324 (L/S), K1507+369 - K1507+464 (R/S), K1507+475 - K1507+518 (L/S), K1507+518 - K1508+000</t>
  </si>
  <si>
    <t>20GGJ0056 Supply and Delivery of Office Supplies for the Conduct of Inventory/Condition Inspection for the use of  Planning and Design Section, DPWH - ICDEO</t>
  </si>
  <si>
    <t>PURCHASE OF SCHOOL / CONVENTION BAGS (7,000 PCS.) FOR SCHOOLCHILDREN</t>
  </si>
  <si>
    <t>REHABILITATION OF 8-UNITS COMFORT ROOM AT SANGLEY POINT NATIONAL HIGH SCHOOL, SAN ANTONIO, CAVITE CITY</t>
  </si>
  <si>
    <t>Construction of Barangay Sanitary Facilities - Lumbac</t>
  </si>
  <si>
    <t>Construction of Barangay Sanitary Facilities - Palao</t>
  </si>
  <si>
    <t>Construction of Barangay Sanitary Facilities - Pantar</t>
  </si>
  <si>
    <t>Rehabilitation/Improvement of Barangay Road in Brgy. Casiawan</t>
  </si>
  <si>
    <t>CONSTRUCTION OF MATERIALS RECOVERY FACILITY BUILDING, CADAPLI</t>
  </si>
  <si>
    <t>Acquisition/Development of Relocation Site</t>
  </si>
  <si>
    <t>IMPLEMENTATION OF RMT PROJECTS</t>
  </si>
  <si>
    <t>CONSTRUCTION OF 2-STOREY MULTI PURPOSE HALL BUILDING AT SAN ROQUE, CAVITE CITY, BARANGAY #62A</t>
  </si>
  <si>
    <t>Supply &amp; Delivery of various Construction Materials</t>
  </si>
  <si>
    <t>20LB0319 - Construction of Flood Mitigation Structure along Matina River, Matina Bridge Upstream, Matina Pangi Section, Left Bank, Davao City</t>
  </si>
  <si>
    <t>CONSTRUCTION OF PERIMETER FENCE AT BFP BUILDING, MARIA CRISTINA EAST</t>
  </si>
  <si>
    <t>PROCUREMENT OF SECURITY SERVICES FOR THE MUNICIPAL GOVERNMENT OF INFANTA, QUEZON</t>
  </si>
  <si>
    <t>Construction of Brgy. Resettlement Access Road</t>
  </si>
  <si>
    <t>Procurement of Construction Materials for Road Opening with 1 unit Box Culvert</t>
  </si>
  <si>
    <t>20CB-GSC-462	INSTALLATION OF CCTV CAMERA (TRUST FUND)</t>
  </si>
  <si>
    <t>REPAIR AND REHABILITATION OF E-LIBRARY HUB AT LADISLAO DIWA ELEMENTARY SCHOOL, CARIDAD, CAVITE CITY</t>
  </si>
  <si>
    <t>SUPPLY OF LOAD CARDS CY 2020 – REBID</t>
  </si>
  <si>
    <t>20BC0216 - Concreting of Brgy. Balingit FMR, Brgy. Balingit, Pamplona, Cagayan</t>
  </si>
  <si>
    <t>INVITATION TO BID FOR FABRICATION (BIKE LANE SIGNAGE'S) (BID NO. 200813-01)</t>
  </si>
  <si>
    <t>20CB-GSC-463	ELECTRONIC TERMINAL SYSTEM (ETRACS) FOR OBO</t>
  </si>
  <si>
    <t>20GLB0066 - PR No. 06-047-20 dated June 29, 2020 - Procurement of Fuel to be use by Quality Assurance Section, DPWH-DCDEO, Davao City</t>
  </si>
  <si>
    <t>Supply &amp; Delivery of materials for the Completion of One Classroom School Building at Brgy. Commonal, sNV.</t>
  </si>
  <si>
    <t>Supply &amp; Delivery of materials for the Construction of Three Classroom building (Ladao E/S) Sitio Namugho, Commonal, SNV.</t>
  </si>
  <si>
    <t>Construction of Day Care Center and Provision of its Facilities @ Brgy. Cang-Inte, Siquijor, Siquijor</t>
  </si>
  <si>
    <t>Supply and delivery of 240 heads Gilt and 12 heads Boar to various MIC Farmers Associations in Leyte, ABC PHP11,220,000.00</t>
  </si>
  <si>
    <t>Supply and delivery of Various Medical Supplies for Leyte Provincial Hospital, ABC PHP2,506,900.00</t>
  </si>
  <si>
    <t>Local Access Road - Concreting of Local Access Road from Munoz East to Dona Concha, Roxas, Isabela</t>
  </si>
  <si>
    <t>PROCUREMENT OF BUSINESS INTELLIGENCE PLATFORM SUBSCRIPTION</t>
  </si>
  <si>
    <t>PR 221-20-06-0685, CONSTRUCTION OF AVR-ICT ROOM AT JULIO LEDESMA NATIONAL HIGH SCHOOL.</t>
  </si>
  <si>
    <t>Supply, Delivery, Installation, Configuration, Testing, Tagging and Commissioning of Collaboration System to Support the Command, Control, and Communications Information System (C3IS)</t>
  </si>
  <si>
    <t>Purchase of Computer</t>
  </si>
  <si>
    <t>CONSTRUCTION OF DRAINAGE SYSTEM ALONG R. SAMONTE STREET JCT. H. DEL TRABAJO ST. - R. BASA, SAN ROQUE, CAVITE CITY, BARANGAY 56</t>
  </si>
  <si>
    <t>20LB0321 - Road Widening along Davao - Cotabato Rd. (Davao City - Jct. Digos Sect.) K1519+920- K1519+1100, K1520+048 - K1520+183, K1520+204 - K1520+330, K1520+850 - K1520+950, K1523+310</t>
  </si>
  <si>
    <t>SUPPLY, DELIVERY AND COMMISSIONING OF INFANT INCUBATOR</t>
  </si>
  <si>
    <t>20LB0320 - Road Widening along Davao - Cotabato Old Rd - K1522+678 - K1522+808, K1522+826 - K1522+968, K1525+328, K1525+563 - K1525+570</t>
  </si>
  <si>
    <t>Supply and delivery of Poultry Feeds to Various Farmer Associations in Leyte, ABC PHP7,824,000.00</t>
  </si>
  <si>
    <t>Procurement of Various Supplies for Construction of Vermi-compost Facility</t>
  </si>
  <si>
    <t>20BC0211 - Repair/Maintenance of DPWH Building Warehouse Building, Libertad, Abulug, Cagayan</t>
  </si>
  <si>
    <t>20LB0259 - Reconstruction to Concrete Pavement along Slaughter House - F. Torres Bridge - Gold St. - Ruby St. - Gov. Gregorio V. Cañeda Rd. (Circumferential Rd.), Davao City</t>
  </si>
  <si>
    <t>20BC0217 - Concreting of Brgy. Gumarueng FMR, Brgy. Gumarueng, Piat, Cagayan</t>
  </si>
  <si>
    <t>INVITATION TO BID FOR MEDICAL EQUIPMENT (BID NO. 200813-02)</t>
  </si>
  <si>
    <t>REHABILITATION OFROOFING OF STAGE AT SANGLEY POINT NATIONAL HIGH SCHOOL, SAN ANTONIO, CAVITE CITY</t>
  </si>
  <si>
    <t>20GGJ0057 Supply and Delivery of Office Supplies for the Conduct of Pavement Management System (PMS) Calibration, Assessment and Validation Program for the use of Planning and Design Section, DPWH - I</t>
  </si>
  <si>
    <t>Repair/Rehabilitation of Tumauini Community Hospital at Brgy. Lingaling, Tumauini, Isabela</t>
  </si>
  <si>
    <t>20GGJ0052 Supply and Delivery of Office Supplies (4th Quarter, CY 2020) for the use of Office of the District Engineer, Office of the Asst. District Engineer, HRMDU, RMU, SPMU and Cash Unit, Administr</t>
  </si>
  <si>
    <t>Cont. Ref. No. 097-20: Construction of Barangay Hall Building (Extension) at Poblacion, Itogon, Benguet</t>
  </si>
  <si>
    <t>Reposting Procurement of Dog Trap in Support to Dog Termination Program</t>
  </si>
  <si>
    <t>PURCHASE OF MATERIALS FOR IMPROVEMENT OF LGU BEACH (2ND POSTING)</t>
  </si>
  <si>
    <t>PURCHASE AND INSTALLATION OF SOLAR LIGHTS, RISSING</t>
  </si>
  <si>
    <t>INVITATION TO BID FOR COMPUTER EQUIPMENT AND ACCESSORIES (BID NO. 200813-03)</t>
  </si>
  <si>
    <t>PR 221-20-06-0692, CONSTRUCTION OF CONST. OF AVR-ICT ROOM AT GUADALUPE ELEM. SCHOOL, BRGY. GUADALUPE, THIS CITY.</t>
  </si>
  <si>
    <t>IMPROVEMENT OF BANGAR MEMORIAL PARK (ELECTRICAL AND APARTMENT), CONSUEGRA</t>
  </si>
  <si>
    <t>INVITATION TO BID FOR COMPUTER EQUIPMENT AND ACCESSORIES (BID NO. 200813-04)</t>
  </si>
  <si>
    <t>PR 221-20-06-0694, CONSTRUCTION OF CONST. OF AVR-ICT ROOM AT KATINGAL-AN ELEMENTARY SCHOOL, THIS CITY.</t>
  </si>
  <si>
    <t>20GLB0068 - PR No. 07-049-20 dated July 2, 2020 - Purchase of Wide Format Printer (Mono Print, Copy, Scan) for the use of Planning and Design Section - DPWH- DCDEO, Davao City</t>
  </si>
  <si>
    <t>Tipping Services for the Disposal of Residuals to other authorized Sanitary Landfill</t>
  </si>
  <si>
    <t>Supply, Delivery &amp; Installation of  Airconditioning Units at the Administration &amp; CAS Building-Cabarroguis Campus</t>
  </si>
  <si>
    <t>Supply and delivery of various Injectable Medicines for Ormoc District Hospital, ABC PHP1,733,500.00</t>
  </si>
  <si>
    <t>IMPROVEMENT OF PUBLIC TOILET WITH PWD PROVISION AT PUBLIC MARKET, SAN ROQUE, CAVITE CITY, BARANGAY 57, 27</t>
  </si>
  <si>
    <t>Rehab./Improvement of Multi-Purpose Building  -  Cadacad</t>
  </si>
  <si>
    <t>SUPPLY AND DELIVERY OF LAPTOPS FOR DISTRIBUTION TO TEACHING AND TEACHING RELATED PERSONNEL OF ALL PUBLIC ELEMENTARY AND SECONDARY SCHOOLS IN MAKATI CITY</t>
  </si>
  <si>
    <t>Supply and Delivery of 50 bots. Alcohol Rubbing 500ml and (52) other items under Purchase Request No. 879-20</t>
  </si>
  <si>
    <t>supply, delivery &amp; installation of Furniture &amp; Fixture</t>
  </si>
  <si>
    <t>Construction of Barangay Sanitary Facilities - Austin Heights</t>
  </si>
  <si>
    <t>Construction of Barangay Sanitary Facilities - Matampay</t>
  </si>
  <si>
    <t>CONSTRUCTION OF DRAINAGE SYSTEM ALONG LINO BARRON STREET, JCT. M.GREGORIO - J. AUDITOR ST., SAN ANTONIO, CAVITE CITY, BARANGAY 50</t>
  </si>
  <si>
    <t>TRAFFIC APPREHENSION I-DIGITAL SERVER SYSTEM</t>
  </si>
  <si>
    <t>Rehabilitation of Seawall</t>
  </si>
  <si>
    <t>Construction of Barangay Sanitary Facilities - Small Banisilon</t>
  </si>
  <si>
    <t>PR 221-20-06-0711, CONSTRUCTION OF CONST. OF AVR-ICT ROOM AT BAGONBON ELEMENTARY SCHOOL, BRGY BAGONBON, SAN CARLOS CITY.</t>
  </si>
  <si>
    <t>INVITATION TO BID FOR VEHICLE (4 WHEELS) AND ACCESSORIES (BID NO. 200813-07)</t>
  </si>
  <si>
    <t>Sanitary Landfill (Phase IV)  -  Callitong</t>
  </si>
  <si>
    <t>LOT 33-GAA-2020 SUPPLY &amp; DELIVERY OF CARDIAC CATHETERIZATION LABORATORY SUPPLIES</t>
  </si>
  <si>
    <t>INVITATION TO BID FOR IT PROVIDER (BID NO. 200813-05)</t>
  </si>
  <si>
    <t>INVITATION TO BID FOR VEHICLE (2 WHEELS) AND ACCESSORIES (BID NO. 200813-08)</t>
  </si>
  <si>
    <t>Construction/Rehabilitation of Water Supply/Rain Water Collectors in Public Facilities, various places within the 1st &amp; 2nd Congressional District of Bulacan</t>
  </si>
  <si>
    <t>Construction of Barangay Sanitary Facilities - Riverside</t>
  </si>
  <si>
    <t>Rehab. of Farm-to-Market Road  -  Poblacion Sur</t>
  </si>
  <si>
    <t>20GJ0115 Construction of Classrooms 2STY4CL, Taal ES, Iloilo City</t>
  </si>
  <si>
    <t>PROCUREMENT OF SERVICES FOR THE CRAFTING &amp; INSTALLATION OF LIFE SIZE STATUE OF GENERAL ARCADIO MAXILOM – REBID</t>
  </si>
  <si>
    <t>Construction of concrete drainage canal Swan E/S</t>
  </si>
  <si>
    <t>SUPPLY AND DELIVERY OF SOFTWARE LICENSES FOR SERVER (VXRIAL HYPER-CONVERGED INFRASTRUCTURE APPLIANCE MAINTENANCE AGREEMENT)</t>
  </si>
  <si>
    <t>INVITATION TO BID FOR VEHICLE (4 WHEELS) AND ACCESSORIES (BID NO. 200813-06)</t>
  </si>
  <si>
    <t>Cont. Ref. No. 017-20:Construction of Canal at Naiba (near Josie Fagyan Residence) at Ucab, Itogon, Benguet</t>
  </si>
  <si>
    <t>Rehabilitation of Incident Command System Municipal Compound</t>
  </si>
  <si>
    <t>SUPPLY AND DELIVERY OF MOBILE CLINIC WITH FULL MEDICAL AND SURGICAL AMENITIES</t>
  </si>
  <si>
    <t>Repair of Barangay Health Center Barangay San Antonio</t>
  </si>
  <si>
    <t>SUPPLY AND DELIVERY OF ONE (1) LOT VARIOUS BRAND NEW HEAVY EQUIPMENT</t>
  </si>
  <si>
    <t>Reproduction and Binding of Learning Modules from G7-G10</t>
  </si>
  <si>
    <t>20GJ0116 Construction of Classroom 2STY8CL, Mandurriao ES, Iloilo City</t>
  </si>
  <si>
    <t>Supply and Delivery of Water Tanker (Brand New, 12 Tons) Public Bidding No. 2019-007-G (Rebidding)</t>
  </si>
  <si>
    <t>Invitation to Bid for Medical supplies for COVID-19</t>
  </si>
  <si>
    <t>TEN MONTHS PROVISION OF WATCHMAN SERVICES GOOD 1 PERSONNEL ON 12-HR PER DAY</t>
  </si>
  <si>
    <t>Rehabilitation/Improvement of Canal in Front of Nissan at Brgy. Pulong Santa Cruz</t>
  </si>
  <si>
    <t>rental of Jeepneys</t>
  </si>
  <si>
    <t>Rehabilitation of Banao Potable Water System</t>
  </si>
  <si>
    <t>PR 221-20-06-0753, CONSTRUCTION OF CONST. OF AVR-ICT ROOM AT QUEZON NATIONAL HIGH SCHOOL, BRGY QUEZON, SAN CARLOS CITY.</t>
  </si>
  <si>
    <t>Construction/Rehabilitation of Curbs/Gutter and Sidewalk at Brgy. Kanluran</t>
  </si>
  <si>
    <t>Construction of Barangay Sanitary Facilities - Manga</t>
  </si>
  <si>
    <t>subscription of Learning Management System</t>
  </si>
  <si>
    <t>PR 221-20-06-0713, CONSTRUCTION OF CONST. OF AVR-ICT ROOM AT QUEZON ELEMENTARY SCHOOL, BRGY QUEZON, SAN CARLOS CITY.</t>
  </si>
  <si>
    <t>INVITATION TO BID FOR ELECTRICAL EQUIPMENT AND APPLIANCES - A (BID NO. 200813-09)</t>
  </si>
  <si>
    <t>SUPPLY AND DELIVERY OF JANITORIAL SUPPLIES FOR DAILY OPERATION OF THE CITY GOVERNMENT OF MAKATI</t>
  </si>
  <si>
    <t>Construction of Multi-Purpose Drying Pavement (Materials only) - Luna</t>
  </si>
  <si>
    <t>INVITATION TO BID FOR JANITORIAL SUPPLIES AND MATERIALS (BID NO. 200813-10)</t>
  </si>
  <si>
    <t>SUPPLY AND DELIVERY OF OFFICE EQUIPMENT AND SUPPLIES FOR VARIOUS OFFICES AND DEPARTMENTS OF THE CITY GOVERNMENT OF MAKATI (2 LOTS)</t>
  </si>
  <si>
    <t>Renovation of Slope Protection - Mapanit</t>
  </si>
  <si>
    <t>PR# 20-0663- Customized Office Tables and Ready Made Office Chairs</t>
  </si>
  <si>
    <t>Procurement of Supplies/Materials for Repair and Improvement of Marine</t>
  </si>
  <si>
    <t>Rehab. of Multi-Purpose Hall - Macaoayan</t>
  </si>
  <si>
    <t>Construction of URGP Building/ Commercial Building</t>
  </si>
  <si>
    <t>CONSTRUCTION OF CONCRETE CURB, GUTTER AND SIDEWALK ALONG CHIEF MARTIN ST.-CRESCINI ST., CARIDAD, CAVITE CITY JCT. MOLINA ST-CRESCINI ST., BARANGAY 40</t>
  </si>
  <si>
    <t>Construction of Barangay Sanitary Facilities - Libertad</t>
  </si>
  <si>
    <t>Improvement/Rehabilitation of Drainage Canal at Dr. Zavalla St., Brgy. Kanluran</t>
  </si>
  <si>
    <t>Dev't. of Proposed Cemetery as Economic Enterprise of the Municipality</t>
  </si>
  <si>
    <t>INVITATION TO BID FOR MEDICAL SUPPLIES AND MATERIALS (BID NO. 200813-13)</t>
  </si>
  <si>
    <t>Continuation of Drainage Improvement at Don Jose Zavalla Subd., Brgy. Pooc</t>
  </si>
  <si>
    <t>SUPPLY &amp; DELIVERY OF MEDICAL &amp; MEDICINE SUPPLIES @ MHO, RODRIGUEZ, RIZAL</t>
  </si>
  <si>
    <t>Potable Water Supply system - Macaoayan</t>
  </si>
  <si>
    <t>INVITATION TO BID FOR QUARRY MATERIALS (BID NO. 200813-11)</t>
  </si>
  <si>
    <t>Construction of Barangay Sanitary Facilities - Bubong</t>
  </si>
  <si>
    <t>CONSTRUCTION OF BUENAVISTA COMMUNITY HOSPITAL – PHASE  IV &amp; V</t>
  </si>
  <si>
    <t>Construction/Rehabilitation of Drainage System at Purok 1, Bgy. Balibago Besides Tram Plaza</t>
  </si>
  <si>
    <t>Invitation to Bid for Procurement of office supplies for modular Learning</t>
  </si>
  <si>
    <t>Purchase of Materials for Construction of Multi-Purpose Building U Canangaan, Cabanglasan, Bukidnon lot 1,2</t>
  </si>
  <si>
    <t>Purchase of Supplies and Equipments for Cabanglasan District Office and Schools within the District Lot 1,2,3</t>
  </si>
  <si>
    <t>Supply and Delivery of Hemodialysis Bloodlines 3-in-1 with Drain Bag</t>
  </si>
  <si>
    <t>PROCUREMENT OF VARIOUS CONSTRUCTION MATERIALS AND SUPPLIES USE IN CONSTRUCTION OF COMMUNITY QUARANTINE FACILITY (CONSTRUCTION OF PERMANENT TREATMENT AND MONITORING FACILITY) – PHASE I</t>
  </si>
  <si>
    <t>Widening and Slope Protection of FMR at Sobol-Calepaan (Nayaknak), Asingan, Pangasinan</t>
  </si>
  <si>
    <t>20KG0065(Rebid) :  Modified Standard DPWH-DepEd Three (3) Storey Six (6) Classroom School Building at Carusa Integrated School (Option 1- Regular Classroom Layout), Kapatagan, Lanao del Norte</t>
  </si>
  <si>
    <t>Construction of Multipurpose Building at Brgy. Poblacion, San Andres, Quezon</t>
  </si>
  <si>
    <t>Invitation to Bid for Procurement of Semi-Expandable Equipment for Modular Learning</t>
  </si>
  <si>
    <t>REHABILITATION AND CONCRETING OF SITIO PUTOL - POBLACION - TULAY BUHANGIN ACCESS ROAD (PHASE IV)</t>
  </si>
  <si>
    <t>INVITATION TO BID FOR COMPUTER SUPPLIES AND MATERIALS (BID NO. 200813-15)</t>
  </si>
  <si>
    <t>Construction/Beautification of Public Plaza and Auditorium, Asingan, Pangasinan</t>
  </si>
  <si>
    <t>Concreting of Lambingan Road at Brgy. Campos</t>
  </si>
  <si>
    <t>Rehabilitation/Improvement and Finishing of Barangay Labas Traditional Complementary and Alternative Medicine (TCAM) Center, Brgy. Labas</t>
  </si>
  <si>
    <t>Installation of Metal Cladding infront/leftside of Solano Pasalubong Center, Pob. South, SNV.</t>
  </si>
  <si>
    <t>INVITATION TO BID FOR OIL AND LUBRICANTS (BID NO. 200813-12)</t>
  </si>
  <si>
    <t>INVITATION TO BID FOR DRUGS AND MEDICINES (BID NO. 200813-14)</t>
  </si>
  <si>
    <t>Cementing of Donato-Joaquin Street - Manaboc</t>
  </si>
  <si>
    <t>RFQ - Supplies for COVID-19 prevention</t>
  </si>
  <si>
    <t>Construction of Barangay Sanitary Facilities - Socudan</t>
  </si>
  <si>
    <t>Cont. Ref. No. 098-20: Construction of Steel Gate with 6' x 6' Canopy at Tabu E/S at Dalupirip, Itogon, Benguet</t>
  </si>
  <si>
    <t>REHABILITATION OF HANGING BRIDGE</t>
  </si>
  <si>
    <t>Rehabilitation of Building II Phase I Municipal Compound</t>
  </si>
  <si>
    <t>SUPPLY, DELIVERY AND INSTALLATION OF FURNITURE AND FIXTURES AT THE LAW DEPARTMENT, 18TH FLOOR MAKATI CITY HALL BUILDING I</t>
  </si>
  <si>
    <t>Supply and Delivery of Medicine for use at City Health Office, this city</t>
  </si>
  <si>
    <t>Misamis Oriental Swimming Pool Complex Naawan Central School, Naawan,  Misamis Oriental</t>
  </si>
  <si>
    <t>COMPLETION OF STANDARD BIRTHING CLINIC-BIYOY</t>
  </si>
  <si>
    <t>Contract ID: 20CSKH0001: Property Appraisal Services for Properties Affected by the Project with Contract with Contract ID No. 19KH0026 Network Development Program Road Widening-Secondary Roads CDO-Ai</t>
  </si>
  <si>
    <t>INVITATION TO BID FOR THE SUPPLY AND DELIVERY OF MATERIALS FOR THE CONSTRUCTION OF MATERIAL RECOVERY FACILITY AT BRGY. MAMBAGO-A, SAMAL DISTRICT, IGACOS</t>
  </si>
  <si>
    <t>Concreting of Core Local Access Road - Telegrafo, San Jose, Camarines Sur</t>
  </si>
  <si>
    <t>CONSTRUCTION OF MULTI-PURPOSE BUILDING (Senior Citizen Building)</t>
  </si>
  <si>
    <t>Completion of Multi-Purpose Building, Brgy. Bayabas, Dipaculao, Aurora</t>
  </si>
  <si>
    <t>CONSTRUCTION OF 2-STOREY SCHOOL BUILDING</t>
  </si>
  <si>
    <t>CONSTRUCTION OF POBLACION  3  HUMAN RESOURCE AND MANPOWER DEVELOPMENT CENTER PHASE  II</t>
  </si>
  <si>
    <t>Purchase of IT Equipment (Laptop, Desktop and Printer) for Various Schools in the City School Division of Bacoor - CSDO</t>
  </si>
  <si>
    <t>Cont. Ref. No. 027-20: Rehabilitation of Footbridge at Tolebeng at Gumatdang, Itogon, Benguet</t>
  </si>
  <si>
    <t>LOT 30-GAA -2020  SUPPLY AND DELIVERY OF ARTERIAL BLOOD GAS ANALYSIS REAGENT- MACHINE TIE UP</t>
  </si>
  <si>
    <t>Stone Masonry - Pob. Sur</t>
  </si>
  <si>
    <t>Junior High School’s Reproduction and Delivery of Learning Modules</t>
  </si>
  <si>
    <t>Procurement of Civil Works-Improvement of Sanitary Land fill and Construction of SLF Protection @ Tidang Village KNV</t>
  </si>
  <si>
    <t>To hire contractor to provide materials, labor and equipment for five (5) Infrastructure Projects (Tanjay) (B-107-2020)</t>
  </si>
  <si>
    <t>SUPPLY AND DELIVERY OF 43 UNITS DESKTOP COMPUTER FOR THE IMPLEMENTATION OF BASIC EDUCATION CONTINUITY PLAN OF SCHOOLS DIVISION OF THE CITY OF BATAC</t>
  </si>
  <si>
    <t>CONSTRUCTION OF SEPTIC VAULT ECO-PARK (KAHAYAGAN)</t>
  </si>
  <si>
    <t>Concreting of Brgy. Road, Brgy. San Jose, San Luis, Aurora</t>
  </si>
  <si>
    <t>Supply and Delivery of Janitorial Services for Various Government Buildings</t>
  </si>
  <si>
    <t>Improvement of Multi-Purpose Hall 2, Brgy. Bannawag, Ma. Aurora, Aurora</t>
  </si>
  <si>
    <t>Installation of CCTV’s in Strategic Areas with Street Lights, Intermittent Sections, Poblacion, Odiongan, Romblon</t>
  </si>
  <si>
    <t>LOT 32-GAA-2020 JANITORIAL SERVICES (REBIDDING)</t>
  </si>
  <si>
    <t>Conversion of Saver Headquarters to ISAT U GAD Office</t>
  </si>
  <si>
    <t>Local Access Road (Upgrading and Improvement of Barangay Road) - Tambangan, San Jose, Camarines Sur</t>
  </si>
  <si>
    <t>Purchase of Diesel and Lubricants for Rehabilitation of Barangay Road, Hilop Poblacion, Cabanglasan Bukidnon Lot 1</t>
  </si>
  <si>
    <t>RE-ITB-20MF0081-CONSTRUCTION OF MULTI-PURPOSE BUILDING, BRGY. POBLACION, TACURONG CITY, SULTAN KUDARAT</t>
  </si>
  <si>
    <t>CONCRETING OF LOCAL ROADS, PALO POBLACION</t>
  </si>
  <si>
    <t>20GSK00011 - Re-ITB – SUPPLY AND DELIVERY OF OFFICE SUPPLIES FOR USE IN THE PLANNING AND DESIGN DIVISION FOR 2ND QUARTER, 2020</t>
  </si>
  <si>
    <t>PROCUREMENT OF ONE (1) YEAR SECURITY SERVICES FOR TIEZA PRINCIPAL OFFICE</t>
  </si>
  <si>
    <t>Purchase of Diesel Fuel, Special Gasoline, and Lubricants</t>
  </si>
  <si>
    <t>Supply and Delivery of 1 unit motocycle-for Barangay Acacia</t>
  </si>
  <si>
    <t>Proposed Installation of New 80W LED Streetlight at Brgy. United Better Living Main Road to Brgy. Bagong Silang</t>
  </si>
  <si>
    <t>SUPPLY AND DELIVERY OF MEDICAL PARAPHERNALIA / SUPPLIES FOR RESPONSE AMBULANCE OPERATION - 2ND BIDDING</t>
  </si>
  <si>
    <t>Concreting of Banco-Florida Road, Ma. Aurora, Aurora</t>
  </si>
  <si>
    <t>INVITATION TO BID FOR THE Supply and Delivery of Third Quarter Office Supplies for CY 2020</t>
  </si>
  <si>
    <t>Procurement of TABLET</t>
  </si>
  <si>
    <t>REPAIR OF 3F EXECUTIVE BUILDING</t>
  </si>
  <si>
    <t>Construction of Farmer's Irrigation Cum Pathway, Poblacion West, Pugo, La Union</t>
  </si>
  <si>
    <t>Upgrading / Rehabilitation of Togong-Banice-Balogo Local Access Road</t>
  </si>
  <si>
    <t>Improvement of Drainage System at Purok 4, Brgy. Malitlit</t>
  </si>
  <si>
    <t>Purchase of Materials forInstallation of Integrated Type Solar Street Lighting Units at Poblacion National Highway Road-Brgy Poblacion Lot 1,2 PB-2020-24</t>
  </si>
  <si>
    <t>20GSK00014 – SUPPLY AND DELIVERY OF MFC, NETWORK VOLUME COLOR LASER PRINTER, A3 FOR USE IN THE CONSTRUCTION DIVISION</t>
  </si>
  <si>
    <t>Purchase of Materials for Pasalubong Center lot 2</t>
  </si>
  <si>
    <t>SUPPLY AND DELIVERY OF MATERIALS FOR THE BACKFILLING OF NAVAL WET MARKET BACK-UP AREA</t>
  </si>
  <si>
    <t>Purchase of Materials for Rehabilitation of Road (Mainaga- Sumbang Raod, Iba) Iba Cabanglasan, Bukidnon Lot 1,2</t>
  </si>
  <si>
    <t>PR-2020-1604 Supply, Delivery and Installation of One(1) unit Brand new Heavy Duty High Definition 16 Multi-Slice Spiral Computed Tomography Scanner (CT-SCAN)-PHO</t>
  </si>
  <si>
    <t>PROCUREMENT OF ONE (1) YEAR JANITORIAL SERVICES FOR TIEZA PRICIPAL OFFICE AND LIGHTS AND SOUND MUSEUM</t>
  </si>
  <si>
    <t>Purchase of Materials for Maintenance of Roads and Bridges at Cabanglasan Area 2020 Lot 2</t>
  </si>
  <si>
    <t>20GSK00013 - Re-ITB – SUPPLY &amp; DELIVERY OF DESKTOP COMPUTER &amp; LASER PROJECTOR FOR USE IN THE ADMINISTRATIVE DIVISION</t>
  </si>
  <si>
    <t>20GFC0033: Purchase of Hazard Markers, Chevron Signs along Daang Maharlika K0274+500 – K0278+800 (with exception), Sta. Elena, Camarines Norte</t>
  </si>
  <si>
    <t>20GFC0032: Purchase of Materials for the Repair/ Rehabilitation along Daang Maharlika K0251+030 – K0278+920 (with Exception), Sta. Elena and Labo, Camarines Norte</t>
  </si>
  <si>
    <t>Installation of Electric Lights in the Civic Center Bgy. Dayhagan, Carles, Iloilo</t>
  </si>
  <si>
    <t>Procurement of 2 Units Refrigerated Van</t>
  </si>
  <si>
    <t>Pag-IBIG Fund CHQ (SUPPLY AND DELIVERY OF THE Y2020 PAG-IBIG FUND CORPORATE GIVEAWAYS)</t>
  </si>
  <si>
    <t>Supply and Delivery of Catering Services for Various Activities of DAR-ADS under Project ConVERGE</t>
  </si>
  <si>
    <t>INVITATION TO BID FOR CONTRACT FOR THE SUPPLY AND DELIVERY OF  VARIOUS FARM MACHINERIES AND EQUIPMENT CY 2020</t>
  </si>
  <si>
    <t>CONSTRUCTION OF CABAMBANGAN CONCRETE CANAL COVER AND SHOULDER</t>
  </si>
  <si>
    <t>Re-bidding for the Procurement of Various Medical Books</t>
  </si>
  <si>
    <t>PROCUREMENT OF OFFICE TABLES AND CONFERENCE &amp; SESSION TABLES</t>
  </si>
  <si>
    <t>Repair/Rehabilitation of Staging Tank and Drilling of one (1) 150mmØ Production Well at PhilRice Batac under PRRI-PB-2020-037</t>
  </si>
  <si>
    <t xml:space="preserve">20PK0062 - Local Program: National Roads and Bridges – National Roads Construction/Repair/Rehabilitation/Improvement of Various Infrastructure Including Local Projects – Kalinga-Abra Road, K0 499+315 </t>
  </si>
  <si>
    <t>20GGD0003 - PROCUREMENT AND DELIVERY OF COMPUTERS AND ACCESSORIES TO BE USED IN THE CONSTRUCTION, FINANCE, MAINTENANCE AND QUALITY ASSURANCE SECTION IN CONNECTION FOR THE CONDUCT OF FEASIBILITY STUDY/</t>
  </si>
  <si>
    <t>Procurement of Post-Harvest Equipment and Processing Utensils and Supplies CY 2020</t>
  </si>
  <si>
    <t>Improvement of Multi-Purpose Center Bgy. Dayhagan, Carles, Iloilo</t>
  </si>
  <si>
    <t>SUPPLY OF LABOR AND MATERIALS FOR THE ARCHITECTURAL AND MECHANICAL WORKS AT ATD LABORATORY, TDD and OED OFFICES</t>
  </si>
  <si>
    <t>2019 Yearbook Printing</t>
  </si>
  <si>
    <t>Supply and Delivery of Feeds, Fertilizers and Neutralizers for the Implementation of the Fisheries Projects/ Programs CY 2020</t>
  </si>
  <si>
    <t>20GSK00016 – SUPPLY AND DELIVERY OF SANITARY SUPPLIES FOR THE JANITORIAL MAINTENANCE AND COVID 19 PREVENTION OF DPWH X, 2ND QUARTER</t>
  </si>
  <si>
    <t>Re-bidding of Fuel and Lubricants' Fleet Card for Official use of BFAR-13 July - December CY 2020</t>
  </si>
  <si>
    <t>S3-PPP20-004 &amp; 3 OTHERS - Supply and Delivery of Various Mechanical Spare Parts of Perkins Generator Sets of SPUG WMOD Plants</t>
  </si>
  <si>
    <t>Supply and Delivery of Office Equipment for CPSU – San Carlos Campus</t>
  </si>
  <si>
    <t>SUPPLY/DELIVERY OF VARIOUS OFFICE SUPPLIES NOT AVAILABLE IN THE DBM-PS FOR USE OF PMO BATANGAS INCLUDING TMOS</t>
  </si>
  <si>
    <t>S1-CUL20-012 (PB2) - Supply and Delivery of Mechanical Spare Parts for Dale Perkins 2006 TGI for Culion Diesel Power Plant</t>
  </si>
  <si>
    <t xml:space="preserve">20PK0061 - Local Program: National Roads and Bridges – National Roads Construction/Repair/Rehabilitation/Improvement of Various Infrastructure Including Local Projects – Kalinga-Abra Road, K0 495+455 </t>
  </si>
  <si>
    <t>20PK0060 - Local Program: National Roads and Bridges – National Roads Construction/Repair/Rehabilitation/Improvement of Various Infrastructure Including Local Projects – Kalinga-Abra Road, K0 470+890.</t>
  </si>
  <si>
    <t>20GDB0036 Supply of Materials for the Repair and Maintenance of various National Roads, Batangas 1st LD (Premix Patching Bituminous Pavement)</t>
  </si>
  <si>
    <t>Construction of 2 Storey 4 Classroom School Building at Lourdes Elementary School, Alubijid,  Misamis Oriental</t>
  </si>
  <si>
    <t>2ND POSTING OF 2 SET PRINTER</t>
  </si>
  <si>
    <t>SUPPLY, DELIVERY AND INSTALLATION OF LABORATORY EQUIPMENT FOR LECTIN PROJECT</t>
  </si>
  <si>
    <t>PROCUREMENTOF VARIOUS DIGITAL CLOCK FOR PNR STATIONS</t>
  </si>
  <si>
    <t>Supply and delivery of materials for the Concreting of Barangay Road at Sitio Marangli, Barangay Balaybalay, Mauban, Quezon</t>
  </si>
  <si>
    <t>PROCUREMENT OF DAM INFORMATION MANAGEMENT SYSTEM INCLUDING SUPPLY, DELIVERY, INSTALLATION, TESTING AND COMMISSIONING OF EQUIPMENT</t>
  </si>
  <si>
    <t>Supply and Delivery of Cotton Rags (2 lots)</t>
  </si>
  <si>
    <t>2nd posting of Improvement of Kindergarten Comfort Room</t>
  </si>
  <si>
    <t>AUGMENTATION OF DRAINAGE CANAL ALONG ZONE 7,MASI, STA. TERESITA, CAGAYAN</t>
  </si>
  <si>
    <t>20-010-07 CHARLIE "CATBALOGAN AIRPORT DEVELOPMENT PROJECT (CONSTRUCTION OF RUNWAY EXTENSION)"</t>
  </si>
  <si>
    <t>Production of Fifteen (15) Video Episodes for TuklaSiyensya (nuLab STEM Modules)</t>
  </si>
  <si>
    <t>CLUSTER 25: EXTENSION OF DRRM OFFICE PHASE 4</t>
  </si>
  <si>
    <t>20FC0109 : FLOOD CONTROL STRUCTURES/FACILITIES – REPAIR/IMPROVEMENT AND RESTORATION OF DAET RIVER CONTROL, DAET, CAMARINES NORTE</t>
  </si>
  <si>
    <t>Construction of 5-Storey Multi-Purpose Building (Living Quarters), Phase 2, Camp Aguinaldo, Quezon City</t>
  </si>
  <si>
    <t xml:space="preserve">SUPPLY AND DELIVERY OF CONSTRUCTION MATERIALS FOR MAINTENANCE OF CHILDREN’S PARK, MUNICIPAL PLAZA, MUNICIPAL STREETS, RENOVATION OF MUNICIPAL GYMNASIUM AND, CONSTRUCTION OF MRF AND PWD RAMP (MATERIAL </t>
  </si>
  <si>
    <t>20FC0066 : ASSET PRESERVATION – REHABILITATION/ RECONSTRUCTION OF NATIONAL ROADS WITH SLIPS, SLOPE COLLAPSE AND LANDSLIDE – TERTIARY ROADS BATOBALANI – TAWIG – TUGOS – PARACALE RD. K0331+440 – K0331+4</t>
  </si>
  <si>
    <t>20CSDD04 - Consultancy Services for the Conduct of Geotechnical Investigation/Soil Exploration, Tanauan - Talisay - Tagaytay Road, K0082+250 - K0082+255 (L/S), K0083+209 - K0083+268 (R/S), K0083+287 -</t>
  </si>
  <si>
    <t>Preventive Maintenance of Road: Asphalt Overlay – NIA North Road – (S05149LZ) Chainage 000 – Chainage 245, Quezon City</t>
  </si>
  <si>
    <t>Construction of Kasapa Bridge</t>
  </si>
  <si>
    <t>Construction of Barangay Multi-Purpose Building (Phase 1), Barangay Milagrosa, Quezon City</t>
  </si>
  <si>
    <t>20GDB0032 Supply of Materials for the Repainting of Guardrails including Posts along various National Roads, Batangas 1st LD</t>
  </si>
  <si>
    <t>Supply and Delivery of VARIOUS CONSTRUCTION MATERIALS FOR MENRO SOLID WASTE SEGREGATION</t>
  </si>
  <si>
    <t>20CSFE02 - Consulting Services for the Parcellary Survey of Daang Maharlika (LZ) (S03523LZ) - K0397 + (-354) - K0433 + 965 under the Jurisdiction of Camarines Sur 2nd District Engineering Office</t>
  </si>
  <si>
    <t>20CSDD03 - Consultancy Services for the Conduct of Pavement Core Test of the following road sections namely: 1. Daang Maharlika (LZ) – 12.605 km.; 2. Manila – Batangas Road – 11.193 km.; 3. Banay-Bana</t>
  </si>
  <si>
    <t>Construction of Bank Protection at Abowok, Junction, Pinukpuk</t>
  </si>
  <si>
    <t>Concreting/ Improvement of Daan Lungsod- Calangahan Road, Tuburan, Cebu</t>
  </si>
  <si>
    <t>20CSA009: Geotechnical and Geological Survey (Soil Boring Exploration) of Various Bridges in Region I</t>
  </si>
  <si>
    <t>Construction of Two-Storey Classroom Building Phase II</t>
  </si>
  <si>
    <t>20GDB0033 Supply of Materials for the Repair/Resealing of Bituminous Pavement along Diokno Highway, K0089+500-K0090+000, Dayapan Section, Lemery, Batangas</t>
  </si>
  <si>
    <t>20CSA010: Geotechnical and Geological Survey (Soil Boring Exploration) Of Various Bridges in Pangasinan (Package 3)</t>
  </si>
  <si>
    <t>REHABILITATION OF BOTH SIDE COVERED CANAL AT BRGY. POBLACION II</t>
  </si>
  <si>
    <t>Supply and delivery of equipment for Balanga City Garments Association</t>
  </si>
  <si>
    <t>Concreting/ Improvement of Poblacion Samboan-Canang Road Section, Samboan, Cebu</t>
  </si>
  <si>
    <t>Proposed Development of Resettlement Site (RCPC Installation, Headwall Construction and Slope Protection) at Purok Mangga, Brgy. Kalaisan, Kidapawan City</t>
  </si>
  <si>
    <t>20FC0030 : ASSET PRESERVATION – PREVENTIVE MAINTENANCE – PRIMARY ROADS; DAANG MAHARLIKA (LZ) K0337+245 – K0339+000</t>
  </si>
  <si>
    <t>DRAINAGE REHABILITATION AT PUROK I, BRGY. SAN ISIDRO</t>
  </si>
  <si>
    <t>20-001-07 DELTA "KALIBO AIRPORT DEVELOPMENT PROJECT (Asphalt Overlay of Runway; Concreting of Fire Truck Access Road; Strip Width Correction; Relocation of Access Road, Irrigation Canal; Perimeter Fen</t>
  </si>
  <si>
    <t>Diesel, gas, oil and lubricants (PR No.100-2020-0892)</t>
  </si>
  <si>
    <t>Concreting/ Improvement of Bae-Mompeller Road Section, Argao, Cebu</t>
  </si>
  <si>
    <t>Concreting/ Improvement of Candabong-Hampang Road Section, Argao, Cebu</t>
  </si>
  <si>
    <t>Concreting/ Improvement of Talaga-Lapay Road Section, Argao, Cebu</t>
  </si>
  <si>
    <t>Concreting/ Improvement of Cawayan-Malones Road Section, Dalaguete, Cebu</t>
  </si>
  <si>
    <t>S3-TAL20-004 - Supply and Delivery of Various Mechanical Spares of Dale (EM:2006-TAG) and FG Wilson (EM:1606A-E93TAG4; EM:1106A-70TAG2) Perkins Gensets for Talicud DPP</t>
  </si>
  <si>
    <t>One (1) Lot – Multi-year Software Subscription for the existing Red Hat Enterprise Linux (RHEL) licenses inclusive of Technical Training, as per BSP Terms of Reference</t>
  </si>
  <si>
    <t>Concreting/ Improvement of Balaas-Manlapay Road Section, Dalaguete, Cebu</t>
  </si>
  <si>
    <t>Concreting/ Improvement of Mompeller-Balaas (Vegetable Highway) Road Section, Argao, Cebu</t>
  </si>
  <si>
    <t>PROJECT: PROCUREMENT OF FERTILIZER FOR TOBACCO FARMERS</t>
  </si>
  <si>
    <t>Supply of Hooded Windbreaker Jackets</t>
  </si>
  <si>
    <t>Rehabilitation of Rural Health Unit (Laboratory Room)</t>
  </si>
  <si>
    <t>One (1) Job Labor, Materials and Equipment Rentals for the Construction of Multi-Purpose Building of Brgy. Malusgod, Pototan, Iloilo</t>
  </si>
  <si>
    <t>Acquisition of Materials for Improvement of Guiwanon Spring Park</t>
  </si>
  <si>
    <t>PROCUREMENT OF MINI-LOADER FOR LGU BAGULIN, LA UNION</t>
  </si>
  <si>
    <t>Concreting  of 1.0 km  Lanise  to Mabini  to Sta. Cruz FMR</t>
  </si>
  <si>
    <t>Acquisition of Materials for Completion of Multi-Purpose Building (Brgy. Olo)</t>
  </si>
  <si>
    <t>Concreting  of 1.054 km Tamboboan to Centro Rizal</t>
  </si>
  <si>
    <t>Barangay Multi-Purpose Building Improvements</t>
  </si>
  <si>
    <t>Acquisition of Materials for Construction/Installation of Road Signs</t>
  </si>
  <si>
    <t>Concreting/ Improvement of Mantalongon-Villacaridad Road Section, Dalaguete, Cebu</t>
  </si>
  <si>
    <t>One(1) Job Labor, Materials and Equipment Rentals for the Rehab of Municipal Road (Reblocking) of R.Y. Ladrido St., Pototan, Iloilo</t>
  </si>
  <si>
    <t>CLUSTER 3. IMPROVEMENT OF SINCO-TOPINAO(PHASE II),IMPROVEMENT OF YAGYAGAN-AMPUSA JUNCTION MULTI-PURPOSE BUILDINGIMPROVEMENT OF TAGADI-TADIANGAN BARANGAY ROAD</t>
  </si>
  <si>
    <t>ICT Equipments</t>
  </si>
  <si>
    <t>repair &amp; rehabilitation of airconditioning units</t>
  </si>
  <si>
    <t>SUPPL AND DELIVERY OF DRUGS &amp; MEDICINES</t>
  </si>
  <si>
    <t>Supply/Delivery of Van Highroof Ambulance for the LGU of Palo, Leyte  PR No. 20-06-0345</t>
  </si>
  <si>
    <t>CONDUCT OF INSET</t>
  </si>
  <si>
    <t>Construction of Pathway @ Purok 6B</t>
  </si>
  <si>
    <t>Construction Materials and Supplies for use in the Construction of SSG Office at San Teodro NHS, San Teodoro, Oriental Mindoro/ Completion of Gymnasium at Ma. Estrella E/S, Tawiran, Calapan City, Orie</t>
  </si>
  <si>
    <t>Acquisition of Materials for Electrical Facilities at Landfill</t>
  </si>
  <si>
    <t>UPGRADING OF MAGSIDEL-DIBAY ROAD  at Barangay Magsidel , Calayan, Cagayan</t>
  </si>
  <si>
    <t>Chemicals and Chemical Products for use of the OMPH patients/2nd quarter 2020</t>
  </si>
  <si>
    <t>PAYMENT FOR INTERNET LOAD</t>
  </si>
  <si>
    <t>AGR-20-0883-B Purchase of Projector</t>
  </si>
  <si>
    <t>CONSTRUCTION (RENOVATION) OF MUNICIPAL LEGISLATIVE BUILDING FOR TALAYAN, MAGUINDANAO</t>
  </si>
  <si>
    <t>installations of 2 units of deep well</t>
  </si>
  <si>
    <t>Supply and Delivery of Various Brand New Motor Vehicles (BAC-IB No.: 2020-33)</t>
  </si>
  <si>
    <t>Agricultural Products (Seeds, Seedlings, Plants…) for Distribution under Binhian sa Barangay and Mindoro Dinorado Rice Production Program-Agro Technology Resource and Management Services Division</t>
  </si>
  <si>
    <t>Supply and Delivery of Rapid Testing Kits for COVID19 Pandemic</t>
  </si>
  <si>
    <t>Supply and Delivery of Personal Protective Equipment for COVID19 Pandemic</t>
  </si>
  <si>
    <t>Concreting  of 1.5 km Crossing Sta. Cruz to Ticala FMR</t>
  </si>
  <si>
    <t>Concreting  of 1 km. Plaridel  to Wilkom FMR</t>
  </si>
  <si>
    <t>Concreting   of 1.0 km. Patrocinio (National Highway) to Sitio  Aninipot</t>
  </si>
  <si>
    <t>Concreting  of 1.0 km. Patpat (Poblacion)  to  Public Cemetery</t>
  </si>
  <si>
    <t>S3-NAQ20-015 - Supply and Delivery of Mechanical Spare Parts for 600kW, KTA-38 Cummins Diesel Engine of Senator Ninoy Aquino DPP</t>
  </si>
  <si>
    <t>canal lining with cover</t>
  </si>
  <si>
    <t>Procurement of Services for the Document Warehouse Management for CY 2020</t>
  </si>
  <si>
    <t>installations of 2 units of deep well in SUNRISE VIEW PARK</t>
  </si>
  <si>
    <t>Invitation to Bid for the Supply and Delivery of Various Information and Communication Technology Resources in Line with the Implementation of the Information Systems Strategic Plan for CY 2020</t>
  </si>
  <si>
    <t>PROCUREMENT OF COMPUTER SETS, CPU AND KEYBOARD</t>
  </si>
  <si>
    <t>Concreting of 0.200 km junction national road to Napulog Creek</t>
  </si>
  <si>
    <t>ITB 07-04-2020 Item A</t>
  </si>
  <si>
    <t>Delivery of Various Office Supplies</t>
  </si>
  <si>
    <t>PROCUREMENT OF VARIOUS AGRICULTURAL PRODUCTS USE FOR THE VEGETABLE COMMUNAL AND BACKYARD GARDENING UNDER LAMBO PROGRAM</t>
  </si>
  <si>
    <t>20GSK00012 - Re-ITB – SUPPLY &amp; INSTALLATION OF OFFICE FURNITURES &amp; FIXTURES FOR USE IN THE ROAD RIGHT OF WAY NEW OFFICE, PLANNING &amp; DESIGN DIVISION</t>
  </si>
  <si>
    <t>Garbage Collection and Disposal at Baseport for CY 2020 (ITB No. BAC-PNG BAC 2020-02)</t>
  </si>
  <si>
    <t>BIDDING FOR CONSTRUCTION OF EAMC MOLECULAR LABORATORY</t>
  </si>
  <si>
    <t>RFQ - Printing of REDP</t>
  </si>
  <si>
    <t>UPLB-RQ-7-151-20-RES SUPPLY AND DELIVERY OF OFFICE SUPPLIES &amp; DEVICES FOR BIOTECH</t>
  </si>
  <si>
    <t>Delivery of one (1) set  Generator</t>
  </si>
  <si>
    <t>PR-2020-1605 One (1) Unit Brand new Mobile Radiographic X-ray, Heavy duty-PHO</t>
  </si>
  <si>
    <t>Construction of Barangay Road Dayhagan, Carles, Iloilo</t>
  </si>
  <si>
    <t>Construction of FTMR Diome-Debucao, Ma. Aurora, Aurora</t>
  </si>
  <si>
    <t>SUPPLY AND DELIVERY OF IT EQUIPMENT AND ACCESSORIES FOR DEP-ED CABADBARAN CITY DIVISION OFFICE - 2ND BIDDING</t>
  </si>
  <si>
    <t>Proposed Concreting of Road @ Cristobal Ext. (Christ the King) Purok 4E, Barangay Sta. Rita, Olongapo City</t>
  </si>
  <si>
    <t>Purchase of Materials for Construction of Market Stalls (PhaseII) Market Site Poblacion Lot 2</t>
  </si>
  <si>
    <t>LOT 37-UOI-2020 VARIOUS AIRCONDITIONING UNITS</t>
  </si>
  <si>
    <t>PR# 20-1428- To supply labor, materials and necessary equipment for the Improvement of Three (3) Classroom School Building with Comfort Rooms at Bancal Sinubli Elementary School, Bancal Sinubli, Lubao</t>
  </si>
  <si>
    <t>PB-2020-0010 Supply/Delivery of Fuel for use of service vehicles assigned in the conduct of validation, feasibility study, surveys of various projects of the district and for use in the official trave</t>
  </si>
  <si>
    <t>Vehicle for use of Bulalacao Community Hospital (BCH)</t>
  </si>
  <si>
    <t>Rehabilitation of Sports &amp; Cultural Center</t>
  </si>
  <si>
    <t>INVITATION TO BID FOR THE SUPPLY AND DELIVERY OF MATERIALS FOR THE REHABILITATION OF HEALTH CENTER AT BRGY. MAMBAGO-A, SAMAL DISTRICT, IGACOS</t>
  </si>
  <si>
    <t>Completion of Open Multi-Purpose Building, Brgy. Mucdol, Dipaculao, Aurora</t>
  </si>
  <si>
    <t>Procurement of Kitchen and Supplies</t>
  </si>
  <si>
    <t>Rebidding of Construction of Multi-Purpose Building with Storage Room and Public Comfort Room at Barangay Tumbaga 1, Sariaya, Quezon</t>
  </si>
  <si>
    <t>Construction of Two-Storey Multi-Purpose Building, Brgy. Dimanpudso, Ma. Aurora, Aurora</t>
  </si>
  <si>
    <t>Proposed Slope Protection at Purok 6, Brgy. Dila</t>
  </si>
  <si>
    <t>Procurement of Equipment for the Upgrading of Environmental Research &amp; Analytical Laboratory Under Research &amp; Dev. Hub of ISAT U</t>
  </si>
  <si>
    <t>INVITATION TO BID FOR THE  SUPPLY AND DELIVERY OF COLLECTION/DISCONNECTION NOTICE PR Nos. 27829-001, 27830-001</t>
  </si>
  <si>
    <t>ITB No. 20-068 Supply and Delivery of Various Immunology and Molecular Genetics Reagents and Supplies (Line Bidding)</t>
  </si>
  <si>
    <t>Purchase of Books for the Early Childhood Care and Development Students for the School Year 2020-2021</t>
  </si>
  <si>
    <t>Purchase of IT Equipment for Home for Boys - CSWDO</t>
  </si>
  <si>
    <t>Construction Materials and Supplies for use in the Improvement of Barangay Hall at Brgy. Bagumbayan, Roxas, Oriental Mindoro/ Repair of Kinder and Grade 1 Classroom at San Juan E/S, Brgy. Cantil Roxas</t>
  </si>
  <si>
    <t>ROCUREMENT OF 15 PCS. TUBELESS TIRE FOR THE MAINTENANCE OF URBAN AMBULANCE</t>
  </si>
  <si>
    <t>PHOTOCOPY OF LIQUIDATION &amp; OTHER SCHOOL REPORTS</t>
  </si>
  <si>
    <t>Straight Contract for Improvement of New Market, Brgy. Caradio-an, Himamaylan City</t>
  </si>
  <si>
    <t>Supply of fuels for the proposed road rehabilitaton/crowning and compaction of various barangay roads of different barangays (Manongol, Marbel, Mateo, Meohao, Mua-an) all of Kidapawan City</t>
  </si>
  <si>
    <t>Supply of fuels for the proposed road rehabilitation/crowning and compaction of various barangay roads of different barangays (New Bohol, Nuangan, Onica, Paco, Patadon) all of Kidapawan City</t>
  </si>
  <si>
    <t>Supply and delivery of lubricant and additives for the use of the various Heavy Equipment (Motor pool) of the City Government of Kidapawan</t>
  </si>
  <si>
    <t>Acquisition of various heavy equipments</t>
  </si>
  <si>
    <t>20GG00018 (Rebid) - Procurement of Pest Control Treatment of DPWH Buildings and Disinfection Premises and Working Area, DPWH Regional Office VI, Iloilo City</t>
  </si>
  <si>
    <t>RM Feeding Center</t>
  </si>
  <si>
    <t>Concreting of  1.5 km  Minsacuba to  Kigawhat  FMR</t>
  </si>
  <si>
    <t>Industrial Ceiling Fan with Electrical Accessories and Installation (PR No. 100-2020-0720) PEO -REBID</t>
  </si>
  <si>
    <t>Diesel, gas, and lubricants (PR No.100-2020-0781) -REBID</t>
  </si>
  <si>
    <t>CONSTRUCTION OF 2-BOX    CULVERT FOR DRAINAGE CROSSING (STA. 0+740 OF MC)</t>
  </si>
  <si>
    <t>Construction of 6 Units Handwashing Facility</t>
  </si>
  <si>
    <t>Contract ID No. 19CSK00044 – Consulting Services for the Conduct of  Soil Testing/ Exploration for Bridge Projects-Geotechnical Investigation for the Construction of By-Pass and Diversion Roads, Easte</t>
  </si>
  <si>
    <t>Rehabilitation of San Juan – San Antonio – Candigum Provincial Road (Phase I),  San Juan, Siquijor</t>
  </si>
  <si>
    <t>20BK0150  Repair/ Rehabilitation/ Improvement along Echague-Jones-Maddela Road (S00850LZ), K0378+000 - K0380+450    Maddela, Quirino</t>
  </si>
  <si>
    <t>Acquisition of Materials for Repair of Various School Building</t>
  </si>
  <si>
    <t>Purchase of Closed Circuit Television (CCTV) Cameras (Indoor and Outdoor)</t>
  </si>
  <si>
    <t>Printing, Binding, Supply and Delivery of Learning Modules for the City Schools Division of Tayabas</t>
  </si>
  <si>
    <t>Improvement of Multi Purpose Building Extension</t>
  </si>
  <si>
    <t>Procurement of one (1) unit brand new MPV</t>
  </si>
  <si>
    <t>Contract ID No. 19CSK00042 – Consulting Services for the Conduct of  Soil Testing/ Exploration for Bridge Projects-Geotechnical Investigation of the Construction of By-Pass and Diversion Roads, Puerto</t>
  </si>
  <si>
    <t>Supply and Delivery of 1,828 bags Hybrid Yellow Corn Seeds Total ABC: Php8,226,000.00</t>
  </si>
  <si>
    <t>IMPROVEMENT OF MULTI PURPOSE HALL, COVERED COURT @ bRGY. mAGAPI,BALETE, BATANGAS</t>
  </si>
  <si>
    <t>REHABILITATION OF SCHOOL BUILDINGS</t>
  </si>
  <si>
    <t>Supply &amp; Delivery of One (1) Unit Multi-Purpose Vehicle</t>
  </si>
  <si>
    <t>Banay-Banay ES RFQ for Modules</t>
  </si>
  <si>
    <t>Labor &amp; Materials for the Proposed Rehabilitation of Barangay Water System</t>
  </si>
  <si>
    <t>Food Supplies (Patients Subsistence), Non-Perishable (PR No. 100-2020-0882) ZSPH</t>
  </si>
  <si>
    <t>Renovation of Brgy. Hall</t>
  </si>
  <si>
    <t>PROCUREMENT ON THE DELIVERY OF MATERIALS FOR THE PROPOSED SOLAR STREET LIGHTING</t>
  </si>
  <si>
    <t>Procurement of 17 Units HIGH SPEED DIGITAL DUPLICATOR for the Use of 17 School Districts of Davao Oriental</t>
  </si>
  <si>
    <t>Contract ID No. 19CSK00043 – Consulting Services for the Conduct of  Soil Testing/ Exploration for Bridge Projects-Geotechnical Investigation for the Construction of By-Pass and Diversion Roads, CDO-N</t>
  </si>
  <si>
    <t>Delivery of Brand New Motor Vehicle needed for City Veterinary Office (ITB 20-087)</t>
  </si>
  <si>
    <t>Supply and Delivery of Two (2) Units Emergency Transport Vehicle to be used in the Office of the Municipal Mayor, Naujan, Oriental Mindoro</t>
  </si>
  <si>
    <t>Procurement of Materials for the Improvement of Evacuation Center</t>
  </si>
  <si>
    <t>SUPPLY, DELIVERY AND INSTALLATION OF OFFICE FURNITURE AND FIXTURE FOR USE IN CASC, SCI LAB, D POST OFFICE, CESC, GUIDANCE OFFICE, KMS OFFICE, REGISTRATION &amp; ADMISSION OFFICE AND SSC OFFICE</t>
  </si>
  <si>
    <t>Procurement of One (1) Unit Brand New 4x4 Pick-Up Vehicle for Use in Assessment and Evaluation of Farmer Beneficiaries Affected by COVID-19 Pandemic</t>
  </si>
  <si>
    <t>S &amp; D of Breedable Cow (PVO)</t>
  </si>
  <si>
    <t>Procurement of Agricultural and Marine Supplies for Registered Fishermen of Vigan City</t>
  </si>
  <si>
    <t>Purchase of Feeding Materials for Supplemental Feeding Program for Severely Malnourished Children of Fourteen (14) Barangays of Municipality of Madridejos,Cebu</t>
  </si>
  <si>
    <t>PACKAGE 20-35:  REHABILITATION/RENOVATION OF MODERN ABATTOIR BUILDING</t>
  </si>
  <si>
    <t>Additional Fund for the Construction of Evacuation Center</t>
  </si>
  <si>
    <t>Supply of Materials for Improvement of Steel Foot Bridge (Sitio Laray)</t>
  </si>
  <si>
    <t>PROCUREMENT OF LIGHTING EQUIPMENT</t>
  </si>
  <si>
    <t>Procurement of five (5) units of cellphone</t>
  </si>
  <si>
    <t>Magsaysay Housing Project  Elect. Materials &amp; Const. of Public Market (Materials Only)</t>
  </si>
  <si>
    <t>COMPLETION OF MUNICIPAL HEALTH BIRTHING CENTER</t>
  </si>
  <si>
    <t>Procurement of one (1) unit service vehicle 4x2 pick-up type</t>
  </si>
  <si>
    <t>CLUSTER N13-2020</t>
  </si>
  <si>
    <t>Supply of Materials for Construction of Evacuation Center, Phase 4 (Beams &amp; Formworks)</t>
  </si>
  <si>
    <t>Rehabilitation/Improvement/Widening of Agnaga-Talisay Provincial Road Romblon, Romblon</t>
  </si>
  <si>
    <t>Purchase of Ambulance, Gerona, Tarlac</t>
  </si>
  <si>
    <t>Supply and Delivery of Petroleum Products for Road Maintenance</t>
  </si>
  <si>
    <t>Supply and Delivery of 1 lot Laboratory Equipment for Food Technology Laboratory Use of Bukidnon State University</t>
  </si>
  <si>
    <t>Procurement of Garbage Collection and Hauling Services for the Navotas Fish Port Complex (Re-bidding)</t>
  </si>
  <si>
    <t>SUPPLY &amp; DELIVERY OF IT EQUIPMENT</t>
  </si>
  <si>
    <t>ITB - Concreting of Brgy. Road</t>
  </si>
  <si>
    <t>Supply and Delivery of Assorted Office/Other Supplies and Materials</t>
  </si>
  <si>
    <t>Procurement of 3-unit Photocopier Machine</t>
  </si>
  <si>
    <t>Procurement of Various Seeds (Vegetable Production)-DA,Lopez Jaena</t>
  </si>
  <si>
    <t>Labor and Materials for the Perimeter Fence of the New Rural Health Unit at Sitio Pag-asa, Brgy Wawa, Orion, Bataan</t>
  </si>
  <si>
    <t>Repair of Perimeter Fence, San Jose District Hospital Poblacion, San Jose, Romblon</t>
  </si>
  <si>
    <t>Repair/Maintenance of Big Mateo Bridge Revetment along Kidapawan-Magpet-Pangao-an Road, Big Mateo Bridge approach “B” (Downstream)</t>
  </si>
  <si>
    <t>Additional Fund for the Construction of Multi-Purpose Hall, Brgy. Ura</t>
  </si>
  <si>
    <t>Procurement of Soil Enhancer -Chicken Dung(Crop Production)-DA,Lopez Jaena</t>
  </si>
  <si>
    <t>REHAB IMPROVEMENT OF LIPAKAN DUMPSITE</t>
  </si>
  <si>
    <t>Procurement and Installation of CCTV Cameras in the Public Market</t>
  </si>
  <si>
    <t>Procurement of Seeds - CENRO</t>
  </si>
  <si>
    <t>SUPPLY AND DELIVERY OF  HAND TRACTOR AND KNAPSACK SPRAYER</t>
  </si>
  <si>
    <t>PROCUREMENT OF BROADCAST EQUIPMENT</t>
  </si>
  <si>
    <t>Land Development Project (Phase I) at Tourism Complex, Mati City,  Davao Oriental</t>
  </si>
  <si>
    <t>Supply and Delivery of 1 Lot of Multi Cab for Barangay Medical/Rescue Operations</t>
  </si>
  <si>
    <t>Provision of Assistive Devices for Person with Disabilities (PWD) of Municipality of Madridejos,Cebu</t>
  </si>
  <si>
    <t>CONSTRUCTION OF PERIMETER FENCE @ SIQUIJOR INTEGRATED SCHOOL POLANGYUTA SIQUIJOR, SIQUIJOR</t>
  </si>
  <si>
    <t>Procurement of Oil and Lubricants of Motorpool</t>
  </si>
  <si>
    <t>Purchase of Search and Rescue (SAR), Tools and Equipment</t>
  </si>
  <si>
    <t>Procurement of One (1) unit Motorcycle</t>
  </si>
  <si>
    <t>Procurement and Delivery of Office Supplies</t>
  </si>
  <si>
    <t>Repair/Maintenance of DILG Building Cotabato Police Prov’l Office Building, Amas, Kidapawan City</t>
  </si>
  <si>
    <t>Supply and Delivery of Medicines at PGBICH (3rd Quarter 2020)</t>
  </si>
  <si>
    <t>Assistance to Barangay Solid Waste MAnagement Program</t>
  </si>
  <si>
    <t>INSTALLATION OF TRANSFORMER AT THE MUNICIPAL HEALTH OFFICE</t>
  </si>
  <si>
    <t>Installation of All-in-One Solar LED Street Lights at Poblacion Area (Phase-II)</t>
  </si>
  <si>
    <t>Construction of Perimeter Fence with Steel Gate</t>
  </si>
  <si>
    <t>ITB - Concreting of Brgy. Roads</t>
  </si>
  <si>
    <t>Construction of MRF and Septic Vault for Special Waste at New Hospital, Caipilan, Siquijor, Caipilan, Siquijor, Siquijor</t>
  </si>
  <si>
    <t>Installation of Electrical Main Feederline for 3 units – 2 Storey Cottages</t>
  </si>
  <si>
    <t>Supply and Delivery of Air Condition Units</t>
  </si>
  <si>
    <t>SUPPLY &amp; DELIVERY OF GENERAL MERCHANDISE</t>
  </si>
  <si>
    <t>CONSTRUCTION OF TRIBAL HALL WITH AMENITIES AND CAPABILITY BUILDING FOR IKSP</t>
  </si>
  <si>
    <t>Improvement of Market - Construction of Sanitary Toilet and Hygiene Facility</t>
  </si>
  <si>
    <t>Construction/Improvement of Flood Control System</t>
  </si>
  <si>
    <t>Supply and Delivery of 285 bags of yellow corn seeds under the corn production program chargeable against the 20% Economic Development Fund (EDF), this municipality.</t>
  </si>
  <si>
    <t>ITB - Construction of Slope Protection</t>
  </si>
  <si>
    <t>Procurement of Civil Works-Construction/Improvement of Hanging Foot bridge @ Niog Kayapa,Nueva Vizcaya</t>
  </si>
  <si>
    <t>20GPI0007 - PURCHASE OF LUBRICANTS FOR MPFDEO SERVICE VEHICLES AND HEAVY EQUIPMENT</t>
  </si>
  <si>
    <t>20KB0182   RE - Construction of School Stage San Miguel Central Elementary School, Brgy. San Miguel, Maramag, Bukidnon</t>
  </si>
  <si>
    <t>Supply, Delivery and Installation of 4 Modules of Grouper Cages (Fixed Type) with Grouper Fingerlings</t>
  </si>
  <si>
    <t>Supply &amp; Delivery of Materials for the Improvement/Renovation of Municipal Building (Phase II)</t>
  </si>
  <si>
    <t>Procurement of Civil Works-Improvement of Monggol,Babadi-Mahingao-Bakeh Road @ Babadi KNV</t>
  </si>
  <si>
    <t>Upgrading of Local Access Road at Barangay Caipilan</t>
  </si>
  <si>
    <t>Procurement of Civil Works-Improvement of Pampang-Balangabang-Talmoy,Banao Road @ Balangabang, KNV</t>
  </si>
  <si>
    <t>20IA0086 - Re-advertisement  Application of Road Safety Devices Pavement Markings Including Pedestrian Lanes along 			   Biliran Circumferential Road (S00002BR) K1030+000 – K1031+240, K1037+280 – K103</t>
  </si>
  <si>
    <t>PACKAGE 20-36:  COMMUNITY DEVELOPMENT</t>
  </si>
  <si>
    <t>Supply, Delivery and Installation of 1 lot Electronic Technology Laboratory of Bukidnon State University</t>
  </si>
  <si>
    <t>Construction of Farm-to-Market Road (Sta.0+000-Sta.0+040)</t>
  </si>
  <si>
    <t>Concreting of Road &amp; Construction of Perimeter Fence at Poblacion Central School, Sual</t>
  </si>
  <si>
    <t>Purchase of One (1) Set. Generator 45 KVA for MACWAS,Sitio Lutak,Kangwayan,Madridejos,Cebu</t>
  </si>
  <si>
    <t>Purchase of Concrete Cutter, Bago City</t>
  </si>
  <si>
    <t>Suppy and Delivery of CEO Materials Testing Equipment</t>
  </si>
  <si>
    <t>CONSTRUCTION OF  SLOPE PROTECTION OF ACCESS ROAD SITIO TAMSIAN, BARANGAY PAGTILAAN, LINGIG, SURIGAO DEL SUR</t>
  </si>
  <si>
    <t>Construction of Multi-Purpose Hall, Brgy. Masagana</t>
  </si>
  <si>
    <t>PURCHASE OF RICE FOR DISTRIBUTION</t>
  </si>
  <si>
    <t>Supply &amp; Delivery of Materials for the Rehabilitation of Poblacion Local Access Road Phase II</t>
  </si>
  <si>
    <t>Proposed Purchase of various supplies for Enhancement of Barangay Tanod Parapernalias</t>
  </si>
  <si>
    <t>Construction of Flood Control Poblacion, Sta. Fe, Romblon</t>
  </si>
  <si>
    <t>PROCUREMENT OF LEARNING TABLET</t>
  </si>
  <si>
    <t>Concreting of Brgy. Nagpalangan Road, Binmaley, Pangasinan</t>
  </si>
  <si>
    <t>RE-BIDDING-Construction Projects ,Construction of Multi -Purpose Hall(Don Andres Soriano)-MEO,Lopez Jaena</t>
  </si>
  <si>
    <t>Contract for One (1) Lot Comprehensive Maintenance of Conveyance System under PR No. RS-0919-033 and ITB No. 2001-004-02</t>
  </si>
  <si>
    <t>For the replacement of worn-out tires of Isuzu Double Axle Dump Truck #2 SHZ - 956 / CEO</t>
  </si>
  <si>
    <t>PROCUREMENT OF INFORMATION TECHNOLOGY (IT) EQUIPMENT OF THE MUNICIPALITY OF LIMASAWA, SOUTHERN LEYTE</t>
  </si>
  <si>
    <t>One (1) Lot Supply of Labor, Tools, Equipment, Materials and Supplies, including Supervision for Janitorial, Hauling, Landscaping and Other Related Services for BSPRO Davao (1 Year Contract), as per B</t>
  </si>
  <si>
    <t>SUPPLY &amp; DELIVERY OF LABORATORY SUPPLIES &amp; REAGENTS</t>
  </si>
  <si>
    <t>Supply &amp; Delivery of Materials for the Renovation/Expansion of Tabugon Health Station</t>
  </si>
  <si>
    <t>Procurement of CCTV and Laptop</t>
  </si>
  <si>
    <t>ITB Purchase of Materials for the Maintenance of School Grounds 1st Posting</t>
  </si>
  <si>
    <t>Supply of Materials, Labor and Equipment for the Proposed Construction of Line Canal Phase I at Public Market, Barangay I, Jones, Isabela</t>
  </si>
  <si>
    <t>uplb-rq-7-086-20 goods (Printing services for PSA)</t>
  </si>
  <si>
    <t>Procurement of 25 unit printer Epson L3110</t>
  </si>
  <si>
    <t>Installation of Solar Streetlights at Poblacion-Bagsok</t>
  </si>
  <si>
    <t>Renovation of Pavillion 104 and Fabrication of Railings and Fabrication of Proposed Fence at BAMR, Brgy Ilijan, Bago City (RE-BID)</t>
  </si>
  <si>
    <t>Supply &amp; Delivery of Materials for the Rehabilitation/Riprapping of Pandan Local Access Road</t>
  </si>
  <si>
    <t>Completion of Cajidiocan Sports Complex Concrete Bleacher Cajidiocan, Romblon</t>
  </si>
  <si>
    <t>PURCHASE OF PAY LOADER - SAN JUAN, ILOCOS SUR</t>
  </si>
  <si>
    <t>Improvement of the City Agriculture Office, Brgy Balingasag, Bago City (RE-BID)</t>
  </si>
  <si>
    <t>Site Development for Municipal Housing Project at Brgy. Poblacion San Agustin, Romblon</t>
  </si>
  <si>
    <t>Construction of Multi-Pupose Pavement at Brgy. Abuanan Relocation Site, Bago City (RE-BID)</t>
  </si>
  <si>
    <t>Proposed Purchase of various Supplies for Protective Equipment (PPE) for Barangay Responders</t>
  </si>
  <si>
    <t>Re-bidding: PR No. 2020-02-0252-MAIN-Supply and Delivery of RFID Library Security System</t>
  </si>
  <si>
    <t>Cluster Bc6-2020</t>
  </si>
  <si>
    <t>20GPI0008 - PURCHASE OF  DIESEL FUEL  FOR MPFDEO SERVICE VEHICLES AND HEAVY EQUIPMENT</t>
  </si>
  <si>
    <t>Janitorial Equipment</t>
  </si>
  <si>
    <t>MASS REPRODUCTION OF FLEXLEARNING MATERIALS FOR FIRST TERM 2020-2021</t>
  </si>
  <si>
    <t>Improvement of Dietary and Laundry Room at Umingan Community Hospital</t>
  </si>
  <si>
    <t>PR No. 2020-03-0432-MAIN - Supply and Delivery of Mechanical Technology Laboratory Equipment for CTAS</t>
  </si>
  <si>
    <t>Supply &amp; Delivery of Materials for the Repair and Maintenance of Infrastructure Assets (Guba Bridge)</t>
  </si>
  <si>
    <t>PROCUREMENT OF SECURITY SERVICES OF CAPIZ STATE UNIVERSITY</t>
  </si>
  <si>
    <t>Supply and Delivery of Farm Supplies and Equipment-REBID</t>
  </si>
  <si>
    <t>PROCUREMENT OF 26,276.16 LITERS OF DIESEL FOR MAINTENANCE OF BARANGAY ROADS &amp; BRIDGES (FARM TO MARKET ROAD) SITIO OBON SABANG, LINGIG, SURIGAO DEL SUR</t>
  </si>
  <si>
    <t>Supply &amp; Delivery of Materials for the Rehabilitation of Guinbirayan Local Access Road Phase IV</t>
  </si>
  <si>
    <t>P.R. No. 20-0096 - Supply &amp; Delivery of 2,500 bags Aluminum Sulfate – 17% for use in water treatment</t>
  </si>
  <si>
    <t>For use at Bago City Hospital, Bago City (Laboratory Supplies) (RE-BID)</t>
  </si>
  <si>
    <t>Supply &amp; Delivery of Materials for Riprapping of Guintigbasan Creek</t>
  </si>
  <si>
    <t>Proposed Rehabilitation of Senior Citizen's Park</t>
  </si>
  <si>
    <t>20GPI0009 - PURCHASE OF MATERIALS FOR USE IN IMMEDIATE RESTORATION OF ROAD CUTS ALONG VARIOUS ROAD SECTIONS</t>
  </si>
  <si>
    <t>For use at Bago City Hospital, Bago City</t>
  </si>
  <si>
    <t>Supply &amp; Delivery of Materials for the Rehabilitation of Agmanic Local Access Road</t>
  </si>
  <si>
    <t>Rehabilitation of Pili-Banban Farm to Market Road Pili, Siquijor, Siquijor</t>
  </si>
  <si>
    <t>20GBD0034 - PURCHASE OF 1 UNIT RTK AND CALIBRATION OF EXISTING SURVEY EQUIPMENT (TOTAL STATION AND RTK) FOR USE IN THE PLANNING AND DESIGN SECTION</t>
  </si>
  <si>
    <t>REHABILITATION OF MULTI PURPOSE BUILDING (ROOFING)</t>
  </si>
  <si>
    <t>CONSTRUCTION OF 1 CLASSROOM BUILDING @ BALIMBING ELEMENTARY SCHOOL, SAN PASCUAL, BATANGAS</t>
  </si>
  <si>
    <t>Provision of Roof Deck of Roofing of X-Ray/Ultrasound Building at Mapandan Community Hospital</t>
  </si>
  <si>
    <t>CONSTRUCTION OF MINI LIBRARY</t>
  </si>
  <si>
    <t>Supply &amp; Delivery of Materials for the Rehabilitation of Danao Norte Local Access Road Phase II</t>
  </si>
  <si>
    <t>Supply &amp; Delivery of Materials for the Rehabilitation of Canyayo Local Access Road Phase II</t>
  </si>
  <si>
    <t>Construction of Converging Area at Odiongan Sports Complex, Odiongan, Romblon</t>
  </si>
  <si>
    <t>ITB Purchase of NON-PS module Materials 2nd Posting</t>
  </si>
  <si>
    <t>Cluster L10-2020</t>
  </si>
  <si>
    <t>20NB0072, Construction of Concrete Road – Access Road in support of Match Factory, Talacogon, Agusan del Sur</t>
  </si>
  <si>
    <t>Construction of Maternity Half-Way House, Malipayon District Hospital, Poblacion, Corcuera, Romblon</t>
  </si>
  <si>
    <t>20NB0071, Construction of Classroom (1 STY 2 CL) with toilet at each CL, Salug NHS, Esperanza, Agusan del Sur</t>
  </si>
  <si>
    <t>INVITATION TO BID FOR Procurement of Materials for the Installation of Solar Street Lights</t>
  </si>
  <si>
    <t>Concrete Paving of Bachawan-Poblacion Road, Concepcion, Romblon</t>
  </si>
  <si>
    <t>SUPPLY AND DELIVERY OF I.T. EQUIPMENT</t>
  </si>
  <si>
    <t>Supply and Delivery of Auto Supplies and Equipment-REBID</t>
  </si>
  <si>
    <t>DESIGN AND BUILD OF THE NEW EIGHTEEN-STOREY CLARK AIR TRAFFIC CONTROL TOWER BUILDING FACILITY AT CLARK INTERNATIONAL AIRPORT</t>
  </si>
  <si>
    <t>Supply and Delivery of One (1) unit 6 Wheeler Wing Van Truck (25 ft. Hydraulic Wing Van)</t>
  </si>
  <si>
    <t>Procurement of Powdered Milk Drink for the use in Supplemental Feeding to Pre-School Children, Province of Aklan – Re Bidding /ITB no: 2020-394</t>
  </si>
  <si>
    <t>Supply and Delivery of One (1) unit Generator Set (300KVA, Open Type w/ complete Accessories and Battery)</t>
  </si>
  <si>
    <t>Cluster M12-2020</t>
  </si>
  <si>
    <t>Reconstruction/ Rehabilitation of PSAU-Ayala Road, Magalang, Pampanga</t>
  </si>
  <si>
    <t>Invitation to Bid for the CONSTRUCTION OF LEVEL II POTABLE WATER SYSTEM</t>
  </si>
  <si>
    <t>Supply &amp; Delivery of Materials for Riprapping of Danao Sur Local Access Road</t>
  </si>
  <si>
    <t>PROCUREMENT OF VARIOUS FOOD STUFF USE AS FOOD ASSISTANCE OF PWD MEMBERS OF THE 22 BARANGAYS OF PIÑAN, ZAMBOANGA DEL NORTE DURING  COVID 19 PANDEMIC</t>
  </si>
  <si>
    <t>CONSTRUCTION OF PERIMETER FENCE AT ECO-SWM PARK (PHASE II)</t>
  </si>
  <si>
    <t>Construction of Water System</t>
  </si>
  <si>
    <t>Proposed Purchase of Various Office Equipment</t>
  </si>
  <si>
    <t>CANAL RIPRAP WORKS</t>
  </si>
  <si>
    <t>(DDH) 2ND INVITATION TO BID FOR THE SUPPLY AND DELIVERY OF ONE (1) UNIT DEFIBRILLATOR WITH PADDLE</t>
  </si>
  <si>
    <t>Supply and Delivery of Photocopier for the 2nd Quarter (PR No.2020-02-0167)</t>
  </si>
  <si>
    <t>Supply, Delivery and Installation of Airconditioning Units for the 2nd quarter (PR No. 2020-03-0470, 2020-02-0424, 2020-06-0578, 2020-06-0552)</t>
  </si>
  <si>
    <t>Proposed Purchase of Insecticide for Dengue Prevention and Control Program</t>
  </si>
  <si>
    <t>Supply and Delivery of Office Equipment for the 2nd Quarter (PR No.2020-01-0029,2020-06-0540, 2020-02-0167, 2020-02-0144, 2020-02-0179, 2020-03-0471, 2020-06-0539, 2020-02-0313)</t>
  </si>
  <si>
    <t>SUPPLY AND DELIVERY OF MEDICAL EQUIPMENT</t>
  </si>
  <si>
    <t>Construction of BRGY. PEACE KEEPING ACTION TEAM (BPAT) BLDG.</t>
  </si>
  <si>
    <t>1 unit Brand New Six (6) Wheeler Mini-Dump Truck for Environmental Protection, Disaster Reduction, Agricultural and for other purposes of Barangay Candau-ay.</t>
  </si>
  <si>
    <t>Road Concreting Sitio Talinis (ka erot) Lunop</t>
  </si>
  <si>
    <t>Supply and Delivery of Eighty boxes Dengue IgG/IgM+NSI (Combo)25’s/box</t>
  </si>
  <si>
    <t>Installation of Internet Connection (PR No. 2020-03-0469, 2020-02-0161)</t>
  </si>
  <si>
    <t>BPSU:AC Supply, Delivery and Installation of Computer Equipment &amp; Software for the Completion of 2-Storey Academic Building 2</t>
  </si>
  <si>
    <t>20NE0096 - Repair and Rehab of National Road/Selective Replacement of Concrete Pavement, Along Dinagat-Loreto Road</t>
  </si>
  <si>
    <t>20CSN014; CONSULTING SERVICES FOR THE GEOTECHNICAL AND GEOLOGICAL SURVEY/ INVESTIGATIONS FOR THE CONSTRUCTION OF LUMBOCAN BRIDGE ALONG BUTUAN CITY - AGUSAN DEL NORTE LOGISTICAL HIGHWAY, AGUSAN DEL NOR</t>
  </si>
  <si>
    <t>Supply and Delivery of 4,000 cyls. Medical Oxygen (Std. Type) and 150 cyls. Medical Oxygen (Flask Type)</t>
  </si>
  <si>
    <t>20NB0055 (re-advertised), Construction/Rehabilitation of Balit-Policarpio-Sta. Rita Road, San Luis, Agusan del Sur</t>
  </si>
  <si>
    <t>DESIGN AND BUILD OF PUBLIC MARKET BUILDING</t>
  </si>
  <si>
    <t>20CSN013; CONSULTING SERVICES FOR THE CONDUCT OF GEOTECHNICAL AND GEOLOGICAL SURVEY/ INVESTIGATIONS FOR THE CONSTRUCTION OF GUIASAN BRIDGE ALONG BUTUAN CITY - AGUSAN DEL NORTE LOGISTICAL HIGHWAY, AGUS</t>
  </si>
  <si>
    <t>CONSTRUCTION OF SEPTIC  VAULT- RHU 11- BRGY  MAMPUNGO, PARACALE,CAMARINES  NORTE</t>
  </si>
  <si>
    <t>Rehabilitation of Barangay Stage</t>
  </si>
  <si>
    <t>Improvement of Brgy. Multi-purpose Building, Brgy. Ninoy Aqunio, Canlaon City</t>
  </si>
  <si>
    <t>Y.O.K.: Youth On Kalikasan</t>
  </si>
  <si>
    <t>Supply and Delivery of Materials for Installation of Municipal Streetlighting System</t>
  </si>
  <si>
    <t>Supply and  delivery of various materials and facilities for use in the  operation of MRF at Barangay New Cebu, Pres. Roxas, Cotabato</t>
  </si>
  <si>
    <t>Provision of Security Services (2020–2021)</t>
  </si>
  <si>
    <t>Procurement of Face Mask</t>
  </si>
  <si>
    <t>SUPPLY &amp; DELIVERY OF ONE UNIT PASSENGER VAN</t>
  </si>
  <si>
    <t>Road Rehabilitation , Sitio Bagong Silang , Brgy. Panggulayan</t>
  </si>
  <si>
    <t>PEO-20-0838-B - Purchase of IT Equipment for use of the Provincial Engineer’s Office</t>
  </si>
  <si>
    <t>Supply of Security Services for the Six (6) Campuses of the College</t>
  </si>
  <si>
    <t>20CSN016; CONSULTING SERVICES FOR THE GEOTECHNICAL AND GEOLOGICAL SURVEY/ INVESTIGATIONS FOR THE CONSTRUCTION OF MASAO BRIDGE ALONG BUTUAN CITY - AGUSAN DEL NORTE LOGISTICAL HIGHWAY, AGUSAN DEL NORTE</t>
  </si>
  <si>
    <t>ROOF EXTENSION OF BARANGAY HALL BRGY 7 SARRAT ILOCOS NORTE</t>
  </si>
  <si>
    <t>Proposed Purchase of Dental Chair for Enhancement of Barangay Administrative Office (Barangay Clinic)</t>
  </si>
  <si>
    <t>Supply and Delivery of Body Worn Cameras</t>
  </si>
  <si>
    <t>IMPROVEMENT OF MULTI-PURPOSE BUILDING CENTRO 09, TUGUEGARAO CITY</t>
  </si>
  <si>
    <t>Supply and Delivery of Various Supplies and Equipment needed in Printing Modules for Elementary Schools of Looc District</t>
  </si>
  <si>
    <t>for  Supply and Delivery of 2,060 cyls. Medical Oxygen (Std. Type) and 35 cyls. Medical Oxygen (Flask Type)</t>
  </si>
  <si>
    <t>Contract ID No. 20NC0137 - Construction of Legislative Building, Sta. Josefa, Agusan del Sur</t>
  </si>
  <si>
    <t>SUPPLY AND DELIVERY OF LABORATORY AND DENTAL SUPPLIES</t>
  </si>
  <si>
    <t>Procurement of Two (2) Units Multicab for the Use of the LGU, Tagudin, Ilocos Sur</t>
  </si>
  <si>
    <t>PR# 20-1400- To supply labor, materials and necessary equipment for the Improvement of Potrero Highschool at Bulaon, City of San Fernando, Pampanga.</t>
  </si>
  <si>
    <t>Procurement of Sound System</t>
  </si>
  <si>
    <t>Supply, Delivery, Installation and Implementation of Port Profile and Engineering Systems (PPES)</t>
  </si>
  <si>
    <t>CONSTRUCTION OF RC PIPE DRAINAGE BRGY 7 SARRAT ILOCOS NORTE</t>
  </si>
  <si>
    <t>Supply, Delivery and Installation of Diagnostic Machine and other Accessories</t>
  </si>
  <si>
    <t>Concreting/ Improvement of Doldol-Balao Road, Dumanjug, Cebu</t>
  </si>
  <si>
    <t>Supply, delivery and isntallation of One (1) unit rice mill with steel base and conveyor.</t>
  </si>
  <si>
    <t>Concreting/ Improvement of Valencia-Montpeller Road, Alegria, Cebu</t>
  </si>
  <si>
    <t>20CSN017; CONSULTING SERVICES FOR THE GEOTECHNICAL AND GEOLOGICAL SURVEY/ INVESTIGATIONS FOR THE CONSTRUCTION OF BRIDGE ALONG TALACOGON BYPASS ROAD, AGUSAN DEL SUR</t>
  </si>
  <si>
    <t>Contract of Service for the Rental of Backhoe to be used at the Central Materials Recovery Facility (MRF) in the City of San Fernando, Pampanga</t>
  </si>
  <si>
    <t>2020 27th Public Bidding: Peritoneal Dialysis Supplies</t>
  </si>
  <si>
    <t>(PT &amp; KMH) 2ND INVITATION TO BID FOR THE SUPPLY &amp; DELIVERY OF DESKTOP COMPUTERS, LAPTOP, ETC. FOR THE  PROVINCIAL TREASURY &amp; KASIBU MUNICIPAL HOSPITAL--290,000.00</t>
  </si>
  <si>
    <t>Repair of Spillway (Sitio Binagasbasan)</t>
  </si>
  <si>
    <t>20FO0108 - Construction of Classrooms (2-Storey 6-Classroom School Building) at Marcial O. Rañola Memorial School, Guinobatan, Albay (9.50m x 32.20m) Using Exposure D (Wind V = 340 kph)</t>
  </si>
  <si>
    <t>Supply and Delivery of One (1) unit Universal Testing Machine</t>
  </si>
  <si>
    <t>PR# 20-0845- To supply labor, materials and necessary equipment for the Construction OVERHEAD TANk (Including Drilingn with 10,000.00 Gallons Capacity) at BJMP, San Vicente (Ebus), Guagua, Pampanga</t>
  </si>
  <si>
    <t>CONCRETING OF PATHWAY AND BOX CULVERT @ P.I.A.T. Center/Central Terminal, Piat, Cagayan</t>
  </si>
  <si>
    <t>Supply and Delivery of One (1) Unit Secondhand Wheel loader to be used at the CEO-Maintenance Unit in the City of San Fernando, Pampanga</t>
  </si>
  <si>
    <t>Re-bidding for the Procurement of One (1) Unit 4WD Double Cab/Multi-Purpose</t>
  </si>
  <si>
    <t>Supply and Delivery of One (1) unit Genset, 75 KVA, Open Type with Complete Accessories and Battery</t>
  </si>
  <si>
    <t>Road Concreting /Brgy. Guinhawa, Sitio Babahurin</t>
  </si>
  <si>
    <t>PR# 20-1431- To supply labor, materials and necessary equipment for the Improvement of Ayala High School (Multi-Purposed Pavement) at Ayala Highschool, Ayala, Magalang, Pampanga</t>
  </si>
  <si>
    <t>Furnishing of Labor and Materials for the Animal Shelter Facility @Brgy.Macatbong, Cabanatuan City</t>
  </si>
  <si>
    <t>Supply of Civil Works for Concreting of Brgy. Ugasan Farm-to-Market Road</t>
  </si>
  <si>
    <t>PURCHASE OF MUNICIPAL VEHICLE</t>
  </si>
  <si>
    <t>Procurement of Air purifier, Instruments, and Accessories of Cardiac Monitor</t>
  </si>
  <si>
    <t>Road Concreting /Brgy. Pili Sitio Upper Bongol</t>
  </si>
  <si>
    <t>20-012 CONCRETING OF COSTA RICA LOCAL ACCESS ROAD</t>
  </si>
  <si>
    <t>(PENARO) INVITATION TO BID FOR THE SUPPLY AND DELIVERY OF MULTI-PARAMETER WATER QUALITY FIELD INSTRUMENT  FOR THE  PROVINCIAL ENVIRONMENT AND NATURAL RESOURCES OFFICE (PENARO)</t>
  </si>
  <si>
    <t>PR# 19-3827- To supply labor, materials and necessary equipment for the Concreting of Road, Barangay Pio, Porac, Pampanga. (Re-bidding)</t>
  </si>
  <si>
    <t>Construction of Materials Recovery Facility Phase II, Brgy. Lico-an, Barotac Nuevo, Iloilo</t>
  </si>
  <si>
    <t>Supply and delivery of Additional PPE for LGU Employees to fight against Covid 19</t>
  </si>
  <si>
    <t>Furnishing of Labor and Materials for the Finishing of NHA Housing @Brgy.Kalikid Sur, Cabanatuan City</t>
  </si>
  <si>
    <t>PEGPES-EK TE BALEY TE KUKUMANAN WEY KEUPIANAN WEY KALALAGHAN (Construction of Tribal Hall with Amenities)</t>
  </si>
  <si>
    <t xml:space="preserve">CW20-034-1 Lot Improvement of Maragusan NHS Gymnasium [Improvement of one (1) bay covered court, 6 ln.m. bleacher (right side), 12 ln.m. bleacher (left side), repainting of existing trusses, existing </t>
  </si>
  <si>
    <t>Supply and delivery of School Equipment use for teaching (Instructional Materials) and accomplioshing school-related documents.</t>
  </si>
  <si>
    <t>20P00001 Baguio – La Trinidad – Itogon – Sablan – Tuba and Tublay, Kamog Jct. – Calot – Pappa – Bagong – Balluay – Tuel Jct. (Section 2 of BLISTT Outer Ring Circumferential Road), Package 1, Benguet</t>
  </si>
  <si>
    <t>FARM Equipment &amp; Machineries</t>
  </si>
  <si>
    <t>Supply and Delivery of 1 lot 	Various Library Books-Main Campus of Bukidnon State University</t>
  </si>
  <si>
    <t>PROCUREMENT OF ONE (1) UNIT BRAND NEW MINI DUMP TRUCK</t>
  </si>
  <si>
    <t>CW20-033-1 Lot Construction of 5 bays Evacuation Center and Comfort Room at Side 4, Brgy. Mangayon, Compostela (Furnishing Labor, Materials and Equipment)</t>
  </si>
  <si>
    <t>PR# 20-1454- To supply labor, materials and necessary equipment for the Construction of Two (2) Storey Multi-Purpose Building at Vizal San Pablo, Candaba, Pampanga</t>
  </si>
  <si>
    <t>Procurement of Multivitamins for distribution to households/families for COVID-19 Response</t>
  </si>
  <si>
    <t>CONSTRUCTION OF MULTI-PURPOSE COVERED HALL AT ARASAN ELEMENTARY SCHOOL AND AGUSTIN ELLO ELEMENTARY SCHOOL</t>
  </si>
  <si>
    <t>INVITATION TO BID FOR REPAIR/IMPROVEMENT OF HEALTH CENTER PHASE II (FIRST BIDDING)</t>
  </si>
  <si>
    <t>20AC0109 - Repair of Box Culvert Along MNR, Sto. Domingo, Ilocos Sur, a) Sta. 415+540, b) K0415+313 - K0415+322.30, c) K0415+879.50 - K0415+894.20</t>
  </si>
  <si>
    <t>Furnishing of Labor and Materials for the Construction of Drainage Canal @Brgy.Magsaysay Norte, Cabanatuan City</t>
  </si>
  <si>
    <t>Construction of Sitio Pantar Farmers Multi-Purpose Building</t>
  </si>
  <si>
    <t>PR# 20-1401- To supply labor, materials and necessary equipment for the Improvement of Four (4) Classroom School Building at Guillermo D. Mendoza National High School, Sta. Filomena, Guagua, Pampanga</t>
  </si>
  <si>
    <t>Furnishing of Labor and Materials for the Renovation of City Nursery Bldg. (Phase II) @Brgy. Daan Sarile, Cabanatuan City</t>
  </si>
  <si>
    <t>20FO0107 - Construction of Classrooms (2-Storey 6-Classroom School Building) at Travesia ES, Guinobatan, Albay (9.50m x 32.20m) Using Exposure D (Wind V = 340 kph)</t>
  </si>
  <si>
    <t>Construction of 2 Units Food Kiosk</t>
  </si>
  <si>
    <t>PR# 20-0554- To supply labor, materials and necessary tools and equipment for the Improvement of Six (6) Classroom School Building with Comfort Rooms at Magumbali Elementary School, Magumbali, Candaba</t>
  </si>
  <si>
    <t>DOST Regional Offices’ Information System Harmonization Project and ICT Equipment Under MITHI 2020 Third Quarter</t>
  </si>
  <si>
    <t>INVITATION TO BID FOR IMPROVEMENT OF MULTI-PURPOSE BUILDING PHASE IV (FIRST BIDDING)</t>
  </si>
  <si>
    <t>2020-0188-PR2020-0539 Furnishing of Labor, Materials and Equipment for the Concreting of Jct. (LIR) Mahayag - Danao Road, by the Provincial Engineer's Office, New Capitol Building, Tagbilaran City</t>
  </si>
  <si>
    <t>Procurement of Generator Sets</t>
  </si>
  <si>
    <t>Q-098-20 PROCUREMENT OF HARDWARE AND CONSTRUCTION SUPPLIES</t>
  </si>
  <si>
    <t>Rehabilitation/ Construction of Slaughterhouse Extension, Brgy. Tabuc- Suba, Barotac Nuevo, Iloilo</t>
  </si>
  <si>
    <t>Procurement of Food Commodity, LGU-City Health, Baybay City, Leyte</t>
  </si>
  <si>
    <t>Procurement of Consulting Services for the Design and Development of Intramuros Administration Integrated Information System (Re-bid)</t>
  </si>
  <si>
    <t>Upgrading of Local Access Road from Brgy. Pagsangahan - San Marcos</t>
  </si>
  <si>
    <t>Construction of Dairy Microbiological Facility</t>
  </si>
  <si>
    <t>Construction of Materials Recovery Facility Phase I, Brgy. Lico-an, Barotac Nuevo, Iloilo</t>
  </si>
  <si>
    <t>20AJ0107-Concreting of Brgy. Ambonao FMR, Brgy. Ambonao, Calasiao, Pangasinan</t>
  </si>
  <si>
    <t>ITB FOR PROCUREMENT OF PPE AND FACE SHIELD</t>
  </si>
  <si>
    <t>Supply, Delivery, Installation and Commissioning of Seismic Accelerograph</t>
  </si>
  <si>
    <t>20IJ-0086 REPAIR OF DRAINAGE SYSTEM ALONG CALBAYOG-CATARMAN (S00084SM) K0804+450, BRGY. OQUENDO, CALBAYOG CITY, SAMAR</t>
  </si>
  <si>
    <t>20AB0121 : REPAIR/ REHABILITATION OF SLOPE PROTECTION ALONG ILOCOS NORTE - APAYAO ROAD AT K0517+817 TO K0517+842</t>
  </si>
  <si>
    <t>Concreting of Pathway at Sitio Comcomaoan San Miliano, San Emilio, Ilocos Sur</t>
  </si>
  <si>
    <t>Supply, Delivery and Configuration of Unified Threat Management Devices</t>
  </si>
  <si>
    <t>(PSWDO)  INVITATION TO BID FOR THE SUPPLY AND DELIVERY OF 1 UNIT LAPTOP FOR THE  PROVINCIAL SOCIAL WELFARE &amp; DEVELOPMENT OFFICE--55,000.00</t>
  </si>
  <si>
    <t>Supply and Delivery of Seven (7) units Cabinet Type Air Condition 5TR, Power (Non-Inverter)</t>
  </si>
  <si>
    <t>IMPROVEMENT OF SPILLWAY</t>
  </si>
  <si>
    <t>One job furnishing of labor, Materials and Equipments in connection with; Expansion/ Renovation of Rural Health Unit located at Brgy. Ilaud Poblacion, Barotac Nuevo, Iloilo</t>
  </si>
  <si>
    <t>SUPPLY AND DELIVERY OF MOTOR VEHICLE TWO (2) UNITS BRAND NEW PATROL MARKED VEHICLES)</t>
  </si>
  <si>
    <t>CONSTRUCTION OF MULTI PURPOSE BUILDING, Municipal Compound, Masaya Centro, SAI</t>
  </si>
  <si>
    <t>Concreting of Approach (Obo Spillway)</t>
  </si>
  <si>
    <t>Supply, Delivery and Installation of Furniture and Fictures to be installed in RCEF-PMO Conference Room, Office, and Pantry Area</t>
  </si>
  <si>
    <t>IMPROVEMENT OF SENIOR CITIZEN BUILDING PHASE 2 for Barangay Kaluknayan, Municipality of Lugait, Misamis Oriental.</t>
  </si>
  <si>
    <t>2020-0189-PR2020-0540  Furnishing of Labor, Materials and Equipment for the Concreting of Pob. (Catigbian) - Rizal - Causwagabn Sur (San Isidro) Road, by the Provincial Engineer's Office, New Capitol</t>
  </si>
  <si>
    <t>SUPPLY AND DELIVERY OF MOTOR VEHICLE FIVE (5) UNITS BRAND NEW BIG BIKE PATROL MOTORCYCLE</t>
  </si>
  <si>
    <t>Procurement of Livestock for Livelihood, LGU (for various brgys), Baybay City, Leyte</t>
  </si>
  <si>
    <t>Supply and Delivery of Construction Materials for the Roads, Solid Waste Disposal, and Water Disposal Treatment of Site Development – Resettlement Area NIAR6-JRMPII-GS01-20</t>
  </si>
  <si>
    <t>Upgrading of Barangay Road Dayawa-Siay from Dayawa-Siay</t>
  </si>
  <si>
    <t>DESIGN and BUILD SERVICES for the ADAPTIVE REUSE OF THE OLD ILOILO CITY HALL TO THE UPV CULTURE AND ARTS MUSEUM, UPV ILOILO CITY CAMPUS”;(ITB 2020-008)</t>
  </si>
  <si>
    <t>Construction Materials</t>
  </si>
  <si>
    <t>Supply and Delivery of One (1) Unit Mid to High Range</t>
  </si>
  <si>
    <t>Vehicle Parts  and Accessories</t>
  </si>
  <si>
    <t>Construction/Improvement of Drainage &amp; Road Shoulder, 30 de Deciembre St. (Fr Corner Tres martinez St.-BCNNHS), Baybay City, Leyte</t>
  </si>
  <si>
    <t>PROCUREMENT OF MEDICINES AND MULTIVITAMINS USE  AS PROVISION TO SELECTED WOMENS MEMBER AND SENIOR CITIZEN TO THE 22 BARANGAYS OF PIÑAN, ZAMBOANGA DEL NORTE</t>
  </si>
  <si>
    <t>Construction of Slope Protection (Downstream) of Mabuti Dam at Brgy. Mabuti, Marcos, Ilocos Norte</t>
  </si>
  <si>
    <t>PROCUREMENT OF ONE (1) UNIT ID PRINTER FOR USE OF MSWDO</t>
  </si>
  <si>
    <t>Supply and Delivery of One (1) Unit Portable 2D Echo Machine</t>
  </si>
  <si>
    <t>Purchase of Communication Load 2nd Posting</t>
  </si>
  <si>
    <t>Road Concreting sitio, Kalumbuyan, Lower Becerril</t>
  </si>
  <si>
    <t>SUPPLY AND DELIVERY OF DUPLICATING/PRINTING MACHINES FOR MODULE PRINTING</t>
  </si>
  <si>
    <t>Supply and Delivery of IT Parts, Accessories and Peripherals</t>
  </si>
  <si>
    <t>SUPPLY AND DELIVERY OF BRANDNEW GENERATOR SET WITH MOBILE TRAILER WEATHER &amp; SOUNDPROOF ENCLOSURE</t>
  </si>
  <si>
    <t>CONSTRUCTION OF  WATER  TANK -RHU 11- BRGY. MAMPUNGO, PARACALE,CAMARINES  NORTE</t>
  </si>
  <si>
    <t>2020 Expanded PCA Response to COVID-19 Program (EPRCP): Rejuvenation thru Fertilization (Inorganic Fertilizer)</t>
  </si>
  <si>
    <t>Invitation to Bid for Supply of Security Services for Three and Half  (3 1/2) Months at New Municipal Hall, Public Market and Old Municipal Building Compound, Calaca, Batangas</t>
  </si>
  <si>
    <t>Contract ID No. 20NC0139 - Construction of (Completion) of Multipurpose Building, Brgy.  Binucayan, Loreto, Agusan del Sur</t>
  </si>
  <si>
    <t>20P00019 Baguio – La Trinidad – Itogon – Sablan – Tuba and Tublay, Kamog Jct. - Calot - Pappa - Bagong - Balluay - Tuel Jct. (Section 2 of BLISTT Outer Ring Circumferential Road), Package 2, Benguet</t>
  </si>
  <si>
    <t>20P00010 Baguio – La Trinidad – Itogon – Sablan – Tuba and Tublay, Labey - Lacamen Provincial Road (Section 4B of BLISTT Outer Ring Circumferential Road), Package 3, Benguet</t>
  </si>
  <si>
    <t>UPLB-S-046-08-20, SUPPLY AND DELIVERY OF BRANDED AND BRAND NEW VARIOUS MEDICAL LABORATORY SUPPLIES</t>
  </si>
  <si>
    <t>ITB# 04-2020 Office Supplies</t>
  </si>
  <si>
    <t>Supply of Security Services for UP Visayas Miag-ao and Iloilo City Campuses to include: Brackishwater Aquaculture Station Marine Biological Station	 Batan Mariculture Station( ITB 2020-009)</t>
  </si>
  <si>
    <t>Contract ID No. 20NC0138 - Construction of Two-Storey Municipal Operation Center at LGU Trento Municipal Complex Area, Trento, Agusan del Sur</t>
  </si>
  <si>
    <t>CONSTRUCTION OF  MULTI  PURPOSE HALL, BRGY. MACOLABO ISLAND, PARACALE,CAMARINES NORTE</t>
  </si>
  <si>
    <t>Supply of Laboratory Furniture for PGC Visayas Genomics Laboratory and Bioinformatics Laboratory (ITB 2020-012)</t>
  </si>
  <si>
    <t>Concreting/ Improvement of Tal-Ot- Cabcaban Road, Barili, Cebu</t>
  </si>
  <si>
    <t>Invitation to bid for the improvement and additional work item of DA-Training Center at Quezon, Uson, Masbate</t>
  </si>
  <si>
    <t>Contract ID 20IG0070 - Installation of Drainage Marker along National Road within the Leyte V DEO</t>
  </si>
  <si>
    <t>Supply and Delivery of Anti-Covid Supplies</t>
  </si>
  <si>
    <t>Procurement of 1 lot Fabrication and installation of 250 units bed bunks-B-20-0212</t>
  </si>
  <si>
    <t>Invitation to bid for the repair/rehabilitation of municipal road at Poblacion, Uson, Masbate</t>
  </si>
  <si>
    <t>Fabrication of 300 units Classroom Tables to be used for College of Management classes at the Old Sotech Building. (ITB 2020-011)</t>
  </si>
  <si>
    <t>Contract ID: 20GOE0032 - Procurement of Office Supplies for use at DPWH–North Manila District Engineering Office</t>
  </si>
  <si>
    <t>Procurement for Corrective Maintenance of Air Conditioning Units (ACU)</t>
  </si>
  <si>
    <t>PROCUREMENT OF FAMILY PLANNING COMMODITIES AND PPE SET (BAC 2020-G07)</t>
  </si>
  <si>
    <t>Supply of Materials, Labor, Tools, Equipment, Consumables, Technical Supervision and Other Services necessary for the Repair of various Architectural Finishes at the BSP Head Office</t>
  </si>
  <si>
    <t>Invitation to bid for the barangay road concreting at Sitio Daang Lungsod, Sto. Cristo, Uson, Masbate</t>
  </si>
  <si>
    <t>One (1) Unit Radiant Warmer</t>
  </si>
  <si>
    <t>ITB# 09-2020 Medical/Laboratory Supplies</t>
  </si>
  <si>
    <t>SUPPLY AND DELIVERY OF RESCUE EQUIPMENT</t>
  </si>
  <si>
    <t>Contract ID 20IG0069 - Repair/Maintenance of Concrete Bridges along National Road within the Leyte V DEO</t>
  </si>
  <si>
    <t>ITB No. (INF) 2020-07-104 IMPROVEMENT OF OF MAGELLAN LANDING SITE, Homonhon Island, Guiuan, Eastern Samar</t>
  </si>
  <si>
    <t>PROCUREMENT OF VARIOUS TB DRUGS FOR THE NATIONAL TB CONTROL PROGRAM (BAC 2020-G06)</t>
  </si>
  <si>
    <t>CONSTRUCTION OF  MULTI PURPOSE HALL, BRGY . LABNIG, PARACALE,CAMARINES  NORTE</t>
  </si>
  <si>
    <t>20GB00027: Purchase, Delivery and Installation of One (1) Unit Indoor LED Video Wall Display for use in the New Conference Room</t>
  </si>
  <si>
    <t>INVITATION TO BID FOR: CORE LOCAL ACCESS ROAD – UPGRADING/IMPROVEMENT OF C. SAYON ST. – POBLACION, CORELLA, BOHOL</t>
  </si>
  <si>
    <t>ITB# 07-2020 Medical/Laboratory Supplies</t>
  </si>
  <si>
    <t>ITB# 06-2020 Food Supplies</t>
  </si>
  <si>
    <t>(PGSO) INVITATION TO BID FOR THE SUPPLY AND DELIVERY OF 1 SET SOUND SYSTEM W/ INSTALLATION FOR THE  PROVINCIAL GENERAL SERVICES OFFICE--1M</t>
  </si>
  <si>
    <t>INVITATION TO BID FOR: REHABILITATION/IMPROVEMENT OF MUNICIPAL BUILDING (EXECUTIVE WING) – CORELLA, BOHOL</t>
  </si>
  <si>
    <t>ITB# 08-2020 Medical/Laboratory Supplies</t>
  </si>
  <si>
    <t>Rehab./Const./ Imprvt of Road &amp; Drainage, Baybay I North, Zone 12, Baybay City, Leyte</t>
  </si>
  <si>
    <t>20GF0108 - Repair/Maintenance of National Roads and Bridges, (Selected Replacement of Concrete Pavement – Act 66X) K0043+420–K0043+456, K0043+820-K0043+847, K0045+930-K0045+939, K0053+610-K0053+650.50</t>
  </si>
  <si>
    <t>SUPPLY AND DELIVERY OF TROMPA AND AMPLIFIER FOR CITY WIDE PUBLIC ADDRESS SYSTEM</t>
  </si>
  <si>
    <t xml:space="preserve">Proposed Construction and Offshore Installation of Aids to Marine Navigation, Mindoro Cluster: Ports of Calapan, Puerto Galera, Mansalay, Roxas and Bulalacao, Oriental Mindoro and San Jose Occidental </t>
  </si>
  <si>
    <t>Demolition and Improvement of front Gate and Fence of PENRO Antique</t>
  </si>
  <si>
    <t>Invitation to bid for the rehabilitation and expansion of existing level II water system at Dapdap, Uson, Masbate</t>
  </si>
  <si>
    <t>Concrete Paving of Brgy. Road, Brgy. Pansagan, Baybay City, Leyte</t>
  </si>
  <si>
    <t>Supply and Delivery of Medicines, Medical and Laboratory Supplies</t>
  </si>
  <si>
    <t>ITB# 05-2020 Food Supplies</t>
  </si>
  <si>
    <t>SUPPLY, DELIVERY, INSTALLATION, TESTING AND COMMISSIONING OF 40 HP PUMP AND MOTOR COMPLETE WITH APPURTENANCES, DISCHARGE AND COLUMN PIPES</t>
  </si>
  <si>
    <t>PROCUREMENT OF CY 2020 PESTICIDES REQUIREMENT FOR NFA REGION VI</t>
  </si>
  <si>
    <t>REQUEST FOR QUOTATION for the REPAIR OF TRANSMITTER SITE PERIMETER FENCE</t>
  </si>
  <si>
    <t>2020 Expanded PCA Response to COVID-19 Program (EPRCP): Rejuvenation thru Fertilization (Coco Coir Based Organic Fertilizer)</t>
  </si>
  <si>
    <t>Invitation to Bid for the Contract for Supply and Delivery ot Two (2) Units Brand New Office Vehicles-Rebid</t>
  </si>
  <si>
    <t>Rehab./Const./Imprvt of Roads &amp; Drainage, BNHS Campus, Zone 12, Baybay City, Leyte</t>
  </si>
  <si>
    <t>Construction of the Proposed Administration Services Building Phase I, UPV Iloilo City Campus”;(ITB 2020-010)</t>
  </si>
  <si>
    <t>Proposed Construction and Offshore Installation of Aids to Marine Navigation at Ports of Banago, Bredco, Pulupandan and San Carlos, Negros Occidental</t>
  </si>
  <si>
    <t>Road Concreting with Drainage Canal at Brgy. Cogon,Palo, Leyte</t>
  </si>
  <si>
    <t>Rehabilitation of Municipal Street</t>
  </si>
  <si>
    <t>Purchase &amp; Delivery of One (1) Unit Service Utility Vehicle for PGO-PSG (Re-bid)</t>
  </si>
  <si>
    <t>20-013 CONSTRUCTION/CONCRETING OF COASTAL ROAD PHASE I</t>
  </si>
  <si>
    <t>HO-FMG20-003 - Supply and Delivery of Engine Lubricating Oil to SPUG Power Plants and Barges for CY 2020</t>
  </si>
  <si>
    <t>Procurement of Agricultural Supply (Livestock and Feeds), LGU (various brgys), Baybay City, Leyte</t>
  </si>
  <si>
    <t>SUPPLY AND DELIVERY OF HOSPITAL EQUIPMENT</t>
  </si>
  <si>
    <t>Rescue and Safety Equipment</t>
  </si>
  <si>
    <t>Purchase f Gulayan Repair Tools 2nd Posting</t>
  </si>
  <si>
    <t>PR-2020-1293 Drugs &amp; Medicines-CDH</t>
  </si>
  <si>
    <t>ITB# 13-2020 Other Supplies and Materials</t>
  </si>
  <si>
    <t>Contract ID: 20GOE0031 - Procurement of Measuring Equipments and Other Office Supplies for use at DPWH - North Manila District Engineering</t>
  </si>
  <si>
    <t>ITB# 12-2020 Other Supplies and Materials</t>
  </si>
  <si>
    <t>Digital Duplicator and Digital Duplicator - City Schools Division of Tacurong</t>
  </si>
  <si>
    <t>Detailed Architectural Engineering Design for the UP Visayas Watersports Training Facility, UPV Miag-ao Campus (ITB 2020-013)</t>
  </si>
  <si>
    <t>Continuation for Rehabilitation of Barangay Gymnasium Roofings and Stage Dressing Rooms</t>
  </si>
  <si>
    <t>Supply of Materials for the Installation of Genset Additional Distribution Line - PNP, BFP &amp; Multi-Purpose Building</t>
  </si>
  <si>
    <t>For the operational use in the RHU in this municipality</t>
  </si>
  <si>
    <t>CONSTRUCTION OF  STREET  LIGHT- BRGY. POBLACION SUR, PARACALE,CAMARINES  NORTE</t>
  </si>
  <si>
    <t>CONSULTING SERVICES IN PREPARATION OF REGIONAL STRATEGIC INVESTMENT PLAN FOR COCONUT &amp; PROCESSED FRUITS AND NUTS - BANANA INDUSTRY</t>
  </si>
  <si>
    <t>PR-2020-1441 One (1) Unit Utility Vehicle Cab &amp; Chassis Type, Brand new-PGO</t>
  </si>
  <si>
    <t>ITB No. (INF) 2020-07-105 REHABILITATION/IMPROVEMENT OF BORONGAN ACCESS ROAD, Brgy. Bato, Borongan City, Eastern Samar</t>
  </si>
  <si>
    <t>SUPPLY AND DELIVERY OF TIRES WITH FLAP AND TUBE FOR REPLACEMENT OF TIRES OF VARIOUS CENRO VEHICLES</t>
  </si>
  <si>
    <t>Supply of Fuel for the Rehabilitation of Batasan-Biangan Road</t>
  </si>
  <si>
    <t>Three (3) units Suction Machine</t>
  </si>
  <si>
    <t>ITB# 10-2020 Other Supplies and Materials</t>
  </si>
  <si>
    <t>20GB00028: Purchase and Delivery of Tires and Batteries for Use in the Operation of various Equipment and Service Vehicles assigned at DPWH Regional Office No. 02 thru Ordering Agreement</t>
  </si>
  <si>
    <t>20IJ-0087 REPAIR OF DRAINAGE SYSTEM ALONG CALBAYOG-CATARMAN ROAD (S00084SM) K0795+200, BRGY. QUEZON, CALBAYOG CITY, SAMAR</t>
  </si>
  <si>
    <t>CONSTRUCTION OF MALINGAO BIRTHING FACILITY  Barangay Malingao, Tubod, Lanao del Norte</t>
  </si>
  <si>
    <t>Three (3) unit Fetal Monitor</t>
  </si>
  <si>
    <t>SUPPLY AND DELIVERY OF EQUIPMENT FOR SLAUGHTERHOUSE</t>
  </si>
  <si>
    <t>SUPPLY AND DELIVERY OF MATERIALS FOR THE REPAINTING OF 31-UNITS SCHOOL BUILDING</t>
  </si>
  <si>
    <t>SUPPLY AND DELIVERY OF OFFICE, JANITORIAL AND OTHER SUPPLIES FOR VARIOUS OFFICES</t>
  </si>
  <si>
    <t>SUPPLY AND DELIVERY OF ASPHALT FOR ROAD IMPROVEMENT/REHABILITATION</t>
  </si>
  <si>
    <t>PURCHASE AND DELIVERY OF FOOD SUPPLIES FOR SUPPLEMENTAL FEEDING PROGRAM</t>
  </si>
  <si>
    <t>Supply and Delivery of Various Tires for the Maintenance of Heavy Equipment</t>
  </si>
  <si>
    <t>20GB00029: Purchase, Delivery and Installation of Four (4) Units Highway Design Software</t>
  </si>
  <si>
    <t>PGSO-2020-0183 PR2020-0506 INVITATION TO BID FOR THE PROCUREMENT OF RAFFIA WALLING AT GROUND AREA &amp; DOME AND FORMWORKS AND SCAFFOLDING</t>
  </si>
  <si>
    <t>ITB# 11-2020 Other Supplies and Materials</t>
  </si>
  <si>
    <t>Supply, Delivery and Installation of Two-Way Communication Radio with Base inclusive of Radio Station License for CEZ Police Headquarters-REPOST.</t>
  </si>
  <si>
    <t>SUPPLY AND DELIVERY OF VARIOUS CONSTRUCTIONS MATERIALS AND SUPPLIES FOR REPAIR AND MAINTENANCE OF VARIOUS BUILDINGS</t>
  </si>
  <si>
    <t>2nd Invitation for Lot 3 of Supply and Delivery of  Post-Harvest Related Machinery and Equipment</t>
  </si>
  <si>
    <t>ITB# 19-2020 Other MOOE</t>
  </si>
  <si>
    <t>ITB-2020-022 - Supply and delivery of Laboratory Supplies</t>
  </si>
  <si>
    <t>ITB-2020-021 - Supply and delivery of live animals</t>
  </si>
  <si>
    <t>PEO-2020-0186 PR2020-0537 INVITATION TO BID FOR THE PROCUREMENT OF LABOR, MATERIALS, AND EQUIPMENT FOR THE CONCRETING OF TIGUIS - CALVARIO (LILA) - CAMBANSE - ALEGRIA (LOBOC) ROAD, LOBOC, BOHOL</t>
  </si>
  <si>
    <t>PACKAGE 20-37:  COMMUNITY DEVELOPMENT</t>
  </si>
  <si>
    <t>ITB# 18-2020 Printing of Forms</t>
  </si>
  <si>
    <t>ESTABLISHMENT OF OFFICE FRONTLINE SERVICES FACILITIES &amp; FIXTURES (FOR OFFICES NEW NORMAL DUE TO COVID 19)</t>
  </si>
  <si>
    <t>Supply of Fuel for the Maintenance of Municipal and Barangay Roads and Delivery of Basic  Services</t>
  </si>
  <si>
    <t>SUPPLY AND DELIVERY OF 3 UNITS RECIRCULATING DRYER</t>
  </si>
  <si>
    <t>20AJ0106-Concreting of Brgy. Tuliao FMR, Brgy. Tuliao, Sta. Barbara, Pangasinan</t>
  </si>
  <si>
    <t>Supply and Delivery of Various GMO Yellow Corn Seeds</t>
  </si>
  <si>
    <t>Road Rehabilitation /Brgy. Calingag to Brgy. Pambisan Malaki</t>
  </si>
  <si>
    <t>Concreting/ Improvement of Mayana-Lamac Road, Barili, Cebu</t>
  </si>
  <si>
    <t>(PR No. 20-06-05A-0030: 1 Lot Supply and Delivery of Various Push-In Service Connection Fittings)</t>
  </si>
  <si>
    <t>Supply and Delivery of Various Construction Materials and Agricultural Equipment</t>
  </si>
  <si>
    <t>20CSN015; CONSULTING SERVICES FOR THE GEOTECHNICAL AND GEOLOGICAL SURVEY/ INVESTIGATIONS FOR THE CONSTRUCTION OF ABILAN BRIDGE ALONG BUTUAN CITY - AGUSAN DEL NORTE LOGISTICAL HIGHWAY, AGUSAN DEL NORTE</t>
  </si>
  <si>
    <t>PEO-2020-0187 PR2020-0538 INVITATION TO BID FOR THE PROCUREMENT OF LABOR, MATERIALS, AND EQUIPMENT FOR THE CONCRETING OF CABANTIAN - CANSIWANG - MAYUGA ROAD, GUINDULMAN, BOHOL</t>
  </si>
  <si>
    <t>Improvement of Brgy. Multi-purpose Building, Brgy. Ninoay Aquino, Canlaon City</t>
  </si>
  <si>
    <t>Installation of Local Area Network - Office of the City Schools Division of Tacurong</t>
  </si>
  <si>
    <t>SUPPLY AND DELIVERY OF VARIOUS SPARE PARTS FOR REPLACEMENT OF SPAREPARTS OF VARIOUS FARM EQUIPMENT OF CITY AGRICULTURE OFFICE</t>
  </si>
  <si>
    <t>Supply and Delivery of Construction Supplies (PR No.2020-02-0304, 2020-02-0198, 2020-02-0151, 2020-02-0425, 2020-02-0290, 2020-01-0030)</t>
  </si>
  <si>
    <t>Concreting/Improvement and Upgrading of Brgy. Ubihan FMR, Brgy. Ubihan, Meycauayan, Bulacan</t>
  </si>
  <si>
    <t>Maintenance of Motor Vehicles (PR No. 100-2020-0830) SP</t>
  </si>
  <si>
    <t>20CG0236 - Construction/ Repair/ Rehabilitation/ Improvement of Various Infrastructures including Local Projects: Local Roads and Bridges – Local Roads – Rehabilitation of Sto. Monica Barangay Road, S</t>
  </si>
  <si>
    <t>Proposed Purchase of Various Items for Communication Equipment</t>
  </si>
  <si>
    <t>Purchase of other Accessories and Supply and Repair of L300 Vehicle Services</t>
  </si>
  <si>
    <t>ITB# 16-2020 Printing of Ballistics Certificate and Pouches</t>
  </si>
  <si>
    <t>SUPPLY AND DELIVERY OF SORTER/ CLASSIFIER FOR STO. DOMINGO ONION ENTERPRISES</t>
  </si>
  <si>
    <t>Supply and Delivery of Multimedia Projectors for the 2nd Quarter (PR No.2020-06-0565, 2020-05-0511, 2020-02-0178, 2020-02-0168)</t>
  </si>
  <si>
    <t>Concreting of Brgy. Malipampang to Brgy. Telapatio FMR, Brgy. Malipampang and Brgy. Telapatio, San Ildefonso, Bulacan</t>
  </si>
  <si>
    <t>Installation of Street Lighting at the Different Barangays</t>
  </si>
  <si>
    <t>Concreting of Brgy. Gabihan to Brgy. Sumandig FMR, Brgy. Gabihan and Brgy. Sumandig, San Ildefonso, Bulacan</t>
  </si>
  <si>
    <t>Construction of Two (2) units Fix Vent Greenhouses with Aeroponic System and with Drip Irrigation System</t>
  </si>
  <si>
    <t>Additional Disaster Recovery (DR) Site Infrastructure for Non-SAP Systems</t>
  </si>
  <si>
    <t>Procurement of Network Security Appliance Maintenance Service for the Department of Environment and Natural Resources (DENR) Field Offices</t>
  </si>
  <si>
    <t>BINS (BASURA, ITAPON SA NARARAPAT NA SISIDLAN)</t>
  </si>
  <si>
    <t>One (1) lot Supply of Materials, Labor, Tools, Equipment, Consumables, Supervision, and Other Services for the Application of Solar/Heat Reflective Roof Coating at the Coin Blank Storage, as per BSP S</t>
  </si>
  <si>
    <t>G-2020-479 Supply and Delivery of Printed Materials, Office of the City Mayor - OSCA</t>
  </si>
  <si>
    <t>Supply and Delivery of 1 -Lot Riso FW 5230 and Ineo+226</t>
  </si>
  <si>
    <t>20CG0244 - Local Infrastructure Program: Buildings and Other Structures – Multipurpose/ Facilities – Construction of Multi-Purpose Building, Brgy. San Isidro, San Fernando, Pampanga</t>
  </si>
  <si>
    <t>20CG0249 - Local Infrastructure Program: Local Roads and Bridges – Local Roads – Construction of Aquino By-Way Extension, Brgy. Calulut, San Fernando, Pampanga</t>
  </si>
  <si>
    <t>G-2020-481 Supply and Installation of Airconditioning Unit, Gender and Development</t>
  </si>
  <si>
    <t>PROCUREMENT OF CONSTRUCTION MATERIALS AND SUPPLIES FOR THE IMPROVEMENT OF MULTIPURPOSE HALL, BRGY.POB.ILAWOD,PANITAN,CAPIZ (2019 ADF)</t>
  </si>
  <si>
    <t>20CG0246 - Local Infrastructure Program: Local Roads and Bridges – Local Roads – Construction of Road with Drainage at Brgy. Sta. Rita, Minalin, Pampanga</t>
  </si>
  <si>
    <t>Supply and Delivery of Various Supplies and Equipment for Sto. Domingo Onion Enterprises</t>
  </si>
  <si>
    <t>G-2020-496 Supply and Delivery of Rabies Vaccine, City Health Services Department</t>
  </si>
  <si>
    <t>Invitation to Bid Procurement of Ink and Toner</t>
  </si>
  <si>
    <t>20CG0241 - Local Infrastructure Program Local Roads – Concreting of Brgy. Road, Balucuc, Apalit, Pampanga</t>
  </si>
  <si>
    <t>20CG0248 - Network Development Program: Construction of By-Pass and Diversion Roads – Arayat – Magalang (Arayat Section) Bypass Road, Pampanga</t>
  </si>
  <si>
    <t>Supply and Delivery of Prepaid WIFI Broadband</t>
  </si>
  <si>
    <t>INVITATION TO BID FOR THE SUPPLY AND DELIVERY OF FORTY-NINE (49) UNITS CELLPHONE</t>
  </si>
  <si>
    <t>INVITATION TO BID FOR Printing and Delivery of Modules to Schools of General Trias City</t>
  </si>
  <si>
    <t>20CG0243 - Construction/ Repair/ Rehabilitation/ Improvement of Various Infrastructures including Local Projects: Buildings and Other Structures – Multipurpose/ Facilities – Construction of Multi-Purp</t>
  </si>
  <si>
    <t>PROCUREMENT OF OFFICE SUPPLIES FOR VARIOUS OFFICES OF LGU-CALUYA  FOR THE 3RD QUARTER OF 2020</t>
  </si>
  <si>
    <t>20CG0242 - Local Infrastructure Program: Buildings and Other Structures – Multipurpose/ Facilities – Construction of Multi-Purpose Building, Duat Elementary School, Brgy. Duat, Bacolor, Pampanga</t>
  </si>
  <si>
    <t>PURCHASE OF SPARE PARTS FOR THE REPAIR AND MAINTENANCE OF  PERKINS DIESEL GENERATOR SET</t>
  </si>
  <si>
    <t>20CG0247 - Construction/ Repair/ Rehabilitation/ Improvement of Various Infrastructures including Local Projects:Local Roads – Construction of Access Road within Camp Olivas, City of San Fernando, Pam</t>
  </si>
  <si>
    <t>PURCHASE OF 1-UNIT PICK-UP TRUCK TO BE USED AS  EMERGENCY SERVICE VEHICLE FOR PCG CALUYA</t>
  </si>
  <si>
    <t>Equipment to be use in the Computerization Program (RPTAS) Phase I</t>
  </si>
  <si>
    <t>PURCHASE OF SPARE PARTS FOR THE REPAIR AND MAINTENANCE OF  DOOSAN DIESEL GENERATOR SET</t>
  </si>
  <si>
    <t>20GKA0006 / PR # 2020-07-0186  Supply and delivery of materials for the provision of Thermoplastic Paint along Sayre Highway Kisolon-Lumbo Road (selected section)</t>
  </si>
  <si>
    <t>G-2020-484 Supply and Delivery of Vitamins, City Schools Division</t>
  </si>
  <si>
    <t>20CG0240 - Local Infrastructure Program: Buildings and Other Structures – Multipurpose/ Facilities – Construction of Multi-Purpose Building, Purok 3, Cupang, Arayat, Pampanga</t>
  </si>
  <si>
    <t>G-2020-492 Supply and Delivery of Office Equipment, City Schools Division</t>
  </si>
  <si>
    <t>G-2020-483 Supply and Delivery of Office Supplies, City Schools Division</t>
  </si>
  <si>
    <t>Revised POW of Construction of Material Recovery Facility</t>
  </si>
  <si>
    <t>G-2020-482 Supply and Installation of Network Radio &amp; Antenna Tower with Conversion Link Repeater System, City Schools Division</t>
  </si>
  <si>
    <t>Supply and Delivery of Communication Equipment</t>
  </si>
  <si>
    <t>20CG0245 - Construction/ Repair/ Rehabilitation/ Improvement of Various Infrastructures including Local Projects: Local Roads and Bridges – Local Roads – Upgrading/ Concreting of San Nicolas Road, Mas</t>
  </si>
  <si>
    <t>G-2020-500 Supply and Delivery of I.T. Equipment, City Schools Division</t>
  </si>
  <si>
    <t>20CSPF0002: GEOTECHNICAL SOIL INVESTIGATION FOR THE PROPOSED REHABILITATION/RECONSTRUCTION OF NATIONAL ROADS WITH SLIPS, SLOPE COLLAPSE, AND LANDSLIDE ALONG KIANGAN-TINOC-BUGUIAS ROAD AND CONG. ANDRES</t>
  </si>
  <si>
    <t>SUPPLY AND DELIVERY OF PATROL BOAT FOR SEABORNE AND  SURVEILLANCE OF COASTAL ACTIVITIES IN THE MUNICIPALITY OF CALUYA</t>
  </si>
  <si>
    <t>PB 2020-05-CS Managed Services the Operations of Tax Administration Core Systems and Other BIR Systems</t>
  </si>
  <si>
    <t>20CSPF0001: GEOTECHNICAL SOIL INVESTIGATION FOR THE PROPOSED REHABILITATION/RECONSTRUCTION OF NATIONAL ROADS WITH SLIPS, SLOPE COLLAPSE, AND LANDSLIDE ALONG GOV. BADO DANGWA NATIONAL ROAD</t>
  </si>
  <si>
    <t>Land Development - New Puntaville</t>
  </si>
  <si>
    <t>Invitation to Bid for Concreting of SIEMPRE VIVA SUR Farm to Market Road (Road 2)</t>
  </si>
  <si>
    <t>Construction of Brgy Uba Composting Facility and Accessories</t>
  </si>
  <si>
    <t>PURCHASE OF 1-UNIT PICK-UP TRUCK TO BE USED AS  EMERGENCY SERVICE VEHICLE FOR MDRRMO CALUYA</t>
  </si>
  <si>
    <t>Invitation to Bid for Concreting of SIEMPRE VIVA NORTE Farm to Market Road</t>
  </si>
  <si>
    <t>CONSTRUCTION OF  MULTI  PURPOSE  BUILDING, BRGY. TABAS, PARACALE,CAMARINES  NORTE</t>
  </si>
  <si>
    <t>PROCUREMENT OF 1-UNIT MULTICAB DOUBLE CAB FOR MPDC OFFICE  FOR MONITORING OF PROJECTS AROUND CALUYA ISLAND</t>
  </si>
  <si>
    <t>PROCUREMENT OF MATERIALS FOR THE REPAIR OF BANTAY DAGAT PATROL BOAT</t>
  </si>
  <si>
    <t>Invitation to Bid for Concreting of SIEMPRE VIVA SUR Farm to Market Road (Road 1)</t>
  </si>
  <si>
    <t>Supply and Delivery of Common Medicine Supplies – 2020</t>
  </si>
  <si>
    <t>INVITATION TO BID FOR THE PURCHASE AND PRODUCTION OF THE 2019 “DARANGEN” ( YEARBOOK)</t>
  </si>
  <si>
    <t>20GKA0007 / PR # 2020-07-0196  Supply and delivery of asphalt cement for use in the maintenance activities within the jurisdiction of Bukidnon 1st DEO</t>
  </si>
  <si>
    <t>PROCUREMENT OF OIL AND LUBRICANTS FOR THE MAINTENANCE OF  MUNICIPAL PUMP BOATS, SCHOOL TRUCKS AND OTHER LGU SERVICE VEHICLES  FOR THE 3RD QUARTER OF 2020</t>
  </si>
  <si>
    <t>SUPPLEMENTAL / BID BULLETIN - SUPPLY AND DELEVERY OF LED ROAD LIGHTING LUMINAIRE AND OTHERS</t>
  </si>
  <si>
    <t>PURCHASE OF TOOLS AND EQUIPMENT TO BE USED BY ELECTRICIANS,  MECHANICS AND GENERATOR SET OPERATORS</t>
  </si>
  <si>
    <t>G-2020-501 Hauling and Dumping of Garbage, City Environment and Natural Resources Department</t>
  </si>
  <si>
    <t>SUPPLY OF LABOR AND MATERIALS FOR THE REPAIR AND IMPROVEMENT OF GERMINATION UNIT AT NSQCS SEED TESTING LABORATORY IN QUEZON CITY</t>
  </si>
  <si>
    <t>POWDERED MILK AND PACKAGING MATERIALS</t>
  </si>
  <si>
    <t>SEF-20-06-01035 SUPPLY AND DELIVERY OF TABLETS, MOBILE PREPAID LTE SIM CARDS AND QUEZON CITY WIFI SERVICE FOR DISTANCE LEARNING MODALITY OF SCHOOLS DIVISION OFFICE QUEZON CITY FOR S.Y. 2020-2021</t>
  </si>
  <si>
    <t>SUPPLY AND DELIVERY OF HARDWARE/ CONSTRUCTION MATERIALS</t>
  </si>
  <si>
    <t>SUPPLY OF LABOR AND MATERIALS FOR THE UPGRADING AND IMPROVEMENT OF NSQCS LABORATORY-REGION 4-A, LAGUNA</t>
  </si>
  <si>
    <t>PB-20-376, Supply &amp; Delivery of Hybrid Rice Seeds for production support to rice farmers in the Province of Cotabato</t>
  </si>
  <si>
    <t>PB-20-375, Procurement of Catering Services for various activities of Barangay peacekeeping/tanods of this province</t>
  </si>
  <si>
    <t>Construction of Farmers'Multi-Purpose Hall, Guardia</t>
  </si>
  <si>
    <t>PROCUREMENT OF VEHICLE PARTS FOR THE MAINTENANCE OF  MUNICIPAL SCHOOL TRUCKS AND OTHER LGU SERVICE VEHICLES  FOR THE 3RD QUARTER OF 2020</t>
  </si>
  <si>
    <t>PB-20-373, Supply &amp; Delivery of Agricultural Supplies for distribution to farmers affected by earthquake</t>
  </si>
  <si>
    <t>Procurement of 3 units Digital Copy Printer Machine and 1 unit Digital Copy Printer with free Copier Machine to be used by three (3) Public High Schools in Guagua and in Guagua Community College all i</t>
  </si>
  <si>
    <t>Rehabilitation of Farmers'Multi-Purpose Hall, Cadanglaan</t>
  </si>
  <si>
    <t>PB-20-374, Supply &amp; Delivery of Shelter &amp; Modular Tents to be used in evacuation centers</t>
  </si>
  <si>
    <t>PB-20-292, Supply &amp; Delivery of Medicines for different RHUs in the Province of Cotabato for treatment of COVID-19 patients</t>
  </si>
  <si>
    <t>SUPPLY, DELIVERY AND INSTALLATION OF VARIOUS AIR-CONDITIONING UNITS</t>
  </si>
  <si>
    <t>Concreting of San Francisco St., Brgy. San antonio, Gamay, Northern Samar</t>
  </si>
  <si>
    <t>20AH0223  Improvement of Road Intersection along Judge Jose De Venecia Blvd. Extension at K0375+(-316) Lucao Section, and K0379+566, Arellano Section, Dagupan City, Pangasinan</t>
  </si>
  <si>
    <t>PACKAGE 6 (A. MANAAN-LAB-ONG FMR IMPROVEMENT, AND B. GUMHANG-MANAAN-DANGGO ROAD IMPROVEMENT (Pitican Section))</t>
  </si>
  <si>
    <t>20CSDE03 Consulting Services for the Feasibility Study of San Jose- Ibaan Road, Batangas, Region IV-A</t>
  </si>
  <si>
    <t>Package 7 (A. Palabayan E/S Gym Improvement, B. Banga-Kadil FMR Improvement and C. MRF-Tuking, Ap-apid Construction)</t>
  </si>
  <si>
    <t>2nd ITB for the Additional Office Supplies for 2020</t>
  </si>
  <si>
    <t>100-2020-07-811 Supply and delivery of diesel and gasoline</t>
  </si>
  <si>
    <t>100-2020-07-836 Supply and delivery of  self-contained breathing apparatus</t>
  </si>
  <si>
    <t>Construction of Farmers'Multi-Purpose Hall, (Plaza) Lopez</t>
  </si>
  <si>
    <t>100-2020-03-479 Supply and delivery of 1 unit mobile x-ray vehicle</t>
  </si>
  <si>
    <t>RE-BID FOR THE SUPPLY OF LABOR SERVICE, SUPPLIES, AND MATERIALS FOR THE ESTABLISHMENT OF 20KW GRID-TIED SOLAR PV ENERGY SYSTEM FOR TISSUE CULTURE LABORATORY OF BPI-DNCRDPSC, BAGO OSHIRO, DAVAO CITY</t>
  </si>
  <si>
    <t>Supply, Delivery, Installation and Configuration of Brand New Network Security Appliances for the DENR ROs, PENROs, LMB and ERDB</t>
  </si>
  <si>
    <t>S2-VMT20-010 - Supply, Delivery and Test of Laser Shaft Alignment System and Vibration Analyzer for SPUG-VOD</t>
  </si>
  <si>
    <t>100-2020-06-805 Supply and delivery of 1 unit generator 40KVA, diesel engine 220V including electrical wirings/lighting and other accessories</t>
  </si>
  <si>
    <t>Procurement of One (1) Unit Response Vehicle</t>
  </si>
  <si>
    <t>Proposed Construction of Water System (Level II) - Malila T.</t>
  </si>
  <si>
    <t>For Impv't. of Drainage  System in the Municipal Site</t>
  </si>
  <si>
    <t>Supply and delivery of machine and equipment for use in the establishment of Bataan Feed Manufacturing Plant of City Government of Balanga, Bataan</t>
  </si>
  <si>
    <t>Concreting of Simeon Galapon St. Extension</t>
  </si>
  <si>
    <t>Proposed Construction of Water System (Level II) - Balacbaan</t>
  </si>
  <si>
    <t>PROCUREMENT OF MOBILE SOUND SYSTEM</t>
  </si>
  <si>
    <t>Construction of Covered Walk Along Quirino Street</t>
  </si>
  <si>
    <t>Supply and Delivery of Insecticide for Dengue and Malaria Control for the use of Dr. Tomas Nolasco Sr. Memorial Hospital</t>
  </si>
  <si>
    <t>Concreting of Gerardo Street</t>
  </si>
  <si>
    <t>SUPPLY AND DELIVERY OF MEDICINES FOR THE USE OF DR. TOMAS NOLASCO SR. MEMORIAL HOSPITAL</t>
  </si>
  <si>
    <t>3LSSM2020A-041 Other Supplies &amp; Materials</t>
  </si>
  <si>
    <t>3LSSM2020A-040 Food Supplies</t>
  </si>
  <si>
    <t>3LSSM2020A-039 Food Supplies</t>
  </si>
  <si>
    <t>3LSSM2020A-037 Office Supplies</t>
  </si>
  <si>
    <t>Concreting of Caers Street</t>
  </si>
  <si>
    <t>Procurement of Pharmaceuticals (1) ITB No. 2020-23</t>
  </si>
  <si>
    <t>PURCHASE OF CONSTRUCTION SUPPLIES</t>
  </si>
  <si>
    <t>Construction of LDRRMO Auxillary Building (Phase1)</t>
  </si>
  <si>
    <t>PROCUREMENT OF ELECTRICAL SUPPLIES FOR THE INSTALLATION OF (PHASE 3) ELECTRICAL SERVICE ENTRANCE AT THE MUNICIPAL COMPOUND, CALABANGA</t>
  </si>
  <si>
    <t>SUPPLY AND DELIVERY OF RAPID TEST KIT-PGO</t>
  </si>
  <si>
    <t>SUPPLY AND DELIVERY OF THERMAL SCANNER AND X-RAY BAGGAGE SCANNER-PGO</t>
  </si>
  <si>
    <t>PR# 20-07-715 PROCUREMENT OF TWO (2) UNITS ICE BLOCK MAKING MACHINE FOR BOHOL PROVINCE UNDER SAAD 2020</t>
  </si>
  <si>
    <t>SUPPLY AND DELIVERY OF RED BAGS FOR STO. DOMINGO ONION ENTERPRISE</t>
  </si>
  <si>
    <t>PROCUREMENT  OF SEVERAL OFFICE  EQUIPMENTS</t>
  </si>
  <si>
    <t>Rehabilitation of Public Market (Awning)</t>
  </si>
  <si>
    <t>IMPROVEMENT OF OPEN CANAL</t>
  </si>
  <si>
    <t>REPAIR OF TABACO WAREHOUSES, COMPOUND STRUCTURES, ELECTRICAL SYSTEM AND PROVISION OF FARMERS' SHED</t>
  </si>
  <si>
    <t>PROCUREMENT OF LED BULB 50W FOR THE MAINTENANCE OF STREETLIGHTS IN THE DIFFERENT BARANGAYS</t>
  </si>
  <si>
    <t>Rehabilitation of Barangay Road Pangihan-Cabawan to Toril</t>
  </si>
  <si>
    <t>Construction of Annex Public Market Building</t>
  </si>
  <si>
    <t>3LSSM2020A-038 Office Supplies</t>
  </si>
  <si>
    <t>CONSTRUCTION OF WASH AREA</t>
  </si>
  <si>
    <t>LANDSCAPING</t>
  </si>
  <si>
    <t>Procurement of One (1) Unit, Package Type, Floor Mounted Air conditioner</t>
  </si>
  <si>
    <t>INVITATION TO BID FOR THE PROVISION OF AGRICULTURAL SUPPLIES (LOT 1: SEEDS) FOR THE CONDUCT OF URBAN AGRICULTURE</t>
  </si>
  <si>
    <t>Construction Materials and Supplies for the Construction of Crisis Center</t>
  </si>
  <si>
    <t>Supply of Labor, Materials and Equipment for the Installation of Streetlights, Poblacion Barangay IV, San Jose, Batangas</t>
  </si>
  <si>
    <t>Supply of Labor, Materials and Equipment for the Riprapping, Brgy. Bigain I, San Jose, Batangas</t>
  </si>
  <si>
    <t>Supply of Labor, Materials and Equipment for the Installation of Streetlights, Brgy. Balagtasin I, San Jose, Batangas</t>
  </si>
  <si>
    <t>Procurement of Medical Equipment-07-027(X)SDH</t>
  </si>
  <si>
    <t>Rehabilitation of Farmers'Multi-Purpose Hall, Pila</t>
  </si>
  <si>
    <t>CONSTRUCTION OF ROSALES MOTORPOOL (PHASE 2)</t>
  </si>
  <si>
    <t>REHABILITATION OF OLD SANITARY LANDFILL</t>
  </si>
  <si>
    <t>3LSSM2020A-042 Other Supplies &amp; Materials</t>
  </si>
  <si>
    <t>Construction Materials and Supplies for the Construction of Public Library/Museum</t>
  </si>
  <si>
    <t>CONSTRUCTION OF MULTI-PURPOSE BUILDING (COVERED COURT) Kapate, Kiamba, Sarangani Province</t>
  </si>
  <si>
    <t>FABRICATION OF MATERIAL RECOVERY FACILITIES (MRF)</t>
  </si>
  <si>
    <t>IMPROVEMENT OF MULTI - PURPOSE CENTER</t>
  </si>
  <si>
    <t>CONSTRUCTION OF MULTI-PURPOSE BUILDING (COVERED COURT) Lago, Glan, Sarangani Province</t>
  </si>
  <si>
    <t>IMPROVEMENT OF COVERED COURT</t>
  </si>
  <si>
    <t>Transit Ambulance - Office of the City Mayor</t>
  </si>
  <si>
    <t>COMPLETION OF  INNOVATION HUB AND BIODIVERSITY RESEARCH CENTER - PHASE 2</t>
  </si>
  <si>
    <t>MEDICAL WASTE TREATMENT FACILITY-PYROCLAVE (CONCRETING OF PYROCLAVE SITE ACCESS ROAD) Alabel, Sarangani Province</t>
  </si>
  <si>
    <t>4 x 2 Pick-up M/T Colored Black - Office of the City Mayor</t>
  </si>
  <si>
    <t>Laboratory Supplies for LPH-Nagcarlan District Hospital for 3rd and 4th Quarter</t>
  </si>
  <si>
    <t>Purchase of Medical, Laboratory, Dental Supplies &amp; Linen</t>
  </si>
  <si>
    <t>IMPROVEMENT OF SAPU PADIDU MULTI-PURPOSE BUILDING Malapatan, Sarangani Province</t>
  </si>
  <si>
    <t>ENHANCEMENT AND REPAIR OF ECPC BUILDING  AND LABORATORY Alabel, Sarangani Province</t>
  </si>
  <si>
    <t>Construction / Concreting of Farm to Market Road with Bridge, Brgy. Pamplona-Catablingan Boundary, General Nakar, Quezon</t>
  </si>
  <si>
    <t>(PR NO.20-06-08-0049: 1 Lot Supply, Delivery, Installation and Commissioning of Brand-New Generator)</t>
  </si>
  <si>
    <t>REHABILITATION/IMPROVEMENT OF SANITARY &amp; PLUMBING WATER SYSTEM</t>
  </si>
  <si>
    <t>Procurement of Patrol Vehicle, PNP</t>
  </si>
  <si>
    <t>Supply, Delivery, Installation and Configuration of Data Loss Prevention (DLP) Solution</t>
  </si>
  <si>
    <t>Procurement of Two (2) Units Brand New Service Vehicle, City GSO</t>
  </si>
  <si>
    <t>3LSSM2020A-043 Training Expenses</t>
  </si>
  <si>
    <t>Procurement of Brand New Single Cab Vehicle for Medical Waste , City ENR</t>
  </si>
  <si>
    <t>Procurement of Brand New Single Cab Vehicle for FOGS, City ENR</t>
  </si>
  <si>
    <t>UPGRADING OF BARANGAY ROAD-SITIO DULANGAN</t>
  </si>
  <si>
    <t>Supply and Delivery of One (1) Unit Vertical Take-Off and Landing  (VTOL) Drone</t>
  </si>
  <si>
    <t>Rehabilitation of Public Market Stalls</t>
  </si>
  <si>
    <t>Procurement of Brand New Single Cab Vehicle, City GSO</t>
  </si>
  <si>
    <t>COMPLETION OF PARAISO MULTI-PURPOSE BUILDING Paraiso, Alabel, Sarangani Province</t>
  </si>
  <si>
    <t>SUPPLY AND DELIVERY OF  PALAY SEEDS &amp; FERTILIZERS</t>
  </si>
  <si>
    <t>CONCRETING OF NHW JCT. KAMANGA-LAMLANGIL PROVINCIAL ROAD Maasim, Sarangani Province</t>
  </si>
  <si>
    <t>INVITATION TO BID FOR 2020 KAANIB ENTERPRISE DEVELOPMENT PROJECT (KEDP) – COMMUNITY HOUSEHOLD LEVEL COCONUT PROCESSING (CHLCP) FOR VIRGIN COCONUT OIL PRODUCTION</t>
  </si>
  <si>
    <t>CONSTRUCTION OF UPO MULTI-PURPOSE BUILDING Upo, Maitum, Sarangani Province</t>
  </si>
  <si>
    <t>Construction of Covered Court, Don Quintin Balcita MHS, San Fernando City</t>
  </si>
  <si>
    <t>CONSTRUCTION OF 2-STOREY  PUBLIC MARKET WITH ACCESS ROAD</t>
  </si>
  <si>
    <t>Construction of Covered Court, Naguilian National High School, Naguilian</t>
  </si>
  <si>
    <t>Construction of Covered Court, Caba Central School, Caba</t>
  </si>
  <si>
    <t>Supply/Delivery of Construction Materials</t>
  </si>
  <si>
    <t>Rehabilitation of Biday-Carlatan Hanging Bridge, San Fernando City</t>
  </si>
  <si>
    <t>550 pieces 1/2"Ø Water Meter</t>
  </si>
  <si>
    <t>ROAD OPENING AT BASUH RESIDENCE TO SS</t>
  </si>
  <si>
    <t>PRINTING OF REPORTS</t>
  </si>
  <si>
    <t>CONCRETING OF PAIT FARM TO MARKET ROAD Alabel, Sarangani Province</t>
  </si>
  <si>
    <t>Improvement of Tanquigan-Birunget Farm to Market Road, San Fernando City</t>
  </si>
  <si>
    <t>Procurement of 1 Unit Pick Up Vehicle</t>
  </si>
  <si>
    <t>RADIO AM/FM BATTERY AND PLUG OPERATED/IB No. DE-2020-009</t>
  </si>
  <si>
    <t>Procurement of Collapse Structure Search and Rescue Equipment, City DRRM</t>
  </si>
  <si>
    <t>Construction of 100 Ln.m. Cable Suspended Footbridge at Barangay Panaliwad-on</t>
  </si>
  <si>
    <t>Hospital supplies and equipment</t>
  </si>
  <si>
    <t>Supply and Delivery of Construction Materials for the Concreting of Farm to Market Road</t>
  </si>
  <si>
    <t>Construction of Flood Control Structure at Sitio Centro &amp; Sitio Hill-Top, Barangay San Juan West, Aringay</t>
  </si>
  <si>
    <t>SUPPLY AND DELIVERY OF  OTHER PROPERTY, PLANT &amp; EQUIPMENT (MPFSDC)</t>
  </si>
  <si>
    <t>I.V. Fluids for LPH-Dr. J. P. Rizal Memorial District Hospital for 3rd and 4th Quarter</t>
  </si>
  <si>
    <t>Repair/Rehab of Muliti-Purpose Building</t>
  </si>
  <si>
    <t>3 Lots Vertical Centrifugal Pump and Motor</t>
  </si>
  <si>
    <t>Supply and Delivery of 1 Unit Emergency Response and Rescue Vehicle in the Municipality of Dauis, Bohol.</t>
  </si>
  <si>
    <t>Continuation of Walling of the Multi-Purpose Hall/Gym</t>
  </si>
  <si>
    <t>Negotiated Procurement for Orthopaedic Implants (53.1)</t>
  </si>
  <si>
    <t>ROAD OPENING AT BASUH RESIDENCE TO SS - FILLING MATERIALS</t>
  </si>
  <si>
    <t>Office supplies and consumables</t>
  </si>
  <si>
    <t>BRIGADA</t>
  </si>
  <si>
    <t>Invitation to Bid for The CONSTRUCTION OF Community Cum Evacuation Center</t>
  </si>
  <si>
    <t>drugs and medicines</t>
  </si>
  <si>
    <t>20KI0097 Contract Name		: Construction of Multi-Purpose Building, Magcamiguing, Calamba, Misamis Occidental</t>
  </si>
  <si>
    <t>Risograph Machine/IB No. 2020-008</t>
  </si>
  <si>
    <t>Improvement of Materials Recovery Facility (MRF)</t>
  </si>
  <si>
    <t>School Building Project Counterparting Buenavista National High School &amp; Tandag National Science High School, Tandag City</t>
  </si>
  <si>
    <t>INSTALLATION OF CCTV TO PUBLIC PLACES AND STREETS</t>
  </si>
  <si>
    <t>Purchase of Various Medical Equipment G. B. Tan Memorial Hospital Laoang, Northern Samar</t>
  </si>
  <si>
    <t>Construction of National Child Development Center, Poblacion, Badiangan, Iloilo</t>
  </si>
  <si>
    <t>Agricultural Equipment</t>
  </si>
  <si>
    <t>LANDSCAPING OF HIGHWAY FOOD COURT</t>
  </si>
  <si>
    <t>Procurement of BRAND NEW FIRE TRUCK</t>
  </si>
  <si>
    <t>CONDUCT OF PROFESSIONAL MEETING</t>
  </si>
  <si>
    <t>INSTALLATION OF WATER SYSTEM @ HIGHWAY FOOD COURT</t>
  </si>
  <si>
    <t>CONSTRUCTION OF SIX (6) UNITS REINFORCED CONCRETE BOX CULVERTS</t>
  </si>
  <si>
    <t>PROJECT 2 - PROCUREMENT AND DELIVERY OF LABORATORY SUPPLIES FOR THE USE OF NTP PROGRAM FOR REGION 1</t>
  </si>
  <si>
    <t>INVITATION TO BID FOR PHILIPPINE COCONUT AUTHORITY REJUVENATION THRU FERTILIZATION PROJECT OF PCA REGION  VI</t>
  </si>
  <si>
    <t>Construction of Multi-purpose Building</t>
  </si>
  <si>
    <t>PROJECT 1 - PROCUREMENT AND DELIVERY OF PERSONAL PROTECTIVE EQUIPMENT FOR THE PROVINCE OF LA UNION</t>
  </si>
  <si>
    <t>1 lot Multistage Centrifugal Vertical Pump with Soft Starter Motor Controller</t>
  </si>
  <si>
    <t>CONSTRUCTION OF FRUIT STAND</t>
  </si>
  <si>
    <t>PROJECT 3 - PROCUREMENT AND DELIVERY OF PROGESTIN SUBDERMAL IMPLANT FOR REGION 1</t>
  </si>
  <si>
    <t>SUPPLY, DELIVERY AND INSTALLATION OF KITCHEN EQUIPMENT   (PROJECT REF. No.: CSU2020-07-008-HOTEL)</t>
  </si>
  <si>
    <t>Construction of Three Storey Administration Building, Phase II (Infra-20-01)</t>
  </si>
  <si>
    <t>1 set Vertical Booster Pump and Motor</t>
  </si>
  <si>
    <t>ROAD OPENING AT BASUH RESIDENCE TO SS FUEL</t>
  </si>
  <si>
    <t>SUPPLY AND DELIVERY OF  OTHER PROPERTY, PLANT &amp; EQUIPMENT (Tourism)</t>
  </si>
  <si>
    <t>Concreting of Existing Barangay Road at Sitio Engkoyan</t>
  </si>
  <si>
    <t>REPAIR OF MANABO IRRIGATION MAIN CANAL, AYYENG MANABO</t>
  </si>
  <si>
    <t>PRINTING OF TARPAULINS</t>
  </si>
  <si>
    <t>Purchase of Various Materials for Donation to Barangays (Province-wide) Province of Northern Samar</t>
  </si>
  <si>
    <t>Concreting of Upper Bales-Kabcal Road - Barangay Bales</t>
  </si>
  <si>
    <t>20GSDG0024: Furnishing and Delivery of  various Construction Materials for use in the Repainting of Pavement Markings along various National Roads in DPWH, Cavite II District Engineering Office, Alfon</t>
  </si>
  <si>
    <t>Improvement of Municipal Building, Barangay Poblacion, Concepcion, Iloilo</t>
  </si>
  <si>
    <t>Supply and Delivery of Construction Materials and Supply for the Improvement of Sagkaray Building</t>
  </si>
  <si>
    <t>CONDUCT WORLD TEACHERS DAY</t>
  </si>
  <si>
    <t>Installation of Water Supply to Community Fish Landing Center</t>
  </si>
  <si>
    <t>CONCRETING OF ACCESS ROAD (BRGY STA ELENA)</t>
  </si>
  <si>
    <t>Concreting of San Felipe-Gaas St. - Barangay Colon</t>
  </si>
  <si>
    <t>Supply &amp; Delivery of IT Equipment &amp; Software</t>
  </si>
  <si>
    <t>Construction/Rehabilitation of Cabulisan-Caminto Road</t>
  </si>
  <si>
    <t>Concreting of Purog-Angare Barangay Road</t>
  </si>
  <si>
    <t>Supply and Delivery of construction materials for PInamangguhan CIP</t>
  </si>
  <si>
    <t>PROVISIONS OF SCHOOL ID &amp; CORD</t>
  </si>
  <si>
    <t>PROCUREMENT OF MEDICAL SUPPLIES FOR ANIMAL BITE TREATMENT CENTER</t>
  </si>
  <si>
    <t>20BE0095 - CONCRETING OF BRGY. SAN RAFAEL ABAJO PHASE II FMR BRGY. SAN RAFAEL ABAJO, STO. TOMAS, ISABELA</t>
  </si>
  <si>
    <t>CONCRETING OF DUCLIGAN FMR</t>
  </si>
  <si>
    <t>CONCRETING OF LINGEY FMR</t>
  </si>
  <si>
    <t>CONCRETING OF LABAAN FMR</t>
  </si>
  <si>
    <t>Improvement of Material Recovery Facilities, Municipal Eco Park, Barangay Lo-ong, Concepcion, Iloilo</t>
  </si>
  <si>
    <t>Procurement of Termite Treatment to be used by City Division Office</t>
  </si>
  <si>
    <t>PB2020-07-110 Procurement of Various Laboratory Reagents for the Six (6) City Hospitals and Manila Health Department</t>
  </si>
  <si>
    <t>Procurement of IT Equipment to be utilized by the Teaching and Learning via Alternative Delivery Mode of Division Office</t>
  </si>
  <si>
    <t>PROVISION OF SPORTS MATERIALS</t>
  </si>
  <si>
    <t>Supply and delivery of various construction materials for Various Projects LOT 6</t>
  </si>
  <si>
    <t>PROVISION OF SCHOOL SUPPLIES</t>
  </si>
  <si>
    <t>VARIOUS LABORATORY SUPPLIES/CONSUMABLES</t>
  </si>
  <si>
    <t>Supply and Delivery of Various Technical and Scientific Equipment CY 2019 - Re-Bidding</t>
  </si>
  <si>
    <t>Expansion of Material Recovery Facilities, Municipal Eco Part, Barangay Lo-ong, Concepcion, Iloilo</t>
  </si>
  <si>
    <t>Construction of Consolidation Center, Conner, Apayao</t>
  </si>
  <si>
    <t>MA-A2H20-010..SURGE PROTECTOR, 13.8 KV CAPACITOR AT MDS, 3 UNITS PER SET, AGUS 2 HE PLANT</t>
  </si>
  <si>
    <t>FURNISHING AND DELIVERY OF COVID-19 RAPID TEST FOR LGU EMPLOYEES AND  LSI/ROF USE</t>
  </si>
  <si>
    <t>Re-Bidding for the Procurement of Cafeteria Concessionaire for CF-Iloilo Employees for a Period of Two (2) Years</t>
  </si>
  <si>
    <t>Construction of MPH at Brgy. Timalan Balsahan, Naic, Cavite</t>
  </si>
  <si>
    <t>PROVISIONS OF TEST PAPERS</t>
  </si>
  <si>
    <t>Supply and Delivery of 12 units Hermetic Storage ABC: Php2,236,800.00</t>
  </si>
  <si>
    <t>Construction of Solar Dryer, Barangay Plandico, Concepcion, Iloilo</t>
  </si>
  <si>
    <t>Proposed Rehabilitation / Construction of Drainages and Canals at Concepcion St., Brgy. Nueva</t>
  </si>
  <si>
    <t>Construction of Solar Dryer, Barangay Batiti, Concepcion, Iloilo</t>
  </si>
  <si>
    <t>20CN0160 -  Procurement of Diesel, Gasoline and Lubricants for use of Light and Heavy Equipment for the Maintenance of National Roads and Bridges</t>
  </si>
  <si>
    <t>Supply, Delivery and Installation of Various Furniture and Fixtures for CHEFS (LOT BIDDING)</t>
  </si>
  <si>
    <t>CONSTRUCTION OF STONE MASONRY</t>
  </si>
  <si>
    <t>Provisions of Office Supplies</t>
  </si>
  <si>
    <t>Proposed Widening of Creek at Adelina 1 to 1A / Holiday Homes (Phase 1) Brgy. San Antonio</t>
  </si>
  <si>
    <t>MG-TSE20-025.TESTER, IMPEDANCE, MULTIFUNCTION, PRIMARY</t>
  </si>
  <si>
    <t>Construction of Solar Dryer, Barangay Bacjawan Sur, Concepcion, Iloilo</t>
  </si>
  <si>
    <t>CONSTRUCTION OF COVERED CATWALK @ DUPAX CENTRAL SCHOOL</t>
  </si>
  <si>
    <t>20GSDG0025: Furnishing Labor and Equipment for the Repair/Maintenance of Slope Protection along Ternate-Nasugbu Road, K0068+011 – K0068+018, K0072+905.20 – K0072+945.20 and K0074+200 – K0074+230; Juan</t>
  </si>
  <si>
    <t>IMPROVEMENT OF BARANGAY HEALTH CENTER</t>
  </si>
  <si>
    <t>MA-A2H20-004..FIBER OPTIC CABLE</t>
  </si>
  <si>
    <t>Construction of Multi-Purpose Building and Site Development at Camp Bagong Diwa, Brgy. Central Bicutan, Taguig City (Contract ID No. 20O00051)</t>
  </si>
  <si>
    <t>Construction of Waste Treatment Plant (Phase 1) at Dumpsite</t>
  </si>
  <si>
    <t>Supply and Delivery of 2 units Customized Storage Container Van Total ABC: Php1,000,000.00</t>
  </si>
  <si>
    <t>Construction of Rural Access Road</t>
  </si>
  <si>
    <t>2020 EXPANDED PCA RESPONSE to COVID-19 PROGRAM (EPRCP): Animal Integration (Enhanced Livestock Oil Palm Integration)</t>
  </si>
  <si>
    <t>Supply and Delivery of 15,000 bags Organic Fertilizer ABC: Php4,500,000.00</t>
  </si>
  <si>
    <t>Purchase of Drugs and Medicines to be used for the Municipal Health Office</t>
  </si>
  <si>
    <t xml:space="preserve">19GL00115; P.R. No. 2020-07-082 DATED 07/07/2020: PROCUREMENT OF ONE (1) LOT OF VARIOUS I.T. CONSUMABLES, SUPPLIES &amp; ACCESSORIES, FOR USE IN THE DPWH R.O. XI, UNDER THE ADMINISTRATIVE DIVISION, DAVAO </t>
  </si>
  <si>
    <t>Procurement of Various Criminology Laboratory Equipment and Supplies for Instructional use - Binalbagan Campus</t>
  </si>
  <si>
    <t>20KG0094(Rebid) : Concreting of Brgy. Matampay FMR, Brgy. Matampay, Matungao, Lanao del Norte, Sta.0+000.000-0+465.00;  Sta. 0+665.00-Sta. 0+952.00</t>
  </si>
  <si>
    <t>PRINTING AND BINDING OF MSC YEARBOOK 2020 INCLUDING PHOTOGRAPHY AND MAKEUP SERVICES</t>
  </si>
  <si>
    <t>Construction of SANMANDELCAR NHS Productivity Enhancement Center</t>
  </si>
  <si>
    <t>Supply and delivery of materials for the proposed Const. of 2-storey barangay hall-phase 1</t>
  </si>
  <si>
    <t>RFQ - Supply &amp; delivery of Various Measuring Tools</t>
  </si>
  <si>
    <t>20BE0096 - CONCRETING OF BRGY. ALINGUIGAN IST FMR BRGY. ALINGUIGAN IST, ILAGAN, ISABELA</t>
  </si>
  <si>
    <t>PROCUREMENT OF RESCUE BOAT OF LGU FLORA, APAYAO</t>
  </si>
  <si>
    <t>20KG0098:Concreting of Brgy. Calipapa FMR, Brgy. Calipapa, SND, Lanao del Norte, Sta.0+000.000-0+497.00</t>
  </si>
  <si>
    <t>MG-GPD20-004, SUPPLY/INSTALLATION OF OPERATION DISPLAY/MONITORING SYSTEM</t>
  </si>
  <si>
    <t>RM Electrical Wiring</t>
  </si>
  <si>
    <t>Supply and Delivery of Medical and Laboratory Supplies of San Pablo City General Hospital, San Pablo City 3rd Quarter.</t>
  </si>
  <si>
    <t>Construction/Improvement of Level II Water Supply System-Brgy. Villa Espina, Lopez, Quezon</t>
  </si>
  <si>
    <t>Procurement of Bauffant Cap</t>
  </si>
  <si>
    <t>PRE-BID CONFERENCE 28/July/2020 - Procurement of Goods: Consolidated Office Supplies 2020 (3rd Quarter) (PR#100-20-07-0036,100-20-07-0197 &amp; 100-20-07-0187)</t>
  </si>
  <si>
    <t>INFRA-Construction of MDRRMC Command Center @ San Jose, Talibon, Bohol</t>
  </si>
  <si>
    <t>JOB ORDER: To supply labor and materials for the Construction of Multi-Purpose Covered Court, Doña Angeles J. Montinola Memorial National High School, Brgy. Bagtic, Silay City.</t>
  </si>
  <si>
    <t>Construction of Slope Protection Along Aklan River</t>
  </si>
  <si>
    <t>Supply and Delivery of 795 bags Hybrid Yellow Corn Seeds Total ABC: Php3,577,500.00</t>
  </si>
  <si>
    <t>Supply and Delivery of Hardware and Construction Supplies/Materials (Concreting of Critical Slope - Cagascas) Re-Bidding</t>
  </si>
  <si>
    <t>PROCUREMENT OF 4X2, 6-WHEELER TRUCK CHASSIS WITH 3 CUBIC METER DUMPTRUCK BODY</t>
  </si>
  <si>
    <t>RENTAL OF SERVICE VEHICLES FOR OFFICIAL USE OF CONSERVATION AND DEVELOPMENT DIVISION</t>
  </si>
  <si>
    <t>One Job Order for the Supply and Provision of Fifty-Six (56) Security Guards for a period of Six (6) months (BAC 2020-020)</t>
  </si>
  <si>
    <t>Cosntruction of Slope Protection (Local Access Road in Barangay Del Rosario)</t>
  </si>
  <si>
    <t>Procurement of Motor Vehicle (Passenger Van)</t>
  </si>
  <si>
    <t>MG-A7C20-006, CARBON BRUSH FOR UNITS 3, 4 &amp; 5 FOR AGUS 6 EE</t>
  </si>
  <si>
    <t>PROCUREMENT OF REPAIR CLAMP</t>
  </si>
  <si>
    <t>Supply/Delivery of Oils, Coolant, Grease, ATF and Brake Fluid</t>
  </si>
  <si>
    <t>Purchase and Delivery of a Rescue Vehicle (Pick-up Type) for the Disaster Response and Disaster Risk Reduction and Management Related Activities of LGU-Mayorga, Leyte</t>
  </si>
  <si>
    <t>CONCRETING OF LAMAO FMR</t>
  </si>
  <si>
    <t>Construction of  New Taguig City Hall (Phase 2), Brgy. Ususan, Taguig City</t>
  </si>
  <si>
    <t>Procurement of Brand New Customized Medical Ambulance with Accessories, City Health Office</t>
  </si>
  <si>
    <t>20KD0068 - Overlay Along Puerto Flyover, Brgy. Puerto, Cagayan de Oro City</t>
  </si>
  <si>
    <t>Infrastructure in support of children at risk (vulnerable group), Poblaion, Mina, Iloilo.</t>
  </si>
  <si>
    <t>Supply and Delivery of Animal and Zoological Supplies ABC: Php1,457,800.00</t>
  </si>
  <si>
    <t>SALE AND DISPOSAL OF UNSERVICEABLE LGU-TALIBON PROPERTIES</t>
  </si>
  <si>
    <t>CONCRETING OF LOCAL ROAD FROM OLD ICEPLANT TO BARAH RES - Rental</t>
  </si>
  <si>
    <t>Procurement of Services for the Water Quality Monitoring of San Fernando Bay and Surface Water for City Facilities, City ENR</t>
  </si>
  <si>
    <t>CONSTRUCTION OF LOCAL ACCESS ROAD AT BRGY CONANT, VILLAREAL, SAMAR</t>
  </si>
  <si>
    <t>Supply and Delivery of Hardware and Construction Supplies/Materials (Concreting of Critical Slope - Manato Central) Re-Bidding</t>
  </si>
  <si>
    <t>20EA0001-R1 - Asset Preservation – Preventive Maintenance – Secondary Roads, Marinduque Circumferential Rd – K0008+000-K0008+030, K0058+000-K0058+773, K0062+126-K0063+154, K0063+704-K0066+855</t>
  </si>
  <si>
    <t>PHYSICAL THERAPY ENHANCEMENT PROGRAM (2ND QUARTER)</t>
  </si>
  <si>
    <t>SUPPLY AND DELIVERY OF AIR CONDITIONING UNITS (FLOOR MOUNTED AND WINDOW-TYPE) FOR VARIOUS OFFICES - TWO FAILED BIDDING</t>
  </si>
  <si>
    <t>Procurement of Various Semi-Expendables</t>
  </si>
  <si>
    <t>Supply and Delivery of 495 bags NSIC 2019 GMCn67 Hybrid Yellow Corn Seeds ABC: Php2,227,500.00</t>
  </si>
  <si>
    <t>SUPPLY AND DELIVERY OF MULTI-SHREDDER/ PULVERIZER, INCLINED AND FLAT CONVEYORS FOR MUNICIPALITY OF BALIWAG, BULACAN</t>
  </si>
  <si>
    <t>Supply and Delivery of Office Supplies, Consumables,I.T. Equipments, Furnitures, Fixtures and Other Machineries/Equipments</t>
  </si>
  <si>
    <t>Repair &amp; Maintenance of Machinery &amp; Equipment (Tools &amp; Parts- Ambulance, Nissan Van, Volvo Truck, Pay Loader) (Second Bidding)</t>
  </si>
  <si>
    <t>Procurement of Office Supplies, Other Supplies and Materials, Office Equipment and IT Equipment</t>
  </si>
  <si>
    <t>SUPPLY AND DELIVERY OF IT EQUIPMENTS (COMPUTER, LAPTOP, PRINTER) FOR VARIOUS OFFICES - TWO FAILED BIDDING</t>
  </si>
  <si>
    <t>Supply, Delivery, Repair and Maintenance of CCTV Camera, Barangay Tanza, Tuguegarao City</t>
  </si>
  <si>
    <t>One (1) Job Order for the Supply of Labor and Materials for Repair/Rehabilitation of Barangay Road at Brgy. Bunga, Mambusao, Capiz</t>
  </si>
  <si>
    <t>MG-A5C20-013, INSTALLATION OF CONTROL ROOM FIRE SUPPRESSION</t>
  </si>
  <si>
    <t>0007-07-20 Printing and Delivery of Modules to Various Schools in Division of Cabuyao, Laguna</t>
  </si>
  <si>
    <t>Supply and Delivery of Assorted and Common Office Supplies and Devices</t>
  </si>
  <si>
    <t>Consulting Services for the Development of Contactless Face Recognition Biometric System to the Existing NEDA Integrated Information System</t>
  </si>
  <si>
    <t>OPLAN SAGIP BUHAY (2ND QUARTER)</t>
  </si>
  <si>
    <t>One (1) Job Order for the Supply of Labor and Materials for Repair/Rehabilitation of Brgy. Road at Brgy. Najus-an, Mambusao, Capiz</t>
  </si>
  <si>
    <t>Construction of Taguig General Hospital (Phase 4 ), Brgy. Hagonoy, Taguig City</t>
  </si>
  <si>
    <t>REBLOCKING/IMPROVEMENT OF ROAD</t>
  </si>
  <si>
    <t>MG-A7M20-008, REHAB OF AGUS 6 UNIT NO 5 COOLING SYSTEM</t>
  </si>
  <si>
    <t>PROCUREMENT OF FARM MACHINERIES, IMPLEMENTS AND  FARM INPUTS</t>
  </si>
  <si>
    <t>Construction of Boardwalk at Lakeshore, Brgy. Lower Bicutan, Taguig City</t>
  </si>
  <si>
    <t>PURCHASE OF TWO THOUSAND SACKS OF RICE (50 KLS./SACK)</t>
  </si>
  <si>
    <t>SUPPLY AND DELIVERY OF IT EQUIPMENT &amp; OTHER SUPPLIES (BFP)</t>
  </si>
  <si>
    <t>CONSTRUCTION OF FARM TO MARKET ROAD AT BRGY CANMUCAT, VILLAREAL, SAMAR</t>
  </si>
  <si>
    <t>CONCRETING OF LOCAL ROAD FROM OLD ICEPLANT TO BARAH RES. - SIGNAGE</t>
  </si>
  <si>
    <t>Re-Posting: Procurement of High Valued Crops for BDC Projects</t>
  </si>
  <si>
    <t>UPLB-S-045-08-20, SUPPLY AND DELIVERY OF BRANDED AND BRANDNEW DESKTOP COMPUTER FOR CAFS-ICROPS-CPMD</t>
  </si>
  <si>
    <t>CONCRETING OF LOCAL ROAD FROM OLD ICEPLANT TO BARAH RES - Fuel &amp; Lubricants</t>
  </si>
  <si>
    <t>Construction of Crematorium at Serenity Park, Brgy. San Miguel, Taguig City</t>
  </si>
  <si>
    <t>Construction/ Improvement of Multi-purpose Building, Brgy. Central Signal, Taguig City</t>
  </si>
  <si>
    <t>CONCRETING OF LOCAL ROAD FROM OLD ICEPLANT TO BARAH RES. - COCO LUMBER</t>
  </si>
  <si>
    <t>Procurement of Goods for the Construction of Warehouse @ Motorpool</t>
  </si>
  <si>
    <t>IMPROVEMENT OF MULTI PURPOSE BUILDING (DAY CARE CENTER) (BURGOS STREET, CENTRO 01, TUGUEGARAO CITY)</t>
  </si>
  <si>
    <t>Purchase of ICT Equipment  (Desktop, Laptop &amp; Printer) (Second Bidding)</t>
  </si>
  <si>
    <t>20HB0168 Concreting of Brgy. Cayacay, Alicia FMR (leading to Brgy. Abaca, Mabini) Brgy. Cayacay, Alicia, Bohol Sta.1+460.00 - Sta.1+578.02, Sta.1+940.00 – Sta.2 +460.00</t>
  </si>
  <si>
    <t>Re-Posting: Procurement of Goods for LGU-Upi  Transformer</t>
  </si>
  <si>
    <t>ITB No. 20-063  ONE (1) LOT SUPPLY AND DELIVERY OF VARIOUS PRINTER CONSUMABLES WITH FREE USE OF PRINTERS A TIE-UP CONTRACT OF  THREE(3) YEARS</t>
  </si>
  <si>
    <t>Supply and Delivery of Construction Materials for Improvement of Evacuation Center</t>
  </si>
  <si>
    <t>Purchase of Agricultural Equipments for Cacao Processing</t>
  </si>
  <si>
    <t>Design and Build of Del Carmen Centennial Park</t>
  </si>
  <si>
    <t>CONCRETING OF LOCAL ROAD JUNCTION PROVINCIAL ROAD TO OSORIO ROAD - DIESEL</t>
  </si>
  <si>
    <t>Construction of Public Cemetery, Brgy. San Miguel, Taguig City</t>
  </si>
  <si>
    <t>CATERING SERVICES FOR KONTRA COVID-19 ACTIVITIES - 2ND BIDDING</t>
  </si>
  <si>
    <t>20KD0069 - Installation of Solar Reflective Pavement Studs &amp; Traffic Signs Along BCIR</t>
  </si>
  <si>
    <t>CONST.OF GROUTED RIPRAP (STONE MASONRY W/ CONCRETE FACING</t>
  </si>
  <si>
    <t>INVITATION TO BID  FOR THE SUPPLY AND DELIVERY OF MARKETING IMPLEMENTS TO ARBOS AS FRONTLINERS IN THE FOOD SUPPLY CHAIN [Contract No. NV-SS-04-2020]</t>
  </si>
  <si>
    <t>Purchase of Office Supplies of LGU, San Andres, Quezon. (Second Posting)</t>
  </si>
  <si>
    <t>INFRA 2K20-51 CONSTRUCTION OF PSCG BRIDGE (ALONG SUNGAYAN - PISAAN ROAD)</t>
  </si>
  <si>
    <t>IMPROVEMENT OF MULTI PURPOSE HALL AT BRGY MALONOY, VILLAREAL, SAMAR</t>
  </si>
  <si>
    <t>CONSTRUCTION OF SOLAR POWERED LED STREET LIGHTS, ID NO. KIA-SAR-20-003 (Brgy.Badtasan, Kiamba, Sar.)</t>
  </si>
  <si>
    <t>Purchase of Office Equipment for DepEd Division,COtabato City</t>
  </si>
  <si>
    <t>Procurement of RP Vehicles (Multicab - Rescue Vehicles)</t>
  </si>
  <si>
    <t>Construction / Improvement of Old Taguig City Hall, Brgy. Tuktukan, Taguig City</t>
  </si>
  <si>
    <t>CONCRETING OF LOCAL ROAD JUNCTION PROVINCIAL ROAD TO OSORIO ROAD - COCO LUMBER</t>
  </si>
  <si>
    <t xml:space="preserve">20GFL0003-Supply and delivery of various construction materials for Repair of Road Slip along Daan Maharlika, Brgy. Rangas, Juban, Sorsogon (41X – Emergency Projects) and Construction of Work Station </t>
  </si>
  <si>
    <t>SUPPLY, DELIVERY AND INSTALLATION OF WINDOW BLINDS FOR THE PRESIDENTIAL MANAGEMENT STAFF (PMS)</t>
  </si>
  <si>
    <t>Supply and Delivery of Various IT Equipment for the Educating Science Teachers for All (ESTA) Project</t>
  </si>
  <si>
    <t>UPLB-RQ-7-150-20-RES SUPPLY AND DELIVERY OF LABORATORY SUPPLIES &amp; EQUIPMENT FOR IC</t>
  </si>
  <si>
    <t>Procurement of One (1) Unit Ambulance for use of Tarlac City Disaster Risk Reduction Management Office. B2020-097-A</t>
  </si>
  <si>
    <t>RFQ2020-06-037_SUPPLY &amp; DELIVERY OF TWENTY-FIVE (25) PAILS CALCIUM HYPOCHLORITE GRANULES (45KGS. /PAIL, 70% CHLORINE CONTENT) FOR WATER TREATMENT USE_2ND PUBLICATION</t>
  </si>
  <si>
    <t>Supply and Delivery of Five (5) Unit Customized Ambulance</t>
  </si>
  <si>
    <t>Reproduction Materials of Alternative Delivery Mode (ADM) Modules in All  Learning Areas from  Kinder to Grade 12 SY 2020</t>
  </si>
  <si>
    <t>ITB No. 20-069 Supply and Delivery of Various Cardiovascular and Catheterization Supplies (Line Bidding)</t>
  </si>
  <si>
    <t>Supply and Delivery of Various Light Vehicles</t>
  </si>
  <si>
    <t>20CSFL03-Geotechnical Investigation Work for the Rehabilitation of Road</t>
  </si>
  <si>
    <t>Construction of Columbarium at Serenity Park, Brgy. San Miguel, Taguig City</t>
  </si>
  <si>
    <t>Design and Build Scheme Infrastructure Project: Site Development</t>
  </si>
  <si>
    <t>MG-A5C20-051..FIRE EXTINGUISHER, PORTABLE, FOAM, AGUS 4 &amp; 5 HE PLANT</t>
  </si>
  <si>
    <t>REBIDDING FOR THE PROCUREMENT OF TRUCKING SERVICESFOR THE INTRA AND INTER-REGIONAL TRANSFER OF GRAINSOF NFA REGION BARMM FOR THE CALENDAR YEAR 2020</t>
  </si>
  <si>
    <t>supply &amp; delivery of Laptop</t>
  </si>
  <si>
    <t>20GF0103 - Concreting of Sitio Hatol to Sitio Katiklan, Brgy. Nanga FMR, Brgy. Nanga, Guimbal, Iloilo</t>
  </si>
  <si>
    <t>Construction of Brgy. Malabo Multi-Purpose Building</t>
  </si>
  <si>
    <t>procurement of hardware and construction supplies for improvement of multipurpose hall</t>
  </si>
  <si>
    <t>REPAIR AND MAINTENANCE – BUILDING AND OTHER STRUCTURES MARKET AT BRGY. POBLACION, KANANGA, LEYTE</t>
  </si>
  <si>
    <t>INVITATION TO BID SUPPLY, DELIVERY AND INSTALLATION OF LABORATORY TABLES (PB 20-03-19)</t>
  </si>
  <si>
    <t>BARANGAY ENHANCEMENT PROGRAM - BENHUR ACTION TEAM (2ND QUARTER)</t>
  </si>
  <si>
    <t>CONSTRUCTION OF FRONTLINERS QUARTERS AT BRGY. POBLACION, KANANGA, LEYTE</t>
  </si>
  <si>
    <t>PROCUREMENT OF ELEVEN (11) UNITS MOTORCYCLE</t>
  </si>
  <si>
    <t>20KA0101(Readvertisement) - Cluster 2 1.) Construction of Flood Control Structure along Malaybalay -Gingoog Road (Kulaman Br.), Malaybalay City, Bukidnon 2.) Construction of Flood Control Structure al</t>
  </si>
  <si>
    <t>CONCRETING OF LOCAL ROAD JUNCTION PROVINCIAL ROAD TO OSORIO ROAD - MOUNTAIN QUARRY</t>
  </si>
  <si>
    <t>CONSTRUCTION OF STP AT MUNTINLUPA CITY JAIL, NATIONAL ROAD BRGY TUNASAN, MUNTINLUPA CITY</t>
  </si>
  <si>
    <t>PROPOSED CONSTRUCTION OF EVACUATION CENTER</t>
  </si>
  <si>
    <t>Purchase of Materials for the Concreting of Pavement/ Driveway at Public Market</t>
  </si>
  <si>
    <t>Procurement of Input Support and Common Service Facilities under CRFPSP - CY 2020 Lot 2 Traveling Rice Mill (Re-posting)</t>
  </si>
  <si>
    <t>CONCRETING OF LOCAL ROAD JUNCTION PROVINCIAL ROAD TO OSORIO ROAD</t>
  </si>
  <si>
    <t>Supply and Delivery of Digital Duplicators and Copiers (1 lot)</t>
  </si>
  <si>
    <t>Contract ID No. 20GP00088 - Procurement of Fuel for use in the operations of DPWH-CAR Regional Office for the Second Semester of CY 2020 in relation to Construction Project Management</t>
  </si>
  <si>
    <t>Const. of Riprap @ Cambayog</t>
  </si>
  <si>
    <t>Proposed Construction of MRF Building funded under the Environment Management Bureau (EMB).</t>
  </si>
  <si>
    <t>Const. of Road Protection (Riprap Type)</t>
  </si>
  <si>
    <t>PROFESSIONAL SERVICES  FOR THE STRUCTURAL DESIGN OF VARIOUS INFRASTRUCTURE PROJECTS</t>
  </si>
  <si>
    <t>Supply and Delivery of HD Webcam for  Various Field Offices of the Commission</t>
  </si>
  <si>
    <t>PROCUREMENT OF SPORTS EQUIPMENT - REPOST</t>
  </si>
  <si>
    <t>Supply and Delivery of Forty (40) Unit Brand New Motorcycles</t>
  </si>
  <si>
    <t>ITB 07-002-20 Supply and Delivery of 705 bags of Feeds, Layer Crumble</t>
  </si>
  <si>
    <t>ITB 07-001-20 Supply and Delivery of Various Livestock (Carabao and Cattle)</t>
  </si>
  <si>
    <t>20GDJ0009/N-2020-07-129 Repair and Maintenance of Road Safety Facilities along Quezon Eco-Tourism Road (Road Studs) Quezon Eco-Tourism Road</t>
  </si>
  <si>
    <t>20-011 PURCHASE OF DUMP TRUCK</t>
  </si>
  <si>
    <t>20GDJ0010/N-2020-07-130 Repair and Maintenance of Road Safety Facilities within  Quezon 2nd District Engineering Office (signages and paints)</t>
  </si>
  <si>
    <t>Purchase of Municipal Sanitary Landfill Machines and Equipment of LGU-San Andres, Quezon</t>
  </si>
  <si>
    <t>Concreting of Barangay Road, Brgy. Cabanga-an, Badiangan, Iloilo</t>
  </si>
  <si>
    <t>Concreting/ Rehabilitation of Barangay Road, Brgy. Bitaoyan-Catubig-Teneclan Road, Brgy. Bitaoyan, Badiangan, Iloilo</t>
  </si>
  <si>
    <t>SUPPLY AND DELIVERY OF PHOTOCOPIER MACHINE AND TONER</t>
  </si>
  <si>
    <t>Construction of Segregation Facility, Brgy. Poblacion, Badiangan, Iloilo</t>
  </si>
  <si>
    <t>Purchase of Materials for the Rehabilitation/Improvement of Perimeter Fence of Municipal Sanitary Landfill in Sitio Sampaloc, Brgy. Camflora, San Andres, Quezon</t>
  </si>
  <si>
    <t>Purchase of Street Lights/Bulb and Electrical Materials to be Installed at Brgy. Poblacion, San Andres, Quezon. (Second Posting)</t>
  </si>
  <si>
    <t>CONSTRUCTION OF TOXIC &amp; HAZARDOUS WASTE (So. Ibayo, Barangay L. Pimentel, SLA)</t>
  </si>
  <si>
    <t>INVITATION TO BID-600,000 PIECES EMPTY SACKS FOR REGION XII</t>
  </si>
  <si>
    <t>RENOVATION OF MNHS BAHAY ALUMNI MULTI-PURPOSE BUILDING AT MNHS ALUMNI, UNIVERSITY ROAD, POBLACION, MUNTINLUPA CITY (*RE-POSTED)</t>
  </si>
  <si>
    <t>RM Kindergarten</t>
  </si>
  <si>
    <t>ITB for IEC on Proper Hygiene and COVID-19 Precautionary Measures</t>
  </si>
  <si>
    <t>Concreting of Barangay Road, Brgy. Iniligan, Badiangan, Iloilo</t>
  </si>
  <si>
    <t>Concreting of Barangay Road, Brgy. Poblacion (ECO-PARK), Badiangan, Iloilo</t>
  </si>
  <si>
    <t>Purchase of Information and Communication Technology Equipment for Official use of LGU-San Andres, Quezon</t>
  </si>
  <si>
    <t>Repair and Rehabilitation of CCIS Computer Laboratory, A. Mabini Campus, Sta. Mesa, Manila</t>
  </si>
  <si>
    <t>Construction /Improvement of Cabiguhan Covered Court</t>
  </si>
  <si>
    <t>Repair/Rehabilitation of One (1) Storey Multi-Purpose Building - PUP Mulanay Campus, Mulanay, Quezon</t>
  </si>
  <si>
    <t>Improvement &amp; Rehabilitation of 1 Km. Dapiawan - Sitio Kapulan Road</t>
  </si>
  <si>
    <t>Concreting of Barangay Road, Brgy. Indorohan, Badiangan, Iloilo</t>
  </si>
  <si>
    <t>COMPLETION WORKS FOR THE CONSTRUCTION OF HIGH SCHOOL BUILDING AT MNHS ANNEX , SOUTHVILLE 3, POBLACION, MUNTINLUPA CITY</t>
  </si>
  <si>
    <t>Supply and Delivery of Various Supplies to be used by the Field Election Officers for the 2020 Resumption of the Continuing Registration of Voters in connection with 2022 NLE &amp; BSKE, Lots 1 and 5 – 2n</t>
  </si>
  <si>
    <t>S1-CUL20-011 - Supply and Delivery of Electrical Spare Parts for 600kW Cummins KTA38-G1 for Culion Diesel Power Plant</t>
  </si>
  <si>
    <t>Concreting of Barangay Road, Brgy. San Julian, Badiangan, Iloilo</t>
  </si>
  <si>
    <t>Supply and Delivery of Brother HL-L5100DN Toner Cartridges to be used for the Overseas Registration Period</t>
  </si>
  <si>
    <t>Concreting of Barangay Road, Brgy. Poblacion-Guinawahan, Badiangan, Iloilo</t>
  </si>
  <si>
    <t>REHABILITATION &amp; EXPANSION OF BALILIHAN LEVEL III WATER SUPPLY SYSTEM AT BRGY. CABAD, BALILIHAN, BOHOL</t>
  </si>
  <si>
    <t>S1-CUY20-001 - Supply and Delivery of Spare Parts for 600kW Cummins Diesel Engine (Model: KTA 38) of Cuyo Diesel Power Plant</t>
  </si>
  <si>
    <t>S1-MRN20-002 - Supply and Delivery of Spare Parts Needed for Rehabilitation / Reforestation of Unit No.5 – 1000kW Cummins Model: KTA50-G9</t>
  </si>
  <si>
    <t>“Acquisition of One (1) Lot Health Care Services through Health Maintenance Organization</t>
  </si>
  <si>
    <t>Invitation to Bid for PROCUREMENT OF OFFICE EQUIPMENT AND FURNITURES</t>
  </si>
  <si>
    <t>Concreting of Barangay Road, Brgy. Agusipan, Badiangan, Iloilo</t>
  </si>
  <si>
    <t>RE BIDDING ON SUPPLY OF HOME CARE PACKS FOR SR CITIZEN</t>
  </si>
  <si>
    <t>PB20-021-1: Construction of New Clark City Connecting Road Package 1</t>
  </si>
  <si>
    <t>Supply and Delivery of Brand-New Desktop Computers for Issuance/Replacement of Defective/Beyond Economic Repair of Voter Registration Machines in Various Field Offices of the Commission</t>
  </si>
  <si>
    <t>SUPPLY AND DELIVERY OF VARIOUS I.T. EQUIPMENT (SECOND BIDDING)</t>
  </si>
  <si>
    <t>PURCHASE OF 100 KVA GENERATOR SET (San Luis, Aurora)</t>
  </si>
  <si>
    <t>RM Portable Handwashing</t>
  </si>
  <si>
    <t>S1-B2020-004 - Supply and Delivery of Mechanical Spare Parts for 1.8MW Daihatsu Generating Sets, Model: 6DK-32 of Power Barge 120</t>
  </si>
  <si>
    <t>S3-SIT20-002, S3-SCL20-017, S3-SIA20-004, S3-WSD20-006 - Supply and Delivery of Various Mechanical Spare Parts of Perkins Generator Sets of SPUG WMOD Plants</t>
  </si>
  <si>
    <t>Concreting of Barangay Road, Brgy. Sianon, Badiangan, Iloilo</t>
  </si>
  <si>
    <t>BARANGAY ELECTRIFICATION (SAN LUIS, AURORA)</t>
  </si>
  <si>
    <t>IMPROVEMENT/UPGRADING OF MUNICIPAL CIS(MLGU EQUITY TO ARISP lll PROJECT) @ BRGY. DOPAJ</t>
  </si>
  <si>
    <t>ITB FOR THE PROVISION OF FIRE ALARM</t>
  </si>
  <si>
    <t>ITB FOR THE COMMUNICATION LOAD</t>
  </si>
  <si>
    <t>Conversion of Dental/Medical  Clinic CY 2020</t>
  </si>
  <si>
    <t>PURCHASE OF 43 UNITS MULTI-PURPOSE VEHICLE FOR USE OF THE 43 BARANGAYS OF THE CITY OF BATAC</t>
  </si>
  <si>
    <t>PURCHASE OF OFFICE SUPPLIES AND EQUIPMENT FOR THE NEW RHU, TB-DOTS &amp; BIRTHING FACILITY - ALMERIA, BILIRAN</t>
  </si>
  <si>
    <t>REPAIR/REHABILITATION OF HANOPOL PUMPING STATION (BUGWAK) AT BRGY. STO. NIÑO, BALILIHAN, BOHOL</t>
  </si>
  <si>
    <t>PROCUREMENT OF ONE (1) UNIT SHREDDER MACHINE - ALMERIA, BILIRAN</t>
  </si>
  <si>
    <t>RE-BIDDING ON REHABILITATION OF EXISTING POTABLE WATER SUPPLY ( REPLACEMENT &amp; INSTALLATION OF SUBMERSIBLE PUMPS FOR DIFF. PUMPING STATION)</t>
  </si>
  <si>
    <t>CORE LOCAL ROAD REHABILITATION (CONCRETING OF CORE ROAD IN FRONT OF THE MUNICIPAL HALL) AT BRGY. DEL CARMEN SUR, BALILIHAN, BOHOL</t>
  </si>
  <si>
    <t>Construction of Multi-Purpose Building at Lipa City Community Park, Barangay 7, Lipa City</t>
  </si>
  <si>
    <t>REHABILITATION/IMPROVEMENT OF POBLACION-DALAYAP-MABIGA-O ROAD</t>
  </si>
  <si>
    <t>PURCHASE OF 3 UNITS BLACK &amp; WHITE COPIER AND 1 UNIT COLORED COPIER (SAN LUIS, AURORA)</t>
  </si>
  <si>
    <t>RE-BIDDING ON REHABILITATION OF EXISTING POTABLE WATER SUPPLY ( SUPPLY &amp; DELIVERY OF WATERWORKS SUPPLIES OF DIFF. PUMPING STATION)</t>
  </si>
  <si>
    <t>S1-LOD20-020 - Supply, Delivery, Installation and Test of One (1) Unit Passenger Elevator Assembly for SPUG-LOD Building at Minuyan, SJDM, Bulacan</t>
  </si>
  <si>
    <t>2020 - B5 -Project A- Various Hospital and Medical Equipment for the Province of Aurora (RHU2020) - 89,300.00</t>
  </si>
  <si>
    <t>Labor and Materials for the Construction of Multi-Purpose Building at Hidalgo Street, Barangay Poblacion 7, SJOM</t>
  </si>
  <si>
    <t>PURCHASE OF 1 UNIT MOTORBOAT AND ACCESSORIES (SAN LUIS, AURORA)</t>
  </si>
  <si>
    <t>2020 - B5 - Project G - Various Hospital and Medical Equipment for the Province of Zambales (RHU2020) - 4,695,600.00</t>
  </si>
  <si>
    <t>Construction of COVID-19 Rapid Testing Laboratory at Medical Arts Building, Ospital ng Lipa,   Lipa City</t>
  </si>
  <si>
    <t>2020 - B5 - Project C - Various Hospital and Medical Equipment for the Province of Bulacan (RHU2020) - 1,999,600.00</t>
  </si>
  <si>
    <t>2020 - B5 - Project B - Various Hospital and Medical Equipment for the Province of Bataan (RHU2020) - 1,199,975.00</t>
  </si>
  <si>
    <t>Improvement of Lipa City Community Park at Brgy. 7, Lipa City</t>
  </si>
  <si>
    <t>S1-BHP20-008 - Supply and Delivery of Spare Parts and Other Materials for Balongbong HEPP</t>
  </si>
  <si>
    <t>CONDUCT OF DREDGING AT SILTED WATERWAYS @ PRK. SINAMAR, BRGY. MANGAYANG</t>
  </si>
  <si>
    <t>S3-KDP20-007 - Supply and Delivery of Various Mechanical Spare Parts for Unit #1 600kW Perkins with Engine Model: 4006-23TAG2 and Engine No. DGBF6001U19544U</t>
  </si>
  <si>
    <t>REHABILITATION OF ALMERIA WATER SYSTEM (Construction of Reservoir and Pipelines) – SITIO BIASONG, BRGY. TALAHID, ALMERIA, BILIRAN</t>
  </si>
  <si>
    <t>PURCHASE OF VARIOUS MEDICAL SUPPLIES AND EQUIPMENT - ALMERIA, BILIRAN</t>
  </si>
  <si>
    <t>Construction of Reinforced Concrete Slope Protection for CY 2020</t>
  </si>
  <si>
    <t>COMPLETION OF ABC HALL AT BRGY. DEL CARMEN SUR, BALILIHAN, BOHOL</t>
  </si>
  <si>
    <t>2020 - B5 - Project E - Various Hospital and Medical Equipment for the Province of Pampanga (RHU2019 &amp; 2020) - 5,904,550.00</t>
  </si>
  <si>
    <t>CANAL LINING @ PRK. CALAOCAN FONTANILLA, BRGY. GABUT</t>
  </si>
  <si>
    <t>PURCHASE OF TRAINING SUPPLIES AND EQUIPMENT - ALMERIA, BILIRAN</t>
  </si>
  <si>
    <t>REBIDDING OF SUPPLY AND DELIVERY OF CONSTRUCTION  MATERIALS FOR THE RENOVATION OF TRAINING CENTER (PHASE II)</t>
  </si>
  <si>
    <t>2020 - B5 - Project D - Various Hospital and Medical Equipment for the Province of Nueva Ecija  (RHU2020) - 1,259,150.00</t>
  </si>
  <si>
    <t>Re-Bidding for the Supply &amp; Delivery of Medicines for MHO use</t>
  </si>
  <si>
    <t>Supply/Delivery of Standard ISO PE Pipes</t>
  </si>
  <si>
    <t>RIPRAPPING OF CREEK @ PRK. SINAMAR, BRGY. MANGAYANG</t>
  </si>
  <si>
    <t>Supply/Delivery of Food Packs</t>
  </si>
  <si>
    <t>Supply/Delivery of Latex Paint, 7 Liter White</t>
  </si>
  <si>
    <t>MALINIS AT MASAGANANG KARAGATAN (SAN LUIS, AURORA)</t>
  </si>
  <si>
    <t>PURCHASE AND DELIVERY OF  6-WHEELER DUMP TRUCK</t>
  </si>
  <si>
    <t>Procurement of Consulting Services of an Agency for Public Relations</t>
  </si>
  <si>
    <t>PROCUREMENT OF FUEL, OIL AND LUBRICANTS FOR USE OF LGU LIGHT VEHICLES AND HEAVY EQUIPMENTS (2ND QUARTER AND 3RD QUARTER 2020 – MOOE)</t>
  </si>
  <si>
    <t>Installation of Streetlights  (San Miguel – Dicklum)</t>
  </si>
  <si>
    <t>Rehabilitation of barangay roads at jardeleza subdivision and san vicente subdivision</t>
  </si>
  <si>
    <t>Construction of Various Projects - Package XI</t>
  </si>
  <si>
    <t>Hygiene Supplies for Personnel and Pupils</t>
  </si>
  <si>
    <t>RFQ-ANTI-PLAGIARISM SOFTWARE PR#20-07-0051</t>
  </si>
  <si>
    <t>Two lots Utility Vehicles</t>
  </si>
  <si>
    <t>MATERIALS FOR MODULAR LEARNING</t>
  </si>
  <si>
    <t>Construction of Various Projects - Package X</t>
  </si>
  <si>
    <t>CONSTRUCTION OF MUNICIPAL ICONS ON MOUNT KUDOS PHASE 2</t>
  </si>
  <si>
    <t>PURCHASE OF ONE (1) UNIT COLILERT MACHINE - ALMERIA, BILIRAN</t>
  </si>
  <si>
    <t>Installation of CCTV Cameras at accident prone areas within Poblacion Brgys.</t>
  </si>
  <si>
    <t>SUPPLY OF TWO (2) UNITS DIGITAL DUPLICATOR MACHINE</t>
  </si>
  <si>
    <t>Procurement of food supplies (meals and snacks, item 1 with venue and item 2 without venue -within Davao de Oro-B-20-0211</t>
  </si>
  <si>
    <t>Delivery of Office Equipment</t>
  </si>
  <si>
    <t>Construction of Tech4ED Building</t>
  </si>
  <si>
    <t>S2-ALD20-016 - Construction of Two-Storey Bunk House for Almagro DPP, Western Samar</t>
  </si>
  <si>
    <t>20EE0132-Repair/Maintenance of DPWH Building Super Area (Storage Room), Brgy. III, Roxas, Palawan</t>
  </si>
  <si>
    <t>PACKAGE 2020-26: CONSTRUCTION OF ACCESS ROAD GOING TO CHICO RIVER</t>
  </si>
  <si>
    <t>20GK0229 - Concreting of Brgy. Prosperidad FMR, Brgy. Prosperidad, San Carlos City, Negros Occidental</t>
  </si>
  <si>
    <t>Invitation to Bid Purchase of Office Appliances</t>
  </si>
  <si>
    <t>RENOVATION / IMPROVEMENT OF MUNICIPAL BUILDING</t>
  </si>
  <si>
    <t>HANDWASHING EQUIPMENT</t>
  </si>
  <si>
    <t>Invitation to Bid - Supply and Delivery of Toners with Free Use Printers for Pag-IBIG Fund Southern &amp; Southwestern Mindanao Group</t>
  </si>
  <si>
    <t>REQUEST FOR EXPRESSION OF INTEREST FOR THE Procurement of a Consultancy Service Provider (CSP) for the Review and Design of PDIC’s Organizational Structure and Staffing Pattern(OSSP)</t>
  </si>
  <si>
    <t>REHABILITATION OF FMR(PITOGO-AGUINING ROAD-BASE PREPARATION ONLY)</t>
  </si>
  <si>
    <t>PURCHASE OF PLASTIC MELTER WITH MOLDS</t>
  </si>
  <si>
    <t>Installation of Street Lighting System, Along National Highway &amp; City Streets, Tacurong City</t>
  </si>
  <si>
    <t>REPAIR OF 2ND FLOOR OF OLD MUNICIPAL BUILDING FOR ISOLATION</t>
  </si>
  <si>
    <t>SUPPLY &amp; DELIVERY OF 7 UNITS HEAVY DUTY  INK JET PRINTER</t>
  </si>
  <si>
    <t>PROCUREMENT OF SUPPLY &amp; DELIVERY OF CORN SEEDS FOR FOOD SECURITY (COVID 19) BY LOT</t>
  </si>
  <si>
    <t>CONTRACT ID: 20-07-097- PROCUREMENT OF PCR TEST KIT FOR COVID 19</t>
  </si>
  <si>
    <t>ITB - One (1) Lot Hazardous Waste Transport and Treatment (P.R. No. 20-02-70191)</t>
  </si>
  <si>
    <t>Supply and Delivery of Clamp Meter, Pump &amp; Tester use for Water Treatment Facility</t>
  </si>
  <si>
    <t>ITB - Arterial Blood Gas Reagent (P.R. No. 20-06-70506)</t>
  </si>
  <si>
    <t>Procurement of Supply &amp; Delivery of 5,500 heads Native Chicken</t>
  </si>
  <si>
    <t>Procurement of Supply &amp; Delivery of NSIC Approved GM Hybrid Yellow Corn Seeds</t>
  </si>
  <si>
    <t>Procurement of Supply &amp; Delivery of Piglets (Typhoon Ursula) Rebid</t>
  </si>
  <si>
    <t>SUPPLY AND DELIVERY OF ELECTRICAL ITEMS USE FOR WATER TREATMENT PLANT</t>
  </si>
  <si>
    <t>SUPPLY, DELIVERY, INSTALLATION, TESTING AND COMMISSIONING OF 80-TON CAPACITY TRUCKSCALE WITH TRUCKSCALE HOUSE IN TABACO, ALBAY</t>
  </si>
  <si>
    <t>CONCRETING OF ACCESS ROAD (POBLACION)</t>
  </si>
  <si>
    <t>20EE0128-Repair/Maintenance of DPWH Building, Langogan Resthouse, Brgy. Langogan, Puerto Princesa City, Palawan</t>
  </si>
  <si>
    <t>Purchase of Emergency Medical Service for MDRR Use</t>
  </si>
  <si>
    <t>PURCHASE OF ONE (1) LOT CONSTRUCTION SUPPLIES</t>
  </si>
  <si>
    <t>2020 - B5 - Project F - Various Hospital and Medical Equipment for the Province of Tarlac (RHU2019) - 5,068,700.00</t>
  </si>
  <si>
    <t>Construction of Covered Palay Mechanical Dryer Housing and its Miscellaneous, Municipal Warehouse with MPDP Area, Brgy. Cabanbanan, Manaoag, Pangasinan</t>
  </si>
  <si>
    <t>20A00216: Rehabilitation of Sta. Rosa-Calincamasan Road, Brgys. Sta. Rosa and Calincamasan, San Juan, La Union</t>
  </si>
  <si>
    <t>Proposed Installation of Traffic Lights along Maharlika Highway at Brgy. San Roque-San Rafael, San Pablo City.</t>
  </si>
  <si>
    <t>PURCHASE OF ONE (1) UNIT HIGH-SPEED INKJET PRINTER WITH CONSUMABLES (INK)</t>
  </si>
  <si>
    <t>Supply and Delivery of Office Equipment and Apparatus</t>
  </si>
  <si>
    <t>PURCHASE OF ONE (1) UNIT BRAND NEW WATER TANKER TRUCK</t>
  </si>
  <si>
    <t>INSTALLATION OF HORIZONTAL STRUT AND CANOPY OF VILLANUEVA COVERED COURT</t>
  </si>
  <si>
    <t>CONST./ IMPROVEMENT OF VILLANUEVA MUNICIPAL COMPLEX (PHASE 4)</t>
  </si>
  <si>
    <t>PROCUREMENT OF FUEL, OI AND LUBRICANTS</t>
  </si>
  <si>
    <t>Invitation to Bid Purchase of Drugs and Medicine</t>
  </si>
  <si>
    <t>Procurement of Supply &amp; Delivery of 200 heads Goat</t>
  </si>
  <si>
    <t>SUBMERSIBLE PUMP W FRANKLIN COUPLE</t>
  </si>
  <si>
    <t>Supply and delivery of 1 unit brand new service  diesel engine</t>
  </si>
  <si>
    <t>ITB - One (1) Job One (1) Year Hauling of Non-infectious (Wet &amp; Dry) Waste from Corazon Locsin Montelibano Memorial Regional Hospital (CLMMRH) to the Authorized /Designated City Dumpsite (P.R. No. 20-</t>
  </si>
  <si>
    <t>Purchase of Multicab (Recon)</t>
  </si>
  <si>
    <t>20KI0094 Contract Name	: Concreting of Brgy. Macubon to Brgy. Calube FMR,  			  Brgy. Macubon, Aloran, Misamis Occidental</t>
  </si>
  <si>
    <t>ITB - One (1) Lot One (1) Year Outsourcing of Janitorial Services (P.R. No. 20-04-70425)</t>
  </si>
  <si>
    <t>ITB 20-0071 - Supply and Delivery of 36 units Duplicating Machine.</t>
  </si>
  <si>
    <t>SUPPLY AND DELIVERY OF WATER MATERIALS USE FOR WATER TREATMENT PLANT FACILITY &amp; EQUIPMENTS</t>
  </si>
  <si>
    <t>20GM0082 - Construction of One(1) Unit, Two (2) Storey, Six (6) Classrooms School Building at Inapoy NHS, Kabankalan City, Negros Occidental.</t>
  </si>
  <si>
    <t>PURCHASE OF EIGHT (8) UNITS VEHICLES, CMO, CALBAYOG CITY</t>
  </si>
  <si>
    <t>20A00214: Rehabilitation of Calincamasan - Quidem Road (including construction of two bridges), Brgys. Calincamasan and Quidem, San Juan, La Union</t>
  </si>
  <si>
    <t>ITB - One (1) Lot CT Scan Machine (At least 64-slice) (P.R. No. 20-04-70407)</t>
  </si>
  <si>
    <t>PROCUREMENT OF MOTOR VEHICLE</t>
  </si>
  <si>
    <t>20KI0093 Contract Name	: Concreting of Brgy. Sta. Cruz to Brgy. Puntod FMR,  			  Brgy. Sta. Cruz and Brgy. Puntod, Plaridel, Misamis Occidental</t>
  </si>
  <si>
    <t>ITB - One Lot Integrated Hospital Information System (P.R. No. 20-06-70580)</t>
  </si>
  <si>
    <t>PURCHASE OF ONE (1) UNIT SERVICE VEHICLE, CEO, CALBAYOG CITY</t>
  </si>
  <si>
    <t>ITB - Various CSSD Supplies (P.R. No.  20-06-70515)</t>
  </si>
  <si>
    <t>Widening of Barangay Roads, Purok Sampaguita, Brgy. New Isabela, City of Tacurong</t>
  </si>
  <si>
    <t>20GM0081 -Construction of One(1) Unit, Two (2) Storey, Four (4) Classrooms School Building at Tabu ES, Ilog, Negros Occidental.</t>
  </si>
  <si>
    <t>Invitation to Bid Purchase of IT Equipments</t>
  </si>
  <si>
    <t>REHABILITATION/ CONSTRUCTION OF PALITUD BRIDGE</t>
  </si>
  <si>
    <t>Supply and Delivery of 1-unit Sports Utility Vehicle for Bicol University (2nd)</t>
  </si>
  <si>
    <t>Installation of 25 Streetlights at Brgy. Rosario and Installation of 50 Streetlights at Brgy. Salvacion (Tandag City,  Surigao del Sur ).</t>
  </si>
  <si>
    <t>20GKI0032 (Public Bidding) Contract Name: Furnishing of Materials for Work Category No. 10 – Pavement Maintenance 		  Act. 113 – Sealing of Bituminous Pavements,  		  Oroquieta-Plaridel-Calamba-Sapang</t>
  </si>
  <si>
    <t>IMPROVEMENT OF SAMOKI RIVERSIDE ROAD, BONTOC</t>
  </si>
  <si>
    <t>ITB - Various CSSD Supplies (P.R. No.  20-06-70507)</t>
  </si>
  <si>
    <t>Supply and Delivery of 7 Units Aircon</t>
  </si>
  <si>
    <t>Improvement of Victoria- Duma-duma Road (Tago, Surigao del Sur  ).</t>
  </si>
  <si>
    <t>Supply and Delivery of 8 Units Laptop</t>
  </si>
  <si>
    <t>ITB - Various CSSD Supplies (P.R. No.  20-06-70578)</t>
  </si>
  <si>
    <t>Improvement of Carmen – Embarkadero Road ( Carmen, Surigao del Sur  ).</t>
  </si>
  <si>
    <t>ITB - Various CSSD Supplies (P.R. No.  20-06-70513)</t>
  </si>
  <si>
    <t>PROCUREMENT OF GOODS: VARIOUS HOSPITAL EQUIPMENT (HFEP 2020) - ONE (1) UNIT STEAM STERILIZER (IB 2020-27)</t>
  </si>
  <si>
    <t>Provision of Freshwater for Municipal Hatchery</t>
  </si>
  <si>
    <t>Supply and Delivery of Furnitures and Fixtures</t>
  </si>
  <si>
    <t>ITB - Various CSSD Supplies (P.R. No.  20-06-70564)</t>
  </si>
  <si>
    <t>Supply and Delivery of 16 Units Computer Desktop and 8 Units Printer</t>
  </si>
  <si>
    <t>Procurement of Supply and Delivery of Office  Supplies</t>
  </si>
  <si>
    <t>20GFD0014 – Proposed Outsourcing of Security Services for DPWH Camarines Sur 1st DEO, Baras, Canaman, Camarines Sur</t>
  </si>
  <si>
    <t>Supply and Delivery of Materials for the Installation of Three (3) Phase Line and Electrical Rewiring</t>
  </si>
  <si>
    <t>ITB - Various CSSD Supplies (P.R. No.  20-06-70548)</t>
  </si>
  <si>
    <t>Supply and Delivery of 6 Units Split Type Aircon</t>
  </si>
  <si>
    <t>Procurement of Tools, Utensils &amp; Equipment Needed for Cookery, Bread &amp; Pastry and Food &amp; Beverage Services for Senior High</t>
  </si>
  <si>
    <t>Supply and Delivery of Rescue Truck</t>
  </si>
  <si>
    <t>ITB - Various CSSD Supplies (P.R. No.  20-06-70563)</t>
  </si>
  <si>
    <t>Concreting of Burgos Damsite Road (Phase I), Cortes,  Surigao del Sur.</t>
  </si>
  <si>
    <t>20GKI0031 (Public Bidding) Contract Name: Furnishing of Materials for Work Category No. 10 – Pavement Maintenance 		  Act. 503 – Indirect Cost Work or Expenses Purchase of Tents (Lakbay Alalay Program</t>
  </si>
  <si>
    <t>ITB - Bond Paper (Long and Short) (P.R. No.  20-07-70670)</t>
  </si>
  <si>
    <t>ITB - Various CSSD Supplies (P.R. No.  20-06-70569)</t>
  </si>
  <si>
    <t>PURCHASE AND DELIVERY OF 4X4 MULTICAB (CARGO TRUCK)" SURPLUS"</t>
  </si>
  <si>
    <t>ITB - Various CSSD Supplies (P.R. No.  20-06-70509)</t>
  </si>
  <si>
    <t>ITB - Various CSSD Supplies (P.R. No.  20-06-70544)</t>
  </si>
  <si>
    <t>INVITATION TO BID FOR THE SUPPLY AND DELIVERY  OF 1 UNIT BRAND NEW DROPSIDE TRANSPORT VEHICLE FOR  ENVIRONMENTAL AND MANAGEMENT PROTECTION IN OROQUIETA CITY</t>
  </si>
  <si>
    <t>ITB - Various Housekeeping Supplies (P.R. No.  20-06-70573)</t>
  </si>
  <si>
    <t>Procurement of Office Supplies for the use of Dr. Rafael S. Tumbokon Memorial Hospital-EEDD, Kalibo, Aklan /ITB no: 2020-391</t>
  </si>
  <si>
    <t>SUPPLY AND DELIVERY OF MATERIALS FOR RELOCATION OF WATER METER, HYDRANT AND PIPE AFFECTED BY THE DPWH WIDENING PROJECT</t>
  </si>
  <si>
    <t>ITB 20-0043-A - Supply and Delivery of Various Drugs &amp; Medicines.</t>
  </si>
  <si>
    <t>20LA0353 Installation of Internally Illuminated (Solar) Pavement Levelled Marker/Studs Flush Type along Daang Maharlika Road. (Intermittent Section), Davao de Oro</t>
  </si>
  <si>
    <t>ITB - Various Housekeeping Supplies (P.R. No.  20-06-70574)</t>
  </si>
  <si>
    <t>Purchase of Emergency Medical Service for Rural Health Unit Use</t>
  </si>
  <si>
    <t>(SBMA-BAC-CONS-RFEI-20-02) CONSULTANCY SERVICES FOR THE CONDUCT OF A REGULATORY AUDIT OF SUBIC BAY WATER AND SEWERAGE CO. ("SUBIC WATER") FOR WATER SUPPLY RATE ADJUSTMENTS</t>
  </si>
  <si>
    <t>ITB - Various Medical Oxygen (P.R. No.  20-07-70685)</t>
  </si>
  <si>
    <t>ITB - One (1) Lot One (1) Year Outsourcing of Security Services (P.R. No. 20-03-70272)</t>
  </si>
  <si>
    <t>20A00213: Concreting of Farm to Market Road, Brgy. Tangaoan, Piddig, Ilocos Norte</t>
  </si>
  <si>
    <t>ITB - One (1) Lot Wireless Retrofit Direct Radiography System with PACS and RIS (P.R. No. 20-05-70501)</t>
  </si>
  <si>
    <t>SUPPLY AND DELIVERY OF DIESEL GENERATOR SET USE FOR WATER TREATMENT FACILITY PLANT</t>
  </si>
  <si>
    <t>Construction of Comport Room - Brgy. New Dapitan</t>
  </si>
  <si>
    <t>Procurement of Supply &amp; Delivery of 56 heads Caracows (Typhoon Ursula) Rebid</t>
  </si>
  <si>
    <t>20A00217: Rehabilitation/ Reconstruction of Roads with Slips, Slope Collapse,and Landslide - Secondary Roads, Tagudin - Cervantes Road (S00140LZ)</t>
  </si>
  <si>
    <t>PROCUREMENT OF BRAND NEW DUMP TRUCK</t>
  </si>
  <si>
    <t>20A00212: Concreting of Farm to Market Road, Brgy. Boyboy, Piddig, Ilocos Norte</t>
  </si>
  <si>
    <t>ITB - Rice (White Special Rice 50kg per sack) (P.R. No. 20-06-70545)</t>
  </si>
  <si>
    <t>20A00215: Rehabilitation/ Reconstruction of Roads with Slips, Slope Collapse, and Landslide - Tertiary Roads, Cervantes - Mankayan - Abatan Road  - K0389+800 - K0390+914</t>
  </si>
  <si>
    <t>COMPLETION OF MUNICIPAL BUILDING</t>
  </si>
  <si>
    <t>PROCUREMENT OF BRAND NEW MOTORCYCLES</t>
  </si>
  <si>
    <t>PROCUREMENT OF ONE (1) YEAR MAINTENANCE OF DICT FIBER OPTIC CABLE (FOC) NETWORK IN ILOILO CITY</t>
  </si>
  <si>
    <t>ITB for the replacement of Water Tank</t>
  </si>
  <si>
    <t>PROCUREMENT OF GOVERNMENT VEHICLES</t>
  </si>
  <si>
    <t>ROAD OPENING AT SIDE BASUH RESIDENCE TO SS SIGNAGE</t>
  </si>
  <si>
    <t>PROCUREMENT OF MATERIALS FOR THE ESTABLISHMENT OF BARANGAY ISOLATION UNIT (BIU)</t>
  </si>
  <si>
    <t>Supply, Delivery, Installation and Commissioning of Various Material Handling Units, as per BSP Technical Specifications and Terms of Reference, including Equipment Handling/Safety Seminar/Training of</t>
  </si>
  <si>
    <t>ROAD OPENING AT SIDE BASUH RESIDENCE TO SS - COCO LUMBER</t>
  </si>
  <si>
    <t>AFP Basing Support System Project - Construction of Five (5) Units 16-Door Door Condominium with Roof Deck at Camp General Emilio Aguinaldo, Quezon City</t>
  </si>
  <si>
    <t>CONSTRUCTION OF MULTI-PURPOSE COVERED COURT (PHASE 1) AT MUNTINLUPA ELEMENTARY SCHOOL, BRGY. POBLACION, MUNTINLUPA CITY</t>
  </si>
  <si>
    <t>CONSTRUCTION OF ROAD AND DRAINAGE SYSTEM AT SOUTH GREENHEIGHTS, BRGY. PUTATAN, MUNTINLUPA CITY</t>
  </si>
  <si>
    <t>Const. or River Protection @ Cabadiangan</t>
  </si>
  <si>
    <t>SUPPLY, DELIVERY &amp; INSTALLATION OF AIRCONDITIONERS FOR VARIOUS HEALTH FACILITIES IN MUNTINLUPA CITY</t>
  </si>
  <si>
    <t>CONCRETING OF LOCAL ROAD JUNCTION PROVINCIAL ROAD TO OSORIO ROAD - SIGNAGE</t>
  </si>
  <si>
    <t>RENT OF PRINTER WITH CONTINUOUS INK TO BE USED AT OSPITAL NG MUNTINLUPA (*RE-POSTED)</t>
  </si>
  <si>
    <t>CONSTRUCTION OF DRAINAGE SYSTEM AT PANCE</t>
  </si>
  <si>
    <t>Construction/Rehabilitation of Line Canal Along Rizal Street, Brgy. Poblacion 5, Calauag, Quezon</t>
  </si>
  <si>
    <t>REBIDDING FOR THE PROCUREMENT OF  WAREHOUSE HANDLING (AND ALLIED) SERVICES FOR GRAINSFOR NFA REGION 14 FOR CALENDAR YEAR2020</t>
  </si>
  <si>
    <t>20HB0169 Concreting of Sitio Tawid, Brgy. Mayuga to Brgy. Biabas FMR, Mayuga and Brgy. Biabas, Guindulman, Bohol Sta.0+954.55 – Sta.1+068.00; Sta.1 +840.00 – Sta.1+943.86; Sta.2+082.15 – Sta.2+251.81</t>
  </si>
  <si>
    <t>Repair of Classrooms under Quick Response Fund (QRF) CY 2020</t>
  </si>
  <si>
    <t>Construction of Pathways with Basketball Half Court, Brgy. Napindan, Taguig City</t>
  </si>
  <si>
    <t>Improvement and Rehabilitation of 1 Km. Madia-Sambolawan Access Road</t>
  </si>
  <si>
    <t>SUPPLY AND DELIVERY OF THREE (3) UNITS SINGLE MOTORCYCLE W/ ACCESSORIES FOR VARIOUS OFFICES - TWO FAILED BIDDING</t>
  </si>
  <si>
    <t>UPGRADING/IMPROVEMENT/REHAB OF LAYA BALONG, LAYA-BALONG BOUNDARY ROAD</t>
  </si>
  <si>
    <t>Supply and Delivery of Hardware and Construction Supplies/Materials (Concreting of Critical Slope - Malbog) Re-Bidding</t>
  </si>
  <si>
    <t>Supply and Delivery of Pre &amp; Post Chlorine Dosing Pump &amp; Water Materials use for Water Treatment Plant</t>
  </si>
  <si>
    <t>ITB - Various Operating Room Instruments (P.R. No. 20-06-70514)</t>
  </si>
  <si>
    <t>RM Library Hub</t>
  </si>
  <si>
    <t>PROGRAMS, PROJECTS AND ACTIVITIES TO ADDRESS THE CORONA VIRUS DISEASE 2019 (COVID 19) SITUATION, FOOD, ASSISTANCE AND RELIEF GOODS FOR THE AFFECTED HOUSEHOLDS	(Purchase of Rice)</t>
  </si>
  <si>
    <t>CP 2020-48 BIDDING FOR THE SUPPLY AND DELIVERY OF LAPTOPS FOR VARIOUS DEPARTMENTS</t>
  </si>
  <si>
    <t>ITB - Five (5) units Defibrillator (P.R. No. 20-06-70549)</t>
  </si>
  <si>
    <t>CP 2020-47 BIDDING FOR THE SUPPLY AND DELIVERY OF VARIOUS PRINTERS FOR VARIOUS DEPARTMENTS</t>
  </si>
  <si>
    <t>CP 2020-46 BIDDING FOR THE SUPPLY AND DELIVERY OF DESKTOP COMPUTERS FOR VARIOUS DEPARTMENTS</t>
  </si>
  <si>
    <t>ITB - Various CSSD Supplies (P.R. No.  20-07-70640)</t>
  </si>
  <si>
    <t>ITB - Various CSSD Supplies (P.R. No.  20-07-70643)</t>
  </si>
  <si>
    <t>INVITATION TO BID-Construction of Academic Building III</t>
  </si>
  <si>
    <t>SUPPLY AND DELIVERY OF VARIOUS MATERIALS, FUEL AND OIL FOR GRAVELLING/MAINTENANCE OF BARANGAY ROADS</t>
  </si>
  <si>
    <t>ITB - Various CSSD Supplies (P.R. No.  20-07-70639)</t>
  </si>
  <si>
    <t>ITB - Various CSSD Supplies (P.R. No.  20-06-70583)</t>
  </si>
  <si>
    <t>Procurement of supply and delivery of Laboratory Supplies</t>
  </si>
  <si>
    <t>ITB - Laboratory Supplies and Reagents (Clinical Chemistry Section) (P.R. No. 20-06-70526)</t>
  </si>
  <si>
    <t>ITB - Laboratory Supplies and Reagents (Clinical Microscopy Section) (P.R. No. 20-06-70584)</t>
  </si>
  <si>
    <t>CONSTRUCTION OF FARM TO MARKET ROAD (Brgy. Coral)</t>
  </si>
  <si>
    <t>Procurement of supply and delivery of NSIC Approved Genetically Modified Hybrid Yellow Corn Seeds</t>
  </si>
  <si>
    <t>MDRRMF CLUSTER 5-2020 PROJECTS AT PAOAY, ATOK, BENGUET</t>
  </si>
  <si>
    <t>Supply and Delivery of One (1) Unit 11 Footer Light Truck, Single Cab, Drop Side</t>
  </si>
  <si>
    <t>ITB - Laboratory Supplies and Reagents (Clinical Microscopy Section) (P.R. No. 20-06-70524)</t>
  </si>
  <si>
    <t>PB INFRA 20-048_Energization of Malng District Hospital (New Building) Three Phase Line ,Poblacion, Mlang, Cotabato</t>
  </si>
  <si>
    <t>ITB - Laboratory Supplies and Reagents (Histopathology Section) (P.R. No. 20-06-70523)</t>
  </si>
  <si>
    <t>ITB - Laboratory Supplies and Reagents (Histopathology Section) (P.R. No. 20-06-70519)</t>
  </si>
  <si>
    <t>Improvement of Libas Sud-Baras Road ( San Miguel, Surigao del Sur  ).</t>
  </si>
  <si>
    <t>ITB - Laboratory Supplies and Reagents (Histopathology Section) (P.R. No. 20-06-70522)</t>
  </si>
  <si>
    <t>ITB - Laboratory Supplies and Reagents (Histopathology Section) (P.R. No. 20-06-70520)</t>
  </si>
  <si>
    <t>ITB - Laboratory Supplies and Reagents (Bacteriology Section) (P.R. No. 20-06-70503)</t>
  </si>
  <si>
    <t>ITB - Laboratory Supplies and Reagents (Bacteriology Section) (P.R. No. 20-06-70505)</t>
  </si>
  <si>
    <t>ITB - Laboratory Supplies and Reagents (Bacteriology Section) (P.R. No. 20-06-70504)</t>
  </si>
  <si>
    <t>ITB - Laboratory Supplies and Reagents (Histopathology Section) (P.R. No. 20-06-70521)</t>
  </si>
  <si>
    <t>ITB - Two (2) Units of Ambulance with Advance Life Support (P.R. No. 20-06-70650)</t>
  </si>
  <si>
    <t>ITB - Laboratory Supplies and Reagents (Blood Bank Section) (P.R. No. 20-06-70528)</t>
  </si>
  <si>
    <t>PB INFRA 20-062_Concreting of Sinawingan Road, Libungan, Cotabato</t>
  </si>
  <si>
    <t>PB INFRA 20-052_Completion of Covered Court, Flauta Elementary School, Lower Glad, Midsayap, Cotabato</t>
  </si>
  <si>
    <t>ITB - Drugs and Medicines (P.R. No. 20-06-70123)</t>
  </si>
  <si>
    <t>PB INFRA 20-059_Concreting of Road, Nalin, Midsayap, Cotabato</t>
  </si>
  <si>
    <t>Supply and Delivery of Multifarious Hardware Materials</t>
  </si>
  <si>
    <t>PB INFRA 20-051_Completion of Covered Court, Bagontapay High School, Bagontapay, Mlang, Cotabato</t>
  </si>
  <si>
    <t>PB INFRA 20-063_Construction of Potable Water System Project, Camp Bulatukan, Brgy Old Bulatukan, Makilala, Coatabto</t>
  </si>
  <si>
    <t>ITB - Drugs and Medicines (P.R. No. 20-06-70558)</t>
  </si>
  <si>
    <t>ITB - Laboratory Supplies and Reagents (Blood Bank Section) (P.R. No. 20-06-70532)</t>
  </si>
  <si>
    <t>ITB - Drugs and Medicines (P.R. No. 20-06-70555)</t>
  </si>
  <si>
    <t>Repair and Rehabilitation of Magsaysay Halfway House Facility at Municipal Health Center Site, Magsaysay, Davao del Sur</t>
  </si>
  <si>
    <t>Repair of Barayong Barangay Health Station at Barayong, Magsaysay, Davao del Sur</t>
  </si>
  <si>
    <t>Construction of Dalumay Barangay Health Station And IEC (Information Educational Communication &amp; Campaign Area) &amp; Construction of Perimeter Fence</t>
  </si>
  <si>
    <t>Purchase of  Tractor Trailer</t>
  </si>
  <si>
    <t>ITB - Drugs and Medicines (P.R. No. 20-06-70559)</t>
  </si>
  <si>
    <t>REHABILITATION OF BARANGAY ROAD</t>
  </si>
  <si>
    <t>CONSTRUCTION OF MALONGON BARANGAY HEALTH STATION AND IEC (INFORMATION EDUCATIONAL COMMUNICATION AND CAMPAIGN AREA) AND CONSTRUCTION OF PERIMETER FENCE</t>
  </si>
  <si>
    <t>Procurement of CY 2020 SND’s Mementos and Other Giveaways</t>
  </si>
  <si>
    <t>Delivery of various materials for the repair and maintenance of barangay hall</t>
  </si>
  <si>
    <t>IB 2020-15 Procurement of Internet Service Provider (ISP) for the Benguet State University, La Trinidad Campus, La Trinidad, Benguet</t>
  </si>
  <si>
    <t>Procurement of Materials for Repair of 3 Door WatSan Comfort Room</t>
  </si>
  <si>
    <t>Purchase of Various Construction Supplies for Repair and Renovation of Water System Facilities</t>
  </si>
  <si>
    <t>20GFC0030: Equipment Rental along Sta. Elena – Labo – Basud Daang Maharlika Camarines Norte, Sta. Elena, Labo, Basud, Camarines Norte</t>
  </si>
  <si>
    <t>ITB - Drugs and Medicines (P.R. No. 20-06-70541)</t>
  </si>
  <si>
    <t>20GFC0029: Purchase of Materials for the Road Reblocking along K0334+000 – K0336+500 Talobatib – Jose Panganiban Pob. – Port Road, K0334+000 – K0336+500, Jose Panganiban, Camarines Norte</t>
  </si>
  <si>
    <t>20GFC0028: Purchase of Fuel and Lubricants for use in Various Service Vehicle and Equipment, DPWH-CNDEO (Quality Assurance Section)</t>
  </si>
  <si>
    <t>CONCRETING OF LOCAL ROAD FROM OLD ICE PLANT BARAH RES. - Mountain Quarry</t>
  </si>
  <si>
    <t>20GFC0026: Purchase of Materials for the Fabrication of Guardrail/Guardblock Reflective Bracket and Reflective Post, DPWH-CNDEO Maintenance Section</t>
  </si>
  <si>
    <t>CONCRETING OF LOCAL ROAD FROM OLD ICE PLANT BARAH RES.</t>
  </si>
  <si>
    <t>Development and Beautification of Matingkis Tourism Site</t>
  </si>
  <si>
    <t>Repair of Chilled and Condenser Water Piping System for the  Air Handling Units at the Cash Department, Multi-Storey  Building, BSP Head Office, as per BSP Terms of Reference</t>
  </si>
  <si>
    <t>20EB0131: Construction of Evacuation Center, Sitio Looban, Barangay Tanyag, Calintaan, Occidental Mindoro</t>
  </si>
  <si>
    <t>20EB0130: Construction of Evacuation Center, Sitio Pambuhan, Barangay San Vicente, Abra de Ilog, Occidental Mindoro</t>
  </si>
  <si>
    <t>PB INFRA 20-050_Construction of Multi-Purpose Building, Poblacion 2, Midsayap, Cotabato</t>
  </si>
  <si>
    <t>20EB0129: Concreting of Brgy. Mapaya FMR, Brgy. Mapaya, San Jose, Occidental Mindoro</t>
  </si>
  <si>
    <t>Invitation to Bid for the Concreting of FMR/ Local Road (Upgrading) Improvement of Zamora St., Acilo St. (Portion only) and Concrete Alley.</t>
  </si>
  <si>
    <t>SUPPLY AND DELIVERY OF LNP 40 LIQUID NITROGEN PLANT - WATER COOLED SYSTEM TO BE USED IN ARTIFICIAL INSEMINATION PROGRAM UNDER LIVESTOCK PROGRAM FOR CY 2020</t>
  </si>
  <si>
    <t>Supply and Delivery of Various Office Equipment and Paraphernalia</t>
  </si>
  <si>
    <t>Supply and delivery of materials for the Street Lighting</t>
  </si>
  <si>
    <t>20GFC0027: Purchase of Asphalt Pocket, DPWH-CNDEO Maintenance Section</t>
  </si>
  <si>
    <t>PROJECT 1 - Procurement and Delivery of Insecticide and Long Lasting Insecticide Nets for Dengue and Malaria Control Program in Region 1</t>
  </si>
  <si>
    <t>20EB0128: Concreting of Brgy. Lourdes FMR, Brgy. Lourdes, Magsaysay, Occidental Mindoro</t>
  </si>
  <si>
    <t>ITB - Various CSSD Supplies (P.R. No.  20-06-70631)</t>
  </si>
  <si>
    <t>PROJECT 2 - Procurement and Delivery of Insecticide for Dengue and Malaria Control Program in Region 1</t>
  </si>
  <si>
    <t>SUPPLY AND DELIVERY OF 4,000 SACHETS FALL ARMY-LURE (PHEROMONE LURE) TO BE USED FOR THE PREVENTION AND CONTROL MANAGEMENT AGAINST FALL ARMYWORM UNDER CORN PROGRAM FOR CY 2020(REBID)</t>
  </si>
  <si>
    <t>2020-171-I PROCUREMENT AND DELIVERY OF  1,901 BAGS OF GM HYBRID YELLOW CORN SEEDS FOR  LOW ELEVATION CORN AREAS</t>
  </si>
  <si>
    <t>Invitation to Bid for the Supply and Delivery of Branded and Brand New Printers and Consumables</t>
  </si>
  <si>
    <t>Provision of Manpower Services (Clerk, Housekeeping, Driver/Messenger, and Messenger)</t>
  </si>
  <si>
    <t>INVITATION TO BID FOR THE CONTRACT FOR THE SUPPLY AND DELIVERY OF ONE (1) UNIT BRAND NEW PASSENGER VAN AND ONE (1) UNIT BRAND NEW ASIAN UTILITY VEHICLE/CROSSOVER</t>
  </si>
  <si>
    <t>PROCUREMENT OF GOODS: INFUSION PUMP (IB 2020-31)</t>
  </si>
  <si>
    <t>PROCUREMENT OF GOODS: ANESTHESIA MACHINE WITH PATIENT MONITOR AND PORTABLE SUCTION MACHINE (IB 2020-30)</t>
  </si>
  <si>
    <t>PROCUREMENT OF GOODS: TARGET CONTROLLED INFUSION SYRINGE PUMP (IB 2020-29)</t>
  </si>
  <si>
    <t>Procurement of Civil Works (Repair/Improvement of Legislative Building)</t>
  </si>
  <si>
    <t>SUPPLY AND DELIVERY OF 1,022 BAGS HYBRID YELLOW CORN SEEDS TO COVER FUNDING REQUIREMENTS FOR THE IMPLEMENTATION OF PROGRAMS IN SUPPORT TO COVID-19 UNDER CORN PROGRAM FOR CY 2020</t>
  </si>
  <si>
    <t>2020-153-I PROCUREMENT AND DELIVERY OF  FREE-RANGE CHICKEN UNDER NLP AND SAAD PROGRAM FOR CY 2020</t>
  </si>
  <si>
    <t>PROCUREMENT OF GOODS:  2-D ECHO MACHINE WITH ONE (1) ADULT TRANSTHORACIC PROBE, (1) PEDIATRIC TRANSTHORACIC PROBE, ONE (1) ABDOMINAL CURVILINEAR PROBE, AND (1) NEONATAL AND ONE (1) PEDIATRIC TRANSESOP</t>
  </si>
  <si>
    <t>20GFC0031: Equipment Rental for Re-Blocking along K0334+000 – K0336+500 Talobatib – Jose Panganiban Poblacion – Port Road, K0334+000 – K0336+500, Jose Panganiban, Camarines Norte</t>
  </si>
  <si>
    <t>PROCUREMENT OF DRINKING WATER</t>
  </si>
  <si>
    <t>CONCRETING OF ROAD SHOULDER</t>
  </si>
  <si>
    <t>PROCUREMENT FOR OFFICE SUPPLIES FOR LEARNING MODULE</t>
  </si>
  <si>
    <t>FABRICATION AND SUPPLY OF G.I. FRANCHISE PLATE @ City Franchising Office</t>
  </si>
  <si>
    <t>PROCUREMENT OF GOODS:   C-ARM  (IB 2020-32)</t>
  </si>
  <si>
    <t>Concreting of Barangay Road, Brgy. Amontay</t>
  </si>
  <si>
    <t>SUPPLY OF OFFICE PARTITION (INCLUDES INSTALLATION) AT MUNICIPAL TREASURER’S OFFICE</t>
  </si>
  <si>
    <t>PROCUREMENT FOR ID WITH CORD</t>
  </si>
  <si>
    <t>CONSTRUCTION OF STOCK ROOM</t>
  </si>
  <si>
    <t>Procurement of Security Services for PSA - RSSO I and PSOs</t>
  </si>
  <si>
    <t>PROCUREMENT FOR OFFICE SUPPLIES</t>
  </si>
  <si>
    <t>Construction of Canopy</t>
  </si>
  <si>
    <t>Contract ID: 20JH0064 Repair/Maintenance of DPWH Building AES Main Building (Porch) Old Motorpool, Isabela City, Basilan</t>
  </si>
  <si>
    <t>20FO0106 - Construction of Bridge with Road Approachment and Slope Protection Leading to Kawakawa Natural Park and Proposed New Government Centers, Ligao City, Albay</t>
  </si>
  <si>
    <t>Construction of Farm to Market Road, Brgy. Camagong</t>
  </si>
  <si>
    <t>Supply &amp; Delivery of Various Agricultural &amp; Marine Supplies use for Environment Management Program 2020 for 3rd quarter, Himamaylan City</t>
  </si>
  <si>
    <t>Construction of Five (5) Storey Higher Education Building in Batangas State University - JPLPC - Malvar (Phase I)</t>
  </si>
  <si>
    <t>Supply and Delivery of Monobloc Chair for Various Colleges of the University</t>
  </si>
  <si>
    <t>PB INFRA 20-061_Concreting of Katidtuan - Malamote Road (Matalam Section), Matalam, Cotabato</t>
  </si>
  <si>
    <t>Supply and Delivery of Various IT Equipment for the College of Medicine</t>
  </si>
  <si>
    <t>Invitation to bid for the procurement of various drugs and medicines</t>
  </si>
  <si>
    <t>ITB NO. 2020-0016 Supply, Delivery, Installation, Supervision, Training, Testing and Commissioning of One (1) Set of Licensed Professional RF Network Planning Software for the People’s Television Netw</t>
  </si>
  <si>
    <t>PROCUREMENT OF SUPPLIES AND MEDICINE (COVID19 PANDEMIC)</t>
  </si>
  <si>
    <t>ITB NO. 2020-0015 Supply, Delivery, Design and Retrofitting of the Quezon City TV Broadcast Transmitter Tower including Rehabilitation of Building/Transmitter Shelter, Grounding and Lightning Protecti</t>
  </si>
  <si>
    <t>74535 - Supply and Delivery of Brass Fittings and Valves in Various Types and Sizes</t>
  </si>
  <si>
    <t>74430 - Procurement of One (1) Set Pneumatic Piercing Tool</t>
  </si>
  <si>
    <t>ITB NO. 2020-0018 Supply, Delivery, Installation, Integration, Testing, Training and Commissioning of One (1) Set of 10-Kilowatt Liquid- Cooled, Band IV-V ISDB-T Digital Transmitter with Complete Elec</t>
  </si>
  <si>
    <t>Construction of Water Supply System Level II</t>
  </si>
  <si>
    <t>Contract ID: 20JH0065 Repair/Maintenance of Dotr Building Coast Guard Main Office Building, Strong Boulevard, Isabela City, Basilan</t>
  </si>
  <si>
    <t>20KF0134 - Repair/Maintenance of Slope Protection along Highway Secondary Diversion Road, Brgy. Barinaot, San Roque, Iligan City, K1522+(-964.5)- K1522+(-819.5)(LS), K1522+(-874.5)-K1522+(-819.5)(RS),</t>
  </si>
  <si>
    <t>20KF0133 - Repair/Maintenance of Stone Masonry (Revetment) along Sta. Felomina- Bonbonon-Digkilaan-Rogongon Road, Brgy. Digkilaan Road, Iligan City, K1533+780-K1533+807 (R/S), Iligan City</t>
  </si>
  <si>
    <t>construction/repair of 3 units comfort room</t>
  </si>
  <si>
    <t>74402 - Construction of One (1) Lot Bypass Pipeline</t>
  </si>
  <si>
    <t>74288 - Installation of One (1) Lot Line Valves</t>
  </si>
  <si>
    <t>Procurement of Test Paper</t>
  </si>
  <si>
    <t>Construction of Four (4) Storey Student Services Center Building in Batangas State University, ARASOF-Nasugbu (Phase I)</t>
  </si>
  <si>
    <t>Invitation to Bid for the Construction/Extension of Seawall.</t>
  </si>
  <si>
    <t>Concreting of Barangay Road, Brgy. Aclan</t>
  </si>
  <si>
    <t>Supply and Delivery of One (1) Equipment Set; Ready to Commission Mobile Shredding Machine and Accessories (with Mini Tractor with trailer) for Organic Fertilizer Production and Marketing of Magsaysay</t>
  </si>
  <si>
    <t>REPAIR OF POBLACION BARANGAY HEALTH STATION AT POBLACION, MAGSAYSAY, DAVAO DEL SUR</t>
  </si>
  <si>
    <t>CONSTRUCTION OF TAGAYTAY BARANGAY HEALTH STATION AND IEC (INFORMATION EDUCATIONALCOMMUNICATION AND CAMPAIGN AREA) AND CONSTRUCTION OF PERIMETER FENCE</t>
  </si>
  <si>
    <t>FURNISHING/DELIVERY OF FUEL, OIL &amp; LUBRICANTS</t>
  </si>
  <si>
    <t>REPAIR OF TACUL BARANGAY HEALTH STATION AND IEC (INFORMATION EDUCATIONAL COMMUNICATION AND CAMPAIGN AREA) AND CONSTRUCTION OF PERIMETER FENCE</t>
  </si>
  <si>
    <t>Purchase of Materials used in Printing Modules</t>
  </si>
  <si>
    <t>REPAIR AND REHABILITATION OF MAGSAYSAY BIRTHING FACILITY AT MUNICIPAL HEALTH CENTER SITE, MAGSAYSAY, DAVAO DEL SUR</t>
  </si>
  <si>
    <t>Rehabilitation of Municipal Multi Purpose Building (Phase I) of Magsaysay, Davao del Sur</t>
  </si>
  <si>
    <t>Procurement for Internet Subscription</t>
  </si>
  <si>
    <t>Various Supplies to be used in Printing Modules</t>
  </si>
  <si>
    <t>SUPPLY, DELIVERY AND INSTALLATION OF TECHNICAL REQUIREMENTS (SERVER AND WORKSTATIONS) for eNGAS</t>
  </si>
  <si>
    <t>SUPPLY AND DELIVERY OF VARIOUS LIVESTOCK CONSISTING OF 3 LOTS (LOT 1 UPGRADED DOE GOAT; LOT 2 RTL MALLARD DUCK; LOT 3 FREE RANGE CHICKEN) TO BE USED FOR LIVELIHOOD ASSISTANCE PROGRAM UNDER LIVESTOCK P</t>
  </si>
  <si>
    <t>ITB - Laboratory Supplies and Reagents (Blood Bank Section) (P.R. No. 20-06-70531)</t>
  </si>
  <si>
    <t>Construction of Balnate Barangay Health Station &amp; IEC (Information Educational &amp; Campaign Area) &amp; Improvement of Perimeter Fence</t>
  </si>
  <si>
    <t>ITB - Laboratory Supplies and Reagents (Blood Bank Section) (P.R. No. 20-06-70530)</t>
  </si>
  <si>
    <t>ITB - Drugs and Medicines (P.R. No. 20-06-70546)</t>
  </si>
  <si>
    <t>ITB - Drugs and Medicines (P.R. No. 20-06-70554)</t>
  </si>
  <si>
    <t>PROCUREMENT OF RECORDING STUDIO EQUIPMENT</t>
  </si>
  <si>
    <t>ITB - Drugs and Medicines (P.R. No. 20-06-70553)</t>
  </si>
  <si>
    <t>ITB - Various Operating Room Instruments (P.R. No. 20-06-70593)</t>
  </si>
  <si>
    <t>ITB - Laboratory Supplies and Reagents (Blood Bank Section) (P.R. No. 20-06-70529)</t>
  </si>
  <si>
    <t>PROCUREMENT OF GOODS: VARIOUS HOSPITAL EQUIPMENT (HFEP 2020) - ONE (1) UNIT WASHER-DISINFECTOR MACHINE (IB 2020-28)</t>
  </si>
  <si>
    <t>ITB -Four (4) Units of Biological Refrigerator-Double Door (P.R. No. 20-06-70649)</t>
  </si>
  <si>
    <t>Supply and Delivery of Construction Materials for the Construction of Concrete Fence</t>
  </si>
  <si>
    <t>ITB - Laboratory Supplies and Reagents (Blood Bank Section) (P.R. No. 20-06-70527)</t>
  </si>
  <si>
    <t>ROAD CONCRETING 					(at Brgy. Camugao)</t>
  </si>
  <si>
    <t>Supply and Delivery of Construction Materials for the Completion of Fencing</t>
  </si>
  <si>
    <t>CONSULTANCY SERVICES FOR THE IMPROVEMENT OF DAGOHOY WATERWORKS SYSTEM (CONDUCT OF FEASIBILITY STUDY AND DETAILED ENG'G DESIGN INCLUDING FOUR (4) BRGY. OF LA ESPERANZA, ESTACA, CAN-OLING &amp; VILLA AURORA</t>
  </si>
  <si>
    <t>PROCUREMENT OF ONE (1) UNIT RESCUE VEHICLE</t>
  </si>
  <si>
    <t>ITB - Various CSSD Supplies (P.R. No.  20-06-70579)</t>
  </si>
  <si>
    <t>Construction of Bulacan Birthing Facility</t>
  </si>
  <si>
    <t>Procurement / Supply of Technical Assistance for the Installation of Financial &amp; Inventory Management System for SASEPCO</t>
  </si>
  <si>
    <t>BIDDING (VEHICLE)</t>
  </si>
  <si>
    <t>Supply and Delivery of IT Supplies and Equipment for VSU Component Colleges</t>
  </si>
  <si>
    <t>CONCRETING OF 700M ILIGNAN TO GUIHEAN FMR, BARANGAY GUIHEAN, IMPASUGONG, BUKIDNON</t>
  </si>
  <si>
    <t>1,008 bags Portland Cement 40 kgs and other items for continuance construction of the 3rd and 4th floors of the City Treasurer’s Office (For City Accounting and other Offices) at Barangay 4.</t>
  </si>
  <si>
    <t>PCADG-5020399000-1142-2020	Other Supplies Expenses (TDPCR)</t>
  </si>
  <si>
    <t>Improvement/Rehabilitation Along Naperes-Malaguinara FMR</t>
  </si>
  <si>
    <t>Repair and Maintenance of Sto. Niño-Huyon-Uyon-Pagsangahan Farm to Market Road</t>
  </si>
  <si>
    <t>Repair/Rehabilitation of National Road (Activity 711-Special Maintenance) along Abbut-Conner-Kabugao Road Conner, Apayao</t>
  </si>
  <si>
    <t>PCADG-5020301000-1141-2020	Office Supplies Expenses (PCADG)</t>
  </si>
  <si>
    <t>ITB - Various CSSD Supplies (P.R. No.  20-06-70581)</t>
  </si>
  <si>
    <t>PRN 051-ANDROID 10 TABLET-LSB-GOODS-2020</t>
  </si>
  <si>
    <t>CONSTRUCTION OF LOCAL ACCESS ROADS</t>
  </si>
  <si>
    <t>SUPPLY AND DELIVERY OF EQUIPMENT OF LA FLORA GARBAGE COLLECTOR</t>
  </si>
  <si>
    <t>PB2020-07-007 GAA Modernization of Two (2) Units Passenger Elevators in the Higher Education Development Center (HEDC) Building (REBID)</t>
  </si>
  <si>
    <t>Construction of Medical Storage Room at RHU</t>
  </si>
  <si>
    <t>SUPPLY AND DELIVERY OF ELEVEN (11) UNITS BRAND NEW SIX (6) WHEELER DUMP TRUCK</t>
  </si>
  <si>
    <t>Construction of Sanitary Landfill Perimeter Fence</t>
  </si>
  <si>
    <t>SUPPLIES AND INSTALLATION OF 28 UNITS 100 LITERS RAIN WATER COLLECTORS</t>
  </si>
  <si>
    <t>Establishment of Sanitary Landfill (Construction of Administration Building/MRF)</t>
  </si>
  <si>
    <t>CONSTRUCTION OF STREET LIGHT, BARANGAY PROPER OF MABINI, BURDEOS, QUEZON</t>
  </si>
  <si>
    <t>Supply &amp; Delivery of Furniture and Fixtures</t>
  </si>
  <si>
    <t>Procurement of Surgical Mask</t>
  </si>
  <si>
    <t>PCADG-5020399000-1140-2020	Other Supplies Expenses (TDPCR)</t>
  </si>
  <si>
    <t>Procurement of N95 Mask</t>
  </si>
  <si>
    <t>2020 Smallholder Oil Palm Development Project (SOPDP): Oil Palm Seedlings</t>
  </si>
  <si>
    <t>20KF0132 - Repair/Maintenance of Drainage along Misamis Oriental-Ma. Cristina Boundary Road Brgy. Sta. Felomina, Iligan City, K1520+600-K1520+800 (LS), Iligan City</t>
  </si>
  <si>
    <t>Supply and Delivery of 750 box Rodenticide ABC: Php1,875,000.00</t>
  </si>
  <si>
    <t>Construction of MPH Building (Municipal Hall Right Wing)</t>
  </si>
  <si>
    <t>20NA0076 (CLUSTER) 1. Repair/Maintenance of DILG Building Bureau of Fire Protection Building, Magallanes, Agusan del Norte  2. Repair/Maintenance of DOJ Building Hall of Justice, Magallanes, Agusan de</t>
  </si>
  <si>
    <t>Shoreline Protection @ Fuentes, Pantukan, Davao De Oro (Pakyaw of Labor)</t>
  </si>
  <si>
    <t>SUPPLY AND DELIVERY OF HARDWARE SUPPLIES AND MATERIALS FOR THE COMPLETION AUXILIARY BUILDING</t>
  </si>
  <si>
    <t>Upgrading and Improvement of Alfonso-General E. Aguinaldo Road (Castaños Lejos Section) Barangay Castaños Lejos, Gen. E. Aguinaldo, Cavite</t>
  </si>
  <si>
    <t>Construction/Improvement of Level II Water Supply System-Brgy. Concepcion, Lopez, Quezon</t>
  </si>
  <si>
    <t>Shoreline Protection @ Fuentes, Pantukan, Davao De Oro (materials)</t>
  </si>
  <si>
    <t>Streetlighting Project Along Provincial Road</t>
  </si>
  <si>
    <t>CONSTRUCTION OF MULTI-PURPOSE HALL – POBLACION AREA, IMPASUGONG, BUKIDNON</t>
  </si>
  <si>
    <t>Supply and Delivery of CM for the construction School fence @ Binalian Elementary School, Kayapa, Nueva Vizcaya</t>
  </si>
  <si>
    <t>Embankment of Evacuation Center, barangay Taway, Ipil, ZSP.</t>
  </si>
  <si>
    <t>20KG0097: Concreting of Brgy. Cabongbongan FMR, Brgy. Cabongbongan, SND, Lanao del Norte, Sta.0+000.00-0+504.5</t>
  </si>
  <si>
    <t>CONSTRUCTION OF BARAY PAGINDOWANAN CUM CAPABILITY BUILDING ON MANSAKA CULTURE PRESERVATION</t>
  </si>
  <si>
    <t>Construction of Monitoring Station @ Diat, Napnapan, Pantukan, Davao De Oro(Pakyaw of Labor)</t>
  </si>
  <si>
    <t>Concreting of Linglingay Brgy. Road</t>
  </si>
  <si>
    <t xml:space="preserve">Supply and Delivery of Common Used Office Supplies for the year 2020 to be used by the CMO, CAdminO, CAccO, CENRO, CVMO, CBO, CCRO, CAssO, CLO, CSWDO, CAdminO - CDRRMD, CHO and OSP in the City of San </t>
  </si>
  <si>
    <t>Construction of Monitoring Station @ Diat, Napnapan, Pantukan, Davao De Oro(Materials)</t>
  </si>
  <si>
    <t>CONSTRUCTION OF MULTI-PURPOSE HALL – KALABUGAO (PHASE 2), KALABUGAO, IMPASUGONG, BUKIDNON</t>
  </si>
  <si>
    <t>Procurement of One (1) unit Multicab Passenger Type for Camiguin General Hospital</t>
  </si>
  <si>
    <t>B20200270 - DIESEL AND GASOLINE FOR REHAB OF JCT. BDRY. TAGUM-TALOMO PROV'L. ROAD, STO. TOMAS</t>
  </si>
  <si>
    <t>CONSTRUCTION OF LOCAL ROADS, POBLACION, IMPASUGONG, BUKIDNON</t>
  </si>
  <si>
    <t>20NA0073 (CLUSTER) Re-ad  Construction of Rainwater Collection System (RWCS), Agusan del Norte</t>
  </si>
  <si>
    <t>INVITATION TO BID FOR THE PROPOSED TYPICAL 1-STOREY WITH MEZZANINE FIRE STATION OF NOVELETA, CAVITE OF BFP REGION 4A, FOR FY 2020</t>
  </si>
  <si>
    <t>Proposed Rehabilitation of Covered Court and Installation of Toilets at Brgy. Rosario</t>
  </si>
  <si>
    <t>MA-A2H20-009.. PAD, GENERATOR BRAKE PAD, AGUS 1 HE PLANT</t>
  </si>
  <si>
    <t>Contract I.D. No. 20OE0209 - Construction of Four (4) Storey Twelve (12) Classroom School Building at F.G. Calderon Elementary School, Manila City</t>
  </si>
  <si>
    <t>2020-MS-106 LIQUID HELIUM</t>
  </si>
  <si>
    <t>UPGRADING OF LOCAL ACCESS ROAD AT AMBATALI ST., BUGALLON PROPER, RAMON, ISABELA</t>
  </si>
  <si>
    <t>CONSTRUCTION OF 80 METERS BOTH SIDES DRAINAGE ALONG SITIO ILAWOD</t>
  </si>
  <si>
    <t>Concreting of Local Access Road from Brgy. Palawan to Brgy. San Mariano Sur, San Guillermo, Isabela</t>
  </si>
  <si>
    <t>Procurement of Catering Services for Provincial Disaster Risk Reduction Management Office for COVID 19 Front liners and Task Force</t>
  </si>
  <si>
    <t>PROCUREMENT OF PETROLEUM, OIL, &amp; OTHER LUBRICANT PRODUCTS</t>
  </si>
  <si>
    <t>Construction of quarters for PNP</t>
  </si>
  <si>
    <t>Rehabilitation of Fence of Basketball Gym</t>
  </si>
  <si>
    <t>B20200264 - DIESEL AND GASOLINE FOR VARIOUS LOCAL ROADS AND DRAINAGE DEV'T. PROJECT, BE DUJALI</t>
  </si>
  <si>
    <t>B20200265 - DIESEL AND GASOLINE FOR VARIOUS LOCAL ROAD &amp; DRAINAGE DEV'T. PROJECT, PANABO CITY</t>
  </si>
  <si>
    <t>Construction of Bleacher</t>
  </si>
  <si>
    <t>Rehabilitation of Comfort Room</t>
  </si>
  <si>
    <t>B20200268 - DIESEL AND GASOLINE FOR VARIOUS LOCAL ROADS &amp; DRAINAGE DEV'T. PROJECT, BE DUJALI</t>
  </si>
  <si>
    <t>SUPPLY AND DELIVERY OF CONSTRUCTION MATERIALS FOR THE CONSTRUCTION OF STAIRCASE (PB-LAP-2020-078)</t>
  </si>
  <si>
    <t>Retrofitting of P.Fuentes Elementary School @ Fuentes, Pantukan, Davao De Oro (Materials)</t>
  </si>
  <si>
    <t>Construction of Buenavista Multi- Purpose Hall</t>
  </si>
  <si>
    <t>B20200269 - DIESEL AND GASOLINE FOR REHAB OF JCT. HWAY-CARMEN-MANGALCAL -TUBOD PROV'L ROAD, CARMEN</t>
  </si>
  <si>
    <t>B20200271 - DIESEL AND GASOLINE FOR VARIOUS LOCAL ROADS AND DRAINAGE DEV'T. PROJECT, CARMEN</t>
  </si>
  <si>
    <t>CID NO. 20IF0142-REPAIR/REHABILITATION OF KINAOHANGAN BRIDGE APPROACH, K1127+378 (B00223LT) ALONG PALOMPON-ISABEL-MERIDA-ORMOC ROAD</t>
  </si>
  <si>
    <t>Construction of Two (2) Storey Child Development Center &amp; Multi-Purpose Building (Phase 1)</t>
  </si>
  <si>
    <t>Construction of Multi Purpose Hall Kitchen, Barangay Pampango</t>
  </si>
  <si>
    <t>Concreting of Farm to Market Road (Sitio 3-Market Road)</t>
  </si>
  <si>
    <t>Concreting of Orchard Village, Brgy. Ayala FMR at Brgy. Ayala, Magalang, Pampanga</t>
  </si>
  <si>
    <t>Purchase of Multicultivator</t>
  </si>
  <si>
    <t>Concreting of Sitio Balibago, Brgy. San Ildefonso FMR at San Ildefonso, Magalang, Pampanga</t>
  </si>
  <si>
    <t>Drainage Line Canal @ Tambongon, Pantukan, Davao De Oro (Pakyaw of Labor)</t>
  </si>
  <si>
    <t>Proposed Residual Containment Area</t>
  </si>
  <si>
    <t>PURCHASE OF CHICKEN BREEDER STOCKS, FEEDS AND BIOLOGICS</t>
  </si>
  <si>
    <t>Drainage Line Canal @ Tambongon, Pantukan, Davao De Oro (Materials)</t>
  </si>
  <si>
    <t>B20200261 - DIESEL AND GASOLINE FOR VICE GOVERNORS OFFICE CONSUMPTION JULY - SEPT. 2020</t>
  </si>
  <si>
    <t>INVITATION TO BID FOR REPAIR/IMPROVEMENT OF MULTI-PURPOSE BUILDING (FIRST BIDDING)</t>
  </si>
  <si>
    <t>CONSTRUCTION OF ROADS (Zone 1 &amp; Zone 3 Baliuag Viejo)</t>
  </si>
  <si>
    <t>Cont. Ref. No. 090-20: Construction of Training and Livelihood Display Center at Alumit at Gumatdang, Itogon, Benguet</t>
  </si>
  <si>
    <t>Proposed Drainage Canal with Curb and Gutter at Cataquiz III Subd., Brgy. Landayan</t>
  </si>
  <si>
    <t>ROAD CONCRETING (Zone 1, Mtaoroc &amp; Zone 1, Sagrada Familia)</t>
  </si>
  <si>
    <t>Cont. Ref. No. 091-20: Concreting of Footpath at Upper Tram at Ucab, Itogon, Benguet</t>
  </si>
  <si>
    <t>20CN0158- Concreting of Brgy. Laboy to Brgy. Ipil FMR, Brgy. Laboy and Brgy. Ipil, Dipaculao, Aurora</t>
  </si>
  <si>
    <t>20CN0159- Concreting of Sitio Kailugan FMR, Brgy. Matawe, Dingalan, Aurora</t>
  </si>
  <si>
    <t>Cont. Ref. No. 029-20:Construction of Pathway with Drainage Canal at Lower Mangga (L. Cabangen  to  T. Justo Area) at Tuding, Itogon, Benguet</t>
  </si>
  <si>
    <t>PROCUREMENT AND DELIVERY OF MOTORCYCLE VEHICLE</t>
  </si>
  <si>
    <t>Cont. Ref. No. 021-20: Completion of Pathway at Lower Mangga from Yucmos to Wannis Residence at Tuding, Itogon, Benguet</t>
  </si>
  <si>
    <t>Construction of School Building, School Site &amp; Other Facilities (Materials Only)</t>
  </si>
  <si>
    <t>Purchase of vehicle ( Bongo 2)</t>
  </si>
  <si>
    <t>Development of Eco Park (GCU Installation)	under Contract Ref. No. 2020-INFRA-051</t>
  </si>
  <si>
    <t>REHABILITATION/EXPANSION OF WATER SUPPLY SYSTEM, LEVEL III</t>
  </si>
  <si>
    <t>20GE028G - P.R. No. R06.14-029 – Purchase of Global Navigation Satellite System (GNSS) Equipment for use in surveying and Pre-Detailed Engineering Activities of Planning and Design Section, this Offic</t>
  </si>
  <si>
    <t>Cont. Ref. No. 086-20: Rehabilitation of Canal below Gym down to Ambalanga River at Poblacion, Itogon, Benguet</t>
  </si>
  <si>
    <t>IMPROVEMENT OF TREASURY OFFICE</t>
  </si>
  <si>
    <t>SUPPLY AND DELIVERY OF 1 SET MICRO 20 PHOTOMETER WITH BLUETOOTH CHEMICAL ANALYZER FOR WATER SAMPLES OF LGU, ALANGALANG, LEYTE</t>
  </si>
  <si>
    <t>ITB NO. (GDS)  2020-07-018 PROCUREMENT OF OFFICE EQUIPMENT, Province of Eastern Samar</t>
  </si>
  <si>
    <t>ROAD CONCRETING AT SITIO PASIL, BARANGAY VI-A</t>
  </si>
  <si>
    <t>Retrofitting of P.Fuentes Elementary School @ Fuentes, Pantukan, Davao De Oro (Pakyaw of Labor)</t>
  </si>
  <si>
    <t>SUPPLY AND DELIVERY OF THREE (3) PCS. STAINLESS WORKING TABLES UNDER BANANA CHIPS PROCESSING AND MARKETING</t>
  </si>
  <si>
    <t>Cont. Ref. No. 094-20: Construction of Virac Barangay Health Station at Virac, Itogon, Benguet</t>
  </si>
  <si>
    <t>PURCHASE OF WORKBOOKS FOR PUBLIC ELEMENTARY SCHOOLS ( VICTORIAS I AND II )</t>
  </si>
  <si>
    <t>SUPPLY AND DELIVERY OF ONE (1) UNIT BRAND NEW 10-TONNER TRUCK UNDER BANANA (CARDAVA) PRODUCTION, CONSOLIDATION AND MARKETING</t>
  </si>
  <si>
    <t>B20200272 - DIESEL AND GASOLINE FOR VARIOUS LOCAL ROADS &amp; DRAINAGE DEV'T. PROJECT, PANABO CTIY</t>
  </si>
  <si>
    <t>SUPPLY AND DELIVERY OF ONE (1) GENERATOR SET  UNDER COFFEE PROCESSING AND MARKETING</t>
  </si>
  <si>
    <t xml:space="preserve">NEGOTIATED PROCUREMENTOF WAREHOUSE HANDLING (AND ALLIED) SERVICES FOR GRAINS FOR NFA CARAGA REGION FOR CALENDAR YEAR 2020 AFTER TWO (2) FAILED PUBLIC BIDDINGS UNDER SECTION 53.1 OF THE REVISED IRR OF </t>
  </si>
  <si>
    <t>SUPPLY AND DELIVERY OF ONE HAND TRACTOR WITH TRAILER UNDER COFFEE PROCESSING AND MARKETING</t>
  </si>
  <si>
    <t>Const. of MP Facility for IP'S (Balay Tulogan) under Contract Ref. No. 2020-INFRA-053</t>
  </si>
  <si>
    <t>Cont. Ref. No. 063-20: Construction of Veteran’s Multi-Purpose Building and Freedom Park at Virac, Itogon, Benguet</t>
  </si>
  <si>
    <t>PROCUREMENT OF VARIOUS OFFICE SUPPLIES (1st and 2nd QUARTER) (ITB # M20-07-02)</t>
  </si>
  <si>
    <t>PURCHASE OF DIGITAL DUPLICATOR AND MULTIFUNCTION COPIER FOR ELEMENTARY AND SECONDARY  PUBLIC SCHOOLS</t>
  </si>
  <si>
    <t>Construction of Mati Creek Verdant Wall</t>
  </si>
  <si>
    <t>Invitation to Bid Concreting of Wheel Tire Path</t>
  </si>
  <si>
    <t>Rehabilitation/Improvement of Public Market Roofing</t>
  </si>
  <si>
    <t>Supply &amp; Delivery of Various Fire Fighting Equipment</t>
  </si>
  <si>
    <t>PR# 20-1863- 100 units Digital Duplicator Printing Machine</t>
  </si>
  <si>
    <t>Cont. Ref. No. 093-20: Improvement of Multipurpose Building at Gumatdang, Itogon, Benguet</t>
  </si>
  <si>
    <t>PURCHASE OF OFFICE EQUIPMENTS FOR THE PROVISION OF SCIENCE AND TECHNOLOGY INTERVENTIONS TO SUPPORT THE MUNICIPALITY OF UBAY AS A”SCIENCE MUNICIPALITY SMARTER LGU”</t>
  </si>
  <si>
    <t>Supply and Delivery of Supplies and Materials for Poultry and Livestock Program (Balik Sigla Agrikultura – Covid19 Response)</t>
  </si>
  <si>
    <t>Construction/Installation of Railings of Concrete Foot Bridge</t>
  </si>
  <si>
    <t>Supply and Delivery of Poultry Supplies and Materials for Poultry Program (Balik Sigla Agrikultura – Covid19 Response)</t>
  </si>
  <si>
    <t>Supply and Delivery of Female Cattle (Balik Sigla Agrikultura – Covid19 Response)</t>
  </si>
  <si>
    <t>PURCHASE OF MATERIALS FOR CONSTRUCTION OF PERIMETER FENCE AT CUAYCONG EEMENTARY SCHOOL, VICTORIAS CITY</t>
  </si>
  <si>
    <t>Cont. Ref. No. 095-20:Completion of Itogon Central National High School at Ayosip at Poblacion, Itogon, Benguet</t>
  </si>
  <si>
    <t>INFRA-CONSTRUCTION OF DIALYSIS CENTER, LOS BANOS, LAGUNA</t>
  </si>
  <si>
    <t>Staff House at Sitio Civoleg Phase-I under Contract Ref. No. 2020-INFRA-052</t>
  </si>
  <si>
    <t>SUPPLY AND DELIVERY OF EQUIPMENTS AND MATERIALS UNDER BANANA (CARDAVA) PRODUCTION, CONSOLIDATION AND MARKETING</t>
  </si>
  <si>
    <t>SUPPLY OF SECURITY SERVICES IN VARIOUS SKWD FACILITIES FOR THE PERIOD TWO (2) YEARS</t>
  </si>
  <si>
    <t>SUPPLY AND DELIVERY OF ONE (1) DEHULLER  UNDER COFFEE PROCESSING AND MARKETING</t>
  </si>
  <si>
    <t>SUPPLY AND DELIVERY OF One (1) Unit BANANA CHIPS SLICER (with complete accessories) UNDER BANANA CHIPS PROCESSING AND MARKETING</t>
  </si>
  <si>
    <t>PARTIAL REPLACEMENT OF 3-SET CIRCUIT BREAKERS FOR LOW VOLTAGE SWITCHGEAR (LVS) AT POWER SUBSTATION # 1 (ATS AND STANDARD CONFIGURATION)</t>
  </si>
  <si>
    <t>SUPPLY AND DELIVERY OF 2 units Foot Stamping Electric Sealer, 120 pcs Storage Crates (Rubberized), 2 units Digital Micro Weighing Scale, 2 units Weighing Scale 100 kg. capacity UNDER BANANA CHIPS PROC</t>
  </si>
  <si>
    <t>): SUPPLY AND DELIVERY OF ONE (1) GRINDING MACHINE  UNDER COFFEE PROCESSING AND MARKETING</t>
  </si>
  <si>
    <t>Procurement of Personalized Lectern for Public Address System with Built-in Amplifier and Speaker for the different barangays of the Municipality of Vintar</t>
  </si>
  <si>
    <t>PURCHASE OF RESCUE VEHICLE FOR THE USE OF RESCUE PERSONNEL</t>
  </si>
  <si>
    <t>Supply and Delivery of IT Equipment for use of   Dep Ed (Division of Occidental Mindoro)</t>
  </si>
  <si>
    <t>PURCHASE OF FARM INPUTS FOR TILAPIA FISH CULTURE/TILAPIA PRODUCTION</t>
  </si>
  <si>
    <t>Construction of Wastewater Treatment Facility and Concreting of Pavement in Danggit Processing Center under FishCORAL Project</t>
  </si>
  <si>
    <t>PURCHASE OF FARM INPUTS FOR BANGUS FISH CULTURE/BANGUS PRODUCTION</t>
  </si>
  <si>
    <t>B20200263 - DIESEL AND GASOLINE FOR REHAB. OF JCT. HWAY CANATAN-DONA ANDREA, ASUNCION, DDN</t>
  </si>
  <si>
    <t>SUPPLY AND DELIVERY OF FIVE (5) SETS IRON GAS STOVE WITH LPG TANK, HOSE &amp; REGULATOR UNDER BANANA CHIPS PROCESSING AND MARKETING</t>
  </si>
  <si>
    <t>(PGSO)  INVITATION TO BID FOR THE SUPPLY AND DELIVERY OF CONSTRUCTION MATERIALS (II) FOR THE  PROVINCIAL GENERAL SERVICES OFFICE (PGSO)</t>
  </si>
  <si>
    <t>Cont. Ref. No. 092-20: Fencing along Cashet-Pao-Tabu Foottrail at Dalupirip, Itogon, Benguet</t>
  </si>
  <si>
    <t>Procurement of Agricultural Inputs and Tools under Farm Productivity Assistance to ARBs (ARBold Project Component 2)</t>
  </si>
  <si>
    <t>Development of Eco Park at Civoleg (Yinyang Pathway)	@ Barangay Lunotan, Gingoog City, Misamis Oriental under Contract Ref. No. 2020-INFRA-055</t>
  </si>
  <si>
    <t>PURCHASE OF  MATERIALS FOR THE DEVELOPMENT OF LAND FOR THE RELOCATION OF INFORMAL SETTLERS</t>
  </si>
  <si>
    <t>CW-Rehabilitation of New Municipal Hall Building</t>
  </si>
  <si>
    <t>(20LF0148)Concreting of Junction Proper, Brgy. Abihod to Sitio Dasubo FMR, Brgy. Abihod , Cateel, Davao Oriental</t>
  </si>
  <si>
    <t>CONSTRUCTION MATERIALS and LABOR FOR INSTALLATION OF HANDWASHING FACILITY</t>
  </si>
  <si>
    <t>Concreting of Pathway Barangay Alfonso XII</t>
  </si>
  <si>
    <t>Road Concreting of Cajalasan Street, Poblacion 02, Maslog, Eastern Samar</t>
  </si>
  <si>
    <t>B20200262 - CONSTRUCTION MATERIALS AND SUPPLY FOR MAINTENANCE OF VARIOUS PROV'L. ROADS &amp; BRIDGES DIST. 1</t>
  </si>
  <si>
    <t>SUPPLY AND DELIVERY OF One (1) set Water Tank with Pipe (400 liters) UNDER BANANA CHIPS PROCESSING AND MARKETING</t>
  </si>
  <si>
    <t>Supply and Delivery of various goods (PR No. 2020-508)</t>
  </si>
  <si>
    <t>Procurement of Movers/Haulers for Relocation of PEZA Head Office' Files/Documents and Equipment/Properties</t>
  </si>
  <si>
    <t>Upgrading and Street Concreting, Poblacion, Maslog, Eastern Samar</t>
  </si>
  <si>
    <t>PURCHASE OF 1 UNIT PHOTOCOPIER</t>
  </si>
  <si>
    <t>Contract ID No.: 20OB0182 Contract Name: River Improvement along Marikina River, Brgy. Jesus Dela Peña Marikina City (Package I)</t>
  </si>
  <si>
    <t>Construction of Evacuation Center Phase 2</t>
  </si>
  <si>
    <t>RFQ / PR 20-06-0315 / PROCUREMENT OF SPARE PARTS &amp; MATERIALS FOR TOYOTA INNOVA MODELS 2014 &amp; 2018</t>
  </si>
  <si>
    <t>Invitation to Bid for Supply and Delivery of High  Speed Heavy Duty Inkjet Printer at DepEd Calaca District Office, Calaca, Batangas</t>
  </si>
  <si>
    <t>Construction of Canbantug core local road at Brgy. Canbantug, Merida, Leyte</t>
  </si>
  <si>
    <t>Procurement of 6wheeler Truck NPR NQR Cargo Dropside Aluminum High Side</t>
  </si>
  <si>
    <t>Contract ID No.: 20OB0171 Contract Name: Construction of Four (4) Storey Twelve (12) Classroom with Roof Deck, Enlisted Men’s Signal Village Elementary School, Taguig City</t>
  </si>
  <si>
    <t>Improvement/Rehabilitation of Day Care Center at Brgy. Mahalit, Merida</t>
  </si>
  <si>
    <t>(PEO) INVITATION TO BID FOR THE SUPPLY AND DELIVERY OF CONSTRUCTION MATERIALS  FOR THE  PROVINCIAL ENGINEERING OFFICE (PEO)</t>
  </si>
  <si>
    <t>PROCUREMENT OF RESCUE EQUIPMENT AND RETRACTABLE TENT (PB-LAP-2020-083)</t>
  </si>
  <si>
    <t>Supply and Delivery of Construction Materials for Const. /Improvement of Day Care Center Bldg. cum Evacuation Center</t>
  </si>
  <si>
    <t>PROVISION OF POTABLE WATER SUPPLY AT BRGY. MAHAYAG</t>
  </si>
  <si>
    <t>Construction of Calunasan Core Local Roads at Brgy. Calunasan, Merida, Leyte</t>
  </si>
  <si>
    <t>PROVISION OF POTABLE WATER SUPPLY AT BRGY. SALVACION</t>
  </si>
  <si>
    <t>PROCUREMENT OF I.T. EQUIPMENT (ITB No. 2020-174)-(Provl Government of Bukidnon Offices)</t>
  </si>
  <si>
    <t>Supply &amp; Delivery of 2 units Rice Mill for Agri-infra support for Rice Production to selected Farmers Association (OCAS).</t>
  </si>
  <si>
    <t>SUPPLY AND DELIVERY OF 27 UNITS DESKTOP COMPUTER FOR DOBS FOR THE 27 BRANCHES</t>
  </si>
  <si>
    <t>Contract ID No. 20GMB0014- Equipment Lease for use in  Routine Maintenance of National Roads for 3rd  Quarter of CY 2020 (Initial Response to Emergency &amp; Shoulder Maintenance).</t>
  </si>
  <si>
    <t>Development of Badiangon Water Park (Rehab. Of Old Swimming Pool) @ Barangay San Juan, Gingoog City, Misamis Oriental under Contract Ref. No. 2020-INFRA-058</t>
  </si>
  <si>
    <t>Purchase of surplus motor vehicle</t>
  </si>
  <si>
    <t>SUPPLY AND DELIVERY OF ONE (1) UNIT PLASTIC SHREDDER, ONE (1) UNIT BIO SHREDDER AND ONE (1) UNIT GLASS CRUSHER/PULVERISER</t>
  </si>
  <si>
    <t>Construction of Flood Control along Watch Tower</t>
  </si>
  <si>
    <t>SUPPLY AND DELIVERY OF MATERIALS FOR THE CONCRETING OF FMR - PUROK rANG-AY "B", SAN FERNANDO</t>
  </si>
  <si>
    <t>Improvement/Rehabilitation of Daycare Center at Brgy. Cabaliwan, Merida</t>
  </si>
  <si>
    <t>Contract ID No.: 20OB0342 Contract Name: Construction of Multi-Purpose Building, Brgy. San Roque, Taguig City</t>
  </si>
  <si>
    <t>Procurement of 1 Unit DUMP TRUCK</t>
  </si>
  <si>
    <t>Improvement/Rehabilitation of Daycare Center at Brgy. San Jose, Merida</t>
  </si>
  <si>
    <t>PURCHASE OF ONE (1) UNIT EMERGENCY RESPONSE VEHICLE FOR MDRRMO OFFICE</t>
  </si>
  <si>
    <t>RENOVATION AND IMPROVEMENT OF THE MAIN BUILDING WITH MULTI-PURPOSE HALL AND EVACUATION CENTER</t>
  </si>
  <si>
    <t>Construction of Four (4) Storey Eight (8) Classroom School Building (2 Science Laboratory, and 2 Computer Room Layout) Cabaruan National High School  at Urdaneta City, Pangasinan</t>
  </si>
  <si>
    <t>20GDB0031 Purchase of Grass Cutter for use in Vegetation Control along various National Roads, Batangas 1st District</t>
  </si>
  <si>
    <t>SUPPLY AND DELIVERY OF MATERIALS FOR THE CONSTRUCTION OF ENGINEERING AND ASSESSOR BUILDING - PHASE III</t>
  </si>
  <si>
    <t>Supply &amp; Delivery of Vehicle Parts for maintenance of garbage truck (CGSO).</t>
  </si>
  <si>
    <t>Construction of Various Projects - Package VII</t>
  </si>
  <si>
    <t>20GDB0030 Supply of Fuel &amp; Lubricants for use in various Service Vehicles &amp; Equipment in DPWH - Batangas I DEO (Main Office) for 3rd Quarter</t>
  </si>
  <si>
    <t>Supply &amp; Delivery of Hardware &amp; Construction Supplies for fabrication of 5 units Patrol Boat for Marine Reserve (OCES).</t>
  </si>
  <si>
    <t>Contract ID No.: 20OB0325 Contract Name: Construction of Multi-Level Multi-Purpose Building, Brgy. San Roque, Taguig City</t>
  </si>
  <si>
    <t>Supply, Printing and Delivery of OMR ID/AS - Rebid</t>
  </si>
  <si>
    <t>20GDB0027 Purchase of Materials for the Conduct of Automated and Manual Traffic Count and Axle Load Surveys Installation of New Traffic Survey Sites, Purchase of New Traffic Counters and Portable weig</t>
  </si>
  <si>
    <t>One (1) Job Order for the Supply of Labor and Materials for Improvement of Multi-Purpose Hall at Brgy. Bunga, Mambusao, Capiz</t>
  </si>
  <si>
    <t>20CSFC01 : CONSULTING SERVICES FOR THE PRE-FEASIBILITY STUDY/ PRELIMINARY AND DETAILED ENGINEERING / ECONOMIC ANALYSIS / TECHNICAL STUDIES/TRAFFIC IMPACT ASSESSMENT, Daang Maharlika – Tagas – Magang D</t>
  </si>
  <si>
    <t>Supply &amp; Delivery of Water System Materials for installation of Steel Water Tank, Pipelines and Fittings for various Brgys. at Maasin City (OCES).</t>
  </si>
  <si>
    <t>Road Asphalting</t>
  </si>
  <si>
    <t>PR No. 20071301 – Supply and Delivery of Materials for Improvement of Eco-Athletic Field Track Oval, Eco-Athletic Field, F. Pimentel Avenue, Daet, Camarines Norte</t>
  </si>
  <si>
    <t>Concreting of Local Road, Barangay Poblacion 02 to Barangay San Miguel</t>
  </si>
  <si>
    <t>Procurement of Services for PPA Head Office 2nd Floor Concrete Deck Cladding and Waterproofing System</t>
  </si>
  <si>
    <t>VARIOUS INFRASTRUCTURE PROJECT</t>
  </si>
  <si>
    <t>SUPPLY OF LABOR AND MATERIALS FOR THE REHABILITATION OF ADMINISTRATION BUILDING (PHASE I) OF BPI-BNCRDPSC, GUISAD, BAGUIO CITY</t>
  </si>
  <si>
    <t>SUPPLY, DELIVERY AND INSTALLATION OF AIR CONDITIONING UNITS FOR USE IN SEED TESTING AND SEED CERTIFICATION OF NATIONAL SEED QUALITY CONTROL SERVICES DIVISION (NSQCSD)</t>
  </si>
  <si>
    <t>Installation of Customize Office Cubicle  including labor and materials, 10 units Free Standing Table (Main Table) and 6 units JR Executive Table Laminated Top Panel Leg  Of Bukidnon IMO</t>
  </si>
  <si>
    <t>SUPPLY AND DELIVERY OF RICETER/RICE MOISTURE TESTER AND DIGITAL MOISTURE TESTER FOR USE IN SEED TESTING AND SEED CERTIFICATION OF NATIONAL SEED QUALITY CONTROL SERVICES DIVISION (NSQCSD)</t>
  </si>
  <si>
    <t>Supply and Delivery of Computer Software and Information and Communication Technology Equipment, HRMO, San Jose, Batangas</t>
  </si>
  <si>
    <t>CONSTRUCTION OF HIKET WATER SYSTEM</t>
  </si>
  <si>
    <t>Improvement of Slaughterhouse Facilities @ Barangay 26, Gingoog City, Misamis Oriental under Contract Ref. No. 2020-INFRA-054</t>
  </si>
  <si>
    <t>Package 9 of 10: Supply and Delivery of 328 pieces D.I. Mechanical Sleeve Type Coupling, 100mm (4") Ø (Universal Type) (re-bidding)</t>
  </si>
  <si>
    <t>Package 8 of 10: Supply and Delivery of 365 pcs. D.I. Mechanical Sleeve Type Coupling, 110mm. O.D (4”) Standard Type</t>
  </si>
  <si>
    <t>20GA0248-Repair/Maintenance of DPWH Building District Engineer’s Office Aklan District Engineering Office, Kalibo, Aklan</t>
  </si>
  <si>
    <t>Package 7 of 10: Supply and Delivery of 25 units Fire Hydrant Head 4"Ø (Angle Type) and 15 units Fire Hydrant Head 6"Ø (3-Way) (re-bidding 2)</t>
  </si>
  <si>
    <t>PURCHASE OF SEVENTEEN (17) UNITS DUPLICATING MACHINE</t>
  </si>
  <si>
    <t>20GA0247-Repair/Rehabilitation/Maintenance/Improvement of Road Safety Devices along Aklan East and West Road (Steel Guardrails and Chevron) Section A – Altavas to Aklan/Capiz Bdry. K0307+000 – K0323+0</t>
  </si>
  <si>
    <t>Package 5 of 10: Supply and Delivery of 6,930 pieces 19mm.Ø (3/4") Plastic Union Coupling, Compression Type (CTS Pipe) (re-bidding)</t>
  </si>
  <si>
    <t>Package 10 of 10: Supply and Delivery of 650 pieces Valve Box Cover, 160mm (Cast Iron or Ductile Iron) (re-bidding)</t>
  </si>
  <si>
    <t>Package 4 of 10: Supply and Delivery of 43 pieces Air Release Valve, 50mm Flange Type</t>
  </si>
  <si>
    <t>Package 3 of 10: Supply and Delivery of 15 lengths Riser Pipe with Coupling, 10" Ø  x 10 ft. (re-bidding) (re-bidding 2)</t>
  </si>
  <si>
    <t>20GA0246-Repair/Maintenance of Drainage along Aklan East Road Left Side (Numancia/Kalibo Bdry. – Aklan/Capiz Bdry.) K0277+488 – K0288+175 with Exception  Brgy. Estancia/Tigayon/Linabuan Norte, Kalibo,</t>
  </si>
  <si>
    <t>Extension of Three (3) Phase-lines and Installation of Transformer under Material Recovery Facility (MRF) in Barangay Callos, Peñaranda, Nueva Ecija</t>
  </si>
  <si>
    <t>Package 1 of 10: Supply of Labor and Materials for the Production and Delivery of 19 pieces Yellow Gold Bracelet with I.D. Bar (18K, 10 grams)</t>
  </si>
  <si>
    <t>Package 6 of 10: Supply and Delivery of 3,697 pieces 19mm.Ø (3/4") Plastic Female Elbow, Compression Type (for CTS Pipe) (re-bidding)</t>
  </si>
  <si>
    <t>ITB No. (INF) 2020-07-099 ROAD OPENING/FARM-TO-MARKET ROAD OF BRGY. AROGANGA, Brgy. Aroganga, Dolores, Eastern Samar</t>
  </si>
  <si>
    <t>ITB20-6(infra)</t>
  </si>
  <si>
    <t>Supply of Labor, Materials and Equipment for the Installation of Streetlights, Brgy. Tugtug, San Jose, Batangas</t>
  </si>
  <si>
    <t>Supply of Labor, Materials and Equipment for the Installation of Streetlights, Brgy. Aya (Callejon), San Jose, Batangas</t>
  </si>
  <si>
    <t>CONTRACT ID: 20-07-099- PROCUREMENT OF PERSONAL PROTECTIVE EQUIPMENT</t>
  </si>
  <si>
    <t>SUPPLY AND DELIVERY OF OTHER SUPPLIES</t>
  </si>
  <si>
    <t>Package 2 of 10: Supply and Delivery of 117 pieces Respiratory Mask (Full Face Gas Mask) with inclusion of two (2) Cartridges (re-bidding)</t>
  </si>
  <si>
    <t>Infra 2020-034 CONSTRUCTION OF DRAINAGE CANAL, BARANGAY GUINSORONGAN Catbalogan City</t>
  </si>
  <si>
    <t>CONSTRUCTION OF ARTECHE TERMINAL</t>
  </si>
  <si>
    <t>Supplyand Delivery of Rice</t>
  </si>
  <si>
    <t>Procurement of Various Construction Equipment-07-423(O)PEO</t>
  </si>
  <si>
    <t>Supply of Labor, Materials and Equipment for the Installation of Streetlights, Brgy. Bagong Pook, San Jose, Batangas</t>
  </si>
  <si>
    <t>Installation of Solar Streetlights at Purok 4 &amp; 5, Brgy. Cabatuan, Alaminos City, Pangasinan</t>
  </si>
  <si>
    <t>Construction of Access Road to Dump Site</t>
  </si>
  <si>
    <t>Infra 2020-032 REPAIR/REHAB OF PATHWAY WITH RIPRAP, Barangay Darahuray Daco, Catbalogan City</t>
  </si>
  <si>
    <t>ONE STOREY MULTI-PURPOSE BUILDING (PNP COMPOUND)</t>
  </si>
  <si>
    <t>Purchase of Laptop and Printer for Barangay Used</t>
  </si>
  <si>
    <t>Construction of Flood Control Structure, Sitio Kakati, Barangay Apasan</t>
  </si>
  <si>
    <t>Medical Supplies for the Use of RHU-LGU-Cabatuan, Iloilo</t>
  </si>
  <si>
    <t>Medicines for the Use of RHU-LGU-Cabatuan, Iloilo</t>
  </si>
  <si>
    <t>Procurement of |KIBC Equipment and Fixtures</t>
  </si>
  <si>
    <t>ITB No. (INF) 2020-07-102 ROAD OPENING/FARM-TO-MARKET ROAD OF BRGY. LIBERTAD, Brgy. Libertad, Dolores, Eastern Samar</t>
  </si>
  <si>
    <t>RIPRAPPING ALONG TOTONOGEN RIVER BANK BRGY. TOMANA EAST ROSALES PANG.</t>
  </si>
  <si>
    <t>Fabrication and Installation of Fence Gate and Grills</t>
  </si>
  <si>
    <t>SUPPLY &amp; DELIVERY OF ADDITIONAL EQUIPMENT'S FOR ISOLATION FACILITY (Air Condition Units/Installation Included)</t>
  </si>
  <si>
    <t>Construction of Barangay Road  Phase II</t>
  </si>
  <si>
    <t>Package 05 -2020 Supply, Delivery, Testing and Commissioning of One (1) unit Global Navigation Satellite Systems Real-Time Kinematic (GNSSRTK) including 1 Base +1 Rover + 1 Controller +  1 External Ra</t>
  </si>
  <si>
    <t>PROVISION OF SLIDING DOOR, SBO (1000-1-2-2-1), SARANGANI, DAVAO OCCIDENTAL.</t>
  </si>
  <si>
    <t>Construction of Barangay Road Sidewalk</t>
  </si>
  <si>
    <t>ITB No. (INF) 2020-07-100 ROAD OPENING/FARM-TO-MARKET ROAD OF BRGY. MAGSAYSAY, Brgy. Magsaysay, Dolores, Eastern Samar</t>
  </si>
  <si>
    <t>Electrical works for barangay court, Brgy. Tangcarang, Alaminos City, Pangasinan</t>
  </si>
  <si>
    <t>Supply and delivery of various animals (poultry &amp; livestock)</t>
  </si>
  <si>
    <t>ITB No. (INF) 2020-07-101 ROAD OPENING/FARM-TO-MARKET ROAD OF BRGY. CAGTABON, Brgy. Cagtabon, Dolores, Eastern Samar</t>
  </si>
  <si>
    <t>CONTRACT ID: 20-07-098 - PROCUREMENT OF VARIOUS MASK AND ALCOHOL</t>
  </si>
  <si>
    <t>Supply of Labor, Materials and Equipment for the Construction of Pathways, Brgy. Aya, San Jose, Batangas</t>
  </si>
  <si>
    <t>Procurement of Equipment for Electrical and Mechanical Engineering Laboratory</t>
  </si>
  <si>
    <t>PROCUREMENT OF ONE (1) UNIT OF BRAND NEW MINI DUMP TRUCK</t>
  </si>
  <si>
    <t>CONSTRUCTION OF PUBLIC TOILETS</t>
  </si>
  <si>
    <t>Concreting of FMR along Barangays Apiat, San Ramon and San Rafael</t>
  </si>
  <si>
    <t>Supply and Delivery of 12,000 reams Bond Paper A4 for various Public Schools at San Pablo City.</t>
  </si>
  <si>
    <t>IMPROVEMENT OF BRGY. HEALTH CENTER</t>
  </si>
  <si>
    <t>Procurement of medical supplies and laboratory equipment for Tumauini Community Hospital</t>
  </si>
  <si>
    <t>Procurement of Math, Science, Reading and Araling Panlipunan Workbooks for DepEd-Marcos District (Elementary)</t>
  </si>
  <si>
    <t>CONSTRUCTION OF BARANGAY ROAD-KAWILAN</t>
  </si>
  <si>
    <t>REHABILITATION OF PLAZA</t>
  </si>
  <si>
    <t>LOT Procurement of MATERIALS &amp; EQUIPMENT RENTAL for Use in the Improvement of Multi-Purpose Center/Hall of the Provincial Social Welfare Development Office</t>
  </si>
  <si>
    <t>Provision of Furnitures and Fixtures of Day Care Centers</t>
  </si>
  <si>
    <t>Construction of Slope Protection and Line Canal along Dibibi-Dingasan Road</t>
  </si>
  <si>
    <t>Procurement of Laptop for CSPC Faculty Members and Key Officials for Flexible Learning and Public Service Delivery under New Normal</t>
  </si>
  <si>
    <t>PURCHASE OF 1 UNIT HEAVY EQUIPMENT (MOTOR GRADER)</t>
  </si>
  <si>
    <t>Construction Materials ( Aggregates)</t>
  </si>
  <si>
    <t>Construction Materials (Aggregates)</t>
  </si>
  <si>
    <t>Rehabilitation of Local Road at Brgy. Tubod, Merida, Leyte</t>
  </si>
  <si>
    <t>CONCRETING OF DANLAG BARANGAY PROPER ROAD (INFRONT OF BARANGAY HALL)</t>
  </si>
  <si>
    <t>SBAC 2020-01 SUPPLY, DELIVERY, INSTALLATION AND COMMISSIONING OF SMART CITY COMMAND CENTER</t>
  </si>
  <si>
    <t>Procurement of Equipment &amp; Software for SAP Laboratory</t>
  </si>
  <si>
    <t>Janitorial Services for the Bataan General Hospital Annex to be used as temporary medical facilities for the period covered from August 16 to  December 31, 2020</t>
  </si>
  <si>
    <t>SUPPLY AND DELIVERY OF LABORATORY SUPPLIES (HEMATOLOGY ANALYZER DILUENT - HEMATOLOGY ANALYZER LATRON CONTROL)</t>
  </si>
  <si>
    <t>PRINTING OF FORMS AND MATERIALS FOR VARIOUS DEPARTMENTS / OFFICES OF THE CITY GOVERNMENT OF MAKATI</t>
  </si>
  <si>
    <t>Procurement of Pneumonia Vaccine for the Municipal Employees, Medicines for the use of different Barangays, Medical Supplies (Maternal and Newborn care), and Reagents/Supplies for Municipal Employees</t>
  </si>
  <si>
    <t>EARTHFILLING OF COVERED COURT  @ BOY SCOUT CAMP AND MARKET AREA (PB-LAP-2020-076)</t>
  </si>
  <si>
    <t>Phase 2 Installation of 2 units CCTV CAMERA AT Bolo, Labrador, Pangasinan</t>
  </si>
  <si>
    <t>Repair/Improvement of Barangay Road @ So. Nakar, Brgy. Magsaysay, Cadiz City</t>
  </si>
  <si>
    <t>Supply and Delivery of Mantianak Botanical Garden and Zoological Park Animal Feeds</t>
  </si>
  <si>
    <t>ITB 05-002-20 (2,695 heads of LAYER CHICKEN (RTL))</t>
  </si>
  <si>
    <t>SUPPLY AND DELIVERY OF RADIOLOGY SUPPLIES (ACCESSORY FOR CARESTREAM DIRECT VIEW MAX - THYROID SHIELD)</t>
  </si>
  <si>
    <t>Construction of Flood Control (Gabions and Matressess)</t>
  </si>
  <si>
    <t>Food Stuff (Noodles and sardines)</t>
  </si>
  <si>
    <t>Improvement of Drainage System @ Prk. Cinco Mil, Brgy. Banquerohan, Cadiz City</t>
  </si>
  <si>
    <t>Procurement of Surgical Supply for the OR use of Dr. Rafael S. Tumbokon Memorial Hospital-EEDD, Kalibo, Aklan- Re Bidding /ITB no: 2020-388</t>
  </si>
  <si>
    <t>Procurement of Aggregates used for Rehabilitation of A. Taruc Street, Socorro, SDN</t>
  </si>
  <si>
    <t>SUPPLY AND DELIVERY OF OFFICE EQUIPMENT AND CONSUMABLES - DEPED</t>
  </si>
  <si>
    <t>Supply, Delivery and Installation of Airconditioning Units to be used at the City College of San Fernando, Pampanga</t>
  </si>
  <si>
    <t>COUNTERPART FOR THE CONSTRUCTION OF CHILD DEVELOPMENT CENTER-(CONSTRUCTION OF PERIMETER FENCE)</t>
  </si>
  <si>
    <t>proposed purchase of air-condition for barangay hall ayala alabang new building</t>
  </si>
  <si>
    <t>Improvement of Nonoyan Wharf</t>
  </si>
  <si>
    <t>Supply, Delivery, Installation and Commissioning of Generator Sets</t>
  </si>
  <si>
    <t>Rehabilitation of Makato Public Market Phase II (Poblacion, Makato, Aklan)</t>
  </si>
  <si>
    <t>proposed purchase of furniture &amp; fixtures for Barangay hall ayala alabang new building</t>
  </si>
  <si>
    <t>Construction Drainage at Portion of Tesorero &amp; Taft Street (Poblacion, Makato, Aklan)</t>
  </si>
  <si>
    <t>CONCRETING/MAINTENANCE/REPAIR OF CONCRETE ROADS</t>
  </si>
  <si>
    <t>Supply and Delivery of Flow Totalizer Meter, Rising Stem, Gate Valves, Ultrasonic Flow Meters and Swing Check Valves</t>
  </si>
  <si>
    <t>PRN 050-FURNITURES/SOUND SYSTEM-BLOOD BANK-LDRRMF-GOODS-2020</t>
  </si>
  <si>
    <t>Package 1 of 2 - Exploratory Drilling of Gumalang Production Well No. 1 with 200m Depth Pilot Hole</t>
  </si>
  <si>
    <t>proposed purchase of lighting for barangay hall ayala alabang new building</t>
  </si>
  <si>
    <t>IMPROVEMENT OF TOYENG-DANAC FMR (SECTION 2)</t>
  </si>
  <si>
    <t>IMPROVEMENT OF TOYENG-DANAC FMR (SECTION 3)</t>
  </si>
  <si>
    <t>Supply, Delivery &amp; Installation of Equipment for Theater Lot 2</t>
  </si>
  <si>
    <t>construction materials and supplies (carpentry and electrical)</t>
  </si>
  <si>
    <t>Supply and Delivery of LED Road Lighting Luminaire</t>
  </si>
  <si>
    <t>Supply and On-site Delivery of Small Farm Machineries Set A ((Mobile) Travelling Rice Mill w/ Tractor &amp; Trailer; Corn Sheller; Hand Tractor w Trailer; &amp; Rice Reaper)</t>
  </si>
  <si>
    <t>Procurement of Fuel &amp; Lubricants used for Rehabilitation of A. Taruc Street, Socorro, SDN</t>
  </si>
  <si>
    <t>Procurement of Various Office Supplies-A (Re-bidding)</t>
  </si>
  <si>
    <t>IMPROVEMENT OF TOYENG-DANAC FMR-SECTION 1</t>
  </si>
  <si>
    <t>20PC0060 RE-INVITATION - CONCRETING OF BRGY. MARAG TO BRGY. CADACLAN FMR, LUNA &amp; CALANASAN, APAYAO</t>
  </si>
  <si>
    <t>Procurement of Lumber used for Fabrication &amp; Installation of DRRMO Open-shelf file cabinet @ MDRRM office Brgy. Navarro, Socorro, SDN</t>
  </si>
  <si>
    <t>Procurement Computer Database System</t>
  </si>
  <si>
    <t>PEO-20-0545-B (REBID)-Purchase of Technical and Scientific Equipment for use in the Material Testing and Quality Control Section, PEP, Sta, Barbara, Iloilo</t>
  </si>
  <si>
    <t>SUPPLY AND DELIVERY OF ONE (1) UNIT BRAND NEW RURAL HEALTH UNIT SERVICE VAN</t>
  </si>
  <si>
    <t>Purchase of Computer Desktop, Printer and Projector</t>
  </si>
  <si>
    <t>SUPPLY AND DELIVERY OF MEDICAL OXYGEN</t>
  </si>
  <si>
    <t>OPENING OF PACAOAN-NAGAWA FMR (PURCHASE OF CONSTRUCTION MATERIALS)</t>
  </si>
  <si>
    <t>ROAD OPENING OF CRISTO REY – STA. ISABEL ROAD CONNECTING AGDANGAN ROAD</t>
  </si>
  <si>
    <t>PEO-20-0880 B- Procurement of Construction Materials for use in the Repair / Installation of Guardrails along various Provincial Roads in the Province of Iloilo</t>
  </si>
  <si>
    <t>20PC0052 RE-INVITATION - CONSTRUCTION OF THE APAYAO LIVELIHOOD TRAINING CENTER LOCATED AT APAYAO NATIONAL GOVERNMENT CENTER</t>
  </si>
  <si>
    <t>Purchase of RPTAR</t>
  </si>
  <si>
    <t>Purchase and Delivery of Organic Foliar Fertilizer</t>
  </si>
  <si>
    <t>SUPPLY AND DELIVERY OF VARIOUS OFFICE SUPPLIES</t>
  </si>
  <si>
    <t>OPENING OF SAWANGAN-LICUNGAN FMR (SECTION 2)</t>
  </si>
  <si>
    <t>Supply and On-site Delivery of Small Farm Machineries (Set B) 4 Wheel Drive Tractor with Rotavator</t>
  </si>
  <si>
    <t>IMPROVEMENT OF MOTORPOOL EXTENSION (3.00Mx3.60M) AND GARAGE REPAIR (160.50SQM) AT MERCEDES, PORO, CEBU</t>
  </si>
  <si>
    <t>REPAIR OF TURMERIC PROCESSING BUILDING</t>
  </si>
  <si>
    <t>INFRA2020-CDD-013 Repair/ Rehabilitation of Wharf with Integrated Elevation 702 masl Marker at Barangay Dagook, Lumbatan, Lanao del Sur</t>
  </si>
  <si>
    <t>OPENING OF SAWANGAN-LICUNGAN FMR (SECTION 1)</t>
  </si>
  <si>
    <t>WATER SUPPLY INSTALLATION AT DEMO FARM</t>
  </si>
  <si>
    <t>Procurement of Lumber used for Repair of Ceiling in Storage Room in Municipal Gym (P-1) @ Municipal Gym  Brgy. Navarro, Socorro, SDN</t>
  </si>
  <si>
    <t>Package 2 of 2 - Pipeline Improvement from Junction Washington D.C. St. Rosalina Village, Along Davao-Cotabato Road and from Junction Going to Megrande To Bliss Compound</t>
  </si>
  <si>
    <t>SJADS GOODS 20-12: PROCUREMENT OF MEDICINE, MEDICAL, LABORATORY AND EMERGENCY EQUIPMENT/SUPPLIES</t>
  </si>
  <si>
    <t>Purchase of Fox Tail Palm and Assorted Fruit Trees</t>
  </si>
  <si>
    <t>Supply and On-site Delivery of Brand New  CARGO Truck for Municipality of Esperanza</t>
  </si>
  <si>
    <t>SUPPLY AND DELIVERY OF DIESEL FUEL, LUBRICANTS AND TIRE WITH FLUP USED FOR ROAD REHABILITATION(0.2Mx5.0Mx18KM) AT TUGAS RIVERSIDE, KANMANGASANG, CAIPE, CAGCAGAN, ADELA TO STA. RITA, PORO, CEBU</t>
  </si>
  <si>
    <t>INFRA2020-CDD-014 Repair/ Rehab. of Wharf with Integrated Elevation 702 masl Marker at Barangay Moriatao Bai Labay, Masiu, Lanao del Sur</t>
  </si>
  <si>
    <t>Procurement of Hardware Materials used for Repair of Ceiling in Storage Room in Municipal Gym (P-1) @ Municipal Gym Brgy. Navarro, Socorro, SDN</t>
  </si>
  <si>
    <t>Procurement of Vehicle spare parts for the use of Provincial Engineer’s Office, Laguinbanua East, Numancia, Aklan/ITB no: 2020-389</t>
  </si>
  <si>
    <t>SJADS GOODS 20-09: PROCUREMENT OF PRUNING SHEAR AND FERTILIZER</t>
  </si>
  <si>
    <t>20GDC0009 - Supply and Application of Thermoplastic Pavement Markings for Center Line and Lane Line more than 1 kilometer long along (71x) along Tanauan – Talisay – Tagaytay Road, Lake Taal – Tagaytay</t>
  </si>
  <si>
    <t>SUPPLY AND DELIVERY OF VARIOUS AGRICULTURAL EQUIPMENT AND ACCESSORIES</t>
  </si>
  <si>
    <t>Procurement of Medical Equipment</t>
  </si>
  <si>
    <t>CONSTRUCTION OF MANAPA HUMAN RESOURCE AND MANPOWER DEVELOPMENT CENTER PHASE  II</t>
  </si>
  <si>
    <t>Supply and Delivery of Common Office Supplies of various offices for the 1st &amp; 2nd Quarter 2020</t>
  </si>
  <si>
    <t>Supply and On-site Delivery of Brand New CARGO TRUCK for Municipality of Lebak</t>
  </si>
  <si>
    <t>Construction of Evacuation Center @ Brgy. Banate</t>
  </si>
  <si>
    <t>Supply/Delivery of Motorized Banca</t>
  </si>
  <si>
    <t>SUPPLY AND DELIVERY OF SEEDLINGS</t>
  </si>
  <si>
    <t>ITB 2020-02/GOODS PROCUREMENT OF 500 UNITS NETBOOK</t>
  </si>
  <si>
    <t>PEO-20-0548-B  a) Repair/Reblocking of San Jose-Buyo-Sta. Barbara Provincial Road Sta. Barbara, Iloilo b) Repair/Reblocking of Balabag-Buyo Road, Pavia/Sta. Barbara, Iloilo</t>
  </si>
  <si>
    <t>Contract ID 20CSCC01 Conduct of Sub Soil Exploration/Geotechnical Survey for the proposed building projects within the District</t>
  </si>
  <si>
    <t>SJADS GOODS 20-08: PROCUREMENT OF PATIENT TRANSPORTATION VEHICLE (VAN TYPE 18 SEATERS)</t>
  </si>
  <si>
    <t>Construction of Two Storey Barangay Olave Human Resource and Manpower Development Center</t>
  </si>
  <si>
    <t>Purchase of Goods/Materials for Improvement and Maintenance of Municipal Waterworks System Replacement of Defective Water meter and its fittings</t>
  </si>
  <si>
    <t>SJADS INFRA 20-07: DEVELOPMENT OF TAPHAGAN VILLAGE GROUND</t>
  </si>
  <si>
    <t>Procurement of Additional Internet Bandwidth for NORSU Bayawan-Sta. Catalina Campus</t>
  </si>
  <si>
    <t>INFRA2020-CDD-015 Construction of Wharf with Integrated Elevation 702 masl Marker at Barangay Lumbac, Tugaya, Lanao del Sur (Phase 1)</t>
  </si>
  <si>
    <t>Supply and Delivery of Various Equipment for Bamboo Processing Project</t>
  </si>
  <si>
    <t>INFRA2020-ADM-009 Rehabilitation/Improvement of Training Center Comfort Rooms / Water Supply System, at NPC Compound, Ditucalan, Iligan City</t>
  </si>
  <si>
    <t>Procurement of HDPE Tubing CY 2020</t>
  </si>
  <si>
    <t>20IH0106-Repair/Maintenance of Cawayan Revetment #1 Northern Samar First District Engineering Office, Brgy. Cawayan, Catarman, Northern Samar</t>
  </si>
  <si>
    <t>Supply and Delivery of Construction Materials for the Construction of Pathway from Purok 7, Poblacion 7 to Purok 4, Poblacion 9, Buenavista, Agusan del Norte</t>
  </si>
  <si>
    <t>Supply and Delivery of Various Office, Agricultural, and Other Supplies for the Research 	Division and Research Outreach Stations under 	2020 Other PSS and R&amp;D Funds</t>
  </si>
  <si>
    <t>20GCF0003 Procurement of Security Guards from Private Security Agency for CY 2020-2021 (2 Security Guard x 12 Months Contract)</t>
  </si>
  <si>
    <t>PURCHASE REQUEST OF AIR SAMPLER (TSP, PM 10, PM 2.5)</t>
  </si>
  <si>
    <t>Construction/Concreting of Barangay Road @ Sitio Yong-yong Brgy. Malimatoc II, Mabini, Batangas</t>
  </si>
  <si>
    <t>Printing of Yearbook 2019 for AY 2018-2019</t>
  </si>
  <si>
    <t>Repair/Maintenance of Ravelled Areas and Transition of Shoulders along Villasis-Malasiqui-San Carlos Road, Brgy. Barraca and Brgy. Unzad Section, Villasis, Pangasinan</t>
  </si>
  <si>
    <t>construction materials (cement and steel)</t>
  </si>
  <si>
    <t>SJADS INFRA 20-08: CONSTRUCTION/IMPROVEMENT OF COVERED COURT BLEACHER</t>
  </si>
  <si>
    <t>CONSTRUCTION OF MULTI-PURPOSE HALL-Purchase of Materials and Supplies</t>
  </si>
  <si>
    <t>Vehicle Repair and maintenance</t>
  </si>
  <si>
    <t>Supply/Delivery of 10 units Light Cargo Truck</t>
  </si>
  <si>
    <t>SUPPLY, DELIVERY, INSTALLATION, TESTING AND COMMISSIONING OF BRAND-NEW BED/ PASSENGER ELEVATOR</t>
  </si>
  <si>
    <t>Repair/Maintenance (Reblocking of Concrete Pavement with Stone Masonry) along Villasis-Malasiqui-San Carlos Road, Brgy. Barraca Section, Villasis, Pangasinan</t>
  </si>
  <si>
    <t>CONSTRUCTION OF EVACUATION CENTER(Purchase of Materials and supplies0</t>
  </si>
  <si>
    <t>PROCUREMENT OF VARIOUS IT EQUIPMENT</t>
  </si>
  <si>
    <t>MACHINERY &amp; EQUIPMENT OUTLAY FOR THE PURCHASE OF VARIOUS LABORATORY EQUIPMENT FOR THE COLLEGE OF COMPUTER STUDIES</t>
  </si>
  <si>
    <t>Concreting of Government Center Road (Phase II).</t>
  </si>
  <si>
    <t>PROCUREMENT OF VARIOUS MEDICAL EQUIPMENT (REBID), DR. JOSE RIZAL MEMORIAL HOSPITAL</t>
  </si>
  <si>
    <t>INFRA2020-PUL-011 Fabrication/Installation of Guardrails at Power Channel (Phase 13) at Camp 1 and South Poblacion, Maramag, Bukidnon</t>
  </si>
  <si>
    <t>STATE OF THE ARTS PHYSICS LABORATORY</t>
  </si>
  <si>
    <t>Banana Production-Purchase of Banana sucker</t>
  </si>
  <si>
    <t>20JE0089 Concreting of Brgy. Ditulan – Brgy. Guintananan FMR  Brgy. Ditulan and Brgy. Guintananan, Dumingag, Zamboanga del Sur</t>
  </si>
  <si>
    <t>20IH0107-Repair/Maintenance of Mondragon Revetment Northern Samar First District Engineering Office, Brgy. Eco, Mondragon, Catarman, Northern Samar</t>
  </si>
  <si>
    <t>20JE0088 Concreting of Brgy. Bibilop FMR  Brgy. Bibilop, Midsalip, Zamboanga del Sur</t>
  </si>
  <si>
    <t>STATE OF THE ARTS CHEMISTRY LABORATORY</t>
  </si>
  <si>
    <t>Purchase of one (1) unit, 4 x 2, Dsl, Garbage Dump Truck to be used for garbage collection within the Municipality of Bauan, Batangas</t>
  </si>
  <si>
    <t>construction materials (carpentry and eelctrical)</t>
  </si>
  <si>
    <t>Supply and Delivery of LOT 1-Supplies and Materials, LOT 2- 114 units Geotagging Device to be used for the Implementation of RCM Advisory Service and Parcellary Mapping in the Region through partnersh</t>
  </si>
  <si>
    <t>Barangay Management Portal</t>
  </si>
  <si>
    <t>Procurement of Refrigerated VAN use any Marketing Related Activities / Services Region-wide under CY 2020 Budget Allocation</t>
  </si>
  <si>
    <t>REPAIR AND IMPROVEMENT OF BATUGAN FARM TO MARKET ROAD</t>
  </si>
  <si>
    <t>Supply and On-Site Delivery of Agri-Inputs (Rice &amp; Corn) for Municipality of Lutayan</t>
  </si>
  <si>
    <t>Supply and On-Site Delivery of Agri-Inputs (Rice &amp; Corn) for Municipality of Esperanza</t>
  </si>
  <si>
    <t>Supply and On-Site Delivery of Agri-Inputs</t>
  </si>
  <si>
    <t>Supply and On-Site Delivery of Agri-Inputs (Livestock &amp; Poultry)</t>
  </si>
  <si>
    <t>PROCUREMENT OF MULTI-BAND NETWORK SCANNING RECEIVER AND POST PROCESSING TOOL</t>
  </si>
  <si>
    <t>Supply and On-Site Delivery of Non-Production Inputs (IT Equipment)</t>
  </si>
  <si>
    <t>Supply, Delivery Installation, and Acceptance of IP Radios, Outdoor Access Points, Router Board, Ethernet Surge Suppressors, and Accessories</t>
  </si>
  <si>
    <t>Supply and On-Site Delivery of Brand new Cargo Truck for Cotabato City</t>
  </si>
  <si>
    <t>Supply and On-Site Delivery of Brand new Cargo Truck for Municipality of Lutayan</t>
  </si>
  <si>
    <t>ITB for the Procurement of Office Supplies for the Printing of Modules</t>
  </si>
  <si>
    <t>Supply and On-Site Delivery of Non-Agri-Inputs</t>
  </si>
  <si>
    <t>One (1) Year Maintenance of DICT-Fiber Optic Cable (FOC) Network in Palo, Leyte and Cebu City including Supply and Delivery of FOC Network Maintenance Supplies and Materials</t>
  </si>
  <si>
    <t>Supply and On-Site Delivery of Brand new Cargo Truck for Municipality of Lambayong</t>
  </si>
  <si>
    <t>Supply and On-Site Delivery of Agri-Inputs (Rice &amp; Corn) for Municipality of Lambayong</t>
  </si>
  <si>
    <t>SUPPLY AND DELIVERY OF BRAND NEW 10-WHEELER DUMP TRUCK</t>
  </si>
  <si>
    <t>PROVINCIAL ROAD MAINTENANCE (MAHAYAHAY-CUARINTA SECTION, KABISIG ROAD), CONSTRUCTION OF CONCRETE SHOULDER</t>
  </si>
  <si>
    <t>Purchase of High End Multifunction Printer and Consumables for City Division Office of City of Naga, Cebu</t>
  </si>
  <si>
    <t>CONSTRUCTION OF PALAY STORAGE AND MULTI-PURPOSE DRYING PAVEMENT</t>
  </si>
  <si>
    <t>Pag-IBIG Fund CHQ (Supply and Delivery of One (1) Unit Passenger Van Vehicle (PV) – (Rebidding))</t>
  </si>
  <si>
    <t>CROPS AND VEGETABLE PRODUCTION (Planting Materials)</t>
  </si>
  <si>
    <t>Pag-IBIG Fund CHQ (Engagement of Manpower Service Provider for Lot IV - Management/Technical Support Assistant Services for Y2020 to Y2022))</t>
  </si>
  <si>
    <t>Pag-IBIG Fund CHQ (Engagement of Manpower Service Provider for Lot II - Accounting/Loans Support Assistant Services for Y2020 to Y2022))</t>
  </si>
  <si>
    <t>PROVINCIAL ROAD MAINTENANCE (SAN JOSE-MATINGBE SECTION), CONSTRUCTION OF CONCRETE SHOULDER AND LINED CANAL</t>
  </si>
  <si>
    <t>Pag-IBIG Fund CHQ (Engagement of Manpower Service Provider for Lot III - Marketing/Customer Support Assistant Services for Y2020 to Y2022))</t>
  </si>
  <si>
    <t>Supply and delivery of Various materials for Articles submitted to the the University Research Journals and Students' Researches (University Publication 2020)</t>
  </si>
  <si>
    <t>Pag-IBIG Fund CHQ (Engagement of Manpower Service Provider for Lot V - IT Support Assistant Services for Y2020 to Y2022))</t>
  </si>
  <si>
    <t>Pag-IBIG Fund CHQ (Engagement of Manpower Service Provider for Lot I - Clerical and Administrative Support Assistant Services for Y2020 to Y2022))</t>
  </si>
  <si>
    <t>Improvement of Multi-Purpose Building in Barangay Bonbon, Catarman, Camiguin</t>
  </si>
  <si>
    <t>Supply and On-Site Delivery of Agri-Inputs (Rice &amp; Corn) for Cotabato City</t>
  </si>
  <si>
    <t>PROCUREMENT OF OFFICE SUPPLIES AND DEVICES</t>
  </si>
  <si>
    <t>Rehabilitation of Day Care 1 and 2</t>
  </si>
  <si>
    <t>20GF0107 - Concreting of Brgy. Talayatay to Brgy. Lumangan FMR, Brgy. Talayatay and Brgy. Lumangan, Igbaras, Iloilo</t>
  </si>
  <si>
    <t>CONSTRUCTION OF EVACUATION CENTER(Purchase of Crude Oil)</t>
  </si>
  <si>
    <t>Supply and On-Site Delivery of Agri-Inputs (Rice ) for Municipality of Lebak</t>
  </si>
  <si>
    <t>S1-KAB20-001 - Supply and Delivery of Mechanical PMS and Security Spare Parts for 300KW M-C375 Cummins (KTA19-G2) Genset of Kabugao Diesel Power Plant</t>
  </si>
  <si>
    <t>SUPPLY AND DELIVERY OF CONSTRUCTION MATERIALS FOR BUALAN CIP</t>
  </si>
  <si>
    <t>S1-KAB20-002 - Supply and Delivery of Mechanical PMS and Security Spare Parts for Additional Capacity 2x200KW M-C275 Cummins 6LTAA8.9 – G3 and PMS Spare Parts of 1x100KW M-C138 Cummins 6-BTAA5.9 – G12</t>
  </si>
  <si>
    <t>PROCUREMENT OF RAPIDLY DEPLOYABLE COMMUNICATIONS SYSTEM</t>
  </si>
  <si>
    <t>REBID OF SUBSCRIPTION FOR A ONE (1) YEAR MANAGED INTERNET AND WIFI ACCESS POINT FOR PROVINCE OF BOHOL</t>
  </si>
  <si>
    <t>REBID OF SUBSCRIPTION FOR A ONE (1) YEAR MANAGED INTERNET AND WIFI ACCESS POINT FOR PROVINCE OF LEYTE</t>
  </si>
  <si>
    <t>Infra 2020-033 CONSTRUCTION OF PERIMETER FENCE INFIRMARY CLINIC,  Barangay Silanga Catbalogan City</t>
  </si>
  <si>
    <t>S1-TDP20-011 - Supply and Delivery of Mechanical Spare Parts for 600KW Cummins Diesel Engine, Model KTA38-G1 of Ticao DPP</t>
  </si>
  <si>
    <t>S2-BH120-001 - Supply and Delivery of Mechanical Spare Parts for 7 x 106KW Cummins Model: 6BTAA5.9-G2 and 1 x 63KW Cummins Diesel Engine Model: 4BTA3.9-G11 for Bohol 1 Mini Grid</t>
  </si>
  <si>
    <t>Infra 2020-035 CONSTRUCTION OF ROAD SEPTAGE PROJECT Barangay Lagundi Catbalogan City</t>
  </si>
  <si>
    <t>Construction of Two (2) Storey Command Center Building in Batangas State University, Pablo Borbon Main I</t>
  </si>
  <si>
    <t>REBID OF SUBSCRIPTION FOR A ONE (1) YEAR MANAGED INTERNET AND WIFI ACCESS POINT FOR PROVINCE OF NEGROS ORIENTAL</t>
  </si>
  <si>
    <t>20GO0104 - CONCRETING OF BRGY. GRANADA FMR, BRGY. GRANADA, BACOLOD CITY, NEGROS OCCIDENTAL</t>
  </si>
  <si>
    <t>Supply and Delivery of 225 pcs. Digital Photopolymer Plates, as per BSP Technical Specifications</t>
  </si>
  <si>
    <t>SUPPLY AND DELIVERY OF ONE (1) YEAR SUBSCRIPTION OF 100 MBPS INTERNET DIRECT (PREMIUM LEASED LINE)</t>
  </si>
  <si>
    <t>Procurement of Fuel, Oil and Lubricants of the Sangguniang Bayan and Vice-Mayor's Office</t>
  </si>
  <si>
    <t>Procurement of ICT Equipment for Public Schools</t>
  </si>
  <si>
    <t>Supply and Delivery of Laptop Computers</t>
  </si>
  <si>
    <t>Supply and Delivery of Tablets</t>
  </si>
  <si>
    <t>20GO0103 - CONCRETING OF BRGY. ALANGILAN FMR, BRGY. ALANGILAN, BACOLOD CITY, NEGROS OCCIDENTAL</t>
  </si>
  <si>
    <t>Procurement of Fuel, Oil and Lubricants for MPOC Programs</t>
  </si>
  <si>
    <t>PROCUREMENT OF GEODETIC SERVICES FOR THE RELOCATION SURVEY OF THE PNR PROPERTY LOCATED AT BRGY. SAN ISIDRO, IRIGA CITY, CAMARINES SUR (IRIGA BALLAST PIT)</t>
  </si>
  <si>
    <t>ITDI-PB-200008 - SUPPLY, DELIVERY, INSTALLATION &amp; COMMISSIONING OF ONE (1) LOT ION CHROMATOGRAPHY SYSTEM FOR ANION AND CATION DETERMINATION</t>
  </si>
  <si>
    <t>HO-TIN20-008 - Supply and Delivery of Mechanical Spare Parts for 600KW Cummins Engine Chongqing China, Model KTA38-G1 of Tingloy Diesel Power Plant</t>
  </si>
  <si>
    <t>REBID OF SUBSCRIPTION FOR A ONE (1) YEAR MANAGED INTERNET AND WIFI ACCESS POINT FOR PROVINCE OF BILIRAN</t>
  </si>
  <si>
    <t>ITDI-PB-200009 - SUPPLY, DELIVERY, INSTALLATION &amp; COMMISSIONING OF ONE (1) LOT V MIXER FOR POWDER AND ACCESSORIES</t>
  </si>
  <si>
    <t>REBID OF SUBSCRIPTION FOR A ONE (1) YEAR MANAGED INTERNET AND WIFI ACCESS POINT FOR PROVINCE OF SAMAR</t>
  </si>
  <si>
    <t>OUTSOURCING OF JANITORIAL SERVICES (Re-Bid).</t>
  </si>
  <si>
    <t>REBID OF SUBSCRIPTION FOR A ONE (1) YEAR MANAGED INTERNET AND WIFI ACCESS POINT FOR PROVINCE OF NORTHERN SAMAR</t>
  </si>
  <si>
    <t>Procurement of Office Equipment for Sablayan Museum</t>
  </si>
  <si>
    <t>ALL SEASON FISHING (FISHING BOAT AND GEARS "BOBO") - NAUSOK</t>
  </si>
  <si>
    <t>20DE0155 Local Infrastructure Program – Road Widening along San Isidro - Sto. Niño Rd, Batangas City, Batangas</t>
  </si>
  <si>
    <t>ALL SEASON FISHING (FISHING BOAT AND GEARS) - POBLACION</t>
  </si>
  <si>
    <t>VEGETABLE SALAD AND BROILER PRODUCTION AND MARKETING ENTERPRISE</t>
  </si>
  <si>
    <t>Supply and Delivery of Weighing Scale (PR No. 20-06-0247)</t>
  </si>
  <si>
    <t>Supply and Delivery of Face Shield</t>
  </si>
  <si>
    <t>Procurement of Tourism Destination Marketing Company for Thailand</t>
  </si>
  <si>
    <t>Supply and Delivery of Face Mask</t>
  </si>
  <si>
    <t>REBID OF SUBSCRIPTION FOR A ONE (1) YEAR MANAGED INTERNET AND WIFI ACCESS POINT FOR PROVINCE OF SOUTHERN LEYTE</t>
  </si>
  <si>
    <t>NATIVE CHICKEN PRODUCTION AND MARKETING ENTERPRISE - BUNGA MAR</t>
  </si>
  <si>
    <t>Supply and Delivery of Ancillary Kit</t>
  </si>
  <si>
    <t>Supply and Delivery of Laboratory Reagent</t>
  </si>
  <si>
    <t>Supply and Delivery of Alcohol</t>
  </si>
  <si>
    <t>Construction of Drainage along Macapagal Drive (Phase 2), Canitoan; SN 140 - 2020</t>
  </si>
  <si>
    <t>Construction of Slope Protection Structure @ Gusa National High School; SN 142 - 2020</t>
  </si>
  <si>
    <t>Supply and Delivery of Hand Washing Health Kit</t>
  </si>
  <si>
    <t>Construction of Drainage along Tomas Saco St. Diversion Channel towards Arroyo Creek, Macasandig (Phase 2); SN 141 - 2020</t>
  </si>
  <si>
    <t>Construction/Improvement of Public Market City Wide   Construction/Improvement of Terminal Market  at Brgy. Flores, City Proper, Iloilo City (Bid No. 20-152)</t>
  </si>
  <si>
    <t>Construction of 4-Storey 8-Classroom Building with Demolition of Classroom (Phase I)   Completion of Building and Site Development  at Feliciana Java Kelly Elementary School, Mandurriao, Iloilo City (</t>
  </si>
  <si>
    <t>Road Opening from SDR to Convention Center passing Court of Appeals (Indahag); SN 139 - 2020</t>
  </si>
  <si>
    <t>Construction of 4-Storey 20-Classroom Building at A. Bonifacio Integrated School, City Proper, Iloilo City (Bid No. 20-154)</t>
  </si>
  <si>
    <t>Construction of Security Facilities at Fort San Pedro National High School, City Proper, Iloilo City (Bid No. 20-150)</t>
  </si>
  <si>
    <t>Road Opening from Sto. Niño to Convention Center; SN 143 - 2020</t>
  </si>
  <si>
    <t>Concrete Paving of 33rd St. with Drainage, Nazareth; SN 154 - 2020</t>
  </si>
  <si>
    <t>FARM MACHINERIES AND RICE MILL TO SUPPORT RICE PRODUCTION ENTERPRISE - BALILI</t>
  </si>
  <si>
    <t>ENHANCEMENT OF CANDLE PRODUCTION AND MARKETING - FARAON</t>
  </si>
  <si>
    <t>Construction/Rehabilitation of Existing Drainage System at Brgy. Quintin Salas, Jaro, Iloilo City (Bid No. 20-149)</t>
  </si>
  <si>
    <t>Food Processing Equipment for PEMO-2020-2106</t>
  </si>
  <si>
    <t>Foodstuff for SPD-2020-0009</t>
  </si>
  <si>
    <t>FARM MACHINERIES EQUIPMENT RENTAL SERVICE TO SUPPORT RICE PRODUCTION ENTERPRISE - CAMBUGASON</t>
  </si>
  <si>
    <t>Laboratory Equipment for VET-2020-0398</t>
  </si>
  <si>
    <t>GOAT PRODUCTION AND MARKETING ENTERPRISE - CANTUYOC</t>
  </si>
  <si>
    <t>Procurement of 1 Unit Passenger Van, NIPSC, Estancia, Iloilo</t>
  </si>
  <si>
    <t>BID - Various Hospital Equipment - ONMMC PR Nos. 24, 37</t>
  </si>
  <si>
    <t>PROVISION OF MACHINERIES AND EQUIPMENT TO SUPPORT RICE VEGETABLE PRODUCTION ENTERPRISE - NAATANG</t>
  </si>
  <si>
    <t>Communication Equipment for HOD-2020-0783</t>
  </si>
  <si>
    <t>FARM MACHINERIES EQUIPMENT RENTAL AND SERVICE TO SUPPORT RICE PRODUCTION - ALEJAWAN</t>
  </si>
  <si>
    <t>Publication No. 38-2020-G (First Publication) BRAND NEW AMBULANCE</t>
  </si>
  <si>
    <t>Straight Contract for Water Project at, Brgy. Mahalang, Himamaylan City</t>
  </si>
  <si>
    <t>Publication No. 36-2020-G (First Publication) BRAND NEW LIGHT TRUCK</t>
  </si>
  <si>
    <t>Publication No. 37-2020-G (First Publication) BRAND NEW MERCY VAN</t>
  </si>
  <si>
    <t>GOAT PRODUCTION AND MARKETING ENTERPRISE - ODIONG</t>
  </si>
  <si>
    <t>SEWING "RAG, DOORMAT, PILLOW CASE, P-HOLDER" PRODUCTION - TUBOD MAR</t>
  </si>
  <si>
    <t>Straight Contract for Construction of Farm to Market Road at So. Bungyod, Brgy. II-Poblacion, Himamaylan City</t>
  </si>
  <si>
    <t>Straight Contract for Construction of Drainage at NGC to Silos Subdivision, Brgy. Talaban, Himamaylan City</t>
  </si>
  <si>
    <t>Straight Contract for Construction of Farm to Market Road at So. Valencia, Brgy. III-Poblacion, Himamaylan City</t>
  </si>
  <si>
    <t>ALL SEASON FISHING (CANJULAO, PAGINA, POBLACION AND TEJERO FISHERFOLKS)</t>
  </si>
  <si>
    <t>Straight Contract for Rural Electrification at So. Daat (Upper Daat), Brgy. Carabalan, Himamaylan City</t>
  </si>
  <si>
    <t>Supply and Delivery of Various Materials, Pipes &amp; Fitti8ngs for Impprovement of Water Supply System at Brgy. Ditucalan, Iligan City</t>
  </si>
  <si>
    <t>Straight Contract for Construction of Farm to Market Road at Nawasa-So. Bingig, Brgy. III-Poblacion, Himamaylan City</t>
  </si>
  <si>
    <t>Construction of Plant Nurseries</t>
  </si>
  <si>
    <t>Installation of Firefighting Equipments and Sprinkler System for RHU II at Ban-ag, Santa Barbara, Iloilo</t>
  </si>
  <si>
    <t>Procurement of Materials and supplies for BHS</t>
  </si>
  <si>
    <t>Construction of Uniformed Apartment Type Niche at the Municipal Cemetery</t>
  </si>
  <si>
    <t>FARM MACHINERIES EQUIPMENT RENTAL AND SERVICE TO SUPPORT RICE PRODUCTION ENTERPRISE - BUNGA ILAYA</t>
  </si>
  <si>
    <t>DRILLING OF ONE (1) PRODUCTION WELL  AT BRGY. P. LUPA, MABINI, BATANGAS</t>
  </si>
  <si>
    <t>CONSTRUCTION OF FARMER’S MULTI PURPOSE HALL</t>
  </si>
  <si>
    <t>Purchase of Materials for the Concreting of Barasan Oeste Barangay Road</t>
  </si>
  <si>
    <t>Purchase of Materials for the Concreting of Sangcate Barangay Road</t>
  </si>
  <si>
    <t>Purchase of Materials for the Concreting of Manhayang Barangay Road</t>
  </si>
  <si>
    <t>Purchase of 2,880 liters of Diesel fuel for the improvement of farm to market roads at San Antonio, Baggao, Cagayan</t>
  </si>
  <si>
    <t>Furnishing/Deliveries of Bituminous Materials and Pavement Markings use for Repair and Maintenance of National Roads and Bridges within the District</t>
  </si>
  <si>
    <t>Improvement of Road @ Purok 1, 2, 3 &amp; 4, Lanna</t>
  </si>
  <si>
    <t>PURCHASE OF MATERIALS FOR THE CONSTRUCTION OF BDRRM OFFICE (revised) AT SAN JOSE, BAGGAO, CAGAYAN</t>
  </si>
  <si>
    <t>Purchase of Materials for the Concreting of Cadagmayan Sur Barangay Road</t>
  </si>
  <si>
    <t>ITB No. (INF) 2020-07-096 CONSTRUCTION OF MULTI-PURPOSE BUILDING, Brgy. Loyola Heights, Sulat, Eastern Samar</t>
  </si>
  <si>
    <t>Improvement of FMR @ Burubor to Namitpitan, Bulo</t>
  </si>
  <si>
    <t>Purchase of Materials for the Concreting of Canipayan Barangay Road</t>
  </si>
  <si>
    <t>Supply and Delivery of 340 bags Hybrid Palay Seeds for use in the Implementation of RRP-ALPAS Program under Rice Program 2020</t>
  </si>
  <si>
    <t>Improvement of Road at FF Cruz Section, Bulanao</t>
  </si>
  <si>
    <t>Construction of Slope Protection @ Alinanag, Calaccad</t>
  </si>
  <si>
    <t>ITB No. (INF) 2020-07-094 CONSTRUCTION OF MULTI-PURPOSE BUILDING (PHASE II), Brgy. Bacjao, Balangiga, Eastern Samar</t>
  </si>
  <si>
    <t>ITB - Procurement of Supplies and Materials for Concreting of Monte Alegre Pathway to Sitio Opaw</t>
  </si>
  <si>
    <t>CONSTRUCTION OF DRAINAGE CANAL AT SAN MARIANO</t>
  </si>
  <si>
    <t>ITB No. (INF) 2020-07-095CONSTRUCTION OF MULTI-PURPOSE BUILDING/COVERED COURT, Brgy. San Vicente, Sulat, Eastern Samar</t>
  </si>
  <si>
    <t>Completion of Gymnasium (GAD) Purok 3, Calanan</t>
  </si>
  <si>
    <t>Supply, Delivery, Installation and Testing of Laboratory Equipment for the Research Projects and Tuklas Lunas Project 2</t>
  </si>
  <si>
    <t>CRFPS SLP (farm machineries and equipment)</t>
  </si>
  <si>
    <t>Construction of Bridge Connecting Brgys. Quezon, Quirino, Mansibang &amp; Palattao, Naguillian, Isabela</t>
  </si>
  <si>
    <t>ITB - Procurement of Supplies and Materials for Concreting of Altavista Brgy. Road to Sitio Tonggo</t>
  </si>
  <si>
    <t>Construction of Elementary Standard Three-Storey (6 Classrooms) School Building, Bayanihan Elementary School, Tacloban City</t>
  </si>
  <si>
    <t>Maintenance of Completed District III-Sta. Cruz Farm to Market Road, San Manuel, Isabela</t>
  </si>
  <si>
    <t>Purchase of Materials for the Installation &amp; Rehabilitation of Street Lighting Facilities of Brgy San Blas, Paoay, Ilocos Norte</t>
  </si>
  <si>
    <t>Improvement of Road @ Madopdop, Lacnog</t>
  </si>
  <si>
    <t>Purchase of Materials for the Concreting of Zone 2 Barangay Road</t>
  </si>
  <si>
    <t>Maintenance of Completed Olango-Siempre Viva-Trinidad-Manano Farm to Market Road, Mallig, Isabela</t>
  </si>
  <si>
    <t>Installation of High Pressure Irrigation Pipe w/ Elevated Concrete Water Tank - Tabuk Agro Food Center, Balong</t>
  </si>
  <si>
    <t>ITB No. (INF) 2020-07-098 CONSTRUCTION OF MULTI-PURPOSE BUILDING/COVERED COURT, Brgy. 1, Dolores, Eastern Samar</t>
  </si>
  <si>
    <t>Supply, Delivery and Installation of 1 Lot 645KVA Generator Set of Bukidnon State University(re-bidding)</t>
  </si>
  <si>
    <t>Supply &amp; Delivery of Printers &amp; USB for use in Public Schools in this Municipality, LGU Villasis, Pangasinan</t>
  </si>
  <si>
    <t>Jetmatic Pumps for SPD-2020-0010</t>
  </si>
  <si>
    <t>Procurement of Construction Materials (improvement of Barangay Water System)</t>
  </si>
  <si>
    <t>Maintenance of Completed Union-Camasi Farm to Market Road, Cabagan, Isabela</t>
  </si>
  <si>
    <t>INF-ITB 20-036 Upgrading of Tampakan - Maltana - Cebuano Boundary Road, Tampakan, South Cotabato</t>
  </si>
  <si>
    <t>INF-ITB 20-039 Upgrading of Centrala - Naci - Lambontong Road, Surallah, South Cotabat</t>
  </si>
  <si>
    <t>Maintenance of Completed San Placido-Sinamar Farm to Market Road, Roxas, Isabela</t>
  </si>
  <si>
    <t>Procurement of Dental Chair with accessories, Patient’s Examining bed, foot stool and working table for the use of Department of Education, Province of Aklan/ITB no: 2020-383</t>
  </si>
  <si>
    <t>Procurement of Works for the Construction of Day Care Center @ Barangay Tabon, Tapaz, Capiz</t>
  </si>
  <si>
    <t>Construction of Barangay Health Station and Birthing Center (Small Model) at Brgy. Banbanan</t>
  </si>
  <si>
    <t>ITB - Procurement of Hammer Mill/ Pulverizer</t>
  </si>
  <si>
    <t>RM OF SCHOOL FENCE</t>
  </si>
  <si>
    <t>ITB - Procurement of Plastic Shredder Machine</t>
  </si>
  <si>
    <t>Q-048-20 PROCUREMENT OF KITCHEN EQUIPMENT</t>
  </si>
  <si>
    <t>45,900 liters Diesel and 480 liters Gasoline, extra</t>
  </si>
  <si>
    <t>Procurement of Construction Materials (Rehabilitation of Multi-purpose Center)</t>
  </si>
  <si>
    <t>257,280 liters Fuel Diesel</t>
  </si>
  <si>
    <t>20EF0125 Repair/Maintenance of Pavement Markings (Thermoplastic) along Quezon-Aramaywan Road, K0147+300-K0158+300(Intermittent) Quezon, Palawan</t>
  </si>
  <si>
    <t>20EF0124 Repair/Maintenance of Pavement Markings (Thermoplastic) along Puerto Princesa South Road, K0158+000-K0179+900, K0229+000-K0232+000 &amp; K0234+680-K0248+320(Intermittent) Sofronio Española to Bro</t>
  </si>
  <si>
    <t>CONSTRUCTION OF WATER SYSTEM LEVEL II</t>
  </si>
  <si>
    <t>SUPPLY AND DELIVERY OF OFFICE SUPPLIES (FOR INSTRUCTIONAL DELIVERY VIA FLEXIBLE  LEARNING MODALITIES)</t>
  </si>
  <si>
    <t>CONSTRUCTION OF BUSINESS CENTER</t>
  </si>
  <si>
    <t>72 heads Swine (Gilts and Boars), etc.</t>
  </si>
  <si>
    <t>Procurement of Long Lasting Insecticide Treated Nets</t>
  </si>
  <si>
    <t>REPRODUCTION OF LEARNING MATERIALS</t>
  </si>
  <si>
    <t>Supply, Delivery and Installation of 1 Lot Skills Laboratory Equipment for New Nursing Laboratory of Bukidnon State University (re-bidding)</t>
  </si>
  <si>
    <t>Construction of Barangay Health Station and Birthing Center (Small Model) at Brgy. Alegria</t>
  </si>
  <si>
    <t>Supply and Delivery of Construction Materials and Supplies for the Construction of Senior Citizen Building (So. Centro)</t>
  </si>
  <si>
    <t>Q-022-20 PROCUREMENT OF PHYSICAL FITNESS EQUIPMENT AND ACCESSORIES</t>
  </si>
  <si>
    <t>PURCHASE OF OFFICE SUPPLIES-063</t>
  </si>
  <si>
    <t>RE-BIDDING FOR THE CONSTRUCTION OF DRAINAGE CANAL FOR TEN (10) BARANGAYS</t>
  </si>
  <si>
    <t>PBD 20-082 Office Furniture</t>
  </si>
  <si>
    <t>Supply and Delivery of One (1) Unit Van Type Vehicle; PR No. 20-1580 dated 23 March 2020; SN 170 - 2020</t>
  </si>
  <si>
    <t>CONCRETING OF BARANGAY ROAD, POBLACION ZONE I, DINALUNGAN, AURORA</t>
  </si>
  <si>
    <t>CONSTRUCTION OF MULTI-PURPOSE HALL (TRIBAL HALL), BRGY. MANGGITAHAN, DILASAG, AURORA</t>
  </si>
  <si>
    <t>ITB No. (INF) 2020-07-097 CONCRETING OF BARANGAY ROAD, Brgy. 4, San Policarpo, Eastern Samar</t>
  </si>
  <si>
    <t>Purchase and Deliver of Materials for the Construction of Multi-Purpose Building at Brgy. Sta.Brigida, Mansalay, Oriental Mindoro</t>
  </si>
  <si>
    <t>Provision of Two (2) Internet Service Provider for Iriga City Information and Communication Technology (ICT) Center.</t>
  </si>
  <si>
    <t>ITB 2020-07-113 Supply and Installation of one (1) unit CT Scan 128 Slices and one (1) unit Ultrasound Machine (General Use) for GABMMC</t>
  </si>
  <si>
    <t>Procurement of Construction Materials (Construction of Materials Recovery Facility MRF)</t>
  </si>
  <si>
    <t>8,823 copies Job-Order: Reproduction of Chavacano Grammar Book entitled Libro de Gamatica de Zamboang</t>
  </si>
  <si>
    <t>8,823 copies Job-Order: Reproduction of Chavacano Grammar Book entitled Libro de Gamatica de Zamboanga</t>
  </si>
  <si>
    <t>INF-ITB 20-038 Upgrading of Tampakan - Sta. Cruz - Topland Boundary Road, Tampakan/Koronadal City, South Cotabato</t>
  </si>
  <si>
    <t>20LB0273 - Concreting of Sitio Cebole, Brgy. Colosas Phase 2 FMR, Brgy. Colosas, Paquibato District, Davao City</t>
  </si>
  <si>
    <t>CONSTRUCTION OF RIPRAP ALONG VERGADO CREEK (DOUBLE BOX CULVERT) STA. KO. 364+620 TO KO 364+631, DILASAG, AURORA</t>
  </si>
  <si>
    <t>Improvement of Day Care Center, Namabbalan Norte, Tuguegarao City</t>
  </si>
  <si>
    <t>20LB0272 - Concreting of Brgy. Colosas FMR, Brgy. Colosas, Paquibato District, Davao City</t>
  </si>
  <si>
    <t>CONSTRUCTION OF BOX CULVERT, BRGY. DIMABUNO, DIPACULAO, AURORA</t>
  </si>
  <si>
    <t>Supply and Delivery of 1 unit Emergency Response Vehicle under Purchase Request No. 900-20</t>
  </si>
  <si>
    <t>Procurement of 1 Unit Pick-up(4x4) for the use of the office of Sustainable Development Center (SDC) as Service/Cargo Vehicle</t>
  </si>
  <si>
    <t>Procurement of One (1) lot Supply Labor and Materials for the Supplemental Drainage at Central Market Building at Tanauan, Leyte</t>
  </si>
  <si>
    <t>SUPPLY AND DELIVERY OF SURVEYING EQUIPMENT</t>
  </si>
  <si>
    <t>CONCRETING OF FTMR, BRGY. IBONA, DINGALAN, AURORA</t>
  </si>
  <si>
    <t>2,032 copies Job-Order: Reproduction of Books on Chavacano Lexicography/Dictionary</t>
  </si>
  <si>
    <t>20LB0305 - Repair/Maintenance of DPWH Building Bodega Building 2, Talomo, Davao City</t>
  </si>
  <si>
    <t>20LB0266 - Concreting of Brgy. Sumimao FMR, Brgy. Sumimao, Paquibato District, Davao City</t>
  </si>
  <si>
    <t>PBD 20-083 IT EQUIPMENT, AUDIOVISUAL EQUIPMENT, APPLIANCES AND MOBILE DEVICES</t>
  </si>
  <si>
    <t>CONSTRUCTION OF DRAINAGE BESIDE AND AT THE BACK OF MUNICIPAL GYMNASIUM</t>
  </si>
  <si>
    <t>IB No. 2001-22 Proc. of Goods (Books)(Rebid)</t>
  </si>
  <si>
    <t>Supply &amp; Delivery of 141 pcs TRAPAL (16 x 24) for donations to Various Barangays, Himamaylan City</t>
  </si>
  <si>
    <t>Supply and Delivery of 1,796 units 15mm dia. Multi-Jet Brass Water Meter</t>
  </si>
  <si>
    <t>Supply &amp; Delivery of 43750 pcs NOTEBOOKS for donations to Various Barangays &amp; Schools, Himamaylan City</t>
  </si>
  <si>
    <t>20LB0297 - Repair/Maintenance of DILG Building PNP – Regional Director’s Quarter Camp. Sgt. Quintin M. Merecido Catitipan, Davao City</t>
  </si>
  <si>
    <t>Drilling of One (1) Production Well</t>
  </si>
  <si>
    <t>2020-013 GOODS "PROCUREMENT OF LABORATORY EQUIPMENT FOR THE UPGRADING OF ANIMAL HEALTH LABORATORY FACILITY OF TAU"</t>
  </si>
  <si>
    <t>20LB0278 - Concreting of Purok 5 to Purok Ayagon, Brgy. Lumiad FMR, Brgy. Lumiad, Paquibato District, Davao City</t>
  </si>
  <si>
    <t>Procurement of Refilling of Medical Oxygen, Medical Compressed Air and Medical CO2 for the Gov. Roque B. Ablan Sr. Memorial Hospital and Different District Hospitals</t>
  </si>
  <si>
    <t>CONSTRUCTION OF FLOOD CONTROL, BRGY. SALAY, DIPACULAO, AURORA</t>
  </si>
  <si>
    <t>20LB0277 - Concreting of Brgy. Lumiad Hall to Sitio Banban Phase 2 FMR, Brgy. Lumiad, Paquibato District, Davao City</t>
  </si>
  <si>
    <t>20EF0123 Repair/Maintenance of Pavement Markings (Thermoplastic) along Puerto Princesa South Road Jct. (Abo-Abo-Quezon Road) &amp; Quezon Aramaywan Road, K0129+(-1007) - K0145+856 &amp; K0146+(-150) - K0175+0</t>
  </si>
  <si>
    <t>CONSTRUCTION OF MULTI-PURPOSE HALL, BRGY. 04, SAN LUIS, AURORA</t>
  </si>
  <si>
    <t>ITB No. 20-067: Supply and Delivery of Two Hundred Forty Thousand (240,000) Heparin Sodium, 1000IU/mL 5mL, Vial  (FRAMEWORK AGREEMENT)</t>
  </si>
  <si>
    <t>Purchase of Fourteen (14) Units Duplicator Machine</t>
  </si>
  <si>
    <t>Procurement of Works for the Construction of Barangay Health Station @ Barangay Lahug, Tapaz, Capiz</t>
  </si>
  <si>
    <t>IB No. 2007-345 Proc. of Goods (Web Based Prepaid Loading Portal Service)</t>
  </si>
  <si>
    <t>Construction of Barangay Road/Feeder Road, Brgy. Labney, San Jacinto, Pangasinan</t>
  </si>
  <si>
    <t>Improvement of Multi - Purpose Building, Namabbalan Norte, Tuguegarao City</t>
  </si>
  <si>
    <t>Purchase and Deliver of Materials for the Construction of Multi-Purpose Building at sitio Inakay, Brgy. Cabalwa, Mansalay, Oriental Mindoro</t>
  </si>
  <si>
    <t xml:space="preserve">20JB0084 - Repair/Rehabilitation of Infrastructure Facilities and other Related Activities – Repair and Maintenance of Road Safety Facilities Dipolog – Oroquieta Rd. (S01039MN); Dipolog – Sindangan – </t>
  </si>
  <si>
    <t>Public Bidding for the Repair of Building to be Used as Quarantine Facility for COVID-19 Health Workers Located at Nursery Dormitory, (BDH) Bailan District Hospital, Pontevedra, Capiz, Under ITB No. 2</t>
  </si>
  <si>
    <t>Public Bidding for the Proposed Construction of Aksyon Tabang PDRRMU Emergency Operation Center cum Evacuation Center - Phase II at Brgy. Lanot, Roxas City, Under ITB No. 2020-004C</t>
  </si>
  <si>
    <t>Construction of Composting Facility for Biodegradable Waste @ Baybayabas, Santiago, Ilocos Sur</t>
  </si>
  <si>
    <t>Supply &amp; Delivery of materials for the Improvement of ALS Building, Solano East Central School, SNV.</t>
  </si>
  <si>
    <t>Purchase of Materials for the Construction of Sea Ambulance</t>
  </si>
  <si>
    <t>Public Competitive Bidding for the Supply and Delivery of Ethyl Alcohol for the Account of the Philippine Statistics Authority (PSA)</t>
  </si>
  <si>
    <t>Invitation to Bid for the Construction of Flood Control @ Brgy. Pug-os (Sadiri), Cabugao, Ilocos Sur</t>
  </si>
  <si>
    <t>Construction of Farm to Market Road @ Caburao, Santiago, Ilocos Sur</t>
  </si>
  <si>
    <t>20LB0317 - Repair/Maintenance of National Roads and Bridges, Provision of Thermoplastic Pavement Markings, Along Daang Maharlika Road K1488+000-K1494+000, Davao City Diversion Road K1514+100-K1515+911</t>
  </si>
  <si>
    <t>Supply and Delivery of Janitorial and Office Supplies for the use of BFP Region 6 for CY 2020</t>
  </si>
  <si>
    <t>INVITATION TO BID FOR SUPPLY AND DELIVERY OF GOODS (BILIRAN LIVELIHOOD SEEDING PROGRAM)</t>
  </si>
  <si>
    <t>20LB0274 - Concreting of Sitio Damilag Phase 2, Brgy. Mapula FMR, Brgy. Mapula. Paquibato District, Davao City</t>
  </si>
  <si>
    <t>Procurement of Learning Packets</t>
  </si>
  <si>
    <t>20LB0307 - Repair/Maintenance of DILG Building Bu. Of Fire Protection Regional Office XI, Davao City</t>
  </si>
  <si>
    <t>Supply &amp; Delivery of 26 units Refrigerator’s for donations to Various Barangays &amp; Schools, Himamaylan City</t>
  </si>
  <si>
    <t>Supply &amp; Delivery of 39 units Television's for donations to Various Barangays &amp; Schools, Himamaylan City</t>
  </si>
  <si>
    <t>Supply &amp; Delivery of 30 units WATER DISPENSER for donations to Various Barangays &amp; Schools, Himamaylan City</t>
  </si>
  <si>
    <t>Construction of Deep well Pump (Manual) at San Isidro, San Fernando, Cebu</t>
  </si>
  <si>
    <t>20LB0309 - Repair/Maintenance of DICT Building Regional Office Building- Phase 2, Davao City</t>
  </si>
  <si>
    <t>Invitation to Bid for  PURCHASED OF FILLING MATERIALS FOR PUBLIC MARKET, POBLACION, STA. FE, LEYTE (CW-2020-02)</t>
  </si>
  <si>
    <t>Supply &amp; Delivery of materials for the Rehabilitation of Bagahabag Bridge at Purok 5, Brgy. Bagahabag, SNV.</t>
  </si>
  <si>
    <t>INF-ITB 20-037 Upgrading of Junction National Highway San Vicente - Malaya - Lamkot Road, Banga, South Cotabato</t>
  </si>
  <si>
    <t>Procurement of Vehicle</t>
  </si>
  <si>
    <t>Construction of Barangay Health Station and Birthing Center (Small Model) at Brgy. Bawang</t>
  </si>
  <si>
    <t>Construction of Covered Court (Phase-2),Barangay Molocboloc, Alubijid,  Misamis Oriental</t>
  </si>
  <si>
    <t>PROCUREMENT OF LOCAL DISASTER RISK REDUCTION MANAGEMENT OFFICE ADDITIONAL EQUIPMENT AND SUPPLIES</t>
  </si>
  <si>
    <t>Public Bidding of 7 Lots for the Supply &amp; Delivery of Construction Materials for the Various Projects of the Provincial Engineer’s Office under ITB No. 2020-016R</t>
  </si>
  <si>
    <t>Invitation to Bid for the Improvement of Water System @ Cabugao, Ilocos Sur</t>
  </si>
  <si>
    <t>Invitation to Bid for  IMPROVEMENT OF CONCRETE PAVEMENT LEADING TO MUNICIPAL GYMNASIUM, STA. FE, LEYTE (CW-2020-03)</t>
  </si>
  <si>
    <t>CONSTRUCTION OF SCHOOL STAGE, FLORIDA ELEMENTARY SCHOOL, MARIA, AURORA</t>
  </si>
  <si>
    <t>Construction of Covered Court (Phase-3), Barangay Nangcaon, Opol,  Misamis Oriental</t>
  </si>
  <si>
    <t>CID NO. 20IF0004-C-Geotechnical Investigation in Connection with the Road Widening of Tertiary Roads-Kananga-Tungonan Hot Spring Road</t>
  </si>
  <si>
    <t>Installation of Production Pump for Upper Tangke, San Isidro, San Fernando, Cebu</t>
  </si>
  <si>
    <t>Fabrication of Sterile Wave 250 Blade Assembly</t>
  </si>
  <si>
    <t>Const./Rehab of Multi-Purpose Hall Phase-3</t>
  </si>
  <si>
    <t>Invitation to Bid for the Concreting of Farm to Market Road @ Brgy. Pug-os (Sadiri East), Cabugao, Ilocos Sur</t>
  </si>
  <si>
    <t>Supply and Delivery of Power Sprayer</t>
  </si>
  <si>
    <t>Procurement of 1 Set Drone with Accessories under P.R No. 2312-2020 - CMO- Provision for Technical and Scientific Equipment (Continuing)</t>
  </si>
  <si>
    <t>Construction of Barangay Health Station (Large Model) at Brgy. Carmelo 1</t>
  </si>
  <si>
    <t>PROJECT # 20-083 - SUPPLY AND DELIVERY OF DRUGS AND MEDICINES 3RD  QUARTER - CHO</t>
  </si>
  <si>
    <t>Invitation to Bid for the Improvement of Farm to Market Road @ Brgy. Quezon (Proper), Cabugao, Ilocos Sur</t>
  </si>
  <si>
    <t>Heavy Equipments</t>
  </si>
  <si>
    <t>PROJECT # 20-044 – PROCUREMENT OF STF DISASTER EQUIPMENT FOR DISASTER RESPONSE AND RESCUE ACTIVITES - LDRRMO</t>
  </si>
  <si>
    <t>Continuation of Student Dormitory, MMSU, City of Batac</t>
  </si>
  <si>
    <t>Invitation to Bid for the Construction of Multi-Purpose Building @ Brgy. Sisim (Proper), Cabugao, Ilocos Sur</t>
  </si>
  <si>
    <t>PURCHASE OF MEDICINES AND MEDICAL SUPPLIES</t>
  </si>
  <si>
    <t>RE-BID FOR PROJECT # 20-053 - PROCUREMENT OF CCTV CAMERA WITH TV MONITOR SYSTEM AND NETWORK INFRASTRUCTURE – CITY SCHOOL DIVISION OFFICE</t>
  </si>
  <si>
    <t>PROJECT # 20-094 - PROCUREMENT OF MOTOR VEHICLE (RESPONSE / RESCUE VEHICLE CUSTOMIZED VEHICLE) 2 – LDRRMO</t>
  </si>
  <si>
    <t>Concreting of 720M Length  Local Access Road</t>
  </si>
  <si>
    <t>PROCUREMENT OF SECURITY SERVICES OF BFAR MIMAROPA FOR THE MONTH OF AUGUST 16  TO DECEMBER 31, 2020</t>
  </si>
  <si>
    <t>Invitation to Bid for the Concreting of Farm to Market Road @ Brgy. Pug-os (Rang-ay), Cabugao, Ilocos Sur</t>
  </si>
  <si>
    <t>Invitation to Bid for the Construction of Post Harvest Facility@ Brgy. Baclig (Proper), Cabugao, Ilocos Sur</t>
  </si>
  <si>
    <t>ITB No. 20-066: RE-BIDDING FOR THE SUPPLY AND DELIVERY OF VARIOUS MEDICAL AND SURGICAL SUPPLIES (14 ITEMS-LINE BIDDING)</t>
  </si>
  <si>
    <t>PB2020-07-112 Procurement of Various Plants and Painting Supplies PDO</t>
  </si>
  <si>
    <t>PUBLIC BIDDING / PR20-06-1404 / ACCESS CONTROL SYSTEM (FACIAL RECOGNITION AND THERMAL SCANNER TERMINAL ACCESSORIES)</t>
  </si>
  <si>
    <t>Improvement of Sanitary Landfill (Fence Enclosure) at Magsico, San Fernando, Cebu</t>
  </si>
  <si>
    <t>Procurement of Fabrics, Threads and Stockinette for the Use of OB-OR, Linen and Laundry Section</t>
  </si>
  <si>
    <t>PURCHASE OF MEDICAL SUPPLIES OF MUNICIPAL HEALTH OFFICE 2020</t>
  </si>
  <si>
    <t>PUBLIC BIDDING / PR 20-06-0300 /  DIRECT INTERNET FOR ENTERPRISE CONNECTION</t>
  </si>
  <si>
    <t>Rehabilitation of Rural Health Unit at Poblacion</t>
  </si>
  <si>
    <t>PUBLIC BIDDING / PR 20-06-1403 /  NODES FOR HYPER CONVERGE INFRASTRUCTURE (HCI)</t>
  </si>
  <si>
    <t>INSTALLATION/RELOCATION OF STREET LIGHTING SYSTEM</t>
  </si>
  <si>
    <t>Furnishing &amp; Delivery of Printing Equipments for the local School Board</t>
  </si>
  <si>
    <t>Invitation to Bid for the Improvement of Farm to Market Road @ Brgy. Baclig (Proper), Cabugao, Ilocos Sur</t>
  </si>
  <si>
    <t>SUPPLY AND DELIVERY OF EQUIPMENT FOR THE TAMARIND RESEARCH AND DEVELOPMENT CENTER</t>
  </si>
  <si>
    <t>PURCHASE OF VEHICLE TO BE USED AS RESCUE/AMBULANCE FOR THE MUNICIPALITY OF BURGOS, LA UNION</t>
  </si>
  <si>
    <t>CONSTRUCTION OF CALIBUTBUT CHB LINED CANAL WITH CONCRETE COVER</t>
  </si>
  <si>
    <t>IB-2020-07-06-106 SUPPLY AND DELIVERY OF SCHOOL VEHICLE (PASSENGER VAN) EVSU-TC</t>
  </si>
  <si>
    <t>Construction of Baler Water District Water Source Development and Water Quality Improvement Project</t>
  </si>
  <si>
    <t>PBD 20-086 Fixed Spectrum RWB Tube</t>
  </si>
  <si>
    <t>PURCHASE OF DRUGS AND MEDICINES FOR MUNICIPAL HEALTH OFFICE</t>
  </si>
  <si>
    <t>One (1) Lot – Maintenance and Subscription of BSP Unified Threat Management System (Fortinet), as per BSP Terms of Reference and Service Level Agreement</t>
  </si>
  <si>
    <t>PB PUR19-12-1459 Supply, Delivery, Testing &amp; Commissioning of One (1) Operating Microscope for the Department of Otorhinolaryngology, PGH</t>
  </si>
  <si>
    <t>PB Supply, Delivery, and Testing &amp; Commissioning of Digital Mobile C-Arm (Image Intensifier), Dept. of Orthopedics, PGH</t>
  </si>
  <si>
    <t>IMPROVEMENT OF WATER SUPPLY SYSTEM</t>
  </si>
  <si>
    <t>CONSTRUCTION SUPERVISION AND MANAGEMENT CONSULTANCY SERVICES FOR THE TWO (2) STOREY OFFICE BUILDING WITH RECORDS ROOM AND WAREHOUSE LOCATED RGC COMPOUND, CARIG SUR, TUGUEGARAO CITY</t>
  </si>
  <si>
    <t>Invitation to Bid for Health Care Benefits</t>
  </si>
  <si>
    <t>PBD 20-084 3D FACIAL IMAGING CAMERA</t>
  </si>
  <si>
    <t>UPLB-RQ-7-139-20-RES SUPPLY AND DELIVERY OF CHEMICALS &amp; CHEMICAL PRODUCTS FOR IFST</t>
  </si>
  <si>
    <t>SUPPLY, DELIVERY AND INSTALLATION OF EQUIPMENT TO BE USED FOR THE ENHANCEMENT OF THE LABORATORIES OF BIOSYSTEMS, AGRICULTURE AND OTHER RELATED PROGRAMS</t>
  </si>
  <si>
    <t>20-07-526 Purchase of Two (2) Units Brand New Pick Up Type Vehicles to be Used for Official Transactions of the Office of the Municipal Mayor</t>
  </si>
  <si>
    <t>Supply and Delivery of IT Supplies and Equipment for VSU Main</t>
  </si>
  <si>
    <t>INFRASTRUCTURE Project -LOWER SIBUGUEY I RIS EXTENSION PROJECT PACKAGE 3 CY 2016 REMAINING WORKS</t>
  </si>
  <si>
    <t>PROCUREMENT OF LABOR AND MATERIALS FOR INSTALLATION AND REHABILITATION OF TRANSMISSION AND DISTRIBUTION LINES IN VARIOUS LOCATIONS (2 LOTS)</t>
  </si>
  <si>
    <t>PROCUREMENT OF COLEGIO DE KAPATAGAN LIBRARY BOOKS</t>
  </si>
  <si>
    <t>PAVEMENT OF RCA BUILDING PERIPHERY/SORTING AREA &amp; IMPROVEMENT OF RCA BUILDING BACK &amp; SIDE WALL</t>
  </si>
  <si>
    <t>20-06-239 SUPPLY AND DELIVERY OF  SIX (6) UNITS OF VAN AND  TWO (2) UNITS OF MULTI PURPOSE VAN</t>
  </si>
  <si>
    <t>Concreting of Brgy. Cupang FMR, Brgy. Cupang, Pandi, Bulacan</t>
  </si>
  <si>
    <t>Fabrication and Installation of Steel Gate @ Kalingayan SIP</t>
  </si>
  <si>
    <t>20BG0150: Activity 144 - Repair and/or Replacement of Minor drainage Structures and Activity 199- Other Maintenance to roadway and related Features along Santiago-Tuguegarao Road, Brgy. Raniag, Ramon,</t>
  </si>
  <si>
    <t xml:space="preserve">20BG0149: 41X Emergency Projects and Activity 203 Repair to Major Roadside Structures, Brgy. Minanga, San Mariano, Isabela, Naguilian-San Mariano Road (S00789LZ), K408+305 to K408+398 (Left Side) and </t>
  </si>
  <si>
    <t>CONSTRUCTION OF CONCRETE STAIRS &amp; FMR CONCRETING PROJECT</t>
  </si>
  <si>
    <t>Supply, Handling, Transport, and Delivery of Various Fertilizer</t>
  </si>
  <si>
    <t>UPLB-RQ-7-145-20-RES SUPPLY AND DELIVERY OF APPLIANCES FOR IHNF</t>
  </si>
  <si>
    <t>CONSTRUCTION/ESTABLISHMENT OF MUNICIPAL PLANT NURSERY</t>
  </si>
  <si>
    <t>Procurement of HARDWARE &amp; CONSTRUCTION SUPPLIES</t>
  </si>
  <si>
    <t>Furnishing of Construction Materials @ Baobo RIS</t>
  </si>
  <si>
    <t>CONSTRUCTION OF EVACUATION FACILITY</t>
  </si>
  <si>
    <t>PROJECT # 20-048 – PROCUREMENT OF DISASTER RESPONSE AND RESCUE EQUIPMENT - LDRRMO</t>
  </si>
  <si>
    <t>PB PUR19-09-1140 Supply and Delivery of Over Bed Table, Bedside Cabinet and Chair Convertible to Bed for Dept. of Pay Patient Services,PGH</t>
  </si>
  <si>
    <t>Procurement of Assorted Vegetable Seeds for Distribution to Various Barangays of Tarlac City. B2020-096-A</t>
  </si>
  <si>
    <t>PUBLIC BIDDING / PR 20-06-1409 / MANAGED SWITCHES,LINE-CARD FOR HIGH-SPEED BACKBONE AND SWITCH TO SWITCH APPLICATIONS</t>
  </si>
  <si>
    <t>IMPROVEMENT OF DRAINAGE CANAL, CONSTRUCTION OF DRAINAGE CANAL, EMBANKMENT/BACKFILL PROJECT AND ROAD REBLOCKING</t>
  </si>
  <si>
    <t>Construction of Double Barrel Box Culvert, at Poblacion-Mabuhay Road, this municipality.</t>
  </si>
  <si>
    <t>Concreting of Road (254 LM x 4.00M x 0.15M) at Sitio Luna to MRF Magsico, San Fernando, Cebu</t>
  </si>
  <si>
    <t>Procurement of Three (3) Units Thermal Security Gate</t>
  </si>
  <si>
    <t>Procurement of One (1) Unit Wing Van Truck</t>
  </si>
  <si>
    <t>Construction of Barangay Health Station (Large Model) at Brgy. Rizal</t>
  </si>
  <si>
    <t>Construction/ Extension of Evacuation Center Extension</t>
  </si>
  <si>
    <t>Invitation to Bid for the Concreting of Farm to Market Road @ Brgy. Pug-os (Rang-ay-Padual), Cabugao, Ilocos Sur</t>
  </si>
  <si>
    <t>Provision of Perimeter Fence, Gate and Marker of MMSU-NBERIC Building, City of Batac</t>
  </si>
  <si>
    <t>PUBLIC BIDDING / PR 20-06-1405 / CLOUD MANAGED FIREWALL AND ACCESS POINTS</t>
  </si>
  <si>
    <t>PROJECT # 20-084 - SUPPLY AND DELIVERY OF MEDICAL SUPPLIES 3RD  QUARTER  - CHO</t>
  </si>
  <si>
    <t>Supply, Handling, Transport, Installation, Training and  Delivery of Coir Processing Equipment</t>
  </si>
  <si>
    <t>Supply and Delivery of DECON Supplies</t>
  </si>
  <si>
    <t>Invitation to Bid for the Installation of Street Lighting System @ Cabugao, Ilocos Sur</t>
  </si>
  <si>
    <t>Concreting of 588 meters Poblacion Local Access Road</t>
  </si>
  <si>
    <t>Construction of Barangay Health Station (Large Model) at Brgy. Walker</t>
  </si>
  <si>
    <t>Proposed Construction of Evacuation Center Phase 2, Kibungsod, Magsaysay,  Misamis Oriental</t>
  </si>
  <si>
    <t>PROJECT # 20-093 - PROCUREMENT OF MOTOR VEHICLE (RESPONSE / RESCUE VEHICLE CUSTOMIZED VEHICLE) – LDRRMO</t>
  </si>
  <si>
    <t>Foodstuff for SPD-2020-0008</t>
  </si>
  <si>
    <t>Supply and Delivery of various construction materials for the construction of Open Type Market Building (Phase I of Building A) People’s Boulevard, Pob. Zone I, Villasis, Pangasinan</t>
  </si>
  <si>
    <t>ITB 2020-07-109 Procurement of 4,674 pcs. Manila Banner for DTCAM</t>
  </si>
  <si>
    <t>Procurement of 1 Package CCTV Rehab &amp; Additional Supply , Delivery, Installation &amp; Commissioning  under P.R.No. 2595-2020 -5% City Disaster Risk Reduction and Management Fund (Continuing)</t>
  </si>
  <si>
    <t>20EF0122 Repair/Maintenance of Traffic Signages (Replacement of Missing/Defective Traffic Signages) along PPSR Jct. (Abo-Abo) to Quezon Road, Quezon-Aramaywan Road, Aramaywan-Berong-PPR &amp; Quezon-Punta</t>
  </si>
  <si>
    <t>Supply &amp; Delivery of Duplicating Machines for use in Public Schools (Clustered) in this Municipality, LGU Villasis, Pangasinan</t>
  </si>
  <si>
    <t>CRFPS SLP (Hauling Truck)</t>
  </si>
  <si>
    <t>CONSTRUCTION OF SANITARY TOILETS (5 units)</t>
  </si>
  <si>
    <t>Construction of Dimalama Bridge Brgy. Burgos, San Guillermo, Isabela</t>
  </si>
  <si>
    <t>Improvement of Road @ Burayucan ES, Balong</t>
  </si>
  <si>
    <t>Improvement of Road-Cemetery (GAD) Purok 3, Taga</t>
  </si>
  <si>
    <t>Supply and Delivery of Anti-TB Kits</t>
  </si>
  <si>
    <t>LGU-AL-27-2020 OVERLAYING OF CONCRETE PAVEMENT &amp; REHABILITATION OF DRAINAGE CANAL, PHASE III BRGY. BITO ABUYOG, LEYTE</t>
  </si>
  <si>
    <t>Supply and Delivery of High Speed Printers, Binding Machine &amp; Cutting Machines for use at Schools Division Office, Urdaneta City</t>
  </si>
  <si>
    <t>Procurement of Works for the Construction of Day Care Center @ Barangay Tacayan, Tapaz, Capiz</t>
  </si>
  <si>
    <t>CONSTRUCTION OF SLAUGHTER HOUSE</t>
  </si>
  <si>
    <t>Improvement of Irrigation System @ Purok 3, Cabaruan</t>
  </si>
  <si>
    <t>Flood Control @ Sitio Isla, San Juan</t>
  </si>
  <si>
    <t>Construction of Drainage Canal System @ Bulanao Norte</t>
  </si>
  <si>
    <t>Procurement of Industrial Machinery and Equipment</t>
  </si>
  <si>
    <t>Completion of Multi-Purpose Hall @ Barangay Hall Compound, Suyang</t>
  </si>
  <si>
    <t>Purchase of  materials for the construction/continuation of Multi-Purpose Building at Catugay, Baggao, Cagayan</t>
  </si>
  <si>
    <t>Procurement of Information Technology Parts, Accessories &amp; Peripherals</t>
  </si>
  <si>
    <t>FARM MACHINERIES EQUIPMENT RENTAL AND SERVICES TO SUPPORT RICE PRODUCTION ENTERPRISE - TEJERO</t>
  </si>
  <si>
    <t>Construction of Flood Control/Protection Dike (GAD) Abogado Creek, Balong</t>
  </si>
  <si>
    <t>FOOD PROCESSING ENHANCEMENT "PANCIT YANING" PRODUCTION - LUBCANAN, TUBOD MONTE</t>
  </si>
  <si>
    <t>ENHANCEMENT OF TABLEYA AND CHOCOLATE PRODUCTION - CANJULAO</t>
  </si>
  <si>
    <t>PEANUT BUTTER PRODUCTION - CAMBUGASON</t>
  </si>
  <si>
    <t>Labor and  Materials for the Improvement of Facilities and Amenities at Chocolate Hills Kitchen @ Buenos Aires, Carmen, Bohol</t>
  </si>
  <si>
    <t>Improvement of Road @ Purok 4, Malalao</t>
  </si>
  <si>
    <t>Concrete Paving of Saarenas Street, Patag; SN 155 - 2020</t>
  </si>
  <si>
    <t>3382-20 Electrocatalytic Water Treatment Facility w/ Nitrification System at Candelaria Municipal Hospital, Candelaria, Quezon - PEO</t>
  </si>
  <si>
    <t>Proposed Construction of Covered Gym, Phase 2 of Brgy. Poblacion Ilawod, San Enrique, Iloilo</t>
  </si>
  <si>
    <t>Invitation to Bid for the Construction of Flood Control @ Brgy. Pug-os (Ballaigi)), Cabugao, Ilocos Sur</t>
  </si>
  <si>
    <t>Proposed Improvement of Sanitary Landfill (Excavation, Layering of sand and gravel, Installation of Pipes and Installation of Perimeter Barb Wire Fence) at SLF Compound , Brgy. Onica, Kidapawan City</t>
  </si>
  <si>
    <t xml:space="preserve">Package 1- Construction of Rainwater Collection System Facilities at 1) Pedro Rodriguez ES, Brgy. Tamayong, D.C. 2) Jose Quiboloy Sr. NHS, Brgy. Tamayong, D.C. 3) Tamayong ES, Brgy. Tamayong, D.C. 4) </t>
  </si>
  <si>
    <t>Repair/Maintenance of DA Building- Bureau of Plant and Industry (Pavillion) Bago Oshiro, Tugbok District, Davao City</t>
  </si>
  <si>
    <t>SUPPLY AND DELIVERY OF VARIOUS SERVICE VEHICLES FOR LGU ABORLAN</t>
  </si>
  <si>
    <t>G-2020-20:  PROVISION OF AN ONLINE COMPETENCY ASSESSMENT TOOL   FOR THE DEVELOPMENT BANK OF THE PHILIPPINES</t>
  </si>
  <si>
    <t>Repair/Maintenance of DA Building- Bureau of Plant and Industry (Fruit Commodity Office) Bago Oshiro, Tugbok District, Davao City</t>
  </si>
  <si>
    <t>RIVER FLOOD CONTROL (ALONG RIVER NEAR BASKETBALL COURT) &amp; CONSTRUCTION OF SEAWALL (LUNGIB)</t>
  </si>
  <si>
    <t>ENHANCEMENT OF MAIZE KAPE PRODUCTION - CANTAGAY</t>
  </si>
  <si>
    <t>Repair/Maintenance of Flood Control and Drainage Structures at Davao-Bukidnon Road, Km. 1661+000-K1663+000 (Intermittent Section)</t>
  </si>
  <si>
    <t>Repair/Maintenance of DILG Building, Philippine Public Safety College Campos Dorm- Center &amp; Right Wings, San Francisco St., Brgy. Mintal, Tugbok District, Davao City</t>
  </si>
  <si>
    <t>IMPROVEMENT OF LEVEL II WATER SYSTEM</t>
  </si>
  <si>
    <t>Supply and Delivery of Nutrition Formulas</t>
  </si>
  <si>
    <t>Civil Work Project No. 1, 2, 3 and 4</t>
  </si>
  <si>
    <t>CONSTRUCTION OF FLOOD CONTROL</t>
  </si>
  <si>
    <t>IMPROVEMENT OF BDRRM CENTER</t>
  </si>
  <si>
    <t>JCH-20-0454-B</t>
  </si>
  <si>
    <t>JCH-20-0753-B</t>
  </si>
  <si>
    <t>JCH-20-0652-B</t>
  </si>
  <si>
    <t>Concreting of Road @ Purok 1 Proper to Purok 2 Proper, Brgy. Canlanipa, Surigao City</t>
  </si>
  <si>
    <t>Procurement of One (1) Lot Supply of Labor and Materials for the Proposed Repair/Rehabilitation of Old Property Building</t>
  </si>
  <si>
    <t>Supply of fuels for the Proposed road rehabilitation/spot gravelling/quarrying of limestone, spreading and compaction of various barangay roads of different barangays(Malinan, Magsaysay, Macebolig, Lu</t>
  </si>
  <si>
    <t>Supply and Delivery of Laboratory Reagents and Supplies for Newborn Screening Center - Mindanao</t>
  </si>
  <si>
    <t>Re-Bidding for the Supply &amp; Delivery of Medicines for Municipal Health Office use</t>
  </si>
  <si>
    <t>Supply of fuels for the Proposed road rehabilitation/spot gravelling/quarrying of limestone, and compaction of various barangay roads of different barangays(Katipunan, Kalaisan, Kalasuyan, Junction) o</t>
  </si>
  <si>
    <t>IB No. 2007-342 Proc. of Infra (Installation of Modern Street Illumination Project at M. Torralba Street)</t>
  </si>
  <si>
    <t>Procurement of CW-Concreting of Road</t>
  </si>
  <si>
    <t>Infra 2020-031 CONSTRUCTION/ESTABLISHMENT OF WATER SYSTEM, Barangay Pangdan, Catbalogan City</t>
  </si>
  <si>
    <t>INVITATION TO BID FOR THE PROCUREMENT OF INSTALLATION OF ELECTRICAL PRIMARY &amp; SECONDARY LINES &amp; TRANSFORMER @ BAYLO, MONKAYO (CEMETERY &amp; MEMORIAL PARK)</t>
  </si>
  <si>
    <t>IB No. 2007-341 Proc. of Infra (Installation of Modern Street Illumination Project at H. Zamora Street)</t>
  </si>
  <si>
    <t>Construction of Rain Water Collectors in Public Facilities – NCR (Contract ID No. 20O00062)</t>
  </si>
  <si>
    <t>Supply and Delivery of Medical Supplies (for Covid-19 use)</t>
  </si>
  <si>
    <t>20CSN012 RE-AD; CONSULTING SERVICES FOR THE GEOTECHNICAL AND GEOLOGICAL SURVEY/ INVESTIGATIONS FOR THE CONSTRUCTION OF STA. JOSEFA BRIDGE (PARALLEL) ALONG NRJ CUEVAS- SAMPAGUITA ROAD, AGUSAN DEL SUR</t>
  </si>
  <si>
    <t>Other Supplies and Materials Expenses</t>
  </si>
  <si>
    <t>Construction of Rain Water Collectors in Public Facilities – NCR (Contract ID No. 20O00061)</t>
  </si>
  <si>
    <t>Food Supplies Expenses</t>
  </si>
  <si>
    <t>G-2020-455 Supply and Delivery of Rice, City Human Resource and Management Office</t>
  </si>
  <si>
    <t>Procurement of One (1) Lot Supply of Labor and Materials for the Proposed Repair/Rehabilitation of Comfort Rooms at Quezon City Central Post Office</t>
  </si>
  <si>
    <t>20CE0244: Proposed Rehabilitation &amp; Improvement of Central Luzon State University (CLSU) Road Networks</t>
  </si>
  <si>
    <t>PROCUREMENT OF 1ST SEMESTER DRUGS AND MEDICINES</t>
  </si>
  <si>
    <t>G-2020-447 Supply and Delivery of Medical Supplies, Local Disaster Risk Reduction Management Division</t>
  </si>
  <si>
    <t>G-2020-414 Supply and Delivery of Rice, Office of the City Mayor</t>
  </si>
  <si>
    <t>CONCRETING  OF VARIOUS MUNICIPAL STREETS OF POBLACION 1 &amp; 2 (OSMEÑA ST AND POBLACION 2 MARKET SITE ACCESS ROAD)</t>
  </si>
  <si>
    <t>PROCUREMENT OF DIGITAL FULL COLOR COPIER/PRINTER/SCANNER WITH DUPLEX DOCUMENT FEEDER</t>
  </si>
  <si>
    <t>Supply &amp; Delivery of Emergency Response Vehicle</t>
  </si>
  <si>
    <t>PROCUREMENT AND INSTALLATION OF ACCOUNTING SYSTEM</t>
  </si>
  <si>
    <t>Procurement of TIRES for the Use of Light and Heavy Equipment</t>
  </si>
  <si>
    <t>SUPPLY OF LABOR AND MATERIALS FOR THE CORRECTIVE/REPAIR WORKS OF FIRE ENGINE PUMP AND ITS CONTROL SYSTEM AT POWERHOUSE</t>
  </si>
  <si>
    <t>Supply and delivery of various materials and equipments needed for the Pangkabuhayan Starter Kits Beneficiaries of the City Government of Kidapawan</t>
  </si>
  <si>
    <t>Supply &amp; Delivery of Construction Materials for the Construction of MRF - Collecting Point, Purok 6, Brgy. Salumague, Paniqui, Tarlac</t>
  </si>
  <si>
    <t>RFQ - Supply &amp; delivery of various Measuring Tools for inspection and testing of Agricultural Equipment</t>
  </si>
  <si>
    <t>Construction of 4,878 meters Lazar-Kalinga Irrigation Pipeline System</t>
  </si>
  <si>
    <t>IMPROVEMENT OF TIBLAC-LABBI ROAD (LOCAL ACCESS ROAD IN BARANGAY TIBLAC)</t>
  </si>
  <si>
    <t>CONSTRUCTION OF INTEGRATED PEST MANAGEMENT BUILDING AT SO. SAN AGUSTIN, BRGY. POBLACION, KANANGA, LEYTE</t>
  </si>
  <si>
    <t>GOODS 2020-016 SUPPLY AND DELIVERY OF ONE (1) LOT VARIOUS MEDICINES</t>
  </si>
  <si>
    <t>FRT-20-0803-B HEMATOCRIT CENTRIFUGE</t>
  </si>
  <si>
    <t>CONSTRUCTION OF FLOOD CONTROL DIKE</t>
  </si>
  <si>
    <t>Procurement of IT Supplies</t>
  </si>
  <si>
    <t>Construction of 0.685 km. Latbang Pathway</t>
  </si>
  <si>
    <t>PROCUREMENT OF VARIOUS PARTS &amp; MATERIALS FOR THE REPAIR AND MAINTENANCE OF GOVERNMENT OWNED VEHICLE PROCUREMENT OF VARIOUS PARTS &amp; MATERIALS FOR THE REPAIR AND MAINTENANCE OF GOVERNMENT OWNED VEHICLE</t>
  </si>
  <si>
    <t>FRT-20-0800-B - Pulse Oximeter</t>
  </si>
  <si>
    <t>FRT-20-0802-B - Pediatric Bed</t>
  </si>
  <si>
    <t>PROCUREMENT OF VARIOUS OFFICE IT EQUIPMENT</t>
  </si>
  <si>
    <t>PROCUREMENT OF PATROL CAR/VEHICLE</t>
  </si>
  <si>
    <t>FRT-20-0799-B - Nebulizer Machine</t>
  </si>
  <si>
    <t>SUPPLY, DELIVERY, INSTALLATION AND CONFIGURATION OF ADDITIONAL ACCESS POINT WITH FIBER OPTICS, CAT6 CABLE AND ACCESSORIES</t>
  </si>
  <si>
    <t>CONSTRUCTION OF LABANG WATER SYSTEM</t>
  </si>
  <si>
    <t>PROCUREMENT OF 1ST SEMESTER MEDICAL, DENTAL AND LABORATORY SUPPLIES</t>
  </si>
  <si>
    <t>Construction of Two Storey (4 Classroom) School Building-Divisoria High School- Naggasican Extension</t>
  </si>
  <si>
    <t>FRT-20-0801-B - Mobile OR Light</t>
  </si>
  <si>
    <t>SUPPLY, DELIVERY, INSTALLATION, COMMISSIONING, PUMP LABORATORY AND FIELD TESTING OF TWO (2) BRAND NEW VERTICAL TURBINE PUMP FOR TANUEL PUMPING STATION</t>
  </si>
  <si>
    <t>Construction of Bahlungay Irrigation Pipeline System</t>
  </si>
  <si>
    <t>Supply &amp; Delivery of Medical Equipment</t>
  </si>
  <si>
    <t>Procurement of Manpower Service Provider</t>
  </si>
  <si>
    <t>Construction of 3,738 meters Payasapas Irrigation System</t>
  </si>
  <si>
    <t>Construction of One-Storey (4 Classroom ) School Building Including Toilet - Dicamay I Elementary School</t>
  </si>
  <si>
    <t>FRT-20-0805-B - CARDIAC MONITOR</t>
  </si>
  <si>
    <t>Procurement of Lease of Twenty (20) units of Mechanical Ventilator, brand new for two (2) years</t>
  </si>
  <si>
    <t>Construction of Lower Parai Flat Slab Concrete Bridge</t>
  </si>
  <si>
    <t>Construction of Two-Storey (4 Classroom) School Building - Patul National High School</t>
  </si>
  <si>
    <t>SUPPLY AND DELIVERY OF BRAND NEW AUV, 2.8L, 4 CYLINDER, DIESEL, A/T WITH 3 YEARS LTO REGISTRATION</t>
  </si>
  <si>
    <t>Supply and Delivery of Plastic Extruder/Densifier with Pollution Control Device (EPCD)</t>
  </si>
  <si>
    <t>Construction of One-Storey (7 Classroom) School Building Including Toilet - Balintocatoc Integrated School</t>
  </si>
  <si>
    <t>INVITATION TO BID FOR THE SUPPLY &amp; DELIVERY OF BRAND NEW VEHICLE-MINI DUMPTRUCK FOR MDRRMO WITH PR#2020-TF-07-034 AND ABC OF P 1,900,000.00</t>
  </si>
  <si>
    <t>Purchase of Books</t>
  </si>
  <si>
    <t>20B00026: Organizational Outcome 1: Ensure Safe and Reliable National Road System: Network Development Program: Construction of By-Pass and Diversion Road, Alcala-Sto. Niño-Lasam Road (Namuccayan Brid</t>
  </si>
  <si>
    <t>Construction of One-Storey (3 Classroom) School Building with Toilet Attached - Cordon South Central School Annex</t>
  </si>
  <si>
    <t>PDRRMO-2020-0171 PR2020-0423 INVITATION TO BID FOR THE PROCUREMENT OF INSTALLATION OF DIGITAL COMMAND AND CONTROL CENTER SYSTEMS AND PROGRAMS</t>
  </si>
  <si>
    <t>PROCUREMENT OF HEAVY EQUIPMENT-PAYLOADER</t>
  </si>
  <si>
    <t>CONSTRUCTION OF  STREET LIGHTS- BRGY. GUMAUS, PARACALE,CAMARINES  NORTE</t>
  </si>
  <si>
    <t>Procurement of Organic Disinfectant Solution for use of the City Government of Tarlac. B2020-091-A</t>
  </si>
  <si>
    <t>RIPRAPPING  OF  DRAINAGE  CANAL, BARANGAY  AWITAN, PARACALE,CAMARINES  NORTE</t>
  </si>
  <si>
    <t>Construction of Sara Fire Station Building</t>
  </si>
  <si>
    <t>COMPLETION OF PWD OFFICE</t>
  </si>
  <si>
    <t>CONSTRUCTION OF MULTI  PURPOSE HALL- GUMAUS  ELEMENTARY SCHOOL</t>
  </si>
  <si>
    <t>INVITATION TO BID FOR THE PROCUREMENT OF DRUGS AND MEDICINES FOR VARIOUS PROGRAM OF MUNICIPAL HEALTH OFFICE 2ND SEMESTER</t>
  </si>
  <si>
    <t>Procurement of Multivitamins</t>
  </si>
  <si>
    <t>CONSTRUCTION OF  STAGE- ALPFONSO DASCO  ELEMENTARY  SCHOOL, BRGY  CASALUGAN</t>
  </si>
  <si>
    <t>Excavation of Main Earth Canal</t>
  </si>
  <si>
    <t>Upgrading of Rescue Ambulance</t>
  </si>
  <si>
    <t>JCH-20-0307-B</t>
  </si>
  <si>
    <t>20CSHE0001 CLUSTER I – Flaring of Intersections at 1. Cebu South Coastal Road Jct. A. Bacaltos St., Talisay City, Cebu, 2. Cebu South Coastal Road Jct. San Isidro St., Talisay City, Cebu, 3. Cebu Sout</t>
  </si>
  <si>
    <t>SUPPLY AND DELIVERY OF MPV, DIESEL V, A/T, 2,798CC, 4 CYLINDERS WITH 3 YEARS LTO REGISTRATION</t>
  </si>
  <si>
    <t>Labor for the Installation of Fishery Product Technology Center at Pawa, Tabaco City</t>
  </si>
  <si>
    <t>Purchase of Construction Materials (Municipal Stage Repair)</t>
  </si>
  <si>
    <t>Repair/Maintenance of Drainage Structures and Damage Pavements along Cordon-Diffun Road, K0317+-136 – K0319+738</t>
  </si>
  <si>
    <t>PROCUREMENT OF IT EQUIPMENT</t>
  </si>
  <si>
    <t>Procurement of 1 Year Security Services</t>
  </si>
  <si>
    <t>Construction of 45 meters Udongaw Hanging Bridge</t>
  </si>
  <si>
    <t>PROCUREMENT OF OTHER MACHINERY AND EQUIPMENT</t>
  </si>
  <si>
    <t>Procurement of Service Provider for the Preventive Maintenance of Air Conditioning Units (ACU)-Rebid under IB No. 2020-204-A</t>
  </si>
  <si>
    <t>Installation of Solar Street Lights (Phase I) along Sunset Boulevard to Bagting, Dapitan City POW # 2020-07-07-009</t>
  </si>
  <si>
    <t>FRT-20-0804-B - DEFIBRILLATOR</t>
  </si>
  <si>
    <t>Deepening/Desilting of Tarlac River (Phase II) at Brgy. San Luis to Brgy. Balanti Area, Tarlac City. B2020-093-A</t>
  </si>
  <si>
    <t>Concreting/Rehabilitation of Local Road at Sitio L.A., Brgy. Binauganan, Brgy. Bora and Brgy. San Rafael, Tarlac City. B2020-095-A</t>
  </si>
  <si>
    <t>LOCAL  ACCESS  ROAD  UPGRADING - Brgy. PINAGBRAYAN  MUNTI , PARACALE,CAMARINES  NORTE</t>
  </si>
  <si>
    <t>Road Widening of By-Pass-Road at Brgy. San Manuel to brgy. Cut-Cut II, Tarlac City. B2020-094-A</t>
  </si>
  <si>
    <t>REHABILITATION/IMPROVEMENT OF QUARANTINE ISOLATION FACILITY</t>
  </si>
  <si>
    <t>PROCUREMENT OF FAMILY PLANNING KITS 2020-GS-010</t>
  </si>
  <si>
    <t>Maintenance of Drainage Canal @ Municipal Compound and Adjacent Sitios</t>
  </si>
  <si>
    <t>Procurement of Rescue Equipment for Rescue operation</t>
  </si>
  <si>
    <t>Procurement of Streetlight Post and Installation (Phase I) National Roads and City Streets of Dapitan City POW # 2020-07-07-008</t>
  </si>
  <si>
    <t>Improvement of Karikitan to Tilang FMR</t>
  </si>
  <si>
    <t>Procurement/delivery of 2 units refrigerated truck</t>
  </si>
  <si>
    <t>Construction of Multi-Purpose Drying Pavement at Purok 5</t>
  </si>
  <si>
    <t>Procurement of Filing Cabinet for Sangguniang Bayan Office</t>
  </si>
  <si>
    <t>Invitation to Bid - Infrastructure Project for Construction of Box Culvert at Barangay Guinacot, Danao City</t>
  </si>
  <si>
    <t>Invitation to Bid - Infrastructure Project for Construction of Covered Court at Barangay Quisol, Danao City</t>
  </si>
  <si>
    <t>ITB No. FB20-03-007COR SUPPLY, FABRICATION AND DELIVERY OF STEEL GATE AND WINDOW GLASS FOR THE REHABILITATION AND IMPROVEMENT OF ANTIPOLO REPEATER TOWER</t>
  </si>
  <si>
    <t>SUPPLY, DELIVERY AND INSTALLATION OF SOUND SYSTEM</t>
  </si>
  <si>
    <t>Invitation to Bid - Infrastructure Project for River Bank Protection at Sitio Langlang, Barangay Cogon Cruz, Danao City</t>
  </si>
  <si>
    <t>Invitation to Bid - Infrastructure Project for Slope Protection of Landslide Prone Areas at Barangay Guinacot, Danao City</t>
  </si>
  <si>
    <t>REPAIR REHABILITATION OF MUNICIPAL RECOVERY FACILITY BUILDING</t>
  </si>
  <si>
    <t>Invitation to Bid - Infrastructure Project for Construction of Covered Court at Barangay Mantija, Danao City</t>
  </si>
  <si>
    <t>REQUEST FOR EXPRESSION OF INTEREST FOR HIRING OF CONSULTANCY SERVICES FOR THE DEVELOPMENT OF AN ENVIRONMENTAL MANAGEMENT SYSTEM (EMS) CERTIFIABLE TO ISO 14001:2015 FOR DENR RIV-A REGIONAL OFFICE</t>
  </si>
  <si>
    <t>Invitation to Bid - Infrastructure Project for Rehab/Improvement of Barangay Road at Cogon, Guinsay, Danao City</t>
  </si>
  <si>
    <t>Digital Duplicator for Different Schools in the Province of Laguna</t>
  </si>
  <si>
    <t>2020 23RD PUBLIC BIDDING FOR PROCUREMENT OF FOOD STUFF FOR 2020 2ND SEMESTER CONSUMPTION</t>
  </si>
  <si>
    <t>PROCUREMENT OF DROPSIDE TRUCK FOR MARKET OFFICE</t>
  </si>
  <si>
    <t>BLGU BARAYONG-AL-G-01-2020 PURCHASE OF NECESSARY PROVISION OF RELIEF GOODS</t>
  </si>
  <si>
    <t>Procurement-Supply &amp; Delivery of Office Equipment &amp; Furniture &amp; Fixture &amp; Info &amp; Comm. Technology Equipment</t>
  </si>
  <si>
    <t>MANAGED INTERNET SERVICE 2 (AURORA AND TARLAC)</t>
  </si>
  <si>
    <t>Invitation to Bid - Infrastructure Project for Construction of Covered Court at Barangay Santican, Danao City</t>
  </si>
  <si>
    <t>Account Administration and Management of NCR West Sector Project under Service Provider located in Smokey Mountain Development and Reclamation Project (SMDRP), Tondo, Manila - Rebid</t>
  </si>
  <si>
    <t>PB-20-342, Supply &amp; Delivery of 1,000 bags Commercial Rice to be given to various clients in crisis situation</t>
  </si>
  <si>
    <t>ORD PABAC 017-20 (Re-bid) Procurement of 7,546 rds Cartridge 120mm  HE</t>
  </si>
  <si>
    <t>Managed Internet Service (Bulacan)</t>
  </si>
  <si>
    <t>Invitation to Bid - Infrastructure Project for Construction of Covered Court at Barangay Cahumayan, Danao City</t>
  </si>
  <si>
    <t>REHABILITATION OF  MULTI  PURPOSE HALL- BARANGAY  MAMPUNGO, PARACALE,CAMARINES  NORTE</t>
  </si>
  <si>
    <t>Supply and Delivery of Uniform (Polo Shirt) for BISU Foundation Day 2020 (PR No. 2020-06-0600)</t>
  </si>
  <si>
    <t>CONSTRUCTION OF MULTI-PURPOSE BUILDING (CLASSROOM TYPE WITH AUDIO VISUAL HALL)- PHASE 2</t>
  </si>
  <si>
    <t>CONSULTING SERVICES FOR POTABLE WATER SYSTEM OF THE FOLLOWING BRGYS: •	Sitio Pinaltakan, Brgy. Caballero  •	Brgy. Sapang Buho •	Brgy. Doña Josefa</t>
  </si>
  <si>
    <t>Installation of Solar Street Light- National Highway, Pantukan (by Contract)</t>
  </si>
  <si>
    <t>Supply and Delivery of Test Materials for the Guidance Office (PR No. 2020-01-0042)</t>
  </si>
  <si>
    <t>Re-bidding: Supply and Delivery of Printing Supplies for different departments (Non-PS) (PR No. 2020-06-0560)</t>
  </si>
  <si>
    <t>Supply and Delivery of White Board for different departments (PR No. 2020-02-0241, 2020-02-0386, 2020-03-0450)</t>
  </si>
  <si>
    <t>Supply and Delivery of Toner for Existing Kyocera Photocopier (PR No. 2020-02-0166, 2020-06-0570, 2020-02-0326, 2020-07-0612)</t>
  </si>
  <si>
    <t>PURCHASE OF AIRCONDITIONING UNIT</t>
  </si>
  <si>
    <t>Supply and Delivery of Janitorial Supplies (PR No. 2020-07-0617, 2020-06-0582)</t>
  </si>
  <si>
    <t>PCADG-5020301000-1124-2020	Office Supplies Expenses (TDPCR)</t>
  </si>
  <si>
    <t>PCADG-5020305000-1123-2020	Food Supplies Expenses (TDPCR)</t>
  </si>
  <si>
    <t>PCADG-5020399000-1122-2020	Other Supplies Expenses (TDPCR)</t>
  </si>
  <si>
    <t>PCADG-5020301000-1121-2020	Office Supplies Expenses (TDPCR)</t>
  </si>
  <si>
    <t>Purchase of various Vehicles Province of Northern Samar</t>
  </si>
  <si>
    <t>PURCHASE OF LARGE ANIMAL</t>
  </si>
  <si>
    <t>PCADG-5020305000-1120-2020	Food Supplies Expenses (TDPCR)</t>
  </si>
  <si>
    <t>Construction of Daycare Center (Continuing/Additional)</t>
  </si>
  <si>
    <t>CONCRETING OF ROADS UNDER AIP 2020 (Barangay Dibay &amp; Dilam , Calayan, Cagayan)</t>
  </si>
  <si>
    <t>INSTALLATION OF GLASS OF NEW MAIN  BUILDING LGU-SIOCON</t>
  </si>
  <si>
    <t>CONSTRUCTION OF  WATER SYSTEM- BRGY. CASALUGAN, PARACALE,CAMS. NORTE</t>
  </si>
  <si>
    <t>Procurement of Disaster Response and Rescue Equipment</t>
  </si>
  <si>
    <t>ENG'G PASBAC 011-20 Supply and Delivery of Sixty-Three (63) Sets Electrical Tools</t>
  </si>
  <si>
    <t>Supply and Delivery of Materials for Repair of Agriculture Office</t>
  </si>
  <si>
    <t>PB-20-343, Supply &amp; Delivery of 5,950 bags Commercial Rice to be given to various clients in crisis situation</t>
  </si>
  <si>
    <t>CONCRETING  OF  BARANGAY  ROAD-PUROK1  BRGY. CAPACUAN, PARACALE,CAMARINES  NORTE</t>
  </si>
  <si>
    <t>Repair of Astorga BHS, Brgy. Astorga, Santa Cruz, Davao del Sur</t>
  </si>
  <si>
    <t>CONSTRUCTION OF  STREET  LIGHT (  SOLAR  )</t>
  </si>
  <si>
    <t>ENG'G PASBAC 010-20 Supply and Delivery of One Hundred Fourteen (114) Sets Masonry Tools</t>
  </si>
  <si>
    <t>INVITATION TO BID - PROCUREMENT OF LOANS MONITORING SYSTEM</t>
  </si>
  <si>
    <t>Purchase of One (1) unit Backhoe Loader (Wheel Type)</t>
  </si>
  <si>
    <t>Repair of Zone 3C BHS, Zone 3C, Santa Cruz, Davao del Sur</t>
  </si>
  <si>
    <t>Repair of Tagabuli BHS, Brgy Tagabuli, Santa Cruz, Davao del Sur</t>
  </si>
  <si>
    <t>BLGU-BARAYONG-AL-G-02-2020 PURCHASE OF RICE TO USE AS RELIEF</t>
  </si>
  <si>
    <t>20MC-GOODS-037 Supply &amp; Delivery of Farm Tractors for LGU - Masbate City</t>
  </si>
  <si>
    <t>Repair and Maintenance of Road Safety Facilities along Daang Maharlika (LZ) (S00857LZ),    K0278+450-K0307+000 with exception, Barangay Bangar-Barangay San Luis, Solano-Diadi, Nueva Vizcaya</t>
  </si>
  <si>
    <t>20MC-GOODS-035 Supply &amp; Delivery of Generator Sets for LGU - Masbate City</t>
  </si>
  <si>
    <t>PCADG-5020399000-1131-2020	Other Supplies Expenses (TDPCR)</t>
  </si>
  <si>
    <t>Purchase of Four (4) Units Brand New Mini Dump Truck</t>
  </si>
  <si>
    <t>PCADG-5029902000-1132-2020	Printing &amp; Publication Expenses (PIO)</t>
  </si>
  <si>
    <t>Purchase of One (1) unit Back Hoe (Wheel Type)</t>
  </si>
  <si>
    <t>Concreting of Access Road (with Slope Protection) to Euperfia Puda National High School in Matalom, Leyte, ABC PHP1,120,979.39</t>
  </si>
  <si>
    <t>IB No. 2003-206 Proc. of Goods (Operational Tent)(Rebid)</t>
  </si>
  <si>
    <t>PCADG-5020301000-1127-2020	Office Supplies Expenses (TDPCR)</t>
  </si>
  <si>
    <t>INSTALLATION OF LAMP POST AND SOLAR STREELIGHTS 42 UNITS</t>
  </si>
  <si>
    <t>Construction of 2-Storey Multi-Purpose Bldg. in Brgy. Burudud-an, Abuyog, Leyte, ABC PHP1,781,460.23</t>
  </si>
  <si>
    <t>Improvement of Multi-Purpose Bldg. in Brgy. Rizal I, Babatngon, Leyte, ABC PHP1,792,701.93</t>
  </si>
  <si>
    <t>Concreting of Road in Brgy. Blumentritt, Alangalang, Leyte, ABC PHP1,796,853.01</t>
  </si>
  <si>
    <t>Supply and Delivery of 1 Lot of Various Drugs and Medicine</t>
  </si>
  <si>
    <t>Reblocking of Road in Brgy. Tadoc, Abuyog, Leyte, ABC PHP1,168,008.43</t>
  </si>
  <si>
    <t>PCADG-5020399000-1134-2020	Other Supplies Expenses (TDPCR)</t>
  </si>
  <si>
    <t>Construction of Shoreline Protection in Brgy. Biasong, Babatngon, Leyte, ABC PHP1,550,384.58</t>
  </si>
  <si>
    <t>Procurement of Tires, Spare Parts and Oil for the Repair and Maintenance of Machinery Equipment</t>
  </si>
  <si>
    <t>Development of Children's Park and Playground</t>
  </si>
  <si>
    <t>Construction of a 1-Classroom School Building at Kawayan Elem. School in Brgy. Sta. Rosa, Tabango, Leyte, ABC PHP1,210,870.93</t>
  </si>
  <si>
    <t>PROCUREMENT OF CPR MANIKINS,  AUTOMATED EXTERNAL DEFIBRILLATOR (AED) TRAINER AND ANATOMICAL MODEL IB NO. 2020-229</t>
  </si>
  <si>
    <t>Concreting of Sitio Sabang Road in Brgy. Dayap</t>
  </si>
  <si>
    <t>CONSTRUCTION OF DRAINAGE SYSTEM (LABOR AND MATERIALS, STRAIGHT CONTRACT)</t>
  </si>
  <si>
    <t>DEVELOPMENT OF DISPOSAL CELL (PHASE 1) AT BARANGAY BATO-BATO, NARRA, PALAWAN</t>
  </si>
  <si>
    <t>PCADG-5020301000-1139-2020	Office Supplies Expenses (TDPCR)</t>
  </si>
  <si>
    <t>PCADG-5020399000-1138-2020	Other Supplies Expenses (PCADG)</t>
  </si>
  <si>
    <t>PCADG-5020399000-1137-2020	Other Supplies Expenses (PCADG)</t>
  </si>
  <si>
    <t>Rehabilitation/improvement of Multi-Purpose Bldg. in Brgy. District IV, Babatngon, Leyte, ABC PHP1,800,123.16</t>
  </si>
  <si>
    <t>20MC-GOODS-036 Supply &amp; Delivery of Motor Vehicles, Trucks and Equipment's for LGU - Masbate City</t>
  </si>
  <si>
    <t>PCADG-5020305000-1136-2020	Food Supplies Expenses (PCADG)</t>
  </si>
  <si>
    <t>Repair and Maintenance of Four-Wheeled Tractor</t>
  </si>
  <si>
    <t>INVITATION TO BID FOR REPAIR AND IMPROVEMENT OF PERIMETER FENCE, SEPARATOR WALL, MAIN GATE AND PEDESTRIAN GATE (RE-BIDDING)</t>
  </si>
  <si>
    <t>PCADG-5020301000-1135-2020	Office Supplies Expenses (PCADG)</t>
  </si>
  <si>
    <t>Supply, Delivery and Installation of a Corporate Anti-Virus with Hybrid Network Support for Two(2) Years at the PPA Head Office and Port Management Offices Nationwide</t>
  </si>
  <si>
    <t>Supply and Delivery of Maintenance Services for Enterprise Storage Array and Related Equipment</t>
  </si>
  <si>
    <t>Construction of Rural Access (FootWalk)</t>
  </si>
  <si>
    <t>IB-06-094-2020 OCC SUPPLY &amp; DELIVERY OF LAPTOPS (OCC)</t>
  </si>
  <si>
    <t>Rehabilitation of MPP - Senior Citizen</t>
  </si>
  <si>
    <t>ITEM A: DRILLING SITE DEVELOPMENT; ITEM B: DRILLING OF PRODUCTION WELL AT MALVAR, BAGUIO CITY</t>
  </si>
  <si>
    <t>Construction of MPP-Waiting Shed</t>
  </si>
  <si>
    <t>2020-03G: Acquisition of Information Technology and Office Equipment for the 3-Storey Education Building Phase 2</t>
  </si>
  <si>
    <t>Rehab. Multi-Purpose Hall/Mini-Gym</t>
  </si>
  <si>
    <t>IB-07-0447-20 COBE SUPPLY &amp; DELIVERY OF SMART TV (65” UHD TV)</t>
  </si>
  <si>
    <t>2020 21ST PUBLIC BIDDING: MEDICAL SUPPLIES FOR 2020 2ND SEMESTER CONSUMPTION</t>
  </si>
  <si>
    <t>Security Orchestration Automation Response (SOAR) Tool</t>
  </si>
  <si>
    <t>Additional Storage for Disaster Recovery (DR) Site</t>
  </si>
  <si>
    <t>PB BAC1-20-013 SUPPLY AND DELIVERY OF CHEMICALS AND REAGENTS FOR 2020</t>
  </si>
  <si>
    <t>Print Advertisement for the DOH Advisories</t>
  </si>
  <si>
    <t>Improvement of Public Restroom in Batangas State University, Pablo Borbon Main I</t>
  </si>
  <si>
    <t>20GA00002: Supply and Delivery of Survey Equipment for use in the Planning &amp; Design Division, DPWH-Regional Office I, City of San Fernando, La Union</t>
  </si>
  <si>
    <t>Installation of Barangay Street Lights, Balluyan, Flora, Apayao</t>
  </si>
  <si>
    <t>PROCUREMENT OF VARIOUS HOSPITAL EQUIPMENT (OAL)</t>
  </si>
  <si>
    <t>CONCRETING OF FARM TO MARKET ROAD (FMR)</t>
  </si>
  <si>
    <t>Installation of Barangay Street Lights, Lighting System, San Isidro-Poblacion, Luna, Apayao</t>
  </si>
  <si>
    <t>Completion of Multi-Purpose Building at Public Market</t>
  </si>
  <si>
    <t>Improvement of Parks and Playground</t>
  </si>
  <si>
    <t>Purchase of Airconditioning Unit with Installation</t>
  </si>
  <si>
    <t>SUPPLY AND DELIVERY OF NATURAL FERTILIZERS</t>
  </si>
  <si>
    <t>PROCUREMENT OF SECURITY SERVICE FOR THE ADMINISTRATIVE CENTER AND VARIOUS POST OFFICE OF SOUTHERN LUZON AREA, FOR A PERIOD OF ONE(1) YEAR</t>
  </si>
  <si>
    <t>SUPPLY AND DELIVERY OF ORGANIC FERTILIZERS</t>
  </si>
  <si>
    <t>Supply and Delivery of Security Services for One Year Contract</t>
  </si>
  <si>
    <t>PROCUREMENT OF LEGISLATIVE TRACKING SYSTEM-IT EQUIPMENT</t>
  </si>
  <si>
    <t>SUPPLY &amp; DELIVERY OF ANIMAL FEEDS</t>
  </si>
  <si>
    <t>Supply and Delivery of Medical Supplies and Materials for use of MNH</t>
  </si>
  <si>
    <t>Supply and Delivery of Drugs and Medicines for Pharmaceutical Services of MNH</t>
  </si>
  <si>
    <t>Supply and Delivery of Janitorial and Garbage Collection Services at Naval Base Rafael Ramos (NBRR)</t>
  </si>
  <si>
    <t>PURCHASE OF ASSORTED DRUGS AND MEDICINES  FOR DISTRICT HOSPITALS CY 2020- REBID</t>
  </si>
  <si>
    <t>PROCUREMENT OF GARBAGE TRUCK FOR USE IN HAULING OF SEGRATED WASTE FROM MRF's SANITARY LANDFILL</t>
  </si>
  <si>
    <t>PROCUREMENT OF RESCUE VEHICLES</t>
  </si>
  <si>
    <t>20CN0152 (Re-adv.)- Repair / Rehabilitation of Slope Protection along National Roads, A. Castaneda - Ma. Aurora San Luis Road, K0226+375 - K0202+850</t>
  </si>
  <si>
    <t>Concreting of San Antonio-Marcela (Bayog) Road, Sta. Marcela, Apayao</t>
  </si>
  <si>
    <t>P.R No. 20-06-0665: 1 Unit Brand New Doppler Ultrasound System</t>
  </si>
  <si>
    <t>(20Z00006) Construction of the Priority Bridges Crossing Pasig-Marikina River and Manggahan Floodway Bridges Construction Project, under China Government Financing Facility, Contract Package 2 – Palan</t>
  </si>
  <si>
    <t>Reblocking of Road in Brgy. Cogon, Palo, Leyte, ABC PHP1,065,515.86</t>
  </si>
  <si>
    <t>HO-FAU20-002 - Supply and Delivery of Hiking Shoes and Luggage Bag</t>
  </si>
  <si>
    <t>Invitation to Apply for Eligibility and to Bid For the Software update and Maintenance of a Cloud-Based Geographic Information System (GIS)</t>
  </si>
  <si>
    <t>Manpower and Janitorial Services</t>
  </si>
  <si>
    <t>Supply and Delivery of Various Fertilizers in support to Food Production amidst COVID 19 Pandemic under Corn Program CY 2020</t>
  </si>
  <si>
    <t>Supply and Delivery of 1,600 Bottles Insecticide in support to Food Production amidst COVID-19 pandemic under Corn Program CY 2020</t>
  </si>
  <si>
    <t>CONCRETING OF WALKWAY/ STEPS</t>
  </si>
  <si>
    <t>Contract ID No. 20GZ00002- Supply and Delivery of Six (6) Units 24-Channel Seismograph for the Use of DPWH Regional Offices FY 2020</t>
  </si>
  <si>
    <t>Supply and Delivery of Various Fertilizer under Rice Program CY 2020.</t>
  </si>
  <si>
    <t>Supply and Delivery of 600 kgs. Corn Seeds-Hybrid White Glutinous in support to food production amidst COVID-19 pandemic under Corn Program CY 2020</t>
  </si>
  <si>
    <t>Contract ID No. 20GZ00004-Supply and Delivery of Six (6) Units Ground Penetrating Radar (GPR) for the Use of DPWH Regional Offices FY 2020</t>
  </si>
  <si>
    <t>medical oxygen</t>
  </si>
  <si>
    <t>PURCHASE OF ONE(1) UNIT COMBINE RICE HARVESTER</t>
  </si>
  <si>
    <t>medical supplies</t>
  </si>
  <si>
    <t>Improvement of Upper Maton-Marakrakka-Aga Farm to Market Road (Sta. 0+000 to Sta. 1+982.45), Pudtol, Apayao</t>
  </si>
  <si>
    <t>Procurement of Goods: Various Hospital Equipment (HFEP 2020) - Five (5) Units Laryngoscope Set IB 2020-26</t>
  </si>
  <si>
    <t>fluids</t>
  </si>
  <si>
    <t>Rehabilitation/Construction of Diversion Dam, LMC (Sta. 0+000 – 1+200), RMC (Sta. 0+000 – 0+770), Lat. A (Sta. 0+000 – 0+240) &amp; Appurtenant Structures, and Access Roads of Dulay CIS</t>
  </si>
  <si>
    <t>PURCHASE OF RESCUE VEHICLE OF LGU FLORA, APAYAO</t>
  </si>
  <si>
    <t>PROCUREMENT OF CIVIL WORKS: IMPROVEMENT OF EXISTING LABORATORY INTO COVID-19 TESTING LABORATORY USING CARTRIDGE-BASED TECHNOLOGY TO DETECT SARS-COV-2 (IB 2020-34)</t>
  </si>
  <si>
    <t>SUPPLY AND DELIVERY OF THREE MILLION (3,000,000) PIECES OF POST-LARVAE 12 (Penaeus vannamei) FRY</t>
  </si>
  <si>
    <t>Rehabilitation/Construction of Main Canals, LMC, RMC, Lateral A, Lateral B &amp; Appurtenant Structures and Access Roads of Niogpolo CIS and Kianodan CIS (Cluster 3)</t>
  </si>
  <si>
    <t>IB-06-0411-20 COE IMPROVEMENT OF ENGINEERING BUILDING ROOM 307 AND 204 AS COE COMPUTER LABORATORY</t>
  </si>
  <si>
    <t>PROCUREMENT OF INFRASTRUCTURE PROJECT:  RENOVATION OF MUNICIPAL GYMNASIUM STAGE</t>
  </si>
  <si>
    <t>PROCUREMENT OF INFRASTRUCTURE PROJECT:  IMPROVEMENTS OF MUNICIPAL BUILDING FOR SB SESSION HALL</t>
  </si>
  <si>
    <t>IB-05-0376-20 PDO COMPLETION OF ASIA PACIFIC CENTER</t>
  </si>
  <si>
    <t>PROCUREMENT OF INFRASTRUCTURE PROJECT:  CONSTRUCTION OF COMFORT ROOM FOR MUNICIPAL HALL</t>
  </si>
  <si>
    <t>“CONSTRUCTION OF POWER HOUSE”</t>
  </si>
  <si>
    <t>IB-07-0445-20 PDO UPGRADING OF DRAINAGE STRUCTURE</t>
  </si>
  <si>
    <t>TELEPHONE SET</t>
  </si>
  <si>
    <t>20GCG0003 - Rental of One (1) Unit Backhoe with Breaker (0.75 Capacity) to be used in the Clearing/Demolition of Existing Structures and Obstructions along National Roads and Bridges</t>
  </si>
  <si>
    <t>PROCUREMENT OF INFRASTRUCTURE PROJECT:  ESTABLISHMENT OF SEARCH AND RESCUE OPERATION CENTER</t>
  </si>
  <si>
    <t>20A00209: Construction of PENRO 3-Storey Building, Capitol Compound, Lingayen, Pangasinan</t>
  </si>
  <si>
    <t>Procurement of Office Equipment (Printing Machine Duplicator, Digital, Heavy Duty)</t>
  </si>
  <si>
    <t>IB-03-080-2020 OC IMPROVEMENT OF EVSU ORMOC CITY CAMPUS TECHNOLOGY BUILDING (PHASE II)</t>
  </si>
  <si>
    <t>20GCG0002 - Rental of One (1) Unit Backhoe Excavator (Cap 1/4 cu.m) to be used in the Desilting/Declogging of Drainage Facilities along National Roads</t>
  </si>
  <si>
    <t>Rehabilitation/Construction of Main Canals, LMC, RMC, Lateral A, Lateral B, Lateral C, Lateral D &amp; Appurtenant Structures of Pangadapun, Gamot, Karigongan and Kilugay CIS (Cluster 2)</t>
  </si>
  <si>
    <t>71-X-Selective Replacement of Concrete Pavement along Daang Maharlika, K0269+312.50-    K0278+297 with exception, Solano-Bagabag, Nueva Vizcaya</t>
  </si>
  <si>
    <t>Rehabilitation/Construction of Diversion Dams, Main Canals, Lateral A, Lateral B, Lateral B-1 &amp; Appurtenant Structures &amp; Access Roads of Mapantao, Mapantao-Lubo, Bararay &amp; Tungcopan CIS (Cluster1)</t>
  </si>
  <si>
    <t>CONSTRUCTION OF CONCRETE CANAL ALONG BADILLA STREET (PHASE 2), BULARAN, BANATE, ILOILO</t>
  </si>
  <si>
    <t>SUPPLY AND DELIVERY OF ONE (1) UNIT 4 X 2 DRIVE FOUR WHEELER TRUCK, PASSENGER TYPE BODY IN SUPPORT TO CACAO PROCESSING AND MARKETING ENTERPRISE-(PRDP-IR-Ro10-BUK-001-000-000-2016)-(Loan No. 8421-PH)</t>
  </si>
  <si>
    <t>Construction of Drainage Canal(BCES) Phase 4 New</t>
  </si>
  <si>
    <t>CONSTRUCTION OF PROCESSING CENTER (WITH SITE OR LAND DEVELOPMENT AND PERIMETER FENCE) IN SUPPORT TO CACAO PROCESSING AND MARKETING ENTERPRISE (prdp-ir-R010-BUK-001-000-000-2016-R-1)-(Loan No. 8421-PH)</t>
  </si>
  <si>
    <t>CONSTRUCTION OF SOLAR STREET LIGHTS AT PUROK 2 &amp; 4</t>
  </si>
  <si>
    <t>Supply and Delivery of Materials for the Sustainment of Unit/Office Daily Operations LOT 1 and Sustainment of Daily Shipboard Operations of BRP TARLAC (LD601) and BRP DAVAO DEL SUR (LD602) LOT 2</t>
  </si>
  <si>
    <t>Procurement of Janitorial Services Provider CY 2020 (Contract No. RO-PG2020-003)</t>
  </si>
  <si>
    <t>Concreting of Brgy. Commonal FMR, Solano, Nueva Vizcaya</t>
  </si>
  <si>
    <t>Construction of 4STY8CL Diadi NHS, Diadi, Nueva Vizcaya</t>
  </si>
  <si>
    <t>ITB No. 2020-005-CSL - SUPPLY, DELIVERY, INSTALLATION, COMMISSIONING AND TESTING OF GAS CHROMATOGRAPH WITH FLAME IONIZATION DETECTOR COMPLETE WITH ALL NECESSARY PARTS AND ACCESSORIES FOR FDA-ALABANG T</t>
  </si>
  <si>
    <t>Supply and Delivery of Various Medical Equipment for the College of Medicine</t>
  </si>
  <si>
    <t>MOBILE LOAD</t>
  </si>
  <si>
    <t>Concreting of Brgy. Magapuy FMR, Brgy. Magapuy, Bayombong, Nueva Vizcaya</t>
  </si>
  <si>
    <t>CONSTRUCTION OF SANITARY LANDFILL</t>
  </si>
  <si>
    <t>PROCUREMENT OF OFFICE TABLE</t>
  </si>
  <si>
    <t>HO-BBW20-002 - Supply and Delivery of Office Equipment</t>
  </si>
  <si>
    <t>IP TRANSPORT MUNICIPAL SERVICES</t>
  </si>
  <si>
    <t>20GB0135 - Construction of 4 Storey Twenty (20) Classroom School Building at  Barasanan National High School, Tobias Fornier (Dao), Antique</t>
  </si>
  <si>
    <t>PROCUREMENT OF OFFICE CHAIRS</t>
  </si>
  <si>
    <t>PROCUREMENT OF ONE (1) UNIT MOTOR VEHICLE</t>
  </si>
  <si>
    <t xml:space="preserve">20CSKG02: Soil Testing/Exploration for : 1) Construction of Revetment/Riverbank Protection at Pielsadai Bridge, Barangay El-Salvador, Lala (along Maranding River downstream)                           </t>
  </si>
  <si>
    <t>Managed Internet Service_ZAMPEN</t>
  </si>
  <si>
    <t>RFQ / 20-06-0335 / PROCUREMENT OF SHUTTLE BUS TICKET</t>
  </si>
  <si>
    <t>Supply and Delivery of Seventeen (17) units Branded Laptop Computer, Five (5) boxes Office 365, Three (3) units Branded LED Monitor and Ten (10) units Portable External Hard Drive</t>
  </si>
  <si>
    <t>Rehabilitation of Salnec River Wall</t>
  </si>
  <si>
    <t>CONCRETING OF LOCAL ROADS PACKAGE 4-2020</t>
  </si>
  <si>
    <t>DRINKING WATER</t>
  </si>
  <si>
    <t>CONCRETING OF LOCAL ROADS PACKAGE 3-2020</t>
  </si>
  <si>
    <t>PPO-20-0239-B OFFICE EQUIPMENT</t>
  </si>
  <si>
    <t>Procurement of mini-dumptruck</t>
  </si>
  <si>
    <t>Invitation to Bid - Construction Project for Construction of Drainage System at Ilaya to Guinacot, Danao City</t>
  </si>
  <si>
    <t>Invitation to Bid - Construction Project for Concreting of Barangay Road at Sandayong Sur, Danao City</t>
  </si>
  <si>
    <t>Invitation to Bid - Construction Project for Repair/Rehab of Road @ C.P Garcia Street, Poblacion, Danao City</t>
  </si>
  <si>
    <t>1 LOT Indoor Air Quality (IAQ) Testing</t>
  </si>
  <si>
    <t>procurement of office supplies</t>
  </si>
  <si>
    <t>Regravelling of Sitio Bulbulala</t>
  </si>
  <si>
    <t>Construction of Barangay Hall</t>
  </si>
  <si>
    <t>Invitation to Bid - Construction Project for Construction of Multi-Purpose Building at Barangay Cagat, Danao City</t>
  </si>
  <si>
    <t>PBD 20-081 Janitorial and Maintenance Services (South Sector)</t>
  </si>
  <si>
    <t>Construction of Drainage Canal at Sitio Banal</t>
  </si>
  <si>
    <t>Procurement of One (1) lot Various Hardware Supplies and Materials</t>
  </si>
  <si>
    <t>AGRICULTURE SUPPLIES</t>
  </si>
  <si>
    <t>DRILLING OF ONE(1) EXPLORATORY/PRODUCTION WELL</t>
  </si>
  <si>
    <t>CONSTRUCTION OF COMPOSTING SHED/PRODUCTION FACILITY (PHASE-1)</t>
  </si>
  <si>
    <t>Managed Internet Service_BASULTA</t>
  </si>
  <si>
    <t>Supply and Delivery of High Resolution Optical and SAR Direct Reception Imaging Services</t>
  </si>
  <si>
    <t>20KK0131 - Construction of Evacuation Center, Brgy. Daan Lungsod, Gingoog City, Misamis Oriental</t>
  </si>
  <si>
    <t>PBD 20-080 JANITORIAL AND MAINTENANCE SERVICES (NORTH SECTOR)</t>
  </si>
  <si>
    <t>regulated drugs</t>
  </si>
  <si>
    <t>USED FOR PUMPBOAT REPAIR AND MAINTENANCE</t>
  </si>
  <si>
    <t>ITB No. GOP/20-DSWD-028-A - Supply and Delivery of Food and Non-Food Items for the Production of Family Food Packs for CY 2020 Through Framework Agreement</t>
  </si>
  <si>
    <t>Supply and Delivery of Construction Materials for the Enhancement of Storage Facility at NSJM</t>
  </si>
  <si>
    <t>SUPPLY, DELIVERY, FABRICATION AND INSTALLATION OF MACHINERY AND EQUIPMENT IN SUPPORT TO THE CACAO PROCESSING AND MARKETING ENTERPRISE-(PRDP-IR-R010-BUK-001-000-000-2016)-(Loan No. 8421-PH)</t>
  </si>
  <si>
    <t>Procurement of Furniture &amp; Fixtures for PRO XI C.Y 2020</t>
  </si>
  <si>
    <t>Project No. 2: RENOVATION OF HEALTH CENTER AT BRGY. SAN NICOLAS PROPER, CEBU</t>
  </si>
  <si>
    <t>Project 1: Design and Build for the Construction of Medium Rise Building (5-Storey Tenement Housing), Brgy. Lorega-San Miguel, Cebu City</t>
  </si>
  <si>
    <t>CP 2020-44 BIDDING FOR THE SUPPLY AND DELIVERY OF ANTI-RABIES VACCINES C/O HSO</t>
  </si>
  <si>
    <t>Supply and Delivery of Gold Ring as token for GSIS Employees with 35 years of service</t>
  </si>
  <si>
    <t>Supply and Delivery of Construction Materials for the Enhancement of Storage Facility at NSFA</t>
  </si>
  <si>
    <t>Supply and Delivery of Labor and Materials for the Repair/Rehabilitation of NLC Electrical Distribution System and Electrical Layouts and Flooring of Warehouse Nr 8</t>
  </si>
  <si>
    <t>Security Services</t>
  </si>
  <si>
    <t>MAINTENANCE OF FOUR WHEEL DRIVE TRACTOR</t>
  </si>
  <si>
    <t>Procurement of Next Generation Privileged Account Management in DOH Data Center-Rebid under IB No. 2020-205-A</t>
  </si>
  <si>
    <t>TO ELIMINATE THE PARASITISM AND PROTECTION OF ANIMALS AGAINTS DISEASES</t>
  </si>
  <si>
    <t>Provision of Security Services for a Period of One (1) Year in the DOLE Central Office from October 2020 to October 2021</t>
  </si>
  <si>
    <t>CP 2020-43 BIDDING FOR THE SUPPLY AND DELIVERY OF THREE (3) UNITS COMPACT DIESEL SMOKE ANALYZER C/O CEPMO</t>
  </si>
  <si>
    <t>CONSTRUCTION OF LOCAL ROADS</t>
  </si>
  <si>
    <t>SUPPLY &amp; DELIVERY OF VEHICLE (DUMPTRUCK)</t>
  </si>
  <si>
    <t>Supply and Delivery of Five (5) units Sports Utility Vehicle (SUV)</t>
  </si>
  <si>
    <t>ASSORTED VEGETABLE SEEDS USED FOR FARMERS.</t>
  </si>
  <si>
    <t>Feasibility Study for Ihaon RIP</t>
  </si>
  <si>
    <t>Procruement of Desktop Computers for Various Offices and Campuses FY 2019 in Batangas State University</t>
  </si>
  <si>
    <t>SUPPLY OF LABOR AND MATERIALS for the Construction of  National Child Development Center, Brgy. Calingatan, Mataasnakahoy, Batangas</t>
  </si>
  <si>
    <t>Construction of Perimeter Fence at PS No. 11</t>
  </si>
  <si>
    <t>Construction of 2 - Storey Building</t>
  </si>
  <si>
    <t>PROCUREMENT OF TWO (2) UNITS SLIGHTLY USED 4X2 TOYOTA HI-LUX</t>
  </si>
  <si>
    <t>Transportation Services</t>
  </si>
  <si>
    <t>Concreting of Municipal Road in Sitio Libis, Poblacion 1</t>
  </si>
  <si>
    <t>INVITATION TO BID-PROCUREMENT FOR THE SUPPLY, DELIVERY AND INSTALLATION OF SYSTEMS FURNITURE FOR PDIC OFFICE (Rebidding)</t>
  </si>
  <si>
    <t>CP 2020-41 BIDDING FOR THE SUPPLY AND DELIVERY OF ONE (1) UNIT SERVICE VEHICLE C/O CEPMO</t>
  </si>
  <si>
    <t>SERVICES OF A CREATIVE AGENCY  FOR  THE PHILIPPINES TOURISM INDUSTRY CAMPAIGNS</t>
  </si>
  <si>
    <t>Contract ID No. 20GZ00015- Supply, Delivery, Installation and Commissioning of Centrally-Managed Wireless Access Points (WAP)</t>
  </si>
  <si>
    <t>Supply and Delivery of 26,276 Bags Urea (46-0-0) under Rice Program CY 2020</t>
  </si>
  <si>
    <t>Supply and Delivery of 38,000 Bags Muriate of Potash (0-0-60) for Rehabilitation and Recovery of Damages caused by Taal Volcano Eruption under the Regular Agency Fund RA 11465 (Quick Response Fund)</t>
  </si>
  <si>
    <t>SUPPLY AND DELIVERY OF VARIOUS INFORMATION TECHNOLOGY EQUIPMENT, ACCESSORIES  AND PERIPHERALS</t>
  </si>
  <si>
    <t>Improvement of Multi-Purpose Center-Quirino Multi-Purpose Building, Quirino, Luna, Apayao</t>
  </si>
  <si>
    <t>Construction of Provincial Hospital Building &amp; Facilities (Flora District Hospital), Flora, Apayao</t>
  </si>
  <si>
    <t>Improvement of Burisingsing Street, Poblacion, Kabugao, Apayao</t>
  </si>
  <si>
    <t>Construction/Improvement of Malekkeg Farm to Market Road, Sta. Marcela, Apayao</t>
  </si>
  <si>
    <t>Supply and Delivery of Two (2) units Truck-Mounted Long Distance/Widerange Sprayer under Rice Program CY 2020</t>
  </si>
  <si>
    <t>Purchase of Printing Supplies</t>
  </si>
  <si>
    <t>Construction/Improvement of Multi-Purpose Center and Facilities, PVHS, Pudtol, Apayao</t>
  </si>
  <si>
    <t>PB 20-060A RENOVATION OF FONACIER HALL PHASE 2</t>
  </si>
  <si>
    <t>Supply and Delivery of 2,151 bags GM Hybrid Corn Seeds under Corn Program CY 2020</t>
  </si>
  <si>
    <t>Supply, Delivery, Installation, Configuration, Commissioning, and Implementation of Hyper-Converge Infrastructure (HCI) Technology Solution with Support Services for the PPP Center</t>
  </si>
  <si>
    <t>20CSAG01: GEOTECHNICAL AND GEOLOGICAL SURVEY  (SOIL BORING EXPLORATION) OF RBP 2021 AT PANGASINAN FIRST ENGINEERING/LEGISTRATIVE DISTRICT</t>
  </si>
  <si>
    <t>Construction of River Control</t>
  </si>
  <si>
    <t>Surigao City Luneta Park Revitalization Plan Luneta Park, Surigao City</t>
  </si>
  <si>
    <t>Procurement of supply and delivery of drugs and biologics &amp; feeds</t>
  </si>
  <si>
    <t>Procurement of Tables and Chairs for Psychological  Experimental Laboratory and Crime Laboratory in  Batangas State University – ARASOF, Nasugbu</t>
  </si>
  <si>
    <t>Replacement of Roofing and Ceiling of CITE Building in Batangas State University, ARASOF-Nasugbu</t>
  </si>
  <si>
    <t>FARM MACHINERIES AND EQUIPMENTS UNDER THE MAJOR CROP-BASED BLOCK FARM PRODUCTIVITY ENHANCEMENT PROGRAM</t>
  </si>
  <si>
    <t>Solar Powered / Street Lights Installation in all Accident Prone Areas at Municipalwide, Aritao, Nueva Vizcaya</t>
  </si>
  <si>
    <t>FARM MACHINERIES AND EQUIPMENTS UNDER THE SUSTAINABLE LIVELIHOOD SUPPORT PROJECT FOR DISASTER AFFECTED AREAS</t>
  </si>
  <si>
    <t>Establishment of University FM Station in Batangas State University, ARASOF – Nasugbu (Re-bidding)</t>
  </si>
  <si>
    <t>ESTABLISHMENT OF AGRICULTURE INNOVATION CENTER FOR AGRI-FISHERY-LIVESTOCK AT ILOCOS SUR POLYTECHNIC STATE COLLEGE</t>
  </si>
  <si>
    <t>CONTRACT FOR THE SUPPLY AND DELIVERY OF PUMPS AND MOTORS  INCLUDING INSTALLATION, TESTING, AND COMMISSIONING</t>
  </si>
  <si>
    <t>Repair of Sitio Balibayon  Irrigation System,    Brgy. Rizal, Surigao City</t>
  </si>
  <si>
    <t>Construction of Box Type Bridge along Marag-Calayucay Road, Calayucay, Luna, Apayao</t>
  </si>
  <si>
    <t>Purchase of medicine for use of the City Health Office I in the City of Binan, Laguna (subject to framework agreement)</t>
  </si>
  <si>
    <t>PROVISION OF LABOR, MATERIALS, EQUIPMENT RENTALS AND OTHER INCIDENTALS NEEDED FOR THE RECONSTRUCTION OF DA RFO-1 SOILS AND FEED LABORATORY CUM REGIONAL AGRICULTURAL DISASTER RISK REDUCTION AND MANAGEM</t>
  </si>
  <si>
    <t>20CSFL02-Consulting Services for the Conduct of Sub-soil Exploration for Various Infrastructure Projects under GAA FY 2020 and Proposed 2021 Projects Sorsogon 2nd Congressional District</t>
  </si>
  <si>
    <t>ITB-GS-20200413-01 - Three (3) Years Subscription for Web Security Protection for LANDBANK Branches (700 Users)</t>
  </si>
  <si>
    <t>Procurement of Beam Balance Scale with Height and Weight</t>
  </si>
  <si>
    <t>20GB0124 - Construction of 1 Storey Two (2) Classroom School Building at  Alberto Siasat ES (Casalngan ES), Hamtic, Antique</t>
  </si>
  <si>
    <t>Improvement of Malama-Malicbec Farm to Market Road, Conner, Apayao</t>
  </si>
  <si>
    <t>Re- Ad. 20BG0082-Local Infrastructure Program-Buildings and other Structures -Multi-Purpose/Facilities=Construction of Multi-Purpose Building (Phase II), Brgy. Sunlife, Naguilian, Isabela</t>
  </si>
  <si>
    <t>Part of Office Supplies and Materials - 1st Quarter	(Desktop Computer)</t>
  </si>
  <si>
    <t>Supply &amp; Delivery of Thirty (30) sets Solar Kit for Donations to Various Schools, Himamaylan City</t>
  </si>
  <si>
    <t>20CSBK02 -  Soil Testing Exploration for various proposed bridges for CY 2021 along Cordon – Aurora Bdry Road (Isabela Bndry – Jct. Dumabato – Aurora Bndry): 1. Lukban Bridge (B04905LZ), 2. Disinaba B</t>
  </si>
  <si>
    <t>20CSBK01 - Consulting Services for the conduct of a) Parcellary Survey, b) Structural/Utility/Facilities Survey), c) Monumenting, and d)Research along Cordon - Aurora Bdry Road (Isabela Bndry - Jct. D</t>
  </si>
  <si>
    <t>Procurement and Installation of Two (2) Optimal Mark Readers</t>
  </si>
  <si>
    <t>20GB0125 - Construction of 1 Storey Three (3) Classroom School Building at  Capnayan PS, Laua-an, Antique</t>
  </si>
  <si>
    <t>RFQ / PR 20-06-0296 / PROCUREMENT OF CONSTRUCTION MATERIALS FOR PROPOSED SERVER AND RECORDS ROOM</t>
  </si>
  <si>
    <t>Construction of Covered Court</t>
  </si>
  <si>
    <t>Construction of Pathways/Walkways (Gandang Ilagan Program)</t>
  </si>
  <si>
    <t>Procurement of 1 lot Various Semi-Expendable Office Supplies</t>
  </si>
  <si>
    <t>20GB0126 - Construction of 1 Storey Two (2) Classroom School Building at  Maybunga PS, Laua-an, Antique</t>
  </si>
  <si>
    <t>ITB - Supply, Delivery and Testing of Walking Type Agricultural Tractors (PHilMech RCEF 20-06-02)</t>
  </si>
  <si>
    <t>Construction of Retaining Wall with Road Concreting @ San Felipe</t>
  </si>
  <si>
    <t>FURNISHING OF LABOR, TOOLS AND MATERIALS FOR THE MAINTENANCE / IMPROVEMENT OF HAZARDOUS WASTE AREA OF AGUS 6/7 HEPC</t>
  </si>
  <si>
    <t>Rehab of Day Care Center</t>
  </si>
  <si>
    <t>Contract ID No. 20FA0061: CLUSTER 34 - CONSTRUCTION OF 2-STOREY SCHOOL BUILDINGS UNDER DEPED CY 2020 BEFF IN THE FIRST DISTRICT OF ALBAY</t>
  </si>
  <si>
    <t>RFQ / PR 20-06-0280 / PROCUREMENT OF CONSTRUCTION MATERIALS FOR THE PROPOSED GUARD POST AT GATE 6</t>
  </si>
  <si>
    <t>SUPPLY, DELIVERY AND INSTALLATION OF TONERS WITH FREE USE OF MULTIFUNCTION PRINTERS FOR THE USE OF VARIOUS OFFICES IN BFAR CENTRAL OFFICE  FOR ONE (1) YEAR</t>
  </si>
  <si>
    <t>Supply and Delivery of Various Vehicles for Resource Generation and Management Service (RGMS)</t>
  </si>
  <si>
    <t>ITB and Bid Docs for Procurement ID/Contract ID:    20C00050  Contract Name:      Rehabilitation of Pampanga River (including Pulo) at Arayat and Macabebe, Pampanga</t>
  </si>
  <si>
    <t>ITB-GS-20200311-01 - One (1) Lot Supply, Delivery and Installation of Office Furniture at LANBBANK Buendia Branch</t>
  </si>
  <si>
    <t>Construction of Multi-Purpose Commercial Building</t>
  </si>
  <si>
    <t>Supply and Delivery of Tilapia Fingerlings</t>
  </si>
  <si>
    <t>Supply and Delivery of Global Navigation Satellite System (GNSS) Equipment for Use of Various District Engineering Offices (CY 2020)</t>
  </si>
  <si>
    <t>INVITATION TO BID FOR SECURITY SERVICES</t>
  </si>
  <si>
    <t>Supply of Labor and Materials for the Replacement of Two (2) Units Four (4) MVA 4160/440 Oil Type Transformer, Main Electrical Room NAIA Terminal 1</t>
  </si>
  <si>
    <t>Supply, Installation, Commissioning and Testing of a 250 Mbps Fiber Optic Dedicated Internet Access Service</t>
  </si>
  <si>
    <t>Public Bidding re: Procurement of CSC Central Office Primary Internet Services Leased Line</t>
  </si>
  <si>
    <t>Public Bidding re: Procurement of Anti-Virus Software (AVS) Licenses Renewal for 1,500 Workstations  at the CSC Central and Regional Offices</t>
  </si>
  <si>
    <t>Procurement of CY 2020 Fuel, Oil and Lubricants Requirements for TFBL Project</t>
  </si>
  <si>
    <t>20OA0076: Construction of Four (4) Storey Eight (8) Classroom School Building San Roque Elementary School, Navotas City</t>
  </si>
  <si>
    <t>Public Bidding re: Procurement of Laptops and Printers</t>
  </si>
  <si>
    <t>One (1) Lot Supply of Labor and Materials for the Construction of PCMC's New Building (Phase 2)</t>
  </si>
  <si>
    <t>ITB-GS-20200608-01 - Two (2) Years Subscription of Dark Fiber Facility</t>
  </si>
  <si>
    <t>20CG0206 - Construction/ Repair/ Rehabilitation/ Improvement  of Various Infrastructure including Local Projects: Local Roads and Bridges – Local Roads – Construction of Road, San Simon, Pampanga</t>
  </si>
  <si>
    <t>ITB - Supply, Delivery and Testing of  Rice Precision Seeders (PHilMech 20-06-04)</t>
  </si>
  <si>
    <t>Construction of Flyovers/Interchanges/ Underpasses/Long Span Bridges: C-5 - Quirino Flyover, Las Piňas City (Contract ID No. 20O00004)</t>
  </si>
  <si>
    <t>Supply and Delivery of Food and Beverages for Casino Customers, Players and Guests for Three (3) Years for Ronquillo Satellite under ITB No. PB20-06-035COR</t>
  </si>
  <si>
    <t>Purchase of Vehicle</t>
  </si>
  <si>
    <t>Expansion of Students Athletic Ground (Lot 2-Savings)</t>
  </si>
  <si>
    <t>Augmentation Bantay Bayan Outpost</t>
  </si>
  <si>
    <t>19CSZ016- Capacity Development of DPWH Staff in Tunnel Operation and Maintenance and Preparation of Tender Documents for Procurement of Services for the Operation and Maintenance of the Davao City Byp</t>
  </si>
  <si>
    <t>20DN0161 - CONSTRUCTION OF PEDESTRIAN OVERPASS, SUN VALLEY (BARANGAY BAGONG NAYON TO DELA PAZ), ANTIPOLO CITY</t>
  </si>
  <si>
    <t>20DN0157 - IMPROVEMENT/ CONSTRUCTION OF FLOOD CONTROL STRUCTURES OF KAMIAS CREEK (COGEO GATE 1), ANTIPOLO CITY, RIZAL</t>
  </si>
  <si>
    <t>20DN0169 - CONSTRUCTION OF FLOODGATE, CAINTA RIVER, SAN FRANCISCO MANGGAHAN FLOODWAY, PHASE 3, BRGY. SAN JUAN, CAINTA, RIZAL</t>
  </si>
  <si>
    <t>Procurement of Security Services for CSC RO IV Located at 139 Panay Ave., Barangay South Triangle, Quezon City</t>
  </si>
  <si>
    <t>MG-TSE20-032..REHAB/REPAIR OF VARIOUS DEFECTIVE LOW/MEDIUM/HIGH VOLTAGE EQUIPMENT</t>
  </si>
  <si>
    <t>20DN0148 - REHABILITATION OF ROAD WITH DRAINAGE, ORCHID ST., BRGY. MAYAMOT, ANTIPOLO CITY</t>
  </si>
  <si>
    <t>20GK0227 - Concreting of Brgy. Lagaan FMR, Brgy. Lagaan, Calatrava, Negros Occidental</t>
  </si>
  <si>
    <t>20GK0226 - Concreting of Brgy. General Luna to Brgy. Barrera FMR, Brgy. General Luna and Brgy. Barrera, Sagay City, Negros Occidental</t>
  </si>
  <si>
    <t>MG-TSE20-018..METER MULTIFUNCTION</t>
  </si>
  <si>
    <t>20DN0160 - CONSTRUCTION OF MULTI - PURPOSE BUILDING, SITIO PINAGMISAHAN, BARANGAY DELA PAZ, ANTIPOLO CITY</t>
  </si>
  <si>
    <t>20DN0168 - CONSTRUCTION OF FLOODGATE, CAINTA RIVER, SAN FRANCISCO, MANGGAHAN FLOODWAY, BRGY. SAN JUAN (PHASE 2), CAINTA, RIZAL</t>
  </si>
  <si>
    <t>SUPPLY, DELIVERY, INSTALLATION INTO OPERATIONAL STATE, AND MAINTENANCE OF AN INVESTMENT MANAGEMENT SYSTEM (IMS) (RE-ADVERTISEMENT)</t>
  </si>
  <si>
    <t>20DN0145 - CONSTRUCTION OF PEDESTRIAN OVERPASS, MAMBUGAN, ANTIPOLO CITY, RIZAL</t>
  </si>
  <si>
    <t>Procurement of NVBSP Collaterals</t>
  </si>
  <si>
    <t>Supply of Labor And Materials For The Development Of Deployable And Collapsible Food Hub Including Fabrication Of Chassis Components, Food Hub Framing, Electrical and Automation Works-Rebidding</t>
  </si>
  <si>
    <t>Procurement of Wheelchair &amp; Reading Glasses PR # 2020-06-23-209</t>
  </si>
  <si>
    <t>Procurement of Medicines &amp; Medical Supplies PR # 2020-06-15-193</t>
  </si>
  <si>
    <t>Invitation to Bid for the Consultancy Services for the Training Needs Assessment, Design, Development and Pilot Implementation of Training Programs on MSMEs Resiliency for the Creative Industries Sect</t>
  </si>
  <si>
    <t>Invitation to Bid for the Consultancy Services for the Training Needs Assessment, Design, Development and Pilot Implementation of Training Programs on MSMEs Resiliency for the Food Manufacturing Secto</t>
  </si>
  <si>
    <t>nvitation to Bid for the Consultancy Services for the Training Needs Assessment, Design, Development and Pilot Implementation of Training Programs on MSMEs Resiliency for the Creative Industries Secto</t>
  </si>
  <si>
    <t>20DN0149 - REHABILITATION OF ROAD WITH DRAINAGE, CAROLINA VILLAGE, STA. CRUZ, ANTIPOLO CITY, RIZAL</t>
  </si>
  <si>
    <t>WIDENING OF BARANGAY ROAD, POBLACION 1, BARANGAY MABINI, BURDEOS, QUEZON</t>
  </si>
  <si>
    <t>20CN0125 - Slope Protection along Nueva Ecija – Aurora Road, K0184+800 – K0184+880, K0184+980 – K0185+090</t>
  </si>
  <si>
    <t>20CN0123 - Construction of Slope Protection along Baler - Casiguran Road (Dinadiawan-Casiguran Section), K0297+060 – K0297+143, K0297+190 – K0297+300, Casigura, Aurora</t>
  </si>
  <si>
    <t>Invitation to Bid for the Consultancy Services for the Training Needs Assessment, Design, Development and Pilot Implementation of Training Programs on MSMEs Resiliency for the Lifestyle Sector: Clothi</t>
  </si>
  <si>
    <t>20CN0124 - Slope Protection along Nueva Ecija – Aurora Road, K0176+200 – K0176+360</t>
  </si>
  <si>
    <t>20CN0072 - Construction of Slope Protection along Nueva Ecija – Aurora Road, K0171+150 – K0171+195.52, Aurora</t>
  </si>
  <si>
    <t>20DN0150 - ASPHALT OVERLAY, PINAGMISAHAN ST., BRGY. DELA PAZ, ANTIPOLO CITY</t>
  </si>
  <si>
    <t>20CN0071 - Construction of Slope Protection Along Baler – Casiguran Road (Dinadiawan – Casiguran Section), (K0302+490 – K0302+570), Casiguran, Aurora</t>
  </si>
  <si>
    <t>20CN0069 - Construction of Slope Protection Along Baler – Casiguran Road (Baler – Dinadiawan Section), (K0259+735 – K0259+775), Casiguran, Aurora</t>
  </si>
  <si>
    <t>20CN0075 - Construction of Slope Protection along Nueva Ecija – Aurora Road, K0204+325 – K0204+386, Aurora</t>
  </si>
  <si>
    <t>20CN0070 - Construction of Slope Protection Along Baler – Casiguran Road (Dinadiawan – Casiguran Section), K0292+910 – K0292+988, Aurora</t>
  </si>
  <si>
    <t>20DN0171 - CONSTRUCTION/ REHABILITATION OF MULTI - PURPOSE BUILDING (PRITIL MEDICAL CENTER INCLUDING SITE DEVELOPMENT), BRGY. LIBIS, BINANGONAN, RIZAL</t>
  </si>
  <si>
    <t>20DN0140 (Re-Schedule) - CONSTRUCTION OF PEDESTRIAN OVERPASS, BRGY. STA. CRUZ, ANTIPOLO CITY</t>
  </si>
  <si>
    <t>20CN0067 - Construction of Slope Protection Along A. Castañeda – Ma. Aurora San Luis Road, (K0198+120 – K0198+171.84), Aurora</t>
  </si>
  <si>
    <t>20DN0173 - CONSTRUCTION OF SPORTS FACILITY BUILDING AT BLUEBELLS, BRGY. MAYAMOT, ANTIPOLO CITY, RIZAL</t>
  </si>
  <si>
    <t>Contract ID No. 20FA0060: CLUSTER 33 - CONCRETING OF FARM TO MARKET ROADS IN THE FIRST DISTRICT OF ALBAY</t>
  </si>
  <si>
    <t>20DN0174 - REHABILITATION OF NHA ROAD WITH DRAINAGE, BRGY. SAN ISIDRO, ANTIPOLO CITY</t>
  </si>
  <si>
    <t>20CN0068 - Construction of Slope Protection Along A. Castañeda – Ma. Aurora San Luis Road, (K0211+175 – K0211+310), Aurora</t>
  </si>
  <si>
    <t>20DN0139 (Re-Schedule) - CONSTRUCTION OF PEDESTRIAN OVERPASS, BRGY. DELA PAZ, ANTIPOLO CITY</t>
  </si>
  <si>
    <t>20DN0138 (Re-Schedule) - REHABILITATION OF ROAD AND DRAINAGE SYSTEM AT BROOKSIDE HILLS, BRGY. SAN JUAN, CAINTA, RIZAL</t>
  </si>
  <si>
    <t>20DN0130 (Re-Schedule) - REHABILITATION OF ROAD WITH DRAINAGE AT ORCHID ST., GREENHEIGHTS SUBD., MAYAMOT , ANTIPOLO CITY, RIZAL</t>
  </si>
  <si>
    <t>20DN0128 (Re-Schedule) - CONCRETING OF ROAD, BRGY. SAN JUAN, ANTIPOLO CITY, RIZAL</t>
  </si>
  <si>
    <t>Construction of Multi-Purposed Building (Tourism Information and Assistance Center) @ Brgy Sapang Uwak, Porac, Pampanga</t>
  </si>
  <si>
    <t>Conduct of  Surface and Subsurface Geological and Geotechnical Investigation of OCAMPO SRIP (rebid), Ocampo, Camarines Sur</t>
  </si>
  <si>
    <t>PROCUREMENT OF PROFESSIONAL CONSULTING SERVICE FOR THE CONDUCT OF FEASIBILITY STUDY ON THE SOLID WASTE MANAGEMENT FACILITY (LGU SANITARY LANDFILL) FOR LOCAL GOVERNMENT UNIT-CLUSTER (LGU CLUSTER)</t>
  </si>
  <si>
    <t>(SBMA-BAC-GOODS-ITB-09-20) SBMA MOTOROLA TRUNKED RADIO COMMUNICATION SYSTEM UPGRADE</t>
  </si>
  <si>
    <t>Local Infrastructure Program; Building and other Structures; Multi-Purpose/ Facilities: Construction and/or Repair/ Rehabilitation of Multi-Purpose Building, Brgy. Balibago, Angeles City, Pampanga</t>
  </si>
  <si>
    <t>20DN0170 - REHABILITATION OF MULTI - PURPOSE BUILDING (ANTIPOLO SPORTS HUB), SITIO ORETA, BARANGAY SAN ISIDRO, ANTIPOLO CITY</t>
  </si>
  <si>
    <t>20DN0137 (Re-Schedule) - CONSTRUCTION/ IMPROVEMENT OF CLIFFSIDE AND ROAD WIDENING WITH DRAINAGE SYSTEM, BRGY. MACAMOT, BINANGONAN, RIZAL</t>
  </si>
  <si>
    <t>CONSTRUCTION OF BARANGAY STAGE (PAHASE I), BARANGAY AMOT, BURDEOS, QUEZON</t>
  </si>
  <si>
    <t>ITB No. 19-DSWD-059-A - Supply and Delivery of Workstation Computer for DSWD-UCT NPMO</t>
  </si>
  <si>
    <t>PR No. 2020-02-0182-MAIN-Supply and Delivery of Stenograph Machine for Stenograph Laboratory of CBAS</t>
  </si>
  <si>
    <t>PR No. 2020-02-0277-MAIN-Supply and Delivery of Steel Filing Cabinets for the different offices</t>
  </si>
  <si>
    <t>One (1) Lot – Supply and delivery of 5,000 Learning Experience Platform (LXP) subscriptions, including customization, implementation, maintenance, technical support, and user training, as per BSP Term</t>
  </si>
  <si>
    <t>PR No. 2020-06-0561-MAIN-Supply and Delivery of Inks and Toners for Existing Printers of the different BISU Offices</t>
  </si>
  <si>
    <t>REPAIR AND IMPROVEMENT OF BFP-NHQ MAIN BUILDING (Rehabilitation of Sanitary Line System)</t>
  </si>
  <si>
    <t>SUPPLY, DELIVERY, INSTALLATION, CABLING, CONFIGURATION AND COMMISSIONING OF ICT EQUIPMENT FOR OPERATION CENTERS, REGION 2, 10, 12 AND CARAGA</t>
  </si>
  <si>
    <t>Contract ID No. 19CSK00041 – Consultancy Services for the Conduct of Geotechnical &amp; Geological Investigation and Survey Works for the Proposed Construction of Sabo Dam on Upper and Lower Dinanggasan R</t>
  </si>
  <si>
    <t>ITB-GS-20200604-01 - 1 Lot Supply, Delivery and Installation of Signages, Acrylic Frame Panels, ATM Sunshade &amp; Thru-the-Wall ATM Enclosure, including Dismantling of existing signages, when necessary,</t>
  </si>
  <si>
    <t>Purchase of One (1) Unit 4x4 Pick up Vehicle</t>
  </si>
  <si>
    <t>SVP PUR20-03-0291 Procurement of Carbon Dioxide 50lbs/cyl</t>
  </si>
  <si>
    <t>Construction of Flood Control Structures along Bayanan River, Brgy. Bayanan, Muntinlupa City,  Sta. 0+000 to Sta. 0+325 (Contract ID No. 20O00059)</t>
  </si>
  <si>
    <t>20KA0142 Construction of Multi Purpose Building - Construction of Multi-Purpose  Building, Brgy. Iba, Cabanglasan, Bukidnon (Phase II) Cabanglasan, Bukidnon</t>
  </si>
  <si>
    <t>20GB0123 - Concreting of Brgy. Maybunga FMR, Brgy. Maybunga, Laua-an, Antique</t>
  </si>
  <si>
    <t>20BF0052: Concreting of Road, Brgy. Bannawag, Aurora, Isabela</t>
  </si>
  <si>
    <t>Procurement of Medical Practitioner for CY 2020</t>
  </si>
  <si>
    <t>THE PROCUREMENT FOR THE SUPPLY AND DELIVERY OF PRECISION DIVIDER FOR USE IN SEED TESTING AND SEED CERTIFICATION OF NATIONAL SEED QUALITY CONTROL SERVICES DIVISION (NSQCSD)</t>
  </si>
  <si>
    <t>HYDRAULIC OIL</t>
  </si>
  <si>
    <t>PROCUREMENT FOR THE SUPPLY AND DELIVERY OF ELECTRIC HEAVY DUTY CUTTER FOR USE IN SEED TESTING AND SEED CERTIFICATION OF NATIONAL SEED QUALITY CONTROL SERVICES DIVISION (NSQCSD)</t>
  </si>
  <si>
    <t>PROCUREMENT FOR THE SUPPLY AND DELIVERY OF ANALYTICAL AND TOP LOADING BALANCE FOR USE IN SEED TESTING AND SEED CERTIFICATION OF NATIONAL SEED QUALITY CONTROL SERVICES DIVISION (NSQCSD)</t>
  </si>
  <si>
    <t>PROCUREMENT FOR THE SUPPLY AND DELIVERY OF PURITY WORKBOARD, DIAPHANOSCOPE, AND CIRCLINE MAGNIFIER FOR USE IN SEED TESTING AND SEED CERTIFICATION OF NATIONAL SEED QUALITY CONTROL SERVICES DIVISION (NS</t>
  </si>
  <si>
    <t>INVITATION TO RE-BID FOR THE  SUPPLY AND DELIVERY OF COMPUTER NOTEBOOK PR Nos. 27619-001 to 27619-003</t>
  </si>
  <si>
    <t>INVITATION TO RE-BID FOR THE  SUPPLY, DELIVERY, AND INSTALLATION OF FIRE SUPRESSION SYSTEM PR No. 27388-001</t>
  </si>
  <si>
    <t>20F00122 - OO1: Ensure Safe and Reliable National Road System – Bridge Program – Widening of Permanent Bridges – Magsaysay Br. (B00474LZ) along MT Villanueva Ave-Magsaysay Road, Naga City, Camarines S</t>
  </si>
  <si>
    <t>Supply and Delivery of FRP Materials, Underwater Fittings and Marine Engine</t>
  </si>
  <si>
    <t>INVITATION TO RE-BID FOR THE  SUPPLY, DELIVERY, AND INSTALLATION OF LOCAL AREA NETWORK (LAN) STRUCTURED CABLING IN THE NEW MSSD BUILDING, TALAMBAN, CEBU CITY PR No. 27608-001</t>
  </si>
  <si>
    <t>DATA BACKUP STORAGE NETWORK ATTACHED STORAGE (NAS)/DISK STATION, RAID</t>
  </si>
  <si>
    <t>Local Program: Construction/ Repair/ Rehabilitation/ Improvement of Buildings and Other Structures; Multi-Purpose/ Facilities; Construction of Multi-Purpose Building (Auditorium) at Brgy. Sto. Nino, M</t>
  </si>
  <si>
    <t>THE PROCUREMENT FOR THE SUPPLY AND DELIVERY OF DIGITAL DUPLICATOR FOR USE IN SEED TESTING AND SEED CERTIFICATION OF NATIONAL SEED QUALITY CONTROL SERVICES DIVISION (NSQCSD)</t>
  </si>
  <si>
    <t>20KA0141 Paving of Unpaved Roads with Construction of Road Slope Protection Structure along Jct SH Aglayan-Zamboanguita Rd (S00631MN) - K1569 + 187 - K1570 + 092 (Package 2 - K1569 + 607 - K1570 + 092</t>
  </si>
  <si>
    <t>20KA0140 Paving of Unpaved Roads with Construction of Road Slope Protection Structure along Kapalong-Talaingod-Valencia (Bukidnon) Rd (S00641MN) -  K1582 + 587 - K1582 + 734 (Package 2 - K1582 + 587 -</t>
  </si>
  <si>
    <t>20-DO-0079:LOCAL PROGRAM - Local Infrastructure Program - Building and Other Structures - Multipurpose/Facilities - Construction of Multi-Purpose Building and Facilities, San Francisco St., Brgy. Patu</t>
  </si>
  <si>
    <t>20LC0144 - Construction of Water Systems, Islandwide, IGACOS, Davao del Norte</t>
  </si>
  <si>
    <t>20KA0138 Construction of Multi Purpose Building - Construction of Multi-Purpose  Building, Brgy. Iba, Cabanglasan, Bukidnon (Phase I) Cabanglasan, Bukidnon</t>
  </si>
  <si>
    <t>20KA0137 Paving of Unpaved Roads with Construction of Road Slope Protection Structure along Jct SH Aglayan-Zamboanguita Rd (S00631MN) - K1569 + 187 - K1570 + 092 (Package 1 - K1569 + 187 - K1569 + 607</t>
  </si>
  <si>
    <t>20KA0135 Road Widening along Jct SH Aglayan-Zamboanguita Rd (S00631MN) - K1523 + 850 - K1525 + 500 (Package 1 - K1523 + 850 - K1525 + 340) Malaybalay City, Bukidnon</t>
  </si>
  <si>
    <t>ITB and Bid Docs for Procurement ID/Contract ID:    20C00036  Contract Name:      Local Program – Local Infrastructure Program – Buildings and Other Structures – Multi Purpose Facilities – Constructio</t>
  </si>
  <si>
    <t>REPAIR OF PHYTON CAGE</t>
  </si>
  <si>
    <t>(19Z00043) Contract Package -2, Design and Build of the Ambal-Simuay River and Rio Grande De Mindanao Flood Control Projects</t>
  </si>
  <si>
    <t>20DN0131 (Re-Schedule) - REHABILITATION OF ROAD AND DRAINAGE SYSTEM, ANTIPOLO HILLS MUNICIPAL ROAD, BRGY. SAN LUIS, ANTIPOLO CITY</t>
  </si>
  <si>
    <t>20KA0136 Paving of Unpaved Roads with Construction of Road Slope Protection Structure along Kapalong-Talaingod-Valencia (Bukidnon) Rd (S00641MN) -  K1582 + 587 - K1582 + 734 (Package 1 - K1582 + 680 -</t>
  </si>
  <si>
    <t>(19Z00042) Contract Package -1, Design and Build of the Ambal-Simuay River and Rio Grande De Mindanao Flood Control Projects</t>
  </si>
  <si>
    <t>20BF0054: Concreting of Katuday-Simimbaan Road, Brgy. Bantug and Brgy. Simimbaan, Sta. 0+000 to Sta. 3+600, Roxas, Isabela</t>
  </si>
  <si>
    <t>MPG-B1-2020-045 - SUPPLY AND DELIVERY OF 45,000 PAIRS BRAND NEW SOCKS FOR BOOTS, GRAY FOR THE PHILIPPINE AIR FORCE (PAF)</t>
  </si>
  <si>
    <t>MPG-B1-2020-002 - SUPPLY AND DELIVERY OF FOURTEEN (14) SETS BRAND NEW TRACKASSY (T130) FOR M113 APC OF THE PHILIPPINE ARMY (PA)</t>
  </si>
  <si>
    <t>ITB-GS-20200212-01 - Supply and Delivery of 600 Units Passbook Printer</t>
  </si>
  <si>
    <t>PROVISION OF WATCHMAN SERVICES FROM MARCH 1-DECEMBER 31, 2020</t>
  </si>
  <si>
    <t>ITB-GS-20190703-01 (2) - One (1) Lot Supply, Delivery, Installation, Testing and Commissioning of Variable Refrigerant Flow (VRF) Air-Conditioning Units at LANDBANK Sta. Cruz Office Building</t>
  </si>
  <si>
    <t>20CN0073 - Construction of Slope Protection along Nueva Ecija – Aurora Road, K0212+155 – K0212+203, Aurora</t>
  </si>
  <si>
    <t>Project No. 2: DIGITAL TRAFFIC SYSTEM AT VARIOUS INTERSECTION STREETS OF CEBU CITY</t>
  </si>
  <si>
    <t>Upgrading of Desktop Computer</t>
  </si>
  <si>
    <t>20CN0074 - Construction of Slope Protection along Nueva Ecija – Aurora Road, K0196+230 – K0196+277, Aurora</t>
  </si>
  <si>
    <t>CY 2020 BASIC EDUCATIONAL FACILITIES FUND (BEFF) ELECTRICAL UPGRADE OF MAKILING NATIONAL HIGH SCHOOL (ITB 2020-Infra-006)</t>
  </si>
  <si>
    <t>CY 2020 BASIC EDUCATIONAL FACILITIES FUND (BEFF) REPAIR/IMPROVEMENT OF VARIOUS SCHOOL BUILDINGS – ULANGO ES (ITB 2020-Infra-005)</t>
  </si>
  <si>
    <t>CY 2020 BASIC EDUCATIONAL FACILITIES FUND (BEFF) ELECTRICAL UPGRADE OF BUBUYAN NATIONAL HIGH SCHOOL (ITB 2020-Infra-007)</t>
  </si>
  <si>
    <t>CY 2020 BASIC EDUCATIONAL FACILITIES FUND (BEFF) REPAIR/IMPROVEMENT OF VARIOUS SCHOOL BUILDINGS – PUNTA ES (ITB 2020-Infra-003)</t>
  </si>
  <si>
    <t>CY 2020 BASIC EDUCATIONAL FACILITIES FUND (BEFF) REPAIR/IMPROVEMENT OF VARIOUS SCHOOL BUILDINGS – LOOC ES (ITB 2020-Infra-002)</t>
  </si>
  <si>
    <t>BIDDING FOR THE PROCUREMENT OF ONE (1) LOT INTEGRATED SECURITY SUITE FOR TWO (2) YEARS</t>
  </si>
  <si>
    <t>CY 2020 BASIC EDUCATIONAL FACILITIES FUND (BEFF) REPAIR/IMPROVEMENT OF VARIOUS SCHOOL BUILDINGS – SAN JUAN ES (ITB 2020-Infra-004)</t>
  </si>
  <si>
    <t>CY 2020 BASIC EDUCATIONAL FACILITIES FUND (BEFF) REPAIR/IMPROVEMENT OF VARIOUS SCHOOL BUILDINGS – JOSE PLATON MS (ITB 2020-Infra-001)</t>
  </si>
  <si>
    <t>PROCUREMENT OF OTHER SUPPLIES AND MATERIALS (SUPPLIES AND TOOLS ON SHIELDED METAL ARTS &amp; WELDING) FOR SAN ROQUE NHS (UNDER SCHOOLS DIVISION OFFICE)</t>
  </si>
  <si>
    <t>MPG-BI 2020-318 4th Rebid SUPPLY AND DELIVERY OF BRAND NEW 2,031 PIECES MILITARY BINOCULAR, COMPACT, MODEL 1 FOR THE PHILIPPINE ARMY (PA)</t>
  </si>
  <si>
    <t>Procurement of Smartphone</t>
  </si>
  <si>
    <t>RE-INVITATION TO BID FOR THE CONSTRUCTION OF VARIOUS 2020 CAPEX INFRASTRUCTURE PROJECTS WITHIN THE PORO POINT FREEPORT ZONE, CITY OF SAN FERNANDO, LA UNIO</t>
  </si>
  <si>
    <t>PROCUREMENT OF AUTOMATED SOLVENT RECOVERY SYSTEM</t>
  </si>
  <si>
    <t>MPG-B1-2020-231 Rebid - SUPPLY AND DELIVERY OF ONE LOT BRAND NEW OPHTHALMIC OPERATING MICROSCOPE AND BRAND NEW OPHTHALMIC CHAIR AND STAND FOR THE  PHILIPPINE ARMY (PA)</t>
  </si>
  <si>
    <t>MPG-BI-2020-230 Rebid - SUPPLY AND DELIVERY OF 17 UNITS BRAND NEW MAJOR SURGERY SET AND  25 UNITS BRAND NEW MINOR SURGERY SET FOR THE PHILIPPINE ARMY (PA)</t>
  </si>
  <si>
    <t>CONSTRUCTION REHAB PROVISION OF AMENTIES OF DETENTION CELL</t>
  </si>
  <si>
    <t>Supply, Delivery, Installation, Testing and Commissioning of Fire Suppression System, 5-KW Aircon, UPS, Door Access Control, Temperature and Humidity Monitoring System, Server Rack and Retrofitting of</t>
  </si>
  <si>
    <t>MPG-B1-2020-415 - SUPPLY AND DELIVERY OF BRAND NEW 3,552 PAIRS TANKER SUIT, PHILARPAT FOR THE PHILIPPINE ARMY (PA)</t>
  </si>
  <si>
    <t>WORK ENVIRONMENT MEASUREMENT</t>
  </si>
  <si>
    <t>ITB-GS-20191023-01(2) - 1 Lot Supply, Delivery &amp; Installation of 50 Units Thru-The-Wall Cash Deposit Machine with Four (4) – Year Maintenance Package and Spare Parts</t>
  </si>
  <si>
    <t>Construction of Sta. Barbara Arena, Phase I under Design and Build Scheme</t>
  </si>
  <si>
    <t>Improvement of Public Plaza</t>
  </si>
  <si>
    <t>MPG-B1-2020-250 - SUPPLY AND DELIVERY OF BRAND NEW 14,871 SETS TOWEL BATH AND FACE, MICROFIBER OD FOR THE PHILIPPINE ARMY (PA)</t>
  </si>
  <si>
    <t>REHABILITATION / UPGRADING OF FARM TO MARKET ROAD (SABANGAN PORTION) AT BRGY. SABANGAN, CITY OF ALAMINOS, PANGASINAN</t>
  </si>
  <si>
    <t>ITB-GS-20200305-03 - Supply &amp; Delivery of 4,300 Pcs. Ribbon for EPSON Printer FX2190 &amp; 440 Pcs.  Genuine Burroughs Black Multiline Print Inkjet Cartridge</t>
  </si>
  <si>
    <t>1 lot Supply and delivery of Various Painting Supplies</t>
  </si>
  <si>
    <t>EXTENSION OF MULTI-PURPOSE BUILDING AT BRGY. MACATIW, CITY OF ALAMINOS, PANGASINAN</t>
  </si>
  <si>
    <t>WATER POTABILITY TESTING</t>
  </si>
  <si>
    <t>ITB-GS-20191202-01 - Additional License for the Existing Solarwinds Servers, Networks, Database and Application Monitoring Tool</t>
  </si>
  <si>
    <t>1 lot Supply and delivery of Various Electrical Supplies</t>
  </si>
  <si>
    <t>ITB-GS-20200219-01 - Supply and Delivery of 1,100 Units Desktop Computer</t>
  </si>
  <si>
    <t>GPG-B1-2020-309-REBID-Request for Expression of Interest-CONSULTING SERVICES FOR THE DETAILED ARCHITECTURAL &amp; ENGINEERING DESIGN FOR THE UNIV. OF THE PHILS MINDANAO CSM RESEARCH DEV'T. &amp; EXTENSION BLD</t>
  </si>
  <si>
    <t>Procurement of One (1) Lot, Three (3) Years Private Security Agency (PSA) Services for CF-Davao and Apo View Satellite</t>
  </si>
  <si>
    <t>MPG-B1-2020-286 3rd Rebid - SUPPLY AND DELIVERY OF TWO (2) UNITS BRAND NEW  15-SEATER (MINIMUM) MULTI-PURPOSE VEHICLE (MPV) FOR THE GENERAL  HEADQUARTERS, ARMED FORCES OF THE PHILIPPINES (GHQ, AFP)</t>
  </si>
  <si>
    <t>1 lot Supply and delivery of Various Materials for Chiller Pump Maintenance</t>
  </si>
  <si>
    <t>One Job Order for the Supply and Delivery of Immunoassay Test kits and Consumables with free use of One (1) Unit Fully Automated Chemiluminescent Immunoassay (CLIA) Analyzer (BAC 2020-019)</t>
  </si>
  <si>
    <t>One Job Order for the Supply and Delivery of ABG Reagent Kits with Free Use of One (1) Unit ABG Analyzer for a Period of One (1) Year (BAC 2020-015)</t>
  </si>
  <si>
    <t>One Job Order for the Supply and Delivery of Rapid Quantitative Fluorescence Immunochromatographic Assay Test kits and Consumables with free use of One (1) Unit Fluorescence Immunochromatographic Anal</t>
  </si>
  <si>
    <t>FOD-C-20-1414: Catering Services for Catering Services for 50 has. Corn Model Farm Launching and Technical Briefing in Toledo City, Cebu</t>
  </si>
  <si>
    <t>Procurement of Various IT Supplies and Equipment (BAC 2020-012)</t>
  </si>
  <si>
    <t>Procurement of Various Office Supplies (BAC 2020-018)</t>
  </si>
  <si>
    <t>PROCUREMENT OF VARIOUS LABORATORY SUPPLIES (BAC 2020-016)</t>
  </si>
  <si>
    <t>Contract ID No. 20FA0049: REPLACEMENT AND CONCRETING OF TRAMO BRIDGE WHICH CONNECTS BRGYS. STO. CRISTO AND SAN ROQUE TO BRGY. TAGAS AND NEIGHBORING BARANGAYS IN TABACO CITY, ALBAY</t>
  </si>
  <si>
    <t>INVITATION TO BID to the 4th Public Bidding of the Procurement for the Site Development Works for the NDC Industrial Estate (NDCIE)Project in Brgy. Langkaan, Dasmariñas City, Cavite</t>
  </si>
  <si>
    <t>Contract ID No. 20FA0047: CLUSTER 26 WIDENING AND CONCRETING OF BANAO-BICAL ROAD, BACACAY AND STO. DOMINGO, ALBAY AND REHABILITATION OF PAWA-TULIW-LABNIG-ESTANCIA-PARAPUTO ROAD, MALINAO AND TABACO CIT</t>
  </si>
  <si>
    <t>20-DO-0067: LOCAL PROGRAM - Local Infrastructure Program – Buildings and Other Structures – Multipurpose/Facilities – Construction and/or Repair/ Rehabilitation of Multi-Purpose Building, Brgy. Rizal,</t>
  </si>
  <si>
    <t>20HD0073 - Construction of Multi-Purpose Building, Brgy. Maravilla, Tabuelan, Cebu</t>
  </si>
  <si>
    <t>Contract I.D. No. 20OE0173 - Rehabilitation / Reconstruction / Improvement of Multi-purpose Building, Brgy. 152, Tondo, Manila</t>
  </si>
  <si>
    <t>CID No. 20OD0157 - Rehabilitation of Roads and Drainage along Home Centrum, Brgy. Mapulang Lupa, Valenzuela City</t>
  </si>
  <si>
    <t>ITB-GS-20200325-01 - One (1) Year Courier Services for LANDBANK Credit Cards, Statement of Accounts and Other Credit Card Related Parcels</t>
  </si>
  <si>
    <t>CID No. 20OD0154 - Rehabilitation of Roads and Drainage along Little Tagaytay St., Brgy. Marulas, Valenzuela City</t>
  </si>
  <si>
    <t>Provision of Security Services for Pag-IBIG Fund Central and Eastern Visayas Branches, Offices and Warehouses covering the period Y2020-2021</t>
  </si>
  <si>
    <t>PURCHASE OF EXECUTIVE CHAIR/SWIVEL CHAIR, BARANGAY POBLACION, BURDEOS, QUEZON</t>
  </si>
  <si>
    <t>Replacement of Fire Sprinkler System and Installation of Jockey Pump of the DENR-CO under Bid Ref. No. DENR-CO-2020-003 Rebid</t>
  </si>
  <si>
    <t>IB 20CJ0134 Local Infrastructure Program Completion of Multi-Purpose Building, Brgy. Baras-Baras, Tarlac City</t>
  </si>
  <si>
    <t>Contract ID No. 20FA0040: CLUSTER 22 - REHABILITATION/CONSTRUCTION/IMPROVEMENT OF VARIOUS RIVER CONTROL AT STO. DOMINGO, MALINAO AND MALILIPOT, ALBAY</t>
  </si>
  <si>
    <t>IB 20CJ0133 Local Infrastructure Program Completion of Multi-Purpose Building, Brgy. Barasbaras, Tarlac City</t>
  </si>
  <si>
    <t>MPG-B1-2020-251 - SUPPLY AND DELIVERY OF BRAND NEW 46,894 PIECES UNDERSHIRT, RAGLAN, POLYESTER, SPANDEX, ROUND NECK FOR THE PHILIPPINE ARMY (PA)</t>
  </si>
  <si>
    <t>IB 20CJ0065 Flood Management Program Construction/ Maintenance of Flood Mitigation Structures and Drainage Systems Construction of Tarlac City Urban Pumping Station along Masalasa Creek, Tarlac City</t>
  </si>
  <si>
    <t>20KA0139 Road Widening along Jct SH Aglayan-Zamboanguita Rd (S00631MN) - K1523 + 850 - K1525 + 500 (Package 2 - K1525 + 340 - K1525 + 500) Malaybalay City, Bukidnon</t>
  </si>
  <si>
    <t>IB 20CJ0140 Local Infrastructure Program Construction of Multi-Purpose Building West Wing Brgy. Baras-Baras, Tarlac City</t>
  </si>
  <si>
    <t>CID No. 20OD0144 - Rehabilitation/Reconstruction/Upgrading of Damaged Paved Roads-Secondary Roads, C-3 Road - K0008 + (-320) - K0008 + 486, Caloocan City</t>
  </si>
  <si>
    <t>PB No. 19-341-7 Engineering, Procurement, Construction and Commissioning (EPCC) Contract for the Subic-Clark Railway Project for the Department of Transportation (DOTr)</t>
  </si>
  <si>
    <t>IB 20CJ0137 Local Infrastructure Program Construction of Multi-Purpose Building (Right Wing), Brgy. Baras-Baras, Tarlac City, Tarlac</t>
  </si>
  <si>
    <t>20HD0083 - Construction of Multi-Purpose Building, (Phase 1) at Tabuelan Campus, Cebu Province</t>
  </si>
  <si>
    <t>IB 20CJ0122 Construction / Repair / Rehabilitation / Improvement of Various Infrastructure including Local Projects Construction of Multi-Purpose Sports Stadium at Jose V. Yap Recreational Park, San J</t>
  </si>
  <si>
    <t>Supply and Installation of New Outdoor Type Electronic LED Billboard in Batangas State University, Pablo Borbon Main I</t>
  </si>
  <si>
    <t>Contract I.D. No. 20OE0190 - Continuation of Multi – Purpose Building, Brgy. 259, Tondo, Manila</t>
  </si>
  <si>
    <t>Procurement of Various Cellcards</t>
  </si>
  <si>
    <t>20HD0056 - Construction and/or Repair/Rehabilitation of Multi-Purpose Building, Brgy. Ilihan, Tabogon, Cebu</t>
  </si>
  <si>
    <t>CID No. 20OD0165 - Construction of Drainage System along Apolonia St., Brgy. Mapulang Lupa, Valenzuela City</t>
  </si>
  <si>
    <t>CID No. 20OD0162 - Rehabilitation of Multi-purpose Building, Bahay ng Pag-asa (Phase II), Brgy. Maysan, Valenzuela City</t>
  </si>
  <si>
    <t>Contract ID No. 19CSK00049 – Consultancy Services for the Conduct of Feasibility Study for Misamis Occidental Economic Zone Diversion Road (ReXPRIP-29), Misamis Occidental 1st and 2nd Legislative Dist</t>
  </si>
  <si>
    <t>Contract ID No. 19CSK00048 – Consultancy Services for the Conduct of Feasibility Study for Tubod-Kapatagan Bypass Road, Sapad-Pualas Road, Kauswagan-Poona Piagapo-Marantao Road, Balo-i Bypass Road, (R</t>
  </si>
  <si>
    <t>20GO0038 - WIDENING/IMPROVEMENT/ UPGRADING OF HONORATA MANALO (BURI ROAD), BRGY. MANDALAGAN , BACOLOD CITY</t>
  </si>
  <si>
    <t>MPG-B2-2020-005 - SUPPLY OF LABOR AND MATERIALS FOR THE REHABILITATION OF PETROLEUM, OIL AND LUBRICANTS (POL) DUMP AT LOWER CALARIAN, ZAMBOANGA CITY &amp;  BATU-BATU, TAWI-TAWI FOR THE PHILIPPINE NAVY (PN</t>
  </si>
  <si>
    <t>Procurement of supply and delivery of services for equipment calibration</t>
  </si>
  <si>
    <t>CONSTRUCTION OF WINGS OF MULTI-PURPOSE BUILDING AT BRGY. TELBANG, CITY OF ALAMINOS, PANGASINAN</t>
  </si>
  <si>
    <t>CONSTRUCTION OF MULTI-PURPOSE BUILDING AT BRGY. TANGCARANG, CITY OF ALAMINOS, PANGASINAN</t>
  </si>
  <si>
    <t>GPG-B1-2020-107-SUPPLY &amp; DELIVERY OF 45 HEADS EXPLOSIVE DETECTION DOGS WITH ACCESSORIES &amp; TRAINING FOR 45 PERSONNEL  FOR THE PHIL. NATIONAL POLICE (PNP)</t>
  </si>
  <si>
    <t>ASD-B1-2020-315 2nd Rebid - PROCUREMENT OF PITC JANITORIAL AND ALLIED SERVICES REQUIREMENT FOR THREE (3) YEARS</t>
  </si>
  <si>
    <t>Procurement for the Repair of Classrooms at Lanao del Norte Provincial Science and Technology High School under CY 2020 BEFF - Lot 6 (Rebid)</t>
  </si>
  <si>
    <t>CID No. 20OD0152 - Rehabilitation of Roads and Drainage along AnnVille Subd., Brgy. Maysan, Valenzuela City</t>
  </si>
  <si>
    <t>PROCUREMENT OF FIBER OPTIC PROBE FOR UV-VIS</t>
  </si>
  <si>
    <t>ASD-B1-2020-316 Nego - SUPPLY AND DELIVERY OF VARIOUS BRAND NEW SERVICE VEHICLES  FOR THE PHILIPPINE INTERNATIONAL TRADING CORPORATION</t>
  </si>
  <si>
    <t>Construction of Drainage Facility</t>
  </si>
  <si>
    <t>Contract I.D. No. 20OE0091 - Construction of Retention Basin at Estero de Sampaloc, Manila City</t>
  </si>
  <si>
    <t>Production of Updated Risen from the Ashes</t>
  </si>
  <si>
    <t>Construction of One Storey Commercial Stall</t>
  </si>
  <si>
    <t>Supply and Delivery of Construction Materials for the Nutrition Center</t>
  </si>
  <si>
    <t>Construction of River Bank Protection</t>
  </si>
  <si>
    <t>Contract ID No. 19CSK00047 – Consulting Services for the Conduct of Feasibility Study for Region X Priority Road Infrastructure Projects-27 (REXPRIP-27) a.	PIA Bypass Road, Misamis Oriental 2nd Legisl</t>
  </si>
  <si>
    <t>MPG-B1-2019-416 - SUPPLY AND DELIVERY OF 9,615 BRAND NEW INDIVIDUAL FIRST AID KITS FOR THE PHILIPPINE ARMY (PA)</t>
  </si>
  <si>
    <t>Supply and Delivery of Construction Materials for the Construction/Improvement of School Building (GAD)</t>
  </si>
  <si>
    <t>ITB and Bid Docs for Procurement ID/Contract ID:    20C00042 - Local Program-Construction/Repair/Rehabilitation/Improvement of various Infrastructure including Local Projects – Flood Control &amp; Drainag</t>
  </si>
  <si>
    <t>Contract ID No. 20NC0125 - Construction of Agusan River Flood Control Sta. 0+000-0+050.00, Veruela, Agusan del Sur</t>
  </si>
  <si>
    <t>Installation of CCTV's in Various Barangays</t>
  </si>
  <si>
    <t>INVITATION TO RE-BID FOR THE  SUPPLY AND DELIVERY OF GIS DESKTOP SOFTWARE PR No. 27611-001</t>
  </si>
  <si>
    <t>Contract ID No. 20FA0050: REHABILITATION/RECONSTRUCTION OF NATIONAL ROADS W/SLIPS, SLOPE COLLAPSE AND LANDSLIDE-SECONDARY ROADS, DM JCT-LEGAZPI-STO. DOMINGO-TABACO-CAMARINES SUR BDRY. RD- K0582+330-K0</t>
  </si>
  <si>
    <t>20NG0086 - CONCRETING OF ROAD, BRGY. CAMPO - PAUTAO/ BACUAG, SURIGAO DEL NORTE</t>
  </si>
  <si>
    <t>Procurement of Works for the establishment of wood vinegar facility</t>
  </si>
  <si>
    <t>Invitation to Bid and Bidding Documents</t>
  </si>
  <si>
    <t>C-2020-01: ENGAGEMENT OF AN ADVERTSING /DESIGN AGENCY FOR THE DESIGN, CONTENT DEVELOPMENT, PRINTING AND DELIVERY OF THE 2019 ANNUAL REPORT OF THE DEVELOPMENT BANK OF THE PHILIPPINES (DBP)</t>
  </si>
  <si>
    <t>ITB-GS-20200227-02 - One (1) Year Support and Maintenance of Single Back-up Systems Solution for Midrange and Enterprise Platforms</t>
  </si>
  <si>
    <t>Procurement of Link Load Balancer under IB No. 2020-219</t>
  </si>
  <si>
    <t>REPAIR / REPLACEMENT OF DEFECTIVE CCTV CAMERA</t>
  </si>
  <si>
    <t>Contract ID No. 20NC0124 - Construction of Riverbank Protection of Ihawan River Sta. 0+000-0+060.00, Loreto, Agusan del Sur</t>
  </si>
  <si>
    <t>20DN0144 (Re-Schedule) - CONSTRUCTION OF PEDESTRIAN OVERPASS, BRGY. MAMBUGAN, ANTIPOLO CITY</t>
  </si>
  <si>
    <t>Supply &amp; Delivery of Seven (7) units Motorcycles use for Mayor's Office &amp; Barangay Buenavista, Himamaylan City</t>
  </si>
  <si>
    <t>Supply and Delivery of Water Meters</t>
  </si>
  <si>
    <t>20CN0126 - Slope Protection along Nueva Ecija – Aurora Road, (K0190+740 – K0190+890), (K0191+211 – K0191+260)</t>
  </si>
  <si>
    <t>ITB-GS-20200408-01 - Three (3) Years Hardware Maintenance and License Subscription of Axway Secure Transport Server</t>
  </si>
  <si>
    <t>20DN0141 (Re-Schedule) - ASPHALT OVERLAY, BRGY.MAYAMOT, ANTIPOLO CITY</t>
  </si>
  <si>
    <t>20CN0066 - Construction of Slope Protection along Madela – Dinadiawan Road, K0410+100 – K0410+146, Aurora</t>
  </si>
  <si>
    <t>20AE0073: Construction of 2 Storey 4 Classroom School Building at Pagudpud Integrated School, San Fernando City, La Union</t>
  </si>
  <si>
    <t>Supply and Delivery of Various ICT Equipment to Support the Command, Control, and Communications Information System (C3IS)</t>
  </si>
  <si>
    <t>20AE0069: Construction of 2 Storey 4 Classroom School Building at Corrooy Elementary School, Santol, La Union</t>
  </si>
  <si>
    <t>Electric Sterilizer</t>
  </si>
  <si>
    <t>DPWH Standard Four-Storey Twelve-Classroom School Building at Gueco Elementary School, Angeles City, Pampanga</t>
  </si>
  <si>
    <t>Complete Construction of DPWH Standard Four-Storey Twenty-Classroom School Building at EPZA Resettlement Elementary School, Angeles City, Pampanga</t>
  </si>
  <si>
    <t>Repair/Rehabilitation of Building and Structure (Improvement of Physical Planning and Development Office, Bids and Awards Committee &amp; Procurement Management Office)</t>
  </si>
  <si>
    <t>Construction Projects -Upgrading of Barangay Water System (Macalibre Alto)-MEO,Lopez Jaena</t>
  </si>
  <si>
    <t>Contract ID No. 20FA0048: CLUSTER 27 CONSTRUCTION OF WATER SYSTEM IN THE FIRST DISTRICT OF ALBAY</t>
  </si>
  <si>
    <t>Construction of Academic and Office Building Phase I,  PUP  Rizal  Campus,  S.H.  Loyola  Street,  Sampaloc,  Manila  (Using  a  Design  and Build  Scheme)</t>
  </si>
  <si>
    <t>20LB0206 - Construction of Pedestrian Overpass along Davao City Diversion Road, Davao City</t>
  </si>
  <si>
    <t>Repair/Rehabilitation of Comfort Rooms At Ground Floor Charlie Del Rosario, A. Mabini Campus, Sta. Mesa, Manila</t>
  </si>
  <si>
    <t>20LB0311 - Construction of Seven-Storey Office Building with Roof Deck (Phase 2), DOLE Region XI, Davao City</t>
  </si>
  <si>
    <t>20EI0182 - Construction of Evacuation Center, Barangay San Juan,  Bongabong, Oriental Mindoro_063</t>
  </si>
  <si>
    <t>ORD PABAC 018-20 Lot 1 (Re-bid) Procurement of 21,347,558 rds Ctg, 5.56mm Ball M855</t>
  </si>
  <si>
    <t>SUPPLY AND DELIVERY OF SOLID WASTE MANAGEMENT EQUIPMENT/MACHINERY FOR THE OPERATION OF MATERIAL RECOVERY FACILITY (MRF) IN BGY. POBLACION,  THIS MUNICIPALITY /2020-006.</t>
  </si>
  <si>
    <t>Procurement of Repair and Rehabilitation of Various School Building (Repair of 11 Classrooms) in Sinaloc Elementary School, Project 2020-03-0023</t>
  </si>
  <si>
    <t>Installation of Artesian Well</t>
  </si>
  <si>
    <t>Complete Construction of DPWH Standard Four-Storey Twenty-Four-Classroom School Building at Lourdes Northwest Elementary School, Angeles City, Pampanga</t>
  </si>
  <si>
    <t>20CG0216 - Local Program: Local Roads – Construction of Aquino By-Way Extension Bay, Brgy. Anao, Mexico, Pampanga</t>
  </si>
  <si>
    <t>WIDENING OF BARANGAY ROAD, POBLACION 2, BARANGAY MABINI, BURDEOS, QUEZON</t>
  </si>
  <si>
    <t>ITB No. GOP/20-DSWD-038 - Provision of Multi-Year Contract for the Hiring of Service Provider for the Termite Treatment and General Pest Control of DSWD - Central Office and Other Satellite Offices</t>
  </si>
  <si>
    <t>Rehabilitation/Extension of MIAA Buildings (MIAA Records Center, PMD Office, T3 Satellite Office) NAIA Complex, Pasay City</t>
  </si>
  <si>
    <t>Concreting of Alley Roads</t>
  </si>
  <si>
    <t>Repair/Rehabilitation of Comfort Rooms At 3rd Floor, North And West Wing, Academic Bldg.</t>
  </si>
  <si>
    <t>ORD PABAC 018-20 Lot 2  Procurement of 1,036,900 rds Ctg, 5.56mm Ball M855</t>
  </si>
  <si>
    <t>20GB0134 - Construction of 4 Units 1 Storey Three (3) Classroom School Building  at  Kawit Integrated School, Culasi, Antique</t>
  </si>
  <si>
    <t>20GB0130 - Construction of 2 Units 1 Storey Two (2) Classroom School Building  at  Lawigan ES, Tobias Fornier (DAO), Antique</t>
  </si>
  <si>
    <t>20GB0129 - Construction of 1 Storey Two (2) Classroom School Building at Tigbaboy PS, Tibiao, Antique</t>
  </si>
  <si>
    <t>20GB0128 - Construction of 2 Units 1 Storey Two (2) Classroom School Building  at  Apong Elementary School, Sibalom, Antique</t>
  </si>
  <si>
    <t>Continuation  Development Center</t>
  </si>
  <si>
    <t>20GB0127 - Construction of 1 Storey Two (2) Classroom School Building at  Cabunga-an ES, San Remigio, Antique</t>
  </si>
  <si>
    <t>20CG0209 - Local Infrastructure Program: Buildings and other Structures – Multipurpose/ Facilities – Extension/ Improvement of the Fish Port, Brgy. Bebe Anac, Masantol, Pampanga</t>
  </si>
  <si>
    <t>20GB0131 - Construction of 4 Storey Twenty (20) Classroom School Building  at  Belison NHS, Belison, Antique</t>
  </si>
  <si>
    <t>20CG0231 - Construction/ Repair/ Rehabilitation/ Improvement of Various Infrastructure including Local Projects: Local Roads and Bridges – Local Bridges - Construction of Pedestrian Overpass at Mt. Ca</t>
  </si>
  <si>
    <t>20CG0230 - Construction/ Repair/ Rehabilitation/ Improvement of Various Infrastructure including Local Projects: Local Roads and Bridges – Local Bridges - Construction of Pedestrian Overpass at Our La</t>
  </si>
  <si>
    <t>INFR-20-018– CONSTRUCTION OF MAIN CITY HEALTH CENTER (PHASE II) AT BARANGAY PINAGTIPUNAN, CITY OF GEN. TRIAS, CAVITE</t>
  </si>
  <si>
    <t>Construction of Retaining Wall</t>
  </si>
  <si>
    <t>Improvement of Municipal Health Center</t>
  </si>
  <si>
    <t>Cultural Heritage cum Diorama Setup</t>
  </si>
  <si>
    <t>Supply and Delivery of Coconut Coir-Based Organic Fertilizers (CCBOF) under CFP CY 2020</t>
  </si>
  <si>
    <t>20GEF012 Cluster VI – 1. Supply and Delivery of Spare Parts for use in the Repair/Maintenance of Service Vehicles and Heavy Equipments assigned to DPWH – Palawan 2nd District Engineering Office 2. Sup</t>
  </si>
  <si>
    <t>LABOR AND MATERIALS FOR THE RENOVATION OF CHOCOLATE HILLS KITCHEN AT CHOCOLATE HILLS COMPLEX, BUENOS AIRES, CARMEN, BOHOL</t>
  </si>
  <si>
    <t>20GB0132 - Construction of 3 Storey Nine (9) Classroom School Building  at  Igburi National High School, Patnongon, Antique</t>
  </si>
  <si>
    <t>Concreting of Mendiola to Dayap Road</t>
  </si>
  <si>
    <t>QM PABAC 032-20 Procurement of 2,251 each Poncho Tent, PHILARPAT</t>
  </si>
  <si>
    <t>20GFO0022 - Purchase of Survey Equipment for Use in the Conduct of Feasibility Study/Pre-Feasibility Study and Preliminary Detailed Engineering Activities for Projects in Region V</t>
  </si>
  <si>
    <t>Multi-Purpose Embankment</t>
  </si>
  <si>
    <t>Concreting of Road along Seawall</t>
  </si>
  <si>
    <t>Supply and Delivery of Inorganic Fertilizers under CFP CY 2020</t>
  </si>
  <si>
    <t>20GB0133 - Construction of 2 Units Unique Workshop (9x22.5m) School Building  at  Gen. Leandro Fullon NS, Hamtic, Antique</t>
  </si>
  <si>
    <t>Installation of Solar Street Lightings in Brgy. Butason II, Tabango, Leyte, ABC PHP1,056,438.86</t>
  </si>
  <si>
    <t>CONSTRUCTION OF MULTI-PURPOSE BUILDING/GOVERNMENT CENTER</t>
  </si>
  <si>
    <t>Supply and Delivery of Office Equipment for MDRRM Office</t>
  </si>
  <si>
    <t>Improvement of Brgy. Road,(Slope Protection)Brgy. Cunsad, Alimodian Iloilo</t>
  </si>
  <si>
    <t>20MC-INFRA-034 Construction of Phase II of New Public Market @ Brgy. Pating, Masbate City</t>
  </si>
  <si>
    <t>KINOGUITAN CIS  (2020) CCAW SUPP</t>
  </si>
  <si>
    <t>20MC-INFRA-033 Construction of Additional Motorpool Bay @ Brgy. Kinamaligan, Masbate City</t>
  </si>
  <si>
    <t>Supply of Alpha-Globin StripASsay_PR 11065</t>
  </si>
  <si>
    <t>PCADG-5020305000-1128-2020	Food Supplies Expenses (TDPCR)</t>
  </si>
  <si>
    <t>PCADG-5020305000-1129-2020	Food Supplies Expenses (TDPCR)</t>
  </si>
  <si>
    <t>PCADG-5020399000-1130-2020	Other Supplies Expenses (TDPCR)</t>
  </si>
  <si>
    <t>Procurement of Oxygen Tanks and Refill</t>
  </si>
  <si>
    <t>Concreting of Barangay Road at Various Locations, Bansalan, Davao del Sur</t>
  </si>
  <si>
    <t>Construction of Zone 1 BHS, Zone 1 , Santa Cruz, Davao del Sur</t>
  </si>
  <si>
    <t>PCADG-5029902000-1126-2020	Printing &amp; Publication Expenses (TDPCR)</t>
  </si>
  <si>
    <t>Construction of Zone 4 BHS, Zone 4, Santa Cruz, Davao del Sur</t>
  </si>
  <si>
    <t>REHABILITATION OF  MULTI  PURPOSE HALL- BARANGAY  BAGUMBAYAN</t>
  </si>
  <si>
    <t>ENG'G PASBAC 009-20 Supply and Delivery of One Hundred Fourteen (114) Sets Carpentry Tools</t>
  </si>
  <si>
    <t>Supply and Delivery of IT Equipment for RHU</t>
  </si>
  <si>
    <t>PCADG-5020399000-1125-2020	Other Supplies Expenses (TDPCR)</t>
  </si>
  <si>
    <t>Construction/Completion of Senior Citizen Building at Delcar St., Maasin, Iloilo</t>
  </si>
  <si>
    <t>DRUGS AND MEDICINES - MHO (20-07-1030)</t>
  </si>
  <si>
    <t>Supply and Delivery of Air Conditioner for Sangguinang Bayan Office and Session Hall</t>
  </si>
  <si>
    <t>Supply and Delivery of One (1) Unit Brand New Rescue Vehicle (Ambulance)</t>
  </si>
  <si>
    <t>REPAIR OF DAMAGED PORT FACILITIES, PORT OF LIMASAWA ISLAND, SO. LEYTE</t>
  </si>
  <si>
    <t>PURCHASE OF COLLAPSIBLE TENTS</t>
  </si>
  <si>
    <t>PCADG-5020305000-1133-2020	Food Supplies Expenses (TDPCR)</t>
  </si>
  <si>
    <t>BP Apparatus with Stethoscope and Portable Nebulizer for Donation to Different Barangays and Municipalities in the Province of Laguna</t>
  </si>
  <si>
    <t>Laboratory Supplies for LPH-Majayjay District Hospital for 3rd and 4th Quarter</t>
  </si>
  <si>
    <t>Supply and Delivery of Office Tables and Chairs for Different Offices (PR No. 2020-02-0311, 2020-03-0450, 2020-02-0371, 2020-02-0231, 2020-02-0130, 2020-02-0228, 2020-02-0251, 2020-02-0276)</t>
  </si>
  <si>
    <t>Supply and Delivery of Conference Tables and Chairs (PR No. 2020-02-0311, 2020-02-0274, 2020-03-0450)</t>
  </si>
  <si>
    <t>ITB No. 2020-07-28 Supply and Delivery of Seventy-one (71) sets - Brand New, Four Stroke cycle, diesel engine, 6.0 - 7.0 hp., air cooled, 3,000-3,600 rpm belt driven to high pressure Horizontal Triple</t>
  </si>
  <si>
    <t>PCDP : FRUIT SUPPLIES FRUIT CONSUMPTION OF PCDP CLIENT/DEPORTEES	 FOR 2nd SEM. 2020</t>
  </si>
  <si>
    <t>Concreting of Road Phase II - Purok Bituon, Tagdangua (by Contract)</t>
  </si>
  <si>
    <t>PURCHASE OF 2 UNITS AIRCONDITIONING UNIT</t>
  </si>
  <si>
    <t>Supply and Delivery of Disaster Equipment</t>
  </si>
  <si>
    <t>CONCRETING OF ML QUEZON STREET</t>
  </si>
  <si>
    <t>Document Scanning and Solutions Integration Services of the Intellectual Property Data of the IPOPHL</t>
  </si>
  <si>
    <t>Construction of All Weather Road</t>
  </si>
  <si>
    <t>SUPPLY AND DELIVERY OF MEALS AND SNACKS and FACILITATOR’S ACCOMMODATION FOR THE BASIC SKILLS TRAINING IN DRESSMAKING AND BEADS MAKING</t>
  </si>
  <si>
    <t>SUPPLY AND DELIVERY TRAINING MATERIALS with 8-units SEWING MACHINE and STARTER-KIT FOR THE BASIC SKILLS TRAINING IN DRESSMAKING AND BEADS MAKING</t>
  </si>
  <si>
    <t>CONCRETING OF ACCESS ROAD TO BULUAN E/S ANNEX</t>
  </si>
  <si>
    <t>20HD0096 - Construction of 4 Storey-12 Classroom School Building, Daanbantayan Central ES, Daanbantayan, Cebu</t>
  </si>
  <si>
    <t>SK Office Renovation</t>
  </si>
  <si>
    <t>Procurement-Supply &amp; Delivery of Mental Health Medicines</t>
  </si>
  <si>
    <t>Drainage Improvement Project - Townsite, Kingking, Pantukan (by Contract)</t>
  </si>
  <si>
    <t>Construction of Material Recovery Facility (MRF) 7 Unit</t>
  </si>
  <si>
    <t>CONCRETING OF SOMINOT NATIONAL HIGH SCHOOL ACCESS ROADS</t>
  </si>
  <si>
    <t>Construction of Multi-Purpose Building (Phase III)</t>
  </si>
  <si>
    <t>CID No. 20GI00001 - Purchase/delivery of portable type Weigh in Motion Axle Scale (low speed WIM load cell-base) for used at the DPWH – Weighbridge Station, Brgy. San Juan, Sta. Rita, Samar</t>
  </si>
  <si>
    <t>SUPPLY, DELIVERY AND INSTALLATION OF AIR-CONDITIONING UNITS</t>
  </si>
  <si>
    <t>Construction of 3,435 meters Marapitpit Irrigation Pipeline System</t>
  </si>
  <si>
    <t>Labor and Materials for the Fabrication and Installation of Netting Materials for 1 Unit Fish Pen (25m x 25m x 6m)</t>
  </si>
  <si>
    <t>Construction/Maintenance of Flood Mitigation Structures and Drainage Systems – Construction of Slope Protection along Porac River (Upstream), Valdez, Floridablanca, Pampanga</t>
  </si>
  <si>
    <t>Improvement of Eva-Tanglagan-Bucarot Provincial Road (Ayaya0-Salongsong Section) Limits: 04+664 to 06+564</t>
  </si>
  <si>
    <t>Construction of Concrete Canal Lining  at Purok 7</t>
  </si>
  <si>
    <t>Supply and Delivery of one (1) unit Utility Van</t>
  </si>
  <si>
    <t>IB No. 2007-343 Proc. of Infra (Installation of Modern Street Illumination Project at M. Parras Street)</t>
  </si>
  <si>
    <t>Improvement of Malekkeg-Panay-Consuelo-Balluyan Provincial Eoad (San Juan-Consuelo Section) Limits: 16+800 to 19+000</t>
  </si>
  <si>
    <t>IB No. 2007-344 Proc. of Infra (Installation of Modern Street Illumination Project at P. Castillo Street)</t>
  </si>
  <si>
    <t>Supply and Delivery of Perishable and Non-Perishable Goods for Nutrition and Dietetics Services of Main Hospital and IPBM</t>
  </si>
  <si>
    <t>Construction of One-Storey (3 Classroom) School Building with Toilet Attached - Virgoneza Elementary School</t>
  </si>
  <si>
    <t>Supply and Delivery of Laboratory Reagents and Supplies (for Covid-19 use)</t>
  </si>
  <si>
    <t>CONCRETING OF PAGLAUM ROAD</t>
  </si>
  <si>
    <t>CONCRETING OF ACCESS ROAD LEADING TO EVACUATION CENTER (45 LN. M.)</t>
  </si>
  <si>
    <t>Supply and Delivery of Bread for Nutrition and Dietetics Services</t>
  </si>
  <si>
    <t>IMPROVEMENT  OF MULTI-PURPOSE SPORTS CENTER PERIPHERY (PHASE II)</t>
  </si>
  <si>
    <t>IMPROVEMENT OF MUNICIPAL BUILDING PERIPHERY (REAR SIDE)</t>
  </si>
  <si>
    <t>20-07-565 Purchase of One (1) Unit Heavy Equipment Road Roller (Brand New) for Opening and Maintenance of Farm to Market Roads in the Municipality of Alamada</t>
  </si>
  <si>
    <t>Temporary Office for the Court of Appeals, City Tourism Hall; SN 152 - 2020</t>
  </si>
  <si>
    <t>Procurement of Office Supplies for use of the Office of the Sangguniang Panlungsod Members. B2020-092-A</t>
  </si>
  <si>
    <t>PB BAC1-20-004 SUPPLY AND DELIVERY OF CHEMICALS AND REAGENTS – REAL TIME POLYMERASE CHAIN REACTION (RT-PCR) REAGENTS - CY 2020</t>
  </si>
  <si>
    <t>Laboratory Supplies for HOD-2020-0711</t>
  </si>
  <si>
    <t>Construction of Drainage at Barangay 40; SN 145 - 2020</t>
  </si>
  <si>
    <t>One (1) Lot Supply &amp; Installation of Package Type Air Conditioning Units: Four (4) sets 5-toner and three (3) sets 3-toner</t>
  </si>
  <si>
    <t>TORTA PRODUCTION AND MARKETING ENTERPRISE - MALBOG</t>
  </si>
  <si>
    <t>Concrete Paving of Road to Sitio Monigue (Phase 4), Mambuaya; SN 137 - 2020</t>
  </si>
  <si>
    <t>Development of a Prototype Trimaran Multipurpose Fishing Vessel, NIPSC, Estancia, Iloilo</t>
  </si>
  <si>
    <t>NATIVE CHICKEN PRODUCTION AND MARKETING ENTERPRISE - MAYANA</t>
  </si>
  <si>
    <t>GINGER TEA "SALABAT" PRODUCTION AND MARKETING - LACA</t>
  </si>
  <si>
    <t>Construction of Two Storey Four Classroom Building at Buntatala-Tagbak Elementary School, Jaro, Iloilo City (Bid No. 20-139)</t>
  </si>
  <si>
    <t>Concrete Paving of Roads at Phase 2 Pagatpat Relocation Site with Drainage; SN 134 - 2020</t>
  </si>
  <si>
    <t>CONSTRUCTION/CONCRETING OF LOCAL ROADS: CITY LOCAL SCHOOL EXIT, BRGY.4, MALAYBALAY CITY.</t>
  </si>
  <si>
    <t>Fabrication and Installation of Grills in Classrooms at Lapaz National High School, Lapaz, Iloilo City (Bid No. 20-144)</t>
  </si>
  <si>
    <t>Supply and Delivery of Insect Nets</t>
  </si>
  <si>
    <t>CONSTRUCTION OF FLOOD CONTROL  – MALAMIN, SAN JUAN, ILOCOS SUR</t>
  </si>
  <si>
    <t>Rehabilitation of All Gabaldon Building at Jaro I Elementary School, Jaro, Iloilo City (Bid No. 20-147)</t>
  </si>
  <si>
    <t>Concrete Paving of Road with Drainage at Pag-ibig Homes (Canitoan); SN 136 - 2020</t>
  </si>
  <si>
    <t>PURCHASE OF GROCERY ITEM FOR DIETARY SUPPLEMENTATION OF PREGNANT WOMEN AND LACTATING MOTHER</t>
  </si>
  <si>
    <t>Supply and Delivery of Laboratory Glasswares</t>
  </si>
  <si>
    <t>Supplies and Materials for the Installation of Streetlighting System (PR No. 20-05-0207)</t>
  </si>
  <si>
    <t>Procurement of Meals and Snacks for Representation of the Sangguniang Bayan and Vice-Mayor's Office</t>
  </si>
  <si>
    <t>Construction of Slope Protection Structure with Drainage at Pigsag-an National Highschool; SN 147 - 2020</t>
  </si>
  <si>
    <t>INVITATION TO BID FOR THE PROCUREMENT OF ONE (1) UNIT VAN (NEGOTIATED)</t>
  </si>
  <si>
    <t>Supply and Delivery of Cellcard</t>
  </si>
  <si>
    <t>ITDI-PB-200007 - SUPPLY, DELIVERY, INSTALLATION &amp; COMMISSIONING OF VARIOUS LABORATORY EQUIPMENT</t>
  </si>
  <si>
    <t>S2-BH120-002 - Supply and Delivery of PMS Mechanical Spares for 3x105KW FG Wilson Genset Model 1106A-70TAG2 and Security Spare Parts for 1x86 KW Perkins Genset Model 1006TG1A intended for Bohol 1 Mini</t>
  </si>
  <si>
    <t>20-07-532 Purchase of Four (4) Units Brand New Ten Wheeler Dumptruck for Opening and Maintenance of Farm to Market Roads</t>
  </si>
  <si>
    <t>Supply of Labor, Materials and Equipment for the Construction of Additional Tenement and Bone Chamber at New Public Cemetery at Brgy. Naalad, City of Naga, Cebu</t>
  </si>
  <si>
    <t>Supply of Labor, Materials and Equipment for the Proposed Construction of 2-Storey, 4-Classroom School Building at Inoburan Elementary School, Brgy. Inoburan, City of Naga, Cebu</t>
  </si>
  <si>
    <t>Repair/Rehabilitation of Staff House at COA Regional Office No. VIII</t>
  </si>
  <si>
    <t>Supply of Labor, Materials and Equipment for the Brgy. Road Concreting at Sitio Tal-ot, Brgy. Mainit, City of Naga, Cebu</t>
  </si>
  <si>
    <t>Supply of Labor, Materials and Equipment for the Proposed Deep Well with Submersible Pump @180ft Depth at Tuyan National High School, Brgy. Tuyan, City of Naga, Cebu</t>
  </si>
  <si>
    <t>Pag-IBIG Fund CHQ (Provision of Rental of Motor Service Vehicles)</t>
  </si>
  <si>
    <t>Repair/Maintenance of Bridges (Damaged Asphalt with Rotomil) along Pangasinan-Nueva Vizcaya Road</t>
  </si>
  <si>
    <t>REBID OF SUBSCRIPTION FOR A ONE (1) YEAR MANAGED INTERNET AND WIFI ACCESS POINT FOR PROVINCE OF CEBU</t>
  </si>
  <si>
    <t>REPAIR AND IMPROVEMENT OF BIOTECH BUILDING  BREEDING AND NURSERY HOUSE 1 BREEDING AND NURSERY HOUSE 2 RENOVATION OF VEGETABLE RESEARCH &amp; DEVELOPMENT EXPERIMENTAL AREA</t>
  </si>
  <si>
    <t>PEO-20-0550-B REHABILITATION OF BUYO BRIDGE  Sta. Barbara, Iloilo</t>
  </si>
  <si>
    <t>Supply and Delivery of Printing and Reproduction Services</t>
  </si>
  <si>
    <t>Fabrication of 1 pair Movable Basketball Board with Ring &amp; Net at Brgy. San Vicente, Alaminos City, Pangasinan</t>
  </si>
  <si>
    <t>UPLB-RQ-7-147-20-RES SUPPLY AND DELIVERY OF INFORMATION TECHNOLOGY FOR AMTEC</t>
  </si>
  <si>
    <t>Construction of Retaining Wall (Riprap) at Benliro St., Brgy. Tacas</t>
  </si>
  <si>
    <t>PEO-20-0549-B  a) Repair/Reblocking of Lambunao Pob.-Misi Road   Lambunao, Iloilo b) Repair/Rehabilitation of Damires-Talaba-Badiangan Road, Badiangan, Iloilo</t>
  </si>
  <si>
    <t>Procurement of One (1) Unit Passenger Van for NORSU Bais Campus</t>
  </si>
  <si>
    <t>20GBJ0002 - Purchase and Delivery of Road Signs and Thermoplastic Pavement Markings</t>
  </si>
  <si>
    <t>Procurement of PROPOSED REHABILITATION OF OUTPATIENT DEPARTMENT BUILDING</t>
  </si>
  <si>
    <t>Supply and On-site Delivery of Small Farm Machineries Set C (2 units Combine Harvester)</t>
  </si>
  <si>
    <t>SUPPLY, DELIVERY, INSTALLATION AND UPGRADING OF 2-WAY RADIO COMMUNICATION SYSTEM</t>
  </si>
  <si>
    <t>SUPPLY/DELIVERY AND INSTALLATION OF COMMUNICATION EQUIPMENT</t>
  </si>
  <si>
    <t>CONSTRUCTION OF LOCAL ROAD @ BARANGAY ANTIPOLO, SAN PASCUAL, BATANGAS</t>
  </si>
  <si>
    <t>Procurement of One Lot Network Firewall (Re-bidding)</t>
  </si>
  <si>
    <t>PURCHASE OF 1 UNIT DESKTOP COMPUTER WITH PRINTER</t>
  </si>
  <si>
    <t>20GDC0008 - Supply, Delivery and Installation of New Traffic Signs (71x) along Tanauan – Talisay – Tagaytay Road and Manila – Batangas Road including Load Limit on Bridges along Various National Roads</t>
  </si>
  <si>
    <t>Procurement of Courier Services for Delivery of Documents under ITB No. PB20-07-037COR</t>
  </si>
  <si>
    <t>Procurement of Hardware Materials used for Rehabilitation of A. Taruc Street, Socorro, SDN</t>
  </si>
  <si>
    <t>Labor and Materials for the Improvement/Widening of Tourism Road at Malpitic, City of San Fernando, Pampanga</t>
  </si>
  <si>
    <t>SUPPLY AND DELIVERY OF VARIOUS MEDICAL SUPPLIES/EQUIPMENT FOR OSPITAL NG MAKATI (2 LOTS)</t>
  </si>
  <si>
    <t>INVITATION TO BID-HIRING OF GENERAL CONTRACTOR FOR THE REPAIRS/RENOVATION OF 2ND FLOOR OF DBP DIPOLOG BRANCH BUILDING</t>
  </si>
  <si>
    <t>FOOD PROCESSING "SUMAN" PRODUCTION AND MARKETING - TUBOD MONTE</t>
  </si>
  <si>
    <t>Procurement of thirty (30) units Printer 3 in 1 and one (1) unit Desktop Computer</t>
  </si>
  <si>
    <t>PEO-20-0552-B REHABILITATION OF AGANAN-SAN MIGUEL BRIDGE  San Miguel, Iloilo</t>
  </si>
  <si>
    <t>Construction of Slope Protection &amp; Line Canal along Villa Ylanan – San Martin Road (Phase I)</t>
  </si>
  <si>
    <t>Concreting of  Barangay Road (Phase II) @ Prk. River Side, Brgy. Burgos, Cadiz City</t>
  </si>
  <si>
    <t>Procurment of three (3) units Copier Machine and five (5) units Duplicating Machine</t>
  </si>
  <si>
    <t>REHAB/REPAIR/RENOVATION/ COMPLETION OF 10 DAY CARE CENTER IN THE MUNICIPALITY OF LAPUYAN (PB-LAP-2020-077)</t>
  </si>
  <si>
    <t>SUPPLY AND DELIVERY OF LABORATORY SUPPLIES (GLUCOSE TEST REAGENT FOR FULLY AUTOMATED CHEMISTRY ANALYZER - URINE CALIBRATOR FOR ICT MODULE)</t>
  </si>
  <si>
    <t>ISC-20-0505-B Proposed Athletes Quarter and Construction of Employees Quarter at Iloilo Sports Complex</t>
  </si>
  <si>
    <t>CONSTRUCTION OF SINIBA-AN MP BUILDING (COVERED GYM)</t>
  </si>
  <si>
    <t>Construction of Slope Protection Structure along San Bernabe – San Salvador Road</t>
  </si>
  <si>
    <t>Procurement of Venetian Blinds for the Use Different Offices of the LGU, Tagudin, Ilocos Sur</t>
  </si>
  <si>
    <t>PREVENTIVE MEASURE FOR COVID (Improvement of Evacuation Facilities)</t>
  </si>
  <si>
    <t>Procurement of materials for the Construction of Kitchen of Parola Child Development Center, Repair and Maintenance of Roofing and Ceiling of Market Stalls and Ceiling and Painting of CeC Building</t>
  </si>
  <si>
    <t>CONCRETING OF ROAD (INFRONT OF LIBERTY NATIONAL HIGH SCHOOL)</t>
  </si>
  <si>
    <t>Invitation to Bid for SUPPLY AND DELIVERY OF FIVE (5) UNITS ALL NEW CARRY UTILITY VAN AND THREE (3) UNITS ALL NEW CARRY TRUCK FOR LGU – BORONGAN CITY, EASTERN SAMAR (Re – Bid)</t>
  </si>
  <si>
    <t>Reproduction of Module for 1st and 2nd Quarter for SY 2020-2021</t>
  </si>
  <si>
    <t>“PROCUREMENT OF ONE (1) UNIT SPORTS UTILITY VEHICLE”</t>
  </si>
  <si>
    <t>Procurement of medicine supplies for patients use of Tumauini Community Hospital</t>
  </si>
  <si>
    <t>Construction of Two (2) Storey Eight Classroom (8CL) School Building</t>
  </si>
  <si>
    <t>Various Infrastructure Projects at Pasig City-PB-08-07-2020</t>
  </si>
  <si>
    <t>ITB 05-001-20 (242 Modules of Layer Chicken with Fabricated Cage)</t>
  </si>
  <si>
    <t>SUPPLY AND DELIVERY OF CONSTRUCTION SUPPLIES FOR THE IMPROVEMENT OF MAYOR’S CONFERENCE ROOM</t>
  </si>
  <si>
    <t>Food Stuff (sack of rice)</t>
  </si>
  <si>
    <t>Rehabilitation of road and covering of canal at Barangay Aplaya, Bauan, Batangas</t>
  </si>
  <si>
    <t>Installation of Airconditioned Unit and Electrical Works at Multi Purpose Hall, Brgy. Balangobong, Alaminos City, Pangasinan</t>
  </si>
  <si>
    <t>SUPPLY AND DELIVERY OF LABORATORY SUPPLIES (ACID FAST BACILLI (AFB) STAIN)</t>
  </si>
  <si>
    <t>Purchase of Ten (10) Units Handheld Radio and Ten (10) Units W80 Extended Battery</t>
  </si>
  <si>
    <t>Package 04 -2020: Supply, Delivery and Commissioning of One (1) unit Engine-Driven Welding Machine/Generator</t>
  </si>
  <si>
    <t>Procurement of Medical Equipment-07-113(Q)ZNMC</t>
  </si>
  <si>
    <t>Fabrication &amp; Installation of of Hanging Board with ring &amp; net at Multi Purpose Building (Gymnasium), Brgy. Tanaytay, Alaminos City, Pangasinan</t>
  </si>
  <si>
    <t>Supply of Labor, Materials and Equipment for the Riprapping, Brgy. Taysan, San Jose, Batangas</t>
  </si>
  <si>
    <t>YELLOW PLASTIC BAG FOR HOUSEKEEPING SECTION</t>
  </si>
  <si>
    <t>20CSIB09: GEOTECHNICAL INVESTIGATION OF THE REPLACEMENT OF BOX CULVERT TO BIGO BRIDGE INCLUDING ITS APPROACHES AT ARTECHE, EASTERN SAMAR AND GEOTECHNICAL INVESTIGATION OF THE CONSTRUCTION OF TUBABAO B</t>
  </si>
  <si>
    <t>Procurement of Two (2) Sets of Industrial Conveyor Belt for Waste Segregation and Management under Materials Recovery Facility powered by Three (3) Phase Power Supply</t>
  </si>
  <si>
    <t>Concreting/rehabilitation of climate resilient road at Malindig - San Diego Barangay Road, Bauan, Batangas</t>
  </si>
  <si>
    <t>20CSAB04: CONDUCT OF SOIL TESTING/EXPLORATION FOR THE PROPOSED MULTI-STOREY SCHOOL BUILDINGS, BATAC CITY,  ILOCOS NORTE</t>
  </si>
  <si>
    <t>Purchase of one (1) unit 2.4G, 4 x 2 Dsl, A/T, Pick-Up type vehicle for official use by the Office of the Building Official at Bauan, Batangas</t>
  </si>
  <si>
    <t>Supply of Labor, Materials and Equipment for the Installation of Streetlights, Brgy. Santo Cristo, San Jose, Batangas</t>
  </si>
  <si>
    <t>Supply &amp; Delivery of One (1) unit Seismic Accelerograph for use in monitoring Seismic Activities in Maasin City (OCES)</t>
  </si>
  <si>
    <t>Procurement of Various Drugs and Medicines-07-112(Q)ZNMC</t>
  </si>
  <si>
    <t>ROAD OPENING AND CONCRETING OF INTERIOR ROAD IN SITIO ARINGIT, BRGY MABULIGON</t>
  </si>
  <si>
    <t>REPAIR OF STAFFHOUSE/EVACUATION BUILDING</t>
  </si>
  <si>
    <t>20GDB0029 Supply of Materials for the Conduct of Feasibility Study/Pre-Feasibility Study/Preliminary and Detailed Engineering Activities</t>
  </si>
  <si>
    <t>PROVISION OF POTABLE WATER SUPPLY AT BRGY. LIBERTAD</t>
  </si>
  <si>
    <t>Contract ID No.: 20OB0184 Contract Name: River Improvement along Marikina River, Brgy. Jesus Dela Peña Marikina City (Package III)</t>
  </si>
  <si>
    <t>Procurement of Tourism Destination Marketing Company for Indonesia</t>
  </si>
  <si>
    <t>Development of Badiangon Water Park (Parking Area-Gravelling) @ Barangay San Juan, Gingoog City, Misamis Oriental under Contract Ref. No. 2020-INFRA-057</t>
  </si>
  <si>
    <t>Supply, Delivery and Installation of Split-Type Air Conditioners and Flat-Screen Televisions</t>
  </si>
  <si>
    <t>FURNISHING OF LABOR, MATERIALS and EQUIPMENTS for the CONCRETING OF BARANGAY ROADS</t>
  </si>
  <si>
    <t>Development of Badiangon Water Park (Perimeter Fence Initial) @ Barangay San Juan, Gingoog City, Misamis Oriental under Contract Ref. No. 2020-INFRA-056</t>
  </si>
  <si>
    <t>FURNISHING &amp; DELIVERY OF VARIOUS  MATERIALS FOR THE CONSTRUCTION OF  MULTI – PURPOSE BUILDING EXTENSION AT CENTRO NORTE, CAMALANIUGAN, CAGAYAN - 1st Posting</t>
  </si>
  <si>
    <t>Contract ID No.: 20OB0183 Contract Name: River Improvement along Marikina River, Brgy. Jesus Dela Peña Marikina City (Package II)</t>
  </si>
  <si>
    <t>20CSAB05 - PACKAGE 4: CONDUCT OF SOIL TESTING/EXPLORATION FOR THE PROPOSED MULTI-STOREY SCHOOL BUILDINGS, BADOC &amp; MARCOS, ILOCOS NORTE</t>
  </si>
  <si>
    <t>20GMH064 - Rental of Service Vehicle for use in the Conduct of Environmental Impact Assessment (EIA) and Inspection/Validation of Regional Budget Proposal (RBP) along Awang-Upi-Lebak-Kalamansig-Palimb</t>
  </si>
  <si>
    <t>(PENARO) 	 INVITATION TO BID FOR THE SUPPLY AND DELIVERY OF GRAFTED FRUIT TREES AND FOREST TREES FOR THE  PROVINCIAL ENVIRONMENT AND NATURAL RESOURCES OFFICE (PENARO)</t>
  </si>
  <si>
    <t>RFQ / PR 20-07-0352 / PROCUREMENT OF MONTHLY PREVENTIVE MAINTENANCE SERVICE OF ONE (1) UNIT WELLS MACHINE ROOMLESS PASSENGER ELEVATOR</t>
  </si>
  <si>
    <t>Procurement of Consulting Services for the Philippine International Dive Expo (PHIDEX) Virtual Platform</t>
  </si>
  <si>
    <t>Procurement of Labor and Materials- Completion of Hanging Bridge @ Salvacion</t>
  </si>
  <si>
    <t>CW-Rehabilitation of MPB</t>
  </si>
  <si>
    <t>2020 24th Public Bidding – REPAINTING OF EXTERIOR WALLS, ROOFS, ROOF EAVES, AND PERIMETER FENCE OF BGHMC</t>
  </si>
  <si>
    <t>IMPROVEMENT OF MULTI-PURPOSE BLDG (PHASE II)</t>
  </si>
  <si>
    <t>Construction of multi-purpose building</t>
  </si>
  <si>
    <t>CONSTRUCTION OF MULTI-PURPOSE HALL – HAGPA (PHASE 2), HAGPA, IMPASUGONG, BUKIDNON</t>
  </si>
  <si>
    <t>ROAD CONCRETING, LUCERO at Brgy. Lucero, Jamindan, Capiz</t>
  </si>
  <si>
    <t>2020-L-001-For furnishing Labor in connection with Impv’t./Repair of  Quality Assurance Section, Laboratory Annex Extension at DPWH compound, Guinlajon, Sorsogon City</t>
  </si>
  <si>
    <t>Construction/Rehabilitation of Cabulisan-De Los Santos Farm to Market Road Phase 2 Road</t>
  </si>
  <si>
    <t>Supply and Delivery of Medicines, Vaccines, Equipment and Dentures for Senior Citizens (OSCA Fund)</t>
  </si>
  <si>
    <t>BARANGAY RESOURCE ENHANCEMENT (2ND QUARTER)</t>
  </si>
  <si>
    <t>COMPLETION OF CONSTRUCTION OF ICTC MULTI-MEDIA LABORATORY, ZABALI CAMPUS, BALER, AURORA</t>
  </si>
  <si>
    <t>CIVIL WORKS FOR THE CONSTRUCTION OF LAYERED NICHES AND BONE CHAMBER IN THE NEW PUBLIC CEMETERY</t>
  </si>
  <si>
    <t>PROVISION OF POTABLE WATER SUPPLY AT BRGY. LIGAYA</t>
  </si>
  <si>
    <t>Laboratory Supplies for LPH-Luisiana District Hospital for 3rd and 4th Quarter</t>
  </si>
  <si>
    <t>Supply and Delivery of Zoological Supplies and Feeds.</t>
  </si>
  <si>
    <t>SUPPLY AND DELIVERY OF  VARIOUS EQUIPMENT (Pagbilao District I)</t>
  </si>
  <si>
    <t>CONSTRUCTION OF MUNICIPAL ISOLATION BUILDING</t>
  </si>
  <si>
    <t>SUPPLY AND DELIVERY OF  VARIOUS EQUIPMENT (Pagbilao District II)</t>
  </si>
  <si>
    <t>PROCUREMENT OF AGRICULTURAL PRODUCTS: SEEDS, SEEDLINGS, PLANTS AND FERTILIZER</t>
  </si>
  <si>
    <t>ITB-Procurement of 4 Motor Vehicles</t>
  </si>
  <si>
    <t>Construction of Power House in Batangas State University - Balayan</t>
  </si>
  <si>
    <t>Cluster 1: Continuation of Construction of the Multi-purpose Hall; and Construction of Sanitary Toilet and Repairs of the Evacuation Center</t>
  </si>
  <si>
    <t>Procurement and Delivery of Portable Shredder, City AGR</t>
  </si>
  <si>
    <t>SUPPLY AND DELIVERY OF KITCHEN WARES AND TOOLS FOR THE CSU HOTEL (PROJECT REF. No.: CSU2020-07-007- SUPPLIES)</t>
  </si>
  <si>
    <t>Procurement and Delivery of Medical Waste Auto Clave Sterilizer</t>
  </si>
  <si>
    <t>LEASE OF ONE HUNDRED FORTY-ONE (141) UNITS OF LAPTOP COMPUTERS FOR THREE YEARS</t>
  </si>
  <si>
    <t>SUPPLY AND DELIVERY OF  ANIMAL CONTROL VEHICLE</t>
  </si>
  <si>
    <t>Printing of PCAARRD 2020-Q2 Publications</t>
  </si>
  <si>
    <t>Procurement of Various Anti Riot Equipment</t>
  </si>
  <si>
    <t>Medicines (Dangerous Drugs) for LPH-Dr. J. P. Rizal Memorial District Hospital for 3rd and 4th Quarter</t>
  </si>
  <si>
    <t>Supply and Delivery of Audio Visual Equipment</t>
  </si>
  <si>
    <t>ITB 2020-07-111 Procurement of Various Office Supplies for OM</t>
  </si>
  <si>
    <t>Medicines for Human Induced and Natural Disaster Operations of Provincial Disaster Risk Reduction Management Office (PDRRMO)</t>
  </si>
  <si>
    <t>Diesel Fuel etc. (07-0734) CMO</t>
  </si>
  <si>
    <t>PROVISION OF MEDICAL SUPPLIES</t>
  </si>
  <si>
    <t>SUPPLY AND DELIVERY OF ITEM 104-EMBANKMENT FOR THE RELOCATION OF INFORMAL SETTLERS AND VICTIMS OF CALAMITY LOCATED AT BARANGAY TAMBAC, TULUNAN, COTABATO</t>
  </si>
  <si>
    <t>Oxygen for Laguna Medical Center, LPH-San Pablo City District Hospital, LPH-Dr. J.P. Rizal Memorial District Hospital, LPH-Nagcarlan District Hospital, LPH-Majayjay District Hospital for 3rd and 4th Q</t>
  </si>
  <si>
    <t>Brand New Passenger Van for Governor’s Office – Executive for the Transport of Visitors and Personnel in the Implementation of Programs and Projects in the Province of Laguna</t>
  </si>
  <si>
    <t>Widening of General Santos Avenue, Brgy. Lower Bicutan to Brgy. Central Bicutan, Taguig City (Contract ID No. 20O00032)</t>
  </si>
  <si>
    <t>Brand New AUV for Governor’s Office</t>
  </si>
  <si>
    <t>Construction of  Temporary Slaughter House</t>
  </si>
  <si>
    <t>CONSTRUCTION OF GOVERNMENT BUILDINGS/STRUCTURES/FACILITIES (CONSTRUCTION OF FOUR (4) STOREY MUNICIPAL BUILDING WITH BASEMENT-PHASE 1)</t>
  </si>
  <si>
    <t>SUPPLY AND DELIVERY OF PORTABLE COMPUTERS</t>
  </si>
  <si>
    <t>Proposed Community Stage (Phase 2) @ Sitio Makatol, Danawan &amp; Tangke Barangay Biga, Toledo City</t>
  </si>
  <si>
    <t>CONSTRUCTION OF COVERED PATHWAY</t>
  </si>
  <si>
    <t>Package 9 (A. Danggo-Galiwgiwen FMR Improvement, B. Danggo-Naduntog FMR Improvement, and C. Gaha-Bagimbing FMR Opening)</t>
  </si>
  <si>
    <t>Brand New Pick-Up for Governor’s Office – Executive for the Transport of Visitors and Personnel in the Implementation of Programs and Projects in the Province of Laguna</t>
  </si>
  <si>
    <t>Package 13 (A. Dengao FMR Improvement, and B. Nanludahan-Bekeh FMR Improvement)</t>
  </si>
  <si>
    <t>EQUITABLE ACCESS TO QUALITY EDUCATION #YOUthMATTERS:Computers and the Internet</t>
  </si>
  <si>
    <t>Road Improvement along R. Magsaysay Avenue (Second Bidding)</t>
  </si>
  <si>
    <t>SUPPLY OF LABOR AND MATERIALS FOR THE REPAIR AND IMPROVEMENT OF NSQCS BUILDING, REGION III, NUEVA ECIJA</t>
  </si>
  <si>
    <t>S1-MRO20-009 - Supply and Delivery of Mechanical Spare Parts for 500kW CXZ MAN Diesel Engine, Model No. 6L 20/27</t>
  </si>
  <si>
    <t>S3-PLM20-002 - Supply and Delivery of Various Mechanical Spares for Perkins Genset for Palimbang Diesel Power Plant</t>
  </si>
  <si>
    <t>S3-CTW20-021 &amp; S3-CTW20-022 - Supply and Delivery of Various Mechanical and Electrical Spare Parts for 500kW MAN Diesel Genset, Model No. CXZ MAN 6L/20</t>
  </si>
  <si>
    <t>S2-VMT0-009 - Supply, Delivery and Test of Meter Site Testing Equipment for SPUG-VOD</t>
  </si>
  <si>
    <t>Construction of Farmers'Multi-purpose Hall, Lopez</t>
  </si>
  <si>
    <t>Package 10 (A. Poblacion-Nantakan FMR Improvement, and B. Poblacion-Impugong Core Road Improvement (Pantal Section) ).</t>
  </si>
  <si>
    <t>Supply and Delivery of Three (3) Units Brand New Mini-Dump Truck for DENR-MBCO</t>
  </si>
  <si>
    <t>20CSPF0004: GEOTECHNICAL SOIL INVESTIGATION FOR THE PROPOSED CY 2021 FLOOD CONTROL PROJECTS LOCATED AT KAPANGAN, KIBUNGAN AND BAKUN, BENGUET (9 FLOOD CONTROL PROJECTS WITH 20 BOREHOLES)</t>
  </si>
  <si>
    <t>SUPPLY OF LABOR AND MATERIALS FOR THE IMPROVEMENT OF NSQCS LABORATORY BUILDING (PHASE I), SAN MATEO, ISABELA</t>
  </si>
  <si>
    <t>20CSPF0005: GEOTECHNICAL SOIL INVESTIGATION FOR THE PROPOSED CY 2021 FLOOD CONTROL PROJECTS LOCATED AT ATOK, BUGUIAS, KIBUNGAN AND TUBLAY, BENGUET (9 FLOOD CONTROL PROJECTS WITH 27 BOREHOLES)</t>
  </si>
  <si>
    <t>Supply and Delivery of Prepaid Cards</t>
  </si>
  <si>
    <t>Impugong-Mommo-o View Deck &amp; Cr Construction</t>
  </si>
  <si>
    <t>S3-PLM20-001 - Supply and Delivery of Mechanical Spare Parts for 1 x 80kW Cummins &amp; 1 x 275kW Cummins</t>
  </si>
  <si>
    <t>20CG0239 - Local Infrastructure Program: Buildings and Other Structures – Multipurpose/ Facilities – Construction of Multi-Purpose Covered Area with Reinforced Concrete Slab, Matamo , Arayat, Pampanga</t>
  </si>
  <si>
    <t>ITB 07-03-2020 Item A</t>
  </si>
  <si>
    <t>20CG0237 - Construction/ Repair/ Rehabilitation/ Improvement of Various Infrastructures including Local Projects: Local Roads and Bridges – Local Roads – Rehabilitation of San Matias Barangay Road, St</t>
  </si>
  <si>
    <t>20CSPF0003: GEOTECHNICAL SOIL INVESTIGATION FOR THE PROPOSED CY 2021 FLOOD CONTROL PROJECTS LOCATED AT BUGUIAS AND MANKAYAN, BENGUET (16 FLOOD CONTROL PROJECTS WITH 68 BOREHOLES)</t>
  </si>
  <si>
    <t>Opening/Construction of Settlement Site Road, Barangay Man-ogob, San Vicente, Camarines Norte</t>
  </si>
  <si>
    <t>Package 8 (A. Binablayan Proper Road Canal Construction, And B. Huhlucan-Nampiwihan FMR Improvement)</t>
  </si>
  <si>
    <t>Rehabilitation of Farm to Market Roads Osawan - Tigao to Burgos, Cortes Surigao del Sur</t>
  </si>
  <si>
    <t>20NB0073, Concreting of Provincial Road Junction, Brgy. Wegguam FMR, San Luis, Agusan del Sur</t>
  </si>
  <si>
    <t>Package 12 (A. Rerouting Of Pamullingan-Balawa To Cocoy-Balawa FMR, B. Pinatpat-Pantal Drainage Canal Improvement, C. Alak-Kay-Ang FMR Improvement D. Barangay Health Station Slope Protection).</t>
  </si>
  <si>
    <t>To purchase and Deliver Farm Machinery and Equipment</t>
  </si>
  <si>
    <t>PROCUREMENT OF VARIOUS MEDICINES, MEDICAL SUPPLIES AND LABORATORY SUPPLIES [3RD AND 4TH QUARTER 2020 CONSOLIDATION], CHO AND UPLC, MALAYBALAY CITY.</t>
  </si>
  <si>
    <t>FURNISHING AND DELIVERY OF VARIOUS MATERIALS FOR INSTALLATION OF CEILING, TILES AND ELECTRICALS OF MULTI-PURPOSE BUILDING AT BARANGAY TAGUM, CAMALANIUGAN, CAGAYAN – 1ST POSTING.</t>
  </si>
  <si>
    <t>Cluster Ba4-2020</t>
  </si>
  <si>
    <t>CONSTRUCTION OF STREET LIGHTS</t>
  </si>
  <si>
    <t>Purchase of Motor Vehicle (Lot 1-4)</t>
  </si>
  <si>
    <t>Cluster A1-2020</t>
  </si>
  <si>
    <t>20CG0238 - Local Infrastructure Program: Buildings and Other Structures – Multipurpose/ Facilities – Construction of Multi-Purpose Covered Area with Reinforced Concrete Slab, Buensuceso, Arayat, Pampa</t>
  </si>
  <si>
    <t>THE SUPPLY &amp; DELIVERY OF GALENICALS</t>
  </si>
  <si>
    <t>Support to Sanitary Landfill - Installation of Electrical Power System</t>
  </si>
  <si>
    <t>SUPPLY AND DELIVERY OF SERVICE VEHICLE</t>
  </si>
  <si>
    <t>Cluster N14-2020</t>
  </si>
  <si>
    <t>Supply and Delivery of Pre-Mix Asphalt and Emulsified Asphalt</t>
  </si>
  <si>
    <t>SUPPLY AND DELIVERY OF  EQUIPMENT, SUPPLIES AND CONSUMABLES FOR USE IN D POST, CESC,  GUIDANCE OFFICE, REGISTRATION &amp; ADMISSION OFFICE, CAWAYAN CAMPUS AND SSC OFFICE</t>
  </si>
  <si>
    <t>Procurement of Hand Tractor (Kuliglig with trailer and standard complete accessories)</t>
  </si>
  <si>
    <t>Supply &amp; Delivery of Materials for the Rehabilitation of Mat-i Local Access Road Phase II</t>
  </si>
  <si>
    <t>Supply and Delivery of 351 pax Meals (Breakfast, Lunch, Dinner) for the Inmates of the Pangasinan Provincial Jail</t>
  </si>
  <si>
    <t>Construction of Pathological Pit, Malipayon District Hospital, Corcuera, Romblon</t>
  </si>
  <si>
    <t>Procurement of IT Equipments</t>
  </si>
  <si>
    <t>Purchase of Lighting Components (Provision of Lighting System)</t>
  </si>
  <si>
    <t>Supply and Delivery of Fuel and Lubricants for Regravelling of Various Barangay Road</t>
  </si>
  <si>
    <t>Re-bidding: PR No. 2020-02-0267-MAIN-Supply and Delivery of Cosmetology Equipment for the Cosmetology Technology Laboratory of CTAS</t>
  </si>
  <si>
    <t>CONSTRUCTION OF ALSUM-LOURDES ROAD PHASE II</t>
  </si>
  <si>
    <t>P.R. No. 20-0097 - Supply &amp; Delivery of 850 drums Liquid Poly Aluminum Chloride (PAC) for use in water treatment</t>
  </si>
  <si>
    <t>CONSTRUCTION OF MULTI-PURPOSE COURT AT SITIO TAKAS AND BANAY-BANAY</t>
  </si>
  <si>
    <t>Package 11 (A. Landing-Tupaan Water System Construction, and B. Ecolodge Water System-Poblacion)</t>
  </si>
  <si>
    <t>Completion of Food Court    Poblacion, Cajidiocan, Romblon</t>
  </si>
  <si>
    <t>Proposed Flu Vaccine for Wellness Enhancement Program (Libreng Bakuna sa Dasma)</t>
  </si>
  <si>
    <t>REHAB/IMPROVEMENT OF DAYCARE CENTER</t>
  </si>
  <si>
    <t>Bohol</t>
  </si>
  <si>
    <t>Iloilo</t>
  </si>
  <si>
    <t>Negros Occidental</t>
  </si>
  <si>
    <t>Samar</t>
  </si>
  <si>
    <t>Cavite</t>
  </si>
  <si>
    <t>Lanao Del Sur</t>
  </si>
  <si>
    <t>Isabela</t>
  </si>
  <si>
    <t>Davao Oriental</t>
  </si>
  <si>
    <t>Metro Manila</t>
  </si>
  <si>
    <t>Capiz</t>
  </si>
  <si>
    <t>Bukidnon</t>
  </si>
  <si>
    <t>Ilocos Norte</t>
  </si>
  <si>
    <t>Batangas</t>
  </si>
  <si>
    <t>Aklan</t>
  </si>
  <si>
    <t>Kalinga</t>
  </si>
  <si>
    <t>Cotabato</t>
  </si>
  <si>
    <t>Guimaras</t>
  </si>
  <si>
    <t>Tarlac</t>
  </si>
  <si>
    <t>Lanao Del Norte</t>
  </si>
  <si>
    <t>Northern Samar</t>
  </si>
  <si>
    <t>Camarines Sur</t>
  </si>
  <si>
    <t>Oriental Mindoro</t>
  </si>
  <si>
    <t>Cagayan</t>
  </si>
  <si>
    <t>Southern Leyte</t>
  </si>
  <si>
    <t>Quezon</t>
  </si>
  <si>
    <t>Agusan Del Norte</t>
  </si>
  <si>
    <t>Davao Del Sur</t>
  </si>
  <si>
    <t>Leyte</t>
  </si>
  <si>
    <t>Bulacan</t>
  </si>
  <si>
    <t>Zamboanga Del Sur</t>
  </si>
  <si>
    <t>Albay</t>
  </si>
  <si>
    <t>Misamis Occidental</t>
  </si>
  <si>
    <t>Batanes</t>
  </si>
  <si>
    <t>Ilocos Sur</t>
  </si>
  <si>
    <t>Cebu</t>
  </si>
  <si>
    <t>Mountain Province</t>
  </si>
  <si>
    <t>Negros Oriental</t>
  </si>
  <si>
    <t>Apayao</t>
  </si>
  <si>
    <t>Masbate</t>
  </si>
  <si>
    <t>Nueva Ecija</t>
  </si>
  <si>
    <t>Sultan Kudarat</t>
  </si>
  <si>
    <t>Nueva Vizcaya</t>
  </si>
  <si>
    <t>Pangasinan</t>
  </si>
  <si>
    <t>South Cotabato</t>
  </si>
  <si>
    <t>Surigao Del Sur</t>
  </si>
  <si>
    <t>La Union</t>
  </si>
  <si>
    <t>Siquijor</t>
  </si>
  <si>
    <t>Zamboanga Del Norte</t>
  </si>
  <si>
    <t>Benguet</t>
  </si>
  <si>
    <t>Antique</t>
  </si>
  <si>
    <t>Bataan</t>
  </si>
  <si>
    <t>Laguna</t>
  </si>
  <si>
    <t>Camarines Norte</t>
  </si>
  <si>
    <t>Zamboanga Sibugay</t>
  </si>
  <si>
    <t>Zambales</t>
  </si>
  <si>
    <t>Aurora</t>
  </si>
  <si>
    <t>Biliran</t>
  </si>
  <si>
    <t>Benguet,Biliran</t>
  </si>
  <si>
    <t>Eastern Samar</t>
  </si>
  <si>
    <t>Sorsogon</t>
  </si>
  <si>
    <t>Surigao Del Norte</t>
  </si>
  <si>
    <t>Compostela Valley</t>
  </si>
  <si>
    <t>Agusan Del Sur</t>
  </si>
  <si>
    <t>(Independent City)</t>
  </si>
  <si>
    <t>Romblon</t>
  </si>
  <si>
    <t>Davao Del Norte</t>
  </si>
  <si>
    <t>Palawan</t>
  </si>
  <si>
    <t>Ifugao</t>
  </si>
  <si>
    <t>Misamis Oriental</t>
  </si>
  <si>
    <t>Rizal</t>
  </si>
  <si>
    <t>Catanduanes</t>
  </si>
  <si>
    <t>Marinduque</t>
  </si>
  <si>
    <t>Quirino</t>
  </si>
  <si>
    <t>Biliran,Leyte,Samar</t>
  </si>
  <si>
    <t>Pampanga</t>
  </si>
  <si>
    <t>Eastern Samar,Leyte,Northern Samar,Samar,Southern Leyte</t>
  </si>
  <si>
    <t>Abra</t>
  </si>
  <si>
    <t>Sarangani</t>
  </si>
  <si>
    <t>Dinagat Island</t>
  </si>
  <si>
    <t>Negros Occidental,Negros Oriental</t>
  </si>
  <si>
    <t>Maguindanao</t>
  </si>
  <si>
    <t>Basilan</t>
  </si>
  <si>
    <t>Occidental Mindoro</t>
  </si>
  <si>
    <t>Camiguin</t>
  </si>
  <si>
    <t>Davao Occidental</t>
  </si>
  <si>
    <t>Oriental Mindoro,Palawan</t>
  </si>
  <si>
    <t>Masbate,Metro Manila</t>
  </si>
  <si>
    <t>Philippines</t>
  </si>
  <si>
    <t>Sulu</t>
  </si>
  <si>
    <t>Tawi-Tawi</t>
  </si>
  <si>
    <t>Bohol,Cebu,Negros Oriental,Siquijor</t>
  </si>
  <si>
    <t>Aurora,Bulacan,Nueva Ecija,Pampanga</t>
  </si>
  <si>
    <t>Compostela Valley,Davao Del Norte,Davao Del Sur,Davao Oriental,Davao Occidental</t>
  </si>
  <si>
    <t>Bohol,Negros Oriental</t>
  </si>
  <si>
    <t>Metro Manila,Misamis Occidental</t>
  </si>
  <si>
    <t>Davao Del Sur,Davao Occidental</t>
  </si>
  <si>
    <t>Batangas,Benguet</t>
  </si>
  <si>
    <t>Antique,Negros Occidental</t>
  </si>
  <si>
    <t>Antique,Capiz,Iloilo,Negros Occidental</t>
  </si>
  <si>
    <t>Bukidnon,Lanao Del Norte,Misamis Oriental</t>
  </si>
  <si>
    <t>Aklan,Antique,Capiz,Iloilo,Negros Occidental</t>
  </si>
  <si>
    <t>Agusan Del Norte,Agusan Del Sur,Surigao Del Norte,Surigao Del Sur,Dinagat Island</t>
  </si>
  <si>
    <t>Aklan,Antique,Capiz,Guimaras,Iloilo,Negros Occidental</t>
  </si>
  <si>
    <t>Aklan,Negros Occidental</t>
  </si>
  <si>
    <t>Aklan,Antique,Capiz,Iloilo</t>
  </si>
  <si>
    <t>Agusan Del Sur,Surigao Del Sur</t>
  </si>
  <si>
    <t>Albay,Camarines Norte,Camarines Sur</t>
  </si>
  <si>
    <t>Camarines Norte,Camarines Sur</t>
  </si>
  <si>
    <t>Albay,Camarines Norte,Camarines Sur,Sorsogon</t>
  </si>
  <si>
    <t>SN 2020 02-01</t>
  </si>
  <si>
    <t>IB 2020-08-012 PME2</t>
  </si>
  <si>
    <t>032-2020 PES Purchase of Printer (Epson) 2020-Supp</t>
  </si>
  <si>
    <t>Barangay Basiao-004-2020</t>
  </si>
  <si>
    <t>20-CSDG-02</t>
  </si>
  <si>
    <t>Project Reference No.: 20R0001- Equipment Rental f</t>
  </si>
  <si>
    <t>2020-01</t>
  </si>
  <si>
    <t>Barangay Basiao-003-2020</t>
  </si>
  <si>
    <t>RFQ 2020-07-72</t>
  </si>
  <si>
    <t>2020-008-001</t>
  </si>
  <si>
    <t>RFQ 2020-07-70</t>
  </si>
  <si>
    <t>RFQ 2020-07-69</t>
  </si>
  <si>
    <t>ITB 051-2020</t>
  </si>
  <si>
    <t>ITB NO: 2020-008-038</t>
  </si>
  <si>
    <t>IN-BAC-2020-08-063</t>
  </si>
  <si>
    <t>G-072020-008681</t>
  </si>
  <si>
    <t>2020-08-14</t>
  </si>
  <si>
    <t>030-2020 PES Purchase of Office Supplies 2020-Supp</t>
  </si>
  <si>
    <t>100-20-07-0422</t>
  </si>
  <si>
    <t>MS2020-07.036.5</t>
  </si>
  <si>
    <t>MS2020-07-036.4</t>
  </si>
  <si>
    <t>PB-G-2020-07-40</t>
  </si>
  <si>
    <t>PB2020-07-043I</t>
  </si>
  <si>
    <t>2020-07-405 Re-bid</t>
  </si>
  <si>
    <t>Goods 2020-011</t>
  </si>
  <si>
    <t>CB(B0-20-030(CMO)</t>
  </si>
  <si>
    <t>20-1660</t>
  </si>
  <si>
    <t>2020-03-224 Re-bid</t>
  </si>
  <si>
    <t>MS2020-07-036.6</t>
  </si>
  <si>
    <t>NOLI-2020-0034</t>
  </si>
  <si>
    <t>PR NO. 2020-07-021</t>
  </si>
  <si>
    <t>BV-23-20</t>
  </si>
  <si>
    <t>07-77-2020</t>
  </si>
  <si>
    <t>DENR-ORMIN-031-2020</t>
  </si>
  <si>
    <t>2020-07-001</t>
  </si>
  <si>
    <t>G-2020-071</t>
  </si>
  <si>
    <t>MS2020-07-036.3</t>
  </si>
  <si>
    <t>G-2020-070</t>
  </si>
  <si>
    <t>MS2020-07-036.2</t>
  </si>
  <si>
    <t>GOODS-2020-33</t>
  </si>
  <si>
    <t>2020-08-71</t>
  </si>
  <si>
    <t>NOLI-2020-0199 &amp; 0206</t>
  </si>
  <si>
    <t>2020-07-451</t>
  </si>
  <si>
    <t>DRL-20-0327-B</t>
  </si>
  <si>
    <t>2020-07-412</t>
  </si>
  <si>
    <t>20-CRG-20-07-1121</t>
  </si>
  <si>
    <t>2020-07-428</t>
  </si>
  <si>
    <t>G-129-20</t>
  </si>
  <si>
    <t>RSSO PR No. 2020-07-152</t>
  </si>
  <si>
    <t>G-2020-074</t>
  </si>
  <si>
    <t>msj-2020-25</t>
  </si>
  <si>
    <t>DRL-20-0744-B</t>
  </si>
  <si>
    <t>GOODS-2020-34</t>
  </si>
  <si>
    <t>DRL-20-0745-B</t>
  </si>
  <si>
    <t>2020-79</t>
  </si>
  <si>
    <t>20-1705</t>
  </si>
  <si>
    <t>LGULAGONOY-BAC-020-INFRA-003</t>
  </si>
  <si>
    <t>2020-07-021</t>
  </si>
  <si>
    <t>2020-08-020</t>
  </si>
  <si>
    <t>2020-08-019</t>
  </si>
  <si>
    <t>CONVERGE-2020-0903-P-1</t>
  </si>
  <si>
    <t>G-2020-075</t>
  </si>
  <si>
    <t>20FB0161</t>
  </si>
  <si>
    <t>MS2020-07-036.1</t>
  </si>
  <si>
    <t>20FB0160</t>
  </si>
  <si>
    <t>DRL-20-0743-B</t>
  </si>
  <si>
    <t>DRL-20-0723-B</t>
  </si>
  <si>
    <t>2020-8-5</t>
  </si>
  <si>
    <t>DRL-20-0721-B</t>
  </si>
  <si>
    <t>2020-676-07</t>
  </si>
  <si>
    <t>QIS_NFRA_2020#50</t>
  </si>
  <si>
    <t>20-082</t>
  </si>
  <si>
    <t>DRL-20-0326-B</t>
  </si>
  <si>
    <t>MAM-2019-0014</t>
  </si>
  <si>
    <t>QIS_NFRA_2020#49</t>
  </si>
  <si>
    <t>Adv. 20-083</t>
  </si>
  <si>
    <t>INFR-20-021</t>
  </si>
  <si>
    <t>PHO-2020-0373</t>
  </si>
  <si>
    <t>DRL-20-0722-B</t>
  </si>
  <si>
    <t>P-2020-16</t>
  </si>
  <si>
    <t>cgb2020-291</t>
  </si>
  <si>
    <t>2020-49</t>
  </si>
  <si>
    <t>cgb2020-290</t>
  </si>
  <si>
    <t>Adv. 20-079</t>
  </si>
  <si>
    <t>20-CSDG-03</t>
  </si>
  <si>
    <t>cgb2020-288</t>
  </si>
  <si>
    <t>cgb2020-287</t>
  </si>
  <si>
    <t>cgb2020-286</t>
  </si>
  <si>
    <t>cgb2020-292</t>
  </si>
  <si>
    <t>2020-02</t>
  </si>
  <si>
    <t>2020-08-450</t>
  </si>
  <si>
    <t>PR NO 2020-07-041</t>
  </si>
  <si>
    <t>RFQ-018-2020</t>
  </si>
  <si>
    <t>BTG3-2020-14</t>
  </si>
  <si>
    <t>cgb2020-289</t>
  </si>
  <si>
    <t>Various PR's</t>
  </si>
  <si>
    <t>PHO-2020-0277</t>
  </si>
  <si>
    <t>SanJoseBatsAeb2020-132</t>
  </si>
  <si>
    <t>2020-002</t>
  </si>
  <si>
    <t>SanJoseBatsAeb2020-131</t>
  </si>
  <si>
    <t>079-2020</t>
  </si>
  <si>
    <t>INFRA2020-11</t>
  </si>
  <si>
    <t>INFRA2020-10</t>
  </si>
  <si>
    <t>BMC-N-20-0288</t>
  </si>
  <si>
    <t>2020-684-07</t>
  </si>
  <si>
    <t>BMC-N-20-0287</t>
  </si>
  <si>
    <t>BMC-N-20-0290</t>
  </si>
  <si>
    <t>2020-679-07</t>
  </si>
  <si>
    <t>BMC-N-20-0286</t>
  </si>
  <si>
    <t>2020-003</t>
  </si>
  <si>
    <t>PHO-2020-0374</t>
  </si>
  <si>
    <t>SanJoseBatsAeb2020-129</t>
  </si>
  <si>
    <t>0014-2020</t>
  </si>
  <si>
    <t>SanJoseBatsAeb2020-111</t>
  </si>
  <si>
    <t>BMC-N-20-289</t>
  </si>
  <si>
    <t>PAD (RICE,CORN,ESP) FUND 2020-06-34A</t>
  </si>
  <si>
    <t>mabpang-0804-2020-MSWD</t>
  </si>
  <si>
    <t>AB 2020-03</t>
  </si>
  <si>
    <t>2020-07-31-01</t>
  </si>
  <si>
    <t>SanJoseBatsAeb2020-130</t>
  </si>
  <si>
    <t>2020-693-07</t>
  </si>
  <si>
    <t>0013-2020</t>
  </si>
  <si>
    <t>N20-005</t>
  </si>
  <si>
    <t>N20-004</t>
  </si>
  <si>
    <t>N20-003</t>
  </si>
  <si>
    <t>alt20-202</t>
  </si>
  <si>
    <t>2020.08.001</t>
  </si>
  <si>
    <t>N20-002</t>
  </si>
  <si>
    <t>N20-001</t>
  </si>
  <si>
    <t>SanJoseBatsAeb2020-136</t>
  </si>
  <si>
    <t>AB 2020-01</t>
  </si>
  <si>
    <t>SanJoseBatsAeb2020-133</t>
  </si>
  <si>
    <t>AB 2020-02</t>
  </si>
  <si>
    <t>058-2020</t>
  </si>
  <si>
    <t>2020-08-0001</t>
  </si>
  <si>
    <t>00163-2020</t>
  </si>
  <si>
    <t>PR 1169-20</t>
  </si>
  <si>
    <t>INFRA2020-09</t>
  </si>
  <si>
    <t>SanJoseBatsAeb2020-134</t>
  </si>
  <si>
    <t>QIS_NFRA_2020#48</t>
  </si>
  <si>
    <t>VET-2020-0122</t>
  </si>
  <si>
    <t>20HJ0120</t>
  </si>
  <si>
    <t>QIS_NFRA_2020#46</t>
  </si>
  <si>
    <t>NFBC-2020-0020</t>
  </si>
  <si>
    <t>2020-634-07</t>
  </si>
  <si>
    <t>NOSP-2020-0022</t>
  </si>
  <si>
    <t>QIS_NFRA_2020#45</t>
  </si>
  <si>
    <t>2020-08-04-01</t>
  </si>
  <si>
    <t>PLAWD 2020-08-057</t>
  </si>
  <si>
    <t>TM-20-07-0058</t>
  </si>
  <si>
    <t>B-ITB-48-G-2020</t>
  </si>
  <si>
    <t>RFQ- 2020-34</t>
  </si>
  <si>
    <t>PR 1034-20</t>
  </si>
  <si>
    <t>08-03-2020-301</t>
  </si>
  <si>
    <t>2020-08-027</t>
  </si>
  <si>
    <t>G-2020-072</t>
  </si>
  <si>
    <t>LGU-BLU-20-08-061</t>
  </si>
  <si>
    <t>08-03-2020-300</t>
  </si>
  <si>
    <t>2020-08-026</t>
  </si>
  <si>
    <t>08-03-2020-304</t>
  </si>
  <si>
    <t>BCD-2020-047</t>
  </si>
  <si>
    <t>2020-INFRA-08-24-2020-3</t>
  </si>
  <si>
    <t>08-03-2020-302</t>
  </si>
  <si>
    <t>BCD-2020-049</t>
  </si>
  <si>
    <t>ZN20-07-23-001</t>
  </si>
  <si>
    <t>2020-INFRA-08-24-2020-2</t>
  </si>
  <si>
    <t>2020-08-025</t>
  </si>
  <si>
    <t>2020-INFRA-08-24-2020-1</t>
  </si>
  <si>
    <t>2020-08-024</t>
  </si>
  <si>
    <t>MMWD-0024-2020</t>
  </si>
  <si>
    <t>08-03-2020-305</t>
  </si>
  <si>
    <t>08-03-2020-303</t>
  </si>
  <si>
    <t>2020-021R</t>
  </si>
  <si>
    <t>2020-020R</t>
  </si>
  <si>
    <t>2020-08-001</t>
  </si>
  <si>
    <t>IN-BAC-2020-08-064</t>
  </si>
  <si>
    <t>BAC-2020-08-01</t>
  </si>
  <si>
    <t>PR20-SPARTS-0407JUL001</t>
  </si>
  <si>
    <t>2020-695-07</t>
  </si>
  <si>
    <t>2020-09</t>
  </si>
  <si>
    <t>G-2020-073</t>
  </si>
  <si>
    <t>2020-06-0544</t>
  </si>
  <si>
    <t>BFAR5BAC-2020-146</t>
  </si>
  <si>
    <t>2020-08-018</t>
  </si>
  <si>
    <t>08-20-001</t>
  </si>
  <si>
    <t>2020-07-931</t>
  </si>
  <si>
    <t>2020-019R</t>
  </si>
  <si>
    <t>NIAR6-LFLP-PRBIDP-CW60-20</t>
  </si>
  <si>
    <t>D1-07-206-2020</t>
  </si>
  <si>
    <t>001-2020</t>
  </si>
  <si>
    <t>BBG-WV#023-2020</t>
  </si>
  <si>
    <t>NIAR6-SIP-MAGDALENA-BALADJAY-CW69-20</t>
  </si>
  <si>
    <t>20-07-0091</t>
  </si>
  <si>
    <t>2020-0308-008</t>
  </si>
  <si>
    <t>20GID0024</t>
  </si>
  <si>
    <t>2020-08-006</t>
  </si>
  <si>
    <t>20GID0023</t>
  </si>
  <si>
    <t>2020-0308-012</t>
  </si>
  <si>
    <t>2020-0308-010</t>
  </si>
  <si>
    <t>2020-0308-009</t>
  </si>
  <si>
    <t>2020-0308-007</t>
  </si>
  <si>
    <t>2020-0308-006</t>
  </si>
  <si>
    <t>2020-0308-005</t>
  </si>
  <si>
    <t>2020-0308-004</t>
  </si>
  <si>
    <t>SKPPS-002</t>
  </si>
  <si>
    <t>2020-SVP-329</t>
  </si>
  <si>
    <t>002-0001-2020</t>
  </si>
  <si>
    <t>002-0004-2020</t>
  </si>
  <si>
    <t>002-0003-2020</t>
  </si>
  <si>
    <t>002-0002-2020</t>
  </si>
  <si>
    <t>PR No. 1000032963 dated 14 May 2020</t>
  </si>
  <si>
    <t>2020-007</t>
  </si>
  <si>
    <t>2020-08-04-004</t>
  </si>
  <si>
    <t>pr 2020-08-77</t>
  </si>
  <si>
    <t>PB20-08</t>
  </si>
  <si>
    <t>2020-08-04-002</t>
  </si>
  <si>
    <t>2020-0308-011</t>
  </si>
  <si>
    <t>2020-08-04-001</t>
  </si>
  <si>
    <t>B08-2020</t>
  </si>
  <si>
    <t>libsongwest2020-01</t>
  </si>
  <si>
    <t>PR # 20-07-1248 OVS</t>
  </si>
  <si>
    <t>N-20-08-098</t>
  </si>
  <si>
    <t>2020-001</t>
  </si>
  <si>
    <t>0015-20 INFRA</t>
  </si>
  <si>
    <t>NS-2020-07-0276</t>
  </si>
  <si>
    <t>20GID0025</t>
  </si>
  <si>
    <t>Barangay Poblacion 1-2020-07</t>
  </si>
  <si>
    <t>2020-08-0020 SB</t>
  </si>
  <si>
    <t>RFQ-2020-016</t>
  </si>
  <si>
    <t>0400820</t>
  </si>
  <si>
    <t>2020-08-04-003</t>
  </si>
  <si>
    <t>NS-2020-07-0284</t>
  </si>
  <si>
    <t>04082020</t>
  </si>
  <si>
    <t>B2020-001</t>
  </si>
  <si>
    <t>2020-B57-01</t>
  </si>
  <si>
    <t>lgu sta. Barbara</t>
  </si>
  <si>
    <t>pr 2020-08-76</t>
  </si>
  <si>
    <t>NS-2020-07-0289</t>
  </si>
  <si>
    <t>S-2020-08-013</t>
  </si>
  <si>
    <t>2020-08-162</t>
  </si>
  <si>
    <t>2020-097</t>
  </si>
  <si>
    <t>BIDSTAC # NP-SVP 155-2020</t>
  </si>
  <si>
    <t>20-0314-08-001</t>
  </si>
  <si>
    <t>08-04-2020-307</t>
  </si>
  <si>
    <t>PR-2020</t>
  </si>
  <si>
    <t>040820</t>
  </si>
  <si>
    <t>2020-08-01</t>
  </si>
  <si>
    <t>2020.08.04.1</t>
  </si>
  <si>
    <t>2020-096</t>
  </si>
  <si>
    <t>2020.08.04</t>
  </si>
  <si>
    <t>2020-G-331</t>
  </si>
  <si>
    <t>20201649</t>
  </si>
  <si>
    <t>QIS_NFRA_2020#47</t>
  </si>
  <si>
    <t>BIDSTAC # NP-SVP 153-2020</t>
  </si>
  <si>
    <t>20GID0026</t>
  </si>
  <si>
    <t>BIDSTAC # NP-SVP 154-2020</t>
  </si>
  <si>
    <t>2020-G-289</t>
  </si>
  <si>
    <t>RFQ-2020-046</t>
  </si>
  <si>
    <t>RFQ # 20-0482</t>
  </si>
  <si>
    <t>2020-07-1800</t>
  </si>
  <si>
    <t>08-04-2020-306</t>
  </si>
  <si>
    <t>PR# 20-0927</t>
  </si>
  <si>
    <t>RFQ0274</t>
  </si>
  <si>
    <t>2019_01</t>
  </si>
  <si>
    <t>20GID0028</t>
  </si>
  <si>
    <t>BFP Caraga 2020-07-016</t>
  </si>
  <si>
    <t>RFQ-2020-101</t>
  </si>
  <si>
    <t>CID NO. 20IF0078 (READV)</t>
  </si>
  <si>
    <t>02</t>
  </si>
  <si>
    <t>TF 003</t>
  </si>
  <si>
    <t>084-2020</t>
  </si>
  <si>
    <t>20-0314-08-002</t>
  </si>
  <si>
    <t>Supply and delivery of materials for the repair of</t>
  </si>
  <si>
    <t>2020-0569</t>
  </si>
  <si>
    <t>016-svp-2020 (OMAG)</t>
  </si>
  <si>
    <t>RFQ No. 2020-SVP-048</t>
  </si>
  <si>
    <t>19-08-287</t>
  </si>
  <si>
    <t>20GID0027</t>
  </si>
  <si>
    <t>RFQ-2020-047</t>
  </si>
  <si>
    <t>0020-0252-1208-2020</t>
  </si>
  <si>
    <t>INFRA 20-08-23</t>
  </si>
  <si>
    <t>INFRA 20-08-22</t>
  </si>
  <si>
    <t>2020-08-050</t>
  </si>
  <si>
    <t>20GID0029</t>
  </si>
  <si>
    <t>BIDSTAC # NP-SVP 156-2020</t>
  </si>
  <si>
    <t>2020-20</t>
  </si>
  <si>
    <t>0550</t>
  </si>
  <si>
    <t>RFQ0276</t>
  </si>
  <si>
    <t>2020-07-121</t>
  </si>
  <si>
    <t>NS-2020-07-0274</t>
  </si>
  <si>
    <t>RFQ 2020-249</t>
  </si>
  <si>
    <t>PR 07-3739</t>
  </si>
  <si>
    <t>2020-07-210</t>
  </si>
  <si>
    <t>NS-2020-07-0282</t>
  </si>
  <si>
    <t>PR 07-3743</t>
  </si>
  <si>
    <t>BIDSTAC # NP-SVP 152-2020</t>
  </si>
  <si>
    <t>MIL-GOODS-2020-08-01</t>
  </si>
  <si>
    <t>0061-07-2020</t>
  </si>
  <si>
    <t>102CO-2020-258</t>
  </si>
  <si>
    <t>2020-098</t>
  </si>
  <si>
    <t>20GID0031</t>
  </si>
  <si>
    <t>R.I.S. No.: 20-60-019</t>
  </si>
  <si>
    <t>Goods2020-02-004</t>
  </si>
  <si>
    <t>2020-02-053H, 01-179, 02-026, 02-041, 02-058, 02-0</t>
  </si>
  <si>
    <t>20GID0030</t>
  </si>
  <si>
    <t>2020-396</t>
  </si>
  <si>
    <t>2020-08-02</t>
  </si>
  <si>
    <t>20-08-017</t>
  </si>
  <si>
    <t>R.I.S. No.: 20-96-041</t>
  </si>
  <si>
    <t>BFAR5BAC-2020-147</t>
  </si>
  <si>
    <t>21-2020</t>
  </si>
  <si>
    <t>ITB2020-020</t>
  </si>
  <si>
    <t>INFRA 20-08-24</t>
  </si>
  <si>
    <t>2020-07-0126</t>
  </si>
  <si>
    <t>RFQ 152-07-20</t>
  </si>
  <si>
    <t>wawa2020-02</t>
  </si>
  <si>
    <t>PR#79</t>
  </si>
  <si>
    <t>20GGA0008</t>
  </si>
  <si>
    <t>INFRA 20-08-25</t>
  </si>
  <si>
    <t>202008040001</t>
  </si>
  <si>
    <t>2020-08-08</t>
  </si>
  <si>
    <t>2020-01-0077</t>
  </si>
  <si>
    <t>ISD FUND 2020-07-33</t>
  </si>
  <si>
    <t>RFQ-2020-048</t>
  </si>
  <si>
    <t>IB 2020-054</t>
  </si>
  <si>
    <t>RFQ-SUR BO OFFICE RENOVATION 2020</t>
  </si>
  <si>
    <t>20GID0033</t>
  </si>
  <si>
    <t>2020-82</t>
  </si>
  <si>
    <t>102CO-2020-259</t>
  </si>
  <si>
    <t>20GID0034</t>
  </si>
  <si>
    <t>RFQ 2020-4255</t>
  </si>
  <si>
    <t>SH-0014-20-OL</t>
  </si>
  <si>
    <t>IB 2020-53</t>
  </si>
  <si>
    <t>20GID0032</t>
  </si>
  <si>
    <t>2020-08-04-005</t>
  </si>
  <si>
    <t>REQUEST FOR QUOTATION - 2020-010</t>
  </si>
  <si>
    <t>RFQ 2020-08-01</t>
  </si>
  <si>
    <t>REQUEST FOR QUOTATION - 2020-009</t>
  </si>
  <si>
    <t>2020-08-389-12</t>
  </si>
  <si>
    <t>B#008-20</t>
  </si>
  <si>
    <t>REQUEST FOR QUOTATION - 2020-008</t>
  </si>
  <si>
    <t>PF-0320-260</t>
  </si>
  <si>
    <t>BAC 20-97</t>
  </si>
  <si>
    <t>2020220A</t>
  </si>
  <si>
    <t>R.I.S. No.: 20-03-013</t>
  </si>
  <si>
    <t>2020-08-002</t>
  </si>
  <si>
    <t>2019-12-1246</t>
  </si>
  <si>
    <t>INFRA 20-08-26</t>
  </si>
  <si>
    <t>1951</t>
  </si>
  <si>
    <t>UPLB-RQ-8-162-20-RES CHEMICALS &amp; CHEMICAL PRODUCTS</t>
  </si>
  <si>
    <t>015-svp-2020</t>
  </si>
  <si>
    <t>2020-005-07</t>
  </si>
  <si>
    <t>2007188</t>
  </si>
  <si>
    <t>RSQ 01-2020-06-068</t>
  </si>
  <si>
    <t>20LA0345</t>
  </si>
  <si>
    <t>20-08-008</t>
  </si>
  <si>
    <t>PR2020-07-040</t>
  </si>
  <si>
    <t>2020-08-007</t>
  </si>
  <si>
    <t>IB 2020-055</t>
  </si>
  <si>
    <t>0027-0010-1082.2020</t>
  </si>
  <si>
    <t>2020-08-04</t>
  </si>
  <si>
    <t>BFAR5BAC-2020-148</t>
  </si>
  <si>
    <t>08-20-07</t>
  </si>
  <si>
    <t>2020-04-08-40</t>
  </si>
  <si>
    <t>RFQ-2020-049</t>
  </si>
  <si>
    <t>2020-119</t>
  </si>
  <si>
    <t>Infra 2020-02-03</t>
  </si>
  <si>
    <t>20-307</t>
  </si>
  <si>
    <t>IB 2020-56</t>
  </si>
  <si>
    <t>127000</t>
  </si>
  <si>
    <t>20LA0347</t>
  </si>
  <si>
    <t>R.I.S. No.: 20-69-032</t>
  </si>
  <si>
    <t>BIDSTAC # SB 039-2020</t>
  </si>
  <si>
    <t>RFQ 2020-4273</t>
  </si>
  <si>
    <t>2020-04-08-39</t>
  </si>
  <si>
    <t>02-2020</t>
  </si>
  <si>
    <t>2020-08-0014</t>
  </si>
  <si>
    <t>08042020ITEQPT</t>
  </si>
  <si>
    <t>RFQ 2020-88</t>
  </si>
  <si>
    <t>RFQ 032-02-2020</t>
  </si>
  <si>
    <t>20LA0352</t>
  </si>
  <si>
    <t>08-20-09</t>
  </si>
  <si>
    <t>NP-08-42-20</t>
  </si>
  <si>
    <t>RFQ No. 20-08-197</t>
  </si>
  <si>
    <t>2020-08-0015</t>
  </si>
  <si>
    <t>2020099</t>
  </si>
  <si>
    <t>NS-2020-06-0249</t>
  </si>
  <si>
    <t>LGU-RFQ-032-08-2020</t>
  </si>
  <si>
    <t>PF-0620-634</t>
  </si>
  <si>
    <t>IB 2020-057</t>
  </si>
  <si>
    <t>LEECemeteries</t>
  </si>
  <si>
    <t>RFQ-2020-051</t>
  </si>
  <si>
    <t>2007173</t>
  </si>
  <si>
    <t>08-20-08</t>
  </si>
  <si>
    <t>2020-Barangay Cabugawan-003</t>
  </si>
  <si>
    <t>ITB 2020-083</t>
  </si>
  <si>
    <t>100-04-076-17-679</t>
  </si>
  <si>
    <t>100-04-076-17-680</t>
  </si>
  <si>
    <t>RFQ 2020-4274</t>
  </si>
  <si>
    <t>pontevedra-20-CW08</t>
  </si>
  <si>
    <t>22-2020</t>
  </si>
  <si>
    <t>cam2020-005</t>
  </si>
  <si>
    <t>GD-SH-2020-07-0049</t>
  </si>
  <si>
    <t>PRDP-PSO-Admin 2020-07-018</t>
  </si>
  <si>
    <t>pontevedra-20-CW09</t>
  </si>
  <si>
    <t>SVP-2020-08-154</t>
  </si>
  <si>
    <t>Composting</t>
  </si>
  <si>
    <t>20GID0035</t>
  </si>
  <si>
    <t>2020-07-999</t>
  </si>
  <si>
    <t>100-04-076-17-678</t>
  </si>
  <si>
    <t>RFQ 2020-4281</t>
  </si>
  <si>
    <t>08-20-10</t>
  </si>
  <si>
    <t>ITB 2020-091</t>
  </si>
  <si>
    <t>ITB-07-2020-001</t>
  </si>
  <si>
    <t>2020-08-Prenza</t>
  </si>
  <si>
    <t>SVP-2020-048</t>
  </si>
  <si>
    <t>RCP20-07-0132</t>
  </si>
  <si>
    <t>2020-RFQ-030G</t>
  </si>
  <si>
    <t>RFQ-DVO-PR.NO. 2007191 CAT. 61 TIRES, BATTERIES, A</t>
  </si>
  <si>
    <t>ITB20OA0077</t>
  </si>
  <si>
    <t>102CO-2020-260</t>
  </si>
  <si>
    <t>G-056-0513-20</t>
  </si>
  <si>
    <t>2020-120</t>
  </si>
  <si>
    <t>Goods-147-2020</t>
  </si>
  <si>
    <t>2020-04</t>
  </si>
  <si>
    <t>PR 2020-03-07</t>
  </si>
  <si>
    <t>Mkna-GSO-20-336</t>
  </si>
  <si>
    <t>20-0314-08-003</t>
  </si>
  <si>
    <t>PF-0720-772</t>
  </si>
  <si>
    <t>ITB 2020-095</t>
  </si>
  <si>
    <t>00121</t>
  </si>
  <si>
    <t>RFQ-GOODS-2020-017</t>
  </si>
  <si>
    <t>09-2020</t>
  </si>
  <si>
    <t>2020-11</t>
  </si>
  <si>
    <t>RFQ-DVO-PR.NO. 2007249 CAT. 25 FOOD AND CATERING S</t>
  </si>
  <si>
    <t>LGu-RFQ-033-08-2020</t>
  </si>
  <si>
    <t>20-08-411</t>
  </si>
  <si>
    <t>20-08-07</t>
  </si>
  <si>
    <t>20-08-04</t>
  </si>
  <si>
    <t>GOODS-2020-26</t>
  </si>
  <si>
    <t xml:space="preserve">MATERIALS-REHABILITATION OF LINE CANAL AT P 2,3 &amp; </t>
  </si>
  <si>
    <t>2020-08-01 TDG</t>
  </si>
  <si>
    <t>MMWD-0025-2020</t>
  </si>
  <si>
    <t>RFQ 2020-4285</t>
  </si>
  <si>
    <t>20-389, 20-393, 2-392</t>
  </si>
  <si>
    <t>0537</t>
  </si>
  <si>
    <t>PR 156-2020</t>
  </si>
  <si>
    <t>RFQ No. 20-08-198</t>
  </si>
  <si>
    <t>202008040002</t>
  </si>
  <si>
    <t>SVP 2020-418</t>
  </si>
  <si>
    <t>101-20-07-110</t>
  </si>
  <si>
    <t>2020-070001</t>
  </si>
  <si>
    <t>2020-08-04b</t>
  </si>
  <si>
    <t>PB2020-08-109G</t>
  </si>
  <si>
    <t>0059-07-2020</t>
  </si>
  <si>
    <t>RFQ-DVO-PR.NO. 2006296 CAT. 44 OFFICE SUPPLIES AND</t>
  </si>
  <si>
    <t>2020-07-450</t>
  </si>
  <si>
    <t>SN-20-06-013</t>
  </si>
  <si>
    <t>20-148</t>
  </si>
  <si>
    <t>2020-08-04c</t>
  </si>
  <si>
    <t>Goods-149-2020</t>
  </si>
  <si>
    <t>2020-Brgy. San Roque-003</t>
  </si>
  <si>
    <t>20200408</t>
  </si>
  <si>
    <t>Goods-148-2020</t>
  </si>
  <si>
    <t>RFQ 2020-4294</t>
  </si>
  <si>
    <t>100-2020-INFRA-398</t>
  </si>
  <si>
    <t>GSO-20-08-0351</t>
  </si>
  <si>
    <t>GS-GF-2020-0340</t>
  </si>
  <si>
    <t>060</t>
  </si>
  <si>
    <t>SVP 2020-417</t>
  </si>
  <si>
    <t>20-08-288</t>
  </si>
  <si>
    <t>2020-0185-PR2020-0530 Rebid</t>
  </si>
  <si>
    <t>20-07-026</t>
  </si>
  <si>
    <t>IGP-20-07-06</t>
  </si>
  <si>
    <t>2020-0243</t>
  </si>
  <si>
    <t>117441JLSES</t>
  </si>
  <si>
    <t>20-crg-20-07-1120</t>
  </si>
  <si>
    <t>101-20-07-105</t>
  </si>
  <si>
    <t>08-0001-20</t>
  </si>
  <si>
    <t>PG-RFQ-2020-05 Macalbang</t>
  </si>
  <si>
    <t>20-0314-08-004</t>
  </si>
  <si>
    <t>2020-08-525</t>
  </si>
  <si>
    <t>RFQ NO. EMB-EMB-PGSS 2020-0102-08-4-2020 PR NO.202</t>
  </si>
  <si>
    <t>PR 20-07-0091</t>
  </si>
  <si>
    <t>2020-08-011</t>
  </si>
  <si>
    <t>2020-50</t>
  </si>
  <si>
    <t>1918-23-13-20</t>
  </si>
  <si>
    <t>RFQ 2020-102</t>
  </si>
  <si>
    <t>2020-0217</t>
  </si>
  <si>
    <t>2020-08-215</t>
  </si>
  <si>
    <t>BFAR5BAC-2020-149</t>
  </si>
  <si>
    <t>20GDF0022</t>
  </si>
  <si>
    <t>2020-RFQ-031G</t>
  </si>
  <si>
    <t>RFQ-2020-34</t>
  </si>
  <si>
    <t>2020-08-0451</t>
  </si>
  <si>
    <t>07-0129-20</t>
  </si>
  <si>
    <t>2020-07-449</t>
  </si>
  <si>
    <t>00122</t>
  </si>
  <si>
    <t>2020-devmh-114</t>
  </si>
  <si>
    <t>2020-08-02 TDG</t>
  </si>
  <si>
    <t>LGu-RFQ-034-08-2020</t>
  </si>
  <si>
    <t>20-08-SO155</t>
  </si>
  <si>
    <t>RFQ No. 20-08-200</t>
  </si>
  <si>
    <t>2020-08-032</t>
  </si>
  <si>
    <t>DA8-Goods-2020-50 (PR No. RICE 20-07-27-0928)</t>
  </si>
  <si>
    <t>INVITATION TO BID  2020</t>
  </si>
  <si>
    <t>20-08-289</t>
  </si>
  <si>
    <t>RFQ No. 20-08-021</t>
  </si>
  <si>
    <t>20-594</t>
  </si>
  <si>
    <t>2020-05-693</t>
  </si>
  <si>
    <t>None</t>
  </si>
  <si>
    <t>RFQ-GOODS-2020-018</t>
  </si>
  <si>
    <t>2020-08-521</t>
  </si>
  <si>
    <t>PR. NO. 2020-07-000029</t>
  </si>
  <si>
    <t>100-20-08-91</t>
  </si>
  <si>
    <t>LGUBaras-2020-0057</t>
  </si>
  <si>
    <t>RFQ No. 2020-019</t>
  </si>
  <si>
    <t>20-149</t>
  </si>
  <si>
    <t>022-2020</t>
  </si>
  <si>
    <t>RFQ-DVO-PR.NO. 2007141 CAT. 61 TIRE, BATTERIES AND</t>
  </si>
  <si>
    <t>BAC-HO GS No. 2020-0263</t>
  </si>
  <si>
    <t>305THCO-14151-220AW-108-2020</t>
  </si>
  <si>
    <t>RFQ 2020-4305</t>
  </si>
  <si>
    <t>2020-10007</t>
  </si>
  <si>
    <t>100-2007-045-20%</t>
  </si>
  <si>
    <t>RFQ-2020-296</t>
  </si>
  <si>
    <t>2020-08-04d</t>
  </si>
  <si>
    <t>RFQ BOTILAO ES AUGUST</t>
  </si>
  <si>
    <t>RFQ-170-2020-ED</t>
  </si>
  <si>
    <t>2020-0244</t>
  </si>
  <si>
    <t>westernpob2020-001</t>
  </si>
  <si>
    <t>AMP/Nego 2020-08-005(001)</t>
  </si>
  <si>
    <t>TAL-08-17-2020</t>
  </si>
  <si>
    <t>08-20-11</t>
  </si>
  <si>
    <t>RFQ-DVO-PR.NO. 2006343 CAT. 80 FUEL, OIL, LUBRICAN</t>
  </si>
  <si>
    <t>2020-08-05</t>
  </si>
  <si>
    <t>RFQ 2020-4306</t>
  </si>
  <si>
    <t>20-06-0107</t>
  </si>
  <si>
    <t>2020-094</t>
  </si>
  <si>
    <t>RFQ NO. 2020-08-29</t>
  </si>
  <si>
    <t>20-08-SO156</t>
  </si>
  <si>
    <t>2020-08-0840 TDG</t>
  </si>
  <si>
    <t>061</t>
  </si>
  <si>
    <t>PENRO-BUK.-20-047</t>
  </si>
  <si>
    <t>2020-07-047</t>
  </si>
  <si>
    <t>2020-023</t>
  </si>
  <si>
    <t>07-0128-20</t>
  </si>
  <si>
    <t>20-07-008</t>
  </si>
  <si>
    <t>2020-03</t>
  </si>
  <si>
    <t>20-0314-08-005</t>
  </si>
  <si>
    <t>2020-07-043</t>
  </si>
  <si>
    <t>20-099</t>
  </si>
  <si>
    <t>100-20-08-0014</t>
  </si>
  <si>
    <t>2020-07-0483 SOCIAL PENSION</t>
  </si>
  <si>
    <t>2020-07-2</t>
  </si>
  <si>
    <t>1</t>
  </si>
  <si>
    <t>NS-2020-05-0179</t>
  </si>
  <si>
    <t>2007957</t>
  </si>
  <si>
    <t>2020-08-0452</t>
  </si>
  <si>
    <t>1176-20-02-25</t>
  </si>
  <si>
    <t>RFQ No. 20-08-022</t>
  </si>
  <si>
    <t>20-02-134</t>
  </si>
  <si>
    <t>P.R NO 0714 SERIES 2020</t>
  </si>
  <si>
    <t>202008001</t>
  </si>
  <si>
    <t>I4-20-1617</t>
  </si>
  <si>
    <t>RFQ #570-20</t>
  </si>
  <si>
    <t>2020-134(8)amp</t>
  </si>
  <si>
    <t>2020 - 0804 - 1G</t>
  </si>
  <si>
    <t>TAL-08-18-2020</t>
  </si>
  <si>
    <t>FAS-20-28</t>
  </si>
  <si>
    <t>001-08-2020(BRGY.LABIT, VILLASIS, PANGASINAN)</t>
  </si>
  <si>
    <t>086-2020</t>
  </si>
  <si>
    <t xml:space="preserve">RFQ-DVO-PR.NO. 2007205 CAT. 10 COMPUTER EQUIPMENT </t>
  </si>
  <si>
    <t>BFP Caraga 2020-07-017</t>
  </si>
  <si>
    <t>20-42667</t>
  </si>
  <si>
    <t>Brgy Talaba</t>
  </si>
  <si>
    <t>0067-0014-1286-2020</t>
  </si>
  <si>
    <t>2007-0666-NHTS</t>
  </si>
  <si>
    <t>100-20-08-0013</t>
  </si>
  <si>
    <t>2020 - 33</t>
  </si>
  <si>
    <t>08-060-20</t>
  </si>
  <si>
    <t>2020-08-0491 DRMD</t>
  </si>
  <si>
    <t>bub2020-002</t>
  </si>
  <si>
    <t>RFQ-DVO-PR.NO. 2006442 CAT. 13 COMPUTER SUPPLIES A</t>
  </si>
  <si>
    <t>RFQ BOTILAO ES AUG.1</t>
  </si>
  <si>
    <t>2020-231</t>
  </si>
  <si>
    <t>20-0314-08-006</t>
  </si>
  <si>
    <t>RFQ-2020-35</t>
  </si>
  <si>
    <t>SVP-2020-19</t>
  </si>
  <si>
    <t>2020-07-048</t>
  </si>
  <si>
    <t>RFQ#595-20</t>
  </si>
  <si>
    <t>2020-166</t>
  </si>
  <si>
    <t>2020-232</t>
  </si>
  <si>
    <t>2020-034</t>
  </si>
  <si>
    <t>07-001-20-952-8FAU</t>
  </si>
  <si>
    <t>20-147</t>
  </si>
  <si>
    <t>305THCO-14155-220AW-105-2020</t>
  </si>
  <si>
    <t>2020-08-0210 HMD</t>
  </si>
  <si>
    <t>100-20-08-0015</t>
  </si>
  <si>
    <t>2020-08-0138</t>
  </si>
  <si>
    <t>RFQ-2020-36</t>
  </si>
  <si>
    <t>0051-07-2020</t>
  </si>
  <si>
    <t>yen-08</t>
  </si>
  <si>
    <t>300-2004-021-TF</t>
  </si>
  <si>
    <t>2020-08-169</t>
  </si>
  <si>
    <t>0280-2020</t>
  </si>
  <si>
    <t>2020-07-1004</t>
  </si>
  <si>
    <t>IGP-20-07-08</t>
  </si>
  <si>
    <t>153.2020</t>
  </si>
  <si>
    <t>2020-007-092</t>
  </si>
  <si>
    <t xml:space="preserve">RFQ-DVO-PR.NO. 2007199 CAT. 10 COMPUTER EQUIPMENT </t>
  </si>
  <si>
    <t xml:space="preserve">RFQ-DVO-PR.NO. 2007194 CAT. 10 COMPUTER EQUIPMENT </t>
  </si>
  <si>
    <t>2020-RFQ-027</t>
  </si>
  <si>
    <t>P.R NO 0718 SERIES 2020</t>
  </si>
  <si>
    <t>PRDP-PSO-Admin 2020-07-012</t>
  </si>
  <si>
    <t>NAA1-2020-004</t>
  </si>
  <si>
    <t>0881</t>
  </si>
  <si>
    <t>2020-002-OS</t>
  </si>
  <si>
    <t>ITB GOODS 2020-08-52</t>
  </si>
  <si>
    <t>RFQ-199-2020</t>
  </si>
  <si>
    <t>RFQ No. 20-08-201</t>
  </si>
  <si>
    <t>2020-08-0140</t>
  </si>
  <si>
    <t>2020-08-06</t>
  </si>
  <si>
    <t>062</t>
  </si>
  <si>
    <t>20-306</t>
  </si>
  <si>
    <t>2020-233</t>
  </si>
  <si>
    <t>RFQ No. 20-08-083</t>
  </si>
  <si>
    <t>SJ-20-209</t>
  </si>
  <si>
    <t>DA8-Goods-2020-48 (PR No. SAAD 20-07-23-0237)</t>
  </si>
  <si>
    <t>IMELDASVP2020-002</t>
  </si>
  <si>
    <t>2020-07-61-02</t>
  </si>
  <si>
    <t>20-100</t>
  </si>
  <si>
    <t>2020-002 (Brgy. Kauswagan)(REBID)</t>
  </si>
  <si>
    <t>2020-07-454</t>
  </si>
  <si>
    <t>Bulacan20200804</t>
  </si>
  <si>
    <t>2020-08-04e</t>
  </si>
  <si>
    <t>2020-07-094 (Reposting)</t>
  </si>
  <si>
    <t>8918-23-3-S20</t>
  </si>
  <si>
    <t>2020-08-0139</t>
  </si>
  <si>
    <t>TAL-08-19-2020</t>
  </si>
  <si>
    <t>101-20-07-102</t>
  </si>
  <si>
    <t>2020-0038</t>
  </si>
  <si>
    <t>RFQ-201-2020</t>
  </si>
  <si>
    <t>GSO-20-08-0347</t>
  </si>
  <si>
    <t>842020-041</t>
  </si>
  <si>
    <t>20-08-0009</t>
  </si>
  <si>
    <t>20GCH0014</t>
  </si>
  <si>
    <t>PR 20-004</t>
  </si>
  <si>
    <t>RFQ-200-2020</t>
  </si>
  <si>
    <t>RFQ-202-2020</t>
  </si>
  <si>
    <t>20GAC0034</t>
  </si>
  <si>
    <t>2020-08-42</t>
  </si>
  <si>
    <t>RFQ NO. 2008-128</t>
  </si>
  <si>
    <t>747, 747-A</t>
  </si>
  <si>
    <t>RFQ-203-2020</t>
  </si>
  <si>
    <t>GDS-393-2020</t>
  </si>
  <si>
    <t>NIAREG9-08032020-695</t>
  </si>
  <si>
    <t>08-78-2020</t>
  </si>
  <si>
    <t>802020-042</t>
  </si>
  <si>
    <t>2020-234</t>
  </si>
  <si>
    <t>INF-SFO-10-20</t>
  </si>
  <si>
    <t>PR No. 20-08-0001</t>
  </si>
  <si>
    <t>100-20-07-0207</t>
  </si>
  <si>
    <t>20M0012-13</t>
  </si>
  <si>
    <t>8918-02-2748-20</t>
  </si>
  <si>
    <t>2020-CW-022</t>
  </si>
  <si>
    <t>2020-08-0177</t>
  </si>
  <si>
    <t>2020-022</t>
  </si>
  <si>
    <t>2020-80</t>
  </si>
  <si>
    <t>017-svp-2020 (LTMPS)</t>
  </si>
  <si>
    <t>20GCH0015</t>
  </si>
  <si>
    <t>301</t>
  </si>
  <si>
    <t>GSO-20-08-0348</t>
  </si>
  <si>
    <t>08-04-01</t>
  </si>
  <si>
    <t>HSG-2020-07-092</t>
  </si>
  <si>
    <t>20GAC0035</t>
  </si>
  <si>
    <t>2020-123-004</t>
  </si>
  <si>
    <t>2020-07-54-03</t>
  </si>
  <si>
    <t>087-2020</t>
  </si>
  <si>
    <t>PNU2020-0073</t>
  </si>
  <si>
    <t>2020-51</t>
  </si>
  <si>
    <t>2020-133(8)amp</t>
  </si>
  <si>
    <t>7</t>
  </si>
  <si>
    <t>PR No. 20-08-0002</t>
  </si>
  <si>
    <t>PR 20-06-0341</t>
  </si>
  <si>
    <t>2020-07-049</t>
  </si>
  <si>
    <t>2020-08-003</t>
  </si>
  <si>
    <t>2020-428</t>
  </si>
  <si>
    <t>2020-81</t>
  </si>
  <si>
    <t>PR No. 007-20</t>
  </si>
  <si>
    <t>PIKCOT-SUPP-002020-0164</t>
  </si>
  <si>
    <t>PR NO. 100-1181-20-06-0754</t>
  </si>
  <si>
    <t>001</t>
  </si>
  <si>
    <t>RFQ-DVO-PR.NO. 2007301 CAT. 41.1 ELECTRONIC CONSUM</t>
  </si>
  <si>
    <t>20-0054 (NP)</t>
  </si>
  <si>
    <t>INF-SFO-11-20</t>
  </si>
  <si>
    <t>20-08-107</t>
  </si>
  <si>
    <t>2020-08-390-13</t>
  </si>
  <si>
    <t>2020-006</t>
  </si>
  <si>
    <t>INFRA-2020-08-50</t>
  </si>
  <si>
    <t>P.R NO 0719 SERIES 2020</t>
  </si>
  <si>
    <t>2020-08-085</t>
  </si>
  <si>
    <t>20-0314-08-007</t>
  </si>
  <si>
    <t>08-04-02</t>
  </si>
  <si>
    <t>lgm</t>
  </si>
  <si>
    <t>RFQ-204-2020</t>
  </si>
  <si>
    <t>2020002</t>
  </si>
  <si>
    <t>2020-135(8)amp</t>
  </si>
  <si>
    <t>SVP 2020-038</t>
  </si>
  <si>
    <t>20GAC0036</t>
  </si>
  <si>
    <t>INF-SFO-12-20</t>
  </si>
  <si>
    <t>097221</t>
  </si>
  <si>
    <t>6911-02-1196-20</t>
  </si>
  <si>
    <t>6911-02-853-20</t>
  </si>
  <si>
    <t>GEPS-20-2020</t>
  </si>
  <si>
    <t>2020-095</t>
  </si>
  <si>
    <t>2020-08-009</t>
  </si>
  <si>
    <t>RFQ-205-2020</t>
  </si>
  <si>
    <t>lgumat-2020-0044</t>
  </si>
  <si>
    <t>2020-08-0141</t>
  </si>
  <si>
    <t>GSO-20-08-0349</t>
  </si>
  <si>
    <t>032251</t>
  </si>
  <si>
    <t>PR-07-016-JHS</t>
  </si>
  <si>
    <t>08-04-03</t>
  </si>
  <si>
    <t>2020-HT2-001</t>
  </si>
  <si>
    <t>20-02-219a</t>
  </si>
  <si>
    <t>2020-83</t>
  </si>
  <si>
    <t>2020-17</t>
  </si>
  <si>
    <t>2020-07-0034</t>
  </si>
  <si>
    <t>2020-08-029</t>
  </si>
  <si>
    <t>20-corp-07-126</t>
  </si>
  <si>
    <t>20-08-201</t>
  </si>
  <si>
    <t>RFQ-DVO-PR.NO. 2007188 CAT. 52 RADIO COMMUNICATION</t>
  </si>
  <si>
    <t>20R002-03</t>
  </si>
  <si>
    <t>RFQ-206-2020</t>
  </si>
  <si>
    <t>GF 001</t>
  </si>
  <si>
    <t>08-04-04</t>
  </si>
  <si>
    <t>GD-SH-2020-08-0323</t>
  </si>
  <si>
    <t>071-GSB50-CY2020</t>
  </si>
  <si>
    <t>100-2007-483-GF</t>
  </si>
  <si>
    <t>2020-08-4-01</t>
  </si>
  <si>
    <t>2020-429</t>
  </si>
  <si>
    <t>2020-08-469</t>
  </si>
  <si>
    <t>20-0061 (re-bid)</t>
  </si>
  <si>
    <t>08-79-2020</t>
  </si>
  <si>
    <t>ITB 08-020-2020</t>
  </si>
  <si>
    <t>8918-04-2885-20</t>
  </si>
  <si>
    <t>2020-618-07 (02)</t>
  </si>
  <si>
    <t>GSS-AUG-2020-002</t>
  </si>
  <si>
    <t>0282-2020</t>
  </si>
  <si>
    <t>0281-2020</t>
  </si>
  <si>
    <t>20-08-0197</t>
  </si>
  <si>
    <t>nin-shop 1</t>
  </si>
  <si>
    <t>2020-183</t>
  </si>
  <si>
    <t>PIKCOT-SUPP-002020-0165</t>
  </si>
  <si>
    <t>08-04-05</t>
  </si>
  <si>
    <t>2020-84</t>
  </si>
  <si>
    <t>PR No. 2020-0591 (Diaz)</t>
  </si>
  <si>
    <t>009-CSA50-CY2020</t>
  </si>
  <si>
    <t>2020-WP2-001</t>
  </si>
  <si>
    <t>PR NO. 100-8751-20-07-0806</t>
  </si>
  <si>
    <t>0016-20 INFRA</t>
  </si>
  <si>
    <t>20-0062 (re-bid)</t>
  </si>
  <si>
    <t>HMARSEC 2020-07-09</t>
  </si>
  <si>
    <t>B-ITB-29-2020-I</t>
  </si>
  <si>
    <t>145</t>
  </si>
  <si>
    <t>NS-2020-07-0265</t>
  </si>
  <si>
    <t>GF 002</t>
  </si>
  <si>
    <t>LB-SB-2020a</t>
  </si>
  <si>
    <t>IB 2020-58</t>
  </si>
  <si>
    <t>20-0314-08-008</t>
  </si>
  <si>
    <t>6911-04-911-20</t>
  </si>
  <si>
    <t>20-35 goods</t>
  </si>
  <si>
    <t>GSO-20-08-0350</t>
  </si>
  <si>
    <t>142</t>
  </si>
  <si>
    <t>PB-GS-2020-008</t>
  </si>
  <si>
    <t>INF-SFO-13-20</t>
  </si>
  <si>
    <t>20-0314-08-009</t>
  </si>
  <si>
    <t>RFQ-DVO-PR.NO. 2007222 CAT. 47 PLUMBING SUPPLIES A</t>
  </si>
  <si>
    <t>6911-02-1349-20</t>
  </si>
  <si>
    <t>RFQ-2020-37</t>
  </si>
  <si>
    <t>LGU-TAN-GOODS-2020-098</t>
  </si>
  <si>
    <t>IB 2020-59</t>
  </si>
  <si>
    <t>UPR No AAB-MOOE3-2020-15</t>
  </si>
  <si>
    <t>08-04-06</t>
  </si>
  <si>
    <t>RFQ No. 2020-07-047</t>
  </si>
  <si>
    <t>2020-18</t>
  </si>
  <si>
    <t>202008141</t>
  </si>
  <si>
    <t>08-01</t>
  </si>
  <si>
    <t>2020-H15-001</t>
  </si>
  <si>
    <t>08242020-117</t>
  </si>
  <si>
    <t>08242020-116</t>
  </si>
  <si>
    <t>2020-14</t>
  </si>
  <si>
    <t>OUSC 36479</t>
  </si>
  <si>
    <t>HMARSEC 20-07-09</t>
  </si>
  <si>
    <t>2020-G-63</t>
  </si>
  <si>
    <t>PIKCOT-SUPP-002020-0166</t>
  </si>
  <si>
    <t>082511-01</t>
  </si>
  <si>
    <t>PR No. 2020-0812 (Egargo)</t>
  </si>
  <si>
    <t>2020-430</t>
  </si>
  <si>
    <t>2020-07-0526 DRMD</t>
  </si>
  <si>
    <t>20-0063 (re-bid)</t>
  </si>
  <si>
    <t>GDS 20-077</t>
  </si>
  <si>
    <t>20-08-290</t>
  </si>
  <si>
    <t>GLQ-2020-1.2</t>
  </si>
  <si>
    <t>0283-2020</t>
  </si>
  <si>
    <t>GMTNHS-RFQ-2020-008-001</t>
  </si>
  <si>
    <t>PR 20-006</t>
  </si>
  <si>
    <t>028-CSB50-CY2020</t>
  </si>
  <si>
    <t>08042020GOODS</t>
  </si>
  <si>
    <t>GEPS-19-2020</t>
  </si>
  <si>
    <t>SJ20-06</t>
  </si>
  <si>
    <t>2020-08-008</t>
  </si>
  <si>
    <t>20-0314-08-010</t>
  </si>
  <si>
    <t>ATI2020-07-264</t>
  </si>
  <si>
    <t>2020-08-0286</t>
  </si>
  <si>
    <t>PR-2020-07-0391</t>
  </si>
  <si>
    <t>PRDP-PSO-Admin 2020-07-015</t>
  </si>
  <si>
    <t>RFQ 008-055-2020</t>
  </si>
  <si>
    <t>20-0066</t>
  </si>
  <si>
    <t>VNHS-RFQ2020-027</t>
  </si>
  <si>
    <t>RFQ#643-20</t>
  </si>
  <si>
    <t>PIKCOT-02020-0167</t>
  </si>
  <si>
    <t>2020-065</t>
  </si>
  <si>
    <t>PR No. 2020-07-210</t>
  </si>
  <si>
    <t>RFQ-GOODS-2020-016</t>
  </si>
  <si>
    <t>20-0314-08-011</t>
  </si>
  <si>
    <t>2020-CMC-001</t>
  </si>
  <si>
    <t>2020-431</t>
  </si>
  <si>
    <t>6911-02-1144-20</t>
  </si>
  <si>
    <t>1126</t>
  </si>
  <si>
    <t>LGU-TAN-GOODS-2020-099</t>
  </si>
  <si>
    <t>EMAN 2020-008-002</t>
  </si>
  <si>
    <t>20GAC0037</t>
  </si>
  <si>
    <t>6911-13-859-20</t>
  </si>
  <si>
    <t>WOR 20-008</t>
  </si>
  <si>
    <t>2020-08-010</t>
  </si>
  <si>
    <t>20-08-291</t>
  </si>
  <si>
    <t>BAC2020-08-037</t>
  </si>
  <si>
    <t>2008110</t>
  </si>
  <si>
    <t>PIKCOT-SUPP-002020-0168</t>
  </si>
  <si>
    <t>2020-CW-023</t>
  </si>
  <si>
    <t>20-0314-08-012</t>
  </si>
  <si>
    <t>20-08-233</t>
  </si>
  <si>
    <t>2020-07-453</t>
  </si>
  <si>
    <t>2020-214</t>
  </si>
  <si>
    <t>100-1917-20-514</t>
  </si>
  <si>
    <t>202008142</t>
  </si>
  <si>
    <t>PB-GS-2020-009</t>
  </si>
  <si>
    <t>2020-10</t>
  </si>
  <si>
    <t>2020-08-130</t>
  </si>
  <si>
    <t>Contract ID: 20KH0048</t>
  </si>
  <si>
    <t>proc123</t>
  </si>
  <si>
    <t>20-0067</t>
  </si>
  <si>
    <t>2020-08-163</t>
  </si>
  <si>
    <t>088-2020</t>
  </si>
  <si>
    <t>2020-035</t>
  </si>
  <si>
    <t>2020.04.010</t>
  </si>
  <si>
    <t>DAG-2020-08-058</t>
  </si>
  <si>
    <t>Mabuhay 2020-08-002</t>
  </si>
  <si>
    <t>2020-06-035</t>
  </si>
  <si>
    <t>2020 - 04</t>
  </si>
  <si>
    <t>SB-228-C-2020</t>
  </si>
  <si>
    <t>B-ITB-53-G-2020</t>
  </si>
  <si>
    <t>Dawan - 02-20</t>
  </si>
  <si>
    <t>0017-20 INFRA</t>
  </si>
  <si>
    <t>PB-GS-2020-010</t>
  </si>
  <si>
    <t>nin brgy -1</t>
  </si>
  <si>
    <t>164-20-07-113</t>
  </si>
  <si>
    <t>PR NO 2020-07-215</t>
  </si>
  <si>
    <t>PR No. 2020-0813 (Egargo)</t>
  </si>
  <si>
    <t>20-216</t>
  </si>
  <si>
    <t>0554</t>
  </si>
  <si>
    <t>PR#20-08-0472</t>
  </si>
  <si>
    <t>OC-15(GSO-15)20S</t>
  </si>
  <si>
    <t>2020-07-01</t>
  </si>
  <si>
    <t xml:space="preserve">RFQ-DVO-PR.NO. 2006020 CAT. 10 COMPUTER EQUIPMENT </t>
  </si>
  <si>
    <t>2020-58</t>
  </si>
  <si>
    <t>BOC2020-043</t>
  </si>
  <si>
    <t>LIB2020-002</t>
  </si>
  <si>
    <t>202008040003</t>
  </si>
  <si>
    <t>20-217</t>
  </si>
  <si>
    <t>100-2007-530-GF</t>
  </si>
  <si>
    <t>nin brgy -2</t>
  </si>
  <si>
    <t>Flu 2020-08-001</t>
  </si>
  <si>
    <t>ITB No. 2020-15</t>
  </si>
  <si>
    <t>101-8917-2020-06-04</t>
  </si>
  <si>
    <t>6911-02-1047-19</t>
  </si>
  <si>
    <t>2020-08-0281</t>
  </si>
  <si>
    <t>20-0314-08-013</t>
  </si>
  <si>
    <t>182-2020</t>
  </si>
  <si>
    <t>0000189-008-004-2020</t>
  </si>
  <si>
    <t>2020-433</t>
  </si>
  <si>
    <t>Mabuhay 2020-08-003</t>
  </si>
  <si>
    <t>2020 - 05</t>
  </si>
  <si>
    <t>301703-2020-001</t>
  </si>
  <si>
    <t>0003-08-2020</t>
  </si>
  <si>
    <t>20-0314-08-014</t>
  </si>
  <si>
    <t>20-101</t>
  </si>
  <si>
    <t>PR No. 2020-0814 (Cerro)</t>
  </si>
  <si>
    <t>PR#20-08-0470</t>
  </si>
  <si>
    <t>0042-07-2020-A</t>
  </si>
  <si>
    <t>2020-07-01-JHS</t>
  </si>
  <si>
    <t>6911-02-1029-20</t>
  </si>
  <si>
    <t>2020-012</t>
  </si>
  <si>
    <t>PR No. 2020-0817 (Cerro)</t>
  </si>
  <si>
    <t>PR No. 2020-0815 (Cerro)</t>
  </si>
  <si>
    <t>lgu-es-20-08-190</t>
  </si>
  <si>
    <t>RFQ NO. 2020-08-65</t>
  </si>
  <si>
    <t>Brgy. Pa-a 2020 - 09</t>
  </si>
  <si>
    <t>2020-546</t>
  </si>
  <si>
    <t>DA7-2020-08-ILD-SF-20-3029</t>
  </si>
  <si>
    <t>2020-432</t>
  </si>
  <si>
    <t>LGU-TAN-GOODS-2020-100</t>
  </si>
  <si>
    <t>ITB 08-021-2020</t>
  </si>
  <si>
    <t>NS-2020-07-0292</t>
  </si>
  <si>
    <t>DOH-RFQ-2020-TFB-007B</t>
  </si>
  <si>
    <t>2020-0804-2</t>
  </si>
  <si>
    <t>RFQ-20-08009</t>
  </si>
  <si>
    <t>202008143</t>
  </si>
  <si>
    <t>2020-08-060</t>
  </si>
  <si>
    <t>305thco-14179-220AW-106-2020</t>
  </si>
  <si>
    <t>NWD-2020-020</t>
  </si>
  <si>
    <t>2020-08-046</t>
  </si>
  <si>
    <t>ITB GOODS 2020-08-53</t>
  </si>
  <si>
    <t>089-2020</t>
  </si>
  <si>
    <t>202008040004</t>
  </si>
  <si>
    <t>Barangay Pa-a 2020 - 10</t>
  </si>
  <si>
    <t>2020-0119</t>
  </si>
  <si>
    <t>DOH4A-ITB-2020-GS-010</t>
  </si>
  <si>
    <t>PR No 2020-08-224</t>
  </si>
  <si>
    <t>RFQ-Goods-125-2020</t>
  </si>
  <si>
    <t>20-07-039</t>
  </si>
  <si>
    <t>2020-08-012</t>
  </si>
  <si>
    <t>IB 2020-060</t>
  </si>
  <si>
    <t>SLHS-2020-08-002</t>
  </si>
  <si>
    <t>2020-0804-1</t>
  </si>
  <si>
    <t>2020-184</t>
  </si>
  <si>
    <t>2020-08-0023</t>
  </si>
  <si>
    <t>LGU-ALCOY-2020-047</t>
  </si>
  <si>
    <t>101-1101-2020-07-169</t>
  </si>
  <si>
    <t>2020-082-19-1</t>
  </si>
  <si>
    <t>RFQ-2020-231</t>
  </si>
  <si>
    <t>philgeps08042020</t>
  </si>
  <si>
    <t>ITB20OA0078</t>
  </si>
  <si>
    <t>2020-04-502</t>
  </si>
  <si>
    <t>NAA1-2020-005</t>
  </si>
  <si>
    <t>OC-16(GSO-16) 20S</t>
  </si>
  <si>
    <t>2020-0129</t>
  </si>
  <si>
    <t>2020-08-343</t>
  </si>
  <si>
    <t>2020-019</t>
  </si>
  <si>
    <t>UPLB-S-050-08-20</t>
  </si>
  <si>
    <t>DOH-RFQ-2020-TFB-008A</t>
  </si>
  <si>
    <t>2019-05-025</t>
  </si>
  <si>
    <t>2020-082-19-2</t>
  </si>
  <si>
    <t>20-0314-08-015</t>
  </si>
  <si>
    <t>DA7-2020-08-R&amp;DR-20-3033</t>
  </si>
  <si>
    <t>ITB20OA0079</t>
  </si>
  <si>
    <t>PF-0720-786</t>
  </si>
  <si>
    <t>PF-0720-787</t>
  </si>
  <si>
    <t>Goods2020</t>
  </si>
  <si>
    <t>0063-07-2020</t>
  </si>
  <si>
    <t>6746024</t>
  </si>
  <si>
    <t>20200804-31</t>
  </si>
  <si>
    <t>2020-08-0024</t>
  </si>
  <si>
    <t>20200805</t>
  </si>
  <si>
    <t>2020-07-02</t>
  </si>
  <si>
    <t>2020-07-0527 DRMD</t>
  </si>
  <si>
    <t>183-2020</t>
  </si>
  <si>
    <t>06752020</t>
  </si>
  <si>
    <t>PR2020-08-04-105</t>
  </si>
  <si>
    <t>RFQ-2020-04</t>
  </si>
  <si>
    <t>2020-08-0025</t>
  </si>
  <si>
    <t>20-0314-08-016</t>
  </si>
  <si>
    <t>2020-804-1</t>
  </si>
  <si>
    <t>ITB20OA0080</t>
  </si>
  <si>
    <t>080420-81</t>
  </si>
  <si>
    <t>SKVALENZUELA-004</t>
  </si>
  <si>
    <t>2020-08-0026</t>
  </si>
  <si>
    <t>2020-082-19-3</t>
  </si>
  <si>
    <t>2020-08-0027</t>
  </si>
  <si>
    <t>PF-0720-747</t>
  </si>
  <si>
    <t>2020-08</t>
  </si>
  <si>
    <t>2020-06-101</t>
  </si>
  <si>
    <t>2020-185</t>
  </si>
  <si>
    <t>2020-082-19-4</t>
  </si>
  <si>
    <t>2020-08-0028</t>
  </si>
  <si>
    <t>2020-07-0525 DRMD</t>
  </si>
  <si>
    <t>004-2020</t>
  </si>
  <si>
    <t>PR2020-479</t>
  </si>
  <si>
    <t>BD-2020-07-007</t>
  </si>
  <si>
    <t>Brgy Lubi</t>
  </si>
  <si>
    <t>PF-0720-746</t>
  </si>
  <si>
    <t>2020-08-0029</t>
  </si>
  <si>
    <t>RFQ 2020-0046</t>
  </si>
  <si>
    <t>2020-07-016</t>
  </si>
  <si>
    <t>2020-08-004</t>
  </si>
  <si>
    <t>2020-186</t>
  </si>
  <si>
    <t>WOR 20-011</t>
  </si>
  <si>
    <t>HMARSEC 20-07-10</t>
  </si>
  <si>
    <t>TALW-07-001-2020</t>
  </si>
  <si>
    <t>005-2020</t>
  </si>
  <si>
    <t>2020-462</t>
  </si>
  <si>
    <t>2020-124</t>
  </si>
  <si>
    <t>2020-08-0032</t>
  </si>
  <si>
    <t>2020-08-0031</t>
  </si>
  <si>
    <t>006-2020</t>
  </si>
  <si>
    <t>2020-08-164</t>
  </si>
  <si>
    <t>RFQ-Goods-126</t>
  </si>
  <si>
    <t>04-2020 (Brgy. San Miguel)(REBID)</t>
  </si>
  <si>
    <t>RFQ 2020-0047</t>
  </si>
  <si>
    <t>GOODS-NP-2020-113</t>
  </si>
  <si>
    <t>Goods2020-046</t>
  </si>
  <si>
    <t>ITB No. 2020-29</t>
  </si>
  <si>
    <t>101-1101-2020-07-187</t>
  </si>
  <si>
    <t>2020-08-0030</t>
  </si>
  <si>
    <t>2020-082-19-5</t>
  </si>
  <si>
    <t>2020-Barangay San Roque-004</t>
  </si>
  <si>
    <t>20-06-0711</t>
  </si>
  <si>
    <t>2020-010</t>
  </si>
  <si>
    <t>2020-039</t>
  </si>
  <si>
    <t>045</t>
  </si>
  <si>
    <t>PR2020-500</t>
  </si>
  <si>
    <t>20-08-0198</t>
  </si>
  <si>
    <t>101-8751-2020-06-172</t>
  </si>
  <si>
    <t>2020-07-440</t>
  </si>
  <si>
    <t>REOI No. EMB-EEID-CONSULTANCY-096 7-29-2020 P.R. N</t>
  </si>
  <si>
    <t>SKVALENZUELA-005</t>
  </si>
  <si>
    <t>QSU-BAC-H-09-2020</t>
  </si>
  <si>
    <t>2020-08-047</t>
  </si>
  <si>
    <t>RFQ-Goods-127-2020</t>
  </si>
  <si>
    <t>20200804-2</t>
  </si>
  <si>
    <t>2020-547</t>
  </si>
  <si>
    <t>007-2020</t>
  </si>
  <si>
    <t>05-2020 (Brgy. San Miguel)(REBID)</t>
  </si>
  <si>
    <t>0001-08-2020</t>
  </si>
  <si>
    <t>2020bid002</t>
  </si>
  <si>
    <t>GOODS 2020-259(SVP)</t>
  </si>
  <si>
    <t>2020-08-4A</t>
  </si>
  <si>
    <t>20-0314-08-017</t>
  </si>
  <si>
    <t>8-4-20</t>
  </si>
  <si>
    <t>QSU-BAC-H-12-2020 07D TESDA &amp; DA-BAR Vermi</t>
  </si>
  <si>
    <t>07302020c290</t>
  </si>
  <si>
    <t>RFQ-Goods-128-2020</t>
  </si>
  <si>
    <t>Cablong-2020-002</t>
  </si>
  <si>
    <t>20200804-1</t>
  </si>
  <si>
    <t>cgb2020-309</t>
  </si>
  <si>
    <t>RFQ NO. EMB-PAB-SHOPPING-G-098-8-4-2020 – 2nd Post</t>
  </si>
  <si>
    <t>2020-07-147</t>
  </si>
  <si>
    <t>20-08-033-052</t>
  </si>
  <si>
    <t>GOODS 2020-258(SVP)</t>
  </si>
  <si>
    <t>2020-103</t>
  </si>
  <si>
    <t>23-2020</t>
  </si>
  <si>
    <t>PRDP-PSO-Admin 2020-07-017</t>
  </si>
  <si>
    <t>DA3-2020-7-7-85</t>
  </si>
  <si>
    <t>100-20-07-0254 (LOT 2)</t>
  </si>
  <si>
    <t>08-04-2020-308</t>
  </si>
  <si>
    <t>RFQ-2020-081</t>
  </si>
  <si>
    <t>Bid No.2020-030</t>
  </si>
  <si>
    <t>cgb2020-310</t>
  </si>
  <si>
    <t>2020-07-448</t>
  </si>
  <si>
    <t>2020-549</t>
  </si>
  <si>
    <t>epslingayen2020-84</t>
  </si>
  <si>
    <t>sal-2020-002</t>
  </si>
  <si>
    <t>RFQ-Goods-129-2020</t>
  </si>
  <si>
    <t>154.2020</t>
  </si>
  <si>
    <t>GOODS 2020-257(SVP)</t>
  </si>
  <si>
    <t>21</t>
  </si>
  <si>
    <t>PF-0720-771</t>
  </si>
  <si>
    <t>SVP 2020-039</t>
  </si>
  <si>
    <t>2020-459</t>
  </si>
  <si>
    <t>200(01)20-07-004(F)</t>
  </si>
  <si>
    <t>1981</t>
  </si>
  <si>
    <t>100-20-08-92</t>
  </si>
  <si>
    <t>2020-GOODS-343</t>
  </si>
  <si>
    <t>2020-07-148</t>
  </si>
  <si>
    <t>TF-20-07-436(O)</t>
  </si>
  <si>
    <t>SUBM#2020-08-08</t>
  </si>
  <si>
    <t>Bid No. 2020-031</t>
  </si>
  <si>
    <t>RFQ-DVO-PR.NO. 2006283 CAT. 44 OFFICE SUPPLIES AND</t>
  </si>
  <si>
    <t>PF-0720-733</t>
  </si>
  <si>
    <t>DTI8.REGRO.20-08106</t>
  </si>
  <si>
    <t>PR# 20-021</t>
  </si>
  <si>
    <t>RFQ-DVO-PR.NO. 2007237 CAT. 19 ELECTRICAL EQUIPMEN</t>
  </si>
  <si>
    <t>PF-0720-780</t>
  </si>
  <si>
    <t>995</t>
  </si>
  <si>
    <t>2020-07-0024</t>
  </si>
  <si>
    <t>2020-548</t>
  </si>
  <si>
    <t>BARANGAY TUGUIPA 1</t>
  </si>
  <si>
    <t>Bid No. 2020-032</t>
  </si>
  <si>
    <t>2020-GOODS-345</t>
  </si>
  <si>
    <t>NS-08-05-20-01</t>
  </si>
  <si>
    <t>ibaan-2020-126</t>
  </si>
  <si>
    <t>Goods2020-047</t>
  </si>
  <si>
    <t>RFQ-DVO-PR.NO. 2006361 CAT. 52 RADIO COMMUNICATION</t>
  </si>
  <si>
    <t>20-218</t>
  </si>
  <si>
    <t>PR #00818</t>
  </si>
  <si>
    <t>100200701073</t>
  </si>
  <si>
    <t>DA7-2020-08-R&amp;DR-20-3038</t>
  </si>
  <si>
    <t>090-2020</t>
  </si>
  <si>
    <t>2020-07-0005</t>
  </si>
  <si>
    <t>200(01)20-07-003(F)</t>
  </si>
  <si>
    <t>042</t>
  </si>
  <si>
    <t>200(01)20-07-036(P)</t>
  </si>
  <si>
    <t>2020-07-153</t>
  </si>
  <si>
    <t>GOODS 2020-260(SVP)</t>
  </si>
  <si>
    <t>200(01)20-07-009(AD)</t>
  </si>
  <si>
    <t>TSSD-2020-08-117</t>
  </si>
  <si>
    <t>2020-07-452</t>
  </si>
  <si>
    <t>V3-20-1620</t>
  </si>
  <si>
    <t>PF-0720-742</t>
  </si>
  <si>
    <t>2020-550</t>
  </si>
  <si>
    <t>040720-045</t>
  </si>
  <si>
    <t>ITB 08-022-2020</t>
  </si>
  <si>
    <t>Kapalong2020142</t>
  </si>
  <si>
    <t>08042020</t>
  </si>
  <si>
    <t>LunaLU 2020-08-044</t>
  </si>
  <si>
    <t>24-2020</t>
  </si>
  <si>
    <t>20-150</t>
  </si>
  <si>
    <t>2020-GOODS-344</t>
  </si>
  <si>
    <t>2020104</t>
  </si>
  <si>
    <t>PB-GS-2020-011</t>
  </si>
  <si>
    <t>2020-03-122</t>
  </si>
  <si>
    <t>RFQ-DVO-PR.NO. 2007217 CAT. 60 TIRES, BATTERIES AN</t>
  </si>
  <si>
    <t>PR#20-07-045</t>
  </si>
  <si>
    <t>200(01)20-07-006(F)</t>
  </si>
  <si>
    <t>BAC-08-1098</t>
  </si>
  <si>
    <t>BAC-08-1099</t>
  </si>
  <si>
    <t>SVP 2020-171</t>
  </si>
  <si>
    <t>2020-02-126</t>
  </si>
  <si>
    <t>ITB20200801</t>
  </si>
  <si>
    <t>LAMISCA IMO 08-04-2020 RFQ TAKAY</t>
  </si>
  <si>
    <t>PF-0720-769</t>
  </si>
  <si>
    <t>043</t>
  </si>
  <si>
    <t>200(01)20-07-005(F)</t>
  </si>
  <si>
    <t>2020-1679</t>
  </si>
  <si>
    <t>Bidding-01-August2020</t>
  </si>
  <si>
    <t>20-0314-08-018</t>
  </si>
  <si>
    <t>100(01)20-07-082(M)</t>
  </si>
  <si>
    <t>LAMISCA IMO 08-04-2020 RFQ</t>
  </si>
  <si>
    <t>200(01)20-07-008(AD)</t>
  </si>
  <si>
    <t>07-00985</t>
  </si>
  <si>
    <t>2020-551</t>
  </si>
  <si>
    <t>20GGF0023</t>
  </si>
  <si>
    <t>A2-2020-0778</t>
  </si>
  <si>
    <t>080420-H01</t>
  </si>
  <si>
    <t>PRO2 BAC 2020-0801</t>
  </si>
  <si>
    <t>RFQ NO. EMB-EMB-PGSS 103-08-04-2020- PR NO.2020-04</t>
  </si>
  <si>
    <t>PR2020-07-0007</t>
  </si>
  <si>
    <t>202008040005</t>
  </si>
  <si>
    <t>2020-07-13-0141</t>
  </si>
  <si>
    <t>RFQ-DVO-PR.NO. 2007290 CAT. 87 OXYGEN AND ACETYLEN</t>
  </si>
  <si>
    <t>PF-0720-777</t>
  </si>
  <si>
    <t>200(01)20-07-077(M)</t>
  </si>
  <si>
    <t>080420-B1</t>
  </si>
  <si>
    <t>2020-13</t>
  </si>
  <si>
    <t>RFQ 659</t>
  </si>
  <si>
    <t>PR #00819</t>
  </si>
  <si>
    <t>NWD-2020-021</t>
  </si>
  <si>
    <t>20-07-0718</t>
  </si>
  <si>
    <t>200(01)20-07-078(M)</t>
  </si>
  <si>
    <t>100200701074</t>
  </si>
  <si>
    <t>200(01)20-07-067(M)</t>
  </si>
  <si>
    <t>2020-07-181</t>
  </si>
  <si>
    <t>PF-0720-767</t>
  </si>
  <si>
    <t>080420-B2</t>
  </si>
  <si>
    <t>20-0314-08-019</t>
  </si>
  <si>
    <t>202008040006</t>
  </si>
  <si>
    <t>gsis/luc ampe 2020</t>
  </si>
  <si>
    <t>Barangay Canhawan Gote-003-2020</t>
  </si>
  <si>
    <t>2020-08-0158</t>
  </si>
  <si>
    <t>Bidding-02-August2020</t>
  </si>
  <si>
    <t>rfq 2020-08-01</t>
  </si>
  <si>
    <t>SJ-20-210</t>
  </si>
  <si>
    <t>GOODS 2020-261(SVP)</t>
  </si>
  <si>
    <t>PR 2020-07-046</t>
  </si>
  <si>
    <t>2020-08-043</t>
  </si>
  <si>
    <t>200(01)20-07-072(M)</t>
  </si>
  <si>
    <t>2020-552</t>
  </si>
  <si>
    <t>PR-2020-009</t>
  </si>
  <si>
    <t>ITDI-200545</t>
  </si>
  <si>
    <t>20-0314-08-020</t>
  </si>
  <si>
    <t>PF-0720-737</t>
  </si>
  <si>
    <t>300(01)20-07-068(M)</t>
  </si>
  <si>
    <t>G2020-08-001E</t>
  </si>
  <si>
    <t>2020-02-127</t>
  </si>
  <si>
    <t>2020-530</t>
  </si>
  <si>
    <t>086-20</t>
  </si>
  <si>
    <t>ATI2020-07-265</t>
  </si>
  <si>
    <t>100-1011-2020-511</t>
  </si>
  <si>
    <t>08-2020</t>
  </si>
  <si>
    <t>RFQ#200-2020</t>
  </si>
  <si>
    <t>NAA1-2020-006</t>
  </si>
  <si>
    <t>2020-101-073</t>
  </si>
  <si>
    <t>PF-0720-736</t>
  </si>
  <si>
    <t>2020-08-</t>
  </si>
  <si>
    <t>2020-015</t>
  </si>
  <si>
    <t>NIFSL4-0820-064</t>
  </si>
  <si>
    <t>300(01)20-07-120(Q)</t>
  </si>
  <si>
    <t>155.2020</t>
  </si>
  <si>
    <t>PR NO. 2020-163</t>
  </si>
  <si>
    <t>SVP GOODS 2020-19</t>
  </si>
  <si>
    <t>002</t>
  </si>
  <si>
    <t>RFQ-DVO-PR.NO. 2004162 CAT. 80 FUEL, OIL, LUBRICAN</t>
  </si>
  <si>
    <t>Barangay Canhawan Gote-004-2020</t>
  </si>
  <si>
    <t>20-07-0731</t>
  </si>
  <si>
    <t>A2-2020-0742</t>
  </si>
  <si>
    <t>RFQ 658</t>
  </si>
  <si>
    <t>Goods-2020-184</t>
  </si>
  <si>
    <t>080420-B3</t>
  </si>
  <si>
    <t>ITB GOODS 2020-08-54</t>
  </si>
  <si>
    <t>B-ITB-51-2020</t>
  </si>
  <si>
    <t>PRDP-PSO-Admin 2020-07-016</t>
  </si>
  <si>
    <t>A2-2020-0737</t>
  </si>
  <si>
    <t>01-2020</t>
  </si>
  <si>
    <t>200(01)20-07-443(A)</t>
  </si>
  <si>
    <t>100(01)20-07-428(A)</t>
  </si>
  <si>
    <t>P. R. No. 2020-0580</t>
  </si>
  <si>
    <t>08-016-503-20</t>
  </si>
  <si>
    <t>2020-08-003SHS</t>
  </si>
  <si>
    <t>0002-08-2020</t>
  </si>
  <si>
    <t>061620-02</t>
  </si>
  <si>
    <t>20FH0100</t>
  </si>
  <si>
    <t>100(01)20-07-426(A)</t>
  </si>
  <si>
    <t>100-1011-20-512</t>
  </si>
  <si>
    <t>AMP 2020-014</t>
  </si>
  <si>
    <t>SRWD-GOODS-SVP-14-2020</t>
  </si>
  <si>
    <t>H-2020-08-01</t>
  </si>
  <si>
    <t>2020-0077</t>
  </si>
  <si>
    <t>3918-03-543-19 2019 DF</t>
  </si>
  <si>
    <t>091-2020</t>
  </si>
  <si>
    <t>2020-0079</t>
  </si>
  <si>
    <t>ITB-20-08001</t>
  </si>
  <si>
    <t>20-001</t>
  </si>
  <si>
    <t>2020- 07-1116</t>
  </si>
  <si>
    <t>2020-07-0120</t>
  </si>
  <si>
    <t>RFQ-DVO-PR.NO. 2001586 CAT. OFFICE SUPPLIES AND MA</t>
  </si>
  <si>
    <t>20-07-0738</t>
  </si>
  <si>
    <t>S-0238</t>
  </si>
  <si>
    <t>FMASH-NAF-08-20</t>
  </si>
  <si>
    <t>6911-01-1453-19 / LDRRM</t>
  </si>
  <si>
    <t>2020-062-G</t>
  </si>
  <si>
    <t>PG-RFQ-2020-12</t>
  </si>
  <si>
    <t>B-ITB-50-G-2020</t>
  </si>
  <si>
    <t>NIFSL4-0820-063</t>
  </si>
  <si>
    <t>080420-H02</t>
  </si>
  <si>
    <t>2020-07-432</t>
  </si>
  <si>
    <t>8-4-2020</t>
  </si>
  <si>
    <t>300(01)20-07-441(O)</t>
  </si>
  <si>
    <t>SVP-2020-08-155</t>
  </si>
  <si>
    <t>RFQ No. 20-08-002</t>
  </si>
  <si>
    <t>GEPS – 2020 – 76</t>
  </si>
  <si>
    <t>300(01)20-07-073(M)</t>
  </si>
  <si>
    <t>6911-02-934-19</t>
  </si>
  <si>
    <t>LGU-BALINGASAG-9005-20-086</t>
  </si>
  <si>
    <t>B-ITB-52-2020</t>
  </si>
  <si>
    <t>2020-7-01</t>
  </si>
  <si>
    <t>20-0314-08-021</t>
  </si>
  <si>
    <t>2020-0002</t>
  </si>
  <si>
    <t>2020-0078</t>
  </si>
  <si>
    <t>20GME0060(Re-bid)</t>
  </si>
  <si>
    <t>SUBM#2020 -08 - 07</t>
  </si>
  <si>
    <t>20GME0044(Re-bid)</t>
  </si>
  <si>
    <t>2020-07-434</t>
  </si>
  <si>
    <t>200(01)20-07-079(M)</t>
  </si>
  <si>
    <t>044-20</t>
  </si>
  <si>
    <t>102CO-2020-261</t>
  </si>
  <si>
    <t>P. R. No. 2020-0576</t>
  </si>
  <si>
    <t>20FH0096</t>
  </si>
  <si>
    <t>GEPS – 2020 – 77</t>
  </si>
  <si>
    <t>2020-0127</t>
  </si>
  <si>
    <t>8918-03-3424-19</t>
  </si>
  <si>
    <t>GEPS – 2020 – 78</t>
  </si>
  <si>
    <t>PR#93</t>
  </si>
  <si>
    <t>QSU-BAC-H-08-2020 07D DA-BAR Vermi</t>
  </si>
  <si>
    <t>UPLB-S-030-08-20 REBID</t>
  </si>
  <si>
    <t>20-07-0745</t>
  </si>
  <si>
    <t>25020-0126</t>
  </si>
  <si>
    <t>2020-0128</t>
  </si>
  <si>
    <t>2020-02-128</t>
  </si>
  <si>
    <t>045-20</t>
  </si>
  <si>
    <t>20GME0065</t>
  </si>
  <si>
    <t>20-0314-08-022</t>
  </si>
  <si>
    <t>PG-Shopping- 059-2020</t>
  </si>
  <si>
    <t>200(01)20-07-074(M)</t>
  </si>
  <si>
    <t>200(01)20-07-075(M)</t>
  </si>
  <si>
    <t>2020-0232</t>
  </si>
  <si>
    <t>2020-07-435</t>
  </si>
  <si>
    <t>20GME0064</t>
  </si>
  <si>
    <t>2020-08-528</t>
  </si>
  <si>
    <t>N126-2020</t>
  </si>
  <si>
    <t>2020-07-436</t>
  </si>
  <si>
    <t>RFQ-23-20</t>
  </si>
  <si>
    <t>20-644</t>
  </si>
  <si>
    <t>PG-RFQ-2020-16</t>
  </si>
  <si>
    <t>BWD-2020-10</t>
  </si>
  <si>
    <t>20-06-0074</t>
  </si>
  <si>
    <t>PNU MIN - GD 2020-08-06</t>
  </si>
  <si>
    <t>20-07-920</t>
  </si>
  <si>
    <t>080420-H03</t>
  </si>
  <si>
    <t>2020-0125</t>
  </si>
  <si>
    <t>RFQ No.06-0414-20 NSTP</t>
  </si>
  <si>
    <t>RSQ 01-2020-08-044</t>
  </si>
  <si>
    <t>20GGJ0058</t>
  </si>
  <si>
    <t>20-07-0746</t>
  </si>
  <si>
    <t>RFQ No. 2020-SVP-023 (RE-POSTING)</t>
  </si>
  <si>
    <t>BIDDING20-30</t>
  </si>
  <si>
    <t>2020-07-0002</t>
  </si>
  <si>
    <t>ITB 20-094</t>
  </si>
  <si>
    <t>2020-1746</t>
  </si>
  <si>
    <t>2020-08-0854 TDG</t>
  </si>
  <si>
    <t>20-07-000078</t>
  </si>
  <si>
    <t>2020-PLA-081</t>
  </si>
  <si>
    <t>20200124</t>
  </si>
  <si>
    <t>20-08-105</t>
  </si>
  <si>
    <t>BS20-07-0782/0783</t>
  </si>
  <si>
    <t>PR No. 137</t>
  </si>
  <si>
    <t>20GME0066</t>
  </si>
  <si>
    <t>8003032020</t>
  </si>
  <si>
    <t>SJ-20-211</t>
  </si>
  <si>
    <t>G2020-08-002E</t>
  </si>
  <si>
    <t>CGS-2020-0216</t>
  </si>
  <si>
    <t>2020-07</t>
  </si>
  <si>
    <t>GOODS#0150, ITB#0153,  PR#0428: SCG-2020</t>
  </si>
  <si>
    <t>20-07-3170</t>
  </si>
  <si>
    <t>2020-13-039-INFRA</t>
  </si>
  <si>
    <t>300(01)20-07-448(O)</t>
  </si>
  <si>
    <t>PG-RFQ-2020-05</t>
  </si>
  <si>
    <t>RFQ-2020-08-061</t>
  </si>
  <si>
    <t>ppn-142-2020</t>
  </si>
  <si>
    <t>2020-07-200</t>
  </si>
  <si>
    <t>PR-2007-798</t>
  </si>
  <si>
    <t>20-0314-08-023</t>
  </si>
  <si>
    <t>RFQ-0803 #3 SM-493</t>
  </si>
  <si>
    <t>S00326-2020</t>
  </si>
  <si>
    <t>20-07-0747</t>
  </si>
  <si>
    <t>2020-029</t>
  </si>
  <si>
    <t>SN20-07-780</t>
  </si>
  <si>
    <t>GEPS 2020-06</t>
  </si>
  <si>
    <t>2020-568</t>
  </si>
  <si>
    <t>PR-# 2007-814</t>
  </si>
  <si>
    <t>PR NO. 100-8751-20-07-0804</t>
  </si>
  <si>
    <t>PG-RFQ-2020-06</t>
  </si>
  <si>
    <t>B16-19</t>
  </si>
  <si>
    <t>BS20-07-0778</t>
  </si>
  <si>
    <t>2020-08-03-01</t>
  </si>
  <si>
    <t>2020-08-196</t>
  </si>
  <si>
    <t>2020-803-1</t>
  </si>
  <si>
    <t>RB2020-08-252</t>
  </si>
  <si>
    <t>BS20-07-0787</t>
  </si>
  <si>
    <t>2020-13-040-INFRA</t>
  </si>
  <si>
    <t>CGT- Goods- 2020-00133</t>
  </si>
  <si>
    <t>2020-366</t>
  </si>
  <si>
    <t>19-07-233-B</t>
  </si>
  <si>
    <t>2020-08-027-MEO</t>
  </si>
  <si>
    <t>20-08-01</t>
  </si>
  <si>
    <t>2020-08-117</t>
  </si>
  <si>
    <t>2020-AMP-081</t>
  </si>
  <si>
    <t>HCC2020017</t>
  </si>
  <si>
    <t>20-07-0751 CDRRMO</t>
  </si>
  <si>
    <t>CGT- Goods- 2020-00134</t>
  </si>
  <si>
    <t>GOODS-OS--2020</t>
  </si>
  <si>
    <t>ESP-GOODS-017-2020</t>
  </si>
  <si>
    <t>2020-08-098</t>
  </si>
  <si>
    <t>08032020</t>
  </si>
  <si>
    <t>INFRA-2020-027</t>
  </si>
  <si>
    <t>80-20-01-006</t>
  </si>
  <si>
    <t>2020-472</t>
  </si>
  <si>
    <t>8003042020</t>
  </si>
  <si>
    <t>2020-08-004-NP-INFRA</t>
  </si>
  <si>
    <t>PG-RFQ-2020-20</t>
  </si>
  <si>
    <t>G-2020-021</t>
  </si>
  <si>
    <t>2020-08-028-MEO</t>
  </si>
  <si>
    <t>2020-01-029-MEO</t>
  </si>
  <si>
    <t>2020-08-099</t>
  </si>
  <si>
    <t>ITB NO: SFZ-INFRA 2020-007</t>
  </si>
  <si>
    <t>P-0827</t>
  </si>
  <si>
    <t>LGU-BLU-20-08-060</t>
  </si>
  <si>
    <t>PR-2020-1480</t>
  </si>
  <si>
    <t>MLY1902104092-2N-2020-367</t>
  </si>
  <si>
    <t>2020-08-021 Purchase of Well-Milled Rice</t>
  </si>
  <si>
    <t>Request for Quotation RIS# 20-34-021</t>
  </si>
  <si>
    <t>2020-544</t>
  </si>
  <si>
    <t>ppn-146-2020</t>
  </si>
  <si>
    <t>LLFC-CAP-2020-004</t>
  </si>
  <si>
    <t>8003052020</t>
  </si>
  <si>
    <t>04-AUGUST- 2020- GOODS- REFRESHMENT/EATERY</t>
  </si>
  <si>
    <t>2020-07-0043</t>
  </si>
  <si>
    <t>2020-559</t>
  </si>
  <si>
    <t>2020-08-005</t>
  </si>
  <si>
    <t>PR-2020-0665</t>
  </si>
  <si>
    <t>20GIE0022 (RFQ No. 20-06-022)</t>
  </si>
  <si>
    <t>REF #050-08-2020</t>
  </si>
  <si>
    <t>20-08-106</t>
  </si>
  <si>
    <t>RFQ NO. EMB-EQD-SHOPPING-G-0101-8-03-2020  2020-07</t>
  </si>
  <si>
    <t>100-20-07-0812</t>
  </si>
  <si>
    <t>2020-344</t>
  </si>
  <si>
    <t>LTO-SU-20-070</t>
  </si>
  <si>
    <t>1LBMS-NAF-01-20</t>
  </si>
  <si>
    <t>2020-08-194</t>
  </si>
  <si>
    <t>2020-01-030-MEO</t>
  </si>
  <si>
    <t>Request for Quotation RIS# 20-92-029</t>
  </si>
  <si>
    <t>2020-212</t>
  </si>
  <si>
    <t>20-07-0018</t>
  </si>
  <si>
    <t>20-07-0019</t>
  </si>
  <si>
    <t>2020-07-1803</t>
  </si>
  <si>
    <t>2020-018</t>
  </si>
  <si>
    <t>BACGBtn-Q-2008-1014</t>
  </si>
  <si>
    <t>07-20-20-I06</t>
  </si>
  <si>
    <t>PR-2008-860</t>
  </si>
  <si>
    <t>20-08-SO154</t>
  </si>
  <si>
    <t>Mkna-GSO-20-330</t>
  </si>
  <si>
    <t>INIMO-S20-07-009</t>
  </si>
  <si>
    <t>PNU2020-0072</t>
  </si>
  <si>
    <t>2020-442</t>
  </si>
  <si>
    <t>2020-545</t>
  </si>
  <si>
    <t>200(01)20-07-121(Q)</t>
  </si>
  <si>
    <t>BAC-53-20</t>
  </si>
  <si>
    <t>PG-RFQ-2020-22</t>
  </si>
  <si>
    <t>2020-358</t>
  </si>
  <si>
    <t>CGT- Goods- 2020-00136</t>
  </si>
  <si>
    <t>100-20-07-0800</t>
  </si>
  <si>
    <t>BAC-86-20</t>
  </si>
  <si>
    <t>BAC2020-07-44-29</t>
  </si>
  <si>
    <t>8003062020</t>
  </si>
  <si>
    <t>CA-20-08-67</t>
  </si>
  <si>
    <t>ppn-143-2020</t>
  </si>
  <si>
    <t>MLY1902104092-1N-2020351</t>
  </si>
  <si>
    <t>SJ-20-206</t>
  </si>
  <si>
    <t>P.R. No. 20-07-201</t>
  </si>
  <si>
    <t>PB2020-07-117</t>
  </si>
  <si>
    <t>2020-08-002PB</t>
  </si>
  <si>
    <t>CGS-2020-0219</t>
  </si>
  <si>
    <t>2020-07-1235</t>
  </si>
  <si>
    <t>PR NO. 009-07-20</t>
  </si>
  <si>
    <t>NS 1406-20</t>
  </si>
  <si>
    <t>MLY1902104092-1N-2020356</t>
  </si>
  <si>
    <t>2020-07-00548</t>
  </si>
  <si>
    <t>VMC-2020-079</t>
  </si>
  <si>
    <t>ppn-144-2020</t>
  </si>
  <si>
    <t>04-AUGUST- 2020- GOODS- DRESSMAKING</t>
  </si>
  <si>
    <t>DBM-2020-0120</t>
  </si>
  <si>
    <t>Request for Quotation RIS# 20-85-016</t>
  </si>
  <si>
    <t>20-07-0750 CEEDO</t>
  </si>
  <si>
    <t>DBM-2020-0121</t>
  </si>
  <si>
    <t>2020-07-RFQ01</t>
  </si>
  <si>
    <t>CGT- Goods- 2020-00137</t>
  </si>
  <si>
    <t>LSPUSinC-2020-032A</t>
  </si>
  <si>
    <t>S-260-2020</t>
  </si>
  <si>
    <t>RFQ No. 20-0708 NP-SV</t>
  </si>
  <si>
    <t>LTO-SU-20-071</t>
  </si>
  <si>
    <t>no.20-01</t>
  </si>
  <si>
    <t>20GGL0007</t>
  </si>
  <si>
    <t>20PC0062</t>
  </si>
  <si>
    <t>Deped2020-08-027</t>
  </si>
  <si>
    <t>BAC-45-20</t>
  </si>
  <si>
    <t>BAC2020-07-44-30</t>
  </si>
  <si>
    <t>080320202</t>
  </si>
  <si>
    <t>07-04-20</t>
  </si>
  <si>
    <t>2020-0231</t>
  </si>
  <si>
    <t>2020-519</t>
  </si>
  <si>
    <t>06-44-20</t>
  </si>
  <si>
    <t>PSU-GOODS-2020-13</t>
  </si>
  <si>
    <t>CA-BAC-PB-2020-08-01</t>
  </si>
  <si>
    <t>RFQ 2020-07-069</t>
  </si>
  <si>
    <t>20-08-058</t>
  </si>
  <si>
    <t>SJ-20-207</t>
  </si>
  <si>
    <t>N-602-2020</t>
  </si>
  <si>
    <t>03</t>
  </si>
  <si>
    <t>2020-038</t>
  </si>
  <si>
    <t>RFQ geps 15-2020</t>
  </si>
  <si>
    <t>CGS-2020-0218</t>
  </si>
  <si>
    <t>PRS#8887</t>
  </si>
  <si>
    <t>2020-AP-08-35</t>
  </si>
  <si>
    <t>04-AUGUST- 2020- GOODS- VULCANIZING SERVICES &amp; MOT</t>
  </si>
  <si>
    <t>N-605-2020</t>
  </si>
  <si>
    <t>LTO-SU-20-072</t>
  </si>
  <si>
    <t>PR NO. 100-8751-20-07-0805</t>
  </si>
  <si>
    <t>2020-037</t>
  </si>
  <si>
    <t>20-14 RFQ</t>
  </si>
  <si>
    <t>2020-08-385-08</t>
  </si>
  <si>
    <t>2020-540</t>
  </si>
  <si>
    <t>BAC2020-07-44-31</t>
  </si>
  <si>
    <t>101-20-07-181</t>
  </si>
  <si>
    <t>rfq-2020-32</t>
  </si>
  <si>
    <t>SN20-07-818</t>
  </si>
  <si>
    <t>080320201</t>
  </si>
  <si>
    <t>GOODS-2020-08-15</t>
  </si>
  <si>
    <t>07-20</t>
  </si>
  <si>
    <t>Request for Quotation RIS# 20-79-019</t>
  </si>
  <si>
    <t>2020-343</t>
  </si>
  <si>
    <t>PSU-GOODS-2020-12</t>
  </si>
  <si>
    <t>G-2020-022</t>
  </si>
  <si>
    <t>BAC-61-20</t>
  </si>
  <si>
    <t>20CN0163</t>
  </si>
  <si>
    <t>2020-33</t>
  </si>
  <si>
    <t>20GNE0044</t>
  </si>
  <si>
    <t>PR-802</t>
  </si>
  <si>
    <t>054-20</t>
  </si>
  <si>
    <t>ppn-145-2020</t>
  </si>
  <si>
    <t>06-32-20</t>
  </si>
  <si>
    <t>20AC0115</t>
  </si>
  <si>
    <t>04</t>
  </si>
  <si>
    <t>gsis/npsvp-248-20</t>
  </si>
  <si>
    <t>HCC2020018</t>
  </si>
  <si>
    <t>CGS-2020-0217</t>
  </si>
  <si>
    <t>NS 1400-20</t>
  </si>
  <si>
    <t>PG-RFQ-2020-21</t>
  </si>
  <si>
    <t>PSU-GOODS-2020-14</t>
  </si>
  <si>
    <t>2020-07-526/527</t>
  </si>
  <si>
    <t>2020-032</t>
  </si>
  <si>
    <t>2020-07-1801</t>
  </si>
  <si>
    <t>NS 1396-20</t>
  </si>
  <si>
    <t>PR NO. 2020-08-023</t>
  </si>
  <si>
    <t>GOODS-2020-63-2ND</t>
  </si>
  <si>
    <t>BASAG 2020-002</t>
  </si>
  <si>
    <t>06-31-20</t>
  </si>
  <si>
    <t>SRWD-GOODS-SVP-13-2020</t>
  </si>
  <si>
    <t>06-33-20</t>
  </si>
  <si>
    <t>CGS-2020-0220</t>
  </si>
  <si>
    <t>twd 2020-005</t>
  </si>
  <si>
    <t>2020-08-0449</t>
  </si>
  <si>
    <t>RFQ No. 2020-07-043</t>
  </si>
  <si>
    <t>20-07-0748 MTCC</t>
  </si>
  <si>
    <t>100-20-06-0630</t>
  </si>
  <si>
    <t>2020-017</t>
  </si>
  <si>
    <t>08-03-2020-298</t>
  </si>
  <si>
    <t>2020-01 GNHS</t>
  </si>
  <si>
    <t>MALAMA 2020-004</t>
  </si>
  <si>
    <t>20200803-58</t>
  </si>
  <si>
    <t>20GGL0009</t>
  </si>
  <si>
    <t>RFQ 200306</t>
  </si>
  <si>
    <t>2020-268</t>
  </si>
  <si>
    <t>R.I.S. No.: 20-08-007</t>
  </si>
  <si>
    <t>ITB 008-055-2020</t>
  </si>
  <si>
    <t>gsis/npsvp-249-20</t>
  </si>
  <si>
    <t>ITB No. 2020 – 83</t>
  </si>
  <si>
    <t>04-AUGUST- 2020- GOODS- BARBERSHOP</t>
  </si>
  <si>
    <t>HR 36610</t>
  </si>
  <si>
    <t>20GGL0008</t>
  </si>
  <si>
    <t>1011-20-08-01</t>
  </si>
  <si>
    <t>20-07-0749 CEEDO</t>
  </si>
  <si>
    <t>021-2020</t>
  </si>
  <si>
    <t>LMB-RFQ-S-038-2020</t>
  </si>
  <si>
    <t>300-20-08-04</t>
  </si>
  <si>
    <t>05-62-20</t>
  </si>
  <si>
    <t>2020-07-090(07308603)</t>
  </si>
  <si>
    <t>RFQ 2020-01</t>
  </si>
  <si>
    <t>20-07-48</t>
  </si>
  <si>
    <t>RFQ-2020-230</t>
  </si>
  <si>
    <t>AMP2020-132</t>
  </si>
  <si>
    <t>DTI-3-2020-JP-009</t>
  </si>
  <si>
    <t>SV20-06-004ILOa-08</t>
  </si>
  <si>
    <t>2020-08-328</t>
  </si>
  <si>
    <t>100-20-07-0791</t>
  </si>
  <si>
    <t>RFQ No.050 -2020</t>
  </si>
  <si>
    <t>20-07-093</t>
  </si>
  <si>
    <t>zn20-03-001</t>
  </si>
  <si>
    <t>P.R. No. 20-07-220</t>
  </si>
  <si>
    <t>20-0769-1031-5</t>
  </si>
  <si>
    <t>410MW-2020-0051</t>
  </si>
  <si>
    <t>SVP-2020-08-03-01</t>
  </si>
  <si>
    <t>BAC2020-07-44-32</t>
  </si>
  <si>
    <t>CGS-2020-0205</t>
  </si>
  <si>
    <t>08-89-2020</t>
  </si>
  <si>
    <t>20-06-040</t>
  </si>
  <si>
    <t>PANAMAON GOODS_03082020</t>
  </si>
  <si>
    <t>SVP-126</t>
  </si>
  <si>
    <t>20BA0004-GOODS</t>
  </si>
  <si>
    <t>2020-08-03</t>
  </si>
  <si>
    <t>ITB No. 20-073: Supply and Delivery of Three Hundr</t>
  </si>
  <si>
    <t>OR 1417-20</t>
  </si>
  <si>
    <t>Medicne2020</t>
  </si>
  <si>
    <t>RFQ No. 2020-07-044</t>
  </si>
  <si>
    <t>PR 2020-07-16-110</t>
  </si>
  <si>
    <t>2020-08-386-09</t>
  </si>
  <si>
    <t>2020-110</t>
  </si>
  <si>
    <t>0002</t>
  </si>
  <si>
    <t>2020-Barangay Silanga-002</t>
  </si>
  <si>
    <t>05-52-20</t>
  </si>
  <si>
    <t>7-70</t>
  </si>
  <si>
    <t>2020-0096</t>
  </si>
  <si>
    <t>08-03-2020-299</t>
  </si>
  <si>
    <t>80</t>
  </si>
  <si>
    <t>MP2020P3</t>
  </si>
  <si>
    <t>2020-LGU-Cuenca-063</t>
  </si>
  <si>
    <t>PCES7292020</t>
  </si>
  <si>
    <t>114</t>
  </si>
  <si>
    <t>2020-503</t>
  </si>
  <si>
    <t>2020-07-1802</t>
  </si>
  <si>
    <t>08-2020-002</t>
  </si>
  <si>
    <t>20-07-0746 CGSO</t>
  </si>
  <si>
    <t>2020-08-RFQ01</t>
  </si>
  <si>
    <t>RFQ No. 2020- 12</t>
  </si>
  <si>
    <t>Mkna-GSO-20-331</t>
  </si>
  <si>
    <t>TAYSAN2020-088</t>
  </si>
  <si>
    <t>03-76-20</t>
  </si>
  <si>
    <t>20-07-0747 CENRO</t>
  </si>
  <si>
    <t>ESP-GOODS-016-2020</t>
  </si>
  <si>
    <t>2020-364</t>
  </si>
  <si>
    <t>rfq-2020-34</t>
  </si>
  <si>
    <t>Park2020</t>
  </si>
  <si>
    <t>NS 1412-20</t>
  </si>
  <si>
    <t>SAR-GOODS-07-092-2020</t>
  </si>
  <si>
    <t>GSO-20-07-0345</t>
  </si>
  <si>
    <t>07-01024</t>
  </si>
  <si>
    <t>SJ-20-208</t>
  </si>
  <si>
    <t>02-124-20</t>
  </si>
  <si>
    <t>2062020</t>
  </si>
  <si>
    <t>2020-GOODS-NP-81</t>
  </si>
  <si>
    <t>2020-08 -001</t>
  </si>
  <si>
    <t>100-20-08-90</t>
  </si>
  <si>
    <t>7-71</t>
  </si>
  <si>
    <t>2020-08-0331</t>
  </si>
  <si>
    <t>20-0768-1031-5</t>
  </si>
  <si>
    <t>RFQ-2020-099</t>
  </si>
  <si>
    <t>lgu-es-20-08-186</t>
  </si>
  <si>
    <t>04-AUGUST- 2020- GOODS- WIELDING/VULCANIZING AND D</t>
  </si>
  <si>
    <t>07-20-0502</t>
  </si>
  <si>
    <t>03-53-20</t>
  </si>
  <si>
    <t>1790</t>
  </si>
  <si>
    <t>05-55-20</t>
  </si>
  <si>
    <t>RFQ-2020-195A</t>
  </si>
  <si>
    <t>117488039</t>
  </si>
  <si>
    <t>TAYSAN2020-089</t>
  </si>
  <si>
    <t>B16-20</t>
  </si>
  <si>
    <t>100-20-07-0799</t>
  </si>
  <si>
    <t>TF-2020-101-005</t>
  </si>
  <si>
    <t>PR # 100-2020-07-0038</t>
  </si>
  <si>
    <t>20FA0062</t>
  </si>
  <si>
    <t>2020-07-002</t>
  </si>
  <si>
    <t>CGT- Goods- 2020-00135</t>
  </si>
  <si>
    <t>20-07-0744 CGSO</t>
  </si>
  <si>
    <t>2020-08-100</t>
  </si>
  <si>
    <t>RFQ-2020-100</t>
  </si>
  <si>
    <t>013</t>
  </si>
  <si>
    <t>410MW-2020-0280</t>
  </si>
  <si>
    <t>2020-GOODS-30</t>
  </si>
  <si>
    <t>20-0604-1121</t>
  </si>
  <si>
    <t>SVP-124</t>
  </si>
  <si>
    <t>pal-20-08-021</t>
  </si>
  <si>
    <t>2020-07-06</t>
  </si>
  <si>
    <t>RFQ 2020-134</t>
  </si>
  <si>
    <t>2020-38</t>
  </si>
  <si>
    <t>20-07-0743 CGSO</t>
  </si>
  <si>
    <t>2020-08-0327</t>
  </si>
  <si>
    <t>2020-08-0329</t>
  </si>
  <si>
    <t>20M0044</t>
  </si>
  <si>
    <t>UpgradingaccessAM2020</t>
  </si>
  <si>
    <t>2020-08-0330</t>
  </si>
  <si>
    <t>20-0240</t>
  </si>
  <si>
    <t>HCC2020019</t>
  </si>
  <si>
    <t>RFQ No. 2020-07-045</t>
  </si>
  <si>
    <t>Project Reference No. 2020-346-RFQ</t>
  </si>
  <si>
    <t>OR 1416-20</t>
  </si>
  <si>
    <t>NS 1370-20</t>
  </si>
  <si>
    <t>RSPQ NO. 2020-07-041</t>
  </si>
  <si>
    <t>PSU-GOODS-2020-15</t>
  </si>
  <si>
    <t>sfbac2020</t>
  </si>
  <si>
    <t>2020-117</t>
  </si>
  <si>
    <t>OR 1415-20</t>
  </si>
  <si>
    <t>208051</t>
  </si>
  <si>
    <t>TWDPR 2020-07-06</t>
  </si>
  <si>
    <t>HPMA-2020-07-0461</t>
  </si>
  <si>
    <t>2020-08-0450</t>
  </si>
  <si>
    <t>2020-08-0325</t>
  </si>
  <si>
    <t>2020-08-0326</t>
  </si>
  <si>
    <t>DM-BAC-2020-0060</t>
  </si>
  <si>
    <t>2020-08-387-10</t>
  </si>
  <si>
    <t>2020-GOODS-NP-82</t>
  </si>
  <si>
    <t>IB NO. CW 2020 - 128</t>
  </si>
  <si>
    <t>SVP-125</t>
  </si>
  <si>
    <t>07-20-0507</t>
  </si>
  <si>
    <t>7-72</t>
  </si>
  <si>
    <t>Project Reference No. 2020-347-RFQ</t>
  </si>
  <si>
    <t>Mkna-GSO-20-332</t>
  </si>
  <si>
    <t>20-01-2020</t>
  </si>
  <si>
    <t>2020-02-0185, 2020-02-0299, 2020-02-0152, 2020-02-</t>
  </si>
  <si>
    <t>2020-08 -002</t>
  </si>
  <si>
    <t>gsis/npsvp-250-20</t>
  </si>
  <si>
    <t>2020-042</t>
  </si>
  <si>
    <t>lgu-es-20-187</t>
  </si>
  <si>
    <t>20200803-59</t>
  </si>
  <si>
    <t>2020-08-299</t>
  </si>
  <si>
    <t>PRDP-PSO-2020-07-02</t>
  </si>
  <si>
    <t>C10-20-1581</t>
  </si>
  <si>
    <t>HILONGOS 2020-231</t>
  </si>
  <si>
    <t>BD2020-A-005-G</t>
  </si>
  <si>
    <t>RFQ-20-08-0630</t>
  </si>
  <si>
    <t>RFQ 2020-0042</t>
  </si>
  <si>
    <t>OR 1414-20</t>
  </si>
  <si>
    <t>2020-08-388-11</t>
  </si>
  <si>
    <t>RFQ-2020-08-036</t>
  </si>
  <si>
    <t>305THCO-14108-NAVFORCEN-53-2020</t>
  </si>
  <si>
    <t>RFQ2020-08-01</t>
  </si>
  <si>
    <t>2020-15</t>
  </si>
  <si>
    <t>2020-08-0328</t>
  </si>
  <si>
    <t>2020-08-13</t>
  </si>
  <si>
    <t>IB-2020-09-32</t>
  </si>
  <si>
    <t>2020-423</t>
  </si>
  <si>
    <t>202008137</t>
  </si>
  <si>
    <t>SVP-127</t>
  </si>
  <si>
    <t>2020-NP-07-52</t>
  </si>
  <si>
    <t>2020-08-0004</t>
  </si>
  <si>
    <t>C10-20-1606</t>
  </si>
  <si>
    <t>R3-2020-07-010</t>
  </si>
  <si>
    <t>C10-20-1607</t>
  </si>
  <si>
    <t>20M0045</t>
  </si>
  <si>
    <t>2020-08-013</t>
  </si>
  <si>
    <t>PB-2020-08-002</t>
  </si>
  <si>
    <t>Goods 2020-074</t>
  </si>
  <si>
    <t>2020-07-28</t>
  </si>
  <si>
    <t>MCPD2020-RFQ08-001-G</t>
  </si>
  <si>
    <t>2020-08-PR513</t>
  </si>
  <si>
    <t>2020-425</t>
  </si>
  <si>
    <t>2020-GOODS-NP-83</t>
  </si>
  <si>
    <t>2020-213</t>
  </si>
  <si>
    <t>20-08-200</t>
  </si>
  <si>
    <t>20-07-189</t>
  </si>
  <si>
    <t>2020-07-031</t>
  </si>
  <si>
    <t>MPQ-080320-122</t>
  </si>
  <si>
    <t>C10-20-1608</t>
  </si>
  <si>
    <t>IB-2020-09-33</t>
  </si>
  <si>
    <t>305THCO-14112-220AW-110-2020</t>
  </si>
  <si>
    <t>2020-GOODS-NP-84</t>
  </si>
  <si>
    <t>SVP-080320-1</t>
  </si>
  <si>
    <t>20C00053</t>
  </si>
  <si>
    <t>Goods 2020-075</t>
  </si>
  <si>
    <t>SVP-128</t>
  </si>
  <si>
    <t>20-0241</t>
  </si>
  <si>
    <t>ITB No. GOP/20-DSWD-028-B</t>
  </si>
  <si>
    <t>SVP-133</t>
  </si>
  <si>
    <t>2020-08-329</t>
  </si>
  <si>
    <t>2020-043</t>
  </si>
  <si>
    <t>IB-2020-09-34</t>
  </si>
  <si>
    <t>IB-2020-09-35</t>
  </si>
  <si>
    <t>SVP-080320-2</t>
  </si>
  <si>
    <t>25-2020</t>
  </si>
  <si>
    <t>RFQ-003-2020</t>
  </si>
  <si>
    <t>20CSKA0001</t>
  </si>
  <si>
    <t>2020-567</t>
  </si>
  <si>
    <t>IB-2020-09-37</t>
  </si>
  <si>
    <t>20-06-072-A</t>
  </si>
  <si>
    <t>2020-426</t>
  </si>
  <si>
    <t>SV-2020-161-056</t>
  </si>
  <si>
    <t>PR NO. 010-07-20</t>
  </si>
  <si>
    <t>lgumambu_g_aug_2020_001</t>
  </si>
  <si>
    <t>2020-025</t>
  </si>
  <si>
    <t>IB-2020-09-38</t>
  </si>
  <si>
    <t>MPQ-080320-123</t>
  </si>
  <si>
    <t>08-01-2020</t>
  </si>
  <si>
    <t>2020-07-091(07308603)</t>
  </si>
  <si>
    <t>P.R. NO.2020-06-115</t>
  </si>
  <si>
    <t>IB NO. 2020-08-24 (15)</t>
  </si>
  <si>
    <t>GF-20-02-00317</t>
  </si>
  <si>
    <t>RFQ No. 20-08-001</t>
  </si>
  <si>
    <t>2020-044</t>
  </si>
  <si>
    <t>IB-2020-09-39</t>
  </si>
  <si>
    <t>GF-20-03-00531</t>
  </si>
  <si>
    <t>PR 2020-07-28-115</t>
  </si>
  <si>
    <t>NP 110-20</t>
  </si>
  <si>
    <t>2020-07-07</t>
  </si>
  <si>
    <t>8-014-S20</t>
  </si>
  <si>
    <t>2020-054</t>
  </si>
  <si>
    <t>CRN-PB-007-INFRA-2020</t>
  </si>
  <si>
    <t>2020-POBSK-004</t>
  </si>
  <si>
    <t>2-082520</t>
  </si>
  <si>
    <t>GF-20-06-00926</t>
  </si>
  <si>
    <t>INFRA-2020-028</t>
  </si>
  <si>
    <t>RFQ 2020-07-024</t>
  </si>
  <si>
    <t>IB-2020-09-36</t>
  </si>
  <si>
    <t>2020-8-15</t>
  </si>
  <si>
    <t>202008138</t>
  </si>
  <si>
    <t>2020-08-217</t>
  </si>
  <si>
    <t>BINALONAN-2020-078</t>
  </si>
  <si>
    <t>msj-2020-26</t>
  </si>
  <si>
    <t>202008139</t>
  </si>
  <si>
    <t>128-2020</t>
  </si>
  <si>
    <t>SV-2020-101-057</t>
  </si>
  <si>
    <t>PR NO. 011-07-20</t>
  </si>
  <si>
    <t>MPQ-080320-124</t>
  </si>
  <si>
    <t>3LSSM2020A-111</t>
  </si>
  <si>
    <t>2020-07-135 (06207512)</t>
  </si>
  <si>
    <t>2020-07-418</t>
  </si>
  <si>
    <t>IB-2020-09-40</t>
  </si>
  <si>
    <t>S-080320-1</t>
  </si>
  <si>
    <t>2020-554</t>
  </si>
  <si>
    <t>epslingayen2020-83</t>
  </si>
  <si>
    <t>109CO - 07 - 2020 - 133</t>
  </si>
  <si>
    <t>PR # 2020-08-140A</t>
  </si>
  <si>
    <t>2020224</t>
  </si>
  <si>
    <t>41</t>
  </si>
  <si>
    <t>20-07-754</t>
  </si>
  <si>
    <t>ITB 20-29</t>
  </si>
  <si>
    <t>RFQ 2020-0043</t>
  </si>
  <si>
    <t>PRN 039</t>
  </si>
  <si>
    <t>FURNITURE and FIXTURES</t>
  </si>
  <si>
    <t>2020-803-2</t>
  </si>
  <si>
    <t>HPMA-2020-07-0449</t>
  </si>
  <si>
    <t>2020-227</t>
  </si>
  <si>
    <t>PR NO. 012-07-20</t>
  </si>
  <si>
    <t>RFQ No. 2020-07-046</t>
  </si>
  <si>
    <t>SJ 2020-68-GOODS</t>
  </si>
  <si>
    <t>LGU-ROX-65-2020</t>
  </si>
  <si>
    <t>S-080320-2</t>
  </si>
  <si>
    <t>ITB2020-14</t>
  </si>
  <si>
    <t>CGB-2020-08-001</t>
  </si>
  <si>
    <t>2020-424</t>
  </si>
  <si>
    <t>2020-0097</t>
  </si>
  <si>
    <t>RFQ-2020-294</t>
  </si>
  <si>
    <t>ML-2020-02-16</t>
  </si>
  <si>
    <t>20-07-0087</t>
  </si>
  <si>
    <t>SJKHS 2020-008-001</t>
  </si>
  <si>
    <t>Infra-20-13</t>
  </si>
  <si>
    <t>2020-8-16</t>
  </si>
  <si>
    <t>ITB 2020-079</t>
  </si>
  <si>
    <t>20-07-060</t>
  </si>
  <si>
    <t>3LSSM2020A-113</t>
  </si>
  <si>
    <t>lgumambu_g_aug_2020_002</t>
  </si>
  <si>
    <t>2020-8-14</t>
  </si>
  <si>
    <t>ML-2020-04-17</t>
  </si>
  <si>
    <t>2020-556</t>
  </si>
  <si>
    <t>01619</t>
  </si>
  <si>
    <t>LGU-173-2020</t>
  </si>
  <si>
    <t>2007126</t>
  </si>
  <si>
    <t>08-001-20</t>
  </si>
  <si>
    <t>2020-093</t>
  </si>
  <si>
    <t>305THCO-14119-220AW-112-2020</t>
  </si>
  <si>
    <t>RFQ 080</t>
  </si>
  <si>
    <t>PNU-Min GD 2020-08-05</t>
  </si>
  <si>
    <t>117753202007030</t>
  </si>
  <si>
    <t>GF-20-02-00305</t>
  </si>
  <si>
    <t>JOY-SVP-2020-07-217-CD</t>
  </si>
  <si>
    <t>3LSSM2020A-112</t>
  </si>
  <si>
    <t>2020-08-0324</t>
  </si>
  <si>
    <t>GOODS-NP-2020-112</t>
  </si>
  <si>
    <t>ITB No. 20-077 Supply and Delivery of Various Frui</t>
  </si>
  <si>
    <t>2020-372</t>
  </si>
  <si>
    <t>2008-001</t>
  </si>
  <si>
    <t>2020-03-426</t>
  </si>
  <si>
    <t>PZDS-2020-08-053-IB</t>
  </si>
  <si>
    <t>20DJ0106</t>
  </si>
  <si>
    <t>PZDS-2020-08-054-IB</t>
  </si>
  <si>
    <t>SVP-132</t>
  </si>
  <si>
    <t>GF-20-05-00735</t>
  </si>
  <si>
    <t>ITB 2020-080</t>
  </si>
  <si>
    <t>PR NO. 013-07-20</t>
  </si>
  <si>
    <t>02-120-20</t>
  </si>
  <si>
    <t>02-119-20</t>
  </si>
  <si>
    <t>2020-07-1352</t>
  </si>
  <si>
    <t>RFQ 081</t>
  </si>
  <si>
    <t>08-002-20</t>
  </si>
  <si>
    <t>GF-20-05-00717</t>
  </si>
  <si>
    <t>RFQ # 20-0477</t>
  </si>
  <si>
    <t>410MW-2020-0282</t>
  </si>
  <si>
    <t>20-0242</t>
  </si>
  <si>
    <t>LAMISCA IMO 08-03-2020 CW</t>
  </si>
  <si>
    <t>CS-1458-20</t>
  </si>
  <si>
    <t>100-202007-01066</t>
  </si>
  <si>
    <t>305THCO-14104-NAVFORCEN-52-2020</t>
  </si>
  <si>
    <t>Project Reference No. 2020-345-RFQ</t>
  </si>
  <si>
    <t>42</t>
  </si>
  <si>
    <t>20-07-0745 CGSO</t>
  </si>
  <si>
    <t>742</t>
  </si>
  <si>
    <t>DENR10 2020-07-0400</t>
  </si>
  <si>
    <t>GSO-20-08-0346</t>
  </si>
  <si>
    <t>2020-08-040</t>
  </si>
  <si>
    <t>3LSSM2020A-114</t>
  </si>
  <si>
    <t>20GJI0062</t>
  </si>
  <si>
    <t>CS-1457-20</t>
  </si>
  <si>
    <t>2020-ppd-014</t>
  </si>
  <si>
    <t>2020-08-0116</t>
  </si>
  <si>
    <t>2020-08-102</t>
  </si>
  <si>
    <t>305THCO-14127-220AW-109-2020</t>
  </si>
  <si>
    <t>20-08-286</t>
  </si>
  <si>
    <t>NFW-08-061-20</t>
  </si>
  <si>
    <t>202002</t>
  </si>
  <si>
    <t>129-2020</t>
  </si>
  <si>
    <t>3LSSM2020A-115</t>
  </si>
  <si>
    <t>20-08-012</t>
  </si>
  <si>
    <t>Goods 2020-076</t>
  </si>
  <si>
    <t>S00327-2020</t>
  </si>
  <si>
    <t>BAC2020-08-036</t>
  </si>
  <si>
    <t>RFQ 2020-0044</t>
  </si>
  <si>
    <t>2020-GE08-0002</t>
  </si>
  <si>
    <t>20DJ0107</t>
  </si>
  <si>
    <t>ITB 2020-081</t>
  </si>
  <si>
    <t>OC-77(ESMO-07) 20 GD</t>
  </si>
  <si>
    <t>2020-215</t>
  </si>
  <si>
    <t>2007128</t>
  </si>
  <si>
    <t>202008140</t>
  </si>
  <si>
    <t>PR No. 136</t>
  </si>
  <si>
    <t>BAC-2020-43</t>
  </si>
  <si>
    <t>2020-07-106</t>
  </si>
  <si>
    <t>20-07-191</t>
  </si>
  <si>
    <t>GOODS - 2020-08-078</t>
  </si>
  <si>
    <t>QSU-BAC-H-07-2020</t>
  </si>
  <si>
    <t>DO-1463-20</t>
  </si>
  <si>
    <t>RFQ 2020-08-029</t>
  </si>
  <si>
    <t>8IB-14117</t>
  </si>
  <si>
    <t>RFQ 094-2020</t>
  </si>
  <si>
    <t>QSU-BAC-H-10-2020 07D TESDA</t>
  </si>
  <si>
    <t>2020-06-038PBDD</t>
  </si>
  <si>
    <t>2020-05</t>
  </si>
  <si>
    <t>403RDCO-14115-HSCtr-C-2020</t>
  </si>
  <si>
    <t>Quotation No. 20-07-423</t>
  </si>
  <si>
    <t>076-RFD</t>
  </si>
  <si>
    <t>3LSSM2020A-116</t>
  </si>
  <si>
    <t>NP2020062A</t>
  </si>
  <si>
    <t>20200803-05-G</t>
  </si>
  <si>
    <t>RFQ 2020-0045</t>
  </si>
  <si>
    <t>ITB 2020-082</t>
  </si>
  <si>
    <t>Calaca 2020-062</t>
  </si>
  <si>
    <t>080-2020</t>
  </si>
  <si>
    <t>CRN-PB-020-GOODS-2020</t>
  </si>
  <si>
    <t>1SFBN-14091</t>
  </si>
  <si>
    <t>20-008</t>
  </si>
  <si>
    <t>PR#CAL-2020-01-010</t>
  </si>
  <si>
    <t>081-2020</t>
  </si>
  <si>
    <t>305THCO-14129-220AW-111-2020</t>
  </si>
  <si>
    <t>INFRA-2020-P4</t>
  </si>
  <si>
    <t>2020-07-029</t>
  </si>
  <si>
    <t>GF-20-02-00160</t>
  </si>
  <si>
    <t>20-009</t>
  </si>
  <si>
    <t>20-08-194</t>
  </si>
  <si>
    <t>2020-07-112</t>
  </si>
  <si>
    <t>HS-765-084-2020</t>
  </si>
  <si>
    <t>10FSSU-14093</t>
  </si>
  <si>
    <t>085-RFQ</t>
  </si>
  <si>
    <t>SJKHS 2020-008-002</t>
  </si>
  <si>
    <t>20GJI0063</t>
  </si>
  <si>
    <t>Quotation No.20-05-304 REBID</t>
  </si>
  <si>
    <t>086-RFQ</t>
  </si>
  <si>
    <t>07-20-0501</t>
  </si>
  <si>
    <t>0875</t>
  </si>
  <si>
    <t>10-2020</t>
  </si>
  <si>
    <t>BAC GS No. 2020-128/DGS PR No. 2000005421</t>
  </si>
  <si>
    <t>20GG0059-G</t>
  </si>
  <si>
    <t>2020-217</t>
  </si>
  <si>
    <t>JHS - 001 - 08 - 2020</t>
  </si>
  <si>
    <t>2020-AMP-082</t>
  </si>
  <si>
    <t>NCB Publication No. 2020- 28</t>
  </si>
  <si>
    <t>10FAU-14123</t>
  </si>
  <si>
    <t>GA-BAC-AM # 2020-036</t>
  </si>
  <si>
    <t>2020-216</t>
  </si>
  <si>
    <t>130-2020</t>
  </si>
  <si>
    <t>SVP 2020-17</t>
  </si>
  <si>
    <t>2020-07-110</t>
  </si>
  <si>
    <t>3LSSM2020A-118</t>
  </si>
  <si>
    <t>10FAU-14124</t>
  </si>
  <si>
    <t>131-2020</t>
  </si>
  <si>
    <t>TAYSAN2020-090</t>
  </si>
  <si>
    <t>20200722-01-G</t>
  </si>
  <si>
    <t>07-20-0523</t>
  </si>
  <si>
    <t>10FAU-14125</t>
  </si>
  <si>
    <t>ERVHS-2020-08-05</t>
  </si>
  <si>
    <t>IB NO. 2020-08-25 (16)</t>
  </si>
  <si>
    <t>2020-08-02-025</t>
  </si>
  <si>
    <t>NCB Publication No. 2020- 29</t>
  </si>
  <si>
    <t>SVP 2020-419</t>
  </si>
  <si>
    <t>087-RFQ</t>
  </si>
  <si>
    <t>11-2020</t>
  </si>
  <si>
    <t>HS-760-086-2020</t>
  </si>
  <si>
    <t>AMP-RFQ-2020-125</t>
  </si>
  <si>
    <t>305THCO-14131-220AW-107-2020</t>
  </si>
  <si>
    <t>20CSIL0001</t>
  </si>
  <si>
    <t>DS-G-2020-24</t>
  </si>
  <si>
    <t>2020-08-265</t>
  </si>
  <si>
    <t>Pang2-Goods-2020-08-001</t>
  </si>
  <si>
    <t>2020-08-161</t>
  </si>
  <si>
    <t>ITB 20-08-009</t>
  </si>
  <si>
    <t>20-08-006</t>
  </si>
  <si>
    <t>GOODS-64-2020</t>
  </si>
  <si>
    <t>HS-759-085-2020</t>
  </si>
  <si>
    <t>PR-20-07-0171</t>
  </si>
  <si>
    <t>20-07-0752 CMO-BDP</t>
  </si>
  <si>
    <t>2020-08-02-026</t>
  </si>
  <si>
    <t>20-07-0753 CHO</t>
  </si>
  <si>
    <t>088-RFQ</t>
  </si>
  <si>
    <t>07-20-0505</t>
  </si>
  <si>
    <t>2020-36</t>
  </si>
  <si>
    <t>CANWD2020-AUG-001</t>
  </si>
  <si>
    <t>INFRA-2020-P5</t>
  </si>
  <si>
    <t>20-07-0755 CEEDO</t>
  </si>
  <si>
    <t>ERVHS-2020-08-06</t>
  </si>
  <si>
    <t>PRN 053</t>
  </si>
  <si>
    <t>DepED-RO6-D1-CID-LCPSUPPLIES-055-2020</t>
  </si>
  <si>
    <t>PZDS-2020-08-055-IB</t>
  </si>
  <si>
    <t>2020-4 BATANES</t>
  </si>
  <si>
    <t>08-03</t>
  </si>
  <si>
    <t>2020-48</t>
  </si>
  <si>
    <t>3LSSM2020A-117</t>
  </si>
  <si>
    <t>SVP-2020-08-153</t>
  </si>
  <si>
    <t>202-08-91-20</t>
  </si>
  <si>
    <t>GF-20-05-00722</t>
  </si>
  <si>
    <t>20-07-0754 CHO</t>
  </si>
  <si>
    <t>PSMO20-07-0333</t>
  </si>
  <si>
    <t>GF-20-05-00848</t>
  </si>
  <si>
    <t>2020-12</t>
  </si>
  <si>
    <t>NCB Publication No. 2020- 30</t>
  </si>
  <si>
    <t>RFQ No. 2020-07-146</t>
  </si>
  <si>
    <t>202003013</t>
  </si>
  <si>
    <t>G2020-08-002(PB)</t>
  </si>
  <si>
    <t>GF-20-03-00539</t>
  </si>
  <si>
    <t>GF-20-07-01114</t>
  </si>
  <si>
    <t>Supply of Materials, Labor and Equipment for the C</t>
  </si>
  <si>
    <t>sjom-2020-0619</t>
  </si>
  <si>
    <t>20-07-0756 CEEDO</t>
  </si>
  <si>
    <t>G-2020-41</t>
  </si>
  <si>
    <t>2008152</t>
  </si>
  <si>
    <t>ERVHS-2020-08-07</t>
  </si>
  <si>
    <t>NMF GOODS 2020-06</t>
  </si>
  <si>
    <t>20-08-124</t>
  </si>
  <si>
    <t>DSWD NNP No. 20-TFB-005</t>
  </si>
  <si>
    <t>KAP-20-GOODS-09 (2nd posting)</t>
  </si>
  <si>
    <t>3LSSM2020A-120</t>
  </si>
  <si>
    <t>SDOCoM-PR# 2020-08-001-LOT 1</t>
  </si>
  <si>
    <t>GF-20-02-00329</t>
  </si>
  <si>
    <t>2020-Building and Maintenance Tools</t>
  </si>
  <si>
    <t>RFQ No. 2020-08-38</t>
  </si>
  <si>
    <t>20-07-0757 CIO</t>
  </si>
  <si>
    <t>PO20-07-0329</t>
  </si>
  <si>
    <t>20-07-0758 CTO</t>
  </si>
  <si>
    <t>3LSSM2020A-119</t>
  </si>
  <si>
    <t>002-2020</t>
  </si>
  <si>
    <t>RFQ No. 2020-08-39</t>
  </si>
  <si>
    <t>janiuay-2020-33</t>
  </si>
  <si>
    <t>20-07-0759 CTO</t>
  </si>
  <si>
    <t>CW2020-08-004</t>
  </si>
  <si>
    <t>GF-20-02-00362</t>
  </si>
  <si>
    <t>NMF GOODS 2020-07</t>
  </si>
  <si>
    <t>GF-20-03-00589B</t>
  </si>
  <si>
    <t>R4-ORD-ARDMS-ADM-20-07-435</t>
  </si>
  <si>
    <t>DO Repair 2020</t>
  </si>
  <si>
    <t>SVP2020-192</t>
  </si>
  <si>
    <t>2020-53</t>
  </si>
  <si>
    <t>2020-Battery for Genset</t>
  </si>
  <si>
    <t>SDOCoM-PR# 2020-08-001-LOT 2-Cluster A (Reproducti</t>
  </si>
  <si>
    <t>NMF GOODS 2020-08</t>
  </si>
  <si>
    <t>G2020-08-001(PB)</t>
  </si>
  <si>
    <t>janiuay-2020-35</t>
  </si>
  <si>
    <t>RFQ PR NO. 322</t>
  </si>
  <si>
    <t>20-07-0760 CMO-BDP</t>
  </si>
  <si>
    <t>janiuay-2020-34</t>
  </si>
  <si>
    <t>NwdBAC2020-007</t>
  </si>
  <si>
    <t>IB. NO. K-2020-090(SC)</t>
  </si>
  <si>
    <t>3LSSM2020A-122</t>
  </si>
  <si>
    <t>NMF GOODS 2020-09</t>
  </si>
  <si>
    <t>RFQ PR NO. 338</t>
  </si>
  <si>
    <t>RFQ PR NO. 342</t>
  </si>
  <si>
    <t>RFQ PR NO. 341</t>
  </si>
  <si>
    <t>202003012</t>
  </si>
  <si>
    <t>vinya0626</t>
  </si>
  <si>
    <t>DOJ ITB 2020-08-003</t>
  </si>
  <si>
    <t>GF-20-02-00394</t>
  </si>
  <si>
    <t>SDOCoM-PR# 2020-08-001-LOT 3-Cluster BCD (Reproduc</t>
  </si>
  <si>
    <t>RFQ No.055 -2020</t>
  </si>
  <si>
    <t>20-07-109</t>
  </si>
  <si>
    <t>3LSSM2020A-121</t>
  </si>
  <si>
    <t>IB No. MM-2020-030(m)</t>
  </si>
  <si>
    <t>RFQ PR NO. 320</t>
  </si>
  <si>
    <t>RE-IB No. MM-2020-007(m)</t>
  </si>
  <si>
    <t>RFQ PR NO. 357</t>
  </si>
  <si>
    <t>TON-2020-08-001-IB</t>
  </si>
  <si>
    <t>RFQ PR NO. 356</t>
  </si>
  <si>
    <t>RE-IB. NO. K-2020-059(SC)</t>
  </si>
  <si>
    <t>DOJ ITB 2020-08-002</t>
  </si>
  <si>
    <t>2020 08</t>
  </si>
  <si>
    <t>janiuay-2020-36</t>
  </si>
  <si>
    <t>RFQ PR NO. 321</t>
  </si>
  <si>
    <t>RFQ No. 2020-08-40</t>
  </si>
  <si>
    <t>3LSSM2020A-123</t>
  </si>
  <si>
    <t>GF-20-03-00584</t>
  </si>
  <si>
    <t>RFQ No. 1026-20</t>
  </si>
  <si>
    <t>DOJ ITB 2020-08-004</t>
  </si>
  <si>
    <t>Damacan 2020-08-01</t>
  </si>
  <si>
    <t>RFQ No.056 -2020</t>
  </si>
  <si>
    <t>RFQ PR NO. 355</t>
  </si>
  <si>
    <t>RFQ PR NO. 323</t>
  </si>
  <si>
    <t>IB No. MM-2020-032(m)</t>
  </si>
  <si>
    <t>RFQ PR NO. 365</t>
  </si>
  <si>
    <t>Damacan 2020-08-02</t>
  </si>
  <si>
    <t>2020 - 001</t>
  </si>
  <si>
    <t>ERVHS-2020-08-08</t>
  </si>
  <si>
    <t>RFQ PR NO. 364</t>
  </si>
  <si>
    <t>DAR NO1 2020-08-025</t>
  </si>
  <si>
    <t>20NMSC27-G</t>
  </si>
  <si>
    <t>RFQ PR NO. 337</t>
  </si>
  <si>
    <t>RFQ PR NO. 354</t>
  </si>
  <si>
    <t>ERVHS-2020-08-10</t>
  </si>
  <si>
    <t>GF-20-02-00356</t>
  </si>
  <si>
    <t>IB No. MM-2020-033(m)</t>
  </si>
  <si>
    <t>RFQ PR NO. 340</t>
  </si>
  <si>
    <t>ERVHS-2020-08-09</t>
  </si>
  <si>
    <t>TPB-PR.2020.07.220</t>
  </si>
  <si>
    <t>2020-08-515</t>
  </si>
  <si>
    <t>RFQ No. 20-07-097</t>
  </si>
  <si>
    <t>202006024</t>
  </si>
  <si>
    <t>RFQ 2020-013</t>
  </si>
  <si>
    <t>IB No. AA-2020-004(m)</t>
  </si>
  <si>
    <t>RFQ PR NO. 324</t>
  </si>
  <si>
    <t>INFRA 2020-08-PLA001</t>
  </si>
  <si>
    <t>RE-IB No.DE-2020-006</t>
  </si>
  <si>
    <t>RFQ PR NO. 339</t>
  </si>
  <si>
    <t>PR NO. 363</t>
  </si>
  <si>
    <t>RE-IB No.DE-2020-010</t>
  </si>
  <si>
    <t>lgu-es-20-08-188</t>
  </si>
  <si>
    <t>2020-07-0086</t>
  </si>
  <si>
    <t>002-002-2020</t>
  </si>
  <si>
    <t>2020-083-snq</t>
  </si>
  <si>
    <t>RFQ NO. 20-07-091</t>
  </si>
  <si>
    <t>SVP No. AA-2020-07-006</t>
  </si>
  <si>
    <t>IB No. MM-2020-034</t>
  </si>
  <si>
    <t>lgu-es-20-08-189</t>
  </si>
  <si>
    <t>RFQ PR NO. 358</t>
  </si>
  <si>
    <t>doc 2</t>
  </si>
  <si>
    <t>ITB 2020-089</t>
  </si>
  <si>
    <t>ITB 2020-085</t>
  </si>
  <si>
    <t>RFQ2020_04</t>
  </si>
  <si>
    <t>2020-181</t>
  </si>
  <si>
    <t>2020-08-03a</t>
  </si>
  <si>
    <t>ITB 2020-084</t>
  </si>
  <si>
    <t>IB No. N-2020-003</t>
  </si>
  <si>
    <t>IB No. X-2020-001</t>
  </si>
  <si>
    <t>RFQ No. 2503-20</t>
  </si>
  <si>
    <t>2020-07-0279a</t>
  </si>
  <si>
    <t>ITB 2020-094</t>
  </si>
  <si>
    <t>RFQ 2020-08-17</t>
  </si>
  <si>
    <t>002-003-2020</t>
  </si>
  <si>
    <t>RFQ No. 1044-20</t>
  </si>
  <si>
    <t>ITB 2020-092</t>
  </si>
  <si>
    <t>2020-057</t>
  </si>
  <si>
    <t>SVP No. M-2020-07-011</t>
  </si>
  <si>
    <t>MGCP-20G-605A</t>
  </si>
  <si>
    <t>NEG. PROC. 53.10 X-2020-07-002</t>
  </si>
  <si>
    <t>2020-Various Funds-GOODS-27</t>
  </si>
  <si>
    <t>2020-056</t>
  </si>
  <si>
    <t>GF-20-02-00196</t>
  </si>
  <si>
    <t>Bac-Pg-003-20</t>
  </si>
  <si>
    <t>RFQ No. 1035-20</t>
  </si>
  <si>
    <t>002-004-2020</t>
  </si>
  <si>
    <t>RFQ No. 1032-20</t>
  </si>
  <si>
    <t>2020-19</t>
  </si>
  <si>
    <t>2020-CN011</t>
  </si>
  <si>
    <t>2020-059</t>
  </si>
  <si>
    <t>TAS-20-02-042</t>
  </si>
  <si>
    <t>2020-22</t>
  </si>
  <si>
    <t>2020-08-089</t>
  </si>
  <si>
    <t>2020-21</t>
  </si>
  <si>
    <t>RFQ No. 1029-20</t>
  </si>
  <si>
    <t>RFQ No. 1039-20</t>
  </si>
  <si>
    <t>202008036</t>
  </si>
  <si>
    <t>2020-058</t>
  </si>
  <si>
    <t>RFQ No. 1037-20</t>
  </si>
  <si>
    <t>MGCP-20G-604A</t>
  </si>
  <si>
    <t>2020-060</t>
  </si>
  <si>
    <t>ITBN08032020B</t>
  </si>
  <si>
    <t>BOC-GOODS-2020-04</t>
  </si>
  <si>
    <t>2020-SVP-328</t>
  </si>
  <si>
    <t>2020-28</t>
  </si>
  <si>
    <t>ITBN08032020C</t>
  </si>
  <si>
    <t>08-002-2020</t>
  </si>
  <si>
    <t>2020-CN012</t>
  </si>
  <si>
    <t>8-03-01</t>
  </si>
  <si>
    <t>388548477</t>
  </si>
  <si>
    <t>2020-27</t>
  </si>
  <si>
    <t>2020-26</t>
  </si>
  <si>
    <t>LIN-LDN-08-04-20</t>
  </si>
  <si>
    <t>2020-29</t>
  </si>
  <si>
    <t>2020-25</t>
  </si>
  <si>
    <t>RFQ No. 20-07-087</t>
  </si>
  <si>
    <t>2020-24</t>
  </si>
  <si>
    <t>101-1031-2020-07-174</t>
  </si>
  <si>
    <t>2020-23</t>
  </si>
  <si>
    <t>IRES 2020-07-01</t>
  </si>
  <si>
    <t>2020-30</t>
  </si>
  <si>
    <t>ITBN08032020A</t>
  </si>
  <si>
    <t>2020-SVP-332</t>
  </si>
  <si>
    <t>MinSCAT RFQ 2020-48</t>
  </si>
  <si>
    <t>2020-SVP-330</t>
  </si>
  <si>
    <t>IB NO. 2020-232</t>
  </si>
  <si>
    <t>2020-SVP-331</t>
  </si>
  <si>
    <t>2020-32</t>
  </si>
  <si>
    <t>C-118-2020</t>
  </si>
  <si>
    <t>101-1011-2020-07-192</t>
  </si>
  <si>
    <t>2020-37</t>
  </si>
  <si>
    <t>101-8751-2020-07-168</t>
  </si>
  <si>
    <t>2020-31</t>
  </si>
  <si>
    <t>LGU-M-INFRA-18-20</t>
  </si>
  <si>
    <t>2020-42</t>
  </si>
  <si>
    <t>LGU-M-INFRA-19-20</t>
  </si>
  <si>
    <t>2020-SVP INFRA 028</t>
  </si>
  <si>
    <t>189-2020 RFQ</t>
  </si>
  <si>
    <t>2020-41</t>
  </si>
  <si>
    <t>190 - 2020 RFQ</t>
  </si>
  <si>
    <t>2020-34</t>
  </si>
  <si>
    <t>2020-40</t>
  </si>
  <si>
    <t>ICITB08032020B</t>
  </si>
  <si>
    <t>LGU-M-INFRA-20-20</t>
  </si>
  <si>
    <t>2020-368</t>
  </si>
  <si>
    <t>PRDP-RPCOXI-016-2020</t>
  </si>
  <si>
    <t>2020-39</t>
  </si>
  <si>
    <t>ICITB08032020A</t>
  </si>
  <si>
    <t>193 - 2020 RFQ</t>
  </si>
  <si>
    <t>192 - 2020 RFQ</t>
  </si>
  <si>
    <t>20-07-556</t>
  </si>
  <si>
    <t>Dawan - 01-20</t>
  </si>
  <si>
    <t>20PBTNMSC10-G</t>
  </si>
  <si>
    <t>191 - 2020 RFQ</t>
  </si>
  <si>
    <t>20-07-557</t>
  </si>
  <si>
    <t>ITB No. 2020-GOODS-8(01)</t>
  </si>
  <si>
    <t>ITB No. 2020-GOODS-8(02)</t>
  </si>
  <si>
    <t>ITB-2020-08-061</t>
  </si>
  <si>
    <t>ICRFQ08032020G</t>
  </si>
  <si>
    <t>ICRFQ08032020E</t>
  </si>
  <si>
    <t>NOSO-RFQ-2020-06-547</t>
  </si>
  <si>
    <t>ICRFQ08032020D</t>
  </si>
  <si>
    <t>ICRFQ08032020F</t>
  </si>
  <si>
    <t>ICRFQ08032020C</t>
  </si>
  <si>
    <t>388548478</t>
  </si>
  <si>
    <t>117411</t>
  </si>
  <si>
    <t>ITBF-2020-04INFRA</t>
  </si>
  <si>
    <t>JRF-2020-035</t>
  </si>
  <si>
    <t>388548479</t>
  </si>
  <si>
    <t>ICITB08032020H</t>
  </si>
  <si>
    <t>2020-SVP INFRA 029</t>
  </si>
  <si>
    <t>2020-35</t>
  </si>
  <si>
    <t>RFQ No.083-2020</t>
  </si>
  <si>
    <t>CB-20-08-A-01</t>
  </si>
  <si>
    <t>ITB-2020-08-059</t>
  </si>
  <si>
    <t>ITB No. 2020-GOODS-8(05)</t>
  </si>
  <si>
    <t>RFQ No. 2020-08-03.01</t>
  </si>
  <si>
    <t>388548480</t>
  </si>
  <si>
    <t>IB-2020-107-INFRA</t>
  </si>
  <si>
    <t>07-2020-1111</t>
  </si>
  <si>
    <t>JRF-2020-036</t>
  </si>
  <si>
    <t>ITB-2020-08-056</t>
  </si>
  <si>
    <t>LGUBS-CW-20-1373</t>
  </si>
  <si>
    <t>188-2020 RFQ</t>
  </si>
  <si>
    <t>20PBTNMSC11-G</t>
  </si>
  <si>
    <t>ITB No. 2020-GOODS-8(04)</t>
  </si>
  <si>
    <t>NOSO-RFQ-2020-06-528</t>
  </si>
  <si>
    <t>ITB No. 2020-GOODS-8(03)</t>
  </si>
  <si>
    <t>2020-07-69</t>
  </si>
  <si>
    <t>20-07-554</t>
  </si>
  <si>
    <t>07-2020-1118</t>
  </si>
  <si>
    <t>RFQ No. 2020-08-03.02</t>
  </si>
  <si>
    <t>047</t>
  </si>
  <si>
    <t>ITB No. 2020-GOODS-8(06)</t>
  </si>
  <si>
    <t>PWN-2020-H-005</t>
  </si>
  <si>
    <t>ITB No. 2020-INFRA-8(01) BRGY. COLON</t>
  </si>
  <si>
    <t>2020-GIBAC-PB-022</t>
  </si>
  <si>
    <t>ITB 04-2020</t>
  </si>
  <si>
    <t>ESPERANZA-GDS-2020-08-25</t>
  </si>
  <si>
    <t>CB 12 - 2020</t>
  </si>
  <si>
    <t>IB-2020-108-INFRA</t>
  </si>
  <si>
    <t>2020-07-054</t>
  </si>
  <si>
    <t>ITB-2020-08-062</t>
  </si>
  <si>
    <t>TESDA PR-0282</t>
  </si>
  <si>
    <t>ITB No. 2020-GOODS-8(07)</t>
  </si>
  <si>
    <t>SL-2020-018</t>
  </si>
  <si>
    <t>TESDA PR-0276</t>
  </si>
  <si>
    <t>BCS-2020-0260</t>
  </si>
  <si>
    <t>SL-2020-017</t>
  </si>
  <si>
    <t>RFQ No. 2020-08-03.03</t>
  </si>
  <si>
    <t>NOSO-RFQ-2020-06-529</t>
  </si>
  <si>
    <t>CB 14 - 2020</t>
  </si>
  <si>
    <t>BCS-2020-0261</t>
  </si>
  <si>
    <t>BP-2020-04</t>
  </si>
  <si>
    <t>2020-GS-029</t>
  </si>
  <si>
    <t>SL-2020-016</t>
  </si>
  <si>
    <t>TESDA PR-0281</t>
  </si>
  <si>
    <t>ESPERANZA-GDS-2020-08-24</t>
  </si>
  <si>
    <t>CB 13 - 2020</t>
  </si>
  <si>
    <t>GOODS-2020-08-017</t>
  </si>
  <si>
    <t>PR-20-06-0148</t>
  </si>
  <si>
    <t>2020-0308-001</t>
  </si>
  <si>
    <t>PM-20-08-001</t>
  </si>
  <si>
    <t>046</t>
  </si>
  <si>
    <t>20-06-467</t>
  </si>
  <si>
    <t>117238OES</t>
  </si>
  <si>
    <t>LGUBS-CW-20-1374</t>
  </si>
  <si>
    <t>RFQ-202004-3</t>
  </si>
  <si>
    <t>MAFAR-08-108-2020</t>
  </si>
  <si>
    <t>GF-20-03-00406</t>
  </si>
  <si>
    <t>GOODS-2020-08-018</t>
  </si>
  <si>
    <t>2020-07-008-PR</t>
  </si>
  <si>
    <t>PR-20-01-0014</t>
  </si>
  <si>
    <t>20-08-177</t>
  </si>
  <si>
    <t>ITB-2020-08-063</t>
  </si>
  <si>
    <t>202-08-03</t>
  </si>
  <si>
    <t>TESDA PR-0284</t>
  </si>
  <si>
    <t>MAFAR-08-111-2020</t>
  </si>
  <si>
    <t>20-08-178</t>
  </si>
  <si>
    <t>GEPS-014-2020</t>
  </si>
  <si>
    <t>SPC PR No. 1000032550</t>
  </si>
  <si>
    <t>PM-20-08-003</t>
  </si>
  <si>
    <t>ITB NO. 2020-18</t>
  </si>
  <si>
    <t>ITB NO. 2020-19</t>
  </si>
  <si>
    <t>2020-031</t>
  </si>
  <si>
    <t>PB-2020-05</t>
  </si>
  <si>
    <t>MGPIN-2020-08-074</t>
  </si>
  <si>
    <t>SEF-20-02-00376</t>
  </si>
  <si>
    <t>MAFAR-08-109-2020</t>
  </si>
  <si>
    <t>GF-20-02-00366</t>
  </si>
  <si>
    <t>2020-0308-003</t>
  </si>
  <si>
    <t>ITB-2020-08-057</t>
  </si>
  <si>
    <t>PB2020-003</t>
  </si>
  <si>
    <t>2020-08-22</t>
  </si>
  <si>
    <t>SL-2020-019</t>
  </si>
  <si>
    <t>06</t>
  </si>
  <si>
    <t>2020-0308-002</t>
  </si>
  <si>
    <t>320-042</t>
  </si>
  <si>
    <t>MAFAR-08-115-2020</t>
  </si>
  <si>
    <t>2020-BLGU-GOODS-004</t>
  </si>
  <si>
    <t>20-08-086</t>
  </si>
  <si>
    <t>MAFAR-08-113-2020</t>
  </si>
  <si>
    <t>2020-20% EDF (Continuing Appropriation) I-05-07272</t>
  </si>
  <si>
    <t>MAFAR-08-112-2020</t>
  </si>
  <si>
    <t>2020-08-028</t>
  </si>
  <si>
    <t>PB 001-08-2020</t>
  </si>
  <si>
    <t>2020-VP-GOODS-30</t>
  </si>
  <si>
    <t>CRN-PB-022-GOODS-2020</t>
  </si>
  <si>
    <t>PM-20-08-004</t>
  </si>
  <si>
    <t>PM-20-08-002</t>
  </si>
  <si>
    <t>08-04-2020-01</t>
  </si>
  <si>
    <t>IB-2020-109-INFRA</t>
  </si>
  <si>
    <t>2020-20% EDF (Realigned Projects-Current Appropria</t>
  </si>
  <si>
    <t>ITB-2020-08-060</t>
  </si>
  <si>
    <t>BCS-2020-0262</t>
  </si>
  <si>
    <t>2020_3</t>
  </si>
  <si>
    <t>PR-20-01-0007</t>
  </si>
  <si>
    <t>MAFAR-08-114-2020</t>
  </si>
  <si>
    <t>388548481</t>
  </si>
  <si>
    <t>012 s. 2020</t>
  </si>
  <si>
    <t>0806</t>
  </si>
  <si>
    <t>08-04-2020-02</t>
  </si>
  <si>
    <t>2020-06</t>
  </si>
  <si>
    <t>JULUGAN V 2020-01</t>
  </si>
  <si>
    <t>LGUBS-CW-20-1375</t>
  </si>
  <si>
    <t>0700-2020-08-036</t>
  </si>
  <si>
    <t>GOODS-ITB 2020-08-015-A</t>
  </si>
  <si>
    <t xml:space="preserve">RFQ NO. 2020-0532-EMB-SVP-ERLSD-ECMU LABOSTAR TWF </t>
  </si>
  <si>
    <t>E20080301</t>
  </si>
  <si>
    <t>MAFAR-08-116-2020</t>
  </si>
  <si>
    <t>RFQ NO. 2020-0545-EMB-S-ERLSD-ESRS FILTERS (2nd)</t>
  </si>
  <si>
    <t>MAFAR-08-110-2020</t>
  </si>
  <si>
    <t>ITB 08-2020-010</t>
  </si>
  <si>
    <t>CRN-PB-018-GOODS-2020</t>
  </si>
  <si>
    <t>AMP SVP-D NO: 20-07-0417  One (1) Lot DNA Polymera</t>
  </si>
  <si>
    <t>116969lumb</t>
  </si>
  <si>
    <t>322-2020</t>
  </si>
  <si>
    <t>ITB 08-2020-009</t>
  </si>
  <si>
    <t>BDTP 36609</t>
  </si>
  <si>
    <t>20-298</t>
  </si>
  <si>
    <t>ITB 08-2020-011</t>
  </si>
  <si>
    <t>AMP SVP-D NO: 20-07-0416  One (1) Lot Lateral Flow</t>
  </si>
  <si>
    <t>PB20-07</t>
  </si>
  <si>
    <t>CRN-PB-015-GOODS-2020</t>
  </si>
  <si>
    <t>E20080302</t>
  </si>
  <si>
    <t>G2020-03</t>
  </si>
  <si>
    <t>mhs-05-2020</t>
  </si>
  <si>
    <t>RFQ NO2020-0540-EMB-S-ERLSD-ELSS GLASSWARE (2nd)</t>
  </si>
  <si>
    <t>2020-Goods-002</t>
  </si>
  <si>
    <t>PB20-06</t>
  </si>
  <si>
    <t>GMS 36710</t>
  </si>
  <si>
    <t>MP-INFR-2020-033</t>
  </si>
  <si>
    <t>MP-INFR-2020-030</t>
  </si>
  <si>
    <t>MP-INFR-2020-031</t>
  </si>
  <si>
    <t>MP-INFR-2020-029</t>
  </si>
  <si>
    <t>14th Batch 2020</t>
  </si>
  <si>
    <t>IB NO. CW 2020 - 123</t>
  </si>
  <si>
    <t>MP-INFR-2020-032</t>
  </si>
  <si>
    <t>CRN-PB-016-GOODS-2020</t>
  </si>
  <si>
    <t>BDTP 36789</t>
  </si>
  <si>
    <t>2020-BLU-NP20%-07-01</t>
  </si>
  <si>
    <t>323-2020</t>
  </si>
  <si>
    <t>sj 2020 b aug 011</t>
  </si>
  <si>
    <t>IB NO. CW 2020 - 129</t>
  </si>
  <si>
    <t>IB NO. CW 2020 - 126</t>
  </si>
  <si>
    <t>IB NO. CW 2020 - 124</t>
  </si>
  <si>
    <t>NCEBDE-072-20</t>
  </si>
  <si>
    <t>IB NO. CW 2020 - 125</t>
  </si>
  <si>
    <t>IB NO. CW 2020 - 127</t>
  </si>
  <si>
    <t>326-2020</t>
  </si>
  <si>
    <t>CRN-PB-017-GOODS-2020</t>
  </si>
  <si>
    <t>2020-BLU-NP20%-07-03</t>
  </si>
  <si>
    <t>sj 2020 b aug 015</t>
  </si>
  <si>
    <t>sj 2020 b aug 010</t>
  </si>
  <si>
    <t>sj 2020 b aug 014</t>
  </si>
  <si>
    <t>RFQ NO. 2020-0675-EMB-S-ERLSD-ELSS METAL STANDARDS</t>
  </si>
  <si>
    <t>MP-INFR-2020-034</t>
  </si>
  <si>
    <t>nlontoc-ITB064-2020</t>
  </si>
  <si>
    <t>003- MOOE-20202</t>
  </si>
  <si>
    <t>MP-INFR-2020-036</t>
  </si>
  <si>
    <t>B-08-30-20</t>
  </si>
  <si>
    <t>DOTC-PPA-CAB NO. 85-15</t>
  </si>
  <si>
    <t>2020-BLU-NPGAD-0701</t>
  </si>
  <si>
    <t>nlontoc-ITB065-2020</t>
  </si>
  <si>
    <t>0101-2020</t>
  </si>
  <si>
    <t>7-27-20-ID1</t>
  </si>
  <si>
    <t>2020-07-424</t>
  </si>
  <si>
    <t>nlontoc-ITB069-2020</t>
  </si>
  <si>
    <t>2020-06-13B</t>
  </si>
  <si>
    <t>nlontoc-ITB067-2020</t>
  </si>
  <si>
    <t>sj 2020 b aug 012</t>
  </si>
  <si>
    <t>2020-07-21B</t>
  </si>
  <si>
    <t>sj 2020 b aug 013</t>
  </si>
  <si>
    <t>2020-07-004-02</t>
  </si>
  <si>
    <t>nlontoc-ITB068-2020</t>
  </si>
  <si>
    <t>2020-INFRA-17C</t>
  </si>
  <si>
    <t>000418</t>
  </si>
  <si>
    <t>nlontoc-ITB066-2020</t>
  </si>
  <si>
    <t>000398</t>
  </si>
  <si>
    <t>nlontoc-ITB070-2020</t>
  </si>
  <si>
    <t>000388</t>
  </si>
  <si>
    <t>000389</t>
  </si>
  <si>
    <t>7-20-20-ID1</t>
  </si>
  <si>
    <t>PR# 20-07-0742</t>
  </si>
  <si>
    <t>000354</t>
  </si>
  <si>
    <t>000375</t>
  </si>
  <si>
    <t>MP-INFR-2020-035</t>
  </si>
  <si>
    <t>000359</t>
  </si>
  <si>
    <t>000394</t>
  </si>
  <si>
    <t>000369</t>
  </si>
  <si>
    <t>brgy20200729</t>
  </si>
  <si>
    <t>7-20-20-ID2</t>
  </si>
  <si>
    <t>000416</t>
  </si>
  <si>
    <t>000371</t>
  </si>
  <si>
    <t>2020-INFRA-16B</t>
  </si>
  <si>
    <t>ISPQ 078-2020</t>
  </si>
  <si>
    <t>2020-GOODS-2B</t>
  </si>
  <si>
    <t>2020-BLU-NP20%-07-02</t>
  </si>
  <si>
    <t>7-20-20-ID3</t>
  </si>
  <si>
    <t>000391</t>
  </si>
  <si>
    <t>7-20-20-ID4</t>
  </si>
  <si>
    <t>000419</t>
  </si>
  <si>
    <t>PR # 100-2020-07-0078</t>
  </si>
  <si>
    <t>000413</t>
  </si>
  <si>
    <t>20-08-05</t>
  </si>
  <si>
    <t>2020 B-07.382</t>
  </si>
  <si>
    <t>PR # 100-2020-07-0077</t>
  </si>
  <si>
    <t>nlontoc-ITB071-2020</t>
  </si>
  <si>
    <t>2020-GOODS-3B</t>
  </si>
  <si>
    <t>PR # 100-2020-07-0107</t>
  </si>
  <si>
    <t>000109</t>
  </si>
  <si>
    <t>2020 B-07.381</t>
  </si>
  <si>
    <t>20-08-03</t>
  </si>
  <si>
    <t>650-2020</t>
  </si>
  <si>
    <t>IB NO. 08-2020- PROCUREMENT OF UV GERMICIDAL LIGHT</t>
  </si>
  <si>
    <t>7-27-20-ID4</t>
  </si>
  <si>
    <t>2020 B-07.378</t>
  </si>
  <si>
    <t>PR # 100-2020-07-0135</t>
  </si>
  <si>
    <t>20-08-06</t>
  </si>
  <si>
    <t>000165</t>
  </si>
  <si>
    <t>20-08-02</t>
  </si>
  <si>
    <t>648-2020</t>
  </si>
  <si>
    <t>KC-2020-07-0287</t>
  </si>
  <si>
    <t>PROCUREMENT OF OTHER SUPPLIES AND MATERIALS (FOOD/</t>
  </si>
  <si>
    <t>000374</t>
  </si>
  <si>
    <t>PROCUREMENT OF PRINTING SERVICES FOR THE USE OF VA</t>
  </si>
  <si>
    <t>07292020</t>
  </si>
  <si>
    <t>662-2020</t>
  </si>
  <si>
    <t>BAC IN 2020-27</t>
  </si>
  <si>
    <t>BAC IN 2020-29</t>
  </si>
  <si>
    <t>649-2020</t>
  </si>
  <si>
    <t>PROCUREMENT OF OTHER SUPPLIES AND MATERIALS FOR TH</t>
  </si>
  <si>
    <t>2020-004</t>
  </si>
  <si>
    <t>BAC IN 2020-26</t>
  </si>
  <si>
    <t>EARIST-BID-2020-009</t>
  </si>
  <si>
    <t>Barangay Habingan 2020-07-00</t>
  </si>
  <si>
    <t>20-07-0098</t>
  </si>
  <si>
    <t>20-07-0096</t>
  </si>
  <si>
    <t>663-2020</t>
  </si>
  <si>
    <t>2020-PR20-1018-232</t>
  </si>
  <si>
    <t>20-07-07-0220</t>
  </si>
  <si>
    <t>667-2020</t>
  </si>
  <si>
    <t>664-2020</t>
  </si>
  <si>
    <t>P.R. NO. 2020-07-00058</t>
  </si>
  <si>
    <t>PG-Shopping- 056-2020</t>
  </si>
  <si>
    <t>20-07-0095</t>
  </si>
  <si>
    <t>PNFC-0720-053</t>
  </si>
  <si>
    <t>BIDSTAC # NP-SVP 133-(1)-2020</t>
  </si>
  <si>
    <t>2020-PR20-1014-233</t>
  </si>
  <si>
    <t>666-2020</t>
  </si>
  <si>
    <t>PMC-020-182</t>
  </si>
  <si>
    <t>200720</t>
  </si>
  <si>
    <t>PG-Shopping- 055-2020</t>
  </si>
  <si>
    <t>VS-2020-032</t>
  </si>
  <si>
    <t>CRN 2020-08</t>
  </si>
  <si>
    <t>PEN-20-0910-NP (SV)</t>
  </si>
  <si>
    <t>665-2020</t>
  </si>
  <si>
    <t>KC-2020-07-0290</t>
  </si>
  <si>
    <t>2020-GOODS-29</t>
  </si>
  <si>
    <t>BIDSTAC # NP-SVP 150-2020</t>
  </si>
  <si>
    <t>PNFC-0720-054</t>
  </si>
  <si>
    <t>BAC IN 2020-33</t>
  </si>
  <si>
    <t>PMC-020-222</t>
  </si>
  <si>
    <t>BIDSTAC # NP-SVP 149-2020</t>
  </si>
  <si>
    <t>20-07-07-0203</t>
  </si>
  <si>
    <t>BAC IN 2020-28</t>
  </si>
  <si>
    <t>PMC-020-220</t>
  </si>
  <si>
    <t>CMOG-PN-026-20</t>
  </si>
  <si>
    <t>2020-PR20-1025-234</t>
  </si>
  <si>
    <t>BAC IN 2020-32</t>
  </si>
  <si>
    <t>BAC IN 2020-31</t>
  </si>
  <si>
    <t>PF-0320-259</t>
  </si>
  <si>
    <t>PG-Shopping- 057-2020</t>
  </si>
  <si>
    <t>20-07-04-0089</t>
  </si>
  <si>
    <t>2020-07-238</t>
  </si>
  <si>
    <t>PMC-020-221</t>
  </si>
  <si>
    <t>BAC IN 2020-30</t>
  </si>
  <si>
    <t>CMOG-PN-028-20</t>
  </si>
  <si>
    <t>CMOG-PN-030-20</t>
  </si>
  <si>
    <t>GSD-J-20-347</t>
  </si>
  <si>
    <t>BIDSTAC # NP-SVP 104-(2)-2020</t>
  </si>
  <si>
    <t>2020-07-236</t>
  </si>
  <si>
    <t>20-06-0289</t>
  </si>
  <si>
    <t>BIDSTAC # NP-SVP 132-(1)-2020</t>
  </si>
  <si>
    <t>2020-PR-20-1028-236</t>
  </si>
  <si>
    <t>2020-PR20-913-235</t>
  </si>
  <si>
    <t>20-07-07-0223</t>
  </si>
  <si>
    <t>2020-408</t>
  </si>
  <si>
    <t>20-07-05A-0046</t>
  </si>
  <si>
    <t>BAC IN 2020-35</t>
  </si>
  <si>
    <t>357-2020</t>
  </si>
  <si>
    <t>VS-2020-033</t>
  </si>
  <si>
    <t>011</t>
  </si>
  <si>
    <t>STC-GOOD- NO. 2020-0053</t>
  </si>
  <si>
    <t>BIDSTAC # NP-SVP 151-2020</t>
  </si>
  <si>
    <t>PG-Shopping- 058-2020</t>
  </si>
  <si>
    <t>STC-GOOD- NO. 2020-0051</t>
  </si>
  <si>
    <t>PMC-020-219</t>
  </si>
  <si>
    <t>PR 1162-20</t>
  </si>
  <si>
    <t>20-07-03-0011</t>
  </si>
  <si>
    <t>PR NO. 2020-07-034</t>
  </si>
  <si>
    <t>BAC IN 2020-34</t>
  </si>
  <si>
    <t>PR NO. 2020-07-022</t>
  </si>
  <si>
    <t>B Package 2020-01</t>
  </si>
  <si>
    <t>BAC IN 2020-36</t>
  </si>
  <si>
    <t>Goods-13-2020</t>
  </si>
  <si>
    <t>cgb2020-298</t>
  </si>
  <si>
    <t>P-2020-15</t>
  </si>
  <si>
    <t>cgb2020-297</t>
  </si>
  <si>
    <t>cgb2020-295</t>
  </si>
  <si>
    <t>ATI2020-07-263</t>
  </si>
  <si>
    <t>PB-2020-08-048</t>
  </si>
  <si>
    <t>cgb2020-294</t>
  </si>
  <si>
    <t>RFQ 2020-018</t>
  </si>
  <si>
    <t>2020-07-1017</t>
  </si>
  <si>
    <t>PNUNL GD 2020-08-04</t>
  </si>
  <si>
    <t>Goods-14-2020</t>
  </si>
  <si>
    <t>cgb2020-293</t>
  </si>
  <si>
    <t>cgb2020-296</t>
  </si>
  <si>
    <t>GF-20-02-00225</t>
  </si>
  <si>
    <t>PR# 20-0901</t>
  </si>
  <si>
    <t>2020-2591</t>
  </si>
  <si>
    <t>PR 1-20-07-0892 - AGRI</t>
  </si>
  <si>
    <t>PR 1-20-07-0869 - CED</t>
  </si>
  <si>
    <t>PR 1-20-07-0867 - CHO</t>
  </si>
  <si>
    <t>PR 1-20-07-0811 - CMO (CLDO) (REBIDDING)</t>
  </si>
  <si>
    <t>PR 1-20-07-0842 - TOURISM (REBIDDING)</t>
  </si>
  <si>
    <t>PR 1-20-07-0916 - CDRRMO</t>
  </si>
  <si>
    <t>PR # 100-2020-07-0136</t>
  </si>
  <si>
    <t>PR 1-20-07-0840 - AGRI (REBIDDING)</t>
  </si>
  <si>
    <t>PR 1-20-07-0846 - CHO</t>
  </si>
  <si>
    <t>PR 1-20-07-0824 - CED</t>
  </si>
  <si>
    <t>BAC-PG-00173-20</t>
  </si>
  <si>
    <t>PR 1-20-07-0845 - CHO</t>
  </si>
  <si>
    <t>PR 1-20-07-0910 - AGRI</t>
  </si>
  <si>
    <t>PR 9-20-06-0794 - CITY HOSPITAL (REBIDDING)</t>
  </si>
  <si>
    <t>BAC-PG-00175-20</t>
  </si>
  <si>
    <t>BAC-PG-00174-20</t>
  </si>
  <si>
    <t>BAC-PG-00172-20</t>
  </si>
  <si>
    <t>BAC-PG-00171-20</t>
  </si>
  <si>
    <t>MPQ-073020-116</t>
  </si>
  <si>
    <t>BAC-PG-00176-20</t>
  </si>
  <si>
    <t>TF-20-06-00901</t>
  </si>
  <si>
    <t>B-011-2020</t>
  </si>
  <si>
    <t>B-010-2020-C</t>
  </si>
  <si>
    <t>PR 1-20-07-0825 - CED (REBIDDING)</t>
  </si>
  <si>
    <t>B-010-2020-B</t>
  </si>
  <si>
    <t>KC-2020-07-0300</t>
  </si>
  <si>
    <t>2020-125</t>
  </si>
  <si>
    <t>2020-08-118</t>
  </si>
  <si>
    <t>2020-126</t>
  </si>
  <si>
    <t>2020-021</t>
  </si>
  <si>
    <t>PR 1-20-07-0887 - AGRI</t>
  </si>
  <si>
    <t>2020-GE08-001</t>
  </si>
  <si>
    <t>B-010-2020-A</t>
  </si>
  <si>
    <t>2020-048</t>
  </si>
  <si>
    <t>CRN-PB-021-GOODS-2020</t>
  </si>
  <si>
    <t>0320-12D-023</t>
  </si>
  <si>
    <t>DIM-INFRA-2020-13</t>
  </si>
  <si>
    <t>B-015-2020</t>
  </si>
  <si>
    <t>2020-07-0138</t>
  </si>
  <si>
    <t>2020-BLU-CO-08-01</t>
  </si>
  <si>
    <t>2020-024</t>
  </si>
  <si>
    <t>2020-BLU-LDRRMF-07-01</t>
  </si>
  <si>
    <t>PR 1-20-07-0893 - CMO</t>
  </si>
  <si>
    <t>2020-07-0135</t>
  </si>
  <si>
    <t>007-01-2020 Rebid</t>
  </si>
  <si>
    <t>2020-BLU-CO-08-02</t>
  </si>
  <si>
    <t>2020-07-0279</t>
  </si>
  <si>
    <t>LGULAGONOY-BAC-020-INFRA-002</t>
  </si>
  <si>
    <t>117415</t>
  </si>
  <si>
    <t>PR 2020-07-2103</t>
  </si>
  <si>
    <t>NP-SVP(A)-2020-15-ICTMD</t>
  </si>
  <si>
    <t>NP-SVP(A)-2020-007-CSL</t>
  </si>
  <si>
    <t>BRGY 012-2020</t>
  </si>
  <si>
    <t>08032020-2</t>
  </si>
  <si>
    <t>A-07232020-10</t>
  </si>
  <si>
    <t>DEPED-WBNHS-RFQ-2020-012</t>
  </si>
  <si>
    <t>08032020-1</t>
  </si>
  <si>
    <t>2020-014</t>
  </si>
  <si>
    <t>2020-127</t>
  </si>
  <si>
    <t>BSVP 2059</t>
  </si>
  <si>
    <t>004-01-2020 Rebid</t>
  </si>
  <si>
    <t>epslingayen2020-81</t>
  </si>
  <si>
    <t>PR 2020 - 03</t>
  </si>
  <si>
    <t>MG-A7M20-099</t>
  </si>
  <si>
    <t>MG-A7O20-012</t>
  </si>
  <si>
    <t>2020-07-0826 TDG</t>
  </si>
  <si>
    <t>2020-086</t>
  </si>
  <si>
    <t>2020-07-0828 TGD</t>
  </si>
  <si>
    <t>006-01-2020 Rebid</t>
  </si>
  <si>
    <t>A-02282020-01</t>
  </si>
  <si>
    <t>cgb2020-299</t>
  </si>
  <si>
    <t>PR No. 20071387</t>
  </si>
  <si>
    <t>20-263</t>
  </si>
  <si>
    <t>2020-07-0835 TDG</t>
  </si>
  <si>
    <t>MG-A7C20-033</t>
  </si>
  <si>
    <t>2020-07-0827 TDG</t>
  </si>
  <si>
    <t>epslingayen2020-82</t>
  </si>
  <si>
    <t>2020-06-040</t>
  </si>
  <si>
    <t>MG-A7M20-100</t>
  </si>
  <si>
    <t>SDOCoM-PR#CAL-20-08-002 (Calvario ES)</t>
  </si>
  <si>
    <t>BBG-WV#014-2020</t>
  </si>
  <si>
    <t>20-07-30-136</t>
  </si>
  <si>
    <t>PR No. 2020-07-0012</t>
  </si>
  <si>
    <t>POG/CO/-59</t>
  </si>
  <si>
    <t>BLGU-PBD-Anibong-2020-33.1</t>
  </si>
  <si>
    <t>cgb2020-302</t>
  </si>
  <si>
    <t>2020-08-904</t>
  </si>
  <si>
    <t>cgb2020-301</t>
  </si>
  <si>
    <t>PR 2020-07-2102</t>
  </si>
  <si>
    <t>20-07-097-A</t>
  </si>
  <si>
    <t>2020-08-905</t>
  </si>
  <si>
    <t>2020-08-031</t>
  </si>
  <si>
    <t>300</t>
  </si>
  <si>
    <t>BAC-2020-42</t>
  </si>
  <si>
    <t>cgb2020-300</t>
  </si>
  <si>
    <t>EJMNHS-Annex</t>
  </si>
  <si>
    <t>POW-1041-2020-PCO-013B</t>
  </si>
  <si>
    <t>788</t>
  </si>
  <si>
    <t>01-20 na</t>
  </si>
  <si>
    <t>2020-08-378-01</t>
  </si>
  <si>
    <t>cgb2020-306</t>
  </si>
  <si>
    <t>MG-A7M20-106</t>
  </si>
  <si>
    <t>0020-0286-1313-2020</t>
  </si>
  <si>
    <t>20-0239</t>
  </si>
  <si>
    <t>BID NO. 0720-156</t>
  </si>
  <si>
    <t>POG/OE-61</t>
  </si>
  <si>
    <t>2020-08-903</t>
  </si>
  <si>
    <t>PR#2007-0115</t>
  </si>
  <si>
    <t>2020-08-051</t>
  </si>
  <si>
    <t>cgb2020-305</t>
  </si>
  <si>
    <t>2007-0942</t>
  </si>
  <si>
    <t>BSU Project No. 2020-281</t>
  </si>
  <si>
    <t>0020-0277-1287D2020</t>
  </si>
  <si>
    <t>B2020-002</t>
  </si>
  <si>
    <t>BALZN9-2018</t>
  </si>
  <si>
    <t>RFQ NO 2020-08-24</t>
  </si>
  <si>
    <t>2020-07-0137</t>
  </si>
  <si>
    <t>2020</t>
  </si>
  <si>
    <t>cgb2020-308</t>
  </si>
  <si>
    <t>20-265</t>
  </si>
  <si>
    <t>2020-BLU-A20%DF-08-01</t>
  </si>
  <si>
    <t>RFQ-080320</t>
  </si>
  <si>
    <t>2020-BLU-A20%DF-08-02</t>
  </si>
  <si>
    <t>mos-20-0323</t>
  </si>
  <si>
    <t>2020-07-478</t>
  </si>
  <si>
    <t>cgb2020-304</t>
  </si>
  <si>
    <t>RFQ NO.2020-08-27</t>
  </si>
  <si>
    <t>QSU-BAC-H-01-2020</t>
  </si>
  <si>
    <t>NIAREG9-08-2020-501COB-085 (SH)</t>
  </si>
  <si>
    <t>2020-NPSV-13</t>
  </si>
  <si>
    <t>PR#5</t>
  </si>
  <si>
    <t>cgb2020-307</t>
  </si>
  <si>
    <t>2020-07-0093</t>
  </si>
  <si>
    <t>Goods 2020-073</t>
  </si>
  <si>
    <t>2020-08-379-02</t>
  </si>
  <si>
    <t>ACCTG 20-04</t>
  </si>
  <si>
    <t>DARFO2.CVRC.115.REC.2020-07-978.00</t>
  </si>
  <si>
    <t>TCMO 20-219</t>
  </si>
  <si>
    <t>CONSOLIDATED PR'S (2020-07-244 2ND QUOTE)</t>
  </si>
  <si>
    <t>STC-INFRA-007-2020</t>
  </si>
  <si>
    <t>2007-0932</t>
  </si>
  <si>
    <t>2020-7</t>
  </si>
  <si>
    <t>GoodsSVP-67-2020</t>
  </si>
  <si>
    <t>20-08-SO153</t>
  </si>
  <si>
    <t>ITB 20-090</t>
  </si>
  <si>
    <t>2020-07-53</t>
  </si>
  <si>
    <t>BBG-WV#015-2020</t>
  </si>
  <si>
    <t>Goods TF 03-2020</t>
  </si>
  <si>
    <t>02-20 na</t>
  </si>
  <si>
    <t>PR No. 2020-07-03</t>
  </si>
  <si>
    <t>0020-0226-1160-2020</t>
  </si>
  <si>
    <t>2020-08-380-03</t>
  </si>
  <si>
    <t>BAC-GS 2020-168 dated 28 April 2020</t>
  </si>
  <si>
    <t>2007-0947</t>
  </si>
  <si>
    <t>87IB-56-06-20-932</t>
  </si>
  <si>
    <t>RFQ NO. RBAC X-CDO-2020-112</t>
  </si>
  <si>
    <t>PRN 2020-07-025</t>
  </si>
  <si>
    <t>0015-0036-1229.2020</t>
  </si>
  <si>
    <t>101-20-08-01</t>
  </si>
  <si>
    <t>PR# 20-0921</t>
  </si>
  <si>
    <t>ITB 20-093</t>
  </si>
  <si>
    <t>0820-063</t>
  </si>
  <si>
    <t>PBG-2020-07-22</t>
  </si>
  <si>
    <t>20-07-097</t>
  </si>
  <si>
    <t>20-08-023B</t>
  </si>
  <si>
    <t>ITB 20-092</t>
  </si>
  <si>
    <t>UPR No ARMOR DIV-HHSBn-002</t>
  </si>
  <si>
    <t>2007-0969</t>
  </si>
  <si>
    <t>2020-08-37</t>
  </si>
  <si>
    <t>2020-GOODS-10</t>
  </si>
  <si>
    <t>PR#2020-03-008</t>
  </si>
  <si>
    <t>LGU LAUREL 20-08-001</t>
  </si>
  <si>
    <t>152.2020</t>
  </si>
  <si>
    <t>PR-11118</t>
  </si>
  <si>
    <t>RFQ NO. 2020-08-26</t>
  </si>
  <si>
    <t>2020-ANT-GOODS-0115</t>
  </si>
  <si>
    <t>pontevedra-20-G023</t>
  </si>
  <si>
    <t>1011-08-03-2020</t>
  </si>
  <si>
    <t>cgb2020-303</t>
  </si>
  <si>
    <t>100-1917-20-289</t>
  </si>
  <si>
    <t>POG/CO-60</t>
  </si>
  <si>
    <t>ITB 20-091</t>
  </si>
  <si>
    <t>20-264</t>
  </si>
  <si>
    <t>159</t>
  </si>
  <si>
    <t>NVQSD 2020-07-124</t>
  </si>
  <si>
    <t>PR0149-20 DOPMC NEGO</t>
  </si>
  <si>
    <t>2020-116</t>
  </si>
  <si>
    <t>G-B012-2020</t>
  </si>
  <si>
    <t>2020-06-009</t>
  </si>
  <si>
    <t>BSU Project No. 2020-282</t>
  </si>
  <si>
    <t>DARFO2.CVRC.115.REC.2020-07-979.00</t>
  </si>
  <si>
    <t>20070660</t>
  </si>
  <si>
    <t>08-03-2020</t>
  </si>
  <si>
    <t>01-05-2020-07-787</t>
  </si>
  <si>
    <t>UBC-034-2020</t>
  </si>
  <si>
    <t>2020-55</t>
  </si>
  <si>
    <t>CRN NO. 2020-002</t>
  </si>
  <si>
    <t>Goods TF 05-2020</t>
  </si>
  <si>
    <t>QN-200710-1/ EQ-20-0751</t>
  </si>
  <si>
    <t>RFQ NO. RBAC X-CDO-2020-102</t>
  </si>
  <si>
    <t>2020-08-381-04</t>
  </si>
  <si>
    <t>PR 2020-07-476</t>
  </si>
  <si>
    <t>P.R. No.:DARFO2.QES.115.20-07-076</t>
  </si>
  <si>
    <t>20200308</t>
  </si>
  <si>
    <t>2020-Barangay Cabugawan-02</t>
  </si>
  <si>
    <t>0020-0201-1091.2020</t>
  </si>
  <si>
    <t>UPR No 522ES4-MO3-78-2020</t>
  </si>
  <si>
    <t>2020-07-143</t>
  </si>
  <si>
    <t>Public Bidding No. 2019-019</t>
  </si>
  <si>
    <t>INFRA-NCB-NVIMO-38R-20</t>
  </si>
  <si>
    <t>2020-08-03-001 / 202008001</t>
  </si>
  <si>
    <t>PR#20-07-0453</t>
  </si>
  <si>
    <t>MBHTE-BARMM-B055-2020</t>
  </si>
  <si>
    <t>UPR No ARMOR DIV-HHSBn-001</t>
  </si>
  <si>
    <t>2020-56</t>
  </si>
  <si>
    <t>2020-07-077</t>
  </si>
  <si>
    <t>0031-0003-1219-2020</t>
  </si>
  <si>
    <t>2020-08-107</t>
  </si>
  <si>
    <t>NP-SVP-391-2020</t>
  </si>
  <si>
    <t>2020-08-0447</t>
  </si>
  <si>
    <t>CY 2020-20% DF (Continuing Appropriation) G-01-062</t>
  </si>
  <si>
    <t>PR0008-20 DOPMC NEGO</t>
  </si>
  <si>
    <t>INFRA-2020-237</t>
  </si>
  <si>
    <t>2020-08-108</t>
  </si>
  <si>
    <t>2020-04-052(07308603)</t>
  </si>
  <si>
    <t>PR#20-07-0409</t>
  </si>
  <si>
    <t>MBHTE-BARMM-056-2020</t>
  </si>
  <si>
    <t>Contract No. 2020-182</t>
  </si>
  <si>
    <t>20CSK00002</t>
  </si>
  <si>
    <t>PR#20-07-0758</t>
  </si>
  <si>
    <t>20-516</t>
  </si>
  <si>
    <t>007-20-0522</t>
  </si>
  <si>
    <t>2020-ANT-GOODS-0149</t>
  </si>
  <si>
    <t>2020-050</t>
  </si>
  <si>
    <t>PAN20-07-046</t>
  </si>
  <si>
    <t>Goods TF 08-2020</t>
  </si>
  <si>
    <t>ITB-2020-08-055</t>
  </si>
  <si>
    <t>20-025</t>
  </si>
  <si>
    <t>2020-57</t>
  </si>
  <si>
    <t>100-9998-20-428</t>
  </si>
  <si>
    <t>0820-064</t>
  </si>
  <si>
    <t>2020-118</t>
  </si>
  <si>
    <t>Brgy. Canroma-20-G01</t>
  </si>
  <si>
    <t>100-2020-07-0175</t>
  </si>
  <si>
    <t>094-2020</t>
  </si>
  <si>
    <t>INFRA-2020-238</t>
  </si>
  <si>
    <t>UPR No 522ES4-MO3-79-2020</t>
  </si>
  <si>
    <t>PBgoods023-2020</t>
  </si>
  <si>
    <t>0820-065</t>
  </si>
  <si>
    <t>AGINF2020-0804A</t>
  </si>
  <si>
    <t>9FSSU UPR NR: 024-2020</t>
  </si>
  <si>
    <t>LGU-ROX-CWC-13-2020</t>
  </si>
  <si>
    <t>2020-07-058</t>
  </si>
  <si>
    <t>PR20-060</t>
  </si>
  <si>
    <t>SN-2020-08-014</t>
  </si>
  <si>
    <t>PR No. 100-20-07-212</t>
  </si>
  <si>
    <t>2020-24B</t>
  </si>
  <si>
    <t>CEO(ADMIN)20-024(SHOPPING)</t>
  </si>
  <si>
    <t>Supply and Delivery of Various Construction Materi</t>
  </si>
  <si>
    <t>BCS-2020-0253</t>
  </si>
  <si>
    <t>BCS-2020-0254</t>
  </si>
  <si>
    <t>2020-PB-06-02</t>
  </si>
  <si>
    <t>2020-013</t>
  </si>
  <si>
    <t>2020-GOODS-08-017</t>
  </si>
  <si>
    <t>2020-07-00617</t>
  </si>
  <si>
    <t>20-07-750</t>
  </si>
  <si>
    <t>RFQ-35</t>
  </si>
  <si>
    <t>Contract No. 2020-189</t>
  </si>
  <si>
    <t>62-20</t>
  </si>
  <si>
    <t>547-07-2020-016</t>
  </si>
  <si>
    <t>61-20</t>
  </si>
  <si>
    <t>2020-25B</t>
  </si>
  <si>
    <t>20CSK00003</t>
  </si>
  <si>
    <t>CMO-ICADAC-20-041(NP/SV)</t>
  </si>
  <si>
    <t>BCS-2020-0255</t>
  </si>
  <si>
    <t>DA3-56-07-06-2020</t>
  </si>
  <si>
    <t>NFAIPIL-08-001</t>
  </si>
  <si>
    <t>mos-20-0324</t>
  </si>
  <si>
    <t>2020-08-09</t>
  </si>
  <si>
    <t>pr-2020-07-0387</t>
  </si>
  <si>
    <t>2020-005</t>
  </si>
  <si>
    <t>BA 2020-08</t>
  </si>
  <si>
    <t>PR No. 100-20-07-209</t>
  </si>
  <si>
    <t>RFQ 25-2020</t>
  </si>
  <si>
    <t>20CSK00004</t>
  </si>
  <si>
    <t>BBG-WV#016-2020</t>
  </si>
  <si>
    <t>SEF-I-67-2020</t>
  </si>
  <si>
    <t>BLGU-PBD-Bulala-2020-39</t>
  </si>
  <si>
    <t>20-020</t>
  </si>
  <si>
    <t>ITB-2020-08-058</t>
  </si>
  <si>
    <t>BIMO-GOODS-SVP2020-SP-P4</t>
  </si>
  <si>
    <t>20-07-957</t>
  </si>
  <si>
    <t>RFQ-37</t>
  </si>
  <si>
    <t>095-2020</t>
  </si>
  <si>
    <t>63-20</t>
  </si>
  <si>
    <t>BSU Project No. 2020-283</t>
  </si>
  <si>
    <t>RFQ  097-2020 MGB XII</t>
  </si>
  <si>
    <t>RFQ-019-2020</t>
  </si>
  <si>
    <t>DAS2020-057</t>
  </si>
  <si>
    <t>2020-07-0036</t>
  </si>
  <si>
    <t>8ASR-ICT-03-20-933</t>
  </si>
  <si>
    <t>0820-066</t>
  </si>
  <si>
    <t>SJ-20-201</t>
  </si>
  <si>
    <t>20PK0073</t>
  </si>
  <si>
    <t>20CSK00005</t>
  </si>
  <si>
    <t>Contract No. 2020-190</t>
  </si>
  <si>
    <t>PR No. 2020-08-018</t>
  </si>
  <si>
    <t>SN-2020-08-015</t>
  </si>
  <si>
    <t>64-20</t>
  </si>
  <si>
    <t>20-07-231</t>
  </si>
  <si>
    <t>NP-SVP-392-2020</t>
  </si>
  <si>
    <t>67-20</t>
  </si>
  <si>
    <t>RFQ-8-3-2020</t>
  </si>
  <si>
    <t>LGU-ROX-CWC-14-2020</t>
  </si>
  <si>
    <t>20-07-958</t>
  </si>
  <si>
    <t>2020-008-003</t>
  </si>
  <si>
    <t>PR-2020-08-0393</t>
  </si>
  <si>
    <t>TLU-010720G</t>
  </si>
  <si>
    <t>66-20</t>
  </si>
  <si>
    <t>PR 2020-06-10-101</t>
  </si>
  <si>
    <t>20-08-114</t>
  </si>
  <si>
    <t>DFP PURCH 20-063</t>
  </si>
  <si>
    <t>NF 2007-0267 &amp; NF 2007-0268</t>
  </si>
  <si>
    <t>20-07-007</t>
  </si>
  <si>
    <t>096-2020</t>
  </si>
  <si>
    <t>100-1011-20-440</t>
  </si>
  <si>
    <t>SN20-07-829</t>
  </si>
  <si>
    <t>PR2007-59</t>
  </si>
  <si>
    <t>zrg2020-08</t>
  </si>
  <si>
    <t>234154</t>
  </si>
  <si>
    <t>117279cansi</t>
  </si>
  <si>
    <t>20-0237</t>
  </si>
  <si>
    <t>TESDA PR-0266</t>
  </si>
  <si>
    <t>GOODS-C-UCRIS PIP/PIS-01-2020</t>
  </si>
  <si>
    <t>BBG-WV#017-2020</t>
  </si>
  <si>
    <t>S-2020-82</t>
  </si>
  <si>
    <t>P.R No. 2020-07-152</t>
  </si>
  <si>
    <t>HILONGOS 2020-228</t>
  </si>
  <si>
    <t>20CSK00007</t>
  </si>
  <si>
    <t>HILONGOS 2020-229</t>
  </si>
  <si>
    <t>20GG0058-G</t>
  </si>
  <si>
    <t>SEF-I-68-2020</t>
  </si>
  <si>
    <t>2020-03-045(07308603)</t>
  </si>
  <si>
    <t>2019-47a</t>
  </si>
  <si>
    <t>105TH-13580-SSBN-2020</t>
  </si>
  <si>
    <t>SJ-20-202</t>
  </si>
  <si>
    <t>RFQ-38</t>
  </si>
  <si>
    <t>20CSK00009</t>
  </si>
  <si>
    <t>016-SVRFQ-CY2020</t>
  </si>
  <si>
    <t>305THCO-14018-NAVFORCEN-43-2020</t>
  </si>
  <si>
    <t>2020-03-08-01</t>
  </si>
  <si>
    <t>097-2020</t>
  </si>
  <si>
    <t>0302020</t>
  </si>
  <si>
    <t>2020-2447</t>
  </si>
  <si>
    <t>2020-07-116 A</t>
  </si>
  <si>
    <t>mos-20-0325</t>
  </si>
  <si>
    <t>BUCAF-2020-033</t>
  </si>
  <si>
    <t>CMO(CDLO)14-004-ICILP(NP/SV)</t>
  </si>
  <si>
    <t>SN-2020-08-016</t>
  </si>
  <si>
    <t>MCIAA 07-589-20</t>
  </si>
  <si>
    <t>20CSK00011</t>
  </si>
  <si>
    <t>PR No. 2020-07-181</t>
  </si>
  <si>
    <t>mnto 20 0015</t>
  </si>
  <si>
    <t>20CSK00008</t>
  </si>
  <si>
    <t>QSU-BAC-H-02-2020 01D HES</t>
  </si>
  <si>
    <t>CMO(CDLO)14-003(NP/SV)</t>
  </si>
  <si>
    <t>20-0238</t>
  </si>
  <si>
    <t>20CSK00010</t>
  </si>
  <si>
    <t>MCIAA 07-588-20</t>
  </si>
  <si>
    <t>LSB-2020-01</t>
  </si>
  <si>
    <t>2019-07-0001</t>
  </si>
  <si>
    <t>SAR-GOODS-07-088-2020</t>
  </si>
  <si>
    <t>PR. 20-07-288 (2020-08-261)</t>
  </si>
  <si>
    <t>QSU-BAC-H-03-2020</t>
  </si>
  <si>
    <t>2020-08-069</t>
  </si>
  <si>
    <t>2020 - 096</t>
  </si>
  <si>
    <t>9000.23</t>
  </si>
  <si>
    <t>PBgoos025-2020</t>
  </si>
  <si>
    <t>LGU-170-2020</t>
  </si>
  <si>
    <t>BLGU-PBD-Binisitahan Sur-2020-35.1</t>
  </si>
  <si>
    <t>PR# 20-0914</t>
  </si>
  <si>
    <t>100-20-06-414</t>
  </si>
  <si>
    <t>20-164-034</t>
  </si>
  <si>
    <t>2020-06-168/170</t>
  </si>
  <si>
    <t>2020 - 095</t>
  </si>
  <si>
    <t>2007-0948</t>
  </si>
  <si>
    <t>2020-2420</t>
  </si>
  <si>
    <t>CEMO-20-101(NP/SV)</t>
  </si>
  <si>
    <t>105TH-13596-50IB-2020</t>
  </si>
  <si>
    <t>100-9998-20-477</t>
  </si>
  <si>
    <t>20-630</t>
  </si>
  <si>
    <t>SAR-GOODS-07-090-2020</t>
  </si>
  <si>
    <t>2020-07-002-A</t>
  </si>
  <si>
    <t>0008-2020</t>
  </si>
  <si>
    <t>SN-2020-08-017</t>
  </si>
  <si>
    <t>2020-033</t>
  </si>
  <si>
    <t>PR NO. 2020-05-028</t>
  </si>
  <si>
    <t>SAR-GOODS-07-089-2020</t>
  </si>
  <si>
    <t>Lgn1-SVP2020-08-0018</t>
  </si>
  <si>
    <t>2020-06-174C</t>
  </si>
  <si>
    <t>STC-GOOD- NO. 2020-0054</t>
  </si>
  <si>
    <t>65-20</t>
  </si>
  <si>
    <t>2020-08-035</t>
  </si>
  <si>
    <t>147.2020</t>
  </si>
  <si>
    <t>20CSK00006</t>
  </si>
  <si>
    <t>2020_GOODS_021</t>
  </si>
  <si>
    <t>PR#2020-07-111</t>
  </si>
  <si>
    <t>CWD- 2020-07-01</t>
  </si>
  <si>
    <t>CMO-CDRRMO(C)-20-090(NP/SV)</t>
  </si>
  <si>
    <t>LTFRB-008-001</t>
  </si>
  <si>
    <t>2020-07-584</t>
  </si>
  <si>
    <t>MCIAA 07-596-20</t>
  </si>
  <si>
    <t>2020-07-213</t>
  </si>
  <si>
    <t>BLGU-PBD-Aguada Sur-2020-34.1</t>
  </si>
  <si>
    <t>PR2020-474</t>
  </si>
  <si>
    <t>305THCO-14025-NAVFORCEN-50-2020</t>
  </si>
  <si>
    <t>20CSK00012</t>
  </si>
  <si>
    <t>mnto 20 0016</t>
  </si>
  <si>
    <t>07-20-0534</t>
  </si>
  <si>
    <t>2020-08-10</t>
  </si>
  <si>
    <t>SD-Engineering2020-054</t>
  </si>
  <si>
    <t>GOODS #2020-391</t>
  </si>
  <si>
    <t>2020-2195</t>
  </si>
  <si>
    <t>20-08-406</t>
  </si>
  <si>
    <t>ITB 2020-03 GOODS</t>
  </si>
  <si>
    <t>SAR-GOODS-08-001-2020</t>
  </si>
  <si>
    <t>HILONGOS 2020-230</t>
  </si>
  <si>
    <t>TM-20-07-0060</t>
  </si>
  <si>
    <t>TESDA PR-0278</t>
  </si>
  <si>
    <t>TUGBAS-OO1RFQ-2020</t>
  </si>
  <si>
    <t>SB6 HDMP19 300-20-06-06236</t>
  </si>
  <si>
    <t>PR-11130</t>
  </si>
  <si>
    <t>Jiab-2020-10D</t>
  </si>
  <si>
    <t>2020-08-382-05</t>
  </si>
  <si>
    <t>100-07-20-02050</t>
  </si>
  <si>
    <t>20-07-745</t>
  </si>
  <si>
    <t>LGU-171-2020</t>
  </si>
  <si>
    <t>LGU-ROX-CWC-15-2020</t>
  </si>
  <si>
    <t>Lgn1-SVP2020-08-0019</t>
  </si>
  <si>
    <t>2020-0803</t>
  </si>
  <si>
    <t>GOODS# 2020-392</t>
  </si>
  <si>
    <t>2020080301</t>
  </si>
  <si>
    <t>20GIL0051</t>
  </si>
  <si>
    <t>07-20-0518</t>
  </si>
  <si>
    <t>20-07-100</t>
  </si>
  <si>
    <t>355AEW 1025-2020-0017</t>
  </si>
  <si>
    <t>GOOD-2020-08-023</t>
  </si>
  <si>
    <t>2020-08-03-001</t>
  </si>
  <si>
    <t>100-2003-266-GF</t>
  </si>
  <si>
    <t>SAR-GOODS-07-091-2020</t>
  </si>
  <si>
    <t>396472</t>
  </si>
  <si>
    <t>20-07-0</t>
  </si>
  <si>
    <t>4PS-2020-06-0186</t>
  </si>
  <si>
    <t>SAR-GOODS-08-002-2020</t>
  </si>
  <si>
    <t>AGGDS2020-0804B</t>
  </si>
  <si>
    <t>20200803-57</t>
  </si>
  <si>
    <t>08-058-20</t>
  </si>
  <si>
    <t>CMO-CDRRMO(C)-20-109(NP/SV)</t>
  </si>
  <si>
    <t>2020-PR20-1035-238</t>
  </si>
  <si>
    <t>GOODS-20-S212</t>
  </si>
  <si>
    <t>SJ-20-203</t>
  </si>
  <si>
    <t>2007-0893</t>
  </si>
  <si>
    <t>2020-208</t>
  </si>
  <si>
    <t>2020-08-03-002</t>
  </si>
  <si>
    <t>355AEW 1025-2020-0015</t>
  </si>
  <si>
    <t>20GAC0033</t>
  </si>
  <si>
    <t>CBAA2020-08-08</t>
  </si>
  <si>
    <t>RQ 07-275</t>
  </si>
  <si>
    <t>429-2020</t>
  </si>
  <si>
    <t>B16-1</t>
  </si>
  <si>
    <t>RFQ-2020-07-0982</t>
  </si>
  <si>
    <t>2020-123</t>
  </si>
  <si>
    <t>2020-08-001PB</t>
  </si>
  <si>
    <t>SN 2020-002</t>
  </si>
  <si>
    <t>QSU-BAC-H-05-2020</t>
  </si>
  <si>
    <t>RQ 07-019A</t>
  </si>
  <si>
    <t>PB-2020-02</t>
  </si>
  <si>
    <t>CNSCVPRE2020</t>
  </si>
  <si>
    <t>nagcalsot202006</t>
  </si>
  <si>
    <t>ITB-2020-051</t>
  </si>
  <si>
    <t>2020-07-115 A</t>
  </si>
  <si>
    <t>GOODS-20-S213</t>
  </si>
  <si>
    <t>2020-04-LIBAS</t>
  </si>
  <si>
    <t>ADS-1752-20</t>
  </si>
  <si>
    <t>2020-2485</t>
  </si>
  <si>
    <t>2020-07-0260-NMSF</t>
  </si>
  <si>
    <t>QN-200803-6/ SM-20-0831</t>
  </si>
  <si>
    <t>LGU BASILISA - 2020 - 0146</t>
  </si>
  <si>
    <t>20-08-0187</t>
  </si>
  <si>
    <t>225-20</t>
  </si>
  <si>
    <t>355AEW 1025-2020-0019</t>
  </si>
  <si>
    <t>B16-2</t>
  </si>
  <si>
    <t>PR NO. 2020-08-020</t>
  </si>
  <si>
    <t>2020-07-156</t>
  </si>
  <si>
    <t>INFRA-2020-239</t>
  </si>
  <si>
    <t>RFQ 0720-046</t>
  </si>
  <si>
    <t>ibaan-2020-125</t>
  </si>
  <si>
    <t>20-16</t>
  </si>
  <si>
    <t>LTFRB-008-002</t>
  </si>
  <si>
    <t>107-2020</t>
  </si>
  <si>
    <t>ITB-2020-053</t>
  </si>
  <si>
    <t>20-002</t>
  </si>
  <si>
    <t>LGU BASILISA - 2020 - 0147</t>
  </si>
  <si>
    <t>2020 12</t>
  </si>
  <si>
    <t>355AEW 1025-2020-0018</t>
  </si>
  <si>
    <t>BCS-2020-0256</t>
  </si>
  <si>
    <t>ITB-2020-052</t>
  </si>
  <si>
    <t>RFQ-048-2020</t>
  </si>
  <si>
    <t>LGU-ROX-CWC-16-2020</t>
  </si>
  <si>
    <t>032-2020</t>
  </si>
  <si>
    <t>2020-053</t>
  </si>
  <si>
    <t>017-MUN-INFRA-20</t>
  </si>
  <si>
    <t>LGU LAUREL 20-08-002</t>
  </si>
  <si>
    <t>RFQ 0720-049</t>
  </si>
  <si>
    <t>100-20-07-397</t>
  </si>
  <si>
    <t>226-20</t>
  </si>
  <si>
    <t>RQ 07-047A</t>
  </si>
  <si>
    <t>B16-3</t>
  </si>
  <si>
    <t>20-286</t>
  </si>
  <si>
    <t>098-2020</t>
  </si>
  <si>
    <t>2020-08-383-06</t>
  </si>
  <si>
    <t>355AEW 1025-2020-0016</t>
  </si>
  <si>
    <t>2020-07-0029</t>
  </si>
  <si>
    <t>RQ 07-073A</t>
  </si>
  <si>
    <t>SN20-07-787</t>
  </si>
  <si>
    <t>PR 2020-07-460</t>
  </si>
  <si>
    <t>MCIAA 07-599-20</t>
  </si>
  <si>
    <t>20-07-743</t>
  </si>
  <si>
    <t>2020-08-2408</t>
  </si>
  <si>
    <t>91-F</t>
  </si>
  <si>
    <t>20-07-0179</t>
  </si>
  <si>
    <t>DCWD2020- RFQ 033</t>
  </si>
  <si>
    <t>RFQ-2020-07-0981</t>
  </si>
  <si>
    <t>PB NO:2020-08-28</t>
  </si>
  <si>
    <t>8032020</t>
  </si>
  <si>
    <t>CBSUA-SIP-GOODS-13-2020</t>
  </si>
  <si>
    <t>QSU-BAC-H-04-2020 01D HES</t>
  </si>
  <si>
    <t>ITB No. 2020-14</t>
  </si>
  <si>
    <t>2020-07-410-RHU</t>
  </si>
  <si>
    <t>BBG-WV#020-2020</t>
  </si>
  <si>
    <t>CMO(ADM)-20-020(NP/SV)</t>
  </si>
  <si>
    <t>4</t>
  </si>
  <si>
    <t>SVP GOODS 2020-18</t>
  </si>
  <si>
    <t>CMO-CDRRMO(C)20-089(NP/SV)</t>
  </si>
  <si>
    <t>2020 06</t>
  </si>
  <si>
    <t>BCS-2020-0257</t>
  </si>
  <si>
    <t>0015-2020</t>
  </si>
  <si>
    <t>SN 2020-001</t>
  </si>
  <si>
    <t>bs3 2020-001</t>
  </si>
  <si>
    <t>102CO-2020-256</t>
  </si>
  <si>
    <t>RFQ no. 20-08-002</t>
  </si>
  <si>
    <t>DRMD-2020-07-0267</t>
  </si>
  <si>
    <t>RFQ 0720-052</t>
  </si>
  <si>
    <t>RQ 07-065A</t>
  </si>
  <si>
    <t>B16-4</t>
  </si>
  <si>
    <t>20-07-0180</t>
  </si>
  <si>
    <t>2020-105</t>
  </si>
  <si>
    <t>Acquisition of Equipment for Tech-Gabay Program</t>
  </si>
  <si>
    <t>2020-08-40</t>
  </si>
  <si>
    <t>2020-08-0115</t>
  </si>
  <si>
    <t>PR2020-177</t>
  </si>
  <si>
    <t>LGU Nasipit-2020-084</t>
  </si>
  <si>
    <t>CGT- Goods- 2020-00132</t>
  </si>
  <si>
    <t>20 -242</t>
  </si>
  <si>
    <t>LTFRB-008-003</t>
  </si>
  <si>
    <t>2020-2301</t>
  </si>
  <si>
    <t>S4-20-1613</t>
  </si>
  <si>
    <t>2020-08-41</t>
  </si>
  <si>
    <t>LGU-ROX-CWC-17-2020</t>
  </si>
  <si>
    <t>CBSUA-SIP-GOODS-14-2020</t>
  </si>
  <si>
    <t>DFP PURCH 20-064</t>
  </si>
  <si>
    <t>CNSCOVPRE2020</t>
  </si>
  <si>
    <t>2020-360</t>
  </si>
  <si>
    <t>BCS-2020-0259</t>
  </si>
  <si>
    <t>PB-2020-08-049</t>
  </si>
  <si>
    <t>TAYSAN2020-087</t>
  </si>
  <si>
    <t>20-003</t>
  </si>
  <si>
    <t>PR. 20-07-294 (2020-08-260)</t>
  </si>
  <si>
    <t>B08-01-2020</t>
  </si>
  <si>
    <t>2020-2508-017</t>
  </si>
  <si>
    <t>102CO-2020-257</t>
  </si>
  <si>
    <t>2020-07-0175</t>
  </si>
  <si>
    <t>355AEW 1025-2020-0020</t>
  </si>
  <si>
    <t>20-07-262</t>
  </si>
  <si>
    <t>2020222</t>
  </si>
  <si>
    <t>DF-2020-20</t>
  </si>
  <si>
    <t>B16-5</t>
  </si>
  <si>
    <t>QN-200803-2/ DM-20-0811</t>
  </si>
  <si>
    <t>2020-209</t>
  </si>
  <si>
    <t>PB-2020-08-050</t>
  </si>
  <si>
    <t>RFQ-2020-07-0979</t>
  </si>
  <si>
    <t>CEO(SLUM)20-003(NP/SV)</t>
  </si>
  <si>
    <t>RFQ 20-008-001</t>
  </si>
  <si>
    <t>QN-200803-4/ DM-20-0812</t>
  </si>
  <si>
    <t>RFQ no. 20-08-003</t>
  </si>
  <si>
    <t>QN2020-08-052A</t>
  </si>
  <si>
    <t>2020-08-03-02</t>
  </si>
  <si>
    <t>BAC 27-20</t>
  </si>
  <si>
    <t>2020-07-PR 028</t>
  </si>
  <si>
    <t>RFQ-2020-07-0974</t>
  </si>
  <si>
    <t>RFQ 2020-07-0662</t>
  </si>
  <si>
    <t>2020-ANT-INFRA-0007</t>
  </si>
  <si>
    <t>QSU-BAC-H-06-2020 05D Res</t>
  </si>
  <si>
    <t>GOODS20-05-051</t>
  </si>
  <si>
    <t>2020-SG08-0016</t>
  </si>
  <si>
    <t>PR. No. 20-07-059</t>
  </si>
  <si>
    <t>2020-ANT-INFRA-0006</t>
  </si>
  <si>
    <t>BCS-2020-0258</t>
  </si>
  <si>
    <t>CWSV 2020-08-002</t>
  </si>
  <si>
    <t>2020-07-32 A</t>
  </si>
  <si>
    <t>CWSV 2020-008-003</t>
  </si>
  <si>
    <t>B16-6</t>
  </si>
  <si>
    <t>RFQ 2020 07-0657</t>
  </si>
  <si>
    <t>BAC-PG-00177-20</t>
  </si>
  <si>
    <t>BCD-2020-048</t>
  </si>
  <si>
    <t>2020 07</t>
  </si>
  <si>
    <t>36</t>
  </si>
  <si>
    <t>06-3rd Quarter</t>
  </si>
  <si>
    <t>RFQ-2020-07-0967</t>
  </si>
  <si>
    <t>SP(LEGIS)20-102(NP/SV)</t>
  </si>
  <si>
    <t>2020-GOODS-331</t>
  </si>
  <si>
    <t>BRGY. TAUGTOG- INFRA-2020-002</t>
  </si>
  <si>
    <t>PR NO. 2020-08-022</t>
  </si>
  <si>
    <t>2020-GOODS-330</t>
  </si>
  <si>
    <t>018-MUN-INFRA-20</t>
  </si>
  <si>
    <t>080320</t>
  </si>
  <si>
    <t>2020-GOODS-329</t>
  </si>
  <si>
    <t>ITB No. 2020-27</t>
  </si>
  <si>
    <t>20-29</t>
  </si>
  <si>
    <t>03-3rd Quarter</t>
  </si>
  <si>
    <t>66-1</t>
  </si>
  <si>
    <t>GOODS-2020-25</t>
  </si>
  <si>
    <t>1102Bde-2020-17</t>
  </si>
  <si>
    <t>RFQ-2020-03-0327R</t>
  </si>
  <si>
    <t>P.R.#20-07-273 Audio Video Capture &amp; Playback Devi</t>
  </si>
  <si>
    <t>LTFRB-008-005</t>
  </si>
  <si>
    <t>20-08-0189</t>
  </si>
  <si>
    <t>08-20-01</t>
  </si>
  <si>
    <t>072020-01</t>
  </si>
  <si>
    <t>RFQ 093-2020</t>
  </si>
  <si>
    <t>ADC 1133-2020-0035</t>
  </si>
  <si>
    <t>20200803-2</t>
  </si>
  <si>
    <t>ITB No. 2020-28</t>
  </si>
  <si>
    <t>2020083</t>
  </si>
  <si>
    <t>00161-2020</t>
  </si>
  <si>
    <t>BRGY. TAUGTOG -INFRA-003</t>
  </si>
  <si>
    <t>019-MUN-INFRA-20</t>
  </si>
  <si>
    <t>2020-PLA-079</t>
  </si>
  <si>
    <t>1102Bde-2020-19</t>
  </si>
  <si>
    <t>20200803-1</t>
  </si>
  <si>
    <t>200043</t>
  </si>
  <si>
    <t>CWSV 2020-008-004</t>
  </si>
  <si>
    <t>20-08-0188</t>
  </si>
  <si>
    <t>WC-2020-08-252</t>
  </si>
  <si>
    <t>CW001</t>
  </si>
  <si>
    <t>B16-8</t>
  </si>
  <si>
    <t>2020-07-087</t>
  </si>
  <si>
    <t>2020-GOODS-328</t>
  </si>
  <si>
    <t>INFRA-0003-2020</t>
  </si>
  <si>
    <t>LTFRB-008-008</t>
  </si>
  <si>
    <t>Goods2020-037</t>
  </si>
  <si>
    <t>B16-7</t>
  </si>
  <si>
    <t>PR-2020-1930</t>
  </si>
  <si>
    <t>1102Bde-2020-21</t>
  </si>
  <si>
    <t>080320-79</t>
  </si>
  <si>
    <t>100200801123</t>
  </si>
  <si>
    <t>pgeps#342-2020</t>
  </si>
  <si>
    <t>20-08-0190</t>
  </si>
  <si>
    <t>2020-ANT-INFRA-0008</t>
  </si>
  <si>
    <t>BP-080320-029</t>
  </si>
  <si>
    <t>547-07-2020-017</t>
  </si>
  <si>
    <t>004</t>
  </si>
  <si>
    <t>50-20-05-040</t>
  </si>
  <si>
    <t>1102Bde-2020-22</t>
  </si>
  <si>
    <t>DWD#2020- 040</t>
  </si>
  <si>
    <t>PR-2020-1887</t>
  </si>
  <si>
    <t>1102Bde-2020-18</t>
  </si>
  <si>
    <t>2020-039 Improvement of Basketball Court</t>
  </si>
  <si>
    <t>B16-9</t>
  </si>
  <si>
    <t>021-MUN-INFRA-20</t>
  </si>
  <si>
    <t>005</t>
  </si>
  <si>
    <t>006</t>
  </si>
  <si>
    <t>020-MUN-INFRA-20</t>
  </si>
  <si>
    <t>ADS-1783-20</t>
  </si>
  <si>
    <t>2020-08-2412</t>
  </si>
  <si>
    <t>NONE</t>
  </si>
  <si>
    <t>PR-2020-1495</t>
  </si>
  <si>
    <t>BP-20-036</t>
  </si>
  <si>
    <t>LTFRB-008-006</t>
  </si>
  <si>
    <t>INFRA 2020-17</t>
  </si>
  <si>
    <t>pgeps#343-2020</t>
  </si>
  <si>
    <t>2020-0090</t>
  </si>
  <si>
    <t>ADS-1782-20</t>
  </si>
  <si>
    <t>2020-08-03-14</t>
  </si>
  <si>
    <t>BP-20-037</t>
  </si>
  <si>
    <t>100-1910-833-GF</t>
  </si>
  <si>
    <t>08-20-02</t>
  </si>
  <si>
    <t>PR-2020-1902</t>
  </si>
  <si>
    <t>LTFRB-008-010</t>
  </si>
  <si>
    <t>007</t>
  </si>
  <si>
    <t>SS-1442-20</t>
  </si>
  <si>
    <t>2020 Kulaman Valley</t>
  </si>
  <si>
    <t>32-s-20</t>
  </si>
  <si>
    <t>33-S-20</t>
  </si>
  <si>
    <t>nlp2020-21</t>
  </si>
  <si>
    <t>080320-80</t>
  </si>
  <si>
    <t>QN-200803-1/ DM-20-0806</t>
  </si>
  <si>
    <t>2020-07-409</t>
  </si>
  <si>
    <t>MAL-2020-07-02</t>
  </si>
  <si>
    <t>8-51-20</t>
  </si>
  <si>
    <t>2020-04-054(07308603)</t>
  </si>
  <si>
    <t>2020-ANT-INFRA-0010</t>
  </si>
  <si>
    <t>PNU2020-0052</t>
  </si>
  <si>
    <t>2020-GOODS-337</t>
  </si>
  <si>
    <t>PR 1-20-07-0913 - GSD</t>
  </si>
  <si>
    <t>358-2020</t>
  </si>
  <si>
    <t>PR-2020-1819</t>
  </si>
  <si>
    <t>2020-GOODS-41</t>
  </si>
  <si>
    <t>2020-100</t>
  </si>
  <si>
    <t>SS-1420-20</t>
  </si>
  <si>
    <t>08-20-03</t>
  </si>
  <si>
    <t>20-08-0191</t>
  </si>
  <si>
    <t>2020-ANT-INFRA-0009</t>
  </si>
  <si>
    <t>Goods2020-038</t>
  </si>
  <si>
    <t>QN-200803-3/ DM-20-0813</t>
  </si>
  <si>
    <t>ADS-1753-20</t>
  </si>
  <si>
    <t>PB-2020-08</t>
  </si>
  <si>
    <t>RFQ 2020-124</t>
  </si>
  <si>
    <t>LTFRB-008-012</t>
  </si>
  <si>
    <t>088</t>
  </si>
  <si>
    <t>20-07-0218</t>
  </si>
  <si>
    <t>PR-2020-1813</t>
  </si>
  <si>
    <t>2020-0025</t>
  </si>
  <si>
    <t>PR-2020-1881</t>
  </si>
  <si>
    <t>USTP-GSPB-08-5050105003/5020503000-2020</t>
  </si>
  <si>
    <t>2020-GOODS-332</t>
  </si>
  <si>
    <t>PR 18-20-06-0773 - CED (REBIDDING)</t>
  </si>
  <si>
    <t>ITB (CW-08-2020-022) 20DD0377</t>
  </si>
  <si>
    <t>2020 RFQ 037 "REFURBISHMENT AND REPAIR OF SWEETPOT</t>
  </si>
  <si>
    <t>PR-2020-1891</t>
  </si>
  <si>
    <t>ADS-1751-20</t>
  </si>
  <si>
    <t>RFQ 2020-126</t>
  </si>
  <si>
    <t>LTFRB-008-013</t>
  </si>
  <si>
    <t>lgu-es-20-08-185</t>
  </si>
  <si>
    <t>2020-099</t>
  </si>
  <si>
    <t>PB-2020-07</t>
  </si>
  <si>
    <t>N-23-2020</t>
  </si>
  <si>
    <t>20-07-0215</t>
  </si>
  <si>
    <t>20-08-0192</t>
  </si>
  <si>
    <t>ADS-1750-20</t>
  </si>
  <si>
    <t>SS-1423-20</t>
  </si>
  <si>
    <t>2020-05-005</t>
  </si>
  <si>
    <t>002-001-2020</t>
  </si>
  <si>
    <t>PR-2020-1884</t>
  </si>
  <si>
    <t>20-07-05A-0041</t>
  </si>
  <si>
    <t>DARFO2.CVRC.115.REC.2020-07-1007.00</t>
  </si>
  <si>
    <t>022-BAC-01-SBO-20</t>
  </si>
  <si>
    <t>LGU-172-2020</t>
  </si>
  <si>
    <t>RFQ-GOODS-2020-091</t>
  </si>
  <si>
    <t>20-08-285</t>
  </si>
  <si>
    <t>IB NO. CW 2020 - 130</t>
  </si>
  <si>
    <t>491-2020</t>
  </si>
  <si>
    <t>GSD-J-20-382</t>
  </si>
  <si>
    <t>B16-10</t>
  </si>
  <si>
    <t>06-20-A112</t>
  </si>
  <si>
    <t>41IB-2020-16</t>
  </si>
  <si>
    <t>RFQ PR NO. 861</t>
  </si>
  <si>
    <t>RFQ 2020-127</t>
  </si>
  <si>
    <t>08-20-04</t>
  </si>
  <si>
    <t>DCS-2020-19</t>
  </si>
  <si>
    <t>2020-GOODS-333</t>
  </si>
  <si>
    <t>pgeps#344-2020</t>
  </si>
  <si>
    <t>ADS-1754-20</t>
  </si>
  <si>
    <t>2020 - 32</t>
  </si>
  <si>
    <t>07-01005</t>
  </si>
  <si>
    <t>ADS-1749-20</t>
  </si>
  <si>
    <t>RFQ-GOODS-2020-092</t>
  </si>
  <si>
    <t>20-07-0212</t>
  </si>
  <si>
    <t>722</t>
  </si>
  <si>
    <t>BP-080320-030</t>
  </si>
  <si>
    <t>LTFRB-008-014</t>
  </si>
  <si>
    <t>134</t>
  </si>
  <si>
    <t>ITB (CW-08-2020-022) 20DD0378</t>
  </si>
  <si>
    <t>2020-GOODS-334</t>
  </si>
  <si>
    <t>2020-02-0376, 2020-02-0240, 2020-02-0371</t>
  </si>
  <si>
    <t>PR 18-20-07-0875 - CED</t>
  </si>
  <si>
    <t>359-2020</t>
  </si>
  <si>
    <t>2020-06-114(05206441)</t>
  </si>
  <si>
    <t>MES-2020-03</t>
  </si>
  <si>
    <t>20-07-0216</t>
  </si>
  <si>
    <t>2020-08-12</t>
  </si>
  <si>
    <t>DARFO2.CVRC.115.REC.2020-07-1006.00</t>
  </si>
  <si>
    <t>ADS-1599-20</t>
  </si>
  <si>
    <t>20GFL0005</t>
  </si>
  <si>
    <t>486-2020</t>
  </si>
  <si>
    <t>07-01044</t>
  </si>
  <si>
    <t>INFRA-2020-026</t>
  </si>
  <si>
    <t>20-08-0193</t>
  </si>
  <si>
    <t>2020-06-0584</t>
  </si>
  <si>
    <t>ppn-137-2020</t>
  </si>
  <si>
    <t>ITB (CW-08-2020-022) 20DD0379</t>
  </si>
  <si>
    <t>0020-0290-1332-2020</t>
  </si>
  <si>
    <t>IB NO. CW 2020 - 131</t>
  </si>
  <si>
    <t>07-00913</t>
  </si>
  <si>
    <t>BAC RFQ 20-550</t>
  </si>
  <si>
    <t>pgeps#346-2020</t>
  </si>
  <si>
    <t>1101BDE-2020-07-013</t>
  </si>
  <si>
    <t>171, 185</t>
  </si>
  <si>
    <t>2020-03-0474</t>
  </si>
  <si>
    <t>2020-2342</t>
  </si>
  <si>
    <t>023-BAC-02-MMO-20</t>
  </si>
  <si>
    <t>SEF-I-69-2020</t>
  </si>
  <si>
    <t>MPRSD-2020-07-0336</t>
  </si>
  <si>
    <t>B16-11</t>
  </si>
  <si>
    <t>DA7-08-FOD-L-20-2842</t>
  </si>
  <si>
    <t>725</t>
  </si>
  <si>
    <t>2020-06-0593, 2020-05-0507, 2020-02-0243, 2020-02-</t>
  </si>
  <si>
    <t>B16-12</t>
  </si>
  <si>
    <t>MPQ-080220-118</t>
  </si>
  <si>
    <t>20-07-056</t>
  </si>
  <si>
    <t>2020-GOODS-336</t>
  </si>
  <si>
    <t>PR No. 2020-08</t>
  </si>
  <si>
    <t>07-20-A137</t>
  </si>
  <si>
    <t>20-07-07-0238</t>
  </si>
  <si>
    <t>490-2020</t>
  </si>
  <si>
    <t>726</t>
  </si>
  <si>
    <t>pgeps#347-2020</t>
  </si>
  <si>
    <t>2020-07-507</t>
  </si>
  <si>
    <t>ITB 2020-074</t>
  </si>
  <si>
    <t>LTFRB-008-015</t>
  </si>
  <si>
    <t>GO-20-08-054</t>
  </si>
  <si>
    <t>NP413-ITEQUIPMENT|SUPPLIES|MTO</t>
  </si>
  <si>
    <t>BAC-PGCS-136-2020</t>
  </si>
  <si>
    <t>20-07-07-0237</t>
  </si>
  <si>
    <t>08-20-05</t>
  </si>
  <si>
    <t>1788</t>
  </si>
  <si>
    <t>07-20-A131</t>
  </si>
  <si>
    <t>pgeps#348-2020</t>
  </si>
  <si>
    <t>07-01028</t>
  </si>
  <si>
    <t>ITB2020-08-01</t>
  </si>
  <si>
    <t>2020-GOODS-340</t>
  </si>
  <si>
    <t>0031-0004.-1220.2020</t>
  </si>
  <si>
    <t>pgeps#345-2020</t>
  </si>
  <si>
    <t>07-20-A138-A</t>
  </si>
  <si>
    <t>CGS-2020-0213</t>
  </si>
  <si>
    <t>648</t>
  </si>
  <si>
    <t>2020223</t>
  </si>
  <si>
    <t>08-20-06</t>
  </si>
  <si>
    <t>ITB (CW-08-2020-022) 20DD0380</t>
  </si>
  <si>
    <t>UPR No SSTS-MO3-MV-2020-15</t>
  </si>
  <si>
    <t>OGDS 08-3-20</t>
  </si>
  <si>
    <t>LGU-100-2020-07-506</t>
  </si>
  <si>
    <t>20-08-0194</t>
  </si>
  <si>
    <t>024-BAC-02-MEO-20</t>
  </si>
  <si>
    <t>2020 Malibatuan</t>
  </si>
  <si>
    <t>2020-08-384-07</t>
  </si>
  <si>
    <t>P.R. No. 2020-07-071</t>
  </si>
  <si>
    <t>S-262-2020</t>
  </si>
  <si>
    <t>2020-07-505</t>
  </si>
  <si>
    <t>305THCO-14072-NAVFORCEN-46-2020</t>
  </si>
  <si>
    <t>2020-07-0190</t>
  </si>
  <si>
    <t>B16-13</t>
  </si>
  <si>
    <t>20-07-07-0213</t>
  </si>
  <si>
    <t>ADS-1732-20</t>
  </si>
  <si>
    <t>100-20-06-0681</t>
  </si>
  <si>
    <t>N-592-2020</t>
  </si>
  <si>
    <t>GO-20-08-055</t>
  </si>
  <si>
    <t>PR2020-06-0045 INFRA</t>
  </si>
  <si>
    <t>2020-07-501</t>
  </si>
  <si>
    <t>2020-02-0226, 2020-02-0210, 2020-02-0280</t>
  </si>
  <si>
    <t>N-596-2020</t>
  </si>
  <si>
    <t>20-07-121-01</t>
  </si>
  <si>
    <t>GO-20-08-056</t>
  </si>
  <si>
    <t>2020-AP-08-34</t>
  </si>
  <si>
    <t>RFQ 20-684</t>
  </si>
  <si>
    <t>RFQ-218-2020</t>
  </si>
  <si>
    <t>B-08-31-20</t>
  </si>
  <si>
    <t>BAC-PGCS-182-2020</t>
  </si>
  <si>
    <t>CS 20-007</t>
  </si>
  <si>
    <t>SS-1422-20</t>
  </si>
  <si>
    <t>07-01009</t>
  </si>
  <si>
    <t>07-01027</t>
  </si>
  <si>
    <t>2020-01-0054, 2020-02-0308, 2020-02-0204, 2020-06-</t>
  </si>
  <si>
    <t>SS-1399-20</t>
  </si>
  <si>
    <t>RFQ-2020-08-001</t>
  </si>
  <si>
    <t>SVP 20-08-154</t>
  </si>
  <si>
    <t>BAC-AS-2020-07-27</t>
  </si>
  <si>
    <t>ORM-2027-20</t>
  </si>
  <si>
    <t>INF-2020-003</t>
  </si>
  <si>
    <t>MPQ-080320-119</t>
  </si>
  <si>
    <t>BR-TIGUMA-INF20-08-01</t>
  </si>
  <si>
    <t>GEPS – 2020 – 73</t>
  </si>
  <si>
    <t>03-2020-0141</t>
  </si>
  <si>
    <t>N-614-2020</t>
  </si>
  <si>
    <t>proc.123</t>
  </si>
  <si>
    <t>TF-20-07-447(O)</t>
  </si>
  <si>
    <t>ITB (CW-08-2020-022) 20DD0381</t>
  </si>
  <si>
    <t>P.R. No. 2020-07-064</t>
  </si>
  <si>
    <t>2020-07-144</t>
  </si>
  <si>
    <t>SS-1421-20</t>
  </si>
  <si>
    <t>089</t>
  </si>
  <si>
    <t>30-20-07-083</t>
  </si>
  <si>
    <t>2020-07-509</t>
  </si>
  <si>
    <t>SN20-07-788</t>
  </si>
  <si>
    <t>TM-2020-0045</t>
  </si>
  <si>
    <t>LGU-BALINGASAG-9005-20-085</t>
  </si>
  <si>
    <t>P.R. No. 2020-07-080</t>
  </si>
  <si>
    <t>2020-07-323</t>
  </si>
  <si>
    <t>004-RFQ-01-MEO-20</t>
  </si>
  <si>
    <t>R.I.S. No.: 20-03-012</t>
  </si>
  <si>
    <t>20-07-09-0021</t>
  </si>
  <si>
    <t>090</t>
  </si>
  <si>
    <t>RFQ No. 244</t>
  </si>
  <si>
    <t>2020-G-59</t>
  </si>
  <si>
    <t>sal-2020-006</t>
  </si>
  <si>
    <t>2020-0094</t>
  </si>
  <si>
    <t>04-2020</t>
  </si>
  <si>
    <t>BBG-WV#021-2020</t>
  </si>
  <si>
    <t>20-07-122-01</t>
  </si>
  <si>
    <t>S-261-2020</t>
  </si>
  <si>
    <t>20PA0137</t>
  </si>
  <si>
    <t>409</t>
  </si>
  <si>
    <t>20-08-155</t>
  </si>
  <si>
    <t>2020-07-345</t>
  </si>
  <si>
    <t>BAC-PGCS-183-2020</t>
  </si>
  <si>
    <t>20-07-062</t>
  </si>
  <si>
    <t>SJ-20-204</t>
  </si>
  <si>
    <t>2020-07-510</t>
  </si>
  <si>
    <t>BR-TIGUMA-INF20-08-02</t>
  </si>
  <si>
    <t>091</t>
  </si>
  <si>
    <t>07-2020-0286</t>
  </si>
  <si>
    <t>GEPS – 2020 – 75</t>
  </si>
  <si>
    <t>2020-02-0285</t>
  </si>
  <si>
    <t>100-20-07-0721</t>
  </si>
  <si>
    <t>2020-07-500</t>
  </si>
  <si>
    <t>GEPS – 2020 – 74</t>
  </si>
  <si>
    <t>2020-2</t>
  </si>
  <si>
    <t>B16-14</t>
  </si>
  <si>
    <t>2020-08-JD63</t>
  </si>
  <si>
    <t>LGU-LEZO-2020-013</t>
  </si>
  <si>
    <t>20-07-064</t>
  </si>
  <si>
    <t>07-2020-0287</t>
  </si>
  <si>
    <t>2020-2369</t>
  </si>
  <si>
    <t>2020-265</t>
  </si>
  <si>
    <t>20-07-08-0056</t>
  </si>
  <si>
    <t>NIU-077-2020</t>
  </si>
  <si>
    <t>20-08-0195</t>
  </si>
  <si>
    <t>BAG-1-2020-052</t>
  </si>
  <si>
    <t>2020-0230</t>
  </si>
  <si>
    <t>RFQ No. 20-08-048P</t>
  </si>
  <si>
    <t>2020-07-004</t>
  </si>
  <si>
    <t>2020-02-0439</t>
  </si>
  <si>
    <t>Infra 2020-02</t>
  </si>
  <si>
    <t>SV-0868-2020</t>
  </si>
  <si>
    <t>305THCO-14077-NAVFORCEN-47-2020</t>
  </si>
  <si>
    <t>PR 2020-08-03</t>
  </si>
  <si>
    <t>RFQ-219-2020</t>
  </si>
  <si>
    <t>TESDA-SFIST-PR-2020-01-0027</t>
  </si>
  <si>
    <t>08032020-67</t>
  </si>
  <si>
    <t>ITB-2020-001</t>
  </si>
  <si>
    <t>MPQ-080320-120</t>
  </si>
  <si>
    <t>2020-522</t>
  </si>
  <si>
    <t>0029-2020</t>
  </si>
  <si>
    <t>20-07-07-0205</t>
  </si>
  <si>
    <t>20-08-407</t>
  </si>
  <si>
    <t>BAC2020-08-033</t>
  </si>
  <si>
    <t>2020-02-0292, 2020-02-0291</t>
  </si>
  <si>
    <t>092</t>
  </si>
  <si>
    <t>2020-006-001</t>
  </si>
  <si>
    <t>2020-08-036</t>
  </si>
  <si>
    <t>093</t>
  </si>
  <si>
    <t>IB NO. CW 2020 - 132</t>
  </si>
  <si>
    <t>2020-07-2945</t>
  </si>
  <si>
    <t>LGU-LEZO-2020-014</t>
  </si>
  <si>
    <t>117231CamES</t>
  </si>
  <si>
    <t>07-2020-0300</t>
  </si>
  <si>
    <t>100(01)20-07-034(P)</t>
  </si>
  <si>
    <t>ppn-138-2020</t>
  </si>
  <si>
    <t>2020-08-026-MEO</t>
  </si>
  <si>
    <t>PR 20-07-0298</t>
  </si>
  <si>
    <t>ITB (CW-08-2020-022) 20DD0382</t>
  </si>
  <si>
    <t>2020-2103</t>
  </si>
  <si>
    <t>07-20-0504</t>
  </si>
  <si>
    <t>20-07-063</t>
  </si>
  <si>
    <t>GF-G-76-2020</t>
  </si>
  <si>
    <t>BS20-07-0788</t>
  </si>
  <si>
    <t>concreting2020August-2</t>
  </si>
  <si>
    <t>CGS-2020-0211</t>
  </si>
  <si>
    <t>117231CamEs02</t>
  </si>
  <si>
    <t>RFQ-020-2020</t>
  </si>
  <si>
    <t>20G00114</t>
  </si>
  <si>
    <t>BAC2020-08-034</t>
  </si>
  <si>
    <t>20-08-102</t>
  </si>
  <si>
    <t>SEC PB 2020-020</t>
  </si>
  <si>
    <t>NIU-078-2020</t>
  </si>
  <si>
    <t>2020-471</t>
  </si>
  <si>
    <t>B16-15</t>
  </si>
  <si>
    <t>PR-2020-2026</t>
  </si>
  <si>
    <t>2020-07-508</t>
  </si>
  <si>
    <t>LGU-RX-CWC-18-2020</t>
  </si>
  <si>
    <t>TOWWM-1146-2020-0043</t>
  </si>
  <si>
    <t>20-20-04-140</t>
  </si>
  <si>
    <t>RFQ-220-2020</t>
  </si>
  <si>
    <t>2020-08-095</t>
  </si>
  <si>
    <t>20-07-07-0214</t>
  </si>
  <si>
    <t>SH-014-2020</t>
  </si>
  <si>
    <t>08-059-20</t>
  </si>
  <si>
    <t>117488037</t>
  </si>
  <si>
    <t>PR 2020-0417</t>
  </si>
  <si>
    <t>INFRA-ETG-20-06-013</t>
  </si>
  <si>
    <t>2020/08/01</t>
  </si>
  <si>
    <t>TF-20-07-071(M)</t>
  </si>
  <si>
    <t>2020-07-2946</t>
  </si>
  <si>
    <t>INFRA-2020-08-49</t>
  </si>
  <si>
    <t>27dambuk20</t>
  </si>
  <si>
    <t>20-08-016</t>
  </si>
  <si>
    <t>2020-02-0311, 2020-02-0380, 2020-02-0273, 2020-01-</t>
  </si>
  <si>
    <t>Mkna-GSO-20-329</t>
  </si>
  <si>
    <t>551-07-2020 (DEP-ED)</t>
  </si>
  <si>
    <t>BS20-07-0775</t>
  </si>
  <si>
    <t>LGUBal2020-06</t>
  </si>
  <si>
    <t>100(200)20-07-456(O)</t>
  </si>
  <si>
    <t>CDC 59-08-2020</t>
  </si>
  <si>
    <t>RFQ 20-174</t>
  </si>
  <si>
    <t>BBG-WV#022-2020</t>
  </si>
  <si>
    <t>20-07-07-0236</t>
  </si>
  <si>
    <t>60-20-07-162</t>
  </si>
  <si>
    <t>R.I.S. No.: 20-83-149</t>
  </si>
  <si>
    <t>2020-08-096</t>
  </si>
  <si>
    <t>BS20-07-0777</t>
  </si>
  <si>
    <t>20G00115</t>
  </si>
  <si>
    <t>RFQ-2020-036</t>
  </si>
  <si>
    <t>100(01)20-07-035(P)</t>
  </si>
  <si>
    <t>BS20-07-0776</t>
  </si>
  <si>
    <t>2020-07-0136</t>
  </si>
  <si>
    <t>2020-GOODS-335</t>
  </si>
  <si>
    <t>RFQ-0803 #2 SM-531</t>
  </si>
  <si>
    <t>2020-07-018</t>
  </si>
  <si>
    <t>CGS-2020-0214</t>
  </si>
  <si>
    <t>2020-07-090 (Reposting)</t>
  </si>
  <si>
    <t>2020-08-195</t>
  </si>
  <si>
    <t>BAC2020-08-035</t>
  </si>
  <si>
    <t>2020-GOODS-341</t>
  </si>
  <si>
    <t>B16-17</t>
  </si>
  <si>
    <t>2020-07-019</t>
  </si>
  <si>
    <t>B-115-2020</t>
  </si>
  <si>
    <t>300(18)20-07-449(O)</t>
  </si>
  <si>
    <t>300(18)20-07-450(O)</t>
  </si>
  <si>
    <t>100-2007-586-GF</t>
  </si>
  <si>
    <t>ITB2020-02</t>
  </si>
  <si>
    <t>20GBI018</t>
  </si>
  <si>
    <t>20GNE0043</t>
  </si>
  <si>
    <t>2020-GOODS-339</t>
  </si>
  <si>
    <t>DBM-2020-0119</t>
  </si>
  <si>
    <t>PR No. 138</t>
  </si>
  <si>
    <t>AMP SVP-D NO: 20-07-0248B</t>
  </si>
  <si>
    <t>04-AUGUST- 2020- GOODS- CARPENTRY</t>
  </si>
  <si>
    <t>BS20-07-0779</t>
  </si>
  <si>
    <t>20-07-233-A</t>
  </si>
  <si>
    <t>B16-16</t>
  </si>
  <si>
    <t>NP-SVP-20-068</t>
  </si>
  <si>
    <t>SH-015-2020</t>
  </si>
  <si>
    <t>2020-210</t>
  </si>
  <si>
    <t>ppn-140-2020</t>
  </si>
  <si>
    <t>HCC2020016</t>
  </si>
  <si>
    <t>2020-GOODS-338</t>
  </si>
  <si>
    <t>100(01)20-07-439(O)</t>
  </si>
  <si>
    <t>ppn-141-2020</t>
  </si>
  <si>
    <t>300(18)20-07-446(O)</t>
  </si>
  <si>
    <t>RFQ 20-176</t>
  </si>
  <si>
    <t>2020-07-020</t>
  </si>
  <si>
    <t>CGS-2020-0215</t>
  </si>
  <si>
    <t>28dambuk20</t>
  </si>
  <si>
    <t>8003012020</t>
  </si>
  <si>
    <t>2020-08-097</t>
  </si>
  <si>
    <t>117488038</t>
  </si>
  <si>
    <t>BS20-07-0780</t>
  </si>
  <si>
    <t>2020-GOODS-342</t>
  </si>
  <si>
    <t>PB-2020-08-001</t>
  </si>
  <si>
    <t>2020-0803-026</t>
  </si>
  <si>
    <t>ORM-2026-20</t>
  </si>
  <si>
    <t>20-08-103</t>
  </si>
  <si>
    <t>300(01)20-07-010(AD)</t>
  </si>
  <si>
    <t>1176-20-04-76</t>
  </si>
  <si>
    <t>2020-07-100 (Reposting)</t>
  </si>
  <si>
    <t>2020-0095</t>
  </si>
  <si>
    <t>2020-12-038-INFRA</t>
  </si>
  <si>
    <t>100(01)20-07-440(O)</t>
  </si>
  <si>
    <t>B16-18</t>
  </si>
  <si>
    <t>20-07-3171</t>
  </si>
  <si>
    <t>2020/08/002</t>
  </si>
  <si>
    <t>80-20-02-019</t>
  </si>
  <si>
    <t>LGU-BLU-20-08-059</t>
  </si>
  <si>
    <t>20-08-104</t>
  </si>
  <si>
    <t>GOODS-2020-02-03</t>
  </si>
  <si>
    <t>20-03-05-0004 Re-canvass</t>
  </si>
  <si>
    <t>2020-569</t>
  </si>
  <si>
    <t>SPC PR No. 1000033324</t>
  </si>
  <si>
    <t>MPQ-080320-121</t>
  </si>
  <si>
    <t>2020-211</t>
  </si>
  <si>
    <t>BSU Malvar-Project No. 2020-018</t>
  </si>
  <si>
    <t>20GBI019</t>
  </si>
  <si>
    <t>100-20-07-0430</t>
  </si>
  <si>
    <t>8003022020</t>
  </si>
  <si>
    <t>08-2020-001</t>
  </si>
  <si>
    <t>Manila202007</t>
  </si>
  <si>
    <t>SVP 20-0917</t>
  </si>
  <si>
    <t>RFQ-0803 #1 SM-519A</t>
  </si>
  <si>
    <t>ppn-139-2020</t>
  </si>
  <si>
    <t>BAC 28-20</t>
  </si>
  <si>
    <t>SJ-20-205</t>
  </si>
  <si>
    <t>PR-2020-1481</t>
  </si>
  <si>
    <t>20AB0123</t>
  </si>
  <si>
    <t>2020-02-0120, 2020-02-0312, 2020-02-0203, 2020-02-</t>
  </si>
  <si>
    <t>TF-20-07-069(M)</t>
  </si>
  <si>
    <t>100(01)20-07-033(P)</t>
  </si>
  <si>
    <t>2020-07-2944</t>
  </si>
  <si>
    <t>MPDPaugust-2</t>
  </si>
  <si>
    <t>RFP-20-08-004</t>
  </si>
  <si>
    <t>2020-07-00618</t>
  </si>
  <si>
    <t>REF #049-08-2020</t>
  </si>
  <si>
    <t>2020-466</t>
  </si>
  <si>
    <t>20-08-0196</t>
  </si>
  <si>
    <t>100(01)20-07-090(M)</t>
  </si>
  <si>
    <t>TESDA-SFIST-PR-2020-07-0019</t>
  </si>
  <si>
    <t>2020-07-503</t>
  </si>
  <si>
    <t>NPDC-2020-RFQ-017</t>
  </si>
  <si>
    <t>BR-TIGUMA-INF20-08-03</t>
  </si>
  <si>
    <t>2020-07-068-D</t>
  </si>
  <si>
    <t>2020-07-504</t>
  </si>
  <si>
    <t>TF-20-07-070(M)</t>
  </si>
  <si>
    <t>2020 Caib 132</t>
  </si>
  <si>
    <t>02-049-2020</t>
  </si>
  <si>
    <t>P.R. No. X6-20-06-251</t>
  </si>
  <si>
    <t>BAC IN 2020-37</t>
  </si>
  <si>
    <t>PR. NO. 2020-07-000020</t>
  </si>
  <si>
    <t>PR# 20-0902</t>
  </si>
  <si>
    <t>2020-206</t>
  </si>
  <si>
    <t>BAC IN 2020-38</t>
  </si>
  <si>
    <t>GHQPC-OJ4-OTSM-1640-20</t>
  </si>
  <si>
    <t>BAC IN 2020-41</t>
  </si>
  <si>
    <t>STC-GOOD- NO. 2020-0050</t>
  </si>
  <si>
    <t>BAC IN 2020-40</t>
  </si>
  <si>
    <t>0341R</t>
  </si>
  <si>
    <t>2020-147</t>
  </si>
  <si>
    <t>0340R</t>
  </si>
  <si>
    <t>LGU-MABINI2020-043</t>
  </si>
  <si>
    <t>2020-149</t>
  </si>
  <si>
    <t>S-20-005</t>
  </si>
  <si>
    <t>0347R</t>
  </si>
  <si>
    <t>07-103-2020</t>
  </si>
  <si>
    <t>LGU-MABINI2020-042</t>
  </si>
  <si>
    <t>2020-148</t>
  </si>
  <si>
    <t>R1-672-2020</t>
  </si>
  <si>
    <t>2020-07-256</t>
  </si>
  <si>
    <t>RFQ 2020-07-0186</t>
  </si>
  <si>
    <t>P.R. No. X3-20-06-239</t>
  </si>
  <si>
    <t>0331R</t>
  </si>
  <si>
    <t>2020-06-285</t>
  </si>
  <si>
    <t>PR. NO. 2020-07-000014</t>
  </si>
  <si>
    <t>RFQ 2020-07-0185</t>
  </si>
  <si>
    <t>GSD-J-20-297</t>
  </si>
  <si>
    <t>LGUPROC 2020 - 163N</t>
  </si>
  <si>
    <t>BAC IN 2020-39</t>
  </si>
  <si>
    <t>2020-150</t>
  </si>
  <si>
    <t>LGUPROC 2020 - 164N</t>
  </si>
  <si>
    <t>PF-0720-775</t>
  </si>
  <si>
    <t>HNSLG-0620-0027</t>
  </si>
  <si>
    <t>PR# 20-0903</t>
  </si>
  <si>
    <t>LGU-MABINI2020-046</t>
  </si>
  <si>
    <t>0387</t>
  </si>
  <si>
    <t>20-06-051</t>
  </si>
  <si>
    <t>20-07-0359</t>
  </si>
  <si>
    <t>LGU-MABINI2020-045</t>
  </si>
  <si>
    <t>0386</t>
  </si>
  <si>
    <t>LGU-MABINI2020-044</t>
  </si>
  <si>
    <t>0385</t>
  </si>
  <si>
    <t>20-02-08-0020 Re-canvass</t>
  </si>
  <si>
    <t>STC-GOOD- NO. 2020-0052</t>
  </si>
  <si>
    <t>2020-01-009 svp</t>
  </si>
  <si>
    <t>TD-HSSG-0420-0004</t>
  </si>
  <si>
    <t>DDO-20-5520</t>
  </si>
  <si>
    <t>DDO-20-5069</t>
  </si>
  <si>
    <t>CMOG-PN-025-20</t>
  </si>
  <si>
    <t>LGU-MABINI2020-048</t>
  </si>
  <si>
    <t>2020-393</t>
  </si>
  <si>
    <t>LGU-MABINI2020-047</t>
  </si>
  <si>
    <t>20-06-0298</t>
  </si>
  <si>
    <t>2020-373</t>
  </si>
  <si>
    <t>P.R. No. X1-20-05-215</t>
  </si>
  <si>
    <t>CMOG-PN-029-20</t>
  </si>
  <si>
    <t>PF-0720-774</t>
  </si>
  <si>
    <t>LGU-MABINI2020-049</t>
  </si>
  <si>
    <t>PF-0720-773</t>
  </si>
  <si>
    <t>RFQ No. 20-08-62</t>
  </si>
  <si>
    <t>2020-07-447</t>
  </si>
  <si>
    <t>DDO-20-C0812</t>
  </si>
  <si>
    <t>07-118-2020</t>
  </si>
  <si>
    <t>DDO-20-2058-rebid</t>
  </si>
  <si>
    <t>0357R</t>
  </si>
  <si>
    <t>20-07-357</t>
  </si>
  <si>
    <t>0349R</t>
  </si>
  <si>
    <t>DDO-20-C0813</t>
  </si>
  <si>
    <t>001-008</t>
  </si>
  <si>
    <t>PR-692</t>
  </si>
  <si>
    <t>LGU-MABINI2020-050</t>
  </si>
  <si>
    <t>20-07-070</t>
  </si>
  <si>
    <t>2020-07-03</t>
  </si>
  <si>
    <t>RFQ No.07-0455A-20 COE</t>
  </si>
  <si>
    <t>P.R. No. X6-20-07-292</t>
  </si>
  <si>
    <t>P.R. No. X11-20-07-325</t>
  </si>
  <si>
    <t>LGU-MABINI2020-051</t>
  </si>
  <si>
    <t>GSD-J-20-282</t>
  </si>
  <si>
    <t>GSD-J-20-283</t>
  </si>
  <si>
    <t>PF-0620-651</t>
  </si>
  <si>
    <t>VS-2020-034</t>
  </si>
  <si>
    <t>2020-07-254</t>
  </si>
  <si>
    <t>PF-0720-750</t>
  </si>
  <si>
    <t>BAC-2020-812</t>
  </si>
  <si>
    <t>LGU-MABINI2020-052</t>
  </si>
  <si>
    <t>RFQ 2020-07-0184</t>
  </si>
  <si>
    <t>BAC-2020-824</t>
  </si>
  <si>
    <t>0388</t>
  </si>
  <si>
    <t>2020-07-2922</t>
  </si>
  <si>
    <t>00001770</t>
  </si>
  <si>
    <t>0279-2020</t>
  </si>
  <si>
    <t>P.R. No. X7-20-06-241</t>
  </si>
  <si>
    <t>RFQ No.07-0464-20A CAAD</t>
  </si>
  <si>
    <t>MOB-2020-013</t>
  </si>
  <si>
    <t>GSD-J-20-346</t>
  </si>
  <si>
    <t>2020-PR20-1027-237</t>
  </si>
  <si>
    <t>2020-07-248</t>
  </si>
  <si>
    <t>PR-691</t>
  </si>
  <si>
    <t>CAL-2020-01-001</t>
  </si>
  <si>
    <t>202120</t>
  </si>
  <si>
    <t>INFRA-2020-07-45</t>
  </si>
  <si>
    <t>0346R</t>
  </si>
  <si>
    <t>BAC-2020-816</t>
  </si>
  <si>
    <t>202086</t>
  </si>
  <si>
    <t>P.R. No. X7-20-06-233</t>
  </si>
  <si>
    <t>0393</t>
  </si>
  <si>
    <t>P.R. No. X7-20-07-321</t>
  </si>
  <si>
    <t>202048</t>
  </si>
  <si>
    <t>LGU-MABINI2020-053</t>
  </si>
  <si>
    <t>00001786</t>
  </si>
  <si>
    <t>PR-764</t>
  </si>
  <si>
    <t>0390</t>
  </si>
  <si>
    <t>NICTC-0720-049</t>
  </si>
  <si>
    <t>INFRA-2020-07-46</t>
  </si>
  <si>
    <t>202001</t>
  </si>
  <si>
    <t>LGU-MABINI2020-055</t>
  </si>
  <si>
    <t>P.R. No. X11-20-06-253</t>
  </si>
  <si>
    <t>202170</t>
  </si>
  <si>
    <t>351</t>
  </si>
  <si>
    <t>PR 302-020</t>
  </si>
  <si>
    <t>2020-07-04</t>
  </si>
  <si>
    <t>PR-756</t>
  </si>
  <si>
    <t>202141</t>
  </si>
  <si>
    <t>SV4NHS-2020-07-005</t>
  </si>
  <si>
    <t>0396</t>
  </si>
  <si>
    <t>201898</t>
  </si>
  <si>
    <t>ESP-GOODS-015-2020</t>
  </si>
  <si>
    <t>0395</t>
  </si>
  <si>
    <t>202115</t>
  </si>
  <si>
    <t>NICTC-0720-053</t>
  </si>
  <si>
    <t>RFQ NO. 2020-07-176</t>
  </si>
  <si>
    <t>0399</t>
  </si>
  <si>
    <t>0392</t>
  </si>
  <si>
    <t>2020-07-231</t>
  </si>
  <si>
    <t>PR-757</t>
  </si>
  <si>
    <t>201962</t>
  </si>
  <si>
    <t>202067</t>
  </si>
  <si>
    <t>INFRA-2020-07-48</t>
  </si>
  <si>
    <t>2020-07-249</t>
  </si>
  <si>
    <t>LGU-MABINI2020-054</t>
  </si>
  <si>
    <t>PR# 20-07-0317</t>
  </si>
  <si>
    <t>0389</t>
  </si>
  <si>
    <t>CAL-2020-01-002</t>
  </si>
  <si>
    <t>201213</t>
  </si>
  <si>
    <t>202106</t>
  </si>
  <si>
    <t>LP2020LG</t>
  </si>
  <si>
    <t>P-0810</t>
  </si>
  <si>
    <t>202113</t>
  </si>
  <si>
    <t>0394</t>
  </si>
  <si>
    <t>Adv.20-020</t>
  </si>
  <si>
    <t>SUC 2020-07-002</t>
  </si>
  <si>
    <t>202169</t>
  </si>
  <si>
    <t>0397</t>
  </si>
  <si>
    <t>P-0809</t>
  </si>
  <si>
    <t>0401</t>
  </si>
  <si>
    <t>NPSVP-2020-69</t>
  </si>
  <si>
    <t>202165</t>
  </si>
  <si>
    <t>P-0811</t>
  </si>
  <si>
    <t>0400</t>
  </si>
  <si>
    <t>2020-122</t>
  </si>
  <si>
    <t>NPSVP-2020-70</t>
  </si>
  <si>
    <t>2020-INFRA-5D</t>
  </si>
  <si>
    <t>LGU-SIN-2020-07-221</t>
  </si>
  <si>
    <t>2020-INFRA-18C</t>
  </si>
  <si>
    <t>202118</t>
  </si>
  <si>
    <t>CYN-BAC-2020-45</t>
  </si>
  <si>
    <t>202029</t>
  </si>
  <si>
    <t>CAL-2020-01-003</t>
  </si>
  <si>
    <t>VS-2020-035</t>
  </si>
  <si>
    <t>P-0814</t>
  </si>
  <si>
    <t>P-0813</t>
  </si>
  <si>
    <t>msj-2020-24</t>
  </si>
  <si>
    <t>P-0815</t>
  </si>
  <si>
    <t>OJ8-REPE-1641-20</t>
  </si>
  <si>
    <t>201577</t>
  </si>
  <si>
    <t>2020-07-20</t>
  </si>
  <si>
    <t>202101</t>
  </si>
  <si>
    <t>P-0812</t>
  </si>
  <si>
    <t>CAL-2020-02-026</t>
  </si>
  <si>
    <t>2020-06-007</t>
  </si>
  <si>
    <t>20NG0099</t>
  </si>
  <si>
    <t>20NG0030 (RE-AD)</t>
  </si>
  <si>
    <t>202132</t>
  </si>
  <si>
    <t>2020-62</t>
  </si>
  <si>
    <t>OJ8-OTSM-1642-20</t>
  </si>
  <si>
    <t>NICTC-0720-048</t>
  </si>
  <si>
    <t>DV-2020-I12</t>
  </si>
  <si>
    <t>CAL-2020-02-030</t>
  </si>
  <si>
    <t>P-0816</t>
  </si>
  <si>
    <t>F-0720-154</t>
  </si>
  <si>
    <t>2007-045-12</t>
  </si>
  <si>
    <t>RFQ 0620-051</t>
  </si>
  <si>
    <t>Y-0720-182</t>
  </si>
  <si>
    <t>Y-0720-186</t>
  </si>
  <si>
    <t>DDO-20-C0563</t>
  </si>
  <si>
    <t>RFQ 0620-054</t>
  </si>
  <si>
    <t>CYN-BAC-2020-46</t>
  </si>
  <si>
    <t>AGGDS2020-0730</t>
  </si>
  <si>
    <t>DDO-20-5567</t>
  </si>
  <si>
    <t>CYN-BAC-2020-47</t>
  </si>
  <si>
    <t>R-0720-181</t>
  </si>
  <si>
    <t>P-0817</t>
  </si>
  <si>
    <t>DDO-20-5384</t>
  </si>
  <si>
    <t>2020MC-SVP077</t>
  </si>
  <si>
    <t>P-821</t>
  </si>
  <si>
    <t>2020MC-SVP076</t>
  </si>
  <si>
    <t>1000033215</t>
  </si>
  <si>
    <t>2020MC-SVP075</t>
  </si>
  <si>
    <t>CYN-BAC-2020-48</t>
  </si>
  <si>
    <t>P-0819</t>
  </si>
  <si>
    <t>P-0818</t>
  </si>
  <si>
    <t>022-20</t>
  </si>
  <si>
    <t>P-0824</t>
  </si>
  <si>
    <t>2020-06-26-332</t>
  </si>
  <si>
    <t>P-0820</t>
  </si>
  <si>
    <t>P-0823</t>
  </si>
  <si>
    <t>DA3-2020-7-27-377</t>
  </si>
  <si>
    <t>2020-07-0224</t>
  </si>
  <si>
    <t>P-0822</t>
  </si>
  <si>
    <t>2020MC-SVP074</t>
  </si>
  <si>
    <t>2020-207</t>
  </si>
  <si>
    <t>CYN-BAC-2020-49</t>
  </si>
  <si>
    <t>CYN-BAC-2020-50</t>
  </si>
  <si>
    <t>LGU-SIN-2020-07-222</t>
  </si>
  <si>
    <t>P-0825</t>
  </si>
  <si>
    <t>CYN-BAC-2020-54</t>
  </si>
  <si>
    <t>PPA-DOTr-7100-P1000-20401010B</t>
  </si>
  <si>
    <t>Infra Projects 21-2020</t>
  </si>
  <si>
    <t>CYN-BAC-2020-53</t>
  </si>
  <si>
    <t>Infra Projects 20-2020</t>
  </si>
  <si>
    <t>MUNPINCE-2007-136</t>
  </si>
  <si>
    <t>CYN-BAC-2020-52</t>
  </si>
  <si>
    <t>Infra Projects 23-2020</t>
  </si>
  <si>
    <t>MUNPINCE-2007-138</t>
  </si>
  <si>
    <t>20CSNC0005</t>
  </si>
  <si>
    <t>20CSNC0004</t>
  </si>
  <si>
    <t>PR-801</t>
  </si>
  <si>
    <t>RFQ No. 245</t>
  </si>
  <si>
    <t>RFQ No. 243</t>
  </si>
  <si>
    <t>CYN-BAC-2020-51</t>
  </si>
  <si>
    <t>REROOFINGGIDWHSEMBT</t>
  </si>
  <si>
    <t>CYN-BAC-2020-55</t>
  </si>
  <si>
    <t>20CSNC0006</t>
  </si>
  <si>
    <t>H-6(4)-2020</t>
  </si>
  <si>
    <t>PR-2020-7-122</t>
  </si>
  <si>
    <t>H-6(2)-2020</t>
  </si>
  <si>
    <t>H-6(3)-2020</t>
  </si>
  <si>
    <t>NPSVP-2020-71</t>
  </si>
  <si>
    <t>H-6(5)-2020</t>
  </si>
  <si>
    <t>20CSNC0009</t>
  </si>
  <si>
    <t>AGR-20-0906-B</t>
  </si>
  <si>
    <t>Infra Projects 22-2020</t>
  </si>
  <si>
    <t>GOV-20-0942-B</t>
  </si>
  <si>
    <t>OJ4-RMMV-1643-20</t>
  </si>
  <si>
    <t>AGR-20-0905-B</t>
  </si>
  <si>
    <t>073120rfq2</t>
  </si>
  <si>
    <t>PPD-20-0901-B</t>
  </si>
  <si>
    <t>H-6(1)-2020</t>
  </si>
  <si>
    <t>MUNPINCE-2007-140</t>
  </si>
  <si>
    <t>2020-07-011</t>
  </si>
  <si>
    <t>PR-2020-7-123</t>
  </si>
  <si>
    <t>20CSNC0007</t>
  </si>
  <si>
    <t>PGL-20 S-54-07</t>
  </si>
  <si>
    <t>PGL-20 S-55-07</t>
  </si>
  <si>
    <t>PGL-20 NEGO-53-07</t>
  </si>
  <si>
    <t>2020-063</t>
  </si>
  <si>
    <t>PGL-20 S-51-07</t>
  </si>
  <si>
    <t>2020-064</t>
  </si>
  <si>
    <t>AGR-20-0925-B</t>
  </si>
  <si>
    <t>20CSNC0008</t>
  </si>
  <si>
    <t>2020-106</t>
  </si>
  <si>
    <t>geps-2020-002</t>
  </si>
  <si>
    <t>PGL-20 NEGO-56-07</t>
  </si>
  <si>
    <t>2020-07-29</t>
  </si>
  <si>
    <t>PGL-20 S-52-07</t>
  </si>
  <si>
    <t>PGL-20 S-58-07</t>
  </si>
  <si>
    <t>MUNPINCE-2007-139</t>
  </si>
  <si>
    <t>AGR-20-0924-B</t>
  </si>
  <si>
    <t>PGL-20 NEGO-59-07</t>
  </si>
  <si>
    <t>ITB-ASDI-ADN-2018-20</t>
  </si>
  <si>
    <t>PGL-20 NEGO-57-07</t>
  </si>
  <si>
    <t>EAMJULY16-2020(1)</t>
  </si>
  <si>
    <t>07312020_01</t>
  </si>
  <si>
    <t>DF 2020-06</t>
  </si>
  <si>
    <t>202007003</t>
  </si>
  <si>
    <t>202007002</t>
  </si>
  <si>
    <t>202007001</t>
  </si>
  <si>
    <t>07312020</t>
  </si>
  <si>
    <t>2020-G003</t>
  </si>
  <si>
    <t>09353000646</t>
  </si>
  <si>
    <t>P.R NO 0706 SERIES 2020</t>
  </si>
  <si>
    <t>2020-02-043 (3rd Posting)</t>
  </si>
  <si>
    <t>2020-SAAD-30</t>
  </si>
  <si>
    <t>PR-796</t>
  </si>
  <si>
    <t>San Jose-2020-07-001</t>
  </si>
  <si>
    <t>001 PDU</t>
  </si>
  <si>
    <t>ITB-2020-08-001</t>
  </si>
  <si>
    <t>sta cruz - 004</t>
  </si>
  <si>
    <t>202183</t>
  </si>
  <si>
    <t>PR-ESSS03-20-07-00010</t>
  </si>
  <si>
    <t>SVP 202-007-461</t>
  </si>
  <si>
    <t>P.R NO 0702 SERIES 2020</t>
  </si>
  <si>
    <t>2020-07-01-ecobag</t>
  </si>
  <si>
    <t>sta cruz - 005</t>
  </si>
  <si>
    <t>P.R. NO. 0703 SERIES 2020</t>
  </si>
  <si>
    <t>001 MRVETU</t>
  </si>
  <si>
    <t>ITB # 2020-07-045</t>
  </si>
  <si>
    <t>RFQ-PR No. 20-01-36</t>
  </si>
  <si>
    <t>SDOCoM-PR#20-07-003 &amp; 007 (Perez ES)</t>
  </si>
  <si>
    <t>2020-GS001</t>
  </si>
  <si>
    <t>SVP 2020-007-462</t>
  </si>
  <si>
    <t>P.R. NO. 0705 SERIES 2020</t>
  </si>
  <si>
    <t>2020-G004</t>
  </si>
  <si>
    <t>SVP 2020-07-460</t>
  </si>
  <si>
    <t>2020-GOODS-007</t>
  </si>
  <si>
    <t>202007004</t>
  </si>
  <si>
    <t>PG20202-08-01</t>
  </si>
  <si>
    <t>SVP 2020-007-463</t>
  </si>
  <si>
    <t>SKWR-20-08-004</t>
  </si>
  <si>
    <t>SKWR-20-08-003</t>
  </si>
  <si>
    <t>SKWR-08-002</t>
  </si>
  <si>
    <t>2020-74-05</t>
  </si>
  <si>
    <t>116890</t>
  </si>
  <si>
    <t>gsis/npsvp-247-20</t>
  </si>
  <si>
    <t>P.R. NO. 0641 SERIES 2020</t>
  </si>
  <si>
    <t>ITB # 2020-07-046</t>
  </si>
  <si>
    <t>CONDUCT WORLD TEACHER'S DAY 2020</t>
  </si>
  <si>
    <t>PR 2020-08</t>
  </si>
  <si>
    <t>2020-08-002SHS</t>
  </si>
  <si>
    <t>Stcnhs - 2020 - 007 - 009</t>
  </si>
  <si>
    <t>ITB 2020-08-005</t>
  </si>
  <si>
    <t>SKWR-20-08-005</t>
  </si>
  <si>
    <t>20DK0139</t>
  </si>
  <si>
    <t>DF 2020-07</t>
  </si>
  <si>
    <t>20GDK0046</t>
  </si>
  <si>
    <t>20DK0138</t>
  </si>
  <si>
    <t>117285sta.</t>
  </si>
  <si>
    <t>ITB 2020-08-006</t>
  </si>
  <si>
    <t>SANPEDRO-001</t>
  </si>
  <si>
    <t>2020-089</t>
  </si>
  <si>
    <t>SVP 2020-007-464</t>
  </si>
  <si>
    <t>2020-088</t>
  </si>
  <si>
    <t>7101133-1</t>
  </si>
  <si>
    <t>2020-07-27</t>
  </si>
  <si>
    <t>NFW-08-057-20</t>
  </si>
  <si>
    <t>NFW-08-056-20</t>
  </si>
  <si>
    <t>NFW-08-055-20</t>
  </si>
  <si>
    <t>NIFW-08-151-20</t>
  </si>
  <si>
    <t>ITB20-01</t>
  </si>
  <si>
    <t>040820-10-2020</t>
  </si>
  <si>
    <t>NIFW-08-0149-20</t>
  </si>
  <si>
    <t>ANHS Procurement 3-1</t>
  </si>
  <si>
    <t>SB2 PEO19 300-20-06-07906</t>
  </si>
  <si>
    <t>PB-202006</t>
  </si>
  <si>
    <t>CBGAD 200-20-07-08697</t>
  </si>
  <si>
    <t>SB1 NPPH 300-20-07-08942</t>
  </si>
  <si>
    <t>BH 200-20-07-08825</t>
  </si>
  <si>
    <t>SB4 NMH 200-20-07-08869</t>
  </si>
  <si>
    <t>NFW-08-054-20</t>
  </si>
  <si>
    <t>PADAP 200-20-06-06417</t>
  </si>
  <si>
    <t>ANHS Procurement 3-5</t>
  </si>
  <si>
    <t>NIFW-08-150-20</t>
  </si>
  <si>
    <t>ANHS Procurement 3-3</t>
  </si>
  <si>
    <t>ANHS Procurement 3-2</t>
  </si>
  <si>
    <t>PROCUREMENT OF COMPUTERIZED HOSPITAL INFORMATION S</t>
  </si>
  <si>
    <t>54-2020</t>
  </si>
  <si>
    <t>44-2020</t>
  </si>
  <si>
    <t>KC-2020-07-0288</t>
  </si>
  <si>
    <t>ITB 02-2020</t>
  </si>
  <si>
    <t>Brgy. Liberty 2020 - 07</t>
  </si>
  <si>
    <t>Barangay Pa-a 2020 - 08</t>
  </si>
  <si>
    <t>117139ASIA</t>
  </si>
  <si>
    <t xml:space="preserve">PROVISION OF SUPPLIES FOR REPRODUCTION OF MODULES </t>
  </si>
  <si>
    <t>GOODS2020-063</t>
  </si>
  <si>
    <t>ANHS Procurement 3-6</t>
  </si>
  <si>
    <t>Stcnhs - 2020 - 007 - 008</t>
  </si>
  <si>
    <t>PR20-07-57</t>
  </si>
  <si>
    <t>ITB 06-2020</t>
  </si>
  <si>
    <t>17-2020</t>
  </si>
  <si>
    <t>KC-2020-07-0289</t>
  </si>
  <si>
    <t>PR-20-08-05s</t>
  </si>
  <si>
    <t>PR-20-08-04s</t>
  </si>
  <si>
    <t>2020-REHAB-ASL&amp;SPORTS-3Q-08-003</t>
  </si>
  <si>
    <t>ANHS Procurement 3-4</t>
  </si>
  <si>
    <t>03-2019</t>
  </si>
  <si>
    <t>J-2020</t>
  </si>
  <si>
    <t>RFQ 2020-007</t>
  </si>
  <si>
    <t>2020-06-0020</t>
  </si>
  <si>
    <t>08022020</t>
  </si>
  <si>
    <t>2020-08-2A</t>
  </si>
  <si>
    <t>2020-0214</t>
  </si>
  <si>
    <t>jayon-Bac-B-08-08-2020</t>
  </si>
  <si>
    <t>PR-20-08-03s</t>
  </si>
  <si>
    <t>2020-2023</t>
  </si>
  <si>
    <t>KC-2020-07-0295</t>
  </si>
  <si>
    <t>KC-2020-07-0294</t>
  </si>
  <si>
    <t>2020-REHAB-PANTS&amp;TSHIRT-3Q-08-002</t>
  </si>
  <si>
    <t>2020-REHAB-GROOMINGKIT-3Q-08-001</t>
  </si>
  <si>
    <t>08-2020-01</t>
  </si>
  <si>
    <t>jayon-Bac-B-08-10-2020</t>
  </si>
  <si>
    <t>PR-20-08-06s</t>
  </si>
  <si>
    <t>NP-OS-HELPS-082020-003</t>
  </si>
  <si>
    <t>jayon-Bac-B-08-12-2020</t>
  </si>
  <si>
    <t>PR-20-08-08b</t>
  </si>
  <si>
    <t>jayon-Bac-B-08-13-2020</t>
  </si>
  <si>
    <t>KC-2020-07-0291</t>
  </si>
  <si>
    <t>KC-2020-12-0297</t>
  </si>
  <si>
    <t>KC-2020-07-0296</t>
  </si>
  <si>
    <t>20-07-1170</t>
  </si>
  <si>
    <t>ITB 05-2020</t>
  </si>
  <si>
    <t>NP-OS-BRIDGE-082020-002</t>
  </si>
  <si>
    <t>TFG-2020-07-023R</t>
  </si>
  <si>
    <t>jayon-Bac-B-08-11-2020</t>
  </si>
  <si>
    <t>SVP 55</t>
  </si>
  <si>
    <t>RFQ NO. EMB-ERLSD-ELSS-ECMU-SHOPPING-0047-7-8-2020</t>
  </si>
  <si>
    <t>ITB202009</t>
  </si>
  <si>
    <t>kal-2020-08-49</t>
  </si>
  <si>
    <t>2020-08-6937</t>
  </si>
  <si>
    <t>NP-OS-BRIDGE-082020-001</t>
  </si>
  <si>
    <t>2020-3Q030</t>
  </si>
  <si>
    <t>kal-2020-08-50</t>
  </si>
  <si>
    <t>SVP 53</t>
  </si>
  <si>
    <t>jayon-Bac-B-08-09-2020</t>
  </si>
  <si>
    <t>RFQ NO. EMB-S-ERLSD-ELSS LABORATORY CONSUMABLES 20</t>
  </si>
  <si>
    <t>RFQ NO. EMB-ERLSD-ELSS-ILU-SHOPPING-0036-7-22-2020</t>
  </si>
  <si>
    <t>kal-2020-08-48</t>
  </si>
  <si>
    <t>GFG-2020-07-022R</t>
  </si>
  <si>
    <t>4Ps-2020-07-0299</t>
  </si>
  <si>
    <t>DDN_08/06/2020</t>
  </si>
  <si>
    <t>2020-08-6938</t>
  </si>
  <si>
    <t>2020-NG08-0019</t>
  </si>
  <si>
    <t>2020-08-449</t>
  </si>
  <si>
    <t>Barangay Kulawit 2020-08-011</t>
  </si>
  <si>
    <t>jayon-Bac-B-08-14-2020</t>
  </si>
  <si>
    <t>07-2020-001</t>
  </si>
  <si>
    <t>2020-Goods-007</t>
  </si>
  <si>
    <t>Barangay Kulawit 2020-08-012</t>
  </si>
  <si>
    <t>2020-07-0154</t>
  </si>
  <si>
    <t>2020-Taleb-002</t>
  </si>
  <si>
    <t>2020-3Q031</t>
  </si>
  <si>
    <t>2020-Taleb-001</t>
  </si>
  <si>
    <t>2020-08-6940</t>
  </si>
  <si>
    <t>2020-07-0159</t>
  </si>
  <si>
    <t>KC-2020-12-0298</t>
  </si>
  <si>
    <t>2020-Balaleng-02</t>
  </si>
  <si>
    <t>2020-08-6941</t>
  </si>
  <si>
    <t>BSU - PROJECT NO. 2020- 280</t>
  </si>
  <si>
    <t>kal-2020-08-51</t>
  </si>
  <si>
    <t>2020-3Q037</t>
  </si>
  <si>
    <t>ANHS Procurement 3-7</t>
  </si>
  <si>
    <t>2020-3Q036</t>
  </si>
  <si>
    <t>2020-3Q035</t>
  </si>
  <si>
    <t>2020-08-6951a</t>
  </si>
  <si>
    <t>2020-08-6948</t>
  </si>
  <si>
    <t>2020-3Q034</t>
  </si>
  <si>
    <t>ANHS Procurement 3-8</t>
  </si>
  <si>
    <t>2020-08-6950b</t>
  </si>
  <si>
    <t>2020-07-0164</t>
  </si>
  <si>
    <t>2020-08-6949</t>
  </si>
  <si>
    <t>GOODS 05-2020</t>
  </si>
  <si>
    <t>2020-INFRA-002</t>
  </si>
  <si>
    <t>2020-08-6958</t>
  </si>
  <si>
    <t>2020-08-6945</t>
  </si>
  <si>
    <t>2020-08-6957</t>
  </si>
  <si>
    <t>2020-BLU-NP20%-07-04</t>
  </si>
  <si>
    <t>2020-3Q040</t>
  </si>
  <si>
    <t>2020-08-6954a</t>
  </si>
  <si>
    <t>2020-Goods-008</t>
  </si>
  <si>
    <t>2020-3Q039</t>
  </si>
  <si>
    <t>2020-3Q041</t>
  </si>
  <si>
    <t>2020-08-6953a</t>
  </si>
  <si>
    <t>20-02-029</t>
  </si>
  <si>
    <t>2020-3Q038</t>
  </si>
  <si>
    <t>NFA-2020-RBAC-REGIII-029</t>
  </si>
  <si>
    <t>2020-08-6944</t>
  </si>
  <si>
    <t>RFQ-06-001</t>
  </si>
  <si>
    <t>ITB # 2020-07-047</t>
  </si>
  <si>
    <t>2020-08-6953b</t>
  </si>
  <si>
    <t>Pitogo 2020-08-06</t>
  </si>
  <si>
    <t>2020-08-6943</t>
  </si>
  <si>
    <t>2020-08-6955a</t>
  </si>
  <si>
    <t>2020-3Q033</t>
  </si>
  <si>
    <t>2020-026</t>
  </si>
  <si>
    <t>2020-08-6952a</t>
  </si>
  <si>
    <t>GLQ-2020-RFQ13</t>
  </si>
  <si>
    <t>R9-2020-06-023</t>
  </si>
  <si>
    <t>BNS-0620-110</t>
  </si>
  <si>
    <t>CCSPC-INFRA-001-2020</t>
  </si>
  <si>
    <t>BNS-0620-114</t>
  </si>
  <si>
    <t>08-002</t>
  </si>
  <si>
    <t>RFQ NO. 2020-0605-EMB-SVP-ERLSD-ECMU BSC PM (3rd)</t>
  </si>
  <si>
    <t>BPB 2020-028</t>
  </si>
  <si>
    <t>2020-001-02</t>
  </si>
  <si>
    <t>NNP 2020-026</t>
  </si>
  <si>
    <t>0803202001</t>
  </si>
  <si>
    <t>Dep-Ed-RO6-D1-MOOE – REPRODUCTION EQUIPMENT- 007-2</t>
  </si>
  <si>
    <t>NNP 2020-025</t>
  </si>
  <si>
    <t>BPB 2020-027</t>
  </si>
  <si>
    <t>INFRA 2020-08-04</t>
  </si>
  <si>
    <t>08-003</t>
  </si>
  <si>
    <t>RFQ2020-07-120</t>
  </si>
  <si>
    <t>R9-2020-06-020</t>
  </si>
  <si>
    <t>BNS-0720-122</t>
  </si>
  <si>
    <t>08-02-2020</t>
  </si>
  <si>
    <t>PB-20-378</t>
  </si>
  <si>
    <t>PB-20-377</t>
  </si>
  <si>
    <t>2020-007-03</t>
  </si>
  <si>
    <t>PB-20-372</t>
  </si>
  <si>
    <t>2020-007-004</t>
  </si>
  <si>
    <t>NNP-2020-024</t>
  </si>
  <si>
    <t>CCSPC-INFRA-004-2020</t>
  </si>
  <si>
    <t>2020-027</t>
  </si>
  <si>
    <t>HPN-0720-297</t>
  </si>
  <si>
    <t>2020-0001</t>
  </si>
  <si>
    <t>NPSVP-2020-72</t>
  </si>
  <si>
    <t>SRC GOODS 2020-022</t>
  </si>
  <si>
    <t>2020-007-02</t>
  </si>
  <si>
    <t>PB-20-423</t>
  </si>
  <si>
    <t>2020-030</t>
  </si>
  <si>
    <t>PB-20-422</t>
  </si>
  <si>
    <t>202000960</t>
  </si>
  <si>
    <t>20-07-436</t>
  </si>
  <si>
    <t>AMP SVP-S NO: 20-07-0332B</t>
  </si>
  <si>
    <t>PB-20-419</t>
  </si>
  <si>
    <t>CCSPC-INFRA-003-2020</t>
  </si>
  <si>
    <t>PR-20-08-07b</t>
  </si>
  <si>
    <t>PB-20-418</t>
  </si>
  <si>
    <t>PB-20-417</t>
  </si>
  <si>
    <t>HPN-0620-271</t>
  </si>
  <si>
    <t>HPN-0620-273</t>
  </si>
  <si>
    <t>202000829</t>
  </si>
  <si>
    <t>PB-20-424</t>
  </si>
  <si>
    <t>29634</t>
  </si>
  <si>
    <t>PB-20-420</t>
  </si>
  <si>
    <t>25544</t>
  </si>
  <si>
    <t>RFQ No. 2020-01-17.06</t>
  </si>
  <si>
    <t>25454</t>
  </si>
  <si>
    <t>07-2020-1236</t>
  </si>
  <si>
    <t>SRC GOODS 2020-024</t>
  </si>
  <si>
    <t>25565</t>
  </si>
  <si>
    <t>SRC GOODS 2020-023</t>
  </si>
  <si>
    <t>PB INFRA 20-053</t>
  </si>
  <si>
    <t>29897</t>
  </si>
  <si>
    <t>SJMC-2020-002</t>
  </si>
  <si>
    <t>HPN-0620-275</t>
  </si>
  <si>
    <t>NPSVP-2020-75</t>
  </si>
  <si>
    <t>PB INFRA 20-055</t>
  </si>
  <si>
    <t>PR No. 2020.07.008</t>
  </si>
  <si>
    <t>PB INFRA 20-047</t>
  </si>
  <si>
    <t>DAAES 2020-05-01</t>
  </si>
  <si>
    <t>RFQ-0012NS-2020-SUPPLY&amp;DELIVERY OF VARIOUS SPARE P</t>
  </si>
  <si>
    <t>7-2020-1167</t>
  </si>
  <si>
    <t>2020-180</t>
  </si>
  <si>
    <t>07-2020-1237</t>
  </si>
  <si>
    <t>26677</t>
  </si>
  <si>
    <t>PGES 2020-05-01</t>
  </si>
  <si>
    <t>2020-020</t>
  </si>
  <si>
    <t>202000987</t>
  </si>
  <si>
    <t>PB-20-426</t>
  </si>
  <si>
    <t>RFQ No. 2020-07.31.01</t>
  </si>
  <si>
    <t>RFQ2020-07-121</t>
  </si>
  <si>
    <t>BASC2020-07-056</t>
  </si>
  <si>
    <t>BASC2020-07-055</t>
  </si>
  <si>
    <t>2020-601-035</t>
  </si>
  <si>
    <t>2020-052</t>
  </si>
  <si>
    <t>08-03-2020-02</t>
  </si>
  <si>
    <t>20070655</t>
  </si>
  <si>
    <t>CSJ-2020-037</t>
  </si>
  <si>
    <t>RESOLUTION 049 2020</t>
  </si>
  <si>
    <t>2020-MGBX-07-115</t>
  </si>
  <si>
    <t>2020-MGBX-07-114</t>
  </si>
  <si>
    <t>2020-MGBX-07-113</t>
  </si>
  <si>
    <t>SCAA 200-20-06-06689</t>
  </si>
  <si>
    <t>SJMC-2020-007</t>
  </si>
  <si>
    <t>PHO 200-20-06-06524</t>
  </si>
  <si>
    <t>MPQ-073020-117</t>
  </si>
  <si>
    <t>2020-0429</t>
  </si>
  <si>
    <t>2020-017R-A</t>
  </si>
  <si>
    <t>ITB NO. VIII-03-02</t>
  </si>
  <si>
    <t>NEGOTIATED PROCUREMENT - PROCUREMENT OF TARPAULINS</t>
  </si>
  <si>
    <t>PR 2020-07-0045</t>
  </si>
  <si>
    <t>2020-0422</t>
  </si>
  <si>
    <t>PGSO 200-20-07-08437</t>
  </si>
  <si>
    <t>ISQ 2020-07-089</t>
  </si>
  <si>
    <t>0873</t>
  </si>
  <si>
    <t>(2FB)N20-07-073 PURCHASE OF PURIFIED DRINKING WATE</t>
  </si>
  <si>
    <t>NFA-2020-RBAC-REGIII-013</t>
  </si>
  <si>
    <t>0871</t>
  </si>
  <si>
    <t>ITB202008</t>
  </si>
  <si>
    <t>ISQ 2020-07-088</t>
  </si>
  <si>
    <t>SKVALENZUELA-002</t>
  </si>
  <si>
    <t>ITB No. 2020-08-058</t>
  </si>
  <si>
    <t>ITB 2020-08-001</t>
  </si>
  <si>
    <t>026</t>
  </si>
  <si>
    <t>RFQ No. 2020-009</t>
  </si>
  <si>
    <t>2020-0423</t>
  </si>
  <si>
    <t>PB INFRA 20-058</t>
  </si>
  <si>
    <t>SKVALENZUELA-001</t>
  </si>
  <si>
    <t>025</t>
  </si>
  <si>
    <t>2020-028</t>
  </si>
  <si>
    <t>PB INFRA 20-057</t>
  </si>
  <si>
    <t>PB-20-425</t>
  </si>
  <si>
    <t>NPSVP-2020-74</t>
  </si>
  <si>
    <t>SJMC-2020-006</t>
  </si>
  <si>
    <t>20CB-GSC-487	REHABILITATION OF MITSUBISHI L300 FOR</t>
  </si>
  <si>
    <t>2020 - 08 - 010 (130 - Shopping)</t>
  </si>
  <si>
    <t>2020-176</t>
  </si>
  <si>
    <t>2020-172</t>
  </si>
  <si>
    <t>101-020-008-081</t>
  </si>
  <si>
    <t>ITB-2020-01</t>
  </si>
  <si>
    <t>BAC PB 2020-24</t>
  </si>
  <si>
    <t>0608-20</t>
  </si>
  <si>
    <t>20-02-057 to 20-02-132</t>
  </si>
  <si>
    <t>ITB-2020-09-002</t>
  </si>
  <si>
    <t>PB-20-416</t>
  </si>
  <si>
    <t>20CB-GSC-481	GENERAL MERCHANDISE (RE-BID)</t>
  </si>
  <si>
    <t>2020-3Q029</t>
  </si>
  <si>
    <t>0603-20</t>
  </si>
  <si>
    <t>2020-3Q028</t>
  </si>
  <si>
    <t>0601-20</t>
  </si>
  <si>
    <t>2020bid001</t>
  </si>
  <si>
    <t>ITB-2020-09-001</t>
  </si>
  <si>
    <t>080120202</t>
  </si>
  <si>
    <t>080120201</t>
  </si>
  <si>
    <t>080220203</t>
  </si>
  <si>
    <t>08012020</t>
  </si>
  <si>
    <t>RFQ-2020-91</t>
  </si>
  <si>
    <t>RFQ-2020-90</t>
  </si>
  <si>
    <t>ITB 002 PROPOSED IMPROVEMENT OF BARANGAY FACILITIE</t>
  </si>
  <si>
    <t>RFQ-2020-89</t>
  </si>
  <si>
    <t>RFQ-2020-88</t>
  </si>
  <si>
    <t>0614-001</t>
  </si>
  <si>
    <t>RFQ-2020-87</t>
  </si>
  <si>
    <t>RFQ-2020-92</t>
  </si>
  <si>
    <t>20GJI0064</t>
  </si>
  <si>
    <t>SVP-20-0566</t>
  </si>
  <si>
    <t>2020-8711-046</t>
  </si>
  <si>
    <t>RFQ NO.2020-0505-EMB-S-ERLSD-ELSS LABORATORY ITEMS</t>
  </si>
  <si>
    <t>SVP-20-0564</t>
  </si>
  <si>
    <t>ESPERANZA-INF-2020-08-05</t>
  </si>
  <si>
    <t>SVP-20-0568</t>
  </si>
  <si>
    <t>SVP-20-0569</t>
  </si>
  <si>
    <t>SVP-20-0559</t>
  </si>
  <si>
    <t>SVP-20-0561</t>
  </si>
  <si>
    <t>SM-20-031</t>
  </si>
  <si>
    <t>301562-08-2020</t>
  </si>
  <si>
    <t>SVP-20-0565</t>
  </si>
  <si>
    <t>SB4 NMH 200-20-07-07991</t>
  </si>
  <si>
    <t>26594</t>
  </si>
  <si>
    <t>106CO-601 BDE-2020-611</t>
  </si>
  <si>
    <t>PIP PIO 200-20-05-04961</t>
  </si>
  <si>
    <t>20GKC0013</t>
  </si>
  <si>
    <t>LGU-SA-2020-07-007</t>
  </si>
  <si>
    <t>PB-20-421</t>
  </si>
  <si>
    <t>RMH 200-20-06-07627</t>
  </si>
  <si>
    <t>SVP-20-0570</t>
  </si>
  <si>
    <t>IPMR 200-20-06-06691</t>
  </si>
  <si>
    <t>SB4 WDP 300-20-07-09105</t>
  </si>
  <si>
    <t>QMH 300-20-06-07629</t>
  </si>
  <si>
    <t>SM-20-030</t>
  </si>
  <si>
    <t>20GKC0012</t>
  </si>
  <si>
    <t>0009</t>
  </si>
  <si>
    <t>2020-LGU-07-013</t>
  </si>
  <si>
    <t>20-02-061 to 20-02-131</t>
  </si>
  <si>
    <t>SB4 WDP 300-20-07-09106</t>
  </si>
  <si>
    <t>2020-LGU-07-012</t>
  </si>
  <si>
    <t>09561270466</t>
  </si>
  <si>
    <t>2020--07-0035</t>
  </si>
  <si>
    <t>RFQ2020-07-001</t>
  </si>
  <si>
    <t>GF(MOOE)2020-DAG-2020(013)</t>
  </si>
  <si>
    <t>ASA 200-20-06-07126</t>
  </si>
  <si>
    <t>2020-02-001</t>
  </si>
  <si>
    <t>2020-Brgy-07-001</t>
  </si>
  <si>
    <t>SB1 NMH 200-20-06-07907</t>
  </si>
  <si>
    <t>0001</t>
  </si>
  <si>
    <t>RFQ-2020-94</t>
  </si>
  <si>
    <t>RFQ-ILO-2020-G-001</t>
  </si>
  <si>
    <t>OVG 200-20-05-05468</t>
  </si>
  <si>
    <t>2020-160</t>
  </si>
  <si>
    <t>2020-07-013</t>
  </si>
  <si>
    <t>RFQ2020-07-008</t>
  </si>
  <si>
    <t>RFQ2020-07-006</t>
  </si>
  <si>
    <t>RFQ-2020-93</t>
  </si>
  <si>
    <t>20GEB0058-R1</t>
  </si>
  <si>
    <t>RFQ2020-07-005</t>
  </si>
  <si>
    <t>Pang2-Infra-2020-07-01</t>
  </si>
  <si>
    <t>ITB GOODS NO. 2020-003</t>
  </si>
  <si>
    <t>PGO 200-20-05-05987</t>
  </si>
  <si>
    <t>PIKCOT-SUPP-002020-00153</t>
  </si>
  <si>
    <t>BM 2020-GOODS-02</t>
  </si>
  <si>
    <t>2020-LGU-07-014</t>
  </si>
  <si>
    <t>PR 07-3768</t>
  </si>
  <si>
    <t>geps-2020-003</t>
  </si>
  <si>
    <t>INFRA 2020-07-001</t>
  </si>
  <si>
    <t>2020-0703</t>
  </si>
  <si>
    <t>2020-7-371</t>
  </si>
  <si>
    <t>SF-2020-061</t>
  </si>
  <si>
    <t>2020-3Q013</t>
  </si>
  <si>
    <t>649bgy2020-01</t>
  </si>
  <si>
    <t>20DN0135 (Re-bid)</t>
  </si>
  <si>
    <t>ITB 2020-022</t>
  </si>
  <si>
    <t>ITB 2020-021</t>
  </si>
  <si>
    <t>07-017-20</t>
  </si>
  <si>
    <t>649bgy2020-02</t>
  </si>
  <si>
    <t>07-016-20</t>
  </si>
  <si>
    <t>2020-07-003</t>
  </si>
  <si>
    <t>07-015-20</t>
  </si>
  <si>
    <t>PB2020-07-008 GAA</t>
  </si>
  <si>
    <t>2020-07-0013</t>
  </si>
  <si>
    <t>BC-001</t>
  </si>
  <si>
    <t>geps-2020-004</t>
  </si>
  <si>
    <t>02newcomdambuk20</t>
  </si>
  <si>
    <t>07-2020-01I</t>
  </si>
  <si>
    <t>20-07-041</t>
  </si>
  <si>
    <t>RB20-16-03</t>
  </si>
  <si>
    <t>RB20-16-02</t>
  </si>
  <si>
    <t>2018-infra</t>
  </si>
  <si>
    <t>2020-ITB-08-047</t>
  </si>
  <si>
    <t>2020-07-025</t>
  </si>
  <si>
    <t>2020-3Q015</t>
  </si>
  <si>
    <t>ITB2020-001-G-BAGONG SILANG</t>
  </si>
  <si>
    <t>2020-3Q014</t>
  </si>
  <si>
    <t>2020-ITB-08-048</t>
  </si>
  <si>
    <t>GF-G-75-2020</t>
  </si>
  <si>
    <t>RB20-16-01</t>
  </si>
  <si>
    <t>RFQ 2020-017</t>
  </si>
  <si>
    <t>20DN0180</t>
  </si>
  <si>
    <t>2020-3Q016</t>
  </si>
  <si>
    <t>GOODS 2020-036</t>
  </si>
  <si>
    <t>2020-07-31</t>
  </si>
  <si>
    <t>RFQ 2020-019</t>
  </si>
  <si>
    <t>101-8917-2020-07-06</t>
  </si>
  <si>
    <t>RFQ 2020-016</t>
  </si>
  <si>
    <t>2020-ITB-08-053</t>
  </si>
  <si>
    <t>RFQ 2020-020</t>
  </si>
  <si>
    <t>2020-ITB-08-051</t>
  </si>
  <si>
    <t>B20-24-02</t>
  </si>
  <si>
    <t>PIKCOT-SUPP-002020-00154</t>
  </si>
  <si>
    <t>B20-24-01</t>
  </si>
  <si>
    <t>B20-24-03</t>
  </si>
  <si>
    <t>2020-07-005</t>
  </si>
  <si>
    <t>2020-3Q017</t>
  </si>
  <si>
    <t>SHS PR-2020-07-007</t>
  </si>
  <si>
    <t>2020-3Q019</t>
  </si>
  <si>
    <t>PIKCOT-SUPP-002020-00157</t>
  </si>
  <si>
    <t>101-8917-2020-07-07</t>
  </si>
  <si>
    <t>126418</t>
  </si>
  <si>
    <t>PIKCOT-SUPP-002020-00156</t>
  </si>
  <si>
    <t>221-3322-2020-07-02</t>
  </si>
  <si>
    <t>2020-ITB-08-050</t>
  </si>
  <si>
    <t>PIKCOT-SUPP-002020-00155</t>
  </si>
  <si>
    <t>B20-24-04</t>
  </si>
  <si>
    <t>2020-3Q018</t>
  </si>
  <si>
    <t>2020-ITB-08-052</t>
  </si>
  <si>
    <t>2020-187</t>
  </si>
  <si>
    <t>AMP-GOODS-2020-07-0027</t>
  </si>
  <si>
    <t>101-8917-2020-07-09</t>
  </si>
  <si>
    <t>GMRS-PNBAC2-2020-05</t>
  </si>
  <si>
    <t>2020-07-056</t>
  </si>
  <si>
    <t>2020-189</t>
  </si>
  <si>
    <t>2020-179</t>
  </si>
  <si>
    <t>20-05-0065</t>
  </si>
  <si>
    <t>RB20-16-06</t>
  </si>
  <si>
    <t>RB20-16-05</t>
  </si>
  <si>
    <t>2020-ITB-08-049</t>
  </si>
  <si>
    <t>RFQ2020-07-017 GAA</t>
  </si>
  <si>
    <t>RFQ 2020-015</t>
  </si>
  <si>
    <t>20DN0179</t>
  </si>
  <si>
    <t>CM 20-08-003</t>
  </si>
  <si>
    <t>101-8917-2020-07-08</t>
  </si>
  <si>
    <t>CM 20-08-001</t>
  </si>
  <si>
    <t>NPPH 200-20-06-07122</t>
  </si>
  <si>
    <t>BIMP 200-20-06-06690</t>
  </si>
  <si>
    <t>RB20-16-04</t>
  </si>
  <si>
    <t>2020-ITB-08-057</t>
  </si>
  <si>
    <t>2020-3Q020</t>
  </si>
  <si>
    <t>2020-ITB-08-054</t>
  </si>
  <si>
    <t>CM 20-08-002</t>
  </si>
  <si>
    <t>2020-ITB-08-059</t>
  </si>
  <si>
    <t>PIKCOT-SUPP-002020-00159</t>
  </si>
  <si>
    <t>DOST IX-20-004</t>
  </si>
  <si>
    <t>2020-ITB-058</t>
  </si>
  <si>
    <t>19DN0232</t>
  </si>
  <si>
    <t>BCS-2020-0252</t>
  </si>
  <si>
    <t>BCS-2020-0250</t>
  </si>
  <si>
    <t>AMP-GOODS-2020-07-0030</t>
  </si>
  <si>
    <t>BCS-2020-0249</t>
  </si>
  <si>
    <t>AMP-GOODS-2020-07-0029</t>
  </si>
  <si>
    <t>BCS-2020-0251</t>
  </si>
  <si>
    <t>2020-ITB-08-060</t>
  </si>
  <si>
    <t>PR 07-3763</t>
  </si>
  <si>
    <t>0013</t>
  </si>
  <si>
    <t>BCS-2020-0248</t>
  </si>
  <si>
    <t>PIKCOT-SUPP-002020-00158</t>
  </si>
  <si>
    <t>2020-ITB-08-069</t>
  </si>
  <si>
    <t>2020-ITB-08-056</t>
  </si>
  <si>
    <t>2020-ITB-08-055</t>
  </si>
  <si>
    <t>PILAR-20-07-003</t>
  </si>
  <si>
    <t>2020-ITB-08-067</t>
  </si>
  <si>
    <t>2020-ITB-08-066</t>
  </si>
  <si>
    <t>lgu-es-20-07-183</t>
  </si>
  <si>
    <t>2020-08-LOYALTY</t>
  </si>
  <si>
    <t>2020-ITB-08-065</t>
  </si>
  <si>
    <t>PIKCOT-SUPP-002020-00160</t>
  </si>
  <si>
    <t>2020-3Q021</t>
  </si>
  <si>
    <t>2020-ITB-08-063</t>
  </si>
  <si>
    <t>2020-ITB-08-068</t>
  </si>
  <si>
    <t>AMP-INF-2020-08-0032</t>
  </si>
  <si>
    <t>2020-ITB-08-062</t>
  </si>
  <si>
    <t>PIKCOT-SUPP-002020-00161</t>
  </si>
  <si>
    <t>2020-3Q024</t>
  </si>
  <si>
    <t>DSWD NNP NO. 20-DFAT-SVCF-005 - Hiring of Consulta</t>
  </si>
  <si>
    <t>20CSE014</t>
  </si>
  <si>
    <t>2020-ITB-08-064</t>
  </si>
  <si>
    <t>amp-inf-2020-08-0033</t>
  </si>
  <si>
    <t>20-07-437</t>
  </si>
  <si>
    <t>20-07-0051</t>
  </si>
  <si>
    <t>20-07-0044</t>
  </si>
  <si>
    <t>0012</t>
  </si>
  <si>
    <t>20-07-0014</t>
  </si>
  <si>
    <t>AMP-GOODS-2020-07-0028</t>
  </si>
  <si>
    <t>20-07-0047</t>
  </si>
  <si>
    <t>20-SBC-018</t>
  </si>
  <si>
    <t>31072020</t>
  </si>
  <si>
    <t>2020-ITB-08-071</t>
  </si>
  <si>
    <t>2020-ITB-08-070</t>
  </si>
  <si>
    <t>2020-3Q022</t>
  </si>
  <si>
    <t>20-07-0039</t>
  </si>
  <si>
    <t>20-07-0045</t>
  </si>
  <si>
    <t>RDD CW-5% 2020-04</t>
  </si>
  <si>
    <t>2020-3Q026</t>
  </si>
  <si>
    <t>2020-3Q023</t>
  </si>
  <si>
    <t>RFQ No. SJADS SVP 2020-24</t>
  </si>
  <si>
    <t>RBACX-CDO-2020-111</t>
  </si>
  <si>
    <t>2020-001-SK</t>
  </si>
  <si>
    <t>PIKCOT-SUPP-002020-00162</t>
  </si>
  <si>
    <t>BAC 2020-39</t>
  </si>
  <si>
    <t>BAC 2020-38</t>
  </si>
  <si>
    <t>BAC 2020-37</t>
  </si>
  <si>
    <t>BAC 2020-41</t>
  </si>
  <si>
    <t>SF-2020-062</t>
  </si>
  <si>
    <t>2020-3Q025</t>
  </si>
  <si>
    <t>7/31/2020</t>
  </si>
  <si>
    <t>BAC 2020-40</t>
  </si>
  <si>
    <t>PROJECT ID NO. I-2020-016</t>
  </si>
  <si>
    <t>2020 - 08 - 010 (129 - Shopping)</t>
  </si>
  <si>
    <t>PILAR-20-07-004</t>
  </si>
  <si>
    <t>BAC 2020-36</t>
  </si>
  <si>
    <t>2020-ITB-08-061</t>
  </si>
  <si>
    <t>BAC 2020-35</t>
  </si>
  <si>
    <t>BAC-20-07-080 (OED)</t>
  </si>
  <si>
    <t>PIKCOT-SUPP-002020-00163</t>
  </si>
  <si>
    <t>2020-07-12</t>
  </si>
  <si>
    <t>2020-07-13</t>
  </si>
  <si>
    <t>BACSF-CW-ES-2020-02</t>
  </si>
  <si>
    <t>AMP-GOODS-2020-07-0031</t>
  </si>
  <si>
    <t>SF-G-MO-2020-28</t>
  </si>
  <si>
    <t>G008-07-2020</t>
  </si>
  <si>
    <t>07302020-3</t>
  </si>
  <si>
    <t>2020-PB-001</t>
  </si>
  <si>
    <t>07302020-2</t>
  </si>
  <si>
    <t>2020-07-0006</t>
  </si>
  <si>
    <t>Contract ID 20JH0066</t>
  </si>
  <si>
    <t>07312020-1</t>
  </si>
  <si>
    <t>2020-07-10</t>
  </si>
  <si>
    <t>2020-07-14</t>
  </si>
  <si>
    <t>Punta I 2020-002</t>
  </si>
  <si>
    <t>20CSDQ01</t>
  </si>
  <si>
    <t>G007-07-2020</t>
  </si>
  <si>
    <t>SolarStlights2020-1Aug-2</t>
  </si>
  <si>
    <t>2020-07-11</t>
  </si>
  <si>
    <t>20CSDQ03</t>
  </si>
  <si>
    <t>20CSDQ02</t>
  </si>
  <si>
    <t>2020-52</t>
  </si>
  <si>
    <t>2020-006C-A</t>
  </si>
  <si>
    <t>INFRA-2020-01</t>
  </si>
  <si>
    <t>2020-010C</t>
  </si>
  <si>
    <t>SolarStlights2020-2</t>
  </si>
  <si>
    <t>2020-007C</t>
  </si>
  <si>
    <t>PAL20-07-004</t>
  </si>
  <si>
    <t>G-2020-039</t>
  </si>
  <si>
    <t>GOODS-038-2020</t>
  </si>
  <si>
    <t>P.R. NO. 0649 SERIES 2020</t>
  </si>
  <si>
    <t>2020-040</t>
  </si>
  <si>
    <t>2020-009C</t>
  </si>
  <si>
    <t>2020-008C</t>
  </si>
  <si>
    <t>023-ECE20</t>
  </si>
  <si>
    <t>0814</t>
  </si>
  <si>
    <t>022-ECE20</t>
  </si>
  <si>
    <t>1TB 06 IT EQUIPMENT</t>
  </si>
  <si>
    <t>Barangay Canhawan Gote-002-2020</t>
  </si>
  <si>
    <t>2020-A</t>
  </si>
  <si>
    <t>20CSDQ04</t>
  </si>
  <si>
    <t>20GHF0008</t>
  </si>
  <si>
    <t>B-8661-20-17</t>
  </si>
  <si>
    <t>20GHF0007</t>
  </si>
  <si>
    <t>ITB-04  MEDICINE AND MEDICAL EQUIPMENT</t>
  </si>
  <si>
    <t>ITB2020-08-001 STA. CRUZ</t>
  </si>
  <si>
    <t>SINS-G-2020-22</t>
  </si>
  <si>
    <t>SINS-G-2020-21</t>
  </si>
  <si>
    <t>SINS-G-2020-20</t>
  </si>
  <si>
    <t>0010</t>
  </si>
  <si>
    <t>20CSE013</t>
  </si>
  <si>
    <t>BAC PB 2020-25</t>
  </si>
  <si>
    <t>20 - CSOG - 005</t>
  </si>
  <si>
    <t>000058</t>
  </si>
  <si>
    <t>PB-ALBAYGOODS 20-01</t>
  </si>
  <si>
    <t>0011</t>
  </si>
  <si>
    <t>BAC PB 2020-26</t>
  </si>
  <si>
    <t>SKVALENZUELA-003</t>
  </si>
  <si>
    <t>0879</t>
  </si>
  <si>
    <t>DA7-08-FOD-C-20-2904</t>
  </si>
  <si>
    <t>Bet 2020-02</t>
  </si>
  <si>
    <t>2020-012C</t>
  </si>
  <si>
    <t>2020-011C</t>
  </si>
  <si>
    <t>0625-20</t>
  </si>
  <si>
    <t>2020-3Q027</t>
  </si>
  <si>
    <t>GEPS-18-2020</t>
  </si>
  <si>
    <t>RFQ 2020-0002</t>
  </si>
  <si>
    <t>CWD 35-2020</t>
  </si>
  <si>
    <t>20-12</t>
  </si>
  <si>
    <t>INFRA-2020-08-07</t>
  </si>
  <si>
    <t>ITB-2020-30</t>
  </si>
  <si>
    <t>IBTGH No. 2020-009</t>
  </si>
  <si>
    <t>20KD0070</t>
  </si>
  <si>
    <t>PR052620-09</t>
  </si>
  <si>
    <t>20GEB0022-R1</t>
  </si>
  <si>
    <t>2020-016(SVP)</t>
  </si>
  <si>
    <t>G2020 009</t>
  </si>
  <si>
    <t>CONS-2020-08-08</t>
  </si>
  <si>
    <t>DA7-08-FOD-C-20-2993</t>
  </si>
  <si>
    <t>024-ECE20</t>
  </si>
  <si>
    <t>RFQ-2020-008</t>
  </si>
  <si>
    <t>G-2020-487</t>
  </si>
  <si>
    <t>20-13</t>
  </si>
  <si>
    <t>G-2020-486</t>
  </si>
  <si>
    <t>G-2020-485</t>
  </si>
  <si>
    <t>20-07-01</t>
  </si>
  <si>
    <t>2020-015C</t>
  </si>
  <si>
    <t>G-2020-477</t>
  </si>
  <si>
    <t>2007-038-01</t>
  </si>
  <si>
    <t>G-2020-475</t>
  </si>
  <si>
    <t>G-2020-474</t>
  </si>
  <si>
    <t>G-2020-471</t>
  </si>
  <si>
    <t>PAL-GOODS-04-2020</t>
  </si>
  <si>
    <t>BInfr-2020-13</t>
  </si>
  <si>
    <t>C-115-2020</t>
  </si>
  <si>
    <t>2020-014C</t>
  </si>
  <si>
    <t>HFW-2020-07-0286</t>
  </si>
  <si>
    <t>HFW-2020-07-0285</t>
  </si>
  <si>
    <t>001-20</t>
  </si>
  <si>
    <t>2020-013C</t>
  </si>
  <si>
    <t>G-2020-480</t>
  </si>
  <si>
    <t>202072901</t>
  </si>
  <si>
    <t>RFQ No. SJADS SVP 2020-25</t>
  </si>
  <si>
    <t>036 20-1245</t>
  </si>
  <si>
    <t>07-22-2020 SDG</t>
  </si>
  <si>
    <t>VILLAPAN-2020-006</t>
  </si>
  <si>
    <t>2020-07-0027</t>
  </si>
  <si>
    <t>INFRA2020-IPP-010 SUPPLY OF LABOR &amp; MATERIALS- REP</t>
  </si>
  <si>
    <t>NDCP-RFQ-049-07-20</t>
  </si>
  <si>
    <t>BCS-2020-0245</t>
  </si>
  <si>
    <t>RFQ-2020-031 JHS</t>
  </si>
  <si>
    <t>ITB-TASS-07-09-2020</t>
  </si>
  <si>
    <t>20201609</t>
  </si>
  <si>
    <t>2020-07-009-E</t>
  </si>
  <si>
    <t>RFQ-2020-030 JHS</t>
  </si>
  <si>
    <t>RFQ (PR NO.) 2020-07-098</t>
  </si>
  <si>
    <t>PR# 20-07-0920</t>
  </si>
  <si>
    <t>SPUG-LUZ20-020</t>
  </si>
  <si>
    <t>PR. NO. 2020070836</t>
  </si>
  <si>
    <t>20GKF0046</t>
  </si>
  <si>
    <t>OSS 20-018, OSS 20-026 and OSS 20-027</t>
  </si>
  <si>
    <t>07302020</t>
  </si>
  <si>
    <t>20-07-001</t>
  </si>
  <si>
    <t>RFQ-DVO-PR.NO. 2002213 CAT. 44 OFFICE SUPPLIES AND</t>
  </si>
  <si>
    <t>20AD0097</t>
  </si>
  <si>
    <t>20-06-050</t>
  </si>
  <si>
    <t>G-2020-478</t>
  </si>
  <si>
    <t>sanpedro123</t>
  </si>
  <si>
    <t>RQ No. 2020-07-122</t>
  </si>
  <si>
    <t>G-2020-498</t>
  </si>
  <si>
    <t>BCS-2020-0246</t>
  </si>
  <si>
    <t>07-013-20</t>
  </si>
  <si>
    <t>2020-170A</t>
  </si>
  <si>
    <t>2020-07-115</t>
  </si>
  <si>
    <t>2020-2243</t>
  </si>
  <si>
    <t>20-07-025</t>
  </si>
  <si>
    <t>INFRA-2020-059</t>
  </si>
  <si>
    <t>RFQ-2020-162-GOODS-SWMO</t>
  </si>
  <si>
    <t>20-024</t>
  </si>
  <si>
    <t>BCS-2020-0244</t>
  </si>
  <si>
    <t>20GCH0013</t>
  </si>
  <si>
    <t>2020-PLA-076</t>
  </si>
  <si>
    <t>20GCH0012</t>
  </si>
  <si>
    <t>SVP-2020-041</t>
  </si>
  <si>
    <t>RFQ-2020-012 SHS</t>
  </si>
  <si>
    <t>RFQ (PR NO.) 2020-07-099</t>
  </si>
  <si>
    <t>BRGY-GUIO-ANG-AUG-2020-01</t>
  </si>
  <si>
    <t>2020-0346</t>
  </si>
  <si>
    <t>20AD0098</t>
  </si>
  <si>
    <t>2020-0345</t>
  </si>
  <si>
    <t>RFQ (PR NO.) 2020-07-100</t>
  </si>
  <si>
    <t>PR NO. 20-07-069</t>
  </si>
  <si>
    <t>2020-07-070</t>
  </si>
  <si>
    <t>2020-03-14B</t>
  </si>
  <si>
    <t>20-07-081</t>
  </si>
  <si>
    <t>20-07-024</t>
  </si>
  <si>
    <t>20-06-027</t>
  </si>
  <si>
    <t>2020-07-0442</t>
  </si>
  <si>
    <t>BCS-2020-0242</t>
  </si>
  <si>
    <t>G-2020-491</t>
  </si>
  <si>
    <t>G-2020-490</t>
  </si>
  <si>
    <t>RFQ 2020-165</t>
  </si>
  <si>
    <t>INFRA-2020-08-06</t>
  </si>
  <si>
    <t>BCS-2020-0243</t>
  </si>
  <si>
    <t>DA7-08-FOD-R-20-2981</t>
  </si>
  <si>
    <t>DA7-08-FOD-OA-20-3018</t>
  </si>
  <si>
    <t>HPN-0620-269</t>
  </si>
  <si>
    <t>NPSVP-2020-73</t>
  </si>
  <si>
    <t>ITB - Goods - 2020 - 07-007</t>
  </si>
  <si>
    <t>G-2020-493</t>
  </si>
  <si>
    <t>CCSPC-INFRA-002-2020</t>
  </si>
  <si>
    <t>BNS-0620-068</t>
  </si>
  <si>
    <t>PBgoods021-2020</t>
  </si>
  <si>
    <t>INFRA-2020-08-05</t>
  </si>
  <si>
    <t>BNS-0720-123</t>
  </si>
  <si>
    <t>20-022</t>
  </si>
  <si>
    <t>018-0820-CP</t>
  </si>
  <si>
    <t>2020-073002</t>
  </si>
  <si>
    <t>033</t>
  </si>
  <si>
    <t>2020-07-0042</t>
  </si>
  <si>
    <t>2020-073001</t>
  </si>
  <si>
    <t>2020-06-277</t>
  </si>
  <si>
    <t>BANAHAO202002</t>
  </si>
  <si>
    <t>ITB No. 2020-I-P8-01</t>
  </si>
  <si>
    <t>RFQ20-008-ASD-SV</t>
  </si>
  <si>
    <t>2020-07-066</t>
  </si>
  <si>
    <t>SCH-RFQ20-005</t>
  </si>
  <si>
    <t>DA7-2020-07-AMIA-20-3028</t>
  </si>
  <si>
    <t>PR No.: 2020-07-0377</t>
  </si>
  <si>
    <t>GOODS-63-2020</t>
  </si>
  <si>
    <t>20% SSIIB.4-2020</t>
  </si>
  <si>
    <t>PR 181-20</t>
  </si>
  <si>
    <t>2020-01-1011-62</t>
  </si>
  <si>
    <t>2020-07-116</t>
  </si>
  <si>
    <t>SVP-2020-040</t>
  </si>
  <si>
    <t>ITB-2020-06-004</t>
  </si>
  <si>
    <t>LGU-MOALBOAL2020-0707</t>
  </si>
  <si>
    <t>PR#20-07-0373</t>
  </si>
  <si>
    <t>PR No.: 2020-06-0281</t>
  </si>
  <si>
    <t>INFR-20-016</t>
  </si>
  <si>
    <t>2020-07-0838 TDG</t>
  </si>
  <si>
    <t>ISPSC-2020-G-K016</t>
  </si>
  <si>
    <t>2020-107</t>
  </si>
  <si>
    <t>NP-SVP-380-2020</t>
  </si>
  <si>
    <t>Sip-2020-100</t>
  </si>
  <si>
    <t xml:space="preserve">RFQ-DVO. PR NO. 2002212 CAT. 13 COMPUTER SUPPLIES </t>
  </si>
  <si>
    <t>DA7-2020-07-AMIA-20-3027</t>
  </si>
  <si>
    <t>2020 INFRA 029</t>
  </si>
  <si>
    <t>101-20-07-RFQ0928</t>
  </si>
  <si>
    <t>20-07-00463</t>
  </si>
  <si>
    <t>2020-07-0041</t>
  </si>
  <si>
    <t>JO-087-20</t>
  </si>
  <si>
    <t>2020 INFRA 028</t>
  </si>
  <si>
    <t>2020-01-9991-63</t>
  </si>
  <si>
    <t>2020-100-07-471</t>
  </si>
  <si>
    <t>PR 2020-07-28-114</t>
  </si>
  <si>
    <t>2020 INFRA 027</t>
  </si>
  <si>
    <t>HFW-2020-05-0157</t>
  </si>
  <si>
    <t>2020-07-157</t>
  </si>
  <si>
    <t>CP 2020-45 B</t>
  </si>
  <si>
    <t>2020-AMP-077</t>
  </si>
  <si>
    <t>SVP-2020-043</t>
  </si>
  <si>
    <t>RFQ - CPR No. GS-130-145-158-159-162-167-173-182-1</t>
  </si>
  <si>
    <t>Mabuhay 2020-07-001</t>
  </si>
  <si>
    <t>GOODS-2020-015</t>
  </si>
  <si>
    <t>PANG-2020-0997</t>
  </si>
  <si>
    <t>MMWD-0023-2020</t>
  </si>
  <si>
    <t>2020-0490</t>
  </si>
  <si>
    <t>2020-01-9991-64</t>
  </si>
  <si>
    <t>2020 INFRA 031</t>
  </si>
  <si>
    <t>POMPONAN202004</t>
  </si>
  <si>
    <t>20GFL0004</t>
  </si>
  <si>
    <t>9000.48</t>
  </si>
  <si>
    <t>PR 17-2020 Fundado</t>
  </si>
  <si>
    <t>CMO(PUBLIC SAFETY)20-002(SHOPPING)</t>
  </si>
  <si>
    <t>SVP-2020-044</t>
  </si>
  <si>
    <t>brgy.sapa</t>
  </si>
  <si>
    <t>ITB-2020-31</t>
  </si>
  <si>
    <t>20-07-010</t>
  </si>
  <si>
    <t>298</t>
  </si>
  <si>
    <t>2020-016C</t>
  </si>
  <si>
    <t>2020-114</t>
  </si>
  <si>
    <t>PR0038-20 PHO</t>
  </si>
  <si>
    <t>20-07-00459</t>
  </si>
  <si>
    <t>NP-SVP-381-2020</t>
  </si>
  <si>
    <t>PANG-2020-0998</t>
  </si>
  <si>
    <t>PR No. 300-20-376</t>
  </si>
  <si>
    <t>2020-INFRA-025</t>
  </si>
  <si>
    <t>BARANGAY BALIW 1</t>
  </si>
  <si>
    <t>ITB20200702</t>
  </si>
  <si>
    <t>2020-C9-01</t>
  </si>
  <si>
    <t>Goods 2020-07-023</t>
  </si>
  <si>
    <t>2020-07-008</t>
  </si>
  <si>
    <t>20GE0032G</t>
  </si>
  <si>
    <t>BLGU Aguinaldo 2020-07-017</t>
  </si>
  <si>
    <t>7-20-35</t>
  </si>
  <si>
    <t>ITB-2020-32</t>
  </si>
  <si>
    <t>PR-20-07-259 / RSQ-20-07-024</t>
  </si>
  <si>
    <t>CP 2020-50 B</t>
  </si>
  <si>
    <t>QSU-BAC-G-54-2020 DA-ACEF</t>
  </si>
  <si>
    <t>2020-018C</t>
  </si>
  <si>
    <t>PR 2020-07-28-113</t>
  </si>
  <si>
    <t>2020-017C</t>
  </si>
  <si>
    <t>7-20-36</t>
  </si>
  <si>
    <t>LGU-100-2020-07-801</t>
  </si>
  <si>
    <t>PR 2020-07-09-107</t>
  </si>
  <si>
    <t>CONSOLIDATED-23</t>
  </si>
  <si>
    <t>LGU-Camalig-Goods-34</t>
  </si>
  <si>
    <t>100-2020-Goods-484</t>
  </si>
  <si>
    <t>RFQ-2020-019</t>
  </si>
  <si>
    <t>2020-06-0157</t>
  </si>
  <si>
    <t>20207165</t>
  </si>
  <si>
    <t>AMP2020-039</t>
  </si>
  <si>
    <t>CMO(ADM)20-089(NP/SV)</t>
  </si>
  <si>
    <t>20-07-036</t>
  </si>
  <si>
    <t>20-45377</t>
  </si>
  <si>
    <t>2020-001-A</t>
  </si>
  <si>
    <t>2020-01-9991-65</t>
  </si>
  <si>
    <t>CP 2020-49 B</t>
  </si>
  <si>
    <t>ITB-2020-33</t>
  </si>
  <si>
    <t>2020-C9-04</t>
  </si>
  <si>
    <t>2020-C9-02</t>
  </si>
  <si>
    <t>20GEF013</t>
  </si>
  <si>
    <t>PR NO. 100-20-07-375</t>
  </si>
  <si>
    <t>NP-SVP-382-2020</t>
  </si>
  <si>
    <t>101-20-07-RFQ0930</t>
  </si>
  <si>
    <t>2020-104</t>
  </si>
  <si>
    <t>2020-0333</t>
  </si>
  <si>
    <t>RFQ-NP-SVP-322b-2020</t>
  </si>
  <si>
    <t>0858</t>
  </si>
  <si>
    <t>CONSOLIDATED-24</t>
  </si>
  <si>
    <t>2020-07-433</t>
  </si>
  <si>
    <t>20-07-037</t>
  </si>
  <si>
    <t>2020-02-cctv</t>
  </si>
  <si>
    <t>SVP-20-50</t>
  </si>
  <si>
    <t>CP 2020-51 B</t>
  </si>
  <si>
    <t>PR-20-07-328 / RSQ-20-07-025</t>
  </si>
  <si>
    <t>PR0040-20 PVET</t>
  </si>
  <si>
    <t>20074419</t>
  </si>
  <si>
    <t>20-07-30-022</t>
  </si>
  <si>
    <t>PR0039-20 PHO</t>
  </si>
  <si>
    <t>20-187</t>
  </si>
  <si>
    <t>035</t>
  </si>
  <si>
    <t>2020-C9-05</t>
  </si>
  <si>
    <t>RFQ-NP-SVP-323-2020</t>
  </si>
  <si>
    <t>GOODS PROC 011-2020</t>
  </si>
  <si>
    <t>NP-SVP-383-2020</t>
  </si>
  <si>
    <t>2020-07-1716</t>
  </si>
  <si>
    <t>CMO(CDLO)14-001-LSFW(NP/SV)</t>
  </si>
  <si>
    <t>101-20-07-RFQ0933</t>
  </si>
  <si>
    <t>GDS 07-2020-15</t>
  </si>
  <si>
    <t>NP-SVP-384-2020</t>
  </si>
  <si>
    <t>2020-C9-06</t>
  </si>
  <si>
    <t>G-081-0538-20</t>
  </si>
  <si>
    <t>20-46429</t>
  </si>
  <si>
    <t>20HF0100</t>
  </si>
  <si>
    <t>07-231-2020</t>
  </si>
  <si>
    <t>PR0043-20 PHO</t>
  </si>
  <si>
    <t>20-07-042</t>
  </si>
  <si>
    <t>NP-SVP-385-2020</t>
  </si>
  <si>
    <t>2020-07-0443</t>
  </si>
  <si>
    <t>PR0098-20 PAGRO</t>
  </si>
  <si>
    <t>PR0045-20 IPHO</t>
  </si>
  <si>
    <t>CID-2020-021</t>
  </si>
  <si>
    <t>INFRA-2020-04</t>
  </si>
  <si>
    <t>SP(ONG)-20-016(NP/SV)</t>
  </si>
  <si>
    <t>20GEF015</t>
  </si>
  <si>
    <t>JOY-SVP-2020-07-212-NPIG</t>
  </si>
  <si>
    <t>101-20-07-RFQ0929</t>
  </si>
  <si>
    <t>2020-AMP-079</t>
  </si>
  <si>
    <t>3246</t>
  </si>
  <si>
    <t>PR0062-20 TOURISM</t>
  </si>
  <si>
    <t>20074384</t>
  </si>
  <si>
    <t>20200730</t>
  </si>
  <si>
    <t>2020.07.30</t>
  </si>
  <si>
    <t>20NH0093</t>
  </si>
  <si>
    <t>2020-07-0444</t>
  </si>
  <si>
    <t>20GEF014</t>
  </si>
  <si>
    <t>20GEF011 (Re-bid 1)</t>
  </si>
  <si>
    <t>INFRA-2020-03</t>
  </si>
  <si>
    <t>101-20-07-RFQ0936</t>
  </si>
  <si>
    <t>PNU2020-0007</t>
  </si>
  <si>
    <t>PR0071-20 MotorPool</t>
  </si>
  <si>
    <t>BAC-HOJ-005-20</t>
  </si>
  <si>
    <t>Project 41 PR2019-09-3885etc</t>
  </si>
  <si>
    <t>PBgoods022-2020</t>
  </si>
  <si>
    <t>20-46601</t>
  </si>
  <si>
    <t>G-082-0539-20</t>
  </si>
  <si>
    <t>20074380</t>
  </si>
  <si>
    <t>073020-R2</t>
  </si>
  <si>
    <t>RFQ 20-679</t>
  </si>
  <si>
    <t>RSW-2020-023</t>
  </si>
  <si>
    <t>VIN BAC050-2020</t>
  </si>
  <si>
    <t>NP-SVP-386-2020</t>
  </si>
  <si>
    <t>50-20-07-059</t>
  </si>
  <si>
    <t>CMO(CDLO)-14-001-LSW(NP/SV)</t>
  </si>
  <si>
    <t>101-20-07-RFQ0931</t>
  </si>
  <si>
    <t>073020-R1</t>
  </si>
  <si>
    <t>BAG-1-2020-051</t>
  </si>
  <si>
    <t>18ad2020</t>
  </si>
  <si>
    <t>101-20-07-RFQ0937</t>
  </si>
  <si>
    <t>RFQ 20-680</t>
  </si>
  <si>
    <t>20HF0101</t>
  </si>
  <si>
    <t>ITB-20-07-005</t>
  </si>
  <si>
    <t>20-46783</t>
  </si>
  <si>
    <t>20-101-053</t>
  </si>
  <si>
    <t>101-20-07-RFQ0935</t>
  </si>
  <si>
    <t>098765</t>
  </si>
  <si>
    <t>101-20-07-RFQ0939</t>
  </si>
  <si>
    <t>20074324</t>
  </si>
  <si>
    <t>20074483</t>
  </si>
  <si>
    <t>PR 2020-01</t>
  </si>
  <si>
    <t>HFW-2020-07-292</t>
  </si>
  <si>
    <t>RFQ No.2020-0301</t>
  </si>
  <si>
    <t>20074260</t>
  </si>
  <si>
    <t>NAPO-INB-2020-07-001</t>
  </si>
  <si>
    <t>2020-AMP-080</t>
  </si>
  <si>
    <t>0678</t>
  </si>
  <si>
    <t>2020-07-360</t>
  </si>
  <si>
    <t>20-07-040</t>
  </si>
  <si>
    <t>003-001-2020</t>
  </si>
  <si>
    <t>20074290</t>
  </si>
  <si>
    <t>101-20-07-RFQ0934</t>
  </si>
  <si>
    <t>GOODS-2020-077</t>
  </si>
  <si>
    <t>MZSP-2020-048</t>
  </si>
  <si>
    <t>003-002-2020</t>
  </si>
  <si>
    <t>GDS 07-2020-16</t>
  </si>
  <si>
    <t>20010183</t>
  </si>
  <si>
    <t>2020-16</t>
  </si>
  <si>
    <t>RTF-03</t>
  </si>
  <si>
    <t>20064074</t>
  </si>
  <si>
    <t>2020-0608-029</t>
  </si>
  <si>
    <t>29</t>
  </si>
  <si>
    <t>20-07-038</t>
  </si>
  <si>
    <t>SP(ONG)20-015(NP/SV)</t>
  </si>
  <si>
    <t>20NMSC26-G</t>
  </si>
  <si>
    <t>NRCP Goods 20-33</t>
  </si>
  <si>
    <t>2020-0608-030</t>
  </si>
  <si>
    <t>IB No. 20-07-17</t>
  </si>
  <si>
    <t>C-PEO-059-20</t>
  </si>
  <si>
    <t>2020-07-130</t>
  </si>
  <si>
    <t>0759</t>
  </si>
  <si>
    <t>20BI0063</t>
  </si>
  <si>
    <t>20KJ0189</t>
  </si>
  <si>
    <t>DSWD7-20-0796</t>
  </si>
  <si>
    <t>PR#2020-07-079-GS</t>
  </si>
  <si>
    <t>RFQ-2020-084</t>
  </si>
  <si>
    <t>2020-07-091bid</t>
  </si>
  <si>
    <t>ITB-2020-34</t>
  </si>
  <si>
    <t>RFQ-2020-082</t>
  </si>
  <si>
    <t>INFRA-2020-02</t>
  </si>
  <si>
    <t>20HF0102</t>
  </si>
  <si>
    <t>2020-SIB-10</t>
  </si>
  <si>
    <t>20-01</t>
  </si>
  <si>
    <t>RFQ-2020-083</t>
  </si>
  <si>
    <t>PB No. 2020-001A</t>
  </si>
  <si>
    <t>RFQ - 2020-07-104</t>
  </si>
  <si>
    <t>2020-109</t>
  </si>
  <si>
    <t>RFQ-2020-087</t>
  </si>
  <si>
    <t>2020-SIB-05</t>
  </si>
  <si>
    <t>CATCAM-2020-22</t>
  </si>
  <si>
    <t>100-20-07-0214</t>
  </si>
  <si>
    <t>RFQ - 2020-07-103</t>
  </si>
  <si>
    <t>B-20-32</t>
  </si>
  <si>
    <t>2020-108</t>
  </si>
  <si>
    <t>0835</t>
  </si>
  <si>
    <t>0820</t>
  </si>
  <si>
    <t>IbajayNHS-2020-07-01</t>
  </si>
  <si>
    <t>RFQ-2020-085</t>
  </si>
  <si>
    <t>0801</t>
  </si>
  <si>
    <t>20KJ0191</t>
  </si>
  <si>
    <t>20CSKG03</t>
  </si>
  <si>
    <t>SH 047-20</t>
  </si>
  <si>
    <t>20074339</t>
  </si>
  <si>
    <t>NP 109-20</t>
  </si>
  <si>
    <t>20-46816</t>
  </si>
  <si>
    <t>RFQ-2020-086</t>
  </si>
  <si>
    <t>2020-C9-03</t>
  </si>
  <si>
    <t>PEN2020-07-0136</t>
  </si>
  <si>
    <t>299</t>
  </si>
  <si>
    <t>CP 2020-52 B</t>
  </si>
  <si>
    <t>JHS202006-059</t>
  </si>
  <si>
    <t>2020-113</t>
  </si>
  <si>
    <t>07-30-2020-296</t>
  </si>
  <si>
    <t>061-2020</t>
  </si>
  <si>
    <t>JOR No. 20-079</t>
  </si>
  <si>
    <t>241-2020</t>
  </si>
  <si>
    <t>2020-07-057</t>
  </si>
  <si>
    <t>BLGU Aguinaldo 2020-07-016</t>
  </si>
  <si>
    <t>034</t>
  </si>
  <si>
    <t>BARBARANGAY-ITB-1(PATHWAY)-2020</t>
  </si>
  <si>
    <t>07-130-2020</t>
  </si>
  <si>
    <t>20BI0064</t>
  </si>
  <si>
    <t>2020 INFRA 030</t>
  </si>
  <si>
    <t>2019-DVO-041</t>
  </si>
  <si>
    <t>RFQ NSCV20-025</t>
  </si>
  <si>
    <t>RFQ-2020-089</t>
  </si>
  <si>
    <t>80-20-07-095</t>
  </si>
  <si>
    <t>2020-01-9991-66</t>
  </si>
  <si>
    <t>GD-001-2020</t>
  </si>
  <si>
    <t>0836</t>
  </si>
  <si>
    <t>NV 2020-041</t>
  </si>
  <si>
    <t>SH 048-20</t>
  </si>
  <si>
    <t>ITB 07-005-20</t>
  </si>
  <si>
    <t>202-07-0258A-NMSF</t>
  </si>
  <si>
    <t>RFQ-NP-SVP-312-2020</t>
  </si>
  <si>
    <t>RFQ-2020-093</t>
  </si>
  <si>
    <t>20-20-07-225</t>
  </si>
  <si>
    <t>2020-LGU-Cuenca-062</t>
  </si>
  <si>
    <t>20-314</t>
  </si>
  <si>
    <t>100(18)20-07-451(O)</t>
  </si>
  <si>
    <t>20-07-SO151</t>
  </si>
  <si>
    <t>0821</t>
  </si>
  <si>
    <t>DWD#2020-039</t>
  </si>
  <si>
    <t>100-20-07-0227</t>
  </si>
  <si>
    <t>100200300379</t>
  </si>
  <si>
    <t>RFQ-2020-092</t>
  </si>
  <si>
    <t>RFQ-026-2020</t>
  </si>
  <si>
    <t>RFQ-2020-091</t>
  </si>
  <si>
    <t>2020-07-0168</t>
  </si>
  <si>
    <t>2020-01-9991-67</t>
  </si>
  <si>
    <t>003</t>
  </si>
  <si>
    <t>RFQ-2020-090</t>
  </si>
  <si>
    <t>RFQ-2020-088</t>
  </si>
  <si>
    <t>0880</t>
  </si>
  <si>
    <t>P.R. 0696 SERIES 2020</t>
  </si>
  <si>
    <t>20-07-SO152</t>
  </si>
  <si>
    <t>GDS-387-2020</t>
  </si>
  <si>
    <t>PR#20-07-0743</t>
  </si>
  <si>
    <t>DF-I-21-2020</t>
  </si>
  <si>
    <t>512</t>
  </si>
  <si>
    <t>G38-2020</t>
  </si>
  <si>
    <t>20GP0073</t>
  </si>
  <si>
    <t>40-20-02-015</t>
  </si>
  <si>
    <t>BFAR5BAC-2020-145</t>
  </si>
  <si>
    <t>RFQ-2020-094</t>
  </si>
  <si>
    <t>GF 2020-07-002</t>
  </si>
  <si>
    <t>PR No. 05-031-2020</t>
  </si>
  <si>
    <t>2020-PLA-078</t>
  </si>
  <si>
    <t>PR No. 03-029-2020</t>
  </si>
  <si>
    <t>0020-0225-1159-2020</t>
  </si>
  <si>
    <t>2020-041</t>
  </si>
  <si>
    <t>20KJ0190</t>
  </si>
  <si>
    <t>POB220-07-008</t>
  </si>
  <si>
    <t>100(18)20-07-452(O)</t>
  </si>
  <si>
    <t>PR No. 06-048-2020</t>
  </si>
  <si>
    <t>PR-2020-02-024</t>
  </si>
  <si>
    <t>7-48-20</t>
  </si>
  <si>
    <t>401-20-07-582</t>
  </si>
  <si>
    <t>PR No. 06-042-2020</t>
  </si>
  <si>
    <t>DF-I-22-2020</t>
  </si>
  <si>
    <t>PR No. 06-041-2020</t>
  </si>
  <si>
    <t>cal07292020-07</t>
  </si>
  <si>
    <t>20KF0135</t>
  </si>
  <si>
    <t>PoW 01-0730</t>
  </si>
  <si>
    <t>PR No. 05-032-2020</t>
  </si>
  <si>
    <t>RFQ-2020-095</t>
  </si>
  <si>
    <t>20-20-04-169</t>
  </si>
  <si>
    <t>G20-05-583</t>
  </si>
  <si>
    <t>mda130</t>
  </si>
  <si>
    <t>20-07-002</t>
  </si>
  <si>
    <t>B-2020-031</t>
  </si>
  <si>
    <t>PR NO. 20-07-063</t>
  </si>
  <si>
    <t>2020-A-07-147</t>
  </si>
  <si>
    <t>PR No. 03-025-2020</t>
  </si>
  <si>
    <t>BUE-07302020-01</t>
  </si>
  <si>
    <t>2020-073003</t>
  </si>
  <si>
    <t>ITB No. 2020-I-P9-01</t>
  </si>
  <si>
    <t>20GP0074</t>
  </si>
  <si>
    <t>P.R. No. 2020-07-059</t>
  </si>
  <si>
    <t>2020-07-0142E</t>
  </si>
  <si>
    <t>Mal123</t>
  </si>
  <si>
    <t>20-07-3165</t>
  </si>
  <si>
    <t>0804</t>
  </si>
  <si>
    <t>PR-07-2020-357</t>
  </si>
  <si>
    <t>PR-07-2020-352</t>
  </si>
  <si>
    <t>062-2020</t>
  </si>
  <si>
    <t>2020-07-0480S</t>
  </si>
  <si>
    <t>DF-I-23-2020</t>
  </si>
  <si>
    <t>2020-C9-07</t>
  </si>
  <si>
    <t>2020-07-0150</t>
  </si>
  <si>
    <t>0542-A</t>
  </si>
  <si>
    <t>AREA V- 2020-SVP-036</t>
  </si>
  <si>
    <t>ITB 07-006-20</t>
  </si>
  <si>
    <t>r6bcd07282020-1</t>
  </si>
  <si>
    <t>ITB 100-2020-07-12</t>
  </si>
  <si>
    <t>CWD 36-2020</t>
  </si>
  <si>
    <t>Q2-01-2020</t>
  </si>
  <si>
    <t>RFQ-2020-097</t>
  </si>
  <si>
    <t>S3-PDM20-022</t>
  </si>
  <si>
    <t>FCT-2020-03</t>
  </si>
  <si>
    <t>202007301</t>
  </si>
  <si>
    <t>20OD0215</t>
  </si>
  <si>
    <t>AREA V- 2020-SVP-037</t>
  </si>
  <si>
    <t>LR_2020_07_2018</t>
  </si>
  <si>
    <t>4000004594</t>
  </si>
  <si>
    <t>SVP 2020-036</t>
  </si>
  <si>
    <t>WPU-2020-001-BAC-SVP</t>
  </si>
  <si>
    <t>sra2020-004</t>
  </si>
  <si>
    <t>SH 049-20</t>
  </si>
  <si>
    <t>2020-07-263</t>
  </si>
  <si>
    <t>100(18)20-02-124(O)</t>
  </si>
  <si>
    <t>PR-2020-1000033185</t>
  </si>
  <si>
    <t>P.R. NO. 0690 SERIES 2020</t>
  </si>
  <si>
    <t>20-07-0064</t>
  </si>
  <si>
    <t>20-06-0380</t>
  </si>
  <si>
    <t>20-06-0392</t>
  </si>
  <si>
    <t>2020-07-</t>
  </si>
  <si>
    <t>RQ 07-236</t>
  </si>
  <si>
    <t>RFQ-2020-096</t>
  </si>
  <si>
    <t>Sarrat-2020-026</t>
  </si>
  <si>
    <t>PR NO. 20-07-068</t>
  </si>
  <si>
    <t>SKOLYMPIA-20-001</t>
  </si>
  <si>
    <t>SUBM#2020 -08 - 05</t>
  </si>
  <si>
    <t>100(01)20-07-403(O)</t>
  </si>
  <si>
    <t>RQ 07-237</t>
  </si>
  <si>
    <t>1 PBES 07302020</t>
  </si>
  <si>
    <t>RQ 07-064A</t>
  </si>
  <si>
    <t>50-20-04-035</t>
  </si>
  <si>
    <t>100(01)20-07-402(O)</t>
  </si>
  <si>
    <t>20-07-00464</t>
  </si>
  <si>
    <t>SUBM#2020 -08 - 06</t>
  </si>
  <si>
    <t>SF-2020-056</t>
  </si>
  <si>
    <t>2020-02-002</t>
  </si>
  <si>
    <t>100(01)20-07-401(O)</t>
  </si>
  <si>
    <t>INFRA-44-2020</t>
  </si>
  <si>
    <t>SJADS GOODS 20-10</t>
  </si>
  <si>
    <t>20-101-051</t>
  </si>
  <si>
    <t>2PBES07302020</t>
  </si>
  <si>
    <t>RQ 07-247</t>
  </si>
  <si>
    <t>cal07292020-08</t>
  </si>
  <si>
    <t>20-46822</t>
  </si>
  <si>
    <t>2020-C9-08</t>
  </si>
  <si>
    <t>SVP 2020-037</t>
  </si>
  <si>
    <t>20-07-0399</t>
  </si>
  <si>
    <t>ITB 08-04-2020</t>
  </si>
  <si>
    <t>2020-08-002Goods</t>
  </si>
  <si>
    <t>100-2020-Goods-488</t>
  </si>
  <si>
    <t>SF-2020-057</t>
  </si>
  <si>
    <t>100(01)20-07-404(O)</t>
  </si>
  <si>
    <t>PR-2020-02-245</t>
  </si>
  <si>
    <t>RQ 07-060A</t>
  </si>
  <si>
    <t>20ITB-G-03-00053</t>
  </si>
  <si>
    <t>G39-2020</t>
  </si>
  <si>
    <t>2020-07-0800</t>
  </si>
  <si>
    <t>20-06-0388</t>
  </si>
  <si>
    <t>AMP-028-2020</t>
  </si>
  <si>
    <t>LAPGAP-02-2020</t>
  </si>
  <si>
    <t>PR#20-091</t>
  </si>
  <si>
    <t>3PBES07302020</t>
  </si>
  <si>
    <t>G20-07-2799</t>
  </si>
  <si>
    <t>20-07-0431</t>
  </si>
  <si>
    <t>ITB 07-007-20</t>
  </si>
  <si>
    <t>DA7-2020-07-R&amp;DR-20-2936(R1)</t>
  </si>
  <si>
    <t>2020-C9-09</t>
  </si>
  <si>
    <t>20-07-3167</t>
  </si>
  <si>
    <t>UBC-030-2020</t>
  </si>
  <si>
    <t>20-07-067</t>
  </si>
  <si>
    <t>BANAHAO202001</t>
  </si>
  <si>
    <t>Sip-2020-099</t>
  </si>
  <si>
    <t>2020-C9-10</t>
  </si>
  <si>
    <t>RQ 07-061A</t>
  </si>
  <si>
    <t>ITB 08-02-2020</t>
  </si>
  <si>
    <t>2020-07-0887</t>
  </si>
  <si>
    <t>1000033736</t>
  </si>
  <si>
    <t>20-07-0430</t>
  </si>
  <si>
    <t>RFQ No. 20-0697 NP-SV</t>
  </si>
  <si>
    <t>cal07292020-10</t>
  </si>
  <si>
    <t>LAPGAP-01-2020</t>
  </si>
  <si>
    <t>S3-MAN20-017</t>
  </si>
  <si>
    <t>RFQ 2020-09</t>
  </si>
  <si>
    <t>20-046 (Re-bid)</t>
  </si>
  <si>
    <t>PB-20-0081</t>
  </si>
  <si>
    <t>PB-20-0082</t>
  </si>
  <si>
    <t>100(18)20-07-407(O)</t>
  </si>
  <si>
    <t>ITB 08-05-2020</t>
  </si>
  <si>
    <t>CAL07292020-09</t>
  </si>
  <si>
    <t>20% ESID.6-2020</t>
  </si>
  <si>
    <t>LR_2020_07_2019</t>
  </si>
  <si>
    <t>20-07-44</t>
  </si>
  <si>
    <t>20-101-057</t>
  </si>
  <si>
    <t>351-07-2020-101</t>
  </si>
  <si>
    <t>2020-PR-122</t>
  </si>
  <si>
    <t>07-30-20-11</t>
  </si>
  <si>
    <t>ITB 08-06-2020</t>
  </si>
  <si>
    <t>0020-0277-1287-2020</t>
  </si>
  <si>
    <t>infra-45-2020</t>
  </si>
  <si>
    <t>2020-C9-12</t>
  </si>
  <si>
    <t>20% ESIE4.4-2020</t>
  </si>
  <si>
    <t>SVP-20-51</t>
  </si>
  <si>
    <t>ITB 08-01-2020</t>
  </si>
  <si>
    <t>PR#20-093</t>
  </si>
  <si>
    <t>RQ 07-063A</t>
  </si>
  <si>
    <t>AFMS-0720-007</t>
  </si>
  <si>
    <t>21CSIA004 Conduct of Soil Exploration for the foll</t>
  </si>
  <si>
    <t>ITB 2020 - 087</t>
  </si>
  <si>
    <t>PR2020-07-00070</t>
  </si>
  <si>
    <t>PB-CW-20-007</t>
  </si>
  <si>
    <t>SVP-2020-</t>
  </si>
  <si>
    <t>RRCY 2020-061</t>
  </si>
  <si>
    <t>2020-C9-11</t>
  </si>
  <si>
    <t>PR#20-092</t>
  </si>
  <si>
    <t>Goods-2020-009</t>
  </si>
  <si>
    <t>100(18)20-07-406(O)</t>
  </si>
  <si>
    <t>Pitogo 2020-08-05</t>
  </si>
  <si>
    <t>2020-BLU-DELGAD-07-01</t>
  </si>
  <si>
    <t>2020-08-6942</t>
  </si>
  <si>
    <t>GDS-2020-13</t>
  </si>
  <si>
    <t>2020-73</t>
  </si>
  <si>
    <t>100(01)20-07-405(O)</t>
  </si>
  <si>
    <t>20-047</t>
  </si>
  <si>
    <t>07-2020-01</t>
  </si>
  <si>
    <t>2020-3Q032</t>
  </si>
  <si>
    <t>007188-0000-00</t>
  </si>
  <si>
    <t>EOI 08-01-2020</t>
  </si>
  <si>
    <t>2020-419</t>
  </si>
  <si>
    <t>20-07-271</t>
  </si>
  <si>
    <t>20% ESID.4-2020</t>
  </si>
  <si>
    <t>PB-20-0083</t>
  </si>
  <si>
    <t>2020-C9-14</t>
  </si>
  <si>
    <t>RQ 07-062A</t>
  </si>
  <si>
    <t>2020-07-08</t>
  </si>
  <si>
    <t>RFQ-GOODS-2020-015</t>
  </si>
  <si>
    <t>IAEB NO. 2020-011</t>
  </si>
  <si>
    <t>ITB-08-2020</t>
  </si>
  <si>
    <t>2020 INFRA 001</t>
  </si>
  <si>
    <t>ITB2020-07-16</t>
  </si>
  <si>
    <t>20% ESID.3-2020</t>
  </si>
  <si>
    <t>ITB 2020 - 088</t>
  </si>
  <si>
    <t>RFQ No. 20-0696 NP-SV</t>
  </si>
  <si>
    <t>Sarrat-2020-027</t>
  </si>
  <si>
    <t>RFQ NO. 503</t>
  </si>
  <si>
    <t>PB-20-0084</t>
  </si>
  <si>
    <t>ITB 100-2020-07-13</t>
  </si>
  <si>
    <t>PR#20-095</t>
  </si>
  <si>
    <t>2020-07-30</t>
  </si>
  <si>
    <t>PB 07-07-2020</t>
  </si>
  <si>
    <t>RFQ-2020-050</t>
  </si>
  <si>
    <t>RQ 07-059A</t>
  </si>
  <si>
    <t>2020-420</t>
  </si>
  <si>
    <t>2007-048</t>
  </si>
  <si>
    <t>RQ 07-271</t>
  </si>
  <si>
    <t>20PG0064</t>
  </si>
  <si>
    <t>2020-60</t>
  </si>
  <si>
    <t>0540-A</t>
  </si>
  <si>
    <t>063-2020</t>
  </si>
  <si>
    <t>BCS-2020-0247</t>
  </si>
  <si>
    <t>PR#20-094</t>
  </si>
  <si>
    <t>DTI-IX-2020-07-07 (F23)</t>
  </si>
  <si>
    <t>P.R. NO. 0668 SERIES 2020</t>
  </si>
  <si>
    <t>ITB 100-2020-07-14</t>
  </si>
  <si>
    <t>BIN-3rd-20-02</t>
  </si>
  <si>
    <t>pr#101-20-07-521,522,523,524,525,526,527,528,529</t>
  </si>
  <si>
    <t>BSWM PR 2020-07-1975</t>
  </si>
  <si>
    <t>EQPT-2020-20</t>
  </si>
  <si>
    <t>PB-20-0085</t>
  </si>
  <si>
    <t>1011-20-07-24</t>
  </si>
  <si>
    <t>2020-07-3117</t>
  </si>
  <si>
    <t>UPLB-RQ-7-092-20-GOODS COMPUTER RENTAL</t>
  </si>
  <si>
    <t>ITB 100-2020-07-15</t>
  </si>
  <si>
    <t>20-07-272</t>
  </si>
  <si>
    <t>Infra-20-11</t>
  </si>
  <si>
    <t>2020-07-059</t>
  </si>
  <si>
    <t>2020-C9-13</t>
  </si>
  <si>
    <t>G-2020-031</t>
  </si>
  <si>
    <t>0020-0277-1287A2020</t>
  </si>
  <si>
    <t>2020-07-3116</t>
  </si>
  <si>
    <t>CS-2020-07-002</t>
  </si>
  <si>
    <t>RFQ No. 20-0701 NP-SVP</t>
  </si>
  <si>
    <t>2020-RFQ-07-021</t>
  </si>
  <si>
    <t>2020-08-6939</t>
  </si>
  <si>
    <t>004-2020-I</t>
  </si>
  <si>
    <t>BAC 3-2020-07-073</t>
  </si>
  <si>
    <t>2020-07-0129</t>
  </si>
  <si>
    <t>EQPT-2020-21</t>
  </si>
  <si>
    <t>2020-07-0158</t>
  </si>
  <si>
    <t>PB-2020-07-010</t>
  </si>
  <si>
    <t>cgb2020-001-PR378-20</t>
  </si>
  <si>
    <t>20PK0072</t>
  </si>
  <si>
    <t>1064-19</t>
  </si>
  <si>
    <t>202007300001</t>
  </si>
  <si>
    <t>005-2020-I</t>
  </si>
  <si>
    <t>CDC 58-07-2020</t>
  </si>
  <si>
    <t>cal07292020-11</t>
  </si>
  <si>
    <t>101-20-07-RFQ0938</t>
  </si>
  <si>
    <t>20-07-273</t>
  </si>
  <si>
    <t>BSWM PR 2020-07-1854</t>
  </si>
  <si>
    <t>1091-101-2020-07-342</t>
  </si>
  <si>
    <t>MOOE20203RDQUARTER</t>
  </si>
  <si>
    <t>20-07-260</t>
  </si>
  <si>
    <t>Toketec-ITB-002</t>
  </si>
  <si>
    <t>2020-07-001-CW</t>
  </si>
  <si>
    <t>cal07292020-12</t>
  </si>
  <si>
    <t>lgu-2020-030</t>
  </si>
  <si>
    <t>SF-2020-058</t>
  </si>
  <si>
    <t>20-145</t>
  </si>
  <si>
    <t>PB-CW-20-008</t>
  </si>
  <si>
    <t>BINAN-PB-069-2020</t>
  </si>
  <si>
    <t>0020-0278-1291-2020</t>
  </si>
  <si>
    <t>SVP-2020-045</t>
  </si>
  <si>
    <t>BSWM PR 2020-01-1958</t>
  </si>
  <si>
    <t>073020</t>
  </si>
  <si>
    <t>various office and IT supplies for NGP</t>
  </si>
  <si>
    <t>20CSCN02</t>
  </si>
  <si>
    <t>PNU2020-0071</t>
  </si>
  <si>
    <t>SKOLYMPIA-20-002</t>
  </si>
  <si>
    <t>2020-07-0329</t>
  </si>
  <si>
    <t>PR# 10-20-06-453,454,455,456,457,458,459,460,461,4</t>
  </si>
  <si>
    <t>08202001</t>
  </si>
  <si>
    <t>RFQ No. 20-0702 NP-SVP</t>
  </si>
  <si>
    <t>21CSIA001 Conduct of Soil Exploration for the wide</t>
  </si>
  <si>
    <t>2020-ODY-07-239</t>
  </si>
  <si>
    <t>0790</t>
  </si>
  <si>
    <t>SJADS INFRA 20-09</t>
  </si>
  <si>
    <t>P.R. NO. 0692 SERIES 2020</t>
  </si>
  <si>
    <t>2020-07-051</t>
  </si>
  <si>
    <t>SEF-I-66-2020</t>
  </si>
  <si>
    <t>SVP-2020-046</t>
  </si>
  <si>
    <t>PR 2020-07-16-108</t>
  </si>
  <si>
    <t>2020-07-002-CW</t>
  </si>
  <si>
    <t>ITB No. 2020-026</t>
  </si>
  <si>
    <t>SN-2020-007</t>
  </si>
  <si>
    <t>RFQ-R4-2020-07-008</t>
  </si>
  <si>
    <t>2020-370</t>
  </si>
  <si>
    <t>BSWM PR 2020-07-1964</t>
  </si>
  <si>
    <t>SDO2020-07-REfFeed</t>
  </si>
  <si>
    <t>300-20-07-34</t>
  </si>
  <si>
    <t>2020-07-003-CW</t>
  </si>
  <si>
    <t>08202002</t>
  </si>
  <si>
    <t>100-07-20-01956</t>
  </si>
  <si>
    <t>BINAN-PB-070-2020</t>
  </si>
  <si>
    <t>20JBG0060</t>
  </si>
  <si>
    <t>RFQ # 2020-07-20118</t>
  </si>
  <si>
    <t>20-07-147</t>
  </si>
  <si>
    <t>SF-2020-059</t>
  </si>
  <si>
    <t>PNUNL-GD-2020 07 03</t>
  </si>
  <si>
    <t>20-146</t>
  </si>
  <si>
    <t>SVP-2020-047</t>
  </si>
  <si>
    <t>2020-369</t>
  </si>
  <si>
    <t>PR# 118-20-07-014</t>
  </si>
  <si>
    <t>RFQ 20-07-052</t>
  </si>
  <si>
    <t>20-07-0081</t>
  </si>
  <si>
    <t>2020-422</t>
  </si>
  <si>
    <t>BSWM PR 2020-07-1962</t>
  </si>
  <si>
    <t>2020-421</t>
  </si>
  <si>
    <t>07-30-2020-297</t>
  </si>
  <si>
    <t>07-012-474-20</t>
  </si>
  <si>
    <t>2020-ODY-07-242</t>
  </si>
  <si>
    <t>LTO-SU-20-068</t>
  </si>
  <si>
    <t>2020-ODY-07-240</t>
  </si>
  <si>
    <t>20-098</t>
  </si>
  <si>
    <t>2020-371</t>
  </si>
  <si>
    <t>EQPT-2020-22</t>
  </si>
  <si>
    <t>IAEB-2020-I004</t>
  </si>
  <si>
    <t>2020-07-0445</t>
  </si>
  <si>
    <t>2020-G-BRGY POBLACION III</t>
  </si>
  <si>
    <t>2020-ODY-07-241</t>
  </si>
  <si>
    <t>2020 - 08 - 007 (125 - Shopping)</t>
  </si>
  <si>
    <t>20-07-275</t>
  </si>
  <si>
    <t>20-030</t>
  </si>
  <si>
    <t>LTO-SU-20-069</t>
  </si>
  <si>
    <t>BSWM PR 2020-07-1910</t>
  </si>
  <si>
    <t>2020-ODY-07-244</t>
  </si>
  <si>
    <t>2020-07-004-CW</t>
  </si>
  <si>
    <t>ICITB07302020A</t>
  </si>
  <si>
    <t>PB-CW-20-009</t>
  </si>
  <si>
    <t>2020-ODY-07-245</t>
  </si>
  <si>
    <t>2020-378</t>
  </si>
  <si>
    <t>PR # 101-20-06-435</t>
  </si>
  <si>
    <t>2020-07-05</t>
  </si>
  <si>
    <t>ITB No. 2020-027</t>
  </si>
  <si>
    <t>PR 2020-07-006</t>
  </si>
  <si>
    <t>2020-376</t>
  </si>
  <si>
    <t>2020-07-0446</t>
  </si>
  <si>
    <t>2020-07-005-CW</t>
  </si>
  <si>
    <t>2020-ODY-07-243</t>
  </si>
  <si>
    <t>08202003</t>
  </si>
  <si>
    <t>PUR20-05-0392</t>
  </si>
  <si>
    <t>2020-07-0308</t>
  </si>
  <si>
    <t>Small Value Procurement No. NFA-DDN-2020-01</t>
  </si>
  <si>
    <t>077</t>
  </si>
  <si>
    <t>08202004</t>
  </si>
  <si>
    <t>ITB_30072020</t>
  </si>
  <si>
    <t>PB-2020-07-011</t>
  </si>
  <si>
    <t>2020-07-052</t>
  </si>
  <si>
    <t>076</t>
  </si>
  <si>
    <t>2020-54</t>
  </si>
  <si>
    <t>LGULILA-07-2020</t>
  </si>
  <si>
    <t>2020-ODY-07-246</t>
  </si>
  <si>
    <t>Infra-20-12</t>
  </si>
  <si>
    <t>2020-055</t>
  </si>
  <si>
    <t>MZSP-2020-49</t>
  </si>
  <si>
    <t>2019-PCOO-I-004a</t>
  </si>
  <si>
    <t>2020-07-Vito</t>
  </si>
  <si>
    <t>BSWM PR 2020-07-1816</t>
  </si>
  <si>
    <t>OGDS 07-30-20</t>
  </si>
  <si>
    <t>2020-ODY-07-247</t>
  </si>
  <si>
    <t>20-07-276</t>
  </si>
  <si>
    <t>BSWM PR 2020-07-1959</t>
  </si>
  <si>
    <t>243-2020</t>
  </si>
  <si>
    <t>MG-PLM20-077</t>
  </si>
  <si>
    <t>20-07-02</t>
  </si>
  <si>
    <t>08202005</t>
  </si>
  <si>
    <t>2020-070342</t>
  </si>
  <si>
    <t>20201621</t>
  </si>
  <si>
    <t>2020- NFA-RBAC8-INFR- 19</t>
  </si>
  <si>
    <t>Ibaan/2020/254</t>
  </si>
  <si>
    <t>AMP-RFQ 2020-075</t>
  </si>
  <si>
    <t>ITB-2020-07-002</t>
  </si>
  <si>
    <t>MG-PAT20-036</t>
  </si>
  <si>
    <t>2020-028-B</t>
  </si>
  <si>
    <t>FCT-2020-04</t>
  </si>
  <si>
    <t>MG-PLM20-137</t>
  </si>
  <si>
    <t>2020-ODY-07-248</t>
  </si>
  <si>
    <t>MIL-INFR-2020-07-01</t>
  </si>
  <si>
    <t>lgu-2020-032</t>
  </si>
  <si>
    <t>ITB No. 015-2020</t>
  </si>
  <si>
    <t>Small Value Procurement No. NFA-DAC-2020-02</t>
  </si>
  <si>
    <t>MG-PAT20-029</t>
  </si>
  <si>
    <t>20-07-278</t>
  </si>
  <si>
    <t>MZSP-2020-50</t>
  </si>
  <si>
    <t>S3-JOL20-017 (NP4)</t>
  </si>
  <si>
    <t>SF-01-07-20-GOODS</t>
  </si>
  <si>
    <t>Tinopan202006</t>
  </si>
  <si>
    <t>20-07-043</t>
  </si>
  <si>
    <t>2020-ODY-07-249</t>
  </si>
  <si>
    <t>PR No. 2020-07-143</t>
  </si>
  <si>
    <t>various office and IT supplies for LPDD</t>
  </si>
  <si>
    <t>RO3-2020-07-003</t>
  </si>
  <si>
    <t>104-2020</t>
  </si>
  <si>
    <t>MG-PHP20-019</t>
  </si>
  <si>
    <t>SEF-2020-011</t>
  </si>
  <si>
    <t>2020-379</t>
  </si>
  <si>
    <t>Small Value Procurement No. NFA-DAC-2020-03</t>
  </si>
  <si>
    <t>SKOLYMPIA-20-003</t>
  </si>
  <si>
    <t>08202008</t>
  </si>
  <si>
    <t>08202006</t>
  </si>
  <si>
    <t>20-07-279</t>
  </si>
  <si>
    <t>LGU BASILISA - 2020 - 0145</t>
  </si>
  <si>
    <t>2020-380</t>
  </si>
  <si>
    <t>ITB-035-2020</t>
  </si>
  <si>
    <t>242-2020</t>
  </si>
  <si>
    <t>SF-02-07-20-Goods</t>
  </si>
  <si>
    <t>MN 318</t>
  </si>
  <si>
    <t>Tinopan202005</t>
  </si>
  <si>
    <t>MG-PLM20-107</t>
  </si>
  <si>
    <t>20-07-068</t>
  </si>
  <si>
    <t>20-07-044</t>
  </si>
  <si>
    <t>RFQ-NP-SVP-223-2020</t>
  </si>
  <si>
    <t>2020-340</t>
  </si>
  <si>
    <t>015-SVRFQ-CY 2020</t>
  </si>
  <si>
    <t>HBAC-A2-2020-07-893</t>
  </si>
  <si>
    <t>PR 427-20</t>
  </si>
  <si>
    <t>101-20-06-005</t>
  </si>
  <si>
    <t>2020-07-039</t>
  </si>
  <si>
    <t>100-20-07-421</t>
  </si>
  <si>
    <t>2020-ODY-07-250</t>
  </si>
  <si>
    <t>S3-B1920-009 (NP-2)</t>
  </si>
  <si>
    <t>Calanaga202002</t>
  </si>
  <si>
    <t>101-2020-05-057</t>
  </si>
  <si>
    <t>08202009</t>
  </si>
  <si>
    <t>ITB No. (INF) 2020-07-113 CONSTRUCTION OF MULTI-PU</t>
  </si>
  <si>
    <t>SHOP-20-002</t>
  </si>
  <si>
    <t>2020-019-PB</t>
  </si>
  <si>
    <t>CN-2020-03-134</t>
  </si>
  <si>
    <t>IAEB-2020-I003</t>
  </si>
  <si>
    <t>20-07-069</t>
  </si>
  <si>
    <t>RFQ-NP-SVP-324-2020</t>
  </si>
  <si>
    <t>100-20-06-0183</t>
  </si>
  <si>
    <t>PRF # 2020-125</t>
  </si>
  <si>
    <t>RFQ-NP-SVP-322-2020</t>
  </si>
  <si>
    <t>NP-SVP-388-2020</t>
  </si>
  <si>
    <t>0730-003</t>
  </si>
  <si>
    <t>CAO-2020-07-0293</t>
  </si>
  <si>
    <t>0730-004</t>
  </si>
  <si>
    <t>101-1011-2020-06-154</t>
  </si>
  <si>
    <t>Galicia202009</t>
  </si>
  <si>
    <t>202007300002</t>
  </si>
  <si>
    <t>2020-021-PB</t>
  </si>
  <si>
    <t>RFQ 2020-086</t>
  </si>
  <si>
    <t>2020-020-PB</t>
  </si>
  <si>
    <t>ITB NO: 2020-008-037</t>
  </si>
  <si>
    <t>NP-SVP-390-2020</t>
  </si>
  <si>
    <t>Goods-2020-PB-O1</t>
  </si>
  <si>
    <t>ITB 2020-024</t>
  </si>
  <si>
    <t>BAC-GS 2020 - 169</t>
  </si>
  <si>
    <t>ITB NO. 2020- 000014</t>
  </si>
  <si>
    <t>NP-SVP-389-2020</t>
  </si>
  <si>
    <t>2020-05-269</t>
  </si>
  <si>
    <t>17</t>
  </si>
  <si>
    <t>lgu-2020-031</t>
  </si>
  <si>
    <t>08202011</t>
  </si>
  <si>
    <t>2020-90</t>
  </si>
  <si>
    <t>2020-022-PB</t>
  </si>
  <si>
    <t>2020-07-415</t>
  </si>
  <si>
    <t>RFQ-2020-09_hdpe pipe</t>
  </si>
  <si>
    <t>202007300003</t>
  </si>
  <si>
    <t>RFQ-NP-SVP-328-2020</t>
  </si>
  <si>
    <t>2020-03-139</t>
  </si>
  <si>
    <t>G-127-20</t>
  </si>
  <si>
    <t>2020-026cw</t>
  </si>
  <si>
    <t>ITB 2020-023</t>
  </si>
  <si>
    <t xml:space="preserve">COMPLETION OF BARANGAY OUTPOST AT GOLDEN HORIZON, </t>
  </si>
  <si>
    <t>08202010</t>
  </si>
  <si>
    <t>G-128-20</t>
  </si>
  <si>
    <t>2020VGM</t>
  </si>
  <si>
    <t>19KA0162</t>
  </si>
  <si>
    <t>Goods-2020-PB-O2</t>
  </si>
  <si>
    <t>Goods-2020-PB-O3</t>
  </si>
  <si>
    <t>20-07-277</t>
  </si>
  <si>
    <t>ITB 2020-025</t>
  </si>
  <si>
    <t>DOST IX-20-003B</t>
  </si>
  <si>
    <t>100-07-20-01924</t>
  </si>
  <si>
    <t>2020-07-413</t>
  </si>
  <si>
    <t>RFQ-2020-098</t>
  </si>
  <si>
    <t>S3-SPUGWM20-003 (NP4)</t>
  </si>
  <si>
    <t>100-07-20-01976</t>
  </si>
  <si>
    <t>ITB # 2020-41</t>
  </si>
  <si>
    <t>2020-07-010</t>
  </si>
  <si>
    <t>2020-05-0282</t>
  </si>
  <si>
    <t>DAR-ADS PB-2020-OS-07-216</t>
  </si>
  <si>
    <t>RFQ20-074</t>
  </si>
  <si>
    <t>0730-001</t>
  </si>
  <si>
    <t>RFQ-NP-SVP-329-2020</t>
  </si>
  <si>
    <t>MN 319</t>
  </si>
  <si>
    <t>ITB # 2020-40</t>
  </si>
  <si>
    <t>07-30-2020-3</t>
  </si>
  <si>
    <t>ITB# 122-2020 Medical, Dental &amp; Laboratory Supplie</t>
  </si>
  <si>
    <t>FCT-2020-05</t>
  </si>
  <si>
    <t>2020-PBDD-WCSC-07-30-054</t>
  </si>
  <si>
    <t>GOODS-2020-156</t>
  </si>
  <si>
    <t>2020-63</t>
  </si>
  <si>
    <t>RO-G-20-019</t>
  </si>
  <si>
    <t>2020216</t>
  </si>
  <si>
    <t>2020- NFA-RBAC8-INFR- 20</t>
  </si>
  <si>
    <t>Infra-05-2020</t>
  </si>
  <si>
    <t>2020219</t>
  </si>
  <si>
    <t>2020221</t>
  </si>
  <si>
    <t>20HM0093</t>
  </si>
  <si>
    <t>PB-Goods-2020-07</t>
  </si>
  <si>
    <t>2020-91</t>
  </si>
  <si>
    <t>RFQ No. MCS-20-07-062</t>
  </si>
  <si>
    <t>202007300004</t>
  </si>
  <si>
    <t>Infra-04-2020</t>
  </si>
  <si>
    <t>2020217</t>
  </si>
  <si>
    <t>2020-07-199</t>
  </si>
  <si>
    <t>2020215</t>
  </si>
  <si>
    <t>2020-027cw</t>
  </si>
  <si>
    <t>GOODS-2020-158</t>
  </si>
  <si>
    <t>2020214</t>
  </si>
  <si>
    <t>RFQ-TPB-PR.2020.07.219</t>
  </si>
  <si>
    <t>2020-172-I</t>
  </si>
  <si>
    <t>RFQ-SVP-2020-015</t>
  </si>
  <si>
    <t>ITB# 124-2020 Medical, Dental &amp; Laboratory Supplie</t>
  </si>
  <si>
    <t>JFMH-046-20-RFQ</t>
  </si>
  <si>
    <t>3rd Quarter MOOE Bulad ES 001</t>
  </si>
  <si>
    <t>RFQ No. 0002-20</t>
  </si>
  <si>
    <t>2020-0229</t>
  </si>
  <si>
    <t>JFMH-045-20-RFQ</t>
  </si>
  <si>
    <t>RFQ-SVP-2020-014</t>
  </si>
  <si>
    <t>P.R. NO. 0701 SERIES 2020</t>
  </si>
  <si>
    <t>20-07-280</t>
  </si>
  <si>
    <t>GS-PNBAC2-2020-35</t>
  </si>
  <si>
    <t>2020-LINGSAT-05</t>
  </si>
  <si>
    <t>ITB# 123-2020 Medical, Dental &amp; Laboratory Supplie</t>
  </si>
  <si>
    <t>2020220</t>
  </si>
  <si>
    <t>GS-PNBAC2-2020-32</t>
  </si>
  <si>
    <t>20GGF0021</t>
  </si>
  <si>
    <t>GOODS-2020-159</t>
  </si>
  <si>
    <t>geps-2020-001</t>
  </si>
  <si>
    <t>RFQ No. 0006-20</t>
  </si>
  <si>
    <t>07-102-2020</t>
  </si>
  <si>
    <t>20GGF0022</t>
  </si>
  <si>
    <t>EMB-R4B-23-20</t>
  </si>
  <si>
    <t>R4-RFQ-063-07-2020</t>
  </si>
  <si>
    <t>lgu-es-20-184</t>
  </si>
  <si>
    <t>GS-PNBAC2-2020-36</t>
  </si>
  <si>
    <t>RFQ-TPB-PR.2020.07.218</t>
  </si>
  <si>
    <t>045-2020</t>
  </si>
  <si>
    <t>2020-007-028A</t>
  </si>
  <si>
    <t>20-07-284</t>
  </si>
  <si>
    <t>Labor and Materials for the Construction of Multi-</t>
  </si>
  <si>
    <t>2020-007-014</t>
  </si>
  <si>
    <t>2020-0037</t>
  </si>
  <si>
    <t>PR 2020-07-03</t>
  </si>
  <si>
    <t>20-07-282</t>
  </si>
  <si>
    <t>2020-0036</t>
  </si>
  <si>
    <t>2020-07-0007</t>
  </si>
  <si>
    <t>20-07-283</t>
  </si>
  <si>
    <t>20-07-281</t>
  </si>
  <si>
    <t>2020-0035</t>
  </si>
  <si>
    <t>2020-SAGNEB-01</t>
  </si>
  <si>
    <t>LGU-2020-185</t>
  </si>
  <si>
    <t>2020-LINGSAT-06</t>
  </si>
  <si>
    <t>RFQ2020-07-073</t>
  </si>
  <si>
    <t>20GM00171</t>
  </si>
  <si>
    <t>Budget  Certificate No. 296-2020</t>
  </si>
  <si>
    <t>73738</t>
  </si>
  <si>
    <t>2020-07-068</t>
  </si>
  <si>
    <t>PR20-07-58</t>
  </si>
  <si>
    <t>CS 2020-02</t>
  </si>
  <si>
    <t>2020 - 08 - 007 (126 - Shopping)</t>
  </si>
  <si>
    <t>MGL-INFR-2020-04</t>
  </si>
  <si>
    <t>2020 - 08 - 007 (127 - Shopping)</t>
  </si>
  <si>
    <t>01-AMBG-2020</t>
  </si>
  <si>
    <t>RFQ 20-07-046</t>
  </si>
  <si>
    <t>2020 - 08 - 007 (128 - Shopping)</t>
  </si>
  <si>
    <t>nlp2020-20</t>
  </si>
  <si>
    <t>Budget Certificate No. 299 - 2020</t>
  </si>
  <si>
    <t>LGU-2020-184</t>
  </si>
  <si>
    <t>RFQ No. 0003-20</t>
  </si>
  <si>
    <t>2020-07-0149</t>
  </si>
  <si>
    <t>RFQ2020-07-075</t>
  </si>
  <si>
    <t>37485</t>
  </si>
  <si>
    <t>2020-SAGNEB-02</t>
  </si>
  <si>
    <t>JHS - 2020 - 007 - 0036</t>
  </si>
  <si>
    <t>NOSO-RFQ-2020-06-531</t>
  </si>
  <si>
    <t>2020-BULAG-01</t>
  </si>
  <si>
    <t>SHS - 2020 - 007 - 0013</t>
  </si>
  <si>
    <t>2020-011</t>
  </si>
  <si>
    <t>JHS - 2020 - 007 - 0035</t>
  </si>
  <si>
    <t>20GM00173</t>
  </si>
  <si>
    <t>Limbuahn Guti-2020-07-001</t>
  </si>
  <si>
    <t>RFQ2020-07-074</t>
  </si>
  <si>
    <t>2020-07-0071</t>
  </si>
  <si>
    <t>JHS - 2020 - 007 - 0034</t>
  </si>
  <si>
    <t>20GM00172</t>
  </si>
  <si>
    <t>2020-07-RFQ-008</t>
  </si>
  <si>
    <t>ITB# 125-2020 Medical, Dental &amp; Laboratory Supplie</t>
  </si>
  <si>
    <t>GOODS-2020-157</t>
  </si>
  <si>
    <t>ITB# 126-2020 Medical, Dental &amp; Laboratory Supplie</t>
  </si>
  <si>
    <t>2020-07-069</t>
  </si>
  <si>
    <t>RFQ 2020-07-113</t>
  </si>
  <si>
    <t>RDD  CW-2020-21 RA7171</t>
  </si>
  <si>
    <t>2020-07-0162</t>
  </si>
  <si>
    <t>20LC0112</t>
  </si>
  <si>
    <t>JHS - 2020 - 007 - 0038</t>
  </si>
  <si>
    <t>SHOP GOODS 07-17</t>
  </si>
  <si>
    <t>I.T.B-2020-02</t>
  </si>
  <si>
    <t>2020-07-0076</t>
  </si>
  <si>
    <t>20LC0162</t>
  </si>
  <si>
    <t>RFQ2020-07-078</t>
  </si>
  <si>
    <t>2020-07-0163</t>
  </si>
  <si>
    <t>RFQ2020-07-077</t>
  </si>
  <si>
    <t>2020-CIMS(022)-NPSVP-023</t>
  </si>
  <si>
    <t>JHS - 2020 - 007 - 0037</t>
  </si>
  <si>
    <t>RFQ2020-07-076</t>
  </si>
  <si>
    <t>2020-07-0077</t>
  </si>
  <si>
    <t>20LC0168</t>
  </si>
  <si>
    <t>RFQ2020-07-080</t>
  </si>
  <si>
    <t>2020-07-0082</t>
  </si>
  <si>
    <t>20LC0166</t>
  </si>
  <si>
    <t>2020-07-0080</t>
  </si>
  <si>
    <t>RDD  CW-2020-19 RA7171</t>
  </si>
  <si>
    <t>CONSTRUCTION  OF MPH</t>
  </si>
  <si>
    <t>20LC0164</t>
  </si>
  <si>
    <t>20-07-149</t>
  </si>
  <si>
    <t>2020-07-0083</t>
  </si>
  <si>
    <t>20LC0165</t>
  </si>
  <si>
    <t>20LC0169</t>
  </si>
  <si>
    <t>20LC0167</t>
  </si>
  <si>
    <t>RFQ2020-07-079</t>
  </si>
  <si>
    <t>2020-07-0170</t>
  </si>
  <si>
    <t>RFQ2020-07-081</t>
  </si>
  <si>
    <t>20LC0170</t>
  </si>
  <si>
    <t>20-07-465</t>
  </si>
  <si>
    <t>BSU - PROJECT NO. 2020- 279</t>
  </si>
  <si>
    <t>2020-07-159</t>
  </si>
  <si>
    <t>20-07-466</t>
  </si>
  <si>
    <t>20LC0163</t>
  </si>
  <si>
    <t>RFQ2020-07-083</t>
  </si>
  <si>
    <t>CES-20-03-001</t>
  </si>
  <si>
    <t>20200720-03-G</t>
  </si>
  <si>
    <t>2020-07-160</t>
  </si>
  <si>
    <t>2020-07-158</t>
  </si>
  <si>
    <t>RFQ2020-07-082</t>
  </si>
  <si>
    <t>08202020-01</t>
  </si>
  <si>
    <t>0700-2020-07-035</t>
  </si>
  <si>
    <t>20LC0133</t>
  </si>
  <si>
    <t>20LC0159</t>
  </si>
  <si>
    <t>20200720-04-G</t>
  </si>
  <si>
    <t>20200720-01-I</t>
  </si>
  <si>
    <t>2020-07-0002-04</t>
  </si>
  <si>
    <t>2020-Barangay San Roque-002</t>
  </si>
  <si>
    <t>CAT-02-20</t>
  </si>
  <si>
    <t>PB-CW-2020-07-39</t>
  </si>
  <si>
    <t>BgyBagongLipunan 2020 - 002</t>
  </si>
  <si>
    <t>2020 Caib 123</t>
  </si>
  <si>
    <t>MALI-21-20</t>
  </si>
  <si>
    <t>ANTI-21-20</t>
  </si>
  <si>
    <t>NMH 200-20-06-06525</t>
  </si>
  <si>
    <t>2020-07-0032</t>
  </si>
  <si>
    <t>2020-07-0035</t>
  </si>
  <si>
    <t>2020005</t>
  </si>
  <si>
    <t>200004</t>
  </si>
  <si>
    <t>098 - 2020</t>
  </si>
  <si>
    <t>GFP100-2020-07-063</t>
  </si>
  <si>
    <t>ITB2020701</t>
  </si>
  <si>
    <t>20NG0098</t>
  </si>
  <si>
    <t>100-2002-202</t>
  </si>
  <si>
    <t>096 - 2020</t>
  </si>
  <si>
    <t>085(A) - 2020</t>
  </si>
  <si>
    <t>NEDA-CAR 2020-07-4</t>
  </si>
  <si>
    <t>20-07-27-003</t>
  </si>
  <si>
    <t>20-06-05A-0036</t>
  </si>
  <si>
    <t>2020-GOODS-006R-01-0730 LOT 1 Rep</t>
  </si>
  <si>
    <t>20-07-27-002</t>
  </si>
  <si>
    <t>MCS-20-07-005</t>
  </si>
  <si>
    <t>PR-213-100-2020</t>
  </si>
  <si>
    <t>2020-GOODS-011R-01-0730 Rep</t>
  </si>
  <si>
    <t>Bid No. 20-0366</t>
  </si>
  <si>
    <t>20ITB-INF-03-00054</t>
  </si>
  <si>
    <t>20-07-27-004</t>
  </si>
  <si>
    <t>NEDA-CAR 2020-07-5</t>
  </si>
  <si>
    <t>ME2020-08-035.3</t>
  </si>
  <si>
    <t>ME2020-07-35.1</t>
  </si>
  <si>
    <t>2020-078-snq</t>
  </si>
  <si>
    <t>2020-077-snq</t>
  </si>
  <si>
    <t>20-07-27-006</t>
  </si>
  <si>
    <t>20-07-27-005</t>
  </si>
  <si>
    <t>100-20-05-0536</t>
  </si>
  <si>
    <t>ME2020-08-035.2</t>
  </si>
  <si>
    <t>PB2020-05-029I</t>
  </si>
  <si>
    <t>PB2020-08-058I</t>
  </si>
  <si>
    <t>PB2020-08-057I</t>
  </si>
  <si>
    <t>B-20-001-B</t>
  </si>
  <si>
    <t>PB2020-07-049I</t>
  </si>
  <si>
    <t>001-INFRA-2020</t>
  </si>
  <si>
    <t>2019-01M02-04</t>
  </si>
  <si>
    <t>GFP100-2020-07-068</t>
  </si>
  <si>
    <t>PR 221-20-06-0710 - CED</t>
  </si>
  <si>
    <t>G-2020-22</t>
  </si>
  <si>
    <t>CW-2020-04</t>
  </si>
  <si>
    <t>2020-AP-07-32</t>
  </si>
  <si>
    <t>100-20-06-0657</t>
  </si>
  <si>
    <t>094 (A) - 2020</t>
  </si>
  <si>
    <t>Infra-054-2020</t>
  </si>
  <si>
    <t>163 - 2020</t>
  </si>
  <si>
    <t>165 - 2020</t>
  </si>
  <si>
    <t>PR No. 20-1111</t>
  </si>
  <si>
    <t>PR 221-20-06-0723 - CED</t>
  </si>
  <si>
    <t>P.R. NO. 2020-07-00057</t>
  </si>
  <si>
    <t>164 - 2020</t>
  </si>
  <si>
    <t>2001-07M02</t>
  </si>
  <si>
    <t>2019-01M06-03</t>
  </si>
  <si>
    <t>PB2020-07-076G</t>
  </si>
  <si>
    <t>20-07-0268</t>
  </si>
  <si>
    <t>175 - 2020</t>
  </si>
  <si>
    <t>Bac-Pg-001-20</t>
  </si>
  <si>
    <t>RCJ2020-003</t>
  </si>
  <si>
    <t>20-07-0270</t>
  </si>
  <si>
    <t>02-2020_G</t>
  </si>
  <si>
    <t>20-07-0283</t>
  </si>
  <si>
    <t>20-07-0266</t>
  </si>
  <si>
    <t>20-07-0279</t>
  </si>
  <si>
    <t>CRCF-2020-07-0284</t>
  </si>
  <si>
    <t>20-01-0016</t>
  </si>
  <si>
    <t>PR 221-20-06-0766 - CED</t>
  </si>
  <si>
    <t>CW-2020-05</t>
  </si>
  <si>
    <t>100-20-07-0782</t>
  </si>
  <si>
    <t>PB2020-08-101G</t>
  </si>
  <si>
    <t>PR-207-100-2020</t>
  </si>
  <si>
    <t>20-07-0275</t>
  </si>
  <si>
    <t>INFRA-2020-023</t>
  </si>
  <si>
    <t>PB2020-08-100G</t>
  </si>
  <si>
    <t>20-06-0237</t>
  </si>
  <si>
    <t>2020-01-0076</t>
  </si>
  <si>
    <t>08182020-119</t>
  </si>
  <si>
    <t>20-160</t>
  </si>
  <si>
    <t>INFRA-2020-022</t>
  </si>
  <si>
    <t>PB2020-08-099G</t>
  </si>
  <si>
    <t>20-165</t>
  </si>
  <si>
    <t>PB2020-08-103G</t>
  </si>
  <si>
    <t>20-164</t>
  </si>
  <si>
    <t>PEO-2020-1108-1109</t>
  </si>
  <si>
    <t>20-163</t>
  </si>
  <si>
    <t>PB2020-08-104G</t>
  </si>
  <si>
    <t>RCJ2020-007</t>
  </si>
  <si>
    <t>107</t>
  </si>
  <si>
    <t>100-04-076-17-647</t>
  </si>
  <si>
    <t>PB2020-08-102G</t>
  </si>
  <si>
    <t>GOV-2020-0411</t>
  </si>
  <si>
    <t>ITB No. 2020-019</t>
  </si>
  <si>
    <t>ME2020-07-035.4</t>
  </si>
  <si>
    <t>INFRA-2020-024</t>
  </si>
  <si>
    <t>PB2020-07-050I</t>
  </si>
  <si>
    <t>100-04-076-17-671</t>
  </si>
  <si>
    <t>PBD 20-091</t>
  </si>
  <si>
    <t>100-04-076-17-670</t>
  </si>
  <si>
    <t>100-04-076-17-648</t>
  </si>
  <si>
    <t>PR-196-100-2020</t>
  </si>
  <si>
    <t>ME2020-07-035.6</t>
  </si>
  <si>
    <t>ME2020-07-035.5</t>
  </si>
  <si>
    <t>100-04-076-17-662</t>
  </si>
  <si>
    <t>PB2020-08-108G</t>
  </si>
  <si>
    <t>GFP100-2020-07-065</t>
  </si>
  <si>
    <t>PB2020-08-107G</t>
  </si>
  <si>
    <t>HOD-2020-0565</t>
  </si>
  <si>
    <t>20-07-555</t>
  </si>
  <si>
    <t>PB-CW-2020-07-36</t>
  </si>
  <si>
    <t>PB2020-08-106G</t>
  </si>
  <si>
    <t>20-166</t>
  </si>
  <si>
    <t>NIAR6-SIP-DANAO-CW71-20</t>
  </si>
  <si>
    <t>20-07-558</t>
  </si>
  <si>
    <t>2020-159</t>
  </si>
  <si>
    <t>20-07-537</t>
  </si>
  <si>
    <t>20-07-547</t>
  </si>
  <si>
    <t>20-07-553</t>
  </si>
  <si>
    <t>ME2020-07-035.7</t>
  </si>
  <si>
    <t>ME2020-07-035.9</t>
  </si>
  <si>
    <t>20-0157</t>
  </si>
  <si>
    <t>ME2020-07-035.10</t>
  </si>
  <si>
    <t>2020-079-snq</t>
  </si>
  <si>
    <t>ME2020-07-035.8</t>
  </si>
  <si>
    <t>PR-2020-06-132</t>
  </si>
  <si>
    <t>2020-0728-01</t>
  </si>
  <si>
    <t>SKBO2020-001</t>
  </si>
  <si>
    <t>NIAR6-SIP-IGCABIDIO-CW72-20</t>
  </si>
  <si>
    <t>PBD 20-090</t>
  </si>
  <si>
    <t>20NF0080</t>
  </si>
  <si>
    <t>2020-0728-02</t>
  </si>
  <si>
    <t>ITB No. 2020-031</t>
  </si>
  <si>
    <t>ITB No. 2020-030</t>
  </si>
  <si>
    <t>RE ITBF-2020-03INFRA</t>
  </si>
  <si>
    <t>ITB No. 2020-028</t>
  </si>
  <si>
    <t>2020-07-001 GD</t>
  </si>
  <si>
    <t>DIM-INFRA-2020-12</t>
  </si>
  <si>
    <t>CAT-10-20</t>
  </si>
  <si>
    <t>2020-07-003 GD</t>
  </si>
  <si>
    <t>07-20-017</t>
  </si>
  <si>
    <t>20NF-GOODS-01</t>
  </si>
  <si>
    <t>PB2020-08-105G</t>
  </si>
  <si>
    <t>19GL00119</t>
  </si>
  <si>
    <t>12G-20 RFQ</t>
  </si>
  <si>
    <t>C10-20-1563</t>
  </si>
  <si>
    <t>2020-07-002 GD</t>
  </si>
  <si>
    <t>INFRA 2020-001</t>
  </si>
  <si>
    <t>BAGO-BAC-RFQ-20-1408</t>
  </si>
  <si>
    <t>2020-100-07-450</t>
  </si>
  <si>
    <t>RTH-20-0213-B</t>
  </si>
  <si>
    <t>ITB No. 2020-032</t>
  </si>
  <si>
    <t>RIS no. 20-07-050</t>
  </si>
  <si>
    <t>C10-20-1564</t>
  </si>
  <si>
    <t>PB-CW-2020-07-37</t>
  </si>
  <si>
    <t>LDRRMF-20-037</t>
  </si>
  <si>
    <t>2020-0729-1</t>
  </si>
  <si>
    <t>CAT-14-20</t>
  </si>
  <si>
    <t>07-097-2020</t>
  </si>
  <si>
    <t>pang pang pr2</t>
  </si>
  <si>
    <t>2020-100-07-451</t>
  </si>
  <si>
    <t>SFS-11-20</t>
  </si>
  <si>
    <t>S20-120</t>
  </si>
  <si>
    <t>QIS_GDS_2020#12</t>
  </si>
  <si>
    <t>2020072901</t>
  </si>
  <si>
    <t>PR#0399</t>
  </si>
  <si>
    <t>2020-07-029-004</t>
  </si>
  <si>
    <t>ITB No. 2020-029</t>
  </si>
  <si>
    <t>2020-07-439</t>
  </si>
  <si>
    <t>029</t>
  </si>
  <si>
    <t>CON-TRANS-202007001</t>
  </si>
  <si>
    <t>RTH-20-0370-B</t>
  </si>
  <si>
    <t>BIMO-GOODS-2020-OE-PBBIMOP2</t>
  </si>
  <si>
    <t>478-2020 Bidding</t>
  </si>
  <si>
    <t>2020-0417 RB</t>
  </si>
  <si>
    <t>2020-06-005</t>
  </si>
  <si>
    <t>PR 2020 - 04</t>
  </si>
  <si>
    <t>LGU-BLU-20-07-57</t>
  </si>
  <si>
    <t>SVP-EAAIS-2018-11-20</t>
  </si>
  <si>
    <t>RESO 079-2020</t>
  </si>
  <si>
    <t>2020-07-29 BRGY. SAN RAFAEL</t>
  </si>
  <si>
    <t>CAT-12-20</t>
  </si>
  <si>
    <t>BAGO-BAC-RFQ-20-1370</t>
  </si>
  <si>
    <t>Bid No. 20-0367</t>
  </si>
  <si>
    <t>PG-RFQ-2020-04- Salvacion</t>
  </si>
  <si>
    <t>002113</t>
  </si>
  <si>
    <t>20-167</t>
  </si>
  <si>
    <t>2020-07-438</t>
  </si>
  <si>
    <t>ACC-20-0897-B</t>
  </si>
  <si>
    <t>ITB No. 046B-2020 GQ</t>
  </si>
  <si>
    <t>BAGO-BAC-RFQ-20-1372</t>
  </si>
  <si>
    <t>20-375</t>
  </si>
  <si>
    <t>100-2007-695</t>
  </si>
  <si>
    <t>ITB No. 047B-2020 GQ</t>
  </si>
  <si>
    <t>ITB No. 048B-2020 GQ</t>
  </si>
  <si>
    <t>2007-436A</t>
  </si>
  <si>
    <t>BAC-081-2020</t>
  </si>
  <si>
    <t>2020/07/085</t>
  </si>
  <si>
    <t>2020-0506</t>
  </si>
  <si>
    <t>20-168</t>
  </si>
  <si>
    <t>G-007-2020</t>
  </si>
  <si>
    <t>BAGO-BAC-RFQ-20-1371</t>
  </si>
  <si>
    <t>SV-0867-2020</t>
  </si>
  <si>
    <t>ITB No. 050B-2020 GQ</t>
  </si>
  <si>
    <t>2020-0596</t>
  </si>
  <si>
    <t>none</t>
  </si>
  <si>
    <t>BAC-080-2020</t>
  </si>
  <si>
    <t>BAC-082-2020</t>
  </si>
  <si>
    <t>ITB No. 051B-2020 GQ</t>
  </si>
  <si>
    <t>20201590</t>
  </si>
  <si>
    <t>infra 039-2020</t>
  </si>
  <si>
    <t>100-2007-771</t>
  </si>
  <si>
    <t>100-2007-777</t>
  </si>
  <si>
    <t>2020-07-0440</t>
  </si>
  <si>
    <t>S3-DIN20-015</t>
  </si>
  <si>
    <t>SV-0856-2020</t>
  </si>
  <si>
    <t>ITB No. 049B-2020 GQ</t>
  </si>
  <si>
    <t>2020/07/086</t>
  </si>
  <si>
    <t>2-466176</t>
  </si>
  <si>
    <t>Bid No. 20-0380</t>
  </si>
  <si>
    <t>ACC-20-0918-B</t>
  </si>
  <si>
    <t>PR 049-20</t>
  </si>
  <si>
    <t>07292020-1</t>
  </si>
  <si>
    <t>HPU-2020-06-0002</t>
  </si>
  <si>
    <t>Demolition of old Slaughterhouse,old warehouse,old</t>
  </si>
  <si>
    <t>2020-B62B-01</t>
  </si>
  <si>
    <t>ITB 20-07-001</t>
  </si>
  <si>
    <t>2020-INFRA-059</t>
  </si>
  <si>
    <t>nlontoc-RFQ-208-2020</t>
  </si>
  <si>
    <t>2020-07-027</t>
  </si>
  <si>
    <t>Bid No. 20-0381</t>
  </si>
  <si>
    <t>PR-NarvBAC2020-032</t>
  </si>
  <si>
    <t>20-46820</t>
  </si>
  <si>
    <t>2020/07/087</t>
  </si>
  <si>
    <t>2020-07-0441</t>
  </si>
  <si>
    <t>028</t>
  </si>
  <si>
    <t>SVP016-2020</t>
  </si>
  <si>
    <t>infra 040-2020</t>
  </si>
  <si>
    <t>BSU Project No. 2020-275</t>
  </si>
  <si>
    <t>2020-02 Santiago Sur</t>
  </si>
  <si>
    <t>2007-436</t>
  </si>
  <si>
    <t>20-07-10</t>
  </si>
  <si>
    <t>B-2020-024</t>
  </si>
  <si>
    <t>2020-02 San Carlos</t>
  </si>
  <si>
    <t>20-134</t>
  </si>
  <si>
    <t>100-2006-563</t>
  </si>
  <si>
    <t>GOODS-07-29-2020-01</t>
  </si>
  <si>
    <t>202007-012</t>
  </si>
  <si>
    <t>20MC0112</t>
  </si>
  <si>
    <t>2020-INFRA-060</t>
  </si>
  <si>
    <t>RFQ-2020-07-019</t>
  </si>
  <si>
    <t>CRN 2020-06</t>
  </si>
  <si>
    <t>8751-20-07-49</t>
  </si>
  <si>
    <t>07-098-2020</t>
  </si>
  <si>
    <t>002114</t>
  </si>
  <si>
    <t>2020-G-BRGY BALIBAGO</t>
  </si>
  <si>
    <t>nlontoc-RFQ-209-2020</t>
  </si>
  <si>
    <t>20-46473</t>
  </si>
  <si>
    <t>100-2007-762</t>
  </si>
  <si>
    <t>Barangay 03-2020</t>
  </si>
  <si>
    <t>BSU Project No. 2020-276</t>
  </si>
  <si>
    <t>G-31-2020</t>
  </si>
  <si>
    <t>G-032-0489-20</t>
  </si>
  <si>
    <t>Bid No. 20-0384</t>
  </si>
  <si>
    <t>infra 041-2020</t>
  </si>
  <si>
    <t>SKPA2020-001</t>
  </si>
  <si>
    <t>739</t>
  </si>
  <si>
    <t>ITB No. 2020-07-040</t>
  </si>
  <si>
    <t>RFQ-2020-07-27-575</t>
  </si>
  <si>
    <t>20HA0134</t>
  </si>
  <si>
    <t>Libod-Infra-07292020</t>
  </si>
  <si>
    <t>B-2020-025</t>
  </si>
  <si>
    <t>043-FTC 2020</t>
  </si>
  <si>
    <t>S3-DIN20-026</t>
  </si>
  <si>
    <t>Bid No. 20-0383</t>
  </si>
  <si>
    <t>Bid No. 20-0382</t>
  </si>
  <si>
    <t>20-1606</t>
  </si>
  <si>
    <t>732</t>
  </si>
  <si>
    <t>PR 119-20</t>
  </si>
  <si>
    <t>infra 042-2020</t>
  </si>
  <si>
    <t>BAL-APSU2020-004</t>
  </si>
  <si>
    <t>ITB 20-162</t>
  </si>
  <si>
    <t>PR20-06-295</t>
  </si>
  <si>
    <t>Barangay Villa Ibaba Atimonan, Quezon 2020-</t>
  </si>
  <si>
    <t>TAG-SDS-073 -2020</t>
  </si>
  <si>
    <t>B-2020-026</t>
  </si>
  <si>
    <t>20201581</t>
  </si>
  <si>
    <t>101-20-07-177</t>
  </si>
  <si>
    <t>Bid No. 20-0385</t>
  </si>
  <si>
    <t>Bid No. 20-0386</t>
  </si>
  <si>
    <t>DA3-2020-7-20</t>
  </si>
  <si>
    <t>RFQ-DARFO12-2020-0664</t>
  </si>
  <si>
    <t>Goods--2020</t>
  </si>
  <si>
    <t>S3-KDP20-012</t>
  </si>
  <si>
    <t>SKPA2020-002</t>
  </si>
  <si>
    <t>103-2020</t>
  </si>
  <si>
    <t>Bid No. 20-0387</t>
  </si>
  <si>
    <t>19GL00120</t>
  </si>
  <si>
    <t>PRCM-07-02-2020</t>
  </si>
  <si>
    <t>2020-07-PR045</t>
  </si>
  <si>
    <t>01-2020-007B</t>
  </si>
  <si>
    <t>B-2020-027</t>
  </si>
  <si>
    <t>20-46782</t>
  </si>
  <si>
    <t>PR No. 2020-07-003</t>
  </si>
  <si>
    <t>BUE-07292020-01</t>
  </si>
  <si>
    <t>20201602</t>
  </si>
  <si>
    <t>2020-070</t>
  </si>
  <si>
    <t>TAG-SDS-074 -2020</t>
  </si>
  <si>
    <t>20-07-0049</t>
  </si>
  <si>
    <t>Tinago-Infra-07292020</t>
  </si>
  <si>
    <t>2020-07-089bid</t>
  </si>
  <si>
    <t>DelRosario-Infra-07292020</t>
  </si>
  <si>
    <t>20-135</t>
  </si>
  <si>
    <t>2020072905</t>
  </si>
  <si>
    <t>ITB No. 053-2020 GQ</t>
  </si>
  <si>
    <t>20-07-142</t>
  </si>
  <si>
    <t>SN-20-06-012</t>
  </si>
  <si>
    <t>2020-071</t>
  </si>
  <si>
    <t>infra 043-2020</t>
  </si>
  <si>
    <t>PRSP-07-01-2020</t>
  </si>
  <si>
    <t>RFQ-DARFO12-2020-0665</t>
  </si>
  <si>
    <t>infra 044-2020</t>
  </si>
  <si>
    <t>RFQ-DARFO12-2020-0666</t>
  </si>
  <si>
    <t>Bid No. 20-0388</t>
  </si>
  <si>
    <t>UP-2020-07-005-IB</t>
  </si>
  <si>
    <t>SAR-GOODS-07-078-2020</t>
  </si>
  <si>
    <t>20201577</t>
  </si>
  <si>
    <t>20-07-11</t>
  </si>
  <si>
    <t>101-20-07-180</t>
  </si>
  <si>
    <t>Bid No. 20-0389</t>
  </si>
  <si>
    <t>20-136</t>
  </si>
  <si>
    <t>nlontoc-RFQ-210-2020</t>
  </si>
  <si>
    <t>PES RFQ#2020-0701</t>
  </si>
  <si>
    <t>072920</t>
  </si>
  <si>
    <t>27843-001</t>
  </si>
  <si>
    <t>BGH - 07 - 0130</t>
  </si>
  <si>
    <t>SVP 20-0902</t>
  </si>
  <si>
    <t>2020-07-030</t>
  </si>
  <si>
    <t>01</t>
  </si>
  <si>
    <t>101-20-07-178</t>
  </si>
  <si>
    <t>JULY292020</t>
  </si>
  <si>
    <t>RFQ-DARFO12-2020-0667</t>
  </si>
  <si>
    <t>Bid No. 20-0390</t>
  </si>
  <si>
    <t>2020-07-375-47</t>
  </si>
  <si>
    <t>RFQ-DARFO12-2020-0668</t>
  </si>
  <si>
    <t>2020-072</t>
  </si>
  <si>
    <t>100-1011-2020-05-567</t>
  </si>
  <si>
    <t>SVP 20-0907</t>
  </si>
  <si>
    <t>EMB-R4B-21-20</t>
  </si>
  <si>
    <t>nlontoc-RFQ-211-2020</t>
  </si>
  <si>
    <t>nlontoc-RFQ-212-2020</t>
  </si>
  <si>
    <t>99-2020</t>
  </si>
  <si>
    <t>OGDS 07-29-20</t>
  </si>
  <si>
    <t>RFQ-2020-159-GOODS-HPSEPO</t>
  </si>
  <si>
    <t>2020-073</t>
  </si>
  <si>
    <t>19GL00121</t>
  </si>
  <si>
    <t>infra 045-2020</t>
  </si>
  <si>
    <t>nlontoc-RFQ-213-2020</t>
  </si>
  <si>
    <t>Bid No. 20-0391</t>
  </si>
  <si>
    <t>19GL00122</t>
  </si>
  <si>
    <t>20-07-150</t>
  </si>
  <si>
    <t>S3-NAQ20-008</t>
  </si>
  <si>
    <t>20-07-12</t>
  </si>
  <si>
    <t>2020-07-376-48</t>
  </si>
  <si>
    <t>20-07-151</t>
  </si>
  <si>
    <t>ITB-BB20-001 (RE-BID)</t>
  </si>
  <si>
    <t>20HL0112</t>
  </si>
  <si>
    <t>FLGU-G-2020-39</t>
  </si>
  <si>
    <t>infra 046-2020</t>
  </si>
  <si>
    <t>2020-43</t>
  </si>
  <si>
    <t>20-07-057</t>
  </si>
  <si>
    <t>nlontoc-RFQ-G082-2020</t>
  </si>
  <si>
    <t>RFQ-2020-160-GOODS-TDO</t>
  </si>
  <si>
    <t>PR 2020-07-111</t>
  </si>
  <si>
    <t>100-2020</t>
  </si>
  <si>
    <t>AB-2020-0021</t>
  </si>
  <si>
    <t>Bid No. 20-0392</t>
  </si>
  <si>
    <t>2020-07-377-49</t>
  </si>
  <si>
    <t>GOODS2020-75</t>
  </si>
  <si>
    <t>20-137</t>
  </si>
  <si>
    <t>2020-074</t>
  </si>
  <si>
    <t>RFQ-DARFO12-2020-0669</t>
  </si>
  <si>
    <t>SVP 20-0906</t>
  </si>
  <si>
    <t>20-07-155</t>
  </si>
  <si>
    <t>02-147-2020</t>
  </si>
  <si>
    <t>EMB-R4B-22-20</t>
  </si>
  <si>
    <t>101-20-07-174</t>
  </si>
  <si>
    <t>JULY292020-2</t>
  </si>
  <si>
    <t>PR-NarvBAC2020-033</t>
  </si>
  <si>
    <t>SVP 20-0905</t>
  </si>
  <si>
    <t>RFQ-2020-161-GOODS-HPSEPO</t>
  </si>
  <si>
    <t>RFQ NO. 66</t>
  </si>
  <si>
    <t>RFQ-DARFO12-2020-0671</t>
  </si>
  <si>
    <t>PR-NarvBAC2020-034</t>
  </si>
  <si>
    <t>2020-075</t>
  </si>
  <si>
    <t>SVP 20-0904</t>
  </si>
  <si>
    <t>2020-02-INFRA-BUAYA-02</t>
  </si>
  <si>
    <t>RFQ-DARFO12-2020-0670</t>
  </si>
  <si>
    <t>PR#2007-0109</t>
  </si>
  <si>
    <t>SVP 20-0605</t>
  </si>
  <si>
    <t>20-07-156</t>
  </si>
  <si>
    <t>RFQ-DARFO12-2020-0674</t>
  </si>
  <si>
    <t>2020-44</t>
  </si>
  <si>
    <t>infra 047-2020</t>
  </si>
  <si>
    <t>RFQ-DARFO12-2020-0672</t>
  </si>
  <si>
    <t>RFQ-DARFO12-2020-0673</t>
  </si>
  <si>
    <t>pgeps#335-2020</t>
  </si>
  <si>
    <t>pgeps#336-2020</t>
  </si>
  <si>
    <t>RFQ-DARFO12-2020-0677</t>
  </si>
  <si>
    <t>2020- 297 -CONSTRUCTION OF STEEL GATE &amp; LANDSCAPIN</t>
  </si>
  <si>
    <t>101-2020</t>
  </si>
  <si>
    <t>20-07-241</t>
  </si>
  <si>
    <t>AB-2020-0025</t>
  </si>
  <si>
    <t>RFQ-20-03083</t>
  </si>
  <si>
    <t>102-2020</t>
  </si>
  <si>
    <t>20-213</t>
  </si>
  <si>
    <t>20-07-154</t>
  </si>
  <si>
    <t>19RI-B1.1B</t>
  </si>
  <si>
    <t>SVP 20-0901</t>
  </si>
  <si>
    <t>infra 048-2020</t>
  </si>
  <si>
    <t>LOS BANOS-20-63</t>
  </si>
  <si>
    <t>JULY292020-3</t>
  </si>
  <si>
    <t>20-138</t>
  </si>
  <si>
    <t>2020-01-1011-57</t>
  </si>
  <si>
    <t>GF-07-29-2020-01</t>
  </si>
  <si>
    <t>20-139</t>
  </si>
  <si>
    <t>20-07-238</t>
  </si>
  <si>
    <t>20-07-157</t>
  </si>
  <si>
    <t>RFQ-DARFO12-2020-0675</t>
  </si>
  <si>
    <t>2020-076</t>
  </si>
  <si>
    <t>nlontoc-RFQ-214-2020</t>
  </si>
  <si>
    <t>RFQ-19-11-2805</t>
  </si>
  <si>
    <t>pgeps#338-2020</t>
  </si>
  <si>
    <t>SVP 20-0900</t>
  </si>
  <si>
    <t>PRMS-07-01-2020</t>
  </si>
  <si>
    <t>01-2020-0036</t>
  </si>
  <si>
    <t>RFQ-20-06-1460</t>
  </si>
  <si>
    <t>RFQ-19-11-2748</t>
  </si>
  <si>
    <t>19RI-014R</t>
  </si>
  <si>
    <t>2020-077</t>
  </si>
  <si>
    <t>RFQ-DARFO12-2020-0676</t>
  </si>
  <si>
    <t>20-212</t>
  </si>
  <si>
    <t>VIN BAC 045-2020</t>
  </si>
  <si>
    <t>27873-001</t>
  </si>
  <si>
    <t>OGDS 07-28-20</t>
  </si>
  <si>
    <t>19RI-B1.5B</t>
  </si>
  <si>
    <t>2020-07-0001</t>
  </si>
  <si>
    <t>pgeps#339-2020</t>
  </si>
  <si>
    <t>7-29-2020</t>
  </si>
  <si>
    <t>R20-291</t>
  </si>
  <si>
    <t>POMPONAN202003</t>
  </si>
  <si>
    <t>RFQ-20-03-0723</t>
  </si>
  <si>
    <t>20-00054</t>
  </si>
  <si>
    <t>123456</t>
  </si>
  <si>
    <t>2020-02-0169</t>
  </si>
  <si>
    <t>DAR-ADS PB-2020-OS-07-228</t>
  </si>
  <si>
    <t>STC-INFRA-006-2020</t>
  </si>
  <si>
    <t>RFQ-20-01-0091</t>
  </si>
  <si>
    <t>GFP100-2020-07-067</t>
  </si>
  <si>
    <t>pgeps#337-2020</t>
  </si>
  <si>
    <t>GF-07-29-2020-02</t>
  </si>
  <si>
    <t>L.Sur-INB-Jul-001</t>
  </si>
  <si>
    <t>PROS-07-02-20</t>
  </si>
  <si>
    <t>B-002-20</t>
  </si>
  <si>
    <t>20-07-130</t>
  </si>
  <si>
    <t>MOB-2020-011</t>
  </si>
  <si>
    <t>20-07-13</t>
  </si>
  <si>
    <t>20-211</t>
  </si>
  <si>
    <t>SV-0842-2020</t>
  </si>
  <si>
    <t>2020-0083</t>
  </si>
  <si>
    <t>PROS-07-01-20</t>
  </si>
  <si>
    <t>2040-S2M01</t>
  </si>
  <si>
    <t>2020-88 (GAS)</t>
  </si>
  <si>
    <t>ISUPPORT-PRDP7-016</t>
  </si>
  <si>
    <t>20-141</t>
  </si>
  <si>
    <t>RFQ-20-02-4831-1</t>
  </si>
  <si>
    <t>2020.07.29.001</t>
  </si>
  <si>
    <t>20-210</t>
  </si>
  <si>
    <t>Goods-143-2020</t>
  </si>
  <si>
    <t>MOB-2020-012</t>
  </si>
  <si>
    <t>S3-HKD20-001</t>
  </si>
  <si>
    <t>20-07-B29</t>
  </si>
  <si>
    <t>BSU Project No. 2020-277</t>
  </si>
  <si>
    <t>20-140</t>
  </si>
  <si>
    <t>FLGU-CW-2020-26</t>
  </si>
  <si>
    <t>20GMC0150</t>
  </si>
  <si>
    <t>2020-036</t>
  </si>
  <si>
    <t>CSFWD-006.20</t>
  </si>
  <si>
    <t>FLGU-CW-2020-25</t>
  </si>
  <si>
    <t>GF-07-29-2020-03</t>
  </si>
  <si>
    <t>20-209</t>
  </si>
  <si>
    <t>cgb2020-001-PR256-20</t>
  </si>
  <si>
    <t>20-07-14</t>
  </si>
  <si>
    <t>SEF-G-34-2020</t>
  </si>
  <si>
    <t>Bugang-INB-2020-07-01</t>
  </si>
  <si>
    <t>PR 20-07-0084</t>
  </si>
  <si>
    <t>2020.07.29.002</t>
  </si>
  <si>
    <t>20-07-140</t>
  </si>
  <si>
    <t>Pobv-001-2020</t>
  </si>
  <si>
    <t>2020-07-356-2</t>
  </si>
  <si>
    <t>20-07-16</t>
  </si>
  <si>
    <t>057-2020</t>
  </si>
  <si>
    <t>BSU Project No. 2020-278</t>
  </si>
  <si>
    <t>20-208</t>
  </si>
  <si>
    <t>20-03-0162</t>
  </si>
  <si>
    <t>2020-061</t>
  </si>
  <si>
    <t>2020-07-0067</t>
  </si>
  <si>
    <t>2020-GSIS-PB-084</t>
  </si>
  <si>
    <t>100-07-20-01720</t>
  </si>
  <si>
    <t>0716</t>
  </si>
  <si>
    <t>2020-062</t>
  </si>
  <si>
    <t>infra 051-2020</t>
  </si>
  <si>
    <t>0508 various projects</t>
  </si>
  <si>
    <t>Goods-146-2020</t>
  </si>
  <si>
    <t>2020-07-356-3</t>
  </si>
  <si>
    <t>Goods-145-2020</t>
  </si>
  <si>
    <t>014-SVRFQ-CY 2020</t>
  </si>
  <si>
    <t>20II0061(Re-Ad)</t>
  </si>
  <si>
    <t>ITB No. I11-2-2020</t>
  </si>
  <si>
    <t>Goods-144-2020</t>
  </si>
  <si>
    <t>0721 dilg am projects</t>
  </si>
  <si>
    <t>20201601</t>
  </si>
  <si>
    <t>2020-0084</t>
  </si>
  <si>
    <t>2020-06-358</t>
  </si>
  <si>
    <t>2020-D3-FGIS-MAGAT RIS</t>
  </si>
  <si>
    <t>2020-07-356-1</t>
  </si>
  <si>
    <t>2020.07.29.003</t>
  </si>
  <si>
    <t>20-02-0107</t>
  </si>
  <si>
    <t>RFQ No. 2020-041</t>
  </si>
  <si>
    <t>20-07-15</t>
  </si>
  <si>
    <t>DTI8.REGRO.20-06082</t>
  </si>
  <si>
    <t>S3-HKD20-002</t>
  </si>
  <si>
    <t>CBIMO-EAAIS</t>
  </si>
  <si>
    <t>infra 049-2020</t>
  </si>
  <si>
    <t>2017-14C02-01</t>
  </si>
  <si>
    <t>LOS BANOS-20-64</t>
  </si>
  <si>
    <t>KB-IP-GOODS-2020-01</t>
  </si>
  <si>
    <t>SVP 20-1265</t>
  </si>
  <si>
    <t>RFQ-20-04-1139</t>
  </si>
  <si>
    <t>AB-2020-0026</t>
  </si>
  <si>
    <t>infra 050-2020</t>
  </si>
  <si>
    <t>SVP 20-0903</t>
  </si>
  <si>
    <t>2020-07-091</t>
  </si>
  <si>
    <t>2020-01-1011-58</t>
  </si>
  <si>
    <t>SV-0843-2020</t>
  </si>
  <si>
    <t>BARANGAY WESTERN POB. 4</t>
  </si>
  <si>
    <t>ITB No. I09-02-2020</t>
  </si>
  <si>
    <t>infra 053-2020</t>
  </si>
  <si>
    <t>RFQ-2020-223</t>
  </si>
  <si>
    <t>20-07-17</t>
  </si>
  <si>
    <t>2020-066</t>
  </si>
  <si>
    <t>20-07-096</t>
  </si>
  <si>
    <t>RFQ-2020-222</t>
  </si>
  <si>
    <t>GCD-01-026-06-20</t>
  </si>
  <si>
    <t>2020-067</t>
  </si>
  <si>
    <t>infra 052-2020</t>
  </si>
  <si>
    <t>infra 054-2020</t>
  </si>
  <si>
    <t>NP-SVP-20-066</t>
  </si>
  <si>
    <t>2020-07-0065</t>
  </si>
  <si>
    <t>S3-HKD20-003</t>
  </si>
  <si>
    <t>2020-068</t>
  </si>
  <si>
    <t>20-07-085</t>
  </si>
  <si>
    <t>20-07-18</t>
  </si>
  <si>
    <t>Aklan BAC ITB 424 Series of 2020</t>
  </si>
  <si>
    <t>VIN BAC 046-2020</t>
  </si>
  <si>
    <t>20-07-19</t>
  </si>
  <si>
    <t>NP-SVP-20-062</t>
  </si>
  <si>
    <t>2020-07-0066</t>
  </si>
  <si>
    <t>2020 - STA - 0010</t>
  </si>
  <si>
    <t>20201603</t>
  </si>
  <si>
    <t>AMP-20-07-051</t>
  </si>
  <si>
    <t>PR 20-07-0085</t>
  </si>
  <si>
    <t>DOLE-Caraga-2020-07-29-0001</t>
  </si>
  <si>
    <t>PR2020-07-031</t>
  </si>
  <si>
    <t>VIN BAC 047-2020</t>
  </si>
  <si>
    <t>SV-0841-2020</t>
  </si>
  <si>
    <t>07-29-10</t>
  </si>
  <si>
    <t>NIAREG9-07292020-694</t>
  </si>
  <si>
    <t>PR 20-07-0087</t>
  </si>
  <si>
    <t>2020-07-0068</t>
  </si>
  <si>
    <t>200(01)20-07-403(A)</t>
  </si>
  <si>
    <t>BLGU-PBD-Malbog-2020-32.1</t>
  </si>
  <si>
    <t>SV-0858-2020</t>
  </si>
  <si>
    <t>055-2020</t>
  </si>
  <si>
    <t>300(01)20-07-404(A)</t>
  </si>
  <si>
    <t>N005-2020</t>
  </si>
  <si>
    <t>2020-07-080</t>
  </si>
  <si>
    <t>07-29-11</t>
  </si>
  <si>
    <t>20-207</t>
  </si>
  <si>
    <t>RFQ-DVO-PR.NO. 2003067 CAT. 62 VEHICLE AND ACCESSO</t>
  </si>
  <si>
    <t>100(01)20-07-037(P)</t>
  </si>
  <si>
    <t>N004-2020</t>
  </si>
  <si>
    <t>RFQ-DVO-PR.NO. 2002291 CAT. 39.3 LABORATORY REAGEN</t>
  </si>
  <si>
    <t>PR 20-07-0086</t>
  </si>
  <si>
    <t>07-29-12</t>
  </si>
  <si>
    <t>GA-BAC-AM # 2020-035</t>
  </si>
  <si>
    <t>2020-07-081</t>
  </si>
  <si>
    <t>2020 03</t>
  </si>
  <si>
    <t>2020.07.29.004</t>
  </si>
  <si>
    <t>20-07-0424</t>
  </si>
  <si>
    <t>P.R. No. 2020-07-0047</t>
  </si>
  <si>
    <t>2020-INFRA-061</t>
  </si>
  <si>
    <t>2020-07-067</t>
  </si>
  <si>
    <t>PR 20-07-0089</t>
  </si>
  <si>
    <t>2020-027J</t>
  </si>
  <si>
    <t>200(01)20-07-434(A)</t>
  </si>
  <si>
    <t>2020-07-0073</t>
  </si>
  <si>
    <t>100(01)20-07-032(P)</t>
  </si>
  <si>
    <t>PR 20-07-0088</t>
  </si>
  <si>
    <t>GFP100-2020-07-055</t>
  </si>
  <si>
    <t>NS-07-30-20</t>
  </si>
  <si>
    <t>Capaoay 2020-04</t>
  </si>
  <si>
    <t>2020-0081</t>
  </si>
  <si>
    <t>20-07-20</t>
  </si>
  <si>
    <t>S3-HKD20-004</t>
  </si>
  <si>
    <t>San Pedro 01-01-2020</t>
  </si>
  <si>
    <t>2020 Caib 128</t>
  </si>
  <si>
    <t>RFQ2020-29</t>
  </si>
  <si>
    <t>GCD-01-030-06-20</t>
  </si>
  <si>
    <t>200(01)20-07-435(A)</t>
  </si>
  <si>
    <t>KIKIPOT ELEMENTARY SCHOOL MOOE</t>
  </si>
  <si>
    <t>GF-G-74-2020</t>
  </si>
  <si>
    <t>infra 055-2020</t>
  </si>
  <si>
    <t>PR 2020-07-143</t>
  </si>
  <si>
    <t>200(01)20-07-423(A)</t>
  </si>
  <si>
    <t>20GMC0151</t>
  </si>
  <si>
    <t>101-2020-05-0193</t>
  </si>
  <si>
    <t>2020-07-352</t>
  </si>
  <si>
    <t>101-2020-07-0363</t>
  </si>
  <si>
    <t>40</t>
  </si>
  <si>
    <t>PR 2020-07-145</t>
  </si>
  <si>
    <t>200(01)20-07-397(A)</t>
  </si>
  <si>
    <t>200(01)20-07-433(A)</t>
  </si>
  <si>
    <t>27784-010</t>
  </si>
  <si>
    <t>200(01)20-07-424(A)</t>
  </si>
  <si>
    <t>2020-Barangay San Vicente-002</t>
  </si>
  <si>
    <t>2020-07-0010</t>
  </si>
  <si>
    <t>RFQ-DVO-PR.NO. 2005248 CAT. 62 VEHICLE AND ACCESSO</t>
  </si>
  <si>
    <t>Capaoay 2020-05</t>
  </si>
  <si>
    <t>20GMC0152</t>
  </si>
  <si>
    <t>RFQ No. 2020-07-081</t>
  </si>
  <si>
    <t>200(01)20-07-398(A)</t>
  </si>
  <si>
    <t>Capaoay 2020-06</t>
  </si>
  <si>
    <t>AMP 07-2020-013 (PR No. 2020-07-079)</t>
  </si>
  <si>
    <t>PR 20-07-0092</t>
  </si>
  <si>
    <t>Duangan-GOODS-002-2020</t>
  </si>
  <si>
    <t>20-262</t>
  </si>
  <si>
    <t>PR 2020-07-144</t>
  </si>
  <si>
    <t>Infra 2020-011</t>
  </si>
  <si>
    <t>20-215</t>
  </si>
  <si>
    <t>PR-2020-1358</t>
  </si>
  <si>
    <t>DA7-2020-07-SAAD-20-0997(R1)</t>
  </si>
  <si>
    <t>2017-07-29-001</t>
  </si>
  <si>
    <t>20DJ0100 (Re-Advertised)</t>
  </si>
  <si>
    <t>GEPS- 2020-001</t>
  </si>
  <si>
    <t>2020-0082</t>
  </si>
  <si>
    <t>20GMC0153</t>
  </si>
  <si>
    <t>100(18)20-06-341(O)</t>
  </si>
  <si>
    <t>Q-122-20</t>
  </si>
  <si>
    <t>100(18)20-06-343(O)</t>
  </si>
  <si>
    <t>BAC2020-10B</t>
  </si>
  <si>
    <t>PR-2020-1435</t>
  </si>
  <si>
    <t>PR No. 2020-07-284</t>
  </si>
  <si>
    <t>PR 2020-07-146</t>
  </si>
  <si>
    <t>20-214</t>
  </si>
  <si>
    <t>PR-2020-1389</t>
  </si>
  <si>
    <t>BLGU-CW-2020-03</t>
  </si>
  <si>
    <t>PR-2020-1808</t>
  </si>
  <si>
    <t>07-29-13</t>
  </si>
  <si>
    <t>PB-2020-163-019</t>
  </si>
  <si>
    <t>2020-07-006</t>
  </si>
  <si>
    <t>RFQ-DVO-PR.NO. 2003043 CAT. 62 VEHICLE AND ACCESSO</t>
  </si>
  <si>
    <t>2020-07-352-2</t>
  </si>
  <si>
    <t>PR 2020-07-147</t>
  </si>
  <si>
    <t>200(01)20-07-430(O)</t>
  </si>
  <si>
    <t>2020-01-0042</t>
  </si>
  <si>
    <t>2020-0085</t>
  </si>
  <si>
    <t>LGU Valencia, Bohol 2020 - 069</t>
  </si>
  <si>
    <t>07-29-14</t>
  </si>
  <si>
    <t>TF-20-07-026(X)</t>
  </si>
  <si>
    <t>2020-SVP-004</t>
  </si>
  <si>
    <t>2020-07-0225</t>
  </si>
  <si>
    <t>20GMC0154</t>
  </si>
  <si>
    <t>RFQ 20-07-050</t>
  </si>
  <si>
    <t>121</t>
  </si>
  <si>
    <t>2020-0086</t>
  </si>
  <si>
    <t>200(01)20-07-429(O)</t>
  </si>
  <si>
    <t>PR# 2020-07-08</t>
  </si>
  <si>
    <t>INFR-20-017</t>
  </si>
  <si>
    <t>07292020-B</t>
  </si>
  <si>
    <t>GOODS-ITB 2020-07-001</t>
  </si>
  <si>
    <t>RFQ No. 20-07-194</t>
  </si>
  <si>
    <t>2020-0089</t>
  </si>
  <si>
    <t>G-CONSO-061-20</t>
  </si>
  <si>
    <t>Aklan BAC ITB 425 Series of 2020</t>
  </si>
  <si>
    <t>RFQ No. 2020-07-083</t>
  </si>
  <si>
    <t>PR#2020-07-114</t>
  </si>
  <si>
    <t>2020-0088</t>
  </si>
  <si>
    <t>20GMC0155</t>
  </si>
  <si>
    <t>RFQ 20-07-051</t>
  </si>
  <si>
    <t>Infra 2020-012</t>
  </si>
  <si>
    <t>20L00172</t>
  </si>
  <si>
    <t>2020-07-445</t>
  </si>
  <si>
    <t>2020-07-1113 Supply and Installation of four (4) Y</t>
  </si>
  <si>
    <t>20-07-136</t>
  </si>
  <si>
    <t>20-07-0974x</t>
  </si>
  <si>
    <t>hinag-01-20</t>
  </si>
  <si>
    <t>RFQ 2020-161</t>
  </si>
  <si>
    <t>122</t>
  </si>
  <si>
    <t>2020-07-0185</t>
  </si>
  <si>
    <t>2020-102</t>
  </si>
  <si>
    <t>2020-0440</t>
  </si>
  <si>
    <t>7B-2020</t>
  </si>
  <si>
    <t>20GPL0002</t>
  </si>
  <si>
    <t>2020-0091</t>
  </si>
  <si>
    <t>Mkna-GSO-20-327</t>
  </si>
  <si>
    <t>ITB no. 20-004</t>
  </si>
  <si>
    <t>20-07-0953x</t>
  </si>
  <si>
    <t>05-2020</t>
  </si>
  <si>
    <t>PR 2020-07-148</t>
  </si>
  <si>
    <t>G-TLDH-062-20</t>
  </si>
  <si>
    <t>RFQ-DVO-PR.NO. 2002424 CAT. 39.3 LABORATORY REAGEN</t>
  </si>
  <si>
    <t>PR#43</t>
  </si>
  <si>
    <t>2020-0087</t>
  </si>
  <si>
    <t>2020-07-352-3</t>
  </si>
  <si>
    <t>20GPL0003</t>
  </si>
  <si>
    <t>PBG-2020-28</t>
  </si>
  <si>
    <t>G-PHO-063-20</t>
  </si>
  <si>
    <t>F501-CS-162-20</t>
  </si>
  <si>
    <t>Jiab-2020-9D</t>
  </si>
  <si>
    <t>SBMA-BAC-CONS-RFEI-20-03</t>
  </si>
  <si>
    <t>2020-0092</t>
  </si>
  <si>
    <t>BLGU-CW-2020-04</t>
  </si>
  <si>
    <t>125</t>
  </si>
  <si>
    <t>PR for a Topic Specialist</t>
  </si>
  <si>
    <t>REF #048-07-2020</t>
  </si>
  <si>
    <t>20-07-1023X</t>
  </si>
  <si>
    <t>20-07-0048</t>
  </si>
  <si>
    <t>2020-0093</t>
  </si>
  <si>
    <t>POW-1041-2020-BKL-03B</t>
  </si>
  <si>
    <t>RFQ 2020-162</t>
  </si>
  <si>
    <t>PR 2020-07-150</t>
  </si>
  <si>
    <t>RFQ No. 20-07-193</t>
  </si>
  <si>
    <t>20-07-0053</t>
  </si>
  <si>
    <t>PR 2020-07-149</t>
  </si>
  <si>
    <t>RFQ NO. 20-0676 NP-SV</t>
  </si>
  <si>
    <t>056-2020</t>
  </si>
  <si>
    <t>PR 2020-07-153</t>
  </si>
  <si>
    <t>INFR-20-018</t>
  </si>
  <si>
    <t>PR no. 2020-02-124-a</t>
  </si>
  <si>
    <t>GFP100-2020-07-060</t>
  </si>
  <si>
    <t>PR 2020-07-151</t>
  </si>
  <si>
    <t>2020-07-0242</t>
  </si>
  <si>
    <t>RFQ 0620-012</t>
  </si>
  <si>
    <t>PR 2020-07-152</t>
  </si>
  <si>
    <t>2020-01-0019</t>
  </si>
  <si>
    <t>DF-I-18-2020</t>
  </si>
  <si>
    <t>RFQ 2020-163</t>
  </si>
  <si>
    <t>PUR20-05-0403</t>
  </si>
  <si>
    <t>TAMP-PB-GOODS-08-2020</t>
  </si>
  <si>
    <t>ITB NO. 03-GOODS-2020</t>
  </si>
  <si>
    <t>059-2020</t>
  </si>
  <si>
    <t>PR 2020-07-154</t>
  </si>
  <si>
    <t>skbangkal-001</t>
  </si>
  <si>
    <t>20-07-431</t>
  </si>
  <si>
    <t>PR-2020-1541</t>
  </si>
  <si>
    <t>20-07-433</t>
  </si>
  <si>
    <t>PB-CW-2020-07-38</t>
  </si>
  <si>
    <t>COB-CS-163-20</t>
  </si>
  <si>
    <t>RFQ 0720-024</t>
  </si>
  <si>
    <t>303511</t>
  </si>
  <si>
    <t>PR No. 2020-07-287</t>
  </si>
  <si>
    <t>PR 2020-07-155</t>
  </si>
  <si>
    <t>LGU-TAN-GOODS-2020-092</t>
  </si>
  <si>
    <t>Infra 2020-013</t>
  </si>
  <si>
    <t>64881</t>
  </si>
  <si>
    <t>RFQ 2020-164</t>
  </si>
  <si>
    <t>20-004</t>
  </si>
  <si>
    <t>PUR20-07-0586</t>
  </si>
  <si>
    <t>COB-CS-164-20</t>
  </si>
  <si>
    <t>123</t>
  </si>
  <si>
    <t>RFQ-DVO-PR.NO. 2002444 CAT. 14 CONSTRUCTION SUPPLI</t>
  </si>
  <si>
    <t>20-07-432</t>
  </si>
  <si>
    <t>002-05-2020</t>
  </si>
  <si>
    <t>0991-20</t>
  </si>
  <si>
    <t>np 2020-20 (GAS)</t>
  </si>
  <si>
    <t>PR-2020-0617</t>
  </si>
  <si>
    <t>F501-CS-165-20</t>
  </si>
  <si>
    <t>0001-0171-1307-2020</t>
  </si>
  <si>
    <t>PR-2020-1336</t>
  </si>
  <si>
    <t>RFQ 0720-039</t>
  </si>
  <si>
    <t>GEPS-2020-0018</t>
  </si>
  <si>
    <t>RFQ No. 20-0694 Shopping (B)</t>
  </si>
  <si>
    <t>PBD 20-092</t>
  </si>
  <si>
    <t>brgy.-012</t>
  </si>
  <si>
    <t>2020-07-460</t>
  </si>
  <si>
    <t>2020-07-0060</t>
  </si>
  <si>
    <t>Infra 2020-014</t>
  </si>
  <si>
    <t>PR-2020-0820</t>
  </si>
  <si>
    <t>RFQ 2020-4235</t>
  </si>
  <si>
    <t>2020 - 31</t>
  </si>
  <si>
    <t>B-109-2020</t>
  </si>
  <si>
    <t>RE-IB No. K-2020-001</t>
  </si>
  <si>
    <t>PR-2019-017</t>
  </si>
  <si>
    <t>LGU-TAN-INFRA-2020-093</t>
  </si>
  <si>
    <t>20-07-006</t>
  </si>
  <si>
    <t>B-112-2020</t>
  </si>
  <si>
    <t>F501-CS-166-20</t>
  </si>
  <si>
    <t>POW-1041-2020-ALN-(02B,03B,04B,05B,06B,07B)</t>
  </si>
  <si>
    <t>PR2020-07-042</t>
  </si>
  <si>
    <t>RFQ-2020-292</t>
  </si>
  <si>
    <t>DMM - 004-20</t>
  </si>
  <si>
    <t>ITB 2020-30</t>
  </si>
  <si>
    <t>DA7-2020-07-R&amp;DL-20-2955</t>
  </si>
  <si>
    <t>LGU-TAN-INFRA-2020-094</t>
  </si>
  <si>
    <t>2020-01-9991-59</t>
  </si>
  <si>
    <t>SDO-RFQ20-039</t>
  </si>
  <si>
    <t>RFQ No. 20-0691 Shopping (B)</t>
  </si>
  <si>
    <t>2020-07-078</t>
  </si>
  <si>
    <t>236-2020</t>
  </si>
  <si>
    <t>20G030</t>
  </si>
  <si>
    <t>20-07-014</t>
  </si>
  <si>
    <t>P.R. NO. 0699 SERIES 2020</t>
  </si>
  <si>
    <t>MDRRMO-2020-07-29-001</t>
  </si>
  <si>
    <t>20G031</t>
  </si>
  <si>
    <t>DANG-20-023</t>
  </si>
  <si>
    <t>0020-0286-1313A2020</t>
  </si>
  <si>
    <t>200-2020-07-010</t>
  </si>
  <si>
    <t>20-097</t>
  </si>
  <si>
    <t>BIDSTAC # SB 038-2020</t>
  </si>
  <si>
    <t>B-111-2020</t>
  </si>
  <si>
    <t>LGU-TAN-INFRA-2020-095</t>
  </si>
  <si>
    <t>P.R. NO. 0700 SERIES 2020</t>
  </si>
  <si>
    <t>DF-I-19-2020</t>
  </si>
  <si>
    <t>2020-20B</t>
  </si>
  <si>
    <t>GEPS-2020-0019</t>
  </si>
  <si>
    <t>1053-20</t>
  </si>
  <si>
    <t>2020-028J</t>
  </si>
  <si>
    <t>ITB2020-029</t>
  </si>
  <si>
    <t>BS20-07-0752</t>
  </si>
  <si>
    <t>BIDSTAC # NP-SVP 141-2020</t>
  </si>
  <si>
    <t>ITB No. 20-070</t>
  </si>
  <si>
    <t>DF-I-20-2020</t>
  </si>
  <si>
    <t>ITB 19-2020</t>
  </si>
  <si>
    <t>27583-001</t>
  </si>
  <si>
    <t>2020-07-0180</t>
  </si>
  <si>
    <t>2020-21B</t>
  </si>
  <si>
    <t>100-2020-007-025</t>
  </si>
  <si>
    <t>LSPU-LBC2020-026</t>
  </si>
  <si>
    <t>BS20-07-ME02</t>
  </si>
  <si>
    <t>BP-BPDOS-JL-29</t>
  </si>
  <si>
    <t>ITB2020-032</t>
  </si>
  <si>
    <t>ITB2020-031</t>
  </si>
  <si>
    <t>GEPS-2020-0020</t>
  </si>
  <si>
    <t>RFQ 20-673</t>
  </si>
  <si>
    <t>BS20-07-0763</t>
  </si>
  <si>
    <t>021 Improvement of Exterior and Interior Ceiling</t>
  </si>
  <si>
    <t>2020-67</t>
  </si>
  <si>
    <t>2020-22B</t>
  </si>
  <si>
    <t>2020-07-29-01</t>
  </si>
  <si>
    <t>20-06-1410</t>
  </si>
  <si>
    <t>MEO-237-2020</t>
  </si>
  <si>
    <t>101-20</t>
  </si>
  <si>
    <t>20EH0079-R1</t>
  </si>
  <si>
    <t>BS20-07-ME03</t>
  </si>
  <si>
    <t>07-100-2020</t>
  </si>
  <si>
    <t>B-108-2020</t>
  </si>
  <si>
    <t>RFQ 20-674</t>
  </si>
  <si>
    <t>BIDSTAC # NP-SVP 143-2020</t>
  </si>
  <si>
    <t>239-2020</t>
  </si>
  <si>
    <t>ITB2020-033</t>
  </si>
  <si>
    <t>2020-07-431</t>
  </si>
  <si>
    <t>2020-68</t>
  </si>
  <si>
    <t>RFQ-DVO-PR.NO. 2003097 CAT. 18 ELECTRICAL AND APPL</t>
  </si>
  <si>
    <t>2020-07-29-198</t>
  </si>
  <si>
    <t>100-20</t>
  </si>
  <si>
    <t>2020-g1-011</t>
  </si>
  <si>
    <t>07-099-2020</t>
  </si>
  <si>
    <t>032</t>
  </si>
  <si>
    <t>ITB2020-030</t>
  </si>
  <si>
    <t>2020-01-0066</t>
  </si>
  <si>
    <t>PB041-20</t>
  </si>
  <si>
    <t>2020-07-033</t>
  </si>
  <si>
    <t>2020-07-038</t>
  </si>
  <si>
    <t>2020-07-042</t>
  </si>
  <si>
    <t>2020-027-B</t>
  </si>
  <si>
    <t>LIC-2020-03</t>
  </si>
  <si>
    <t>060-2020</t>
  </si>
  <si>
    <t>B-113-2020</t>
  </si>
  <si>
    <t>IB NO.2020-068/MJS</t>
  </si>
  <si>
    <t>101-2020-05-0218</t>
  </si>
  <si>
    <t>072920-R1</t>
  </si>
  <si>
    <t>2020-23B</t>
  </si>
  <si>
    <t>2020-08-39</t>
  </si>
  <si>
    <t>GEPS-2020-0021</t>
  </si>
  <si>
    <t>20GCI0006</t>
  </si>
  <si>
    <t>2020-69</t>
  </si>
  <si>
    <t>SUC 2019-01-019</t>
  </si>
  <si>
    <t>BIDSTAC # NP-SVP 144-2020</t>
  </si>
  <si>
    <t>BS20-07-MS007</t>
  </si>
  <si>
    <t>LGU-TAN-GOODS-2020-097</t>
  </si>
  <si>
    <t>DEPED-RCACES- 2020-001</t>
  </si>
  <si>
    <t>0561-20</t>
  </si>
  <si>
    <t>1042-20</t>
  </si>
  <si>
    <t>BIDSTAC # SB 037-2020</t>
  </si>
  <si>
    <t>ITB2020-034</t>
  </si>
  <si>
    <t>PR-2020-1337</t>
  </si>
  <si>
    <t>0020-0278-1291A2020</t>
  </si>
  <si>
    <t>OC-76(CHD-03) 20 GD</t>
  </si>
  <si>
    <t>0989-20</t>
  </si>
  <si>
    <t>0020-0277-1287B2020</t>
  </si>
  <si>
    <t>ITB 20-163 R20-158</t>
  </si>
  <si>
    <t>B-110-2020</t>
  </si>
  <si>
    <t>GFP100-2020-07-069</t>
  </si>
  <si>
    <t>2020 Caib 129</t>
  </si>
  <si>
    <t>2020-07-032</t>
  </si>
  <si>
    <t>20GCI0005</t>
  </si>
  <si>
    <t>100-20-07-463</t>
  </si>
  <si>
    <t>2020-07-022</t>
  </si>
  <si>
    <t>UPLB-RQ-7-161-20-I CONSTRUCTION PROJECTS</t>
  </si>
  <si>
    <t>PR-2020-1383</t>
  </si>
  <si>
    <t>207050</t>
  </si>
  <si>
    <t>LGU-TAN-INFRA-2020-096</t>
  </si>
  <si>
    <t>ITB2020-035</t>
  </si>
  <si>
    <t>2020-70</t>
  </si>
  <si>
    <t>DEPED-BALUNTOES-2020-001</t>
  </si>
  <si>
    <t>SF-20-13</t>
  </si>
  <si>
    <t>RFQ - 2020-07-093</t>
  </si>
  <si>
    <t>2020-87</t>
  </si>
  <si>
    <t>bfpmimaropa-2020-21</t>
  </si>
  <si>
    <t>RFQ 20-675</t>
  </si>
  <si>
    <t>ITB2020-036</t>
  </si>
  <si>
    <t>2020-88</t>
  </si>
  <si>
    <t>27613-001</t>
  </si>
  <si>
    <t>101-2020-05-0240</t>
  </si>
  <si>
    <t>BS20-07-B001</t>
  </si>
  <si>
    <t>RE-IB No. K-2020-002</t>
  </si>
  <si>
    <t>2020-080-snq</t>
  </si>
  <si>
    <t>512020a</t>
  </si>
  <si>
    <t>Goods 2020-07-022</t>
  </si>
  <si>
    <t>GEPS-G-005a-2020</t>
  </si>
  <si>
    <t>BS20-07-M010</t>
  </si>
  <si>
    <t>SF-20-14</t>
  </si>
  <si>
    <t>07-29-2020-295</t>
  </si>
  <si>
    <t>BIDSTAC # NP-SVP 145-2020</t>
  </si>
  <si>
    <t>BIDSTAC # NP-SVP 146-2020</t>
  </si>
  <si>
    <t>20GMC0156</t>
  </si>
  <si>
    <t>20-07-230</t>
  </si>
  <si>
    <t>07292020FOL</t>
  </si>
  <si>
    <t>20-07-034</t>
  </si>
  <si>
    <t>BIDSTAC # NP-SVP 147-2020</t>
  </si>
  <si>
    <t>ITB2020-037</t>
  </si>
  <si>
    <t>1051-20</t>
  </si>
  <si>
    <t>RFQ 2020-07-037</t>
  </si>
  <si>
    <t>101-2020-05-0238-B</t>
  </si>
  <si>
    <t>RFQ - 2020-07-094</t>
  </si>
  <si>
    <t>BAC2020-25</t>
  </si>
  <si>
    <t>RFQ 2020-07-036</t>
  </si>
  <si>
    <t>072920-R2</t>
  </si>
  <si>
    <t>IB NO. 2020 – 069/ JJL</t>
  </si>
  <si>
    <t>101-2020-05-0238-D</t>
  </si>
  <si>
    <t>ITB2020-038</t>
  </si>
  <si>
    <t>ITB NO. 02-07-2020</t>
  </si>
  <si>
    <t>BAC2020-26</t>
  </si>
  <si>
    <t>RFQ - 2020-07-096</t>
  </si>
  <si>
    <t>IB No. MM-2020-029</t>
  </si>
  <si>
    <t>ITB2020-040</t>
  </si>
  <si>
    <t>072920-R3</t>
  </si>
  <si>
    <t>BS20-07-0772</t>
  </si>
  <si>
    <t>BS20-07-0759</t>
  </si>
  <si>
    <t>03-2020-07-29</t>
  </si>
  <si>
    <t>0922-20</t>
  </si>
  <si>
    <t>200-2020-07-011</t>
  </si>
  <si>
    <t>RFQ - 2020-07-098</t>
  </si>
  <si>
    <t>2020-07-024</t>
  </si>
  <si>
    <t>20-07-035</t>
  </si>
  <si>
    <t>ITB2020-042</t>
  </si>
  <si>
    <t>RFQ - 2020-07-095</t>
  </si>
  <si>
    <t>GOODS-07-29-2020-03</t>
  </si>
  <si>
    <t>ITB2020-045</t>
  </si>
  <si>
    <t>RFQ - 2020-07-100</t>
  </si>
  <si>
    <t>532020a</t>
  </si>
  <si>
    <t>GOODS-07-29-2020-04</t>
  </si>
  <si>
    <t>PR-2020-07-0035</t>
  </si>
  <si>
    <t>ITB2020-044</t>
  </si>
  <si>
    <t>UPLB-RES-038-08-20 VEHICLES FOR CEAT - AMTEC</t>
  </si>
  <si>
    <t>Cebulan-GOODS-002-2020</t>
  </si>
  <si>
    <t>ITB2020-039</t>
  </si>
  <si>
    <t>01-253-2020</t>
  </si>
  <si>
    <t>RFQ - 2020-07-099</t>
  </si>
  <si>
    <t>RE-IB No. DD-2020-014(m)</t>
  </si>
  <si>
    <t>RE-IB No. AA-2020-003</t>
  </si>
  <si>
    <t>BAC-PG-001-20</t>
  </si>
  <si>
    <t>1017-20</t>
  </si>
  <si>
    <t>101-2020-07-0365</t>
  </si>
  <si>
    <t>BIDSTAC # NP-SVP 148-2020</t>
  </si>
  <si>
    <t>07-0126-20</t>
  </si>
  <si>
    <t>ppn-004-2020</t>
  </si>
  <si>
    <t>IB NO. 2020 - 070/ AGMR</t>
  </si>
  <si>
    <t>RFQ - 2020-07-097</t>
  </si>
  <si>
    <t>522020a</t>
  </si>
  <si>
    <t>ITB2020-041</t>
  </si>
  <si>
    <t>GOODS-07-29-2020-02</t>
  </si>
  <si>
    <t>ITB2020-043</t>
  </si>
  <si>
    <t>19-11-1191 Re-Bid</t>
  </si>
  <si>
    <t>2020-G1-012</t>
  </si>
  <si>
    <t>29-07-20-8711</t>
  </si>
  <si>
    <t>1024-20</t>
  </si>
  <si>
    <t>100-20-07-450</t>
  </si>
  <si>
    <t>GOODS-07-29-2020-05</t>
  </si>
  <si>
    <t>1919</t>
  </si>
  <si>
    <t>2020-418</t>
  </si>
  <si>
    <t>2020-07-014B</t>
  </si>
  <si>
    <t>RFQ - 2020-07-101</t>
  </si>
  <si>
    <t>105-2020</t>
  </si>
  <si>
    <t>1022-20</t>
  </si>
  <si>
    <t>RE-IB No. MM-2020-023(m)</t>
  </si>
  <si>
    <t>552020a</t>
  </si>
  <si>
    <t>542020a</t>
  </si>
  <si>
    <t>2020-07-76</t>
  </si>
  <si>
    <t>PR-MAS01-20-07-00003</t>
  </si>
  <si>
    <t>RE-IB No. MM-2020-022(m)</t>
  </si>
  <si>
    <t>1052-20</t>
  </si>
  <si>
    <t>100-20-07-455</t>
  </si>
  <si>
    <t>BARANGAY WESTERN POB. 5</t>
  </si>
  <si>
    <t>ITB2020-046</t>
  </si>
  <si>
    <t>IB No. B-2020-003</t>
  </si>
  <si>
    <t>Neg. Proc. No. C-2020-07-002</t>
  </si>
  <si>
    <t>2020-07-77</t>
  </si>
  <si>
    <t>RFQ 12</t>
  </si>
  <si>
    <t>BARANGAY BUNG-AW 3</t>
  </si>
  <si>
    <t>PR-ESSS03-20-07-00011</t>
  </si>
  <si>
    <t>SVP-2020-07-151</t>
  </si>
  <si>
    <t>2020-0611</t>
  </si>
  <si>
    <t>NFA-R02-NCA-PPC-2020-07-002</t>
  </si>
  <si>
    <t>2020-028rfq</t>
  </si>
  <si>
    <t>RFQ 13</t>
  </si>
  <si>
    <t>RE-IB No. MM-2020-026(m)</t>
  </si>
  <si>
    <t>RFQ - 2020-07-102</t>
  </si>
  <si>
    <t>101-2020-07-0366</t>
  </si>
  <si>
    <t>2020-89</t>
  </si>
  <si>
    <t>200-2020-07-009</t>
  </si>
  <si>
    <t>2001-01M03-02</t>
  </si>
  <si>
    <t>PR-SS01-20-07-00002</t>
  </si>
  <si>
    <t>ppn-005-2020</t>
  </si>
  <si>
    <t>SF-2020-009</t>
  </si>
  <si>
    <t>SF-2020-008</t>
  </si>
  <si>
    <t>2020-029J</t>
  </si>
  <si>
    <t>2020-07-015B</t>
  </si>
  <si>
    <t>ITB-20-07-039</t>
  </si>
  <si>
    <t>SF-2020-007</t>
  </si>
  <si>
    <t>MEO-260-20</t>
  </si>
  <si>
    <t>Quotation No. T-2020-07-011</t>
  </si>
  <si>
    <t>2020-07-090bid</t>
  </si>
  <si>
    <t>PR-2020-07-0036</t>
  </si>
  <si>
    <t>BARANGAY BUNG-AW 4</t>
  </si>
  <si>
    <t>2020-07-317</t>
  </si>
  <si>
    <t>2020 - 08 - 006 (122 - Shopping)</t>
  </si>
  <si>
    <t>S3-SPUGWM20-014</t>
  </si>
  <si>
    <t>04-2020-07-29</t>
  </si>
  <si>
    <t>2020-07-235</t>
  </si>
  <si>
    <t>20GM00174</t>
  </si>
  <si>
    <t>Neg. Proc. No. BB-2020-07-003</t>
  </si>
  <si>
    <t>S3-BAI20-012</t>
  </si>
  <si>
    <t>2020-029rfq</t>
  </si>
  <si>
    <t>2020 - 08 - 006 (123 - Shopping)</t>
  </si>
  <si>
    <t>2020-07-318</t>
  </si>
  <si>
    <t>PR-2020-07-0037</t>
  </si>
  <si>
    <t>ITB NO. 2020-1</t>
  </si>
  <si>
    <t>POB5-01-2020</t>
  </si>
  <si>
    <t>SVP 20-0473.4</t>
  </si>
  <si>
    <t>2020-030J</t>
  </si>
  <si>
    <t>SVP 20-0473.3</t>
  </si>
  <si>
    <t>P.R. No. 20-06-038</t>
  </si>
  <si>
    <t>2020-081-snq</t>
  </si>
  <si>
    <t>UPLB-RES-035-08-20 DIAGNOSTIC AND LAB SERVICE</t>
  </si>
  <si>
    <t>20CSZ006</t>
  </si>
  <si>
    <t>20GM00176</t>
  </si>
  <si>
    <t>ITB - 02 JULY 2020</t>
  </si>
  <si>
    <t>100-20-07-0231</t>
  </si>
  <si>
    <t>20-07-0244</t>
  </si>
  <si>
    <t>2020-RFQ-036 "PURCHASE OF BAKERY EQUIPMENT FOR THE</t>
  </si>
  <si>
    <t>CAD-2020-07-0331</t>
  </si>
  <si>
    <t>2020-07-016B</t>
  </si>
  <si>
    <t>PR-2020-07-0038</t>
  </si>
  <si>
    <t>NFA RO5-GOODS-2020-G-04</t>
  </si>
  <si>
    <t>20GM00178</t>
  </si>
  <si>
    <t>GOODS 2020-028</t>
  </si>
  <si>
    <t>100-07-20-02030</t>
  </si>
  <si>
    <t>2020 - 08 - 006 (124 - Shopping)</t>
  </si>
  <si>
    <t>IB No. K-2020-089(SC)</t>
  </si>
  <si>
    <t>RFQ NO. 500</t>
  </si>
  <si>
    <t>S3-SPUGWM20-001 (Extended)</t>
  </si>
  <si>
    <t>3rd Quarter MOOE 12345</t>
  </si>
  <si>
    <t>20-07-0255</t>
  </si>
  <si>
    <t>A20-013</t>
  </si>
  <si>
    <t>PR-2020-07-0039</t>
  </si>
  <si>
    <t>GOODS 2020-029</t>
  </si>
  <si>
    <t>DOLE-Caraga-2020-07-29-0002</t>
  </si>
  <si>
    <t>2020-07-017B</t>
  </si>
  <si>
    <t>CB(B)-20-022(CMO-ICDRRMO)</t>
  </si>
  <si>
    <t>2007-0563-PPD</t>
  </si>
  <si>
    <t>TAYSAN2020-086</t>
  </si>
  <si>
    <t>S3-SCL20-008 (Extended)</t>
  </si>
  <si>
    <t>IB No. K-2020-082(SC)</t>
  </si>
  <si>
    <t>ESD Mine 3 19-006 and ESD Mine 3 19-008</t>
  </si>
  <si>
    <t>RFQ-2020-07-29-578</t>
  </si>
  <si>
    <t>IB No. K-2020-088(SC)</t>
  </si>
  <si>
    <t>20-07-141</t>
  </si>
  <si>
    <t>MLY1902104092-2N-2020369</t>
  </si>
  <si>
    <t>UPLB-RES-036-08-20 LAB AND SCIENTIFIC EQUIP.</t>
  </si>
  <si>
    <t>2020-06-261</t>
  </si>
  <si>
    <t>DA3-2020-07-03-43</t>
  </si>
  <si>
    <t>RFQ 2020-305</t>
  </si>
  <si>
    <t>2020-07-29-05</t>
  </si>
  <si>
    <t>20GDM0164</t>
  </si>
  <si>
    <t>ZONE9202001</t>
  </si>
  <si>
    <t>2020-06-364/2020-06-363/2020-06-365</t>
  </si>
  <si>
    <t>MKWD2020-063</t>
  </si>
  <si>
    <t>20GDM0163</t>
  </si>
  <si>
    <t>2020-07-29-04</t>
  </si>
  <si>
    <t>20GDM0162</t>
  </si>
  <si>
    <t>20GDM0161</t>
  </si>
  <si>
    <t>20MC0114</t>
  </si>
  <si>
    <t>1912-932</t>
  </si>
  <si>
    <t>BAC-HO GS No. 2020-0464</t>
  </si>
  <si>
    <t>2020-07-29-06</t>
  </si>
  <si>
    <t>20-07-379</t>
  </si>
  <si>
    <t>DOLE-Caraga-2020-07-29-0003</t>
  </si>
  <si>
    <t>Neg. Proc. No. B-2020-07-007</t>
  </si>
  <si>
    <t>RCP20-07-0125</t>
  </si>
  <si>
    <t>20GDM0166</t>
  </si>
  <si>
    <t>pathway</t>
  </si>
  <si>
    <t>SL-NC-19</t>
  </si>
  <si>
    <t>IB No. K-2020-085(SC)</t>
  </si>
  <si>
    <t>101-2020-07-0370</t>
  </si>
  <si>
    <t>IB No. K-2020-087(SC)</t>
  </si>
  <si>
    <t>20-08-001</t>
  </si>
  <si>
    <t>101-2020-07-0369</t>
  </si>
  <si>
    <t>NP-ATFB 2020-07-002</t>
  </si>
  <si>
    <t>101-2020-07-0368</t>
  </si>
  <si>
    <t>52</t>
  </si>
  <si>
    <t>20GDM0170</t>
  </si>
  <si>
    <t>R4-ORD-ARDMS-ADM-20-06-338</t>
  </si>
  <si>
    <t>2020-PBGOODS-06-011</t>
  </si>
  <si>
    <t>085-20</t>
  </si>
  <si>
    <t>20GDM0168</t>
  </si>
  <si>
    <t>20GM00179</t>
  </si>
  <si>
    <t>2020 - 07 - 1</t>
  </si>
  <si>
    <t>2020-0226</t>
  </si>
  <si>
    <t>20-08-005</t>
  </si>
  <si>
    <t>NP No. 2020-034</t>
  </si>
  <si>
    <t>20-08-004</t>
  </si>
  <si>
    <t>20FL0087</t>
  </si>
  <si>
    <t>2020-07-29-03</t>
  </si>
  <si>
    <t>gOODS 2020-018</t>
  </si>
  <si>
    <t>401-2020-07-0367</t>
  </si>
  <si>
    <t>20-08-003</t>
  </si>
  <si>
    <t>ITB NO. 2020-07-018</t>
  </si>
  <si>
    <t>2020-07-29-07</t>
  </si>
  <si>
    <t>20-08-002</t>
  </si>
  <si>
    <t>101-2020-07-0371</t>
  </si>
  <si>
    <t>07-29-2020</t>
  </si>
  <si>
    <t>2020-0227</t>
  </si>
  <si>
    <t>DA3-2020-07-02-41</t>
  </si>
  <si>
    <t>11292020</t>
  </si>
  <si>
    <t>SPPF2020-PR.220</t>
  </si>
  <si>
    <t>SK2020-01</t>
  </si>
  <si>
    <t>NFA-RXI-2020-08</t>
  </si>
  <si>
    <t>PG-20-07-018</t>
  </si>
  <si>
    <t>2020-0228</t>
  </si>
  <si>
    <t>20-08-009</t>
  </si>
  <si>
    <t>2020-082-snq</t>
  </si>
  <si>
    <t>2005-24</t>
  </si>
  <si>
    <t>SK-FVL3-2020</t>
  </si>
  <si>
    <t>20GDM0169</t>
  </si>
  <si>
    <t>3</t>
  </si>
  <si>
    <t>GOODS-20-40</t>
  </si>
  <si>
    <t>ITB NO. 03-07-2020</t>
  </si>
  <si>
    <t>20GG0057-G</t>
  </si>
  <si>
    <t>PNU2020-0070</t>
  </si>
  <si>
    <t>20PJ0034</t>
  </si>
  <si>
    <t>PROVISION OF FOOTWALK FROM SCHOOL ENTRANCE TO EXIT</t>
  </si>
  <si>
    <t>2020210</t>
  </si>
  <si>
    <t>2020209</t>
  </si>
  <si>
    <t>2002-21-20-37-31</t>
  </si>
  <si>
    <t>SVP-112-2020</t>
  </si>
  <si>
    <t>silangan1-FV2020</t>
  </si>
  <si>
    <t>2003-51</t>
  </si>
  <si>
    <t>C-119-2020</t>
  </si>
  <si>
    <t>2020207</t>
  </si>
  <si>
    <t>BAC-20-07-078 (IMCD)</t>
  </si>
  <si>
    <t>016-2020</t>
  </si>
  <si>
    <t>20200729-56</t>
  </si>
  <si>
    <t>2020208</t>
  </si>
  <si>
    <t>26</t>
  </si>
  <si>
    <t>Nasugbu ITB No. 20-12</t>
  </si>
  <si>
    <t>2002-93</t>
  </si>
  <si>
    <t>2020-PB-SS-AHEPP-040-01</t>
  </si>
  <si>
    <t>2020-PB-SS-MCWS-039-01</t>
  </si>
  <si>
    <t>2020-PB-SS-SRMFB-038-01</t>
  </si>
  <si>
    <t>2020-07-023</t>
  </si>
  <si>
    <t>2020-PB-SS-P4HPP/GLP-017-02</t>
  </si>
  <si>
    <t>PG-20-07-017</t>
  </si>
  <si>
    <t>2003-34</t>
  </si>
  <si>
    <t>2020-PB-SS-SLPFI-018-02</t>
  </si>
  <si>
    <t>LB-2020-MSWMO</t>
  </si>
  <si>
    <t>2020-07-124</t>
  </si>
  <si>
    <t>QNV-040-2020</t>
  </si>
  <si>
    <t>LB-2020 DF-06</t>
  </si>
  <si>
    <t>2020211</t>
  </si>
  <si>
    <t>2020-07-446</t>
  </si>
  <si>
    <t>QNV-038-2020</t>
  </si>
  <si>
    <t>LB-2020 DF-05</t>
  </si>
  <si>
    <t>QNV-042-2020</t>
  </si>
  <si>
    <t>LB-2020 DF-04</t>
  </si>
  <si>
    <t>LB-2020-INFRA</t>
  </si>
  <si>
    <t>PR 2020-07-0036</t>
  </si>
  <si>
    <t>2020-0106</t>
  </si>
  <si>
    <t>BAC PB 2020-22</t>
  </si>
  <si>
    <t>2020-0105</t>
  </si>
  <si>
    <t>2020 SHS14</t>
  </si>
  <si>
    <t>07-29-2020-2</t>
  </si>
  <si>
    <t>2020212</t>
  </si>
  <si>
    <t>2020-07-125</t>
  </si>
  <si>
    <t>07-30-2020-01</t>
  </si>
  <si>
    <t>008</t>
  </si>
  <si>
    <t>PR 2020-07-0039</t>
  </si>
  <si>
    <t>RFQ NO. SVP-047-2020</t>
  </si>
  <si>
    <t>Pasil-2020-07-001</t>
  </si>
  <si>
    <t>BAC-ITIO GS No. 2020-0067 dated 19 June 2020 (ITIO</t>
  </si>
  <si>
    <t>2020-007-010</t>
  </si>
  <si>
    <t>20CSKC0002</t>
  </si>
  <si>
    <t>BAC PB 2020-21</t>
  </si>
  <si>
    <t>PR 2020-07-0041</t>
  </si>
  <si>
    <t>BAC-20-07-077(IMCD)</t>
  </si>
  <si>
    <t>NMF INFRA 2020-36</t>
  </si>
  <si>
    <t>NMF INFRA 2020-35</t>
  </si>
  <si>
    <t>2020 SHS15</t>
  </si>
  <si>
    <t>OMM-LSB-2020-02</t>
  </si>
  <si>
    <t>NMF SVP 2020-32</t>
  </si>
  <si>
    <t>NMF INFRA 2020-33</t>
  </si>
  <si>
    <t>PR 2020-07-0048</t>
  </si>
  <si>
    <t>NMF INFRA 2020-31</t>
  </si>
  <si>
    <t>PR 2020-07-0033</t>
  </si>
  <si>
    <t>2020-66</t>
  </si>
  <si>
    <t>2020-65</t>
  </si>
  <si>
    <t>PR 2020-07-0034</t>
  </si>
  <si>
    <t>2020-0108</t>
  </si>
  <si>
    <t>2020-64</t>
  </si>
  <si>
    <t>NMF INFRA 2020-34</t>
  </si>
  <si>
    <t>BAC-20-07-079 (OED)</t>
  </si>
  <si>
    <t>PR 2020-07-0030</t>
  </si>
  <si>
    <t>20CSKC0001</t>
  </si>
  <si>
    <t>L1-2020-004</t>
  </si>
  <si>
    <t>2020-0107</t>
  </si>
  <si>
    <t>2020-729</t>
  </si>
  <si>
    <t>BAC PB 2020-23</t>
  </si>
  <si>
    <t>PR 2017-07-0035</t>
  </si>
  <si>
    <t>20GG0056-G</t>
  </si>
  <si>
    <t>I-20-07-015</t>
  </si>
  <si>
    <t>B2-fv2020</t>
  </si>
  <si>
    <t>I-20-07-013</t>
  </si>
  <si>
    <t>ITB NO. 2020-07</t>
  </si>
  <si>
    <t>PR 2020-07-0024</t>
  </si>
  <si>
    <t>I-20-07-012</t>
  </si>
  <si>
    <t>2020-07-003B</t>
  </si>
  <si>
    <t>I-20-07-010</t>
  </si>
  <si>
    <t>Barangay Cagutsan Sierra-003-2020</t>
  </si>
  <si>
    <t>I-20-07-009</t>
  </si>
  <si>
    <t>2020-07-001B</t>
  </si>
  <si>
    <t>PR No. 2020-06</t>
  </si>
  <si>
    <t>I-20-07-014</t>
  </si>
  <si>
    <t>GOODS-2020-16</t>
  </si>
  <si>
    <t>20A00218</t>
  </si>
  <si>
    <t>Goods TF 07-2020</t>
  </si>
  <si>
    <t>2020-07-005B</t>
  </si>
  <si>
    <t>20-08-0010</t>
  </si>
  <si>
    <t>2</t>
  </si>
  <si>
    <t>2020-02-28-36</t>
  </si>
  <si>
    <t>20-08-007</t>
  </si>
  <si>
    <t>20CSA011</t>
  </si>
  <si>
    <t>Goods 2020-019</t>
  </si>
  <si>
    <t>NORS-2020-006</t>
  </si>
  <si>
    <t>1000033002</t>
  </si>
  <si>
    <t>ITB NO. 2020-07-017</t>
  </si>
  <si>
    <t>Goods TF 06-2020</t>
  </si>
  <si>
    <t>20MC0113</t>
  </si>
  <si>
    <t>084-20</t>
  </si>
  <si>
    <t>20GDM0167</t>
  </si>
  <si>
    <t>PB 2020-07-18</t>
  </si>
  <si>
    <t>20GG0055-G</t>
  </si>
  <si>
    <t>ITB 2020-002</t>
  </si>
  <si>
    <t>UL 2020-002</t>
  </si>
  <si>
    <t>2020-07-114</t>
  </si>
  <si>
    <t>I-20-07-011</t>
  </si>
  <si>
    <t>NP-ATFB 2020-07-001</t>
  </si>
  <si>
    <t>2020-07-19</t>
  </si>
  <si>
    <t>101-2020-03-0016</t>
  </si>
  <si>
    <t>2020-07-17</t>
  </si>
  <si>
    <t>20CSGG0002</t>
  </si>
  <si>
    <t>200(01)20-07-427(A)</t>
  </si>
  <si>
    <t>2020-07-21</t>
  </si>
  <si>
    <t>300(200)20-07-410(A)</t>
  </si>
  <si>
    <t>2020-07-18</t>
  </si>
  <si>
    <t>2020-07-16</t>
  </si>
  <si>
    <t>SF-GOODS:2020-007-006</t>
  </si>
  <si>
    <t>SF-GOODS:2020-004-003A</t>
  </si>
  <si>
    <t>RFQ NO. 2020-07-058</t>
  </si>
  <si>
    <t>2020-47</t>
  </si>
  <si>
    <t>2020-07-29-02</t>
  </si>
  <si>
    <t>2020-581-07 (02)</t>
  </si>
  <si>
    <t>021-ECE20</t>
  </si>
  <si>
    <t>2020-20%-09</t>
  </si>
  <si>
    <t>PR-MAS04-20-07-00003</t>
  </si>
  <si>
    <t>2020-575-07 (02)</t>
  </si>
  <si>
    <t>P.R No: 00-01-20</t>
  </si>
  <si>
    <t>SM2020-07-011</t>
  </si>
  <si>
    <t>SM2020-07-012</t>
  </si>
  <si>
    <t>I-20-07-016</t>
  </si>
  <si>
    <t>SM2020-07-009</t>
  </si>
  <si>
    <t>ITB-2020-07-16</t>
  </si>
  <si>
    <t>INFRA-2020-08-04</t>
  </si>
  <si>
    <t>INFRA-2020-08-03</t>
  </si>
  <si>
    <t>INFRA-2020-08-02</t>
  </si>
  <si>
    <t>SM2020-07-008</t>
  </si>
  <si>
    <t>20GM00177</t>
  </si>
  <si>
    <t>B-046-2020</t>
  </si>
  <si>
    <t>23020-0610</t>
  </si>
  <si>
    <t>ITB 2020-020</t>
  </si>
  <si>
    <t>RFQ 20-07-0062</t>
  </si>
  <si>
    <t>PANSAGAN202001</t>
  </si>
  <si>
    <t>OMSC RFQ 19-107</t>
  </si>
  <si>
    <t>RCP20-07-0124</t>
  </si>
  <si>
    <t>20GM00175</t>
  </si>
  <si>
    <t>SM2020-07-010</t>
  </si>
  <si>
    <t>IB No. K-2020-084 (SC)</t>
  </si>
  <si>
    <t>MLGOO-101-2020-07-344</t>
  </si>
  <si>
    <t>202027</t>
  </si>
  <si>
    <t>IB No. K-2020-081(SC)</t>
  </si>
  <si>
    <t>INFRA-2020-08-01</t>
  </si>
  <si>
    <t>P.R No: 00-02-20</t>
  </si>
  <si>
    <t>2020-536-06 (02)</t>
  </si>
  <si>
    <t>BL-07-28-2020</t>
  </si>
  <si>
    <t>2020-476-06 (02)</t>
  </si>
  <si>
    <t>itb20-07-031A</t>
  </si>
  <si>
    <t>2020-417-05 (02)</t>
  </si>
  <si>
    <t>CB-2020-017</t>
  </si>
  <si>
    <t>8000-2-2-15</t>
  </si>
  <si>
    <t>2020-07-028-1</t>
  </si>
  <si>
    <t>2020-20%-10</t>
  </si>
  <si>
    <t>2020-08-01-1</t>
  </si>
  <si>
    <t>2020-07-425</t>
  </si>
  <si>
    <t>ITB No. 20-07-16</t>
  </si>
  <si>
    <t>ITB 2020-07-009</t>
  </si>
  <si>
    <t>20GIJ-0003</t>
  </si>
  <si>
    <t>PB-CW-2020-07-32</t>
  </si>
  <si>
    <t>20FD0071</t>
  </si>
  <si>
    <t>itb20-07-031B</t>
  </si>
  <si>
    <t>2020-639-07</t>
  </si>
  <si>
    <t>20-GOODS-01</t>
  </si>
  <si>
    <t>8</t>
  </si>
  <si>
    <t>19CSK00053</t>
  </si>
  <si>
    <t>07272020B</t>
  </si>
  <si>
    <t>ITB 2020-07-01</t>
  </si>
  <si>
    <t>100-18(08-13-20)</t>
  </si>
  <si>
    <t>2020-07-423</t>
  </si>
  <si>
    <t>GSB 200-20-05-05807</t>
  </si>
  <si>
    <t>2020-650-07</t>
  </si>
  <si>
    <t>100-20-07-0285</t>
  </si>
  <si>
    <t>07272020A</t>
  </si>
  <si>
    <t>2020-07-029-1</t>
  </si>
  <si>
    <t>2020-367</t>
  </si>
  <si>
    <t>19CSK00056</t>
  </si>
  <si>
    <t>PB-2020-06-042</t>
  </si>
  <si>
    <t>PB-2020-06-043</t>
  </si>
  <si>
    <t>PGSO 200-20-01-00302</t>
  </si>
  <si>
    <t>NPPH 200-20-05-05697</t>
  </si>
  <si>
    <t>SB4 SPPH 200-20-07-08868</t>
  </si>
  <si>
    <t>20JA0092</t>
  </si>
  <si>
    <t>2020-272B</t>
  </si>
  <si>
    <t>SB4 WDP 300-20-07-09103</t>
  </si>
  <si>
    <t>2020-272A</t>
  </si>
  <si>
    <t>CBAA2020-07-04</t>
  </si>
  <si>
    <t>07-096-2020</t>
  </si>
  <si>
    <t>2020-07-426</t>
  </si>
  <si>
    <t>2020-652-07</t>
  </si>
  <si>
    <t>LGU-Sagay-4762</t>
  </si>
  <si>
    <t>ITB NO: 2020-008-036</t>
  </si>
  <si>
    <t>PMRB 200-20-05-05927</t>
  </si>
  <si>
    <t>2020-273</t>
  </si>
  <si>
    <t>2020-271</t>
  </si>
  <si>
    <t>BAC SV 2020-58</t>
  </si>
  <si>
    <t>GEPS-17-2020</t>
  </si>
  <si>
    <t>613-2020</t>
  </si>
  <si>
    <t>2020(G)-008</t>
  </si>
  <si>
    <t>2020(G)-006</t>
  </si>
  <si>
    <t>641-2020</t>
  </si>
  <si>
    <t>295</t>
  </si>
  <si>
    <t>PREDP 200-20-05-05633</t>
  </si>
  <si>
    <t>LOS BANOS-20-59</t>
  </si>
  <si>
    <t>PB-2020-06-044</t>
  </si>
  <si>
    <t>2020(I)-008</t>
  </si>
  <si>
    <t>2020-07-013B</t>
  </si>
  <si>
    <t>PB-2020-06-046</t>
  </si>
  <si>
    <t>2020(I)-007</t>
  </si>
  <si>
    <t>SB2 POP19 300-20-02-01021</t>
  </si>
  <si>
    <t>LOS BANOS-20-60</t>
  </si>
  <si>
    <t>LOS BANOS-20-62</t>
  </si>
  <si>
    <t>SVP 2020-49</t>
  </si>
  <si>
    <t>SAN2020-012</t>
  </si>
  <si>
    <t>ITB 2020-07-011</t>
  </si>
  <si>
    <t>2020-075-snq</t>
  </si>
  <si>
    <t>LOS BANOS-20-61</t>
  </si>
  <si>
    <t>ITB 2020-07-010</t>
  </si>
  <si>
    <t>SAN2020-011</t>
  </si>
  <si>
    <t>2020-074-snq</t>
  </si>
  <si>
    <t>0723</t>
  </si>
  <si>
    <t>PR NO. 100-1181-20-03-0367</t>
  </si>
  <si>
    <t>2020-072-snq</t>
  </si>
  <si>
    <t>2020-073-snq</t>
  </si>
  <si>
    <t>COB BAC Goods 2020-012-02</t>
  </si>
  <si>
    <t>2020-076-snq</t>
  </si>
  <si>
    <t>COB BAC Goods 2020-012-01</t>
  </si>
  <si>
    <t>CRPIP-2020-07-101</t>
  </si>
  <si>
    <t>00021=2020</t>
  </si>
  <si>
    <t>BUNGAHAN 2020-07-004</t>
  </si>
  <si>
    <t>00020-2020</t>
  </si>
  <si>
    <t>0878</t>
  </si>
  <si>
    <t>PB-2020-06-045</t>
  </si>
  <si>
    <t>HFE-2020-06-0209</t>
  </si>
  <si>
    <t>AGINF2020-0729</t>
  </si>
  <si>
    <t>2020(G)-007</t>
  </si>
  <si>
    <t>07-29-2020-01</t>
  </si>
  <si>
    <t>RFQ NO. 2020-08-60</t>
  </si>
  <si>
    <t>RFQ NO. 2020-08-61</t>
  </si>
  <si>
    <t>20JA0093</t>
  </si>
  <si>
    <t>REHABMPHALL2019</t>
  </si>
  <si>
    <t>20-257</t>
  </si>
  <si>
    <t>BBC2020-001</t>
  </si>
  <si>
    <t>20JA0094</t>
  </si>
  <si>
    <t>RFQ-2020-19</t>
  </si>
  <si>
    <t>RFQ-191-2020</t>
  </si>
  <si>
    <t>lgu-es-20-07-180</t>
  </si>
  <si>
    <t>Invitation to Bid BP 20-01</t>
  </si>
  <si>
    <t>RFQ-189-2020</t>
  </si>
  <si>
    <t>RFQ-190-2020</t>
  </si>
  <si>
    <t>lgu-es-20-07-181</t>
  </si>
  <si>
    <t>RFQ NO. 2020-08-59</t>
  </si>
  <si>
    <t>2020-ART TOWER-107</t>
  </si>
  <si>
    <t>2020-024J</t>
  </si>
  <si>
    <t>PB-CW-2020-07-33</t>
  </si>
  <si>
    <t>CW2020-74</t>
  </si>
  <si>
    <t>RFQ NO. 2020-08-62</t>
  </si>
  <si>
    <t>INFRA-2020-061</t>
  </si>
  <si>
    <t>0877</t>
  </si>
  <si>
    <t>RFQ-188-2020</t>
  </si>
  <si>
    <t>RFQ NO. 20-07-440</t>
  </si>
  <si>
    <t>RFQ-195-2020</t>
  </si>
  <si>
    <t>146-2020</t>
  </si>
  <si>
    <t>2020-072805</t>
  </si>
  <si>
    <t>2020-07-0128</t>
  </si>
  <si>
    <t>RFQ NO. 2020-08-63</t>
  </si>
  <si>
    <t>RFQ-194-2020</t>
  </si>
  <si>
    <t>20-07-27-007</t>
  </si>
  <si>
    <t>2020-072804</t>
  </si>
  <si>
    <t>2020-072803</t>
  </si>
  <si>
    <t>2020-07-0240</t>
  </si>
  <si>
    <t>2020-072802</t>
  </si>
  <si>
    <t>PR# 20-07-0313</t>
  </si>
  <si>
    <t>2020-ASL-001</t>
  </si>
  <si>
    <t>20FK0051-RE-BID</t>
  </si>
  <si>
    <t>20-06-001</t>
  </si>
  <si>
    <t>2020-07-427</t>
  </si>
  <si>
    <t>DALIPIT WEST 2020-07-003</t>
  </si>
  <si>
    <t>2020-072801</t>
  </si>
  <si>
    <t>RFQ-192-2020</t>
  </si>
  <si>
    <t>RFQ-193-2020</t>
  </si>
  <si>
    <t>bakiad pr1</t>
  </si>
  <si>
    <t>RFQ-196-2020</t>
  </si>
  <si>
    <t>BAC-05</t>
  </si>
  <si>
    <t>PB-0720-55</t>
  </si>
  <si>
    <t>RFQ-197-2020</t>
  </si>
  <si>
    <t>2020-072807</t>
  </si>
  <si>
    <t>2020-072808</t>
  </si>
  <si>
    <t>2020-07-0142</t>
  </si>
  <si>
    <t>ITB No. (INF) 2020-07-110 ROAD OPENING/FMR VIGAN T</t>
  </si>
  <si>
    <t>'028</t>
  </si>
  <si>
    <t>CDC 57-07-2020</t>
  </si>
  <si>
    <t>2020-072806</t>
  </si>
  <si>
    <t>MOV-G-2020-012</t>
  </si>
  <si>
    <t>ITB No. (INF) 2020-07-111 CONSTRUCTION OF BRGY. ST</t>
  </si>
  <si>
    <t>147-2020</t>
  </si>
  <si>
    <t>INFRA 2020-04</t>
  </si>
  <si>
    <t>2020-072809</t>
  </si>
  <si>
    <t>2020-07-0806 TDG</t>
  </si>
  <si>
    <t>ADVERTISEMENT NO. 01-2020</t>
  </si>
  <si>
    <t>2020-07-096</t>
  </si>
  <si>
    <t>ITB No. (INF) 2020-07-112 ROAD OPENING/FARM-TO-MAR</t>
  </si>
  <si>
    <t>RFQ2020-07-20</t>
  </si>
  <si>
    <t>RFQ-198-2020</t>
  </si>
  <si>
    <t>300-20-06-009</t>
  </si>
  <si>
    <t>2020-0615</t>
  </si>
  <si>
    <t>PB-0720-56</t>
  </si>
  <si>
    <t>OLD2020-001</t>
  </si>
  <si>
    <t>CBAA2020-07-05</t>
  </si>
  <si>
    <t>CS001-20</t>
  </si>
  <si>
    <t>351-2020</t>
  </si>
  <si>
    <t>2020-07-0143</t>
  </si>
  <si>
    <t>VGOV-2020-0014-0015</t>
  </si>
  <si>
    <t>2020-Barangay ibol-03</t>
  </si>
  <si>
    <t>PEO-2020-0192 PR2020-0546</t>
  </si>
  <si>
    <t>PEO-2020-0537 &amp; 0573</t>
  </si>
  <si>
    <t>CBAA2020-07-06</t>
  </si>
  <si>
    <t>'029</t>
  </si>
  <si>
    <t>LGUBaras-2020-0056</t>
  </si>
  <si>
    <t>Sip-2020-098</t>
  </si>
  <si>
    <t>PR-2020-1142</t>
  </si>
  <si>
    <t>20CSBD001</t>
  </si>
  <si>
    <t>2020-004B</t>
  </si>
  <si>
    <t>PB-0720-57</t>
  </si>
  <si>
    <t>2020-07-0810 TDG</t>
  </si>
  <si>
    <t>2019-12-1867 TDG</t>
  </si>
  <si>
    <t>20GLH0017 (PR 2020-07-042 dated 07/23/2020)</t>
  </si>
  <si>
    <t>GEPS-14-001</t>
  </si>
  <si>
    <t>CG-RFQ-164-2020</t>
  </si>
  <si>
    <t>CG-RFQ-163-2020</t>
  </si>
  <si>
    <t>Construction, Repair &amp; Declogging of Drainage Cana</t>
  </si>
  <si>
    <t>PRDP-2020-0096</t>
  </si>
  <si>
    <t>BAC GOODS 2020-21</t>
  </si>
  <si>
    <t>2020-Brgy. Estaka Buri-001</t>
  </si>
  <si>
    <t>DARFO2.CVRC.115.REC.2020-07-996.00</t>
  </si>
  <si>
    <t>CG-RFQ-162-2020</t>
  </si>
  <si>
    <t>RIS no. 20-06-016</t>
  </si>
  <si>
    <t>Improvement of Footbridge In Brgy. San Vicente, To</t>
  </si>
  <si>
    <t>2007-037-01</t>
  </si>
  <si>
    <t>PEO-2020-1080</t>
  </si>
  <si>
    <t>CULABA 2020-05</t>
  </si>
  <si>
    <t>20-1690</t>
  </si>
  <si>
    <t>2020 ITB - 033</t>
  </si>
  <si>
    <t>BAC GOODS 2020-22</t>
  </si>
  <si>
    <t>Construction of Multi-purpose Building (Phase 1) i</t>
  </si>
  <si>
    <t>JRMPII-145-2020</t>
  </si>
  <si>
    <t>CS002-20</t>
  </si>
  <si>
    <t>CBAA2020-07-07</t>
  </si>
  <si>
    <t>JRMPII-152-2020</t>
  </si>
  <si>
    <t>Bid No. 2020-023</t>
  </si>
  <si>
    <t>PEMO-2020-2110</t>
  </si>
  <si>
    <t>PHO-2020-0078</t>
  </si>
  <si>
    <t>SINS-Inf-2020-04</t>
  </si>
  <si>
    <t>msj-2020-23</t>
  </si>
  <si>
    <t>202072801</t>
  </si>
  <si>
    <t>2020-Brgy. 13 Pob.-006</t>
  </si>
  <si>
    <t>PR-2020-1143</t>
  </si>
  <si>
    <t>JRMPII-151-2020</t>
  </si>
  <si>
    <t>2020 ITB - 036</t>
  </si>
  <si>
    <t>2020 ITB - 037</t>
  </si>
  <si>
    <t>003-07-2020(BRGY.POB.ZONE II, VILLASIS, PANGASINAN</t>
  </si>
  <si>
    <t>BLGU-PINAMANAGAN-AL-01-2020</t>
  </si>
  <si>
    <t>2020-651-07</t>
  </si>
  <si>
    <t>B-20-30</t>
  </si>
  <si>
    <t>RFP-BNBNP No. Bul-2020-02</t>
  </si>
  <si>
    <t>12-2020-01</t>
  </si>
  <si>
    <t>BAC INFRA 2020-06</t>
  </si>
  <si>
    <t>2020-07-0797 TDG</t>
  </si>
  <si>
    <t>2020-06-0578 TDG</t>
  </si>
  <si>
    <t>ADVERTISEMENT NO. 02-2020</t>
  </si>
  <si>
    <t>2020-Brgy. Cinco Sierra-003</t>
  </si>
  <si>
    <t>100-20-07-0272</t>
  </si>
  <si>
    <t>BLGU-PINAMANAGAN-AL-02-2020</t>
  </si>
  <si>
    <t>CS003-20</t>
  </si>
  <si>
    <t>JRMPII-158-2020</t>
  </si>
  <si>
    <t>20GII0010</t>
  </si>
  <si>
    <t>110320191C</t>
  </si>
  <si>
    <t>INFRA-2020-009</t>
  </si>
  <si>
    <t>BACGbtn-S-2007-508</t>
  </si>
  <si>
    <t>BACGbtn-S-2007-509</t>
  </si>
  <si>
    <t>20053357</t>
  </si>
  <si>
    <t>20GKG0036(ER)</t>
  </si>
  <si>
    <t>BAC INFRA 2020-07</t>
  </si>
  <si>
    <t>BSU Project No. 2020-274</t>
  </si>
  <si>
    <t>2020 - 07 - 01</t>
  </si>
  <si>
    <t>ADVERTISEMENT NO. 03-2020</t>
  </si>
  <si>
    <t>CDH-2020-0056 &amp; TJPH-2020-0151</t>
  </si>
  <si>
    <t>ITB-OO3-2020</t>
  </si>
  <si>
    <t>19</t>
  </si>
  <si>
    <t>2020-636-07</t>
  </si>
  <si>
    <t>GOODS-2020-07-018</t>
  </si>
  <si>
    <t>20GKG0035</t>
  </si>
  <si>
    <t>IS-20-07-0195</t>
  </si>
  <si>
    <t>Tambis</t>
  </si>
  <si>
    <t>PSU-SUPPLY-RFQ-2020-28A-DIFFERENT OFFICES</t>
  </si>
  <si>
    <t>BALZN9-2015</t>
  </si>
  <si>
    <t>2020072801</t>
  </si>
  <si>
    <t>BLGU-PINAMANAGAN-AL-03-2020</t>
  </si>
  <si>
    <t>MOV-G-2020-013</t>
  </si>
  <si>
    <t>SVP2020-07-0137</t>
  </si>
  <si>
    <t>BALZN9-2017</t>
  </si>
  <si>
    <t>2020 ITB - 038</t>
  </si>
  <si>
    <t>CS004-20</t>
  </si>
  <si>
    <t>GOODS-2020-07-020</t>
  </si>
  <si>
    <t>SJ-20-197</t>
  </si>
  <si>
    <t>101-20-07-01</t>
  </si>
  <si>
    <t>2020-655-07</t>
  </si>
  <si>
    <t>07282020001</t>
  </si>
  <si>
    <t>DANG-20-022</t>
  </si>
  <si>
    <t>2020072802</t>
  </si>
  <si>
    <t>20GKG0037(ER)</t>
  </si>
  <si>
    <t>GEPS-013-2020</t>
  </si>
  <si>
    <t>SVP2020-07-0131</t>
  </si>
  <si>
    <t>INFRA-2020-010</t>
  </si>
  <si>
    <t>HILONGOS 2020-226</t>
  </si>
  <si>
    <t>SINS-Inf-2020-03</t>
  </si>
  <si>
    <t>2020-08-33</t>
  </si>
  <si>
    <t>batgoods 2020-07-019</t>
  </si>
  <si>
    <t>20-07-0247</t>
  </si>
  <si>
    <t>M-20-25</t>
  </si>
  <si>
    <t>CW-371-2020</t>
  </si>
  <si>
    <t>GOODS 2020-34</t>
  </si>
  <si>
    <t>2020-07-0015</t>
  </si>
  <si>
    <t>MSBAC 2020 - 01 - 013</t>
  </si>
  <si>
    <t>PR-2020-1141</t>
  </si>
  <si>
    <t>ITB No. 2020-G-05-02</t>
  </si>
  <si>
    <t>07282020002</t>
  </si>
  <si>
    <t>ITB 20-27</t>
  </si>
  <si>
    <t>20-01-0051</t>
  </si>
  <si>
    <t>DANG-20-024</t>
  </si>
  <si>
    <t>SINS-G-2019-18</t>
  </si>
  <si>
    <t>PL2020-03-001</t>
  </si>
  <si>
    <t>SVP2020-07-0144</t>
  </si>
  <si>
    <t>20DE0157</t>
  </si>
  <si>
    <t>2020-08-35</t>
  </si>
  <si>
    <t>3000-200-1-2</t>
  </si>
  <si>
    <t>20DE0156</t>
  </si>
  <si>
    <t>B-20-31</t>
  </si>
  <si>
    <t>2020-659-07</t>
  </si>
  <si>
    <t>20-07-119</t>
  </si>
  <si>
    <t>2006-029-10</t>
  </si>
  <si>
    <t>INFR-036-2020</t>
  </si>
  <si>
    <t>INFRA-2020-07-003</t>
  </si>
  <si>
    <t>CW-372-2020</t>
  </si>
  <si>
    <t>SVP2020-07-0142</t>
  </si>
  <si>
    <t>Aklan BAC ITB 420 Series of 2020</t>
  </si>
  <si>
    <t>ppn-003-2020</t>
  </si>
  <si>
    <t>CB(B)-20-020</t>
  </si>
  <si>
    <t>2020 Doroluman</t>
  </si>
  <si>
    <t>20-06-020</t>
  </si>
  <si>
    <t>ADVERTISEMENT NO. 04-2020</t>
  </si>
  <si>
    <t>2020-08-32</t>
  </si>
  <si>
    <t>07-2020-008</t>
  </si>
  <si>
    <t>2020-649-07</t>
  </si>
  <si>
    <t>PR #81</t>
  </si>
  <si>
    <t>20200728</t>
  </si>
  <si>
    <t>2020 Doroluman 7</t>
  </si>
  <si>
    <t>166 - 2020</t>
  </si>
  <si>
    <t>SVP2020-07-0138</t>
  </si>
  <si>
    <t>PR #80</t>
  </si>
  <si>
    <t>2020 mooe 1</t>
  </si>
  <si>
    <t>PR20-07-5A1</t>
  </si>
  <si>
    <t>20-07-120</t>
  </si>
  <si>
    <t>470</t>
  </si>
  <si>
    <t>2020072803</t>
  </si>
  <si>
    <t>24-Goods-2020</t>
  </si>
  <si>
    <t>20GIK0011</t>
  </si>
  <si>
    <t>713</t>
  </si>
  <si>
    <t>2020-07-017</t>
  </si>
  <si>
    <t>20-0065</t>
  </si>
  <si>
    <t>2020-08-34</t>
  </si>
  <si>
    <t>2020NP-08-36</t>
  </si>
  <si>
    <t>20-07-09</t>
  </si>
  <si>
    <t>160 - 2020</t>
  </si>
  <si>
    <t>RFQ-20-07147</t>
  </si>
  <si>
    <t>pal-20-07-018</t>
  </si>
  <si>
    <t>ISC-20-0899-B</t>
  </si>
  <si>
    <t>2020-02-123</t>
  </si>
  <si>
    <t>barangay cunsad 2020-01</t>
  </si>
  <si>
    <t>ISC-20-0900-B</t>
  </si>
  <si>
    <t>2020-GOODS-38</t>
  </si>
  <si>
    <t>20-07-0719</t>
  </si>
  <si>
    <t>2020-07-003-G</t>
  </si>
  <si>
    <t>pal-20-07-020</t>
  </si>
  <si>
    <t>2020-310</t>
  </si>
  <si>
    <t>2020728</t>
  </si>
  <si>
    <t>ITB2020-07-13</t>
  </si>
  <si>
    <t>2020-07-001-G</t>
  </si>
  <si>
    <t>2020 Lanao Kuran 5</t>
  </si>
  <si>
    <t>MA-A2H20-012</t>
  </si>
  <si>
    <t>SHOP GOODS 2020-07-16</t>
  </si>
  <si>
    <t>100-07-20-01969</t>
  </si>
  <si>
    <t>20KB0172 Re</t>
  </si>
  <si>
    <t>MA-A2M20-035</t>
  </si>
  <si>
    <t>B#001-20</t>
  </si>
  <si>
    <t>PR20-07-5A2</t>
  </si>
  <si>
    <t>SPUG-LUZ20-009 (PB2)</t>
  </si>
  <si>
    <t>Aklan BAC ITB 419 Series of 2020</t>
  </si>
  <si>
    <t>MA-A2M20-051</t>
  </si>
  <si>
    <t>2019-0716-2G</t>
  </si>
  <si>
    <t>itb07282020</t>
  </si>
  <si>
    <t>B#002-20</t>
  </si>
  <si>
    <t>20KB0186</t>
  </si>
  <si>
    <t>NIA-NOIMO-2020-07-0247</t>
  </si>
  <si>
    <t>2020-664-07</t>
  </si>
  <si>
    <t>MA-A2M20-024</t>
  </si>
  <si>
    <t>GDS-373-2020</t>
  </si>
  <si>
    <t>2020 Lanao Kuran 6</t>
  </si>
  <si>
    <t>20GKI0044</t>
  </si>
  <si>
    <t>NP-07-41-20</t>
  </si>
  <si>
    <t>200-1-07-05-020</t>
  </si>
  <si>
    <t>PEO-20-0929-B</t>
  </si>
  <si>
    <t>RFQ 20-07-049</t>
  </si>
  <si>
    <t>SPUG-LUZ20-004 (PB2)</t>
  </si>
  <si>
    <t>20KB0184</t>
  </si>
  <si>
    <t>20KB0185</t>
  </si>
  <si>
    <t>2020-07-0017</t>
  </si>
  <si>
    <t>ITB-2020-07-17</t>
  </si>
  <si>
    <t>20-06-08-16b</t>
  </si>
  <si>
    <t>SB-2020-016</t>
  </si>
  <si>
    <t>2020-07-57</t>
  </si>
  <si>
    <t>2019-0710-3G</t>
  </si>
  <si>
    <t>SPUG-LUZ20-001 (PB2)</t>
  </si>
  <si>
    <t>MG-A7M20-103</t>
  </si>
  <si>
    <t>431256</t>
  </si>
  <si>
    <t>2020-02-124</t>
  </si>
  <si>
    <t>POW #E-GF-20-01</t>
  </si>
  <si>
    <t>B#004-20</t>
  </si>
  <si>
    <t>ROSAL 0424-2020</t>
  </si>
  <si>
    <t>2020-0322</t>
  </si>
  <si>
    <t>423-2020</t>
  </si>
  <si>
    <t>philgeps07282020b</t>
  </si>
  <si>
    <t>031</t>
  </si>
  <si>
    <t>PEO-20-0928-B</t>
  </si>
  <si>
    <t>2020-07-0019</t>
  </si>
  <si>
    <t>2020-07-002-G</t>
  </si>
  <si>
    <t>philgeps07282020</t>
  </si>
  <si>
    <t>MA-A2M20-052</t>
  </si>
  <si>
    <t>19-11-07-0181recanvass</t>
  </si>
  <si>
    <t>20KB0187</t>
  </si>
  <si>
    <t>20FD0073</t>
  </si>
  <si>
    <t>20FD0072</t>
  </si>
  <si>
    <t>2020-278</t>
  </si>
  <si>
    <t>GOOD-22-2020</t>
  </si>
  <si>
    <t>Aklan BAC ITB 418 Series of 2020</t>
  </si>
  <si>
    <t>B#003-20</t>
  </si>
  <si>
    <t>176 - 2020</t>
  </si>
  <si>
    <t>MG-A7M20-109</t>
  </si>
  <si>
    <t>20KB0183</t>
  </si>
  <si>
    <t>MA-A2H20-13</t>
  </si>
  <si>
    <t>428-2020</t>
  </si>
  <si>
    <t>BP-072820-027</t>
  </si>
  <si>
    <t>2020-045</t>
  </si>
  <si>
    <t>20-07-015</t>
  </si>
  <si>
    <t>PR No.: 2020-07-033</t>
  </si>
  <si>
    <t>07202003</t>
  </si>
  <si>
    <t>PEO-20-0927 B</t>
  </si>
  <si>
    <t>GOODS 2020-07-0006</t>
  </si>
  <si>
    <t>20PK0071</t>
  </si>
  <si>
    <t>NP-07-40-20</t>
  </si>
  <si>
    <t>B#005-20</t>
  </si>
  <si>
    <t>2020-672-07</t>
  </si>
  <si>
    <t>100-06-20-01588</t>
  </si>
  <si>
    <t>SB-2020-020</t>
  </si>
  <si>
    <t>2020-08-I</t>
  </si>
  <si>
    <t>CG-RFQ-165-2020</t>
  </si>
  <si>
    <t>MA-A2M20-021</t>
  </si>
  <si>
    <t>PNU2020-0064</t>
  </si>
  <si>
    <t>2020-0728</t>
  </si>
  <si>
    <t>Ibaan/2020/253</t>
  </si>
  <si>
    <t>VS-2020-030</t>
  </si>
  <si>
    <t>I.B. No. 2020-0041</t>
  </si>
  <si>
    <t>20-07-0390</t>
  </si>
  <si>
    <t>CALI-01-2020</t>
  </si>
  <si>
    <t>2020-Brgy. Cagutian-002</t>
  </si>
  <si>
    <t>469</t>
  </si>
  <si>
    <t>297</t>
  </si>
  <si>
    <t>ITB No. 2020-G-06-02</t>
  </si>
  <si>
    <t>I.B. No. 2020-0040</t>
  </si>
  <si>
    <t>2020-003-G</t>
  </si>
  <si>
    <t>19125327</t>
  </si>
  <si>
    <t>PR NO. 2020-07-008</t>
  </si>
  <si>
    <t>HILONGOS 2020-227</t>
  </si>
  <si>
    <t>2020-00001</t>
  </si>
  <si>
    <t>DANG-20-025</t>
  </si>
  <si>
    <t>167 - 2020</t>
  </si>
  <si>
    <t>DAPA-086-2020</t>
  </si>
  <si>
    <t>01tangkulandambuk20</t>
  </si>
  <si>
    <t>CONSTRUCTION OF SLAUGHTERHOUSE PHASE II AND OTHER</t>
  </si>
  <si>
    <t>NP-07-39-20</t>
  </si>
  <si>
    <t>PMOMIN 07-2020-001</t>
  </si>
  <si>
    <t>PR No.: 2020-07-034</t>
  </si>
  <si>
    <t>ITB-2020-07-001</t>
  </si>
  <si>
    <t>B#006-20</t>
  </si>
  <si>
    <t>SM-20-019</t>
  </si>
  <si>
    <t>BP-072820-028</t>
  </si>
  <si>
    <t>20GG00024</t>
  </si>
  <si>
    <t>2020-08-G</t>
  </si>
  <si>
    <t>SB-2020-021</t>
  </si>
  <si>
    <t>'024-Re Bid</t>
  </si>
  <si>
    <t>SB-2020-022</t>
  </si>
  <si>
    <t>DBM-2020-0112</t>
  </si>
  <si>
    <t>ITB-2020-07-18</t>
  </si>
  <si>
    <t>SB-2020-026</t>
  </si>
  <si>
    <t>002/July/2020</t>
  </si>
  <si>
    <t>02Tangkulandambuk20</t>
  </si>
  <si>
    <t>300-2020-GOODS-015</t>
  </si>
  <si>
    <t>RFQ 20-173</t>
  </si>
  <si>
    <t>ITB No.007.July 28,2020.GSO.LGU.Lugait</t>
  </si>
  <si>
    <t>RFQ-20-07152</t>
  </si>
  <si>
    <t>PR No.: 2020-07-035</t>
  </si>
  <si>
    <t>2020-07-180</t>
  </si>
  <si>
    <t>NIA-NOIMO-2020-07-0209</t>
  </si>
  <si>
    <t>SB-2020-025</t>
  </si>
  <si>
    <t>A44</t>
  </si>
  <si>
    <t>ITBO5-GOODS-AMBULANCE</t>
  </si>
  <si>
    <t>2020-02-125</t>
  </si>
  <si>
    <t>RFQ 20-07-018</t>
  </si>
  <si>
    <t>B#007-20</t>
  </si>
  <si>
    <t>philgeps07282020c</t>
  </si>
  <si>
    <t>GOODS-3-2020-009</t>
  </si>
  <si>
    <t>20-07-374-46</t>
  </si>
  <si>
    <t>20-03</t>
  </si>
  <si>
    <t>MinSCAT ITB 2020-10</t>
  </si>
  <si>
    <t>2020-253</t>
  </si>
  <si>
    <t>SB-2020-028</t>
  </si>
  <si>
    <t>ITBO7-GOODS-RESCUEVEHICLE</t>
  </si>
  <si>
    <t>GOODS-3-2020-010</t>
  </si>
  <si>
    <t>SB-2020-027</t>
  </si>
  <si>
    <t>ITB GOODS 2020-07-43</t>
  </si>
  <si>
    <t>RFQ 007-054-2020</t>
  </si>
  <si>
    <t>2020-254</t>
  </si>
  <si>
    <t>PR-4</t>
  </si>
  <si>
    <t>OMSC RFQ 19-068</t>
  </si>
  <si>
    <t>ITB 2020-29</t>
  </si>
  <si>
    <t>INFRA-2020-057</t>
  </si>
  <si>
    <t>2020-072810</t>
  </si>
  <si>
    <t>DBM-2020-0113</t>
  </si>
  <si>
    <t>ITBO8-GOODS-WATERPURIFIER</t>
  </si>
  <si>
    <t>POS-20-0698-B</t>
  </si>
  <si>
    <t>INFRA-2020-17</t>
  </si>
  <si>
    <t>2020-07--725</t>
  </si>
  <si>
    <t>I-2020-021</t>
  </si>
  <si>
    <t>2777-001-004</t>
  </si>
  <si>
    <t>27838-001</t>
  </si>
  <si>
    <t>SB-2020-030</t>
  </si>
  <si>
    <t>KB-GOODS-2020-07</t>
  </si>
  <si>
    <t>DBM-2020-0114</t>
  </si>
  <si>
    <t>ITB GOODS 2020-07-44</t>
  </si>
  <si>
    <t>Description   ITEM NO. Unit of issue ITEM &amp;DESCRIP</t>
  </si>
  <si>
    <t>TAG – SDS – 077 - 2020</t>
  </si>
  <si>
    <t>ILI-2773-20</t>
  </si>
  <si>
    <t>N-2020-07-177</t>
  </si>
  <si>
    <t>2020-07-726</t>
  </si>
  <si>
    <t>ITB GOODS 2020-07-45</t>
  </si>
  <si>
    <t>ESP-GOODS-024-2020</t>
  </si>
  <si>
    <t>007-002-2020</t>
  </si>
  <si>
    <t>27852-001</t>
  </si>
  <si>
    <t>27828-001</t>
  </si>
  <si>
    <t>PB2020-051</t>
  </si>
  <si>
    <t>20PC0061</t>
  </si>
  <si>
    <t>ITB GOODS 2020-07-46</t>
  </si>
  <si>
    <t>07282020</t>
  </si>
  <si>
    <t>20G026</t>
  </si>
  <si>
    <t>2020-07-727</t>
  </si>
  <si>
    <t>MAD 025-2020</t>
  </si>
  <si>
    <t>MAD 024-2020</t>
  </si>
  <si>
    <t>2020-07-261</t>
  </si>
  <si>
    <t>I-2020-022</t>
  </si>
  <si>
    <t>MAD 026-2020</t>
  </si>
  <si>
    <t>S2020-07-119</t>
  </si>
  <si>
    <t>PB2020-052</t>
  </si>
  <si>
    <t>MG-A7M20-113</t>
  </si>
  <si>
    <t>2020-0076</t>
  </si>
  <si>
    <t>2020-327</t>
  </si>
  <si>
    <t>20G027</t>
  </si>
  <si>
    <t>SJ-20-199</t>
  </si>
  <si>
    <t>IT GOODS 2020-07-47</t>
  </si>
  <si>
    <t>2020-07-728</t>
  </si>
  <si>
    <t>MG-A7C20-031</t>
  </si>
  <si>
    <t>PB2020-053</t>
  </si>
  <si>
    <t>GOODS-039-2020</t>
  </si>
  <si>
    <t>PR-5</t>
  </si>
  <si>
    <t>G-2020-027</t>
  </si>
  <si>
    <t>CS 20-006</t>
  </si>
  <si>
    <t>PR-2020-1794</t>
  </si>
  <si>
    <t>MG-A7M20-102</t>
  </si>
  <si>
    <t>MAD 027-2020</t>
  </si>
  <si>
    <t>GDS 20-074</t>
  </si>
  <si>
    <t>PB2020-055</t>
  </si>
  <si>
    <t>PB2020-054</t>
  </si>
  <si>
    <t>brgy.Sagrada Familia 2020-1</t>
  </si>
  <si>
    <t>G-2020-026</t>
  </si>
  <si>
    <t>20-07-0392</t>
  </si>
  <si>
    <t>MG-A7M20-101</t>
  </si>
  <si>
    <t>ITB-2020-07-19</t>
  </si>
  <si>
    <t>ITB NO. 2020-008-039</t>
  </si>
  <si>
    <t>2020-85</t>
  </si>
  <si>
    <t>brgy.Sagrada Familia 2020-2</t>
  </si>
  <si>
    <t>20MGU-064</t>
  </si>
  <si>
    <t>G-2020-028</t>
  </si>
  <si>
    <t>2020-07-69-CMGP20(INFRA)</t>
  </si>
  <si>
    <t>20-07-048</t>
  </si>
  <si>
    <t>IT GOODS 2020-07-48</t>
  </si>
  <si>
    <t>PR2020-06-023A Reposting</t>
  </si>
  <si>
    <t>BAC 2020-29</t>
  </si>
  <si>
    <t>20GNE0042</t>
  </si>
  <si>
    <t>PB-CW-2020-07-34</t>
  </si>
  <si>
    <t>PB2020-057</t>
  </si>
  <si>
    <t>20202907</t>
  </si>
  <si>
    <t>20C00049</t>
  </si>
  <si>
    <t>G2020 019</t>
  </si>
  <si>
    <t>MAD 028-2020</t>
  </si>
  <si>
    <t>PB2020-056</t>
  </si>
  <si>
    <t>20MGU-065</t>
  </si>
  <si>
    <t>2020-07-0021</t>
  </si>
  <si>
    <t>PR-2020-1491</t>
  </si>
  <si>
    <t>ITB-072820-1</t>
  </si>
  <si>
    <t>401-2020-07-0360</t>
  </si>
  <si>
    <t>20-15 BRGY</t>
  </si>
  <si>
    <t>20MGU-066</t>
  </si>
  <si>
    <t>20-07-121</t>
  </si>
  <si>
    <t>2020-cw-07-001</t>
  </si>
  <si>
    <t>LGU ORANI 2020-07-002</t>
  </si>
  <si>
    <t>7-28-20</t>
  </si>
  <si>
    <t>80-20-07-084</t>
  </si>
  <si>
    <t>2020 - 19</t>
  </si>
  <si>
    <t>ITB GOODS 2020-07-48</t>
  </si>
  <si>
    <t>INFRA-2020-42</t>
  </si>
  <si>
    <t>GO-20-07-051</t>
  </si>
  <si>
    <t>20-07-049</t>
  </si>
  <si>
    <t>ITB-Goods-2020-07-041</t>
  </si>
  <si>
    <t>PB2020-059</t>
  </si>
  <si>
    <t>20MGU-067</t>
  </si>
  <si>
    <t>2020 - 20</t>
  </si>
  <si>
    <t>PR-6</t>
  </si>
  <si>
    <t>ITB GOODS 2020-07-49</t>
  </si>
  <si>
    <t>2020-07-28-01</t>
  </si>
  <si>
    <t>LGU ORANI 2020-07-003</t>
  </si>
  <si>
    <t>002 ITPM 2020</t>
  </si>
  <si>
    <t>G-2020-029</t>
  </si>
  <si>
    <t>PB-CW-2020-07-35</t>
  </si>
  <si>
    <t>brgy.Sagrada Familia 2020-3</t>
  </si>
  <si>
    <t>BMB 20-041</t>
  </si>
  <si>
    <t>GO-20-07-052</t>
  </si>
  <si>
    <t>ITB-2020-JDL-017 Re-Bid</t>
  </si>
  <si>
    <t>20200728-01</t>
  </si>
  <si>
    <t>GO-20-07-053</t>
  </si>
  <si>
    <t>PR0081-20 PAGRO</t>
  </si>
  <si>
    <t>doc</t>
  </si>
  <si>
    <t>2020-07-28-02</t>
  </si>
  <si>
    <t>PB2020-060</t>
  </si>
  <si>
    <t>20MGU-069</t>
  </si>
  <si>
    <t>RFQ NO. 2020-08-64</t>
  </si>
  <si>
    <t>PR NO. 300-1192-3-20-07-0802</t>
  </si>
  <si>
    <t>ITB-072820-2</t>
  </si>
  <si>
    <t>ITB-2020-07-20</t>
  </si>
  <si>
    <t>2020-07-15</t>
  </si>
  <si>
    <t>2020-07-015</t>
  </si>
  <si>
    <t>2020-08-38</t>
  </si>
  <si>
    <t>2020-07-28-04</t>
  </si>
  <si>
    <t>0074-2020</t>
  </si>
  <si>
    <t>401-2020-07-0361</t>
  </si>
  <si>
    <t>2020-B006</t>
  </si>
  <si>
    <t>INFRA-2020-44</t>
  </si>
  <si>
    <t>2020-0728-2</t>
  </si>
  <si>
    <t>SVP-091-2020</t>
  </si>
  <si>
    <t>2020-B13-01</t>
  </si>
  <si>
    <t>ITB-2020-JDL-016 Re-Bid</t>
  </si>
  <si>
    <t>2020-07-28-03</t>
  </si>
  <si>
    <t>20G029</t>
  </si>
  <si>
    <t>G-2020-030</t>
  </si>
  <si>
    <t>BAC-PG-007-20</t>
  </si>
  <si>
    <t>20MGU-070</t>
  </si>
  <si>
    <t>brgy.zone 18</t>
  </si>
  <si>
    <t>INFRA-2020-43</t>
  </si>
  <si>
    <t>ITB GOODS 2020-07-50</t>
  </si>
  <si>
    <t>RFQ No. 2020-07-038</t>
  </si>
  <si>
    <t>MAD 029-2020</t>
  </si>
  <si>
    <t>041-07-2020</t>
  </si>
  <si>
    <t>PB-0720-58</t>
  </si>
  <si>
    <t>SVP-092-2020</t>
  </si>
  <si>
    <t>2020-07-034</t>
  </si>
  <si>
    <t>BAC-07-1091</t>
  </si>
  <si>
    <t>DENR10 2020-07-0370</t>
  </si>
  <si>
    <t>2020-0728-1</t>
  </si>
  <si>
    <t>STC-GOOD- NO. 2020-0018</t>
  </si>
  <si>
    <t>ITB GOODS 2020-07-51</t>
  </si>
  <si>
    <t>INFRA-2020-46</t>
  </si>
  <si>
    <t>20-05-00365</t>
  </si>
  <si>
    <t>INFRA-2020-45</t>
  </si>
  <si>
    <t>2020-0728-3</t>
  </si>
  <si>
    <t>ASS-20-0878-B</t>
  </si>
  <si>
    <t>20-04-00301</t>
  </si>
  <si>
    <t>PB-2020-184-017</t>
  </si>
  <si>
    <t>ITB2020-07-06</t>
  </si>
  <si>
    <t>RFQ NO. 20-07-188</t>
  </si>
  <si>
    <t>20-07-236</t>
  </si>
  <si>
    <t>001-07-28-2020</t>
  </si>
  <si>
    <t>20-06-00392</t>
  </si>
  <si>
    <t>2020-INFRA-01</t>
  </si>
  <si>
    <t>NFA-RXIV-2020-G-009</t>
  </si>
  <si>
    <t>ITB 2020 - 086</t>
  </si>
  <si>
    <t>Drone supplies 2020-07-270</t>
  </si>
  <si>
    <t>ITB 2020 - 085</t>
  </si>
  <si>
    <t>2020-07-28-05</t>
  </si>
  <si>
    <t>PB-0620-43</t>
  </si>
  <si>
    <t>2020-07-441</t>
  </si>
  <si>
    <t>MG-A7M20-111</t>
  </si>
  <si>
    <t>PR-7</t>
  </si>
  <si>
    <t>2020-07-28-06</t>
  </si>
  <si>
    <t>20-07-00445</t>
  </si>
  <si>
    <t>20-07-00452</t>
  </si>
  <si>
    <t>2020-07-442</t>
  </si>
  <si>
    <t>20MGU-068</t>
  </si>
  <si>
    <t>2020-DF-01</t>
  </si>
  <si>
    <t>PR-9</t>
  </si>
  <si>
    <t>SVP-093-2020</t>
  </si>
  <si>
    <t>20-06-0224</t>
  </si>
  <si>
    <t>101-20-07-04</t>
  </si>
  <si>
    <t>ITB NO. 2020-08-040</t>
  </si>
  <si>
    <t>20-06-00425</t>
  </si>
  <si>
    <t>CW-2020-006</t>
  </si>
  <si>
    <t>PB-0720-54</t>
  </si>
  <si>
    <t>brgy.-011</t>
  </si>
  <si>
    <t>072820-B2</t>
  </si>
  <si>
    <t>PO-G-20-011</t>
  </si>
  <si>
    <t>202007073</t>
  </si>
  <si>
    <t>2020-011,012</t>
  </si>
  <si>
    <t>NFA-RXIV-2020-G-008</t>
  </si>
  <si>
    <t>UPLB-S-049-08-20, PROCUREMENT FOR THE REHABILITATI</t>
  </si>
  <si>
    <t>UPLB-S-047-08-20</t>
  </si>
  <si>
    <t>2020-NPSV-12</t>
  </si>
  <si>
    <t>072820-B1</t>
  </si>
  <si>
    <t>RFQ NO. 20-07-192</t>
  </si>
  <si>
    <t>LGU LAUREL 20-07-014</t>
  </si>
  <si>
    <t>2020-07-25</t>
  </si>
  <si>
    <t>20CB-GSC-466	PURCHASE OF AGRICULTURAL SUPPLIES  (R</t>
  </si>
  <si>
    <t>2020-007-001-ADMIN</t>
  </si>
  <si>
    <t>PB 07-06-2020</t>
  </si>
  <si>
    <t>PB-0720-60</t>
  </si>
  <si>
    <t>2020-07-262</t>
  </si>
  <si>
    <t>PB-0620-39</t>
  </si>
  <si>
    <t>072820-B3</t>
  </si>
  <si>
    <t>20-05-100</t>
  </si>
  <si>
    <t>2020 INFRA 023</t>
  </si>
  <si>
    <t>80-20-04-051</t>
  </si>
  <si>
    <t>20CB-GSC-465	PURCHASE OF ENGINE OIL FOR CTO (RE-BI</t>
  </si>
  <si>
    <t>2020-RBAC-REGIII-INFR-NEJ-025</t>
  </si>
  <si>
    <t>ITB No. PB20-07-041COR</t>
  </si>
  <si>
    <t>Barangay Zone II Poblacion Atimonan, Quezon 2020-2</t>
  </si>
  <si>
    <t>401-2020-07-0362</t>
  </si>
  <si>
    <t>B20-23-01</t>
  </si>
  <si>
    <t>20CB-GSC-468	PRINTING OF STICKERS, WEIGHTS PLATES</t>
  </si>
  <si>
    <t>DIS-20-0817-B</t>
  </si>
  <si>
    <t>2020 INFRA 022</t>
  </si>
  <si>
    <t>2020-07-26</t>
  </si>
  <si>
    <t>072020016</t>
  </si>
  <si>
    <t>353-2020</t>
  </si>
  <si>
    <t>2020-RBAC-REGIII-INFR-NEJ-024</t>
  </si>
  <si>
    <t>SF-GOODS:2020-008-008</t>
  </si>
  <si>
    <t>20CB-GSC-464	PURCHASE OF TROPHIES AND TOKENS FOR I</t>
  </si>
  <si>
    <t>BCS-2020-0232</t>
  </si>
  <si>
    <t>202007074</t>
  </si>
  <si>
    <t>352-2020</t>
  </si>
  <si>
    <t>UPLB-S-048-08-20, SUPPLY AND DELIVERY OF BRANDED A</t>
  </si>
  <si>
    <t>ITB No. 2020-07-05</t>
  </si>
  <si>
    <t>PR 07-3735</t>
  </si>
  <si>
    <t>BCS-2020-0233</t>
  </si>
  <si>
    <t>2020 INFRA 025</t>
  </si>
  <si>
    <t>2020-05-003</t>
  </si>
  <si>
    <t>BCS-2020-0237</t>
  </si>
  <si>
    <t>2020 INFRA 024</t>
  </si>
  <si>
    <t>PR No. 1000032330 dtd. March 3, 2020</t>
  </si>
  <si>
    <t>20-03-060</t>
  </si>
  <si>
    <t>BCS-2020-0234</t>
  </si>
  <si>
    <t>20CB-GSC-470	PURCHASE OF GREASE, OIL AND FUEL STAB</t>
  </si>
  <si>
    <t>20CB-GSC-473	PURCHASE OF SPAREPARTS FOR HEAVY EQUI</t>
  </si>
  <si>
    <t>101-2020-05-0192</t>
  </si>
  <si>
    <t>2020-RBAC-REGIII-026</t>
  </si>
  <si>
    <t>2020-0437</t>
  </si>
  <si>
    <t>2020-05-002</t>
  </si>
  <si>
    <t>ITB No. 2020-07-06</t>
  </si>
  <si>
    <t>8918-19-1752-20 (9998)</t>
  </si>
  <si>
    <t>20-07-138</t>
  </si>
  <si>
    <t>ITB 2020-07-039 (GOODS)</t>
  </si>
  <si>
    <t>8918-5-1632-20 LDF-2020</t>
  </si>
  <si>
    <t>8911-03-2455-19</t>
  </si>
  <si>
    <t>20CB-GSC-477	PURCHASE OF GENERAL MERCHANDISE FOR D</t>
  </si>
  <si>
    <t>ITB 2020-010</t>
  </si>
  <si>
    <t xml:space="preserve">20CB-GSC-476	PURCHASE OF MEDICAL SUPPLIES FOR CHO </t>
  </si>
  <si>
    <t>RFQ NO. SVP-043-2020</t>
  </si>
  <si>
    <t>101-2020-05-0238-C</t>
  </si>
  <si>
    <t>ITB No. 2020-07-07</t>
  </si>
  <si>
    <t>2020-GOODS-006</t>
  </si>
  <si>
    <t>GOODS-2020-152</t>
  </si>
  <si>
    <t>ITB 2020-009</t>
  </si>
  <si>
    <t>2020-07-28 (1) LGU</t>
  </si>
  <si>
    <t>101-2020-05-0189</t>
  </si>
  <si>
    <t>6911-03-1054-19</t>
  </si>
  <si>
    <t>2020-cw-07-003</t>
  </si>
  <si>
    <t>GOODS-2020-151</t>
  </si>
  <si>
    <t>8918-03-3288-19</t>
  </si>
  <si>
    <t>101-2020-05-0239</t>
  </si>
  <si>
    <t>8911-04-1936-20</t>
  </si>
  <si>
    <t>101-2020-05-0187</t>
  </si>
  <si>
    <t>ITB 2020-008</t>
  </si>
  <si>
    <t>2020 INFRA 026</t>
  </si>
  <si>
    <t>20-07-134</t>
  </si>
  <si>
    <t>2020-07-458</t>
  </si>
  <si>
    <t>B20-23-04</t>
  </si>
  <si>
    <t>B20-23-03</t>
  </si>
  <si>
    <t>ITB 2020-07-041</t>
  </si>
  <si>
    <t>ITB-GS-20200611-01</t>
  </si>
  <si>
    <t>2020-07-466</t>
  </si>
  <si>
    <t>GOODS-2020-155</t>
  </si>
  <si>
    <t>8751-5-02-13-030</t>
  </si>
  <si>
    <t>20-04-021</t>
  </si>
  <si>
    <t>2020-07-468</t>
  </si>
  <si>
    <t>2020-0225</t>
  </si>
  <si>
    <t>2020-07-477</t>
  </si>
  <si>
    <t>BG20-07-20</t>
  </si>
  <si>
    <t>20LG0120</t>
  </si>
  <si>
    <t>07282020B</t>
  </si>
  <si>
    <t>2020-07-474</t>
  </si>
  <si>
    <t>SM2020-07-013</t>
  </si>
  <si>
    <t>2020-07-471</t>
  </si>
  <si>
    <t>23456</t>
  </si>
  <si>
    <t>2020-07-467</t>
  </si>
  <si>
    <t>RFQ NO. SVP-046-2020</t>
  </si>
  <si>
    <t>6911-12-760-20</t>
  </si>
  <si>
    <t>2020-07-476</t>
  </si>
  <si>
    <t>07282020C</t>
  </si>
  <si>
    <t>MG-A5M20-137</t>
  </si>
  <si>
    <t>001-01-2020</t>
  </si>
  <si>
    <t>0728202002</t>
  </si>
  <si>
    <t>07282020A</t>
  </si>
  <si>
    <t>0728202001</t>
  </si>
  <si>
    <t>MG-A5C20-067</t>
  </si>
  <si>
    <t>6911-05-1237-19</t>
  </si>
  <si>
    <t>072020-001</t>
  </si>
  <si>
    <t>00051-20-0713-0296</t>
  </si>
  <si>
    <t>2020-cw-07-004</t>
  </si>
  <si>
    <t>DENR-NCR, PR No. 2020-020 &amp; 2020-213</t>
  </si>
  <si>
    <t>20-00003</t>
  </si>
  <si>
    <t>20-06-492</t>
  </si>
  <si>
    <t>2020-cw-07-005</t>
  </si>
  <si>
    <t>SVP-107-2020</t>
  </si>
  <si>
    <t>GFT-08312020-MAT-MAG-BARMM</t>
  </si>
  <si>
    <t>2020-cw-07-006</t>
  </si>
  <si>
    <t>2020-cw-07-008</t>
  </si>
  <si>
    <t>101-2020-05-0238-A</t>
  </si>
  <si>
    <t>009-2020</t>
  </si>
  <si>
    <t>brgy 2020-01</t>
  </si>
  <si>
    <t>2020-cw-07-007</t>
  </si>
  <si>
    <t>PES 2020 - 01</t>
  </si>
  <si>
    <t>20PJ0059</t>
  </si>
  <si>
    <t>G006-07-2020</t>
  </si>
  <si>
    <t>GOODS-CB-2020-07-009</t>
  </si>
  <si>
    <t>20CSCM05</t>
  </si>
  <si>
    <t>2020-cw-07-009</t>
  </si>
  <si>
    <t>20-00002</t>
  </si>
  <si>
    <t>00016-20-0629-0286</t>
  </si>
  <si>
    <t>20GD0108</t>
  </si>
  <si>
    <t>SVP-110-2020</t>
  </si>
  <si>
    <t>2020-112</t>
  </si>
  <si>
    <t>INFRA-2020-07-006</t>
  </si>
  <si>
    <t>MNE2020-010</t>
  </si>
  <si>
    <t>20-0007</t>
  </si>
  <si>
    <t>2020-cw-07-011</t>
  </si>
  <si>
    <t>2020 - 07</t>
  </si>
  <si>
    <t>2020-cw-07-012</t>
  </si>
  <si>
    <t>MNE2020-12</t>
  </si>
  <si>
    <t>INFRA-2020-07-005</t>
  </si>
  <si>
    <t>A6-2020-001</t>
  </si>
  <si>
    <t>PB-20-395</t>
  </si>
  <si>
    <t>BCS-2020-0239</t>
  </si>
  <si>
    <t>2020-PBG-57</t>
  </si>
  <si>
    <t>20-00006</t>
  </si>
  <si>
    <t>PB-20-394</t>
  </si>
  <si>
    <t>20GD0110</t>
  </si>
  <si>
    <t>Cansamada East-2020-07-001</t>
  </si>
  <si>
    <t>2020-2g-07-001</t>
  </si>
  <si>
    <t>PB-20-397</t>
  </si>
  <si>
    <t>MNE2020-011</t>
  </si>
  <si>
    <t>PRDP-IR-R003-NUE-002-000-000-2014-A</t>
  </si>
  <si>
    <t>2020-PBG-56</t>
  </si>
  <si>
    <t>PRDP-IR-R003-NUE-014-000-000-2015-B</t>
  </si>
  <si>
    <t>BAC SVP 2020-50</t>
  </si>
  <si>
    <t>20GD0109</t>
  </si>
  <si>
    <t>20-00005</t>
  </si>
  <si>
    <t>PB-20-396</t>
  </si>
  <si>
    <t>07-29-2020-02</t>
  </si>
  <si>
    <t>PR# 20-07-067-051-ICT_Equipment</t>
  </si>
  <si>
    <t>BCS-2020-0238</t>
  </si>
  <si>
    <t>20-00004</t>
  </si>
  <si>
    <t>PB-20-370</t>
  </si>
  <si>
    <t>INFRA-2020-07-002</t>
  </si>
  <si>
    <t>INFRA-2020-07-004</t>
  </si>
  <si>
    <t>CA Procurement of Broadcast Camera and Video Switc</t>
  </si>
  <si>
    <t>8911-7-2939-19 CONTINUING 2019</t>
  </si>
  <si>
    <t>20-06-493</t>
  </si>
  <si>
    <t>2020-07-459</t>
  </si>
  <si>
    <t>GOODS-2020-154</t>
  </si>
  <si>
    <t>SVP-109-2020</t>
  </si>
  <si>
    <t>G-BRGY-07282020-Barangay Multi-Purpose Improvement</t>
  </si>
  <si>
    <t>2020-cw-07-010</t>
  </si>
  <si>
    <t>MIWD</t>
  </si>
  <si>
    <t>6911-04-1198-20</t>
  </si>
  <si>
    <t>B20-23-02</t>
  </si>
  <si>
    <t>BCS-2020-0236</t>
  </si>
  <si>
    <t>2020-07-464</t>
  </si>
  <si>
    <t>2020-07-050</t>
  </si>
  <si>
    <t>2020-05-001</t>
  </si>
  <si>
    <t>BCS-2020-0235</t>
  </si>
  <si>
    <t>GOODS-2020-153</t>
  </si>
  <si>
    <t>PPD-20-0845-B</t>
  </si>
  <si>
    <t>PB-0720-59</t>
  </si>
  <si>
    <t>20MF0089</t>
  </si>
  <si>
    <t>2020-cw-07-002</t>
  </si>
  <si>
    <t>PR-8</t>
  </si>
  <si>
    <t>PB-2020-184-018</t>
  </si>
  <si>
    <t>MJJLECINFRA002-2020-01</t>
  </si>
  <si>
    <t>IB NO.2020-08-18(09)CAT II - MED/ LAB SUPPLIES &amp; R</t>
  </si>
  <si>
    <t>2020-07-28 LGU</t>
  </si>
  <si>
    <t>6911-03-574-19</t>
  </si>
  <si>
    <t>2020-ng-07-001</t>
  </si>
  <si>
    <t>PB-20-407</t>
  </si>
  <si>
    <t>PR# 20-07-067-053_Office-Equipment</t>
  </si>
  <si>
    <t>PB-20-406</t>
  </si>
  <si>
    <t>PB-20-399</t>
  </si>
  <si>
    <t>PB-20-409</t>
  </si>
  <si>
    <t>PB-20-398</t>
  </si>
  <si>
    <t>PB-20-410</t>
  </si>
  <si>
    <t>SF-G-MDRRMF-2020-18</t>
  </si>
  <si>
    <t>PB-20-408</t>
  </si>
  <si>
    <t>2020-4ng-07-002</t>
  </si>
  <si>
    <t>2020_BEFF_Repair of Classrooms</t>
  </si>
  <si>
    <t>SF-G-MDRRMF-2020-19</t>
  </si>
  <si>
    <t>07-29-2020-03</t>
  </si>
  <si>
    <t>2020-06-0002</t>
  </si>
  <si>
    <t>2020-PBG-59</t>
  </si>
  <si>
    <t>PB-20-411</t>
  </si>
  <si>
    <t>BCS-2020-0240</t>
  </si>
  <si>
    <t>2020-PBG-60</t>
  </si>
  <si>
    <t>PB-20-412</t>
  </si>
  <si>
    <t>MNE2020-013</t>
  </si>
  <si>
    <t>07-29-2020-04</t>
  </si>
  <si>
    <t>SF-G-MDRRMF-2020-20</t>
  </si>
  <si>
    <t>20GGO0004</t>
  </si>
  <si>
    <t>A6-2020-002</t>
  </si>
  <si>
    <t>20S034</t>
  </si>
  <si>
    <t>100-2020-07-846</t>
  </si>
  <si>
    <t>100-2020-07-856</t>
  </si>
  <si>
    <t>100-2020-07-848</t>
  </si>
  <si>
    <t>100-2020-07-852</t>
  </si>
  <si>
    <t>100-2020-07-857</t>
  </si>
  <si>
    <t>BCS-2020-0241</t>
  </si>
  <si>
    <t>2020-0630-14Infra</t>
  </si>
  <si>
    <t>REI 2020-06-0077</t>
  </si>
  <si>
    <t>100-2020-07-850</t>
  </si>
  <si>
    <t>IB NO. 2020-231</t>
  </si>
  <si>
    <t>RB-08202020</t>
  </si>
  <si>
    <t>2020-I-091</t>
  </si>
  <si>
    <t>Goods PB 2020-001</t>
  </si>
  <si>
    <t>2020-003 LGUSJ-G</t>
  </si>
  <si>
    <t>100-20-04-506; 05-642; 07-866</t>
  </si>
  <si>
    <t>19FI0063</t>
  </si>
  <si>
    <t>GOODS-2020-009</t>
  </si>
  <si>
    <t>20FI0039(RE-ADVERTISED)</t>
  </si>
  <si>
    <t>PR-2020-1061-0201</t>
  </si>
  <si>
    <t>072820-B4</t>
  </si>
  <si>
    <t>300-19-10-090</t>
  </si>
  <si>
    <t>SF INFRA 2020-06</t>
  </si>
  <si>
    <t>PEO-20-0664 B</t>
  </si>
  <si>
    <t>PGL 20-098</t>
  </si>
  <si>
    <t>PGL 20-097</t>
  </si>
  <si>
    <t>PGL 20-096</t>
  </si>
  <si>
    <t>PGL 20-095</t>
  </si>
  <si>
    <t>00159-2020</t>
  </si>
  <si>
    <t>PIP 010-2020</t>
  </si>
  <si>
    <t>2020-07-369-ME</t>
  </si>
  <si>
    <t>2020-1</t>
  </si>
  <si>
    <t>20GCB0007</t>
  </si>
  <si>
    <t>20-07-0344</t>
  </si>
  <si>
    <t>101-4917-07-01-2020</t>
  </si>
  <si>
    <t>20-07-0363</t>
  </si>
  <si>
    <t>BMC-N-20-271</t>
  </si>
  <si>
    <t>2020-013 LGUSJ-I</t>
  </si>
  <si>
    <t>300-20202-Infra-016</t>
  </si>
  <si>
    <t>PR 1096 &amp; 1097</t>
  </si>
  <si>
    <t>TRUST-439-07-21-2020</t>
  </si>
  <si>
    <t>20-03-0175</t>
  </si>
  <si>
    <t>2020-08-18-430PG</t>
  </si>
  <si>
    <t>GOODS AUGUST 2020-001</t>
  </si>
  <si>
    <t>PB-LRP-2007-065</t>
  </si>
  <si>
    <t>LunaLU 2020-07-042</t>
  </si>
  <si>
    <t>LunaLU 2020-07-041</t>
  </si>
  <si>
    <t>LunaLU 2020-040</t>
  </si>
  <si>
    <t>LunaLU 2020-07-039</t>
  </si>
  <si>
    <t>LunaLU 2020-07-038</t>
  </si>
  <si>
    <t>2020-014 LGUSJ-I</t>
  </si>
  <si>
    <t>2020-004 LGUSJ-G</t>
  </si>
  <si>
    <t>2020-015  LGUSJ-I</t>
  </si>
  <si>
    <t>BAC-PG-00170-20</t>
  </si>
  <si>
    <t>2020-08-18-443PG</t>
  </si>
  <si>
    <t>300-20-04-039</t>
  </si>
  <si>
    <t>2020-08-18-440PG</t>
  </si>
  <si>
    <t>2020-08-18-441PG</t>
  </si>
  <si>
    <t>2020-08-18-438PG</t>
  </si>
  <si>
    <t>2020-08-18-437PG</t>
  </si>
  <si>
    <t>2020-08-18-436PG</t>
  </si>
  <si>
    <t>2020-08-18-434PG</t>
  </si>
  <si>
    <t>2020-08-18-439PG</t>
  </si>
  <si>
    <t>2020-08-18-433PG</t>
  </si>
  <si>
    <t>20S033</t>
  </si>
  <si>
    <t>2020-08-18-432PG</t>
  </si>
  <si>
    <t>2020-08-18-435PG</t>
  </si>
  <si>
    <t>ITB No. 2020-26</t>
  </si>
  <si>
    <t>101-4411-07-22-2020</t>
  </si>
  <si>
    <t>20-06-05A-0035</t>
  </si>
  <si>
    <t>2020-08-18-431PG</t>
  </si>
  <si>
    <t>ITB No. 2020-24</t>
  </si>
  <si>
    <t>2020-08-18-442PG</t>
  </si>
  <si>
    <t>2020-04-shs</t>
  </si>
  <si>
    <t>2020-07-27-002</t>
  </si>
  <si>
    <t>Bac-Pg-002-20</t>
  </si>
  <si>
    <t>goods-pr-06-2020</t>
  </si>
  <si>
    <t>goods-pr-05-2020</t>
  </si>
  <si>
    <t>NHAR1CAR1-ROBAC-INFR-20-002</t>
  </si>
  <si>
    <t>ITB No. 2020-91</t>
  </si>
  <si>
    <t>2020-99</t>
  </si>
  <si>
    <t>0720-026</t>
  </si>
  <si>
    <t>GOODS 2020-36</t>
  </si>
  <si>
    <t>2020-PBG-58</t>
  </si>
  <si>
    <t>INFR-032-2020</t>
  </si>
  <si>
    <t>Barangay Tibongbong 2020-001</t>
  </si>
  <si>
    <t>04-20 cap</t>
  </si>
  <si>
    <t>SVP 20-0885</t>
  </si>
  <si>
    <t>NHAR1CAR1-ROBAC-INFR-20-001</t>
  </si>
  <si>
    <t>2020-08-18-444PG</t>
  </si>
  <si>
    <t>2020-08-18-446PG</t>
  </si>
  <si>
    <t>20DG0046</t>
  </si>
  <si>
    <t>SVP 20-0882</t>
  </si>
  <si>
    <t>PR2020-06-29-077</t>
  </si>
  <si>
    <t>19GF00010 Line Items 8 and 9</t>
  </si>
  <si>
    <t>GOODS-2020-68</t>
  </si>
  <si>
    <t>2020-7-001</t>
  </si>
  <si>
    <t>Mkna-GSO-20-320</t>
  </si>
  <si>
    <t>LGU-TAN-GOODS-2020-091</t>
  </si>
  <si>
    <t>ITB 20-07-008</t>
  </si>
  <si>
    <t>2020infra-07-001</t>
  </si>
  <si>
    <t>20DG0045</t>
  </si>
  <si>
    <t>GOODS-2020-66</t>
  </si>
  <si>
    <t>SVP 20-0877</t>
  </si>
  <si>
    <t>AVRC-2020-07-0261</t>
  </si>
  <si>
    <t>2020-27-07-38</t>
  </si>
  <si>
    <t>2020-08-18-449PG</t>
  </si>
  <si>
    <t>03-20 cap</t>
  </si>
  <si>
    <t>B2 PEO 300-20-07-08703</t>
  </si>
  <si>
    <t>2020-B-07-027</t>
  </si>
  <si>
    <t>NCMH-PB-Procurement of Systems and Solution CY 202</t>
  </si>
  <si>
    <t>2020-27-07-37</t>
  </si>
  <si>
    <t>20JG0088</t>
  </si>
  <si>
    <t>RFQ No. 2020-07-042</t>
  </si>
  <si>
    <t>mda129</t>
  </si>
  <si>
    <t>20JG0087</t>
  </si>
  <si>
    <t>20GFG0023</t>
  </si>
  <si>
    <t>SRAVIS 20-07-340</t>
  </si>
  <si>
    <t>2020-08-18-448PG</t>
  </si>
  <si>
    <t>GOODS-2020-69</t>
  </si>
  <si>
    <t>20GFG0024</t>
  </si>
  <si>
    <t>INFRA-2020-07-42</t>
  </si>
  <si>
    <t>G20-07-006</t>
  </si>
  <si>
    <t>BCS-2020-0227</t>
  </si>
  <si>
    <t>BLGU-PBD-Incarizan-2020-36</t>
  </si>
  <si>
    <t>bac-azds-20-07-021</t>
  </si>
  <si>
    <t>Quotation No. 20-07-0415</t>
  </si>
  <si>
    <t>G-123-20C</t>
  </si>
  <si>
    <t>AVRC-2020-07-0260</t>
  </si>
  <si>
    <t>AKLAN BAC ITB 211 SERIES 2020</t>
  </si>
  <si>
    <t>N20-07-005</t>
  </si>
  <si>
    <t>20-02</t>
  </si>
  <si>
    <t>ITB No. 2020-07-001</t>
  </si>
  <si>
    <t>20GKE0007 Lot1</t>
  </si>
  <si>
    <t>Quotation No. 20-07-0414</t>
  </si>
  <si>
    <t>BGH - 07 - 0125</t>
  </si>
  <si>
    <t>2020-07-23</t>
  </si>
  <si>
    <t>Quotation No. 20-07-0416</t>
  </si>
  <si>
    <t>2020-B-06-025</t>
  </si>
  <si>
    <t>ITB No. 2020-92</t>
  </si>
  <si>
    <t>Mkna-GSO-20-321</t>
  </si>
  <si>
    <t>BCS-2020-0228</t>
  </si>
  <si>
    <t>G20-07-007</t>
  </si>
  <si>
    <t>20GFG0022</t>
  </si>
  <si>
    <t>2020-03-0328 TDG</t>
  </si>
  <si>
    <t>AKLAN BAC ITB 390 SERIES 2020</t>
  </si>
  <si>
    <t>ITB No. (INF) 2020-07-106 BRGY. ROAD CONCRETING, B</t>
  </si>
  <si>
    <t>G-126-20</t>
  </si>
  <si>
    <t>2020-08-18-447PG</t>
  </si>
  <si>
    <t>RFQ-ETG-20-07-033</t>
  </si>
  <si>
    <t>B2 RAC 200-20-07-08701</t>
  </si>
  <si>
    <t>ITB No. 2020-93</t>
  </si>
  <si>
    <t>INFRA-2020-07-44</t>
  </si>
  <si>
    <t>PURCHASE REQUEST NO. 101-2020-07-158</t>
  </si>
  <si>
    <t>2020-0709-16Infra</t>
  </si>
  <si>
    <t>ITB-2020-REL-005 Re-Bid</t>
  </si>
  <si>
    <t>07272020</t>
  </si>
  <si>
    <t>GOODS-2020-07-14</t>
  </si>
  <si>
    <t>LGU-COR. 2020-034 (Re-bid)</t>
  </si>
  <si>
    <t>2020-016</t>
  </si>
  <si>
    <t>174636</t>
  </si>
  <si>
    <t>ITB NO. 2020-95</t>
  </si>
  <si>
    <t>ITB No. (INF) 2020-07-107 CONCRETING OF BARANGAY R</t>
  </si>
  <si>
    <t>INFRA-2020-07-43</t>
  </si>
  <si>
    <t>SRAVIS 20-07-342</t>
  </si>
  <si>
    <t>ITB-2020-REL-004 Re-Bid</t>
  </si>
  <si>
    <t>Mkna-GSO-20-322</t>
  </si>
  <si>
    <t>SRAVIS 20-07-341</t>
  </si>
  <si>
    <t>012</t>
  </si>
  <si>
    <t>004-07-2020</t>
  </si>
  <si>
    <t>B057-2020</t>
  </si>
  <si>
    <t>2020-07-145</t>
  </si>
  <si>
    <t>PR No. 2020-06-248</t>
  </si>
  <si>
    <t>300-20-07-0042</t>
  </si>
  <si>
    <t>ITB NO. 2020-94</t>
  </si>
  <si>
    <t>2020-0190-PR2020-0544</t>
  </si>
  <si>
    <t>B060-2020</t>
  </si>
  <si>
    <t>2020-0727</t>
  </si>
  <si>
    <t>20-07-076</t>
  </si>
  <si>
    <t>PROV-2020-02-GS</t>
  </si>
  <si>
    <t>B061-2020</t>
  </si>
  <si>
    <t>ITB NO. 2020-96</t>
  </si>
  <si>
    <t>AKLAN BAC ITB 406 SERIES 2020</t>
  </si>
  <si>
    <t>RFQ No. 20-07-175</t>
  </si>
  <si>
    <t>Bidding-01-Anaao-July2020</t>
  </si>
  <si>
    <t>20GKE0007 Lot2</t>
  </si>
  <si>
    <t>ITB No. 2020-98</t>
  </si>
  <si>
    <t>2020-G-005</t>
  </si>
  <si>
    <t>005-07-2020</t>
  </si>
  <si>
    <t>AKLAN BAC ITB 405 SERIES 2020</t>
  </si>
  <si>
    <t>ITBO5-GOODS-LIVELIHOOD|GAD</t>
  </si>
  <si>
    <t>20-07-075</t>
  </si>
  <si>
    <t>B064-2020</t>
  </si>
  <si>
    <t>080620-01a</t>
  </si>
  <si>
    <t>SRAVIS 20-07-346</t>
  </si>
  <si>
    <t>2020-0191-PR2020-0545</t>
  </si>
  <si>
    <t>080620-02a</t>
  </si>
  <si>
    <t>ITB 20-0057-A</t>
  </si>
  <si>
    <t>Infra-02</t>
  </si>
  <si>
    <t>B063-2020</t>
  </si>
  <si>
    <t>BARANGAY STA. CRUZ 8</t>
  </si>
  <si>
    <t>BPB 2020-023</t>
  </si>
  <si>
    <t>ITB-2020-03</t>
  </si>
  <si>
    <t>2020-0177-PR2020-0466 Rebid</t>
  </si>
  <si>
    <t>07272020F</t>
  </si>
  <si>
    <t>080620-04</t>
  </si>
  <si>
    <t>SOLANO 086-2020</t>
  </si>
  <si>
    <t>SRAVIS 20-07-348</t>
  </si>
  <si>
    <t>2020-INFRA-31A</t>
  </si>
  <si>
    <t>BAC-HO CS 2020-0471</t>
  </si>
  <si>
    <t>072720-76</t>
  </si>
  <si>
    <t>ITB No. 2020-97</t>
  </si>
  <si>
    <t>PURCHASE REQUEST NO. 101-2020-07-164</t>
  </si>
  <si>
    <t>2020-121</t>
  </si>
  <si>
    <t>G060-20</t>
  </si>
  <si>
    <t>PR#100-20-07-077</t>
  </si>
  <si>
    <t>ITB 20-0073</t>
  </si>
  <si>
    <t>G380-20</t>
  </si>
  <si>
    <t>Alaminos City</t>
  </si>
  <si>
    <t>033-2020</t>
  </si>
  <si>
    <t>2020-091</t>
  </si>
  <si>
    <t>080620-07</t>
  </si>
  <si>
    <t>ITB 20-0074</t>
  </si>
  <si>
    <t>07272020G</t>
  </si>
  <si>
    <t>SAYON GOODS 20-01</t>
  </si>
  <si>
    <t>ITB 20-0075</t>
  </si>
  <si>
    <t>080620-06a</t>
  </si>
  <si>
    <t>2020-02-0130, 2020-06-0564, 2020-06-0598, 2020-01-</t>
  </si>
  <si>
    <t>PPSC BAC IB NO.011 (G/I) 2020</t>
  </si>
  <si>
    <t>SKSIRENE20-001</t>
  </si>
  <si>
    <t>DTI8.REGRO.20-07099</t>
  </si>
  <si>
    <t>101-2020-07-397</t>
  </si>
  <si>
    <t>20-07-1025-EXE</t>
  </si>
  <si>
    <t>SV-0832-2020</t>
  </si>
  <si>
    <t>G370-20</t>
  </si>
  <si>
    <t>072720-78</t>
  </si>
  <si>
    <t>2020-07-G005</t>
  </si>
  <si>
    <t>ITB No. (INF) 2020-07-109 CONCRETING OF BARANGAY 7</t>
  </si>
  <si>
    <t>2020 Caib 127</t>
  </si>
  <si>
    <t>2020-02-0130</t>
  </si>
  <si>
    <t>BAC-PGCS-009-2020</t>
  </si>
  <si>
    <t>PPSC BAC IB NO.012 (G) 2020</t>
  </si>
  <si>
    <t>Maintroad2020-0727-1</t>
  </si>
  <si>
    <t>388548474</t>
  </si>
  <si>
    <t>G315-20</t>
  </si>
  <si>
    <t>PR No. 2020-07-002</t>
  </si>
  <si>
    <t>G381-20</t>
  </si>
  <si>
    <t>ITB 20-089</t>
  </si>
  <si>
    <t>2020-7-0010</t>
  </si>
  <si>
    <t>SVP 20-0890</t>
  </si>
  <si>
    <t>SN-2020-07-03</t>
  </si>
  <si>
    <t>B066-2020</t>
  </si>
  <si>
    <t>2020-06-0542, 2020-02-0145, 2020-06-0553</t>
  </si>
  <si>
    <t>2020-INFRA-14C</t>
  </si>
  <si>
    <t>101-2020-07-403</t>
  </si>
  <si>
    <t>2020-02-0095, 2020-02-0096, 2020-02-0200, . 2020-0</t>
  </si>
  <si>
    <t>07-2020</t>
  </si>
  <si>
    <t>SVP 20-0883</t>
  </si>
  <si>
    <t>2019-01</t>
  </si>
  <si>
    <t>LDRMMO-2020-07-401</t>
  </si>
  <si>
    <t>2020-01-0029, 2020-02-0178, 2020-02-0168, 2020-02-</t>
  </si>
  <si>
    <t>ITB-20-06097</t>
  </si>
  <si>
    <t>BPRN2020-001</t>
  </si>
  <si>
    <t>NCB Publication No. 2020- 24</t>
  </si>
  <si>
    <t>2020-GOODS-24A</t>
  </si>
  <si>
    <t>010-2020</t>
  </si>
  <si>
    <t>IB NO. PB-2020-07-24</t>
  </si>
  <si>
    <t>Barangay POLO-2020-07-001</t>
  </si>
  <si>
    <t>2020-092</t>
  </si>
  <si>
    <t>T/F-2020-06-350,351,355,357,358</t>
  </si>
  <si>
    <t>SKSIRENE20-002</t>
  </si>
  <si>
    <t>20-07-1026-GSO</t>
  </si>
  <si>
    <t>20HB0171</t>
  </si>
  <si>
    <t>2020-INFRA-1B</t>
  </si>
  <si>
    <t>blgumabini-2019</t>
  </si>
  <si>
    <t>G382-20</t>
  </si>
  <si>
    <t>20HB0170</t>
  </si>
  <si>
    <t>20-027</t>
  </si>
  <si>
    <t>20GLB0072</t>
  </si>
  <si>
    <t>ITB No. (INF) 2020-07-108 CONCRETING OF BARANGAY R</t>
  </si>
  <si>
    <t>B067-2020</t>
  </si>
  <si>
    <t>2020-06-344</t>
  </si>
  <si>
    <t>20-01-048</t>
  </si>
  <si>
    <t>20LB0298</t>
  </si>
  <si>
    <t>ITB 2020-28</t>
  </si>
  <si>
    <t>2020-06-342</t>
  </si>
  <si>
    <t>HCC2020015</t>
  </si>
  <si>
    <t>LDRRMO-2020-07-400</t>
  </si>
  <si>
    <t>20LB0315</t>
  </si>
  <si>
    <t>2020-0625-40G</t>
  </si>
  <si>
    <t>20K00356</t>
  </si>
  <si>
    <t>20LB0314</t>
  </si>
  <si>
    <t>SVP 20-0876</t>
  </si>
  <si>
    <t>2020-06-339</t>
  </si>
  <si>
    <t>2020-INFRA-34</t>
  </si>
  <si>
    <t>01-2020-006B</t>
  </si>
  <si>
    <t>20K00355</t>
  </si>
  <si>
    <t>SVP 20-0891</t>
  </si>
  <si>
    <t>015-2020</t>
  </si>
  <si>
    <t>DOC1</t>
  </si>
  <si>
    <t>2020-06-337</t>
  </si>
  <si>
    <t>20GIB0037</t>
  </si>
  <si>
    <t>20LB0308</t>
  </si>
  <si>
    <t>100(08-06-2020)</t>
  </si>
  <si>
    <t>2020-0717-43G</t>
  </si>
  <si>
    <t>20LB0322</t>
  </si>
  <si>
    <t>080620-05</t>
  </si>
  <si>
    <t>2020-06-0597, 2020-02-0122</t>
  </si>
  <si>
    <t>NCB Publication No. 2020- 25</t>
  </si>
  <si>
    <t>DOC3</t>
  </si>
  <si>
    <t>20-06-056</t>
  </si>
  <si>
    <t>CID NO. 20IF0108 (READV)</t>
  </si>
  <si>
    <t>ppn-135-2020</t>
  </si>
  <si>
    <t>MGCP-20I-603A</t>
  </si>
  <si>
    <t>24-20</t>
  </si>
  <si>
    <t>ITB NO.: INFRA 2020-07-004</t>
  </si>
  <si>
    <t>MBC 200-20-07-08692</t>
  </si>
  <si>
    <t>IB No 2020-002</t>
  </si>
  <si>
    <t>DOC2</t>
  </si>
  <si>
    <t>20G00106</t>
  </si>
  <si>
    <t>2020-06-340</t>
  </si>
  <si>
    <t>ITB No. 2020-25</t>
  </si>
  <si>
    <t>20G00105</t>
  </si>
  <si>
    <t>2020-07-PR048</t>
  </si>
  <si>
    <t>25-20</t>
  </si>
  <si>
    <t>PRRI-2020-039</t>
  </si>
  <si>
    <t>20PG0045</t>
  </si>
  <si>
    <t>ITB-20-07021</t>
  </si>
  <si>
    <t>DOC4</t>
  </si>
  <si>
    <t>PR-2020-1285</t>
  </si>
  <si>
    <t>AKLAN BAC ITB 407 SERIES 2020</t>
  </si>
  <si>
    <t xml:space="preserve">NCB Publication No. 2020- 26 (First Publication)- </t>
  </si>
  <si>
    <t>IB No 2020-003</t>
  </si>
  <si>
    <t>infra2020-5</t>
  </si>
  <si>
    <t>2020-07-0057-repost</t>
  </si>
  <si>
    <t>ITB No. 2020-102</t>
  </si>
  <si>
    <t>20G00109</t>
  </si>
  <si>
    <t>2020-06-348</t>
  </si>
  <si>
    <t>19CSK00055</t>
  </si>
  <si>
    <t>20G00108</t>
  </si>
  <si>
    <t>G2020-07-03</t>
  </si>
  <si>
    <t>ITB No. 2020-101</t>
  </si>
  <si>
    <t>23-20 cw</t>
  </si>
  <si>
    <t>ITB No. 2020-100</t>
  </si>
  <si>
    <t>SVP 20-0875</t>
  </si>
  <si>
    <t>20LB0318</t>
  </si>
  <si>
    <t>19CSK00054</t>
  </si>
  <si>
    <t>409TH CO-GHQ &amp; HSC-RMBD-170-20</t>
  </si>
  <si>
    <t>PR No. 2020-07-0220</t>
  </si>
  <si>
    <t>CDC 56-07-2020</t>
  </si>
  <si>
    <t>06-2020</t>
  </si>
  <si>
    <t>SRAVIS 20-07-347</t>
  </si>
  <si>
    <t>RFQ-01-Anaao2020</t>
  </si>
  <si>
    <t>SOLANO 087-2020</t>
  </si>
  <si>
    <t>ITB No. 2020-99</t>
  </si>
  <si>
    <t>B062-2020</t>
  </si>
  <si>
    <t>2020-INFRA-30A</t>
  </si>
  <si>
    <t>080620-03a</t>
  </si>
  <si>
    <t>20HB0172</t>
  </si>
  <si>
    <t>B058-2020</t>
  </si>
  <si>
    <t>2020-INFRA-27A</t>
  </si>
  <si>
    <t>2020-07-24</t>
  </si>
  <si>
    <t>20G00107</t>
  </si>
  <si>
    <t>TAYSAN2020-084</t>
  </si>
  <si>
    <t>2020-INFRA-012</t>
  </si>
  <si>
    <t>20053369</t>
  </si>
  <si>
    <t>ASTGOODS25</t>
  </si>
  <si>
    <t>B059-2020</t>
  </si>
  <si>
    <t>brgy.zone 1</t>
  </si>
  <si>
    <t>AKLAN BAC ITB 410 SERIES 2020</t>
  </si>
  <si>
    <t>2020-INFRA-7E</t>
  </si>
  <si>
    <t>PRN 052</t>
  </si>
  <si>
    <t>02-157-2020</t>
  </si>
  <si>
    <t>BLGU-PBD-Tula TUla Norte-2020-37</t>
  </si>
  <si>
    <t>DOC6</t>
  </si>
  <si>
    <t>100-5%(08-06-2020)</t>
  </si>
  <si>
    <t>20053370</t>
  </si>
  <si>
    <t>AKLAN BAC ITB 408 SERIES 2020</t>
  </si>
  <si>
    <t>BA 2020-09</t>
  </si>
  <si>
    <t>ITB No. 2020-103</t>
  </si>
  <si>
    <t>DOC7</t>
  </si>
  <si>
    <t>2020-07-088</t>
  </si>
  <si>
    <t>AKLAN BAC ITB 404 SERIES 2020</t>
  </si>
  <si>
    <t>AVRC-2020-07-0182</t>
  </si>
  <si>
    <t>20DG0044</t>
  </si>
  <si>
    <t>04-20 la</t>
  </si>
  <si>
    <t>Supply and Delivery of Remote Sensing Software Lic</t>
  </si>
  <si>
    <t>20-07-261</t>
  </si>
  <si>
    <t>BMC-N-20-277</t>
  </si>
  <si>
    <t>2020-07-28-445PG</t>
  </si>
  <si>
    <t>2020-08-18-058CW</t>
  </si>
  <si>
    <t>PB-GE1-2020-25</t>
  </si>
  <si>
    <t>B-045-2020</t>
  </si>
  <si>
    <t>B-044-2020</t>
  </si>
  <si>
    <t>DOC5</t>
  </si>
  <si>
    <t>20PG0063</t>
  </si>
  <si>
    <t>PRN 024</t>
  </si>
  <si>
    <t>brgy.kilim20</t>
  </si>
  <si>
    <t>B-043-2020</t>
  </si>
  <si>
    <t>NCB Publication No. 2020- 27</t>
  </si>
  <si>
    <t>PGSO 300-20-01-00299</t>
  </si>
  <si>
    <t>PRN 2020-027</t>
  </si>
  <si>
    <t>20K00270</t>
  </si>
  <si>
    <t>OM-220-L-2020</t>
  </si>
  <si>
    <t>20-07-41</t>
  </si>
  <si>
    <t>ASTGOODS26</t>
  </si>
  <si>
    <t>2020-08-18-059CW</t>
  </si>
  <si>
    <t>2020-PB-042</t>
  </si>
  <si>
    <t>AKLAN BAC ITB 304 SERIES 2020</t>
  </si>
  <si>
    <t>20IF0109(READV)</t>
  </si>
  <si>
    <t>LSPU2020-G02</t>
  </si>
  <si>
    <t>2020-023J</t>
  </si>
  <si>
    <t>2020-G-BRGY. TANAGAN</t>
  </si>
  <si>
    <t>PSB-2019-0167</t>
  </si>
  <si>
    <t>20K00354</t>
  </si>
  <si>
    <t>2020-06-080(07308603)</t>
  </si>
  <si>
    <t>46-2020</t>
  </si>
  <si>
    <t>20H00081</t>
  </si>
  <si>
    <t>2020-45</t>
  </si>
  <si>
    <t>GOODS-62-2020</t>
  </si>
  <si>
    <t>SB4 ASA 300-20-05-05805</t>
  </si>
  <si>
    <t>2020-27-07-008MLUC</t>
  </si>
  <si>
    <t>ITB No. 2020-104</t>
  </si>
  <si>
    <t>2020-07-089</t>
  </si>
  <si>
    <t>PB20-07-004BAC LOT 2</t>
  </si>
  <si>
    <t>BLGUBALLUYAN-CW-2020-003</t>
  </si>
  <si>
    <t>20HD0097</t>
  </si>
  <si>
    <t>PB20-07-004BAC LOT 1</t>
  </si>
  <si>
    <t>100-18(08-06-2020)</t>
  </si>
  <si>
    <t>07-20-004</t>
  </si>
  <si>
    <t>009-2020-G</t>
  </si>
  <si>
    <t>20-07-43</t>
  </si>
  <si>
    <t>20-07-42</t>
  </si>
  <si>
    <t>BCS-2020-0229</t>
  </si>
  <si>
    <t>ITB No. 2020-105</t>
  </si>
  <si>
    <t>22-20</t>
  </si>
  <si>
    <t>2020-07-026</t>
  </si>
  <si>
    <t>BAC GS No. 2020-183/DGS PR No. 2000005511</t>
  </si>
  <si>
    <t>2020-12-05-003SRDI</t>
  </si>
  <si>
    <t>0720-017</t>
  </si>
  <si>
    <t>100(08-06-2020)2</t>
  </si>
  <si>
    <t>2020-PBGOODS-07-013</t>
  </si>
  <si>
    <t>BLGU-PBD-Cawit Extension-2020-38</t>
  </si>
  <si>
    <t>20-256</t>
  </si>
  <si>
    <t>01045</t>
  </si>
  <si>
    <t>PSO-VIS-SIC-004-20</t>
  </si>
  <si>
    <t>18-2020</t>
  </si>
  <si>
    <t>2020-333</t>
  </si>
  <si>
    <t>C-012-20</t>
  </si>
  <si>
    <t>PSO-VIS-SIC-003-20</t>
  </si>
  <si>
    <t>PB20-07-004BAC LOT 3</t>
  </si>
  <si>
    <t>Bid No. 20-0365</t>
  </si>
  <si>
    <t>20CSDI03</t>
  </si>
  <si>
    <t>2020-PB-044</t>
  </si>
  <si>
    <t>20 – 0029 – S</t>
  </si>
  <si>
    <t>BCS-2020-0231</t>
  </si>
  <si>
    <t>2020-351</t>
  </si>
  <si>
    <t>barangay danao 2020-01</t>
  </si>
  <si>
    <t>PR NO. 202007031</t>
  </si>
  <si>
    <t>ITB PR 0541</t>
  </si>
  <si>
    <t>20CSDI02</t>
  </si>
  <si>
    <t>BCS-2020-0230</t>
  </si>
  <si>
    <t>20CI0106</t>
  </si>
  <si>
    <t>GOODS-2020-145</t>
  </si>
  <si>
    <t>2020-02-INFRA-JULY-09</t>
  </si>
  <si>
    <t>INFR-033-2020</t>
  </si>
  <si>
    <t>2020-201</t>
  </si>
  <si>
    <t>03-261-2020</t>
  </si>
  <si>
    <t>20-0003</t>
  </si>
  <si>
    <t>07-20-005</t>
  </si>
  <si>
    <t>2020-PB-045</t>
  </si>
  <si>
    <t>SUBM#2020 -08 - 02</t>
  </si>
  <si>
    <t>2020-037 RHU Phase II</t>
  </si>
  <si>
    <t>brgy.bidlinan</t>
  </si>
  <si>
    <t>01616</t>
  </si>
  <si>
    <t>20 – 0033 – S</t>
  </si>
  <si>
    <t>2020-07-046</t>
  </si>
  <si>
    <t>07-28-2020-01</t>
  </si>
  <si>
    <t>20 – 0032– S</t>
  </si>
  <si>
    <t>01620</t>
  </si>
  <si>
    <t>SUC 2020-02-017</t>
  </si>
  <si>
    <t>PPSC BAC IB NO.013 (G) 2020</t>
  </si>
  <si>
    <t>20-07-38A</t>
  </si>
  <si>
    <t>20 – 0034 – S</t>
  </si>
  <si>
    <t>2020-12-05-002SRDI</t>
  </si>
  <si>
    <t>IB No. 2020-039</t>
  </si>
  <si>
    <t>100(08-06-2020)1</t>
  </si>
  <si>
    <t>20 – 0030 – S</t>
  </si>
  <si>
    <t>07-28-2020-05</t>
  </si>
  <si>
    <t>07-28-2020-02</t>
  </si>
  <si>
    <t>20 – 0037 – S</t>
  </si>
  <si>
    <t>2020C -19-818</t>
  </si>
  <si>
    <t>20 – 0036 – S</t>
  </si>
  <si>
    <t>2020-ODY-07-238</t>
  </si>
  <si>
    <t>07-28-2020-03</t>
  </si>
  <si>
    <t>20 – 0031 – S</t>
  </si>
  <si>
    <t>SUBM#2020 -08 - 03</t>
  </si>
  <si>
    <t>2020-ODY-07-237</t>
  </si>
  <si>
    <t>20CSDI04</t>
  </si>
  <si>
    <t>20KL0142 - CONSTRUCTION OF MULTI-PURPOSE BUILDING-</t>
  </si>
  <si>
    <t>100-202007-01042</t>
  </si>
  <si>
    <t>BLGUNORTE-CW-2020-002</t>
  </si>
  <si>
    <t>200-202007-00045</t>
  </si>
  <si>
    <t>2020-PB-043</t>
  </si>
  <si>
    <t>2020-038 Storage and Parking Area Phase II</t>
  </si>
  <si>
    <t>101-020-007-079</t>
  </si>
  <si>
    <t>019-2020</t>
  </si>
  <si>
    <t>07-28-2020-04</t>
  </si>
  <si>
    <t>2020-02-INFRA-JULY-11</t>
  </si>
  <si>
    <t>BLGU Bagong Silang 2020-07-015</t>
  </si>
  <si>
    <t>CW-07-2020</t>
  </si>
  <si>
    <t>20% SSIID-2018</t>
  </si>
  <si>
    <t>07-28-2020-08</t>
  </si>
  <si>
    <t>2020-02-INFRA-JULY-10</t>
  </si>
  <si>
    <t>2020-AP-07-31</t>
  </si>
  <si>
    <t>CW-08-2020</t>
  </si>
  <si>
    <t>GOODS-2020-146</t>
  </si>
  <si>
    <t>07-28-2020-07</t>
  </si>
  <si>
    <t>07-28-2020-06</t>
  </si>
  <si>
    <t>SF-CW-LGSF-FA-2020-15</t>
  </si>
  <si>
    <t>GOODS 2020-01-001-(2.0)</t>
  </si>
  <si>
    <t>SUBM#2020 -08 - 04</t>
  </si>
  <si>
    <t>GOODS-01-2020</t>
  </si>
  <si>
    <t>OPA-2019-1645</t>
  </si>
  <si>
    <t>ITB 20-07-002</t>
  </si>
  <si>
    <t>20-07-0249</t>
  </si>
  <si>
    <t>2020-PB-046</t>
  </si>
  <si>
    <t>2020-028-PB</t>
  </si>
  <si>
    <t>PR-2020-03-071</t>
  </si>
  <si>
    <t>MOOE DA-7</t>
  </si>
  <si>
    <t>2020G - 020-818</t>
  </si>
  <si>
    <t>GOODS-2020-147</t>
  </si>
  <si>
    <t>BOD20-130</t>
  </si>
  <si>
    <t>BLGU Bagong Silang 2020-07-016</t>
  </si>
  <si>
    <t>2020-02-INFRA-JULY-12</t>
  </si>
  <si>
    <t>07-28-2020-10</t>
  </si>
  <si>
    <t>DA7-07-AMAD-20-3020</t>
  </si>
  <si>
    <t>GOODS-2020-149</t>
  </si>
  <si>
    <t>20NE0097</t>
  </si>
  <si>
    <t>TAYSAN2020-085</t>
  </si>
  <si>
    <t>2020G - 20-818</t>
  </si>
  <si>
    <t>20200727</t>
  </si>
  <si>
    <t>INFR-034-2020</t>
  </si>
  <si>
    <t>7/24/2020</t>
  </si>
  <si>
    <t>BAC2019-18A</t>
  </si>
  <si>
    <t>2020-07-035</t>
  </si>
  <si>
    <t>BAC2020-24</t>
  </si>
  <si>
    <t>G-2020-23</t>
  </si>
  <si>
    <t>PR-2020-03-060</t>
  </si>
  <si>
    <t>07-05-2020</t>
  </si>
  <si>
    <t>388548476</t>
  </si>
  <si>
    <t>INFRA 2020-014</t>
  </si>
  <si>
    <t>ITB 2020-001 ROAD NETWORKS</t>
  </si>
  <si>
    <t>20-06-0230-B</t>
  </si>
  <si>
    <t>B2020-098-A</t>
  </si>
  <si>
    <t>GOODS-2020-150</t>
  </si>
  <si>
    <t>PCDP-2020-07-0283</t>
  </si>
  <si>
    <t>GOODS-2020-148</t>
  </si>
  <si>
    <t>20-07-0259</t>
  </si>
  <si>
    <t>07-28-2020-09</t>
  </si>
  <si>
    <t>CW-06-2020</t>
  </si>
  <si>
    <t>BTA-BAC 002</t>
  </si>
  <si>
    <t>sfbac2020-RHU I-07.27</t>
  </si>
  <si>
    <t>2020-7-0009</t>
  </si>
  <si>
    <t>20CG0254</t>
  </si>
  <si>
    <t>blgupoblacion-2019</t>
  </si>
  <si>
    <t>20CG256</t>
  </si>
  <si>
    <t>2020-0029</t>
  </si>
  <si>
    <t>20CG0255</t>
  </si>
  <si>
    <t>BAC-BLGU-DEL MONTE TADS-2020-04</t>
  </si>
  <si>
    <t>2020-06-43</t>
  </si>
  <si>
    <t>20CG0253</t>
  </si>
  <si>
    <t>07-004-20</t>
  </si>
  <si>
    <t>20CG0252</t>
  </si>
  <si>
    <t>NHAXII-2020-073</t>
  </si>
  <si>
    <t>2020031</t>
  </si>
  <si>
    <t>BAC-BLGU- TADS-2020-03</t>
  </si>
  <si>
    <t>PNU2020-0065</t>
  </si>
  <si>
    <t>DepEd.Pang2 2020-07-0001</t>
  </si>
  <si>
    <t>2020-0030</t>
  </si>
  <si>
    <t>20CG0250</t>
  </si>
  <si>
    <t>20-07-27-001</t>
  </si>
  <si>
    <t>Supply and Installation of Closed-Circuit Televisi</t>
  </si>
  <si>
    <t>ITB-2020-075</t>
  </si>
  <si>
    <t>G2020-07-04</t>
  </si>
  <si>
    <t>M6-20-1587</t>
  </si>
  <si>
    <t>20CG0251</t>
  </si>
  <si>
    <t>PCA-2020-02-006</t>
  </si>
  <si>
    <t>2020-0224</t>
  </si>
  <si>
    <t>Canramos-2020-07-001</t>
  </si>
  <si>
    <t>2020-0034</t>
  </si>
  <si>
    <t>sal-2020-005</t>
  </si>
  <si>
    <t>2020-0032</t>
  </si>
  <si>
    <t>20CG0258</t>
  </si>
  <si>
    <t>2020-0222</t>
  </si>
  <si>
    <t>2020-06-13</t>
  </si>
  <si>
    <t>2020-0033</t>
  </si>
  <si>
    <t>PNU2020-0063</t>
  </si>
  <si>
    <t>G36-2020</t>
  </si>
  <si>
    <t>INFR-035-2020</t>
  </si>
  <si>
    <t>2020-003-A</t>
  </si>
  <si>
    <t>2020-0223</t>
  </si>
  <si>
    <t>SF INFRA 2020-07</t>
  </si>
  <si>
    <t>2020-0031</t>
  </si>
  <si>
    <t>07-003-20</t>
  </si>
  <si>
    <t>20CG257</t>
  </si>
  <si>
    <t>20% ESIVD.3-2020</t>
  </si>
  <si>
    <t>PB 2020-046</t>
  </si>
  <si>
    <t>LGU GUA 25-20</t>
  </si>
  <si>
    <t>QNV-011-2020</t>
  </si>
  <si>
    <t>2020-051</t>
  </si>
  <si>
    <t>QNV-025-2020</t>
  </si>
  <si>
    <t>LGU GUA 24-20</t>
  </si>
  <si>
    <t>SF-G-DF-2020-17</t>
  </si>
  <si>
    <t>SF-G-DF-2020-16</t>
  </si>
  <si>
    <t>QNV-012</t>
  </si>
  <si>
    <t>LGU GUA 26-20</t>
  </si>
  <si>
    <t>PEO SB2-1-07-04-010-2019</t>
  </si>
  <si>
    <t>Goods 2020-01</t>
  </si>
  <si>
    <t>101-2020-06-162-050</t>
  </si>
  <si>
    <t>Infra 2020-01</t>
  </si>
  <si>
    <t>101-2020-07-197-051</t>
  </si>
  <si>
    <t>LGU GUA 31-20</t>
  </si>
  <si>
    <t>LGU GUA 29-20</t>
  </si>
  <si>
    <t>BACTGOODS202007005</t>
  </si>
  <si>
    <t>2020-06-0056-repost</t>
  </si>
  <si>
    <t>PEO SB 2-2016</t>
  </si>
  <si>
    <t>401-2020-06-20-049</t>
  </si>
  <si>
    <t>Infra 2020-05</t>
  </si>
  <si>
    <t>Infra 2020-04</t>
  </si>
  <si>
    <t>20% ESIVA.3-2020</t>
  </si>
  <si>
    <t>172310</t>
  </si>
  <si>
    <t>LGU GUA 28-20</t>
  </si>
  <si>
    <t>4-081820</t>
  </si>
  <si>
    <t>LGU GUA 30-20</t>
  </si>
  <si>
    <t>2020-PBINFRA-07-007</t>
  </si>
  <si>
    <t>2020-06-0001</t>
  </si>
  <si>
    <t>502020a</t>
  </si>
  <si>
    <t>45-2020</t>
  </si>
  <si>
    <t>492020a</t>
  </si>
  <si>
    <t>482020a</t>
  </si>
  <si>
    <t>39-2020</t>
  </si>
  <si>
    <t>1-081820</t>
  </si>
  <si>
    <t>43-220</t>
  </si>
  <si>
    <t>Infra 2020-06</t>
  </si>
  <si>
    <t>Infra 2020-07</t>
  </si>
  <si>
    <t>20FG0102</t>
  </si>
  <si>
    <t>Infra 2020-03</t>
  </si>
  <si>
    <t>46 2020a</t>
  </si>
  <si>
    <t>6-8-20-ID9</t>
  </si>
  <si>
    <t>QNV-029-2020</t>
  </si>
  <si>
    <t>100-2020-0988</t>
  </si>
  <si>
    <t>GHQBAC1-PB-020-GHQ-20</t>
  </si>
  <si>
    <t>20% ESIVB.10-2020</t>
  </si>
  <si>
    <t>2020-GOODS-28</t>
  </si>
  <si>
    <t>ROSAL 0397-2020</t>
  </si>
  <si>
    <t>DA7-08-FOD-C-20-2905</t>
  </si>
  <si>
    <t>2020-GOODS-27</t>
  </si>
  <si>
    <t>100-2020-0943</t>
  </si>
  <si>
    <t>DA7-08-FOD-C-20-2903</t>
  </si>
  <si>
    <t>ROSAL 0398-2020</t>
  </si>
  <si>
    <t>DA7-08-FOD-C-20-2902</t>
  </si>
  <si>
    <t>3-081820</t>
  </si>
  <si>
    <t>ITB No. 098-Goods-2020</t>
  </si>
  <si>
    <t>ITB No. 099-Goods-2020</t>
  </si>
  <si>
    <t>006-s 2020 SARA LGU</t>
  </si>
  <si>
    <t>ITB No. 097-Infra-2020</t>
  </si>
  <si>
    <t>ITB No. 095-Brgy-2020</t>
  </si>
  <si>
    <t>LGU GUA 23-20</t>
  </si>
  <si>
    <t>Supply and Delivery various Agricultural Inputs fo</t>
  </si>
  <si>
    <t>5-081820</t>
  </si>
  <si>
    <t>ITB No. 096-Brgy-2020</t>
  </si>
  <si>
    <t>20-07-591</t>
  </si>
  <si>
    <t>G37-2020</t>
  </si>
  <si>
    <t>300-20-07-065</t>
  </si>
  <si>
    <t>300-20-07-063</t>
  </si>
  <si>
    <t>LGU GUA 27-20</t>
  </si>
  <si>
    <t>100-20-07-913</t>
  </si>
  <si>
    <t>300-20-07-064</t>
  </si>
  <si>
    <t>472020a</t>
  </si>
  <si>
    <t>20CSFE03</t>
  </si>
  <si>
    <t>17202007068</t>
  </si>
  <si>
    <t>IB NO. CW 2020 - 119</t>
  </si>
  <si>
    <t>IB NO. CW 2020 - 118</t>
  </si>
  <si>
    <t>IB NO. CW 2020 - 117</t>
  </si>
  <si>
    <t>2020-07-028</t>
  </si>
  <si>
    <t>IB NO. CW 2020-106A</t>
  </si>
  <si>
    <t>IB NO. CW 2020 - 121</t>
  </si>
  <si>
    <t>20GGK0008</t>
  </si>
  <si>
    <t>20GGK0007</t>
  </si>
  <si>
    <t>IB NO. CW 2020 - 120</t>
  </si>
  <si>
    <t>IB NO. CW 2020 - 114</t>
  </si>
  <si>
    <t>2020-INFRA-25</t>
  </si>
  <si>
    <t>BAC PB 2020-20</t>
  </si>
  <si>
    <t>BAC PBP 2020-19</t>
  </si>
  <si>
    <t>100-20-07-909</t>
  </si>
  <si>
    <t>2020-GOODS-6B</t>
  </si>
  <si>
    <t>100-20-06-788</t>
  </si>
  <si>
    <t>Goods 2020-010</t>
  </si>
  <si>
    <t>100-20-07-910</t>
  </si>
  <si>
    <t>2020-0715-17Infra</t>
  </si>
  <si>
    <t>2020-0630-15Infra</t>
  </si>
  <si>
    <t>IB NO. CW 2020 - 122</t>
  </si>
  <si>
    <t>Q22020</t>
  </si>
  <si>
    <t>IB NO. CW 2020 - 116</t>
  </si>
  <si>
    <t>INFRA-PB-2020-015</t>
  </si>
  <si>
    <t>26dambuk20</t>
  </si>
  <si>
    <t>CWD 33-2020</t>
  </si>
  <si>
    <t>IB NO. CW 2020 - 115</t>
  </si>
  <si>
    <t>IB-2020-019-GOODS-OSEG-TDO</t>
  </si>
  <si>
    <t>ITB 070-2020</t>
  </si>
  <si>
    <t>2020-GD-07-04</t>
  </si>
  <si>
    <t>20CSIB10</t>
  </si>
  <si>
    <t>GHQBAC1-PB-009-GHQ-20</t>
  </si>
  <si>
    <t>EAMJULY21-2020(2)</t>
  </si>
  <si>
    <t>100-20-07-912</t>
  </si>
  <si>
    <t>2020-CW-021</t>
  </si>
  <si>
    <t>20-0055 (re-bid)</t>
  </si>
  <si>
    <t>GOODS2020-08-002</t>
  </si>
  <si>
    <t>GOODS2020-08-001</t>
  </si>
  <si>
    <t>CWD 34-2020</t>
  </si>
  <si>
    <t>PB20-02-026CORa-07</t>
  </si>
  <si>
    <t>INFRA-PB-2020-017</t>
  </si>
  <si>
    <t>INFRA-PB-2020-016</t>
  </si>
  <si>
    <t>IB-2020-018-GOODS-WB</t>
  </si>
  <si>
    <t>FB20-07-010CORa</t>
  </si>
  <si>
    <t>7-20-30</t>
  </si>
  <si>
    <t>PR NO. 20-07-005</t>
  </si>
  <si>
    <t>2020-GOODS-012-01-0727Rep</t>
  </si>
  <si>
    <t>ITB#-001,PR#24-07-2020</t>
  </si>
  <si>
    <t>5021304001-870-20</t>
  </si>
  <si>
    <t>IB-2020-017-GOODS-WB</t>
  </si>
  <si>
    <t>CONTRACT ID #: 19-11-219 2ND REBID</t>
  </si>
  <si>
    <t>CONTRACT ID # 20-07-101</t>
  </si>
  <si>
    <t>CONTRACT ID # 20-07-100</t>
  </si>
  <si>
    <t>GA-BAC-2020-IP-03</t>
  </si>
  <si>
    <t>POW - 8751 - 2020 - BNG - 02</t>
  </si>
  <si>
    <t>INFRA-PB-2020-018</t>
  </si>
  <si>
    <t>2020-000003</t>
  </si>
  <si>
    <t>20GKI0043</t>
  </si>
  <si>
    <t>20GKI0039</t>
  </si>
  <si>
    <t>20GKI0041</t>
  </si>
  <si>
    <t>03-2020</t>
  </si>
  <si>
    <t>BUE-07242020-01</t>
  </si>
  <si>
    <t>20GKI0038</t>
  </si>
  <si>
    <t>20GKI0035</t>
  </si>
  <si>
    <t>20GKI0036</t>
  </si>
  <si>
    <t>20GKI0042</t>
  </si>
  <si>
    <t>001 CLS-BACBITB</t>
  </si>
  <si>
    <t>20GKI0037</t>
  </si>
  <si>
    <t>27-2020</t>
  </si>
  <si>
    <t>sj 2020 b aug 008</t>
  </si>
  <si>
    <t>20KI0098</t>
  </si>
  <si>
    <t>CONTRACT ID # 19-10-197 2ND REBID</t>
  </si>
  <si>
    <t>2020-B58A-01</t>
  </si>
  <si>
    <t>sj 2020 b aug 006</t>
  </si>
  <si>
    <t>sj 2020 b aug 005</t>
  </si>
  <si>
    <t>sj 2020 b aug 007</t>
  </si>
  <si>
    <t>ITB No. 2020-07-037</t>
  </si>
  <si>
    <t>20-11 GOODS</t>
  </si>
  <si>
    <t>sj 2020 b aug 004</t>
  </si>
  <si>
    <t>CONTRACT ID #: 20-07-104</t>
  </si>
  <si>
    <t>Infra GF 04-2020</t>
  </si>
  <si>
    <t>sj 2020 b aug 003</t>
  </si>
  <si>
    <t>sj 2020 b aug 001</t>
  </si>
  <si>
    <t>CONTRACT ID # 20-07-103</t>
  </si>
  <si>
    <t>sj 2020 b aug 002</t>
  </si>
  <si>
    <t>Goods-06-2020; 2nd Posting</t>
  </si>
  <si>
    <t>Infra Projects 19-2020</t>
  </si>
  <si>
    <t>531-07-2020 (DEP-ED)</t>
  </si>
  <si>
    <t>CW-365-2020</t>
  </si>
  <si>
    <t>Goods-10-2020</t>
  </si>
  <si>
    <t>ITB No. 0102-Infra-2020</t>
  </si>
  <si>
    <t>ITB 2020-07-003</t>
  </si>
  <si>
    <t>PB GOODS 20-001</t>
  </si>
  <si>
    <t>ITB 2020-07-002</t>
  </si>
  <si>
    <t>ITB-2020-JDL-015</t>
  </si>
  <si>
    <t>ITB No. 0101-Infra-2020</t>
  </si>
  <si>
    <t>ITB No. 0100-Goods-2020</t>
  </si>
  <si>
    <t>ITB NO. 25-2020</t>
  </si>
  <si>
    <t>2020-07-345-RFQ</t>
  </si>
  <si>
    <t>2020-07-346-RFQ</t>
  </si>
  <si>
    <t>CONTRACT ID #: 20-07-107</t>
  </si>
  <si>
    <t>CONTRACT ID # 20-07-102</t>
  </si>
  <si>
    <t>sj 2020 b aug 009</t>
  </si>
  <si>
    <t>BAC 2020-I02</t>
  </si>
  <si>
    <t>RFQ NO. 20-00041</t>
  </si>
  <si>
    <t>2019-Trust Fund - 01 - No AIP Code</t>
  </si>
  <si>
    <t>100-2020-0852, 0692, 0820, 0880</t>
  </si>
  <si>
    <t>CONTRACT ID #Z:  20-07-105</t>
  </si>
  <si>
    <t>BAC 2020-I03</t>
  </si>
  <si>
    <t>CONTRACT ID #: 20-07-106</t>
  </si>
  <si>
    <t>INFRA-07-24-2020-01</t>
  </si>
  <si>
    <t>BIDDING20-29</t>
  </si>
  <si>
    <t>PRDP-IR-CAR-BEN-021-LAT-021-2019</t>
  </si>
  <si>
    <t>NAB-0002I-2020</t>
  </si>
  <si>
    <t>BHG-01-G-2020</t>
  </si>
  <si>
    <t>PGLDN 101-20-07-1414</t>
  </si>
  <si>
    <t>Goods-12-2020</t>
  </si>
  <si>
    <t>PB2020-13</t>
  </si>
  <si>
    <t>PEO-20-0898 B</t>
  </si>
  <si>
    <t>PGLDN 101-20-07 1388</t>
  </si>
  <si>
    <t>2020-01A</t>
  </si>
  <si>
    <t>2020-07-354-RFQ</t>
  </si>
  <si>
    <t>007-s 2020 SARA LGU</t>
  </si>
  <si>
    <t>PGLDN PENRO 2020-01</t>
  </si>
  <si>
    <t>ITB No. 20-071</t>
  </si>
  <si>
    <t>Goods-11-2020</t>
  </si>
  <si>
    <t>INF-SFO-08-20</t>
  </si>
  <si>
    <t>SEF-20-07-01113</t>
  </si>
  <si>
    <t>NAB-0003I-2020</t>
  </si>
  <si>
    <t>MP-GOODS-2020-015</t>
  </si>
  <si>
    <t>MP-GOODS-2020-014</t>
  </si>
  <si>
    <t>MP-GOODS-2020-016</t>
  </si>
  <si>
    <t>MP-GOODS-2020-013</t>
  </si>
  <si>
    <t>BALZN9-2016</t>
  </si>
  <si>
    <t>20GFH0022</t>
  </si>
  <si>
    <t>PGLDN 101-20-01-0208</t>
  </si>
  <si>
    <t>PGLDNMCC HOTEL 2020-01</t>
  </si>
  <si>
    <t>20-07-004</t>
  </si>
  <si>
    <t>DA8-Goods-2020-36 Rebidding (PR No. CORN 20-05-20-</t>
  </si>
  <si>
    <t>DA RFO-1-2020-GOODS-033-N</t>
  </si>
  <si>
    <t>20GFH0023</t>
  </si>
  <si>
    <t>INF-SFO-07-20</t>
  </si>
  <si>
    <t>ITB Ref. No. 2020-001</t>
  </si>
  <si>
    <t>6-081820</t>
  </si>
  <si>
    <t>0720-016</t>
  </si>
  <si>
    <t>CONTRACT ID #: 19-10-195</t>
  </si>
  <si>
    <t>Infra-2020-07</t>
  </si>
  <si>
    <t>0620-008</t>
  </si>
  <si>
    <t>Lgn1 - 20-DH-0096</t>
  </si>
  <si>
    <t>Lgn1 - 20-DH-0095</t>
  </si>
  <si>
    <t>Lgn1 - 20-DH-0094</t>
  </si>
  <si>
    <t>MMIN-INFRA-2020-002</t>
  </si>
  <si>
    <t>Lgn1 - 20-DH-0092</t>
  </si>
  <si>
    <t>2020-06-0126</t>
  </si>
  <si>
    <t>UPLB-IF-005-08-20 REBID</t>
  </si>
  <si>
    <t>GS 2020-007-025</t>
  </si>
  <si>
    <t>ITB No. GOODS-20-128</t>
  </si>
  <si>
    <t>MOB-BAC-2020-07-024-INFRA</t>
  </si>
  <si>
    <t>itb no. 2020-23</t>
  </si>
  <si>
    <t>ITB No. GOODS-20-127</t>
  </si>
  <si>
    <t>Lgn1 - 20-DH-0093</t>
  </si>
  <si>
    <t>INF-SFO-09-20</t>
  </si>
  <si>
    <t>LGU-ALCOY-2020-042</t>
  </si>
  <si>
    <t>2020-07-117</t>
  </si>
  <si>
    <t>LGU-ALCOY-2020-041</t>
  </si>
  <si>
    <t>20-05-0865</t>
  </si>
  <si>
    <t>MCS-20-07-001</t>
  </si>
  <si>
    <t>DA8-Goods-2020-46 (PR No. NLP 20-06-26-0298)</t>
  </si>
  <si>
    <t>CB(B)-20-028(LSB-DEPED)</t>
  </si>
  <si>
    <t>20GFH0024</t>
  </si>
  <si>
    <t>Sapsap-2020-07-002</t>
  </si>
  <si>
    <t>20-05-0864</t>
  </si>
  <si>
    <t>MUNPINCE-2007-131</t>
  </si>
  <si>
    <t>NAB-0004I-2020</t>
  </si>
  <si>
    <t>MUNPINCE-2007-132</t>
  </si>
  <si>
    <t>0720-027</t>
  </si>
  <si>
    <t>021-20</t>
  </si>
  <si>
    <t>DA RFO-1-2020-GOODS-034-N</t>
  </si>
  <si>
    <t>2019-07-02</t>
  </si>
  <si>
    <t>Hilagpad-2020-07-001</t>
  </si>
  <si>
    <t>BGS-009-2020</t>
  </si>
  <si>
    <t>PROJECT ID NO. G-2020-005</t>
  </si>
  <si>
    <t>UPLB-IF-016-08-20 REBID</t>
  </si>
  <si>
    <t>Lgn1 - 20-DH-0097</t>
  </si>
  <si>
    <t>2020-BBS-002</t>
  </si>
  <si>
    <t>N20-HE-116</t>
  </si>
  <si>
    <t>20-07-005</t>
  </si>
  <si>
    <t>ITB Ref. No. 2020-002</t>
  </si>
  <si>
    <t>2020-07-26-193</t>
  </si>
  <si>
    <t>2020-BBS-003</t>
  </si>
  <si>
    <t>N20-HE-115</t>
  </si>
  <si>
    <t>2020-07-26-195</t>
  </si>
  <si>
    <t>20-07-003</t>
  </si>
  <si>
    <t>BGS-0011-2020</t>
  </si>
  <si>
    <t>BGS-0010-2020</t>
  </si>
  <si>
    <t>itb no. 2020-22</t>
  </si>
  <si>
    <t>Goods 0042-2020</t>
  </si>
  <si>
    <t>itb no. 2020-14</t>
  </si>
  <si>
    <t>2020-07-26-194</t>
  </si>
  <si>
    <t>2020-BBS-001</t>
  </si>
  <si>
    <t>Goods 0043-2020</t>
  </si>
  <si>
    <t>022</t>
  </si>
  <si>
    <t>N20-HE-119</t>
  </si>
  <si>
    <t>N20-HE-118</t>
  </si>
  <si>
    <t>PB 15-2020</t>
  </si>
  <si>
    <t>Goods 0041-2020</t>
  </si>
  <si>
    <t>Goods 0039-2020</t>
  </si>
  <si>
    <t>Goods 0036-2020</t>
  </si>
  <si>
    <t>N20-HE-117</t>
  </si>
  <si>
    <t>PB 16-2020</t>
  </si>
  <si>
    <t>023</t>
  </si>
  <si>
    <t>07262020001</t>
  </si>
  <si>
    <t>Goods 0044-2020</t>
  </si>
  <si>
    <t>Goods 0040-2020</t>
  </si>
  <si>
    <t>itb20-07-030B</t>
  </si>
  <si>
    <t>itb20-07-030A</t>
  </si>
  <si>
    <t>Goods 0038-2020</t>
  </si>
  <si>
    <t>Goods 0037-2020</t>
  </si>
  <si>
    <t>00107262020</t>
  </si>
  <si>
    <t>SJDB-2020-25</t>
  </si>
  <si>
    <t>INFRA-PB-2020-019</t>
  </si>
  <si>
    <t>SJDB-2020-26</t>
  </si>
  <si>
    <t>MCS-20-07-002</t>
  </si>
  <si>
    <t>PB-20-392</t>
  </si>
  <si>
    <t>DTI-BAC-20-013</t>
  </si>
  <si>
    <t>2020-07-009</t>
  </si>
  <si>
    <t>PB-20-393</t>
  </si>
  <si>
    <t>2020-07-007</t>
  </si>
  <si>
    <t>2020-I07-11</t>
  </si>
  <si>
    <t>ITB NO.2020-034</t>
  </si>
  <si>
    <t>DIGON-BAC-2020-01</t>
  </si>
  <si>
    <t>DTI-BAC-20-10A</t>
  </si>
  <si>
    <t>MIN-INFRA-2020-001</t>
  </si>
  <si>
    <t>INFRA-CNO-20-0009</t>
  </si>
  <si>
    <t>20-07-0660</t>
  </si>
  <si>
    <t>PR No. 2020-07-017</t>
  </si>
  <si>
    <t>2830213</t>
  </si>
  <si>
    <t>20DF0192 - 20DF0194</t>
  </si>
  <si>
    <t>SA08172020</t>
  </si>
  <si>
    <t>20-07-0664</t>
  </si>
  <si>
    <t>20-07-0649</t>
  </si>
  <si>
    <t>3371-20</t>
  </si>
  <si>
    <t>20-07-0662</t>
  </si>
  <si>
    <t>MG-A7C20-007, Rubber Gasket, Rectangular, 8mm x 15</t>
  </si>
  <si>
    <t>INFRA-CNO-20-0004</t>
  </si>
  <si>
    <t>SN-2020-10</t>
  </si>
  <si>
    <t>ITB No. 20-28</t>
  </si>
  <si>
    <t>ESSD-SHS-ITB-MS</t>
  </si>
  <si>
    <t>20GPB0003</t>
  </si>
  <si>
    <t>HFE-2020-07-0272</t>
  </si>
  <si>
    <t>HFE-2020-07-0281</t>
  </si>
  <si>
    <t>UPB-BID-2020-05A</t>
  </si>
  <si>
    <t>20-07-589</t>
  </si>
  <si>
    <t>068-2020</t>
  </si>
  <si>
    <t>ESSD-SHS-ITB-DHCS</t>
  </si>
  <si>
    <t>pontevedra-20-G022</t>
  </si>
  <si>
    <t>INFRASTRUCTURE PROJECT 2020-005</t>
  </si>
  <si>
    <t>IB-2020-51</t>
  </si>
  <si>
    <t>CA08172020</t>
  </si>
  <si>
    <t>075</t>
  </si>
  <si>
    <t>DOT-BAC-REI NO. 2020-012 (2nd Posting)</t>
  </si>
  <si>
    <t>2020-GOODS-NP-75</t>
  </si>
  <si>
    <t>018</t>
  </si>
  <si>
    <t>453-2020 Bidding</t>
  </si>
  <si>
    <t>ITB No. 2020-13</t>
  </si>
  <si>
    <t>RQ 07-193</t>
  </si>
  <si>
    <t>2019-GOODS-NP-76</t>
  </si>
  <si>
    <t>20CN0161</t>
  </si>
  <si>
    <t>itb20-07-030C</t>
  </si>
  <si>
    <t>2020-05-044</t>
  </si>
  <si>
    <t>20-021</t>
  </si>
  <si>
    <t>G-2020-36</t>
  </si>
  <si>
    <t>HILONGOS 2020-224</t>
  </si>
  <si>
    <t>01A-2020</t>
  </si>
  <si>
    <t>HILONGOS 2020-225</t>
  </si>
  <si>
    <t>01M-2020</t>
  </si>
  <si>
    <t>2020-CHS-001</t>
  </si>
  <si>
    <t>IB-2020-52</t>
  </si>
  <si>
    <t>BAGO-BAC-2020-0187</t>
  </si>
  <si>
    <t>20GP0072</t>
  </si>
  <si>
    <t>2020-01-V</t>
  </si>
  <si>
    <t>20GFN0013</t>
  </si>
  <si>
    <t>BAGO-BAC-2020-0188</t>
  </si>
  <si>
    <t>RQ 07-190</t>
  </si>
  <si>
    <t>BAGO-BAC-2020-0181</t>
  </si>
  <si>
    <t>47</t>
  </si>
  <si>
    <t>452-2020 Bidding</t>
  </si>
  <si>
    <t>ITB No. I10-02-2020</t>
  </si>
  <si>
    <t>PGR-INFRA-2020-03-13</t>
  </si>
  <si>
    <t>2020-07-014</t>
  </si>
  <si>
    <t>BAG-1-2020-046</t>
  </si>
  <si>
    <t>2020-7-24-1</t>
  </si>
  <si>
    <t>48</t>
  </si>
  <si>
    <t>LTFRB-007-027</t>
  </si>
  <si>
    <t>BAG-1-2020-050</t>
  </si>
  <si>
    <t>2020-409</t>
  </si>
  <si>
    <t>RQ 07-183</t>
  </si>
  <si>
    <t>44</t>
  </si>
  <si>
    <t>RCEF Goods 20-07-06</t>
  </si>
  <si>
    <t>45</t>
  </si>
  <si>
    <t>RQ 07-188</t>
  </si>
  <si>
    <t>TFG-2020-07-025</t>
  </si>
  <si>
    <t>SanAgustinITB00022020</t>
  </si>
  <si>
    <t>2020-166A</t>
  </si>
  <si>
    <t>463-2019 Bidding</t>
  </si>
  <si>
    <t>43</t>
  </si>
  <si>
    <t>2020-GOODS-NP-80</t>
  </si>
  <si>
    <t>BSWM PR 2020-07-1766</t>
  </si>
  <si>
    <t>JOR No. 20-059A</t>
  </si>
  <si>
    <t>INF 20AR-FA-20-03</t>
  </si>
  <si>
    <t>RFQ-2020-007-01</t>
  </si>
  <si>
    <t>2020-GOODS-NP-79</t>
  </si>
  <si>
    <t>464-2020 Bidding</t>
  </si>
  <si>
    <t>RCEF Goods 20-07-08</t>
  </si>
  <si>
    <t>RCEF Goods 20-07-07</t>
  </si>
  <si>
    <t>INF 2AR-FA-20-02</t>
  </si>
  <si>
    <t>2020-GOODS-NP-77</t>
  </si>
  <si>
    <t>46</t>
  </si>
  <si>
    <t>07242020</t>
  </si>
  <si>
    <t>BAG-1-2020-049</t>
  </si>
  <si>
    <t>07242020-1</t>
  </si>
  <si>
    <t>G-124-20</t>
  </si>
  <si>
    <t>ITB No. I32-03-2020</t>
  </si>
  <si>
    <t>BAGO-BAC-2020-0177</t>
  </si>
  <si>
    <t>20-02-004</t>
  </si>
  <si>
    <t>2020-GOODS-NP-78</t>
  </si>
  <si>
    <t>BACNAMPICUAN2020-027</t>
  </si>
  <si>
    <t>BSWM PR 2020-06-1344</t>
  </si>
  <si>
    <t>20-82-024</t>
  </si>
  <si>
    <t>BLGU-03</t>
  </si>
  <si>
    <t>2020-175</t>
  </si>
  <si>
    <t>2020-07-041</t>
  </si>
  <si>
    <t>451-2020 Bidding</t>
  </si>
  <si>
    <t>07242020A</t>
  </si>
  <si>
    <t>20-03-0434</t>
  </si>
  <si>
    <t>19-92-027</t>
  </si>
  <si>
    <t>20DJ0105</t>
  </si>
  <si>
    <t>ITB No. 2020-07-056</t>
  </si>
  <si>
    <t>2020-160A</t>
  </si>
  <si>
    <t>BSWM PR 2020-07-1743</t>
  </si>
  <si>
    <t>01-595-2020</t>
  </si>
  <si>
    <t>2007-159</t>
  </si>
  <si>
    <t>145-2020</t>
  </si>
  <si>
    <t>RQ 07-058A</t>
  </si>
  <si>
    <t>RQ 07-206</t>
  </si>
  <si>
    <t>INF 20AR-EZ-20-03</t>
  </si>
  <si>
    <t>2004-079</t>
  </si>
  <si>
    <t>ITB 2020-08</t>
  </si>
  <si>
    <t>RQ 07-020A</t>
  </si>
  <si>
    <t>2007-158</t>
  </si>
  <si>
    <t>BSWM PR 2020-01-0822</t>
  </si>
  <si>
    <t>PRDP-PSO-Admin 2020-06-010</t>
  </si>
  <si>
    <t>00207262020</t>
  </si>
  <si>
    <t>BSWM PR 2020-07-1814</t>
  </si>
  <si>
    <t>ITB No. 2020-07-057</t>
  </si>
  <si>
    <t>RQ 07-185</t>
  </si>
  <si>
    <t>RQ 07-186</t>
  </si>
  <si>
    <t>2020-07-189</t>
  </si>
  <si>
    <t>0724202009</t>
  </si>
  <si>
    <t>LGU-2020-045</t>
  </si>
  <si>
    <t>RQ 07-041A</t>
  </si>
  <si>
    <t>RQ 07-213</t>
  </si>
  <si>
    <t>RQ 07-215</t>
  </si>
  <si>
    <t>2020-07-190</t>
  </si>
  <si>
    <t>RQ 07-212</t>
  </si>
  <si>
    <t>08-G-2020 (MTO)</t>
  </si>
  <si>
    <t>148-2020</t>
  </si>
  <si>
    <t>0724202010</t>
  </si>
  <si>
    <t>G-125-20</t>
  </si>
  <si>
    <t>ITB 2020-182</t>
  </si>
  <si>
    <t>BSWM PR 2020-07-1813</t>
  </si>
  <si>
    <t>PB-LAP-2020-085</t>
  </si>
  <si>
    <t>149-2020</t>
  </si>
  <si>
    <t>PB-2020-19</t>
  </si>
  <si>
    <t>GF-I-46-2020</t>
  </si>
  <si>
    <t>ITB 2020-184</t>
  </si>
  <si>
    <t>1-07232020</t>
  </si>
  <si>
    <t>07-124-2020</t>
  </si>
  <si>
    <t>20200724001</t>
  </si>
  <si>
    <t>GOODS-2020-07-11</t>
  </si>
  <si>
    <t>2-07232020</t>
  </si>
  <si>
    <t>ITB No. 2020-16 Procurement of Security Services f</t>
  </si>
  <si>
    <t>2020-07-008B</t>
  </si>
  <si>
    <t>RFQ-2020-0038</t>
  </si>
  <si>
    <t>ITB-072420-1</t>
  </si>
  <si>
    <t>2020-07-259</t>
  </si>
  <si>
    <t>PB-LAP-2020-086</t>
  </si>
  <si>
    <t>Bidding-01-Apang2020</t>
  </si>
  <si>
    <t>PR No. 2020-07-016</t>
  </si>
  <si>
    <t>PB 2020-01 Minsalerac</t>
  </si>
  <si>
    <t>ITB 2020-183</t>
  </si>
  <si>
    <t>3-07232020</t>
  </si>
  <si>
    <t>ITB-SSS-GOODS-2020-023</t>
  </si>
  <si>
    <t>2020-006-B-PA</t>
  </si>
  <si>
    <t>RQ 07-214</t>
  </si>
  <si>
    <t>GS-2020-08</t>
  </si>
  <si>
    <t>GOODS-2019-11-15</t>
  </si>
  <si>
    <t>ITB 2020-181</t>
  </si>
  <si>
    <t>20IJ-0088</t>
  </si>
  <si>
    <t>07-009-2020</t>
  </si>
  <si>
    <t>5-07232020</t>
  </si>
  <si>
    <t>ITB-072420-2</t>
  </si>
  <si>
    <t>2020-07-009B</t>
  </si>
  <si>
    <t>07242020C</t>
  </si>
  <si>
    <t>7-07232020</t>
  </si>
  <si>
    <t>ITB No. 2020-17 Procurement of Drugs and Medicines</t>
  </si>
  <si>
    <t>4-07232020</t>
  </si>
  <si>
    <t>2020-07-005PB</t>
  </si>
  <si>
    <t>07242020B</t>
  </si>
  <si>
    <t>07242020E</t>
  </si>
  <si>
    <t>6-07232020</t>
  </si>
  <si>
    <t>ITB No. 2020-145-B-pgo-pdrrmd</t>
  </si>
  <si>
    <t>095 - 2020</t>
  </si>
  <si>
    <t>2020-07-260</t>
  </si>
  <si>
    <t>ITB-072420-4</t>
  </si>
  <si>
    <t>2020-07-012B</t>
  </si>
  <si>
    <t>20IJ-0089</t>
  </si>
  <si>
    <t>20200724-024</t>
  </si>
  <si>
    <t>ITB 2020-179</t>
  </si>
  <si>
    <t>ITB 2020-180</t>
  </si>
  <si>
    <t>2020-07-011B</t>
  </si>
  <si>
    <t>ITB 2020-178</t>
  </si>
  <si>
    <t>ITB No. 2020-18 Supply and Delivery of Operating R</t>
  </si>
  <si>
    <t>G-2020-37</t>
  </si>
  <si>
    <t>ITB-072420-3</t>
  </si>
  <si>
    <t>ITB No. 2020-130-C-pgo-pdrc</t>
  </si>
  <si>
    <t>20200724-023</t>
  </si>
  <si>
    <t>PB-2020-26</t>
  </si>
  <si>
    <t>SUPPLY AND DELIVERY OF  UPVC PIPES WITH EPDM RUBBE</t>
  </si>
  <si>
    <t>20GF0008</t>
  </si>
  <si>
    <t>07-0040-20</t>
  </si>
  <si>
    <t>G-2020-010</t>
  </si>
  <si>
    <t>07242020D</t>
  </si>
  <si>
    <t>20MC-GOODS-041</t>
  </si>
  <si>
    <t>GOODS-2020-143</t>
  </si>
  <si>
    <t>GEPS-2020-07-005</t>
  </si>
  <si>
    <t>07-224-2020</t>
  </si>
  <si>
    <t>CB2020-GDS-04</t>
  </si>
  <si>
    <t>20IK0099</t>
  </si>
  <si>
    <t>BJMP NHQ-IB No. W001-2020</t>
  </si>
  <si>
    <t>G-2020-40</t>
  </si>
  <si>
    <t>20ED0136</t>
  </si>
  <si>
    <t>PB 11-2020</t>
  </si>
  <si>
    <t>AMP-20-07-042</t>
  </si>
  <si>
    <t>PB 14-2020</t>
  </si>
  <si>
    <t>20MC-INFRA-039</t>
  </si>
  <si>
    <t>PB 13-2020</t>
  </si>
  <si>
    <t>INFRASTRUCTURE PROJECT 2020-003</t>
  </si>
  <si>
    <t>0720-021</t>
  </si>
  <si>
    <t>INFRASTRUCTURE PROJECT 2020-002</t>
  </si>
  <si>
    <t>186 – 2020</t>
  </si>
  <si>
    <t>PB 10-2020</t>
  </si>
  <si>
    <t>INFRASTRUCTURE PROJECT 2020-004</t>
  </si>
  <si>
    <t>185 – 2020</t>
  </si>
  <si>
    <t>PB 12-2020</t>
  </si>
  <si>
    <t>IN-BAC-2020-07-061</t>
  </si>
  <si>
    <t>ITB-2020-049</t>
  </si>
  <si>
    <t>00008308</t>
  </si>
  <si>
    <t>20CSGG0001</t>
  </si>
  <si>
    <t>20CSDM01</t>
  </si>
  <si>
    <t>ITB 03-2020</t>
  </si>
  <si>
    <t>20CSD004</t>
  </si>
  <si>
    <t>PB - 2020 - 0626 - 02</t>
  </si>
  <si>
    <t>AMP-20-07-045</t>
  </si>
  <si>
    <t>20MC-INFRA-040</t>
  </si>
  <si>
    <t>20MC-INFRA-038</t>
  </si>
  <si>
    <t>012697</t>
  </si>
  <si>
    <t>ID NO. GF -MAL-SDN-04-20</t>
  </si>
  <si>
    <t>0102122019</t>
  </si>
  <si>
    <t>200(01)20-07-422((A)</t>
  </si>
  <si>
    <t>20CSD003</t>
  </si>
  <si>
    <t>20PI0098</t>
  </si>
  <si>
    <t>20PI0099</t>
  </si>
  <si>
    <t>M-20-22</t>
  </si>
  <si>
    <t>20AD0110</t>
  </si>
  <si>
    <t>PB-HE-2020-009</t>
  </si>
  <si>
    <t>DENR-ORMIN-028-2020</t>
  </si>
  <si>
    <t>20PI0097</t>
  </si>
  <si>
    <t>20AD0111</t>
  </si>
  <si>
    <t>ITB-2020-045</t>
  </si>
  <si>
    <t>DAR-PANG-011-2020</t>
  </si>
  <si>
    <t>IN-BAC-2020-07-062</t>
  </si>
  <si>
    <t>AMP-20-07-044</t>
  </si>
  <si>
    <t>ITB-2020-050</t>
  </si>
  <si>
    <t>STLU-021-2020</t>
  </si>
  <si>
    <t>PR #89</t>
  </si>
  <si>
    <t>PR #83</t>
  </si>
  <si>
    <t>G-2020-009</t>
  </si>
  <si>
    <t>ITB-2020-PR1132</t>
  </si>
  <si>
    <t>STLU-019-2020</t>
  </si>
  <si>
    <t>STLU-015-2020</t>
  </si>
  <si>
    <t>STLU-017-2020</t>
  </si>
  <si>
    <t>STLU-014-2020</t>
  </si>
  <si>
    <t>STLU-013-2020</t>
  </si>
  <si>
    <t>PEO-2018-3162</t>
  </si>
  <si>
    <t>00008313</t>
  </si>
  <si>
    <t>STLU-012-2020</t>
  </si>
  <si>
    <t>00008309</t>
  </si>
  <si>
    <t>STLU-018-2020</t>
  </si>
  <si>
    <t>20MD0134</t>
  </si>
  <si>
    <t>007-02-2020</t>
  </si>
  <si>
    <t>20OC0044</t>
  </si>
  <si>
    <t>20MD0135</t>
  </si>
  <si>
    <t>MDRRMO-AMBULANCE-PR2020-07-149-1PB</t>
  </si>
  <si>
    <t>20DK0137</t>
  </si>
  <si>
    <t>BAC-GS-2020-07-013</t>
  </si>
  <si>
    <t>20DK0126 (Re-Invitation)</t>
  </si>
  <si>
    <t>007-01-2020</t>
  </si>
  <si>
    <t>007-03-2020</t>
  </si>
  <si>
    <t>S2-MPP20-018</t>
  </si>
  <si>
    <t>BMC-N-20-262</t>
  </si>
  <si>
    <t>STLU-016-2020</t>
  </si>
  <si>
    <t>20A-03-0015I</t>
  </si>
  <si>
    <t>HFE-2020-07-0282</t>
  </si>
  <si>
    <t>PR# 20-03-0411</t>
  </si>
  <si>
    <t>20FK0060</t>
  </si>
  <si>
    <t>07232020001</t>
  </si>
  <si>
    <t>GOODS-2020-008</t>
  </si>
  <si>
    <t>LIN-LDN-07-23-20</t>
  </si>
  <si>
    <t>STLU-020-2020</t>
  </si>
  <si>
    <t>2020-3</t>
  </si>
  <si>
    <t>2020-59</t>
  </si>
  <si>
    <t>GOODS #2020-4</t>
  </si>
  <si>
    <t>070042020</t>
  </si>
  <si>
    <t>070032020</t>
  </si>
  <si>
    <t>070022020</t>
  </si>
  <si>
    <t>CB 01-2020</t>
  </si>
  <si>
    <t>07232020003</t>
  </si>
  <si>
    <t>CDC 54-07-2020</t>
  </si>
  <si>
    <t>brgy.sto.rosario</t>
  </si>
  <si>
    <t>070012020</t>
  </si>
  <si>
    <t>S2-CAP20-003</t>
  </si>
  <si>
    <t>20A-02-0073</t>
  </si>
  <si>
    <t>202007quibongbongan</t>
  </si>
  <si>
    <t>WOR-0028</t>
  </si>
  <si>
    <t>TANZA 2 2020-07-02</t>
  </si>
  <si>
    <t>202007tandarora</t>
  </si>
  <si>
    <t>HILONGOS 2020-221</t>
  </si>
  <si>
    <t>20A-03-0014I</t>
  </si>
  <si>
    <t>CDC 55-07-2020</t>
  </si>
  <si>
    <t>2020-07-233-RFQ</t>
  </si>
  <si>
    <t>2020-06-001</t>
  </si>
  <si>
    <t>2020-06-003 COVID 19</t>
  </si>
  <si>
    <t>20GCB0009</t>
  </si>
  <si>
    <t>211533</t>
  </si>
  <si>
    <t>07-23-01</t>
  </si>
  <si>
    <t>07232020</t>
  </si>
  <si>
    <t>S2-SND20-002</t>
  </si>
  <si>
    <t>2020-07-040</t>
  </si>
  <si>
    <t>211531</t>
  </si>
  <si>
    <t>07-008-2020</t>
  </si>
  <si>
    <t>HILONGOS 2020-223</t>
  </si>
  <si>
    <t>20EB0134</t>
  </si>
  <si>
    <t>NMPBAC-RFQ-07-01</t>
  </si>
  <si>
    <t>GOODS-2020-02-007</t>
  </si>
  <si>
    <t>2020-036 Streetlights</t>
  </si>
  <si>
    <t>pb-infra-2020-043</t>
  </si>
  <si>
    <t>S2-SVP20-001</t>
  </si>
  <si>
    <t>20PE0090</t>
  </si>
  <si>
    <t>20II0064</t>
  </si>
  <si>
    <t>20A-03-0011I</t>
  </si>
  <si>
    <t>HILONGOS 2020-222</t>
  </si>
  <si>
    <t>Construction of Perimeter Fence at Brgy. Poblacion</t>
  </si>
  <si>
    <t>20A-03-0013I</t>
  </si>
  <si>
    <t>20GCB0008</t>
  </si>
  <si>
    <t>SN# 2020-07-13</t>
  </si>
  <si>
    <t>211532</t>
  </si>
  <si>
    <t>211535</t>
  </si>
  <si>
    <t>031-2020</t>
  </si>
  <si>
    <t>211536</t>
  </si>
  <si>
    <t>070062020</t>
  </si>
  <si>
    <t>S2-MGS20-007</t>
  </si>
  <si>
    <t>VARIOUS LAB. SUPPLIES-AMMONIUM ETC..</t>
  </si>
  <si>
    <t>211545</t>
  </si>
  <si>
    <t>S2-LIM20-005</t>
  </si>
  <si>
    <t>LGU-164-2020</t>
  </si>
  <si>
    <t>90-2020</t>
  </si>
  <si>
    <t>brgy.maganhan</t>
  </si>
  <si>
    <t>WOR-0017</t>
  </si>
  <si>
    <t>211544</t>
  </si>
  <si>
    <t>PCDP-2020-06-0201</t>
  </si>
  <si>
    <t>211542</t>
  </si>
  <si>
    <t>jayon-B-infra-08-03-2020</t>
  </si>
  <si>
    <t>211540</t>
  </si>
  <si>
    <t>211541</t>
  </si>
  <si>
    <t>GOODS 2020-06</t>
  </si>
  <si>
    <t>20074306</t>
  </si>
  <si>
    <t>91-2020</t>
  </si>
  <si>
    <t>20074244</t>
  </si>
  <si>
    <t>211539</t>
  </si>
  <si>
    <t>20074240</t>
  </si>
  <si>
    <t>SN -2020-07-002</t>
  </si>
  <si>
    <t>20064088</t>
  </si>
  <si>
    <t>20DL0232</t>
  </si>
  <si>
    <t>20074235</t>
  </si>
  <si>
    <t>20074229</t>
  </si>
  <si>
    <t>20DL0233</t>
  </si>
  <si>
    <t>20074245</t>
  </si>
  <si>
    <t>brgy.zone 23</t>
  </si>
  <si>
    <t>DAR-PANG-012-2020</t>
  </si>
  <si>
    <t>20EB0135</t>
  </si>
  <si>
    <t>20053460</t>
  </si>
  <si>
    <t>S2-SND20-001</t>
  </si>
  <si>
    <t>MRH-008-2020</t>
  </si>
  <si>
    <t>ITB-2020-002</t>
  </si>
  <si>
    <t>DBS-006-2020</t>
  </si>
  <si>
    <t>GOODS 2020-027</t>
  </si>
  <si>
    <t>LGU - Quirino INFRA 2020 - 010</t>
  </si>
  <si>
    <t>20-07-074</t>
  </si>
  <si>
    <t>2020-snv-007</t>
  </si>
  <si>
    <t>20BD0013 - RE-AD</t>
  </si>
  <si>
    <t>20EB0137</t>
  </si>
  <si>
    <t>20EB0136</t>
  </si>
  <si>
    <t>211543</t>
  </si>
  <si>
    <t>INFRA-ETG-20-07-014</t>
  </si>
  <si>
    <t>INFRA 2020-13</t>
  </si>
  <si>
    <t>2007--0868</t>
  </si>
  <si>
    <t>INFRA 2020-14</t>
  </si>
  <si>
    <t>2020BM-001</t>
  </si>
  <si>
    <t>447-2020 Bidding</t>
  </si>
  <si>
    <t>OB-2020-01-002</t>
  </si>
  <si>
    <t>DBS-005-2020</t>
  </si>
  <si>
    <t>20-0960</t>
  </si>
  <si>
    <t>S2-CAL20-015</t>
  </si>
  <si>
    <t>23072020</t>
  </si>
  <si>
    <t>20BD0018 - RE-AD</t>
  </si>
  <si>
    <t>PR. NO. 2020-07-000017</t>
  </si>
  <si>
    <t>20ND0075</t>
  </si>
  <si>
    <t>20BD0017 - RE-AD</t>
  </si>
  <si>
    <t>20BD0016 - RE-AD</t>
  </si>
  <si>
    <t>TAYSAN2020-077</t>
  </si>
  <si>
    <t>PB GOODS 2020-06</t>
  </si>
  <si>
    <t>GOODS#0140, ITB#0143,  PR#0456: SCG-2020</t>
  </si>
  <si>
    <t>07-07</t>
  </si>
  <si>
    <t>CGB-2020-07-013</t>
  </si>
  <si>
    <t>TAYSAN2020-081</t>
  </si>
  <si>
    <t>20EB0138</t>
  </si>
  <si>
    <t>GF(MOOE/C.O)-DAG-2020(012)</t>
  </si>
  <si>
    <t>TAYSAN2020-075</t>
  </si>
  <si>
    <t>CB(B)-20-029(LSB-DEPED)</t>
  </si>
  <si>
    <t>20BD0025 - RE-AD</t>
  </si>
  <si>
    <t>20ND0078</t>
  </si>
  <si>
    <t>PR. NO. 2020-06-000010</t>
  </si>
  <si>
    <t>20EB0139</t>
  </si>
  <si>
    <t>20BD0027 - RE-AD</t>
  </si>
  <si>
    <t>2007-0869</t>
  </si>
  <si>
    <t>20-016</t>
  </si>
  <si>
    <t>Pan-001</t>
  </si>
  <si>
    <t>S2-GUI20-008</t>
  </si>
  <si>
    <t>2020-06-264</t>
  </si>
  <si>
    <t>S2-BH220-001</t>
  </si>
  <si>
    <t>PR. NO. 2020-07-000016</t>
  </si>
  <si>
    <t>446-2020 Bidding</t>
  </si>
  <si>
    <t>LPZ - 2020 - 009</t>
  </si>
  <si>
    <t>07-23-02</t>
  </si>
  <si>
    <t>20BD0039 - RE-AD</t>
  </si>
  <si>
    <t>doletac8-2020-19</t>
  </si>
  <si>
    <t>INFR-028-2020</t>
  </si>
  <si>
    <t>ITB2020-07-02</t>
  </si>
  <si>
    <t>DOST-CO-PB NO. 2020-03-003A</t>
  </si>
  <si>
    <t>2007-0839</t>
  </si>
  <si>
    <t>PR. NO. 2020-06-000035</t>
  </si>
  <si>
    <t>TAYSAN2020-078</t>
  </si>
  <si>
    <t>20GDB0038</t>
  </si>
  <si>
    <t>2007-0927</t>
  </si>
  <si>
    <t>20EB0140</t>
  </si>
  <si>
    <t>PAA-2020-07</t>
  </si>
  <si>
    <t>ITB 2020-0011</t>
  </si>
  <si>
    <t>20BC0215</t>
  </si>
  <si>
    <t>2020-07-23-002</t>
  </si>
  <si>
    <t>07-20-002</t>
  </si>
  <si>
    <t>2020-07-23-001</t>
  </si>
  <si>
    <t>2020-ANT-GOODS-0145</t>
  </si>
  <si>
    <t>7-2-20</t>
  </si>
  <si>
    <t>20BD0037 - RE-AD</t>
  </si>
  <si>
    <t>2020-141</t>
  </si>
  <si>
    <t>20BD0068 - RE-AD</t>
  </si>
  <si>
    <t>IB NO 2020-053</t>
  </si>
  <si>
    <t>07-23-04</t>
  </si>
  <si>
    <t>2006-0783</t>
  </si>
  <si>
    <t>2020-06-2786</t>
  </si>
  <si>
    <t>20JB0087</t>
  </si>
  <si>
    <t>20GDB0039</t>
  </si>
  <si>
    <t>2007-0926</t>
  </si>
  <si>
    <t>20JBG0086</t>
  </si>
  <si>
    <t>2020-87 (GAS)</t>
  </si>
  <si>
    <t>20-018</t>
  </si>
  <si>
    <t>20JB0085</t>
  </si>
  <si>
    <t>ITB No. 2020-025</t>
  </si>
  <si>
    <t>2020-07-55R</t>
  </si>
  <si>
    <t>2020-PBDD-CRF-SKARBC-07-22-053</t>
  </si>
  <si>
    <t>0000287-007-023-2020</t>
  </si>
  <si>
    <t>INFR-029-2020</t>
  </si>
  <si>
    <t>20BD0067 - RE-AD</t>
  </si>
  <si>
    <t>Capaoay 2020-03</t>
  </si>
  <si>
    <t>B-8661-20-16</t>
  </si>
  <si>
    <t>2020-009</t>
  </si>
  <si>
    <t>2007-0928</t>
  </si>
  <si>
    <t>20DP0079</t>
  </si>
  <si>
    <t>ITB 17-2020</t>
  </si>
  <si>
    <t>0000288-007-023-2020</t>
  </si>
  <si>
    <t>2020-008</t>
  </si>
  <si>
    <t>20DP0078</t>
  </si>
  <si>
    <t>IB NO 2020-054</t>
  </si>
  <si>
    <t>20-017</t>
  </si>
  <si>
    <t>20-019</t>
  </si>
  <si>
    <t>Lobong 2020-03</t>
  </si>
  <si>
    <t>27090-001-003</t>
  </si>
  <si>
    <t>INFR-030-2020</t>
  </si>
  <si>
    <t>A3-20-1419</t>
  </si>
  <si>
    <t>INFRA 2020-03</t>
  </si>
  <si>
    <t>081120-02</t>
  </si>
  <si>
    <t>20200723-49</t>
  </si>
  <si>
    <t>081120-01</t>
  </si>
  <si>
    <t>Lobong 2020-04</t>
  </si>
  <si>
    <t>cw20-001</t>
  </si>
  <si>
    <t>20OC0114</t>
  </si>
  <si>
    <t>INFR-031-2020</t>
  </si>
  <si>
    <t>GOODS20-07-048</t>
  </si>
  <si>
    <t>ITB 18-2020</t>
  </si>
  <si>
    <t>PR #88</t>
  </si>
  <si>
    <t>20DP0080</t>
  </si>
  <si>
    <t>ITB 2020-07</t>
  </si>
  <si>
    <t>LGU-TAN-INFRA-2020-088</t>
  </si>
  <si>
    <t>TAYSAN2020-082</t>
  </si>
  <si>
    <t>BAC-ITR-2020-07-002</t>
  </si>
  <si>
    <t>20202307</t>
  </si>
  <si>
    <t>101-20-06-044</t>
  </si>
  <si>
    <t>CGB-2020-07-015</t>
  </si>
  <si>
    <t>LGU-TAN-GOODS-2020-090</t>
  </si>
  <si>
    <t>Lobong 2020-06</t>
  </si>
  <si>
    <t>20EB0142</t>
  </si>
  <si>
    <t>BAC2020-22</t>
  </si>
  <si>
    <t>JRF-2020-032</t>
  </si>
  <si>
    <t>BCS-2020-0210</t>
  </si>
  <si>
    <t>19PL0162</t>
  </si>
  <si>
    <t>2020-06-2661</t>
  </si>
  <si>
    <t>PB2020-07-003</t>
  </si>
  <si>
    <t>2020-05-03</t>
  </si>
  <si>
    <t>IGANG202001</t>
  </si>
  <si>
    <t>2020-06-2808</t>
  </si>
  <si>
    <t>PR 424-20</t>
  </si>
  <si>
    <t>2020-7-23-2</t>
  </si>
  <si>
    <t>BCS-2020-0211</t>
  </si>
  <si>
    <t>BCS-2020-0212</t>
  </si>
  <si>
    <t>20CB-GSC-460	REHABILITATION OF GOV'T BUILDING FOPR</t>
  </si>
  <si>
    <t>CID No. 20IO0083 (Re-Advertisement)</t>
  </si>
  <si>
    <t>BCS-2020-0213</t>
  </si>
  <si>
    <t>ITB No. 20-069  RE-BIDDING OF ONE (1) LOT SUPPLY A</t>
  </si>
  <si>
    <t>92-2020</t>
  </si>
  <si>
    <t>HS-5020308000-083-2020</t>
  </si>
  <si>
    <t>PR No. 14279 - 072120</t>
  </si>
  <si>
    <t>2020-07-402</t>
  </si>
  <si>
    <t>20DP0081</t>
  </si>
  <si>
    <t>20PI0100</t>
  </si>
  <si>
    <t>HS-5020308000-081-2020</t>
  </si>
  <si>
    <t>KABATUAN202001</t>
  </si>
  <si>
    <t>BDF-2020</t>
  </si>
  <si>
    <t>HS-5020308000-082-2020</t>
  </si>
  <si>
    <t xml:space="preserve">20CB-GSC-459	CATERING SERVICES WITH VENUE (BUFFET </t>
  </si>
  <si>
    <t>BCS-2020-0215</t>
  </si>
  <si>
    <t>2020-07-417</t>
  </si>
  <si>
    <t>ITB-KOR: 20-07-0741 CEO</t>
  </si>
  <si>
    <t>Lobong 2020-07</t>
  </si>
  <si>
    <t>Construction of Multi-Purpose Building and Sports</t>
  </si>
  <si>
    <t>BCS-2020-0214</t>
  </si>
  <si>
    <t>20EB0141</t>
  </si>
  <si>
    <t>cw20-002</t>
  </si>
  <si>
    <t>BAC2020-21</t>
  </si>
  <si>
    <t>HS-5020308000-080-2020</t>
  </si>
  <si>
    <t>PSU ITB 2003 085 087</t>
  </si>
  <si>
    <t>20-0899</t>
  </si>
  <si>
    <t>BAC2020-23</t>
  </si>
  <si>
    <t>20BD0024 - RE-AD</t>
  </si>
  <si>
    <t>2020-07-399</t>
  </si>
  <si>
    <t>LPZ - 2020 - 008</t>
  </si>
  <si>
    <t>PRDP-IR-RCAR-MOP-010-000-000-2019-R1</t>
  </si>
  <si>
    <t>20BD0019 - RE-AD</t>
  </si>
  <si>
    <t>20ND0077</t>
  </si>
  <si>
    <t>Lobong 2020-05</t>
  </si>
  <si>
    <t>20BD0015 - RE-AD</t>
  </si>
  <si>
    <t>CDRRMO-2020-02</t>
  </si>
  <si>
    <t>070092020</t>
  </si>
  <si>
    <t>20-DO-0087</t>
  </si>
  <si>
    <t>012-2020</t>
  </si>
  <si>
    <t>PR 07-20-003</t>
  </si>
  <si>
    <t>NS-07-24-20</t>
  </si>
  <si>
    <t>070082020</t>
  </si>
  <si>
    <t>2020-07-0297</t>
  </si>
  <si>
    <t>OGDS 07-23-20</t>
  </si>
  <si>
    <t>Aklan BAC ITB 400 Series of 2020</t>
  </si>
  <si>
    <t>GOODS 2020-026</t>
  </si>
  <si>
    <t>20OC0066</t>
  </si>
  <si>
    <t>211546</t>
  </si>
  <si>
    <t>20053422</t>
  </si>
  <si>
    <t>M-20-24</t>
  </si>
  <si>
    <t>20063773</t>
  </si>
  <si>
    <t>urea-8-18-2020</t>
  </si>
  <si>
    <t>tm-8-18-2020</t>
  </si>
  <si>
    <t>hrs-8-18-2020</t>
  </si>
  <si>
    <t>brgy.zone23</t>
  </si>
  <si>
    <t>SEF-20-07-01088</t>
  </si>
  <si>
    <t>hcs-8-18-2020</t>
  </si>
  <si>
    <t>20GDB0037</t>
  </si>
  <si>
    <t>IB No. 2020-067/ACN</t>
  </si>
  <si>
    <t>20ND0076</t>
  </si>
  <si>
    <t>GF-20-06-00893</t>
  </si>
  <si>
    <t>vlp-8-18-2020</t>
  </si>
  <si>
    <t>doc 1</t>
  </si>
  <si>
    <t>RVII-PCBU-2020-07-001</t>
  </si>
  <si>
    <t>DPWH-SK2DEO-20GMH071</t>
  </si>
  <si>
    <t>CID No. 20GLE0092 PR 20-07-0146</t>
  </si>
  <si>
    <t>DPWH-SK2DEO-20GMH070</t>
  </si>
  <si>
    <t>DPWH-SK2DEO-20GMH069</t>
  </si>
  <si>
    <t>DPWH-SK2DEO-20GMH068</t>
  </si>
  <si>
    <t>DPWH-SK2DEO-20GMH067</t>
  </si>
  <si>
    <t>ITB#001,PR#23-07-2020</t>
  </si>
  <si>
    <t>JJWC-NNP-20-015</t>
  </si>
  <si>
    <t>DPWH-SK2DEO-20GMH066</t>
  </si>
  <si>
    <t>SEF-20-07-01111</t>
  </si>
  <si>
    <t>DPWH-SK2DEO-20GMH065</t>
  </si>
  <si>
    <t>SPC PR No. 2000005534</t>
  </si>
  <si>
    <t>CID No. 20GLE0090 PR 20-07-0144</t>
  </si>
  <si>
    <t>PB-2020-29</t>
  </si>
  <si>
    <t>CID No. 20GLE0089 PR 20-07-0143</t>
  </si>
  <si>
    <t>SEF-20-07-01097</t>
  </si>
  <si>
    <t>3-01-001-20-076A (Re-bidding)</t>
  </si>
  <si>
    <t>irs-8-18-2020</t>
  </si>
  <si>
    <t>20GAF0003</t>
  </si>
  <si>
    <t>IB No. 2020-004</t>
  </si>
  <si>
    <t>20BD0137</t>
  </si>
  <si>
    <t>jayon-B-infra-08-02-2020</t>
  </si>
  <si>
    <t>CID No. 20GLE0091 PR 20-07-0145</t>
  </si>
  <si>
    <t>CID No. 20GLE0093 PR 20-07-0147</t>
  </si>
  <si>
    <t>179 – 2020</t>
  </si>
  <si>
    <t>IB No. 2020-005</t>
  </si>
  <si>
    <t>180 – 2020</t>
  </si>
  <si>
    <t>178 – 2020</t>
  </si>
  <si>
    <t>CID No. 20GLE0098 PR 20-07-0152</t>
  </si>
  <si>
    <t>CID No. 20GLE0097 PR 20-07-0151</t>
  </si>
  <si>
    <t>20OC0115</t>
  </si>
  <si>
    <t>24-2020-July-INFRA-DATAL TAMPAL</t>
  </si>
  <si>
    <t>SJ-20-195</t>
  </si>
  <si>
    <t>LGU-SA-2020-07-008</t>
  </si>
  <si>
    <t>CID No. 20GLE0094 PR 20-07-0148</t>
  </si>
  <si>
    <t>DPWH-SK2DEO-20GMH072</t>
  </si>
  <si>
    <t>211538</t>
  </si>
  <si>
    <t>211537</t>
  </si>
  <si>
    <t>CID No. 20GLE0096 PR 20-07-0150</t>
  </si>
  <si>
    <t>jayon-B-infra-08-01-2020</t>
  </si>
  <si>
    <t>M-20-23</t>
  </si>
  <si>
    <t>211534</t>
  </si>
  <si>
    <t>CID No. 20GLE0095 PR 20-07-0149</t>
  </si>
  <si>
    <t>070052020</t>
  </si>
  <si>
    <t>S2-ANT20-003</t>
  </si>
  <si>
    <t>PR. NO. 2020-07-000011</t>
  </si>
  <si>
    <t>STLU-011-2020</t>
  </si>
  <si>
    <t>PEO-2020-0988</t>
  </si>
  <si>
    <t>20GNE0041</t>
  </si>
  <si>
    <t>PNHS 018-07-2020</t>
  </si>
  <si>
    <t>AMP-20-07-043</t>
  </si>
  <si>
    <t>NP IF 2020-07-001</t>
  </si>
  <si>
    <t>STLU-022-2020</t>
  </si>
  <si>
    <t>BCS-2020-0219</t>
  </si>
  <si>
    <t>184 – 2020</t>
  </si>
  <si>
    <t>INFRASTRUTURE PROJECT 2020-001</t>
  </si>
  <si>
    <t>BCS-2020-0217</t>
  </si>
  <si>
    <t>BCS-2020-0216</t>
  </si>
  <si>
    <t>WOR-0006</t>
  </si>
  <si>
    <t>183 – 2020</t>
  </si>
  <si>
    <t>QRFCY2020RCL-C5</t>
  </si>
  <si>
    <t>BAC INFRA 2020-08-01</t>
  </si>
  <si>
    <t>20OC0116</t>
  </si>
  <si>
    <t>182 – 2020</t>
  </si>
  <si>
    <t>QFRRRPCY2020-C3</t>
  </si>
  <si>
    <t>QRFCY2020RCL-C2</t>
  </si>
  <si>
    <t>20EB0098</t>
  </si>
  <si>
    <t>20EB0095</t>
  </si>
  <si>
    <t>20EB0096</t>
  </si>
  <si>
    <t>QRFCY2020RCL-C1</t>
  </si>
  <si>
    <t>20EB0093</t>
  </si>
  <si>
    <t>20EB0132</t>
  </si>
  <si>
    <t>SKSR2020-005</t>
  </si>
  <si>
    <t>20EB0097</t>
  </si>
  <si>
    <t>20EB0094</t>
  </si>
  <si>
    <t>SKSR2020-006</t>
  </si>
  <si>
    <t>QRFCY2020RCLC4</t>
  </si>
  <si>
    <t>20GK0233</t>
  </si>
  <si>
    <t>20GK0235</t>
  </si>
  <si>
    <t>2020-07-0591</t>
  </si>
  <si>
    <t>ADS-1157-20</t>
  </si>
  <si>
    <t>20GK0234</t>
  </si>
  <si>
    <t>ADS-1673-20</t>
  </si>
  <si>
    <t>ADS-1675-20</t>
  </si>
  <si>
    <t>20200719-04INF</t>
  </si>
  <si>
    <t>QRFCY2020RCL-C13</t>
  </si>
  <si>
    <t>QRFCY2020RCL- C12</t>
  </si>
  <si>
    <t>QRFCY2020RCL-C11</t>
  </si>
  <si>
    <t>20GK0232</t>
  </si>
  <si>
    <t>QRFCY2020RCL-C10</t>
  </si>
  <si>
    <t>QRFCY2020RCL- C8</t>
  </si>
  <si>
    <t>QRFCY2020RCL-C14</t>
  </si>
  <si>
    <t>MSUN-INFRA-01-2020</t>
  </si>
  <si>
    <t>QRFCY2020RCL-C9</t>
  </si>
  <si>
    <t>ADS-1674-20</t>
  </si>
  <si>
    <t>AMP SVP-S NO: 20-07-0405  One (1) Lot Amazon Web S</t>
  </si>
  <si>
    <t>QRFCY2020RCL- C6</t>
  </si>
  <si>
    <t xml:space="preserve">043-2020  Procurement of REPRODUCTION Module K to </t>
  </si>
  <si>
    <t>2020-07-010B</t>
  </si>
  <si>
    <t>QRFCY2020RCL-C7</t>
  </si>
  <si>
    <t>2020-07-22&amp;23</t>
  </si>
  <si>
    <t>BAC-SI-2020-07-08</t>
  </si>
  <si>
    <t>PGR-GOODS-12-2020</t>
  </si>
  <si>
    <t>20EB0133</t>
  </si>
  <si>
    <t>PR # 100-2020-07-0076</t>
  </si>
  <si>
    <t>ADS-1678-20</t>
  </si>
  <si>
    <t>PBD 20-087</t>
  </si>
  <si>
    <t>2020-400</t>
  </si>
  <si>
    <t>20-07-0257</t>
  </si>
  <si>
    <t>PGR-GOODS-22-2020</t>
  </si>
  <si>
    <t>20-06-0243</t>
  </si>
  <si>
    <t>ADS-1718-20</t>
  </si>
  <si>
    <t>ADS-1719-20</t>
  </si>
  <si>
    <t>07202020</t>
  </si>
  <si>
    <t>ADS-1676-20</t>
  </si>
  <si>
    <t>07112020</t>
  </si>
  <si>
    <t>07212020</t>
  </si>
  <si>
    <t>Lot 34-GAA-2020</t>
  </si>
  <si>
    <t>101-020-007-078</t>
  </si>
  <si>
    <t>20IE0108</t>
  </si>
  <si>
    <t>20F00127</t>
  </si>
  <si>
    <t>HFW-2020-04-0147</t>
  </si>
  <si>
    <t>2020-0811-48</t>
  </si>
  <si>
    <t>20IE0107</t>
  </si>
  <si>
    <t>168 - 2020</t>
  </si>
  <si>
    <t>2020-0811-45</t>
  </si>
  <si>
    <t>2020-0811-47</t>
  </si>
  <si>
    <t>156 - 2020</t>
  </si>
  <si>
    <t>157 - 2020</t>
  </si>
  <si>
    <t>2020-0811-44</t>
  </si>
  <si>
    <t>2020-0811-43</t>
  </si>
  <si>
    <t>20IE0106</t>
  </si>
  <si>
    <t>2020-0811-49</t>
  </si>
  <si>
    <t>2020-0811-46</t>
  </si>
  <si>
    <t>20BF0065</t>
  </si>
  <si>
    <t>2020-007 LGUSJ-I</t>
  </si>
  <si>
    <t>159 - 2020</t>
  </si>
  <si>
    <t>tgs 18-20</t>
  </si>
  <si>
    <t>Goods-034-2020</t>
  </si>
  <si>
    <t>2020-010 LGUSJ-I</t>
  </si>
  <si>
    <t>158 - 2020</t>
  </si>
  <si>
    <t>2020-0811-39</t>
  </si>
  <si>
    <t>20-108</t>
  </si>
  <si>
    <t>153 - 2020</t>
  </si>
  <si>
    <t>20IE0109</t>
  </si>
  <si>
    <t>100-20-07-0856</t>
  </si>
  <si>
    <t>20IE0110</t>
  </si>
  <si>
    <t>ana-2020-003</t>
  </si>
  <si>
    <t>89-2020</t>
  </si>
  <si>
    <t>2020-009 LGUSJ-I</t>
  </si>
  <si>
    <t>88-2020</t>
  </si>
  <si>
    <t>3LSSM2020A-088</t>
  </si>
  <si>
    <t>Infra-055-2020</t>
  </si>
  <si>
    <t>3LSSM2020A-087</t>
  </si>
  <si>
    <t>3LSSM2020A-084</t>
  </si>
  <si>
    <t>3LSSM2020A-083</t>
  </si>
  <si>
    <t>3LSSM2020A-085</t>
  </si>
  <si>
    <t>ITB No. 20-068: RE-BIDDING FOR THE SUPPLY AND DELI</t>
  </si>
  <si>
    <t>3LSSM2020A-089</t>
  </si>
  <si>
    <t>NIAR6-GAA-SOLAR-GS03-20</t>
  </si>
  <si>
    <t>BAC-GS No. 2020-167</t>
  </si>
  <si>
    <t>3LSSM2020A-086</t>
  </si>
  <si>
    <t>2020-011 LGUSJ-I</t>
  </si>
  <si>
    <t>171 - 2020</t>
  </si>
  <si>
    <t>2020-012 LGUSJ-I</t>
  </si>
  <si>
    <t>20-062</t>
  </si>
  <si>
    <t>2020-0811-42</t>
  </si>
  <si>
    <t>20GGM0016</t>
  </si>
  <si>
    <t>2020-008 LGUSJ-I</t>
  </si>
  <si>
    <t>20IE0105</t>
  </si>
  <si>
    <t>2020-006 LGUSJ-I</t>
  </si>
  <si>
    <t>ROSAL 0383-2020</t>
  </si>
  <si>
    <t>162 - 2020</t>
  </si>
  <si>
    <t>2020-0811-41</t>
  </si>
  <si>
    <t>20GKJ0005</t>
  </si>
  <si>
    <t>2020-0811-40</t>
  </si>
  <si>
    <t>20BF0066</t>
  </si>
  <si>
    <t>brgy.caridad</t>
  </si>
  <si>
    <t>169 - 2020</t>
  </si>
  <si>
    <t>ADS-1677-20</t>
  </si>
  <si>
    <t>ITB No. (GDS) 2020-07-019  PROCUREMENT OF 1 UNIT D</t>
  </si>
  <si>
    <t>101-2020-07-398</t>
  </si>
  <si>
    <t>ADS-1145-20</t>
  </si>
  <si>
    <t>20FK0058</t>
  </si>
  <si>
    <t>T/F-2020-07-402</t>
  </si>
  <si>
    <t>101-2020-07-385,388,392,395,399</t>
  </si>
  <si>
    <t>20CSIM001</t>
  </si>
  <si>
    <t>161 - 2020</t>
  </si>
  <si>
    <t>2020-07-22-002</t>
  </si>
  <si>
    <t>G35-2020</t>
  </si>
  <si>
    <t>20FK0059</t>
  </si>
  <si>
    <t>2020-01-001</t>
  </si>
  <si>
    <t>93-2020</t>
  </si>
  <si>
    <t>ADS-1149-20</t>
  </si>
  <si>
    <t>MDRRM-101-2020-07-327</t>
  </si>
  <si>
    <t>20IE0112</t>
  </si>
  <si>
    <t>20IE0111</t>
  </si>
  <si>
    <t>ADS-1150-20</t>
  </si>
  <si>
    <t>20GIB0036</t>
  </si>
  <si>
    <t>ADS-1148-20</t>
  </si>
  <si>
    <t>ADS-1147-20</t>
  </si>
  <si>
    <t>19GL00118</t>
  </si>
  <si>
    <t>IB No. K-2020-077(SC)</t>
  </si>
  <si>
    <t>LOT 35-PVDC-2020</t>
  </si>
  <si>
    <t>20IE0115</t>
  </si>
  <si>
    <t>Infra-15-2020</t>
  </si>
  <si>
    <t>2020-POBLACION-040</t>
  </si>
  <si>
    <t>MPDO-CLUP-2020</t>
  </si>
  <si>
    <t>2020-POBLACION-039</t>
  </si>
  <si>
    <t>tgs 19-20</t>
  </si>
  <si>
    <t>Infra-14-2020</t>
  </si>
  <si>
    <t>0002-2020</t>
  </si>
  <si>
    <t>20IE0114</t>
  </si>
  <si>
    <t>20-07-084</t>
  </si>
  <si>
    <t>2020-POBLACION-038</t>
  </si>
  <si>
    <t>ISAT U GOODS-2020-07-08</t>
  </si>
  <si>
    <t>20IE0113</t>
  </si>
  <si>
    <t>LGU-ROX-SDG-07-2020</t>
  </si>
  <si>
    <t>01.2020.0016</t>
  </si>
  <si>
    <t>ITB # 2020-38</t>
  </si>
  <si>
    <t>20-123</t>
  </si>
  <si>
    <t>ADS-1146-20</t>
  </si>
  <si>
    <t>20AI0186</t>
  </si>
  <si>
    <t>IB No. K-2020-075(SC)</t>
  </si>
  <si>
    <t>ITB No. 2020-07-006</t>
  </si>
  <si>
    <t>ITB # 2020-39</t>
  </si>
  <si>
    <t>G-2020-07-020-5%CF</t>
  </si>
  <si>
    <t>2020-07-684</t>
  </si>
  <si>
    <t>LGU LAUREL 20-07-011</t>
  </si>
  <si>
    <t>IB No. K-2020-076(SC)</t>
  </si>
  <si>
    <t>Goods 2020-003</t>
  </si>
  <si>
    <t>2020-POBLACION-041</t>
  </si>
  <si>
    <t>2020-0004</t>
  </si>
  <si>
    <t>PB NO. RR5BAC-2020-008A</t>
  </si>
  <si>
    <t>ISAT U GOODS-2020-07-05</t>
  </si>
  <si>
    <t>OMM-LSB-2020</t>
  </si>
  <si>
    <t>2020-0080</t>
  </si>
  <si>
    <t>ITB 100-2020-07-07</t>
  </si>
  <si>
    <t>20IE0116</t>
  </si>
  <si>
    <t>072220</t>
  </si>
  <si>
    <t>guincam-07-001</t>
  </si>
  <si>
    <t>ITB 100-2020-07-11</t>
  </si>
  <si>
    <t>ITB 100-2020-07-10</t>
  </si>
  <si>
    <t>ITB 100-2020-07-09</t>
  </si>
  <si>
    <t>ISAT U GOODS-2020-07-07</t>
  </si>
  <si>
    <t>20GKI0040</t>
  </si>
  <si>
    <t>LGU_Piddig_2020_046</t>
  </si>
  <si>
    <t>ITB 100-2020-07-08</t>
  </si>
  <si>
    <t>CDC 53-07-2020</t>
  </si>
  <si>
    <t>20PA0135</t>
  </si>
  <si>
    <t>2020-0005</t>
  </si>
  <si>
    <t>IB No. K-2020-074(SC)</t>
  </si>
  <si>
    <t>2020-07-22-01</t>
  </si>
  <si>
    <t>20BC0178 re-adv.</t>
  </si>
  <si>
    <t>2020-018R</t>
  </si>
  <si>
    <t>IB No. 2020-07-06</t>
  </si>
  <si>
    <t>2020-0292, 2020-0293, 2020-0294, 2020-0298</t>
  </si>
  <si>
    <t>IB No. K-2020-072(SC)</t>
  </si>
  <si>
    <t>LGU_Piddig_2020_045</t>
  </si>
  <si>
    <t>20GNE0040</t>
  </si>
  <si>
    <t>ITB No. 2020-12</t>
  </si>
  <si>
    <t>07-122-2020</t>
  </si>
  <si>
    <t>2020-005C</t>
  </si>
  <si>
    <t>PGR-GOODS-06-2018</t>
  </si>
  <si>
    <t>20PA0136</t>
  </si>
  <si>
    <t>003-20-2020</t>
  </si>
  <si>
    <t>HILONGOS 2020-217</t>
  </si>
  <si>
    <t>HILONGOS 2020-218</t>
  </si>
  <si>
    <t>20ND0066 (Re-Ad)</t>
  </si>
  <si>
    <t>PN 12-2020</t>
  </si>
  <si>
    <t>BAC3-PO-PR10654</t>
  </si>
  <si>
    <t>117568-2020-036</t>
  </si>
  <si>
    <t>101-238 dated 7-02-2020</t>
  </si>
  <si>
    <t>20CSBC0001</t>
  </si>
  <si>
    <t>HILONGOS 2020-220</t>
  </si>
  <si>
    <t>HILONGOS 2020-219</t>
  </si>
  <si>
    <t>2020-13 (20DI0171)</t>
  </si>
  <si>
    <t>07-223-2020</t>
  </si>
  <si>
    <t>IB No. 2020-073(SC)</t>
  </si>
  <si>
    <t>2020-INFRA-07-009</t>
  </si>
  <si>
    <t>2020-13 (20DI0172)</t>
  </si>
  <si>
    <t>INFRA 2020-15</t>
  </si>
  <si>
    <t>20-06-023</t>
  </si>
  <si>
    <t>20BC0181</t>
  </si>
  <si>
    <t>PR 18-20-06-0788 - CED</t>
  </si>
  <si>
    <t>2020-07-319</t>
  </si>
  <si>
    <t>20ND0074</t>
  </si>
  <si>
    <t>20GFE0013</t>
  </si>
  <si>
    <t>IB No. K-202-078(SC)</t>
  </si>
  <si>
    <t>20GFE0014</t>
  </si>
  <si>
    <t>PR 31-20-07-0814 - DEPED</t>
  </si>
  <si>
    <t>100-20-07-0861</t>
  </si>
  <si>
    <t>20BC0182</t>
  </si>
  <si>
    <t>2020-007 INFRA "IMPROVEMENT OF TAU DATA CENTER AND</t>
  </si>
  <si>
    <t>7222020-2</t>
  </si>
  <si>
    <t>7222020</t>
  </si>
  <si>
    <t>072</t>
  </si>
  <si>
    <t>GF 003</t>
  </si>
  <si>
    <t>Aklan BAC ITB 395 Series of 2020</t>
  </si>
  <si>
    <t>7222020-4</t>
  </si>
  <si>
    <t>INF-SFO-06-20</t>
  </si>
  <si>
    <t>7222020-1</t>
  </si>
  <si>
    <t>096-20</t>
  </si>
  <si>
    <t>100-20-07-0857</t>
  </si>
  <si>
    <t>20GGJ0055</t>
  </si>
  <si>
    <t>2020-13 (20DI0173)</t>
  </si>
  <si>
    <t>20-06-0311</t>
  </si>
  <si>
    <t>20GGJ0054</t>
  </si>
  <si>
    <t>INF-SFO-05-20</t>
  </si>
  <si>
    <t>2020-07-310</t>
  </si>
  <si>
    <t>Competitive Bidding 2020-24</t>
  </si>
  <si>
    <t>7222020-3</t>
  </si>
  <si>
    <t>2020-071-18-1</t>
  </si>
  <si>
    <t>1016-20</t>
  </si>
  <si>
    <t>20GJ0114</t>
  </si>
  <si>
    <t>2020-06-PR040A</t>
  </si>
  <si>
    <t>050-20</t>
  </si>
  <si>
    <t>20BC0180</t>
  </si>
  <si>
    <t>7222020-8</t>
  </si>
  <si>
    <t>20GGJ0053</t>
  </si>
  <si>
    <t>073</t>
  </si>
  <si>
    <t>2020-071-18-3</t>
  </si>
  <si>
    <t>LGU_Piddig_2020_047</t>
  </si>
  <si>
    <t>20LB0191</t>
  </si>
  <si>
    <t>08-2020-INFRA</t>
  </si>
  <si>
    <t>20LB0194</t>
  </si>
  <si>
    <t>20GGJ0056</t>
  </si>
  <si>
    <t>07222020-1</t>
  </si>
  <si>
    <t>7222020-5</t>
  </si>
  <si>
    <t>7222020-7</t>
  </si>
  <si>
    <t>7222020-6</t>
  </si>
  <si>
    <t>2020-INFRA-07-010</t>
  </si>
  <si>
    <t>20-53 BLDG</t>
  </si>
  <si>
    <t>NFA-ISA-RFQ-G-01-2020</t>
  </si>
  <si>
    <t>SOLANO 081-2020</t>
  </si>
  <si>
    <t>20LB0319</t>
  </si>
  <si>
    <t>2020-INFRA-07-011</t>
  </si>
  <si>
    <t>P. R. No. 2020-0515</t>
  </si>
  <si>
    <t>20-52 RD</t>
  </si>
  <si>
    <t>100-20-07-0865</t>
  </si>
  <si>
    <t>20CB-GSC-462	INSTALLATION OF CCTV CAMERA (TRUST FU</t>
  </si>
  <si>
    <t>0320-074</t>
  </si>
  <si>
    <t>20BC0216</t>
  </si>
  <si>
    <t>DVO-200813-01</t>
  </si>
  <si>
    <t>20CB-GSC-463	ELECTRONIC TERMINAL SYSTEM (ETRACS) F</t>
  </si>
  <si>
    <t>20GLB0066</t>
  </si>
  <si>
    <t>SOLANO 080-2020</t>
  </si>
  <si>
    <t>SOLANO 083-2020</t>
  </si>
  <si>
    <t>Infra-16-2020</t>
  </si>
  <si>
    <t>2020-071-18-2</t>
  </si>
  <si>
    <t>2020-071-18-5</t>
  </si>
  <si>
    <t>LGU-ROX-CWC-12-2020</t>
  </si>
  <si>
    <t>COBAC IB NO. 004 (G) S. 2020</t>
  </si>
  <si>
    <t>PR 221-20-06-0685 - CED</t>
  </si>
  <si>
    <t>ITB NO. OCD 2020-09 (REPOSTING)</t>
  </si>
  <si>
    <t>20LB0321</t>
  </si>
  <si>
    <t>PEDIA-2020-06-0002</t>
  </si>
  <si>
    <t>20LB0320</t>
  </si>
  <si>
    <t>2020-071-18-4</t>
  </si>
  <si>
    <t>MAR-00037G-2020</t>
  </si>
  <si>
    <t>20BC0211</t>
  </si>
  <si>
    <t>20LB0259</t>
  </si>
  <si>
    <t>20BC0217</t>
  </si>
  <si>
    <t>DVO-200813-02</t>
  </si>
  <si>
    <t>20GGJ0057</t>
  </si>
  <si>
    <t>20GGJ0052</t>
  </si>
  <si>
    <t>097-20</t>
  </si>
  <si>
    <t>MAR-00036G-2020</t>
  </si>
  <si>
    <t>V07222020-220</t>
  </si>
  <si>
    <t>2020-INFRA-07-012</t>
  </si>
  <si>
    <t>DVO-200813-03</t>
  </si>
  <si>
    <t>PR 221-20-06-0692 - CED</t>
  </si>
  <si>
    <t>2020-INFRA-07-013</t>
  </si>
  <si>
    <t>DVO-200813-04</t>
  </si>
  <si>
    <t>PR 221-20-06-0694 - CED</t>
  </si>
  <si>
    <t>20GLB0068</t>
  </si>
  <si>
    <t>2020-198</t>
  </si>
  <si>
    <t>QSU-BAC-G-44-2020 05C SDF</t>
  </si>
  <si>
    <t>2020-071-18-6</t>
  </si>
  <si>
    <t>2020-0722-1</t>
  </si>
  <si>
    <t>BS 20-07-0744</t>
  </si>
  <si>
    <t>879-20</t>
  </si>
  <si>
    <t>BAC-PG-00167-20</t>
  </si>
  <si>
    <t>7222020-9</t>
  </si>
  <si>
    <t>7222020-10</t>
  </si>
  <si>
    <t>BS 20-07-0732</t>
  </si>
  <si>
    <t>7222020-11</t>
  </si>
  <si>
    <t>PR 221-20-06-0711 - CED</t>
  </si>
  <si>
    <t>DVO-200813-07</t>
  </si>
  <si>
    <t>2020-0722-3</t>
  </si>
  <si>
    <t>LOT 33-GAA-2020 CARDIAC CATHETERIZATION LABORATORY</t>
  </si>
  <si>
    <t>DVO-200813-05</t>
  </si>
  <si>
    <t>DVO-200813-08</t>
  </si>
  <si>
    <t>20CC0287</t>
  </si>
  <si>
    <t>7222020-12</t>
  </si>
  <si>
    <t>2020-0722-4</t>
  </si>
  <si>
    <t>20GJ0115</t>
  </si>
  <si>
    <t>0320-075</t>
  </si>
  <si>
    <t>BS 20-07-0731</t>
  </si>
  <si>
    <t>DVO-200813-06</t>
  </si>
  <si>
    <t>017-20</t>
  </si>
  <si>
    <t>INFRA-2020-12</t>
  </si>
  <si>
    <t>BS 20-07-0730</t>
  </si>
  <si>
    <t>Infra-2020-13</t>
  </si>
  <si>
    <t>G-006-2020</t>
  </si>
  <si>
    <t>20GJ0116</t>
  </si>
  <si>
    <t>2019-007-G</t>
  </si>
  <si>
    <t>07-01-2020</t>
  </si>
  <si>
    <t>I-2020-016</t>
  </si>
  <si>
    <t>BAC-PG-00168-20</t>
  </si>
  <si>
    <t>2020-07-75</t>
  </si>
  <si>
    <t>PR 221-20-06-0753 - CED</t>
  </si>
  <si>
    <t>I-2020-015</t>
  </si>
  <si>
    <t>7222020-13</t>
  </si>
  <si>
    <t>BAC-PG-00169-20</t>
  </si>
  <si>
    <t>PR 221-20-06-0713 - CED</t>
  </si>
  <si>
    <t>DVO-200813-09</t>
  </si>
  <si>
    <t>BS 20-07-0743</t>
  </si>
  <si>
    <t>2020-0722-5</t>
  </si>
  <si>
    <t>DVO-200813-10</t>
  </si>
  <si>
    <t>BS 20-06-OS004</t>
  </si>
  <si>
    <t>2020-0722-6</t>
  </si>
  <si>
    <t>ITB 2020-27</t>
  </si>
  <si>
    <t>MAR-00038G-2020</t>
  </si>
  <si>
    <t>2020-0722-9</t>
  </si>
  <si>
    <t>20-07-07</t>
  </si>
  <si>
    <t>7222020-16</t>
  </si>
  <si>
    <t>I-2020-018</t>
  </si>
  <si>
    <t>2020-0722-2</t>
  </si>
  <si>
    <t>DVO-200813-13</t>
  </si>
  <si>
    <t>I-2020-019</t>
  </si>
  <si>
    <t>GOODS-2020-050</t>
  </si>
  <si>
    <t>2020-0722-8</t>
  </si>
  <si>
    <t>DVO-200813-11</t>
  </si>
  <si>
    <t>7222020-15</t>
  </si>
  <si>
    <t>LGUBTA 20-081</t>
  </si>
  <si>
    <t>I-2020-017</t>
  </si>
  <si>
    <t>2020-06-0004</t>
  </si>
  <si>
    <t>PB-2020-13</t>
  </si>
  <si>
    <t>PB-2020-25</t>
  </si>
  <si>
    <t>LOT 31-GAA-2020 HEMODIALYSIS BLOODLINES 3-IN-1 WIT</t>
  </si>
  <si>
    <t>2020-07-084</t>
  </si>
  <si>
    <t>LGU-162-2020</t>
  </si>
  <si>
    <t>20KG0065(Rebid)</t>
  </si>
  <si>
    <t>2020-06-0003</t>
  </si>
  <si>
    <t>2020-95</t>
  </si>
  <si>
    <t>DVO-200813-15</t>
  </si>
  <si>
    <t>LGU-163-2020</t>
  </si>
  <si>
    <t>A43</t>
  </si>
  <si>
    <t>SOLANO 082-2020</t>
  </si>
  <si>
    <t>DVO-200813-12</t>
  </si>
  <si>
    <t>DVO-200813-14</t>
  </si>
  <si>
    <t>2020-0722-10</t>
  </si>
  <si>
    <t>2020-07-330</t>
  </si>
  <si>
    <t>7222020-14</t>
  </si>
  <si>
    <t>098-20</t>
  </si>
  <si>
    <t>Barangay Kilait Atimonan, Quezon 2020-</t>
  </si>
  <si>
    <t>INFRA-2020-11</t>
  </si>
  <si>
    <t>BS 20-02-0386</t>
  </si>
  <si>
    <t>SCM 0722-01-2020</t>
  </si>
  <si>
    <t>0990-20</t>
  </si>
  <si>
    <t>94-2020</t>
  </si>
  <si>
    <t>Contract ID: 20CSKH0001</t>
  </si>
  <si>
    <t>POW-20-07-07-187</t>
  </si>
  <si>
    <t>BAC-INFRA-20-08-01</t>
  </si>
  <si>
    <t>01-0722</t>
  </si>
  <si>
    <t>2020-07-63- 20DF20 (INFRA)</t>
  </si>
  <si>
    <t>INFR-027-2020</t>
  </si>
  <si>
    <t>LGUBTA 20-083</t>
  </si>
  <si>
    <t>2040-S1C03</t>
  </si>
  <si>
    <t>027-20</t>
  </si>
  <si>
    <t>LOT 30-GAA-2020 SUPPLY AND DELIVERY OF ARTERIAL BL</t>
  </si>
  <si>
    <t>2020-0722-7</t>
  </si>
  <si>
    <t>2020 – 07 – 026</t>
  </si>
  <si>
    <t>B-107-2020</t>
  </si>
  <si>
    <t>CGB-2020-07-014</t>
  </si>
  <si>
    <t>OGDS 07-22-20</t>
  </si>
  <si>
    <t>2020-07-66-20DF20(INFRA)</t>
  </si>
  <si>
    <t>ITB PR 0538</t>
  </si>
  <si>
    <t>2020-07-65- 20DF20 (INFRA)</t>
  </si>
  <si>
    <t>PGR-GOODS-19-2020</t>
  </si>
  <si>
    <t>LOT 32-GAA-2020</t>
  </si>
  <si>
    <t>ISAT INFRA-2020-07-02</t>
  </si>
  <si>
    <t>CW2020-01</t>
  </si>
  <si>
    <t>BAC-INFRA-20-08-02</t>
  </si>
  <si>
    <t>PB-2020-11</t>
  </si>
  <si>
    <t>RE-ITB-20MF0081</t>
  </si>
  <si>
    <t>PB- 2020-</t>
  </si>
  <si>
    <t>20GSK00011 - Re-ITB</t>
  </si>
  <si>
    <t>TIEZA-81-2020</t>
  </si>
  <si>
    <t>2020-07-194</t>
  </si>
  <si>
    <t>ITB 2020-0022</t>
  </si>
  <si>
    <t>2020-402</t>
  </si>
  <si>
    <t>2020-07-67-20DF20(INFRA)</t>
  </si>
  <si>
    <t>ISAT U GOODS-2020-07-10</t>
  </si>
  <si>
    <t>INF-B004-2020</t>
  </si>
  <si>
    <t>I-2020-020</t>
  </si>
  <si>
    <t>PB-2020-24</t>
  </si>
  <si>
    <t>20GSK00014</t>
  </si>
  <si>
    <t>PB-2020-23</t>
  </si>
  <si>
    <t>MEO-2020-67</t>
  </si>
  <si>
    <t>PB-2020-27</t>
  </si>
  <si>
    <t>PR-2020-1604</t>
  </si>
  <si>
    <t>TIEZA-80-2020</t>
  </si>
  <si>
    <t>PB-2020-09</t>
  </si>
  <si>
    <t>20GSK00013 - Re-ITB</t>
  </si>
  <si>
    <t>20GFC0033</t>
  </si>
  <si>
    <t>20GFC0032</t>
  </si>
  <si>
    <t>2020-0003</t>
  </si>
  <si>
    <t>081-20</t>
  </si>
  <si>
    <t>BAC-GS-2020-07-012</t>
  </si>
  <si>
    <t>DAR-ADS PB-2020-C-06-050</t>
  </si>
  <si>
    <t>darposoleyte_2020-01-0021</t>
  </si>
  <si>
    <t>013-20</t>
  </si>
  <si>
    <t>07222005</t>
  </si>
  <si>
    <t>PRRI-PB-2020-037</t>
  </si>
  <si>
    <t>20PK0062</t>
  </si>
  <si>
    <t>20GGD0003</t>
  </si>
  <si>
    <t>080-20</t>
  </si>
  <si>
    <t>20070331</t>
  </si>
  <si>
    <t>20-009-20BID</t>
  </si>
  <si>
    <t>079-20</t>
  </si>
  <si>
    <t>20GSK00016</t>
  </si>
  <si>
    <t>078-20</t>
  </si>
  <si>
    <t>BCS-2020-0207</t>
  </si>
  <si>
    <t>20-010-17BID</t>
  </si>
  <si>
    <t>RFQ-13-RIS-15620</t>
  </si>
  <si>
    <t>BCS-2020-0206</t>
  </si>
  <si>
    <t>20PK0061</t>
  </si>
  <si>
    <t>20PK0060</t>
  </si>
  <si>
    <t>20GDB0036</t>
  </si>
  <si>
    <t>0993-20</t>
  </si>
  <si>
    <t>72220-1</t>
  </si>
  <si>
    <t>RFQ NO. SVP-038-2020</t>
  </si>
  <si>
    <t>PR No. 2020-02-004</t>
  </si>
  <si>
    <t>BS-001-2020-R</t>
  </si>
  <si>
    <t>1000032215 and 1000033245</t>
  </si>
  <si>
    <t>5898698</t>
  </si>
  <si>
    <t>20-010-07 CHARLIE</t>
  </si>
  <si>
    <t>PB-P13</t>
  </si>
  <si>
    <t>388548467</t>
  </si>
  <si>
    <t>20FC0109</t>
  </si>
  <si>
    <t>20-OG-0105</t>
  </si>
  <si>
    <t>PB-2020-GDS-030</t>
  </si>
  <si>
    <t>20FC0066</t>
  </si>
  <si>
    <t>BTG3-2020-CS04</t>
  </si>
  <si>
    <t>20-OG-0103</t>
  </si>
  <si>
    <t>20-196</t>
  </si>
  <si>
    <t>20-OG-0104</t>
  </si>
  <si>
    <t>20GDB0032</t>
  </si>
  <si>
    <t>20-195</t>
  </si>
  <si>
    <t>20CSFE02</t>
  </si>
  <si>
    <t>BTG3-2020-CS03</t>
  </si>
  <si>
    <t>20-07-13-004</t>
  </si>
  <si>
    <t>Adv. 20-066</t>
  </si>
  <si>
    <t>20CSA009</t>
  </si>
  <si>
    <t>PNUNL CW 2020-07-22</t>
  </si>
  <si>
    <t>20GDB0033</t>
  </si>
  <si>
    <t>20CSA010</t>
  </si>
  <si>
    <t>IB No. 2020-07-04</t>
  </si>
  <si>
    <t>COB BAC Goods 2020-011-001</t>
  </si>
  <si>
    <t>Adv. 20-063</t>
  </si>
  <si>
    <t>PB2020-08-055I</t>
  </si>
  <si>
    <t>20FC0030</t>
  </si>
  <si>
    <t>IB No. 2020-07-05</t>
  </si>
  <si>
    <t>20-001-07 DELTA</t>
  </si>
  <si>
    <t>100-2020-0892</t>
  </si>
  <si>
    <t>Adv. 20-056</t>
  </si>
  <si>
    <t>Adv. 20-058</t>
  </si>
  <si>
    <t>Adv. 20-057</t>
  </si>
  <si>
    <t>Adv. 20-061</t>
  </si>
  <si>
    <t>BCS-2020-0209</t>
  </si>
  <si>
    <t>BAC-ITIO-GS No. 2020-0044 dated 22 May 2020</t>
  </si>
  <si>
    <t>Adv. 20-060</t>
  </si>
  <si>
    <t>Adv. 20-059</t>
  </si>
  <si>
    <t>G-20-07-005</t>
  </si>
  <si>
    <t>PB-012</t>
  </si>
  <si>
    <t>INFRA2020005</t>
  </si>
  <si>
    <t>CW2020-07-006(PB)</t>
  </si>
  <si>
    <t>goods-1282020</t>
  </si>
  <si>
    <t>BAG-I-2020-042</t>
  </si>
  <si>
    <t>2020-07-16-01</t>
  </si>
  <si>
    <t>goods-127-2020</t>
  </si>
  <si>
    <t>2020-07-16-02</t>
  </si>
  <si>
    <t>001 2020 BMBI</t>
  </si>
  <si>
    <t>goods-126-2020</t>
  </si>
  <si>
    <t>Adv. 20-062</t>
  </si>
  <si>
    <t>CW2020-07-005(PB)</t>
  </si>
  <si>
    <t>BAC-PG-00157-20</t>
  </si>
  <si>
    <t>20-07-0149</t>
  </si>
  <si>
    <t>200041</t>
  </si>
  <si>
    <t>CBAC2007001</t>
  </si>
  <si>
    <t>IB No. GS-2020 – 059-A</t>
  </si>
  <si>
    <t>goods-125-2020</t>
  </si>
  <si>
    <t>PBD-20-07-006</t>
  </si>
  <si>
    <t>IB No. GS-2020 – 069-A</t>
  </si>
  <si>
    <t>0005-03-2020</t>
  </si>
  <si>
    <t>AGR-20-0883-B</t>
  </si>
  <si>
    <t>043-20</t>
  </si>
  <si>
    <t>002-TAL-INFRA-2020</t>
  </si>
  <si>
    <t>BAC-IB No.: 2020-33</t>
  </si>
  <si>
    <t>IB No. GS-2020 – 073-A</t>
  </si>
  <si>
    <t>25dambuk20</t>
  </si>
  <si>
    <t>24dambuk20</t>
  </si>
  <si>
    <t>2020-07-14-05</t>
  </si>
  <si>
    <t>2020-07-14-04</t>
  </si>
  <si>
    <t>2020-07-14-03</t>
  </si>
  <si>
    <t>2020-07-14-02</t>
  </si>
  <si>
    <t>BCS-2020-0208</t>
  </si>
  <si>
    <t>Project Reference No. 2020-PB-DWM-037-01</t>
  </si>
  <si>
    <t>LTFRB-007-024</t>
  </si>
  <si>
    <t>1234</t>
  </si>
  <si>
    <t>2020-07-14-01</t>
  </si>
  <si>
    <t>20-045</t>
  </si>
  <si>
    <t>2020-07-086</t>
  </si>
  <si>
    <t>20GSK00012 - Re-ITB</t>
  </si>
  <si>
    <t>ITB PPA PNG BAC 2020-02</t>
  </si>
  <si>
    <t>INFRA 2020 - 001</t>
  </si>
  <si>
    <t>2020-07-348</t>
  </si>
  <si>
    <t>UPLB-RQ-7-151-20-RES OFFICE SUPPLIES &amp; DEVICES</t>
  </si>
  <si>
    <t>20-046</t>
  </si>
  <si>
    <t>PR-2020-1605</t>
  </si>
  <si>
    <t>2020-07-68-20DF20 (INFRA)</t>
  </si>
  <si>
    <t>2020-401</t>
  </si>
  <si>
    <t>OC-74(CEO-22) 20 CW</t>
  </si>
  <si>
    <t>PB-2020-10</t>
  </si>
  <si>
    <t>LOT 37-UOI-2020</t>
  </si>
  <si>
    <t>ITB 2020-26</t>
  </si>
  <si>
    <t>PB-2020-0010</t>
  </si>
  <si>
    <t>IB No. GS-2020 – 072-A</t>
  </si>
  <si>
    <t>POB-02-2020</t>
  </si>
  <si>
    <t>POW-20-07-13-195</t>
  </si>
  <si>
    <t>2020-07-64- 20DF20 (INFRA)</t>
  </si>
  <si>
    <t>ISAT U GOODS-2020-07-09</t>
  </si>
  <si>
    <t>PBI-2020-28</t>
  </si>
  <si>
    <t>2020-07-62- 20DF20 (INFRA)</t>
  </si>
  <si>
    <t>ISAT U GOODS-2020-07-06</t>
  </si>
  <si>
    <t>27829-001, 27830-001</t>
  </si>
  <si>
    <t>ITB No. 20-068 Supply and Delivery of Various Immu</t>
  </si>
  <si>
    <t>200-2020-07-008</t>
  </si>
  <si>
    <t>2017-14C02-02</t>
  </si>
  <si>
    <t>IB No. GS-2020 – 060-A</t>
  </si>
  <si>
    <t>2020-07-085</t>
  </si>
  <si>
    <t>07-00974</t>
  </si>
  <si>
    <t>PB2020-08-098G</t>
  </si>
  <si>
    <t>PB2020-08-097G</t>
  </si>
  <si>
    <t>PB2020-08-096G</t>
  </si>
  <si>
    <t>2020-01-006</t>
  </si>
  <si>
    <t>20GG00018 (Rebid)</t>
  </si>
  <si>
    <t>016</t>
  </si>
  <si>
    <t>2020-07-14-06</t>
  </si>
  <si>
    <t>100-2020-0720</t>
  </si>
  <si>
    <t>100-2020-0781</t>
  </si>
  <si>
    <t>2020-DRD-INF-04</t>
  </si>
  <si>
    <t>IAEB NO. 2020-010</t>
  </si>
  <si>
    <t>19CSK00044</t>
  </si>
  <si>
    <t>2020-INFRA-08-10-2020-1</t>
  </si>
  <si>
    <t>20BK0150</t>
  </si>
  <si>
    <t>goods-129-2020</t>
  </si>
  <si>
    <t>17202007067</t>
  </si>
  <si>
    <t>ITB-2020-005</t>
  </si>
  <si>
    <t>19CSK00042</t>
  </si>
  <si>
    <t>ITB-DARFO12-2020-0647</t>
  </si>
  <si>
    <t>INF2020-016</t>
  </si>
  <si>
    <t>20-M-G-005</t>
  </si>
  <si>
    <t>Goods 2020-41</t>
  </si>
  <si>
    <t>MES-2020-001</t>
  </si>
  <si>
    <t>BSV-2020-001</t>
  </si>
  <si>
    <t>100-2020-0882</t>
  </si>
  <si>
    <t>SN-2020-1</t>
  </si>
  <si>
    <t>SN-2020-8</t>
  </si>
  <si>
    <t>ITB-2020(Rebid)</t>
  </si>
  <si>
    <t>PR0128-20 PGO</t>
  </si>
  <si>
    <t>19CSK00043</t>
  </si>
  <si>
    <t>ITB 20-087</t>
  </si>
  <si>
    <t>GOODS 2020-018</t>
  </si>
  <si>
    <t>BGRY-2020-002</t>
  </si>
  <si>
    <t>IAEB NO. 2020-002</t>
  </si>
  <si>
    <t>PR0036-20 PAGRO REBID</t>
  </si>
  <si>
    <t>2020-589-07</t>
  </si>
  <si>
    <t>08112020-112</t>
  </si>
  <si>
    <t>MAD 020-2020</t>
  </si>
  <si>
    <t>INFRA 20-10-35: PACKAGE 20-35</t>
  </si>
  <si>
    <t>2020-13-Infra</t>
  </si>
  <si>
    <t>2020-1008-002</t>
  </si>
  <si>
    <t>2020-07-152</t>
  </si>
  <si>
    <t>Infra-10-2020</t>
  </si>
  <si>
    <t>Procurement of one (1) unit service vehicle 4x2 pi</t>
  </si>
  <si>
    <t>2020-07-21-0001</t>
  </si>
  <si>
    <t>2020-07-21-0002</t>
  </si>
  <si>
    <t>2020-1008-001</t>
  </si>
  <si>
    <t>PGR-INFRA-2020-03-01</t>
  </si>
  <si>
    <t>020-ECE20</t>
  </si>
  <si>
    <t>2020-ANT-GOODS-0144</t>
  </si>
  <si>
    <t>GS-P13-2020-08-13</t>
  </si>
  <si>
    <t>NFPC GARBAGE20-01</t>
  </si>
  <si>
    <t>791</t>
  </si>
  <si>
    <t>lgumat-2020-0041</t>
  </si>
  <si>
    <t>SN-2020-9</t>
  </si>
  <si>
    <t>20-07-04</t>
  </si>
  <si>
    <t>20-477</t>
  </si>
  <si>
    <t>20ITB-INF-02-00032</t>
  </si>
  <si>
    <t>PGR-INFRA-2019-12-04</t>
  </si>
  <si>
    <t>20MC0098(Re-Published)</t>
  </si>
  <si>
    <t>2020-11-Infra</t>
  </si>
  <si>
    <t>20-478</t>
  </si>
  <si>
    <t>0032-07-2020</t>
  </si>
  <si>
    <t>790</t>
  </si>
  <si>
    <t>20-07-03</t>
  </si>
  <si>
    <t>211529</t>
  </si>
  <si>
    <t>2020 B-06.307</t>
  </si>
  <si>
    <t>2020-07-155</t>
  </si>
  <si>
    <t>CW20-20</t>
  </si>
  <si>
    <t>20-MC-CO-0701</t>
  </si>
  <si>
    <t>MAD 021-2020</t>
  </si>
  <si>
    <t>Infra-11-2020</t>
  </si>
  <si>
    <t>211530</t>
  </si>
  <si>
    <t>MAD 022-2020</t>
  </si>
  <si>
    <t>0029-02-2020</t>
  </si>
  <si>
    <t>PB2020-02</t>
  </si>
  <si>
    <t>20MC0100 (Re-Published)</t>
  </si>
  <si>
    <t>Goods-2020-15</t>
  </si>
  <si>
    <t>INFR-2020 -14</t>
  </si>
  <si>
    <t>2020-07-09</t>
  </si>
  <si>
    <t>PANG-2020-0854</t>
  </si>
  <si>
    <t>lgumat-2020-0042</t>
  </si>
  <si>
    <t>2020-INFRA-08-10-2020-2</t>
  </si>
  <si>
    <t>PANG-2020-0855</t>
  </si>
  <si>
    <t>I.B.No. 2020-0033</t>
  </si>
  <si>
    <t>792</t>
  </si>
  <si>
    <t>HILONGOS 2020-216</t>
  </si>
  <si>
    <t>IB-2020-47</t>
  </si>
  <si>
    <t>2020-16-Infra</t>
  </si>
  <si>
    <t>20200721</t>
  </si>
  <si>
    <t>lgumat-2020-0043</t>
  </si>
  <si>
    <t>20GPI0007</t>
  </si>
  <si>
    <t>20KB0182</t>
  </si>
  <si>
    <t>BFAR5BAC-2020-137</t>
  </si>
  <si>
    <t>ITB 2020-44</t>
  </si>
  <si>
    <t>Infra-12-2020</t>
  </si>
  <si>
    <t>20IA0086 Re-advertisement  Application of Road Saf</t>
  </si>
  <si>
    <t>INFRA 20-11-36: PACKAGE 20-36</t>
  </si>
  <si>
    <t>brgy.zone11</t>
  </si>
  <si>
    <t>GS-P14-2020-08-13</t>
  </si>
  <si>
    <t>PR-01-20</t>
  </si>
  <si>
    <t>PANG-2020-0857</t>
  </si>
  <si>
    <t>MAD 023-2020</t>
  </si>
  <si>
    <t>BAGO-BAC-2020-0168</t>
  </si>
  <si>
    <t>I.B.No. 2020-0034</t>
  </si>
  <si>
    <t>MO-003-07-2020</t>
  </si>
  <si>
    <t>2020-17-Infra</t>
  </si>
  <si>
    <t>202007210001</t>
  </si>
  <si>
    <t>ITB 2020-42</t>
  </si>
  <si>
    <t>20-07-023</t>
  </si>
  <si>
    <t>PGR-INFRA-2020-03-04</t>
  </si>
  <si>
    <t>2020-07-707</t>
  </si>
  <si>
    <t>PANG-2020-0856</t>
  </si>
  <si>
    <t>2001-004-02</t>
  </si>
  <si>
    <t>BAGO-BAC-2020-0166</t>
  </si>
  <si>
    <t>PR No. 4000004556 dtd. 7/1/2020</t>
  </si>
  <si>
    <t>20-07-0150</t>
  </si>
  <si>
    <t>ITB 2020-45</t>
  </si>
  <si>
    <t>BAGO-BAC-2020-0174</t>
  </si>
  <si>
    <t>ITB 2020-41</t>
  </si>
  <si>
    <t>PGR-INFRA-2020-07-3</t>
  </si>
  <si>
    <t>20-00052</t>
  </si>
  <si>
    <t>BAGO-BAC-2020-0173</t>
  </si>
  <si>
    <t>PGR-INFRA-2020-03-16</t>
  </si>
  <si>
    <t>BAGO-BAC-2020-0172</t>
  </si>
  <si>
    <t>2020-02-0252-MAIN</t>
  </si>
  <si>
    <t>Infra-2020-04</t>
  </si>
  <si>
    <t>20GPI0008</t>
  </si>
  <si>
    <t>0026-07-2020</t>
  </si>
  <si>
    <t>PNUNL GD 2020-07-22A</t>
  </si>
  <si>
    <t>PANG-2020-0976</t>
  </si>
  <si>
    <t>2020-03-0432-MAIN</t>
  </si>
  <si>
    <t>ITB 2020-43</t>
  </si>
  <si>
    <t>20-07-117</t>
  </si>
  <si>
    <t>GOODS-20-38</t>
  </si>
  <si>
    <t>MO-004-07-2020</t>
  </si>
  <si>
    <t>ITB 2020-38</t>
  </si>
  <si>
    <t>P.R. No. 20-0096</t>
  </si>
  <si>
    <t>BAGO-BAC-2020-0175</t>
  </si>
  <si>
    <t>ITB 2020-39</t>
  </si>
  <si>
    <t>20GPI0009</t>
  </si>
  <si>
    <t>BAGO-BAC-2020-0167</t>
  </si>
  <si>
    <t>ITB 2020-34</t>
  </si>
  <si>
    <t>Infra-13-2020</t>
  </si>
  <si>
    <t>20GBD0034</t>
  </si>
  <si>
    <t>PB-INFRA-03-2020</t>
  </si>
  <si>
    <t>INFRA-2020-233</t>
  </si>
  <si>
    <t>PANG-2020-0977</t>
  </si>
  <si>
    <t>MAITUM202001</t>
  </si>
  <si>
    <t>ITB No. PPC-20-002</t>
  </si>
  <si>
    <t>ITB 2020-36</t>
  </si>
  <si>
    <t>ITB 2020-35</t>
  </si>
  <si>
    <t>PGR-INFRA-2020-08-04</t>
  </si>
  <si>
    <t>Infra 2020-12</t>
  </si>
  <si>
    <t>20NB0072</t>
  </si>
  <si>
    <t>PGR-INFRA-2020-08-01</t>
  </si>
  <si>
    <t>20NB0071</t>
  </si>
  <si>
    <t>ITB 007-048-2020</t>
  </si>
  <si>
    <t>PGR-INFRA-2020-08-03</t>
  </si>
  <si>
    <t>2020-015-GDS-2</t>
  </si>
  <si>
    <t>GOODS-20-39</t>
  </si>
  <si>
    <t>CIACBAC-Infra-P07</t>
  </si>
  <si>
    <t>PANG-2020-0863</t>
  </si>
  <si>
    <t>HILONGOS 2020-215</t>
  </si>
  <si>
    <t>Aklan BAC ITB 394 Series of 2020</t>
  </si>
  <si>
    <t>PANG-2020-0861</t>
  </si>
  <si>
    <t>Infra 2020-11</t>
  </si>
  <si>
    <t>20CI0105</t>
  </si>
  <si>
    <t>ITB 2020-37</t>
  </si>
  <si>
    <t>20-07-028</t>
  </si>
  <si>
    <t>072120-H01</t>
  </si>
  <si>
    <t>2020-02-0167</t>
  </si>
  <si>
    <t>2020-03-0470, 2020-02-0424, 2020-06-0578, 2020-06-</t>
  </si>
  <si>
    <t>20-07-027</t>
  </si>
  <si>
    <t>2020-01-0029,2020-06-0540, 2020-02-0167, 2020-02-0</t>
  </si>
  <si>
    <t>LunaLU 2020-07-031</t>
  </si>
  <si>
    <t>BRGY-POBLACION01-2020</t>
  </si>
  <si>
    <t>0075-0013-1215-2020</t>
  </si>
  <si>
    <t>0039/July/2020</t>
  </si>
  <si>
    <t>PANG-2020-0864</t>
  </si>
  <si>
    <t>2020-03-0469, 2020-02-0161</t>
  </si>
  <si>
    <t>07212020-B</t>
  </si>
  <si>
    <t>20NE0096</t>
  </si>
  <si>
    <t>20CSN014</t>
  </si>
  <si>
    <t>PANG-2020-0865</t>
  </si>
  <si>
    <t>20NB0055 (re-advertised)</t>
  </si>
  <si>
    <t>lam-bac-247-020</t>
  </si>
  <si>
    <t>20CSN013</t>
  </si>
  <si>
    <t>INFRA-38-2020</t>
  </si>
  <si>
    <t>PR 000-01-20</t>
  </si>
  <si>
    <t>2020-06-050-D</t>
  </si>
  <si>
    <t>2020-POBSK-002</t>
  </si>
  <si>
    <t>ITB GOODS 2020-07-42</t>
  </si>
  <si>
    <t>20200721-01</t>
  </si>
  <si>
    <t>2020-07-162-E</t>
  </si>
  <si>
    <t>BAG-1-2020-047</t>
  </si>
  <si>
    <t>PEO-20-0838-B</t>
  </si>
  <si>
    <t>CNSCSECURITY2020</t>
  </si>
  <si>
    <t>20CSN016</t>
  </si>
  <si>
    <t>SNMANUEL-2020-01</t>
  </si>
  <si>
    <t>20-07-029</t>
  </si>
  <si>
    <t>BAC-PGCS-044-2020</t>
  </si>
  <si>
    <t>PB-INF-001-2020</t>
  </si>
  <si>
    <t>ITB GOODS 2020-7-43</t>
  </si>
  <si>
    <t>PANG-2020-0866</t>
  </si>
  <si>
    <t>20NC0137</t>
  </si>
  <si>
    <t>LunaLU 2020-07-032</t>
  </si>
  <si>
    <t>Gs-2020-11</t>
  </si>
  <si>
    <t>ITB 2020-25</t>
  </si>
  <si>
    <t>2020-06-154-E</t>
  </si>
  <si>
    <t>BAC-PGCS-056-2020</t>
  </si>
  <si>
    <t>SNMANUEL-2020-02</t>
  </si>
  <si>
    <t>PANG-2020-0910</t>
  </si>
  <si>
    <t>Adv. 20-078</t>
  </si>
  <si>
    <t>20200721-02</t>
  </si>
  <si>
    <t>Adv. 20-077</t>
  </si>
  <si>
    <t>20CSN017</t>
  </si>
  <si>
    <t>S5-20-1489</t>
  </si>
  <si>
    <t>BGHMCPB-2020-27-001</t>
  </si>
  <si>
    <t>072120-B2</t>
  </si>
  <si>
    <t>037-FTC 2020</t>
  </si>
  <si>
    <t>20FO0108</t>
  </si>
  <si>
    <t>PANG-2020-0862</t>
  </si>
  <si>
    <t>BAC 2020-25</t>
  </si>
  <si>
    <t>V3-20-1416</t>
  </si>
  <si>
    <t>PANG-2020-0995</t>
  </si>
  <si>
    <t>ITB-2020-28</t>
  </si>
  <si>
    <t>I.B. No.2020-0037</t>
  </si>
  <si>
    <t>LGU LAUREL 20-05-012</t>
  </si>
  <si>
    <t>IB No. 2020-026</t>
  </si>
  <si>
    <t>ITB-2020-29</t>
  </si>
  <si>
    <t>20-012</t>
  </si>
  <si>
    <t>ITB-072120-1</t>
  </si>
  <si>
    <t>2020-05-232</t>
  </si>
  <si>
    <t>2020-07-422</t>
  </si>
  <si>
    <t>I.B. No.2020-0039</t>
  </si>
  <si>
    <t>DDO-20-4520</t>
  </si>
  <si>
    <t>20P00001</t>
  </si>
  <si>
    <t>DARLU-07-01-20-B-GOODS</t>
  </si>
  <si>
    <t>GS-P15-2020-08-13</t>
  </si>
  <si>
    <t>DDO-20-4623</t>
  </si>
  <si>
    <t>MIL-GOODS-2020-07-03</t>
  </si>
  <si>
    <t>itb 2020-35</t>
  </si>
  <si>
    <t>HS-5020308000-079-2020</t>
  </si>
  <si>
    <t>MABASA ITB 2020-02</t>
  </si>
  <si>
    <t>20AC0109</t>
  </si>
  <si>
    <t>I.B. No.2020-0038</t>
  </si>
  <si>
    <t>2020-07 -01BK</t>
  </si>
  <si>
    <t>I.B. No. 2020-0036</t>
  </si>
  <si>
    <t>20FO0107</t>
  </si>
  <si>
    <t>DAPA-084-2020</t>
  </si>
  <si>
    <t>NCR 20-07-112</t>
  </si>
  <si>
    <t>TABAYAG INFRA ITB NO. 2-2020</t>
  </si>
  <si>
    <t>2020-0188-PR2020-0539</t>
  </si>
  <si>
    <t>Q-098-20</t>
  </si>
  <si>
    <t>2020-06-289</t>
  </si>
  <si>
    <t>BAYLEGOOD0520055-RE-BID</t>
  </si>
  <si>
    <t>IA-P-2020-02</t>
  </si>
  <si>
    <t>039-FTC 2020</t>
  </si>
  <si>
    <t>PRDP-IB-RO02-ISA-048-000-000-2019-AF</t>
  </si>
  <si>
    <t>2020-06-283</t>
  </si>
  <si>
    <t>20AJ0107</t>
  </si>
  <si>
    <t>BAC-PGCS-062-2020</t>
  </si>
  <si>
    <t>20IJ-0086</t>
  </si>
  <si>
    <t>20AB0121</t>
  </si>
  <si>
    <t>2020-07-01BSM</t>
  </si>
  <si>
    <t>20-ICT4</t>
  </si>
  <si>
    <t>072120-B1</t>
  </si>
  <si>
    <t>PANG-2020-0994</t>
  </si>
  <si>
    <t>2020-04-216</t>
  </si>
  <si>
    <t>PB-G-2020-005</t>
  </si>
  <si>
    <t>CIVIL-2020-7</t>
  </si>
  <si>
    <t>038-FTC 2020</t>
  </si>
  <si>
    <t>ITB NO.2. Barangay Kaluknayan</t>
  </si>
  <si>
    <t>2020-0189-PR2020-0540</t>
  </si>
  <si>
    <t>PB-G-2020-004</t>
  </si>
  <si>
    <t>BAYLEGOOD0620060-RE-BID</t>
  </si>
  <si>
    <t>NIAR6-JRMPII-GS01-20</t>
  </si>
  <si>
    <t>040-FTC 2020</t>
  </si>
  <si>
    <t>07-21-08</t>
  </si>
  <si>
    <t>IB 2020-085</t>
  </si>
  <si>
    <t>07-21-07</t>
  </si>
  <si>
    <t>BAYLECON0720075</t>
  </si>
  <si>
    <t>2020-07-082</t>
  </si>
  <si>
    <t>IB-2020-50</t>
  </si>
  <si>
    <t>IB 2020-084</t>
  </si>
  <si>
    <t>041-FTC 2020</t>
  </si>
  <si>
    <t>0040/July/2020</t>
  </si>
  <si>
    <t>PB-G-2020-007</t>
  </si>
  <si>
    <t>Sarrat-2020-022</t>
  </si>
  <si>
    <t>20-0201</t>
  </si>
  <si>
    <t>INFRA-39-2020</t>
  </si>
  <si>
    <t>PR No. 2020 07 0084</t>
  </si>
  <si>
    <t>Calaca 2020-061</t>
  </si>
  <si>
    <t>20NC0139</t>
  </si>
  <si>
    <t>20P00019</t>
  </si>
  <si>
    <t>20P00010</t>
  </si>
  <si>
    <t>UPLB-S-046-08-20, SUPPLY AND DELIVERY OF BRANDED A</t>
  </si>
  <si>
    <t>042-FTC 2020</t>
  </si>
  <si>
    <t>20NC0138</t>
  </si>
  <si>
    <t>INFRA-40-2020</t>
  </si>
  <si>
    <t>ITB 2020-012</t>
  </si>
  <si>
    <t>Adv. 20-064</t>
  </si>
  <si>
    <t>INFRA-2020-20</t>
  </si>
  <si>
    <t>20IG0070</t>
  </si>
  <si>
    <t>Sarrat-2020-023</t>
  </si>
  <si>
    <t>DDO-20-4156</t>
  </si>
  <si>
    <t>INFRA-2020-19</t>
  </si>
  <si>
    <t>ITB 2020-011</t>
  </si>
  <si>
    <t>20GOE0032</t>
  </si>
  <si>
    <t>IB No. 2020-223</t>
  </si>
  <si>
    <t>BAC 2020-G07</t>
  </si>
  <si>
    <t>IN No. 2020-0039</t>
  </si>
  <si>
    <t>INFRA-2020-18</t>
  </si>
  <si>
    <t>IB-2020-083</t>
  </si>
  <si>
    <t>BAC-SBSL-MDRRMO-2020-015</t>
  </si>
  <si>
    <t>20IG0069</t>
  </si>
  <si>
    <t>ITB No. (INF) 2020-07-104 IMPROVEMENT OF OF MAGELL</t>
  </si>
  <si>
    <t>BAC 2020-G06</t>
  </si>
  <si>
    <t>INFRA -41-2020</t>
  </si>
  <si>
    <t>20GB00027</t>
  </si>
  <si>
    <t>2020-07-483</t>
  </si>
  <si>
    <t>072120-B4</t>
  </si>
  <si>
    <t>2020-07-484</t>
  </si>
  <si>
    <t>BAYLECON0720077</t>
  </si>
  <si>
    <t>20GF0108</t>
  </si>
  <si>
    <t>ITB NO. 07-20-02</t>
  </si>
  <si>
    <t>LFP MDO No. 001-2020</t>
  </si>
  <si>
    <t>INFRA-2020-21</t>
  </si>
  <si>
    <t>BAYLECON0720078</t>
  </si>
  <si>
    <t>Sarrat-2020-024</t>
  </si>
  <si>
    <t>2020-6-006a</t>
  </si>
  <si>
    <t>RO6-2020-34</t>
  </si>
  <si>
    <t>PR No. 2020 07 0083</t>
  </si>
  <si>
    <t>BAYLECON0720076</t>
  </si>
  <si>
    <t>LFP NBB No. 002-2020</t>
  </si>
  <si>
    <t>07-21-09</t>
  </si>
  <si>
    <t>200001</t>
  </si>
  <si>
    <t>GOODS-2020-64-2ND</t>
  </si>
  <si>
    <t>20-013</t>
  </si>
  <si>
    <t>BCS-2020-0199</t>
  </si>
  <si>
    <t>BAYLEGOOD0620063-RE-BID</t>
  </si>
  <si>
    <t>PB-G-2020-006</t>
  </si>
  <si>
    <t>PR-2020-1293</t>
  </si>
  <si>
    <t>20GOE0031</t>
  </si>
  <si>
    <t>PR 1093-20</t>
  </si>
  <si>
    <t>ITB 2020-013</t>
  </si>
  <si>
    <t>DAPA-085-2020</t>
  </si>
  <si>
    <t>LG2020MP</t>
  </si>
  <si>
    <t>INFRA-42-2020</t>
  </si>
  <si>
    <t>RCU 2020-05-016</t>
  </si>
  <si>
    <t>PR-2020-1441</t>
  </si>
  <si>
    <t>ITB No. (INF) 2020-07-105  REHABILITATION/IMPROVEM</t>
  </si>
  <si>
    <t>ITB NO. 07-20-03</t>
  </si>
  <si>
    <t>IB-2020-086</t>
  </si>
  <si>
    <t>20GB00028</t>
  </si>
  <si>
    <t>20IJ-0087</t>
  </si>
  <si>
    <t>ITB-2020-JDL-014 Re-Bid</t>
  </si>
  <si>
    <t>IB-2020-087</t>
  </si>
  <si>
    <t>ITB NO. 07-20-01</t>
  </si>
  <si>
    <t>itb 2020-37</t>
  </si>
  <si>
    <t>ITB NO. 07-20-06</t>
  </si>
  <si>
    <t>ITB NO. 07-20-07</t>
  </si>
  <si>
    <t>VIN BAC 042-2020</t>
  </si>
  <si>
    <t>20GB00029</t>
  </si>
  <si>
    <t>PGSO-2020-0183 PR2020-0506</t>
  </si>
  <si>
    <t>CEZRFQ 2020-07-16</t>
  </si>
  <si>
    <t>ITB NO. 07-20-05</t>
  </si>
  <si>
    <t>31-GOODS-CORN-2020</t>
  </si>
  <si>
    <t>ITB-2020-022</t>
  </si>
  <si>
    <t>ITB-2020-021</t>
  </si>
  <si>
    <t>PEO-2020-0186 PR2020-0537</t>
  </si>
  <si>
    <t>INFRA 20-11-37: PACKAGE 20-37</t>
  </si>
  <si>
    <t>SJ 2020-16-INFRA</t>
  </si>
  <si>
    <t>IB NO.  2020 - 066/RJP</t>
  </si>
  <si>
    <t>20AJ0106</t>
  </si>
  <si>
    <t>30-GOODS-CORN-2020</t>
  </si>
  <si>
    <t>Concreting/ Improvement of Mayana-Lamac Road, Bari</t>
  </si>
  <si>
    <t>20-06-05A-0030</t>
  </si>
  <si>
    <t>PANG-2020-0970</t>
  </si>
  <si>
    <t>20CSN015</t>
  </si>
  <si>
    <t>PEO-2020-0187 PR2020-0538</t>
  </si>
  <si>
    <t>2020-06-052-D</t>
  </si>
  <si>
    <t>PR 1122-20</t>
  </si>
  <si>
    <t>ITB NO. 07-20-04</t>
  </si>
  <si>
    <t>2020-02-0304, 2020-02-0198, 2020-02-0151, 2020-02-</t>
  </si>
  <si>
    <t>20CD0182</t>
  </si>
  <si>
    <t>100-2020-0830</t>
  </si>
  <si>
    <t>20CG0236</t>
  </si>
  <si>
    <t>20-07-030</t>
  </si>
  <si>
    <t>401-047 dated 5-21-2020</t>
  </si>
  <si>
    <t>ITB# 16-2020 Printing of Ballistics Certificate an</t>
  </si>
  <si>
    <t>PRDP-IR-R003-NUE-003-000-000-2014-D</t>
  </si>
  <si>
    <t>2020-06-0565, 2020-05-0511, 2020-02-0178, 2020-02-</t>
  </si>
  <si>
    <t>20CD0181</t>
  </si>
  <si>
    <t>Infra 2020-15</t>
  </si>
  <si>
    <t>20CD0180</t>
  </si>
  <si>
    <t>IB 2020-14</t>
  </si>
  <si>
    <t>2019-GSIS-PB-083</t>
  </si>
  <si>
    <t>Bid Ref. No. DENR-CO-2020-006</t>
  </si>
  <si>
    <t>2020-POBSK-003</t>
  </si>
  <si>
    <t>2000005452</t>
  </si>
  <si>
    <t>G-2020-479</t>
  </si>
  <si>
    <t>CB(B)-20-025(DEPED)</t>
  </si>
  <si>
    <t>20CG0244</t>
  </si>
  <si>
    <t>20CG0249</t>
  </si>
  <si>
    <t>G-2020-481</t>
  </si>
  <si>
    <t>20CG0246</t>
  </si>
  <si>
    <t>PRDP-IR-R003-NUE-003-000-000-2014-B</t>
  </si>
  <si>
    <t>G-2020-496</t>
  </si>
  <si>
    <t>R4-ORD-ARDMS-ADM-20-07-449</t>
  </si>
  <si>
    <t>20CG0241</t>
  </si>
  <si>
    <t>20CG0248</t>
  </si>
  <si>
    <t>CB(B0-20-024(CB)</t>
  </si>
  <si>
    <t>7212020</t>
  </si>
  <si>
    <t>ITB - 2020-07-0001</t>
  </si>
  <si>
    <t>20CG0243</t>
  </si>
  <si>
    <t>PB2020-61</t>
  </si>
  <si>
    <t>20CG0242</t>
  </si>
  <si>
    <t>G32-2020</t>
  </si>
  <si>
    <t>PB2020-60</t>
  </si>
  <si>
    <t>20CG0247</t>
  </si>
  <si>
    <t>PB2020-59</t>
  </si>
  <si>
    <t>101-186 dated 06-01-2020</t>
  </si>
  <si>
    <t>PB2020-57</t>
  </si>
  <si>
    <t>20GKA0006</t>
  </si>
  <si>
    <t>G-2020-484</t>
  </si>
  <si>
    <t>20CG0240</t>
  </si>
  <si>
    <t>G-2020-492</t>
  </si>
  <si>
    <t>G-2020-483</t>
  </si>
  <si>
    <t>401-056 dated 06-30-2020</t>
  </si>
  <si>
    <t>G-2020-482</t>
  </si>
  <si>
    <t>CB(B)-20-023(DEPED)</t>
  </si>
  <si>
    <t>20CG0245</t>
  </si>
  <si>
    <t>G-2020-500</t>
  </si>
  <si>
    <t>20CSPF0002</t>
  </si>
  <si>
    <t>PB2020-56</t>
  </si>
  <si>
    <t>bir pb 2020-05 cs</t>
  </si>
  <si>
    <t>20CSPF0001</t>
  </si>
  <si>
    <t>ITB No. 2020 – 82</t>
  </si>
  <si>
    <t>LGU-M-INFRA-17-20</t>
  </si>
  <si>
    <t>401-064 DATED 7-17-2020</t>
  </si>
  <si>
    <t>PB2020-58</t>
  </si>
  <si>
    <t>lGU-M-INFRA-15-20</t>
  </si>
  <si>
    <t>INFRA-43</t>
  </si>
  <si>
    <t>PB2020-66</t>
  </si>
  <si>
    <t>PB2020-64</t>
  </si>
  <si>
    <t>lGU-M-INFRA-16-20</t>
  </si>
  <si>
    <t>MGPQ-RML-2020-07-005</t>
  </si>
  <si>
    <t>UYB-06-671-20</t>
  </si>
  <si>
    <t>20GKA0007</t>
  </si>
  <si>
    <t>PB2020-63</t>
  </si>
  <si>
    <t>CB(B)-20-20(CEO)</t>
  </si>
  <si>
    <t>PB2020-62</t>
  </si>
  <si>
    <t>G-2020-501</t>
  </si>
  <si>
    <t>ITB PR No.: 1279-20BAC</t>
  </si>
  <si>
    <t>G34-2020</t>
  </si>
  <si>
    <t>SEF-20-06-01035</t>
  </si>
  <si>
    <t>07-22-2020-01</t>
  </si>
  <si>
    <t>ITB PR No.: 1181-20BAC</t>
  </si>
  <si>
    <t>PB-20-376</t>
  </si>
  <si>
    <t>PB-20-375</t>
  </si>
  <si>
    <t>LGU-Banayoyo, ISur 2020-07-061</t>
  </si>
  <si>
    <t>PB2020-65</t>
  </si>
  <si>
    <t>PB-20-373</t>
  </si>
  <si>
    <t>LGU GUA 22-20</t>
  </si>
  <si>
    <t>LGU-Banayoyo, ISur 2020-07-062</t>
  </si>
  <si>
    <t>PB-20-374</t>
  </si>
  <si>
    <t>PB-20-292</t>
  </si>
  <si>
    <t>07-22-2020-02</t>
  </si>
  <si>
    <t>BLGU-SAN ANTONIO 2020-01-INFRA</t>
  </si>
  <si>
    <t>20AH0223</t>
  </si>
  <si>
    <t>REOI (CS-07-2020-02) 20CSDE03</t>
  </si>
  <si>
    <t>2020-06-0009</t>
  </si>
  <si>
    <t>100-2020-07-811</t>
  </si>
  <si>
    <t>100-2020-07-836</t>
  </si>
  <si>
    <t>LGU-Banayoyo, ISur 2020-07-060</t>
  </si>
  <si>
    <t>100-2020-03-479</t>
  </si>
  <si>
    <t>ITB PR No.: 3310-19BAC</t>
  </si>
  <si>
    <t>Bid Ref. No. DENR-CO-2020-005</t>
  </si>
  <si>
    <t>BCS-2020-0205</t>
  </si>
  <si>
    <t>100-2020-06-805</t>
  </si>
  <si>
    <t>2020 - 019</t>
  </si>
  <si>
    <t>2020 - 018</t>
  </si>
  <si>
    <t>Bid No. 2020-019</t>
  </si>
  <si>
    <t>COB BAC Goods 2020-011-002</t>
  </si>
  <si>
    <t>20MADD0029</t>
  </si>
  <si>
    <t>2020 - 017</t>
  </si>
  <si>
    <t>00155-2020</t>
  </si>
  <si>
    <t>20MADD0026</t>
  </si>
  <si>
    <t>20MADD0027</t>
  </si>
  <si>
    <t>3LSSM2020A-041</t>
  </si>
  <si>
    <t>3LSSM2020A-040</t>
  </si>
  <si>
    <t>3LSSM2020A-039</t>
  </si>
  <si>
    <t>CB(B)-20-019(CEO)</t>
  </si>
  <si>
    <t>3LSSM2020A-037</t>
  </si>
  <si>
    <t>20MADD0028</t>
  </si>
  <si>
    <t>ITB No. 2020-23</t>
  </si>
  <si>
    <t>5321901</t>
  </si>
  <si>
    <t>20MADD0025</t>
  </si>
  <si>
    <t>cal07142020-02</t>
  </si>
  <si>
    <t>2020-GOODS-308</t>
  </si>
  <si>
    <t>2020-GOODS-307</t>
  </si>
  <si>
    <t>2020-07-074</t>
  </si>
  <si>
    <t>PRDP-IR-R003-NUE-003-000-000-2014-C</t>
  </si>
  <si>
    <t>456</t>
  </si>
  <si>
    <t>BAC2020-11</t>
  </si>
  <si>
    <t>SAMPALOC-002</t>
  </si>
  <si>
    <t>23dambuk20</t>
  </si>
  <si>
    <t>repairoftabacowhses</t>
  </si>
  <si>
    <t>cal07142020-01</t>
  </si>
  <si>
    <t>3LSSM2020A-038</t>
  </si>
  <si>
    <t>C-07.026</t>
  </si>
  <si>
    <t>C-07.024</t>
  </si>
  <si>
    <t>LIMAO-BAC-16-20</t>
  </si>
  <si>
    <t>ITB-ATI-CO-2020-08</t>
  </si>
  <si>
    <t>Cuartero_BAC 2020-015</t>
  </si>
  <si>
    <t>SanJoseBatsAeb2020-124</t>
  </si>
  <si>
    <t>SanJoseBatsAeb2020-118</t>
  </si>
  <si>
    <t>SanJoseBatsAeb2020-123</t>
  </si>
  <si>
    <t>TF-20-07-027(X)</t>
  </si>
  <si>
    <t>LGU-Banayoyo, ISur 2020-07-063</t>
  </si>
  <si>
    <t>ROSAL-0387-2020</t>
  </si>
  <si>
    <t>C-07.030</t>
  </si>
  <si>
    <t>3LSSM2020A-042</t>
  </si>
  <si>
    <t>C-07.023</t>
  </si>
  <si>
    <t>Cuartero_BAC 2020-014</t>
  </si>
  <si>
    <t>INFRA-2020-38</t>
  </si>
  <si>
    <t>2020 - 06 - 02</t>
  </si>
  <si>
    <t>2020 - 06 - 01</t>
  </si>
  <si>
    <t>INFRA-2020-37</t>
  </si>
  <si>
    <t>C-07.027</t>
  </si>
  <si>
    <t>PR 1017-20</t>
  </si>
  <si>
    <t>UPB-BID-2020-06</t>
  </si>
  <si>
    <t>INFRA-2020-33</t>
  </si>
  <si>
    <t>PR 1005-20</t>
  </si>
  <si>
    <t>PGL 20-092</t>
  </si>
  <si>
    <t>2020-190</t>
  </si>
  <si>
    <t>INFRA-2020-36</t>
  </si>
  <si>
    <t>INFRA-2020-34</t>
  </si>
  <si>
    <t>PB-GE1-2020-23</t>
  </si>
  <si>
    <t>20-06-08-0049</t>
  </si>
  <si>
    <t>C-07.028</t>
  </si>
  <si>
    <t>2020-PB-041</t>
  </si>
  <si>
    <t>PB-INT-2007-062</t>
  </si>
  <si>
    <t>2020-PB-040</t>
  </si>
  <si>
    <t>3LSSM2020A-043</t>
  </si>
  <si>
    <t>2020-PB-038</t>
  </si>
  <si>
    <t>2020-PB-037</t>
  </si>
  <si>
    <t>NIAR6-PRBIDP-DRONE-GS04-20</t>
  </si>
  <si>
    <t>2020-PB-039</t>
  </si>
  <si>
    <t>INFRA-2020-35</t>
  </si>
  <si>
    <t>2020 B-06.305</t>
  </si>
  <si>
    <t>INFRA-2020-40</t>
  </si>
  <si>
    <t>PCA6-2020-07-02</t>
  </si>
  <si>
    <t>INFRA-2020-39</t>
  </si>
  <si>
    <t>INFRA-12-20-06</t>
  </si>
  <si>
    <t>BARRM-SUL-07-SIA-17-20</t>
  </si>
  <si>
    <t>INFRA-12-20-05</t>
  </si>
  <si>
    <t>INFRA-12-20-04</t>
  </si>
  <si>
    <t>G-PVET-060-20</t>
  </si>
  <si>
    <t>INFRA-12-20-02</t>
  </si>
  <si>
    <t>05-066P-V</t>
  </si>
  <si>
    <t>TALB-08-06-2020</t>
  </si>
  <si>
    <t>2020 B-06.323</t>
  </si>
  <si>
    <t>INFRA-2020-41</t>
  </si>
  <si>
    <t>INFRA-12-20-01</t>
  </si>
  <si>
    <t>IB No. DE-2020-009</t>
  </si>
  <si>
    <t>2020-PB-035</t>
  </si>
  <si>
    <t>sal-2020-004</t>
  </si>
  <si>
    <t>300-20-06-007</t>
  </si>
  <si>
    <t>100-20-06-136</t>
  </si>
  <si>
    <t>INFRA-12-20-03</t>
  </si>
  <si>
    <t>2020 B-06.312</t>
  </si>
  <si>
    <t>PGL 20-094</t>
  </si>
  <si>
    <t>05-021P</t>
  </si>
  <si>
    <t>2020-ortho-103</t>
  </si>
  <si>
    <t>TALB-08-07-2020</t>
  </si>
  <si>
    <t>100-20-06-140</t>
  </si>
  <si>
    <t>100-20-06-121</t>
  </si>
  <si>
    <t>20KI0097</t>
  </si>
  <si>
    <t>IB No. 2020-008</t>
  </si>
  <si>
    <t>20072020</t>
  </si>
  <si>
    <t>100-20-06-142</t>
  </si>
  <si>
    <t>2020-07-0757 TDG</t>
  </si>
  <si>
    <t>PB-15-2020</t>
  </si>
  <si>
    <t>NS-07-21-20-01</t>
  </si>
  <si>
    <t>2020-016-B</t>
  </si>
  <si>
    <t>BSWM PR 2020-07-1797</t>
  </si>
  <si>
    <t>GOODS-2020-07-014</t>
  </si>
  <si>
    <t>202007-03</t>
  </si>
  <si>
    <t>IB-2020-08-30</t>
  </si>
  <si>
    <t>PCA6-2020-07-01</t>
  </si>
  <si>
    <t>IB-2020-08-29</t>
  </si>
  <si>
    <t>07-208P-R</t>
  </si>
  <si>
    <t>IB-2020-08-31</t>
  </si>
  <si>
    <t>CSU2020-07-008-HOTEL</t>
  </si>
  <si>
    <t>Infra-20-01</t>
  </si>
  <si>
    <t>07-177P-R</t>
  </si>
  <si>
    <t>TALB-08-08-2020</t>
  </si>
  <si>
    <t>2020 B-06.300/295/294/289/288</t>
  </si>
  <si>
    <t>InTB-PGA7171PEO2020-CW6</t>
  </si>
  <si>
    <t>NS-07-21-20-02</t>
  </si>
  <si>
    <t>072020-72</t>
  </si>
  <si>
    <t>20GSDG0024</t>
  </si>
  <si>
    <t>ITB No. 2020-LCB-PG-017</t>
  </si>
  <si>
    <t>QES-07-021-20</t>
  </si>
  <si>
    <t>QES-07-020-20</t>
  </si>
  <si>
    <t>202007-007</t>
  </si>
  <si>
    <t>072020-71</t>
  </si>
  <si>
    <t>101-1021/Trust (1051)-07-15-2020</t>
  </si>
  <si>
    <t>BAC2020-20</t>
  </si>
  <si>
    <t>Infra-2020-001</t>
  </si>
  <si>
    <t>BIMO-GOODS-2020-CM-PINAMANGGUHANCIP</t>
  </si>
  <si>
    <t>ITB GOODS 20-07-013</t>
  </si>
  <si>
    <t>20BE0095</t>
  </si>
  <si>
    <t>InTB-PGA7171PEO2020-CW10</t>
  </si>
  <si>
    <t>InTB-PGA7171PEO2020-CW9</t>
  </si>
  <si>
    <t>InTB-PGA7171PEO2020-CW11</t>
  </si>
  <si>
    <t>ITB No. 2020-LCB-PG-018</t>
  </si>
  <si>
    <t>20200626-03-G</t>
  </si>
  <si>
    <t>PB2020-07-110</t>
  </si>
  <si>
    <t>20200626-02-G</t>
  </si>
  <si>
    <t>2020-035 LOT 6</t>
  </si>
  <si>
    <t>010</t>
  </si>
  <si>
    <t>PR # 20-07-995/994/996</t>
  </si>
  <si>
    <t>2020-G-16</t>
  </si>
  <si>
    <t>ITB No. 2020-LCB-PG-019</t>
  </si>
  <si>
    <t>RFQ-PRDP-IR-RCAR-APA-004-000-000-2018-R1</t>
  </si>
  <si>
    <t>MA-A2H20-010..SURGE PROTECTOR, 13.8 CAPACITOR AT M</t>
  </si>
  <si>
    <t>2020-7-20-2</t>
  </si>
  <si>
    <t>PB20-06-002BACa-07</t>
  </si>
  <si>
    <t>PB-2020-07-045</t>
  </si>
  <si>
    <t>014</t>
  </si>
  <si>
    <t>ITB-DARFO12-2020-0646</t>
  </si>
  <si>
    <t>ITB No. 2020-LCB-PG-022</t>
  </si>
  <si>
    <t>ITB 2020-0019</t>
  </si>
  <si>
    <t>ITB No. 2020-LCB-PG-021</t>
  </si>
  <si>
    <t>20CN0160</t>
  </si>
  <si>
    <t>144-2020</t>
  </si>
  <si>
    <t>InTB-PGAPEO2020OIP-CW2</t>
  </si>
  <si>
    <t>ITB 2020-0018</t>
  </si>
  <si>
    <t>MG-TSE20-025 TESTER, IMPEDANCE, MULTIFUNCTION PRIM</t>
  </si>
  <si>
    <t>ITB No. 2020-LCB-PG-020</t>
  </si>
  <si>
    <t>2020-7-20-3</t>
  </si>
  <si>
    <t>20GSDG0025</t>
  </si>
  <si>
    <t>PB-INF-002-2020</t>
  </si>
  <si>
    <t>20O00051</t>
  </si>
  <si>
    <t>PB-2020-07-046</t>
  </si>
  <si>
    <t>ITB-DARFO12-2020-0645</t>
  </si>
  <si>
    <t>ITB-2020-04</t>
  </si>
  <si>
    <t>PR No. 2020 07 0085</t>
  </si>
  <si>
    <t>ITB-DARFO12-2020-0648</t>
  </si>
  <si>
    <t>ASTGOODS23</t>
  </si>
  <si>
    <t>19GL00115</t>
  </si>
  <si>
    <t>CHMSC 20-022-0720-G</t>
  </si>
  <si>
    <t>20KG0094(Rebid)</t>
  </si>
  <si>
    <t>1176-20-07-84</t>
  </si>
  <si>
    <t>pob-1-20</t>
  </si>
  <si>
    <t>RFQ NO. 20-02-234</t>
  </si>
  <si>
    <t>20BE0096</t>
  </si>
  <si>
    <t>FLGU-G-2020-37</t>
  </si>
  <si>
    <t>20KG0098</t>
  </si>
  <si>
    <t>MG-GPD20-004, SUPPLY/INSTALLATION OF OPERATION DIS</t>
  </si>
  <si>
    <t>015</t>
  </si>
  <si>
    <t>PB NO. 2020-051</t>
  </si>
  <si>
    <t>2020-11-037-INFRA</t>
  </si>
  <si>
    <t>IB No. 2020-052</t>
  </si>
  <si>
    <t>20-27</t>
  </si>
  <si>
    <t>INFRA#0006 ,ITB#0111, JO#0062: SCG-2020</t>
  </si>
  <si>
    <t>07-020-463-20</t>
  </si>
  <si>
    <t>ITB-DARFO12-2020-0651</t>
  </si>
  <si>
    <t>2020-048-2</t>
  </si>
  <si>
    <t>cal07202020-02</t>
  </si>
  <si>
    <t>DENR-GOODS-2020-001</t>
  </si>
  <si>
    <t>BAC 2020-020</t>
  </si>
  <si>
    <t>2020-145</t>
  </si>
  <si>
    <t>MG-A7C20-006, CARBON BRUSH FOR UNITS 3, 4 &amp; 5 FOR</t>
  </si>
  <si>
    <t>20-07-077</t>
  </si>
  <si>
    <t>G-121-20</t>
  </si>
  <si>
    <t>InTB-PGA7171PEO2020-CW12</t>
  </si>
  <si>
    <t>2020-0067</t>
  </si>
  <si>
    <t>2020-PB-036</t>
  </si>
  <si>
    <t>20KD0068</t>
  </si>
  <si>
    <t>GADD 20 - 2M</t>
  </si>
  <si>
    <t>ITB-DARFO12-2020-0653</t>
  </si>
  <si>
    <t>TAL-08-06-2020</t>
  </si>
  <si>
    <t>2020-PB-034</t>
  </si>
  <si>
    <t>2020072001</t>
  </si>
  <si>
    <t>2020-046-2</t>
  </si>
  <si>
    <t>20EA0001-R1</t>
  </si>
  <si>
    <t>2020-POBLACION-036</t>
  </si>
  <si>
    <t>PB-2020-005</t>
  </si>
  <si>
    <t>ITB-DARFO12-2020-0652</t>
  </si>
  <si>
    <t>BAC-2020-0024</t>
  </si>
  <si>
    <t>2020-285</t>
  </si>
  <si>
    <t>TINOC-2020-06-GOODS</t>
  </si>
  <si>
    <t>2020-395</t>
  </si>
  <si>
    <t>PB-G-001-2020</t>
  </si>
  <si>
    <t>WEST II</t>
  </si>
  <si>
    <t>lgumambu_brgybunga_cw_july_2020_001</t>
  </si>
  <si>
    <t>MG-A5C20-013, INSTALLATION OF CONTROL ROOM FIRE SU</t>
  </si>
  <si>
    <t>0007-07-20</t>
  </si>
  <si>
    <t>QES-07-019-20</t>
  </si>
  <si>
    <t>RFP No. 2020-009</t>
  </si>
  <si>
    <t>2020-POBLACION-035</t>
  </si>
  <si>
    <t>lgumambu_brgynajusan_cw_july_2020_001</t>
  </si>
  <si>
    <t>2020-0068</t>
  </si>
  <si>
    <t>INF2020-07-028</t>
  </si>
  <si>
    <t>MG-A7M20-008, REHAB OF AGUS 6 UNIT NO 5 COOLING SY</t>
  </si>
  <si>
    <t>DARPO-CAG-2020-07</t>
  </si>
  <si>
    <t>2020-0069</t>
  </si>
  <si>
    <t>GDS-2020-10</t>
  </si>
  <si>
    <t>2020 B-07.345</t>
  </si>
  <si>
    <t>2020072002</t>
  </si>
  <si>
    <t>TAL-08-09-2020</t>
  </si>
  <si>
    <t>UPLB-S-045-08-20, SUPPLY AND DELIVERY OF BRANDED A</t>
  </si>
  <si>
    <t>TAL-08-08-2020</t>
  </si>
  <si>
    <t>2020-0073</t>
  </si>
  <si>
    <t>2020-0074</t>
  </si>
  <si>
    <t>TAL-08-07-2020</t>
  </si>
  <si>
    <t>PB-INF-004-2020</t>
  </si>
  <si>
    <t>20HB0168</t>
  </si>
  <si>
    <t>ITB No. 20-063</t>
  </si>
  <si>
    <t>'026</t>
  </si>
  <si>
    <t>ITB2020-01-07</t>
  </si>
  <si>
    <t>TAL-08-11-2020</t>
  </si>
  <si>
    <t>2020-0070</t>
  </si>
  <si>
    <t>2020-397</t>
  </si>
  <si>
    <t>20KD0069</t>
  </si>
  <si>
    <t>brgy.gacat20</t>
  </si>
  <si>
    <t>GEPS-2020-07-006</t>
  </si>
  <si>
    <t>INFRA 2K20-51</t>
  </si>
  <si>
    <t>2020072005</t>
  </si>
  <si>
    <t>'027</t>
  </si>
  <si>
    <t>DepEd-2020-01</t>
  </si>
  <si>
    <t>12-2020</t>
  </si>
  <si>
    <t>2020-0072</t>
  </si>
  <si>
    <t>TAL-08-10-2020</t>
  </si>
  <si>
    <t>20GFL0003</t>
  </si>
  <si>
    <t>PMS-BAC_2020 SUPPLY, DELIVERY AND INSTALLATION OF</t>
  </si>
  <si>
    <t>GD 2020-07-023</t>
  </si>
  <si>
    <t>UPLB-RQ-7-150-20-RES LABORATORY SUPPLIES &amp; EQUIPME</t>
  </si>
  <si>
    <t>B2020-097-A</t>
  </si>
  <si>
    <t>MKWD2020-061</t>
  </si>
  <si>
    <t>Goods 0033-2020</t>
  </si>
  <si>
    <t>2020-07-079</t>
  </si>
  <si>
    <t>ITB No. 20-069 Supply and Delivery of Various Card</t>
  </si>
  <si>
    <t>Goods 0032-2020</t>
  </si>
  <si>
    <t>20CSFL03</t>
  </si>
  <si>
    <t>2020-0071</t>
  </si>
  <si>
    <t>2020-06-PR039A</t>
  </si>
  <si>
    <t>MG-A5C20-051..FIRE EXTINGUISHER, PORTABLE, FOAM, A</t>
  </si>
  <si>
    <t>NFABARMM-TRUCKING-G-007</t>
  </si>
  <si>
    <t>BAC-PG-00165-20</t>
  </si>
  <si>
    <t>20GF0103</t>
  </si>
  <si>
    <t>20-07-0345</t>
  </si>
  <si>
    <t>geps(carangian) 2020-07-004</t>
  </si>
  <si>
    <t>INFRA20–07–058</t>
  </si>
  <si>
    <t>PB 20-03-19</t>
  </si>
  <si>
    <t>2020-POBLACION-037</t>
  </si>
  <si>
    <t>INFRA20–07–059</t>
  </si>
  <si>
    <t>GOODS20-07-046</t>
  </si>
  <si>
    <t>20KA0101 (Readvertisement)</t>
  </si>
  <si>
    <t>TAL-08-13-2020</t>
  </si>
  <si>
    <t>100-202006-00969</t>
  </si>
  <si>
    <t>OPOL 2020-067</t>
  </si>
  <si>
    <t>ITB NO. 2020-07-003</t>
  </si>
  <si>
    <t>TAL-08-12-2020</t>
  </si>
  <si>
    <t>20GP00088</t>
  </si>
  <si>
    <t>INF20-13</t>
  </si>
  <si>
    <t>20200720</t>
  </si>
  <si>
    <t>INF20-12</t>
  </si>
  <si>
    <t>100-202007-00990</t>
  </si>
  <si>
    <t>BAC Ref No. 06-2020</t>
  </si>
  <si>
    <t>GOODS20-07-045</t>
  </si>
  <si>
    <t>Goods 0035-2020</t>
  </si>
  <si>
    <t>07-002-20</t>
  </si>
  <si>
    <t>07-001-20</t>
  </si>
  <si>
    <t>20GDJ0009/N-2020-07-129</t>
  </si>
  <si>
    <t>20GDJ0010/N-2020-07-130</t>
  </si>
  <si>
    <t>2020-019-B</t>
  </si>
  <si>
    <t>2020-020-B</t>
  </si>
  <si>
    <t>2020-025-B</t>
  </si>
  <si>
    <t>CGB-2020-07-012</t>
  </si>
  <si>
    <t>2020-017-B</t>
  </si>
  <si>
    <t>INFRA-2020-015</t>
  </si>
  <si>
    <t>NFA-RBACXII-2020-G-060</t>
  </si>
  <si>
    <t>100-1912-02005</t>
  </si>
  <si>
    <t>2020-06-0019</t>
  </si>
  <si>
    <t>2020-005-B-PA</t>
  </si>
  <si>
    <t>2020-022-B</t>
  </si>
  <si>
    <t>Repair and Rehabilitation of CCIS Computer Laborat</t>
  </si>
  <si>
    <t>Repair/Rehabilitation of One (1) Storey Multi-Purp</t>
  </si>
  <si>
    <t>CP_Rehab_DSA_07_2020_06</t>
  </si>
  <si>
    <t>2020-021-B</t>
  </si>
  <si>
    <t>200-202006-00033</t>
  </si>
  <si>
    <t>BAC Ref No. 01-2020VS (2nd Bidding)</t>
  </si>
  <si>
    <t>BCS-2020-0194</t>
  </si>
  <si>
    <t>2020-024-B</t>
  </si>
  <si>
    <t>BAC Ref No. 08-2020BTC</t>
  </si>
  <si>
    <t>2020-023-B</t>
  </si>
  <si>
    <t>2020-07-09-INFRA</t>
  </si>
  <si>
    <t>BCS-2020-0193</t>
  </si>
  <si>
    <t>BCS-2020-0192</t>
  </si>
  <si>
    <t>7-20-28</t>
  </si>
  <si>
    <t>2020-026-B</t>
  </si>
  <si>
    <t>2020-07-04-GOODS</t>
  </si>
  <si>
    <t>PB20-021-1</t>
  </si>
  <si>
    <t>BAC Ref No. 07-2020DC</t>
  </si>
  <si>
    <t>IB NO. 039-20</t>
  </si>
  <si>
    <t>GOODS-2020-014</t>
  </si>
  <si>
    <t>BCS-2020-0191</t>
  </si>
  <si>
    <t>BCS-2020-0190</t>
  </si>
  <si>
    <t>2020-018-B</t>
  </si>
  <si>
    <t>GOODS-2020-016</t>
  </si>
  <si>
    <t>2020-7-20-6</t>
  </si>
  <si>
    <t>2020-06-0017</t>
  </si>
  <si>
    <t>2020-06-0016</t>
  </si>
  <si>
    <t>CGB-2020-02-011</t>
  </si>
  <si>
    <t>47-02-20-TRUST PFPR</t>
  </si>
  <si>
    <t>2020-07-07-INFRA</t>
  </si>
  <si>
    <t>61-03-20-CONTINUING APPROPRIATION</t>
  </si>
  <si>
    <t>2020-07-08-IFRA</t>
  </si>
  <si>
    <t>2020-07-04-INFRA</t>
  </si>
  <si>
    <t>0070-07-2020</t>
  </si>
  <si>
    <t>2020-7-20-5</t>
  </si>
  <si>
    <t>GOODS-2020-013</t>
  </si>
  <si>
    <t>2020-07-05-GOODS</t>
  </si>
  <si>
    <t>BCS-2020-0197</t>
  </si>
  <si>
    <t>2020 - B5 - Various Hospital and Medical Equipment</t>
  </si>
  <si>
    <t>sjom-infra-0011-2020</t>
  </si>
  <si>
    <t>2020 - B5 - Project G - Various Hospital and Medic</t>
  </si>
  <si>
    <t>0033-07-2020</t>
  </si>
  <si>
    <t>BCS-2020-0195</t>
  </si>
  <si>
    <t>2020-7-20-9</t>
  </si>
  <si>
    <t>BCS-2020-0196</t>
  </si>
  <si>
    <t>100-07-20-101</t>
  </si>
  <si>
    <t>46-02-20-TRUST PFPR</t>
  </si>
  <si>
    <t>2020-07-05-INFRA</t>
  </si>
  <si>
    <t>2020 - B5 - Project E - Various Hospital and Medic</t>
  </si>
  <si>
    <t>2020-7-20-7</t>
  </si>
  <si>
    <t>41-02-20-TRUST YRRP</t>
  </si>
  <si>
    <t>R4B-20-07-09</t>
  </si>
  <si>
    <t>2020 - B5 - Project D - Various Hospital and Medic</t>
  </si>
  <si>
    <t>IAEB 222-20</t>
  </si>
  <si>
    <t>G-PEO-057-20</t>
  </si>
  <si>
    <t>2020-7-20-8</t>
  </si>
  <si>
    <t>G-PGO-056-20</t>
  </si>
  <si>
    <t>G-PGO-055-20</t>
  </si>
  <si>
    <t>GOODS-2020-017</t>
  </si>
  <si>
    <t>2020-AP-07-28</t>
  </si>
  <si>
    <t>DOT-BAC-REI NO. 2020-005</t>
  </si>
  <si>
    <t>20-0623-198</t>
  </si>
  <si>
    <t>093 - 2020</t>
  </si>
  <si>
    <t>PR No. 2020 - 07 - 039</t>
  </si>
  <si>
    <t>2020-01-01</t>
  </si>
  <si>
    <t>G-PHO-054-20</t>
  </si>
  <si>
    <t>ROSS PR Nos. 1000032416 and 1000033046</t>
  </si>
  <si>
    <t>2020-049</t>
  </si>
  <si>
    <t>53-03-20-101</t>
  </si>
  <si>
    <t>2020-7-20-4</t>
  </si>
  <si>
    <t>2020-07-06-GOO</t>
  </si>
  <si>
    <t>DDO-20-4553</t>
  </si>
  <si>
    <t>20-040</t>
  </si>
  <si>
    <t>CTB-08312020-MAT-MAG-BARMM</t>
  </si>
  <si>
    <t>BCS-2020-0198</t>
  </si>
  <si>
    <t>ICR-20EE0132 (Re-Bid No. 2)</t>
  </si>
  <si>
    <t>6-8-20-ID5</t>
  </si>
  <si>
    <t>20GK0229</t>
  </si>
  <si>
    <t>28</t>
  </si>
  <si>
    <t>FER2020-022</t>
  </si>
  <si>
    <t>Various PRs - Toner with Free use Printers</t>
  </si>
  <si>
    <t>infra2020-4</t>
  </si>
  <si>
    <t>FER2020-021</t>
  </si>
  <si>
    <t>2020-CW-020</t>
  </si>
  <si>
    <t>2020-85 (GAS)</t>
  </si>
  <si>
    <t>CONTRACT ID: 20-07-097</t>
  </si>
  <si>
    <t>PB 03-202 - 03</t>
  </si>
  <si>
    <t>ESP-GOODS-020-2020</t>
  </si>
  <si>
    <t>PB 03-2020 - 02</t>
  </si>
  <si>
    <t>2020-86 (GAS)</t>
  </si>
  <si>
    <t>2020-84 (GAS)</t>
  </si>
  <si>
    <t>2020-81 (GAS)</t>
  </si>
  <si>
    <t>ESP-GOODS-019-2020</t>
  </si>
  <si>
    <t>tabacotruckscale2020</t>
  </si>
  <si>
    <t>FER2020-009</t>
  </si>
  <si>
    <t>ICR-20EE0128 (Re-Bid No. 2)</t>
  </si>
  <si>
    <t>PR. NO. 2020-06-000006</t>
  </si>
  <si>
    <t>2020-152</t>
  </si>
  <si>
    <t>2020 - B5 - Project F - Various Hospital and Medic</t>
  </si>
  <si>
    <t>20A00216</t>
  </si>
  <si>
    <t>PB NO. 2020-050</t>
  </si>
  <si>
    <t>GDS-351-2020</t>
  </si>
  <si>
    <t>2020-151</t>
  </si>
  <si>
    <t>DV -2020-G20</t>
  </si>
  <si>
    <t>2020-83 (GAS)</t>
  </si>
  <si>
    <t>TALB-08-02-2020</t>
  </si>
  <si>
    <t>PB 03-2020 - 06</t>
  </si>
  <si>
    <t>BAC-2020-07-02</t>
  </si>
  <si>
    <t>20KI0095</t>
  </si>
  <si>
    <t>PB 03-2020-05</t>
  </si>
  <si>
    <t>ITB 20-0071</t>
  </si>
  <si>
    <t>SUPPLY AND DELIVERY OF WATER MATERIALS USE FOR WAT</t>
  </si>
  <si>
    <t>20GM0082</t>
  </si>
  <si>
    <t>1999-2007-001</t>
  </si>
  <si>
    <t>20A00214</t>
  </si>
  <si>
    <t>PB 03-2020 - 09</t>
  </si>
  <si>
    <t>DV -2020-G21</t>
  </si>
  <si>
    <t>20KI0093</t>
  </si>
  <si>
    <t>PB 03-2020 - 08</t>
  </si>
  <si>
    <t>8751-2007-001</t>
  </si>
  <si>
    <t>PB 03-2020-17</t>
  </si>
  <si>
    <t>2020-CW-019</t>
  </si>
  <si>
    <t>20GM0081</t>
  </si>
  <si>
    <t>30</t>
  </si>
  <si>
    <t>BUGASS-2020-067</t>
  </si>
  <si>
    <t>2020-07-0418</t>
  </si>
  <si>
    <t>20GKI0030</t>
  </si>
  <si>
    <t>PB 03-2020-14</t>
  </si>
  <si>
    <t>20-03-025</t>
  </si>
  <si>
    <t>2020-07-0415</t>
  </si>
  <si>
    <t>20-03-026</t>
  </si>
  <si>
    <t>PB 03-2020-23</t>
  </si>
  <si>
    <t>2020-07-0416</t>
  </si>
  <si>
    <t>PB 03-2020-16</t>
  </si>
  <si>
    <t>IB 2020-27</t>
  </si>
  <si>
    <t>BAC-07-1084</t>
  </si>
  <si>
    <t>20-03-024</t>
  </si>
  <si>
    <t>PB 03-2020-21</t>
  </si>
  <si>
    <t>20-03-023</t>
  </si>
  <si>
    <t>SVP 2020-402</t>
  </si>
  <si>
    <t>20GFD0014</t>
  </si>
  <si>
    <t>Goods-2020-001</t>
  </si>
  <si>
    <t>PB 03-2020-19</t>
  </si>
  <si>
    <t>20-03-022</t>
  </si>
  <si>
    <t>20-03-021</t>
  </si>
  <si>
    <t>PB 03-2020-20</t>
  </si>
  <si>
    <t>2020-07-0419</t>
  </si>
  <si>
    <t>20GKI0031</t>
  </si>
  <si>
    <t>20-03-020</t>
  </si>
  <si>
    <t>PB 03-2020-13</t>
  </si>
  <si>
    <t>PB 03-2020-22</t>
  </si>
  <si>
    <t>2020-AP-07-29</t>
  </si>
  <si>
    <t>PB 03-2020-15</t>
  </si>
  <si>
    <t>PB 03-2020-18</t>
  </si>
  <si>
    <t>100-07-20-01868</t>
  </si>
  <si>
    <t>PB 03-2020-11</t>
  </si>
  <si>
    <t>Aklan BAC RFQ 391 Series of 2020</t>
  </si>
  <si>
    <t>PB-2020-07-002</t>
  </si>
  <si>
    <t>ITB 20-0043-A</t>
  </si>
  <si>
    <t>20LA0353</t>
  </si>
  <si>
    <t>PB 03-2020-12</t>
  </si>
  <si>
    <t>PR. NO. 2020-06-000001</t>
  </si>
  <si>
    <t>SBMA-BAC-CONS-RFEI-20-02</t>
  </si>
  <si>
    <t>PB 03-2020 - 10</t>
  </si>
  <si>
    <t>PB 03-2020 - 04</t>
  </si>
  <si>
    <t>20A00213</t>
  </si>
  <si>
    <t>PB 03-2020 - 07</t>
  </si>
  <si>
    <t>ESP-GOODS-021-2020</t>
  </si>
  <si>
    <t>2020 - 020</t>
  </si>
  <si>
    <t>2020-82 (GAS)</t>
  </si>
  <si>
    <t>20A00217</t>
  </si>
  <si>
    <t>2020-SIBUCO-09</t>
  </si>
  <si>
    <t>20A00212</t>
  </si>
  <si>
    <t>PB 03-2020 - 01</t>
  </si>
  <si>
    <t>20A00215</t>
  </si>
  <si>
    <t>2020-SIBUCO-06</t>
  </si>
  <si>
    <t>2020-SIBUCO-08</t>
  </si>
  <si>
    <t>2020-06-0018</t>
  </si>
  <si>
    <t>2020-SIBUCO-07</t>
  </si>
  <si>
    <t>TAL-08-16-2020</t>
  </si>
  <si>
    <t>FER2020-020</t>
  </si>
  <si>
    <t>BAC-GS 2020-097, 2020-098</t>
  </si>
  <si>
    <t>TAL-08-15-2020</t>
  </si>
  <si>
    <t>DND/AFP-BSSP-07-2020</t>
  </si>
  <si>
    <t>200-202006-00035</t>
  </si>
  <si>
    <t>100-202003-00562</t>
  </si>
  <si>
    <t>INF20-11</t>
  </si>
  <si>
    <t>1738</t>
  </si>
  <si>
    <t>TAL-08-14-2020</t>
  </si>
  <si>
    <t>0100</t>
  </si>
  <si>
    <t>CW2020-006</t>
  </si>
  <si>
    <t>032-07-2020</t>
  </si>
  <si>
    <t>NFA BARMM–HANDLING-G-008</t>
  </si>
  <si>
    <t>20HB0169</t>
  </si>
  <si>
    <t>2020-0075</t>
  </si>
  <si>
    <t>CP_Rehab_DSA_07_2020_05</t>
  </si>
  <si>
    <t>2020-394</t>
  </si>
  <si>
    <t>8918-23-4-S20 (SUPPLEMENTAL #1-2020)</t>
  </si>
  <si>
    <t>2020-050-2</t>
  </si>
  <si>
    <t>ESP-GOODS-023-2020</t>
  </si>
  <si>
    <t>PB 03-2020-32</t>
  </si>
  <si>
    <t>18</t>
  </si>
  <si>
    <t>MUNPINCE-2007-126</t>
  </si>
  <si>
    <t>CP 2020-48 B</t>
  </si>
  <si>
    <t>PB 03-2020-31</t>
  </si>
  <si>
    <t>CP 2020-47 B</t>
  </si>
  <si>
    <t>CP 2020-46 B</t>
  </si>
  <si>
    <t>PB 03-2020-29</t>
  </si>
  <si>
    <t>PB 03-2020-30</t>
  </si>
  <si>
    <t>2020-07-219</t>
  </si>
  <si>
    <t>PR NO. 20-07-014</t>
  </si>
  <si>
    <t>PB 03-2020-28</t>
  </si>
  <si>
    <t>PB 03-2020-26</t>
  </si>
  <si>
    <t>SVP 2020-379</t>
  </si>
  <si>
    <t>PB 03-2020-47</t>
  </si>
  <si>
    <t>PB 03-2020-46</t>
  </si>
  <si>
    <t>CW2020-001</t>
  </si>
  <si>
    <t>SVP 2020-413</t>
  </si>
  <si>
    <t>Infra Projects 18-2020</t>
  </si>
  <si>
    <t>Goods 0034-2020</t>
  </si>
  <si>
    <t>PB 03-2020-45</t>
  </si>
  <si>
    <t>PB INFRA 20-048</t>
  </si>
  <si>
    <t>PB 03-2020-44</t>
  </si>
  <si>
    <t>PB 03-2020-40</t>
  </si>
  <si>
    <t>2020-07-0417</t>
  </si>
  <si>
    <t>PB 03-2020-43</t>
  </si>
  <si>
    <t>PB 03-2020-41</t>
  </si>
  <si>
    <t>PB 03-2020-37</t>
  </si>
  <si>
    <t>PB 03-2020-39</t>
  </si>
  <si>
    <t>PB 03-2020-38</t>
  </si>
  <si>
    <t>PB 03-2020-42</t>
  </si>
  <si>
    <t>PB 03-2020-35</t>
  </si>
  <si>
    <t>PB 03-2020-36</t>
  </si>
  <si>
    <t>PB INFRA 20-062</t>
  </si>
  <si>
    <t>PB INFRA 20-052</t>
  </si>
  <si>
    <t>PB 03-2020-53</t>
  </si>
  <si>
    <t>PB INFRA 20-059</t>
  </si>
  <si>
    <t>2020 AIP (General Fund) G-07-06162020</t>
  </si>
  <si>
    <t>PB INFRA 20-051</t>
  </si>
  <si>
    <t>PB INFRA 20-063</t>
  </si>
  <si>
    <t>PB 03-2020-59</t>
  </si>
  <si>
    <t>PB 03-2020-52</t>
  </si>
  <si>
    <t>PB 03-2020-58</t>
  </si>
  <si>
    <t>2020-07-20-07</t>
  </si>
  <si>
    <t>2020-07-20-06</t>
  </si>
  <si>
    <t>2020-07-20-05</t>
  </si>
  <si>
    <t>PB 03-2020-60</t>
  </si>
  <si>
    <t>2020-07-20-04</t>
  </si>
  <si>
    <t>ITB-2020-07-007</t>
  </si>
  <si>
    <t>12345</t>
  </si>
  <si>
    <t>IB 2020-15</t>
  </si>
  <si>
    <t>SES 2020_017</t>
  </si>
  <si>
    <t>SEHS 2020_016</t>
  </si>
  <si>
    <t>20GFC0031</t>
  </si>
  <si>
    <t>PB 03-2020- 54</t>
  </si>
  <si>
    <t>20GFC0029</t>
  </si>
  <si>
    <t>TALB-08-05-2020</t>
  </si>
  <si>
    <t>20GFC0028</t>
  </si>
  <si>
    <t>TALB-08-04-2020</t>
  </si>
  <si>
    <t>20GFC0026</t>
  </si>
  <si>
    <t>TALB-08-03-2020</t>
  </si>
  <si>
    <t>SCM-INFRA-07202020-01</t>
  </si>
  <si>
    <t>BAC HO GS NO. 2020-0390</t>
  </si>
  <si>
    <t>20EB0131</t>
  </si>
  <si>
    <t>20EB0130</t>
  </si>
  <si>
    <t>PB INFRA 20-050</t>
  </si>
  <si>
    <t>20EB0129</t>
  </si>
  <si>
    <t>DA3-2020-07-07-86</t>
  </si>
  <si>
    <t>2020 AIP (General Fund) G-08-06162020</t>
  </si>
  <si>
    <t>PR NO. 2020-01-007</t>
  </si>
  <si>
    <t>20GFC0027</t>
  </si>
  <si>
    <t>IB-2020-07-27</t>
  </si>
  <si>
    <t>20EB0128</t>
  </si>
  <si>
    <t>PB 03-2020-27</t>
  </si>
  <si>
    <t>IB-2020-07-28</t>
  </si>
  <si>
    <t>DA3-2020-06-10-130</t>
  </si>
  <si>
    <t>2020-171-I</t>
  </si>
  <si>
    <t>PR2007264</t>
  </si>
  <si>
    <t>PMO-01-2020</t>
  </si>
  <si>
    <t>GEPS 20-09</t>
  </si>
  <si>
    <t>IB 2020-31</t>
  </si>
  <si>
    <t>IB 2020-30</t>
  </si>
  <si>
    <t>IB 2020-29</t>
  </si>
  <si>
    <t>DA3-2020-07-08-100</t>
  </si>
  <si>
    <t>2020-153-I</t>
  </si>
  <si>
    <t>IB 2020-33</t>
  </si>
  <si>
    <t>051-2020</t>
  </si>
  <si>
    <t>ITB-02</t>
  </si>
  <si>
    <t>048-2020</t>
  </si>
  <si>
    <t>GS 2020-007-024</t>
  </si>
  <si>
    <t>IB 2020-32</t>
  </si>
  <si>
    <t>LGU Nasipit-2020-078</t>
  </si>
  <si>
    <t>PIN2020-092</t>
  </si>
  <si>
    <t>050-2020</t>
  </si>
  <si>
    <t>PSARSSOI-2020-015</t>
  </si>
  <si>
    <t>049-2020</t>
  </si>
  <si>
    <t>Kanghaas 2020-02</t>
  </si>
  <si>
    <t>Contract ID 20JH0064</t>
  </si>
  <si>
    <t>20FO0106</t>
  </si>
  <si>
    <t>LGU Nasipit-2020-076</t>
  </si>
  <si>
    <t>07-00947</t>
  </si>
  <si>
    <t>BSU - PROJECT NO. 2020- 261</t>
  </si>
  <si>
    <t>infra 2020-07-003</t>
  </si>
  <si>
    <t>PR-20-05-098</t>
  </si>
  <si>
    <t>PB INFRA 20-061</t>
  </si>
  <si>
    <t>pr-20-06-107</t>
  </si>
  <si>
    <t>BFAR5BAC-2020-132</t>
  </si>
  <si>
    <t>2020-DM02</t>
  </si>
  <si>
    <t>ITB NO. 2020-0016</t>
  </si>
  <si>
    <t>ITB NO. 2020-0015</t>
  </si>
  <si>
    <t>PR 74535</t>
  </si>
  <si>
    <t>PR 74430</t>
  </si>
  <si>
    <t>ITB NO. 2020-0018</t>
  </si>
  <si>
    <t>PB 07-04-2020</t>
  </si>
  <si>
    <t>Contract ID 20JH0065</t>
  </si>
  <si>
    <t>20KF0134</t>
  </si>
  <si>
    <t>20KF0133</t>
  </si>
  <si>
    <t>053-2020</t>
  </si>
  <si>
    <t>infra 2020-07-002</t>
  </si>
  <si>
    <t>PR 74402</t>
  </si>
  <si>
    <t>PR 74288</t>
  </si>
  <si>
    <t>052-2020</t>
  </si>
  <si>
    <t>BSU - PROJECT NO. 2020- 260</t>
  </si>
  <si>
    <t>LGU Nasipit-2020-077</t>
  </si>
  <si>
    <t>07-1-20</t>
  </si>
  <si>
    <t>2020-07-20-11</t>
  </si>
  <si>
    <t>2020-07-20-10</t>
  </si>
  <si>
    <t>2020-07-20-03</t>
  </si>
  <si>
    <t>ITB 2020-07-02</t>
  </si>
  <si>
    <t>2020-07-20-09</t>
  </si>
  <si>
    <t>SES 2020_015</t>
  </si>
  <si>
    <t>2020-07-20-08</t>
  </si>
  <si>
    <t>2020-07-20-01</t>
  </si>
  <si>
    <t>SES 2020_014</t>
  </si>
  <si>
    <t>20PBTNMSC08 - G</t>
  </si>
  <si>
    <t>DA3-2020-07-02-40</t>
  </si>
  <si>
    <t>PB 03-2020-51</t>
  </si>
  <si>
    <t>2020-07-20-02</t>
  </si>
  <si>
    <t>PB 03-2020-50</t>
  </si>
  <si>
    <t>PB 03-2020- 55</t>
  </si>
  <si>
    <t>PB 03-2020-57</t>
  </si>
  <si>
    <t>20PBTNMSC09 - G</t>
  </si>
  <si>
    <t>PB 03-2020- 56</t>
  </si>
  <si>
    <t>PB 03-2020-33</t>
  </si>
  <si>
    <t>PB 03-2020-49</t>
  </si>
  <si>
    <t>IB 2020-28</t>
  </si>
  <si>
    <t>PB 03-2020-34</t>
  </si>
  <si>
    <t>20-03-028</t>
  </si>
  <si>
    <t>PB 03-2020-48</t>
  </si>
  <si>
    <t>MUNPINCE-2007-128</t>
  </si>
  <si>
    <t>20-03-027</t>
  </si>
  <si>
    <t>PR# 20-07-0691</t>
  </si>
  <si>
    <t>2020-PBGOODS-06-010</t>
  </si>
  <si>
    <t>PB 03-2020-24</t>
  </si>
  <si>
    <t>PB 07-02-2020</t>
  </si>
  <si>
    <t>DAR-ADS PB-2020-OS-05-122B</t>
  </si>
  <si>
    <t>2020135</t>
  </si>
  <si>
    <t>GOODS-20-37</t>
  </si>
  <si>
    <t>PR No. 20-1192</t>
  </si>
  <si>
    <t>0020-0244-1194-2020</t>
  </si>
  <si>
    <t>PCADG-07-17-2020</t>
  </si>
  <si>
    <t>2020-174</t>
  </si>
  <si>
    <t>20PB0039</t>
  </si>
  <si>
    <t>PCADG-07-16-2020</t>
  </si>
  <si>
    <t>PB 03-2020-25</t>
  </si>
  <si>
    <t>PRN 051</t>
  </si>
  <si>
    <t>INFRA-20-004</t>
  </si>
  <si>
    <t>BAC-LGU-TADS-2020-13</t>
  </si>
  <si>
    <t>PB2020-07-007 GAA</t>
  </si>
  <si>
    <t>100-1011-2020-07-575</t>
  </si>
  <si>
    <t>LGU - Quirino GOODS 2020 - 005</t>
  </si>
  <si>
    <t>2020-07-0259</t>
  </si>
  <si>
    <t>2020-143</t>
  </si>
  <si>
    <t>101-1011-07-16-2020</t>
  </si>
  <si>
    <t>IB No. 2020 - 051</t>
  </si>
  <si>
    <t>IB No. 2020-050</t>
  </si>
  <si>
    <t>PR No. 2020 07 0086</t>
  </si>
  <si>
    <t>20KF0132</t>
  </si>
  <si>
    <t>ITB-DARFO12-2020-0649</t>
  </si>
  <si>
    <t>PB-2020-07-047</t>
  </si>
  <si>
    <t>20NA0076 (CLUSTER)</t>
  </si>
  <si>
    <t>PR-2020-1219</t>
  </si>
  <si>
    <t>164-20-07-109</t>
  </si>
  <si>
    <t>jayon-01-07-03-2020</t>
  </si>
  <si>
    <t>2020-11-036-INFRA</t>
  </si>
  <si>
    <t>PR-2020-1218</t>
  </si>
  <si>
    <t>TAMP-PB-GOODS-05-2020</t>
  </si>
  <si>
    <t>PR No. 20-1156</t>
  </si>
  <si>
    <t>20KG0097</t>
  </si>
  <si>
    <t>PR-44</t>
  </si>
  <si>
    <t>PR-2020-1221</t>
  </si>
  <si>
    <t>100-1011-2020-07-576</t>
  </si>
  <si>
    <t>O4-20-1506</t>
  </si>
  <si>
    <t>PR-2020-1220</t>
  </si>
  <si>
    <t>PR No. 20-1155</t>
  </si>
  <si>
    <t>030-2020</t>
  </si>
  <si>
    <t>20074248</t>
  </si>
  <si>
    <t>PR No. 20-1108</t>
  </si>
  <si>
    <t>20NA0073 (CLUSTER) Re-ad</t>
  </si>
  <si>
    <t>2020-191</t>
  </si>
  <si>
    <t>BFPRHQSR4A-083</t>
  </si>
  <si>
    <t>ITB 2020-0020</t>
  </si>
  <si>
    <t xml:space="preserve">MA-A2H20-009..PAD, GENERATOR BRAKE PAD, AGUS 1 HE </t>
  </si>
  <si>
    <t>20OE0209</t>
  </si>
  <si>
    <t>2020-MS-106</t>
  </si>
  <si>
    <t>029-2020</t>
  </si>
  <si>
    <t>ITB GOODS 20-07-014</t>
  </si>
  <si>
    <t>100-1011-2020-07-578</t>
  </si>
  <si>
    <t>20064090</t>
  </si>
  <si>
    <t>20064095</t>
  </si>
  <si>
    <t>20064077</t>
  </si>
  <si>
    <t>PB-LAP-2020-078</t>
  </si>
  <si>
    <t>PR-46</t>
  </si>
  <si>
    <t>PR-2020-1222</t>
  </si>
  <si>
    <t>100-1011-2020-07-577</t>
  </si>
  <si>
    <t>20074246</t>
  </si>
  <si>
    <t>20064081</t>
  </si>
  <si>
    <t>CID NO. 20IF0142</t>
  </si>
  <si>
    <t>Pampango - 03</t>
  </si>
  <si>
    <t>20CI0104</t>
  </si>
  <si>
    <t>20CI0103</t>
  </si>
  <si>
    <t>PR-2020-1217</t>
  </si>
  <si>
    <t>100-1011-2020-07-579</t>
  </si>
  <si>
    <t>PR-2020-1216</t>
  </si>
  <si>
    <t>20064162</t>
  </si>
  <si>
    <t>2020136</t>
  </si>
  <si>
    <t>LAPAY INFRA ITB 03-2020</t>
  </si>
  <si>
    <t>INF2020-07-024</t>
  </si>
  <si>
    <t>090-20</t>
  </si>
  <si>
    <t>ITB 2020-0021</t>
  </si>
  <si>
    <t>INF2020-07-025</t>
  </si>
  <si>
    <t>2020138</t>
  </si>
  <si>
    <t>091-20</t>
  </si>
  <si>
    <t>2020137</t>
  </si>
  <si>
    <t>20CN0158</t>
  </si>
  <si>
    <t>20CN0159</t>
  </si>
  <si>
    <t>029-20</t>
  </si>
  <si>
    <t>2020-02-114</t>
  </si>
  <si>
    <t>002112</t>
  </si>
  <si>
    <t>2020-INFRA-051</t>
  </si>
  <si>
    <t>101-2020-07-350</t>
  </si>
  <si>
    <t>20GE028G</t>
  </si>
  <si>
    <t>20-07-373</t>
  </si>
  <si>
    <t>20-02-083</t>
  </si>
  <si>
    <t>ITB No. (GDS) 2020-07-018 PROCUREMENT OF OFFICE EQ</t>
  </si>
  <si>
    <t>vict-eps20-035</t>
  </si>
  <si>
    <t>PR-2020-1223</t>
  </si>
  <si>
    <t>PRDP-IR-RCAR-APA-002-000-000-2017-R2</t>
  </si>
  <si>
    <t>094-20</t>
  </si>
  <si>
    <t>vict-eps20-033</t>
  </si>
  <si>
    <t>PRDP-IR-RCAR-APA-004-000-000-2018</t>
  </si>
  <si>
    <t>20064082</t>
  </si>
  <si>
    <t>PRDP-IR-RCAR-APA-003-000-000-2018-R1</t>
  </si>
  <si>
    <t>0718-015</t>
  </si>
  <si>
    <t>2020-INFRA-053</t>
  </si>
  <si>
    <t>063-20</t>
  </si>
  <si>
    <t>ITB # M20-07-02</t>
  </si>
  <si>
    <t>vict-eps20-034</t>
  </si>
  <si>
    <t>ITB No. 2020-81</t>
  </si>
  <si>
    <t>2020LGU011</t>
  </si>
  <si>
    <t>FPR-20-096 to 100</t>
  </si>
  <si>
    <t>ITB 2020-24</t>
  </si>
  <si>
    <t>093-20</t>
  </si>
  <si>
    <t>20-089</t>
  </si>
  <si>
    <t>436-2020 Bidding</t>
  </si>
  <si>
    <t>Pampango - 04</t>
  </si>
  <si>
    <t>435-2020 Bidding</t>
  </si>
  <si>
    <t>434-2020 Bidding</t>
  </si>
  <si>
    <t>vict-eps20-036</t>
  </si>
  <si>
    <t>095-20</t>
  </si>
  <si>
    <t>LOS BANOS-20-57</t>
  </si>
  <si>
    <t>2020-INFRA-052</t>
  </si>
  <si>
    <t>20-0073</t>
  </si>
  <si>
    <t>ITB-SSS-GOODS-2020-022</t>
  </si>
  <si>
    <t>20-07238PR</t>
  </si>
  <si>
    <t>vict-eps20-032</t>
  </si>
  <si>
    <t>438-2020 Bidding</t>
  </si>
  <si>
    <t>BFAR5BAC-2020-135</t>
  </si>
  <si>
    <t>20063984</t>
  </si>
  <si>
    <t>ITB-071720-2</t>
  </si>
  <si>
    <t>092-20</t>
  </si>
  <si>
    <t>PR No. 2020-06-090A</t>
  </si>
  <si>
    <t>2020-INFRA-055</t>
  </si>
  <si>
    <t>20-07-257</t>
  </si>
  <si>
    <t>PB 2020-18</t>
  </si>
  <si>
    <t>20LF0148</t>
  </si>
  <si>
    <t>01ALFONSO XII2020</t>
  </si>
  <si>
    <t>18-RCCS@Pob2MES-08272020</t>
  </si>
  <si>
    <t>20032568</t>
  </si>
  <si>
    <t>DENR-NCR, PR NO. 2020-508</t>
  </si>
  <si>
    <t>PEZA-HO-2020-02</t>
  </si>
  <si>
    <t>19-USC@PobMES-08272020</t>
  </si>
  <si>
    <t>HILONGOS 2020-214</t>
  </si>
  <si>
    <t>20-182</t>
  </si>
  <si>
    <t>tag-10-20</t>
  </si>
  <si>
    <t>20-06-0315</t>
  </si>
  <si>
    <t>Calaca 2020-060</t>
  </si>
  <si>
    <t>ITB 2020-07-036</t>
  </si>
  <si>
    <t>2020-GOODS-001</t>
  </si>
  <si>
    <t>20-171</t>
  </si>
  <si>
    <t>ITB-071720-3</t>
  </si>
  <si>
    <t>ITB 2020-07-035</t>
  </si>
  <si>
    <t>ITB-071720-1</t>
  </si>
  <si>
    <t>PB-LAP-2020-083</t>
  </si>
  <si>
    <t>BAC-SBSL-MEO-2020-14</t>
  </si>
  <si>
    <t>ITB 2020-07-038</t>
  </si>
  <si>
    <t>ITB No. 2020-174-provl government of bukidnon offi</t>
  </si>
  <si>
    <t>ITB 2020-07-034</t>
  </si>
  <si>
    <t>2020-07-0289</t>
  </si>
  <si>
    <t>ITB NO. RBAC X CDO 2020-001</t>
  </si>
  <si>
    <t>20GMB0014 (EQUIPMENT LEASE)</t>
  </si>
  <si>
    <t>2020-INFRA-058</t>
  </si>
  <si>
    <t>072020</t>
  </si>
  <si>
    <t>FCT-2020-02</t>
  </si>
  <si>
    <t>ITB 2020-07-027</t>
  </si>
  <si>
    <t>20-342</t>
  </si>
  <si>
    <t>ITB 2020-07-028</t>
  </si>
  <si>
    <t>BAC 2020-34</t>
  </si>
  <si>
    <t>PN 11-2020</t>
  </si>
  <si>
    <t>20AI0185</t>
  </si>
  <si>
    <t>20GDB0031</t>
  </si>
  <si>
    <t>2020-07-0273</t>
  </si>
  <si>
    <t>20GDB0030</t>
  </si>
  <si>
    <t>2020-07-0293</t>
  </si>
  <si>
    <t>20-325</t>
  </si>
  <si>
    <t>ITB No.2020-17</t>
  </si>
  <si>
    <t>20GDB0027</t>
  </si>
  <si>
    <t>20CSFC01</t>
  </si>
  <si>
    <t>2020-07-0286</t>
  </si>
  <si>
    <t>17202007064</t>
  </si>
  <si>
    <t>ITB-2020-PR1301</t>
  </si>
  <si>
    <t>20-CLRPob02BSM-0827-2020</t>
  </si>
  <si>
    <t>BAC-PGCS-109-2020</t>
  </si>
  <si>
    <t>17202007065</t>
  </si>
  <si>
    <t>ITB PR NO.: 1562-20BAC</t>
  </si>
  <si>
    <t>ITB PR NO.: 1261-20BAC</t>
  </si>
  <si>
    <t>BIMO-GOODS-2020-FF-BIMOP1</t>
  </si>
  <si>
    <t>ITB PR NO.: 1260-20BAC</t>
  </si>
  <si>
    <t>SanJoseBatsAeb2020-126</t>
  </si>
  <si>
    <t>2020-INFRA-054</t>
  </si>
  <si>
    <t>PR No. 91687</t>
  </si>
  <si>
    <t>PR No. 92588</t>
  </si>
  <si>
    <t>20GA0248</t>
  </si>
  <si>
    <t>PR No. 91032</t>
  </si>
  <si>
    <t>07152020</t>
  </si>
  <si>
    <t>20GA0247</t>
  </si>
  <si>
    <t>PR No. 91685</t>
  </si>
  <si>
    <t>PR No. 91681</t>
  </si>
  <si>
    <t>PR No. 92586</t>
  </si>
  <si>
    <t>PR No. 90373</t>
  </si>
  <si>
    <t>20GA0246</t>
  </si>
  <si>
    <t>OM_2020_004</t>
  </si>
  <si>
    <t>JR No. 23759</t>
  </si>
  <si>
    <t>PR No. 91686</t>
  </si>
  <si>
    <t>ITB No. (INF) 2020-07-099 ROAD OPENING/FARM-TO-MAR</t>
  </si>
  <si>
    <t>SanJoseBatsAeb2020-121</t>
  </si>
  <si>
    <t>SanJoseBatsAeb2020-120</t>
  </si>
  <si>
    <t>CONTRACT ID: 20-07-099</t>
  </si>
  <si>
    <t>2020-014-GDS-2</t>
  </si>
  <si>
    <t>PR No. 91815</t>
  </si>
  <si>
    <t>INFRA 2020-034</t>
  </si>
  <si>
    <t>GOODS 2020-07-006</t>
  </si>
  <si>
    <t>100(18)20-07-423(O)</t>
  </si>
  <si>
    <t>SanJoseBatsAeb2020-119</t>
  </si>
  <si>
    <t>CBC2020-001</t>
  </si>
  <si>
    <t>Infra 2020-032</t>
  </si>
  <si>
    <t>LGU-2020-044</t>
  </si>
  <si>
    <t>PR No. 2020-06-012</t>
  </si>
  <si>
    <t>Project No. 2020-31</t>
  </si>
  <si>
    <t>7162020</t>
  </si>
  <si>
    <t>ITB No. (INF) 2020-07-102 ROAD OPENING/FARM-TO-MAR</t>
  </si>
  <si>
    <t>ROSAL-0386-2020</t>
  </si>
  <si>
    <t>LGU-2020-043</t>
  </si>
  <si>
    <t>bcwd-2020-066</t>
  </si>
  <si>
    <t>1000-1-2-2-1</t>
  </si>
  <si>
    <t>ITB No. (INF) 2020-07-100 ROAD OPENING/FARM-TO-MAR</t>
  </si>
  <si>
    <t>SKTANG2020-001</t>
  </si>
  <si>
    <t>ITB No. 2020-001</t>
  </si>
  <si>
    <t>ITB No. (INF) 2020-07-101 ROAD OPENING/FARM-TO-MAR</t>
  </si>
  <si>
    <t>CONTRACT ID: 20-07-098</t>
  </si>
  <si>
    <t>SanJoseBatsAeb2020-122</t>
  </si>
  <si>
    <t>2020-GOODS-37</t>
  </si>
  <si>
    <t>brgy.bitanhuanbaybay</t>
  </si>
  <si>
    <t>2020-07-675</t>
  </si>
  <si>
    <t>PB NO. 2020-049</t>
  </si>
  <si>
    <t>2020-07-107</t>
  </si>
  <si>
    <t>IB-2020-44</t>
  </si>
  <si>
    <t>PR0043-20 PSWDO</t>
  </si>
  <si>
    <t>017-0820-CP</t>
  </si>
  <si>
    <t>PB-CW-2020-026</t>
  </si>
  <si>
    <t>2020-GOODS-35</t>
  </si>
  <si>
    <t>100-20-06-170</t>
  </si>
  <si>
    <t>100-20-06-162</t>
  </si>
  <si>
    <t>ITB 2020-07-037</t>
  </si>
  <si>
    <t>TAMP-PB-INFRA-09-2020</t>
  </si>
  <si>
    <t>SBAC 2020-01</t>
  </si>
  <si>
    <t>2020-GOODS-36</t>
  </si>
  <si>
    <t>Goods-033-2020</t>
  </si>
  <si>
    <t>BS 20-07-0721</t>
  </si>
  <si>
    <t>BGH - 07 - 0119</t>
  </si>
  <si>
    <t>BS 20-07-PR005</t>
  </si>
  <si>
    <t>IB 2020-45</t>
  </si>
  <si>
    <t>PB-LAP-2020-076</t>
  </si>
  <si>
    <t>Bolo, Labrador-2020-07-01</t>
  </si>
  <si>
    <t>080620-03</t>
  </si>
  <si>
    <t>ITB 05-002-20</t>
  </si>
  <si>
    <t>BS 20-07-0720</t>
  </si>
  <si>
    <t>2020-07-657</t>
  </si>
  <si>
    <t>100-20-06-106</t>
  </si>
  <si>
    <t>080620-02</t>
  </si>
  <si>
    <t>Aklan BAC ITB 388 Series of 2020</t>
  </si>
  <si>
    <t>110-20</t>
  </si>
  <si>
    <t>2020-032-GDS</t>
  </si>
  <si>
    <t>A4-20-1490</t>
  </si>
  <si>
    <t>100-20-06-168</t>
  </si>
  <si>
    <t>HILONGOS 2020-212</t>
  </si>
  <si>
    <t>baa - 20 - 07 - 007</t>
  </si>
  <si>
    <t>WFM 20 - 015</t>
  </si>
  <si>
    <t>002109</t>
  </si>
  <si>
    <t>baa - 20 - 07 - 006</t>
  </si>
  <si>
    <t>002110</t>
  </si>
  <si>
    <t>POCW-04-2020</t>
  </si>
  <si>
    <t>FPR 20 - 057/058/073/075/076</t>
  </si>
  <si>
    <t>PRN 050</t>
  </si>
  <si>
    <t>0101-645</t>
  </si>
  <si>
    <t>baa - 20 - 008</t>
  </si>
  <si>
    <t>LGU2020-07-52</t>
  </si>
  <si>
    <t>LGU2020-07-53</t>
  </si>
  <si>
    <t>PB-2020-G-8</t>
  </si>
  <si>
    <t>100-20-05-103</t>
  </si>
  <si>
    <t>CB(B)-20-020(CEO)</t>
  </si>
  <si>
    <t>PBDD-PR-2020-07-001</t>
  </si>
  <si>
    <t>111-20</t>
  </si>
  <si>
    <t>umcbac20-17</t>
  </si>
  <si>
    <t>LGU2020-07-51</t>
  </si>
  <si>
    <t>20PC0060</t>
  </si>
  <si>
    <t>113-20</t>
  </si>
  <si>
    <t>PEO-20-0545-B (REBID)</t>
  </si>
  <si>
    <t>PR. NO. 2020060722</t>
  </si>
  <si>
    <t>IV-07-2020-04</t>
  </si>
  <si>
    <t>GO-20-07-049</t>
  </si>
  <si>
    <t>LGU2020-07-56</t>
  </si>
  <si>
    <t>2020-031-INF</t>
  </si>
  <si>
    <t>PEO-20-0880-B</t>
  </si>
  <si>
    <t>20PC0052</t>
  </si>
  <si>
    <t>IV-07-2020-06</t>
  </si>
  <si>
    <t>bacgal-56-2020</t>
  </si>
  <si>
    <t>07162020A</t>
  </si>
  <si>
    <t>LGU2020 -07-55</t>
  </si>
  <si>
    <t>PBDD-PR-2020-07-002</t>
  </si>
  <si>
    <t>PR. NO. 2019030491</t>
  </si>
  <si>
    <t>TAMP-PB-INFRA-11-2020</t>
  </si>
  <si>
    <t>INFRA2020-CDD-013 REPAIR/REHABILITATION OF WHARF W</t>
  </si>
  <si>
    <t>LGU2020-07-54</t>
  </si>
  <si>
    <t>TAMP-PB-INFRA-10-2020</t>
  </si>
  <si>
    <t>114-20</t>
  </si>
  <si>
    <t>0101-630</t>
  </si>
  <si>
    <t>SJADS GOODS 20-12</t>
  </si>
  <si>
    <t>IV-07-2020-05</t>
  </si>
  <si>
    <t>PBDD-PR-2020-07-005</t>
  </si>
  <si>
    <t>2020060699</t>
  </si>
  <si>
    <t>INFRA2020-CDD-014 Repair/Rehab. of Wharf with Inte</t>
  </si>
  <si>
    <t>115-20</t>
  </si>
  <si>
    <t>Aklan BAC ITB 389 Series of 2020</t>
  </si>
  <si>
    <t>SJADS GOODS 20-09</t>
  </si>
  <si>
    <t>BTG3-20GDC0009</t>
  </si>
  <si>
    <t>2020-G-021</t>
  </si>
  <si>
    <t>ITB-BM20-001</t>
  </si>
  <si>
    <t>BRGHGMC-GS-2020-06</t>
  </si>
  <si>
    <t>LGUBTA 20-072</t>
  </si>
  <si>
    <t>20-293</t>
  </si>
  <si>
    <t>PBDD-PR-2020-07-004</t>
  </si>
  <si>
    <t>ITB No. 2020-023</t>
  </si>
  <si>
    <t>G-117-20</t>
  </si>
  <si>
    <t>GO-20-07-050</t>
  </si>
  <si>
    <t>PEO-20-0548-B</t>
  </si>
  <si>
    <t>20CSCC01</t>
  </si>
  <si>
    <t>SJADS GOODS 20-08</t>
  </si>
  <si>
    <t>LGUBTA 20-72</t>
  </si>
  <si>
    <t>20-06-0319</t>
  </si>
  <si>
    <t>BAC 20-002</t>
  </si>
  <si>
    <t>SJADS INFRA 20-07</t>
  </si>
  <si>
    <t>GOOD20200606</t>
  </si>
  <si>
    <t>INFRA2020-CDD-015 Construction of Wharf with Integ</t>
  </si>
  <si>
    <t>BUGASS-2020-065</t>
  </si>
  <si>
    <t>INFRA2020-ADM-009 Rehabilitation/Improvement of Tr</t>
  </si>
  <si>
    <t>PBD - 2020 - 10_HDPE Tubing</t>
  </si>
  <si>
    <t>20IH0106</t>
  </si>
  <si>
    <t>LGUBTA 20-074</t>
  </si>
  <si>
    <t>2020-R&amp;D-GOODS-26</t>
  </si>
  <si>
    <t>20GCF0003</t>
  </si>
  <si>
    <t>PR No. 2020-07-103</t>
  </si>
  <si>
    <t>0716202006</t>
  </si>
  <si>
    <t>20AI0184</t>
  </si>
  <si>
    <t>100-20-06-169</t>
  </si>
  <si>
    <t>SJADS INFRA 20-08</t>
  </si>
  <si>
    <t>LGU2020-07-61</t>
  </si>
  <si>
    <t>100-20-06-171</t>
  </si>
  <si>
    <t>G-113-20</t>
  </si>
  <si>
    <t>2020-006 BAC I</t>
  </si>
  <si>
    <t>20AI0183</t>
  </si>
  <si>
    <t>LGU2020-07-62</t>
  </si>
  <si>
    <t>2020-008 BAC I</t>
  </si>
  <si>
    <t>0043-2020</t>
  </si>
  <si>
    <t>IB NO. PB-2020-07-23</t>
  </si>
  <si>
    <t>INFRA2020-PUL-011 Fabrication/Installation of Guar</t>
  </si>
  <si>
    <t>0716202008</t>
  </si>
  <si>
    <t>LGU2020-07-59</t>
  </si>
  <si>
    <t>20JE0089</t>
  </si>
  <si>
    <t>20IH0107</t>
  </si>
  <si>
    <t>LGU2020-07-60</t>
  </si>
  <si>
    <t>20JE0088</t>
  </si>
  <si>
    <t>071620202007</t>
  </si>
  <si>
    <t>BG-2020-16</t>
  </si>
  <si>
    <t>100-20-07-172</t>
  </si>
  <si>
    <t>RP-32-2020</t>
  </si>
  <si>
    <t>P-11-20</t>
  </si>
  <si>
    <t>BFARIX-FAD-20-07-439</t>
  </si>
  <si>
    <t>LGU2020-07-57</t>
  </si>
  <si>
    <t>PBDD-PR-2020-07-014</t>
  </si>
  <si>
    <t>PBDD-PR-2020-07-015</t>
  </si>
  <si>
    <t>PBDD-PR-2020-07-011</t>
  </si>
  <si>
    <t>PBDD-PR-2020-07-012</t>
  </si>
  <si>
    <t>NTC RIV-A 2020-07-002</t>
  </si>
  <si>
    <t>PBDD-PR-2020-07-009</t>
  </si>
  <si>
    <t>100-20-06-160</t>
  </si>
  <si>
    <t>2020-03-133</t>
  </si>
  <si>
    <t>PBDD-PR-2020-07-008</t>
  </si>
  <si>
    <t>PBDD-PR-2020-07-010</t>
  </si>
  <si>
    <t>2020-07-0197</t>
  </si>
  <si>
    <t>PBDD-PR-2020-07-007</t>
  </si>
  <si>
    <t>PBDD-PR-2020-07-013</t>
  </si>
  <si>
    <t>06-G-2020 (MO)</t>
  </si>
  <si>
    <t>INFRA 2020-41</t>
  </si>
  <si>
    <t>ITB No. 2020-GOODS-7(05)</t>
  </si>
  <si>
    <t>100-20-06-163</t>
  </si>
  <si>
    <t>INFRA 2020-39</t>
  </si>
  <si>
    <t>BAC-GS-2020-07-010</t>
  </si>
  <si>
    <t>LGU2020-07-58</t>
  </si>
  <si>
    <t>BAC-GS-2020-07-008</t>
  </si>
  <si>
    <t>BAC-GS-2020-07-006</t>
  </si>
  <si>
    <t>INFRA 2020-40</t>
  </si>
  <si>
    <t>BAC-GS-2020-07-007</t>
  </si>
  <si>
    <t>2020-07-016-RFQ</t>
  </si>
  <si>
    <t>BAC-GS-2020-07-009</t>
  </si>
  <si>
    <t>BAC-GS-2020-07-005</t>
  </si>
  <si>
    <t>PBDD-PR-2020-07-017</t>
  </si>
  <si>
    <t>GOODS JULY 2020-005</t>
  </si>
  <si>
    <t>20GF0107</t>
  </si>
  <si>
    <t>LGU2020-07-63</t>
  </si>
  <si>
    <t>PBDD-PR-2020-07-016</t>
  </si>
  <si>
    <t>BCS-2020-0171</t>
  </si>
  <si>
    <t>LAMISCA IMO 07-24-2020 GOODS</t>
  </si>
  <si>
    <t>BCS-2020-0172</t>
  </si>
  <si>
    <t>NTC RIV-A 2020-07-003</t>
  </si>
  <si>
    <t>2020-07-0199</t>
  </si>
  <si>
    <t>2020-07-0201</t>
  </si>
  <si>
    <t>iNFRA 2020-033</t>
  </si>
  <si>
    <t>BCS-2020-0170</t>
  </si>
  <si>
    <t>BCS-2020-0173</t>
  </si>
  <si>
    <t>iNFRA 2020-035</t>
  </si>
  <si>
    <t>BSU - PROJECT NO. 2020- 255</t>
  </si>
  <si>
    <t>2020-07-0202</t>
  </si>
  <si>
    <t>20GO0104</t>
  </si>
  <si>
    <t>BAC-GS 2020-050 (PR No. 1000031927)</t>
  </si>
  <si>
    <t>2020-007 BAC I</t>
  </si>
  <si>
    <t>172 – 2020</t>
  </si>
  <si>
    <t>PB-2020-07-044</t>
  </si>
  <si>
    <t>G2020-004</t>
  </si>
  <si>
    <t>G2020-003</t>
  </si>
  <si>
    <t>20GO0103</t>
  </si>
  <si>
    <t>171 – 2020</t>
  </si>
  <si>
    <t>RFQ NO. SVP-037-2020</t>
  </si>
  <si>
    <t>ITDI-PB-200008</t>
  </si>
  <si>
    <t>BCS-2020-0169</t>
  </si>
  <si>
    <t>2020-07-0198</t>
  </si>
  <si>
    <t>ITDI-PB-200009</t>
  </si>
  <si>
    <t>2020-07-0204</t>
  </si>
  <si>
    <t>ITB No. MCS- 20-003</t>
  </si>
  <si>
    <t>2020-07-0203</t>
  </si>
  <si>
    <t>170 – 2020</t>
  </si>
  <si>
    <t>20200713-11</t>
  </si>
  <si>
    <t>20DE0155</t>
  </si>
  <si>
    <t>20200713-12</t>
  </si>
  <si>
    <t>20200713-17</t>
  </si>
  <si>
    <t>20-06-0247</t>
  </si>
  <si>
    <t>DOT BAC REI 2020-007 (Part II)</t>
  </si>
  <si>
    <t>2020-07-0205</t>
  </si>
  <si>
    <t>20200713-15</t>
  </si>
  <si>
    <t>140 - 2020</t>
  </si>
  <si>
    <t>142 - 2020</t>
  </si>
  <si>
    <t>141 - 2020</t>
  </si>
  <si>
    <t>20-152</t>
  </si>
  <si>
    <t>20-151</t>
  </si>
  <si>
    <t>139 - 2020</t>
  </si>
  <si>
    <t>20-154</t>
  </si>
  <si>
    <t>143 - 2020</t>
  </si>
  <si>
    <t>154 - 2020</t>
  </si>
  <si>
    <t>20200714-18</t>
  </si>
  <si>
    <t>20200714-2</t>
  </si>
  <si>
    <t>PEMO-2020-2106</t>
  </si>
  <si>
    <t>SPD-2020-0009</t>
  </si>
  <si>
    <t>20200714-21</t>
  </si>
  <si>
    <t>VET-2020-0398</t>
  </si>
  <si>
    <t>20200714-13</t>
  </si>
  <si>
    <t>GOODS-2020-07-057</t>
  </si>
  <si>
    <t>Goods-01-2020</t>
  </si>
  <si>
    <t>20200714-22</t>
  </si>
  <si>
    <t>HOD-2020-0783</t>
  </si>
  <si>
    <t>20200714-19</t>
  </si>
  <si>
    <t>Publication No. 38-2020-G</t>
  </si>
  <si>
    <t>00872</t>
  </si>
  <si>
    <t>2020-07-406</t>
  </si>
  <si>
    <t>Publication No. 36-2020-G</t>
  </si>
  <si>
    <t>Publication No. 37-2020-G</t>
  </si>
  <si>
    <t>20200714-14</t>
  </si>
  <si>
    <t>20200714-7</t>
  </si>
  <si>
    <t>07-00914</t>
  </si>
  <si>
    <t>06-00785</t>
  </si>
  <si>
    <t>07-00920</t>
  </si>
  <si>
    <t>20200714-10</t>
  </si>
  <si>
    <t>06-00842</t>
  </si>
  <si>
    <t>CB(B)-20-021(ICWS)</t>
  </si>
  <si>
    <t>07-00918</t>
  </si>
  <si>
    <t>SN-2020-7</t>
  </si>
  <si>
    <t>ITB-2020-103</t>
  </si>
  <si>
    <t>20200713-20</t>
  </si>
  <si>
    <t>BID REF. NO. 2020-002</t>
  </si>
  <si>
    <t>89</t>
  </si>
  <si>
    <t>G-2020-062</t>
  </si>
  <si>
    <t>20BH0002G</t>
  </si>
  <si>
    <t>211514</t>
  </si>
  <si>
    <t>G-2020-061</t>
  </si>
  <si>
    <t>ITB No. (INF) 2020-07-096 CONSTRUCTION OF MULTI-PU</t>
  </si>
  <si>
    <t>211511</t>
  </si>
  <si>
    <t>RP-33-2020</t>
  </si>
  <si>
    <t>211510</t>
  </si>
  <si>
    <t>211509</t>
  </si>
  <si>
    <t>ITB No. (INF) 2020-07-094 CONSTRUCTION OF MULTI-PU</t>
  </si>
  <si>
    <t>ADS-1598-20</t>
  </si>
  <si>
    <t>lgumat-2020-0037</t>
  </si>
  <si>
    <t>ITB No. (INF) 2020-07-095 CONSTRUCTION OF MULTI-PU</t>
  </si>
  <si>
    <t>211512</t>
  </si>
  <si>
    <t>5807-clsu-2020</t>
  </si>
  <si>
    <t>DARLU-07-01-20 GOODS</t>
  </si>
  <si>
    <t>020-13 Lot 5</t>
  </si>
  <si>
    <t>lgumat-2020-0036</t>
  </si>
  <si>
    <t>20IM0033</t>
  </si>
  <si>
    <t>020-13 Lot 3</t>
  </si>
  <si>
    <t>211513</t>
  </si>
  <si>
    <t>brgybunga2020</t>
  </si>
  <si>
    <t>020-13 Lot 2</t>
  </si>
  <si>
    <t>211518</t>
  </si>
  <si>
    <t>ITB No. (INF) 2020-07-098 CONSTRUCTION OF MULTI-PU</t>
  </si>
  <si>
    <t>GS-P11-2020-08-06</t>
  </si>
  <si>
    <t>2007103</t>
  </si>
  <si>
    <t>SPD-2020-0010</t>
  </si>
  <si>
    <t>ADS-1603-20</t>
  </si>
  <si>
    <t>GOODS-002-2020</t>
  </si>
  <si>
    <t>020-13 Lot 1</t>
  </si>
  <si>
    <t>INF-ITB 20-036</t>
  </si>
  <si>
    <t>INF-ITB 20-039</t>
  </si>
  <si>
    <t>020-13 Lot 4</t>
  </si>
  <si>
    <t>Aklan BAC ITB 383 Series of 2020</t>
  </si>
  <si>
    <t>001-2020-I</t>
  </si>
  <si>
    <t>ADS-1601-20</t>
  </si>
  <si>
    <t>lgumat-2020-0039</t>
  </si>
  <si>
    <t>lgumat-2020-0038</t>
  </si>
  <si>
    <t>Q-048-20</t>
  </si>
  <si>
    <t>Solicitation No. Goods 20-0716-0079</t>
  </si>
  <si>
    <t>GOODS-001-2020</t>
  </si>
  <si>
    <t>Solicitation No. Goods 20-0716-0078</t>
  </si>
  <si>
    <t>20EF0125</t>
  </si>
  <si>
    <t>ADS-1671-20</t>
  </si>
  <si>
    <t>20EF0124</t>
  </si>
  <si>
    <t>MZSP-2020-046</t>
  </si>
  <si>
    <t>ssu-20-07-07</t>
  </si>
  <si>
    <t>CSU-CC-ADMIN-2020-07-001</t>
  </si>
  <si>
    <t>Solicitation No. Goods 20-0716-0068R</t>
  </si>
  <si>
    <t>G-2020-07-017-GF2020</t>
  </si>
  <si>
    <t>GS-P12-2020-08-06</t>
  </si>
  <si>
    <t>Q-022-20</t>
  </si>
  <si>
    <t>TAYSAN2020-063</t>
  </si>
  <si>
    <t>2020-9</t>
  </si>
  <si>
    <t>PBD 20-082</t>
  </si>
  <si>
    <t>170- 2020</t>
  </si>
  <si>
    <t>2020-07-28-20DF20 (INFRA)</t>
  </si>
  <si>
    <t>2020-07-26-20DF20(INFRA)</t>
  </si>
  <si>
    <t xml:space="preserve">ITB No. (INF) 2020-097 for CONCRETING OF BARANGAY </t>
  </si>
  <si>
    <t>ICITB07152020A</t>
  </si>
  <si>
    <t>2020-07-113</t>
  </si>
  <si>
    <t>GOODS-003-2020</t>
  </si>
  <si>
    <t>Solicitation No. Goods 20-0716-0083</t>
  </si>
  <si>
    <t>Solicitation No. Goods 20-0716-0082</t>
  </si>
  <si>
    <t>INF-ITB 20-038</t>
  </si>
  <si>
    <t>20LB0273</t>
  </si>
  <si>
    <t>2020-07-31-20DF20 (INFRA)</t>
  </si>
  <si>
    <t>20LB0272</t>
  </si>
  <si>
    <t>2020-07-29-20DF20(INFRA)</t>
  </si>
  <si>
    <t>900-20</t>
  </si>
  <si>
    <t>IN-BAC-2020-07-060</t>
  </si>
  <si>
    <t>LGU-TAN-INFRA-2020-082</t>
  </si>
  <si>
    <t>120</t>
  </si>
  <si>
    <t>2020-07-30-20DF20(INFRA)</t>
  </si>
  <si>
    <t>Solicitation No. Goods 20-0716-0081</t>
  </si>
  <si>
    <t>20LB0305</t>
  </si>
  <si>
    <t>20LB0266</t>
  </si>
  <si>
    <t>PBD 20-083</t>
  </si>
  <si>
    <t>DANG-20-021</t>
  </si>
  <si>
    <t>05-00692</t>
  </si>
  <si>
    <t>09087 &amp; 09320</t>
  </si>
  <si>
    <t>05-00688</t>
  </si>
  <si>
    <t>20LB0297</t>
  </si>
  <si>
    <t>08701</t>
  </si>
  <si>
    <t>2020-013 GOODS "PROCUREMENT OF LABORATORY  EQUIPME</t>
  </si>
  <si>
    <t>20LB0278</t>
  </si>
  <si>
    <t>IN-BAC-2020-07-059</t>
  </si>
  <si>
    <t>2020-07-34-LDRRMF2019(INFRA)</t>
  </si>
  <si>
    <t>20LB0277</t>
  </si>
  <si>
    <t>20EF0123</t>
  </si>
  <si>
    <t>2020-07-33-20DF20 (INFRA)</t>
  </si>
  <si>
    <t>ITB No. 20-067: Supply and Delivery of Two Hundred</t>
  </si>
  <si>
    <t>ITB NO. 2020-07-007</t>
  </si>
  <si>
    <t>003-2020-I</t>
  </si>
  <si>
    <t>2020-345</t>
  </si>
  <si>
    <t>Labney 2020-01</t>
  </si>
  <si>
    <t>PB-INF-003-2020</t>
  </si>
  <si>
    <t>20JB0084</t>
  </si>
  <si>
    <t>2020-003C</t>
  </si>
  <si>
    <t>2020-004C</t>
  </si>
  <si>
    <t>SANTIAGO, I. SUR 20-066</t>
  </si>
  <si>
    <t>SOLANO 079-2020</t>
  </si>
  <si>
    <t>ITB-2020-02</t>
  </si>
  <si>
    <t>BACPOGOODS202007009</t>
  </si>
  <si>
    <t>SANTIAGO, I. SUR 20-065</t>
  </si>
  <si>
    <t>20LB0317</t>
  </si>
  <si>
    <t>BFP6 BAC P2020-07-05</t>
  </si>
  <si>
    <t>DTI8.BLSP 20-07093</t>
  </si>
  <si>
    <t>20LB0274</t>
  </si>
  <si>
    <t>IB No. 20-07-06</t>
  </si>
  <si>
    <t>20LB0307</t>
  </si>
  <si>
    <t>06-00834</t>
  </si>
  <si>
    <t>06-00832</t>
  </si>
  <si>
    <t>05-00693</t>
  </si>
  <si>
    <t>ITB NO. 2020-07-008</t>
  </si>
  <si>
    <t>20LB0309</t>
  </si>
  <si>
    <t>CW-2020-02</t>
  </si>
  <si>
    <t>SOLANO 078-2020</t>
  </si>
  <si>
    <t>SOLANO 077-2020</t>
  </si>
  <si>
    <t>Solicitation No. Goods 20-0716-0080</t>
  </si>
  <si>
    <t>INF-ITB 20-037</t>
  </si>
  <si>
    <t>ADS-1326-20</t>
  </si>
  <si>
    <t>0987-20</t>
  </si>
  <si>
    <t>07-16-2020-01</t>
  </si>
  <si>
    <t>2020-016R</t>
  </si>
  <si>
    <t>CW-2020-03</t>
  </si>
  <si>
    <t>2020-07-35-GF19(INFRA)</t>
  </si>
  <si>
    <t>0988-20</t>
  </si>
  <si>
    <t>CID NO. 20IF0004-C</t>
  </si>
  <si>
    <t>ITB NO. 2020-07-009</t>
  </si>
  <si>
    <t>PROJECT # 20-083</t>
  </si>
  <si>
    <t>2020-015-PB</t>
  </si>
  <si>
    <t>PROJECT # 20-044</t>
  </si>
  <si>
    <t>ADS-1335-20</t>
  </si>
  <si>
    <t>PROJECT # 20-053</t>
  </si>
  <si>
    <t>PROJECT # 20-094</t>
  </si>
  <si>
    <t>Bid Reference No. 2020-010; PR No. 2020-07-0203</t>
  </si>
  <si>
    <t>ITB No. 20-066: RE-BIDDING FOR THE SUPPLY AND DELI</t>
  </si>
  <si>
    <t>PB2020-07-112</t>
  </si>
  <si>
    <t>20-06-1404</t>
  </si>
  <si>
    <t>ITB NO. 2020-07-010</t>
  </si>
  <si>
    <t>IB No. 2020-025</t>
  </si>
  <si>
    <t>20-06-0300</t>
  </si>
  <si>
    <t>20-06-1403</t>
  </si>
  <si>
    <t>48-2020</t>
  </si>
  <si>
    <t>PB-2020-184-016</t>
  </si>
  <si>
    <t>2020-BLU-DRRMF-5%CALF-07-01</t>
  </si>
  <si>
    <t>012-20</t>
  </si>
  <si>
    <t>IB-2020-07-06-106</t>
  </si>
  <si>
    <t>PBD 20-086</t>
  </si>
  <si>
    <t>2020-0057</t>
  </si>
  <si>
    <t>PUR19-12-1459</t>
  </si>
  <si>
    <t>PUR20-02-0068</t>
  </si>
  <si>
    <t>INFRA-2020-PB-016</t>
  </si>
  <si>
    <t>CONSTRUCTION SUPERVISION AND MANAGEMENT CONSULTANC</t>
  </si>
  <si>
    <t>CA Health Care Benefits 2020-002</t>
  </si>
  <si>
    <t>PBD 20-084</t>
  </si>
  <si>
    <t>UPLB-RQ-7-139-20-RES CHEMICALS &amp; CHEMICAL PRODUCTS</t>
  </si>
  <si>
    <t>PB-2020-184-015</t>
  </si>
  <si>
    <t>20-07-526</t>
  </si>
  <si>
    <t>GOODS-20-36</t>
  </si>
  <si>
    <t>NIAREG9-06032020-687 (Re-Bid)</t>
  </si>
  <si>
    <t>ITB-2020-10-I-A</t>
  </si>
  <si>
    <t>2020-96</t>
  </si>
  <si>
    <t xml:space="preserve">PAVEMENT OF RCA BUILDING PERIPHERY/SORTING AREA &amp; </t>
  </si>
  <si>
    <t>INFRA-2020-PB-021</t>
  </si>
  <si>
    <t>20-06-239</t>
  </si>
  <si>
    <t>20CC0286</t>
  </si>
  <si>
    <t>infra-2020-015</t>
  </si>
  <si>
    <t>20BG0150</t>
  </si>
  <si>
    <t>20BG0149</t>
  </si>
  <si>
    <t>CONSTRUCTION OF CONCRETE STAIRS &amp; FMR CONCRETING P</t>
  </si>
  <si>
    <t>2007134</t>
  </si>
  <si>
    <t>UPLB-RQ-7-145-20-RES APPLIANCES</t>
  </si>
  <si>
    <t>CONSTRUCTION/ESTABLISHMENT OF MUNICIPAL PLANT NURS</t>
  </si>
  <si>
    <t>REF #047-07-2020</t>
  </si>
  <si>
    <t>GOODS-2020-012</t>
  </si>
  <si>
    <t>INFRA-2020-PB-019</t>
  </si>
  <si>
    <t>PROJECT # 20-048</t>
  </si>
  <si>
    <t>PUR19-09-1140</t>
  </si>
  <si>
    <t>B2020-096-A</t>
  </si>
  <si>
    <t>20-06-1409</t>
  </si>
  <si>
    <t>IMPROVEMENT OF DRAINAGE CANAL, CONSTRUCTION OF DRA</t>
  </si>
  <si>
    <t>20200715</t>
  </si>
  <si>
    <t>ITB NO. 2020-07-011</t>
  </si>
  <si>
    <t>028-2020</t>
  </si>
  <si>
    <t>027-2020</t>
  </si>
  <si>
    <t>2020-016-PB</t>
  </si>
  <si>
    <t>2020-G-15</t>
  </si>
  <si>
    <t>20-06-1405</t>
  </si>
  <si>
    <t>PROJECT # 20-084</t>
  </si>
  <si>
    <t>2007136</t>
  </si>
  <si>
    <t>ADS-1325-20</t>
  </si>
  <si>
    <t>0986-20</t>
  </si>
  <si>
    <t>PROJECT # 20-093</t>
  </si>
  <si>
    <t>SPD-2020-0008</t>
  </si>
  <si>
    <t>2007105</t>
  </si>
  <si>
    <t>2020-07-109</t>
  </si>
  <si>
    <t>20EF0122</t>
  </si>
  <si>
    <t>2007104</t>
  </si>
  <si>
    <t>DARLU-07-01-20-A-GOODS</t>
  </si>
  <si>
    <t>020-13 Lot 6</t>
  </si>
  <si>
    <t>211517</t>
  </si>
  <si>
    <t>211516</t>
  </si>
  <si>
    <t>LGU-AL-27-2020</t>
  </si>
  <si>
    <t>PB-GOODS-AUGUST 06, 2020-01</t>
  </si>
  <si>
    <t>2007135</t>
  </si>
  <si>
    <t>002-2020-I</t>
  </si>
  <si>
    <t>G-2020-07-018-SEF</t>
  </si>
  <si>
    <t>TLU-0207-I</t>
  </si>
  <si>
    <t>211506</t>
  </si>
  <si>
    <t>211507</t>
  </si>
  <si>
    <t>211508</t>
  </si>
  <si>
    <t>ADS-1604-20</t>
  </si>
  <si>
    <t>211504</t>
  </si>
  <si>
    <t>G-2020-059</t>
  </si>
  <si>
    <t>ADS-1672-20</t>
  </si>
  <si>
    <t>20200714-23</t>
  </si>
  <si>
    <t>PB 2020-045</t>
  </si>
  <si>
    <t>211505</t>
  </si>
  <si>
    <t>20200714-4</t>
  </si>
  <si>
    <t>20200714-8</t>
  </si>
  <si>
    <t>20200714-6</t>
  </si>
  <si>
    <t>2020 ITB - 032</t>
  </si>
  <si>
    <t>211515</t>
  </si>
  <si>
    <t>155 - 2020</t>
  </si>
  <si>
    <t>INFRA-CNO-20-0007</t>
  </si>
  <si>
    <t>20-07-013</t>
  </si>
  <si>
    <t>2020-07-012</t>
  </si>
  <si>
    <t>PB2020-08-056I</t>
  </si>
  <si>
    <t>20LH0119</t>
  </si>
  <si>
    <t>20LH0116</t>
  </si>
  <si>
    <t>CRN-PB-010-GOODS-2020</t>
  </si>
  <si>
    <t>G-2020-20</t>
  </si>
  <si>
    <t>20LH0115</t>
  </si>
  <si>
    <t>INFRA-2020-PB-029</t>
  </si>
  <si>
    <t>20200714-3</t>
  </si>
  <si>
    <t>20LH0118</t>
  </si>
  <si>
    <t>20LH0117</t>
  </si>
  <si>
    <t>INFRA-2020-PB-026</t>
  </si>
  <si>
    <t>2020-07-02-007</t>
  </si>
  <si>
    <t>MIL-INFR-2020-07-02</t>
  </si>
  <si>
    <t>INFRA-2020-PB-028</t>
  </si>
  <si>
    <t>INFRA-2020-PB-027</t>
  </si>
  <si>
    <t>ITB No. 093-Infra-2020</t>
  </si>
  <si>
    <t>PPC-BAC-2020-02</t>
  </si>
  <si>
    <t>PB2020-08-092G</t>
  </si>
  <si>
    <t>2020-07-02-012</t>
  </si>
  <si>
    <t>IAEB 214-20</t>
  </si>
  <si>
    <t>PB2020-08-091G</t>
  </si>
  <si>
    <t>2020-342</t>
  </si>
  <si>
    <t>ITB 2020-17</t>
  </si>
  <si>
    <t>infra 2020-031</t>
  </si>
  <si>
    <t>20-189</t>
  </si>
  <si>
    <t>2020-341</t>
  </si>
  <si>
    <t>20O00062</t>
  </si>
  <si>
    <t>2020-07-02-006</t>
  </si>
  <si>
    <t>20CSN012 RE-AD</t>
  </si>
  <si>
    <t>5020399000-53-2QISO -20</t>
  </si>
  <si>
    <t>20O00061</t>
  </si>
  <si>
    <t>5020305000-51-3QISO-20</t>
  </si>
  <si>
    <t>5020305000-49-1QISO-20</t>
  </si>
  <si>
    <t>5020399000-52-1QISO -20</t>
  </si>
  <si>
    <t>G-2020-455</t>
  </si>
  <si>
    <t>5020305000-50-2QISO-20</t>
  </si>
  <si>
    <t>5020399000-54-3QISO -20</t>
  </si>
  <si>
    <t>PPC-BAC-2020-03</t>
  </si>
  <si>
    <t>20CE0244</t>
  </si>
  <si>
    <t>90</t>
  </si>
  <si>
    <t>2020-GOODS-07-011</t>
  </si>
  <si>
    <t>G-2020-447</t>
  </si>
  <si>
    <t>G-2020-414</t>
  </si>
  <si>
    <t>202007-01</t>
  </si>
  <si>
    <t>GOODS20-07-038</t>
  </si>
  <si>
    <t>MH-GOODS-DRRM-ERV-903</t>
  </si>
  <si>
    <t>GOODS20-07-037</t>
  </si>
  <si>
    <t>PR0063-20 MOTORPOOL</t>
  </si>
  <si>
    <t>PB2020-08-090G</t>
  </si>
  <si>
    <t>BSGoods-2020-001</t>
  </si>
  <si>
    <t>RFQ NO. 20-06-402</t>
  </si>
  <si>
    <t>INFRA20–07–057</t>
  </si>
  <si>
    <t>GOOD 2020-016</t>
  </si>
  <si>
    <t>FRT-20-0803-B</t>
  </si>
  <si>
    <t>88</t>
  </si>
  <si>
    <t>GOODS20-07-040</t>
  </si>
  <si>
    <t>FRT-20-0800-B</t>
  </si>
  <si>
    <t>FRT-20-0802-B</t>
  </si>
  <si>
    <t>GOODS20-07-039</t>
  </si>
  <si>
    <t>2020-GOODS-07-013</t>
  </si>
  <si>
    <t>FRT-20-0799-B</t>
  </si>
  <si>
    <t>2020-GOODS-07-012</t>
  </si>
  <si>
    <t>20BH0157</t>
  </si>
  <si>
    <t>FRT-20-0801-B</t>
  </si>
  <si>
    <t>PR#20-05-0224</t>
  </si>
  <si>
    <t>2020-07-0140</t>
  </si>
  <si>
    <t>20BH0156</t>
  </si>
  <si>
    <t>FRT-20-0805-B</t>
  </si>
  <si>
    <t>2020-07-0139</t>
  </si>
  <si>
    <t>20BH0159</t>
  </si>
  <si>
    <t>2020-G-020 Lot 2</t>
  </si>
  <si>
    <t>20BH0155</t>
  </si>
  <si>
    <t>300(08-10-2020)</t>
  </si>
  <si>
    <t>2020 - 029</t>
  </si>
  <si>
    <t>20B00026</t>
  </si>
  <si>
    <t>20BH0158</t>
  </si>
  <si>
    <t>PDRRMO-2020-0171 PR2020-0423</t>
  </si>
  <si>
    <t>91</t>
  </si>
  <si>
    <t>INFRA-36-2020</t>
  </si>
  <si>
    <t>B2020-091-A</t>
  </si>
  <si>
    <t>INFRA-35-2020</t>
  </si>
  <si>
    <t>BFP6 BAC P2020-07-04</t>
  </si>
  <si>
    <t>2020C - 15-713</t>
  </si>
  <si>
    <t>INFRA-34-2020</t>
  </si>
  <si>
    <t>20-180</t>
  </si>
  <si>
    <t>2020G - 018-714</t>
  </si>
  <si>
    <t>INFRA-33-2020</t>
  </si>
  <si>
    <t>2020C -16-713</t>
  </si>
  <si>
    <t>054-2020</t>
  </si>
  <si>
    <t>dpwh-c2-deo 20CSHE0001</t>
  </si>
  <si>
    <t>2020-G-020 Lot 1</t>
  </si>
  <si>
    <t>BFAR5BAC-2020-125</t>
  </si>
  <si>
    <t>20BH0160</t>
  </si>
  <si>
    <t>2020-GOODS-07-015</t>
  </si>
  <si>
    <t>2020-GOODS-07-016</t>
  </si>
  <si>
    <t>IB No. 2020-204-A</t>
  </si>
  <si>
    <t>2020198</t>
  </si>
  <si>
    <t>2020G - 019-713</t>
  </si>
  <si>
    <t>FRT-20-0804-B</t>
  </si>
  <si>
    <t>B2020-093-A</t>
  </si>
  <si>
    <t>B2020-095-A</t>
  </si>
  <si>
    <t>INFRA-37-2020</t>
  </si>
  <si>
    <t>B2020-094-A</t>
  </si>
  <si>
    <t>20MGU-052</t>
  </si>
  <si>
    <t>DOH4A-2020-GS-010</t>
  </si>
  <si>
    <t>20MGU-056</t>
  </si>
  <si>
    <t>20MGU-061</t>
  </si>
  <si>
    <t>2020197</t>
  </si>
  <si>
    <t>20MGU-058</t>
  </si>
  <si>
    <t>130-07-2020</t>
  </si>
  <si>
    <t>20MGU-055</t>
  </si>
  <si>
    <t>20MGU-060</t>
  </si>
  <si>
    <t>ITB No. DC-20-27</t>
  </si>
  <si>
    <t>ITB No. DC-20-28</t>
  </si>
  <si>
    <t>ITB No. FB20-03-007COR</t>
  </si>
  <si>
    <t>IB NO. 2020-225</t>
  </si>
  <si>
    <t>ITB No. DC-20-25</t>
  </si>
  <si>
    <t>ITB No. DC-20-24</t>
  </si>
  <si>
    <t>03a-G-2020 (LTMPS)</t>
  </si>
  <si>
    <t>ITB No. DC-20-23</t>
  </si>
  <si>
    <t>R4-ORD-ARDMS-ADM-20-07-452</t>
  </si>
  <si>
    <t>ITB No. DC-20-22</t>
  </si>
  <si>
    <t>PGL 20-083</t>
  </si>
  <si>
    <t>BGHMCPB-2020-23-001</t>
  </si>
  <si>
    <t>CRN-PB-011-GOODS-2020</t>
  </si>
  <si>
    <t>MCS-20-06-049</t>
  </si>
  <si>
    <t>BLGU-BARAYONG-AL-G-01-2020</t>
  </si>
  <si>
    <t>101-2020-07-364,367,368,369,370,371,373,374</t>
  </si>
  <si>
    <t>ITB No. DC-20-26</t>
  </si>
  <si>
    <t>WS-2020-06-001</t>
  </si>
  <si>
    <t>PB-20-342</t>
  </si>
  <si>
    <t>ORD PABAC 017-20 (Re-bid)</t>
  </si>
  <si>
    <t>ITB No. DC-20-29</t>
  </si>
  <si>
    <t>INFRA -28-2020</t>
  </si>
  <si>
    <t>2020-06-0600</t>
  </si>
  <si>
    <t>BUE-07132020-01</t>
  </si>
  <si>
    <t>JULY132020-1</t>
  </si>
  <si>
    <t>PR-2020-1147</t>
  </si>
  <si>
    <t>2020-06-0560</t>
  </si>
  <si>
    <t>2020-02-0241, 2020-02-0386, 2020-03-0450</t>
  </si>
  <si>
    <t>2020-02-0166, 2020-06-0570, 2020-02-0326, 2020-07-</t>
  </si>
  <si>
    <t>07-13-2020-6</t>
  </si>
  <si>
    <t>2020-07-0617, 2020-06-0582</t>
  </si>
  <si>
    <t>PCADG-07-13-2020</t>
  </si>
  <si>
    <t>NS-07-14-20</t>
  </si>
  <si>
    <t>07-13-2020-5</t>
  </si>
  <si>
    <t>01BJ2020</t>
  </si>
  <si>
    <t>PBD-20-07-005</t>
  </si>
  <si>
    <t>100-20-07-0825</t>
  </si>
  <si>
    <t>INFRA -29-2020</t>
  </si>
  <si>
    <t>DPF 300-20-02-00455</t>
  </si>
  <si>
    <t>ENG'G PASBAC 011-20</t>
  </si>
  <si>
    <t>ITB GOODS 2020-07-39</t>
  </si>
  <si>
    <t>PB-20-343</t>
  </si>
  <si>
    <t>INFRA-32-2020</t>
  </si>
  <si>
    <t>INFRA-31-2020</t>
  </si>
  <si>
    <t>07-13-2020-7</t>
  </si>
  <si>
    <t>ENG’G PASBAC 010-20</t>
  </si>
  <si>
    <t>BLGU-AL-G-02-2020</t>
  </si>
  <si>
    <t>20MC-GOODS-037</t>
  </si>
  <si>
    <t>20BI0062</t>
  </si>
  <si>
    <t>20MC-GOODS-035</t>
  </si>
  <si>
    <t>PEO 300-20-06-07773</t>
  </si>
  <si>
    <t>2020-072-17-30</t>
  </si>
  <si>
    <t>100-20-07-0836</t>
  </si>
  <si>
    <t>2020-072-17-26</t>
  </si>
  <si>
    <t>2020-072-17-25</t>
  </si>
  <si>
    <t>2020-072-17-24</t>
  </si>
  <si>
    <t>BJMPROIIBAC G-2020-03</t>
  </si>
  <si>
    <t>2020-072-17-29</t>
  </si>
  <si>
    <t>2020-072-17-27</t>
  </si>
  <si>
    <t>WDP 200-20-06-07624</t>
  </si>
  <si>
    <t>BAC LGU 2020-3</t>
  </si>
  <si>
    <t>2020-072-17-28</t>
  </si>
  <si>
    <t>IB No. 2020-229</t>
  </si>
  <si>
    <t>2020-MEO-001</t>
  </si>
  <si>
    <t>2020-MENRO-001</t>
  </si>
  <si>
    <t>2020-072-17-23</t>
  </si>
  <si>
    <t>20MC-GOODS-036</t>
  </si>
  <si>
    <t>RF INFRA GAA CY2020-06-001-Re-Bidding</t>
  </si>
  <si>
    <t>2020-GOODS-07-014</t>
  </si>
  <si>
    <t>BAC-PGCS-130-2020</t>
  </si>
  <si>
    <t>BAC-PGCS-151-2020</t>
  </si>
  <si>
    <t>ITB-2020-08</t>
  </si>
  <si>
    <t>IB-06-094-2020 OCC</t>
  </si>
  <si>
    <t>003-2020 (P)</t>
  </si>
  <si>
    <t>BASC2020-07-041</t>
  </si>
  <si>
    <t>IB-07-0447-20 COBE</t>
  </si>
  <si>
    <t>BRGHGMC-GS-2020-05</t>
  </si>
  <si>
    <t>BGHMCPB 2020-21-002</t>
  </si>
  <si>
    <t>2020-GSIS-PB-057</t>
  </si>
  <si>
    <t>2020-GSIS-PB-074</t>
  </si>
  <si>
    <t>BAC1-20-013</t>
  </si>
  <si>
    <t>IB No. 2020-230</t>
  </si>
  <si>
    <t>BSU - PROJECT NO. 2020- 244</t>
  </si>
  <si>
    <t>20GA00002</t>
  </si>
  <si>
    <t>20% SSIII.1.a-2018</t>
  </si>
  <si>
    <t>BGHMCPB-2020-21-001</t>
  </si>
  <si>
    <t>B-02-2020</t>
  </si>
  <si>
    <t>20% SSIIIA.1.1-2019</t>
  </si>
  <si>
    <t>2020-483</t>
  </si>
  <si>
    <t>BAC LGU 2020-4</t>
  </si>
  <si>
    <t>2020 - 028</t>
  </si>
  <si>
    <t>2020-G-19 Lot 1</t>
  </si>
  <si>
    <t>2020-G-019 Lot 2</t>
  </si>
  <si>
    <t>PR No. 20-06-164</t>
  </si>
  <si>
    <t>783</t>
  </si>
  <si>
    <t>GS-PNBAC2-2020-34</t>
  </si>
  <si>
    <t>GS-PNBAC2-2020-33</t>
  </si>
  <si>
    <t>GS-PNBAC2-2020-21</t>
  </si>
  <si>
    <t>B-PHO-2020-07-014</t>
  </si>
  <si>
    <t>20CN0152 (Re-adv.)</t>
  </si>
  <si>
    <t>20% ESIVC.1-2020</t>
  </si>
  <si>
    <t>20-06-0665</t>
  </si>
  <si>
    <t>20Z00006</t>
  </si>
  <si>
    <t>2020-072-17-31</t>
  </si>
  <si>
    <t>Contract No. 04-2020</t>
  </si>
  <si>
    <t>ITB-128-2020</t>
  </si>
  <si>
    <t>ITB-130-2020</t>
  </si>
  <si>
    <t>20GZ00002</t>
  </si>
  <si>
    <t>ITB-124-2020</t>
  </si>
  <si>
    <t>ITB-129-2020</t>
  </si>
  <si>
    <t>20GZ00004</t>
  </si>
  <si>
    <t>70010032020</t>
  </si>
  <si>
    <t>07082020</t>
  </si>
  <si>
    <t>70090122020</t>
  </si>
  <si>
    <t>20% ESIC.3-2020</t>
  </si>
  <si>
    <t>IB 2020-26</t>
  </si>
  <si>
    <t>70090102020</t>
  </si>
  <si>
    <t>7009092020</t>
  </si>
  <si>
    <t>NIA10-2020-007</t>
  </si>
  <si>
    <t>FLGU-G-2020-33</t>
  </si>
  <si>
    <t>70090142020</t>
  </si>
  <si>
    <t>70090112020</t>
  </si>
  <si>
    <t>7009062020</t>
  </si>
  <si>
    <t>MG-A7A20-018</t>
  </si>
  <si>
    <t>IB 2020-34</t>
  </si>
  <si>
    <t>Bid Reference No. 2020-009; PR No. 2020-07-0191</t>
  </si>
  <si>
    <t>NIA10-2020-006</t>
  </si>
  <si>
    <t>IB-06-0411-20 COE</t>
  </si>
  <si>
    <t>PB2020-55</t>
  </si>
  <si>
    <t>70090132020</t>
  </si>
  <si>
    <t>7009082020</t>
  </si>
  <si>
    <t>PB2020-54</t>
  </si>
  <si>
    <t>IB-05-0376-20 PDO</t>
  </si>
  <si>
    <t>PB2020-52</t>
  </si>
  <si>
    <t>2020-02-117</t>
  </si>
  <si>
    <t>IB-07-0445-20 PDO</t>
  </si>
  <si>
    <t>MG-A7M20-093</t>
  </si>
  <si>
    <t>20GCG0003</t>
  </si>
  <si>
    <t>PB2020-53</t>
  </si>
  <si>
    <t>20A00209</t>
  </si>
  <si>
    <t>N-20-07-060</t>
  </si>
  <si>
    <t>IB-03-080-2020 OC IMPROVEMENT OF EVSU ORMOC CITY C</t>
  </si>
  <si>
    <t>7009072020</t>
  </si>
  <si>
    <t>20GCG0002</t>
  </si>
  <si>
    <t>NIA10-2020-005</t>
  </si>
  <si>
    <t>20BI0061</t>
  </si>
  <si>
    <t>NIA10-2020-004</t>
  </si>
  <si>
    <t>70090162020</t>
  </si>
  <si>
    <t>20200708-022</t>
  </si>
  <si>
    <t>prdp-ir-r010-buk-001-000-000-2016-loan no. 8421-ph</t>
  </si>
  <si>
    <t>782</t>
  </si>
  <si>
    <t>GS-PNBAC2-2020-24</t>
  </si>
  <si>
    <t>RO-PG2020-003</t>
  </si>
  <si>
    <t>20BI0060</t>
  </si>
  <si>
    <t>7009042020</t>
  </si>
  <si>
    <t>20BI0058</t>
  </si>
  <si>
    <t>ITB No. 2020-005-CSL</t>
  </si>
  <si>
    <t>PR-20-03-076</t>
  </si>
  <si>
    <t>20BI0059</t>
  </si>
  <si>
    <t>FLGU-CW-2020-23</t>
  </si>
  <si>
    <t>ITB-2020-001Lumintao</t>
  </si>
  <si>
    <t>70090152020</t>
  </si>
  <si>
    <t>BCS-2020-0167</t>
  </si>
  <si>
    <t>MC1-2007-032</t>
  </si>
  <si>
    <t>20GB0135</t>
  </si>
  <si>
    <t>NTC RIV-A 2020-07-001</t>
  </si>
  <si>
    <t>20CSKG02</t>
  </si>
  <si>
    <t>MC1-2007-030</t>
  </si>
  <si>
    <t>20-06-0335</t>
  </si>
  <si>
    <t>320200602623</t>
  </si>
  <si>
    <t>2020-SRW-001</t>
  </si>
  <si>
    <t>FLGU-CW-2020-22</t>
  </si>
  <si>
    <t>FLGU-CW-2020-21</t>
  </si>
  <si>
    <t>PPO-20-0239-B</t>
  </si>
  <si>
    <t>2020-01 Dibul</t>
  </si>
  <si>
    <t>ITB No. DC-2020-20</t>
  </si>
  <si>
    <t>ITB No. DC-2020-19</t>
  </si>
  <si>
    <t>ITB No. DC-2020-18</t>
  </si>
  <si>
    <t>20-07-146</t>
  </si>
  <si>
    <t>TAL-08-05-2020</t>
  </si>
  <si>
    <t>ITB No. DC-2020-21</t>
  </si>
  <si>
    <t>PBD 20-081</t>
  </si>
  <si>
    <t>AMP-RFQ-2020-115</t>
  </si>
  <si>
    <t>TALB-08-01-2020</t>
  </si>
  <si>
    <t>FLGU-CW-2020-24</t>
  </si>
  <si>
    <t>MC1-2007-031</t>
  </si>
  <si>
    <t>20-06-3141</t>
  </si>
  <si>
    <t>20KK0131</t>
  </si>
  <si>
    <t>PBD 20-080</t>
  </si>
  <si>
    <t>7009052020</t>
  </si>
  <si>
    <t>TAL-08-04-2020</t>
  </si>
  <si>
    <t>ITB No. GOP/20-DSWD-028-A</t>
  </si>
  <si>
    <t>INFRA-PNBAC2-2020-16</t>
  </si>
  <si>
    <t>N-20-07-059</t>
  </si>
  <si>
    <t>07272020-02</t>
  </si>
  <si>
    <t>07272020-01</t>
  </si>
  <si>
    <t>CP 2020-44 B</t>
  </si>
  <si>
    <t>2020-GSIS-PB-083</t>
  </si>
  <si>
    <t>INFRA-PNBAC2-2020-15</t>
  </si>
  <si>
    <t>INFRA-PNBAC2-2020-14</t>
  </si>
  <si>
    <t>TAL-08-02-2020</t>
  </si>
  <si>
    <t>IB No. 2020-205-A</t>
  </si>
  <si>
    <t>TAL-08-03-2020</t>
  </si>
  <si>
    <t>BAC-AS-2020-06-019</t>
  </si>
  <si>
    <t>CP 2020-43 B</t>
  </si>
  <si>
    <t>2020-07-08 INFRA</t>
  </si>
  <si>
    <t>780</t>
  </si>
  <si>
    <t>BAC-GS-2020-06-004</t>
  </si>
  <si>
    <t>LSB-ADMIN-20-001(CB)</t>
  </si>
  <si>
    <t>TAL-08-01-2020</t>
  </si>
  <si>
    <t>FS-2020-IHAOAN-RIP-001-RO</t>
  </si>
  <si>
    <t>BSU - PROJECT NO. 2020- 240</t>
  </si>
  <si>
    <t>lgu-2020-017</t>
  </si>
  <si>
    <t>2006-16</t>
  </si>
  <si>
    <t>2006-13</t>
  </si>
  <si>
    <t>100-20-05-0602</t>
  </si>
  <si>
    <t>7009022020</t>
  </si>
  <si>
    <t>7009012020</t>
  </si>
  <si>
    <t>7009032020</t>
  </si>
  <si>
    <t>CP 2020-41 B</t>
  </si>
  <si>
    <t>REI No. 2020-007</t>
  </si>
  <si>
    <t>20GZ00015</t>
  </si>
  <si>
    <t>ITB-125-2020</t>
  </si>
  <si>
    <t>ITB-126-2020</t>
  </si>
  <si>
    <t>Bid Ref. No. 2020-008; PR No. 2020-07-0190</t>
  </si>
  <si>
    <t>20% SSVIB.4-2019</t>
  </si>
  <si>
    <t>20% SSID.3-2019</t>
  </si>
  <si>
    <t>PEO-2019-1-07-03-010</t>
  </si>
  <si>
    <t>20% esic.8-2019</t>
  </si>
  <si>
    <t>ITB-114-2020</t>
  </si>
  <si>
    <t>C-0900-0045-20</t>
  </si>
  <si>
    <t>20% ssiva-1-2018</t>
  </si>
  <si>
    <t>PB 20-060A</t>
  </si>
  <si>
    <t>ITB-127-2020</t>
  </si>
  <si>
    <t>ITB 2020-005</t>
  </si>
  <si>
    <t>20CSAG01</t>
  </si>
  <si>
    <t>BAC LGU 2020-8</t>
  </si>
  <si>
    <t>ITB No. 084-Infra-2020</t>
  </si>
  <si>
    <t>SVP 2020-1082</t>
  </si>
  <si>
    <t>BSU - PROJECT NO. 2020- 241</t>
  </si>
  <si>
    <t>BSU - PROJECT NO. 2020- 243</t>
  </si>
  <si>
    <t>005-20</t>
  </si>
  <si>
    <t>ITB-STREET LIGHTS-20-07-01</t>
  </si>
  <si>
    <t>004-20</t>
  </si>
  <si>
    <t>BSU - PROJECT NO. 2020- 242</t>
  </si>
  <si>
    <t>2020-06-INFR</t>
  </si>
  <si>
    <t>ITB 052-2020</t>
  </si>
  <si>
    <t>ITB No. 087-Infra-2020</t>
  </si>
  <si>
    <t>PEO SB2-2019-1-07-03-10</t>
  </si>
  <si>
    <t>BINAN-PB-055-2020</t>
  </si>
  <si>
    <t>DA RFO-1-2019-INFRA-082</t>
  </si>
  <si>
    <t>20CSFL02</t>
  </si>
  <si>
    <t>ITB-GS-20200413-01</t>
  </si>
  <si>
    <t>IB GOP/2020-DSWD-15</t>
  </si>
  <si>
    <t>BTA-BARMM 2020-001</t>
  </si>
  <si>
    <t>20GB0124</t>
  </si>
  <si>
    <t>20% ESIC.3-2019</t>
  </si>
  <si>
    <t>20BG0082-RE-ADVERTISEMENT</t>
  </si>
  <si>
    <t>PLAWD 2020-07-053</t>
  </si>
  <si>
    <t>SVP 2020-390</t>
  </si>
  <si>
    <t>05-00694</t>
  </si>
  <si>
    <t>20CSBK02</t>
  </si>
  <si>
    <t>20CSBK01</t>
  </si>
  <si>
    <t>ITB No. 2020-16</t>
  </si>
  <si>
    <t>20GB0125</t>
  </si>
  <si>
    <t>20-06-0296</t>
  </si>
  <si>
    <t>6167696333</t>
  </si>
  <si>
    <t>8789818311</t>
  </si>
  <si>
    <t>4947414333</t>
  </si>
  <si>
    <t>AMP-RFQ-2020-112</t>
  </si>
  <si>
    <t>20GB0126</t>
  </si>
  <si>
    <t>PHilMech RCEF 20-06-02</t>
  </si>
  <si>
    <t>53515957</t>
  </si>
  <si>
    <t>MG-A7T20-056</t>
  </si>
  <si>
    <t>20FA0061</t>
  </si>
  <si>
    <t>20-06-0280</t>
  </si>
  <si>
    <t>DTI PB-20-012</t>
  </si>
  <si>
    <t>20C00050</t>
  </si>
  <si>
    <t>ITB-GS-20200311-01</t>
  </si>
  <si>
    <t>2927232111</t>
  </si>
  <si>
    <t>BFAR5BAC-2020-113</t>
  </si>
  <si>
    <t>20GZ00001</t>
  </si>
  <si>
    <t>ITB 2020-03 SECURITY SERVICE</t>
  </si>
  <si>
    <t>2020-twg1-005 with RIS No.19-82-025</t>
  </si>
  <si>
    <t>2020-G-13</t>
  </si>
  <si>
    <t>CSC-ITB No. 2020-10  (Proc. of Primary Internet Se</t>
  </si>
  <si>
    <t>CSC-ITB No. 2020-09 (Proc. of AVS Licenses)</t>
  </si>
  <si>
    <t>ITB-2020-06-005</t>
  </si>
  <si>
    <t>ITB20OA0076</t>
  </si>
  <si>
    <t>CSC-ITB No. 2020-08 (Proc. of Laptops &amp; Printers</t>
  </si>
  <si>
    <t>IB-2020-078</t>
  </si>
  <si>
    <t>ITB-GS-20200608-01</t>
  </si>
  <si>
    <t>20CG0206</t>
  </si>
  <si>
    <t>PHilMech RCEF 20-06-04</t>
  </si>
  <si>
    <t>20O00004</t>
  </si>
  <si>
    <t>PB20-06-035COR</t>
  </si>
  <si>
    <t>2020-INFRA-05</t>
  </si>
  <si>
    <t>19CSZ016</t>
  </si>
  <si>
    <t>20DN0161</t>
  </si>
  <si>
    <t>20DN0157</t>
  </si>
  <si>
    <t>20DN0169</t>
  </si>
  <si>
    <t>CSC 2020-06-013</t>
  </si>
  <si>
    <t>MG-TSE20-032...REHAB/REPAIR OF VARIOUS DEFECTIVE V</t>
  </si>
  <si>
    <t>20DN0148</t>
  </si>
  <si>
    <t>20GK0227</t>
  </si>
  <si>
    <t>20GK0226</t>
  </si>
  <si>
    <t>MG-TSE20-018..METER, MULTIFUNCTION</t>
  </si>
  <si>
    <t>20DN0160</t>
  </si>
  <si>
    <t>20DN0168</t>
  </si>
  <si>
    <t>MG-A7C20-028</t>
  </si>
  <si>
    <t>ITB-SSS-GOODS-2020-018</t>
  </si>
  <si>
    <t>20DN0145</t>
  </si>
  <si>
    <t>2020-218</t>
  </si>
  <si>
    <t>20030200</t>
  </si>
  <si>
    <t>2020170</t>
  </si>
  <si>
    <t>2020168</t>
  </si>
  <si>
    <t>20-VI-05</t>
  </si>
  <si>
    <t>20-VI-09</t>
  </si>
  <si>
    <t>20-VI-07</t>
  </si>
  <si>
    <t>20-VI-08</t>
  </si>
  <si>
    <t>20DN0149</t>
  </si>
  <si>
    <t>20CN0125</t>
  </si>
  <si>
    <t>20CN0123</t>
  </si>
  <si>
    <t>20-VI-06</t>
  </si>
  <si>
    <t>20CN0124</t>
  </si>
  <si>
    <t>20CN0072</t>
  </si>
  <si>
    <t>20DN0150</t>
  </si>
  <si>
    <t>20CN0071</t>
  </si>
  <si>
    <t>20CN0069</t>
  </si>
  <si>
    <t>20CN0075</t>
  </si>
  <si>
    <t>20CN0070</t>
  </si>
  <si>
    <t>20DN0171</t>
  </si>
  <si>
    <t>20DN0140</t>
  </si>
  <si>
    <t>20CN0067</t>
  </si>
  <si>
    <t>20DN0173</t>
  </si>
  <si>
    <t>20FA0060</t>
  </si>
  <si>
    <t>20DN0174</t>
  </si>
  <si>
    <t>20CN0068</t>
  </si>
  <si>
    <t>20DN0139</t>
  </si>
  <si>
    <t>20DN0138</t>
  </si>
  <si>
    <t>20DN0130</t>
  </si>
  <si>
    <t>20DN0128</t>
  </si>
  <si>
    <t>FSDE18-CS-048-20</t>
  </si>
  <si>
    <t>EMBR02-PB-CONSULTINGSERVICES- EMED052020-140</t>
  </si>
  <si>
    <t>SBMA-BAC-GOODS-ITB-09-20</t>
  </si>
  <si>
    <t>20CI0094</t>
  </si>
  <si>
    <t>20DN0170</t>
  </si>
  <si>
    <t>20DN0137</t>
  </si>
  <si>
    <t>blguamot-2019</t>
  </si>
  <si>
    <t>ITB No. GOP/19-DSWD-059-A</t>
  </si>
  <si>
    <t>2020-02-0182-MAIN</t>
  </si>
  <si>
    <t>2020-02-0277-MAIN</t>
  </si>
  <si>
    <t>2020-0334</t>
  </si>
  <si>
    <t>2020-06-0561-MAIN</t>
  </si>
  <si>
    <t>BFP BAC IB No. 001 (I) s. 2020</t>
  </si>
  <si>
    <t>BFP BAC IB No. 002 (G) s. 2020</t>
  </si>
  <si>
    <t>19CSK00041</t>
  </si>
  <si>
    <t>ITB-GS-20200604-01</t>
  </si>
  <si>
    <t>BAC No. 07-05-2020</t>
  </si>
  <si>
    <t>PUR20-03-0291</t>
  </si>
  <si>
    <t>20O00059</t>
  </si>
  <si>
    <t>20KA0142</t>
  </si>
  <si>
    <t>20GB0123</t>
  </si>
  <si>
    <t>20BF0052</t>
  </si>
  <si>
    <t>RFQ-06182020-A</t>
  </si>
  <si>
    <t>ITB PR No.: 0952-20BAC</t>
  </si>
  <si>
    <t>MG-A7O20-007</t>
  </si>
  <si>
    <t>ITB PR No.: 0694-20BAC</t>
  </si>
  <si>
    <t>ITB PR No.: 0698-20BAC</t>
  </si>
  <si>
    <t>ITB PR No.: 0691-20BAC</t>
  </si>
  <si>
    <t>27619-001 to 27619-003</t>
  </si>
  <si>
    <t>27388-001</t>
  </si>
  <si>
    <t>20F00122</t>
  </si>
  <si>
    <t>BFAR5BAC-2020-077</t>
  </si>
  <si>
    <t>27608-001</t>
  </si>
  <si>
    <t>MG-A7A20-005</t>
  </si>
  <si>
    <t>MG-A7C20-020</t>
  </si>
  <si>
    <t>20CI0087</t>
  </si>
  <si>
    <t>DTI PB-20-010</t>
  </si>
  <si>
    <t>ITB PR No.: 0697-20BAC</t>
  </si>
  <si>
    <t>20KA0141</t>
  </si>
  <si>
    <t>20KA0140</t>
  </si>
  <si>
    <t>20-DO-0079</t>
  </si>
  <si>
    <t>20LC0144</t>
  </si>
  <si>
    <t>20KA0138</t>
  </si>
  <si>
    <t>20KA0137</t>
  </si>
  <si>
    <t>20KA0135</t>
  </si>
  <si>
    <t>20C00036</t>
  </si>
  <si>
    <t>MG-A7C20-023</t>
  </si>
  <si>
    <t>19Z00043</t>
  </si>
  <si>
    <t>20DN0131</t>
  </si>
  <si>
    <t>20KA0136</t>
  </si>
  <si>
    <t>19Z00042</t>
  </si>
  <si>
    <t>20BF0054</t>
  </si>
  <si>
    <t>MPG-B1-2020-045</t>
  </si>
  <si>
    <t>MPG-B1-2020-002</t>
  </si>
  <si>
    <t>ITB-GS-20200212-01</t>
  </si>
  <si>
    <t>ITB-GS-20190703-01(2)</t>
  </si>
  <si>
    <t>20CN0073</t>
  </si>
  <si>
    <t>05052020-02</t>
  </si>
  <si>
    <t>BFAR5BAC-2020-036</t>
  </si>
  <si>
    <t>20CN0074</t>
  </si>
  <si>
    <t>ITB 2020-INFRA-006</t>
  </si>
  <si>
    <t>ITB 2020-INFRA-005</t>
  </si>
  <si>
    <t>ITB 2020-INFRA-007</t>
  </si>
  <si>
    <t>ITB 2020-INFRA-003</t>
  </si>
  <si>
    <t>ITB 2020-INFRA-002</t>
  </si>
  <si>
    <t>ISS 2020-008-IT</t>
  </si>
  <si>
    <t>ITB 2020-INFRA-004</t>
  </si>
  <si>
    <t>ITB 2020-INFRA-001</t>
  </si>
  <si>
    <t>PROCUREMENT OF OTHER SUPPLIES AND MATERIALS (SUPPL</t>
  </si>
  <si>
    <t>MPG-BI 2020-318 4th Rebid SUPPLY AND DELIVERY OF B</t>
  </si>
  <si>
    <t>GEPS 20-007</t>
  </si>
  <si>
    <t>MPG-B1-2020-231 Rebid</t>
  </si>
  <si>
    <t>MPG-B1-2020-230 Rebid</t>
  </si>
  <si>
    <t>TAL-06-03-2020</t>
  </si>
  <si>
    <t>ITB No. PB20-01-007ANGa-03</t>
  </si>
  <si>
    <t>MPG-B1-2020-415</t>
  </si>
  <si>
    <t>MG-A7T20-023</t>
  </si>
  <si>
    <t>ITB-GS-20191023-01(2)</t>
  </si>
  <si>
    <t>PB 20-16</t>
  </si>
  <si>
    <t>PB 20-15</t>
  </si>
  <si>
    <t>MPG-B1-2020-250</t>
  </si>
  <si>
    <t>ITB-GS-20200305-03</t>
  </si>
  <si>
    <t>BAC LURO PR No. 2020-072</t>
  </si>
  <si>
    <t>MG-A7T20-021</t>
  </si>
  <si>
    <t>ITB-GS-20191202-01</t>
  </si>
  <si>
    <t>BAC LURO PR No. 2020-071</t>
  </si>
  <si>
    <t>ITB-GS-20200219-01</t>
  </si>
  <si>
    <t xml:space="preserve">GPG-B1-2020-309-REBID-CONSULTING SERVICES FOR THE </t>
  </si>
  <si>
    <t>ITB No. PB20-03-002DAV</t>
  </si>
  <si>
    <t>MPG-B1-2020-286 3rd Rebid</t>
  </si>
  <si>
    <t>BAC LURO PR No. 2020-074</t>
  </si>
  <si>
    <t>BAC No. 2020-019</t>
  </si>
  <si>
    <t>BAC No. 2020-015</t>
  </si>
  <si>
    <t>BAC No. 2020-017</t>
  </si>
  <si>
    <t>DA7-02-FOD-C-20-1414</t>
  </si>
  <si>
    <t>BAC 2020-012</t>
  </si>
  <si>
    <t>BAC 2020-018</t>
  </si>
  <si>
    <t>BAC No. 2020-016</t>
  </si>
  <si>
    <t>20FA0049</t>
  </si>
  <si>
    <t>BAC19-001-004</t>
  </si>
  <si>
    <t>20FA0047</t>
  </si>
  <si>
    <t>20-DO-0067</t>
  </si>
  <si>
    <t>20HD0073</t>
  </si>
  <si>
    <t>20OE0173</t>
  </si>
  <si>
    <t>20OD0157</t>
  </si>
  <si>
    <t>ITB-GS-20200325-01</t>
  </si>
  <si>
    <t>20OD0154</t>
  </si>
  <si>
    <t>TAS-20-03-068</t>
  </si>
  <si>
    <t>DENR-CO-2020-003 REBID</t>
  </si>
  <si>
    <t>20CJ0134</t>
  </si>
  <si>
    <t>20FA0040</t>
  </si>
  <si>
    <t>20CJ0133</t>
  </si>
  <si>
    <t>MPG-B1-2020-251</t>
  </si>
  <si>
    <t>20CJ0065</t>
  </si>
  <si>
    <t>20KA0139</t>
  </si>
  <si>
    <t>20CJ0140</t>
  </si>
  <si>
    <t>20OD0144</t>
  </si>
  <si>
    <t>PB No. 19-341-7</t>
  </si>
  <si>
    <t>20CJ0137</t>
  </si>
  <si>
    <t>20HD0083</t>
  </si>
  <si>
    <t>20CJ0122</t>
  </si>
  <si>
    <t>BSU-Project No. 2020-103</t>
  </si>
  <si>
    <t>20OE0190</t>
  </si>
  <si>
    <t>MCPD2020-RFQ01-002-G</t>
  </si>
  <si>
    <t>20HD0056</t>
  </si>
  <si>
    <t>20OD0165</t>
  </si>
  <si>
    <t>20OD0162</t>
  </si>
  <si>
    <t>19CSK00049</t>
  </si>
  <si>
    <t>19CSK00048</t>
  </si>
  <si>
    <t>SVP 2020-41</t>
  </si>
  <si>
    <t>20GO0038</t>
  </si>
  <si>
    <t>MPG-B2-2020-005</t>
  </si>
  <si>
    <t>SVP 2020-70</t>
  </si>
  <si>
    <t>GPG-B1-2020-107-EXPLOSIVE DETECTION DOGS</t>
  </si>
  <si>
    <t>ASD-B1-2020-315 2nd Rebid</t>
  </si>
  <si>
    <t>2020-02 Infra (Rebid 2020 BEFF Lot 6)</t>
  </si>
  <si>
    <t>20OD0152</t>
  </si>
  <si>
    <t>ASD-B1-2020-316 Nego</t>
  </si>
  <si>
    <t>CAT-2020-001</t>
  </si>
  <si>
    <t>20OE0091</t>
  </si>
  <si>
    <t>CDC 42-03-2020</t>
  </si>
  <si>
    <t>PB 20-14</t>
  </si>
  <si>
    <t>20-03-016</t>
  </si>
  <si>
    <t>20-03-011</t>
  </si>
  <si>
    <t>19CSK00047</t>
  </si>
  <si>
    <t>MPG-B1-2019-416</t>
  </si>
  <si>
    <t>20-03-019</t>
  </si>
  <si>
    <t>20C00042</t>
  </si>
  <si>
    <t>20NC0125</t>
  </si>
  <si>
    <t>2020-05-06a</t>
  </si>
  <si>
    <t>27611-001</t>
  </si>
  <si>
    <t>20FA0050</t>
  </si>
  <si>
    <t>20NG0086</t>
  </si>
  <si>
    <t>SVP 2020-211</t>
  </si>
  <si>
    <t>BAC-PROP-2020-05</t>
  </si>
  <si>
    <t>C-2020-01</t>
  </si>
  <si>
    <t>ITB-GS-20200227-02</t>
  </si>
  <si>
    <t>IB No. 2020-219</t>
  </si>
  <si>
    <t>MG-A7T20-055</t>
  </si>
  <si>
    <t>20NC0124</t>
  </si>
  <si>
    <t>20DN0144</t>
  </si>
  <si>
    <t>06-00723</t>
  </si>
  <si>
    <t>Contract No. 03 - 2020</t>
  </si>
  <si>
    <t>20CN0126</t>
  </si>
  <si>
    <t>ITB-GS-20200408-01</t>
  </si>
  <si>
    <t>20DN0141</t>
  </si>
  <si>
    <t>20CN0066</t>
  </si>
  <si>
    <t>20AE0073: Construction of 2 Storey 4 Classroom Sch</t>
  </si>
  <si>
    <t>ITB NO. OCD 2020-11</t>
  </si>
  <si>
    <t>20AE0069: Construction of 2 Storey 4 Classroom Sch</t>
  </si>
  <si>
    <t>SRAVIS 20-06-293</t>
  </si>
  <si>
    <t>20CI0101</t>
  </si>
  <si>
    <t>20CI0100</t>
  </si>
  <si>
    <t>Repair/Rehabilitation of Building and Structure (I</t>
  </si>
  <si>
    <t>20-006</t>
  </si>
  <si>
    <t>20FA0048</t>
  </si>
  <si>
    <t>Construction of Academic and Office Building Phase</t>
  </si>
  <si>
    <t>20LB0206</t>
  </si>
  <si>
    <t>Repair/Rehabilitation of Comfort Rooms At Ground F</t>
  </si>
  <si>
    <t>20LB0311</t>
  </si>
  <si>
    <t>063</t>
  </si>
  <si>
    <t>ORD PABAC 018-20 Lot 1 (Re-bid)</t>
  </si>
  <si>
    <t>2020-03-0023</t>
  </si>
  <si>
    <t>20CI0099</t>
  </si>
  <si>
    <t>20CG0216</t>
  </si>
  <si>
    <t xml:space="preserve">ITB No. GOP/20-DSWD-038 - Provision of Multi-Year </t>
  </si>
  <si>
    <t>2020-twg1-006 with RIS No.19-82-025</t>
  </si>
  <si>
    <t>Repair/Rehabilitation of Comfort Rooms At 3rd Floo</t>
  </si>
  <si>
    <t>ORD PABAC 018-20 Lot 2</t>
  </si>
  <si>
    <t>20GB0134</t>
  </si>
  <si>
    <t>20GB0130</t>
  </si>
  <si>
    <t>20GB0129</t>
  </si>
  <si>
    <t>20GB0128</t>
  </si>
  <si>
    <t>20GB0127</t>
  </si>
  <si>
    <t>20CG0209</t>
  </si>
  <si>
    <t>20GB0131</t>
  </si>
  <si>
    <t>20CG0231</t>
  </si>
  <si>
    <t>20CG0230</t>
  </si>
  <si>
    <t>BAC LGU 2020-7</t>
  </si>
  <si>
    <t>BAC LGU 2020-6</t>
  </si>
  <si>
    <t>BAC LGU 2020-5</t>
  </si>
  <si>
    <t>2020-07-0117 (PB#20-002)</t>
  </si>
  <si>
    <t>20GEF012</t>
  </si>
  <si>
    <t>2020 ITB - 031</t>
  </si>
  <si>
    <t>20GB0132</t>
  </si>
  <si>
    <t>QM PABAC 032-20</t>
  </si>
  <si>
    <t>20GFO0022</t>
  </si>
  <si>
    <t>2020-07-0116 (PB#20-001)</t>
  </si>
  <si>
    <t>WDP 200-20-05-05466</t>
  </si>
  <si>
    <t>20GB0133</t>
  </si>
  <si>
    <t>2020-072-17-32</t>
  </si>
  <si>
    <t>OGDS 07-13-20</t>
  </si>
  <si>
    <t>ITB GOODS 2020-07-41</t>
  </si>
  <si>
    <t>SB2 PEO19 300-20-06-07905</t>
  </si>
  <si>
    <t>20MC-INFRA-034</t>
  </si>
  <si>
    <t>LAMISCA IMO 07-06-2020 CW</t>
  </si>
  <si>
    <t>20MC-INFRA-033</t>
  </si>
  <si>
    <t>11065</t>
  </si>
  <si>
    <t>GAMOT 200-20-06-06112</t>
  </si>
  <si>
    <t>INFRA-30-2020</t>
  </si>
  <si>
    <t>ENG’G PASBAC 009-20</t>
  </si>
  <si>
    <t>ITB GOODS 2020-07-38</t>
  </si>
  <si>
    <t>M-20-21</t>
  </si>
  <si>
    <t>20-07-1030</t>
  </si>
  <si>
    <t>ITB GOODS 2020-07-40</t>
  </si>
  <si>
    <t>MGCP-20G-597A</t>
  </si>
  <si>
    <t>NRP-WLB-01-20</t>
  </si>
  <si>
    <t>07-13-2020-8</t>
  </si>
  <si>
    <t>PGL 20-085</t>
  </si>
  <si>
    <t>PGL 20-084</t>
  </si>
  <si>
    <t>2020-02-0311, 2020-03-0450, 2020-02-0371, 2020-02-</t>
  </si>
  <si>
    <t>2020-02-0311, 2020-02-0274, 2020-03-0450</t>
  </si>
  <si>
    <t>07-13-2020-4</t>
  </si>
  <si>
    <t>PCDP-2020-07-0259</t>
  </si>
  <si>
    <t>PR-2020-1210</t>
  </si>
  <si>
    <t>07-13-2020-3</t>
  </si>
  <si>
    <t>ITB GOODS 2020-07-37</t>
  </si>
  <si>
    <t>07-13-2020-2</t>
  </si>
  <si>
    <t>PB-SVC-2007-063</t>
  </si>
  <si>
    <t>MJES-0714-2020</t>
  </si>
  <si>
    <t>2020-003-D</t>
  </si>
  <si>
    <t>2020-002-D</t>
  </si>
  <si>
    <t>20MGU-059</t>
  </si>
  <si>
    <t>20HD0096</t>
  </si>
  <si>
    <t>SK-2020-07-01</t>
  </si>
  <si>
    <t>T/F-2020-07-363,372</t>
  </si>
  <si>
    <t>PR-2020-1211</t>
  </si>
  <si>
    <t>2020C - 18-713</t>
  </si>
  <si>
    <t>07-13-2020-1</t>
  </si>
  <si>
    <t>20MGU-053</t>
  </si>
  <si>
    <t>2020C - 17-713</t>
  </si>
  <si>
    <t>ITB No. 2020-07-004</t>
  </si>
  <si>
    <t>ITB-2020-016</t>
  </si>
  <si>
    <t>BFAR5BAC-2020-126</t>
  </si>
  <si>
    <t>20CH0077</t>
  </si>
  <si>
    <t>CMGP-02-2020</t>
  </si>
  <si>
    <t>20MGU-054</t>
  </si>
  <si>
    <t>ICITB07142020A</t>
  </si>
  <si>
    <t>CMGP-01-2020</t>
  </si>
  <si>
    <t>2020-07-02-010</t>
  </si>
  <si>
    <t>20BH0154</t>
  </si>
  <si>
    <t>2020-07-02-009</t>
  </si>
  <si>
    <t>2020-07-02-008</t>
  </si>
  <si>
    <t>010-20PB</t>
  </si>
  <si>
    <t>CONCRETING OF ACCESS ROAD LEADING TO EVACUATION CE</t>
  </si>
  <si>
    <t>2020-07-02-011</t>
  </si>
  <si>
    <t>INFRA-2020-PB-023</t>
  </si>
  <si>
    <t>INFRA-2020-PB-025</t>
  </si>
  <si>
    <t>20-07-565</t>
  </si>
  <si>
    <t>152 - 2020</t>
  </si>
  <si>
    <t>B2020-092-A</t>
  </si>
  <si>
    <t>BAC1-20-004</t>
  </si>
  <si>
    <t>HOD-2020-0711</t>
  </si>
  <si>
    <t>145 - 2020</t>
  </si>
  <si>
    <t>RMASS-LAU-062020-231</t>
  </si>
  <si>
    <t>20200713-24</t>
  </si>
  <si>
    <t>137 - 2020</t>
  </si>
  <si>
    <t>GOODS-2020-07-056</t>
  </si>
  <si>
    <t>20200713-16</t>
  </si>
  <si>
    <t>20200713-5</t>
  </si>
  <si>
    <t>134 - 2020</t>
  </si>
  <si>
    <t>20-144</t>
  </si>
  <si>
    <t>20-00051</t>
  </si>
  <si>
    <t>136 - 2020</t>
  </si>
  <si>
    <t>2020070910</t>
  </si>
  <si>
    <t>20-05-0207</t>
  </si>
  <si>
    <t>173 – 2020</t>
  </si>
  <si>
    <t>147 - 2020</t>
  </si>
  <si>
    <t>ITB No. MCS- 20-004</t>
  </si>
  <si>
    <t>ITB2020-07-008</t>
  </si>
  <si>
    <t>ITDI-PB-200007</t>
  </si>
  <si>
    <t>BCS-2020-0174</t>
  </si>
  <si>
    <t>20-07-532</t>
  </si>
  <si>
    <t>ITB No. 2020-INFRA-7(09)</t>
  </si>
  <si>
    <t>ITB No. 2020-INFRA-7(11)</t>
  </si>
  <si>
    <t>IB No. I-2020-01</t>
  </si>
  <si>
    <t>ITB No. 2020-INFRA-7(10)</t>
  </si>
  <si>
    <t>ITB No. 2020-INFRA-7(12)</t>
  </si>
  <si>
    <t>BAC-GS-2020-07-011</t>
  </si>
  <si>
    <t>20AI0182</t>
  </si>
  <si>
    <t>2020-07-0200</t>
  </si>
  <si>
    <t>5809-clsu-2020</t>
  </si>
  <si>
    <t>PEO-20-0550-B</t>
  </si>
  <si>
    <t>100-20-16-161</t>
  </si>
  <si>
    <t>SKSV2020-005</t>
  </si>
  <si>
    <t>UPLB-RQ-7-147-20-RES INFORMATION TECHNOLOGY</t>
  </si>
  <si>
    <t>ITB# 2020-024</t>
  </si>
  <si>
    <t>PEO-20-0549-B</t>
  </si>
  <si>
    <t>GOOD20200302</t>
  </si>
  <si>
    <t>20GBJ0002</t>
  </si>
  <si>
    <t>BGH - 07 - 0120</t>
  </si>
  <si>
    <t>PBDD-PR-2020-07-003</t>
  </si>
  <si>
    <t>PR. NO. 2020060723</t>
  </si>
  <si>
    <t>DRRMO(2020)-9000-08(a)-dag-2020(011)</t>
  </si>
  <si>
    <t>INFRA-2020-232</t>
  </si>
  <si>
    <t>umcbac20-18</t>
  </si>
  <si>
    <t>HILONGOS 2020-213</t>
  </si>
  <si>
    <t>BTG3-20GDC0008</t>
  </si>
  <si>
    <t>PB20-07-037COR</t>
  </si>
  <si>
    <t>109-20</t>
  </si>
  <si>
    <t>C10-20-1469</t>
  </si>
  <si>
    <t>BS 20-07-MS006</t>
  </si>
  <si>
    <t>79</t>
  </si>
  <si>
    <t>20200713-1</t>
  </si>
  <si>
    <t>2020-07-638</t>
  </si>
  <si>
    <t>PEO-20-0552-B</t>
  </si>
  <si>
    <t>PB-CW-2020-028</t>
  </si>
  <si>
    <t>08062020</t>
  </si>
  <si>
    <t>2020-07-639</t>
  </si>
  <si>
    <t>100-20-06-159</t>
  </si>
  <si>
    <t>PB-LAP-2020-077</t>
  </si>
  <si>
    <t>BS 20-07-0727</t>
  </si>
  <si>
    <t>ISC-20-0505-B</t>
  </si>
  <si>
    <t>PB-CW-2020-027</t>
  </si>
  <si>
    <t>GS-2020-10</t>
  </si>
  <si>
    <t>IB 2020-46</t>
  </si>
  <si>
    <t>TAMP-PB-INFRA-08-2020</t>
  </si>
  <si>
    <t>2020-07-087bid</t>
  </si>
  <si>
    <t>023-2020</t>
  </si>
  <si>
    <t>2020-02-121</t>
  </si>
  <si>
    <t>2020-07-656</t>
  </si>
  <si>
    <t>PB-08-07-2020</t>
  </si>
  <si>
    <t>ITB 05-001-20</t>
  </si>
  <si>
    <t>2020-029-GDS</t>
  </si>
  <si>
    <t>100-20-06-105</t>
  </si>
  <si>
    <t>BInfr-2020-11</t>
  </si>
  <si>
    <t>SJBC2020-005</t>
  </si>
  <si>
    <t>BS 20-07-0728</t>
  </si>
  <si>
    <t>Reso #17 dated july 6, 2020</t>
  </si>
  <si>
    <t>RFQ NO. 2020-07-048</t>
  </si>
  <si>
    <t>bcwd-2020-065</t>
  </si>
  <si>
    <t>TF-20-07-113(Q)</t>
  </si>
  <si>
    <t>SKT2020-001</t>
  </si>
  <si>
    <t>SanJoseBatsAeb2020-116</t>
  </si>
  <si>
    <t>NP-SVP-20-058</t>
  </si>
  <si>
    <t>20CSIB09</t>
  </si>
  <si>
    <t>OM_2020_005</t>
  </si>
  <si>
    <t>BInfr-2020-12</t>
  </si>
  <si>
    <t>20CSAB04</t>
  </si>
  <si>
    <t>BG-2020-15</t>
  </si>
  <si>
    <t>SanJoseBatsAeb2020-117</t>
  </si>
  <si>
    <t>2020-07-0287</t>
  </si>
  <si>
    <t>100(09)20-07-112(Q)</t>
  </si>
  <si>
    <t>20GDB0029</t>
  </si>
  <si>
    <t>20-184</t>
  </si>
  <si>
    <t>DOT BAC REI No. 2020-008</t>
  </si>
  <si>
    <t>2020-INFRA-057</t>
  </si>
  <si>
    <t>ITB 2020-07-033</t>
  </si>
  <si>
    <t>INFR 2020-03</t>
  </si>
  <si>
    <t>2020-INFRA-056</t>
  </si>
  <si>
    <t>20-183</t>
  </si>
  <si>
    <t>20CSAB05 - Package 4</t>
  </si>
  <si>
    <t>DPWH-SK2DEO-20GMH064</t>
  </si>
  <si>
    <t>ITB-071720-4</t>
  </si>
  <si>
    <t>20-07-0352</t>
  </si>
  <si>
    <t>DOT BAC REI No. 2020-010</t>
  </si>
  <si>
    <t>BGHMCPB-2020-24-001</t>
  </si>
  <si>
    <t>ALTAVISTA202001</t>
  </si>
  <si>
    <t>PR No. 20-1136</t>
  </si>
  <si>
    <t>2020-07-655</t>
  </si>
  <si>
    <t>2020-L-001</t>
  </si>
  <si>
    <t>BAC2020-19</t>
  </si>
  <si>
    <t>GOODS-ETG-20-02-001</t>
  </si>
  <si>
    <t>2020-POBLACION-034</t>
  </si>
  <si>
    <t>PB 2020-07-009</t>
  </si>
  <si>
    <t>Civil Works 028-2020</t>
  </si>
  <si>
    <t>PGL 20-093</t>
  </si>
  <si>
    <t>DA8-Goods-2020-35 Rebidding (PR NO. NLP 20-03-02-0</t>
  </si>
  <si>
    <t>2020 B-06.315</t>
  </si>
  <si>
    <t>202007-02</t>
  </si>
  <si>
    <t>PR-45</t>
  </si>
  <si>
    <t>2020 B-06.316</t>
  </si>
  <si>
    <t>274</t>
  </si>
  <si>
    <t>PGC-20200720-1</t>
  </si>
  <si>
    <t>BSU - PROJECT NO. 2020- 262</t>
  </si>
  <si>
    <t>2020-PB-014</t>
  </si>
  <si>
    <t>CSU2020-07-007-HOTEL</t>
  </si>
  <si>
    <t>2020-PB-011</t>
  </si>
  <si>
    <t>PB-LRP-2007-067</t>
  </si>
  <si>
    <t>2020 B-05.276</t>
  </si>
  <si>
    <t>ITB2020-07-115-Various Anti-Riot Equipment</t>
  </si>
  <si>
    <t>PGL 20-091</t>
  </si>
  <si>
    <t>2020 AVE 001</t>
  </si>
  <si>
    <t>2020-07-111</t>
  </si>
  <si>
    <t>PGL 20-090</t>
  </si>
  <si>
    <t>100-20-07-0734</t>
  </si>
  <si>
    <t>009</t>
  </si>
  <si>
    <t>BAC PB 2020-18</t>
  </si>
  <si>
    <t>PGL 20-086</t>
  </si>
  <si>
    <t>PGL 20-087</t>
  </si>
  <si>
    <t>20O00032</t>
  </si>
  <si>
    <t>C-07.025</t>
  </si>
  <si>
    <t>PGL 20-089</t>
  </si>
  <si>
    <t>LL-27-20</t>
  </si>
  <si>
    <t>C-07.031</t>
  </si>
  <si>
    <t>ITB Brgy. Biga</t>
  </si>
  <si>
    <t>C-07.022</t>
  </si>
  <si>
    <t>PGL 20-088</t>
  </si>
  <si>
    <t>SKC-001-07-20</t>
  </si>
  <si>
    <t>CDC 52-07-2020</t>
  </si>
  <si>
    <t>ITB PR No.: 1564-20BAC</t>
  </si>
  <si>
    <t>BCS-2020-0202</t>
  </si>
  <si>
    <t>BCS-2020-0201</t>
  </si>
  <si>
    <t>BCS-2020-0203</t>
  </si>
  <si>
    <t>BCS-2020-0204</t>
  </si>
  <si>
    <t>LGU-Banayoyo, ISur 2020-07-059</t>
  </si>
  <si>
    <t>Bid Ref. No. DENR-CO-2020-001 REBID</t>
  </si>
  <si>
    <t>20CSPF0004</t>
  </si>
  <si>
    <t>ITB PR No.: 1563-20BAC</t>
  </si>
  <si>
    <t>20CSPF0005</t>
  </si>
  <si>
    <t>LSB(Admin)-20-002(CB)</t>
  </si>
  <si>
    <t>BCS-2020-0200</t>
  </si>
  <si>
    <t>20CG0239</t>
  </si>
  <si>
    <t>20CG0237</t>
  </si>
  <si>
    <t>20CSPF0003</t>
  </si>
  <si>
    <t>101-201 DATED 6-5-2020</t>
  </si>
  <si>
    <t>20NB0073</t>
  </si>
  <si>
    <t>Infra 2020-10</t>
  </si>
  <si>
    <t>ITB 2020-33</t>
  </si>
  <si>
    <t>Infra 2020-16</t>
  </si>
  <si>
    <t>20CG0238</t>
  </si>
  <si>
    <t>20-07-0151</t>
  </si>
  <si>
    <t>IB-2020-48</t>
  </si>
  <si>
    <t>Infra 2020-09</t>
  </si>
  <si>
    <t>PANG-2020-0858</t>
  </si>
  <si>
    <t>IAEB NO. 2020-005A</t>
  </si>
  <si>
    <t>IB-2020-49</t>
  </si>
  <si>
    <t>ITB 2020-40</t>
  </si>
  <si>
    <t>PANG-2020-0859</t>
  </si>
  <si>
    <t>PGR-INFRA-2020-08-02</t>
  </si>
  <si>
    <t>101-20-07-167</t>
  </si>
  <si>
    <t>I.B. No. 2020-0035</t>
  </si>
  <si>
    <t>2020-02-0267-MAIN</t>
  </si>
  <si>
    <t>2020-030-INF</t>
  </si>
  <si>
    <t>P.R. No. 20-0097</t>
  </si>
  <si>
    <t>PGR-INFRA-2020-07-8</t>
  </si>
  <si>
    <t>07212020B</t>
  </si>
  <si>
    <t>Others</t>
  </si>
  <si>
    <t>Implementing Rules and Regulations</t>
  </si>
  <si>
    <t>International / Executive Agreement</t>
  </si>
  <si>
    <t>ADB Guidelines on the use of Consultants</t>
  </si>
  <si>
    <t>WB Procurement Guidelines</t>
  </si>
  <si>
    <t>ADB Procurement Guidelines</t>
  </si>
  <si>
    <t>WB Guidelines on the use of Consultants</t>
  </si>
  <si>
    <t>Negotiated Procurement - Two Failed Biddings (Sec. 53.1)</t>
  </si>
  <si>
    <t>Public Bidding</t>
  </si>
  <si>
    <t>Negotiated Procurement - Small Value Procurement (Sec. 53.9)</t>
  </si>
  <si>
    <t>Shopping</t>
  </si>
  <si>
    <t>Shopping - Ordinary/Regular Office Supplies &amp; Equipment (Sec. 52.1.b)</t>
  </si>
  <si>
    <t>Selection based on Consultants Qualification</t>
  </si>
  <si>
    <t>Negotiated Procurement - NGO Participation (Sec. 53.11)</t>
  </si>
  <si>
    <t>National Competitive Bidding</t>
  </si>
  <si>
    <t>International Competitive Bidding</t>
  </si>
  <si>
    <t>Civil Works</t>
  </si>
  <si>
    <t>Goods</t>
  </si>
  <si>
    <t>Goods - General Support Services</t>
  </si>
  <si>
    <t>Hospital / Medical Equipment</t>
  </si>
  <si>
    <t>Construction Projects</t>
  </si>
  <si>
    <t>Lease and Rental of Property or Building</t>
  </si>
  <si>
    <t>Information Technology Parts &amp; Accessories &amp; Perip</t>
  </si>
  <si>
    <t>Water Service Connection Materials/Fittings</t>
  </si>
  <si>
    <t>Medical Supplies and Laboratory Instrument</t>
  </si>
  <si>
    <t>Information Technology</t>
  </si>
  <si>
    <t>Water and Waste Water Treatment Supply &amp; Disposal</t>
  </si>
  <si>
    <t>Grocery Items</t>
  </si>
  <si>
    <t>Hardware and Construction Supplies</t>
  </si>
  <si>
    <t>Fire Fighting &amp; Rescue and Safety Equipment</t>
  </si>
  <si>
    <t>Medical and Dental Equipment</t>
  </si>
  <si>
    <t>Industrial pumps and compressors</t>
  </si>
  <si>
    <t>Waste Management and Recycling</t>
  </si>
  <si>
    <t>Electrical Systems and Lighting Components</t>
  </si>
  <si>
    <t>Vehicles</t>
  </si>
  <si>
    <t>Airconditioning and Airconditioning Systems</t>
  </si>
  <si>
    <t>Environmental Health/Safety Equipment</t>
  </si>
  <si>
    <t>Live Animals (Livestock, Birds, Live fish &amp; etc..)</t>
  </si>
  <si>
    <t>Rice Milling Services</t>
  </si>
  <si>
    <t>Reproduction Services</t>
  </si>
  <si>
    <t>Fuels/Fuel Additives &amp; Lubricants &amp; Anti Corrosive</t>
  </si>
  <si>
    <t>Communication Equipment &amp; Parts and Accessories</t>
  </si>
  <si>
    <t>Animal Feeds</t>
  </si>
  <si>
    <t>Services</t>
  </si>
  <si>
    <t>Garments</t>
  </si>
  <si>
    <t>IT Broadcasting and Telecommunications</t>
  </si>
  <si>
    <t>Computer Furniture</t>
  </si>
  <si>
    <t>Construction Management Services</t>
  </si>
  <si>
    <t>Agricultural Products (Seeds, Seedlings, Plants..)</t>
  </si>
  <si>
    <t>General Contractor</t>
  </si>
  <si>
    <t>Agricultural Machinery and Equipment</t>
  </si>
  <si>
    <t>Safety and Occupational Products</t>
  </si>
  <si>
    <t>Food Processing Equipment</t>
  </si>
  <si>
    <t>Chemicals and Chemical Products</t>
  </si>
  <si>
    <t>Landscaping Services</t>
  </si>
  <si>
    <t>Editorial, Design, Graphic and Fine Art Services</t>
  </si>
  <si>
    <t>Signage and Accessories</t>
  </si>
  <si>
    <t>Transportation and Communications Services</t>
  </si>
  <si>
    <t>General Repair and Maintenance Services</t>
  </si>
  <si>
    <t>Travel, Food, Lodging and Entertainment Services</t>
  </si>
  <si>
    <t>Print and Broadcast and Aerial Advertising</t>
  </si>
  <si>
    <t>Books, Maps and Other Publications</t>
  </si>
  <si>
    <t>Veterinary Products and Supplies</t>
  </si>
  <si>
    <t>Photographic Equipment</t>
  </si>
  <si>
    <t>Industrial Machinery and Equipment</t>
  </si>
  <si>
    <t>General Engineering Services</t>
  </si>
  <si>
    <t>Personal Care Products</t>
  </si>
  <si>
    <t>Beverages</t>
  </si>
  <si>
    <t>Hotel and Lodging and Meeting Facilities</t>
  </si>
  <si>
    <t>Ammunitions and Explosives</t>
  </si>
  <si>
    <t>Geotechnical Instrumentation</t>
  </si>
  <si>
    <t>Electronic Parts and Components</t>
  </si>
  <si>
    <t>Well Drilling and Construction Services</t>
  </si>
  <si>
    <t>Transmission and Distribution Lines</t>
  </si>
  <si>
    <t>Surveying Services</t>
  </si>
  <si>
    <t>Kitchenware</t>
  </si>
  <si>
    <t>Musical Instruments</t>
  </si>
  <si>
    <t>Sporting Goods</t>
  </si>
  <si>
    <t>Tokens and Awards</t>
  </si>
  <si>
    <t>Advertising Agency Services</t>
  </si>
  <si>
    <t>Events Management</t>
  </si>
  <si>
    <t>Pest Control Products</t>
  </si>
  <si>
    <t>Internet Services</t>
  </si>
  <si>
    <t>Chemical Detergents</t>
  </si>
  <si>
    <t>Agricultural Chemicals</t>
  </si>
  <si>
    <t>Furniture Parts and Accessories</t>
  </si>
  <si>
    <t>Surveying Instruments</t>
  </si>
  <si>
    <t>Bedclothes, Linens and Towels</t>
  </si>
  <si>
    <t>Pest Control Services</t>
  </si>
  <si>
    <t>Airconditioning Maintenance Services</t>
  </si>
  <si>
    <t>Hospital / Medical Equipment Services</t>
  </si>
  <si>
    <t>Public Relations Programs or Services</t>
  </si>
  <si>
    <t>Newspapers</t>
  </si>
  <si>
    <t>Navigation Equipment</t>
  </si>
  <si>
    <t>Textiles</t>
  </si>
  <si>
    <t>Paper Materials and Products</t>
  </si>
  <si>
    <t>Education and Training Services</t>
  </si>
  <si>
    <t>Corporate Giveaways</t>
  </si>
  <si>
    <t>Machine Tools</t>
  </si>
  <si>
    <t>Arts and Crafts Accessories and Supplies</t>
  </si>
  <si>
    <t>Telecommunications Provider</t>
  </si>
  <si>
    <t>Diagnostic and Laboratory Services</t>
  </si>
  <si>
    <t>Packaging Supplies and Materials</t>
  </si>
  <si>
    <t>Aviation Products</t>
  </si>
  <si>
    <t>Metal Fabrication</t>
  </si>
  <si>
    <t>Video Production Services</t>
  </si>
  <si>
    <t>Mail and Cargo Transport Services</t>
  </si>
  <si>
    <t>Janitorial Services</t>
  </si>
  <si>
    <t>Oil/Heat Chemical Resistant Rubber</t>
  </si>
  <si>
    <t>Musical Instrument Parts and Accesories</t>
  </si>
  <si>
    <t>Funeral and Associated Services</t>
  </si>
  <si>
    <t>Industrial Safety Equipment</t>
  </si>
  <si>
    <t>Engineering and Laboratory Testing Equipment</t>
  </si>
  <si>
    <t>Investigative Equipment</t>
  </si>
  <si>
    <t>Hydrological Instruments</t>
  </si>
  <si>
    <t>Guns and Weapons</t>
  </si>
  <si>
    <t>Cargo Forwarding and Hauling Services</t>
  </si>
  <si>
    <t>Freight Forwarder Services</t>
  </si>
  <si>
    <t>Structured Cabling</t>
  </si>
  <si>
    <t>Timepieces and Jewelry and Gemstone Products</t>
  </si>
  <si>
    <t>Gaming Equipment and Paraphernalia</t>
  </si>
  <si>
    <t>Laundry Services</t>
  </si>
  <si>
    <t>Dairy Products</t>
  </si>
  <si>
    <t>Traffic Control Systems</t>
  </si>
  <si>
    <t>Radiological/Diagnostic Equipment</t>
  </si>
  <si>
    <t>Marine Transport</t>
  </si>
  <si>
    <t>Mining Equipment and Supplies</t>
  </si>
  <si>
    <t>Telecommunications Engineering</t>
  </si>
  <si>
    <t>Quartermaster Items</t>
  </si>
  <si>
    <t>Games and Toys</t>
  </si>
  <si>
    <t>Lifting equipment and accessories</t>
  </si>
  <si>
    <t>Photographic Parts, Supplies and Accessories</t>
  </si>
  <si>
    <t>Financial and Insurance Services</t>
  </si>
  <si>
    <t>Meteorological Equipments and Instruments</t>
  </si>
  <si>
    <t>Market Research Services</t>
  </si>
  <si>
    <t>Purses, handbags and bags</t>
  </si>
  <si>
    <t>Photography Services</t>
  </si>
  <si>
    <t>Automation Equipment</t>
  </si>
  <si>
    <t>Flags</t>
  </si>
  <si>
    <t>Systems Integration</t>
  </si>
  <si>
    <t>Ordnance Products</t>
  </si>
  <si>
    <t>1,608,048.83</t>
  </si>
  <si>
    <t>8,411,500.00</t>
  </si>
  <si>
    <t>8,450.00</t>
  </si>
  <si>
    <t>60,000.00</t>
  </si>
  <si>
    <t>9,358,048.50</t>
  </si>
  <si>
    <t>644,312.63</t>
  </si>
  <si>
    <t>619,693.00</t>
  </si>
  <si>
    <t>129,334.40</t>
  </si>
  <si>
    <t>90,000.00</t>
  </si>
  <si>
    <t>100,000.00</t>
  </si>
  <si>
    <t>120,000.00</t>
  </si>
  <si>
    <t>2,654,691.83</t>
  </si>
  <si>
    <t>210,000.00</t>
  </si>
  <si>
    <t>6,063,107.99</t>
  </si>
  <si>
    <t>511,500.00</t>
  </si>
  <si>
    <t>886,500.00</t>
  </si>
  <si>
    <t>162,000.00</t>
  </si>
  <si>
    <t>67,840.00</t>
  </si>
  <si>
    <t>58,500.00</t>
  </si>
  <si>
    <t>504,400.00</t>
  </si>
  <si>
    <t>1,066,326.00</t>
  </si>
  <si>
    <t>30,170,809.50</t>
  </si>
  <si>
    <t>316,169.00</t>
  </si>
  <si>
    <t>4,900,000.00</t>
  </si>
  <si>
    <t>2,375,600.00</t>
  </si>
  <si>
    <t>104,860.00</t>
  </si>
  <si>
    <t>400,000.00</t>
  </si>
  <si>
    <t>160,000.00</t>
  </si>
  <si>
    <t>271,989.44</t>
  </si>
  <si>
    <t>2,500,000.00</t>
  </si>
  <si>
    <t>70,000.00</t>
  </si>
  <si>
    <t>95,482.75</t>
  </si>
  <si>
    <t>3,955,500.00</t>
  </si>
  <si>
    <t>625,000.00</t>
  </si>
  <si>
    <t>239,248.98</t>
  </si>
  <si>
    <t>432,500.00</t>
  </si>
  <si>
    <t>288,963.00</t>
  </si>
  <si>
    <t>45,000.00</t>
  </si>
  <si>
    <t>1,906,943.00</t>
  </si>
  <si>
    <t>518,600.00</t>
  </si>
  <si>
    <t>252,468.00</t>
  </si>
  <si>
    <t>411,317.00</t>
  </si>
  <si>
    <t>125,000.00</t>
  </si>
  <si>
    <t>250,080.00</t>
  </si>
  <si>
    <t>68,100.00</t>
  </si>
  <si>
    <t>2,595,776.50</t>
  </si>
  <si>
    <t>868,510.00</t>
  </si>
  <si>
    <t>939,800.00</t>
  </si>
  <si>
    <t>136,595.00</t>
  </si>
  <si>
    <t>2,120,000.00</t>
  </si>
  <si>
    <t>17,000.00</t>
  </si>
  <si>
    <t>812,450.00</t>
  </si>
  <si>
    <t>40,000.00</t>
  </si>
  <si>
    <t>103,100.00</t>
  </si>
  <si>
    <t>1,600,000.00</t>
  </si>
  <si>
    <t>75,083.43</t>
  </si>
  <si>
    <t>150,000.00</t>
  </si>
  <si>
    <t>179,000.00</t>
  </si>
  <si>
    <t>225,000.00</t>
  </si>
  <si>
    <t>12,435,895.90</t>
  </si>
  <si>
    <t>12,426,894.25</t>
  </si>
  <si>
    <t>200,000.00</t>
  </si>
  <si>
    <t>389,632.00</t>
  </si>
  <si>
    <t>42,000.00</t>
  </si>
  <si>
    <t>286,817.50</t>
  </si>
  <si>
    <t>250,000.00</t>
  </si>
  <si>
    <t>2,998,124.38</t>
  </si>
  <si>
    <t>1,110,000.00</t>
  </si>
  <si>
    <t>401,000.00</t>
  </si>
  <si>
    <t>1,498,147.81</t>
  </si>
  <si>
    <t>35,880,000.00</t>
  </si>
  <si>
    <t>9,995,883.14</t>
  </si>
  <si>
    <t>81,000.00</t>
  </si>
  <si>
    <t>1,170,262.45</t>
  </si>
  <si>
    <t>143,165.00</t>
  </si>
  <si>
    <t>65,414.26</t>
  </si>
  <si>
    <t>279,000.00</t>
  </si>
  <si>
    <t>45,843,600.00</t>
  </si>
  <si>
    <t>7,576,641.00</t>
  </si>
  <si>
    <t>124,990.00</t>
  </si>
  <si>
    <t>156,000.00</t>
  </si>
  <si>
    <t>133,300.00</t>
  </si>
  <si>
    <t>591,670.00</t>
  </si>
  <si>
    <t>99,905.00</t>
  </si>
  <si>
    <t>4,800,000.00</t>
  </si>
  <si>
    <t>284,315.00</t>
  </si>
  <si>
    <t>560,000.00</t>
  </si>
  <si>
    <t>727,330.00</t>
  </si>
  <si>
    <t>177,243.00</t>
  </si>
  <si>
    <t>98,838.00</t>
  </si>
  <si>
    <t>220,000.00</t>
  </si>
  <si>
    <t>299,798.87</t>
  </si>
  <si>
    <t>841,234.53</t>
  </si>
  <si>
    <t>1,456,720.81</t>
  </si>
  <si>
    <t>388,726.09</t>
  </si>
  <si>
    <t>140,000.00</t>
  </si>
  <si>
    <t>199,770.00</t>
  </si>
  <si>
    <t>336,000.00</t>
  </si>
  <si>
    <t>190,000.00</t>
  </si>
  <si>
    <t>270,000.00</t>
  </si>
  <si>
    <t>618,816.00</t>
  </si>
  <si>
    <t>499,480.19</t>
  </si>
  <si>
    <t>4,000.00</t>
  </si>
  <si>
    <t>1,365,000.00</t>
  </si>
  <si>
    <t>154,944.00</t>
  </si>
  <si>
    <t>777,963.96</t>
  </si>
  <si>
    <t>62,511.00</t>
  </si>
  <si>
    <t>116,896.00</t>
  </si>
  <si>
    <t>362,737.50</t>
  </si>
  <si>
    <t>1,349,427.18</t>
  </si>
  <si>
    <t>177,080.00</t>
  </si>
  <si>
    <t>3,600.00</t>
  </si>
  <si>
    <t>1,000,000.00</t>
  </si>
  <si>
    <t>1,200,000.00</t>
  </si>
  <si>
    <t>2,800,537.00</t>
  </si>
  <si>
    <t>52,850.00</t>
  </si>
  <si>
    <t>111,540.00</t>
  </si>
  <si>
    <t>1,980,000.00</t>
  </si>
  <si>
    <t>15,000,000.00</t>
  </si>
  <si>
    <t>298,534.90</t>
  </si>
  <si>
    <t>250,876.07</t>
  </si>
  <si>
    <t>296,120.14</t>
  </si>
  <si>
    <t>156,728.00</t>
  </si>
  <si>
    <t>180,500.00</t>
  </si>
  <si>
    <t>309,060.00</t>
  </si>
  <si>
    <t>86,250.00</t>
  </si>
  <si>
    <t>120,519.50</t>
  </si>
  <si>
    <t>292,125.00</t>
  </si>
  <si>
    <t>972,331.80</t>
  </si>
  <si>
    <t>479,855.70</t>
  </si>
  <si>
    <t>1,998,162.47</t>
  </si>
  <si>
    <t>545,000.00</t>
  </si>
  <si>
    <t>4,086,775.00</t>
  </si>
  <si>
    <t>1,997,029.44</t>
  </si>
  <si>
    <t>52,000.00</t>
  </si>
  <si>
    <t>61,470.00</t>
  </si>
  <si>
    <t>22,241.00</t>
  </si>
  <si>
    <t>2,495,365.08</t>
  </si>
  <si>
    <t>214,650.00</t>
  </si>
  <si>
    <t>132,000.00</t>
  </si>
  <si>
    <t>7,271,506.00</t>
  </si>
  <si>
    <t>129,600.00</t>
  </si>
  <si>
    <t>115,000.00</t>
  </si>
  <si>
    <t>50,000.00</t>
  </si>
  <si>
    <t>3,111,070.15</t>
  </si>
  <si>
    <t>809,000.00</t>
  </si>
  <si>
    <t>80,325.00</t>
  </si>
  <si>
    <t>1,136,000.00</t>
  </si>
  <si>
    <t>25,000,000.00</t>
  </si>
  <si>
    <t>611,000.00</t>
  </si>
  <si>
    <t>4,991,500.00</t>
  </si>
  <si>
    <t>731,988.40</t>
  </si>
  <si>
    <t>1,499,648.27</t>
  </si>
  <si>
    <t>1,947,362.35</t>
  </si>
  <si>
    <t>555,605.70</t>
  </si>
  <si>
    <t>92,000.00</t>
  </si>
  <si>
    <t>749,110.74</t>
  </si>
  <si>
    <t>499,722.85</t>
  </si>
  <si>
    <t>957,000.00</t>
  </si>
  <si>
    <t>61,485.00</t>
  </si>
  <si>
    <t>8,985,000.00</t>
  </si>
  <si>
    <t>2,694,111.43</t>
  </si>
  <si>
    <t>372,000.00</t>
  </si>
  <si>
    <t>1,342,433.00</t>
  </si>
  <si>
    <t>80,000.00</t>
  </si>
  <si>
    <t>1,044,000.00</t>
  </si>
  <si>
    <t>130,000.00</t>
  </si>
  <si>
    <t>175,100.00</t>
  </si>
  <si>
    <t>97,566.15</t>
  </si>
  <si>
    <t>350,684.00</t>
  </si>
  <si>
    <t>82,750.00</t>
  </si>
  <si>
    <t>350,000.00</t>
  </si>
  <si>
    <t>241,424.00</t>
  </si>
  <si>
    <t>20,690.00</t>
  </si>
  <si>
    <t>4,000,000.00</t>
  </si>
  <si>
    <t>2,902,813.50</t>
  </si>
  <si>
    <t>28,176,753.00</t>
  </si>
  <si>
    <t>172,300.00</t>
  </si>
  <si>
    <t>2,180,200.00</t>
  </si>
  <si>
    <t>18,737,743.74</t>
  </si>
  <si>
    <t>173,065.00</t>
  </si>
  <si>
    <t>98,100.00</t>
  </si>
  <si>
    <t>848,000.00</t>
  </si>
  <si>
    <t>108,000.00</t>
  </si>
  <si>
    <t>258,000.00</t>
  </si>
  <si>
    <t>105,300.00</t>
  </si>
  <si>
    <t>157,050.00</t>
  </si>
  <si>
    <t>184,500.00</t>
  </si>
  <si>
    <t>407,250.00</t>
  </si>
  <si>
    <t>212,850.00</t>
  </si>
  <si>
    <t>210,600.00</t>
  </si>
  <si>
    <t>327,600.00</t>
  </si>
  <si>
    <t>1,057,900.00</t>
  </si>
  <si>
    <t>499,998.00</t>
  </si>
  <si>
    <t>58,187.22</t>
  </si>
  <si>
    <t>29,630.00</t>
  </si>
  <si>
    <t>10,500.00</t>
  </si>
  <si>
    <t>50,140.00</t>
  </si>
  <si>
    <t>168,000.00</t>
  </si>
  <si>
    <t>382,884.20</t>
  </si>
  <si>
    <t>462,000.00</t>
  </si>
  <si>
    <t>5,000,000.00</t>
  </si>
  <si>
    <t>121,950.00</t>
  </si>
  <si>
    <t>500,000.00</t>
  </si>
  <si>
    <t>812,601.40</t>
  </si>
  <si>
    <t>144,750.00</t>
  </si>
  <si>
    <t>171,000.00</t>
  </si>
  <si>
    <t>30,000.00</t>
  </si>
  <si>
    <t>997,130.83</t>
  </si>
  <si>
    <t>506,000.00</t>
  </si>
  <si>
    <t>414,000.00</t>
  </si>
  <si>
    <t>370,118.00</t>
  </si>
  <si>
    <t>192,375.00</t>
  </si>
  <si>
    <t>330,250.00</t>
  </si>
  <si>
    <t>199,000.00</t>
  </si>
  <si>
    <t>53,250.00</t>
  </si>
  <si>
    <t>420,000.00</t>
  </si>
  <si>
    <t>15,000.00</t>
  </si>
  <si>
    <t>205,784.12</t>
  </si>
  <si>
    <t>153,000.00</t>
  </si>
  <si>
    <t>30,900.00</t>
  </si>
  <si>
    <t>54,400.00</t>
  </si>
  <si>
    <t>602,560.00</t>
  </si>
  <si>
    <t>290,000.00</t>
  </si>
  <si>
    <t>97,955.00</t>
  </si>
  <si>
    <t>298,500.00</t>
  </si>
  <si>
    <t>179,100.00</t>
  </si>
  <si>
    <t>61,073.81</t>
  </si>
  <si>
    <t>49,995.00</t>
  </si>
  <si>
    <t>475,000.00</t>
  </si>
  <si>
    <t>600,000.00</t>
  </si>
  <si>
    <t>85,000.00</t>
  </si>
  <si>
    <t>126,512.00</t>
  </si>
  <si>
    <t>404,875.00</t>
  </si>
  <si>
    <t>185,355.20</t>
  </si>
  <si>
    <t>999,658.26</t>
  </si>
  <si>
    <t>113,847.50</t>
  </si>
  <si>
    <t>94,300.00</t>
  </si>
  <si>
    <t>325,000.00</t>
  </si>
  <si>
    <t>76,185.20</t>
  </si>
  <si>
    <t>102,000.00</t>
  </si>
  <si>
    <t>18,000.00</t>
  </si>
  <si>
    <t>240,000.00</t>
  </si>
  <si>
    <t>227,124.25</t>
  </si>
  <si>
    <t>65,000.00</t>
  </si>
  <si>
    <t>570,000.00</t>
  </si>
  <si>
    <t>81,600.00</t>
  </si>
  <si>
    <t>49,499,758.54</t>
  </si>
  <si>
    <t>110,000.00</t>
  </si>
  <si>
    <t>190,800.00</t>
  </si>
  <si>
    <t>83,140.00</t>
  </si>
  <si>
    <t>199,690.00</t>
  </si>
  <si>
    <t>120,980.00</t>
  </si>
  <si>
    <t>97,000.00</t>
  </si>
  <si>
    <t>174,700.00</t>
  </si>
  <si>
    <t>180,201.42</t>
  </si>
  <si>
    <t>91,200.00</t>
  </si>
  <si>
    <t>2,000,000.00</t>
  </si>
  <si>
    <t>260,000.00</t>
  </si>
  <si>
    <t>259,100.00</t>
  </si>
  <si>
    <t>91,475.00</t>
  </si>
  <si>
    <t>505,715.00</t>
  </si>
  <si>
    <t>78,440.00</t>
  </si>
  <si>
    <t>99,500.00</t>
  </si>
  <si>
    <t>435,000.00</t>
  </si>
  <si>
    <t>92,500.00</t>
  </si>
  <si>
    <t>161,101.20</t>
  </si>
  <si>
    <t>479,478.00</t>
  </si>
  <si>
    <t>116,900.00</t>
  </si>
  <si>
    <t>187,250.00</t>
  </si>
  <si>
    <t>199,980.00</t>
  </si>
  <si>
    <t>2,350,000.00</t>
  </si>
  <si>
    <t>109,280.00</t>
  </si>
  <si>
    <t>360,000.00</t>
  </si>
  <si>
    <t>199,780.00</t>
  </si>
  <si>
    <t>77,160.00</t>
  </si>
  <si>
    <t>29,520.00</t>
  </si>
  <si>
    <t>396,280.00</t>
  </si>
  <si>
    <t>564,500.00</t>
  </si>
  <si>
    <t>704,025.00</t>
  </si>
  <si>
    <t>246,000.00</t>
  </si>
  <si>
    <t>249,760.00</t>
  </si>
  <si>
    <t>309,000.00</t>
  </si>
  <si>
    <t>3,996,500.00</t>
  </si>
  <si>
    <t>203,253.00</t>
  </si>
  <si>
    <t>102,163.41</t>
  </si>
  <si>
    <t>699,075.00</t>
  </si>
  <si>
    <t>68,880.00</t>
  </si>
  <si>
    <t>535,606.40</t>
  </si>
  <si>
    <t>125,821.00</t>
  </si>
  <si>
    <t>1,674,300.00</t>
  </si>
  <si>
    <t>157,850.00</t>
  </si>
  <si>
    <t>412,955.00</t>
  </si>
  <si>
    <t>100,947.00</t>
  </si>
  <si>
    <t>768,000.00</t>
  </si>
  <si>
    <t>58,000.00</t>
  </si>
  <si>
    <t>428,000.00</t>
  </si>
  <si>
    <t>147,000.00</t>
  </si>
  <si>
    <t>88,630.00</t>
  </si>
  <si>
    <t>137,500.00</t>
  </si>
  <si>
    <t>94,800.00</t>
  </si>
  <si>
    <t>300,000.00</t>
  </si>
  <si>
    <t>35,237.50</t>
  </si>
  <si>
    <t>200,250.00</t>
  </si>
  <si>
    <t>376,524.60</t>
  </si>
  <si>
    <t>32,881.00</t>
  </si>
  <si>
    <t>907,019.00</t>
  </si>
  <si>
    <t>73,797.47</t>
  </si>
  <si>
    <t>77,840.00</t>
  </si>
  <si>
    <t>980,600.00</t>
  </si>
  <si>
    <t>77,080.00</t>
  </si>
  <si>
    <t>1,520,937.73</t>
  </si>
  <si>
    <t>480,000.00</t>
  </si>
  <si>
    <t>153,500.00</t>
  </si>
  <si>
    <t>263,066.00</t>
  </si>
  <si>
    <t>180,000.00</t>
  </si>
  <si>
    <t>9,974,477.72</t>
  </si>
  <si>
    <t>7,202,000.00</t>
  </si>
  <si>
    <t>79,086.00</t>
  </si>
  <si>
    <t>95,800.00</t>
  </si>
  <si>
    <t>121,050.00</t>
  </si>
  <si>
    <t>332,839.85</t>
  </si>
  <si>
    <t>58,750.00</t>
  </si>
  <si>
    <t>52,800.00</t>
  </si>
  <si>
    <t>892,003.00</t>
  </si>
  <si>
    <t>373,061.50</t>
  </si>
  <si>
    <t>129,943.00</t>
  </si>
  <si>
    <t>51,198.93</t>
  </si>
  <si>
    <t>355,300.00</t>
  </si>
  <si>
    <t>277,811.00</t>
  </si>
  <si>
    <t>127,000.00</t>
  </si>
  <si>
    <t>17,904,290.17</t>
  </si>
  <si>
    <t>12,480.00</t>
  </si>
  <si>
    <t>318,889.50</t>
  </si>
  <si>
    <t>950,000.00</t>
  </si>
  <si>
    <t>467,815.61</t>
  </si>
  <si>
    <t>367,460.00</t>
  </si>
  <si>
    <t>18,054,099.56</t>
  </si>
  <si>
    <t>149,375.00</t>
  </si>
  <si>
    <t>91,324.00</t>
  </si>
  <si>
    <t>999,994.49</t>
  </si>
  <si>
    <t>47,250.00</t>
  </si>
  <si>
    <t>196,000.00</t>
  </si>
  <si>
    <t>54,210.00</t>
  </si>
  <si>
    <t>66,500.00</t>
  </si>
  <si>
    <t>221,040.00</t>
  </si>
  <si>
    <t>217,800.00</t>
  </si>
  <si>
    <t>599,417.73</t>
  </si>
  <si>
    <t>67,500.00</t>
  </si>
  <si>
    <t>352,990.00</t>
  </si>
  <si>
    <t>53,174.50</t>
  </si>
  <si>
    <t>1,500,000.00</t>
  </si>
  <si>
    <t>1,699,990.00</t>
  </si>
  <si>
    <t>1,662,000.00</t>
  </si>
  <si>
    <t>1,674,310.40</t>
  </si>
  <si>
    <t>163,410.00</t>
  </si>
  <si>
    <t>100,530.00</t>
  </si>
  <si>
    <t>1,703,340.80</t>
  </si>
  <si>
    <t>340,000.00</t>
  </si>
  <si>
    <t>456,243.69</t>
  </si>
  <si>
    <t>639,000.00</t>
  </si>
  <si>
    <t>2,611,524.28</t>
  </si>
  <si>
    <t>1,485,000.00</t>
  </si>
  <si>
    <t>70,800.00</t>
  </si>
  <si>
    <t>60,900.00</t>
  </si>
  <si>
    <t>372,728.37</t>
  </si>
  <si>
    <t>161,300.00</t>
  </si>
  <si>
    <t>700,000.00</t>
  </si>
  <si>
    <t>56,996.00</t>
  </si>
  <si>
    <t>59,400.00</t>
  </si>
  <si>
    <t>3,916,739.88</t>
  </si>
  <si>
    <t>683,160.22</t>
  </si>
  <si>
    <t>1,300,000.00</t>
  </si>
  <si>
    <t>135,000.00</t>
  </si>
  <si>
    <t>44,189.00</t>
  </si>
  <si>
    <t>1,027,500.00</t>
  </si>
  <si>
    <t>64,600.00</t>
  </si>
  <si>
    <t>414,450.00</t>
  </si>
  <si>
    <t>314,000.00</t>
  </si>
  <si>
    <t>399,992.50</t>
  </si>
  <si>
    <t>246,520.00</t>
  </si>
  <si>
    <t>74,800.00</t>
  </si>
  <si>
    <t>98,650.00</t>
  </si>
  <si>
    <t>96,000.00</t>
  </si>
  <si>
    <t>23,750.00</t>
  </si>
  <si>
    <t>732,420.00</t>
  </si>
  <si>
    <t>375,000.00</t>
  </si>
  <si>
    <t>80,850.00</t>
  </si>
  <si>
    <t>149,308.53</t>
  </si>
  <si>
    <t>261,250.00</t>
  </si>
  <si>
    <t>79,500.00</t>
  </si>
  <si>
    <t>71,724.00</t>
  </si>
  <si>
    <t>165,190.00</t>
  </si>
  <si>
    <t>69,670.00</t>
  </si>
  <si>
    <t>989,132.44</t>
  </si>
  <si>
    <t>55,750.00</t>
  </si>
  <si>
    <t>130,946.20</t>
  </si>
  <si>
    <t>77,978.60</t>
  </si>
  <si>
    <t>694,361.00</t>
  </si>
  <si>
    <t>201,000.00</t>
  </si>
  <si>
    <t>54,250.00</t>
  </si>
  <si>
    <t>71,000.00</t>
  </si>
  <si>
    <t>6,302,851.99</t>
  </si>
  <si>
    <t>170,000.00</t>
  </si>
  <si>
    <t>327,708.22</t>
  </si>
  <si>
    <t>87,150.00</t>
  </si>
  <si>
    <t>1,484,906.06</t>
  </si>
  <si>
    <t>88,000.00</t>
  </si>
  <si>
    <t>394,000.00</t>
  </si>
  <si>
    <t>175,000.00</t>
  </si>
  <si>
    <t>178,500.00</t>
  </si>
  <si>
    <t>144,000.00</t>
  </si>
  <si>
    <t>449,800.00</t>
  </si>
  <si>
    <t>59,800.00</t>
  </si>
  <si>
    <t>81,505.00</t>
  </si>
  <si>
    <t>603,780.00</t>
  </si>
  <si>
    <t>86,315.00</t>
  </si>
  <si>
    <t>985,760.00</t>
  </si>
  <si>
    <t>17,993.00</t>
  </si>
  <si>
    <t>303,300.00</t>
  </si>
  <si>
    <t>709,800.00</t>
  </si>
  <si>
    <t>79,000.00</t>
  </si>
  <si>
    <t>6,500,000.00</t>
  </si>
  <si>
    <t>44,225.00</t>
  </si>
  <si>
    <t>133,288.47</t>
  </si>
  <si>
    <t>1,960,683.27</t>
  </si>
  <si>
    <t>5,324,000.00</t>
  </si>
  <si>
    <t>48,700.00</t>
  </si>
  <si>
    <t>79,900.00</t>
  </si>
  <si>
    <t>880,550.00</t>
  </si>
  <si>
    <t>199,999.00</t>
  </si>
  <si>
    <t>56,598.00</t>
  </si>
  <si>
    <t>124,125.00</t>
  </si>
  <si>
    <t>160,800.00</t>
  </si>
  <si>
    <t>57,315.00</t>
  </si>
  <si>
    <t>235,050.00</t>
  </si>
  <si>
    <t>90,030.00</t>
  </si>
  <si>
    <t>54,300.00</t>
  </si>
  <si>
    <t>239,505.00</t>
  </si>
  <si>
    <t>253,425.00</t>
  </si>
  <si>
    <t>1,457,200.00</t>
  </si>
  <si>
    <t>125,850.00</t>
  </si>
  <si>
    <t>102,350.00</t>
  </si>
  <si>
    <t>252,000.00</t>
  </si>
  <si>
    <t>288,000.00</t>
  </si>
  <si>
    <t>1,973,611.00</t>
  </si>
  <si>
    <t>113,871.00</t>
  </si>
  <si>
    <t>99,450.00</t>
  </si>
  <si>
    <t>909,480.00</t>
  </si>
  <si>
    <t>129,500.00</t>
  </si>
  <si>
    <t>66,000.00</t>
  </si>
  <si>
    <t>180,700.00</t>
  </si>
  <si>
    <t>94,540.00</t>
  </si>
  <si>
    <t>5,565,000.00</t>
  </si>
  <si>
    <t>908,000.00</t>
  </si>
  <si>
    <t>55,000.00</t>
  </si>
  <si>
    <t>127,264.00</t>
  </si>
  <si>
    <t>74,000.00</t>
  </si>
  <si>
    <t>63,000.00</t>
  </si>
  <si>
    <t>7,605.20</t>
  </si>
  <si>
    <t>463,005.00</t>
  </si>
  <si>
    <t>68,000.00</t>
  </si>
  <si>
    <t>483,600.00</t>
  </si>
  <si>
    <t>72,050.00</t>
  </si>
  <si>
    <t>79,043.00</t>
  </si>
  <si>
    <t>29,356.00</t>
  </si>
  <si>
    <t>143,840.00</t>
  </si>
  <si>
    <t>987,332.50</t>
  </si>
  <si>
    <t>65,975.00</t>
  </si>
  <si>
    <t>265,000.00</t>
  </si>
  <si>
    <t>279,250.80</t>
  </si>
  <si>
    <t>73,400.00</t>
  </si>
  <si>
    <t>70,870.00</t>
  </si>
  <si>
    <t>86,000.00</t>
  </si>
  <si>
    <t>125,661.00</t>
  </si>
  <si>
    <t>72,827.00</t>
  </si>
  <si>
    <t>161,640.00</t>
  </si>
  <si>
    <t>152,400.00</t>
  </si>
  <si>
    <t>280,000.00</t>
  </si>
  <si>
    <t>206,650.00</t>
  </si>
  <si>
    <t>2,992,318.78</t>
  </si>
  <si>
    <t>199,800.00</t>
  </si>
  <si>
    <t>75,000.00</t>
  </si>
  <si>
    <t>367,848.00</t>
  </si>
  <si>
    <t>56,778.39</t>
  </si>
  <si>
    <t>588,000.00</t>
  </si>
  <si>
    <t>144,473.00</t>
  </si>
  <si>
    <t>475,250.00</t>
  </si>
  <si>
    <t>70,285.00</t>
  </si>
  <si>
    <t>72,790.00</t>
  </si>
  <si>
    <t>72,940.00</t>
  </si>
  <si>
    <t>755,930.39</t>
  </si>
  <si>
    <t>110,465.54</t>
  </si>
  <si>
    <t>3,670.00</t>
  </si>
  <si>
    <t>56,826.00</t>
  </si>
  <si>
    <t>288,553.75</t>
  </si>
  <si>
    <t>335,845.00</t>
  </si>
  <si>
    <t>223,500.00</t>
  </si>
  <si>
    <t>229,000.00</t>
  </si>
  <si>
    <t>495,123.00</t>
  </si>
  <si>
    <t>248,376.14</t>
  </si>
  <si>
    <t>514,000.00</t>
  </si>
  <si>
    <t>86,733.00</t>
  </si>
  <si>
    <t>93,750.00</t>
  </si>
  <si>
    <t>17,597.60</t>
  </si>
  <si>
    <t>2,220,000.00</t>
  </si>
  <si>
    <t>188,550.00</t>
  </si>
  <si>
    <t>182,495.00</t>
  </si>
  <si>
    <t>138,814.80</t>
  </si>
  <si>
    <t>98,775.94</t>
  </si>
  <si>
    <t>55,080.00</t>
  </si>
  <si>
    <t>244,200.00</t>
  </si>
  <si>
    <t>320,000.00</t>
  </si>
  <si>
    <t>216,275.00</t>
  </si>
  <si>
    <t>818,000.00</t>
  </si>
  <si>
    <t>998,000.00</t>
  </si>
  <si>
    <t>68,505.00</t>
  </si>
  <si>
    <t>123,800.00</t>
  </si>
  <si>
    <t>176,800.00</t>
  </si>
  <si>
    <t>5,828,993.83</t>
  </si>
  <si>
    <t>102,079.52</t>
  </si>
  <si>
    <t>69,369.00</t>
  </si>
  <si>
    <t>3,973,680.90</t>
  </si>
  <si>
    <t>170,545.00</t>
  </si>
  <si>
    <t>31,300.00</t>
  </si>
  <si>
    <t>466,980.00</t>
  </si>
  <si>
    <t>401,200.00</t>
  </si>
  <si>
    <t>76,500.00</t>
  </si>
  <si>
    <t>275,000.00</t>
  </si>
  <si>
    <t>149,600.00</t>
  </si>
  <si>
    <t>81,800.00</t>
  </si>
  <si>
    <t>95,700.00</t>
  </si>
  <si>
    <t>17,475.00</t>
  </si>
  <si>
    <t>260,252.69</t>
  </si>
  <si>
    <t>1,050,000.00</t>
  </si>
  <si>
    <t>293,400.00</t>
  </si>
  <si>
    <t>482,625.42</t>
  </si>
  <si>
    <t>1,800,000.00</t>
  </si>
  <si>
    <t>17,500.00</t>
  </si>
  <si>
    <t>407,700.00</t>
  </si>
  <si>
    <t>807,500.00</t>
  </si>
  <si>
    <t>32,000.00</t>
  </si>
  <si>
    <t>16,163,256.00</t>
  </si>
  <si>
    <t>20,000.00</t>
  </si>
  <si>
    <t>339,120.00</t>
  </si>
  <si>
    <t>95,000.00</t>
  </si>
  <si>
    <t>168,755.45</t>
  </si>
  <si>
    <t>254,000.00</t>
  </si>
  <si>
    <t>76,635.00</t>
  </si>
  <si>
    <t>330,000.00</t>
  </si>
  <si>
    <t>1,954,865.60</t>
  </si>
  <si>
    <t>419,945.00</t>
  </si>
  <si>
    <t>55,500.00</t>
  </si>
  <si>
    <t>2,130,000.00</t>
  </si>
  <si>
    <t>17,081.00</t>
  </si>
  <si>
    <t>1,562,360.00</t>
  </si>
  <si>
    <t>561,969.00</t>
  </si>
  <si>
    <t>28,140.00</t>
  </si>
  <si>
    <t>78,563.75</t>
  </si>
  <si>
    <t>84,044.30</t>
  </si>
  <si>
    <t>764,150.00</t>
  </si>
  <si>
    <t>205,100.00</t>
  </si>
  <si>
    <t>264,000.00</t>
  </si>
  <si>
    <t>99,780.00</t>
  </si>
  <si>
    <t>2,567.00</t>
  </si>
  <si>
    <t>1,212,814.00</t>
  </si>
  <si>
    <t>359,344.21</t>
  </si>
  <si>
    <t>275,620.00</t>
  </si>
  <si>
    <t>448,000.00</t>
  </si>
  <si>
    <t>889,354.00</t>
  </si>
  <si>
    <t>7,721,116.92</t>
  </si>
  <si>
    <t>99,511.44</t>
  </si>
  <si>
    <t>4,989,035.34</t>
  </si>
  <si>
    <t>942,689.00</t>
  </si>
  <si>
    <t>82,000.00</t>
  </si>
  <si>
    <t>119,500.00</t>
  </si>
  <si>
    <t>79,800.00</t>
  </si>
  <si>
    <t>999,000.00</t>
  </si>
  <si>
    <t>65,340.00</t>
  </si>
  <si>
    <t>486,010.00</t>
  </si>
  <si>
    <t>33,600.00</t>
  </si>
  <si>
    <t>285,000.00</t>
  </si>
  <si>
    <t>175,200.00</t>
  </si>
  <si>
    <t>263,040.00</t>
  </si>
  <si>
    <t>169,185.00</t>
  </si>
  <si>
    <t>72,000.00</t>
  </si>
  <si>
    <t>99,830.00</t>
  </si>
  <si>
    <t>35,028.00</t>
  </si>
  <si>
    <t>104,080.00</t>
  </si>
  <si>
    <t>242,100.00</t>
  </si>
  <si>
    <t>83,600.00</t>
  </si>
  <si>
    <t>216,100.00</t>
  </si>
  <si>
    <t>412,500.00</t>
  </si>
  <si>
    <t>795,850.00</t>
  </si>
  <si>
    <t>989,970.00</t>
  </si>
  <si>
    <t>145,000.00</t>
  </si>
  <si>
    <t>196,480.00</t>
  </si>
  <si>
    <t>601,500.00</t>
  </si>
  <si>
    <t>53,000.00</t>
  </si>
  <si>
    <t>676,725.00</t>
  </si>
  <si>
    <t>137,590.00</t>
  </si>
  <si>
    <t>1,003,800.00</t>
  </si>
  <si>
    <t>99,827.00</t>
  </si>
  <si>
    <t>51,600.00</t>
  </si>
  <si>
    <t>307,150.00</t>
  </si>
  <si>
    <t>5,630.00</t>
  </si>
  <si>
    <t>606,805.00</t>
  </si>
  <si>
    <t>21,630.00</t>
  </si>
  <si>
    <t>215,600.00</t>
  </si>
  <si>
    <t>52,305.00</t>
  </si>
  <si>
    <t>186,632.00</t>
  </si>
  <si>
    <t>98,475.00</t>
  </si>
  <si>
    <t>144,650.00</t>
  </si>
  <si>
    <t>1,250,000.00</t>
  </si>
  <si>
    <t>98,914.41</t>
  </si>
  <si>
    <t>147,470.64</t>
  </si>
  <si>
    <t>10,791,182.40</t>
  </si>
  <si>
    <t>129,200.00</t>
  </si>
  <si>
    <t>1,680.00</t>
  </si>
  <si>
    <t>120,079.00</t>
  </si>
  <si>
    <t>226,900.00</t>
  </si>
  <si>
    <t>63,800.00</t>
  </si>
  <si>
    <t>115,800.00</t>
  </si>
  <si>
    <t>138,642.00</t>
  </si>
  <si>
    <t>128,720.90</t>
  </si>
  <si>
    <t>85,154.85</t>
  </si>
  <si>
    <t>173,782.00</t>
  </si>
  <si>
    <t>261,290.00</t>
  </si>
  <si>
    <t>6,500.00</t>
  </si>
  <si>
    <t>450,000.00</t>
  </si>
  <si>
    <t>6,727,760.00</t>
  </si>
  <si>
    <t>2,961.00</t>
  </si>
  <si>
    <t>50,040.00</t>
  </si>
  <si>
    <t>74,580.00</t>
  </si>
  <si>
    <t>12,000.00</t>
  </si>
  <si>
    <t>61,113.00</t>
  </si>
  <si>
    <t>152,750.00</t>
  </si>
  <si>
    <t>505,500.00</t>
  </si>
  <si>
    <t>161,428.97</t>
  </si>
  <si>
    <t>99,066.84</t>
  </si>
  <si>
    <t>645,645.00</t>
  </si>
  <si>
    <t>185,850.00</t>
  </si>
  <si>
    <t>1,846,000.00</t>
  </si>
  <si>
    <t>93,040.00</t>
  </si>
  <si>
    <t>20,980.00</t>
  </si>
  <si>
    <t>567,644.26</t>
  </si>
  <si>
    <t>99,000.00</t>
  </si>
  <si>
    <t>310,000.00</t>
  </si>
  <si>
    <t>1,627,750.00</t>
  </si>
  <si>
    <t>999,475.49</t>
  </si>
  <si>
    <t>99,345.00</t>
  </si>
  <si>
    <t>388,900.00</t>
  </si>
  <si>
    <t>560,200.00</t>
  </si>
  <si>
    <t>54,500.00</t>
  </si>
  <si>
    <t>106,500.00</t>
  </si>
  <si>
    <t>154,404.75</t>
  </si>
  <si>
    <t>72,450.00</t>
  </si>
  <si>
    <t>198,899.74</t>
  </si>
  <si>
    <t>9,725,160.00</t>
  </si>
  <si>
    <t>205,940.00</t>
  </si>
  <si>
    <t>120,860.00</t>
  </si>
  <si>
    <t>4,500,000.00</t>
  </si>
  <si>
    <t>256,050.00</t>
  </si>
  <si>
    <t>744,935.00</t>
  </si>
  <si>
    <t>98,937.32</t>
  </si>
  <si>
    <t>79,380.00</t>
  </si>
  <si>
    <t>248,657.00</t>
  </si>
  <si>
    <t>59,975.00</t>
  </si>
  <si>
    <t>193,440.00</t>
  </si>
  <si>
    <t>169,000.00</t>
  </si>
  <si>
    <t>858,497.36</t>
  </si>
  <si>
    <t>575,782.50</t>
  </si>
  <si>
    <t>130,133.00</t>
  </si>
  <si>
    <t>105,000.00</t>
  </si>
  <si>
    <t>4,530,315.00</t>
  </si>
  <si>
    <t>410,600.00</t>
  </si>
  <si>
    <t>102,720.00</t>
  </si>
  <si>
    <t>91,000.00</t>
  </si>
  <si>
    <t>505,487.40</t>
  </si>
  <si>
    <t>199,820.00</t>
  </si>
  <si>
    <t>77,040.00</t>
  </si>
  <si>
    <t>4,637,448.00</t>
  </si>
  <si>
    <t>64,071.00</t>
  </si>
  <si>
    <t>306,000.00</t>
  </si>
  <si>
    <t>128,829.00</t>
  </si>
  <si>
    <t>452,500.00</t>
  </si>
  <si>
    <t>789,792.00</t>
  </si>
  <si>
    <t>26,760.00</t>
  </si>
  <si>
    <t>10,000.00</t>
  </si>
  <si>
    <t>139,989.00</t>
  </si>
  <si>
    <t>79,050.00</t>
  </si>
  <si>
    <t>72,010,636.68</t>
  </si>
  <si>
    <t>369,400.00</t>
  </si>
  <si>
    <t>49,900.00</t>
  </si>
  <si>
    <t>337,500.00</t>
  </si>
  <si>
    <t>40,065.00</t>
  </si>
  <si>
    <t>20,500.00</t>
  </si>
  <si>
    <t>60,575.00</t>
  </si>
  <si>
    <t>164,935.00</t>
  </si>
  <si>
    <t>182,780.00</t>
  </si>
  <si>
    <t>230,680.00</t>
  </si>
  <si>
    <t>199,995.00</t>
  </si>
  <si>
    <t>189,000.00</t>
  </si>
  <si>
    <t>908,300.00</t>
  </si>
  <si>
    <t>684,000.00</t>
  </si>
  <si>
    <t>152,088.00</t>
  </si>
  <si>
    <t>229,690.00</t>
  </si>
  <si>
    <t>148,997.11</t>
  </si>
  <si>
    <t>165,410.00</t>
  </si>
  <si>
    <t>130,410.00</t>
  </si>
  <si>
    <t>160,150.00</t>
  </si>
  <si>
    <t>49,950.00</t>
  </si>
  <si>
    <t>197,679.12</t>
  </si>
  <si>
    <t>12,880.00</t>
  </si>
  <si>
    <t>163,865.00</t>
  </si>
  <si>
    <t>2,650,000.00</t>
  </si>
  <si>
    <t>199,500.00</t>
  </si>
  <si>
    <t>70,250.00</t>
  </si>
  <si>
    <t>3,875,769.19</t>
  </si>
  <si>
    <t>542,700.00</t>
  </si>
  <si>
    <t>199,880.00</t>
  </si>
  <si>
    <t>810,100.00</t>
  </si>
  <si>
    <t>1,255,442.38</t>
  </si>
  <si>
    <t>2,030,784.00</t>
  </si>
  <si>
    <t>4,524,041.08</t>
  </si>
  <si>
    <t>129,630.00</t>
  </si>
  <si>
    <t>12,500,000.00</t>
  </si>
  <si>
    <t>6,000.00</t>
  </si>
  <si>
    <t>243,250.00</t>
  </si>
  <si>
    <t>52,400.00</t>
  </si>
  <si>
    <t>189,603.00</t>
  </si>
  <si>
    <t>430,768.61</t>
  </si>
  <si>
    <t>110,025.00</t>
  </si>
  <si>
    <t>176,487.00</t>
  </si>
  <si>
    <t>69,915.00</t>
  </si>
  <si>
    <t>299,671.90</t>
  </si>
  <si>
    <t>4,745,783.60</t>
  </si>
  <si>
    <t>396,357.00</t>
  </si>
  <si>
    <t>120,070.00</t>
  </si>
  <si>
    <t>99,850.00</t>
  </si>
  <si>
    <t>143,662.00</t>
  </si>
  <si>
    <t>176,006.00</t>
  </si>
  <si>
    <t>88,869.15</t>
  </si>
  <si>
    <t>152,020.00</t>
  </si>
  <si>
    <t>88,401.75</t>
  </si>
  <si>
    <t>255,600.00</t>
  </si>
  <si>
    <t>314,440.00</t>
  </si>
  <si>
    <t>57,850.00</t>
  </si>
  <si>
    <t>230,000.00</t>
  </si>
  <si>
    <t>60,650.00</t>
  </si>
  <si>
    <t>300,129.00</t>
  </si>
  <si>
    <t>458,139.80</t>
  </si>
  <si>
    <t>15,599,936.92</t>
  </si>
  <si>
    <t>111,195.00</t>
  </si>
  <si>
    <t>98,393.64</t>
  </si>
  <si>
    <t>486,900.00</t>
  </si>
  <si>
    <t>80,999.00</t>
  </si>
  <si>
    <t>41,998,557.00</t>
  </si>
  <si>
    <t>115,500.00</t>
  </si>
  <si>
    <t>259,000.00</t>
  </si>
  <si>
    <t>0.00</t>
  </si>
  <si>
    <t>299,550.00</t>
  </si>
  <si>
    <t>1,373,593.20</t>
  </si>
  <si>
    <t>307,350.00</t>
  </si>
  <si>
    <t>80,739.42</t>
  </si>
  <si>
    <t>198,809.52</t>
  </si>
  <si>
    <t>620,000.00</t>
  </si>
  <si>
    <t>193,000.00</t>
  </si>
  <si>
    <t>119,457.00</t>
  </si>
  <si>
    <t>91,401.58</t>
  </si>
  <si>
    <t>128,000.00</t>
  </si>
  <si>
    <t>195,000.00</t>
  </si>
  <si>
    <t>106,512.41</t>
  </si>
  <si>
    <t>503,270.00</t>
  </si>
  <si>
    <t>130,725.00</t>
  </si>
  <si>
    <t>992,670.00</t>
  </si>
  <si>
    <t>176,750.00</t>
  </si>
  <si>
    <t>201,744.00</t>
  </si>
  <si>
    <t>301,800.00</t>
  </si>
  <si>
    <t>1,990,580.00</t>
  </si>
  <si>
    <t>50,180.00</t>
  </si>
  <si>
    <t>69,330.00</t>
  </si>
  <si>
    <t>50,400.00</t>
  </si>
  <si>
    <t>242,998.94</t>
  </si>
  <si>
    <t>63,845.00</t>
  </si>
  <si>
    <t>992,000.00</t>
  </si>
  <si>
    <t>43,000.00</t>
  </si>
  <si>
    <t>142,800.00</t>
  </si>
  <si>
    <t>1,241,200.00</t>
  </si>
  <si>
    <t>50,490.00</t>
  </si>
  <si>
    <t>64,000.00</t>
  </si>
  <si>
    <t>107,630.00</t>
  </si>
  <si>
    <t>112,885.00</t>
  </si>
  <si>
    <t>113,850.00</t>
  </si>
  <si>
    <t>52,265.00</t>
  </si>
  <si>
    <t>486,000.00</t>
  </si>
  <si>
    <t>499,971.75</t>
  </si>
  <si>
    <t>4,989,598.41</t>
  </si>
  <si>
    <t>205,688.00</t>
  </si>
  <si>
    <t>3,429,839.44</t>
  </si>
  <si>
    <t>122,850.00</t>
  </si>
  <si>
    <t>187,125.00</t>
  </si>
  <si>
    <t>318,915.00</t>
  </si>
  <si>
    <t>1,687,942.78</t>
  </si>
  <si>
    <t>918,620.00</t>
  </si>
  <si>
    <t>9,890,500.00</t>
  </si>
  <si>
    <t>149,907.00</t>
  </si>
  <si>
    <t>295,000.00</t>
  </si>
  <si>
    <t>285,003.60</t>
  </si>
  <si>
    <t>4,278,091.47</t>
  </si>
  <si>
    <t>135,452.00</t>
  </si>
  <si>
    <t>130,500.00</t>
  </si>
  <si>
    <t>21,074,577.67</t>
  </si>
  <si>
    <t>425,727.00</t>
  </si>
  <si>
    <t>734,800.00</t>
  </si>
  <si>
    <t>245,000.00</t>
  </si>
  <si>
    <t>111,650.00</t>
  </si>
  <si>
    <t>175,910.00</t>
  </si>
  <si>
    <t>989,142.05</t>
  </si>
  <si>
    <t>178,200.00</t>
  </si>
  <si>
    <t>798,000.00</t>
  </si>
  <si>
    <t>131,570.00</t>
  </si>
  <si>
    <t>229,700.00</t>
  </si>
  <si>
    <t>5,000.00</t>
  </si>
  <si>
    <t>199,778.91</t>
  </si>
  <si>
    <t>198,450.00</t>
  </si>
  <si>
    <t>388,800.00</t>
  </si>
  <si>
    <t>2,125,000.00</t>
  </si>
  <si>
    <t>12,737,963.69</t>
  </si>
  <si>
    <t>396,000.00</t>
  </si>
  <si>
    <t>137,000.00</t>
  </si>
  <si>
    <t>3,637,869.68</t>
  </si>
  <si>
    <t>97,200.00</t>
  </si>
  <si>
    <t>633,311.00</t>
  </si>
  <si>
    <t>348,300.00</t>
  </si>
  <si>
    <t>422,100.00</t>
  </si>
  <si>
    <t>3,315,231.96</t>
  </si>
  <si>
    <t>499,600.00</t>
  </si>
  <si>
    <t>2,096.68</t>
  </si>
  <si>
    <t>780,000.00</t>
  </si>
  <si>
    <t>76,200.00</t>
  </si>
  <si>
    <t>215,305.20</t>
  </si>
  <si>
    <t>186,046.00</t>
  </si>
  <si>
    <t>620,250.00</t>
  </si>
  <si>
    <t>124,800.00</t>
  </si>
  <si>
    <t>514,640.00</t>
  </si>
  <si>
    <t>11,623,000.00</t>
  </si>
  <si>
    <t>43,800.00</t>
  </si>
  <si>
    <t>152,930.00</t>
  </si>
  <si>
    <t>59,100.00</t>
  </si>
  <si>
    <t>26,143.50</t>
  </si>
  <si>
    <t>147,750.00</t>
  </si>
  <si>
    <t>671,400.00</t>
  </si>
  <si>
    <t>129,000.00</t>
  </si>
  <si>
    <t>12,230.00</t>
  </si>
  <si>
    <t>320,800.00</t>
  </si>
  <si>
    <t>990,000.00</t>
  </si>
  <si>
    <t>10,000,000.00</t>
  </si>
  <si>
    <t>51,000.00</t>
  </si>
  <si>
    <t>466,635.00</t>
  </si>
  <si>
    <t>380,155.60</t>
  </si>
  <si>
    <t>68,750.00</t>
  </si>
  <si>
    <t>52,200.00</t>
  </si>
  <si>
    <t>4,720,550.00</t>
  </si>
  <si>
    <t>104,665.00</t>
  </si>
  <si>
    <t>996,500.00</t>
  </si>
  <si>
    <t>3,264,650.15</t>
  </si>
  <si>
    <t>630,000.00</t>
  </si>
  <si>
    <t>1,642,635.00</t>
  </si>
  <si>
    <t>71,250.00</t>
  </si>
  <si>
    <t>111,842.00</t>
  </si>
  <si>
    <t>9,392.00</t>
  </si>
  <si>
    <t>84,000.00</t>
  </si>
  <si>
    <t>530,000.00</t>
  </si>
  <si>
    <t>72,500.00</t>
  </si>
  <si>
    <t>119,844.40</t>
  </si>
  <si>
    <t>83,580.00</t>
  </si>
  <si>
    <t>116,799.00</t>
  </si>
  <si>
    <t>109,012.00</t>
  </si>
  <si>
    <t>54,560.00</t>
  </si>
  <si>
    <t>146,700.00</t>
  </si>
  <si>
    <t>32,600.00</t>
  </si>
  <si>
    <t>123,500.00</t>
  </si>
  <si>
    <t>74,250.00</t>
  </si>
  <si>
    <t>120,800.00</t>
  </si>
  <si>
    <t>85,600.00</t>
  </si>
  <si>
    <t>999,988.50</t>
  </si>
  <si>
    <t>198,200.00</t>
  </si>
  <si>
    <t>90,624.00</t>
  </si>
  <si>
    <t>233,520.72</t>
  </si>
  <si>
    <t>149,220.00</t>
  </si>
  <si>
    <t>80,400.00</t>
  </si>
  <si>
    <t>821,980.00</t>
  </si>
  <si>
    <t>118,350.00</t>
  </si>
  <si>
    <t>159,714.00</t>
  </si>
  <si>
    <t>499,500.00</t>
  </si>
  <si>
    <t>670,000.00</t>
  </si>
  <si>
    <t>2,250,000.00</t>
  </si>
  <si>
    <t>247,994.00</t>
  </si>
  <si>
    <t>313,300.00</t>
  </si>
  <si>
    <t>47,430.00</t>
  </si>
  <si>
    <t>28,850.00</t>
  </si>
  <si>
    <t>19,630.00</t>
  </si>
  <si>
    <t>23,360.00</t>
  </si>
  <si>
    <t>750,000.00</t>
  </si>
  <si>
    <t>81,550.00</t>
  </si>
  <si>
    <t>5,656,548.36</t>
  </si>
  <si>
    <t>454,650.00</t>
  </si>
  <si>
    <t>107,100.00</t>
  </si>
  <si>
    <t>70,002.00</t>
  </si>
  <si>
    <t>82,891.00</t>
  </si>
  <si>
    <t>93,600.00</t>
  </si>
  <si>
    <t>94,500.00</t>
  </si>
  <si>
    <t>1,270,000.00</t>
  </si>
  <si>
    <t>54,716.57</t>
  </si>
  <si>
    <t>336,537.00</t>
  </si>
  <si>
    <t>223,430.00</t>
  </si>
  <si>
    <t>1,576,152.00</t>
  </si>
  <si>
    <t>760,000.00</t>
  </si>
  <si>
    <t>206,476.00</t>
  </si>
  <si>
    <t>195,490.00</t>
  </si>
  <si>
    <t>106,527.00</t>
  </si>
  <si>
    <t>148,100.00</t>
  </si>
  <si>
    <t>197,700.00</t>
  </si>
  <si>
    <t>139,809.00</t>
  </si>
  <si>
    <t>744,112.60</t>
  </si>
  <si>
    <t>122,500.00</t>
  </si>
  <si>
    <t>19,079.00</t>
  </si>
  <si>
    <t>59,650.00</t>
  </si>
  <si>
    <t>80,537.00</t>
  </si>
  <si>
    <t>85,870.00</t>
  </si>
  <si>
    <t>63,300.00</t>
  </si>
  <si>
    <t>83,546.59</t>
  </si>
  <si>
    <t>182,975.00</t>
  </si>
  <si>
    <t>299,960.88</t>
  </si>
  <si>
    <t>59,600.00</t>
  </si>
  <si>
    <t>239,145.00</t>
  </si>
  <si>
    <t>116,160.00</t>
  </si>
  <si>
    <t>2,768,497.00</t>
  </si>
  <si>
    <t>103,050.00</t>
  </si>
  <si>
    <t>335,250.00</t>
  </si>
  <si>
    <t>454,054.50</t>
  </si>
  <si>
    <t>173,300.00</t>
  </si>
  <si>
    <t>60,980.00</t>
  </si>
  <si>
    <t>17,730.00</t>
  </si>
  <si>
    <t>67,290.00</t>
  </si>
  <si>
    <t>65,380.00</t>
  </si>
  <si>
    <t>76,488.00</t>
  </si>
  <si>
    <t>405,602.48</t>
  </si>
  <si>
    <t>201,552.08</t>
  </si>
  <si>
    <t>793,752.42</t>
  </si>
  <si>
    <t>21,090.00</t>
  </si>
  <si>
    <t>174,475.00</t>
  </si>
  <si>
    <t>284,400.00</t>
  </si>
  <si>
    <t>195,622.20</t>
  </si>
  <si>
    <t>17,150.00</t>
  </si>
  <si>
    <t>65,733.20</t>
  </si>
  <si>
    <t>33,505.00</t>
  </si>
  <si>
    <t>1,384,755.00</t>
  </si>
  <si>
    <t>62,400.00</t>
  </si>
  <si>
    <t>90,720.00</t>
  </si>
  <si>
    <t>438,600.00</t>
  </si>
  <si>
    <t>492,600.00</t>
  </si>
  <si>
    <t>146,850.00</t>
  </si>
  <si>
    <t>74,950.00</t>
  </si>
  <si>
    <t>15,900.00</t>
  </si>
  <si>
    <t>142,000.00</t>
  </si>
  <si>
    <t>214,000.00</t>
  </si>
  <si>
    <t>7,300.00</t>
  </si>
  <si>
    <t>137,985.00</t>
  </si>
  <si>
    <t>161,500.00</t>
  </si>
  <si>
    <t>10,655.00</t>
  </si>
  <si>
    <t>126,479.00</t>
  </si>
  <si>
    <t>26,250.00</t>
  </si>
  <si>
    <t>9,970.00</t>
  </si>
  <si>
    <t>55,076.00</t>
  </si>
  <si>
    <t>366,000.00</t>
  </si>
  <si>
    <t>276,750.00</t>
  </si>
  <si>
    <t>64,381.30</t>
  </si>
  <si>
    <t>67,600.00</t>
  </si>
  <si>
    <t>78,950.00</t>
  </si>
  <si>
    <t>6,720.00</t>
  </si>
  <si>
    <t>88,690.00</t>
  </si>
  <si>
    <t>2,975,668.00</t>
  </si>
  <si>
    <t>18,400.00</t>
  </si>
  <si>
    <t>7,800.00</t>
  </si>
  <si>
    <t>33,484.40</t>
  </si>
  <si>
    <t>291,150.00</t>
  </si>
  <si>
    <t>76,000.00</t>
  </si>
  <si>
    <t>55,343.00</t>
  </si>
  <si>
    <t>198,950.00</t>
  </si>
  <si>
    <t>85,667.40</t>
  </si>
  <si>
    <t>235,562.00</t>
  </si>
  <si>
    <t>54,000.00</t>
  </si>
  <si>
    <t>97,900.00</t>
  </si>
  <si>
    <t>173,317.20</t>
  </si>
  <si>
    <t>337,510.00</t>
  </si>
  <si>
    <t>89,131.00</t>
  </si>
  <si>
    <t>114,000.00</t>
  </si>
  <si>
    <t>193,075.00</t>
  </si>
  <si>
    <t>26,000.00</t>
  </si>
  <si>
    <t>50,600.00</t>
  </si>
  <si>
    <t>348,960.00</t>
  </si>
  <si>
    <t>190,783.00</t>
  </si>
  <si>
    <t>229,900.00</t>
  </si>
  <si>
    <t>999,068.00</t>
  </si>
  <si>
    <t>172,000.00</t>
  </si>
  <si>
    <t>108,600.00</t>
  </si>
  <si>
    <t>71,795.00</t>
  </si>
  <si>
    <t>800,000.00</t>
  </si>
  <si>
    <t>687,000.00</t>
  </si>
  <si>
    <t>108,770.00</t>
  </si>
  <si>
    <t>9,000.00</t>
  </si>
  <si>
    <t>118,000.00</t>
  </si>
  <si>
    <t>14,877,328.94</t>
  </si>
  <si>
    <t>812,000.00</t>
  </si>
  <si>
    <t>198,500.00</t>
  </si>
  <si>
    <t>972,000.00</t>
  </si>
  <si>
    <t>126,500.00</t>
  </si>
  <si>
    <t>866,991.67</t>
  </si>
  <si>
    <t>181,440.00</t>
  </si>
  <si>
    <t>98,684.98</t>
  </si>
  <si>
    <t>74,425.00</t>
  </si>
  <si>
    <t>64,075.00</t>
  </si>
  <si>
    <t>9,514,000.00</t>
  </si>
  <si>
    <t>176,980.00</t>
  </si>
  <si>
    <t>235,273.00</t>
  </si>
  <si>
    <t>155,400.00</t>
  </si>
  <si>
    <t>216,980.00</t>
  </si>
  <si>
    <t>197,685.66</t>
  </si>
  <si>
    <t>1,247,500.00</t>
  </si>
  <si>
    <t>4,895.00</t>
  </si>
  <si>
    <t>181,434.00</t>
  </si>
  <si>
    <t>143,035.00</t>
  </si>
  <si>
    <t>2,900,000.00</t>
  </si>
  <si>
    <t>61,753.00</t>
  </si>
  <si>
    <t>111,165.00</t>
  </si>
  <si>
    <t>70,500.00</t>
  </si>
  <si>
    <t>12,470.00</t>
  </si>
  <si>
    <t>34,500.00</t>
  </si>
  <si>
    <t>99,057.86</t>
  </si>
  <si>
    <t>102,210.00</t>
  </si>
  <si>
    <t>545,100.00</t>
  </si>
  <si>
    <t>85,362.00</t>
  </si>
  <si>
    <t>437,400.00</t>
  </si>
  <si>
    <t>172,200.00</t>
  </si>
  <si>
    <t>125,037.08</t>
  </si>
  <si>
    <t>217,500.00</t>
  </si>
  <si>
    <t>147,050.00</t>
  </si>
  <si>
    <t>52,540.00</t>
  </si>
  <si>
    <t>9,280.00</t>
  </si>
  <si>
    <t>4,656,725.00</t>
  </si>
  <si>
    <t>689,377.00</t>
  </si>
  <si>
    <t>778,783.50</t>
  </si>
  <si>
    <t>1,681,859.87</t>
  </si>
  <si>
    <t>6,400.00</t>
  </si>
  <si>
    <t>194,925.00</t>
  </si>
  <si>
    <t>148,353.06</t>
  </si>
  <si>
    <t>3,500.00</t>
  </si>
  <si>
    <t>29,402.00</t>
  </si>
  <si>
    <t>139,800.00</t>
  </si>
  <si>
    <t>815,000.00</t>
  </si>
  <si>
    <t>49,000.00</t>
  </si>
  <si>
    <t>243,597.00</t>
  </si>
  <si>
    <t>198,880.00</t>
  </si>
  <si>
    <t>125,750.00</t>
  </si>
  <si>
    <t>294,000.00</t>
  </si>
  <si>
    <t>35,598,192.00</t>
  </si>
  <si>
    <t>165,385.75</t>
  </si>
  <si>
    <t>250,537.50</t>
  </si>
  <si>
    <t>2,300,000.00</t>
  </si>
  <si>
    <t>10,340.00</t>
  </si>
  <si>
    <t>92,244.00</t>
  </si>
  <si>
    <t>72,040.00</t>
  </si>
  <si>
    <t>257,300.00</t>
  </si>
  <si>
    <t>207,755.00</t>
  </si>
  <si>
    <t>442,500.00</t>
  </si>
  <si>
    <t>538,024.70</t>
  </si>
  <si>
    <t>239,870.00</t>
  </si>
  <si>
    <t>751,250.00</t>
  </si>
  <si>
    <t>115,846.00</t>
  </si>
  <si>
    <t>70,700.00</t>
  </si>
  <si>
    <t>49,960.00</t>
  </si>
  <si>
    <t>44,100.00</t>
  </si>
  <si>
    <t>399,000.00</t>
  </si>
  <si>
    <t>8,000,000.00</t>
  </si>
  <si>
    <t>103,170.00</t>
  </si>
  <si>
    <t>57,895.00</t>
  </si>
  <si>
    <t>229,975.00</t>
  </si>
  <si>
    <t>346,500.00</t>
  </si>
  <si>
    <t>2,100,000.00</t>
  </si>
  <si>
    <t>229,870.00</t>
  </si>
  <si>
    <t>58,343.00</t>
  </si>
  <si>
    <t>90,600.00</t>
  </si>
  <si>
    <t>102,885.00</t>
  </si>
  <si>
    <t>3,969,013.00</t>
  </si>
  <si>
    <t>108,565.00</t>
  </si>
  <si>
    <t>311,450.00</t>
  </si>
  <si>
    <t>385,000.00</t>
  </si>
  <si>
    <t>76,045.00</t>
  </si>
  <si>
    <t>253,000.00</t>
  </si>
  <si>
    <t>223,400.00</t>
  </si>
  <si>
    <t>69,830.00</t>
  </si>
  <si>
    <t>1,983,285.89</t>
  </si>
  <si>
    <t>37,000.00</t>
  </si>
  <si>
    <t>46,000.00</t>
  </si>
  <si>
    <t>116,500.00</t>
  </si>
  <si>
    <t>437,500.00</t>
  </si>
  <si>
    <t>38,000.00</t>
  </si>
  <si>
    <t>81,500.60</t>
  </si>
  <si>
    <t>640,350.00</t>
  </si>
  <si>
    <t>277,260.90</t>
  </si>
  <si>
    <t>640,000.00</t>
  </si>
  <si>
    <t>550,000.00</t>
  </si>
  <si>
    <t>52,600.18</t>
  </si>
  <si>
    <t>98,672.80</t>
  </si>
  <si>
    <t>485,180.20</t>
  </si>
  <si>
    <t>48,000.00</t>
  </si>
  <si>
    <t>207,003.00</t>
  </si>
  <si>
    <t>7,749,000.00</t>
  </si>
  <si>
    <t>240,500.00</t>
  </si>
  <si>
    <t>35,000.00</t>
  </si>
  <si>
    <t>1,499,083.72</t>
  </si>
  <si>
    <t>98,000.00</t>
  </si>
  <si>
    <t>65,021.00</t>
  </si>
  <si>
    <t>11,700.00</t>
  </si>
  <si>
    <t>37,400.00</t>
  </si>
  <si>
    <t>80,760.00</t>
  </si>
  <si>
    <t>59,000.00</t>
  </si>
  <si>
    <t>1,290,000.00</t>
  </si>
  <si>
    <t>161,700.00</t>
  </si>
  <si>
    <t>99,200.00</t>
  </si>
  <si>
    <t>266,750.00</t>
  </si>
  <si>
    <t>61,900.00</t>
  </si>
  <si>
    <t>100,280.00</t>
  </si>
  <si>
    <t>93,500.00</t>
  </si>
  <si>
    <t>215,000.00</t>
  </si>
  <si>
    <t>100,464.00</t>
  </si>
  <si>
    <t>150,700.00</t>
  </si>
  <si>
    <t>688,800.00</t>
  </si>
  <si>
    <t>341,608.11</t>
  </si>
  <si>
    <t>76,423.01</t>
  </si>
  <si>
    <t>1,670,000.00</t>
  </si>
  <si>
    <t>1,218,241.72</t>
  </si>
  <si>
    <t>139,920.00</t>
  </si>
  <si>
    <t>988,350.00</t>
  </si>
  <si>
    <t>26,309.00</t>
  </si>
  <si>
    <t>99,630.00</t>
  </si>
  <si>
    <t>374,990.00</t>
  </si>
  <si>
    <t>77,500.00</t>
  </si>
  <si>
    <t>2,500.00</t>
  </si>
  <si>
    <t>224,060.00</t>
  </si>
  <si>
    <t>49,350.00</t>
  </si>
  <si>
    <t>1,377,963.64</t>
  </si>
  <si>
    <t>134,127.80</t>
  </si>
  <si>
    <t>13,203.81</t>
  </si>
  <si>
    <t>126,452.00</t>
  </si>
  <si>
    <t>54,189.00</t>
  </si>
  <si>
    <t>342,420.00</t>
  </si>
  <si>
    <t>960,000.00</t>
  </si>
  <si>
    <t>8,000.00</t>
  </si>
  <si>
    <t>223,000.00</t>
  </si>
  <si>
    <t>999,952.24</t>
  </si>
  <si>
    <t>126,198.28</t>
  </si>
  <si>
    <t>52,500.00</t>
  </si>
  <si>
    <t>999,917.30</t>
  </si>
  <si>
    <t>82,840.00</t>
  </si>
  <si>
    <t>625,765.93</t>
  </si>
  <si>
    <t>329,290.00</t>
  </si>
  <si>
    <t>117,500.00</t>
  </si>
  <si>
    <t>86,880.00</t>
  </si>
  <si>
    <t>29,380.00</t>
  </si>
  <si>
    <t>30,950.00</t>
  </si>
  <si>
    <t>393,500.00</t>
  </si>
  <si>
    <t>32,789.00</t>
  </si>
  <si>
    <t>278,210.00</t>
  </si>
  <si>
    <t>441,707.60</t>
  </si>
  <si>
    <t>51,850.00</t>
  </si>
  <si>
    <t>95,300.00</t>
  </si>
  <si>
    <t>145,240.00</t>
  </si>
  <si>
    <t>731,250.00</t>
  </si>
  <si>
    <t>83,880.00</t>
  </si>
  <si>
    <t>93,000.00</t>
  </si>
  <si>
    <t>51,016,876.00</t>
  </si>
  <si>
    <t>50,000,000.00</t>
  </si>
  <si>
    <t>708,192.00</t>
  </si>
  <si>
    <t>113,500.00</t>
  </si>
  <si>
    <t>272,000.00</t>
  </si>
  <si>
    <t>63,360.00</t>
  </si>
  <si>
    <t>2,333,000.00</t>
  </si>
  <si>
    <t>227,500.00</t>
  </si>
  <si>
    <t>470,043.00</t>
  </si>
  <si>
    <t>2,811,821.00</t>
  </si>
  <si>
    <t>87,500.00</t>
  </si>
  <si>
    <t>289,981.13</t>
  </si>
  <si>
    <t>76,225.00</t>
  </si>
  <si>
    <t>228,700.00</t>
  </si>
  <si>
    <t>9,999,991.29</t>
  </si>
  <si>
    <t>277,770.00</t>
  </si>
  <si>
    <t>163,700.00</t>
  </si>
  <si>
    <t>28,560.00</t>
  </si>
  <si>
    <t>160,512.22</t>
  </si>
  <si>
    <t>910,000.00</t>
  </si>
  <si>
    <t>9,167,500.00</t>
  </si>
  <si>
    <t>257,000.00</t>
  </si>
  <si>
    <t>102,250.00</t>
  </si>
  <si>
    <t>67,000.00</t>
  </si>
  <si>
    <t>472,866.00</t>
  </si>
  <si>
    <t>1,427,569.00</t>
  </si>
  <si>
    <t>109,495.00</t>
  </si>
  <si>
    <t>199,990.00</t>
  </si>
  <si>
    <t>4,415,000.00</t>
  </si>
  <si>
    <t>63,274.50</t>
  </si>
  <si>
    <t>599,770.00</t>
  </si>
  <si>
    <t>266,320.00</t>
  </si>
  <si>
    <t>53,830.00</t>
  </si>
  <si>
    <t>208,000.05</t>
  </si>
  <si>
    <t>53,500.00</t>
  </si>
  <si>
    <t>77,140.00</t>
  </si>
  <si>
    <t>55,340.00</t>
  </si>
  <si>
    <t>75,222.50</t>
  </si>
  <si>
    <t>96,600.00</t>
  </si>
  <si>
    <t>102,242.50</t>
  </si>
  <si>
    <t>141,953.00</t>
  </si>
  <si>
    <t>469,000.00</t>
  </si>
  <si>
    <t>697,300.00</t>
  </si>
  <si>
    <t>2,079,326.08</t>
  </si>
  <si>
    <t>41,994.00</t>
  </si>
  <si>
    <t>1,643,500.00</t>
  </si>
  <si>
    <t>83,695.00</t>
  </si>
  <si>
    <t>102,770.90</t>
  </si>
  <si>
    <t>3,200,000.00</t>
  </si>
  <si>
    <t>94,220.00</t>
  </si>
  <si>
    <t>120,437.00</t>
  </si>
  <si>
    <t>82,802.00</t>
  </si>
  <si>
    <t>56,400.00</t>
  </si>
  <si>
    <t>12,437,500.00</t>
  </si>
  <si>
    <t>176,500.00</t>
  </si>
  <si>
    <t>14,850.00</t>
  </si>
  <si>
    <t>144,554.50</t>
  </si>
  <si>
    <t>351,000.00</t>
  </si>
  <si>
    <t>34,128.67</t>
  </si>
  <si>
    <t>199,900.00</t>
  </si>
  <si>
    <t>178,000.00</t>
  </si>
  <si>
    <t>1,000.00</t>
  </si>
  <si>
    <t>7,442,000.00</t>
  </si>
  <si>
    <t>1,179,700.00</t>
  </si>
  <si>
    <t>56,445.00</t>
  </si>
  <si>
    <t>155,000.00</t>
  </si>
  <si>
    <t>212,000.00</t>
  </si>
  <si>
    <t>1,229,141.64</t>
  </si>
  <si>
    <t>230,800.00</t>
  </si>
  <si>
    <t>781,000.00</t>
  </si>
  <si>
    <t>307,561.26</t>
  </si>
  <si>
    <t>419,867.00</t>
  </si>
  <si>
    <t>53,270.40</t>
  </si>
  <si>
    <t>470,968.35</t>
  </si>
  <si>
    <t>990,289.50</t>
  </si>
  <si>
    <t>3,000.00</t>
  </si>
  <si>
    <t>59,388.10</t>
  </si>
  <si>
    <t>6,396,696.10</t>
  </si>
  <si>
    <t>3,300.00</t>
  </si>
  <si>
    <t>1,674,900.00</t>
  </si>
  <si>
    <t>19,600.00</t>
  </si>
  <si>
    <t>988,500.00</t>
  </si>
  <si>
    <t>86,400.00</t>
  </si>
  <si>
    <t>74,700.00</t>
  </si>
  <si>
    <t>20,400.00</t>
  </si>
  <si>
    <t>14,800.00</t>
  </si>
  <si>
    <t>999,900.00</t>
  </si>
  <si>
    <t>322,500.00</t>
  </si>
  <si>
    <t>948,960.00</t>
  </si>
  <si>
    <t>67,300.00</t>
  </si>
  <si>
    <t>25,720.00</t>
  </si>
  <si>
    <t>1,060,000.00</t>
  </si>
  <si>
    <t>124,500.00</t>
  </si>
  <si>
    <t>309,745.00</t>
  </si>
  <si>
    <t>94,343.00</t>
  </si>
  <si>
    <t>89,975.00</t>
  </si>
  <si>
    <t>417,400.00</t>
  </si>
  <si>
    <t>594,875.00</t>
  </si>
  <si>
    <t>248,000.00</t>
  </si>
  <si>
    <t>69,200.00</t>
  </si>
  <si>
    <t>976,951.99</t>
  </si>
  <si>
    <t>3,000,000.00</t>
  </si>
  <si>
    <t>166,042.00</t>
  </si>
  <si>
    <t>2,620,384.66</t>
  </si>
  <si>
    <t>716,100.00</t>
  </si>
  <si>
    <t>408,960.00</t>
  </si>
  <si>
    <t>2,600,000.00</t>
  </si>
  <si>
    <t>363,815.00</t>
  </si>
  <si>
    <t>6,795.00</t>
  </si>
  <si>
    <t>83,000.00</t>
  </si>
  <si>
    <t>205,000.00</t>
  </si>
  <si>
    <t>359,000.00</t>
  </si>
  <si>
    <t>673,800.00</t>
  </si>
  <si>
    <t>299,855.28</t>
  </si>
  <si>
    <t>74,026.65</t>
  </si>
  <si>
    <t>23,000.00</t>
  </si>
  <si>
    <t>103,540.80</t>
  </si>
  <si>
    <t>188,500.00</t>
  </si>
  <si>
    <t>57,600.00</t>
  </si>
  <si>
    <t>68,300.00</t>
  </si>
  <si>
    <t>499,000.00</t>
  </si>
  <si>
    <t>79,460.00</t>
  </si>
  <si>
    <t>195,008.89</t>
  </si>
  <si>
    <t>10,958,645.09</t>
  </si>
  <si>
    <t>242,400.00</t>
  </si>
  <si>
    <t>88,500.00</t>
  </si>
  <si>
    <t>924,670.00</t>
  </si>
  <si>
    <t>117,900.00</t>
  </si>
  <si>
    <t>6,900.00</t>
  </si>
  <si>
    <t>27,555.00</t>
  </si>
  <si>
    <t>223,992.00</t>
  </si>
  <si>
    <t>16,783.00</t>
  </si>
  <si>
    <t>297,825.00</t>
  </si>
  <si>
    <t>1,441,000.00</t>
  </si>
  <si>
    <t>880,000.00</t>
  </si>
  <si>
    <t>58,630.00</t>
  </si>
  <si>
    <t>68,660.00</t>
  </si>
  <si>
    <t>537,795.00</t>
  </si>
  <si>
    <t>128,585.00</t>
  </si>
  <si>
    <t>214,600.00</t>
  </si>
  <si>
    <t>127,500.00</t>
  </si>
  <si>
    <t>391,600.00</t>
  </si>
  <si>
    <t>7,780,600.00</t>
  </si>
  <si>
    <t>238,000.00</t>
  </si>
  <si>
    <t>181,635.00</t>
  </si>
  <si>
    <t>56,850.00</t>
  </si>
  <si>
    <t>354,045.66</t>
  </si>
  <si>
    <t>73,000.00</t>
  </si>
  <si>
    <t>2,240,000.00</t>
  </si>
  <si>
    <t>49,919,993.69</t>
  </si>
  <si>
    <t>78,963.38</t>
  </si>
  <si>
    <t>163,400.00</t>
  </si>
  <si>
    <t>94,400.00</t>
  </si>
  <si>
    <t>54,800.00</t>
  </si>
  <si>
    <t>200,840.00</t>
  </si>
  <si>
    <t>55,914.17</t>
  </si>
  <si>
    <t>63,585.00</t>
  </si>
  <si>
    <t>691,880.00</t>
  </si>
  <si>
    <t>193,250.00</t>
  </si>
  <si>
    <t>332,000.00</t>
  </si>
  <si>
    <t>334,000.00</t>
  </si>
  <si>
    <t>78,900.00</t>
  </si>
  <si>
    <t>536,300.00</t>
  </si>
  <si>
    <t>192,000.00</t>
  </si>
  <si>
    <t>99,655.00</t>
  </si>
  <si>
    <t>982,800.00</t>
  </si>
  <si>
    <t>795,575.00</t>
  </si>
  <si>
    <t>224,400.00</t>
  </si>
  <si>
    <t>7,284,000.00</t>
  </si>
  <si>
    <t>517,360.00</t>
  </si>
  <si>
    <t>401,175.00</t>
  </si>
  <si>
    <t>163,455.00</t>
  </si>
  <si>
    <t>1,830.00</t>
  </si>
  <si>
    <t>31,990.00</t>
  </si>
  <si>
    <t>806,000.00</t>
  </si>
  <si>
    <t>380,000.00</t>
  </si>
  <si>
    <t>52,417.00</t>
  </si>
  <si>
    <t>137,600.00</t>
  </si>
  <si>
    <t>57,100.00</t>
  </si>
  <si>
    <t>6,933,100.00</t>
  </si>
  <si>
    <t>97,940.00</t>
  </si>
  <si>
    <t>740,000.00</t>
  </si>
  <si>
    <t>391,260.00</t>
  </si>
  <si>
    <t>495,969.46</t>
  </si>
  <si>
    <t>103,600.00</t>
  </si>
  <si>
    <t>418,544.00</t>
  </si>
  <si>
    <t>395,800.00</t>
  </si>
  <si>
    <t>23,658.00</t>
  </si>
  <si>
    <t>324,400.00</t>
  </si>
  <si>
    <t>54,340.00</t>
  </si>
  <si>
    <t>58,998.00</t>
  </si>
  <si>
    <t>59,808.00</t>
  </si>
  <si>
    <t>5,112,000.00</t>
  </si>
  <si>
    <t>330,140.00</t>
  </si>
  <si>
    <t>212,160.00</t>
  </si>
  <si>
    <t>98,840.00</t>
  </si>
  <si>
    <t>189,882.41</t>
  </si>
  <si>
    <t>4,200,000.00</t>
  </si>
  <si>
    <t>336,500.00</t>
  </si>
  <si>
    <t>1,031,000.00</t>
  </si>
  <si>
    <t>123,029.10</t>
  </si>
  <si>
    <t>53,053.00</t>
  </si>
  <si>
    <t>724,272.00</t>
  </si>
  <si>
    <t>51,030.00</t>
  </si>
  <si>
    <t>187,940.00</t>
  </si>
  <si>
    <t>2,999,418.70</t>
  </si>
  <si>
    <t>950,700.00</t>
  </si>
  <si>
    <t>980,000.00</t>
  </si>
  <si>
    <t>72,392.27</t>
  </si>
  <si>
    <t>70,788,300.00</t>
  </si>
  <si>
    <t>292,000.00</t>
  </si>
  <si>
    <t>91,060.00</t>
  </si>
  <si>
    <t>60,700.00</t>
  </si>
  <si>
    <t>937,000.00</t>
  </si>
  <si>
    <t>756,000.00</t>
  </si>
  <si>
    <t>345,000.00</t>
  </si>
  <si>
    <t>103,156.00</t>
  </si>
  <si>
    <t>48,023,698.52</t>
  </si>
  <si>
    <t>69,320.00</t>
  </si>
  <si>
    <t>1,557,600.00</t>
  </si>
  <si>
    <t>320,630.72</t>
  </si>
  <si>
    <t>463,690.00</t>
  </si>
  <si>
    <t>3,060,000.00</t>
  </si>
  <si>
    <t>2,959,200.00</t>
  </si>
  <si>
    <t>554,265.00</t>
  </si>
  <si>
    <t>59,752.00</t>
  </si>
  <si>
    <t>434,000.00</t>
  </si>
  <si>
    <t>3,359,892.00</t>
  </si>
  <si>
    <t>7,500.00</t>
  </si>
  <si>
    <t>1,535,480.00</t>
  </si>
  <si>
    <t>119,194.00</t>
  </si>
  <si>
    <t>650,000.00</t>
  </si>
  <si>
    <t>1,592,800.00</t>
  </si>
  <si>
    <t>624,825.00</t>
  </si>
  <si>
    <t>1,282,000.00</t>
  </si>
  <si>
    <t>91,460.00</t>
  </si>
  <si>
    <t>302,550.00</t>
  </si>
  <si>
    <t>21,538.00</t>
  </si>
  <si>
    <t>2,941,600.00</t>
  </si>
  <si>
    <t>166,969.65</t>
  </si>
  <si>
    <t>125,415.00</t>
  </si>
  <si>
    <t>2,213,100.00</t>
  </si>
  <si>
    <t>25,526.00</t>
  </si>
  <si>
    <t>5,300.00</t>
  </si>
  <si>
    <t>206,000.00</t>
  </si>
  <si>
    <t>341,000.00</t>
  </si>
  <si>
    <t>483,750.00</t>
  </si>
  <si>
    <t>299,960.09</t>
  </si>
  <si>
    <t>4,946,678.90</t>
  </si>
  <si>
    <t>999,920.54</t>
  </si>
  <si>
    <t>5,340,500.00</t>
  </si>
  <si>
    <t>66,560.00</t>
  </si>
  <si>
    <t>199,860.00</t>
  </si>
  <si>
    <t>197,500.00</t>
  </si>
  <si>
    <t>637,946.75</t>
  </si>
  <si>
    <t>69,170.00</t>
  </si>
  <si>
    <t>468,750.00</t>
  </si>
  <si>
    <t>79,540.00</t>
  </si>
  <si>
    <t>2,022,966.00</t>
  </si>
  <si>
    <t>4,404.45</t>
  </si>
  <si>
    <t>2,070,000.00</t>
  </si>
  <si>
    <t>189,302.76</t>
  </si>
  <si>
    <t>16,720.00</t>
  </si>
  <si>
    <t>181,664.00</t>
  </si>
  <si>
    <t>1,565,000.00</t>
  </si>
  <si>
    <t>77,175.00</t>
  </si>
  <si>
    <t>1,760,880.25</t>
  </si>
  <si>
    <t>12,225,701.96</t>
  </si>
  <si>
    <t>69,250.00</t>
  </si>
  <si>
    <t>102,450.00</t>
  </si>
  <si>
    <t>199,740.00</t>
  </si>
  <si>
    <t>508,000.00</t>
  </si>
  <si>
    <t>168,540.00</t>
  </si>
  <si>
    <t>178,976.00</t>
  </si>
  <si>
    <t>612,700.00</t>
  </si>
  <si>
    <t>97,500.00</t>
  </si>
  <si>
    <t>199,550.00</t>
  </si>
  <si>
    <t>356,522.99</t>
  </si>
  <si>
    <t>93,100.00</t>
  </si>
  <si>
    <t>975,000.00</t>
  </si>
  <si>
    <t>364,570.00</t>
  </si>
  <si>
    <t>4,333,116.51</t>
  </si>
  <si>
    <t>64,640.00</t>
  </si>
  <si>
    <t>3,699,999.99</t>
  </si>
  <si>
    <t>127,300.00</t>
  </si>
  <si>
    <t>2,040.00</t>
  </si>
  <si>
    <t>91,776,852.00</t>
  </si>
  <si>
    <t>7,313,370.00</t>
  </si>
  <si>
    <t>81,350.00</t>
  </si>
  <si>
    <t>162,440.00</t>
  </si>
  <si>
    <t>794,000.00</t>
  </si>
  <si>
    <t>318,954.00</t>
  </si>
  <si>
    <t>405,000.00</t>
  </si>
  <si>
    <t>251,495.00</t>
  </si>
  <si>
    <t>3,345,424.67</t>
  </si>
  <si>
    <t>89,710.00</t>
  </si>
  <si>
    <t>2,445,086.00</t>
  </si>
  <si>
    <t>566,083.94</t>
  </si>
  <si>
    <t>80,940.00</t>
  </si>
  <si>
    <t>105,775.00</t>
  </si>
  <si>
    <t>11,940,000.00</t>
  </si>
  <si>
    <t>168,110.00</t>
  </si>
  <si>
    <t>391,489.13</t>
  </si>
  <si>
    <t>14,999.00</t>
  </si>
  <si>
    <t>875,000.00</t>
  </si>
  <si>
    <t>588,500.00</t>
  </si>
  <si>
    <t>114,576.50</t>
  </si>
  <si>
    <t>56,200.00</t>
  </si>
  <si>
    <t>60,340.00</t>
  </si>
  <si>
    <t>297,000.00</t>
  </si>
  <si>
    <t>58,846.93</t>
  </si>
  <si>
    <t>4,271,290.35</t>
  </si>
  <si>
    <t>1,143,414.58</t>
  </si>
  <si>
    <t>52,510.00</t>
  </si>
  <si>
    <t>199,920.00</t>
  </si>
  <si>
    <t>709,406.58</t>
  </si>
  <si>
    <t>151,200.00</t>
  </si>
  <si>
    <t>199,960.00</t>
  </si>
  <si>
    <t>347,700.00</t>
  </si>
  <si>
    <t>131,815.00</t>
  </si>
  <si>
    <t>496,400.00</t>
  </si>
  <si>
    <t>67,110.20</t>
  </si>
  <si>
    <t>4,020,341.61</t>
  </si>
  <si>
    <t>237,000.26</t>
  </si>
  <si>
    <t>2,998,029.37</t>
  </si>
  <si>
    <t>81,730.00</t>
  </si>
  <si>
    <t>770,000.00</t>
  </si>
  <si>
    <t>913,000.00</t>
  </si>
  <si>
    <t>1,366,084.00</t>
  </si>
  <si>
    <t>65,400.00</t>
  </si>
  <si>
    <t>2,135,822.07</t>
  </si>
  <si>
    <t>864,000.00</t>
  </si>
  <si>
    <t>931,000.00</t>
  </si>
  <si>
    <t>153,725.00</t>
  </si>
  <si>
    <t>28,782.00</t>
  </si>
  <si>
    <t>12,935,000.00</t>
  </si>
  <si>
    <t>301,194.30</t>
  </si>
  <si>
    <t>7,000,000.00</t>
  </si>
  <si>
    <t>739,200.00</t>
  </si>
  <si>
    <t>1,197,000.00</t>
  </si>
  <si>
    <t>199,452.00</t>
  </si>
  <si>
    <t>71,212.00</t>
  </si>
  <si>
    <t>17,520.00</t>
  </si>
  <si>
    <t>181,500.00</t>
  </si>
  <si>
    <t>204,500.00</t>
  </si>
  <si>
    <t>19,943.00</t>
  </si>
  <si>
    <t>9,500.00</t>
  </si>
  <si>
    <t>157,000.00</t>
  </si>
  <si>
    <t>718,300.00</t>
  </si>
  <si>
    <t>15,800.00</t>
  </si>
  <si>
    <t>997,000.00</t>
  </si>
  <si>
    <t>356,000.00</t>
  </si>
  <si>
    <t>107,973.81</t>
  </si>
  <si>
    <t>174,986.80</t>
  </si>
  <si>
    <t>40,065.65</t>
  </si>
  <si>
    <t>2,685,000.00</t>
  </si>
  <si>
    <t>242,200.00</t>
  </si>
  <si>
    <t>163,705.00</t>
  </si>
  <si>
    <t>68,400.00</t>
  </si>
  <si>
    <t>1,199,992.21</t>
  </si>
  <si>
    <t>32,502,636.00</t>
  </si>
  <si>
    <t>87,814.00</t>
  </si>
  <si>
    <t>361,680.00</t>
  </si>
  <si>
    <t>397,393.33</t>
  </si>
  <si>
    <t>161,955.00</t>
  </si>
  <si>
    <t>955,000.00</t>
  </si>
  <si>
    <t>448,005.64</t>
  </si>
  <si>
    <t>360,632.19</t>
  </si>
  <si>
    <t>65,810.00</t>
  </si>
  <si>
    <t>78,935.41</t>
  </si>
  <si>
    <t>1,820,625.00</t>
  </si>
  <si>
    <t>36,150.00</t>
  </si>
  <si>
    <t>113,236.00</t>
  </si>
  <si>
    <t>440,000.00</t>
  </si>
  <si>
    <t>60,063.55</t>
  </si>
  <si>
    <t>175,500.00</t>
  </si>
  <si>
    <t>121,300.00</t>
  </si>
  <si>
    <t>146,200.00</t>
  </si>
  <si>
    <t>1,550,000.00</t>
  </si>
  <si>
    <t>103,550.00</t>
  </si>
  <si>
    <t>451,694.00</t>
  </si>
  <si>
    <t>660.00</t>
  </si>
  <si>
    <t>99,326.00</t>
  </si>
  <si>
    <t>1,069,888.17</t>
  </si>
  <si>
    <t>22,308.00</t>
  </si>
  <si>
    <t>63,560.00</t>
  </si>
  <si>
    <t>109,000.00</t>
  </si>
  <si>
    <t>52,568.00</t>
  </si>
  <si>
    <t>5,620,000.00</t>
  </si>
  <si>
    <t>31,100.00</t>
  </si>
  <si>
    <t>223,479.05</t>
  </si>
  <si>
    <t>203,621.00</t>
  </si>
  <si>
    <t>5,280,000.00</t>
  </si>
  <si>
    <t>6,000,000.00</t>
  </si>
  <si>
    <t>1,155,281.83</t>
  </si>
  <si>
    <t>367,500.00</t>
  </si>
  <si>
    <t>189,172.00</t>
  </si>
  <si>
    <t>22,260.00</t>
  </si>
  <si>
    <t>100,200.00</t>
  </si>
  <si>
    <t>801,000.00</t>
  </si>
  <si>
    <t>3,450,000.00</t>
  </si>
  <si>
    <t>62,220.00</t>
  </si>
  <si>
    <t>22,150,000.00</t>
  </si>
  <si>
    <t>13,722,506.00</t>
  </si>
  <si>
    <t>430,000.00</t>
  </si>
  <si>
    <t>13,447,152.39</t>
  </si>
  <si>
    <t>303,000.00</t>
  </si>
  <si>
    <t>888,674.43</t>
  </si>
  <si>
    <t>378,000.00</t>
  </si>
  <si>
    <t>65,564.00</t>
  </si>
  <si>
    <t>219,750.00</t>
  </si>
  <si>
    <t>50,625.00</t>
  </si>
  <si>
    <t>118,500,000.00</t>
  </si>
  <si>
    <t>653,237.68</t>
  </si>
  <si>
    <t>312,150.00</t>
  </si>
  <si>
    <t>480,451.64</t>
  </si>
  <si>
    <t>191,600.00</t>
  </si>
  <si>
    <t>1,755,000.00</t>
  </si>
  <si>
    <t>999,920.00</t>
  </si>
  <si>
    <t>690,000.00</t>
  </si>
  <si>
    <t>86,680.00</t>
  </si>
  <si>
    <t>4,539,626.58</t>
  </si>
  <si>
    <t>336,800.00</t>
  </si>
  <si>
    <t>338,000.00</t>
  </si>
  <si>
    <t>216,125.00</t>
  </si>
  <si>
    <t>105,250.00</t>
  </si>
  <si>
    <t>111,396.50</t>
  </si>
  <si>
    <t>61,034.04</t>
  </si>
  <si>
    <t>191,250.00</t>
  </si>
  <si>
    <t>1,060,200.55</t>
  </si>
  <si>
    <t>74,500.00</t>
  </si>
  <si>
    <t>23,655.00</t>
  </si>
  <si>
    <t>693,180.40</t>
  </si>
  <si>
    <t>160,300.00</t>
  </si>
  <si>
    <t>7,700,000.00</t>
  </si>
  <si>
    <t>62,000.00</t>
  </si>
  <si>
    <t>287,076.00</t>
  </si>
  <si>
    <t>385,920.00</t>
  </si>
  <si>
    <t>2,190,000.00</t>
  </si>
  <si>
    <t>789,080.00</t>
  </si>
  <si>
    <t>12,324,000.00</t>
  </si>
  <si>
    <t>410,000.00</t>
  </si>
  <si>
    <t>3,131,823.00</t>
  </si>
  <si>
    <t>520,000.00</t>
  </si>
  <si>
    <t>447,220.00</t>
  </si>
  <si>
    <t>187,947.00</t>
  </si>
  <si>
    <t>167,100.00</t>
  </si>
  <si>
    <t>214,800.00</t>
  </si>
  <si>
    <t>4,876,457.06</t>
  </si>
  <si>
    <t>106,600.00</t>
  </si>
  <si>
    <t>581,000.00</t>
  </si>
  <si>
    <t>36,000.00</t>
  </si>
  <si>
    <t>180,720.00</t>
  </si>
  <si>
    <t>77,360.00</t>
  </si>
  <si>
    <t>1,140,970.00</t>
  </si>
  <si>
    <t>79,881.85</t>
  </si>
  <si>
    <t>26,300.00</t>
  </si>
  <si>
    <t>64,500.00</t>
  </si>
  <si>
    <t>252,500.00</t>
  </si>
  <si>
    <t>370,297.00</t>
  </si>
  <si>
    <t>958,072.00</t>
  </si>
  <si>
    <t>1,065,000.00</t>
  </si>
  <si>
    <t>119,970.65</t>
  </si>
  <si>
    <t>56,090.00</t>
  </si>
  <si>
    <t>138,410.00</t>
  </si>
  <si>
    <t>325,121.00</t>
  </si>
  <si>
    <t>960,769.97</t>
  </si>
  <si>
    <t>379,720.00</t>
  </si>
  <si>
    <t>284,800.00</t>
  </si>
  <si>
    <t>7,319,452.61</t>
  </si>
  <si>
    <t>968,195.20</t>
  </si>
  <si>
    <t>1,333,230.00</t>
  </si>
  <si>
    <t>130,903.23</t>
  </si>
  <si>
    <t>101,370.00</t>
  </si>
  <si>
    <t>137,252.00</t>
  </si>
  <si>
    <t>150,564.00</t>
  </si>
  <si>
    <t>61,650.00</t>
  </si>
  <si>
    <t>280,950.00</t>
  </si>
  <si>
    <t>4,080,000.00</t>
  </si>
  <si>
    <t>387,192.00</t>
  </si>
  <si>
    <t>1,134,170.42</t>
  </si>
  <si>
    <t>137,996.50</t>
  </si>
  <si>
    <t>1,143,333.00</t>
  </si>
  <si>
    <t>148,277.00</t>
  </si>
  <si>
    <t>850,000.00</t>
  </si>
  <si>
    <t>468,342.00</t>
  </si>
  <si>
    <t>148,547.00</t>
  </si>
  <si>
    <t>1,951,693.72</t>
  </si>
  <si>
    <t>6,248,000.00</t>
  </si>
  <si>
    <t>185,000.00</t>
  </si>
  <si>
    <t>148,985.00</t>
  </si>
  <si>
    <t>105,217.89</t>
  </si>
  <si>
    <t>1,113,300.00</t>
  </si>
  <si>
    <t>50,741.60</t>
  </si>
  <si>
    <t>1,762,648.00</t>
  </si>
  <si>
    <t>57,058.00</t>
  </si>
  <si>
    <t>69,120.00</t>
  </si>
  <si>
    <t>101,165.00</t>
  </si>
  <si>
    <t>111,960.00</t>
  </si>
  <si>
    <t>256,356.10</t>
  </si>
  <si>
    <t>614,872.00</t>
  </si>
  <si>
    <t>151,141.00</t>
  </si>
  <si>
    <t>201,200.00</t>
  </si>
  <si>
    <t>105,577.34</t>
  </si>
  <si>
    <t>66,200.00</t>
  </si>
  <si>
    <t>98,190.00</t>
  </si>
  <si>
    <t>852,000.00</t>
  </si>
  <si>
    <t>100,852.00</t>
  </si>
  <si>
    <t>101,095.00</t>
  </si>
  <si>
    <t>299,999.38</t>
  </si>
  <si>
    <t>151,575.00</t>
  </si>
  <si>
    <t>21,000.00</t>
  </si>
  <si>
    <t>170,850.00</t>
  </si>
  <si>
    <t>472,150.00</t>
  </si>
  <si>
    <t>494,000.00</t>
  </si>
  <si>
    <t>297,595.00</t>
  </si>
  <si>
    <t>80,095.00</t>
  </si>
  <si>
    <t>141,605.00</t>
  </si>
  <si>
    <t>86,475.00</t>
  </si>
  <si>
    <t>247,450.00</t>
  </si>
  <si>
    <t>1,499,035.38</t>
  </si>
  <si>
    <t>201,600.00</t>
  </si>
  <si>
    <t>118,400.00</t>
  </si>
  <si>
    <t>107,470.40</t>
  </si>
  <si>
    <t>434,017.00</t>
  </si>
  <si>
    <t>1,941,255.51</t>
  </si>
  <si>
    <t>98,440.00</t>
  </si>
  <si>
    <t>608,500.00</t>
  </si>
  <si>
    <t>97,597.65</t>
  </si>
  <si>
    <t>78,092.37</t>
  </si>
  <si>
    <t>1,950,000.00</t>
  </si>
  <si>
    <t>621,555.00</t>
  </si>
  <si>
    <t>141,840.00</t>
  </si>
  <si>
    <t>326,000.00</t>
  </si>
  <si>
    <t>17,152,000.00</t>
  </si>
  <si>
    <t>105,850.00</t>
  </si>
  <si>
    <t>358,800.00</t>
  </si>
  <si>
    <t>45,060.00</t>
  </si>
  <si>
    <t>78,092.38</t>
  </si>
  <si>
    <t>1,139,296.57</t>
  </si>
  <si>
    <t>37,795,400.00</t>
  </si>
  <si>
    <t>1,999,982.37</t>
  </si>
  <si>
    <t>91,705.00</t>
  </si>
  <si>
    <t>75,400.00</t>
  </si>
  <si>
    <t>9,996,000.00</t>
  </si>
  <si>
    <t>1,343,100.00</t>
  </si>
  <si>
    <t>25,300.00</t>
  </si>
  <si>
    <t>234,000.00</t>
  </si>
  <si>
    <t>318,500.00</t>
  </si>
  <si>
    <t>1,965,740.00</t>
  </si>
  <si>
    <t>8,209,651.00</t>
  </si>
  <si>
    <t>2,665,000.00</t>
  </si>
  <si>
    <t>460,000.00</t>
  </si>
  <si>
    <t>73,200.00</t>
  </si>
  <si>
    <t>83,240.00</t>
  </si>
  <si>
    <t>69,000.00</t>
  </si>
  <si>
    <t>4,000,160.00</t>
  </si>
  <si>
    <t>165,200.00</t>
  </si>
  <si>
    <t>358,920.00</t>
  </si>
  <si>
    <t>209,988.10</t>
  </si>
  <si>
    <t>83,750.00</t>
  </si>
  <si>
    <t>12,745,920.00</t>
  </si>
  <si>
    <t>239,550.00</t>
  </si>
  <si>
    <t>18,416,890.00</t>
  </si>
  <si>
    <t>49,500.00</t>
  </si>
  <si>
    <t>875,355.00</t>
  </si>
  <si>
    <t>995,500.00</t>
  </si>
  <si>
    <t>370,424.20</t>
  </si>
  <si>
    <t>222,305.00</t>
  </si>
  <si>
    <t>95,250.00</t>
  </si>
  <si>
    <t>249,999.99</t>
  </si>
  <si>
    <t>57,000.00</t>
  </si>
  <si>
    <t>94,000.00</t>
  </si>
  <si>
    <t>435,500.00</t>
  </si>
  <si>
    <t>168,638.95</t>
  </si>
  <si>
    <t>969,691.50</t>
  </si>
  <si>
    <t>71,800.00</t>
  </si>
  <si>
    <t>24,705.00</t>
  </si>
  <si>
    <t>2,786,970.00</t>
  </si>
  <si>
    <t>818,837.56</t>
  </si>
  <si>
    <t>3,697,025.61</t>
  </si>
  <si>
    <t>207,412.83</t>
  </si>
  <si>
    <t>78,200.00</t>
  </si>
  <si>
    <t>2,286,609.96</t>
  </si>
  <si>
    <t>1,120,825.00</t>
  </si>
  <si>
    <t>20,000,000.00</t>
  </si>
  <si>
    <t>10.00</t>
  </si>
  <si>
    <t>512,000.00</t>
  </si>
  <si>
    <t>768,696.67</t>
  </si>
  <si>
    <t>65,640.00</t>
  </si>
  <si>
    <t>298,940.00</t>
  </si>
  <si>
    <t>83,372.00</t>
  </si>
  <si>
    <t>58,250.00</t>
  </si>
  <si>
    <t>31,000.00</t>
  </si>
  <si>
    <t>5,740,000.00</t>
  </si>
  <si>
    <t>78,000.00</t>
  </si>
  <si>
    <t>18,500.00</t>
  </si>
  <si>
    <t>203,800.00</t>
  </si>
  <si>
    <t>4,383,098.00</t>
  </si>
  <si>
    <t>1,131,500.00</t>
  </si>
  <si>
    <t>6,474,240.00</t>
  </si>
  <si>
    <t>466,865.00</t>
  </si>
  <si>
    <t>306,660.00</t>
  </si>
  <si>
    <t>329,240.00</t>
  </si>
  <si>
    <t>572,775.00</t>
  </si>
  <si>
    <t>915,300.00</t>
  </si>
  <si>
    <t>512,080.00</t>
  </si>
  <si>
    <t>924,000.00</t>
  </si>
  <si>
    <t>146,775.00</t>
  </si>
  <si>
    <t>4,381,666.67</t>
  </si>
  <si>
    <t>1,327,500.00</t>
  </si>
  <si>
    <t>767,035.00</t>
  </si>
  <si>
    <t>626,935.07</t>
  </si>
  <si>
    <t>143,665.60</t>
  </si>
  <si>
    <t>49,949,909.49</t>
  </si>
  <si>
    <t>3,349,185.00</t>
  </si>
  <si>
    <t>3,249,995.85</t>
  </si>
  <si>
    <t>1,333,333.33</t>
  </si>
  <si>
    <t>201,046.00</t>
  </si>
  <si>
    <t>1,061,500.00</t>
  </si>
  <si>
    <t>74,999,758.72</t>
  </si>
  <si>
    <t>193,886.00</t>
  </si>
  <si>
    <t>2,499,320.00</t>
  </si>
  <si>
    <t>3,408,935.00</t>
  </si>
  <si>
    <t>2,977,860.00</t>
  </si>
  <si>
    <t>87,240.00</t>
  </si>
  <si>
    <t>240,700.00</t>
  </si>
  <si>
    <t>1,272,847.62</t>
  </si>
  <si>
    <t>3,194,000.00</t>
  </si>
  <si>
    <t>16,990.37</t>
  </si>
  <si>
    <t>154,366.02</t>
  </si>
  <si>
    <t>194,000.00</t>
  </si>
  <si>
    <t>78,080.00</t>
  </si>
  <si>
    <t>135,700.00</t>
  </si>
  <si>
    <t>2,056,140.30</t>
  </si>
  <si>
    <t>283,700.00</t>
  </si>
  <si>
    <t>2,099,816.25</t>
  </si>
  <si>
    <t>102,870,291.41</t>
  </si>
  <si>
    <t>4,350,600.00</t>
  </si>
  <si>
    <t>295,014.00</t>
  </si>
  <si>
    <t>118,000,000.00</t>
  </si>
  <si>
    <t>4,410,284.00</t>
  </si>
  <si>
    <t>164,346.00</t>
  </si>
  <si>
    <t>243,792.00</t>
  </si>
  <si>
    <t>13,966,318.00</t>
  </si>
  <si>
    <t>88,446.00</t>
  </si>
  <si>
    <t>880,320.00</t>
  </si>
  <si>
    <t>201,950.00</t>
  </si>
  <si>
    <t>211,846.70</t>
  </si>
  <si>
    <t>77,344.63</t>
  </si>
  <si>
    <t>120,845.00</t>
  </si>
  <si>
    <t>24,342.00</t>
  </si>
  <si>
    <t>476,317.00</t>
  </si>
  <si>
    <t>239,660.00</t>
  </si>
  <si>
    <t>109,800.00</t>
  </si>
  <si>
    <t>201,236.00</t>
  </si>
  <si>
    <t>36,300.00</t>
  </si>
  <si>
    <t>50,505.00</t>
  </si>
  <si>
    <t>3,487,195.21</t>
  </si>
  <si>
    <t>14,590.00</t>
  </si>
  <si>
    <t>28,957.00</t>
  </si>
  <si>
    <t>70,230.00</t>
  </si>
  <si>
    <t>229,770.00</t>
  </si>
  <si>
    <t>514,000.96</t>
  </si>
  <si>
    <t>5,099,585.00</t>
  </si>
  <si>
    <t>333,278.36</t>
  </si>
  <si>
    <t>28,610.00</t>
  </si>
  <si>
    <t>1,856,000.00</t>
  </si>
  <si>
    <t>977,730.00</t>
  </si>
  <si>
    <t>930,000.00</t>
  </si>
  <si>
    <t>15,500.00</t>
  </si>
  <si>
    <t>386,688.00</t>
  </si>
  <si>
    <t>22,180.00</t>
  </si>
  <si>
    <t>238,500.00</t>
  </si>
  <si>
    <t>6,409,325.00</t>
  </si>
  <si>
    <t>663,040.00</t>
  </si>
  <si>
    <t>37,566.00</t>
  </si>
  <si>
    <t>84,150.00</t>
  </si>
  <si>
    <t>113,420.00</t>
  </si>
  <si>
    <t>49,640.00</t>
  </si>
  <si>
    <t>355,000.00</t>
  </si>
  <si>
    <t>773,897.20</t>
  </si>
  <si>
    <t>372,465.00</t>
  </si>
  <si>
    <t>1,144,000.00</t>
  </si>
  <si>
    <t>1,443,308.48</t>
  </si>
  <si>
    <t>277,500.00</t>
  </si>
  <si>
    <t>326,825.00</t>
  </si>
  <si>
    <t>497,250.00</t>
  </si>
  <si>
    <t>19,846,545.25</t>
  </si>
  <si>
    <t>2,999,833.96</t>
  </si>
  <si>
    <t>6,580,675.00</t>
  </si>
  <si>
    <t>392,450.00</t>
  </si>
  <si>
    <t>403,707.50</t>
  </si>
  <si>
    <t>274,500.00</t>
  </si>
  <si>
    <t>56,415.00</t>
  </si>
  <si>
    <t>171,300.00</t>
  </si>
  <si>
    <t>513,745.00</t>
  </si>
  <si>
    <t>683,569.00</t>
  </si>
  <si>
    <t>329,160.00</t>
  </si>
  <si>
    <t>946,800.00</t>
  </si>
  <si>
    <t>241,008.05</t>
  </si>
  <si>
    <t>2,779,123.10</t>
  </si>
  <si>
    <t>81,500.00</t>
  </si>
  <si>
    <t>118,785.00</t>
  </si>
  <si>
    <t>27,600.00</t>
  </si>
  <si>
    <t>496,000.00</t>
  </si>
  <si>
    <t>283,500.00</t>
  </si>
  <si>
    <t>717,976.00</t>
  </si>
  <si>
    <t>3,067,400.00</t>
  </si>
  <si>
    <t>82,354.00</t>
  </si>
  <si>
    <t>360,334.75</t>
  </si>
  <si>
    <t>3,727,000.00</t>
  </si>
  <si>
    <t>8,300,000.00</t>
  </si>
  <si>
    <t>5,330,000.00</t>
  </si>
  <si>
    <t>287,300.00</t>
  </si>
  <si>
    <t>1,041,110.00</t>
  </si>
  <si>
    <t>749,814.00</t>
  </si>
  <si>
    <t>3,350.00</t>
  </si>
  <si>
    <t>7,707,642.50</t>
  </si>
  <si>
    <t>85,700.00</t>
  </si>
  <si>
    <t>509,600.00</t>
  </si>
  <si>
    <t>2,577,200.00</t>
  </si>
  <si>
    <t>1,464,864.24</t>
  </si>
  <si>
    <t>9,970,000.00</t>
  </si>
  <si>
    <t>4,866,232.42</t>
  </si>
  <si>
    <t>4,865,589.08</t>
  </si>
  <si>
    <t>595,211.57</t>
  </si>
  <si>
    <t>227,269.50</t>
  </si>
  <si>
    <t>768,452.77</t>
  </si>
  <si>
    <t>971,338.37</t>
  </si>
  <si>
    <t>898,586.95</t>
  </si>
  <si>
    <t>589,687.38</t>
  </si>
  <si>
    <t>714,099.00</t>
  </si>
  <si>
    <t>991,576.29</t>
  </si>
  <si>
    <t>931,388.04</t>
  </si>
  <si>
    <t>423,248.00</t>
  </si>
  <si>
    <t>1,116,650.03</t>
  </si>
  <si>
    <t>5,498,808.05</t>
  </si>
  <si>
    <t>730,909.49</t>
  </si>
  <si>
    <t>1,356,151.98</t>
  </si>
  <si>
    <t>202,500.00</t>
  </si>
  <si>
    <t>14,850,000.00</t>
  </si>
  <si>
    <t>5,000,170.00</t>
  </si>
  <si>
    <t>61,570,113.00</t>
  </si>
  <si>
    <t>3,500,000.00</t>
  </si>
  <si>
    <t>31,721,902.36</t>
  </si>
  <si>
    <t>64,774.30</t>
  </si>
  <si>
    <t>7,337,052.00</t>
  </si>
  <si>
    <t>100,776.50</t>
  </si>
  <si>
    <t>449,580.79</t>
  </si>
  <si>
    <t>1,495,200.00</t>
  </si>
  <si>
    <t>1,697,371.00</t>
  </si>
  <si>
    <t>1,377,155.23</t>
  </si>
  <si>
    <t>475,186.00</t>
  </si>
  <si>
    <t>1,144,601.03</t>
  </si>
  <si>
    <t>409,658.00</t>
  </si>
  <si>
    <t>3,320,000.00</t>
  </si>
  <si>
    <t>996,031.64</t>
  </si>
  <si>
    <t>1,791,252.00</t>
  </si>
  <si>
    <t>3,542,510.00</t>
  </si>
  <si>
    <t>112,000.00</t>
  </si>
  <si>
    <t>99,075.00</t>
  </si>
  <si>
    <t>95,881.90</t>
  </si>
  <si>
    <t>62,468.00</t>
  </si>
  <si>
    <t>55,563,273.00</t>
  </si>
  <si>
    <t>79,990.00</t>
  </si>
  <si>
    <t>126,952.00</t>
  </si>
  <si>
    <t>1,099,970.44</t>
  </si>
  <si>
    <t>1,999,999.03</t>
  </si>
  <si>
    <t>993,908.13</t>
  </si>
  <si>
    <t>324,000.00</t>
  </si>
  <si>
    <t>187,500.00</t>
  </si>
  <si>
    <t>556,948.52</t>
  </si>
  <si>
    <t>147,700.00</t>
  </si>
  <si>
    <t>59,780.00</t>
  </si>
  <si>
    <t>81,669.00</t>
  </si>
  <si>
    <t>218,507.20</t>
  </si>
  <si>
    <t>59,716.00</t>
  </si>
  <si>
    <t>168,230.00</t>
  </si>
  <si>
    <t>581,492.80</t>
  </si>
  <si>
    <t>19,170,000.00</t>
  </si>
  <si>
    <t>362,128.33</t>
  </si>
  <si>
    <t>60,480.00</t>
  </si>
  <si>
    <t>299,736.00</t>
  </si>
  <si>
    <t>108,800.00</t>
  </si>
  <si>
    <t>823,316.50</t>
  </si>
  <si>
    <t>153,070.00</t>
  </si>
  <si>
    <t>120,705.00</t>
  </si>
  <si>
    <t>1,149,588.64</t>
  </si>
  <si>
    <t>1,802,159.00</t>
  </si>
  <si>
    <t>1,367,850.00</t>
  </si>
  <si>
    <t>255,200.00</t>
  </si>
  <si>
    <t>11,897,000.00</t>
  </si>
  <si>
    <t>929,000.00</t>
  </si>
  <si>
    <t>361,500.00</t>
  </si>
  <si>
    <t>68,464.00</t>
  </si>
  <si>
    <t>273,000.00</t>
  </si>
  <si>
    <t>1,532,639.50</t>
  </si>
  <si>
    <t>59,996.00</t>
  </si>
  <si>
    <t>2,222,461.60</t>
  </si>
  <si>
    <t>451,520.00</t>
  </si>
  <si>
    <t>49,950.50</t>
  </si>
  <si>
    <t>1,983,394.98</t>
  </si>
  <si>
    <t>2,285,092.00</t>
  </si>
  <si>
    <t>114,545.00</t>
  </si>
  <si>
    <t>1,058,345.00</t>
  </si>
  <si>
    <t>2,966,314.00</t>
  </si>
  <si>
    <t>129,690.00</t>
  </si>
  <si>
    <t>50,563.50</t>
  </si>
  <si>
    <t>735,000.00</t>
  </si>
  <si>
    <t>61,460.00</t>
  </si>
  <si>
    <t>151,964.84</t>
  </si>
  <si>
    <t>230,754.84</t>
  </si>
  <si>
    <t>150,418.14</t>
  </si>
  <si>
    <t>125,560.00</t>
  </si>
  <si>
    <t>490,000.00</t>
  </si>
  <si>
    <t>148,428.00</t>
  </si>
  <si>
    <t>134,660.00</t>
  </si>
  <si>
    <t>266,220.96</t>
  </si>
  <si>
    <t>987,429.50</t>
  </si>
  <si>
    <t>52,384.00</t>
  </si>
  <si>
    <t>94,935.00</t>
  </si>
  <si>
    <t>5,039,000.00</t>
  </si>
  <si>
    <t>299,554.40</t>
  </si>
  <si>
    <t>241,000.00</t>
  </si>
  <si>
    <t>336,773.75</t>
  </si>
  <si>
    <t>104,280.00</t>
  </si>
  <si>
    <t>654,934.60</t>
  </si>
  <si>
    <t>997,300.00</t>
  </si>
  <si>
    <t>56,420.00</t>
  </si>
  <si>
    <t>131,950.00</t>
  </si>
  <si>
    <t>108,516.30</t>
  </si>
  <si>
    <t>763,380.00</t>
  </si>
  <si>
    <t>127,620.00</t>
  </si>
  <si>
    <t>2,048,699.56</t>
  </si>
  <si>
    <t>900,700.00</t>
  </si>
  <si>
    <t>53,853.00</t>
  </si>
  <si>
    <t>518,800.00</t>
  </si>
  <si>
    <t>99,250.00</t>
  </si>
  <si>
    <t>1,200,000.12</t>
  </si>
  <si>
    <t>315,081.26</t>
  </si>
  <si>
    <t>792,540.58</t>
  </si>
  <si>
    <t>305,000.00</t>
  </si>
  <si>
    <t>70,370.00</t>
  </si>
  <si>
    <t>57,210.00</t>
  </si>
  <si>
    <t>94,680.00</t>
  </si>
  <si>
    <t>54,260.00</t>
  </si>
  <si>
    <t>112,500.00</t>
  </si>
  <si>
    <t>1,997,795.78</t>
  </si>
  <si>
    <t>740,559.00</t>
  </si>
  <si>
    <t>769,600.00</t>
  </si>
  <si>
    <t>907,750.00</t>
  </si>
  <si>
    <t>92,446.20</t>
  </si>
  <si>
    <t>212,800.00</t>
  </si>
  <si>
    <t>554,924.00</t>
  </si>
  <si>
    <t>111,720.00</t>
  </si>
  <si>
    <t>81,930.00</t>
  </si>
  <si>
    <t>1,738,196.32</t>
  </si>
  <si>
    <t>11,000,000.00</t>
  </si>
  <si>
    <t>165,805.00</t>
  </si>
  <si>
    <t>1,207,610.22</t>
  </si>
  <si>
    <t>233,170.00</t>
  </si>
  <si>
    <t>270,050.00</t>
  </si>
  <si>
    <t>1,466,218.00</t>
  </si>
  <si>
    <t>39,653.00</t>
  </si>
  <si>
    <t>152,000.00</t>
  </si>
  <si>
    <t>441,200.00</t>
  </si>
  <si>
    <t>596,000.00</t>
  </si>
  <si>
    <t>293,155.00</t>
  </si>
  <si>
    <t>942,800.00</t>
  </si>
  <si>
    <t>392,000.00</t>
  </si>
  <si>
    <t>123,190.00</t>
  </si>
  <si>
    <t>278,550.00</t>
  </si>
  <si>
    <t>881,160.00</t>
  </si>
  <si>
    <t>199,985.00</t>
  </si>
  <si>
    <t>3,194,038.40</t>
  </si>
  <si>
    <t>582,290.00</t>
  </si>
  <si>
    <t>25,565.00</t>
  </si>
  <si>
    <t>973,175.00</t>
  </si>
  <si>
    <t>74,970.40</t>
  </si>
  <si>
    <t>87,875.00</t>
  </si>
  <si>
    <t>637,100.00</t>
  </si>
  <si>
    <t>473,300.00</t>
  </si>
  <si>
    <t>279,900.00</t>
  </si>
  <si>
    <t>437,034.90</t>
  </si>
  <si>
    <t>54,990.00</t>
  </si>
  <si>
    <t>97,652.00</t>
  </si>
  <si>
    <t>384,625.00</t>
  </si>
  <si>
    <t>57,070.00</t>
  </si>
  <si>
    <t>366,140.00</t>
  </si>
  <si>
    <t>313,804.92</t>
  </si>
  <si>
    <t>269,200.00</t>
  </si>
  <si>
    <t>932,782.50</t>
  </si>
  <si>
    <t>138,700.00</t>
  </si>
  <si>
    <t>12,383,000.00</t>
  </si>
  <si>
    <t>218,710.00</t>
  </si>
  <si>
    <t>28,295.00</t>
  </si>
  <si>
    <t>512,125.00</t>
  </si>
  <si>
    <t>218,005.00</t>
  </si>
  <si>
    <t>62,953.00</t>
  </si>
  <si>
    <t>1,809,286.00</t>
  </si>
  <si>
    <t>428,215.00</t>
  </si>
  <si>
    <t>103,940.00</t>
  </si>
  <si>
    <t>105,235.00</t>
  </si>
  <si>
    <t>170,750.00</t>
  </si>
  <si>
    <t>39,675.00</t>
  </si>
  <si>
    <t>505,700.00</t>
  </si>
  <si>
    <t>4,899,960.00</t>
  </si>
  <si>
    <t>76,860.00</t>
  </si>
  <si>
    <t>367,700.00</t>
  </si>
  <si>
    <t>87,000.00</t>
  </si>
  <si>
    <t>182,700.00</t>
  </si>
  <si>
    <t>115,300.00</t>
  </si>
  <si>
    <t>64,330.00</t>
  </si>
  <si>
    <t>2,998,330.65</t>
  </si>
  <si>
    <t>3,059,000.00</t>
  </si>
  <si>
    <t>74,244.00</t>
  </si>
  <si>
    <t>400,935.73</t>
  </si>
  <si>
    <t>96,290.00</t>
  </si>
  <si>
    <t>483,571.46</t>
  </si>
  <si>
    <t>107,167.42</t>
  </si>
  <si>
    <t>346,047.66</t>
  </si>
  <si>
    <t>112,360.64</t>
  </si>
  <si>
    <t>49,638.00</t>
  </si>
  <si>
    <t>221,645.00</t>
  </si>
  <si>
    <t>994,886.00</t>
  </si>
  <si>
    <t>143,174.90</t>
  </si>
  <si>
    <t>2,999,796.03</t>
  </si>
  <si>
    <t>419,462.76</t>
  </si>
  <si>
    <t>228,150.00</t>
  </si>
  <si>
    <t>173,950.00</t>
  </si>
  <si>
    <t>88,730.00</t>
  </si>
  <si>
    <t>2,996,635.95</t>
  </si>
  <si>
    <t>130,200.00</t>
  </si>
  <si>
    <t>92,840.00</t>
  </si>
  <si>
    <t>132,750.00</t>
  </si>
  <si>
    <t>72,474.00</t>
  </si>
  <si>
    <t>73,303.56</t>
  </si>
  <si>
    <t>133,700.00</t>
  </si>
  <si>
    <t>99,960.71</t>
  </si>
  <si>
    <t>127,100.00</t>
  </si>
  <si>
    <t>150,535.00</t>
  </si>
  <si>
    <t>171,675.00</t>
  </si>
  <si>
    <t>224,000.00</t>
  </si>
  <si>
    <t>1,182,426.00</t>
  </si>
  <si>
    <t>72,810.00</t>
  </si>
  <si>
    <t>110,725.00</t>
  </si>
  <si>
    <t>221,864.60</t>
  </si>
  <si>
    <t>900,000.00</t>
  </si>
  <si>
    <t>149,815.00</t>
  </si>
  <si>
    <t>186,312.00</t>
  </si>
  <si>
    <t>123,780.00</t>
  </si>
  <si>
    <t>40,000,000.00</t>
  </si>
  <si>
    <t>46,760.00</t>
  </si>
  <si>
    <t>9,405.00</t>
  </si>
  <si>
    <t>213,240.00</t>
  </si>
  <si>
    <t>36,068.00</t>
  </si>
  <si>
    <t>293,630.59</t>
  </si>
  <si>
    <t>129,302.28</t>
  </si>
  <si>
    <t>71,066.60</t>
  </si>
  <si>
    <t>98,600.00</t>
  </si>
  <si>
    <t>1,267,000.00</t>
  </si>
  <si>
    <t>741,307.95</t>
  </si>
  <si>
    <t>2,800.00</t>
  </si>
  <si>
    <t>23,170.00</t>
  </si>
  <si>
    <t>197,985.00</t>
  </si>
  <si>
    <t>131,000.00</t>
  </si>
  <si>
    <t>12,464.00</t>
  </si>
  <si>
    <t>175,765.00</t>
  </si>
  <si>
    <t>182,590.00</t>
  </si>
  <si>
    <t>2,000.00</t>
  </si>
  <si>
    <t>4,700.00</t>
  </si>
  <si>
    <t>78,260.00</t>
  </si>
  <si>
    <t>63,888.00</t>
  </si>
  <si>
    <t>59,850.00</t>
  </si>
  <si>
    <t>336,560.40</t>
  </si>
  <si>
    <t>197,239.00</t>
  </si>
  <si>
    <t>251,399.75</t>
  </si>
  <si>
    <t>261,365.87</t>
  </si>
  <si>
    <t>2,573.51</t>
  </si>
  <si>
    <t>7,449,786.70</t>
  </si>
  <si>
    <t>892,055.00</t>
  </si>
  <si>
    <t>32,072.00</t>
  </si>
  <si>
    <t>100,750.00</t>
  </si>
  <si>
    <t>69,078.00</t>
  </si>
  <si>
    <t>33,500.00</t>
  </si>
  <si>
    <t>83,751.00</t>
  </si>
  <si>
    <t>5,943.00</t>
  </si>
  <si>
    <t>109,100.00</t>
  </si>
  <si>
    <t>269,500.00</t>
  </si>
  <si>
    <t>572,675.50</t>
  </si>
  <si>
    <t>6,995.00</t>
  </si>
  <si>
    <t>149,425.00</t>
  </si>
  <si>
    <t>590,152.50</t>
  </si>
  <si>
    <t>60,250.00</t>
  </si>
  <si>
    <t>12,802.00</t>
  </si>
  <si>
    <t>192,185.00</t>
  </si>
  <si>
    <t>199,620.00</t>
  </si>
  <si>
    <t>83,595.00</t>
  </si>
  <si>
    <t>192,541.93</t>
  </si>
  <si>
    <t>108,650.00</t>
  </si>
  <si>
    <t>362,000.00</t>
  </si>
  <si>
    <t>25,000.00</t>
  </si>
  <si>
    <t>71,159.00</t>
  </si>
  <si>
    <t>124,255.00</t>
  </si>
  <si>
    <t>6,250.00</t>
  </si>
  <si>
    <t>4,480,900.00</t>
  </si>
  <si>
    <t>80,167.54</t>
  </si>
  <si>
    <t>802,000.00</t>
  </si>
  <si>
    <t>83,585.13</t>
  </si>
  <si>
    <t>80,900.00</t>
  </si>
  <si>
    <t>59,522.00</t>
  </si>
  <si>
    <t>70,375.00</t>
  </si>
  <si>
    <t>164,520.00</t>
  </si>
  <si>
    <t>688,607.16</t>
  </si>
  <si>
    <t>5,500,000.00</t>
  </si>
  <si>
    <t>18,937,230.26</t>
  </si>
  <si>
    <t>149,850.00</t>
  </si>
  <si>
    <t>609,483.75</t>
  </si>
  <si>
    <t>56,700.00</t>
  </si>
  <si>
    <t>126,549.09</t>
  </si>
  <si>
    <t>78,400.00</t>
  </si>
  <si>
    <t>102,200.00</t>
  </si>
  <si>
    <t>53,800.00</t>
  </si>
  <si>
    <t>163,200.00</t>
  </si>
  <si>
    <t>286,135.00</t>
  </si>
  <si>
    <t>49,998.00</t>
  </si>
  <si>
    <t>85,990.00</t>
  </si>
  <si>
    <t>1,027,468.15</t>
  </si>
  <si>
    <t>962,702.25</t>
  </si>
  <si>
    <t>97,695.00</t>
  </si>
  <si>
    <t>78,220.00</t>
  </si>
  <si>
    <t>215,500.00</t>
  </si>
  <si>
    <t>17,335.00</t>
  </si>
  <si>
    <t>238,400.00</t>
  </si>
  <si>
    <t>655,738.00</t>
  </si>
  <si>
    <t>676,400.00</t>
  </si>
  <si>
    <t>455,592.62</t>
  </si>
  <si>
    <t>122,243.33</t>
  </si>
  <si>
    <t>372,950.00</t>
  </si>
  <si>
    <t>141,920.00</t>
  </si>
  <si>
    <t>57,435.00</t>
  </si>
  <si>
    <t>53,400.00</t>
  </si>
  <si>
    <t>1,440,000.00</t>
  </si>
  <si>
    <t>5,679,740.00</t>
  </si>
  <si>
    <t>37,785.00</t>
  </si>
  <si>
    <t>2,063,536.00</t>
  </si>
  <si>
    <t>294,700.00</t>
  </si>
  <si>
    <t>6,080.00</t>
  </si>
  <si>
    <t>79,810.00</t>
  </si>
  <si>
    <t>289,999.60</t>
  </si>
  <si>
    <t>2,482,621.45</t>
  </si>
  <si>
    <t>111,000.00</t>
  </si>
  <si>
    <t>2,321,000.00</t>
  </si>
  <si>
    <t>8,640.00</t>
  </si>
  <si>
    <t>67,980.00</t>
  </si>
  <si>
    <t>70,730.00</t>
  </si>
  <si>
    <t>68,430.00</t>
  </si>
  <si>
    <t>86,765.00</t>
  </si>
  <si>
    <t>602,005.81</t>
  </si>
  <si>
    <t>366,300.00</t>
  </si>
  <si>
    <t>120,300.00</t>
  </si>
  <si>
    <t>193,711.00</t>
  </si>
  <si>
    <t>221,000.00</t>
  </si>
  <si>
    <t>70,075.00</t>
  </si>
  <si>
    <t>116,000.00</t>
  </si>
  <si>
    <t>84,540.00</t>
  </si>
  <si>
    <t>512,290.54</t>
  </si>
  <si>
    <t>81,560.00</t>
  </si>
  <si>
    <t>99,375.00</t>
  </si>
  <si>
    <t>84,852.00</t>
  </si>
  <si>
    <t>21,405.00</t>
  </si>
  <si>
    <t>83,800.00</t>
  </si>
  <si>
    <t>1,680,000.00</t>
  </si>
  <si>
    <t>97,134.00</t>
  </si>
  <si>
    <t>169,678.66</t>
  </si>
  <si>
    <t>563,389.00</t>
  </si>
  <si>
    <t>56,851.00</t>
  </si>
  <si>
    <t>5,568,140.00</t>
  </si>
  <si>
    <t>195,391.60</t>
  </si>
  <si>
    <t>159,235.00</t>
  </si>
  <si>
    <t>125,190.00</t>
  </si>
  <si>
    <t>681,243.10</t>
  </si>
  <si>
    <t>69,990.00</t>
  </si>
  <si>
    <t>597,000.00</t>
  </si>
  <si>
    <t>60,475.00</t>
  </si>
  <si>
    <t>62,500.00</t>
  </si>
  <si>
    <t>399,192.60</t>
  </si>
  <si>
    <t>81,470.00</t>
  </si>
  <si>
    <t>499,933.15</t>
  </si>
  <si>
    <t>602,741.66</t>
  </si>
  <si>
    <t>216,500.00</t>
  </si>
  <si>
    <t>226,202.40</t>
  </si>
  <si>
    <t>116,880.00</t>
  </si>
  <si>
    <t>53,955.00</t>
  </si>
  <si>
    <t>43,624.00</t>
  </si>
  <si>
    <t>191,982.62</t>
  </si>
  <si>
    <t>2,237,000.00</t>
  </si>
  <si>
    <t>449,616.00</t>
  </si>
  <si>
    <t>204,200.00</t>
  </si>
  <si>
    <t>1,700,000.00</t>
  </si>
  <si>
    <t>134,000.00</t>
  </si>
  <si>
    <t>7,000.00</t>
  </si>
  <si>
    <t>486,720.00</t>
  </si>
  <si>
    <t>87,800.00</t>
  </si>
  <si>
    <t>711,000.00</t>
  </si>
  <si>
    <t>239,400.00</t>
  </si>
  <si>
    <t>102,503.75</t>
  </si>
  <si>
    <t>212,400.00</t>
  </si>
  <si>
    <t>9,336.00</t>
  </si>
  <si>
    <t>920,000.00</t>
  </si>
  <si>
    <t>1,131,486.16</t>
  </si>
  <si>
    <t>87,952.00</t>
  </si>
  <si>
    <t>8,257,000.00</t>
  </si>
  <si>
    <t>702,138.83</t>
  </si>
  <si>
    <t>6,202,346.00</t>
  </si>
  <si>
    <t>117,104.00</t>
  </si>
  <si>
    <t>71,860.00</t>
  </si>
  <si>
    <t>1,320,000.00</t>
  </si>
  <si>
    <t>198,786.42</t>
  </si>
  <si>
    <t>178,920.00</t>
  </si>
  <si>
    <t>4,692,000.00</t>
  </si>
  <si>
    <t>185,500.00</t>
  </si>
  <si>
    <t>112,260.00</t>
  </si>
  <si>
    <t>682,222.41</t>
  </si>
  <si>
    <t>130,150.00</t>
  </si>
  <si>
    <t>92,158.00</t>
  </si>
  <si>
    <t>241,250.00</t>
  </si>
  <si>
    <t>383,177.91</t>
  </si>
  <si>
    <t>149,000.00</t>
  </si>
  <si>
    <t>124,000.00</t>
  </si>
  <si>
    <t>8,445.00</t>
  </si>
  <si>
    <t>159,900.00</t>
  </si>
  <si>
    <t>439,330.00</t>
  </si>
  <si>
    <t>505,604.12</t>
  </si>
  <si>
    <t>430,550.16</t>
  </si>
  <si>
    <t>9,200.00</t>
  </si>
  <si>
    <t>1,770.00</t>
  </si>
  <si>
    <t>585,084.87</t>
  </si>
  <si>
    <t>3,340,000.00</t>
  </si>
  <si>
    <t>65,685.00</t>
  </si>
  <si>
    <t>60,500.00</t>
  </si>
  <si>
    <t>25,400.00</t>
  </si>
  <si>
    <t>99,941.00</t>
  </si>
  <si>
    <t>138,280.00</t>
  </si>
  <si>
    <t>109,602.37</t>
  </si>
  <si>
    <t>71,700.00</t>
  </si>
  <si>
    <t>198,530.00</t>
  </si>
  <si>
    <t>734,245.00</t>
  </si>
  <si>
    <t>53,920.00</t>
  </si>
  <si>
    <t>14,000.00</t>
  </si>
  <si>
    <t>403,290.00</t>
  </si>
  <si>
    <t>4,933.00</t>
  </si>
  <si>
    <t>50,300.00</t>
  </si>
  <si>
    <t>68,700.00</t>
  </si>
  <si>
    <t>189,500.00</t>
  </si>
  <si>
    <t>7,500,000.00</t>
  </si>
  <si>
    <t>39,400.00</t>
  </si>
  <si>
    <t>255,993.00</t>
  </si>
  <si>
    <t>19,550.00</t>
  </si>
  <si>
    <t>427,350.00</t>
  </si>
  <si>
    <t>399,817.70</t>
  </si>
  <si>
    <t>218,000.00</t>
  </si>
  <si>
    <t>49,999.00</t>
  </si>
  <si>
    <t>42,150.00</t>
  </si>
  <si>
    <t>774,933.16</t>
  </si>
  <si>
    <t>56,130.00</t>
  </si>
  <si>
    <t>22.40</t>
  </si>
  <si>
    <t>83,250.00</t>
  </si>
  <si>
    <t>1,710,000.00</t>
  </si>
  <si>
    <t>66,700.00</t>
  </si>
  <si>
    <t>201,045.60</t>
  </si>
  <si>
    <t>147,981.00</t>
  </si>
  <si>
    <t>819,100.33</t>
  </si>
  <si>
    <t>90,860.00</t>
  </si>
  <si>
    <t>92,181.00</t>
  </si>
  <si>
    <t>146,485.00</t>
  </si>
  <si>
    <t>130,750.00</t>
  </si>
  <si>
    <t>12,700.00</t>
  </si>
  <si>
    <t>199,970.00</t>
  </si>
  <si>
    <t>18,585.00</t>
  </si>
  <si>
    <t>136,400.00</t>
  </si>
  <si>
    <t>7,682.00</t>
  </si>
  <si>
    <t>45,249.39</t>
  </si>
  <si>
    <t>1,144,196.52</t>
  </si>
  <si>
    <t>199,600.00</t>
  </si>
  <si>
    <t>149,250.00</t>
  </si>
  <si>
    <t>60,350.00</t>
  </si>
  <si>
    <t>840,460.00</t>
  </si>
  <si>
    <t>2,471,000.00</t>
  </si>
  <si>
    <t>97,775.00</t>
  </si>
  <si>
    <t>891,520.00</t>
  </si>
  <si>
    <t>9,477,219.18</t>
  </si>
  <si>
    <t>605,414.25</t>
  </si>
  <si>
    <t>104,850.00</t>
  </si>
  <si>
    <t>100,125.00</t>
  </si>
  <si>
    <t>433,037.00</t>
  </si>
  <si>
    <t>270,300.00</t>
  </si>
  <si>
    <t>465,000.00</t>
  </si>
  <si>
    <t>4,460.00</t>
  </si>
  <si>
    <t>217,222.80</t>
  </si>
  <si>
    <t>310,225.00</t>
  </si>
  <si>
    <t>199,450.00</t>
  </si>
  <si>
    <t>2,481,269.29</t>
  </si>
  <si>
    <t>417,950.00</t>
  </si>
  <si>
    <t>186,340.00</t>
  </si>
  <si>
    <t>418,856.50</t>
  </si>
  <si>
    <t>74,445.00</t>
  </si>
  <si>
    <t>188,000.00</t>
  </si>
  <si>
    <t>17,800.00</t>
  </si>
  <si>
    <t>93,967.00</t>
  </si>
  <si>
    <t>177,420.00</t>
  </si>
  <si>
    <t>213,275.60</t>
  </si>
  <si>
    <t>68,470.00</t>
  </si>
  <si>
    <t>23,300.00</t>
  </si>
  <si>
    <t>286,000.00</t>
  </si>
  <si>
    <t>1,131,110.82</t>
  </si>
  <si>
    <t>2,882,051.00</t>
  </si>
  <si>
    <t>90,504.00</t>
  </si>
  <si>
    <t>115,150.00</t>
  </si>
  <si>
    <t>312,108.00</t>
  </si>
  <si>
    <t>103,161.50</t>
  </si>
  <si>
    <t>1,992,381.00</t>
  </si>
  <si>
    <t>148,256.50</t>
  </si>
  <si>
    <t>138,000.00</t>
  </si>
  <si>
    <t>146,955.00</t>
  </si>
  <si>
    <t>239,630.00</t>
  </si>
  <si>
    <t>85,807.00</t>
  </si>
  <si>
    <t>143,566.30</t>
  </si>
  <si>
    <t>23,438.00</t>
  </si>
  <si>
    <t>209,650.00</t>
  </si>
  <si>
    <t>372,500.00</t>
  </si>
  <si>
    <t>598,717.25</t>
  </si>
  <si>
    <t>73,760.00</t>
  </si>
  <si>
    <t>2,460.00</t>
  </si>
  <si>
    <t>966,000.00</t>
  </si>
  <si>
    <t>118,926.00</t>
  </si>
  <si>
    <t>36,802.65</t>
  </si>
  <si>
    <t>1,297,223.00</t>
  </si>
  <si>
    <t>106,164.00</t>
  </si>
  <si>
    <t>327,900.00</t>
  </si>
  <si>
    <t>4,498,547.21</t>
  </si>
  <si>
    <t>95,200.00</t>
  </si>
  <si>
    <t>6,703,000.00</t>
  </si>
  <si>
    <t>2,377,500.00</t>
  </si>
  <si>
    <t>1,790,567.96</t>
  </si>
  <si>
    <t>1,499,958.05</t>
  </si>
  <si>
    <t>4,400.00</t>
  </si>
  <si>
    <t>149,846.00</t>
  </si>
  <si>
    <t>43,610,000.00</t>
  </si>
  <si>
    <t>142,975.00</t>
  </si>
  <si>
    <t>999,097.53</t>
  </si>
  <si>
    <t>101,600.00</t>
  </si>
  <si>
    <t>669,121.00</t>
  </si>
  <si>
    <t>720,000.00</t>
  </si>
  <si>
    <t>148,000.00</t>
  </si>
  <si>
    <t>297,500.00</t>
  </si>
  <si>
    <t>132,811.00</t>
  </si>
  <si>
    <t>495,000.00</t>
  </si>
  <si>
    <t>589,595.00</t>
  </si>
  <si>
    <t>195,050.00</t>
  </si>
  <si>
    <t>6,480.00</t>
  </si>
  <si>
    <t>19,399,932.09</t>
  </si>
  <si>
    <t>142,256.34</t>
  </si>
  <si>
    <t>63,010.00</t>
  </si>
  <si>
    <t>99,900.00</t>
  </si>
  <si>
    <t>82,500.00</t>
  </si>
  <si>
    <t>83,328.00</t>
  </si>
  <si>
    <t>185,512.50</t>
  </si>
  <si>
    <t>98,855.00</t>
  </si>
  <si>
    <t>205,500.00</t>
  </si>
  <si>
    <t>255,900.00</t>
  </si>
  <si>
    <t>344,814.00</t>
  </si>
  <si>
    <t>3,407.50</t>
  </si>
  <si>
    <t>467,680.00</t>
  </si>
  <si>
    <t>117,950.00</t>
  </si>
  <si>
    <t>77,750.00</t>
  </si>
  <si>
    <t>55,672.00</t>
  </si>
  <si>
    <t>125,100.00</t>
  </si>
  <si>
    <t>75,900.00</t>
  </si>
  <si>
    <t>126,000.00</t>
  </si>
  <si>
    <t>18,140.00</t>
  </si>
  <si>
    <t>156,911.04</t>
  </si>
  <si>
    <t>57,405.00</t>
  </si>
  <si>
    <t>120,100.00</t>
  </si>
  <si>
    <t>52,343.00</t>
  </si>
  <si>
    <t>2,479,542.33</t>
  </si>
  <si>
    <t>65,990.00</t>
  </si>
  <si>
    <t>117,986.00</t>
  </si>
  <si>
    <t>58,590.00</t>
  </si>
  <si>
    <t>41,200.00</t>
  </si>
  <si>
    <t>109,510.00</t>
  </si>
  <si>
    <t>227,195.15</t>
  </si>
  <si>
    <t>576,100.00</t>
  </si>
  <si>
    <t>384,200.00</t>
  </si>
  <si>
    <t>12,204,000.00</t>
  </si>
  <si>
    <t>69,363.00</t>
  </si>
  <si>
    <t>546,957.00</t>
  </si>
  <si>
    <t>1,873,763.71</t>
  </si>
  <si>
    <t>24,960.00</t>
  </si>
  <si>
    <t>76,440.00</t>
  </si>
  <si>
    <t>62,583.44</t>
  </si>
  <si>
    <t>945,000.00</t>
  </si>
  <si>
    <t>233,435.00</t>
  </si>
  <si>
    <t>156,450.00</t>
  </si>
  <si>
    <t>80,444.00</t>
  </si>
  <si>
    <t>1,080,000.00</t>
  </si>
  <si>
    <t>186,847.00</t>
  </si>
  <si>
    <t>61,075.00</t>
  </si>
  <si>
    <t>39,000.00</t>
  </si>
  <si>
    <t>188,920.00</t>
  </si>
  <si>
    <t>23,486.00</t>
  </si>
  <si>
    <t>199,635.30</t>
  </si>
  <si>
    <t>24,205.00</t>
  </si>
  <si>
    <t>175,620.00</t>
  </si>
  <si>
    <t>63,750.00</t>
  </si>
  <si>
    <t>11,000.00</t>
  </si>
  <si>
    <t>109,012.55</t>
  </si>
  <si>
    <t>989,000.00</t>
  </si>
  <si>
    <t>725,000.00</t>
  </si>
  <si>
    <t>1,595,193.44</t>
  </si>
  <si>
    <t>94,984.00</t>
  </si>
  <si>
    <t>178,750.00</t>
  </si>
  <si>
    <t>999,833.00</t>
  </si>
  <si>
    <t>13,500,000.00</t>
  </si>
  <si>
    <t>2,115,290.00</t>
  </si>
  <si>
    <t>726,000.00</t>
  </si>
  <si>
    <t>970,200.00</t>
  </si>
  <si>
    <t>99,981.42</t>
  </si>
  <si>
    <t>64,760.00</t>
  </si>
  <si>
    <t>228,000.00</t>
  </si>
  <si>
    <t>637,500.00</t>
  </si>
  <si>
    <t>375,550.00</t>
  </si>
  <si>
    <t>252,735.60</t>
  </si>
  <si>
    <t>162,200.00</t>
  </si>
  <si>
    <t>555,088.13</t>
  </si>
  <si>
    <t>335,677.09</t>
  </si>
  <si>
    <t>1,373,648.00</t>
  </si>
  <si>
    <t>364,605.00</t>
  </si>
  <si>
    <t>57,140.00</t>
  </si>
  <si>
    <t>174,997.35</t>
  </si>
  <si>
    <t>82,800.00</t>
  </si>
  <si>
    <t>4,800.00</t>
  </si>
  <si>
    <t>90,884.00</t>
  </si>
  <si>
    <t>365,995.81</t>
  </si>
  <si>
    <t>55,595.00</t>
  </si>
  <si>
    <t>105,508.00</t>
  </si>
  <si>
    <t>89,000.00</t>
  </si>
  <si>
    <t>132,650.00</t>
  </si>
  <si>
    <t>83,100.00</t>
  </si>
  <si>
    <t>43,700.00</t>
  </si>
  <si>
    <t>73,840.00</t>
  </si>
  <si>
    <t>212,490.00</t>
  </si>
  <si>
    <t>84,670.00</t>
  </si>
  <si>
    <t>203,075.00</t>
  </si>
  <si>
    <t>63,159.17</t>
  </si>
  <si>
    <t>269,860.00</t>
  </si>
  <si>
    <t>172,210.00</t>
  </si>
  <si>
    <t>72,300.00</t>
  </si>
  <si>
    <t>98,965.00</t>
  </si>
  <si>
    <t>1,699,406.00</t>
  </si>
  <si>
    <t>45,733.00</t>
  </si>
  <si>
    <t>497,316.22</t>
  </si>
  <si>
    <t>1,499,903.68</t>
  </si>
  <si>
    <t>1,159,720.96</t>
  </si>
  <si>
    <t>89,900.00</t>
  </si>
  <si>
    <t>174,195.00</t>
  </si>
  <si>
    <t>1,049,899.59</t>
  </si>
  <si>
    <t>371,000.00</t>
  </si>
  <si>
    <t>1,651,096.43</t>
  </si>
  <si>
    <t>189,540.00</t>
  </si>
  <si>
    <t>565,000.00</t>
  </si>
  <si>
    <t>139,600.00</t>
  </si>
  <si>
    <t>1,545.60</t>
  </si>
  <si>
    <t>29,950.00</t>
  </si>
  <si>
    <t>46,699.00</t>
  </si>
  <si>
    <t>165,000.00</t>
  </si>
  <si>
    <t>166,065.00</t>
  </si>
  <si>
    <t>703,114.00</t>
  </si>
  <si>
    <t>280,575.00</t>
  </si>
  <si>
    <t>345,057.09</t>
  </si>
  <si>
    <t>606,000.00</t>
  </si>
  <si>
    <t>646,000.00</t>
  </si>
  <si>
    <t>329,000.00</t>
  </si>
  <si>
    <t>77,500.01</t>
  </si>
  <si>
    <t>2,125,170.00</t>
  </si>
  <si>
    <t>19,241.48</t>
  </si>
  <si>
    <t>436,800.00</t>
  </si>
  <si>
    <t>163,986.00</t>
  </si>
  <si>
    <t>401,600.00</t>
  </si>
  <si>
    <t>339,200.00</t>
  </si>
  <si>
    <t>101,190.00</t>
  </si>
  <si>
    <t>198,152.50</t>
  </si>
  <si>
    <t>699,000.00</t>
  </si>
  <si>
    <t>2,752,800.00</t>
  </si>
  <si>
    <t>564,765.11</t>
  </si>
  <si>
    <t>73,802,175.00</t>
  </si>
  <si>
    <t>239,376.00</t>
  </si>
  <si>
    <t>161,900.00</t>
  </si>
  <si>
    <t>238,567.00</t>
  </si>
  <si>
    <t>94,600.00</t>
  </si>
  <si>
    <t>37,500.00</t>
  </si>
  <si>
    <t>988,000.00</t>
  </si>
  <si>
    <t>375,050.00</t>
  </si>
  <si>
    <t>67,648.50</t>
  </si>
  <si>
    <t>364,200.00</t>
  </si>
  <si>
    <t>49,600.00</t>
  </si>
  <si>
    <t>9,051.03</t>
  </si>
  <si>
    <t>16,491.00</t>
  </si>
  <si>
    <t>85,055.32</t>
  </si>
  <si>
    <t>149,910.00</t>
  </si>
  <si>
    <t>972,500.00</t>
  </si>
  <si>
    <t>198,746.00</t>
  </si>
  <si>
    <t>730,907.24</t>
  </si>
  <si>
    <t>45,983.00</t>
  </si>
  <si>
    <t>83,822.30</t>
  </si>
  <si>
    <t>80,080.00</t>
  </si>
  <si>
    <t>999,999.00</t>
  </si>
  <si>
    <t>102,500.00</t>
  </si>
  <si>
    <t>119,078.00</t>
  </si>
  <si>
    <t>128,298.00</t>
  </si>
  <si>
    <t>596,750.00</t>
  </si>
  <si>
    <t>121,761.00</t>
  </si>
  <si>
    <t>28,000.00</t>
  </si>
  <si>
    <t>126,508.50</t>
  </si>
  <si>
    <t>45,292,000.00</t>
  </si>
  <si>
    <t>98,775.90</t>
  </si>
  <si>
    <t>522,915.96</t>
  </si>
  <si>
    <t>241,700.00</t>
  </si>
  <si>
    <t>106,050.00</t>
  </si>
  <si>
    <t>568,315.00</t>
  </si>
  <si>
    <t>432,000.00</t>
  </si>
  <si>
    <t>840,000.00</t>
  </si>
  <si>
    <t>498,900.00</t>
  </si>
  <si>
    <t>80,099.00</t>
  </si>
  <si>
    <t>328,115.80</t>
  </si>
  <si>
    <t>1,242,000.00</t>
  </si>
  <si>
    <t>155,955.00</t>
  </si>
  <si>
    <t>10,164,884.44</t>
  </si>
  <si>
    <t>14,209,000.00</t>
  </si>
  <si>
    <t>145,181.00</t>
  </si>
  <si>
    <t>995,704.48</t>
  </si>
  <si>
    <t>317,500.00</t>
  </si>
  <si>
    <t>245,990.00</t>
  </si>
  <si>
    <t>70,752.00</t>
  </si>
  <si>
    <t>160,288.00</t>
  </si>
  <si>
    <t>102,723.50</t>
  </si>
  <si>
    <t>104,470.00</t>
  </si>
  <si>
    <t>154,000.00</t>
  </si>
  <si>
    <t>1,535,164.81</t>
  </si>
  <si>
    <t>349,590.00</t>
  </si>
  <si>
    <t>11,200.00</t>
  </si>
  <si>
    <t>1,620,000.00</t>
  </si>
  <si>
    <t>94,088.00</t>
  </si>
  <si>
    <t>245,100.00</t>
  </si>
  <si>
    <t>648,463.41</t>
  </si>
  <si>
    <t>399,166.40</t>
  </si>
  <si>
    <t>117,468.00</t>
  </si>
  <si>
    <t>71,500.00</t>
  </si>
  <si>
    <t>66,410.00</t>
  </si>
  <si>
    <t>66,180.00</t>
  </si>
  <si>
    <t>249,600.00</t>
  </si>
  <si>
    <t>35,490.40</t>
  </si>
  <si>
    <t>3,156,128.25</t>
  </si>
  <si>
    <t>79,974.00</t>
  </si>
  <si>
    <t>233,080.00</t>
  </si>
  <si>
    <t>410,685.00</t>
  </si>
  <si>
    <t>73,610.00</t>
  </si>
  <si>
    <t>58,331.34</t>
  </si>
  <si>
    <t>303,207.94</t>
  </si>
  <si>
    <t>21,500.00</t>
  </si>
  <si>
    <t>233,420.00</t>
  </si>
  <si>
    <t>73,296.00</t>
  </si>
  <si>
    <t>255,650.00</t>
  </si>
  <si>
    <t>70,460.75</t>
  </si>
  <si>
    <t>173,255.00</t>
  </si>
  <si>
    <t>12,392,000.00</t>
  </si>
  <si>
    <t>61,000.00</t>
  </si>
  <si>
    <t>482,000.00</t>
  </si>
  <si>
    <t>289,754.00</t>
  </si>
  <si>
    <t>773,500.00</t>
  </si>
  <si>
    <t>428,636.75</t>
  </si>
  <si>
    <t>803,641.77</t>
  </si>
  <si>
    <t>121,920.00</t>
  </si>
  <si>
    <t>1,028,895.78</t>
  </si>
  <si>
    <t>312,005.57</t>
  </si>
  <si>
    <t>541,200.00</t>
  </si>
  <si>
    <t>498,380.00</t>
  </si>
  <si>
    <t>313,450.00</t>
  </si>
  <si>
    <t>1,738,800.00</t>
  </si>
  <si>
    <t>494,110.00</t>
  </si>
  <si>
    <t>207,000.00</t>
  </si>
  <si>
    <t>179,830.00</t>
  </si>
  <si>
    <t>4,395.60</t>
  </si>
  <si>
    <t>758,200.00</t>
  </si>
  <si>
    <t>37,605,100.00</t>
  </si>
  <si>
    <t>174,940.00</t>
  </si>
  <si>
    <t>359,940.00</t>
  </si>
  <si>
    <t>46,332.00</t>
  </si>
  <si>
    <t>69,900.00</t>
  </si>
  <si>
    <t>927,224.55</t>
  </si>
  <si>
    <t>77,380.00</t>
  </si>
  <si>
    <t>149,050.00</t>
  </si>
  <si>
    <t>410,474.00</t>
  </si>
  <si>
    <t>216,000.00</t>
  </si>
  <si>
    <t>384,000.00</t>
  </si>
  <si>
    <t>314,700.00</t>
  </si>
  <si>
    <t>283,442.40</t>
  </si>
  <si>
    <t>489,840.00</t>
  </si>
  <si>
    <t>736,400.00</t>
  </si>
  <si>
    <t>91,560.00</t>
  </si>
  <si>
    <t>2,110,000.00</t>
  </si>
  <si>
    <t>2,400,000.00</t>
  </si>
  <si>
    <t>1,399,036.46</t>
  </si>
  <si>
    <t>158,720.00</t>
  </si>
  <si>
    <t>123,739.75</t>
  </si>
  <si>
    <t>232,501.00</t>
  </si>
  <si>
    <t>84,050.00</t>
  </si>
  <si>
    <t>533,515.50</t>
  </si>
  <si>
    <t>1,299,966.26</t>
  </si>
  <si>
    <t>2,205,000.00</t>
  </si>
  <si>
    <t>94,380.00</t>
  </si>
  <si>
    <t>54,650.00</t>
  </si>
  <si>
    <t>5,016.00</t>
  </si>
  <si>
    <t>801,960.00</t>
  </si>
  <si>
    <t>362,692.00</t>
  </si>
  <si>
    <t>13,875.00</t>
  </si>
  <si>
    <t>202,600.00</t>
  </si>
  <si>
    <t>415,700.00</t>
  </si>
  <si>
    <t>391,031.75</t>
  </si>
  <si>
    <t>648,000.00</t>
  </si>
  <si>
    <t>95,495.00</t>
  </si>
  <si>
    <t>80,028.00</t>
  </si>
  <si>
    <t>92,790.70</t>
  </si>
  <si>
    <t>169,519.90</t>
  </si>
  <si>
    <t>78,300.00</t>
  </si>
  <si>
    <t>116,519.00</t>
  </si>
  <si>
    <t>173,100.00</t>
  </si>
  <si>
    <t>2,478,600.00</t>
  </si>
  <si>
    <t>55,820.00</t>
  </si>
  <si>
    <t>869,980.00</t>
  </si>
  <si>
    <t>749,700.00</t>
  </si>
  <si>
    <t>72,947.00</t>
  </si>
  <si>
    <t>77,920.00</t>
  </si>
  <si>
    <t>61,600.00</t>
  </si>
  <si>
    <t>690,915.62</t>
  </si>
  <si>
    <t>83,633.00</t>
  </si>
  <si>
    <t>1,720,000.00</t>
  </si>
  <si>
    <t>390,440.00</t>
  </si>
  <si>
    <t>9,900,000.00</t>
  </si>
  <si>
    <t>148,378.50</t>
  </si>
  <si>
    <t>68,850.00</t>
  </si>
  <si>
    <t>77,800.00</t>
  </si>
  <si>
    <t>366,340,000.00</t>
  </si>
  <si>
    <t>82,900.00</t>
  </si>
  <si>
    <t>106,150,000.00</t>
  </si>
  <si>
    <t>667,200.00</t>
  </si>
  <si>
    <t>302,150.00</t>
  </si>
  <si>
    <t>1,314,000.00</t>
  </si>
  <si>
    <t>84,257.50</t>
  </si>
  <si>
    <t>14,854.00</t>
  </si>
  <si>
    <t>559,800.00</t>
  </si>
  <si>
    <t>2,562,555.00</t>
  </si>
  <si>
    <t>65,202.60</t>
  </si>
  <si>
    <t>2,200,000.00</t>
  </si>
  <si>
    <t>234,848.00</t>
  </si>
  <si>
    <t>81,690.00</t>
  </si>
  <si>
    <t>406,000.00</t>
  </si>
  <si>
    <t>137,840.00</t>
  </si>
  <si>
    <t>68,414.50</t>
  </si>
  <si>
    <t>47,530.00</t>
  </si>
  <si>
    <t>791,899.51</t>
  </si>
  <si>
    <t>271,575.00</t>
  </si>
  <si>
    <t>28,800.00</t>
  </si>
  <si>
    <t>92,300.00</t>
  </si>
  <si>
    <t>999,998.73</t>
  </si>
  <si>
    <t>122,777.00</t>
  </si>
  <si>
    <t>55,545.00</t>
  </si>
  <si>
    <t>91,376.76</t>
  </si>
  <si>
    <t>1,878,538.00</t>
  </si>
  <si>
    <t>60,000,000.00</t>
  </si>
  <si>
    <t>14,934,127.68</t>
  </si>
  <si>
    <t>7,440.00</t>
  </si>
  <si>
    <t>149,036.00</t>
  </si>
  <si>
    <t>58,562.00</t>
  </si>
  <si>
    <t>5,900,000.00</t>
  </si>
  <si>
    <t>99,940.00</t>
  </si>
  <si>
    <t>8,590,816.00</t>
  </si>
  <si>
    <t>999,999.89</t>
  </si>
  <si>
    <t>277,000.00</t>
  </si>
  <si>
    <t>398,800.00</t>
  </si>
  <si>
    <t>325,850.00</t>
  </si>
  <si>
    <t>571,036.00</t>
  </si>
  <si>
    <t>39,075.00</t>
  </si>
  <si>
    <t>58,245.00</t>
  </si>
  <si>
    <t>131,638.50</t>
  </si>
  <si>
    <t>208,000.01</t>
  </si>
  <si>
    <t>2,241,750.00</t>
  </si>
  <si>
    <t>397,600.00</t>
  </si>
  <si>
    <t>2,696,000.00</t>
  </si>
  <si>
    <t>670,381.00</t>
  </si>
  <si>
    <t>51,709.66</t>
  </si>
  <si>
    <t>2,133,804.42</t>
  </si>
  <si>
    <t>109,655.62</t>
  </si>
  <si>
    <t>47,500.00</t>
  </si>
  <si>
    <t>17,600.00</t>
  </si>
  <si>
    <t>112,060.21</t>
  </si>
  <si>
    <t>73,150.00</t>
  </si>
  <si>
    <t>89,250.00</t>
  </si>
  <si>
    <t>259,976.39</t>
  </si>
  <si>
    <t>9,840.00</t>
  </si>
  <si>
    <t>3,744,500.00</t>
  </si>
  <si>
    <t>93,490.00</t>
  </si>
  <si>
    <t>99,475.00</t>
  </si>
  <si>
    <t>83,499.91</t>
  </si>
  <si>
    <t>3,613,385.00</t>
  </si>
  <si>
    <t>312,960.48</t>
  </si>
  <si>
    <t>950,979.00</t>
  </si>
  <si>
    <t>280,080.84</t>
  </si>
  <si>
    <t>392,026.00</t>
  </si>
  <si>
    <t>1,299,935.37</t>
  </si>
  <si>
    <t>487,000.00</t>
  </si>
  <si>
    <t>72,820.00</t>
  </si>
  <si>
    <t>488,860.01</t>
  </si>
  <si>
    <t>1,108,000.00</t>
  </si>
  <si>
    <t>72,448.00</t>
  </si>
  <si>
    <t>92,400.00</t>
  </si>
  <si>
    <t>805,122.00</t>
  </si>
  <si>
    <t>749,500.00</t>
  </si>
  <si>
    <t>247,000.00</t>
  </si>
  <si>
    <t>79,220.00</t>
  </si>
  <si>
    <t>50,700.00</t>
  </si>
  <si>
    <t>269,400.00</t>
  </si>
  <si>
    <t>396,850.00</t>
  </si>
  <si>
    <t>580,975.00</t>
  </si>
  <si>
    <t>19,320.00</t>
  </si>
  <si>
    <t>119,990.00</t>
  </si>
  <si>
    <t>8,912,982.47</t>
  </si>
  <si>
    <t>87,396.46</t>
  </si>
  <si>
    <t>66,750.00</t>
  </si>
  <si>
    <t>116,415.60</t>
  </si>
  <si>
    <t>8,209,800.00</t>
  </si>
  <si>
    <t>4,500.00</t>
  </si>
  <si>
    <t>495,900.00</t>
  </si>
  <si>
    <t>570,128.00</t>
  </si>
  <si>
    <t>90,857.50</t>
  </si>
  <si>
    <t>601,088.00</t>
  </si>
  <si>
    <t>26,720.00</t>
  </si>
  <si>
    <t>52,910.00</t>
  </si>
  <si>
    <t>34,850,000.00</t>
  </si>
  <si>
    <t>249,964.58</t>
  </si>
  <si>
    <t>222,273.00</t>
  </si>
  <si>
    <t>395,146.35</t>
  </si>
  <si>
    <t>553,287.56</t>
  </si>
  <si>
    <t>207,711.71</t>
  </si>
  <si>
    <t>715,000.00</t>
  </si>
  <si>
    <t>114,470.00</t>
  </si>
  <si>
    <t>31,425.00</t>
  </si>
  <si>
    <t>35,658.00</t>
  </si>
  <si>
    <t>208,740.00</t>
  </si>
  <si>
    <t>160,822.02</t>
  </si>
  <si>
    <t>65,350.00</t>
  </si>
  <si>
    <t>162,900.00</t>
  </si>
  <si>
    <t>71,130.40</t>
  </si>
  <si>
    <t>27,423,841.00</t>
  </si>
  <si>
    <t>107,520.00</t>
  </si>
  <si>
    <t>879,720.00</t>
  </si>
  <si>
    <t>73,681.90</t>
  </si>
  <si>
    <t>193,800.00</t>
  </si>
  <si>
    <t>968,560.00</t>
  </si>
  <si>
    <t>98,750.00</t>
  </si>
  <si>
    <t>133,200.00</t>
  </si>
  <si>
    <t>705,000.00</t>
  </si>
  <si>
    <t>1,840,000.00</t>
  </si>
  <si>
    <t>556,245.00</t>
  </si>
  <si>
    <t>341,315.00</t>
  </si>
  <si>
    <t>457,210.00</t>
  </si>
  <si>
    <t>407,500.00</t>
  </si>
  <si>
    <t>50,562.00</t>
  </si>
  <si>
    <t>196,643.00</t>
  </si>
  <si>
    <t>140,768.75</t>
  </si>
  <si>
    <t>235,000.00</t>
  </si>
  <si>
    <t>179,410.00</t>
  </si>
  <si>
    <t>361,226.00</t>
  </si>
  <si>
    <t>77,000.00</t>
  </si>
  <si>
    <t>111,500.00</t>
  </si>
  <si>
    <t>62,580.00</t>
  </si>
  <si>
    <t>612,230.00</t>
  </si>
  <si>
    <t>70,195.00</t>
  </si>
  <si>
    <t>755,700.00</t>
  </si>
  <si>
    <t>182,400.00</t>
  </si>
  <si>
    <t>186,000.00</t>
  </si>
  <si>
    <t>132,569.00</t>
  </si>
  <si>
    <t>79,911.00</t>
  </si>
  <si>
    <t>116,590.00</t>
  </si>
  <si>
    <t>278,950.00</t>
  </si>
  <si>
    <t>363,000.00</t>
  </si>
  <si>
    <t>961,400.00</t>
  </si>
  <si>
    <t>92,700.00</t>
  </si>
  <si>
    <t>51,700.00</t>
  </si>
  <si>
    <t>62,025.00</t>
  </si>
  <si>
    <t>852,581.63</t>
  </si>
  <si>
    <t>999,569.17</t>
  </si>
  <si>
    <t>213,666.65</t>
  </si>
  <si>
    <t>215,997.82</t>
  </si>
  <si>
    <t>190,805.00</t>
  </si>
  <si>
    <t>10,708,150.00</t>
  </si>
  <si>
    <t>956,392.00</t>
  </si>
  <si>
    <t>249,983.38</t>
  </si>
  <si>
    <t>540,000.00</t>
  </si>
  <si>
    <t>155,969.00</t>
  </si>
  <si>
    <t>946,375.00</t>
  </si>
  <si>
    <t>181,944.00</t>
  </si>
  <si>
    <t>310,328.00</t>
  </si>
  <si>
    <t>903,605.00</t>
  </si>
  <si>
    <t>794,440.00</t>
  </si>
  <si>
    <t>173,695.00</t>
  </si>
  <si>
    <t>650,343.00</t>
  </si>
  <si>
    <t>765,595.00</t>
  </si>
  <si>
    <t>145,180.00</t>
  </si>
  <si>
    <t>230,032.00</t>
  </si>
  <si>
    <t>649,585.00</t>
  </si>
  <si>
    <t>175,650.00</t>
  </si>
  <si>
    <t>2,998,957.38</t>
  </si>
  <si>
    <t>111,036.00</t>
  </si>
  <si>
    <t>6,933,600.00</t>
  </si>
  <si>
    <t>204,624.00</t>
  </si>
  <si>
    <t>935,000.00</t>
  </si>
  <si>
    <t>65,100.00</t>
  </si>
  <si>
    <t>723,000.00</t>
  </si>
  <si>
    <t>1,825,548.00</t>
  </si>
  <si>
    <t>95,062,512.94</t>
  </si>
  <si>
    <t>304,337.00</t>
  </si>
  <si>
    <t>336,762.00</t>
  </si>
  <si>
    <t>72,245.00</t>
  </si>
  <si>
    <t>300,426.00</t>
  </si>
  <si>
    <t>312,929.00</t>
  </si>
  <si>
    <t>140,500.00</t>
  </si>
  <si>
    <t>498,788.90</t>
  </si>
  <si>
    <t>133,220.00</t>
  </si>
  <si>
    <t>969,103.43</t>
  </si>
  <si>
    <t>85,200.00</t>
  </si>
  <si>
    <t>19,999,184.58</t>
  </si>
  <si>
    <t>810,857.00</t>
  </si>
  <si>
    <t>70,172.00</t>
  </si>
  <si>
    <t>109,238.00</t>
  </si>
  <si>
    <t>1,640,000.00</t>
  </si>
  <si>
    <t>257,344.00</t>
  </si>
  <si>
    <t>220,800.00</t>
  </si>
  <si>
    <t>127,960.00</t>
  </si>
  <si>
    <t>38,308.00</t>
  </si>
  <si>
    <t>186,005.00</t>
  </si>
  <si>
    <t>65,228.00</t>
  </si>
  <si>
    <t>50,180,000.00</t>
  </si>
  <si>
    <t>158,265.00</t>
  </si>
  <si>
    <t>822,055.00</t>
  </si>
  <si>
    <t>149,200.00</t>
  </si>
  <si>
    <t>198,000.00</t>
  </si>
  <si>
    <t>719,030.00</t>
  </si>
  <si>
    <t>600,667.00</t>
  </si>
  <si>
    <t>3,555,369.50</t>
  </si>
  <si>
    <t>5,569,572.70</t>
  </si>
  <si>
    <t>2,655,702.20</t>
  </si>
  <si>
    <t>97,620.00</t>
  </si>
  <si>
    <t>478,940.00</t>
  </si>
  <si>
    <t>161,537.50</t>
  </si>
  <si>
    <t>106,100.00</t>
  </si>
  <si>
    <t>3,583,292.70</t>
  </si>
  <si>
    <t>1,799,915.00</t>
  </si>
  <si>
    <t>230,900.00</t>
  </si>
  <si>
    <t>54,850.00</t>
  </si>
  <si>
    <t>341,760.00</t>
  </si>
  <si>
    <t>52,900.00</t>
  </si>
  <si>
    <t>70,480.00</t>
  </si>
  <si>
    <t>585,000.00</t>
  </si>
  <si>
    <t>74,679.00</t>
  </si>
  <si>
    <t>4,454,020.58</t>
  </si>
  <si>
    <t>2,397,801.48</t>
  </si>
  <si>
    <t>72,271.00</t>
  </si>
  <si>
    <t>17,311,362.21</t>
  </si>
  <si>
    <t>9,230,982.40</t>
  </si>
  <si>
    <t>1,945,945.13</t>
  </si>
  <si>
    <t>4,504,316.01</t>
  </si>
  <si>
    <t>1,046,656.26</t>
  </si>
  <si>
    <t>1,305,940.30</t>
  </si>
  <si>
    <t>57,890.00</t>
  </si>
  <si>
    <t>6,875,000.00</t>
  </si>
  <si>
    <t>234,160.00</t>
  </si>
  <si>
    <t>3,875,656.35</t>
  </si>
  <si>
    <t>1,715,786.00</t>
  </si>
  <si>
    <t>4,694,928.10</t>
  </si>
  <si>
    <t>1,399,181.23</t>
  </si>
  <si>
    <t>58,948.43</t>
  </si>
  <si>
    <t>490,800.00</t>
  </si>
  <si>
    <t>85,325.40</t>
  </si>
  <si>
    <t>180,602.33</t>
  </si>
  <si>
    <t>197,000.00</t>
  </si>
  <si>
    <t>35,608.79</t>
  </si>
  <si>
    <t>58,405.05</t>
  </si>
  <si>
    <t>1,352,541.85</t>
  </si>
  <si>
    <t>104,885.00</t>
  </si>
  <si>
    <t>1,799,800.00</t>
  </si>
  <si>
    <t>80,758.00</t>
  </si>
  <si>
    <t>157,848.80</t>
  </si>
  <si>
    <t>116,517.00</t>
  </si>
  <si>
    <t>87,172.88</t>
  </si>
  <si>
    <t>1,124,765.51</t>
  </si>
  <si>
    <t>154,840.00</t>
  </si>
  <si>
    <t>249,721.50</t>
  </si>
  <si>
    <t>1,072,705.61</t>
  </si>
  <si>
    <t>675,000.00</t>
  </si>
  <si>
    <t>56,045.00</t>
  </si>
  <si>
    <t>576,040.00</t>
  </si>
  <si>
    <t>258,535.80</t>
  </si>
  <si>
    <t>504,832.50</t>
  </si>
  <si>
    <t>51,775.00</t>
  </si>
  <si>
    <t>1,498,938.72</t>
  </si>
  <si>
    <t>87,860.00</t>
  </si>
  <si>
    <t>97,210.00</t>
  </si>
  <si>
    <t>184,996.00</t>
  </si>
  <si>
    <t>999,600.00</t>
  </si>
  <si>
    <t>174,100.00</t>
  </si>
  <si>
    <t>999,869.76</t>
  </si>
  <si>
    <t>98,610.00</t>
  </si>
  <si>
    <t>56,600.00</t>
  </si>
  <si>
    <t>2,871,852.97</t>
  </si>
  <si>
    <t>541,800.00</t>
  </si>
  <si>
    <t>113,375.00</t>
  </si>
  <si>
    <t>29,998.30</t>
  </si>
  <si>
    <t>160,284.00</t>
  </si>
  <si>
    <t>149,078.00</t>
  </si>
  <si>
    <t>55,200.00</t>
  </si>
  <si>
    <t>224,914.73</t>
  </si>
  <si>
    <t>293,080.00</t>
  </si>
  <si>
    <t>52,325.00</t>
  </si>
  <si>
    <t>418,350.00</t>
  </si>
  <si>
    <t>56,000.00</t>
  </si>
  <si>
    <t>177,093.00</t>
  </si>
  <si>
    <t>12,000,000.00</t>
  </si>
  <si>
    <t>60,335.00</t>
  </si>
  <si>
    <t>111,862.79</t>
  </si>
  <si>
    <t>428,575.00</t>
  </si>
  <si>
    <t>67,200.00</t>
  </si>
  <si>
    <t>422,120.00</t>
  </si>
  <si>
    <t>54,556.00</t>
  </si>
  <si>
    <t>257,649.00</t>
  </si>
  <si>
    <t>874,000.00</t>
  </si>
  <si>
    <t>147,321.50</t>
  </si>
  <si>
    <t>137,378.00</t>
  </si>
  <si>
    <t>421,953.00</t>
  </si>
  <si>
    <t>66,344.00</t>
  </si>
  <si>
    <t>27,442.54</t>
  </si>
  <si>
    <t>239,100.00</t>
  </si>
  <si>
    <t>1,063,346.82</t>
  </si>
  <si>
    <t>242,500.00</t>
  </si>
  <si>
    <t>2,400.00</t>
  </si>
  <si>
    <t>124,999.00</t>
  </si>
  <si>
    <t>306,850.00</t>
  </si>
  <si>
    <t>297,800.00</t>
  </si>
  <si>
    <t>52,700.00</t>
  </si>
  <si>
    <t>413,465.00</t>
  </si>
  <si>
    <t>390,500.00</t>
  </si>
  <si>
    <t>377,820.00</t>
  </si>
  <si>
    <t>157,795.00</t>
  </si>
  <si>
    <t>150,226.00</t>
  </si>
  <si>
    <t>169,098.00</t>
  </si>
  <si>
    <t>1,009,004.00</t>
  </si>
  <si>
    <t>59,515.00</t>
  </si>
  <si>
    <t>90,797.00</t>
  </si>
  <si>
    <t>101,104.00</t>
  </si>
  <si>
    <t>50,030.00</t>
  </si>
  <si>
    <t>81,020.00</t>
  </si>
  <si>
    <t>295,500.00</t>
  </si>
  <si>
    <t>68,593.00</t>
  </si>
  <si>
    <t>2,700,000.00</t>
  </si>
  <si>
    <t>174,111.05</t>
  </si>
  <si>
    <t>218,548.20</t>
  </si>
  <si>
    <t>166,500.00</t>
  </si>
  <si>
    <t>198,598.00</t>
  </si>
  <si>
    <t>989,097.50</t>
  </si>
  <si>
    <t>1,210.00</t>
  </si>
  <si>
    <t>3,016,192.49</t>
  </si>
  <si>
    <t>50,500.00</t>
  </si>
  <si>
    <t>2,692.78</t>
  </si>
  <si>
    <t>67,992.00</t>
  </si>
  <si>
    <t>1,199,788.03</t>
  </si>
  <si>
    <t>344,977.34</t>
  </si>
  <si>
    <t>354,665.00</t>
  </si>
  <si>
    <t>90,643.23</t>
  </si>
  <si>
    <t>213,520.73</t>
  </si>
  <si>
    <t>20,975.00</t>
  </si>
  <si>
    <t>133,450.00</t>
  </si>
  <si>
    <t>49,195.00</t>
  </si>
  <si>
    <t>65,630.00</t>
  </si>
  <si>
    <t>105,363.86</t>
  </si>
  <si>
    <t>299,983.41</t>
  </si>
  <si>
    <t>22,330.00</t>
  </si>
  <si>
    <t>19,832.00</t>
  </si>
  <si>
    <t>104,500.00</t>
  </si>
  <si>
    <t>8,900.00</t>
  </si>
  <si>
    <t>318,856.00</t>
  </si>
  <si>
    <t>799,994.14</t>
  </si>
  <si>
    <t>845,252.00</t>
  </si>
  <si>
    <t>4,312,000.00</t>
  </si>
  <si>
    <t>26,970.00</t>
  </si>
  <si>
    <t>1,031,136.00</t>
  </si>
  <si>
    <t>269,950.00</t>
  </si>
  <si>
    <t>103,200.00</t>
  </si>
  <si>
    <t>572,208.00</t>
  </si>
  <si>
    <t>451,656.50</t>
  </si>
  <si>
    <t>2,503,000.00</t>
  </si>
  <si>
    <t>27,940.00</t>
  </si>
  <si>
    <t>999,948.00</t>
  </si>
  <si>
    <t>5,054,000.00</t>
  </si>
  <si>
    <t>103,320.00</t>
  </si>
  <si>
    <t>2,174,000.00</t>
  </si>
  <si>
    <t>235,690.00</t>
  </si>
  <si>
    <t>108,500.00</t>
  </si>
  <si>
    <t>107,000.00</t>
  </si>
  <si>
    <t>70,850.00</t>
  </si>
  <si>
    <t>68,008.40</t>
  </si>
  <si>
    <t>80,006.65</t>
  </si>
  <si>
    <t>999,840.00</t>
  </si>
  <si>
    <t>486,500.00</t>
  </si>
  <si>
    <t>6,970,000.00</t>
  </si>
  <si>
    <t>993,780.00</t>
  </si>
  <si>
    <t>279,554.00</t>
  </si>
  <si>
    <t>47,400.00</t>
  </si>
  <si>
    <t>7,429,000.00</t>
  </si>
  <si>
    <t>98,980.00</t>
  </si>
  <si>
    <t>3,753,000.00</t>
  </si>
  <si>
    <t>729,826.98</t>
  </si>
  <si>
    <t>299,000.00</t>
  </si>
  <si>
    <t>980,750.00</t>
  </si>
  <si>
    <t>466,600.00</t>
  </si>
  <si>
    <t>12,100.00</t>
  </si>
  <si>
    <t>5,012,000.00</t>
  </si>
  <si>
    <t>1,830,000.00</t>
  </si>
  <si>
    <t>149,918.80</t>
  </si>
  <si>
    <t>426,000.00</t>
  </si>
  <si>
    <t>296,100.00</t>
  </si>
  <si>
    <t>85,154.50</t>
  </si>
  <si>
    <t>6,989,380.00</t>
  </si>
  <si>
    <t>63,700.00</t>
  </si>
  <si>
    <t>32,900.00</t>
  </si>
  <si>
    <t>70,416.55</t>
  </si>
  <si>
    <t>6,217,860.00</t>
  </si>
  <si>
    <t>57,998.00</t>
  </si>
  <si>
    <t>296,000.00</t>
  </si>
  <si>
    <t>18,930.00</t>
  </si>
  <si>
    <t>116,753.50</t>
  </si>
  <si>
    <t>81,700.00</t>
  </si>
  <si>
    <t>1,430,000.00</t>
  </si>
  <si>
    <t>12,300.00</t>
  </si>
  <si>
    <t>152,425.00</t>
  </si>
  <si>
    <t>446,500.00</t>
  </si>
  <si>
    <t>183,000.00</t>
  </si>
  <si>
    <t>34,198,704.00</t>
  </si>
  <si>
    <t>37,960.00</t>
  </si>
  <si>
    <t>3,955,030.05</t>
  </si>
  <si>
    <t>2,434,000.00</t>
  </si>
  <si>
    <t>118,800.00</t>
  </si>
  <si>
    <t>33,000.00</t>
  </si>
  <si>
    <t>340,510.00</t>
  </si>
  <si>
    <t>23,591,614.49</t>
  </si>
  <si>
    <t>90,743.04</t>
  </si>
  <si>
    <t>189,341.80</t>
  </si>
  <si>
    <t>298,043.00</t>
  </si>
  <si>
    <t>2,232,000.00</t>
  </si>
  <si>
    <t>148,110.00</t>
  </si>
  <si>
    <t>195,925.00</t>
  </si>
  <si>
    <t>429,619.00</t>
  </si>
  <si>
    <t>217,397.00</t>
  </si>
  <si>
    <t>4,110,150.00</t>
  </si>
  <si>
    <t>18,774,000.00</t>
  </si>
  <si>
    <t>2,353.00</t>
  </si>
  <si>
    <t>444,966.00</t>
  </si>
  <si>
    <t>4,367,304.32</t>
  </si>
  <si>
    <t>264,300.00</t>
  </si>
  <si>
    <t>56,040.00</t>
  </si>
  <si>
    <t>595,000.00</t>
  </si>
  <si>
    <t>10,350.00</t>
  </si>
  <si>
    <t>885,160.00</t>
  </si>
  <si>
    <t>348,000.00</t>
  </si>
  <si>
    <t>82,810.00</t>
  </si>
  <si>
    <t>252,600.00</t>
  </si>
  <si>
    <t>663,015.06</t>
  </si>
  <si>
    <t>8,732,630.77</t>
  </si>
  <si>
    <t>115,832.50</t>
  </si>
  <si>
    <t>645,757.20</t>
  </si>
  <si>
    <t>999,879.00</t>
  </si>
  <si>
    <t>304,011.00</t>
  </si>
  <si>
    <t>60,488.00</t>
  </si>
  <si>
    <t>64,984.00</t>
  </si>
  <si>
    <t>179,500.00</t>
  </si>
  <si>
    <t>263,306.50</t>
  </si>
  <si>
    <t>10,900,000.00</t>
  </si>
  <si>
    <t>9,855,694.72</t>
  </si>
  <si>
    <t>889,000.00</t>
  </si>
  <si>
    <t>7,196,800.00</t>
  </si>
  <si>
    <t>51,510.00</t>
  </si>
  <si>
    <t>233,526.00</t>
  </si>
  <si>
    <t>1,536,380.00</t>
  </si>
  <si>
    <t>596,560.00</t>
  </si>
  <si>
    <t>297,895.00</t>
  </si>
  <si>
    <t>21,999,999.98</t>
  </si>
  <si>
    <t>54,100.00</t>
  </si>
  <si>
    <t>238,108.50</t>
  </si>
  <si>
    <t>60,820.00</t>
  </si>
  <si>
    <t>442,770.00</t>
  </si>
  <si>
    <t>67,576.00</t>
  </si>
  <si>
    <t>989,510.00</t>
  </si>
  <si>
    <t>53,200.00</t>
  </si>
  <si>
    <t>26,431.00</t>
  </si>
  <si>
    <t>181,000.00</t>
  </si>
  <si>
    <t>52,750.00</t>
  </si>
  <si>
    <t>441,686.12</t>
  </si>
  <si>
    <t>663,084.00</t>
  </si>
  <si>
    <t>322,960.00</t>
  </si>
  <si>
    <t>360,720.00</t>
  </si>
  <si>
    <t>1,038,041.00</t>
  </si>
  <si>
    <t>1,599,076.80</t>
  </si>
  <si>
    <t>148,304.12</t>
  </si>
  <si>
    <t>54,175.00</t>
  </si>
  <si>
    <t>209,825.88</t>
  </si>
  <si>
    <t>2,928,139.00</t>
  </si>
  <si>
    <t>58,520.00</t>
  </si>
  <si>
    <t>2,450,000.00</t>
  </si>
  <si>
    <t>50,540.00</t>
  </si>
  <si>
    <t>485,667.32</t>
  </si>
  <si>
    <t>224,985.00</t>
  </si>
  <si>
    <t>21,010.00</t>
  </si>
  <si>
    <t>156,310.00</t>
  </si>
  <si>
    <t>161,856.00</t>
  </si>
  <si>
    <t>42,974,005.00</t>
  </si>
  <si>
    <t>22,915.00</t>
  </si>
  <si>
    <t>132,810.00</t>
  </si>
  <si>
    <t>248,400.00</t>
  </si>
  <si>
    <t>449,000.00</t>
  </si>
  <si>
    <t>969,050.00</t>
  </si>
  <si>
    <t>84,480.00</t>
  </si>
  <si>
    <t>602,000.00</t>
  </si>
  <si>
    <t>352,319.50</t>
  </si>
  <si>
    <t>378,400.00</t>
  </si>
  <si>
    <t>337,000.00</t>
  </si>
  <si>
    <t>168,332.64</t>
  </si>
  <si>
    <t>695,069.44</t>
  </si>
  <si>
    <t>756,680.00</t>
  </si>
  <si>
    <t>78,750.00</t>
  </si>
  <si>
    <t>69,999.90</t>
  </si>
  <si>
    <t>999,990.00</t>
  </si>
  <si>
    <t>199,001.00</t>
  </si>
  <si>
    <t>374,255.00</t>
  </si>
  <si>
    <t>33,998.00</t>
  </si>
  <si>
    <t>28,900.00</t>
  </si>
  <si>
    <t>1,456,319.22</t>
  </si>
  <si>
    <t>173,925.00</t>
  </si>
  <si>
    <t>17,400.00</t>
  </si>
  <si>
    <t>128,189.00</t>
  </si>
  <si>
    <t>416,880.00</t>
  </si>
  <si>
    <t>435,375.00</t>
  </si>
  <si>
    <t>257,639.27</t>
  </si>
  <si>
    <t>73,246.00</t>
  </si>
  <si>
    <t>124,150.00</t>
  </si>
  <si>
    <t>133,139.50</t>
  </si>
  <si>
    <t>228,749.00</t>
  </si>
  <si>
    <t>188,600.00</t>
  </si>
  <si>
    <t>136,460.00</t>
  </si>
  <si>
    <t>101,230.50</t>
  </si>
  <si>
    <t>402,450.00</t>
  </si>
  <si>
    <t>8,895,000.00</t>
  </si>
  <si>
    <t>228,800.00</t>
  </si>
  <si>
    <t>512,300.00</t>
  </si>
  <si>
    <t>499,863.09</t>
  </si>
  <si>
    <t>103,672.00</t>
  </si>
  <si>
    <t>153,745.00</t>
  </si>
  <si>
    <t>191,546.00</t>
  </si>
  <si>
    <t>5,010.00</t>
  </si>
  <si>
    <t>391,216.75</t>
  </si>
  <si>
    <t>33,185.00</t>
  </si>
  <si>
    <t>6,030.00</t>
  </si>
  <si>
    <t>126,100.00</t>
  </si>
  <si>
    <t>1,635,000.00</t>
  </si>
  <si>
    <t>214,380.00</t>
  </si>
  <si>
    <t>124,416.00</t>
  </si>
  <si>
    <t>183,657.05</t>
  </si>
  <si>
    <t>103,545.00</t>
  </si>
  <si>
    <t>398,366.50</t>
  </si>
  <si>
    <t>274,850.00</t>
  </si>
  <si>
    <t>335,964.00</t>
  </si>
  <si>
    <t>76,851.00</t>
  </si>
  <si>
    <t>438,810.00</t>
  </si>
  <si>
    <t>135,170.00</t>
  </si>
  <si>
    <t>85,556.90</t>
  </si>
  <si>
    <t>201,375.00</t>
  </si>
  <si>
    <t>84,900.00</t>
  </si>
  <si>
    <t>394,027.50</t>
  </si>
  <si>
    <t>119,192.50</t>
  </si>
  <si>
    <t>170,761.00</t>
  </si>
  <si>
    <t>114,500.00</t>
  </si>
  <si>
    <t>998,151.50</t>
  </si>
  <si>
    <t>128,990.00</t>
  </si>
  <si>
    <t>149,983.15</t>
  </si>
  <si>
    <t>11,680.00</t>
  </si>
  <si>
    <t>68,608.33</t>
  </si>
  <si>
    <t>51,300.00</t>
  </si>
  <si>
    <t>830,000.00</t>
  </si>
  <si>
    <t>101,150.00</t>
  </si>
  <si>
    <t>130,680.00</t>
  </si>
  <si>
    <t>301,692.25</t>
  </si>
  <si>
    <t>125,014.00</t>
  </si>
  <si>
    <t>112,499.98</t>
  </si>
  <si>
    <t>116,952.52</t>
  </si>
  <si>
    <t>1,324,700.00</t>
  </si>
  <si>
    <t>98,611.91</t>
  </si>
  <si>
    <t>506,190.00</t>
  </si>
  <si>
    <t>1,314,381.00</t>
  </si>
  <si>
    <t>136,580.00</t>
  </si>
  <si>
    <t>342,385.60</t>
  </si>
  <si>
    <t>83,900.00</t>
  </si>
  <si>
    <t>211,819.00</t>
  </si>
  <si>
    <t>7,329,847.55</t>
  </si>
  <si>
    <t>2,970,000.00</t>
  </si>
  <si>
    <t>5,450,000.00</t>
  </si>
  <si>
    <t>1,245,313.20</t>
  </si>
  <si>
    <t>385,200.00</t>
  </si>
  <si>
    <t>5,520,000.00</t>
  </si>
  <si>
    <t>500.00</t>
  </si>
  <si>
    <t>719,887.80</t>
  </si>
  <si>
    <t>1,155,000.00</t>
  </si>
  <si>
    <t>194,460.00</t>
  </si>
  <si>
    <t>638,752.00</t>
  </si>
  <si>
    <t>249,400.00</t>
  </si>
  <si>
    <t>29,167.02</t>
  </si>
  <si>
    <t>514,912.40</t>
  </si>
  <si>
    <t>417,914.00</t>
  </si>
  <si>
    <t>1,366,900.00</t>
  </si>
  <si>
    <t>1,087,541.25</t>
  </si>
  <si>
    <t>108,700.00</t>
  </si>
  <si>
    <t>691,500.00</t>
  </si>
  <si>
    <t>1,203,059.00</t>
  </si>
  <si>
    <t>832,000.00</t>
  </si>
  <si>
    <t>12,870,000.00</t>
  </si>
  <si>
    <t>419,802.46</t>
  </si>
  <si>
    <t>54,235.00</t>
  </si>
  <si>
    <t>116,600.00</t>
  </si>
  <si>
    <t>106,000.00</t>
  </si>
  <si>
    <t>2,699,932.60</t>
  </si>
  <si>
    <t>338,196.00</t>
  </si>
  <si>
    <t>75,816.00</t>
  </si>
  <si>
    <t>129,759.23</t>
  </si>
  <si>
    <t>1,799,912.36</t>
  </si>
  <si>
    <t>68,600.00</t>
  </si>
  <si>
    <t>499,996.00</t>
  </si>
  <si>
    <t>999,074.21</t>
  </si>
  <si>
    <t>33,976,343.26</t>
  </si>
  <si>
    <t>5,040.00</t>
  </si>
  <si>
    <t>104,990.00</t>
  </si>
  <si>
    <t>48,199.98</t>
  </si>
  <si>
    <t>118,902.00</t>
  </si>
  <si>
    <t>210,583.33</t>
  </si>
  <si>
    <t>11,880,000.00</t>
  </si>
  <si>
    <t>999,724.31</t>
  </si>
  <si>
    <t>156,733.00</t>
  </si>
  <si>
    <t>184,280.00</t>
  </si>
  <si>
    <t>42,670.00</t>
  </si>
  <si>
    <t>128,116.00</t>
  </si>
  <si>
    <t>998,190.00</t>
  </si>
  <si>
    <t>1,066,510.00</t>
  </si>
  <si>
    <t>1,379,569.90</t>
  </si>
  <si>
    <t>14,925,000.00</t>
  </si>
  <si>
    <t>34,743.00</t>
  </si>
  <si>
    <t>144,963.66</t>
  </si>
  <si>
    <t>51,352.00</t>
  </si>
  <si>
    <t>247,170.00</t>
  </si>
  <si>
    <t>227,690.00</t>
  </si>
  <si>
    <t>57,510.00</t>
  </si>
  <si>
    <t>23,100.00</t>
  </si>
  <si>
    <t>870,000.00</t>
  </si>
  <si>
    <t>24,500.00</t>
  </si>
  <si>
    <t>483,900.00</t>
  </si>
  <si>
    <t>709,495.00</t>
  </si>
  <si>
    <t>438,500.00</t>
  </si>
  <si>
    <t>437,250.00</t>
  </si>
  <si>
    <t>505,000.00</t>
  </si>
  <si>
    <t>767,000.00</t>
  </si>
  <si>
    <t>194,600.00</t>
  </si>
  <si>
    <t>1,774,350.00</t>
  </si>
  <si>
    <t>35,500.00</t>
  </si>
  <si>
    <t>102,941.62</t>
  </si>
  <si>
    <t>199,534.95</t>
  </si>
  <si>
    <t>502,680.00</t>
  </si>
  <si>
    <t>203,548.16</t>
  </si>
  <si>
    <t>273,749.68</t>
  </si>
  <si>
    <t>362,595.00</t>
  </si>
  <si>
    <t>198,150.02</t>
  </si>
  <si>
    <t>395,240.00</t>
  </si>
  <si>
    <t>33,560.00</t>
  </si>
  <si>
    <t>12,775.00</t>
  </si>
  <si>
    <t>109,730.00</t>
  </si>
  <si>
    <t>40,732.00</t>
  </si>
  <si>
    <t>392,460.00</t>
  </si>
  <si>
    <t>428,500.00</t>
  </si>
  <si>
    <t>671,500.00</t>
  </si>
  <si>
    <t>27,000.00</t>
  </si>
  <si>
    <t>5,810.00</t>
  </si>
  <si>
    <t>299,474.44</t>
  </si>
  <si>
    <t>69,255.00</t>
  </si>
  <si>
    <t>99,540.00</t>
  </si>
  <si>
    <t>99,536.00</t>
  </si>
  <si>
    <t>93,790.00</t>
  </si>
  <si>
    <t>87,726.00</t>
  </si>
  <si>
    <t>26,086.00</t>
  </si>
  <si>
    <t>890,500.00</t>
  </si>
  <si>
    <t>408,000.00</t>
  </si>
  <si>
    <t>98,423.00</t>
  </si>
  <si>
    <t>472,550.00</t>
  </si>
  <si>
    <t>99,091.00</t>
  </si>
  <si>
    <t>214,400.00</t>
  </si>
  <si>
    <t>397,640.00</t>
  </si>
  <si>
    <t>149,885.00</t>
  </si>
  <si>
    <t>242,147.47</t>
  </si>
  <si>
    <t>299,165.60</t>
  </si>
  <si>
    <t>116,652.00</t>
  </si>
  <si>
    <t>134,919.00</t>
  </si>
  <si>
    <t>85,155.00</t>
  </si>
  <si>
    <t>3,209,463.00</t>
  </si>
  <si>
    <t>120,960.00</t>
  </si>
  <si>
    <t>73,560.00</t>
  </si>
  <si>
    <t>246,903.68</t>
  </si>
  <si>
    <t>385,379.49</t>
  </si>
  <si>
    <t>499,818.63</t>
  </si>
  <si>
    <t>1,724,200.00</t>
  </si>
  <si>
    <t>997,951.78</t>
  </si>
  <si>
    <t>8,590,000.00</t>
  </si>
  <si>
    <t>5,321,250.00</t>
  </si>
  <si>
    <t>79,606.06</t>
  </si>
  <si>
    <t>50,422.33</t>
  </si>
  <si>
    <t>391,316.31</t>
  </si>
  <si>
    <t>555,600.00</t>
  </si>
  <si>
    <t>160,699.00</t>
  </si>
  <si>
    <t>537,807.45</t>
  </si>
  <si>
    <t>352,062.00</t>
  </si>
  <si>
    <t>673,667.00</t>
  </si>
  <si>
    <t>237,500.00</t>
  </si>
  <si>
    <t>7,240,000.00</t>
  </si>
  <si>
    <t>1,644,500.00</t>
  </si>
  <si>
    <t>29,950,000.00</t>
  </si>
  <si>
    <t>1,237,900.00</t>
  </si>
  <si>
    <t>1,501,500.00</t>
  </si>
  <si>
    <t>30,200.00</t>
  </si>
  <si>
    <t>98,160.00</t>
  </si>
  <si>
    <t>390,000.00</t>
  </si>
  <si>
    <t>664,421.61</t>
  </si>
  <si>
    <t>19,805,887.04</t>
  </si>
  <si>
    <t>581,100.00</t>
  </si>
  <si>
    <t>820,000.00</t>
  </si>
  <si>
    <t>128,272.00</t>
  </si>
  <si>
    <t>54,878,828.50</t>
  </si>
  <si>
    <t>233,976.51</t>
  </si>
  <si>
    <t>714,000.00</t>
  </si>
  <si>
    <t>142,850.00</t>
  </si>
  <si>
    <t>36,507.00</t>
  </si>
  <si>
    <t>2,930,000.00</t>
  </si>
  <si>
    <t>215,530.05</t>
  </si>
  <si>
    <t>460,392.00</t>
  </si>
  <si>
    <t>24,140,550.00</t>
  </si>
  <si>
    <t>34,621,913.75</t>
  </si>
  <si>
    <t>1,035,488.58</t>
  </si>
  <si>
    <t>295,349.00</t>
  </si>
  <si>
    <t>7,302,910.64</t>
  </si>
  <si>
    <t>19,988,401.71</t>
  </si>
  <si>
    <t>1,448,394.30</t>
  </si>
  <si>
    <t>147,112.28</t>
  </si>
  <si>
    <t>63,818.00</t>
  </si>
  <si>
    <t>992,633.00</t>
  </si>
  <si>
    <t>4,671,000.00</t>
  </si>
  <si>
    <t>1,064,759.78</t>
  </si>
  <si>
    <t>4,001,000.00</t>
  </si>
  <si>
    <t>194,754.17</t>
  </si>
  <si>
    <t>767,007.00</t>
  </si>
  <si>
    <t>5,712,775.00</t>
  </si>
  <si>
    <t>847,200.00</t>
  </si>
  <si>
    <t>5,377,234.60</t>
  </si>
  <si>
    <t>299,975.10</t>
  </si>
  <si>
    <t>18,327.25</t>
  </si>
  <si>
    <t>3,984,370.33</t>
  </si>
  <si>
    <t>204,240.00</t>
  </si>
  <si>
    <t>1,590,500.00</t>
  </si>
  <si>
    <t>474,886.80</t>
  </si>
  <si>
    <t>4,953,855.27</t>
  </si>
  <si>
    <t>506,333.78</t>
  </si>
  <si>
    <t>3,999,861.98</t>
  </si>
  <si>
    <t>199,546.60</t>
  </si>
  <si>
    <t>282,400.00</t>
  </si>
  <si>
    <t>11,989,967.56</t>
  </si>
  <si>
    <t>198,468.60</t>
  </si>
  <si>
    <t>77,705.00</t>
  </si>
  <si>
    <t>187,000.00</t>
  </si>
  <si>
    <t>77,798.00</t>
  </si>
  <si>
    <t>253,685.00</t>
  </si>
  <si>
    <t>146,363.00</t>
  </si>
  <si>
    <t>590,077.71</t>
  </si>
  <si>
    <t>76,525.00</t>
  </si>
  <si>
    <t>102,643.00</t>
  </si>
  <si>
    <t>58,400.00</t>
  </si>
  <si>
    <t>2,319,910.98</t>
  </si>
  <si>
    <t>29,683.20</t>
  </si>
  <si>
    <t>167,612.00</t>
  </si>
  <si>
    <t>139,961.00</t>
  </si>
  <si>
    <t>74,468.00</t>
  </si>
  <si>
    <t>74,080.40</t>
  </si>
  <si>
    <t>435,358.55</t>
  </si>
  <si>
    <t>93,224.00</t>
  </si>
  <si>
    <t>44,100,000.00</t>
  </si>
  <si>
    <t>299,772.00</t>
  </si>
  <si>
    <t>107,985.00</t>
  </si>
  <si>
    <t>997,020.00</t>
  </si>
  <si>
    <t>186,097.55</t>
  </si>
  <si>
    <t>2,678,738.00</t>
  </si>
  <si>
    <t>66,230.00</t>
  </si>
  <si>
    <t>57,130.00</t>
  </si>
  <si>
    <t>53,183.00</t>
  </si>
  <si>
    <t>146,885.38</t>
  </si>
  <si>
    <t>15,328,454.26</t>
  </si>
  <si>
    <t>234,956.80</t>
  </si>
  <si>
    <t>391,133.35</t>
  </si>
  <si>
    <t>139,040.00</t>
  </si>
  <si>
    <t>4,943,000.00</t>
  </si>
  <si>
    <t>974,400.00</t>
  </si>
  <si>
    <t>989,750.00</t>
  </si>
  <si>
    <t>39,796.60</t>
  </si>
  <si>
    <t>137,100.00</t>
  </si>
  <si>
    <t>5,500.00</t>
  </si>
  <si>
    <t>9,800,000.00</t>
  </si>
  <si>
    <t>217,000.00</t>
  </si>
  <si>
    <t>335,000.00</t>
  </si>
  <si>
    <t>313,618.82</t>
  </si>
  <si>
    <t>84,300.00</t>
  </si>
  <si>
    <t>156,464.00</t>
  </si>
  <si>
    <t>257,670.38</t>
  </si>
  <si>
    <t>3,843,969.00</t>
  </si>
  <si>
    <t>89,304.67</t>
  </si>
  <si>
    <t>52,601.40</t>
  </si>
  <si>
    <t>194,586.00</t>
  </si>
  <si>
    <t>706,500.00</t>
  </si>
  <si>
    <t>1,932,391.01</t>
  </si>
  <si>
    <t>1,658,553.00</t>
  </si>
  <si>
    <t>12,351,000.00</t>
  </si>
  <si>
    <t>905,000.00</t>
  </si>
  <si>
    <t>87,700.00</t>
  </si>
  <si>
    <t>633,288.00</t>
  </si>
  <si>
    <t>97,700.00</t>
  </si>
  <si>
    <t>375,054.00</t>
  </si>
  <si>
    <t>8,736,333.12</t>
  </si>
  <si>
    <t>545,436.00</t>
  </si>
  <si>
    <t>127,480.00</t>
  </si>
  <si>
    <t>2,887,818.58</t>
  </si>
  <si>
    <t>684,030.00</t>
  </si>
  <si>
    <t>211,216.00</t>
  </si>
  <si>
    <t>2,682,231.00</t>
  </si>
  <si>
    <t>239,250.00</t>
  </si>
  <si>
    <t>2,910,000.00</t>
  </si>
  <si>
    <t>1,208,232.00</t>
  </si>
  <si>
    <t>79,200.00</t>
  </si>
  <si>
    <t>186,697.00</t>
  </si>
  <si>
    <t>1,380,000.00</t>
  </si>
  <si>
    <t>811,839.60</t>
  </si>
  <si>
    <t>709,932.23</t>
  </si>
  <si>
    <t>1,420,727.73</t>
  </si>
  <si>
    <t>56,140.00</t>
  </si>
  <si>
    <t>278,000.00</t>
  </si>
  <si>
    <t>6,288,708.14</t>
  </si>
  <si>
    <t>326,647.50</t>
  </si>
  <si>
    <t>395,000.00</t>
  </si>
  <si>
    <t>49,882.50</t>
  </si>
  <si>
    <t>465,750.00</t>
  </si>
  <si>
    <t>215,160.00</t>
  </si>
  <si>
    <t>929,232.00</t>
  </si>
  <si>
    <t>244,700.00</t>
  </si>
  <si>
    <t>3,465,000.00</t>
  </si>
  <si>
    <t>88,900.00</t>
  </si>
  <si>
    <t>163,393.00</t>
  </si>
  <si>
    <t>1,348,886.50</t>
  </si>
  <si>
    <t>986,755.00</t>
  </si>
  <si>
    <t>112,160.00</t>
  </si>
  <si>
    <t>311,282.79</t>
  </si>
  <si>
    <t>184,750.00</t>
  </si>
  <si>
    <t>71,191.50</t>
  </si>
  <si>
    <t>2,000,310.00</t>
  </si>
  <si>
    <t>862,000.00</t>
  </si>
  <si>
    <t>65,570.00</t>
  </si>
  <si>
    <t>82,970.00</t>
  </si>
  <si>
    <t>119,996.50</t>
  </si>
  <si>
    <t>75,600.00</t>
  </si>
  <si>
    <t>704,367.00</t>
  </si>
  <si>
    <t>53,368.00</t>
  </si>
  <si>
    <t>41,000.00</t>
  </si>
  <si>
    <t>38,334.00</t>
  </si>
  <si>
    <t>713,400.00</t>
  </si>
  <si>
    <t>6,161,899.22</t>
  </si>
  <si>
    <t>19,999,924.00</t>
  </si>
  <si>
    <t>42,600.00</t>
  </si>
  <si>
    <t>161,485.00</t>
  </si>
  <si>
    <t>346,025.00</t>
  </si>
  <si>
    <t>943,000.00</t>
  </si>
  <si>
    <t>220,500.00</t>
  </si>
  <si>
    <t>137,750.00</t>
  </si>
  <si>
    <t>4,725,000.00</t>
  </si>
  <si>
    <t>245,050.00</t>
  </si>
  <si>
    <t>1,455,000.00</t>
  </si>
  <si>
    <t>36,500.00</t>
  </si>
  <si>
    <t>9,500,400.00</t>
  </si>
  <si>
    <t>81,105.00</t>
  </si>
  <si>
    <t>160,600.00</t>
  </si>
  <si>
    <t>372,914.47</t>
  </si>
  <si>
    <t>999,329.10</t>
  </si>
  <si>
    <t>152,994.48</t>
  </si>
  <si>
    <t>142,500.00</t>
  </si>
  <si>
    <t>457,642.35</t>
  </si>
  <si>
    <t>416,984.10</t>
  </si>
  <si>
    <t>267,562.00</t>
  </si>
  <si>
    <t>622,875.00</t>
  </si>
  <si>
    <t>153,780.00</t>
  </si>
  <si>
    <t>410,830.00</t>
  </si>
  <si>
    <t>154,380.00</t>
  </si>
  <si>
    <t>111,876.00</t>
  </si>
  <si>
    <t>5,595.00</t>
  </si>
  <si>
    <t>61,954.16</t>
  </si>
  <si>
    <t>464,442.70</t>
  </si>
  <si>
    <t>481,600.00</t>
  </si>
  <si>
    <t>1,220,600.00</t>
  </si>
  <si>
    <t>1,794,000.00</t>
  </si>
  <si>
    <t>151,631.00</t>
  </si>
  <si>
    <t>1,450,000.00</t>
  </si>
  <si>
    <t>255,000.00</t>
  </si>
  <si>
    <t>9,000,000.00</t>
  </si>
  <si>
    <t>3,129,269.00</t>
  </si>
  <si>
    <t>621,120.00</t>
  </si>
  <si>
    <t>1,998,027.95</t>
  </si>
  <si>
    <t>569,200.00</t>
  </si>
  <si>
    <t>56,160.00</t>
  </si>
  <si>
    <t>38,924,634.28</t>
  </si>
  <si>
    <t>206,482.88</t>
  </si>
  <si>
    <t>498,000.00</t>
  </si>
  <si>
    <t>88,161.85</t>
  </si>
  <si>
    <t>719,006.40</t>
  </si>
  <si>
    <t>25,875.00</t>
  </si>
  <si>
    <t>104,000.00</t>
  </si>
  <si>
    <t>243,110.00</t>
  </si>
  <si>
    <t>87,100.00</t>
  </si>
  <si>
    <t>99,425.00</t>
  </si>
  <si>
    <t>149,920.00</t>
  </si>
  <si>
    <t>75,023.00</t>
  </si>
  <si>
    <t>301,600.00</t>
  </si>
  <si>
    <t>71,449.00</t>
  </si>
  <si>
    <t>199,304.00</t>
  </si>
  <si>
    <t>84,240.00</t>
  </si>
  <si>
    <t>199,913.70</t>
  </si>
  <si>
    <t>1,335,747.00</t>
  </si>
  <si>
    <t>231,800.00</t>
  </si>
  <si>
    <t>57,168,899.44</t>
  </si>
  <si>
    <t>70,100.00</t>
  </si>
  <si>
    <t>93,870.00</t>
  </si>
  <si>
    <t>2,989,800.00</t>
  </si>
  <si>
    <t>54,864.30</t>
  </si>
  <si>
    <t>828,000.00</t>
  </si>
  <si>
    <t>2,422,000.00</t>
  </si>
  <si>
    <t>3,560.00</t>
  </si>
  <si>
    <t>76,490.00</t>
  </si>
  <si>
    <t>396,929.79</t>
  </si>
  <si>
    <t>94,020.00</t>
  </si>
  <si>
    <t>699,800.00</t>
  </si>
  <si>
    <t>986,000.00</t>
  </si>
  <si>
    <t>14,369.00</t>
  </si>
  <si>
    <t>984,960.00</t>
  </si>
  <si>
    <t>19,755.00</t>
  </si>
  <si>
    <t>994,500.00</t>
  </si>
  <si>
    <t>1,141,376.24</t>
  </si>
  <si>
    <t>41,250.00</t>
  </si>
  <si>
    <t>184,680.00</t>
  </si>
  <si>
    <t>297,577.77</t>
  </si>
  <si>
    <t>167,860.00</t>
  </si>
  <si>
    <t>69,998.00</t>
  </si>
  <si>
    <t>73,920.00</t>
  </si>
  <si>
    <t>456,480.00</t>
  </si>
  <si>
    <t>15,610.01</t>
  </si>
  <si>
    <t>126,337.50</t>
  </si>
  <si>
    <t>431,680.00</t>
  </si>
  <si>
    <t>4,992,149.00</t>
  </si>
  <si>
    <t>299,462.58</t>
  </si>
  <si>
    <t>434,278.85</t>
  </si>
  <si>
    <t>379,900.00</t>
  </si>
  <si>
    <t>216,480.00</t>
  </si>
  <si>
    <t>130,350.00</t>
  </si>
  <si>
    <t>668,062.50</t>
  </si>
  <si>
    <t>200,000,000.00</t>
  </si>
  <si>
    <t>199,724.10</t>
  </si>
  <si>
    <t>105,500.00</t>
  </si>
  <si>
    <t>59,404.75</t>
  </si>
  <si>
    <t>48,905.00</t>
  </si>
  <si>
    <t>1,057,100.00</t>
  </si>
  <si>
    <t>191,620.00</t>
  </si>
  <si>
    <t>6,897,000.00</t>
  </si>
  <si>
    <t>1,084,940.00</t>
  </si>
  <si>
    <t>852,700.00</t>
  </si>
  <si>
    <t>2,835,611.02</t>
  </si>
  <si>
    <t>25,200.00</t>
  </si>
  <si>
    <t>46,080.00</t>
  </si>
  <si>
    <t>50,915.00</t>
  </si>
  <si>
    <t>298,920.00</t>
  </si>
  <si>
    <t>453,315.00</t>
  </si>
  <si>
    <t>49,837.00</t>
  </si>
  <si>
    <t>100,355.00</t>
  </si>
  <si>
    <t>85,913.00</t>
  </si>
  <si>
    <t>169,115.00</t>
  </si>
  <si>
    <t>260,220.38</t>
  </si>
  <si>
    <t>360,500.00</t>
  </si>
  <si>
    <t>178,800.00</t>
  </si>
  <si>
    <t>499,200.00</t>
  </si>
  <si>
    <t>176,000.00</t>
  </si>
  <si>
    <t>375,151.00</t>
  </si>
  <si>
    <t>11,407,000.00</t>
  </si>
  <si>
    <t>102,835.00</t>
  </si>
  <si>
    <t>133,383.17</t>
  </si>
  <si>
    <t>959,039.00</t>
  </si>
  <si>
    <t>109,860.00</t>
  </si>
  <si>
    <t>327,490.00</t>
  </si>
  <si>
    <t>185,704.47</t>
  </si>
  <si>
    <t>105,124.40</t>
  </si>
  <si>
    <t>608,000.00</t>
  </si>
  <si>
    <t>5,207,000.00</t>
  </si>
  <si>
    <t>65,790.00</t>
  </si>
  <si>
    <t>1,274,000.00</t>
  </si>
  <si>
    <t>22,500.00</t>
  </si>
  <si>
    <t>126,037.50</t>
  </si>
  <si>
    <t>1,668,144.00</t>
  </si>
  <si>
    <t>91,865.00</t>
  </si>
  <si>
    <t>137,071.00</t>
  </si>
  <si>
    <t>225,100.00</t>
  </si>
  <si>
    <t>29,000.00</t>
  </si>
  <si>
    <t>139,950.00</t>
  </si>
  <si>
    <t>1,361,160.00</t>
  </si>
  <si>
    <t>51,800.00</t>
  </si>
  <si>
    <t>150,500.00</t>
  </si>
  <si>
    <t>561,170.00</t>
  </si>
  <si>
    <t>115,580.00</t>
  </si>
  <si>
    <t>2,940,495.00</t>
  </si>
  <si>
    <t>150,750.00</t>
  </si>
  <si>
    <t>69,372.00</t>
  </si>
  <si>
    <t>77,780.00</t>
  </si>
  <si>
    <t>64,379.30</t>
  </si>
  <si>
    <t>191,475.00</t>
  </si>
  <si>
    <t>245,620.00</t>
  </si>
  <si>
    <t>77,746.00</t>
  </si>
  <si>
    <t>232,550.00</t>
  </si>
  <si>
    <t>72,800.00</t>
  </si>
  <si>
    <t>393,450.00</t>
  </si>
  <si>
    <t>1,190,000.00</t>
  </si>
  <si>
    <t>750,062.39</t>
  </si>
  <si>
    <t>24,775,726.14</t>
  </si>
  <si>
    <t>199,993.20</t>
  </si>
  <si>
    <t>126,650.00</t>
  </si>
  <si>
    <t>87,756.60</t>
  </si>
  <si>
    <t>151,241.00</t>
  </si>
  <si>
    <t>280,007.12</t>
  </si>
  <si>
    <t>26,028.00</t>
  </si>
  <si>
    <t>1,005,564.95</t>
  </si>
  <si>
    <t>630,800.00</t>
  </si>
  <si>
    <t>180,969.35</t>
  </si>
  <si>
    <t>86,543.32</t>
  </si>
  <si>
    <t>200,682.62</t>
  </si>
  <si>
    <t>600,764.15</t>
  </si>
  <si>
    <t>1,992,600.00</t>
  </si>
  <si>
    <t>9,950,000.00</t>
  </si>
  <si>
    <t>3,830,259.73</t>
  </si>
  <si>
    <t>88,420.00</t>
  </si>
  <si>
    <t>105,894.00</t>
  </si>
  <si>
    <t>96,576.00</t>
  </si>
  <si>
    <t>140,801.30</t>
  </si>
  <si>
    <t>1,572,200.00</t>
  </si>
  <si>
    <t>85,300.00</t>
  </si>
  <si>
    <t>3,945,000.00</t>
  </si>
  <si>
    <t>68,500.00</t>
  </si>
  <si>
    <t>1,220,000.00</t>
  </si>
  <si>
    <t>17,502,810.56</t>
  </si>
  <si>
    <t>327,926.00</t>
  </si>
  <si>
    <t>127,530.00</t>
  </si>
  <si>
    <t>100,478.57</t>
  </si>
  <si>
    <t>119,651.40</t>
  </si>
  <si>
    <t>51,910.00</t>
  </si>
  <si>
    <t>369,566.00</t>
  </si>
  <si>
    <t>446,580.90</t>
  </si>
  <si>
    <t>999,995.00</t>
  </si>
  <si>
    <t>340,800.00</t>
  </si>
  <si>
    <t>882,353.96</t>
  </si>
  <si>
    <t>81,300.00</t>
  </si>
  <si>
    <t>79,731.04</t>
  </si>
  <si>
    <t>600.00</t>
  </si>
  <si>
    <t>85,812.30</t>
  </si>
  <si>
    <t>1,363,400.00</t>
  </si>
  <si>
    <t>935,600.00</t>
  </si>
  <si>
    <t>1,664,380.00</t>
  </si>
  <si>
    <t>176,327.00</t>
  </si>
  <si>
    <t>251,600.00</t>
  </si>
  <si>
    <t>854,414.00</t>
  </si>
  <si>
    <t>1,325,947.75</t>
  </si>
  <si>
    <t>562,917.60</t>
  </si>
  <si>
    <t>9,899,103.08</t>
  </si>
  <si>
    <t>199,266.30</t>
  </si>
  <si>
    <t>604,638.00</t>
  </si>
  <si>
    <t>49,688.00</t>
  </si>
  <si>
    <t>999,100.00</t>
  </si>
  <si>
    <t>1,499,269.06</t>
  </si>
  <si>
    <t>379,705.44</t>
  </si>
  <si>
    <t>74,236.00</t>
  </si>
  <si>
    <t>148,778.38</t>
  </si>
  <si>
    <t>1,699,933.36</t>
  </si>
  <si>
    <t>1,150,000.00</t>
  </si>
  <si>
    <t>517,335.00</t>
  </si>
  <si>
    <t>24,676.04</t>
  </si>
  <si>
    <t>497,500.00</t>
  </si>
  <si>
    <t>749,990.40</t>
  </si>
  <si>
    <t>145,781.70</t>
  </si>
  <si>
    <t>671,705.00</t>
  </si>
  <si>
    <t>119,274.77</t>
  </si>
  <si>
    <t>333,900.00</t>
  </si>
  <si>
    <t>13,937.00</t>
  </si>
  <si>
    <t>549,620.00</t>
  </si>
  <si>
    <t>121,660.00</t>
  </si>
  <si>
    <t>649,080.00</t>
  </si>
  <si>
    <t>479,886.00</t>
  </si>
  <si>
    <t>65,750.00</t>
  </si>
  <si>
    <t>162,800.00</t>
  </si>
  <si>
    <t>80,157.20</t>
  </si>
  <si>
    <t>496,500.00</t>
  </si>
  <si>
    <t>11,137.27</t>
  </si>
  <si>
    <t>3,750,000.00</t>
  </si>
  <si>
    <t>293,000.00</t>
  </si>
  <si>
    <t>65,411.00</t>
  </si>
  <si>
    <t>72,390.00</t>
  </si>
  <si>
    <t>233,530.00</t>
  </si>
  <si>
    <t>3,315,988.00</t>
  </si>
  <si>
    <t>47,100.00</t>
  </si>
  <si>
    <t>99,960.00</t>
  </si>
  <si>
    <t>352,710.00</t>
  </si>
  <si>
    <t>151,500.00</t>
  </si>
  <si>
    <t>3,277,963.08</t>
  </si>
  <si>
    <t>2,939,002.92</t>
  </si>
  <si>
    <t>2,966,530.26</t>
  </si>
  <si>
    <t>344,100.00</t>
  </si>
  <si>
    <t>249,436.69</t>
  </si>
  <si>
    <t>523,617.10</t>
  </si>
  <si>
    <t>84,875.00</t>
  </si>
  <si>
    <t>206,250.00</t>
  </si>
  <si>
    <t>1,470,000.00</t>
  </si>
  <si>
    <t>18,158,258.79</t>
  </si>
  <si>
    <t>657,069.50</t>
  </si>
  <si>
    <t>249,827.84</t>
  </si>
  <si>
    <t>433,027.52</t>
  </si>
  <si>
    <t>269,080.00</t>
  </si>
  <si>
    <t>627,650.00</t>
  </si>
  <si>
    <t>181,605.00</t>
  </si>
  <si>
    <t>3,800,867.18</t>
  </si>
  <si>
    <t>249,646.88</t>
  </si>
  <si>
    <t>182,840.00</t>
  </si>
  <si>
    <t>86,300.00</t>
  </si>
  <si>
    <t>116,350.00</t>
  </si>
  <si>
    <t>480,573.50</t>
  </si>
  <si>
    <t>1,558,950.00</t>
  </si>
  <si>
    <t>890,000.00</t>
  </si>
  <si>
    <t>90,673.00</t>
  </si>
  <si>
    <t>112,480.00</t>
  </si>
  <si>
    <t>236,000.00</t>
  </si>
  <si>
    <t>73,700.00</t>
  </si>
  <si>
    <t>94,080.00</t>
  </si>
  <si>
    <t>574,500.00</t>
  </si>
  <si>
    <t>2,448,000.00</t>
  </si>
  <si>
    <t>706,589.60</t>
  </si>
  <si>
    <t>1,975,755.60</t>
  </si>
  <si>
    <t>218,350.00</t>
  </si>
  <si>
    <t>980,532.15</t>
  </si>
  <si>
    <t>99,975.00</t>
  </si>
  <si>
    <t>149,400.00</t>
  </si>
  <si>
    <t>189,870.00</t>
  </si>
  <si>
    <t>959,898.00</t>
  </si>
  <si>
    <t>431,272.80</t>
  </si>
  <si>
    <t>1,684,600.00</t>
  </si>
  <si>
    <t>572,910.00</t>
  </si>
  <si>
    <t>328,700.00</t>
  </si>
  <si>
    <t>217,145.00</t>
  </si>
  <si>
    <t>241,372.80</t>
  </si>
  <si>
    <t>34,740,000.00</t>
  </si>
  <si>
    <t>971,861.84</t>
  </si>
  <si>
    <t>34,585.00</t>
  </si>
  <si>
    <t>65,390.00</t>
  </si>
  <si>
    <t>326,910.00</t>
  </si>
  <si>
    <t>395,203.00</t>
  </si>
  <si>
    <t>797,235.00</t>
  </si>
  <si>
    <t>576,880.00</t>
  </si>
  <si>
    <t>121,800.00</t>
  </si>
  <si>
    <t>1,632,989.40</t>
  </si>
  <si>
    <t>145,800.00</t>
  </si>
  <si>
    <t>85,500.00</t>
  </si>
  <si>
    <t>249,940.00</t>
  </si>
  <si>
    <t>235,205.00</t>
  </si>
  <si>
    <t>3,951,962.56</t>
  </si>
  <si>
    <t>31,800.00</t>
  </si>
  <si>
    <t>2,017,455.00</t>
  </si>
  <si>
    <t>53,582.00</t>
  </si>
  <si>
    <t>213,188.00</t>
  </si>
  <si>
    <t>363,389.90</t>
  </si>
  <si>
    <t>6,903,816.00</t>
  </si>
  <si>
    <t>53,350.00</t>
  </si>
  <si>
    <t>7,552,000.00</t>
  </si>
  <si>
    <t>131,198.00</t>
  </si>
  <si>
    <t>163,300.00</t>
  </si>
  <si>
    <t>318,000.00</t>
  </si>
  <si>
    <t>74,830,898.60</t>
  </si>
  <si>
    <t>13,913,129.13</t>
  </si>
  <si>
    <t>599,000.00</t>
  </si>
  <si>
    <t>36,824,100.00</t>
  </si>
  <si>
    <t>8,837,317.56</t>
  </si>
  <si>
    <t>225,215.00</t>
  </si>
  <si>
    <t>47,885.00</t>
  </si>
  <si>
    <t>3,123,079.75</t>
  </si>
  <si>
    <t>343,928.00</t>
  </si>
  <si>
    <t>43,005.00</t>
  </si>
  <si>
    <t>197,205.00</t>
  </si>
  <si>
    <t>394,475.00</t>
  </si>
  <si>
    <t>2,722,000.00</t>
  </si>
  <si>
    <t>422,562.00</t>
  </si>
  <si>
    <t>2,499,984.00</t>
  </si>
  <si>
    <t>191,720.00</t>
  </si>
  <si>
    <t>110,740.00</t>
  </si>
  <si>
    <t>29,999,945.00</t>
  </si>
  <si>
    <t>47,274.00</t>
  </si>
  <si>
    <t>194,400.00</t>
  </si>
  <si>
    <t>200,700.00</t>
  </si>
  <si>
    <t>162,645.50</t>
  </si>
  <si>
    <t>3,588,712.50</t>
  </si>
  <si>
    <t>1,122,015.00</t>
  </si>
  <si>
    <t>119,729.00</t>
  </si>
  <si>
    <t>709,977,660.00</t>
  </si>
  <si>
    <t>22,605.00</t>
  </si>
  <si>
    <t>65,596.00</t>
  </si>
  <si>
    <t>2,286,188.51</t>
  </si>
  <si>
    <t>840,081.08</t>
  </si>
  <si>
    <t>185,200.00</t>
  </si>
  <si>
    <t>425,000.00</t>
  </si>
  <si>
    <t>967,000.00</t>
  </si>
  <si>
    <t>210,041.21</t>
  </si>
  <si>
    <t>101,000.00</t>
  </si>
  <si>
    <t>268,200.00</t>
  </si>
  <si>
    <t>498,317.50</t>
  </si>
  <si>
    <t>579,573,600.00</t>
  </si>
  <si>
    <t>29,999,247.60</t>
  </si>
  <si>
    <t>81,750.00</t>
  </si>
  <si>
    <t>1,204,740.00</t>
  </si>
  <si>
    <t>174,870.00</t>
  </si>
  <si>
    <t>126,300.00</t>
  </si>
  <si>
    <t>666,000.00</t>
  </si>
  <si>
    <t>222,000.00</t>
  </si>
  <si>
    <t>277,979.71</t>
  </si>
  <si>
    <t>215,100.00</t>
  </si>
  <si>
    <t>178,927.00</t>
  </si>
  <si>
    <t>438,880.00</t>
  </si>
  <si>
    <t>2,096,767.02</t>
  </si>
  <si>
    <t>2,906,518.13</t>
  </si>
  <si>
    <t>82,680.00</t>
  </si>
  <si>
    <t>4,861.00</t>
  </si>
  <si>
    <t>35,640.00</t>
  </si>
  <si>
    <t>100,800.00</t>
  </si>
  <si>
    <t>1,119,790.00</t>
  </si>
  <si>
    <t>90,750.00</t>
  </si>
  <si>
    <t>1,123,750.00</t>
  </si>
  <si>
    <t>9,346.00</t>
  </si>
  <si>
    <t>122,000.00</t>
  </si>
  <si>
    <t>222,355.00</t>
  </si>
  <si>
    <t>90,659,650.00</t>
  </si>
  <si>
    <t>255,369,933.76</t>
  </si>
  <si>
    <t>88,200.00</t>
  </si>
  <si>
    <t>199,850.00</t>
  </si>
  <si>
    <t>133,900.00</t>
  </si>
  <si>
    <t>1,583,000.00</t>
  </si>
  <si>
    <t>290,920.00</t>
  </si>
  <si>
    <t>70,600.00</t>
  </si>
  <si>
    <t>110,898,926.55</t>
  </si>
  <si>
    <t>74,400.00</t>
  </si>
  <si>
    <t>520.00</t>
  </si>
  <si>
    <t>105,945.00</t>
  </si>
  <si>
    <t>254,562.30</t>
  </si>
  <si>
    <t>141,400.00</t>
  </si>
  <si>
    <t>60,300.00</t>
  </si>
  <si>
    <t>12,434,921.55</t>
  </si>
  <si>
    <t>100,336,108.59</t>
  </si>
  <si>
    <t>33,090.00</t>
  </si>
  <si>
    <t>287,723,710.80</t>
  </si>
  <si>
    <t>9,610,000.00</t>
  </si>
  <si>
    <t>766,038.00</t>
  </si>
  <si>
    <t>37,777,273.30</t>
  </si>
  <si>
    <t>1,655,476.74</t>
  </si>
  <si>
    <t>289,655.60</t>
  </si>
  <si>
    <t>3,701,455.50</t>
  </si>
  <si>
    <t>382,580.00</t>
  </si>
  <si>
    <t>316,250.00</t>
  </si>
  <si>
    <t>475,680.00</t>
  </si>
  <si>
    <t>255,826,933.76</t>
  </si>
  <si>
    <t>34,102,000.00</t>
  </si>
  <si>
    <t>203,200.00</t>
  </si>
  <si>
    <t>129,800.00</t>
  </si>
  <si>
    <t>3,000,499.80</t>
  </si>
  <si>
    <t>347,865.00</t>
  </si>
  <si>
    <t>744,413.00</t>
  </si>
  <si>
    <t>299,750.00</t>
  </si>
  <si>
    <t>136,893,553.40</t>
  </si>
  <si>
    <t>900,890.00</t>
  </si>
  <si>
    <t>138,600.00</t>
  </si>
  <si>
    <t>2,813,394.84</t>
  </si>
  <si>
    <t>1,683,493.45</t>
  </si>
  <si>
    <t>208,500.00</t>
  </si>
  <si>
    <t>159,896.50</t>
  </si>
  <si>
    <t>346,455.00</t>
  </si>
  <si>
    <t>149,700.00</t>
  </si>
  <si>
    <t>122,601.60</t>
  </si>
  <si>
    <t>78,785.00</t>
  </si>
  <si>
    <t>1,566,384.85</t>
  </si>
  <si>
    <t>50,652.50</t>
  </si>
  <si>
    <t>90,967.50</t>
  </si>
  <si>
    <t>315,000.00</t>
  </si>
  <si>
    <t>209,664.00</t>
  </si>
  <si>
    <t>136,136.00</t>
  </si>
  <si>
    <t>286,250.00</t>
  </si>
  <si>
    <t>499,800.00</t>
  </si>
  <si>
    <t>230,165.00</t>
  </si>
  <si>
    <t>141,000.00</t>
  </si>
  <si>
    <t>159,407.50</t>
  </si>
  <si>
    <t>741,600.00</t>
  </si>
  <si>
    <t>545,897.60</t>
  </si>
  <si>
    <t>143,425.00</t>
  </si>
  <si>
    <t>168,980.00</t>
  </si>
  <si>
    <t>267,000.00</t>
  </si>
  <si>
    <t>167,000.00</t>
  </si>
  <si>
    <t>1,123,620.00</t>
  </si>
  <si>
    <t>477,100.00</t>
  </si>
  <si>
    <t>314,120.00</t>
  </si>
  <si>
    <t>103,712.10</t>
  </si>
  <si>
    <t>117,000.00</t>
  </si>
  <si>
    <t>656,861.42</t>
  </si>
  <si>
    <t>52,498.85</t>
  </si>
  <si>
    <t>65,633.50</t>
  </si>
  <si>
    <t>208,340.00</t>
  </si>
  <si>
    <t>158,875.00</t>
  </si>
  <si>
    <t>60,800.00</t>
  </si>
  <si>
    <t>657,095.58</t>
  </si>
  <si>
    <t>246,230.00</t>
  </si>
  <si>
    <t>727,720.00</t>
  </si>
  <si>
    <t>93,060.00</t>
  </si>
  <si>
    <t>296,800.00</t>
  </si>
  <si>
    <t>978,000.00</t>
  </si>
  <si>
    <t>41,000,000.00</t>
  </si>
  <si>
    <t>323,224.00</t>
  </si>
  <si>
    <t>111,840.00</t>
  </si>
  <si>
    <t>4,095,109.99</t>
  </si>
  <si>
    <t>155,144.48</t>
  </si>
  <si>
    <t>45,600.00</t>
  </si>
  <si>
    <t>311,060.40</t>
  </si>
  <si>
    <t>208,023.00</t>
  </si>
  <si>
    <t>310,831.10</t>
  </si>
  <si>
    <t>193,050.00</t>
  </si>
  <si>
    <t>137,380.00</t>
  </si>
  <si>
    <t>61,509.00</t>
  </si>
  <si>
    <t>107,093.00</t>
  </si>
  <si>
    <t>575,125.00</t>
  </si>
  <si>
    <t>736,000.00</t>
  </si>
  <si>
    <t>97,600.00</t>
  </si>
  <si>
    <t>473,350.00</t>
  </si>
  <si>
    <t>478,200.00</t>
  </si>
  <si>
    <t>121,540.00</t>
  </si>
  <si>
    <t>400,943.12</t>
  </si>
  <si>
    <t>1,393,000.00</t>
  </si>
  <si>
    <t>93,300.00</t>
  </si>
  <si>
    <t>104,400.00</t>
  </si>
  <si>
    <t>216,188.44</t>
  </si>
  <si>
    <t>153,700.00</t>
  </si>
  <si>
    <t>1,656,250.00</t>
  </si>
  <si>
    <t>251,430.00</t>
  </si>
  <si>
    <t>645,309.00</t>
  </si>
  <si>
    <t>161,940.00</t>
  </si>
  <si>
    <t>63,825.00</t>
  </si>
  <si>
    <t>62,659.03</t>
  </si>
  <si>
    <t>104,608.00</t>
  </si>
  <si>
    <t>7,100,000.00</t>
  </si>
  <si>
    <t>269,829.00</t>
  </si>
  <si>
    <t>925,867.80</t>
  </si>
  <si>
    <t>468,000.00</t>
  </si>
  <si>
    <t>1,878,750.00</t>
  </si>
  <si>
    <t>4,150.00</t>
  </si>
  <si>
    <t>2,266,893.85</t>
  </si>
  <si>
    <t>88,000,000.00</t>
  </si>
  <si>
    <t>369,000.00</t>
  </si>
  <si>
    <t>47,000.00</t>
  </si>
  <si>
    <t>7,252,000.00</t>
  </si>
  <si>
    <t>2,977,849.00</t>
  </si>
  <si>
    <t>67,419,086.00</t>
  </si>
  <si>
    <t>55,951.50</t>
  </si>
  <si>
    <t>971,175.14</t>
  </si>
  <si>
    <t>1,161,882.00</t>
  </si>
  <si>
    <t>593,721.93</t>
  </si>
  <si>
    <t>33,000,000.00</t>
  </si>
  <si>
    <t>90,300.00</t>
  </si>
  <si>
    <t>271,442.00</t>
  </si>
  <si>
    <t>1,750,000.00</t>
  </si>
  <si>
    <t>409,150.00</t>
  </si>
  <si>
    <t>194,391.00</t>
  </si>
  <si>
    <t>6,248,250.00</t>
  </si>
  <si>
    <t>1,349,039.16</t>
  </si>
  <si>
    <t>497,005.00</t>
  </si>
  <si>
    <t>85,860.00</t>
  </si>
  <si>
    <t>93,700.00</t>
  </si>
  <si>
    <t>33,800.00</t>
  </si>
  <si>
    <t>115,378.00</t>
  </si>
  <si>
    <t>186,500.00</t>
  </si>
  <si>
    <t>499,999.34</t>
  </si>
  <si>
    <t>56,365,200.00</t>
  </si>
  <si>
    <t>131,060.20</t>
  </si>
  <si>
    <t>610,433.00</t>
  </si>
  <si>
    <t>4,691,080.00</t>
  </si>
  <si>
    <t>2,738,115.50</t>
  </si>
  <si>
    <t>555,720.24</t>
  </si>
  <si>
    <t>237,195.00</t>
  </si>
  <si>
    <t>534,000.00</t>
  </si>
  <si>
    <t>111,680.00</t>
  </si>
  <si>
    <t>2,147,000.00</t>
  </si>
  <si>
    <t>537,800.00</t>
  </si>
  <si>
    <t>4,560,000.00</t>
  </si>
  <si>
    <t>13,500.00</t>
  </si>
  <si>
    <t>1,733,995.00</t>
  </si>
  <si>
    <t>128,040.00</t>
  </si>
  <si>
    <t>135,600.00</t>
  </si>
  <si>
    <t>4,997,382.00</t>
  </si>
  <si>
    <t>86,410.00</t>
  </si>
  <si>
    <t>1,066,450.00</t>
  </si>
  <si>
    <t>1,531,480.00</t>
  </si>
  <si>
    <t>4,499,993.54</t>
  </si>
  <si>
    <t>1,382,100.00</t>
  </si>
  <si>
    <t>194,164.64</t>
  </si>
  <si>
    <t>945,814.00</t>
  </si>
  <si>
    <t>62,000.40</t>
  </si>
  <si>
    <t>998,579.10</t>
  </si>
  <si>
    <t>85,831.85</t>
  </si>
  <si>
    <t>677,500.00</t>
  </si>
  <si>
    <t>84,230.75</t>
  </si>
  <si>
    <t>77,517.46</t>
  </si>
  <si>
    <t>999,926.43</t>
  </si>
  <si>
    <t>1,418,000.00</t>
  </si>
  <si>
    <t>997,500.00</t>
  </si>
  <si>
    <t>177,000.00</t>
  </si>
  <si>
    <t>931,500.00</t>
  </si>
  <si>
    <t>1,191,500.00</t>
  </si>
  <si>
    <t>193,455.00</t>
  </si>
  <si>
    <t>91,080.00</t>
  </si>
  <si>
    <t>404,812.32</t>
  </si>
  <si>
    <t>62,232.40</t>
  </si>
  <si>
    <t>97,300.00</t>
  </si>
  <si>
    <t>266,201.13</t>
  </si>
  <si>
    <t>468,639.60</t>
  </si>
  <si>
    <t>149,773.75</t>
  </si>
  <si>
    <t>115,344.00</t>
  </si>
  <si>
    <t>29,087.00</t>
  </si>
  <si>
    <t>429,000.00</t>
  </si>
  <si>
    <t>25,099,000.00</t>
  </si>
  <si>
    <t>656,179.00</t>
  </si>
  <si>
    <t>152,700.80</t>
  </si>
  <si>
    <t>1,507,261.80</t>
  </si>
  <si>
    <t>514,385.00</t>
  </si>
  <si>
    <t>470,000.00</t>
  </si>
  <si>
    <t>72,915.00</t>
  </si>
  <si>
    <t>502,741.93</t>
  </si>
  <si>
    <t>46,550.00</t>
  </si>
  <si>
    <t>5,920.00</t>
  </si>
  <si>
    <t>181,830.00</t>
  </si>
  <si>
    <t>27,500,000.00</t>
  </si>
  <si>
    <t>65,484.00</t>
  </si>
  <si>
    <t>55,058.00</t>
  </si>
  <si>
    <t>937,500.00</t>
  </si>
  <si>
    <t>72,030.00</t>
  </si>
  <si>
    <t>64,800.00</t>
  </si>
  <si>
    <t>308,900.00</t>
  </si>
  <si>
    <t>20,500,000.00</t>
  </si>
  <si>
    <t>108,450.00</t>
  </si>
  <si>
    <t>497,893.74</t>
  </si>
  <si>
    <t>119,131,382.00</t>
  </si>
  <si>
    <t>18,305,059.00</t>
  </si>
  <si>
    <t>142,634.00</t>
  </si>
  <si>
    <t>462,428.00</t>
  </si>
  <si>
    <t>12,573,536.00</t>
  </si>
  <si>
    <t>457,400.00</t>
  </si>
  <si>
    <t>625,395.00</t>
  </si>
  <si>
    <t>34,919,435.71</t>
  </si>
  <si>
    <t>79,600.00</t>
  </si>
  <si>
    <t>415,000.00</t>
  </si>
  <si>
    <t>157,727.00</t>
  </si>
  <si>
    <t>196,045.75</t>
  </si>
  <si>
    <t>304,609.60</t>
  </si>
  <si>
    <t>1,113,200.00</t>
  </si>
  <si>
    <t>1,100,000.00</t>
  </si>
  <si>
    <t>259,121.22</t>
  </si>
  <si>
    <t>75,000,000.00</t>
  </si>
  <si>
    <t>49,500,000.00</t>
  </si>
  <si>
    <t>402,670.00</t>
  </si>
  <si>
    <t>62,260.00</t>
  </si>
  <si>
    <t>80,140.00</t>
  </si>
  <si>
    <t>817,569.30</t>
  </si>
  <si>
    <t>73,600.00</t>
  </si>
  <si>
    <t>75,800.00</t>
  </si>
  <si>
    <t>601,695.20</t>
  </si>
  <si>
    <t>4,944,999.83</t>
  </si>
  <si>
    <t>461,383.00</t>
  </si>
  <si>
    <t>393,375.00</t>
  </si>
  <si>
    <t>377,056.89</t>
  </si>
  <si>
    <t>210,200.00</t>
  </si>
  <si>
    <t>499,794.97</t>
  </si>
  <si>
    <t>19,240,000.00</t>
  </si>
  <si>
    <t>2,849,728.00</t>
  </si>
  <si>
    <t>349,936.97</t>
  </si>
  <si>
    <t>2,011,895.00</t>
  </si>
  <si>
    <t>1,017,000.00</t>
  </si>
  <si>
    <t>4,820,000.81</t>
  </si>
  <si>
    <t>283,382.50</t>
  </si>
  <si>
    <t>649,054.51</t>
  </si>
  <si>
    <t>147,500.00</t>
  </si>
  <si>
    <t>299,900.00</t>
  </si>
  <si>
    <t>2,999,992.56</t>
  </si>
  <si>
    <t>1,170,000.00</t>
  </si>
  <si>
    <t>149,814.24</t>
  </si>
  <si>
    <t>499,406.30</t>
  </si>
  <si>
    <t>62,120.00</t>
  </si>
  <si>
    <t>121,000.00</t>
  </si>
  <si>
    <t>246,084.00</t>
  </si>
  <si>
    <t>1,035,059.69</t>
  </si>
  <si>
    <t>939,761.84</t>
  </si>
  <si>
    <t>998,529.88</t>
  </si>
  <si>
    <t>148,500.00</t>
  </si>
  <si>
    <t>239,118.72</t>
  </si>
  <si>
    <t>1,596,736.15</t>
  </si>
  <si>
    <t>14,300,000.00</t>
  </si>
  <si>
    <t>5,451,769.68</t>
  </si>
  <si>
    <t>442,913.25</t>
  </si>
  <si>
    <t>510,000.00</t>
  </si>
  <si>
    <t>999,960.44</t>
  </si>
  <si>
    <t>999,999.73</t>
  </si>
  <si>
    <t>999,998.32</t>
  </si>
  <si>
    <t>544,607.35</t>
  </si>
  <si>
    <t>999,999.49</t>
  </si>
  <si>
    <t>351,242.50</t>
  </si>
  <si>
    <t>4,959,712.11</t>
  </si>
  <si>
    <t>843,911.54</t>
  </si>
  <si>
    <t>19,493,579.92</t>
  </si>
  <si>
    <t>76,503.00</t>
  </si>
  <si>
    <t>273,860.00</t>
  </si>
  <si>
    <t>7,913,027.40</t>
  </si>
  <si>
    <t>4,298,989.90</t>
  </si>
  <si>
    <t>1,497,600.00</t>
  </si>
  <si>
    <t>5,916,482.29</t>
  </si>
  <si>
    <t>4,549,200.00</t>
  </si>
  <si>
    <t>499,577.02</t>
  </si>
  <si>
    <t>3,062,750.00</t>
  </si>
  <si>
    <t>5,908,516.87</t>
  </si>
  <si>
    <t>189,965.00</t>
  </si>
  <si>
    <t>357,000.00</t>
  </si>
  <si>
    <t>101,656.00</t>
  </si>
  <si>
    <t>54,395.00</t>
  </si>
  <si>
    <t>2,593,784.02</t>
  </si>
  <si>
    <t>772,000.00</t>
  </si>
  <si>
    <t>500,866.00</t>
  </si>
  <si>
    <t>118,929.50</t>
  </si>
  <si>
    <t>4,300,000.00</t>
  </si>
  <si>
    <t>544,500.00</t>
  </si>
  <si>
    <t>1,154,661.00</t>
  </si>
  <si>
    <t>172,016.00</t>
  </si>
  <si>
    <t>83,145.00</t>
  </si>
  <si>
    <t>852,475.50</t>
  </si>
  <si>
    <t>545,700.00</t>
  </si>
  <si>
    <t>1,179,000.00</t>
  </si>
  <si>
    <t>199,084.63</t>
  </si>
  <si>
    <t>1,299,800.00</t>
  </si>
  <si>
    <t>1,039,698.00</t>
  </si>
  <si>
    <t>813,550.00</t>
  </si>
  <si>
    <t>1,518,480.00</t>
  </si>
  <si>
    <t>1,517,400.00</t>
  </si>
  <si>
    <t>84,884.00</t>
  </si>
  <si>
    <t>151,784.64</t>
  </si>
  <si>
    <t>9,300,429.91</t>
  </si>
  <si>
    <t>143,465.00</t>
  </si>
  <si>
    <t>31,560.00</t>
  </si>
  <si>
    <t>29,254.00</t>
  </si>
  <si>
    <t>1,732,200.00</t>
  </si>
  <si>
    <t>4,910,000.00</t>
  </si>
  <si>
    <t>1,945,000.00</t>
  </si>
  <si>
    <t>1,499,990.83</t>
  </si>
  <si>
    <t>2,834,000.00</t>
  </si>
  <si>
    <t>180,557.61</t>
  </si>
  <si>
    <t>9,344,825.92</t>
  </si>
  <si>
    <t>24,875,000.00</t>
  </si>
  <si>
    <t>49,985.00</t>
  </si>
  <si>
    <t>43,200.00</t>
  </si>
  <si>
    <t>1,465,679.85</t>
  </si>
  <si>
    <t>341,095.00</t>
  </si>
  <si>
    <t>281,220.00</t>
  </si>
  <si>
    <t>22,662,975.00</t>
  </si>
  <si>
    <t>146,000.00</t>
  </si>
  <si>
    <t>380,700.00</t>
  </si>
  <si>
    <t>1,412,382.00</t>
  </si>
  <si>
    <t>489,879.00</t>
  </si>
  <si>
    <t>183,360.30</t>
  </si>
  <si>
    <t>154,973.40</t>
  </si>
  <si>
    <t>172,890.00</t>
  </si>
  <si>
    <t>344,575.55</t>
  </si>
  <si>
    <t>99,825.00</t>
  </si>
  <si>
    <t>38,240.00</t>
  </si>
  <si>
    <t>1,538,669.68</t>
  </si>
  <si>
    <t>772,423.55</t>
  </si>
  <si>
    <t>60,139.40</t>
  </si>
  <si>
    <t>243,386.80</t>
  </si>
  <si>
    <t>367,100.00</t>
  </si>
  <si>
    <t>186,800.00</t>
  </si>
  <si>
    <t>162,842.00</t>
  </si>
  <si>
    <t>1,321,529.26</t>
  </si>
  <si>
    <t>147,311.00</t>
  </si>
  <si>
    <t>95,450.00</t>
  </si>
  <si>
    <t>1,360,000.00</t>
  </si>
  <si>
    <t>108,131.00</t>
  </si>
  <si>
    <t>908,437.75</t>
  </si>
  <si>
    <t>79,950.00</t>
  </si>
  <si>
    <t>412,199.20</t>
  </si>
  <si>
    <t>75,640.00</t>
  </si>
  <si>
    <t>305,040.00</t>
  </si>
  <si>
    <t>75,507.00</t>
  </si>
  <si>
    <t>3,660.00</t>
  </si>
  <si>
    <t>37,380.00</t>
  </si>
  <si>
    <t>244,663.00</t>
  </si>
  <si>
    <t>75,090.00</t>
  </si>
  <si>
    <t>57,815.00</t>
  </si>
  <si>
    <t>276,920.00</t>
  </si>
  <si>
    <t>202,170.00</t>
  </si>
  <si>
    <t>154,036.00</t>
  </si>
  <si>
    <t>74,880.00</t>
  </si>
  <si>
    <t>49,360.00</t>
  </si>
  <si>
    <t>414,650.00</t>
  </si>
  <si>
    <t>19,950,000.00</t>
  </si>
  <si>
    <t>70,315.00</t>
  </si>
  <si>
    <t>1,499,498.36</t>
  </si>
  <si>
    <t>159,336.45</t>
  </si>
  <si>
    <t>11,207,000.00</t>
  </si>
  <si>
    <t>50,910.00</t>
  </si>
  <si>
    <t>124,975.00</t>
  </si>
  <si>
    <t>156,547.58</t>
  </si>
  <si>
    <t>749,000.00</t>
  </si>
  <si>
    <t>269,178.00</t>
  </si>
  <si>
    <t>96,655.00</t>
  </si>
  <si>
    <t>76,620.00</t>
  </si>
  <si>
    <t>196,594.00</t>
  </si>
  <si>
    <t>75,250.00</t>
  </si>
  <si>
    <t>289,000.00</t>
  </si>
  <si>
    <t>149,997.23</t>
  </si>
  <si>
    <t>249,940.80</t>
  </si>
  <si>
    <t>159,000.00</t>
  </si>
  <si>
    <t>2,539,257.53</t>
  </si>
  <si>
    <t>199,971.00</t>
  </si>
  <si>
    <t>3,064,853.87</t>
  </si>
  <si>
    <t>131,850.00</t>
  </si>
  <si>
    <t>47,230.00</t>
  </si>
  <si>
    <t>210,900.00</t>
  </si>
  <si>
    <t>165,220.00</t>
  </si>
  <si>
    <t>1,492,723.81</t>
  </si>
  <si>
    <t>3,999,926.45</t>
  </si>
  <si>
    <t>74,670.00</t>
  </si>
  <si>
    <t>778,155.97</t>
  </si>
  <si>
    <t>144,500.00</t>
  </si>
  <si>
    <t>107,304.00</t>
  </si>
  <si>
    <t>102,035.00</t>
  </si>
  <si>
    <t>999,905.72</t>
  </si>
  <si>
    <t>393,000.00</t>
  </si>
  <si>
    <t>54,258.00</t>
  </si>
  <si>
    <t>16,957,390.27</t>
  </si>
  <si>
    <t>10,307,341.43</t>
  </si>
  <si>
    <t>343,032.00</t>
  </si>
  <si>
    <t>1,123,770.00</t>
  </si>
  <si>
    <t>63,600.00</t>
  </si>
  <si>
    <t>660,392.07</t>
  </si>
  <si>
    <t>572,676.56</t>
  </si>
  <si>
    <t>1,624,840.00</t>
  </si>
  <si>
    <t>528,000.00</t>
  </si>
  <si>
    <t>174,964.13</t>
  </si>
  <si>
    <t>193,180.00</t>
  </si>
  <si>
    <t>992,714.00</t>
  </si>
  <si>
    <t>119,300.00</t>
  </si>
  <si>
    <t>327,895.99</t>
  </si>
  <si>
    <t>640,173.79</t>
  </si>
  <si>
    <t>14,980.00</t>
  </si>
  <si>
    <t>225,750.00</t>
  </si>
  <si>
    <t>227,400.00</t>
  </si>
  <si>
    <t>344,825.00</t>
  </si>
  <si>
    <t>70,755.00</t>
  </si>
  <si>
    <t>102,555.00</t>
  </si>
  <si>
    <t>59,250.00</t>
  </si>
  <si>
    <t>167,600.00</t>
  </si>
  <si>
    <t>179,807.25</t>
  </si>
  <si>
    <t>408,050.00</t>
  </si>
  <si>
    <t>9,708,000.00</t>
  </si>
  <si>
    <t>534,563.42</t>
  </si>
  <si>
    <t>253,407.00</t>
  </si>
  <si>
    <t>891,060.00</t>
  </si>
  <si>
    <t>166,060.00</t>
  </si>
  <si>
    <t>1,530,000.00</t>
  </si>
  <si>
    <t>408,850.00</t>
  </si>
  <si>
    <t>199,956.00</t>
  </si>
  <si>
    <t>306,775.00</t>
  </si>
  <si>
    <t>281,000.00</t>
  </si>
  <si>
    <t>385,600.00</t>
  </si>
  <si>
    <t>569,989.88</t>
  </si>
  <si>
    <t>1,017,871.39</t>
  </si>
  <si>
    <t>299,921.81</t>
  </si>
  <si>
    <t>78,142.00</t>
  </si>
  <si>
    <t>255,275.00</t>
  </si>
  <si>
    <t>359,977.00</t>
  </si>
  <si>
    <t>97,331.48</t>
  </si>
  <si>
    <t>286,288.86</t>
  </si>
  <si>
    <t>240,226.25</t>
  </si>
  <si>
    <t>982,407.98</t>
  </si>
  <si>
    <t>107,257.50</t>
  </si>
  <si>
    <t>672,071.00</t>
  </si>
  <si>
    <t>8,990.00</t>
  </si>
  <si>
    <t>18,840.00</t>
  </si>
  <si>
    <t>204,900.00</t>
  </si>
  <si>
    <t>61,765.00</t>
  </si>
  <si>
    <t>4,499,999.25</t>
  </si>
  <si>
    <t>369,498.00</t>
  </si>
  <si>
    <t>453,000.00</t>
  </si>
  <si>
    <t>431,694.00</t>
  </si>
  <si>
    <t>794,500.00</t>
  </si>
  <si>
    <t>874,500.00</t>
  </si>
  <si>
    <t>522,431.60</t>
  </si>
  <si>
    <t>301,700.00</t>
  </si>
  <si>
    <t>152,588.00</t>
  </si>
  <si>
    <t>161,800.00</t>
  </si>
  <si>
    <t>746,932.89</t>
  </si>
  <si>
    <t>421,200.00</t>
  </si>
  <si>
    <t>439,650.00</t>
  </si>
  <si>
    <t>86,405.00</t>
  </si>
  <si>
    <t>61,400.00</t>
  </si>
  <si>
    <t>73,750.00</t>
  </si>
  <si>
    <t>97,485.00</t>
  </si>
  <si>
    <t>291,200.00</t>
  </si>
  <si>
    <t>284,765.40</t>
  </si>
  <si>
    <t>999,895.98</t>
  </si>
  <si>
    <t>50,847.78</t>
  </si>
  <si>
    <t>413,750.00</t>
  </si>
  <si>
    <t>561,536.50</t>
  </si>
  <si>
    <t>422,000.00</t>
  </si>
  <si>
    <t>107,800.00</t>
  </si>
  <si>
    <t>225,755.00</t>
  </si>
  <si>
    <t>588,059.21</t>
  </si>
  <si>
    <t>874,320.00</t>
  </si>
  <si>
    <t>999,999.94</t>
  </si>
  <si>
    <t>119,340.00</t>
  </si>
  <si>
    <t>58,800.00</t>
  </si>
  <si>
    <t>59,950.00</t>
  </si>
  <si>
    <t>789,961.60</t>
  </si>
  <si>
    <t>198,530.30</t>
  </si>
  <si>
    <t>967,500.00</t>
  </si>
  <si>
    <t>586,194.00</t>
  </si>
  <si>
    <t>121,565.00</t>
  </si>
  <si>
    <t>385,555.00</t>
  </si>
  <si>
    <t>244,000.00</t>
  </si>
  <si>
    <t>116,765.00</t>
  </si>
  <si>
    <t>56,500.00</t>
  </si>
  <si>
    <t>86,350.00</t>
  </si>
  <si>
    <t>5,042,553.00</t>
  </si>
  <si>
    <t>15,180.00</t>
  </si>
  <si>
    <t>150,200.00</t>
  </si>
  <si>
    <t>99,990.00</t>
  </si>
  <si>
    <t>53,560.00</t>
  </si>
  <si>
    <t>211,736.00</t>
  </si>
  <si>
    <t>291,370.00</t>
  </si>
  <si>
    <t>254,322.77</t>
  </si>
  <si>
    <t>1,191,087.35</t>
  </si>
  <si>
    <t>156,460.00</t>
  </si>
  <si>
    <t>231,520.00</t>
  </si>
  <si>
    <t>117,750.00</t>
  </si>
  <si>
    <t>69,580.77</t>
  </si>
  <si>
    <t>64,240.00</t>
  </si>
  <si>
    <t>474,636.68</t>
  </si>
  <si>
    <t>114,630.00</t>
  </si>
  <si>
    <t>292,700.00</t>
  </si>
  <si>
    <t>14,550,000.00</t>
  </si>
  <si>
    <t>56,055.00</t>
  </si>
  <si>
    <t>1,199,371.59</t>
  </si>
  <si>
    <t>195,970.00</t>
  </si>
  <si>
    <t>431,013.00</t>
  </si>
  <si>
    <t>493,420.00</t>
  </si>
  <si>
    <t>159,250.00</t>
  </si>
  <si>
    <t>173,345.00</t>
  </si>
  <si>
    <t>232,440.00</t>
  </si>
  <si>
    <t>364,985.00</t>
  </si>
  <si>
    <t>73,437.00</t>
  </si>
  <si>
    <t>17,180.00</t>
  </si>
  <si>
    <t>475,400.00</t>
  </si>
  <si>
    <t>888,500.00</t>
  </si>
  <si>
    <t>150,390.00</t>
  </si>
  <si>
    <t>8,296.00</t>
  </si>
  <si>
    <t>15,520,000.00</t>
  </si>
  <si>
    <t>174,000.00</t>
  </si>
  <si>
    <t>1,121,204.00</t>
  </si>
  <si>
    <t>89,800.00</t>
  </si>
  <si>
    <t>403,729.60</t>
  </si>
  <si>
    <t>169,500.00</t>
  </si>
  <si>
    <t>114,826.80</t>
  </si>
  <si>
    <t>680,000.00</t>
  </si>
  <si>
    <t>13,100,000.00</t>
  </si>
  <si>
    <t>49,197.00</t>
  </si>
  <si>
    <t>51,500.00</t>
  </si>
  <si>
    <t>209,350.00</t>
  </si>
  <si>
    <t>574,320.00</t>
  </si>
  <si>
    <t>209,140.00</t>
  </si>
  <si>
    <t>286,651.20</t>
  </si>
  <si>
    <t>84,280.00</t>
  </si>
  <si>
    <t>446,480.00</t>
  </si>
  <si>
    <t>15,299.35</t>
  </si>
  <si>
    <t>884,600.00</t>
  </si>
  <si>
    <t>370,200.00</t>
  </si>
  <si>
    <t>144,600.00</t>
  </si>
  <si>
    <t>2,925,333.25</t>
  </si>
  <si>
    <t>1,109,117.50</t>
  </si>
  <si>
    <t>132,340.00</t>
  </si>
  <si>
    <t>499,165.28</t>
  </si>
  <si>
    <t>399,435.00</t>
  </si>
  <si>
    <t>1.00</t>
  </si>
  <si>
    <t>372,300.00</t>
  </si>
  <si>
    <t>68,800.00</t>
  </si>
  <si>
    <t>609,306.00</t>
  </si>
  <si>
    <t>1,251,190.00</t>
  </si>
  <si>
    <t>101,210.00</t>
  </si>
  <si>
    <t>270,900.00</t>
  </si>
  <si>
    <t>133,320.00</t>
  </si>
  <si>
    <t>1,916,720.00</t>
  </si>
  <si>
    <t>8,500,000.00</t>
  </si>
  <si>
    <t>1,349,478.73</t>
  </si>
  <si>
    <t>76,700.00</t>
  </si>
  <si>
    <t>1,812,000.00</t>
  </si>
  <si>
    <t>100,583.00</t>
  </si>
  <si>
    <t>2,895,902.33</t>
  </si>
  <si>
    <t>2,726,757.11</t>
  </si>
  <si>
    <t>66,348.00</t>
  </si>
  <si>
    <t>11,538,000.00</t>
  </si>
  <si>
    <t>222,270.00</t>
  </si>
  <si>
    <t>162,500.00</t>
  </si>
  <si>
    <t>417,470.00</t>
  </si>
  <si>
    <t>854,500.00</t>
  </si>
  <si>
    <t>706,000.00</t>
  </si>
  <si>
    <t>882,376.43</t>
  </si>
  <si>
    <t>60,210.00</t>
  </si>
  <si>
    <t>488,000.00</t>
  </si>
  <si>
    <t>614,000.00</t>
  </si>
  <si>
    <t>214,980.00</t>
  </si>
  <si>
    <t>1,210,822.80</t>
  </si>
  <si>
    <t>115,408.08</t>
  </si>
  <si>
    <t>3,800,000.00</t>
  </si>
  <si>
    <t>699,711.00</t>
  </si>
  <si>
    <t>316,339.82</t>
  </si>
  <si>
    <t>1,301,130.93</t>
  </si>
  <si>
    <t>495,060.00</t>
  </si>
  <si>
    <t>400,200.00</t>
  </si>
  <si>
    <t>249,900.00</t>
  </si>
  <si>
    <t>659,467.80</t>
  </si>
  <si>
    <t>62,291.25</t>
  </si>
  <si>
    <t>4,483,457.67</t>
  </si>
  <si>
    <t>1,701,876.47</t>
  </si>
  <si>
    <t>409,745.00</t>
  </si>
  <si>
    <t>1,399,403.84</t>
  </si>
  <si>
    <t>3,999,074.89</t>
  </si>
  <si>
    <t>1,922,000.00</t>
  </si>
  <si>
    <t>244,900.00</t>
  </si>
  <si>
    <t>970,569.00</t>
  </si>
  <si>
    <t>18,345.00</t>
  </si>
  <si>
    <t>252,408.00</t>
  </si>
  <si>
    <t>89,500.00</t>
  </si>
  <si>
    <t>474,000.00</t>
  </si>
  <si>
    <t>467,803.50</t>
  </si>
  <si>
    <t>73,075.20</t>
  </si>
  <si>
    <t>1,132,915.00</t>
  </si>
  <si>
    <t>155,300.00</t>
  </si>
  <si>
    <t>314,280.00</t>
  </si>
  <si>
    <t>25,535.00</t>
  </si>
  <si>
    <t>51,060.00</t>
  </si>
  <si>
    <t>194,259.80</t>
  </si>
  <si>
    <t>11,476,792.14</t>
  </si>
  <si>
    <t>11,529,050.00</t>
  </si>
  <si>
    <t>370,000.00</t>
  </si>
  <si>
    <t>278,750.00</t>
  </si>
  <si>
    <t>28,324.98</t>
  </si>
  <si>
    <t>93,450.00</t>
  </si>
  <si>
    <t>792,000.00</t>
  </si>
  <si>
    <t>14,350.00</t>
  </si>
  <si>
    <t>1,850,100.00</t>
  </si>
  <si>
    <t>134,900.00</t>
  </si>
  <si>
    <t>226,723.00</t>
  </si>
  <si>
    <t>83,627.60</t>
  </si>
  <si>
    <t>1,351,089.23</t>
  </si>
  <si>
    <t>4,917,850.31</t>
  </si>
  <si>
    <t>366,450.00</t>
  </si>
  <si>
    <t>499,400.00</t>
  </si>
  <si>
    <t>157,080.00</t>
  </si>
  <si>
    <t>83,890.60</t>
  </si>
  <si>
    <t>35,000,000.00</t>
  </si>
  <si>
    <t>904,370.00</t>
  </si>
  <si>
    <t>166,345.82</t>
  </si>
  <si>
    <t>329,147.00</t>
  </si>
  <si>
    <t>11,584.12</t>
  </si>
  <si>
    <t>218,180.00</t>
  </si>
  <si>
    <t>551,307.75</t>
  </si>
  <si>
    <t>4,499,286.82</t>
  </si>
  <si>
    <t>338,400.30</t>
  </si>
  <si>
    <t>31,900.00</t>
  </si>
  <si>
    <t>981,162.00</t>
  </si>
  <si>
    <t>7,073,000.00</t>
  </si>
  <si>
    <t>1,272,004.00</t>
  </si>
  <si>
    <t>30,000,000.00</t>
  </si>
  <si>
    <t>414,823.40</t>
  </si>
  <si>
    <t>94,602.00</t>
  </si>
  <si>
    <t>36,160.00</t>
  </si>
  <si>
    <t>591,813.20</t>
  </si>
  <si>
    <t>9,020.00</t>
  </si>
  <si>
    <t>962,293.50</t>
  </si>
  <si>
    <t>49,916.50</t>
  </si>
  <si>
    <t>71,690.00</t>
  </si>
  <si>
    <t>106,906.00</t>
  </si>
  <si>
    <t>95,400.00</t>
  </si>
  <si>
    <t>393,277.50</t>
  </si>
  <si>
    <t>641,000.00</t>
  </si>
  <si>
    <t>227,238.50</t>
  </si>
  <si>
    <t>87,375.00</t>
  </si>
  <si>
    <t>220,900.00</t>
  </si>
  <si>
    <t>582,400.00</t>
  </si>
  <si>
    <t>4,950,000.00</t>
  </si>
  <si>
    <t>105,218.00</t>
  </si>
  <si>
    <t>522,946.20</t>
  </si>
  <si>
    <t>25,880.00</t>
  </si>
  <si>
    <t>196,500.00</t>
  </si>
  <si>
    <t>532,575.00</t>
  </si>
  <si>
    <t>164,268.00</t>
  </si>
  <si>
    <t>239,478.55</t>
  </si>
  <si>
    <t>142,684.50</t>
  </si>
  <si>
    <t>729,100.00</t>
  </si>
  <si>
    <t>92,311.47</t>
  </si>
  <si>
    <t>133,500.00</t>
  </si>
  <si>
    <t>19,539.00</t>
  </si>
  <si>
    <t>312,703.71</t>
  </si>
  <si>
    <t>414,720.00</t>
  </si>
  <si>
    <t>7,142,000.00</t>
  </si>
  <si>
    <t>83,500.00</t>
  </si>
  <si>
    <t>131,475.00</t>
  </si>
  <si>
    <t>1,939,800.00</t>
  </si>
  <si>
    <t>22,233.00</t>
  </si>
  <si>
    <t>23,065.00</t>
  </si>
  <si>
    <t>489,468.00</t>
  </si>
  <si>
    <t>59,720.00</t>
  </si>
  <si>
    <t>653,934.01</t>
  </si>
  <si>
    <t>43,920,000.00</t>
  </si>
  <si>
    <t>1,204,355.00</t>
  </si>
  <si>
    <t>251,200.00</t>
  </si>
  <si>
    <t>292,845.00</t>
  </si>
  <si>
    <t>201,300.00</t>
  </si>
  <si>
    <t>1,065,256.00</t>
  </si>
  <si>
    <t>77,900.00</t>
  </si>
  <si>
    <t>479,060.00</t>
  </si>
  <si>
    <t>114,053.60</t>
  </si>
  <si>
    <t>604,350.00</t>
  </si>
  <si>
    <t>852,925.00</t>
  </si>
  <si>
    <t>3,680,849.58</t>
  </si>
  <si>
    <t>539,510.00</t>
  </si>
  <si>
    <t>100,000,000.00</t>
  </si>
  <si>
    <t>150,000,000.00</t>
  </si>
  <si>
    <t>1,332,110.00</t>
  </si>
  <si>
    <t>2,920,000.00</t>
  </si>
  <si>
    <t>237,333.00</t>
  </si>
  <si>
    <t>78,630.00</t>
  </si>
  <si>
    <t>139,448.63</t>
  </si>
  <si>
    <t>1,549,751.34</t>
  </si>
  <si>
    <t>751,810.00</t>
  </si>
  <si>
    <t>70,000,000.00</t>
  </si>
  <si>
    <t>5,463,040.00</t>
  </si>
  <si>
    <t>1,474,315.00</t>
  </si>
  <si>
    <t>3,980,000.00</t>
  </si>
  <si>
    <t>1,128,793.50</t>
  </si>
  <si>
    <t>317,961.00</t>
  </si>
  <si>
    <t>558,990.60</t>
  </si>
  <si>
    <t>26,850,000.00</t>
  </si>
  <si>
    <t>199,916.69</t>
  </si>
  <si>
    <t>1,850,025.00</t>
  </si>
  <si>
    <t>763,680.10</t>
  </si>
  <si>
    <t>188,377.24</t>
  </si>
  <si>
    <t>430,309.00</t>
  </si>
  <si>
    <t>130,935.30</t>
  </si>
  <si>
    <t>165,739.75</t>
  </si>
  <si>
    <t>54,440.00</t>
  </si>
  <si>
    <t>2,743,400.00</t>
  </si>
  <si>
    <t>697,536.00</t>
  </si>
  <si>
    <t>1,868,815.98</t>
  </si>
  <si>
    <t>4,037,769.03</t>
  </si>
  <si>
    <t>2,100.00</t>
  </si>
  <si>
    <t>121,312.18</t>
  </si>
  <si>
    <t>1,296,956.26</t>
  </si>
  <si>
    <t>55,400.00</t>
  </si>
  <si>
    <t>388,740.00</t>
  </si>
  <si>
    <t>177,290.00</t>
  </si>
  <si>
    <t>455,130.00</t>
  </si>
  <si>
    <t>797,750.00</t>
  </si>
  <si>
    <t>340,470.33</t>
  </si>
  <si>
    <t>998,800.00</t>
  </si>
  <si>
    <t>310,800.00</t>
  </si>
  <si>
    <t>965,025.17</t>
  </si>
  <si>
    <t>110,850.00</t>
  </si>
  <si>
    <t>77,450.00</t>
  </si>
  <si>
    <t>303,511.00</t>
  </si>
  <si>
    <t>211,700.00</t>
  </si>
  <si>
    <t>5,307,000.00</t>
  </si>
  <si>
    <t>5,425,000.00</t>
  </si>
  <si>
    <t>119,000.00</t>
  </si>
  <si>
    <t>64,881.00</t>
  </si>
  <si>
    <t>111,800.00</t>
  </si>
  <si>
    <t>96,203.00</t>
  </si>
  <si>
    <t>101,008.00</t>
  </si>
  <si>
    <t>1,143,595.00</t>
  </si>
  <si>
    <t>57,750.00</t>
  </si>
  <si>
    <t>9,527,832.00</t>
  </si>
  <si>
    <t>8,933,165.00</t>
  </si>
  <si>
    <t>326,500.00</t>
  </si>
  <si>
    <t>229,474.75</t>
  </si>
  <si>
    <t>185,845.00</t>
  </si>
  <si>
    <t>1,549,696.00</t>
  </si>
  <si>
    <t>550,430.00</t>
  </si>
  <si>
    <t>2,115,760.00</t>
  </si>
  <si>
    <t>362,758.88</t>
  </si>
  <si>
    <t>2,940,000.00</t>
  </si>
  <si>
    <t>384,790.00</t>
  </si>
  <si>
    <t>1,093,971.63</t>
  </si>
  <si>
    <t>994,542.04</t>
  </si>
  <si>
    <t>127,486.00</t>
  </si>
  <si>
    <t>398,605.40</t>
  </si>
  <si>
    <t>264,519.52</t>
  </si>
  <si>
    <t>149,415.00</t>
  </si>
  <si>
    <t>2,855,325.00</t>
  </si>
  <si>
    <t>2,097,710.66</t>
  </si>
  <si>
    <t>972,512.00</t>
  </si>
  <si>
    <t>153,875.00</t>
  </si>
  <si>
    <t>8,800.00</t>
  </si>
  <si>
    <t>160,740.00</t>
  </si>
  <si>
    <t>970,816.00</t>
  </si>
  <si>
    <t>98,500.00</t>
  </si>
  <si>
    <t>479,213.00</t>
  </si>
  <si>
    <t>1,465,899.00</t>
  </si>
  <si>
    <t>996,169.10</t>
  </si>
  <si>
    <t>5,880,000.00</t>
  </si>
  <si>
    <t>61,564.00</t>
  </si>
  <si>
    <t>1,028,677.69</t>
  </si>
  <si>
    <t>192,420.00</t>
  </si>
  <si>
    <t>1,112,792.63</t>
  </si>
  <si>
    <t>322,630.00</t>
  </si>
  <si>
    <t>1,960,000.00</t>
  </si>
  <si>
    <t>999,477.44</t>
  </si>
  <si>
    <t>15,718,000.00</t>
  </si>
  <si>
    <t>105,975.00</t>
  </si>
  <si>
    <t>1,290,346.60</t>
  </si>
  <si>
    <t>773,538.94</t>
  </si>
  <si>
    <t>6,239,336.90</t>
  </si>
  <si>
    <t>199,640.00</t>
  </si>
  <si>
    <t>999,996.00</t>
  </si>
  <si>
    <t>1,650,680.91</t>
  </si>
  <si>
    <t>472,200.00</t>
  </si>
  <si>
    <t>185,098.00</t>
  </si>
  <si>
    <t>21,885,000.00</t>
  </si>
  <si>
    <t>110,807.81</t>
  </si>
  <si>
    <t>426,043.28</t>
  </si>
  <si>
    <t>381,990.00</t>
  </si>
  <si>
    <t>336,335.74</t>
  </si>
  <si>
    <t>3,259,227.00</t>
  </si>
  <si>
    <t>535,800.00</t>
  </si>
  <si>
    <t>4,897,600.00</t>
  </si>
  <si>
    <t>300,450.65</t>
  </si>
  <si>
    <t>164,454.00</t>
  </si>
  <si>
    <t>978,317.44</t>
  </si>
  <si>
    <t>6,815,000.00</t>
  </si>
  <si>
    <t>2,399,665.89</t>
  </si>
  <si>
    <t>19,799,999.50</t>
  </si>
  <si>
    <t>1,186,200.00</t>
  </si>
  <si>
    <t>1,020,820.43</t>
  </si>
  <si>
    <t>276,992.00</t>
  </si>
  <si>
    <t>299,005.05</t>
  </si>
  <si>
    <t>449,921.25</t>
  </si>
  <si>
    <t>344,500.00</t>
  </si>
  <si>
    <t>259,460.00</t>
  </si>
  <si>
    <t>663,530.00</t>
  </si>
  <si>
    <t>4,397,669.40</t>
  </si>
  <si>
    <t>115,200.00</t>
  </si>
  <si>
    <t>634,723.99</t>
  </si>
  <si>
    <t>157,820.00</t>
  </si>
  <si>
    <t>1,190,365.00</t>
  </si>
  <si>
    <t>124,002.00</t>
  </si>
  <si>
    <t>1,268,545.28</t>
  </si>
  <si>
    <t>9,200,000.00</t>
  </si>
  <si>
    <t>118,425.00</t>
  </si>
  <si>
    <t>1,260,800.00</t>
  </si>
  <si>
    <t>2,579,215.74</t>
  </si>
  <si>
    <t>521,025.50</t>
  </si>
  <si>
    <t>4,433,877.00</t>
  </si>
  <si>
    <t>188,800.00</t>
  </si>
  <si>
    <t>551,500.00</t>
  </si>
  <si>
    <t>70,525.25</t>
  </si>
  <si>
    <t>1,498,000.00</t>
  </si>
  <si>
    <t>1,844,564.99</t>
  </si>
  <si>
    <t>15,580.00</t>
  </si>
  <si>
    <t>11,500.00</t>
  </si>
  <si>
    <t>7,863,000.00</t>
  </si>
  <si>
    <t>132,500.00</t>
  </si>
  <si>
    <t>865,000.00</t>
  </si>
  <si>
    <t>2,636,440.70</t>
  </si>
  <si>
    <t>98,250.00</t>
  </si>
  <si>
    <t>106,575.00</t>
  </si>
  <si>
    <t>52,912.72</t>
  </si>
  <si>
    <t>518,619.00</t>
  </si>
  <si>
    <t>597,050.07</t>
  </si>
  <si>
    <t>223,600.00</t>
  </si>
  <si>
    <t>318,776.09</t>
  </si>
  <si>
    <t>86,450.00</t>
  </si>
  <si>
    <t>144,398.00</t>
  </si>
  <si>
    <t>157,900.19</t>
  </si>
  <si>
    <t>292,500.00</t>
  </si>
  <si>
    <t>184,261.19</t>
  </si>
  <si>
    <t>10,936,904.80</t>
  </si>
  <si>
    <t>285,455.00</t>
  </si>
  <si>
    <t>1,031,870.00</t>
  </si>
  <si>
    <t>519,900.00</t>
  </si>
  <si>
    <t>1,499,998.90</t>
  </si>
  <si>
    <t>473,655.00</t>
  </si>
  <si>
    <t>202,700.00</t>
  </si>
  <si>
    <t>9,568,110.00</t>
  </si>
  <si>
    <t>245,992.01</t>
  </si>
  <si>
    <t>421,331.66</t>
  </si>
  <si>
    <t>2,097,666.92</t>
  </si>
  <si>
    <t>152,850.00</t>
  </si>
  <si>
    <t>301,300.00</t>
  </si>
  <si>
    <t>670,700.00</t>
  </si>
  <si>
    <t>259,400.00</t>
  </si>
  <si>
    <t>589,197.00</t>
  </si>
  <si>
    <t>115,707.00</t>
  </si>
  <si>
    <t>1,192,000.00</t>
  </si>
  <si>
    <t>178,437.50</t>
  </si>
  <si>
    <t>3,004,542.00</t>
  </si>
  <si>
    <t>1,067,792.25</t>
  </si>
  <si>
    <t>109,237.00</t>
  </si>
  <si>
    <t>112,700.00</t>
  </si>
  <si>
    <t>14,339,277.00</t>
  </si>
  <si>
    <t>4,772,500.00</t>
  </si>
  <si>
    <t>66,026.50</t>
  </si>
  <si>
    <t>2,827,475.26</t>
  </si>
  <si>
    <t>66,546.80</t>
  </si>
  <si>
    <t>3,866,220.00</t>
  </si>
  <si>
    <t>205,700.00</t>
  </si>
  <si>
    <t>94,850.00</t>
  </si>
  <si>
    <t>263,899.95</t>
  </si>
  <si>
    <t>227,716.00</t>
  </si>
  <si>
    <t>113,880.00</t>
  </si>
  <si>
    <t>3,315,500.00</t>
  </si>
  <si>
    <t>151,350.00</t>
  </si>
  <si>
    <t>583,950.00</t>
  </si>
  <si>
    <t>375,087.00</t>
  </si>
  <si>
    <t>80,450.00</t>
  </si>
  <si>
    <t>399,250.00</t>
  </si>
  <si>
    <t>137,400.00</t>
  </si>
  <si>
    <t>2,425,000.00</t>
  </si>
  <si>
    <t>146,250.00</t>
  </si>
  <si>
    <t>1,705,000.00</t>
  </si>
  <si>
    <t>99,820.00</t>
  </si>
  <si>
    <t>2,233,333.40</t>
  </si>
  <si>
    <t>217,035.00</t>
  </si>
  <si>
    <t>749,994.62</t>
  </si>
  <si>
    <t>628,050.00</t>
  </si>
  <si>
    <t>67,680.00</t>
  </si>
  <si>
    <t>106,525.00</t>
  </si>
  <si>
    <t>124,070.00</t>
  </si>
  <si>
    <t>904,244.00</t>
  </si>
  <si>
    <t>112,400.00</t>
  </si>
  <si>
    <t>252,400.00</t>
  </si>
  <si>
    <t>409,239.00</t>
  </si>
  <si>
    <t>94,253.00</t>
  </si>
  <si>
    <t>20,850.00</t>
  </si>
  <si>
    <t>99,700.00</t>
  </si>
  <si>
    <t>109,200.00</t>
  </si>
  <si>
    <t>8,682,933.16</t>
  </si>
  <si>
    <t>156,510.00</t>
  </si>
  <si>
    <t>3,360,000.00</t>
  </si>
  <si>
    <t>424,980.00</t>
  </si>
  <si>
    <t>616,500.00</t>
  </si>
  <si>
    <t>392,483.00</t>
  </si>
  <si>
    <t>346,000.00</t>
  </si>
  <si>
    <t>407,499.99</t>
  </si>
  <si>
    <t>502,700.00</t>
  </si>
  <si>
    <t>87,994.00</t>
  </si>
  <si>
    <t>2,999,449.91</t>
  </si>
  <si>
    <t>149,521.00</t>
  </si>
  <si>
    <t>1,199,584.67</t>
  </si>
  <si>
    <t>364,500.00</t>
  </si>
  <si>
    <t>32,255.33</t>
  </si>
  <si>
    <t>228,094.00</t>
  </si>
  <si>
    <t>6,995,054.08</t>
  </si>
  <si>
    <t>799,999.80</t>
  </si>
  <si>
    <t>3,175,000.00</t>
  </si>
  <si>
    <t>382,000.00</t>
  </si>
  <si>
    <t>1,499,998.14</t>
  </si>
  <si>
    <t>701,000.00</t>
  </si>
  <si>
    <t>7,999,822.50</t>
  </si>
  <si>
    <t>32,255.21</t>
  </si>
  <si>
    <t>161,840.00</t>
  </si>
  <si>
    <t>244,679.00</t>
  </si>
  <si>
    <t>169,637.00</t>
  </si>
  <si>
    <t>14,200.00</t>
  </si>
  <si>
    <t>110,150.00</t>
  </si>
  <si>
    <t>288,935.36</t>
  </si>
  <si>
    <t>25,343.38</t>
  </si>
  <si>
    <t>598,500.00</t>
  </si>
  <si>
    <t>462,637.50</t>
  </si>
  <si>
    <t>1,975,268.00</t>
  </si>
  <si>
    <t>166,363.76</t>
  </si>
  <si>
    <t>311,057.60</t>
  </si>
  <si>
    <t>82,640.00</t>
  </si>
  <si>
    <t>133,800.00</t>
  </si>
  <si>
    <t>4,230,000.00</t>
  </si>
  <si>
    <t>3,300,000.00</t>
  </si>
  <si>
    <t>103,000.00</t>
  </si>
  <si>
    <t>1,948,454.28</t>
  </si>
  <si>
    <t>15,555,000.00</t>
  </si>
  <si>
    <t>1,457,734.53</t>
  </si>
  <si>
    <t>123,960.00</t>
  </si>
  <si>
    <t>152,490.00</t>
  </si>
  <si>
    <t>1,117,999.00</t>
  </si>
  <si>
    <t>1,981,700.00</t>
  </si>
  <si>
    <t>321,100.00</t>
  </si>
  <si>
    <t>264,931.00</t>
  </si>
  <si>
    <t>87,600.00</t>
  </si>
  <si>
    <t>1,998,650.00</t>
  </si>
  <si>
    <t>140,040.00</t>
  </si>
  <si>
    <t>60,595.89</t>
  </si>
  <si>
    <t>111,350.00</t>
  </si>
  <si>
    <t>107,018.48</t>
  </si>
  <si>
    <t>199,320.00</t>
  </si>
  <si>
    <t>304,884.60</t>
  </si>
  <si>
    <t>12,934,996.85</t>
  </si>
  <si>
    <t>1,395,720.00</t>
  </si>
  <si>
    <t>318,980.00</t>
  </si>
  <si>
    <t>470,160.00</t>
  </si>
  <si>
    <t>137,190.00</t>
  </si>
  <si>
    <t>84,096.00</t>
  </si>
  <si>
    <t>1,945,113.61</t>
  </si>
  <si>
    <t>1,968,674.22</t>
  </si>
  <si>
    <t>270,088.50</t>
  </si>
  <si>
    <t>2,442,213.20</t>
  </si>
  <si>
    <t>2,818,962.07</t>
  </si>
  <si>
    <t>194,200.00</t>
  </si>
  <si>
    <t>3,600,000.00</t>
  </si>
  <si>
    <t>1,400,000.00</t>
  </si>
  <si>
    <t>6,966,992.70</t>
  </si>
  <si>
    <t>32,255.31</t>
  </si>
  <si>
    <t>220,722.60</t>
  </si>
  <si>
    <t>361,790.00</t>
  </si>
  <si>
    <t>69,672.00</t>
  </si>
  <si>
    <t>189,061.95</t>
  </si>
  <si>
    <t>998,235.00</t>
  </si>
  <si>
    <t>106,578.30</t>
  </si>
  <si>
    <t>223,177.50</t>
  </si>
  <si>
    <t>130,465.00</t>
  </si>
  <si>
    <t>1,385,940.00</t>
  </si>
  <si>
    <t>100,652.40</t>
  </si>
  <si>
    <t>511,098.50</t>
  </si>
  <si>
    <t>94,710.71</t>
  </si>
  <si>
    <t>157,600.00</t>
  </si>
  <si>
    <t>93,932.40</t>
  </si>
  <si>
    <t>37,557,000.00</t>
  </si>
  <si>
    <t>95,562.00</t>
  </si>
  <si>
    <t>3,113,577.00</t>
  </si>
  <si>
    <t>23,003,434.20</t>
  </si>
  <si>
    <t>87,360.00</t>
  </si>
  <si>
    <t>703,511.00</t>
  </si>
  <si>
    <t>1,499,999.98</t>
  </si>
  <si>
    <t>1,565,500.00</t>
  </si>
  <si>
    <t>6,018.00</t>
  </si>
  <si>
    <t>9,302,000.00</t>
  </si>
  <si>
    <t>1,136,373.30</t>
  </si>
  <si>
    <t>984,980.00</t>
  </si>
  <si>
    <t>2,969,778.47</t>
  </si>
  <si>
    <t>88,230.00</t>
  </si>
  <si>
    <t>233,378.94</t>
  </si>
  <si>
    <t>895,854.76</t>
  </si>
  <si>
    <t>764,525.00</t>
  </si>
  <si>
    <t>1,018,800.00</t>
  </si>
  <si>
    <t>58,700.00</t>
  </si>
  <si>
    <t>103,565.00</t>
  </si>
  <si>
    <t>200,900.00</t>
  </si>
  <si>
    <t>823,000.00</t>
  </si>
  <si>
    <t>15,200.00</t>
  </si>
  <si>
    <t>196,374.00</t>
  </si>
  <si>
    <t>101,985.00</t>
  </si>
  <si>
    <t>2,437,709.00</t>
  </si>
  <si>
    <t>3,541,000.00</t>
  </si>
  <si>
    <t>3,817,000.00</t>
  </si>
  <si>
    <t>261,500.00</t>
  </si>
  <si>
    <t>17,651,000.00</t>
  </si>
  <si>
    <t>226,440.00</t>
  </si>
  <si>
    <t>1,506,000.00</t>
  </si>
  <si>
    <t>7,178,000.00</t>
  </si>
  <si>
    <t>231,716.10</t>
  </si>
  <si>
    <t>11,342,903.67</t>
  </si>
  <si>
    <t>906,307.76</t>
  </si>
  <si>
    <t>1,182,477.00</t>
  </si>
  <si>
    <t>367,044.24</t>
  </si>
  <si>
    <t>2,800,000.00</t>
  </si>
  <si>
    <t>158,150.00</t>
  </si>
  <si>
    <t>278,437.50</t>
  </si>
  <si>
    <t>558,960.00</t>
  </si>
  <si>
    <t>376,360.00</t>
  </si>
  <si>
    <t>247,798.40</t>
  </si>
  <si>
    <t>139,165.00</t>
  </si>
  <si>
    <t>253,300.00</t>
  </si>
  <si>
    <t>26,969,829.00</t>
  </si>
  <si>
    <t>1,502,040.00</t>
  </si>
  <si>
    <t>104,824.00</t>
  </si>
  <si>
    <t>347,399.00</t>
  </si>
  <si>
    <t>29,700,000.00</t>
  </si>
  <si>
    <t>99,892.00</t>
  </si>
  <si>
    <t>328,437.50</t>
  </si>
  <si>
    <t>260,400.00</t>
  </si>
  <si>
    <t>1,504,000.00</t>
  </si>
  <si>
    <t>502,000.00</t>
  </si>
  <si>
    <t>376,400.00</t>
  </si>
  <si>
    <t>1,580,900.00</t>
  </si>
  <si>
    <t>164,000.00</t>
  </si>
  <si>
    <t>133,400.00</t>
  </si>
  <si>
    <t>299,656.88</t>
  </si>
  <si>
    <t>299,374.69</t>
  </si>
  <si>
    <t>427,000.00</t>
  </si>
  <si>
    <t>535,877.00</t>
  </si>
  <si>
    <t>7,196,944.86</t>
  </si>
  <si>
    <t>110,870.00</t>
  </si>
  <si>
    <t>5,622,699.60</t>
  </si>
  <si>
    <t>269,300.00</t>
  </si>
  <si>
    <t>267,350.00</t>
  </si>
  <si>
    <t>3,440,615.06</t>
  </si>
  <si>
    <t>124,404.00</t>
  </si>
  <si>
    <t>2,499,186.85</t>
  </si>
  <si>
    <t>594,626.82</t>
  </si>
  <si>
    <t>76,854.00</t>
  </si>
  <si>
    <t>466,281.98</t>
  </si>
  <si>
    <t>9,481,464.26</t>
  </si>
  <si>
    <t>826,068.08</t>
  </si>
  <si>
    <t>550,883.40</t>
  </si>
  <si>
    <t>314,339.84</t>
  </si>
  <si>
    <t>91,228.79</t>
  </si>
  <si>
    <t>7,038,348.66</t>
  </si>
  <si>
    <t>163,787.00</t>
  </si>
  <si>
    <t>816,856.00</t>
  </si>
  <si>
    <t>20,622,794.98</t>
  </si>
  <si>
    <t>2,960,008.30</t>
  </si>
  <si>
    <t>5,747,603.00</t>
  </si>
  <si>
    <t>204,232.00</t>
  </si>
  <si>
    <t>19,024.50</t>
  </si>
  <si>
    <t>183,750.00</t>
  </si>
  <si>
    <t>120,750.00</t>
  </si>
  <si>
    <t>10,917,691.66</t>
  </si>
  <si>
    <t>221,611.00</t>
  </si>
  <si>
    <t>2,302,000.00</t>
  </si>
  <si>
    <t>1,952,575.20</t>
  </si>
  <si>
    <t>1,559,250.00</t>
  </si>
  <si>
    <t>249,000.00</t>
  </si>
  <si>
    <t>648,960.00</t>
  </si>
  <si>
    <t>69,078.68</t>
  </si>
  <si>
    <t>4,002,624.27</t>
  </si>
  <si>
    <t>299,954.54</t>
  </si>
  <si>
    <t>1,630,000.00</t>
  </si>
  <si>
    <t>620,100.00</t>
  </si>
  <si>
    <t>4,999,999.97</t>
  </si>
  <si>
    <t>4,270,000.00</t>
  </si>
  <si>
    <t>12,550,000.00</t>
  </si>
  <si>
    <t>6,623,000.00</t>
  </si>
  <si>
    <t>833,530.00</t>
  </si>
  <si>
    <t>62,060.00</t>
  </si>
  <si>
    <t>115,710.00</t>
  </si>
  <si>
    <t>104,743.00</t>
  </si>
  <si>
    <t>507,537.00</t>
  </si>
  <si>
    <t>492,650.00</t>
  </si>
  <si>
    <t>103,020.00</t>
  </si>
  <si>
    <t>182,220.00</t>
  </si>
  <si>
    <t>594,529.69</t>
  </si>
  <si>
    <t>525,745.00</t>
  </si>
  <si>
    <t>2,332,555.25</t>
  </si>
  <si>
    <t>482,632.52</t>
  </si>
  <si>
    <t>772,575.82</t>
  </si>
  <si>
    <t>966,248.77</t>
  </si>
  <si>
    <t>511,543.00</t>
  </si>
  <si>
    <t>1,991,543.43</t>
  </si>
  <si>
    <t>1,159,436.25</t>
  </si>
  <si>
    <t>813,936.00</t>
  </si>
  <si>
    <t>4,165,060.00</t>
  </si>
  <si>
    <t>1,458,987.49</t>
  </si>
  <si>
    <t>1,204,000.00</t>
  </si>
  <si>
    <t>1,947,102.54</t>
  </si>
  <si>
    <t>965,741.03</t>
  </si>
  <si>
    <t>175,962.86</t>
  </si>
  <si>
    <t>525,000.00</t>
  </si>
  <si>
    <t>5,820,000.00</t>
  </si>
  <si>
    <t>799,300.00</t>
  </si>
  <si>
    <t>69,995.00</t>
  </si>
  <si>
    <t>4,665,840.00</t>
  </si>
  <si>
    <t>2,725,000.00</t>
  </si>
  <si>
    <t>1,298,587.77</t>
  </si>
  <si>
    <t>61,420.00</t>
  </si>
  <si>
    <t>146,770.08</t>
  </si>
  <si>
    <t>2,199,840.10</t>
  </si>
  <si>
    <t>1,489,429.78</t>
  </si>
  <si>
    <t>2,089,341.90</t>
  </si>
  <si>
    <t>10,570,735.00</t>
  </si>
  <si>
    <t>995,416.27</t>
  </si>
  <si>
    <t>332,380.00</t>
  </si>
  <si>
    <t>799,900.00</t>
  </si>
  <si>
    <t>824,000.00</t>
  </si>
  <si>
    <t>112,375.00</t>
  </si>
  <si>
    <t>7,157,627.58</t>
  </si>
  <si>
    <t>1,094,201.17</t>
  </si>
  <si>
    <t>3,489,088.72</t>
  </si>
  <si>
    <t>2,321,536.00</t>
  </si>
  <si>
    <t>580,229.00</t>
  </si>
  <si>
    <t>599,940.00</t>
  </si>
  <si>
    <t>32,499,008.49</t>
  </si>
  <si>
    <t>8,080.00</t>
  </si>
  <si>
    <t>789,170.00</t>
  </si>
  <si>
    <t>386,320.00</t>
  </si>
  <si>
    <t>44,000.00</t>
  </si>
  <si>
    <t>231,540.00</t>
  </si>
  <si>
    <t>61,750.00</t>
  </si>
  <si>
    <t>57,732.00</t>
  </si>
  <si>
    <t>1,189,060.00</t>
  </si>
  <si>
    <t>208,000.00</t>
  </si>
  <si>
    <t>516,800.00</t>
  </si>
  <si>
    <t>883,250.00</t>
  </si>
  <si>
    <t>417,500.00</t>
  </si>
  <si>
    <t>18,900,000.00</t>
  </si>
  <si>
    <t>299,979.00</t>
  </si>
  <si>
    <t>178,568.15</t>
  </si>
  <si>
    <t>671,000.00</t>
  </si>
  <si>
    <t>691,390.00</t>
  </si>
  <si>
    <t>271,156.70</t>
  </si>
  <si>
    <t>2,998,042.27</t>
  </si>
  <si>
    <t>4,498,970.82</t>
  </si>
  <si>
    <t>2,957,125.00</t>
  </si>
  <si>
    <t>32,391,854.35</t>
  </si>
  <si>
    <t>17,999,999.60</t>
  </si>
  <si>
    <t>991,000.00</t>
  </si>
  <si>
    <t>58,270.00</t>
  </si>
  <si>
    <t>999,997.82</t>
  </si>
  <si>
    <t>742,282.00</t>
  </si>
  <si>
    <t>999,974.64</t>
  </si>
  <si>
    <t>630,497.75</t>
  </si>
  <si>
    <t>2,709,000.00</t>
  </si>
  <si>
    <t>1,199,999.99</t>
  </si>
  <si>
    <t>79,042.50</t>
  </si>
  <si>
    <t>123,030.04</t>
  </si>
  <si>
    <t>1,340,905.00</t>
  </si>
  <si>
    <t>115,379.10</t>
  </si>
  <si>
    <t>581,300.00</t>
  </si>
  <si>
    <t>3,002,671.00</t>
  </si>
  <si>
    <t>102,900.00</t>
  </si>
  <si>
    <t>2,985,404.17</t>
  </si>
  <si>
    <t>6,300,000.00</t>
  </si>
  <si>
    <t>1,436,500.00</t>
  </si>
  <si>
    <t>12,323,292.47</t>
  </si>
  <si>
    <t>279,130.00</t>
  </si>
  <si>
    <t>68,578.53</t>
  </si>
  <si>
    <t>27,157,423.92</t>
  </si>
  <si>
    <t>298,975.00</t>
  </si>
  <si>
    <t>181,093.54</t>
  </si>
  <si>
    <t>133,040.00</t>
  </si>
  <si>
    <t>88,100.00</t>
  </si>
  <si>
    <t>159,043.00</t>
  </si>
  <si>
    <t>28,550.00</t>
  </si>
  <si>
    <t>12,749,293.33</t>
  </si>
  <si>
    <t>136,765.00</t>
  </si>
  <si>
    <t>1,564,900.00</t>
  </si>
  <si>
    <t>760,119.00</t>
  </si>
  <si>
    <t>159,600.00</t>
  </si>
  <si>
    <t>792,591.45</t>
  </si>
  <si>
    <t>623,855.00</t>
  </si>
  <si>
    <t>18,750.00</t>
  </si>
  <si>
    <t>159,680.00</t>
  </si>
  <si>
    <t>81,592.00</t>
  </si>
  <si>
    <t>380,037.50</t>
  </si>
  <si>
    <t>166,680.00</t>
  </si>
  <si>
    <t>24,360.00</t>
  </si>
  <si>
    <t>3,498,851.70</t>
  </si>
  <si>
    <t>7,272,996.07</t>
  </si>
  <si>
    <t>63,200.00</t>
  </si>
  <si>
    <t>77,515.00</t>
  </si>
  <si>
    <t>55,512.00</t>
  </si>
  <si>
    <t>242,150.00</t>
  </si>
  <si>
    <t>2,251,590.60</t>
  </si>
  <si>
    <t>9,799,997.65</t>
  </si>
  <si>
    <t>188,010.00</t>
  </si>
  <si>
    <t>261,000.00</t>
  </si>
  <si>
    <t>450,051.80</t>
  </si>
  <si>
    <t>39,408.00</t>
  </si>
  <si>
    <t>62,625.00</t>
  </si>
  <si>
    <t>74,120.50</t>
  </si>
  <si>
    <t>205,710.00</t>
  </si>
  <si>
    <t>3,830.00</t>
  </si>
  <si>
    <t>57,397.00</t>
  </si>
  <si>
    <t>213,888.07</t>
  </si>
  <si>
    <t>262,800.00</t>
  </si>
  <si>
    <t>3,714,000.00</t>
  </si>
  <si>
    <t>568,500.00</t>
  </si>
  <si>
    <t>149,365.40</t>
  </si>
  <si>
    <t>269,321.84</t>
  </si>
  <si>
    <t>296,105.00</t>
  </si>
  <si>
    <t>56,610.00</t>
  </si>
  <si>
    <t>291,565.00</t>
  </si>
  <si>
    <t>1,348,536.11</t>
  </si>
  <si>
    <t>187,740.00</t>
  </si>
  <si>
    <t>200,190.00</t>
  </si>
  <si>
    <t>348,252.00</t>
  </si>
  <si>
    <t>274,809.15</t>
  </si>
  <si>
    <t>331,628.50</t>
  </si>
  <si>
    <t>631,800.00</t>
  </si>
  <si>
    <t>629,675.00</t>
  </si>
  <si>
    <t>559,165.00</t>
  </si>
  <si>
    <t>71,750.00</t>
  </si>
  <si>
    <t>556,000.00</t>
  </si>
  <si>
    <t>248,720.00</t>
  </si>
  <si>
    <t>3,177,367.00</t>
  </si>
  <si>
    <t>726,240.00</t>
  </si>
  <si>
    <t>94,715.00</t>
  </si>
  <si>
    <t>655,645.91</t>
  </si>
  <si>
    <t>82,184.38</t>
  </si>
  <si>
    <t>465,770.00</t>
  </si>
  <si>
    <t>158,400.00</t>
  </si>
  <si>
    <t>208,293.12</t>
  </si>
  <si>
    <t>7,313,160.00</t>
  </si>
  <si>
    <t>108,506.00</t>
  </si>
  <si>
    <t>499,950.00</t>
  </si>
  <si>
    <t>534,582.66</t>
  </si>
  <si>
    <t>14,638.70</t>
  </si>
  <si>
    <t>95,088.00</t>
  </si>
  <si>
    <t>173,050.00</t>
  </si>
  <si>
    <t>75,500.00</t>
  </si>
  <si>
    <t>126,738.00</t>
  </si>
  <si>
    <t>1,694,323.71</t>
  </si>
  <si>
    <t>2,520,000.00</t>
  </si>
  <si>
    <t>206,900.00</t>
  </si>
  <si>
    <t>51,280.00</t>
  </si>
  <si>
    <t>71,995.75</t>
  </si>
  <si>
    <t>242,040.68</t>
  </si>
  <si>
    <t>249,103.60</t>
  </si>
  <si>
    <t>93,032.50</t>
  </si>
  <si>
    <t>117,010.00</t>
  </si>
  <si>
    <t>799,680.00</t>
  </si>
  <si>
    <t>899,829.89</t>
  </si>
  <si>
    <t>121,500.00</t>
  </si>
  <si>
    <t>98,850.60</t>
  </si>
  <si>
    <t>74,350.00</t>
  </si>
  <si>
    <t>270,597.50</t>
  </si>
  <si>
    <t>555,240.00</t>
  </si>
  <si>
    <t>72,340.00</t>
  </si>
  <si>
    <t>2,509,000.00</t>
  </si>
  <si>
    <t>827,220.00</t>
  </si>
  <si>
    <t>149,790.00</t>
  </si>
  <si>
    <t>149,911.00</t>
  </si>
  <si>
    <t>1,387,000.00</t>
  </si>
  <si>
    <t>69,975.03</t>
  </si>
  <si>
    <t>499,938.89</t>
  </si>
  <si>
    <t>16,776.63</t>
  </si>
  <si>
    <t>832,817.00</t>
  </si>
  <si>
    <t>219,801.00</t>
  </si>
  <si>
    <t>5,800,000.00</t>
  </si>
  <si>
    <t>347,810.00</t>
  </si>
  <si>
    <t>370,330.00</t>
  </si>
  <si>
    <t>300.00</t>
  </si>
  <si>
    <t>2,999,000.00</t>
  </si>
  <si>
    <t>4,017,000.00</t>
  </si>
  <si>
    <t>188,140.00</t>
  </si>
  <si>
    <t>182,352.15</t>
  </si>
  <si>
    <t>195,556.25</t>
  </si>
  <si>
    <t>157,996.00</t>
  </si>
  <si>
    <t>274,193.17</t>
  </si>
  <si>
    <t>2,138,840.00</t>
  </si>
  <si>
    <t>562,450.00</t>
  </si>
  <si>
    <t>607,085.00</t>
  </si>
  <si>
    <t>24,706,040.00</t>
  </si>
  <si>
    <t>77,990.00</t>
  </si>
  <si>
    <t>5,802,519.00</t>
  </si>
  <si>
    <t>54,825.00</t>
  </si>
  <si>
    <t>333,270.00</t>
  </si>
  <si>
    <t>3,972,800.00</t>
  </si>
  <si>
    <t>1,430,873.30</t>
  </si>
  <si>
    <t>456,738.06</t>
  </si>
  <si>
    <t>354,683.86</t>
  </si>
  <si>
    <t>63,980.00</t>
  </si>
  <si>
    <t>1,199,890.00</t>
  </si>
  <si>
    <t>956,943.00</t>
  </si>
  <si>
    <t>1,081,000.00</t>
  </si>
  <si>
    <t>62,290,000.00</t>
  </si>
  <si>
    <t>1,848,658.35</t>
  </si>
  <si>
    <t>105,000,000.00</t>
  </si>
  <si>
    <t>99,712.14</t>
  </si>
  <si>
    <t>453,500.00</t>
  </si>
  <si>
    <t>291,850.00</t>
  </si>
  <si>
    <t>360,103.81</t>
  </si>
  <si>
    <t>1,994,475.00</t>
  </si>
  <si>
    <t>249,253.76</t>
  </si>
  <si>
    <t>104,150.00</t>
  </si>
  <si>
    <t>590,991.02</t>
  </si>
  <si>
    <t>955,800.00</t>
  </si>
  <si>
    <t>1,997,000.00</t>
  </si>
  <si>
    <t>430,200.00</t>
  </si>
  <si>
    <t>1,748,591.30</t>
  </si>
  <si>
    <t>253,614.48</t>
  </si>
  <si>
    <t>90,770.00</t>
  </si>
  <si>
    <t>280,800.00</t>
  </si>
  <si>
    <t>801,700.00</t>
  </si>
  <si>
    <t>365,301.00</t>
  </si>
  <si>
    <t>152,771.00</t>
  </si>
  <si>
    <t>837,900.00</t>
  </si>
  <si>
    <t>2,324,550.00</t>
  </si>
  <si>
    <t>193,644.00</t>
  </si>
  <si>
    <t>107,120.00</t>
  </si>
  <si>
    <t>56,735.00</t>
  </si>
  <si>
    <t>399,995.46</t>
  </si>
  <si>
    <t>202,040.00</t>
  </si>
  <si>
    <t>1,650,000.00</t>
  </si>
  <si>
    <t>1,055,452.00</t>
  </si>
  <si>
    <t>53,724.00</t>
  </si>
  <si>
    <t>1,183,280.00</t>
  </si>
  <si>
    <t>980,960.00</t>
  </si>
  <si>
    <t>149,900.00</t>
  </si>
  <si>
    <t>117,068.00</t>
  </si>
  <si>
    <t>1,303,473.65</t>
  </si>
  <si>
    <t>2,831,736.40</t>
  </si>
  <si>
    <t>581,930.00</t>
  </si>
  <si>
    <t>84,149.00</t>
  </si>
  <si>
    <t>345,800.00</t>
  </si>
  <si>
    <t>84,798.00</t>
  </si>
  <si>
    <t>999,921.56</t>
  </si>
  <si>
    <t>149,138.35</t>
  </si>
  <si>
    <t>529,859.60</t>
  </si>
  <si>
    <t>424,000.00</t>
  </si>
  <si>
    <t>413,869.00</t>
  </si>
  <si>
    <t>325,230.00</t>
  </si>
  <si>
    <t>260,377.30</t>
  </si>
  <si>
    <t>668,731.35</t>
  </si>
  <si>
    <t>186,882.00</t>
  </si>
  <si>
    <t>84,600.00</t>
  </si>
  <si>
    <t>974,864.23</t>
  </si>
  <si>
    <t>1,495,800.00</t>
  </si>
  <si>
    <t>79,062.00</t>
  </si>
  <si>
    <t>4,247,926.05</t>
  </si>
  <si>
    <t>979,000.00</t>
  </si>
  <si>
    <t>762,160.00</t>
  </si>
  <si>
    <t>995,280.00</t>
  </si>
  <si>
    <t>527,190.00</t>
  </si>
  <si>
    <t>1,263,893.90</t>
  </si>
  <si>
    <t>166,800.00</t>
  </si>
  <si>
    <t>11,400.00</t>
  </si>
  <si>
    <t>110,400.00</t>
  </si>
  <si>
    <t>105,650.00</t>
  </si>
  <si>
    <t>99,565.00</t>
  </si>
  <si>
    <t>88,615.00</t>
  </si>
  <si>
    <t>199,030.00</t>
  </si>
  <si>
    <t>171,700.00</t>
  </si>
  <si>
    <t>2,401,778.06</t>
  </si>
  <si>
    <t>358,950.00</t>
  </si>
  <si>
    <t>710,000.00</t>
  </si>
  <si>
    <t>499,987.69</t>
  </si>
  <si>
    <t>771,984.00</t>
  </si>
  <si>
    <t>12,468,593.75</t>
  </si>
  <si>
    <t>4,086,774.09</t>
  </si>
  <si>
    <t>312,853.00</t>
  </si>
  <si>
    <t>582,561.00</t>
  </si>
  <si>
    <t>73,795.00</t>
  </si>
  <si>
    <t>780,193.52</t>
  </si>
  <si>
    <t>217,723.55</t>
  </si>
  <si>
    <t>14,232,082.60</t>
  </si>
  <si>
    <t>104,785.00</t>
  </si>
  <si>
    <t>219,918.00</t>
  </si>
  <si>
    <t>59,062.50</t>
  </si>
  <si>
    <t>181,200.00</t>
  </si>
  <si>
    <t>79,956.00</t>
  </si>
  <si>
    <t>393,784.00</t>
  </si>
  <si>
    <t>459,292.00</t>
  </si>
  <si>
    <t>147,780.00</t>
  </si>
  <si>
    <t>1,330,000.00</t>
  </si>
  <si>
    <t>819,000.00</t>
  </si>
  <si>
    <t>664,992.72</t>
  </si>
  <si>
    <t>599,545.01</t>
  </si>
  <si>
    <t>361,800.00</t>
  </si>
  <si>
    <t>80,524.50</t>
  </si>
  <si>
    <t>1,396,222.39</t>
  </si>
  <si>
    <t>203,500.00</t>
  </si>
  <si>
    <t>1,994,763.00</t>
  </si>
  <si>
    <t>1,804,101.90</t>
  </si>
  <si>
    <t>2,894,525.03</t>
  </si>
  <si>
    <t>383,229.00</t>
  </si>
  <si>
    <t>19,405,269.32</t>
  </si>
  <si>
    <t>307,417.41</t>
  </si>
  <si>
    <t>155,600.00</t>
  </si>
  <si>
    <t>341,958.75</t>
  </si>
  <si>
    <t>9,131,847.06</t>
  </si>
  <si>
    <t>135,620.18</t>
  </si>
  <si>
    <t>540,115.94</t>
  </si>
  <si>
    <t>177,192.00</t>
  </si>
  <si>
    <t>6,184,719.94</t>
  </si>
  <si>
    <t>4,598,176.50</t>
  </si>
  <si>
    <t>547,200.00</t>
  </si>
  <si>
    <t>645,000.68</t>
  </si>
  <si>
    <t>2,035,000.00</t>
  </si>
  <si>
    <t>1,544,942.00</t>
  </si>
  <si>
    <t>1,500,505.00</t>
  </si>
  <si>
    <t>130,660.00</t>
  </si>
  <si>
    <t>211,000.00</t>
  </si>
  <si>
    <t>256,737.25</t>
  </si>
  <si>
    <t>133,770.00</t>
  </si>
  <si>
    <t>719,500.00</t>
  </si>
  <si>
    <t>227,370.00</t>
  </si>
  <si>
    <t>1,070,000.00</t>
  </si>
  <si>
    <t>371,719.00</t>
  </si>
  <si>
    <t>186,107.50</t>
  </si>
  <si>
    <t>157,930.00</t>
  </si>
  <si>
    <t>4,330.00</t>
  </si>
  <si>
    <t>59,080.00</t>
  </si>
  <si>
    <t>654,000.00</t>
  </si>
  <si>
    <t>317,550.00</t>
  </si>
  <si>
    <t>598,298.00</t>
  </si>
  <si>
    <t>4,363,016.40</t>
  </si>
  <si>
    <t>237,988.00</t>
  </si>
  <si>
    <t>277,645.00</t>
  </si>
  <si>
    <t>429,409.65</t>
  </si>
  <si>
    <t>7,454,815.41</t>
  </si>
  <si>
    <t>4,208,833.13</t>
  </si>
  <si>
    <t>239,424.00</t>
  </si>
  <si>
    <t>202,943.00</t>
  </si>
  <si>
    <t>29,652,177.60</t>
  </si>
  <si>
    <t>4,122,637.22</t>
  </si>
  <si>
    <t>5,198,812.02</t>
  </si>
  <si>
    <t>2,749,621.26</t>
  </si>
  <si>
    <t>1,697,918.12</t>
  </si>
  <si>
    <t>7,085,402.80</t>
  </si>
  <si>
    <t>2,766,150.00</t>
  </si>
  <si>
    <t>256,192.00</t>
  </si>
  <si>
    <t>1,233,622.00</t>
  </si>
  <si>
    <t>199,999.80</t>
  </si>
  <si>
    <t>4,845,937.96</t>
  </si>
  <si>
    <t>135,380.00</t>
  </si>
  <si>
    <t>4,498,788.34</t>
  </si>
  <si>
    <t>411,412.68</t>
  </si>
  <si>
    <t>522,500.00</t>
  </si>
  <si>
    <t>6,063,371.36</t>
  </si>
  <si>
    <t>3,942,591.59</t>
  </si>
  <si>
    <t>496,084.27</t>
  </si>
  <si>
    <t>4,382,010.55</t>
  </si>
  <si>
    <t>1,497,422.63</t>
  </si>
  <si>
    <t>1,051,020.14</t>
  </si>
  <si>
    <t>891,660.70</t>
  </si>
  <si>
    <t>499,983.80</t>
  </si>
  <si>
    <t>312,793.59</t>
  </si>
  <si>
    <t>133,600.00</t>
  </si>
  <si>
    <t>4,888,383.44</t>
  </si>
  <si>
    <t>1,732,267.50</t>
  </si>
  <si>
    <t>679,218.80</t>
  </si>
  <si>
    <t>30,500.00</t>
  </si>
  <si>
    <t>131,768.00</t>
  </si>
  <si>
    <t>209,870.00</t>
  </si>
  <si>
    <t>1,584,237.50</t>
  </si>
  <si>
    <t>1,498,900.00</t>
  </si>
  <si>
    <t>2,499,624.70</t>
  </si>
  <si>
    <t>718,800.00</t>
  </si>
  <si>
    <t>1,028,623.64</t>
  </si>
  <si>
    <t>290,981.25</t>
  </si>
  <si>
    <t>171,269.60</t>
  </si>
  <si>
    <t>364,816.00</t>
  </si>
  <si>
    <t>31,060.00</t>
  </si>
  <si>
    <t>1,025,826.00</t>
  </si>
  <si>
    <t>3,454,798.60</t>
  </si>
  <si>
    <t>110,670.00</t>
  </si>
  <si>
    <t>184,300.00</t>
  </si>
  <si>
    <t>189,250.00</t>
  </si>
  <si>
    <t>289,610.00</t>
  </si>
  <si>
    <t>112,180.00</t>
  </si>
  <si>
    <t>265,799.00</t>
  </si>
  <si>
    <t>693,540.00</t>
  </si>
  <si>
    <t>51,407,072.00</t>
  </si>
  <si>
    <t>608,334.96</t>
  </si>
  <si>
    <t>203,000.00</t>
  </si>
  <si>
    <t>1,298,929.06</t>
  </si>
  <si>
    <t>2,814,717.93</t>
  </si>
  <si>
    <t>1,238,050.00</t>
  </si>
  <si>
    <t>2,938,898.01</t>
  </si>
  <si>
    <t>43,424,758.68</t>
  </si>
  <si>
    <t>23,636,115.00</t>
  </si>
  <si>
    <t>1,848,653.97</t>
  </si>
  <si>
    <t>995,621.05</t>
  </si>
  <si>
    <t>232,217.53</t>
  </si>
  <si>
    <t>4,199,000.00</t>
  </si>
  <si>
    <t>79,820.00</t>
  </si>
  <si>
    <t>428,653.17</t>
  </si>
  <si>
    <t>743,150.00</t>
  </si>
  <si>
    <t>1,496,670.00</t>
  </si>
  <si>
    <t>284,083.00</t>
  </si>
  <si>
    <t>3,530,000.00</t>
  </si>
  <si>
    <t>65,700.00</t>
  </si>
  <si>
    <t>1,499,999.56</t>
  </si>
  <si>
    <t>1,970,300.00</t>
  </si>
  <si>
    <t>28,400.00</t>
  </si>
  <si>
    <t>1,545,794.64</t>
  </si>
  <si>
    <t>194,800.00</t>
  </si>
  <si>
    <t>464,187.72</t>
  </si>
  <si>
    <t>99,400.00</t>
  </si>
  <si>
    <t>3,106,400.00</t>
  </si>
  <si>
    <t>301,284.00</t>
  </si>
  <si>
    <t>2,722,050.00</t>
  </si>
  <si>
    <t>86,002.40</t>
  </si>
  <si>
    <t>1,113,310.00</t>
  </si>
  <si>
    <t>1,723,784.83</t>
  </si>
  <si>
    <t>1,356,686.43</t>
  </si>
  <si>
    <t>1,715,000.00</t>
  </si>
  <si>
    <t>5,833,762.46</t>
  </si>
  <si>
    <t>4,470,000.00</t>
  </si>
  <si>
    <t>235,501.40</t>
  </si>
  <si>
    <t>56,800.00</t>
  </si>
  <si>
    <t>416,250.00</t>
  </si>
  <si>
    <t>999,998.00</t>
  </si>
  <si>
    <t>272,944.90</t>
  </si>
  <si>
    <t>2,623,000.00</t>
  </si>
  <si>
    <t>697,440.00</t>
  </si>
  <si>
    <t>2,768,702.15</t>
  </si>
  <si>
    <t>9,999,962.33</t>
  </si>
  <si>
    <t>186,250.00</t>
  </si>
  <si>
    <t>481,559.50</t>
  </si>
  <si>
    <t>370,241.66</t>
  </si>
  <si>
    <t>53,976.20</t>
  </si>
  <si>
    <t>490,492.00</t>
  </si>
  <si>
    <t>1,796,900.00</t>
  </si>
  <si>
    <t>168,465.55</t>
  </si>
  <si>
    <t>371,467.64</t>
  </si>
  <si>
    <t>1,499,158.45</t>
  </si>
  <si>
    <t>413,149.50</t>
  </si>
  <si>
    <t>116,250.00</t>
  </si>
  <si>
    <t>735,747.89</t>
  </si>
  <si>
    <t>3,104,408.36</t>
  </si>
  <si>
    <t>481,310.00</t>
  </si>
  <si>
    <t>167,200.00</t>
  </si>
  <si>
    <t>282,857.70</t>
  </si>
  <si>
    <t>320,500.00</t>
  </si>
  <si>
    <t>1,963,966.27</t>
  </si>
  <si>
    <t>384,416.25</t>
  </si>
  <si>
    <t>999,986.98</t>
  </si>
  <si>
    <t>246,655.00</t>
  </si>
  <si>
    <t>1,509,800.00</t>
  </si>
  <si>
    <t>1,051,950.01</t>
  </si>
  <si>
    <t>141,188.00</t>
  </si>
  <si>
    <t>5,110,000.00</t>
  </si>
  <si>
    <t>383,073.71</t>
  </si>
  <si>
    <t>7,400,000.00</t>
  </si>
  <si>
    <t>527,137.40</t>
  </si>
  <si>
    <t>775,556.20</t>
  </si>
  <si>
    <t>64,820.00</t>
  </si>
  <si>
    <t>405,144.50</t>
  </si>
  <si>
    <t>2,880,000.00</t>
  </si>
  <si>
    <t>99,333.00</t>
  </si>
  <si>
    <t>316,500.00</t>
  </si>
  <si>
    <t>957,500.00</t>
  </si>
  <si>
    <t>294,500.00</t>
  </si>
  <si>
    <t>429,800.00</t>
  </si>
  <si>
    <t>3,958,247.40</t>
  </si>
  <si>
    <t>505,200.00</t>
  </si>
  <si>
    <t>7,660,000.00</t>
  </si>
  <si>
    <t>1,394,459.68</t>
  </si>
  <si>
    <t>32,467,222.00</t>
  </si>
  <si>
    <t>1,756,506.00</t>
  </si>
  <si>
    <t>4,980,074.94</t>
  </si>
  <si>
    <t>144,580.00</t>
  </si>
  <si>
    <t>464,022.00</t>
  </si>
  <si>
    <t>278,460.00</t>
  </si>
  <si>
    <t>1,350,000.00</t>
  </si>
  <si>
    <t>868,280.00</t>
  </si>
  <si>
    <t>1,356,724.00</t>
  </si>
  <si>
    <t>39,375.00</t>
  </si>
  <si>
    <t>4,805,000.00</t>
  </si>
  <si>
    <t>242,948.76</t>
  </si>
  <si>
    <t>1,377,800.00</t>
  </si>
  <si>
    <t>284,620.00</t>
  </si>
  <si>
    <t>248,905.00</t>
  </si>
  <si>
    <t>622,200.00</t>
  </si>
  <si>
    <t>1,372,476.25</t>
  </si>
  <si>
    <t>364,129.40</t>
  </si>
  <si>
    <t>633,000.00</t>
  </si>
  <si>
    <t>276,950.00</t>
  </si>
  <si>
    <t>440,023.00</t>
  </si>
  <si>
    <t>19,460.00</t>
  </si>
  <si>
    <t>33,091,200.00</t>
  </si>
  <si>
    <t>3,915,000.00</t>
  </si>
  <si>
    <t>463,750.00</t>
  </si>
  <si>
    <t>1,598,000.00</t>
  </si>
  <si>
    <t>376,750.00</t>
  </si>
  <si>
    <t>301,235.00</t>
  </si>
  <si>
    <t>4,250.00</t>
  </si>
  <si>
    <t>2,176,130.00</t>
  </si>
  <si>
    <t>4,429,539.20</t>
  </si>
  <si>
    <t>153,800.00</t>
  </si>
  <si>
    <t>798,765.00</t>
  </si>
  <si>
    <t>2,972,323.98</t>
  </si>
  <si>
    <t>3,280,000.00</t>
  </si>
  <si>
    <t>512,260.00</t>
  </si>
  <si>
    <t>1,923,178.21</t>
  </si>
  <si>
    <t>2,048,000.00</t>
  </si>
  <si>
    <t>540,656.00</t>
  </si>
  <si>
    <t>1,836,890.00</t>
  </si>
  <si>
    <t>452,000.00</t>
  </si>
  <si>
    <t>1,134,621.21</t>
  </si>
  <si>
    <t>2,373,000.00</t>
  </si>
  <si>
    <t>736,744.00</t>
  </si>
  <si>
    <t>451,700.00</t>
  </si>
  <si>
    <t>123,277.14</t>
  </si>
  <si>
    <t>2,177,575.00</t>
  </si>
  <si>
    <t>58,200.00</t>
  </si>
  <si>
    <t>257,681.74</t>
  </si>
  <si>
    <t>9,464,000.00</t>
  </si>
  <si>
    <t>492,708.53</t>
  </si>
  <si>
    <t>377,000.00</t>
  </si>
  <si>
    <t>963,600.00</t>
  </si>
  <si>
    <t>491,287.23</t>
  </si>
  <si>
    <t>98,940.20</t>
  </si>
  <si>
    <t>166,000.00</t>
  </si>
  <si>
    <t>361,100.00</t>
  </si>
  <si>
    <t>359,611.96</t>
  </si>
  <si>
    <t>15,300.00</t>
  </si>
  <si>
    <t>11,736,000.00</t>
  </si>
  <si>
    <t>428,750.00</t>
  </si>
  <si>
    <t>840,376.81</t>
  </si>
  <si>
    <t>148,658.94</t>
  </si>
  <si>
    <t>1,457,755.00</t>
  </si>
  <si>
    <t>98,958.86</t>
  </si>
  <si>
    <t>1,341,106.10</t>
  </si>
  <si>
    <t>514,548.86</t>
  </si>
  <si>
    <t>239,995.00</t>
  </si>
  <si>
    <t>198,435.00</t>
  </si>
  <si>
    <t>383,335.00</t>
  </si>
  <si>
    <t>112,050.00</t>
  </si>
  <si>
    <t>468,800.00</t>
  </si>
  <si>
    <t>4,999,974.00</t>
  </si>
  <si>
    <t>31,405,000.00</t>
  </si>
  <si>
    <t>519,298.00</t>
  </si>
  <si>
    <t>41,480.85</t>
  </si>
  <si>
    <t>148,448.36</t>
  </si>
  <si>
    <t>345,134.20</t>
  </si>
  <si>
    <t>224,671.30</t>
  </si>
  <si>
    <t>79,326.00</t>
  </si>
  <si>
    <t>54,900.00</t>
  </si>
  <si>
    <t>22,568,960.60</t>
  </si>
  <si>
    <t>299,992.94</t>
  </si>
  <si>
    <t>172,800.00</t>
  </si>
  <si>
    <t>57,150.00</t>
  </si>
  <si>
    <t>148,476.75</t>
  </si>
  <si>
    <t>1,999,990.00</t>
  </si>
  <si>
    <t>39,600.00</t>
  </si>
  <si>
    <t>374,112.45</t>
  </si>
  <si>
    <t>258,320.00</t>
  </si>
  <si>
    <t>561,411.70</t>
  </si>
  <si>
    <t>357,733.06</t>
  </si>
  <si>
    <t>852,526.50</t>
  </si>
  <si>
    <t>98,842.83</t>
  </si>
  <si>
    <t>113,665.00</t>
  </si>
  <si>
    <t>6,570,000.00</t>
  </si>
  <si>
    <t>4,670,000.00</t>
  </si>
  <si>
    <t>9,516,037.02</t>
  </si>
  <si>
    <t>1,100,357.72</t>
  </si>
  <si>
    <t>209,200.00</t>
  </si>
  <si>
    <t>315,221.40</t>
  </si>
  <si>
    <t>1,335,011.00</t>
  </si>
  <si>
    <t>65,842.90</t>
  </si>
  <si>
    <t>10,473,563.63</t>
  </si>
  <si>
    <t>244,342.00</t>
  </si>
  <si>
    <t>304,500.00</t>
  </si>
  <si>
    <t>511,442.17</t>
  </si>
  <si>
    <t>5,481,424.47</t>
  </si>
  <si>
    <t>2,080,437.84</t>
  </si>
  <si>
    <t>2,420,000.00</t>
  </si>
  <si>
    <t>152,290.00</t>
  </si>
  <si>
    <t>13,046,971.98</t>
  </si>
  <si>
    <t>109,701.80</t>
  </si>
  <si>
    <t>60,960,544.86</t>
  </si>
  <si>
    <t>248,553.00</t>
  </si>
  <si>
    <t>7,644,000.00</t>
  </si>
  <si>
    <t>6,031,900.00</t>
  </si>
  <si>
    <t>21,171,978.58</t>
  </si>
  <si>
    <t>1,998,000.00</t>
  </si>
  <si>
    <t>289,975.00</t>
  </si>
  <si>
    <t>366,800.00</t>
  </si>
  <si>
    <t>1,560,000.00</t>
  </si>
  <si>
    <t>182,699.50</t>
  </si>
  <si>
    <t>1,312,000.00</t>
  </si>
  <si>
    <t>57,722.00</t>
  </si>
  <si>
    <t>16,638,749.91</t>
  </si>
  <si>
    <t>1,199,937.57</t>
  </si>
  <si>
    <t>285,400.00</t>
  </si>
  <si>
    <t>14,160,532.23</t>
  </si>
  <si>
    <t>317,100.00</t>
  </si>
  <si>
    <t>90,450.00</t>
  </si>
  <si>
    <t>98,312.86</t>
  </si>
  <si>
    <t>1,299,949.88</t>
  </si>
  <si>
    <t>93,150.00</t>
  </si>
  <si>
    <t>431,526.22</t>
  </si>
  <si>
    <t>210,910.00</t>
  </si>
  <si>
    <t>113,858.90</t>
  </si>
  <si>
    <t>98,614.68</t>
  </si>
  <si>
    <t>2,549,000.00</t>
  </si>
  <si>
    <t>205,650.00</t>
  </si>
  <si>
    <t>79,447.48</t>
  </si>
  <si>
    <t>5,044,000.00</t>
  </si>
  <si>
    <t>1,102,000.00</t>
  </si>
  <si>
    <t>25,640.00</t>
  </si>
  <si>
    <t>2,473,248.24</t>
  </si>
  <si>
    <t>1,700.00</t>
  </si>
  <si>
    <t>591,000.00</t>
  </si>
  <si>
    <t>2,329,000.00</t>
  </si>
  <si>
    <t>706,840.00</t>
  </si>
  <si>
    <t>197,994.14</t>
  </si>
  <si>
    <t>497,984.00</t>
  </si>
  <si>
    <t>920,585.00</t>
  </si>
  <si>
    <t>965,000.00</t>
  </si>
  <si>
    <t>1,375,000.00</t>
  </si>
  <si>
    <t>998,620.90</t>
  </si>
  <si>
    <t>260,548.09</t>
  </si>
  <si>
    <t>213,332.00</t>
  </si>
  <si>
    <t>4,211,385.79</t>
  </si>
  <si>
    <t>247,318.85</t>
  </si>
  <si>
    <t>2,994,220.51</t>
  </si>
  <si>
    <t>3,324,920.00</t>
  </si>
  <si>
    <t>568,467.40</t>
  </si>
  <si>
    <t>996,599.20</t>
  </si>
  <si>
    <t>2,960,000.00</t>
  </si>
  <si>
    <t>2,822,170.00</t>
  </si>
  <si>
    <t>358,500.00</t>
  </si>
  <si>
    <t>15,853,442.30</t>
  </si>
  <si>
    <t>204,000.00</t>
  </si>
  <si>
    <t>1,920,112.25</t>
  </si>
  <si>
    <t>8,688,066.00</t>
  </si>
  <si>
    <t>2,105,919.50</t>
  </si>
  <si>
    <t>3,511,497.81</t>
  </si>
  <si>
    <t>9,144,052.50</t>
  </si>
  <si>
    <t>558,151.57</t>
  </si>
  <si>
    <t>2,326,000.00</t>
  </si>
  <si>
    <t>2,914,084.81</t>
  </si>
  <si>
    <t>2,956,556.86</t>
  </si>
  <si>
    <t>1,637,800.00</t>
  </si>
  <si>
    <t>849,065.50</t>
  </si>
  <si>
    <t>1,586,100.00</t>
  </si>
  <si>
    <t>235,358.01</t>
  </si>
  <si>
    <t>16,940,579.58</t>
  </si>
  <si>
    <t>4,508,400.00</t>
  </si>
  <si>
    <t>1,850,000.00</t>
  </si>
  <si>
    <t>609,000.00</t>
  </si>
  <si>
    <t>1,379,550.00</t>
  </si>
  <si>
    <t>1,499,989.80</t>
  </si>
  <si>
    <t>4,082,000.00</t>
  </si>
  <si>
    <t>5,436,308.07</t>
  </si>
  <si>
    <t>11,707,000.00</t>
  </si>
  <si>
    <t>1,499,898.10</t>
  </si>
  <si>
    <t>130,425.00</t>
  </si>
  <si>
    <t>784,130.04</t>
  </si>
  <si>
    <t>874,143.20</t>
  </si>
  <si>
    <t>207,400.00</t>
  </si>
  <si>
    <t>2,999,399.46</t>
  </si>
  <si>
    <t>1,058,698.00</t>
  </si>
  <si>
    <t>203,490.00</t>
  </si>
  <si>
    <t>1,986,115.77</t>
  </si>
  <si>
    <t>1,352,768.00</t>
  </si>
  <si>
    <t>650,050.00</t>
  </si>
  <si>
    <t>213,600.00</t>
  </si>
  <si>
    <t>16,516,651.25</t>
  </si>
  <si>
    <t>96,800.00</t>
  </si>
  <si>
    <t>31,090.00</t>
  </si>
  <si>
    <t>104,200.00</t>
  </si>
  <si>
    <t>21,327.00</t>
  </si>
  <si>
    <t>4,700,000.00</t>
  </si>
  <si>
    <t>144,690.00</t>
  </si>
  <si>
    <t>612,000.00</t>
  </si>
  <si>
    <t>45,800.00</t>
  </si>
  <si>
    <t>13,880,000.00</t>
  </si>
  <si>
    <t>2,778,740.00</t>
  </si>
  <si>
    <t>4,013,800.00</t>
  </si>
  <si>
    <t>200,440.00</t>
  </si>
  <si>
    <t>1,123,907.00</t>
  </si>
  <si>
    <t>454,992.00</t>
  </si>
  <si>
    <t>233,000.00</t>
  </si>
  <si>
    <t>99,888.60</t>
  </si>
  <si>
    <t>22,400.00</t>
  </si>
  <si>
    <t>260,265.00</t>
  </si>
  <si>
    <t>24,540,356.00</t>
  </si>
  <si>
    <t>2,389,800.00</t>
  </si>
  <si>
    <t>64,850.00</t>
  </si>
  <si>
    <t>1,092,000.00</t>
  </si>
  <si>
    <t>15,133,810.98</t>
  </si>
  <si>
    <t>89,520.00</t>
  </si>
  <si>
    <t>99,090.00</t>
  </si>
  <si>
    <t>24,972,288.00</t>
  </si>
  <si>
    <t>39,199,564.12</t>
  </si>
  <si>
    <t>1,669,096.00</t>
  </si>
  <si>
    <t>3,271,330.00</t>
  </si>
  <si>
    <t>69,850.00</t>
  </si>
  <si>
    <t>39,757,120.00</t>
  </si>
  <si>
    <t>128,180.00</t>
  </si>
  <si>
    <t>1,825,000.00</t>
  </si>
  <si>
    <t>349,000.00</t>
  </si>
  <si>
    <t>267,364.44</t>
  </si>
  <si>
    <t>264,528.50</t>
  </si>
  <si>
    <t>232,100.00</t>
  </si>
  <si>
    <t>16,200,000.00</t>
  </si>
  <si>
    <t>2,699,480.00</t>
  </si>
  <si>
    <t>320,910.00</t>
  </si>
  <si>
    <t>264,725.00</t>
  </si>
  <si>
    <t>1,105,000.00</t>
  </si>
  <si>
    <t>120,352.00</t>
  </si>
  <si>
    <t>72,235.00</t>
  </si>
  <si>
    <t>1,093,357.50</t>
  </si>
  <si>
    <t>199,400.00</t>
  </si>
  <si>
    <t>3,782,250.00</t>
  </si>
  <si>
    <t>19,500.00</t>
  </si>
  <si>
    <t>68,782.00</t>
  </si>
  <si>
    <t>69,103.40</t>
  </si>
  <si>
    <t>3,499,997.40</t>
  </si>
  <si>
    <t>2,730,320.30</t>
  </si>
  <si>
    <t>249,987.28</t>
  </si>
  <si>
    <t>672,593.52</t>
  </si>
  <si>
    <t>117,097.00</t>
  </si>
  <si>
    <t>624,634.00</t>
  </si>
  <si>
    <t>4,887,241.63</t>
  </si>
  <si>
    <t>441,595.45</t>
  </si>
  <si>
    <t>228,376.00</t>
  </si>
  <si>
    <t>348,120.00</t>
  </si>
  <si>
    <t>2,055,000.00</t>
  </si>
  <si>
    <t>221,370.00</t>
  </si>
  <si>
    <t>168,800.00</t>
  </si>
  <si>
    <t>499,994.88</t>
  </si>
  <si>
    <t>2,950,000.00</t>
  </si>
  <si>
    <t>127,988.85</t>
  </si>
  <si>
    <t>1,648,080.00</t>
  </si>
  <si>
    <t>1,963,773.72</t>
  </si>
  <si>
    <t>99,768.63</t>
  </si>
  <si>
    <t>1,399,300.00</t>
  </si>
  <si>
    <t>60,200.00</t>
  </si>
  <si>
    <t>296,931.00</t>
  </si>
  <si>
    <t>1,750,195.00</t>
  </si>
  <si>
    <t>2,018,320.48</t>
  </si>
  <si>
    <t>3,744,000.00</t>
  </si>
  <si>
    <t>499,982.76</t>
  </si>
  <si>
    <t>344,234.00</t>
  </si>
  <si>
    <t>192,430.00</t>
  </si>
  <si>
    <t>1,820,000.00</t>
  </si>
  <si>
    <t>5,200,000.00</t>
  </si>
  <si>
    <t>174,636.00</t>
  </si>
  <si>
    <t>499,931.59</t>
  </si>
  <si>
    <t>118,560.00</t>
  </si>
  <si>
    <t>88,191.99</t>
  </si>
  <si>
    <t>1,775,003.39</t>
  </si>
  <si>
    <t>285,345.00</t>
  </si>
  <si>
    <t>6,973,874.00</t>
  </si>
  <si>
    <t>11,196,359.42</t>
  </si>
  <si>
    <t>342,000.00</t>
  </si>
  <si>
    <t>137,240.00</t>
  </si>
  <si>
    <t>9,829,370.00</t>
  </si>
  <si>
    <t>182,740.00</t>
  </si>
  <si>
    <t>936,000.00</t>
  </si>
  <si>
    <t>1,212,500.00</t>
  </si>
  <si>
    <t>1,978,628.70</t>
  </si>
  <si>
    <t>9,596,206.74</t>
  </si>
  <si>
    <t>106,090.00</t>
  </si>
  <si>
    <t>4,762,725.00</t>
  </si>
  <si>
    <t>1,499,607.19</t>
  </si>
  <si>
    <t>883,200.00</t>
  </si>
  <si>
    <t>2,324,850.00</t>
  </si>
  <si>
    <t>799,986.00</t>
  </si>
  <si>
    <t>4,398,741.00</t>
  </si>
  <si>
    <t>289,800.00</t>
  </si>
  <si>
    <t>58,963,353.68</t>
  </si>
  <si>
    <t>636,428.80</t>
  </si>
  <si>
    <t>1,187,500.00</t>
  </si>
  <si>
    <t>701,625.00</t>
  </si>
  <si>
    <t>1,510,000.00</t>
  </si>
  <si>
    <t>3,968,728.53</t>
  </si>
  <si>
    <t>95,790.00</t>
  </si>
  <si>
    <t>107,300.00</t>
  </si>
  <si>
    <t>415,730.00</t>
  </si>
  <si>
    <t>335,200.00</t>
  </si>
  <si>
    <t>994,492.23</t>
  </si>
  <si>
    <t>27,196,400.00</t>
  </si>
  <si>
    <t>499,976.25</t>
  </si>
  <si>
    <t>2,974,711.54</t>
  </si>
  <si>
    <t>1,394,080.00</t>
  </si>
  <si>
    <t>151,680.00</t>
  </si>
  <si>
    <t>612,739.33</t>
  </si>
  <si>
    <t>267,044.90</t>
  </si>
  <si>
    <t>539,740.00</t>
  </si>
  <si>
    <t>1,499,840.00</t>
  </si>
  <si>
    <t>169,997.00</t>
  </si>
  <si>
    <t>151,460.00</t>
  </si>
  <si>
    <t>3,510,000.00</t>
  </si>
  <si>
    <t>259,345.00</t>
  </si>
  <si>
    <t>634,792.60</t>
  </si>
  <si>
    <t>3,400,000.00</t>
  </si>
  <si>
    <t>3,242,450.00</t>
  </si>
  <si>
    <t>55,720.00</t>
  </si>
  <si>
    <t>59,828.00</t>
  </si>
  <si>
    <t>2,153,000.00</t>
  </si>
  <si>
    <t>2,281,485.00</t>
  </si>
  <si>
    <t>59,267.00</t>
  </si>
  <si>
    <t>134,125.00</t>
  </si>
  <si>
    <t>4,088,040.00</t>
  </si>
  <si>
    <t>660,000.00</t>
  </si>
  <si>
    <t>284,168.72</t>
  </si>
  <si>
    <t>2,983,916.30</t>
  </si>
  <si>
    <t>3,254,599.69</t>
  </si>
  <si>
    <t>106,966.00</t>
  </si>
  <si>
    <t>3,156,000.00</t>
  </si>
  <si>
    <t>1,914,091.51</t>
  </si>
  <si>
    <t>296,714.20</t>
  </si>
  <si>
    <t>810,000.00</t>
  </si>
  <si>
    <t>237,000.00</t>
  </si>
  <si>
    <t>177,508.00</t>
  </si>
  <si>
    <t>1,093,000.00</t>
  </si>
  <si>
    <t>130,719,563.80</t>
  </si>
  <si>
    <t>4,704,973.69</t>
  </si>
  <si>
    <t>8,083,370.49</t>
  </si>
  <si>
    <t>303,800.00</t>
  </si>
  <si>
    <t>4,991,829.97</t>
  </si>
  <si>
    <t>567,964.80</t>
  </si>
  <si>
    <t>164,400.00</t>
  </si>
  <si>
    <t>865,300.00</t>
  </si>
  <si>
    <t>2,811,543.87</t>
  </si>
  <si>
    <t>2,138,521.70</t>
  </si>
  <si>
    <t>81,640.00</t>
  </si>
  <si>
    <t>33,720,309.02</t>
  </si>
  <si>
    <t>379,226.27</t>
  </si>
  <si>
    <t>66,275.00</t>
  </si>
  <si>
    <t>575,772.00</t>
  </si>
  <si>
    <t>2,194,653.47</t>
  </si>
  <si>
    <t>525,860.21</t>
  </si>
  <si>
    <t>5,121,000.00</t>
  </si>
  <si>
    <t>3,783,681.58</t>
  </si>
  <si>
    <t>1,199,256.88</t>
  </si>
  <si>
    <t>343,050.00</t>
  </si>
  <si>
    <t>493,050.00</t>
  </si>
  <si>
    <t>1,957,698.75</t>
  </si>
  <si>
    <t>5,593,510.86</t>
  </si>
  <si>
    <t>414,670.00</t>
  </si>
  <si>
    <t>1,999,847.12</t>
  </si>
  <si>
    <t>4,273,507.60</t>
  </si>
  <si>
    <t>448,532.50</t>
  </si>
  <si>
    <t>197,055.00</t>
  </si>
  <si>
    <t>3,254,599.16</t>
  </si>
  <si>
    <t>125,585,000.00</t>
  </si>
  <si>
    <t>494,842.00</t>
  </si>
  <si>
    <t>685,985.82</t>
  </si>
  <si>
    <t>2,257,202.50</t>
  </si>
  <si>
    <t>135,500.00</t>
  </si>
  <si>
    <t>397,630.00</t>
  </si>
  <si>
    <t>2,999,605.05</t>
  </si>
  <si>
    <t>337,497.50</t>
  </si>
  <si>
    <t>16,695,000.00</t>
  </si>
  <si>
    <t>1,918,150.00</t>
  </si>
  <si>
    <t>499,902.00</t>
  </si>
  <si>
    <t>10,788,064.49</t>
  </si>
  <si>
    <t>4,288,748.44</t>
  </si>
  <si>
    <t>3,270,557.39</t>
  </si>
  <si>
    <t>2,897,996.25</t>
  </si>
  <si>
    <t>2,835,000.00</t>
  </si>
  <si>
    <t>2,439,431.32</t>
  </si>
  <si>
    <t>1,200,300.00</t>
  </si>
  <si>
    <t>73,123.05</t>
  </si>
  <si>
    <t>220,798.00</t>
  </si>
  <si>
    <t>1,449,000.00</t>
  </si>
  <si>
    <t>38,117,500.00</t>
  </si>
  <si>
    <t>297,175.00</t>
  </si>
  <si>
    <t>247,517.81</t>
  </si>
  <si>
    <t>241,860.78</t>
  </si>
  <si>
    <t>1,920,000.00</t>
  </si>
  <si>
    <t>5,220,410.60</t>
  </si>
  <si>
    <t>287,500.00</t>
  </si>
  <si>
    <t>1,520,000.00</t>
  </si>
  <si>
    <t>4,888,206.03</t>
  </si>
  <si>
    <t>1,923,223.13</t>
  </si>
  <si>
    <t>148,240.00</t>
  </si>
  <si>
    <t>858,000.00</t>
  </si>
  <si>
    <t>5,082,000.00</t>
  </si>
  <si>
    <t>1,291,486.07</t>
  </si>
  <si>
    <t>246,579.71</t>
  </si>
  <si>
    <t>427,020.00</t>
  </si>
  <si>
    <t>1,836,196.10</t>
  </si>
  <si>
    <t>194,184.00</t>
  </si>
  <si>
    <t>1,035,300.00</t>
  </si>
  <si>
    <t>6,255,165.71</t>
  </si>
  <si>
    <t>404,550.00</t>
  </si>
  <si>
    <t>998,250.00</t>
  </si>
  <si>
    <t>265,468.00</t>
  </si>
  <si>
    <t>11,563,239.35</t>
  </si>
  <si>
    <t>12,999,204.36</t>
  </si>
  <si>
    <t>1,576,652.32</t>
  </si>
  <si>
    <t>2,499,886.30</t>
  </si>
  <si>
    <t>781,752.14</t>
  </si>
  <si>
    <t>506,925.00</t>
  </si>
  <si>
    <t>1,188,421.70</t>
  </si>
  <si>
    <t>998,844.70</t>
  </si>
  <si>
    <t>630,100.00</t>
  </si>
  <si>
    <t>1,917,225.00</t>
  </si>
  <si>
    <t>11,834,080.10</t>
  </si>
  <si>
    <t>22,000,000.00</t>
  </si>
  <si>
    <t>3,888,022.90</t>
  </si>
  <si>
    <t>485,730.58</t>
  </si>
  <si>
    <t>10,498,598.40</t>
  </si>
  <si>
    <t>70,109.00</t>
  </si>
  <si>
    <t>4,887,468.00</t>
  </si>
  <si>
    <t>747,500.00</t>
  </si>
  <si>
    <t>187,200.00</t>
  </si>
  <si>
    <t>278,200.00</t>
  </si>
  <si>
    <t>3,412,083.95</t>
  </si>
  <si>
    <t>4,100,000.00</t>
  </si>
  <si>
    <t>88,480.00</t>
  </si>
  <si>
    <t>9,899,937.83</t>
  </si>
  <si>
    <t>166,939.00</t>
  </si>
  <si>
    <t>5,600,000.00</t>
  </si>
  <si>
    <t>13,997,015.31</t>
  </si>
  <si>
    <t>246,450.00</t>
  </si>
  <si>
    <t>1,157,300.00</t>
  </si>
  <si>
    <t>1,459,423.87</t>
  </si>
  <si>
    <t>1,625,400.00</t>
  </si>
  <si>
    <t>126,800.00</t>
  </si>
  <si>
    <t>5,700,000.00</t>
  </si>
  <si>
    <t>1,022,975.00</t>
  </si>
  <si>
    <t>330,668.50</t>
  </si>
  <si>
    <t>1,382,984.83</t>
  </si>
  <si>
    <t>5,094,196.00</t>
  </si>
  <si>
    <t>2,439,524.09</t>
  </si>
  <si>
    <t>1,260,043.00</t>
  </si>
  <si>
    <t>4,171,475.00</t>
  </si>
  <si>
    <t>5,926,424.00</t>
  </si>
  <si>
    <t>1,171,409.36</t>
  </si>
  <si>
    <t>889,150.00</t>
  </si>
  <si>
    <t>5,985,000.00</t>
  </si>
  <si>
    <t>19,000,000.00</t>
  </si>
  <si>
    <t>352,866.15</t>
  </si>
  <si>
    <t>123,183.64</t>
  </si>
  <si>
    <t>2,919,574.71</t>
  </si>
  <si>
    <t>363,710.00</t>
  </si>
  <si>
    <t>1,327,039.77</t>
  </si>
  <si>
    <t>268,482.00</t>
  </si>
  <si>
    <t>377,419.00</t>
  </si>
  <si>
    <t>1,967,949.40</t>
  </si>
  <si>
    <t>531,191.00</t>
  </si>
  <si>
    <t>1,817,983.45</t>
  </si>
  <si>
    <t>1,553,600.00</t>
  </si>
  <si>
    <t>2,488,260.93</t>
  </si>
  <si>
    <t>2,045,000.00</t>
  </si>
  <si>
    <t>3,410,400.00</t>
  </si>
  <si>
    <t>1,245,000.00</t>
  </si>
  <si>
    <t>455,452.00</t>
  </si>
  <si>
    <t>919,352.00</t>
  </si>
  <si>
    <t>5,524,400.00</t>
  </si>
  <si>
    <t>73,710.00</t>
  </si>
  <si>
    <t>5,100,000.00</t>
  </si>
  <si>
    <t>2,150,000.00</t>
  </si>
  <si>
    <t>145,775.00</t>
  </si>
  <si>
    <t>367,436.00</t>
  </si>
  <si>
    <t>4,050,000.00</t>
  </si>
  <si>
    <t>1,204,958.00</t>
  </si>
  <si>
    <t>1,485,086.16</t>
  </si>
  <si>
    <t>5,300,000.00</t>
  </si>
  <si>
    <t>2,317,495.00</t>
  </si>
  <si>
    <t>3,900,000.00</t>
  </si>
  <si>
    <t>1,399,250.00</t>
  </si>
  <si>
    <t>3,109,241.00</t>
  </si>
  <si>
    <t>368,936.00</t>
  </si>
  <si>
    <t>324,482.00</t>
  </si>
  <si>
    <t>1,031,031.00</t>
  </si>
  <si>
    <t>244,885.00</t>
  </si>
  <si>
    <t>970,000.00</t>
  </si>
  <si>
    <t>222,500.00</t>
  </si>
  <si>
    <t>107,394,000.00</t>
  </si>
  <si>
    <t>401,308.00</t>
  </si>
  <si>
    <t>2,354,000.00</t>
  </si>
  <si>
    <t>2,897,000.00</t>
  </si>
  <si>
    <t>253,458.00</t>
  </si>
  <si>
    <t>90,385.00</t>
  </si>
  <si>
    <t>5,225,200.00</t>
  </si>
  <si>
    <t>780,703.80</t>
  </si>
  <si>
    <t>101,825.00</t>
  </si>
  <si>
    <t>997,043.00</t>
  </si>
  <si>
    <t>49,400.00</t>
  </si>
  <si>
    <t>21,300.00</t>
  </si>
  <si>
    <t>994,800.00</t>
  </si>
  <si>
    <t>287,000.00</t>
  </si>
  <si>
    <t>39,710.00</t>
  </si>
  <si>
    <t>9,975,000.00</t>
  </si>
  <si>
    <t>6,738,912.59</t>
  </si>
  <si>
    <t>199,792.49</t>
  </si>
  <si>
    <t>89,999,547.61</t>
  </si>
  <si>
    <t>2,296,939.00</t>
  </si>
  <si>
    <t>24,768,230.00</t>
  </si>
  <si>
    <t>3,220,000.00</t>
  </si>
  <si>
    <t>332,144.55</t>
  </si>
  <si>
    <t>1,544,581.52</t>
  </si>
  <si>
    <t>3,011,928.57</t>
  </si>
  <si>
    <t>4,850,000.00</t>
  </si>
  <si>
    <t>2,353,026.23</t>
  </si>
  <si>
    <t>1,940,000.00</t>
  </si>
  <si>
    <t>241,950.00</t>
  </si>
  <si>
    <t>9,995,922.70</t>
  </si>
  <si>
    <t>17,875,750.00</t>
  </si>
  <si>
    <t>643,500.00</t>
  </si>
  <si>
    <t>393,710.00</t>
  </si>
  <si>
    <t>99,914.00</t>
  </si>
  <si>
    <t>998,537.50</t>
  </si>
  <si>
    <t>15,340,000.00</t>
  </si>
  <si>
    <t>1,896,000.00</t>
  </si>
  <si>
    <t>15,500,000.00</t>
  </si>
  <si>
    <t>1,499,999.81</t>
  </si>
  <si>
    <t>247,500.00</t>
  </si>
  <si>
    <t>2,979,999.49</t>
  </si>
  <si>
    <t>2,998,122.51</t>
  </si>
  <si>
    <t>6,725,600.00</t>
  </si>
  <si>
    <t>642,000.00</t>
  </si>
  <si>
    <t>172,664.00</t>
  </si>
  <si>
    <t>6,191,996.24</t>
  </si>
  <si>
    <t>575,436.41</t>
  </si>
  <si>
    <t>139,334.00</t>
  </si>
  <si>
    <t>1,999,983.38</t>
  </si>
  <si>
    <t>156,900,000.00</t>
  </si>
  <si>
    <t>2,479,000.00</t>
  </si>
  <si>
    <t>540,258.11</t>
  </si>
  <si>
    <t>283,224.00</t>
  </si>
  <si>
    <t>525,523.10</t>
  </si>
  <si>
    <t>197,920.00</t>
  </si>
  <si>
    <t>1,461,679.39</t>
  </si>
  <si>
    <t>275,627.00</t>
  </si>
  <si>
    <t>3,391,867.56</t>
  </si>
  <si>
    <t>997,900.00</t>
  </si>
  <si>
    <t>2,999,810.81</t>
  </si>
  <si>
    <t>253,126.84</t>
  </si>
  <si>
    <t>485,000.00</t>
  </si>
  <si>
    <t>1,183,550.88</t>
  </si>
  <si>
    <t>1,271,204.05</t>
  </si>
  <si>
    <t>958,000.00</t>
  </si>
  <si>
    <t>2,300,723.85</t>
  </si>
  <si>
    <t>445,290.16</t>
  </si>
  <si>
    <t>904,400.00</t>
  </si>
  <si>
    <t>12,350,000.00</t>
  </si>
  <si>
    <t>136,800.00</t>
  </si>
  <si>
    <t>11,400,000.00</t>
  </si>
  <si>
    <t>4,600,800.00</t>
  </si>
  <si>
    <t>19,999,918.37</t>
  </si>
  <si>
    <t>718,001.08</t>
  </si>
  <si>
    <t>3,601,068.00</t>
  </si>
  <si>
    <t>632,000.00</t>
  </si>
  <si>
    <t>11,804,598.70</t>
  </si>
  <si>
    <t>3,440,360.00</t>
  </si>
  <si>
    <t>136,245.50</t>
  </si>
  <si>
    <t>3,700,000.00</t>
  </si>
  <si>
    <t>1,345,500.00</t>
  </si>
  <si>
    <t>8,947,831.00</t>
  </si>
  <si>
    <t>137,250.00</t>
  </si>
  <si>
    <t>149,936.88</t>
  </si>
  <si>
    <t>1,225,620.00</t>
  </si>
  <si>
    <t>730,230.00</t>
  </si>
  <si>
    <t>1,597,370.00</t>
  </si>
  <si>
    <t>25,985,174.42</t>
  </si>
  <si>
    <t>56,352.00</t>
  </si>
  <si>
    <t>78,140.00</t>
  </si>
  <si>
    <t>1,108,452.00</t>
  </si>
  <si>
    <t>267,220.00</t>
  </si>
  <si>
    <t>500,400.00</t>
  </si>
  <si>
    <t>30,691,985.00</t>
  </si>
  <si>
    <t>6,549,565.68</t>
  </si>
  <si>
    <t>3,350,000.00</t>
  </si>
  <si>
    <t>727,162.00</t>
  </si>
  <si>
    <t>2,332,750.00</t>
  </si>
  <si>
    <t>14,463,568.75</t>
  </si>
  <si>
    <t>8,497,459.82</t>
  </si>
  <si>
    <t>994,721.85</t>
  </si>
  <si>
    <t>1,573,379.20</t>
  </si>
  <si>
    <t>884,896.00</t>
  </si>
  <si>
    <t>284,190.00</t>
  </si>
  <si>
    <t>176,270.00</t>
  </si>
  <si>
    <t>1,499,286.02</t>
  </si>
  <si>
    <t>169,435.00</t>
  </si>
  <si>
    <t>7,748,407.93</t>
  </si>
  <si>
    <t>1,910,000.00</t>
  </si>
  <si>
    <t>256,723.25</t>
  </si>
  <si>
    <t>3,818,825.17</t>
  </si>
  <si>
    <t>221,479.00</t>
  </si>
  <si>
    <t>14,842,260.50</t>
  </si>
  <si>
    <t>1,498,727.95</t>
  </si>
  <si>
    <t>321,750.00</t>
  </si>
  <si>
    <t>834,758.28</t>
  </si>
  <si>
    <t>3,356,650.42</t>
  </si>
  <si>
    <t>1,837,369.14</t>
  </si>
  <si>
    <t>77,202.00</t>
  </si>
  <si>
    <t>2,310,370.62</t>
  </si>
  <si>
    <t>231,391.60</t>
  </si>
  <si>
    <t>105,750.00</t>
  </si>
  <si>
    <t>1,880,000.00</t>
  </si>
  <si>
    <t>79,150.00</t>
  </si>
  <si>
    <t>81,400.00</t>
  </si>
  <si>
    <t>16,125.00</t>
  </si>
  <si>
    <t>3,287,848.88</t>
  </si>
  <si>
    <t>3,661,907.28</t>
  </si>
  <si>
    <t>2,495,186.18</t>
  </si>
  <si>
    <t>4,778,950.29</t>
  </si>
  <si>
    <t>2,127,702.56</t>
  </si>
  <si>
    <t>247,885.00</t>
  </si>
  <si>
    <t>3,999,917.38</t>
  </si>
  <si>
    <t>474,307.21</t>
  </si>
  <si>
    <t>1,836,050.00</t>
  </si>
  <si>
    <t>3,150,000.00</t>
  </si>
  <si>
    <t>849,198.50</t>
  </si>
  <si>
    <t>1,545,939.00</t>
  </si>
  <si>
    <t>2,939,091.60</t>
  </si>
  <si>
    <t>1,153,300.20</t>
  </si>
  <si>
    <t>252,460.00</t>
  </si>
  <si>
    <t>505,990.00</t>
  </si>
  <si>
    <t>23,305,258.00</t>
  </si>
  <si>
    <t>103,583.13</t>
  </si>
  <si>
    <t>49,486,701.00</t>
  </si>
  <si>
    <t>4,821,281.92</t>
  </si>
  <si>
    <t>21,089,524.00</t>
  </si>
  <si>
    <t>134,602.80</t>
  </si>
  <si>
    <t>3,484,751.82</t>
  </si>
  <si>
    <t>995,691.37</t>
  </si>
  <si>
    <t>998,103.86</t>
  </si>
  <si>
    <t>982,400.13</t>
  </si>
  <si>
    <t>497,987.81</t>
  </si>
  <si>
    <t>597,076.01</t>
  </si>
  <si>
    <t>3,764,944.00</t>
  </si>
  <si>
    <t>3,762,344.00</t>
  </si>
  <si>
    <t>994,912.63</t>
  </si>
  <si>
    <t>399,667.59</t>
  </si>
  <si>
    <t>299,494.00</t>
  </si>
  <si>
    <t>275,029.44</t>
  </si>
  <si>
    <t>8,298,376.57</t>
  </si>
  <si>
    <t>45,019.98</t>
  </si>
  <si>
    <t>2,865,843.76</t>
  </si>
  <si>
    <t>254,247.91</t>
  </si>
  <si>
    <t>1,918,322.25</t>
  </si>
  <si>
    <t>3,809,500.00</t>
  </si>
  <si>
    <t>1,921,971.02</t>
  </si>
  <si>
    <t>73,640.80</t>
  </si>
  <si>
    <t>785,159.58</t>
  </si>
  <si>
    <t>999,477.53</t>
  </si>
  <si>
    <t>119,176.78</t>
  </si>
  <si>
    <t>999,178.34</t>
  </si>
  <si>
    <t>580,000.00</t>
  </si>
  <si>
    <t>2,744,120.70</t>
  </si>
  <si>
    <t>446,752.03</t>
  </si>
  <si>
    <t>1,364,961.00</t>
  </si>
  <si>
    <t>728,000.00</t>
  </si>
  <si>
    <t>3,292,500.00</t>
  </si>
  <si>
    <t>3,849,192.41</t>
  </si>
  <si>
    <t>9,801,171.85</t>
  </si>
  <si>
    <t>567,600.00</t>
  </si>
  <si>
    <t>1,206,902.90</t>
  </si>
  <si>
    <t>6,525,797.76</t>
  </si>
  <si>
    <t>4,701,364.53</t>
  </si>
  <si>
    <t>42,166.67</t>
  </si>
  <si>
    <t>1,767,000.00</t>
  </si>
  <si>
    <t>226,200.00</t>
  </si>
  <si>
    <t>17,200.00</t>
  </si>
  <si>
    <t>1,990,000.00</t>
  </si>
  <si>
    <t>7,150,000.00</t>
  </si>
  <si>
    <t>9,899,994.50</t>
  </si>
  <si>
    <t>9,613.33</t>
  </si>
  <si>
    <t>403,200.00</t>
  </si>
  <si>
    <t>45,750.00</t>
  </si>
  <si>
    <t>1,140,000.00</t>
  </si>
  <si>
    <t>673,460.83</t>
  </si>
  <si>
    <t>64,225.00</t>
  </si>
  <si>
    <t>144,800.00</t>
  </si>
  <si>
    <t>1,135,053.00</t>
  </si>
  <si>
    <t>1,348,812.05</t>
  </si>
  <si>
    <t>139,000.00</t>
  </si>
  <si>
    <t>116,695.00</t>
  </si>
  <si>
    <t>55,700.00</t>
  </si>
  <si>
    <t>6,507,600.00</t>
  </si>
  <si>
    <t>3,989,950.43</t>
  </si>
  <si>
    <t>1,118,842.95</t>
  </si>
  <si>
    <t>1,088,000.00</t>
  </si>
  <si>
    <t>139,655.51</t>
  </si>
  <si>
    <t>122,900.00</t>
  </si>
  <si>
    <t>1,943,063.25</t>
  </si>
  <si>
    <t>1,822,912.29</t>
  </si>
  <si>
    <t>881,794.86</t>
  </si>
  <si>
    <t>1,170,363.17</t>
  </si>
  <si>
    <t>1,994,427.91</t>
  </si>
  <si>
    <t>492,552.97</t>
  </si>
  <si>
    <t>744,705.29</t>
  </si>
  <si>
    <t>2,905,000.00</t>
  </si>
  <si>
    <t>491,500.00</t>
  </si>
  <si>
    <t>550,280.00</t>
  </si>
  <si>
    <t>909,388.50</t>
  </si>
  <si>
    <t>309,444.00</t>
  </si>
  <si>
    <t>258,183.09</t>
  </si>
  <si>
    <t>2,215,080.00</t>
  </si>
  <si>
    <t>15,028,063.14</t>
  </si>
  <si>
    <t>68,890.00</t>
  </si>
  <si>
    <t>9,711,105.42</t>
  </si>
  <si>
    <t>2,685,845.00</t>
  </si>
  <si>
    <t>31,667,483.57</t>
  </si>
  <si>
    <t>412,987.00</t>
  </si>
  <si>
    <t>2,879,999.95</t>
  </si>
  <si>
    <t>2,831,836.64</t>
  </si>
  <si>
    <t>3,846,000.00</t>
  </si>
  <si>
    <t>596,011.00</t>
  </si>
  <si>
    <t>4,000,000.31</t>
  </si>
  <si>
    <t>471,157.10</t>
  </si>
  <si>
    <t>591,192.00</t>
  </si>
  <si>
    <t>2,999,997.56</t>
  </si>
  <si>
    <t>263,787.00</t>
  </si>
  <si>
    <t>3,649,000.00</t>
  </si>
  <si>
    <t>777,775.42</t>
  </si>
  <si>
    <t>35,414,900.00</t>
  </si>
  <si>
    <t>4,617,151.75</t>
  </si>
  <si>
    <t>3,999,007.50</t>
  </si>
  <si>
    <t>24,219,200.00</t>
  </si>
  <si>
    <t>3,384,151.00</t>
  </si>
  <si>
    <t>1,034,588.65</t>
  </si>
  <si>
    <t>5,038,142.11</t>
  </si>
  <si>
    <t>98,520.00</t>
  </si>
  <si>
    <t>2,476,000.00</t>
  </si>
  <si>
    <t>623,798.00</t>
  </si>
  <si>
    <t>282,300.00</t>
  </si>
  <si>
    <t>9,775,124.88</t>
  </si>
  <si>
    <t>1,900,000.00</t>
  </si>
  <si>
    <t>899,998.94</t>
  </si>
  <si>
    <t>11,563,551.00</t>
  </si>
  <si>
    <t>274,950.00</t>
  </si>
  <si>
    <t>5,966,976.51</t>
  </si>
  <si>
    <t>1,883,556.54</t>
  </si>
  <si>
    <t>589,300.00</t>
  </si>
  <si>
    <t>6,757,122.34</t>
  </si>
  <si>
    <t>4,400,000.00</t>
  </si>
  <si>
    <t>1,078,182.00</t>
  </si>
  <si>
    <t>1,379,575.97</t>
  </si>
  <si>
    <t>22,500,000.00</t>
  </si>
  <si>
    <t>2,736,981.00</t>
  </si>
  <si>
    <t>11,833,900.00</t>
  </si>
  <si>
    <t>2,421,460.00</t>
  </si>
  <si>
    <t>13,200,000.00</t>
  </si>
  <si>
    <t>2,564,231.00</t>
  </si>
  <si>
    <t>67,700.00</t>
  </si>
  <si>
    <t>36,400.00</t>
  </si>
  <si>
    <t>73,240.77</t>
  </si>
  <si>
    <t>431,000.00</t>
  </si>
  <si>
    <t>250,280.00</t>
  </si>
  <si>
    <t>1,555,122.75</t>
  </si>
  <si>
    <t>2,959,466.00</t>
  </si>
  <si>
    <t>259,199.12</t>
  </si>
  <si>
    <t>160,500.00</t>
  </si>
  <si>
    <t>11,800,000.00</t>
  </si>
  <si>
    <t>63,714.87</t>
  </si>
  <si>
    <t>17,000,000.00</t>
  </si>
  <si>
    <t>3,868,002.00</t>
  </si>
  <si>
    <t>1,040,000.00</t>
  </si>
  <si>
    <t>471,842.68</t>
  </si>
  <si>
    <t>5,400,000.00</t>
  </si>
  <si>
    <t>191,000.00</t>
  </si>
  <si>
    <t>1,807,200.00</t>
  </si>
  <si>
    <t>5,990,000.00</t>
  </si>
  <si>
    <t>19,123,600.00</t>
  </si>
  <si>
    <t>18,109,000.00</t>
  </si>
  <si>
    <t>12,552,000.00</t>
  </si>
  <si>
    <t>2,799,590.00</t>
  </si>
  <si>
    <t>5,255,747.50</t>
  </si>
  <si>
    <t>1,803,000.00</t>
  </si>
  <si>
    <t>1,443,330.00</t>
  </si>
  <si>
    <t>5,204,645.00</t>
  </si>
  <si>
    <t>4,115,000.00</t>
  </si>
  <si>
    <t>400,072.00</t>
  </si>
  <si>
    <t>353,662.00</t>
  </si>
  <si>
    <t>3,378,668.40</t>
  </si>
  <si>
    <t>1,297,500.00</t>
  </si>
  <si>
    <t>26,159,744.00</t>
  </si>
  <si>
    <t>1,254,100.00</t>
  </si>
  <si>
    <t>139,808.40</t>
  </si>
  <si>
    <t>29,999,452.27</t>
  </si>
  <si>
    <t>1,222,461.43</t>
  </si>
  <si>
    <t>208,080.00</t>
  </si>
  <si>
    <t>66,592,000.00</t>
  </si>
  <si>
    <t>22,863,600.00</t>
  </si>
  <si>
    <t>1,476,158.77</t>
  </si>
  <si>
    <t>2,102,544.00</t>
  </si>
  <si>
    <t>6,455,220.00</t>
  </si>
  <si>
    <t>3,152,283.00</t>
  </si>
  <si>
    <t>64,706,962.68</t>
  </si>
  <si>
    <t>298,926.00</t>
  </si>
  <si>
    <t>1,875,600.00</t>
  </si>
  <si>
    <t>1,399,996.00</t>
  </si>
  <si>
    <t>25,400,000.00</t>
  </si>
  <si>
    <t>1,276,418.00</t>
  </si>
  <si>
    <t>188,598.00</t>
  </si>
  <si>
    <t>139,002.00</t>
  </si>
  <si>
    <t>759,500.00</t>
  </si>
  <si>
    <t>546,072.49</t>
  </si>
  <si>
    <t>28,086,080.00</t>
  </si>
  <si>
    <t>530,100.00</t>
  </si>
  <si>
    <t>134,584.37</t>
  </si>
  <si>
    <t>134,053.50</t>
  </si>
  <si>
    <t>6,900,000.00</t>
  </si>
  <si>
    <t>2,174,711.00</t>
  </si>
  <si>
    <t>1,782,000.00</t>
  </si>
  <si>
    <t>1,616,720.00</t>
  </si>
  <si>
    <t>24,961,300.00</t>
  </si>
  <si>
    <t>3,999,935.39</t>
  </si>
  <si>
    <t>161,990.00</t>
  </si>
  <si>
    <t>40,361,750.00</t>
  </si>
  <si>
    <t>652,663.10</t>
  </si>
  <si>
    <t>2,479,939.00</t>
  </si>
  <si>
    <t>1,272,160.00</t>
  </si>
  <si>
    <t>793,405.00</t>
  </si>
  <si>
    <t>54,693.00</t>
  </si>
  <si>
    <t>1,011,236.10</t>
  </si>
  <si>
    <t>99,995.70</t>
  </si>
  <si>
    <t>94,274.40</t>
  </si>
  <si>
    <t>69,600.00</t>
  </si>
  <si>
    <t>150,150.00</t>
  </si>
  <si>
    <t>281,350.00</t>
  </si>
  <si>
    <t>351,100.00</t>
  </si>
  <si>
    <t>12,436,527.74</t>
  </si>
  <si>
    <t>1,804,147.00</t>
  </si>
  <si>
    <t>279,243.00</t>
  </si>
  <si>
    <t>182,370.00</t>
  </si>
  <si>
    <t>1,205,400.00</t>
  </si>
  <si>
    <t>16,710,200.00</t>
  </si>
  <si>
    <t>1,627,162.23</t>
  </si>
  <si>
    <t>976,893.75</t>
  </si>
  <si>
    <t>2,499,999.34</t>
  </si>
  <si>
    <t>750,304.00</t>
  </si>
  <si>
    <t>9,500,000.00</t>
  </si>
  <si>
    <t>679,852.32</t>
  </si>
  <si>
    <t>2,170,741.92</t>
  </si>
  <si>
    <t>118,700.00</t>
  </si>
  <si>
    <t>416,702.35</t>
  </si>
  <si>
    <t>956,890.00</t>
  </si>
  <si>
    <t>281,065.00</t>
  </si>
  <si>
    <t>305,473.00</t>
  </si>
  <si>
    <t>5,829,133.18</t>
  </si>
  <si>
    <t>1,099,306.30</t>
  </si>
  <si>
    <t>16,000.00</t>
  </si>
  <si>
    <t>120,638.00</t>
  </si>
  <si>
    <t>3,483,299.56</t>
  </si>
  <si>
    <t>8,650,000.00</t>
  </si>
  <si>
    <t>1,999,813.11</t>
  </si>
  <si>
    <t>139,830.00</t>
  </si>
  <si>
    <t>103,349.00</t>
  </si>
  <si>
    <t>1,153,000.00</t>
  </si>
  <si>
    <t>1,999,720.66</t>
  </si>
  <si>
    <t>1,256,988.00</t>
  </si>
  <si>
    <t>10,710,114.39</t>
  </si>
  <si>
    <t>169,555.00</t>
  </si>
  <si>
    <t>208,255.00</t>
  </si>
  <si>
    <t>102,315.23</t>
  </si>
  <si>
    <t>3,710,000.00</t>
  </si>
  <si>
    <t>992,550.00</t>
  </si>
  <si>
    <t>144,139.00</t>
  </si>
  <si>
    <t>2,524,100.00</t>
  </si>
  <si>
    <t>679,409.98</t>
  </si>
  <si>
    <t>197,450.00</t>
  </si>
  <si>
    <t>24,753,700.00</t>
  </si>
  <si>
    <t>2,953,330.00</t>
  </si>
  <si>
    <t>131,926.00</t>
  </si>
  <si>
    <t>6,031,944.73</t>
  </si>
  <si>
    <t>3,696,000.00</t>
  </si>
  <si>
    <t>206,790.00</t>
  </si>
  <si>
    <t>923,545.00</t>
  </si>
  <si>
    <t>1,486,555.37</t>
  </si>
  <si>
    <t>527,643.00</t>
  </si>
  <si>
    <t>58,275.00</t>
  </si>
  <si>
    <t>487,600.00</t>
  </si>
  <si>
    <t>1,175,000.00</t>
  </si>
  <si>
    <t>1,199,913.25</t>
  </si>
  <si>
    <t>672,000.00</t>
  </si>
  <si>
    <t>5,063,862.19</t>
  </si>
  <si>
    <t>120,475.26</t>
  </si>
  <si>
    <t>8,700,000.00</t>
  </si>
  <si>
    <t>296,353.25</t>
  </si>
  <si>
    <t>462,950.00</t>
  </si>
  <si>
    <t>357,500.00</t>
  </si>
  <si>
    <t>48,895,000.00</t>
  </si>
  <si>
    <t>2,213,934.00</t>
  </si>
  <si>
    <t>1,176,000.00</t>
  </si>
  <si>
    <t>297,995.00</t>
  </si>
  <si>
    <t>252,825.00</t>
  </si>
  <si>
    <t>993,927.70</t>
  </si>
  <si>
    <t>1,112,879.47</t>
  </si>
  <si>
    <t>320,489.14</t>
  </si>
  <si>
    <t>309,253.00</t>
  </si>
  <si>
    <t>1,922,665.19</t>
  </si>
  <si>
    <t>408,503.61</t>
  </si>
  <si>
    <t>57,790.00</t>
  </si>
  <si>
    <t>166,880.00</t>
  </si>
  <si>
    <t>740,480.00</t>
  </si>
  <si>
    <t>1,378,819.00</t>
  </si>
  <si>
    <t>112,709.91</t>
  </si>
  <si>
    <t>495,599.75</t>
  </si>
  <si>
    <t>7,687,932.00</t>
  </si>
  <si>
    <t>358,440.00</t>
  </si>
  <si>
    <t>10,700,000.00</t>
  </si>
  <si>
    <t>2,971,061.57</t>
  </si>
  <si>
    <t>24,750,625.00</t>
  </si>
  <si>
    <t>1,125,000.00</t>
  </si>
  <si>
    <t>487,335.48</t>
  </si>
  <si>
    <t>116,190.00</t>
  </si>
  <si>
    <t>89,100.00</t>
  </si>
  <si>
    <t>7,437,529.50</t>
  </si>
  <si>
    <t>489,801.10</t>
  </si>
  <si>
    <t>4,826,394.00</t>
  </si>
  <si>
    <t>474,066.34</t>
  </si>
  <si>
    <t>1,799,500.00</t>
  </si>
  <si>
    <t>8,159,603.00</t>
  </si>
  <si>
    <t>482,898.93</t>
  </si>
  <si>
    <t>590,500.00</t>
  </si>
  <si>
    <t>4,075,000.00</t>
  </si>
  <si>
    <t>473,896.00</t>
  </si>
  <si>
    <t>4,225,433.42</t>
  </si>
  <si>
    <t>4,974,040.98</t>
  </si>
  <si>
    <t>963,420.00</t>
  </si>
  <si>
    <t>399,998.50</t>
  </si>
  <si>
    <t>99,147.20</t>
  </si>
  <si>
    <t>1,695,000.00</t>
  </si>
  <si>
    <t>420,288.42</t>
  </si>
  <si>
    <t>16,500,000.00</t>
  </si>
  <si>
    <t>886,133.33</t>
  </si>
  <si>
    <t>8,264,855.00</t>
  </si>
  <si>
    <t>1,593,000.00</t>
  </si>
  <si>
    <t>2,594,185.00</t>
  </si>
  <si>
    <t>24,874,892.98</t>
  </si>
  <si>
    <t>4,807,281.50</t>
  </si>
  <si>
    <t>329,180.25</t>
  </si>
  <si>
    <t>1,567,440.00</t>
  </si>
  <si>
    <t>16,205,121.65</t>
  </si>
  <si>
    <t>603,850.18</t>
  </si>
  <si>
    <t>380,900.00</t>
  </si>
  <si>
    <t>386,387.56</t>
  </si>
  <si>
    <t>250,750.00</t>
  </si>
  <si>
    <t>101,615.52</t>
  </si>
  <si>
    <t>90,330.00</t>
  </si>
  <si>
    <t>154,038.38</t>
  </si>
  <si>
    <t>177,068.00</t>
  </si>
  <si>
    <t>149,746.62</t>
  </si>
  <si>
    <t>334,999.98</t>
  </si>
  <si>
    <t>18,000,000.00</t>
  </si>
  <si>
    <t>116,835,240.00</t>
  </si>
  <si>
    <t>3,570,000.00</t>
  </si>
  <si>
    <t>73,281.00</t>
  </si>
  <si>
    <t>15,404,364.80</t>
  </si>
  <si>
    <t>10,894,306.00</t>
  </si>
  <si>
    <t>5,015,000.00</t>
  </si>
  <si>
    <t>53,755.00</t>
  </si>
  <si>
    <t>58,230.00</t>
  </si>
  <si>
    <t>1,001,490.00</t>
  </si>
  <si>
    <t>294,800.00</t>
  </si>
  <si>
    <t>4,569,682.00</t>
  </si>
  <si>
    <t>11,099,004.00</t>
  </si>
  <si>
    <t>4,949,999.30</t>
  </si>
  <si>
    <t>4,949,999.40</t>
  </si>
  <si>
    <t>750,490.00</t>
  </si>
  <si>
    <t>20,400,000.00</t>
  </si>
  <si>
    <t>3,662,500.00</t>
  </si>
  <si>
    <t>28,949,998.90</t>
  </si>
  <si>
    <t>20,143,209.10</t>
  </si>
  <si>
    <t>4,861,597.00</t>
  </si>
  <si>
    <t>149,810.00</t>
  </si>
  <si>
    <t>636,000.00</t>
  </si>
  <si>
    <t>3,056,000.00</t>
  </si>
  <si>
    <t>149,962,440.70</t>
  </si>
  <si>
    <t>83,419.14</t>
  </si>
  <si>
    <t>684,036.00</t>
  </si>
  <si>
    <t>335,959.00</t>
  </si>
  <si>
    <t>34,500,000.00</t>
  </si>
  <si>
    <t>998,759.90</t>
  </si>
  <si>
    <t>2,999,998.07</t>
  </si>
  <si>
    <t>2,585,000.00</t>
  </si>
  <si>
    <t>995,000.00</t>
  </si>
  <si>
    <t>14,500,000.00</t>
  </si>
  <si>
    <t>6,860,000.00</t>
  </si>
  <si>
    <t>43,120,000.00</t>
  </si>
  <si>
    <t>21,500,000.00</t>
  </si>
  <si>
    <t>14,000,000.00</t>
  </si>
  <si>
    <t>244,148.00</t>
  </si>
  <si>
    <t>1,931,310.23</t>
  </si>
  <si>
    <t>1,642,960.00</t>
  </si>
  <si>
    <t>1,860,000.00</t>
  </si>
  <si>
    <t>2,607,650.00</t>
  </si>
  <si>
    <t>580,487.00</t>
  </si>
  <si>
    <t>1,739,567.35</t>
  </si>
  <si>
    <t>2,042,500.00</t>
  </si>
  <si>
    <t>62,526.00</t>
  </si>
  <si>
    <t>1,730,592.00</t>
  </si>
  <si>
    <t>3,869,491.00</t>
  </si>
  <si>
    <t>7,002,700.00</t>
  </si>
  <si>
    <t>9,669,304.29</t>
  </si>
  <si>
    <t>129,993.96</t>
  </si>
  <si>
    <t>24,218.00</t>
  </si>
  <si>
    <t>139,871.75</t>
  </si>
  <si>
    <t>1,303,926.00</t>
  </si>
  <si>
    <t>1,890,000.00</t>
  </si>
  <si>
    <t>339,760.00</t>
  </si>
  <si>
    <t>5,431,530.33</t>
  </si>
  <si>
    <t>81,085.00</t>
  </si>
  <si>
    <t>251,969.80</t>
  </si>
  <si>
    <t>1,475,945.00</t>
  </si>
  <si>
    <t>14,637,349.03</t>
  </si>
  <si>
    <t>2,037,000.00</t>
  </si>
  <si>
    <t>64,224.00</t>
  </si>
  <si>
    <t>12,314,817.49</t>
  </si>
  <si>
    <t>395,260.40</t>
  </si>
  <si>
    <t>744,946.00</t>
  </si>
  <si>
    <t>159,200.00</t>
  </si>
  <si>
    <t>1,206,500.00</t>
  </si>
  <si>
    <t>902,025.00</t>
  </si>
  <si>
    <t>2,398,331.91</t>
  </si>
  <si>
    <t>978,765.00</t>
  </si>
  <si>
    <t>17,822,473.99</t>
  </si>
  <si>
    <t>24,874,252.24</t>
  </si>
  <si>
    <t>1,844,995.00</t>
  </si>
  <si>
    <t>8,793,120.00</t>
  </si>
  <si>
    <t>1,617,624.00</t>
  </si>
  <si>
    <t>4,947,990.12</t>
  </si>
  <si>
    <t>499,779.00</t>
  </si>
  <si>
    <t>7,320,968.16</t>
  </si>
  <si>
    <t>600,674.00</t>
  </si>
  <si>
    <t>966,919.29</t>
  </si>
  <si>
    <t>3,947,470.24</t>
  </si>
  <si>
    <t>734,600.00</t>
  </si>
  <si>
    <t>1,954,158.82</t>
  </si>
  <si>
    <t>2,457,518.52</t>
  </si>
  <si>
    <t>263,587.20</t>
  </si>
  <si>
    <t>5,999,645.00</t>
  </si>
  <si>
    <t>9,755,869.03</t>
  </si>
  <si>
    <t>243,580.00</t>
  </si>
  <si>
    <t>15,525,503.00</t>
  </si>
  <si>
    <t>294,100.00</t>
  </si>
  <si>
    <t>5,896,998.10</t>
  </si>
  <si>
    <t>799,542.50</t>
  </si>
  <si>
    <t>267,280.00</t>
  </si>
  <si>
    <t>267,630.00</t>
  </si>
  <si>
    <t>465,580.00</t>
  </si>
  <si>
    <t>2,799,074.12</t>
  </si>
  <si>
    <t>495,555.00</t>
  </si>
  <si>
    <t>352,955.00</t>
  </si>
  <si>
    <t>1,339,996.00</t>
  </si>
  <si>
    <t>973,539.99</t>
  </si>
  <si>
    <t>15,800,000.00</t>
  </si>
  <si>
    <t>1,803,715.00</t>
  </si>
  <si>
    <t>15,024,159.41</t>
  </si>
  <si>
    <t>178,020.00</t>
  </si>
  <si>
    <t>7,920,000.00</t>
  </si>
  <si>
    <t>11,537,272.89</t>
  </si>
  <si>
    <t>734,250.00</t>
  </si>
  <si>
    <t>139,300.00</t>
  </si>
  <si>
    <t>231,000.00</t>
  </si>
  <si>
    <t>13,953,254.68</t>
  </si>
  <si>
    <t>5,130,000.00</t>
  </si>
  <si>
    <t>415,713.00</t>
  </si>
  <si>
    <t>326,296.22</t>
  </si>
  <si>
    <t>1,215,000.00</t>
  </si>
  <si>
    <t>25,869,102.33</t>
  </si>
  <si>
    <t>106,165.40</t>
  </si>
  <si>
    <t>352,843.00</t>
  </si>
  <si>
    <t>1,680,836.00</t>
  </si>
  <si>
    <t>500,550.00</t>
  </si>
  <si>
    <t>2,380,250.00</t>
  </si>
  <si>
    <t>15,840,000.00</t>
  </si>
  <si>
    <t>1,079,621.71</t>
  </si>
  <si>
    <t>1,426,500.00</t>
  </si>
  <si>
    <t>4,080.00</t>
  </si>
  <si>
    <t>6,840,000.00</t>
  </si>
  <si>
    <t>35,809,915.39</t>
  </si>
  <si>
    <t>68,515,000.00</t>
  </si>
  <si>
    <t>16,751.00</t>
  </si>
  <si>
    <t>65,434,431.60</t>
  </si>
  <si>
    <t>34,561,365.75</t>
  </si>
  <si>
    <t>1,508,988.00</t>
  </si>
  <si>
    <t>776,224.00</t>
  </si>
  <si>
    <t>1,554,870.00</t>
  </si>
  <si>
    <t>536,094.00</t>
  </si>
  <si>
    <t>4,994,222.63</t>
  </si>
  <si>
    <t>1,855,286.30</t>
  </si>
  <si>
    <t>24,399,231.22</t>
  </si>
  <si>
    <t>851,934.40</t>
  </si>
  <si>
    <t>1,919,999.90</t>
  </si>
  <si>
    <t>3,431,302.00</t>
  </si>
  <si>
    <t>16,156.25</t>
  </si>
  <si>
    <t>1,325,150.00</t>
  </si>
  <si>
    <t>1,154,013.00</t>
  </si>
  <si>
    <t>19,800,000.00</t>
  </si>
  <si>
    <t>122,936.00</t>
  </si>
  <si>
    <t>1,735,070.00</t>
  </si>
  <si>
    <t>171,818.90</t>
  </si>
  <si>
    <t>66,669.00</t>
  </si>
  <si>
    <t>299,980.00</t>
  </si>
  <si>
    <t>12,593,000.00</t>
  </si>
  <si>
    <t>1,226,769.00</t>
  </si>
  <si>
    <t>1,305,200.00</t>
  </si>
  <si>
    <t>51,752.00</t>
  </si>
  <si>
    <t>2,739,300.00</t>
  </si>
  <si>
    <t>282,000.00</t>
  </si>
  <si>
    <t>731,000.00</t>
  </si>
  <si>
    <t>24,000.00</t>
  </si>
  <si>
    <t>591,416.00</t>
  </si>
  <si>
    <t>2,874,370.00</t>
  </si>
  <si>
    <t>1,223,684.00</t>
  </si>
  <si>
    <t>2,004,205.36</t>
  </si>
  <si>
    <t>59,119,537.20</t>
  </si>
  <si>
    <t>355,840.00</t>
  </si>
  <si>
    <t>357,142.95</t>
  </si>
  <si>
    <t>29,000,000.00</t>
  </si>
  <si>
    <t>1,078,600.00</t>
  </si>
  <si>
    <t>491,641.50</t>
  </si>
  <si>
    <t>573,954.67</t>
  </si>
  <si>
    <t>120,200.00</t>
  </si>
  <si>
    <t>142,857.05</t>
  </si>
  <si>
    <t>830,390.00</t>
  </si>
  <si>
    <t>2,031,987.50</t>
  </si>
  <si>
    <t>1,365,339.00</t>
  </si>
  <si>
    <t>4,890,000.00</t>
  </si>
  <si>
    <t>1,477,980.00</t>
  </si>
  <si>
    <t>24,800,000.00</t>
  </si>
  <si>
    <t>1,016,597.40</t>
  </si>
  <si>
    <t>683,000.00</t>
  </si>
  <si>
    <t>1,907,146.87</t>
  </si>
  <si>
    <t>1,249,855.00</t>
  </si>
  <si>
    <t>2,280,743.33</t>
  </si>
  <si>
    <t>616,346.40</t>
  </si>
  <si>
    <t>340,277.10</t>
  </si>
  <si>
    <t>813,970.73</t>
  </si>
  <si>
    <t>845,000.00</t>
  </si>
  <si>
    <t>5,837,931.13</t>
  </si>
  <si>
    <t>1,607,201.22</t>
  </si>
  <si>
    <t>39,800,000.00</t>
  </si>
  <si>
    <t>4,999,000.00</t>
  </si>
  <si>
    <t>12,014,000.00</t>
  </si>
  <si>
    <t>5,845,913.63</t>
  </si>
  <si>
    <t>1,015,676.55</t>
  </si>
  <si>
    <t>18,295,435.41</t>
  </si>
  <si>
    <t>4,897,118.76</t>
  </si>
  <si>
    <t>339,226.13</t>
  </si>
  <si>
    <t>169,880.00</t>
  </si>
  <si>
    <t>97,400.00</t>
  </si>
  <si>
    <t>335,080.00</t>
  </si>
  <si>
    <t>1,023,500.00</t>
  </si>
  <si>
    <t>4,996,042.82</t>
  </si>
  <si>
    <t>2,140,000.00</t>
  </si>
  <si>
    <t>10,655,680.00</t>
  </si>
  <si>
    <t>997,200.00</t>
  </si>
  <si>
    <t>183,159,105.06</t>
  </si>
  <si>
    <t>6,953,182.00</t>
  </si>
  <si>
    <t>2,589,000.00</t>
  </si>
  <si>
    <t>999,978.21</t>
  </si>
  <si>
    <t>6,950,000.00</t>
  </si>
  <si>
    <t>5,245,597.35</t>
  </si>
  <si>
    <t>599,721.55</t>
  </si>
  <si>
    <t>34,729,660.81</t>
  </si>
  <si>
    <t>5,035,750.00</t>
  </si>
  <si>
    <t>5,265,000.00</t>
  </si>
  <si>
    <t>1,955,248.60</t>
  </si>
  <si>
    <t>992,750.00</t>
  </si>
  <si>
    <t>5,999,355.34</t>
  </si>
  <si>
    <t>4,181,483.15</t>
  </si>
  <si>
    <t>18,998,224.54</t>
  </si>
  <si>
    <t>3,688,800.00</t>
  </si>
  <si>
    <t>2,853,799.44</t>
  </si>
  <si>
    <t>337,690.50</t>
  </si>
  <si>
    <t>181,680.00</t>
  </si>
  <si>
    <t>1,999,915.24</t>
  </si>
  <si>
    <t>99,605.00</t>
  </si>
  <si>
    <t>35,805,805.81</t>
  </si>
  <si>
    <t>112,959.40</t>
  </si>
  <si>
    <t>7,960,000.00</t>
  </si>
  <si>
    <t>828,659.81</t>
  </si>
  <si>
    <t>2,664,119.22</t>
  </si>
  <si>
    <t>4,133,500.00</t>
  </si>
  <si>
    <t>1,006,500.00</t>
  </si>
  <si>
    <t>1,177,650.00</t>
  </si>
  <si>
    <t>668,984.50</t>
  </si>
  <si>
    <t>11,760,000.00</t>
  </si>
  <si>
    <t>9,899,260.04</t>
  </si>
  <si>
    <t>2,098,135.00</t>
  </si>
  <si>
    <t>268,557.00</t>
  </si>
  <si>
    <t>257,140.00</t>
  </si>
  <si>
    <t>22,259,000.00</t>
  </si>
  <si>
    <t>115,230.00</t>
  </si>
  <si>
    <t>18,636,400.00</t>
  </si>
  <si>
    <t>10,199,393.42</t>
  </si>
  <si>
    <t>4,798,000.00</t>
  </si>
  <si>
    <t>10,427,914.00</t>
  </si>
  <si>
    <t>1,392,333.74</t>
  </si>
  <si>
    <t>339,412.50</t>
  </si>
  <si>
    <t>34,816,245.31</t>
  </si>
  <si>
    <t>4,600,000.00</t>
  </si>
  <si>
    <t>179,675.88</t>
  </si>
  <si>
    <t>812,744.91</t>
  </si>
  <si>
    <t>90,090.00</t>
  </si>
  <si>
    <t>300,094.80</t>
  </si>
  <si>
    <t>612,594.00</t>
  </si>
  <si>
    <t>271,500.00</t>
  </si>
  <si>
    <t>64,000,000.00</t>
  </si>
  <si>
    <t>89,950.00</t>
  </si>
  <si>
    <t>99,600.00</t>
  </si>
  <si>
    <t>1,192,492.00</t>
  </si>
  <si>
    <t>936,303.01</t>
  </si>
  <si>
    <t>7,632,000.00</t>
  </si>
  <si>
    <t>80,808.00</t>
  </si>
  <si>
    <t>35,700,000.00</t>
  </si>
  <si>
    <t>2,590,684.00</t>
  </si>
  <si>
    <t>411,103.44</t>
  </si>
  <si>
    <t>637,984.00</t>
  </si>
  <si>
    <t>3,390,007.50</t>
  </si>
  <si>
    <t>3,550,000.00</t>
  </si>
  <si>
    <t>6,957,036.00</t>
  </si>
  <si>
    <t>497,108.84</t>
  </si>
  <si>
    <t>382,829.13</t>
  </si>
  <si>
    <t>282,197.00</t>
  </si>
  <si>
    <t>738,312.50</t>
  </si>
  <si>
    <t>123,750.00</t>
  </si>
  <si>
    <t>457,944.00</t>
  </si>
  <si>
    <t>668,340.00</t>
  </si>
  <si>
    <t>663,000.00</t>
  </si>
  <si>
    <t>10,878,000.00</t>
  </si>
  <si>
    <t>784,404.40</t>
  </si>
  <si>
    <t>482,564.63</t>
  </si>
  <si>
    <t>5,204,000.00</t>
  </si>
  <si>
    <t>643,125.00</t>
  </si>
  <si>
    <t>137,150.00</t>
  </si>
  <si>
    <t>39,919,933.00</t>
  </si>
  <si>
    <t>2,627,100.00</t>
  </si>
  <si>
    <t>250,487.00</t>
  </si>
  <si>
    <t>4,883,447.38</t>
  </si>
  <si>
    <t>294,542.00</t>
  </si>
  <si>
    <t>1,699,229.34</t>
  </si>
  <si>
    <t>4,999,916.74</t>
  </si>
  <si>
    <t>64,579.73</t>
  </si>
  <si>
    <t>533,850.00</t>
  </si>
  <si>
    <t>32,300.00</t>
  </si>
  <si>
    <t>227,165.00</t>
  </si>
  <si>
    <t>21,372,000.00</t>
  </si>
  <si>
    <t>346,343.50</t>
  </si>
  <si>
    <t>449,790.40</t>
  </si>
  <si>
    <t>19,605,746.50</t>
  </si>
  <si>
    <t>2,729,800.00</t>
  </si>
  <si>
    <t>2,809,968.46</t>
  </si>
  <si>
    <t>99,999,999.90</t>
  </si>
  <si>
    <t>24,500,000.00</t>
  </si>
  <si>
    <t>699,314.96</t>
  </si>
  <si>
    <t>3,680,921.03</t>
  </si>
  <si>
    <t>3,296,284.79</t>
  </si>
  <si>
    <t>10,890,000.00</t>
  </si>
  <si>
    <t>3,359,829.67</t>
  </si>
  <si>
    <t>11,643,750.79</t>
  </si>
  <si>
    <t>107,349.38</t>
  </si>
  <si>
    <t>3,402,097.21</t>
  </si>
  <si>
    <t>12,499,966.87</t>
  </si>
  <si>
    <t>1,612,678.00</t>
  </si>
  <si>
    <t>5,976,486.72</t>
  </si>
  <si>
    <t>4,334,000.00</t>
  </si>
  <si>
    <t>2,656,643.93</t>
  </si>
  <si>
    <t>18,708,972.08</t>
  </si>
  <si>
    <t>4,455,000.00</t>
  </si>
  <si>
    <t>2,787,904.90</t>
  </si>
  <si>
    <t>3,184,345.08</t>
  </si>
  <si>
    <t>3,168,109.60</t>
  </si>
  <si>
    <t>12,399,790.68</t>
  </si>
  <si>
    <t>3,705,090.71</t>
  </si>
  <si>
    <t>3,489,090.67</t>
  </si>
  <si>
    <t>3,272,344.18</t>
  </si>
  <si>
    <t>26,500,000.00</t>
  </si>
  <si>
    <t>3,779,115.22</t>
  </si>
  <si>
    <t>179,200.00</t>
  </si>
  <si>
    <t>3,695,919.22</t>
  </si>
  <si>
    <t>1,455,700.00</t>
  </si>
  <si>
    <t>972,840.00</t>
  </si>
  <si>
    <t>2,402,670.22</t>
  </si>
  <si>
    <t>11,830,979.00</t>
  </si>
  <si>
    <t>4,318,000.00</t>
  </si>
  <si>
    <t>1,915,920.00</t>
  </si>
  <si>
    <t>40,120,215.67</t>
  </si>
  <si>
    <t>13,356,249.21</t>
  </si>
  <si>
    <t>1,453,540.91</t>
  </si>
  <si>
    <t>13,600,000.00</t>
  </si>
  <si>
    <t>1,681,659.40</t>
  </si>
  <si>
    <t>1,981,600.00</t>
  </si>
  <si>
    <t>847,610.55</t>
  </si>
  <si>
    <t>1,021,940.00</t>
  </si>
  <si>
    <t>2,802,500.00</t>
  </si>
  <si>
    <t>2,497,826.00</t>
  </si>
  <si>
    <t>364,890.62</t>
  </si>
  <si>
    <t>3,854,899.26</t>
  </si>
  <si>
    <t>219,050.00</t>
  </si>
  <si>
    <t>794,192.00</t>
  </si>
  <si>
    <t>3,489,999.01</t>
  </si>
  <si>
    <t>963,514.54</t>
  </si>
  <si>
    <t>2,999,999.08</t>
  </si>
  <si>
    <t>1,999,999.44</t>
  </si>
  <si>
    <t>945,885.47</t>
  </si>
  <si>
    <t>115,630.00</t>
  </si>
  <si>
    <t>1,999,997.57</t>
  </si>
  <si>
    <t>2,031,230.80</t>
  </si>
  <si>
    <t>1,374,425.00</t>
  </si>
  <si>
    <t>1,499,991.57</t>
  </si>
  <si>
    <t>1,999,999.99</t>
  </si>
  <si>
    <t>1,398,401.00</t>
  </si>
  <si>
    <t>2,418,781.71</t>
  </si>
  <si>
    <t>1,073,429.95</t>
  </si>
  <si>
    <t>1,986,798.71</t>
  </si>
  <si>
    <t>5,166,962.67</t>
  </si>
  <si>
    <t>4,349,999.59</t>
  </si>
  <si>
    <t>2,064,691.14</t>
  </si>
  <si>
    <t>4,851,026.01</t>
  </si>
  <si>
    <t>2,428,739.31</t>
  </si>
  <si>
    <t>1,457,691.94</t>
  </si>
  <si>
    <t>3,605,582.97</t>
  </si>
  <si>
    <t>9,525,904.00</t>
  </si>
  <si>
    <t>50,400,000.00</t>
  </si>
  <si>
    <t>1,160,000.00</t>
  </si>
  <si>
    <t>2,319,127.68</t>
  </si>
  <si>
    <t>5,164,159.27</t>
  </si>
  <si>
    <t>3,029,000.00</t>
  </si>
  <si>
    <t>21,199,952.98</t>
  </si>
  <si>
    <t>1,983,520.00</t>
  </si>
  <si>
    <t>2,399,999.43</t>
  </si>
  <si>
    <t>3,233,811.81</t>
  </si>
  <si>
    <t>1,025,855.52</t>
  </si>
  <si>
    <t>496,845.80</t>
  </si>
  <si>
    <t>1,072,748.00</t>
  </si>
  <si>
    <t>11,939,998.86</t>
  </si>
  <si>
    <t>1,999,966.82</t>
  </si>
  <si>
    <t>1,178,900.00</t>
  </si>
  <si>
    <t>158,000.00</t>
  </si>
  <si>
    <t>3,752,240.63</t>
  </si>
  <si>
    <t>1,999,999.60</t>
  </si>
  <si>
    <t>16,000,000.00</t>
  </si>
  <si>
    <t>8,998,360.78</t>
  </si>
  <si>
    <t>12,934,998.28</t>
  </si>
  <si>
    <t>1,548,000.00</t>
  </si>
  <si>
    <t>179,534.06</t>
  </si>
  <si>
    <t>1,469,876.52</t>
  </si>
  <si>
    <t>2,173,380.00</t>
  </si>
  <si>
    <t>249,850.00</t>
  </si>
  <si>
    <t>174,200.00</t>
  </si>
  <si>
    <t>2,629,984.00</t>
  </si>
  <si>
    <t>673,000.00</t>
  </si>
  <si>
    <t>1,604,529.00</t>
  </si>
  <si>
    <t>1,111,634.00</t>
  </si>
  <si>
    <t>8,563,967.00</t>
  </si>
  <si>
    <t>1,596,600.00</t>
  </si>
  <si>
    <t>1,468,059.84</t>
  </si>
  <si>
    <t>6,250,000.00</t>
  </si>
  <si>
    <t>490,854.83</t>
  </si>
  <si>
    <t>33,383.00</t>
  </si>
  <si>
    <t>41,960.00</t>
  </si>
  <si>
    <t>1,657,806.96</t>
  </si>
  <si>
    <t>685,755.94</t>
  </si>
  <si>
    <t>127,745.00</t>
  </si>
  <si>
    <t>45,295.33</t>
  </si>
  <si>
    <t>556,880.00</t>
  </si>
  <si>
    <t>94,176.00</t>
  </si>
  <si>
    <t>8,989,015.07</t>
  </si>
  <si>
    <t>38,000,000.00</t>
  </si>
  <si>
    <t>1,089,033.00</t>
  </si>
  <si>
    <t>54,497,365.56</t>
  </si>
  <si>
    <t>2,932,144.36</t>
  </si>
  <si>
    <t>517,599.29</t>
  </si>
  <si>
    <t>336,540.00</t>
  </si>
  <si>
    <t>455,301.56</t>
  </si>
  <si>
    <t>87,118.00</t>
  </si>
  <si>
    <t>1,498,079.50</t>
  </si>
  <si>
    <t>7,326,895.33</t>
  </si>
  <si>
    <t>4,977,000.00</t>
  </si>
  <si>
    <t>799,993.35</t>
  </si>
  <si>
    <t>1,955,912.28</t>
  </si>
  <si>
    <t>332,030.00</t>
  </si>
  <si>
    <t>298,645.00</t>
  </si>
  <si>
    <t>4,265,340.00</t>
  </si>
  <si>
    <t>689,787.00</t>
  </si>
  <si>
    <t>342,655.23</t>
  </si>
  <si>
    <t>249,960.00</t>
  </si>
  <si>
    <t>2,246,000.00</t>
  </si>
  <si>
    <t>258,888.00</t>
  </si>
  <si>
    <t>566,015.00</t>
  </si>
  <si>
    <t>470,600.00</t>
  </si>
  <si>
    <t>2,418,000.00</t>
  </si>
  <si>
    <t>2,247,786.61</t>
  </si>
  <si>
    <t>1,973,066.17</t>
  </si>
  <si>
    <t>1,951,282.01</t>
  </si>
  <si>
    <t>783,899.00</t>
  </si>
  <si>
    <t>2,613,745.92</t>
  </si>
  <si>
    <t>1,080,956.00</t>
  </si>
  <si>
    <t>14,015,843.16</t>
  </si>
  <si>
    <t>9,810,000.00</t>
  </si>
  <si>
    <t>1,475,422.34</t>
  </si>
  <si>
    <t>48,000,000.00</t>
  </si>
  <si>
    <t>2,148,308.00</t>
  </si>
  <si>
    <t>1,435,256.85</t>
  </si>
  <si>
    <t>7,537,877.55</t>
  </si>
  <si>
    <t>1,751,202.39</t>
  </si>
  <si>
    <t>213,158.55</t>
  </si>
  <si>
    <t>1,159,705.84</t>
  </si>
  <si>
    <t>1,659,881.80</t>
  </si>
  <si>
    <t>1,466,552.69</t>
  </si>
  <si>
    <t>2,553,240.00</t>
  </si>
  <si>
    <t>115,210.00</t>
  </si>
  <si>
    <t>2,974,490.39</t>
  </si>
  <si>
    <t>72,700.00</t>
  </si>
  <si>
    <t>10,650,000.00</t>
  </si>
  <si>
    <t>39,878.00</t>
  </si>
  <si>
    <t>1,435,829.49</t>
  </si>
  <si>
    <t>23,520,000.00</t>
  </si>
  <si>
    <t>2,767,381.63</t>
  </si>
  <si>
    <t>61,855.00</t>
  </si>
  <si>
    <t>1,122,282.00</t>
  </si>
  <si>
    <t>1,057,392.00</t>
  </si>
  <si>
    <t>24,869,866.69</t>
  </si>
  <si>
    <t>735,784.16</t>
  </si>
  <si>
    <t>2,910,157.16</t>
  </si>
  <si>
    <t>4,375,057.80</t>
  </si>
  <si>
    <t>10,199,947.68</t>
  </si>
  <si>
    <t>16,582,001.77</t>
  </si>
  <si>
    <t>46,369,976.45</t>
  </si>
  <si>
    <t>54,525.34</t>
  </si>
  <si>
    <t>1,468,833.28</t>
  </si>
  <si>
    <t>1,189,000.00</t>
  </si>
  <si>
    <t>251,330.00</t>
  </si>
  <si>
    <t>1,031,139.00</t>
  </si>
  <si>
    <t>99,925.00</t>
  </si>
  <si>
    <t>30,380,000.00</t>
  </si>
  <si>
    <t>565,386.50</t>
  </si>
  <si>
    <t>849,999.50</t>
  </si>
  <si>
    <t>1,595,455.65</t>
  </si>
  <si>
    <t>499,887.25</t>
  </si>
  <si>
    <t>30,900,000.00</t>
  </si>
  <si>
    <t>1,108,077.00</t>
  </si>
  <si>
    <t>24,840,000.00</t>
  </si>
  <si>
    <t>8,612,563.00</t>
  </si>
  <si>
    <t>126,187.43</t>
  </si>
  <si>
    <t>4,892,836.07</t>
  </si>
  <si>
    <t>238,660.00</t>
  </si>
  <si>
    <t>8,400.00</t>
  </si>
  <si>
    <t>10,536,600.00</t>
  </si>
  <si>
    <t>1,575,000.00</t>
  </si>
  <si>
    <t>40,917,940.00</t>
  </si>
  <si>
    <t>3,385,000.00</t>
  </si>
  <si>
    <t>96,500,000.00</t>
  </si>
  <si>
    <t>105,665.00</t>
  </si>
  <si>
    <t>790,000.00</t>
  </si>
  <si>
    <t>6,977,000.00</t>
  </si>
  <si>
    <t>1,185,658.00</t>
  </si>
  <si>
    <t>322,078.40</t>
  </si>
  <si>
    <t>1,701,000.00</t>
  </si>
  <si>
    <t>2,340,000.00</t>
  </si>
  <si>
    <t>530,430.00</t>
  </si>
  <si>
    <t>513,400.00</t>
  </si>
  <si>
    <t>4,900,700.00</t>
  </si>
  <si>
    <t>3,751,255.20</t>
  </si>
  <si>
    <t>477,592.35</t>
  </si>
  <si>
    <t>257,215.00</t>
  </si>
  <si>
    <t>649,872.40</t>
  </si>
  <si>
    <t>11,220,000.00</t>
  </si>
  <si>
    <t>2,506,900.00</t>
  </si>
  <si>
    <t>12,237,416.68</t>
  </si>
  <si>
    <t>5,220,000.00</t>
  </si>
  <si>
    <t>12,146,967.54</t>
  </si>
  <si>
    <t>235,533.63</t>
  </si>
  <si>
    <t>2,374,000.00</t>
  </si>
  <si>
    <t>10,442,880.00</t>
  </si>
  <si>
    <t>10,994,620.00</t>
  </si>
  <si>
    <t>7,824,000.00</t>
  </si>
  <si>
    <t>118,215.00</t>
  </si>
  <si>
    <t>35,280,000.00</t>
  </si>
  <si>
    <t>2,503,250.00</t>
  </si>
  <si>
    <t>54,980.00</t>
  </si>
  <si>
    <t>191,795.50</t>
  </si>
  <si>
    <t>5,540,000.00</t>
  </si>
  <si>
    <t>2,733,625.00</t>
  </si>
  <si>
    <t>20,907,415.40</t>
  </si>
  <si>
    <t>2,853,049.61</t>
  </si>
  <si>
    <t>1,733,500.00</t>
  </si>
  <si>
    <t>990,421.61</t>
  </si>
  <si>
    <t>171,250,000.00</t>
  </si>
  <si>
    <t>1,062,527.50</t>
  </si>
  <si>
    <t>1,130,815.16</t>
  </si>
  <si>
    <t>2,172,000.00</t>
  </si>
  <si>
    <t>16,477,488.50</t>
  </si>
  <si>
    <t>1,238,000.00</t>
  </si>
  <si>
    <t>1,990,180.97</t>
  </si>
  <si>
    <t>3,099,135.00</t>
  </si>
  <si>
    <t>2,220,750.00</t>
  </si>
  <si>
    <t>4,086,754.66</t>
  </si>
  <si>
    <t>1,497,516.25</t>
  </si>
  <si>
    <t>16,318,885.66</t>
  </si>
  <si>
    <t>499,988.39</t>
  </si>
  <si>
    <t>299,682.76</t>
  </si>
  <si>
    <t>253,967.00</t>
  </si>
  <si>
    <t>14,570,000.00</t>
  </si>
  <si>
    <t>199,552.50</t>
  </si>
  <si>
    <t>62,940,000.00</t>
  </si>
  <si>
    <t>1,217,160.00</t>
  </si>
  <si>
    <t>26,300,618.11</t>
  </si>
  <si>
    <t>3,999,325.73</t>
  </si>
  <si>
    <t>1,020,000.00</t>
  </si>
  <si>
    <t>6,999,992.86</t>
  </si>
  <si>
    <t>3,665,000.00</t>
  </si>
  <si>
    <t>1,052,764.00</t>
  </si>
  <si>
    <t>1,451,500.00</t>
  </si>
  <si>
    <t>1,581,844.00</t>
  </si>
  <si>
    <t>1,191,800.00</t>
  </si>
  <si>
    <t>162,483.00</t>
  </si>
  <si>
    <t>241,757.60</t>
  </si>
  <si>
    <t>2,983,716.46</t>
  </si>
  <si>
    <t>2,199,309.81</t>
  </si>
  <si>
    <t>1,104,180.00</t>
  </si>
  <si>
    <t>1,999,992.32</t>
  </si>
  <si>
    <t>2,501,650.00</t>
  </si>
  <si>
    <t>123,410.20</t>
  </si>
  <si>
    <t>39,994,720.06</t>
  </si>
  <si>
    <t>3,447,914.58</t>
  </si>
  <si>
    <t>122,700.00</t>
  </si>
  <si>
    <t>248,422.50</t>
  </si>
  <si>
    <t>363,200.00</t>
  </si>
  <si>
    <t>897,206.00</t>
  </si>
  <si>
    <t>19,434,748.78</t>
  </si>
  <si>
    <t>59,500.00</t>
  </si>
  <si>
    <t>12,570,120.00</t>
  </si>
  <si>
    <t>3,547,781.30</t>
  </si>
  <si>
    <t>1,999,999.75</t>
  </si>
  <si>
    <t>1,999,490.59</t>
  </si>
  <si>
    <t>599,928.04</t>
  </si>
  <si>
    <t>1,979,212.00</t>
  </si>
  <si>
    <t>4,568,127.00</t>
  </si>
  <si>
    <t>67,570.00</t>
  </si>
  <si>
    <t>226,875.00</t>
  </si>
  <si>
    <t>432,477.87</t>
  </si>
  <si>
    <t>4,568,061.00</t>
  </si>
  <si>
    <t>1,084,206.00</t>
  </si>
  <si>
    <t>88,235,912.68</t>
  </si>
  <si>
    <t>1,295,409.26</t>
  </si>
  <si>
    <t>205,640.16</t>
  </si>
  <si>
    <t>52,356.82</t>
  </si>
  <si>
    <t>3,455,198.25</t>
  </si>
  <si>
    <t>1,149,603.80</t>
  </si>
  <si>
    <t>13,999,853.73</t>
  </si>
  <si>
    <t>2,971,924.64</t>
  </si>
  <si>
    <t>253,375.80</t>
  </si>
  <si>
    <t>1,296,120.00</t>
  </si>
  <si>
    <t>4,350,000.00</t>
  </si>
  <si>
    <t>6,958,000.00</t>
  </si>
  <si>
    <t>2,150,248.56</t>
  </si>
  <si>
    <t>4,808,350.60</t>
  </si>
  <si>
    <t>9,751,680.00</t>
  </si>
  <si>
    <t>1,507,450.00</t>
  </si>
  <si>
    <t>8,415,043.98</t>
  </si>
  <si>
    <t>3,516,000.00</t>
  </si>
  <si>
    <t>408,350.40</t>
  </si>
  <si>
    <t>9,117,799.91</t>
  </si>
  <si>
    <t>121,440.00</t>
  </si>
  <si>
    <t>19,799,556.77</t>
  </si>
  <si>
    <t>5,372,902.00</t>
  </si>
  <si>
    <t>5,415,897.36</t>
  </si>
  <si>
    <t>1,079,118.61</t>
  </si>
  <si>
    <t>100,328.50</t>
  </si>
  <si>
    <t>1,197,202.95</t>
  </si>
  <si>
    <t>32,500,000.00</t>
  </si>
  <si>
    <t>1,882,826.00</t>
  </si>
  <si>
    <t>2,616,312.00</t>
  </si>
  <si>
    <t>10,541,000.00</t>
  </si>
  <si>
    <t>1,999,947.33</t>
  </si>
  <si>
    <t>938,327.50</t>
  </si>
  <si>
    <t>1,115,520.00</t>
  </si>
  <si>
    <t>289,200.00</t>
  </si>
  <si>
    <t>4,917,844.00</t>
  </si>
  <si>
    <t>227,870.00</t>
  </si>
  <si>
    <t>2,747,106.43</t>
  </si>
  <si>
    <t>2,602,500.00</t>
  </si>
  <si>
    <t>1,653,690.01</t>
  </si>
  <si>
    <t>995,252.45</t>
  </si>
  <si>
    <t>992,428.75</t>
  </si>
  <si>
    <t>53,750.00</t>
  </si>
  <si>
    <t>12,266,855.00</t>
  </si>
  <si>
    <t>584,000.00</t>
  </si>
  <si>
    <t>1,312,700.00</t>
  </si>
  <si>
    <t>449,625.00</t>
  </si>
  <si>
    <t>1,913,250.00</t>
  </si>
  <si>
    <t>2,089,159.00</t>
  </si>
  <si>
    <t>1,690,000.00</t>
  </si>
  <si>
    <t>2,323,200.00</t>
  </si>
  <si>
    <t>8,941,922.70</t>
  </si>
  <si>
    <t>1,237,888.60</t>
  </si>
  <si>
    <t>3,137,117.42</t>
  </si>
  <si>
    <t>4,363,650.00</t>
  </si>
  <si>
    <t>509,017.00</t>
  </si>
  <si>
    <t>1,015,500.00</t>
  </si>
  <si>
    <t>1,220,625.00</t>
  </si>
  <si>
    <t>9,484,593.77</t>
  </si>
  <si>
    <t>6,755,000.00</t>
  </si>
  <si>
    <t>373,520.00</t>
  </si>
  <si>
    <t>228,280.00</t>
  </si>
  <si>
    <t>8,714,400.00</t>
  </si>
  <si>
    <t>1,235,000.00</t>
  </si>
  <si>
    <t>7,871,669.63</t>
  </si>
  <si>
    <t>19,599,110.65</t>
  </si>
  <si>
    <t>28,949,400.96</t>
  </si>
  <si>
    <t>2,551,250.00</t>
  </si>
  <si>
    <t>19,599,952.89</t>
  </si>
  <si>
    <t>2,565,522.01</t>
  </si>
  <si>
    <t>6,461,147.70</t>
  </si>
  <si>
    <t>4,949,107.84</t>
  </si>
  <si>
    <t>674,919.00</t>
  </si>
  <si>
    <t>403,077.00</t>
  </si>
  <si>
    <t>5,975,643.58</t>
  </si>
  <si>
    <t>4,650,000.00</t>
  </si>
  <si>
    <t>10,999,428.50</t>
  </si>
  <si>
    <t>4,063,409.84</t>
  </si>
  <si>
    <t>457,800.00</t>
  </si>
  <si>
    <t>3,738,804.09</t>
  </si>
  <si>
    <t>1,154,524.05</t>
  </si>
  <si>
    <t>67,344,000.00</t>
  </si>
  <si>
    <t>2,354,475.57</t>
  </si>
  <si>
    <t>47,518,883.47</t>
  </si>
  <si>
    <t>2,258,156.83</t>
  </si>
  <si>
    <t>89,988,107.14</t>
  </si>
  <si>
    <t>8,261,644.05</t>
  </si>
  <si>
    <t>26,496,000.00</t>
  </si>
  <si>
    <t>39,984,000.00</t>
  </si>
  <si>
    <t>29,352,000.00</t>
  </si>
  <si>
    <t>32,328,000.00</t>
  </si>
  <si>
    <t>2,187,000.00</t>
  </si>
  <si>
    <t>1,122,784.00</t>
  </si>
  <si>
    <t>37,842,360.00</t>
  </si>
  <si>
    <t>41,400,000.00</t>
  </si>
  <si>
    <t>135,760.67</t>
  </si>
  <si>
    <t>14,384,108.20</t>
  </si>
  <si>
    <t>131,534.09</t>
  </si>
  <si>
    <t>12,844,315.88</t>
  </si>
  <si>
    <t>359,133.78</t>
  </si>
  <si>
    <t>196,530.00</t>
  </si>
  <si>
    <t>5,088,000.00</t>
  </si>
  <si>
    <t>389,834.37</t>
  </si>
  <si>
    <t>4,467,550.30</t>
  </si>
  <si>
    <t>51,755,913.30</t>
  </si>
  <si>
    <t>1,986,028.00</t>
  </si>
  <si>
    <t>75,960.00</t>
  </si>
  <si>
    <t>1,098,293.00</t>
  </si>
  <si>
    <t>148,160.00</t>
  </si>
  <si>
    <t>11,011,000.00</t>
  </si>
  <si>
    <t>2,169,240.00</t>
  </si>
  <si>
    <t>2,700.00</t>
  </si>
  <si>
    <t>13,128,737.00</t>
  </si>
  <si>
    <t>498,960.00</t>
  </si>
  <si>
    <t>29,998,137.64</t>
  </si>
  <si>
    <t>12,715,966.17</t>
  </si>
  <si>
    <t>12,035,421.50</t>
  </si>
  <si>
    <t>12,363,968.57</t>
  </si>
  <si>
    <t>1,547,488.00</t>
  </si>
  <si>
    <t>131,133.08</t>
  </si>
  <si>
    <t>5,250,500.00</t>
  </si>
  <si>
    <t>3,283,353.93</t>
  </si>
  <si>
    <t>1,799,998.75</t>
  </si>
  <si>
    <t>200,753.50</t>
  </si>
  <si>
    <t>1,904,724.92</t>
  </si>
  <si>
    <t>1,490,922.56</t>
  </si>
  <si>
    <t>150,263.60</t>
  </si>
  <si>
    <t>845,500.00</t>
  </si>
  <si>
    <t>1,299,000.00</t>
  </si>
  <si>
    <t>109,440.00</t>
  </si>
  <si>
    <t>4,398,236.66</t>
  </si>
  <si>
    <t>2,597,079.15</t>
  </si>
  <si>
    <t>1,049,985.00</t>
  </si>
  <si>
    <t>220,202.89</t>
  </si>
  <si>
    <t>1,210,000.00</t>
  </si>
  <si>
    <t>1,499,745.38</t>
  </si>
  <si>
    <t>1,997,946.72</t>
  </si>
  <si>
    <t>4,960,000.00</t>
  </si>
  <si>
    <t>4,843,124.00</t>
  </si>
  <si>
    <t>5,692,291.00</t>
  </si>
  <si>
    <t>1,738,382.00</t>
  </si>
  <si>
    <t>1,004,682.35</t>
  </si>
  <si>
    <t>14,901,836.34</t>
  </si>
  <si>
    <t>1,258,560.00</t>
  </si>
  <si>
    <t>1,521,408.00</t>
  </si>
  <si>
    <t>3,270,956.40</t>
  </si>
  <si>
    <t>526,300.44</t>
  </si>
  <si>
    <t>21,614,232.21</t>
  </si>
  <si>
    <t>1,697,296.00</t>
  </si>
  <si>
    <t>1,383,930.95</t>
  </si>
  <si>
    <t>1,299,084.33</t>
  </si>
  <si>
    <t>103,893,712.00</t>
  </si>
  <si>
    <t>338,168.17</t>
  </si>
  <si>
    <t>2,870,620.00</t>
  </si>
  <si>
    <t>220,940.50</t>
  </si>
  <si>
    <t>8,226,000.00</t>
  </si>
  <si>
    <t>2,550,000.00</t>
  </si>
  <si>
    <t>282,800.00</t>
  </si>
  <si>
    <t>299,757.20</t>
  </si>
  <si>
    <t>762,171.00</t>
  </si>
  <si>
    <t>307,790.00</t>
  </si>
  <si>
    <t>3,366,000.00</t>
  </si>
  <si>
    <t>2,231,424.72</t>
  </si>
  <si>
    <t>1,100,719.51</t>
  </si>
  <si>
    <t>4,490,622.00</t>
  </si>
  <si>
    <t>1,563,720.00</t>
  </si>
  <si>
    <t>6,783,900.00</t>
  </si>
  <si>
    <t>110,655.00</t>
  </si>
  <si>
    <t>3,288,996.00</t>
  </si>
  <si>
    <t>615,940.00</t>
  </si>
  <si>
    <t>1,917,053.12</t>
  </si>
  <si>
    <t>1,296,900.00</t>
  </si>
  <si>
    <t>867,973.94</t>
  </si>
  <si>
    <t>209,860.00</t>
  </si>
  <si>
    <t>976,237.50</t>
  </si>
  <si>
    <t>1,935,700.00</t>
  </si>
  <si>
    <t>338,452.60</t>
  </si>
  <si>
    <t>1,053,400.00</t>
  </si>
  <si>
    <t>997,753.00</t>
  </si>
  <si>
    <t>293,310.94</t>
  </si>
  <si>
    <t>3,499,399.19</t>
  </si>
  <si>
    <t>346,604.95</t>
  </si>
  <si>
    <t>121,900.00</t>
  </si>
  <si>
    <t>59,462.00</t>
  </si>
  <si>
    <t>492,840.00</t>
  </si>
  <si>
    <t>2,052,652.00</t>
  </si>
  <si>
    <t>26,142,186.72</t>
  </si>
  <si>
    <t>19,999,966.78</t>
  </si>
  <si>
    <t>493,857.33</t>
  </si>
  <si>
    <t>442,000.00</t>
  </si>
  <si>
    <t>189,125.00</t>
  </si>
  <si>
    <t>99,755.35</t>
  </si>
  <si>
    <t>888,577.00</t>
  </si>
  <si>
    <t>1,499,729.60</t>
  </si>
  <si>
    <t>189,311.30</t>
  </si>
  <si>
    <t>3,999,999.68</t>
  </si>
  <si>
    <t>1,719,577.00</t>
  </si>
  <si>
    <t>143,085.72</t>
  </si>
  <si>
    <t>993,996.62</t>
  </si>
  <si>
    <t>1,727,261.00</t>
  </si>
  <si>
    <t>1,655,926.40</t>
  </si>
  <si>
    <t>49,840.00</t>
  </si>
  <si>
    <t>2,646,332.78</t>
  </si>
  <si>
    <t>336,700.00</t>
  </si>
  <si>
    <t>1,162,560.00</t>
  </si>
  <si>
    <t>586,810.00</t>
  </si>
  <si>
    <t>499,630.69</t>
  </si>
  <si>
    <t>1,496,000.00</t>
  </si>
  <si>
    <t>2,085,127.64</t>
  </si>
  <si>
    <t>6,982,370.45</t>
  </si>
  <si>
    <t>2,026,090.00</t>
  </si>
  <si>
    <t>1,901,726.00</t>
  </si>
  <si>
    <t>1,808,437.50</t>
  </si>
  <si>
    <t>1,340,788.49</t>
  </si>
  <si>
    <t>370,540.00</t>
  </si>
  <si>
    <t>212,500.00</t>
  </si>
  <si>
    <t>1,955,021.25</t>
  </si>
  <si>
    <t>1,939,000.00</t>
  </si>
  <si>
    <t>1,221,817.00</t>
  </si>
  <si>
    <t>495,137.88</t>
  </si>
  <si>
    <t>130,275,000.00</t>
  </si>
  <si>
    <t>174,400.00</t>
  </si>
  <si>
    <t>4,775,446.00</t>
  </si>
  <si>
    <t>1,632,530.00</t>
  </si>
  <si>
    <t>369,932.00</t>
  </si>
  <si>
    <t>816,000.00</t>
  </si>
  <si>
    <t>2,211,300.00</t>
  </si>
  <si>
    <t>208,750.00</t>
  </si>
  <si>
    <t>9,999,999.87</t>
  </si>
  <si>
    <t>123,250.00</t>
  </si>
  <si>
    <t>380,040.00</t>
  </si>
  <si>
    <t>499,240.88</t>
  </si>
  <si>
    <t>1,241,986.00</t>
  </si>
  <si>
    <t>1,954,233.75</t>
  </si>
  <si>
    <t>1,636,614.74</t>
  </si>
  <si>
    <t>642,200.00</t>
  </si>
  <si>
    <t>1,104,365.00</t>
  </si>
  <si>
    <t>11,210,000.00</t>
  </si>
  <si>
    <t>45,595.00</t>
  </si>
  <si>
    <t>6,683,040.00</t>
  </si>
  <si>
    <t>2,955,125.90</t>
  </si>
  <si>
    <t>1,313,808.00</t>
  </si>
  <si>
    <t>382,672.00</t>
  </si>
  <si>
    <t>380,060.00</t>
  </si>
  <si>
    <t>938,000.00</t>
  </si>
  <si>
    <t>486,195.00</t>
  </si>
  <si>
    <t>493,926.79</t>
  </si>
  <si>
    <t>1,707,300.00</t>
  </si>
  <si>
    <t>404,605.40</t>
  </si>
  <si>
    <t>1,322,693.00</t>
  </si>
  <si>
    <t>2,997,268.31</t>
  </si>
  <si>
    <t>20,665.00</t>
  </si>
  <si>
    <t>1,194,659.43</t>
  </si>
  <si>
    <t>912,587.81</t>
  </si>
  <si>
    <t>6,034,000.00</t>
  </si>
  <si>
    <t>1,354,320.00</t>
  </si>
  <si>
    <t>2,999,456.25</t>
  </si>
  <si>
    <t>1,151,184.33</t>
  </si>
  <si>
    <t>3,567,776.00</t>
  </si>
  <si>
    <t>291,009,954.49</t>
  </si>
  <si>
    <t>3,540,000.00</t>
  </si>
  <si>
    <t>2,444,400.00</t>
  </si>
  <si>
    <t>1,633,004.30</t>
  </si>
  <si>
    <t>19,598,851.27</t>
  </si>
  <si>
    <t>199,907.92</t>
  </si>
  <si>
    <t>11,433,000.00</t>
  </si>
  <si>
    <t>309,844.21</t>
  </si>
  <si>
    <t>385,998.00</t>
  </si>
  <si>
    <t>478,544.00</t>
  </si>
  <si>
    <t>1,499,500.00</t>
  </si>
  <si>
    <t>449,295.00</t>
  </si>
  <si>
    <t>125,588.00</t>
  </si>
  <si>
    <t>1,225,800.00</t>
  </si>
  <si>
    <t>1,411,090.95</t>
  </si>
  <si>
    <t>2,210,153.15</t>
  </si>
  <si>
    <t>2,916,550.00</t>
  </si>
  <si>
    <t>393,987.61</t>
  </si>
  <si>
    <t>1,466,931.00</t>
  </si>
  <si>
    <t>414,645.00</t>
  </si>
  <si>
    <t>1,201,000.00</t>
  </si>
  <si>
    <t>1,851,017.38</t>
  </si>
  <si>
    <t>1,974,501.38</t>
  </si>
  <si>
    <t>6,520,000.00</t>
  </si>
  <si>
    <t>2,329,993.60</t>
  </si>
  <si>
    <t>425,971.99</t>
  </si>
  <si>
    <t>170,000,000.00</t>
  </si>
  <si>
    <t>384,646.82</t>
  </si>
  <si>
    <t>590,000.00</t>
  </si>
  <si>
    <t>1,486,095.00</t>
  </si>
  <si>
    <t>736,120.00</t>
  </si>
  <si>
    <t>899,527.70</t>
  </si>
  <si>
    <t>157,500.00</t>
  </si>
  <si>
    <t>136,312.06</t>
  </si>
  <si>
    <t>9,700,000.00</t>
  </si>
  <si>
    <t>36,660,000.00</t>
  </si>
  <si>
    <t>46,188,600.00</t>
  </si>
  <si>
    <t>1,605,648.38</t>
  </si>
  <si>
    <t>2,997,902.34</t>
  </si>
  <si>
    <t>2,439,009.01</t>
  </si>
  <si>
    <t>1,129,182.00</t>
  </si>
  <si>
    <t>1,033,000.00</t>
  </si>
  <si>
    <t>1,990,403.71</t>
  </si>
  <si>
    <t>927,792.68</t>
  </si>
  <si>
    <t>5,562,585.65</t>
  </si>
  <si>
    <t>11,285,000.00</t>
  </si>
  <si>
    <t>6,796,176.00</t>
  </si>
  <si>
    <t>5,811,000.00</t>
  </si>
  <si>
    <t>931,361.94</t>
  </si>
  <si>
    <t>1,797,532.31</t>
  </si>
  <si>
    <t>171,934.00</t>
  </si>
  <si>
    <t>339,300.00</t>
  </si>
  <si>
    <t>186,964.77</t>
  </si>
  <si>
    <t>2,540,720.41</t>
  </si>
  <si>
    <t>1,962,813.04</t>
  </si>
  <si>
    <t>97,738,737.10</t>
  </si>
  <si>
    <t>3,027,560.59</t>
  </si>
  <si>
    <t>2,947,893.17</t>
  </si>
  <si>
    <t>5,580,000.00</t>
  </si>
  <si>
    <t>2,250,890.20</t>
  </si>
  <si>
    <t>2,089,087.87</t>
  </si>
  <si>
    <t>135,411.00</t>
  </si>
  <si>
    <t>870,694.65</t>
  </si>
  <si>
    <t>857,448.62</t>
  </si>
  <si>
    <t>15,700,000.00</t>
  </si>
  <si>
    <t>1,829,551.09</t>
  </si>
  <si>
    <t>3,796,110.65</t>
  </si>
  <si>
    <t>1,646,947.00</t>
  </si>
  <si>
    <t>9,470,603.91</t>
  </si>
  <si>
    <t>521,405.00</t>
  </si>
  <si>
    <t>333,508.00</t>
  </si>
  <si>
    <t>2,490,000.00</t>
  </si>
  <si>
    <t>14,057,904.00</t>
  </si>
  <si>
    <t>5,513,099.51</t>
  </si>
  <si>
    <t>6,871,000.00</t>
  </si>
  <si>
    <t>79,350.00</t>
  </si>
  <si>
    <t>8,038,450.00</t>
  </si>
  <si>
    <t>1,054,484.12</t>
  </si>
  <si>
    <t>55,000.01</t>
  </si>
  <si>
    <t>1,078,000.00</t>
  </si>
  <si>
    <t>937,320.07</t>
  </si>
  <si>
    <t>254,758.80</t>
  </si>
  <si>
    <t>9,848,896.42</t>
  </si>
  <si>
    <t>3,499,858.39</t>
  </si>
  <si>
    <t>9,996,335.72</t>
  </si>
  <si>
    <t>11,387,814.00</t>
  </si>
  <si>
    <t>5,499,759.37</t>
  </si>
  <si>
    <t>13,654,239.00</t>
  </si>
  <si>
    <t>149,445.00</t>
  </si>
  <si>
    <t>6,700,000.00</t>
  </si>
  <si>
    <t>261,479.00</t>
  </si>
  <si>
    <t>499,649.73</t>
  </si>
  <si>
    <t>672,134.00</t>
  </si>
  <si>
    <t>1,420,000.00</t>
  </si>
  <si>
    <t>15,395,235.00</t>
  </si>
  <si>
    <t>3,187,800.00</t>
  </si>
  <si>
    <t>131,708,998.04</t>
  </si>
  <si>
    <t>143,994,038.83</t>
  </si>
  <si>
    <t>903,350.00</t>
  </si>
  <si>
    <t>878,547.79</t>
  </si>
  <si>
    <t>20,620,287.00</t>
  </si>
  <si>
    <t>299,755.00</t>
  </si>
  <si>
    <t>4,047,778.35</t>
  </si>
  <si>
    <t>513,529.60</t>
  </si>
  <si>
    <t>507,060.00</t>
  </si>
  <si>
    <t>559,840.00</t>
  </si>
  <si>
    <t>1,116,783.50</t>
  </si>
  <si>
    <t>1,039,553.33</t>
  </si>
  <si>
    <t>16,264,300.00</t>
  </si>
  <si>
    <t>666,666.67</t>
  </si>
  <si>
    <t>153,883.34</t>
  </si>
  <si>
    <t>581,134.00</t>
  </si>
  <si>
    <t>1,011,375.00</t>
  </si>
  <si>
    <t>2,155,000.00</t>
  </si>
  <si>
    <t>1,895,818.51</t>
  </si>
  <si>
    <t>2,252,858.00</t>
  </si>
  <si>
    <t>62,402.19</t>
  </si>
  <si>
    <t>8,124,000.00</t>
  </si>
  <si>
    <t>3,420,000.00</t>
  </si>
  <si>
    <t>1,067,298.69</t>
  </si>
  <si>
    <t>1,725,310.00</t>
  </si>
  <si>
    <t>409,849,505.79</t>
  </si>
  <si>
    <t>932,241.67</t>
  </si>
  <si>
    <t>450,520.85</t>
  </si>
  <si>
    <t>2,227,240.00</t>
  </si>
  <si>
    <t>233,231,488.32</t>
  </si>
  <si>
    <t>47,850.00</t>
  </si>
  <si>
    <t>82,934,984.00</t>
  </si>
  <si>
    <t>995,530.00</t>
  </si>
  <si>
    <t>5,283,000.00</t>
  </si>
  <si>
    <t>1,573,907.89</t>
  </si>
  <si>
    <t>1,479,219.39</t>
  </si>
  <si>
    <t>1,363,842.75</t>
  </si>
  <si>
    <t>2,178,000.00</t>
  </si>
  <si>
    <t>5,969,777.71</t>
  </si>
  <si>
    <t>399,984.79</t>
  </si>
  <si>
    <t>170,365.00</t>
  </si>
  <si>
    <t>1,477,200.00</t>
  </si>
  <si>
    <t>1,423,700.00</t>
  </si>
  <si>
    <t>7,845,450.00</t>
  </si>
  <si>
    <t>2,298,889.10</t>
  </si>
  <si>
    <t>749,040.00</t>
  </si>
  <si>
    <t>8,416,100.00</t>
  </si>
  <si>
    <t>15,697,507.94</t>
  </si>
  <si>
    <t>1,332,000.00</t>
  </si>
  <si>
    <t>2,334,600.00</t>
  </si>
  <si>
    <t>2,247,613.64</t>
  </si>
  <si>
    <t>163,572.00</t>
  </si>
  <si>
    <t>1,934,055.55</t>
  </si>
  <si>
    <t>2,224,550.00</t>
  </si>
  <si>
    <t>29,882,481.44</t>
  </si>
  <si>
    <t>4,987,921.22</t>
  </si>
  <si>
    <t>201,632.78</t>
  </si>
  <si>
    <t>10,800,000.00</t>
  </si>
  <si>
    <t>5,368,000.00</t>
  </si>
  <si>
    <t>47,077,320.00</t>
  </si>
  <si>
    <t>1,519,965.00</t>
  </si>
  <si>
    <t>998,492.37</t>
  </si>
  <si>
    <t>17,993,423.47</t>
  </si>
  <si>
    <t>298,670.00</t>
  </si>
  <si>
    <t>143,650.00</t>
  </si>
  <si>
    <t>2,499,500.00</t>
  </si>
  <si>
    <t>1,428,824.00</t>
  </si>
  <si>
    <t>76,891.05</t>
  </si>
  <si>
    <t>12,934,581.27</t>
  </si>
  <si>
    <t>1,045,199.00</t>
  </si>
  <si>
    <t>12,934,839.82</t>
  </si>
  <si>
    <t>295,366.75</t>
  </si>
  <si>
    <t>567,579.20</t>
  </si>
  <si>
    <t>11,939,375.58</t>
  </si>
  <si>
    <t>2,533,769.68</t>
  </si>
  <si>
    <t>26,376,000.00</t>
  </si>
  <si>
    <t>1,189,295.20</t>
  </si>
  <si>
    <t>1,513,400.00</t>
  </si>
  <si>
    <t>3,033,120.00</t>
  </si>
  <si>
    <t>135,676.00</t>
  </si>
  <si>
    <t>188,700.00</t>
  </si>
  <si>
    <t>1,205,860.80</t>
  </si>
  <si>
    <t>1,019,820.00</t>
  </si>
  <si>
    <t>49,000,000.00</t>
  </si>
  <si>
    <t>4,170,600.00</t>
  </si>
  <si>
    <t>3,417,970.50</t>
  </si>
  <si>
    <t>835,269.51</t>
  </si>
  <si>
    <t>483,260.00</t>
  </si>
  <si>
    <t>921,500.00</t>
  </si>
  <si>
    <t>24,482,360.00</t>
  </si>
  <si>
    <t>3,184,036.80</t>
  </si>
  <si>
    <t>1,788,936.59</t>
  </si>
  <si>
    <t>2,280,000.00</t>
  </si>
  <si>
    <t>7,497,000.00</t>
  </si>
  <si>
    <t>30,816,192.00</t>
  </si>
  <si>
    <t>149,870.00</t>
  </si>
  <si>
    <t>3,980,022.00</t>
  </si>
  <si>
    <t>2,034,000.00</t>
  </si>
  <si>
    <t>91,809,600.00</t>
  </si>
  <si>
    <t>379,197.00</t>
  </si>
  <si>
    <t>43,537,500.00</t>
  </si>
  <si>
    <t>1,087,367.00</t>
  </si>
  <si>
    <t>1,999,690.63</t>
  </si>
  <si>
    <t>1,507,175.58</t>
  </si>
  <si>
    <t>350,630.00</t>
  </si>
  <si>
    <t>6,523,937.47</t>
  </si>
  <si>
    <t>304,620.00</t>
  </si>
  <si>
    <t>1,732,941.75</t>
  </si>
  <si>
    <t>799,999.00</t>
  </si>
  <si>
    <t>1,748,800.00</t>
  </si>
  <si>
    <t>1,161,000.00</t>
  </si>
  <si>
    <t>524,191.00</t>
  </si>
  <si>
    <t>519,300.00</t>
  </si>
  <si>
    <t>95,999,904.00</t>
  </si>
  <si>
    <t>1,390,400,000.00</t>
  </si>
  <si>
    <t>817,858.40</t>
  </si>
  <si>
    <t>1,226,000.00</t>
  </si>
  <si>
    <t>2,984,984.76</t>
  </si>
  <si>
    <t>219,570.00</t>
  </si>
  <si>
    <t>1,252,000.00</t>
  </si>
  <si>
    <t>519,083.21</t>
  </si>
  <si>
    <t>2,485,114.73</t>
  </si>
  <si>
    <t>1,495,000.00</t>
  </si>
  <si>
    <t>4,999,995.00</t>
  </si>
  <si>
    <t>579,170.00</t>
  </si>
  <si>
    <t>312,871.64</t>
  </si>
  <si>
    <t>796,490.96</t>
  </si>
  <si>
    <t>628,147.76</t>
  </si>
  <si>
    <t>13,656.00</t>
  </si>
  <si>
    <t>1,584,576.00</t>
  </si>
  <si>
    <t>2,479,857.67</t>
  </si>
  <si>
    <t>11,960,000.00</t>
  </si>
  <si>
    <t>1,970,000.00</t>
  </si>
  <si>
    <t>5,691,661.00</t>
  </si>
  <si>
    <t>1,930,000.00</t>
  </si>
  <si>
    <t>1,811,932.55</t>
  </si>
  <si>
    <t>5,691,662.00</t>
  </si>
  <si>
    <t>635,885.25</t>
  </si>
  <si>
    <t>1,995,000.00</t>
  </si>
  <si>
    <t>5,200,250.00</t>
  </si>
  <si>
    <t>1,354,282.25</t>
  </si>
  <si>
    <t>1,008,474.57</t>
  </si>
  <si>
    <t>10,002,767.40</t>
  </si>
  <si>
    <t>90,965.00</t>
  </si>
  <si>
    <t>4,491,047.67</t>
  </si>
  <si>
    <t>399,750.00</t>
  </si>
  <si>
    <t>302,684.00</t>
  </si>
  <si>
    <t>209,790.00</t>
  </si>
  <si>
    <t>589,093.88</t>
  </si>
  <si>
    <t>6,063,746.19</t>
  </si>
  <si>
    <t>817,000.00</t>
  </si>
  <si>
    <t>5,671,396.61</t>
  </si>
  <si>
    <t>1,771,159.41</t>
  </si>
  <si>
    <t>219,436.03</t>
  </si>
  <si>
    <t>344,931.96</t>
  </si>
  <si>
    <t>6,159,150.00</t>
  </si>
  <si>
    <t>1,341,080.00</t>
  </si>
  <si>
    <t>1,277,562.65</t>
  </si>
  <si>
    <t>1,125,453.86</t>
  </si>
  <si>
    <t>493,329.31</t>
  </si>
  <si>
    <t>9,405,423.09</t>
  </si>
  <si>
    <t>1,194,789.81</t>
  </si>
  <si>
    <t>684,320.36</t>
  </si>
  <si>
    <t>1,126,220.00</t>
  </si>
  <si>
    <t>2,999,999.68</t>
  </si>
  <si>
    <t>120,726.60</t>
  </si>
  <si>
    <t>2,999,941.06</t>
  </si>
  <si>
    <t>1,333,858.98</t>
  </si>
  <si>
    <t>3,152,420.00</t>
  </si>
  <si>
    <t>62,057,566.93</t>
  </si>
  <si>
    <t>2,999,974.34</t>
  </si>
  <si>
    <t>2,990,000.00</t>
  </si>
  <si>
    <t>1,118,800.00</t>
  </si>
  <si>
    <t>1,446,001.50</t>
  </si>
  <si>
    <t>999,982.13</t>
  </si>
  <si>
    <t>798,432.53</t>
  </si>
  <si>
    <t>1,601,594.57</t>
  </si>
  <si>
    <t>4,065,000.00</t>
  </si>
  <si>
    <t>1,116,159.38</t>
  </si>
  <si>
    <t>537,118.19</t>
  </si>
  <si>
    <t>6,145,000.00</t>
  </si>
  <si>
    <t>1,123,875.00</t>
  </si>
  <si>
    <t>699,997.52</t>
  </si>
  <si>
    <t>3,462,000.00</t>
  </si>
  <si>
    <t>2,999,983.01</t>
  </si>
  <si>
    <t>44,910,929.92</t>
  </si>
  <si>
    <t>1,226,100.00</t>
  </si>
  <si>
    <t>193,820.00</t>
  </si>
  <si>
    <t>9,999,978.87</t>
  </si>
  <si>
    <t>2,925,006.22</t>
  </si>
  <si>
    <t>9,397,800.00</t>
  </si>
  <si>
    <t>196,810.00</t>
  </si>
  <si>
    <t>2,285,000.00</t>
  </si>
  <si>
    <t>1,180,880.00</t>
  </si>
  <si>
    <t>273,305.08</t>
  </si>
  <si>
    <t>10,850,000.00</t>
  </si>
  <si>
    <t>8,868,000.00</t>
  </si>
  <si>
    <t>327,060.00</t>
  </si>
  <si>
    <t>123,000.00</t>
  </si>
  <si>
    <t>4,665,029.00</t>
  </si>
  <si>
    <t>2,480,000.00</t>
  </si>
  <si>
    <t>3,748,756.91</t>
  </si>
  <si>
    <t>500,001.00</t>
  </si>
  <si>
    <t>1,006,861.48</t>
  </si>
  <si>
    <t>2,689,479.27</t>
  </si>
  <si>
    <t>135,900.00</t>
  </si>
  <si>
    <t>2,213,641.12</t>
  </si>
  <si>
    <t>961,080.00</t>
  </si>
  <si>
    <t>5,375,415.00</t>
  </si>
  <si>
    <t>1,218,050.00</t>
  </si>
  <si>
    <t>1,120,000.00</t>
  </si>
  <si>
    <t>1,503,000.00</t>
  </si>
  <si>
    <t>7,720,700.00</t>
  </si>
  <si>
    <t>6,825,601.59</t>
  </si>
  <si>
    <t>398,000.00</t>
  </si>
  <si>
    <t>164,962.00</t>
  </si>
  <si>
    <t>998,153.00</t>
  </si>
  <si>
    <t>9,999,237.98</t>
  </si>
  <si>
    <t>6,752,000.00</t>
  </si>
  <si>
    <t>2,750,000.00</t>
  </si>
  <si>
    <t>1,102,360.00</t>
  </si>
  <si>
    <t>477,597.80</t>
  </si>
  <si>
    <t>147,339.00</t>
  </si>
  <si>
    <t>155,461.76</t>
  </si>
  <si>
    <t>124,600.00</t>
  </si>
  <si>
    <t>1,499,993.86</t>
  </si>
  <si>
    <t>1,232,801.09</t>
  </si>
  <si>
    <t>1,352,400.00</t>
  </si>
  <si>
    <t>4,999,039.63</t>
  </si>
  <si>
    <t>4,999,134.09</t>
  </si>
  <si>
    <t>4,999,494.48</t>
  </si>
  <si>
    <t>734,936.50</t>
  </si>
  <si>
    <t>1,831,392.00</t>
  </si>
  <si>
    <t>104,303,036.00</t>
  </si>
  <si>
    <t>1,053,429.90</t>
  </si>
  <si>
    <t>1,038,162.50</t>
  </si>
  <si>
    <t>377,152.00</t>
  </si>
  <si>
    <t>338,363.50</t>
  </si>
  <si>
    <t>3,433,000.00</t>
  </si>
  <si>
    <t>272,190.00</t>
  </si>
  <si>
    <t>6,082,560.00</t>
  </si>
  <si>
    <t>2,236,800.00</t>
  </si>
  <si>
    <t>204,325.00</t>
  </si>
  <si>
    <t>232,410.00</t>
  </si>
  <si>
    <t>1,999,000.00</t>
  </si>
  <si>
    <t>899,326.00</t>
  </si>
  <si>
    <t>2,651,000.00</t>
  </si>
  <si>
    <t>537,738.18</t>
  </si>
  <si>
    <t>320,681.16</t>
  </si>
  <si>
    <t>178,519.84</t>
  </si>
  <si>
    <t>1,615,000.00</t>
  </si>
  <si>
    <t>192,993,898.45</t>
  </si>
  <si>
    <t>257,010.00</t>
  </si>
  <si>
    <t>828,958.50</t>
  </si>
  <si>
    <t>3,597,845.00</t>
  </si>
  <si>
    <t>5,031,606.76</t>
  </si>
  <si>
    <t>12,369,322.89</t>
  </si>
  <si>
    <t>1,086,400.00</t>
  </si>
  <si>
    <t>499,759.53</t>
  </si>
  <si>
    <t>555,338.60</t>
  </si>
  <si>
    <t>281,400.00</t>
  </si>
  <si>
    <t>12,367,055.37</t>
  </si>
  <si>
    <t>1,893,881.60</t>
  </si>
  <si>
    <t>2,467,860.71</t>
  </si>
  <si>
    <t>3,074,953.33</t>
  </si>
  <si>
    <t>1,347,438.58</t>
  </si>
  <si>
    <t>6,652,500.00</t>
  </si>
  <si>
    <t>5,476,016.00</t>
  </si>
  <si>
    <t>1,683,790.57</t>
  </si>
  <si>
    <t>3,577,500.00</t>
  </si>
  <si>
    <t>1,501,470.00</t>
  </si>
  <si>
    <t>1,656,000.00</t>
  </si>
  <si>
    <t>7,042,785.12</t>
  </si>
  <si>
    <t>2,000,289.18</t>
  </si>
  <si>
    <t>489,995.00</t>
  </si>
  <si>
    <t>1,778,400.00</t>
  </si>
  <si>
    <t>2,475,000.00</t>
  </si>
  <si>
    <t>4,999,985.73</t>
  </si>
  <si>
    <t>300,000,000.00</t>
  </si>
  <si>
    <t>1,457,800.00</t>
  </si>
  <si>
    <t>9,180.00</t>
  </si>
  <si>
    <t>29,364.00</t>
  </si>
  <si>
    <t>2,128,662.00</t>
  </si>
  <si>
    <t>1,491,034.00</t>
  </si>
  <si>
    <t>91,542,795.00</t>
  </si>
  <si>
    <t>124,782.75</t>
  </si>
  <si>
    <t>550,072.20</t>
  </si>
  <si>
    <t>2,227,500.00</t>
  </si>
  <si>
    <t>3,090,209.40</t>
  </si>
  <si>
    <t>114,550.00</t>
  </si>
  <si>
    <t>881,627.21</t>
  </si>
  <si>
    <t>271,000.00</t>
  </si>
  <si>
    <t>127,724.12</t>
  </si>
  <si>
    <t>245,130.00</t>
  </si>
  <si>
    <t>333,146.60</t>
  </si>
  <si>
    <t>2,121,602.00</t>
  </si>
  <si>
    <t>429,254.00</t>
  </si>
  <si>
    <t>940,000.00</t>
  </si>
  <si>
    <t>168,285.41</t>
  </si>
  <si>
    <t>224,990.10</t>
  </si>
  <si>
    <t>1,390,577.17</t>
  </si>
  <si>
    <t>3,124,960.00</t>
  </si>
  <si>
    <t>96,000,000.00</t>
  </si>
  <si>
    <t>210,574.22</t>
  </si>
  <si>
    <t>41,167.00</t>
  </si>
  <si>
    <t>19,582,000.00</t>
  </si>
  <si>
    <t>427,500.00</t>
  </si>
  <si>
    <t>292,310.00</t>
  </si>
  <si>
    <t>26,112,472.00</t>
  </si>
  <si>
    <t>180,550.00</t>
  </si>
  <si>
    <t>48,706.00</t>
  </si>
  <si>
    <t>2,046,000.00</t>
  </si>
  <si>
    <t>84,015.00</t>
  </si>
  <si>
    <t>793,968.00</t>
  </si>
  <si>
    <t>80,519,241.26</t>
  </si>
  <si>
    <t>1,973,992.75</t>
  </si>
  <si>
    <t>3,960,000.00</t>
  </si>
  <si>
    <t>1,827,188.00</t>
  </si>
  <si>
    <t>2,535,000.00</t>
  </si>
  <si>
    <t>1,349,955.00</t>
  </si>
  <si>
    <t>167,500.00</t>
  </si>
  <si>
    <t>1,251,510.00</t>
  </si>
  <si>
    <t>2,397,650.00</t>
  </si>
  <si>
    <t>37,510,000.00</t>
  </si>
  <si>
    <t>63,535,500.00</t>
  </si>
  <si>
    <t>17,400,000.00</t>
  </si>
  <si>
    <t>2,850,000.00</t>
  </si>
  <si>
    <t>983,420.00</t>
  </si>
  <si>
    <t>92,000,000.00</t>
  </si>
  <si>
    <t>892,390.42</t>
  </si>
  <si>
    <t>265,147.50</t>
  </si>
  <si>
    <t>499,989.80</t>
  </si>
  <si>
    <t>121,445.00</t>
  </si>
  <si>
    <t>366,575.83</t>
  </si>
  <si>
    <t>133,650,000.00</t>
  </si>
  <si>
    <t>7,714,997.80</t>
  </si>
  <si>
    <t>648,025.00</t>
  </si>
  <si>
    <t>655,000.00</t>
  </si>
  <si>
    <t>19,136.00</t>
  </si>
  <si>
    <t>4,858,000.00</t>
  </si>
  <si>
    <t>4,797,600.00</t>
  </si>
  <si>
    <t>269,783.40</t>
  </si>
  <si>
    <t>664,492.00</t>
  </si>
  <si>
    <t>1,655,370.00</t>
  </si>
  <si>
    <t>1,913,678.00</t>
  </si>
  <si>
    <t>5,480,000.00</t>
  </si>
  <si>
    <t>1,202,025.00</t>
  </si>
  <si>
    <t>4,596,000.00</t>
  </si>
  <si>
    <t>2,992,000.00</t>
  </si>
  <si>
    <t>2,421,000.00</t>
  </si>
  <si>
    <t>1,193,870.54</t>
  </si>
  <si>
    <t>1,199,529.61</t>
  </si>
  <si>
    <t>494,990.40</t>
  </si>
  <si>
    <t>2,200,140.99</t>
  </si>
  <si>
    <t>2,228,530.00</t>
  </si>
  <si>
    <t>266,475.00</t>
  </si>
  <si>
    <t>274,120.00</t>
  </si>
  <si>
    <t>2,725,502.78</t>
  </si>
  <si>
    <t>925,761.35</t>
  </si>
  <si>
    <t>999,869.93</t>
  </si>
  <si>
    <t>2,146,800.00</t>
  </si>
  <si>
    <t>999,291.92</t>
  </si>
  <si>
    <t>407,480.00</t>
  </si>
  <si>
    <t>2,999,274.22</t>
  </si>
  <si>
    <t>2,459,100.00</t>
  </si>
  <si>
    <t>21,978,734.44</t>
  </si>
  <si>
    <t>11,372,015.00</t>
  </si>
  <si>
    <t>2,730,100.00</t>
  </si>
  <si>
    <t>727,062.98</t>
  </si>
  <si>
    <t>1,716,800.00</t>
  </si>
  <si>
    <t>1,199,844.46</t>
  </si>
  <si>
    <t>6,637,000.27</t>
  </si>
  <si>
    <t>4,495,400.00</t>
  </si>
  <si>
    <t>2,580,000.00</t>
  </si>
  <si>
    <t>37,008,000.00</t>
  </si>
  <si>
    <t>1,196,192.79</t>
  </si>
  <si>
    <t>843,150.00</t>
  </si>
  <si>
    <t>1,205,444,643.31</t>
  </si>
  <si>
    <t>20,419,962.00</t>
  </si>
  <si>
    <t>2,618,000.00</t>
  </si>
  <si>
    <t>11,695,196.00</t>
  </si>
  <si>
    <t>5,438,530.00</t>
  </si>
  <si>
    <t>1,196,323.87</t>
  </si>
  <si>
    <t>298,468.00</t>
  </si>
  <si>
    <t>1,642,711.23</t>
  </si>
  <si>
    <t>55,900,000.00</t>
  </si>
  <si>
    <t>610,000.00</t>
  </si>
  <si>
    <t>247,422.00</t>
  </si>
  <si>
    <t>570,027.00</t>
  </si>
  <si>
    <t>11,264,000.00</t>
  </si>
  <si>
    <t>2,429,973.00</t>
  </si>
  <si>
    <t>3,971,000.00</t>
  </si>
  <si>
    <t>89,300.00</t>
  </si>
  <si>
    <t>4,695,600.00</t>
  </si>
  <si>
    <t>564,751.75</t>
  </si>
  <si>
    <t>1,999,600.00</t>
  </si>
  <si>
    <t>1,199,975.00</t>
  </si>
  <si>
    <t>17,926,590.00</t>
  </si>
  <si>
    <t>2,047,000.00</t>
  </si>
  <si>
    <t>499,885.32</t>
  </si>
  <si>
    <t>2,978,300.00</t>
  </si>
  <si>
    <t>289,500.00</t>
  </si>
  <si>
    <t>7,228,882.95</t>
  </si>
  <si>
    <t>5,904,550.00</t>
  </si>
  <si>
    <t>299,851.36</t>
  </si>
  <si>
    <t>431,200.00</t>
  </si>
  <si>
    <t>2,959,651.64</t>
  </si>
  <si>
    <t>1,259,150.00</t>
  </si>
  <si>
    <t>236,710.50</t>
  </si>
  <si>
    <t>49,860,000.00</t>
  </si>
  <si>
    <t>299,647.86</t>
  </si>
  <si>
    <t>4,450,000.00</t>
  </si>
  <si>
    <t>499,999.50</t>
  </si>
  <si>
    <t>28,877,500.00</t>
  </si>
  <si>
    <t>1,991,404.00</t>
  </si>
  <si>
    <t>1,209,952.00</t>
  </si>
  <si>
    <t>81,979,427.00</t>
  </si>
  <si>
    <t>5,280,122.04</t>
  </si>
  <si>
    <t>3,300,186.48</t>
  </si>
  <si>
    <t>2,670,000.00</t>
  </si>
  <si>
    <t>26,600.00</t>
  </si>
  <si>
    <t>1,272,736.78</t>
  </si>
  <si>
    <t>1,731,250.00</t>
  </si>
  <si>
    <t>1,374,800.00</t>
  </si>
  <si>
    <t>499,996.17</t>
  </si>
  <si>
    <t>1,299,653.06</t>
  </si>
  <si>
    <t>12,437,353.64</t>
  </si>
  <si>
    <t>9,315,368.00</t>
  </si>
  <si>
    <t>133,000.00</t>
  </si>
  <si>
    <t>1,621,200.00</t>
  </si>
  <si>
    <t>4,177,800.00</t>
  </si>
  <si>
    <t>12,154,375.00</t>
  </si>
  <si>
    <t>1,259,968.50</t>
  </si>
  <si>
    <t>8,565,000.00</t>
  </si>
  <si>
    <t>2,261,000.00</t>
  </si>
  <si>
    <t>1,263,635.90</t>
  </si>
  <si>
    <t>4,818,240.00</t>
  </si>
  <si>
    <t>299,987.88</t>
  </si>
  <si>
    <t>351,847.00</t>
  </si>
  <si>
    <t>5,068,700.00</t>
  </si>
  <si>
    <t>17,730,000.00</t>
  </si>
  <si>
    <t>1,235,646.70</t>
  </si>
  <si>
    <t>5,222,270.00</t>
  </si>
  <si>
    <t>23,880,000.00</t>
  </si>
  <si>
    <t>3,222,000.00</t>
  </si>
  <si>
    <t>344,000.00</t>
  </si>
  <si>
    <t>16,150,000.00</t>
  </si>
  <si>
    <t>3,726,000.00</t>
  </si>
  <si>
    <t>31,520,000.00</t>
  </si>
  <si>
    <t>45,000,000.00</t>
  </si>
  <si>
    <t>1,665,000.00</t>
  </si>
  <si>
    <t>6,443,090.67</t>
  </si>
  <si>
    <t>11,362,000.00</t>
  </si>
  <si>
    <t>149,300.00</t>
  </si>
  <si>
    <t>1,756,700.00</t>
  </si>
  <si>
    <t>169,330.56</t>
  </si>
  <si>
    <t>2,855,000.00</t>
  </si>
  <si>
    <t>419,000.00</t>
  </si>
  <si>
    <t>43,300,000.00</t>
  </si>
  <si>
    <t>3,533,250.00</t>
  </si>
  <si>
    <t>19,700,000.00</t>
  </si>
  <si>
    <t>1,691,500.00</t>
  </si>
  <si>
    <t>1,089,000.00</t>
  </si>
  <si>
    <t>2,080,000.00</t>
  </si>
  <si>
    <t>853,200.00</t>
  </si>
  <si>
    <t>141,750.00</t>
  </si>
  <si>
    <t>1,223,813.43</t>
  </si>
  <si>
    <t>1,323,225.40</t>
  </si>
  <si>
    <t>2,567,900.00</t>
  </si>
  <si>
    <t>1,206,800.00</t>
  </si>
  <si>
    <t>3,490,000.00</t>
  </si>
  <si>
    <t>1,581,250.00</t>
  </si>
  <si>
    <t>8,512,856.00</t>
  </si>
  <si>
    <t>3,357,961.80</t>
  </si>
  <si>
    <t>1,570,000.00</t>
  </si>
  <si>
    <t>10,051,800.00</t>
  </si>
  <si>
    <t>5,723,650.00</t>
  </si>
  <si>
    <t>4,914,800.00</t>
  </si>
  <si>
    <t>2,658,675.84</t>
  </si>
  <si>
    <t>583,450.00</t>
  </si>
  <si>
    <t>1,724,879.12</t>
  </si>
  <si>
    <t>1,975,825.00</t>
  </si>
  <si>
    <t>6,001,776.12</t>
  </si>
  <si>
    <t>1,431,430.00</t>
  </si>
  <si>
    <t>2,950,186.00</t>
  </si>
  <si>
    <t>16,700,000.00</t>
  </si>
  <si>
    <t>4,925,000.00</t>
  </si>
  <si>
    <t>59,100,000.00</t>
  </si>
  <si>
    <t>1,381,380.00</t>
  </si>
  <si>
    <t>6,450,000.00</t>
  </si>
  <si>
    <t>1,465,250.00</t>
  </si>
  <si>
    <t>1,649,200.00</t>
  </si>
  <si>
    <t>3,960.00</t>
  </si>
  <si>
    <t>250,000,000.00</t>
  </si>
  <si>
    <t>22,303,600.71</t>
  </si>
  <si>
    <t>2,578,598.23</t>
  </si>
  <si>
    <t>2,134,160.00</t>
  </si>
  <si>
    <t>1,021,524.20</t>
  </si>
  <si>
    <t>1,465,211.48</t>
  </si>
  <si>
    <t>3,530,383.68</t>
  </si>
  <si>
    <t>1,393,837.01</t>
  </si>
  <si>
    <t>2,433,882.31</t>
  </si>
  <si>
    <t>1,441,286.29</t>
  </si>
  <si>
    <t>1,505,020.00</t>
  </si>
  <si>
    <t>1,245,400.00</t>
  </si>
  <si>
    <t>8,085,000.00</t>
  </si>
  <si>
    <t>3,850,000.00</t>
  </si>
  <si>
    <t>1,352,000.00</t>
  </si>
  <si>
    <t>13,326,000.00</t>
  </si>
  <si>
    <t>895,450.00</t>
  </si>
  <si>
    <t>745,600.00</t>
  </si>
  <si>
    <t>84,850.20</t>
  </si>
  <si>
    <t>17,988,000.00</t>
  </si>
  <si>
    <t>189,900.00</t>
  </si>
  <si>
    <t>685,000.00</t>
  </si>
  <si>
    <t>427,580.00</t>
  </si>
  <si>
    <t>482,400.00</t>
  </si>
  <si>
    <t>914,740.00</t>
  </si>
  <si>
    <t>61,113,972.00</t>
  </si>
  <si>
    <t>98,755.00</t>
  </si>
  <si>
    <t>494,128.95</t>
  </si>
  <si>
    <t>312,900.00</t>
  </si>
  <si>
    <t>158,410.00</t>
  </si>
  <si>
    <t>243,000.00</t>
  </si>
  <si>
    <t>1,499,333.79</t>
  </si>
  <si>
    <t>9,619,205.00</t>
  </si>
  <si>
    <t>144,450.00</t>
  </si>
  <si>
    <t>2,999,989.55</t>
  </si>
  <si>
    <t>2,623,214.00</t>
  </si>
  <si>
    <t>3,267,000.00</t>
  </si>
  <si>
    <t>1,801,079.00</t>
  </si>
  <si>
    <t>491,764.79</t>
  </si>
  <si>
    <t>718,332.91</t>
  </si>
  <si>
    <t>1,670,477.13</t>
  </si>
  <si>
    <t>1,887,175.00</t>
  </si>
  <si>
    <t>92,150.00</t>
  </si>
  <si>
    <t>1,967,858.62</t>
  </si>
  <si>
    <t>1,663,500.00</t>
  </si>
  <si>
    <t>60,870.00</t>
  </si>
  <si>
    <t>3,550.00</t>
  </si>
  <si>
    <t>868,784.16</t>
  </si>
  <si>
    <t>4,199,656.00</t>
  </si>
  <si>
    <t>698,127.07</t>
  </si>
  <si>
    <t>499,967.50</t>
  </si>
  <si>
    <t>136,850.00</t>
  </si>
  <si>
    <t>999,942.00</t>
  </si>
  <si>
    <t>575,835.00</t>
  </si>
  <si>
    <t>1,999,386.58</t>
  </si>
  <si>
    <t>49,750,000.00</t>
  </si>
  <si>
    <t>4,199,959.40</t>
  </si>
  <si>
    <t>372,590.00</t>
  </si>
  <si>
    <t>175,810.00</t>
  </si>
  <si>
    <t>1,499,400.00</t>
  </si>
  <si>
    <t>2,498,560.00</t>
  </si>
  <si>
    <t>37,810,000.00</t>
  </si>
  <si>
    <t>1,936,500.00</t>
  </si>
  <si>
    <t>4,992,000.00</t>
  </si>
  <si>
    <t>2,610,000.00</t>
  </si>
  <si>
    <t>11,406,000.00</t>
  </si>
  <si>
    <t>2,635,000.00</t>
  </si>
  <si>
    <t>3,214,000.00</t>
  </si>
  <si>
    <t>1,084,000.00</t>
  </si>
  <si>
    <t>6,132,000.00</t>
  </si>
  <si>
    <t>286,588.96</t>
  </si>
  <si>
    <t>11,550.00</t>
  </si>
  <si>
    <t>9,750.00</t>
  </si>
  <si>
    <t>3,310,200.00</t>
  </si>
  <si>
    <t>5,270.89</t>
  </si>
  <si>
    <t>202,000.00</t>
  </si>
  <si>
    <t>1,699,794.21</t>
  </si>
  <si>
    <t>100,171,100.00</t>
  </si>
  <si>
    <t>1,810,000.00</t>
  </si>
  <si>
    <t>53,060.04</t>
  </si>
  <si>
    <t>7,933,861.90</t>
  </si>
  <si>
    <t>1,034,169.00</t>
  </si>
  <si>
    <t>66,500,000.00</t>
  </si>
  <si>
    <t>4,233,668.13</t>
  </si>
  <si>
    <t>34,000,000.00</t>
  </si>
  <si>
    <t>8,043,897.00</t>
  </si>
  <si>
    <t>1,818,000.00</t>
  </si>
  <si>
    <t>1,022,030.00</t>
  </si>
  <si>
    <t>5,415.67</t>
  </si>
  <si>
    <t>3,601,924.04</t>
  </si>
  <si>
    <t>6,255,979.69</t>
  </si>
  <si>
    <t>8,078.00</t>
  </si>
  <si>
    <t>124,998,300.00</t>
  </si>
  <si>
    <t>5,199,966.05</t>
  </si>
  <si>
    <t>525,540.00</t>
  </si>
  <si>
    <t>464,340.31</t>
  </si>
  <si>
    <t>3,074,000.00</t>
  </si>
  <si>
    <t>483,219.94</t>
  </si>
  <si>
    <t>491,763.36</t>
  </si>
  <si>
    <t>24,750,000.00</t>
  </si>
  <si>
    <t>998,470.00</t>
  </si>
  <si>
    <t>507,300.00</t>
  </si>
  <si>
    <t>1,967,856.71</t>
  </si>
  <si>
    <t>4,215,062.00</t>
  </si>
  <si>
    <t>2,753,813.00</t>
  </si>
  <si>
    <t>5,484,741.60</t>
  </si>
  <si>
    <t>2,126,600.00</t>
  </si>
  <si>
    <t>331,600.00</t>
  </si>
  <si>
    <t>1,045,500.00</t>
  </si>
  <si>
    <t>1,644,970.00</t>
  </si>
  <si>
    <t>2,925,000.00</t>
  </si>
  <si>
    <t>1,870,000.00</t>
  </si>
  <si>
    <t>5,343,602.82</t>
  </si>
  <si>
    <t>2,850,486.00</t>
  </si>
  <si>
    <t>738,000.00</t>
  </si>
  <si>
    <t>197,412.64</t>
  </si>
  <si>
    <t>958,361.42</t>
  </si>
  <si>
    <t>6,964,400.00</t>
  </si>
  <si>
    <t>68,150,000.00</t>
  </si>
  <si>
    <t>17,600,000.00</t>
  </si>
  <si>
    <t>230,760.00</t>
  </si>
  <si>
    <t>613,500.00</t>
  </si>
  <si>
    <t>1,999,894.31</t>
  </si>
  <si>
    <t>113,342.00</t>
  </si>
  <si>
    <t>5,625,000.00</t>
  </si>
  <si>
    <t>3,136,000.00</t>
  </si>
  <si>
    <t>1,909,676.00</t>
  </si>
  <si>
    <t>1,875,000.00</t>
  </si>
  <si>
    <t>86,050.00</t>
  </si>
  <si>
    <t>1,568,030.00</t>
  </si>
  <si>
    <t>30,500,195.00</t>
  </si>
  <si>
    <t>2,110,655.30</t>
  </si>
  <si>
    <t>213,950.00</t>
  </si>
  <si>
    <t>738,512.00</t>
  </si>
  <si>
    <t>156,712.00</t>
  </si>
  <si>
    <t>12,369,201.30</t>
  </si>
  <si>
    <t>1,670,750.00</t>
  </si>
  <si>
    <t>12,217,949.14</t>
  </si>
  <si>
    <t>414,820.00</t>
  </si>
  <si>
    <t>4,860,704.00</t>
  </si>
  <si>
    <t>7,320,968.00</t>
  </si>
  <si>
    <t>1,499,844.45</t>
  </si>
  <si>
    <t>68,559,785.95</t>
  </si>
  <si>
    <t>2,858,746.00</t>
  </si>
  <si>
    <t>10,664,300.00</t>
  </si>
  <si>
    <t>465,630.00</t>
  </si>
  <si>
    <t>390,850.00</t>
  </si>
  <si>
    <t>76,253.00</t>
  </si>
  <si>
    <t>465,530.00</t>
  </si>
  <si>
    <t>301,840.00</t>
  </si>
  <si>
    <t>286,900.00</t>
  </si>
  <si>
    <t>398,570.00</t>
  </si>
  <si>
    <t>393,830.00</t>
  </si>
  <si>
    <t>4,837,879.57</t>
  </si>
  <si>
    <t>1,298,667.15</t>
  </si>
  <si>
    <t>95,265.00</t>
  </si>
  <si>
    <t>11,938,663.01</t>
  </si>
  <si>
    <t>11,935,774.41</t>
  </si>
  <si>
    <t>176,895.00</t>
  </si>
  <si>
    <t>700,600.00</t>
  </si>
  <si>
    <t>323,105.00</t>
  </si>
  <si>
    <t>734,000.00</t>
  </si>
  <si>
    <t>3,435,878.66</t>
  </si>
  <si>
    <t>6,999,736.65</t>
  </si>
  <si>
    <t>2,368,714.11</t>
  </si>
  <si>
    <t>504,729.29</t>
  </si>
  <si>
    <t>785,680.00</t>
  </si>
  <si>
    <t>330,296.60</t>
  </si>
  <si>
    <t>1,121,270.72</t>
  </si>
  <si>
    <t>11,824,122.00</t>
  </si>
  <si>
    <t>3,100,000.00</t>
  </si>
  <si>
    <t>805,544.39</t>
  </si>
  <si>
    <t>326,600.00</t>
  </si>
  <si>
    <t>1,115,000.00</t>
  </si>
  <si>
    <t>113,100.00</t>
  </si>
  <si>
    <t>3,867,786.28</t>
  </si>
  <si>
    <t>2,399,760.00</t>
  </si>
  <si>
    <t>3,525,000.00</t>
  </si>
  <si>
    <t>390,800.00</t>
  </si>
  <si>
    <t>3,742,583.89</t>
  </si>
  <si>
    <t>4,836,406.05</t>
  </si>
  <si>
    <t>6,400,000.00</t>
  </si>
  <si>
    <t>1,102,881.65</t>
  </si>
  <si>
    <t>2,111,000.00</t>
  </si>
  <si>
    <t>3,494,222.55</t>
  </si>
  <si>
    <t>3,210,000.00</t>
  </si>
  <si>
    <t>884,500.00</t>
  </si>
  <si>
    <t>3,942,539.19</t>
  </si>
  <si>
    <t>121,860.00</t>
  </si>
  <si>
    <t>2,688,000.00</t>
  </si>
  <si>
    <t>6,720,000.00</t>
  </si>
  <si>
    <t>1,113,362.00</t>
  </si>
  <si>
    <t>10,100,000.00</t>
  </si>
  <si>
    <t>18,834,123.14</t>
  </si>
  <si>
    <t>4,971,148.97</t>
  </si>
  <si>
    <t>4,887,952.56</t>
  </si>
  <si>
    <t>120,400.00</t>
  </si>
  <si>
    <t>4,975,160.00</t>
  </si>
  <si>
    <t>281,800.00</t>
  </si>
  <si>
    <t>1,153,657.82</t>
  </si>
  <si>
    <t>140,900.00</t>
  </si>
  <si>
    <t>1,676,020.00</t>
  </si>
  <si>
    <t>797,365.20</t>
  </si>
  <si>
    <t>205,670.00</t>
  </si>
  <si>
    <t>1,978,800.00</t>
  </si>
  <si>
    <t>4,475,453.82</t>
  </si>
  <si>
    <t>496,910.00</t>
  </si>
  <si>
    <t>260,255.33</t>
  </si>
  <si>
    <t>16,129.00</t>
  </si>
  <si>
    <t>64,450.00</t>
  </si>
  <si>
    <t>1,415,595.00</t>
  </si>
  <si>
    <t>12,530.00</t>
  </si>
  <si>
    <t>82,024,956.91</t>
  </si>
  <si>
    <t>2,931,718.70</t>
  </si>
  <si>
    <t>871,453.50</t>
  </si>
  <si>
    <t>1,108,767.85</t>
  </si>
  <si>
    <t>35,024,999.81</t>
  </si>
  <si>
    <t>4,349,529.46</t>
  </si>
  <si>
    <t>498,955.00</t>
  </si>
  <si>
    <t>130,269.00</t>
  </si>
  <si>
    <t>1,940,653.90</t>
  </si>
  <si>
    <t>1,238,994.75</t>
  </si>
  <si>
    <t>1,940,117.16</t>
  </si>
  <si>
    <t>1,688,000.00</t>
  </si>
  <si>
    <t>304,570.00</t>
  </si>
  <si>
    <t>1,464,428.16</t>
  </si>
  <si>
    <t>13,735,971.19</t>
  </si>
  <si>
    <t>2,817,742.47</t>
  </si>
  <si>
    <t>209,445.00</t>
  </si>
  <si>
    <t>48,999,592.02</t>
  </si>
  <si>
    <t>1,741,661.20</t>
  </si>
  <si>
    <t>49,467,734.00</t>
  </si>
  <si>
    <t>23,738,953.96</t>
  </si>
  <si>
    <t>241,500.00</t>
  </si>
  <si>
    <t>2,370,370.40</t>
  </si>
  <si>
    <t>924,460.00</t>
  </si>
  <si>
    <t>1,457,757.12</t>
  </si>
  <si>
    <t>151,197.50</t>
  </si>
  <si>
    <t>48,999,625.99</t>
  </si>
  <si>
    <t>9,482,476.00</t>
  </si>
  <si>
    <t>8,499,337.31</t>
  </si>
  <si>
    <t>1,494,781.00</t>
  </si>
  <si>
    <t>2,128,510.00</t>
  </si>
  <si>
    <t>4,552,000.00</t>
  </si>
  <si>
    <t>11,263,088.69</t>
  </si>
  <si>
    <t>3,225,000.00</t>
  </si>
  <si>
    <t>6,974,538.04</t>
  </si>
  <si>
    <t>1,294,093.70</t>
  </si>
  <si>
    <t>1,113,783.04</t>
  </si>
  <si>
    <t>543,120.00</t>
  </si>
  <si>
    <t>1,260,000.00</t>
  </si>
  <si>
    <t>4,749,286.57</t>
  </si>
  <si>
    <t>1,584,198.00</t>
  </si>
  <si>
    <t>559,000.00</t>
  </si>
  <si>
    <t>665,000.00</t>
  </si>
  <si>
    <t>1,086,548.30</t>
  </si>
  <si>
    <t>9,561,000.00</t>
  </si>
  <si>
    <t>342,909.21</t>
  </si>
  <si>
    <t>338,702.42</t>
  </si>
  <si>
    <t>11,520,600.00</t>
  </si>
  <si>
    <t>224,787.50</t>
  </si>
  <si>
    <t>1,872,000.00</t>
  </si>
  <si>
    <t>19,934,806.00</t>
  </si>
  <si>
    <t>32,100,000.00</t>
  </si>
  <si>
    <t>109,322.72</t>
  </si>
  <si>
    <t>1,999,979.25</t>
  </si>
  <si>
    <t>452,044.40</t>
  </si>
  <si>
    <t>444,428.86</t>
  </si>
  <si>
    <t>59,917.00</t>
  </si>
  <si>
    <t>110,280.00</t>
  </si>
  <si>
    <t>676,200.00</t>
  </si>
  <si>
    <t>2,627,000.00</t>
  </si>
  <si>
    <t>1,499,751.87</t>
  </si>
  <si>
    <t>93,980.91</t>
  </si>
  <si>
    <t>2,588,000.00</t>
  </si>
  <si>
    <t>2,121,368.00</t>
  </si>
  <si>
    <t>494,874.51</t>
  </si>
  <si>
    <t>2,655,000.00</t>
  </si>
  <si>
    <t>9,999,962.15</t>
  </si>
  <si>
    <t>846,570.00</t>
  </si>
  <si>
    <t>199,914.00</t>
  </si>
  <si>
    <t>999,956.64</t>
  </si>
  <si>
    <t>1,114,517.32</t>
  </si>
  <si>
    <t>2,552,562.09</t>
  </si>
  <si>
    <t>362,400.00</t>
  </si>
  <si>
    <t>1,966,563.00</t>
  </si>
  <si>
    <t>199,751,461.80</t>
  </si>
  <si>
    <t>5,080,000.00</t>
  </si>
  <si>
    <t>1,681,325.11</t>
  </si>
  <si>
    <t>14,344,664.00</t>
  </si>
  <si>
    <t>1,599,991.18</t>
  </si>
  <si>
    <t>5,874,010.00</t>
  </si>
  <si>
    <t>427,354.00</t>
  </si>
  <si>
    <t>1,222,977.00</t>
  </si>
  <si>
    <t>4,030,000.00</t>
  </si>
  <si>
    <t>536,800.00</t>
  </si>
  <si>
    <t>1,617,000.00</t>
  </si>
  <si>
    <t>1,538,000.00</t>
  </si>
  <si>
    <t>3,703,094.89</t>
  </si>
  <si>
    <t>1,157,500.00</t>
  </si>
  <si>
    <t>1,225,050.00</t>
  </si>
  <si>
    <t>367,855.00</t>
  </si>
  <si>
    <t>1,257,670.00</t>
  </si>
  <si>
    <t>876,800.00</t>
  </si>
  <si>
    <t>2,469,841.74</t>
  </si>
  <si>
    <t>1,676,750.00</t>
  </si>
  <si>
    <t>7,620,000.00</t>
  </si>
  <si>
    <t>727,969.69</t>
  </si>
  <si>
    <t>1,212,362.00</t>
  </si>
  <si>
    <t>311,540.00</t>
  </si>
  <si>
    <t>2,129.85</t>
  </si>
  <si>
    <t>538,600.00</t>
  </si>
  <si>
    <t>2,969,450.00</t>
  </si>
  <si>
    <t>572,900.00</t>
  </si>
  <si>
    <t>3,499,645.30</t>
  </si>
  <si>
    <t>8,642,902.11</t>
  </si>
  <si>
    <t>16,223,400.00</t>
  </si>
  <si>
    <t>620,750.00</t>
  </si>
  <si>
    <t>3,780,000.00</t>
  </si>
  <si>
    <t>1,999,999.81</t>
  </si>
  <si>
    <t>1,749,952.56</t>
  </si>
  <si>
    <t>13,190,000.00</t>
  </si>
  <si>
    <t>274,296.00</t>
  </si>
  <si>
    <t>1,015,595.00</t>
  </si>
  <si>
    <t>1,749,519.25</t>
  </si>
  <si>
    <t>17,670.15</t>
  </si>
  <si>
    <t>1,265,675.00</t>
  </si>
  <si>
    <t>1,311,592.80</t>
  </si>
  <si>
    <t>9,937,080.00</t>
  </si>
  <si>
    <t>942,976.15</t>
  </si>
  <si>
    <t>84,889,000.00</t>
  </si>
  <si>
    <t>1,999,426.86</t>
  </si>
  <si>
    <t>2,177,777.48</t>
  </si>
  <si>
    <t>1,515,670.00</t>
  </si>
  <si>
    <t>3,010,000.00</t>
  </si>
  <si>
    <t>8,750,000.00</t>
  </si>
  <si>
    <t>2,693,460.60</t>
  </si>
  <si>
    <t>3,729,728.78</t>
  </si>
  <si>
    <t>3,761,800.00</t>
  </si>
  <si>
    <t>1,749,358.05</t>
  </si>
  <si>
    <t>1,954,800.00</t>
  </si>
  <si>
    <t>1,403,980.92</t>
  </si>
  <si>
    <t>989,996.11</t>
  </si>
  <si>
    <t>377,974.67</t>
  </si>
  <si>
    <t>1,159,299.82</t>
  </si>
  <si>
    <t>712,832.16</t>
  </si>
  <si>
    <t>358,904.40</t>
  </si>
  <si>
    <t>3,581,900.00</t>
  </si>
  <si>
    <t>389,710.00</t>
  </si>
  <si>
    <t>1,117,671.00</t>
  </si>
  <si>
    <t>3,404,000.00</t>
  </si>
  <si>
    <t>1,055,660.00</t>
  </si>
  <si>
    <t>2,967,000.00</t>
  </si>
  <si>
    <t>1,250,067.50</t>
  </si>
  <si>
    <t>5,325,000.00</t>
  </si>
  <si>
    <t>2,999,609.81</t>
  </si>
  <si>
    <t>2,541,384.00</t>
  </si>
  <si>
    <t>1,979,985.88</t>
  </si>
  <si>
    <t>1,192,581.40</t>
  </si>
  <si>
    <t>3,095,384.00</t>
  </si>
  <si>
    <t>106,061.00</t>
  </si>
  <si>
    <t>3,409,500.00</t>
  </si>
  <si>
    <t>582,640.00</t>
  </si>
  <si>
    <t>2,413,488.00</t>
  </si>
  <si>
    <t>1,417,372.00</t>
  </si>
  <si>
    <t>828,931.00</t>
  </si>
  <si>
    <t>1,040,982.00</t>
  </si>
  <si>
    <t>1,020,265.00</t>
  </si>
  <si>
    <t>3,140,976.00</t>
  </si>
  <si>
    <t>213,925.00</t>
  </si>
  <si>
    <t>1,399,099.00</t>
  </si>
  <si>
    <t>1,202,243.45</t>
  </si>
  <si>
    <t>5,854,000.00</t>
  </si>
  <si>
    <t>1,368,165.00</t>
  </si>
  <si>
    <t>1,499,996.74</t>
  </si>
  <si>
    <t>247,243,547.36</t>
  </si>
  <si>
    <t>1,818,330,567.90</t>
  </si>
  <si>
    <t>1,071,426.25</t>
  </si>
  <si>
    <t>1,687,566,270.50</t>
  </si>
  <si>
    <t>172,500.00</t>
  </si>
  <si>
    <t>54,636,112.96</t>
  </si>
  <si>
    <t>682,094,848.60</t>
  </si>
  <si>
    <t>4,800,011.55</t>
  </si>
  <si>
    <t>2,196,338.00</t>
  </si>
  <si>
    <t>1,045,950.50</t>
  </si>
  <si>
    <t>197,474.00</t>
  </si>
  <si>
    <t>2,587,248.00</t>
  </si>
  <si>
    <t>1,509,068.00</t>
  </si>
  <si>
    <t>3,960,458.10</t>
  </si>
  <si>
    <t>1,386,554.00</t>
  </si>
  <si>
    <t>1,624,000.00</t>
  </si>
  <si>
    <t>3,697,272.00</t>
  </si>
  <si>
    <t>9,854,392.00</t>
  </si>
  <si>
    <t>6,713,900.00</t>
  </si>
  <si>
    <t>2,529,539.00</t>
  </si>
  <si>
    <t>36,344,640.00</t>
  </si>
  <si>
    <t>8,010,756.00</t>
  </si>
  <si>
    <t>940,425.00</t>
  </si>
  <si>
    <t>1,392,600.00</t>
  </si>
  <si>
    <t>739,800.00</t>
  </si>
  <si>
    <t>358,142.40</t>
  </si>
  <si>
    <t>1,122,203.00</t>
  </si>
  <si>
    <t>616,212.00</t>
  </si>
  <si>
    <t>6,162,120.00</t>
  </si>
  <si>
    <t>2,636,733.00</t>
  </si>
  <si>
    <t>7,394,544.00</t>
  </si>
  <si>
    <t>456,252.00</t>
  </si>
  <si>
    <t>432,240.00</t>
  </si>
  <si>
    <t>486,040.00</t>
  </si>
  <si>
    <t>1,496,750.00</t>
  </si>
  <si>
    <t>4,922,190.00</t>
  </si>
  <si>
    <t>5,070,000.00</t>
  </si>
  <si>
    <t>499,990.00</t>
  </si>
  <si>
    <t>2,473,084.80</t>
  </si>
  <si>
    <t>1,259,600.00</t>
  </si>
  <si>
    <t>5,835,160.00</t>
  </si>
  <si>
    <t>4,999,999.87</t>
  </si>
  <si>
    <t>4,999,951.72</t>
  </si>
  <si>
    <t>3,851,540.00</t>
  </si>
  <si>
    <t>3,219,998.27</t>
  </si>
  <si>
    <t>11,334,921.89</t>
  </si>
  <si>
    <t>29,259,735.58</t>
  </si>
  <si>
    <t>4,999,999.18</t>
  </si>
  <si>
    <t>55,000,000.00</t>
  </si>
  <si>
    <t>2,499,999.48</t>
  </si>
  <si>
    <t>2,499,999.61</t>
  </si>
  <si>
    <t>417,250.00</t>
  </si>
  <si>
    <t>1,104,550.00</t>
  </si>
  <si>
    <t>499,750.00</t>
  </si>
  <si>
    <t>57,700,000.00</t>
  </si>
  <si>
    <t>2,955,000.00</t>
  </si>
  <si>
    <t>489,500.00</t>
  </si>
  <si>
    <t>803,500.00</t>
  </si>
  <si>
    <t>1,889,459.23</t>
  </si>
  <si>
    <t>244,550.00</t>
  </si>
  <si>
    <t>2,907,984.50</t>
  </si>
  <si>
    <t>1,897,734.15</t>
  </si>
  <si>
    <t>4,866,966.00</t>
  </si>
  <si>
    <t>997,050.00</t>
  </si>
  <si>
    <t>1,894,545.92</t>
  </si>
  <si>
    <t>1,854,958.60</t>
  </si>
  <si>
    <t>4,867,697.25</t>
  </si>
  <si>
    <t>214,586.65</t>
  </si>
  <si>
    <t>923,548.50</t>
  </si>
  <si>
    <t>3,058,539.75</t>
  </si>
  <si>
    <t>1,701,625.00</t>
  </si>
  <si>
    <t>304,000.00</t>
  </si>
  <si>
    <t>297,160.00</t>
  </si>
  <si>
    <t>225,950.00</t>
  </si>
  <si>
    <t>123,982.00</t>
  </si>
  <si>
    <t>4,928,545.50</t>
  </si>
  <si>
    <t>106,175.50</t>
  </si>
  <si>
    <t>668,295.00</t>
  </si>
  <si>
    <t>339,560.00</t>
  </si>
  <si>
    <t>274,768.00</t>
  </si>
  <si>
    <t>223,800.00</t>
  </si>
  <si>
    <t>6,080,000.00</t>
  </si>
  <si>
    <t>19,999,992.24</t>
  </si>
  <si>
    <t>371,100.00</t>
  </si>
  <si>
    <t>18,899,964.46</t>
  </si>
  <si>
    <t>299,999.42</t>
  </si>
  <si>
    <t>59,060.00</t>
  </si>
  <si>
    <t>535,545.00</t>
  </si>
  <si>
    <t>299,998.81</t>
  </si>
  <si>
    <t>8,918,000.00</t>
  </si>
  <si>
    <t>261,100.00</t>
  </si>
  <si>
    <t>1,471,321.00</t>
  </si>
  <si>
    <t>500,413.00</t>
  </si>
  <si>
    <t>114,220.00</t>
  </si>
  <si>
    <t>299,995.27</t>
  </si>
  <si>
    <t>33,725,412.00</t>
  </si>
  <si>
    <t>26,516,619.00</t>
  </si>
  <si>
    <t>296,488.71</t>
  </si>
  <si>
    <t>1,249,119.70</t>
  </si>
  <si>
    <t>136,999.99</t>
  </si>
  <si>
    <t>428,153.00</t>
  </si>
  <si>
    <t>2,553,300.00</t>
  </si>
  <si>
    <t>81,525.00</t>
  </si>
  <si>
    <t>14,150,400.00</t>
  </si>
  <si>
    <t>999,914.00</t>
  </si>
  <si>
    <t>12,763,621.85</t>
  </si>
  <si>
    <t>79,682.00</t>
  </si>
  <si>
    <t>63,190.00</t>
  </si>
  <si>
    <t>1,042,525.00</t>
  </si>
  <si>
    <t>4,408,000.00</t>
  </si>
  <si>
    <t>368,000.00</t>
  </si>
  <si>
    <t>71,000,000.00</t>
  </si>
  <si>
    <t>72,865.00</t>
  </si>
  <si>
    <t>2,999,820.00</t>
  </si>
  <si>
    <t>27,944,238.00</t>
  </si>
  <si>
    <t>38,805,000.00</t>
  </si>
  <si>
    <t>95,827.35</t>
  </si>
  <si>
    <t>35,820,000.00</t>
  </si>
  <si>
    <t>1,770,000.00</t>
  </si>
  <si>
    <t>91,859.00</t>
  </si>
  <si>
    <t>999,056.08</t>
  </si>
  <si>
    <t>2,997,200.00</t>
  </si>
  <si>
    <t>20,895,000.00</t>
  </si>
  <si>
    <t>3,663,000.00</t>
  </si>
  <si>
    <t>389,675.00</t>
  </si>
  <si>
    <t>3,367,457.00</t>
  </si>
  <si>
    <t>2,694,000.00</t>
  </si>
  <si>
    <t>3,610,215.00</t>
  </si>
  <si>
    <t>2,079,490.00</t>
  </si>
  <si>
    <t>2,445,392.00</t>
  </si>
  <si>
    <t>19,680,000.00</t>
  </si>
  <si>
    <t>589,899.80</t>
  </si>
  <si>
    <t>195,165.56</t>
  </si>
  <si>
    <t>7,067,000.00</t>
  </si>
  <si>
    <t>9,840,603.12</t>
  </si>
  <si>
    <t>229,064.00</t>
  </si>
  <si>
    <t>154,325.00</t>
  </si>
  <si>
    <t>66,570,000.00</t>
  </si>
  <si>
    <t>266,552.40</t>
  </si>
  <si>
    <t>3,523,000.00</t>
  </si>
  <si>
    <t>28,242,000.00</t>
  </si>
  <si>
    <t>869,000.00</t>
  </si>
  <si>
    <t>935,359.00</t>
  </si>
  <si>
    <t>1,736,566.56</t>
  </si>
  <si>
    <t>30,647,068.00</t>
  </si>
  <si>
    <t>3,122,392.82</t>
  </si>
  <si>
    <t>2,436,432.72</t>
  </si>
  <si>
    <t>5,622,765.00</t>
  </si>
  <si>
    <t>29,976,324.60</t>
  </si>
  <si>
    <t>495,387.61</t>
  </si>
  <si>
    <t>2,237,274.01</t>
  </si>
  <si>
    <t>290,556.84</t>
  </si>
  <si>
    <t>1,295,745.75</t>
  </si>
  <si>
    <t>577,151.95</t>
  </si>
  <si>
    <t>1,758,000.00</t>
  </si>
  <si>
    <t>1,506,392.75</t>
  </si>
  <si>
    <t>3,938,866.18</t>
  </si>
  <si>
    <t>28,000,000.00</t>
  </si>
  <si>
    <t>1,701,272.63</t>
  </si>
  <si>
    <t>2,390,424.12</t>
  </si>
  <si>
    <t>2,492,058.95</t>
  </si>
  <si>
    <t>2,867,060.00</t>
  </si>
  <si>
    <t>7,983,000.00</t>
  </si>
  <si>
    <t>1,093,500.00</t>
  </si>
  <si>
    <t>644,766.73</t>
  </si>
  <si>
    <t>2,997,643.86</t>
  </si>
  <si>
    <t>37,347,439.40</t>
  </si>
  <si>
    <t>1,042,845.00</t>
  </si>
  <si>
    <t>3,625,535.00</t>
  </si>
  <si>
    <t>3,311,375.00</t>
  </si>
  <si>
    <t>112,860.00</t>
  </si>
  <si>
    <t>1,881,600.00</t>
  </si>
  <si>
    <t>11,136,912.02</t>
  </si>
  <si>
    <t>1,793,000.00</t>
  </si>
  <si>
    <t>1,230,000.00</t>
  </si>
  <si>
    <t>3,770,490.47</t>
  </si>
  <si>
    <t>1,490,511.62</t>
  </si>
  <si>
    <t>57,094,776.20</t>
  </si>
  <si>
    <t>1,049,937.50</t>
  </si>
  <si>
    <t>257,400.00</t>
  </si>
  <si>
    <t>13,000,000.00</t>
  </si>
  <si>
    <t>64,550.00</t>
  </si>
  <si>
    <t>17,087,200.00</t>
  </si>
  <si>
    <t>3,463,320.00</t>
  </si>
  <si>
    <t>7,790,820.63</t>
  </si>
  <si>
    <t>8,430,062.01</t>
  </si>
  <si>
    <t>8,935,933.13</t>
  </si>
  <si>
    <t>631,271.00</t>
  </si>
  <si>
    <t>17,909,754.21</t>
  </si>
  <si>
    <t>1,260,116.02</t>
  </si>
  <si>
    <t>1,638,000.00</t>
  </si>
  <si>
    <t>2,949,479.87</t>
  </si>
  <si>
    <t>2,374,800.00</t>
  </si>
  <si>
    <t>1,705,906.50</t>
  </si>
  <si>
    <t>1,403,140.00</t>
  </si>
  <si>
    <t>5,099,408.00</t>
  </si>
  <si>
    <t>2,025,000.00</t>
  </si>
  <si>
    <t>1,138,330.00</t>
  </si>
  <si>
    <t>397,729.62</t>
  </si>
  <si>
    <t>4,651,683.39</t>
  </si>
  <si>
    <t>1,238,799.00</t>
  </si>
  <si>
    <t>2,757,500.00</t>
  </si>
  <si>
    <t>1,021,498.46</t>
  </si>
  <si>
    <t>1,043,400.00</t>
  </si>
  <si>
    <t>6,033,000.00</t>
  </si>
  <si>
    <t>6,800,000.00</t>
  </si>
  <si>
    <t>1,693,269.71</t>
  </si>
  <si>
    <t>8,829,000.00</t>
  </si>
  <si>
    <t>4,518,546.88</t>
  </si>
  <si>
    <t>3,505,500.00</t>
  </si>
  <si>
    <t>2,266,896.80</t>
  </si>
  <si>
    <t>4,830,000.00</t>
  </si>
  <si>
    <t>1,610,000.00</t>
  </si>
  <si>
    <t>9,999,998.72</t>
  </si>
  <si>
    <t>5,140,747.20</t>
  </si>
  <si>
    <t>1,740,000.00</t>
  </si>
  <si>
    <t>5,063,171.24</t>
  </si>
  <si>
    <t>4,654,921.59</t>
  </si>
  <si>
    <t>110,693.80</t>
  </si>
  <si>
    <t>1,273,645.00</t>
  </si>
  <si>
    <t>1,340,995.00</t>
  </si>
  <si>
    <t>684,058.00</t>
  </si>
  <si>
    <t>499,840.00</t>
  </si>
  <si>
    <t>203,610.00</t>
  </si>
  <si>
    <t>7,849,985.09</t>
  </si>
  <si>
    <t>1,499,999.99</t>
  </si>
  <si>
    <t>3,949,823.46</t>
  </si>
  <si>
    <t>129,900.00</t>
  </si>
  <si>
    <t>184,776.18</t>
  </si>
  <si>
    <t>4,580,868.60</t>
  </si>
  <si>
    <t>4,192,650.00</t>
  </si>
  <si>
    <t>5,180,068.00</t>
  </si>
  <si>
    <t>6,082,000.00</t>
  </si>
  <si>
    <t>1,510,769.54</t>
  </si>
  <si>
    <t>1,820,340.00</t>
  </si>
  <si>
    <t>183,791,676.46</t>
  </si>
  <si>
    <t>511,757.80</t>
  </si>
  <si>
    <t>1,347,840.00</t>
  </si>
  <si>
    <t>7,113,884.41</t>
  </si>
  <si>
    <t>1,495,106.00</t>
  </si>
  <si>
    <t>10,922,619.61</t>
  </si>
  <si>
    <t>3,037,796.72</t>
  </si>
  <si>
    <t>120,279,000.00</t>
  </si>
  <si>
    <t>1,151,491.95</t>
  </si>
  <si>
    <t>752,979.20</t>
  </si>
  <si>
    <t>1,048,329.69</t>
  </si>
  <si>
    <t>1,488,480.00</t>
  </si>
  <si>
    <t>893,933.56</t>
  </si>
  <si>
    <t>57,900,000.00</t>
  </si>
  <si>
    <t>1,283,884.00</t>
  </si>
  <si>
    <t>4,143,376.50</t>
  </si>
  <si>
    <t>1,666,560.00</t>
  </si>
  <si>
    <t>11,000,451.75</t>
  </si>
  <si>
    <t>2,000,500.00</t>
  </si>
  <si>
    <t>2,076,000.00</t>
  </si>
  <si>
    <t>1,146,036.00</t>
  </si>
  <si>
    <t>85,512.50</t>
  </si>
  <si>
    <t>939,000.00</t>
  </si>
  <si>
    <t>7,769,601.22</t>
  </si>
  <si>
    <t>499,999.38</t>
  </si>
  <si>
    <t>2,999,998.00</t>
  </si>
  <si>
    <t>5,603,960.00</t>
  </si>
  <si>
    <t>5,465,563.55</t>
  </si>
  <si>
    <t>689,730.50</t>
  </si>
  <si>
    <t>2,272,000.00</t>
  </si>
  <si>
    <t>5,877,120.00</t>
  </si>
  <si>
    <t>3,022,738.56</t>
  </si>
  <si>
    <t>4,015,215.96</t>
  </si>
  <si>
    <t>958,405.00</t>
  </si>
  <si>
    <t>12,986,437.90</t>
  </si>
  <si>
    <t>6,474,778.90</t>
  </si>
  <si>
    <t>99,989,800.00</t>
  </si>
  <si>
    <t>9,951,082.66</t>
  </si>
  <si>
    <t>5,342,352.80</t>
  </si>
  <si>
    <t>8,462,964.42</t>
  </si>
  <si>
    <t>21,900,000.00</t>
  </si>
  <si>
    <t>5,989,849.24</t>
  </si>
  <si>
    <t>12,181,465.54</t>
  </si>
  <si>
    <t>15,160,187.74</t>
  </si>
  <si>
    <t>549,846.00</t>
  </si>
  <si>
    <t>353,151,208.00</t>
  </si>
  <si>
    <t>6,547,223.32</t>
  </si>
  <si>
    <t>68,890,400.00</t>
  </si>
  <si>
    <t>7,320,968.20</t>
  </si>
  <si>
    <t>1,367,708.61</t>
  </si>
  <si>
    <t>1,499,300.00</t>
  </si>
  <si>
    <t>1,774,200.00</t>
  </si>
  <si>
    <t>117,474.35</t>
  </si>
  <si>
    <t>261,672.75</t>
  </si>
  <si>
    <t>2,767,494.00</t>
  </si>
  <si>
    <t>5,828,396.40</t>
  </si>
  <si>
    <t>8,545,858.53</t>
  </si>
  <si>
    <t>2,250,600.00</t>
  </si>
  <si>
    <t>11,995,797.79</t>
  </si>
  <si>
    <t>17,640,000.00</t>
  </si>
  <si>
    <t>2,939,974.49</t>
  </si>
  <si>
    <t>2,939,983.72</t>
  </si>
  <si>
    <t>2,623,842.39</t>
  </si>
  <si>
    <t>927,306.76</t>
  </si>
  <si>
    <t>214,850.00</t>
  </si>
  <si>
    <t>9,873,360.00</t>
  </si>
  <si>
    <t>469,234.27</t>
  </si>
  <si>
    <t>286,722.24</t>
  </si>
  <si>
    <t>2,830,813.84</t>
  </si>
  <si>
    <t>2,988,557.81</t>
  </si>
  <si>
    <t>98,618.00</t>
  </si>
  <si>
    <t>3,392,438.00</t>
  </si>
  <si>
    <t>2,921,747.07</t>
  </si>
  <si>
    <t>4,059,876.99</t>
  </si>
  <si>
    <t>2,170,000.00</t>
  </si>
  <si>
    <t>2,922,481.59</t>
  </si>
  <si>
    <t>1,055,000.00</t>
  </si>
  <si>
    <t>3,082,915.50</t>
  </si>
  <si>
    <t>7,800,000.00</t>
  </si>
  <si>
    <t>6,583,850.56</t>
  </si>
  <si>
    <t>19,873,282.22</t>
  </si>
  <si>
    <t>63,900.00</t>
  </si>
  <si>
    <t>659,000.00</t>
  </si>
  <si>
    <t>1,948,374.73</t>
  </si>
  <si>
    <t>2,998,329.01</t>
  </si>
  <si>
    <t>22,256,000.00</t>
  </si>
  <si>
    <t>150,920,000.00</t>
  </si>
  <si>
    <t>1,294,045.20</t>
  </si>
  <si>
    <t>2,999,899.62</t>
  </si>
  <si>
    <t>3,970,310.81</t>
  </si>
  <si>
    <t>1,138,000.00</t>
  </si>
  <si>
    <t>262,615.00</t>
  </si>
  <si>
    <t>279,100.00</t>
  </si>
  <si>
    <t>168,600.00</t>
  </si>
  <si>
    <t>442,471.49</t>
  </si>
  <si>
    <t>2,682,545.61</t>
  </si>
  <si>
    <t>1,345,302.33</t>
  </si>
  <si>
    <t>1,139,700.00</t>
  </si>
  <si>
    <t>1,260,300.00</t>
  </si>
  <si>
    <t>1,433,947.50</t>
  </si>
  <si>
    <t>348,900.00</t>
  </si>
  <si>
    <t>2,548,699.70</t>
  </si>
  <si>
    <t>4,836,125.95</t>
  </si>
  <si>
    <t>4,999,891.68</t>
  </si>
  <si>
    <t>1,680,840.00</t>
  </si>
  <si>
    <t>122,205.00</t>
  </si>
  <si>
    <t>13,090,000.00</t>
  </si>
  <si>
    <t>1,478,400.00</t>
  </si>
  <si>
    <t>10,066,200.00</t>
  </si>
  <si>
    <t>11,600,000.00</t>
  </si>
  <si>
    <t>8,550,000.00</t>
  </si>
  <si>
    <t>4,074,000.00</t>
  </si>
  <si>
    <t>20,150,000.00</t>
  </si>
  <si>
    <t>1,267,213.13</t>
  </si>
  <si>
    <t>1,120,979.39</t>
  </si>
  <si>
    <t>1,067,850.00</t>
  </si>
  <si>
    <t>1,781,460.23</t>
  </si>
  <si>
    <t>1,792,701.93</t>
  </si>
  <si>
    <t>1,796,853.01</t>
  </si>
  <si>
    <t>2,361,769.50</t>
  </si>
  <si>
    <t>1,168,008.43</t>
  </si>
  <si>
    <t>1,550,384.58</t>
  </si>
  <si>
    <t>4,499,775.25</t>
  </si>
  <si>
    <t>1,210,870.93</t>
  </si>
  <si>
    <t>1,262,975.00</t>
  </si>
  <si>
    <t>1,800,123.16</t>
  </si>
  <si>
    <t>103,630,000.00</t>
  </si>
  <si>
    <t>347,680.00</t>
  </si>
  <si>
    <t>2,965,903.12</t>
  </si>
  <si>
    <t>396,937.50</t>
  </si>
  <si>
    <t>58,390.00</t>
  </si>
  <si>
    <t>106,185.00</t>
  </si>
  <si>
    <t>6,250,685.33</t>
  </si>
  <si>
    <t>4,675,000.00</t>
  </si>
  <si>
    <t>257,019.00</t>
  </si>
  <si>
    <t>89,985,183.00</t>
  </si>
  <si>
    <t>1,598,500.00</t>
  </si>
  <si>
    <t>23,100,000.00</t>
  </si>
  <si>
    <t>25,500,000.00</t>
  </si>
  <si>
    <t>7,287,140.93</t>
  </si>
  <si>
    <t>6,709,836.00</t>
  </si>
  <si>
    <t>2,547,280.00</t>
  </si>
  <si>
    <t>984,146.79</t>
  </si>
  <si>
    <t>19,556,810.00</t>
  </si>
  <si>
    <t>9,525,100.00</t>
  </si>
  <si>
    <t>2,999,652.63</t>
  </si>
  <si>
    <t>8,999,900.00</t>
  </si>
  <si>
    <t>2,142,584.95</t>
  </si>
  <si>
    <t>1,255,000.00</t>
  </si>
  <si>
    <t>745,000.00</t>
  </si>
  <si>
    <t>237,800.00</t>
  </si>
  <si>
    <t>4,399,423.00</t>
  </si>
  <si>
    <t>4,742,979.00</t>
  </si>
  <si>
    <t>1,777,528.00</t>
  </si>
  <si>
    <t>2,497,084.58</t>
  </si>
  <si>
    <t>4,804,693,006.21</t>
  </si>
  <si>
    <t>1,065,515.86</t>
  </si>
  <si>
    <t>2,720,000.00</t>
  </si>
  <si>
    <t>35,010,000.00</t>
  </si>
  <si>
    <t>28,698,000.00</t>
  </si>
  <si>
    <t>40,654,602.00</t>
  </si>
  <si>
    <t>2,640,000.00</t>
  </si>
  <si>
    <t>19,502,210.00</t>
  </si>
  <si>
    <t>14,891,060.35</t>
  </si>
  <si>
    <t>3,000,500.00</t>
  </si>
  <si>
    <t>16,499,010.00</t>
  </si>
  <si>
    <t>58,715,592.62</t>
  </si>
  <si>
    <t>25,000,025.00</t>
  </si>
  <si>
    <t>611,739.85</t>
  </si>
  <si>
    <t>20,943,184.67</t>
  </si>
  <si>
    <t>463,559.20</t>
  </si>
  <si>
    <t>14,994,554.20</t>
  </si>
  <si>
    <t>756,250.00</t>
  </si>
  <si>
    <t>1,129,764.30</t>
  </si>
  <si>
    <t>33,500,000.00</t>
  </si>
  <si>
    <t>412,354.48</t>
  </si>
  <si>
    <t>68,317,845.94</t>
  </si>
  <si>
    <t>83,014,265.26</t>
  </si>
  <si>
    <t>1,047,500.00</t>
  </si>
  <si>
    <t>2,469,000.00</t>
  </si>
  <si>
    <t>9,776,567.52</t>
  </si>
  <si>
    <t>1,653,000.00</t>
  </si>
  <si>
    <t>1,970,485.00</t>
  </si>
  <si>
    <t>3,572,160.00</t>
  </si>
  <si>
    <t>12,573,000.00</t>
  </si>
  <si>
    <t>3,999,705.78</t>
  </si>
  <si>
    <t>1,799,790.00</t>
  </si>
  <si>
    <t>46,831,192.72</t>
  </si>
  <si>
    <t>12,900.00</t>
  </si>
  <si>
    <t>6,688,000.00</t>
  </si>
  <si>
    <t>1,994,924.29</t>
  </si>
  <si>
    <t>1,500.00</t>
  </si>
  <si>
    <t>2,478,947.77</t>
  </si>
  <si>
    <t>730,391.29</t>
  </si>
  <si>
    <t>10,917,626.10</t>
  </si>
  <si>
    <t>3,910,574.00</t>
  </si>
  <si>
    <t>4,925,462.38</t>
  </si>
  <si>
    <t>8,050.00</t>
  </si>
  <si>
    <t>1,961,698.69</t>
  </si>
  <si>
    <t>69,002,308.80</t>
  </si>
  <si>
    <t>82,570.00</t>
  </si>
  <si>
    <t>100,902.00</t>
  </si>
  <si>
    <t>1,856,846.42</t>
  </si>
  <si>
    <t>999,697.03</t>
  </si>
  <si>
    <t>9,358,000.00</t>
  </si>
  <si>
    <t>6,150,000.00</t>
  </si>
  <si>
    <t>34,391,460.00</t>
  </si>
  <si>
    <t>65,280,561.48</t>
  </si>
  <si>
    <t>755,000.00</t>
  </si>
  <si>
    <t>158,288,751.00</t>
  </si>
  <si>
    <t>9,274,085.20</t>
  </si>
  <si>
    <t>1,244,000.00</t>
  </si>
  <si>
    <t>1,066,404.50</t>
  </si>
  <si>
    <t>999,758.63</t>
  </si>
  <si>
    <t>227,900,000.00</t>
  </si>
  <si>
    <t>2,493,300.00</t>
  </si>
  <si>
    <t>5,768,372.88</t>
  </si>
  <si>
    <t>17,211,176.79</t>
  </si>
  <si>
    <t>1,095,000.00</t>
  </si>
  <si>
    <t>2,978,373.61</t>
  </si>
  <si>
    <t>6,999,415.00</t>
  </si>
  <si>
    <t>59,314.00</t>
  </si>
  <si>
    <t>24,271,844.65</t>
  </si>
  <si>
    <t>3,894,000.00</t>
  </si>
  <si>
    <t>2,541,805.91</t>
  </si>
  <si>
    <t>926,903.30</t>
  </si>
  <si>
    <t>2,132,099.85</t>
  </si>
  <si>
    <t>2,809,435.75</t>
  </si>
  <si>
    <t>1,090,550.00</t>
  </si>
  <si>
    <t>45,700,000.00</t>
  </si>
  <si>
    <t>2,321,200.00</t>
  </si>
  <si>
    <t>94,500,000.00</t>
  </si>
  <si>
    <t>3,865,000.00</t>
  </si>
  <si>
    <t>26,276,000.00</t>
  </si>
  <si>
    <t>45,600,000.00</t>
  </si>
  <si>
    <t>1,462,850.00</t>
  </si>
  <si>
    <t>2,478,775.19</t>
  </si>
  <si>
    <t>998,959.26</t>
  </si>
  <si>
    <t>2,955,697.81</t>
  </si>
  <si>
    <t>1,497,204.55</t>
  </si>
  <si>
    <t>4,997,749.84</t>
  </si>
  <si>
    <t>3,167,660.35</t>
  </si>
  <si>
    <t>12,475,800.00</t>
  </si>
  <si>
    <t>14,833,200.00</t>
  </si>
  <si>
    <t>2,591,462.94</t>
  </si>
  <si>
    <t>15,240,885.00</t>
  </si>
  <si>
    <t>912,000.00</t>
  </si>
  <si>
    <t>2,551,400.00</t>
  </si>
  <si>
    <t>9,880,000.00</t>
  </si>
  <si>
    <t>4,998,296.62</t>
  </si>
  <si>
    <t>3,992,992.50</t>
  </si>
  <si>
    <t>56,990,481.10</t>
  </si>
  <si>
    <t>1,646,517.13</t>
  </si>
  <si>
    <t>2,386,800.00</t>
  </si>
  <si>
    <t>21,367,500.00</t>
  </si>
  <si>
    <t>3,520,000.00</t>
  </si>
  <si>
    <t>5,129,807.45</t>
  </si>
  <si>
    <t>997,875.11</t>
  </si>
  <si>
    <t>1,979,996.06</t>
  </si>
  <si>
    <t>78,416.00</t>
  </si>
  <si>
    <t>2,611,074.03</t>
  </si>
  <si>
    <t>5,660,661.46</t>
  </si>
  <si>
    <t>7,216,964.86</t>
  </si>
  <si>
    <t>65,378.50</t>
  </si>
  <si>
    <t>80,200.00</t>
  </si>
  <si>
    <t>5,381,063.73</t>
  </si>
  <si>
    <t>331,002,000.00</t>
  </si>
  <si>
    <t>47,753,184.80</t>
  </si>
  <si>
    <t>57,338.00</t>
  </si>
  <si>
    <t>10,860,000.00</t>
  </si>
  <si>
    <t>41,086,000.00</t>
  </si>
  <si>
    <t>74,334,845.33</t>
  </si>
  <si>
    <t>1,077,000.00</t>
  </si>
  <si>
    <t>149,833,333.54</t>
  </si>
  <si>
    <t>19,920,658.80</t>
  </si>
  <si>
    <t>18,149,874.36</t>
  </si>
  <si>
    <t>5,825,000.00</t>
  </si>
  <si>
    <t>38,304,641.07</t>
  </si>
  <si>
    <t>18,949,654.50</t>
  </si>
  <si>
    <t>496,000,000.00</t>
  </si>
  <si>
    <t>6,820,000.00</t>
  </si>
  <si>
    <t>102,358,000.00</t>
  </si>
  <si>
    <t>282,875,083.97</t>
  </si>
  <si>
    <t>1,280,741.00</t>
  </si>
  <si>
    <t>829,230.15</t>
  </si>
  <si>
    <t>40,180,000.00</t>
  </si>
  <si>
    <t>76,255,265.00</t>
  </si>
  <si>
    <t>1,021,500.00</t>
  </si>
  <si>
    <t>12,437,369.00</t>
  </si>
  <si>
    <t>12,437,478.23</t>
  </si>
  <si>
    <t>85,312,920.00</t>
  </si>
  <si>
    <t>66,400,000.00</t>
  </si>
  <si>
    <t>20,580,000.00</t>
  </si>
  <si>
    <t>4,333,462.00</t>
  </si>
  <si>
    <t>1,240,000.00</t>
  </si>
  <si>
    <t>12,740,000.00</t>
  </si>
  <si>
    <t>113,425.00</t>
  </si>
  <si>
    <t>99,000,000.00</t>
  </si>
  <si>
    <t>53,075,000.00</t>
  </si>
  <si>
    <t>39,200,000.00</t>
  </si>
  <si>
    <t>36,749,216.45</t>
  </si>
  <si>
    <t>13,720,000.00</t>
  </si>
  <si>
    <t>790,218.00</t>
  </si>
  <si>
    <t>2,969,989.51</t>
  </si>
  <si>
    <t>96,794.00</t>
  </si>
  <si>
    <t>1,976,400.00</t>
  </si>
  <si>
    <t>10,088,400.00</t>
  </si>
  <si>
    <t>1,276,120.00</t>
  </si>
  <si>
    <t>2,823,316.31</t>
  </si>
  <si>
    <t>9,600,000.00</t>
  </si>
  <si>
    <t>5,326,937.40</t>
  </si>
  <si>
    <t>1,181,000.00</t>
  </si>
  <si>
    <t>98,045,669.86</t>
  </si>
  <si>
    <t>181,280.00</t>
  </si>
  <si>
    <t>2,010,000.00</t>
  </si>
  <si>
    <t>968,400.00</t>
  </si>
  <si>
    <t>57,899,843.81</t>
  </si>
  <si>
    <t>371,700.00</t>
  </si>
  <si>
    <t>19,801,477.33</t>
  </si>
  <si>
    <t>12,034,400.00</t>
  </si>
  <si>
    <t>16,258,200.00</t>
  </si>
  <si>
    <t>27,165,600.00</t>
  </si>
  <si>
    <t>5,938,259.14</t>
  </si>
  <si>
    <t>20,162,841,907.02</t>
  </si>
  <si>
    <t>4,321,800.00</t>
  </si>
  <si>
    <t>10,159,540,045.42</t>
  </si>
  <si>
    <t>3,028,500.00</t>
  </si>
  <si>
    <t>10,769,230.64</t>
  </si>
  <si>
    <t>10,622,795.00</t>
  </si>
  <si>
    <t>238,559,941.57</t>
  </si>
  <si>
    <t>2,787,756.08</t>
  </si>
  <si>
    <t>1,329,428.01</t>
  </si>
  <si>
    <t>1,187,849.29</t>
  </si>
  <si>
    <t>2,340,801.68</t>
  </si>
  <si>
    <t>2,606,951.31</t>
  </si>
  <si>
    <t>28,916,667.00</t>
  </si>
  <si>
    <t>1,114,793.99</t>
  </si>
  <si>
    <t>3,025,657.63</t>
  </si>
  <si>
    <t>1,499,791.00</t>
  </si>
  <si>
    <t>39,192,410.10</t>
  </si>
  <si>
    <t>74,995.00</t>
  </si>
  <si>
    <t>2,887,499.99</t>
  </si>
  <si>
    <t>8,354,807.53</t>
  </si>
  <si>
    <t>9,615,264.00</t>
  </si>
  <si>
    <t>67,534,000.00</t>
  </si>
  <si>
    <t>80,000,000.00</t>
  </si>
  <si>
    <t>8,579,377.32</t>
  </si>
  <si>
    <t>2,281,000.00</t>
  </si>
  <si>
    <t>61,708.53</t>
  </si>
  <si>
    <t>774,559.72</t>
  </si>
  <si>
    <t>4,250,000.00</t>
  </si>
  <si>
    <t>151,386.19</t>
  </si>
  <si>
    <t>47,300,000.00</t>
  </si>
  <si>
    <t>2,816,458.32</t>
  </si>
  <si>
    <t>8,372,579.52</t>
  </si>
  <si>
    <t>2,403,846.14</t>
  </si>
  <si>
    <t>54,420.10</t>
  </si>
  <si>
    <t>2,030,000.00</t>
  </si>
  <si>
    <t>2,260,000.00</t>
  </si>
  <si>
    <t>3,567,000.00</t>
  </si>
  <si>
    <t>1,472,984.71</t>
  </si>
  <si>
    <t>29,699,982.26</t>
  </si>
  <si>
    <t>190,375,000.00</t>
  </si>
  <si>
    <t>29,699,973.77</t>
  </si>
  <si>
    <t>14,849,946.31</t>
  </si>
  <si>
    <t>9,796,704.16</t>
  </si>
  <si>
    <t>6,852,022.47</t>
  </si>
  <si>
    <t>21,342,705.42</t>
  </si>
  <si>
    <t>59,399,994.70</t>
  </si>
  <si>
    <t>39,600,000.00</t>
  </si>
  <si>
    <t>18,035,901.34</t>
  </si>
  <si>
    <t>77,200,000.00</t>
  </si>
  <si>
    <t>24,423,326.82</t>
  </si>
  <si>
    <t>45,361,366,040.29</t>
  </si>
  <si>
    <t>3,620,700.00</t>
  </si>
  <si>
    <t>14,849,659.73</t>
  </si>
  <si>
    <t>651,700.00</t>
  </si>
  <si>
    <t>9,794,564.20</t>
  </si>
  <si>
    <t>6,855,611.11</t>
  </si>
  <si>
    <t>93,900.00</t>
  </si>
  <si>
    <t>52,110,000.00</t>
  </si>
  <si>
    <t>14,423,076.92</t>
  </si>
  <si>
    <t>1,749,074.98</t>
  </si>
  <si>
    <t>2,521,768.78</t>
  </si>
  <si>
    <t>22,248,000.00</t>
  </si>
  <si>
    <t>4,630,200.00</t>
  </si>
  <si>
    <t>3,759,553.34</t>
  </si>
  <si>
    <t>9,797,167.65</t>
  </si>
  <si>
    <t>5,050,000.00</t>
  </si>
  <si>
    <t>1,083,290.12</t>
  </si>
  <si>
    <t>48,999,866.87</t>
  </si>
  <si>
    <t>4,070,000.00</t>
  </si>
  <si>
    <t>6,541,000.00</t>
  </si>
  <si>
    <t>547,772.00</t>
  </si>
  <si>
    <t>1,999,475.58</t>
  </si>
  <si>
    <t>36,663,533.40</t>
  </si>
  <si>
    <t>637,855.00</t>
  </si>
  <si>
    <t>144,747,335.55</t>
  </si>
  <si>
    <t>724,000.00</t>
  </si>
  <si>
    <t>106,149,995.59</t>
  </si>
  <si>
    <t>369,032,352.00</t>
  </si>
  <si>
    <t>9,390,000.00</t>
  </si>
  <si>
    <t>720,328.00</t>
  </si>
  <si>
    <t>2,729,000.00</t>
  </si>
  <si>
    <t>4,870,905.00</t>
  </si>
  <si>
    <t>7,350,000.00</t>
  </si>
  <si>
    <t>10,500,000.00</t>
  </si>
  <si>
    <t>58,657,553.00</t>
  </si>
  <si>
    <t>11,980,940.17</t>
  </si>
  <si>
    <t>36,701,943.92</t>
  </si>
  <si>
    <t>48,500,464.77</t>
  </si>
  <si>
    <t>1,403,855.73</t>
  </si>
  <si>
    <t>15,344,856.27</t>
  </si>
  <si>
    <t>69,682,190.00</t>
  </si>
  <si>
    <t>1,958,914.14</t>
  </si>
  <si>
    <t>59,400,000.00</t>
  </si>
  <si>
    <t>384,256,044.00</t>
  </si>
  <si>
    <t>1,905,000.00</t>
  </si>
  <si>
    <t>5,475,268.70</t>
  </si>
  <si>
    <t>59,995,456.13</t>
  </si>
  <si>
    <t>4,062,628.26</t>
  </si>
  <si>
    <t>1,509,556.47</t>
  </si>
  <si>
    <t>18,664,200.00</t>
  </si>
  <si>
    <t>28,370,371.99</t>
  </si>
  <si>
    <t>9,993,283.24</t>
  </si>
  <si>
    <t>5,075,556.19</t>
  </si>
  <si>
    <t>10,093,785.75</t>
  </si>
  <si>
    <t>14,700,000.00</t>
  </si>
  <si>
    <t>8,999,823.18</t>
  </si>
  <si>
    <t>1,459,500.00</t>
  </si>
  <si>
    <t>1,533,757.00</t>
  </si>
  <si>
    <t>24,375,112.56</t>
  </si>
  <si>
    <t>7,907,000.00</t>
  </si>
  <si>
    <t>2,476,100.00</t>
  </si>
  <si>
    <t>2,580,048.21</t>
  </si>
  <si>
    <t>8,951,700.00</t>
  </si>
  <si>
    <t>1,838,363.50</t>
  </si>
  <si>
    <t>10,405,108.10</t>
  </si>
  <si>
    <t>1,056,438.86</t>
  </si>
  <si>
    <t>1,540,578.00</t>
  </si>
  <si>
    <t>118,580.00</t>
  </si>
  <si>
    <t>130,000,000.00</t>
  </si>
  <si>
    <t>904,158.60</t>
  </si>
  <si>
    <t>2,175,000.00</t>
  </si>
  <si>
    <t>1,310,174.70</t>
  </si>
  <si>
    <t>8,210,039.00</t>
  </si>
  <si>
    <t>2,812,935.69</t>
  </si>
  <si>
    <t>765,164.00</t>
  </si>
  <si>
    <t>2,401,282.00</t>
  </si>
  <si>
    <t>17,953,236.15</t>
  </si>
  <si>
    <t>846,300.00</t>
  </si>
  <si>
    <t>1,155,284.00</t>
  </si>
  <si>
    <t>296,677.60</t>
  </si>
  <si>
    <t>290,788.00</t>
  </si>
  <si>
    <t>4,562,195.00</t>
  </si>
  <si>
    <t>255,780.07</t>
  </si>
  <si>
    <t>3,240,000.00</t>
  </si>
  <si>
    <t>1,336,253.63</t>
  </si>
  <si>
    <t>775,246.25</t>
  </si>
  <si>
    <t>35,317,962.84</t>
  </si>
  <si>
    <t>376,689.24</t>
  </si>
  <si>
    <t>399,141.00</t>
  </si>
  <si>
    <t>278,929.34</t>
  </si>
  <si>
    <t>4,630,000.00</t>
  </si>
  <si>
    <t>1,918,710.00</t>
  </si>
  <si>
    <t>3,231,000.00</t>
  </si>
  <si>
    <t>6,999,566.02</t>
  </si>
  <si>
    <t>77,155.00</t>
  </si>
  <si>
    <t>14,699,923.84</t>
  </si>
  <si>
    <t>386,457.17</t>
  </si>
  <si>
    <t>1,415,000.00</t>
  </si>
  <si>
    <t>5,978,293.10</t>
  </si>
  <si>
    <t>58,373,168.00</t>
  </si>
  <si>
    <t>7,793,254.18</t>
  </si>
  <si>
    <t>30,329,341.00</t>
  </si>
  <si>
    <t>6,347,223.32</t>
  </si>
  <si>
    <t>3,197,300.00</t>
  </si>
  <si>
    <t>67,980,460.00</t>
  </si>
  <si>
    <t>2,046,300.00</t>
  </si>
  <si>
    <t>10,999,999.05</t>
  </si>
  <si>
    <t>1,800,817.40</t>
  </si>
  <si>
    <t>2,999,999.43</t>
  </si>
  <si>
    <t>1,826,139.38</t>
  </si>
  <si>
    <t>491,377.13</t>
  </si>
  <si>
    <t>4,999,999.41</t>
  </si>
  <si>
    <t>249,631.85</t>
  </si>
  <si>
    <t>2,999,999.99</t>
  </si>
  <si>
    <t>4,476,519.29</t>
  </si>
  <si>
    <t>2,052,000.00</t>
  </si>
  <si>
    <t>832,500.00</t>
  </si>
  <si>
    <t>4,998,078.44</t>
  </si>
  <si>
    <t>4,999,999.70</t>
  </si>
  <si>
    <t>291,600.00</t>
  </si>
  <si>
    <t>934,068.11</t>
  </si>
  <si>
    <t>901,875.00</t>
  </si>
  <si>
    <t>3,599,999.64</t>
  </si>
  <si>
    <t>2,002,000.00</t>
  </si>
  <si>
    <t>39,840,000.00</t>
  </si>
  <si>
    <t>1,169,297.00</t>
  </si>
  <si>
    <t>14,800,000.00</t>
  </si>
  <si>
    <t>5,376,418.69</t>
  </si>
  <si>
    <t>8,343,798.96</t>
  </si>
  <si>
    <t>11,298,814.16</t>
  </si>
  <si>
    <t>4,415,380.46</t>
  </si>
  <si>
    <t>1,338,212.41</t>
  </si>
  <si>
    <t>607,556.25</t>
  </si>
  <si>
    <t>39,930,000.00</t>
  </si>
  <si>
    <t>1,884,000.00</t>
  </si>
  <si>
    <t>9,859,392.00</t>
  </si>
  <si>
    <t>6,344,368.45</t>
  </si>
  <si>
    <t>2,564,900.00</t>
  </si>
  <si>
    <t>470,320.00</t>
  </si>
  <si>
    <t>258,152.25</t>
  </si>
  <si>
    <t>4,492,388.00</t>
  </si>
  <si>
    <t>1,130,915.29</t>
  </si>
  <si>
    <t>3,180,000.00</t>
  </si>
  <si>
    <t>1,718,565.00</t>
  </si>
  <si>
    <t>1,200,960.00</t>
  </si>
  <si>
    <t>8,366,839.64</t>
  </si>
  <si>
    <t>1,148,125.00</t>
  </si>
  <si>
    <t>1,129,404.81</t>
  </si>
  <si>
    <t>236,150.00</t>
  </si>
  <si>
    <t>2,996,611.72</t>
  </si>
  <si>
    <t>12,396,346.00</t>
  </si>
  <si>
    <t>1,408,225.00</t>
  </si>
  <si>
    <t>2,569,123.65</t>
  </si>
  <si>
    <t>1,331,715.00</t>
  </si>
  <si>
    <t>170,139.70</t>
  </si>
  <si>
    <t>4,633,000.00</t>
  </si>
  <si>
    <t>50,775.00</t>
  </si>
  <si>
    <t>963,250.00</t>
  </si>
  <si>
    <t>30,903,718.16</t>
  </si>
  <si>
    <t>12,584,000.00</t>
  </si>
  <si>
    <t>632,751.17</t>
  </si>
  <si>
    <t>4,843,750.00</t>
  </si>
  <si>
    <t>1,759,885.00</t>
  </si>
  <si>
    <t>132,936.83</t>
  </si>
  <si>
    <t>649,528.00</t>
  </si>
  <si>
    <t>288,862.40</t>
  </si>
  <si>
    <t>184,138.50</t>
  </si>
  <si>
    <t>499,956.47</t>
  </si>
  <si>
    <t>513,403.47</t>
  </si>
  <si>
    <t>1,265,000.00</t>
  </si>
  <si>
    <t>2,760,606.07</t>
  </si>
  <si>
    <t>149,996.40</t>
  </si>
  <si>
    <t>8,853,650.00</t>
  </si>
  <si>
    <t>2,910,002.67</t>
  </si>
  <si>
    <t>306,652.19</t>
  </si>
  <si>
    <t>1,499,677.60</t>
  </si>
  <si>
    <t>1,940,349.02</t>
  </si>
  <si>
    <t>77,199,800.65</t>
  </si>
  <si>
    <t>1,081,821.32</t>
  </si>
  <si>
    <t>5,586,000.00</t>
  </si>
  <si>
    <t>3,046,663.48</t>
  </si>
  <si>
    <t>82,024,698.58</t>
  </si>
  <si>
    <t>299,992.80</t>
  </si>
  <si>
    <t>464,600.00</t>
  </si>
  <si>
    <t>29,586.98</t>
  </si>
  <si>
    <t>619,550.00</t>
  </si>
  <si>
    <t>13,807,000.00</t>
  </si>
  <si>
    <t>1,640,979.00</t>
  </si>
  <si>
    <t>527,310.16</t>
  </si>
  <si>
    <t>859,700.00</t>
  </si>
  <si>
    <t>239,711.44</t>
  </si>
  <si>
    <t>1,499,950.50</t>
  </si>
  <si>
    <t>228,445.00</t>
  </si>
  <si>
    <t>709,779.77</t>
  </si>
  <si>
    <t>1,437,840.22</t>
  </si>
  <si>
    <t>1,940,700.01</t>
  </si>
  <si>
    <t>1,680,302.00</t>
  </si>
  <si>
    <t>1,461,300.00</t>
  </si>
  <si>
    <t>6,995,530.00</t>
  </si>
  <si>
    <t>375,750.00</t>
  </si>
  <si>
    <t>2,789,160.00</t>
  </si>
  <si>
    <t>189,600.00</t>
  </si>
  <si>
    <t>3,146,595.00</t>
  </si>
  <si>
    <t>1,993,000.00</t>
  </si>
  <si>
    <t>1,656,500.00</t>
  </si>
  <si>
    <t>1,226,300.00</t>
  </si>
  <si>
    <t>1,130,067.72</t>
  </si>
  <si>
    <t>2,859,300.00</t>
  </si>
  <si>
    <t>825,000.00</t>
  </si>
  <si>
    <t>17,500,000.00</t>
  </si>
  <si>
    <t>1,378,252.60</t>
  </si>
  <si>
    <t>320,202.00</t>
  </si>
  <si>
    <t>1,301,464.00</t>
  </si>
  <si>
    <t>1,499,409.00</t>
  </si>
  <si>
    <t>10,347,000.00</t>
  </si>
  <si>
    <t>3,424,000.00</t>
  </si>
  <si>
    <t>232,512,537.05</t>
  </si>
  <si>
    <t>2,821,200.20</t>
  </si>
  <si>
    <t>1,311,200.00</t>
  </si>
  <si>
    <t>16,999,769.12</t>
  </si>
  <si>
    <t>1,951,560.00</t>
  </si>
  <si>
    <t>250,984.13</t>
  </si>
  <si>
    <t>2,819,567.63</t>
  </si>
  <si>
    <t>929,200.77</t>
  </si>
  <si>
    <t>2,716,400.00</t>
  </si>
  <si>
    <t>826,154.69</t>
  </si>
  <si>
    <t>1,152,000.00</t>
  </si>
  <si>
    <t>8,871,231.98</t>
  </si>
  <si>
    <t>2,892,100.00</t>
  </si>
  <si>
    <t>1,265,653.92</t>
  </si>
  <si>
    <t>1,492,894.44</t>
  </si>
  <si>
    <t>1,397,497.64</t>
  </si>
  <si>
    <t>3,999,000.00</t>
  </si>
  <si>
    <t>526,705.00</t>
  </si>
  <si>
    <t>698,769.00</t>
  </si>
  <si>
    <t>398,945.53</t>
  </si>
  <si>
    <t>1,561,770.00</t>
  </si>
  <si>
    <t>1,590,696.00</t>
  </si>
  <si>
    <t>11,180,000.00</t>
  </si>
  <si>
    <t>624,720.06</t>
  </si>
  <si>
    <t>673,920.00</t>
  </si>
  <si>
    <t>1,190,282.56</t>
  </si>
  <si>
    <t>3,590,111.26</t>
  </si>
  <si>
    <t>107,785.00</t>
  </si>
  <si>
    <t>1,339,237.98</t>
  </si>
  <si>
    <t>71,350.00</t>
  </si>
  <si>
    <t>595,795.65</t>
  </si>
  <si>
    <t>2,741,625.00</t>
  </si>
  <si>
    <t>1,255,817.64</t>
  </si>
  <si>
    <t>14,014,500.00</t>
  </si>
  <si>
    <t>1,539,000.34</t>
  </si>
  <si>
    <t>1,369,999.80</t>
  </si>
  <si>
    <t>2,260,440.00</t>
  </si>
  <si>
    <t>998,865.00</t>
  </si>
  <si>
    <t>3,293,622.20</t>
  </si>
  <si>
    <t>1,592,600.00</t>
  </si>
  <si>
    <t>999,933.95</t>
  </si>
  <si>
    <t>4,335,000.00</t>
  </si>
  <si>
    <t>81,044.33</t>
  </si>
  <si>
    <t>439,341.11</t>
  </si>
  <si>
    <t>499,865.63</t>
  </si>
  <si>
    <t>104,998.30</t>
  </si>
  <si>
    <t>26 Day/s</t>
  </si>
  <si>
    <t>60 Day/s</t>
  </si>
  <si>
    <t>1 Day/s</t>
  </si>
  <si>
    <t>6 Day/s</t>
  </si>
  <si>
    <t>15 Day/s</t>
  </si>
  <si>
    <t>10 Day/s</t>
  </si>
  <si>
    <t>3 Day/s</t>
  </si>
  <si>
    <t>30 Day/s</t>
  </si>
  <si>
    <t>7 Day/s</t>
  </si>
  <si>
    <t>5 Day/s</t>
  </si>
  <si>
    <t>0 Day/s</t>
  </si>
  <si>
    <t>360 Day/s</t>
  </si>
  <si>
    <t>20 Day/s</t>
  </si>
  <si>
    <t>90 Day/s</t>
  </si>
  <si>
    <t>45 Day/s</t>
  </si>
  <si>
    <t>14 Day/s</t>
  </si>
  <si>
    <t>70 Day/s</t>
  </si>
  <si>
    <t>97 Day/s</t>
  </si>
  <si>
    <t>74 Day/s</t>
  </si>
  <si>
    <t>36 Day/s</t>
  </si>
  <si>
    <t>160 Day/s</t>
  </si>
  <si>
    <t>42 Day/s</t>
  </si>
  <si>
    <t>180 Day/s</t>
  </si>
  <si>
    <t>35 Day/s</t>
  </si>
  <si>
    <t>24 Day/s</t>
  </si>
  <si>
    <t>120 Day/s</t>
  </si>
  <si>
    <t>363 Day/s</t>
  </si>
  <si>
    <t>39 Day/s</t>
  </si>
  <si>
    <t>109 Day/s</t>
  </si>
  <si>
    <t>40 Day/s</t>
  </si>
  <si>
    <t>65 Day/s</t>
  </si>
  <si>
    <t>96 Day/s</t>
  </si>
  <si>
    <t>4 Day/s</t>
  </si>
  <si>
    <t>210 Day/s</t>
  </si>
  <si>
    <t>63 Day/s</t>
  </si>
  <si>
    <t>25 Day/s</t>
  </si>
  <si>
    <t>11 Day/s</t>
  </si>
  <si>
    <t>19 Day/s</t>
  </si>
  <si>
    <t>12 Day/s</t>
  </si>
  <si>
    <t>205 Day/s</t>
  </si>
  <si>
    <t>6 Month/s</t>
  </si>
  <si>
    <t>56 Day/s</t>
  </si>
  <si>
    <t>21 Day/s</t>
  </si>
  <si>
    <t>105 Day/s</t>
  </si>
  <si>
    <t>111 Day/s</t>
  </si>
  <si>
    <t>2 Month/s</t>
  </si>
  <si>
    <t>41 Day/s</t>
  </si>
  <si>
    <t>34 Day/s</t>
  </si>
  <si>
    <t>28 Day/s</t>
  </si>
  <si>
    <t>135 Day/s</t>
  </si>
  <si>
    <t>16 Day/s</t>
  </si>
  <si>
    <t>61 Day/s</t>
  </si>
  <si>
    <t>2 Day/s</t>
  </si>
  <si>
    <t>1 Year/s</t>
  </si>
  <si>
    <t>1 Month/s</t>
  </si>
  <si>
    <t>5 Month/s</t>
  </si>
  <si>
    <t>80 Day/s</t>
  </si>
  <si>
    <t>64 Day/s</t>
  </si>
  <si>
    <t>52 Day/s</t>
  </si>
  <si>
    <t>192 Day/s</t>
  </si>
  <si>
    <t>23 Day/s</t>
  </si>
  <si>
    <t>270 Day/s</t>
  </si>
  <si>
    <t>240 Day/s</t>
  </si>
  <si>
    <t>150 Day/s</t>
  </si>
  <si>
    <t>18 Day/s</t>
  </si>
  <si>
    <t>8 Day/s</t>
  </si>
  <si>
    <t>183 Day/s</t>
  </si>
  <si>
    <t>22 Day/s</t>
  </si>
  <si>
    <t>7 Month/s</t>
  </si>
  <si>
    <t>77 Day/s</t>
  </si>
  <si>
    <t>110 Day/s</t>
  </si>
  <si>
    <t>121 Day/s</t>
  </si>
  <si>
    <t>1243 Day/s</t>
  </si>
  <si>
    <t>246 Day/s</t>
  </si>
  <si>
    <t>148 Day/s</t>
  </si>
  <si>
    <t>75 Day/s</t>
  </si>
  <si>
    <t>33 Day/s</t>
  </si>
  <si>
    <t>32 Day/s</t>
  </si>
  <si>
    <t>89 Day/s</t>
  </si>
  <si>
    <t>50 Day/s</t>
  </si>
  <si>
    <t>37 Day/s</t>
  </si>
  <si>
    <t>92 Day/s</t>
  </si>
  <si>
    <t>78 Day/s</t>
  </si>
  <si>
    <t>3 Month/s</t>
  </si>
  <si>
    <t>99 Day/s</t>
  </si>
  <si>
    <t>220 Day/s</t>
  </si>
  <si>
    <t>145 Day/s</t>
  </si>
  <si>
    <t>4 Month/s</t>
  </si>
  <si>
    <t>38 Day/s</t>
  </si>
  <si>
    <t>583 Day/s</t>
  </si>
  <si>
    <t>365 Day/s</t>
  </si>
  <si>
    <t>13 Day/s</t>
  </si>
  <si>
    <t>51 Day/s</t>
  </si>
  <si>
    <t>71 Day/s</t>
  </si>
  <si>
    <t>166 Day/s</t>
  </si>
  <si>
    <t>364 Day/s</t>
  </si>
  <si>
    <t>132 Day/s</t>
  </si>
  <si>
    <t>161 Day/s</t>
  </si>
  <si>
    <t>94 Day/s</t>
  </si>
  <si>
    <t>95 Day/s</t>
  </si>
  <si>
    <t>49 Day/s</t>
  </si>
  <si>
    <t>93 Day/s</t>
  </si>
  <si>
    <t>79 Day/s</t>
  </si>
  <si>
    <t>62 Day/s</t>
  </si>
  <si>
    <t>277 Day/s</t>
  </si>
  <si>
    <t>82 Day/s</t>
  </si>
  <si>
    <t>0 Month/s</t>
  </si>
  <si>
    <t>72 Day/s</t>
  </si>
  <si>
    <t>108 Day/s</t>
  </si>
  <si>
    <t>138 Day/s</t>
  </si>
  <si>
    <t>225 Day/s</t>
  </si>
  <si>
    <t>195 Day/s</t>
  </si>
  <si>
    <t>55 Day/s</t>
  </si>
  <si>
    <t>100 Day/s</t>
  </si>
  <si>
    <t>44 Day/s</t>
  </si>
  <si>
    <t>340 Day/s</t>
  </si>
  <si>
    <t>300 Day/s</t>
  </si>
  <si>
    <t>17 Day/s</t>
  </si>
  <si>
    <t>3 Year/s</t>
  </si>
  <si>
    <t>165 Day/s</t>
  </si>
  <si>
    <t>168 Day/s</t>
  </si>
  <si>
    <t>290 Day/s</t>
  </si>
  <si>
    <t>125 Day/s</t>
  </si>
  <si>
    <t>163 Day/s</t>
  </si>
  <si>
    <t>106 Day/s</t>
  </si>
  <si>
    <t>115 Day/s</t>
  </si>
  <si>
    <t>200 Day/s</t>
  </si>
  <si>
    <t>330 Day/s</t>
  </si>
  <si>
    <t>130 Day/s</t>
  </si>
  <si>
    <t>9 Day/s</t>
  </si>
  <si>
    <t>129 Day/s</t>
  </si>
  <si>
    <t>12 Month/s</t>
  </si>
  <si>
    <t>295 Day/s</t>
  </si>
  <si>
    <t>10 Month/s</t>
  </si>
  <si>
    <t>29 Day/s</t>
  </si>
  <si>
    <t>215 Day/s</t>
  </si>
  <si>
    <t>137 Day/s</t>
  </si>
  <si>
    <t>66 Day/s</t>
  </si>
  <si>
    <t>255 Day/s</t>
  </si>
  <si>
    <t>167 Day/s</t>
  </si>
  <si>
    <t>207 Day/s</t>
  </si>
  <si>
    <t>345 Day/s</t>
  </si>
  <si>
    <t>73 Day/s</t>
  </si>
  <si>
    <t>250 Day/s</t>
  </si>
  <si>
    <t>675 Day/s</t>
  </si>
  <si>
    <t>650 Day/s</t>
  </si>
  <si>
    <t>500 Day/s</t>
  </si>
  <si>
    <t>57 Day/s</t>
  </si>
  <si>
    <t>343 Day/s</t>
  </si>
  <si>
    <t>85 Day/s</t>
  </si>
  <si>
    <t>553 Day/s</t>
  </si>
  <si>
    <t>69 Day/s</t>
  </si>
  <si>
    <t>54 Day/s</t>
  </si>
  <si>
    <t>395 Day/s</t>
  </si>
  <si>
    <t>43 Day/s</t>
  </si>
  <si>
    <t>2 Year/s</t>
  </si>
  <si>
    <t>256 Day/s</t>
  </si>
  <si>
    <t>190 Day/s</t>
  </si>
  <si>
    <t>199 Day/s</t>
  </si>
  <si>
    <t>159 Day/s</t>
  </si>
  <si>
    <t>131 Day/s</t>
  </si>
  <si>
    <t>271 Day/s</t>
  </si>
  <si>
    <t>31 Day/s</t>
  </si>
  <si>
    <t>185 Day/s</t>
  </si>
  <si>
    <t>119 Day/s</t>
  </si>
  <si>
    <t>198 Day/s</t>
  </si>
  <si>
    <t>84 Day/s</t>
  </si>
  <si>
    <t>140 Day/s</t>
  </si>
  <si>
    <t>53 Day/s</t>
  </si>
  <si>
    <t>169 Day/s</t>
  </si>
  <si>
    <t>58 Day/s</t>
  </si>
  <si>
    <t>245 Day/s</t>
  </si>
  <si>
    <t>68 Day/s</t>
  </si>
  <si>
    <t>48 Day/s</t>
  </si>
  <si>
    <t>151 Day/s</t>
  </si>
  <si>
    <t>252 Day/s</t>
  </si>
  <si>
    <t>30 Month/s</t>
  </si>
  <si>
    <t>175 Day/s</t>
  </si>
  <si>
    <t>9 Month/s</t>
  </si>
  <si>
    <t>184 Day/s</t>
  </si>
  <si>
    <t>98 Day/s</t>
  </si>
  <si>
    <t>122 Day/s</t>
  </si>
  <si>
    <t>181 Day/s</t>
  </si>
  <si>
    <t>156 Day/s</t>
  </si>
  <si>
    <t>152 Day/s</t>
  </si>
  <si>
    <t>27 Day/s</t>
  </si>
  <si>
    <t>24 Month/s</t>
  </si>
  <si>
    <t>46 Day/s</t>
  </si>
  <si>
    <t>146 Day/s</t>
  </si>
  <si>
    <t>177 Day/s</t>
  </si>
  <si>
    <t>47 Day/s</t>
  </si>
  <si>
    <t>197 Day/s</t>
  </si>
  <si>
    <t>450 Day/s</t>
  </si>
  <si>
    <t>116 Day/s</t>
  </si>
  <si>
    <t>194 Day/s</t>
  </si>
  <si>
    <t>228 Day/s</t>
  </si>
  <si>
    <t>380 Day/s</t>
  </si>
  <si>
    <t>251 Day/s</t>
  </si>
  <si>
    <t>279 Day/s</t>
  </si>
  <si>
    <t>201 Day/s</t>
  </si>
  <si>
    <t>214 Day/s</t>
  </si>
  <si>
    <t>297 Day/s</t>
  </si>
  <si>
    <t>344 Day/s</t>
  </si>
  <si>
    <t>101 Day/s</t>
  </si>
  <si>
    <t>76 Day/s</t>
  </si>
  <si>
    <t>133 Day/s</t>
  </si>
  <si>
    <t>36 Month/s</t>
  </si>
  <si>
    <t>118 Day/s</t>
  </si>
  <si>
    <t>91 Day/s</t>
  </si>
  <si>
    <t>158 Day/s</t>
  </si>
  <si>
    <t>212 Day/s</t>
  </si>
  <si>
    <t>191 Day/s</t>
  </si>
  <si>
    <t>196 Day/s</t>
  </si>
  <si>
    <t>112 Day/s</t>
  </si>
  <si>
    <t>230 Day/s</t>
  </si>
  <si>
    <t>236 Day/s</t>
  </si>
  <si>
    <t>127 Day/s</t>
  </si>
  <si>
    <t>346 Day/s</t>
  </si>
  <si>
    <t>155 Day/s</t>
  </si>
  <si>
    <t>128 Day/s</t>
  </si>
  <si>
    <t>154 Day/s</t>
  </si>
  <si>
    <t>103 Day/s</t>
  </si>
  <si>
    <t>147 Day/s</t>
  </si>
  <si>
    <t>189 Day/s</t>
  </si>
  <si>
    <t>267 Day/s</t>
  </si>
  <si>
    <t>174 Day/s</t>
  </si>
  <si>
    <t>136 Day/s</t>
  </si>
  <si>
    <t>60 Month/s</t>
  </si>
  <si>
    <t>285 Day/s</t>
  </si>
  <si>
    <t>170 Day/s</t>
  </si>
  <si>
    <t>124 Day/s</t>
  </si>
  <si>
    <t>67 Day/s</t>
  </si>
  <si>
    <t>284 Day/s</t>
  </si>
  <si>
    <t>260 Day/s</t>
  </si>
  <si>
    <t>114 Day/s</t>
  </si>
  <si>
    <t>540 Day/s</t>
  </si>
  <si>
    <t>335 Day/s</t>
  </si>
  <si>
    <t>123 Day/s</t>
  </si>
  <si>
    <t>182 Day/s</t>
  </si>
  <si>
    <t>162 Day/s</t>
  </si>
  <si>
    <t>439 Day/s</t>
  </si>
  <si>
    <t>8 Month/s</t>
  </si>
  <si>
    <t>87 Day/s</t>
  </si>
  <si>
    <t>261 Day/s</t>
  </si>
  <si>
    <t>274 Day/s</t>
  </si>
  <si>
    <t>153 Day/s</t>
  </si>
  <si>
    <t>209 Day/s</t>
  </si>
  <si>
    <t>142 Day/s</t>
  </si>
  <si>
    <t>164 Day/s</t>
  </si>
  <si>
    <t>171 Day/s</t>
  </si>
  <si>
    <t>83 Day/s</t>
  </si>
  <si>
    <t>144 Day/s</t>
  </si>
  <si>
    <t>420 Day/s</t>
  </si>
  <si>
    <t>126 Day/s</t>
  </si>
  <si>
    <t>235 Day/s</t>
  </si>
  <si>
    <t>102 Day/s</t>
  </si>
  <si>
    <t>222 Day/s</t>
  </si>
  <si>
    <t>107 Day/s</t>
  </si>
  <si>
    <t>113 Day/s</t>
  </si>
  <si>
    <t>88 Day/s</t>
  </si>
  <si>
    <t>268 Day/s</t>
  </si>
  <si>
    <t>104 Day/s</t>
  </si>
  <si>
    <t>213 Day/s</t>
  </si>
  <si>
    <t>232 Day/s</t>
  </si>
  <si>
    <t>262 Day/s</t>
  </si>
  <si>
    <t>247 Day/s</t>
  </si>
  <si>
    <t>224 Day/s</t>
  </si>
  <si>
    <t>59 Day/s</t>
  </si>
  <si>
    <t>157 Day/s</t>
  </si>
  <si>
    <t>226 Day/s</t>
  </si>
  <si>
    <t>400 Day/s</t>
  </si>
  <si>
    <t>303 Day/s</t>
  </si>
  <si>
    <t>149 Day/s</t>
  </si>
  <si>
    <t>86 Day/s</t>
  </si>
  <si>
    <t>312 Day/s</t>
  </si>
  <si>
    <t>298 Day/s</t>
  </si>
  <si>
    <t>139 Day/s</t>
  </si>
  <si>
    <t>900 Day/s</t>
  </si>
  <si>
    <t>1095 Day/s</t>
  </si>
  <si>
    <t>265 Day/s</t>
  </si>
  <si>
    <t>720 Day/s</t>
  </si>
  <si>
    <t>143 Day/s</t>
  </si>
  <si>
    <t>81 Day/s</t>
  </si>
  <si>
    <t>202 Day/s</t>
  </si>
  <si>
    <t>293 Day/s</t>
  </si>
  <si>
    <t>50 Month/s</t>
  </si>
  <si>
    <t>186 Day/s</t>
  </si>
  <si>
    <t>730 Day/s</t>
  </si>
  <si>
    <t>820 Day/s</t>
  </si>
  <si>
    <t>370 Day/s</t>
  </si>
  <si>
    <t>DEPARTMENT OF PUBLIC WORKS AND HIGHWAYS - BATANGAS</t>
  </si>
  <si>
    <t>Alfredo B Angalot</t>
  </si>
  <si>
    <t>Romeo Dumadaug Palmares</t>
  </si>
  <si>
    <t>Lorena Obsiquo Escaro</t>
  </si>
  <si>
    <t>Remegio  P.  Centino</t>
  </si>
  <si>
    <t>Edwin Sapa Jomao-as</t>
  </si>
  <si>
    <t>HUSSEIN PANDAPATAN  DIANALAN</t>
  </si>
  <si>
    <t>Allan Dionaldo</t>
  </si>
  <si>
    <t>MELBA LUNARIO COSARE</t>
  </si>
  <si>
    <t>MINDA N. NAPILAY</t>
  </si>
  <si>
    <t>MARJORIE ALVAREZ DELA CRUZ</t>
  </si>
  <si>
    <t>Tolentino Almedilla  Bellezas</t>
  </si>
  <si>
    <t>Atty. Yvette N. Convento-Leynes</t>
  </si>
  <si>
    <t>Eric DM. Magpantay</t>
  </si>
  <si>
    <t>LEOPOLDO BACONG MANOLO</t>
  </si>
  <si>
    <t>Prospero Solidum Tolosa</t>
  </si>
  <si>
    <t>GLENN H. TIANGHA</t>
  </si>
  <si>
    <t>Roberto Alngag Chulsi</t>
  </si>
  <si>
    <t>Jesse II R Initan</t>
  </si>
  <si>
    <t>Ronnie D. Morante</t>
  </si>
  <si>
    <t>Jhoanne Ayen A Jimenez</t>
  </si>
  <si>
    <t>Lea Echavez Sabaduquia</t>
  </si>
  <si>
    <t>Joy Abonitalla Adecer</t>
  </si>
  <si>
    <t>June   C.  Caberoy</t>
  </si>
  <si>
    <t>Reno C Salazar</t>
  </si>
  <si>
    <t>DON PATRICK TIONGSON SALAMAT</t>
  </si>
  <si>
    <t>Josephine L Mananquil</t>
  </si>
  <si>
    <t>JEZREEL JOHN MANALO MATRE</t>
  </si>
  <si>
    <t>Marivic Dupaya Quinto</t>
  </si>
  <si>
    <t>LIBERTY REBOLLEDO AGUSTIN</t>
  </si>
  <si>
    <t>Raquel Manlimos Cero</t>
  </si>
  <si>
    <t>SLAESA ASIN</t>
  </si>
  <si>
    <t>JOVITA M. ESCASA</t>
  </si>
  <si>
    <t>Reynaldo Sumagaysay Belgira</t>
  </si>
  <si>
    <t>Ramil Mendez Taculod</t>
  </si>
  <si>
    <t>Norjanna M. Camaguin</t>
  </si>
  <si>
    <t>Maria Cristina Macarayan Dapal</t>
  </si>
  <si>
    <t>NERINA CABARRUBIAS DUCA</t>
  </si>
  <si>
    <t>Jaime B Merquita Jr.</t>
  </si>
  <si>
    <t>Cherie Gil Golong Tagana</t>
  </si>
  <si>
    <t>Milagros Orata Centino</t>
  </si>
  <si>
    <t>Percy Gonzales Salazar</t>
  </si>
  <si>
    <t>Margie Moreno</t>
  </si>
  <si>
    <t>Gerard Randy S. Bobis</t>
  </si>
  <si>
    <t>Lourdes Espartero Guanzon</t>
  </si>
  <si>
    <t>Carry C Pangan</t>
  </si>
  <si>
    <t>JUDITH PATRIARCA MANTOS</t>
  </si>
  <si>
    <t>SUSAN SANTOS TAMBALONG</t>
  </si>
  <si>
    <t>Ninez B. Regalado</t>
  </si>
  <si>
    <t>Reynaldo Medina Resureccion</t>
  </si>
  <si>
    <t>Dolphy Mandao Adaza</t>
  </si>
  <si>
    <t>GODWIN XAVIER F. NUÑEZ</t>
  </si>
  <si>
    <t>ROSE LILIA Balonzo Biado</t>
  </si>
  <si>
    <t>JUNE ILYN TERADO ESTEBAN</t>
  </si>
  <si>
    <t>Ma.Kriselda Madriaga Magallano</t>
  </si>
  <si>
    <t>Gladys Bacwaden</t>
  </si>
  <si>
    <t>CHAVELLE FERRAREN ALONSO</t>
  </si>
  <si>
    <t>ENGR. EDUARDO SALVADOR MANGOBA JR.</t>
  </si>
  <si>
    <t>Imee De Leon</t>
  </si>
  <si>
    <t>Duannie Chico Gonzales</t>
  </si>
  <si>
    <t>Algen Grejalvo Rasco</t>
  </si>
  <si>
    <t>RADNEY CARBONEL MIRANDA</t>
  </si>
  <si>
    <t>Aiza Montecer Engasa</t>
  </si>
  <si>
    <t>Gemema Paclibar Robles</t>
  </si>
  <si>
    <t>REGIE BAES AGNO</t>
  </si>
  <si>
    <t>ROMEO CAPARAL LUCINDO</t>
  </si>
  <si>
    <t>Prescilla Villar Libunao</t>
  </si>
  <si>
    <t>ROSALIE N. MORALDE</t>
  </si>
  <si>
    <t>Juan Marco Palma Jr</t>
  </si>
  <si>
    <t>Christine Joy Benin Anonuevo</t>
  </si>
  <si>
    <t>Joeven C Calasagsag</t>
  </si>
  <si>
    <t>Virgie N Bibat</t>
  </si>
  <si>
    <t>ROLANDO SJ. CABRAL</t>
  </si>
  <si>
    <t xml:space="preserve"> Mia Mae  Quirante   Mariano</t>
  </si>
  <si>
    <t>Mary Ann A. Lazo</t>
  </si>
  <si>
    <t>MARILOU TANAFRANCA BANAL</t>
  </si>
  <si>
    <t>THERESA CLAVESILLAS IBARRA</t>
  </si>
  <si>
    <t>ARCELI TOLENTINO ZURBITO</t>
  </si>
  <si>
    <t>MERIAM R. BENDOY</t>
  </si>
  <si>
    <t>Jessie Canama Paquibo</t>
  </si>
  <si>
    <t>MIGUEL COLLADO QUIBEN</t>
  </si>
  <si>
    <t>Jim Benzon R. Talavera</t>
  </si>
  <si>
    <t>ZANDRA ANCIANO QUIRANTE</t>
  </si>
  <si>
    <t>Shiela Marie Pama Franco</t>
  </si>
  <si>
    <t>June Evita Cabansag Cesar</t>
  </si>
  <si>
    <t>BAC ILOCOS SUR</t>
  </si>
  <si>
    <t>VICTORIA LAGUNA SUMALDE</t>
  </si>
  <si>
    <t>ROBERT CONTILLO DELOS SANTOS</t>
  </si>
  <si>
    <t>Ricarte De Guzman Tadeja</t>
  </si>
  <si>
    <t>Arnulfo A. Adana</t>
  </si>
  <si>
    <t>Celeste Ann Laure Capilla</t>
  </si>
  <si>
    <t>Edgardo Suasula Cabalida</t>
  </si>
  <si>
    <t>Joey Calimpusan Tonzo</t>
  </si>
  <si>
    <t>Ferdinand B Caberoy</t>
  </si>
  <si>
    <t>Jenerose Luzana Macamay</t>
  </si>
  <si>
    <t>Marlon Miranda</t>
  </si>
  <si>
    <t>CAROLINA C. UMIPIG</t>
  </si>
  <si>
    <t>Catalino Arado Sumaylo</t>
  </si>
  <si>
    <t>Alma Vina Sarne Tela</t>
  </si>
  <si>
    <t>Aries C. Tang</t>
  </si>
  <si>
    <t>NESTOR OTINGUEY DALAY-ON</t>
  </si>
  <si>
    <t>Danilo Cornelia Montecino</t>
  </si>
  <si>
    <t>NIDA BLASCO MIÑOZA</t>
  </si>
  <si>
    <t>Liza Labog Enicola</t>
  </si>
  <si>
    <t>MERRY DAWN FRONDA HONORIO</t>
  </si>
  <si>
    <t>MANOLITO BACASMAS FAJARDO</t>
  </si>
  <si>
    <t>Jesse Belle Temporosa Lirazan</t>
  </si>
  <si>
    <t>SANTIAGO  PAYAC  ABREA</t>
  </si>
  <si>
    <t>Arlene M. Divino</t>
  </si>
  <si>
    <t>Gerald Alday Pacanan</t>
  </si>
  <si>
    <t>LYN JOY Lunas NIEVA</t>
  </si>
  <si>
    <t>Rogin Samonte Alquerro</t>
  </si>
  <si>
    <t>Jennifer Ducusin Flores</t>
  </si>
  <si>
    <t>Welven Berdon Alim</t>
  </si>
  <si>
    <t>Juliana Cabling Abenales</t>
  </si>
  <si>
    <t>ROMEO BOGAYAN</t>
  </si>
  <si>
    <t>Marilyn Gaano Alunday</t>
  </si>
  <si>
    <t>BERNARDO JR. LACUESTA GANOTICE</t>
  </si>
  <si>
    <t>Maricel R. Enrique</t>
  </si>
  <si>
    <t>Shirley P Mira</t>
  </si>
  <si>
    <t>FELICE BEATRICE C TAYAG</t>
  </si>
  <si>
    <t>KEN EMERY B. MARTINEZ</t>
  </si>
  <si>
    <t>Nona Fancisco Magdasoc</t>
  </si>
  <si>
    <t>LEONA PEREZ PUSTA</t>
  </si>
  <si>
    <t>EVELYN EVIDIENTES GUINTU</t>
  </si>
  <si>
    <t>Oliver Ted Castillo Orsolino</t>
  </si>
  <si>
    <t>JOCELYN Q. CAJIGAL</t>
  </si>
  <si>
    <t>Melanie R Interino</t>
  </si>
  <si>
    <t>CHARITO POBLETE CHAVEZ</t>
  </si>
  <si>
    <t>Arnel R. Ganados</t>
  </si>
  <si>
    <t>Felipe V Vergara</t>
  </si>
  <si>
    <t>Bernadette R. Alfaro</t>
  </si>
  <si>
    <t>Erlinda G Mesodeil</t>
  </si>
  <si>
    <t>Joanne Hoylar Garcia</t>
  </si>
  <si>
    <t>Jeruel Verra Go</t>
  </si>
  <si>
    <t>Redentor Curate</t>
  </si>
  <si>
    <t>Ruena G Argente</t>
  </si>
  <si>
    <t>Ric Rosal</t>
  </si>
  <si>
    <t>Rhodora Dela Peña Amador</t>
  </si>
  <si>
    <t>Tessie Bocales Lingbanan</t>
  </si>
  <si>
    <t>Sherilyn Monserrat</t>
  </si>
  <si>
    <t>Sharmaine J. Vicente</t>
  </si>
  <si>
    <t>Laila M Robosa</t>
  </si>
  <si>
    <t>LITO  D.  LACABA</t>
  </si>
  <si>
    <t>DUSTIN PADILLA FORMALEJO</t>
  </si>
  <si>
    <t>Christopher Dave Baldedara Musa</t>
  </si>
  <si>
    <t>SOFRONIO B. DACILLO, JR.</t>
  </si>
  <si>
    <t>Jose Alcantara Clarion, Jr.</t>
  </si>
  <si>
    <t>Federico Jimena De Leon</t>
  </si>
  <si>
    <t>REY GONZALES BAUTISTA</t>
  </si>
  <si>
    <t>TRIPON  MERCADO  CONDEZA</t>
  </si>
  <si>
    <t>Candelaria Ubana Estremos</t>
  </si>
  <si>
    <t>Buena C. Dela Cruz</t>
  </si>
  <si>
    <t>Mila Rose Celso Sorbito</t>
  </si>
  <si>
    <t>Christopher Lacea Malayan</t>
  </si>
  <si>
    <t>Edward Miguel Juanito</t>
  </si>
  <si>
    <t>Norlan M De Las Alas</t>
  </si>
  <si>
    <t>Romeo L Estember</t>
  </si>
  <si>
    <t>Azucena O Gonzales</t>
  </si>
  <si>
    <t>Rey Partible Urbano</t>
  </si>
  <si>
    <t>Cuajotor Toledo Albert</t>
  </si>
  <si>
    <t>Edna Arrieta Remolacio</t>
  </si>
  <si>
    <t>Rhyla Bibas Supnet</t>
  </si>
  <si>
    <t>Merlin Paala</t>
  </si>
  <si>
    <t>Andro L. Colacion</t>
  </si>
  <si>
    <t>Esterlina I. Gamez</t>
  </si>
  <si>
    <t>Nerio D Fragata</t>
  </si>
  <si>
    <t>Marisa S. Jumalon</t>
  </si>
  <si>
    <t>Carmen B. Cortes</t>
  </si>
  <si>
    <t>Rodney Joy Villagracia Iyoy</t>
  </si>
  <si>
    <t>EMERSON R LARUA</t>
  </si>
  <si>
    <t>Arceli Magtanong Samson</t>
  </si>
  <si>
    <t>John Patrick Lazaro</t>
  </si>
  <si>
    <t>MARIA ARRA PAZ G. SELLAR</t>
  </si>
  <si>
    <t>James Escamillas Laredo</t>
  </si>
  <si>
    <t>Maria Lourdes Galanida Roldan</t>
  </si>
  <si>
    <t>Marilyn Ulep Tolentino</t>
  </si>
  <si>
    <t>NOEL BIDONG DACLIZON</t>
  </si>
  <si>
    <t>Shena Jay Nalaunan Amancio</t>
  </si>
  <si>
    <t>Arlyn Autencio Romaquin</t>
  </si>
  <si>
    <t>Leila A Carpizo</t>
  </si>
  <si>
    <t>Ruben L. Anonuevo</t>
  </si>
  <si>
    <t>KRISTINE KAY T BALINGBING</t>
  </si>
  <si>
    <t>RAMER M RAMOS</t>
  </si>
  <si>
    <t>ROGELIO S CARAMAT</t>
  </si>
  <si>
    <t>Lea Arriesgado dela Peña</t>
  </si>
  <si>
    <t>JohnEryl Ramos Templonuevo</t>
  </si>
  <si>
    <t>Charlton  Hocamis  Teo</t>
  </si>
  <si>
    <t>ELVIRO MADULI</t>
  </si>
  <si>
    <t>Jeffrey B. Rafil</t>
  </si>
  <si>
    <t>Magna Ramos Macalma</t>
  </si>
  <si>
    <t>Jeannette P Castrence</t>
  </si>
  <si>
    <t>Shandy Marfilla Hubilla</t>
  </si>
  <si>
    <t>APOLINARIO EVANGELISTA</t>
  </si>
  <si>
    <t>LANI BAYLON YURONG</t>
  </si>
  <si>
    <t>Gregorio Reyes Wapelle Jr</t>
  </si>
  <si>
    <t>Maria Flores de Gracia Cantero</t>
  </si>
  <si>
    <t>Michael Andrew Q Frias</t>
  </si>
  <si>
    <t>Sherwin Layco Monce</t>
  </si>
  <si>
    <t>Jennifer Mindanao Cruz</t>
  </si>
  <si>
    <t>Michael Angelo San Pedro BAC Secretariat</t>
  </si>
  <si>
    <t>Willbert D Hosme</t>
  </si>
  <si>
    <t>Ariel Ureta Gaco</t>
  </si>
  <si>
    <t>Joemard C Calvez</t>
  </si>
  <si>
    <t>Christine Lorraine Torreda Tijing</t>
  </si>
  <si>
    <t>Lucena Macalindong Garma</t>
  </si>
  <si>
    <t>JEMSEL  Sr. DETALO VALDEZ</t>
  </si>
  <si>
    <t>Monica A. Tuguinay</t>
  </si>
  <si>
    <t>EDWIN PAHUNANG SUAN</t>
  </si>
  <si>
    <t>BAC SECRETARIAT, LGU-SANTIAGO CITY</t>
  </si>
  <si>
    <t>Steve Nichols S. Dionaldo</t>
  </si>
  <si>
    <t>cipriano t cavite</t>
  </si>
  <si>
    <t>Maria Jessica Dulce Gumban</t>
  </si>
  <si>
    <t>Tess b. Cruzado</t>
  </si>
  <si>
    <t>DENNIS MARAYAG MANSIBANG</t>
  </si>
  <si>
    <t>Ritchie De La Cuesta Barrun</t>
  </si>
  <si>
    <t>Leonora P Morales</t>
  </si>
  <si>
    <t>Gamiao J. Leticia</t>
  </si>
  <si>
    <t>Margarita Vergara Dimaligalig</t>
  </si>
  <si>
    <t>Juliet N Siao</t>
  </si>
  <si>
    <t>Minrad Quinto Tigno</t>
  </si>
  <si>
    <t>JULIE P. TABCAO</t>
  </si>
  <si>
    <t>Brendhel P. Awa-ao</t>
  </si>
  <si>
    <t>Diosdada Sayson Garcia</t>
  </si>
  <si>
    <t>Vivian Jaquilmac Adajar</t>
  </si>
  <si>
    <t>Dominador Zamboanga Mendiola Jr.</t>
  </si>
  <si>
    <t>Roxanne O. Valenzuela</t>
  </si>
  <si>
    <t>Zelina G Dela Cruz</t>
  </si>
  <si>
    <t>Leah S Osorio</t>
  </si>
  <si>
    <t>MARY PRINCESS ABRIO ERAN</t>
  </si>
  <si>
    <t>Rosalina Ecuan Bayaona</t>
  </si>
  <si>
    <t>Dennis Juabot Mangubat</t>
  </si>
  <si>
    <t>Mary Nor Jontilla Gonzales</t>
  </si>
  <si>
    <t>Eric Torres Tejada</t>
  </si>
  <si>
    <t>JOSEPH A. BUNAN</t>
  </si>
  <si>
    <t>guillermo supilanas ardillo</t>
  </si>
  <si>
    <t>Nim Rod Esguerra Bautista</t>
  </si>
  <si>
    <t>Gideon Flores dela Cruz</t>
  </si>
  <si>
    <t>Jay  Solima Subac</t>
  </si>
  <si>
    <t>Emerlynda Castro Villaruel</t>
  </si>
  <si>
    <t>MARISSA CALOT ANO</t>
  </si>
  <si>
    <t>Richard Dean B. Dagpin</t>
  </si>
  <si>
    <t>JULIE Q. ECONAR</t>
  </si>
  <si>
    <t>Riza Rizala Ladon</t>
  </si>
  <si>
    <t>Anjonette Moises Dacyon</t>
  </si>
  <si>
    <t>Maxelinda Dela Cruz Serrana</t>
  </si>
  <si>
    <t>Elmer Ogena Macenas</t>
  </si>
  <si>
    <t>Jennylyn Pelaez Vidaja</t>
  </si>
  <si>
    <t>Colwyn A. Diez</t>
  </si>
  <si>
    <t>ORLANDO OCIONES GALDONES</t>
  </si>
  <si>
    <t>LEILANI BACALE CASIMPAN</t>
  </si>
  <si>
    <t>Merlyn M. Andalleon</t>
  </si>
  <si>
    <t>CARMELA SALES FANOGA</t>
  </si>
  <si>
    <t>Winston c. Senorin</t>
  </si>
  <si>
    <t>Helen Baldos Abarico</t>
  </si>
  <si>
    <t>Romeo Asaytuno Madraso</t>
  </si>
  <si>
    <t>Chann Nerry M. Aboloc</t>
  </si>
  <si>
    <t>Filomena S Acidera</t>
  </si>
  <si>
    <t>Montano J. Alob</t>
  </si>
  <si>
    <t>Peter  S.  Sobrevega</t>
  </si>
  <si>
    <t>Maria Morena Santos</t>
  </si>
  <si>
    <t>ROBELINA V. LAZARO</t>
  </si>
  <si>
    <t>Jaime Dapula Omaña</t>
  </si>
  <si>
    <t>Mila Jihan GIBA</t>
  </si>
  <si>
    <t>Emily B Laigo</t>
  </si>
  <si>
    <t>ANSARY BARODI SANGCOPAN</t>
  </si>
  <si>
    <t>Wilbert Eusebio Jose</t>
  </si>
  <si>
    <t>JONEFE GOMEZ OCASLA</t>
  </si>
  <si>
    <t>Jiji Castelo De Villa</t>
  </si>
  <si>
    <t>Ma. Cristina L Garcia</t>
  </si>
  <si>
    <t>Marc P Salaguban</t>
  </si>
  <si>
    <t>Celia M Perez</t>
  </si>
  <si>
    <t>Dencio A Pagbilao</t>
  </si>
  <si>
    <t>Illuminada N Saburao</t>
  </si>
  <si>
    <t>Felton Xenox T. Inting</t>
  </si>
  <si>
    <t>Ida I Juezan</t>
  </si>
  <si>
    <t>Jessca Mae P. Solano</t>
  </si>
  <si>
    <t>BENNELIE DUMDUM JUELE</t>
  </si>
  <si>
    <t>Maredith H. Julve</t>
  </si>
  <si>
    <t>Babe Charity S Enerio</t>
  </si>
  <si>
    <t>Jrioven David  C. Balayo</t>
  </si>
  <si>
    <t>Procurement Unit</t>
  </si>
  <si>
    <t>Benhur V. Malana</t>
  </si>
  <si>
    <t>Carina Lucero Abrea</t>
  </si>
  <si>
    <t>Christyn Joy Montaño Salva</t>
  </si>
  <si>
    <t>Jenny Lopez Castro</t>
  </si>
  <si>
    <t>Enrique Nochebuena Mocling</t>
  </si>
  <si>
    <t>Victor O Nuico</t>
  </si>
  <si>
    <t>Ely Garcillano Ramos</t>
  </si>
  <si>
    <t>Reynante Bayungan Salazar Sr.</t>
  </si>
  <si>
    <t>Pedrito Mojica Serra</t>
  </si>
  <si>
    <t>Agripina F Ceremones</t>
  </si>
  <si>
    <t>Ricardo Alvarado Sanchez</t>
  </si>
  <si>
    <t>MARIE ANN AYSON TIGLAO</t>
  </si>
  <si>
    <t>elsie C Agustin</t>
  </si>
  <si>
    <t>FIDEL LAHIP</t>
  </si>
  <si>
    <t>Alvin R. San Pascual</t>
  </si>
  <si>
    <t>Joresel Lara Coronado</t>
  </si>
  <si>
    <t>Antonio Sr Araño Apat</t>
  </si>
  <si>
    <t>Jocelyn Maalat Torda</t>
  </si>
  <si>
    <t>Jonathan Ramos Viernes</t>
  </si>
  <si>
    <t>Lily May T. Julao</t>
  </si>
  <si>
    <t>Leonardo Tanginan Elle</t>
  </si>
  <si>
    <t>Analou Aparente Hila-os</t>
  </si>
  <si>
    <t>Ma. Isabel N. Argueza</t>
  </si>
  <si>
    <t>Ruby Rina Soco</t>
  </si>
  <si>
    <t>REYMUNDO R VALDEZ</t>
  </si>
  <si>
    <t>Miriam C. Jabagat</t>
  </si>
  <si>
    <t>Danny Rodriguez</t>
  </si>
  <si>
    <t>MARIA GRACIELA P RED</t>
  </si>
  <si>
    <t>CHERRIE MAYE SAET LABUGUEN</t>
  </si>
  <si>
    <t>Joel Sampaga Columna</t>
  </si>
  <si>
    <t>Ruby V. Joson</t>
  </si>
  <si>
    <t>ALEXANDER VENTERO PIDOR</t>
  </si>
  <si>
    <t>ROMEO A. SEGOVIA</t>
  </si>
  <si>
    <t>Erwin Galamiton Ludevese</t>
  </si>
  <si>
    <t>Rosemary R. Juan</t>
  </si>
  <si>
    <t>Lyra RJ Cubos Carolino</t>
  </si>
  <si>
    <t>Aldy B Novo</t>
  </si>
  <si>
    <t>Romeo Magallanes Taclindo</t>
  </si>
  <si>
    <t>Riza Ortez Muanag</t>
  </si>
  <si>
    <t>Milagros Pestano Recamadas</t>
  </si>
  <si>
    <t>RICHARD ANDAYA FERNANDEZ</t>
  </si>
  <si>
    <t>Patricia C. Macatangay</t>
  </si>
  <si>
    <t>Marivic Ramos Baybay</t>
  </si>
  <si>
    <t>Mansueto Ibale Diangco</t>
  </si>
  <si>
    <t>JHON ALBERT I. NUÑEZ</t>
  </si>
  <si>
    <t>CEZARIO JOEL C ESPEJO</t>
  </si>
  <si>
    <t>Elenita Ladao Rara</t>
  </si>
  <si>
    <t>CHRISMARIE S MILLANA</t>
  </si>
  <si>
    <t>JAIME CASIMIRO SALVADOR</t>
  </si>
  <si>
    <t>Geraldine Mayo Sayco</t>
  </si>
  <si>
    <t>MARIJO M CAUINIAN</t>
  </si>
  <si>
    <t>Ricardo Mamangun Duya</t>
  </si>
  <si>
    <t>Maria Viña Ocampo Navarro</t>
  </si>
  <si>
    <t>Haydee Asparin Espinosa</t>
  </si>
  <si>
    <t>Jessa S. De Guzman</t>
  </si>
  <si>
    <t>Ellen Abao Dubduban</t>
  </si>
  <si>
    <t>Noli D. Padagdag</t>
  </si>
  <si>
    <t>daniel andaya ogana</t>
  </si>
  <si>
    <t>Glenda Labitigan Goti-ay</t>
  </si>
  <si>
    <t>Rolando Amado Escalona</t>
  </si>
  <si>
    <t>GERRY SANTIA FERRAREN</t>
  </si>
  <si>
    <t>Gene Eslava De Guzman</t>
  </si>
  <si>
    <t>Nerissa Nedic Calimbo</t>
  </si>
  <si>
    <t>Michelle S Curay</t>
  </si>
  <si>
    <t>EYMARD CAPERIÑA ANGULO</t>
  </si>
  <si>
    <t>Henry S. Pocaan</t>
  </si>
  <si>
    <t>Dominga Repaldo Duran</t>
  </si>
  <si>
    <t>BELEN BANDADA PARAÑAQUE</t>
  </si>
  <si>
    <t>TEOFILO I CALUYA</t>
  </si>
  <si>
    <t>Christian June G Yap</t>
  </si>
  <si>
    <t>Jorge Alvin Andrada Monteiro</t>
  </si>
  <si>
    <t>Roberto Besarino Lucaban</t>
  </si>
  <si>
    <t>Mr. Clarence Bolante Bunan</t>
  </si>
  <si>
    <t>Jovito Bron Coderis, Jr.</t>
  </si>
  <si>
    <t>Mariel B Lauigan</t>
  </si>
  <si>
    <t>Reymar Constantino Razon</t>
  </si>
  <si>
    <t>Josephine Villas Pontillas</t>
  </si>
  <si>
    <t>Michael Angelo Agoto Samonte</t>
  </si>
  <si>
    <t>Oscar Aguinaldo Domingo</t>
  </si>
  <si>
    <t>Kay Pagutayao Dadulo</t>
  </si>
  <si>
    <t>Epelita Mumar Andoy</t>
  </si>
  <si>
    <t>CHARINA BALUNSO BASILONIA</t>
  </si>
  <si>
    <t>CANDIDO ALFRED II AZARES BANCORO</t>
  </si>
  <si>
    <t>Gil Banal Salen</t>
  </si>
  <si>
    <t>Alma A. Permejo</t>
  </si>
  <si>
    <t>Michael Lood Astillero</t>
  </si>
  <si>
    <t>Jaime Saulo Zafiro</t>
  </si>
  <si>
    <t>Monalisa Umali Domen</t>
  </si>
  <si>
    <t>Noel A Tubac</t>
  </si>
  <si>
    <t>GERRY PALEN GERONGCO</t>
  </si>
  <si>
    <t>Brigeda J. Alama</t>
  </si>
  <si>
    <t>Jorge A. Albinda</t>
  </si>
  <si>
    <t>Macario Jr Sangalang Flores</t>
  </si>
  <si>
    <t>Zaidie C. Ligutom</t>
  </si>
  <si>
    <t>Joseph Villanueva Emboltorio</t>
  </si>
  <si>
    <t>Roseanne Venessa J Ratunil</t>
  </si>
  <si>
    <t>MARISA SISON LAGAR</t>
  </si>
  <si>
    <t>Ambrocio Zapata Azares</t>
  </si>
  <si>
    <t>Eugene R. Geñoso</t>
  </si>
  <si>
    <t>Ma. Antonette Cauilan Garro</t>
  </si>
  <si>
    <t>Susana M Pardo</t>
  </si>
  <si>
    <t>Rose Ann Awingan Balisong</t>
  </si>
  <si>
    <t>Jennifer Hao Angco</t>
  </si>
  <si>
    <t>Noel C. Mangkikis</t>
  </si>
  <si>
    <t>Bernadette Llacer Belleza</t>
  </si>
  <si>
    <t>WILSON NARVAIS CABRALES</t>
  </si>
  <si>
    <t>MERLINDA M. ANG</t>
  </si>
  <si>
    <t>MAXIMINO LANZADERAS ROMERO JR</t>
  </si>
  <si>
    <t>Ryan Chester G. Fong</t>
  </si>
  <si>
    <t>Enjill Grace R. Subillaga</t>
  </si>
  <si>
    <t>Nymia T. Chavez</t>
  </si>
  <si>
    <t>Odessa Barba Tejada</t>
  </si>
  <si>
    <t>Janet A. Pumalo</t>
  </si>
  <si>
    <t>Cecilia O. Delos Reyes</t>
  </si>
  <si>
    <t>Joy M Rivera</t>
  </si>
  <si>
    <t>Jaypee Sorillo Colis</t>
  </si>
  <si>
    <t>Ryan Anthony Agay Olalia</t>
  </si>
  <si>
    <t>Emie Liza Fabella Ferrancol</t>
  </si>
  <si>
    <t>Janice L Sta. Cruz</t>
  </si>
  <si>
    <t>Rachelle Anne Sera Jose  Santos</t>
  </si>
  <si>
    <t>Allen G Candaliza</t>
  </si>
  <si>
    <t>BAC SECRETARIAT STAFF</t>
  </si>
  <si>
    <t>Engr. Nashra Dalandangan Misquinan</t>
  </si>
  <si>
    <t>Procurement Management Unit DBP - Head Office</t>
  </si>
  <si>
    <t>Edwardford Najera Dagatan</t>
  </si>
  <si>
    <t>Rhiza Joy Dulay Jamago</t>
  </si>
  <si>
    <t>Roderick Trangia Songahid</t>
  </si>
  <si>
    <t>Crystine S. Puertellano</t>
  </si>
  <si>
    <t>Shiedhe Kembuan Bangen</t>
  </si>
  <si>
    <t>Marlon L. Eslopor</t>
  </si>
  <si>
    <t>Gerardo Jr. Valdez Bocalan</t>
  </si>
  <si>
    <t>NELANNIE A. GARCIA</t>
  </si>
  <si>
    <t>Mary Ann Martinez Torralba</t>
  </si>
  <si>
    <t>Jessie Bagtang Addag</t>
  </si>
  <si>
    <t>Ma. Teresa M Layug</t>
  </si>
  <si>
    <t>Lanie  Soriano  Domincil</t>
  </si>
  <si>
    <t>Cipriano Indencia Osunero</t>
  </si>
  <si>
    <t>WILLY TUBONG JAMOLO</t>
  </si>
  <si>
    <t>Katrine Natanauan Martinez</t>
  </si>
  <si>
    <t>Joel Atablanco</t>
  </si>
  <si>
    <t>Engr. Anastacio Cuares Pol</t>
  </si>
  <si>
    <t>Myrna Vita Dailo</t>
  </si>
  <si>
    <t>SHIELA MALAUBI DOZA</t>
  </si>
  <si>
    <t>Maribel Saavedra</t>
  </si>
  <si>
    <t>Anatoly Leones Flores</t>
  </si>
  <si>
    <t>NORMAN CORNELIO EBALLE</t>
  </si>
  <si>
    <t>Edwin Pepito Imboc</t>
  </si>
  <si>
    <t>Rovic G. Pantua</t>
  </si>
  <si>
    <t>Datumalao Eting Saikol</t>
  </si>
  <si>
    <t>JOHN REFUERZO PILOT</t>
  </si>
  <si>
    <t>Maricris S. Cabanayan</t>
  </si>
  <si>
    <t>Rowena Agrito Mongoso</t>
  </si>
  <si>
    <t>GLORIA MALCONTENTO ORIGINAL</t>
  </si>
  <si>
    <t>Mark Chester Anthony Gariando Tamayo</t>
  </si>
  <si>
    <t>Remigio Lago Blanco</t>
  </si>
  <si>
    <t>Raul Tampus Lumbatan</t>
  </si>
  <si>
    <t>Rosario G. Hermonio</t>
  </si>
  <si>
    <t>Rodolfo, Jr. A. Balais</t>
  </si>
  <si>
    <t>Niño Azague Aballa</t>
  </si>
  <si>
    <t>Exuperia Sabalberino</t>
  </si>
  <si>
    <t>CARLA NIÑA GOMEZ ERASMO</t>
  </si>
  <si>
    <t>Patrick A. Panaligan</t>
  </si>
  <si>
    <t>Christopher D. Badayos</t>
  </si>
  <si>
    <t>Erosbon Layugan Sabedo</t>
  </si>
  <si>
    <t>Emmanuel Ablang</t>
  </si>
  <si>
    <t>Samuel Cimeni Penales</t>
  </si>
  <si>
    <t>NICEFORO S. LIBERATO</t>
  </si>
  <si>
    <t>MICHAEL P DUQUEZ</t>
  </si>
  <si>
    <t>Marivic Yorong Morales</t>
  </si>
  <si>
    <t>JOAN PACALIOGA ABEJUELA</t>
  </si>
  <si>
    <t>Lilybeth Delfin Langomez</t>
  </si>
  <si>
    <t>Darryl Christian Rigos</t>
  </si>
  <si>
    <t>REYNILDA M. MONTEZA</t>
  </si>
  <si>
    <t>Kristine Joy Fernandez Dacasin</t>
  </si>
  <si>
    <t>Michael Aquino Abar</t>
  </si>
  <si>
    <t>Reggie C Placido</t>
  </si>
  <si>
    <t>Manuel M. Andes</t>
  </si>
  <si>
    <t>Analiza Gallega De Castro</t>
  </si>
  <si>
    <t>ANDREA CRISTINE PERFIÑAN</t>
  </si>
  <si>
    <t>MA. NITA PANIS MENDOZA</t>
  </si>
  <si>
    <t>Jeanne Crisel  Joy Gamalo</t>
  </si>
  <si>
    <t>Erika Yvette Seraspi Reynoso</t>
  </si>
  <si>
    <t>Rhea Magsombol Abreu</t>
  </si>
  <si>
    <t>Richelle Enciso Pascor</t>
  </si>
  <si>
    <t>MARIELLE GRACE ANDRIN ROMAREZ</t>
  </si>
  <si>
    <t>Jeffrey Celis Magadan</t>
  </si>
  <si>
    <t>ROSELLER DIZON SASIS</t>
  </si>
  <si>
    <t>Bernadette Manggol Sapungan</t>
  </si>
  <si>
    <t>AARON BOTIN ALIANZA</t>
  </si>
  <si>
    <t>NOLI ANTONANO MENDOZA</t>
  </si>
  <si>
    <t>Mark Joseph Pitpit Dilan</t>
  </si>
  <si>
    <t>Paulo Sherwin Duman</t>
  </si>
  <si>
    <t>JORJAN BECKER FEDERISO</t>
  </si>
  <si>
    <t>RONILO INTERO LAO</t>
  </si>
  <si>
    <t>Realyn Mae Bonilla Bernas</t>
  </si>
  <si>
    <t>Edmer S. Polloso</t>
  </si>
  <si>
    <t>Vladimir Prado Torres</t>
  </si>
  <si>
    <t>JOSE ORIAS PANARIGAN</t>
  </si>
  <si>
    <t>Romulo Junasa Galleto, Jr.</t>
  </si>
  <si>
    <t>Jhuna C. Casillano</t>
  </si>
  <si>
    <t>EMA N RAFIL</t>
  </si>
  <si>
    <t>Magdalena V. Almira</t>
  </si>
  <si>
    <t>Haide D. Daclan</t>
  </si>
  <si>
    <t>LEO B CABUG</t>
  </si>
  <si>
    <t>Yolanda T Egam</t>
  </si>
  <si>
    <t>Eustila Furog Evangelista</t>
  </si>
  <si>
    <t>FRANCISCO ROMULUS C. VILLANUEVA</t>
  </si>
  <si>
    <t>IMELDA  C.  DELLORO</t>
  </si>
  <si>
    <t>Eugene Canonigo Bagasbas</t>
  </si>
  <si>
    <t>juana litan</t>
  </si>
  <si>
    <t>ALBERTO Q. BEREDO</t>
  </si>
  <si>
    <t>Blesilda Virtucio Erejer</t>
  </si>
  <si>
    <t>fe Arofol</t>
  </si>
  <si>
    <t>Christopher M. Edjic</t>
  </si>
  <si>
    <t>Marina P. Cayabo</t>
  </si>
  <si>
    <t>Josephine  B. Sabando</t>
  </si>
  <si>
    <t>Evangeline Balan Lorenzo</t>
  </si>
  <si>
    <t>Alicia Lopez Santos</t>
  </si>
  <si>
    <t>Erwin Libres Cajelo</t>
  </si>
  <si>
    <t>Michelle Mahusay Nable</t>
  </si>
  <si>
    <t>Chona Terrayo Flores</t>
  </si>
  <si>
    <t>Paulo D Barbon</t>
  </si>
  <si>
    <t>Philip P. Garcia</t>
  </si>
  <si>
    <t>Jaynalyn E Amparo</t>
  </si>
  <si>
    <t>Margie Butuan Galang</t>
  </si>
  <si>
    <t>Darryl Jr. L. Montealto</t>
  </si>
  <si>
    <t>Radie Gabuat Abogado</t>
  </si>
  <si>
    <t xml:space="preserve"> Anita Bongalos</t>
  </si>
  <si>
    <t>Edric Monteroyo Luyao</t>
  </si>
  <si>
    <t>Nolly Adrian B. Gabule</t>
  </si>
  <si>
    <t>Cleofe Claveria Lamadora</t>
  </si>
  <si>
    <t>REYNALDO C. RIVERA</t>
  </si>
  <si>
    <t>JOEL A. ELUMBA</t>
  </si>
  <si>
    <t>Anna Karla Mae Postor Grindulo</t>
  </si>
  <si>
    <t>JOSEPHINE BARABAR  MORAN</t>
  </si>
  <si>
    <t>Jocelyn D Melandres</t>
  </si>
  <si>
    <t>Merla A. Monje</t>
  </si>
  <si>
    <t>CARLOS D. PADILLO</t>
  </si>
  <si>
    <t>Jocelyn Campaña Langbid</t>
  </si>
  <si>
    <t>JENNY C. SIGNEY</t>
  </si>
  <si>
    <t>Annalyn Bueza Nicol</t>
  </si>
  <si>
    <t>Marilyn  Labrador Garcia</t>
  </si>
  <si>
    <t>Rodel Carmelo Mabination</t>
  </si>
  <si>
    <t>Roberto Giron Laganao</t>
  </si>
  <si>
    <t>ALEX HILARIO BALAAN</t>
  </si>
  <si>
    <t>Roberto R. Dingding</t>
  </si>
  <si>
    <t>Antonio T Chan</t>
  </si>
  <si>
    <t>Paul Michael M Cuadra</t>
  </si>
  <si>
    <t>Hanz Willbur Domondon Quebral</t>
  </si>
  <si>
    <t>REGNER MEL BALAGOT</t>
  </si>
  <si>
    <t>Veronica Manzano Rodriguez</t>
  </si>
  <si>
    <t>Gaudencio Mico Natividad</t>
  </si>
  <si>
    <t>Judith Domingo Unson</t>
  </si>
  <si>
    <t>Editha Ablen Jaballa</t>
  </si>
  <si>
    <t>PILAR RABINO VITTO</t>
  </si>
  <si>
    <t>FRITZIE FLORENOSOS JUSTOL</t>
  </si>
  <si>
    <t>Carelle Ann J. Titular</t>
  </si>
  <si>
    <t>Heireyne Joy D. Apresto</t>
  </si>
  <si>
    <t>Jane A. Cabat</t>
  </si>
  <si>
    <t>NAZARENO CENTENO VILLANUEVA</t>
  </si>
  <si>
    <t>Malou Enero</t>
  </si>
  <si>
    <t>Joeper Hamlag Mendoza</t>
  </si>
  <si>
    <t>SOTERO Y. HIMOC</t>
  </si>
  <si>
    <t>Edwin Delos Santos Maliksi</t>
  </si>
  <si>
    <t>Edgardo  E.  Dancel</t>
  </si>
  <si>
    <t>Eric G Limpin</t>
  </si>
  <si>
    <t>LYALL DE JESUS DELA CRUZ</t>
  </si>
  <si>
    <t>MARICEL CALUNOD DOLOR</t>
  </si>
  <si>
    <t>BRIGIDO G. BERONGAN</t>
  </si>
  <si>
    <t>Edison Mangulabnan Mina</t>
  </si>
  <si>
    <t>Elmer Bagarinao Vallecer</t>
  </si>
  <si>
    <t>ROSAVEL VILLACRUEL ELIPONEO</t>
  </si>
  <si>
    <t>Nerissa Raymundo Quintinio</t>
  </si>
  <si>
    <t>Derrick  Perez  Amparo</t>
  </si>
  <si>
    <t>Lorna Salvador Paray</t>
  </si>
  <si>
    <t>Ladyline Armodal Galgo</t>
  </si>
  <si>
    <t>Melanio B. De vera</t>
  </si>
  <si>
    <t>Buenavista West</t>
  </si>
  <si>
    <t>Maricel Iglesia Panistante</t>
  </si>
  <si>
    <t>Menchu Tabay Zingapan</t>
  </si>
  <si>
    <t xml:space="preserve">Lee  Anthony Arriesgado </t>
  </si>
  <si>
    <t>LERMA TERONES RECILLO</t>
  </si>
  <si>
    <t>Sylvia Maquilan Caratao</t>
  </si>
  <si>
    <t>Maria Teresa Ocong Bucio</t>
  </si>
  <si>
    <t>Jorge Olaer Madrona</t>
  </si>
  <si>
    <t>DOMINGO C. LIMBO</t>
  </si>
  <si>
    <t>Elsa  Dela Cerna Gutiera</t>
  </si>
  <si>
    <t>Aimee Antonio Jimeno</t>
  </si>
  <si>
    <t>Gerry Celso Catchillar, Ed.D.</t>
  </si>
  <si>
    <t>MARITESS CAYACO MARCOS</t>
  </si>
  <si>
    <t>Kristine Joy Apostol Castillo</t>
  </si>
  <si>
    <t>DIWANIE  VELASCO  PALATTAO</t>
  </si>
  <si>
    <t>Michael De Vera Ocampo</t>
  </si>
  <si>
    <t>Donell Mark  Francisco Baranda</t>
  </si>
  <si>
    <t>JOHN JOHN CASTILLO FAULVE</t>
  </si>
  <si>
    <t>ENGR. JERICK D. ORLANES</t>
  </si>
  <si>
    <t>Melinda Dizon</t>
  </si>
  <si>
    <t>EDNA B. LACSON</t>
  </si>
  <si>
    <t>Zaldy C Domalina</t>
  </si>
  <si>
    <t>JOAN JUDE R. LOPEZ</t>
  </si>
  <si>
    <t>Rosalinda Baring Ongue</t>
  </si>
  <si>
    <t>Hernan Paigna Saludes</t>
  </si>
  <si>
    <t>Levy H. Lagutin Jr.</t>
  </si>
  <si>
    <t>IMELDA INSON FELICISIMO</t>
  </si>
  <si>
    <t>Edzrael L. Mohammad</t>
  </si>
  <si>
    <t>Afril Rose Modesto Tunayan</t>
  </si>
  <si>
    <t xml:space="preserve">Glory June Tongson  Maravilla </t>
  </si>
  <si>
    <t>Marlon G. Camilon</t>
  </si>
  <si>
    <t>Noel Bañas Nanquil</t>
  </si>
  <si>
    <t>ROMARICO M. CABELLON</t>
  </si>
  <si>
    <t>Vicente T. Belena</t>
  </si>
  <si>
    <t>Jocelyn Inguito Mancio</t>
  </si>
  <si>
    <t>Jahmil H. Asebo</t>
  </si>
  <si>
    <t>GERALDINE BRINAS BRINAS ABERGOS</t>
  </si>
  <si>
    <t>Carlo Fernando G. Logarta</t>
  </si>
  <si>
    <t>Victoria Carcamo Santos</t>
  </si>
  <si>
    <t>Merlinda Morenos Gayatao</t>
  </si>
  <si>
    <t>Jay V Villafranca</t>
  </si>
  <si>
    <t>Connie Beb Torralba</t>
  </si>
  <si>
    <t>Ana Liza Calma Zablan</t>
  </si>
  <si>
    <t>BINGO GALIMA ALIPIO</t>
  </si>
  <si>
    <t>Diomedes P Bungay</t>
  </si>
  <si>
    <t>Marites P Austria</t>
  </si>
  <si>
    <t>Danilo P Polestico</t>
  </si>
  <si>
    <t>Rolando F. Zapata</t>
  </si>
  <si>
    <t>Grace G. Astrero</t>
  </si>
  <si>
    <t>Jerry Pascua Ramiterre</t>
  </si>
  <si>
    <t>Ma. Rolynda Basuil Manongas</t>
  </si>
  <si>
    <t>Jerome Bardoquillo Ramirez</t>
  </si>
  <si>
    <t>Joshua Mari Jareño</t>
  </si>
  <si>
    <t>Felicilda F Sano</t>
  </si>
  <si>
    <t>CELSO A. MATIAS</t>
  </si>
  <si>
    <t>Alma Malasaga Pacaldo</t>
  </si>
  <si>
    <t>Joselyn S. Vivares</t>
  </si>
  <si>
    <t>Cesar Espino Petalino</t>
  </si>
  <si>
    <t>Nikkolo Marco Aurelio V. Cortes</t>
  </si>
  <si>
    <t>Robert Pineda Lucero</t>
  </si>
  <si>
    <t>ERNEL PRAVA MAYONGUE</t>
  </si>
  <si>
    <t>Patrick Bayona Gimeno</t>
  </si>
  <si>
    <t>Mary Grace Sta. Elena</t>
  </si>
  <si>
    <t>Marietta Abuan Graciano</t>
  </si>
  <si>
    <t>Juliet Zinampan Altura</t>
  </si>
  <si>
    <t>ELVIS ACENA DEL CASTILLO</t>
  </si>
  <si>
    <t>Jorgen H. Buzon</t>
  </si>
  <si>
    <t>PLGU Nueva Vizcaya (2nd Account)</t>
  </si>
  <si>
    <t>Chandler Jave Borres Chiong</t>
  </si>
  <si>
    <t>Jocelyn Laayon Mauting</t>
  </si>
  <si>
    <t>FERMIN PURA ENAJE</t>
  </si>
  <si>
    <t>Cristina S. Lazaro</t>
  </si>
  <si>
    <t>Canhawan Catbalogan</t>
  </si>
  <si>
    <t>LEO ACLAN OCLARIT</t>
  </si>
  <si>
    <t>Rosemarie Martinez Paguia</t>
  </si>
  <si>
    <t>Jocelyn Castro Ballesteros</t>
  </si>
  <si>
    <t>Arnel Tumbagahan Casimero</t>
  </si>
  <si>
    <t>Merlita Mangalonzo Regonda</t>
  </si>
  <si>
    <t>Chito de Leon Riego de Dios</t>
  </si>
  <si>
    <t>Restituto Busbos Bautista</t>
  </si>
  <si>
    <t>ENGR. EPIFANIO CAGANDE BAGHUCAN</t>
  </si>
  <si>
    <t>ROBERT HULIGANGA LARANANG</t>
  </si>
  <si>
    <t>VIRGIN GANIR MALICAD</t>
  </si>
  <si>
    <t>Dante T. Blanza</t>
  </si>
  <si>
    <t>Wilson Garagan Viloria II</t>
  </si>
  <si>
    <t>Lilybeth Reblando Rayala</t>
  </si>
  <si>
    <t>Ma. Anelyn Cubias</t>
  </si>
  <si>
    <t>Karla Remolacio Palles</t>
  </si>
  <si>
    <t>Danilo S. Sanchez Petalino, Ph.D</t>
  </si>
  <si>
    <t>MARIA TERESA HOCSON MIRABUENO</t>
  </si>
  <si>
    <t>Jeffrey T. Calma</t>
  </si>
  <si>
    <t>Godofredo Apprecio Corsino</t>
  </si>
  <si>
    <t>JINA UDANI ILIGAN</t>
  </si>
  <si>
    <t>Pricela Semilla Rabe</t>
  </si>
  <si>
    <t>Roy Ian A Resplandor</t>
  </si>
  <si>
    <t>Editha Ignacio De Lemos</t>
  </si>
  <si>
    <t>INES BENITO REUYAN</t>
  </si>
  <si>
    <t>Jess P Sanchez</t>
  </si>
  <si>
    <t>MARIA CRISTIE VARGAS BALMADRID</t>
  </si>
  <si>
    <t>Joan Margarette A Yap</t>
  </si>
  <si>
    <t>Julius Caesar Matadling Badilla</t>
  </si>
  <si>
    <t>ALADIN MABBORANG PASCUAL</t>
  </si>
  <si>
    <t>Edna Pamaos Malaran</t>
  </si>
  <si>
    <t>Jerome Arroyo Agustin</t>
  </si>
  <si>
    <t>MARGARITA LAGUADOR PLACINO</t>
  </si>
  <si>
    <t>Eutropio Simbajon Jayectin, M.M.</t>
  </si>
  <si>
    <t>Allison Graza Nudo</t>
  </si>
  <si>
    <t>Alex T Luces</t>
  </si>
  <si>
    <t>Roland Gabayeron</t>
  </si>
  <si>
    <t>ROSALIE  RECTO DELGADO</t>
  </si>
  <si>
    <t>BENJAMIN N. LAURENCIANA</t>
  </si>
  <si>
    <t>Dingras E. Balbona</t>
  </si>
  <si>
    <t>Joshua Abejero Adanza</t>
  </si>
  <si>
    <t>Susana Quinita Elep</t>
  </si>
  <si>
    <t>JESUS O OLAY  SALAGUBANG</t>
  </si>
  <si>
    <t>Virgilio Bullen Damasing</t>
  </si>
  <si>
    <t>Virgie N Bartonico</t>
  </si>
  <si>
    <t>Maria Fe Dela Cruz Perez</t>
  </si>
  <si>
    <t>Edward Doctor Carillo</t>
  </si>
  <si>
    <t>LEVY H. LAGUTIN, JR.</t>
  </si>
  <si>
    <t>Donato Panaligan</t>
  </si>
  <si>
    <t>Joselito C. Baligod</t>
  </si>
  <si>
    <t>MA. DEBBIE MENDOZA RESMA</t>
  </si>
  <si>
    <t>Gilbert B. Trinidad</t>
  </si>
  <si>
    <t>Marvin Domingo Carino</t>
  </si>
  <si>
    <t>Gorgonio S. Cabañero Jr.</t>
  </si>
  <si>
    <t>BRENDO C. AUDIENCIA</t>
  </si>
  <si>
    <t>Hernadith Hinolan Casas</t>
  </si>
  <si>
    <t>Aladin Calesterio Advincula</t>
  </si>
  <si>
    <t>SSUPT LEONIDA G ROSALES</t>
  </si>
  <si>
    <t>MARICRIS G. DIAZ</t>
  </si>
  <si>
    <t>Joy Mae R. Cordova</t>
  </si>
  <si>
    <t>Jesus A. Bernal</t>
  </si>
  <si>
    <t>Cereal Nicdao Sadsad</t>
  </si>
  <si>
    <t>Andy G Matula</t>
  </si>
  <si>
    <t>ADELYNE COSTELO ABREA</t>
  </si>
  <si>
    <t>James Molejon Repita</t>
  </si>
  <si>
    <t>MARTINA B. ROSALES</t>
  </si>
  <si>
    <t>Karen Rose Uy Flores</t>
  </si>
  <si>
    <t>Debby Catherine Castillo Segui</t>
  </si>
  <si>
    <t>Ronald D. Elnar</t>
  </si>
  <si>
    <t>Juvy  Fugnit  Paulican</t>
  </si>
  <si>
    <t>Harvey C Jumawan</t>
  </si>
  <si>
    <t>Ligaya M Antiola</t>
  </si>
  <si>
    <t>David Bonifacio</t>
  </si>
  <si>
    <t>Ma. Luisa Tumala Dela Rosa</t>
  </si>
  <si>
    <t>ALLAN P. RAMBANO</t>
  </si>
  <si>
    <t>John M. Lim</t>
  </si>
  <si>
    <t>AR-BI AGLORO ARCIAGA</t>
  </si>
  <si>
    <t>Apollo Gamboa Gariando</t>
  </si>
  <si>
    <t>Katherine B Ramos</t>
  </si>
  <si>
    <t>Mary Anne Garcia Tanazana</t>
  </si>
  <si>
    <t>Marilyn F. Chavez</t>
  </si>
  <si>
    <t>Adolfa A. Creayla</t>
  </si>
  <si>
    <t>Danilo Anggot Taucan</t>
  </si>
  <si>
    <t>ADELFA RICO BELLO</t>
  </si>
  <si>
    <t>Marilou A. Gecosala</t>
  </si>
  <si>
    <t>Ian Luis C Aguila</t>
  </si>
  <si>
    <t>Poebe Ruth Cansicio Soriano</t>
  </si>
  <si>
    <t>Vanesa C. Cutanda</t>
  </si>
  <si>
    <t>Elaine Villanueva Del Mundo</t>
  </si>
  <si>
    <t>Annette Francisco Virtudazo</t>
  </si>
  <si>
    <t>RAQUEL DAROY ATIENZAR</t>
  </si>
  <si>
    <t>MEZACH Y BEDONA</t>
  </si>
  <si>
    <t>CEFERINO  MADDUMA BAQUIRAN</t>
  </si>
  <si>
    <t>Freddie B. Caday</t>
  </si>
  <si>
    <t>Atty. Raymundo Badang Bautista Jr.</t>
  </si>
  <si>
    <t>Rolando Veronilla Pe</t>
  </si>
  <si>
    <t>VINOSA LAT ROBLES</t>
  </si>
  <si>
    <t>Antonio Cagdan Failoga</t>
  </si>
  <si>
    <t>Ma. Liza Candelaria Ortiz</t>
  </si>
  <si>
    <t>Rubygene E. Jauculan</t>
  </si>
  <si>
    <t>Mayla Joi Villote Manigo</t>
  </si>
  <si>
    <t>Ranie Javar Babiera</t>
  </si>
  <si>
    <t>Eugene Barocan Damasco</t>
  </si>
  <si>
    <t>Renel M. Malacapo</t>
  </si>
  <si>
    <t>Emmanuel Edquilang Gulay</t>
  </si>
  <si>
    <t>ATTY. CHRISTY JOY S SOLLESTA</t>
  </si>
  <si>
    <t>Editha Pascua Covita</t>
  </si>
  <si>
    <t>RANDY R. LIGSANAN</t>
  </si>
  <si>
    <t>EDELYN JIMENEZ IGLESIA</t>
  </si>
  <si>
    <t>NOE MORALES HERMOSILLA</t>
  </si>
  <si>
    <t>Jose B Abrenio Jr.</t>
  </si>
  <si>
    <t>Gerald B Alvaro</t>
  </si>
  <si>
    <t>Benson Empalmado</t>
  </si>
  <si>
    <t>Leo F. Ferraris</t>
  </si>
  <si>
    <t>Elpidio Jr. D. Lucernas</t>
  </si>
  <si>
    <t>Frederick Funiestas Torres</t>
  </si>
  <si>
    <t>REMELITO B ESTROLOGO</t>
  </si>
  <si>
    <t>Jacob Gupana Racho</t>
  </si>
  <si>
    <t>Ma. Rosalina Isla Lazaro</t>
  </si>
  <si>
    <t>Leopoldo  C Sanchez Jr.</t>
  </si>
  <si>
    <t>John Albert Odi Diaz</t>
  </si>
  <si>
    <t>Joselia Sapul Garcia</t>
  </si>
  <si>
    <t>Reynaldo  P.  Dela Questa</t>
  </si>
  <si>
    <t>WILSON HELOM INDING</t>
  </si>
  <si>
    <t>Vivencia Lelis</t>
  </si>
  <si>
    <t>JONATHAN R. HIJADA</t>
  </si>
  <si>
    <t>May Roxanne Bohol Amboy</t>
  </si>
  <si>
    <t>Paquito Fernandez Doña</t>
  </si>
  <si>
    <t>Belen Serenio Dela Peña</t>
  </si>
  <si>
    <t>JESSICA ACOLENTAVA OTIC</t>
  </si>
  <si>
    <t>JHOANNA RATIFICAR YANGCO</t>
  </si>
  <si>
    <t>DOWIE JOY RODIS</t>
  </si>
  <si>
    <t>Nellie A Francisco</t>
  </si>
  <si>
    <t>Miguel Jr. D. Tolentino</t>
  </si>
  <si>
    <t>RIZALDY L. MENDOZA</t>
  </si>
  <si>
    <t>Edison Salawad Morales</t>
  </si>
  <si>
    <t>JOANA MANATLAO LIMOS, M.D</t>
  </si>
  <si>
    <t>Jade Ocfemia Alberto</t>
  </si>
  <si>
    <t>Edgardo G Pamute</t>
  </si>
  <si>
    <t>Mark Neil Ansagay Recaido</t>
  </si>
  <si>
    <t>Levy H. Lagutin, Jr.</t>
  </si>
  <si>
    <t>Edmar Pascua</t>
  </si>
  <si>
    <t>LORETA CAYABYAB MARIÑAS</t>
  </si>
  <si>
    <t>Ma.  Erowena V Soriano</t>
  </si>
  <si>
    <t>Niel Villanueva Parcon</t>
  </si>
  <si>
    <t>ROGELIO KENTILITISCA PANGAN</t>
  </si>
  <si>
    <t>Bienvenido Villaflores Aldaba Jr.</t>
  </si>
  <si>
    <t>EDSON III CASTRO TANDOC</t>
  </si>
  <si>
    <t>Doreen A. Lugo</t>
  </si>
  <si>
    <t>Karla Shane Ramos Patega</t>
  </si>
  <si>
    <t>Anna Lou Elaba Roales</t>
  </si>
  <si>
    <t>Jocelyn M. Dano</t>
  </si>
  <si>
    <t>ANGELITA BAUTISTA DAYEGO</t>
  </si>
  <si>
    <t>Rafael C Salles</t>
  </si>
  <si>
    <t>Marina Ingoy Balicoco</t>
  </si>
  <si>
    <t>Mary Minchelle Payabyab Dela Rosa</t>
  </si>
  <si>
    <t>Geoffrey P. Villahermosa</t>
  </si>
  <si>
    <t>Ramises Baladad Esteban</t>
  </si>
  <si>
    <t>Maria Crestita C Lauzon</t>
  </si>
  <si>
    <t>Jessie Rose Sabindo Pascua</t>
  </si>
  <si>
    <t>Marian Gayo Jarabe</t>
  </si>
  <si>
    <t>Rowena Belloso Divina</t>
  </si>
  <si>
    <t>EVA MACAHILIG JIMENEZ</t>
  </si>
  <si>
    <t>Joseph  Caraan  Jaro</t>
  </si>
  <si>
    <t>SAMUEL O PARAMI</t>
  </si>
  <si>
    <t>Tommy Mahilum Artajo</t>
  </si>
  <si>
    <t>Gerardo Marinas Villabeza</t>
  </si>
  <si>
    <t>Maria Ana C Raguero</t>
  </si>
  <si>
    <t>cecilia mata pinpin</t>
  </si>
  <si>
    <t>ROY DOLINO BENDANILLO</t>
  </si>
  <si>
    <t>BERNARD MALINGTAY PEPE</t>
  </si>
  <si>
    <t>Rafael J Oreta</t>
  </si>
  <si>
    <t>EVELYN NALAUNAN DALISAY</t>
  </si>
  <si>
    <t>Ronald L Castigador</t>
  </si>
  <si>
    <t>Ricardo E Erazo</t>
  </si>
  <si>
    <t>Freddie Uraga Villajuan</t>
  </si>
  <si>
    <t>Jacinto Guerta Ederosas</t>
  </si>
  <si>
    <t>Ferdinand Fadriquelan Falceso</t>
  </si>
  <si>
    <t>Josephine Pura Cochico</t>
  </si>
  <si>
    <t>Hilaria Estoquia Hora</t>
  </si>
  <si>
    <t>Ma. Cela Genio De Guzman</t>
  </si>
  <si>
    <t>Virginia D. Balderas</t>
  </si>
  <si>
    <t>Mamerto Alcanzarin Portillo</t>
  </si>
  <si>
    <t>Delmor De Vera Pascual</t>
  </si>
  <si>
    <t>Alden  Alvarez</t>
  </si>
  <si>
    <t>Carmencito Omondang Pelaez</t>
  </si>
  <si>
    <t>LEILANI  AGUILA  PREGELLANA</t>
  </si>
  <si>
    <t>DOMINGO PINTANG</t>
  </si>
  <si>
    <t>Armont C Pecina</t>
  </si>
  <si>
    <t>MA. DIVINA  L.  FAMULARCANO</t>
  </si>
  <si>
    <t>Julie Ann Dizon Malig</t>
  </si>
  <si>
    <t>Benjamin T. Manalili III</t>
  </si>
  <si>
    <t>NOEL RYAN H. UY</t>
  </si>
  <si>
    <t>Teresa A. Macapanas</t>
  </si>
  <si>
    <t>Thea Joy Tabanao Conrada</t>
  </si>
  <si>
    <t>MERLOBEL O. NAVALES</t>
  </si>
  <si>
    <t>Veronica Samsam Macadangdang</t>
  </si>
  <si>
    <t>Cris Balansag Sardane</t>
  </si>
  <si>
    <t>Maria Teresa M. Silva</t>
  </si>
  <si>
    <t>Ma. Providencia P Dizon</t>
  </si>
  <si>
    <t>Benito Soriano Montano</t>
  </si>
  <si>
    <t>Erwin Mendoza Punzalan</t>
  </si>
  <si>
    <t>NONIELYN CABRERA RONQUILLO</t>
  </si>
  <si>
    <t>ABETH JOSE BUENTIPO BARBA</t>
  </si>
  <si>
    <t>Anselmo Baldoza Mano</t>
  </si>
  <si>
    <t>RICHARD ANQUILLANO TABANIAG</t>
  </si>
  <si>
    <t>Romeo Jr. S Yacan</t>
  </si>
  <si>
    <t>DEN AGUILAR LUCINO</t>
  </si>
  <si>
    <t>Daril Estaniel G. Dimaangay</t>
  </si>
  <si>
    <t>Caren N. Songcuya</t>
  </si>
  <si>
    <t>Ronald Merin</t>
  </si>
  <si>
    <t>Mark Jayson R. Carabido</t>
  </si>
  <si>
    <t>Giena G. Ramos</t>
  </si>
  <si>
    <t>Jose Ablay Alvarez</t>
  </si>
  <si>
    <t>NESTOR T TELIN</t>
  </si>
  <si>
    <t>MARIVIC BINAG CORTEZ</t>
  </si>
  <si>
    <t>Everose  Rama  Siglos</t>
  </si>
  <si>
    <t>EDISON ALPARAN LORIAGA</t>
  </si>
  <si>
    <t>Geminina Callada Fernando</t>
  </si>
  <si>
    <t>LUZ  CUDAl DURANO</t>
  </si>
  <si>
    <t>Jay-R Palines Carpio</t>
  </si>
  <si>
    <t>ALLAN ELIEZER M. MAL-IN</t>
  </si>
  <si>
    <t>Asnawi Ramos Dalidig</t>
  </si>
  <si>
    <t>JONATHAN T. BANSIGAN</t>
  </si>
  <si>
    <t>BENMAR E. TUBEO</t>
  </si>
  <si>
    <t>MARLOU BALLESTEROS YADAO</t>
  </si>
  <si>
    <t>Elaine Bumanghat Immotna</t>
  </si>
  <si>
    <t>margie celemen africa</t>
  </si>
  <si>
    <t>Ma. Asherine Noscal Atienza</t>
  </si>
  <si>
    <t>Marites A. Bermal</t>
  </si>
  <si>
    <t>Jonas O. Berto</t>
  </si>
  <si>
    <t>Hero Francis Cahiles Pore</t>
  </si>
  <si>
    <t>Daven O. Herodias</t>
  </si>
  <si>
    <t>Resette Hernandez Razon</t>
  </si>
  <si>
    <t>Reynaldo F. Margelino Jr.</t>
  </si>
  <si>
    <t>Preciosa  Acojedo  Cabintoy</t>
  </si>
  <si>
    <t>LAILA  BAGANG  RONQUILLO</t>
  </si>
  <si>
    <t>Renato S. Galang</t>
  </si>
  <si>
    <t>Ines Goden Lanzaderas</t>
  </si>
  <si>
    <t>Rosana Tee Rogando</t>
  </si>
  <si>
    <t>Melba Macarilay Camacam</t>
  </si>
  <si>
    <t>CHRISTINE PROPONGO CASTOR</t>
  </si>
  <si>
    <t>Poliver L  Tumaneng</t>
  </si>
  <si>
    <t>YOLANDA MARIN GONZALES</t>
  </si>
  <si>
    <t>Lauri Rose Salazar Coquia</t>
  </si>
  <si>
    <t>BENZON TENORIO GERMAN</t>
  </si>
  <si>
    <t>Gil C. Suratos</t>
  </si>
  <si>
    <t>Joel Cabuena Bautista</t>
  </si>
  <si>
    <t>Judea Micah Dialco Carbajosa</t>
  </si>
  <si>
    <t>Lenore Navarro Mora</t>
  </si>
  <si>
    <t>Rusell Gattu Lozano</t>
  </si>
  <si>
    <t>CHARITY L HILARIA</t>
  </si>
  <si>
    <t>arnel mendones moreno</t>
  </si>
  <si>
    <t>Ian Herodito Sy Gutierrez</t>
  </si>
  <si>
    <t>Lito I Balarbar</t>
  </si>
  <si>
    <t>Vincent A Isip</t>
  </si>
  <si>
    <t>LORENA BUDIONGAN AMBA</t>
  </si>
  <si>
    <t>Feliciano Jr. Maddawin Galupo</t>
  </si>
  <si>
    <t>FELIPE C BETINOL</t>
  </si>
  <si>
    <t>Shiela Cueto Zulueta</t>
  </si>
  <si>
    <t>Maria Concepcion Salcedo Florida</t>
  </si>
  <si>
    <t>Jenifer C. Alcain</t>
  </si>
  <si>
    <t>Leonora Gentica Lee</t>
  </si>
  <si>
    <t>Ludivino Jone Egagamao</t>
  </si>
  <si>
    <t>Norina L. David</t>
  </si>
  <si>
    <t>Jolina Bonleon Vital</t>
  </si>
  <si>
    <t>ANGELINA RALLOS SOLIANO</t>
  </si>
  <si>
    <t>Charito Santos Fernando</t>
  </si>
  <si>
    <t>Vlademer Villalba Brit</t>
  </si>
  <si>
    <t>GINA LACSARON SERVANO</t>
  </si>
  <si>
    <t>Angelo Senin Bugarin</t>
  </si>
  <si>
    <t>Corazon O. Julian</t>
  </si>
  <si>
    <t>Joel M Ariones</t>
  </si>
  <si>
    <t>Mylene Giselle C. Catbagan</t>
  </si>
  <si>
    <t>JUANCHO PUNZALAN GATDULA</t>
  </si>
  <si>
    <t>Noel Aguillon Salvan</t>
  </si>
  <si>
    <t>CECILIA NAVARRO CALDERON</t>
  </si>
  <si>
    <t>Jeffrey Ross Mendoza Navarro</t>
  </si>
  <si>
    <t>CHARYMELLE O FORONDA</t>
  </si>
  <si>
    <t>Ignacio, Jr. G Gelacio</t>
  </si>
  <si>
    <t>Emilyn Galicia Magracia</t>
  </si>
  <si>
    <t>Marlon Delovino Cayaban</t>
  </si>
  <si>
    <t>Edmund  A.  Collado</t>
  </si>
  <si>
    <t>Rosanna P. Lucero</t>
  </si>
  <si>
    <t>Lealoraine A. Gomez</t>
  </si>
  <si>
    <t>Aaron John Reyes Liwag</t>
  </si>
  <si>
    <t>Ana Marie L. Tayag</t>
  </si>
  <si>
    <t>JEANNE V. BAUZON</t>
  </si>
  <si>
    <t>Arjay Caballero Dimafelix</t>
  </si>
  <si>
    <t>ALLAN MORALES ROJO</t>
  </si>
  <si>
    <t>ROSMENDO CARDINEZ BONGOCAN, JR.</t>
  </si>
  <si>
    <t>Marjorie Guiao Vitug</t>
  </si>
  <si>
    <t>LEODEGARIO, JR. ALAYON LABAO</t>
  </si>
  <si>
    <t>JASMIN R LACUNA</t>
  </si>
  <si>
    <t>Rosalito R De Roda</t>
  </si>
  <si>
    <t>JURIS CARINA PALOMO LUGO</t>
  </si>
  <si>
    <t>JENELYN DALANGIN</t>
  </si>
  <si>
    <t>Lenie Morales Adriano</t>
  </si>
  <si>
    <t>Ma. Victoria Tejedor</t>
  </si>
  <si>
    <t>Dudeo C. Galeon</t>
  </si>
  <si>
    <t>Melinda D Deyto</t>
  </si>
  <si>
    <t>Linalyn Tolentino - Cueto</t>
  </si>
  <si>
    <t>Nilo Jongco Sendrijas</t>
  </si>
  <si>
    <t>Racquel Magbago Montero</t>
  </si>
  <si>
    <t>ARLYN TABARRA</t>
  </si>
  <si>
    <t>JULLIAN KYLE GONZAGA SAN MATEO</t>
  </si>
  <si>
    <t>May Grace Alvaro Palicdon</t>
  </si>
  <si>
    <t>Mylene Alba</t>
  </si>
  <si>
    <t>MARIA ELINOR F. HEMEDES</t>
  </si>
  <si>
    <t>Alan C. Santos</t>
  </si>
  <si>
    <t>Manuel Perez Delica</t>
  </si>
  <si>
    <t>Janet D Flores</t>
  </si>
  <si>
    <t>JOHN CHRISTIAN MANAGAD SIOCO</t>
  </si>
  <si>
    <t>Raul Hawod Belleza</t>
  </si>
  <si>
    <t>Eric P Cabauatan</t>
  </si>
  <si>
    <t>Ethel Joy Domingo Invencion</t>
  </si>
  <si>
    <t>Jose Albert A Barrogo</t>
  </si>
  <si>
    <t>Rosario Corazon  Sison  Abara</t>
  </si>
  <si>
    <t>Mir-i-nisa S Carbonell</t>
  </si>
  <si>
    <t>KHAD M LAYAG</t>
  </si>
  <si>
    <t>Cecilia Notario Jumawan</t>
  </si>
  <si>
    <t>Shirley L De Guzman</t>
  </si>
  <si>
    <t>Erlie A. Mallari</t>
  </si>
  <si>
    <t>Rona Mae Casil Alegarbes</t>
  </si>
  <si>
    <t>Sharon  G.  Umbaad</t>
  </si>
  <si>
    <t>RICHELLE GONZALES ENRIQUEZ</t>
  </si>
  <si>
    <t>Renato Operario Paligutan</t>
  </si>
  <si>
    <t>JONATHAN JOSE CERENO CALDERON</t>
  </si>
  <si>
    <t>Herbert Bernadas</t>
  </si>
  <si>
    <t>Venus Cocson Flojo</t>
  </si>
  <si>
    <t>Lovely Shirley Meguines Algodon</t>
  </si>
  <si>
    <t>Fidelino R Alegre</t>
  </si>
  <si>
    <t>RODIL JR TABETA NAVARRO</t>
  </si>
  <si>
    <t>Jeffin Dick M Vidal</t>
  </si>
  <si>
    <t>Emelyn Bernadas Macapagal</t>
  </si>
  <si>
    <t>Edna C. Padayao</t>
  </si>
  <si>
    <t>Jimmy M Magnaye</t>
  </si>
  <si>
    <t>Edwin G. Yuson</t>
  </si>
  <si>
    <t>Regina S. Valdez</t>
  </si>
  <si>
    <t>JANE SALES DE GUZMAN</t>
  </si>
  <si>
    <t>Rogel M De la Cuesta</t>
  </si>
  <si>
    <t>Anne Nicole Cabiles</t>
  </si>
  <si>
    <t>Cherry Jane Quijano Lompon</t>
  </si>
  <si>
    <t>Michael Cunanan Obaña</t>
  </si>
  <si>
    <t>Juneil L. Amarela</t>
  </si>
  <si>
    <t>Nimfa Mendoza Derada</t>
  </si>
  <si>
    <t>WENDA PEDEROSO</t>
  </si>
  <si>
    <t>CLARO SENTINA SERVENTO</t>
  </si>
  <si>
    <t>Rose Golpio Dela Cruz</t>
  </si>
  <si>
    <t>Rogelito Dumaicos Urbiztondo</t>
  </si>
  <si>
    <t>DESSA MAY V. VILORIA</t>
  </si>
  <si>
    <t>Janelle B Rosete</t>
  </si>
  <si>
    <t>Dennis H. Dino</t>
  </si>
  <si>
    <t>IRISH A TORINO</t>
  </si>
  <si>
    <t>Jeesson D Alamar</t>
  </si>
  <si>
    <t>Priscilla A Hernandez</t>
  </si>
  <si>
    <t>Melinda Tariman Brutas</t>
  </si>
  <si>
    <t>Franklin Aquino Salcedo</t>
  </si>
  <si>
    <t>Freddie Oben Tomines</t>
  </si>
  <si>
    <t>HEDELISA  PELOLA  MANINGO</t>
  </si>
  <si>
    <t>Catalina Garcia Yalung</t>
  </si>
  <si>
    <t>NIEVES HOSENA FIGUEROA</t>
  </si>
  <si>
    <t>Roldan Sr Mayonila Sison</t>
  </si>
  <si>
    <t>FOR. ROMERO F NAVAJA, MGA, REB.</t>
  </si>
  <si>
    <t>ROCHELLE LAMADORA GENORING</t>
  </si>
  <si>
    <t>Randy lomongsod colot</t>
  </si>
  <si>
    <t>Lucila Lucido</t>
  </si>
  <si>
    <t>Rodolfo Bitaga Gaboten</t>
  </si>
  <si>
    <t>Felicisimo Villarico Wenceslao Jr.</t>
  </si>
  <si>
    <t>Bernardo Jr Natividad Nasis</t>
  </si>
  <si>
    <t>MOISES L PECAYO</t>
  </si>
  <si>
    <t>NIÑO L. SUSA</t>
  </si>
  <si>
    <t>Mary Jacquiline Ceballos Elid</t>
  </si>
  <si>
    <t>Atlea B. Buyuccan</t>
  </si>
  <si>
    <t>Mariole Bulat-ag Ramirez</t>
  </si>
  <si>
    <t>Shirley Cua San Luis</t>
  </si>
  <si>
    <t>Almae  Villarmia Arquiza</t>
  </si>
  <si>
    <t>Bernard Bordon Delos Reyes</t>
  </si>
  <si>
    <t>Eunice Pilapil Narbonita</t>
  </si>
  <si>
    <t>Dexter C. Lingbanan</t>
  </si>
  <si>
    <t>Israel Pilarca Quinco</t>
  </si>
  <si>
    <t>Leilynn P Edar</t>
  </si>
  <si>
    <t>Dominic Adriano</t>
  </si>
  <si>
    <t>Percival Ricafrente Taniegra</t>
  </si>
  <si>
    <t>Rainie John B. Tubigan</t>
  </si>
  <si>
    <t>SHYREL ARCHE ALEGRE</t>
  </si>
  <si>
    <t>Sheila Paraiso Estrellanes</t>
  </si>
  <si>
    <t>DANIEL, JR. ALBERTO BAUTISTA</t>
  </si>
  <si>
    <t>GINA R ASULA</t>
  </si>
  <si>
    <t>Teresita L. Vitug</t>
  </si>
  <si>
    <t>FELMA M. DEZA</t>
  </si>
  <si>
    <t>DIVINA TANEDO MANINANG</t>
  </si>
  <si>
    <t>Caroline Tubongbanua Bucita</t>
  </si>
  <si>
    <t>Lamberto Santos Ramos</t>
  </si>
  <si>
    <t>Maricor Melorin Carbonilla</t>
  </si>
  <si>
    <t>Benjie Burato Nierre</t>
  </si>
  <si>
    <t>ABDULRAHMAN MACASILANG ULAMA</t>
  </si>
  <si>
    <t>Hilario Jr. Manangan Olivo</t>
  </si>
  <si>
    <t>Frencis Panganiban Tiu Rivera</t>
  </si>
  <si>
    <t>Ernesto Jr. David Chua</t>
  </si>
  <si>
    <t>Marilyn N. Ontolan</t>
  </si>
  <si>
    <t>RONNEL B GUNDOY</t>
  </si>
  <si>
    <t>Maribel Afante Nadal</t>
  </si>
  <si>
    <t>Rhonna Regina  Puno</t>
  </si>
  <si>
    <t>Lusdoc, Jr. Peliño Atanacio</t>
  </si>
  <si>
    <t>ROGEL RODRIGUEZ APOSTOL</t>
  </si>
  <si>
    <t>FERNANDO REQUISO CONDIMAN</t>
  </si>
  <si>
    <t>James Beltran</t>
  </si>
  <si>
    <t>JOSE NIRO R NILLASCA</t>
  </si>
  <si>
    <t>Jocelyn P Flores</t>
  </si>
  <si>
    <t>JOEL T. BEHIS</t>
  </si>
  <si>
    <t>Rowena V Ocana</t>
  </si>
  <si>
    <t>Julie Anne Canzon Valencia</t>
  </si>
  <si>
    <t>Leopoldo S Escala</t>
  </si>
  <si>
    <t>Jackson L. Pasamic</t>
  </si>
  <si>
    <t>Vivian M. Cuizon</t>
  </si>
  <si>
    <t>RENALYN BOLIVAR PARREÑO</t>
  </si>
  <si>
    <t>Winilyn Nipales De Leon</t>
  </si>
  <si>
    <t>Ma. Vicenta To Malana</t>
  </si>
  <si>
    <t>EMILY D UGAY</t>
  </si>
  <si>
    <t>Rowena Gascon Abad</t>
  </si>
  <si>
    <t>Nemesio M. Frigillana</t>
  </si>
  <si>
    <t>Elnora Toledo Lariza</t>
  </si>
  <si>
    <t>Kinverly Ledsey Yan</t>
  </si>
  <si>
    <t>Roy Arimado Lunas</t>
  </si>
  <si>
    <t>SARAH T. TRINIDAD</t>
  </si>
  <si>
    <t>Mathew P. Opeña</t>
  </si>
  <si>
    <t>Margie A Calar</t>
  </si>
  <si>
    <t>Helen A. Cabarles</t>
  </si>
  <si>
    <t>Edgar Banzuela Balidoy</t>
  </si>
  <si>
    <t>John Jose T Tabligan</t>
  </si>
  <si>
    <t>MOISES D. LABIAN, JR, PhD, CESO VI</t>
  </si>
  <si>
    <t>NATHANIEL B. GERTOS</t>
  </si>
  <si>
    <t>SHERLITA ABAYAN DEL MUNDO</t>
  </si>
  <si>
    <t>Edna Cabunoc Sison</t>
  </si>
  <si>
    <t>Marfen Guinmapang Corvera</t>
  </si>
  <si>
    <t>Alain Richard Diaz Rosales</t>
  </si>
  <si>
    <t xml:space="preserve">MARK JOSEPH G.  IDULSA   </t>
  </si>
  <si>
    <t>Gigi Niog Fatingana</t>
  </si>
  <si>
    <t>Editha D. Cruz</t>
  </si>
  <si>
    <t>Kaicelyn Dizon Gallano</t>
  </si>
  <si>
    <t>JOHN REY JERAO PEREZ</t>
  </si>
  <si>
    <t>Liberty Cepeda Omadio</t>
  </si>
  <si>
    <t>Edson L. Salvador</t>
  </si>
  <si>
    <t>Ernesto R. Arandia</t>
  </si>
  <si>
    <t>Me-Ann Dionio Boncajes</t>
  </si>
  <si>
    <t>Renimfa Cabiles</t>
  </si>
  <si>
    <t>Rowella Aloguin Vasquez</t>
  </si>
  <si>
    <t>Vennis Mari Verzosa Ban</t>
  </si>
  <si>
    <t>Richly A. Tagbacaula</t>
  </si>
  <si>
    <t>Christine Bernadette Jimenez Biteño</t>
  </si>
  <si>
    <t>Christian  Salcedo  Serrano</t>
  </si>
  <si>
    <t>LENI ROCHA RIOFLORIDO</t>
  </si>
  <si>
    <t>Remigio L. Jamilan</t>
  </si>
  <si>
    <t>MARISE A. PONCE</t>
  </si>
  <si>
    <t>Roderick M Tolentino</t>
  </si>
  <si>
    <t>Kim James Ferolino Sombilon</t>
  </si>
  <si>
    <t>MILDRED AUSA DELOS SANTOS</t>
  </si>
  <si>
    <t>WINNIE FREDO MONES SONGCUAN</t>
  </si>
  <si>
    <t>Fidencio Cañete Paranas Jr.</t>
  </si>
  <si>
    <t>FE T. GARCIA</t>
  </si>
  <si>
    <t>Anacleto Morideo Isla</t>
  </si>
  <si>
    <t>LANIE GABITA BELLO</t>
  </si>
  <si>
    <t>CLEOFE TUBA Polido</t>
  </si>
  <si>
    <t>Ameelyn Rivera Coca</t>
  </si>
  <si>
    <t>FRANCISCO JR. SAPON TORNO</t>
  </si>
  <si>
    <t>Jessie L. Amin</t>
  </si>
  <si>
    <t>Maricel Balmes Recio</t>
  </si>
  <si>
    <t>Allan R. Guintapan</t>
  </si>
  <si>
    <t>Florinda Z Babilonia</t>
  </si>
  <si>
    <t>Wilma Martinez</t>
  </si>
  <si>
    <t>Rolando Londonio De Leon</t>
  </si>
  <si>
    <t>Mary Ann Ballerda Rosauro</t>
  </si>
  <si>
    <t>Darlene Sevilla Esmero</t>
  </si>
  <si>
    <t>MARY MEDIATRIX BAYER ARROYO</t>
  </si>
  <si>
    <t>Nida Monares Fuentes</t>
  </si>
  <si>
    <t>Herbie B De Lemios</t>
  </si>
  <si>
    <t>Marissa M. Soriano</t>
  </si>
  <si>
    <t>Noel A Sillan</t>
  </si>
  <si>
    <t>Raquel Gonzales De Jesus</t>
  </si>
  <si>
    <t>NOLI SALUTIN LACHICA</t>
  </si>
  <si>
    <t>MA. TERESA RIZA P. DE LUNA</t>
  </si>
  <si>
    <t>SATUR CALUBANDI PAYANGDO</t>
  </si>
  <si>
    <t>EVAN V. PUYOS</t>
  </si>
  <si>
    <t>ZENAIDA Q. MANANSALA</t>
  </si>
  <si>
    <t>INFA DARAS  SINOY</t>
  </si>
  <si>
    <t>JERUFFABELLE ARZADON BAUYON</t>
  </si>
  <si>
    <t>Nemesio H Davalos</t>
  </si>
  <si>
    <t>Jan Carlo Bucayan Palugod</t>
  </si>
  <si>
    <t>Adrian Magcamit Aguilar</t>
  </si>
  <si>
    <t>Mericris Omahoy Napone</t>
  </si>
  <si>
    <t>MICHELLE DE GUIA MALLORCA</t>
  </si>
  <si>
    <t>Norman Jay B. Alvarado</t>
  </si>
  <si>
    <t>CRISALDO T MERCADER</t>
  </si>
  <si>
    <t>Teresita Guillermo</t>
  </si>
  <si>
    <t>Pedro O. Mulawin</t>
  </si>
  <si>
    <t>Pamela Sosa</t>
  </si>
  <si>
    <t>Lyra M Supetran</t>
  </si>
  <si>
    <t>arnold tapicul torres</t>
  </si>
  <si>
    <t>Annavie Bacomo Lapitan</t>
  </si>
  <si>
    <t>XANTHI ROMEILLA J VALLECER</t>
  </si>
  <si>
    <t>Wilson Merle Lopez</t>
  </si>
  <si>
    <t>corazon delos santos galaraga</t>
  </si>
  <si>
    <t>Lysel Miraflor Pormento</t>
  </si>
  <si>
    <t>Arjay Louie Eu B. Cuanan</t>
  </si>
  <si>
    <t>ROWEN BACUD TAPEC</t>
  </si>
  <si>
    <t>Ma. Carlota Supillo Baral</t>
  </si>
  <si>
    <t>Richard Pornorlles Say-a</t>
  </si>
  <si>
    <t>Christine C. Santos</t>
  </si>
  <si>
    <t>Jesamine M. Mendi</t>
  </si>
  <si>
    <t>Donnabel Manzano Justo</t>
  </si>
  <si>
    <t>Amelita Q. Tuyak</t>
  </si>
  <si>
    <t>Alexander  Alejo  Calucag</t>
  </si>
  <si>
    <t>JOSEPH M CANDAVA</t>
  </si>
  <si>
    <t>Patrick Orines Gonzales</t>
  </si>
  <si>
    <t>Jose Marie Ortiz Canlapan</t>
  </si>
  <si>
    <t>Jeffrey Justin T. Talisic</t>
  </si>
  <si>
    <t>Celestino D. Boldo</t>
  </si>
  <si>
    <t>Anna Liza L. Dela Cruz</t>
  </si>
  <si>
    <t>MARIA GRACIA  PATRON  DELA RAMA</t>
  </si>
  <si>
    <t>KAREN KAY ANNE RECIDO</t>
  </si>
  <si>
    <t>Noel I Yatco</t>
  </si>
  <si>
    <t>Joseph Clarence D Valero</t>
  </si>
  <si>
    <t>Aurora M. Monjardin</t>
  </si>
  <si>
    <t>Edgar Bumanglag Llapitan</t>
  </si>
  <si>
    <t>LEANDRO C. CANLAS</t>
  </si>
  <si>
    <t>Via Rose Octavio Joquino</t>
  </si>
  <si>
    <t>Sam Tismo</t>
  </si>
  <si>
    <t>JARRATUL  SABARA  RADJID</t>
  </si>
  <si>
    <t>EDWIN  D.  DIMAANO</t>
  </si>
  <si>
    <t>EDGAR C. NAJERA</t>
  </si>
  <si>
    <t>EDEM D. ABONITALLA</t>
  </si>
  <si>
    <t>Lea Cachila Munez</t>
  </si>
  <si>
    <t>Victoria  L.  Concha</t>
  </si>
  <si>
    <t>Honey Sahara Bautista Aleman</t>
  </si>
  <si>
    <t>Geremie Noble Tajada</t>
  </si>
  <si>
    <t>KAREN  M. MAGSALIN</t>
  </si>
  <si>
    <t>Ma. Charlene Cadiz</t>
  </si>
  <si>
    <t>Conrado C De Vera</t>
  </si>
  <si>
    <t>Larney F. Marasigan</t>
  </si>
  <si>
    <t>IMELDA MATIBAG ABARINTOS</t>
  </si>
  <si>
    <t>Warlie Balanay Agbunag</t>
  </si>
  <si>
    <t>Phil V. Morano</t>
  </si>
  <si>
    <t>Jhon Cermino Padernal</t>
  </si>
  <si>
    <t>RONALD M. PERALTA</t>
  </si>
  <si>
    <t>Mary Grace A Dela Cruz</t>
  </si>
  <si>
    <t>Mary Jofel C Santelices</t>
  </si>
  <si>
    <t>Jasmine O Miro</t>
  </si>
  <si>
    <t>Maria Dolores C Prado</t>
  </si>
  <si>
    <t>Melany Trinanes</t>
  </si>
  <si>
    <t>Marjorie Sanaga Cabang</t>
  </si>
  <si>
    <t>HARVEY MOSENDE LOPEGA</t>
  </si>
  <si>
    <t>Blesilda P. Makabali</t>
  </si>
  <si>
    <t>Gemzi Janz Acupan Dimacisil</t>
  </si>
  <si>
    <t>Melchor Garcia Gonzaga</t>
  </si>
  <si>
    <t>Cayylord D. Niala</t>
  </si>
  <si>
    <t>Bernardina Menzon Juarez</t>
  </si>
  <si>
    <t>MELAGROS  K.  FIDEL</t>
  </si>
  <si>
    <t>Ivy Dela Cruz Rugas</t>
  </si>
  <si>
    <t>Rosalie C Obena</t>
  </si>
  <si>
    <t>MAR JOHN ALEGRIA TANAYA</t>
  </si>
  <si>
    <t>Roberto P. Ventura</t>
  </si>
  <si>
    <t>ANNIE  MORALES  ABA</t>
  </si>
  <si>
    <t>Vannesa Bianca Garcia</t>
  </si>
  <si>
    <t>EVELYN EVANGELISTA OCAMPO</t>
  </si>
  <si>
    <t>Ronnel Nicolas De Guzman</t>
  </si>
  <si>
    <t>Elmira Momo</t>
  </si>
  <si>
    <t>Rodolfo Obligacion Estrella, Jr.</t>
  </si>
  <si>
    <t>Jerlyn G. Peter</t>
  </si>
  <si>
    <t>Marissa G. Quijano</t>
  </si>
  <si>
    <t>Rowena Fontilo Gutierrez</t>
  </si>
  <si>
    <t>RACHELLE ALANO CRON</t>
  </si>
  <si>
    <t>FELY MELENDRES NICOLASORA</t>
  </si>
  <si>
    <t>Orlando Bartolome Enderez</t>
  </si>
  <si>
    <t>JANET ARELLANO MONTEVERDE</t>
  </si>
  <si>
    <t>Ana Marie  A.  Medina</t>
  </si>
  <si>
    <t>Ailleen Melody Enguerra Alya-On</t>
  </si>
  <si>
    <t>JOSEPHINE G PEREA</t>
  </si>
  <si>
    <t xml:space="preserve">Mary Grace B. Redondo </t>
  </si>
  <si>
    <t>KAREN SOSMEÑA TENEBRO</t>
  </si>
  <si>
    <t>Joel B. Elloso</t>
  </si>
  <si>
    <t>Janice Benlot Aglanao</t>
  </si>
  <si>
    <t>Susan Macalaguing Saa</t>
  </si>
  <si>
    <t>Alex P. Pana</t>
  </si>
  <si>
    <t>JANE MACATANGAY LUCE</t>
  </si>
  <si>
    <t>Andrew Ian Bulda Dormitorio</t>
  </si>
  <si>
    <t>ERWIN A. ESPINAS</t>
  </si>
  <si>
    <t>Marilou Hebres Gonzales</t>
  </si>
  <si>
    <t>Clemen Gio Reagan</t>
  </si>
  <si>
    <t>Xanthi Romeilla Jalon Vallicer</t>
  </si>
  <si>
    <t>ROMER LOREZCA</t>
  </si>
  <si>
    <t>Jose Nolito Castor Tomulto</t>
  </si>
  <si>
    <t>Jose R Cornelio, Jr.</t>
  </si>
  <si>
    <t>Angelica E. Nerpio</t>
  </si>
  <si>
    <t>ARNEL CRIZALDO CAPILA</t>
  </si>
  <si>
    <t>ROSALINDA TAPIA LONZAGA</t>
  </si>
  <si>
    <t>ERLINDA F. MANIPON</t>
  </si>
  <si>
    <t>Cheryl Escoro Ortiz</t>
  </si>
  <si>
    <t>Jose Alvin Sumpay Mijares</t>
  </si>
  <si>
    <t>Mary Joy S Altarez</t>
  </si>
  <si>
    <t>Judilyn S Quiachon</t>
  </si>
  <si>
    <t>Merlinda P. Maata</t>
  </si>
  <si>
    <t>Franklin Tubiera Toledana</t>
  </si>
  <si>
    <t>Dennis Tono Ventilacion</t>
  </si>
  <si>
    <t>Ma. Marites A Cabral</t>
  </si>
  <si>
    <t>Ma. Theresa Garcia Labo</t>
  </si>
  <si>
    <t>Ana Suzette Limguis Moreño</t>
  </si>
  <si>
    <t>Nemensio T Benoza</t>
  </si>
  <si>
    <t>Aaron Joshua L. Reyes</t>
  </si>
  <si>
    <t>PRUDENCIO EGSAN NOCELO, JR.</t>
  </si>
  <si>
    <t>Engr. Joel Antonio</t>
  </si>
  <si>
    <t>ELEANOR YANTO CABANGON</t>
  </si>
  <si>
    <t>SHERLITA ARIÑO PALMA</t>
  </si>
  <si>
    <t>MARVIN E. LUCENA</t>
  </si>
  <si>
    <t>Carmilo E Monterona</t>
  </si>
  <si>
    <t>Alexander A Balmes</t>
  </si>
  <si>
    <t>Liza Galota Suminguit</t>
  </si>
  <si>
    <t>ALFREDO M. BUGAN</t>
  </si>
  <si>
    <t>Marites Costales</t>
  </si>
  <si>
    <t>PABLITO JR. BELTRAN SUNGA</t>
  </si>
  <si>
    <t>Gerardo B. Beluan</t>
  </si>
  <si>
    <t>Darlina Fojas Falceso</t>
  </si>
  <si>
    <t>JAIME G. JALON</t>
  </si>
  <si>
    <t>Nenita Crisostomo Flores</t>
  </si>
  <si>
    <t>Julius C. Cerbo</t>
  </si>
  <si>
    <t>NERISSA MACANAS GELIG</t>
  </si>
  <si>
    <t>MARIANITO F GALAPON, JR.</t>
  </si>
  <si>
    <t>ROSELLER CABATINGAN AMOR</t>
  </si>
  <si>
    <t>Mark Lester Guillano Sim</t>
  </si>
  <si>
    <t>Wilma Godio</t>
  </si>
  <si>
    <t>Robert M Valles</t>
  </si>
  <si>
    <t>Wilbert Dator Elloso</t>
  </si>
  <si>
    <t>Rodrigo Sr. G. Endozo</t>
  </si>
  <si>
    <t>Ma. Gift Taganile Tan</t>
  </si>
  <si>
    <t>GIE-ANN HUBAHIB</t>
  </si>
  <si>
    <t>Jossie Yamit Taladua</t>
  </si>
  <si>
    <t>Marilyn Cruz Santella</t>
  </si>
  <si>
    <t>NIÑO ROSANA TIAMA</t>
  </si>
  <si>
    <t>Juanita Maratas Borinaga</t>
  </si>
  <si>
    <t>Sonny Nebreja Marino</t>
  </si>
  <si>
    <t>Shirley Agustin Espanillo</t>
  </si>
  <si>
    <t>Arnold Patulot</t>
  </si>
  <si>
    <t>FRANCES SHANELLE GENERATO SALINAS</t>
  </si>
  <si>
    <t>Cynthia Virtucio Hernandez</t>
  </si>
  <si>
    <t>Rey R. Fausto</t>
  </si>
  <si>
    <t>Roy Anthony Caterial Madroñal</t>
  </si>
  <si>
    <t>Aleli Arconado Locsin</t>
  </si>
  <si>
    <t>Eden F Borja</t>
  </si>
  <si>
    <t>Ermintrude Diaz Gonzales</t>
  </si>
  <si>
    <t>Elisa Dela Cruz Bautista</t>
  </si>
  <si>
    <t>Eugene Jr. I. Macahis</t>
  </si>
  <si>
    <t>HERIBERTO AROCENA TOMAS</t>
  </si>
  <si>
    <t>Romarico J. Deona</t>
  </si>
  <si>
    <t>Carlito Morales Boiser</t>
  </si>
  <si>
    <t xml:space="preserve">JEFFERSON  THOMPSON RODRIGUEZ </t>
  </si>
  <si>
    <t>Cliftone Kiteng Bangse-il</t>
  </si>
  <si>
    <t>FERNANDO S PALITAYAN</t>
  </si>
  <si>
    <t>NORBERTO , JR LUCASAN TALIDONG</t>
  </si>
  <si>
    <t>james berlin H. escaner</t>
  </si>
  <si>
    <t>Dominador N Castañeto Jr.</t>
  </si>
  <si>
    <t>Hazel Bancale Dacillo</t>
  </si>
  <si>
    <t>Randy Falcis Cabanillas</t>
  </si>
  <si>
    <t>ANASTACIO H. NUÑEZ, III</t>
  </si>
  <si>
    <t>Enrico Magboo Dalangin</t>
  </si>
  <si>
    <t>Raul Ermoneta</t>
  </si>
  <si>
    <t>Marilyn Aparri</t>
  </si>
  <si>
    <t>Rodelito La Fuente Dacup</t>
  </si>
  <si>
    <t>RENATO D. IGNACIO</t>
  </si>
  <si>
    <t>Karen Naz Dellosa</t>
  </si>
  <si>
    <t>Janet Tagpis Santos</t>
  </si>
  <si>
    <t>Joseph Aldrin De Silva Magtanong</t>
  </si>
  <si>
    <t>Michelle Escalada Monteclaro</t>
  </si>
  <si>
    <t>JUANITO ORATA APOSTOL,JR.</t>
  </si>
  <si>
    <t>Marietta Maata Cortes</t>
  </si>
  <si>
    <t>Vernalyn  G.  Clemeña</t>
  </si>
  <si>
    <t>MARIA ANNA NOLASCO SINOGBA</t>
  </si>
  <si>
    <t>Violy Jane Jalandoni Flores</t>
  </si>
  <si>
    <t>Anthony A. Ferrolino</t>
  </si>
  <si>
    <t>Laurence Bryan R. Malana</t>
  </si>
  <si>
    <t>Jamaica B. Balubal</t>
  </si>
  <si>
    <t>Pablo, Jr. M Magpily</t>
  </si>
  <si>
    <t>Marciano Macalindong Dimaandal</t>
  </si>
  <si>
    <t>JEFFREY TABUCO KHO</t>
  </si>
  <si>
    <t>Ivy Joy L. Castro</t>
  </si>
  <si>
    <t>SOTERO JR. FAVILA LOMIGO</t>
  </si>
  <si>
    <t>JAYLYN PAGUD BABIERA</t>
  </si>
  <si>
    <t>Abigail Tabadero Alemania</t>
  </si>
  <si>
    <t>Mylene T. Famoso</t>
  </si>
  <si>
    <t>Dominga M de Ramos</t>
  </si>
  <si>
    <t>ARCENIO S. MAGNO</t>
  </si>
  <si>
    <t>Mark Lawrence Hiceta Pleyto</t>
  </si>
  <si>
    <t>RAY PAROJINOG VIRTUDEZ</t>
  </si>
  <si>
    <t>Kapelhoff Arcangel Quidang</t>
  </si>
  <si>
    <t>Mary Ann Jacaba Hambre</t>
  </si>
  <si>
    <t>Wilma G. Udalve</t>
  </si>
  <si>
    <t>Blas V. Lamug Jr.</t>
  </si>
  <si>
    <t>JOEL MERCADO MALIGAYA</t>
  </si>
  <si>
    <t>Lea E Barcebal</t>
  </si>
  <si>
    <t>Hilarry Amigable Singalivo</t>
  </si>
  <si>
    <t>Elvis Ragadio Soria</t>
  </si>
  <si>
    <t>Virginia Jacob Cañaveras</t>
  </si>
  <si>
    <t>Lolita M. Jumalon</t>
  </si>
  <si>
    <t>FREDDIE C. BENDULO</t>
  </si>
  <si>
    <t>LORNA ALUNAN DELA PEÑA</t>
  </si>
  <si>
    <t>Ruel Capucao de Loyola</t>
  </si>
  <si>
    <t>Verna Adante Carizo</t>
  </si>
  <si>
    <t>Pat Andrew B. Barrientos</t>
  </si>
  <si>
    <t>CHARONE MICHAL GUERRERO DE CASTRO</t>
  </si>
  <si>
    <t>Emelito Salvador Dela Cruz</t>
  </si>
  <si>
    <t>Marissa Molina Austria</t>
  </si>
  <si>
    <t>Eva I Sombilla</t>
  </si>
  <si>
    <t>Miguelito A. Ogania</t>
  </si>
  <si>
    <t>Cyrus L. Caballero</t>
  </si>
  <si>
    <t>JOSE CABASAGAN CHAN</t>
  </si>
  <si>
    <t>Rogelio J. Villaqa</t>
  </si>
  <si>
    <t>Zeus Sumaylo Lumancas</t>
  </si>
  <si>
    <t>Angel, Jr. S. Ramos</t>
  </si>
  <si>
    <t>Annalyn R. Encomio</t>
  </si>
  <si>
    <t>AMORLITO CABIL LAVIÑA</t>
  </si>
  <si>
    <t>Christian Noel D. Castillo</t>
  </si>
  <si>
    <t>Dan Gerico Lapuebla Bacani</t>
  </si>
  <si>
    <t>JENNIFER CABATINGAN ARIASA</t>
  </si>
  <si>
    <t>Mobarak Patungcal Pandi</t>
  </si>
  <si>
    <t>MA. REINA SIEGA ACEVEDO</t>
  </si>
  <si>
    <t>Jesus aleman zamoras</t>
  </si>
  <si>
    <t>Sheila mae  Alpon  Carpentero</t>
  </si>
  <si>
    <t>Rosemarie Flores Remolador</t>
  </si>
  <si>
    <t>Agnes Buena Agnas</t>
  </si>
  <si>
    <t>Melinda  Mauricio Javier</t>
  </si>
  <si>
    <t>ENGR. NORMAN DIMATATAC</t>
  </si>
  <si>
    <t>Michael Dela Peña Usbal</t>
  </si>
  <si>
    <t>Maria Lourdes E. Dwiggins</t>
  </si>
  <si>
    <t>Jever Catalan Vargas</t>
  </si>
  <si>
    <t>Filma Tulen Maghinay</t>
  </si>
  <si>
    <t>Alger F Lamprea</t>
  </si>
  <si>
    <t>SITTIE ZAILAH AMPASO MINDALANO</t>
  </si>
  <si>
    <t>Teofilo, Jr. Rostata Gervacio</t>
  </si>
  <si>
    <t>Leizle B. Anongos</t>
  </si>
  <si>
    <t>zailene Gonzalgo Langahin</t>
  </si>
  <si>
    <t>Ma. Glysa Frias Rico</t>
  </si>
  <si>
    <t>Elton Gurro Panulaya</t>
  </si>
  <si>
    <t>Ariel E Fangonilo</t>
  </si>
  <si>
    <t>ALBERT GEÑOSO ADLAON</t>
  </si>
  <si>
    <t>Ian Cris Latonio Cadile</t>
  </si>
  <si>
    <t>Marijune Falgome Fabroa</t>
  </si>
  <si>
    <t>Reynaldo J Santiago</t>
  </si>
  <si>
    <t>Lorna Novero Riego</t>
  </si>
  <si>
    <t>Irna Nadayag Mallari</t>
  </si>
  <si>
    <t>Melchor O Quinto</t>
  </si>
  <si>
    <t>Eleanor Obusan Magana</t>
  </si>
  <si>
    <t>Orlando Nator Osorio</t>
  </si>
  <si>
    <t>Nelia Condes Cababa-an</t>
  </si>
  <si>
    <t>GRETCHEN V FLORES</t>
  </si>
  <si>
    <t>LOUIS SAGRADO BOLLOZOS</t>
  </si>
  <si>
    <t>Jerry A. Tango</t>
  </si>
  <si>
    <t>Golda Kimberly M. Fernandez</t>
  </si>
  <si>
    <t>ROSEMARIE SENADOS MIRO</t>
  </si>
  <si>
    <t>Alvin C. delos Santos</t>
  </si>
  <si>
    <t>Gemma Del Mundo Nicolas</t>
  </si>
  <si>
    <t>Michelle M Marcos</t>
  </si>
  <si>
    <t>MARIA LOURDES PEREA TIANGCO</t>
  </si>
  <si>
    <t>Belna M Acobo</t>
  </si>
  <si>
    <t>Florita Tagole Ferolino</t>
  </si>
  <si>
    <t>Virginia Baylon Belarmino</t>
  </si>
  <si>
    <t>Norjanah  M.  Solaiman</t>
  </si>
  <si>
    <t>Teresita S. Ulibas</t>
  </si>
  <si>
    <t>Juanito M Quinto, Jr.</t>
  </si>
  <si>
    <t>Shirly Quinto Isorena</t>
  </si>
  <si>
    <t>Joel Guilao Bucao</t>
  </si>
  <si>
    <t>Lily Saltarin Hermogino</t>
  </si>
  <si>
    <t>Rizaldy Colon Mercadal</t>
  </si>
  <si>
    <t>RODOLFO JR D.  GARCIA</t>
  </si>
  <si>
    <t>JOHN ANTHONY ASPURIA</t>
  </si>
  <si>
    <t>Rogelio Bonifacio Antonio</t>
  </si>
  <si>
    <t>Eva D. Bañares</t>
  </si>
  <si>
    <t>Myrna Badilles Belgado</t>
  </si>
  <si>
    <t>Rodelio Castillo Olazo</t>
  </si>
  <si>
    <t>ERNIE C VILLALUZ</t>
  </si>
  <si>
    <t>Jenny Idiosolo Rosimo</t>
  </si>
  <si>
    <t>Rita De Leon Cunanan</t>
  </si>
  <si>
    <t>HENRY C. DE GUZMAN</t>
  </si>
  <si>
    <t>FRANK F. FANGED</t>
  </si>
  <si>
    <t>JESUS S. PUNZALAN</t>
  </si>
  <si>
    <t>Jesus Rey Serna Cavalida</t>
  </si>
  <si>
    <t>FERNANDO SAGUISAG A. CABRERA</t>
  </si>
  <si>
    <t>Glenn A. Lamag</t>
  </si>
  <si>
    <t>Rosevie Tallera Bartolome</t>
  </si>
  <si>
    <t>Leah Amor Alapo-op Salinas</t>
  </si>
  <si>
    <t>Rhadimir Anthony A Resuello</t>
  </si>
  <si>
    <t>LEVY ARGONZA ANTONIO</t>
  </si>
  <si>
    <t>Nancy S. Callet</t>
  </si>
  <si>
    <t>John Michael G Garcia</t>
  </si>
  <si>
    <t>Myrna  F.  Mandigma</t>
  </si>
  <si>
    <t>Domingo Llave Nace</t>
  </si>
  <si>
    <t>Michael M Bacarisas</t>
  </si>
  <si>
    <t>Mark Jenar A. Marquez</t>
  </si>
  <si>
    <t>Ariel Ardales Buiza</t>
  </si>
  <si>
    <t>Mary Catherine Ibanez</t>
  </si>
  <si>
    <t>Engrid Gayacan</t>
  </si>
  <si>
    <t>Arcangel T. Rodriguez</t>
  </si>
  <si>
    <t>Lucita B. Macoy</t>
  </si>
  <si>
    <t>Roberto Rodriguez Glory</t>
  </si>
  <si>
    <t>WILMA AURELIO IBEA</t>
  </si>
  <si>
    <t>Teresita  Jaudian  Lacorte</t>
  </si>
  <si>
    <t>Josephine Taruc Ocampo</t>
  </si>
  <si>
    <t>PANFILA FEROLINO RIVERA</t>
  </si>
  <si>
    <t>Jumdail Mohamad Kiram</t>
  </si>
  <si>
    <t>Julieta Ilama Sabdani</t>
  </si>
  <si>
    <t>Lucio Berong Cortes</t>
  </si>
  <si>
    <t>Modesto Tolentino Garcia I</t>
  </si>
  <si>
    <t>Lunrey B. Bagor</t>
  </si>
  <si>
    <t>GODFREY ROSALINDA MUSONG</t>
  </si>
  <si>
    <t>EDITHA LOPEZ LARON</t>
  </si>
  <si>
    <t>Raymond Ian Quevedo Conde</t>
  </si>
  <si>
    <t>John Edmar Galang Barairo</t>
  </si>
  <si>
    <t>Darius Brod Delalamon Pelismino</t>
  </si>
  <si>
    <t>Catherine C Padin</t>
  </si>
  <si>
    <t>Veronica M Tafalla</t>
  </si>
  <si>
    <t>Evelyn G Orcajada</t>
  </si>
  <si>
    <t>Mae Dangatan</t>
  </si>
  <si>
    <t>Rosalind Dichoso Bersabe</t>
  </si>
  <si>
    <t>Rodrigo Lagliba Bugawan</t>
  </si>
  <si>
    <t>Maria Cristina  Bides</t>
  </si>
  <si>
    <t>CATHLEEN DUMAOAL</t>
  </si>
  <si>
    <t>Roger Bation Amantiad</t>
  </si>
  <si>
    <t>Vincent Jake E. Castillo</t>
  </si>
  <si>
    <t>FRANCISCO , JR. YGRUBAY LABRAGUE</t>
  </si>
  <si>
    <t>Eleuterio L Blasco</t>
  </si>
  <si>
    <t>SHIRLEY GARGULLO DAVID</t>
  </si>
  <si>
    <t>Rommel S Santos</t>
  </si>
  <si>
    <t>PRUDENCIO L VARELA</t>
  </si>
  <si>
    <t>Jeroen G Resus</t>
  </si>
  <si>
    <t>LINDALE PEPINO SAAVEDRA</t>
  </si>
  <si>
    <t>Ma. Leah Linda Susada Tan</t>
  </si>
  <si>
    <t>Roque I. Verzosa III</t>
  </si>
  <si>
    <t>Freddie Azcarraga Delos Santos</t>
  </si>
  <si>
    <t>Ma.Lourdes Sawan-on Bebillo</t>
  </si>
  <si>
    <t>john mark talde magdaluyo</t>
  </si>
  <si>
    <t>Randolph Mayol Perez</t>
  </si>
  <si>
    <t>Marivic T Saligue</t>
  </si>
  <si>
    <t>Fernando De Guzman Cruz</t>
  </si>
  <si>
    <t>Aniano Salanguit Jr.</t>
  </si>
  <si>
    <t>Elmer Nev C Valenzuela</t>
  </si>
  <si>
    <t>MARIA PAMELA TOLENTINO BACTOL</t>
  </si>
  <si>
    <t>Rosalie Plaza Espinoza</t>
  </si>
  <si>
    <t>Raymund W Salio-an</t>
  </si>
  <si>
    <t>Clarence C Morales</t>
  </si>
  <si>
    <t>Remely Bangloy</t>
  </si>
  <si>
    <t>REYNILDA DORIGA BUNYI</t>
  </si>
  <si>
    <t>Evangeline L Sarlon</t>
  </si>
  <si>
    <t>Joann Guan Bendal</t>
  </si>
  <si>
    <t>MERCEDES M. ALFUERTE</t>
  </si>
  <si>
    <t>Levi Tomon Galdo</t>
  </si>
  <si>
    <t>Donald Glenn M Lanzado</t>
  </si>
  <si>
    <t>Rolito Gonzaga Daguipa</t>
  </si>
  <si>
    <t>Sylvia P. Obera</t>
  </si>
  <si>
    <t>Jonathan B. Guevarra</t>
  </si>
  <si>
    <t>Godofredo P Madariaga</t>
  </si>
  <si>
    <t>Allan G. Farnazo</t>
  </si>
  <si>
    <t>Ma. Teresa  D. Rodriguez</t>
  </si>
  <si>
    <t>Daisy A. Fabileña</t>
  </si>
  <si>
    <t>Bernalou Malsi Malaque</t>
  </si>
  <si>
    <t>Zenaida M Formentera</t>
  </si>
  <si>
    <t>Carlos T Del Rosario</t>
  </si>
  <si>
    <t>Raychelle Ann Capit Aguilar</t>
  </si>
  <si>
    <t>Jennifer Arnaez</t>
  </si>
  <si>
    <t>Giovanni Gose Desabelle</t>
  </si>
  <si>
    <t>Gina R Concon</t>
  </si>
  <si>
    <t>H. Ramadan H.Y Utuali</t>
  </si>
  <si>
    <t>Inocente D Eijansantos</t>
  </si>
  <si>
    <t>John Rey Arota Tomines</t>
  </si>
  <si>
    <t>Jephonie Ganibe Lumansoy</t>
  </si>
  <si>
    <t>Joanne  Marie  Canja</t>
  </si>
  <si>
    <t>Florante O. Enriquez</t>
  </si>
  <si>
    <t>ANTOLIN ALEJO MANUEL</t>
  </si>
  <si>
    <t>Jonathan H Loresca</t>
  </si>
  <si>
    <t>Mario Rey Bernales Donadillo</t>
  </si>
  <si>
    <t>Merlinda D Dante</t>
  </si>
  <si>
    <t>Monera Ferrer Pramis</t>
  </si>
  <si>
    <t>Jonathan S Reyes</t>
  </si>
  <si>
    <t>GINA BATALLER LABE</t>
  </si>
  <si>
    <t>Jeanilyn Gregorio Vicente</t>
  </si>
  <si>
    <t>Florencio Formaran Parcarey</t>
  </si>
  <si>
    <t>HERWIN SUGUITAN BAUTISTA</t>
  </si>
  <si>
    <t>James Cadungon</t>
  </si>
  <si>
    <t>Manuel Jr. S. Cadiente</t>
  </si>
  <si>
    <t>DEISYRIE ENRIQUEZ GANDIA</t>
  </si>
  <si>
    <t>ADRIAN A AÑO</t>
  </si>
  <si>
    <t>JULIETA MIGUEL DOMINGO</t>
  </si>
  <si>
    <t>Meriam M. Sarabillo</t>
  </si>
  <si>
    <t>Cesar Dura Poblacion</t>
  </si>
  <si>
    <t>Mary Rose Capanzana Occidental</t>
  </si>
  <si>
    <t>Domingo E. Llanda</t>
  </si>
  <si>
    <t>Rogel Canico Lopez</t>
  </si>
  <si>
    <t>ELENITA LERIT</t>
  </si>
  <si>
    <t>Joan Dimatulac Gutierrez</t>
  </si>
  <si>
    <t>Ronald Ares Rojas</t>
  </si>
  <si>
    <t>ISAGANI ARBOLEDA JAENA</t>
  </si>
  <si>
    <t>Marijoy Tolentino Jumawid</t>
  </si>
  <si>
    <t>Elizabeth M. Ragaza</t>
  </si>
  <si>
    <t>Romulo Jr Balayo Lamson</t>
  </si>
  <si>
    <t>Dominic Babaran Calimag</t>
  </si>
  <si>
    <t>Kristoffer Callangan Mangussad</t>
  </si>
  <si>
    <t>Mayette Casaysayan</t>
  </si>
  <si>
    <t>SALVE REGINA A. RUERO</t>
  </si>
  <si>
    <t>EUGENIA DE LEON CRUZADO</t>
  </si>
  <si>
    <t>ATTY. ADELITO M. SOLIBAGA, JR.</t>
  </si>
  <si>
    <t>MAYEN YOKO AGUILAR BUZON</t>
  </si>
  <si>
    <t>FREDERICK MENDOZA ORTIZ</t>
  </si>
  <si>
    <t>Jennifer  d Alcantara</t>
  </si>
  <si>
    <t>BAC HINUNDAYAN LGU-Hinundayan, So. Leyte</t>
  </si>
  <si>
    <t>Rosalinda  Cayetano  Magbanua</t>
  </si>
  <si>
    <t>Leonila Santiago De Jesus</t>
  </si>
  <si>
    <t>Christian S. Pelagio</t>
  </si>
  <si>
    <t>Leonisa De Ramon  Romano</t>
  </si>
  <si>
    <t>Luna  Luz Bajamunde Racho</t>
  </si>
  <si>
    <t>Zotico L. Pastelero</t>
  </si>
  <si>
    <t>Apolinario C. Laglagura</t>
  </si>
  <si>
    <t>Edsel Evangelista Espino</t>
  </si>
  <si>
    <t>Melvin Agbayani Agbalog</t>
  </si>
  <si>
    <t>Mayjie Matugas Ardiente</t>
  </si>
  <si>
    <t>WILMA C. BUMAGAT</t>
  </si>
  <si>
    <t>Rosa Mae Inzo Piolo</t>
  </si>
  <si>
    <t>MICHELLE ANN NAVARRO MCARAIG</t>
  </si>
  <si>
    <t>JERRY R CENTRO</t>
  </si>
  <si>
    <t>Leo L. Lapizar</t>
  </si>
  <si>
    <t>GERARDO ULEP GARMA</t>
  </si>
  <si>
    <t>LOURDES P. MENDAROS</t>
  </si>
  <si>
    <t>Rosalie Galang Calma</t>
  </si>
  <si>
    <t>Allan L Mariano</t>
  </si>
  <si>
    <t>Helen B. Olaer</t>
  </si>
  <si>
    <t>MARITES GONZALES BALDOMAN</t>
  </si>
  <si>
    <t>Marilyn Lontoc</t>
  </si>
  <si>
    <t>Marjorie Munar Cabacungan</t>
  </si>
  <si>
    <t>Corazon Martinez Fronda</t>
  </si>
  <si>
    <t>Pedrito B. Abregana</t>
  </si>
  <si>
    <t>Mervin Fuentes Baula</t>
  </si>
  <si>
    <t>Henry D Meling</t>
  </si>
  <si>
    <t>Mary Ann P Halili</t>
  </si>
  <si>
    <t>Marvin T. Dimasaca</t>
  </si>
  <si>
    <t>Cristina Rico Tabunda</t>
  </si>
  <si>
    <t>Karla A. Gencianos</t>
  </si>
  <si>
    <t>Nemia Barradas Monzones</t>
  </si>
  <si>
    <t>Christian Quitoriano Doria</t>
  </si>
  <si>
    <t>ALICIA RENTILLO JUGADO</t>
  </si>
  <si>
    <t>Bernadette F. Ang</t>
  </si>
  <si>
    <t>Fernan Milagrosa Macaraeg</t>
  </si>
  <si>
    <t>Natalie Tinao Caparas</t>
  </si>
  <si>
    <t>Ramon Chito Mejia Terado</t>
  </si>
  <si>
    <t>EMILIANA D. RUSTIA</t>
  </si>
  <si>
    <t>Reynaldo Collado Floria</t>
  </si>
  <si>
    <t>RODEL  M.  ROBLES</t>
  </si>
  <si>
    <t>Melanie Alabat Jalover</t>
  </si>
  <si>
    <t>LEO S. MATIAS</t>
  </si>
  <si>
    <t>Zenaida Sahagun</t>
  </si>
  <si>
    <t>Lucila D De Roxas</t>
  </si>
  <si>
    <t>Alexander M. Almario</t>
  </si>
  <si>
    <t>Rodrhon Michael Espartero Melgar</t>
  </si>
  <si>
    <t>Nelia Verano Alguno</t>
  </si>
  <si>
    <t>Florence Gay Ejercito Dalman</t>
  </si>
  <si>
    <t>Roland Pangilinan Soriano</t>
  </si>
  <si>
    <t>Vilma Marbida Fronda</t>
  </si>
  <si>
    <t>Maria Janine L. Celo</t>
  </si>
  <si>
    <t>ERLINDA ORTIZ BUTCON</t>
  </si>
  <si>
    <t>Jerry  E. Rotas</t>
  </si>
  <si>
    <t>Glenn L Enesio</t>
  </si>
  <si>
    <t>Christopher Bataller Villafria</t>
  </si>
  <si>
    <t>Rey Gamayon</t>
  </si>
  <si>
    <t>Ma. Annalyn S. Nolasco</t>
  </si>
  <si>
    <t>WILBERTO O. CASTILLO</t>
  </si>
  <si>
    <t>Rufina A Guzon</t>
  </si>
  <si>
    <t>PLTCOL AILEEN M ARAÑAS</t>
  </si>
  <si>
    <t>Jose Ramirez Hainto Jr.</t>
  </si>
  <si>
    <t>Mellany Millano Amaranto</t>
  </si>
  <si>
    <t>Lolita D Solis</t>
  </si>
  <si>
    <t>Maribel Lopez Bongar</t>
  </si>
  <si>
    <t>LEONORA GALVADORES HIYAN</t>
  </si>
  <si>
    <t>RICHARD E JOSEPH</t>
  </si>
  <si>
    <t>Elvina M Dotimas</t>
  </si>
  <si>
    <t>Gretchen Q. Nim</t>
  </si>
  <si>
    <t>Chito Nelson O. Eusores</t>
  </si>
  <si>
    <t>Arleen Calderon Tan</t>
  </si>
  <si>
    <t>Romel C Hinahon</t>
  </si>
  <si>
    <t>Zaiton Navarro Sumpo</t>
  </si>
  <si>
    <t>Debielyn B. Santos</t>
  </si>
  <si>
    <t>Danny Familaran Baladjay</t>
  </si>
  <si>
    <t>LYDIA  MABBORANG  CAUAN</t>
  </si>
  <si>
    <t>Arjean Villacorta Jumamoy</t>
  </si>
  <si>
    <t>Mary Dumangeng Baguilat</t>
  </si>
  <si>
    <t>Jingle Repollo Saloma</t>
  </si>
  <si>
    <t>LORNA A BUGAIS</t>
  </si>
  <si>
    <t>FEBIE P. CAPUYAN</t>
  </si>
  <si>
    <t>Zandra Canon Pia</t>
  </si>
  <si>
    <t>jenny rose zapanta egama</t>
  </si>
  <si>
    <t>Merlina Tunggala Macararanga</t>
  </si>
  <si>
    <t>MA. LOURDES V LABACLADO</t>
  </si>
  <si>
    <t>John Moses Bulahan Aposaga</t>
  </si>
  <si>
    <t>MICHELLE ASIS VICENIO</t>
  </si>
  <si>
    <t>JOSELITO T ARAO</t>
  </si>
  <si>
    <t>ANTONIETO F PACAYRA</t>
  </si>
  <si>
    <t>Edelina Baruso Espejo</t>
  </si>
  <si>
    <t>Jenalyn Retuya Ruiz</t>
  </si>
  <si>
    <t>Amparo Suelto Dullente</t>
  </si>
  <si>
    <t>Lucille  I.  Susano</t>
  </si>
  <si>
    <t>Amador Eusebio Judan</t>
  </si>
  <si>
    <t>David M Hernandez Jr.</t>
  </si>
  <si>
    <t>Candido Matutina Dichosa, Jr.</t>
  </si>
  <si>
    <t>Mark Joy Clor Nogaliza</t>
  </si>
  <si>
    <t>Noli U. Guiad</t>
  </si>
  <si>
    <t>ALBERT CUDIA BAUTISTA</t>
  </si>
  <si>
    <t>EMMANUEL R. SACAYAN</t>
  </si>
  <si>
    <t>Glenn Salac Sarador</t>
  </si>
  <si>
    <t>Jorge Ichon</t>
  </si>
  <si>
    <t>Malenche M Sol</t>
  </si>
  <si>
    <t>Mark Daupan Zurita</t>
  </si>
  <si>
    <t>Joel D. Friginal</t>
  </si>
  <si>
    <t>Jessie Waca Estrella</t>
  </si>
  <si>
    <t>Venus C. Solano</t>
  </si>
  <si>
    <t>Jocelyn R. Molina</t>
  </si>
  <si>
    <t>ANTONIO JR FREIRES FECUNDO</t>
  </si>
  <si>
    <t>Catherine Juntarciego Nomananap</t>
  </si>
  <si>
    <t>Annabelle Canonigo Husain</t>
  </si>
  <si>
    <t>Eugene Paul Gundaya</t>
  </si>
  <si>
    <t>Johannah Descargar Bantas</t>
  </si>
  <si>
    <t>BRIGETTE JOY PUNZALAN ILAGAN</t>
  </si>
  <si>
    <t>Carlos L. Taguba</t>
  </si>
  <si>
    <t>Hycienth Conde Buncalan</t>
  </si>
  <si>
    <t>CHIEVA CRUZADA TOLENTINO</t>
  </si>
  <si>
    <t>Jose Garing Orzal</t>
  </si>
  <si>
    <t>MARIA CORAZON RIVA VALDEMORO</t>
  </si>
  <si>
    <t>Nuepe Junior Guyon Manuel</t>
  </si>
  <si>
    <t>Jerome B. Sison</t>
  </si>
  <si>
    <t>Rowena De la Vida Prado</t>
  </si>
  <si>
    <t>RAYMUND M. DIAZ</t>
  </si>
  <si>
    <t>Rosella Daraog Darcera</t>
  </si>
  <si>
    <t>Alejandro P. Sarayan</t>
  </si>
  <si>
    <t>REYNALDO PARTIDO SANTOS</t>
  </si>
  <si>
    <t>Vanessa A Dela Torre</t>
  </si>
  <si>
    <t>Tony B. Evangelista Jr.</t>
  </si>
  <si>
    <t>Norma Bandria Bayoneta</t>
  </si>
  <si>
    <t>KATHLYN C. MALOLOT</t>
  </si>
  <si>
    <t>Joseph Villa Echalas</t>
  </si>
  <si>
    <t>Jocelyn Diaz Sagang</t>
  </si>
  <si>
    <t>James Bryan Manalo Bagunu</t>
  </si>
  <si>
    <t>Rolando V. Miguel</t>
  </si>
  <si>
    <t>Norma T Maputol</t>
  </si>
  <si>
    <t>ELMER ARANCON</t>
  </si>
  <si>
    <t>Celia A. Baltazar</t>
  </si>
  <si>
    <t>Gloria S Dungo</t>
  </si>
  <si>
    <t>Annalyn Punzalan Nuñez</t>
  </si>
  <si>
    <t>Rustico B Badilla</t>
  </si>
  <si>
    <t>Gladys Angit Abarabar</t>
  </si>
  <si>
    <t>Elloisa Blanco Perez</t>
  </si>
  <si>
    <t>REINA MECHELLE ARANAN RENTUTAR</t>
  </si>
  <si>
    <t>Glenn Infante Lansangan</t>
  </si>
  <si>
    <t>Ephraim Simon P. Gulle</t>
  </si>
  <si>
    <t>Ma. Corazon V. Tadena</t>
  </si>
  <si>
    <t>Gertrudes A Obedoza</t>
  </si>
  <si>
    <t>Cynthia De Chavez Perez</t>
  </si>
  <si>
    <t>Ma. Rosa  D.  Del Rio</t>
  </si>
  <si>
    <t>FLERINE JAY RELATIVO SANDOT</t>
  </si>
  <si>
    <t>NASUL ARAS SAJILI</t>
  </si>
  <si>
    <t>Cristeta A Cueto</t>
  </si>
  <si>
    <t>JUDITH BARRACA UNILONGO</t>
  </si>
  <si>
    <t>ARCELI ALLONES TIMOGTIMOG</t>
  </si>
  <si>
    <t>Mark Joseph Roque Dampil</t>
  </si>
  <si>
    <t>Nestor A. Panganiban</t>
  </si>
  <si>
    <t>Rosita Ednalig Lagang</t>
  </si>
  <si>
    <t>Gian Carlo Rodriguez</t>
  </si>
  <si>
    <t>ERNESTO LOZANO TOMAS</t>
  </si>
  <si>
    <t>Louie O Canlas</t>
  </si>
  <si>
    <t>Alejandro Yulo Mirasol</t>
  </si>
  <si>
    <t>Letecia Arevalo Peñalosa</t>
  </si>
  <si>
    <t>Gilmore Ray Lopez Saniel</t>
  </si>
  <si>
    <t>Aaron Jed Alano Pinuela</t>
  </si>
  <si>
    <t>Ma. Cecilia  A.  Cedro</t>
  </si>
  <si>
    <t>Yondre Jaen Yonder</t>
  </si>
  <si>
    <t>Jocelyn C. Jaramillo</t>
  </si>
  <si>
    <t>Venn Wei Sipalay   Añonuevo</t>
  </si>
  <si>
    <t>Lynnette L. Vanzuela</t>
  </si>
  <si>
    <t>Rogelio Loy Magdaug, Jr.</t>
  </si>
  <si>
    <t>Bernie C Malinao</t>
  </si>
  <si>
    <t>Edwina C. Carriedo</t>
  </si>
  <si>
    <t>Sharon Madamba Agbayani</t>
  </si>
  <si>
    <t>JERLY PARAIS NAGUNA</t>
  </si>
  <si>
    <t>Arlyn Gabriel Basbas</t>
  </si>
  <si>
    <t>MA. GINA LABASTIDA LESACA</t>
  </si>
  <si>
    <t>Elvie Quito</t>
  </si>
  <si>
    <t>ELVIS R. CUIZON</t>
  </si>
  <si>
    <t>Maria Fe Able Ballescas</t>
  </si>
  <si>
    <t>John Carl F Lodevico</t>
  </si>
  <si>
    <t>Isaias, Sr. Tulio Bigol</t>
  </si>
  <si>
    <t>Maria Teresa Nuena Labrador</t>
  </si>
  <si>
    <t>Nina Lacson Magat</t>
  </si>
  <si>
    <t>KARYL MAIDY B. LORENZO</t>
  </si>
  <si>
    <t>Aileen L Bonghanoy</t>
  </si>
  <si>
    <t>Gloria L. Duga</t>
  </si>
  <si>
    <t>Catalina Jaylo</t>
  </si>
  <si>
    <t>DARIEL VILLANUEVA RICARTO</t>
  </si>
  <si>
    <t>FRANCIS E MAURICIO</t>
  </si>
  <si>
    <t>Francis  Abriol Asequia</t>
  </si>
  <si>
    <t>Ofelia Cerdena Cabuenas</t>
  </si>
  <si>
    <t>Reymar II Anonuevo</t>
  </si>
  <si>
    <t>Samuel Albino Fuertes</t>
  </si>
  <si>
    <t>Ursino C. Pascua</t>
  </si>
  <si>
    <t>GERALD ZUNIEGA FLORES</t>
  </si>
  <si>
    <t>MA LOURDES BONOTAN DANGGA</t>
  </si>
  <si>
    <t>Alona Hermidilla Reyes</t>
  </si>
  <si>
    <t>JULIETA PULVERA</t>
  </si>
  <si>
    <t>RHODEE JIMENEZ</t>
  </si>
  <si>
    <t>Jonathan Bondad Ramirez</t>
  </si>
  <si>
    <t>Britt Marie Santos</t>
  </si>
  <si>
    <t>CARLOS LAYUG PARAS</t>
  </si>
  <si>
    <t>Melanie Sergio Pili</t>
  </si>
  <si>
    <t>Karl Hienz Basanes Copino</t>
  </si>
  <si>
    <t>RODOLFO R. DIAWA</t>
  </si>
  <si>
    <t>Diana E Orcine</t>
  </si>
  <si>
    <t>Leovigildo C. Amolo</t>
  </si>
  <si>
    <t>Ma Ruby S Carmona</t>
  </si>
  <si>
    <t>RODULFO LASTIMOSA ECO</t>
  </si>
  <si>
    <t>Imelda B. Palad</t>
  </si>
  <si>
    <t>Allen Mar P Antalan</t>
  </si>
  <si>
    <t>Manny M Delen</t>
  </si>
  <si>
    <t>NANCY CABALLERO</t>
  </si>
  <si>
    <t>Maricel Ferrer Veloria</t>
  </si>
  <si>
    <t>HARRY EMMANUEL ADDUN MABBAYAD</t>
  </si>
  <si>
    <t>JESSELL S. PACTURAN</t>
  </si>
  <si>
    <t>Bertha Flor Canonigo Macahis</t>
  </si>
  <si>
    <t>Charmie Halina Sevilla</t>
  </si>
  <si>
    <t>Ocea Alfabete</t>
  </si>
  <si>
    <t>Edgardo A. Bonquin</t>
  </si>
  <si>
    <t>Alan Beltran Lejarde</t>
  </si>
  <si>
    <t>Aniceto B De Castro</t>
  </si>
  <si>
    <t>Vien-Lori Bernardo Baniqued</t>
  </si>
  <si>
    <t>ERNESTO MANGILIY NUNEZ JR.</t>
  </si>
  <si>
    <t>EFRAIN TAGAYTAYAN</t>
  </si>
  <si>
    <t>WENONA G GELLO-ANO</t>
  </si>
  <si>
    <t>Maria Cela G. De Guzman</t>
  </si>
  <si>
    <t>Mary Loren Remegio Ladrillo</t>
  </si>
  <si>
    <t>Michelle  G. Romero</t>
  </si>
  <si>
    <t>Jeremie Jay A. Ortiz</t>
  </si>
  <si>
    <t>ELSA DE GUZMAN MONTEMAYOR</t>
  </si>
  <si>
    <t>Domingo Sampanga Reyes</t>
  </si>
  <si>
    <t>MYRNA TRIA RAMOS</t>
  </si>
  <si>
    <t>Timothy Chugsayan Pudlao</t>
  </si>
  <si>
    <t>Felicisima Capistrano Balasabas</t>
  </si>
  <si>
    <t>Karen Christine O. Onanad</t>
  </si>
  <si>
    <t>Emelia Valdevia Sarraga</t>
  </si>
  <si>
    <t>Jose Roslin Mariaca Cantiga</t>
  </si>
  <si>
    <t>Romelyn G. Estares</t>
  </si>
  <si>
    <t>Noel O. Dela Iglesia</t>
  </si>
  <si>
    <t>Wilson Flores</t>
  </si>
  <si>
    <t>Ann Mariz Tablante Dalumpines</t>
  </si>
  <si>
    <t>Cherry Rose Castillo Reyes</t>
  </si>
  <si>
    <t>Otilia Obaob Misagal</t>
  </si>
  <si>
    <t>Josie C Cereza</t>
  </si>
  <si>
    <t>MA ROWENA REGALARIO TURNO</t>
  </si>
  <si>
    <t>Llewelyn Petes Eleazar</t>
  </si>
  <si>
    <t>Marvin T. Mosteiro</t>
  </si>
  <si>
    <t>Mary June Rafiñan Obsilla</t>
  </si>
  <si>
    <t>ELIZA GARDOZE SABADO</t>
  </si>
  <si>
    <t>Phibely Pudico Nisperos</t>
  </si>
  <si>
    <t>RODRIGO DELA VEGA</t>
  </si>
  <si>
    <t>MIRAFLOR CABINTA ALFEREZ</t>
  </si>
  <si>
    <t>Michelle Co Rubino</t>
  </si>
  <si>
    <t>Eulogeo Notarte Leonor</t>
  </si>
  <si>
    <t>sheila ramirez reliquias</t>
  </si>
  <si>
    <t>Blesilda R. Domagas</t>
  </si>
  <si>
    <t>Lotes  N.  Flores</t>
  </si>
  <si>
    <t>Ivy M. Rillera</t>
  </si>
  <si>
    <t>Lalina Unciano Princesa</t>
  </si>
  <si>
    <t>Judith Banal De Jesus</t>
  </si>
  <si>
    <t>Aileen Grace Garcia</t>
  </si>
  <si>
    <t>Jezreel Gomez Ortega</t>
  </si>
  <si>
    <t>RONALD S. BARRAMEDA</t>
  </si>
  <si>
    <t>joy ogarte rodriguez</t>
  </si>
  <si>
    <t>MARVIN C. LICUP</t>
  </si>
  <si>
    <t>Reniza L Abellera</t>
  </si>
  <si>
    <t>Josefina M Ayon</t>
  </si>
  <si>
    <t>Arlene N Turla</t>
  </si>
  <si>
    <t>Richard Pandita Sanlocan</t>
  </si>
  <si>
    <t>Ricky Vecino Marcelino</t>
  </si>
  <si>
    <t>Freddie Cañeda Sanchez</t>
  </si>
  <si>
    <t>kethlyn franco villar</t>
  </si>
  <si>
    <t>Sergio Martinez Brillantes</t>
  </si>
  <si>
    <t>Elmer G Canios</t>
  </si>
  <si>
    <t>Arsie Parcutilo Jumawan</t>
  </si>
  <si>
    <t>MARK JAYSON LOMBOY FELIPE</t>
  </si>
  <si>
    <t>Ma. Emelene P. Coquilla</t>
  </si>
  <si>
    <t>Sheenna Marie Icabandi Martinez</t>
  </si>
  <si>
    <t>Evelyn Valenzuela Manuguid</t>
  </si>
  <si>
    <t>AISZA VERAN</t>
  </si>
  <si>
    <t>Marlene Acabado Cherreguine</t>
  </si>
  <si>
    <t>Ma. Shella S Cabrera</t>
  </si>
  <si>
    <t>April Joy R Tambis</t>
  </si>
  <si>
    <t>Roger Mappala</t>
  </si>
  <si>
    <t>Soliven baya laranjo</t>
  </si>
  <si>
    <t>Avel Villamor Nunez</t>
  </si>
  <si>
    <t>Francisco R Cordero</t>
  </si>
  <si>
    <t>Prene Rosaña</t>
  </si>
  <si>
    <t>Cecilia E. Taguiam</t>
  </si>
  <si>
    <t>Jerald Amor Sernadilla</t>
  </si>
  <si>
    <t>Ives M Ebrada</t>
  </si>
  <si>
    <t>Gerlyn M Pabilona</t>
  </si>
  <si>
    <t>REDEMCION M. DE LEON</t>
  </si>
  <si>
    <t>Edwina Silva Romero</t>
  </si>
  <si>
    <t>MICHAEL ANDREW QUIROGA FRIAS</t>
  </si>
  <si>
    <t>JOHN A. ALLESA</t>
  </si>
  <si>
    <t>Eugenio Demarana</t>
  </si>
  <si>
    <t>Jennifer g Tan</t>
  </si>
  <si>
    <t>DENNIS MARTILLANO JAMBALOS</t>
  </si>
  <si>
    <t>ANACLETO  AVENIDO  PLASABAS</t>
  </si>
  <si>
    <t>Michelle A Supena</t>
  </si>
  <si>
    <t>MARIA SAYDEE I DOCE</t>
  </si>
  <si>
    <t>Edilberto Tabada Barnaba</t>
  </si>
  <si>
    <t>Carlos Seechung</t>
  </si>
  <si>
    <t>Edwin Vergel De Dios David</t>
  </si>
  <si>
    <t>Jurita Montellin Retubado</t>
  </si>
  <si>
    <t>DARLING PEARL JABA RANALAN</t>
  </si>
  <si>
    <t>ENGR. DOMINGO, JR. S. DOYONGAN</t>
  </si>
  <si>
    <t>Princess Fabrienne Tonzo Panganiban</t>
  </si>
  <si>
    <t>Fritzie Mae Vasquez Valenzuela</t>
  </si>
  <si>
    <t>Cesario R Bahalla</t>
  </si>
  <si>
    <t>MARIBEL A. CEREZO</t>
  </si>
  <si>
    <t>Ivan Cruz</t>
  </si>
  <si>
    <t>Teresa P. Tesoro</t>
  </si>
  <si>
    <t>Orlando O Navarro Jr.</t>
  </si>
  <si>
    <t>JEFFREY D. ANDRES</t>
  </si>
  <si>
    <t>Rose Andrea V. Milaor</t>
  </si>
  <si>
    <t>Nelly H. Adoyo</t>
  </si>
  <si>
    <t>HELEN S. APELO</t>
  </si>
  <si>
    <t>JOSE R MIÑANO</t>
  </si>
  <si>
    <t>Cesar Rosel Echano</t>
  </si>
  <si>
    <t>Rosevi Virata Prodigalidad</t>
  </si>
  <si>
    <t>NOEL L. GELUA</t>
  </si>
  <si>
    <t>Junna Cua Arnaez</t>
  </si>
  <si>
    <t>Guilberto M Villacorte</t>
  </si>
  <si>
    <t>DENNIS ARELLANO ESTANIEL</t>
  </si>
  <si>
    <t>MARIA IRMA PATRON RAMOS</t>
  </si>
  <si>
    <t>Fe Estrada Tingal</t>
  </si>
  <si>
    <t>Albert Donato Martin</t>
  </si>
  <si>
    <t>Mark Jason F. Malgapo</t>
  </si>
  <si>
    <t>ARLEEN T. BACOS</t>
  </si>
  <si>
    <t>SALVACION NOOT NARANJO</t>
  </si>
  <si>
    <t>Honeybeth Lleno Zamudio</t>
  </si>
  <si>
    <t>Vincent  Caborda  Prado</t>
  </si>
  <si>
    <t>Ryan Delotina Jamandre</t>
  </si>
  <si>
    <t>JESSICA MONTAÑO MINGUEZ</t>
  </si>
  <si>
    <t>Sukarno J. Minsuarez</t>
  </si>
  <si>
    <t>Ellen Mae  Estipona</t>
  </si>
  <si>
    <t>Virginia Punay</t>
  </si>
  <si>
    <t>Jubeth Mico Gipatalagan</t>
  </si>
  <si>
    <t>ROMMEL SABINO PEÑARANDA</t>
  </si>
  <si>
    <t>PEDERITO BERSABE GUIANAN</t>
  </si>
  <si>
    <t>JOWEL BAHIA RAMOS</t>
  </si>
  <si>
    <t>Remigia Grace Salazar Parza</t>
  </si>
  <si>
    <t>Ronnie B. Alarte</t>
  </si>
  <si>
    <t>Ma. Catherine Calayag Dimagiba</t>
  </si>
  <si>
    <t>Fennie Pompa Peralta</t>
  </si>
  <si>
    <t>Christina Solero Raymundo</t>
  </si>
  <si>
    <t>MARCOS M. KUSAIN, JD, MPA</t>
  </si>
  <si>
    <t>Roel Galang Villanueva</t>
  </si>
  <si>
    <t>Elmer O Macalma</t>
  </si>
  <si>
    <t>DIOMEDES V BONALOS</t>
  </si>
  <si>
    <t>ANECITO EVANGELIO SIBI</t>
  </si>
  <si>
    <t>HILARION TACAISAN DUBRIA, JR.</t>
  </si>
  <si>
    <t>ARBEN P. BUSTILLO</t>
  </si>
  <si>
    <t>Datu Reymond Laban Russam</t>
  </si>
  <si>
    <t>RAQUEL ANGUE PACHECO</t>
  </si>
  <si>
    <t>MARY GRACE MENGOTE</t>
  </si>
  <si>
    <t>melany d sobremonte</t>
  </si>
  <si>
    <t>JOVELYN ROSALES ELJERA</t>
  </si>
  <si>
    <t>Lilia Poblete Durog</t>
  </si>
  <si>
    <t>Edvil Urbiztondo Trillanes</t>
  </si>
  <si>
    <t>Erlim Alegre Azotea</t>
  </si>
  <si>
    <t>Eduardo Pastrana Dungao Jr.</t>
  </si>
  <si>
    <t>Mary Kristine Lawenko Besayte</t>
  </si>
  <si>
    <t>Narciso Santiago Mendiola Jr.</t>
  </si>
  <si>
    <t>WILFREDO LUCZON MARTINEZ</t>
  </si>
  <si>
    <t>Antonio F. Zoleta</t>
  </si>
  <si>
    <t>Armando A Diada</t>
  </si>
  <si>
    <t>Mercedes F. Daroy</t>
  </si>
  <si>
    <t>Jose A. Anulao</t>
  </si>
  <si>
    <t>EVANGELICA PASTOR BALMADRID</t>
  </si>
  <si>
    <t>RODOLFO SALUD Palma</t>
  </si>
  <si>
    <t>Athena Christine Duran Dedoro</t>
  </si>
  <si>
    <t>LEA C. BARASI</t>
  </si>
  <si>
    <t>NENITA CANDELARIA COLASITO</t>
  </si>
  <si>
    <t>DANICA HESUSA ALAYON SALONGA</t>
  </si>
  <si>
    <t>IDERLINA BAÑIL</t>
  </si>
  <si>
    <t>Leonora  P.  Napigkit</t>
  </si>
  <si>
    <t>Maricar Eleccion Gilo</t>
  </si>
  <si>
    <t>ELA PABLEO PAVILANDO</t>
  </si>
  <si>
    <t>Sylvia H. Boneo</t>
  </si>
  <si>
    <t>Fredie Ballesteros Ruiz</t>
  </si>
  <si>
    <t>GERARDO DALINOC CLEMENTE</t>
  </si>
  <si>
    <t>Owen P. Milanes</t>
  </si>
  <si>
    <t>LOUELLA ANDREA DE LEON DUNGO</t>
  </si>
  <si>
    <t>LUEL JANE G.  SANTILLAN</t>
  </si>
  <si>
    <t>ERNESTO KIM BALANI TORREFRANCA</t>
  </si>
  <si>
    <t>MILDRED PONCE CUZZAMU</t>
  </si>
  <si>
    <t>Richard A. Degala</t>
  </si>
  <si>
    <t>Josephine Gozon Madlangsakay</t>
  </si>
  <si>
    <t>Karla Bethany Lucid Flores</t>
  </si>
  <si>
    <t>Irene Sy Banzuelo</t>
  </si>
  <si>
    <t>Diana Espinosa</t>
  </si>
  <si>
    <t>Nelia B. Mejia</t>
  </si>
  <si>
    <t>WILFREDO SARENAS AGONOY</t>
  </si>
  <si>
    <t>Beatriz Dumapay Pascual</t>
  </si>
  <si>
    <t>Melvin Harina Estioco</t>
  </si>
  <si>
    <t>junmar pontillas librero</t>
  </si>
  <si>
    <t>VIRGILIO M. CACAO</t>
  </si>
  <si>
    <t>Marilou Cheryl Andres Naval</t>
  </si>
  <si>
    <t>Marino Merano Silagan Jr.</t>
  </si>
  <si>
    <t>Venancio Del Mundo Del Mundo</t>
  </si>
  <si>
    <t>Cristina S. Wagayen</t>
  </si>
  <si>
    <t>Florence Joseline Gredona</t>
  </si>
  <si>
    <t>Rosemie Gere Tejano</t>
  </si>
  <si>
    <t>FLORIE V RASDAS</t>
  </si>
  <si>
    <t>ALICIA MARIANO MARTINEZ</t>
  </si>
  <si>
    <t>Angelito Regalario De Lima</t>
  </si>
  <si>
    <t>GINA  MANAL  TIRONA</t>
  </si>
  <si>
    <t>HILARIO, JR. NAGUIT MALIWAT</t>
  </si>
  <si>
    <t>LCDR RAYMOND A ROLDAN PN</t>
  </si>
  <si>
    <t>Florievic Dioso Matugas</t>
  </si>
  <si>
    <t>Rommel Rebucas Jandayan</t>
  </si>
  <si>
    <t>Jane Yvonne J. Jacobe</t>
  </si>
  <si>
    <t>Marichu Olavario Samillano</t>
  </si>
  <si>
    <t>JULIANA DE GUZMAN PAUIG</t>
  </si>
  <si>
    <t>Gina Tañedo Argosino</t>
  </si>
  <si>
    <t>LINA COLMINAS ZARCO</t>
  </si>
  <si>
    <t>Ronaldo T. Soletario</t>
  </si>
  <si>
    <t>Katrina Enerio Garcia</t>
  </si>
  <si>
    <t>Marichu Lachica Villa-real</t>
  </si>
  <si>
    <t>Billie Jean P. Lagazo</t>
  </si>
  <si>
    <t>Catherine Arguilles Bayron</t>
  </si>
  <si>
    <t>ERNESTO AQUINO MANEGDEG</t>
  </si>
  <si>
    <t>Juvylyn Viajar Bitang</t>
  </si>
  <si>
    <t>Angelito Mactal Abiog</t>
  </si>
  <si>
    <t>Dan Rommel Tonquin Gastala</t>
  </si>
  <si>
    <t>Precila Gutierrez</t>
  </si>
  <si>
    <t>Apolinario Bucayu Baggay</t>
  </si>
  <si>
    <t>Christian Immanuel Evangelista Vargas</t>
  </si>
  <si>
    <t>Melany Eslao Timmango</t>
  </si>
  <si>
    <t>Melanie Obillo Manipon</t>
  </si>
  <si>
    <t>Evangeline C Bongcac</t>
  </si>
  <si>
    <t>MARIE CAROLYN B VERANO</t>
  </si>
  <si>
    <t>Arlene Pobre Coloma</t>
  </si>
  <si>
    <t>Anacleto Soriano Clamosa</t>
  </si>
  <si>
    <t>Elizabeth C. Bodino</t>
  </si>
  <si>
    <t>Josephine R. Agbisit</t>
  </si>
  <si>
    <t>Felyn Fille Paco</t>
  </si>
  <si>
    <t>Eduardo R. Perez</t>
  </si>
  <si>
    <t>Mina Canela De Castro</t>
  </si>
  <si>
    <t>NICANOR ARTIZA ORALIZA, JR.</t>
  </si>
  <si>
    <t>Michael P Arayan</t>
  </si>
  <si>
    <t>IVY JESSICA SIMON TACAMA</t>
  </si>
  <si>
    <t>Michael Imperial Fabros</t>
  </si>
  <si>
    <t>GENELYN BUMILTAC</t>
  </si>
  <si>
    <t>Allan P. Mabalacad</t>
  </si>
  <si>
    <t>AIDYL ASILAR MERABE</t>
  </si>
  <si>
    <t>Dhalie Dicen Almirol</t>
  </si>
  <si>
    <t>Jun Brian Tan Soledad</t>
  </si>
  <si>
    <t>Aileene T Dagos</t>
  </si>
  <si>
    <t>Kenneth Simbajon Gabisay</t>
  </si>
  <si>
    <t>Diana Cantiga Balunan</t>
  </si>
  <si>
    <t>Eugenia Lizabeth G. Somera</t>
  </si>
  <si>
    <t>Edwin Tortosa Torres Jr</t>
  </si>
  <si>
    <t>JOSEPHINE G. RECILLAS</t>
  </si>
  <si>
    <t>Jose Forawit Lampesa</t>
  </si>
  <si>
    <t>ADELINO GAGALANG MAGPILE</t>
  </si>
  <si>
    <t>Freddie P Miranda</t>
  </si>
  <si>
    <t>Ronnie Gecolea Sierva</t>
  </si>
  <si>
    <t>ESMERALDA GENERALAO GICA</t>
  </si>
  <si>
    <t>Raphael  V  Siojo</t>
  </si>
  <si>
    <t>Maryflor C Bragado</t>
  </si>
  <si>
    <t>Liwayway De Guzman Pangilinan</t>
  </si>
  <si>
    <t>CYNTHIA BACONGA PECORE</t>
  </si>
  <si>
    <t>Francisco C Cabunoc</t>
  </si>
  <si>
    <t>Marive P. Llaban</t>
  </si>
  <si>
    <t>EDNA GONZALES</t>
  </si>
  <si>
    <t>Ma. Rachel Diana S Mesias</t>
  </si>
  <si>
    <t>Fatima M. Ombawa</t>
  </si>
  <si>
    <t>Marivic Anala Armiza</t>
  </si>
  <si>
    <t>Eduardo Agpalza Abiva</t>
  </si>
  <si>
    <t>Feljorge Sia Son</t>
  </si>
  <si>
    <t>Melvin B. Arevalo</t>
  </si>
  <si>
    <t>RAMIR PASOBILLO VALENCIANO</t>
  </si>
  <si>
    <t>ELISA QUINTANA PACHECO</t>
  </si>
  <si>
    <t>FIDELO GO ALMIRANTE</t>
  </si>
  <si>
    <t>Iris Gelbolingo Ortega</t>
  </si>
  <si>
    <t>Jed F. Fajarit</t>
  </si>
  <si>
    <t>MERLITA DUQUE LIRAZAN</t>
  </si>
  <si>
    <t>MA. CONCEPCION U. RUBIO</t>
  </si>
  <si>
    <t>Reymond Dataro Lim</t>
  </si>
  <si>
    <t>Edito Suyom Macasait</t>
  </si>
  <si>
    <t>PATRICIA TAN MARA</t>
  </si>
  <si>
    <t>Helen  Senosa  Esperancilla</t>
  </si>
  <si>
    <t>Marilou Yu Macapil</t>
  </si>
  <si>
    <t>Grecelyn Villamor Dusaran</t>
  </si>
  <si>
    <t>LYNIE DEMATA DIAMANYE</t>
  </si>
  <si>
    <t>Juliet Agpay Cayanan</t>
  </si>
  <si>
    <t>Noel P Baldueza</t>
  </si>
  <si>
    <t>Luzviminda Sace Seño</t>
  </si>
  <si>
    <t>LEMILOU MARANTAN</t>
  </si>
  <si>
    <t>Larina Esquibel Lopez</t>
  </si>
  <si>
    <t>ELIZABETH AMBAGAN LIRAZAN</t>
  </si>
  <si>
    <t>Sweden Mangaran Dela Cruz</t>
  </si>
  <si>
    <t>Rowena Arcon Plando</t>
  </si>
  <si>
    <t>Delfin Delinea</t>
  </si>
  <si>
    <t>Shiela L. Lacbayo</t>
  </si>
  <si>
    <t>Sukarno M Hadjinor</t>
  </si>
  <si>
    <t>Katherine  Paiso  De Vera</t>
  </si>
  <si>
    <t>Jeleen T. Cortez</t>
  </si>
  <si>
    <t>Jeffrey Castillo Ballon</t>
  </si>
  <si>
    <t>MELANIE GAMILDE GACUSAN</t>
  </si>
  <si>
    <t>CRISABETH AVERGONZADO BAUTISTA</t>
  </si>
  <si>
    <t>Michael Trasmil Ibisate</t>
  </si>
  <si>
    <t>Charito G Yulo</t>
  </si>
  <si>
    <t>Sheila Mae T.  Toyorada</t>
  </si>
  <si>
    <t>Evelyn Larosa Cainglet</t>
  </si>
  <si>
    <t>Rogelio A. Mallillin</t>
  </si>
  <si>
    <t>Hilda Bautista Arellano</t>
  </si>
  <si>
    <t>Hurdy F Denosta</t>
  </si>
  <si>
    <t>CESAR B. RETES</t>
  </si>
  <si>
    <t>Macaya Sabdullah Sarigala Jr</t>
  </si>
  <si>
    <t>FREDERICK ORTEZA DELA CRUZ</t>
  </si>
  <si>
    <t>Flora Soy-a Garcia</t>
  </si>
  <si>
    <t>Gaudencia Averion Buensuceso</t>
  </si>
  <si>
    <t>rhodora pelonia tan</t>
  </si>
  <si>
    <t>REBECCA CALUAG LOPEZ</t>
  </si>
  <si>
    <t>Princess Davis Bonifacio</t>
  </si>
  <si>
    <t>MA. CRISTINA SHERYL GRAVOSO CULABAN</t>
  </si>
  <si>
    <t>Elisheba Pocong Sabandal</t>
  </si>
  <si>
    <t>Erwin  V  Pamintuan</t>
  </si>
  <si>
    <t>TERESITA S. DUMPIT</t>
  </si>
  <si>
    <t>Linaflor E Cabildo</t>
  </si>
  <si>
    <t>Myles M Sayre</t>
  </si>
  <si>
    <t>Yonelyn Avenido Rosales</t>
  </si>
  <si>
    <t>Neri Tadeo Beley</t>
  </si>
  <si>
    <t>ferdinand daluson tagalicud</t>
  </si>
  <si>
    <t>Fulton Mario Canoy Anoba</t>
  </si>
  <si>
    <t>Samson Gavasan Gilo, Jr.</t>
  </si>
  <si>
    <t>Rommel Pacaoncis Masongsong</t>
  </si>
  <si>
    <t>Veronica Vergara De Jesus</t>
  </si>
  <si>
    <t>Armando Guinar Simbano</t>
  </si>
  <si>
    <t>LAIZA P. IGNAS</t>
  </si>
  <si>
    <t>Angel D. Pundao</t>
  </si>
  <si>
    <t>Sherelyn Trias Laquindanum</t>
  </si>
  <si>
    <t>Ricardo Samontosa Tugado</t>
  </si>
  <si>
    <t>Diego P Tan</t>
  </si>
  <si>
    <t>Noel D Logronio</t>
  </si>
  <si>
    <t>Redan I Cognito</t>
  </si>
  <si>
    <t>HENRY B CALUDUCAN</t>
  </si>
  <si>
    <t>LIZA SANGUENZA VILLAMOR</t>
  </si>
  <si>
    <t>Poliver Laurente Tumaneng</t>
  </si>
  <si>
    <t>Raul Antonio B Soniega</t>
  </si>
  <si>
    <t>Lorna Colob Lustria</t>
  </si>
  <si>
    <t>Kris Kringle Tamayo Lopez</t>
  </si>
  <si>
    <t>MARIAN JOY ABENDANIO CUNANAN</t>
  </si>
  <si>
    <t>Jovina Corrales Orias</t>
  </si>
  <si>
    <t>Jennita V Garcia</t>
  </si>
  <si>
    <t>Alejandro Comprado Cuenca</t>
  </si>
  <si>
    <t>Consuelo Narag  Galagala</t>
  </si>
  <si>
    <t>Daphne Tolentino Campano</t>
  </si>
  <si>
    <t>Leticia O. Clemente</t>
  </si>
  <si>
    <t>ERVIN PAGE SALANG</t>
  </si>
  <si>
    <t>Edwin B Mendoza</t>
  </si>
  <si>
    <t>Rodolfo R David</t>
  </si>
  <si>
    <t>MARIA CORAZON R. LARIOSA</t>
  </si>
  <si>
    <t>Samson B. Quinito</t>
  </si>
  <si>
    <t>DANIEL T. ACILO</t>
  </si>
  <si>
    <t>Ana A Felisarta</t>
  </si>
  <si>
    <t>elizabeth ardiente cabahug</t>
  </si>
  <si>
    <t>Frederick Misamis Docdoc</t>
  </si>
  <si>
    <t>Evelyn Bengco Sibal</t>
  </si>
  <si>
    <t>LEOREYSALDIE NAPATA SALANATIN</t>
  </si>
  <si>
    <t>Teresita  Butron  Selencio</t>
  </si>
  <si>
    <t>ELI ISANAN SENCIL</t>
  </si>
  <si>
    <t>Resiel Delos Santos</t>
  </si>
  <si>
    <t>Marites M. Ermitanio</t>
  </si>
  <si>
    <t>Rhodora Banusing Nuñal</t>
  </si>
  <si>
    <t>Joseph Roy Quezon Suhayon</t>
  </si>
  <si>
    <t>PHILLIP C. ADVIENTO</t>
  </si>
  <si>
    <t>Eisen Rommel Razon</t>
  </si>
  <si>
    <t>Jubet N. Gnilo</t>
  </si>
  <si>
    <t>Danilo D. Pazcoguin</t>
  </si>
  <si>
    <t>Zilah May Badajos Nortega</t>
  </si>
  <si>
    <t>ROMIDA GAYANES NAAG</t>
  </si>
  <si>
    <t>APRIL JOY L. VILLA</t>
  </si>
  <si>
    <t>Rogelim Brandaries Villarin</t>
  </si>
  <si>
    <t>Arnel Caparros Portales</t>
  </si>
  <si>
    <t>APOLONIO OMAWAS LAZAR</t>
  </si>
  <si>
    <t>Noemi Dizon Bolinas</t>
  </si>
  <si>
    <t>Elmario Bayadan Dimaranan</t>
  </si>
  <si>
    <t>Atilano Alinarte Abilay</t>
  </si>
  <si>
    <t>Marina Teja Navalta</t>
  </si>
  <si>
    <t>Judeth M. Madelo</t>
  </si>
  <si>
    <t>Vicente Raiz Velasco</t>
  </si>
  <si>
    <t>Fernando Espinoza Lopez</t>
  </si>
  <si>
    <t>PROCESO M. KADAVERO</t>
  </si>
  <si>
    <t>Drafino Jr Ramos Arocena</t>
  </si>
  <si>
    <t>Leonito  De Leon Villanueva</t>
  </si>
  <si>
    <t>Adolfo Sentillas Avila, Jr.</t>
  </si>
  <si>
    <t>Rommel Santos Navarro</t>
  </si>
  <si>
    <t>JOSEPH HERBON BUSA</t>
  </si>
  <si>
    <t>Jennibeth  Canoy  Miranda</t>
  </si>
  <si>
    <t>Fely B James</t>
  </si>
  <si>
    <t>MARISA SARZABA ALSOL</t>
  </si>
  <si>
    <t>Emmanuel P Pascua</t>
  </si>
  <si>
    <t>Earl Dompales Nalzaro</t>
  </si>
  <si>
    <t>Anjie P. Ytac</t>
  </si>
  <si>
    <t>Wilfredo Parrel Castro</t>
  </si>
  <si>
    <t>Vilma Capistrano Globio</t>
  </si>
  <si>
    <t>Julito Bojo Gumapac</t>
  </si>
  <si>
    <t>Noli C. Discaya, Jr.</t>
  </si>
  <si>
    <t>Norielle Ann P. Vergara</t>
  </si>
  <si>
    <t>Victoria Gamaller Garcia</t>
  </si>
  <si>
    <t>Mary Grace Garcia Soriano</t>
  </si>
  <si>
    <t>Jocelyn  Mendoza  Estoce</t>
  </si>
  <si>
    <t>Rogie A Sion</t>
  </si>
  <si>
    <t>Elizabeth Terania Makilan</t>
  </si>
  <si>
    <t>EDLEY  CASAS ABARIDO</t>
  </si>
  <si>
    <t>Milagros A Agustin</t>
  </si>
  <si>
    <t>Sarlyn H Robledo</t>
  </si>
  <si>
    <t>Chairperson, BAC</t>
  </si>
  <si>
    <t>MELCHOR JR. P. DEJANO</t>
  </si>
  <si>
    <t>Manuel, Jr. A Palasi</t>
  </si>
  <si>
    <t>Sofronia Ceniza Uy</t>
  </si>
  <si>
    <t>Aileen G. Cuevas</t>
  </si>
  <si>
    <t>ANWAR KENNY ANDREW FRANCISCO AMILASAN</t>
  </si>
  <si>
    <t>Jose Bonites Dador</t>
  </si>
  <si>
    <t>ELEANOR A. ECO</t>
  </si>
  <si>
    <t>Chona M. Halili</t>
  </si>
  <si>
    <t>Arturieto P Ramigoso</t>
  </si>
  <si>
    <t>DIEGO EBRADA BAYONITO</t>
  </si>
  <si>
    <t>Ahmad  Mamaon  Macod</t>
  </si>
  <si>
    <t>Loricel Peregrin Palomares</t>
  </si>
  <si>
    <t>NORIEL DEL CARMEN SEVILLE</t>
  </si>
  <si>
    <t>Annabelle De Vera Quiñones</t>
  </si>
  <si>
    <t>PRECIOSA G. OÑATE</t>
  </si>
  <si>
    <t>Maribeth De Vera Versoza</t>
  </si>
  <si>
    <t>Emma Fernandez Sotto</t>
  </si>
  <si>
    <t>JOSE M. ESPINA</t>
  </si>
  <si>
    <t>Juliet Elaine Acuna</t>
  </si>
  <si>
    <t>Arnold Alba Perez</t>
  </si>
  <si>
    <t>Nanette Villanueva Carlos</t>
  </si>
  <si>
    <t>Ana Marie lauron Guirigay</t>
  </si>
  <si>
    <t>FREDERICK B AGUIRRE</t>
  </si>
  <si>
    <t>EMELITO M YURO</t>
  </si>
  <si>
    <t>RONALDO AFABLE TORRES</t>
  </si>
  <si>
    <t>MONALINA GEBONGA BAINGAN</t>
  </si>
  <si>
    <t>Maria Juliana A. Toribio</t>
  </si>
  <si>
    <t>Gevanie Urtal Magpantay</t>
  </si>
  <si>
    <t>venus Torres Palciso</t>
  </si>
  <si>
    <t>Amalia Acay Ibarra</t>
  </si>
  <si>
    <t>Teodoro Alo Jabahab</t>
  </si>
  <si>
    <t>EVA E. ELECHO</t>
  </si>
  <si>
    <t>Marites S Penosa</t>
  </si>
  <si>
    <t>Ceferino C. Oryan</t>
  </si>
  <si>
    <t>Rosalie  Demontaño De Justo</t>
  </si>
  <si>
    <t>SHELLA MAY TORRES LUGTU</t>
  </si>
  <si>
    <t>ALFREDO,JR BACALLA CABALLERO</t>
  </si>
  <si>
    <t>Rebecca Cequiña Remulta</t>
  </si>
  <si>
    <t>Nelson Moskito Merculio</t>
  </si>
  <si>
    <t>RAMON, JR. CARIÑO PABICO</t>
  </si>
  <si>
    <t>Mary- Ann R Lumag</t>
  </si>
  <si>
    <t>Romeo Emmanuel II C. Yarcia</t>
  </si>
  <si>
    <t>Emilia Sales Quilet</t>
  </si>
  <si>
    <t>MAY BARRUN ALMINE</t>
  </si>
  <si>
    <t>Diosdada V. Vito</t>
  </si>
  <si>
    <t>Aldren Galido Madelozo</t>
  </si>
  <si>
    <t>Alejo Jr. M Nunez</t>
  </si>
  <si>
    <t>Numeriano S. Camat</t>
  </si>
  <si>
    <t>Ruby Anne M. Escandor</t>
  </si>
  <si>
    <t>Evangeline A Linabog</t>
  </si>
  <si>
    <t>Ralph Martin Romero Roque</t>
  </si>
  <si>
    <t>Cynthia Macenas Tumanut</t>
  </si>
  <si>
    <t>Gladys Amylaine Dechavez Sales</t>
  </si>
  <si>
    <t>Jocelyn  Gargar Caballero</t>
  </si>
  <si>
    <t>YUSOP ARBISON WEE</t>
  </si>
  <si>
    <t>EMALYN O. SOMONO</t>
  </si>
  <si>
    <t>Richard Cammayo Malayao</t>
  </si>
  <si>
    <t>Mary Joy B. Catangui</t>
  </si>
  <si>
    <t>Pitchit  Fernandez  Basquez</t>
  </si>
  <si>
    <t>Michael E Pamado</t>
  </si>
  <si>
    <t>Arnold A. De Castro</t>
  </si>
  <si>
    <t>Alicia Adonis Kintana</t>
  </si>
  <si>
    <t>Vicente C Inting</t>
  </si>
  <si>
    <t xml:space="preserve">GLYNIS CONCEPCION  D.  TAN </t>
  </si>
  <si>
    <t>Ivy C. Huertas</t>
  </si>
  <si>
    <t>Resurreccion Manuel</t>
  </si>
  <si>
    <t>Ferlinda Dator Consolacion</t>
  </si>
  <si>
    <t>Liza F Cariño</t>
  </si>
  <si>
    <t>Giovanne Tan  Lim</t>
  </si>
  <si>
    <t>Maria Guia Marie Rodrigo David</t>
  </si>
  <si>
    <t>Necitas G Bihay</t>
  </si>
  <si>
    <t>Vanessa Granton Nobleza</t>
  </si>
  <si>
    <t>VINCENT RON B BACOL</t>
  </si>
  <si>
    <t>Melba Dapulag Mondigo</t>
  </si>
  <si>
    <t>Ariel Dela Cruz de Borja</t>
  </si>
  <si>
    <t>Andres R Avorque</t>
  </si>
  <si>
    <t>Julius Caducano Bartolome</t>
  </si>
  <si>
    <t>Anna Mae Voloso Acopio</t>
  </si>
  <si>
    <t>Apolinario Jr. cruz enriquez</t>
  </si>
  <si>
    <t>ANECITA A. SESPEÑE</t>
  </si>
  <si>
    <t>Sherlita Precioso Manseliohan</t>
  </si>
  <si>
    <t>Sherwin  V.  Gelacio</t>
  </si>
  <si>
    <t>CHRISTINE AGUILAR PAQUIBOT</t>
  </si>
  <si>
    <t>Marilyn G Efondo</t>
  </si>
  <si>
    <t>Lucylisa C. Pilapil</t>
  </si>
  <si>
    <t>Ritzie Lucero Sayas</t>
  </si>
  <si>
    <t>Feliciana  G. Dacanay</t>
  </si>
  <si>
    <t>MARY FE L. MONTANO</t>
  </si>
  <si>
    <t>Richard F. Soriben</t>
  </si>
  <si>
    <t>JOVEN GOMEZ ROJALES</t>
  </si>
  <si>
    <t>ALLEN M FORTES</t>
  </si>
  <si>
    <t>SALVADOR , JR. GRANADOS REGIS</t>
  </si>
  <si>
    <t>Edmundo Alonzo Escape</t>
  </si>
  <si>
    <t>Maricel Cuden Cosme</t>
  </si>
  <si>
    <t>MANUEL TEGIO CATUDAY</t>
  </si>
  <si>
    <t>Murphy Ibañez</t>
  </si>
  <si>
    <t>Maribel Titular Lescano</t>
  </si>
  <si>
    <t>MARIA SOL FABELLA CASUNCAD</t>
  </si>
  <si>
    <t>Liza Rogador Vargas</t>
  </si>
  <si>
    <t>TERESITA  BARCENA  PEÑALOSA</t>
  </si>
  <si>
    <t>Jennifer A. Bolante</t>
  </si>
  <si>
    <t>Rowena V. De Juan</t>
  </si>
  <si>
    <t>Lily Opano Tuiza</t>
  </si>
  <si>
    <t>Eny Bargo Ferriol</t>
  </si>
  <si>
    <t>Karen G. Durian</t>
  </si>
  <si>
    <t>Jessie P. dela Rosa</t>
  </si>
  <si>
    <t>VOLTAIRE S EGNORA, MD.</t>
  </si>
  <si>
    <t>CATHERENE  SANTOS ACABADO</t>
  </si>
  <si>
    <t>Herbert Bodoso</t>
  </si>
  <si>
    <t>Ida Pableo Reforsado</t>
  </si>
  <si>
    <t>Victoria Balderas Bercasio</t>
  </si>
  <si>
    <t>ARLENE J. MALLILLIN</t>
  </si>
  <si>
    <t>Marlon N. Hernandez</t>
  </si>
  <si>
    <t>Roberto De Guzman Estrella</t>
  </si>
  <si>
    <t>Fidel C. Verganio</t>
  </si>
  <si>
    <t>Nerissa M. Tan</t>
  </si>
  <si>
    <t>Susan Geresola Salomante</t>
  </si>
  <si>
    <t>Gina Marzan Alberto</t>
  </si>
  <si>
    <t>Roxanne Lagnason Manoos</t>
  </si>
  <si>
    <t>Jamaica Gruesco Ebrada</t>
  </si>
  <si>
    <t>WHENA ALCANZADO</t>
  </si>
  <si>
    <t>LEO GAMMAD LIGGAYU</t>
  </si>
  <si>
    <t>MARIA CONCEPCION ANTONIO DALERE</t>
  </si>
  <si>
    <t>Victorio J Jimenez</t>
  </si>
  <si>
    <t>GLO SUATING CELESTE</t>
  </si>
  <si>
    <t>Carl Melvin Tillano Galin</t>
  </si>
  <si>
    <t>NANCY INAMAC UNIDAD</t>
  </si>
  <si>
    <t>Susan Dela Cruz</t>
  </si>
  <si>
    <t>Rosemarie P. Palma</t>
  </si>
  <si>
    <t>Eduardo M. Doria</t>
  </si>
  <si>
    <t>Stanley B. Uriarte</t>
  </si>
  <si>
    <t>Chenaryl M. Cordero</t>
  </si>
  <si>
    <t>Diomedes Ortega Manaytay</t>
  </si>
  <si>
    <t>DENNIS BAYUWAN BAGYON</t>
  </si>
  <si>
    <t>EVELYN DELGADO CATIPAY</t>
  </si>
  <si>
    <t>Johnny Garcia Ebreo</t>
  </si>
  <si>
    <t>Gloria Cruz Fenandez</t>
  </si>
  <si>
    <t>Primrose Bayani Manalo</t>
  </si>
  <si>
    <t>Janice Gumawa Narciso</t>
  </si>
  <si>
    <t>Vivienne P. Belizario</t>
  </si>
  <si>
    <t>JOSE L MANZANO</t>
  </si>
  <si>
    <t>RENAN DECENA</t>
  </si>
  <si>
    <t>CLEO D. SABADO-ANDRADA</t>
  </si>
  <si>
    <t>Brenjune Bliss Gerong Calapre</t>
  </si>
  <si>
    <t>Carmelita M Palma</t>
  </si>
  <si>
    <t>Norbert C Sotoya II</t>
  </si>
  <si>
    <t>Marion Acolentaba Balasa</t>
  </si>
  <si>
    <t>JOHNNY MABBORANG OCAB</t>
  </si>
  <si>
    <t>Lord Kristan Atienza Logmao</t>
  </si>
  <si>
    <t>Simplicio Peque Honduna</t>
  </si>
  <si>
    <t>Wulfranie Jr. M. Pascua</t>
  </si>
  <si>
    <t>Almar Cagas Acevedo</t>
  </si>
  <si>
    <t>Leonilo Lota Laborte</t>
  </si>
  <si>
    <t>BENJAMIN SINAJON GOMO</t>
  </si>
  <si>
    <t>Jose Lorenzo C. Cobarrubias</t>
  </si>
  <si>
    <t>SYLVIA ELEFANTE MATIAS</t>
  </si>
  <si>
    <t>Relanie T Esta</t>
  </si>
  <si>
    <t>Randy B Moredo</t>
  </si>
  <si>
    <t>Cristina Duca Manalang</t>
  </si>
  <si>
    <t>WILMA GARBO</t>
  </si>
  <si>
    <t>Ma. Socorro Lacambra Domingo</t>
  </si>
  <si>
    <t>Annabelle Esmiller De Roxas</t>
  </si>
  <si>
    <t>KENNEDY BATTIKIN</t>
  </si>
  <si>
    <t>Cherryl Roque Diaz</t>
  </si>
  <si>
    <t>Hazel G Solis</t>
  </si>
  <si>
    <t>Marinelle Marquez Rubico</t>
  </si>
  <si>
    <t>Manolito Magkilat Silagan</t>
  </si>
  <si>
    <t>Josefa Y Garcia</t>
  </si>
  <si>
    <t>Arlene Maunahan Avejero</t>
  </si>
  <si>
    <t>GRACE  MALONG  MENDOZA</t>
  </si>
  <si>
    <t>LORENZO BOHOL GENOGUIN</t>
  </si>
  <si>
    <t>Mary Jean Garrido Demonteverde</t>
  </si>
  <si>
    <t>Grace D. Gamolo</t>
  </si>
  <si>
    <t>Verisima Sarigumba Calipusan</t>
  </si>
  <si>
    <t>Cecille T Sally</t>
  </si>
  <si>
    <t>LIZA PAMA GUMBAN</t>
  </si>
  <si>
    <t>CLINIA C EUSORES</t>
  </si>
  <si>
    <t>PAQUITO MAGTIBAY BARTE</t>
  </si>
  <si>
    <t>Rhodeliza De Villa Penarroyo</t>
  </si>
  <si>
    <t>FELICISIMO MAGNO TABORADA</t>
  </si>
  <si>
    <t>Humbert  Sudario  Recomono</t>
  </si>
  <si>
    <t>MARCIANA FAROL QUIÑONES</t>
  </si>
  <si>
    <t>Narciso Bagiwa Bagawi</t>
  </si>
  <si>
    <t>Mary Jane Balbin Dugue</t>
  </si>
  <si>
    <t>Estrella J. Labrador</t>
  </si>
  <si>
    <t>Cecilia Calagui</t>
  </si>
  <si>
    <t>fe servigon tolentino</t>
  </si>
  <si>
    <t>Philippides B. Zamar</t>
  </si>
  <si>
    <t>Gaudencio Quiaoit Orpiano, Jr</t>
  </si>
  <si>
    <t>Susan Siacor Arsenio</t>
  </si>
  <si>
    <t>EDEN MERCADO SANTOS</t>
  </si>
  <si>
    <t>Cynthia Faustino Delgado</t>
  </si>
  <si>
    <t>Roland S Antonio</t>
  </si>
  <si>
    <t>MAURIELE DASMARIÑAS</t>
  </si>
  <si>
    <t>Ian Lemuel Bandoy Felix</t>
  </si>
  <si>
    <t>Marisa P Las</t>
  </si>
  <si>
    <t>DARIO RIOJA GACU</t>
  </si>
  <si>
    <t>Jenny E. Bandola</t>
  </si>
  <si>
    <t>JOSE VICENTE RAYMUNDO MONTALLANA OPINION</t>
  </si>
  <si>
    <t>Erlinda B. Benter</t>
  </si>
  <si>
    <t>ARNOLD VILLAREAL</t>
  </si>
  <si>
    <t>Arnel Z. Dela Cruz</t>
  </si>
  <si>
    <t>SHARON DELGADO ORASA</t>
  </si>
  <si>
    <t>Celeste Ala Berba</t>
  </si>
  <si>
    <t>JUANA C. MACARIOLA</t>
  </si>
  <si>
    <t>Jeffrey Almanzor II</t>
  </si>
  <si>
    <t>Amalia C. Aquino</t>
  </si>
  <si>
    <t>Roval Regalado De Jesus</t>
  </si>
  <si>
    <t>Mar Giovanni L. Cabingas</t>
  </si>
  <si>
    <t>Renan Ferrer Mangle</t>
  </si>
  <si>
    <t>Kim M. Moral</t>
  </si>
  <si>
    <t>Alan Alonzo Nacario</t>
  </si>
  <si>
    <t>Dennis G Varon</t>
  </si>
  <si>
    <t>Lazaro Buluran Pascual</t>
  </si>
  <si>
    <t>Anabelle T. Abana</t>
  </si>
  <si>
    <t>Librada Laxamana Inductivo</t>
  </si>
  <si>
    <t>Jacqueline U Bucayu</t>
  </si>
  <si>
    <t>MARIE ANN V. SISON</t>
  </si>
  <si>
    <t>JENNY F OASAY</t>
  </si>
  <si>
    <t>Grace G Asis</t>
  </si>
  <si>
    <t>Rose Marie  Gamolo</t>
  </si>
  <si>
    <t>LYNN GOZAR MENDOZA</t>
  </si>
  <si>
    <t>darlene anicia bautista galicia</t>
  </si>
  <si>
    <t>Jose Estrada Bagood</t>
  </si>
  <si>
    <t>Reyma Castañeda Tabalno</t>
  </si>
  <si>
    <t>Christian George Bantilan Pal-ing</t>
  </si>
  <si>
    <t>Peter Hendrix Lisboa Alcantara</t>
  </si>
  <si>
    <t>RHODORA PAYAO MAGNO</t>
  </si>
  <si>
    <t>REYNALDO DALWATAN</t>
  </si>
  <si>
    <t>JANICE MAY ARCONES SERASPE</t>
  </si>
  <si>
    <t>Purificasion Quirante Barasi</t>
  </si>
  <si>
    <t>Gilbert C. Colegado</t>
  </si>
  <si>
    <t>Luzviminda S. Reyes</t>
  </si>
  <si>
    <t>Mae Ann Olasiman Cutamora</t>
  </si>
  <si>
    <t>VIRGINIA EGUALES BATALLON</t>
  </si>
  <si>
    <t>LUCIO F. PEQUIRO</t>
  </si>
  <si>
    <t>Merced Licudan Manubay</t>
  </si>
  <si>
    <t>Mylene Pabo Barroga</t>
  </si>
  <si>
    <t>EDDIE COMIDA BECHAYDA</t>
  </si>
  <si>
    <t>Linell Fulleros Montuerto</t>
  </si>
  <si>
    <t>Jacquelyn F. Samino</t>
  </si>
  <si>
    <t>Cyndel Dy Olaguera</t>
  </si>
  <si>
    <t>MERIAM GALLO RAMOS</t>
  </si>
  <si>
    <t>Chris Jhon Malitig Peregrin</t>
  </si>
  <si>
    <t>VALENTE MICLAT HALILI</t>
  </si>
  <si>
    <t>JOSEPHINE  PERILLO RIEGO RIEGO</t>
  </si>
  <si>
    <t>Roderick Alvarez</t>
  </si>
  <si>
    <t>Parolita Adolfo Mission</t>
  </si>
  <si>
    <t>Angelina M De Vera</t>
  </si>
  <si>
    <t>Hamza M. Boloto</t>
  </si>
  <si>
    <t>Samuel Abainza Amatosa</t>
  </si>
  <si>
    <t>Rochelle M. Tamayo</t>
  </si>
  <si>
    <t>Marlene Sicalan Batistil</t>
  </si>
  <si>
    <t>Hanz Cecilio Bernardo</t>
  </si>
  <si>
    <t>Noelle Grace Bandonill Rillon</t>
  </si>
  <si>
    <t>MARA DAWN  CANUBAS PACANA</t>
  </si>
  <si>
    <t>ONIE J REYES</t>
  </si>
  <si>
    <t>SONNY  CAGAS TORRES</t>
  </si>
  <si>
    <t>Larry Pelaez Olvina</t>
  </si>
  <si>
    <t>VALERIANO VALESCAS ROLUNA</t>
  </si>
  <si>
    <t>Jessa Marie Trasmonte Ducay</t>
  </si>
  <si>
    <t>LINA PESCADOR DORAL</t>
  </si>
  <si>
    <t>Manulito S Rodriguez</t>
  </si>
  <si>
    <t>PABLO, JR. PALAÑA CORTEZ</t>
  </si>
  <si>
    <t>Norjannah P Lucman</t>
  </si>
  <si>
    <t>Valentin C Villarin</t>
  </si>
  <si>
    <t>Mylin C Rodriguez</t>
  </si>
  <si>
    <t>Peter Elvis Limpot Galleto</t>
  </si>
  <si>
    <t>FELOMINA  ATIENZA OCAMPO</t>
  </si>
  <si>
    <t>Mark Anthony Taroy Tarroza</t>
  </si>
  <si>
    <t>Albert Lee Basuel Cabanting</t>
  </si>
  <si>
    <t>cheryl banilad laurel</t>
  </si>
  <si>
    <t>PRECIOUS GAY ABRAU</t>
  </si>
  <si>
    <t>Toni Rose E. Unciano</t>
  </si>
  <si>
    <t>Florliza A. Morilao</t>
  </si>
  <si>
    <t>Edelberto Araza jr.</t>
  </si>
  <si>
    <t>Roy Mercado Capupus</t>
  </si>
  <si>
    <t>JENELYN TOLES DAULONG</t>
  </si>
  <si>
    <t>JEANY LOPEZ</t>
  </si>
  <si>
    <t>Mary Jane C. Caballero</t>
  </si>
  <si>
    <t>DELFIN JR. NICOLAS SOTERIO</t>
  </si>
  <si>
    <t>Jezereel Esteban</t>
  </si>
  <si>
    <t>ROLANDO PALMA LADIGOHON</t>
  </si>
  <si>
    <t>CRISTITO PAGAL GULA</t>
  </si>
  <si>
    <t>Jelen Grace Millarez Alberto</t>
  </si>
  <si>
    <t>Elena c. Rumpon</t>
  </si>
  <si>
    <t>Ruby E De Jong</t>
  </si>
  <si>
    <t>Christelyn A. Aguro</t>
  </si>
  <si>
    <t>Estrella Ageas Maata</t>
  </si>
  <si>
    <t>Nicomedes Catagasan Hinunangan</t>
  </si>
  <si>
    <t>Hermenigilda A. Aposaga</t>
  </si>
  <si>
    <t>Carmen Pingiton Pavon</t>
  </si>
  <si>
    <t>Cheryl Samuel Conag</t>
  </si>
  <si>
    <t>Joseph Abalde Magriña</t>
  </si>
  <si>
    <t>CLARENCE C. MORALES</t>
  </si>
  <si>
    <t>Ma. Viven Saycon Reasol</t>
  </si>
  <si>
    <t>Arielyn L. Fernandez</t>
  </si>
  <si>
    <t>Marigene De Claro Joaquin</t>
  </si>
  <si>
    <t>Mechelle Ejandra</t>
  </si>
  <si>
    <t>Sheila A. Naig</t>
  </si>
  <si>
    <t>Marivic Estopin Diaz</t>
  </si>
  <si>
    <t>FRANCISCO D. GUINAYON</t>
  </si>
  <si>
    <t>CONSUELO R. GEDUSPAN</t>
  </si>
  <si>
    <t>BERNARD EVANGELISTA</t>
  </si>
  <si>
    <t>Ruby L. Nicolas</t>
  </si>
  <si>
    <t>Irene Bea Faustino</t>
  </si>
  <si>
    <t>Marlon Salutan Dubla</t>
  </si>
  <si>
    <t>Warlie Mangunay Gregorio</t>
  </si>
  <si>
    <t>Joven Hernandez</t>
  </si>
  <si>
    <t>Ademar R de Castro</t>
  </si>
  <si>
    <t>Haziel Joy Adriano</t>
  </si>
  <si>
    <t>Charity A Ponteres</t>
  </si>
  <si>
    <t>Rosalie  A. Pelle</t>
  </si>
  <si>
    <t>Colleen Ilagan Medallon</t>
  </si>
  <si>
    <t>Cristeta C. Chica</t>
  </si>
  <si>
    <t>ROWELYN VILLARUZ</t>
  </si>
  <si>
    <t>FEDERICO J. GOTICO III</t>
  </si>
  <si>
    <t>Christopher Mabulay Rizo</t>
  </si>
  <si>
    <t>Ridzkan A Hamie</t>
  </si>
  <si>
    <t>Allan Dale Hechanova De Asis</t>
  </si>
  <si>
    <t>Monaliza Aquino Galvez</t>
  </si>
  <si>
    <t>Ester Estrera Awit</t>
  </si>
  <si>
    <t>Marlon Naoe Rimando</t>
  </si>
  <si>
    <t>Delfin Jacob Armario</t>
  </si>
  <si>
    <t>ROCKY TABALBA ANTONIO</t>
  </si>
  <si>
    <t>Melca P. Jayona</t>
  </si>
  <si>
    <t>NIEL CARO ROSALES</t>
  </si>
  <si>
    <t>Resurreccion De Guzman Abada</t>
  </si>
  <si>
    <t>JESSIE EMMANUEL TRINIDAD RICERRA</t>
  </si>
  <si>
    <t>Blessilda May S.  Angeles</t>
  </si>
  <si>
    <t>BIDS And Awards Committee</t>
  </si>
  <si>
    <t>Zaldy D Almoite</t>
  </si>
  <si>
    <t>Cherry Ann  Avenido  Genon</t>
  </si>
  <si>
    <t>GERALDINE N. RANARA</t>
  </si>
  <si>
    <t>Marites A Galliguez</t>
  </si>
  <si>
    <t>LERMA  A.  ENCALLADO</t>
  </si>
  <si>
    <t>PHET E CALINGASAN</t>
  </si>
  <si>
    <t>Edwin Alcaide Linao</t>
  </si>
  <si>
    <t>Jose G Tugna</t>
  </si>
  <si>
    <t>Rhahaf Mae C Mapalad</t>
  </si>
  <si>
    <t>GEFFREY BACHAR CATULIN</t>
  </si>
  <si>
    <t>Amiable Agnes M. Rubio</t>
  </si>
  <si>
    <t>Warren Lorbis Rodriguez</t>
  </si>
  <si>
    <t>Yolanda Espayos Forte</t>
  </si>
  <si>
    <t>ATTY. AIKO ELENI NARIDA PALER</t>
  </si>
  <si>
    <t>Eric Delinog Salon</t>
  </si>
  <si>
    <t>Freddie Sr. Francisco Gabo</t>
  </si>
  <si>
    <t>CELESTE GIE T. DELA CRUZ</t>
  </si>
  <si>
    <t>Russell C Narte</t>
  </si>
  <si>
    <t>PRIMILIN ANNE DELGADO MARIANO</t>
  </si>
  <si>
    <t>FRANCISCO I. CORPUZ, JR.</t>
  </si>
  <si>
    <t>Belto Reyes</t>
  </si>
  <si>
    <t>RUTRIFE  JAPAY MALIGRO</t>
  </si>
  <si>
    <t>Jerl Oyangoren Procurement Officer</t>
  </si>
  <si>
    <t>Aprilla M Camilot</t>
  </si>
  <si>
    <t>Marieta Manayon Gaer</t>
  </si>
  <si>
    <t>Venchito Guiriva Postre</t>
  </si>
  <si>
    <t>Rene P Quezada</t>
  </si>
  <si>
    <t>Daryl Baptista Daodaoang</t>
  </si>
  <si>
    <t>Richie Lucatin Vea</t>
  </si>
  <si>
    <t>Marlone Templeton Buen</t>
  </si>
  <si>
    <t>Mary Ann Antiado Bundal</t>
  </si>
  <si>
    <t>ROSAVILLA  COLANGCO  BALAZO</t>
  </si>
  <si>
    <t>JERELA BIELLE AMERNA AUSTRIA</t>
  </si>
  <si>
    <t>ATTY. MARIA JONIKA GONZAGA ROMANO</t>
  </si>
  <si>
    <t>Marilou Candelaria Mendoza</t>
  </si>
  <si>
    <t>Pablo Fianza Sanidad II</t>
  </si>
  <si>
    <t>Edgar M Mendoza</t>
  </si>
  <si>
    <t>Irwin M Fonbuena</t>
  </si>
  <si>
    <t>Jeffrey F Zamora</t>
  </si>
  <si>
    <t>Judith Nomio</t>
  </si>
  <si>
    <t>Enrico Papag Limjuico</t>
  </si>
  <si>
    <t>Maximo Jr. Pejo Magana</t>
  </si>
  <si>
    <t>Peachy Natividad E. Chatto</t>
  </si>
  <si>
    <t>Myra S Jocson</t>
  </si>
  <si>
    <t>Vincent A. Tan</t>
  </si>
  <si>
    <t>FELIX APACIBLE BENITEZ</t>
  </si>
  <si>
    <t>ALBERTO, SR. GARCIA ADAN</t>
  </si>
  <si>
    <t>Jerry Grace G Danao</t>
  </si>
  <si>
    <t>RENZ MARION  FRAYNA  SADIASA</t>
  </si>
  <si>
    <t>Francis Antonio Legaspi Flores</t>
  </si>
  <si>
    <t>Wilfredo N Roranes</t>
  </si>
  <si>
    <t>Isidro Lopez Tapar</t>
  </si>
  <si>
    <t>Glaver Q. Marilla</t>
  </si>
  <si>
    <t>Juvelyn  Caipan  Laguyan</t>
  </si>
  <si>
    <t>Luzviminda Bentulan Muyco</t>
  </si>
  <si>
    <t>Hiwaga Ortiz Villanueva</t>
  </si>
  <si>
    <t>JUBERT  D.  TUTOR</t>
  </si>
  <si>
    <t>Angelina R Villanoy</t>
  </si>
  <si>
    <t>Lorna P. Vilbar</t>
  </si>
  <si>
    <t>Marie Angelie Fabello Moreno</t>
  </si>
  <si>
    <t>Jay-Ar Solis Alegasdo</t>
  </si>
  <si>
    <t>Corazon Catalla Pante</t>
  </si>
  <si>
    <t>ANTONIO V. SANTOS</t>
  </si>
  <si>
    <t>EDGAR L. MARTINEZ</t>
  </si>
  <si>
    <t>Beralyn Timbol Yadao</t>
  </si>
  <si>
    <t>Raymund Espino Garrido</t>
  </si>
  <si>
    <t>Domingo M. Ogorida</t>
  </si>
  <si>
    <t>Ricardo M. Cuachin</t>
  </si>
  <si>
    <t>Imelda  Sibugan  Agustin</t>
  </si>
  <si>
    <t>ALEX ROMMEL VELARDE ROMANO</t>
  </si>
  <si>
    <t>Barangay Pindongan</t>
  </si>
  <si>
    <t>Rock Eliseo Dequino Garay</t>
  </si>
  <si>
    <t>VINCENT ANTHONY A NAGUIT</t>
  </si>
  <si>
    <t>Virginia Toledo Maraan</t>
  </si>
  <si>
    <t>Glecerio  Yamido  Lara</t>
  </si>
  <si>
    <t>Mac Dennis Ruel O Icalla</t>
  </si>
  <si>
    <t>Claire Crisostomo  Delos Santos</t>
  </si>
  <si>
    <t>Phyl Andre Cruz</t>
  </si>
  <si>
    <t>Noriel G. Sanson</t>
  </si>
  <si>
    <t>Marissa Catacutan Austria</t>
  </si>
  <si>
    <t>Fercilyn E Grospe</t>
  </si>
  <si>
    <t>Fernando  Omeloy  Banayao</t>
  </si>
  <si>
    <t>Edwin Bulabos Almidilla</t>
  </si>
  <si>
    <t>NESTOR MALASIG UY</t>
  </si>
  <si>
    <t>ROSMAR JALOS FLORES Sr.</t>
  </si>
  <si>
    <t>LUZ OXINA</t>
  </si>
  <si>
    <t>Maria Andrea Carvajal Tiong</t>
  </si>
  <si>
    <t>Jonathan Layson Altura</t>
  </si>
  <si>
    <t>Dulce Maling Loto</t>
  </si>
  <si>
    <t>Renee  Salomon  Davad</t>
  </si>
  <si>
    <t>LUZVIMINDA L. ENCISO</t>
  </si>
  <si>
    <t>Clark Benzon Lobo Casuco</t>
  </si>
  <si>
    <t>KEREN JOYCE DAYOT POLICARPIO</t>
  </si>
  <si>
    <t>Leonardo Miranda Bayotas</t>
  </si>
  <si>
    <t>Lynneth Bitchayda Peralta</t>
  </si>
  <si>
    <t>AICEL NECY F MARTINEZ</t>
  </si>
  <si>
    <t>Ernesto Loyola Castillo</t>
  </si>
  <si>
    <t>Chinalyn Dakiwag Rivera</t>
  </si>
  <si>
    <t>Antonio Lucero Cañada</t>
  </si>
  <si>
    <t>Ronnel Jake Bueno Razon</t>
  </si>
  <si>
    <t>Stanley Castro Ramirez</t>
  </si>
  <si>
    <t>JANNET EMILIA PIANG ARATUC</t>
  </si>
  <si>
    <t>Joyce Ann Mae L Del Valle</t>
  </si>
  <si>
    <t>Vergilio Villanueva Mendoza</t>
  </si>
  <si>
    <t>Jovit  Villareal</t>
  </si>
  <si>
    <t>Elisa A. Linaza</t>
  </si>
  <si>
    <t>LEONARDO D AMORES</t>
  </si>
  <si>
    <t>Joey Labancop Agliam</t>
  </si>
  <si>
    <t>CLEANTH REYES GOROSPE</t>
  </si>
  <si>
    <t>Nestor N. Rebato</t>
  </si>
  <si>
    <t>Francis Celmar</t>
  </si>
  <si>
    <t>Ma. Elina Romas Lipang</t>
  </si>
  <si>
    <t>Arthur Olandria Yana</t>
  </si>
  <si>
    <t>ESTRELLA E. VINO</t>
  </si>
  <si>
    <t>Annielyn N JAVIER</t>
  </si>
  <si>
    <t>Dr. Peter S. Sobrevega</t>
  </si>
  <si>
    <t>MARIANO T DUMAYAC</t>
  </si>
  <si>
    <t>ANNIEREY PADSUNGAY TELLES</t>
  </si>
  <si>
    <t>Maximo H Salvatierra</t>
  </si>
  <si>
    <t>MARICAR H DIPUTADO</t>
  </si>
  <si>
    <t>Alvin Putulan Aceret</t>
  </si>
  <si>
    <t>Rommel Aristotle Paraiso Varias</t>
  </si>
  <si>
    <t>Robie Rose Villanueva Laudato</t>
  </si>
  <si>
    <t>Jay Manarang Francisco</t>
  </si>
  <si>
    <t>Florito Marchan Gudes</t>
  </si>
  <si>
    <t>Ralph Ceasar Balane Vallar</t>
  </si>
  <si>
    <t>VIVIAN M. SALGADO MARASIGAN SALGADO</t>
  </si>
  <si>
    <t>Jose F. Ycay IV</t>
  </si>
  <si>
    <t>NESTOR ANTONIO DELGADO</t>
  </si>
  <si>
    <t>Shoraida Titiban Renabor</t>
  </si>
  <si>
    <t>EDMUND PAPEL SOMORAY</t>
  </si>
  <si>
    <t>Andy Ralfh Villafuerte Conocono</t>
  </si>
  <si>
    <t>ISAGANI REYES CONCEPCION</t>
  </si>
  <si>
    <t>Ramon Palileo Palero</t>
  </si>
  <si>
    <t>Jossy  B.  Jasmin</t>
  </si>
  <si>
    <t>Divina Gracia Binuya</t>
  </si>
  <si>
    <t>Mirasol Hortelano Suan</t>
  </si>
  <si>
    <t>MELODINA  LORA</t>
  </si>
  <si>
    <t>JOSEPH BITAGON</t>
  </si>
  <si>
    <t>Teresita C. Suralta</t>
  </si>
  <si>
    <t>ELLA JOAN HICETA Perez</t>
  </si>
  <si>
    <t>Renel Jay Agno Quirit</t>
  </si>
  <si>
    <t>Marilou Sampaton Bernas</t>
  </si>
  <si>
    <t>Aileen Manalo Villanueva</t>
  </si>
  <si>
    <t>Trinidad  Lumibao  Ocampo</t>
  </si>
  <si>
    <t>Mila Tolentino</t>
  </si>
  <si>
    <t>Adam  V. Ramilo</t>
  </si>
  <si>
    <t>RONABETH BERMUDEZ CABAÑAS</t>
  </si>
  <si>
    <t>DIONISIO TORIBIO GOMANTI COSTES</t>
  </si>
  <si>
    <t>Manuel B Lopez</t>
  </si>
  <si>
    <t>jenette marquez samillano</t>
  </si>
  <si>
    <t>Ma Claire Potenciando Olofernes</t>
  </si>
  <si>
    <t>BERNARDITHA BOLINA MILLETE</t>
  </si>
  <si>
    <t>JOVYLYN P LUCAS</t>
  </si>
  <si>
    <t>Jocelyn V. Estero</t>
  </si>
  <si>
    <t>Joseph  Mangco  Soriano</t>
  </si>
  <si>
    <t>MARIBETH SAJORDA LONGATANG</t>
  </si>
  <si>
    <t>MA. ANTONIA GATIL RAFALES</t>
  </si>
  <si>
    <t>Marilou B.  Lahunay</t>
  </si>
  <si>
    <t>Verlene Layaoen Melendez</t>
  </si>
  <si>
    <t>Sheila Mondas Lopiga</t>
  </si>
  <si>
    <t>Renato Motao Sarikit</t>
  </si>
  <si>
    <t>Jose Antonio V Rizalado</t>
  </si>
  <si>
    <t>MINDA BAUTISTA AGUENZA</t>
  </si>
  <si>
    <t>MARY FE GRACE MERCADO BENITO</t>
  </si>
  <si>
    <t>Elvisa Japay Villar</t>
  </si>
  <si>
    <t>NOEL GONZAGA  AQUINO</t>
  </si>
  <si>
    <t>Rosemarie S Espino</t>
  </si>
  <si>
    <t>Jennifer Siaboc Jurado</t>
  </si>
  <si>
    <t>DORINA MELAD</t>
  </si>
  <si>
    <t>Aniano III Bisnar Bacor</t>
  </si>
  <si>
    <t>RICKY CRUIZ POCON</t>
  </si>
  <si>
    <t>Maricel Lagumbay Rubio</t>
  </si>
  <si>
    <t>JEOFREY TOMAS BLAS</t>
  </si>
  <si>
    <t>Cumeganda F Merilles</t>
  </si>
  <si>
    <t>NIÑO BALISTOY SALVACION</t>
  </si>
  <si>
    <t>Emma Gersan Apdian</t>
  </si>
  <si>
    <t>Erick Jeffen Orense Estrella</t>
  </si>
  <si>
    <t>ELAINE JUBAILYN MAGARANG MOCSANAT</t>
  </si>
  <si>
    <t>Pia B Abengoza</t>
  </si>
  <si>
    <t>Leonardo Duran Recabo</t>
  </si>
  <si>
    <t>Mirasol Macaranas Rosano</t>
  </si>
  <si>
    <t>SUSAN S. PECAYO</t>
  </si>
  <si>
    <t>Juliene Villanueva Godoy</t>
  </si>
  <si>
    <t>Charito Tinio Mertens</t>
  </si>
  <si>
    <t>Joicelyn Reta</t>
  </si>
  <si>
    <t>Lou Poliquit Quipit</t>
  </si>
  <si>
    <t>Elvie Villegas Pastera</t>
  </si>
  <si>
    <t>Michele Solon Mapalo</t>
  </si>
  <si>
    <t>Leda Penarubia Redoble</t>
  </si>
  <si>
    <t>Marivic Torres Pagala</t>
  </si>
  <si>
    <t>Jose Antonio Gorordo Flores</t>
  </si>
  <si>
    <t>Antonio Tarubal Macabalo</t>
  </si>
  <si>
    <t>Sonny Miranda Naing</t>
  </si>
  <si>
    <t>Cezar Kuan Paronda</t>
  </si>
  <si>
    <t>Marie Nadeen R. Martinez</t>
  </si>
  <si>
    <t>Gregorio Tresino Antonio</t>
  </si>
  <si>
    <t>Abegail Gey B. Gubaton</t>
  </si>
  <si>
    <t>Carmencita J de Guzman</t>
  </si>
  <si>
    <t>Maria Ritchie Saraga Olayra</t>
  </si>
  <si>
    <t>Joelinda A Segui</t>
  </si>
  <si>
    <t>Datuali Talembo</t>
  </si>
  <si>
    <t>Criselle Mhae Hilario Rele</t>
  </si>
  <si>
    <t>Editha Banayos Villamor</t>
  </si>
  <si>
    <t>Wenelyn Zeta Relacion</t>
  </si>
  <si>
    <t>EVELYN B. VILLACRUEL</t>
  </si>
  <si>
    <t>Ruena Recaido Eimar</t>
  </si>
  <si>
    <t>Enalin Claridad Loyloy</t>
  </si>
  <si>
    <t>Magnolia T Flores</t>
  </si>
  <si>
    <t>Paterno O Hempeso</t>
  </si>
  <si>
    <t>RENATO TANGUNAN SAMBRANO</t>
  </si>
  <si>
    <t>Chelsea Jillian  M.  Abeleda</t>
  </si>
  <si>
    <t>ROGELIO PURGATORIO DAÑO</t>
  </si>
  <si>
    <t>Ma. Delia Ong - Manca</t>
  </si>
  <si>
    <t>ABNER ALPAS ESPARTERO</t>
  </si>
  <si>
    <t>Roel Pantullano Alulino</t>
  </si>
  <si>
    <t>Clyde Mamenta Tinnae</t>
  </si>
  <si>
    <t>Violeta F. Guzman</t>
  </si>
  <si>
    <t>CLARO D MERANDA</t>
  </si>
  <si>
    <t>AIZA ALEGRIA RUBEN</t>
  </si>
  <si>
    <t>Lito Amoguis Estoria</t>
  </si>
  <si>
    <t>Renoir A. Aguila</t>
  </si>
  <si>
    <t>Danny Clamor Flores</t>
  </si>
  <si>
    <t>Stanley B Uriarte</t>
  </si>
  <si>
    <t>Homer G. Hubag</t>
  </si>
  <si>
    <t>John David E Bonifacio</t>
  </si>
  <si>
    <t>Neil Patrick Y. Cruz</t>
  </si>
  <si>
    <t>jennifer empleo rondina</t>
  </si>
  <si>
    <t>Jose Ferdinand Laloy Gabrido</t>
  </si>
  <si>
    <t>Jovel Jurada Oberio</t>
  </si>
  <si>
    <t>Mary Jane Elegio Malbas</t>
  </si>
  <si>
    <t>ANITA domingo TANDANG</t>
  </si>
  <si>
    <t>Emelinda Jaboli Sarmiento</t>
  </si>
  <si>
    <t>Mercedes Inway Luto</t>
  </si>
  <si>
    <t>Gen Anderson Gonzales Tanhueco</t>
  </si>
  <si>
    <t>Celestial Galivo Alag</t>
  </si>
  <si>
    <t>Ebenezer Presentacion Presentacion</t>
  </si>
  <si>
    <t>Mary Jane B Chiyawan</t>
  </si>
  <si>
    <t>Genes Mosinde  Beronio</t>
  </si>
  <si>
    <t>Jezryl M. Lobaton</t>
  </si>
  <si>
    <t>SCHERJAN MOOSA C. IBRAHIM</t>
  </si>
  <si>
    <t>Luz S. Liloc</t>
  </si>
  <si>
    <t>MARISSA PANLILIO ORTIZ</t>
  </si>
  <si>
    <t>Felix S. Billon</t>
  </si>
  <si>
    <t>Rebecca Dampil Subillaga</t>
  </si>
  <si>
    <t>JOSE , JR. PANUELOS TIAPON</t>
  </si>
  <si>
    <t>Norman Jacob Gordonas</t>
  </si>
  <si>
    <t>Annabelle Barut</t>
  </si>
  <si>
    <t>Carolaine Ann Aguila</t>
  </si>
  <si>
    <t>Raul B. Jacela</t>
  </si>
  <si>
    <t>Mary Edal Alviar</t>
  </si>
  <si>
    <t>Melinda M. Pascua</t>
  </si>
  <si>
    <t>Lilibeth G. Santiago</t>
  </si>
  <si>
    <t>Nerie  Lucero</t>
  </si>
  <si>
    <t>IMELDA RIVAS TABILLA</t>
  </si>
  <si>
    <t>Alberto O. Lomangaya</t>
  </si>
  <si>
    <t>Crisostomo Bulut</t>
  </si>
  <si>
    <t>Reynaldo Comia</t>
  </si>
  <si>
    <t>Donabel Caspillo Bassig</t>
  </si>
  <si>
    <t>Amadeo Jr. Ong Tan</t>
  </si>
  <si>
    <t>Ronilo Capuno Garcia</t>
  </si>
  <si>
    <t>Paulo D. Cagara</t>
  </si>
  <si>
    <t>Isidra E. Tumale</t>
  </si>
  <si>
    <t>Marlene  Castro  Sabado</t>
  </si>
  <si>
    <t>Rosella Alojado Villegas</t>
  </si>
  <si>
    <t>Maritess Mamaclay Sibal</t>
  </si>
  <si>
    <t>AURORA CUDAL CUARESMA</t>
  </si>
  <si>
    <t>Nida Tordesillas Tuason</t>
  </si>
  <si>
    <t>Ronnie Montero Constantino</t>
  </si>
  <si>
    <t>Celina L. Padchanan</t>
  </si>
  <si>
    <t>Mario Galila Parreño</t>
  </si>
  <si>
    <t>Donata Millan Acasio</t>
  </si>
  <si>
    <t>SUSAN QUITLONG SISON</t>
  </si>
  <si>
    <t>Dianne April S Pangan</t>
  </si>
  <si>
    <t>Bryan G. Fortuno</t>
  </si>
  <si>
    <t>MOHAMMAD NUR S. DAWAMI</t>
  </si>
  <si>
    <t>Susana Cue Escobar</t>
  </si>
  <si>
    <t>Jose, Jr. Ban-ao Balajo</t>
  </si>
  <si>
    <t>Jacelle Fae T. Yadan</t>
  </si>
  <si>
    <t>FRUGELAN  MILAN  TONOG</t>
  </si>
  <si>
    <t>Romeo Y. Pabilona</t>
  </si>
  <si>
    <t>Julyve de Guzman Untalan</t>
  </si>
  <si>
    <t>Mayren Joy Hapitan Balindoa</t>
  </si>
  <si>
    <t>Arlene Seno Padilla</t>
  </si>
  <si>
    <t>Petronio  C.  Tolentino</t>
  </si>
  <si>
    <t>Noreen Lagahit</t>
  </si>
  <si>
    <t>Teresita Abarcar Cabaguing</t>
  </si>
  <si>
    <t>Celso Geroy Sueno</t>
  </si>
  <si>
    <t>Santirey Santos Carbungco</t>
  </si>
  <si>
    <t>Shella Marie Ilig De Vera</t>
  </si>
  <si>
    <t>Clark Wendell P Lising</t>
  </si>
  <si>
    <t>Christma Joy Pereyra Rodriguez</t>
  </si>
  <si>
    <t>QUIRUBEN R. ANDRES</t>
  </si>
  <si>
    <t>ANNA LHE BOLIVAR TULIO</t>
  </si>
  <si>
    <t>WENIFREDO B. ARGATE</t>
  </si>
  <si>
    <t>Riezel  R.  Malavega</t>
  </si>
  <si>
    <t>Marilyn Ordillo Guerrero</t>
  </si>
  <si>
    <t>Marilou G Agustin</t>
  </si>
  <si>
    <t>Kareen Mendoza</t>
  </si>
  <si>
    <t>Wencel Marie Rubio Imboy</t>
  </si>
  <si>
    <t>Ervin Latagan Lambojo</t>
  </si>
  <si>
    <t>SALVADOR P ACEBUCHE</t>
  </si>
  <si>
    <t>Abner H Labaniego</t>
  </si>
  <si>
    <t>LUCHE BALACY</t>
  </si>
  <si>
    <t>LUEL JANE  G. SANTILLAN</t>
  </si>
  <si>
    <t>Lara Mae Dente Pares</t>
  </si>
  <si>
    <t>Rico Basilio Macabare</t>
  </si>
  <si>
    <t>Jerrico A. Benzon</t>
  </si>
  <si>
    <t>Stephen Sajulga Paller</t>
  </si>
  <si>
    <t>Nestor Jr. V. Marquez</t>
  </si>
  <si>
    <t>Jesus, Jr. Urieta</t>
  </si>
  <si>
    <t>MARILYN DELA PAZ MARIANO</t>
  </si>
  <si>
    <t>Christ Esma Valdehueza</t>
  </si>
  <si>
    <t>Jose Ryan F Galon</t>
  </si>
  <si>
    <t>Renato C. De Pedro</t>
  </si>
  <si>
    <t>pancho jr amor cayago</t>
  </si>
  <si>
    <t>Joey  L.  Reyes</t>
  </si>
  <si>
    <t>MIRASOL DASILAO GAYONA</t>
  </si>
  <si>
    <t>Toni Marc L Dargantes</t>
  </si>
  <si>
    <t>EDWARD ALIGUYON CARIÑO</t>
  </si>
  <si>
    <t>Franco Paypa Sabayton</t>
  </si>
  <si>
    <t>Edhen Flores Aguila</t>
  </si>
  <si>
    <t>PLARIDEL G. DELA CRUZ GUZMAN DELA CRUZ</t>
  </si>
  <si>
    <t>Vergie Ramos Vergara</t>
  </si>
  <si>
    <t>Maria May Santiago Forio</t>
  </si>
  <si>
    <t>Diana D. Ermita</t>
  </si>
  <si>
    <t>Leonard E. Marquez</t>
  </si>
  <si>
    <t>Jormina M. Limoso</t>
  </si>
  <si>
    <t>Jessie Yanga Cabug</t>
  </si>
  <si>
    <t>Gaudiosa Gendrosa Delos santos</t>
  </si>
  <si>
    <t>NORBERTO, JR ONES RUBI</t>
  </si>
  <si>
    <t>ROSA DIÑO MAGPAYO</t>
  </si>
  <si>
    <t>Jayson Barbara Florendo</t>
  </si>
  <si>
    <t>Roy Santos Estrobo</t>
  </si>
  <si>
    <t>Crispo Custodio</t>
  </si>
  <si>
    <t>Nedencio T. Macles and Rebecca M. Gadayan</t>
  </si>
  <si>
    <t>Cindy Pillora Pretta</t>
  </si>
  <si>
    <t>Mary Joy C. San Buenaventura</t>
  </si>
  <si>
    <t>Mark Anthony Cuison Lopez</t>
  </si>
  <si>
    <t>ROGELIO MENDIGO VILLEGAS</t>
  </si>
  <si>
    <t>Jackie Lou Rivera Balmores</t>
  </si>
  <si>
    <t>Siolly  Dela Torre</t>
  </si>
  <si>
    <t>AGRIPINO HERNANDEZ BLANCA</t>
  </si>
  <si>
    <t>ROBERT M. VALLES</t>
  </si>
  <si>
    <t>Eddie V Daday</t>
  </si>
  <si>
    <t>Rodel Gullon Chavez</t>
  </si>
  <si>
    <t>Raquel Campuspos Capili</t>
  </si>
  <si>
    <t>Judilyn Tampepe Natabio</t>
  </si>
  <si>
    <t>Aileen Quintao Ballera</t>
  </si>
  <si>
    <t>Lilibeth F Didato</t>
  </si>
  <si>
    <t>Orea Attiwan</t>
  </si>
  <si>
    <t>Oscar M. Maribojoc Sr.</t>
  </si>
  <si>
    <t>Christan Espanol Andrada</t>
  </si>
  <si>
    <t>RODNEY OMPOC VILLASTIQUE</t>
  </si>
  <si>
    <t>Lani M. Fortunado</t>
  </si>
  <si>
    <t>Duaymelin Marin Bardago</t>
  </si>
  <si>
    <t>Gerry G Jucar</t>
  </si>
  <si>
    <t>ELISA VERGARA BORSIL</t>
  </si>
  <si>
    <t>Mary Joy  Abu  Benito</t>
  </si>
  <si>
    <t>Jasmin Macaspag Dacaynos</t>
  </si>
  <si>
    <t>Vivian Somoza</t>
  </si>
  <si>
    <t>Ruiz Lloyd Gonzales Magcamit</t>
  </si>
  <si>
    <t>JOAN  G. GALLERA</t>
  </si>
  <si>
    <t>Vicky D. Galvan</t>
  </si>
  <si>
    <t>CHARITO TACTAC YANGAT</t>
  </si>
  <si>
    <t>MA. BELEN POLIDO ACUESTA</t>
  </si>
  <si>
    <t>Michael Escobillo</t>
  </si>
  <si>
    <t>Karol Kay T Amacio</t>
  </si>
  <si>
    <t>Gil Y. Miguel</t>
  </si>
  <si>
    <t>Concordia Tantio Supangan</t>
  </si>
  <si>
    <t>Manuel Hawak</t>
  </si>
  <si>
    <t>Benjamin Adorza</t>
  </si>
  <si>
    <t>Carolyn Rebortura Guadalquiver</t>
  </si>
  <si>
    <t>Jane Verceles Talento</t>
  </si>
  <si>
    <t>Anellyn Montemayor Quiros</t>
  </si>
  <si>
    <t>MANOLITO T. MARTINEZ</t>
  </si>
  <si>
    <t>Juliet A Cabrera</t>
  </si>
  <si>
    <t>Lorelie Geronimo Pacquiao</t>
  </si>
  <si>
    <t>Laica Datu Nayre</t>
  </si>
  <si>
    <t>Rechelle Mogan Gabato</t>
  </si>
  <si>
    <t>Ramir Gerola Ydullan</t>
  </si>
  <si>
    <t>Rico Atega Ygbuhay</t>
  </si>
  <si>
    <t>MARIA LUCIA RANIN REQUEJO</t>
  </si>
  <si>
    <t>Chrissel Joy Mamiit Delos Reyes</t>
  </si>
  <si>
    <t>Guia Buenaventura Guerrero</t>
  </si>
  <si>
    <t>Engr Renie R Albarina</t>
  </si>
  <si>
    <t>ATTY. EDGARDO J. GIL</t>
  </si>
  <si>
    <t>Ederlita Cena</t>
  </si>
  <si>
    <t>Lorenzo Burog</t>
  </si>
  <si>
    <t>Cholie M. Roble</t>
  </si>
  <si>
    <t>Lailane L. Palustre</t>
  </si>
  <si>
    <t>Ryan Ibrado Bonghanoy</t>
  </si>
  <si>
    <t>Ma. Teresa del Rosario Perdigon</t>
  </si>
  <si>
    <t>PAZ COLLANTES CAGUIMBAL</t>
  </si>
  <si>
    <t>Dante Brutas Baclao</t>
  </si>
  <si>
    <t>RESTITUTO PRIVADO VILORIA</t>
  </si>
  <si>
    <t>Arnold Perez Dalisay</t>
  </si>
  <si>
    <t>LEONARDO PUGALES</t>
  </si>
  <si>
    <t>Reyvelino Benigno Apongol</t>
  </si>
  <si>
    <t>Carmen M. Adriano</t>
  </si>
  <si>
    <t>JOSELYN D. DALISAY</t>
  </si>
  <si>
    <t>Jocelyn Bitong Abanto</t>
  </si>
  <si>
    <t>Antonio L. Nacario</t>
  </si>
  <si>
    <t>Rowena Antivo Radoc</t>
  </si>
  <si>
    <t>Felix Pajarillaga Macapagal</t>
  </si>
  <si>
    <t>Edward Borgoños Isles</t>
  </si>
  <si>
    <t>Lenyln M. Pagay</t>
  </si>
  <si>
    <t>Juliet Nangca</t>
  </si>
  <si>
    <t>MAMELITO M. CABADONGA</t>
  </si>
  <si>
    <t>Annabelle M Pameron</t>
  </si>
  <si>
    <t>MICHAEL D. MUNAR</t>
  </si>
  <si>
    <t>RICHELLE L. MOROTA</t>
  </si>
  <si>
    <t>DANILO T VILLANUEVA</t>
  </si>
  <si>
    <t>Julian Orcino Castro</t>
  </si>
  <si>
    <t>CHARLTON LIU UY</t>
  </si>
  <si>
    <t>HELEN DE LEON</t>
  </si>
  <si>
    <t>MERLA ARAMBURO REVECHE</t>
  </si>
  <si>
    <t>Godolfredo Baterina Borje</t>
  </si>
  <si>
    <t>Ethel Ian Antonio San Juan</t>
  </si>
  <si>
    <t>AMOR JOY ODULIO SURCO</t>
  </si>
  <si>
    <t>Raniel R Cabasisi</t>
  </si>
  <si>
    <t>CESARIO GASPAR SAMBRANA</t>
  </si>
  <si>
    <t>Leonora Lumayag Ofredo</t>
  </si>
  <si>
    <t>Candelaria Tamera Motin</t>
  </si>
  <si>
    <t>Ruben Denoso Raandaan</t>
  </si>
  <si>
    <t>Jeneth Mercado Rodriguez</t>
  </si>
  <si>
    <t>Edgar  Nadella  Rensulat</t>
  </si>
  <si>
    <t>Milagros Berganio Abaquita</t>
  </si>
  <si>
    <t>ERENEO  E. SULLANO</t>
  </si>
  <si>
    <t>ROSE HABANA MARTINEZ</t>
  </si>
  <si>
    <t>Delia Escasinas Fajardo</t>
  </si>
  <si>
    <t>Ernesto Garcia Escoto</t>
  </si>
  <si>
    <t>Patricio  Nablo</t>
  </si>
  <si>
    <t>Ciscil B. Montemayor</t>
  </si>
  <si>
    <t>CHERRYLYN  B  BARAZONA</t>
  </si>
  <si>
    <t>Charo R Arugay</t>
  </si>
  <si>
    <t>Trifon Estose Orapa</t>
  </si>
  <si>
    <t>Canuto, Jr Adalin Paluga</t>
  </si>
  <si>
    <t>Emmanuelita Joaquin Alonde</t>
  </si>
  <si>
    <t>Edralin B. Baingan</t>
  </si>
  <si>
    <t>Donato Silvano Advincula</t>
  </si>
  <si>
    <t>jerome salcedo armeza</t>
  </si>
  <si>
    <t>MARIO  BEDRIJO  URSAL</t>
  </si>
  <si>
    <t>RAY-JAY LANZARROTE EMBOLTORIO</t>
  </si>
  <si>
    <t>Desiderio Estillore Gudia Jr.</t>
  </si>
  <si>
    <t>MARIVIC V MAKILAN</t>
  </si>
  <si>
    <t>ADORA BONDOC DELA CRUZ</t>
  </si>
  <si>
    <t>EDGAR F. PAKIG</t>
  </si>
  <si>
    <t>Ofelia S Conag</t>
  </si>
  <si>
    <t>ELVIRA VILLARIZ CAMACHO</t>
  </si>
  <si>
    <t>May Villanueva Mendoza</t>
  </si>
  <si>
    <t>GNES L.  MAINIT</t>
  </si>
  <si>
    <t>Fritz Palco Ani</t>
  </si>
  <si>
    <t>Nida Coles Badiola</t>
  </si>
  <si>
    <t>ELENITA C. CRUEL</t>
  </si>
  <si>
    <t>Eva Cañeda</t>
  </si>
  <si>
    <t>Cristina Hera Gonzaga</t>
  </si>
  <si>
    <t>Gregorio P. Rodriguez</t>
  </si>
  <si>
    <t>Eduardo G. Asuncion</t>
  </si>
  <si>
    <t>Rey Salugumba</t>
  </si>
  <si>
    <t>Jicylle Madrio Merin</t>
  </si>
  <si>
    <t>ANECITO G AQUINO</t>
  </si>
  <si>
    <t>Rowena A. Bañaga</t>
  </si>
  <si>
    <t>Luis, Jr. Artieda Albacete</t>
  </si>
  <si>
    <t>Vivian S. Cabando</t>
  </si>
  <si>
    <t>ROMULO M. GUDES</t>
  </si>
  <si>
    <t>Marites Cueto Borbon</t>
  </si>
  <si>
    <t>ANINA RAMOS</t>
  </si>
  <si>
    <t>Freddie Remolado Sumangit</t>
  </si>
  <si>
    <t>Lilibeth Pedroso Arca</t>
  </si>
  <si>
    <t>DIOSDADO A. PAULE</t>
  </si>
  <si>
    <t>May Rose Dejaro  Denolang</t>
  </si>
  <si>
    <t>Eugenio Gallo Reyes</t>
  </si>
  <si>
    <t>Jaime Hervilla Mahimpit</t>
  </si>
  <si>
    <t>Joel Aguanta Molde</t>
  </si>
  <si>
    <t>ROMEO SORIANO BUENAFE, JR.</t>
  </si>
  <si>
    <t>CORAZON Punzalan Rascano</t>
  </si>
  <si>
    <t>Victoria Gabieta Tille</t>
  </si>
  <si>
    <t>Pascual D. Espinosa IV</t>
  </si>
  <si>
    <t>Danilo R. Corpuz</t>
  </si>
  <si>
    <t>Domingo Hutamares Nobleza</t>
  </si>
  <si>
    <t>Nelian Amparo Dago</t>
  </si>
  <si>
    <t>Cleofe A Amores</t>
  </si>
  <si>
    <t>Fernando Paulino Dela Torre</t>
  </si>
  <si>
    <t>Ms. Segundina Libu-on  Aquidado</t>
  </si>
  <si>
    <t>Marissa L Yagyagan</t>
  </si>
  <si>
    <t>Cristina Caraballe</t>
  </si>
  <si>
    <t>Mohmina P. Tanua</t>
  </si>
  <si>
    <t>daisy Cabatay montalbo</t>
  </si>
  <si>
    <t>Roselita Fernandez Candelartio</t>
  </si>
  <si>
    <t>Glodyn Trocio Talledo</t>
  </si>
  <si>
    <t>Gebema M. Zayas</t>
  </si>
  <si>
    <t>Arturo Bordeos Timog</t>
  </si>
  <si>
    <t>J0evir S. Gentuli0</t>
  </si>
  <si>
    <t>Dandee Nono</t>
  </si>
  <si>
    <t>Georgie  Lamparas Ruelan</t>
  </si>
  <si>
    <t>Gracianito Lara Lucero</t>
  </si>
  <si>
    <t>ANA MARIE ALAG BAGUIO</t>
  </si>
  <si>
    <t>Nome R. Ricalde</t>
  </si>
  <si>
    <t>Eleah Reyes Dela Luna</t>
  </si>
  <si>
    <t>Donald De la Cruz Landero</t>
  </si>
  <si>
    <t>LOUIE C. FERNANDEZ</t>
  </si>
  <si>
    <t>Rachelle De Guzman Agpoon</t>
  </si>
  <si>
    <t>Maria Rachel Panti Gonzales</t>
  </si>
  <si>
    <t>Luciano A. Abastillas</t>
  </si>
  <si>
    <t>Victorina L. Gumban</t>
  </si>
  <si>
    <t>Corazon Barrientos Pagayona</t>
  </si>
  <si>
    <t>ROSELYN GARCIA LUGOD</t>
  </si>
  <si>
    <t>Ma. Celyn Noya Padpad</t>
  </si>
  <si>
    <t>FE MARIE  BURLAT  GALUA</t>
  </si>
  <si>
    <t>Joseph Molina Apan</t>
  </si>
  <si>
    <t>Lilica  Abijay  Paracale</t>
  </si>
  <si>
    <t>LANNIE MAE C DINGAL</t>
  </si>
  <si>
    <t>Mejelsa Mejilla Samodio</t>
  </si>
  <si>
    <t>Mary Elaine Vanguardia Briones</t>
  </si>
  <si>
    <t>ESTRELLA T. SAPURAS</t>
  </si>
  <si>
    <t>janet esito delos reyes</t>
  </si>
  <si>
    <t>JESSELL GARCIA TORREJOS</t>
  </si>
  <si>
    <t>Margarito Perez Dimailig</t>
  </si>
  <si>
    <t>ENRIQUE CLAVEZ GONZALEZ</t>
  </si>
  <si>
    <t>Ellen Padel Platil</t>
  </si>
  <si>
    <t>Christine Joy L. Lastimoso</t>
  </si>
  <si>
    <t>Mary Melisande Jamoyot Andaya</t>
  </si>
  <si>
    <t>Gregorio M Monreal</t>
  </si>
  <si>
    <t>Debie Gildore Tan</t>
  </si>
  <si>
    <t>Cecilia  Pelare  Osmena</t>
  </si>
  <si>
    <t>Leomar Bayod Balod</t>
  </si>
  <si>
    <t>AMALIA GENOVIA ATIENDA</t>
  </si>
  <si>
    <t>Edison C Gascon</t>
  </si>
  <si>
    <t>Carlo Yuson Silva</t>
  </si>
  <si>
    <t>Elisa De Jesus Obina</t>
  </si>
  <si>
    <t>MYRNA MALUBAG MANALO</t>
  </si>
  <si>
    <t>LESLIE MARTH M. BOHOLST</t>
  </si>
  <si>
    <t>Ruby Ann Aguadera Geanga</t>
  </si>
  <si>
    <t>MARICEL TUMULAC MAGDAMO</t>
  </si>
  <si>
    <t>Anne Camille Carlos Bautista</t>
  </si>
  <si>
    <t>Elmer Foronda Acoba</t>
  </si>
  <si>
    <t>Wennie S. Angit</t>
  </si>
  <si>
    <t>Gilbert E. Visca</t>
  </si>
  <si>
    <t>Naomie Dahunan Zalsos</t>
  </si>
  <si>
    <t>Renie Muñoz Dumangas</t>
  </si>
  <si>
    <t>Karen Lisette Trinidad Molas</t>
  </si>
  <si>
    <t>MARIO PARING PAGALAN</t>
  </si>
  <si>
    <t>JOVELYN LINDIO EBRACION</t>
  </si>
  <si>
    <t>Severino Aberca</t>
  </si>
  <si>
    <t>Nerissa Bugagao Mayo</t>
  </si>
  <si>
    <t>Vincent Wyne Jamora Gagarin</t>
  </si>
  <si>
    <t>Bernadette Sanchez Ragay</t>
  </si>
  <si>
    <t>Sotico M Cascara</t>
  </si>
  <si>
    <t>Cerespink Alcantara Aguila</t>
  </si>
  <si>
    <t>Nelita Tayobong Gerilla</t>
  </si>
  <si>
    <t>Ruzzel Jay Curitana Soltura</t>
  </si>
  <si>
    <t>Ruby Anna S. Benamir</t>
  </si>
  <si>
    <t>MARILOU A BELMONTE</t>
  </si>
  <si>
    <t>Nilo Eduarte Diesta</t>
  </si>
  <si>
    <t>Sheila May Caceres Barilea</t>
  </si>
  <si>
    <t>Levie Agcaoili Talub</t>
  </si>
  <si>
    <t>Ronville Mejica Muego</t>
  </si>
  <si>
    <t>RODOLFO DIVINO JUNGCO</t>
  </si>
  <si>
    <t>JOY MAAN BAEZA MIRA</t>
  </si>
  <si>
    <t>Jelenita D Limot</t>
  </si>
  <si>
    <t>EUGENIANO SAWALI</t>
  </si>
  <si>
    <t>MARIELLE SANDRA GAVIOLA</t>
  </si>
  <si>
    <t>Brigido Layug Sigua</t>
  </si>
  <si>
    <t>Randolph R Maguigad</t>
  </si>
  <si>
    <t>John Eric Tan David</t>
  </si>
  <si>
    <t>Danielle Mark Medrano Adeva</t>
  </si>
  <si>
    <t>Teresita Antonio Skidmore</t>
  </si>
  <si>
    <t>MERIAM SEBUC CATAPANG</t>
  </si>
  <si>
    <t>MILAGROS C. YU</t>
  </si>
  <si>
    <t>Criselda D. Bacatano</t>
  </si>
  <si>
    <t>Angel Shieldon C Agan</t>
  </si>
  <si>
    <t>Janette Escano Eusebio</t>
  </si>
  <si>
    <t>Lucil I Montermoso</t>
  </si>
  <si>
    <t>Luniville S. Argulla</t>
  </si>
  <si>
    <t>Shirley Bruca Tadeo</t>
  </si>
  <si>
    <t>RUBY FERNANDEZ PERASOL</t>
  </si>
  <si>
    <t>Joan V. Cortero</t>
  </si>
  <si>
    <t>MARCELINO JR. L. PONIPON</t>
  </si>
  <si>
    <t>Haydee Dela Concepcion Suico</t>
  </si>
  <si>
    <t>Khalid M. Pangarungan</t>
  </si>
  <si>
    <t>Noel A. Mejia</t>
  </si>
  <si>
    <t>Lope Mario B. Lina</t>
  </si>
  <si>
    <t>Generoso Padilla</t>
  </si>
  <si>
    <t>GEMMA P. CASTRO</t>
  </si>
  <si>
    <t>JALILOU ESAGA ELIZALDE</t>
  </si>
  <si>
    <t>ANDREA A. FACUNLA</t>
  </si>
  <si>
    <t>ESTER B NAVALES</t>
  </si>
  <si>
    <t>Lovely Jayawon Jonayon</t>
  </si>
  <si>
    <t>Jonathan Flores Anat</t>
  </si>
  <si>
    <t>Archie Tumambing</t>
  </si>
  <si>
    <t>MA. CATHERINA MENDOZA APOSTOL</t>
  </si>
  <si>
    <t>Ma. Soledad F Baquiran</t>
  </si>
  <si>
    <t>Carlos D Neyra IV</t>
  </si>
  <si>
    <t>Ma. Candelaria  Villarama  Jarilla</t>
  </si>
  <si>
    <t>Ricardo Mandreza Abad</t>
  </si>
  <si>
    <t>RUFINO MACAPAGAL</t>
  </si>
  <si>
    <t>GLENN PAULINO GADIA</t>
  </si>
  <si>
    <t>vivencio c. palo</t>
  </si>
  <si>
    <t>Shiela May M. Noceda</t>
  </si>
  <si>
    <t>jose v. torres sr.</t>
  </si>
  <si>
    <t>armando G. inciong</t>
  </si>
  <si>
    <t>carina unira rocamora</t>
  </si>
  <si>
    <t>Edward B. Romulo</t>
  </si>
  <si>
    <t>Ruby S Cortez</t>
  </si>
  <si>
    <t>ALFREDO M. VILLAPANDO</t>
  </si>
  <si>
    <t>Paulino V. Querubin</t>
  </si>
  <si>
    <t>Eleonor Subrado</t>
  </si>
  <si>
    <t>Nila A Tiago</t>
  </si>
  <si>
    <t>Diosdora D. Magbojos</t>
  </si>
  <si>
    <t>John Rey Doblon Gayoso</t>
  </si>
  <si>
    <t>Rowena S. Mercene</t>
  </si>
  <si>
    <t>Vivian Ploteña</t>
  </si>
  <si>
    <t>David B. Reyes, Jr.</t>
  </si>
  <si>
    <t>Dominic Bolos Garcia</t>
  </si>
  <si>
    <t>JAMES CINO ESTOYA</t>
  </si>
  <si>
    <t>Mokamad Musa Solaiman</t>
  </si>
  <si>
    <t>Alan Lamprea Juarez</t>
  </si>
  <si>
    <t>Oliver John G. Palon</t>
  </si>
  <si>
    <t>Ernesto Jr. Taugan Carcido</t>
  </si>
  <si>
    <t>Joel Gutierrez Caytona</t>
  </si>
  <si>
    <t>Jojie B. Rabina</t>
  </si>
  <si>
    <t>JANEL BALATAN BORJA</t>
  </si>
  <si>
    <t>Avin  Vargas  Surban</t>
  </si>
  <si>
    <t>DANILO B. MANUEL</t>
  </si>
  <si>
    <t>Levy S. Zarcauga</t>
  </si>
  <si>
    <t>Lilibeth Paguia</t>
  </si>
  <si>
    <t>Charlotte R. Zacarias</t>
  </si>
  <si>
    <t>Noli T. Gandamon</t>
  </si>
  <si>
    <t>Garry Salve Mazo</t>
  </si>
  <si>
    <t>JENNIFER SUMANG JOSON</t>
  </si>
  <si>
    <t>MIRASOL JUSTINIANI GONZALEZ</t>
  </si>
  <si>
    <t>Lorna angatungan Sorono</t>
  </si>
  <si>
    <t>Rowena M Mirhan</t>
  </si>
  <si>
    <t>Paterno A Unajan</t>
  </si>
  <si>
    <t>Ernesto S. Suplido</t>
  </si>
  <si>
    <t>Janet Pavillar</t>
  </si>
  <si>
    <t>Baby Catherine B Cruz</t>
  </si>
  <si>
    <t>DOLORES JAVIER GOTICO</t>
  </si>
  <si>
    <t>Maricel Vitasa Granada</t>
  </si>
  <si>
    <t>Marites F Ferrer</t>
  </si>
  <si>
    <t>JOCELYN A. FERNANDO, MPMG</t>
  </si>
  <si>
    <t>DANIEL B BIASURA</t>
  </si>
  <si>
    <t>Analiza Camsa Lomedeg</t>
  </si>
  <si>
    <t>Joey Vincent P. Rabanal</t>
  </si>
  <si>
    <t>EMMA SALTIGA ROSALES</t>
  </si>
  <si>
    <t>TEEJAY YOSHIUMI JUNATAS SAKUMA</t>
  </si>
  <si>
    <t>Charmaine  R.  Luistro</t>
  </si>
  <si>
    <t>Antonio Mendoza Bautista</t>
  </si>
  <si>
    <t>Jeffreylhada Muallil Noor</t>
  </si>
  <si>
    <t>HELEN IGUANA EDULLANTES</t>
  </si>
  <si>
    <t>Franco Asis Monjardin</t>
  </si>
  <si>
    <t>Giovanni Y. Tianero</t>
  </si>
  <si>
    <t>JUNAR ESTA SIRIT</t>
  </si>
  <si>
    <t>Nestor Acol Almaite</t>
  </si>
  <si>
    <t>ALDINE  GREFALDEO HABOC</t>
  </si>
  <si>
    <t>Vivencio CANEO Quinto</t>
  </si>
  <si>
    <t>LETICIA PANAGUITON OSORIO</t>
  </si>
  <si>
    <t>Randy Miranda Matibag</t>
  </si>
  <si>
    <t>Jesse R. Quilantang</t>
  </si>
  <si>
    <t>Cario Abag Baskial</t>
  </si>
  <si>
    <t>Rose Althea Bugayong</t>
  </si>
  <si>
    <t>Marissa D Guadez</t>
  </si>
  <si>
    <t>RYAN C. LAMANOZA</t>
  </si>
  <si>
    <t>REYNALDO C. CATANUS</t>
  </si>
  <si>
    <t>JUANALY OLARTE LACAL</t>
  </si>
  <si>
    <t>CHRISTOPER G BLANCO</t>
  </si>
  <si>
    <t>Blessy B. Nael</t>
  </si>
  <si>
    <t>CHARITA S. RASAY</t>
  </si>
  <si>
    <t>ROLAND MAYOL PEREZ</t>
  </si>
  <si>
    <t>Teresita C Santiago</t>
  </si>
  <si>
    <t>Bevs A Santino</t>
  </si>
  <si>
    <t>Imelda Quirante Gatdula</t>
  </si>
  <si>
    <t>Mae Lyn Garcia Altarejos</t>
  </si>
  <si>
    <t>Cherry Nasareno</t>
  </si>
  <si>
    <t>IRINEO A. MABALLO</t>
  </si>
  <si>
    <t>ROGELIO  SALCEDO</t>
  </si>
  <si>
    <t>Arlene A Amen</t>
  </si>
  <si>
    <t>Jerry  C.  Rodriguez</t>
  </si>
  <si>
    <t>Lenard Tabil</t>
  </si>
  <si>
    <t>Marina Limson Am-is</t>
  </si>
  <si>
    <t>Rhienna Jhean Marcial Arsenal</t>
  </si>
  <si>
    <t>Revilito B Raman</t>
  </si>
  <si>
    <t>Manuela Quibol Rulos</t>
  </si>
  <si>
    <t>Sharon Obias Dancalan</t>
  </si>
  <si>
    <t>Maria Lucia Sanchez</t>
  </si>
  <si>
    <t>Chrizl Joane Fernandez</t>
  </si>
  <si>
    <t>Arnold D. Trinchera</t>
  </si>
  <si>
    <t>FLORELYN BUOT LACHARON</t>
  </si>
  <si>
    <t>Jennifer Loquillano Mayang-Aligado</t>
  </si>
  <si>
    <t>Ma. Nena T. Zapico</t>
  </si>
  <si>
    <t>MONALIZA GUILLEN CALAMBRO</t>
  </si>
  <si>
    <t>EDUARDO EBANA JAQUILMAC</t>
  </si>
  <si>
    <t>ALVIN CABASAG LAMOSTE</t>
  </si>
  <si>
    <t>Leoje Sulla Tagle</t>
  </si>
  <si>
    <t>Frazier L. Quinesio</t>
  </si>
  <si>
    <t>JIM  JAKOSALEM AMARADO</t>
  </si>
  <si>
    <t>jerlyn reyes tabornal</t>
  </si>
  <si>
    <t>LORELLIE OCAMPO RABANERA</t>
  </si>
  <si>
    <t>RUEL O. LOZANO</t>
  </si>
  <si>
    <t>Jerry Tienzo Budomo</t>
  </si>
  <si>
    <t>Eliza Alvarez Quiambao</t>
  </si>
  <si>
    <t>Rebecca A Cabalhin</t>
  </si>
  <si>
    <t>Erna O. Lumandong</t>
  </si>
  <si>
    <t>Quintin Albarico Lim, JR</t>
  </si>
  <si>
    <t>COLEEN C LOMOLJO</t>
  </si>
  <si>
    <t>Anna May Laulita Martinez</t>
  </si>
  <si>
    <t>Salvador Onating Ochavo Jr.</t>
  </si>
  <si>
    <t>Maria Rosario Carranza Serrano</t>
  </si>
  <si>
    <t>CHARLENE DE NAVA ALDEA</t>
  </si>
  <si>
    <t>John B Magbanua</t>
  </si>
  <si>
    <t>Jaime Arnado Marcera</t>
  </si>
  <si>
    <t>MERTLITA  SABINO</t>
  </si>
  <si>
    <t>Rolinda Macario De Julian</t>
  </si>
  <si>
    <t>Rodrigo S Baid</t>
  </si>
  <si>
    <t>Marilyn T Inong</t>
  </si>
  <si>
    <t>Rojie Lynn "Tata" Quirante Martizano</t>
  </si>
  <si>
    <t>Asaria P Cañal</t>
  </si>
  <si>
    <t>Wilson C. Rosario</t>
  </si>
  <si>
    <t>Dane C Dizon</t>
  </si>
  <si>
    <t>PAB JACOB BANGELISAN</t>
  </si>
  <si>
    <t>Rolando Javier Garcia</t>
  </si>
  <si>
    <t>ALGIER BICADA WOO</t>
  </si>
  <si>
    <t>MARICAR FACTURANAN BALINGIT</t>
  </si>
  <si>
    <t>Nelson Bonifacio Villaluna</t>
  </si>
  <si>
    <t>maribeth yamaru timbal</t>
  </si>
  <si>
    <t>clark deous pagaduan</t>
  </si>
  <si>
    <t>Nolan A Tocao</t>
  </si>
  <si>
    <t>Manuel A Chua</t>
  </si>
  <si>
    <t>Herminia Navarra Nacuspag</t>
  </si>
  <si>
    <t>Fatnuhalda Abarrondo Samparani</t>
  </si>
  <si>
    <t>Franknoverlee Tacus Capili</t>
  </si>
  <si>
    <t>Jovelyn Revillosa Alegre</t>
  </si>
  <si>
    <t>ALLAN RICARDO DOLOTINA REAL</t>
  </si>
  <si>
    <t>Ciriaco L Montano</t>
  </si>
  <si>
    <t>Jeffrey M. Paclibon</t>
  </si>
  <si>
    <t>ROSA DALAGUETE MANUEL</t>
  </si>
  <si>
    <t>Froilan N.  De leon</t>
  </si>
  <si>
    <t>Amelita Miras Mercado</t>
  </si>
  <si>
    <t>Federico III Daleno Rivero</t>
  </si>
  <si>
    <t>Jacquiline Lanutan Tagaca</t>
  </si>
  <si>
    <t>PERICLES CUIZON SOLLANO</t>
  </si>
  <si>
    <t>Roxanne Tinguban Marcalinas</t>
  </si>
  <si>
    <t>Atanacio Catibog</t>
  </si>
  <si>
    <t>MA. GLORIA GELI SORRERA</t>
  </si>
  <si>
    <t>Nel Gabin Castillo</t>
  </si>
  <si>
    <t>AURORA MARGARET D. DIEZA</t>
  </si>
  <si>
    <t>Nanette Mirasol Dulfo</t>
  </si>
  <si>
    <t>Jenny Quimpan Puli</t>
  </si>
  <si>
    <t>Chona Lou C Fulinara</t>
  </si>
  <si>
    <t>Aurelia  S.  Bernasol</t>
  </si>
  <si>
    <t>Benjamin Jr. Bertiz Javellana</t>
  </si>
  <si>
    <t>Ricardo A. Negado</t>
  </si>
  <si>
    <t>Victor Yasul Navarro</t>
  </si>
  <si>
    <t>Clarivel Ordonia Seguritan</t>
  </si>
  <si>
    <t>RHODA ARELLANO TALAUGON</t>
  </si>
  <si>
    <t>ANNE MARIE  P. PACATANG</t>
  </si>
  <si>
    <t>CHARLES L.  TABADA</t>
  </si>
  <si>
    <t>Meluchi D. Porol</t>
  </si>
  <si>
    <t xml:space="preserve">JEMUEL SR. GALLO  DULLA </t>
  </si>
  <si>
    <t>Lorna V. Gayla</t>
  </si>
  <si>
    <t>Julie G Salvador</t>
  </si>
  <si>
    <t>Merly Jumao-as Omambac</t>
  </si>
  <si>
    <t>Ellyne Marie Kee Aligarbes</t>
  </si>
  <si>
    <t>MARIO L. CELLONA</t>
  </si>
  <si>
    <t>Adriano Araniego Adriano</t>
  </si>
  <si>
    <t>France Josephine Camua Bautista</t>
  </si>
  <si>
    <t>VICTOR LUZA LAGUNA</t>
  </si>
  <si>
    <t>RULLEN AMARO RUSIANA</t>
  </si>
  <si>
    <t>Engr. Arnulfo F. Tena</t>
  </si>
  <si>
    <t>Renan Reyes Liwanag</t>
  </si>
  <si>
    <t>ANGELINA M. ESTARDO</t>
  </si>
  <si>
    <t>ISRAEL LACUESTA</t>
  </si>
  <si>
    <t>Paolo Crispino Casiñas Sucalit</t>
  </si>
  <si>
    <t>Mary Grace Palcon Gallardo</t>
  </si>
  <si>
    <t>ROMELITO PANGANIBAN</t>
  </si>
  <si>
    <t>Agnes Lara Gabriel</t>
  </si>
  <si>
    <t>Rosemary Terez Gepte</t>
  </si>
  <si>
    <t>Zaldy Rodriguez Delmendo</t>
  </si>
  <si>
    <t>GERMAN M. DELA CRUZ</t>
  </si>
  <si>
    <t>JESSIE B COROTAN</t>
  </si>
  <si>
    <t>Jocelyn Mosqueda Abaya</t>
  </si>
  <si>
    <t>Mars A Delos Reyes</t>
  </si>
  <si>
    <t>Mary Grace Lamadora Villacote</t>
  </si>
  <si>
    <t>CERNAN M. CRUZ</t>
  </si>
  <si>
    <t>RICHARD HOWITT LAW L. LAING</t>
  </si>
  <si>
    <t>ROGER  PAA</t>
  </si>
  <si>
    <t>Theresa Legaspi</t>
  </si>
  <si>
    <t>Gypsy Jennsen Arquio</t>
  </si>
  <si>
    <t>Revine Claire S. Cantil</t>
  </si>
  <si>
    <t>Celestial S Flancia</t>
  </si>
  <si>
    <t>REY  VILLA  MARTINEZ</t>
  </si>
  <si>
    <t>Miguel Abobo Gorgonio</t>
  </si>
  <si>
    <t>Augusto Alvarez Salangsang</t>
  </si>
  <si>
    <t>Jay Francis Ibanez Dela Victoria</t>
  </si>
  <si>
    <t>EDISON SALANO ORIAS</t>
  </si>
  <si>
    <t>JOY PACANAN</t>
  </si>
  <si>
    <t>Fernando Rendon Uy</t>
  </si>
  <si>
    <t>ARNEL DUMANAIS</t>
  </si>
  <si>
    <t>Mary Grace L. Baarde</t>
  </si>
  <si>
    <t>Teofilo B. Ferolin, Sr.</t>
  </si>
  <si>
    <t>GLENDO GAMAYON DATOR</t>
  </si>
  <si>
    <t>Florian Agcopra Labiano</t>
  </si>
  <si>
    <t>MARCIAL RAMOS VALIENTE</t>
  </si>
  <si>
    <t>JANE KULPO LIKIGAN</t>
  </si>
  <si>
    <t>SHIRLEY SENA SIGUE</t>
  </si>
  <si>
    <t>Marivic Melencion Macuha</t>
  </si>
  <si>
    <t>Imelda S. Piliin</t>
  </si>
  <si>
    <t>Aniano P. Capinig</t>
  </si>
  <si>
    <t>DONNA M PADUA</t>
  </si>
  <si>
    <t>Janet Bali Santua</t>
  </si>
  <si>
    <t>HERALDO B. PRESADO</t>
  </si>
  <si>
    <t>REYNALDO Q. CHING</t>
  </si>
  <si>
    <t>Joma S Canete</t>
  </si>
  <si>
    <t>ROSABELLA ORNA MAGPILI</t>
  </si>
  <si>
    <t>Richard Angel M. Arboleda</t>
  </si>
  <si>
    <t>Gemma Ladera Asi</t>
  </si>
  <si>
    <t>Andrew Lim Pagayatan</t>
  </si>
  <si>
    <t>Judith D. Alde</t>
  </si>
  <si>
    <t>Cesarina Sico Macuha</t>
  </si>
  <si>
    <t>ABDULBAYAN LATIP ABAS</t>
  </si>
  <si>
    <t>Angelita Flores Villanueva</t>
  </si>
  <si>
    <t>NEOPOLO JR. LACSON MANALOTO</t>
  </si>
  <si>
    <t>Erasto A Llagas</t>
  </si>
  <si>
    <t>EDSEL MONTERO CARAMONTE</t>
  </si>
  <si>
    <t>Elizabeth Maligsa Molde</t>
  </si>
  <si>
    <t>JOVITO VISTAL TOLARESA</t>
  </si>
  <si>
    <t>Mike Jun Fuentecilla Onting</t>
  </si>
  <si>
    <t>ZALDY RADOMES PACAYRA</t>
  </si>
  <si>
    <t>WILLIAM UBA VALDE</t>
  </si>
  <si>
    <t>Hilario Jr.  Manangan Olivo</t>
  </si>
  <si>
    <t>Jonathan J. Bayona</t>
  </si>
  <si>
    <t>Arnold Dawal</t>
  </si>
  <si>
    <t>Josefina C. Opleda</t>
  </si>
  <si>
    <t>JOSE CORDERO ANGULO, JR.</t>
  </si>
  <si>
    <t>Arlene M Kaalim</t>
  </si>
  <si>
    <t>Ian H. Orendain</t>
  </si>
  <si>
    <t>VENUS ESCOBAR TORRES</t>
  </si>
  <si>
    <t>Eloida L Samonte</t>
  </si>
  <si>
    <t>Liezl M Dolana</t>
  </si>
  <si>
    <t>Marlon Iwarat Esguerra</t>
  </si>
  <si>
    <t>Edmar Tenio Tambis</t>
  </si>
  <si>
    <t>Ma. Amor Bañas</t>
  </si>
  <si>
    <t>Miangelle A. Lacson</t>
  </si>
  <si>
    <t>Arnulfo Sandagon Musa</t>
  </si>
  <si>
    <t>JENALYN MADOLID NEBRIDA</t>
  </si>
  <si>
    <t>Marjune C. Vito</t>
  </si>
  <si>
    <t>Maria Rizza Mae  R.  Mabaquiao</t>
  </si>
  <si>
    <t>Rex Aquiatan Agustin</t>
  </si>
  <si>
    <t>GERALD AL P MENDOZA</t>
  </si>
  <si>
    <t>Loy Joseph I Quitain</t>
  </si>
  <si>
    <t>MEDALINE MONSERATE ZARRIZ</t>
  </si>
  <si>
    <t>ELIZABETH PANZA PALMES</t>
  </si>
  <si>
    <t>Ramil Custodio Martinez</t>
  </si>
  <si>
    <t>CRISPIN AUSTRIA BATAC</t>
  </si>
  <si>
    <t>Paulo F. Tagsip</t>
  </si>
  <si>
    <t>Jaime S.J. Javellana</t>
  </si>
  <si>
    <t>JEROME MIRANDA PACLIBAR</t>
  </si>
  <si>
    <t>Nilda Olog Villaco</t>
  </si>
  <si>
    <t>LOLITO DUCUSIN FONTANOS</t>
  </si>
  <si>
    <t>Fe dela cruz Baclaan</t>
  </si>
  <si>
    <t>Amabe Amanse Dela Cruz</t>
  </si>
  <si>
    <t>Agnes Badilla Martino</t>
  </si>
  <si>
    <t>Arlaine M De Vera</t>
  </si>
  <si>
    <t>JENNY BEE HERBILLA RIVERA</t>
  </si>
  <si>
    <t>EGICEL C. LUMBAO</t>
  </si>
  <si>
    <t>Maria Lourdes Atanacio Angeles</t>
  </si>
  <si>
    <t>ELENA PADUYOS GARLITOS</t>
  </si>
  <si>
    <t>Barangay T Treasurer</t>
  </si>
  <si>
    <t>Loreta C Salgado</t>
  </si>
  <si>
    <t>Macinole Manalo Domopoy</t>
  </si>
  <si>
    <t>Cresenciano J Yu</t>
  </si>
  <si>
    <t>Adriel S. Dacara</t>
  </si>
  <si>
    <t>Lady Kristine Santos Loyola</t>
  </si>
  <si>
    <t>Michelle Nabas Gregorio</t>
  </si>
  <si>
    <t>Morena Corcuera Mendoza</t>
  </si>
  <si>
    <t>Corazon Parido Plameras</t>
  </si>
  <si>
    <t>Guy Perez</t>
  </si>
  <si>
    <t>Ervin C. San Jose</t>
  </si>
  <si>
    <t>Victor Ariong Aglipay</t>
  </si>
  <si>
    <t>Inocencio Cordero Mana-ay</t>
  </si>
  <si>
    <t>Cyriz Gulahab Anfone</t>
  </si>
  <si>
    <t>Herma Aratan Seruela</t>
  </si>
  <si>
    <t>ESTELA  B  TUSE</t>
  </si>
  <si>
    <t>Emiliana Z Sarmiento</t>
  </si>
  <si>
    <t>Carlito G. Ilao</t>
  </si>
  <si>
    <t>ANGELINA CAPISTRANO RIGOS</t>
  </si>
  <si>
    <t>Leofredo Rivera Natividad</t>
  </si>
  <si>
    <t>Jasmine Deguito</t>
  </si>
  <si>
    <t>Rhea G Aquino</t>
  </si>
  <si>
    <t>Robert A Santillano</t>
  </si>
  <si>
    <t>PAUL BANTUGAN CUARTERO</t>
  </si>
  <si>
    <t>Arnulfo Escultor Salazar Jr.</t>
  </si>
  <si>
    <t>SANTOS PASTRANA PANIZALES, JR.</t>
  </si>
  <si>
    <t>JUNEL ALBAO RAMADILLA</t>
  </si>
  <si>
    <t>ABDURAJAK ORDONEZ</t>
  </si>
  <si>
    <t>LADIET BORIBA BERNABE</t>
  </si>
  <si>
    <t>Chocho Obsioma Labuanan</t>
  </si>
  <si>
    <t>Ma. April S. Crampatana</t>
  </si>
  <si>
    <t>Roland Cuenca Grijalvo</t>
  </si>
  <si>
    <t>Jose A. Loquinte</t>
  </si>
  <si>
    <t>Lyn Latag Mistas</t>
  </si>
  <si>
    <t>Julius Asuit Arcinas</t>
  </si>
  <si>
    <t>Arnel Gahator Otida</t>
  </si>
  <si>
    <t>Romeo Jr. Periolan Bilbao</t>
  </si>
  <si>
    <t>ENGR. DOMINGO D. DOYONGAN, JR.</t>
  </si>
  <si>
    <t>Lou Wendell C San Jose</t>
  </si>
  <si>
    <t>Toni Rose D Juera</t>
  </si>
  <si>
    <t>Janet Gonzales Villafranca</t>
  </si>
  <si>
    <t>Carlita Ricorte Tagalogon</t>
  </si>
  <si>
    <t>MARLENE PAGSISIHAN ERNAS</t>
  </si>
  <si>
    <t>Marichelle Ferrer</t>
  </si>
  <si>
    <t>KARLEEN R. DESTURA</t>
  </si>
  <si>
    <t>EVERLYN CORONACION MANCENIDO</t>
  </si>
  <si>
    <t>Darwin Mendoza Liwanag</t>
  </si>
  <si>
    <t>Maureen Pasajol Camilo</t>
  </si>
  <si>
    <t>Shirley Vegiga Turla</t>
  </si>
  <si>
    <t>MARICHELLE D. FERRER</t>
  </si>
  <si>
    <t>Evelyn C. Padayhag</t>
  </si>
  <si>
    <t>Myra Cecilia Donila Grata</t>
  </si>
  <si>
    <t>Merlyn Leyson</t>
  </si>
  <si>
    <t>Mikko S Duero</t>
  </si>
  <si>
    <t>Irene Enriquez</t>
  </si>
  <si>
    <t>Darah Gonzales Buro</t>
  </si>
  <si>
    <t>Jessica  Antipas Bunani</t>
  </si>
  <si>
    <t>JENNY ANN ESNARA PALACI</t>
  </si>
  <si>
    <t>Melanie Claire Pasion Singzon</t>
  </si>
  <si>
    <t>Niña Grace Tolentino Aquino</t>
  </si>
  <si>
    <t>Jenn Glaiza Gallego</t>
  </si>
  <si>
    <t>Marilyn P. Duran</t>
  </si>
  <si>
    <t>Margie P Alanunay</t>
  </si>
  <si>
    <t>crisanto de asis quijano</t>
  </si>
  <si>
    <t>Ma. Elma Solangon Alapre</t>
  </si>
  <si>
    <t>Reynaldo Ninon Manaog</t>
  </si>
  <si>
    <t>Alex Rivas Literato</t>
  </si>
  <si>
    <t>Jessie Povadora Saquilabon</t>
  </si>
  <si>
    <t>Manuel Melis Ignacio</t>
  </si>
  <si>
    <t>Julie Ann T Flores</t>
  </si>
  <si>
    <t>Myline A. Dilla</t>
  </si>
  <si>
    <t>Brgy. San Agustin</t>
  </si>
  <si>
    <t>Charlimyne Ganas Intano</t>
  </si>
  <si>
    <t>Arman Demaisip Ravena</t>
  </si>
  <si>
    <t>Aika Jenina C. Labio</t>
  </si>
  <si>
    <t>Jai anne nica bueno abuel</t>
  </si>
  <si>
    <t>Manjoe Legaspi Toledo</t>
  </si>
  <si>
    <t>MARIA NANCY A. CANAGAN</t>
  </si>
  <si>
    <t>VICTOR M BUENO</t>
  </si>
  <si>
    <t>NELSON PAÑARES PEDOCHE</t>
  </si>
  <si>
    <t>ERIKA R. DURAN</t>
  </si>
  <si>
    <t>LIVY POLIA DALA</t>
  </si>
  <si>
    <t>MICHAEL PORTAS DORINGO</t>
  </si>
  <si>
    <t>Hayria Gonsang Panalindang</t>
  </si>
  <si>
    <t>Elmo B Canino</t>
  </si>
  <si>
    <t>Manuel G. Octobre</t>
  </si>
  <si>
    <t>Herma Taghap Paragsa</t>
  </si>
  <si>
    <t>Jennifer Mallonga Cunanan</t>
  </si>
  <si>
    <t>Helen Grace P. Hilario</t>
  </si>
  <si>
    <t>marilou into cabeguin</t>
  </si>
  <si>
    <t>RICARDO, JR. ABABOL IMBING</t>
  </si>
  <si>
    <t>Dina V. Panganiban</t>
  </si>
  <si>
    <t>JOEL DALMACIA SUMAWANG</t>
  </si>
  <si>
    <t>JAKE CYRIL N. SOLITE</t>
  </si>
  <si>
    <t>Emelita I. Garcia</t>
  </si>
  <si>
    <t>ROSALYN AZUL CONDAT</t>
  </si>
  <si>
    <t>RAMON ANSELMO CARBONERA CALAGOS</t>
  </si>
  <si>
    <t>FILIPINAS ESTRELLA RODELAS</t>
  </si>
  <si>
    <t>segrid sahagon dacanay</t>
  </si>
  <si>
    <t>Sheran Goze Recolizado</t>
  </si>
  <si>
    <t>Reinerio Boglosa</t>
  </si>
  <si>
    <t>Jose Jacinto B Antonio</t>
  </si>
  <si>
    <t>Eric  Torre  Tejada</t>
  </si>
  <si>
    <t>CONRADO SARMIENTO GUEVARRA</t>
  </si>
  <si>
    <t>MA. NEOFITA S. TUAZON</t>
  </si>
  <si>
    <t>EDELBERTA  URNOM  VILLADOLID</t>
  </si>
  <si>
    <t>Agnes Mendoza Bueno</t>
  </si>
  <si>
    <t>Asuncion Asuncion Padre</t>
  </si>
  <si>
    <t>JOANA E. LUZ</t>
  </si>
  <si>
    <t>Baivy Leen Mendoza Reyes</t>
  </si>
  <si>
    <t>JOSEPH  ARAYSA GALAGALA</t>
  </si>
  <si>
    <t>ANTONIETA  T.  PIE</t>
  </si>
  <si>
    <t>Marissa I Rivera</t>
  </si>
  <si>
    <t>ELIZABETH  PAGULONG  ESCOZA</t>
  </si>
  <si>
    <t>Adriano Jr. A. Barangot</t>
  </si>
  <si>
    <t>Cyril D. Valencerina</t>
  </si>
  <si>
    <t>EMMA ESPEDIDO TAÑAFRANCA</t>
  </si>
  <si>
    <t>Genaro Telen Lapasanda</t>
  </si>
  <si>
    <t>rejulio jacildo bruno</t>
  </si>
  <si>
    <t>Dolores Carig Tendero</t>
  </si>
  <si>
    <t>APOSTOL LARGADO DANILO</t>
  </si>
  <si>
    <t>Roel Basi Lachica</t>
  </si>
  <si>
    <t>Josephine Tolentino Banay</t>
  </si>
  <si>
    <t>Arman Anggalis De Guzman</t>
  </si>
  <si>
    <t>Adelaida Tosing Diega</t>
  </si>
  <si>
    <t>Mark Alvin Hernandez Gatus</t>
  </si>
  <si>
    <t>Editha P. Conejos</t>
  </si>
  <si>
    <t>Gilda Filoteo Lluisma</t>
  </si>
  <si>
    <t>BERNARDINO DELA CRUZ ANDRES</t>
  </si>
  <si>
    <t>Al Rasheed Olivo Sapto</t>
  </si>
  <si>
    <t>Abelardo Agpalza Villanueva</t>
  </si>
  <si>
    <t xml:space="preserve">Emerito L.  Robledo </t>
  </si>
  <si>
    <t>RAFAEL A. ARRADAZA</t>
  </si>
  <si>
    <t>Alma Holman Conrelio</t>
  </si>
  <si>
    <t>Charlemagne Fetil Fortu</t>
  </si>
  <si>
    <t>JESUS RODRIGUEZ</t>
  </si>
  <si>
    <t>Rodolfo Felipe Jopio Jr.</t>
  </si>
  <si>
    <t>JAIME MORATALLA</t>
  </si>
  <si>
    <t>VENUSTO JUN CLARITO JR.</t>
  </si>
  <si>
    <t>JENNIFER  D. SIMBAJON</t>
  </si>
  <si>
    <t>REY ANN AGOSTO ERES</t>
  </si>
  <si>
    <t>Noryn B. Bagano</t>
  </si>
  <si>
    <t>LYDIA ORATA UMOSO</t>
  </si>
  <si>
    <t>Carlo Niel P. Barangtay</t>
  </si>
  <si>
    <t>Aida L Cerudo</t>
  </si>
  <si>
    <t>Rhoderick T. Haban</t>
  </si>
  <si>
    <t>Alicia Bagalay Belen</t>
  </si>
  <si>
    <t>Jeric Edem Menoy</t>
  </si>
  <si>
    <t>Edgar Orbeta Salentes</t>
  </si>
  <si>
    <t>RENATO P. MAGAN</t>
  </si>
  <si>
    <t>JERRY TIRADO TUARES</t>
  </si>
  <si>
    <t>Melinda R Abanilla</t>
  </si>
  <si>
    <t>ANA ELISA LOURDES A. PARAISO</t>
  </si>
  <si>
    <t>Marito V. Catorce</t>
  </si>
  <si>
    <t>RAFAEL CAÑETE JR</t>
  </si>
  <si>
    <t>JAN RAE MIJARES CANABANO</t>
  </si>
  <si>
    <t>MARIO ABANTO TALLEDO</t>
  </si>
  <si>
    <t>Dindo Cornejo Montablan</t>
  </si>
  <si>
    <t>Cindy Ramos Tiu</t>
  </si>
  <si>
    <t>CLIFTON GARETH NGODCHO FANG-ASAN</t>
  </si>
  <si>
    <t>Analyn Carles</t>
  </si>
  <si>
    <t>Segundo Escamillas Anyayahan</t>
  </si>
  <si>
    <t>Josafat Lindong Caipang</t>
  </si>
  <si>
    <t>MICHELLE ZAMAR LIM</t>
  </si>
  <si>
    <t>LIWAYWAY G. CAGAMPANG</t>
  </si>
  <si>
    <t>ANNE ALEGRE ESTEBAN</t>
  </si>
  <si>
    <t>VANESSA JANE CEBALLOS LIM</t>
  </si>
  <si>
    <t>Christopher Salamanca Cristobal</t>
  </si>
  <si>
    <t>Ma. Christina Robles Jancilan</t>
  </si>
  <si>
    <t>Marie Juvy Lalin Alera</t>
  </si>
  <si>
    <t>Flordelis Ceniza</t>
  </si>
  <si>
    <t>Riavida Macalolot Soriaga</t>
  </si>
  <si>
    <t>Agnes Padro Tampico</t>
  </si>
  <si>
    <t>ADELAIDA M. DELA ROSA</t>
  </si>
  <si>
    <t>Eleanor C. Laylo</t>
  </si>
  <si>
    <t>Mae Valledor</t>
  </si>
  <si>
    <t>Erogelio Bana-ay</t>
  </si>
  <si>
    <t>Jade Giangan Liaz</t>
  </si>
  <si>
    <t>LEAH ABORDO OBLIAN</t>
  </si>
  <si>
    <t>Cheenie D. Botones</t>
  </si>
  <si>
    <t>Aldwin  Alcantara  Carandang</t>
  </si>
  <si>
    <t>Alfredo I Cayabyab</t>
  </si>
  <si>
    <t>LENI BUENSALIDA SABEROLA</t>
  </si>
  <si>
    <t>Miezl Apat</t>
  </si>
  <si>
    <t>Ricardo V Nuñez</t>
  </si>
  <si>
    <t>LEMUEL ESPINA AN</t>
  </si>
  <si>
    <t>PIO CLAR TONERA</t>
  </si>
  <si>
    <t>Josephine Adug Tabino</t>
  </si>
  <si>
    <t>VIRGILIA S. MAZO</t>
  </si>
  <si>
    <t>Ma. Rita Fallorina Ongbit</t>
  </si>
  <si>
    <t>Arjomae Penuela Jacob</t>
  </si>
  <si>
    <t>Kristine Gomez Contreras</t>
  </si>
  <si>
    <t>MIRAFLOR G. SABANDO</t>
  </si>
  <si>
    <t>EDMUNDO ORQUITA ALTIZO SR.</t>
  </si>
  <si>
    <t>Tessie Guerrero Cabaning</t>
  </si>
  <si>
    <t>Jhonna Salve Janer Buenaflor</t>
  </si>
  <si>
    <t>Liza Panganiban Defeo</t>
  </si>
  <si>
    <t>Romeo L Tuddao</t>
  </si>
  <si>
    <t>Ruby Dedace Abriol</t>
  </si>
  <si>
    <t>CORAZON A. YAMIT</t>
  </si>
  <si>
    <t>CARLITO BRUZON COTARES</t>
  </si>
  <si>
    <t>Jocelyn Talanay Pantaleon</t>
  </si>
  <si>
    <t>Glenn Jr Lucilo Bernardino</t>
  </si>
  <si>
    <t>Alwin M. Uy</t>
  </si>
  <si>
    <t>Francorival Castanares Lorizo</t>
  </si>
  <si>
    <t>Leo Tagalog Pardillo</t>
  </si>
  <si>
    <t>John randy B Cuadra</t>
  </si>
  <si>
    <t>MARL PHILIP YAMSUAN CACHERO</t>
  </si>
  <si>
    <t>Rosedelia C. Rayos</t>
  </si>
  <si>
    <t>Lauren Christine B. La'O</t>
  </si>
  <si>
    <t>RANDY DUENAS DE TORRES</t>
  </si>
  <si>
    <t>RAUL PANELO GALI</t>
  </si>
  <si>
    <t>Maribel Castillo Botavara</t>
  </si>
  <si>
    <t>ezekiel gacias tangaro</t>
  </si>
  <si>
    <t>PEDRO DONIEGO ASUNCION III</t>
  </si>
  <si>
    <t>Teodora M Madali</t>
  </si>
  <si>
    <t>Joseking Dalama Tampal</t>
  </si>
  <si>
    <t xml:space="preserve">Lynie B.  Alejandro </t>
  </si>
  <si>
    <t>Felomina Pepito Royeras</t>
  </si>
  <si>
    <t>ANABELLE CELESTE WANIA</t>
  </si>
  <si>
    <t>Maan  Aleta  Adona</t>
  </si>
  <si>
    <t>Renato Seso Cagomoc</t>
  </si>
  <si>
    <t>JOSHUA  TIZON</t>
  </si>
  <si>
    <t>MA. CRISTINA  B. AYUCAN</t>
  </si>
  <si>
    <t>GIGI FLORES CORONEL</t>
  </si>
  <si>
    <t>ALVIN C LAGASCA</t>
  </si>
  <si>
    <t>Reynante Lomboy Gungon</t>
  </si>
  <si>
    <t>Mavic Azuran</t>
  </si>
  <si>
    <t>MARY ANN P MALE</t>
  </si>
  <si>
    <t>Riza Singalivo Buarao</t>
  </si>
  <si>
    <t>Danilo Ragudo Rafanan</t>
  </si>
  <si>
    <t>Gavin B Cadiente</t>
  </si>
  <si>
    <t>Salome D. Diel</t>
  </si>
  <si>
    <t>Jeffrey  T.  Calma</t>
  </si>
  <si>
    <t>Jose Marlowe Torrefranca Echem</t>
  </si>
  <si>
    <t>JAIME CABAÑAS REGATO</t>
  </si>
  <si>
    <t>Joan M. dela Cruz</t>
  </si>
  <si>
    <t>Rhea Valmadrid</t>
  </si>
  <si>
    <t>Johnald Z. Salomon</t>
  </si>
  <si>
    <t>MARIA LIZA GENADA RULL</t>
  </si>
  <si>
    <t>HERBERT WILLIAM L. EMNAS</t>
  </si>
  <si>
    <t>Cecille Angeline 09171477690 Lipardo</t>
  </si>
  <si>
    <t>Joemar Macaya Cag-ang</t>
  </si>
  <si>
    <t>Lourdes Pretencio Peñaflor</t>
  </si>
  <si>
    <t>Joseph S. Andrada</t>
  </si>
  <si>
    <t>Jose Mario C Viernes</t>
  </si>
  <si>
    <t>Edgardo Pacay</t>
  </si>
  <si>
    <t>Marife Vinluan Cruz</t>
  </si>
  <si>
    <t>Alexander G. Diez</t>
  </si>
  <si>
    <t>Connie  Bagadiong Avila</t>
  </si>
  <si>
    <t>Joan Carillo Adolfo</t>
  </si>
  <si>
    <t>Melotina P. Cadiz</t>
  </si>
  <si>
    <t>Brenda R. Morales</t>
  </si>
  <si>
    <t>GERALDINE O AGRAVANTE</t>
  </si>
  <si>
    <t>Clariza Cabuello Estremera</t>
  </si>
  <si>
    <t>CHRISTIE ANN GELVEZON ORTIZ</t>
  </si>
  <si>
    <t>Dandy T Solas</t>
  </si>
  <si>
    <t>Chris Galicia Delos Reyes</t>
  </si>
  <si>
    <t>Lister Denila Tapales</t>
  </si>
  <si>
    <t>SANDRA TORAYNO UDANG</t>
  </si>
  <si>
    <t>Bobster A. Paraiso</t>
  </si>
  <si>
    <t>Anna Liza Ramirez Quirolgico</t>
  </si>
  <si>
    <t>Jovie Mayne Legaspi-Valdez</t>
  </si>
  <si>
    <t>argie acedre magallanes</t>
  </si>
  <si>
    <t>Allan Maluto Dacallos</t>
  </si>
  <si>
    <t>Bobby Hique Nicanor</t>
  </si>
  <si>
    <t>AGOSTO BELINO BAOBAOEN</t>
  </si>
  <si>
    <t>Miladilla Santiago</t>
  </si>
  <si>
    <t>Angelie de la Llave Intico</t>
  </si>
  <si>
    <t>Sandae B. Lico</t>
  </si>
  <si>
    <t>Maria Elenita General Gallano</t>
  </si>
  <si>
    <t>Armina B. Abad</t>
  </si>
  <si>
    <t>EnP Arlet E. Legaspi</t>
  </si>
  <si>
    <t xml:space="preserve">MYLEN  LEGASPINA  GONZAGA </t>
  </si>
  <si>
    <t>Norlita Pondias Magante</t>
  </si>
  <si>
    <t>Sonny Boy Bautista Berbano</t>
  </si>
  <si>
    <t>Lolito B. Aboy</t>
  </si>
  <si>
    <t>Arnel Villamor Esller</t>
  </si>
  <si>
    <t>Maria Teresa Diamante Balbedo</t>
  </si>
  <si>
    <t>Carmelita Seto Bangayan</t>
  </si>
  <si>
    <t>Faye Bungag Maraggun</t>
  </si>
  <si>
    <t>Paul Francis Sarmiento Tomimbang</t>
  </si>
  <si>
    <t>Vanessa Tornito Alcuizar</t>
  </si>
  <si>
    <t>Abigail Chiara Catalla Muñoz</t>
  </si>
  <si>
    <t>Andresito Papelirin Dosal</t>
  </si>
  <si>
    <t>Mary Grace P Estalilla</t>
  </si>
  <si>
    <t>Maria Magnaye Matawaran</t>
  </si>
  <si>
    <t>AMPARO GARCIA REGALA</t>
  </si>
  <si>
    <t>DONNA COMPANIA DELOTINA</t>
  </si>
  <si>
    <t>ALESSANDRA YPIL BAGUIO</t>
  </si>
  <si>
    <t>Erlwin S. Andres</t>
  </si>
  <si>
    <t>JULIUS B. UNDAR</t>
  </si>
  <si>
    <t>Eden Rose V. Calo</t>
  </si>
  <si>
    <t>Josephine Pangan Jamon</t>
  </si>
  <si>
    <t>Herbert Arizapa Herbert</t>
  </si>
  <si>
    <t>Arnel M Ruz</t>
  </si>
  <si>
    <t>Juanito Sipada Pacaña</t>
  </si>
  <si>
    <t>MARIA THERESA LOZADA PITALLANO</t>
  </si>
  <si>
    <t>Lina Paglicawan Faltado</t>
  </si>
  <si>
    <t>Edilberto D Madrigal</t>
  </si>
  <si>
    <t>Sunshine Rhina R Caunin</t>
  </si>
  <si>
    <t>MARIBEL MOLINA REGASPI</t>
  </si>
  <si>
    <t>LEONARDO MADEJA, JR.</t>
  </si>
  <si>
    <t>ELMER CEZAR ASPE ZALETA</t>
  </si>
  <si>
    <t>Erny Bullos Palmes</t>
  </si>
  <si>
    <t>Queenzel Dela Cruz Obregon</t>
  </si>
  <si>
    <t>Lourvelyn Sicat Lacson</t>
  </si>
  <si>
    <t>Editha V. Aguinaldo, MPA, MBA</t>
  </si>
  <si>
    <t>Vivianne Desalisa Lasay</t>
  </si>
  <si>
    <t>Kristine Alonzo Gealan</t>
  </si>
  <si>
    <t>Maria Cristina I. Canson</t>
  </si>
  <si>
    <t>Crisanto Losande Rabina</t>
  </si>
  <si>
    <t>VIOLA  P.  MONTILLA</t>
  </si>
  <si>
    <t>Pablo M Ramos Jr.</t>
  </si>
  <si>
    <t>Marydoll Urgelles Concepcion</t>
  </si>
  <si>
    <t>Christian Macasaquit Colindres</t>
  </si>
  <si>
    <t>GREENGEL A. CORPUZ</t>
  </si>
  <si>
    <t>Sonny T. Villabert</t>
  </si>
  <si>
    <t>Ruben P. Salac Jr.</t>
  </si>
  <si>
    <t>CIRILO BAUI AZURIN</t>
  </si>
  <si>
    <t>JOENIME B KAPINA</t>
  </si>
  <si>
    <t>Danilo B. Solis</t>
  </si>
  <si>
    <t>JERRY S. ROSARIO</t>
  </si>
  <si>
    <t>Hermie A Villa Jr.</t>
  </si>
  <si>
    <t>Nehemia Pomeg-as</t>
  </si>
  <si>
    <t>Josie Ga-ang Yap</t>
  </si>
  <si>
    <t>Christine Manulat Malagapo</t>
  </si>
  <si>
    <t>FRANCISCO C. TOSCANO JR.</t>
  </si>
  <si>
    <t>Mariz  Lapid  Onchengco</t>
  </si>
  <si>
    <t>HARON JOEFARIZ L DAWI</t>
  </si>
  <si>
    <t>Eliza Rendon Alamo</t>
  </si>
  <si>
    <t>Mae Marie E Hernandez</t>
  </si>
  <si>
    <t>Julieta C Romen</t>
  </si>
  <si>
    <t>EDUARDO P. GOLES</t>
  </si>
  <si>
    <t>Hannah F Artil</t>
  </si>
  <si>
    <t>Jessica  Sualog Diaz</t>
  </si>
  <si>
    <t>Raymart   S.  Adonis</t>
  </si>
  <si>
    <t>Nasief Bagul Hadji Salem</t>
  </si>
  <si>
    <t>Dan Kenneth Taguinin Viernes</t>
  </si>
  <si>
    <t>Jeanette M. Buera</t>
  </si>
  <si>
    <t>Emeterio Pacia Gutierrez</t>
  </si>
  <si>
    <t>Raymundo Belen Cueto</t>
  </si>
  <si>
    <t>Ruben Roxas Cauilan</t>
  </si>
  <si>
    <t>Mary Rose Abracosa Pino</t>
  </si>
  <si>
    <t>Reynaldo Non De Lumen</t>
  </si>
  <si>
    <t>Guido G Loste</t>
  </si>
  <si>
    <t>Odessa O Mayangitan</t>
  </si>
  <si>
    <t>Mario Bacay</t>
  </si>
  <si>
    <t>BUENAVENTURA ALEJANDRO GALINDO</t>
  </si>
  <si>
    <t>Rene Astillero Camposano</t>
  </si>
  <si>
    <t>JOENAR VARGAS AGRAVANTE</t>
  </si>
  <si>
    <t>Abner Limpangog Igot</t>
  </si>
  <si>
    <t>Leonard D Danao</t>
  </si>
  <si>
    <t>Ma. Twinkle G Mercader</t>
  </si>
  <si>
    <t>Faustina T Guzman</t>
  </si>
  <si>
    <t>PADILLA A. MACAWADIB</t>
  </si>
  <si>
    <t>HAZEL C. ARTIEDA</t>
  </si>
  <si>
    <t>Emeliza Maniquiz Nogoy</t>
  </si>
  <si>
    <t>MARK ROY BELUAN TOMULAK</t>
  </si>
  <si>
    <t>DERRICK ENCARNACION MAYOR</t>
  </si>
  <si>
    <t>RUBEN K. LANZAR</t>
  </si>
  <si>
    <t>Rosalito  B Velez</t>
  </si>
  <si>
    <t>MARYJANE VISTAL TAMPEPE</t>
  </si>
  <si>
    <t>Andrea R Gaddi</t>
  </si>
  <si>
    <t>JEREMIAS RAÑOLA TUMAMAK</t>
  </si>
  <si>
    <t>Arni Nidoy Abad</t>
  </si>
  <si>
    <t>ROMELYN GERALLA YEE</t>
  </si>
  <si>
    <t>Arnold Villanueva Dao</t>
  </si>
  <si>
    <t>Jenny P. Sison</t>
  </si>
  <si>
    <t>jimmy managad tolentino</t>
  </si>
  <si>
    <t>JOSETTE Y. VILLAMOR</t>
  </si>
  <si>
    <t>Felyn  Chavez  Febrio</t>
  </si>
  <si>
    <t>Khristine Aquino Balagtas</t>
  </si>
  <si>
    <t>Perfecto B Taduran</t>
  </si>
  <si>
    <t>Sharon Cunanan Lingad</t>
  </si>
  <si>
    <t>Teresa Atienza</t>
  </si>
  <si>
    <t>Flora Mae Malacas Malacas</t>
  </si>
  <si>
    <t>Cecilia Gico</t>
  </si>
  <si>
    <t>Christie Magdalene J Pedroza</t>
  </si>
  <si>
    <t>Ronald Nacario Villanueva</t>
  </si>
  <si>
    <t>Ormil D.  Go</t>
  </si>
  <si>
    <t>Mars Z Julian</t>
  </si>
  <si>
    <t>Hedeliza D. Montebon</t>
  </si>
  <si>
    <t>Cherry  Batoy  Torres</t>
  </si>
  <si>
    <t>Macario Ramos Jr.</t>
  </si>
  <si>
    <t>Isaac  C. H Hipolito</t>
  </si>
  <si>
    <t>Monalyn Lomibao Moulic</t>
  </si>
  <si>
    <t>Roselle Manrique Carlos</t>
  </si>
  <si>
    <t>Irene  Romero Arevalo</t>
  </si>
  <si>
    <t>JEROME M. MARTINEZ</t>
  </si>
  <si>
    <t>Modesto Buenavides Talon</t>
  </si>
  <si>
    <t>Catherine Cañedo Lim</t>
  </si>
  <si>
    <t>Charles  C. Sokoken</t>
  </si>
  <si>
    <t>EDITHA M. RAMOLETE</t>
  </si>
  <si>
    <t>Catalino Datuin Camello</t>
  </si>
  <si>
    <t>Jose B. Patalinjug III</t>
  </si>
  <si>
    <t>Bernardo P. Reyes</t>
  </si>
  <si>
    <t>Marivic Masbad Managbanag</t>
  </si>
  <si>
    <t>Lailani S Hernandez</t>
  </si>
  <si>
    <t>Bill V. Segui</t>
  </si>
  <si>
    <t>Domingo Lupadit</t>
  </si>
  <si>
    <t>Consuelo Javier Cruz</t>
  </si>
  <si>
    <t>Wenilo G Ada</t>
  </si>
  <si>
    <t>Nilo Vargas</t>
  </si>
  <si>
    <t>PERPETUA MACABABBAD ONATE</t>
  </si>
  <si>
    <t>Marck Tristan B. Martin</t>
  </si>
  <si>
    <t>Hanna Elisha I. Antonio</t>
  </si>
  <si>
    <t>Jerona M. Silagan</t>
  </si>
  <si>
    <t>Grace Sumatra Orilla</t>
  </si>
  <si>
    <t>Richard M Aranas</t>
  </si>
  <si>
    <t>Jose Tobias</t>
  </si>
  <si>
    <t>Francisco Escape Oliva, Jr.</t>
  </si>
  <si>
    <t>Marc Louis B. Sampilo</t>
  </si>
  <si>
    <t>Enrico S Lazaro</t>
  </si>
  <si>
    <t>Ianna May Miralles</t>
  </si>
  <si>
    <t>Ralph Rhomar Morales Buenaventura</t>
  </si>
  <si>
    <t>Joan DM Vendiola</t>
  </si>
  <si>
    <t>Sostenes M. Palero</t>
  </si>
  <si>
    <t>Hilario Yoshy Casem</t>
  </si>
  <si>
    <t>Marcelina Jumawan Oguis</t>
  </si>
  <si>
    <t>LANI DEFENSOR SARDINA</t>
  </si>
  <si>
    <t>Joannarie V. Bantolo</t>
  </si>
  <si>
    <t>Ignacio Geno P. Eugenio</t>
  </si>
  <si>
    <t>Malvarosa Petilla Perote</t>
  </si>
  <si>
    <t>Gertrude T. Daguio</t>
  </si>
  <si>
    <t>EDGARDO A. VALDEZ</t>
  </si>
  <si>
    <t>WALTER L. RUIZO</t>
  </si>
  <si>
    <t>Rose S. Sucgang</t>
  </si>
  <si>
    <t>Mark Nikko Badiola</t>
  </si>
  <si>
    <t>Carol S Coloma</t>
  </si>
  <si>
    <t>Lea Bailo Looc</t>
  </si>
  <si>
    <t>Teresita Correa Faustino</t>
  </si>
  <si>
    <t>Mae Rodrigueza Cerdeña</t>
  </si>
  <si>
    <t>Jerome Duenas Malapit</t>
  </si>
  <si>
    <t>Dianne Gungob Ibias</t>
  </si>
  <si>
    <t>Ma. Ferolane B. Degala</t>
  </si>
  <si>
    <t>Heizel Causaren Almanon</t>
  </si>
  <si>
    <t>Rosmendo Jr C.  Bongocan</t>
  </si>
  <si>
    <t>Jan Michael Clifford Bugtong</t>
  </si>
  <si>
    <t>Mariel De Vera Mohammad-Sali</t>
  </si>
  <si>
    <t>Eugene Raro Luces</t>
  </si>
  <si>
    <t>Arnaldo G Liansing</t>
  </si>
  <si>
    <t>Mila Rodrin Creencia 2</t>
  </si>
  <si>
    <t>Engr. Roberto M Digay</t>
  </si>
  <si>
    <t>Joyce Quilicol Gomba</t>
  </si>
  <si>
    <t>MANUEL PARAYNO PARAYNO</t>
  </si>
  <si>
    <t>Lilibeth Tayab Sabihon</t>
  </si>
  <si>
    <t>Vigilus Dominguez Credo</t>
  </si>
  <si>
    <t>Florante Tomas Ruiz</t>
  </si>
  <si>
    <t>Rhandy D. Domingo</t>
  </si>
  <si>
    <t>Roberto III Almazan Mirando</t>
  </si>
  <si>
    <t>andresito panti lumbao</t>
  </si>
  <si>
    <t>GIL GABRIEL HIDALGO BORDADO III</t>
  </si>
  <si>
    <t>LOLITA DE LEON SINGSON</t>
  </si>
  <si>
    <t>Rosana Lagrimas Bambalan</t>
  </si>
  <si>
    <t>Maria Nenita Reyes Chiu</t>
  </si>
  <si>
    <t>Renzjay Antonio Linsangan</t>
  </si>
  <si>
    <t>Marcelino Jr. R. Bebanco</t>
  </si>
  <si>
    <t>Leo Distor Huinda</t>
  </si>
  <si>
    <t>ingrid castillon paquibot</t>
  </si>
  <si>
    <t>MAR P. VIERNES</t>
  </si>
  <si>
    <t>Michelle Bolo</t>
  </si>
  <si>
    <t>MA. ROWENA M. LABINDAO</t>
  </si>
  <si>
    <t>Virgilio A Abonador</t>
  </si>
  <si>
    <t>Joel P. Solis</t>
  </si>
  <si>
    <t>Gerardo Jr. V Viloria</t>
  </si>
  <si>
    <t>Jurupin Piting Pungutan</t>
  </si>
  <si>
    <t>Ma. Luisa C Tenedero</t>
  </si>
  <si>
    <t>Rommel Geraldizo Bendicion</t>
  </si>
  <si>
    <t>Ailyn  Rosilla Bergado Bergado</t>
  </si>
  <si>
    <t>Moreno  Verano</t>
  </si>
  <si>
    <t>MARILYN DURAN BINONDO</t>
  </si>
  <si>
    <t>Farrah Jane M Falcutila</t>
  </si>
  <si>
    <t>JESUS JONJIE ADELANTAR VENTURANZA</t>
  </si>
  <si>
    <t>Antonio Y. Calonge</t>
  </si>
  <si>
    <t>Allan C. Cauilan</t>
  </si>
  <si>
    <t>Ramilo Ramirez Malubag</t>
  </si>
  <si>
    <t>Expedito Magluyan Villaruz</t>
  </si>
  <si>
    <t>Rene Sobremonte</t>
  </si>
  <si>
    <t>Lorenzo B Gahoy</t>
  </si>
  <si>
    <t>Aristotle Arucan Paez</t>
  </si>
  <si>
    <t>JULIUS EFREN CEPEDA CANAPI</t>
  </si>
  <si>
    <t>Ron Marr P. Evangelista</t>
  </si>
  <si>
    <t>EDDIE CUSIPAG ARUGAY</t>
  </si>
  <si>
    <t>Rox E. Tarranza</t>
  </si>
  <si>
    <t>Ma. Kristina Goylos Medalla</t>
  </si>
  <si>
    <t>Dindo Hicap Caliwanagan</t>
  </si>
  <si>
    <t>Concepcion Costan Lofranco</t>
  </si>
  <si>
    <t>Maricar C Cristobal</t>
  </si>
  <si>
    <t>JOEMARIE G. JISON</t>
  </si>
  <si>
    <t>ROLANDO A SAMSON</t>
  </si>
  <si>
    <t>Marilyn De Paz Robedillo</t>
  </si>
  <si>
    <t>Leah Mary Grace Flores Sanga</t>
  </si>
  <si>
    <t>Licerio Camacho Patingo</t>
  </si>
  <si>
    <t>Julito Monteclaro Maglacas</t>
  </si>
  <si>
    <t>Joel De Leon</t>
  </si>
  <si>
    <t>Robert John Donesa</t>
  </si>
  <si>
    <t>Memilanie Malabunga Aguilar</t>
  </si>
  <si>
    <t>Lucas Molina Ballad</t>
  </si>
  <si>
    <t>Junelyn Salilig Olvido</t>
  </si>
  <si>
    <t>Joey Llorente</t>
  </si>
  <si>
    <t>Kamille Rose Sison Mendoza</t>
  </si>
  <si>
    <t>Jocelle Ann Javillo Mayor-Laraya</t>
  </si>
  <si>
    <t>Rogero Ocbeña</t>
  </si>
  <si>
    <t>Ruben M. Ollete</t>
  </si>
  <si>
    <t>PEDRO TUDDAO BARASI</t>
  </si>
  <si>
    <t>Henry Turingan Perez Jr.</t>
  </si>
  <si>
    <t>Erwin R. Magday</t>
  </si>
  <si>
    <t>Fidel Responde Bruel</t>
  </si>
  <si>
    <t>LEONILA T. CAJES</t>
  </si>
  <si>
    <t>Camille Alcantara Florendo</t>
  </si>
  <si>
    <t>Luchie Sarangaya-Agustin</t>
  </si>
  <si>
    <t>Chari Rose Mozol Apit</t>
  </si>
  <si>
    <t>Teresa G. Fines</t>
  </si>
  <si>
    <t>mary ann corpuz paguio</t>
  </si>
  <si>
    <t>Grace S Villaroman</t>
  </si>
  <si>
    <t>Sante Sobremonte Presaldo</t>
  </si>
  <si>
    <t>EDGAR C. OLACO</t>
  </si>
  <si>
    <t>ELVIE DELFIN PEREZ</t>
  </si>
  <si>
    <t>Jojie Ann Oliva Watin</t>
  </si>
  <si>
    <t>Roderick I. Mendoza</t>
  </si>
  <si>
    <t>Nydia R. Magallon</t>
  </si>
  <si>
    <t>Crisel Luna Layague Agudo</t>
  </si>
  <si>
    <t xml:space="preserve"> Armando Baay  Avenido</t>
  </si>
  <si>
    <t>MIKE SULA</t>
  </si>
  <si>
    <t>Elena Maniwang Santillan</t>
  </si>
  <si>
    <t>Vincent Joseph D. Disu</t>
  </si>
  <si>
    <t>Roweiji F. Bautista</t>
  </si>
  <si>
    <t>Dolly Caparro Calvez</t>
  </si>
  <si>
    <t>DAISY R. BABAAN</t>
  </si>
  <si>
    <t>Juliana M. Reyes, MD, MHA</t>
  </si>
  <si>
    <t>Cheenne Grace Luha Dela Peña</t>
  </si>
  <si>
    <t>ROMEO TORRICO OJAS JR.</t>
  </si>
  <si>
    <t>Rey Alexis L.  Malabanan</t>
  </si>
  <si>
    <t>Efren Serono Tubongbanua</t>
  </si>
  <si>
    <t>Renita Ortega Chavez</t>
  </si>
  <si>
    <t>RUEL B. AGGABAO</t>
  </si>
  <si>
    <t>IRVIN CAYAON ROLLUQUI</t>
  </si>
  <si>
    <t>Janely Porras Ansoyon</t>
  </si>
  <si>
    <t>KRISTAL GAYLE G. PATNON</t>
  </si>
  <si>
    <t>VEMIE MONTEJO ESTOLOGA</t>
  </si>
  <si>
    <t>Julita A. Santos</t>
  </si>
  <si>
    <t>Ma. Christina C. Pabicon</t>
  </si>
  <si>
    <t>Juliet Franesa S Aton</t>
  </si>
  <si>
    <t>Imelda Benigno Agbayani</t>
  </si>
  <si>
    <t>Osias James, Jr. P Gravino</t>
  </si>
  <si>
    <t>Benigno C Austero</t>
  </si>
  <si>
    <t>GRACE OCZON SALIBIO</t>
  </si>
  <si>
    <t>CLARKSON KEE NAVARRO</t>
  </si>
  <si>
    <t>Winibeth Rocamora Bonachita</t>
  </si>
  <si>
    <t>Timothy Garcia O</t>
  </si>
  <si>
    <t>Joel G Macaraeg</t>
  </si>
  <si>
    <t>MARIBETH ALVAREZ BALDONADO</t>
  </si>
  <si>
    <t>Catherine Olmoguez Ureta</t>
  </si>
  <si>
    <t>IVY COSTALES VALENCIA</t>
  </si>
  <si>
    <t>DOMINGO D. DOYONGAN, JR.</t>
  </si>
  <si>
    <t>Kelly Sajo</t>
  </si>
  <si>
    <t>Danilo  Mira Omagtang</t>
  </si>
  <si>
    <t>ANACLETA  ABASUG</t>
  </si>
  <si>
    <t>Myrna Valencia Villarin</t>
  </si>
  <si>
    <t>Arlene De Rama Manjares</t>
  </si>
  <si>
    <t>Marking Garcia Cruz</t>
  </si>
  <si>
    <t>Sonia Tomas Pasian</t>
  </si>
  <si>
    <t>Alver Abaya Mijares</t>
  </si>
  <si>
    <t>Argie Lomuntod Muncada</t>
  </si>
  <si>
    <t>Aiza Revesencio Ramos</t>
  </si>
  <si>
    <t>Victor Y Romano</t>
  </si>
  <si>
    <t>Mary Noreen A Antonio</t>
  </si>
  <si>
    <t>CARLO SARENAS ESCALONA</t>
  </si>
  <si>
    <t>Allan  Carpiso</t>
  </si>
  <si>
    <t>RM ASES AZUELO ORTEGA</t>
  </si>
  <si>
    <t>AMANTE GAJULTOS</t>
  </si>
  <si>
    <t>Engr. Noel Galacgac Coloma</t>
  </si>
  <si>
    <t>ANTIPOLO LUMELAY TORIBIO</t>
  </si>
  <si>
    <t>Sheila Ocasion De Guzman</t>
  </si>
  <si>
    <t>Julius  Urgel  Retulla</t>
  </si>
  <si>
    <t>Jovelyn I. Legaspi</t>
  </si>
  <si>
    <t>Kaloudyne D. Rigos</t>
  </si>
  <si>
    <t>Claress Montojo</t>
  </si>
  <si>
    <t>MARIE JANE ABING CLAVERO</t>
  </si>
  <si>
    <t>Eddie Crisologo</t>
  </si>
  <si>
    <t>Josephine Escol Avenido</t>
  </si>
  <si>
    <t>ERNESTO N. ARCO</t>
  </si>
  <si>
    <t>Dolrech Macrohon Albano</t>
  </si>
  <si>
    <t>Medices Refamonte Jadulco</t>
  </si>
  <si>
    <t>LUCY FE M ELLAR</t>
  </si>
  <si>
    <t>Remelyn P. Almeñe</t>
  </si>
  <si>
    <t>SANTEE C ESPARES</t>
  </si>
  <si>
    <t>Mia Marinelle Ramos Labuguen</t>
  </si>
  <si>
    <t>Estrella L. Ouano</t>
  </si>
  <si>
    <t>Rosemarie Lamboloto Malitao</t>
  </si>
  <si>
    <t>Allan Zonio Francisco</t>
  </si>
  <si>
    <t>AGUSTIN JR. DEMETERIO PEDRANO</t>
  </si>
  <si>
    <t>Abundio T. Sanchez, Jr.</t>
  </si>
  <si>
    <t>Cromwell III Pacamalan Galarrita</t>
  </si>
  <si>
    <t>Perlita Senarillos Pabillaran</t>
  </si>
  <si>
    <t>Beverlyn P. Peralta</t>
  </si>
  <si>
    <t>Juliet Corregidor Custodio</t>
  </si>
  <si>
    <t>Roel Diorda Lemera</t>
  </si>
  <si>
    <t>Arlene Salongcay</t>
  </si>
  <si>
    <t>Leo Hernandez</t>
  </si>
  <si>
    <t>Almond Garalde Leaño</t>
  </si>
  <si>
    <t>ODESSA T. MANLIGOY</t>
  </si>
  <si>
    <t>JONALYN RABAL BACSAL</t>
  </si>
  <si>
    <t>RAMONA CAMPOMANES OPEÑA</t>
  </si>
  <si>
    <t>Arnel Chavez Salazar</t>
  </si>
  <si>
    <t>Nilda Lumapak</t>
  </si>
  <si>
    <t>John Paulo Telmo Purino</t>
  </si>
  <si>
    <t>Erlinda S Pesado</t>
  </si>
  <si>
    <t>Patricia Kaye Lorio Amate</t>
  </si>
  <si>
    <t>KAREEN A. ORDOÑA</t>
  </si>
  <si>
    <t>Tito Diaz Dio</t>
  </si>
  <si>
    <t>Albert Acaranay Aban</t>
  </si>
  <si>
    <t>MA. THERESA REMOROFF BARROSO</t>
  </si>
  <si>
    <t>Rolando S Delos reyes</t>
  </si>
  <si>
    <t>Donna Claire A Banez</t>
  </si>
  <si>
    <t>REYLLAND EBALLE RENDAL</t>
  </si>
  <si>
    <t>Michelle Retamar Roldan</t>
  </si>
  <si>
    <t>Nomer A De Leon</t>
  </si>
  <si>
    <t>IMELDA ANANO ALBUTRA</t>
  </si>
  <si>
    <t>mary jean buenaflor topinio</t>
  </si>
  <si>
    <t>Mary Grace Liwag Capisonda</t>
  </si>
  <si>
    <t>NIRO ROTE NINIANO</t>
  </si>
  <si>
    <t>Benazir Lim Alam</t>
  </si>
  <si>
    <t>Anselmo L Sang Tian</t>
  </si>
  <si>
    <t>Mariah Krishna Aquino Credo</t>
  </si>
  <si>
    <t>MAVEL M. OLITRES</t>
  </si>
  <si>
    <t>Fernando E Tanciongco</t>
  </si>
  <si>
    <t>Alegria Acosta Rayos</t>
  </si>
  <si>
    <t>Yolanda Cabana Estampa</t>
  </si>
  <si>
    <t>JHORRY SANICO CANTA</t>
  </si>
  <si>
    <t>Ramon M De Leon</t>
  </si>
  <si>
    <t>Roderick Vergara</t>
  </si>
  <si>
    <t>AIZA PAUL CALIAO</t>
  </si>
  <si>
    <t>Vilma B. Ballan</t>
  </si>
  <si>
    <t>GIEBERT GORDUIZ OLAIS</t>
  </si>
  <si>
    <t>Marchelyn Pareja Ganit</t>
  </si>
  <si>
    <t>Julius Luis Juanito</t>
  </si>
  <si>
    <t>Mercy Gavino Valgomera</t>
  </si>
  <si>
    <t>Abner Escobar Guilambo</t>
  </si>
  <si>
    <t>Glen Mary Fiecas Sim</t>
  </si>
  <si>
    <t>Arturo Jr. Morales</t>
  </si>
  <si>
    <t>Reynilo D Garcia</t>
  </si>
  <si>
    <t>ANTHONY  ARTHUR D. FERNANDEZ</t>
  </si>
  <si>
    <t>Benedict Jebunan Matawaran</t>
  </si>
  <si>
    <t>Norman Sr. Anore</t>
  </si>
  <si>
    <t>Dennis Bandal Dalucapas</t>
  </si>
  <si>
    <t>RICARDO BINENE FERNANDEZ</t>
  </si>
  <si>
    <t>Ma. Carmen Cadag Taopo</t>
  </si>
  <si>
    <t>Eleuterio Maranan Dalisay</t>
  </si>
  <si>
    <t>Xavier Bugaoan Viloria</t>
  </si>
  <si>
    <t>Elvie Villanueva Diaz</t>
  </si>
  <si>
    <t>Angelo Aniar Sabaybay</t>
  </si>
  <si>
    <t>miguel cosep baya</t>
  </si>
  <si>
    <t>Janet M Pasamba</t>
  </si>
  <si>
    <t>DANILO S. SANTA ANA</t>
  </si>
  <si>
    <t>Elaine L. Abdurani</t>
  </si>
  <si>
    <t>JENNIFER MARQUEZ</t>
  </si>
  <si>
    <t>BERNARDO C. POJAS</t>
  </si>
  <si>
    <t>Arnoldo A. Ramos Jr.</t>
  </si>
  <si>
    <t>Christopher Go Rodriguez</t>
  </si>
  <si>
    <t>Roselma Catherine Garrote Cantos</t>
  </si>
  <si>
    <t>Maria Alma O Almazan</t>
  </si>
  <si>
    <t>Cynthia Cañeda Ocaña</t>
  </si>
  <si>
    <t>Arundale Gum-u Immoliap Bunnag</t>
  </si>
  <si>
    <t>fredericka F. ferriol</t>
  </si>
  <si>
    <t>REA AXALAN RAMOS</t>
  </si>
  <si>
    <t>Balligi Wandas Quitor</t>
  </si>
  <si>
    <t>MARCIANA CANCEJO MAXIMO</t>
  </si>
  <si>
    <t>Levi P. Baldonado</t>
  </si>
  <si>
    <t>KARENTH PARAYAOAN PALACPAC</t>
  </si>
  <si>
    <t>Ronnie L Gutierrez</t>
  </si>
  <si>
    <t>RUSSEL T. TABISULA</t>
  </si>
  <si>
    <t>Clemence  D.  Pobre</t>
  </si>
  <si>
    <t>ROLDAN V. PIEDRAVERDE</t>
  </si>
  <si>
    <t>Perla Padayhag</t>
  </si>
  <si>
    <t>Danna Marie B. Asentista</t>
  </si>
  <si>
    <t>Diana Jean Magsino Cabanalan</t>
  </si>
  <si>
    <t>Anna Mae B. Elemia</t>
  </si>
  <si>
    <t>Lydia A. Gonzales</t>
  </si>
  <si>
    <t>Glin Valzado Sagre</t>
  </si>
  <si>
    <t>Samuel Canaya</t>
  </si>
  <si>
    <t>Yvette N. Convento-Leynes</t>
  </si>
  <si>
    <t>Wilfredo Ramos Ognilla</t>
  </si>
  <si>
    <t>SIMEON A LAURONAL</t>
  </si>
  <si>
    <t>LORETA LUCAS LALATA</t>
  </si>
  <si>
    <t>Nestor, Jr. C Peralta</t>
  </si>
  <si>
    <t>SINSP ALAN GARANCHON GATUNGAY</t>
  </si>
  <si>
    <t>Gredalie Rivera Acopio</t>
  </si>
  <si>
    <t>Cipriano Grande Gardoque</t>
  </si>
  <si>
    <t>MA. CECILIA REYES POTESTADES</t>
  </si>
  <si>
    <t>Hope Jaravata Relayson</t>
  </si>
  <si>
    <t>Fernando Boricano Mercene</t>
  </si>
  <si>
    <t>Ajerco  C. Comia</t>
  </si>
  <si>
    <t>Carla Francesca M. Guinto</t>
  </si>
  <si>
    <t>Lolita Alvarez</t>
  </si>
  <si>
    <t>Benito C. Procia</t>
  </si>
  <si>
    <t>Rosario Marina Mendoza de Castro</t>
  </si>
  <si>
    <t>Mark Joton Paguirigan Ramirez</t>
  </si>
  <si>
    <t>Gilbert Sapio Dador</t>
  </si>
  <si>
    <t>Jenelyn Capilitan Soria</t>
  </si>
  <si>
    <t>Engr. Rodolfo Santos Nidoy, Jr.</t>
  </si>
  <si>
    <t>CONSTANTE MADRID JACOBE</t>
  </si>
  <si>
    <t>Ma. Theresa D. Jamero</t>
  </si>
  <si>
    <t>Brylle Tabanao</t>
  </si>
  <si>
    <t>Edwin O Estorninos</t>
  </si>
  <si>
    <t>Lester Mobreros Aringo</t>
  </si>
  <si>
    <t>Jun Pajarillo  Vana</t>
  </si>
  <si>
    <t>Estanislao V. Cayanan</t>
  </si>
  <si>
    <t>Wilfredo V Alcoriza</t>
  </si>
  <si>
    <t>Germaine D. Espejo</t>
  </si>
  <si>
    <t>Teresita O. Jasmin</t>
  </si>
  <si>
    <t>HELEN M PORTE</t>
  </si>
  <si>
    <t>Mary Ann Vasquez Alvarez</t>
  </si>
  <si>
    <t>Jingkie L. Abelgas</t>
  </si>
  <si>
    <t>RIZA ESPARTERO BALLANCA</t>
  </si>
  <si>
    <t>Arnold Lucaben Paleng</t>
  </si>
  <si>
    <t>Oscar Jr. Martin Reyes</t>
  </si>
  <si>
    <t>Mercedita A. Flores</t>
  </si>
  <si>
    <t>Shiela Mae Valencia Signio</t>
  </si>
  <si>
    <t>JENNEFER MESINA</t>
  </si>
  <si>
    <t>Norilyn Fababe Calayag</t>
  </si>
  <si>
    <t>Nathaniel Miranda Dagsa Jr</t>
  </si>
  <si>
    <t>ATTY. NICHOLAS S. MARASIGAN</t>
  </si>
  <si>
    <t>Sherry P Villanueva</t>
  </si>
  <si>
    <t>ALFREDO AGAD GUITARTE</t>
  </si>
  <si>
    <t>MARILYN IBARDOLAZA NOBLEZA</t>
  </si>
  <si>
    <t>ERWIN A CRUZADA</t>
  </si>
  <si>
    <t>LYNDON DICHOSO TORRES</t>
  </si>
  <si>
    <t xml:space="preserve">Shemar  Pederes Oton  </t>
  </si>
  <si>
    <t>Nonito Cervancia</t>
  </si>
  <si>
    <t>Alien Belleza Empaces</t>
  </si>
  <si>
    <t>Hector Barro Licayan</t>
  </si>
  <si>
    <t>Elma  Legaspi  Acaso</t>
  </si>
  <si>
    <t>Arjay Pascual Quiles</t>
  </si>
  <si>
    <t>Genicar Nieva Barotilla</t>
  </si>
  <si>
    <t>TEODORO MALINAO GALAGAR, JR.</t>
  </si>
  <si>
    <t>Servando Lonzon Amparo Jr.</t>
  </si>
  <si>
    <t>Irma D. Cordero</t>
  </si>
  <si>
    <t>Claren Adolfo Maristela</t>
  </si>
  <si>
    <t>Mila Pisay Wance</t>
  </si>
  <si>
    <t>Janine S. Zarate</t>
  </si>
  <si>
    <t>Carmelita S. Ramos</t>
  </si>
  <si>
    <t>CLARIZA PELINO COBARRUBIAS</t>
  </si>
  <si>
    <t>Janelle Dela Cruz</t>
  </si>
  <si>
    <t>Ma. Loribel Gonzales Celda</t>
  </si>
  <si>
    <t>Gary S Velayo</t>
  </si>
  <si>
    <t>Mary Gleny Rose Amarillo Asia</t>
  </si>
  <si>
    <t>Ranjev M Garcia</t>
  </si>
  <si>
    <t>Cecilia Maningo Fuentes</t>
  </si>
  <si>
    <t xml:space="preserve">Editha  Malabosa </t>
  </si>
  <si>
    <t>Lelanie Alfaro Maturan</t>
  </si>
  <si>
    <t>Thelma Ardon Escanillas</t>
  </si>
  <si>
    <t>Rebecca Enierga Valenzuela</t>
  </si>
  <si>
    <t>LODEVICO CODAL LUIS</t>
  </si>
  <si>
    <t>Gianina Punzalan Agir</t>
  </si>
  <si>
    <t>JOSEPH LARIOSA FORTO</t>
  </si>
  <si>
    <t>Rosanna Tan Andal</t>
  </si>
  <si>
    <t>Celine  A.  Velasco</t>
  </si>
  <si>
    <t>Liberty C Angeles</t>
  </si>
  <si>
    <t>Sandra Caturan Dagani</t>
  </si>
  <si>
    <t>IRENEO L. SORIANO, JR.</t>
  </si>
  <si>
    <t>MA. VICTORIA LOPEZ CASTAÑEDA</t>
  </si>
  <si>
    <t>ZOSIMO AQUINO LIBERATO</t>
  </si>
  <si>
    <t>Rheajane Chu Saavedra</t>
  </si>
  <si>
    <t>Ricky Cue Laggui</t>
  </si>
  <si>
    <t>BENEDICK C BACULI</t>
  </si>
  <si>
    <t>Camille L Maraviles</t>
  </si>
  <si>
    <t>Karen Wright Ramirez</t>
  </si>
  <si>
    <t>Presentacion "Glenda" Medenilla Gajes</t>
  </si>
  <si>
    <t>Lubelle B. Lumabas</t>
  </si>
  <si>
    <t>Evelyn Grace A Aperocho</t>
  </si>
  <si>
    <t>Raulito Rojales Datiles</t>
  </si>
  <si>
    <t>HAZEL JANE M. PANGAN</t>
  </si>
  <si>
    <t>Govanne Marie Agudo</t>
  </si>
  <si>
    <t>MARY GRACE BUCASAS OPON</t>
  </si>
  <si>
    <t>Ariel M Galita</t>
  </si>
  <si>
    <t>JUNE IVY CIELOS MENDEZ</t>
  </si>
  <si>
    <t>RUEL B. CUBERO</t>
  </si>
  <si>
    <t>Atty. Anna Rosario P. Reyes</t>
  </si>
  <si>
    <t>Angelita H Reazon</t>
  </si>
  <si>
    <t>Randolf B.  Dimal</t>
  </si>
  <si>
    <t>Chamberlain J. Babiera</t>
  </si>
  <si>
    <t>Jane Cuatriz Arcilla</t>
  </si>
  <si>
    <t>ABNER VILLAFLOR DE LA CRUZ</t>
  </si>
  <si>
    <t>Niño G. Mascareñas</t>
  </si>
  <si>
    <t>Anna Michelle Icasiano Africa</t>
  </si>
  <si>
    <t>Emilson U. Jimenez</t>
  </si>
  <si>
    <t>Ana De Guzman Asprec</t>
  </si>
  <si>
    <t>DARA AUREA HENRIETTA A. VILLALOBOS</t>
  </si>
  <si>
    <t>ATHESA LASTIMOSA BAS</t>
  </si>
  <si>
    <t>Rowena R. Roseos</t>
  </si>
  <si>
    <t>Kristelle Balboa Dimarucot</t>
  </si>
  <si>
    <t>Ray-Ann Sorilla</t>
  </si>
  <si>
    <t>Noel  Alcabaza</t>
  </si>
  <si>
    <t>Jannette Rojas Raganit</t>
  </si>
  <si>
    <t>Ray John Habig</t>
  </si>
  <si>
    <t>EMIL RODRIGUEZ GANADEN</t>
  </si>
  <si>
    <t>Rodrigo, Jr. Nacaya Valmoria</t>
  </si>
  <si>
    <t>Mateo B. Zipagan</t>
  </si>
  <si>
    <t>Triumpo Jr Neypes Cantillo</t>
  </si>
  <si>
    <t>JANUS C COSEP</t>
  </si>
  <si>
    <t>SEBASTIAN AMODIA SALCEDO</t>
  </si>
  <si>
    <t>Princess dela Cruz</t>
  </si>
  <si>
    <t>RICHELIZA JEAN C. CORDERO</t>
  </si>
  <si>
    <t>Vicky O. Abestros</t>
  </si>
  <si>
    <t>Trixy Marie Aguio Macaraeg</t>
  </si>
  <si>
    <t>Albern B Alcantara</t>
  </si>
  <si>
    <t>Rosemary Pillar Cuaresma</t>
  </si>
  <si>
    <t>Marian Carbonell Patosa</t>
  </si>
  <si>
    <t>Abigail Maglinte Fabile</t>
  </si>
  <si>
    <t xml:space="preserve"> LIRVIN  DAENNE  SALINDONG</t>
  </si>
  <si>
    <t>Geozele Orden Baltazar</t>
  </si>
  <si>
    <t>Krisbert S. Malanay</t>
  </si>
  <si>
    <t>Nessa Esporma Acolentaba</t>
  </si>
  <si>
    <t>Dominador A Bucalbos</t>
  </si>
  <si>
    <t>Klaudine Magno De Vera</t>
  </si>
  <si>
    <t>Mario Nollora Asor</t>
  </si>
  <si>
    <t>NICO  AQUINO  CELINO</t>
  </si>
  <si>
    <t>CARLOS U. LITTAUA</t>
  </si>
  <si>
    <t>David Sismundo Luna</t>
  </si>
  <si>
    <t>ANGELITO V. SORIA</t>
  </si>
  <si>
    <t>Ma. Emilyn Sweetie Leonor Protacio</t>
  </si>
  <si>
    <t>JUNE DE LEON ESPINOSA</t>
  </si>
  <si>
    <t>Norma C. Sarigumba</t>
  </si>
  <si>
    <t>Eric Conrado B. Lumague</t>
  </si>
  <si>
    <t>April Rose I. Mulimbayan</t>
  </si>
  <si>
    <t>Katherine Liwanag Pangilinan</t>
  </si>
  <si>
    <t>Calixto Eronico Bautista</t>
  </si>
  <si>
    <t>Rogene Natad Celebrado</t>
  </si>
  <si>
    <t>NIDA COFUENTES PALACIO</t>
  </si>
  <si>
    <t>Elmer V Foronda</t>
  </si>
  <si>
    <t>JUAN TABUZO ARADOR</t>
  </si>
  <si>
    <t>Alfeo  Ayupan</t>
  </si>
  <si>
    <t>Active</t>
  </si>
  <si>
    <t>Order</t>
  </si>
  <si>
    <t>05/08/2020</t>
  </si>
  <si>
    <t>04/08/2020</t>
  </si>
  <si>
    <t>03/08/2020</t>
  </si>
  <si>
    <t>02/08/2020</t>
  </si>
  <si>
    <t>01/08/2020</t>
  </si>
  <si>
    <t>31/07/2020</t>
  </si>
  <si>
    <t>30/07/2020</t>
  </si>
  <si>
    <t>29/07/2020</t>
  </si>
  <si>
    <t>28/07/2020</t>
  </si>
  <si>
    <t>27/07/2020</t>
  </si>
  <si>
    <t>26/07/2020</t>
  </si>
  <si>
    <t>25/07/2020</t>
  </si>
  <si>
    <t>24/07/2020</t>
  </si>
  <si>
    <t>23/07/2020</t>
  </si>
  <si>
    <t>22/07/2020</t>
  </si>
  <si>
    <t>21/07/2020</t>
  </si>
  <si>
    <t>20/07/2020</t>
  </si>
  <si>
    <t>19/07/2020</t>
  </si>
  <si>
    <t>18/07/2020</t>
  </si>
  <si>
    <t>17/07/2020</t>
  </si>
  <si>
    <t>16/07/2020</t>
  </si>
  <si>
    <t>15/07/2020</t>
  </si>
  <si>
    <t>14/07/2020</t>
  </si>
  <si>
    <t>13/07/2020</t>
  </si>
  <si>
    <t>11/07/2020</t>
  </si>
  <si>
    <t>12/07/2020</t>
  </si>
  <si>
    <t>10/07/2020</t>
  </si>
  <si>
    <t>09/07/2020</t>
  </si>
  <si>
    <t>08/07/2020</t>
  </si>
  <si>
    <t>07/07/2020</t>
  </si>
  <si>
    <t>06/07/2020</t>
  </si>
  <si>
    <t>03/07/2020</t>
  </si>
  <si>
    <t>04/07/2020</t>
  </si>
  <si>
    <t>02/07/2020</t>
  </si>
  <si>
    <t>01/07/2020</t>
  </si>
  <si>
    <t>30/06/2020</t>
  </si>
  <si>
    <t>26/06/2020</t>
  </si>
  <si>
    <t>29/06/2020</t>
  </si>
  <si>
    <t>28/06/2020</t>
  </si>
  <si>
    <t>24/06/2020</t>
  </si>
  <si>
    <t>21/06/2020</t>
  </si>
  <si>
    <t>22/06/2020</t>
  </si>
  <si>
    <t>23/06/2020</t>
  </si>
  <si>
    <t>12/06/2020</t>
  </si>
  <si>
    <t>16/06/2020</t>
  </si>
  <si>
    <t>17/06/2020</t>
  </si>
  <si>
    <t>18/06/2020</t>
  </si>
  <si>
    <t>11/06/2020</t>
  </si>
  <si>
    <t>02/06/2020</t>
  </si>
  <si>
    <t>04/06/2020</t>
  </si>
  <si>
    <t>05/06/2020</t>
  </si>
  <si>
    <t>06/06/2020</t>
  </si>
  <si>
    <t>03/06/2020</t>
  </si>
  <si>
    <t>07/05/2020</t>
  </si>
  <si>
    <t>22/05/2020</t>
  </si>
  <si>
    <t>21/05/2020</t>
  </si>
  <si>
    <t>25/05/2020</t>
  </si>
  <si>
    <t>30/05/2020</t>
  </si>
  <si>
    <t>29/05/2020</t>
  </si>
  <si>
    <t>28/05/2020</t>
  </si>
  <si>
    <t>17/03/2020</t>
  </si>
  <si>
    <t>20/03/2020</t>
  </si>
  <si>
    <t>01/04/2020</t>
  </si>
  <si>
    <t>06/04/2020</t>
  </si>
  <si>
    <t>17/04/2020</t>
  </si>
  <si>
    <t>14/04/2020</t>
  </si>
  <si>
    <t>22/04/2020</t>
  </si>
  <si>
    <t>28/04/2020</t>
  </si>
  <si>
    <t>30/04/2020</t>
  </si>
  <si>
    <t>12/03/2020</t>
  </si>
  <si>
    <t>13/03/2020</t>
  </si>
  <si>
    <t>27/04/2020</t>
  </si>
  <si>
    <t>16/03/2020</t>
  </si>
  <si>
    <t>14/03/2020</t>
  </si>
  <si>
    <t>04/03/2020</t>
  </si>
  <si>
    <t>05/03/2020</t>
  </si>
  <si>
    <t>06/03/2020</t>
  </si>
  <si>
    <t>21/02/2020</t>
  </si>
  <si>
    <t>17/02/2020</t>
  </si>
  <si>
    <t>27/02/2020</t>
  </si>
  <si>
    <t>03/03/2020</t>
  </si>
  <si>
    <t>28/02/2020</t>
  </si>
  <si>
    <t>01/02/2020</t>
  </si>
  <si>
    <t>06/02/2020</t>
  </si>
  <si>
    <t>07/02/2020</t>
  </si>
  <si>
    <t>12/02/2020</t>
  </si>
  <si>
    <t>02/03/2020</t>
  </si>
  <si>
    <t>19/11/2019</t>
  </si>
  <si>
    <t>20/12/2019</t>
  </si>
  <si>
    <t>14/02/2020</t>
  </si>
  <si>
    <t>30/01/2020</t>
  </si>
  <si>
    <t>15/02/2020</t>
  </si>
  <si>
    <t>29/01/2020</t>
  </si>
  <si>
    <t>07/03/2020</t>
  </si>
  <si>
    <t>10/03/2020</t>
  </si>
  <si>
    <t>11/03/2020</t>
  </si>
  <si>
    <t>10/06/2020</t>
  </si>
  <si>
    <t>09/03/2020</t>
  </si>
  <si>
    <t>20/06/2020</t>
  </si>
  <si>
    <t>25/06/2020</t>
  </si>
  <si>
    <t>05/07/2020</t>
  </si>
  <si>
    <t>05/08/2020 12:00 AM</t>
  </si>
  <si>
    <t>04/08/2020 12:00 AM</t>
  </si>
  <si>
    <t>04/08/2020 9:01 AM</t>
  </si>
  <si>
    <t>04/08/2020 10:51 AM</t>
  </si>
  <si>
    <t>04/08/2020 10:52 AM</t>
  </si>
  <si>
    <t>04/08/2020 10:47 AM</t>
  </si>
  <si>
    <t>04/08/2020 9:54 AM</t>
  </si>
  <si>
    <t>04/08/2020 12:32 PM</t>
  </si>
  <si>
    <t>04/08/2020 8:52 AM</t>
  </si>
  <si>
    <t>04/08/2020 8:56 AM</t>
  </si>
  <si>
    <t>04/08/2020 8:54 AM</t>
  </si>
  <si>
    <t>04/08/2020 3:50 PM</t>
  </si>
  <si>
    <t>04/08/2020 2:29 PM</t>
  </si>
  <si>
    <t>04/08/2020 2:23 PM</t>
  </si>
  <si>
    <t>03/08/2020 12:00 AM</t>
  </si>
  <si>
    <t>03/08/2020 9:07 AM</t>
  </si>
  <si>
    <t>04/08/2020 2:52 PM</t>
  </si>
  <si>
    <t>04/08/2020 2:56 PM</t>
  </si>
  <si>
    <t>04/08/2020 2:59 PM</t>
  </si>
  <si>
    <t>04/08/2020 3:03 PM</t>
  </si>
  <si>
    <t>04/08/2020 5:01 PM</t>
  </si>
  <si>
    <t>04/08/2020 3:44 PM</t>
  </si>
  <si>
    <t>04/08/2020 3:46 PM</t>
  </si>
  <si>
    <t>04/08/2020 10:49 AM</t>
  </si>
  <si>
    <t>03/08/2020 1:11 PM</t>
  </si>
  <si>
    <t>03/08/2020 1:23 PM</t>
  </si>
  <si>
    <t>04/08/2020 2:45 PM</t>
  </si>
  <si>
    <t>02/08/2020 12:00 AM</t>
  </si>
  <si>
    <t>04/08/2020 8:55 PM</t>
  </si>
  <si>
    <t>04/08/2020 9:04 AM</t>
  </si>
  <si>
    <t>01/08/2020 12:00 AM</t>
  </si>
  <si>
    <t>03/08/2020 2:51 PM</t>
  </si>
  <si>
    <t>04/08/2020 6:22 AM</t>
  </si>
  <si>
    <t>03/08/2020 5:17 PM</t>
  </si>
  <si>
    <t>04/08/2020 1:39 PM</t>
  </si>
  <si>
    <t>03/08/2020 10:42 AM</t>
  </si>
  <si>
    <t>04/08/2020 7:15 PM</t>
  </si>
  <si>
    <t>04/08/2020 12:44 PM</t>
  </si>
  <si>
    <t>04/08/2020 10:45 AM</t>
  </si>
  <si>
    <t>04/08/2020 6:29 PM</t>
  </si>
  <si>
    <t>31/07/2020 12:00 AM</t>
  </si>
  <si>
    <t>04/08/2020 8:58 PM</t>
  </si>
  <si>
    <t>03/08/2020 9:31 PM</t>
  </si>
  <si>
    <t>04/08/2020 1:49 PM</t>
  </si>
  <si>
    <t>03/08/2020 1:26 PM</t>
  </si>
  <si>
    <t>04/08/2020 1:48 PM</t>
  </si>
  <si>
    <t>31/07/2020 9:12 AM</t>
  </si>
  <si>
    <t>04/08/2020 2:48 PM</t>
  </si>
  <si>
    <t>04/08/2020 9:58 AM</t>
  </si>
  <si>
    <t>04/08/2020 8:19 AM</t>
  </si>
  <si>
    <t>04/08/2020 10:11 AM</t>
  </si>
  <si>
    <t>04/08/2020 8:28 AM</t>
  </si>
  <si>
    <t>04/08/2020 8:37 AM</t>
  </si>
  <si>
    <t>03/08/2020 11:03 AM</t>
  </si>
  <si>
    <t>04/08/2020 11:46 AM</t>
  </si>
  <si>
    <t>04/08/2020 11:47 AM</t>
  </si>
  <si>
    <t>03/08/2020 10:19 AM</t>
  </si>
  <si>
    <t>03/08/2020 10:22 AM</t>
  </si>
  <si>
    <t>04/08/2020 8:04 AM</t>
  </si>
  <si>
    <t>03/08/2020 11:56 AM</t>
  </si>
  <si>
    <t>04/08/2020 3:52 PM</t>
  </si>
  <si>
    <t>04/08/2020 6:10 PM</t>
  </si>
  <si>
    <t>04/08/2020 3:51 PM</t>
  </si>
  <si>
    <t>03/08/2020 10:20 AM</t>
  </si>
  <si>
    <t>04/08/2020 3:49 PM</t>
  </si>
  <si>
    <t>04/08/2020 8:45 AM</t>
  </si>
  <si>
    <t>04/08/2020 6:18 PM</t>
  </si>
  <si>
    <t>03/08/2020 6:17 PM</t>
  </si>
  <si>
    <t>04/08/2020 8:48 PM</t>
  </si>
  <si>
    <t>03/08/2020 2:26 PM</t>
  </si>
  <si>
    <t>03/08/2020 2:27 PM</t>
  </si>
  <si>
    <t>04/08/2020 8:53 AM</t>
  </si>
  <si>
    <t>04/08/2020 2:25 PM</t>
  </si>
  <si>
    <t>04/08/2020 6:20 PM</t>
  </si>
  <si>
    <t>04/08/2020 10:24 AM</t>
  </si>
  <si>
    <t>04/08/2020 10:32 AM</t>
  </si>
  <si>
    <t>04/08/2020 2:26 PM</t>
  </si>
  <si>
    <t>04/08/2020 10:43 AM</t>
  </si>
  <si>
    <t>04/08/2020 1:33 PM</t>
  </si>
  <si>
    <t>04/08/2020 10:38 AM</t>
  </si>
  <si>
    <t>04/08/2020 11:02 AM</t>
  </si>
  <si>
    <t>04/08/2020 2:27 PM</t>
  </si>
  <si>
    <t>03/08/2020 4:42 PM</t>
  </si>
  <si>
    <t>04/08/2020 8:51 AM</t>
  </si>
  <si>
    <t>03/08/2020 4:38 PM</t>
  </si>
  <si>
    <t>31/07/2020 3:16 PM</t>
  </si>
  <si>
    <t>04/08/2020 10:21 PM</t>
  </si>
  <si>
    <t>03/08/2020 11:22 AM</t>
  </si>
  <si>
    <t>03/08/2020 6:14 PM</t>
  </si>
  <si>
    <t>03/08/2020 5:59 PM</t>
  </si>
  <si>
    <t>03/08/2020 6:18 PM</t>
  </si>
  <si>
    <t>04/08/2020 9:27 AM</t>
  </si>
  <si>
    <t>30/07/2020 12:00 AM</t>
  </si>
  <si>
    <t>03/08/2020 9:43 AM</t>
  </si>
  <si>
    <t>30/07/2020 9:50 AM</t>
  </si>
  <si>
    <t>04/08/2020 9:52 AM</t>
  </si>
  <si>
    <t>03/08/2020 9:24 AM</t>
  </si>
  <si>
    <t>03/08/2020 9:48 AM</t>
  </si>
  <si>
    <t>04/08/2020 11:25 AM</t>
  </si>
  <si>
    <t>03/08/2020 10:02 AM</t>
  </si>
  <si>
    <t>04/08/2020 6:38 PM</t>
  </si>
  <si>
    <t>30/07/2020 10:06 AM</t>
  </si>
  <si>
    <t>04/08/2020 3:48 PM</t>
  </si>
  <si>
    <t>04/08/2020 11:49 AM</t>
  </si>
  <si>
    <t>04/08/2020 9:24 AM</t>
  </si>
  <si>
    <t>30/07/2020 3:36 PM</t>
  </si>
  <si>
    <t>30/07/2020 12:58 PM</t>
  </si>
  <si>
    <t>30/07/2020 9:51 AM</t>
  </si>
  <si>
    <t>03/08/2020 3:03 PM</t>
  </si>
  <si>
    <t>30/07/2020 10:55 AM</t>
  </si>
  <si>
    <t>03/08/2020 4:53 PM</t>
  </si>
  <si>
    <t>03/08/2020 11:02 AM</t>
  </si>
  <si>
    <t>30/07/2020 11:41 AM</t>
  </si>
  <si>
    <t>30/07/2020 11:43 AM</t>
  </si>
  <si>
    <t>30/07/2020 11:44 AM</t>
  </si>
  <si>
    <t>30/07/2020 11:53 AM</t>
  </si>
  <si>
    <t>30/07/2020 11:48 AM</t>
  </si>
  <si>
    <t>04/08/2020 12:20 PM</t>
  </si>
  <si>
    <t>04/08/2020 8:52 PM</t>
  </si>
  <si>
    <t>03/08/2020 1:34 PM</t>
  </si>
  <si>
    <t>29/07/2020 12:00 AM</t>
  </si>
  <si>
    <t>04/08/2020 9:44 PM</t>
  </si>
  <si>
    <t>04/08/2020 2:58 PM</t>
  </si>
  <si>
    <t>30/07/2020 6:20 PM</t>
  </si>
  <si>
    <t>03/08/2020 3:01 PM</t>
  </si>
  <si>
    <t>29/07/2020 11:32 AM</t>
  </si>
  <si>
    <t>30/07/2020 2:37 PM</t>
  </si>
  <si>
    <t>29/07/2020 9:56 AM</t>
  </si>
  <si>
    <t>30/07/2020 2:49 PM</t>
  </si>
  <si>
    <t>03/08/2020 5:35 PM</t>
  </si>
  <si>
    <t>03/08/2020 5:38 PM</t>
  </si>
  <si>
    <t>03/08/2020 6:03 PM</t>
  </si>
  <si>
    <t>03/08/2020 6:07 PM</t>
  </si>
  <si>
    <t>03/08/2020 6:06 PM</t>
  </si>
  <si>
    <t>29/07/2020 10:51 AM</t>
  </si>
  <si>
    <t>04/08/2020 3:36 PM</t>
  </si>
  <si>
    <t>03/08/2020 3:17 PM</t>
  </si>
  <si>
    <t>30/07/2020 9:32 AM</t>
  </si>
  <si>
    <t>04/08/2020 9:26 AM</t>
  </si>
  <si>
    <t>03/08/2020 9:38 PM</t>
  </si>
  <si>
    <t>29/07/2020 3:06 PM</t>
  </si>
  <si>
    <t>03/08/2020 9:43 PM</t>
  </si>
  <si>
    <t>03/08/2020 4:21 PM</t>
  </si>
  <si>
    <t>03/08/2020 4:54 PM</t>
  </si>
  <si>
    <t>03/08/2020 4:56 PM</t>
  </si>
  <si>
    <t>03/08/2020 11:01 AM</t>
  </si>
  <si>
    <t>29/07/2020 3:01 PM</t>
  </si>
  <si>
    <t>03/08/2020 7:29 AM</t>
  </si>
  <si>
    <t>30/07/2020 1:35 PM</t>
  </si>
  <si>
    <t>29/07/2020 4:11 PM</t>
  </si>
  <si>
    <t>29/07/2020 3:51 PM</t>
  </si>
  <si>
    <t>29/07/2020 4:01 PM</t>
  </si>
  <si>
    <t>29/07/2020 3:39 PM</t>
  </si>
  <si>
    <t>03/08/2020 4:43 PM</t>
  </si>
  <si>
    <t>04/08/2020 10:31 AM</t>
  </si>
  <si>
    <t>29/07/2020 3:31 PM</t>
  </si>
  <si>
    <t>04/08/2020 6:35 PM</t>
  </si>
  <si>
    <t>03/08/2020 9:45 AM</t>
  </si>
  <si>
    <t>03/08/2020 4:41 PM</t>
  </si>
  <si>
    <t>03/08/2020 9:42 AM</t>
  </si>
  <si>
    <t>03/08/2020 9:51 AM</t>
  </si>
  <si>
    <t>03/08/2020 9:50 AM</t>
  </si>
  <si>
    <t>03/08/2020 9:46 AM</t>
  </si>
  <si>
    <t>03/08/2020 9:56 AM</t>
  </si>
  <si>
    <t>03/08/2020 8:44 AM</t>
  </si>
  <si>
    <t>31/07/2020 2:46 PM</t>
  </si>
  <si>
    <t>31/07/2020 2:47 PM</t>
  </si>
  <si>
    <t>04/08/2020 4:23 PM</t>
  </si>
  <si>
    <t>31/07/2020 2:48 PM</t>
  </si>
  <si>
    <t>04/08/2020 12:31 PM</t>
  </si>
  <si>
    <t>29/07/2020 9:40 PM</t>
  </si>
  <si>
    <t>04/08/2020 12:22 PM</t>
  </si>
  <si>
    <t>03/08/2020 8:31 PM</t>
  </si>
  <si>
    <t>31/07/2020 2:44 PM</t>
  </si>
  <si>
    <t>30/07/2020 10:51 AM</t>
  </si>
  <si>
    <t>31/07/2020 2:45 PM</t>
  </si>
  <si>
    <t>29/07/2020 11:19 AM</t>
  </si>
  <si>
    <t>04/08/2020 4:21 PM</t>
  </si>
  <si>
    <t>03/08/2020 3:45 PM</t>
  </si>
  <si>
    <t>31/07/2020 2:49 PM</t>
  </si>
  <si>
    <t>29/07/2020 2:37 PM</t>
  </si>
  <si>
    <t>03/08/2020 9:00 PM</t>
  </si>
  <si>
    <t>28/07/2020 12:00 AM</t>
  </si>
  <si>
    <t>03/08/2020 4:59 PM</t>
  </si>
  <si>
    <t>03/08/2020 8:27 AM</t>
  </si>
  <si>
    <t>31/07/2020 9:25 AM</t>
  </si>
  <si>
    <t>04/08/2020 9:17 AM</t>
  </si>
  <si>
    <t>30/07/2020 3:33 PM</t>
  </si>
  <si>
    <t>30/07/2020 11:26 AM</t>
  </si>
  <si>
    <t>30/07/2020 11:24 AM</t>
  </si>
  <si>
    <t>31/07/2020 9:36 PM</t>
  </si>
  <si>
    <t>31/07/2020 9:38 PM</t>
  </si>
  <si>
    <t>04/08/2020 2:31 PM</t>
  </si>
  <si>
    <t>04/08/2020 8:29 AM</t>
  </si>
  <si>
    <t>04/08/2020 4:51 PM</t>
  </si>
  <si>
    <t>04/08/2020 12:14 PM</t>
  </si>
  <si>
    <t>28/07/2020 10:21 AM</t>
  </si>
  <si>
    <t>04/08/2020 4:52 PM</t>
  </si>
  <si>
    <t>30/07/2020 2:32 PM</t>
  </si>
  <si>
    <t>04/08/2020 11:11 AM</t>
  </si>
  <si>
    <t>04/08/2020 7:05 PM</t>
  </si>
  <si>
    <t>03/08/2020 10:26 AM</t>
  </si>
  <si>
    <t>04/08/2020 11:15 AM</t>
  </si>
  <si>
    <t>04/08/2020 4:54 PM</t>
  </si>
  <si>
    <t>04/08/2020 4:56 PM</t>
  </si>
  <si>
    <t>28/07/2020 12:05 PM</t>
  </si>
  <si>
    <t>04/08/2020 4:55 PM</t>
  </si>
  <si>
    <t>28/07/2020 1:16 PM</t>
  </si>
  <si>
    <t>04/08/2020 4:57 PM</t>
  </si>
  <si>
    <t>04/08/2020 5:29 PM</t>
  </si>
  <si>
    <t>29/07/2020 10:48 AM</t>
  </si>
  <si>
    <t>29/07/2020 10:46 AM</t>
  </si>
  <si>
    <t>04/08/2020 5:20 PM</t>
  </si>
  <si>
    <t>04/08/2020 5:33 PM</t>
  </si>
  <si>
    <t>29/07/2020 10:54 AM</t>
  </si>
  <si>
    <t>30/07/2020 2:43 PM</t>
  </si>
  <si>
    <t>29/07/2020 10:52 AM</t>
  </si>
  <si>
    <t>30/07/2020 2:40 PM</t>
  </si>
  <si>
    <t>03/08/2020 4:09 PM</t>
  </si>
  <si>
    <t>28/07/2020 12:09 PM</t>
  </si>
  <si>
    <t>28/07/2020 1:47 PM</t>
  </si>
  <si>
    <t>29/07/2020 10:50 AM</t>
  </si>
  <si>
    <t>28/07/2020 3:13 PM</t>
  </si>
  <si>
    <t>04/08/2020 4:59 PM</t>
  </si>
  <si>
    <t>04/08/2020 8:27 AM</t>
  </si>
  <si>
    <t>04/08/2020 9:13 AM</t>
  </si>
  <si>
    <t>03/08/2020 9:54 AM</t>
  </si>
  <si>
    <t>03/08/2020 3:13 PM</t>
  </si>
  <si>
    <t>03/08/2020 9:12 AM</t>
  </si>
  <si>
    <t>30/07/2020 1:16 PM</t>
  </si>
  <si>
    <t>30/07/2020 1:21 PM</t>
  </si>
  <si>
    <t>30/07/2020 1:17 PM</t>
  </si>
  <si>
    <t>04/08/2020 11:20 AM</t>
  </si>
  <si>
    <t>04/08/2020 10:28 AM</t>
  </si>
  <si>
    <t>04/08/2020 10:29 AM</t>
  </si>
  <si>
    <t>30/07/2020 2:42 PM</t>
  </si>
  <si>
    <t>28/07/2020 4:37 PM</t>
  </si>
  <si>
    <t>30/07/2020 4:33 PM</t>
  </si>
  <si>
    <t>04/08/2020 7:37 PM</t>
  </si>
  <si>
    <t>03/08/2020 10:59 AM</t>
  </si>
  <si>
    <t>03/08/2020 11:00 AM</t>
  </si>
  <si>
    <t>03/08/2020 3:15 PM</t>
  </si>
  <si>
    <t>04/08/2020 7:28 PM</t>
  </si>
  <si>
    <t>27/07/2020 12:00 AM</t>
  </si>
  <si>
    <t>04/08/2020 2:13 PM</t>
  </si>
  <si>
    <t>04/08/2020 2:02 PM</t>
  </si>
  <si>
    <t>04/08/2020 1:52 PM</t>
  </si>
  <si>
    <t>04/08/2020 2:19 PM</t>
  </si>
  <si>
    <t>04/08/2020 2:15 PM</t>
  </si>
  <si>
    <t>04/08/2020 1:34 PM</t>
  </si>
  <si>
    <t>30/07/2020 1:03 PM</t>
  </si>
  <si>
    <t>04/08/2020 2:22 PM</t>
  </si>
  <si>
    <t>04/08/2020 9:11 PM</t>
  </si>
  <si>
    <t>04/08/2020 1:43 PM</t>
  </si>
  <si>
    <t>28/07/2020 12:04 PM</t>
  </si>
  <si>
    <t>04/08/2020 9:05 PM</t>
  </si>
  <si>
    <t>30/07/2020 12:18 PM</t>
  </si>
  <si>
    <t>01/08/2020 5:54 PM</t>
  </si>
  <si>
    <t>01/08/2020 6:00 PM</t>
  </si>
  <si>
    <t>01/08/2020 5:43 PM</t>
  </si>
  <si>
    <t>01/08/2020 6:02 PM</t>
  </si>
  <si>
    <t>01/08/2020 5:52 PM</t>
  </si>
  <si>
    <t>01/08/2020 5:57 PM</t>
  </si>
  <si>
    <t>01/08/2020 5:18 PM</t>
  </si>
  <si>
    <t>01/08/2020 5:47 PM</t>
  </si>
  <si>
    <t>01/08/2020 5:21 PM</t>
  </si>
  <si>
    <t>01/08/2020 5:08 PM</t>
  </si>
  <si>
    <t>01/08/2020 5:15 PM</t>
  </si>
  <si>
    <t>27/07/2020 12:03 PM</t>
  </si>
  <si>
    <t>29/07/2020 4:09 PM</t>
  </si>
  <si>
    <t>04/08/2020 1:45 PM</t>
  </si>
  <si>
    <t>04/08/2020 1:47 PM</t>
  </si>
  <si>
    <t>27/07/2020 11:58 AM</t>
  </si>
  <si>
    <t>27/07/2020 12:00 PM</t>
  </si>
  <si>
    <t>27/07/2020 9:55 AM</t>
  </si>
  <si>
    <t>03/08/2020 7:47 AM</t>
  </si>
  <si>
    <t>30/07/2020 7:44 PM</t>
  </si>
  <si>
    <t>03/08/2020 9:59 PM</t>
  </si>
  <si>
    <t>04/08/2020 3:56 PM</t>
  </si>
  <si>
    <t>30/07/2020 7:53 PM</t>
  </si>
  <si>
    <t>03/08/2020 11:09 AM</t>
  </si>
  <si>
    <t>26/07/2020 12:00 AM</t>
  </si>
  <si>
    <t>30/07/2020 4:06 PM</t>
  </si>
  <si>
    <t>30/07/2020 3:51 PM</t>
  </si>
  <si>
    <t>03/08/2020 1:37 PM</t>
  </si>
  <si>
    <t>03/08/2020 3:56 PM</t>
  </si>
  <si>
    <t>30/07/2020 4:05 PM</t>
  </si>
  <si>
    <t>25/07/2020 12:00 AM</t>
  </si>
  <si>
    <t>28/07/2020 2:28 PM</t>
  </si>
  <si>
    <t>28/07/2020 2:25 PM</t>
  </si>
  <si>
    <t>04/08/2020 3:47 PM</t>
  </si>
  <si>
    <t>04/08/2020 3:25 PM</t>
  </si>
  <si>
    <t>30/07/2020 3:48 PM</t>
  </si>
  <si>
    <t>28/07/2020 3:27 PM</t>
  </si>
  <si>
    <t>03/08/2020 1:44 PM</t>
  </si>
  <si>
    <t>03/08/2020 1:48 PM</t>
  </si>
  <si>
    <t>03/08/2020 1:47 PM</t>
  </si>
  <si>
    <t>03/08/2020 1:55 PM</t>
  </si>
  <si>
    <t>04/08/2020 8:42 AM</t>
  </si>
  <si>
    <t>03/08/2020 8:53 AM</t>
  </si>
  <si>
    <t>03/08/2020 9:28 AM</t>
  </si>
  <si>
    <t>04/08/2020 3:07 PM</t>
  </si>
  <si>
    <t>04/08/2020 3:05 PM</t>
  </si>
  <si>
    <t>30/07/2020 3:45 PM</t>
  </si>
  <si>
    <t>03/08/2020 9:02 AM</t>
  </si>
  <si>
    <t>03/08/2020 1:45 PM</t>
  </si>
  <si>
    <t>03/08/2020 1:46 PM</t>
  </si>
  <si>
    <t>04/08/2020 9:07 AM</t>
  </si>
  <si>
    <t>03/08/2020 9:11 AM</t>
  </si>
  <si>
    <t>03/08/2020 2:18 PM</t>
  </si>
  <si>
    <t>03/08/2020 2:17 PM</t>
  </si>
  <si>
    <t>03/08/2020 2:23 PM</t>
  </si>
  <si>
    <t>03/08/2020 2:22 PM</t>
  </si>
  <si>
    <t>03/08/2020 2:24 PM</t>
  </si>
  <si>
    <t>03/08/2020 9:20 AM</t>
  </si>
  <si>
    <t>30/07/2020 2:48 PM</t>
  </si>
  <si>
    <t>04/08/2020 4:08 PM</t>
  </si>
  <si>
    <t>03/08/2020 2:25 PM</t>
  </si>
  <si>
    <t>29/07/2020 9:04 AM</t>
  </si>
  <si>
    <t>28/07/2020 5:20 PM</t>
  </si>
  <si>
    <t>04/08/2020 2:35 PM</t>
  </si>
  <si>
    <t>30/07/2020 6:10 PM</t>
  </si>
  <si>
    <t>24/07/2020 12:00 AM</t>
  </si>
  <si>
    <t>03/08/2020 9:24 PM</t>
  </si>
  <si>
    <t>29/07/2020 3:23 PM</t>
  </si>
  <si>
    <t>04/08/2020 3:32 PM</t>
  </si>
  <si>
    <t>04/08/2020 3:43 PM</t>
  </si>
  <si>
    <t>03/08/2020 8:14 AM</t>
  </si>
  <si>
    <t>28/07/2020 2:22 PM</t>
  </si>
  <si>
    <t>29/07/2020 4:46 PM</t>
  </si>
  <si>
    <t>29/07/2020 4:45 PM</t>
  </si>
  <si>
    <t>28/07/2020 4:59 PM</t>
  </si>
  <si>
    <t>29/07/2020 4:41 PM</t>
  </si>
  <si>
    <t>03/08/2020 8:57 AM</t>
  </si>
  <si>
    <t>30/07/2020 1:54 PM</t>
  </si>
  <si>
    <t>04/08/2020 4:19 PM</t>
  </si>
  <si>
    <t>27/07/2020 4:43 PM</t>
  </si>
  <si>
    <t>30/07/2020 4:28 PM</t>
  </si>
  <si>
    <t>27/07/2020 4:42 PM</t>
  </si>
  <si>
    <t>04/08/2020 3:19 PM</t>
  </si>
  <si>
    <t>04/08/2020 3:21 PM</t>
  </si>
  <si>
    <t>30/07/2020 2:09 PM</t>
  </si>
  <si>
    <t>28/07/2020 4:40 PM</t>
  </si>
  <si>
    <t>30/07/2020 2:13 PM</t>
  </si>
  <si>
    <t>03/08/2020 2:48 PM</t>
  </si>
  <si>
    <t>29/07/2020 12:53 PM</t>
  </si>
  <si>
    <t>04/08/2020 3:20 PM</t>
  </si>
  <si>
    <t>29/07/2020 11:24 AM</t>
  </si>
  <si>
    <t>04/08/2020 11:40 AM</t>
  </si>
  <si>
    <t>30/07/2020 10:20 AM</t>
  </si>
  <si>
    <t>31/07/2020 9:29 AM</t>
  </si>
  <si>
    <t>03/08/2020 2:50 PM</t>
  </si>
  <si>
    <t>30/07/2020 11:46 AM</t>
  </si>
  <si>
    <t>29/07/2020 11:20 AM</t>
  </si>
  <si>
    <t>31/07/2020 2:40 PM</t>
  </si>
  <si>
    <t>28/07/2020 3:19 PM</t>
  </si>
  <si>
    <t>04/08/2020 2:34 PM</t>
  </si>
  <si>
    <t>03/08/2020 2:56 PM</t>
  </si>
  <si>
    <t>03/08/2020 2:54 PM</t>
  </si>
  <si>
    <t>27/07/2020 10:11 AM</t>
  </si>
  <si>
    <t>29/07/2020 11:14 AM</t>
  </si>
  <si>
    <t>30/07/2020 3:35 PM</t>
  </si>
  <si>
    <t>29/07/2020 11:08 AM</t>
  </si>
  <si>
    <t>28/07/2020 3:23 PM</t>
  </si>
  <si>
    <t>04/08/2020 11:36 AM</t>
  </si>
  <si>
    <t>30/07/2020 10:45 AM</t>
  </si>
  <si>
    <t>30/07/2020 1:33 PM</t>
  </si>
  <si>
    <t>30/07/2020 5:08 PM</t>
  </si>
  <si>
    <t>31/07/2020 9:22 AM</t>
  </si>
  <si>
    <t>31/07/2020 9:34 AM</t>
  </si>
  <si>
    <t>30/07/2020 10:36 AM</t>
  </si>
  <si>
    <t>24/07/2020 10:45 AM</t>
  </si>
  <si>
    <t>30/07/2020 5:10 PM</t>
  </si>
  <si>
    <t>30/07/2020 5:12 PM</t>
  </si>
  <si>
    <t>30/07/2020 5:14 PM</t>
  </si>
  <si>
    <t>04/08/2020 11:42 AM</t>
  </si>
  <si>
    <t>29/07/2020 4:30 PM</t>
  </si>
  <si>
    <t>30/07/2020 1:45 PM</t>
  </si>
  <si>
    <t>31/07/2020 2:53 PM</t>
  </si>
  <si>
    <t>30/07/2020 1:38 PM</t>
  </si>
  <si>
    <t>31/07/2020 2:52 PM</t>
  </si>
  <si>
    <t>30/07/2020 3:39 PM</t>
  </si>
  <si>
    <t>30/07/2020 10:50 AM</t>
  </si>
  <si>
    <t>30/07/2020 10:40 AM</t>
  </si>
  <si>
    <t>30/07/2020 1:43 PM</t>
  </si>
  <si>
    <t>30/07/2020 2:11 PM</t>
  </si>
  <si>
    <t>03/08/2020 8:12 AM</t>
  </si>
  <si>
    <t>29/07/2020 10:26 AM</t>
  </si>
  <si>
    <t>29/07/2020 10:25 AM</t>
  </si>
  <si>
    <t>29/07/2020 10:23 AM</t>
  </si>
  <si>
    <t>29/07/2020 10:20 AM</t>
  </si>
  <si>
    <t>30/07/2020 2:10 PM</t>
  </si>
  <si>
    <t>29/07/2020 10:22 AM</t>
  </si>
  <si>
    <t>31/07/2020 9:13 PM</t>
  </si>
  <si>
    <t>03/08/2020 1:33 PM</t>
  </si>
  <si>
    <t>04/08/2020 2:37 PM</t>
  </si>
  <si>
    <t>31/07/2020 11:46 AM</t>
  </si>
  <si>
    <t>29/07/2020 10:28 AM</t>
  </si>
  <si>
    <t>29/07/2020 3:04 PM</t>
  </si>
  <si>
    <t>28/07/2020 10:46 PM</t>
  </si>
  <si>
    <t>28/07/2020 10:44 PM</t>
  </si>
  <si>
    <t>04/08/2020 10:27 AM</t>
  </si>
  <si>
    <t>04/08/2020 9:59 AM</t>
  </si>
  <si>
    <t>04/08/2020 11:37 AM</t>
  </si>
  <si>
    <t>23/07/2020 12:00 AM</t>
  </si>
  <si>
    <t>04/08/2020 11:33 AM</t>
  </si>
  <si>
    <t>04/08/2020 10:37 AM</t>
  </si>
  <si>
    <t>04/08/2020 9:08 AM</t>
  </si>
  <si>
    <t>23/07/2020 10:12 AM</t>
  </si>
  <si>
    <t>04/08/2020 9:10 AM</t>
  </si>
  <si>
    <t>04/08/2020 3:13 PM</t>
  </si>
  <si>
    <t>04/08/2020 3:12 PM</t>
  </si>
  <si>
    <t>04/08/2020 3:11 PM</t>
  </si>
  <si>
    <t>04/08/2020 9:05 AM</t>
  </si>
  <si>
    <t>04/08/2020 3:10 PM</t>
  </si>
  <si>
    <t>04/08/2020 3:14 PM</t>
  </si>
  <si>
    <t>04/08/2020 5:43 PM</t>
  </si>
  <si>
    <t>04/08/2020 3:09 PM</t>
  </si>
  <si>
    <t>04/08/2020 11:43 AM</t>
  </si>
  <si>
    <t>04/08/2020 11:44 AM</t>
  </si>
  <si>
    <t>30/07/2020 12:10 PM</t>
  </si>
  <si>
    <t>28/07/2020 10:13 AM</t>
  </si>
  <si>
    <t>30/07/2020 7:46 AM</t>
  </si>
  <si>
    <t>27/07/2020 9:10 PM</t>
  </si>
  <si>
    <t>27/07/2020 8:43 PM</t>
  </si>
  <si>
    <t>30/07/2020 7:52 AM</t>
  </si>
  <si>
    <t>03/08/2020 1:16 PM</t>
  </si>
  <si>
    <t>28/07/2020 7:36 PM</t>
  </si>
  <si>
    <t>27/07/2020 9:24 PM</t>
  </si>
  <si>
    <t>27/07/2020 8:20 PM</t>
  </si>
  <si>
    <t>27/07/2020 9:47 AM</t>
  </si>
  <si>
    <t>04/08/2020 2:17 PM</t>
  </si>
  <si>
    <t>29/07/2020 11:34 AM</t>
  </si>
  <si>
    <t>31/07/2020 9:37 PM</t>
  </si>
  <si>
    <t>03/08/2020 3:02 PM</t>
  </si>
  <si>
    <t>04/08/2020 1:01 PM</t>
  </si>
  <si>
    <t>28/07/2020 12:17 PM</t>
  </si>
  <si>
    <t>29/07/2020 3:38 PM</t>
  </si>
  <si>
    <t>03/08/2020 10:57 AM</t>
  </si>
  <si>
    <t>30/07/2020 3:28 PM</t>
  </si>
  <si>
    <t>30/07/2020 3:54 PM</t>
  </si>
  <si>
    <t>04/08/2020 10:27 PM</t>
  </si>
  <si>
    <t>27/07/2020 4:47 PM</t>
  </si>
  <si>
    <t>26/07/2020 7:12 AM</t>
  </si>
  <si>
    <t>26/07/2020 7:10 AM</t>
  </si>
  <si>
    <t>30/07/2020 4:00 PM</t>
  </si>
  <si>
    <t>26/07/2020 7:09 AM</t>
  </si>
  <si>
    <t>26/07/2020 7:01 AM</t>
  </si>
  <si>
    <t>03/08/2020 9:18 AM</t>
  </si>
  <si>
    <t>03/08/2020 9:21 AM</t>
  </si>
  <si>
    <t>26/07/2020 7:03 AM</t>
  </si>
  <si>
    <t>31/07/2020 7:29 PM</t>
  </si>
  <si>
    <t>03/08/2020 3:42 PM</t>
  </si>
  <si>
    <t>24/07/2020 2:06 PM</t>
  </si>
  <si>
    <t>03/08/2020 9:31 AM</t>
  </si>
  <si>
    <t>30/07/2020 10:39 AM</t>
  </si>
  <si>
    <t>03/08/2020 11:30 AM</t>
  </si>
  <si>
    <t>04/08/2020 1:32 PM</t>
  </si>
  <si>
    <t>03/08/2020 3:09 PM</t>
  </si>
  <si>
    <t>04/08/2020 3:00 PM</t>
  </si>
  <si>
    <t>04/08/2020 2:41 PM</t>
  </si>
  <si>
    <t>30/07/2020 7:57 PM</t>
  </si>
  <si>
    <t>30/07/2020 8:01 PM</t>
  </si>
  <si>
    <t>04/08/2020 2:44 PM</t>
  </si>
  <si>
    <t>03/08/2020 10:17 AM</t>
  </si>
  <si>
    <t>30/07/2020 3:04 PM</t>
  </si>
  <si>
    <t>28/07/2020 4:25 PM</t>
  </si>
  <si>
    <t>04/08/2020 3:02 PM</t>
  </si>
  <si>
    <t>03/08/2020 11:18 AM</t>
  </si>
  <si>
    <t>04/08/2020 2:49 PM</t>
  </si>
  <si>
    <t>04/08/2020 2:53 PM</t>
  </si>
  <si>
    <t>03/08/2020 10:41 AM</t>
  </si>
  <si>
    <t>04/08/2020 1:09 PM</t>
  </si>
  <si>
    <t>29/07/2020 2:32 PM</t>
  </si>
  <si>
    <t>03/08/2020 11:29 AM</t>
  </si>
  <si>
    <t>30/07/2020 5:06 PM</t>
  </si>
  <si>
    <t>30/07/2020 4:14 PM</t>
  </si>
  <si>
    <t>30/07/2020 4:10 PM</t>
  </si>
  <si>
    <t>03/08/2020 4:44 PM</t>
  </si>
  <si>
    <t>04/08/2020 12:19 PM</t>
  </si>
  <si>
    <t>04/08/2020 11:14 PM</t>
  </si>
  <si>
    <t>22/07/2020 12:00 AM</t>
  </si>
  <si>
    <t>04/08/2020 10:03 AM</t>
  </si>
  <si>
    <t>28/07/2020 4:12 PM</t>
  </si>
  <si>
    <t>03/08/2020 10:40 AM</t>
  </si>
  <si>
    <t>04/08/2020 10:30 PM</t>
  </si>
  <si>
    <t>04/08/2020 10:48 AM</t>
  </si>
  <si>
    <t>04/08/2020 10:28 PM</t>
  </si>
  <si>
    <t>04/08/2020 7:33 PM</t>
  </si>
  <si>
    <t>30/07/2020 4:31 PM</t>
  </si>
  <si>
    <t>29/07/2020 3:12 PM</t>
  </si>
  <si>
    <t>04/08/2020 5:05 PM</t>
  </si>
  <si>
    <t>30/07/2020 3:03 PM</t>
  </si>
  <si>
    <t>03/08/2020 3:46 PM</t>
  </si>
  <si>
    <t>27/07/2020 5:09 PM</t>
  </si>
  <si>
    <t>03/08/2020 2:21 PM</t>
  </si>
  <si>
    <t>03/08/2020 3:25 PM</t>
  </si>
  <si>
    <t>30/07/2020 2:58 PM</t>
  </si>
  <si>
    <t>27/07/2020 10:40 AM</t>
  </si>
  <si>
    <t>04/08/2020 2:47 PM</t>
  </si>
  <si>
    <t>29/07/2020 11:09 AM</t>
  </si>
  <si>
    <t>27/07/2020 11:26 AM</t>
  </si>
  <si>
    <t>23/07/2020 12:59 PM</t>
  </si>
  <si>
    <t>22/07/2020 8:30 AM</t>
  </si>
  <si>
    <t>30/07/2020 2:24 PM</t>
  </si>
  <si>
    <t>03/08/2020 4:12 PM</t>
  </si>
  <si>
    <t>30/07/2020 2:28 PM</t>
  </si>
  <si>
    <t>30/07/2020 5:22 PM</t>
  </si>
  <si>
    <t>28/07/2020 4:26 PM</t>
  </si>
  <si>
    <t>28/07/2020 11:35 AM</t>
  </si>
  <si>
    <t>28/07/2020 4:29 PM</t>
  </si>
  <si>
    <t>30/07/2020 11:27 AM</t>
  </si>
  <si>
    <t>23/07/2020 10:55 AM</t>
  </si>
  <si>
    <t>28/07/2020 11:40 AM</t>
  </si>
  <si>
    <t>03/08/2020 9:52 PM</t>
  </si>
  <si>
    <t>04/08/2020 12:13 PM</t>
  </si>
  <si>
    <t>03/08/2020 8:11 AM</t>
  </si>
  <si>
    <t>29/07/2020 4:26 PM</t>
  </si>
  <si>
    <t>30/07/2020 11:19 AM</t>
  </si>
  <si>
    <t>29/07/2020 4:33 PM</t>
  </si>
  <si>
    <t>31/07/2020 1:35 PM</t>
  </si>
  <si>
    <t>04/08/2020 5:44 PM</t>
  </si>
  <si>
    <t>04/08/2020 4:01 PM</t>
  </si>
  <si>
    <t>30/07/2020 11:32 AM</t>
  </si>
  <si>
    <t>29/07/2020 1:01 PM</t>
  </si>
  <si>
    <t>04/08/2020 2:28 PM</t>
  </si>
  <si>
    <t>04/08/2020 5:53 PM</t>
  </si>
  <si>
    <t>28/07/2020 1:54 PM</t>
  </si>
  <si>
    <t>30/07/2020 3:10 PM</t>
  </si>
  <si>
    <t>30/07/2020 9:40 AM</t>
  </si>
  <si>
    <t>04/08/2020 11:30 AM</t>
  </si>
  <si>
    <t>03/08/2020 3:51 PM</t>
  </si>
  <si>
    <t>03/08/2020 8:34 PM</t>
  </si>
  <si>
    <t>03/08/2020 3:58 PM</t>
  </si>
  <si>
    <t>04/08/2020 3:57 PM</t>
  </si>
  <si>
    <t>03/08/2020 4:35 PM</t>
  </si>
  <si>
    <t>28/07/2020 3:28 PM</t>
  </si>
  <si>
    <t>28/07/2020 3:54 PM</t>
  </si>
  <si>
    <t>03/08/2020 2:59 PM</t>
  </si>
  <si>
    <t>03/08/2020 3:10 PM</t>
  </si>
  <si>
    <t>04/08/2020 3:06 PM</t>
  </si>
  <si>
    <t>29/07/2020 1:50 PM</t>
  </si>
  <si>
    <t>31/07/2020 10:35 AM</t>
  </si>
  <si>
    <t>04/08/2020 11:52 AM</t>
  </si>
  <si>
    <t>03/08/2020 12:36 PM</t>
  </si>
  <si>
    <t>03/08/2020 3:55 PM</t>
  </si>
  <si>
    <t>30/07/2020 8:09 PM</t>
  </si>
  <si>
    <t>04/08/2020 3:42 PM</t>
  </si>
  <si>
    <t>03/08/2020 4:30 PM</t>
  </si>
  <si>
    <t>03/08/2020 4:28 PM</t>
  </si>
  <si>
    <t>31/07/2020 5:49 PM</t>
  </si>
  <si>
    <t>04/08/2020 5:21 PM</t>
  </si>
  <si>
    <t>28/07/2020 3:56 PM</t>
  </si>
  <si>
    <t>28/07/2020 3:58 PM</t>
  </si>
  <si>
    <t>03/08/2020 8:40 PM</t>
  </si>
  <si>
    <t>04/08/2020 2:50 PM</t>
  </si>
  <si>
    <t>03/08/2020 5:23 PM</t>
  </si>
  <si>
    <t>03/08/2020 4:25 PM</t>
  </si>
  <si>
    <t>30/07/2020 6:22 PM</t>
  </si>
  <si>
    <t>30/07/2020 2:55 PM</t>
  </si>
  <si>
    <t>03/08/2020 4:22 PM</t>
  </si>
  <si>
    <t>24/07/2020 7:23 PM</t>
  </si>
  <si>
    <t>03/08/2020 3:28 PM</t>
  </si>
  <si>
    <t>01/08/2020 10:27 PM</t>
  </si>
  <si>
    <t>22/07/2020 10:53 AM</t>
  </si>
  <si>
    <t>03/08/2020 5:24 PM</t>
  </si>
  <si>
    <t>04/08/2020 2:51 PM</t>
  </si>
  <si>
    <t>03/08/2020 5:26 PM</t>
  </si>
  <si>
    <t>30/07/2020 5:20 PM</t>
  </si>
  <si>
    <t>28/07/2020 1:05 PM</t>
  </si>
  <si>
    <t>30/07/2020 8:06 PM</t>
  </si>
  <si>
    <t>03/08/2020 12:04 PM</t>
  </si>
  <si>
    <t>30/07/2020 11:40 AM</t>
  </si>
  <si>
    <t>28/07/2020 10:12 PM</t>
  </si>
  <si>
    <t>29/07/2020 2:21 PM</t>
  </si>
  <si>
    <t>03/08/2020 8:33 PM</t>
  </si>
  <si>
    <t>03/08/2020 11:40 PM</t>
  </si>
  <si>
    <t>03/08/2020 11:52 PM</t>
  </si>
  <si>
    <t>28/07/2020 10:08 PM</t>
  </si>
  <si>
    <t>03/08/2020 11:35 PM</t>
  </si>
  <si>
    <t>03/08/2020 11:30 PM</t>
  </si>
  <si>
    <t>03/08/2020 11:29 PM</t>
  </si>
  <si>
    <t>03/08/2020 11:49 PM</t>
  </si>
  <si>
    <t>30/07/2020 1:39 PM</t>
  </si>
  <si>
    <t>29/07/2020 1:03 PM</t>
  </si>
  <si>
    <t>24/07/2020 9:28 AM</t>
  </si>
  <si>
    <t>26/07/2020 7:55 PM</t>
  </si>
  <si>
    <t>03/08/2020 5:49 PM</t>
  </si>
  <si>
    <t>30/07/2020 3:02 PM</t>
  </si>
  <si>
    <t>26/07/2020 7:54 PM</t>
  </si>
  <si>
    <t>03/08/2020 10:09 PM</t>
  </si>
  <si>
    <t>21/07/2020 12:00 AM</t>
  </si>
  <si>
    <t>26/07/2020 7:59 PM</t>
  </si>
  <si>
    <t>04/08/2020 7:51 PM</t>
  </si>
  <si>
    <t>24/07/2020 7:38 PM</t>
  </si>
  <si>
    <t>03/08/2020 4:39 PM</t>
  </si>
  <si>
    <t>29/07/2020 2:30 PM</t>
  </si>
  <si>
    <t>28/07/2020 10:11 PM</t>
  </si>
  <si>
    <t>30/07/2020 9:59 AM</t>
  </si>
  <si>
    <t>03/08/2020 9:41 AM</t>
  </si>
  <si>
    <t>30/07/2020 12:33 PM</t>
  </si>
  <si>
    <t>03/08/2020 4:19 PM</t>
  </si>
  <si>
    <t>03/08/2020 4:06 PM</t>
  </si>
  <si>
    <t>03/08/2020 4:17 PM</t>
  </si>
  <si>
    <t>29/07/2020 12:57 PM</t>
  </si>
  <si>
    <t>03/08/2020 4:04 PM</t>
  </si>
  <si>
    <t>04/08/2020 9:48 AM</t>
  </si>
  <si>
    <t>03/08/2020 10:47 AM</t>
  </si>
  <si>
    <t>31/07/2020 6:24 PM</t>
  </si>
  <si>
    <t>29/07/2020 12:54 PM</t>
  </si>
  <si>
    <t>27/07/2020 9:15 AM</t>
  </si>
  <si>
    <t>28/07/2020 2:37 PM</t>
  </si>
  <si>
    <t>27/07/2020 4:10 PM</t>
  </si>
  <si>
    <t>28/07/2020 5:02 PM</t>
  </si>
  <si>
    <t>04/08/2020 2:16 PM</t>
  </si>
  <si>
    <t>04/08/2020 2:36 PM</t>
  </si>
  <si>
    <t>02/08/2020 11:15 AM</t>
  </si>
  <si>
    <t>30/07/2020 2:52 PM</t>
  </si>
  <si>
    <t>03/08/2020 1:03 PM</t>
  </si>
  <si>
    <t>21/07/2020 4:25 PM</t>
  </si>
  <si>
    <t>30/07/2020 2:25 PM</t>
  </si>
  <si>
    <t>27/07/2020 11:25 AM</t>
  </si>
  <si>
    <t>03/08/2020 12:58 PM</t>
  </si>
  <si>
    <t>21/07/2020 10:03 AM</t>
  </si>
  <si>
    <t>29/07/2020 2:00 PM</t>
  </si>
  <si>
    <t>30/07/2020 2:31 PM</t>
  </si>
  <si>
    <t>03/08/2020 9:18 PM</t>
  </si>
  <si>
    <t>04/08/2020 9:30 AM</t>
  </si>
  <si>
    <t>04/08/2020 3:38 PM</t>
  </si>
  <si>
    <t>28/07/2020 4:45 PM</t>
  </si>
  <si>
    <t>03/08/2020 4:37 PM</t>
  </si>
  <si>
    <t>04/08/2020 2:57 PM</t>
  </si>
  <si>
    <t>03/08/2020 10:13 AM</t>
  </si>
  <si>
    <t>03/08/2020 8:48 AM</t>
  </si>
  <si>
    <t>03/08/2020 10:16 PM</t>
  </si>
  <si>
    <t>28/07/2020 1:52 PM</t>
  </si>
  <si>
    <t>28/07/2020 1:36 PM</t>
  </si>
  <si>
    <t>28/07/2020 1:24 PM</t>
  </si>
  <si>
    <t>30/07/2020 4:46 PM</t>
  </si>
  <si>
    <t>30/07/2020 4:47 PM</t>
  </si>
  <si>
    <t>29/07/2020 2:02 PM</t>
  </si>
  <si>
    <t>03/08/2020 10:22 PM</t>
  </si>
  <si>
    <t>24/07/2020 2:13 PM</t>
  </si>
  <si>
    <t>03/08/2020 10:20 PM</t>
  </si>
  <si>
    <t>24/07/2020 2:08 PM</t>
  </si>
  <si>
    <t>02/08/2020 6:40 PM</t>
  </si>
  <si>
    <t>03/08/2020 10:18 PM</t>
  </si>
  <si>
    <t>28/07/2020 6:53 PM</t>
  </si>
  <si>
    <t>04/08/2020 8:03 PM</t>
  </si>
  <si>
    <t>04/08/2020 8:04 PM</t>
  </si>
  <si>
    <t>29/07/2020 9:15 AM</t>
  </si>
  <si>
    <t>02/08/2020 5:17 AM</t>
  </si>
  <si>
    <t>24/07/2020 7:17 PM</t>
  </si>
  <si>
    <t>23/07/2020 9:49 PM</t>
  </si>
  <si>
    <t>25/07/2020 6:47 PM</t>
  </si>
  <si>
    <t>25/07/2020 6:38 PM</t>
  </si>
  <si>
    <t>25/07/2020 6:34 PM</t>
  </si>
  <si>
    <t>04/08/2020 8:07 PM</t>
  </si>
  <si>
    <t>04/08/2020 8:08 PM</t>
  </si>
  <si>
    <t>29/07/2020 9:23 AM</t>
  </si>
  <si>
    <t>25/07/2020 6:43 PM</t>
  </si>
  <si>
    <t>03/08/2020 7:03 PM</t>
  </si>
  <si>
    <t>20/07/2020 12:00 AM</t>
  </si>
  <si>
    <t>22/07/2020 1:10 PM</t>
  </si>
  <si>
    <t>03/08/2020 2:53 PM</t>
  </si>
  <si>
    <t>03/08/2020 3:30 PM</t>
  </si>
  <si>
    <t>24/07/2020 7:19 PM</t>
  </si>
  <si>
    <t>20/07/2020 11:30 AM</t>
  </si>
  <si>
    <t>20/07/2020 2:36 PM</t>
  </si>
  <si>
    <t>23/07/2020 4:46 PM</t>
  </si>
  <si>
    <t>28/07/2020 3:30 PM</t>
  </si>
  <si>
    <t>03/08/2020 11:55 AM</t>
  </si>
  <si>
    <t>03/08/2020 6:57 PM</t>
  </si>
  <si>
    <t>29/07/2020 11:15 AM</t>
  </si>
  <si>
    <t>03/08/2020 6:56 PM</t>
  </si>
  <si>
    <t>28/07/2020 3:33 PM</t>
  </si>
  <si>
    <t>28/07/2020 3:36 PM</t>
  </si>
  <si>
    <t>29/07/2020 11:05 AM</t>
  </si>
  <si>
    <t>25/07/2020 6:45 PM</t>
  </si>
  <si>
    <t>03/08/2020 7:05 PM</t>
  </si>
  <si>
    <t>24/07/2020 9:59 AM</t>
  </si>
  <si>
    <t>03/08/2020 7:04 PM</t>
  </si>
  <si>
    <t>29/07/2020 11:22 AM</t>
  </si>
  <si>
    <t>03/08/2020 7:07 PM</t>
  </si>
  <si>
    <t>03/08/2020 7:06 PM</t>
  </si>
  <si>
    <t>03/08/2020 7:13 PM</t>
  </si>
  <si>
    <t>04/08/2020 11:35 AM</t>
  </si>
  <si>
    <t>26/07/2020 7:07 AM</t>
  </si>
  <si>
    <t>24/07/2020 3:22 PM</t>
  </si>
  <si>
    <t>26/07/2020 6:57 AM</t>
  </si>
  <si>
    <t>03/08/2020 7:11 PM</t>
  </si>
  <si>
    <t>03/08/2020 7:18 PM</t>
  </si>
  <si>
    <t>03/08/2020 7:12 PM</t>
  </si>
  <si>
    <t>03/08/2020 9:27 AM</t>
  </si>
  <si>
    <t>28/07/2020 4:19 PM</t>
  </si>
  <si>
    <t>03/08/2020 7:16 PM</t>
  </si>
  <si>
    <t>29/07/2020 10:31 AM</t>
  </si>
  <si>
    <t>03/08/2020 7:14 PM</t>
  </si>
  <si>
    <t>03/08/2020 7:15 PM</t>
  </si>
  <si>
    <t>03/08/2020 7:10 PM</t>
  </si>
  <si>
    <t>03/08/2020 7:17 PM</t>
  </si>
  <si>
    <t>03/08/2020 7:09 PM</t>
  </si>
  <si>
    <t>30/07/2020 3:00 PM</t>
  </si>
  <si>
    <t>23/07/2020 12:39 PM</t>
  </si>
  <si>
    <t>03/08/2020 7:08 PM</t>
  </si>
  <si>
    <t>29/07/2020 10:57 AM</t>
  </si>
  <si>
    <t>03/08/2020 6:55 PM</t>
  </si>
  <si>
    <t>31/07/2020 11:56 AM</t>
  </si>
  <si>
    <t>03/08/2020 2:04 PM</t>
  </si>
  <si>
    <t>28/07/2020 2:18 PM</t>
  </si>
  <si>
    <t>21/07/2020 4:15 PM</t>
  </si>
  <si>
    <t>23/07/2020 9:11 AM</t>
  </si>
  <si>
    <t>30/07/2020 2:19 PM</t>
  </si>
  <si>
    <t>29/07/2020 11:27 AM</t>
  </si>
  <si>
    <t>03/08/2020 7:24 PM</t>
  </si>
  <si>
    <t>23/07/2020 11:41 AM</t>
  </si>
  <si>
    <t>03/08/2020 7:22 PM</t>
  </si>
  <si>
    <t>03/08/2020 7:23 PM</t>
  </si>
  <si>
    <t>03/08/2020 7:21 PM</t>
  </si>
  <si>
    <t>03/08/2020 7:20 PM</t>
  </si>
  <si>
    <t>03/08/2020 7:35 PM</t>
  </si>
  <si>
    <t>03/08/2020 7:34 PM</t>
  </si>
  <si>
    <t>29/07/2020 10:49 AM</t>
  </si>
  <si>
    <t>03/08/2020 7:33 PM</t>
  </si>
  <si>
    <t>03/08/2020 7:30 PM</t>
  </si>
  <si>
    <t>03/08/2020 7:32 PM</t>
  </si>
  <si>
    <t>03/08/2020 7:31 PM</t>
  </si>
  <si>
    <t>03/08/2020 7:28 PM</t>
  </si>
  <si>
    <t>03/08/2020 7:29 PM</t>
  </si>
  <si>
    <t>03/08/2020 7:26 PM</t>
  </si>
  <si>
    <t>03/08/2020 7:27 PM</t>
  </si>
  <si>
    <t>03/08/2020 7:01 PM</t>
  </si>
  <si>
    <t>03/08/2020 7:39 PM</t>
  </si>
  <si>
    <t>31/07/2020 11:24 AM</t>
  </si>
  <si>
    <t>27/07/2020 4:25 PM</t>
  </si>
  <si>
    <t>27/07/2020 4:03 PM</t>
  </si>
  <si>
    <t>28/07/2020 4:27 PM</t>
  </si>
  <si>
    <t>31/07/2020 6:20 PM</t>
  </si>
  <si>
    <t>31/07/2020 6:21 PM</t>
  </si>
  <si>
    <t>28/07/2020 4:32 PM</t>
  </si>
  <si>
    <t>30/07/2020 5:51 PM</t>
  </si>
  <si>
    <t>04/08/2020 1:28 PM</t>
  </si>
  <si>
    <t>03/08/2020 6:34 PM</t>
  </si>
  <si>
    <t>04/08/2020 11:22 PM</t>
  </si>
  <si>
    <t>04/08/2020 11:21 PM</t>
  </si>
  <si>
    <t>04/08/2020 11:18 PM</t>
  </si>
  <si>
    <t>28/07/2020 4:33 PM</t>
  </si>
  <si>
    <t>03/08/2020 9:37 PM</t>
  </si>
  <si>
    <t>04/08/2020 11:27 PM</t>
  </si>
  <si>
    <t>19/07/2020 12:00 AM</t>
  </si>
  <si>
    <t>04/08/2020 6:08 PM</t>
  </si>
  <si>
    <t>04/08/2020 11:25 PM</t>
  </si>
  <si>
    <t>04/08/2020 5:16 PM</t>
  </si>
  <si>
    <t>30/07/2020 6:54 AM</t>
  </si>
  <si>
    <t>30/07/2020 6:52 AM</t>
  </si>
  <si>
    <t>03/08/2020 2:34 PM</t>
  </si>
  <si>
    <t>18/07/2020 12:00 AM</t>
  </si>
  <si>
    <t>03/08/2020 11:22 PM</t>
  </si>
  <si>
    <t>03/08/2020 11:20 PM</t>
  </si>
  <si>
    <t>04/08/2020 10:51 PM</t>
  </si>
  <si>
    <t>04/08/2020 10:49 PM</t>
  </si>
  <si>
    <t>03/08/2020 11:24 PM</t>
  </si>
  <si>
    <t>20/07/2020 1:35 PM</t>
  </si>
  <si>
    <t>03/08/2020 8:27 PM</t>
  </si>
  <si>
    <t>23/07/2020 9:47 AM</t>
  </si>
  <si>
    <t>03/08/2020 7:38 PM</t>
  </si>
  <si>
    <t>03/08/2020 7:37 PM</t>
  </si>
  <si>
    <t>03/08/2020 7:25 PM</t>
  </si>
  <si>
    <t>03/08/2020 7:36 PM</t>
  </si>
  <si>
    <t>03/08/2020 9:26 AM</t>
  </si>
  <si>
    <t>03/08/2020 7:19 PM</t>
  </si>
  <si>
    <t>30/07/2020 7:32 PM</t>
  </si>
  <si>
    <t>29/07/2020 9:03 AM</t>
  </si>
  <si>
    <t>29/07/2020 9:30 AM</t>
  </si>
  <si>
    <t>03/08/2020 4:52 PM</t>
  </si>
  <si>
    <t>30/07/2020 12:53 PM</t>
  </si>
  <si>
    <t>22/07/2020 10:07 AM</t>
  </si>
  <si>
    <t>04/08/2020 10:36 AM</t>
  </si>
  <si>
    <t>04/08/2020 10:35 AM</t>
  </si>
  <si>
    <t>29/07/2020 9:28 AM</t>
  </si>
  <si>
    <t>29/07/2020 9:16 AM</t>
  </si>
  <si>
    <t>29/07/2020 9:06 AM</t>
  </si>
  <si>
    <t>24/07/2020 4:25 PM</t>
  </si>
  <si>
    <t>29/07/2020 4:08 PM</t>
  </si>
  <si>
    <t>21/07/2020 12:12 PM</t>
  </si>
  <si>
    <t>27/07/2020 4:53 PM</t>
  </si>
  <si>
    <t>21/07/2020 12:04 PM</t>
  </si>
  <si>
    <t>28/07/2020 9:29 AM</t>
  </si>
  <si>
    <t>24/07/2020 3:14 PM</t>
  </si>
  <si>
    <t>29/07/2020 10:59 PM</t>
  </si>
  <si>
    <t>29/07/2020 11:03 PM</t>
  </si>
  <si>
    <t>29/07/2020 10:53 PM</t>
  </si>
  <si>
    <t>21/07/2020 3:03 PM</t>
  </si>
  <si>
    <t>29/07/2020 10:57 PM</t>
  </si>
  <si>
    <t>03/08/2020 2:33 PM</t>
  </si>
  <si>
    <t>30/07/2020 9:59 PM</t>
  </si>
  <si>
    <t>31/07/2020 12:04 AM</t>
  </si>
  <si>
    <t>21/07/2020 2:28 PM</t>
  </si>
  <si>
    <t>03/08/2020 9:16 AM</t>
  </si>
  <si>
    <t>29/07/2020 10:52 PM</t>
  </si>
  <si>
    <t>29/07/2020 10:50 PM</t>
  </si>
  <si>
    <t>29/07/2020 10:47 PM</t>
  </si>
  <si>
    <t>04/08/2020 4:13 PM</t>
  </si>
  <si>
    <t>29/07/2020 10:45 PM</t>
  </si>
  <si>
    <t>29/07/2020 10:55 PM</t>
  </si>
  <si>
    <t>30/07/2020 1:50 PM</t>
  </si>
  <si>
    <t>27/07/2020 3:07 PM</t>
  </si>
  <si>
    <t>29/07/2020 10:46 PM</t>
  </si>
  <si>
    <t>29/07/2020 10:43 PM</t>
  </si>
  <si>
    <t>31/07/2020 8:43 AM</t>
  </si>
  <si>
    <t>28/07/2020 9:53 AM</t>
  </si>
  <si>
    <t>31/07/2020 5:21 PM</t>
  </si>
  <si>
    <t>28/07/2020 9:51 AM</t>
  </si>
  <si>
    <t>24/07/2020 5:10 PM</t>
  </si>
  <si>
    <t>04/08/2020 8:58 AM</t>
  </si>
  <si>
    <t>29/07/2020 1:28 PM</t>
  </si>
  <si>
    <t>28/07/2020 10:01 AM</t>
  </si>
  <si>
    <t>04/08/2020 8:44 AM</t>
  </si>
  <si>
    <t>28/07/2020 9:59 AM</t>
  </si>
  <si>
    <t>18/07/2020 10:09 AM</t>
  </si>
  <si>
    <t>28/07/2020 5:00 PM</t>
  </si>
  <si>
    <t>17/07/2020 12:00 AM</t>
  </si>
  <si>
    <t>03/08/2020 4:31 PM</t>
  </si>
  <si>
    <t>26/07/2020 7:58 PM</t>
  </si>
  <si>
    <t>26/07/2020 7:53 PM</t>
  </si>
  <si>
    <t>28/07/2020 2:36 PM</t>
  </si>
  <si>
    <t>26/07/2020 7:52 PM</t>
  </si>
  <si>
    <t>20/07/2020 2:45 PM</t>
  </si>
  <si>
    <t>30/07/2020 1:31 PM</t>
  </si>
  <si>
    <t>20/07/2020 2:32 PM</t>
  </si>
  <si>
    <t>03/08/2020 1:19 PM</t>
  </si>
  <si>
    <t>30/07/2020 1:29 PM</t>
  </si>
  <si>
    <t>30/07/2020 9:29 AM</t>
  </si>
  <si>
    <t>03/08/2020 1:21 PM</t>
  </si>
  <si>
    <t>27/07/2020 2:17 PM</t>
  </si>
  <si>
    <t>28/07/2020 9:19 AM</t>
  </si>
  <si>
    <t>28/07/2020 4:46 PM</t>
  </si>
  <si>
    <t>27/07/2020 11:02 AM</t>
  </si>
  <si>
    <t>21/07/2020 1:24 PM</t>
  </si>
  <si>
    <t>30/07/2020 3:52 PM</t>
  </si>
  <si>
    <t>22/07/2020 11:01 AM</t>
  </si>
  <si>
    <t>04/08/2020 5:03 PM</t>
  </si>
  <si>
    <t>28/07/2020 9:06 AM</t>
  </si>
  <si>
    <t>03/08/2020 5:10 PM</t>
  </si>
  <si>
    <t>03/08/2020 5:13 PM</t>
  </si>
  <si>
    <t>28/07/2020 9:03 AM</t>
  </si>
  <si>
    <t>28/07/2020 10:12 AM</t>
  </si>
  <si>
    <t>17/07/2020 8:46 AM</t>
  </si>
  <si>
    <t>28/07/2020 11:10 AM</t>
  </si>
  <si>
    <t>30/07/2020 1:11 PM</t>
  </si>
  <si>
    <t>28/07/2020 11:19 AM</t>
  </si>
  <si>
    <t>24/07/2020 4:18 PM</t>
  </si>
  <si>
    <t>03/08/2020 10:37 PM</t>
  </si>
  <si>
    <t>27/07/2020 5:23 PM</t>
  </si>
  <si>
    <t>31/07/2020 5:34 PM</t>
  </si>
  <si>
    <t>28/07/2020 5:10 PM</t>
  </si>
  <si>
    <t>25/07/2020 11:11 AM</t>
  </si>
  <si>
    <t>29/07/2020 12:00 PM</t>
  </si>
  <si>
    <t>28/07/2020 11:30 AM</t>
  </si>
  <si>
    <t>21/07/2020 2:21 PM</t>
  </si>
  <si>
    <t>28/07/2020 1:26 PM</t>
  </si>
  <si>
    <t>24/07/2020 6:17 PM</t>
  </si>
  <si>
    <t>20/07/2020 3:30 PM</t>
  </si>
  <si>
    <t>22/07/2020 11:47 AM</t>
  </si>
  <si>
    <t>02/08/2020 7:11 PM</t>
  </si>
  <si>
    <t>27/07/2020 5:14 PM</t>
  </si>
  <si>
    <t>29/07/2020 11:49 AM</t>
  </si>
  <si>
    <t>28/07/2020 2:44 PM</t>
  </si>
  <si>
    <t>02/08/2020 7:15 PM</t>
  </si>
  <si>
    <t>24/07/2020 3:58 PM</t>
  </si>
  <si>
    <t>29/07/2020 3:17 PM</t>
  </si>
  <si>
    <t>24/07/2020 3:18 PM</t>
  </si>
  <si>
    <t>02/08/2020 7:12 PM</t>
  </si>
  <si>
    <t>28/07/2020 9:12 AM</t>
  </si>
  <si>
    <t>04/08/2020 8:51 PM</t>
  </si>
  <si>
    <t>24/07/2020 9:52 AM</t>
  </si>
  <si>
    <t>24/07/2020 2:41 PM</t>
  </si>
  <si>
    <t>23/07/2020 4:12 PM</t>
  </si>
  <si>
    <t>03/08/2020 8:45 AM</t>
  </si>
  <si>
    <t>29/07/2020 3:59 PM</t>
  </si>
  <si>
    <t>28/07/2020 10:42 PM</t>
  </si>
  <si>
    <t>28/07/2020 10:41 PM</t>
  </si>
  <si>
    <t>04/08/2020 8:36 PM</t>
  </si>
  <si>
    <t>28/07/2020 10:40 PM</t>
  </si>
  <si>
    <t>28/07/2020 10:38 PM</t>
  </si>
  <si>
    <t>29/07/2020 12:12 AM</t>
  </si>
  <si>
    <t>23/07/2020 3:48 PM</t>
  </si>
  <si>
    <t>29/07/2020 11:52 AM</t>
  </si>
  <si>
    <t>30/07/2020 10:25 PM</t>
  </si>
  <si>
    <t>30/07/2020 10:26 PM</t>
  </si>
  <si>
    <t>29/07/2020 12:09 AM</t>
  </si>
  <si>
    <t>31/07/2020 9:34 PM</t>
  </si>
  <si>
    <t>31/07/2020 8:37 PM</t>
  </si>
  <si>
    <t>31/07/2020 8:43 PM</t>
  </si>
  <si>
    <t>24/07/2020 12:21 PM</t>
  </si>
  <si>
    <t>24/07/2020 11:59 AM</t>
  </si>
  <si>
    <t>16/07/2020 12:00 AM</t>
  </si>
  <si>
    <t>21/07/2020 3:52 PM</t>
  </si>
  <si>
    <t>24/07/2020 12:34 PM</t>
  </si>
  <si>
    <t>24/07/2020 12:35 PM</t>
  </si>
  <si>
    <t>24/07/2020 12:25 PM</t>
  </si>
  <si>
    <t>24/07/2020 12:24 PM</t>
  </si>
  <si>
    <t>30/07/2020 4:34 PM</t>
  </si>
  <si>
    <t>24/07/2020 12:23 PM</t>
  </si>
  <si>
    <t>29/07/2020 11:26 AM</t>
  </si>
  <si>
    <t>24/07/2020 10:08 AM</t>
  </si>
  <si>
    <t>24/07/2020 12:33 PM</t>
  </si>
  <si>
    <t>29/07/2020 11:21 AM</t>
  </si>
  <si>
    <t>29/07/2020 11:18 AM</t>
  </si>
  <si>
    <t>29/07/2020 11:25 AM</t>
  </si>
  <si>
    <t>03/08/2020 2:46 PM</t>
  </si>
  <si>
    <t>24/07/2020 11:56 AM</t>
  </si>
  <si>
    <t>04/08/2020 3:08 PM</t>
  </si>
  <si>
    <t>29/07/2020 11:38 AM</t>
  </si>
  <si>
    <t>29/07/2020 8:44 AM</t>
  </si>
  <si>
    <t>29/07/2020 9:08 AM</t>
  </si>
  <si>
    <t>21/07/2020 3:40 PM</t>
  </si>
  <si>
    <t>16/07/2020 4:46 PM</t>
  </si>
  <si>
    <t>27/07/2020 3:27 PM</t>
  </si>
  <si>
    <t>29/07/2020 3:48 PM</t>
  </si>
  <si>
    <t>30/07/2020 6:19 PM</t>
  </si>
  <si>
    <t>28/07/2020 2:53 PM</t>
  </si>
  <si>
    <t>29/07/2020 9:05 AM</t>
  </si>
  <si>
    <t>29/07/2020 2:22 PM</t>
  </si>
  <si>
    <t>17/07/2020 2:00 PM</t>
  </si>
  <si>
    <t>29/07/2020 5:14 PM</t>
  </si>
  <si>
    <t>29/07/2020 11:28 AM</t>
  </si>
  <si>
    <t>29/07/2020 11:29 AM</t>
  </si>
  <si>
    <t>24/07/2020 4:48 PM</t>
  </si>
  <si>
    <t>24/07/2020 8:37 AM</t>
  </si>
  <si>
    <t>04/08/2020 1:20 PM</t>
  </si>
  <si>
    <t>04/08/2020 5:02 PM</t>
  </si>
  <si>
    <t>24/07/2020 1:15 PM</t>
  </si>
  <si>
    <t>30/07/2020 8:42 PM</t>
  </si>
  <si>
    <t>29/07/2020 11:33 AM</t>
  </si>
  <si>
    <t>29/07/2020 11:35 AM</t>
  </si>
  <si>
    <t>29/07/2020 11:31 AM</t>
  </si>
  <si>
    <t>04/08/2020 1:22 PM</t>
  </si>
  <si>
    <t>29/07/2020 4:37 PM</t>
  </si>
  <si>
    <t>28/07/2020 4:56 PM</t>
  </si>
  <si>
    <t>04/08/2020 1:24 PM</t>
  </si>
  <si>
    <t>03/08/2020 8:23 AM</t>
  </si>
  <si>
    <t>27/07/2020 4:57 PM</t>
  </si>
  <si>
    <t>03/08/2020 2:47 PM</t>
  </si>
  <si>
    <t>03/08/2020 2:44 PM</t>
  </si>
  <si>
    <t>30/07/2020 10:41 AM</t>
  </si>
  <si>
    <t>03/08/2020 2:43 PM</t>
  </si>
  <si>
    <t>30/07/2020 2:07 PM</t>
  </si>
  <si>
    <t>24/07/2020 4:38 PM</t>
  </si>
  <si>
    <t>04/08/2020 1:25 PM</t>
  </si>
  <si>
    <t>27/07/2020 12:47 PM</t>
  </si>
  <si>
    <t>04/08/2020 11:50 AM</t>
  </si>
  <si>
    <t>30/07/2020 10:28 AM</t>
  </si>
  <si>
    <t>03/08/2020 8:20 AM</t>
  </si>
  <si>
    <t>31/07/2020 11:37 AM</t>
  </si>
  <si>
    <t>30/07/2020 2:59 PM</t>
  </si>
  <si>
    <t>17/07/2020 1:24 AM</t>
  </si>
  <si>
    <t>16/07/2020 12:41 PM</t>
  </si>
  <si>
    <t>29/07/2020 2:04 PM</t>
  </si>
  <si>
    <t>17/07/2020 5:54 PM</t>
  </si>
  <si>
    <t>29/07/2020 5:36 PM</t>
  </si>
  <si>
    <t>30/07/2020 2:50 PM</t>
  </si>
  <si>
    <t>04/08/2020 9:33 AM</t>
  </si>
  <si>
    <t>30/07/2020 7:29 PM</t>
  </si>
  <si>
    <t>28/07/2020 4:07 PM</t>
  </si>
  <si>
    <t>29/07/2020 2:28 PM</t>
  </si>
  <si>
    <t>29/07/2020 2:24 PM</t>
  </si>
  <si>
    <t>04/08/2020 9:32 AM</t>
  </si>
  <si>
    <t>29/07/2020 2:12 PM</t>
  </si>
  <si>
    <t>29/07/2020 2:18 PM</t>
  </si>
  <si>
    <t>03/08/2020 2:45 PM</t>
  </si>
  <si>
    <t>16/07/2020 11:37 AM</t>
  </si>
  <si>
    <t>29/07/2020 2:09 PM</t>
  </si>
  <si>
    <t>04/08/2020 1:27 PM</t>
  </si>
  <si>
    <t>03/08/2020 2:49 PM</t>
  </si>
  <si>
    <t>30/07/2020 9:05 AM</t>
  </si>
  <si>
    <t>27/07/2020 3:59 PM</t>
  </si>
  <si>
    <t>03/08/2020 2:57 PM</t>
  </si>
  <si>
    <t>29/07/2020 4:50 PM</t>
  </si>
  <si>
    <t>03/08/2020 11:46 AM</t>
  </si>
  <si>
    <t>21/07/2020 3:33 PM</t>
  </si>
  <si>
    <t>24/07/2020 1:34 PM</t>
  </si>
  <si>
    <t>27/07/2020 3:35 PM</t>
  </si>
  <si>
    <t>30/07/2020 3:40 PM</t>
  </si>
  <si>
    <t>15/07/2020 12:00 AM</t>
  </si>
  <si>
    <t>30/07/2020 10:02 PM</t>
  </si>
  <si>
    <t>29/07/2020 5:17 PM</t>
  </si>
  <si>
    <t>29/07/2020 3:37 PM</t>
  </si>
  <si>
    <t>29/07/2020 3:08 PM</t>
  </si>
  <si>
    <t>22/07/2020 3:57 PM</t>
  </si>
  <si>
    <t>29/07/2020 3:34 PM</t>
  </si>
  <si>
    <t>29/07/2020 3:30 PM</t>
  </si>
  <si>
    <t>28/07/2020 11:06 AM</t>
  </si>
  <si>
    <t>28/07/2020 11:12 AM</t>
  </si>
  <si>
    <t>28/07/2020 10:58 AM</t>
  </si>
  <si>
    <t>29/07/2020 4:15 PM</t>
  </si>
  <si>
    <t>30/07/2020 3:37 PM</t>
  </si>
  <si>
    <t>29/07/2020 11:07 AM</t>
  </si>
  <si>
    <t>30/07/2020 8:19 PM</t>
  </si>
  <si>
    <t>29/07/2020 4:14 PM</t>
  </si>
  <si>
    <t>30/07/2020 8:17 PM</t>
  </si>
  <si>
    <t>04/08/2020 9:25 AM</t>
  </si>
  <si>
    <t>17/07/2020 8:47 AM</t>
  </si>
  <si>
    <t>04/08/2020 9:28 AM</t>
  </si>
  <si>
    <t>04/08/2020 4:27 PM</t>
  </si>
  <si>
    <t>17/07/2020 8:48 AM</t>
  </si>
  <si>
    <t>03/08/2020 2:52 PM</t>
  </si>
  <si>
    <t>03/08/2020 12:53 PM</t>
  </si>
  <si>
    <t>16/07/2020 9:23 AM</t>
  </si>
  <si>
    <t>29/07/2020 10:55 AM</t>
  </si>
  <si>
    <t>28/07/2020 1:38 PM</t>
  </si>
  <si>
    <t>23/07/2020 1:17 PM</t>
  </si>
  <si>
    <t>30/07/2020 4:58 PM</t>
  </si>
  <si>
    <t>28/07/2020 1:22 PM</t>
  </si>
  <si>
    <t>28/07/2020 1:35 PM</t>
  </si>
  <si>
    <t>30/07/2020 5:02 PM</t>
  </si>
  <si>
    <t>28/07/2020 1:19 PM</t>
  </si>
  <si>
    <t>23/07/2020 3:50 PM</t>
  </si>
  <si>
    <t>28/07/2020 1:31 PM</t>
  </si>
  <si>
    <t>23/07/2020 3:34 PM</t>
  </si>
  <si>
    <t>03/08/2020 5:07 PM</t>
  </si>
  <si>
    <t>28/07/2020 1:49 PM</t>
  </si>
  <si>
    <t>28/07/2020 1:25 PM</t>
  </si>
  <si>
    <t>23/07/2020 3:31 PM</t>
  </si>
  <si>
    <t>30/07/2020 1:12 PM</t>
  </si>
  <si>
    <t>15/07/2020 10:35 AM</t>
  </si>
  <si>
    <t>24/07/2020 1:24 PM</t>
  </si>
  <si>
    <t>20/07/2020 9:14 AM</t>
  </si>
  <si>
    <t>15/07/2020 3:46 PM</t>
  </si>
  <si>
    <t>03/08/2020 2:31 PM</t>
  </si>
  <si>
    <t>23/07/2020 1:20 PM</t>
  </si>
  <si>
    <t>03/08/2020 4:11 PM</t>
  </si>
  <si>
    <t>28/07/2020 1:41 PM</t>
  </si>
  <si>
    <t>29/07/2020 4:25 PM</t>
  </si>
  <si>
    <t>23/07/2020 3:03 PM</t>
  </si>
  <si>
    <t>14/07/2020 12:00 AM</t>
  </si>
  <si>
    <t>30/07/2020 7:54 AM</t>
  </si>
  <si>
    <t>24/07/2020 3:56 PM</t>
  </si>
  <si>
    <t>02/08/2020 10:10 AM</t>
  </si>
  <si>
    <t>17/07/2020 12:51 PM</t>
  </si>
  <si>
    <t>02/08/2020 10:08 AM</t>
  </si>
  <si>
    <t>14/07/2020 4:04 PM</t>
  </si>
  <si>
    <t>30/07/2020 5:04 PM</t>
  </si>
  <si>
    <t>28/07/2020 5:19 PM</t>
  </si>
  <si>
    <t>30/07/2020 5:00 PM</t>
  </si>
  <si>
    <t>16/07/2020 1:50 PM</t>
  </si>
  <si>
    <t>28/07/2020 5:24 PM</t>
  </si>
  <si>
    <t>28/07/2020 5:22 PM</t>
  </si>
  <si>
    <t>30/07/2020 2:03 PM</t>
  </si>
  <si>
    <t>13/07/2020 12:00 AM</t>
  </si>
  <si>
    <t>29/07/2020 6:17 PM</t>
  </si>
  <si>
    <t>15/07/2020 9:32 AM</t>
  </si>
  <si>
    <t>15/07/2020 9:33 AM</t>
  </si>
  <si>
    <t>16/07/2020 10:29 AM</t>
  </si>
  <si>
    <t>03/08/2020 4:02 PM</t>
  </si>
  <si>
    <t>03/08/2020 4:08 PM</t>
  </si>
  <si>
    <t>15/07/2020 6:05 PM</t>
  </si>
  <si>
    <t>30/07/2020 3:30 PM</t>
  </si>
  <si>
    <t>15/07/2020 6:07 PM</t>
  </si>
  <si>
    <t>27/07/2020 5:00 PM</t>
  </si>
  <si>
    <t>02/08/2020 8:58 PM</t>
  </si>
  <si>
    <t>02/08/2020 8:54 PM</t>
  </si>
  <si>
    <t>12/07/2020 12:00 AM</t>
  </si>
  <si>
    <t>20/07/2020 1:28 PM</t>
  </si>
  <si>
    <t>29/07/2020 6:39 PM</t>
  </si>
  <si>
    <t>22/07/2020 3:55 PM</t>
  </si>
  <si>
    <t>10/07/2020 12:00 AM</t>
  </si>
  <si>
    <t>11/07/2020 12:00 AM</t>
  </si>
  <si>
    <t>03/08/2020 6:11 PM</t>
  </si>
  <si>
    <t>04/08/2020 4:04 PM</t>
  </si>
  <si>
    <t>03/08/2020 5:48 PM</t>
  </si>
  <si>
    <t>30/07/2020 9:28 AM</t>
  </si>
  <si>
    <t>29/07/2020 1:05 PM</t>
  </si>
  <si>
    <t>03/08/2020 10:00 AM</t>
  </si>
  <si>
    <t>28/07/2020 3:09 PM</t>
  </si>
  <si>
    <t>02/08/2020 8:25 PM</t>
  </si>
  <si>
    <t>02/08/2020 8:21 PM</t>
  </si>
  <si>
    <t>02/08/2020 8:10 PM</t>
  </si>
  <si>
    <t>02/08/2020 8:23 PM</t>
  </si>
  <si>
    <t>04/08/2020 8:34 AM</t>
  </si>
  <si>
    <t>03/08/2020 1:40 PM</t>
  </si>
  <si>
    <t>30/07/2020 8:24 AM</t>
  </si>
  <si>
    <t>03/08/2020 9:23 AM</t>
  </si>
  <si>
    <t>30/07/2020 12:40 PM</t>
  </si>
  <si>
    <t>03/08/2020 1:28 PM</t>
  </si>
  <si>
    <t>30/07/2020 8:25 AM</t>
  </si>
  <si>
    <t>30/07/2020 9:30 AM</t>
  </si>
  <si>
    <t>03/08/2020 4:50 PM</t>
  </si>
  <si>
    <t>30/07/2020 9:27 AM</t>
  </si>
  <si>
    <t>03/08/2020 1:25 PM</t>
  </si>
  <si>
    <t>30/07/2020 2:20 PM</t>
  </si>
  <si>
    <t>03/08/2020 1:14 PM</t>
  </si>
  <si>
    <t>29/07/2020 4:53 PM</t>
  </si>
  <si>
    <t>09/07/2020 12:00 AM</t>
  </si>
  <si>
    <t>03/08/2020 5:56 PM</t>
  </si>
  <si>
    <t>28/07/2020 7:23 PM</t>
  </si>
  <si>
    <t>30/07/2020 2:27 PM</t>
  </si>
  <si>
    <t>31/07/2020 3:41 PM</t>
  </si>
  <si>
    <t>22/07/2020 3:23 PM</t>
  </si>
  <si>
    <t>30/07/2020 2:26 PM</t>
  </si>
  <si>
    <t>30/07/2020 11:42 AM</t>
  </si>
  <si>
    <t>03/08/2020 10:07 AM</t>
  </si>
  <si>
    <t>04/08/2020 10:13 AM</t>
  </si>
  <si>
    <t>03/08/2020 10:53 AM</t>
  </si>
  <si>
    <t>04/08/2020 8:41 PM</t>
  </si>
  <si>
    <t>13/07/2020 11:13 AM</t>
  </si>
  <si>
    <t>04/08/2020 10:07 AM</t>
  </si>
  <si>
    <t>04/08/2020 11:05 AM</t>
  </si>
  <si>
    <t>08/07/2020 12:00 AM</t>
  </si>
  <si>
    <t>30/07/2020 2:57 PM</t>
  </si>
  <si>
    <t>02/08/2020 7:16 PM</t>
  </si>
  <si>
    <t>03/08/2020 10:24 PM</t>
  </si>
  <si>
    <t>30/07/2020 3:08 PM</t>
  </si>
  <si>
    <t>29/07/2020 7:19 AM</t>
  </si>
  <si>
    <t>30/07/2020 2:53 PM</t>
  </si>
  <si>
    <t>04/08/2020 10:01 AM</t>
  </si>
  <si>
    <t>21/07/2020 8:21 PM</t>
  </si>
  <si>
    <t>30/07/2020 2:47 PM</t>
  </si>
  <si>
    <t>04/08/2020 11:28 PM</t>
  </si>
  <si>
    <t>29/07/2020 4:18 PM</t>
  </si>
  <si>
    <t>04/08/2020 11:02 PM</t>
  </si>
  <si>
    <t>04/08/2020 10:59 PM</t>
  </si>
  <si>
    <t>23/07/2020 1:33 PM</t>
  </si>
  <si>
    <t>03/08/2020 5:33 PM</t>
  </si>
  <si>
    <t>03/08/2020 5:27 PM</t>
  </si>
  <si>
    <t>28/07/2020 3:12 PM</t>
  </si>
  <si>
    <t>04/08/2020 10:34 AM</t>
  </si>
  <si>
    <t>03/08/2020 1:41 PM</t>
  </si>
  <si>
    <t>23/07/2020 1:31 PM</t>
  </si>
  <si>
    <t>29/07/2020 7:18 PM</t>
  </si>
  <si>
    <t>23/07/2020 4:04 PM</t>
  </si>
  <si>
    <t>09/07/2020 4:41 PM</t>
  </si>
  <si>
    <t>22/07/2020 4:30 PM</t>
  </si>
  <si>
    <t>03/08/2020 3:47 PM</t>
  </si>
  <si>
    <t>03/08/2020 3:48 PM</t>
  </si>
  <si>
    <t>28/07/2020 3:06 PM</t>
  </si>
  <si>
    <t>08/07/2020 3:29 PM</t>
  </si>
  <si>
    <t>23/07/2020 1:30 PM</t>
  </si>
  <si>
    <t>15/07/2020 7:38 PM</t>
  </si>
  <si>
    <t>02/08/2020 8:15 PM</t>
  </si>
  <si>
    <t>02/08/2020 8:17 PM</t>
  </si>
  <si>
    <t>30/07/2020 12:44 PM</t>
  </si>
  <si>
    <t>02/08/2020 8:13 PM</t>
  </si>
  <si>
    <t>30/07/2020 7:41 AM</t>
  </si>
  <si>
    <t>30/07/2020 4:16 PM</t>
  </si>
  <si>
    <t>02/08/2020 8:19 PM</t>
  </si>
  <si>
    <t>04/08/2020 12:16 PM</t>
  </si>
  <si>
    <t>15/07/2020 4:22 PM</t>
  </si>
  <si>
    <t>04/08/2020 1:21 PM</t>
  </si>
  <si>
    <t>24/07/2020 1:09 PM</t>
  </si>
  <si>
    <t>03/08/2020 3:23 PM</t>
  </si>
  <si>
    <t>23/07/2020 9:45 AM</t>
  </si>
  <si>
    <t>24/07/2020 1:04 PM</t>
  </si>
  <si>
    <t>01/08/2020 3:55 PM</t>
  </si>
  <si>
    <t>15/07/2020 3:30 PM</t>
  </si>
  <si>
    <t>15/07/2020 4:23 PM</t>
  </si>
  <si>
    <t>04/08/2020 1:59 PM</t>
  </si>
  <si>
    <t>24/07/2020 4:47 PM</t>
  </si>
  <si>
    <t>10/07/2020 9:56 AM</t>
  </si>
  <si>
    <t>29/07/2020 9:19 PM</t>
  </si>
  <si>
    <t>30/07/2020 8:37 AM</t>
  </si>
  <si>
    <t>09/07/2020 5:12 PM</t>
  </si>
  <si>
    <t>03/08/2020 10:38 AM</t>
  </si>
  <si>
    <t>03/08/2020 4:27 PM</t>
  </si>
  <si>
    <t>03/08/2020 3:49 PM</t>
  </si>
  <si>
    <t>04/08/2020 1:13 PM</t>
  </si>
  <si>
    <t>04/08/2020 10:04 AM</t>
  </si>
  <si>
    <t>29/07/2020 1:40 PM</t>
  </si>
  <si>
    <t>29/07/2020 1:37 PM</t>
  </si>
  <si>
    <t>22/07/2020 7:55 PM</t>
  </si>
  <si>
    <t>03/08/2020 10:39 AM</t>
  </si>
  <si>
    <t>04/07/2020 12:00 AM</t>
  </si>
  <si>
    <t>29/07/2020 7:23 AM</t>
  </si>
  <si>
    <t>30/07/2020 8:50 AM</t>
  </si>
  <si>
    <t>02/07/2020 12:00 AM</t>
  </si>
  <si>
    <t>27/07/2020 3:18 PM</t>
  </si>
  <si>
    <t>01/08/2020 5:30 PM</t>
  </si>
  <si>
    <t>14/07/2020 4:46 PM</t>
  </si>
  <si>
    <t>29/07/2020 9:22 PM</t>
  </si>
  <si>
    <t>03/08/2020 2:14 PM</t>
  </si>
  <si>
    <t>04/08/2020 8:11 AM</t>
  </si>
  <si>
    <t>17/07/2020 12:05 PM</t>
  </si>
  <si>
    <t>01/08/2020 10:00 AM</t>
  </si>
  <si>
    <t>01/08/2020 9:49 AM</t>
  </si>
  <si>
    <t>20/07/2020 2:09 PM</t>
  </si>
  <si>
    <t>31/07/2020 7:28 AM</t>
  </si>
  <si>
    <t>01/08/2020 9:03 AM</t>
  </si>
  <si>
    <t>29/07/2020 10:39 AM</t>
  </si>
  <si>
    <t>29/07/2020 9:26 PM</t>
  </si>
  <si>
    <t>29/07/2020 4:56 PM</t>
  </si>
  <si>
    <t>28/07/2020 8:15 PM</t>
  </si>
  <si>
    <t>30/07/2020 8:25 PM</t>
  </si>
  <si>
    <t>01/08/2020 3:52 PM</t>
  </si>
  <si>
    <t>04/08/2020 11:00 PM</t>
  </si>
  <si>
    <t>06/07/2020 11:07 AM</t>
  </si>
  <si>
    <t>08/07/2020 9:43 PM</t>
  </si>
  <si>
    <t>08/07/2020 9:39 PM</t>
  </si>
  <si>
    <t>08/07/2020 9:47 PM</t>
  </si>
  <si>
    <t>29/07/2020 3:05 PM</t>
  </si>
  <si>
    <t>04/08/2020 4:41 PM</t>
  </si>
  <si>
    <t>08/07/2020 9:34 PM</t>
  </si>
  <si>
    <t>03/08/2020 2:10 PM</t>
  </si>
  <si>
    <t>04/08/2020 4:43 PM</t>
  </si>
  <si>
    <t>08/07/2020 9:42 PM</t>
  </si>
  <si>
    <t>08/07/2020 9:45 PM</t>
  </si>
  <si>
    <t>28/07/2020 12:59 PM</t>
  </si>
  <si>
    <t>04/08/2020 4:16 PM</t>
  </si>
  <si>
    <t>08/07/2020 9:32 PM</t>
  </si>
  <si>
    <t>04/08/2020 11:38 AM</t>
  </si>
  <si>
    <t>03/08/2020 7:56 PM</t>
  </si>
  <si>
    <t>30/07/2020 6:06 PM</t>
  </si>
  <si>
    <t>30/07/2020 5:59 PM</t>
  </si>
  <si>
    <t>01/07/2020 1:43 PM</t>
  </si>
  <si>
    <t>01/07/2020 1:34 PM</t>
  </si>
  <si>
    <t>01/07/2020 1:28 PM</t>
  </si>
  <si>
    <t>01/07/2020 1:45 PM</t>
  </si>
  <si>
    <t>08/07/2020 9:37 PM</t>
  </si>
  <si>
    <t>22/07/2020 11:18 AM</t>
  </si>
  <si>
    <t>09/07/2020 12:59 PM</t>
  </si>
  <si>
    <t>11/07/2020 2:24 PM</t>
  </si>
  <si>
    <t>01/07/2020 1:41 PM</t>
  </si>
  <si>
    <t>01/07/2020 1:36 PM</t>
  </si>
  <si>
    <t>11/07/2020 2:26 PM</t>
  </si>
  <si>
    <t>11/07/2020 2:17 PM</t>
  </si>
  <si>
    <t>08/07/2020 9:38 PM</t>
  </si>
  <si>
    <t>11/07/2020 2:16 PM</t>
  </si>
  <si>
    <t>11/07/2020 2:13 PM</t>
  </si>
  <si>
    <t>11/07/2020 2:23 PM</t>
  </si>
  <si>
    <t>11/07/2020 2:14 PM</t>
  </si>
  <si>
    <t>08/07/2020 9:48 PM</t>
  </si>
  <si>
    <t>31/07/2020 12:31 PM</t>
  </si>
  <si>
    <t>11/07/2020 2:11 PM</t>
  </si>
  <si>
    <t>31/07/2020 12:35 PM</t>
  </si>
  <si>
    <t>27/07/2020 3:15 PM</t>
  </si>
  <si>
    <t>18/07/2020 9:11 AM</t>
  </si>
  <si>
    <t>31/07/2020 12:32 PM</t>
  </si>
  <si>
    <t>31/07/2020 12:34 PM</t>
  </si>
  <si>
    <t>03/07/2020 1:28 PM</t>
  </si>
  <si>
    <t>22/06/2020 12:00 AM</t>
  </si>
  <si>
    <t>23/06/2020 12:00 AM</t>
  </si>
  <si>
    <t>23/07/2020 4:00 PM</t>
  </si>
  <si>
    <t>14/07/2020 3:07 PM</t>
  </si>
  <si>
    <t>03/08/2020 3:41 PM</t>
  </si>
  <si>
    <t>31/07/2020 12:33 PM</t>
  </si>
  <si>
    <t>22/07/2020 10:30 AM</t>
  </si>
  <si>
    <t>04/08/2020 6:46 PM</t>
  </si>
  <si>
    <t>29/07/2020 4:19 PM</t>
  </si>
  <si>
    <t>30/07/2020 6:07 PM</t>
  </si>
  <si>
    <t>29/07/2020 4:07 PM</t>
  </si>
  <si>
    <t>03/08/2020 6:58 PM</t>
  </si>
  <si>
    <t>29/07/2020 9:49 PM</t>
  </si>
  <si>
    <t>29/07/2020 4:52 PM</t>
  </si>
  <si>
    <t>29/07/2020 2:33 PM</t>
  </si>
  <si>
    <t>16/07/2020 8:44 AM</t>
  </si>
  <si>
    <t>30/07/2020 9:34 AM</t>
  </si>
  <si>
    <t>30/07/2020 1:13 PM</t>
  </si>
  <si>
    <t>30/07/2020 3:47 PM</t>
  </si>
  <si>
    <t>04/08/2020 8:45 PM</t>
  </si>
  <si>
    <t>26/07/2020 7:12 PM</t>
  </si>
  <si>
    <t>03/08/2020 4:20 PM</t>
  </si>
  <si>
    <t>26/07/2020 7:07 PM</t>
  </si>
  <si>
    <t>26/07/2020 7:11 PM</t>
  </si>
  <si>
    <t>26/07/2020 7:06 PM</t>
  </si>
  <si>
    <t>30/07/2020 10:04 PM</t>
  </si>
  <si>
    <t>30/07/2020 10:03 PM</t>
  </si>
  <si>
    <t>28/07/2020 11:57 AM</t>
  </si>
  <si>
    <t>03/08/2020 2:38 PM</t>
  </si>
  <si>
    <t>27/07/2020 3:22 PM</t>
  </si>
  <si>
    <t>04/08/2020 3:59 PM</t>
  </si>
  <si>
    <t>03/08/2020 3:39 PM</t>
  </si>
  <si>
    <t>07/07/2020 9:53 PM</t>
  </si>
  <si>
    <t>26/07/2020 7:08 PM</t>
  </si>
  <si>
    <t>30/07/2020 10:26 AM</t>
  </si>
  <si>
    <t>30/07/2020 10:24 AM</t>
  </si>
  <si>
    <t>04/08/2020 2:18 PM</t>
  </si>
  <si>
    <t>29/07/2020 10:10 AM</t>
  </si>
  <si>
    <t>30/07/2020 10:10 AM</t>
  </si>
  <si>
    <t>30/07/2020 9:49 AM</t>
  </si>
  <si>
    <t>30/07/2020 9:47 AM</t>
  </si>
  <si>
    <t>22/07/2020 3:58 PM</t>
  </si>
  <si>
    <t>30/07/2020 8:23 AM</t>
  </si>
  <si>
    <t>28/07/2020 5:16 PM</t>
  </si>
  <si>
    <t>30/07/2020 9:48 AM</t>
  </si>
  <si>
    <t>28/07/2020 5:21 PM</t>
  </si>
  <si>
    <t>27/07/2020 7:04 PM</t>
  </si>
  <si>
    <t>27/07/2020 11:11 AM</t>
  </si>
  <si>
    <t>29/07/2020 9:37 PM</t>
  </si>
  <si>
    <t>06/04/2020 12:00 AM</t>
  </si>
  <si>
    <t>29/07/2020 9:34 PM</t>
  </si>
  <si>
    <t>11/07/2020 2:20 PM</t>
  </si>
  <si>
    <t>04/08/2020 11:51 PM</t>
  </si>
  <si>
    <t>11/07/2020 2:22 PM</t>
  </si>
  <si>
    <t>30/05/2020 2:19 PM</t>
  </si>
  <si>
    <t>30/05/2020 2:28 PM</t>
  </si>
  <si>
    <t>30/05/2020 2:16 PM</t>
  </si>
  <si>
    <t>30/05/2020 2:22 PM</t>
  </si>
  <si>
    <t>30/05/2020 2:13 PM</t>
  </si>
  <si>
    <t>19/05/2020 6:10 PM</t>
  </si>
  <si>
    <t>30/05/2020 2:25 PM</t>
  </si>
  <si>
    <t>30/05/2020 2:10 PM</t>
  </si>
  <si>
    <t>16/06/2020 6:49 PM</t>
  </si>
  <si>
    <t>27/07/2020 6:56 PM</t>
  </si>
  <si>
    <t>27/07/2020 3:43 PM</t>
  </si>
  <si>
    <t>04/08/2020 7:41 PM</t>
  </si>
  <si>
    <t>27/07/2020 3:11 PM</t>
  </si>
  <si>
    <t>20/07/2020 10:17 AM</t>
  </si>
  <si>
    <t>04/08/2020 6:19 PM</t>
  </si>
  <si>
    <t>27/04/2020 12:00 AM</t>
  </si>
  <si>
    <t>03/08/2020 12:38 PM</t>
  </si>
  <si>
    <t>30/07/2020 10:10 PM</t>
  </si>
  <si>
    <t>16/07/2020 3:54 PM</t>
  </si>
  <si>
    <t>16/07/2020 3:30 PM</t>
  </si>
  <si>
    <t>16/07/2020 2:01 PM</t>
  </si>
  <si>
    <t>21/05/2020 12:12 PM</t>
  </si>
  <si>
    <t>30/07/2020 10:19 PM</t>
  </si>
  <si>
    <t>21/05/2020 12:35 PM</t>
  </si>
  <si>
    <t>30/07/2020 10:22 PM</t>
  </si>
  <si>
    <t>30/07/2020 11:26 PM</t>
  </si>
  <si>
    <t>23/07/2020 4:39 PM</t>
  </si>
  <si>
    <t>15/07/2020 8:07 PM</t>
  </si>
  <si>
    <t>04/08/2020 11:32 AM</t>
  </si>
  <si>
    <t>03/07/2020 5:29 PM</t>
  </si>
  <si>
    <t>03/07/2020 5:25 PM</t>
  </si>
  <si>
    <t>03/07/2020 5:32 PM</t>
  </si>
  <si>
    <t>30/07/2020 4:39 PM</t>
  </si>
  <si>
    <t>03/07/2020 4:49 PM</t>
  </si>
  <si>
    <t>03/07/2020 4:52 PM</t>
  </si>
  <si>
    <t>03/07/2020 4:56 PM</t>
  </si>
  <si>
    <t>27/07/2020 3:04 PM</t>
  </si>
  <si>
    <t>09/07/2020 11:12 AM</t>
  </si>
  <si>
    <t>27/07/2020 2:53 PM</t>
  </si>
  <si>
    <t>04/08/2020 2:14 PM</t>
  </si>
  <si>
    <t>28/07/2020 5:04 PM</t>
  </si>
  <si>
    <t>03/08/2020 4:01 PM</t>
  </si>
  <si>
    <t>29/07/2020 5:31 PM</t>
  </si>
  <si>
    <t>30/07/2020 11:33 PM</t>
  </si>
  <si>
    <t>29/07/2020 10:41 AM</t>
  </si>
  <si>
    <t>20/07/2020 3:37 PM</t>
  </si>
  <si>
    <t>03/08/2020 9:34 PM</t>
  </si>
  <si>
    <t>27/07/2020 2:46 PM</t>
  </si>
  <si>
    <t>27/07/2020 5:25 PM</t>
  </si>
  <si>
    <t>04/08/2020 5:54 PM</t>
  </si>
  <si>
    <t>30/07/2020 10:11 AM</t>
  </si>
  <si>
    <t>04/08/2020 5:30 PM</t>
  </si>
  <si>
    <t>29/07/2020 10:08 AM</t>
  </si>
  <si>
    <t>02/07/2020 3:11 PM</t>
  </si>
  <si>
    <t>03/08/2020 9:36 PM</t>
  </si>
  <si>
    <t>30/07/2020 4:04 PM</t>
  </si>
  <si>
    <t>23/07/2020 6:33 AM</t>
  </si>
  <si>
    <t>24/07/2020 6:26 PM</t>
  </si>
  <si>
    <t>03/08/2020 4:00 PM</t>
  </si>
  <si>
    <t>03/08/2020 2:19 PM</t>
  </si>
  <si>
    <t>30/07/2020 4:02 PM</t>
  </si>
  <si>
    <t>29/07/2020 5:34 PM</t>
  </si>
  <si>
    <t>29/07/2020 5:33 PM</t>
  </si>
  <si>
    <t>30/07/2020 2:16 PM</t>
  </si>
  <si>
    <t>16/07/2020 12:25 AM</t>
  </si>
  <si>
    <t>29/07/2020 12:41 PM</t>
  </si>
  <si>
    <t>21/05/2020 12:32 PM</t>
  </si>
  <si>
    <t>21/05/2020 12:29 PM</t>
  </si>
  <si>
    <t>02/06/2020 4:39 PM</t>
  </si>
  <si>
    <t>04/08/2020 3:54 PM</t>
  </si>
  <si>
    <t>28/02/2020 2:06 PM</t>
  </si>
  <si>
    <t>03/08/2020 3:59 PM</t>
  </si>
  <si>
    <t>03/08/2020 4:29 PM</t>
  </si>
  <si>
    <t>16/07/2020 2:52 PM</t>
  </si>
  <si>
    <t>17/07/2020 10:11 AM</t>
  </si>
  <si>
    <t>17/07/2020 10:18 AM</t>
  </si>
  <si>
    <t>27/07/2020 5:18 PM</t>
  </si>
  <si>
    <t>17/07/2020 10:24 AM</t>
  </si>
  <si>
    <t>29/07/2020 9:41 AM</t>
  </si>
  <si>
    <t>29/05/2020 4:05 PM</t>
  </si>
  <si>
    <t>30/07/2020 10:00 PM</t>
  </si>
  <si>
    <t>27/07/2020 3:10 PM</t>
  </si>
  <si>
    <t>03/08/2020 1:39 PM</t>
  </si>
  <si>
    <t>03/08/2020 5:01 PM</t>
  </si>
  <si>
    <t>03/08/2020 5:21 PM</t>
  </si>
  <si>
    <t>29/07/2020 9:59 PM</t>
  </si>
  <si>
    <t>30/07/2020 5:27 PM</t>
  </si>
  <si>
    <t>27/07/2020 3:45 PM</t>
  </si>
  <si>
    <t>29/07/2020 9:38 AM</t>
  </si>
  <si>
    <t>31/07/2020 12:30 PM</t>
  </si>
  <si>
    <t>04/08/2020 10:06 AM</t>
  </si>
  <si>
    <t>24/06/2020 12:00 AM</t>
  </si>
  <si>
    <t>09/07/2020 1:01 PM</t>
  </si>
  <si>
    <t>29/07/2020 9:53 PM</t>
  </si>
  <si>
    <t>11/07/2020 2:10 PM</t>
  </si>
  <si>
    <t>21/07/2020 5:08 PM</t>
  </si>
  <si>
    <t>28/07/2020 8:05 PM</t>
  </si>
  <si>
    <t>21/07/2020 5:10 PM</t>
  </si>
  <si>
    <t>29/07/2020 11:53 AM</t>
  </si>
  <si>
    <t>07/07/2020 11:46 AM</t>
  </si>
  <si>
    <t>27/07/2020 2:58 PM</t>
  </si>
  <si>
    <t>07/07/2020 6:35 PM</t>
  </si>
  <si>
    <t>29/07/2020 2:20 PM</t>
  </si>
  <si>
    <t>07/07/2020 10:31 AM</t>
  </si>
  <si>
    <t>14/07/2020 11:22 AM</t>
  </si>
  <si>
    <t>30/07/2020 12:14 PM</t>
  </si>
  <si>
    <t>28/07/2020 9:43 AM</t>
  </si>
  <si>
    <t>16/07/2020 5:12 PM</t>
  </si>
  <si>
    <t>24/07/2020 12:31 PM</t>
  </si>
  <si>
    <t>29/07/2020 4:59 PM</t>
  </si>
  <si>
    <t>22/07/2020 11:13 AM</t>
  </si>
  <si>
    <t>21/07/2020 7:47 PM</t>
  </si>
  <si>
    <t>04/08/2020 2:05 PM</t>
  </si>
  <si>
    <t>30/07/2020 2:33 PM</t>
  </si>
  <si>
    <t>03/08/2020 10:51 AM</t>
  </si>
  <si>
    <t>03/08/2020 10:46 AM</t>
  </si>
  <si>
    <t>03/08/2020 10:45 AM</t>
  </si>
  <si>
    <t>03/08/2020 10:43 AM</t>
  </si>
  <si>
    <t>29/07/2020 4:58 PM</t>
  </si>
  <si>
    <t>29/07/2020 5:04 PM</t>
  </si>
  <si>
    <t>29/07/2020 5:03 PM</t>
  </si>
  <si>
    <t>04/08/2020 8:57 AM</t>
  </si>
  <si>
    <t>23/07/2020 1:38 PM</t>
  </si>
  <si>
    <t>03/08/2020 10:48 AM</t>
  </si>
  <si>
    <t>03/08/2020 6:50 PM</t>
  </si>
  <si>
    <t>03/08/2020 10:50 AM</t>
  </si>
  <si>
    <t>17/07/2020 1:45 PM</t>
  </si>
  <si>
    <t>28/07/2020 5:25 PM</t>
  </si>
  <si>
    <t>28/07/2020 5:26 PM</t>
  </si>
  <si>
    <t>30/07/2020 4:56 PM</t>
  </si>
  <si>
    <t>29/07/2020 11:41 AM</t>
  </si>
  <si>
    <t>22/07/2020 11:50 AM</t>
  </si>
  <si>
    <t>04/08/2020 10:46 AM</t>
  </si>
  <si>
    <t>21/07/2020 3:22 PM</t>
  </si>
  <si>
    <t>27/07/2020 5:21 PM</t>
  </si>
  <si>
    <t>16/07/2020 11:09 PM</t>
  </si>
  <si>
    <t>20/07/2020 9:30 AM</t>
  </si>
  <si>
    <t>17/07/2020 5:25 PM</t>
  </si>
  <si>
    <t>23/07/2020 10:51 AM</t>
  </si>
  <si>
    <t>03/08/2020 2:28 PM</t>
  </si>
  <si>
    <t>04/08/2020 8:20 AM</t>
  </si>
  <si>
    <t>30/07/2020 3:26 PM</t>
  </si>
  <si>
    <t>28/07/2020 11:16 AM</t>
  </si>
  <si>
    <t>29/07/2020 4:23 PM</t>
  </si>
  <si>
    <t>28/07/2020 2:57 PM</t>
  </si>
  <si>
    <t>28/07/2020 2:55 PM</t>
  </si>
  <si>
    <t>29/07/2020 2:54 PM</t>
  </si>
  <si>
    <t>29/07/2020 2:58 PM</t>
  </si>
  <si>
    <t>23/07/2020 8:54 PM</t>
  </si>
  <si>
    <t>16/07/2020 12:45 PM</t>
  </si>
  <si>
    <t>22/07/2020 11:23 AM</t>
  </si>
  <si>
    <t>24/07/2020 12:22 PM</t>
  </si>
  <si>
    <t>24/07/2020 12:28 PM</t>
  </si>
  <si>
    <t>21/07/2020 3:49 PM</t>
  </si>
  <si>
    <t>21/07/2020 3:46 PM</t>
  </si>
  <si>
    <t>31/07/2020 8:32 PM</t>
  </si>
  <si>
    <t>28/07/2020 10:37 PM</t>
  </si>
  <si>
    <t>24/07/2020 2:55 PM</t>
  </si>
  <si>
    <t>27/07/2020 4:44 PM</t>
  </si>
  <si>
    <t>24/07/2020 2:59 PM</t>
  </si>
  <si>
    <t>24/07/2020 2:57 PM</t>
  </si>
  <si>
    <t>24/07/2020 3:00 PM</t>
  </si>
  <si>
    <t>04/08/2020 12:00 PM</t>
  </si>
  <si>
    <t>28/07/2020 5:08 PM</t>
  </si>
  <si>
    <t>21/07/2020 3:45 PM</t>
  </si>
  <si>
    <t>04/08/2020 9:31 AM</t>
  </si>
  <si>
    <t>28/07/2020 5:01 PM</t>
  </si>
  <si>
    <t>28/07/2020 5:37 PM</t>
  </si>
  <si>
    <t>29/07/2020 10:40 AM</t>
  </si>
  <si>
    <t>04/08/2020 4:24 PM</t>
  </si>
  <si>
    <t>28/07/2020 5:12 PM</t>
  </si>
  <si>
    <t>24/07/2020 5:27 PM</t>
  </si>
  <si>
    <t>01/08/2020 7:49 PM</t>
  </si>
  <si>
    <t>04/08/2020 1:17 PM</t>
  </si>
  <si>
    <t>03/08/2020 10:01 AM</t>
  </si>
  <si>
    <t>28/07/2020 9:57 AM</t>
  </si>
  <si>
    <t>28/07/2020 9:55 AM</t>
  </si>
  <si>
    <t>28/07/2020 3:41 PM</t>
  </si>
  <si>
    <t>04/08/2020 8:47 AM</t>
  </si>
  <si>
    <t>30/07/2020 12:26 PM</t>
  </si>
  <si>
    <t>29/07/2020 9:35 AM</t>
  </si>
  <si>
    <t>23/07/2020 1:07 PM</t>
  </si>
  <si>
    <t>03/08/2020 3:11 PM</t>
  </si>
  <si>
    <t>03/08/2020 3:07 PM</t>
  </si>
  <si>
    <t>30/07/2020 5:43 PM</t>
  </si>
  <si>
    <t>02/08/2020 11:13 AM</t>
  </si>
  <si>
    <t>03/08/2020 3:14 PM</t>
  </si>
  <si>
    <t>26/07/2020 7:57 PM</t>
  </si>
  <si>
    <t>04/08/2020 4:37 PM</t>
  </si>
  <si>
    <t>04/08/2020 2:54 PM</t>
  </si>
  <si>
    <t>24/07/2020 7:37 PM</t>
  </si>
  <si>
    <t>03/08/2020 5:39 PM</t>
  </si>
  <si>
    <t>26/07/2020 7:56 PM</t>
  </si>
  <si>
    <t>01/08/2020 8:34 PM</t>
  </si>
  <si>
    <t>29/07/2020 4:29 PM</t>
  </si>
  <si>
    <t>24/08/2020 1:00 AM</t>
  </si>
  <si>
    <t>25/08/2020 9:00 AM</t>
  </si>
  <si>
    <t>11/08/2020 9:30 AM</t>
  </si>
  <si>
    <t>12/08/2020 10:00 AM</t>
  </si>
  <si>
    <t>13/08/2020 10:00 AM</t>
  </si>
  <si>
    <t>25/08/2020 12:00 PM</t>
  </si>
  <si>
    <t>24/08/2020 8:30 AM</t>
  </si>
  <si>
    <t>10/08/2020 8:00 AM</t>
  </si>
  <si>
    <t>10/08/2020 10:00 AM</t>
  </si>
  <si>
    <t>03/09/2020 9:00 AM</t>
  </si>
  <si>
    <t>12/08/2020 1:30 PM</t>
  </si>
  <si>
    <t>25/08/2020 10:30 AM</t>
  </si>
  <si>
    <t>12/08/2020 1:00 AM</t>
  </si>
  <si>
    <t>11/08/2020 8:00 AM</t>
  </si>
  <si>
    <t>07/08/2020 2:00 PM</t>
  </si>
  <si>
    <t>13/08/2020 1:00 PM</t>
  </si>
  <si>
    <t>27/08/2020 9:00 AM</t>
  </si>
  <si>
    <t>13/08/2020 9:00 AM</t>
  </si>
  <si>
    <t>26/08/2020 2:00 PM</t>
  </si>
  <si>
    <t>26/08/2020 1:00 AM</t>
  </si>
  <si>
    <t>12/08/2020 2:00 PM</t>
  </si>
  <si>
    <t>18/08/2020 9:30 AM</t>
  </si>
  <si>
    <t>24/08/2020 5:00 PM</t>
  </si>
  <si>
    <t>13/08/2020 8:00 AM</t>
  </si>
  <si>
    <t>12/08/2020 1:00 PM</t>
  </si>
  <si>
    <t>06/08/2020 1:00 AM</t>
  </si>
  <si>
    <t>25/08/2020 2:00 PM</t>
  </si>
  <si>
    <t>10/08/2020 1:00 AM</t>
  </si>
  <si>
    <t>24/08/2020 10:00 AM</t>
  </si>
  <si>
    <t>26/08/2020 9:00 AM</t>
  </si>
  <si>
    <t>07/08/2020 8:00 AM</t>
  </si>
  <si>
    <t>25/08/2020 10:00 AM</t>
  </si>
  <si>
    <t>12/08/2020 12:00 AM</t>
  </si>
  <si>
    <t>12/08/2020 5:00 PM</t>
  </si>
  <si>
    <t>07/08/2020 9:00 AM</t>
  </si>
  <si>
    <t>31/08/2020 9:00 AM</t>
  </si>
  <si>
    <t>13/08/2020 12:59 PM</t>
  </si>
  <si>
    <t>13/08/2020 9:30 AM</t>
  </si>
  <si>
    <t>11/08/2020 1:30 PM</t>
  </si>
  <si>
    <t>12/08/2020 12:59 PM</t>
  </si>
  <si>
    <t>11/08/2020 9:00 AM</t>
  </si>
  <si>
    <t>10/08/2020 5:00 PM</t>
  </si>
  <si>
    <t>06/08/2020 5:00 PM</t>
  </si>
  <si>
    <t>26/08/2020 1:00 PM</t>
  </si>
  <si>
    <t>10/08/2020 12:00 PM</t>
  </si>
  <si>
    <t>24/08/2020 1:00 PM</t>
  </si>
  <si>
    <t>11/08/2020 5:00 PM</t>
  </si>
  <si>
    <t>12/08/2020 8:00 AM</t>
  </si>
  <si>
    <t>19/08/2020 12:00 PM</t>
  </si>
  <si>
    <t>07/08/2020 1:00 AM</t>
  </si>
  <si>
    <t>10/08/2020 9:00 AM</t>
  </si>
  <si>
    <t>11/08/2020 1:00 AM</t>
  </si>
  <si>
    <t>24/08/2020 8:00 AM</t>
  </si>
  <si>
    <t>24/08/2020 11:00 AM</t>
  </si>
  <si>
    <t>06/08/2020 9:00 AM</t>
  </si>
  <si>
    <t>11/08/2020 1:00 PM</t>
  </si>
  <si>
    <t>24/08/2020 9:00 AM</t>
  </si>
  <si>
    <t>14/08/2020 9:00 AM</t>
  </si>
  <si>
    <t>25/08/2020 4:00 PM</t>
  </si>
  <si>
    <t>24/08/2020 1:30 PM</t>
  </si>
  <si>
    <t>11/08/2020 10:00 AM</t>
  </si>
  <si>
    <t>07/08/2020 5:00 PM</t>
  </si>
  <si>
    <t>17/08/2020 10:00 AM</t>
  </si>
  <si>
    <t>10/08/2020 1:00 PM</t>
  </si>
  <si>
    <t>19/08/2020 5:00 PM</t>
  </si>
  <si>
    <t>07/08/2020 10:00 AM</t>
  </si>
  <si>
    <t>10/08/2020 12:00 AM</t>
  </si>
  <si>
    <t>12/08/2020 10:20 AM</t>
  </si>
  <si>
    <t>25/08/2020 1:30 PM</t>
  </si>
  <si>
    <t>12/08/2020 9:00 AM</t>
  </si>
  <si>
    <t>25/08/2020 2:00 AM</t>
  </si>
  <si>
    <t>14/08/2020 5:00 PM</t>
  </si>
  <si>
    <t>10/08/2020 2:00 PM</t>
  </si>
  <si>
    <t>12/08/2020 9:30 AM</t>
  </si>
  <si>
    <t>06/08/2020 6:00 AM</t>
  </si>
  <si>
    <t>10/08/2020 4:00 PM</t>
  </si>
  <si>
    <t>11/08/2020 2:00 PM</t>
  </si>
  <si>
    <t>14/08/2020 1:00 PM</t>
  </si>
  <si>
    <t>12/08/2020 3:00 PM</t>
  </si>
  <si>
    <t>19/08/2020 10:00 AM</t>
  </si>
  <si>
    <t>14/08/2020 10:00 AM</t>
  </si>
  <si>
    <t>12/08/2020 11:30 AM</t>
  </si>
  <si>
    <t>25/08/2020 1:00 AM</t>
  </si>
  <si>
    <t>12/08/2020 2:08 PM</t>
  </si>
  <si>
    <t>25/08/2020 1:00 PM</t>
  </si>
  <si>
    <t>12/08/2020 11:59 AM</t>
  </si>
  <si>
    <t>31/08/2020 10:00 AM</t>
  </si>
  <si>
    <t>01/09/2020 1:30 PM</t>
  </si>
  <si>
    <t>12/08/2020 12:10 PM</t>
  </si>
  <si>
    <t>14/08/2020 3:30 PM</t>
  </si>
  <si>
    <t>14/08/2020 2:00 PM</t>
  </si>
  <si>
    <t>07/08/2020 12:00 PM</t>
  </si>
  <si>
    <t>18/08/2020 1:00 AM</t>
  </si>
  <si>
    <t>12/08/2020 11:00 AM</t>
  </si>
  <si>
    <t>10/08/2020 11:00 AM</t>
  </si>
  <si>
    <t>10/08/2020 7:00 AM</t>
  </si>
  <si>
    <t>13/08/2020 2:00 PM</t>
  </si>
  <si>
    <t>25/08/2020 11:30 AM</t>
  </si>
  <si>
    <t>19/08/2020 2:30 PM</t>
  </si>
  <si>
    <t>12/08/2020 4:00 PM</t>
  </si>
  <si>
    <t>19/08/2020 1:30 PM</t>
  </si>
  <si>
    <t>19/08/2020 9:00 AM</t>
  </si>
  <si>
    <t>14/08/2020 8:00 AM</t>
  </si>
  <si>
    <t>14/08/2020 1:00 AM</t>
  </si>
  <si>
    <t>19/08/2020 1:00 AM</t>
  </si>
  <si>
    <t>10/08/2020 8:30 AM</t>
  </si>
  <si>
    <t>19/08/2020 2:00 PM</t>
  </si>
  <si>
    <t>26/08/2020 10:00 AM</t>
  </si>
  <si>
    <t>07/08/2020 1:00 PM</t>
  </si>
  <si>
    <t>13/08/2020 1:00 AM</t>
  </si>
  <si>
    <t>12/08/2020 12:00 PM</t>
  </si>
  <si>
    <t>19/08/2020 11:59 AM</t>
  </si>
  <si>
    <t>12/08/2020 2:02 PM</t>
  </si>
  <si>
    <t>04/09/2020 1:30 PM</t>
  </si>
  <si>
    <t>12/08/2020 6:00 PM</t>
  </si>
  <si>
    <t>24/08/2020 12:59 PM</t>
  </si>
  <si>
    <t>24/08/2020 2:00 PM</t>
  </si>
  <si>
    <t>11/08/2020 10:30 AM</t>
  </si>
  <si>
    <t>11/08/2020 4:00 PM</t>
  </si>
  <si>
    <t>18/08/2020 1:08 AM</t>
  </si>
  <si>
    <t>10/08/2020 6:00 PM</t>
  </si>
  <si>
    <t>07/08/2020 1:30 PM</t>
  </si>
  <si>
    <t>04/09/2020 2:00 PM</t>
  </si>
  <si>
    <t>17/08/2020 9:00 AM</t>
  </si>
  <si>
    <t>11/08/2020 7:00 AM</t>
  </si>
  <si>
    <t>10/08/2020 3:00 PM</t>
  </si>
  <si>
    <t>25/08/2020 9:30 AM</t>
  </si>
  <si>
    <t>27/08/2020 9:30 AM</t>
  </si>
  <si>
    <t>04/09/2020 2:30 PM</t>
  </si>
  <si>
    <t>10/08/2020 2:00 AM</t>
  </si>
  <si>
    <t>07/08/2020 1:05 PM</t>
  </si>
  <si>
    <t>24/08/2020 10:30 AM</t>
  </si>
  <si>
    <t>26/08/2020 5:00 PM</t>
  </si>
  <si>
    <t>12/08/2020 2:59 PM</t>
  </si>
  <si>
    <t>11/08/2020 12:00 PM</t>
  </si>
  <si>
    <t>10/08/2020 10:30 AM</t>
  </si>
  <si>
    <t>10/08/2020 6:00 AM</t>
  </si>
  <si>
    <t>24/08/2020 9:30 AM</t>
  </si>
  <si>
    <t>10/08/2020 1:30 PM</t>
  </si>
  <si>
    <t>17/08/2020 1:00 PM</t>
  </si>
  <si>
    <t>27/08/2020 1:00 AM</t>
  </si>
  <si>
    <t>17/08/2020 3:00 PM</t>
  </si>
  <si>
    <t>24/08/2020 3:00 PM</t>
  </si>
  <si>
    <t>12/08/2020 10:30 AM</t>
  </si>
  <si>
    <t>27/08/2020 1:00 PM</t>
  </si>
  <si>
    <t>12/08/2020 1:01 PM</t>
  </si>
  <si>
    <t>18/08/2020 10:00 AM</t>
  </si>
  <si>
    <t>20/08/2020 5:07 PM</t>
  </si>
  <si>
    <t>20/08/2020 2:00 PM</t>
  </si>
  <si>
    <t>11/08/2020 11:00 AM</t>
  </si>
  <si>
    <t>11/08/2020 5:00 AM</t>
  </si>
  <si>
    <t>26/08/2020 1:15 PM</t>
  </si>
  <si>
    <t>19/08/2020 3:00 PM</t>
  </si>
  <si>
    <t>10/08/2020 5:00 AM</t>
  </si>
  <si>
    <t>17/08/2020 1:00 AM</t>
  </si>
  <si>
    <t>19/08/2020 9:30 AM</t>
  </si>
  <si>
    <t>19/08/2020 7:00 AM</t>
  </si>
  <si>
    <t>21/08/2020 5:00 PM</t>
  </si>
  <si>
    <t>12/08/2020 2:30 PM</t>
  </si>
  <si>
    <t>01/09/2020 2:00 PM</t>
  </si>
  <si>
    <t>07/08/2020 12:47 PM</t>
  </si>
  <si>
    <t>14/08/2020 8:14 AM</t>
  </si>
  <si>
    <t>17/08/2020 5:00 PM</t>
  </si>
  <si>
    <t>20/08/2020 1:00 PM</t>
  </si>
  <si>
    <t>18/08/2020 2:13 PM</t>
  </si>
  <si>
    <t>25/08/2020 8:30 AM</t>
  </si>
  <si>
    <t>18/08/2020 2:00 PM</t>
  </si>
  <si>
    <t>13/08/2020 5:00 PM</t>
  </si>
  <si>
    <t>13/08/2020 3:00 PM</t>
  </si>
  <si>
    <t>10/08/2020 4:30 PM</t>
  </si>
  <si>
    <t>20/08/2020 10:00 AM</t>
  </si>
  <si>
    <t>28/08/2020 10:00 AM</t>
  </si>
  <si>
    <t>28/08/2020 2:00 PM</t>
  </si>
  <si>
    <t>10/08/2020 9:15 AM</t>
  </si>
  <si>
    <t>04/09/2020 1:00 AM</t>
  </si>
  <si>
    <t>20/08/2020 1:00 AM</t>
  </si>
  <si>
    <t>14/08/2020 3:00 PM</t>
  </si>
  <si>
    <t>26/08/2020 1:30 PM</t>
  </si>
  <si>
    <t>07/08/2020 6:00 PM</t>
  </si>
  <si>
    <t>10/08/2020 2:15 PM</t>
  </si>
  <si>
    <t>28/08/2020 9:30 AM</t>
  </si>
  <si>
    <t>13/08/2020 2:30 PM</t>
  </si>
  <si>
    <t>06/08/2020 2:00 PM</t>
  </si>
  <si>
    <t>13/08/2020 11:00 AM</t>
  </si>
  <si>
    <t>06/08/2020 10:00 AM</t>
  </si>
  <si>
    <t>06/08/2020 3:00 PM</t>
  </si>
  <si>
    <t>07/08/2020 2:00 AM</t>
  </si>
  <si>
    <t>07/08/2020 11:00 AM</t>
  </si>
  <si>
    <t>21/08/2020 4:00 PM</t>
  </si>
  <si>
    <t>07/08/2020 4:00 PM</t>
  </si>
  <si>
    <t>21/08/2020 9:00 AM</t>
  </si>
  <si>
    <t>19/08/2020 8:00 AM</t>
  </si>
  <si>
    <t>05/08/2020 11:00 AM</t>
  </si>
  <si>
    <t>11/08/2020 10:15 AM</t>
  </si>
  <si>
    <t>25/08/2020 3:00 PM</t>
  </si>
  <si>
    <t>17/08/2020 2:00 PM</t>
  </si>
  <si>
    <t>07/08/2020 10:30 AM</t>
  </si>
  <si>
    <t>07/08/2020 3:45 PM</t>
  </si>
  <si>
    <t>07/08/2020 3:00 PM</t>
  </si>
  <si>
    <t>06/08/2020 1:00 PM</t>
  </si>
  <si>
    <t>18/08/2020 5:00 PM</t>
  </si>
  <si>
    <t>27/08/2020 10:00 AM</t>
  </si>
  <si>
    <t>13/08/2020 8:13 AM</t>
  </si>
  <si>
    <t>18/08/2020 8:00 AM</t>
  </si>
  <si>
    <t>11/08/2020 3:00 PM</t>
  </si>
  <si>
    <t>25/08/2020 5:00 PM</t>
  </si>
  <si>
    <t>12/08/2020 3:50 PM</t>
  </si>
  <si>
    <t>07/08/2020 5:01 PM</t>
  </si>
  <si>
    <t>12/08/2020 8:30 AM</t>
  </si>
  <si>
    <t>26/08/2020 9:30 AM</t>
  </si>
  <si>
    <t>07/08/2020 8:30 AM</t>
  </si>
  <si>
    <t>03/09/2020 10:00 AM</t>
  </si>
  <si>
    <t>20/08/2020 9:30 AM</t>
  </si>
  <si>
    <t>07/08/2020 5:00 AM</t>
  </si>
  <si>
    <t>20/08/2020 5:00 PM</t>
  </si>
  <si>
    <t>07/08/2020 11:30 AM</t>
  </si>
  <si>
    <t>18/08/2020 5:15 PM</t>
  </si>
  <si>
    <t>26/08/2020 8:45 AM</t>
  </si>
  <si>
    <t>24/08/2020 2:30 PM</t>
  </si>
  <si>
    <t>06/08/2020 4:30 PM</t>
  </si>
  <si>
    <t>24/08/2020 12:00 PM</t>
  </si>
  <si>
    <t>26/08/2020 10:15 AM</t>
  </si>
  <si>
    <t>05/08/2020 1:00 AM</t>
  </si>
  <si>
    <t>07/08/2020 9:30 AM</t>
  </si>
  <si>
    <t>07/08/2020 8:05 AM</t>
  </si>
  <si>
    <t>13/08/2020 1:30 PM</t>
  </si>
  <si>
    <t>07/08/2020 8:10 AM</t>
  </si>
  <si>
    <t>07/08/2020 8:15 AM</t>
  </si>
  <si>
    <t>07/08/2020 12:00 AM</t>
  </si>
  <si>
    <t>07/08/2020 8:20 AM</t>
  </si>
  <si>
    <t>07/08/2020 8:25 AM</t>
  </si>
  <si>
    <t>24/08/2020 11:30 AM</t>
  </si>
  <si>
    <t>05/08/2020 9:00 AM</t>
  </si>
  <si>
    <t>26/08/2020 12:45 PM</t>
  </si>
  <si>
    <t>13/08/2020 9:45 AM</t>
  </si>
  <si>
    <t>16/09/2020 10:00 AM</t>
  </si>
  <si>
    <t>07/08/2020 11:59 PM</t>
  </si>
  <si>
    <t>18/08/2020 2:30 PM</t>
  </si>
  <si>
    <t>18/08/2020 3:00 PM</t>
  </si>
  <si>
    <t>18/08/2020 3:30 PM</t>
  </si>
  <si>
    <t>07/08/2020 1:10 AM</t>
  </si>
  <si>
    <t>06/08/2020 4:00 PM</t>
  </si>
  <si>
    <t>05/08/2020 1:00 PM</t>
  </si>
  <si>
    <t>21/08/2020 10:00 AM</t>
  </si>
  <si>
    <t>21/08/2020 8:00 AM</t>
  </si>
  <si>
    <t>12/08/2020 7:00 AM</t>
  </si>
  <si>
    <t>18/08/2020 1:00 PM</t>
  </si>
  <si>
    <t>27/08/2020 12:00 PM</t>
  </si>
  <si>
    <t>27/08/2020 8:30 AM</t>
  </si>
  <si>
    <t>07/08/2020 11:00 PM</t>
  </si>
  <si>
    <t>25/08/2020 11:00 AM</t>
  </si>
  <si>
    <t>21/08/2020 11:00 PM</t>
  </si>
  <si>
    <t>20/08/2020 9:30 PM</t>
  </si>
  <si>
    <t>07/08/2020 7:00 AM</t>
  </si>
  <si>
    <t>11/09/2020 12:00 PM</t>
  </si>
  <si>
    <t>11/09/2020 8:30 AM</t>
  </si>
  <si>
    <t>24/08/2020 2:02 PM</t>
  </si>
  <si>
    <t>18/08/2020 9:00 AM</t>
  </si>
  <si>
    <t>06/08/2020 11:00 AM</t>
  </si>
  <si>
    <t>18/08/2020 9:30 PM</t>
  </si>
  <si>
    <t>07/09/2020 8:30 AM</t>
  </si>
  <si>
    <t>28/08/2020 2:30 PM</t>
  </si>
  <si>
    <t>07/08/2020 11:15 AM</t>
  </si>
  <si>
    <t>06/08/2020 12:00 PM</t>
  </si>
  <si>
    <t>11/08/2020 8:30 AM</t>
  </si>
  <si>
    <t>11/08/2020 2:30 PM</t>
  </si>
  <si>
    <t>18/08/2020 7:00 AM</t>
  </si>
  <si>
    <t>20/08/2020 12:00 PM</t>
  </si>
  <si>
    <t>11/08/2020 12:00 AM</t>
  </si>
  <si>
    <t>20/08/2020 6:00 PM</t>
  </si>
  <si>
    <t>07/08/2020 12:12 PM</t>
  </si>
  <si>
    <t>27/08/2020 5:00 PM</t>
  </si>
  <si>
    <t>17/08/2020 11:30 AM</t>
  </si>
  <si>
    <t>24/08/2020 2:08 PM</t>
  </si>
  <si>
    <t>06/08/2020 8:00 AM</t>
  </si>
  <si>
    <t>18/08/2020 10:30 AM</t>
  </si>
  <si>
    <t>05/08/2020 10:00 AM</t>
  </si>
  <si>
    <t>02/09/2020 2:00 PM</t>
  </si>
  <si>
    <t>07/08/2020 9:15 AM</t>
  </si>
  <si>
    <t>12/08/2020 9:45 AM</t>
  </si>
  <si>
    <t>07/08/2020 10:40 AM</t>
  </si>
  <si>
    <t>25/08/2020 8:00 AM</t>
  </si>
  <si>
    <t>10/08/2020 12:59 PM</t>
  </si>
  <si>
    <t>27/08/2020 2:00 PM</t>
  </si>
  <si>
    <t>24/08/2020 5:00 AM</t>
  </si>
  <si>
    <t>02/09/2020 10:00 AM</t>
  </si>
  <si>
    <t>07/08/2020 4:30 PM</t>
  </si>
  <si>
    <t>06/08/2020 11:40 AM</t>
  </si>
  <si>
    <t>07/08/2020 1:03 PM</t>
  </si>
  <si>
    <t>07/08/2020 1:08 AM</t>
  </si>
  <si>
    <t>07/08/2020 9:45 AM</t>
  </si>
  <si>
    <t>07/08/2020 10:15 AM</t>
  </si>
  <si>
    <t>06/08/2020 9:30 AM</t>
  </si>
  <si>
    <t>01/09/2020 10:00 AM</t>
  </si>
  <si>
    <t>07/08/2020 10:45 AM</t>
  </si>
  <si>
    <t>06/08/2020 1:30 PM</t>
  </si>
  <si>
    <t>02/09/2020 9:00 AM</t>
  </si>
  <si>
    <t>14/08/2020 11:59 AM</t>
  </si>
  <si>
    <t>24/08/2020 1:20 PM</t>
  </si>
  <si>
    <t>14/08/2020 12:00 AM</t>
  </si>
  <si>
    <t>13/08/2020 1:04 AM</t>
  </si>
  <si>
    <t>07/08/2020 11:45 AM</t>
  </si>
  <si>
    <t>11/08/2020 6:00 PM</t>
  </si>
  <si>
    <t>06/08/2020 5:05 PM</t>
  </si>
  <si>
    <t>17/08/2020 8:30 AM</t>
  </si>
  <si>
    <t>19/08/2020 10:30 AM</t>
  </si>
  <si>
    <t>10/08/2020 11:30 AM</t>
  </si>
  <si>
    <t>14/08/2020 12:00 PM</t>
  </si>
  <si>
    <t>12/08/2020 9:09 AM</t>
  </si>
  <si>
    <t>05/08/2020 2:00 PM</t>
  </si>
  <si>
    <t>26/08/2020 10:00 PM</t>
  </si>
  <si>
    <t>07/08/2020 1:09 AM</t>
  </si>
  <si>
    <t>06/08/2020 12:00 AM</t>
  </si>
  <si>
    <t>05/08/2020 5:00 PM</t>
  </si>
  <si>
    <t>06/08/2020 6:00 PM</t>
  </si>
  <si>
    <t>06/08/2020 1:15 PM</t>
  </si>
  <si>
    <t>06/08/2020 2:15 PM</t>
  </si>
  <si>
    <t>06/08/2020 2:30 PM</t>
  </si>
  <si>
    <t>06/08/2020 1:45 PM</t>
  </si>
  <si>
    <t>06/08/2020 2:45 PM</t>
  </si>
  <si>
    <t>06/08/2020 3:30 PM</t>
  </si>
  <si>
    <t>06/08/2020 3:15 PM</t>
  </si>
  <si>
    <t>06/08/2020 4:45 PM</t>
  </si>
  <si>
    <t>06/08/2020 4:15 PM</t>
  </si>
  <si>
    <t>06/08/2020 10:09 AM</t>
  </si>
  <si>
    <t>17/08/2020 7:00 AM</t>
  </si>
  <si>
    <t>25/08/2020 9:45 AM</t>
  </si>
  <si>
    <t>05/08/2020 7:00 AM</t>
  </si>
  <si>
    <t>13/08/2020 3:30 PM</t>
  </si>
  <si>
    <t>11/08/2020 4:30 PM</t>
  </si>
  <si>
    <t>11/08/2020 3:30 PM</t>
  </si>
  <si>
    <t>25/08/2020 9:45 PM</t>
  </si>
  <si>
    <t>13/08/2020 4:30 PM</t>
  </si>
  <si>
    <t>24/08/2020 4:00 PM</t>
  </si>
  <si>
    <t>10/08/2020 2:30 PM</t>
  </si>
  <si>
    <t>06/08/2020 5:00 AM</t>
  </si>
  <si>
    <t>06/08/2020 9:03 AM</t>
  </si>
  <si>
    <t>05/08/2020 3:00 PM</t>
  </si>
  <si>
    <t>11/08/2020 8:15 AM</t>
  </si>
  <si>
    <t>30/09/2020 12:00 AM</t>
  </si>
  <si>
    <t>20/08/2020 9:00 AM</t>
  </si>
  <si>
    <t>09/09/2020 8:30 AM</t>
  </si>
  <si>
    <t>31/08/2020 1:00 PM</t>
  </si>
  <si>
    <t>09/09/2020 12:00 PM</t>
  </si>
  <si>
    <t>31/08/2020 1:00 AM</t>
  </si>
  <si>
    <t>10/08/2020 9:30 AM</t>
  </si>
  <si>
    <t>14/08/2020 10:30 AM</t>
  </si>
  <si>
    <t>17/08/2020 2:29 PM</t>
  </si>
  <si>
    <t>17/08/2020 3:30 PM</t>
  </si>
  <si>
    <t>07/08/2020 11:59 AM</t>
  </si>
  <si>
    <t>05/08/2020 4:00 PM</t>
  </si>
  <si>
    <t>05/08/2020 8:00 AM</t>
  </si>
  <si>
    <t>10/08/2020 9:45 AM</t>
  </si>
  <si>
    <t>01/09/2020 9:00 AM</t>
  </si>
  <si>
    <t>19/08/2020 1:00 PM</t>
  </si>
  <si>
    <t>05/08/2020 12:00 PM</t>
  </si>
  <si>
    <t>07/09/2020 5:00 PM</t>
  </si>
  <si>
    <t>01/09/2020 1:00 PM</t>
  </si>
  <si>
    <t>05/08/2020 8:30 AM</t>
  </si>
  <si>
    <t>21/08/2020 9:30 AM</t>
  </si>
  <si>
    <t>18/08/2020 1:30 PM</t>
  </si>
  <si>
    <t>25/09/2020 2:00 PM</t>
  </si>
  <si>
    <t>06/08/2020 8:30 AM</t>
  </si>
  <si>
    <t>17/08/2020 11:00 AM</t>
  </si>
  <si>
    <t>20/08/2020 9:25 AM</t>
  </si>
  <si>
    <t>05/08/2020 4:30 PM</t>
  </si>
  <si>
    <t>19/08/2020 8:30 AM</t>
  </si>
  <si>
    <t>11/08/2020 4:13 PM</t>
  </si>
  <si>
    <t>28/08/2020 9:00 AM</t>
  </si>
  <si>
    <t>26/08/2020 2:01 PM</t>
  </si>
  <si>
    <t>28/08/2020 1:00 PM</t>
  </si>
  <si>
    <t>05/08/2020 2:00 AM</t>
  </si>
  <si>
    <t>05/08/2020 9:10 AM</t>
  </si>
  <si>
    <t>05/08/2020 10:30 AM</t>
  </si>
  <si>
    <t>07/08/2020 8:05 PM</t>
  </si>
  <si>
    <t>26/08/2020 10:30 AM</t>
  </si>
  <si>
    <t>13/08/2020 12:00 PM</t>
  </si>
  <si>
    <t>08/09/2020 2:00 PM</t>
  </si>
  <si>
    <t>19/08/2020 2:29 PM</t>
  </si>
  <si>
    <t>06/08/2020 4:00 AM</t>
  </si>
  <si>
    <t>21/08/2020 9:10 AM</t>
  </si>
  <si>
    <t>18/08/2020 11:00 AM</t>
  </si>
  <si>
    <t>10/08/2020 8:09 AM</t>
  </si>
  <si>
    <t>19/08/2020 11:00 AM</t>
  </si>
  <si>
    <t>20/08/2020 2:30 PM</t>
  </si>
  <si>
    <t>10/08/2020 9:11 AM</t>
  </si>
  <si>
    <t>12/08/2020 11:30 PM</t>
  </si>
  <si>
    <t>24/08/2020 1:31 PM</t>
  </si>
  <si>
    <t>06/08/2020 1:02 PM</t>
  </si>
  <si>
    <t>06/08/2020 11:59 PM</t>
  </si>
  <si>
    <t>20/08/2020 3:00 PM</t>
  </si>
  <si>
    <t>12/08/2020 11:00 PM</t>
  </si>
  <si>
    <t>05/08/2020 5:08 AM</t>
  </si>
  <si>
    <t>28/08/2020 1:28 PM</t>
  </si>
  <si>
    <t>21/08/2020 2:00 PM</t>
  </si>
  <si>
    <t>20/08/2020 2:00 AM</t>
  </si>
  <si>
    <t>13/08/2020 10:30 AM</t>
  </si>
  <si>
    <t>07/08/2020 12:05 AM</t>
  </si>
  <si>
    <t>11/08/2020 8:01 AM</t>
  </si>
  <si>
    <t>24/08/2020 8:45 AM</t>
  </si>
  <si>
    <t>12/08/2020 12:01 PM</t>
  </si>
  <si>
    <t>19/08/2020 3:30 PM</t>
  </si>
  <si>
    <t>05/08/2020 11:30 AM</t>
  </si>
  <si>
    <t>17/08/2020 9:30 AM</t>
  </si>
  <si>
    <t>19/08/2020 2:30 AM</t>
  </si>
  <si>
    <t>07/08/2020 1:01 PM</t>
  </si>
  <si>
    <t>24/08/2020 9:20 AM</t>
  </si>
  <si>
    <t>21/08/2020 10:30 AM</t>
  </si>
  <si>
    <t>18/08/2020 12:00 PM</t>
  </si>
  <si>
    <t>19/08/2020 2:00 AM</t>
  </si>
  <si>
    <t>14/08/2020 9:30 AM</t>
  </si>
  <si>
    <t>05/08/2020 9:30 AM</t>
  </si>
  <si>
    <t>05/08/2020 1:04 PM</t>
  </si>
  <si>
    <t>18/08/2020 4:00 PM</t>
  </si>
  <si>
    <t>05/08/2020 2:30 PM</t>
  </si>
  <si>
    <t>19/08/2020 4:00 PM</t>
  </si>
  <si>
    <t>03/09/2020 1:00 PM</t>
  </si>
  <si>
    <t>13/08/2020 10:15 AM</t>
  </si>
  <si>
    <t>20/08/2020 11:00 AM</t>
  </si>
  <si>
    <t>06/08/2020 10:30 AM</t>
  </si>
  <si>
    <t>06/08/2020 1:10 AM</t>
  </si>
  <si>
    <t>17/08/2020 10:30 AM</t>
  </si>
  <si>
    <t>05/08/2020 1:30 PM</t>
  </si>
  <si>
    <t>21/08/2020 1:00 AM</t>
  </si>
  <si>
    <t>06/08/2020 7:00 AM</t>
  </si>
  <si>
    <t>25/08/2020 2:30 PM</t>
  </si>
  <si>
    <t>22/09/2020 10:00 AM</t>
  </si>
  <si>
    <t>19/08/2020 8:19 AM</t>
  </si>
  <si>
    <t>07/08/2020 2:30 PM</t>
  </si>
  <si>
    <t>01/09/2020 5:00 PM</t>
  </si>
  <si>
    <t>06/08/2020 2:40 PM</t>
  </si>
  <si>
    <t>11/08/2020 11:30 AM</t>
  </si>
  <si>
    <t>31/08/2020 1:30 PM</t>
  </si>
  <si>
    <t>06/08/2020 8:10 AM</t>
  </si>
  <si>
    <t>10/08/2020 5:05 PM</t>
  </si>
  <si>
    <t>20/08/2020 1:15 PM</t>
  </si>
  <si>
    <t>19/08/2020 8:15 AM</t>
  </si>
  <si>
    <t>10/08/2020 1:05 PM</t>
  </si>
  <si>
    <t>20/08/2020 1:15 AM</t>
  </si>
  <si>
    <t>19/08/2020 7:15 AM</t>
  </si>
  <si>
    <t>10/08/2020 1:02 PM</t>
  </si>
  <si>
    <t>19/08/2020 9:25 AM</t>
  </si>
  <si>
    <t>14/08/2020 1:30 PM</t>
  </si>
  <si>
    <t>19/08/2020 8:50 AM</t>
  </si>
  <si>
    <t>19/08/2020 8:59 AM</t>
  </si>
  <si>
    <t>27/08/2020 1:30 PM</t>
  </si>
  <si>
    <t>27/08/2020 10:45 AM</t>
  </si>
  <si>
    <t>27/08/2020 2:30 PM</t>
  </si>
  <si>
    <t>20/08/2020 11:30 AM</t>
  </si>
  <si>
    <t>27/08/2020 9:45 AM</t>
  </si>
  <si>
    <t>20/08/2020 10:30 AM</t>
  </si>
  <si>
    <t>11/08/2020 12:01 PM</t>
  </si>
  <si>
    <t>07/08/2020 12:01 PM</t>
  </si>
  <si>
    <t>18/08/2020 8:15 AM</t>
  </si>
  <si>
    <t>18/08/2020 12:59 PM</t>
  </si>
  <si>
    <t>18/08/2020 9:45 AM</t>
  </si>
  <si>
    <t>20/08/2020 1:30 PM</t>
  </si>
  <si>
    <t>06/08/2020 10:45 AM</t>
  </si>
  <si>
    <t>17/08/2020 8:00 AM</t>
  </si>
  <si>
    <t>17/08/2020 1:30 PM</t>
  </si>
  <si>
    <t>07/08/2020 1:15 PM</t>
  </si>
  <si>
    <t>05/08/2020 5:00 AM</t>
  </si>
  <si>
    <t>05/08/2020 2:05 PM</t>
  </si>
  <si>
    <t>18/08/2020 1:02 PM</t>
  </si>
  <si>
    <t>06/08/2020 8:45 AM</t>
  </si>
  <si>
    <t>18/08/2020 8:30 AM</t>
  </si>
  <si>
    <t>18/08/2020 8:45 AM</t>
  </si>
  <si>
    <t>05/08/2020 1:36 PM</t>
  </si>
  <si>
    <t>17/08/2020 4:00 PM</t>
  </si>
  <si>
    <t>05/08/2020 9:00 PM</t>
  </si>
  <si>
    <t>19/08/2020 10:15 AM</t>
  </si>
  <si>
    <t>17/08/2020 8:40 AM</t>
  </si>
  <si>
    <t>19/08/2020 1:45 PM</t>
  </si>
  <si>
    <t>19/08/2020 1:15 PM</t>
  </si>
  <si>
    <t>20/08/2020 1:30 AM</t>
  </si>
  <si>
    <t>25/08/2020 12:30 PM</t>
  </si>
  <si>
    <t>24/08/2020 10:15 AM</t>
  </si>
  <si>
    <t>10/08/2020 10:40 AM</t>
  </si>
  <si>
    <t>05/08/2020 1:01 PM</t>
  </si>
  <si>
    <t>03/09/2020 2:00 PM</t>
  </si>
  <si>
    <t>20/08/2020 9:45 AM</t>
  </si>
  <si>
    <t>17/08/2020 9:20 AM</t>
  </si>
  <si>
    <t>05/08/2020 12:59 PM</t>
  </si>
  <si>
    <t>20/08/2020 8:00 AM</t>
  </si>
  <si>
    <t>05/08/2020 3:00 AM</t>
  </si>
  <si>
    <t>05/08/2020 6:00 PM</t>
  </si>
  <si>
    <t>17/08/2020 12:00 PM</t>
  </si>
  <si>
    <t>05/08/2020 10:10 AM</t>
  </si>
  <si>
    <t>18/08/2020 12:00 AM</t>
  </si>
  <si>
    <t>17/08/2020 12:59 PM</t>
  </si>
  <si>
    <t>03/09/2020 9:30 AM</t>
  </si>
  <si>
    <t>17/08/2020 2:15 PM</t>
  </si>
  <si>
    <t>03/09/2020 10:30 AM</t>
  </si>
  <si>
    <t>17/08/2020 2:30 PM</t>
  </si>
  <si>
    <t>17/08/2020 12:00 AM</t>
  </si>
  <si>
    <t>19/08/2020 11:30 AM</t>
  </si>
  <si>
    <t>17/08/2020 9:25 AM</t>
  </si>
  <si>
    <t>12/08/2020 8:59 AM</t>
  </si>
  <si>
    <t>25/08/2020 9:20 AM</t>
  </si>
  <si>
    <t>05/08/2020 1:05 PM</t>
  </si>
  <si>
    <t>24/08/2020 1:15 PM</t>
  </si>
  <si>
    <t>18/08/2020 9:00 PM</t>
  </si>
  <si>
    <t>17/08/2020 9:45 AM</t>
  </si>
  <si>
    <t>19/08/2020 9:20 AM</t>
  </si>
  <si>
    <t>17/08/2020 6:00 AM</t>
  </si>
  <si>
    <t>17/08/2020 1:09 AM</t>
  </si>
  <si>
    <t>14/08/2020 12:59 PM</t>
  </si>
  <si>
    <t>14/08/2020 2:29 PM</t>
  </si>
  <si>
    <t>16/09/2020 9:30 AM</t>
  </si>
  <si>
    <t>07/08/2020 10:05 PM</t>
  </si>
  <si>
    <t>14/08/2020 8:15 AM</t>
  </si>
  <si>
    <t>27/08/2020 11:00 AM</t>
  </si>
  <si>
    <t>26/08/2020 11:00 AM</t>
  </si>
  <si>
    <t>07/08/2020 2:02 PM</t>
  </si>
  <si>
    <t>13/08/2020 12:00 AM</t>
  </si>
  <si>
    <t>13/08/2020 9:25 AM</t>
  </si>
  <si>
    <t>18/08/2020 9:50 AM</t>
  </si>
  <si>
    <t>12/08/2020 9:00 PM</t>
  </si>
  <si>
    <t>12/08/2020 12:55 PM</t>
  </si>
  <si>
    <t>25/08/2020 1:15 PM</t>
  </si>
  <si>
    <t>17/08/2020 10:15 AM</t>
  </si>
  <si>
    <t>07/08/2020 9:59 AM</t>
  </si>
  <si>
    <t>06/08/2020 9:59 AM</t>
  </si>
  <si>
    <t>14/08/2020 2:30 PM</t>
  </si>
  <si>
    <t>31/08/2020 6:00 PM</t>
  </si>
  <si>
    <t>24/09/2020 1:00 AM</t>
  </si>
  <si>
    <t>17/08/2020 9:29 AM</t>
  </si>
  <si>
    <t>12/08/2020 5:00 AM</t>
  </si>
  <si>
    <t>12/08/2020 9:29 AM</t>
  </si>
  <si>
    <t>11/08/2020 12:59 PM</t>
  </si>
  <si>
    <t>11/08/2020 2:29 PM</t>
  </si>
  <si>
    <t>11/08/2020 2:00 AM</t>
  </si>
  <si>
    <t>11/08/2020 2:01 PM</t>
  </si>
  <si>
    <t>17/08/2020 1:20 PM</t>
  </si>
  <si>
    <t>17/08/2020 5:00 AM</t>
  </si>
  <si>
    <t>05/08/2020 11:59 AM</t>
  </si>
  <si>
    <t>10/08/2020 8:45 AM</t>
  </si>
  <si>
    <t>11/08/2020 3:00 AM</t>
  </si>
  <si>
    <t>11/08/2020 9:45 AM</t>
  </si>
  <si>
    <t>06/08/2020 2:00 AM</t>
  </si>
  <si>
    <t>05/08/2020 11:55 AM</t>
  </si>
  <si>
    <t>10/08/2020 1:29 PM</t>
  </si>
  <si>
    <t>15/09/2020 2:45 PM</t>
  </si>
  <si>
    <t>11/08/2020 9:15 AM</t>
  </si>
  <si>
    <t>03/09/2020 12:30 PM</t>
  </si>
  <si>
    <t>13/08/2020 8:45 AM</t>
  </si>
  <si>
    <t>12/08/2020 1:59 PM</t>
  </si>
  <si>
    <t>14/08/2020 11:00 AM</t>
  </si>
  <si>
    <t>11/08/2020 1:45 PM</t>
  </si>
  <si>
    <t>14/09/2020 12:00 PM</t>
  </si>
  <si>
    <t>27/08/2020 9:30 PM</t>
  </si>
  <si>
    <t>18/08/2020 3:00 AM</t>
  </si>
  <si>
    <t>11/08/2020 10:45 AM</t>
  </si>
  <si>
    <t>14/08/2020 8:30 AM</t>
  </si>
  <si>
    <t>11/08/2020 10:50 AM</t>
  </si>
  <si>
    <t>11/08/2020 8:50 AM</t>
  </si>
  <si>
    <t>11/08/2020 1:45 AM</t>
  </si>
  <si>
    <t>11/08/2020 9:00 PM</t>
  </si>
  <si>
    <t>10/08/2020 2:01 PM</t>
  </si>
  <si>
    <t>12/08/2020 1:15 PM</t>
  </si>
  <si>
    <t>10/08/2020 10:09 AM</t>
  </si>
  <si>
    <t>10/08/2020 11:59 PM</t>
  </si>
  <si>
    <t>10/08/2020 9:30 PM</t>
  </si>
  <si>
    <t>12/08/2020 12:30 PM</t>
  </si>
  <si>
    <t>13/08/2020 8:30 AM</t>
  </si>
  <si>
    <t>18/09/2020 2:00 PM</t>
  </si>
  <si>
    <t>10/08/2020 8:00 PM</t>
  </si>
  <si>
    <t>21/09/2020 10:00 AM</t>
  </si>
  <si>
    <t>07/08/2020 2:40 PM</t>
  </si>
  <si>
    <t>10/08/2020 10:00 PM</t>
  </si>
  <si>
    <t>07/08/2020 12:59 PM</t>
  </si>
  <si>
    <t>07/08/2020 2:10 PM</t>
  </si>
  <si>
    <t>11/08/2020 8:59 AM</t>
  </si>
  <si>
    <t>11/08/2020 2:45 PM</t>
  </si>
  <si>
    <t>06/08/2020 10:15 AM</t>
  </si>
  <si>
    <t>05/08/2020 1:20 PM</t>
  </si>
  <si>
    <t>13/08/2020 4:00 PM</t>
  </si>
  <si>
    <t>06/08/2020 2:02 PM</t>
  </si>
  <si>
    <t>07/08/2020 10:20 AM</t>
  </si>
  <si>
    <t>06/08/2020 9:09 AM</t>
  </si>
  <si>
    <t>10/08/2020 8:59 AM</t>
  </si>
  <si>
    <t>06/08/2020 12:45 PM</t>
  </si>
  <si>
    <t>05/08/2020 9:20 AM</t>
  </si>
  <si>
    <t>05/08/2020 2:01 PM</t>
  </si>
  <si>
    <t>05/08/2020 12:30 PM</t>
  </si>
  <si>
    <t>31/08/2020 11:30 AM</t>
  </si>
  <si>
    <t>28/08/2020 5:00 PM</t>
  </si>
  <si>
    <t>17/08/2020 10:00 PM</t>
  </si>
  <si>
    <t>26/08/2020 12:00 PM</t>
  </si>
  <si>
    <t>28/08/2020 1:30 PM</t>
  </si>
  <si>
    <t>17/08/2020 9:01 AM</t>
  </si>
  <si>
    <t>06/08/2020 12:30 PM</t>
  </si>
  <si>
    <t>20/08/2020 12:30 PM</t>
  </si>
  <si>
    <t>31/12/2020 1:00 AM</t>
  </si>
  <si>
    <t>01/07/2021 9:00 AM</t>
  </si>
  <si>
    <t>23/09/2020 1:00 AM</t>
  </si>
  <si>
    <t>07/10/2020 10:00 AM</t>
  </si>
  <si>
    <t>02/09/2020 3:00 PM</t>
  </si>
  <si>
    <t>05/10/2020 9:30 AM</t>
  </si>
  <si>
    <t>13/08/2020 11:30 AM</t>
  </si>
  <si>
    <t>31/12/2020 9:00 AM</t>
  </si>
  <si>
    <t>20/08/2020 8:30 AM</t>
  </si>
  <si>
    <t>13/08/2020 1:15 PM</t>
  </si>
  <si>
    <t>10/08/2020 1:45 PM</t>
  </si>
  <si>
    <t>07/08/2020 9:20 AM</t>
  </si>
  <si>
    <t>05/08/2020 3:30 PM</t>
  </si>
  <si>
    <t xml:space="preserve"> ITEM I - RE-TOPPING OF BASKETBALL COURT ITEM II - BASKETBALL COURT PAINTING WORKS ITEM III - INSTALLATION OF LOUVERS ITEM IV - INSTALLATION OF STEEL GATES ITEM V - REHABILITATION OF WATER WORKS OF C.R OF MULTI-PURPOSE COVERED COURT ITEM VI - INSTALLATION </t>
  </si>
  <si>
    <t xml:space="preserve"> IB 2020-08-012 PME2 Procurement of Medical Equipment (Part 2) 2020-12</t>
  </si>
  <si>
    <t xml:space="preserve"> 2 units of Epson printer to be used for the reproduction of Modules.</t>
  </si>
  <si>
    <t xml:space="preserve"> Construction of Potable Water System</t>
  </si>
  <si>
    <t xml:space="preserve"> Republic of the Philippines DEPARTMENT OF PUBLIC WORKS AND HIGHWAYS Region IV-A CAVITE II DISTRICT ENGINEERING OFFICE Brgy. Mangas II, Alfonso, Cavite REQUEST FOR EXPRESSION OF INTEREST (REOI) FOR  Consultancy Services for the Conduct of Preliminary Detai</t>
  </si>
  <si>
    <t xml:space="preserve"> Republic of the Philippines BANGSAMORO AUTONOMOUS REGION IN MUSLIM MINDANAO Province of Lanao del Sur Municipality of Marantao INVITATION TO BID The Municipal Government of Marantao through its Bids and Awards Committee (BAC) invites accredited suppliers </t>
  </si>
  <si>
    <t xml:space="preserve"> Republic of the Philippines Province of Isabela Municipality of Dinapigue Barangay Digumased INVITATION TO APPLY FOR ELIGIBILITY AND TO BID ITB NO.:2020-08-24 (01) The Barangay Local Government of Digumased, Dinapigue, Isabela through its Bids and Awards </t>
  </si>
  <si>
    <t xml:space="preserve"> Improvement of Multi-Purpose Hall</t>
  </si>
  <si>
    <t xml:space="preserve"> VARIOUS OFFICE SUPPLIES</t>
  </si>
  <si>
    <t xml:space="preserve"> REHAB. OF THE PIPING SYSTEM DUE TO LEAKAGES</t>
  </si>
  <si>
    <t xml:space="preserve"> 3 units CPU-CORE i3, 4gb Memory                                  8gb memory 2 units Keyboard 1 unit 24 inc LED Monitor 2 units Printer 3 in 1 1 pc  USB 3.0 External Hard Drive 3 TB 1 pc  Flashdrive 64gb</t>
  </si>
  <si>
    <t xml:space="preserve"> 2 SOFTWARE INSTALLATION OF N-MAX SURVEYING SOFTWARE</t>
  </si>
  <si>
    <t xml:space="preserve"> BIDS AND AWARDS COMMITTEE INVITATION TO BID No. 051-2020 The METRO ROXAS WATER DISTRICT (MRWD), through its Bids and Awards Committee (BAC), invites Manufacturers/Suppliers/Distributors to apply for eligibility and to bid for the hereunder project: Name o</t>
  </si>
  <si>
    <t xml:space="preserve"> Republic of the Philippines Province of Bukidnon MUNICIPALITY OF PANGANTUCAN TIN 099-000-631-170 OFFICE OF THE MUNICIPAL MAYOR Bids and Awards Committee (BAC) Cell # 09261024636  Email us: munpangantucanbukidnon@yahoo.com  or visit www.philgeps.net INVITA</t>
  </si>
  <si>
    <t xml:space="preserve"> 1.	The Provincial Government of Ilocos Norte, through the General Fund  intends to apply the sum of Six Million Sixty Three Thousand One Hundred Seven Pesos and Ninety Nine Centavos   (Php  6,063,107.99               ) being the Approved Budget for the Co</t>
  </si>
  <si>
    <t xml:space="preserve"> 31 units Printer-Print, Copy, FAx, Scan autocopy scan, wifi ethernet, rear paper input, 3.7 LCD, suitable for long bond paper Republic of the Philippines Province of Batangas MUNICIPALITY OF MALVAR Office of the Municipal Mayor SECTION I INVITATION TO BID</t>
  </si>
  <si>
    <t xml:space="preserve"> Purchase of Supplies and Equipment for use in Printing of Learning Modules of Bata National High School</t>
  </si>
  <si>
    <t xml:space="preserve"> PES Purchase of Office Supplies 2020-Supplemental  for ABC Php 162,000.00 600 reams Bond paper, Long Size  35 bot Ink (Black) for Epson L003  35 bot Ink (Magenta) for Epson L003  30 bot Ink (Cyan) for Epson L003  30 bot Ink (Yellow) for Epson L003</t>
  </si>
  <si>
    <t xml:space="preserve"> 1.) All-purpose glue, 130grams = 20 bottle 2.) Correction tape, 5mm x 8m = 20 piece 3.) Envelope, brown, long = 150 piece 4.) Folder, white, long = 150 piece 5.) Bond paper, long, sub 20 = 100 ream 6.) Bond paper, A4, sub 20 = 80 ream 7.) Stamp pad, black</t>
  </si>
  <si>
    <t xml:space="preserve"> Procurement of RHU 2020 Medical Instrument Lot 4- Rebidding</t>
  </si>
  <si>
    <t xml:space="preserve"> Procurement of RHU 2020 Medical Instrument Lot 3- Rebidding</t>
  </si>
  <si>
    <t xml:space="preserve"> ITEM NO.           DESCRIPTION                                    UNIT           QUANTITY 1     Amoxicillin  500mgs cap 100s                 Boxes           80 2    Amoxicillin 250 mgs cap 100’s                Boxes           80 3      Amoxicillin sus. 25</t>
  </si>
  <si>
    <t xml:space="preserve"> Republic of the Philippines Region XII Province of Cotabato CITY OF KIDAPAWAN BIDS AND AWARDS COMMITTEE Invitation to Bid 						  		            Date: August 5, 2020 1.	The City Government of Kidapawan, through the 20% EDF CY 2020 Appropriation Ordinance 2</t>
  </si>
  <si>
    <t xml:space="preserve"> Republic of the Philippines Province of Guimaras OFFICE OF THE BIDS AND AWARDS COMMITTEE INVITATION TO BID FOR    SUPPLY AND DELIVERY OF OFFICE EQUIPMENT Bid Ref. No. 2020-07-405 Re-bid 1.	The Province of Guimaras , through the Item # 2 &amp; 17- Appropriatio</t>
  </si>
  <si>
    <t xml:space="preserve"> Supply, Delivery, Installation, and Configuration of the TSU WiFi Modernization for the Lucinda Campus (Phase 1) Invitation to Bid No. 2020-011 1.	The Tarlac State University, through the Special Budget (SB) Fund intends to apply the sum of Four Million E</t>
  </si>
  <si>
    <t xml:space="preserve"> INVITATION TO REBID The Iligan City Government Bids and Awards Committee (BAC), through CY 2020 BUDGET intends to apply the sum of P 2,375,600.00 being the Approved Budget for the Contract (ABC) to payments under the Contract for Supply and Delivery of Sp</t>
  </si>
  <si>
    <t xml:space="preserve"> Please see Request For Quotation attachment</t>
  </si>
  <si>
    <t xml:space="preserve"> Republic of the Philippines Province of Guimaras OFFICE OF THE BIDS AND AWARDS COMMITTEE INVITATION TO BID FOR    SUPPLY AND DELIVERY OF WATER TREATMENT EQUIPMENT Bid Ref. No. 2020-03-224 Re-Bid 1.	The Province of Guimaras , through the PHO – (107-04-990)</t>
  </si>
  <si>
    <t xml:space="preserve"> Procurement of RHU 2020 Refrigerator- Rebidding</t>
  </si>
  <si>
    <t xml:space="preserve"> Republic of the Philippines Province of Negros Occidental Bids &amp; Awards Committee Bacolod City INVITATION TO BID  The Provincial Government of Negros Occidental through its Bids and Awards Committee [BAC] invites interested bidders to apply for eligibilit</t>
  </si>
  <si>
    <t xml:space="preserve"> REHABILITATION/IMPROVEMENT OF POBLACION TO SILJAGON FMR,  MAPANAS, NORTHERN SAMAR BIDDING DOCUMENTS Procurement of INFRASTRUCTURE PROJECTS Name of Project: Rehabilitation/Improvement of Poblacion to Siljagon FMR, Barangay Sta Potenciana, Mapanas, Northern</t>
  </si>
  <si>
    <t xml:space="preserve"> PROCUREMENT OF THE FOLLOWING SERVICES: FABRICATION AND INSTALLATION OF HAND RAILINGS OF PATHWALK AND PLASTERING OF DAMAGED PORTION OF PATHWALK (APPROX. 120 LN. METERS) A. MATERIALS B. OTHER SERVICES FOR MORE DETAILS VISIT THE BARANGAY</t>
  </si>
  <si>
    <t xml:space="preserve"> Republic of the Philippines                   PROVINCE OF BUKIDNON                   Municipality of Don Carlos                                        BIDS AND AWARDS COMMITTEE       REQUEST FOR QUOATATION   									 							Date:  						RFQ No.	 Name of </t>
  </si>
  <si>
    <t xml:space="preserve"> INVITATION TO BID FOR  ESTABLISHMENT OF THREE (3) UNITS OF SMALL WATER IMPOUNDING SYSTEM (SWIS) AT BRGY. ROSACARA, BANSUD, ORIENTAL MINDORO 1.	The DENR PENRO – Oriental Mindoro, through the RA 11465, GAA 2020 intends to apply the sum of Three Million Nine</t>
  </si>
  <si>
    <t xml:space="preserve"> The Cavite National High School – Junior High School will undertake a procurement for the “Office Supplies” with the approved budget of One Hundred Thousand Pesos (Php 625,000.00).</t>
  </si>
  <si>
    <t xml:space="preserve"> Republic of the Philippines Province of Cagayan Municipality of Baggao INVITATION TO BID FOR THE PROCUREMENT OF GOODS The Barangay Remus, Baggao, Cagayan, through the Provincial Assistance CY 2017 intends to apply the sum of Two Hundred Thirty Nine Thousa</t>
  </si>
  <si>
    <t xml:space="preserve"> Procurement of RHU 2020 Medical Instrument Lot 2- Rebidding</t>
  </si>
  <si>
    <t xml:space="preserve"> Republic of the Philippines Province of Cagayan Municipality of Baggao INVITATION TO BID FOR THE PROCUREMENT OF GOODS The Barangay Remus, Baggao, Cagayan, through the 20% Brgy. Development Fund intends to apply the sum of Two Hundred Eighty Eight Thousand</t>
  </si>
  <si>
    <t xml:space="preserve"> Procurement of RHU 2020 Oxygen Tank with Gauge in Trolley or Rack (20L)- Rebidding</t>
  </si>
  <si>
    <t xml:space="preserve"> INVITATION TO BID 	 The Municipality of Liloan, Southern Leyte through its Bids and Awards Committee (BAC), invites suppliers/manufacturers/distributors/contractors to bid for the following: 1.	Purchase of Medicines Location:  Poblacion, Liloan, Southern </t>
  </si>
  <si>
    <t xml:space="preserve"> INVITATION FOR SUBMISSION OF QUOTATION The Doña Hortencia Salas Benedicto National High School through the Bids and Awards Committee (BAC), hereby invites all interested contractors registered with the Philippine Government Electronic Procurement System (</t>
  </si>
  <si>
    <t xml:space="preserve"> SUPPLY AND DELIVERY OF OFFICE SUPPLIES, MAYOR'S OFFICE, MAUBAN, QUEZON. The Local Government Unit of Mauban through the GENERAL FUND-1011/5-02-03-010, 2020 intends to apply the sum of Four hundred eleven thousand three hundred seventy pesos (Php 411,317.0</t>
  </si>
  <si>
    <t xml:space="preserve"> Republic of the Philippines BIDS AND AWARDS COMMITTEE Province of Iloilo Invitation to Bid Purchase of DIGITAL COPIER PRINTER SCANNER Bid No. DRL-20-0327-B  1. The Iloilo Provincial Government, through the SUPPLEMENTAL BUDGET 2019 CAPITAL OUTLAY intends t</t>
  </si>
  <si>
    <t xml:space="preserve"> SUPPLY AND DELIVERY OF 3 UNIT ONDOY BOAT TO BE USED DURIG EMERGENCY RESPINSE IN FLOOD PRONE BARANGAY OF MAUBAN, QUEZON. 1.      The Local Government Unit of Mauban through the GENERAL FUND-9999/1-07-06-040 (CF), 2020 intends to apply the sum of Two hundre</t>
  </si>
  <si>
    <t xml:space="preserve"> See attached file</t>
  </si>
  <si>
    <t xml:space="preserve"> SUPPLY AND DELIVERY OF MATERIALS FOR INSTALLATION OF WATER SUPPLY SYSTEM OF VARIOUS BARANGAY, MAUBAN, QUEZON. 1.     The Local Government Unit of Mauban through the GENERAL FUND-8751/1-07-03-040, 2020 intends to apply the sum of Two million five hundred n</t>
  </si>
  <si>
    <t xml:space="preserve"> INVITATION TO BID Date: August 04, 2020 1.	The Provincial Government of Davao del Sur, through its Bids and Awards Committee (BAC), invites all potential bidders/suppliers to apply to bid for the following goods. Bids received in excess of the ABC shall b</t>
  </si>
  <si>
    <t xml:space="preserve"> Please see attached RFQ</t>
  </si>
  <si>
    <t xml:space="preserve"> Republic of the Philippines Province of Cagayan Municipality of Baggao INVITATION TO BID FOR THE PROCUREMENT OF GOODS The Barangay Nangalinan, Baggao, Cagayan, through the 20% Barangay Development Fund CY 2020 intends to apply the sum of  One Hundred Thir</t>
  </si>
  <si>
    <t xml:space="preserve"> Republic of the Philippines Province of Southern Leyte MUNICIPALITY OF SAN JUAN Invitation to Bid for  COMPLETION OF MULTIPURPOSE AND PRODUCTIVITY CENTER AT BRGY. SUA, SAN JUAN, SOUTHERN LEYTE 1.	The MUNICIPALITY OF SAN JUAN, through General Fund intends </t>
  </si>
  <si>
    <t xml:space="preserve"> Republic of the Philippines BIDS AND AWARDS COMMITTEE Province of Iloilo Invitation to Bid Purchase of INFANT WEIGHING SCALE Bid No. DRL-20-0744-B  1. The Iloilo Provincial Government, through the 20% IRA-HMO SB 2018 intends to apply the sum of SEVENTEEN </t>
  </si>
  <si>
    <t xml:space="preserve"> Republic of the Philippines BIDS AND AWARDS COMMITTEE Province of Iloilo Invitation to Bid Purchase of SUCTION MACHINE Bid No. DRL-20-0745-B  1. The Iloilo Provincial Government, through the 20% IRA-HMO CY 2019 intends to apply the sum of FORTY THOUSAND P</t>
  </si>
  <si>
    <t xml:space="preserve"> The Local Government Unit of Tabontabon Leyte, through its Bids and Awards Committee (BAC), will undertake Negotiated Procurement (Small Value Procurement) for RFQ # 07-079-2020 for the Supply and Delivery of Office Equipment in accordance with 53.9 of th</t>
  </si>
  <si>
    <t xml:space="preserve"> CONSTRUCTION MATERIALS</t>
  </si>
  <si>
    <t xml:space="preserve"> Please see attached RFQ.</t>
  </si>
  <si>
    <t xml:space="preserve"> Republic of the Philippines Province of Camarines Sur MUNICIPALITY OF LAGONOY BIDS AND AWARDS COMMITTEE INVITATION TO BID/REQUEST FOR EXPRESSION OF INTEREST The Municipal Government of Lagonoy, through its Bids &amp; Awards Committee (BAC) invites suppliers/ </t>
  </si>
  <si>
    <t xml:space="preserve"> Procurement of Cleaning and Disinfecting Supplies 1. Alcohol, Ethyl, 68%-70%, Scented, 500ml, 439 bottles, Php19312.49 2. Detergent Powder, All Purpose, 1Kg, 466 packs, Php17,442.19 3. Disinfectant Spray, Aerosol Type, 400-550 grams, 228 cans, Php28,039.4</t>
  </si>
  <si>
    <t xml:space="preserve"> Provision of pocket wifi to be used for new normal teaching and communication. Item No.	Item/s and Description	Quantity	Unit 1	Broadband home pocket wifi	111	pcs. 	Spec:    Prepaid Wifi ZLT s10G		 	Nothing follows</t>
  </si>
  <si>
    <t xml:space="preserve"> Equipment and consumable supplies for the printing of Grade 1 &amp; 2 modules the following materials are needed; Item No.	Item/s and Description	Quantity	Unit a. Other supplies and materials			 1	band papers A4, sub. 20/70gsm	250	reams 2	Printer ink black	54</t>
  </si>
  <si>
    <t xml:space="preserve"> SUPPLIES FOR MODULES</t>
  </si>
  <si>
    <t xml:space="preserve"> 1. The Department of Agrarian Reform Provincial Office, through CONVERGE intends to apply the sum of TWO HUNDRED TWENTY-FIVE THOUSAND Only (PHP 225,0000) being the Approved Budget for the Contract (ABC) to payments under the contract for CONSULTANCY SERVI</t>
  </si>
  <si>
    <t xml:space="preserve"> Republic of the Philippines Province of Cagayan Municipality of Baggao INVITATION TO BID FOR THE PROCUREMENT OF GOODS The Barangay Mocag, Baggao, Cagayan, through the 20% BDF CY 2020 intends to apply the sum of One Hundred Fifty Thousand Pesos (PHP 150,00</t>
  </si>
  <si>
    <t xml:space="preserve"> Location: Manito, Albay Road Opening of 0.209 km with Road Concreting of 0.418 lane km including 800 sq.m. Slope Protection Prospective bidders is hereby advised to present the Official Reciept (OR) together with their Bids before the 10:00am deadline of </t>
  </si>
  <si>
    <t xml:space="preserve"> Procurement of Medical Equipment for Taglatawan Hygienic Clinic- Hygienic- Rebidding</t>
  </si>
  <si>
    <t xml:space="preserve"> Location: Legazpi City Road Opening/Concreting of 1.00 lane km with 92.52 linear meters Drainage Prospective bidders is hereby advised to present the Official Reciept (OR) together with their Bids before the 10:00am deadline of Dropping of Bids. Please be</t>
  </si>
  <si>
    <t xml:space="preserve"> Republic of the Philippines BIDS AND AWARDS COMMITTEE Province of Iloilo Invitation to Bid Purchase of CAUTERY MACHINE Bid No. DRL-20-0743-B  1. The Iloilo Provincial Government, through the 20% IRA-HMO SB3 intends to apply the sum of TWO HUNDRED THOUSAND</t>
  </si>
  <si>
    <t xml:space="preserve"> Republic of the Philippines BIDS AND AWARDS COMMITTEE Province of Iloilo Invitation to Bid Purchase of PORTABLE DROPLIGHT Bid No. DRL-20-0723-B  1. The Iloilo Provincial Government, through the SB3  IRA CY 2018 intends to apply the sum of FORTY TWO THOUSA</t>
  </si>
  <si>
    <t xml:space="preserve"> Republic of the Philippines PROVINCE OF MISAMIS OCCIDENTAL Municipality of Clarin Brgy. Dalingap                                                                                     ooOoo INVITATION TO APPLY FOR ELIGIBILITY AND TO BID (IAEB)          The B</t>
  </si>
  <si>
    <t xml:space="preserve"> Republic of the Philippines BIDS AND AWARDS COMMITTEE Province of Iloilo Invitation to Bid Purchase of EMERGENCY CART TROLLY Bid No. DRL-20-0721-B  1. The Iloilo Provincial Government, through the SB3-IRA-HMO CY 2018 intends to apply the sum of ONE HUNDRE</t>
  </si>
  <si>
    <t xml:space="preserve"> 1.	The Provincial Government of Batanes, through the Provincial Appropriations Ordinance No. 03 series of 2019 (Capital Outlay) intends to apply the sum of Two Hundred Fifty Thousand Pesos Only (₱ 250,000.00), being the Approved Budget for the Contract (A</t>
  </si>
  <si>
    <t xml:space="preserve"> Republic of the Philippines Province of Ilocos Sur Municipality of Quirino, Ilocos Sur Invitation to Bid for the Improvement of Lobolbo Creek to Banoen Plaza, Banoen, Quirino, Ilocos Sur 1.	The Municipality of Quirino, Ilocos Sur, through the R.A. 7171 FY</t>
  </si>
  <si>
    <t xml:space="preserve"> INVITATION TO BID  1.	The Province of Cebu through the Trust Fund- DOH- HFEP 2018, intends to apply the sum of ONE MILLION ONE HUNDRED TEN THOUSAND PESOS AND 00/100 (Php1,110,000.00) being the Approved Budget for the Contract (ABC) to payments under the c</t>
  </si>
  <si>
    <t xml:space="preserve"> Republic of the Philippines BIDS AND AWARDS COMMITTEE Province of Iloilo Invitation to Bid Purchase of DUPLICATING MACHINE Bid No. DRL-20-0326-B  1. The Iloilo Provincial Government, through the SUPPLEMENTAL BUDGET 2019 CAPITAL OUTLAY intends to apply the</t>
  </si>
  <si>
    <t xml:space="preserve"> Republic of the Philippines Province of Ilocos Sur Municipality of Quirino, Ilocos Sur Invitation to Bid for the Continuation of the Construction of Inawey Flood Control, Lamag, Quirino, Ilocos Sur 1.	The Municipality of Quirino, Ilocos Sur, through the R</t>
  </si>
  <si>
    <t xml:space="preserve"> 1.	The Province of Cebu through the 2020 General Fund, intends to apply the sum of THIRTY-FIVE MILLION EIGHT HUNDRED EIGHTY THOUSAND PESOS AND 00/100 (Php35,880,000.00) being the Approved Budget for the Contract (ABC) to payments under the contract for th</t>
  </si>
  <si>
    <t xml:space="preserve"> Republic of the Philippines Province of Cavite City of General Trias Invitation to Bid for  Project Reference No. INFR-20-021- INSTALLATION OF ONE HUNDRED FORTY (140) UNITS 150 WATTS LED STREETLIGHTS LAMP AND ELECTRICAL WIRINGS ALONG NOVELETA TEJERO DIVER</t>
  </si>
  <si>
    <t xml:space="preserve"> various</t>
  </si>
  <si>
    <t xml:space="preserve"> Republic of the Philippines BIDS AND AWARDS COMMITTEE Province of Iloilo Invitation to Bid Purchase of NEBULIZER MACHINE Bid No. DRL-20-0722-B  1. The Iloilo Provincial Government, through the SB3 IRA-HMO CY 2018 intends to apply the sum of EIGHTY ONE THO</t>
  </si>
  <si>
    <t xml:space="preserve"> 1. The LGU-Bauko through its Annual Budget CY 2020 intends to apply the sum of One Million One Hundred Seventy Thousand Two Hundred Sixty-Two Pesos &amp; 45/100 (P 1,170,262.45) being the Approved Budget for the Contract (ABC) to payment for the contract P – </t>
  </si>
  <si>
    <t xml:space="preserve"> Republic of the Philippines CITY OF BAIS BIDS AND AWARDS COMMITTEE INVITATION TO APPLY FOR ELIGIBILITY AND TO BID 	The City Government of Bais invites interested bidders to apply for eligibility and to bid for Rehabilitation of Daycare Centers @ Brgy. Man</t>
  </si>
  <si>
    <t xml:space="preserve"> OFFICE SUPPLIES</t>
  </si>
  <si>
    <t xml:space="preserve"> Republic of the Philippines CITY OF BAIS BIDS AND AWARDS COMMITTEE INVITATION TO APPLY FOR ELIGIBILITY AND TO BID 	The City Government of Bais invites interested bidders to apply for eligibility and to bid for Improvement of School Building @ Tabu-ac, Brg</t>
  </si>
  <si>
    <t xml:space="preserve"> INVITATION TO BID  1.	The Province of Cebu through the 2020 General Fund, intends to apply the sum of FORTY-FIVE MILLION EIGHT HUNDRED FORTY-THREE THOUSAND SIX HUNDRED PESOS AND 00/100 (Php45,843,600.00) being the Approved Budget for the Contract (ABC) to</t>
  </si>
  <si>
    <t xml:space="preserve"> Republic of the Philippines CITY OF BAIS BIDS AND AWARDS COMMITTEE INVITATION TO APPLY FOR ELIGIBILITY AND TO BID 	The City Government of Bais invites interested bidders to apply for eligibility and to bid for Construction/Improvement/Rehabilitation of Dr</t>
  </si>
  <si>
    <t xml:space="preserve"> Republic of the Philippines CITY OF BAIS BIDS AND AWARDS COMMITTEE NOTICE FOR NEGOTIATED PROCUREMENT (53.9) (SMALL VALUE PROCUREMENT) 	The City Government of Bais invites interested suppliers to apply for small value procurement for the supply and deliver</t>
  </si>
  <si>
    <t xml:space="preserve"> Republic of the Philippines CITY OF BAIS BIDS AND AWARDS COMMITTEE NOTICE FOR NEGOTIATED PROCUREMENT (53.1) In view of the failure of the second bidding scheduled last December 3, 2019, the Bids and Awards Committee (BAC) passed Resolution No. 127 series </t>
  </si>
  <si>
    <t xml:space="preserve"> Republic of the Philippines CITY OF BAIS BIDS AND AWARDS COMMITTEE INVITATION TO APPLY FOR ELIGIBILITY AND TO BID 	The City Government of Bais invites interested bidders to apply for eligibility and to bid for replacement of sliding glass door and install</t>
  </si>
  <si>
    <t xml:space="preserve"> ARTICLE AND DESCRIPTION												 ITEM	QTY.	UNIT						CEILING 					UNIT PRICE			TOTAL  								PRICE								 				Office:  Ospital Ng Maynila Medical Center 				PR No. 0073, 708								 				Charge to:  Other Maintenance and Operating Expenses 											</t>
  </si>
  <si>
    <t xml:space="preserve"> see attached RFQ</t>
  </si>
  <si>
    <t xml:space="preserve"> REPUBLIC OF THE PHILIPPINES Guimba Water District Danzalan St. Cor. Faigal St., Sta. Veronica Guimba, Nueva Ecija Request for Quotation of Tapping Materials ABC Five Hundred Sixty Thousand Pesos and 00/100 (Php560,000.00) TAPPING TOOLS ITEM NO.	QUANTITY	U</t>
  </si>
  <si>
    <t xml:space="preserve"> Republic of the Philippines DEPARTMENT OF PUBLIC WORKS AND HIGHWAYS BATANGAS III DISTRICT ENGINEERING OFFICE REGIONAL OFFICE IV-A J. Gonzales St., Barangay 4, Tanauan City NOTICE OF ALTERNATIVE METHODS OF PROCUREMENT Notice is hereby given that this offic</t>
  </si>
  <si>
    <t xml:space="preserve"> Republic of the Philippines CITY OF BAIS BIDS AND AWARDS COMMITTEE INVITATION TO APPLY FOR ELIGIBILITY AND TO BID 	The City Government of Bais invites interested bidders to apply for eligibility and to bid for Rehabilitation of Daycare Centers @ Brgy. Oki</t>
  </si>
  <si>
    <t xml:space="preserve"> Republic of the Philippines         CITY GOVERNMENT OF TACURONG Alunan Highway, Tacurong City Sultan Kudarat BIDS AND AWARDS COMMITTEE                  Tel nos. (064) 562-0128 / Telefax no. (064) 477 - 0138         www.tacurong.gov.ph                     </t>
  </si>
  <si>
    <t xml:space="preserve"> QTY	UNIT	ITEM DESCRIPTION 		  11.00 	unit/s	Fabrication / Installation of Streetlights</t>
  </si>
  <si>
    <t xml:space="preserve"> 3 WHEEL MOTOR VEHICLE FOR BRGY. BAGACAY.</t>
  </si>
  <si>
    <t xml:space="preserve"> QTY	UNIT	ITEM DESCRIPTION 		  55.00 	unit/s	Fabrication / Installation of Streetlights</t>
  </si>
  <si>
    <t xml:space="preserve"> GT6                                                                                                                                                                                                                                                            </t>
  </si>
  <si>
    <t xml:space="preserve"> Republic of the Philippines PROVINCE OF NUEVA VIZCAYA Municipality of Alfonso Castañeda  BIDS AND AWARDS COMMITTEE FOR INFRASTRUCTURE PROJECTS Invitation to Bid for  CONSTRUCTION OF ONE (1) UNIT POST HARVEST FACILITY WITH MULTI-PURPOSE DRYING PAVEMENT 1</t>
  </si>
  <si>
    <t xml:space="preserve"> Republic of the Philippines PROVINCE OF NUEVA VIZCAYA Municipality of Alfonso Castañeda  BIDS AND AWARDS COMMITTEE FOR INFRASTRUCTURE PROJECTS Invitation to Bid for  CONSTRUCTION OF DRAINAGE CANAL – PRK 02 1.	The Local Government of Alfonso Castañeda, t</t>
  </si>
  <si>
    <t xml:space="preserve"> Shopping . . . .</t>
  </si>
  <si>
    <t xml:space="preserve"> 1.	The Provincial Government of Batanes, through the Provincial Appropriations Ordinance No. 03 series of 2019 intends to apply the sum of One Hundred Ninety-Nine Thousand Seven Hundred Seventy Pesos Only (₱ 199,770.00), being the Approved Budget for the </t>
  </si>
  <si>
    <t xml:space="preserve"> Shopping. . . .</t>
  </si>
  <si>
    <t xml:space="preserve"> 1.	The Provincial Government of Batanes, through the Agro-Tourism Project under Trust Fund intends to apply the sum of One Hundred Ninety Thousand Pesos Only (₱ 190,000.00), being the Approved Budget for the Contract (ABC) to payments under the contract f</t>
  </si>
  <si>
    <t xml:space="preserve"> REQUEST FOR QUOTATION No. 2020-003 The Department of Education, Taguig Integrated School, through SCHOOL BIDS and AWARDS COMMITTEE (SBAC) invites registered suppliers to submit a quotation for the hereunder project: PROJECT NAME : SUPPLY AND DELIVERY OF F</t>
  </si>
  <si>
    <t xml:space="preserve"> QTY	UNIT	ITEM DESCRIPTION 		  20.00 	unit/s	Fabrication / Installation of Streetlights</t>
  </si>
  <si>
    <t xml:space="preserve"> Request for Quotation Date:  ______________ Quotation No.______ Company Name	: _________________________________________(1) Address	           	: _________________________________________(2) VAT-TIN		:__________________________________________(3) Please q</t>
  </si>
  <si>
    <t xml:space="preserve"> QTY	UNIT	ITEM DESCRIPTION 		  1.00 	unit	Service Vehicle 		Body Type: Pick -up 		5-Speed Automatic Transmission 		At least 2.4L, 4 Cylinder Diesel Engine 		&lt;3000 cc displacement 		Max. Output: At least 145 hp/3400 rpm 		Max. Torque: At least 340 Nm/1400-2</t>
  </si>
  <si>
    <t xml:space="preserve"> The Agricultural Training Institute (ATI) invites interested suppliers to submit quotation/proposals for the hereunder requirements: Supply and Delivery of Supplies to be used of PAD for the 2nd Semester of 2020. Budget for the Contract = PHP 777,963.96. </t>
  </si>
  <si>
    <t xml:space="preserve"> 18 pcs. Bottle Sprayer 100 pcs. Colored Folder 18 pcs. Permanent Marker 36 pcs. Permanent Marker Ink 50ml 36 pcs. Highlighter 18 packs Tissue Paper 18 boxes Pencil 100 pcs. Moroccan Folder 36 pcs. Marker Refill Ink 30ml 100 pcs. Colored Sliding Folder 18 </t>
  </si>
  <si>
    <t xml:space="preserve"> BIDS &amp; AWARDS COMMITTEE  INVITATION TO BID  REPUBLIC OF THE PHILIPPINES  CITY OF GOVERNMENT OF NAVOTAS  BARANGAY NBBS KAUNLARAN  BIDS AND AWARDS COMMITTEE  1. The Sangguniang Barangay of NBBS - Kaunlaran, through its Bids and Awards Committee intends to a</t>
  </si>
  <si>
    <t xml:space="preserve"> UNIT                     QUANTITIY               DESCRIPTION REAMS                   1135                       A4 BOND PAPER SUBSTANCE 20 BOTTLE                   180                       TONER- BROTHER PHOTOCOPIER PCS                         10        </t>
  </si>
  <si>
    <t xml:space="preserve"> QTY	UNIT	ITEM DESCRIPTION	QTY	UNIT 				  55.00 	unit/s	Fabrication / Installation of Streetlights	 55.00 	unit/s</t>
  </si>
  <si>
    <t xml:space="preserve"> 1.	The Provincial Government of Batanes, through the Provincial Appropriations Ordinance No. 03 series of 2019  intends to apply the sum of One Hundred Seventy-Seven Thousand Eighty Pesos Only (₱ 177,080.00), being the Approved Budget for the Contract (AB</t>
  </si>
  <si>
    <t xml:space="preserve"> Greetings! This has reference to the above-captioned undertaking, which the Province of Cebu has the need to implement the same. In this regard and as authorized in accordance with the IRR of RA 9184, we are inviting you to participate in direct negotiati</t>
  </si>
  <si>
    <t xml:space="preserve"> Please see attached Request for Quotation</t>
  </si>
  <si>
    <t xml:space="preserve"> Interested printing services may join, at .50 cents is the ceiling price per copy</t>
  </si>
  <si>
    <t xml:space="preserve"> QTY	UNIT	ITEM DESCRIPTION 		  20.00 	lmtr	Fabrication / Installation of Streetlights</t>
  </si>
  <si>
    <t xml:space="preserve"> BIDS &amp; AWARDS COMMITTEE  INVITATION TO BID  REPUBLIC OF THE PHILIPPINES  CITY OF GOVERNMENT OF NAVOTAS  BARANGAY NBBS KAUNLARAN  BIDS AND AWARDS COMMITTEE  1. The Sangguniang Barangay of NBBS-Kaunlaran, through its Bids and Awards Committee intends to app</t>
  </si>
  <si>
    <t xml:space="preserve"> QTY	UNIT	ITEM DESCRIPTION 		  1.00 	l.s.	Demolition  48.00 	sq.m.	Improvement of Sidewalk</t>
  </si>
  <si>
    <t xml:space="preserve"> THE NATIONAL IRRIGATION ADMINISTRATION-SCIMO, THROUGH THE FUND 501 HAS THE APPROVED BUDGET FOR THE CONTRACT (ABC) AMOUNTING ONE HUNDRED EIGHTY THOUSAND FIVE HUNDRED PESOS ONLY (180,500.00).  QUOTATION RECEIVED IN EXCESS OF THE ABC SHALL BE AUTOMATICALLY R</t>
  </si>
  <si>
    <t xml:space="preserve"> QTY  UNIT  DESCRIPTION 345 pax Meals and Snacks DAY 1 Lunch Menu: Rice,  Fried Chicken, Pork Apritada, Vegetables, C2, Watermelon Snacks: Buko Juice/Lemon Juiice, Butsi, Banana DAY 2 Lunch Menu: Rice, Coco Gulay, Adobo Pork, Fish, Pineapple, C2 Snacks: Ca</t>
  </si>
  <si>
    <t xml:space="preserve"> Republic of the Philippines                CITY GOVERNMENT OF TACURONG Alunan Highway, Tacurong City Sultan Kudarat BIDS AND AWARDS COMMITTEE                  Tel nos. (064) 562-0128 / Telefax no. (064) 477 - 0138      www.tacurong.gov.ph                 </t>
  </si>
  <si>
    <t xml:space="preserve"> PR NO. 1169 – 20                                           CITY GOVERNMENT OF TACURONG                                               Alunan Highway, Tacurong City Sultan Kudarat                                      BIDS AND AWARDS COMMITTEE               </t>
  </si>
  <si>
    <t xml:space="preserve"> Republic of the Philippines PROVINCE OF NUEVA VIZCAYA Municipality of Alfonso Castañeda  BIDS AND AWARDS COMMITTEE FOR INFRASTRUCTURE PROJECTS Invitation to Bid for  CONCRETING OF MARIKIT-MULAWIN ROAD 1.	The Local Government of Alfonso Castañeda, throug</t>
  </si>
  <si>
    <t xml:space="preserve"> QTY	UNIT	ITEM DESCRIPTION 		  92.00 	lmtr	RC Pipe Laying with Manhole</t>
  </si>
  <si>
    <t xml:space="preserve"> Republic of the Philippines Province of Ilocos Sur Municipality of Quirino, Ilocos Sur Invitation to Bid for the Improvement of Patiacan FMR, Inuman, Patiacan, Quirino, Ilocos Sur 1.	The Municipality of Quirino, Ilocos Sur, through the R.A. 7171 FY 2015 F</t>
  </si>
  <si>
    <t xml:space="preserve"> INVITATION TO BID A.	The DPWH, Negros Oriental 1st District Engineering Office, Tinaogan, Bindoy, Negros Oriental now invites contractors to apply to bid for the contract(s); Contract ID # 		20HJ0120 Contract Name 	Construction/Rehabilitation of Water Sup</t>
  </si>
  <si>
    <t xml:space="preserve"> Republic of the Philippines Province of Ilocos Sur Municipality of Quirino, Ilocos Sur Invitation to Bid for the Construction of Bob-ococ Footbridge, Poblacion, Quirino, Ilocos Sur 1.	The Municipality of Quirino, Ilocos Sur, through the R.A. 7171 FY 2015 </t>
  </si>
  <si>
    <t xml:space="preserve"> 1.	The Provincial Government of Batanes, through the Provincial Appropriations Ordinance No. 03 series of 2019 intends to apply the sum of Sixty-One Thousand Four Hundred Seventy Pesos Only (₱ 61,470.00), being the Approved Budget for the Contract (ABC) t</t>
  </si>
  <si>
    <t xml:space="preserve"> Republic of the Philippines Province of Ilocos Sur Municipality of Quirino, Ilocos Sur Invitation to Bid for the Concreting/Improvement of Allibang Street, Poblacion, Quirino, Ilocos Sur 1.	The Municipality of Quirino, Ilocos Sur, through the R.A. 7171 FY</t>
  </si>
  <si>
    <t xml:space="preserve"> 800 reams BOND PAPER, A4, substance 20 8008 pieces THICK FOLDER, A4, ordinary brown or white 2000 pieces ENVELOPE, EXPANDING, LEGAL 21 pieces GLUE 240g 14 pieces STAPLER</t>
  </si>
  <si>
    <t xml:space="preserve"> PR No. 				CMD 2020-07-064							 											 	Please quote your lowest price on the item/s listed below, subject to the General Conditions, 										 stating the shortest time of delivery and submit your quotation duly signed by  your authorized 							</t>
  </si>
  <si>
    <t xml:space="preserve"> Invitation to Bid for the  SUPPLY, DELIVERY &amp; INSTALLATION OF LABORATORY FURNITURE, EQUIPMENT AND ACCESSORIES FOR CRIME LABORATORY 1.	The JH Cerilles State College, through the Trust Fund (164)-2020 invites PhilGEPS registered suppliers to bid for the SUP</t>
  </si>
  <si>
    <t xml:space="preserve"> Stock No.	Item Description	QTY.	Unit 1	Motorcycle (4.stroke, 102 cc engine, 7500rpm,    2      Units front and rear drum brakes, 114 kg., 10.5 liters tank  capacity, tube tyres, alloy wheels)</t>
  </si>
  <si>
    <t xml:space="preserve"> 50 sacks rice</t>
  </si>
  <si>
    <t xml:space="preserve"> PR NO. 1034 - 20                 CITY GOVERNMENT OF TACURONG                                             Alunan Highway, Tacurong City Sultan Kudarat                                      BIDS AND AWARDS COMMITTEE                                           </t>
  </si>
  <si>
    <t xml:space="preserve"> Republic of the Philippines Province of Ilocos Sur Vigan City Invitation to Bid for the  Construction of Post-Harvest Facility at Brgy. Lapting Sur, Nagbukel, Ilocos Sur 1.	The Provincial Government of Ilocos Sur, through the Special Budget No. 1 (RA 7171</t>
  </si>
  <si>
    <t xml:space="preserve"> Concreting of Camambugan  Barangay Road</t>
  </si>
  <si>
    <t xml:space="preserve"> Republic of the Philippines Province of Cagayan Municipality of Baggao INVITATION TO BID FOR THE PROCUREMENT OF GOODS The Barangay Canagatan, Baggao, Cagayan, through the 20% Barangay Development Fund CY 2020 intends to apply the sum of  Eighty Thousand T</t>
  </si>
  <si>
    <t xml:space="preserve"> office equipment</t>
  </si>
  <si>
    <t xml:space="preserve"> Republic of the Philippines Province of Ilocos Sur Vigan City INVITATION TO BID FOR  Supply and Delivery of an Integrated Mobile Command Center System and Platform for the PDRRMC of Ilocos Sur 1.	The Provincial Government of Ilocos Sur, through the PDRRM </t>
  </si>
  <si>
    <t xml:space="preserve"> Concreting of Tagsing to Malawog  Barangay Roads</t>
  </si>
  <si>
    <t xml:space="preserve"> Republic of the Philippines Province of Ilocos Sur Vigan City INVITATION TO BID FOR THE  Purchase &amp; Delivery of Spare Parts for the Ilocos Sur Dancing Fountain 1.	The Provincial Government of Ilocos Sur, through the GO-Repair &amp; Maintenance of Machineries </t>
  </si>
  <si>
    <t xml:space="preserve"> 1. Grade 3 English = 450,760 pages 1Q. Modules 1-12 (including 20 Buffer) Total = 295 pages x 1528 = 450,760 pages 2. Grade 3 Filipino = 675,376 pages 1Q. Modules 1-15 (including 20 Buffer) Total = 442 pages x 1538 = 675,376 pages Note: 1. Delivery is sev</t>
  </si>
  <si>
    <t xml:space="preserve"> Republic of the Philippines Province of Siquijor BIDS AND AWARDS COMMITTEE Siquijor, Siquijor Invitation to Bid for Replacement &amp; Relocation of Electrical Poles &amp; Its Accessories Affected by the PEO Widening Project at Ponong-Cang-Asa, Siquijor and Poblac</t>
  </si>
  <si>
    <t xml:space="preserve"> Republic of the Philippines Province of Ilocos Sur Vigan City Invitation to Bid for the  Development of Post-Harvest Facility at Brgy. Labut Norte, Santa, Ilocos Sur 1.	The Provincial Government of Ilocos Sur, through the Special Budget No. 1 (RA 7171), A</t>
  </si>
  <si>
    <t xml:space="preserve"> 1. Grade 5 Filipino = 314,987 pages 1Q. Modules 1-10 (including 20 Buffer) Total = 241 pages x 1307 = 314,987 pages 2. Grade 5 Music = 104,560 pages 1Q. Modules 1-4 (including 20 Buffer) Total = 80 pages x 1307 = 104,560 pages 3. Grade 5 English = 288,847</t>
  </si>
  <si>
    <t xml:space="preserve"> For use in Instructional Distance Learning for Senior High School.</t>
  </si>
  <si>
    <t xml:space="preserve"> Republic of the Philippines Province of Siquijor BIDS AND AWARDS COMMITTEE Siquijor, Siquijor Invitation to Bid for Water System Development at the Lazi Medicare Community Hospital, Lazi, Siquijor 1.	The Provincial Government of Siquijor through the Gener</t>
  </si>
  <si>
    <t xml:space="preserve"> Concreting of Tugas to Bantay Barangay Roads</t>
  </si>
  <si>
    <t xml:space="preserve"> Republic of the Philippines Province of Siquijor BIDS AND AWARDS COMMITTEE Siquijor, Siquijor Invitation to Bid for Repair/Improvement of Tourism Office, Capitol Building, Polangyuta, Siquijor &amp; Repair/Improvement of Tourism Office (Phase 2), Capitol Buil</t>
  </si>
  <si>
    <t xml:space="preserve"> Concreting of Tuburan to Conaynay Barangay Road</t>
  </si>
  <si>
    <t xml:space="preserve"> Supply and Delivery of various construction materials The Metro Midsayap Water District (MMWD) gives notice that  quotations are invited for the Supply and Delivery of various construction materials 19 bags - CEMENT (PORTLAND) 				 2 cum - SAND				 1 cum </t>
  </si>
  <si>
    <t xml:space="preserve"> Republic of the Philippines Province of Ilocos Sur Vigan City INVITATION TO BID FOR  Purchase &amp; Delivery of Heavy Duty Fast Speed Full Color Printer Line- Inkjet System with Consumables for the Reproduction of Learning Modules &amp; Self-learning Kits in Supp</t>
  </si>
  <si>
    <t xml:space="preserve"> Republic of the Philippines Province of Ilocos Sur Vigan City Invitation to Bid for the  Construction of Water System at Brgy. Cadacad, Nagbukel, Ilocos Sur 1.	The Provincial Government of Ilocos Sur, through the Special Budget No. 1 (RA 7171), Appropriat</t>
  </si>
  <si>
    <t xml:space="preserve"> 1.	The Capiz Provincial Government, through the GOP–2020 intends to apply the total amount of Three Hundred Seventy-Two Thousand Pesos (Php, 372,000.00) being the total aggregated Approved Budget for the Contract (ABC) to payments under the contract of Pu</t>
  </si>
  <si>
    <t xml:space="preserve"> 1.	The Capiz Provincial Government, through the GOP–2020 intends to apply the total amount of One Million Three Hundred Forty-Two Thousand Four Hundred Thirty-Three Pesos (Php, 1,342,433.00) being the total aggregated Approved Budget for the Contract (ABC</t>
  </si>
  <si>
    <t xml:space="preserve"> SUPPLIES FOR MODULE PRODUCTION</t>
  </si>
  <si>
    <t xml:space="preserve"> 1.	The Provincial Government of Ilocos Norte, through the General Fund  intends to apply the sum of One Million Forty Four Thousand Pesos            (Php  1,044,000.00                         ) being the Approved Budget for the Contract (ABC) to payments </t>
  </si>
  <si>
    <t xml:space="preserve"> REPUBLIC OF THE PHILIPPINES Province of Batangas MUNICIPALITY OF TALISAY BARANGAY POBLACION 3   INVITATION TO BID   The Barangay Government of Poblacion 3, through the Bids and Awards Committee (BAC) invites contractors registered with and classified by t</t>
  </si>
  <si>
    <t xml:space="preserve"> Republic of the Philippines Province of Nueva Ecija Municipality of Cuyapo OFFICE OF THE BIDS AND AWARDS COMMITTEE REQUEST FOR QUOTATION The Municipal Government of Cuyapo, Nueva Ecija  , through its Bids and Awards Committee, shall undertake a Procuremen</t>
  </si>
  <si>
    <t xml:space="preserve"> 1.	The Provincial Government of Batanes, through the Provincial Appropriations Ordinance No. 03 series of 2019 (Capital Outlay) intends to apply the sum of One Hundred Thousand Pesos Only (₱ 100,000.00), being the Approved Budget for the Contract (ABC) to</t>
  </si>
  <si>
    <t xml:space="preserve"> Supplies and Materials 1	)		10		pcs		Umbrella (Large) 2	)		150		pcs		ID Sling (Red) 3	)		1		ream		Laminating Pouch (11x8.5) 1000 pcs/pack 4	)		50		pcs		Certificate Frames (short) 5	)		50		pcs		Certificate Jacket (short) 6	)		10		packs	Sticker Paper A4  10</t>
  </si>
  <si>
    <t xml:space="preserve"> Republic of the Philippines Province of Cagayan Municipality of Baggao INVITATION TO BID FOR THE PROCUREMENT OF GOODS The Barangay Nangalinan, Baggao, Cagayan, through the 20% Barangay Development Fund CY 2018 intends to apply the sum of  Three Hundred Fi</t>
  </si>
  <si>
    <t xml:space="preserve"> Item no.  1  - 1  lot   -Starter Assembly                              - P 7,500.00  2 -  3 sets  - Brake pad                                       -    4,500.00  3 -  2 sets  - Brake shoe (Highlander)                   -    5,000.00  4 - 1 set    - Tie r</t>
  </si>
  <si>
    <t xml:space="preserve"> INVITATION TO BID The Bureau of Fisheries and Aquatic Resources Region 5 (BFAR 5), through the Government of the Philippines (GOP), for CY 2020 intends to apply the sum of Three Hundred Fifty Thousand Pesos (PhP350,000.00) only, being the Approved Budget </t>
  </si>
  <si>
    <t xml:space="preserve"> 900	ream	  Bond paper, A4 70GSM 10	tube	  RIZO INK, TUBE 5	roll	  RIZO MASTER ROLL 2	box	  TONER MP2501</t>
  </si>
  <si>
    <t xml:space="preserve"> Republic of the Philippines						 Department of Education, Central Visayas						 DIVISION OF NEGROS ORIENTAL						 DUMAGUETE CITY						 _________________ 					Date:	 Canvass Number						 _________________ 						 Name of Dealer						 _________________ 				</t>
  </si>
  <si>
    <t xml:space="preserve"> Section I. Invitation to Bid for Procurement of 1 unit 6x4 Water Truck for PGO 1. The Province of Misamis Occidental through the General Funds intends to apply the sum of Four Million Pesos (P 4,000,000.00) being the Approved Budget for the Contract (ABC)</t>
  </si>
  <si>
    <t xml:space="preserve"> 1.	The Capiz Provincial Government, through the GOP–2020 intends to apply the total amount of Two Million Nine Hundred Two Thousand Eight Hundred Thirteen Pesos &amp; 50/100 (Php, 2,902,813.50) being the total aggregated Approved Budget for the Contract (ABC)</t>
  </si>
  <si>
    <t xml:space="preserve"> Invitation to Bid for the Construction of Panay River Basin  Integrated Development Project  Package 1 -  Construction of Slope Protection at Sibaguan Creek Package 2 -  Construction of Project Facilities a.	Project Manager’s Quarter  b.  Elevated Water T</t>
  </si>
  <si>
    <t xml:space="preserve"> SUPPLY  AND DELIVERY OF OFFICE EQUIPMENT, (I.T EQUIPMENT)				 1	UNIT	LAPTOP COMPUTER		 		with specs.		 		2.11 GHz Processor		 		14 inch Display		 		4gb RAM		 		1 tb HDD		 		2gb VRAM		 		WINDOWS 10		 1	PC	WEB CAM		 1	PC	LAPTOP COOLING PAD 14"		 2	METER	HDM</t>
  </si>
  <si>
    <t xml:space="preserve"> Republic of the Philippines Region XII Province of Cotabato City of Kidapawan Barangay of Sikitan BIDS AND AWARDS COMMITTEE                                                                                                                                    </t>
  </si>
  <si>
    <t xml:space="preserve"> BACOLOD BRANCH - Fabrication and Installation of Safety Barriers ABC Php 150,000.00 Specifications attached.</t>
  </si>
  <si>
    <t xml:space="preserve"> Invitation to Bid for the Construction of Magdalena-Baladjay CIP  NIAR6-SIP-MAGDALENA-BALADJAY-CW69-20 1.	The National Irrigation Administration Regional Office VI, Iloilo City, through the Small Irrigation Projects (SIP) CY 2020 intends to apply the sum </t>
  </si>
  <si>
    <t xml:space="preserve"> Request for Quotation - Procurement and Delivery of Construction Materials for Repair/Rehabilitation of Registrar's Office</t>
  </si>
  <si>
    <t xml:space="preserve"> Catering Services for the Procurement and delivery of meals and snacks for the 2020 Census of Population and Housing (CPH) Fourth Level Training – Morong, Bataan August 17-22, 2020 (6 Days) 1. AM and PM Snack and Lunch for 6 days August 17-21, 2020 (42 pa</t>
  </si>
  <si>
    <t xml:space="preserve"> 20GID0024	PR No.: 20-06-0059 Dated 06/25/2020	Supply and Delivery of Unleaded Gasoline for Operational use of Various Grass Cutter assigned at Maintenance Section Maintenance Section of DPWH Leyte 2nd DEO,Carigara,Leyte   	848,000.00	90 CD Mode of Procure</t>
  </si>
  <si>
    <t xml:space="preserve"> Bond Paper, A4, 70 GSM - 400 reams</t>
  </si>
  <si>
    <t xml:space="preserve"> 20GID0023	PR No.: 20-06-0053 Dated 06/22/2020	Supply and Delivery of Photocopier Toner for use in Planning and Design Section of DPWH Leyte 2nd DEO, Carigara, Leyte   	258,000.00	15 CD Mode of Procurement: Alternative Method of Procurement – Shopping B  P</t>
  </si>
  <si>
    <t xml:space="preserve"> Catering Services for the Procurement and delivery of meals and snacks for the 2020 Census of Population and Housing (CPH) Fourth Level Training – Samal, Bataan August 17-22, 2020 (6 Days) 1. AM and PM Snack and Lunch for 6 days August 17-21, 2020 (45 pax</t>
  </si>
  <si>
    <t xml:space="preserve"> Catering Services for the Procurement and delivery of meals and snacks for the 2020 Census of Population and Housing (CPH) Fourth Level Training – Orion, Bataan August 24-29, 2020 (6 Days) 1. AM and PM Snack and Lunch for 6 days August 22-28, 2020 (67 pax</t>
  </si>
  <si>
    <t xml:space="preserve"> Catering Services for the Procurement and delivery of meals and snacks for the 2020 Census of Population and Housing (CPH) Fourth Level Training – Orani, Bataan August 17-22, 2020 (6 Days) 1. AM and PM Snack and Lunch for 6 days August 17-21, 2020 (79 pax</t>
  </si>
  <si>
    <t xml:space="preserve"> Catering Services for the Procurement and delivery of meals and snacks for the 2020 Census of Population and Housing (CPH) Fourth Level Training – Mariveles, Bataan August 24-29, 2020 (6 Days) 1. AM and PM Snack and Lunch for 6 days August 24-28, 2020 (17</t>
  </si>
  <si>
    <t xml:space="preserve"> Catering Services for the Procurement and delivery of meals and snacks for the 2020 Census of Population and Housing (CPH) Fourth Level Training – Limay, Bataan August 24-29, 2020 (6 Days) 1. AM and PM Snack and Lunch for 6 days August 24-28, 2020 (91 pax</t>
  </si>
  <si>
    <t xml:space="preserve"> Catering Services for the Procurement and delivery of meals and snacks for the 2020 Census of Population and Housing (CPH) Fourth Level Training – Hermoda, Bataan August 24-29, 2020 (6 Days) 1. AM and PM Snack and Lunch for 6 days August 24-28, 2020 (90 p</t>
  </si>
  <si>
    <t xml:space="preserve"> Catering Services for the Procurement and delivery of meals and snacks for the 2020 Census of Population and Housing (CPH) Fourth Level Training – Dinalupihan, Bataan August 17-22, 2020 (6 Days) 1. AM and PM Snack and Lunch for 6 days August 17-21, 2020 (</t>
  </si>
  <si>
    <t xml:space="preserve"> Service Vehicle Van</t>
  </si>
  <si>
    <t xml:space="preserve"> 3	SETS	Workstation 1-45mm Thick Partition, Top panel 300 Hmm glass with Frame, Mid Panel 150Hmm MFC, Lower Panel 750Hmm MFC, Aluminum Trims, Dimension : 1200H x 1400Wmm (T45P120140GMFC) @6 pieces; 2 Way connector post, 1200Hmm @3pcs.; End Trim 1200Hmm @ 6</t>
  </si>
  <si>
    <t xml:space="preserve"> Lot A - Office supply</t>
  </si>
  <si>
    <t xml:space="preserve"> Lot D - Medical Supply</t>
  </si>
  <si>
    <t xml:space="preserve"> Lot C - Kitchen Appliances</t>
  </si>
  <si>
    <t xml:space="preserve"> Lot B - Computer Supply</t>
  </si>
  <si>
    <t xml:space="preserve"> 1,200 pcs – N95 PPE</t>
  </si>
  <si>
    <t xml:space="preserve"> Procurement of Construction Materials for Construction of FMR</t>
  </si>
  <si>
    <t xml:space="preserve"> Procurement of office equipment</t>
  </si>
  <si>
    <t xml:space="preserve"> 42 sets printer 3in1 42 sets ink</t>
  </si>
  <si>
    <t xml:space="preserve"> INVITATION TO BID ITB NO. PB20-08 Invitation to Bid for Supply and Delivery of Two (2) Units Reefer Van in Support to KADIWA on Wheels Activities The Bureau of Fisheries and Aquatic Resources Regional Office No. 02 (BFAR-R02) of the Department of Agricult</t>
  </si>
  <si>
    <t xml:space="preserve"> Procurement of it equipment and software</t>
  </si>
  <si>
    <t xml:space="preserve"> Catering Services for the Procurement and delivery of meals and snacks for the 2020 Census of Population and Housing (CPH) Fourth Level Training –Pilar, Bataan August 24-29, 2020 (6 Days) 1. AM and PM Snack and Lunch for 6 days August 17-28, 2020 (52pax) </t>
  </si>
  <si>
    <t xml:space="preserve"> A complete set of Bidding Documents may be acquired by interested Bidders from AUGUST  11, 2020 to AUGUST 24, 2020, from 8:00AM to 12:00N and from 1:00PM to 5:00PM, Monday to Friday, and up to 9AM on the last day of the issuance and acquisition of bid doc</t>
  </si>
  <si>
    <t xml:space="preserve"> Republic of the Philippines Province of Pangasinan MUNICIPALITY OF LINGAYEN BARANGAY LIBSONG WEST Invitation to Bid for the Delivery of Solar Streetlighting  System at Barangay Libsong West, Lingayen, Pangasinan  The Barangay Libsong West, through the  Ba</t>
  </si>
  <si>
    <t xml:space="preserve"> 45 bags Brood sow Pellet 50 bags Rice bran (Fine) 15 bags Poultry Breeder Pellet 10 bags Starter Pellet  NOTE: RFQ Available @ BAC c/o BAC Secretariat</t>
  </si>
  <si>
    <t xml:space="preserve"> "Republic of the Philippines Department of Health BICOL REGIONAL TRAINING AND TEACHING HOSPITAL Legazpi City"				  Form Code	FM-ADM-BAC-05 					 				  Effectivity	September 30, 2013 					 				  Revision	0 					 					 REQUEST FOR QUOTATION					 					 Compa</t>
  </si>
  <si>
    <t xml:space="preserve"> The SANGGUNIANG BARANGAY OF BARANGAY SALA, TANAUAN CITY, BATANGAS, through the Barangay Operating Budget 2020 intends to apply the sum of Thirty Thousand Pesos Only (Php 30,000.00 ) being the Approved Budget of the Contract (ABC) to payment under the Prov</t>
  </si>
  <si>
    <t xml:space="preserve"> Please see attached file..</t>
  </si>
  <si>
    <t xml:space="preserve"> Republic of the Philippines Provincial Government of Northern Samar BIDS and AWARDS COMMITTEE REQUEST FOR QUOTATION Date: August 3, 2020 RFQ No.: 20-08-0208 Name of Supplier (Business Name): _________________________________________ Address: _____________</t>
  </si>
  <si>
    <t xml:space="preserve"> 20GID0025	PR No.: 20-06-0058 Dated 06/25/2020	Supply and Delivery of Diesel Fuel for Operational use of various service vehicle and equipment of DPWH Leyte 2nd DEO,Carigara,Leyte   	414,000.00	90 CD Mode of Procurement: Alternative Method of Procurement –</t>
  </si>
  <si>
    <t xml:space="preserve"> Republic of the Philippines Province of Leyte Municipality of Hindang Barangay Poblacion 1 INVITATION TO BID FOR THE PROCUREMENT OF MATERIALS FOR REHAB OF BRGY. MULTI-PURPOSE CENTER HALL (PHASE-III) 1. The Barangay Poblacion 1 of Hindang, Leyte , through </t>
  </si>
  <si>
    <t xml:space="preserve"> 1 Lot Purchase and Delivery of Cellcards of SB for the Month of August</t>
  </si>
  <si>
    <t xml:space="preserve"> Delivery of 950 reams of bond paper, 2 pcs gun tucker, 100 box of gun tucker staple wire and 100 pcs of duct tape 2"</t>
  </si>
  <si>
    <t xml:space="preserve"> Pls. see samples</t>
  </si>
  <si>
    <t xml:space="preserve"> Republic of the Philippines Provincial Government of Northern Samar BIDS and AWARDS COMMITTEE REQUEST FOR QUOTATION Date: August 3, 2020 RFQ No.: 20-08-0206 Name of Supplier (Business Name): _________________________________________ Address: _____________</t>
  </si>
  <si>
    <t xml:space="preserve"> 10	ream	Bond Paper (Long) 10	ream	Bond Paper (Short) 20	pack	Stationary Paper (Short) 40	pc	Folder (Long) 2	pc	Plastic Envelope w/ Handle 1	pc	External Drive 4	set	Ink Refill (Black, Cyan, Magenta, Yellow)</t>
  </si>
  <si>
    <t xml:space="preserve"> EXCAVATION CONCRETE WORKS STEEL WORKS MILL WORKS PAINTING</t>
  </si>
  <si>
    <t xml:space="preserve"> 1.        2,600          pcs.      CHB 5 X 8 X 16" 2.             42          pcs       12mm X 6M  RSB 3.           105          pcs       10mm X 6M  RSB 4.             70          pcs         9mm X 6M  RSB 5.             60          pcs       2 X 2 x 12 </t>
  </si>
  <si>
    <t xml:space="preserve"> Cellcard</t>
  </si>
  <si>
    <t xml:space="preserve"> Republic of the Philippines Provincial Government of Northern Samar BIDS and AWARDS COMMITTEE REQUEST FOR QUOTATION Date: May 26, 2020 RFQ No.: 20-05-0158 Name of Supplier (Business Name): _________________________________________ Address: _______________</t>
  </si>
  <si>
    <t xml:space="preserve"> Republic of the Philippines							     Department of Agriculture							    BUREAU OF FISHERIES AND AQUATIC RESOURCES VII							 BIDS AND AWARDS COMMITTEE (BAC) OFFICE							         Arellano Blvd., Cebu City							        Tel.No.:(032) 260-6398    E-mail:</t>
  </si>
  <si>
    <t xml:space="preserve"> As specified in the attached RFQ</t>
  </si>
  <si>
    <t xml:space="preserve"> Republika ng Pilipinas PAMAHALAANG LUNGSOD NG TACLOBAN (City Government of Tacloban) Kanhuraw Hill, Tacloban City 6500 Bids and Awards Committee INVITATION TO SUBMIT PRICE QUOTATIONS FOR THE NEGOTIATED PROCUREMENT (Small Value Procurement) OF FIXTURES BID</t>
  </si>
  <si>
    <t xml:space="preserve"> Name of Project:     Catering Services for the Procurement and delivery of meals and snacks for the 2020 Census of                               Population and Housing (CPH) Fourth Level Training – Municipality of Angat Brief Description:    The Bulacan P</t>
  </si>
  <si>
    <t xml:space="preserve"> 1. Please see attached Request for Quotation Form for details 2. RFQ Form can also be downloaded for free at www.ilocossur.gov.ph 3. Please read the General Instructions to Bidders at the attached RFQ Form</t>
  </si>
  <si>
    <t xml:space="preserve"> Projector</t>
  </si>
  <si>
    <t xml:space="preserve"> pls. see sample</t>
  </si>
  <si>
    <t xml:space="preserve"> Purchase of Supplies for COVID-19 Pandemic of Sangguniang Barangay of Banlic</t>
  </si>
  <si>
    <t xml:space="preserve"> OFFICE EQUIPMENT 1 unit 3 Ton Floor Standing Type Air conditioner Specifications: Coding Capacity - 37,000 BTU/HR 39,037 KJ/HR Rated Current - 16.98A EER - 10.05 Refrigerant - R410A Wattage - 3,885 watts Applicable area - 35-60 m2 including installation</t>
  </si>
  <si>
    <t xml:space="preserve"> I. Falsework		1	Lot 1	Rental of G.I pipes and pipe clamps			 				 	II. Tinsmithry Works			 2	Prepainted flat sheet (4'x8'x.4mm thk), baguio green		49	Pc 3	Prepainted side flashing (24" x 8' x .5mm thk),  baguio green		84	Pc 4	Prepainted gutter ( (24" x 8'</t>
  </si>
  <si>
    <t xml:space="preserve"> Desktop</t>
  </si>
  <si>
    <t xml:space="preserve"> OFFICE SUPPLIES 2,500 REAMS Paper, Mimeo, White Wove A4</t>
  </si>
  <si>
    <t xml:space="preserve"> SET OF 8 CAMERA, 1 MONITOR, 1 POWER SUPPLY, 1 UPS, WIRES AND  INSTALLATION</t>
  </si>
  <si>
    <t xml:space="preserve"> 5 pcs Acostic Board 2x6 5 pcs Fiber Cement Board 4 gal Thinner Reducer 4 gal Primer Liquid Tile 1 pail Flat Latex (16 liters)</t>
  </si>
  <si>
    <t xml:space="preserve"> Republic of the Philippines Province of Ilocos Sur Municipality of Quirino, Ilocos Sur Invitation to Bid for the Construction of Cabaroan Box Culvert, Patungcaleo, Quirino, Ilocos Sur 1.	The Municipality of Quirino, Ilocos Sur, through the R.A. 7171 FY 20</t>
  </si>
  <si>
    <t xml:space="preserve"> Republika ng Pilipinas PAMAHALAANG LUNGSOD NG TACLOBAN (City Government of Tacloban) Kanhuraw Hill, Tacloban City 6500 Bids and Awards Committee INVITATION TO SUBMIT PRICE QUOTATIONS FOR THE NEGOTIATED PROCUREMENT (Small Value Procurement) OF FURNITURE BI</t>
  </si>
  <si>
    <t xml:space="preserve"> 20GID0026	PR No.: 20- 07-0066 Dated 07/01/2020	Supply and Delivery of Diesel Fuel for operational use of service vehicle with Plate # BOZ-373 assigned at Planning and Design Section of DPWH Leyte 2nd DEO,Carigara,Leyte   	94,300.00	90 CD Mode of Procureme</t>
  </si>
  <si>
    <t xml:space="preserve"> Republika ng Pilipinas PAMAHALAANG LUNGSOD NG TACLOBAN (City Government of Tacloban) Kanhuraw Hill, Tacloban City 6500 Bids and Awards Committee INVITATION TO SUBMIT PRICE QUOTATIONS FOR THE NEGOTIATED PROCUREMENT (Small Value Procurement) OF POWER GENERA</t>
  </si>
  <si>
    <t xml:space="preserve"> EIGHT UNIT Desktop Computer with Complete Accessories and Computer Stand 		 CPU: Intel Core 13-9100F 3.60 GHz 6MB Cache Processor		 Motherboard: mAsus Prime H31) M-E		 Memory: Kingston Hyper X 8GB DDR4 2400 Mhz		 Storage: Seagate Barracuda 1 TB SATA 3.5"7</t>
  </si>
  <si>
    <t xml:space="preserve"> Procurement Terms and Conditions 1. The Total Approved Budget for the Contract (ABC) is Php76,185.20 2. Price quotation should be include of the required tax obligations. 3. Delivery period is 10 days upon receipt of Notice of Award (NOA) 4. Place of deli</t>
  </si>
  <si>
    <t xml:space="preserve"> Republic of the Philippines						 	Department of Health						 	Center For Health Development - Bicol						 	Legazpi City						 	                                                Trunk line (052) 483-5659, 483-5656 local 553 or 554 742-1728 FAX local no. 104</t>
  </si>
  <si>
    <t xml:space="preserve"> 3in1 Printer</t>
  </si>
  <si>
    <t xml:space="preserve"> Modified Farmers Field School for RiceBIS Farmers  Date/s: Batch 1 Aug 18-19,2020  Date/s: Batch 2 Aug 25-26,2020  Date/s: Batch 3 September 22-23,2020  Date/s:Batch 4 October 6-7,2020  Date/s: Batch 5 October 20-21,2020  Date/s: November 17-18,2020  No o</t>
  </si>
  <si>
    <t xml:space="preserve"> 1,500 Pcs Grafted Jackfruit Seedlings (EVIARC Sweet)</t>
  </si>
  <si>
    <t xml:space="preserve"> Please see attached file in Associated Components.</t>
  </si>
  <si>
    <t xml:space="preserve"> CONSTRUCTION/ REHABILITATION OF HEALTH CENTER AT BRGY SAN JUAN RORO, EAST DISTRICT, SORSOGON</t>
  </si>
  <si>
    <t xml:space="preserve"> 20GID0028	PR No. 20-07-0068 Dated  07/01/2020	Supply and Delivery of Diesel Fuel for operational use of service vehicle with Plate # BOZ-494 assigned at Quality Assurance Section of DPWH Leyte 2nd DEO,Carigara,Leyte   	94,300.00	90 CD Mode of Procurement:</t>
  </si>
  <si>
    <t xml:space="preserve"> FSIC Form (for Business Permit)				1000	set/pad 	FSIC Form (for Occupancy Permit)			200	set/pad 	After Inspection Report (AIR) Form			700	set/pad 						 Printing Specifications:						 	FIRE SAFETY INSPECTION CERTIFICATE (for business)					 	Size: 8.5" x 1</t>
  </si>
  <si>
    <t xml:space="preserve"> Pls. see attached file.</t>
  </si>
  <si>
    <t xml:space="preserve"> PCCP = 4.3 LANE KM, SLOPE PROTECTION= 1,000 SQM. AN DRAINAGE - 500 LNM</t>
  </si>
  <si>
    <t xml:space="preserve"> Modular bag – school in a kit program, with school logo size: 38cm H x 33 cm w expandable and water proof</t>
  </si>
  <si>
    <t xml:space="preserve"> ITEM      UNIT      QTY      DESCRIPTION</t>
  </si>
  <si>
    <t xml:space="preserve"> THE NATIONAL IRRIGATION ADMINISTRATION-SCIMO, THROUGH THE FUND 501 HAS THE APPROVED BUDGET FOR THE CONTRACT (ABC) AMOUNTING ONE HUNDRED TWENTY FIVE THOUSAND PESOS ONLY (125,000.00).  QUOTATION RECEIVED IN EXCESS OF THE ABC SHALL BE AUTOMATICALLY REJECTED.</t>
  </si>
  <si>
    <t xml:space="preserve"> Name of Project:      	Catering Services for the Procurement and delivery of meals and snacks for the 2020 Census                                  of Population and Housing (CPH) Fourth Level Training – Municipality of Balagtas Brief Description:         </t>
  </si>
  <si>
    <t xml:space="preserve"> PLease see attached RFQ</t>
  </si>
  <si>
    <t xml:space="preserve"> Procurement of Various Vegetable Seeds, Fertilizers, Insecticide and Fungicide for the Vegetable Production and Demonstration of MAGRO - Laak, Davao De Oro with an ABC of Php. 199,690.00.</t>
  </si>
  <si>
    <t xml:space="preserve"> 9 ROLL UV Treated Plastic Sheet, .004,50-54 5g 480 Pcs Seedling Tray, 128 holes</t>
  </si>
  <si>
    <t xml:space="preserve"> Supply and Delivery of Two (2) Units of Safety Vaults for SEC Head Office - OCS and SEC Bacolod Extension Office</t>
  </si>
  <si>
    <t xml:space="preserve"> 1497       SERVE      MEALS 1000       SERVE      SNACKS</t>
  </si>
  <si>
    <t xml:space="preserve"> 20GID0027	PR No. 20-07-0067 Dated  07/01/2020	Supply and Delivery of Diesel Fuel for operational use of service vehicle with Plate # SGM-593 assigned at Construction Section of DPWH Leyte 2nd DEO,Carigara,Leyte   	94,300.00	90 CD Mode of Procurement: Alte</t>
  </si>
  <si>
    <t xml:space="preserve"> Procurement Terms and Conditions 1. The Total Approved Budget for the Contract (ABC) is Php180,201.42 2. Price quotation should be include of the required tax obligations. 3. Delivery period is 10 days upon receipt of Notice of Award (NOA) 4. Place of del</t>
  </si>
  <si>
    <t xml:space="preserve"> Republic of the Philippines          City of Dumaguete Bids and Awards Committee INVITATION TO BID FOR PURCHASE REQUEST OF 7600 PCS CHB 4” 	The City of Dumaguete thru its BIDS AND AWARDS COMMITTEE (BAC), invites all interested manufacturers, suppliers, de</t>
  </si>
  <si>
    <t xml:space="preserve"> Republic of the Philippines Province of La Union Municipality of Sudipen BIDS AND AWARDS COMMITTEE Invitation to Bid for  SLOPE PROTECTION OF FARM TO MARKET ROAD (SECTOR 6) LOCATED AT BARANGAY SAN FRANCISCO NORTE, SUDIPEN, LA UNION 1. The MUNICIPALITY OF </t>
  </si>
  <si>
    <t xml:space="preserve"> Republic of the Philippines Province of La Union Municipality of Sudipen BIDS AND AWARDS COMMITTEE Invitation to Bid for  SLOPE PROTECTION OF CREEK (WAIG DAKKEL) LOCATED AT BARANGAY CASTRO, SUDIPEN, LA UNION 1. The MUNICIPALITY OF SUDIPEN, LA UNION, throu</t>
  </si>
  <si>
    <t xml:space="preserve"> Republic of the Philippines Province of Zamboanga del Sur MUNICIPALITY OF LAKE WOOD BIDS AND AWARDS COMMITTEE Invitation to Bid for Procurement of Cellphone Android use for S.B Office  in this Municipality 1.	The Local Government Unit of Lake Wood, Zamboa</t>
  </si>
  <si>
    <t xml:space="preserve"> 20GID0029	PR No. 20-07-0069 Dated  07/07/2020	Supply and Delivery of Alcohol Dispenser w/ stand and non-contact Infrared thermometer for use to fight COVID 19 of DPWH Leyte 2nd DEO,Carigara,Leyte   	259,100.00	15 CD Mode of Procurement: Alternative Method</t>
  </si>
  <si>
    <t xml:space="preserve"> I. Fire extinguishers			 1	15 lbs fire extinguisher		5	Set 2	Fire extinguisher cabinet (aluminum, single) with accessories		12	Set 				 	II. Emergency Lights			 3	Emergency lights (rechargeable twinhead, LED)		13	Set 4	THHN # 12 CU wire		5	Box 5	PDX # 12 </t>
  </si>
  <si>
    <t xml:space="preserve"> Republika ng Pilipinas PAMAHALAANG LUNGSOD NG TACLOBAN (City Government of Tacloban) Kanhuraw Hill, Tacloban City 6500 Bids and Awards Committee INVITATION TO SUBMIT PRICE QUOTATIONS FOR THE NEGOTIATED PROCUREMENT (Small Value Procurement) OF ELECTRICAL S</t>
  </si>
  <si>
    <t xml:space="preserve"> UNIT                   QUANTITY                      DESCRIPTION BOTTLE                    30                             EPSON INK BLACK T6641  BOTTLE                    15                             EPSON INK CYAN T6642 BOTTLE                    15    </t>
  </si>
  <si>
    <t xml:space="preserve"> Specifications 4 Load Cells on Top (2 Tons each) Built-in Printer for indicator (Printing Date, Time &amp; Weigh) Maximum Capacity is 500 kilos to 1 ton Stainless for Flooring Stainless Housing Indicator Stainless Screw With Thermal paper inside can print div</t>
  </si>
  <si>
    <t xml:space="preserve"> The City Government of San Pedro, Laguna invites interested parties to quote for the following item/s as per request JLAEH: Qty.	Unit of Issue	Item Description 600	pcs	Medical Oxygen Standard 100	pcs	Medical Oxygen Flusk Type Forms can be obtained from th</t>
  </si>
  <si>
    <t xml:space="preserve"> 50 bags Class B rice (50 kls/bag)</t>
  </si>
  <si>
    <t xml:space="preserve"> Republic of the Philippines Provincial Government of Northern Samar BIDS and AWARDS COMMITTEE REQUEST FOR QUOTATION Date: August 3, 2020 RFQ No.: 20-08-0210 Name of Supplier (Business Name): _________________________________________ Address: _____________</t>
  </si>
  <si>
    <t xml:space="preserve"> see associated components for downloadable RFQ 2020-249</t>
  </si>
  <si>
    <t xml:space="preserve"> Supply and Delivery of Communication Facilities (Antenna Tower for Wireless Extender) to cover all 15 Barangays of Dupax del Norte with an ABC of Php116,900.00 For further details, please see attached Purchase Request in the associated components.</t>
  </si>
  <si>
    <t xml:space="preserve"> 1. Hog grower feeds, bags, 25 2. Hog Gestating feeds, bags, 60 3. Hog Lactating feeds, bags, 30 4. Iron jectran, (10ml), btl, 30 5. Antibiotic (100ml), btl, 5 6. Syringe (fiber glass/10ml cap), pcs, 5 7. Needle #17 (10pcs/set), pck, 5 8. Needle #21 (10pcs</t>
  </si>
  <si>
    <t xml:space="preserve"> Republic of the Philippines Provincial Government of Northern Samar BIDS and AWARDS COMMITTEE REQUEST FOR QUOTATION Date: August 3, 2020 RFQ No.: 20-08-0209 Name of Supplier (Business Name): _________________________________________ Address: _____________</t>
  </si>
  <si>
    <t xml:space="preserve"> Supply and Delivery of Ambulance with Complete Accessories and LTO Registration to be used for DRRM Emergency and Rescue Operations with an ABC of Php2,350,000.00 For further details, please refer to the attached Purchase Request in the associated compone</t>
  </si>
  <si>
    <t xml:space="preserve"> Republika ng Pilipinas PAMAHALAANG LUNGSOD NG TACLOBAN (City Government of Tacloban) Kanhuraw Hill, Tacloban City 6500 Bids and Awards Committee INVITATION TO SUBMIT PRICE QUOTATIONS FOR THE NEGOTIATED PROCUREMENT (Small Value Procurement) OF FERTILIZERS </t>
  </si>
  <si>
    <t xml:space="preserve"> Name of Project	: Procurement of Two (2) units Risograph Machine Location		: Milagros,Masbate Brief Description	:&gt; Master-making/Printing Methods: High-speed digital master-making/fully automatic printing 	Originatl Type: Sheet 	Original Paper Capacity:</t>
  </si>
  <si>
    <t xml:space="preserve"> OFFICE: MUNICIPAL ENGINEERING OFFICE  PURPOSE: FOR CONSTRUCTION (BARANGAY DEVELOPMENT) ABC: 70,000.00 ITEM DESCRIPTION  1 UNIT BAGGER MIXER</t>
  </si>
  <si>
    <t xml:space="preserve"> One hundred twenty (120) pcs Notebook 100 leaves and twenty eight (28) other L/I</t>
  </si>
  <si>
    <t xml:space="preserve"> 1	PC	15.6" LAPTOP	 52,000.00 	 52,000.00  		SPEC: intel core i7-1051OU processor, 8gb DDR4 2666MHZ, 256GB SSD, 1TB 2.5 HDD, 2GB dedicated graphics, 15.6" display,  WLAN                                    ***1 YEAR WARRANTY		 7	PC	3in1 Printer w/ Built-in </t>
  </si>
  <si>
    <t xml:space="preserve"> 20GID0031	PR No. 20-07-0072 Dated  07/10/2020 	Supply and Delivery of Toner KIP 770 and KIP Roll for White Printing Machine use in printing plans at Planning and Design Section of DPWH Leyte 2nd DEO,Carigara,Leyte      	77,160.00	15 CD Mode of Procurement</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</si>
  <si>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</si>
  <si>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the Purchase of 64 pcs. Longsleeve Shirt w/ hood (w/ zipper), 64 pcs. Pearsing Cap, 64 pcs. Safety Vest, 8 units Wheel/ Walking Meter, 24 units Rubberized Bollard, 24 units Flasher &amp; 6 pcs. Traffic Cones (Collapsible) for planning &amp; Design Section, DPWH M</t>
  </si>
  <si>
    <t xml:space="preserve"> Sealed Quotation - One (1) Lot Supply, Delivery and Installation of Various Furniture for Pag-IBIG Fund Calamba TAS, Housing and Branches</t>
  </si>
  <si>
    <t xml:space="preserve"> 20GID0030	PR No. 20-07-0071 Dated  07/10/2020	Supply and Delivery of Various supplies and accessories for use in the Conduct for CY 2020 National Road Traffic Survey Program within the District of DPWH Leyte 2nd DEO,Carigara,Leyte   	704,025.00	15 CD Mode</t>
  </si>
  <si>
    <t xml:space="preserve"> 4,100 CU. M MOUNTAIN MIX</t>
  </si>
  <si>
    <t xml:space="preserve"> 400 bag Fertilizer  - (Complete 14-14-14 NPK/ha)   - 50 kg. per bag</t>
  </si>
  <si>
    <t xml:space="preserve"> Printed Modules with cover</t>
  </si>
  <si>
    <t xml:space="preserve"> Please see attached file</t>
  </si>
  <si>
    <t xml:space="preserve"> INVITATION TO BID The Bureau of Fisheries and Aquatic Resources Region 5 (BFAR 5), through the Government of the Philippines (GOP), for CY 2020 intends to apply the sum of Three Million Nine Hundred Ninety Six Thousand Five Hundred Pesos (PhP3,996,500.00)</t>
  </si>
  <si>
    <t xml:space="preserve"> 2 units - street light post</t>
  </si>
  <si>
    <t xml:space="preserve"> ITB2020-020 LBP Agoo Branch re: Establishment of LANDBANK Agoo Branch Offsite ATM at Tubao APPROVED BUDGET FOR THE CONTRACT : PHP 203,253.00 NOTES IN SUBMITTING YOUR BID PROPOSALS TO BE ATTACH IN YOUR SUBMITTED SIGNED AND SEALED QUOTATIONS: TWO SETS/COPIE</t>
  </si>
  <si>
    <t xml:space="preserve"> Republic of the Philippines Province of La Union Municipality of Sudipen BIDS AND AWARDS COMMITTEE Invitation to Bid for  SLOPE PROTECTION OF FARM TO MARKET ROAD (PALACAPAC ROAD) LOCATED AT BARANGAY PORPORIKET, SUDIPEN, LA UNION 1. The MUNICIPALITY OF SUD</t>
  </si>
  <si>
    <t xml:space="preserve"> Name of Project- Concrete Road Location- Zone 2, Brgy. Patag, Libmanan Camarines Sur Source of Fund- 20% EDf Project Description-  Dimensions- L- 86m. W- 2.0m. Thk- 0.15m. Scope of Work-  I. Item  105   II. Item 311 I. Item 105- Site Preparation    172   </t>
  </si>
  <si>
    <t xml:space="preserve"> Please quote your lowest price on the item/s listed below, stating the shortest time of delivery and						 submit your quotation duly signed by your representative not later than July 9, 2020 5PM.						 						 				Orlando A. Aycardo		 				Canvasser		 	Not</t>
  </si>
  <si>
    <t xml:space="preserve"> See attached RFQ</t>
  </si>
  <si>
    <t xml:space="preserve"> Republic of the Philippines Province of Romblon Municipality of Odiongan Bids &amp; Awards Committee Odiongan, Romblon REQUEST FOR QUOTATION Please quote your lowest price item/s below, subject to the General Conditions and Eligibility Requirements for the Bi</t>
  </si>
  <si>
    <t xml:space="preserve"> Republic of the Philippines Province of Pangasinan Municipality of Lingayen BARANGAY WAWA INVITATION TO BID  The Barangay Wawa , through the Barangay Development Fund  CY-2020       intends to apply the amount of     Five Hundred Thirty Five Thousand Six </t>
  </si>
  <si>
    <t xml:space="preserve"> Glass Jalousie Window with Aluminum Frame	 (1/4 x 4 x 22) 14-Blades	 Sliding Window with Aluminum Frame	 W = 140cm	 H =  127cm	 Sliding Window with Aluminum Frame	 W = 141cm	 H =  126cm	 Sliding Window with Aluminum Frame	 W = 121cm	 H =  127cm	 Push and </t>
  </si>
  <si>
    <t xml:space="preserve"> Republic of the Philippines DEPARTMENT OF PUBLIC WORKS AND HIGHWAYS OFFICE OF THE DISTRICT ENGINEER Aklan District Engineering Office Toting Reyes St., Kalibo, Aklan INVITATION TO BID FOR: PURCHASE OF ASPHALT MC 60/70  FOR USE IN THE MAINTENANCE OF NATION</t>
  </si>
  <si>
    <t xml:space="preserve"> Republic of the Philippines Province of La Union Municipality of Sudipen BIDS AND AWARDS COMMITTEE Invitation to Bid for  SLOPE PROTECTION OF FARM TO MARKET ROAD (SITIO IMMAYUS) LOCATED AT BARANGAY SAN JOSE, SUDIPEN, LA UNION 1. The MUNICIPALITY OF SUDIPE</t>
  </si>
  <si>
    <t xml:space="preserve"> The Bids &amp; Awards Committee (BAC) of Barangay Mandilikit, Argao, Cebu, invites all interested suppliers/manufacturers/distributors/contractors/consultants to apply for eligibility and to submit bids for the following: MATERIALS: 272 bag/s Portland Cement </t>
  </si>
  <si>
    <t xml:space="preserve"> Portland Cement = 134 bag Fine Aggregate = 10.73 cum Coarse Aggregate = 6.24 cum 10mm dia x 6m RSB = 163 pc #16 GI Tie Wire = 17.97 pc 4” CHB = 1032 pc 8mx3m ¼ THK Glass Aluminum Divider w/ Push &amp; Pull Door = 1 set 2mx1m 1/4THK Table Glass = 1 set Flatwal</t>
  </si>
  <si>
    <t xml:space="preserve"> see attached documents</t>
  </si>
  <si>
    <t xml:space="preserve"> ITEM NO.	Unit of issue	ITEM &amp;DESCRIPTION	Brand &amp; Model	QTY.	 1	length	C. Furlins		35	 2	length	Tubular 2"x3"x12"		30	 3	sheet	Metalplast roof, thickness: 3.0mm, length: 10 ft		65	 4	box	Welding rod special		10	 5	gallon	Primer oxide (color gray)		4	 6	gal</t>
  </si>
  <si>
    <t xml:space="preserve"> The Agricultural Training Institute (ATI) invites interested suppliers to submit quotation/proposals for the hereunder requirements: Provision of Meals and Snacks to be served for the 2nd Semester CY 2020 for meetings and other activities of various divis</t>
  </si>
  <si>
    <t xml:space="preserve"> Procurement Terms and Conditions 1. The Total Approved Budget for the Contract (ABC) is Php58,000.00 2. Price quotation should be include of the required tax obligations. 3. Delivery period is 10 days upon receipt of Notice of Award (NOA) 4. Place of deli</t>
  </si>
  <si>
    <t xml:space="preserve"> Bid-Opening-August 25,2020 at 2:00 P.m. at Municipal Conference Room</t>
  </si>
  <si>
    <t xml:space="preserve"> RENOVATION OF SURIGAO BRANCH OFFICE</t>
  </si>
  <si>
    <t xml:space="preserve"> 20GID0033	PR No. 20-07-0074 Dated  07/15/2020	Supply and Delivery of Grass Cutter supplies and accessories for use in the Maintenance Section Maintenance Section of DPWH Leyte 2nd DEO,Carigara,Leyte     	428,000.00	15 CD Mode of Procurement: Alternative M</t>
  </si>
  <si>
    <t xml:space="preserve"> 1. The Local Government Unit of Tabontabon, Leyte through the Budget for the contract approved by the Sanggunian intends to apply the sum of Three Hundred Fifty Thousand Pesos (Php 350,000.00) being the Approved Budget for the Contract (ABC) to payments u</t>
  </si>
  <si>
    <t xml:space="preserve"> Thirty (30) boxes Soft Drinks 1.5 L x 6s and twenty one (21) other L/I</t>
  </si>
  <si>
    <t xml:space="preserve"> 20GID0034	PR No. 20-06-0060 Dated  06/25/2020	Rental of Service Vehicle ( 4 x 2 Pick -up type for 60 days) for conduct of CY 2020 Annual Road Condition(ROCOND) Survey within the district. 	147,000.00	60 CD Mode of Procurement: Alternative Method of Procur</t>
  </si>
  <si>
    <t xml:space="preserve"> see associated components for downloadable RFQ 2020-4255</t>
  </si>
  <si>
    <t xml:space="preserve"> Please see attached RFQ and attached photos for reference.</t>
  </si>
  <si>
    <t xml:space="preserve"> Bid-Opening-August 18,2020 at 2:00 p.m. at Municipal Conference Room</t>
  </si>
  <si>
    <t xml:space="preserve"> 20GID0032	PR No. 20-07-0073 Dated  07/10/2020	Supply and Delivery of Plotter Ink for use in Printing Plans at Planning and Design Section of DPWH Leyte 2nd DEO,Carigara,Leyte        	94,800.00	15 CD Mode of Procurement: Alternative Method of Procurement –</t>
  </si>
  <si>
    <t xml:space="preserve"> SEE ATTACHED RQQ</t>
  </si>
  <si>
    <t xml:space="preserve"> Date: August 11, 12 and 13, 2020 Venue 1 with LED, 1 pax per table, 2 snacks, 1 breakfast and 1 lunch - 3 DAYS - 45 PAX Venue 2 with LED, 1 pax per table, 2 snacks, 1 breakfast and 1 lunch - 3 DAYS - 44 PAX</t>
  </si>
  <si>
    <t xml:space="preserve"> see attached rfq</t>
  </si>
  <si>
    <t xml:space="preserve"> 1	Unit	Supply and Installation of Submersible Pump motor assembly, ABC 200,000.00/unit 		Model 2366019020 7.5HP Capacity, 5.5KW 3 phase,230V,60Hz				 		21.0amp.; 3 inches diameter, min flow FT/Sec 0.5 w/ installation				 1	Unit	Electric Motor Assy. 15hp, </t>
  </si>
  <si>
    <t xml:space="preserve"> 1.PROJECT BILLBOARD/SIGNBOARD MATERIALS 32  FT.2  TARPULEN 31  BD.FT BRACE LUMBER,COCO 1 KG.COMMON WIRE  NAILS  ASSORTED  1  PC. MARINE  PLYWOOD  1/2X4X8 2. OCCUPATIONAL  SAFETY  AND HEALTH  PROGRAM 2 SET BEAWARE  MEN WORKING 2 SET  KEEP OUT  DANGER  ZONE</t>
  </si>
  <si>
    <t xml:space="preserve"> SEE ATTACHED RFQ</t>
  </si>
  <si>
    <t xml:space="preserve"> 1 ea Retransmission Unit KW941 35/70V &amp; 15 L/I</t>
  </si>
  <si>
    <t xml:space="preserve"> pls see RFQ attached</t>
  </si>
  <si>
    <t xml:space="preserve"> The Asingan Water District, through its Bids and Awards Committee, intends to apply the sum of ₱77,840.00 being the Approved Budget for the Contract (ABC) for the procurement of regular office supplies in accordance with Section 52.1(b) - Shopping of the </t>
  </si>
  <si>
    <t xml:space="preserve"> PLEASE QUOTE PER: ITEM					SUPPLIER/CONTRACTOR/CONSULTANT'S PROPOSAL BOX		 Item No.	QTY	Unit of Measure	ITEM DESCRIPTION                                                 (ITEM NAME &amp; TECHNICAL SPECIFICATIONS)	Approved Budget for the Contract (ABC)	FINANCIA</t>
  </si>
  <si>
    <t xml:space="preserve"> Invitation to Bid for Procurement of Works for the Proposed Renovation of Provincial Capitol Lobby (REBID) 1. The Provincial Government of Misamis Occidental, through the General Funds 20193 intends to apply the sum of One Million Five Hundred Twenty Thou</t>
  </si>
  <si>
    <t xml:space="preserve"> Republic of the Philippines Province of La Union Municipality of Sudipen BIDS AND AWARDS COMMITTEE Invitation to Bid for  CONCRETE PAVING OF BARANGAY ROAD (SITIO LUGALOG) LOCATED AT BARANGAY SAN FRANCISCO SUR, SUDIPEN, LA UNION 1. The MUNICIPALITY OF SUDI</t>
  </si>
  <si>
    <t xml:space="preserve"> Provision of meals served during Series of Budget Hearing on the FY 2021 Budget Hearing on the FY 2021 Budget Proposal of the Department Agriculture at the House of the Representative</t>
  </si>
  <si>
    <t xml:space="preserve"> REMINDERS: (1) SUBMISSION OF REQUEST FOR QUOTATION SHALL BE ON A SEALED ENVELOPE. THE FLAP OF THE ENVELOPE MUST BE SIGNED. THE DETAILS THAT SHOULD BE REFLECTED IN THE ENVELOPE ARE THE FOLLOWING:  a) RQ NUMBER;  b) COMPANY NAME;  c) REQUESTING UNIT; and  d</t>
  </si>
  <si>
    <t xml:space="preserve"> 1 Lot Cargo Body Repair GI Flooring replace to stainles 1.5 304 extending up to side wall, Floor joist repair and reinforcement, Door frame repair, Tail en and side revision, Door lock revision, Roof alignment Front skirt repair, Replace folding seats Dom</t>
  </si>
  <si>
    <t xml:space="preserve"> Republic of the Philippines BIDS AND AWARDS COMMITTEE FOR THE PROCUREMENT OF GOODS City of Puerto Princesa Barangay Binduyan, Puerto Princesa City INVITATION TO BID (Procurement of Goods) Purchase Request #: 2020-005-07  Date: July 3, 2020 Procuring/Fundi</t>
  </si>
  <si>
    <t xml:space="preserve"> please see attached Document (RFQ)</t>
  </si>
  <si>
    <t xml:space="preserve"> REQUEST FOR QUOTATION (RFQ) 1. Bayawan National High School – Senior High School Department hereby requests you to submit price quotation for the Supply and Delivery of Copier Paper, A4, Substance 20: Item Number	         Description	                     </t>
  </si>
  <si>
    <t xml:space="preserve"> Construction of Complete One (1) Storey Four (4) Classroom School Building with Toilet attached. This also includes Concrete Parapet, Handwashing Facility, Window Grilles, Permit and Clearances stainless steel railings, and Site Development</t>
  </si>
  <si>
    <t xml:space="preserve"> Republic of the Philippines Province of Eastern Samar Municipality of Balangkayan INVITATION TO BID FOR: UPGRADING OF LOCAL ACCESS ROAD ALONG INFRES ROAD SECTION Sitio Ca-ob, Brgy. 04, Balangkayan, E. Samar Aug. 5 - 11, 2020 The Municipal Local Government</t>
  </si>
  <si>
    <t xml:space="preserve"> PR2020-07-040 - Purchase and delivery of Office Equipment, Supplies and Consumables for use of the Office of the District Engineer, Office of the Assistant District Engineer and Procurement Unit, this office</t>
  </si>
  <si>
    <t xml:space="preserve"> Anti-COVID-19 Supplies - Php. 21,050.00 GAD - Php. 74,750.00</t>
  </si>
  <si>
    <t xml:space="preserve"> Bid-Opening-August 25,2020 at 2:00 p.m. at Municipal Conference Room</t>
  </si>
  <si>
    <t xml:space="preserve"> 1. 12 sack Rice 2. 3 sack Pilit 3. 3 sack Centrifugal Sugar 4. 4 sack Mongo 5. 3 sack White Beans 9. 4 case Tomato sauce, 115 ml, 48 pcs/case 11. 950 pcs Egg, large 12. 147 flat oil 13. 50 kg Lean meat pork 15. 75 kg S-cut pork 16. 65 kg Ground pork 19. 1</t>
  </si>
  <si>
    <t xml:space="preserve"> SET OF SELF LEARNING MODULES OF ALL SUBJECTS FOR THE SECOND QUARTER</t>
  </si>
  <si>
    <t xml:space="preserve"> Request for Quotation The Bureau of Fisheries and Aquatic Resources, Regional Office No. 5, Fabrica, Bula, Camarines Sur is requesting from prospective suppliers to submit quotation for the Supply and Delivery of Various Monitoring Supplies.   Quantity	Un</t>
  </si>
  <si>
    <t xml:space="preserve"> The City Government of Santiago invites interested parties to submit price quotation for the “SUPPLY AND DELIVERY OF MEALS AND SNACKS FOR VARIOUS ORIENTATION SEMINAR OF COOP“ City Hall, Santiago City, details as follows: ABC: Php  52,800.00 Contract Durat</t>
  </si>
  <si>
    <t xml:space="preserve"> Construction Materials.</t>
  </si>
  <si>
    <t xml:space="preserve"> Procurement Terms and Conditions 1. The Total Approved Budget for the Contract (ABC) is Php130,000.00 2. Price quotation should be include of the required tax obligations. 3. Delivery period is 10 days upon receipt of Notice of Award (NOA) 4. Place of del</t>
  </si>
  <si>
    <t xml:space="preserve"> materials for construction of  temporary quarantine facilities location: salvador, gutalac, zamboanga del norte approved budget for the contract: php373,061.50 opening of bids: august 31, 2020      2:00 pm submission of bids: on or before opening of bids </t>
  </si>
  <si>
    <t xml:space="preserve"> Republic of the Philippines PROVINCE OF BUKIDNON Municipality of Kalilangan BARANGAY KINURA OFFICE OF THE BARANGAY CAPTAIN Bids and Awards Committee (BAC) INVITATION TO BID FOR Infra 2020-02-03   The Barangay Government Unit – KINURA, Kalilangan, Bukidnon</t>
  </si>
  <si>
    <t xml:space="preserve"> FOR PHARMACY USE</t>
  </si>
  <si>
    <t xml:space="preserve"> Unit.                    Quantity.                    Item Description Reams.                  740.                            BONPAPER A4 Pieces.                     2.                              BINDING STAPLER Sets.                        29.        </t>
  </si>
  <si>
    <t xml:space="preserve"> Requesting for Quotation (RFQ) for PR No. 2006450  Interested suppliers are invited to submit Sealed Price Quotations for the above listed items. The Request for Quotation (RFQ) for may be obtained from Mr. Albert A. Camarillo City General Services Office</t>
  </si>
  <si>
    <t xml:space="preserve"> Bid-Opening-August 25,2020 at 2:00 P.M. at Municipal Conference Room</t>
  </si>
  <si>
    <t xml:space="preserve"> Procurement Terms and Conditions 1. The Total Approved Budget for the Contract (ABC) is Php80,000.00 2. Price quotation should be include of the required tax obligations. 3. Delivery period is 10 days upon receipt of Notice of Award (NOA) 4. Place of deli</t>
  </si>
  <si>
    <t xml:space="preserve"> Construction of Complete Two (2) Storey Four (4) Classroom School Building with (with concrete parapet, corridor railings at 2nd floor, steel casement window at rear portion with security grilles for the front jalousie windows, fire protection system, ove</t>
  </si>
  <si>
    <t xml:space="preserve"> Republika ng Pilipinas PAMAHALAANG LUNGSOD NG TACLOBAN (City Government of Tacloban) Kanhuraw Hill, Tacloban City 6500 Tel. Nos.  325-4053 BIDS AND AWARDS COMMITTEE 	INVITATION TO SUBMIT PRICE QUOTATIONS 1st Posting BIDSTAC # SB 039-2020 (7152411). 	     </t>
  </si>
  <si>
    <t xml:space="preserve"> see associated components for downloadable RFQ 2020-4273</t>
  </si>
  <si>
    <t xml:space="preserve"> Laboratory Supplies.</t>
  </si>
  <si>
    <t xml:space="preserve"> Part A. Plain and Reinforced Concrete Work Part B. Finishing and Other Civil Works</t>
  </si>
  <si>
    <t xml:space="preserve"> TO PURCHASE EXTERNAL HARD DRIVE FOR FACULTY USE. Item Description					Quantity	  Unit	  Estimated Unit Cost    	Estimated    Cost 								 External Hard drive					15	          pieces	   4,000.00 	                60,000.00</t>
  </si>
  <si>
    <t xml:space="preserve"> 1	unit	Desktop Computer (MPDC) 		specs:   core i5 10th gen. 4gb memory 1 tb DVD 		asus motherboard, casing, optical mouse, keyboard 19" LED  monitor 1	unit	Desktop Computer (MAO) 		specs:   core i3 10th gen. 4gb memory 1 tb DVD 		asus motherboard, casing,</t>
  </si>
  <si>
    <t xml:space="preserve"> SB Office  Quantity	Unit of Issue	Item Description 81	bags	Rice @ 50kilos/bag ABC – P 180,000.00</t>
  </si>
  <si>
    <t xml:space="preserve"> Construction of Complete Two (2) Storey Four (4) Classroom School Building (with concrete parapet, Corridor railings at 2nd floor, steel casement window at rear portion with security grilles for the front jalousie windows, fire protection system, overhead</t>
  </si>
  <si>
    <t xml:space="preserve"> The City Government of Santiago invites interested parties to submit price quotation for the “SUPPLY AND DELIVERY OF VARIOUS MATERIALS AND DEVICES FOR COVID 19 FRONTLINERS USE“ City Hall, Santiago City, details as follows: ABC: Php  149,375.00 Contract Du</t>
  </si>
  <si>
    <t xml:space="preserve"> Motor Vehicle, Passenger Van	 Transmission Type: Manual	 Engine Size: 2.8L	 No. of cylinders: 4	 No. of valves: 16	 Transmission category: 6-Speed Manual (Dash Mounted)	 Drivetrain: Rear-wheel drive	 Max Output (HP): 176hp @ 3,400rpm	 Max Torque (nm): 420</t>
  </si>
  <si>
    <t xml:space="preserve"> Requesting for Quotation (RFQ) for PR No. 2007227  Interested suppliers are invited to submit Sealed Price Quotations for the above listed items. The Request for Quotation (RFQ) for may be obtained from Mr. Albert A. Camarillo City General Services Office</t>
  </si>
  <si>
    <t xml:space="preserve"> 1.) 318 bags Thermoplastic paint, white 2.) 32 bags Glass beads 3.) 117 liters Primer 4.) 10 each Roller brush (101mm) 5.) 10 each Roller brush (152mm)</t>
  </si>
  <si>
    <t xml:space="preserve"> TO PURCHASE FLASH DRIVE FOR FACULTY USE. Item Description					Quantity	  Unit	 Estimated Unit Cost	  Estimated    Cost 								 Flashdrive- 16gb					105	          pieces	 450.00 	                 47,250.00</t>
  </si>
  <si>
    <t xml:space="preserve"> 2 PCS TIRE 395/85 R20 TUBELESS 16 FLY P98,000@ = P 196,000.00 For further information, please refer/contact to: AMELITA E. PEÑAFLOR BAC Chairman LGU Dinalupihan Email Add: amelitapeñaflor@yahoo.com Tel. No.: 047 636-0060 ISAGANI T. CHAVEZ ICO-Municipal En</t>
  </si>
  <si>
    <t xml:space="preserve"> Republic of the Philippines Provincial Government of Northern Samar BIDS and AWARDS COMMITTEE REQUEST FOR QUOTATION                      Date: August 03, 2020  RFQ No.: 20-08-0217 Name of Supplier (Business Name): _________________________________________</t>
  </si>
  <si>
    <t xml:space="preserve"> Supplies and Materials</t>
  </si>
  <si>
    <t xml:space="preserve"> 6 ea Clearing Brush &amp; 11 L/I</t>
  </si>
  <si>
    <t xml:space="preserve"> PROCUREMENT OF CLASSROOM AND OFFICE SUPPLIES FOR THE FIRST QUARTER TO SECOND QUARTER CALENDAR YEAR 2020.</t>
  </si>
  <si>
    <t xml:space="preserve"> Republic of the Philippines Province of Romblon Municipality of Odiongan Bids &amp; Awards Committee Odiongan, Romblon INVITATION TO BID  The Municipal Government of Odiongan through its Bids and Awards Committee [BAC] invites interested bidders to apply for </t>
  </si>
  <si>
    <t xml:space="preserve"> Procurement Terms and Conditions 1. The Total Approved Budget for the Contract (ABC) is Php65,000.00 2. Price quotation should be include of the required tax obligations. 3. Delivery period is 10 days upon receipt of Notice of Award (NOA) 4. Place of deli</t>
  </si>
  <si>
    <t xml:space="preserve"> The City Government of Santiago invites interested parties to submit price quotation for the “SUPPLY AND DELIVERY OF VARIOUS SUPPLIES AND MATERIALS FOR HALFWAY HOME FOR GIRLS AND BALAY NAMNAMA YOUTH HOME FOR BOYS“ City Hall, Santiago City, details as foll</t>
  </si>
  <si>
    <t xml:space="preserve"> Construction of sanitary toilet facilities and water facilities</t>
  </si>
  <si>
    <t xml:space="preserve"> 1 REGION XII Province of Cotabato Municipality of Midsayap BIDS &amp; AWARDS COMMITTEE Tel. Nos. (064) 229-8018; 229-8650; 229-8450 INVITATION TO BID FOR  2020-083, CONCRETTING OF FARM TO MARKET ROAD FROM PUROK 2 TO PUROK 7,  BALIKI, MIDSAYAP, COTABATO 1. The</t>
  </si>
  <si>
    <t xml:space="preserve"> School Supplies</t>
  </si>
  <si>
    <t xml:space="preserve"> Risograph Machine, Toner &amp; Master Roll</t>
  </si>
  <si>
    <t xml:space="preserve"> see associated components for downloadable RFQ 2020-4274</t>
  </si>
  <si>
    <t xml:space="preserve"> Republic of the Philippines Province of Negros Occidental Municipality of Pontevedra BIDS AND AWARDS COMMITTEE INVITATION TO BID  (infrastructure) 	The Municipality of Pontevedra, Negros Occidental through its Bids and Awards Committee (BAC), invites all </t>
  </si>
  <si>
    <t xml:space="preserve"> 3 units - Full Truss-1; 3 units - Ridge Truss &amp; 3 spans - Roofing</t>
  </si>
  <si>
    <t xml:space="preserve"> Republic of the Philippines Province of Negros Oriental City of Bais Barangay: CAMBUILAO        BIDS AND AWARD COMMITTEE INVITATION TO APPLY FOR ELIGIBILITY AND TO BID 	The Barangay Government of Barangay__ Cambuilao       , Bais City invites interested s</t>
  </si>
  <si>
    <t xml:space="preserve"> Hard component of the Sustainable Livelihood for Disaster Affected Areas at Rizal, Kalinga on August 2020 Bakery Livelihood establishment 1.  1 set Stainless Stationary oven (fabricated) 12 pans capacity; 2 layer dimension; gas operation (gas tank not inc</t>
  </si>
  <si>
    <t xml:space="preserve"> Republic of the Philippines							 Province of Davao del Sur							 Municipality of Malalag							 							 		BIDS AND AWARDS COMMITTEE					 		CANVASS/REQUEST FOR QUOTATION					 		For Shopping &amp; Small value Procurement					 						4-Aug-20	 ________________</t>
  </si>
  <si>
    <t xml:space="preserve"> The Government of the Philippines (GOP) has received a loan from World Bank towards the cost of Philippine Rural Development Project, and it intends to apply part of the proceeds of this Loan to payments for the Procurement of Food and Venue for the Condu</t>
  </si>
  <si>
    <t xml:space="preserve"> Republic of the Philippines									 REGION IX      									 PROVINCE OF ZAMBOANGA DEL SUR									 Pagadian City     									 BIDS AND AWARDS COMMITTEE  									 Provincial Capitol, Pagadian City									 									 INVITATION FOR SUBMISSION OF QUOTATI</t>
  </si>
  <si>
    <t xml:space="preserve"> 20GID0035	PR No. 20-07-0075 Dated  07/28/2020	Supply and Delivery of Safety Shoes and Jacket with hood for use in RoCOND survey and/or inspection of proposed and on-going projects within the district. 	639,000.00	15 CD Mode of Procurement: Alternative Met</t>
  </si>
  <si>
    <t xml:space="preserve"> Invitation to Bid for Procurement of Civil Works for the Rehabilitation of Bahay Pag-asa Development Center 1. The Provincial Government of Misamis Occidental, through the General Funds 20203 intends to apply the sum of Two Million Six Hundred Eleven Thou</t>
  </si>
  <si>
    <t xml:space="preserve"> Books</t>
  </si>
  <si>
    <t xml:space="preserve"> see associated components for downloadable RFQ 2020-4281</t>
  </si>
  <si>
    <t xml:space="preserve"> The City Government of Santiago invites interested parties to submit price quotation for the “SUPPLY AND DELIVERY OF ELECTRICAL SUPPLIES FOR RESCUE OPERATION OF DRRMO“ City Hall, Santiago City, details as follows: ABC: Php  60,900.00 Contract Duration: 14</t>
  </si>
  <si>
    <t xml:space="preserve"> 1 REGION XII Province of Cotabato Municipality of Midsayap BIDS &amp; AWARDS COMMITTEE Tel. Nos. (064) 229-8018; 229-8650; 229-8450 INVITATION TO BID FOR  2020-091, CONCRETING OF PAVEMENT AND DRAINAGE CANAL AT POBLACION 5, MIDSAYAP,  COTABATO 1. The MUNICIPAL</t>
  </si>
  <si>
    <t xml:space="preserve"> Scope of Works: Critical Care Type and Rescue Two (2) Units Collapsible Stretcher including guide rail and locks Two (2) Units Oxygen Tank &amp; Holder 15lbs Two (2) Units O2 gauge Two (2) Units Medicine cabinet Two (2) Units spine board with spider strap Two</t>
  </si>
  <si>
    <t xml:space="preserve"> QTY    UNIT    DESCRIPTION    DAYS 7        packs   Meals for Lunch   37 7        packs   Morning Snacks   37 7        packs   Afternoon Snacks 37</t>
  </si>
  <si>
    <t xml:space="preserve"> Purchase of Seedlings</t>
  </si>
  <si>
    <t xml:space="preserve"> 1	20000	pieces	Printing and Delivery of Wall Calendar with Metal Hanger Hook 			Pages: 12 Pages (1 month/page) 			Size: 18 inchesx 24 inches 			Paperstock: bookpaper #40 			Colors: Full color all pages 			Process: 4-color printing offset - Calendar templa</t>
  </si>
  <si>
    <t xml:space="preserve"> Please see attached  Request for Quotation</t>
  </si>
  <si>
    <t xml:space="preserve"> Requesting for Quotation (RFQ) for PR No. 2007191  Interested suppliers are invited to submit Sealed Price Quotations for the above listed items. The Request for Quotation (RFQ) for may be obtained from Mr. Albert A. Camarillo City General Services Office</t>
  </si>
  <si>
    <t xml:space="preserve"> Construction/Rehabilitation of Water Supply/Septage and Sewerage/Rain Water Collectors</t>
  </si>
  <si>
    <t xml:space="preserve"> Two hundred three (203) pcs Celox and forty eight (48) pcs Plasma Expander</t>
  </si>
  <si>
    <t xml:space="preserve"> Description   Continuation of plain cement finish wall plastering, installation of tiles, construction of additional toilet and septic tank, and painting of Brgy. Hall building. Project Cost: 350,000.00 Source of Funds: 2019 DF Cost of Material: 280,850.0</t>
  </si>
  <si>
    <t xml:space="preserve"> Please see attached Invitation to Bid</t>
  </si>
  <si>
    <t xml:space="preserve"> 2,950 liters diesel location: vice mayor's office, gutalac, zamboanga del norte approved budget for the contract: php135,000.00 opening of bids: august 13, 2020     2:00 pm submission of bids: on or before opening of bids non refundable fee for bidding do</t>
  </si>
  <si>
    <t xml:space="preserve"> REPUBLIC OF THE PHILIPPINES		 			                   PROVINCE OF SIQUIJOR		 					 			                MUNICIPALITY OF SIQUIJOR		 			                 REQUEST FOR QUOTATION		 					 			                                                                       Date</t>
  </si>
  <si>
    <t xml:space="preserve"> Invitation to Bid No. 2020-03 Procurement of Various I.T. Equipment 1. The West Visayas State University- Janiuay Campus, through Fund 164intends to apply the sum of ONE MILLION TWENTY-SEVEN THOUSAND FIVE HUNDRED PESOS (PhP1,027,500.00) being the Approved</t>
  </si>
  <si>
    <t xml:space="preserve"> EQUIPMENT REEQUIRED:                                              SUPERVISION REQUIREMENTS: -1 UNIT ELECTRIC JACKHAMMER                                          - 1 CONSTRUCTION FOREMAN -1 UNIT SPEED CUTTER - 1 UNIT PORTABLE CONCRETE VIBRATOR  SCOPE OF WO</t>
  </si>
  <si>
    <t xml:space="preserve"> .                               - Republic of the Philippines CITY OF MARIKINA SF-GOOD-05											Mkna-GSO-20-336                               Revised on: July 28, 2004				 														 	BIDS AND AWARDS COMMITTEE		 NOTICE OF PROPOSED PROCUREMENT The </t>
  </si>
  <si>
    <t xml:space="preserve"> Name of Project:      	Catering Services for the Procurement and delivery of meals and snacks for the 2020 Census                                  of Population and Housing (CPH) Fourth Level Training – Municipality of Baliuag Brief Description:         	</t>
  </si>
  <si>
    <t xml:space="preserve"> 1 ea Compressor (5 Tonner) &amp; 4 L/I</t>
  </si>
  <si>
    <t xml:space="preserve"> REGION XII Province of Cotabato Municipality of Midsayap BIDS &amp; AWARDS COMMITTEE Tel. Nos. (064) 229-8018; 229-8650; 229-8450 INVITATION TO BID FOR  2020-095, SUPPLY AND DELIVERY OF VETERINARY MEDICINES TO PREVENT THE SPREAD OF AFRICAN  SWINE FEVER (ASF) </t>
  </si>
  <si>
    <t xml:space="preserve"> 1	1" x 100mtr. PE Pipe, SDR 11, ISO			                  1	roll 2	1/2" x 300mtr. PE Pipe, SDR 11, ISO			                  1	roll 3	1 1/2" x 6mtr. GI Pipe, sch. # 40, heavy duty	                  3	pcs 4	50mm x 1" CI Saddle Clamp			                        2</t>
  </si>
  <si>
    <t xml:space="preserve"> Procurement of Office Appliances and Supplies 1. Television (50", smart tv complete set/accessories (bracket, satellite dish for signal and sound bar)) - 1 unit 2. Water Dispenser - 1 unit 3. Rice Cooker - 1 unit  4. wall clock (big) - 1 unit</t>
  </si>
  <si>
    <t xml:space="preserve"> Detailed Estimates Attached</t>
  </si>
  <si>
    <t xml:space="preserve"> 2 units 2 HP Window Type Air-conditioner at 29,000 each 1 unit 1.5 HP Window Type Air-conditioner at 24,700 2 units Steel Filing Cabinet, 4 drawers at 7,975 each</t>
  </si>
  <si>
    <t xml:space="preserve"> Requesting for Quotation (RFQ) for PR No. 2007249  Interested suppliers are invited to submit Sealed Price Quotations for the above listed items. The Request for Quotation (RFQ) for may be obtained from Mr. Albert A. Camarillo City General Services Office</t>
  </si>
  <si>
    <t xml:space="preserve"> Item 200</t>
  </si>
  <si>
    <t xml:space="preserve"> TERMS AND CONDITIONS:						 1. All entries must be typewritten or legibly written. 					 2. Delivery period within ________3 days____________________ upon receipt of the approved  funded Purchase Order (P.O.).   				 3. Warranty shall be for a minimum of </t>
  </si>
  <si>
    <t xml:space="preserve"> 1 set chainsaw 2 pcs. shovel 2 pcs. rake 1 pc. hoe 1 pc. pick ax 1 pc. bolo</t>
  </si>
  <si>
    <t xml:space="preserve"> Requesting for Quotation (RFQ) for PR No. 2007148   Interested suppliers are invited to submit Sealed Price Quotations for the above listed items. The Request for Quotation (RFQ) for may be obtained from Mr. Albert A. Camarillo City General Services Offic</t>
  </si>
  <si>
    <t xml:space="preserve"> sulies and materials</t>
  </si>
  <si>
    <t xml:space="preserve"> ***Please see attached</t>
  </si>
  <si>
    <t xml:space="preserve"> 1 unit KOPPEL 3TONS FLOOR MOUNTED INVERTER AC INSTALLATION CHARGE:  EXCESS 450 PER FOOT  EXCESS UNIT 41 FEET 1 unit BOSTON BAY 3TONS INVERTER FLOOR MOUNTED AC INSTALLATION CHARGE: 3 units BOSTON BAY 2HP SPLIT TYPE INVERTER EXCESS 39 FEET 1 unit BOSTON BAY</t>
  </si>
  <si>
    <t xml:space="preserve"> I. REMOVAL OF EXISTING LINE CANAL II. EXCAVATION III. LINED CANAL      A. STRUCTURAL CONCRETE      B.  REINFORCING STEEL</t>
  </si>
  <si>
    <t xml:space="preserve"> Construction Materials &amp; Supplies-Cement,Gravel 3/4 dia,Sand</t>
  </si>
  <si>
    <t xml:space="preserve"> Supply and Delivery of various mechanical fittings for potable water The Metro Midsayap Water District (MMWD) gives notice that  quotations are invited for the Supply and Delivery of  various mechanical fittings for potable water 6 pcs - 8"  MECHANICAL SL</t>
  </si>
  <si>
    <t xml:space="preserve"> see associated components for downloadable RFQ 2020-4285</t>
  </si>
  <si>
    <t xml:space="preserve"> Repair and Maintenance</t>
  </si>
  <si>
    <t xml:space="preserve"> The City Government of San Pedro, Laguna invites interested parties to quote for the following item/s as per request OM: Qty.	Unit of Issue	Item Description 		Admin Office 1	unit	2.5 HP Wall Mounted 1	lot	Installation of 2.5 HP Wall Mounted 1	lot	Chipping</t>
  </si>
  <si>
    <t xml:space="preserve"> 244 pax AM Snacks 250 heads Lunch 245 pax PM Snacks</t>
  </si>
  <si>
    <t xml:space="preserve"> 1.) 54 drum Penetrating asphalt, 85-100 2.) 10 each Gloves 3.) 8 each Traffic cone</t>
  </si>
  <si>
    <t xml:space="preserve"> The Bids &amp; Awards Committee (BAC) of Barangay Bulasa, Argao, Cebu, invites all interested suppliers/manufacturers/distributors/contractors/consultants to apply for eligibility and to submit bids for the following: PCCP (Unreinforced), 0.15m thick DIRECT C</t>
  </si>
  <si>
    <t xml:space="preserve"> Procurement of supply and delivery of Agricultural Supplies 50	Cu.m.	Decompose rice hull 70	pcs	Plastic pots round 30 cm 50	pcs	Plastic pots round 20 cm 10,000	pcs	Polyethylene bag (6x8inches) 0.003mm PR# 2020-1195</t>
  </si>
  <si>
    <t xml:space="preserve"> PLEASE SEE ATTACHED RFQ.</t>
  </si>
  <si>
    <t xml:space="preserve"> Reproduction of Activity Sheet  (Kinder, Grades I-VI), SY 2020-2021 Quantity:  119,042 pp</t>
  </si>
  <si>
    <t xml:space="preserve"> Reproduction of self learning modules. A4 size printing including bond papers.</t>
  </si>
  <si>
    <t xml:space="preserve"> Republic of the Philippines Region XII Province of Cotabato City of Kidapawan OFFICE OF THE BIDS AND AWARD COMMITTEE August 5, 2020 INVITATION TO BID FOR  SUPPLY, DELIVERY AND INSTALLATION OF MULTI-FUNCTION FULL COLOR INKJET PRINTER FOR THE PRINTING AND R</t>
  </si>
  <si>
    <t xml:space="preserve"> OFFICE: VICE MAYOR'S OFFICE PURPOSE: FOR THE SANGGUNIANG BAYAN OFFICE USE ABC: 120,000.00 ITEM DESCRIPTION    1 UNIT LAPTOP    (SPECIFICATIONS)  CPU: CORE i5 PROCESSOR: i5 - 7300HQ CHIPSET: INTEL HM175 EXPRESS CHIPSET RAM: 8GB MEMORY TYPE: DDR4 SDRAM MEMO</t>
  </si>
  <si>
    <t xml:space="preserve"> Requesting for Quotation (RFQ) for PR No. 2006296  Interested suppliers are invited to submit Sealed Price Quotations for the above listed items. The Request for Quotation (RFQ) for may be obtained from Mr. Albert A. Camarillo City General Services Office</t>
  </si>
  <si>
    <t xml:space="preserve"> 1.  12 pcs Tire 215/70 R16 C 2.  12 pcs Tire 195 R15 C   ----------Nothing Follows---------- Purpose: for CDRRMO use End-User: CDRRMO</t>
  </si>
  <si>
    <t xml:space="preserve"> program of work for the proposed project, "IMPROVEMENT OF DRAINAGE CANAL BLOCK 1 PUROK 14 LOWER" at Irisan Barangay, Baguio City.</t>
  </si>
  <si>
    <t xml:space="preserve"> 2 - units: 2.5 SPLIT TYPE ACU INVERTER (WITH INSTALLATION) Please see attached RFQ for your references.																	 																	 Purpose: for use in the DICT-MC3 Operation Division																	 																	 Note: All deliveries by the s</t>
  </si>
  <si>
    <t xml:space="preserve"> BOND PAPERS, INK REFILLS, AND OTHER SUPPLIES</t>
  </si>
  <si>
    <t xml:space="preserve"> TO CONSTRUCT STONE MASONRY SLOPE PROTECTION OF PIGGERY</t>
  </si>
  <si>
    <t xml:space="preserve"> Installation of Cyclone Wire Fence in Antiao Creek</t>
  </si>
  <si>
    <t xml:space="preserve"> Fund Cluster:101 Date:July 27, 2020</t>
  </si>
  <si>
    <t xml:space="preserve"> see associated components for downloadable RFQ 2020-4294</t>
  </si>
  <si>
    <t xml:space="preserve"> I.   SIGNAGE  II.  DISCHARGE PIPELINES AND APPURTENANCES  III. REHABILITATION OF WATER DISTRIBUTION PIPELINES SYSTEM INCLUDING FLUSHING AND            DISINFECTION</t>
  </si>
  <si>
    <t xml:space="preserve"> Request for DRONE Please see attached RFQ form for more details Please submit your quotations through email to psu.pcoo@gmail.com</t>
  </si>
  <si>
    <t xml:space="preserve"> 1 unit LAPTOP Computer AMD Ryzen 7 3750H 8GB DDR4 memory 1TB HDD + 256GB PCle SSD Nvidia Geforce GTX1660Ti GDDR6 6GB 15.6" FHD Windows 10 or equivalent</t>
  </si>
  <si>
    <t xml:space="preserve"> ITEM NO.	QTY.	UNIT	ITEMS &amp; DESCRIPTION	 				 1	20	units	Mechanical Bed w/ Side Rails and Table	 2	20	units	IV Pole w/ 2 Hooks	 3	20	units	Bedside Cabinet, 2 drawers	 4	20	pcs	Metal Chart Holder</t>
  </si>
  <si>
    <t xml:space="preserve"> SCHEDULE OF ACTIVITIES: BID EVALUATION - SEPTEMBER 8, 2020 POST QUALIFICATION - SEPTEMBER 10, 2020 NOTICE OF AWARD - SEPTEMBER 14, 2020 NOTICE TO PROCEED - SEPTEMBER 21, 2020</t>
  </si>
  <si>
    <t xml:space="preserve"> Procurement of supply and delivery of Agricultural Supplies 200	container	Molasses, 20 liters/container 30	sack	Rice bran @ 50kg/sack PR# 2020-55 (TRUST)</t>
  </si>
  <si>
    <t xml:space="preserve"> 6       BOX        TESTING KIT FOR CORONA VIRUS/SARS-COV 2, 25'S</t>
  </si>
  <si>
    <t xml:space="preserve"> Procurement of Chilling Tub, Evisceration &amp; Inspection Table, Scalding &amp; Complete De-plucking Table, Chicken Feather Plucking Machine, Commercial Ice Maker Machine and Automatic Vacuum Sealer for Marketing / Post Harvest Support Under the Native Chicken E</t>
  </si>
  <si>
    <t xml:space="preserve"> Procurement of 4 Cubic Chest Freezer Quantity: 4 units Specifications:    -4 cubic ft. Chest Freezer    -Dual Function (Freezer or Chiller)    -8 Level frontal temperature control</t>
  </si>
  <si>
    <t xml:space="preserve"> Sir/Madam:				      Please quote your government price/s including delivery charges, VAT or other applicable taxes, and other incidental expenses for the item/s listed in Annex A.  Also, furnish us with descriptive brochures, catalogues, literatures and/o</t>
  </si>
  <si>
    <t xml:space="preserve"> SCHOOL AND OFFICE SUPPLIES           86315.00</t>
  </si>
  <si>
    <t xml:space="preserve"> PLEASE SEE ATTACHMENT</t>
  </si>
  <si>
    <t xml:space="preserve"> To provide catering services for the conduct of Peer Education Training in Koronadal City on August 26-29, 2020.</t>
  </si>
  <si>
    <t xml:space="preserve"> Requesting for Quotation (RFQ) for PR No.  2007187-A Interested suppliers are invited to submit Sealed Price Quotations for the above listed items. The Request for Quotation (RFQ) for may be obtained from Mr. Albert A. Camarillo City General Services Offi</t>
  </si>
  <si>
    <t xml:space="preserve"> Bond Paper Long(Cactus) Bond Paper Short (Cactus) Pentel Pen (Pilot) White Board Pen Ballpen (panda)(Flex stick) Printer Ink(EPSON 001)(Black) Printer Ink (Magenta, Cyan, Yellow) Folder Long (White) Double Sided Tape Cartolina Neon (Assorted) Singer Oil (</t>
  </si>
  <si>
    <t xml:space="preserve"> Name of Project:      	Catering Services for the Procurement and delivery of meals and snacks for the 2020 Census                                  of Population and Housing (CPH) Fourth Level Training – Municipality of Bocaue Brief Description:         	T</t>
  </si>
  <si>
    <t xml:space="preserve"> PLEASE SEE ATTACHED FILE FOR REFERENCE</t>
  </si>
  <si>
    <t xml:space="preserve"> ¬ REQUEST FOR QUOTATION (RFQ)  SUPPLY, DELIVERY AND INSTALLATION OF COUNTER COVER FOR RECEIVING (RECORDS SECTION) RFQ NO. EMB-EMB-PGSS 2020-0102-08-4-2020 PR NO.2020-0667   1.	The Department of Environment and Natural Resources – Environmental Management </t>
  </si>
  <si>
    <t xml:space="preserve"> Republic of the Philippines DEPARTMENT OF PUBLIC WORKS AND HIGHWAYS BOHOL III DISTRICT ENGINEERING OFFICE REGIONAL OFFICE VII Guindulman, Bohol INVITATION TO BID FOR GOODS July 30, 2020 The Department of Public Works and Highways-Bohol 3rd District Engine</t>
  </si>
  <si>
    <t xml:space="preserve"> 10 pcs. #6 steel matting 20 length 1 1/2" G.I. pipe S40 15 length 3/16" x 1" x 1" angle bar 10 kg welding rod 9 pcs corrugated G.I sheet 2 gal metal primer 1 gal paint thinner</t>
  </si>
  <si>
    <t xml:space="preserve"> Cordillera Administrative Region										 Provincial Government of Kalinga										 										 BIDS AND AWARDS COMMITTEE										 										 Invitation to Bid										 										 1.	The Provincial Government of KALINGA, through the Approved Budget for</t>
  </si>
  <si>
    <t xml:space="preserve"> RFQ No. 2020-_________ 					                                                       					Date:_________________ REQUEST FOR QUOTATION SUPPLY &amp; DELIVERY OF MISCELLANEOUS EXPENSES FOR 3rd QUARTER, 2020 IN THE OFFICE OF THE MUNICIPAL MAYOR The Municipal Gover</t>
  </si>
  <si>
    <t xml:space="preserve"> Republic of the Philippines Province of Negros Oriental Municipality of Siaton Office of the Bids and Awards Committee Siaton Town Hall, Siaton, Negros Oriental INVITATION TO APPLY FOR ELIGIBILITY AND TO BID The Municipality of Siaton Office of the Bids a</t>
  </si>
  <si>
    <t xml:space="preserve"> Item No.	Description	Unit	Quantity 1	#6 AWG Wire THHN Stranded 	Mtr.	120 2	#10 AWG Wire THHN Stranded	Mtr.	150 3	PVC Pipe 1” Ø Orange	Pc.	20 4	PVC Pipe ¾” Ø Orange	Pc.	20 5	PVC Long Elbow 1” Ø	Pc.	20 6	PVC Long Elbow ¾” Ø	Pc.	20 7	PVC Square box with cove</t>
  </si>
  <si>
    <t xml:space="preserve"> Request for Proposal  The Bureau of Fisheries and Aquatic Resources Regional Office No. 5 (BFAR RO 5), Fabrica, Bula, Camarines Sur is requesting from prospective suppliers to submit written proposal for the Supply and Delivery of RFIQU Tactical Pants, Fi</t>
  </si>
  <si>
    <t xml:space="preserve"> Republic of the Philippines DEPARTMENT OF PUBLIC WORKS AND HIGHWAYS Regional Office No. IV-A Cavite 1st District Engineering Office Trece Martires City Name of Procuring Entity : DPWH-CDEO, TMC Purchase Request (P.R. No.) : 20-07-064 Revised on : Date : J</t>
  </si>
  <si>
    <t xml:space="preserve"> Aspire 3 A315-42G-R1FE Laptop Workforce WF-7111 Wifi-Duplex Inkjet Printer Desktop PC APC Back Up UPS BX1400U-MS 700W/1400VA Photocopying Machine</t>
  </si>
  <si>
    <t xml:space="preserve"> 4 units computer repair and maintenance 7 unit aircon repair maintenance and labor cost 6 units printer repair and labor cost 3 units UPS for computer 4 bots armorall big 2 units tire for dmax 8 cans air freshener (glade) 8 cans car freshener 2 boxes elem</t>
  </si>
  <si>
    <t xml:space="preserve"> 1.	 1 	unit/s	Laptop - Inspiron 5584 Core i7 			        Intel Core i7-8565U Processor(8mb Cache, up to 4.6GHz) 			        8GBx1, DDR4, 2666MHZ / 1TB 5400 rpm 2.5" SATA 			        Hard Drive + 128GB C35 M.2 SSD/ NVIDIA GeForce 			        MX150 4GB GDDR5/ W</t>
  </si>
  <si>
    <t xml:space="preserve"> To provide catering services for the conduct of Training on Vaccines, Cold Chain and Logistics Management on august 25-28, 2020 in Koronadal City.</t>
  </si>
  <si>
    <t xml:space="preserve"> 1.  1 unit LAPTOP      Processor Type: Core i5; Memory: 8GB RAM      Hard Drive: 250 GB      Graphics Card: 512 MB Video Memory or higher      Operating System: Windows 10 Home or Pro 2.  1 unit PRINTER      wifi, all-in-one tank printer; high-yield in bo</t>
  </si>
  <si>
    <t xml:space="preserve"> 1	50mm x 6mtr. uPVC Pipe, S-10, with RR			45	pcs 2	50mm x 6mtr. GI Pipe, sch.# 40, heavy duty		1	pc 3	100mm x 100mm CI Tee, m/m			                1	pc 4	100mm CI Gibault Joint			                        2	pcs 5	100mm x 50mm CI Reducer, m/m			        1	pc 6</t>
  </si>
  <si>
    <t xml:space="preserve"> Item	Quantity	Unit	ARTICLES					Estimated Unit Cost 								 1	6	galon	Alcohol, Isoprophyl 70%, galon					 550.00  2	100	pack	Cellophane Bag (clear) - 24" x 30". 100pcs/pack (thick)					 300.00  3	150	pack	Cellophane Bag (trash bag) 181/2 x 181/2, XL, 10'</t>
  </si>
  <si>
    <t xml:space="preserve"> Construction Materials &amp; Supplies-Cement,Gravel 3/4 dia,Sand,10mm RSB</t>
  </si>
  <si>
    <t xml:space="preserve"> Fabrication of Spare parts</t>
  </si>
  <si>
    <t xml:space="preserve"> Venue of Activity: RRCY Compound No. of Pax: 140 Date of Activity: September 18, 2020 Scope of Works: * one buffet meal &amp; 2 snacks (meals: 2 meat dish, 1 veg / noodles, soup, dessert/ fruits, rice &amp; drinks) Serving time: AM snacks-10am Lunch-12 noon, snac</t>
  </si>
  <si>
    <t xml:space="preserve"> 1.) 270 bags Portland cement 2.) 90 cu.m. Sand 3.) 99.94 cu.m. Gravel Fill 4.) 9 cu.m. Boulders</t>
  </si>
  <si>
    <t xml:space="preserve"> PROJECT: IMPROVEMENT OF COVERED COURT METAL CLADDING PHASE 1 &amp; 2 LOCATION: BARANGAY DUTUNG A MATAS, CONCEPCION APPROVED BUDGET FOR THE CONTRACT: PHP 253,425.00 SOURCE OF FUND: 10% SK FUND The contract to be performed by the successful bidder shall be spec</t>
  </si>
  <si>
    <t xml:space="preserve"> Section I. Invitation to Bid INVITATION TO BID  DA8-Goods-2020-50 (PR No. RICE 20-07-27-0928) 1.	The Department of Agriculture-Regional Field Office No. 8, through the RICE 2020-C.O intends to apply the sum of One Million Four Hundred Fifty Seven Thousand</t>
  </si>
  <si>
    <t xml:space="preserve"> PROVINCE OF CAGAYAN Municipality of Claveria Barangay KILKILING INVITATION TO BID August 4, 2020 Barangay Kilkiling, Claveria, Cagayan intends to apply the sum of ONE HUNDRED TWENTY FIVE THOUSAND EIGHT HUNDRED FIFTY PESOS ONLY (125,850.00) being the Appro</t>
  </si>
  <si>
    <t xml:space="preserve"> 1000        PACK         TOOTHPASTE 25G 1000        PC             TOOTHBRUSH 1500        PC             BATHSOAP (SACHET) 1050        PC             SET OF SHAMPOO (PER SACHET)</t>
  </si>
  <si>
    <t xml:space="preserve"> QTY.	UNIT	ITEM &amp; DESCRIPTION		TOTAL 7,200 	containers	MINERAL WATER		 252,000.00 												 Specifications/Conditions:			 				 *Supplier must provide:								 - 5 hot and cold water dispenser (free usage) for the duration of the contract							 - an upd</t>
  </si>
  <si>
    <t xml:space="preserve"> INVITATION TO BID FOR SUPPLY AND PRINTING OF SEED TAG OF BPI-NSQCS XI 1. The Bureau of Plant Industry-Davao National Crop Research Development and Production Support Center (BPI-DNCRDPSC) intends to apply the sum of Two Hundred Eighty-Eight Thousand Pesos</t>
  </si>
  <si>
    <t xml:space="preserve"> Invitation to Bid for Procurement of Goods for Repainting of Capitol Old and New Building (Exterior Surface) 1. The Province of Misamis Occidental through the General Funds intends to apply the sum of One Million Nine Hundred Seventy-three Thousand Six Hu</t>
  </si>
  <si>
    <t xml:space="preserve"> AIP/SIP  No.	APP/ PPMP No.	PARTICULARS		Unit	Quantity	Unit Price	Total	Tax	Net Cash Payment IV.2		INK REFILL (subscription)		UNIT	6	 1,500.00 	 9,000.00 	 450.00 	 8,550.00  III.3		FACE MASK 		PCS	300	 14.72 	 4,416.00 		 4,416.00  I.5		ECCD CHECKLIST		SE</t>
  </si>
  <si>
    <t xml:space="preserve"> Procurement of IT Parts and Accessories for the Internet Connection of the different offices Office of the Municipal Mayor   1. USB Wifi Adapter - 1 pc. 2. Gigabit Router Share/Office - 1 pc. 3. Gigabit Switch Share/Office - 1 pc. 4. 3 in 1 router - 1 uni</t>
  </si>
  <si>
    <t xml:space="preserve"> Purchase of Fire Fighter Equipment</t>
  </si>
  <si>
    <t xml:space="preserve"> Purchase &amp; Delivery of Alcohol for LGU 100 Gallon Alcohol</t>
  </si>
  <si>
    <t xml:space="preserve"> Parameters: Overall Dimension: 5230x1880x4320mm Curb Weight: 1870kg GVW: 6195kg Engine: Wheelbase: 2765mm Model: 4KH1 Displacement: 2.99l Horsepower: 120hp Emission Standard: Euro4 Chassis: Axle Loads: double axles Real axle ratio: 6.142 Tire: 7.00R16-14P</t>
  </si>
  <si>
    <t xml:space="preserve"> Procurement of ICT Equipment              For official use of Panglao Island Restoration and Rehabilitation Project - CENRO Tagbilaran City	  	 Cellphone	16 units</t>
  </si>
  <si>
    <t xml:space="preserve"> 1-LOT REPLACEMENT OF SLIDING GLASS WINDOW (WITH INSTALLATION # 12 WINDOWS   SIZE: WXH 55" X 32" X 5/16" Please see attached RFQ for your references.																	 																	 Purpose: for use in the DICT-MC3 Regional Office OPERATION DIVISION				</t>
  </si>
  <si>
    <t xml:space="preserve"> COMPUTER SET Specifications: -Form Factor: Mini Tower -Operating System: Windows 10 Professional 64bit -Processor: Intel Core i7 or i5 -Memory: 16GB DDR4, Four (4) Memory Slots; Upgrade uo to 64GB -Hard Disk Drive: a. 1TB sata3 7200RPM                    </t>
  </si>
  <si>
    <t xml:space="preserve"> Requesting for Quotation (RFQ) for PR No. 2007141  Interested suppliers are invited to submit Sealed Price Quotations for the above listed items. The Request for Quotation (RFQ) for may be obtained from Mr. Albert A. Camarillo City General Services Office</t>
  </si>
  <si>
    <t xml:space="preserve"> One (1) Lot – Hiring of Service Provider for the  Crafting of the Documents Necessary for the BSP Head Office’s Certification under the Building for Ecologically Responsive Design Excellence - Green Building Rating Scheme (BERDE-GBRS) for Operations, as p</t>
  </si>
  <si>
    <t xml:space="preserve"> To support the proc of Two Hundred (200) ea Alcohol, Isoprophyl and 10 other L/I for use in the "Check C" Sched Maint of F-27 acft with tail nr 259.</t>
  </si>
  <si>
    <t xml:space="preserve"> see associated components for downloadable RFQ 2020-4305</t>
  </si>
  <si>
    <t xml:space="preserve"> Reproduction of Activity Sheet from Kinder, Grades I-Grades VI SY 2020-2021 Total Quantity:  79,540 pages</t>
  </si>
  <si>
    <t xml:space="preserve"> 4	Un	Roll-up Door, manual operated, 2.6 x 3 with installation  		 		 		 		 		Requirements: 		1. Mayor’s/Business Permit 		2. PhilGEPS Registration Number</t>
  </si>
  <si>
    <t xml:space="preserve"> Please see attached</t>
  </si>
  <si>
    <t xml:space="preserve"> SURGICAL MASK, ALCOHOL, HAND SOAP, COVERALL HAZMAT SUIT</t>
  </si>
  <si>
    <t xml:space="preserve"> 5	YRD	SATIN RIBBON 10	ROLL	DOUBLE AHESIVE TAPE  15	REAM	BOND PAPER LONG 4	BOT	EPSON INK 1	BOX	FASTENER 3	REAM	BOOK PAPER A4 2	BOX	PAPER CLIP 2	BOX	OIL PASTEL 2	PC	CONNECTOR JACK 1	PC	CALCULATOR 10	PCS	FOLDER SHORT WITH PLASTIC COVER 3	PC	ILLUSTRATION BOAR</t>
  </si>
  <si>
    <t xml:space="preserve"> 1000 rms   Bond Paper s-20, A4 250 bxs     Paper fastener-plastic 9630 pcs   Folder Ord. A4  2179 pcs   Plastic envelope expanded with handle 8 bxs       Toner for Rizo 4 bxs       Master for Rizo  12 bts     Epson Printer Ink Black  4 btls      Brother I</t>
  </si>
  <si>
    <t xml:space="preserve"> ABC = P 68,000.00 Labor and Materials Repair of ISUZU BOOM TRUCK (CR3732) -	Painting Portion of Body -	Repair of front bumper -	Repair of aircon -	Replacement of clutch Assy. -	Repair of brake system -	Repair of brake lining CHANGE OIL	 Diesel Oil	3gal Oi</t>
  </si>
  <si>
    <t xml:space="preserve"> Negotiated Procurement pursuant to Section 53.9 (Small Value Procurement) of the Revised Implementing Rules and Regulations (IRR) of Republic Act No. 9184 (RA 9184), which took effect on September 2, 2009. Sir/Madam:				      Please quote your government </t>
  </si>
  <si>
    <t xml:space="preserve"> various  contraction supplies and materials</t>
  </si>
  <si>
    <t xml:space="preserve"> BGU- Aquino ,KALILANGAN, BUKIDNON					Project Reference Number:	AMP/Nego 2020-08-005(001)	 Standard Form Number: SF-GOOD-60					Name of the Project:	Pontor (Water System) Barangay Ninoy Aquino, Kalilangan, Bukidnon	 Revised on: May 24, 2004					Location o</t>
  </si>
  <si>
    <t xml:space="preserve"> Republic of the Philippines							 PROVINCE OF ZAMBOANGA SIBUGAY							 Municipality of Talusan							 -7012-							 							 							 MUNICIPAL BIDS AND AWARDS  COMMITTEE							 REQUEST FOR QUOTATION							 SMALL VALUE PROCUREMENT							 NOTICE TO THE PUBL</t>
  </si>
  <si>
    <t xml:space="preserve"> Requesting for Quotation (RFQ) for PR No. 2007084  Interested suppliers are invited to submit Sealed Price Quotations for the above listed items. The Request for Quotation (RFQ) for may be obtained from Mr. Albert A. Camarillo City General Services Office</t>
  </si>
  <si>
    <t xml:space="preserve"> The City Government of Santiago invites interested parties to submit price quotation for the “SUPPLY AND DELIVERY OF CONSTRUCTION MATERIALS AND SUPPLIES FOR CONSTRUCTION/IMPROVEMENT OF SEEDLING NURSERY FACILITIES“ City Hall, Santiago City, details as foll</t>
  </si>
  <si>
    <t xml:space="preserve"> Requesting for Quotation (RFQ) for PR No. 2006343  Interested suppliers are invited to submit Sealed Price Quotations for the above listed items. The Request for Quotation (RFQ) for may be obtained from Mr. Albert A. Camarillo City General Services Office</t>
  </si>
  <si>
    <t xml:space="preserve"> Republic of the Philippines Province of Leyte MUNICIPALITY OF TABANGO Invitation to Bid for Construction of Food Court @ Tabango Seafront Park/ Plaza 	 Brgy. Poblacion, Tabango, Leyte 1.	The Local Government of Tabango, through the Supplemental Budget No.</t>
  </si>
  <si>
    <t xml:space="preserve"> see associated components for downloadable RFQ 2020-4306</t>
  </si>
  <si>
    <t xml:space="preserve"> The ISU Cabagan, Isabela invites registered suppliers to submit bid quotations/bid proposal of the items listed in the attached RFQ. Submit your bid quotations / bid proposal duly signed by you or your authorized representative with certified true copies </t>
  </si>
  <si>
    <t xml:space="preserve"> SUBMISSION OF QUOTATION SHALL BE ON AUGUST 7,2020 @ 1:00PM At Municipal Building Anda Pangasinsan.</t>
  </si>
  <si>
    <t xml:space="preserve"> 1ST SEMESTER Venue of activity: RRCY Compound No. of Pax - 43 Date of Activity: August 27 &amp; 28, 2020 Scope of services: * one buffet meal and 2 snacks (meals: 2 meat dish, 1 veg. / noodles, soup, dessert / fruits, rice &amp; drinks) Serving Time: AM snacks - </t>
  </si>
  <si>
    <t xml:space="preserve"> Construction Projects-Housing &amp; Resettlement Project Access Road to LGU Lot No. 2793, Mabua, Tandag City</t>
  </si>
  <si>
    <t xml:space="preserve"> Quantity	Unit of 	Item Description					Stock	Estimated	Estimated 	 Issue						No.	Unit Cost	Cost 20	Cart.	Brother LC3617 Black Cartridge					1	 1,000.00 	 20,000.00  20	Cart.	Brother LC3617 Cyan Cartridge					2	 1,000.00 	 20,000.00  20	Cart.	Brother LC36</t>
  </si>
  <si>
    <t xml:space="preserve"> 1	pc.	Steel Pipe 1.5 x #40	3	3600.00 2	pc.	Angle bar 3/16 x 1.5	10	8500.00 3	bx	Welding Rod J38	1	600.00 4	kg	Steel Pipe 1.25 x #40	3	3300.00 5	kg	Steel Plate #14	1	1235.00 6	bdft	Flat bar 3/16 x 1"	4	1200.00 7	bdft	Cutting disk	8	400.00 8	bag	Cement	15	3</t>
  </si>
  <si>
    <t xml:space="preserve"> Specifications: &gt;Printing Services ONLY. Bond papers will be provided by DepEd - CDO &gt;DepEd - CDO will provide 940 reams of legal size, 70gsm, substance 20 bond papers &gt;10,000 copies per module &gt;Delivery of modules will be directly to the District Offices</t>
  </si>
  <si>
    <t xml:space="preserve"> To provide catering services for the conduct of EPI Basic Skills Training on august 31 to September 4, 2020 in Koronadal City.</t>
  </si>
  <si>
    <t xml:space="preserve"> Qoutation Ctrl #:	20-07-008 						 REQUEST FOR QUOTATION						 PROCUREMENT OF ANTI VIRUS SOFTWARE						 						 Name						 						 Address						 						 Please qoute your lowest price on the item/s listed, subject to the conditions stated below, stating the </t>
  </si>
  <si>
    <t xml:space="preserve"> Invitation to Bid No. 2020-03 Republic of the Philippines Batangas City Invitation to Bid for the Purchase of Various Medicines for the use of Barangay Pallocan West, Batangas City. The Barangay Government through the Office of the Brgy. Chairman intends </t>
  </si>
  <si>
    <t xml:space="preserve"> Name of Project:      	Catering Services for the Procurement and delivery of meals and snacks for the 2020 Census                                  of Population and Housing (CPH) Fourth Level Training – Municipality of Bulakan Brief Description:         	</t>
  </si>
  <si>
    <t xml:space="preserve"> 1 pc Outdoor Projector (ABC – 65,000) Specifications: NTSC: 480 lines PAL: 576 lines Input Signal:NTSC / NTSC4.43 / PAL / M-PAL / N-PAL / PAL60 / SECAM Interfaces : HDMI x 1 Composite video: RCA (Yellow) x 1 Audio in: RCA x 1 (White / Red) USB connector T</t>
  </si>
  <si>
    <t xml:space="preserve"> INVITATION TO BID FOR PURCHASE OF OFFICE EQUIPMENTS, OFFICE SUPPLIES, DEVICES, AND CONSUMABLES FOR VARIOUS OFFICES  1.	The Municipality of Ubay, through the Annual Budget C.Y. 2020 (General Fund) intends to apply the sum of Two Million Nine Hundred Ninety</t>
  </si>
  <si>
    <t xml:space="preserve"> *MET - THC URINE DRUG TEST KIT W/ URINE CONTAINER 25's (111 sets)  *Please see attached canvass form.</t>
  </si>
  <si>
    <t xml:space="preserve"> 1. LAPTOP    -5pcs SPECS: Processor: l+C13:C24 Intel® Celeron® N3060 (1.6 GHz base frequency(2b), up to 2.48 GHz burst frequency(2c), 2 MB cache, 2 cor Chipset: SoC Memory: 4 GB DDR3L-1600 SDRAM (1 x 4 GB) Hard Drive: 500 GB 5400 rpm SATA Operating System</t>
  </si>
  <si>
    <t xml:space="preserve"> Please quote your lowest price inclusive of VAT on the item/s listed below, subject to the Terms and Conditions of this RFQ, and submit your quotation duly signed by your representative not later than August 10, 2020 at Bids and Awards Committee, Lantapan</t>
  </si>
  <si>
    <t xml:space="preserve"> REPUBLIKA NG  PILIPINAS									 KAGAWARAN NG EDUKASON									 REHIYON XI									 SANGAY NG LUNGSOD NG DABAW									 LUNGSOD NG DABAW									 PUROK NG TIBUNGCO									 SIXTO BABAO ELEMENTARY SCHOOL									 									 JUNE 19,2020									 				 					 </t>
  </si>
  <si>
    <t xml:space="preserve"> Republic of the Philippines Provincial Government of Northern Samar BIDS and AWARDS COMMITTEE REQUEST FOR QUOTATION                      Date: August 03, 2020  RFQ No.: 20-08-0219 Name of Supplier (Business Name): _________________________________________</t>
  </si>
  <si>
    <t xml:space="preserve"> The Department of Environment and Natural Resources, PENRO, Ipil, Zamboanga Sibugay through its Bids and Awards Committee, intends to procure labor services: Rehabilitation of Main Entrance, Electrical Wiring at Conference Room, and Installation of Centra</t>
  </si>
  <si>
    <t xml:space="preserve"> 1.	20	box/es	Acetylcstiene 600mg sachet 10s 2.	20	bottle/s	Aluminum Magnesium 200mg/100mg per 5ml susp. 60ml 3.	50	bottle/s	Amoxicillin 250mg suspension 60ml 4.	30	bottle/s	Ascorbic acid syrup  60ml 5.	3	box/es	Captopril 25 mg tablet 100s 6.	30	bottle/s	C</t>
  </si>
  <si>
    <t xml:space="preserve"> QTY. 	UNIT	ITEM &amp; DESCRIPTION					TOTAL  1 	lot	Hardware Supplies					 70,285.00 		 		Inclusions:					 			25	pc	GI PIPE SCHD 20 1 1/4"Ø x 20'				 			75	pc	SHEVEL CLAMP		 			10	pc	HACKSAW BLADE			 			3	kg	WELDING ROD (ORDINARY)		 			42	m²	HEAVY DUTY TARPAU</t>
  </si>
  <si>
    <t xml:space="preserve"> 1,750 rounds Ammo 9mm 200 pcs Ammo 12 gauge shotgun cartridge 300 rounds Ammo Cal.380 40 pcs Target Board 10 pcs Earmuffs/Earplugs 11 pcs Shooting glasses/safety glasses 150 rounds Ammo Cal. 0.25</t>
  </si>
  <si>
    <t xml:space="preserve"> 20 YARDS DIRT TRAP MATTING 500 PIECES DOOR MAT-SQUARE, WEAVED NOTE: ALL NEW SUPPLIER ARE REQUIRED TO SUBMIT THE FOLLOWING DOCUMENT. 1. DTI Registration 2. SEC Registration 3. Current Mayor's Permit 4. Certificate of Registration from B.I.R/TIN number. 5. </t>
  </si>
  <si>
    <t xml:space="preserve"> EXTERIOR CEILING (SPANDRELL WORKS AT SECOND FLOOR-MAIN BUILDING)</t>
  </si>
  <si>
    <t xml:space="preserve"> SEE ATTACHED DOCUMENT.</t>
  </si>
  <si>
    <t xml:space="preserve"> MINDANAO STATE UNIVERSITY			Reference Nos.                           	637-20/06-24-2020 Fatima, General Santos City			Project Name:	 			Location:________________________	 REQUEST FOR QUOTATION				 __________________________			Date :  July 10, 2020	       </t>
  </si>
  <si>
    <t xml:space="preserve"> Fabrication and Installation  of stainless cut-out letter and log (A.P.U) &amp; R1mc Annex Frontage) Location: r1MC Annex, Bonuan Binloc, Dagupan City Individual Program of Works A.	Masonary Works (Labor and Materials) A.	1.5” chb non load bearing   22,162.56</t>
  </si>
  <si>
    <t xml:space="preserve"> BIDS AND AWARDS COMMITTEE							 								 	REQUEST FOR QUOTATION 							 								 	The Local GovernmentUnit of Barangay Kipit, Labason, Z.N. , invite all interested registered 							 supplier to submit qoutation for materials for the Construction of 2.40</t>
  </si>
  <si>
    <t xml:space="preserve"> INVITATION TO BID FOR  Supplies &amp; Delivery of  Materials   CONSTRUCTION OF MULTI PURPOSE HALL(PHASE III) Labit ,  Villasis, Pangasinan 1.	The Local Government of  Labit, Villasis,  Pangasinan, intends to apply the sum  of (P288,553.75)  being the Approved</t>
  </si>
  <si>
    <t xml:space="preserve"> THE NATIONAL IRRIGATION ADMINISTRATION-SCIMO, THROUGH THE FUND 501 HAS THE APPROVED BUDGET FOR THE CONTRACT (ABC) AMOUNTING TWO HUNDRED FIFTY THOUSAND PESOS ONLY (250,000.00).  QUOTATION RECEIVED IN EXCESS OF THE ABC SHALL BE AUTOMATICALLY REJECTED. INTER</t>
  </si>
  <si>
    <t xml:space="preserve"> Requesting for Quotation (RFQ) for PR No. 2007205  Interested suppliers are invited to submit Sealed Price Quotations for the above listed items. The Request for Quotation (RFQ) for may be obtained from Mr. Albert A. Camarillo City General Services Office</t>
  </si>
  <si>
    <t xml:space="preserve"> Office Supplies and Devices See attached document.</t>
  </si>
  <si>
    <t xml:space="preserve"> Number: 	Quantity: 	 1	15	unit		Smartphone	Processor: 1.8 ghz multi-core or higher; RAM: 6 GB or higher; Storage: 64 GB or higher; GPU: PowerVR GE8320 or higher equivalent; Display: 16.5 cm multi-touch capacitive screen w/ 2340x1080 pixel at 394ppi; GPS/A</t>
  </si>
  <si>
    <t xml:space="preserve"> Republic of the Philippines Province of Quezon Municipality of Atimonan Barangay Talaba Project Reference No: 2020 Name of the Project: Purchase of Relief Goods Location of the Project:  Barangay Talaba, Atimonan, Quezon REQUEST FOR QUOTATION-SHOPPING (Se</t>
  </si>
  <si>
    <t xml:space="preserve"> Republic of the Philippines          City of Dumaguete Bids and Awards Committee INVITATION TO BID FOR PURCHASE REQUEST OF 4 PCS PRINTER, PRINT, SCAN &amp; COPY AND OTHER ITEMS 	The City of Dumaguete thru its BIDS AND AWARDS COMMITTEE (BAC), invites all inter</t>
  </si>
  <si>
    <t xml:space="preserve"> AIP/SIP  No.	APP/PPMP No.	PARTICULARS			Quantity	Unit	Unit Price	Total	Tax	Net 3.3	A.6.1	fidelity 			 1 	 pax 	 1,500.00 	 1,500.00 	 -   	 1,500.00  3.4	A.3.1 	CHECK BOOKLET 			 1 	 pad 	 500.00 	 500.00 	 -   	 500.00  3.4	A.1.1	PAYMENT FOR OPENING OF B</t>
  </si>
  <si>
    <t xml:space="preserve"> Please refer to the attached Request for Quotation. Thank you.</t>
  </si>
  <si>
    <t xml:space="preserve"> *WHISTLE - Heavy Duty (10 pcs) *RAIN COAT - Jacket &amp; Pants, Free size, Good Quality, Thick (10 sets) *RAIN BOOTS - Free Size, Thick, Good Quality (10 sets) *SEARCH LIGHT - 10W, 24 LED, 3500mAh SEALED LEAD ACID BATTERY, 220-240V AC, 50/60 Hz, Rechargeable </t>
  </si>
  <si>
    <t xml:space="preserve"> Furnishing/ delivering of Acrylic lighted build-up name with 2 acrylic lighted logo's with installation ***** Nothing follows *****</t>
  </si>
  <si>
    <t xml:space="preserve"> 1	unit	laptop</t>
  </si>
  <si>
    <t xml:space="preserve"> REQUEST FOR QUOTATION					 _______________________________________				Date	July 20, 2020                         Name of Supplier				Quotation No.:  	2020-143 _______________________________________					                               Adrdress					 					  </t>
  </si>
  <si>
    <t xml:space="preserve"> 1.	Filing Steel Cabinet (4 drawers with door and lock) (color Gray)	-6pcs 2.	Plastic Storage Organizer Box (120 L)	-50pcs		 3.	Office table	-22pcs         Specification:         1. 120(W) x 57.5(D) x 74(H) cm         2. Color: Gray         3. With 4 Drawe</t>
  </si>
  <si>
    <t xml:space="preserve"> Invitation to Apply for Eligibility and to Bid The barangay Bubual, San Pablo, Zamboanga del Sur, through its Bids &amp; Awards Committee (BAC) invite suppliers to apply and to bid for the hereunder project: Name of Project: Fuels for road graveling from boud</t>
  </si>
  <si>
    <t xml:space="preserve"> Requesting for Quotation (RFQ) for PR No. 2006442  Interested suppliers are invited to submit Sealed Price Quotations for the above listed items. The Request for Quotation (RFQ) for may be obtained from Mr. Albert A. Camarillo City General Services Office</t>
  </si>
  <si>
    <t xml:space="preserve"> 1	PC	MARINE PLYWOOD 2	PCS	METAL PARING 50	PCS	BLIND RIVETS 1	BAG	GROUT 1	BAG	ADHESIVE CEMENT 10	PCS	FLOOR TILES 2	PCS	GI PIPE 1 1/2 1	BAG	CEMENT 1	KL	WELDING ROD 6	PCS	SQUARE BAR 10MM 1	LITER	METAL PRIMER 1	GAL	LATEX PAINT</t>
  </si>
  <si>
    <t xml:space="preserve"> Republic of the Philippines Province of Sultan Kudarat Municipality of Bagumbayan OFFICE OF THE BIDS AND AWARDS COMMITTEE Bagumbayan, Sultan Kudarat INVITATION TO BID FOR THE PROCUREMENT OF 1 UNIT AMBULANCE 1.	The Municipal Government of Bagumbayan, throu</t>
  </si>
  <si>
    <t xml:space="preserve"> Name of Project:      	Catering Services for the Procurement and delivery of meals and snacks for the 2020 Census                                  of Population and Housing (CPH) Fourth Level Training – Municipality of Bustos Brief Description:         	T</t>
  </si>
  <si>
    <t xml:space="preserve"> lot 1 25 sacks rice 200 kilos pilit 6 sacks sugar 15 doz milo 25 packs milk 10 kilos bolinao 25 doz juice lot 2 65 klos pork 50 kilos bressed chicken lot 3 150 kilos pancit  5 gal tuyo 25 liters oil 5 kilos asin 2 gal vinegar 16 packs Magic Sarap 60 cubes</t>
  </si>
  <si>
    <t xml:space="preserve"> Province of Isabela Municipality of Jones Request for Quotation Solicitation No. SVP-2020-19    	The Municipality of Jones, thru the Bids and Awards Committee, will undertake a Small Value Procurement for the “Supply and Delivery of Laboratory Supply at P</t>
  </si>
  <si>
    <t xml:space="preserve"> Paper, copy, 70gsm, legal, 216mm x 330mm						90	ream	 19,430.10  Paper, copy, 70gsm, A4, 210mm x 297mm						18	ream	 2,506.14  Inkjet Printer, 3n1						6	unit	 51,999.78  Printer Ink, Inkjet Printer						71	bottle	 23,679.92  Parchment Paper						13	pack</t>
  </si>
  <si>
    <t xml:space="preserve"> MINDANAO STATE UNIVERSITY			Reference Nos.                           	634-20/06-25-2020 Fatima, General Santos City			Project Name:	 			Location:________________________	 REQUEST FOR QUOTATION				 __________________________			Date :  July 10, 2020	       </t>
  </si>
  <si>
    <t xml:space="preserve"> see attached file</t>
  </si>
  <si>
    <t xml:space="preserve"> Section I. Invitation to Bid Republic of the Philippines Province of Sultan Kudarat Municipality of Bagumbayan OFFICE OF THE BIDS AND AWARDS COMMITTEE Bagumbayan, Sultan Kudarat INVITATION TO BID FOR PROCUREMENT FOR THE 4,440 LITERS OF DIESOLINE FOR THE A</t>
  </si>
  <si>
    <t xml:space="preserve"> 10 PIECES HEAVY DUTY DOCUMENT SCANNER  RENT TO OWN for 5 Months  * Automatic Two-Sided Scanning * Automatic Document Feeder * 3-color LED technology * Capacity: 50 sheets * Scan documents up to 8.5"x 14" * Scanning Speed: 25 ppm simplex, 10 ipm duplex NOT</t>
  </si>
  <si>
    <t xml:space="preserve"> H E A D Q U A R T E R S								 108TH CONTRACTING OFFICE								 ARMED FORCES OF THE PHILIPPINES PROCUREMENT SERVICE								 Camp Lukban, Catbalogan City								 								 108COX						Date:	4-Aug-20	 								 REQUEST FOR QUOTATION								 								 SIR/MADA</t>
  </si>
  <si>
    <t xml:space="preserve"> 1-LOT: CONSTRUCTION MATERIALS (PLS SEE ATTACHED RFQ)  Purpose: for use in the DICT-MC3 Regional Office STORE ROOM																 																	 Note: All deliveries by the suppliers shall be subject to inspection and acceptance by the inspection commi</t>
  </si>
  <si>
    <t xml:space="preserve"> To support for the procurement of three (3) gallons Epoxy Primer with PN: MIL-PRF-2377/FS 1105/Akzo Nobel 10P8-11/EC-286 and 3 other L/I for use of N22B.</t>
  </si>
  <si>
    <t xml:space="preserve"> COMPREHENSIVE PREVENTIVE MAINTENANCE FOR THE AUDIO VISUAL SYSTEM AT THE CAFETERIA, MARBLE HALL AND OSMENA THEATER OF THE BUREAU OF THE TREASURY 1.	PROJECT TITLE Comprehensive Preventive Maintenance for the Audio Visual System at the Cafeteria, Marble Hall</t>
  </si>
  <si>
    <t xml:space="preserve"> *PEN - Sign Pen 0.5mm, Black (50 pcs) *PEN - Sign Pen 0.5mm, Blue (50 pcs) *PEN - Sign Pen 0.7mm, Black (30 pcs) *PEN - Sign Pen 0.7mm, Blue (30 pcs) *CLIPS - Binder Clip 2", 50mm, 12's (10 boxes) *PEN - Ballpen, Ordinary, Black, 50's/box (4 boxes) *PAPER</t>
  </si>
  <si>
    <t xml:space="preserve"> Procurement of Vehicle Repair &amp; Maintenance						 Purchase Requested by the City General Services Office, Tabaco City						 						 To Interested Suppliers, Manufacturers and Distributors,						 						 Please quote your lowest price/s on the lot or item/s </t>
  </si>
  <si>
    <t xml:space="preserve"> Lot 1 571 cover meals Lot 2 4 head leachon pig 1 head  pig @65 kilos 1 head Pig @ 70 kilos 4 head chicken  Lot 3 100 pcs plastic Leaves 50 pcs Plastic Leaves 20 meter Cloth (Rainbow colors) 4 pcs Floral foam 4 pcs party poppers 2 rolls ribbon 14 pcs Plast</t>
  </si>
  <si>
    <t xml:space="preserve"> OFFICE: MUNICIPAL HEALTH OFFICE PURPOSE: FOR MEDICAL OUTPATIENT SERVICES ABC: 50,000.00 ITEM DESCRIPTION 500 BOT PARACETAMOL 250/5ML SYRUP 500 BOT PARACETAMOL DROPS 100ML 250 BOT CETIRIZINE DROPS 25MG 250 BOT CETIRIZINE SUSPENSION 60ML</t>
  </si>
  <si>
    <t xml:space="preserve"> Construction of Cabasan Pallay Road</t>
  </si>
  <si>
    <t xml:space="preserve"> 1	Un	Transformer, 10KVA 5	Pcs	Connector, Compression, YHO 150 5	Pcs	Connector, Compression, # 2 - # 4/0 ACSR Run to #6 - #2 1	Pc	Link, Fuse, Universal, Button Head, 2 amps, Std. 1	Set	Rod, Tapping, Performed, # 2 ACSR 6	Ft	Wire, Grounding, Aluminum Alloy,</t>
  </si>
  <si>
    <t xml:space="preserve"> Load Assessment of RHU Building</t>
  </si>
  <si>
    <t xml:space="preserve"> Surgical Mask Disposable 3-ply 50's/box</t>
  </si>
  <si>
    <t xml:space="preserve"> Invitation to Bid for Procurement of Works for the Construction of Multi- Capitol, Oroquieta City 1. The Provincial Government of Misamis Occidental, through the General Funds 20203 intends to apply the sum of Three Million Nine Hundred Seventy-three Thou</t>
  </si>
  <si>
    <t xml:space="preserve"> 1 Unit Digital Voice Recorder with built-in USB, AAA Battery powered, ICD-PX470 (WxHxD) - 38.3x114.1 x 19.3 inches, weight-74g 2 pieces Headphone (Extra Bass Bluetooth Headphones-Black Sappa Hardbody PRO Headphones - Black Slappa Hard body PRO full sized </t>
  </si>
  <si>
    <t xml:space="preserve"> can	Sardines	2580 pc	Instant Noodles (70g)	2580 pack	Coffee Refill (25g)	2150 pc	Laundry Soap (380g)	1290 can	Meatloaf (150g)	1720 can	Corned Beef (150g)	1720 bottle	Vinegar (350ml)	1290 pack	Vinegar Refill (200ml)	1290 bottle	Soy Sauce (350ml)	1290 pack	</t>
  </si>
  <si>
    <t xml:space="preserve"> Requesting for Quotation (RFQ) for PR No. 2007199  Interested suppliers are invited to submit Sealed Price Quotations for the above listed items. The Request for Quotation (RFQ) for may be obtained from Mr. Albert A. Camarillo City General Services Office</t>
  </si>
  <si>
    <t xml:space="preserve"> Requesting for Quotation (RFQ) for PR No. 2007194  Interested suppliers are invited to submit Sealed Price Quotations for the above listed items. The Request for Quotation (RFQ) for may be obtained from Mr. Albert A. Camarillo City General Services Office</t>
  </si>
  <si>
    <t xml:space="preserve"> QTY	DESCRIPTIONS	UNIT 		 99	Globe Cellcards	pcs 52	Smart Cellcards	pcs 101	Talk n Text Cellcards	pcs 3	Sun Cellular Cellcards	pcs</t>
  </si>
  <si>
    <t xml:space="preserve"> 20 UNIT CATHETER, PEDIATRIC, 15FX37cm DOUBLE CUFF, STRAIGHT CATHETER 20 UNIT CATHETER, ADULT, 15FX63cm DOUBLE CUFF, STRAIGHT COILED CATHETER 15 UNIT CATHETER, NEONATAL, 15X31cm DOUBLE CUFF, STRAIGHT CATHETER NOTE: ALL NEW SUPPLIER ARE REQUIRED TO SUBMIT T</t>
  </si>
  <si>
    <t xml:space="preserve"> The Government of the Philippines (GOP) has received a loan from World Bank towards the cost of Philippine Rural Development Project, and it intends to apply part of the proceeds of this Loan to payments for the procurement of Food, Venue and Accommodatio</t>
  </si>
  <si>
    <t xml:space="preserve"> -</t>
  </si>
  <si>
    <t xml:space="preserve"> Republic of the Philippines Province of Bohol Municipality of Tubigon BIDS AND AWARDS COMMITTEE Tel/Fax. No. (038) 508-8059 REQUEST FOR QUOTATION For Small Value Procurement under Sec. 53.9 of the Revised IRR of R.A. 9184 Quotation No: 2020-08-313 P. R. N</t>
  </si>
  <si>
    <t xml:space="preserve"> Coupon Bond (A4) 200 pcs Long Envelope Plsatic 2,800 pcs Surgical Glove 2 boxes</t>
  </si>
  <si>
    <t xml:space="preserve"> Invitation to Bid for SUPPLY AND DELIVERY OF OFFICE EQUIPMENT  FOR MUNICIPAL ENGINEERING OFFICE The Municipal Government of Looc, Romblon, through the AO-NO. 021-2020 Supplemental Appropriation1 intends to apply the sum of Ninety-Five Thousand Seven Hundr</t>
  </si>
  <si>
    <t xml:space="preserve"> REQUEST FOR QUOTATION (In accordance with Section 53.9 of Revised-IRR of RA 9184) 	The Municipal Government of Paracale, Camarines Norte invited all legitimate contractors/suppliers to submit quotation for the hereunder list Goods and/or Services on or be</t>
  </si>
  <si>
    <t xml:space="preserve"> 1.) 216 bags Portland Cement 2.) 72 cu.m. Sand 3.) 75 cu.m. Gravel Fill 4.) 40 cu.m. Boulders</t>
  </si>
  <si>
    <t xml:space="preserve"> 1 lot- Installation of Upgraded Local Government System ----a   Treasury Management and Information System ----b   business permit and licensing system ----c   water billing and collection system ----d   market management and information system ----e   re</t>
  </si>
  <si>
    <t xml:space="preserve"> Procurement of Construction Materials &amp; Supplies						 Purchase Requested by the City Engineering Office, Tabaco City						 						 To Interested Suppliers, Manufacturers and Distributors,						 						 Please quote your lowest price/s on the lot or item/s </t>
  </si>
  <si>
    <t xml:space="preserve"> Delivery of Supplies/Materials</t>
  </si>
  <si>
    <t xml:space="preserve"> Republic of the Philippines Province of Leyte MUNICIPALITY OF TABANGO Invitation to Bid for Rehabilitation/Improvement of Freedom Park (Phase I) 	 Brgy. Poblacion, Tabango, Leyte 1.	The Local Government of Tabango, through the AIP 2020   intends to apply </t>
  </si>
  <si>
    <t xml:space="preserve"> SPECIFICATIONS: DIMENSION        - 2.8 X 1.0 X 0.6 (71 X 26 X 16.2MM) OUTPUT INTERFACE  - 1 10/100/1000Mbps RJ45 ETHERNET PORT INPUT INTERFACE     - 1 USB 3.0 PORT CHIPSET                   - RTL8153 SUPPORTED SYSTEMS  - WINDOWS 10/8.1/8/7VISTA/XP, MAC OS</t>
  </si>
  <si>
    <t xml:space="preserve"> Section I. Invitation to Bid Republic of the Philippines Province of Sultan Kudarat Municipality of Bagumbayan OFFICE OF THE BIDS AND AWARDS COMMITTEE Bagumbayan, Sultan Kudarat INVITATION TO BID FOR THE PROCUREMENT OF VARIOUS CONSTRUCTION MATERIALS FOR T</t>
  </si>
  <si>
    <t xml:space="preserve"> 10,000 liters Diesel fuel   6,500 liters Unleaded Gasoline</t>
  </si>
  <si>
    <t xml:space="preserve"> Item No.	Unit	DESCRIPTION				Qty 						 1	Unit	Air Conditioner				1 		1.0 HP				 		Window Type				 		Inverter Type</t>
  </si>
  <si>
    <t xml:space="preserve"> Section I. Invitation to Bid INVITATION TO BID  DA8-Goods-2020-48 (PR No. SAAD 20-07-23-0237) 1.	The Department of Agriculture-Regional Field Office No. 8, through the SAAD 2020 intends to apply the sum of Sixteen Million One Hundred Sixty-Three Thousand </t>
  </si>
  <si>
    <t xml:space="preserve"> PROCUREMENT TERMS &amp; CONDITIONS					 1	The Total Approved Budget for the Contract (ABC) is Php 20,000.00				 2	Price quotation should be inclusive of tax obligations.				 3	Delivery period is 10 calendar days from the receipt of NOA &amp; PO.				 4	If awarded </t>
  </si>
  <si>
    <t xml:space="preserve"> Requesting for Quotation (RFQ) for PR No. 2007234  Interested suppliers are invited to submit Sealed Price Quotations for the above listed items. The Request for Quotation (RFQ) for may be obtained from Mr. Albert A. Camarillo City General Services Office</t>
  </si>
  <si>
    <t xml:space="preserve"> Item No.	Unit	Qty	Item Description 1	pcs	10	Hand Gloves 2	pcs	6	Concrete pail 3	bags	150	Portland Cement 4	m3	13	Washed Sand 5	m3	19	Washed Fine Gravel 6	lght	103	16mmØ deformed steel bars; GRADE 40 7	lght	290	10mmØ deformed steel bars; GR40 8	lght	34	12m</t>
  </si>
  <si>
    <t xml:space="preserve"> Republic of the Philippines					 Province of Bohol					 Municipality of Ubay					 					 Request for Quotation					 					 Standard Form Number: SF-GOOD-60					  Revised on: May 24, 2004				Date: 	___________ Standard Form Title: Request for Quotation				Qu</t>
  </si>
  <si>
    <t xml:space="preserve"> Republic of the Philippines Province of Davao del Sur Municipality of Matanao BARANGAY KAUSWAGAN -oOo- INVITATION TO BID The Barangay Government Unit of Kauswagan, Matanao, Davao del Sur, through its Bids and Awards Committee (BAC), invites suppliers/dist</t>
  </si>
  <si>
    <t xml:space="preserve"> 1.  1 unit Photocopier Machine (colored)      Digital copier w/ network printing; scan speed of 50 images/minute      copy &amp; scan res. of 600 x 600 dpi; print res. of 1200 x 1200 dpi      Standard Memory: 1.5 GB (upgradable); toner capacity for cyan, mage</t>
  </si>
  <si>
    <t xml:space="preserve"> Transfer of Airconditioning Units [ACU] to the New Building (AFME-Repair Expense-Equipment- SML)</t>
  </si>
  <si>
    <t xml:space="preserve"> REPRODUCTION OF SELF LEARNING MODULES, A4, PER REAM INCLUDING BOND PAPERS</t>
  </si>
  <si>
    <t xml:space="preserve"> Materials needed for the installation of three (3) units 15 KVA distribution transformer of BACOLOD WATER DISTRICT PUMPING STATION # 3. 3 units DT (15KVA,7620Y HV,460LV w/ terminal Bushing (Refurbished) 2 sets Transformer bracket (for 3 transformer) 1 pc.</t>
  </si>
  <si>
    <t xml:space="preserve"> Procurement of Construction Materials						 Purchase Requested by the City Engineering Office, Tabaco City						 						 To Interested Suppliers, Manufacturers and Distributors,						 						 Please quote your lowest price/s on the lot or item/s  below, sub</t>
  </si>
  <si>
    <t xml:space="preserve"> Republic of the Philippines CITY GOVERNMENT OF LA CARLOTA BIDS AND AWARDS COMMITTEE OFFICE TEL. NO.  735-1370                                                                                                      	               	 INVITATION TO BID FOR THE </t>
  </si>
  <si>
    <t xml:space="preserve"> 65 btls Ink 003 Black 55 Btls Ink 003 Cyan 55 btls Ink 003 Magenta 55 btls Ink 003 Yellow</t>
  </si>
  <si>
    <t xml:space="preserve"> INVITATION TO BID Bid Reference No.  ____________ SUPPLY AND DELIVERY OF EQUIPMENTS FOR CRIMINOLOGY LABORATORY (IC) REBIDDING Approved Budget for the Contract (ABC):  Php 1,562,360.00 1.	The Municipal Government Unit of Initao, Misamis Oriental intends to</t>
  </si>
  <si>
    <t xml:space="preserve"> For the use of TESDA MIMAROPA Regional Office and TESDA Oriental Mindoro Provincial Office- Tiles of newley erected building at Tawiran, Calapan City (For Flooring of Staff House, Floorings of Building; Comfort Room and Walls).</t>
  </si>
  <si>
    <t xml:space="preserve"> Diesel Fuel, XCS Plus, Oil and Lubricants    ltrs.</t>
  </si>
  <si>
    <t xml:space="preserve"> 1.	Vehicle Battery for Mitsubishi Adventure ZPZ 537 •	3SMF •	21 months warranty •	Brand new •	With less-trade in •	Quantity: 1 unit 2.	Battery for Generator Set •	3SMF •	21 months warranty •	Brand new •	Quantity: 1 unit 3.	Reserve battery for Mitsubishi A</t>
  </si>
  <si>
    <t xml:space="preserve"> Supply of Face Mask and Alcohol for the Implementation of the C4PEACE Program in Region XI</t>
  </si>
  <si>
    <t xml:space="preserve"> UNIT                                          QUANTITY                                   DESCRIPTION REAMS                                        750                                            BONDPAPER - A4 BOX                                            </t>
  </si>
  <si>
    <t xml:space="preserve"> The Bids and Awards Committee (BAC) of the Department of Public Works and Highways (DPWH), Ilocos Sur 1st District Engineering Office, Bantay, Ilocos Sur will conduct SMALL VALUE PROCUREMENT in accordance with Section 53.9 of the Revised Implementing Rule</t>
  </si>
  <si>
    <t xml:space="preserve"> 1,500    ream     Copy Paper, A4, 70 gsm</t>
  </si>
  <si>
    <t xml:space="preserve"> TO ALL INTERESTED BIDDER/SUPPLIER: Please be informed that the Opening of Bid Quotations will be on August 10, 2020, 8:00AM  at Gold Conference Hall, Division Office, Schools Division of Compostela Valley. Please be informed further that it is required to</t>
  </si>
  <si>
    <t xml:space="preserve"> REPUBLIC OF THE PHILIPPINES																																							 Province of Davao del Sur																																							 MUNICIPALITY OF SANTA CRUZ																																							 -- oOo --																																							 								</t>
  </si>
  <si>
    <t xml:space="preserve"> Republic of the Philippines PROVINCE OF CAMARINES SUR BIDS AND AWARDS COMMITTEE ITB No. 047-08-2020 INVITATION TO BID  	The Provincial Government of Camarines Sur (PGCS) through its Bids and Awards Committee (BAC) invites suppliers/manufacturers/distribut</t>
  </si>
  <si>
    <t xml:space="preserve"> NO. 	QTY	UNIT	AGENCY'S SPECIFICATIONS			 1	1	unit	Split Type Air Conditioner 2.5 HP 			 			Dual Cool with Dual Inverter			 			Including Installation &amp; Bracket			 			x-x-x-x(Nothing Follows)x-x-x-x			 The Total  Approved Budget of the Contract (ABC) is Php</t>
  </si>
  <si>
    <t xml:space="preserve"> Republic of the Philippines PROVINCE OF BUKIDNON Municipality of Don Carlos BIDS AND AWARDS COMMITTEE REQUEST FOR QUOATATION 									 							Date:  							RFQ No.											    	Name of Project: 	 							End User:  Name of Company: ______________________</t>
  </si>
  <si>
    <t xml:space="preserve"> ITEM	ITEM &amp; DESCRIPTION					QTY.	Unit of Issue NO.							 1	Theories of Crime Causation by Domingo S. c2020					5	copies 2	Theories of Crime Causation. Panugaling, G. c2019					5	copy 3	Human Behavior and Victimology. C2020					5	copy 4	Professional Condu</t>
  </si>
  <si>
    <t xml:space="preserve"> INVITATION TO BID The City Government of Ozamiz, through its Bids and Awards Committee (BAC), invites contractors registered with and classified by the Philippine Contractors Accreditation Board (PCAB) to apply for eligibility and to bid for the hereunder</t>
  </si>
  <si>
    <t xml:space="preserve"> Please Send At this Email: tcwdpgeps_7214@yahoo.com Please quote your lowest price inclusive of VAT on the item/s listed below, subject to the Terms and Conditions of this RFQ, and submit your quotation duly signed by your representative not later than Au</t>
  </si>
  <si>
    <t xml:space="preserve"> *PAINT - Epoxy Primer Black (66 gallons) *PAINT - Epoxy Reducer (30 gallons) *Please see attached canvass form.</t>
  </si>
  <si>
    <t xml:space="preserve"> REQUEST FOR QUOTATION 	The Caraga State University-Cabadbaran Campus, through its Bids and Awards Committee (BAC), will undertake a Negotiated Procurement (Small Value Procurement) for the project: PROCUREMENT ON SUPPLY AND DELIVERY OF YEARBOOK PRINTING i</t>
  </si>
  <si>
    <t xml:space="preserve"> Republic of the Philippines AUTONOMOUS REGION IN MUSLIM MINDANAO Province  of  Lanao  del  Sur Municipality of Marantao REQUEST FOR QUOTATION  The Municipal Government of  Marantao through the Bids and Awards Committee (BAC) invites accredited  suppliers </t>
  </si>
  <si>
    <t xml:space="preserve"> Republic of the Philippines CITY OF TACURONG OFFICE OF THE CITY MAYOR INVITATION TO BID FOR CONSTRUCTION OF SANITARY LANDFILL (Contract ID No: 2020-CW-022) The City Government of Tacurong, through Trust Fund (5% DRRMF – Resolution No. 233 – 8th SP Series </t>
  </si>
  <si>
    <t xml:space="preserve"> The Local Government Unit of Bula is inviting interested PhilGEPS accredited contractors/ suppliers to apply for eligibility and to submit complete bid for the SUPPLY AND DELIVERY OF INFORMATION TECHNOLOGY (I.T.) EQUIPMENTS, OFFICE EQUIPMENTS, FURNITURES </t>
  </si>
  <si>
    <t xml:space="preserve"> Submission of RFQ = August 11, 2020, 9:00am at Municipal Hall, Casiguran, Sorsogon</t>
  </si>
  <si>
    <t xml:space="preserve"> REQUEST FOR QUOTATION 	The Caraga State University-Cabadbaran Campus, through its Bids and Awards Committee (BAC), will undertake a Negotiated Procurement (Small Value Procurement) for the project: PROCUREMENT ON SUPPLY AND DELIVERY OF CSUCC APPLIANCES in</t>
  </si>
  <si>
    <t xml:space="preserve"> Requesting for Quotation (RFQ) for PR No. 2007187  Interested suppliers are invited to submit Sealed Price Quotations for the above listed items. The Request for Quotation (RFQ) for may be obtained from Mr. Albert A. Camarillo City General Services Office</t>
  </si>
  <si>
    <t xml:space="preserve"> 10 sets Communication Equipment Frequency Coverage: 144-148 MHz (Tx) 136-174 MHz (Rx) No. of Channels: 207 Channels Type of Emissions: F2D, F3E Power supply: 7.5 V DC Frequency Stability: 2.5ppm Antenna Impedance:50 Transmitter:  Output Power: 7.0/5.5/2.5</t>
  </si>
  <si>
    <t xml:space="preserve"> Diesel Fuel, XCS Plus, Oil and Lubricants      ltrs.</t>
  </si>
  <si>
    <t xml:space="preserve"> RFQ</t>
  </si>
  <si>
    <t xml:space="preserve"> 337 bags cement 35 cu.m. whitesand 25 cu.m. Gravel 350 kgs Deformed bar 16mm 120 kgs Deformed bar 12mm 450 kgs Deformed bar 10mm 50 kgs Tie wire 42 pcs Ordinary Plywood 1/2 720 bd.ft Assorted Cocolumber 20 kgs Common Nail 1845 pcs Hallow blocks #5</t>
  </si>
  <si>
    <t xml:space="preserve"> One (1) Unit Laptop and One (1) Unit External Hard Drive</t>
  </si>
  <si>
    <t xml:space="preserve"> 7 lot general air-con servicing &amp; 1 other</t>
  </si>
  <si>
    <t xml:space="preserve"> The bid and awards committee of Dangcagan NHS-Main (Junior High School) approved to purchase the following supplies &amp; materials for school operations through Negotiated Procurement-Small Value Procurement. Pipe, polyethelyne, 600m per roll,1/2 inch	      </t>
  </si>
  <si>
    <t xml:space="preserve"> 1	bag	80	Pozzolan Cement 2	bag	25	Portland Cement 3	cu. m	11	Washed Sand 4	cu. m.	4	Washed Fine Gravel 5	pcs	130	10mm deformed bars x 6 mtrs 6	pcs	870	4” CHB 7	kg	10	Tie Wire 8	pcs	6	Ordinary Plywood ½” 9	kg	10	CWN #4 10	kg	10	CWN #3 11	kg	5	CWN #2 12	pcs</t>
  </si>
  <si>
    <t xml:space="preserve"> THE NATIONAL IRRIGATION ADMINISTRATION-SCIMO, THROUGH THE FUND 501 HAS THE APPROVED BUDGET FOR THE CONTRACT (ABC) AMOUNTING SEVENTY TWO THOUSAND PESOS ONLY (72,000.00).  QUOTATION RECEIVED IN EXCESS OF THE ABC SHALL BE AUTOMATICALLY REJECTED. INTERESTED D</t>
  </si>
  <si>
    <t xml:space="preserve"> Please quote your lowest price on item/s listed in the line item and submit your quotation duly signed by your authorized representative through email at bac.secretariat@pnu.edu.ph not later than June 22, 2020 @ 4PM. Note: 1. Delivery period within fiftee</t>
  </si>
  <si>
    <t xml:space="preserve"> Purchase of Food Supplies for Nutrition-Negotiated Procurement Item	Quantity	Unit of	Item Description	 No.		Issue		 				 				 1	2	cavans	Commercial Rice, White 50kg	 2	97	box	Nido Junior 1-3, 160 grams in box	 3	50	pouch	Milo, 600g pouch	 4	75	pouch	Bearb</t>
  </si>
  <si>
    <t xml:space="preserve"> Detailed Estimate		 For the Fabrication of 3 - Sets Garbage Bin		 at Barangay Asinan, Bugallon, Pangasinan		 		 ABC: 35,028.00		 A. Materials		 		 6	pcs	1" G.I. Pipe 2	kls	Welding Rod 2	gals	Primer Sphero 2	pcs	Paint Brush 3	pcs	Empty Drum 2	gals	Q.D.E. 1</t>
  </si>
  <si>
    <t xml:space="preserve"> for Electrical  &amp; Equipment &amp; Motorpool End-User</t>
  </si>
  <si>
    <t xml:space="preserve"> A. Project Tuloy ang Edukasyon para sa Batang SES-TESES ( Modules) Master roll 200 cuts ,Riso black Ink 1000cc B. Procurement of Office Supply Long wood paper</t>
  </si>
  <si>
    <t xml:space="preserve"> 20 pcs - Heavy Duty Plastic Pallets (46" x 37" x 6")</t>
  </si>
  <si>
    <t xml:space="preserve"> 1	ream	Bond Paper Legal	100	250.00	25,000.00 2	ream	Bond Paper A4	100	230.00	23,000.00 3	Unit 	Printer	10	9000.00	90,000.00 4	bottle	Printer Ink Black Original	50	350.00	17,500.00 5	bottle	Printer Ink Blue Original	32	350.00	11,200.00 6	bottle	Printer Ink</t>
  </si>
  <si>
    <t xml:space="preserve"> INVITATION TO BID SUPPLY, DELIVERY AND INSTALLATION OF COMMUNITY-BASED EARLY WARNING SIGNAGES 1.	The Local Government Unit of Cabadbaran City through the 5% DDRM FUND intends to apply the sum of FOUR HUNDRED TWELVE THOUSAND FIVE HUNDRED PESOS ONLY (P 412,</t>
  </si>
  <si>
    <t xml:space="preserve"> REQUEST FOR QUOTATION 	The Caraga State University-Cabadbaran Campus, through its Bids and Awards Committee (BAC), will undertake a Negotiated Procurement (Small Value Procurement) for the project: PROCUREMENT ON SUPPLY AND DELIVERY OF FURNITURE AND FIXTU</t>
  </si>
  <si>
    <t xml:space="preserve"> Medicines</t>
  </si>
  <si>
    <t xml:space="preserve"> SEE ATTACHED DOCUMENT</t>
  </si>
  <si>
    <t xml:space="preserve"> 7160 PC - COIN BAGS (CLOTH) Please be guided by the following:  1.       Price quotation must be based on the Terms of Reference (TOR) / Scope of Work/Services (SOW) / Technical Specifications (TS),  as applicable and must be duly signed by the vendor’s r</t>
  </si>
  <si>
    <t xml:space="preserve"> Republic of the Philippines Province of Davao de Oro MUNICIPALITY OF COMPOSTELA BIDS AND AWARDS COMMITTEE CP#: 0998-571-7569 Invitation for Negotiated Procurement  Repair and Maintenance for PNP Vehicle - PNP 1.	The Municipality of Compostela now invites </t>
  </si>
  <si>
    <t xml:space="preserve"> SCHOOL SUPPLIES, OFFICE SUPPLIES, CLEANING AND JANITORIAL SUPPLIES, MINOR REPAIR SUPLLIES</t>
  </si>
  <si>
    <t xml:space="preserve"> Requesting for Quotation (RFQ) for PR No. 2007301  Interested suppliers are invited to submit Sealed Price Quotations for the above listed items. The Request for Quotation (RFQ) for may be obtained from Mr. Albert A. Camarillo City General Services Office</t>
  </si>
  <si>
    <t xml:space="preserve"> Please see attached Invitation to Bid and Technical Specifications</t>
  </si>
  <si>
    <t xml:space="preserve"> Republic of the Philippines BARANGAY SABANG OFFICE OF THE PUNONG BARANGAY BIDS AND AWARDS COMMITTEE INVITATION TO BID The Barangay Government of BARANGAY SABANG through its Bids and Awards Committee (BAC), invites suppliers/manufacturers/distributors to b</t>
  </si>
  <si>
    <t xml:space="preserve"> 500	Piece	CT-Scan injector Syringe, ABC 1,300.00/pc 115	Piece	Hand Sanitizer 1 liter, ABC 175.00/pc 12	Piece	Transeptic Cleansing Solution 250ml, ABC 400.00/pc 12	Piece	Ultrasound Gel 250ml, ABC 150.00/pc RFQ#08-0813</t>
  </si>
  <si>
    <t xml:space="preserve"> Republic of the Philippines Province of Leyte Municipality of La Paz OFFICE OF THE BIDS AND AWARDS COMMITTEE INVITATION TO BID (ITB) – NO. : 2020 - 006 Procuring Entity : Municipality of La Paz, Leyte Title of Project : CONSTRUCTION OF LOCAL ACCESS ROAD (</t>
  </si>
  <si>
    <t xml:space="preserve"> FUEL</t>
  </si>
  <si>
    <t xml:space="preserve"> The Municipality of Tanza, Cavite, through its Bids and Awards Committee (BAC), invites contractors registered with and classified by the Philippine Contractors Accreditation Board (PCAB) to apply for eligibility and if found eligible, to bid for the here</t>
  </si>
  <si>
    <t xml:space="preserve"> 10 UNIT KIDNEY BIOPSY GUN, BARD MAX CORE DISPOSABLE CORE BIOPSY INSTRUMENT  GAUGE - 18g; NEEDLE LENGTH - 16 cm; LENGTH OF SAMPLE NOTCH- 1.8cm; PENETRATION DEPTH 22 cm</t>
  </si>
  <si>
    <t xml:space="preserve"> Submission of RFQ = August 11, 2020, 9:00 am at Municipal Hall, Casiguran, Sorsogon</t>
  </si>
  <si>
    <t xml:space="preserve"> HEAVY DUTY PLATFORM TRUCK</t>
  </si>
  <si>
    <t xml:space="preserve"> NAME OF PROJECT:	SUPPLY AND DELIVERY OF VARIOUS MEDICAL AND NON-MEDICAL BOOKS  APPROVED BUDGET   Three Hundred Seven Thousand One Hundred Fifty Pesos   (PhP307,150.00)</t>
  </si>
  <si>
    <t xml:space="preserve"> Name of Project:      	Catering Services for the Procurement and delivery of meals and snacks for the 2020 Census of Population and Housing (CPH) Fourth Level Training – Municipality of Calumpit Brief Description:         	The Bulacan Provincial Statistic</t>
  </si>
  <si>
    <t xml:space="preserve"> Gasoline and Diesel</t>
  </si>
  <si>
    <t xml:space="preserve"> 120	pcs	D5LRS 1L 48	pcs	D10 water 500ml 200	pcs	Ciprofloxacin 200mg vial 200	pcs	Phytomenadione amp 1,000	pcs	Ascorbic acid 500mg tab 100	pcs	Oxacillin 500mg vial 400	pcs	Ceftriaxone 1g vial 200	pcs	Ampicillin 500mg vial  50	pcs	Ascorbic acid drops 50	pcs</t>
  </si>
  <si>
    <t xml:space="preserve"> Printing Services for Learning Modules of Grade 7 to Grade 10</t>
  </si>
  <si>
    <t xml:space="preserve"> A4 Bond Paper, 70 gsm</t>
  </si>
  <si>
    <t xml:space="preserve"> REQUEST FOR QUOTATION (RFQ) Procurement of Sticker RFQ NO. 2020-077 Please see attached. 1.) The Region 1 Medical Center, through the General Appropriations Act / Trust Income of 2020 intends to apply the sum of One hundred Eighty-Six Thousand Six Hundred</t>
  </si>
  <si>
    <t xml:space="preserve"> ITEM	ITEM  DESCRIPTION	QTY	UNIT NO.			 1	Desktop Computer	1	set 	Specifications:		 	CPU-Core i5		 	Processor Model: Intel Core i5-8400		 	Processor Speed: i5-8400 2.8 ghz		 	CPU Cache:             9MB		 	CPU Model:            Intel UHD Graphics		 	NVIDIA </t>
  </si>
  <si>
    <t xml:space="preserve"> CIVIL WORKS</t>
  </si>
  <si>
    <t xml:space="preserve"> 1. Oral Communication..............................................................5,278 units Pages: 58 2. Reading &amp; Writing..............................................................5,278 units Pages: 31 3. Komunikasyon at Pananaliksik sa Wika at Kul</t>
  </si>
  <si>
    <t xml:space="preserve"> Chicks - 1500 heads Chick Booster Mash - 12 bags Chick Starter Crumble - 24 bags Chick Starter Grower - 30 bags Multivitamins (Electrolytes) 12 boxes Antibiotic 12 boxes Disinfectant 24 gallons Infrared Lamp - 36 piece Knapsack Sprayer -  6 units Newspape</t>
  </si>
  <si>
    <t xml:space="preserve"> Procurement of Spare Parts at LGU-Matalom, Leyte. Unit	Item &amp; Description	Quantity PC	WD-40	1 PCS	SAND PAPER 1000	10 PCS	BATTERY CLAMP	10 PCS	SC80083 RUBBER CUP	10 LTR	BRAKE FLUID	3 LTRS	DELO GOLD SAE-40	2 SET	GTK-2317 BRAKE SHOE	1 PCS	N120 BATTERY GLOBAL</t>
  </si>
  <si>
    <t xml:space="preserve"> REQUEST FOR QUOTATION 	The Caraga State University-Cabadbaran Campus, through its Bids and Awards Committee (BAC), will undertake a Negotiated Procurement (Small Value Procurement) for the project: PROCUREMENT ON SUPPLY AND DELIVERY KITCHENWARE FOR CTHM L</t>
  </si>
  <si>
    <t xml:space="preserve"> 1 set Desktop computer CPUInteli5-9400 Prime B365M-A 4GB DDR4 Memory 1TB HDD Neutron Colt 900 1R Casing keyboard &amp; mouae 1 unit Computer Monitor 21.5" 1 unit UPS 625VA 1 unitLAPTOP Computer Intel i5 4GB DDR4 Memory 15.6" LED-Backlit FHD 1TB 5400 rpm Sata </t>
  </si>
  <si>
    <t xml:space="preserve"> Food Stuff for Disaster/ Calamity</t>
  </si>
  <si>
    <t xml:space="preserve"> SURVEILLANCE CAMERA</t>
  </si>
  <si>
    <t xml:space="preserve"> DESCRIPTION                   Unit Cost          QTY Corrugated roofing             418.00            66 Enamel Paint                      605.00            6   Umbrella Nails                    116.6              6 Paint Roller (6inch)              60.50</t>
  </si>
  <si>
    <t xml:space="preserve"> Spareparts and Oil Lubricants</t>
  </si>
  <si>
    <t xml:space="preserve"> Hand Tractors with Tools and Accessories</t>
  </si>
  <si>
    <t xml:space="preserve"> Republic of the Philippines MINDANAO STATE UNIVERSITY AT NAAWAN 9023 Naawan, Misamis Oriental REQUEST FOR QUOTATION To whom it may concern: Please quote your lowest price/s on the lot or item/s listed below, subject to the General Conditions indicated her</t>
  </si>
  <si>
    <t xml:space="preserve"> REQUEST FOR QUOTATION 	The Caraga State University-Cabadbaran Campus, through its Bids and Awards Committee (BAC), will undertake a Negotiated Procurement (Small Value Procurement) for the project: PROCUREMENT ON SUPPLY AND DELIVERY OF MUSICAL INSTRUMENT </t>
  </si>
  <si>
    <t xml:space="preserve"> REQUEST FOR QUOTATION Please quote your lowest price on the item/s listed below, subject to the conditions also listed below, stating the shortest time of delivery and submit your quotation duly signed by your representative not later than 5:00 P.M. of Au</t>
  </si>
  <si>
    <t xml:space="preserve"> 2 UNITS DVR (8 Channels and 16 Channels) 2 UNITS 4TB 64MB SATA3 Hard Drive 2 UNITS 42” TV MONITOR 16 UNITS 5mp Bullet Camera 4 UNITS 2mp Bullet Camera 4 UNITS 2mp Indoor EXEBALL Camera 100 x 100 x 70mm Waterproof Box HDMI Cable (1.5m) BNC PLUG LEAD FREE R</t>
  </si>
  <si>
    <t xml:space="preserve"> Repair and Maintenance of 1-Unit Horiba U-50 Series Water Quality Checker -Replacement of Spare parts set or its equivalent -with inclusion *Standard accessories includes; pH4 standard solution (500mL) pH reference internal solution (250mL) DO sensor inte</t>
  </si>
  <si>
    <t xml:space="preserve"> Construction of Water Pump and Gen. Set House Poblacion, Sta. Catalina, Ilocos Sur</t>
  </si>
  <si>
    <t xml:space="preserve"> 10	trip	Fiiling Materials (Volcanic/ River Mix)</t>
  </si>
  <si>
    <t xml:space="preserve"> 1	Oil Filter-BT 339		3	pc 2	Oil Filter-15208-W1120;209 VIC		2	pc 3	Oil Filter-C-101 15600-41010 VIC		3	pc 4	Oil Filter-C-304 VIC		1	pc 5	Oil Filter-EC 5101 15600-41010		1	pc 6	Oil Filter-0986AF1044		1	pc 7	Oil Filter-011744210818		1	pc 8	Oil Filter-FF5052</t>
  </si>
  <si>
    <t xml:space="preserve"> Requesting for Quotation (RFQ) for PR No. 2007188  Interested suppliers are invited to submit Sealed Price Quotations for the above listed items. The Request for Quotation (RFQ) for may be obtained from Mr. Albert A. Camarillo City General Services Office</t>
  </si>
  <si>
    <t xml:space="preserve"> REQUEST FOR QUOTATION (In accordance with Section 53.9 of Revised-IRR of RA 9184) 	The Municipal Government of Paracale, Camarines Norte invited all legitimate contractors/suppliers to submit quotation for the hereunder list of Fuel/Diesel, Gasoline and L</t>
  </si>
  <si>
    <t xml:space="preserve"> ITEM     UNIT     QTY      DESCRIPTION</t>
  </si>
  <si>
    <t xml:space="preserve"> Veterinary Supplies</t>
  </si>
  <si>
    <t xml:space="preserve"> Republic of the Philippines							 Province of Davao del Sur							 Municipality of Malalag							 							 		BIDS AND AWARDS COMMITTEE					 		CANVASS/REQUEST FOR QUOTATION					 		For Shopping &amp; Small value Procurement					 							 						4-Aug-20	 ________</t>
  </si>
  <si>
    <t xml:space="preserve"> See Attached Documents</t>
  </si>
  <si>
    <t xml:space="preserve"> 8	Pcs	Board with Ring, Basketball, Standard 		* Fiber Glass 		* Tempered Glass 		 		 		 		 		Requirements: 		1. Mayor’s/Business Permit 		2. PhilGEPS Registration Number</t>
  </si>
  <si>
    <t xml:space="preserve"> Republic of the Philippines					 City of Canlaon					 OFFICE OF THE BIDS AND AWARDS COMMITTEE					 REQUEST FOR QUOTATION					 					 				Date:	7/29/2020 				Quotation No: 	 				PR.  No.	2020-07-179e 				Dep. 	City Acctg. 					 					 Sir/Madam:					        </t>
  </si>
  <si>
    <t xml:space="preserve"> INVITATION TO BID SUPPLY AND DELIVERY OF FUEL (GASOLINE AND DIESEL) FOR VARIOUS OFFICES 1.	The Local Government Unit of Cabadbaran City through the GENERAL FUND intends to apply the sum of ONE HUNDRED FIFTY-TWO THOUSAND SEVEN HUNDRED FIFTY PESOS ONLY (P 1</t>
  </si>
  <si>
    <t xml:space="preserve"> 1.  25 pcs Toner for heavy duty photocopier      (TK-7220) 2.  500 ream Bond Paper   ---------------Nothing Follows--------------- Purpose: in preparation for the production and reproduction of modules           for learning continuity plan End-User: DepE</t>
  </si>
  <si>
    <t xml:space="preserve"> Please see attached Invitation to Bid and Technical Specification</t>
  </si>
  <si>
    <t xml:space="preserve"> Supply, Delivery and Installation of Radio Broadcast Facility</t>
  </si>
  <si>
    <t xml:space="preserve"> 1.	The Provincial Government of Batanes, through the Provincial Appropriations Ordinance No. 03 series of 2019 intends to apply the sum of Seventy Thousand Pesos Only (₱ 70,000.00), being the Approved Budget for the Contract (ABC) to payments under the co</t>
  </si>
  <si>
    <t xml:space="preserve"> - 28 pcs - 14 Karat Loyalty Rings  - 15 pcs - 12 Karat Loyalty Rings  -   7 pcs - 10 Karat Loyalty Rings</t>
  </si>
  <si>
    <t xml:space="preserve"> Dry Seal Embosser Desktop use City Government of Tarlac seal</t>
  </si>
  <si>
    <t xml:space="preserve"> AM Snacks (3 days) Lunch (3 days) PM Snacks (3 days) Bottled Water (3 days)</t>
  </si>
  <si>
    <t xml:space="preserve"> Digital Copy Printer: Monochrome Digital Duplicator</t>
  </si>
  <si>
    <t xml:space="preserve"> Catering Services for Conduct of Implementation of the C4PEACE Program</t>
  </si>
  <si>
    <t xml:space="preserve"> One (1) Unit Aircon 1/2hp (Window Type) and One (1) Unit Steel Cabinet (4 drawers)</t>
  </si>
  <si>
    <t xml:space="preserve"> REQUEST FOR QUOTATION 	The Caraga State University-Cabadbaran Campus, through its Bids and Awards Committee (BAC), will undertake a Negotiated Procurement (Small Value Procurement) for the project: PROCUREMENT ON SUPPLY AND DELIVERY OF COMMON USE SUPPLIES</t>
  </si>
  <si>
    <t xml:space="preserve"> Please see attached document for the details.</t>
  </si>
  <si>
    <t xml:space="preserve"> Water Pump Taro 2" with diesel engine Kobuta RK 70 diesel Engine and mounted on steel Frame housing 2" pipe fittings</t>
  </si>
  <si>
    <t xml:space="preserve"> Republic of the Philippines Province of Davao de Oro MUNICIPALITY OF COMPOSTELA BIDS AND AWARDS COMMITTEE CP#: 0998-571-7569 INVITATION TO BID FOR  MUNICIPAL COUNTERPART FOR THE CONSTRUCTION OF ISOLATION UNITS FOR 16 BARANGAYS (Procurement of Hardware Mat</t>
  </si>
  <si>
    <t xml:space="preserve"> 6	units	Wireless Color Printer 2	units	Paper Shredder (Cross cut paper/ cd/ cards) 2	units	Laminating Machine ALM-A3HC150  1	unit	Facs Machine (adf, 33,000 bps, 400 pages max) 7	sets	Steel Cabinet (Vertical 3 Drawers) 2	pcs	Quality Card Reader 13	sets	Off</t>
  </si>
  <si>
    <t xml:space="preserve"> Item No. Description Quantity Units 1.Supply &amp; Installation of 5100 Fixed Volleyball post on concrete coring - 1 set. with a.2 pcs-volleyball post sleeve b.1 pc-volleyball net c.1 pc-umpire chair d.1 pc-antenna e.2 pc-post padding color blue</t>
  </si>
  <si>
    <t xml:space="preserve"> 145-Supply and Delivery of ICT Equipment &amp; Supplies Consolidated Request STF of SDSSU Tandag Campus</t>
  </si>
  <si>
    <t xml:space="preserve"> Republic of the Philippines Provincial Government of Northern Samar BIDS and AWARDS COMMITTEE REQUEST FOR QUOTATION                      Date: August 03, 2020  RFQ No.: 20-08-0220 Name of Supplier (Business Name): _________________________________________</t>
  </si>
  <si>
    <t xml:space="preserve"> ITEM       UNIT       QTY        DESCRIPTION</t>
  </si>
  <si>
    <t xml:space="preserve"> *Brushing/Clearing *Excavation *Removal of Slide</t>
  </si>
  <si>
    <t xml:space="preserve"> Bid-Opening-August 27,2020 at 2:00 p.m. at Municipal Conference Room</t>
  </si>
  <si>
    <t xml:space="preserve"> Name of Project:      	Catering Services for the Procurement and delivery of meals and snacks for the 2020 Census                               of Population and Housing (CPH) Fourth Level Training – Municipality of Doña Remedios Trinidad Brief Descriptio</t>
  </si>
  <si>
    <t xml:space="preserve"> Purchase of Fertilizers</t>
  </si>
  <si>
    <t xml:space="preserve"> 14 rolls Master roll 70 pcs RP ink Black</t>
  </si>
  <si>
    <t xml:space="preserve"> 142-Supply and Delivery of ICT Equipment &amp; Supplies Consolidated Request STF of SDSSU Tandag Campus</t>
  </si>
  <si>
    <t xml:space="preserve"> Republic of the Philippines PROVINCE OF QUIRINO Cabarroguis -oOo- BIDS AND AWARDS COMMITTEE INVITATION TO BID FOR  Procurement of Digital Mobile X-Ray Machine  Contract No. PB-GS-2020-008 							August 5, 2020 1.	The Bids and Awards Committee (BAC) of the</t>
  </si>
  <si>
    <t xml:space="preserve"> Name of Project:      	Catering Services for the Procurement and delivery of meals and snacks for the 2020 Census of Population and Housing (CPH) Fourth Level Training – Municipality of Guiguinto Brief Description:         	The Bulacan Provincial Statisti</t>
  </si>
  <si>
    <t xml:space="preserve"> 3HP,1Phase,230 volts,60hz,Submersible Pump,complete w/ motor lead assembly. 1 set 2HP,230 VOLTS,60HZ,Submersible Pump,Complete w/ motor lead assembly. 1 set 1HP,230 volts,60hz,Submersible Pump,Complete w/ motor lead assembly. 2 sets 1.5HP,230 volts.60hz,S</t>
  </si>
  <si>
    <t xml:space="preserve"> Requesting for Quotation (RFQ) for PR No. 2007222  Interested suppliers are invited to submit Sealed Price Quotations for the above listed items. The Request for Quotation (RFQ) for may be obtained from Mr. Albert A. Camarillo City General Services Office</t>
  </si>
  <si>
    <t xml:space="preserve"> LOT  1.	180	COVERS	MEALS AND SNACKS 			SCHEDULE OF ACTIVITIES: 			60 COVERS M/S-FOR THE US OF 5 BRGY. ON AUGUST 1, 2020 			60 COVERS M/S-FOR TH EUSE OF 5 BRGY. ON AUGUST 15,2020 			60 COVERS M/S-FOR THE USE OF 5 BRGY. ON AUGUST22, 2020 			LOT 1.	378	COVER</t>
  </si>
  <si>
    <t xml:space="preserve"> PLEASE REFER ATTACHEMENT</t>
  </si>
  <si>
    <t xml:space="preserve"> 12 ea Paint Brush 5" and 11 others L/I</t>
  </si>
  <si>
    <t xml:space="preserve"> Feeds for production of animal center</t>
  </si>
  <si>
    <t xml:space="preserve"> SERVICES:			 Printing (2019 Annual Report)		130	LS Size: 210 x 297 mm or 8.27 x 11.69 inches			 Resolution: 300 dpi			 Color Mode: CMYK			 Cover:			  -Softbound cover (with lamination or UV coating)			  -C2S (#250gsm)			  -Full color printing			 Inside:		</t>
  </si>
  <si>
    <t xml:space="preserve"> Construction / Rehabilitation /  Improvement of 42 Units Street Light  along Loreta St., Balite St. and Melia  St. to include soil excavation, concrete works, welding works, electrical  works and painting works.</t>
  </si>
  <si>
    <t xml:space="preserve"> Please download ITB in the Associated Components</t>
  </si>
  <si>
    <t xml:space="preserve"> Specification: 93 bags Portland Cement; 7 cu.m. Washed Sand; 5 cu.m. Screened Gravel; 80 L 10mm x 6mm RSB; 3 pcs Hacksaw Blade; 120 bd.ft. 36 pcs.- 1x4x10 Coco Lumber; 34 bd.ft. 10 pcs.- 2x2x10 Coco Lumber; 4 kgs. #16 G.I. Tie Wire; 6 kgs. Assorted CW Nai</t>
  </si>
  <si>
    <t xml:space="preserve"> Fifteen Hose (2inches diam; 60m/roll)</t>
  </si>
  <si>
    <t xml:space="preserve"> INVITATION TO BID The City Vigan, through its Bids and Awards Committee (BAC), invites suppliers/manufacturers/distributors/contractors to apply for eligibility and to bid for the hereunder project: Name of Project:	Construction of Vigan Display Center-Ph</t>
  </si>
  <si>
    <t xml:space="preserve"> INVITATION TO BID The City of Vigan, through its Bids and Awards Committee (BAC), invites suppliers/manufacturers/distributors/contractors to apply for eligibility and to bid for the hereunder project: Name of Project:	Procurement of 1 (One) Unit Double C</t>
  </si>
  <si>
    <t xml:space="preserve"> for ICT upgrading in preparation for Online Class and Enrollment</t>
  </si>
  <si>
    <t xml:space="preserve"> Please quote your lowest possible price for the SUPPLY AND DELIVERY OF PRINTING SUPPLIES : HP TONER CARTRIDGES. For the complete details of the items that we need, please see attached Request for Quotation form. AGAIN , ALL DETAILS ARE IN THE ATTACHED FOR</t>
  </si>
  <si>
    <t xml:space="preserve"> 1	PC	CONTROLLER 1268 1	PC	MAIN CONTACTOR  1	CAN	BRAKE CLEANER 1	LOT	LABOR AND MILEAGE</t>
  </si>
  <si>
    <t xml:space="preserve"> Requesting for Quotation (RFQ) for PR No. 2007166  Interested suppliers are invited to submit Sealed Price Quotations for the above listed items. The Request for Quotation (RFQ) for may be obtained from Mr. Albert A. Camarillo City General Services Office</t>
  </si>
  <si>
    <t xml:space="preserve"> See the attached PR</t>
  </si>
  <si>
    <t xml:space="preserve"> Republic of the Philippines City of Cadiz Bids and Awards Committee BID FORM 							 Atty. Reggie C. Placido Chairman  Bids and Awards Committee Sir: 	 	After having carefully read and accepted the conditions in the Invitation to Bid, I/We quote you on th</t>
  </si>
  <si>
    <t xml:space="preserve"> Please see attached document of details.</t>
  </si>
  <si>
    <t xml:space="preserve"> INVITATION TO BID SUPPLY AND DELIVERY OF ONE (1) UNIT VAN TYPE MULTICAB (5 SEATERS) FOR PERSONS WITH DISABILITY AFFAIRS OFFICE 1.	The Local Government Unit of Cabadbaran City through the GENERAL FUND intends to apply the sum of FOUR HUNDRED THOUSAND PESOS</t>
  </si>
  <si>
    <t xml:space="preserve"> Printing and Publication: Advocacy T-Shirts (Color Red) Short Sleeve Short Sleeve S     -20 pcs M     -50 pcs L      -80 pcs XL    -30 pcs XXL  -20 pcs Specifications: (T-Shirt) *Text and Logo is Heat Press *DSWD logo Color white front/back *Cloth: Cotton</t>
  </si>
  <si>
    <t xml:space="preserve"> Please see attached.</t>
  </si>
  <si>
    <t xml:space="preserve"> Q widening 1.50 x 55.00 Q p slope   15.5 x   1.65</t>
  </si>
  <si>
    <t xml:space="preserve"> 1700        LTR         DIESEL FUEL</t>
  </si>
  <si>
    <t xml:space="preserve"> SOLAR LIGHTS SAND GRAVEL CEMENT BOULDERS PLYWOOD GI PIPE #3 WELDING ROD COMMON NAIL #2 COMMON NAIL #3 EPOXY PRIMER</t>
  </si>
  <si>
    <t xml:space="preserve"> Breakfast Bottled Water Seedlings Bags (3" x 3" x 8") Cultivars, Plants</t>
  </si>
  <si>
    <t xml:space="preserve"> See attached document.</t>
  </si>
  <si>
    <t xml:space="preserve"> 1.	Surface and Environmental Disinfectant •	Volume: one (1) liter •	User friendly •	Micro bacterial kill time effective at least in (1) one minute •	Non-Corrosive; Non-Toxic; Non-Hazardous •	Pleasant Odor •	 Soil Tolerant is at least 98% •	Biodegradable/E</t>
  </si>
  <si>
    <t xml:space="preserve"> 1	1	set	Submersible Pump, 2HP, Model # 33 DS 20			 			Closed Coupled to a Franklin Submersible			 			Motor, 2 H.P. 230 V, Single Phase 3500 RPM			 			4" dia w/ Motor Control Box			 2	1	set	Motor Control Panel, Complete with the ff. accessories:			 			1 Ne</t>
  </si>
  <si>
    <t xml:space="preserve"> SCHOOL'S OFFICE SUPPLIES TO BE USED BY THE SCHOOL TEACHERS IN MAKING MODULES</t>
  </si>
  <si>
    <t xml:space="preserve"> 1.	Kinder                                …………………………………………………………………………….9,786 units Pages: 20  2.	Grade 1 Subject : English              …………………………………………………………………………….13,391 units Pages: 20 3.	Grade 1 Subject : Math                …………………………………………………………………</t>
  </si>
  <si>
    <t xml:space="preserve"> PURCHASE OF VITAMINS FOR KIDS AND MEDICINES FOR THE CONSTITUENTS OF BARANGAY SAN JOAQUIN, PASIG CITY</t>
  </si>
  <si>
    <t xml:space="preserve"> 20   	pcs	Roofing Sheet 10" GA 26 10 	pcs	Gutter 10 	pcs	Good Lumber 2x2x12 10 	pcs	Good Lumber 3x2x12 14 	pcs	Ordinary Plywood 1/4 thk 6 	gal	QDE Paint White 4 	gal	Laquer thinner 2 	pcs	Paint Brush #2 4 	pcs	Roller Brush 2 	kl	Umbrella Nail 2 	kl	Common</t>
  </si>
  <si>
    <t xml:space="preserve"> Short/long/legal size printing</t>
  </si>
  <si>
    <t xml:space="preserve"> Name of Project:      	Catering Services for the Procurement and delivery of meals and snacks for the 2020 Census                                  of Population and Housing (CPH) Fourth Level Training – Municipality of Hagonoy Brief Description:         	</t>
  </si>
  <si>
    <t xml:space="preserve"> The AGRICULTURAL TRAINING INSTITUTE-REGIONAL TRAINING CENTER (ATI-RTC) X, through the 2020 General Appropriations Act intends to apply the sum of Forty Thousand  Sixty Five Pesos (P 40,065.00) being the Approved Budget for the Contract (ABC) to payments u</t>
  </si>
  <si>
    <t xml:space="preserve"> Certificate Holder A4 Foldable with plastic cover  20 piece Specialty Paper, Ivory, 8.5 x 13 inches, 170gsm, 10’s 30 pack 3-Hole Ring Binder Folder A4, Red Color, 1.5in – 3in Dtype with Label Insert on side &amp; front pocket 4 piece</t>
  </si>
  <si>
    <t xml:space="preserve"> The Supreme Court of the Philippines through procurement section of Property Division OAS invites interested bidders/suppliers for supply of : 2 pcs battery 4D 1 pc battery 2smf for generator 6 pcs tires 10.00 x 20 x R16 for more inquiries please call Mr.</t>
  </si>
  <si>
    <t xml:space="preserve"> The Government of the Philippines (GOP) has received a loan from World Bank towards the cost of Philippine Rural Development Project, and it intends to apply part of the proceeds of this Loan to payments for the procurement of  Food, Venue and Accommodati</t>
  </si>
  <si>
    <t xml:space="preserve"> cement	3.00	bags 10mm dia. Deformed bars	8.00	pcs #16 G.I. wire	1.00	kgs Sand	0.50	cu. m Gravel	0.50	cu. m CWN Asst'd. size	8.00	kgs. Hardeflex (1/4 ")	40.00	pcs Tubular (2"x2")	25.00	pcs Blind Revits	2.00	box safety breaker (30A)	1	pc utility box	14	pcs </t>
  </si>
  <si>
    <t xml:space="preserve"> please see attached RFQ</t>
  </si>
  <si>
    <t xml:space="preserve"> MINDANAO STATE UNIVERSITY			Reference Nos.                           	710-20/07-02-2020 Fatima, General Santos City			Project Name:	 			Location:________________________	 REQUEST FOR QUOTATION				 __________________________			Date :  July 17, 2020	       </t>
  </si>
  <si>
    <t xml:space="preserve"> Requesting for Quotation (RFQ) for PR No. 2007196  Interested suppliers are invited to submit Sealed Price Quotations for the above listed items. The Request for Quotation (RFQ) for may be obtained from Mr. Albert A. Camarillo City General Services Office</t>
  </si>
  <si>
    <t xml:space="preserve"> Date: August 4, 2020  Quotation No.: 2020-065 REQUEST FOR QUOTATION The Municipal Government of Victoria, through the Bids and Awards Committee, will undertake Small Value Procurement for the “Provision of school supplies to 28 Public Elementary and 7 Sec</t>
  </si>
  <si>
    <t xml:space="preserve"> Item No.	 1. Battery AA - dry cell,2 pieces per blister pack	QTY: 50pcs	Approved Budget: 10,000.00 2. Calculator 12-Digit - COMPACT, electronic, 12 digits cap	QTY: 20	Approved Budget: 8,000.00 3. External Hard Disk 1TB - 1TB, 2.5"HDD, USB 3.0, 1 unit in i</t>
  </si>
  <si>
    <t xml:space="preserve"> Procurement of Printer with Scanner - Sangguniang Bayan Office 1. Printer with scanner -  1 unit Specifications: laser jet MFP M43NDA Print Speed: 23 PPM Built-in Internet Networking SOAN Speed: A4 up to 30jpm automatic duplex printing and copying</t>
  </si>
  <si>
    <t xml:space="preserve"> Name of Project:      	Catering Services for the Procurement and delivery of meals and snacks for the 2020 Census                                  of Population and Housing (CPH) Fourth Level Training – City of Malolos Brief Description:         	The Bula</t>
  </si>
  <si>
    <t xml:space="preserve"> Chariot Motorcycle 175 CC</t>
  </si>
  <si>
    <t xml:space="preserve"> INVITATION TO BID SUPPLY AND DELIVERY OF 223 VERO CELL VIALS FOR THE CITY HEALTH OFFICE 1.	The Local Government Unit of Cabadbaran City through the GENERAL FUND intends to apply the sum of TWO HUNDRED TWENTY-NINE THOUSAND SIX HUNDRED NINETY PESOS ONLY (P </t>
  </si>
  <si>
    <t xml:space="preserve"> 185 boxes facemask 31 pcs Thermal Gun 10 boxes Surgical Gloves 185 pcs Alcohol 70&amp; 35 pcs disinfectant</t>
  </si>
  <si>
    <t xml:space="preserve"> INVITATION TO BID FOR THE PURCHASE OF PHOTOCOPY MACHINE FOR TANAUAN SCHOOL OF ARTS AND TRADE (TSAT); TO WIT: PLEASE SEE ATTACHED SPECIFICATIONS: 1. The Local Government Unit of Tanauan, Leyte through General Fund intends to apply the sum of ONE HUNDRED TH</t>
  </si>
  <si>
    <t xml:space="preserve"> VARIOUS CONSTRUCTION MATERIALS AND SUPPLIES (ATTACHED REQUEST FOR QUOTATION)</t>
  </si>
  <si>
    <t xml:space="preserve"> see attached document xxxxxxxxxxxxxxxxx</t>
  </si>
  <si>
    <t xml:space="preserve"> •	Submit Calibration Report and Certificate •	Calibration with the following parameters  (Please see attached file)</t>
  </si>
  <si>
    <t xml:space="preserve"> Multivitamins (Electrolytes) - 4 boxes Antibiotic (Powder) - 4 boxes Disinfectant - 8 gallons Infrared Lamp - 12 piece Knapsack Sprayer - 2 units Newspaper - 60 kilos Rice Hull - 30 sacks Waterer - 12 piece Automatic Feeder - 10 piece Curtain (Trapal) 60 </t>
  </si>
  <si>
    <t xml:space="preserve"> 15       ROLL         P.E TUBING 3/4X150M 12       ROLL         P.E TUBING 1/2X300M 14       PC            P.E COUPLING 3/4 11       PC            P.E COUPLING 1/2 1         PC            P.E COUPLING REDUCER 3/4X1/2 12       PC            P.E TEE 1/2 1  </t>
  </si>
  <si>
    <t xml:space="preserve"> Republic of the Philippines Municipality of Tabuelan Invitation to Bid  The Philippine Government Electronic Procurement System Office – Procurement Service invites PhilGEPS registered suppliers to bid for the hereunder items Attached: Description: 100 Un</t>
  </si>
  <si>
    <t xml:space="preserve"> Qnty  Unit  item Description 1500 pcs face shield 500  pcs  Face Mask Reusable</t>
  </si>
  <si>
    <t xml:space="preserve"> Construction Materials</t>
  </si>
  <si>
    <t xml:space="preserve"> Republic of the Philippines CITY OF TACURONG OFFICE OF THE CITY MAYOR INVITATION TO BID FOR PROGRESSIVE CONSTRUCTION OF MULTI-PURPOSE BUILDING (Contract ID No: 2020-CW-023) The City Government of Tacurong, through Continuing 2019 CMO – Property, Plant &amp; E</t>
  </si>
  <si>
    <t xml:space="preserve"> Name of Project:      	Catering Services for the Procurement and delivery of meals and snacks for the 2020 Census                                  of Population and Housing (CPH) Fourth Level Training – Municipality of Marilao Brief Description:         	</t>
  </si>
  <si>
    <t xml:space="preserve"> 120       PCS         Rapid Diagnostic Test Kit        999.00         199,880.00                                                                                 Total: 199,880.00</t>
  </si>
  <si>
    <t xml:space="preserve"> 1. 5 Unit Heavy Duty Photocopier Specifications:  *Digital Copier with Network Printing, Color Scanning &amp; Up gradable with an Optional Network Fax *HyPAS solution platform technology enabled  *Copy and Print speed of 40 copies per minute, A4 *9 - inch Col</t>
  </si>
  <si>
    <t xml:space="preserve"> 5 units, tablet            - octa core            - andriod platform            - buit-in battery with charger            - 10.1" screen            - 16 gb internal storage            - 2/3 gb ram</t>
  </si>
  <si>
    <t xml:space="preserve"> Republic of the Philippines				 Province of Quezon 				 Municipality of Lucban				 				 Bill of Quantities				 Quantity	Unit	Articles/Description	Unit Price	Amount 				  100 	sq.m	Demolition (Existing Pavement)	 	  100	sq.m	Subgrade Preparation	 	  15	cu.</t>
  </si>
  <si>
    <t xml:space="preserve"> Republic of the Philippines PROVINCE OF QUIRINO Cabarroguis -oOo- BIDS AND AWARDS COMMITTEE INVITATION TO BID FOR  Procurement of Various Medical Supplies for COVID-19 Prevention Contract No. PB-GS-2020-009 							August 5, 2020 1.	The Bids and Awards Com</t>
  </si>
  <si>
    <t xml:space="preserve"> Republic of the Philippines PROVINCE OF BUKIDNON Municipality of Sumilao INVITATION TO BID  ITB NO. CW-2020-10 REHABILITATION OF BARANGAY ROADS AT SUMILAO AREA 2020 1.	The Local Government Unit of Sumilao, through its Bds Awards Committee (BAC) invites co</t>
  </si>
  <si>
    <t xml:space="preserve"> 10	pcs	Plywood Marine 1/4" x 4' x 8'					 15	pcs	Plywood Marine 1/2" x 4' x 8'					 40	pcs	1  1/4" x 6m G.I. pipe					 12	1 liter	Colorant (tinting color) latex					 3	pcs	Pull Push Rule, 5 meters					 3	set	Screw Driver					 4	set	Flat Driver					 25	pai</t>
  </si>
  <si>
    <t xml:space="preserve"> CAGAYAN DE ORO CITY 1ST DISTRICT ENGINEERING OFFICE REGIONAL OFFICE X 	10th RES Compound, Bulua, Cagayan de Oro City 	 INVITATION TO BID The Department of Public Works and Highways – Cagayan de Oro City 1st District Engineering Office, through its Bids an</t>
  </si>
  <si>
    <t xml:space="preserve"> 4 pcs. Bearing # 6310</t>
  </si>
  <si>
    <t xml:space="preserve"> THE NATIONAL IRRIGATION ADMINISTRATION-SCIMO, THROUGH THE FUND 501 HAS THE APPROVED BUDGET FOR THE CONTRACT (ABC) AMOUNTING FIFTY-TWO THOUSAND FOUR HUNDRED PESOS ONLY (52,400.00).  QUOTATION RECEIVED IN EXCESS OF THE ABC SHALL BE AUTOMATICALLY REJECTED. I</t>
  </si>
  <si>
    <t xml:space="preserve"> Sardines- 70 pieces (155g) Corned Beef- 70 pieces 260 grams Tuna-  180 grams Coffee-70 pieces (50g) Biscuits- 70 pieces 200 grams Rice-  77 packs (Long Grain 25 kg) Cup Noodles-- 77 pieces 60 grams Instant Noodles (dry)-- 80 pieces 130 grams Instant Noddl</t>
  </si>
  <si>
    <t xml:space="preserve"> Includes all necessary items, materials, and labor for the  complete installation of the whole system but not limited to the ff: a. All other needed supplies and materials for the installation please see attached specifications  b. Mobilization/demobiliza</t>
  </si>
  <si>
    <t xml:space="preserve"> PROCUREMENT TERMS AND CONDITIONS						 						 1. The Total Approved Budget for the Contract (ABC) is ONE HUNDRED NINETY NINE THOUSAND PESOS ONLY (199,000.00)						 2. Price Quotation should be inclusive of tax obligation.						 3. Evaluation of bids will </t>
  </si>
  <si>
    <t xml:space="preserve"> Republic of the Philippines BARANGAY PANGAO OFFICE OF THE PUNONG BARANGAY BIDS AND AWARDS COMMITTEE INVITATION TO BID The Barangay Government of BARANGAY PANGAO through its Bids and Awards Committee (BAC), invites suppliers/manufacturers/distributors to b</t>
  </si>
  <si>
    <t xml:space="preserve"> Qb.outpost   1.2 x2.00    2.40 m2</t>
  </si>
  <si>
    <t xml:space="preserve"> SPECIFICATIONS: *Motherboard (H310M-DS2) *DDR4 8GB (HYPER-X) *HDD 1TB (WD) *VIDEOCARD 2GB (GIGABYTE GT1030 2GB DDR5) *PROCESSOR i5 (intel-core i5 9th Gen) *MONITOR AOC 21.5'' (FRAMELESS) *KEYBOARD PS2 *MOUSE USB *MOUSE PAD *CSV HEADSET *AVR *CASING  *POWE</t>
  </si>
  <si>
    <t xml:space="preserve"> Stock No.	Item Description	QTY. 	Unit 1	Tarpaulin ( 5ft x 8ft = 40x35 per sq.foot= 1,400.00)	2	Pcs. 	Color: Brown Green, Yellow, Red		 	Orange, Black, White		 for CIEPO			 			 1	Banderitas	20	packs 	kind of Banderitas: Plastic Triangle		 	Size: 8 inches x</t>
  </si>
  <si>
    <t xml:space="preserve"> INVITATION TO BID Project Name:	Construction of Material Recovery Facility (15 units) Name of Bidder:	 Address :	 ITB Number:	Dawan - 02-20 ABC	P 69,915.00 Please quote your lowest price on the item/s listed below, stating the shortest time of delivery an</t>
  </si>
  <si>
    <t xml:space="preserve"> Republic of the Philippines PROVINCE OF QUIRINO Cabarroguis -oOo- BIDS AND AWARDS COMMITTEE INVITATION TO BID FOR  Procurement of One (1) Unit X-Ray Tube Assembly and One (1) Unit High Voltage Tank for CT Scan  Compatible with GE Brightspeed Select Edge C</t>
  </si>
  <si>
    <t xml:space="preserve"> L=72m, W=4.m, T=0.15m, Using Class"A" Concrete Mixture</t>
  </si>
  <si>
    <t xml:space="preserve"> Item No.  1. Emulsion Wax	QTY: 30gal	Approved Budget: 7,500.00 2. Toilet Bowl Cleaner	QTY: 15gal	Approved Budget: 3,750.00 3. Pranela Cloth 12x8, assorted colors	QTY: 60	Approved Budget: 3,000.00 4. Insecticide Spray, aerosol, 300ml	QTY: 48can	Approved Bu</t>
  </si>
  <si>
    <t xml:space="preserve"> Republic of the Philippines Province of Davao de Oro Municipality of Monkayo -o0o- INVITATION TO BID FOR THE PROCUREMENT OF FUEL FOR MAYOR’S OFFICE USE  The Municipality of Monkayo, through the GENERAL FUND intends to apply the sum of ONE HUNDRED FORTY TH</t>
  </si>
  <si>
    <t xml:space="preserve"> The City Government of San Pedro, Laguna invites interested parties to quote for the following item/s as per request OM: Qty.	Unit of Issue	Item Description 		Executive Office &amp; Admin Office at Brgy. Chrysanthemum 2	unit	2.5HP Wall Mounted 1	lot	Installat</t>
  </si>
  <si>
    <t xml:space="preserve"> PROCUREMENT OF VARIOUS OFFICE SUPPLIES/EQUIPMENT/DEVICES SEE ATTACHED CANVASS FORM FOR THE DETAILS OF ITEMS BEING PROCURED AND THE REQUIREMENTS ALL THE ITEMS ARE GROUP INTO ONE AND PROCURED ON A LOT BASIS QUOTATION/BID WITH INCOMPLETE DOCUMENTS AS PER STA</t>
  </si>
  <si>
    <t xml:space="preserve"> PR#20-08-0472 ABC 480,000.00 3 units - Supply and Delivery of Container Van 20’ ( Used-in Good Condition ) Exterior Painted w/ Primer – Gray Dimension: 6.09x2.44x59-M including delivery at MCWD Lot @ Ramon Rabago Street, RH-13, Cotabato City. Terms and Co</t>
  </si>
  <si>
    <t xml:space="preserve"> Date: _________________ REQUEST FOR QUOTATION The City Government of Olongapo (CGO), through its Bids and Awards Committee, would like to undertake a Request for Quotation in accordance with RULE XVI Alternative Mode of Procurement, Section 52 (Shopping) </t>
  </si>
  <si>
    <t xml:space="preserve"> Kinder to Grade 6 117,869 copies x. 75 = P 88,401. 75</t>
  </si>
  <si>
    <t xml:space="preserve"> Requesting for Quotation (RFQ) for PR No. 2006020  Interested suppliers are invited to submit Sealed Price Quotations for the above listed items. The Request for Quotation (RFQ) for may be obtained from Mr. Albert A. Camarillo City General Services Office</t>
  </si>
  <si>
    <t xml:space="preserve"> Republic of the Philippines PROVINCE OF BOHOL Municipality of Dagohoy INVITATION TO BID FOR THE PURCHASE OF MEDICINE FOR THE RURAL HEALTH UNIT OF LGU-DAGOHOY 1.	The Local Government Unit of Dagohoy, Bohol intends to apply the sum of Three Hundred Fourteen</t>
  </si>
  <si>
    <t xml:space="preserve"> ITEM NO.	QTY.	U.M. 	 ITEM &amp; DESCRIPTION	Approved Budget for the Contract (ABC)	UNIT COST 	TOTAL COST  1	10	Bottle	Ink for Epson Printer, 664 Black	3,500.00		 2	30	Box	Staple wire, standard	1,200.00		 3	100	Pcs	Compact Disk rewriteable ( CD-RW) 700MB, 80 m</t>
  </si>
  <si>
    <t xml:space="preserve"> 1.   The Barangay Council of Libertad, Nabas, Aklan through its local budget approved by the Sanggunian, intends to apply the sum of One Hundred Ten Thousand Pesos and 00/100 only (P 110,000.00), being the Approved Budget for the Contract (ABC) to payment</t>
  </si>
  <si>
    <t xml:space="preserve"> The Bids &amp; Awards Committee (BAC) of Barangay Mandilikit, Argao, Cebu, invites all interested suppliers/manufacturers/distributors/contractors/consultants to apply for eligibility and to submit bids for the following: DIRECT COST: I. SITE WORKS:   I.1. BA</t>
  </si>
  <si>
    <t xml:space="preserve"> Republic of the Philippines Province of Davao de Oro Municipality of Monkayo -o0o- INVITATION TO BID FOR THE PROCUREMENT OF FOOD SUPPLIES FOR PROVISION OF FOOD ASSISTANCE TO INDIGENT FAMILY  The Municipality of Monkayo, through the GENERAL FUND intends to</t>
  </si>
  <si>
    <t xml:space="preserve"> 10	Box	Allopurinol 300 mg. tab. 100’s/box 		 10	Box	Aluminum Magnesium Hydroxide 200mg tab, 100’s/box 		 50	Box	Amlodipine 10mg. 100’s/box 		 50	Box	Amlodipine 5mg. 100’s/box 		 50	Box	Amoxicillin Capsule 500mg. 100’s/box 		 200	Bottle	Amoxicillin Drops 1</t>
  </si>
  <si>
    <t xml:space="preserve"> L=50m, w=4m,t=0.15m for pavement; h=.30m,h2=.4m,h4=1m,L=50m for ripraping</t>
  </si>
  <si>
    <t xml:space="preserve"> 300 pcs Flu vaccine</t>
  </si>
  <si>
    <t xml:space="preserve"> Republic of the Philippines Province of Oriental Mindoro MUNICIPALITY OF SAN TEODORO INVITATION TO BID FOR THE  CONSTRUCTION OF PUBLIC MARKET No. 2020-15 August 4, 2020 1.	The Municipality of San Teodoro intends to apply the sum of Fifteen Million Five Hu</t>
  </si>
  <si>
    <t xml:space="preserve"> Republic of the Philippines Province of Quezon MUNICIPAL GOVERNMENT OF CATANAUAN  REQUEST FOR QUOTATION	             Date:  _____________   	     Quotation No. _______ ________________________  Name of Dealer/Supplier/Distributor _________________________</t>
  </si>
  <si>
    <t xml:space="preserve"> Corrugated Plastic Conduit ½ (150m) for electrical  1 roll</t>
  </si>
  <si>
    <t xml:space="preserve"> Name of Project:      	Catering Services for the Procurement and delivery of meals and snacks for the 2020 Census of Population and Housing (CPH) Fourth Level Training – City of Meycuayan Brief Description:         	The Bulacan Provincial Statistical Offi</t>
  </si>
  <si>
    <t xml:space="preserve"> please see the attached documents</t>
  </si>
  <si>
    <t xml:space="preserve"> Invitation to Bid for the Construction of Integrated Bus &amp; Jeepney Terminal  1.	The Local Government Unit of Sapang Dalaga Bids and Awards Committee (BAC), funded from theDBP Loan, intends to apply the sum of P41,998,557.00.00 being the Approved Budget fo</t>
  </si>
  <si>
    <t xml:space="preserve"> INVITATION TO BID SUPPLY AND DELIVERY OF 55 SACKS WELL - MILLED RICE (50KG) FOR NATIONAL TUBERCULOSIS CONTROL PROGRAM 1.	The Local Government Unit of Cabadbaran City through the GENERAL FUND intends to apply the sum of ONE HUNDRED FIFTEEN THOUSAND FIVE HU</t>
  </si>
  <si>
    <t xml:space="preserve"> VARIOUS MUSICAL INSTRUMENTS (ATTACHED REQUEST FOR QUOTATION)</t>
  </si>
  <si>
    <t xml:space="preserve"> Q welcome arc  17.20 x 0.80    13.76 m2</t>
  </si>
  <si>
    <t xml:space="preserve"> Invitation to Bid The Liminangcong National High School through its Bids and Awards Committee invites PhilGEPS registered suppliers to apply to bid for The purchase of various office and school supplies. Delivery of items is required 5 days upon the recei</t>
  </si>
  <si>
    <t xml:space="preserve"> OFFFICE: MUNICIPAL HEALTH OFFICE PURPOSE: FOR RHU OUTPATIENT AND HEALTH CARAVAN ABC: 299,550.00 ITEM DESCRIPTION 300 BOT LAGUNDI SUSP 60ML 100 BOX LAGUNDI 300MG TAB 300 BOT AMOXICILLIN 250MG SUSPENSION 100 BOT COTRIMOXAZOLE SUSPENSION 300 BOT ASCORBIC ACI</t>
  </si>
  <si>
    <t xml:space="preserve"> REPUBLIC OF THE PHILIPPINES				 PROVINCE OF BOHOL				 MUNICIPALITY OF PANGLAO				 BARANGAY LOOC				 				 ABSTRACT OF BID				 				 ____________________________				 ____________________________				 ____________________________				 				  Sealed proposals,pla</t>
  </si>
  <si>
    <t xml:space="preserve"> Name of Project:      	Catering Services for the Procurement and delivery of meals and snacks for the 2020 Census                                  of Population and Housing (CPH) Fourth Level Training – Municipality of Norzagaray Brief Description:       </t>
  </si>
  <si>
    <t xml:space="preserve"> PROCUREMENT OF DESKTOP COMPUTER: Processor: Intel i5 8400;  Motherboard: DDR4 compatible motherboard with integrated graphics and 2 memory slots;  RAM: 4gb DDR4 2666MHz to 8GB DDR4 RPM Sata;                         Video Card- integrated Ultra HD Graphics</t>
  </si>
  <si>
    <t xml:space="preserve"> PR#20-08-0470 ABC 620,000.00 800 bags - Poly Aluminum Chloride (PAC) 25kg. per bag Poly Aluminum Chloride, Food Grade Specs Drinking Water Treatment Properties: Lemon yellow fine powder use spray drying technology  Usage: The product is widely used for dr</t>
  </si>
  <si>
    <t xml:space="preserve"> OFFICE: MUNICIPAL HEALTH OFFICE PURPOSE: TB PROGRAM/ SENIOR CITIZEN ABC: 193,000.00 ITEM DESCRIPTION 200 BOX VIT B COMPLEX 200 BOX MULTIVITAMINS + MINERALS 500MG CAPSULE 100 BOX ASCORBIC ACID 500MG TABLET</t>
  </si>
  <si>
    <t xml:space="preserve"> Grade 7- 10 159276 copies x .75 = P 119457</t>
  </si>
  <si>
    <t xml:space="preserve"> * Pakyaw Labor Only Water Exploration Drilling of 80 feet, 10 inches diameter borehole, including  the   installation of well casing 8 inches diameter Upvc pipe. Project Location : Barangay Tigbawan, Tabuelan, Cebu</t>
  </si>
  <si>
    <t xml:space="preserve"> Please see attached document of the details.</t>
  </si>
  <si>
    <t xml:space="preserve"> Republic of the Philippines										 Province of Misamis Oriental										 CITY OF EL SALVADOR										 										 REQUEST FOR QUOTATION										 										 								No.	2020-07-856	 										 										 										 										 	Please quote your price </t>
  </si>
  <si>
    <t xml:space="preserve"> Republic of the Philippines Province of Bukidnon MUNICIPALITY OF PANGANTUCAN TIN 099-000-631-170 OFFICE OF THE MUNICIPAL MAYOR Bids and Awards Committee (BAC) Cell # 09261024636  Email us: munpangantucanbukidnon@yahoo.com  or visit www.philgeps.net REQUES</t>
  </si>
  <si>
    <t xml:space="preserve"> Various Other Supplies &amp; Materials</t>
  </si>
  <si>
    <t xml:space="preserve"> 1	8	pcs	Upper arm bushing	 2	32	gals	Oil 40	 3	32	liters	ATF	 4	32	pcs	Flushing oil	 5	8	pcs	Connecting Rod bearing	 6	98	liters	Coolant	 7	8	pcs	 Shock absorber front 	 8	8	pcs	Shock absorber rear 	 9	8	pcs	Freon recharging	 10	8	pcs	Clutch disc	 11	150	</t>
  </si>
  <si>
    <t xml:space="preserve"> Request for Quotation for the Procurement of Agricultural Supplies to be used for the Management and Control of Fall Armyworm (FAW) Infestation 1.	The Department of Agriculture-Regional Field Office 7 (DA-RFO 7), through the General Appropriations Act of </t>
  </si>
  <si>
    <t xml:space="preserve"> INVITATION TO BID SUPPLY AND DELIVERY OF CONSTRUCTION SUPPLIES AND MATERIALS FOR ENVIRONMENTAL HEALTH AND SANITATION PROGRAM 1.	The Local Government Unit of Cabadbaran City through the GENERAL FUND intends to apply the sum of NINE HUNDRED NINETY-TWO THOUS</t>
  </si>
  <si>
    <t xml:space="preserve"> INVITATION TO BID FOR THE PURCHASE OF AUTO SUPPLIES FOR THE REGULAR MAINTENANCE OF 17 MPVs; TO WIT: PLEASE SEE ATTACHED SPECIFICATIONS: 1. The Local Government Unit of Tanauan, Leyte through General Fund intends to apply the sum of ONE HUNDRED SEVENTY SIX</t>
  </si>
  <si>
    <t xml:space="preserve"> Installation of 2 Units Contamination Chamber, Waiting Area &amp; Concrete Stairs</t>
  </si>
  <si>
    <t xml:space="preserve"> Republic of the Philippines Provincial Government of Northern Samar BIDS and AWARDS COMMITTEE REQUEST FOR QUOTATION                      Date: August 03, 2020  RFQ No.: 20-08-0221 Name of Supplier (Business Name): _________________________________________</t>
  </si>
  <si>
    <t xml:space="preserve"> PLEASE SEE ATTACHED FILE FOR YOUR REFERENCE.</t>
  </si>
  <si>
    <t xml:space="preserve"> 1		1	unit	Printer 3 IN 1	 2		60	ream	Book Paper A4	 3		5	sets	Printer Ink - BMCY 	 4		6	bot.	Printer Ink - Black	 5		50	pcs.	Folder A4- Violet	 6		50	pcs.	Folder A4-Brown	 7		2	box	Ball Pen- Black	 8		2	box	Sign Pen- Black tip: 0.5mm	 9		1	gal.	Alcohol 	 </t>
  </si>
  <si>
    <t xml:space="preserve"> Republic of the Philippines Office of the Punong Barangay BIDS AND AWARDS COMMITTEE Mambug, Burgos, Ilocos Sur INVITATION TO BID The Barangay Government of Mambug, Burgos, Ilocos Sur, through its Bids and Awards Committee (BAC) invites bids for the hereun</t>
  </si>
  <si>
    <t xml:space="preserve"> Republic of the Philippines Province of Bukidnon MUNICIPALITY OF TALAKAG  	 INVITATION TO SUBMIT QUOTATION FOR THE PROCUREMENT OF GOODS RECOMMENDED FOR SMALL VALUE PROCUREMENT PURSUANT TO SECTION 53.9 OF THE REVISED IMPLEMENTING RULES AND REGULATION OF R.</t>
  </si>
  <si>
    <t xml:space="preserve"> Purchase of Constructions Materials</t>
  </si>
  <si>
    <t xml:space="preserve"> CONCRETING : LENGTH 51 + 72 = 123 meters  BREAKDOWN OF EXPENDITURES :  I.    MATERIALS     -    P  63,845.00 II.   LABOR            -       21,150.00       TOTAL             -   _____________                                 P  84,995.00                   </t>
  </si>
  <si>
    <t xml:space="preserve"> To support the procurement of two (2) quartz Black Laminar X-500 with PN: Akzo Nobel 8B6A/50C3A and 2 other L/I for use in the Unsched Maint of C295 aircraft.</t>
  </si>
  <si>
    <t xml:space="preserve"> see attached document</t>
  </si>
  <si>
    <t xml:space="preserve"> Invitation to Bid for SUPPLY AND DELIVERY OF OFFICE EQUIPMENT  FOR MUNICIPAL SOCIAL WELFARE AND DEVELOPMENT OFFICE The Municipal Government of Looc, Romblon, through the AO-NO. 021-2020 Supplemental Appropriation1 intends to apply the sum of One Hundred T</t>
  </si>
  <si>
    <t xml:space="preserve"> THE NATIONAL IRRIGATION ADMINISTRATION-SCIMO, THROUGH THE FUND 501 HAS THE APPROVED BUDGET FOR THE CONTRACT (ABC) AMOUNTING ONE HUNDRED FIFTY THOUSAND PESOS ONLY (150,000.00).  QUOTATION RECEIVED IN EXCESS OF THE ABC SHALL BE AUTOMATICALLY REJECTED. INTER</t>
  </si>
  <si>
    <t xml:space="preserve"> ITEMS: 32 UNITS PORTABLE TWO WAY RADIO (UV85+ with battery pack, antenna, charger &amp; battery clip)</t>
  </si>
  <si>
    <t xml:space="preserve"> Republic of the Philippines Province of Leyte Municipality of Hilongos BARANGAY PA-A REQUEST FOR QUOTATION _____________ Date  _______________________ _______________________  ______________________                                Please quote your lowest </t>
  </si>
  <si>
    <t xml:space="preserve"> Meals</t>
  </si>
  <si>
    <t xml:space="preserve"> PLEASE SEE ATTACHED FILES FOR YOUR REFERENCE.</t>
  </si>
  <si>
    <t xml:space="preserve"> Item No.     1. Paint Brush 1”	QTY: 5	Approved Budget: 500.00 2. Paint Brush 2”	QTY: 5	Approved Budget: 750.00 3. Paint Roller with foam big – cotton 9”	QTY: 3	Approved Budget: 750.00 4. Paint Roller with foam small – cotton 4”	QTY: 3	Approved Budget: 540</t>
  </si>
  <si>
    <t xml:space="preserve"> This project is by lot, partial bid is not accepted LOT INTERNET SERVICES 1 ANNUAL INSTITUTIONAL PREMIUM SUBSCRIPTION TO VIDEO CONFERENCING APPLICATION *One year, Institutional. *100 users. *Up to 100 people/meeting. *Unlimited meeting. *Video conferencin</t>
  </si>
  <si>
    <t xml:space="preserve"> 200 pcs N95 1860 masks, medical grade</t>
  </si>
  <si>
    <t xml:space="preserve"> 143 bags portland cement 12 cu.m washed sand 24 cu.m gravel 100 pcs. 10mm x 6m RSB 50 kg G.I. tie wire 20 kg assorted CW nails 1/2" x 4' x 8' ordinary plywood 15 pcs. 1/2" x 3" x 10' coco lumber</t>
  </si>
  <si>
    <t xml:space="preserve"> BId-Opening-August 27,2020 at 2:00 p.m. at Municipal Conference Room</t>
  </si>
  <si>
    <t xml:space="preserve"> 1,300 PIECE	PLASTIC EXPANDING ENVELOPE LEGAL, CLEAR, WITH HANDLE PUSH LOCK							 3 PACK	        COLORED PAPER, LEGAL ( 8 1/2" X 13"), ASSORTED COLORS,  80G SM, 250 SHEETS/PACK							 20 PIECE	        PACAKGAING TAPE, TAN, 48 MM x 80M							 100 PIECE	   </t>
  </si>
  <si>
    <t xml:space="preserve"> Construction Materials 			 		I. Construction Materials / Hand Tools					 1		Sand			cu.m	100 	 2		Cement			bags	203 	 3		DSB 10mm			kgs.	800 	 4		DSB 12mm			kgs.	800 	 5		DSB 16mm			kgs.	800 	 6		CHB ordinary (100mmx230mmx406mm)			pcs.	400 	 7		Welding Rod</t>
  </si>
  <si>
    <t xml:space="preserve"> REQUEST FOR QUOTATION 								Date: 		07/27/2020 								RFQ No.: 	20-69 Name of Business: 		_____________________________________________________ Address: 			_____________________________________________________ Name of Store:		__________________________</t>
  </si>
  <si>
    <t xml:space="preserve"> Issuance of Bid Documents Starts: August 5, 2020 Cost of Bid Document: Php 4,500.00 Venue of Dropping and Opening Bids: BAC Conference Room, Leyte SMED Center, Provincial Capitol Grounds, Tacloban City</t>
  </si>
  <si>
    <t xml:space="preserve"> RFQ-2020-231		 			 1.	2	cpy	A concicse guide infood &amp; beverage service procedures 2nd ed. Cornell, c2015 2.	1	cpy	A macro perspective on tourism and hospitality Lim c2019 3.	3	cpy	Administrative Office Management Flores c2019 4.	1	cpy	Advanced accounting </t>
  </si>
  <si>
    <t xml:space="preserve"> details at the engineering office</t>
  </si>
  <si>
    <t xml:space="preserve"> Repair/Maintenance of DPWH Building</t>
  </si>
  <si>
    <t xml:space="preserve"> INVITATION TO QUOTE FOR THE SUPPLY AND DELIVERY OF 2 UNITS OF COLLAPSIBLE MULTI-COMMODITY SOLAR DRYER SYSTEM 1. The Bureau of Plant Industry-Davao National Crop Research Development and Production Support Center (BPI-DNCRDPSC) intends to apply the sum of </t>
  </si>
  <si>
    <t xml:space="preserve"> Date: _________________ REQUEST FOR QUOTATION The City Government of Olongapo (CGO), through its Bids and Awards Committee, would like to undertake a Request for Quotation in accordance with RULE XVI Alternative Mode of Procurement, Section 53.9(Small Val</t>
  </si>
  <si>
    <t xml:space="preserve"> Materials</t>
  </si>
  <si>
    <t xml:space="preserve"> Request for Quotation</t>
  </si>
  <si>
    <t xml:space="preserve"> 8 units Fabrication of Triple Portable Stainless Sink with Stand and Roofing with Foot Bath Pedal Valve for both Water and Soap; Dimension is 200cm x 43cm x 210cm Including installation to the following schools: 2 units to Hagonoy National High School 2 u</t>
  </si>
  <si>
    <t xml:space="preserve"> INVITATION TO BID FOR THE  SUPPLY &amp; DELIVERY OF TEXTBOOKS &amp; INSTRUCTIONAL MATERIALS  Reference No 7153137 1.	The Philippine Science High School – Cagayan Valley Campus, through the NEP / General Appropriation Act of 2020 intends to apply the sum of One Mi</t>
  </si>
  <si>
    <t xml:space="preserve"> Section I. Invitation to Bid FOR THE UPLB-S-050-08-20  SUPPLY AND DELIVERY OF BOOKS FOR UNIVERSITY LIBRARY 1.	The UNIVERSITY OF THE PHILIPPINES LOS BAÑOS (UPLB), through the GOP intends to apply the sum of NINE HUNDRED EIGHTEEN THOUSAND SIX HUNDRED TWENTY</t>
  </si>
  <si>
    <t xml:space="preserve"> Instructional materials</t>
  </si>
  <si>
    <t xml:space="preserve"> sound System Swivel Chairs Water Dispenser (BIG) Rechargeable Trolley Speaker Camera - digital Single-lens reflex camera Executive Table top glass Clerical Table with Top Glass Office Table Executive Chair Stand Fan LCD Projector (portable Tripod 80 inch </t>
  </si>
  <si>
    <t xml:space="preserve"> Issuance of Bid Documents Starts: August 5, 2020 Cost of Bid Document: Php 4,000.00 Venue of Dropping and Opening Bids: BAC Conference Room, Leyte SMED Center, Provincial Capitol Grounds, Tacloban City</t>
  </si>
  <si>
    <t xml:space="preserve"> Periodicals and multimedia</t>
  </si>
  <si>
    <t xml:space="preserve"> Name of Project:      	Catering Services for the Procurement and delivery of meals and snacks for the 2020 Census of Population and Housing (CPH) Fourth Level Training – Municipality of Obando Brief Description:         	The Bulacan Provincial Statistical</t>
  </si>
  <si>
    <t xml:space="preserve"> Request for Quotation for the Procurement of 2 sets Grain Moisture Meter to be used in the collection, processing, and management of research data for DS and WS cropping… 1.	The Department of Agriculture-Regional Field Office 7 (DA-RFO 7), through the Gen</t>
  </si>
  <si>
    <t xml:space="preserve"> Construction of Box Culvert</t>
  </si>
  <si>
    <t xml:space="preserve"> 30 pk Welding Rod, Ordinary &amp; 29 L/I</t>
  </si>
  <si>
    <t xml:space="preserve"> 803 ea Folder File A4 &amp; 32 L/I</t>
  </si>
  <si>
    <t xml:space="preserve"> Republic of the Philippines PROVINCE OF BOHOL  Municipality of Pres. Carlos P. Garcia Tel. No. 519-2010 INVITATION TO APPLY FOR ELIGIBILITY AND TO BID The LGU-Pres. C. P. Garcia, through its Bids and Awards Committee (BAC), invites suppliers/manufacturers</t>
  </si>
  <si>
    <t xml:space="preserve"> OFFICE: MUNICIPAL HEALTH OFFICE PURPOSE: REPAIR AND MAINTENANCE OF AMBULANCE ABC: 111,650.00 ITEM DESCRIPTION 1 PC CONDENSER ASSAY 1 PC HEADLIGHT ASSY LH 1 PC BUMPER BRACKET LH 1 PC BUMPER BRACKET RH 1 PC TURBO INTERCOOLER</t>
  </si>
  <si>
    <t xml:space="preserve"> 58.25 SQ.M PLASTERING OF WINDOW JAMB, INSTALLATION OF CEILING, FLOOR TILES, PAINTING WORKS</t>
  </si>
  <si>
    <t xml:space="preserve"> INVITATION TO APPLY FOR ELIGIBILITY AND TO BID Bid Ref. No 20200804-31 The ILOILO STATE COLLEGE OF FISHERIES MAIN TIWI CAMPUS, through its Bids and Awards Committee (BAC), invites eligible Bidders to apply for eligibility and to bid for the following proj</t>
  </si>
  <si>
    <t xml:space="preserve"> Asphalt Sealant (60/70)</t>
  </si>
  <si>
    <t xml:space="preserve"> Improvement of pathway w/ Railings at Canubas, Camp 4 - Php 49,000.00 Construction of railings along Pathway at Hydro 1, Camp 6 - Php 45,000.00 Improvement of Water System at Goldstream, Camp 4 - Php 49,000.00 De-silting along Bued River, Gusaran, Camp 6-</t>
  </si>
  <si>
    <t xml:space="preserve"> Paper size: Paper size used on layout A4 Paper thickness(Basis weight): 70gsm (BP) Binding: Saddle stitch Cover: Foldcote No.12 (FC#12) (4color) with lamination (UV coating) Inside: 1 color/4color</t>
  </si>
  <si>
    <t xml:space="preserve"> 1ST AND 2ND QUARTER OF 2020</t>
  </si>
  <si>
    <t xml:space="preserve"> 1. Printer Heavy Duty    -12pcs Specification: Print, Scan and Copy Function Boarderless Printing (4R Photos) Print Speeds of up to 33ppm Very Small Footprint High Page yield of 4500 (Black) and (colour) ****nothing follows****</t>
  </si>
  <si>
    <t xml:space="preserve"> Floor Mounted Inverted Split Type AirCon</t>
  </si>
  <si>
    <t xml:space="preserve"> QTY  UNIT    ITEMS &amp; DESCRIPTION 1	UNIT 	AIR COOLER</t>
  </si>
  <si>
    <t xml:space="preserve"> Republic of the Philippines												 PROVINCE OF ZAMBOANGA SIBUGAY												 Municipality of Payao												 												 REQUEST FOR QUOTATION												 ALTERNATIVE METHODS OF PROCUREMENT THRU												 NEGOTIATED PROCUREMENT-SMALL VALUE (Sec.</t>
  </si>
  <si>
    <t xml:space="preserve"> This project covers the Rehabilitation of Barangay Hall of Barangay Wawa, Lumban, Laguna</t>
  </si>
  <si>
    <t xml:space="preserve"> Asphalt Cold Mix 					 1		Asphalt Cold Mix			126 	pails	 		-x-x-x-x-x-x-x-x-x-x-x-x-x-x</t>
  </si>
  <si>
    <t xml:space="preserve"> Name of Project:      	Catering Services for the Procurement and delivery of meals and snacks for the 2020 Census of Population and Housing (CPH) Fourth Level Training – Municipality of Pandi Brief Description:         	The Bulacan Provincial Statistical </t>
  </si>
  <si>
    <t xml:space="preserve"> Republic of the Philippines Province of Cavite CITY OF IMUS ooOoo BIDS AND AWARDS COMMITTEE ________________________________________ INVITATION TO BID The City Government of Imus, Province of Cavite through its Bid and Awards Committee (BAC) invites bidde</t>
  </si>
  <si>
    <t xml:space="preserve"> Construction of Multi-Purpose Building</t>
  </si>
  <si>
    <t xml:space="preserve"> 160 pcs. 2019- nCoV Ab Test (Colloidal Gold) IgM/IgG Whole Blood/Serum/Plasma Combo</t>
  </si>
  <si>
    <t xml:space="preserve"> PLEASE SEE ATTACHED RPQ</t>
  </si>
  <si>
    <t xml:space="preserve"> Republic of the Philippines Province of Sarangani BIDS AND AWARD COMMITTEE Municipality of Maasim INVITATION TO APPLY FOR ELIGIBILITY AND TO BID 	The Municipal Government of Maasim invites suppliers to apply for eligibility and to bid for the supply and d</t>
  </si>
  <si>
    <t xml:space="preserve"> In celebration of the youth week, the SK Council will conduct a series of activities intended for the youth to develop their inter-personal skills, discover new interest and invest more time on recreational activities instead of doing vices. This is also </t>
  </si>
  <si>
    <t xml:space="preserve"> Item 302 (SSI) Bituminous Tack Coat (Rapid Curing)</t>
  </si>
  <si>
    <t xml:space="preserve"> Issuance of Bid Documents Starts: August 5, 2020 Cost of Bid Document: Php 3,500.00 Venue of Dropping and Opening Bids: BAC Conference Room, Leyte SMED Center, Provincial Capitol Grounds, Tacloban City</t>
  </si>
  <si>
    <t xml:space="preserve"> Asphalt Sealant (60/70) for Bridges 								 1		Asphalt Sealant (60/70)			6 	drums			 		-x-x-x-x-x-x-x-x-x-x-x-x-x-x</t>
  </si>
  <si>
    <t xml:space="preserve"> 100 cn Air Freshener, Gel &amp; 33 L/I</t>
  </si>
  <si>
    <t xml:space="preserve"> Over the Counter Medicine and Other supplies</t>
  </si>
  <si>
    <t xml:space="preserve"> Sealed Quotation - Supply of Various Medical Equipment &amp; Supplies</t>
  </si>
  <si>
    <t xml:space="preserve"> Assorted books - story books                        - dictionaries                        - coloring books                        - puzzles</t>
  </si>
  <si>
    <t xml:space="preserve"> Issuance of Bid Documents Starts: August 5, 2020 Cost of Bid Document: Php 3,000.00 Venue of Dropping and Opening Bids: BAC Conference Room, Leyte SMED Center, Provincial Capitol Grounds, Tacloban City</t>
  </si>
  <si>
    <t xml:space="preserve"> Equipment / Equipment Accessories and Services 						 		For use of Wheel Loader (L2-1493)							 1		Hydraulic Hose			4 	pcs.			 2		Broom Cylinder Kit			2 	set			 3		Air Cleaner Inner/Outer			1 	assy			 4		Hydraulic Filter			1 	pc.			 5		Air Filter			1 	pc</t>
  </si>
  <si>
    <t xml:space="preserve"> 2 pcs. S/S Flange #2 6 pcs. Metal Screw</t>
  </si>
  <si>
    <t xml:space="preserve"> 1- Accommodation and Catering Services 2 meetings in a month for 5 months from August - December (meeting will be first week and last week of the month)	-29 pax 	 Specifications:	 Meals: 1 meal	 *Lunch: Rice, viands with soup, fresh fruits and juice drink</t>
  </si>
  <si>
    <t xml:space="preserve"> as per file attached.</t>
  </si>
  <si>
    <t xml:space="preserve"> INVITATION TO SUBMIT PRICE QUOTATION 	 The Nueva Ecija University of Science and Technology (NEUST) through the Bids and Awards Committee (BAC), hereby invites all interested supplier registered with the Philippine Government Electronic Procurement System</t>
  </si>
  <si>
    <t xml:space="preserve"> This is a Project of Barangay Diwan, Dipolog City, please collect bid documents at Barangay Hall Diwan. Purpose: For the use of the community of Barangay Diwan. 1 Unit/Set of BAJAJ RE "BAO BAO", Unit Cost = Php 186,046.00, Total Amount = Php 186,046.00</t>
  </si>
  <si>
    <t xml:space="preserve"> Republic of the Philippines Province of Quezon Municipality of Atimonan Barangay Lubi Project Reference No: 2020 Name of the Project: Purchase of Uniform Location of the Project:  Barangay Lubi, Atimonan, Quezon REQUEST FOR QUOTATION-SHOPPING (Sec. 50 of </t>
  </si>
  <si>
    <t xml:space="preserve"> 10 rl Acetate Plastic #30 &amp; 19 L/I</t>
  </si>
  <si>
    <t xml:space="preserve"> HP Toner 		 1		HP Toner LaserJet CF410A, Black			40 	cart.		 2		HP Toner LaserJet CF411A, Cyan			15 	cart.		 3		HP Toner LaserJet CF412A, Yellow			15 	cart.		 4		HP Toner LaserJet CF413A, Magenta			15 	cart.		 		-x-x-x-x-x-x-x-x-x-x-x-x-x-x-x</t>
  </si>
  <si>
    <t xml:space="preserve"> 40 BOXES CORNED BEEF 100G (48PCS PER BOX) 20 BOXES SARDINES RED 20 BOXES SARDINES GREEN</t>
  </si>
  <si>
    <t xml:space="preserve"> Procurement of reproduction and delivery of learning modules</t>
  </si>
  <si>
    <t xml:space="preserve"> Requesting for Quotation (RFQ) for PR No. 2006193  Interested suppliers are invited to submit Sealed Price Quotations for the above listed items. The Request for Quotation (RFQ) for may be obtained from Mr. Albert A. Camarillo City General Services Office</t>
  </si>
  <si>
    <t xml:space="preserve"> ITEM OF WORK	 NO.	         DESCRIPTION	                                                           Approved Budget For The Contract (ABC) A.1.1(3)	Field Office For The Engineer	                                                    11,623,000.00 B.5	Project B</t>
  </si>
  <si>
    <t xml:space="preserve"> Parts •	6 ltrs Motor Oil (Fully Synthetic) •	1 pc Oil Filter •	1 pc Air filter •	1 pc Fuel filter •	1 pc Timing Belt (Big) •	1 pc Balancer Belt (Small) •	1 pc Tensioner Bearing (Small) •	1 pc Tensioner Bearing (Big) •	2 pcs Crankshaft Oil Seal •	2 pcs Cam</t>
  </si>
  <si>
    <t xml:space="preserve"> ITEM No.	   Quantity	                ITEM &amp; DESCRIPTION	                        UNIT	                           TOTAL BUDGET 1	               85	                      Riso Ink	                                tubes	                   Php 98,001.56 2	      </t>
  </si>
  <si>
    <t xml:space="preserve"> 5.3		40,000 KM Check-Up 1		Oil Filter 1		Gasket 8		TGFS SN/CF 5W-30 1L 1		DSL Engine Flush 1		Silicon Mould 1		Brake Paste 1		Brake Cleaner 2		DSL Injector Cleaner 1		ENG Decarb 4 Cylinder 1		Miscellanous - L 1		Pad Kit, Disc  Brake 1		Shoe Kit 0.600		Che</t>
  </si>
  <si>
    <t xml:space="preserve"> Portland Cement 12" x 12" Floor Tiles 4" x 8" x 16" CHB 10mmØ Def. Bars 12mmØ Def. Bars Sand  Gravel No. 16 Tie Wire</t>
  </si>
  <si>
    <t xml:space="preserve"> LATERAL STEEL CABINET - 6 PIECES Vertical steel filing , 4 drawers, all steel fabricated in cold rolled sheet, gauge 20, each drawer is fully suspended on steel roller bearing, with anti-tilt mechanism to move backward and forward, with automatic lock and</t>
  </si>
  <si>
    <t xml:space="preserve"> 1	98	pcs	Macaroni Pasta (1kl)	 2	230 	pcs	Milk (Evap)	 3	200	doz	Coffee 3 n 1	 4	1,400 	bags	Assorted Biscuits	 5	60	case	Corned Beef	 6	600	pair	Sllippers	 7	60	pcs	Noodles	 8	60	pcs	Mineral Water 50ml	 9	60	case	C2 Solo 	 10	500	kls	Brown Sugar	 11	1,50</t>
  </si>
  <si>
    <t xml:space="preserve"> Repair of Roofing at 3rd Floor Municipal Building</t>
  </si>
  <si>
    <t xml:space="preserve"> MMIIDEO 		 250KVA StandBy Generator set Model XSA250 	 								 2		Alternator			1	lot		 3		Mobilization			1	lot		 		-x-x-x-x-x-x-x-x-x-x-x-x-x-x</t>
  </si>
  <si>
    <t xml:space="preserve"> Extension of KALAHI building   3.00 x 6.00    18.00 m2</t>
  </si>
  <si>
    <t xml:space="preserve"> 2" x 2" x 8' s4s Good Lumber Sahara 2" Paint Brush Roller Brush with Handle 1 1/2" C.W. Nails 2" C.W. Nails 3" C.W. Nails 4" x 8" x 16" CHB Portland Cement Type I 10mmØ x 6.0m Def. Bars</t>
  </si>
  <si>
    <t xml:space="preserve"> Temperature Disinfection Kiosk and  		 Personal Protective Equipment 	 			I. Purchase, Delivery &amp; Installation of Temperature Disinfection Kiosk					 1		Temperature Disinfection Kiosk			2 	pcs.	 							 		II. Purchase of Personal Protective Equipment					</t>
  </si>
  <si>
    <t xml:space="preserve"> ITEM OF WORK	   DESCRIPTION	Approved                                                                              Budget For The                                                                                                                               </t>
  </si>
  <si>
    <t xml:space="preserve"> This project is by lot, partial bid is not accepted LOT OFFICE SUPPLIES 1 ACETATE *For film, size: A4 UNIT: REAM, QUANTITY: 2 ACETATE *Transparent *In roll *Thickness: 0.08mm (gauge #3) *Width: 1.20 meters *Length: 50 meters per roll *Shall be wound on a </t>
  </si>
  <si>
    <t xml:space="preserve"> Republic of the Philippines Province of Davao del Sur Municipality of Matanao BARANGAY SAN MIGUEL -oOo- INVITATION TO BID The Barangay Government Unit of San Miguel, Matanao, Davao del Sur, through its Bids and Awards Committee (BAC), invites suppliers/ d</t>
  </si>
  <si>
    <t xml:space="preserve"> 55 CAVANS RICE</t>
  </si>
  <si>
    <t xml:space="preserve"> Specs: 105 sacks Commercial Rice</t>
  </si>
  <si>
    <t xml:space="preserve"> line item</t>
  </si>
  <si>
    <t xml:space="preserve"> Bicol Medical Center Concepcion Pequeña, Naga City, 4400 (0998-247-0239/0906-256-9238          E-mail Address: bmc.bacoffice@gmail.com INIVITATION TO BID PROCUREMENT OF HOUSEKEEPING SUPPLIES ITB No. 2020-29 1.	The BICOL MEDICAL CENTER, through SA-CO QRF i</t>
  </si>
  <si>
    <t xml:space="preserve"> IT Equipments - eNGAS / eBudget Server and File Storage								 		Tower Type Server for eNGAS and eBudget						 1		8 core, 2.1 Ghz Two (2) 1.2 TB (2x1.2TB) 12SAS RPM SFF Hard Drive			1			 		Hot swapple 12GBs SAS (RAID 0/1) Multi-Burner DVD +/- RW same				</t>
  </si>
  <si>
    <t xml:space="preserve"> Requesting for Quotation (RFQ) for PR No. 2007313  Interested suppliers are invited to submit Sealed Price Quotations for the above listed items. The Request for Quotation (RFQ) for may be obtained from Mr. Albert A. Camarillo City General Services Office</t>
  </si>
  <si>
    <t xml:space="preserve"> Construction of Sanitary toilet facilities &amp; water facilities</t>
  </si>
  <si>
    <t xml:space="preserve"> All-in-One PC Specs: - Operating System: Windows 10 Pro (with license) -Display: 23.8" (60.5cm), NanoEdge, Full HD 1920xl080/, JPS, 178" wide viewing angle - Touch Screen: Multi-touch ( 10 fingers Touch) - Processor: Intel® Core™ i5 8265U - Chipset Integr</t>
  </si>
  <si>
    <t xml:space="preserve"> The Barangay Government of Barangay Pantay Bata, Tanauan City, Batangas through the Bids and Awards Committee (BAC) invites Suppliers/Contractors to apply for eligibility and if subsequently found eligible, to bid for the projects described hereunder, viz</t>
  </si>
  <si>
    <t xml:space="preserve"> Common Electrical Supplies, Office Supplies, Office Equipment, Cleaning/ Janitorial Supplies and Computer Consumable (By Lot).</t>
  </si>
  <si>
    <t xml:space="preserve"> 1. 22 pcs Glucometer Kit with 25 pcs Strips 200 pcs Lancet 2. 30 bottles Glucometer Strips 25 pcs/bottle</t>
  </si>
  <si>
    <t xml:space="preserve"> OTHER SUPPLIES JHS FOR SCHOOL AND STUDENTS USE</t>
  </si>
  <si>
    <t xml:space="preserve"> INVITATION TO SUBMIT PRICE QUOTATION The Nueva Ecija University of Science and Technology (NEUST) through the Bids and Awards Committee (BAC), hereby invites all interested supplier registered with the Philippine Government Electronic Procurement System (</t>
  </si>
  <si>
    <t xml:space="preserve"> 1. 2 Unit Ceiling Fn 16", plastic blade 2. 74 pcs Monoblock Chair with Backrest without armrest *nothing follows* Purpose: Aid to Barangays End - user: SPM Lyra Gel L. Limbauan</t>
  </si>
  <si>
    <t xml:space="preserve"> REQUEST FOR EXPRESSION OF INTEREST  FOR THE  HIRING OF CONSULTANT FOR THE DEVELOPMENT OF NATIONAL AIR QUALITY STATUS REPORT (NAQSR) 2019 UNDER EMB-CCD REOI No. EMB-EEID-CONSULTANCY-096 7-29-2020 P.R. NO. 2020-0645 	 1.	The Department of Environment and Na</t>
  </si>
  <si>
    <t xml:space="preserve"> This is an event that will include to recognize outstanding youth in the barangay who made significant contributions in their particular fields that valued existing and potential contributions made by the youth to the over-all well being and diversity as </t>
  </si>
  <si>
    <t xml:space="preserve"> Supply &amp; Delivery of Janitorial Supplies 05D(SG&amp;SOWER) H09-2020 Kindly see attached file. Thank you!</t>
  </si>
  <si>
    <t xml:space="preserve"> This project is by lot, partial bid, is not accepted LOT AIRCONDITIONING AND AIRCONDITIONING SYSTEMS 1 AIR CONDITIONER *Type: floor mounted, split type, inverter. *Horsepower: 3 TONS. *Remote control. *Warranty: 3 years (parts and services). *With free in</t>
  </si>
  <si>
    <t xml:space="preserve"> 200 kits RAPID DIAGNOSTIC TEST (RDT)</t>
  </si>
  <si>
    <t xml:space="preserve"> 1			Sound system for Sports Complex (500,000.00	 	unit	1	Pre-Amp Mixer 16 channels  with Hard Case	 	units	8	Power Speaker 15'' with stand	 	sets 	3	Wireless Microphone	 	roll	4	Mic Cable Stereo 100m	 	pairs	40	XLR Connector	 	unit	1	Audio Digital Player	</t>
  </si>
  <si>
    <t xml:space="preserve"> Supplies for minor repair</t>
  </si>
  <si>
    <t xml:space="preserve"> OFFICE: PHILIPPINE NATIONAL POLICE PURPOSE: TO BE USED BY PERSONNEL OF PNP STATION TO IMPROVE WORK FORCE EFFICIENCY ABC: 83,580.00 ITEM DESCRIPTION 1 PC OIL FILTER 7 LTRS ENGINE OIL ZIC 15W40 275.52 1 PC AIR FILTER 1 SET FUEL FILTER 1 PC BRAKE CLEANER 1 P</t>
  </si>
  <si>
    <t xml:space="preserve"> Supply and delivery of construction materials for the Construction of Footbridge.</t>
  </si>
  <si>
    <t xml:space="preserve"> Construction of Multipurpose Drying Pavement</t>
  </si>
  <si>
    <t xml:space="preserve"> Fuel, Oil and Lubricants</t>
  </si>
  <si>
    <t xml:space="preserve"> Printing of 35,200 modules equivalent to 403,200 pages Inclusion:      1. Provision of paper      2. Printing      3. Bundling      4. Free delivery</t>
  </si>
  <si>
    <t xml:space="preserve"> Name of Project:      	Catering Services for the Procurement and delivery of meals and snacks for the 2020 Census                                  of Population and Housing (CPH) Fourth Level Training – Municipality of Paombong Brief Description:         </t>
  </si>
  <si>
    <t xml:space="preserve"> THE MAYOR'S OFFICE WOULD LIKE TO PROCURE 2 UNITS GRASSCUTTER AND TANGSI. . . . . . .</t>
  </si>
  <si>
    <t xml:space="preserve"> Supply &amp; Delivery of ICT 07D TESDA &amp; DA-BAR Vermi H12-2020 Kindly see attached file. Thank you!</t>
  </si>
  <si>
    <t xml:space="preserve"> September 24, 2020 30 pax Breakfast : Egg (sunny side up), tortang talong, rice 30 pax AM Snack : Chicken bun, blue lemonade 30 pax Lunch : Chopsuey, Lechon Kawali, Crab and Corn Soup, Rice and Banana 30 pax PM Snack : Lasagna and Softdrinks 30 pax Dinner</t>
  </si>
  <si>
    <t xml:space="preserve"> UNIT DESCRIPTION QUANTITY Month INTERNET BANDWIDTH AUGMENTATION 6 *Fiber optics. *40Mbps leasedline.  NOTE: Please use the official canvass form in the Associated Components (END USER: ROLANDO N. PALUGA, PH.D)</t>
  </si>
  <si>
    <t xml:space="preserve"> Procurement of ITEM 201 for Barangay Cablong, Sta. Barbara, Pangasinan: 94 Cu.m. Item 201</t>
  </si>
  <si>
    <t xml:space="preserve"> 100 kits RAPID DIAGNOSTIC TEST (RDT)</t>
  </si>
  <si>
    <t xml:space="preserve"> REQUEST FOR QUOTATION (RFQ) SUPPLY AND DELIVERY OF CONFERENCE TABLE UNDER EMB-PAB RFQ NO. EMB-PAB-SHOPPING-G-098-8-4-2020 – 2nd Posting PR NO. 2020-0567 1.	The Department of Environment and Natural Resources – Environmental Management Bureau (DENR-EMB) he</t>
  </si>
  <si>
    <t xml:space="preserve"> Classic Germ Kill Toilet Cleaner, Liquid 1000ml																													 Dishwashing Liquid, 500ml/bottle																													 Albatross Deodorizer																													 Trash Bag/Garbage Bag XL (200pcs/bundle)																										</t>
  </si>
  <si>
    <t xml:space="preserve"> See the attached document for details.</t>
  </si>
  <si>
    <t xml:space="preserve"> see attached associated component documents</t>
  </si>
  <si>
    <t xml:space="preserve"> Sub-grade Preparation, Aggregate Base Course  &amp; PCCP</t>
  </si>
  <si>
    <t xml:space="preserve"> The Government of the Philippines (GOP) has received a loan from World Bank towards the cost of Philippine Rural Development Project, and it intends to apply part of the proceeds of this Loan to payments for the procurement for Food, Venue and Accommodati</t>
  </si>
  <si>
    <t xml:space="preserve"> The Department of Agriculture-RFO 3, invites interested suppliers to submit quotations/proposals for the hereunder requirement, to wit: 		LOWLAND VEGETABLE SEEDS	 		OPV	 71	can	Bittergourd (100 g/can)	 		dark green, moderately long with tapering shape at </t>
  </si>
  <si>
    <t xml:space="preserve"> Sardines, corned beef, noodles, coffee (stick)</t>
  </si>
  <si>
    <t xml:space="preserve"> QTY	UNIT	ARTICLES/DESCRIPTION	BRAND NAME	UNIT PRICE	TOTAL PRICE 4	pcs	CROWD CONTROL/STANCHION BARRIER			 		&gt; Stainless steel base: at least 35 cm in diameter			 		&gt; Barrier post height: at least 93cm			 		&gt; Barrier type: retractable barrier			 		&gt; Tape/be</t>
  </si>
  <si>
    <t xml:space="preserve"> Republic of the Philippines Province of Guimaras Municipality of Sibunag INVITATION TO BID FOR  Bid No. 2020-030 Improvement of Water System The Municipality of Sibunag through the  2019 20% DF  (Improvement of Water System ) intends to apply the sum of E</t>
  </si>
  <si>
    <t xml:space="preserve"> 1. 3 units Laptop windows 10 HimeSL  Intel Core i3-70 20U  14" HD Acer Comfyview LCD  Intel HD Graphics  4 GB DRR4 Memory  48wh Li-on Battery 2. 4 units Voice Recorders  Stereo IC Recorder 4GB  Built - in UB Connector to transfer files  S-microphones syst</t>
  </si>
  <si>
    <t xml:space="preserve"> 1	45	sets	Folded Table and Chair		 			(6 seater Table &amp; Chair)		 					 APPROVED BUDGET FOR THE CONTRACT: PHP 499,500.00 LOCATION OF THE CONTRACT: BATARAZA, PALAWAN DURATION OF THE CONTRACT: 7 DAYS SCHEDULE OF ACTIVITIES: POSTING AND ISSUANCE OF BIDS: AUGU</t>
  </si>
  <si>
    <t xml:space="preserve"> Republic of the Philippines Province of Pangasinan MUNICIPALITY OF LINGAYEN Invitation to Bid    1. The Municipality of Lingayen, through the General Fund-Capital Outlay       intends to apply the amount of   Six Hundred Seventy Thousand  Pesos Only (P670</t>
  </si>
  <si>
    <t xml:space="preserve"> Purchase of brand new ambulance Van type with medical equipment</t>
  </si>
  <si>
    <t xml:space="preserve"> This project is by lot, partial bid, is not accepted CLEAR GLOSS LACQUER *4L per can. UNIT: CAN, QUANTITY: 3 LACQUER FLO *4L per can. UNIT: CAN, QUANTITY: 3 LACQUER SANDING SEALER *4L per can. UNIT: CAN, QUANTITY: 3 PADLOCK SAFETY HASP *(Industrial type) </t>
  </si>
  <si>
    <t xml:space="preserve"> 4 PIECES TIRES (11R  22.5) Note: For official use of DENR-9 Management Services vehicle (Hino Bus with plate no. JM-5694).</t>
  </si>
  <si>
    <t xml:space="preserve"> Live Animals</t>
  </si>
  <si>
    <t xml:space="preserve"> Printing Services and Delivery of Modules 1. The Department of Education/Corrales Elementary school, through the General Appropriations Act intends to apply the sum of Two hundred forty seven thousand nine hundred ninety four pesos (Php247,994.00) being t</t>
  </si>
  <si>
    <t xml:space="preserve"> 14 roll Copper Tubing 1/2 &amp; 28 L/I</t>
  </si>
  <si>
    <t xml:space="preserve"> Purchase Materials for the Improvement of BPLK</t>
  </si>
  <si>
    <t xml:space="preserve"> ITEM	ITEM  DESCRIPTION	QTY	UNIT NO.			 1	Bond Paper long A4 	200	reams</t>
  </si>
  <si>
    <t xml:space="preserve"> 1	1	pc	Carpet for Function Hall Riser, 3x4 meters, black	 2	10	meter	Clothe, for table skirting, royal blue 1x3meters	 3	10	meter	Clothe, for table skirting, native design 1x3meters	 4	10	pcs	Hanging Native Decos	 5	10	pcs	Batteries, fot Microphone, squar</t>
  </si>
  <si>
    <t xml:space="preserve"> Republic of the Philippines PROVINCE OF ZAMBOANGA DEL NORTE BIDS AND AWARDS COMMITTEE (BAC) BAC Conference Room, Capitol Building, Brgy. Estaka Tel. # (065) 212-6492 Telefax # (065) 212-6492 	                                                               </t>
  </si>
  <si>
    <t xml:space="preserve"> Office Supplies lot 7 - 23,360</t>
  </si>
  <si>
    <t xml:space="preserve"> various medicines</t>
  </si>
  <si>
    <t xml:space="preserve"> Republic of the Philippines Bangsamoro Autonomous Region in Muslim Mindanao Provincial Government of Maguindanao BIDS AND AWARDS COMMITTEE REQUEST FOR QUOTATION The PROVINCIAL GOVERNMENT OF MAGUINDANAO – Office of the PROVINCIAL ENGINEERING invites all in</t>
  </si>
  <si>
    <t xml:space="preserve"> Epson Ink T6641 Black																													 Epson Ink T6642 Yellow																													 Epson Ink T6643 Magenta																													 Epson Ink T6644 Cyan																													 DCP-TW00W-BT6000BK																													 D</t>
  </si>
  <si>
    <t xml:space="preserve"> School supplies,office supplies</t>
  </si>
  <si>
    <t xml:space="preserve"> Republic of the Philippines PROVINCE OF ZAMBOANGA DEL NORTE BIDS AND AWARDS COMMITTEE (BAC) BAC Conference Room, 2nd  Floor ZNCEC, Dipolog City Tel. # (065) 212-6492 Telefax # (065) 212-6492 	                                                               </t>
  </si>
  <si>
    <t xml:space="preserve"> Please quote your lowest price on the item(s)  listed below, subject to the Terms and Condition Stated below and submit your quotation duly signed by your representative not later than 2:30 P.M. of  August 12, 2020, at the return envelope attached herewit</t>
  </si>
  <si>
    <t xml:space="preserve"> Republic of the Philippines Province of Guimaras Municipality of Sibunag INVITATION TO BID FOR  Bid No. 2020-031, Duplicator Machine The Municipality of Sibunag through the  MSB Resolution No. 02-20 SEF (Support to Modular Instruction for the Delivery of </t>
  </si>
  <si>
    <t xml:space="preserve"> 1. The Approved Budget for the Contract (ABC) is One Hundred Seven Thousand, One Hundred Pesos (107,100.00). 2. Price quotation should be inclusive of the 5% Final VAT and expanded withholding tax (EWT) of 1%. 3. Evaluation of bids will be conducted on a </t>
  </si>
  <si>
    <t xml:space="preserve"> Republic of the Philippines Province of Quezon Municipality of Atimonan Barangay Lubi Project Reference No: 2020 Name of the Project: Purchase of Picture Frame Location of the Project:  Barangay Lubi, Atimonan, Quezon REQUEST FOR QUOTATION-SHOPPING (Sec. </t>
  </si>
  <si>
    <t xml:space="preserve"> Requesting for Quotation (RFQ) for PR No. 2006283  Interested suppliers are invited to submit Sealed Price Quotations for the above listed items. The Request for Quotation (RFQ) for may be obtained from Mr. Albert A. Camarillo City General Services Office</t>
  </si>
  <si>
    <t xml:space="preserve"> 1 ea Cover 3081869 &amp; 7 L/I</t>
  </si>
  <si>
    <t xml:space="preserve"> LOT 1 1,200 pcs LEAFLETS Legal size, 3fold, back to back, colored matte LOT 2 200 pcs POSTERS 46 x 61 cm size LOT 3 8 pcs TARPAULINS 2 X 6 ft (with X Stand) * All unit cost are INCLUSIVE of lay-outing/ designing of the above-mentioned materials subject fo</t>
  </si>
  <si>
    <t xml:space="preserve"> 2 units Dosing Pump, ( Blue-White) Model: C-630P-230 VAC    2  pcs. Gear Box Assembly, (Blue-White Parts) Model: C-630P-230 VAC    2  pcs. Dosing Pump Parts, Diaphragm ( Vintage Control) Model: G145X2-KFC1Q</t>
  </si>
  <si>
    <t xml:space="preserve"> Requesting for Quotation (RFQ) for PR No. 2007237  Interested suppliers are invited to submit Sealed Price Quotations for the above listed items. The Request for Quotation (RFQ) for may be obtained from Mr. Albert A. Camarillo City General Services Office</t>
  </si>
  <si>
    <t xml:space="preserve"> 1 unit Water Pump (Hino ED100) &amp; 8 L/I</t>
  </si>
  <si>
    <t xml:space="preserve"> Interested bidders are requested to be pre-qualified and to bid or the supply of 1-unit Ambulance.</t>
  </si>
  <si>
    <t xml:space="preserve"> PROCUREMENT OF OFFICE SUPPLIES &amp; CONSUMABLES - RPAO ABC= Php54,716.57 1	Paper, Multi-Purpose (A4)		20	reams 2	Battery, dry cell, AA, 2 pcs per blister pack		20	pack 3	Battery, dry cell, AAA, 2 pcs per blister pack		20	pack 4	External Hard Drive, 1TB		2	pc</t>
  </si>
  <si>
    <t xml:space="preserve"> 1	60	pcs	( E.O.) Electrical Pipe 2 1/2 75mm 	 2	2	pcs	(E.O.) Electrical PVC MTA 2 1/2	 3	2	pcs	(S) RSC Entrance Cap 2 1/2	 4	20	rolls	 (A) Electrical tape  (L) Blade	 5	4	pcs	US Solderess Connector 2B  350mcm	 6	1	can	(E) Solvent Cement 400CC	 7	180	mtrs	</t>
  </si>
  <si>
    <t xml:space="preserve"> 20 PCS RAINCOAT 20 PCS BUTAS 20 PCS FLASHLIGHT   1 UNIT LADDER</t>
  </si>
  <si>
    <t xml:space="preserve"> Republic of the Philippines Province of Guimaras Municipality of Sibunag INVITATION TO BID FOR  Bid No. 2020-032, Provision of Furnitures and Fixtures and Construction of Kitchen and Barracks for Sibunag Police Station The Municipality of Sibunag through </t>
  </si>
  <si>
    <t xml:space="preserve"> Republic of the Philippines PROVINCE OF NORTHERN SAMAR BIDS AND AWARDS COMMITTEE Catarman Purchase of Medical and Laboratory Supplies for the Northern Samar Provincial Hospital Barangay Acacia Catarman, Northern Samar NS-08-05-20-01 1.	The Provincial Gove</t>
  </si>
  <si>
    <t xml:space="preserve"> medicine and vitamins</t>
  </si>
  <si>
    <t xml:space="preserve"> Requesting for Quotation (RFQ) for PR No. 2006361  Interested suppliers are invited to submit Sealed Price Quotations for the above listed items. The Request for Quotation (RFQ) for may be obtained from Mr. Albert A. Camarillo City General Services Office</t>
  </si>
  <si>
    <t xml:space="preserve"> BOLO NORTE HIGH SCHOOL							 REQUEST FOR QUOTATIONS (RFQ)							 							 				Date:                      		8/5/2020	 				Quotation No.        :		2020-08-034	 _________________________________							 (Name of Supplier)							 							 	Please quote your low</t>
  </si>
  <si>
    <t xml:space="preserve"> Republic of the Philippines Province of Davao de Oro Municipality of Monkayo -o0o- INVITATION TO BID FOR THE PROCUREMENT OF CATERING SERVICES FOR VARIOUS OFFICES  The Municipality of Monkayo, through the GENERAL FUND intends to apply the sum of ONE HUNDRE</t>
  </si>
  <si>
    <t xml:space="preserve"> You can submit your accomplished RFQ form  @ BAC Office, Bogo City Hall, Cayang, Bogo City, Cebu  or email us @ bogobacoffice2019@gmail.com / 	      bogocpdo@gmail.com Not later than the closing date.</t>
  </si>
  <si>
    <t xml:space="preserve"> REQUEST FOR QUOTATION The Local Government of San Mateo, through its Bids and Awards Committee (BAC), invites suppliers, manufacturers, distributors, contractors registered with the BAC in the Local Government of San Mateo, to apply for eligibility and if</t>
  </si>
  <si>
    <t xml:space="preserve"> Request for Quotation for the Procurement of Agricultural Supplies needed in support to the Implementation of the RICE UP Project 1.	The Department of Agriculture-Regional Field Office 7 (DA-RFO 7), through the General Appropriations Act of CY 2020)  inte</t>
  </si>
  <si>
    <t xml:space="preserve"> THE NATIONAL IRRIGATION ADMINISTRATION-SCIMO, THROUGH THE FUND 501 HAS THE APPROVED BUDGET FOR THE CONTRACT (ABC) AMOUNTING ONE HUNDRED NINETY-SEVEN THOUSAND SEVEN HUNDRED PESOS ONLY (197,700.00).  QUOTATION RECEIVED IN EXCESS OF THE ABC SHALL BE AUTOMATI</t>
  </si>
  <si>
    <t xml:space="preserve"> plastic envelope with handle expandable size: fits 8.5 x 13 (long) paper 4,350 pieces Php 30.00 each</t>
  </si>
  <si>
    <t xml:space="preserve"> Common supplies</t>
  </si>
  <si>
    <t xml:space="preserve"> This si intended for the improvement of the Mayor's Office extension.</t>
  </si>
  <si>
    <t xml:space="preserve"> 1250 pcs.          Data Filer    W=11"   L=13"   Thickness=2.5"    Color: Blue</t>
  </si>
  <si>
    <t xml:space="preserve"> IT Equipment</t>
  </si>
  <si>
    <t xml:space="preserve"> UNIT DESCRIPTION AND QUANTITY ITEM COPY	2020 1ST SEMESTER ISSUE (JAN TO JUN) : PRINTING SPECIFICATION: PLATING:          150                 COMPUTER TO PLATE (CtoP), OFFSET FULL COLOR, COVER (FRONT &amp; BACK): C2S                 140, INSIDE PAGES: C2S 80, </t>
  </si>
  <si>
    <t xml:space="preserve"> 1.  25 ream Book paper short 2.  100 pcs long folder 3.  6 ream Referral form 4.  12 ream Individual treatment  record form 5.  8 ream Monthly reporting form 6.  1 ream Prescription pad 7.  12 pcs Record book pad 500 pages 8.  8 pcs LC533 BLK 9.  8 pcs LC</t>
  </si>
  <si>
    <t xml:space="preserve"> UNIT                           QUANTITY                                                 DESCRIPTION                  REAM                         175                                         PAPER, MULTI-PURPOSE (COPY) A4, 70gsm, 210mm PC                  </t>
  </si>
  <si>
    <t xml:space="preserve"> 6 ea LO Filter Primary 23530707 &amp; 3 L/I</t>
  </si>
  <si>
    <t xml:space="preserve"> Requesting for Quotation (RFQ) for PR No. 2007200  Interested suppliers are invited to submit Sealed Price Quotations for the above listed items. The Request for Quotation (RFQ) for may be obtained from Mr. Albert A. Camarillo City General Services Office</t>
  </si>
  <si>
    <t xml:space="preserve"> 1	30	gals	70% Alcohol	 2	30	gals	Original Clean Bleach	 				 APPROVED BUDGET FOR THE CONTRACT: PHP 30,000.00 LOCATION OF THE CONTRACT: BATARAZA, PALAWAN DURATION OF THE CONTRACT: 7 DAYS SCHEDULE OF ACTIVITIES: POSTING AND ISSUANCE OF BIDS: AUGUST 5-10, 20</t>
  </si>
  <si>
    <t xml:space="preserve"> SEE ATTACHMENT</t>
  </si>
  <si>
    <t xml:space="preserve"> Construction materials for Electrification</t>
  </si>
  <si>
    <t xml:space="preserve"> Supply and Delivery of Various Medicines and Medical Supplies</t>
  </si>
  <si>
    <t xml:space="preserve"> 1	Unit	HOT AND COLD 		(Double Faucet,85 watts cooling power, 		500 watts heating power to 90C) 1	unit	COMPUTER DESKTOP 		(AMD Ryzen 5 2600 processor, 		Gigabyte B450 M DS3H Motherboard,G. Skill Ripjaws 		V @3200 MHz DDR4 2x8GB)(F4-3200C16D-16GVKB Memory),</t>
  </si>
  <si>
    <t xml:space="preserve"> EXPANDING ENVELOPE LONG GREEN, PLASTIC WITH HANDLE EXPANDING ENVELOPE LONG YELLOW, PLASTIC WITH HANDLE EXPANDING ENVELOPE LONG BLUE, PLASTIC WITH HANDLE EXPANDING ENVELOPE LONG RED, PLASTIC WITH HANDLE</t>
  </si>
  <si>
    <t xml:space="preserve"> see attached description</t>
  </si>
  <si>
    <t xml:space="preserve"> Masonry, plastering and tiles works, windows, windows Grills and Door</t>
  </si>
  <si>
    <t xml:space="preserve"> 1-LOT: PAINTING MATERIALS FOR DICT DAVAO TOWER Note: All deliveries by the suppliers shall be subject to inspection and acceptance by the inspection committee.																	 																	 The Supplier who submitted the lowest calculated responsive </t>
  </si>
  <si>
    <t xml:space="preserve"> Self Learning Modules for grade six students - Second week and third week module</t>
  </si>
  <si>
    <t xml:space="preserve"> Republic of the Philippines PROVINCE OF QUIRINO Cabarroguis -oOo- BIDS AND AWARDS COMMITTEE INVITATION TO BID FOR  Procurement of Various Drugs and Medicines for QIP Contract No. PB-GS-2020-011 							August 5, 2020 1.	The Bids and Awards Committee (BAC) </t>
  </si>
  <si>
    <t xml:space="preserve"> Item No.	Description	Unit	Quantity 1	Steel Locker 15 Opening 72” Height x 36” Width x 18” D 15 Doors, 13.2” Height x 10.5” Width per Opening	Unit	2 2	Executive Office Table with Central Locking 121W x 60D x 76H cm	Unit	3 3	Office Chair Ergamic desk chair </t>
  </si>
  <si>
    <t xml:space="preserve"> Requesting for Quotation (RFQ) for PR No. 2007217  Interested suppliers are invited to submit Sealed Price Quotations for the above listed items. The Request for Quotation (RFQ) for may be obtained from Mr. Albert A. Camarillo City General Services Office</t>
  </si>
  <si>
    <t xml:space="preserve"> NOT AVAILABLE AT PROCUREMENT SERVICE					 		OFFICE SUPPLIES			 1	pc	Ballpen, Black	146	 6.50 	 949.00  2	pc	Ballpen, Blue	1000	 6.50 	 6,500.00  3	pc	Ballpen, Red	67	 6.50 	 435.50  4	pc	Correction pen	14	 25.00 	 350.00  5	pc	ENVELOPE, EXPANDING, LONG br</t>
  </si>
  <si>
    <t xml:space="preserve"> Please see attached ITB. ABC: 60,980.00</t>
  </si>
  <si>
    <t xml:space="preserve"> Please see attached ITB. ABC: 17,730.00</t>
  </si>
  <si>
    <t xml:space="preserve"> SEE ATTACHED</t>
  </si>
  <si>
    <t xml:space="preserve"> ITEM NO QTY UNIT DESCRIPTION 1.  70 BAGS CEMENT 2.  150 BAGS SAND 3.  240 BAGS GRAVEL 4.  30 PCS 12MM DEF BAR 5.  3 KILOS TIE WIRE # 16 6.  3 KLS COMMON NAILS # 3 7.  3 KILOS COMMN NAILS 1 1/2 8.  100 BD FT COCO LUMBER 2X2X10 9. 7 SHTS ORD PLYWOOD</t>
  </si>
  <si>
    <t xml:space="preserve"> Brief Description/Specification: “SUPPLY AND DELIVERY OF CONSTRUCTION SUPPLIES AND MATERIALS for the Repair and Improvement of Drainage Canal” at Bayog Public Market, Bayog, Zamboanga del Sur.   Approved Budget For The Contract:  Php 76,488.00 Estimated B</t>
  </si>
  <si>
    <t xml:space="preserve"> construction of concrete bleacher and repainting</t>
  </si>
  <si>
    <t xml:space="preserve"> DEMOLITION AND DISPOSAL OF CONCRETE AND VERTICAL LINING</t>
  </si>
  <si>
    <t xml:space="preserve"> 1 kit Repair kit, Fresh Water Pump DD16V92TAB (5197438)</t>
  </si>
  <si>
    <t xml:space="preserve"> This is intended for the rehabilitation of the comfort room at 2ndfloor of RHU building</t>
  </si>
  <si>
    <t xml:space="preserve"> Invitation to Bid No. 2020-003 Republic of the Philippines Batangas City Invitation to Bid for the Purchase of Office Equipment for the use of Barangay Concepcion, Batangas City. The Barangay Government through the Office of the Brgy. Chairman intends to </t>
  </si>
  <si>
    <t xml:space="preserve"> Description Please quote your price inclusive of VAT on the item/s listed below, subject to the Terms and conditions of the RFQ, and submit your quotation duly signed by your representative not later than August 11, 2020 at CGSO for Goods. Upon receipt of</t>
  </si>
  <si>
    <t xml:space="preserve"> Construction materials</t>
  </si>
  <si>
    <t xml:space="preserve"> Name of Project:      	Catering Services for the Procurement and delivery of meals and snacks for the 2020 Census                                  of Population and Housing (CPH) Fourth Level Training – Municipality of Plaridel Brief Description:         </t>
  </si>
  <si>
    <t xml:space="preserve"> Various Hardware &amp; Construction Materials &amp; Supplies</t>
  </si>
  <si>
    <t xml:space="preserve"> 1	5	PCS	TIRE               205/60/R16	 2	1	PCS	BATTERY    2sm enduro	 				 APPROVED BUDGET FOR THE CONTRACT: PHP 33,505.00 LOCATION OF THE CONTRACT: BATARAZA, PALAWAN DURATION OF THE CONTRACT: 7 DAYS SCHEDULE OF ACTIVITIES: POSTING AND ISSUANCE OF BIDS: A</t>
  </si>
  <si>
    <t xml:space="preserve"> Republic of the Philippines DEPARTMENT OF PUBLIC WORKS AND HIGHWAYS ILOILO 1st  DISTRICT ENGINEERING OFFICE Fort San Pedro Road, Iloilo City INVITATION TO BID FOR: 20GGF0023 – Procurement of One (1) Unit Laptop, Five (5) Units Desktop Computer and Three (</t>
  </si>
  <si>
    <t xml:space="preserve"> See attached Request for Quotation (RFQ)_dbc</t>
  </si>
  <si>
    <t xml:space="preserve"> Republic of the Philippines Province of Nueva Vizcaya BIDS AND AWARDS COMMITTEE (BAC-GOODS) BAC OFFICE, Provincial Capitol, Bayombong, Nueva Vizcaya Tel. No. (078) 392-2650 	 INVITATION TO BID FOR THE SUPPLY AND DELIVERY OF IRON SYRUPS/DROPS/TABLETS FOR T</t>
  </si>
  <si>
    <t xml:space="preserve"> REQUEST FOR QUOTATION (OPEN CANVASS) Police Regional Office 2 through its Bids and Awards Committee (BAC) invites supplier/manufacturers/distributors/contractors to quote the lowest government price for the hereunder project: Name of the Project	Supply an</t>
  </si>
  <si>
    <t xml:space="preserve"> ¬ REQUEST FOR QUOTATION (RFQ)  SUPPLY AND DELIVERY OF INKS AND TONERS FOR OFFICE SUPPLIES STOCK RFQ NO. EMB-EMB-PGSS 103-08-04-2020- PR NO.2020-0437   1.	The Department of Environment and Natural Resources – Environmental Management Bureau (DENR-EMB) here</t>
  </si>
  <si>
    <t xml:space="preserve"> No.	Item Description	pages	qty 			 				 	CSS Module Printing and Binding		 	Basic Folder		 	CBLM Basic Workplace Communication 	43	27 	CBLM Basic Work in a Team Environment	42	27 	CBLM Basic Practice Career Professional	46	27 	CBLM Basic Practice Occupati</t>
  </si>
  <si>
    <t xml:space="preserve"> ITEMS: 165 PCS POLO SHIRT 44 PCS WASSAR LONG SLEEVE</t>
  </si>
  <si>
    <t xml:space="preserve"> Requesting for Quotation (RFQ) for PR No. 2007290  Interested suppliers are invited to submit Sealed Price Quotations for the above listed items. The Request for Quotation (RFQ) for may be obtained from Mr. Albert A. Camarillo City General Services Office</t>
  </si>
  <si>
    <t xml:space="preserve"> 2 ea Angle Bar 1/4 x 2 x 2 x 20 ft &amp; 6 L/I</t>
  </si>
  <si>
    <t xml:space="preserve"> Republic of the Philippines Province of Nueva Vizcaya BIDS AND AWARDS COMMITTEE (BAC-Goods) BAC OFFICE, Provincial Capitol, Bayombong, Nueva Vizcaya Tel. No. 078-392-2062 	 INVITATION TO BID FOR THE SUPPLY, DELIVERY &amp; FABRICATION OF 30 UNITS STORAGE BINS </t>
  </si>
  <si>
    <t xml:space="preserve"> CONCRETE CUTTER with ABC Php 66,000.00 Specifications Blade size: 10"-12" Driving Method: Manual Max. Cutting Dept: 100mm(4") Dept Adjustment Method: Manual Screw, lifting System Water Tank Capacity: 19 Liter Engine Type: Air-Cooled, Gasoline Max. Output:</t>
  </si>
  <si>
    <t xml:space="preserve"> 1 unit	Concrete cutter, Diesel, cutting depth: 6", blade size: 14"-16", tank cap: 6.5-liter, engine output: 12HP, engine type: 4 stroke, air cooled 1 unit	Cement mixer, concrete mixer, 1 bagger, heavy duty, steel 1 unit	Demolition hammer, type: electric, </t>
  </si>
  <si>
    <t xml:space="preserve"> Construction of Line Canal w/ Concrete Cover of Barangay Manook, Gubat, Sorsogon</t>
  </si>
  <si>
    <t xml:space="preserve"> Digital Duplicator	1	Unit Specs: -	With 3 feeding roller -	300 x 360 DPI Scanning and Printing Resolution -	60, 90 to 130 copies per minutes -	With free pedestal, 1 cart ink, 1 roll master roll -	Lifetime Free service, with monthly Preventive Maintenance</t>
  </si>
  <si>
    <t xml:space="preserve"> Item No.	Description	Unit	Quantity 1	SPROUT CHAIN	SET	1 2	STARTER MOTOR	PC	1 3	CHAIN WAX	PC	1 4	C. LINING(ONE)	SET	1 5	BRAKE FLUID	PC	1 6	CIN GASKET	SET	1 7	WIRE INB	SET	5 8	TAPE	PC	1 9	RETOBE LIGHT	SET	1 10	OIL FILTER	PC	1 11	ENGINE OIL	LT	1 12	SPRING RE</t>
  </si>
  <si>
    <t xml:space="preserve"> 1 lot Labor for the Troubleshooting of MPDE Nr. 2</t>
  </si>
  <si>
    <t xml:space="preserve"> Republic of the Philippines Province of Nueva Vizcaya BIDS AND AWARDS COMMITTEE (BAC-Goods) BAC OFFICE, Provincial Capitol, Bayombong, Nueva Vizcaya Tel. No. 078-392-2062 	 INVITATION TO BID FOR THE SUPPLY, DELIVERY &amp; PRINTING OF DELIVERY RECEIPTS, TRANSP</t>
  </si>
  <si>
    <t xml:space="preserve"> Name of Project:      	Catering Services for the Procurement and delivery of meals and snacks for the 2020 Census                                  of Population and Housing (CPH) Fourth Level Training – Municipality of Pulilan Brief Description:         	</t>
  </si>
  <si>
    <t xml:space="preserve"> ITEMS: 17.0 BAGS PORTLAND CEMENT 1.8 CU.M. FINE SAND 4.0 SHEETS LAWANIT 1/8 THK X 4'X8' 12.0 PCS 1"X2"X8' GOOD LAUAAN LUMBER/EQV. 0.5 KGS ASSORTED COMMON WIRE NAILS 2.0 QRTS. BLACKBOARD SLATING PAINT, GREEN 2.0 QRTS. ENAMEL PAINT, CHOCO BROWN 1.0 PCS. PAI</t>
  </si>
  <si>
    <t xml:space="preserve"> REQUEST FOR QUOTATION 1	lot	Annual Medical &amp; Physical Examination 2020  for Lucena Branch and Boac Ext. Office 	                      P67,600.00</t>
  </si>
  <si>
    <t xml:space="preserve"> Repair/Rehabilitation of Pathway</t>
  </si>
  <si>
    <t xml:space="preserve"> 1 UNIT SELECTRONIC INTEGRATED SENSOR FAUCET  1 UNIT NEW CODIE ROUND 430MM LAVATORY WITH FULL 1          LOFT MONO LAVA FAUCET</t>
  </si>
  <si>
    <t xml:space="preserve"> Photocopier (Heavy Duty)</t>
  </si>
  <si>
    <t xml:space="preserve"> Please quote your lowest price on the SUPPLY AND DELIVERY OF SLIDING WINDOW AND SLIDING DOOR FOR BFP OFFICE as specified below and submit your quotation duly signed by your representative not later than 2pm of                  AUGUST 11, 2020 				 					 	</t>
  </si>
  <si>
    <t xml:space="preserve"> Stock NO.	Unit	DESCRIPTION				Qty 						 1	tubes	Ink Refill (BT 5000) CYAN Brother				4 2	tubes	Ink Refill (BT D 60) MAGENTA Brother				4 3	tubes	Ink Refill (BT D 60) Black Brother				4 4	tubes	Ink Refill (BT D 60) Blue Brother				4</t>
  </si>
  <si>
    <t xml:space="preserve"> 1.	The Oroquieta City Water District, through the National Government 2017 intends to apply the sum of Two Million Nine Hundred Seventy Five Thousand Six Hundred Sixty Eight Pesos (Php 2,975,668.00) being the Approved Budget for the Contract (ABC) to paym</t>
  </si>
  <si>
    <t xml:space="preserve"> Republic of the Philippines Province of Zamboanga del Sur MUNICIPALITY OF LAKE WOOD BIDS AND AWARDS COMMITTEE Invitation to Bid for Procurement of Veterinary Supplies and biologics use Protection and Prevention and control of Diseases on Livestock and Pou</t>
  </si>
  <si>
    <t xml:space="preserve"> 1	2	pcs	Digital Infrared Thermometer	 			specification:	 			Measuring : 1cm to 5cm	 			Sample Rate : 0.5s	 				 2	2	sets	LTE Broadband, Prepaid Wifi with sim and 	 			300 load each unit                              	 			specification:                     </t>
  </si>
  <si>
    <t xml:space="preserve"> See attached Associated Component</t>
  </si>
  <si>
    <t xml:space="preserve"> INDUSTRIAL TECHNOLOGY DEVELOPMENT INSTITUTE DOST Cmpd., Bicutan, Taguig City Telephone Nos. (02) 837-20-71 to 82 local 2221 E-mail Add.: itdi.admbac@gmail.com INVITATION TO BID August 8, 2020 Sir/Madam: Please quote your price for the item/items listed be</t>
  </si>
  <si>
    <t xml:space="preserve"> Name of Project:      	Catering Services for the Procurement and delivery of meals and snacks for the 2020 Census of Population and Housing (CPH) Fourth Level Training – Municipality of San Ildefonso Brief Description:         	The Bulacan Provincial Stat</t>
  </si>
  <si>
    <t xml:space="preserve"> CATER MEALS, SNACK , LODGING AND VENUE</t>
  </si>
  <si>
    <t xml:space="preserve"> 1 ea Kit, VTS 15-30 HP, Fuel Pump</t>
  </si>
  <si>
    <t xml:space="preserve"> 1.     50 BOXES DISPOSABLE GLOVES NITRILE, SMALL 2.     50 BOXES DISPOSABLE GLOVES, MEDIUM 3.     50 BOXES DISPOSABLE GLOVES NITRILE, LARGE 4.     120 GALLON ALCOHOL 5.     120 PIECES GOGGLES 6.     20 BOXES SURGICAL CAP (100'S) 7.     20 BOXES SHOE COVER</t>
  </si>
  <si>
    <t xml:space="preserve"> Brief Description/Specification: “SUPPLY AND DELIVERY OF OFFICE FURNITURE AND ICT EQUIPMENT” for use in the operations of the Rural Health Unit-Municipal Health Office, Municipal Government of Bayog, Zamboanga del Sur.   Approved Budget For The Contract: </t>
  </si>
  <si>
    <t xml:space="preserve"> 1	1,820	liters	Diesel	 				 APPROVED BUDGET FOR THE CONTRACT: PHP 85,667.40 LOCATION OF THE CONTRACT: BATARAZA, PALAWAN DURATION OF THE CONTRACT: 7 DAYS SCHEDULE OF ACTIVITIES: POSTING AND ISSUANCE OF BIDS: AUGUST 5-10, 2020 PRE-BID CONFERENCE :- DEADLINE</t>
  </si>
  <si>
    <t xml:space="preserve"> Lumber  and Carpentry Materials		 1	Good Lumber 1" x 2 'x 10'	3	Bndls. 2	Good lumber 2" x 4' x 12'	36	Pcs. 3	Good Lumber 2" x 6' x 12'	17	Pcs. 4	Good Lumber 2" x 3' x 12'	55	Pcs. 5	Good Lumber 2" x 2' x 12'	60	Pcs. 6	Good Lumber 5" x 5' x 10'	6	Pcs. 7	Com</t>
  </si>
  <si>
    <t xml:space="preserve"> The AGRICULTURAL TRAINING INSTITUTE-REGIONAL TRAINING CENTER (ATI-RTC) X, through the 2020 General Appropriations Act intends to apply the sum of Fifty Four Thousand Pesos (P 54,000.00) being the Approved Budget for the Contract (ABC) to payments under th</t>
  </si>
  <si>
    <t xml:space="preserve"> See attached Request for Quotation (RFQ)</t>
  </si>
  <si>
    <t xml:space="preserve"> Republic of the Philippines				 Province of Quezon 				 Municipality of Lucban				 				 Bill of Quantities				 Quantity	Unit	Articles/Description	Unit Price	Amount 				 200	PACKS	PAPER CUPS 8OZ	 	  3000	PCS	PAPER BOWL	 	  20	PACKS	PORK &amp; SPOON	 	  18	PACK</t>
  </si>
  <si>
    <t xml:space="preserve"> 1 pc - generator 1 pc - wheelbarrow 1 set - paging system</t>
  </si>
  <si>
    <t xml:space="preserve"> Supply &amp; delivery of: 1	1	unit	Sand Cone Field Density Test Apparatus                                     			Diameter,Cone: 6.5in (165mm)                                                			Capacity:  1 gal (3.8L)      2	1	unit	Density Plate                </t>
  </si>
  <si>
    <t xml:space="preserve"> purchased and delivery of electrical supplies</t>
  </si>
  <si>
    <t xml:space="preserve"> Heavy Duty Storage Tub Black (Large) 2 pcs  Heavy Duty Storage Tub Black (Medium) 2 pcs  Heavy Duty Storage Tub Black (Small) 2 pcs  Total Amount: P 10,000.00</t>
  </si>
  <si>
    <t xml:space="preserve"> 1 ea Impeller Key &amp; Spring Assembly (5006968) &amp; 2 L/I</t>
  </si>
  <si>
    <t xml:space="preserve"> materials for Construction of Line Canal</t>
  </si>
  <si>
    <t xml:space="preserve"> Republic of the Philippines								 COMMISSION ON AUDIT								 Regional Office No. 5								 Rawis, Legazpi city								 								 REQUEST FOR QUOTATION								 					Date  : 	4-Aug-20		 								 					RFQ No.  	2020-08-		 								 					PR No.    	2020-07-1</t>
  </si>
  <si>
    <t xml:space="preserve"> drugs and medicines expenses for NIFSL4</t>
  </si>
  <si>
    <t xml:space="preserve"> 24 Liters Coolant 10 Liters Gear Oil 8 Liters Synthetic Diesel Engine Oil Note: For official use of DENR-9 vehicle with plate no. 092008 and VY-2092.</t>
  </si>
  <si>
    <t xml:space="preserve"> Procurement of Catering Services (On-Site) re: Conduct of Social Infrastructure Building Trainings for ARBOs in DARMO Hagonoy and Kiblawan, Davao del Sur for 2nd Semester 2020 Item No./Qty./Unit/Item Description/Estimated Unit Cost/Estimated Cost One-day </t>
  </si>
  <si>
    <t xml:space="preserve"> Republic of the Philippines Province of Batanes	 MUNICIPALITY OF BASCO               INVITATION FOR NEGOTIATED PROCUREMENT  Small Value Procurement Project Reference No. :100-3-03-GADF Name of Project	      : Operation and Maint. of Child-Minding Center L</t>
  </si>
  <si>
    <t xml:space="preserve"> 31 PAX OF TEACHING AND NON-TEACHING PERSONNEL, 3 FT. X 5FT. TARPAULIN, 4 FT. X 16 FT. TARPAULIN, 3 FT. X 4 FT. TARPAULIN</t>
  </si>
  <si>
    <t xml:space="preserve"> Requesting for Quotation (RFQ) for PR No. 2004162  Interested suppliers are invited to submit Sealed Price Quotations for the above listed items. The Request for Quotation (RFQ) for may be obtained from Mr. Albert A. Camarillo City General Services Office</t>
  </si>
  <si>
    <t xml:space="preserve"> Construction of Concrete Pathway</t>
  </si>
  <si>
    <t xml:space="preserve"> 42” Industrial Tornado Drum Fan	4	Unit Production Specification 42” Industrial Drum Fan 750 Watts Power 540m3 per Minutes air volume 2 Speed Control With thermal protector With wheels for easy transport Optimized blade design for softer wind</t>
  </si>
  <si>
    <t xml:space="preserve"> 1 set	Chain block, 2 tons: lifting mechanism: manual, lifting load: 2000kg, standard lift height is 3mtrs, 2 load chains, optimized hand forces, strong bolts and reinforced hand wheel cover for increased stability, zinc plated and yellow chromated brake p</t>
  </si>
  <si>
    <t xml:space="preserve"> Purchase of materials fo donation to fire victims in Orani, Bataan</t>
  </si>
  <si>
    <t xml:space="preserve"> purchased and delivery of cctv with complete accesories and installation</t>
  </si>
  <si>
    <t xml:space="preserve"> Republic of the Philippines Province of Nueva Vizcaya BIDS AND AWARDS COMMITTEE (BAC-Goods) BAC OFFICE, Provincial Capitol, Bayombong, Nueva Vizcaya Tel. No. 078-392-2062 	 INVITATION TO BID FOR THE SUPPLY &amp; DELIVERY OF1 UNIT LAPTOP   FOR THE  GOVERNOR’S </t>
  </si>
  <si>
    <t xml:space="preserve"> 2565 pcs. - multi colored ID lace with print , ID tag and universal string for OTG (yellow/green/red/ blue)</t>
  </si>
  <si>
    <t xml:space="preserve"> Invitation to Bid for SUPPLY AND DELIVERY OF OFFICE EQUIPMENT  FOR PDAO The Municipal Government of Looc, Romblon, through the AO-NO. 018-2019 Regular1 intends to apply the sum of Fifty Thousand Pesos Only (P 50,000.00) being the Approved Budget for the C</t>
  </si>
  <si>
    <t xml:space="preserve"> Stock No.	Item Description	QTY.	Unit 1	Bio-Enzyme	30	kgs 	Organic disinfecan, Non-Toxic, good for		 	5-10 tons of solid waste.</t>
  </si>
  <si>
    <t xml:space="preserve"> MAIN DOCUMENT</t>
  </si>
  <si>
    <t xml:space="preserve"> Republic of the Philippines PROVINCE OF ZAMBOANGA DEL NORTE BIDS AND AWARDS COMMITTEE (BAC) BAC Conference Room, Capitol Building, Brgy. Extaka, Dipolog City Tel. # (065) 212-6492 Telefax # (065) 212-6492                                                   </t>
  </si>
  <si>
    <t xml:space="preserve"> Please see attached documents.</t>
  </si>
  <si>
    <t xml:space="preserve"> ITEM NO.	ITEM &amp; DESCRIPTION				UNIT	QTY. 1	1.00m.x6m. Medical Cladding				pcs	13 2	3/16"x1"x6m. Angle Bars				pcs	50 3	1/8"x1/2" Blind Rivets				box	2 4	1/8" Drill Bit				pcs	5 5	Bamboo Pole				pcs	20 6	#18 G.I Wire				klo	1 7	Welding Rod				klo	9 8	Epoxy</t>
  </si>
  <si>
    <t xml:space="preserve"> SCHOOL AND OFFICE SUPPLIES</t>
  </si>
  <si>
    <t xml:space="preserve"> OFFICE: PHILIPPINE NATIONAL POLICE PURPOSE: FRO SEARCH AND RESCUE OPERATION ABC: 118,000.00 ITEM DESCRIPTION 10 PC LIFE VEST 1 PC SPINE BOARD 5 ROLL RESCUE ROPE 5 SET RAPELLING SET 3 PCS FLOATING RING 2 PCS MEGA PHONE 2 PCS CHAINSAW 1 PC PORTABLE ELECTRIC</t>
  </si>
  <si>
    <t xml:space="preserve"> Please see attached associated components Purchase Request and Request for Quotation for specifications and corresponding budget of each item.  Kindly email your quotations to jesspsanchez@yahoo.com and ras1031@yahoo.com.</t>
  </si>
  <si>
    <t xml:space="preserve"> Contract ID:	20FH0100 Contract Name:	CONSTRUCTION OF TWO (2) STOREY SIX (6) CLASSROOM (7X9) SENIOR HIGH SCHOOL BUILDING, TINAGO NATIONAL HIGH SCHOOL, VIGA, CATANDUANES Contract Location:	TINAGO NATIONAL HIGH SCHOOL, VIGA, CATANDUANES Scope of Work:	TWO (2</t>
  </si>
  <si>
    <t xml:space="preserve"> Republic of the Philippines				 Province of Quezon 				 Municipality of Lucban				 				 Bill of Quantities				 Quantity	Unit	Articles/Description	Unit Price	Amount 420	kls	pork/meat		 550	kls	chicken	 	  			 	  			 	  			 	  			 	  			 	  			 	  			 	  		</t>
  </si>
  <si>
    <t xml:space="preserve"> 6 units Risograph Machine</t>
  </si>
  <si>
    <t xml:space="preserve"> REPUBLIC OF THE PHILIPPINES Santa Rosa (NE) Water District Santa Rosa – Fort Magsaysay Road, Brgy. Rizal, Santa Rosa, Nueva Ecija Supply and Delivery of Service Connection Materials Item	Description	Qty	Unit	U. Cost	Total Cost 1	GI Nipple 2 x ¾ 	500	pcs	1</t>
  </si>
  <si>
    <t xml:space="preserve"> Diesel                                  15,000 Liters Gasoline                                1,000 Liters Engine Oil                                250 Liters Gear Oil                                    75 Liters Oil Filter                               </t>
  </si>
  <si>
    <t xml:space="preserve"> Please see attached RFQ in Associated Component Section for Specifications</t>
  </si>
  <si>
    <t xml:space="preserve"> THE NATIONAL IRRIGATION ADMINISTRATION-SCIMO, THROUGH THE FUND 501 HAS THE APPROVED BUDGET FOR THE CONTRACT (ABC) AMOUNTING SEVENTY-FOUR THOUSAND FOUR HUNDRED TWENTY-FIVE PESOS ONLY (74,425.00).  QUOTATION RECEIVED IN EXCESS OF THE ABC SHALL BE AUTOMATICA</t>
  </si>
  <si>
    <t xml:space="preserve"> Section I. Invitation to Bid Republic of the Philippines Province of Bukidnon MUNICIPALITY OF TALAKAG Invitation to Bid for Procurement of Cassava Digger  (For CALIDAFA Bub 2015) 1.	The Municipality of Talakag through the Trust Fund, BUB 2015 intends to a</t>
  </si>
  <si>
    <t xml:space="preserve"> DOUBLE CAB 4X2   6 WHEELER   4 CYLINDER DIESEL ENGINE   2,835 CC   94 HP   FIVE (5) SPEED MANUAL TRANSMISSION   KC TYPE   POWER STEERING   4X2   WITH COMPLETE ACCESSORIES AND FREE LTO REGISTRATION AND INSURANCE</t>
  </si>
  <si>
    <t xml:space="preserve"> Invitation to Bid for Procurement of Pipes for Transmission and Distribution, Solar Pumps for Water System 1. The Province of Misamis Occidental through the General Funds intends to apply the sum of Nine Million Six Hundred Fifty Thousand Fifteen and Sixt</t>
  </si>
  <si>
    <t xml:space="preserve"> ---------Qty.-----------Unit-------------ITEM/S DESCRIPTION -----------------------------------------SITEWORKS ---------1--------------lot--------------Demolition of Firewall -----------------------------------------ROOFING WORKS --------40-------------pc</t>
  </si>
  <si>
    <t xml:space="preserve"> Requesting for Quotation (RFQ) for PR No. 2001586  Interested suppliers are invited to submit Sealed Price Quotations for the above listed items. The Request for Quotation (RFQ) for may be obtained from Mr. Albert A. Camarillo City General Services Office</t>
  </si>
  <si>
    <t xml:space="preserve"> AIR CONDITION		 Floor mounted non-inverter type 4 HP	1	Unit Window type 1 HP  Labor and material for aircon installation of 1 unit floor mounted	1	Unit</t>
  </si>
  <si>
    <t xml:space="preserve"> Republic of the Philippines				Project Reference Number: 	G-20-0735                                           Province of Compostela Valley				Name of the Project	:  Medical Supplies MUNICIPALITY OF MONTEVISTA			Location of the Project	:           MO (Bay</t>
  </si>
  <si>
    <t xml:space="preserve"> MEDICINE SUPPLIES</t>
  </si>
  <si>
    <t xml:space="preserve"> For Civil Society Organizations (CSOs): Service Provision in providing quality Family Planning (FP) services specifically the following: a) contraceptive subdermal implants; b) bilateral tubal ligation; and c) non-scalpel vasectomy to clients in DOH licen</t>
  </si>
  <si>
    <t xml:space="preserve"> Mefenamic Acid 500mg capsule Amoxicillin 500mg Capsule Paracetamol 500mg Tablet Loperamide Tablet Carbocisteine capsule 500mg Cetirizine Tablet Cetirizine Syrup Paracetamol Syrup 125mg Salbutamol Syrup</t>
  </si>
  <si>
    <t xml:space="preserve"> Stock No.	Item Description	QTY.	Unit 1	Processor 940	1	unit 	Motherboard #310 m.h.		 	RAM 8gb ddr4	1	unit 	Hardisk 1Tb SATA hdd	1	unit 	Videocard 4gb gtx 1050 ti DDR5	1	unit 	mouse &amp; keyboard (usb type)	1	set 	UPS bx 650 li 3 slots 	1	unit 	AVR	1	unit 	AT</t>
  </si>
  <si>
    <t xml:space="preserve"> DOUBLE CAB 4X2  6 WHEELER  4 CYLINDER DIESEL ENGINE  3,059 CC  94 HP  FIVE(5) SPEED MANUAL TRANSMISSION  GIGA TYPE  MECHANICAL WINDOW RISER  FLAT LOW  POWER STEERING 4X2 WITH AIRCON  WITH HARDTOP CANOPY AND FOLDING CHAIR  WITH COMPLETE ACCESSORIES, LTO RE</t>
  </si>
  <si>
    <t xml:space="preserve"> Republic of the Philippines Province of Nueva Vizcaya BIDS AND AWARDS COMMITTEE (BAC-GOODS) BAC OFFICE, Provincial Capitol, Bayombong, Nueva Vizcaya Tel. No. (078) 392-2650 	 INVITATION TO BID FOR THE SUPPLY AND DELIVERY OF ONE (1) SET REFRIGERATED CENTRI</t>
  </si>
  <si>
    <t xml:space="preserve"> Office/Janitorial Supplies and Equipment</t>
  </si>
  <si>
    <t xml:space="preserve"> Description	Quantity	Unit Angle Bars 1” x 1”x 1/8”	30	Length Flat Bars 1” x 1/8”	10	Length C-Purlins 2x3x1.5mm	220	Length Deformed Bars 10mmØ	65	Pcs. Turn Buckle 12mm	20	Pcs. Turn Buckle 20mm	1	Pcs. Ordinary Plywood ¼” Thk.	50	Sht. Tie Wire #16	2	Roll Cut</t>
  </si>
  <si>
    <t xml:space="preserve"> 1 LOT 5	 unit 	Ceiling Fan, Heavy Duty, 18" metal blade 100	 pcs. 	Monobloc Chair, Heavy Duty, Armless, Biege</t>
  </si>
  <si>
    <t xml:space="preserve"> 5 Units HDMI to VGA Converter Unit Cost: P 1,000.00 Total Amount: P 5,000.00  3 Units Portable Router Specification * Weight 200 g * LTE Mobile Wifi * Communication System - LTE/UMTS/GSM *   Speed 150Mbps DL/50Mbps UL * Battery 5200mAH Unit Cost: P 1,000.</t>
  </si>
  <si>
    <t xml:space="preserve"> Purchase of Office Supplies for Agriculture Office</t>
  </si>
  <si>
    <t xml:space="preserve"> RIPRAP OF BARANGAY ROAD CANAL (PHASE 2) Purok 4, Brgy. Guinacutan, Labo, Camarines Norte Riprapping of 150.0 LM</t>
  </si>
  <si>
    <t xml:space="preserve"> 20	Pcs	Tropical Antiseptic, 60cc, 15ml 20	Pcs	70% Isopropyl Alcohol , 240 cc, 500mL 20	Pcs	Aromatic Spirit Ammonia, 30cc,  60mL 20	Pcs	Toothache Drops, 15cc,   20	Pcs	Hydrogen Peroxide Solution, 120cc,  20	Pcs	(Dermaid Hydrogen Peroxide 20V x 250ml) 20	Tu</t>
  </si>
  <si>
    <t xml:space="preserve"> Procurement  Supply and Delivery of Office Equipment Location: Mayor's Office LGU-Balingasag, Peoples Palace, Balingasag, Misamis Oriental</t>
  </si>
  <si>
    <t xml:space="preserve"> Stock No.	Item description	QTY.	Unit 1	A. BODY REPAIR		 	Remove/Replace		 	Hood Panes		 	RH Hood Hinge		 	LH Hood Hinge		 	Hood Insulator		 	Hood Lock Support		 	Front Bumper Cover		 	Bumper Clips #1		 	Bumper Clips #2		 	RH Front Bumper Support		 	LH Fro</t>
  </si>
  <si>
    <t xml:space="preserve"> Republic of the Philippines Province of Misamis Occidental MUNICIPALITY OF CALAMBA BARANGAY MAMALAD INVITATION TO BID FOR PURCHASE OF MATERIALS FOR THE COMPLETION OF SUBANEN BUILDING FOR COVID-19 ISOLATION FACILITY 	August 5, 2020 1.	The Barangay Mamalad </t>
  </si>
  <si>
    <t xml:space="preserve"> Name of Project:      	Catering Services for the Procurement and delivery of meals and snacks for the 2020 Census of Population and Housing (CPH) Fourth Level Training – Municipality of San Miguel Brief Description:         	The Bulacan Provincial Statist</t>
  </si>
  <si>
    <t xml:space="preserve"> Please See Attachment</t>
  </si>
  <si>
    <t xml:space="preserve"> Republic of the Philippines DEPARTMENT OF PUBLIC WORKS AND HIGHWAYS SARANGANI DISTRICT ENGINERING OFFICE REGIONAL OFFICE XII Alabel, Sarangani Province 					 					 SHOPPING 					 The Department of Public Works and Highways-Sarangani District Engineering O</t>
  </si>
  <si>
    <t xml:space="preserve"> Republic of the Philippines DEPARTMENT OF PUBLIC WORKS AND HIGHWAYS SARANGANI DISTRICT ENGINEERING OFFICE REGIONAL OFFICE XII Alabel, Sarangani Province INVITATION TO BID FOR 1.	Contract ID No. 	:	20GME0044(Rebid) Contract Name	:	Supply &amp; Delivery of Lubr</t>
  </si>
  <si>
    <t xml:space="preserve"> Republic of the Philippines CITY OF MALABON Metro Manila BIDS AND AWARDS COMMITTEE I N V I T A T I O N    T O    B I D SUPPLY AND DELIVERY OF MEALS FOR THE PROJECT “PROVISION  OF ASSISTANCE TO VICTIMS OF DISASTER (HOT MEALS)” 1.	The City Government of Mal</t>
  </si>
  <si>
    <t xml:space="preserve"> Seven hundred (700) pcs Plywood # 1/4 and thirty two (32) other L/I</t>
  </si>
  <si>
    <t xml:space="preserve"> Contract ID:	20FH0096 Contract Name:	REPAIR/MAINTENANCE OF DPWH BUILDING, MAIN OFFICE BUILDING, CATANDUANES DEO, VIRAC, CATANDUANES Contract Location:	CATANDUANES DEO, VIRAC, CATANDUANES Scope of Work:	REPAIR OF DPWH BUILDING Approved Budget for the Contr</t>
  </si>
  <si>
    <t xml:space="preserve"> Purchase of 2 Folding Bed used in the Office of the Agriculture as temporary accommodation for clientele from far areas.</t>
  </si>
  <si>
    <t xml:space="preserve"> materials</t>
  </si>
  <si>
    <t xml:space="preserve"> Purchase of External Hard Drive 1 unit external hard drive (1TB)</t>
  </si>
  <si>
    <t xml:space="preserve"> Calculator (Casio)	 Binder Clips, Small	 Binder Clips, Medium	 Binder Clips, Large	 Correction  Tape	 Bondpaper, Sub 20, Short	 Rug, Small, Round	 Double-sided Tape 2"	 Data File Box (XL)	 Energerl, Black (My Gel)	 Energerl, Blue (My Gel)	 Alcohol, 70% (5</t>
  </si>
  <si>
    <t xml:space="preserve"> Supply &amp; Delivery of tools &amp; supplies 07D DA-BAR Vermi H08-2020 Kindly see attached file. Thank you!</t>
  </si>
  <si>
    <t xml:space="preserve"> purchased and delivery of tent</t>
  </si>
  <si>
    <t xml:space="preserve"> Section I. Invitation to Bid FOR THE UPLB-S-030-08-20 REBID  PROCUREMENT OF SIPHONING SERVICES OF SEPTIC TANKS FOR UPLB DORMITORIES (NEW DORMITORY, VETMED DORMITORY, FORESTRY RESIDENCE HALL, NEW FORESTRY RESIDENCE HALL) REBID 1.	The UNIVERSITY OF THE PHIL</t>
  </si>
  <si>
    <t xml:space="preserve"> CONSTRUCTION OF COVERED PATHWALK</t>
  </si>
  <si>
    <t xml:space="preserve"> purchased and delivery of materials in the construction of 1 unit comfort room</t>
  </si>
  <si>
    <t xml:space="preserve"> Gloss Latex, Cream Color	24	gallons Flat Latex, White	20	gallons Plastic Tray	20	pieces Paint Roller #7	50	pieces Baby Roller #4	100	pieces Waste Rug	10	pieces Paint Brush #2	50	pieces QDE Yellow	12	gallons QDE Red	8	gallons Hardener only	20	tubes Sand Pa</t>
  </si>
  <si>
    <t xml:space="preserve"> The Municipal Government of Bayog, Zamboanga del Sur thru its Bids and Awards Committee (BAC) invites all interested bidders for the “SUPPLY AND DELIVERY OF TIRES FOR HEAVY EQUIPMENT” for the repair/maintenance of Heavy Equipment of Bayog, Zamboanga del S</t>
  </si>
  <si>
    <t xml:space="preserve"> Republic of the Philippines CITY OF MALABON Metro Manila BIDS AND AWARDS COMMITTEE I N V I T A T I O N     T O     B I D VARIOUS INFRASTRUCTURE PROJECTS  1.	The City Government of Malabon, through the 20% Development Fund and General Fund CY 2020 now invi</t>
  </si>
  <si>
    <t xml:space="preserve"> Name of Project:      	Catering Services for the Procurement and delivery of meals and snacks for the 2020 Census of Population and Housing (CPH) Fourth Level Training – Municipality of San Rafael Brief Description:         	The Bulacan Provincial Statist</t>
  </si>
  <si>
    <t xml:space="preserve"> UNIT                             QUANTITY                                      DESCRIPTION REAM                             765                                               A4 BOND PAPER SUBSTANCE 20 BOX                                21                 </t>
  </si>
  <si>
    <t xml:space="preserve"> Republic of the Philippines					 PROVINCE OF LEYTE					 Municipality of Burauen					 Request for Quotation					 				Date: 	 _____________________________				Quotation No: __________	 _____________________________					 _____________________________					 Pl</t>
  </si>
  <si>
    <t xml:space="preserve"> INVITATION TO BID for the SUPPLY FOR 1 UNIT RTK 1.	The National Irrigation Administration-Davao del Norte IMO, through the GAA fund 2020 intends to apply the sum of  P2,300,000.00 being the Approved Budget for the Contract (ABC) to payments under the cont</t>
  </si>
  <si>
    <t xml:space="preserve"> City Government of La Carlota								          Standard Form Number: SF-GOOD-59 Revised on: May 24, 2004 Standard Form Title: REQUEST FOR QUOTATION 												Date: ______________ 												Quotation No.________ Company Name Address 	Please quote your </t>
  </si>
  <si>
    <t xml:space="preserve"> construction materials</t>
  </si>
  <si>
    <t xml:space="preserve"> 5 units- Motorcycle                 Specifications:            - 124.8cc Maximum Power               9hp Fuel tank Capacity               3.8L Engine Type               52.4mm x 57.9mm exhaust pipes               10.4 Nm. Valve Configuration              </t>
  </si>
  <si>
    <t xml:space="preserve"> Republic of the Philippines City of Canlaon OFFICE OF THE BIDS AND AWARDS COMMITTEE Invitation to Bid for the MULTI-PURPOSE PAVEMENT  The City Government of Canlaon City, through Ord. No. 109, series of  2019 intends to apply the sum of Five Hundred Thirt</t>
  </si>
  <si>
    <t xml:space="preserve"> Description	Quantity	Unit Angle Bars 1” x 1”x 1/8”	30	Length Flat Bars 1” x 1/8”	10	Length C-Purlins 2x3x1.5mm	220	Length Turn Buckle 12mm	20	Pcs. Tie Wire #16	1	Roll Deformed Bars 10mmØ	20	Pcs. Lacquer Thinner	8	Gal. Metal Primer	8	Gal.</t>
  </si>
  <si>
    <t xml:space="preserve"> Republic of the Philippines Province of Samar MUNICIPALITY OF MARABUT INVITATION to BID for  IMPROVEMENT OF MATERIAL RECOVERY FACILITY (MRF)  	 1.	The Municipal Government of Marabut, through its 20% Development Fund and MRF Financial Assistance of Depart</t>
  </si>
  <si>
    <t xml:space="preserve"> Please download the ATTACHED ASSOCIATED COMPONENTS for details/schedules.</t>
  </si>
  <si>
    <t xml:space="preserve"> REQUEST FOR QUOTATION (RFQ) The MDRRMO through the Bids and Awards Committee (BAC) of the Municipality of Banaybanay, Davao Oriental hereby notifies and invites you to submit your quotation/bid for the hereunder proposed project/request, viz: SLEEPING GEA</t>
  </si>
  <si>
    <t xml:space="preserve"> Short Bondpaper Long Bondpaper Platic with jolder envelop flexstick ballpen Pencil Elementary paper Kinder Grade 1 Grade 2 Grade 3 Grade 4 Grade 5 Grade 6</t>
  </si>
  <si>
    <t xml:space="preserve"> Chlorine Dosing Pump</t>
  </si>
  <si>
    <t xml:space="preserve"> As per the Terms of Reference</t>
  </si>
  <si>
    <t xml:space="preserve"> 5	unit	2.5 HP Split Type Aircon with inverter (Wall mounted; eco Mode; Sleep Timer, Anti-corrosion Coating; On/Off Timer; Pre-set Function; Quiet Operation; ft. refrigerant pipe) 3	unit	2.0 HP Split Type Aircon with inverter (Wall mounted; eco Mode; Sleep</t>
  </si>
  <si>
    <t xml:space="preserve"> Item	QTY.	UNIT	PARTICULARS / DESCRIPTION AND SPECIFICATIONS		APPROVED	BRAND NAME	UNIT PRICE NO.					UNIT COST		 1	2	UNIT	Vertical Filling Cabinet with vault 4 layer filing cabinet with safety vaults dial lock with key: Color: Black  Ready Made		 20,000.00</t>
  </si>
  <si>
    <t xml:space="preserve"> Republic of the Philippines Province of Nueva Vizcaya BIDS AND AWARDS COMMITTEE (BAC-GOODS) BAC OFFICE, Provincial Capitol, Bayombong, Nueva Vizcaya Tel. No. (078) 392-2650 	 INVITATION TO BID FOR THE SUPPLY AND DELIVERY OF VARIOUS HOSPITAL EQUIPMENT FOR </t>
  </si>
  <si>
    <t xml:space="preserve"> Standard Form Number: SF-GOOD-60                                                       Republic of the Philippines Standard Form Title: Request for                                                                                                       Taclo</t>
  </si>
  <si>
    <t xml:space="preserve"> Please see attached RFQ. For questions, please contact Joanna Marie P. Sagon at 09061916228.</t>
  </si>
  <si>
    <t xml:space="preserve"> Republic of the Philippines DEPARTMENT OF PUBLIC WORKS AND HIGHWAYS ILOILO CITY DISTRICT ENGINEERING OFFICE REGION VI Fort San Pedro Road, Iloilo City Name of Procuring Entity:   DPWH-ILOILO CITY DISTRICT ENGINEERING OFFICE Request for Quotation (PR No): </t>
  </si>
  <si>
    <t xml:space="preserve"> WASHED SAND	175	CU.M</t>
  </si>
  <si>
    <t xml:space="preserve"> Supplu, Delivery and Installation of the Waterproofing at the Roof Deck of SEC Cebu Extension Office Building</t>
  </si>
  <si>
    <t xml:space="preserve"> PROCUREMENT OF THREE (3) UNITS RISO DIGITAL DUPLICATOR AND TWENTY-FOUR (24) UNITS MULTI-FUNCTION COPIER PRINT</t>
  </si>
  <si>
    <t xml:space="preserve"> 100	Bot	Hand Soap (Anti-Bac) 500mL 200	Bot	Alcohol 70% Isopropyl 60mL 50	Boxes	Medical Gloves 1000	Pcs	Face Mask 3 Ply 200	Bot	Sanitizing Gel 60mL 100	Pcs	Face Shield</t>
  </si>
  <si>
    <t xml:space="preserve"> INVITATION TO BID The City of Bayawan, through its Bids and Awards Committee (BAC), invites suppliers/manufacturers/distributors/contractors to bid for the hereunder projects: 	Lot No. I		BROTHER INKS AND TONERS (ORIGINAL)					 19	2	cartridge(s)	Toner Car</t>
  </si>
  <si>
    <t xml:space="preserve"> Information Technology- 1.	1 set Transit Total Station (GNSSRTK)                       Support Multi Constellations &amp; Frequencies: -	GPL L1C/A, L2C, L2P, L5 -	GLONASS L1C/A, L2C/A -	BeiDou B1, B2, B3 -	Galileo E1, E5A, E5B -	QZSS L1C/A, L1C, L2C, L5 -	SBA</t>
  </si>
  <si>
    <t xml:space="preserve"> Please quote your lowest price inclusive of VAT on the item/s listed below, subject to the Terms and Conditions of this RFQ, and submit your quotation duly signed by your representative not later August 12, 2020 at 10:00 AM at Bids and Awards Committee at</t>
  </si>
  <si>
    <t xml:space="preserve"> Republic of the Philippines Province of Misamis Occidental Municipality of Plaridel INVITATION TO APPLY FOR ELIGIBILITY AND TO BID 	 	The Local Government Unit, LGU-Plaridel, Misamis Occidental, through its Bids and Awards Committee (BAC), invites supplie</t>
  </si>
  <si>
    <t xml:space="preserve"> Food</t>
  </si>
  <si>
    <t xml:space="preserve"> ICT Equipment for CCTV-DVR 2 unit Digital Video Recorder (Please refer to an attached RFQ for the Specifications) 1 unit UPS 2000VA with AVR 2 unit UPS 1000VA with AVR **Please see an attached document in ASSOCIATED COMPONENTS for the RFQ</t>
  </si>
  <si>
    <t xml:space="preserve"> Proposed Rehabilitation and Upgrading of Existing Streetlighting along Antipolo Street (Phase 1 and 2) located at Barangay Poblacion/Valenzuela, Makati City - Order of payment for Bid Docs will be available at GSD-Head Office @ 10th Floor Makati City Hall</t>
  </si>
  <si>
    <t xml:space="preserve"> REQUEST FOR QUOTATION 				                                      Date: August 4, 2020 				                                               Quotation No/PR No. 137 To all Eligible Suppliers: I.  Please quote your lowest price inclusive of VAT on the item list</t>
  </si>
  <si>
    <t xml:space="preserve"> The Provincial Government of Samar invites all interested registered suppliers to submit in person or authorized representative quotation for- 			 1.	1,200	pax	Meals (packed lunch catered) Delivered to Himyangan Requisitioning Office: Governor’s Office Bi</t>
  </si>
  <si>
    <t xml:space="preserve"> Item No.	Qty	DESCRIPTION				Unit Of Measurement 						 1	10	Bond Paper (Short)				reams 2	10	Bond Paper (Long)				reams 3	12	Folder (Short)				Pcs. 4	36	Folder (Long)				Pcs. 5	36	Folder (Long) Red				Pcs. 6	36	Folder (Long) Blue				Pcs. 7	36	Folder (Long</t>
  </si>
  <si>
    <t xml:space="preserve"> 4 UNITS OF COLUMNS, 2 UNITS OF TEEL TRUSSES WITHOUT PURLINS AND 4 UNITS OF STEEL BEAMS</t>
  </si>
  <si>
    <t xml:space="preserve"> 1.     1,000 PIECES HEALTHCARE PARTICULATE RESPIRATOR AND SURGICAL MASK TYPE 1860</t>
  </si>
  <si>
    <t xml:space="preserve"> See attach RFQ.</t>
  </si>
  <si>
    <t xml:space="preserve"> Procurement of 1 Unit Duplicator for the Local Government Unit of Tayum</t>
  </si>
  <si>
    <t xml:space="preserve"> Republic of the Philippines SILAY CITY GOVERNMENT Zamora Street Silay City, Negros Occidental Telefax No. (034) 495-3746 	Control  Reference Number : GOODS#0150, ITB#0153,  PR#0428: SCG-2020 Name of the Project: PURCHASE OF CONSTRUCTION MATERIALS AND SUPP</t>
  </si>
  <si>
    <t xml:space="preserve"> See associated components for complete details</t>
  </si>
  <si>
    <t xml:space="preserve"> Face Mask</t>
  </si>
  <si>
    <t xml:space="preserve"> The Commission on Audit, Regional Office No. 10, Cagayan de Oro City, through its Bids and Awards Committee (BAC) intends to perform Negotiated Procurement in the procurement of item(s) stipulated below: Project: Dismantling/Transfer, Cleaning &amp; Maintenan</t>
  </si>
  <si>
    <t xml:space="preserve"> INVITATION TO APPLY FOR ELIGIBILITY AND TO BID The Municipality of San Pablo Province of Zamboanga del Sur, through its Bids and Awards Committee (BAC), invites all interested suppliers/manufacturers/distributors/contractors to apply for eligibility and t</t>
  </si>
  <si>
    <t xml:space="preserve"> Item No.	Description	Unit	Quantity 	Baby Diaper 8’s		 1	   Medium	Pack	15 2	   Large 	Pack	30 3	   Extra Large	Pack	55 	Hygiene Kit		 4	Alcohol (Ethyl) 120ml	Bottle	170 5	Washable Face Mask (for kids)	Pc.	170 6	Germicidal Soap (135 grams)	Pc.	170</t>
  </si>
  <si>
    <t xml:space="preserve"> Request for Quotation: RFQ-2007-861 1.  326 ltrs. Gasoline ( Premium) 2. 1,305 ltrs. Diesel Fuel</t>
  </si>
  <si>
    <t xml:space="preserve"> Name of Project:      	Catering Services for the Procurement and delivery of meals and snacks for the 2020 Census of Population and Housing (CPH) Fourth Level Training – Municipality of Santa Maria Brief Description:         	The Bulacan Provincial Statis</t>
  </si>
  <si>
    <t xml:space="preserve"> Please download and then print the attached Request for Price Quotation Form (RFQ Form) if you want to bid/quote and also if your business is registered as supplier in PhilGEPS. To view this attachment, just click “ORDER” opposite the ASSOCIATED COMPONENT</t>
  </si>
  <si>
    <t xml:space="preserve"> Republic of the Philippines							 PROVINCE OF CAGAYAN							 Tuguegarao City							 							 REQUEST FOR QUOTATION							 							 Company Name: 			Quotation No.				 Address:			Date				 TIN Number: 			PR No.				 Tel/Fax: 			Mode of Procurement:				 E-mail </t>
  </si>
  <si>
    <t xml:space="preserve"> WHEELCHAIR FOLDING – ADULT	100	Pcs Specifications: Chrom Steel Frame, Vinyl Composition Foldable backrest for easy to storage onto cars or foot plate Anti-front caster and easy  (HxWxD) 35”x12”x41”, Seat Fold up/flip up Front structure, 19kg Net Weight, W</t>
  </si>
  <si>
    <t xml:space="preserve"> ELECTRICAL SUPPLY</t>
  </si>
  <si>
    <t xml:space="preserve"> PURCHASE OF VARIOUS OFFICE SUPPLIES</t>
  </si>
  <si>
    <t xml:space="preserve"> 4	can	Insecticide, Aerosol 1	pcs	Stamp Pad Ink  20	pcs	Cartolina  assorted Colors 10	pcs	Notepad  Stick  on 3 x 4 80	pcs	Notebook 40 leaves 15	ream	Bond  Paper  A4 30	ream	Bond Paper  Long 3	pcs	Record  Book , 300 pages 2	pcs	Record Book 500 pages 52	roll</t>
  </si>
  <si>
    <t xml:space="preserve"> Airconditioner General Cleaning &amp; Repair</t>
  </si>
  <si>
    <t xml:space="preserve"> Request for Quotation: RFQ-# 2007-695   Supply and delivery of :  1. 1,700 ltrs. Diesel Fuel  2.   565 ltrs. Gasoline</t>
  </si>
  <si>
    <t xml:space="preserve"> Republic of the Philippines Province of Davao De Oro MUNICIPALITY OF COMPOSTELA BIDS AND AWARDS COMMITTEE CP#: 0998-571-7569 INVITATION TO BID FOR  Construction of Municipal Isolation Unit - SB # 03 CY 2020 (Procurement of Hardware Materials) - MEO ITB NO</t>
  </si>
  <si>
    <t xml:space="preserve"> 130 pcs Rapid Test Kits</t>
  </si>
  <si>
    <t xml:space="preserve"> Safeguard Soap (BIG) Hand Soap (BIG) Alcohol (70%) 500ML</t>
  </si>
  <si>
    <t xml:space="preserve"> Item No.		Qty							Unit	Item Description					 1			102							bags	Portland Cement					 2			135							length	10mm X 6m DRB STD Gr,33					 3			16							length	8mm X 6m DRB STD Gr.33					 4			20							kgs	No. 16 G.I Tie Wire					 5			1							set	3/4 hp Elect</t>
  </si>
  <si>
    <t xml:space="preserve"> Proposed Entry Landmark in Various Locations at Makati City - Order of payment for Bid Docs will be available at GSD-Head Office @ 10th Floor Makati City Hall Bldg. 2.  Look for Mr. Reden Villanueva. - A  complete set of Bidding Documents will be availabl</t>
  </si>
  <si>
    <t xml:space="preserve"> PRICE QUOTATION Ladies / Gentlemen: 	Please quote prices for the items listed below. This proposal is a request for quotation only and not an order. The terms / conditions shall be in accordance with the following: 1.	This proposal shall be submitted to t</t>
  </si>
  <si>
    <t xml:space="preserve"> UNIT              QUANTITY                  DESCRIPTION REAM             500                           BOND PAPER, A4, SUBSTANCE 20 SET                50                            INK #664 BOTTLES        45                             TONER REFILL, POWDE</t>
  </si>
  <si>
    <t xml:space="preserve"> See attached RFQ for specifications.</t>
  </si>
  <si>
    <t xml:space="preserve"> 3000	PCS	TARPAULIN FOR MAGNA KARTA NG KABABAIHAN NEW NORMAL 		TARP 130z 		FULL COLORS 		TARP PRINTING 		SIZE: 1 1/2" X 2" 		 		 		 		PURPOSE: 		3000 PCS OF TARPAULIN YO BE USED AT THE OFFICE OF PERMITS &amp; LICENSE DIVISION.</t>
  </si>
  <si>
    <t xml:space="preserve"> 565 bags cement</t>
  </si>
  <si>
    <t xml:space="preserve"> Proposed Perimeter Fence along Residential Area at Makati Homes-I, located at H. Santos Street, Brgy. Tejeros, Makati City - Order of payment for Bid Docs will be available at GSD-Head Office @ 10th Floor Makati City Hall Bldg. 2.  Look for Mr. Reden Vill</t>
  </si>
  <si>
    <t xml:space="preserve"> Purchase  of 2 units 1.5hp Inverter Aircon split-type incl. Installation &amp; Exit Pipes for MAcctO &amp; MAssO.</t>
  </si>
  <si>
    <t xml:space="preserve"> 1	PC	CLUTCH COVER	 1	PC	CLUTC DISC	 1	PC	RELEASE BEARING	 1	PC	PILOT BEARING	 1	PC	CLEANER	 1	PC	CLUTCH FORK	 1	PC	FRONT BRAKE PADS	 1	PC	REAR BRAKE PADS	 		REPLACE CLUTCH KIT, REPLACE FRONT &amp; REAR	 		BRAKE PADS	 1		OIL FILTER	 7		SYNTHETIC OIL	 1		FLUSIN</t>
  </si>
  <si>
    <t xml:space="preserve"> 60 pax 1 Snack &amp; 1 Lunch</t>
  </si>
  <si>
    <t xml:space="preserve"> BIDS AND AWARDS COMMITTEE Brgy. #5 DAVILA Pasuquin, Ilocos Norte REQUEST FOR QUOTATION ________________________                                                           DATE: _________________                     Name of Supplier                         </t>
  </si>
  <si>
    <t xml:space="preserve"> 1 unit Transmission Assembly		 1 unit Propeller			 2 liters Gear Oil 190 SAE		 Labor</t>
  </si>
  <si>
    <t xml:space="preserve"> Purchase of refrigerator &amp; etc. ITEM &amp; DESCRIPTION	QTY	UNIT	UNIT PRICE	TOTAL PRICE Refrigerator, 8cu.ft., double doors	1	unit	 	  Air Condition, split type, 2hp	1	unit		 APPROVED BUDGET OF THE CONTRACT: 	Php 59,000.00 Date of Bid Opening: 				Any time aft</t>
  </si>
  <si>
    <t xml:space="preserve"> INVITATION TO BID CONSTRUCTION OF MATERIAL RECOVERY FACILITY (MRF) FOR BARANGAY HUBANG, BARANGAY PISAAN AND BARANGAY 3, SFADS The Municipal Government of San Francisco, Agusan del Sur, through the BIDS and AWARDS COMMITTEE (BAC) intends to apply the sum o</t>
  </si>
  <si>
    <t xml:space="preserve"> Republic of the Philippines Province of Aurora Municipality of Dipaculao INVITATION TO BID A. THE LOCAL GOVERNMENT UNIT (LGU) OF DIPACULAO, AURORA, through its Bids and Awards Committee (BAC) invites contractors to apply to bid for the following contracts</t>
  </si>
  <si>
    <t xml:space="preserve"> Heavy Duty printer All in One A3+A3,B4, A4, A5, A6, B5, 10X15CM (4X6) 13X18CM (5X7”) 16:9 wide size, letter (8.5x11”) legal (8.5x14) half letter (5.5x8.5”), 9x13cm (3.5x5”) 13x20cm (5x8”) 20x25cm (8x10”) envelopes: #10 (4.125x9.5”) DL (110x220mm) C4 (229x</t>
  </si>
  <si>
    <t xml:space="preserve"> Supply &amp; Delivery of Other Supplies for Mayor's Office, Municipality of Bongabong, Oriental Mindoro</t>
  </si>
  <si>
    <t xml:space="preserve"> LGU - Padre Burgos, Southern Leyte INVITATION TO BID FOR  Procurement of Multi-Functional Ambulance (Ambulance, Rescue, Transport and Towing Vehicle) with complete Ambulance equipment, medicines and supplies Padre Burgos, Southern Leyte 1.	The LGU Padre B</t>
  </si>
  <si>
    <t xml:space="preserve"> The City Government of Koronadal, through its Bids and Awards Committee (BAC) will undertake a Negotiated Procurement – Small Value Procurement for the “ 1 LOT REPAIR &amp; REPLACEMENT OF CCTV UNIT &amp; ACCESSORIES “ in accordance with  Section 53.9 of the 2016 </t>
  </si>
  <si>
    <t xml:space="preserve"> 2	SETS	 COMPUTER SET	 1	SET	Projector with wide screen (epson x41 digital projector)	 1	pc	LAPTOP (ASUS VIVO BOOK MAX X407)	 		Specifications: 	 			processor: athion 200GE 3.2 			motherboard: Gigabyte A320 			memory: 8gb kingston 2133 ddr4 			harddisk: 24</t>
  </si>
  <si>
    <t xml:space="preserve"> Furnish of Inks for design purposes</t>
  </si>
  <si>
    <t xml:space="preserve"> 1.	The Municipality of Esperanza, intends to apply the sum of Two Hundred Sixty Six Thousand Seven Hundred Fifty Pesos (Php266,750.00) being the Approved Budget for the Contract (ABC) to payments under the contract for Supply and Delivery of  Construction</t>
  </si>
  <si>
    <t xml:space="preserve"> NOTE:	1. THE APPROVED BUDGET FOR THE CONTRACT IS PhP 61,900.00		 	2. ALL ENTRIES MUST BE TYPEWRITTEN		 	3. DELIVERY PERIOD WITHIN ________ CALENDAR DAYS		 	4. WARRANTY SHALL BE FOR A PERIOD OF THREE (3) MONTHS FOR EXPENDABLE SUPPLIES, ONE (1) 		 	     YEA</t>
  </si>
  <si>
    <t xml:space="preserve"> Invitation to Bid The Department of Education, Schools Division Office, Northern Samar, Catarman, through 2020 General Appropriation Act intends to apply the sum of:  	One Hundred Thousand Two Hundred Eighty Pesos Only (Php 100,280.00) being the Approved </t>
  </si>
  <si>
    <t xml:space="preserve"> Please see attached Request for Quotation (RFQ)</t>
  </si>
  <si>
    <t xml:space="preserve"> Demoliton of existing dilapidated stage and condtruction of new Brgy. stage</t>
  </si>
  <si>
    <t xml:space="preserve"> APPROPRIATION ORDINANCE NO. 2019-17	 1	2	Unit	Processor ( CPU) : Intel Core i5 ( sixth 	 			generation or newer) or equavalent	 			Operating System: Microsoft Widows10	 			Professional x 64	 			Memory :       8GB RAM	 			Storage : 512 GB internal Solid St</t>
  </si>
  <si>
    <t xml:space="preserve"> The Provincial Government of Samar invites all interested registered suppliers to submit in person or authorized representative quotation for- 				 				Docu Centre SC 2020 consumables 1.	2	pieces		Drum Cartridge 2.	2	pieces		Developer black 3.	1	piece		De</t>
  </si>
  <si>
    <t xml:space="preserve"> PAG-ASA NATIONAL HIGH SCHOOL, PAG-ASA, B ANSUD ORIENTAL MINDORO DRAINAGE CANAL ( BOX TYPE) 300l.M. WITH CONCRETE COVER AND STEEL COVER MANHOLE COVERED PATHWALK 2m X 76m with Pavement</t>
  </si>
  <si>
    <t xml:space="preserve"> Battery 21 plates Electric Fan (Stand Fan) Steel Cabinet (4layers)</t>
  </si>
  <si>
    <t xml:space="preserve"> see attached RFQ in associated components</t>
  </si>
  <si>
    <t xml:space="preserve"> INVITATION TO BID CONSTRUCTION OF MATERIAL RECOVERY FACILITY (MRF) FOR BARANGAY ALEGRIA, BARANGAY KARAOS AND BARANGAY SAN ISIDRO, SFADS The Municipal Government of San Francisco, Agusan del Sur, through the BIDS and AWARDS COMMITTEE (BAC) intends to apply</t>
  </si>
  <si>
    <t xml:space="preserve"> INVITATION TO BID CONSTRUCTION OF MATERIAL RECOVERY FACILITY (MRF) FOR BARANGAY BAYUGAN 2, BARANGAY LAPINIGAN AND BARANGAY PASTA, SFADS The Municipal Government of San Francisco, Agusan del Sur, through the BIDS and AWARDS COMMITTEE (BAC) intends to apply</t>
  </si>
  <si>
    <t xml:space="preserve"> NOTE:	1. THE APPROVED BUDGET FOR THE CONTRACT IS PhP 54,250.00		 	2. ALL ENTRIES MUST BE TYPEWRITTEN		 	3. DELIVERY PERIOD WITHIN ________ CALENDAR DAYS		 	4. WARRANTY SHALL BE FOR A PERIOD OF THREE (3) MONTHS FOR EXPENDABLE SUPPLIES, ONE (1) 		 	     YEA</t>
  </si>
  <si>
    <t xml:space="preserve"> Section I. Invitation to Bid Republic of the Philippines Province of Zambales MUNICIPALITY OF SAN FELIPE Invitation to Bid for the Concreting of Various Streets (Phase V) ITB NO: SFZ-INFRA 2020-007 1.	The Municipality of San Felipe, Zambales, through the </t>
  </si>
  <si>
    <t xml:space="preserve"> Procurement of 2 Unit Projector &amp; 5 LI</t>
  </si>
  <si>
    <t xml:space="preserve"> 1 lot ICT Equipment</t>
  </si>
  <si>
    <t xml:space="preserve"> Provincial Health Office Agusan del Norte</t>
  </si>
  <si>
    <t xml:space="preserve"> Table, stand alone for rank and file (L-shaped) - please refer to attached Technical Specifications</t>
  </si>
  <si>
    <t xml:space="preserve"> well-milled rice 50 kgs/sack</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</si>
  <si>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</si>
  <si>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Office Supplies</t>
  </si>
  <si>
    <t xml:space="preserve"> BACKGROUND On 24 June 2014, the GCG issued Memorandum Circular 2013-02, which prescribes the Performance Evaluation System (PES). The PES serves as the basis in the grant of Performance-Based Bonus to employees and Performance-Based Incentives to director</t>
  </si>
  <si>
    <t xml:space="preserve"> The Provincial Government of Samar invites all interested registered suppliers to submit in person or authorized representative quotation for- 				 				Capital Outlay: Books/Educational Materials 1.	2	vol.		pre-LEX: Preparation for Law School Entrance Exa</t>
  </si>
  <si>
    <t xml:space="preserve"> 2	UNIT	Takuyaki Machine 18	Unit	Gas Stove (2 Burners) 18	Unit	LPG (11 kgs. Net wt.) 18	Unit	Regulator 31	Unit	Hose 60	pcs.	Food Tray with Glass Cover (rectangle type) 6	pcs.	Bowl(Ingredient mixer) 6	doz.	Serving plate (Oblong Shape) 7	pcs.	Food Tong 48	pc</t>
  </si>
  <si>
    <t xml:space="preserve"> 3 UNIT PROFESSIONAL PODCAST STUDIO MICROPHONE AUDIO 3.5MM MIC 3 UNIT LAVALIER LAPEL MICROPHONE RECHARGEABLE OMNIDIRECTIONAL CONDENSER CLIP-ON MIC 3 UNIT SHOCK MOUNT BOOM WITH POP FILTER KIT 1 MICROPHONE USB SOUND CARD     *DUAL CONDENSER MIC IN OUT     *I</t>
  </si>
  <si>
    <t xml:space="preserve"> Photocopy of Various Documents</t>
  </si>
  <si>
    <t xml:space="preserve"> PLRSTL 1 LIETR 0.9 SODIUM CHLORIDE 1LITER OXYTOCIN AMPULE 10 l.u /ml Buscopan /Hyoscine amplue 20mg/ml Phytomenadione ampule 10mh/ml Magnesium Sulfate 25 mg/ml Magnesium Sulfate 25mg/ml Atrophine Ampule Lodocaine 50 ml Terramycin Eye Ointment 5mh/g (0.5%w</t>
  </si>
  <si>
    <t xml:space="preserve"> Republic of the Philippines Province of Agusan del Norte BIDS AND AWARDS COMMITTEE Capitol, Butuan City INVITATION TO BID (NEGOTIATED PROCUREMENT) RENEGOTIATED PROCUREMENT OF PORTABLE ANTHROPOMETRIC TOOL OF PROVINCIAL SOCIAL WELFARE AND DEVELOPMENT OFFICE</t>
  </si>
  <si>
    <t xml:space="preserve"> Republic of the Philippines  DEPARTMENT OF PUBLIC WORKS AND HIGHWAYS 	THIRD LEYTE ENGINEERING DISTRICT OFFICE Regional Office VIII Villaba, Leyte NOTICE OF POSTING @ PHILGEPS / DPWH WEBSITE / BULLETIN BOARD July 27, 2020 The DPWH Leyte Third Engineering D</t>
  </si>
  <si>
    <t xml:space="preserve"> Republika ng Pilipinas PAMAHALAANG LUNGSOD NG TACLOBAN (City Government of Tacloban) Kanhuraw Hill, Tacloban City 6500 BIDS AND AWARDS COMMITTEE INVITATION TO BID  REF #050-08-2020 (AUGUST 04, 2020) PR# 2020-901 DATED 07-24-2020 7150902 The Procuring Enti</t>
  </si>
  <si>
    <t xml:space="preserve"> REPUBLIC OF THE PHILIPPINES PROVINCE OF EASTERN SAMAR CITY OF BORONGAN BARANGAY A BIDS AND AWARD COMMITTEE Invitation to Bid for Construction of Toilet (Male/ Female) 1. The LGU- Barangay A, Borongan City, Eastern Samar, through the Appropriation Ordinanc</t>
  </si>
  <si>
    <t xml:space="preserve"> Please see attached Request for Quotation (RFQ) in the Associated Components. Thank you very much</t>
  </si>
  <si>
    <t xml:space="preserve"> REQUEST FOR QUOTATION (RFQ) PUBLICATION OF EMB MC ON THE CLARIFICATION OF ANNEX 5 UNDER EMB-EQMD-WQMS RFQ NO. EMB-EQD-SHOPPING-G-0101-8-03-2020  2020-0701 1.	The Department of Environment and Natural Resources – Environmental Management Bureau (DENR-EMB) </t>
  </si>
  <si>
    <t xml:space="preserve"> WATER DRILLING MATERIALS</t>
  </si>
  <si>
    <t xml:space="preserve"> Brake Drum etc.  NOTE:To all suppliers bid documents and BAC Resolution 2020-029 are available at BAC Office and LGU website.</t>
  </si>
  <si>
    <t xml:space="preserve"> Item No. 	Item Description					QTY.	Unit	Unit Price	Total Price 1	Digital Duplicator / RISO					8	units		 	Maximum Scanning Area : 297 mm x 432 mm								 	Maximum Printer Area								 	251 mm x 357 mm								 	Paper Feed Tray Stacking Capacity								 	 </t>
  </si>
  <si>
    <t xml:space="preserve"> 2 pcs. HP Laserjet Imaging Drum for HP Printer, LJ Pro M102a</t>
  </si>
  <si>
    <t xml:space="preserve"> R/M OF BUILDINGS</t>
  </si>
  <si>
    <t xml:space="preserve"> Please see attached RFQ for specifications.</t>
  </si>
  <si>
    <t xml:space="preserve"> INVITATION TO BID INSTALLATION OF AC POWERED LED STREETLIGHT ALONG TOOG AVENUE, BARANGAY 2, SFADS The Municipal Government of San Francisco, Agusan del Sur, through the BIDS and AWARDS COMMITTEE (BAC) intends to apply the sum of NINE HUNDRED NINETY NINE T</t>
  </si>
  <si>
    <t xml:space="preserve"> Supply &amp; Installation of Roller Blinds for Doors &amp; Windows at Mayor's &amp; Accounting Office. Mayor's Office. 1 set Roller Blinds (window 1 - drop=58;width=37) 1 set Roller Blinds (window 2 - drop=58;width=30) 1 set Roller Blinds (window 3 - drop=58;width=37</t>
  </si>
  <si>
    <t xml:space="preserve"> Purchase of Student Registration Card for the incoming freshmen and sophomores of the City College SY 2021 - 2022</t>
  </si>
  <si>
    <t xml:space="preserve"> Purchase of Softbound Student Handbook to be given to the students and their parents/guardians and understanding of the general rules and guidelines of the City College of San Jose Del Monte</t>
  </si>
  <si>
    <t xml:space="preserve"> Supply and Delivery of Tube, Thorascostomy G.32, with adaptor Tube, Thorascostomy G.32, with adaptor	piece	550	200	110,000.00 ---------------------------------------------------------------------------------------------------------------------------------</t>
  </si>
  <si>
    <t xml:space="preserve"> &lt; Name and Location of Contracts&gt;						Bill of Quantities	 Item No.		Description		Unit	Quantity	Unit Price	Amount in I 	General Requirements						 II	Reinforced Concrete Works						 III	Masonry Works						 IV	Electrical Works						 V	Plumbing Works						 </t>
  </si>
  <si>
    <t xml:space="preserve"> REQUEST FOR QUOTATION Local Government Unit of Guinobatan invites eligible Suppliers to submit Proposals specific named contract Purchase of office and other supplies for used at Budget Office  Procurement will be conducted through Shopping an alternative</t>
  </si>
  <si>
    <t xml:space="preserve"> Please see attached Program of Works.</t>
  </si>
  <si>
    <t xml:space="preserve"> Request for Quotation: RFQ-2008-726  Supply and delivery of supplies 1. 300 pcs. Business License Plate 2. 100 pcs. Motorized Plate (MTOP)</t>
  </si>
  <si>
    <t xml:space="preserve"> Scope of Services: *minimum of 15 packs *MEAL: (pack) 2 main course, vegetable / noodle; rice, fruits/ dessert; drinks *breakfast *lunch *dinner *SNACKS (individual pack) *AM snack with drinks *PM snack with drinks *coffee with creamier or milk *provision</t>
  </si>
  <si>
    <t xml:space="preserve"> Republic of the Philippines CITY OF MARIKINA SF-GOOD-05 Revised on: July 28, 2004				 													Mkna-GSO-20-330	 	BIDS AND AWARDS COMMITTEE		 NOTICE OF PROPOSED PROCUREMENT The City Government of Marikina, through its Bids and Awards Committee (BAC), w</t>
  </si>
  <si>
    <t xml:space="preserve"> Handheld GPS	-3 units High-sensitivity dual GPS and GLONASS satellite 	 accelerometer and barometric altimeter sensors	 3-inch sunlight-readable touchscreen with dual	 orientation (landscape or portrait view)	 Expanded wireless connectivity (Wi-Fi,	 Bluet</t>
  </si>
  <si>
    <t xml:space="preserve"> Please quote your lowest price on item/s listed in the line item and submit your quotation duly signed by your authorized representative through email at bac.secretariat@pnu.edu.ph not later than August 10, 2020 @ 4PM. Note: 1. Delivery period within fift</t>
  </si>
  <si>
    <t xml:space="preserve"> Other Supplies</t>
  </si>
  <si>
    <t xml:space="preserve"> To our Suppliers, Request for Quotation forms are available at BAC Secretariat.</t>
  </si>
  <si>
    <t xml:space="preserve"> 1 1 UNIT EXECUTIVE TABLE, 4' X 2.5' WITH DRAWERS (CENTER &amp; BOTH SIDES ) &amp; SIDE STAND 3-4 LAYERS,W/ CHAIR NARRA W/ TOP GLASS</t>
  </si>
  <si>
    <t xml:space="preserve"> 3/8"x4"x8' Ordinary Plywood 2"x2"x12' Coco Lumber Common Nails (Assorted) Washed Gravel Washed Sand Portland Cement 4"x8"x16' CHB 10mm RSB 9mm RSB Tie Wire #16 2"x4"x9' Rough Lumber  2"x2"x12' Rough Lumber 1x8"x12' Common Nails (Assorted) 4mmx2.70m Corr. </t>
  </si>
  <si>
    <t xml:space="preserve"> Item No. 	Item Description					QTY.	Unit	Unit Price	Total Price 	FOR MOTOR VEHICLE:								 	MINI BUS ADN9160, 0701-455637, MINI DUMPTRUCKS SHS 330 &amp; SGW 886								 	CANTERS SKN 845, SKL 275, SKL 232, SKU 906 &amp; SJW 870, WATER TANKER AEC1270								 	COAS</t>
  </si>
  <si>
    <t xml:space="preserve"> Name of Project	: PROCUREMENT OF SIKPAW FOR DOG CATCHING Location		: Municipality of Pres. Carlos P. Garcia Bohol Brief Description	: The proposed project involves sikpaw. Approved Budget 	: Php60,000.00</t>
  </si>
  <si>
    <t xml:space="preserve"> 7	UNITS	LAPTOP 	 2	UNITS	COMPUTER SET	 1	UNIT	COMPUTER SET (Clerical)	 		Specifications:	 		Computer Set: Acer Veriton X2265G-DBM PC Set	 		Laptop: ACER Travelmate P215-52G DBM Laptop	 		Computer Set Clerical: Acer Veriton X2665G i3 DBM Basic PC	 		WIFI P</t>
  </si>
  <si>
    <t xml:space="preserve"> Polyethylene Hose etc  NOTE: To all suppliers bid documents and BAC Resolution 2020-029 are available at BAC Office and at our LGU website.</t>
  </si>
  <si>
    <t xml:space="preserve"> 1 1 UNIT BIOMETRIC WITH COMPLETE ACCESSORIES &amp; BACKUP BATTERY</t>
  </si>
  <si>
    <t xml:space="preserve"> 1 unit Office Table (Executive Type) 2 unit Steel Filing Cabinet 3 pcs. Curtains (Blind Type)</t>
  </si>
  <si>
    <t xml:space="preserve"> The Provincial Government of Samar invites all interested registered suppliers to submit in person or authorized representative quotation for- 				 				 1.	2	pcs		Clamp Ammeter 600amp AC 230V (Digital) 2.	2	pcs		Magnetic Switch 3HP,230V  3.	1	pc		Water Pu</t>
  </si>
  <si>
    <t xml:space="preserve"> For the replacement of defective 3TR Split Type ACU at Room 303, 3rd Floor, Annex 1 Bldg. Requirements: 1.  2020 Mayors Permit 2.  Philgeps Registration 3.  BIR Registation (Form 2303)</t>
  </si>
  <si>
    <t xml:space="preserve"> Mobile Pedestal. 3-drawer - please refer to attached Technical Specifications</t>
  </si>
  <si>
    <t xml:space="preserve"> Item No.	Qty	DESCRIPTION				Unit of Measurement 						 1	3	A4 Bond Paper (Sub. 20)				Reams 2	7	Short Bond Paper (Sub.20)				Reams 3	10	Long Bond Paper (Sub. 20)				Reams 4	3	Stapler Wire #35				Boxes 5	2	Stapler Big				Pcs. 6	5	Long Folder (Yellow)				Pc</t>
  </si>
  <si>
    <t xml:space="preserve"> brgy supplemental budget no  1 2019 opening of bids    August 11, 2020 at 4pm</t>
  </si>
  <si>
    <t xml:space="preserve"> Please see attach quotation.</t>
  </si>
  <si>
    <t xml:space="preserve"> City Government of Manila INVITATION TO BID NO. 2020-07-117 Procurement of Various Laboratory Reagents for 2020 1.	The City Government of Manila, through the Medical, Dental Laboratory Supplies Expenses intends to apply the sum of Fifty One Million Sixtee</t>
  </si>
  <si>
    <t xml:space="preserve"> 1.	The Municipality of Tayug, Pangasinan through the Bids and Awards Committee intends to apply the sum of Five Million Pesos (Php5,000,000.00) being the Approved Budget for the Contract (ABC) to payments under the contract for Installation/Rehabilitation</t>
  </si>
  <si>
    <t xml:space="preserve"> kit	Calibrator cartridge for (ABG), 500-700 samples/kit  9  52,000.00  468,000.00 	Note: Winning supplier must provide an automated blood gas &amp; electrolyte analyzer that uses mirosensor card technology with clot block sample flow path, automatic calibrati</t>
  </si>
  <si>
    <t xml:space="preserve"> 1. The total approved budget for the contract for the SUPPLY AND DELIVERY OF SUBMERSIBLE PUMP, MOTOR 3HP, THERMAL OVERLOAD RELAY AND #10 Submersible Cable, 3C is PhP 113,500.00 2. Price quotations must include all taxes, duties, and/or levies payable and </t>
  </si>
  <si>
    <t xml:space="preserve"> Medication Tray: w/ handle stainless steel 304, Cap: 25 cells per tray, Length: 3”x Width 2 ½” x Height 2” / Cell, Thickness: 1.0mm, Card Divider-----------------------------------------------------------32 qty ---------------P8,500.00/ea X-X-X-X-X-X-X-X-</t>
  </si>
  <si>
    <t xml:space="preserve"> Steel Racks, Open Shelves, 6-layer - please refer to attached Technical Specifications</t>
  </si>
  <si>
    <t xml:space="preserve"> Supply and delivery of Water Tanks and other waterworks materials.</t>
  </si>
  <si>
    <t xml:space="preserve"> VALENZUELA MEDICAL CENTER								 Padrigal St., Karuhatan, Valenzuela City								 Telephone No. 294-6711								 								 PURCHASE REQUEST								 								 Office		GAD COMMITTEE			PR. No.	20-07-735		Date: July 17, 2020 Division		OMCC			Responsibility Cen</t>
  </si>
  <si>
    <t xml:space="preserve"> 3	Unit	Sewing Machine w/ complete accessories (Singer-Pedal Type, Heavy Duty) 6	pc	Scissors for cloth 6	pc	Tape Measure-Plastic 3	pc	Hip Curve, French Curve 6	pc	Tailor Marker 60	meter	Chinese cotton-assorted design 30	roll	Thread (assorted color per ben </t>
  </si>
  <si>
    <t xml:space="preserve"> INVITATION TO BID							 FOR THE							 Concreting of Binanuaanan Road							 (Binanuaanan, Pili, Camarines Sur)							 							 The Local Government Unit of Pili, through the 20% Economic Development Fund (EDF)(2020)  intends    to   apply    the   sum   </t>
  </si>
  <si>
    <t xml:space="preserve"> The City Government of Koronadal, through its Bids and Awards Committee (BAC) will undertake a Negotiated Procurement – Small Value Procurement for the “ 1 LOT SUPPLY, DELIVERY &amp; INSTALLATION OF 2 UNITS SUBMERSIBLE WATER PUMP FOR CITY TERMINAL USE “ in ac</t>
  </si>
  <si>
    <t xml:space="preserve"> INVITATION TO BID							 FOR THE							 Concreting of Access Road							 (Sitio Aromayan, Binanuaanan, Pili, Camarines Sur)							 							 The Local Government Unit of Pili, through the 20% Economic Development Fund (EDF)(Continuing Appropriation 2019)  i</t>
  </si>
  <si>
    <t xml:space="preserve"> Procurement of Vegetable Seeds (OPV) for the High Value Commodity Development Program of Municipal Agriculture Office, Tagudin, Ilocos Sur Attachment: Request for Quotation, Purchase Request</t>
  </si>
  <si>
    <t xml:space="preserve"> 16	ROLL	THHN Wire No. 10	 2	ROLL	THHN Wire No. 14	 2	SET	CIRCUIT BREAKER 60A WITH HOUSING 	 60	PCS	PORCELAIN RECEPTACLE	 35	SETS	HPS BULB 150W	 10	ROLL	ELECTRICAL TAPE BIG	 35	PCS	LED BULB 19W</t>
  </si>
  <si>
    <t xml:space="preserve"> &lt; Name and Location of Contracts&gt;						Bill of Quantities	 Item No.		Description		Unit	Quantity	Unit Price	Amount in 1	SITE WORKS						 2	EXTERIOR FENCE						 3	INTERIOR FENCE						 4	PAINTING WORKS						 5	FORMWORKS &amp; SCAFFOLDINGS						 6	MISCELLANEOUS W</t>
  </si>
  <si>
    <t xml:space="preserve"> 1	Activated Charcoal 50g							1	pack	800.00 2	Cefalexin 500mg  Capsules (100s/box)							30	boxes	300.00 3	Cefalexin 500mg  tablet (10's/box)							100	boxes	300.00 4	Clindamycin 300mg cap (100s/box)							3	boxes	400.00 5	Furosemide 20mg							50	ampule</t>
  </si>
  <si>
    <t xml:space="preserve"> Sir/Madam:				      Please quote your government price/s including delivery charges, VAT or other applicable taxes, and other incidental expenses for the item/s listed in Annex A. Failure to indicate information could be basis for non-compliance.  Also, f</t>
  </si>
  <si>
    <t xml:space="preserve"> 3 pcs. Executive Chair -Executive Highback Chair with armrest -Adjustable gaslift - Polyurethane finish back and seat - Chrome starbase with castor wheels -Color: Black - Dimension: L24" x W25" x H45.5"</t>
  </si>
  <si>
    <t xml:space="preserve"> A4 size of paper, perfect bound clear print printed in white paper</t>
  </si>
  <si>
    <t xml:space="preserve"> INVITATION TO BID    The Department of Public Works and Highways Negros Occidental 2nd District Engineering Office ,through its       Bids and Awards Committee (BAC) for Goods, invites suppliers to submit bids for the following Contract: 1)	Contract ID   </t>
  </si>
  <si>
    <t xml:space="preserve"> MODIFIED STANDARD HEALTHY FACILITY TENT</t>
  </si>
  <si>
    <t xml:space="preserve"> Unit                                       Description                                    Quantity Rolls                                      Master Roll                                        5 Pcs                                        Ink Black (600cc)</t>
  </si>
  <si>
    <t xml:space="preserve"> 1 4 SETS TIRE, 265/65 R20</t>
  </si>
  <si>
    <t xml:space="preserve"> 2 unit Hanging Cabinet (Fabricated)</t>
  </si>
  <si>
    <t xml:space="preserve"> RESOGRAPH &gt; RZ 220UI &gt;DUPLICATING MACHINE &gt;BLACK &amp; WHITE &gt; SPEED: 60-130PPM &gt; A5R TO LONG SIZE CAPABLE 1-9999 PRINT QUALITY SECTION &gt;1000 SHEETS IN FEED TRAY &gt; 1000 SHEETS IN RECEIVE TRAY</t>
  </si>
  <si>
    <t xml:space="preserve"> 1 50 BOTTLE ALCOHOL 70% SOLUTION 100ML (SPRAY) 2 10 BOX FACE MASK SURGICAL(DISPOSABLE 3 PLY LAYERED)BY 50'S 3 30 PCS FACE SHIELD (ACRYLIC) 4 30 PCS FACE MASK KN95 WITH VALVE 4 PLY WHITE 5 3 UNITS ULTRA HUMIDIFIER/DISINFECTANT MACHINE WITH COMPLETE ACCESSO</t>
  </si>
  <si>
    <t xml:space="preserve"> City Government of La Carlota								          Standard Form Number: SF-GOOD-59 Revised on: May 24, 2004 Standard Form Title: REQUEST FOR QUOTATION 												Date: ______________												              Quotation No.________ Company Name Address 	Pleas</t>
  </si>
  <si>
    <t xml:space="preserve"> Repair &amp; Cleaning of Aircon</t>
  </si>
  <si>
    <t xml:space="preserve"> 1 1 UNIT MOTOR CYCLE WITH SIDE CAR</t>
  </si>
  <si>
    <t xml:space="preserve"> see attachments</t>
  </si>
  <si>
    <t xml:space="preserve"> Republic of the Philippines COURT OF APPEALS Manila BIDS &amp; AWARDS COMMITTEE ON PURCHASE &amp; ACQUISITION OF COURT FACILITIES, EQUIPMENT &amp; SUPPLIES INVITATION TO BID FOR THE  SUPPLY OF 1-YEAR LICENSE SUBSCRIPTIONS FOR ONE (1) UNIT OF SONICWALL NSA-6600, TWO (</t>
  </si>
  <si>
    <t xml:space="preserve"> I.	set	Laptop Computer                                                                       120,000 		Specifications: 		Intel Core i7 10th Gen 		16 gb RAM 		Nvidia GEForce GT 1050 4 gb DD5 		15.6" 4k Ultra HD 		1Tb SSD, DVD-RW 		Lan, Wireless Network 		 </t>
  </si>
  <si>
    <t xml:space="preserve"> 1. 400-cps Diploma 1. Three-Colors 2. Parchment Paper 3. Individual Template a. by course b. by major c. by name 4. Printed errors shouldered by supplier</t>
  </si>
  <si>
    <t xml:space="preserve"> Item No.	Unit	DESCRIPTION				Qty 						 1	Unit	Repair of CPU				1 2	Unit	Repair of Printer				1</t>
  </si>
  <si>
    <t xml:space="preserve"> 1	Flatbed Scanner PRO (Heavy Duty) ADF							1	unit	59,500.00 	Scan res. Up to 600 Dpi (Color &amp; Mono)									 	Compatible operating Systems: win 7 or higher									 										 2	Personal Computer (Desktop)							1	unit	49,995.00 	intel Core i7									 </t>
  </si>
  <si>
    <t xml:space="preserve"> REQUEST FOR QUOTATION						 						 COMPANY:			P.R. NOS.			 Address:			DATE:	3-Aug-20		 			REMARKS:			 Tel. No.:						 						 Gentlemen:						 						 	Please quote your lowest government price for each of the following item(s) specified below:					 Item No</t>
  </si>
  <si>
    <t xml:space="preserve"> LOT 1-Refrigerated Van (Brand New)  Minimum Specification:6 wheeler mounted with 14 footer refrigerated van, Engine Size: 4.0L Engine Displacement 3,933,150 PS @2,500 rpm, 570N-m @ 1400rpm  Euro IV 4 cylinder Turbocharger with intercooler, Common Rail Dir</t>
  </si>
  <si>
    <t xml:space="preserve"> BUREAU OF INTERNAL REVENUE									 	Revenue Region No. 10									 	Legazpi City									 										 REQUEST FOR QUOTATION										 							Date:  	July 14, 2020		 							Quotation/PR No.   2020-07-14 B/S			 										 										 	TIN:									 									</t>
  </si>
  <si>
    <t xml:space="preserve"> Labor &amp; Materials for Land Filling &amp; Piling of Earth Bags within the Premises of Pump Station Pugaro (new) Materials: ITEM  QTY. UNIT   DESCRIPTION 1.     580   CU.M.  EARTH 2.     500   PCS.    EMPTY SACK 3.     3      ROLLS  NYLON ROPE 4.     10    ROLL</t>
  </si>
  <si>
    <t xml:space="preserve"> The Municipality of Aloguinsan invites suppliers to submit quotations for the Supply and Delivery of Stairs Pump with Adapter. Please see attached RFQ. TERMS AND CONDITIONS:  1. Suppliers must be PHILGEPS registered and must provide their registration num</t>
  </si>
  <si>
    <t xml:space="preserve"> 22	pc	Tire 250x17 22	pc	Tire 275x17 22	pc	Inner Tub 300x17 22	pc	Inner tub 275x17 22	pc	Chain 428x110 22	pc	Chain 428x120 22	pc	Headlight Bulb Ord. 22	pc	Headlight Bulb Led. 22	pc	Oil Filter 35	pc	Bolt 6mm 35	pc	Bolt 8mm 35	pc	Bolt 10mm. 22	pc	Carburator </t>
  </si>
  <si>
    <t xml:space="preserve"> 1	DIESEL FUEL							1	LOT	47,000.00 1	GASOLINE							1	LOT	6,500.00 										 	Term and Conditions:									 	1.Price Quotation Should Be made in lot									 	2. Fuel Escalation Clause									 	 - if the Price goes up, Volume Goes Down									 	 - if </t>
  </si>
  <si>
    <t xml:space="preserve"> 20 pcs. 1/4" x 4' x 8' Plywood 20 pcs. 1/2" x 4' x 8' Plywood 30 sets Door Knob (Kwik set) 12 gals. Flat Latex (Boysen) 12 gals. Semi-Gloss Latex (Boysen) 4 gals. Red Lead 5 ltrs. Latex Color Hansa Yellow 5 ltrs. Thalo Blue (Latex) 5 gals. Paint Thinner 5</t>
  </si>
  <si>
    <t xml:space="preserve"> Republic of the Philippines Province of Davao De Oro MUNICIPALITY OF COMPOSTELA BIDS AND AWARDS COMMITTEE CP#: 0998-571-7569 INVITATION TO BID FOR  Construction of Municipal Isolation Unit - SB# 03 CY 2020 (Procurement Supply/Delivery/Installation of Conc</t>
  </si>
  <si>
    <t xml:space="preserve"> INVITATION TO BID PURCHASE AND DELIVERY OF FARM EQUIPMENTS ASSISTANCE TO SANTOL TOBACCO FARMERS ASSOCIATION SANTOL, LA UNION 1.	The Municipal Government of Santol, La Union through the Trust Fund  intends to apply the sum of ONE MILLION TWO HUNDRED FIFTY </t>
  </si>
  <si>
    <t xml:space="preserve"> 4	pcs.	GI Pipe 2"Φ S40 7	pcs.	Rib Type 5m (t=0.40 m) 5	pcs.	Rib Type 1.50 6	pcs.	Rib Type 3.00 16	pcs.	Angle Bar 1/4 x 2 x 2 11	pcs.	Angle Bar 1/4 x 1 1/2 x 1 1/2 2	box	Welding Rod 2.5 1	gal	Primer 4	bottles	Paint Thinner 1	box	Blind Rivet 1/8 x 1/2 2	bag</t>
  </si>
  <si>
    <t xml:space="preserve"> 40	Piece	2 Gang - 3 prong - universal outlet with plate, ABC 200.00/pc 40	Piece	Switch Box, ABC 100.00/pc 40	Piece	Utility Box -Plastic, ABC 50.00/pc 10	Piece	Electrical Tape -Vinyl, ABC 50.00/pc 30	Piece	LED Bulb -11 Watts, ABC 300.00/pc 10	Piece	40W Hig</t>
  </si>
  <si>
    <t xml:space="preserve"> Animal Zoological Supplies</t>
  </si>
  <si>
    <t xml:space="preserve"> see attached Purchase Request</t>
  </si>
  <si>
    <t xml:space="preserve"> PLEASE REFER TO REQUEST FOR QUOTATION.</t>
  </si>
  <si>
    <t xml:space="preserve"> animal feeds</t>
  </si>
  <si>
    <t xml:space="preserve"> FEEDS</t>
  </si>
  <si>
    <t xml:space="preserve"> The Municipality of Tanza, Cavite, through its Bids and Awards Committee (BAC), invites suppliers/manufacturers/distributor/contractors to apply for eligibility and to bid for the hereunder project: 	Name of Project	: PROCUREMENT OF FIVE (5) UNITS MOTORCY</t>
  </si>
  <si>
    <t xml:space="preserve"> Malu National High School Construction of 2 classrooms School Building 7m x 18m without ceiling and painting</t>
  </si>
  <si>
    <t xml:space="preserve"> Republic of the Philippines Province of Occidental Mindoro MUNICIPALITY OF PALUAN Invitation to Bid for the Supply and Delivery of Relief Goods The Local Government Unit of Paluan, Occidental Mindoro through the Provincial Fund – CAFMIP CY 2020 intends to</t>
  </si>
  <si>
    <t xml:space="preserve"> Item No. 	Item Description					QTY.	Unit	Unit Price	Total Price 1	Cartridge					200	pcs		 	(Toner for the RISO)								 									 2	US Bond Paper (A4)					2,574	reams</t>
  </si>
  <si>
    <t xml:space="preserve"> Office Equipment Supplies and Consumables</t>
  </si>
  <si>
    <t xml:space="preserve"> 1 4 UNITS CABINET, STEEL, 4 DRAWERS</t>
  </si>
  <si>
    <t xml:space="preserve"> Contract Name:  Purchase of Materials for use the Repair and Maintenance of Road Safety Facilities (20CN0163)_________________________________________ Contract Location: District Wide________________________________________________ Brief Description of Go</t>
  </si>
  <si>
    <t xml:space="preserve"> Agricultural and other Laboratory supplies</t>
  </si>
  <si>
    <t xml:space="preserve"> NOTICE TO BIDDERS 	The Department of Public Works and Highways (DPWH), Dinagat Islands District Engineering Office, will procure through SHOPPING METHOD from accredited &amp; eligible suppliers /manufacturers/ distributors/contractors the procurement for the </t>
  </si>
  <si>
    <t xml:space="preserve"> Standard Form No. 60						 Revised on May 24, 2004						 REQUEST FOR QUOTATION						 Provincial Government of Romblon						 						 				Date:        August 04, 2020		 				Quotation No.:    802		 						 To Our Valued Suppliers:						 						 	Please quote yo</t>
  </si>
  <si>
    <t xml:space="preserve"> INVITATION TO APPLY FOR ELIGIBILITY AND TO BID (Small Value Procurement) The  Department of Education, (DEPED), Sorsogon City Division through its Bids and Awards Committee (BAC) invites suppliers/manufacturers/distributors/contractors to  apply for eligi</t>
  </si>
  <si>
    <t xml:space="preserve"> Long Plastic Expanded Envelope  (Heavy Duty)                            1400 pcs</t>
  </si>
  <si>
    <t xml:space="preserve"> INVITATION TO APPLY FOR ELIGIBILITY AND TO BID The Barangay Kalilangan Municipality of San Pablo Province of Zamboanga del Sur, through its Bids and Awards Committee (BAC), invites all interested suppliers/manufacturers/distributors/contractors to apply f</t>
  </si>
  <si>
    <t xml:space="preserve"> 1 18 UNITS ELECTRIC FAN</t>
  </si>
  <si>
    <t xml:space="preserve"> The DPWH-Ilocos Sur 1st District Engineering Office, through its Bids and Awards Committee (BAC), invites contractors to submit bids for the following Contract:   Contract ID: 20AC0115   Contract Name: Concreting of Brgy. Maas-asin to Brgy. Maratudo FMR, </t>
  </si>
  <si>
    <t xml:space="preserve"> 1  UNI General Examination Chair  -In accordance with the Technical Specifications  ABC: Php 14,850.00 -In accordance with the Technical Specifications  NOTE: Please sign all pages of the Technical Specifications and submit it together with your quotation</t>
  </si>
  <si>
    <t xml:space="preserve"> LGU - Padre Burgos, Southern Leyte INVITATION TO BID FOR  Procurement of Various Drugs and Medicines  (3RD Quarter 2020) Padre Burgos, Southern Leyte 1.	The LGU Padre Burgos, Southern Leyte through the General Fund, CY 2020  intends to apply the sum of On</t>
  </si>
  <si>
    <t xml:space="preserve"> Ampule Opener---------------------------------- 13 qty -------------------P27,000.00 X-X-X-X-X-X-X-X-X-X-X-X-X-X-X-X-X-X PURPOSE: PURCHASE REQUEST FOR THE USE OF NURSING UNIT/CENTRALIZATION. (for clinical wards) Fax your Price Quotation at Tel. Fax#: 426-</t>
  </si>
  <si>
    <t xml:space="preserve"> Washed Gravel Washed Sand Portland Cement CHB 4"x8"x16" 1/4"x4"x8' ord. Plywood 2"x2"x12' Coco Lumber 2"x3"x12' Coco Lumber Common Nails #4 Common Nails #3" Common Nails 1" 1/2 2"x4"x9' Rough Lumber  2"x2"x14' Rough Lumber 1x10x10' Rough Lumber 80mx10m. M</t>
  </si>
  <si>
    <t xml:space="preserve"> Republic of the Philippines					 Province of Palawan					 MUNICIPALITY OF EL NIDO					 PR No.	 Name of Procuring Entity: Municipal Government of El Nido			RFQ No.	2020-379/380-MMO	 Date:		 Office/End-User: MMO					 Company Name					 Adress:					 Business </t>
  </si>
  <si>
    <t xml:space="preserve"> vegetable seeds</t>
  </si>
  <si>
    <t xml:space="preserve"> Tube, Naso Gastric, fr. 16, non toxic 100% medical grade silicone, sterile, x ray visualization, clear, soft, radio opaque line, transparent tube, latex free., 100cm	piece	178	1,000	178,000.00  -------------------------------------------------------------</t>
  </si>
  <si>
    <t xml:space="preserve"> Nasogastric Tube Fr 12, Silicon Type------------------------------------4 qty ------------------P250.00/pc X-X-X-X-X-X-X-X-X-X-X-X-X-X-X-X-X-X PURPOSE: Emergency Purchase (for patient AMATORIO, ANGELO RPVD OF WARD 1) Fax your Price Quotation at Tel. Fax#:</t>
  </si>
  <si>
    <t xml:space="preserve"> CONSTRUCTION OF 50 LN.M. FLOOD CONTROL, BRGY. E. LAODENIO &amp; BRGY. DEL SUR, MAPANAS, NORTHERN SAMAR BIDDING DOCUMENTS Procurement of INFRASTRUCTURE PROJECTS Name of Project: Construction of 50 LN.M. Flood Control, Barangay E. Laodenio &amp; Del Sur, Mapanas, N</t>
  </si>
  <si>
    <t xml:space="preserve"> INVITATION TO BID  Purchase &amp; Delivery of Various Medical Supplies  for PVET (Re-bid) August 4, 2020 1.	The Provincial Government of Sarangani, through the Trust Fund  Unexpended LDRRMF 2019 intends to apply the sum of One Million One Hundred Seventy Nine</t>
  </si>
  <si>
    <t xml:space="preserve"> SUPPLY OF MATERIALS</t>
  </si>
  <si>
    <t xml:space="preserve"> 1 2 UNIT FILING CABINET 4 LAYERS W-45M H-133M L-90M 2 1 UNIT FILING CABINET (OPEN) 4 LAYERS OPEN W-30M H-133M L-90M</t>
  </si>
  <si>
    <t xml:space="preserve"> REPUBLIC OF THE PHILIPPINES Santa Rosa (NE) Water District Santa Rosa – Fort Magsaysay Road, Brgy. Rizal, Santa Rosa, Nueva Ecija Supply and Delivery of 1 Unit Portable Generator 10kva Item	Description	Qty	Unit	U. Cost	Total Cost 1	Portable Generator – 10</t>
  </si>
  <si>
    <t xml:space="preserve"> 1 10 UNIT TABLE,JR.EXECUTIVE 2 10 UNIT CHAIR 3 4 UNIT SWIVEL CHAIR, (EXECUTIVE)</t>
  </si>
  <si>
    <t xml:space="preserve"> 200 pcs.  Ball Valve 200 pcs.  G.I Nipple Sch. 40 1/2 x 1" 180 pcs.  G.I Nipple Sch. 40  1 x2" 180 pcs.  G.I Tee Reducer Sch.40 1 x 1/2" Note: Please submit canvass price @ talisayanwd864@gmail.com</t>
  </si>
  <si>
    <t xml:space="preserve"> 1.	350	meter/s	Rope, 1" dia 2.	1,399	bag/s	Portland Cement 3.	60	l.m	Weep Holes (PVC) 3" dia 4.	7	sq.m.	Polyester Non-woven Filter Cloth 5.	29	piece/s	Ordinary Plywood (1/4" thick) 6.	70	piece/s	Good Lumber (2" x 2" x 16ft) 7.	10	kg/s	CWN #1 8.	10	kg/s	CW</t>
  </si>
  <si>
    <t xml:space="preserve"> MEDICAL SUPPLIES: ALCOHOL, 70% ISOPROPYL (500ml) = 200 bot. HAND SANITIZER, ANTI-BACTERIAL (2500ml) = 100 bot. DISINFECTANT, ANTI -BACTERIAL= 5O gal. LIQUID HAND SOAP= 30 gal. THERMAL SCANNER= 14 units RECHARGEABLE BATTERY "AAA", BRANDED = 60 pcs. DE-FOGG</t>
  </si>
  <si>
    <t xml:space="preserve"> The City Government of Koronadal, through its Bids and Awards Committee (BAC) will undertake a Negotiated Procurement – Small Value Procurement for the “ 1 LOT SUPPLY, DELIVERY &amp; INSTALLATION OF 2 UNITS AIRCON FOR MTCC USE “ in accordance with  Section 53</t>
  </si>
  <si>
    <t xml:space="preserve"> Brake Fluid etc. NOTE: To all suppliers bid documents and BAC Resolution 2020-029 are available at BAC Office and at our LGU website.</t>
  </si>
  <si>
    <t xml:space="preserve"> Junior Officials 2020 1	30	pcs	Shirts with details 			 			Linggo ng Kabataan Competitions 2	250	pcs	Shirts with details 3	250	pcs	Washable face mask with details 			x-x-x-x-x</t>
  </si>
  <si>
    <t xml:space="preserve"> Pending Task  |  Notices  |  Award Notices	 	Monday, August 3, 2020 03:51 PM	                       LEILANI PREGELLANA             » Log-out	 Notice Creation Step 2: Notice Description Title*	 PRINTING OF JHS and SHS MODULES   Description*	 Required! Line</t>
  </si>
  <si>
    <t xml:space="preserve"> SUPPLY OF MATERIALS &amp; RENTAL OF EQUIPMENT</t>
  </si>
  <si>
    <t xml:space="preserve"> PURCHASE OF PROPERTY, PLANT &amp; EQUIPMENT (PPE), SEMI-EXPENDABLE EQUIPMENT (ICT EQUIPMENT) TO BE USED BY VARIOUS OFFICES/PROGRAMS OF DSWD FO III FOR THE 1ST SEMESTER OF 2020</t>
  </si>
  <si>
    <t xml:space="preserve"> Republic of the Philippines COMMISSION ON AUDIT Quezon City REQUEST FOR QUOTATION Procurement And Property &amp; Supply Management Services, General Services Office Date Prepared: August 3, 2020 Supplier :______________________ Address :______________________</t>
  </si>
  <si>
    <t xml:space="preserve"> Long Plastic Expanded Envelope  (Heavy Duty)                            1580 pcs</t>
  </si>
  <si>
    <t xml:space="preserve"> INVITATION TO BID    The Department of Public Works and Highways Negros Occidental 2nd District Engineering Office ,through its       Bids and Awards Committee (BAC) for Goods, invites suppliers to submit bids for the following Contract: 	Contract ID     </t>
  </si>
  <si>
    <t xml:space="preserve"> Please quote your lowest price for the requirements listed hereunder subject to the Terms and Conditions stated and submit to this office duly signed not later than 9:00 a.m. of August  7, 2020. Note: Interested suppliers are required to submit a VALID cu</t>
  </si>
  <si>
    <t xml:space="preserve"> SNACKS</t>
  </si>
  <si>
    <t xml:space="preserve"> REQUEST FOR QUOTATION (RFQ)							 							 							 July 30, 2020		 R.I.S. No.: 20-08-008		 							 							 GENTLEMEN:			 Please submit  your  lowest price quotation (including taxes and government discounts) on charged account basis, on the following supp</t>
  </si>
  <si>
    <t xml:space="preserve"> SPL - I	GENERAL REQUIRMENT				 Name and Specification				Unit	Quantity Safety Shoes/Rain Boots				pairs	15 Safety Helmets/ Hard Hats				pcs	15 Safety Gloves				pairs	15 Rain Coat				pcs	15 Shovel Flat				pcs	1 Shovel Round				pcs	2 Piko				pcs	4 Plastic D</t>
  </si>
  <si>
    <t xml:space="preserve"> Oxygen Refill for Human Consumption  2 PC Oxygen Refill, 10lbs. (for human consumption)  6 PC Oxygen Refill, 2lbs. (for human consumption)  1 PC Oxygen refill 50 lbs  -In accordance with the Technical Specifications   ABC: Php 3,300.00  NOTE: Please sign </t>
  </si>
  <si>
    <t xml:space="preserve"> Republic of the Philippines Province of Davao Oriental CITY OF MATI INVITATION TO BID PROCUREMENT OF SEEDLINGS (Forest Greening and Reforestation) Name of Project 1.	The City Government of Mati, through the 20% Local Development Fund intends to apply the </t>
  </si>
  <si>
    <t xml:space="preserve"> 1	Set	Hair Clipper 1	Unit	Revolving Chair 1	Unit	Barber Electric Razor (Heavy Duty) 2	pc	Barber Hair Brush 2	pc	Regular Scissors 2	pc	Slash Scissors  1	pc	Mirror (2 ft x 4 ft)</t>
  </si>
  <si>
    <t xml:space="preserve"> We are inviting you to submit your proposals and quotations as we are to hire a Learning Service Provider (LSP) for the Conduct of E-Learning program entitled: Making Virtual Teams Work For the complete details , please refer to the attached Request for Q</t>
  </si>
  <si>
    <t xml:space="preserve"> for Social Hall/Multi-Purpose Hall 3rd floor Municipal Building 32 panels black out curtain (size 60x109)</t>
  </si>
  <si>
    <t xml:space="preserve"> The City Government of Koronadal, through its Bids and Awards Committee (BAC) will undertake a Negotiated Procurement – Small Value Procurement for the “ 9 PCS DOUBLE HOG TROLLEYS ETC. FOR SLAUGHTERHOUSE USE “ in accordance with  Section 53.9 of the 2016 </t>
  </si>
  <si>
    <t xml:space="preserve"> Installation of Hand washing Facility</t>
  </si>
  <si>
    <t xml:space="preserve"> 1                UNIT                     3 IN 1 PRINTER (WITH SEAMLESS MULTIPAGE SCAN AND COPY)  - PRINTING MAXIMUM RESOLUTION : 1200 DPI X 6,000 DPI  - MAXIMUM COPY SIZE : A4, LETTER, EXECUTIVE, A5, A6, ENVELOPES  - PAPER TYPE : PLAIN, INKJET, GLOSSY (C</t>
  </si>
  <si>
    <t xml:space="preserve"> Renovation/Repair/Rehabilitation/Improvement of Day Care Centers</t>
  </si>
  <si>
    <t xml:space="preserve"> 1 15 UNIT LEVEL STEEL SLOTTED ANGLE SHELVING 100-200KG CAPACITY DETACHEABLE 2 1 UNIT OFFICE CUBICLE</t>
  </si>
  <si>
    <t xml:space="preserve"> Please see and download the attachment</t>
  </si>
  <si>
    <t xml:space="preserve"> Republic of the Philippines Province of Negros Oriental MUNICIPALITY OF BACONG Barangay Banilad INVITATION TO BID Purchase of Mini Dump Truck, Banilad Bacong, Negros Oriental RFQ 2020-01 1.	The Barangay Banilad, through the Barangay Funds  intends to appl</t>
  </si>
  <si>
    <t xml:space="preserve"> Republic of the Philippines BARANGAY TAMBO Lipa City OFFICE OF THE PUNONG BARANGAY BIDS AND AWARDS COMMITTEE INVITATION TO BID The Barangay Government of BARANGAY TAMBO, through its Bids and Awards Committee ( BAC ), invites suppliers/manufacturers/distri</t>
  </si>
  <si>
    <t xml:space="preserve"> RFQ-2020-230		 			 1.	2	pcs.	Tires 195 x r15 tubeless 2.	2	pcs.	Rubber valves 3.	2	pcs.	Tires 185 x 14 tubeless 4.	2	pcs.	Tires 195 x r15 tubeless 5.	2	pcs.	Rubber valves 6.			Panel repair/repaint 7.	1	set	Windshield 8.			Panel repair/repaint 			 	Deadlin</t>
  </si>
  <si>
    <t xml:space="preserve"> office supplies</t>
  </si>
  <si>
    <t xml:space="preserve"> DTI-PBG Livelihood Starter Kits (with corresponding gift certificates) containing a combination of ALL of the following: 3 in 1 coffee, 28 g, 10s Coffee Refill, 25g Creamer Sachet, 80 g Choco powdered drink (sachet) 22g, 12s Powdered milk, 150 g Sugar, ¼ </t>
  </si>
  <si>
    <t xml:space="preserve"> REQUEST FOR QUOTATION Date	:	August 3, 2020  Project Title	:	Supply and Delivery of Giveaways Item for 2020 Themed Events and Programs ITB No.             	:	SV20-06-004ILOa-08 Approved Budget for the Contract (ABC)	:	One Hundred Twenty Four Thousand Five</t>
  </si>
  <si>
    <t xml:space="preserve"> ITEM	QTY.	UNIT		ARTICLE AND DESCRIPTION				CEILING 					UNIT PRICE		TOTAL  								PRICE							 				Office: Office of the Mayor				PR No. 437							 				Charge to: Other Supplies and Materials Expenses				OBR No. 100-2003-01846							 				ABC:  Php309,745</t>
  </si>
  <si>
    <t xml:space="preserve"> Bubo (Fish Pot) etc.  NOTE: To all suppliers bid documents and BAC Resolution 2020-029 are available at BAC Office and at our LGU website.</t>
  </si>
  <si>
    <t xml:space="preserve"> Republic of the Philippines Department of Environment and Natural Resources ENVIRONMENTAL MANAGEMENT BUREAU National Capital Region National Ecology Center Compound, East Ave., Diliman, Quezon City Tel. Nos.: 9311331 Email : emb.bacsec.ncr@gmail.com REQUE</t>
  </si>
  <si>
    <t xml:space="preserve"> METRO BANGUED WATER DISTRICT							 Bangued, Abra							 							 PURCHASE REQUEST							 							 DIVISION: 	ADMIN						 PR No.     : 	20-07-093						 DATE       : 	24-Jul-20						 							 Item No.	Description	Quantity	Unit	 Unit Cost 	 ABC 		 							 1	Ai</t>
  </si>
  <si>
    <t xml:space="preserve"> 380 reams  Paper A4 size S-20 70 GSM 30   bots     Refill ink, Epson T6641 black 30   bots     Refill ink, Epson T6642  cyan 30   bots     Refill ink Epson T6643  magenta 30   bots     Refill ink Epson T6644  yellow 1500  pcs    Folder, legal size xxxxxxx</t>
  </si>
  <si>
    <t xml:space="preserve"> Please see attach quotation &amp; specifications.</t>
  </si>
  <si>
    <t xml:space="preserve"> Download attached Request for Quotation (RFQ) and submit to: Anselmo Baldoza Maño City Procurement Officer City Government of Naga Trunk line (054) 2052980 local# 1070 Email: bac@naga.gov.ph/ cpo@naga.gov.ph 1. PhilGEPS Closing Date/Time will be basis for</t>
  </si>
  <si>
    <t xml:space="preserve"> -20 Ea- Battery (9 volts) &amp; 19 L/I</t>
  </si>
  <si>
    <t xml:space="preserve"> The San Jose City – Local Government Unit (SJC-LGU) through its Bids and Award Committee (BAC), will undertake an Alternative Method of Procurement through Negotiated Procurement for the item stated below, in accordance with Section 53.9 Small Value Procu</t>
  </si>
  <si>
    <t xml:space="preserve"> Construction of Access Road in Brgy. Sta. Cruz</t>
  </si>
  <si>
    <t xml:space="preserve"> The system must have the ff: Resident profiles Business Profiles Website for Barangay Cabantian Collection details Blotter Records Barangay Cases records (settled/unsettled) Settlement of Barangay cases Schedules Document Issuances Events Management Popul</t>
  </si>
  <si>
    <t xml:space="preserve"> LOT A 1. 14-Units Desktop Computer 4 GB DDR4 Memory, 1TB HDD, 21” Monitor System Windows 10, with complete accessories (keyboard, mouse, AVR &amp; UPS) 2. 3-Units Desktop Computer Specifications: 2.8-3.0 GHz processor, 4GB RAM, 1TB HDD, 23.5” LED Monitor with</t>
  </si>
  <si>
    <t xml:space="preserve"> ITEM I - DEMOLITION/CHIPPING WORKS ITEM II- EVACUATION WORKS ITEM III- EMBANKMENT WORKS ITEM IV- REINFORCING STEEL ITEM V- FORMWORKS ITEM VI - CONCRETE WORKS ITEM VII- MASONRY WORKS ITEM VIII-METAL WORKS ITEM IX - ROOFING WORKS ITEM X- PAINT WORKS ITEM XI</t>
  </si>
  <si>
    <t xml:space="preserve"> Procurement of Electronics Supplies 1. Bluetooth Printer - 58MM Portable Mini bluetooth Receipt , Pos, Barcode Thermal Printer 	- 2	set 2. Bluetooth Shield ( EGBT-04MS ) , Power Input Powered via gizDuino (Arduino Clone) ,  Data Interface Serial UART Avai</t>
  </si>
  <si>
    <t xml:space="preserve"> Purchase of Common Office Supplies for Planning and Design Section</t>
  </si>
  <si>
    <t xml:space="preserve"> 1    lot  Construction of Multi-purpose Pavement (Sitio Abadilla II, Barangay Cawayan II)</t>
  </si>
  <si>
    <t xml:space="preserve"> INVITATION TO BID for the ITB No. 20-073 Supply and Delivery of Three Hundred (300) vial of Polymyxin B Sulfate 500,000 units powder for solution, 5mL 1.	The National Kidney and Transplant Institute (NKTI) through its Corporate Operating Budget (COB) inte</t>
  </si>
  <si>
    <t xml:space="preserve"> Suture Monofilament Polypropelene w/ 11mm, 3/6 Circle, Cutting Needles Size 4/0, 12’s (for OR use)---------------------8 qty ----------------P8,700.00/dozen Suture Polyglecaprone 25 Violet, Rnd Needle, Monofilament Abs. Size 4/0 12’s (for OR use)---------</t>
  </si>
  <si>
    <t xml:space="preserve"> See attachment</t>
  </si>
  <si>
    <t xml:space="preserve"> PORTABLE SINK STAINLESS WITH STAND AND ROOFING FOOT PEDAL VALVE BOOTH WATER AND SOFT PVC PIPE 2" DIA S-100= 25 PCS. PVC ELBOW 2" DIA. 90 = 40 PCS. etc.</t>
  </si>
  <si>
    <t xml:space="preserve"> 8 pcs. CIRCULAR SAW BLADE (40 teeth) 30 pcs. STEEL HANDLE (heavy duty) 10 pcs. PAINT ROLLER BRUSH COTTON (4" diameter)  5 pcs. PAINT BRUSH (flat) 1" 5 pcs. PAINT BRUAH (flat) 2" 4 GALS. PAINT THINNER 2 kls. CONCRETE NAIL 2"</t>
  </si>
  <si>
    <t xml:space="preserve"> 1	Case	Steel Key Cabinet 29x29x25inches, ABC 20,000.00/case 10	Piece	HP Laserjet Pro M101-106 Print Cartridge, ABC 3,100.00/pc 50	Piece	EPSON ink 664 Black, ABC 400.00/pc 10	Piece	EPSON ink 664 Cyan, ABC 400.00/pc 10	Piece	EPSON ink 664 Magenta, ABC 400.0</t>
  </si>
  <si>
    <t xml:space="preserve"> Installation of 5-Sets Cubicle with Provision of Tables and Filing Cabinets at MPDC Office LGU Cabagan Cabagan, Isabela</t>
  </si>
  <si>
    <t xml:space="preserve"> Amended APP</t>
  </si>
  <si>
    <t xml:space="preserve"> Rehabilitation of Brgy street light</t>
  </si>
  <si>
    <t xml:space="preserve"> 1 3 UNITS ELECTRIC FAN, INDUSTRIAL 2 12 UNITS ELECTRIC FAN, ORBIT 3 5 UNITS ELECTRIC FAN, STAND 4 4 UNITS ELECTRIC FAN, WALL 5 2 UNITS STEEL FILING CABINET , 4 DRAWERS 6 3 UNITS GANG CHAIRS, 4 SEATERS 7 2 UNITS AIRCONDITIONER, SPLIT TYPE, 2HP WITH COMPLET</t>
  </si>
  <si>
    <t xml:space="preserve"> Procurement of Electrical Supplies</t>
  </si>
  <si>
    <t xml:space="preserve"> INVITATION TO BID The Municipal Government of Gumaca, through its Bids and Awards Committee (BAC), invites suppliers/ manufacturers/ distributors/ contractors, to bid for the hereunder contract: Name of Contract		:	REHABILITATION OF BREAKWATER/RETAINING W</t>
  </si>
  <si>
    <t xml:space="preserve"> REQUEST FOR QUOTATION -Supply, Delivery, Wiring and Installation of One (1) Unit Automatic Transfer Switch                                           for 80KVACummins Genset Area of Delivery	:	DBP Dipolog Branch Building Approved Budget	:	P150,000.00 Deliv</t>
  </si>
  <si>
    <t xml:space="preserve"> 1    UNIT    Laptop                    CPU:i7-1051OU                    PROCESSOR SPEED: 4.9 GHZ                    GRAPHICS: DIAGONAL FHD SVA ANTI GLARE                    RAM: 8GB DDR4 RAM                    SCREEN:15.6" 1366X768 LED SCREEN             </t>
  </si>
  <si>
    <t xml:space="preserve"> 2.2 lot 65,000 km check-up 1 pc oil filter 1000 7 liter TDO CH-4 15W-40 1L 1 pc gasket 2 pcs engine treatment 2 pcs DSL injector cleaner 1 pc DSL engine flush 1 pc toyota auxiliary kit 1.6 lot check clean adjust brakes 1 pc aircon cleaner 1 lot toyota air</t>
  </si>
  <si>
    <t xml:space="preserve"> Please quote your lowest price inclusive of VAT on the item/s listed below, subject to the Terms and Conditions of this RFQ and shall send your quotation duly signed by your representative not later than August 7, 2020 to the Bids and Awards Committee of </t>
  </si>
  <si>
    <t xml:space="preserve"> 114-Supply and Delivery of ICT Supplies (Semi-expandable) for Computer Laboratory of SDSSU Tandag Campus</t>
  </si>
  <si>
    <t xml:space="preserve"> Please quote your lowest price for the following items enumerated below, with the following Terms and Conditions: 1.	All entries must be written legibly. 2.	Price validity shall be for a period of 120 calendar days. 3.	Evaluation of the quoted price will </t>
  </si>
  <si>
    <t xml:space="preserve"> Tubings for ADULT mechanical ventilator, double limb, with elbow, water trap, nebulizing kit Tee adaptor and heat moisture exchange (HME), Latex free With catheter mount compatible to all endotracheal tubes. Compatible with existing 1 event, 10 puritan 72</t>
  </si>
  <si>
    <t xml:space="preserve"> PURCHASE OF THE FOLLOWING: PARACETAMOL. 500 MG TAB, 100 tab/box,  42 boxes PARACETAMOL, 250 mg, syrup, 60 ml/bottle, 101 bottles VITAMIN C, 500 mg/tab, 100 tab/box, 42 boxes VITAMIN C, 250 mg, syrup, 60 ml/bottle, 300 bottles VITAMIN B1+B6+B12, capsule, 1</t>
  </si>
  <si>
    <t xml:space="preserve"> 50 pcs table shield (2 1/2 by 2 1/2) conversion of 2 wooden dividers into concrete dividers. Dismantling of wooden dividers Measuring of area Concrete Works</t>
  </si>
  <si>
    <t xml:space="preserve"> The City Government of Koronadal, through its Bids and Awards Committee (BAC) will undertake a Negotiated Procurement – Small Value Procurement for the “ 1 LOT LANDSCAPING OF CITY HALL FAÇADE LABOR &amp; MATERIALS “ in accordance with  Section 53.9 of the 201</t>
  </si>
  <si>
    <t xml:space="preserve"> UNIT                   QUANTITY                                 DESCRIPTION REAM                     150                                          A4 BOND PAPER SUBSTANCE 20 PCS                          60                                         PRINTER IN</t>
  </si>
  <si>
    <t xml:space="preserve"> Procurement of Office and Janitorial Supplies for the Use of the Office of the Mayor, LGU, Tagudin, Ilocos Sur Attachment: Request for Quotation, Purchase Request</t>
  </si>
  <si>
    <t xml:space="preserve"> Republic of the Philippines																					 Cordillera Administrative Region																					 Provincial Local Government Unit of Ifugao																					 BIDS AND AWARDS COMMITTEE - INFRA																					 3rd Floor PEO Bldg., Capitol Comp</t>
  </si>
  <si>
    <t xml:space="preserve"> Republic of the Philippines CITY OF MARIKINA SF-GOOD-05 Revised on: July 28, 2004				 													Mkna-GSO-20-331	 	BIDS AND AWARDS COMMITTEE		 NOTICE OF PROPOSED PROCUREMENT The City Government of Marikina, through its Bids and Awards Committee (BAC), w</t>
  </si>
  <si>
    <t xml:space="preserve"> REPAIR AND MAINTENANCE OF MINI DUMPTRUCK AND LOADER</t>
  </si>
  <si>
    <t xml:space="preserve"> 1 1 UNIT PHOTOCOPIER (MP2012D)</t>
  </si>
  <si>
    <t xml:space="preserve"> The City Government of Koronadal, through its Bids and Awards Committee (BAC) will undertake a Negotiated Procurement – Small Value Procurement for the “ 100 CUBIC METERS BOULDERS ROCK TO BE USED FOR THE URBAN GREEN PROGRAM OF THE CITY “ in accordance wit</t>
  </si>
  <si>
    <t xml:space="preserve"> 1.	The Municipality of Esperanza, through the General Fund for CY 2020 intend to apply the sum of Nine Hundred Twenty Four Thousand Six Hundred Seventy Pesos Only (Php924,670.00), inclusive of all government taxes and service charges, being the total Appr</t>
  </si>
  <si>
    <t xml:space="preserve"> Pregnant Cattle/Breedable Hiefer</t>
  </si>
  <si>
    <t xml:space="preserve"> Various construction materials</t>
  </si>
  <si>
    <t xml:space="preserve"> Ice Bag, Size 9--------------------------------------30 qty --------------------P135.00/pc Ice Bag, Size 5--------------------------------------30 qty --------------------P95.00/pc X-X-X-X-X-X-X-X-X-X-X-X-X-X-X-X-X-X PURPOSE: PURCHASE REQUEST FOR THE USE </t>
  </si>
  <si>
    <t xml:space="preserve"> 20 pcs G.I. Pipe #1 S40 12 pcs Flat Bar #2 x 1/4 1 kl Welding Rod Special 8 pcs Cutting Disc 1 gal Red Oxide 1 pc Paint Brush #2</t>
  </si>
  <si>
    <t xml:space="preserve"> 1 day Publication for invitation to apply eligibilityand to bid for the Procurement of Hauling Servicing, City of Sto. Tomas, Batangas</t>
  </si>
  <si>
    <t xml:space="preserve"> 4392 liters DIESEL</t>
  </si>
  <si>
    <t xml:space="preserve"> Item No.	Unit	DESCRIPTION				Qty 						 1	Reams	Bond Paper A-4 Subs. 20				30 2	Reams	Bond Paper Long Subs.20				25 3	Pack	Folder Long White (100 Pcs.)				1 4	Boxes	Fastener Plastic				8 5	Pcs.	Alcohol 500ml.				10 6	Set	Ink Universal				4 7	Box	Panda Pen</t>
  </si>
  <si>
    <t xml:space="preserve"> 1 2 UNITS DISPLAY CABINET (WOOD) W/FRONT SLIDING GLASS DOOR H-140CM L-240CM W-42CM 2 1 UNIT WOODEN LOCKER (SOFTWOOD) W/ WOOD LOCK DOORS H-140CM L-200CM W-42CM</t>
  </si>
  <si>
    <t xml:space="preserve"> HEALTH KIT – PACKAGE 1 pouch, 1 bar Antibacterial Soap, 1 50 ml. Alcohol spray type, 1 pack facial tissue, 2 surgical mask</t>
  </si>
  <si>
    <t xml:space="preserve"> BIDS AND AWARDS COMMITTEE ATTENTION:		ALL INTERESTED BIDDERS 			 SUBJECT:	INVITATION TO BID –   Procurement of Office Equipment for College of Business Management DATE:	August 3, 2020 - - - - - - - - - - - - - - - - - - - - - - - - - - - - - - - - - - - -</t>
  </si>
  <si>
    <t xml:space="preserve"> DRR Related Equipment</t>
  </si>
  <si>
    <t xml:space="preserve"> various medicines &amp; vitamins</t>
  </si>
  <si>
    <t xml:space="preserve"> Procurement of Agricultural Supplies</t>
  </si>
  <si>
    <t xml:space="preserve"> for detailed specifications, please download the RFQ form here at the associated components or at the SPMC website ============================================================== Terms &amp; Conditions: 1. As a government agency, SPMC shall deal only with legi</t>
  </si>
  <si>
    <t xml:space="preserve"> INVITATION TO BID LGU-El Salvador City, Misamis Oriental through its BAC, invites interested bidders to apply for eligibility and if found eligible to bid for the contract: 1.	Contract ID No.	:	ITB No. 2020-08-074 Name of Project	:	Procurement of books (r</t>
  </si>
  <si>
    <t xml:space="preserve"> 11	UNIT	Welding Machine (300 amperes with complete accessories Yamato Brand 2	Unit	Sander- Heavy duty standard, 230V, 4.000-12.000rpm, 480w, 2.5mm, 4meters cable length 9	Unit	Sander- Heavy duty standard, 230V, 4.000-12.000rpm, 480w, 2.5mm, 4meters cable </t>
  </si>
  <si>
    <t xml:space="preserve"> 1	pack 	Beaker 150mL Pack of 24 (preferably Pyrex)  (CLS7000050)			 5,800.00  2	units 	Round-bottom Flask 25mL Joint: ST/NS 14/20 joint (preferably Pyrez)  (CLS4321A25)			 1,600.00  2	units 	Round-bottom Flask 50mL Joint: ST/NS 14/20 joint (preferably Pyr</t>
  </si>
  <si>
    <t xml:space="preserve"> 1 400 PIECES CRATES SPECIFICATIONS: OUTSIDE DIMENSION (L X W X H) 685 X 355 X 355) MINIMUM CAPACITY: 25 KGS MATERIAL: HDPE/PP FOOD GRADE 2 20 UNITS PALLET SPECIFICATIONS: DIMENSION 40 X 47 X 6.3 IN; TYPE: 4 WAY ENTRY AND DOUBLE DECK MATERIAL: HDPE (HIGH D</t>
  </si>
  <si>
    <t xml:space="preserve"> INVITATION TO BID FOR THE SUPPLY &amp; DELIVERY OF VARIOUS ICT EQUIPMENT FOR THE E-LEARNING TELECONFERENCING UNDER THE NEW NORMAL EDUCATION SYSTEM IN PLMUN 1.	The City Government of Muntinlupa, through its duly-approved Executive Budget for 2020 intends to ap</t>
  </si>
  <si>
    <t xml:space="preserve"> 1 1 SET TELEVISION, FLATSCREEN, 42 INCHES 2 1 UNIT CELLPHONE, ANDROID</t>
  </si>
  <si>
    <t xml:space="preserve"> please download associated components</t>
  </si>
  <si>
    <t xml:space="preserve"> Stock / Property No.	Unit	Item Description					Quantity	Unit Cost			Total Cost 											 											 1	ream	Laptop Intel Celeron N3350 1.1GHz (2M Cache, up to 2.4 GHz 4GB DDR3 RAM 500GB HDD  +  64GB SSD Storage Intel HD  Graphics 14" HD LCD Display No O</t>
  </si>
  <si>
    <t xml:space="preserve"> REPAIR AND MAINTENANCE OF HEAVY EQUIPMENT (GRADER)</t>
  </si>
  <si>
    <t xml:space="preserve"> Item No.		Qty							Unit	Item Description					 1			1							lot	"Contract for the Supply of Labor, Materials, Tools and Equipments necessary for the Building Improvement (Construction of Hallway of Legistative Office) Scope of Works: I - Concrete WOrks II </t>
  </si>
  <si>
    <t xml:space="preserve"> Modules</t>
  </si>
  <si>
    <t xml:space="preserve"> Chlorine etc. NOTE: To all suppliers bid documents and BAC Resolution 2020-029 are available at BAC Office and at our LGU website.</t>
  </si>
  <si>
    <t xml:space="preserve"> 1 Lot Universal Testing Machine</t>
  </si>
  <si>
    <t xml:space="preserve"> OTHER MACHINERY &amp; EQUIPMENT - ACQUISITION OF SOUND SYSTEM FOR THE REPLACEMENT OF THE OLD &amp; DEFECTIVE EXISTING UNIT IN THE SB SESSION HALL, IN RESPECT TO THE MFC RESOLUTION 01-2020, STATING THE DISCONTINUANCE ON THE PURCHASE OF PPE's, EXCEPT THOSE ARE REAL</t>
  </si>
  <si>
    <t xml:space="preserve"> Contract Location:  TIWI, ALBAY Brief Description: REHABILITATION/RECONSTRUCTION OF ROAD SLIPS Source of Funds: GAA 2020 DPWH OUTSIDE INFRA (Calamity Fund) The BAC is conducting the public bidding for this Contract in accordance with RA 9184 and its Imple</t>
  </si>
  <si>
    <t xml:space="preserve"> Invitation to Bid CONSTRUCTION OF CONCRETING BARANGAY ROAD ITB No: 2020-08-002 1. The Barangay San Roque of Enrile, Cagayan intends to apply the sum of Seventy-Eight Thousand Nine Hundred Sixty-Three Pesos and 38/100 (P 78,963.38) being the Approved Budge</t>
  </si>
  <si>
    <t xml:space="preserve"> 1	UNIT	Computer	 3	pcs	OFFICE TABLE	 3	PCS	OFFICE CHAIR	 1	PC	STEEL CABINET 3 LAYERS	 2	UNITS	AIRCONDITION 2 .5 HP</t>
  </si>
  <si>
    <t xml:space="preserve"> The City Government of Koronadal, through its Bids and Awards Committee (BAC) will undertake a Negotiated Procurement – Small Value Procurement for the “PLANTING MATERIALS FOR CGSO USE“ in accordance with  Section 53.9 of the 2016 Implementing Rules and R</t>
  </si>
  <si>
    <t xml:space="preserve"> NOTE:	1. THE APPROVED BUDGET FOR THE CONTRACT IS PhP 50,000.00		 	2. ALL ENTRIES MUST BE TYPEWRITTEN		 	3. DELIVERY PERIOD WITHIN ________ CALENDAR DAYS		 	4. WARRANTY SHALL BE FOR A PERIOD OF THREE (3) MONTHS FOR EXPENDABLE SUPPLIES, ONE (1) 		 	     YEA</t>
  </si>
  <si>
    <t xml:space="preserve"> REQUEST FOR QUOTATION (RFQ)							 							 							 July 30, 2020		 R.I.S. No.: 20-08-007		 							 							 GENTLEMEN:			 Please submit  your  lowest price quotation (including taxes and government discounts) on charged account basis, on the following supp</t>
  </si>
  <si>
    <t xml:space="preserve"> Item/Lot No. ITEM &amp; DESCRIPTION/ TECHNICAL SPECIFICATION Approved Budget for the Contract (ABC) in PHP QUANTITY AND UNIT OF MEASURES SPECIFICATIONS/ BRAND/ MODEL No. (for Bidders to Fill-out) UNIT COST TOTAL PRICE IN PESOS LOT 1 OFFICE SUPPLIES 29,664.00 </t>
  </si>
  <si>
    <t xml:space="preserve"> -90 Ea- Carbide tip Toolbit (5/16") &amp; 44 L/I</t>
  </si>
  <si>
    <t xml:space="preserve"> Republic of the Philippines Province of Quezon Municipality of San Francisco   BIDS &amp; AWARDS COMMITTEE INVITATION TO APPLY FOR ELIGIBILITY AND TO BID     The Municipality of San Francisco through General Fund intends to apply the sum of Five Hundred Thous</t>
  </si>
  <si>
    <t xml:space="preserve"> m	# 4 ACSR,AWG insulated Conductor				700	 m	# 1/0 ACSR,AWG insulated Conductor				2300	 pcs.	Wire Rack w/ 2-spool Insulator					5	 pcs.	5/8"x 12" Eye Bolt w/ locknut and hole washer		44	 pcs.	5/8"x 12" Eye Bolt					44	 pcs.	Secondary Swinging Clevis				4</t>
  </si>
  <si>
    <t xml:space="preserve"> Procurement of Digital Full Color Copier 1. Multifunction Copier, Digital full color copier with auto Reverse Document Feeder					 Special Feature:					 Heavy duty full copier/printer/scanner with auto reverese document feeder, 10.1 inch android full touc</t>
  </si>
  <si>
    <t xml:space="preserve"> Various Educational Materials and Supplies</t>
  </si>
  <si>
    <t xml:space="preserve"> Purchase of Diving Accessories/ Equipments Description :   1.	Diving Mask - 4 pcs 2.	Drysuit/Wetsuit - 4 pcs 3.	Fins   -  4 pairs 4.	Scuba Gloves - 4 pairs 5.	Booties - 4 pairs 6.	Depth Gauge - 4 pcs 7.	Compass - 4 pcs 8. 	Scuba Buoyancy Compensator - 4 p</t>
  </si>
  <si>
    <t xml:space="preserve"> Plastic Card Jacket for Kinder - 850 pcs @ 9,350.00 Plastic Card Jacket for Grade 1-6 - 5,350.00 @ 69,550.00 TOTAL ABC = 78,900.00 Kindly email your signed quotation along with DTI / BIR Registration / Mayor's Permit / Copy of Philgeps Certificate to riza</t>
  </si>
  <si>
    <t xml:space="preserve"> REQUEST FOR QUOTATION Date: August 3, 2020							 RFQ No.: 2020 – 134  Name of Company:	________________________________________________________ Office Address:	________________________________________________________			___________________________________</t>
  </si>
  <si>
    <t xml:space="preserve"> Republic of the Philippines Province of Sultan Kudarat Municipality of Columbio BIDS AND AWARD COMMITTEE August 03, 2020 INVITATION TO BID The Municipal Government of Columbio through the Bids and Awards Committee (BAC) is inviting supplier for the Procur</t>
  </si>
  <si>
    <t xml:space="preserve"> Purchase of surgical masks and alcohol</t>
  </si>
  <si>
    <t xml:space="preserve"> The City Government of Koronadal, through its Bids and Awards Committee (BAC) will undertake a Negotiated Procurement – Small Value Procurement for the “ ELECTRICAL &amp; LIGHTING MATERIALS FOR CGSO USE “ in accordance with  Section 53.9 of the 2016 Implement</t>
  </si>
  <si>
    <t xml:space="preserve"> Republic of the Philippines								 Department of Education								 Region V								 Division of Albay								 POLANGUI GENERAL COMPREHENSIVE HIGH SCHOOL								 Polangui, Albay								 								 REQUEST FOR QUOTATION								 								 					Date:_03 August </t>
  </si>
  <si>
    <t xml:space="preserve"> Republic of the Philippines DEPARTMENT OF PUBLIC WORKS AND HIGHWAYS QUIRINO DISTRICT ENGINEERING OFFICE REGIONAL OFFICE II Cabarroguis, Quirino Procuring Entity	:	DPWH - QDEO	P.R. No.	:	2020-07-116 Revised on	:		Date	:	7/23/2020 Standard Form/Title	:	REQU</t>
  </si>
  <si>
    <t xml:space="preserve"> LGU - Padre Burgos, Southern Leyte INVITATION TO BID FOR  Procurement of Glass Pulvorizer Padre Burgos, Southern Leyte 1.	The LGU Padre Burgos, Southern Leyte through the LGU- Provincial Fund, CY 2020  intends to apply the sum of Two Hundred Fifty Thousan</t>
  </si>
  <si>
    <t xml:space="preserve"> One (1) Job Order: Installation of Wide Area Connectivity (Voice and Data) at the Legal division, RPMO, Flood Control and Drainage, Entrance and Exit Gate of the Regional Office XI Materials Needed: SFTP Cable = 4 rolls IO/Port=14 pcs. Plastic Moulding 1x</t>
  </si>
  <si>
    <t xml:space="preserve"> Procurement of ICT Equipment for Vice Mayor's Office</t>
  </si>
  <si>
    <t xml:space="preserve"> Blade, Surgical, Detachable, Sterile, Carbon Steel #20, 100’s---------------- 6 qty -----------P305.00/box X-X-X-X-X-X-X-X-X-X-X-X-X-X-X-X-X-X PURPOSE For OR use w/ attached Supplemental Fax your Price Quotation at Tel. Fax#: 426-30-45 / 927-64-26 loc 256</t>
  </si>
  <si>
    <t xml:space="preserve"> Needle Cutter / Destroyer, 300 to 500 ml Cap., Plastic, Durable, Disp., w/ Biohazard Label / Logo, Square---------------------21 qty -----------P350.00/pc Sharps Container / Collector, 10 to 13 Liter Cap., Plastic, Durable, Disp., w/ Biohazard Label / Log</t>
  </si>
  <si>
    <t xml:space="preserve"> kindly see attached file for your reference.</t>
  </si>
  <si>
    <t xml:space="preserve"> 40 pcs. Tactical Pants (Black/Orange) 31 pcs. Auxilliary Bull cap</t>
  </si>
  <si>
    <t xml:space="preserve"> Procurement of Foot Press Alcohol Dispenser</t>
  </si>
  <si>
    <t xml:space="preserve"> Suture Polyglecaprone 25 Violet Rnd Needle, Monofilament Abs., Size 6/0 (for OR use)------------------------- 4 qty ------------------P8,600.00/box Suture Polyglecaprone 25 Violet Rnd Needle, Monofilament Abs., Size 2/0 (for OR use)-----------------------</t>
  </si>
  <si>
    <t xml:space="preserve"> 1. Session Table - unit - 10 2. Rust Room - unit -1</t>
  </si>
  <si>
    <t xml:space="preserve"> INVITATION TO BID DRILLING OF 3 (THREE) UNITS EXPLORATORY/PRODUCTION WELL FOR GAMU WATER DISTRICT (REBID) 1. The GAMU WATER DISTRICT, through the Loan from the Local Water Utilities Administration (LWUA) intends to apply the sum of Six Million Nine Hundre</t>
  </si>
  <si>
    <t xml:space="preserve"> 10 pcs "D" shaped screw gate rappel carabiner (30 KN stainless steel) &amp; 9 others</t>
  </si>
  <si>
    <t xml:space="preserve"> Layout and Staking, Construction of Catchment Tank, Installation of Centrifugal Pump, Construction of Ground Concrete Reservoir, Pipe Trench Excavation and Backfilling, Installation of Pipes and Fittings, Construction of Construction Tapstand, Installatio</t>
  </si>
  <si>
    <t xml:space="preserve"> Purchase of Drugs and Medicines for 3rd quarter Municipal Rural Health Office use..</t>
  </si>
  <si>
    <t xml:space="preserve"> 10	Piece	Laryngoscope bulb holder, ABC 2,000.00/pc 300	Roll	Plaster 4", ABC 350.00/pcd RFQ#07-0779R</t>
  </si>
  <si>
    <t xml:space="preserve"> BIDS AND AWARDS COMMITTEE ATTENTION:		ALL INTERESTED BIDDERS 			 SUBJECT:	INVITATION TO BID –   Procurement of Filing Cabinet for Records Office DATE:	August 3, 2020 - - - - - - - - - - - - - - - - - - - - - - - - - - - - - - - - - - - - - - - - - - - - -</t>
  </si>
  <si>
    <t xml:space="preserve"> INVITATION TO BID IB NO. CW 2020 – 128 Repair of Evacuation Center at Camantigue, Bongabong, Oriental Mindoro 1.  The Provincial Government of Oriental Mindoro (PGOM) through the General Fund 2020 – 5% LDRRMF  intends to apply the sum of Four Hundred Nine</t>
  </si>
  <si>
    <t xml:space="preserve"> Procurement of T-shirt with School Logo 1. T-shirt, T-shirt with school logo, cotton, round neck color white     (see design sample attached)						                                      - 2,000	pcs. 				Special Feature:							 				Sizes:							 				XS     </t>
  </si>
  <si>
    <t xml:space="preserve"> 1	kit	Angiotensin Converting Enzyme (ACE) Inhibition Kit (200 tests)			 35,000.00  1	kit	Acetylcholine esterase (AChE) Activity Colorimetric assay Kit (100 assays)			 35,000.00  					 		Total Amount  70,000.00</t>
  </si>
  <si>
    <t xml:space="preserve"> Procurement of Labor Pakyaw Manpower</t>
  </si>
  <si>
    <t xml:space="preserve"> Procurement of Sound System for Sangguniang Bayan Session Hall</t>
  </si>
  <si>
    <t xml:space="preserve"> Republic of the Philippines CITY OF MARIKINA SF-GOOD-05 Revised on: July 28, 2004				 													Mkna-GSO-20-332	 	BIDS AND AWARDS COMMITTEE		 NOTICE OF PROPOSED PROCUREMENT The City Government of Marikina, through its Bids and Awards Committee (BAC), w</t>
  </si>
  <si>
    <t xml:space="preserve"> To be delivered at Dumalag Vocational Technica</t>
  </si>
  <si>
    <t xml:space="preserve"> Form No. 	IFD-SP-PROC002-001 			BOHOL ISLAND STATE UNIVERSITY	Revision: 	00 			Main Campus	Effectivity Date:	June 17, 2019 			  C.P.G. North Avenue, Tagbilaran City, Bohol	Related Process:	BISU-SP-PROC-002 				REQUEST FOR QUOTATION	 					 The Bohol Island</t>
  </si>
  <si>
    <t xml:space="preserve"> Shredder Machines</t>
  </si>
  <si>
    <t xml:space="preserve"> 2 UNIT Particles Filter for Air purifier Blueair 650E (1 unit: 3 filters)  -In accordance with the Technical Specifications  ABC: Php 23,658.00  NOTE: Please sign all pages of the Technical Specifications and submit it together with your quotation. If sel</t>
  </si>
  <si>
    <t xml:space="preserve"> 1	10	pcs	Pulse Oximeter	 2	50	pcs	Clinical Thermometer	 3	4	pcs	BP Apparatus with Stethoscope	 4	2	pcs	Stretchers	 5	4	pcs	Oxygen tank with Accessories	 6	50	pcs	Cadaver bags	 7	100	pcs	PPE	 8	200	box	N95 Face Mask	 9	10	box	Gloves	 10	4	gal	70% Alcohol	 </t>
  </si>
  <si>
    <t xml:space="preserve"> Republic of the Philippines										 Province of Misamis Oriental										 CITY OF EL SALVADOR										 										 REQUEST FOR QUOTATION										 								No.	2020-07-851	 										 										 										 	Please quote your price on the item/s listed b</t>
  </si>
  <si>
    <t xml:space="preserve"> PURCHASE OF HYGIENE KIT FOR SENIOR CITIZENS BENEFICIARIES FOR BULACAN, NUEVA ECIJA AND TARLAC</t>
  </si>
  <si>
    <t xml:space="preserve"> Item No.	Qty.	Unit  	Item Description	 				 				 1	        3	Pcs   	Oil Filled Pressure Gauge 300 PSI	 2	        1	Pcs   	Flow Meter 2''	 3	        2	Pcs   	6'' C.I. STC	 4	        2	Pcs	        6'' X 2 C.I. Saddle Clamp	 5	       10	Pcs   	2 x 1 1/2''G.I</t>
  </si>
  <si>
    <t xml:space="preserve"> The PRDP-PSO through the Department of Agriculture Regional Field Office 3 is hereby invited suppliers to submit quotations/proposals from the here-under requirements, to wit: 			Janitorial Supplies  15	gal		Alcohol (Isoprophyl, 70% solution, Antiseptic/D</t>
  </si>
  <si>
    <t xml:space="preserve"> Republic of the Philippines Province of Leyte Municipality of Hilongos INVITATION TO RE-BID FOR THE PROCUREMENT OF OFFICE SUPPLIES 1.  The Local Government Unit of Hilongos, through GENERAL FUND-CURRENT APPROPRIATION intends to apply the sum FIFTY NINE TH</t>
  </si>
  <si>
    <t xml:space="preserve"> INVITATION TO BID 1.	The Santa Maria Water District (SMWD) through the Approved Corporate Budget for the year 2020 intends to apply the sum of FIVE MILLION ONE HUNDRED TWELVE THOUSAND PESOS (P 5,112,000.00) being the Approved Budget for the Contract (ABC)</t>
  </si>
  <si>
    <t xml:space="preserve"> PLEASE SEE ATTACHED RFQ. QUOTE YOUR PRICE AND SUBMIT TO THE BAC SECRETARIAT, PROVINCIAL GENERAL SERVICES OFFICE, MAIN CAPITOL BUILDING, CAPITOL SITE, SURIGAO CITY, WITH THE FOLLOWING CERTIFIED TRUE COPY DOCUMENTS: A) MAYOR'S/BUSINESS PERMIT; B) PHILGEPS R</t>
  </si>
  <si>
    <t xml:space="preserve"> 300 BOXES GLICLAZIDE 80 MG. TAB 500 BOXES VITAMIN E 400 UI/30'S 200 BOXES METFORMIN 500 MG 100'S 6 BOXES ORAL REHYDRATION TABLET (HYDRITE) 200 BOXES ASPIRIN 100 MG X 100'S 12 BOTS DIPHENHYDRAMINE SYRUP</t>
  </si>
  <si>
    <t xml:space="preserve"> Suture Monofilament Polypropylene, Non-Abs. Size w/ Taper Point 26mm, ½ Circle Size 3/0, 12’s (for OR use)----------------------12 qty -----------P8,840.00/box Suture Monofilament Polypropylene, Non-Abs. Size w/ Taper Point 26mm, ½ Circle Size 4/0, 12’s (</t>
  </si>
  <si>
    <t xml:space="preserve"> 350	Box	Surgical Mask x 100's, ABC 300.00/box 300	Box	Disposable Gloves x 100's, ABC 200.00/box 100	Pack	Disposable Gown x 10's, ABC 600.00/box RFQ#07-0809</t>
  </si>
  <si>
    <t xml:space="preserve"> REQUEST FOR QUOTATION/PROPOSAL _______________________							Date:_____________________         Name of Company								RFQ No.:__________________ _______________________							PR No.:___________________ Complete Company Address							PHILGEPS Ref No.:____</t>
  </si>
  <si>
    <t xml:space="preserve"> for the Repair and Maintenance of Naval Finance Service Unit - Cebu (NFSU-C) Office Building  (Nr-003)</t>
  </si>
  <si>
    <t xml:space="preserve"> August 3, 2020                                                                                        Solicitation No.: RFQ2020-08-01 REQUEST FOR QUOTATION The Fertilizer and Pesticide Authority, through its Bids and Awards Committee (BAC), invites intere</t>
  </si>
  <si>
    <t xml:space="preserve"> Invitation to Bid for the  UPGRADING OF LOCAL ACCESS ROAD AT P5 GENERAL AGUINALDO, RAMON, ISABELA 1.	The LGU-RAMON, ISABELA, through the Budget for the contract approved by the Sanggunian intends to apply the sum of Php4,200,000.00 being the Approved Budg</t>
  </si>
  <si>
    <t xml:space="preserve"> Procurement, repair and maintenance of DRRM Equipment and Vehicles. This activities include such as but not limited to procurement of firefighting PPES, fire truck, ambulance, PA system, procurement and installation of CCTV cameras, repair and maintenance</t>
  </si>
  <si>
    <t xml:space="preserve"> INVITATION TO BID FOR PROCUREMENT AND DELIVERY OF HOSPITAL FIXTURE AND MEDICAL AND LABORATORY EQUIPMENT 1.	The DOH-CHD I through the Continuing Appropriations (CONAP) 2019 for Projects 1-4 &amp; 9 and GOP CY 2020 for Projects 5-8 intends to apply the sums bei</t>
  </si>
  <si>
    <t xml:space="preserve"> BAC RESOLUTION NO. 434-2020 “A RESOLUTION DECLARING FAILURE OF BIDDING AND RECOMMEND FOR ALTERNATIVE MODE OF PROCUREMENT” WHEREAS, the Bids and Awards Committee (BAC) thru the Secretariat published in PhilGEPS and in any conspicuous places the purchase of</t>
  </si>
  <si>
    <t xml:space="preserve"> Please download RFQ in the Associated Components</t>
  </si>
  <si>
    <t xml:space="preserve"> SUPPLY AND DELIVERY OF: THERMAL PAPER FOR QUEUING MACHINE Size: 80mm x 70mm x 1/2" Core in Roll  58 gsm Paper: 1 year warranty QTY: 20,000 rolls *Nothing Follows*</t>
  </si>
  <si>
    <t xml:space="preserve"> Procurement of Mug with School Logo 1. Mug, Coffee mugs with school logo, high quality (see attached picture for detailed design) - 500 pcs. 				Ceramic with school logo  -          250 pcs.							 				Magic mug with school logo         250 pcs.</t>
  </si>
  <si>
    <t xml:space="preserve"> PURCHASE OF VARIOUS OFFICE SUPPLIES FOR DEPED MODULAR LEARNING MODALITY- REPRODUCTION OF MODULES , DEP ED</t>
  </si>
  <si>
    <t xml:space="preserve"> Purchase of 3 units airconditioner for KALAHI Office</t>
  </si>
  <si>
    <t xml:space="preserve"> 1    lot. Construction of 5 Unit Tomb</t>
  </si>
  <si>
    <t xml:space="preserve"> Please see attached request for Quotation &amp; Technical Specifications</t>
  </si>
  <si>
    <t xml:space="preserve"> Republic of the Philippines DEPARTMENT OF PUBLIC WORKS AND HIGHWAYS QUIRINO DISTRICT ENGINEERING OFFICE REGIONAL OFFICE II Cabarroguis, Quirino Procuring Entity	:	DPWH - QDEO	P.R. No.	:	2020-07-121 Revised on	:		Date	:	7/29/2020 Standard Form/Title	:	REQU</t>
  </si>
  <si>
    <t xml:space="preserve"> Various Office Supplies and Devices</t>
  </si>
  <si>
    <t xml:space="preserve"> 524 bags Complete Fertilizer 14-14-14 at 50 kgs. 524 bags Urea Fertilizer 46-0-0 at 50 kgs. 140 bottles Prevatone, 250 ml Terms and Conditions: 1.	With FPA License. 2.	15 days delivery period. 3.	Delivered at Municipal Hall, Solsona, Ilocos Norte. 4.	Haul</t>
  </si>
  <si>
    <t xml:space="preserve"> Supply and Delivery of Various Laboratory Supplies for the Municipal Health Office</t>
  </si>
  <si>
    <t xml:space="preserve"> Republic of the Philippines Province of Romblon MUNICIPALITY OF ALCANTARA -o0o- Invitation to Bid for   CONSTRUCTION OF EVACUATION CENTER Madalag, Alcantara, Romblon The Municipal Government of Alcantara, Romblon through the  Socio Civic Projects Fund (SC</t>
  </si>
  <si>
    <t xml:space="preserve"> Certified Rice Seeds</t>
  </si>
  <si>
    <t xml:space="preserve"> PURCHASE OF IT EQUIPMENTS FOR DEPED MODULAR LEARNING MODALITY- REPRODUCTION OF MODULES , DEP ED</t>
  </si>
  <si>
    <t xml:space="preserve"> REQUEST FOR QUOTATION Date: July 01, 2020	  RFQ No. MCPD20-006 PR NO. PD2003-12-082 To All Eligible Suppliers Please quote your lowest price inclusive of VAT on the item/s listed below, subject to the Terms and Conditions of this RFQ, for more information</t>
  </si>
  <si>
    <t xml:space="preserve"> The PHILIPPINE SCIENCE HIGH SCHOOL SYSTEM - OFFICE OF THE EXECUTIVE DIRECTOR (PSHSS-OED) intends to apply the sum of NINE HUNDRED EIGHTY THOUSAND PESOS (P 980,000.00) being the Approved Budget for the Contract (ABC) to pay for the contract for the Project</t>
  </si>
  <si>
    <t xml:space="preserve"> INVITATION TO BID SUPPLY AND DELIVERY OF 2PCS TRACTOR FRONT TIRE – 2ND BIDDING 1.	The Local Government Unit of Cabadbaran City through the GENERAL FUND intends to apply the sum of ONE HUNDRED NINETY THOUSAND PESOS ONLY (P 190,000.00) being the Approved Bu</t>
  </si>
  <si>
    <t xml:space="preserve"> BIDS AND AWARDS COMMITTEE ATTENTION:		ALL INTERESTED BIDDERS 			 SUBJECT:	INVITATION TO BID –   Provision of Quality Policy and VGMO at Various CSPC Building DATE:	August 3, 2020 - - - - - - - - - - - - - - - - - - - - - - - - - - - - - - - - - - - - - - </t>
  </si>
  <si>
    <t xml:space="preserve"> Republic of the Philippines CITY GOVERNMENT OF ANTIPOLO Antipolo City INVITATION TO BID For the Supply, Delivery &amp; Installation of Close Circuit Television (CCTV) The City Government of Antipolo, through the General Fund intends to apply the sum of P 70,7</t>
  </si>
  <si>
    <t xml:space="preserve"> 1	Battery 2SMF Gold		10	pcs 2	Battery 3SMF Gold		4	pcs</t>
  </si>
  <si>
    <t xml:space="preserve"> 1	lot	*Day 0 : August 9, 2020  (Dinner : 30pax) 		*Day 1-6 : August 10-15, 2020 (Breakfast : 30pax) 		*Day 1-6 : August 10-15, 2020  (AM Snacks : 30pax) 		**Day 1-6 : August 10-15, 2020  (Lunch : 30pax) 		**Day 1-6 : August 10-15, 2020 (PM Snacks : 30pax)</t>
  </si>
  <si>
    <t xml:space="preserve"> PROJECT:  STEEL BENCHES LOCATION: BARANGAY DUTUNG A MATAS, CONCEPCION, TARLAC APPROVED BUDGET FOR THE CONTRACT: PHP 91,060.00 SOURCE OF FUND: 10% SK FUND The contract to be performed by the successful bidder shall be specified in the Technical Quotation F</t>
  </si>
  <si>
    <t xml:space="preserve"> Republic of the Philippines Province of Iloilo Municipality of Lambunao Office of the Bids &amp; Awards Committee REQUEST FOR PRICE QUOTATION Name of Project: Purchase of Fuel &amp; Oil for the Farm to Market Road (Concreting) Location: Brgy. Cunarom, Lambunao, I</t>
  </si>
  <si>
    <t xml:space="preserve"> To support procurement of 107ea Mighty Bond and 37 other L/I for use in the 10th and 11th PIP Inspection schedule maintenance.</t>
  </si>
  <si>
    <t xml:space="preserve"> BIDS AND AWARDS COMMITTEE ATTENTION:		ALL INTERESTED BIDDERS 			 SUBJECT:	INVITATION TO BID –   Procurement of Heavy Duty Foot Operated Alcohol Dispenser for Alcohol Hand Disinfection for Covid-19 Prevention DATE:	August 3, 2020 - - - - - - - - - - - - - </t>
  </si>
  <si>
    <t xml:space="preserve"> Republic of the Philippines Province of Nueva Vizcaya BIDS AND AWARDS COMMITTEE (BAC-Goods) BAC OFFICE, Provincial Capitol, Bayombong, Nueva Vizcaya 	 REQUEST FOR QUOTATION (RFQ) For the Procurement of Vehicle Parts For the Provincial Integrated Health Of</t>
  </si>
  <si>
    <t xml:space="preserve"> INVITATION TO BID The DPWH-Regional Office No. III,  through  its  Bids  and  Awards  Committee  (BAC),  invites contractors to submit bids for the Contract below: Procurement ID/Contract ID:    20C00053 Contract Name:      Construction of Groundsills Acr</t>
  </si>
  <si>
    <t xml:space="preserve"> Supply and Delivery of Information Technology (IT) Equipment for the Municipal Assessor’s Office</t>
  </si>
  <si>
    <t xml:space="preserve"> Sling Bag with School Logo 1. Bag, Sling bag with school logo						- 150	pcs. 				Specs:							 				Color: Royal blue: 75 pcs.							 				Black:                    75 pcs.							 				Dimension :           17 in x 15 in							 				Type                     </t>
  </si>
  <si>
    <t xml:space="preserve"> INVITATION TO BID FOR SUPPLY AND DELIVERY OF STRETCH FILM TO BE USED FOR THE PRODUCTION OF FAMILY FOOD PACKS FOR CY 2020 THROUGH FRAMEWORK AGREEMENT —  ITB NO. GOP/20-DSWD-028-B — (PR NO. 01-20001-PR-2020-02-00038) 1. The Department of Social Welfare and </t>
  </si>
  <si>
    <t xml:space="preserve"> Renovation of Room 309 (CADD Laboratory/Lecture Lab) Project Description: Improvement of Room 309, TVEP Bldg (CADD laboratory/Lecture Area) as per plan and specifications including fabrication of computer tables - 1 lot</t>
  </si>
  <si>
    <t xml:space="preserve"> ITEM	QTY.	UNIT		ARTICLE AND DESCRIPTION				CEILING 					UNIT PRICE		TOTAL  								PRICE							 				Office: Office of the Mayor				PR No. 438							 				Charge to: Other Supplies and Materials Expenses				OBR No. 100-2003-01847							 				ABC:  Php463,690</t>
  </si>
  <si>
    <t xml:space="preserve"> 1	2	set	Laptop, 4GB/512GB/WIN 10, 14 INCHES	 2	1	set	Printer 	 3	1	set	Printer with Scanner, Photocopier	 4	1	set	Window Type Aircon 1 HP with installation	 			-------NOTHING FOLLOWS-------</t>
  </si>
  <si>
    <t xml:space="preserve"> For the use of City Engineering Office. 30 pair cotton gloves 8 pcs. broom stick 2 set 400watts metal halide floodlight including tubular lamp, balance, ignitor &amp; capacitor 77 roll electrical tape 1 set C.B 60A with nema box 3-R (bolt-on) 1 box THHN 5.5mm</t>
  </si>
  <si>
    <t xml:space="preserve"> Republic of the Philippines Province of Nueva Vizcaya BIDS AND AWARDS COMMITTEE (BAC-Goods) BAC OFFICE, Provincial Capitol, Bayombong, Nueva Vizcaya 	 REQUEST FOR QUOTATION (RFQ) For the Procurement of Vehicle Parts  For the Provincial Budget Office (PBO)</t>
  </si>
  <si>
    <t xml:space="preserve"> SUPPLY AND DELIVERY OF THE FOLLOWING ITEMS: Corrugated Box Size: 15" x * 3/4" x 11 1/4"  Singlewall, 2kl, GLued Joint  Special Design - Die-Cut with one color print Stock: Corrugated C Flute QTY: 700 pcs. Corrugated Box Size: 18" x 16" x 12" Doublewall, 2</t>
  </si>
  <si>
    <t xml:space="preserve"> “ Supply, Delivery and Installation of Seven (7) Brand New Air Conditioning Units at the DMCT Passenger Building, Port Capinpin, Orion, Bataan.”  The Approved Budget for the Contract (ABC) is Nine Hundred Ninety Thousand Pesos (P990,000) VAT inclusive. Su</t>
  </si>
  <si>
    <t xml:space="preserve"> BUKIDNON 1ST DISTRICT ENGINEERING OFFICE REGIONAL OFFICE 10 Malaybalay City REQUEST FOR EXPRESSION OF INTEREST (REOI) FOR CONTRACT ID NO. 20CSKA0001 Contract ID	:	20CSKA0001 Contract Name	:	Conduct of Soil Testing/Exploration for F.Y. 2021 Projects Contra</t>
  </si>
  <si>
    <t xml:space="preserve"> Republic of the Philippines  ANGELES CITY WATER DISTRICT  Angeles City  REQUEST FOR QUOTATIONS  SUPPLIER: PR No.: 20-06-072-A ADDRESS: DATE:  CONTACT NOS.: ________________________________  Please submit your quotations for the following items on or befor</t>
  </si>
  <si>
    <t xml:space="preserve"> INVITATION TO BID SUPPLY AND DELIVERY OF CONSTRUCTION SUPPLIES &amp; MATERIALS FOR THE REPAIR OF ALS MAKESHIFT CLASSROOM IN NORCACES – 2ND BIDDING 1.	The Local Government Unit of Cabadbaran City through the SEF intends to apply the sum of ONE HUNDRED NINETEEN</t>
  </si>
  <si>
    <t xml:space="preserve"> 1 Lot Video-Conferencing Platform</t>
  </si>
  <si>
    <t xml:space="preserve"> 1. The total approved budget for the contract for the FOR ELECTRICAL WORKS (SUPERVISION WORKS) is PhP 50,000.00 2. Price quotations must include all taxes, duties, and/or levies payable and must be valid for 30 days. 3. Suppliers must specify the BRAND, T</t>
  </si>
  <si>
    <t xml:space="preserve"> Republic of the Philippines Province of Capiz Municipality of Mambusao BIDS AND AWARDS COMMITTEE INVITATION TO BID FOR THE PROCUREMENT OF DIESEL, GASOLINE AND OIL FOR 3RD QUARTER (MAYOR’S OFFICE)  The Municipality of Mambusao, Capiz through its GENERAL FU</t>
  </si>
  <si>
    <t xml:space="preserve"> REQUEST FOR QUOTATION SUPPLIES AND MATERIALS FOR THE REPRODUCTION OF ALS LEARNING MATERIALS/MODULES FOR ALS LEARNERS 170 bots. Glue (Branded) 2,125 reams Bond Paper A4 340 reams Bond Paper Legal (8.5x13) 830 sheets Cartolina (assorted color) 4 pcs. Heavy </t>
  </si>
  <si>
    <t xml:space="preserve"> Republic of the Philippines Province of Iloilo Municipality of Lambunao Office of the Bids &amp; Awards Committee INVITATION TO BID/ REQUEST FOR PRICE QUOTATION Name of Project: Purchase of Fuel &amp; Oil for the Farm to Market Road (Concreting) Location:  Brgy. </t>
  </si>
  <si>
    <t xml:space="preserve"> TILING OF 3RD FLOOR LOBBY 35 SQ.M OF S.B. BUILDING</t>
  </si>
  <si>
    <t xml:space="preserve"> Betadine 120ml 70% isoprophyl alcohol ( 50ml ) toothache drops burn ointment biogesic kremil-s diatabs thermometer sterile gauze pads gauze bandage adhesive tape absorbent cotton surgical mask surgical gloves ( size 7-9 ) mefenamic acid ( ritemed ) band-a</t>
  </si>
  <si>
    <t xml:space="preserve"> INVITATION TO BID IB NO: 2020-08-24 (15) SUPPLY AND DELIVERY OF VARIOUS MEDICAL GAS 1. 	The Caraga Regional Hospital (CRH), through the General Appropriation Act /  Hospital Income   intends to apply the sum of TWO MILLION NINE HUNDRED FORTY ONE THOUSAND </t>
  </si>
  <si>
    <t xml:space="preserve"> RESOLUTION ON PRIOR APPROVAL NO. 07-111                   Series of 2020 		 RESOLUTION RECOMMENDING THE USE OF ALTERNATIVE METHOD OF PROCUREMENT FOR  THE ACQUISITION OF GOODS AND SERVICES WHEREAS, various departments/offices submitted Purchase Requests wi</t>
  </si>
  <si>
    <t xml:space="preserve"> 1 LOT 1	 unit 	Copier 		      - Copier Warm-Up Time (sec); 25sec;Power Consumption: 120W, Mode;: AR 6020N Type                           120W, Model: AR6020N, Type: Copy, Print, Scan, Copy, Speed, 20cpm, Print, 20cpm,                          Scanner: Res</t>
  </si>
  <si>
    <t xml:space="preserve"> 1	1	set	Autoclave automatic 18L Taiwan	 2	5	set	Basic Instruments:	 				Mouth Mirror 				Spoon Excavator 				Explorer 				Cotton Plier 3	5	pcs	Enamel Tray	 4	5	tube	Topical Anesthesia 65grms.	 5	5	pack	Bib	 6	1	set	Dental Surgical	 7	1	liter	icon 3 Diluen</t>
  </si>
  <si>
    <t xml:space="preserve"> 20 pcs. FOAM CHAIR CUSHION 30 pcs. DOOR MAT</t>
  </si>
  <si>
    <t xml:space="preserve"> 412 pcs Cellcards (P500.00) ABC = P206,000.00</t>
  </si>
  <si>
    <t xml:space="preserve"> The Department of Agriculture invites interested suppliers to submit quotations/proposals for the hereunder requirement: SUPPLY AND DELIVERY OF FOOT PEDAL DISPENSER FOR OFFICIAL USE OF DEPARTMENT OF AGRICULTURE FOR COVID-19 	 30	Units	FOOT PEDAL DISPENSER</t>
  </si>
  <si>
    <t xml:space="preserve"> USB LACE (CUSTOMIZED)  Specs: - Nylon Lanyard (20mmx268.5mm) printed with Department of Education, Makati City, Printed with the School Name, with ID Case made of Silicon Plastic size 85x54mm, lanyard USB strap string. Color Coded per grade level.  TOTAL </t>
  </si>
  <si>
    <t xml:space="preserve"> 1 Photocopier Machine 1 unit Digital Copier w/network Printing, color Scanning &amp; upgradable w/an optional network Fax Copy and Print Speed of 32 copies per minute, A4 (minimum) Color Touch Screen Panel Print Resolution of 1,200 x 1,200 dpi Warm-up time 18</t>
  </si>
  <si>
    <t xml:space="preserve"> Request for Quotation											 											 Date :		08/03/2020 Quotation No.	2020-054 To all Eligible Suppliers:											 											 I.	Please quote your lowest price inclusive of VAT on the item/s listed below, subject to the Terms and Conditions				</t>
  </si>
  <si>
    <t xml:space="preserve"> Republic of the Philippines Province of Cavite Municipality of Naic Barangay Timalan Balsahan Invitation to Bid The Barangay Council of Barangay Timalan Balsahan invites qualified suppliers to submit Bids for the scheduled bidding on August 10, 2020. Seal</t>
  </si>
  <si>
    <t xml:space="preserve"> construction of multi-purpose pavement st Bgy. Tigman Length-20 width-17 thick-0.0762 required equipments: road grader, water truck, vibratory roller, concrete mixer, concrete  vibrator works include sub grade preparation, aggregate base course, PCC pavem</t>
  </si>
  <si>
    <t xml:space="preserve"> Distribution of 72-hour survival kits that include basic supplies, emergency equipment and other items that could be used for personal mitigation of the impact of a disaster</t>
  </si>
  <si>
    <t xml:space="preserve"> PLEASE SEE ATTACHED INVITATION TO BID</t>
  </si>
  <si>
    <t xml:space="preserve"> Concreting of 138Mx4Mx0.15M Barangay Road with 0.5M shoulder</t>
  </si>
  <si>
    <t xml:space="preserve"> PLEASE SEE ATTACHED REQUEST FOR QUOTATION (RFQ).</t>
  </si>
  <si>
    <t xml:space="preserve"> Program aims to train indigent constituents on various trades and skills for their income-generating activities.</t>
  </si>
  <si>
    <t xml:space="preserve"> 2,560 RL TISSUE TOILET Note: The supplier must be PHILGEPS member. The quotation should include all applicable taxes. Please send your quotation ebcastro@dbp.ph or fax to 815-1614 or call 8189511 local 2603</t>
  </si>
  <si>
    <t xml:space="preserve"> Website Development (see attached documents)</t>
  </si>
  <si>
    <t xml:space="preserve"> Various Medicines, Surgical Mask, Surgical Gloves, Alcohol</t>
  </si>
  <si>
    <t xml:space="preserve"> Republic of the Philippines PROVINCE OF SOUTHERN LEYTE Municipality of San Juan BIDS AND AWARD COMMITTEE INVITATION TO BID FOR  Supply and Delivery of Medicines The Municipality of San Juan through the General Fund intends to apply the sum of Six Hundred </t>
  </si>
  <si>
    <t xml:space="preserve"> Republic of the Philippines Province of Pangasinan Municipality of Natividad INVITATION TO BID FOR TITLE: Construction of Public Toilet at Four (4) Barangays Location: Brgy. Canarem, Rizal, Poblacion West and San Maximo, Natividad, Pangasinan Approved Bud</t>
  </si>
  <si>
    <t xml:space="preserve"> Category I - Subscription on SMS Blast Platform (5 months) Category II - ICT Materials</t>
  </si>
  <si>
    <t xml:space="preserve"> Potable Water Supply Improvement</t>
  </si>
  <si>
    <t xml:space="preserve"> 1. The total approved budget for the contract for the SUPPLY AND DELIVERY OF 75 DRUMS POLY ALUMINUM CHLORIDE is PhP 468,750.00 2. Price quotations must include all taxes, duties, and/or levies payable and must be valid for 30 days. 3. Suppliers must speci</t>
  </si>
  <si>
    <t xml:space="preserve"> Republic of the Philippines Province of Iloilo Municipality of Lambunao Office of the Bids &amp; Awards Committee INVITATION TO BID/ REQUEST FOR PRICE QUOTATION Name of Project: Purchase of Fuel &amp; Oil for the Farm to Market Road (Concreting Location: Lambunao</t>
  </si>
  <si>
    <t xml:space="preserve"> 1 lot Assorted Grocery Items (please see attached list) Note: Daily delivery as needed within 30 days Please see and download the attachment</t>
  </si>
  <si>
    <t xml:space="preserve"> REQUEST FOR QUOTATION SHOPPING – GOODS INSTRUCTIONS: 1. Bidders are required to read the instructions and fill all the blanks properly. (Please write legibly) 2. Prospective Bidders may submit their own quotation form in accomplishing their quotations sub</t>
  </si>
  <si>
    <t xml:space="preserve"> Republic of the Philippines Province of Nueva Vizcaya BIDS AND AWARDS COMMITTEE (BAC-Goods) BAC OFFICE, Provincial Capitol, Bayombong, Nueva Vizcaya 	 REQUEST FOR QUOTATION (RFQ) For the Procurement of Office Supplies (2nd  Quarter) For the Provincial Eng</t>
  </si>
  <si>
    <t xml:space="preserve"> Qty.                     Unit                                       Description 215                     reams                                   paper multicopy, 80gsm, A4 309                     reams                                   paper multicopy, 80g</t>
  </si>
  <si>
    <t xml:space="preserve"> Republic of the Philippines Province of Pangasinan MUNICIPALITY OF LINGAYEN Invitation to Bid    The Local Government Unit of Lingayen, through the 20% Development Fund CY 2020   intends to apply the amount  of  One  Million Five Hundred Sixty Five Thousa</t>
  </si>
  <si>
    <t xml:space="preserve"> Request for Quotation Bond Paper A4						35	ream Bond  Paper legal						33	ream Printer Ink, refill 70ml  (Black)						11	bot Printer Ink, refill 70ml  (Yellow)						11	bot Printer Ink, refill 70ml  (Magenda)						11	bot Printer Ink, refill 70ml  (Cyan)		</t>
  </si>
  <si>
    <t xml:space="preserve"> 140	pcs	Smart Loadcards @ 300 25	pcs	Talk n' Text Loadcards @ 300 80	pcs	Globe Loadcards @ 300</t>
  </si>
  <si>
    <t xml:space="preserve"> Republic of the Philippines City of Dapitan BIDS AND AWARDS COMMITTEE 						July 30, 2020 NOTICE FOR NEGOTIATED - SMALL VALUE PROCUREMENT 	The City Government of Dapitan through the Bids and Awards Committee (BAC) would like to inform PhilGEPS registered </t>
  </si>
  <si>
    <t xml:space="preserve"> Supply and Delivery of IT Equipment of SDSSU San Miguel Campus</t>
  </si>
  <si>
    <t xml:space="preserve"> Protein Phosphatase 2A assay for the detection of Okadaic acid, Dinophysis toxins 1 and Dinophysis toxins 2 (dirrheatic shellfish toxins)			5	Box	450,000.00 Test kit in 96-well format					 Working range for quantitation: 63 ug/Kg or lower to  350 ug/Kg or</t>
  </si>
  <si>
    <t xml:space="preserve"> PROVINCE OF BILIRAN		                                                                     Project Reference Number: ITB No. 20-29 Name of Procuring Entity      INVITATION TO BID FOR THE SALE OF VARIOUS UNSERVICEABLE PROPERTIES ON “AS IS, WHERE IS” BASIS T</t>
  </si>
  <si>
    <t xml:space="preserve"> 50 BARS TIDE BAR SOAP 50 DOZ TIDE POWDER SACHET 12 GALS ZONROX 200 PCS WALIS TING-TING 50 PCS WALIS TAMBO 12 PCS FLOOR BRUSH WITH LONG HANDLE 12 BTLS JOY ULTRA 495ML 150 PAIRS GLOVES CLOTH WITH RUBBER (BLACK) 120 PCS WASHABLE MASK 6 PCS SCOTCH BRITE BIG O</t>
  </si>
  <si>
    <t xml:space="preserve"> BIDS AND AWARDS COMMITTEE INVITATION TO BID 	The City Government of Valenzuela, through its Bids and Award Committee (BAC), invites interested suppliers, to apply for eligibility and to bid for the hereunder listed project to wit:      Project Reference N</t>
  </si>
  <si>
    <t xml:space="preserve"> Steel Cabinet       1unit       15,000.00       600.00        14,400.00 Cabinet Small       2 units       6,500.00       550.00        12, 480.00 Cubicle                3 units      41,250.00       2209.82       39,040.18 TOTAL                            </t>
  </si>
  <si>
    <t xml:space="preserve"> 1	Pcs	Heat Gun ( Power (W): 1800m Switch Control: 2 Stage, Temperature ( c): 400/500, Air Flow (L/min): 550/750 1	Pcs	Welding Machine (Input Power : 220V, Frequency: 50/60 Hz, Rated Input Current: 39 Rated Input Capacity: 8.6 KVA, No-load Voltage: 78V, Ra</t>
  </si>
  <si>
    <t xml:space="preserve"> 15 pcs u-shaped acrylic shield (L40"xW22"xH40"xT3mm)</t>
  </si>
  <si>
    <t xml:space="preserve"> BAC RESOLUTION NO. 441-2020 “A RESOLUTION RECOMMENDING “NEGOTIATED - SMALL VALUE PROCUREMENT” FOR THE VARIOUS PURCHASE REQUESTS (PR’s) FROM VARIOUS OFFICES OF THE CITY OF CABADBARAN” 	 NO.	PR NO.	END-USER	PARTICULARS	AMOUNT 1	1716	BJMP	SEWING MACHINE	33,0</t>
  </si>
  <si>
    <t xml:space="preserve"> The Barangay Government of Barangay PAGASPAS, Tanauan City, Batangas through the Bids and Awards Committee (BAC) invites Suppliers/Contractors to apply for eligibility and if subsequently found eligible, to bid for the projects described hereunder, viz: P</t>
  </si>
  <si>
    <t xml:space="preserve"> 1. The total approved budget for the contract for the SUPPLY AND DELIVERY OF 50 PAILS OF 70% CALCIUM HYPOCHLORITE (CHLORINE) is PhP 275,000.00 2. Price quotations must include all taxes, duties, and/or levies payable and must be valid for 30 days. 3. Supp</t>
  </si>
  <si>
    <t xml:space="preserve"> BOND PAPER, A4 size, subs. 20, 80gms = 2000 REAMS FOLDER, TAGBOARD, LONG SIZE (100's/pack)= 20 PACKS</t>
  </si>
  <si>
    <t xml:space="preserve"> Republic of the Philippines Province of Eastern Samar Municipality of San Julian LGU BIDS AND AWARDS COMMITTEE (LGU-BAC) INVITATION TO BID FOR THE SUPPLY &amp; DELIVERY OF  IT SUPPLIES, MATERIALS &amp; CONSUMABLES The Local Government Unit of San Julian, through </t>
  </si>
  <si>
    <t xml:space="preserve"> Plastering of Community Center</t>
  </si>
  <si>
    <t xml:space="preserve"> Republic of the Philippines Province of Nueva Vizcaya BIDS AND AWARDS COMMITTEE (BAC-Goods) BAC OFFICE, Provincial Capitol, Bayombong, Nueva Vizcaya 	 REQUEST FOR QUOTATION (RFQ) For the Procurement of Office Supplies (3rd Quarter) For the Provincial Plan</t>
  </si>
  <si>
    <t xml:space="preserve"> 1.	The Local Government Unit of Kawayan, through the 2020 Annual Budget intends to apply the sum of Six Hundred Twelve Thousand Seven Hundred Pesos Only (P612,700.00) being the Approved Budget for the Contract (ABC) to payments under the contract for Supp</t>
  </si>
  <si>
    <t xml:space="preserve"> PLEASE SEE ATTACHED REQUEST FOR QUOTATION IN THE ASSOCIATED COMPONENTS</t>
  </si>
  <si>
    <t xml:space="preserve"> Qty.                         Unit                          Description 1                             pc                             8" x 6" Tee Reducer (Mechanical Type) 2                             pcs                            Sleeve Type Coupling (ST</t>
  </si>
  <si>
    <t xml:space="preserve"> INVITATION TO BID The Municipal Government of Gumaca, through its Bids and Awards Committee (BAC), invites suppliers/ manufacturers/ distributors/ contractors, to bid for the hereunder contract: Name of Contract		:	PURCHASE OF OFFICE SUPPLIES Location			:</t>
  </si>
  <si>
    <t xml:space="preserve"> PLEASE SEE ATTACHED REQUEST FOR QUOTATION</t>
  </si>
  <si>
    <t xml:space="preserve"> The Bids and Awards Committee (BAC) of the LGU-Lubang, Occidental Mindoro invites contractors to bid for the aforementioned project: Contract I.D.:				ML-2020-02-16 Contract Name:	Purchase of Automated External Defibrillator (AED) Contract Location:				Lu</t>
  </si>
  <si>
    <t xml:space="preserve"> Request for Quotation - Procurement and Delivery of Paints/Painting Materials</t>
  </si>
  <si>
    <t xml:space="preserve"> 1.	The San Joaquin-Kalawaan High School  through the General Appropriations Act  intends to apply the sum of  Nine  Hundred Seventy Five  Thousand  Pesos (Php975,000.00) only  being the Approved Budget for the Contract (ABC) to payments under the contract</t>
  </si>
  <si>
    <t xml:space="preserve"> Computer Ink  #T6641 BLACK 70 ML #T6642 CYAN 70 ML #T6643 MAGENTA  70 ML #t6644 yELLOW 70ML ePSON iNK 003 blACK EPSON INK 003 CYAN EPSON INK 003 MAGENTA EPSON INK 003 YELLOW COMPUTER INK HP #678 BLACK COMPUTER INK HP #678 CMY COMPUTER INK LC539XL BLACK PR</t>
  </si>
  <si>
    <t xml:space="preserve"> Order/download attached Invitation to Bid and print-out Abstract of Bids from Philgeps.</t>
  </si>
  <si>
    <t xml:space="preserve"> Installation of Additional Barangay Streetlights</t>
  </si>
  <si>
    <t xml:space="preserve"> REGION XII Province of Cotabato Municipality of Midsayap BIDS &amp; AWARDS COMMITTEE Tel. Nos. (064) 229-8018; 229-8650; 229-8450 INVITATION TO BID FOR  2020-079, SUPPLY AND DELIVERY OF 2 UNITS MOTORCYCLE (BRAND NEW) AT LGU MIDSAYAP, COTABATO 1. The MUNICIPAL</t>
  </si>
  <si>
    <t xml:space="preserve"> Procurement of supplies for the printing of modules; Bond Paper (Long) 70 gsm - 120 reams Bond Paper (A4) 70 gsm - 120 reams</t>
  </si>
  <si>
    <t xml:space="preserve"> Republic of the Philippines Province of Capiz Municipality of Mambusao BIDS AND AWARDS COMMITTEE INVITATION TO BID FOR THE PROCUREMENT OF DIESEL, GASOLINE AND OIL FOR 3RD QUARTER (MDRRM)  The Municipality of Mambusao, Capiz through its GENERAL FUND 2020 i</t>
  </si>
  <si>
    <t xml:space="preserve"> The Bids and Awards Committee (BAC) of the LGU-Lubang, Occidental Mindoro invites contractors to bid for the aforementioned project: Contract I.D.:				ML-2020-04-17 Contract Name:	Provision of Planting Materials and Poultry to Malnourished Households Cont</t>
  </si>
  <si>
    <t xml:space="preserve"> INVITATION TO BID FOR THE PRINTING &amp; DELIVERY OF INSTRUCTIONAL MATERIALS FOR VARIOUS SCHOOLS IN MUNTINLUPA CITY 1.	The City Government of Muntinlupa, through its duly-approved Supplemental Budget for 2020 intends to apply the sum of Ninety One Million Sev</t>
  </si>
  <si>
    <t xml:space="preserve"> Construction of Partition for the Police Headquarters at Asingan, Pangasinan.</t>
  </si>
  <si>
    <t xml:space="preserve"> Invitation to Bid for Rejuvenation thru Fertilization CY 2020 1.The Philippine Coconut Authority – XI, through the authorized appropriations under the continuing appropriation of FY 2020 General Appropriations Act (GAA), intends to apply the sum of  Seven</t>
  </si>
  <si>
    <t xml:space="preserve"> For LIvelihood Project for Fisherfolks</t>
  </si>
  <si>
    <t xml:space="preserve"> To support the procurement of 30 can WD-40 Degreaser and 17 other L/I for use in the 14th and 15th PIP Inspection Scheduled Maintenance of C-130H Aircraft with tail nr 4704.</t>
  </si>
  <si>
    <t xml:space="preserve"> *please see attached RFQ</t>
  </si>
  <si>
    <t xml:space="preserve"> 1 lot  Various Materials (Styro, paper plates, plastics, cellophane, tissue, etc...) (please see attached lists) Note: Daily delivery as needed within 30 days Please see and download the attachment</t>
  </si>
  <si>
    <t xml:space="preserve"> 810 pcs portable storage device(Micro USB OTG Ultra Dual Drive, 512GB)</t>
  </si>
  <si>
    <t xml:space="preserve"> INKJET INK (Black, Cyan, Magenta,Yellow)				 BONDPAPER A4				 BONDPAPER Legal				 4GB Flashdrive</t>
  </si>
  <si>
    <t xml:space="preserve"> PLEASE DOWNLOAD THE ATTACHMENT/S FOR REFERENCE. Important Notes and Conditions: You can submit your quotation ON or BEFORE AUGUST 11, 2020 at 01:00 PM with the photocopy of the following legal documents: a. Mayor’s / Business Permit  b. PhilGEPS Registrat</t>
  </si>
  <si>
    <t xml:space="preserve"> Specs: 10  pcs.  GI sheet 10  pcs   Fish net (5ft x 100m x 8) 10  pcs   Marine plywood 1/2 5    pcs   Coco lumber 2x2 2    kgs   CW nail 2" 10  pcs    Basin</t>
  </si>
  <si>
    <t xml:space="preserve"> Republic of the Philippines National Kidney and Transplant Institute Bids and Awards Committee East Avenue, Quezon City 1100 981-0300 / 981-0400 local 1157 http://www.nkti.gov.ph/	 INVITATION TO BID for the ITB No. 20-077 SUPPLY AND DELIVERY OF VARIOUS FR</t>
  </si>
  <si>
    <t xml:space="preserve"> 14 Heads Cow</t>
  </si>
  <si>
    <t xml:space="preserve"> 1 lot Concreting of Rivadelo Street</t>
  </si>
  <si>
    <t xml:space="preserve"> Second Quarter for Office Supplies</t>
  </si>
  <si>
    <t xml:space="preserve"> Procurement of 20 ea Folder long &amp; 28 other L/I</t>
  </si>
  <si>
    <t xml:space="preserve"> Repair and Maintenance of Motor Vehicles of Pitogo Municipal Police Station ABC: Php 105,775.00 5 PCS TUBELESS TIRE (31 X 10.50 R15) 2 SET LEAF SPRINGS SUSPENSION (MOLYE) 2 PCS UPPER BALL JOINT TOYOTA HILUX 2 PCS LOWER BALL JOINT TOYOTA HILUX 2 PCS FRONT </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</si>
  <si>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</si>
  <si>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The SANGGUNIANG BARANGAY OF BARANGAY POBLACION IV, TANAUAN CITY, BATANGAS, through the Barangay Operating Budget 2020 intends to apply the sum of Fifty Thousand Pesos Only (Php 50,000.00 ) being the Approved Budget of the Contract (ABC) to payment under t</t>
  </si>
  <si>
    <t xml:space="preserve"> 1   lot   Construction of Multi-purpose Pavement (Barangay Sto. Niño)</t>
  </si>
  <si>
    <t xml:space="preserve"> Repair and Maintenance of Water System ABC: Php 168,110.00 30 LENGTHS PVC PIPE #2 20 CANS PVC SOLVENT NELTEX 200CC 74 PCS STEEL SAW 12 PCS PVC TEE #2 50 PCS G.I. COUPLING # 1 1/4 4 PCS SWING VALVE 6 PCS PVC BALL VALVE #2 10 PCS PVC PIPE 3/4 x 10 2 ROLLS P</t>
  </si>
  <si>
    <t xml:space="preserve"> Relocation of HRT Hot and Cold Laboratory Room Project Description: Relocation of HRT Hot &amp; Cold kitchen from L-Bldg to the former Marine Engineering Dept. office at Tabiana-Montinola Bldg., to include transfer of equipment, repair and renovation of the n</t>
  </si>
  <si>
    <t xml:space="preserve"> REGION XII Province of Cotabato Municipality of Midsayap BIDS &amp; AWARDS COMMITTEE Tel. Nos. (064) 229-8018; 229-8650; 229-8450 INVITATION TO RE-BID FOR  2020-080, SUPPLY AND DELIVERY OF BUSINESS REGISTRATION PLATE AT LGU MIDSAYAP, COTABATO 1. The MUNICIPAL</t>
  </si>
  <si>
    <t xml:space="preserve"> 1. The total approved budget for the contract for the SUPPLY AND DELIVERY OF VARIOUS CI FITTINGS is PhP 588,500.00 2. Price quotations must include all taxes, duties, and/or levies payable and must be valid for 30 days. 3. Suppliers must specify the BRAND</t>
  </si>
  <si>
    <t xml:space="preserve"> 1 1 UNIT MOTORCYCLE W/ SIDECAR (KURUNG-KURUNG) HONDA SUPREMO 155 W/ KURUNG-KURUNG (FOR GARBAGE DISPOSAL)</t>
  </si>
  <si>
    <t xml:space="preserve"> Republic of the Philippines Province of Misamis Occidental MUNICIPALITY OF CALAMBA BARANGAY SALVADOR INVITATION TO BID FOR PURCHASE OF MATERIALS FOR THE IMPROVEMENT OF BARANGAY HOLDING FACILITIES FOR COVID-19 LSI 	August 4, 2020 1.	The BARANGAY SALVADOR  </t>
  </si>
  <si>
    <t xml:space="preserve"> 1 10 UNITS FIRE EXTINGUISHER 20 LBS (DRY CHEMICALS)</t>
  </si>
  <si>
    <t xml:space="preserve"> 1,000 sacks Commercial Rice</t>
  </si>
  <si>
    <t xml:space="preserve"> Construction of MRF extension as counterpart of the Cebu Provincial Government donated equipment</t>
  </si>
  <si>
    <t xml:space="preserve"> RESOLUTION ON PRIOR APPROVAL NO. 07-113                   Series of 2020 		 RESOLUTION RECOMMENDING THE USE OF ALTERNATIVE METHOD OF PROCUREMENT FOR  THE ACQUISITION OF GOODS AND SERVICES   WHEREAS, various departments/offices submitted Purchase Requests </t>
  </si>
  <si>
    <t xml:space="preserve"> Republic of the Philippines								 	Department of Health								 	Center for Health Development Bicol								 	Legazpi City								 									 	July 13, 2020								 									 	THE MANAGER								 	_______________________________								 	________________</t>
  </si>
  <si>
    <t xml:space="preserve"> -30 Pair- Gloves (Elbow Length, Rubber) &amp; 12 L/I</t>
  </si>
  <si>
    <t xml:space="preserve"> Construction Of Bench Flume @ Lat. A Sta. 0+000 – 0+281, 0+332 – 1+232; Elev. Flume @ Lat. A Sta. 0+281- 0+332; Drainage Crossing @ Mc Sta. 2+390 &amp; Turn-Out &amp; Lat. A Sta. 0+420</t>
  </si>
  <si>
    <t xml:space="preserve"> LIQUID DETERGENT, ALL PURPOSE CONCENTRATED For the use of Nursing Unit/Centralization. REQUESTED BY: C, NS Fax your Price Quotation at Telefax 927-6426 local 2561 Please indicate the brand name, complete specifications.</t>
  </si>
  <si>
    <t xml:space="preserve"> INVITATION TO BID FOR THE REPAIR OF FLOOR TILES AND CEILING AND REPLACEMENT OF DOOR AND PAINTING OF WALLS AT MIS OFFICE , PLMUN, POBLACION, MUNTINLUPA CITY 1.	The City Government of Muntinlupa, through its duly-approved Executive Budget for 2020 intends t</t>
  </si>
  <si>
    <t xml:space="preserve"> for the Procurement of Medical Equipment.</t>
  </si>
  <si>
    <t xml:space="preserve"> Foods during Barangay Visitation for the year 2020 (17 Rural Barangays)</t>
  </si>
  <si>
    <t xml:space="preserve"> Supply and Delivery of Construction Supplies for the Renovation of Farm Machinery Shop Building of SDSSU San Miguel Campus Lot A - Aggregates Supplies @ P 67,056.00 Lot B - Hardware Materials @ P 349, 870.00 Lot C - Lumber @ P 72,319.92 Lot D - Labor @ P </t>
  </si>
  <si>
    <t xml:space="preserve"> The City Government of Koronadal, through its Bids and Awards Committee (BAC) will undertake a Negotiated Procurement – Small Value Procurement for the “ 60 PCS. BOLARD LIGHTS FOR CGSO USE “ in accordance with  Section 53.9 of the 2016 Implementing Rules </t>
  </si>
  <si>
    <t xml:space="preserve"> PR#	2020-07-0400 ADMINISTRATIVE BUILDING	 4	set	Sliding Window (1.50 x 3.00) including installation services	 70,000.00 	 				 		* Rehabilitation of Old Administrative Building		 							 				 		ALL ENTRIES SHOULD BE TYPEWRITTEN / LEGIBLY WRITTEN		 REQUIRE</t>
  </si>
  <si>
    <t xml:space="preserve"> The Claveria Water District through its Bids and Awards Committee (BAC), will undertake a Small Value Procurement for the supply and delivery of Transmission and Distribution Materials including accessories and others, in accordance with Section 53.9 of t</t>
  </si>
  <si>
    <t xml:space="preserve"> For modules, office and janitorial supplies</t>
  </si>
  <si>
    <t xml:space="preserve"> 730 pcs Rapid Test Kit Suguntech SGTi-flex COVID-19 lgm-lgG (Made in Korea)</t>
  </si>
  <si>
    <t xml:space="preserve"> 5.00	pcs	Marine Plywood (1.2m X 2.44m x 5mm thk.) 5.00	pcs	Marine Plywood (1.2m X 2.44m x 10mm thk.) 3.00	pcs.	UCG Purlins 2" x 3"x 0.80mm thk. 9.00	pcs.	UCG Carrying Channel (0.80mm x6m) 4.00	pcs.	UCG Wall Angle (0.80mm x 2.44m) 3.00	pcs.	Wood Cornize 3"</t>
  </si>
  <si>
    <t xml:space="preserve"> Food Supplies</t>
  </si>
  <si>
    <t xml:space="preserve"> Labor including provision equipment</t>
  </si>
  <si>
    <t xml:space="preserve"> WATER, MINERAL, REFILL, 5GAL. CYLINDER CONTAINER FOR WATER DISPENSER For the use of Nursing Unit/Centralization. REQUESTED BY: C, NS Fax your Price Quotation at Telefax 927-6426 local 2561 Please indicate the brand name, complete specifications.</t>
  </si>
  <si>
    <t xml:space="preserve"> CWC-UNICEF HIV/Adolescent Health Program Webinar Management Tool and Online Meeting Platform Subscription. Bidders should submit their Bids/quotations on or before the end of posting period. For Webinar Management tool and Online meeting platform Specific</t>
  </si>
  <si>
    <t xml:space="preserve"> Upgrading of Barangay Road with a total length of one hundred ninety five linear meters (195 lm), pavement width of four and four tenths meters (4.4m) and pavement thickness of point twenty meter (0.20m). It also covers the drainage canal and other road s</t>
  </si>
  <si>
    <t xml:space="preserve"> INVITATION TO BID The Barangay Sagurong of Tabaco City through the Bids and Awards Committee (BAC) invites suppliers to bid for the hereunder contract: Name of Contract: Procurement of Materials for the Rehabilitation of Basketball Court at Barangay Sagur</t>
  </si>
  <si>
    <t xml:space="preserve"> Free-range chicken (Female) ----- 1,600 Heads Free-range chicken (Male) ----- 320 Heads</t>
  </si>
  <si>
    <t xml:space="preserve"> Republic of the Philippines Province of Aurora Municipality of Maria Aurora BIDS AND AWARDS COMMITTEE INVITATION TO BID (First  Posting) The Local Government Unit of Maria Aurora, through its Bids and Awards Committee (BAC), invites suppliers/interested p</t>
  </si>
  <si>
    <t xml:space="preserve"> To support the procurement of 150 can Penetrating Oil 333ml ansd 17 other L/I for use in the Check "C" Scheduled Maintenance of F-27 Aircraft with tail nr 259.</t>
  </si>
  <si>
    <t xml:space="preserve"> 798     REAM      BOND PAPER SHORT (DOUBLE A, SUBS-20) 1,985  REAM       BOND PAPER LONG (DOUBLE A, SUBS-20) 102     REAM       BOND PAPER  A4 (DOUBLE A, SUBS 20) 547     BOT         EPSON L-120 PRINTER INK (ORDINARY BLACK) 275     BOT         EPSON L-20 </t>
  </si>
  <si>
    <t xml:space="preserve"> 1 ea Rental sound system &amp; 3 Others</t>
  </si>
  <si>
    <t xml:space="preserve"> Republic of the Philippines Province of Leyte Municipality of Tolosa BARANGAY POBLACION INVITATION TO BID FOR  Supply and Installation of Solar Streetlights at Brgy. Poblacion, Tolosa, Leyte  Job Request No. 20-08-02 1.	The Barangay of Poblacion, Tolosa, </t>
  </si>
  <si>
    <t xml:space="preserve"> Republic of the Philippines Province of Pangasinan Municipality of Natividad INVITATION TO BID FOR TITLE: Construction of Maranum Information Office Location: Brgy. Batchelor East, Natividad, Pangasinan Approved Budget of the Contract: Php800,000.00 The [</t>
  </si>
  <si>
    <t xml:space="preserve"> Long Plastic Expanding Envelop High Impact Resistant 70L Storage Box Clear Record Book 300 pages High Yield Black Original Toner Cartridge 203E 10000print</t>
  </si>
  <si>
    <t xml:space="preserve"> Supply and Delivery of Information Technology (IT) Equipment for the Municipal Engineering Office</t>
  </si>
  <si>
    <t xml:space="preserve"> Republic of the Philippines Municipality of Tabuelan Invitation to Bid  The Philippine Government Electronic Procurement System Office – Procurement Service invites PhilGEPS registered suppliers to bid for the hereunder items Attached: Bidding will be con</t>
  </si>
  <si>
    <t xml:space="preserve"> 284 BAG CEMENT 17 CUM SAND 35 CUM GRAVEL 3/4 39 CUM FILLING MATERIALS 24 PCS COCO LUMBER 2X6X12 5 KLS CWN#4 12 KLS TIE WIRE #16 10 PCS 16MM RSB 4 PCS 16MM PLAIN ROUND BAR</t>
  </si>
  <si>
    <t xml:space="preserve"> 702 PCS EXPANDING LONG PLASTIC ENVELOPES</t>
  </si>
  <si>
    <t xml:space="preserve"> REGION XII Province of Cotabato Municipality of Midsayap BIDS &amp; AWARDS COMMITTEE Tel. Nos. (064) 229-8018; 229-8650; 229-8450 INVITATION TO RE-BID FOR 2020-081, SUPPLY AND DELIVERY OF ELECTRONIC DEVICES AND EQUIPMENT FOR EXPLOSIVE ORDNANCE DISPOSAL (EOD) </t>
  </si>
  <si>
    <t xml:space="preserve"> Invitation to Bid Republic of the Philippines City of Olongapo -0- BIDS AND AWARDS COMMITTEE BAC Office 3rd Floor  Olongapo City Hall  Web: www.olongapocity.gov.ph INVITATION TO BID FOR  OC-77(ESMO-07) 20 GD PROCUREMENT FOR THE SUPPLY AND DELIVERY OF THRE</t>
  </si>
  <si>
    <t xml:space="preserve"> For the implementation of Contact Tracing Program of the City Government of Antipolo. 1 lot Hiring / Rental of Service Vehicle</t>
  </si>
  <si>
    <t xml:space="preserve"> Qty.                    Unit                  Description 100                     pcs.                  Tarpaulin- Citizens Charter (3 x 5)</t>
  </si>
  <si>
    <t xml:space="preserve"> Invitation to Bid for Rejuvenation thru Fertilization CY 2020 1.The Philippine Coconut Authority – XI, through the authorized appropriations under the continuing appropriation of FY 2020 General Appropriations Act (GAA), intends to apply the sum of  One M</t>
  </si>
  <si>
    <t xml:space="preserve"> The SANGGUNIANG BARANGAY OF BARANGAY POBLACION IV, TANAUAN CITY, BATANGAS, through the Barangay Operating Budget 2020 intends to apply the sum of Forty Five Thousand Pesos Only (Php 45,000.00 ) being the Approved Budget of the Contract (ABC) to payment un</t>
  </si>
  <si>
    <t xml:space="preserve"> Laying of additional CHB walls of MPB-stage Fabrication and installation of roof frames of MPB-stage Fabrication and installation of roof frames &amp; roofing of MPB-bleachers</t>
  </si>
  <si>
    <t xml:space="preserve"> REQUEST FOR QUOTATION 				                                           Date: August 4, 2020 				                                                 Quotation No/PR No. 136 To all Eligible Suppliers: 1.	Please quote your lowest price inclusive of VAT on the ite</t>
  </si>
  <si>
    <t xml:space="preserve"> Supply and Delivery of Tables &amp; chairs</t>
  </si>
  <si>
    <t xml:space="preserve"> Concreting of 88.00m x1.0m local access road (thickness = 0.15m)</t>
  </si>
  <si>
    <t xml:space="preserve"> ALCOHOL, ethyl, 68%-70%, scented, 500ml (-5ml) (bottle)	 ACETATE, thickness: 0.075mm min (gauge #3) (roll)	 CARTOLINA, assorted colors (pack)	 PAPER, Multi-Purpose (COPY) A4, 70 gsm (ream)	 PAPER, Multi-Purpose (COPY) Legal, 70 gsm (ream)	 RECORD BOOK, 50</t>
  </si>
  <si>
    <t xml:space="preserve"> Rice</t>
  </si>
  <si>
    <t xml:space="preserve"> Request for Quotation for Construction Materials (181,500.00)</t>
  </si>
  <si>
    <t xml:space="preserve"> 2	unit	Printer 3 in 1 with feeder 2	unit	Netbook 1	unit	Power Bank 20000mAh 1	unit	Cellphone</t>
  </si>
  <si>
    <t xml:space="preserve"> 3	pc	Safety Breaker (Outdoor 40amp) 50	pc	Tox &amp; Screw #8 20	pair	Nut &amp; Bolt 2	roll	Copper Tube # 5/8 2	roll	Copper Tube # 1/4 15	pc	Rubber Insulation # 5/8 X 1/2 15	pc	Rubber Insulation # 1/4 X 1/2 2	tank	Freon 410 A 1	roll	50mm2 THHN/THWN 1	pc	Manefold G</t>
  </si>
  <si>
    <t xml:space="preserve"> Supply &amp; Delivery of Office Supplies 05D(SOWER&amp;SG) H07-2020 Kindly see attached file. Thank you!</t>
  </si>
  <si>
    <t xml:space="preserve"> BATTERY FOR ACER ASPIRE 4755G LAPTOP For use in the Office of the Assistant Director. REQUESTED BY: Asst., Director Fax your Price Quotation at Telefax 927-6426 local 2561 Please indicate the brand name, complete specifications.</t>
  </si>
  <si>
    <t xml:space="preserve"> RFQ 2020-08-029: Procurement of Printer with Wi-Fi, Rubber Shoes, Go Pro Camera and Jacket</t>
  </si>
  <si>
    <t xml:space="preserve"> Please submit your quotations based on RFQ Terms &amp; Conditions</t>
  </si>
  <si>
    <t xml:space="preserve"> The SANGGUNIANG BARANGAY OF BARANGAY POBLACION IV, TANAUAN CITY, BATANGAS, through the Barangay Operating Budget 2020 intends to apply the sum of Sixty Thousand Pesos Only (Php 6,000.00 ) being the Approved Budget of the Contract (ABC) to payment under th</t>
  </si>
  <si>
    <t xml:space="preserve"> Republic of the Philippines PROVINCE OF ZAMBALES I B A  Project Reference Number/Purchase Request No..	SMDH-2020-262 &amp; OSC-2020-228 													                                                                                                  Location of </t>
  </si>
  <si>
    <t xml:space="preserve"> Supply &amp; Delivery of medical supplies 07D TESDA H10-2020 Kindly see attached file. Thank you!</t>
  </si>
  <si>
    <t xml:space="preserve"> Brand New Rice Mill for MAMFIC          1 unit         Agency Budget Cost    Php997,000.00   Specifications:      &gt; double-pass rice mill      &gt; 2 rice mill huller      &gt; rice dehuller      &gt; separator      &gt; transmission, conveyor &amp; shifter      &gt; driven</t>
  </si>
  <si>
    <t xml:space="preserve"> 1 LOT COMPLETE REPAIR OF COFFEE ROASTER -Change drum to Stainless Steel (Dimension : 17" x 14" x 3/8") -Change all plate to Stainless 304 -Change exhaust &amp; Cooling System -Fuel and Drum Speed re-timing -Upgrading of electric motor with complete set of bel</t>
  </si>
  <si>
    <t xml:space="preserve"> One (1) SET, Thermal Scanner &amp; Nineteen (19) other Line Items</t>
  </si>
  <si>
    <t xml:space="preserve"> Republic of the Philippines Department of Health ZAMBOANGA PENINSULA-CENTER FOR HEALTH DEVELOPMENT  Upper Calarian, Zamboanga City 7000 Phone: (062) 983-0314, (062) 983-0146, Fax: (062) 991-3380 Email: dohchdzp@yahoo.com, Web: www.doh.gov.ph Standard Form</t>
  </si>
  <si>
    <t xml:space="preserve"> Supply and Delivery of Office Supplies for 3QR 2020 RFQ</t>
  </si>
  <si>
    <t xml:space="preserve"> Other Supplies and Materials</t>
  </si>
  <si>
    <t xml:space="preserve"> The Asingan Water District, through its Bids and Awards Committee, intends to apply the sum of P60,000.00 being the Approved Budget for the Contract (ABC) for the procurement of motorcycle in accordance with Section 53.9 (Negotiated Procurement - Small Va</t>
  </si>
  <si>
    <t xml:space="preserve"> 266 PAIR HEAVY DUTY BOOTS 266 PAIR HEAVY DUTY RUBBER GLOVES (OIL RESISTANT) 100 ROLL NYLON CORD #300</t>
  </si>
  <si>
    <t xml:space="preserve"> CONSTRUCTION MATERIALS AND SUPPLIES  FOR CONSTRUCTION OF MULTI-PURPOSE HALL - (PHASE V) VICTORIA</t>
  </si>
  <si>
    <t xml:space="preserve"> Proposed Dates and Venue: * August 12, 2020: AM - Mambuaya Elementary School                              PM - Lumbia Central School *August 13, 2020: AM - West City Central School                             PM - Iponan Elementary School *August 14, 2020</t>
  </si>
  <si>
    <t xml:space="preserve"> 1 REGION XII Province of Cotabato Municipality of Midsayap BIDS &amp; AWARDS COMMITTEE Tel. Nos. (064) 229-8018; 229-8650; 229-8450 INVITATION TO BID FOR  2020-082, CONSTRUCTION OF MULTI-PURPOSE BUILDING FOR RURAL IMPROVEMENT CLUB (RIC)  AND FARMERS ASSOCIATI</t>
  </si>
  <si>
    <t xml:space="preserve"> Supply and delivery of 14,184 cu.m.,  manpower, tools, equipment and other services necessary for Solid Wastes/ Garbage Collection and Disposal Services for Five Months</t>
  </si>
  <si>
    <t xml:space="preserve"> Supply and Delivery of Fertilizers</t>
  </si>
  <si>
    <t xml:space="preserve"> supply and delivery of the following: Lot 1. Face mask				                        - 47,500.00 950	pcs	Face Mask (Washable) (Printed)			 Lot 2. other goods/materials				        - 182,500.00 560	pcs	Vitamin C (120ml) syrup (2-6 yrs old)				 610	pcs	Ethyl Al</t>
  </si>
  <si>
    <t xml:space="preserve"> Name of project:IMPROVEMENT OF NURSING RESEARCH OFFICE ABC: 397,393.33 Location:Bontoc Campus, Bontoc, Mountain Province CD:30</t>
  </si>
  <si>
    <t xml:space="preserve"> 1 lot Supply, Delivery and Installation of CCTV Camera System for new office        space of Calbayog Branch        ( As per attached approved technical specifications ) x-x-x-x-x-x-x-x-x-xnothingfillowsx-x-x-x-x-x-x-x-x-x-x-x-x-x-x-x-x-x-x-x-x</t>
  </si>
  <si>
    <t xml:space="preserve"> Purchase of vehicle maintenance for Heavy equipments</t>
  </si>
  <si>
    <t xml:space="preserve"> To Support the procurement of Seventy (70) ea Cloth Tape (Red) 2 inches and 11 Other L/l for use in the "100 Hours Inspection" Scheduled Maintenance of N-22 Acft Nr B-12.</t>
  </si>
  <si>
    <t xml:space="preserve"> 1.Construction of Bridge and Concreting of Pathway at NCDC Bldg. Entrance-Baybay, Caramoran, Catanduanes 2. Construction of Bridge-Sabang Dariao, Caramoran, Catanduanes 3.Construction of Bridge-(Kaumahan) Dariao, Caramoran, Catanduanes</t>
  </si>
  <si>
    <t xml:space="preserve"> 8 ROOMS OF COMFORT ROOM REPAIR</t>
  </si>
  <si>
    <t xml:space="preserve"> Name of Project: CONSTRUCTION OF RAMP AT THE FRONTAGE OF SCHOOL CLINIC ABC: 110,000.00 Location: Bontoc Campus, Bontoc, Mountain Province CD:15</t>
  </si>
  <si>
    <t xml:space="preserve"> 1	unit	Digital voice record 1	unit	Laser Printer 2	set	Sound Adapter (Laptop to Speakers) 5	bottle	Universal ink (black) 5	bottle	Universal ink (cyan) 5	bottle	Universal ink (magenta) 5	bottle	Universal ink (yellow) 100	pcs	USB 16gb 2	pcs	HDMI adapter/cor</t>
  </si>
  <si>
    <t xml:space="preserve"> Request for Quotation for Construction Materials (78,935.41)</t>
  </si>
  <si>
    <t xml:space="preserve"> The Philippine National Police (PNP) Health Service (HS) invites all PhilGEPS-accredited suppliers to apply for eligibility and to bid for the Procurement of Other Supplies &amp; Materials Approved Budget for Contract: Php1,820,625.00 Bid Documents shall be a</t>
  </si>
  <si>
    <t xml:space="preserve"> Supply and Delivery of Steel Ladder (Pilipino Bldg.) Materials. (Hardware supplies 3Q RFQ</t>
  </si>
  <si>
    <t xml:space="preserve"> Partial construction of 10.00mx8.00m multi purpose building (stage)</t>
  </si>
  <si>
    <t xml:space="preserve"> Procurement of Construction Materials - PR. No. 149 DepEd Division of San Pablo City would like to request for Quotation of Construction Materials for the Rehabilitation of old Supply Unit Bldg.. Attached is a copy of Purchase request for your reference. </t>
  </si>
  <si>
    <t xml:space="preserve"> 1.	The San Joaquin-Kalawaan High School  through the General Appropriations Act  intends to apply the sum of  Four  Hundred Forty Thousand  Pesos (Php440,000.00) only  being the Approved Budget for the Contract (ABC) to payments under the contract for, PR</t>
  </si>
  <si>
    <t xml:space="preserve"> Labor including provision of equipment</t>
  </si>
  <si>
    <t xml:space="preserve"> 1 set 3/4 drive tools 1 set 1/2 drive toola 1 lot. Welding machine 300 amps 1 set cutting torcks with tank 2 sets Barena 1 set Sunder 2 sets jack 30 tons 1 set chain block 1 pc bench drill 1 pc katala adjustable ring 1 pc gato 30 mtrs welding wire 1 set c</t>
  </si>
  <si>
    <t xml:space="preserve"> Supply and Delivery of Steel Fence Materials (Hardware Supplies (3rd Quarter RFQ</t>
  </si>
  <si>
    <t xml:space="preserve"> 1	Lot	Various Laboratory Supplies and Materials			     	 	3 bottles of 2.5L 10% Neutral Buffered Formalin:  Contains phosphate buffers to stabilize the pH between 6.8 and 7.2,  Stringent quality control ensures a formaldehyde concentration of 10%,  For fi</t>
  </si>
  <si>
    <t xml:space="preserve"> INVITATION TO QUOTE Date:  August 03, 2020 1.	The Provincial Government of Davao del Sur, through its Bids and Awards Committee (BAC), invites all interested bidders/suppliers to quote for the following goods under Alternative Methods of Procurement ([Sho</t>
  </si>
  <si>
    <t xml:space="preserve"> Sound System rental: 1 lot for Opening Salvo - August 19, 2020 8 lots for Nightly Activities - August 20-27, 2020 2 lots for Hudyaka Focal &amp; Night Activity - August 28, 2020</t>
  </si>
  <si>
    <t xml:space="preserve"> 100 sets Water Meter  (please see description/specification on the attached document)</t>
  </si>
  <si>
    <t xml:space="preserve"> BIDS AND AWARDS COMMITTEE-SECURITY PLANT COMPLEX INVITATION TO BID 1. The Bangko Sentral ng Pilipinas (BSP), through its Bids and Awards Committee-Security Plant Complex, invites Bidders to apply for eligibility and to bid for the hereunder requirement: N</t>
  </si>
  <si>
    <t xml:space="preserve"> Procurement of Survey Essentials and Protective Gears for the use of Planning and Design Section, DPWH Iloilo 2nd DEO, Balabag, Dumangas, Iloilo</t>
  </si>
  <si>
    <t xml:space="preserve"> For the use of Antipolo Institute of Technology. 8 set Desktop Computer Set, complete with LED Specs: core i5 7400 3.0 GHZ, 6MB cache, 4 cores, 7th gen., 4GB DDR4 (up to 32GB of dual-channel DDR4), 1 TB 3.5-inch 7200 RPM, HD graphics 630, free DOS Operati</t>
  </si>
  <si>
    <t xml:space="preserve"> Please quote your lowest price inclusive of VAT on the item/s listed below, subject to the Terms and Conditions of this RFQ, and submit your quotation duly signed by your representative not later than  AUGUST 10,  2020  at Bids and Awards Committee Katipu</t>
  </si>
  <si>
    <t xml:space="preserve"> Supply &amp; Delivery of Other Supplies to be use for Linggo ng Kabataan on August 10 - 16, 2020, Municipality of Bongabong, Oriental Mindoro</t>
  </si>
  <si>
    <t xml:space="preserve"> Republic of the Philippines Cordillera Administrative Region Provincial Local Government Unit of Ifugao BIDS AND AWARDS COMMITTEE - INFRA 3rd Floor PEO Bldg., Capitol Compound Lagawe, Ifugao Email Ad.: bacifugao@gmail.com INVITATION TO BID  NCB Publicatio</t>
  </si>
  <si>
    <t xml:space="preserve"> 2 LI</t>
  </si>
  <si>
    <t xml:space="preserve"> To be installed at the various government buildings under the City Government of Antipolo as part of the continuous endeavor to control and/or contain the spread of Covid-19. 10 pcs. automatic soap dispenser (Touch Less) 50 pcs. Foot Bath Tray with Coil M</t>
  </si>
  <si>
    <t xml:space="preserve"> Republic of the Philippines Province of Pangasinan Municipality of Natividad INVITATION TO BID FOR TITLE: Construction of Tourist Waiting/Registration Area (Phase 2) (Serve as toll gate, display center of souvenir items and coffee shop) Location: Brgy. Ba</t>
  </si>
  <si>
    <t xml:space="preserve"> Deadline of Submission of Quotation: August 7, 2020, 2:00 PM at the BAC Office Opening of Quotation: August 7, 2020, 3:00 PM at the BAC Office</t>
  </si>
  <si>
    <t xml:space="preserve"> Request for Quotation for Construction Materials (52,568.00)</t>
  </si>
  <si>
    <t xml:space="preserve"> Republic of the Philippines Province of Pangasinan Municipality of Natividad INVITATION TO BID FOR TITLE: Purchase of Various Equipment for Engineering Office Location: Natividad, Pangasinan Approved Budget of the Contract: Php135,000.00 The [MUNICIPALITY</t>
  </si>
  <si>
    <t xml:space="preserve"> THERMAL SCANNER WITH FACE RECOGNITAION ACCESS CONTROL</t>
  </si>
  <si>
    <t xml:space="preserve"> 8	rolls	 Plastic twine  1k/roll 100	pcs.	Sacks (sako) 200	rolls	Tissue     10's  10	bottles	500ml alcohol 70% 15	bottles	 1000ml Dishwashing liquid 40	reams	PAPER, 20/70 gsm 8x13" (legal) bond paper 60	reams	PAPER, 20/70 gsm 8x11'' (short) bond paper 40	p</t>
  </si>
  <si>
    <t xml:space="preserve"> 1 Lot	1 bottle - Titanium (IV) Butoxide;  Specifications: Reagent grade;  97%, 500 g			 10,620.00   	1 bottle - Titanium (IV) Oxysulfate;  Specifications: 1 L, 1.9-21 %;  for determination of hydrogen peroxide (H 15), according to DIN 38 409, part 15, DEV</t>
  </si>
  <si>
    <t xml:space="preserve"> SCOTCH TAPE 1" STAPLE WIRE #35 WHITEWOVE S-20 BOND PAPER, HARD COPY A4, S-20 BOND PAPER, HARD COPY, LONG, S-20</t>
  </si>
  <si>
    <t xml:space="preserve"> INVITATION TO BID IB NO: 2020-08-25 (16) PROCUREMENT OF VARIOUS MEDICAL EQUIPMENT 1. 	The Caraga Regional Hospital (CRH), through the General Appropriation Act /  Hospital Income intends to apply the sum of FIVE MILLION TWO HUNDRED EIGHTY THOUSAND PESOS O</t>
  </si>
  <si>
    <t xml:space="preserve"> Republic of the Philippines Central Visayas Region Negros Oriental Province MUNICIPALITY OF SANTA CATALINA BIDS AND AWARDS COMMITTEE ITB NO.: 2020-08-02-025 INVITATION TO BID FOR THE SUPPLY AND DELIVERY OF 6-WHEELER DUMP TRUCKS 4X2 (BRAND NEW) 1.	The Muni</t>
  </si>
  <si>
    <t xml:space="preserve"> Procurement of supply and delivery of cassava cuttings 24,500	piece	Cassava cuttings 	Supplied by accredited BPI nursery 	With 7 nodes; minimum length of 20cm 	Sourced from disease-free plantation PR# 2020-1198</t>
  </si>
  <si>
    <t xml:space="preserve"> Laying of additional CHB walls of MPB- stage Plastering of CHB walls  Installation of long span roofing for MP-stage Fabrication &amp; installation of doors and windows for MPB-stage</t>
  </si>
  <si>
    <t xml:space="preserve"> Supply and Delivery of Hardware Materials for water drainage upgrade. RFQ</t>
  </si>
  <si>
    <t xml:space="preserve"> Please see attached document</t>
  </si>
  <si>
    <t xml:space="preserve"> The Philippine National Police (PNP) Health Service (HS) invites all PhilGEPS-accredited suppliers to apply for eligibility and to bid for the Procurement of Medical, Dental &amp; Laboratory Supplies. Approved Budget for Contract: Php1,000,000.00 Bid Document</t>
  </si>
  <si>
    <t xml:space="preserve"> 25 pcs. Four Stage Air-Purifying System   • Multi-stage cleaning features: a.	Pre-filter         c. Activated Carbon b.	HEPA;             d. UVC Lamp • HEPA air delivery of air inlet: 124 cu.m./hr     UVC wavelength: 253.7nm     Sound Level: &lt;45dB ambient</t>
  </si>
  <si>
    <t xml:space="preserve"> To support the procurement of One Hundred (100) sack Saw Dust and 27 Other L/I for use in sched maint of C-130B acft with tail Nr 3633.</t>
  </si>
  <si>
    <t xml:space="preserve"> Scope of Services:  1) Bogasong Br. II (B00603LT) Along Daang Maharlika (LT), Libagon, Southern Leyte – 2 Boreholes 2) Cawayan Br. I (B00605LT) Along Daang Maharlika (LT), Libagon, Southern Leyte – 2 Boreholes 3) Cawayan Br. II (B00606LT) Along Daang Maha</t>
  </si>
  <si>
    <t xml:space="preserve"> Day 1 Breakfast: Rice, Tapsilog, Coffee with Cream Morning Snacks: Tuna Sandwich and Fruit Juice Lunch: Unlimited Rice, Kinilaw, Humba, Sinigang Mix Seafoods, Softdrinks, Fruits Afternoon Snacks: Ham &amp; Cheese Burger with softdrinks Dinner: Unlimited Rice,</t>
  </si>
  <si>
    <t xml:space="preserve"> Republic of the Philippines BANGSAMORO AUTONOMOUS REGION IN MUSLIM MINDANAO MINISTRY OF THE INTERIOR AND LOCAL GOVERNMENT Bangsamoro Government Center, Governor Gutierrez Avenue, Rosary Heights VII, Cotabato City 9600 - - INVITATION TO BID FOR THE PROCURE</t>
  </si>
  <si>
    <t xml:space="preserve"> 1.	The Department of Education, through the Republic Act No. 11260 – FY 2019 GAA / RO-20-0875 intends to apply the sum of Thirteen Million Seven Hundred Twenty Two Thousand Five Hundred Six Pesos (P13,722,506.00) being the Approved Budget for the Contract</t>
  </si>
  <si>
    <t xml:space="preserve"> INVITATION TO BID FOR  SUPPLY, DELIVERY AND INSTALLATION OF VARIOUS MEDICAL, IT AND OFFICE EQUIPMENT 1.	The DOH-LABUAN GENERAL HOSPITAL, through the GENERAL APPROPRIATION ACT (GAA) OF 2020 intends to apply the sum of THIRTEEN MILLION FOUR HUNDRED FORTY-SE</t>
  </si>
  <si>
    <t xml:space="preserve"> Printing of Modules for Grade 7 tp Grade 10 for the 1st Quarter</t>
  </si>
  <si>
    <t xml:space="preserve"> Municipality of San Juan, Siquijor						Project Reference No.: 				 						Name of Project:  Provision of response and 				 						preventive efforts for necessary COVID-19 related				 						PPAs and other expenses ( MDRRMF 70 % Disaster 				 						Prepared</t>
  </si>
  <si>
    <t xml:space="preserve"> The Philippine National Police (PNP) Health Service (HS) invites all PhilGEPS-accredited suppliers to apply for eligibility and to bid for the Procurement of Drugs &amp; Medicines. Approved Budget for Contract: Php888,674.43 Bid Documents shall be available a</t>
  </si>
  <si>
    <t xml:space="preserve"> Republic of the Philippines  Department of  Science and Technology  Regional Office No. IX  Pettit Barracks,   Zamboanga  CIty Tel. Nos. (062) 992-1114; (062) 991-1024 INVITATION TO BID SUPPLY AND DELIVERY OF NETWORK ATTACHED STORAGE RACKMOUNTED TYPE    P</t>
  </si>
  <si>
    <t xml:space="preserve"> The City Government of Koronadal, through its Bids and Awards Committee (BAC) will undertake a Negotiated Procurement – Small Value Procurement for the “ MATERIALS USED FOR THE COMPLETION OF MULTI-PURPOSE BUILDING (BPATS) AT BRGY. CACUB, CITY OF KORONADAL</t>
  </si>
  <si>
    <t xml:space="preserve"> Supply &amp; Delivery of Materials and Equipment Rentals for use in the CONSTRUCTION OF BOX CULVERT AND INSTALLATION OF 0.60MØ RCCP.</t>
  </si>
  <si>
    <t xml:space="preserve"> Republic of the Philippines Central Visayas Region Negros Oriental Province MUNICIPALITY OF SANTA CATALINA BIDS AND AWARDS COMMITTEE ITB NO.: 2020-08-02-026 INVITATION TO BID FOR THE SUPPLY AND DELIVERY OF WATER TANKER (SURPLUS) 1.	The Municipality of San</t>
  </si>
  <si>
    <t xml:space="preserve"> The City Government of Koronadal, through its Bids and Awards Committee (BAC) will undertake a Negotiated Procurement – Small Value Procurement for the “ 3RD QUARTER DRUGS &amp; MEDICINES FOR CITY HEALTH OPERATIONS “ in accordance with  Section 53.9 of the 20</t>
  </si>
  <si>
    <t xml:space="preserve"> Supply and Delivery of Cleaning and Disinfecting Products for 3rd Quarter.  RFQ</t>
  </si>
  <si>
    <t xml:space="preserve"> 5	pcs	Filter paper			 75.00  1	pc 	Double burette clamp 			 1,200.00  5	pcs	Evaporation flask clip (29/32)			 500.00  5	pcs	Evaporation flask clip (24/40)			 500.00  1	pc	Diamond glass cutter			 1,500.00  1	pc	Foam break (250mL.; NS 29/32)			 2,750.00  1	</t>
  </si>
  <si>
    <t xml:space="preserve"> INVITATION TO BID  SUPPLY, DELIVERY, INSTALLATION, CONFIGURATION, MIGRATION, AND TESTING OF ADDITIONAL SERVERS FOR BTMS INFRASTRUCTURE 1.	The Department of Budget and Management (DBM), through the authorized appropriations under the FY 2019 General Approp</t>
  </si>
  <si>
    <t xml:space="preserve"> Republic of the Philippines Province of Camiguin MUNICIPALITY OF MAMBAJAO INVITATION TO BID / REQUEST FOR EXPRESSION OF INTEREST The Municipal Government of Mambajao, Camiguin through the Bids and Awards Committee (BAC) invites all duly qualified bidders/</t>
  </si>
  <si>
    <t xml:space="preserve"> Item Description	Quantity	Unit	Unit Cost	Total Cost 250 AMPS CIRCUIT BREAKER WITH NEMA PANEL	1	UNIT		 250 AMPS SAFETY SWITCH	1	UNIT		 3 POLES, 2 DOUBLE THROW, NON- FUSIBLE				 30 AMPS CIRCUIT BREAKER WITH NEMA PANEL	1	UNIT		 RCD 2 " X 10FT	4	PCS		 ENTRANC</t>
  </si>
  <si>
    <t xml:space="preserve"> 1.Construction of Flood Control-Bulalacao, Caramoran, Catanduanes 2.Contstruction of Flood Control -Maui, Caramoran, Catanduanes</t>
  </si>
  <si>
    <t xml:space="preserve"> The City Government of Koronadal, through its Bids and Awards Committee (BAC) will undertake a Negotiated Procurement – Small Value Procurement for the “ 1 LOT SUPPLY, DELIVERY &amp; INSTALLATION OF 2 UNITS DIRECTIONAL DIRECTORY FOR C ITY TERMINAL USE “ in ac</t>
  </si>
  <si>
    <t xml:space="preserve"> EXPANDING FOLDER, GREEN, LONG, WHITE PINK FOLDER, LONG BALLPEN .05, PILOT, BLACK GLUE BIG RUBBER BAND 350 GRMS. FOLDER, WHITE, LONG, 14 PTS FOLDER, WHITE, SHORT, 14 PTS. PLASTIC COVER, GAUGE 4 CORRECTION TAPE, BIG PENCIL, MONGOL #2 SCISSOR 6"</t>
  </si>
  <si>
    <t xml:space="preserve"> Procurement Materials for the Construction of Fortaliza Water System</t>
  </si>
  <si>
    <t xml:space="preserve"> The municipality of San Clemente, Tarlac reserves the right to accept or reject any bid, to annul the  bidding  process, and to reject all bids at any time prior to contract award, without thereby incurring any liability to  the affected bidder or bidders</t>
  </si>
  <si>
    <t xml:space="preserve"> Republic of the Philippines Department of Education Region VI – Western Visayas DIVISION OF AKLAN Numancia, Aklan 	 REQUEST FOR QUOTATION (RFQ) Project No: DepED-RO6-D1-CID-LCPSUPPLIES-055-2020 The Department of Education Division of Aklan, through its Bi</t>
  </si>
  <si>
    <t xml:space="preserve"> Road Shouldering of Ramon Magsaysay - JP Laurel St. (342.70 L.M. x 0.90 M.) Both Ways ABC: Php 1,500,000.00 I - PROJECT BILLBOARD II - MOBILIZATION/DEMOBILIZATION III - SUB - GRADE PREPARATION (COMMON MATERIAL) IV - AGGREGATE SUBBASE COURSE V - PORTLAND C</t>
  </si>
  <si>
    <t xml:space="preserve"> 1	1 Set  3 drums, 8” diameter x 16” long stainless with spline on all drums mechanical sugar cane juicer,              Reduction gear @1:30 engine driven all gears with key locks housing made of stainless sheets with bolts 2	1 set HP engine prime mover, y</t>
  </si>
  <si>
    <t xml:space="preserve"> Day 1 Breakfast AM Snack Lunch PM Snack Dinner Lodging Day 2 Breakfast AM Snack Lunch PM Snack Dinner Lodging Day 3 Breakfast AM Snack Lunch PM Snack Dinner Lodging Day 4 Breakfast AM Snack Lunch</t>
  </si>
  <si>
    <t xml:space="preserve"> To support the eight (8) ARDROX 6025 and three (3) other L/I for the maintenance of T-41 BDK Aircraft abd SF-260FH/M Aircraft for the use of 440th AMG, AETDC, FAB, Lipa City, Batangas.</t>
  </si>
  <si>
    <t xml:space="preserve"> RESOLUTION ON PRIOR APPROVAL NO. 07-111                   Series of 2020 		 RESOLUTION RECOMMENDING THE USE OF ALTERNATIVE METHOD OF PROCUREMENT FOR  THE ACQUISITION OF GOODS AND SERVICES WHEREAS, the Quezon City Health Department submitted Purchase Reque</t>
  </si>
  <si>
    <t xml:space="preserve"> The City Government of Koronadal, through its Bids and Awards Committee (BAC) will undertake a Negotiated Procurement – Small Value Procurement for the “ MEDICAL, DENTAL &amp; LABORATORY SUPPLIES FOR CITY HEALTH OPERATIONS “ in accordance with  Section 53.9 o</t>
  </si>
  <si>
    <t xml:space="preserve"> Please see attached Request for Quotation (RFQ).</t>
  </si>
  <si>
    <t xml:space="preserve"> Republic of the Philippines						 PROVINCE OF BENGUET						 Municipality of Tuba						 OFFICE OF THE BIDS AND AWARDS COMMITTEE						 					24-Jul-20	 					Date 	 REQUEST FOR QUOTATION					2020-07-146	 SHOPPING SOLICITATION					SS No.	 PR No.:		2020-07-371	</t>
  </si>
  <si>
    <t xml:space="preserve"> Please see attached files.</t>
  </si>
  <si>
    <t xml:space="preserve"> Republic of the Philippines Province of Iloilo  Municipality of Pototan BIDS AND AWARDS COMMITTEE INVITATION TO BID 1.	The Municipality of Pototan, through the SEF Fund‘‘ intends to apply the sum of (770,000.00) being the Approved Budget for the Contract </t>
  </si>
  <si>
    <t xml:space="preserve"> Section I. Invitation to Bid SUPPLY OF MATERIALS, LABOR AND EQUIPMENT FOR THE CONSTRUCTION OF PUMP HOUSE AND PERIMETER FENCE AND SITE DEVELOPMENT OF LINAO NORTE PUMPING STATION 02, LINAO NORTE, TUGUEGARAO CITY (RE-BIDDING) 1. The Metropolitan Tuguegarao W</t>
  </si>
  <si>
    <t xml:space="preserve"> 1	unit - 	2.5 hp Split-type Air-conditioning unit</t>
  </si>
  <si>
    <t xml:space="preserve"> The City Government of Koronadal, through its Bids and Awards Committee (BAC) will undertake a Negotiated Procurement – Small Value Procurement for the “ 1 LOT SUPPLY, DELIVERY &amp; INSTALLATION OF ONE (1) UNIT OUTDOOR ADVERTISEMENT USE FOR THE OPERATION OF </t>
  </si>
  <si>
    <t xml:space="preserve"> Office Supplies Equipment and Consumables</t>
  </si>
  <si>
    <t xml:space="preserve"> The Local Government Unit of Amulung, Cagayan intends to purchase Supply and Delivery of Meals &amp; Snacks for Sub Office Anniversary through Alternative Mode of Procurement with an ABC of Php 95,000.00 Interested suppliers can avail of the Request for Quota</t>
  </si>
  <si>
    <t xml:space="preserve"> Invitation to Bid for SOPDP 2020 1.The Philippine Coconut Authority – XI, through the authorized appropriations under the continuing appropriation of FY 2020 General Appropriations Act (GAA), intends to apply the sum of  Two Million One Hundred Ninety Tho</t>
  </si>
  <si>
    <t xml:space="preserve"> INK, COMPUTER, EPSON 664 BLACK INK, COMPUTER, EPSON 664 MAGENTA INK, COMPUTER, EPSON 664 YELLOW INK, COMPUTER, EPSON 664 CYAN INK, COMPUTER, FX 2175</t>
  </si>
  <si>
    <t xml:space="preserve"> Brief Description of the Project				 Quantity	Unit	Item Description		  1.00 	unit	Passenger Van (converted into an ambulance		 		   and fitted with necessary medical equipment		 		   and apparatus)		 		Specifications:		 		Engine:		 		·         not exceddi</t>
  </si>
  <si>
    <t xml:space="preserve"> INVITATION TO BID NO. 2020-07-0022 PROCUREMENT OF REHABILITATION OF THE EXISTING CROP AND SOIL SCIENCE LABORATORY BUILDING AND UPGRADING OF THE WATER SYSTEM AND ELECTRICAL INSTALLATION OF CAPSU RDE-CSRDC (LOCATED AT CAPSU BURIAS CAMPUS) (REBIDDING) 1.	The</t>
  </si>
  <si>
    <t xml:space="preserve"> NOTICE OF NEGOTIATED PROCUREMENT (Negotiated Procurement due to Two-Failed Biddings) DSWD NNP No. 20-TFB-005 “RENOVATION OF DSWD-SOCIAL WELFARE AND DEVELOPMENT CENTER FOR ASIA AND THE PACIFIC (SWADCAP) AT 2ND FLOOR (PHASE II)” (PR No. 2019010112) 1. The D</t>
  </si>
  <si>
    <t xml:space="preserve"> 1	Cucumber seeds, germination rate: 88% and up, Hybridity 90-100%, best until 2022, 3000 seeds in can=30 cans 2	Cabbage seeds, Germination rate:88% and up, Hybridity 90-100%, Best until 2022, 25 grams/can= 30 cans 3	Pechay seeds, flowering, germination ra</t>
  </si>
  <si>
    <t xml:space="preserve"> To support the procurement of two (2) ea Back Plate and L:ining assy with PN: 074-01000 and nine (9) other L/I for the IRAN of T41B Aircraft Nr 064 for the use of 440th AMG, AETDC, FAB, Lipa City, Batangas.</t>
  </si>
  <si>
    <t xml:space="preserve"> Supply, Delivery and Installation of Biometric Time Attendance System Specification: •	Biometric Face/Fingerprint Terminal •	High Speed Matching Algorithm •	Face 1:10,000 Templates &lt;1sec •	Fingerprint 1:50,000 Templates &lt;1sec •	Auto Tilt Function- Adjust </t>
  </si>
  <si>
    <t xml:space="preserve"> Please send quotation to apecozone@gmail.com 		Mechanical Tools 1	pc	Pliers 10" 1	pc	Long Nose 10" 1	pc	Cutter Pliers 1	pc	Flat screw driver 1	pc	Philip screw driver 		Electrical Tools 1	pc	Pliers 10" 1	pc	Long Nose 10" 1	pc	Cutter Pliers 1	pc	Flat screw </t>
  </si>
  <si>
    <t xml:space="preserve"> Procurement of Various ICT Supplies, Consumables, and Software</t>
  </si>
  <si>
    <t xml:space="preserve"> The City Government of Koronadal, through its Bids and Awards Committee (BAC) will undertake a Negotiated Procurement – Small Value Procurement for the “ 1 LOT SUPPLY, DELIVERY &amp; INSTALLATION OF 2 UNITS AIR CON USE FOR RECORDING AND MEDIA PRODUCTION FACIL</t>
  </si>
  <si>
    <t xml:space="preserve"> Fabrication of Vacuum cylinders, fryer       75,000.00        2 unit/s  Fabrication of water-jet ejectors                  7,500.00        4 unit/s Please see attached Request for Quotation (RFQ).</t>
  </si>
  <si>
    <t xml:space="preserve"> The City Government of Koronadal, through its Bids and Awards Committee (BAC) will undertake a Negotiated Procurement – Small Value Procurement for the “ 300 STUBS CITATION TICKETS FOR USE IN SUPPORT TO CTO OPERATIONS “ in accordance with  Section 53.9 of</t>
  </si>
  <si>
    <t xml:space="preserve"> Supply &amp; Delivery of Materials and Equipment Rentals for use in the CONSTRUCTION OF LINE CANAL WITH COVER.</t>
  </si>
  <si>
    <t xml:space="preserve"> Procurement of Copier</t>
  </si>
  <si>
    <t xml:space="preserve"> Concreting of ARC Road, Brgy. Jibolo-Balanac-Aguingay-Danao and Calmay, JAniuay, Iloilo Item No.	DESCRIPTION	Qty.	Unit A.I.1(3)	Construction of Field Office	1.00	L.s. B.5	Project Billboard/Signboard (COA)	1.00	Each SPL 1	Mobilization/Demobilization	1.00	L</t>
  </si>
  <si>
    <t xml:space="preserve"> The City Government of Koronadal, through its Bids and Awards Committee (BAC) will undertake a Negotiated Procurement – Small Value Procurement for the “ VARIOUS ACCOUNTABLE FORMS FOR TREASURY OPERATIONS “ in accordance with  Section 53.9 of the 2016 Impl</t>
  </si>
  <si>
    <t xml:space="preserve"> Republic of the Philippines Province of Iloilo  Municipality of Pototan BIDS AND AWARDS COMMITTEE INVITATION TO BID 1.	The Municipality of Pototan, through the Gen Fund‘‘ intends to apply the sum of (200,000.00) being the Approved Budget for the Contract </t>
  </si>
  <si>
    <t xml:space="preserve"> Republic of the Philippines Province of Albay Municipality of Sto. Domingo Bids and Awards Committee Request for Quotation: 08-01-2020 	The LGU- Sto. Domingo, Albay through its Bids and Awards Committee (BAC) invites Suppliers/Manufacturer/Distributors fo</t>
  </si>
  <si>
    <t xml:space="preserve"> RESOLUTION ON PRIOR APPROVAL NO. 07-111                   Series of 2020 		 RESOLUTION RECOMMENDING THE USE OF ALTERNATIVE METHOD OF PROCUREMENT FOR  THE ACQUISITION OF GOODS AND SERVICES WHEREAS, the Human Resource Management Department submitted Purchas</t>
  </si>
  <si>
    <t xml:space="preserve"> Brief Description of the Project					 Quantity	Unit	Item Description			 1	unit	Pick-up (for conversion into a rescue vehicle 			 		   equipped with the necessary equipment &amp; 			 		   apparatus)			 		Specifications:			 		   - engine displacement not exceed</t>
  </si>
  <si>
    <t xml:space="preserve"> WHEREAS, various departments/offices submitted Purchase Requests with the following details: PR No. Project Title ABC Department/ Office GF-20-03-00589 Tires and Batteries P 77,360.00 City Legal Department WHEREAS, Section 48 of RA 9184 states among other</t>
  </si>
  <si>
    <t xml:space="preserve"> Invitation to Bid Procurement of ICT Equipment and Accessories 		 1.	The Department of Environment and Natural Resources (DENR), CALABARZON Region , through the General Appropriations Acts of  2020 intends to apply the sum of One Million One Hundred Forty</t>
  </si>
  <si>
    <t xml:space="preserve"> Please see attached Program of Works (Bill of Quantities and Detail Cost Estimate)</t>
  </si>
  <si>
    <t xml:space="preserve"> PROCUREMENT TERMS &amp; CONDITIONS					 1	The Total Approved Budget for the Contract (ABC) is Php 26,300.00.				 2	Price quotation should be inclusive of tax obligations.				 3	Delivery period is 10 calendar days from the receipt of NOA &amp; PO.				 4	If awarded</t>
  </si>
  <si>
    <t xml:space="preserve"> Please send quotation to apecozone@gmail.com 4	pcs	24 Volts DC Battery for 625KVA Genset 4	pcs	12 Volts Dc Battery 100 KVA Genset 10	pcs	Battery Terminal Lug</t>
  </si>
  <si>
    <t xml:space="preserve"> Brief Description of the Project		 Quantity	Unit	Item Description 		Medicines 12	boxes	Paracetamol 500mg tablet 8	boxes	Metroprolol 500mg tablet 40	tablets	Diltiazen 30mg tablet 30	tablets	Isosorbide Dinitrate 5mg tablet 20	ampules	Epinephrine 1mg/ml ampu</t>
  </si>
  <si>
    <t xml:space="preserve"> Republic of the Philippines Province of Iloilo  Municipality of Pototan BIDS AND AWARDS COMMITTEE INVITATION TO BID 1.	The Municipality of Pototan, through the SEF Fund‘‘ intends to apply the sum of (1,065,000.00) being the Approved Budget for the Contrac</t>
  </si>
  <si>
    <t xml:space="preserve"> Rehabilitation of Flat Bed Dryer, Brgy. Caraudan, Janiuay, Iloilo ITEM NO.	ITEM &amp; DESCRIPTION						QTY I  	Labor for Rehabilitation of Flat Bed Dryer						1 lot II	Minor Tools						1 lot III	Materials						 	Fire Bricks, SK 32						550 pcs. 	Bricks Mortar</t>
  </si>
  <si>
    <t xml:space="preserve"> Qty.	UNIT	ITEM AND DESCRIPTION					APPROVED BUDGET COST	 							UNIT PRICE	TOTAL 1	unit	Photocopier       					58,150.00	 58,150.00  		 TASKalfa 1800/1801: Up to 18/8 ppm A4/A3                						 		Resolution: 600x600 dpi 256 grayscales (scan/copy)  		</t>
  </si>
  <si>
    <t xml:space="preserve"> The City Government of Koronadal, through its Bids and Awards Committee (BAC) will undertake a Negotiated Procurement – Small Value Procurement for the “ MATERIALS USED FOR THE IMPROVEMENT OF MULTI PURPOSE BUILDING AT LOWER ACUB, BRGY. SAN ISIDRO, CITY OF</t>
  </si>
  <si>
    <t xml:space="preserve"> 1. The Local Government Unit of Amulung, Cagayan through the Solid Waste Management (20% Development Fund 2015 &amp; 2016) 20% Development Fund 2015-325,325.00, 20% Development Fund 2016-635,751.68 intends to apply the sum of Php 960,769.97 being the Approved</t>
  </si>
  <si>
    <t xml:space="preserve"> Supply &amp; Delivery of Computer Equipment for use of Various Elementary Schools of District of Janiuay I, Janiuay, Iloilo ITEM NO.	ITEM &amp; DESCRIPTION						QTY 1	Ink Jet Printer with Wifi ADF (ink Tank)						2 units 2	Desktop Computer						14 units 	AMD Athl</t>
  </si>
  <si>
    <t xml:space="preserve"> The schedules of BAC activities are as follows:                 BAC Activities	                                                                      Schedule 1. Issuance of Eligibility Documents	                                         August 04-September</t>
  </si>
  <si>
    <t xml:space="preserve"> 1.	The Provincial Government of Antique, through the 20% IRA-CY 2020 (Social Development Sector) intends to apply the sum Nine Hundred Sixty Eight Thousand One Hundred Ninety Five Pesos &amp; 20/100 (Php 968, 195.20) being the Approved Budget for the Contract</t>
  </si>
  <si>
    <t xml:space="preserve"> Supplies to be purchase</t>
  </si>
  <si>
    <t xml:space="preserve"> Brief Description of the Project		 Quantity	Unit	Item Description 500	kits	Rapid Antibody Test Kits</t>
  </si>
  <si>
    <t xml:space="preserve"> Qty.	UNIT	ITEM AND DESCRIPTION					APPROVED BUDGET COST	 								 3	unit	Laminating Machine  					5,520.00	 16,560.00  		DRIVING MOTOR: AC geared motor HEATING SYSTEM: 						 		Isinglass heating, A4-230 C, 600 mm speed  						 								 3	unit	SMART TV 32"</t>
  </si>
  <si>
    <t xml:space="preserve"> Qty.	UNIT	ITEM AND DESCRIPTION					APPROVED BUDGET COST	 								 1	set	Sound System  					50,467.00	 50,467.00  		800 watts speaker/1,400 watts 						 		amplifier, mixer 8 channel, wireless 						 		mic, 6 pcs speak-on, 1 roll speaker wire M400    						</t>
  </si>
  <si>
    <t xml:space="preserve"> Qty.	UNIT	ITEM AND DESCRIPTION					APPROVED BUDGET COST	 								 7	unit	Smart TV 32" w/ REMOTE CONTROL  					11,250.00	 78,750.00  								 1	unit	Camera               					9,007.00	 9,007.00  		 Digital Camera Auto Zoom Easy  						 		Auto Date Stamp   </t>
  </si>
  <si>
    <t xml:space="preserve"> Please see attached file.</t>
  </si>
  <si>
    <t xml:space="preserve"> Various Drugs and Medicines &amp; Laboratory Equipments /Supplies</t>
  </si>
  <si>
    <t xml:space="preserve"> INVITATION TO BID (2020-07-04) The Department of Justice (DOJ), through the Bids and Awards Committee (BAC) is inviting interested parties to bid for the following projects:                                                                                Pr</t>
  </si>
  <si>
    <t xml:space="preserve"> WHEREAS, various departments/offices submitted Purchase Requests with the following details: PR No.	Project Title	ABC	Department/ Office GF-20-02-00394	CONFERENCE TABLE AND OTHERS	P 387,192.00	Housing, Community Development and Resettlement Department WHE</t>
  </si>
  <si>
    <t xml:space="preserve"> Republic of the Philippines Department of Environment and Natural Resources ENVIRONMENTAL MANAGEMENT BUREAU National Capital Region National Ecology Center Compound, East Ave., Diliman, Quezon City Tel. Nos.: 9311331 Email : emb.bacsec.ncr@gmail.com      </t>
  </si>
  <si>
    <t xml:space="preserve"> DepEd, Division of Sorsogon										 Standard Form Number: SF-GOOD-60										 Revised on: May 24, 2004										 REQUEST FOR QUOTATION										 										 						Date:		August 3, 2020		 						Quotation No.:		20-07-109-______		 										 										 			</t>
  </si>
  <si>
    <t xml:space="preserve"> Other Supplies  and Materials</t>
  </si>
  <si>
    <t xml:space="preserve"> Please see attached docs.</t>
  </si>
  <si>
    <t xml:space="preserve"> Qty.	UNIT	ITEM AND DESCRIPTION					APPROVED BUDGET COST	 								 1	unit	Smart TV 32"    					11,250.00	 11,250.00  		Flat screen W/ REMOTE CONTROL     						 								 								 4	unit 	Smart TV 43"             					18,005.00	 72,020.00  		W/ REMOTE CONTRO</t>
  </si>
  <si>
    <t xml:space="preserve"> Qty.	UNIT	ITEM AND DESCRIPTION					APPROVED BUDGET COST	 								 4	unit	Smart TV 43"   W/ REMOTE CONTROL               					18,095.00	 72,380.00  								 1	unit	Gas Range               					15,445.00	 15,445.00  		with Cooking Range, Gas Burners, Gas Ov</t>
  </si>
  <si>
    <t xml:space="preserve"> Steel Bar, Steel Post, Heavy Duty Wheel, Cement, Sand, Gravel and Barrel Lock</t>
  </si>
  <si>
    <t xml:space="preserve"> Improvement of Covered Court ABC: Php 468,342.00 I. EXCAVATION II. CONCRETE WORKS (FLOORING) III. CONCRETE OPEN LINE CANAL (0.30 X 0.30 X 48M) IV. GRAND STAND (0.40 X 0.50M) V. TWO(2) UNIT BASKETBALL GOAL  	    INVITATION TO APPLY FOR ELIGIBILITY AND TO B</t>
  </si>
  <si>
    <t xml:space="preserve"> Qty.	UNIT	ITEM AND DESCRIPTION					APPROVED BUDGET COST	 							UNIT PRICE	TOTAL 2	pcs	Smart Led 55" TV Flat Screen					32,645.00	 65,290.00  								 1	set	Dining Table and 8 Seaters w/ Chairs - glass top, metal, frame					29,600.00	 29,600.00  								 </t>
  </si>
  <si>
    <t xml:space="preserve"> 1.	The Provincial Government of Antique, through the 20% IRA-CY 2020 (Environmental Development Sector) intends to apply the sum One Million Nine Hundred Fifty One Thousand Six Hundred Ninety Three Pesos &amp; 72/100 (Php 1, 951, 693.72) being the Approved Bu</t>
  </si>
  <si>
    <t xml:space="preserve"> INVITATION TO BID (2020-07-04) The Department of Justice (DOJ), through the Bids and Awards Committee (BAC) is inviting interested parties to bid for the following projects:                                                                    Project			:	Pu</t>
  </si>
  <si>
    <t xml:space="preserve"> Supply  &amp; Delivery of Construction Materials for the Fabrication &amp; Installation of 15 Units Permenent Early Warning Signages ITEM NO.	ITEM &amp; DESCRIPTION						QTY 1	G.I. Plain Sheet 2mmx 4’x 8’						5 sheets 2	G.I. Pipe 2”Ø x S-40						14 length 3	Stainles</t>
  </si>
  <si>
    <t xml:space="preserve"> Portable PA Chainsaw Spine Board Hard Head Hat Neck Collar Microphone</t>
  </si>
  <si>
    <t xml:space="preserve"> Procurement of Conference Table and Steel Cabinets</t>
  </si>
  <si>
    <t xml:space="preserve"> Procurement of Audio Visual Equipment</t>
  </si>
  <si>
    <t xml:space="preserve"> WHEREAS, various departments/offices submitted Purchase Requests with the following details: PR No.	Project Title	ABC	Department/ Office GF-20-03-00584	CONFERENCE CHAIRS	P 50,741.60	Office of the City Administrator WHEREAS, Section 48 of RA 9184 states am</t>
  </si>
  <si>
    <t xml:space="preserve"> Republic of the Philippines Province of Davao Oriental CITY OF MATI REQUEST FOR QUOTATION 			 Date:	30 JULY 2020 RFQ No.:	1026-2020 Name of Company: __________________________________________________________________________________________________________</t>
  </si>
  <si>
    <t xml:space="preserve"> Please see the BAC Secretariat</t>
  </si>
  <si>
    <t xml:space="preserve"> Qty.	UNIT	ITEM AND DESCRIPTION					APPROVED BUDGET COST	 								 3	unit	Led TV 32"               					8,550.00	 25,650.00  		W/ REMOTE CONTROL    						 								 5	unit	Printer            					5,995.00	 29,975.00  		PRINT RESOLUTION: Up to 720x720 dpi, 8</t>
  </si>
  <si>
    <t xml:space="preserve"> Retractable Tent (3x6), Installation of Signages</t>
  </si>
  <si>
    <t xml:space="preserve"> Qty.	UNIT	ITEM AND DESCRIPTION					APPROVED BUDGET COST	 								 								 4	pcs	Laptop          					27,990.00	 111,960.00  		1 TB 4G Ram Core I-3						 								 								 								 								 								 								 								 								 								 							TOTAL	 111,96</t>
  </si>
  <si>
    <t xml:space="preserve"> 1. The Local Government Unit of Amulung, Cagayan through the Repair &amp; Maintenance of Municipal Building Fund intends to apply the sum of Php 256,356.10 being the Approved Budget for the Contract (ABC) to payments under the contract for Repair &amp; Improvemen</t>
  </si>
  <si>
    <t xml:space="preserve"> Qty.	UNIT	ITEM AND DESCRIPTION					APPROVED BUDGET COST	 								 3	pcs	Printer                      					9,063.00	 27,189.00  		PRINT RESOLUTION: Up to 						 		5760x1440 dpi, 33/15 ppm print, 						 		10.0/5.0 ppm print, 600 x 1200 dpi scan						 						</t>
  </si>
  <si>
    <t xml:space="preserve"> Office supplies and consumables</t>
  </si>
  <si>
    <t xml:space="preserve"> EXPANDING BROWN ENVELOPE, LONG, THICK RECORD BOOK, 300 PP RECORD BOOK, 500 PP INDEX CARD 1/4 INDEX CARD 1/8 TAPE DISPENSER, H.D. DOUBLE ADHESIVE TAPE POST IT, ASSORTED GELL PEN, 05. BLACK</t>
  </si>
  <si>
    <t xml:space="preserve"> Qty.	UNIT	ITEM AND DESCRIPTION					APPROVED BUDGET COST	 								 4	pcs	Printer        					17,550.00	 70,200.00  		Compact integrated tank design    						 		High yield ink bottles, Spill-free, error-free refilling                     						 		Print scan</t>
  </si>
  <si>
    <t xml:space="preserve"> Procurement of Pre-Paid Cell Cards as follows: 1. 210 pcs. Globe Cell Card @ 300 2. 6 pcs. Globe Cell Card @ 500 Note: For the official use of DAR-Negros Occidental 1 for the month of July to September, 2020. xxxxx Nothing Follows xxxxx TERMS AND CONDITIO</t>
  </si>
  <si>
    <t xml:space="preserve"> Purpose: Printing of Workbooks, Worksheets, manual and other Instructional Materials  Specs:  -Fully automatic one-drum stencil system -High performance, highs speed printing -Smart Paper feed -Fully-automatic -several editing functions -Can print a minim</t>
  </si>
  <si>
    <t xml:space="preserve"> Qty.	UNIT	ITEM AND DESCRIPTION					APPROVED BUDGET COST	 								 2	pc.	Microphone - (wired)					866.00	 1,732.00  		Power: DC 12-16V              						 1	unit	Amplifier (300 watts)  					7,760.00	 7,760.00  		300x2 USB/80 port, 2 channel, 						 		tone </t>
  </si>
  <si>
    <t xml:space="preserve"> Qty.	UNIT	ITEM AND DESCRIPTION					APPROVED BUDGET COST	 								 1	set	Sound system     					14,830.00	 14,830.00  		450 watts speaker/300 watts amplifier  						 2	pcs	Microphone         					866.00	 1,732.00  		Wired Power: DC 12-16V                   </t>
  </si>
  <si>
    <t xml:space="preserve"> ALCOHOL DISPENSER BATTERY OPERATED ALCOHOL DISPENSER MANNUAL ZONROX ALCOHOL 79% LIQUID HAND SOAP POWDER SOAP SURGICAL MASK LIQUID DISINFECTANT LYSOL DISINFECTANT</t>
  </si>
  <si>
    <t xml:space="preserve"> Qty.	UNIT	ITEM AND DESCRIPTION					APPROVED BUDGET COST	 								 2	unit	Airconditioning Unit 2 Hp          					27,750.00	 55,500.00  		window manual						 3	unit	Speaker 4"      					3,395.00	 10,185.00  		7.4V Battery w/ bluetooth w/ 						 		remote, F</t>
  </si>
  <si>
    <t xml:space="preserve"> EXPANDING PLASTIC, ENVELOPE WITH SNAP, LONG PRINTER 3 IN 1</t>
  </si>
  <si>
    <t xml:space="preserve"> Automatic Alcohol Dispenser Specifications: Discharge Method - Spray Type Material - ABS Engineering Plastic Color - White / Off White Installation Method - Stand Alone Operation Method - Infrared Motion Sensor Capacity - 1000ml Battery Operated To be use</t>
  </si>
  <si>
    <t xml:space="preserve"> 4th Level Training for 2020 Census of Population and (2020 CPH) - Boac Meals – August 10-14, 2020 (27 pax for 5 days) (1-PSA/1 CAS/1 AS/19 ENs/Reserve EN/2 Other Trainers)                        AM Snacks                        Lunch                      </t>
  </si>
  <si>
    <t xml:space="preserve"> RFQ NO. 20-07-097 - Procurement of Tires and Vehicle Parts for use of various service vehicles and heavy equipment.</t>
  </si>
  <si>
    <t xml:space="preserve"> Relocation Survey 491-D Lay out of Blockings Memorial Parks (10 blocks) Portion of Lot 491-D &amp; 491-E</t>
  </si>
  <si>
    <t xml:space="preserve"> Qty.	UNIT	ITEM AND DESCRIPTION					APPROVED BUDGET COST	 								 1	unit 	Electric Wall Fan        					1,650.00	 1,650.00  		16 inches, 60w 230V AC/60Hz 						 		405mm blade   						 1	unit	Audio Speaker                             					10,890.00	 10,890</t>
  </si>
  <si>
    <t xml:space="preserve"> REPAIR AND MAINTENANCE FOR HEALTH CENTER</t>
  </si>
  <si>
    <t xml:space="preserve"> Qty.	UNIT	ITEM AND DESCRIPTION					APPROVED BUDGET COST	 								 5	unit	Led TV 32"        					8,550.00	 42,750.00  		W/ REMOTE CONTROL      						 								 7	unit	Printer                 					5,995.00	 41,965.00  		PRINT RESOLUTION: Up to 720x720 dpi, 4</t>
  </si>
  <si>
    <t xml:space="preserve"> Brgy San Andres Alaminos Laguna Invitation to Bid for THE DELIVERY OF MEDICAL EQUIPMENT A 7 IN 1 HEALTH MONITORING DEVICE</t>
  </si>
  <si>
    <t xml:space="preserve"> Qty.	UNIT	ITEM AND DESCRIPTION					APPROVED BUDGET COST	 								 								 1	pc	Amplifier - 300 watts x 2 USB, SD 					8,360.00	 8,360.00  		port, 2 channel, tone control, built in 4" fan   						 								 1	pc	Videoke System                					32,030.00</t>
  </si>
  <si>
    <t xml:space="preserve"> INVITATION TO BID LGU-El Salvador City, Misamis Oriental through its BAC, invites interested bidders to apply for eligibility and if found eligible to bid for the contract: 1.	Contract ID No.	:	ITB No. 2020-08-076/Project ID No. 20-023-20% Name of Project</t>
  </si>
  <si>
    <t xml:space="preserve"> Lease of venue, including accommodation and meals for the Training Course on Open-Pollinated Variety (OPV) Corn Seed Production and Seed Certification for Seed Inspectors.	 	 Technical Specification:	 I. Availability	          a. Date: August 17-21, 2020	</t>
  </si>
  <si>
    <t xml:space="preserve"> INVITATION TO BID The Municipal Government of San Narciso, Quezon through its Bids and Award Committee (BAC), invites registered suppliers with DTI, Mayor’s Permit and PhilGEPS, if found eligible, to bid or the hereunder contract: Name of Contract : 	Supp</t>
  </si>
  <si>
    <t xml:space="preserve"> RFQ NO 20-07-091 - Purchase of Toner for use in the Photocopier Machine of Various Section for the 2nd &amp; 3rd Quarter</t>
  </si>
  <si>
    <t xml:space="preserve"> INVITATION TO BID LGU-El Salvador City, Misamis Oriental through its BAC, invites interested bidders to apply for eligibility and if found eligible to bid for the contract: 1.	Contract ID No.	:	ITB No. 2020-08-077/Project ID No. 20-043-SB#1-20% Name of Pr</t>
  </si>
  <si>
    <t xml:space="preserve"> Qty.	UNIT	ITEM AND DESCRIPTION					APPROVED BUDGET COST	 								 1	unit	Horizontal Water Tank (2,000L)          					27,180.00	 27,180.00  		(stainless)   						 								 1	unit	Water Pump 1 HP                     					11,310.00	 11,310.00  		100% wire c</t>
  </si>
  <si>
    <t xml:space="preserve"> REPUBLIC OF THE PHILIPPINES PROVINCE OF PANGASINAN MUNICIPALITY OF TAYUG BARANGAY POBLACION ‘A’ INVITATION TO BID  FOR  THE SUPPLY AND DELIVERY OF EQUIPMENT FOR E-LIBRARY OF BARANGAY POBLACION ‘A’, TAYUG, PANGASINAN 1.	The BARANGAY POBLACION ‘A’ – TAYUG P</t>
  </si>
  <si>
    <t xml:space="preserve"> Republic of the Philippines Province of Samar Municipality of Sta. Rita The Municipality of Sta. Rita, through Municipal Agriculture Office MOOE fund intends to apply the sum of SIX HUNDRED EIGHT THOUSAND FIVE HUNDRED PESOS (Php608,500.00) ONLY being the </t>
  </si>
  <si>
    <t xml:space="preserve"> Republic of the Philippines Province of Samar Municipality of Sta. Rita BIDS AND AWARDS COMMITTEE INVITATION TO BID The Municipality of Sta. Rita, through LGU funds intends to apply the sum of ONE HUNDRED FIFTY THOUSAND PESOS (Php150,000.00) only being th</t>
  </si>
  <si>
    <t xml:space="preserve"> PROC-RFQ-00 										 REPUBLIC OF THE PHILIPPINES										 PRESIDENTIAL BROADCAST STAFF-RTVM										 MALACANANG, MANILA										 										 REQUEST FOR QUOTATION										 TEL: 734-5681										 										 Name of Company							Approved Budget for t</t>
  </si>
  <si>
    <t xml:space="preserve"> Construction of Concrete water tank</t>
  </si>
  <si>
    <t xml:space="preserve"> 1 REGION XII Province of Cotabato Municipality of Midsayap BIDS &amp; AWARDS COMMITTEE Tel. Nos. (064) 229-8018; 229-8650; 229-8450 INVITATION TO BID FOR  2020-089, SUPPLY, DELIVERY AND INSTALLATION OF SOLAR STREET LIGHTS AT IDENTIFIED EVACUATION CENTERS  OF </t>
  </si>
  <si>
    <t xml:space="preserve"> 1 REGION XII Province of Cotabato Municipality of Midsayap BIDS &amp; AWARDS COMMITTEE Tel. Nos. (064) 229-8018; 229-8650; 229-8450 INVITATION TO BID FOR  2020-085, SUPPLY AND DELIVERY OF I.T. AND OFFICE SUPPLIES FOR VARIOUS SCHOOLS OF MIDSAYAP, COTABATO 1. T</t>
  </si>
  <si>
    <t xml:space="preserve"> Semi Expendable - ICT Equipment - 27,240 Office Supplies - ICT - 9,000 Office Supplies Expense - 102,600 Telephone Expense - Mobile Cell Cards - 3,000</t>
  </si>
  <si>
    <t xml:space="preserve"> 1. 8 kilo CW Nails 1" 2. 6 kilo CW Nails 2" 3. 18 kilo CW Nails 3" 4. 2 kilo CW Nails 4" 5. 1 kilo CW Nails 5" 6. 4 cans Acri Color 7. 86 bags Cement 8. 75 sheet Corrugated G.I Roofing 10ft,0.5mm 9. 45 sheet Corrugated G.I Roofing 12ft, 0.5mm 10. 31 sheet</t>
  </si>
  <si>
    <t xml:space="preserve"> INVITATION TO BID FOR THE PROCUREMENT PROJECT: REPRODUCTION AND DOOR TO DOOR DELIVERY TO SCHOOLS DIVISION OFFICES OF REGION VII OF SELF-LEARNING MODULES PROVIDED BY THE DEPED CENTRAL OFFICE FOR QUARTER I 1.	The Department of Education- Region VII, through</t>
  </si>
  <si>
    <t xml:space="preserve"> 1 REGION XII Province of Cotabato Municipality of Midsayap BIDS &amp; AWARDS COMMITTEE Tel. Nos. (064) 229-8018; 229-8650; 229-8450 INVITATION TO BID FOR  2020-084, SUPPLY AND DELIVERY OF I.T. EQUIPMENTS FOR VARIOUS SCHOOLS OF MIDSAYAP, COTABATO 1. The MUNICI</t>
  </si>
  <si>
    <t xml:space="preserve"> Rehabilitation of brgy. road</t>
  </si>
  <si>
    <t xml:space="preserve"> Republic of the Philippines Province of Davao Oriental CITY OF MATI REQUEST FOR QUOTATION 			 Date:	30 JULY 2020 RFQ No.:	1040-2020 Name of Company: __________________________________________________________________________________________________________</t>
  </si>
  <si>
    <t xml:space="preserve"> Galva Plainsheet 16  1 piece BS 223 Epoxy Primer Primer Gray  1 gallon  Cement  3 bag Sand  4 bag Paint Brush 2  2 piece Cutting Disc  5 piece Plain Sheet #18  2 piece Bolt with Nut Washer 1 1/2x10mm  16 piece Sandwash  30 bag Bolt with Nut Washer 6mm x 2</t>
  </si>
  <si>
    <t xml:space="preserve"> Concreting of Pathway</t>
  </si>
  <si>
    <t xml:space="preserve"> REGION XII Province of Cotabato Municipality of Midsayap BIDS &amp; AWARDS COMMITTEE Tel. Nos. (064) 229-8018; 229-8650; 229-8450 INVITATION TO BID FOR  2020-094, CONSTRUCTION OF DISTRIBUTION LINE AT UPPER GLAD 2 RESETTLEMENT PROJECT  PHASE 1 AT UPPER GLAD 2,</t>
  </si>
  <si>
    <t xml:space="preserve"> Unit 	Item Description	Quantity 		 pc	Marine Plywood 3/4 x 4x8	13 pc	1/2 x x 1 1/2 lumber	20 gal	Stickwell	1     pc	roller brush	1     pc	paint brush #2	2 kg	Finishing Nails	3 kg	Concrete Nails	2 gal	Flatwall Enamel	1 ft	Pinao Hinges	4 pc	Door Handle	2</t>
  </si>
  <si>
    <t xml:space="preserve"> Republic of the Philippines Province of Davao Oriental CITY OF MATI REQUEST FOR QUOTATION 			 Date:	30 JULY 2020 RFQ No.:	1044-2020 Name of Company: __________________________________________________________________________________________________________</t>
  </si>
  <si>
    <t xml:space="preserve"> Invitation to Bid for the Supply and Delivery of Hygiene Supplies K to Grade 6 Learners for SHDP The Department of Education, Regional Office V, through General Appropriations Act FY 2020 and 2020 Regional Office Funds, intends to apply the sum of Thirty </t>
  </si>
  <si>
    <t xml:space="preserve"> REGION XII Province of Cotabato Municipality of Midsayap BIDS &amp; AWARDS COMMITTEE Tel. Nos. (064) 229-8018; 229-8650; 229-8450 INVITATION TO BID FOR  2020-092, CONCRETING OF ROAD FROM OLD SLAUGHTERHOUSE TO DAY CARE CENTER AT  POBLACION 1, MIDSAYAP, COTABAT</t>
  </si>
  <si>
    <t xml:space="preserve"> INVITATION TO BID FOR  1.	The Municipal Government of Coron, Palawan, through the 2020 Annual Municipal Budget intends to apply the sum of Nine Million Nine Hundred Ninety Six Thousand  Pesos (PhP9,996,000.00) being the Approved Budget for the Contract (A</t>
  </si>
  <si>
    <t xml:space="preserve"> INVITATION TO BID  Supply and Delivery of 726 bags of Rice for Distribution to DA RFO 5 Permanent Employees ( for January to March 2020) under 2020 STO-FPMA and STO- O&amp;M of ILD 	The Department of Agriculture Regional Field Office No. 5, through the Genera</t>
  </si>
  <si>
    <t xml:space="preserve"> The Barangay Government of Barangay Malibayo, Batangas City intends to apply the sum of Two Hundred Thirty Four Thousand Pesos (P 234,000.00) broken down as follow: ITEM Brief Description SUB-ABC Lot 1 Purchase of Various Office Equipment and Other Suppli</t>
  </si>
  <si>
    <t xml:space="preserve"> Republic of the Philippines Province of Davao Oriental CITY OF MATI REQUEST FOR QUOTATION 			 Date:	30 JULY 2020 RFQ No.:	1035-2020 Name of Company: __________________________________________________________________________________________________________</t>
  </si>
  <si>
    <t xml:space="preserve"> Lot D - Medical supply</t>
  </si>
  <si>
    <t xml:space="preserve"> Republic of the Philippines Province of Davao Oriental CITY OF MATI REQUEST FOR QUOTATION 			 Date:	30 JULY 2020 RFQ No.:	1032-2020 Name of Company: __________________________________________________________________________________________________________</t>
  </si>
  <si>
    <t xml:space="preserve"> Barangay Ususan through its Bid and Awards Committee (BAC) invites Contractors to bid for the hereunder project: Bidding will be conducted through open competitive bidding procedures using a non-discretionary "pass/fail" criteria as specified in Republic </t>
  </si>
  <si>
    <t xml:space="preserve"> INVITATION TO BID FOR: LOT 1 – SUPPLY AND DELIVERY to Schools of Substance 20, A4 Bond Paper for the Reproduction of Learning Modules for the Implementation of the Basic Education – Learning Continuity Plan (BE-LCP) to the Public Schools of DepEd Naga Cit</t>
  </si>
  <si>
    <t xml:space="preserve"> INVITATION TO BID Supply and Delivery of Various Toners and Inks with Free Use of Service Printers for Central and Eastern Visayas  (Re-bidding) The Pag-IBIG Fund Technical and Administrative Support for Central and Eastern Visayas (TAS-CEV), through its </t>
  </si>
  <si>
    <t xml:space="preserve"> INVITATION TO BID FOR THE PURCHASE OF COMPUTERS AND COMPUTER PERIPHERALS/GOODS-2020-04 (RE-BIDDING) 1.	The Philippine Science High School - CALABARZON Region Campus (PSHS-CALABARZONRC), through the General Appropriations Act of 2020 intends to apply the s</t>
  </si>
  <si>
    <t xml:space="preserve"> MUNICIPALITY OF TABOGON				           				                                                          SUPPLY &amp; DELIVERY OF SUPPLIES &amp; MATERIALS                                                                                 FOR THE CONCRETE FENCING (FRONTAG</t>
  </si>
  <si>
    <t xml:space="preserve"> Republic of the Philippines Province of Davao Oriental CITY OF MATI REQUEST FOR QUOTATION 			 Date:	30 JULY 2020 RFQ No.:	1029-2020 Name of Company: __________________________________________________________________________________________________________</t>
  </si>
  <si>
    <t xml:space="preserve"> Republic of the Philippines Province of Davao Oriental CITY OF MATI REQUEST FOR QUOTATION 			 Date:	30 JULY 2020 RFQ No.:	1039-2020 Name of Company: __________________________________________________________________________________________________________</t>
  </si>
  <si>
    <t xml:space="preserve"> Please download the attached bidding document for more info about the activity. For further information, please refer to: Mrs. Maria Flora T. Pandes or Mrs. Herbie B. De Lemios  Department of Education-Schools Division Office Division of Camarines Norte F</t>
  </si>
  <si>
    <t xml:space="preserve"> Republic of the Philippines Province of Davao Oriental CITY OF MATI REQUEST FOR QUOTATION 			 Date:	30 JULY 2020 RFQ No.:	1037-2020 Name of Company: __________________________________________________________________________________________________________</t>
  </si>
  <si>
    <t xml:space="preserve"> INVITATION TO BID FOR  1.	The Municipal Government of Coron, Palawan, through the 2020 Annual Municipal Budget intends to apply the sum of Three Hundred Fifty Eight Thousand Nine Hundred Twenty Pesos (PhP358,920.00) being the Approved Budget for the Contr</t>
  </si>
  <si>
    <t xml:space="preserve"> Supply and Delivery of Fuels/Fuel Additives &amp; Lubricants &amp; Anti Corrosive for Opening of Barangay Road</t>
  </si>
  <si>
    <t xml:space="preserve"> Republic of the Philippines Province of Camarines Sur MUNICIPALITY OF NABUA Barangay Bustrac  INVITATION TO APPLY FOR ELIGIBILITY AND TO BID The Barangay Bustrac, Nabua, Camarines Sur, thru its Bids and Awards Committee (BAC), invites Suppliers/Distributo</t>
  </si>
  <si>
    <t xml:space="preserve"> This Addendum No. 1 dated 3 August 2020 is issued to clarify, modify or amend items in the Bid Documents.  This shall form an integral part of the Bid Documents. ISSUES	CLARIFICATION/AMENDMENTS Section VI. Schedule of Requirements L	Surigao K9 Team 1 Hand</t>
  </si>
  <si>
    <t xml:space="preserve"> 1	set	DESKTOP COMPUTER SPECIFICATIONS: OPERATING SOFTWARE: Windows 10 professional License 64-bit PROCESSOR: At most 3.0GHz, 4MB Cache, CHIPSET: Compatible to DDR4 RAM, MEMORY Slots: 2DIMM or better, MEMORY: At least 8GB DDR4, HARD DISK DRIVE: cd-rw/ dvd-</t>
  </si>
  <si>
    <t xml:space="preserve"> Republic of the Philippines Province of Camarines Sur MUNICIPALITY OF NABUA Barangay Sta. Lucia  INVITATION TO APPLY FOR ELIGIBILITY AND TO BID The Barangay Sta. Lucia, Nabua, Camarines Sur, thru its Bids and Awards Committee (BAC), invites Suppliers/Dist</t>
  </si>
  <si>
    <t xml:space="preserve"> REQUEST FOR QUOTATION (RFQ) TO ALL ELIGIBLE SUPPLIERS: Please quote your lowest price inclusive of VAT on the items listed below, subject to the terms and conditions of this Request for Quotation (RFQ). For details of said items and other important inform</t>
  </si>
  <si>
    <t xml:space="preserve"> INVITATION TO BID FOR: SUPPLY AND DELIVERY to Schools of Substance 20, A4 Bond Paper for the Reproduction of Learning Modules for the Implementation of the Basic Education – Learning Continuity Plan (BE-LCP) to all the Districts of Public Schools in DepEd</t>
  </si>
  <si>
    <t xml:space="preserve"> -Computer Set with complete accessories	 (Specs:  Ryzrn 5 2400g, msi b450, 8x2 16gb	 ram ddr4 2666mhz, 500w power supply, 	 case rakk, ssd 250gb, 1terra HD, 23.4	 nvision curve type, ios monitor, keyboard	 and mouse rgb); -Hard Drive 2TB;	 -Wireless Mouse</t>
  </si>
  <si>
    <t xml:space="preserve"> Republic of the Philippines								 Province of Benguet								 Municipality of Buguias								 BIDS AND AWARDS COMMITTEE								 								 			Purchase Request Number:				Date:	 			Name of the Project:				Quotation No:	 			Location of the Project:				OBR #</t>
  </si>
  <si>
    <t xml:space="preserve"> Republic of the Philippines Region X PROVINCE OF LANAO DEL NORTE Municipality of Linamon -oOo- BIDS AND AWARDS COMMITTEE (BAC) INVITATION TO BID FOR SUPPLY AND DELIVERY OF EDUCATIONAL SUPPLIES &amp; EQUIPMENT FOR THE DIFFERENT SCHOOLS IN THE MUNICIPALITY OF L</t>
  </si>
  <si>
    <t xml:space="preserve"> RFQ No. 20-07-087 - Purchase of Coring Bit for use of Quality Assurance Section</t>
  </si>
  <si>
    <t xml:space="preserve"> H E A D Q U A R T E R S								 108TH CONTRACTING OFFICE								 ARMED FORCES OF THE PHILIPPINES PROCUREMENT SERVICE								 Camp Lukban, Catbalogan City								 								 108COX						Date:	3-Aug-20	 								 REQUEST FOR QUOTATION								 								 SIR/MADA</t>
  </si>
  <si>
    <t xml:space="preserve"> Unit.    Item  Description. Quantity Pcs      Plywood 3/4 Nebraska.  13 Pcs      1/2 x1 x8 KD                       30 PCk      Stikwel                                 2 Kl.         CW Nail #1 1/2 fin.            1.5 Kl.         CW Nail #1 fin.           </t>
  </si>
  <si>
    <t xml:space="preserve"> PURCHASE OF SCHOOL FORMS AND OTHER SUPPLIES</t>
  </si>
  <si>
    <t xml:space="preserve"> Republic of the Philippines Province of South Cotabato Municipality of Banga BARANGAY RIZAL POBLACION Cellphone No. 09306645185 CONTACT PERSON: MARCELO M. TANDOG - BAC CHAIRMAN Invitation to Apply for Eligibility and to Bid The Barangay Rizal Pob. Banga, </t>
  </si>
  <si>
    <t xml:space="preserve"> 90	cu.m	rivermix 55	cu.m	1" coarse gravel covering</t>
  </si>
  <si>
    <t xml:space="preserve"> INVITATION TO BID: BID REF. NO.: 2020-24 “SUPPLY AND DELIVERY OF 500,000 PIECES AFRICAN CATFISH FINGERLINGS FOR DISTRIBUTION AS LIVELIHOOD ASSISTANCE FOR THE FISHERFOLKS AFFECTED BY COVID-19 PANDEMIC IN THE AREA OF MINDANAO.” 1.	The Bureau of Fisheries an</t>
  </si>
  <si>
    <t xml:space="preserve"> REQUEST FOR QUOTATION Supply and Delivery of Office Supplies for Various Offices in MinSCAT Calapan Campus The Mindoro State College of Agriculture and Technology (MinSCAT) through the Bids and Awards Committee invites interested firms/suppliers to submit</t>
  </si>
  <si>
    <t xml:space="preserve"> 12	pcs	Thermal Scanner (Digital, Non-Contact, Infrared 5	set	Sphygmomanometer Blood Pressure with double head slethoscope (Specs: Luminous gauge, Index and range markings on the dial for clear readings, Durable and stain resistant natural cotton fiber cuf</t>
  </si>
  <si>
    <t xml:space="preserve"> INVITATION TO BID FOR THE  PROCUREMENT OF PLASTIC PALLET  IB NO. 2020-232 1.	The Department of Health (DOH), through the General Appropriations Act of 2020 intends to apply the sum of Two Million Five Hundred Philippine Pesos (PhP2,500,000.00) being the A</t>
  </si>
  <si>
    <t xml:space="preserve"> 575	PCS	MUSHROOM FRUITING BAGS 300	PACKS	BANANA SPAWN 200	BOTTLES	OYSTER SPAWN</t>
  </si>
  <si>
    <t xml:space="preserve"> 1	1	Lot	Supply and Delivery of  I.T. Equipment 			Item Description: 	1	Unit	Printer, Inkjet, ADF, up to A3 size, Ink Tank System, with scanner (A3 size capable); plus additional consumables of four (4) sets of ink Print, Copy, Scan with ADF 400 x 2 nozzle</t>
  </si>
  <si>
    <t xml:space="preserve"> UNIT   ITEM DESCRIPTION    QUANTITY SETS LED FLOURESCENT TUBE 16WATTS 150 PCS ECOLUM LED BULB 13WATTS.  270 PCS ECOLUM LED BULB 11 WATTS  150 SETS  SAFETY BREAKER 30 A,200 V  1 SETS DOOR KNOB             6 SETS HINGES                      6 PCS FEMALE PLU</t>
  </si>
  <si>
    <t xml:space="preserve"> Specifications: Paper Size:      8.5" x 10.75" Paper Type:     Newsprint 48 gsm Class A Softbound .50₵ per page Delivery date: 4 days Grade Level	No. of Pages                        (All Subjects) Grade 7	             2156 Grade 8	             1353 Grade </t>
  </si>
  <si>
    <t xml:space="preserve"> UNIT    DESCRIPTION   QUANTITY Pcs.     TIRE 13X24          2</t>
  </si>
  <si>
    <t xml:space="preserve"> 3 WIRE # 12 6 PCS BALL INSULATOR 5 ELECTRICAL TAPE BIG 50 PCS BULB 15 WATTS 2 GE 100 AMP 2 GE 20 AMP 2  HEAVY DUTY PLUG 50 PCS BULB LED</t>
  </si>
  <si>
    <t xml:space="preserve"> 1.	The LGU-Mallig, Isabela, through the Tobacco Excise Tax 2016 intends to apply the sum of Eight Hundred Eighteen Thousand Eight Hundred Thirty-Seven Pesos &amp; 56/100 Only (Php 818,837.56) being the Approved Budget for the Contract (ABC) to payments under </t>
  </si>
  <si>
    <t xml:space="preserve"> 1.	The LGU-Mallig, Isabela, through the Tobacco Excise Tax 2016 intends to apply the sum of Three Million Six Hundred Ninety-Seven Thousand Twenty-Five Pesos &amp; 61/100 Only (Php 3,697,025.61) being the Approved Budget for the Contract (ABC) to payments und</t>
  </si>
  <si>
    <t xml:space="preserve"> Item No.:	Description	Quantity	Unit 			 1	General Requirements	1	Lot 2	General Works	1	Lot 3	Installation of Electric Water Pump and Its Water Pipelines	1	lot</t>
  </si>
  <si>
    <t xml:space="preserve"> ITEM NO.	UNIT		QTY		DESCRIPTION		 							 1	 pcs 		40		Raincoat		 2	 pcs 		40		 Rainboots 		 3	 pcs 		30		 Flash Light Heavy Duty 		 4	 unit 		2		 Steel Cabinet 		 5	 unit 		1		 Printer All in One 		 							 REQUEST FOR QUOTATION							 Date of Posting:	A</t>
  </si>
  <si>
    <t xml:space="preserve"> ITEM NO.	UNIT		QTY		DESCRIPTION		 							 1	 unit 		4		Hand Dryer		 2	 unit 		4		 Hand Soap Dispenser 		 REQUEST FOR QUOTATION							 Date of Posting:	August 03, 2020					Ref. No.	RN 190-2020 RFQ 						PR No.	0 							 The Municipality of Sablayan, throug</t>
  </si>
  <si>
    <t xml:space="preserve"> Republic of the Philippines City of Iriga Main City Hall Building, Sta. Cruz Sur Telefax No. (054) 299-1933 OFFICE OF THE BIDS AND AWARDS COMMITTEE   INVITATION TO BID The City of Iriga, through its Bids and Awards Committee (BAC) hereby invites all inter</t>
  </si>
  <si>
    <t xml:space="preserve"> 1.	The LGU-Mallig, Isabela, through the Trust Fund from the Provincial Government of Isabela intends to apply the sum of Twenty Million Pesos Only (Php 20,000,000.00) being the Approved Budget for the Contract (ABC) to payments under the contract for LGU-</t>
  </si>
  <si>
    <t xml:space="preserve"> Disinfection Services</t>
  </si>
  <si>
    <t xml:space="preserve"> This project is dealing of Brgy. Magallanes, Lopez, Quezon</t>
  </si>
  <si>
    <t xml:space="preserve"> Provide Fuel, Oil, Lubricants and Complete Servicing for DA RP Vehicles for the period of August to December 2020 9,160 liters Fuel (Diesel Octane No. 93)  P458,000.00 Conditions: 1. Biddder must submit a detailed price computation (cost breakdown) with t</t>
  </si>
  <si>
    <t xml:space="preserve"> Supply and Delivery of Construction Materials and Supplies for Concreting of Barangay Road</t>
  </si>
  <si>
    <t xml:space="preserve"> ITEM NO.	UNIT		QTY		DESCRIPTION		 							 1	 pack 		15		Nescafe 100grams		 2	 pack 		15		 Coffeemate 170grams 		 3	 bag 		100		 Cupcakes, 10pcs/bag 		 4	 pc 		4727		 3 in 1 Coffee (Kopiko Blanca Twin pack) 		 5	 pack 		75		 Biscuit (10pcs/pack) 		 6	 box </t>
  </si>
  <si>
    <t xml:space="preserve"> ITEM NO.	UNIT		QTY		DESCRIPTION		 							 					ELF #2		 1	 pc 		1		 Bearing (Front) 		 2	 pcs 		2		 Electric Tape 		 					 ROAD GRADER 		 3	 box 		1		 Cutting Disc 		 4	 pcs 		4		 Grinding Disc Stone 		 					 PAYLOADER W-400 		 5	 pcs 		2		 Battery 4D 		 </t>
  </si>
  <si>
    <t xml:space="preserve"> 1 unit Uninterupted power source (UPS) 10 pc Cannon 790 (blk) 10 pc Cannon 790 (C) 10 pc Cannon 790 (M) 10 pc Cannon 790 (Y) 5 ream Paper,bond, premium grade,8.5inch x 14 inch(legal),70gsm 10 ream Paper, bond,Premium Grade,8.3 inch x 11.7 inch (A4),70gsm </t>
  </si>
  <si>
    <t xml:space="preserve"> INVITATION TO BID Project Name:	Water System (Drilling, Replacement/Installation of Jetmatic Pump) Name of Bidder:	 Address :	 ITB Number:	Dawan - 01-20 ABC	P 100,000.00 Project Duration	9 Calendar Days Please quote your lowest price on the item/s listed </t>
  </si>
  <si>
    <t xml:space="preserve"> 140 units of Laptop and LTE Modem.</t>
  </si>
  <si>
    <t xml:space="preserve"> ITEM NO.	UNIT		QTY		DESCRIPTION		 							 					Isuzu Sportivo (DA)		 1	 pcs 		4		 Tire 235/70 R15 		 					 Isuzu D'max (MEO) 		 2	 pcs 		4		 Tire 235/75 R15 		 					 Nissan Urvan (MO) 		 3	 pcs 		4		 Tire 195 R15 		 REQUEST FOR QUOTATION							 Date of Po</t>
  </si>
  <si>
    <t xml:space="preserve"> 6 pc Alcohol, 70%, ethyl, 500ml 3 pack Tissue,12 rolls per pack 5 box Examination gloves, 100pcs/box 2 pc Digital Weighing scale 200g/0.01g 5 box Surgical mask, 50pcs per box 5 box Surgical scissor,6 inches, stainless steel (pointed) 5 pack Ziplock Reseal</t>
  </si>
  <si>
    <t xml:space="preserve"> INVITATION TO BID FOR THE PROCUREMENT OF MATERIALS FOR THE CONSTRUCTION OF EVACUATION CENTER (COVERED GYM)OF BARANGAY BAGUMBAYAN, TIGBAUAN, ILOILO</t>
  </si>
  <si>
    <t xml:space="preserve"> *Bids received in excess of the ABC shall be automatically rejected at bid opening. 2. The City Government through the Bids and Awards Committee (BAC) hereby invites all interested PhilGEPS registered contractors, and bidders to submit proposals and bids </t>
  </si>
  <si>
    <t xml:space="preserve"> INVITATION TO BID FOR THE PROCUREMENT OF PERISHABLE ITEMS FOR BANGUN IMPLEMENTATION IN SULU PROVINCE The Department of Social Welfare and Development (DSWD) Field Office IX through the Government of the Philippines General Appropriations Act of 2020 inten</t>
  </si>
  <si>
    <t xml:space="preserve"> Republic of the Philippines City of Iriga Main City Hall Bldg., Sta Cruz Sur Telefax No. (054) 299-1933 OFFICE OF THE BIDS AND AWARDS COMMITTEE REQUEST FOR QUOTATION 1. The Local Government of Iriga City is inviting duly licensed supplier/distributor to s</t>
  </si>
  <si>
    <t xml:space="preserve"> Fabrication of Turn-out Steelgate including materials,	 		painting and Labor,	 4	Units 	Ht. = 0.70m. x Width 0.42m.	 15 	Units 	Ht. = 0.70m. x Width 0.30m.	 		           (AS PER DRAWING)</t>
  </si>
  <si>
    <t xml:space="preserve"> INVITATION TO BID FOR THE PROCUREMENT OF MATERIALS FOR THE CONSTRUCTION OF MULTI-PURPOSE HALL OF BARANGAY 9 POBLACION, TIGBAUAN, ILOILO</t>
  </si>
  <si>
    <t xml:space="preserve"> Republic of the Philippines									 Province of Benguet									 Municipality of Buguias									 BIDS AND AWARDS COMMITTEE									 									 			Purchase Request Number:				Date:		 			Name of the Project:				Quotation No:		 			Location of the Project:		</t>
  </si>
  <si>
    <t xml:space="preserve"> 3rd Quarter MOOE Cash Advance</t>
  </si>
  <si>
    <t xml:space="preserve"> 1. The ENERGY REGULATORY COMMISSION (ERC), through the Government of the Philippines (GOP), intends to apply the sum of Four Million Three Hundred Eighty-One Thousand Six Hundred Sixty-Six Pesos and Sixty-Seven Centavos (PhP4,381,666.67), inclusive of all</t>
  </si>
  <si>
    <t xml:space="preserve"> 1 UNIT ROAD GRADER @1DAY 1 UNIT ROAD ROLLER @ 2 DAYS 124 CU.M SELECTED COMMON BORROW/CLAY 5 LOADS MIXED AGGREGATES</t>
  </si>
  <si>
    <t xml:space="preserve"> SUPPLY AND DELIVERY OF CHEMICALS FOR INSECTICIDES AND DISINFECTANTS Municipal Health Office Balayan, Batangas</t>
  </si>
  <si>
    <t xml:space="preserve"> Item No.:	Description	Quantity	Unit 			 1	General Requirements	1	Lot 2	Installation of Ramp Railing	18	Ln.m. 3	Masonry Works	290	Sq.m. 4. 	Painting Works (Parking Included)	215	Sq.m. 5	Installation of LOGOS and Littering’s	2	set</t>
  </si>
  <si>
    <t xml:space="preserve"> Pls see attached docs</t>
  </si>
  <si>
    <t xml:space="preserve"> INVITATION TO BID FOR THE PROCUREMENT OF GROCERY ITEMS FOR BANGUN IMPLEMENTATION IN TAWI-TAWI PROVINCE The Department of Social Welfare and Development (DSWD) Field Office IX through the Government of the Philippines General Appropriations Act of 2020 int</t>
  </si>
  <si>
    <t xml:space="preserve"> Republic of the Philippines Province of Romblon MUNICIPALITY OF ALCANTARA -o0o- Invitation to Bid for   CONSTRUCTION OF POBLACION TO MALANTUYON BAYWALK ACCESS ROAD Poblacion, Alcantara, Romblon The Municipal Government of Alcantara, Romblon through the 20</t>
  </si>
  <si>
    <t xml:space="preserve"> 1. The ENERGY REGULATORY COMMISSION (ERC), through the Government of the Philippines (GOP), intends to apply the sum of One Million Three Hundred Thirty-three Thousand Three Hundred Thirty-three Pesos and Thirty-three Centavos (PhP1,333,333.33), inclusive</t>
  </si>
  <si>
    <t xml:space="preserve"> The City Government Caloocan requests the submission of price quotations for the Repair and Maintenance of Vehicles Assigned to Various Offices of the City Government   ABC:  P201,046.00 Delivery Period:  within 30 days upon receipt of PO Note:   Interest</t>
  </si>
  <si>
    <t xml:space="preserve"> Province of Benguet								 Municipality of Buguias								 BIDS AND AWARDS COMMITTEE								 								 			Purchase Request Number:				Date:	 			Name of the Project:				Quotation No:	 			Location of the Project:				OBR #:	 								 REQUEST FOR QUOTATION			</t>
  </si>
  <si>
    <t xml:space="preserve"> INVITATION TO BID  IB-2020-107-INFRA  Proposed Construction of Sewage Treatment Plant House with Solar Panel Installation for Carbon Footprint Reduction and Water Storage Tank The Metropolitan Manila Development Authority, through the Trust Fund intends t</t>
  </si>
  <si>
    <t xml:space="preserve"> Republic of the Philippines Province of Isabela LOCAL GOVERNMENT UNIT OF BENITO SOLIVEN INVITATION TO BID FOR THE PROCUREMENT OF MEDICINES AND MEDICAL SUPPLIES – 3RD QUARTER (GENERAL FUND) 1.	The Municipal Government of Benito Soliven, intends to apply th</t>
  </si>
  <si>
    <t xml:space="preserve"> SUPPLY AND DELIVERY OF CHEMICALS AND FILTERING SUPPLIES MUNICIPAL ENVIRONMENT AND NATURAL RESOURCES OFFICE BALAYAN, BATANGAS</t>
  </si>
  <si>
    <t xml:space="preserve"> INVITATION TO BID FOR THE PROCUREMENT OF GROCERY ITEMS FOR BANGUN IMPLEMENTATION IN BASILAN PROVINCE The Department of Social Welfare and Development (DSWD) Field Office IX through the Government of the Philippines General Appropriations Act of 2020 inten</t>
  </si>
  <si>
    <t xml:space="preserve"> Republic of the Philippines                                                     Province of Samar                         Local Government Unit                         Municipality of Basey   INVITATION TO BID  7152003  / LGUBS-CW-20-1373 CIVIL WORKS FOR </t>
  </si>
  <si>
    <t xml:space="preserve"> ITEM NO.	UNIT		QTY		DESCRIPTION		 							 					NUTRITION PROGRAMS		 					 First 1000 Days (ECCD-F1K) Program 		 1	 pcs 		100		 Snacks Set A 		 					 Lifestyle Related Diseases Prevention and Control Program 		 2	 pcs 		125		 Snacks Set A 		 					 INFECTIO</t>
  </si>
  <si>
    <t xml:space="preserve"> Desktop Computers, Pen Tablets, Headset with microphone, mixer and speaker, DSLR Camera and videography accessories.</t>
  </si>
  <si>
    <t xml:space="preserve"> 35	Btls.	Ink Refill Epson 003 (Black)	 15	Btls.	                                     (Magenta)	 15	Btls.	                                     (Cyan)	 15 	Btls.	                                     (Yellow)	 25	Bxs.	Ink Brother MFC - J200 (Black)	 20	Bxs.	</t>
  </si>
  <si>
    <t xml:space="preserve"> INVITATION TO BID FOR THE SUPPLY, DELIVERY, AND INSTALLATION OF TECHNICAL AND SCIENTIFIC EQUIPMENT FOR THE ADVANCED SCIENCE AND TECHNOLOGY BUILDING OF PSHS CALABARZON REGION CAMPUS/GOODS-2020-05 1.	The Philippine Science High School - CALABARZON Region Ca</t>
  </si>
  <si>
    <t xml:space="preserve"> 6 pack AA size Alkaline Battery (2pcs/blister pack) 6 bottle 70% Alcohol 500ml 4 box Carbon Film, PE, 216mmx30mm, 100 sheet/box 10 box Clip Backfold, 32mm, 12 pcs/box 15 box Clip Backfold, 50mm, 12 pcs/box  20 piece Correction tape (6m) 1 pc in individual</t>
  </si>
  <si>
    <t xml:space="preserve"> Republic of the Philippines Province of Isabela LOCAL GOVERNMENT UNIT OF BENITO SOLIVEN INVITATION TO BID FOR THE PROCUREMENT OF MEDICINES AND MEDICAL SUPPLIES – 3RD QUARTER (GAD FUND) 1.	The Municipal Government of Benito Soliven, intends to apply the su</t>
  </si>
  <si>
    <t xml:space="preserve"> Republic of the Philippines Province of Ilocos Norte SOLSONA Barangay 13, Nalasin INVITATION TO BID FOR PURCHASE OF 7 uNITS SOLAR STREET LIGHTS 1.	The Barangay Gov’t. of Nalasin, Solsona, Ilocos Norte, through the 20% BDF 2020,  intends to apply the sum o</t>
  </si>
  <si>
    <t xml:space="preserve"> The City Government Caloocan requests the submission of price quotations for the Repair of ID Printer Assigned to Information Technology and Development Office ABC:  P78,080.00	 Delivery Period:  within 15 days upon receipt of PO Note:   Interested suppli</t>
  </si>
  <si>
    <t xml:space="preserve"> module printing JHS for students</t>
  </si>
  <si>
    <t xml:space="preserve"> 1. The National Food Authority (NFA) Palawan Provincial Office, through its Procurement Committee will undertake Procurement transaction for Supply and Delivery of Materials and Labor for the Rehabilitation/Repair and Repainting of two (2) unit Mitsubishi</t>
  </si>
  <si>
    <t xml:space="preserve"> *Bids received in excess of the ABC shall be automatically rejected at bid opening. 2. Bidding will be conducted through an open competitive bidding procedure using non-discretionary pass/fail criterion as specified in the Revised Implementing Rules and R</t>
  </si>
  <si>
    <t xml:space="preserve"> (3rd Bidding) 1.	The Government Service Insurance System (GSIS) through the GSIS Corporate Operating Budget for CY 2020 intends to apply the sum of One Hundred Two Million Eight Hundred Seventy Thousand Two Hundred Ninety One Pesos and Forty One Centavos </t>
  </si>
  <si>
    <t xml:space="preserve"> Please see the attached file as your reference. Thank you.</t>
  </si>
  <si>
    <t xml:space="preserve"> 1.	The Municipality of Esperanza, Masbate through the Appropriation Ordinance No. 6, series of 2019 under the Office of the Municipal Health Officer intends to apply the sum of Two Hundred Ninety Five Thousand and Fourteen Pesos (₱295,014.00) being the Ap</t>
  </si>
  <si>
    <t xml:space="preserve"> Republic of the Philippines PROVINCE OF DAVAO ORIENTAL MUNICIPALITY OF SAN ISIDRO INVITATION TO BID FOR THE PROCUREMENT OF WORKS FOR THE CONST’N OF ONE UNIT MULTI-PURPOSE BUILDING AT  BITAOGAN NATIONAL HIGH SCHOOL, BITAOGAN, SAN ISIDRO, DAVAO ORIENTAL 1.	</t>
  </si>
  <si>
    <t xml:space="preserve"> Invitation to Bid  IB-2020-108-INFRA Procurement and Installation of CCTV Cameras for MMDA’s No Contact Apprehension Program to Expand MMDA’s Network Coverage in Traffic Monitoring and Safe Environment The Metropolitan Manila Development Authority, throug</t>
  </si>
  <si>
    <t xml:space="preserve"> SUPPLY, DELIVERY, INSTALLATION, MANAGE, MAINTAIN, EXECUTE, TRAINING, TESTING AND COMMISSIONING OF COMMUNICATION SYSTEMS THROUGH SOCIAL MEDIA, WEB SITE HOSTING, WEB MAIL WITH STORAGE AND MULTIMEDIA SOFTWARE SUBSCRIPTION  OBJECTIVES 1.	Assist Strategic Comm</t>
  </si>
  <si>
    <t xml:space="preserve"> INVITATION TO BID FOR THE PROCUREMENT OF GROCERY ITEMS FOR BANGUN IMPLEMENTATION IN SULU PROVINCE The Department of Social Welfare and Development (DSWD) Field Office IX through the Government of the Philippines General Appropriations Act of 2020 intends </t>
  </si>
  <si>
    <t xml:space="preserve"> Desktop Computer	2	unit &gt;CPU: 8th Generation Intel Core TM i7		 &gt;HDD 1TB GB 7200 + 128G SDD		 &gt;RAM 8GB (1x8GB) 2400Mhz DDR4		 &gt;Graphics NVIDIA GeForce GTX		 &gt;screen 23"Monitor/S2319H 23"		 &gt;keyboard: wired and mouse		 &gt;wireless DW 1705 802 11 b/g/n		 &gt;Opt</t>
  </si>
  <si>
    <t xml:space="preserve"> Supply and delivery of 2,880 bottles of Alcohol Ethyl  Approved Budget P243,792.00 Please be guided by the following: 1.	Price quotation must be based on the Terms of Reference (TOR) / Scope of Work/Services (SOW) / Technical          Specifications (TS),</t>
  </si>
  <si>
    <t xml:space="preserve"> Education Supplies and Materials</t>
  </si>
  <si>
    <t xml:space="preserve"> PRINTER, INKJET	4	unit &gt;print speeds up to 15ipm for black and 8.0ipm for colour		 &gt;Auto duplex printing Ethernet &amp; WI-FI Direct		 &gt;Borderless Printing up to A4 size		 &gt;Spill free ink refilling		 &gt;Compact integrated tank design		 &gt;High yield ink bottles		</t>
  </si>
  <si>
    <t xml:space="preserve"> REQUEST FOR QUOTATION TERMS OF PAYMENT:   30 DAYS PRICE VALIDITY:        120 DAYS</t>
  </si>
  <si>
    <t xml:space="preserve"> Purchase of supplies and Materials for livelihood projects</t>
  </si>
  <si>
    <t xml:space="preserve"> The City Government Caloocan requests the submission of price quotations for the Supply and Delivery of Painting Materials for City Environmental Management Department ABC:  P880,320.00 Delivery Period:  within 30 days upon receipt of PO Note:   Intereste</t>
  </si>
  <si>
    <t xml:space="preserve"> 100	Reams	Bond Paper A4 (70gms)	 200	Reams	Bond Paper Long (70gms)	 50	Reams	Bond Paper Short (70gms)	 70 	Tubes	Correction Pen (Metal Tip)	 50	Pcs.	Correction Tape 12M	 30	Rolls	Duct Tape Big (Green)	 20 	Pcs.	Sign Pen 0.5 (Green)	 50 	Pcs.	             </t>
  </si>
  <si>
    <t xml:space="preserve"> Republic of the Philippines PROVINCE OF DAVAO ORIENTAL MUNICIPALITY OF SAN ISIDRO INVITATION TO BID FOR THE PROCUREMENT OF WORKS FOR THE CONST’N OF ONE UNIT MULTI-PURPOSE BUILDING AT  IP’S SCHOOL SAN ISIDRO NATIONAL HIGH SCHOOL, BATOBATO, SAN ISIDRO, DAVA</t>
  </si>
  <si>
    <t xml:space="preserve"> Republic of the Philippines CITY GOVERNMENT OF SAN FERNANDO Barangay Poro INVITATION TO BID FOR  Rehabilitation of Drainage Canal Tawi-Tawi, Barangay Poro, City of San Fernando 1.	The Barangay Poro, through the Barangay Fund intends to apply the sum of tw</t>
  </si>
  <si>
    <t xml:space="preserve"> Supply and Delivery of Office Supplies of BUGS Registrar’s Office The Bicol University, through the Corporate Budget for the contract approved by the Board of Regents intends to apply the sum of Seventy Seven Thousand Three hundred Forty Four Pesos and Si</t>
  </si>
  <si>
    <t xml:space="preserve"> Purchase of Clean and Green Supplies and Materials</t>
  </si>
  <si>
    <t xml:space="preserve"> Republic of the Philippines Province of Ilocos Norte SOLSONA Barangay 13, Nalasin INVITATION TO BID FOR PURCHASE OF CONSTRUCTION MATERIALS &amp; SUPPLIES FOR THE RENOVATION OF BARANGAY HALL 1.	The Barangay Gov’t. of Nalasin, Solsona, Ilocos Norte, through the</t>
  </si>
  <si>
    <t xml:space="preserve"> Ink HP 955 	5	cart &gt;Black		 Ink HP 955	5	cart &gt;Cyan		 Ink HP 955	5 	cart &gt;Magenta		 Ink HP 955	5	cart &gt;Yellow</t>
  </si>
  <si>
    <t xml:space="preserve"> 1.	The Municipality of Esperanza, Masbate through the Appropriation Ordinance No. 6, series of 2019 under the Office of the Municipal Health Officer intends to apply the sum of Four Hundred Seventy Six Thousand Three Hundred Seventeen Pesos (₱476,317.00) </t>
  </si>
  <si>
    <t xml:space="preserve"> Republic of the Philippines PROVINCE OF DAVAO ORIENTAL MUNICIPALITY OF SAN ISIDRO INVITATION TO BID FOR THE PROCUREMENT OF WORKS FOR THE CONST’N OF ONE UNIT MULTI-PURPOSE BUILDING AT  SAN ISIDRO NATIONAL HIGH SCHOOL, BATOBATO, SAN ISIDRO, DAVAO ORIENTAL 1</t>
  </si>
  <si>
    <t xml:space="preserve"> Republic of the Philippines PROVINCE OF CAGAYAN MUNICIPALITY OF CLAVERIA INVITATION TO BID  									 July 30, 2020   	The Local Government Unit of Claveria, Cagayan through the Trust Fund (MMK) of the Municipality of Claveria, Cagayan would like to apply</t>
  </si>
  <si>
    <t xml:space="preserve"> Republic of the Philippines  Department of  Science and Technology  Regional Office No. IX  Pettit Barracks,   Zamboanga  CIty Tel. Nos. (062) 992-1114; (062) 991-1024 INVITATION TO BID SUPPLY AND DELIVERY OF PROFICIENCY TESTING SAMPLE FOR DOST IX-RSTL   </t>
  </si>
  <si>
    <t xml:space="preserve"> Catering Services for the Procurement and delivery of meals and snacks for the 2020 Census of Population and Housing (CPH) Fourth Level Training – Abucay, Bataan August 17-22, 2020 (6 Days) 1. AM and PM Snack and Lunch for 6 days     August 17-21, 2020 (4</t>
  </si>
  <si>
    <t xml:space="preserve"> Department of Education Region III DIVISION OF MABALACAT CITY Mabalacat City, Pampanga    Tel. No.: (045) 331-8143/Email Add: mabalacat.city@deped.gov.ph REQUEST FOR QUOTATION PR No. 	: 							RFQ No. PR Date :							Philgeps Ref. No. End User:							Clos</t>
  </si>
  <si>
    <t xml:space="preserve"> module printing SHS FOR STUDENTS</t>
  </si>
  <si>
    <t xml:space="preserve"> 1 Zoom PRO (1 Host/100 Participants) account with Webinar (1 host/100 participants) 1 year license</t>
  </si>
  <si>
    <t xml:space="preserve"> SCHOOL MOOE CY 2020 2ND QUARTER - School and Office Supplies - Php 50 505.00</t>
  </si>
  <si>
    <t xml:space="preserve"> Republic of the Philippines                                                     Province of Samar                         Local Government Unit                       Municipality of Basey   INVITATION TO BID  7152087  / LGUBS-CW-20-1374 CIVIL WORKS FOR TH</t>
  </si>
  <si>
    <t xml:space="preserve"> BARANGAY CENTRAL SIGNAL BIDS AND AWARDS COMMITTEE Central Signal Village, Taguig City Supply and Delivery of Materials for the Installation of Steel Sidings for Mini-Dump Truck RFQ-202004 Approved Budget for the Contract (ABC) : Php 14,590.00 Source of Fu</t>
  </si>
  <si>
    <t xml:space="preserve"> Republic of the Philippines Bangsamoro Autonomous Region in Muslim Mindanao MINISTRY OF AGRICULTURE, FISHERIES AND AGRARIAN REFORM BARMM Compound, Gov. Gutierrez Ave., RH-7, Cotabato City, Philippines, 9600 REQUEST FOR SUBMISSION OF PRICE QUOTATION RFQ No</t>
  </si>
  <si>
    <t xml:space="preserve"> Procurement of COVID-19 materials Procurement of materials for reproduction of modules and printed materials</t>
  </si>
  <si>
    <t xml:space="preserve"> Republic of the Philippines  Department of  Science and Technology  Regional Office No. IX  Pettit Barracks,   Zamboanga  CIty Tel. Nos. (062) 992-1114; (062) 991-1024 INVITATION TO BID SUPPLY AND DELIVERY OF VARIOUS LABORATORY SUPPLIES    PR-20-01-0014 T</t>
  </si>
  <si>
    <t xml:space="preserve"> 1.	The Local Government Unit Of Lianga Surigao del Sur, through the Department of Health  - Trust Fund   intends to apply the sum of Two Hundred Fifteen thousand, Pesos only ( P 215, 000.00) being the Approved Budget for the Contract (ABC) to payments und</t>
  </si>
  <si>
    <t xml:space="preserve"> 1 LOT DISINFECTION SERVICES/TREATMENT OF OFFICE SPACE/FACILITIES AREA OF DISINFECTION: - Head Office (Makati)   - 5TH Flr. to Basement Area) - Cavite Satellite Office - Laguna Satellite Office - Taguig Warehouse TREATMENT: ULTRA LOW VOLUME (ULV) Treatment</t>
  </si>
  <si>
    <t xml:space="preserve"> Republic of the Philippines Province of Bohol MUNICIPALITY OF TUBIGON Invitation to Bid for: Procurement of Construction Materials &amp; Supplies Name of Project:  Improvement of Multi-Purpose Building 1. The Barangay of Macaas through the 20% Development Fun</t>
  </si>
  <si>
    <t xml:space="preserve"> INVITATION TO BID FOR THE PROCUREMENT OF SEMI-PERISHABLE ITEMS FOR BANGUN IMPLEMENTATION IN SULU PROVINCE The Department of Social Welfare and Development (DSWD) Field Office IX through the Government of the Philippines General Appropriations Act of 2020 </t>
  </si>
  <si>
    <t xml:space="preserve"> Republic of the Philippines Province of Bohol MUNICIPALITY OF TUBIGON Invitation to Bid for: Procurement of Construction Materials &amp; Supplies Name of Project:  CONSTRUCTION OF NEW-MULTI-PURPOSE BUILDING(PHASE I) 1. The Barangay of BOSONGON  through the 20</t>
  </si>
  <si>
    <t xml:space="preserve"> In-Ear Headphone with Wireless USB Dongle Bluetooth Adapter Receiver USB Dongle Receiver		2	pc &gt;Wireless Bluetooth Earphone Sport Bass Sound Speed Charging Headset Magnetic Earbuds 3 Button Remote Mic			 &gt;play time: about 8 Hours			 &gt;Volume Control: Yes		</t>
  </si>
  <si>
    <t xml:space="preserve"> 1 LOT GENERAL PEST CONTROL SERVICES/TREATMENT OF OFFICE SPACE/FACILITIES AREA OF DISINFECTION: - Head Office (Makati) - 5TH Flr. to Basement Area) - Cavite Satellite Office - Laguna Satellite Office - Taguig Warehouse TREATMENT: World Health Organization </t>
  </si>
  <si>
    <t xml:space="preserve"> Item No.	ITEM AND DESCRIPTION	QTY	Unit of Issue	UNIT PRICE 1	Printing of Learning Modules for Grade 1 &amp; Grade 2			 	     (Quarter  1, Module 2)			 	     Grade 1 PE	82586	page	 	     Grade 1  Music	63180	page	 	     Grade 1 Esp	58320	page	 	     Grade 2 En</t>
  </si>
  <si>
    <t xml:space="preserve"> as per BSP Technical Specifications</t>
  </si>
  <si>
    <t xml:space="preserve"> Please see attached bidding documents or you may visit our website @www.prc.gov.ph.</t>
  </si>
  <si>
    <t xml:space="preserve"> See attached Annex "A" for the Technical Specifications and Schedule of Requirements</t>
  </si>
  <si>
    <t xml:space="preserve"> Republic of the Philippines CITY GOVERNMENT OF SAN FERNANDO Barangay Poro INVITATION TO BID FOR  Expansion of Barangay Teen Center Barangay Poro, City of San Fernando 1.	The Barangay Poro, through the Barangay Fund intends to apply the sum of One Hundred </t>
  </si>
  <si>
    <t xml:space="preserve"> Republic of the Philippines Office of the Municipal Mayor BIDS AND AWARDS COMMITTEE Pasuquin, Ilocos Norte REQUEST FOR QUOTATIONS  Purchase of Battery for the Maintenance of Grader  1.	The LGU-PASUQUIN, through the GENERAL FUND CY 2020  intends to apply t</t>
  </si>
  <si>
    <t xml:space="preserve"> Catering Services for the Procurement and delivery of meals and snacks for the 2020 Census of Population and Housing (CPH) Fourth Level Training – Balanga City, Bataan August 24-29, 2020 (6 Days) 1. AM and PM Snack and Lunch for 6 days August 24-28, 2020 </t>
  </si>
  <si>
    <t xml:space="preserve"> INVITATION TO BID FOR THE PROCUREMENT OF SEMI-PERISHABLE ITEMS FOR BANGUN IMPLEMENTATION IN BASILAN PROVINCE The Department of Social Welfare and Development (DSWD) Field Office IX through the Government of the Philippines General Appropriations Act of 20</t>
  </si>
  <si>
    <t xml:space="preserve"> 1.	The Agricultural Training Institute-Regional Training Center VI (ATI-RTC VI), ASU Campus, Banga, Aklan, through the National Livestock Program 2020 intends to apply the sum of One Million Five Hundred Thousand Pesos (₱ 1,500,000.00) being the Approved </t>
  </si>
  <si>
    <t xml:space="preserve"> Printing, Binding and delivery of Modules-All subject for Grade 7 To Grade 10		                                  For Junior High School (Grade 7 to Grade 10)                 2368	copy	Modules (560 pages)  		Paper Size - paper size used on layout (A4) 		Pa</t>
  </si>
  <si>
    <t xml:space="preserve"> Purchase of Office Supplies and Materials</t>
  </si>
  <si>
    <t xml:space="preserve"> Republic of the Philippines Office of the Punong Barangay BIDS AND AWARDS COMMITTEE Barangay #31 Carusikis, Pasuquin, Ilocos Norte REQUEST FOR QUOTATIONS  Purchase of Materials for the Installation of Streetlight 1.	The BARANGAY CARUSIKIS-PASUQUIN, throug</t>
  </si>
  <si>
    <t xml:space="preserve"> Catering Services for the Procurement and delivery of meals and snacks for the 2020 Census of Population and Housing (CPH) Fourth Level Training –Bagac, Bataan August 24-29, 2020 (6 Days) 1. AM and PM Snack and Lunch for 6 days August 24-28, 2020 (36 pax)</t>
  </si>
  <si>
    <t xml:space="preserve"> REQUEST FOR PROPOSALS Provision of laboratory services for the ITS/DNA Sequencing of sample species: Prevalence of taro leaf blight and corm out rot caused by Phytophthora colocasiae in the Province of Albay and evaluation of phenolic-based resistance amo</t>
  </si>
  <si>
    <t xml:space="preserve"> Republic of the Philippines Province of Cotabato Municipality of Antipas Barangay Poblacion BIDS AND AWARDS COMMITTEE INVITATION TO BID FOR  Supply and Delivery of One Unit Motorcycle 1.	The Barangay Local Government of Poblacion, Antipas, through the Bud</t>
  </si>
  <si>
    <t xml:space="preserve"> Republic of the Philippines Office of the Punong Barangay BIDS AND AWARDS COMMITTEE Barangay #12 Puyupuyan, Pasuquin, Ilocos Norte REQUEST FOR QUOTATIONS  Purchase of Materials for the Installation of Barangay Streetlights 1.	The BARANGAY PUYUPUYAN-PASUQU</t>
  </si>
  <si>
    <t xml:space="preserve"> Fisheries Extension Kits</t>
  </si>
  <si>
    <t xml:space="preserve"> The LGU-Pandan, Catanduanes now invites bids for the construction of 2nd floor of multi-purpose hall with floor area of 56sq.m.  (see approved plans and specifications) at Barangay Tabugoc, Pandan, Catanduanes with the following scope of work; Description</t>
  </si>
  <si>
    <t xml:space="preserve"> 1.	The Local Government Unit Of Lianga Surigao del Sur, through the 2020 General Fund   intends to apply the sum of Three Hundred Seventy Two thousand,Four Hundred Sixty Five  Pesos only ( P 372, 465.00) being the Approved Budget for the Contract (ABC) to</t>
  </si>
  <si>
    <t xml:space="preserve"> Procurement of Internet and Telephone Services for the NATIONAL PROSECUTION SERVICE OFFICES IN REGION VII for a period of 1 Year.</t>
  </si>
  <si>
    <t xml:space="preserve"> INVITATION TO BID  Fuel and other Lubricants Deposit for use of DA-RFO 5 Service Vehicles for Second Semester of  Calendar Year  2020 under  Various Funds 	The Department of Agriculture Regional Field Office No. 5, through the General Appropriation Act of</t>
  </si>
  <si>
    <t xml:space="preserve"> SUPPLY AND DELIVERY OF THE FOLLOWING: 					 	Lot 1				-      Php 200,000.00 	office equipment				 	DSLR camera				 	body stabilization, at least 24 megapixel, 4K resolution, 16 mm-35 mm autoofocus kit lens				 	with complete accessories, camera bag, tripo</t>
  </si>
  <si>
    <t xml:space="preserve"> Republic of the Philippines PROVINCE OF NUEVA ECIJA City of Palayan -oOo- BIDS AND AWARDS COMMITTEE  Request for Quotation for SUPPLY AND DELIVERY OF MEALS AND SNACKS FOR SANGGUNIANG PANLALAWIGAN August 4, 2020 1. 	The Provincial Government of Nueva Ecija</t>
  </si>
  <si>
    <t xml:space="preserve"> Invitation to Bid  IB-2020-109-INFRA Proposed Fabrication and Installation of Stairs and Waiting Shed for Bus Stop at MRT3/LRT1 and Footbridges along EDSA from Roxas Blvd. to Monumento The Metropolitan Manila Development Authority, through the 2020 Local </t>
  </si>
  <si>
    <t xml:space="preserve"> The LGU-Pandan, Catanduanes now invites bids for the road opening of 1,400 linear meter x 8.00m roadway (see approved plans and specifications) at Barangay Porot-San Isidro, Pandan, Catanduanes with the following scope of work; Description	Unit	Quantity P</t>
  </si>
  <si>
    <t xml:space="preserve"> INVITATION TO BID FOR THE PROCUREMENT OF SEMI-PERISHABLE ITEMS FOR BANGUN IMPLEMENTATION IN TAWI-TAWI PROVINCE The Department of Social Welfare and Development (DSWD) Field Office IX through the Government of the Philippines General Appropriations Act of </t>
  </si>
  <si>
    <t xml:space="preserve"> Grade 1- 256 pages/module - 403 sets Grade 2- 475 pages/module - 431 sets Grade 3- 325 pages/module - 171 sets Grade 4- 647 pages/module - 167 sets Grade 5- 617 pages/module - 186 sets Grade 6- 1084 pages/module- 204 sets *Preferred paper substance- 70 or</t>
  </si>
  <si>
    <t xml:space="preserve"> Purchase of Supplies, materials and equipments for the rehabilitation and installation of CCTV Camera</t>
  </si>
  <si>
    <t xml:space="preserve"> Republic of the Philippines  Department of  Science and Technology  Regional Office No. IX  Pettit Barracks,   Zamboanga  CIty Tel. Nos. (062) 992-1114; (062) 991-1024 INVITATION TO BID SUPPLY AND DELIVERY OF VARIOUS LABORATORY CHEMICALS AND REAGENTS  PR-</t>
  </si>
  <si>
    <t xml:space="preserve"> SUPPLY &amp; DELIVERY OF CONSTRUCTION MATERIALS FOR THE COMPLETION OF FARMERS TRAINING CENTER The Local Government Unit of Lianga will purchase construction materials for the completion of Farmers Training center ,  through 2019 continuing Fund &amp; 2020 LDF , i</t>
  </si>
  <si>
    <t xml:space="preserve"> 2777 Reams x 185  Item A4 Bond Paper, 70 GSM</t>
  </si>
  <si>
    <t xml:space="preserve"> Procurement of Endotracheal tubes etc,</t>
  </si>
  <si>
    <t xml:space="preserve"> Republic of the Philippines PROVINCE OF NUEVA ECIJA Provincial Capitol Building Barangay Singalat, Palayan City Tel. No.: (044) 940-5061 local 170/180 Email address: nebacgov@yahoo.com -oOo- BIDS AND AWARDS COMMITTEE Invitation for Negotiated Procurement </t>
  </si>
  <si>
    <t xml:space="preserve"> Item No.	ITEM DESCRIPTION				QTY.	UNIT	ABC PER ITEM 							 							 1	OFFICE TABLE, rectangular shape, Melamine Laminated				1	unit	 9,734.00  	woodgrain Flakeboard, Dimension 20" (W) x 26" (H) x 40" (L),						 	Color: HM-6053 (dark mahogany/brown)						 </t>
  </si>
  <si>
    <t xml:space="preserve"> 1. The Energy Regulatory Commission (ERC), through the continuing Appropriation for Fiscal Year 2019, intends to apply the sum of Three Million Pesos (PhP3,000,000.00), inclusive of all government taxes and other charges and fees, being the Approved Budge</t>
  </si>
  <si>
    <t xml:space="preserve"> Procurement of HBSAG etc..</t>
  </si>
  <si>
    <t xml:space="preserve"> The Barangay Government of Julugan V, through its Bids and Awards Committee (BAC), invites contractors with and classified by the Philippine Contractors Accredited Board (PCAB) to apply for eligibility and to bid for hereunder project: Name of Project	:	 </t>
  </si>
  <si>
    <t xml:space="preserve"> Republic of the Philippines                                                     Province of Samar                         Local Government Unit   Municipality of Basey   INVITATION TO BID  7152146 / LGUBS-CW-20-1375 CIVIL WORKS FOR THE BARANGAYWIDE DEVELO</t>
  </si>
  <si>
    <t xml:space="preserve"> Please see Request for Quotation/Bid Form attached to Associated Components. ABC per Category: Category A- Office Supplies- PhP1,500.00 Category B- Office Equipment-PhP-80,000.00</t>
  </si>
  <si>
    <t xml:space="preserve"> NOTE: A complete set of Bidding Documents may be purchased by interested Bidders (working days and hours only) from the address below upon payment of nonrefundable fee in the amount of 500  pesos only. It may also be downloaded free of charge from the web</t>
  </si>
  <si>
    <t xml:space="preserve"> REQUEST FOR QUOTATION (RFQ)  PREVENTIVE MAINTENANCE SERVICE OF ONE (1) UNIT WATER PURIFICATION SYSTEM (LABOSTAR TWF UV7) SN: 1399200-10 WITH SUPPLY AND DELIVERY AND INSTALLATION AND REPLACEMENT OF PARTS UNDER EMB-ERLSD-ECMU RFQ NO. 2020-0532-EMB-SVP-ERLSD</t>
  </si>
  <si>
    <t xml:space="preserve"> 4-LAYER STEEL CABINET - I UNIT 3-LAYER STEEL CABINET - 1 UNIT</t>
  </si>
  <si>
    <t xml:space="preserve"> Procurement of Insecticides</t>
  </si>
  <si>
    <t xml:space="preserve"> REQUEST FOR QUOTATION (RFQ) SUPPLY AND DELIVERY OF LABORATORY CONSUMABLES (FILTERS) UNDER EMB-ERLSD-ELSS-INORGANICS LABORATORY RFQ NO. 2020-0545-EMB-S-ERLSD-ESRS FILTERS (2nd) 1.	The Department of Environment and Natural Resources – Environmental Manageme</t>
  </si>
  <si>
    <t xml:space="preserve"> Republic of the Philippines Province of Romblon MUNICIPALITY OF MAGDIWANG INVITATION TO BID REHAB./ IMPROVEMENT OF MAGDIWANG LEVEL III WATER SYSTEM Project ID No. 08-2020-010 January 9, 2019 1.	The Municipality of Magdiwang, Romblon, through its DILG -LGS</t>
  </si>
  <si>
    <t xml:space="preserve"> Supply and Delivery of Construction Materials and Supplies for Construction of Health Center</t>
  </si>
  <si>
    <t xml:space="preserve"> 1. The Energy Regulatory Commission (ERC), through the continuing Appropriation for Fiscal Year 2019, intends to apply the sum of Four Million Eight Hundred Thousand (PhP4,800,000.00), inclusive of all government taxes and other fees and charges, being th</t>
  </si>
  <si>
    <t xml:space="preserve"> supply and delivery of the following: Lot 1 - LIVESTOCK                                         pHP 1,352,500.00 127 Heads - Upgraded Native Goat Specification: • Matured kid ready for breeding • Female kid • Not less than 8kgs. 2,050 heads - Native chick</t>
  </si>
  <si>
    <t xml:space="preserve"> NOTICE TO THE PUBLIC REQUEST FOR QUOTATION                                              AMP SVP-D NO: 20-07-0417	              The University of the Philippines, Diliman (UPD) hereby informs the public that it will be procuring the following item/s throug</t>
  </si>
  <si>
    <t xml:space="preserve"> BOND PAPER - 90,000.00 PRINTER-8,000.00</t>
  </si>
  <si>
    <t xml:space="preserve"> various Foodstuff (Vegetables and Chicken Meat)</t>
  </si>
  <si>
    <t xml:space="preserve"> Procurement of Supplies for Pampang Market</t>
  </si>
  <si>
    <t xml:space="preserve"> Republic of the Philippines Province of Romblon MUNICIPALITY OF MAGDIWANG INVITATION TO BID UPGRADING OF LOCAL ACCESS ROAD IN SITIO PINAMANG AN  Project ID No. 08-2020-009 August 03, 2020 1.	The Municipality of Magdiwang, Romblon, through its DILG-LGSF-AM</t>
  </si>
  <si>
    <t xml:space="preserve"> Submit price quotation not later than August 5, 2020 at Purok 2, Patpat, Salimbalan,Baungon, Bukidnon</t>
  </si>
  <si>
    <t xml:space="preserve"> Please quote hereunder your lowest possible price for the Hiring of Social Media Management and Content Writing for Go Lokal. For more specifications and for the sample please see attached Request for Quotation form and sample.  Original Request for Quota</t>
  </si>
  <si>
    <t xml:space="preserve"> INVITATION TO BID                                                                 ITB NO. 20-11 	The Lung Center of the Philippines (LCP), through its Bids and Awards Committee (BAC), invites eligible bidders to bid for the : “PROCUREMENT OF VARIOUS MEDIC</t>
  </si>
  <si>
    <t xml:space="preserve"> Republic of the Philippines Province of Romblon MUNICIPALITY OF MAGDIWANG INVITATION TO BID REHAB./IMPROVEMENT OF PUROK  BAGONG BAYAN ACCESS ROAD Project ID No. 08-2020-011 August 3, 2020 1.	The Municipality of Magdiwang, Romblon, through its DILG-LGSF- A</t>
  </si>
  <si>
    <t xml:space="preserve"> NOTICE TO THE PUBLIC REQUEST FOR QUOTATION                                              AMP SVP-D NO: 20-07-0416	              The University of the Philippines, Diliman (UPD) hereby informs the public that it will be procuring the following item/s throug</t>
  </si>
  <si>
    <t xml:space="preserve"> INVITATION TO BID ITB NO. PB 20-07 Ordering Agreement Contract for the Procurement of Various Fish Feeds for  Fish Stocks of the 4 Units Aquaponics, 6 units Pond with Venturi  and 10 units Fish Cages The Bureau of Fisheries and Aquatic Resources Regional </t>
  </si>
  <si>
    <t xml:space="preserve"> SUPPLY AND DELIVERY OF THE FOLLOWING Lot 1-PARTS FOR KUBOTA M9540         -Php 349,814.00	 8	pcs	Tie Rod End	 8	pcs	Tie Rod Bar (end bar)	 1	pc	HYD. Jack (5 tons)	 2	pcs	Grease Gun	 8	pcs	Fan belt A-47	 25	pcs	Bearing, ball (6212)	 4	pcs	Oil filter	 4	pcs</t>
  </si>
  <si>
    <t xml:space="preserve"> 200 PCS SHORT BROWN ENVELOPE 50 PCS LONG BROWN ENVELOPE 30 PCS WHITE LONG FOLDER 20 PCS ORANGE LONG FOLDER 50 PCS BLACK BALLPEN 3 BOXES FASTENER 3 PCS DOUBLE SIDED TAPE 3 PCS SCOTCH TAPE 1 INCH 3 PCS MASKING TAPE 1 INCH 3 PCS PACKAGING TAPE 20 REAMS SHORT</t>
  </si>
  <si>
    <t xml:space="preserve"> One  (1) Lot Office Equipment ( Supply, Delivery,  Installation, Testing and Commissioning of Air- Conditioning Units) 2020-03 for PRO III  				 				03 units AIRCON -Ceiling Cassette Type; 2.5 HP Cooling 				     Capacity; Power Supply: 220V; Single Phase</t>
  </si>
  <si>
    <t xml:space="preserve"> Installation of the School Material and Recovery Facility</t>
  </si>
  <si>
    <t xml:space="preserve"> REQUEST FOR QUOTATION (RFQ) SUPPLY AND DELIVERY OF GLASSWARE UNDER EMB-ERLSD-ELSS-INORGANICS LABORATORY UNIT RFQ NO2020-0540-EMB-S-ERLSD-ELSS GLASSWARE (2nd) 1.	The Department of Environment and Natural Resources – Environmental Management Bureau (DENR-EM</t>
  </si>
  <si>
    <t xml:space="preserve"> 15160 reams of Bond Paper, A4, 70gsm SUPPLY AND DELIVERY OF BOND PAPER FOR DEPED-DIVISION OF LAPU-LAPU CITY 1.	The DepED-Division of Lapu-Lapu City, through the DepED Trust Fund intends to apply the sum of One Million Seven Hundred Seventy Two Million Fiv</t>
  </si>
  <si>
    <t xml:space="preserve"> INVITATION TO BID ITB NO. PB20-06 Invitation to Bid for Supply, Delivery and Installation of 6 Units Venturi Aeration System and its various materials to be use in the construction of Solar Power Frame and Floater  as Resilience Project under ALPAS COVID </t>
  </si>
  <si>
    <t xml:space="preserve"> Please quote hereunder your lowest possible price for the Repair of Aircon. For more specifications and for the sample please see attached Request for Quotation form and sample.  Original Request for Quotation form will be available for pick-up or downloa</t>
  </si>
  <si>
    <t xml:space="preserve"> Republic of the Philippines PROVINCE OF MASBATE Masbate City BIDS AND AWARDS COMMITTEE (BAC) 2nd Floor PGSO Building Capitol Road Masbate City INVITATION to BID  1.	The Provincial Government of Masbate, through its Bids and Awards Committee (BAC), invites</t>
  </si>
  <si>
    <t xml:space="preserve"> INVITATION TO BID FOR THE PROCUREMENT OF 1 UNIT STAKE TRUCK PR # 20-06-1064 PDRRMC 1.The LGU-KALINGA, Kalinga Province through its Bids and Awards Committee (BAC) intends to apply the sum of a. Two Million pesos &amp; 00/100 (P 2,000,000.00) for the PROCUREME</t>
  </si>
  <si>
    <t xml:space="preserve"> INVITATION TO BID IB NO. CW 2020 –  123 Improvement of Child Development Center at Sitio Maligaya, Sta. Brigida, Mansalay, Oriental Mindoro 1.  The Provincial Government of Oriental Mindoro (PGOM) through the 20% Development Fund 2020  intends to apply th</t>
  </si>
  <si>
    <t xml:space="preserve"> SUPPLY AND DELIVERY OF THE FOLLOWING: LOT 1- RESCUE TRUCK 1	UNIT	MULTIPURPOSE VEHICLE/TRUCK (RESCUE TRUCK)				1,320,000.00 		CAB or Double cab with van type cargo body				 		engine: 4 cylinders in line , 2.7-3.0 liters				 		turbocharged, water cooled, CR</t>
  </si>
  <si>
    <t xml:space="preserve"> Please quote hereunder your lowest possible price for the Hiring of Consulting Services. For more specifications and for the sample please see attached Request for Quotation form and sample.  Original Request for Quotation form will be available for pick-</t>
  </si>
  <si>
    <t xml:space="preserve"> PURCHASE OF WATER TANK</t>
  </si>
  <si>
    <t xml:space="preserve"> various food stuff (grocery items)</t>
  </si>
  <si>
    <t xml:space="preserve"> Republic of the Philippines Province of Batangas Municipality of San Juan BIDS AND AWARDS COMMITTEE INVITATION TO BID THE LOCAL GOVERNMENT UNIT OF SAN JUAN, BATANGAS, through its Bids and Awards Committee (BAC), invites registered PhilGEPS suppliers/distr</t>
  </si>
  <si>
    <t xml:space="preserve"> INVITATION TO BID IB NO. CW 2020 – 129 Construction of Covered Drainage Canal at Calero, Calapan City, Oriental Mindoro 1.  The Provincial Government of Oriental Mindoro (PGOM) through the General Fund 2020 – 5% LDRRMF  intends to apply the sum of Nine Hu</t>
  </si>
  <si>
    <t xml:space="preserve"> INVITATION TO BID IB NO. CW 2020 – 126 Completion of Evacuation Center at Happy Valley, Socorro, Oriental Mindoro and Completion of Evacuation Center at Sto. Domingo (Lapog), Socorro, Oriental Mindoro 1.  The Provincial Government of Oriental Mindoro (PGO</t>
  </si>
  <si>
    <t xml:space="preserve"> INVITATION TO BID IB NO. CW 2020 – 124 Rehabilitation of Covered Court at Tawagan, Calapan City, Oriental Mindoro 1.  The Provincial Government of Oriental Mindoro (PGOM) through the General Fund 2020  intends to apply the sum of Five Hundred Eighty Nine </t>
  </si>
  <si>
    <t xml:space="preserve"> Two (2) roll 8.000mm sq(dia) Royal Chord cable &amp; 65 other line items</t>
  </si>
  <si>
    <t xml:space="preserve"> purchase of office supplies for SK use of Ibabang Iyam, Lucena City</t>
  </si>
  <si>
    <t xml:space="preserve"> INVITATION TO BID IB NO. CW 2020 – 125 Construction of Drainage Canal at Alcate, Victoria, Oriental Mindoro 1.  The Provincial Government of Oriental Mindoro (PGOM) through the General Fund 2020 – 5% LDRRMF  intends to apply the sum of Nine Hundred Ninety</t>
  </si>
  <si>
    <t xml:space="preserve"> INVITATION TO BID IB NO. CW 2020 – 127 Repair of Day Care Center at Bacungan, Naujan, Oriental Mindoro &amp; Repair of Day Care Center  at Gamao, Naujan, Oriental Mindoro 1.  The Provincial Government of Oriental Mindoro (PGOM) through the 20% Development Fun</t>
  </si>
  <si>
    <t xml:space="preserve"> various foodstuff (Meat)</t>
  </si>
  <si>
    <t xml:space="preserve"> supply and delivery of the following: 400 pcs concrete post 4' x 4'x 6'	 1 pc sprayer heavy duty kanpsack type,  16 li capacity	 100 pcs construction gloves size 6, 6.5. 7.0	 10 kls detergent powder	 57 cubic gravel</t>
  </si>
  <si>
    <t xml:space="preserve"> IMPROVEMENT OF MULTI-PURPOSE BUILDING</t>
  </si>
  <si>
    <t xml:space="preserve"> Republic of the Philippines Province of Guimaras OFFICE OF THE BIDS AND AWARDS COMMITTEE Invitation to Bid for  One Job Supply of Materials and  Labor for the Rehabilitation/Upgrading of Provincial Roads (Rehabilitation/Upgrading of Concordia-Oracon-Botco</t>
  </si>
  <si>
    <t xml:space="preserve"> REQUEST FOR QUOTATION (RFQ) SUPPLY AND DELIVERY OF LABORATORY METAL STANDARDS UNDER EMB-ERLSD-ELSS-INORGANICS LABORATORY UNIT  RFQ NO. 2020-0675-EMB-S-ERLSD-ELSS METAL STANDARDS  1.	The Department of Environment and Natural Resources – Environmental Manag</t>
  </si>
  <si>
    <t xml:space="preserve"> 16,394 BOX SODIUM ASCORBATE( VITAMIN C) CAPSULE 500 MG 100 PCS/BOX</t>
  </si>
  <si>
    <t xml:space="preserve"> Office  Supplies Expense ----------------------------Php 19,610.00 Telephone Expense- Mobile -------------------------Php 3,000.00 Internet Expense-------------------------------------Php 5,697.00 Medical Dental, Laboratory Supplies----------------Php 7,6</t>
  </si>
  <si>
    <t xml:space="preserve"> ENGINE:		 4-cylinder, in-line, direct injection, turbocharged and		 intercooled diesel engine; volume displacement= 4.1-4.3 liters;		 power output: 95-100kW @ 2,800 rpm; torque: ≥ 380N-m @ 		 1,400 - 1,800 rpm		 WEIGHT AND DIMENSION:		 gross vehicle weigh</t>
  </si>
  <si>
    <t xml:space="preserve"> INVITATION TO BID DEVELOPMENT/IMPROVEMENT OF THE PORT OF SAN ANTONIO Port of San Antonio, San Antonio, Northern Samar DOTC-PPA-CAB NO. 85-15 Approved Budget for the Contract: Php. 31,721,902.36 The Philippine Ports Authority, Port Management Office (PMO) </t>
  </si>
  <si>
    <t xml:space="preserve"> PURCHASE OF SOLAR STREETLIGHTS</t>
  </si>
  <si>
    <t xml:space="preserve"> Pediatric Medicines: 4,320	bottle	 Ascorbic Acid + Zinc Syrup 60 ml 4,320	bottle	Multivitamins Syrup 60ml 		 		 Adult Medicines-Capsules and Tablets: 800	Box	Amlodipine 5 mg tablet 100/box 800	Box	Amlodipine 10 mg tablet 100/box 6,000	Box	Losartan Potassi</t>
  </si>
  <si>
    <t xml:space="preserve"> see attached additional and corrected specifications for your reference</t>
  </si>
  <si>
    <t xml:space="preserve"> Office Supplies  200 gallons Isopropyl Alcohol, 70% 50 gallons  Sanitizer at least 70% Note:  Please include the following required documents upon submission of your proposal for evaluation purposes: 1,  Mayor's/Business Permit 2.  PhilGEPS  Registration </t>
  </si>
  <si>
    <t xml:space="preserve"> CLEARING   130.00 SQM EXCAVATION   40.90 CUM STRUCTURAL CONCRETE   19.39 CUM FORMWORKS    648.00 BDFT STEEL WORKS   18.00 LNM GROUTED RIPRAP   22.80 CUM TRANSHIPMENT OF MATERIALS AND MANUAL HAULING   1 LOT PROJECT BILLBOARDS   1 LOT</t>
  </si>
  <si>
    <t xml:space="preserve"> Republic of the Philippines Province of Guimaras OFFICE OF THE BIDS AND AWARDS COMMITTEE INVITATION TO BID FOR    SUPPLY AND DELIVERY OF DRUGS AND MEDICINES Bid Ref. No. 2020-07-424 1.	The Province of Guimaras , through the Revolving Fund (BEH) intends to</t>
  </si>
  <si>
    <t xml:space="preserve"> 120	CAN	AIR FRESHENER CAN (CALIFORNIA	 		SCENT)*	 92	CAN	AIR FRESHENER CAN (SHALDAN)*	 413	BTL	AIR FRESHENER GLADE 320ML SPRAY*	 96	BTL	ALCOHOL ISOPROPHYL 70% (GREEN	 		CROSS) 250ML*	 232	BAR	BATH SOAP (SAFEGUARD) 90G*	 6	PC	BOWL BRUSH &amp; CUDDY	 4	PC	BROOM</t>
  </si>
  <si>
    <t xml:space="preserve"> Engine Type: 4Stroke DTSI FI  Engine Capacity: 98.88cm3 Bore: 63.5 Storke:62.8 Spark Plug: 2Nos. (Champion-RG6HCC I BOSHCHI-UR6CC) Compression Ration: 97±:1 Idling rpm: 1400± 100 Cooling: Forced Air Cooling &amp; Cooling &amp; Oil Cooling Max Power: 7.3 kW @ 3500</t>
  </si>
  <si>
    <t xml:space="preserve"> 1	Lot	HIGH PRESSURE VEHICLE EXTRICATION KIT		 		Inclusions:		 		1 Unit High Pressure Power Unit		 		Specification:		 		Max. Working Pressure: 10,500 PSI - 		 		724 BAR		 		Length: 21.20 in - 538.5 mm		 		Width: 15.50 in - 393.7 mm		 		Height: 15.0 in - 38</t>
  </si>
  <si>
    <t xml:space="preserve"> "Department of Education REGION X – NORTHERN MINDANAO SCHOOLS DIVISION OF BUKIDNON BAUNGON NATIONAL HIGH SCHOOL IMBATUG, BAUNGON, BUKIDNON "								 REQUEST FOR QUOTATION								 					Date: _____________________			 					RFQ No: ___________________			 				</t>
  </si>
  <si>
    <t xml:space="preserve"> 4	Unit	Brand New Jet Ski with trailer	 		Engine Type: 3 clinder, 4 stroke 	 		Electronic Fuel Injection	 		Displacement: 1,049 cc	 		Fuel Capacity: 70L/18.5gal 	 		unleaded gasoline	 		Rider Capacity: 1-3 persons	 		Storage Capacity: 93.2L/24.6 gal	 		Dim</t>
  </si>
  <si>
    <t xml:space="preserve"> ART B OTHER GENERAL REQUIREMENTS B.5 PROJECT BILLBOARD/SIGNBOARD 1 LOT PART A EARTHWORK 801 REMOVAL OF STRUCTURES AND OBSTRUCTION 1 LUMPSUM 803(1)A EXCAVATION(CANAL EXCAVATION) 84 CU.M PART B PLAIN AND REINFORCED CONCRETE WORKS 900(1)A2 STRUCTURAL CONCRET</t>
  </si>
  <si>
    <t xml:space="preserve"> Vertical Filing Cabinet with 4 drawers 45.6x62x13.1 cm  4 units Office Table with 4 drawers, 120cm</t>
  </si>
  <si>
    <t xml:space="preserve"> OFFICE SUPPLIES AND MATERIALS: 10	pcs.	USB3.0-Flash drive 32GB 10	pcs.	USB3.0-Flash drive 64GB 		 OTHER SUPPLIES AND MATERIALS: 4	pck	Cable tie 4x150mm (100/pck) 30	pcs	Spiral wrap 1M 10	pcs	Adhesive 100gms (no more nails) 5	box	UTP cable CAT5e (305m/box)</t>
  </si>
  <si>
    <t xml:space="preserve"> SPECIFICATIONS: 8th Generation RAM: 8GB or 16GB up to 13.5" screen display 2256x1504 (261 ppi) Storage: 128GB-1TB SSD</t>
  </si>
  <si>
    <t xml:space="preserve"> 112	ROLL	ADDING MACHINE SLIP ADVANCE 57MM X 70M*	 75	PC	BALLPEN HBW ASSORTED* 7263	PC	BALLPEN HBW BLACK*	 812	PC	BALLPEN HBW BLUE*	 757	PC	BALLPEN HBW RED*	 792	PC	BALLPEN PANDA BLACK*	 216	PC	BALLPEN PANDA BLUE*	 216	PC	BALLPEN PANDA RED*	 50	PC	BALLPEN </t>
  </si>
  <si>
    <t xml:space="preserve"> 2000 LITERS</t>
  </si>
  <si>
    <t xml:space="preserve"> VARIOUS JANITORIAL SUPPLIES</t>
  </si>
  <si>
    <t xml:space="preserve"> CLEARING AND EXCAVATION   52.00 CUM STRUCTURAL CONCRETE INCLUDING FORMWORKS   45.36 CUM TRANSHIPMENT OF MATERIALS AND MANUAL HAULING 1.00 LOT PROJECT BILLBOARD 1 LOT</t>
  </si>
  <si>
    <t xml:space="preserve"> Republic of the Philippines Province of Agusan del Sur Municipality of Trento BIDS &amp; AWARDS COMMITTEE INVITATION TO BID  FOR THE CONSTRUCTION OF MUNICIPAL RESIDUAL PROCESSING CENTER Dump Site, Brgy., Pulanglupa, Trento, Agusan del Sur 1.	The Municipality </t>
  </si>
  <si>
    <t xml:space="preserve"> DIESEL AND GASOLINE</t>
  </si>
  <si>
    <t xml:space="preserve"> Specification: Brand New Laptop 1.1GHz Dual-Core Processor with Turbo Boost up to 3.2GHz Memory: 8GB Storage: 256GB SSD storage</t>
  </si>
  <si>
    <t xml:space="preserve"> MULTIFUNCTION COPIER Inclusion: with Five (5) black toner @ 12,000.00 Toner Cartridge Page Yield with Two (2) Black Toner @ 6,000.00 Toner Cartridge Page Yield * Lifetime warranty of Toner Cartridge * With Sales Support after sales * Free Service Maintena</t>
  </si>
  <si>
    <t xml:space="preserve"> DIESEL GASOLINE MOTOR OIL (QUART) ENGINE OIL FOR PICK UP AND DENTAL BUS</t>
  </si>
  <si>
    <t xml:space="preserve"> 435 sq.m. sub-grade preparation 49 cu.m. aggregate sub-base course 133 cu.m. concrete pavement 1 unit mobilization/demobilization 64 sq.ft. signs &amp; billboard 3 mos. occupational safety &amp; health program</t>
  </si>
  <si>
    <t xml:space="preserve"> CLEARING    50.70SQM TILE WORKS (GRANITE TILES)      210.04 SQ.M TILE WORKS ( CERAMIC TILES)    64.40 SQM DOORS AND WINDOWS    1.00 LS PAINTING WORKS    1535.89SQM CEMENT PLASTER FINISH    67.90 SQM REMOVAL/DEMOLITION OF EXISTING STRUCTURE    117.60 SQM P</t>
  </si>
  <si>
    <t xml:space="preserve"> PRINTER (4 UNITS) LAPTOP (2 UNITS)</t>
  </si>
  <si>
    <t xml:space="preserve"> Exhaust Fan, Wall-mounted, metal blade, 16" Industrial Ceiling Fan Aluminum, 5-blade, Standard downrod length wall-mounted rotary switch box, 60" diameter Industrial Wall Fan 3-speed, aluminum blade, 26"</t>
  </si>
  <si>
    <t xml:space="preserve"> PART B OTHER GENERAL REQUIREMENTS B.5 PROJECT BILLBOARD/SIGNBOARD 1 LOT PART A EARTHWORK 803(1)A EXCAVATION (COLUMN FTG., WALL FTG.) 23.22 CU.M 804(1)B EMBANKMENT 57.60 CU.M PART B PLAIN AND REINFORCED CONCRETE WORKS 900(1)A2 STRUCTURAL CONCRETE (FOOTINGS</t>
  </si>
  <si>
    <t xml:space="preserve"> Please  download the attached Request for Quotation Please quote your lowest price inclusive of VAT on the item/s listed below. Subject to the terms and conditions of this RFQ and submit your quotation duly signed by your representative not later than   A</t>
  </si>
  <si>
    <t xml:space="preserve"> BIDS AND AWARDS COMMITTEE INVITATION TO SUBMIT PRICE QUOTATIONS SHOPPING No. 078-2020                                                                 The METRO ROXAS WATER DISTRICT (MRWD), through its Bids and Awards Committee (BAC), invites Manufacturers</t>
  </si>
  <si>
    <t xml:space="preserve"> UPGRADING OF ALDOS ST. ( CONSTRUCTION OF CANAL LINING) ABC (396,542.08) PORTLAND CEMENT 337 BAGS 473-12MM ᴓ X 6M RSB 2521.09 KGS 91-16MM ᴓ 6M RSB 861.77 KGS ASSORTED CWN 42 KGS 1/2" X 4' X 8' ORDINARY PLYWOOD 82 PCS #16 G.I TIE WIRE 67 KGS CONSTRUCTION OF</t>
  </si>
  <si>
    <t xml:space="preserve"> IMPROVEMENT OF WATER TANK (CONCRETING)</t>
  </si>
  <si>
    <t xml:space="preserve"> CONCRETE POST 4"X 4"      230 PIECES BARB WIRE   23 ROLES TIE WIRE NO. 16    5KG</t>
  </si>
  <si>
    <t xml:space="preserve"> Specification: Exterior Height 40" Width 22" Depth 22 1/2" Weight: 389.87 kg Interior Height 30" Width 16" Depth 13" Weight: 389.87 kg Security Features: with two(2) hour fire resistance to direct heat Attack resistance The locking mechanism is controlled</t>
  </si>
  <si>
    <t xml:space="preserve"> 9.9 HORSE POWER, 165 KG WEIGHT WITH ENGINE 1640 MMLX695 MMWX1195MMH, 5 STEP HANDLE HEIGHT LEVEL ADJUSTMENT , STAINLESS STEEL BLADE COVER</t>
  </si>
  <si>
    <t xml:space="preserve"> LABOR &amp; EQUIPMENT RENTAL FOR REHABILITATION OF MULTI-PURPOSE BUILDING (MUNICIPAL ECCD CENTER) AT BINUANGAN, MACO, DAVAO DE ORO.</t>
  </si>
  <si>
    <t xml:space="preserve"> CONSUMABLES FOR EPSON L220  70ml Black, Magenta, Cyan, Yellow Fingertip Moistener Ballpen, Black, 25pcs/box</t>
  </si>
  <si>
    <t xml:space="preserve"> Assorted Construction Materials and Supplies</t>
  </si>
  <si>
    <t xml:space="preserve"> Republic of the Philippines MUNICIPALITY OF PAGBILAO Province of Quezon REQUEST FOR QUOTATION The Municipality of Pagbilao, through its Bids and Awards Committee (BAC), will undertake Negotiated Procurement (Small Value Procurement) for Supply and Deliver</t>
  </si>
  <si>
    <t xml:space="preserve"> MATERIALS FOR REHABILITATION OF MULTI-PURPOSE BUILDING (MUNICIPAL ECCD CENTER) AT BINUANGAN, MACO, DAVAO DE ORO.</t>
  </si>
  <si>
    <t xml:space="preserve"> 3	Unit	Brand New Shuttle Bus	 (Completely Built- Unit)	 Overall Dimension: (mm)	 11000x2500x3600	 Front/Rear Overhang: (mm)	 2250/3190	 Wheelbase : (mm)	 5550 regular bus	 Luggage Compartment volume	 Max 8.2 m3	 Engine: 270HP(Euro 4)	 Transmission: Manual</t>
  </si>
  <si>
    <t xml:space="preserve"> Portland cement 420 bags 233-12mmᴓ x 6mm RSB 1,241.89 KGS 130-16MMᴓ X 6MM RSB 1,231.10 KGS #16 TIE WIRE 58 KGS ASSORTED CW NAILS 33 KGS 1/2'' X 4' X8' ORDINARY PLYWOOD 31 PCS 46-10MMᴓ X 6M RSB 170.2 KGS HACKSAW BLADE 2 PCS CONCRETE NEUTRALIZER 1 GALS MASO</t>
  </si>
  <si>
    <t xml:space="preserve"> IMPROVEMENT OF DRAINAGE CANAL (LABOR, MATERIALS &amp; EQUIPMENT RENTAL) ALONG NATIONAL HIGHWAY, POBLACION, MACO, DAVAO DE ORO.</t>
  </si>
  <si>
    <t xml:space="preserve"> 24 SACKS WELL MILLED RICE 50 KILOS/SACK</t>
  </si>
  <si>
    <t xml:space="preserve"> Assorted Medical Supplies</t>
  </si>
  <si>
    <t xml:space="preserve"> Rehabilitation</t>
  </si>
  <si>
    <t xml:space="preserve"> INVITATION TO BID (Rebid) Procurement of One (1) Unit Brand New Utility Vehicle The LGU Surallah through the Bids and Awards Committee (BAC) is inviting suppliers to bid for the supply and delivery of GOODS/INFRASTRUCTURE/SERVICES with the following detai</t>
  </si>
  <si>
    <t xml:space="preserve"> Bicol Regional Training and Teaching Hospital Legazpi City INVITATION TO BID FOR  Procurement of UV Germicidal Light (HFEP) IB No. 08-2020 1.	The Bicol Regional Training and Teaching Hospital (BRTTH) through the DOH-HFEP Fund intends to apply the sum of S</t>
  </si>
  <si>
    <t xml:space="preserve"> Assorted Drugs and Medicines</t>
  </si>
  <si>
    <t xml:space="preserve"> 410 SQ.FT ANALOCK PARTITION 89.00 SQ. FT. ANALOCK DOOR DELIVERY AND INSTALLATION INCLUDED</t>
  </si>
  <si>
    <t xml:space="preserve"> 708 sq.m. Sub-Grade Preparation 49 cu.m. Aggregate Sub- Base Course 141.6 cu.m. Concrete Pavement 1 unit Mobilization/ Demobilization 64 sq. ft. Signs &amp; Billboard 3 mos. Occupational Safety &amp; Health Program</t>
  </si>
  <si>
    <t xml:space="preserve"> LABOR &amp; EQUIPMENT RENTAL FOR REHABILITATION OF MUNICPAL PUBLIC CEMETERY AT PUROK 5, HIJO, MACO, DAVAO DE ORO.</t>
  </si>
  <si>
    <t xml:space="preserve"> Office Tables (15) Clerical Tables (5) Executive Office Table (3) Chair black with backrest and armrest (9) Vertical Filing Cabinet, 3 drawers (1) Executive Chair black with backrest and armrest (2) Executive Table (2)</t>
  </si>
  <si>
    <t xml:space="preserve"> 874.00 Ln.M</t>
  </si>
  <si>
    <t xml:space="preserve"> INVITATION TO BID (Rebid) Procurement of Construction Materials for the Completion of Streetlights from Round Ball to Iglesia ni Kristo The LGU Surallah through the Bids and Awards Committee (BAC) is inviting suppliers to bid for the supply and delivery o</t>
  </si>
  <si>
    <t xml:space="preserve"> Printing of Learning Modules to be Utilized for Two Weeks Lessons.</t>
  </si>
  <si>
    <t xml:space="preserve"> 118 	bags	        Portland Cement 13	cu.m.	Washed Gravel 1-1/2 9	cu.m.	Washed Sand 10	pcs.	        12mm DRB 8	pcs.	        2” x 6” x 10’  Coco Lumber/Forms 1	KLS.	        4” CW Nails</t>
  </si>
  <si>
    <t xml:space="preserve"> OPENING OF BIDS IN DSWD FO IX, ZAMBOANGA CITY			 1	DELIVERY IN MUNICIPALITY OF DUMINGNGAG, SIAYAN AND MAHAYAG ZAMBOANGA DEL SUR			 	PROCUREMENT FOR THE FF.:			 				 78	pax	2 meals,2 snacks	@	 350.00  		MDRRMC Meeting/Orientation		 		August 17, 2020		 156	</t>
  </si>
  <si>
    <t xml:space="preserve"> INVITATION TO BID PROCUREMENT OF OTHER SUPPLIES AND MATERIALS (FOOD/GROCERY ITEMS) FOR THE USE OF NAVOTAS INSTITUTE 	 The City Government of Navotas, through its Bids and Awards Committee, will hold a Public Bidding for the PROCUREMENT OF OTHER SUPPLIES A</t>
  </si>
  <si>
    <t xml:space="preserve"> PHO-FURNITURES AND FIXTURES</t>
  </si>
  <si>
    <t xml:space="preserve"> INVITATION TO BID PROCUREMENT OF PRINTING SERVICES FOR THE USE OF VARIOUS OFFICES OF THE CITY GOVERNMENT OF NAVOTAS (SECOND BIDDING) 	 The City Government of Navotas, through its Bids and Awards Committee, will hold a Public Bidding for the PROCUREMENT OF</t>
  </si>
  <si>
    <t xml:space="preserve"> Supply and Delivery of MDRRMO Equipment</t>
  </si>
  <si>
    <t xml:space="preserve"> INVITATION TO BID (662-2020) Procurement of Materials for the Construction of CR at Ecopark The LGU Surallah through the Bids and Awards Committee (BAC) is inviting suppliers to bid for the supply and delivery of GOODS/INFRASTRUCTURE/SERVICES with the fol</t>
  </si>
  <si>
    <t xml:space="preserve"> 1.	The Provincial Government of Ilocos Norte through RA 7171    intends to apply the sum of Two Million Pesos (Php2,000,000.00) being the Approved Budget for the Contract (ABC) to payments for the Rehabilitation and Improvement of Mabuti-Caparian Provinci</t>
  </si>
  <si>
    <t xml:space="preserve"> 1.	The Provincial Government of Ilocos Norte through RA 7171    intends to apply the sum of One Million Nine Hundred Eighty Three Thousand Three Hundred Ninety Four and 98/100 Pesos (Php1,983,394.98) being the Approved Budget for the Contract (ABC) to pay</t>
  </si>
  <si>
    <t xml:space="preserve"> INVITATION TO BID (Rebid) Procurement of Parts for the Repair &amp; Maintenance of Tractor The LGU Surallah through the Bids and Awards Committee (BAC) is inviting suppliers to bid for the supply and delivery of GOODS/INFRASTRUCTURE/SERVICES with the followin</t>
  </si>
  <si>
    <t xml:space="preserve"> INVITATION TO BID PROCUREMENT OF OTHER SUPPLIES AND MATERIALS FOR THE USE OF NAVOTAS INSTITUTE 	 The City Government of Navotas, through its Bids and Awards Committee, will hold a Public Bidding for the PROCUREMENT OF OTHER SUPPLIES AND MATERIALS FOR THE </t>
  </si>
  <si>
    <t xml:space="preserve"> 85	bags	Portland Cement 5	cu.m.	Washed Gravel ¾” 8	cu.m.	Washed Sand 20	pcs.	10mm DRB 3	kls.	#16 GI Tie Wires 500	pcs. 	4” CHB 30	pcs	6mm Steel Matting 8	pcs.	1-1/2 Dia GI Pipe Sch. 40 2	kls.	Concrete Nails 1	box	Steel Cutting Disc 5	pcs.	Stone Grinding D</t>
  </si>
  <si>
    <t xml:space="preserve"> 1.	The Provincial Government of Ilocos Norte through RA 7171    intends to apply the sum of One Million Fifty Eight Thousand Three Hundred Forty Five Pesos (Php1,058,345.00) being the Approved Budget for the Contract (ABC) to payments for the Installation</t>
  </si>
  <si>
    <t xml:space="preserve"> Name of Project:   CONNECTING THE EARIST LABORATORIES AND FACULTY ROOMS in the  			 Immediate Distribution Function for the Demands on LMS/Blended 			 Learning” Particulars	                                                                                Me</t>
  </si>
  <si>
    <t xml:space="preserve"> Republic of the Philippines Province of Quezon Municipality of Atimonan Barangay Habingan INVITATION FOR ELIGIBILITY AND TO BID 	The Barangay Government Unit of Habingan, Atimonan, Quezon thru the Bids and Awards Committee (BAC) invites interested supplie</t>
  </si>
  <si>
    <t xml:space="preserve"> 1	pc	PVC Moulding 1/2"						10 2	pc	Aluminum Threshold						2 3	pc	25mmØ PVC conduit						6 4	pc	25mmØ RSC elbow						4 5	pc	20mmØ PVC conduit 						25 6	m	Flexible Hose 1/2"                                 						100 7	pc	Aluminum Threshold               </t>
  </si>
  <si>
    <t xml:space="preserve"> DIESEL FUEL 15,000LTRS</t>
  </si>
  <si>
    <t xml:space="preserve"> 1		pcs		Students Identification Card						1,756</t>
  </si>
  <si>
    <t xml:space="preserve"> INVITATION TO BID (663-2020) Procurement of Materials for the Construction of Material Recovery Facility  The LGU Surallah through the Bids and Awards Committee (BAC) is inviting suppliers to bid for the supply and delivery of GOODS/INFRASTRUCTURE/SERVICE</t>
  </si>
  <si>
    <t xml:space="preserve"> 3,000	kgs	Lot 1: Molasses		 		-  Pure Molasses		 		-  30 kilograms/container		 				 		Delivery Site/Drop-off Point:		 		PREC Sta. Barbara, Pangasinan - 3,000 kilograms		 				 50	roll	Lot 2: Plastic Mulch		 		-  1.2m x 400m x .002mm		 		-  Black/Silver		 	</t>
  </si>
  <si>
    <t xml:space="preserve"> ITEM: 348 kgs Welding Rod E6012 PURPOSE: VARIOUS WORK ORDER(W.O.#20-033-A)(W.O.#20-019-A)(W.O.#20-013-A)(W.O.#20-031-A) (W.O.#20-016-A)	 ABC: PHP 52,200.00 DELIVERY SCHEDULE: 10 CALENDAR DAYS</t>
  </si>
  <si>
    <t xml:space="preserve"> INVITATION TO BID (667-2020) Procurement of Construction Materials for the Construction of Stairway of  Bahay Pag-asa The LGU Surallah through the Bids and Awards Committee (BAC) is inviting suppliers to bid for the supply and delivery of GOODS/INFRASTRUC</t>
  </si>
  <si>
    <t xml:space="preserve"> INVITATION TO BID (664-2020) Procurement of Construction Materials for the Construction of Garage  (Demo Farm) The LGU Surallah through the Bids and Awards Committee (BAC) is inviting suppliers to bid for the supply and delivery of GOODS/INFRASTRUCTURE/SE</t>
  </si>
  <si>
    <t xml:space="preserve"> The Following are the Materials needed for the Rehabilitation of Pipe Lines: -	8 lengths	PVC pies 6” Class 150  -	4 Pcs 	90°Mechanical Elbow 6” x 16" inch -	1 Pc 		(Teflon Type) Flange Type Gate Valve 6” -	2 Pcs 	Fabricated Adaptor 6” (Flange to PVC)</t>
  </si>
  <si>
    <t xml:space="preserve"> DIESEL FUEL 10,000LTRS</t>
  </si>
  <si>
    <t xml:space="preserve"> 5 ea Memento and 18 other line items</t>
  </si>
  <si>
    <t xml:space="preserve"> Republika ng Pilipinas PAMAHALAANG LUNGSOD NG TACLOBAN (City Government of Tacloban) Kanhuraw Hill, Tacloban City 6500 Bids and Awards Committee INVITATION TO SUBMIT PRICE QUOTATIONS FOR THE NEGOTIATED PROCUREMENT (Small Value Procurement) OF OFFICE EQUIP</t>
  </si>
  <si>
    <t xml:space="preserve"> 9	bottle	Sulfuric Acid, AR grade, ~96-98%, 2.5L/bottle		  4	bottle	Nitric Acid, AR grade, 70%, 2.5L/bottle		  2	bottle	Lanthanum Oxide, AR grade, 250g/bottle</t>
  </si>
  <si>
    <t xml:space="preserve"> INVITATION TO BID (666-2020) Procurement of Construction Materials for the Concreting of Roads – from Lamual to Sitio Batnawan Road, Brgy. Canahay  The LGU Surallah through the Bids and Awards Committee (BAC) is inviting suppliers to bid for the supply an</t>
  </si>
  <si>
    <t xml:space="preserve"> Thirty Five (35) bx Gun oil Lubricating 50x120ml &amp; 4 other line items</t>
  </si>
  <si>
    <t xml:space="preserve"> - Janitorial Service for Cleaning and Sanitation of DOT-7 Office while Cebu City is in Quarantine Status due to COVID19 pandemic - 1 Female Janitor - 110 working days (August-December 2020) - will work eight (8) hours a day for five (5) working days, Mond</t>
  </si>
  <si>
    <t xml:space="preserve"> 19 pcs 1/2" thick Marine Plywood 20 pcs 1/4" thick Marine Plywood 4 kg #3 Bronze Nails 6 kg #2 Bronze Nails 4 kg #1 Bronze Nails 3 gal Waterproof Epoxy 4 gal Laquer Thinner 4 gal QDE Flat White 8 gal QDE Forest Green 24 pcs #120 Sand Paper 4 pcs Paint Bru</t>
  </si>
  <si>
    <t xml:space="preserve"> 1. 1 unit brand new PICK UP VEHICLE  Color Black customized with emergency equipment and apparatus (emergency siren with speakers, Flood lights, strobe lights, emergency medical kit, rescue towing rope [2500kg towing capacity], overhead carrier, two-way V</t>
  </si>
  <si>
    <t xml:space="preserve"> Republic of the Philippines Province of Iloilo  BIDS AND AWARDS COMMITTEE REQUEST FOR QUOTATION Quotation No.PEN-20-0910-NP (SV) Reference PR No. PEN-20-0910 July 29, 2020   ________________ ________________ ________________ 	 	The Iloilo Provincial Gover</t>
  </si>
  <si>
    <t xml:space="preserve"> INVITATION TO BID (665-2020) Procurement of Construction Materials for the Construction of Potable Water System The LGU Surallah through the Bids and Awards Committee (BAC) is inviting suppliers to bid for the supply and delivery of GOODS/INFRASTRUCTURE/S</t>
  </si>
  <si>
    <t xml:space="preserve"> OPENING OF BIDS IN DSWD FO IX, ZAMBOANGA CITY			 4	DELIVERY IN MUNICIPALITY OF  TUNGAWAN ZAMBOANGA SIBUGAY			 	PROCUREMENT FOR THE FF.:			 				 91	pax	1 meal, 2 snacks	@	 300.00  		Community Project Devt Workshop		 		August 18-19, 2020		 66	pax	1 meal, 2 </t>
  </si>
  <si>
    <t xml:space="preserve"> REHABILITATION /IMPROVEMENT NAGRARABAN AMUYAO WATER SYSTEM bags	Portland Cement			19 bags	Water Proofing Compound			10 kgs	22 - 12mm Ø X 6m RSB			117.26 pcs	1/2" x 4' x 8' Ordinary Plywood		5 kgs	Assorted CWN		5 kgs	#16 Tie wire		10 rolls	1 1/2" diam. X 6</t>
  </si>
  <si>
    <t xml:space="preserve"> Republika ng Pilipinas PAMAHALAANG LUNGSOD NG TACLOBAN (City Government of Tacloban) Kanhuraw Hill, Tacloban City 6500 Bids and Awards Committee INVITATION TO SUBMIT PRICE QUOTATIONS FOR THE NEGOTIATED PROCUREMENT (Small Value Procurement) OF APPLIANCES B</t>
  </si>
  <si>
    <t xml:space="preserve"> 254 ea  CD-R (80mm/700mb) and 44 other line items</t>
  </si>
  <si>
    <t xml:space="preserve"> 1.	The Provincial Government of Ilocos Norte through Capital Outlay - Buildings    intends to apply the sum of Nine Hundred Ninety Seven Thousand Three Hundred Pesos (Php997,300.00) being the Approved Budget for the Contract (ABC) to payments for the Impr</t>
  </si>
  <si>
    <t xml:space="preserve"> One (1) pc Engine Water Pump (108 KVA) Genset Diesel Type &amp; 9 other line items</t>
  </si>
  <si>
    <t xml:space="preserve"> ITEM: 15 lgths Flat Bar 1/2" thk x 2" x 6m							 84 lgths Deformed Bars 20mmØ x6m							 103 lgths Deformed Bars 10mmØ x6m							 2 lgths Plain Round Bar 25mmØ x 6m							 1 lgth Plain Round Bar 10mmØ x 6m							 15 pcs Chalkstone 							 6 pcs Dark Glas</t>
  </si>
  <si>
    <t xml:space="preserve"> 1.	The Provincial Government of Ilocos Norte through RA 7171    intends to apply the sum of Three Million Pesos (Php3,000,000.00) being the Approved Budget for the Contract (ABC) to payments for the Repair/Rehabilitation of Damaged Protection Works at Mal</t>
  </si>
  <si>
    <t xml:space="preserve"> Six (6) ea Ball Joint 2 Unit Pick-up (POQ-752) &amp; (VS-5931) &amp; 105 other line items</t>
  </si>
  <si>
    <t xml:space="preserve"> 300 ea Folder Sliding (Long) and 11 other line items</t>
  </si>
  <si>
    <t xml:space="preserve"> 20	pieces	Trapal/ Tolda/ Lona		 		Specifications:		 		Size : 20 ft x 30 ft		 		Thickness : S400		 		Others : Ring all sides (eyelets)		 		Electronically Welded Edges		 		Comes with 5mm reinforcement rope all around the material</t>
  </si>
  <si>
    <t xml:space="preserve"> 1.	The Provincial Government of Ilocos Norte through Capital Outlay - Buildings    intends to apply the sum of Two Million Forty Eight Thousand Six Hundred Ninety Nine and 56/100 Pesos (Php2,048,699.56) being the Approved Budget for the Contract (ABC) to </t>
  </si>
  <si>
    <t xml:space="preserve"> 1.	The Provincial Government of Ilocos Norte through 20% Development Fund    intends to apply the sum of One Million Pesos (Php1,000,000.00) being the Approved Budget for the Contract (ABC) to payments for the Construction/Improvement/Rehabilitation of Vi</t>
  </si>
  <si>
    <t xml:space="preserve"> 2 ea Magnetron, 12Kw &amp; 25 L/I</t>
  </si>
  <si>
    <t xml:space="preserve"> ITEM: 200 pc 15 watt T8 LED Tube							 20 pc 8 watt T8 LED Tube							 1 roll Royal Cord AWG #12							 50 pc 5 watt E27 LED Bulb		 PURPOSE: REPAIR AND MAINTENANCE OF ADMINISTRATIVE OFFICE	 ABC: PHP 87,500.00 DELIVERY SCHEDULE: 10 CALENDAR DAYS</t>
  </si>
  <si>
    <t xml:space="preserve"> PURCHASE OF DUMP TRUCK TIRES AND SHOP SUPPLIES, CGSO, CALBAYOG CITY</t>
  </si>
  <si>
    <t xml:space="preserve"> Six (6) ea Strainer &amp; 20 other line items</t>
  </si>
  <si>
    <t xml:space="preserve"> 1.	The Provincial Government of Ilocos Norte through RA 7171    intends to apply the sum of One Million Two Hundred Thousand and 12/100 Pesos (Php1,200,000.12) being the Approved Budget for the Contract (ABC) to payments for the Repair and Improvement of </t>
  </si>
  <si>
    <t xml:space="preserve"> 50 pk Double AA Battery and 19 other line items</t>
  </si>
  <si>
    <t xml:space="preserve"> 150 pk Carbonara Sauce 490g and 31 other line items</t>
  </si>
  <si>
    <t xml:space="preserve"> PHIVIDEC INDUSTRIAL AUTHORITY	 MCT Complex, Tagoloan, Mis. Oriental	 Tel Nos: (08822) 740245, (088) 5670-315	 email add:  	procurement@piamo.gov.ph 	 Standard Form Number: SF-GOOD-60	 Revised on: May 24, 2004	Oct-16 Standard Form Title:  REQUEST FOR QUOTA</t>
  </si>
  <si>
    <t xml:space="preserve"> Republika ng Pilipinas PAMAHALAANG LUNGSOD NG TACLOBAN (City Government of Tacloban) Kanhuraw Hill, Tacloban City 6500 Bids and Awards Committee INVITATION TO SUBMIT PRICE QUOTATIONS FOR THE NEGOTIATED PROCUREMENT (Small Value Procurement) OF LIVE ANIMALS</t>
  </si>
  <si>
    <t xml:space="preserve"> PURCHASE OF 2 UNITS MOTORCYCLE, CGSO, CALBAYOG CITY</t>
  </si>
  <si>
    <t xml:space="preserve"> NISSAN URVAN NV350	 sets	4	Tubeless Tire 195R15	 38,320.00  		SUZUKI MULTICAB SJT-666	 pc	1	Release Bearing RTC-53385A2	 1,840.00  pc	1	Stop Light Switch	 220.00  set	1	Brake Pad DB-388	 4,850.00  pcs	20	Sliding Cap	 1,500.00  pc	1	Brake Master Assy	 2,23</t>
  </si>
  <si>
    <t xml:space="preserve"> Labor and materials for the replacement and maintenance of RP vehicle BEJ-698 (ISUZU DMAX)		 				 		Materials: 		 2	pcs	L &amp; R Tail Light Assy		 1	lot	Floor Matting Rubber		 2	pcs	Stepboard		 1	pc 	Dashshield		 1	set	Car Tint (3m)		 1	set	Mags Rim (15"; 6 </t>
  </si>
  <si>
    <t xml:space="preserve"> 5	piece 	Tires #235/70 R15		   1	piece 	Battery 3SM 12V, gold		   2	piece 	Wiper Blade		  	 	 		  	 	Service: Labor to be rendered		 		 Wheel Installation and Balancing</t>
  </si>
  <si>
    <t xml:space="preserve"> ITEM: 1 lot Desludging of septic tanks near PW#32 at brgy. Camaman-an CDOC.	 PW No. 32-25 septic tanks (4,500 per truck load)							 PURPOSE: "IMPLEMENTATION OF DESLUDGING PROGRAM CHARGE TO:EXPENSE 2020-GENERAL SERVICES:OTHERS GENERAL SERVICES-SEPTIC TANK</t>
  </si>
  <si>
    <t xml:space="preserve"> Procurement of Van Hire To be used for the monitoring, validation and inspection of DA funded program/projects in the Province of Aklan 1	van	August 13-14, 2020 Ibajay, Tangalan 1	van	August 19-20, 2020 Malay, Nabas, Buruanga 1	van	August 26-27, 2020 Bang</t>
  </si>
  <si>
    <t xml:space="preserve"> ITEM:  600 liters 15W/40-Diesel			 PURPOSE: RPP NO. 20-07-05-048-FOR REPLENISHMENT OF STOCKS		 ABC: PHP 180,000.00 DELIVERY SCHEDULE: 10 CALENDAR DAYS</t>
  </si>
  <si>
    <t xml:space="preserve"> 1.	The Provincial Government of Ilocos Norte through Capital Outlay – Other Structures    intends to apply the sum of One Million Nine Hundred Ninety Seven Thousand Seven Hundred Ninety Five and 78/100 Pesos (Php1,997,795.78) being the Approved Budget for</t>
  </si>
  <si>
    <t xml:space="preserve"> Lot 1: Repair and Maintenance of various Rescue Trucks  (1) Unit Isuzu rebuild Fire Tanker Rescue Truck with Plate No. (ACK 2770) (1) Unit Hino Fire Rescue Truck with Plate No. (SLA 701) (1) Unit SKW Off Road Rescue Truck with Plate No. (AAT-3503) (1) Uni</t>
  </si>
  <si>
    <t xml:space="preserve"> Labor of Construction of 2 Triple Engine Patrol Boat for PNP and PA</t>
  </si>
  <si>
    <t xml:space="preserve"> Republic of the Philippines MUNICIPALITY OF MACABEBE Province of Pampanga INVITATION TO BID FOR Street Lights 1.	The Municipality of Macabebe, through the 2020 Municipal Budget intends to apply the sum of Seven Hundred Sixty-Nine Thousand Six Hundred Peso</t>
  </si>
  <si>
    <t xml:space="preserve"> Prospective bidders should have experience in undertaking a similar project within the last two (2) years within an amount of at least 50% of the proposed project for bidding. The Eligibility Check/Screening as well as the Preliminary Examination of Bids </t>
  </si>
  <si>
    <t xml:space="preserve"> Thirty Nine (39) bxs Candy Drops Assorted 200/g can, 12 cans/box &amp; 15 other line items</t>
  </si>
  <si>
    <t xml:space="preserve"> PR NO. 1162 - 20                                                            CITY GOVERNMENT OF TACURONG                                                       Alunan Highway, Tacurong City Sultan Kudarat                                      BIDS AND AWARDS</t>
  </si>
  <si>
    <t xml:space="preserve"> ITEM: 1 unit LAPTOP (please attached specs) PURPOSE: FOR REPLACEMENT OF DEFECTIVE LAPTOP ASSIGNED TO MSD DEPT. MANAGER		 ABC: PHP 70,000.00 DELIVERY SCHEDULE: 10 CALENDAR DAYS</t>
  </si>
  <si>
    <t xml:space="preserve"> 1.	The Provincial Government of Ilocos Norte through Capital Outlay – Other Structures    intends to apply the sum of One Million Five Hundred Thousand Pesos (Php1,500,000.00) being the Approved Budget for the Contract (ABC) to payments for the Constructi</t>
  </si>
  <si>
    <t xml:space="preserve"> 1. The BLGUs of Bagnen Oriente, Bagnen Proper and Balintaugan through the Bids and Awards Committee (BAC) of LGU-Bauko as their procuring agent, intends to apply the sum of One Million Seven Hundred Thirty Eight Thousand One Hundred Ninety Six Pesos &amp; 32/</t>
  </si>
  <si>
    <t xml:space="preserve"> 1.	The Provincial Government of Ilocos Norte through 20% Development Fund    intends to apply the sum of Eleven Million Pesos (Php11,000,000.00) being the Approved Budget for the Contract (ABC) to payments for the Construction/Improvement/Rehabilitation o</t>
  </si>
  <si>
    <t xml:space="preserve"> The Municipal Government of Atok, Benguet now invites bids for SUPPLY AND DELIVERY OF ONE (1) UNIT SILENT DIESEL GENERATOR SET TO BE USED/INSTALLED AT THE NEW MUNICIPAL BUILDING with the following description: 1.	1	Unit 	SILENT DIESEL GENERATOR SET  	 	 	</t>
  </si>
  <si>
    <t xml:space="preserve"> Republic of the Philippines CITY OF BAIS BIDS AND AWARDS COMMITTEE INVITATION TO APPLY FOR ELIGIBILITY AND TO BID 	The City Government of Bais invites interested bidders to apply for eligibility and to bid for Rehabilitation of Day Care Center @ Brgy. Pan</t>
  </si>
  <si>
    <t xml:space="preserve"> 1. The LGU-Bauko through its Annual Budget CY 2020  intends to apply the sum of One Million Two Hundred Seven Thousand Six Hundred Ten Pesos &amp; 22/100  (P 1,207,610.22) being the Approved Budget for the Contract (ABC) to payment for the contract P – 2020 –</t>
  </si>
  <si>
    <t xml:space="preserve"> Republic of the Philippines CITY OF BAIS BIDS AND AWARDS COMMITTEE INVITATION TO APPLY FOR ELIGIBILITY AND TO BID 	The City Government of Bais invites interested bidders to apply for eligibility and to bid for Water Supply Devt. Various Sitios Brgy. Sab-a</t>
  </si>
  <si>
    <t xml:space="preserve"> Republic of the Philippines CITY OF BAIS BIDS AND AWARDS COMMITTEE INVITATION TO APPLY FOR ELIGIBILITY AND TO BID 	The City Government of Bais invites interested bidders to apply for eligibility and to bid for the improvement/enhancement of service pumpbo</t>
  </si>
  <si>
    <t xml:space="preserve"> The AGRICULTURAL TRAINING INSTITUTE-REGIONAL TRAINING CENTER (ATI-RTC) X, through the 2020 General Appropriations Act intends to apply the sum of Seventy Eight Thousand Nine Hundred Pesos (P 78,900.00) being the Approved Budget for the Contract (ABC) to p</t>
  </si>
  <si>
    <t xml:space="preserve"> Various Air-conditioning Units with materials included service cost, test run and commissioning</t>
  </si>
  <si>
    <t xml:space="preserve"> Republic of the Philippines CITY OF BAIS BIDS AND AWARDS COMMITTEE INVITATION TO APPLY FOR ELIGIBILITY AND TO BID 	The City Government of Bais invites interested bidders to apply for eligibility and to bid for Repair &amp; Maintenance – Building &amp; Other Struc</t>
  </si>
  <si>
    <t xml:space="preserve"> 1	Air Conditioning Unit, Floor Standing with Installation	1	unit	 2	Air Conditioner          Specification: 1.5 HP                             Inverter                             Refrigirant R410A                             Earth Friendly	              </t>
  </si>
  <si>
    <t xml:space="preserve"> 2 units Van Rental of service vehicle for the conduct of On-Site Performance Validation for the Candidates for Promotion to PSDS, Principal, Head Teacher &amp; Master Teacher Positions for SY 2020-2021 from Area 1-5 for the whole month of August,2020. Schedul</t>
  </si>
  <si>
    <t xml:space="preserve"> FLASHDRIVE QTY: 832 PCS SPECIFICATION: INTERFACE TYPE: USB 3.0 PRODUCT TYPE: FLASH DISK MATERIAL: METAL CONNECTOR: STANDARD A CAPACITY: 64GB QTY: 500 PCS SPECIFICATION: INTERFACE TYPE: USB 2.0 PRODUCT TYPE: FLASH DISK MATERIAL: METAL CONNECTOR: STANDARD A</t>
  </si>
  <si>
    <t xml:space="preserve"> The Municipal Government of Atok, Benguet now invites bids for SUPPLY AND DELIVERY OF VARIOUS TESTING KITS TO BE USED FOR HEALTH SERVICES IN THE MUNICIPALITY with the following description: 1.	32	Pieces	INFLUENZA VACCINE 2.	12	Pieces	RBS STRIPS 3.	48	Piec</t>
  </si>
  <si>
    <t xml:space="preserve"> Republic of the Philippines CITY OF BAIS BIDS AND AWARDS COMMITTEE INVITATION TO APPLY FOR ELIGIBILITY AND TO BID 	The City Government of Bais invites interested bidders to apply for eligibility and to bid for Repair and Maintenance-Buildings &amp; Other Stru</t>
  </si>
  <si>
    <t xml:space="preserve"> Republic of the Philippines CITY OF BAIS BIDS AND AWARDS COMMITTEE INVITATION TO APPLY FOR ELIGIBILITY AND TO BID 	The City Government of Bais invites interested bidders to apply for eligibility and to bid for Construction of Daycare Centers @ Brgy. Camba</t>
  </si>
  <si>
    <t xml:space="preserve"> RESOLUTION ON PRIOR APPROVAL NO. 07-107                   Series of 2020 		 RESOLUTION RECOMMENDING THE USE OF ALTERNATIVE METHOD OF PROCUREMENT FOR  THE ACQUISITION OF GOODS AND SERVICES   WHEREAS, the submitted Purchase Requests with the following detai</t>
  </si>
  <si>
    <t xml:space="preserve"> Republic of the Philippines                 CITY GOVERNMENT OF TACURONG Alunan Highway, Tacurong City Sultan Kudarat BIDS AND AWARDS COMMITTEE                       Tel nos. (064) 562-0128 / Telefax no. (064) 477 - 0138                 www.tacurong.gov.ph</t>
  </si>
  <si>
    <t xml:space="preserve"> 28 Boxes COVID2 SARS Diagnostic Kit, lgM/lgG Antibody (10 lgM + 10 lgG = 20 kits/10test/box)</t>
  </si>
  <si>
    <t xml:space="preserve"> Republic of the Philippines													 City of San Carlos													 Negros Occidental													 													 INVITATION TO BID											FOR SALE	 			PURCHASE REQUEST NO: 1-20-07-0892				P 300.00	 Sealed bids for quotation of prices will be recei</t>
  </si>
  <si>
    <t xml:space="preserve"> Republic of the Philippines													 City of San Carlos													 Negros Occidental													 													 INVITATION TO BID											FOR SALE	 			PURCHASE REQUEST NO: 1-20-07-0869				P 150.00	 Sealed bids for quotation of prices will be recei</t>
  </si>
  <si>
    <t xml:space="preserve"> Republic of the Philippines													 City of San Carlos													 Negros Occidental													 													 INVITATION TO BID											FOR SALE	 			PURCHASE REQUEST NO: 1-20-07-0867				P 150.00	 Sealed bids for quotation of prices will be recei</t>
  </si>
  <si>
    <t xml:space="preserve"> Republic of the Philippines													 City of San Carlos													 Negros Occidental													 									                     			REBIDDING	 INVITATION TO BID											FOR SALE	 			PURCHASE REQUEST NO: 1-20-07-0811				P 150.00	 Sealed bids for quo</t>
  </si>
  <si>
    <t xml:space="preserve"> Republic of the Philippines													 City of San Carlos													 Negros Occidental													 										                  		REBIDDING	 INVITATION TO BID											FOR SALE	 			PURCHASE REQUEST NO: 1-20-07-0842				P 150.00	 Sealed bids for quotat</t>
  </si>
  <si>
    <t xml:space="preserve"> Republic of the Philippines													 City of San Carlos													 Negros Occidental													 													 INVITATION TO BID											FOR SALE	 			PURCHASE REQUEST NO: 1-20-07-0916				P 200.00	 Sealed bids for quotation of prices will be recei</t>
  </si>
  <si>
    <t xml:space="preserve"> MATERIALS FOR REHABILITATION OF MUNICIPAL PUBLIC CEMETERY AT PUROK 5, HIJO, MACO, DAVAO DE ORO.</t>
  </si>
  <si>
    <t xml:space="preserve"> Republic of the Philippines													 City of San Carlos													 Negros Occidental													 										                     		REBIDDING	 INVITATION TO BID											FOR SALE	 			PURCHASE REQUEST NO: 1-20-07-0840				P 300.00	 Sealed bids for quo</t>
  </si>
  <si>
    <t xml:space="preserve"> Republic of the Philippines													 City of San Carlos													 Negros Occidental													 													 INVITATION TO BID											FOR SALE	 			PURCHASE REQUEST NO: 1-20-07-0846				P 582.00	 Sealed bids for quotation of prices will be recei</t>
  </si>
  <si>
    <t xml:space="preserve"> Republic of the Philippines													 City of San Carlos													 Negros Occidental													 													 INVITATION TO BID											FOR SALE	 			PURCHASE REQUEST NO: 1-20-07-0824				P 150.00	 Sealed bids for quotation of prices will be recei</t>
  </si>
  <si>
    <t xml:space="preserve"> Invitation to Bid for the repair &amp; maintenance of various service vehicles of Batangas City Government</t>
  </si>
  <si>
    <t xml:space="preserve"> Republic of the Philippines													 City of San Carlos													 Negros Occidental													 													 INVITATION TO BID											FOR SALE	 			PURCHASE REQUEST NO: 1-20-07-0845				P 150.00	 Sealed bids for quotation of prices will be recei</t>
  </si>
  <si>
    <t xml:space="preserve"> Republic of the Philippines													 City of San Carlos													 Negros Occidental													 													 INVITATION TO BID											FOR SALE	 			PURCHASE REQUEST NO: 1-20-07-0910				P 150.00	 Sealed bids for quotation of prices will be recei</t>
  </si>
  <si>
    <t xml:space="preserve"> Republic of the Philippines													 City of San Carlos													 Negros Occidental													 										                    		REBIDDING	 INVITATION TO BID											FOR SALE	 			PURCHASE REQUEST NO: 9-20-06-0794				P 637.00	 Sealed bids for quot</t>
  </si>
  <si>
    <t xml:space="preserve"> Invitation to Bid for the supply &amp; delivery of Various Construction Materials for use of different Barangay of Batangas City</t>
  </si>
  <si>
    <t xml:space="preserve"> Invitation to Bid for the supply, delivery &amp; installation of Acrylic Clear Cast Protective Screen for use of different offices of Batangas City Government.</t>
  </si>
  <si>
    <t xml:space="preserve"> Invitation to Bid for the supply &amp; delivery of Various Dental Equipment for use of the City Health Office, Batangas City</t>
  </si>
  <si>
    <t xml:space="preserve"> Invitation to Bid for the supply &amp; delivery of Various Office Supplies &amp; Equipment for use of different offices of Batangas City Government</t>
  </si>
  <si>
    <t xml:space="preserve"> 1. 6 Pcs. 400 W. Flood Light Lamp 2. 2 Boxes TW # 12 (3.5 mm) Stranded Wire 3. 12 Mtrs TW # 10 (5.5 mm) Stranded Wire 4. 1 Pc. Panel Board 6 Branches Bolt on Koten 5. 1 Pc. 30 Amp. Koten Circuit Breaker 6. 3 Pcs. 20 Amp. Koten Circuit Breaker 7. 4 Pcs. Ju</t>
  </si>
  <si>
    <t xml:space="preserve"> Republic of the Philippines Province of Iloilo Municipality of Lambunao Office of the Bids &amp; Awards Committee INVITATION TO BID/ REQUEST FOR PRICE QUOTATION Name of Project: Purchase of materials for the Rehabilitation of Old Spanish Road Location: Brgy. </t>
  </si>
  <si>
    <t xml:space="preserve"> 1.	The Barangay Local Government Unit of San Roque, through the Budget for the Contract approved by the Sanggunian intends to apply the sum of two hundred sixty nine thousand and two hundred pesos only (Php 269,200.00), being the Approved Budget for the C</t>
  </si>
  <si>
    <t xml:space="preserve"> 1.	The Local Government Unit of Las Nieves, through the Budget for the Contract Approved by the Sanggunian intends to apply the sum of one hundred thousand pesos only (Php 100,000.00) for Lot 1, thirty eight thousand and seven hundred pesos only (Php 38,7</t>
  </si>
  <si>
    <t xml:space="preserve"> Part A	Facilities for the Engineer		 A.1	        Provision of combined field office, labo-	months	5 	        ratory &amp; living quarters building for the		 	        engineer (Rental basis)		 Part B	Other General Requirements		 B.1	        Medical Room &amp; Firs</t>
  </si>
  <si>
    <t xml:space="preserve"> CONSTRUCTION  MATERIALS</t>
  </si>
  <si>
    <t xml:space="preserve"> The Zamboanga State College of Marine Sciences and Technology (ZSCMST), through its Bids and Awards Committee, is inviting PhilGEPS registered suppliers to submit its best quotation on the item/s listed below, subject to the terms and conditions below sta</t>
  </si>
  <si>
    <t xml:space="preserve"> Republic of the Philippines													 City of San Carlos													 Negros Occidental													 										                    		REBIDDING	 INVITATION TO BID											FOR SALE	 			PURCHASE REQUEST NO: 1-20-07-0825				P 512.00	 Sealed bids for quot</t>
  </si>
  <si>
    <t xml:space="preserve"> OPENING OF BIDS IN DSWD FO IX, ZAMBOANGA CITY				 	DELIVERY IN MUNICIPALITY OF LABANGAN ZAMBOANGA DEL SUR				 	PROCUREMENT FOR THE FF.:				 					 150	PAX	1 MEAL	@	 150.00 	 		BRGY./LOCAL AGENCY TASK FORCE COVID 19/BDRRMC (CUM PLANNING WORKSHOP AND PLANNIN</t>
  </si>
  <si>
    <t xml:space="preserve"> 1.	The Local Government Unit of Las Nieves, through the Budget for the Contract Approved by the Sanggunian intends to apply the sum of sixty thousand pesos only (Php 60,000.00), being the Approved Budget for the Contract (ABC) to payments under the contra</t>
  </si>
  <si>
    <t xml:space="preserve"> City Government of Manila INVITATION TO BID  NO. 2020-08-118 Procurement of Various I.T. Equipment 1.	The  City Government of Manila, through the Capital Outlay - Information  and Communication Technology Equipment  intends to apply  the sum of  One  Mill</t>
  </si>
  <si>
    <t xml:space="preserve"> 1.	The Local Government Unit of Las Nieves, through the Budget for the Contract approved by the Sanggunian (20% DF) intends to apply the sum of two hundred three thousand nine hundred and eighty six pesos only (Php 203,986.00) for Lot 1, one hundred ninet</t>
  </si>
  <si>
    <t xml:space="preserve"> Republic of the Philippines Province of Iloilo MUNICIPALITY OF BINGAWAN Office of the Bids and Awards Committee INVITATION TO RE-BID PURCHASE OF MATERIALS FOR THE CONSTRUCTION/REHABILITATION OF EVACUATION CENTER Name of Project 1.	The Local Government Uni</t>
  </si>
  <si>
    <t xml:space="preserve"> Republic of the Philippines Province of Iloilo MUNICIPALITY OF BINGAWAN Office of the Bids and Awards Committee INVITATION TO RE-BID PURCHASE OF MATERIALS FOR THE CONSTRUCTION/REHAB OF DRAINAGE SYSTEM/DECLOGGING OF CANALS Name of Project 1.	The Local Gove</t>
  </si>
  <si>
    <t xml:space="preserve"> Republic of the Philippines													 City of San Carlos													 Negros Occidental													 													 INVITATION TO BID											FOR SALE	 			PURCHASE REQUEST NO: 1-20-07-0887				P 300.00	 Sealed bids for quotation of prices will be recei</t>
  </si>
  <si>
    <t xml:space="preserve"> 2645 PCS.  LONG PLASTIC ENVELOPES</t>
  </si>
  <si>
    <t xml:space="preserve"> total station for public land survey</t>
  </si>
  <si>
    <t xml:space="preserve"> supply and delivery of the following: Lot 1 - Gasoline, Oil and Lubricants Expenses			-	1,934,460.00 5,575 Ltrs - Gasoline (Tricycle Drivers)				 16, 666 Ltrs - Gasoline (Fisherfolks) 				 12, 000 Ltrs - Diesel				 				 Lot 2 - Agricultural Supplies Expen</t>
  </si>
  <si>
    <t xml:space="preserve"> Rapid Test for CoVid19 for 84 pax Please contact the person below for details GIGI A. GERONIMO Administrative Officer NIA-UPRIIS Division V</t>
  </si>
  <si>
    <t xml:space="preserve"> Republic of the Philippines Province of Iloilo MUNICIPALITY OF BINGAWAN Office of the Bids and Awards Committee INVITATION TO RE-BID PURCHASE OF MATERIALS FOR THE REHABILITATION OF WATER SYSTEM Name of Project 1.	The Local Government Unit of Bingawan, thr</t>
  </si>
  <si>
    <t xml:space="preserve"> Republic of the Philippines Province of Zamboanga del Sur Municipality of Dimataling 1. The Municipal Government of Dimataling, Zamboanga del Sur, has an approved budget from the Sanggunian through DILG AM-LGSF Fund in the amount Seven Million Two Hundred</t>
  </si>
  <si>
    <t xml:space="preserve"> Please see the attached documents</t>
  </si>
  <si>
    <t xml:space="preserve"> 76 	bags	Portland Cement  9	cu.m.	Screened Gravel 4.5	cu.m.	Washed Sand 7	pcs	12mm dia.x 6m. RSB 4	pcs	10mm dia x 6m RSB 1	gal.	Aspalt Filler 2	pcs.	RCPC 0.30 dia x 1.00m 5	pcs.	C-Purlins 2"x6"x1.2 5	pcs.	C-Purlins 2"x3"x1.2 2	pcs.	Angle bar 1/4"x1"x1" 1	</t>
  </si>
  <si>
    <t xml:space="preserve"> PLEASE SEE ATTACHED COMPONENTS</t>
  </si>
  <si>
    <t xml:space="preserve"> 2 OFFICE TABLE 1 FILING CABINET (HANGING) 1 BUILT-IN CABINET (L-TYPE)</t>
  </si>
  <si>
    <t xml:space="preserve"> Installation of Wall Flushing, Construction of ramp and installation of Grab bars for PWD</t>
  </si>
  <si>
    <t xml:space="preserve"> Republic of the Philippines Province of Iloilo MUNICIPALITY OF BINGAWAN Office of the Bids and Awards Committee INVITATION TO BID PURCHASE OF FURNITURES AND FIXTURES Name of Project 1.	The Local Government Unit of Bingawan, through its GENERAL FUND intend</t>
  </si>
  <si>
    <t xml:space="preserve"> Flashlights - Led Hacksaw Rock Hammer Crow Bar Head Lamp C-Collar CP Masks Folding Beds Fiber Glass Extension Ladder Coffee Maker - Small Battery for Handheld Radios Chain block Audible Siren Steel Rack Orocan Box - Mega Orocan Box - Medium</t>
  </si>
  <si>
    <t xml:space="preserve"> Republic of the Philippines													 City of San Carlos													 Negros Occidental													 													 INVITATION TO BID											FOR SALE	 			PURCHASE REQUEST NO: 1-20-07-0893				P 150.00	 Sealed bids for quotation of prices will be recei</t>
  </si>
  <si>
    <t xml:space="preserve"> 2 box THHN #12 (stranded) 50 pc Streetlight Bulb 23 watts 6 pc Amglobe #12 (half clear) 14 pc Receptacle Bulb Holder</t>
  </si>
  <si>
    <t xml:space="preserve"> see attached ITB</t>
  </si>
  <si>
    <t xml:space="preserve"> DESKTOP COMPUTERS WITH PRINTERS (SET) DESKTOP COMPUTER PRINTER WITH SCANNER</t>
  </si>
  <si>
    <t xml:space="preserve"> UV Sterilization Box - 8 watts UVC tube with ozone sterilization time - Kills all types of virus captured on your daily everyday device gadget /things 2 units</t>
  </si>
  <si>
    <t xml:space="preserve"> school supplies-74,244.00</t>
  </si>
  <si>
    <t xml:space="preserve"> Republic of the Philippines								 Department of Health								 VICENTE SOTTO MEMORIAL MEDICAL CENTER								 B. Rodriguez St., Cebu City, 6000								 TELEFAX : 2532182/2540057								 			Email: vsmmc_procurement@yahoo.com					 (Establishment/Supplier)	</t>
  </si>
  <si>
    <t xml:space="preserve"> Common school maintenance and supplies, office equipment and supplies.</t>
  </si>
  <si>
    <t xml:space="preserve"> Procurement pf SSL with Extended Validated Certificate Approved Budget for the Contract = PHp500,000.00 Procurement pf SSL with Extended Validated Certificate Please see attached document file for the Item Description / Specification, Unit and Required Qu</t>
  </si>
  <si>
    <t xml:space="preserve"> Purchase of Microorganisms for Routing Microbiological Analysis Approved Budget for the Contract = PHp135,000.00 Purchase of Microorganisms for Routing Microbiological Analysis Please see attached document file for the Item Description / Specification, Un</t>
  </si>
  <si>
    <t xml:space="preserve"> (FORM NO. 014 – INVITATION TO APPLY FOR ELIGIBILITY AND TO BID) Republic of the Philippines Sangguniang Barangay of IBABANG CABULIHAN Barangay IBABANG CABULIHAN, Unisan, Quezon INVITATION TO APPLY FOR ELIGIBILITY AND TO BID Date			:  					 The Sangguniang</t>
  </si>
  <si>
    <t xml:space="preserve"> To address the situation of access road in their Barangay.</t>
  </si>
  <si>
    <t xml:space="preserve"> Purchase of Construction Materials and Supplies only for the Construction of Retaining Wall at Northern Samuyao (Phase II)</t>
  </si>
  <si>
    <t xml:space="preserve"> Demolition of Declined Old Hand-Washing and Installation of New Hand-Washing Facility No.1 at Building 1 at Western Bicutan National High School</t>
  </si>
  <si>
    <t xml:space="preserve"> To reduce the risk of the Community</t>
  </si>
  <si>
    <t xml:space="preserve"> 150	btl	Amoxicillin 250 mg/60ml	 150	btl	Cotrimoxazole Suspension 400/80 m 60ml	 150	btl	Ascorbic Acid 250mg/60ml	 150	btl	Carbocisteine 250 mg/60ml	 150	btl	Paracetamol 250 mg 60 ml	 22	box	Paracetamol 500 mg. tablet 100's	 200	btl	Multivitamins Syrup 60</t>
  </si>
  <si>
    <t xml:space="preserve"> 1.	The Local Government Unit of Las Nieves, through the Budget for the Contract approved by the Sanggunian intends to apply the sum of two hundred sixteen thousand seven hundred and fifty five pesos only (Php 216,755.00) for Lot 1, four thousand eight hun</t>
  </si>
  <si>
    <t xml:space="preserve"> 1.0	I. Removal of Damaged Asphalt Pavement		194	sq. m 	Hauling and Compaction Works			 2.0	II. Application of Prime Coat		194	sq. m 3.0	III. Asphalt Overlay (Manual Mixing and Asphalt Restoration)		10.0	cu. m 	Service Road at the back of Florete Hangar   </t>
  </si>
  <si>
    <t xml:space="preserve"> To reduce the risk of infestation of diseases caused stagnant and grimy canal</t>
  </si>
  <si>
    <t xml:space="preserve"> Republic of the Philippines Province of Pangasinan MUNICIPALITY OF LINGAYEN Invitation to Bid    The Local Government Unit of Lingayen, through the 20% Development Fund CY 2020   intends to apply the amount  of  Eight Million  Pesos Only   (P8,000,000.00)</t>
  </si>
  <si>
    <t xml:space="preserve"> See attach</t>
  </si>
  <si>
    <t xml:space="preserve"> MICA</t>
  </si>
  <si>
    <t xml:space="preserve"> INVERTER TYPE</t>
  </si>
  <si>
    <t xml:space="preserve"> Catering Services-Meals &amp; Snacks for 165 pax</t>
  </si>
  <si>
    <t xml:space="preserve"> School and office Supplies of West Kibawe Elementary School</t>
  </si>
  <si>
    <t xml:space="preserve"> Used for the Municipal Equipment, this municipality</t>
  </si>
  <si>
    <t xml:space="preserve"> Grocery Items-Kopiko Black,Nescafe,Downy,etc....</t>
  </si>
  <si>
    <t xml:space="preserve"> Rice assistance for the Ampucao Baranbgay Tanods and selected Barangay Responders for the Third and Fourth Quarter of CY 2019</t>
  </si>
  <si>
    <t xml:space="preserve"> Republic of the Philippines CITY OF BAIS BIDS AND AWARDS COMMITTEE INVITATION TO APPLY FOR ELIGIBILITY AND TO BID 	The City Government of Bais invites interested bidders to apply for eligibility and to bid for Additional materials to be used for the const</t>
  </si>
  <si>
    <t xml:space="preserve"> Isolation/OR Gown (unsterile) &amp; 2 others</t>
  </si>
  <si>
    <t xml:space="preserve"> Pls. quote the item listed below: 1.  Service Drop Wire No. 6  -  40 rolls NOTE:                    Opening of Bids will be on Aug. 11, 2020 @ 1:00 p.m.</t>
  </si>
  <si>
    <t xml:space="preserve"> Fuel-Diesel Fuel</t>
  </si>
  <si>
    <t xml:space="preserve"> 250V</t>
  </si>
  <si>
    <t xml:space="preserve"> Vehicle Parts &amp; Accessories-Innova Tire,Coolant,Brake Fluid,etc....</t>
  </si>
  <si>
    <t xml:space="preserve"> Republic of the Philippines Province of Pangasinan MUNICIPALITY OF LINGAYEN Invitation to Bid    The Local Government Unit of Lingayen, through the General Fund – Capital Outlay    intends to apply the amount  of  Six  Hundred Thousand   Pesos Only   (P60</t>
  </si>
  <si>
    <t xml:space="preserve"> No. of pax:  1 Expected Output:  Electronic copy of improved version of the VMS Toolkit Scope of Work: 1.  Validate information resources and references.  The information sources and references shall be validated for proper acknowledgment. 2.  Add ancilla</t>
  </si>
  <si>
    <t xml:space="preserve"> MAGNETIC</t>
  </si>
  <si>
    <t xml:space="preserve"> DUMAGUETE BRANCH - Fabrication and Installation of Safety Barriers ABC = Php 80,000.00 Tellers' Counter - 1 unit - Dumaguete Branch Tellers' Counter - 1 unit - Siaton Branch Lite Unit Customer-facing Personnel - 6 units Dumaguete Branch</t>
  </si>
  <si>
    <t xml:space="preserve"> No.	QTY	UNIT	AGENCY'S SPECIFICATIONS 			 1	1	unit	TRANSFORMER BRAND NEW 			10 KVA, DOUBLE BUSHING 			INPUT VOLTAGE 7620 Volts 			OUTPUT VOLTAGE 120/240 Volts DELIVERY PERIOD:			30 calendar days VALIDITY PERIOD:			30 calendar days TERMS AND CONDITIONS					</t>
  </si>
  <si>
    <t xml:space="preserve"> Please quote your  price(s)  for the article(s) as specified in the list  below for  the Division of Valencia which are  available in your store/ establishment/ company.  If available,  please furnish catalogue, descriptive brochures of  the literature  a</t>
  </si>
  <si>
    <t xml:space="preserve"> Rehabilitation of Gymnasium at Bravo Elementary School</t>
  </si>
  <si>
    <t xml:space="preserve"> This project entails labor and materials for the Improvement of Concrete Stage Phase I at Brgy. Anibong, Magallanes, Sorsogon funded out of BDF 2020.</t>
  </si>
  <si>
    <t xml:space="preserve"> Republic of the Philippines CITY OF BAIS BIDS AND AWARDS COMMITTEE INVITATION TO APPLY FOR ELIGIBILITY AND TO BID 	The City Government of Bais invites interested bidders to apply for eligibility and to bid to be used for the delineation and demarcation of</t>
  </si>
  <si>
    <t xml:space="preserve"> Invitation to Continuation of Barangay Road Concreting @ Purok 1 The Barangay Biabas, through the  continuing Appropriation intends to apply the sum of One Hundred Fifty Thousand Five Hundred Thirty Five Pesos  (P 150,535.00) being the Approved Budget for</t>
  </si>
  <si>
    <t xml:space="preserve"> Qty.	Unit	Description/Particulars	ABC 200	unit	Blood pressure apparatus, Aneroid, latex-free sphygmomanometer, adult nylon cuff, case are abrasion and moisture repellant, with accurate arterial compression with artery indicator label and index range, with</t>
  </si>
  <si>
    <t xml:space="preserve"> Republic of the Philippines CITY OF BAIS BIDS AND AWARDS COMMITTEE INVITATION TO APPLY FOR ELIGIBILITY AND TO BID 	The City Government of Bais invites interested bidders to apply for eligibility and to bid for Completion of Health Center @ Brgy. Basak, Ba</t>
  </si>
  <si>
    <t xml:space="preserve"> Republic of the Philippines  ANGELES CITY WATER DISTRICT  Angeles City  REQUEST FOR QUOTATIONS  SUPPLIER: PR No.: 20-07-097-A ADDRESS: DATE:  CONTACT NOS.: ________________________________  Please submit your quotations for the following items on or befor</t>
  </si>
  <si>
    <t xml:space="preserve"> Qty.	Unit	Description/Particulars	ABC 50	unit	Blood pressure apparatus, Aneroid, latex-free sphygmomanometer, pediatric nylon cuff, case are abrasion and moisture repellant, with accurate arterial compression with artery indicator label and index range, w</t>
  </si>
  <si>
    <t xml:space="preserve"> Please see attached RFQ for more details. For concerns / inquiries, you may contact Ms. Joana Marie Bayeng through joanamarie.bayeng@deped.gov.ph</t>
  </si>
  <si>
    <t xml:space="preserve"> INVITATION TO BID  FOR PROCUREMENT OF CONSTRUCTION MATERIALS FOR  CONSTRUCTION OF POTABLE WATER SYSTEM @ LAYA 1.	The Local Government of Alfonso Lista Ifugao through the 20% Development Fund FY 2020 intends to apply the sum of One Million One Hundred Eigh</t>
  </si>
  <si>
    <t xml:space="preserve"> 1 LAPTOP WITH MICROSOFT OFFICE 2016 1 PRINTER 3 N 1 1 SET PC DESKTOP MICROSOFT OFFICE 2016</t>
  </si>
  <si>
    <t xml:space="preserve"> Republic of the Philippines CITY OF BAIS BIDS AND AWARDS COMMITTEE INVITATION TO APPLY FOR ELIGIBILITY AND TO BID 	The City Government of Bais invites interested bidders to apply for eligibility and to bid for Water Dupply Development @ Brgy. Panam-angan,</t>
  </si>
  <si>
    <t xml:space="preserve"> Please see attached RFQ for more details. For concerns / inquiry, you may contact Ms. Emily through emily.diwayan@deped.gov.ph</t>
  </si>
  <si>
    <t xml:space="preserve"> 1. Site Works 2. Concrete  Works</t>
  </si>
  <si>
    <t xml:space="preserve"> Republic of the Philippines									 Province of Negros Occidental									 MUNICIPALITY OF MOISES PADILLA									 									 					Project Reference Number:				 					Name of the Project:				 					Location of the Project:				 									  REQUEST FOR QUOTATI</t>
  </si>
  <si>
    <t xml:space="preserve"> Republic of the Philippines Province of Bukidnon MUNICIPALITY OF LIBONA Barangay Government Unit of Nangka INVITATION TO BID 	The Barangay Government Unit of Nangka, through its Bids and Awards Committee (BAC) invites Suppliers/manufacturers/distributors/</t>
  </si>
  <si>
    <t xml:space="preserve"> 5,000	Pack	Disposable Lunchbox,3 division,packs of 10's, ABC 180.00/pack Laminated for durability &amp; water resistance				 RFQ#07-0780</t>
  </si>
  <si>
    <t xml:space="preserve"> Republic of the Philippines CITY OF BAIS BIDS AND AWARDS COMMITTEE INVITATION TO APPLY FOR ELIGIBILITY AND TO BID 	The City Government of Bais invites interested bidders to apply for eligibility and to bid for Improvement of Biological Control Laboratory,</t>
  </si>
  <si>
    <t xml:space="preserve"> ASSTD</t>
  </si>
  <si>
    <t xml:space="preserve"> Republic of the Philippines          City of Dumaguete Bids and Awards Committee INVITATION TO BID FOR PURCHASE REQUEST OF 140 BAGS PORTLAND CEMENT 40 KGS AND OTHER ITEMS 	The City of Dumaguete thru its BIDS AND AWARDS COMMITTEE (BAC), invites all interes</t>
  </si>
  <si>
    <t xml:space="preserve"> The BIWAD BAC invites Suppliers to quote for the following 12 unit UV Germicidal Light 38W Disinfection Lamp 2 unit Automatic Disinfectant Dispenser Touch less Spray Machine Sensor with stand 50 gallon Alcohol, 70%, ethyl 100 piece Face shield protective </t>
  </si>
  <si>
    <t xml:space="preserve"> attached RFQ</t>
  </si>
  <si>
    <t xml:space="preserve"> Purchase of Standing Wreath for the Late Resident of the Municipality</t>
  </si>
  <si>
    <t xml:space="preserve"> Qty.	Unit	Description/Particulars	ABC 200	piece	Finger Tip. Pulse Oximeter, portable, digital blood oxygen SPO2 and pulse sensor meter and pulse rate monitor for adults and children	2,500.00</t>
  </si>
  <si>
    <t xml:space="preserve"> IRR</t>
  </si>
  <si>
    <t xml:space="preserve"> Republic of the Philippines Province of Zamboanga del Sur MUNICIPALITY OF LAKE WOOD BIDS AND AWARDS COMMITTEE Invitation to Bid for Procurement of various Heavy Equipment  and Light Vehicle use in this Municipality 1.	The Local Government Unit of Lake Woo</t>
  </si>
  <si>
    <t xml:space="preserve"> Republic of the Philippines CITY OF BAIS BIDS AND AWARDS COMMITTEE INVITATION TO APPLY FOR ELIGIBILITY AND TO BID 	The City Government of Bais invites interested bidders to apply for eligibility and to bid for Improvement of Health Center @ Brgy. Cambanja</t>
  </si>
  <si>
    <t xml:space="preserve"> for Public Transport Terminal</t>
  </si>
  <si>
    <t xml:space="preserve"> Republic of the Philippines BATANGAS STATE UNIVERSITY Batangas City REQUEST FOR QUOTATION "Procurement of Supplies for the daily operation of Project Management Office for the 2nd and 3rd Quarter of 2020"  1. The Batangas State University (BatState U) thr</t>
  </si>
  <si>
    <t xml:space="preserve"> Republic of the Philippines          City of Dumaguete Bids and Awards Committee INVITATION TO BID FOR JOB ORDER OF LUMPSUM 	The City of Dumaguete thru its BIDS AND AWARDS COMMITTEE (BAC), invites all interested manufacturers, suppliers, dealers and/or di</t>
  </si>
  <si>
    <t xml:space="preserve"> 200	meters	Service Drop #6 1	box	THHN #12 100	meters	THHN #12 15	pcs	Amglobe #10 3	pcs	Electrical tape (Big) 10	pcs	Receptacle 2x2 30	pcs	F/F CFL 18 watts</t>
  </si>
  <si>
    <t xml:space="preserve"> INVITATION TO BID (ITB) Procuring Entity : BARANGAY LOCAL GOVERNMENT UNIT BRGY. BAGACAY WEST, LA PAZ, LEYTE Title of Project : CONSTRUCTION/REHABILITATION OF WATER SYSTEM Approved Budget of the Contract (ABC) : Php 293,630.59 Area of Delivery : BRGY. BAGA</t>
  </si>
  <si>
    <t xml:space="preserve"> Procurement of classroom and office supplies for the first and second quarter of calendar year 2020.</t>
  </si>
  <si>
    <t xml:space="preserve"> - The Municipality of Baliguian, request for quotation for the Procurement of Gardening Tools and Fertilizers used for establishment of nursery. - The Estimated Budget Cost is One Hundred Fifteen Thousand Pesos (Php115,000.0). - Interested suppliers/bidde</t>
  </si>
  <si>
    <t xml:space="preserve"> Submission of quotation shall be on August 7,2020 @ 1:00PM at Municipal Building Anda Pangasinan.</t>
  </si>
  <si>
    <t xml:space="preserve"> I. REMOVAL OF STRUCTURE II. CHIPPING OF CONCRETE III. EXCAVATION IV. ELECTRICAL/ PAINTING/ SEPTIC TANK SPL. CONSTRUCTION SAFETY &amp; HEALTH</t>
  </si>
  <si>
    <t xml:space="preserve"> Republic of the Philippines CITY OF BAIS BIDS AND AWARDS COMMITTEE INVITATION TO APPLY FOR ELIGIBILITY AND TO BID 	The City Government of Bais invites interested bidders to apply for eligibility and to bid for Installation of Street lighting System along </t>
  </si>
  <si>
    <t xml:space="preserve"> Pls. quote the project listed below: 1.    Construction/Improvement of Road Network &amp; Faciliities   - l.s. NOTE:                        Opening of Bids will be on August 18, 2020 @ 1:00 pm</t>
  </si>
  <si>
    <t xml:space="preserve"> MULTI-PURPOSE ROOFING OF THE EVACUATION CENTER OF BARANGAY  LIBTONG</t>
  </si>
  <si>
    <t xml:space="preserve"> A.	PROJECT DESCRIPTION Procurement of four (4) Laptop units, these will replace the depreciated desktop computer units. B.	MODE OF PROCUREMENT Small Value Procurement (53.9) C.	DESCRIPTIONS / TECHNICAL SPECIFICATIONS Processor			10th Generation Intel® Cor</t>
  </si>
  <si>
    <t xml:space="preserve"> Inter-Country Adoption Board  BIDS AND AWARD COMMITTEE  REQUEST FOR QUOTATION 	The Inter-Country Adoption Board through its Bids and Awards Committee (BAC), hereby invite all interested suppliers or distributor registered with the Philippine Government El</t>
  </si>
  <si>
    <t xml:space="preserve"> Labor Charge for Wheel Alignment of Municipal Vehicle (Toyota Fortuner)</t>
  </si>
  <si>
    <t xml:space="preserve"> COVERING OF THE DRAINAGE OF THE EVACUATION CENTER AT BARANGAY LIBTONG</t>
  </si>
  <si>
    <t xml:space="preserve"> Repair/Maintenance of Municipal Vehicle ( L-300 w/ Conduction Sticker No. B1D405 ) @ Samal, Bataan 4 pcs - Tire 185 R14 8PR 22 pcs - Tingga 35 + 30 + 20 + 25 = 110/5 =22</t>
  </si>
  <si>
    <t xml:space="preserve"> 1.BODY WORKS: - 1 lot Repair Back door Repair rear flooring Repair back door frame Repair and align 4pcs Tire box with double Fabricate running board 2pcs w/ double LH/RH Repair flooring front LH/RH and rotten portion Repair 4pcs rubber door gutter Repair</t>
  </si>
  <si>
    <t xml:space="preserve"> Eigth (8) units 260 watts semi-integrated solar streetlights with 2" dia g.i. post with concrete footing and foundation</t>
  </si>
  <si>
    <t xml:space="preserve"> Republic of the Philippines CITY OF BAIS BIDS AND AWARDS COMMITTEE INVITATION TO APPLY FOR ELIGIBILITY AND TO BID 	The City Government of Bais invites interested bidders to apply for eligibility and to bid for Box Culvert and Slope Protection/Erosion Cont</t>
  </si>
  <si>
    <t xml:space="preserve"> Supply, Delivery and Installation of Airconditioning Unit for Men's Dormitory 05D(DORM) H01-2020 Kindly see attached file. Thank you!</t>
  </si>
  <si>
    <t xml:space="preserve"> REQUEST FOR QUOTATION							 							 PR No.:	2020-07-155		RFQ No.:		NIAREG9-08-2020-501COB-085 (SH)		 PR. Date:	July 22, 2020		RFQ Date:		August 03, 2020		 End-User:	NIA-REGIONAL OFFICE		PhilGEPS Reference No.:				 ABC:	105,000.00		PhilGEPS Closing Date:	</t>
  </si>
  <si>
    <t xml:space="preserve"> NAME OF PROJECT:                       STREETLIGHT LOCATION:                                   Labao, Libmanan, Camarines Sur TOTAL PROJECT COST:                  P100,000.00 SOURCE OF FUND:                       TRUST FUND (PLGU 2018) IMPLEMENTATION PROC</t>
  </si>
  <si>
    <t xml:space="preserve"> Republic of the Philippines CITY OF BAIS BIDS AND AWARDS COMMITTEE INVITATION TO APPLY FOR ELIGIBILITY AND TO BID 	The City Government of Bais invites interested bidders to apply for eligibility and to bid for Construction of Windmill @ Brgy. (Combado) Ca</t>
  </si>
  <si>
    <t xml:space="preserve"> Supply and Delivery: 1. -1- unit Projector, 6500-7000 ANSI lumen                 -Excellent image from short or long distance                 -Can be used both inside and outside                 -Vertical/Horizontal keystone and lens shift for            </t>
  </si>
  <si>
    <t xml:space="preserve"> Removal of Waste from the Portalet located at PPA Talibon</t>
  </si>
  <si>
    <t xml:space="preserve"> Supply and Delivery of Viral Transport Medium with Oropharyngeal and Nasopharyngeal Swab</t>
  </si>
  <si>
    <t xml:space="preserve"> 7	Unit	Water Dispenser Hot &amp; Cold, ABC 8,000.00/unit 20	Bottle	Empty Bottle 19 Liter (5 gallon water) for refill water, ABC 300.00/bot RFQ#07-0781</t>
  </si>
  <si>
    <t xml:space="preserve"> 10 pcs. 20 watts capsule LED Bulb</t>
  </si>
  <si>
    <t xml:space="preserve"> Item Number	Description	 QTY 	UNIT	 ESTIMATED BUDGET  1	Computer (All-in-One)	2	units	 90,000.00  2	Laptop	1	unit	 47,300.00  3	Printer (All-in-One)	1	unit	 12,700.00  	xxxxxxxxxx			 			TOTAL:	Php 150,000.00</t>
  </si>
  <si>
    <t xml:space="preserve"> 1 unit Laptop Computer Set Minimum Specifications: - Processor: 8th Generation Intel Core i7-8750H - GPU Model: NVIDIA GeForce GTX 1050 Ti 4GB - RAM: 8GB DDR4 2666MHz - Drive: 256GB SSD M. 2 - Display: 15.0 inches FHD 1920 x 1080 pixels - OS: Windows 10 P</t>
  </si>
  <si>
    <t xml:space="preserve"> Item Number	Description	 QTY 	UNIT	 ESTIMATED BUDGET  	( Mitsubishi L300 B0M-793 )			 1	Tires 185 R14-C	1	pcs	 34,200.00  	( Grader GD 28 )			 2	Amperes Gauge	2	pc	 2,810.00  	( Ambulance SKN-740 )			 3	Oil Filter	3	pcs	 3,610.00  4	Battery 11 Plates	4	pc</t>
  </si>
  <si>
    <t xml:space="preserve"> REQUEST FOR QUOTATION For Negotiated Procurement thru Small Value Procurement under Sec. 53.9 of the 2016 Revised IRR of RA 9184 Quotation No.:  2020-07-244 (2ND QUOTE) Date: August 3, 2020 PR No.:  CONSOLIDATED PRs – CI SADDLE CLAMP, CI BEND, AND CI END </t>
  </si>
  <si>
    <t xml:space="preserve"> Prospective bidders should possess a valid PCAB License applicable to the contract, have completed a similar contract with a value of at least  50% of the Approved Budget for the Contract (ABC), and have key personnel and equipment available for the prose</t>
  </si>
  <si>
    <t xml:space="preserve"> for Senior Citizens Office</t>
  </si>
  <si>
    <t xml:space="preserve"> Supply of materials &amp; rental of equipment for use in the Concreting of Brgy Road, Brgy. Mabato, Rosario, Batangas</t>
  </si>
  <si>
    <t xml:space="preserve"> Please see attached ITB.</t>
  </si>
  <si>
    <t xml:space="preserve"> Republic of the Philippines						 	Province of Nueva Ecija						 	CITY OF GAPAN						 	Km.92, Maharlika Highway, Bayanihan, Gapan City						 	 - - - - o0o - - - - 						 	BIDS AND AWARDS COMMITTEE						 							 	REQUEST FOR QUOTATION						 							 	The Ci</t>
  </si>
  <si>
    <t xml:space="preserve"> Unit 	Item Description	Quantity 		 		 can	Insecticide,,aerosol type,net content600ml	40 bottles	Alcohol, ethyl 70% 500ml	150 pcs.	Shampoo, 10ml 	750 tubes	Toothpaste, 140ml	190 bottles	Dishwashing Liquid, 250ml	150 pcs.	Floor Rug waving design	30 pcs.	Fab</t>
  </si>
  <si>
    <t xml:space="preserve"> INVITATION TO BID The City of Bayawan, through its Bids and Awards Committee (BAC), invites suppliers/manufacturers/distributors/contractors to bid for the hereunder projects: Lot No. I		DESKTOP COMPUTER		 			 1	1	set	CLONED DESKTOP COMPUTER SYSTEM w/ UPS</t>
  </si>
  <si>
    <t xml:space="preserve"> INVITATION TO BID (ITB) Procuring Entity : BARANGAY LOCAL GOVERNMENT UNIT BRGY. BAGACAY WEST, LA PAZ, LEYTE Title of Project : ROAD CONCRETING Approved Budget of the Contract (ABC) : Php 261,365.87 Area of Delivery : BRGY. BAGACAY WEST, LA PAZ, LEYTE Desc</t>
  </si>
  <si>
    <t xml:space="preserve"> Republic of the Philippines  Province of Iloilo Municipality of New Lucena                                                                                                               August 3, 2020                                                        </t>
  </si>
  <si>
    <t xml:space="preserve"> ROXAS BRANCH - QUEUING MACHINE AND TV 1 unit 43” Television - ABC Php 70,000.00 1 unit Queuing Machine System  - ABC Php 350,000.00</t>
  </si>
  <si>
    <t xml:space="preserve"> Labor Charge for Replacement of Parts for Municipal Vehicle (Toyota Fortuner)</t>
  </si>
  <si>
    <t xml:space="preserve"> Republic of the Philippines PROVINCE OF ZAMBALES IBA BIDS AND AWARDS COMMITTEE Invitation to Bid for the Supply and Delivery of Drugs and Medicines for Candelaria District Hospital and San Marcelino District Hospital 1.	The Provincial Government of Zambal</t>
  </si>
  <si>
    <t xml:space="preserve"> UNIT     ITEM DESCRIPTION     QTY box       disposable facemask      10 pcs        70% alcohol 500ml       250 pcs        hand sanitizer 250ml    250 pcs        face shield                   250 Republic of the Philippines Province of Aurora Municipality </t>
  </si>
  <si>
    <t xml:space="preserve"> 50	Piece	2x2x12' Good Lumber, ABC 200.00/pc 50	Piece	2x3x12' Good Lumber, ABC	250.00/pc 50	Piece	1x2x12' Good Lumber, ABC 150.00/pc 50	Piece	1x3x12' Good Lumber, ABC	150.00/pc 50	Piece	1x6x12' Good Lumber, ABC	300.00/pc 10	Kilo	Hardi-nail 1", ABC 250.00/k</t>
  </si>
  <si>
    <t xml:space="preserve"> Supply and Delivery of Three (3) sets of Lineman’s Gloves, as per BSP Supplied Evaluation Matrix, Technical Specifications and Terms and Conditions</t>
  </si>
  <si>
    <t xml:space="preserve"> Specification: AMD Ryzen 2700 Processor MB Gigabyte, MSI 1330M 4GB GTX 1050 ti Graphics 8GB DDR4 240 SSD 1TB HDD Frontier Styx Gaming Case w/ 500W Gamdias Kratos 80+eff Power Supply 21.5"HD 75Hz Mon HDMI (HKC m 21B6), AVR Ideal Speaker Keyboard and Mousep</t>
  </si>
  <si>
    <t xml:space="preserve"> 1	Lumber 1x2x8	ea	58 2	Lumber 2x3x10	ea	50 3	Lumber 2x2x10	ea	35 4	Common Nails 4"	kl	10 5	Common Nails 3"	kl	10 6	Screen, green, 1"	roll	1 7	Aluminum Screen, 122cmx30.48m	roll	1 8	Cement	bag	85 9	Sand	cu.m	15 10	Gravel	cu.m	15 11	Round Bar, 10mm	ea	5 12	</t>
  </si>
  <si>
    <t xml:space="preserve"> Supply and Delivery of 4 Drawers steel filling Cabinet for Office use Technical Specifications: Standard Vertical  File Cabinet Smooth Green/Gray Deadline of Quotation will be on August 06, 2020, on or before 12:00 noon. Thank you.</t>
  </si>
  <si>
    <t xml:space="preserve"> INVITATION TO BID FOR PROCUREMENT OF MATERIALS FOR CONSTRUCTION OF PATHWAYS (ZONE 9, 1A &amp; 7) 1.	The [Local Government Unit of Caranan, Pasacao, Camarines Sur], through the [Barangay Development Fund CY 2020]  intends to apply the sum of [Eighty-Three Thou</t>
  </si>
  <si>
    <t xml:space="preserve"> Republic of the Philippines          City of Dumaguete Bids and Awards Committee INVITATION TO BID FOR PURCHASE REQUEST OF 3 GALS DENATURED ALCOHOL, 3.6L AND OTHER ITEMS 	The City of Dumaguete thru its BIDS AND AWARDS COMMITTEE (BAC), invites all interest</t>
  </si>
  <si>
    <t xml:space="preserve"> PLEASE SEE ATTACHED DOCUMENTS</t>
  </si>
  <si>
    <t xml:space="preserve"> 2,000 Liters Premium Gasoline</t>
  </si>
  <si>
    <t xml:space="preserve"> INVITATION TO BID The City of Bayawan, through its Bids and Awards Committee (BAC), invites suppliers/manufacturers/distributors/contractors to bid for the hereunder projects: 	Lot No. I		ICT EQUIPMENT					 1	2	units	BRANDED DESKTOP COMPUTER SYSTEM					 	</t>
  </si>
  <si>
    <t xml:space="preserve"> Republic of the Philippines Province of Palawan Municipality of Taytay BIDS AND AWARD COMMITTEE 								 RFQ No. 2020 Date: August 04, 2020 REQUEST FOR QUOTATION (Procurement of various) Sir/Madam: 	You’re hereby invited to quote your price(s) on the arti</t>
  </si>
  <si>
    <t xml:space="preserve"> Bids and Awards Committee							 INVITATION TO BID/ REQUEST FOR QUOTATION							 							          The City Government of Pagadian, through its Bids and Awards Committee (BAC), invites suppliers/manufacturers/distributors to apply for eligibility and if fo</t>
  </si>
  <si>
    <t xml:space="preserve"> RFQ (20-07-097) Various Drugs and Medicines</t>
  </si>
  <si>
    <t xml:space="preserve"> 1 pail Oil 10 1 pail Oil 40</t>
  </si>
  <si>
    <t xml:space="preserve"> Interested bidders may obtain further information of the bidding documents from the BAC Secretariat of Barangay Bikil, Tubungan, Iloilo during working days starting August 4 - 10, 2020 from 8:00 a.m. to 5:00 p.m. or thru 09308748619</t>
  </si>
  <si>
    <t xml:space="preserve"> INVITATION TO BID The City of Bayawan, through its Bids and Awards Committee (BAC), invites suppliers/manufacturers/distributors/contractors to bid for the hereunder projects: 	Lot No. I		OTHER SUPPLIES / MATERIALS					 1	10	piece(s)	THERMAL PASTE, HY500,</t>
  </si>
  <si>
    <t xml:space="preserve"> 40 pcs Bulb 20W and 16 others L/I</t>
  </si>
  <si>
    <t xml:space="preserve"> Specification: DESKTOP: Intel Core i3 Processor Intel HD Graphics H310 Mainboard 4GB DDR4 Memory 128GB SSD 1TB HDD ATX Casing with 650 PSU 18.5 HD LED Keyboard and Mouse AVR Multimedia Stereo Speaker Mouse Pad LAPTOP: Intel Core i3 Processor Intel HD Grap</t>
  </si>
  <si>
    <t xml:space="preserve"> 1 unit Laptop w/ bag and charger Specifications: Color: Silver Screen: 15.6 inches, 1,366 x 768, non-touch CPU: 2.4GHz Intel Core i7-5500U (dual-core, 4MB cache, up to 3GHz Graphic: AMD Radeon R7 RAM: 8GB DDR3 Storage: 1TB HDD5 Ports: 2 x USB 3.0, 1 x USB</t>
  </si>
  <si>
    <t xml:space="preserve"> 2 units photocopier machine Specifications: - Up to 130 pages per minute print speed - At least 300 x 360 dpi print resolution - 3 rubber feed rollers - Automatic document feeder - 3.93" x 5.82" minimum print paper size - 10.74" x 15.47" maximum print pap</t>
  </si>
  <si>
    <t xml:space="preserve"> 1 unit Bill Counter, Heavy Duty ( as per attached technical specifications )  x-x-x-x-x-x-x-x-x-x-xnothingfollowsx-x-x-x-x-x-x-x-x-x-x-x-x-x-x-x-x-x-x</t>
  </si>
  <si>
    <t xml:space="preserve"> Project: PURCHASE OF SHREDDING MACHINE Location: Laurel, Batangas ABC: PHP230,000.00 Advertisement	August 4-11, 2020	 Submission of Letter of Intent August 4-13, 2020	 Issuance of Bid Documents	August 4-13, 2020	 Deadline for Submission of Bid Documents	A</t>
  </si>
  <si>
    <t xml:space="preserve"> Republic of the Philippines DEPARTMENT OF ENVIRONMENT AND  NATURAL RESOURCES Regional Government Center, Balintawak, Pagadian City Region IX, Zamboanga Peninsula 			                 REQUEST FOR QUOTATION Date: 	August 03, 2020 RFQ No.: 007.0571 The Depart</t>
  </si>
  <si>
    <t xml:space="preserve"> LGU-Gubat, Sorsogon	Globe #: 0917-535-5818; Smart # 0998-984-6448 	REQUEST FOR QUOTATION (RFQ) 	Date 	Dear Supplier, 	The	LGU-Gubat, 	requests you to submit a quotation for the procurement project whose details are given below: 	Project Name:	PURCHASE OF </t>
  </si>
  <si>
    <t xml:space="preserve"> Republic of the Philippines Province of Cotabato Municipality of Antipas BIDS AND AWARDS COMMITTEE INVITATION TO BID FOR Supply and Delivery of School Equipment 1.	The Municipal Government of Antipas, through the Budget approved by the Sanggunian intends </t>
  </si>
  <si>
    <t xml:space="preserve"> Republic of the Philippines Province of Negros Occidental Municipality of Pontevedra BIDS AND AWARDS COMMITTEE INVITATION TO BID 	The Municipality of Pontevedra, Negros Occidental through its Bids and Awards Committee (BAC), invites all prospective bidder</t>
  </si>
  <si>
    <t xml:space="preserve"> 130 boxes canned sardines location: mdrrmc, gutalac, zamboanga del norte approved budget for the contract: php200,000.00 opening of bids: august 13, 2020    2:00 pm submission of bids: on or before opening of bids non refundable fee for bidding documents:</t>
  </si>
  <si>
    <t xml:space="preserve"> ITEM NO - QUANTITY - UNIT - ITEM DESCRIPTION - ESTIMATED COST 1 - 9 - loads - siphoning of septic vault of Lorna's Carinderia - 50,000.00 2 - 4 - loads - cleaning of septic vault at Lorna's Carinderia - 25,000.00 GRAND TOTAL: PHP 75,000.00</t>
  </si>
  <si>
    <t xml:space="preserve"> PHILIPPINE BIDDING DOCUMENTS (As Harmonized with Development Partners) Procurement for  Re Bidding - Rehabilitation of Apolinario dela Cruz Waterworks System Improvement of Main Water Source and Intake Box, Installation of additional pipelines and fitting</t>
  </si>
  <si>
    <t xml:space="preserve"> Purchase of Desktop and Laptop Computers for Office of the ABC</t>
  </si>
  <si>
    <t xml:space="preserve"> INVITATION TO BID The City of Bayawan, through its Bids and Awards Committee (BAC), invites suppliers/manufacturers/distributors/contractors to bid for the hereunder projects: 	Lot No. I		LAPTOP					 1	1	unit	LAPTOP COMPUTER SYSTEM					 			Processor: At l</t>
  </si>
  <si>
    <t xml:space="preserve"> 3 page Publication of Statement of Receipts and Expenditures</t>
  </si>
  <si>
    <t xml:space="preserve"> Pls. quote the items listed below: 1.  Jetmatic Pump  -  30 units 2.  1/2" Ø x 100m HDPE Pipe SDR II  -  60 rolls NOTE:                        Opening of Bids will be on  August 11, 2020 @ 1:00 pm</t>
  </si>
  <si>
    <t xml:space="preserve"> Republic of the Philippines Province of Camarines Norte Municipality of Talisay Office of the Bids and Awards Committee (BAC)                                                                                                                        INVITATION</t>
  </si>
  <si>
    <t xml:space="preserve"> Supply and delivery of: 4,000	pc	Sack 			 		capacity: 50 kg			 		              slightly used (sack rice)</t>
  </si>
  <si>
    <t xml:space="preserve"> 1 set Dewey Decimal Classification, July 2018 (4-Vol Set) 1 set Search List of Subject Headings 2018 22E</t>
  </si>
  <si>
    <t xml:space="preserve"> 1.)	10	pack	Electrolytes Fluid Pack 800ml (Na/K+/Ph/Ca/Cl) 2.)	8	set	Daily Rinse/Cleaning Solution Kit 3.)	2	set	Electrolyte Control Bi-level</t>
  </si>
  <si>
    <t xml:space="preserve"> That the BAC of Balandra Elementary School hereby resolve to post in Philgeps for the Bidding of Purchase of Pupils Learning Kit that is charged to school MOOE per month. That the BAC has agreed to qualify the bidders according to the following conditions</t>
  </si>
  <si>
    <t xml:space="preserve"> office supplies  and consumables location: hrm office, gutalac, zamboanga del norte approved budget for the contract: php105,000.00 opening of bids: august 13, 2020    2:00 pm submission of bids: on or before opening of bids non refundable fee for bidding</t>
  </si>
  <si>
    <t xml:space="preserve"> 1 pc. Head Gasket</t>
  </si>
  <si>
    <t xml:space="preserve"> INVITATION TO BID FOR THE  SUPPLY &amp; DELIVERY OF RISOGRAPHIC MACHINE 1.	The LOCAL GOVERNMENT UNIT OF CAMALIGAN, CAMARINES SUR, through the SEF &amp; SUPPLEMENTAL #4 intends to apply the sum of PHP 260,000.00 being the Approved Budget for the Contract (ABC) to </t>
  </si>
  <si>
    <t xml:space="preserve"> 1. Procurement of supplies for printing of modules  44,660.00 2. Procurement of office equipment                       22,999.00 3. Procurement of ICT supplies                               3,500.00</t>
  </si>
  <si>
    <t xml:space="preserve"> Republic of the Philippines BATANGAS STATE UNIVERSITY Batangas City REQUEST FOR QUOTATION "Procurement of Laboratory Equipment for the Development of the Solar Chili Dryer."  1. The Batangas State University (BatState U) through the Bids and Awards Commit</t>
  </si>
  <si>
    <t xml:space="preserve"> 8 pcs Ball bearing 6305 15 rolls Duct hose 4" x 100m 5 rolls Corrugated hose 4" x 6m 3 pcs Foot valve 4" 3 pcs Pulley adaptor (for RD120 model) 4 pcs Pulley 6 x 2 x 30 12 pcs Mits Belt B58 NOTE: PLEASE ATTACHED LEGAL DOCUMENTS AND UPDATED PHILGEPS CERTIFI</t>
  </si>
  <si>
    <t xml:space="preserve"> Agricultural Training Institute Regional Training Center, MiMaRoPa (ATI-RTC-MiMaRoPa) invites interested bidders/suppliers to submit quotation/proposals for the here under requirement: SL TOT on Corn for FFS and PTD Site Amuguis, Naujan and Bagong Buhay I</t>
  </si>
  <si>
    <t xml:space="preserve"> I. REMOVAL OF STRUCTURE II. EXCAVATION III. CROSS DRAINAGE A. MASONRY AND REINFORCING STEEL B. FORM WORKS C. STEEL GRATING IV. AGGREGATES SUB-BASE COARSE V. PCCP (W = 5.00m, T = 0.20m, L = 13.00m) SPL. CONSTRUCTION SAFETY &amp; HEALTH</t>
  </si>
  <si>
    <t xml:space="preserve"> Unit         Item Description	Quantity 		 ream 	Bond paper, A4	        250 ream 	Bond paper, long	50</t>
  </si>
  <si>
    <t xml:space="preserve"> Please see attached document...</t>
  </si>
  <si>
    <t xml:space="preserve"> Medical Equipment</t>
  </si>
  <si>
    <t xml:space="preserve"> Medical Supplies</t>
  </si>
  <si>
    <t xml:space="preserve"> No          QNTY          UNIT OF ISSUE           ITEM DESCRIPTION  1             25              PACKS                       Lunch (rice, fried chicken, grilled tuna, spicy crab with gata, fresh                                                            </t>
  </si>
  <si>
    <t xml:space="preserve"> CCTV Cameras to be installed in strategic places of Barangay Sabang (SPUKOI approaching Sabang-Mabolo Bridge, Zamora Street, Entrance of Metroville)</t>
  </si>
  <si>
    <t xml:space="preserve"> Republic of the Philippines PROVINCE OF ZAMBALES IBA BIDS AND AWARDS COMMITTEE Invitation to Bid for the Supply and Delivery of Medical Equipment for San Marcelino District Hospital 1.	The Provincial Government of Zambales, through the Trust Fund of CY-20</t>
  </si>
  <si>
    <t xml:space="preserve"> Please see attached RFQ for the full description of the items and for terms and conditions. Please submit your quotation on or before the closing date.</t>
  </si>
  <si>
    <t xml:space="preserve"> Supply and Delivery of 2 units Desktop Computer for CDO LC Technical Specification:__________________ OS Provided: Windows 10, 64-bit Processor: Intel Core i5 (9th Gen) 9500 RAM: 8 GB (installed)/ 64 GB (max) Hard Drive: SSD 256 GB Warranty:  1 year Brand</t>
  </si>
  <si>
    <t xml:space="preserve"> purchased and delivery of MATERIALS  for the construction of 1 unit comfort room and 1 unit deepwell (jetmatic pump)</t>
  </si>
  <si>
    <t xml:space="preserve"> 190	Meter	125mm2 THW Wire - Red, ABC 1,100.00/mtr 190	Meter	125mm2 THW Wire - Yellow, ABC 1,100.00/mtr 190	Meter	125mm2 THW Wire Blue, ABC 1,100.00/mtr 190	Meter	50mm2 THW Wire Green, ABC 700.00/mtr 20	Piece	110mm DIA. PVC Pipe, Electrical, ABC 1,300.00/p</t>
  </si>
  <si>
    <t xml:space="preserve"> Municipality of Claver				Project Reference Number: _______________ 						Name of the Project: ___________________ 						Location of the Project:_________________ Standard Form Number: SF- GOOD-60 Revised: May 24, 2004 Standard Form Title: REQUEST FOR QUO</t>
  </si>
  <si>
    <t xml:space="preserve"> To provide labor and materials for the establishment of Rain Harvester Water Tank at D.A. Quirino Experiment Station, Dungo, Aglipay, Quirino. Please see attached file.</t>
  </si>
  <si>
    <t xml:space="preserve"> Fund Cluster 101, Date July 27, 2020</t>
  </si>
  <si>
    <t xml:space="preserve"> Construction of water tank</t>
  </si>
  <si>
    <t xml:space="preserve"> Republic of the Philippines          City of Dumaguete Bids and Awards Committee INVITATION TO BID FOR PURCHASE REQUEST OF 4 PCS PLASTIC TILE TRIM 10MM X 3.0M AND OTHER ITEMS 	The City of Dumaguete thru its BIDS AND AWARDS COMMITTEE (BAC), invites all int</t>
  </si>
  <si>
    <t xml:space="preserve"> TORQUE WRENCH HD</t>
  </si>
  <si>
    <t xml:space="preserve"> 171 cans Pineapple Juice 240ml and 15 others L/I</t>
  </si>
  <si>
    <t xml:space="preserve"> External had drive 1 TB USB 3.0 with sleeve USB 3.0 64GB OTG, microduo 3.0 USB 3.0 64GB USB-C and USB 3.0 OTG USB 8GB Power supply 600 watts for Desktop  AC Power Supply Adapter Cord Cable for Desktop 1.5 Meters 2 Prong/ 3 Prong Outlet Standard CPU / Desk</t>
  </si>
  <si>
    <t xml:space="preserve"> 1.	The Securities and Exchange Commission (SEC), through the authorized appropriations under FY-2020 Revised Corporation Code (RCC) intends to apply the sum of Five Million Five Hundred Thousand Pesos (Php5,500,000.00) being the Approved Budget for the Co</t>
  </si>
  <si>
    <t xml:space="preserve"> Invitation to Bid for CONSTRUCTION OF WATER TANKS, SUPPLY/DELIVERY AND INSTALLATION OF PIPELINES AND DISTRIBUTION PIPELINES FOR CALLIANGAN BALANGABANG SIP PHASE III, KAYAPA, NUEVA VIZCAYA 1.	The National Irrigation Administration – Nueva Vizcaya Irrigatio</t>
  </si>
  <si>
    <t xml:space="preserve"> Procurement of A4 size, 80gsm Bond Paper for Hinaplanan National High School, Claveria, Misamis Oriental 666 Reams of Bond Paper, A4 size, 80gsm  PLEASE DIRECTLY CONTACT MR. JOSE L. AMBONGLAY THRU MOBILE NUMBER 09058899819</t>
  </si>
  <si>
    <t xml:space="preserve"> PR#20-07-0453 ABC 250,000.00 1 set/ lot Brand New Radio Repeater  Specifications: 1 unit Radio Repeater -	Current drain at 13.6w max audio stand  by 15A 1.9 A 500m A fan LCD backlight off Antenna impedance 500 hms ( Type: Nx2 Dimension WxHxD ) 483x88x260m</t>
  </si>
  <si>
    <t xml:space="preserve"> Please see attached Purchase Order</t>
  </si>
  <si>
    <t xml:space="preserve"> 16 pcs Plywood 1/2" and 29 others L/I</t>
  </si>
  <si>
    <t xml:space="preserve"> No.	QNTY	UNIT OF ISSUE	        ITEM DESCRIPTION 			 1	1	                 pc	                tranmission assembly 			 			x-x-x-x-x</t>
  </si>
  <si>
    <t xml:space="preserve"> Disaster/Calamity Tools</t>
  </si>
  <si>
    <t xml:space="preserve"> lunch and snacks with venue on August , 2020 within Tandag City Interested supplier kindly email your quotation addressed to BAC secretariat =mareina.acevedo@deped.gov.ph</t>
  </si>
  <si>
    <t xml:space="preserve"> 1 PIECE PRINTER WITH SCANNER 70 PIECE SOAP (135g) 10 REAMS BOND PAPER LONG SUBS 24 8 REAMS BOND PAPER A4 SUBS 24 14 BOTTLES PRINTER INK BLACK 100ML 12 BOTTLES PRINTER INK YELLOW 100ML 12 BOTTLES PRINTER INK MAGENTA 100ML 12 BOTTLES PRINTER INK BLUE 100ML </t>
  </si>
  <si>
    <t xml:space="preserve"> Republic of the Philippines          City of Dumaguete Bids and Awards Committee INVITATION TO BID FOR PURCHASE REQUEST OF 1 UNIT MOTORCYCLE 	The City of Dumaguete thru its BIDS AND AWARDS COMMITTEE (BAC), invites all interested manufacturers, suppliers, </t>
  </si>
  <si>
    <t xml:space="preserve"> 2000 liters Diesel</t>
  </si>
  <si>
    <t xml:space="preserve"> 1 pc. External Harddrive 2TB 2 unit Filling Cabinet 4 Drawer 2 unit Printer Bottomless</t>
  </si>
  <si>
    <t xml:space="preserve"> REPAIR OF ISUZU CROSSWIND SJA-613</t>
  </si>
  <si>
    <t xml:space="preserve"> 1.	360	bottle/s	Plain LR 1 Liter 2.	360	bottle/s	Plain NSS 1 Liter 3.	480	bottle/s	D5 IMB 500cc 4.	480	bottle/s	D5 0.3% NaCI 500 cc 5.	240	bottle/s	Plain NSS 500 cc</t>
  </si>
  <si>
    <t xml:space="preserve"> Upgraded Free Range Native Chicken with Feeds, Medicine  and Vitamins   42 sets  (3 female and 1 male chicken per set per ARB woman)        -weight of chicken: 800 grams to 1 kilogram        -fully vaccinate and dewormed Included in the package 1 bag 60 k</t>
  </si>
  <si>
    <t xml:space="preserve"> please see attached Request for Quotation</t>
  </si>
  <si>
    <t xml:space="preserve"> Bidding will be conducted through open competitive bidding procedures using a non-discretionary “pass/fail” criterion as specified in the Implementing Rules and Regulations (IRR) of Republic Act (RA) 9184, otherwise known as the “Government Procurement Re</t>
  </si>
  <si>
    <t xml:space="preserve"> REBID ITEMS FOR PR0008-20 DOPMC UNDER TWICE FAILURE OF BIDDING 3.)	10	Vial/Ampule	Adenosine 3mg/ml, 2ml Vial/Ampule 4.)	400	Tablet	Allopurinol 100mg tablet 8.)	2,600	Vial	Amikacin Sulfate 250mg/ml (125mg/ml 2ml) IM/IV 9.)	15	Bottle	Amino Acid 9.12% 200ml </t>
  </si>
  <si>
    <t xml:space="preserve"> CONSTRUCTION/REHABILITATION/IMPROVEMENT OF LOCAL GOVERNMENT-OWNED POTABLE WATER SUPPLY SYSTEM @ BRGY. SAN MARIANO, SAN PASCUAL, BATANGAS</t>
  </si>
  <si>
    <t xml:space="preserve"> UNIT             QUANTITY               DESCRIPTION REAMS               364                    MULTI-COPY BOND PAPER, A4 SIZE, 70Gsm, Sub. 20, white, 5 reams/box BOTTLE/CART.      30                     EPSON INK-003, Black PIECES                 9       </t>
  </si>
  <si>
    <t xml:space="preserve"> 1 set O-H Gasket 1 set piston ring 1 set cod rod bearing 2 pcs plastic gauge 1 gal motor oil 2 qrt motor oil 1 pc fuel filter 4 pcs theather switch 2 pcs silicone gasket 2 pcs 3-bond 2 pcs tire 1 qrt B-Fluid 1 pc Cyl. Head Gasket 1 pc Cyl. Head Assy 4d56 </t>
  </si>
  <si>
    <t xml:space="preserve"> Curtains Long Curtain Rod Medium Curtain Rods Short Curtain Rod</t>
  </si>
  <si>
    <t xml:space="preserve"> PR#20-07-0409 ABC 238,400.00 70 sheets Ordinary Plywood 4’ x 8’  x ½” 12 sheets Ordinary Plywood 4’ x 8’ x 5mm 49 pcs.    Def. Bars, 8mmØ x 6.00 mtrs. 24 pcs.    Def. bars, 10mmØ x 6.00 mtrs. (wt.: 3.47-3.92 kgs./pc.) 97 pcs.    Def. Bars, 12mmØ x 6.00 mt</t>
  </si>
  <si>
    <t xml:space="preserve"> Lot 1 (ABC Php 519,788.00 ) 200	bottle	ALCOHOL, 70%, ethyl, 500ml 6	box	BATTERY, size AA, alkaline, 2 pieces per blister pack 6	box	BATTERY, size AAA, alkaline, 2 pieces per blister pack 2	box	BATTERY, size D, alkaline, 2 pieces per blister pack 200	ream	</t>
  </si>
  <si>
    <t xml:space="preserve"> SAN PABLO CITY WATER DISTRICT							 San Pablo City							 Telefax: (049) 503-0075 Email Address: spcwd_bac@yahoo.com							 							 REQUEST FOR PRICE QUOTATION							 July 28, 2020							 AGD - 099 - 0							 Contract No. 2020-182							 REFERENCE 		PR N</t>
  </si>
  <si>
    <t xml:space="preserve"> Republic of the Philippines DEPARTMENT OF PUBLIC WORKS &amp; HIGHWAYS Region X Office of the Regional Director Bulua, Cagayan de Oro City REQUEST FOR PROPOSAL July 28, 2020 The President Development Bank of the Philippines (DBP) Puyat Avenue corner Makati Ave</t>
  </si>
  <si>
    <t xml:space="preserve"> 89	sht	Ordinary Plywood (8'x4'x1/4" THK) 144	bdft	Lumber (2"x2"x8')54pcs 1287	bdft	Lumber (2"x2"x10') 386pcs 820	bdft	Lumber (2"x3"x10') 164pcs 12	kgs	CW Nails #4 55	kgs	CW Nails #3 20	kls	CW Nails #1</t>
  </si>
  <si>
    <t xml:space="preserve"> 1 pc Printing Machine (Risograph) Direct Printing from a USB flash Drive Direct from PC Print Print Speed 60 to 130 paper per minute (5 steps variable) Original Type Book ,Sheet Master Supply-250 sheets per roll Print Resolution-300x600dpi Printing Area m</t>
  </si>
  <si>
    <t xml:space="preserve"> 2	pcs	Borosilicate Glass Beaker;  Specifications:  10 mL beakers			 180.00  2	pcs	Borosilicate Glass Beaker;  Specifications:  20 mL beakers			 160.00  3	pcs	Borosilicate Glass Beaker;  Specifications:  50 mL beakers			 150.00  2	pcs	Borosilicate Glass Be</t>
  </si>
  <si>
    <t xml:space="preserve"> Republic of the Philippines Province of Cotabato Municipality of Antipas BIDS AND AWARDS COMMITTEE 	 REQUEST FOR QUOTATION (RFQ) The Municipal Government of Antipas, through its Bids and Awards Committee (BAC), hereby invites interested suppliers to submi</t>
  </si>
  <si>
    <t xml:space="preserve"> 1.)	 10	  - pcs 	 - 20' x 30' Feet Trapal Lona Tolda with Eyelet 2.)     1	  - roll 	 - 12' x 100' Feet Sakolin Trapal Tarpaulin Waterproof 3.)  	 1	  - roll 	 - #5 x 200 meters Nylon Cord</t>
  </si>
  <si>
    <t xml:space="preserve"> Supply and Delivery of :								 										 100	pcs	Monobloc, Chair				Php__________		Php___________ 		x-x-x-x-x NOTHING FOLLOWS x-x-x-x-x								 										 										 										 										 									 	                                                     </t>
  </si>
  <si>
    <t xml:space="preserve"> Republic of the Philippines  PROVINCE OF ZAMBALES IBA BIDS AND AWARDS COMMITTEE Invitation to Bid for the Supply and Delivery of Contamination Control Floating Floor Mats for Candelaria District Hospital 1.	The Provincial Government of Zambales, through t</t>
  </si>
  <si>
    <t xml:space="preserve"> INVITATION TO APPLY FOR ELIGIBILITY AND TO BID THE BIDS AND AWARD COMMITTEE OF THE MUNICIPALITY OF CAIBIRAN, BILIRAN IS INVITING ALL INTERESTED BIDDERS ON ITS FORTHCOMING PUBLIC BIDDING FOR: Project Title	: Acquisition of Electrical Supplies Delivery Peri</t>
  </si>
  <si>
    <t xml:space="preserve"> INVITATION TO BID FOR THE PROCUREMENT OF PERISHABLE ITEMS FOR BANGUN IMPLEMENTATION IN BASILAN PROVINCE The Department of Social Welfare and Development (DSWD) Field Office IX through the Government of the Philippines General Appropriations Act of 2020 in</t>
  </si>
  <si>
    <t xml:space="preserve"> Kindly refer to the attached RFQ</t>
  </si>
  <si>
    <t xml:space="preserve"> No.	QNTY	UNIT OF ISSUE	ITEM DESCRIPTION 			 1	1	PC	TIRE  205/65 r 12 			 2	7	liters	engine oil 			 3	1	pc	oil filter 			 4	2	pc	tire 195 R14 			 5	1	pc	wheel alignment 			 6	2	pc	wiper blade 			 7	2	liter	grean oil 			 8	1	pc	signal light assembly 			 9	1</t>
  </si>
  <si>
    <t xml:space="preserve"> 1 UNIT AMBULANCE ENGINE MODEL 1GD-FTV TRANSMISSION MANUAL 6 SPEED  TRANSMISSION FUEL SYSTEM COMMON RAIL TYPE DISPLACEMENT 2.755 CC MAX POWER 176PS/3,400 RPM MAX TORQUE 420NM/1,400-2,600 RPM DIMENSION  L.5,265XW 1,950XH1,990 EMISSION STANDARD EURO 4 SAFETY</t>
  </si>
  <si>
    <t xml:space="preserve"> PHILIPPINE BIDDING DOCUMENTS (As Harmonized with Development Partners) RE BIDDING - SUPPLY AND DELIVERY OF SCHOOL SUPPLIES FOR THE STUDENTS OF LUCBAN, QUEZON BIDDING Government of the Republic of the Philippines TABLE OF CONTENTS SECTION I. INVITATION TO </t>
  </si>
  <si>
    <t xml:space="preserve"> Republic of the Philippines Province of Palawan Municipality of Taytay BIDS AND AWARD COMMITTEE RFQ No. 2020 Date: August 04, 2020 REQUEST FOR QUOTATION (Procurement of various) Sir/Madam: You’re hereby invited to quote your price(s) on the article(s) lis</t>
  </si>
  <si>
    <t xml:space="preserve"> 715 meters gravelled pavement location: timol st.-galope st., poblacion, gutalac, zamboanga del norte approved budget for the contract: php3,000,000.00 20% development fund opening of bids: august 24, 2020     9:00 am submission of bids: on or before open</t>
  </si>
  <si>
    <t xml:space="preserve"> Republic of the Philippines Province of Negros Occidental Municipality of Pontevedra BIDS AND AWARDS COMMITTEE INVITATION TO BID 	The Brgy. Canroma, Pontevedra, Negros Occidental through its Bids and Awards Committee (BAC), invites all prospective bidders</t>
  </si>
  <si>
    <t xml:space="preserve"> Laptop for Online Medical check up of the constituents  of Maco</t>
  </si>
  <si>
    <t xml:space="preserve"> 3500 liters of Diesel, 2800 liters of Gasoline</t>
  </si>
  <si>
    <t xml:space="preserve"> 1/2" x 4'  x 8' Santa Clara Marine Plywood 1 1/2" Bronze Nails Epoxy (All Purpose) QDE Paint White QDE Paint Red Katig/Pool Post 2" Paint Brush</t>
  </si>
  <si>
    <t xml:space="preserve"> CONSTRUCTION/REHABILITATION/WIDENING OF LOCAL ROAD @ SAN ANTONIO, SAN PASCUAL, BATANGAS</t>
  </si>
  <si>
    <t xml:space="preserve"> 4ea Tire 700x15 (Isuzu Elf) and 19 others L/I</t>
  </si>
  <si>
    <t xml:space="preserve"> Republic of the Philippines Province of Agusan del Norte Municipality of Remedios T. Romualdez Invitation to Bid Supply and Delivery of Risograph Machine and Consumables for Reproduction of Learning Materials for Department of Education-RTR District  1. T</t>
  </si>
  <si>
    <t xml:space="preserve"> (see bidding documents in the associated component for further project details)</t>
  </si>
  <si>
    <t xml:space="preserve"> PLEASE SUBMIT PRICE QUOTATION AS PER ATTACHED RFQ</t>
  </si>
  <si>
    <t xml:space="preserve"> 1.	The Municipal Government of Roxas, Isabela has received the share from the CY 2016 Collection of Burley and Native Excise Tax  a nd it  intends to apply part or whole of the proceeds of this funds for payment under the contract for the project. Bids re</t>
  </si>
  <si>
    <t xml:space="preserve"> Bisagra #2 Plug Pliers - Standard Size Door Knob Hole Saw for Wood Desk Cord Cable Hole</t>
  </si>
  <si>
    <t xml:space="preserve"> Please see attached Term of Reference (TOR)</t>
  </si>
  <si>
    <t xml:space="preserve"> Work to be done: 1. Mobilization / Demobilization 2. Excavation ( Septic Tank &amp; Riprap) 3. Installation of Pipings 4. Installation of floor Tiles 5.  Installation of Elect. wiring and Lighting Fixtures 6. Septic tank 7. Riprap work 8. Installation of tran</t>
  </si>
  <si>
    <t xml:space="preserve"> UNIT ITEM DESCRIPTION QTY pc Tarpaulin (6'x8') 1 pcs Snacks (Spaghetti &amp; Chicken w/ drinks) 122 pcs Plague for LGU Employees 32 pcs Electric Fan 3 pcs Dura Box 3 pcs Oven Toaster 2 pcs Rice Cooker 2 pcs Blender 2 pcs Flash light 6 pcs Electric Kettle 10 p</t>
  </si>
  <si>
    <t xml:space="preserve"> 1	60 bags Cement 2	4 cu.m. Gravitas 3	5 cu.m. Sand 4	48 pcs 12 mm RSB 5	70 pcs  9mm RSB 6	10 kls   Tie Wire  7	10 kls Assorted CW Nail 8	2 pcs Hacksaw Blade 9	340 pcs 4” CHB 10	4  pcs  ¼” Marine Plywood  11	30 pcs      2”x 2” x 10 form lumber 12	30 pcs   </t>
  </si>
  <si>
    <t xml:space="preserve"> Procurement of 1 Lot Computer Set 2 units Desktop Computer System 2 units Printer</t>
  </si>
  <si>
    <t xml:space="preserve"> The specification is available at the Bids and Awards Committee Secreatriat MPDC-2nd Floor, Lasam Municipal Town Hall</t>
  </si>
  <si>
    <t xml:space="preserve"> INVITATION TO BID PROCUREMENT OF OFFICE SUPPLIES FOR DAR PROVINCIAL OFFICE OF CAMARINES NORTE COVERING THE PERIOD OF 2nd SEMESTER              CY 2020  1.	The Department of Agrarian Reform Provincial Office of Camarines Norte through the General Appropria</t>
  </si>
  <si>
    <t xml:space="preserve"> Republic of the Philippines									 Department of Health									 Regional Health Office – Central Visayas									 SAINT ANTHONY MOTHER AND CHILD HOSPITAL									 Basak San Nicolas, Cebu City									  (032) 261-9989 local 1205 /239-2741									 Email</t>
  </si>
  <si>
    <t xml:space="preserve"> Procurement of Computer Set w/ Complete Accessories</t>
  </si>
  <si>
    <t xml:space="preserve"> SEE ATTACHED FILES FOR THE SPECIFICATION AND DESCRIPTION OF ITEMS REQUIRED DEADLINE OF SUBMISSION: AUGUST 11, 2020 AT 9AM</t>
  </si>
  <si>
    <t xml:space="preserve"> Supply, delivery and installation of Airconditioning Units</t>
  </si>
  <si>
    <t xml:space="preserve"> DA-BFAR Compendium Folder			1000	pcs	100,000.00 					 Specifications:					 Paper: C2S 220 lbs					 Coating: Matte Lamination					 Print: Full Color (front and back)					 Spread Size: 27 inches x 18 inches					 *die cut with scoring and hole design					 		</t>
  </si>
  <si>
    <t xml:space="preserve"> 1 pc. Switch 2 instrument panel 1 pc. Switch 1 instrument panel</t>
  </si>
  <si>
    <t xml:space="preserve"> Republic of the Philippines		Republic of the Philippines								 		Department of Transportation and Communications								 		CIVIL AVIATION AUTHORITY OF THE PHILIPPINES								 		Area Center II, Tuguegarao Airport								 										 										 Request for</t>
  </si>
  <si>
    <t xml:space="preserve"> SAN PABLO CITY WATER DISTRICT							 San Pablo City							 Telefax: (049) 503-0075 Email Address: spcwd_bac@yahoo.com							 							 REQUEST FOR PRICE QUOTATION							 July 28, 2020							 Contract No. 2020-189							 REFERENCE 		PR No.      : 	11536				 </t>
  </si>
  <si>
    <t xml:space="preserve"> PROCUREMENT OF THERMAL SCANNER, ETC.</t>
  </si>
  <si>
    <t xml:space="preserve"> please submit price quotation as per attached RFQ</t>
  </si>
  <si>
    <t xml:space="preserve"> PROCUREMENT OF AIR CONDITIONER</t>
  </si>
  <si>
    <t xml:space="preserve"> 1	10 bags Cement 2	10 pcs 10mm RSB 3	10 pcs 9mm RSB 4	1.5 cu.m. Gravel 5	10 pcs 2” x 2 “ x 10’ Form Lumber  6	2” dia GI pipe sch. 40, ARM 7	2 kls Welding Rod  8	1 lit Epoxy metal primer paint 9	1 pcs Paint brush 10	2 pcs Plywood ¼” ord. 11	2 kls tie wire </t>
  </si>
  <si>
    <t xml:space="preserve"> Plain Sheets for Siding 3/16" Plain Sheets for Flooring 1/4" 3 1/4" Channel Bar 4 1/4" Channel Bar Welding Rod Oxygen Acethylene</t>
  </si>
  <si>
    <t xml:space="preserve"> Procurement of 1,250 Pcs. Drug Testing Kits</t>
  </si>
  <si>
    <t xml:space="preserve"> The Department of Agriculture-RFO 3, invites interested suppliers to submit quotations/proposals for the hereunder requirement, to wit: Supply and delivery of various office supplies to be used at Accounting Section	 		JANITORIAL SUPPLIES	 15	bottles	Disi</t>
  </si>
  <si>
    <t xml:space="preserve"> NOTE: KINDLY DOWNLOAD THE ATTACHED REQUEST FOR QUOTATION FROM THE ASSOCIATED COMPONENT FOUND IN THIS NOTICE. Sir/Madam: In relation to the Small Value Method of Procurement, pursuant to Sec. 53.9 of the Implementing Rules and Regulations of RA 9184, pleas</t>
  </si>
  <si>
    <t xml:space="preserve"> Repair/Maintenance of Municipal Vehicle ( L-300 w/ Conduction Sticker # B1R698 ) @ Samal, Bataan                Labor:                Tire Mounting Free 1 ls - Replace Aux Fan 1 ls - Replace Blower Motor 1 ls - Alignment Toe In and Out 1 ls - Replace Idle</t>
  </si>
  <si>
    <t xml:space="preserve"> Item No.	Item and Description	                                Qty	    Approved Budget 1	Consultant – Procurement of Creative Services 	1 lot	    200,000.00 	For the Development of the SHFC 2019 Annual 		 	Report		 			 	-	Conceptualization &amp; Graphic Design</t>
  </si>
  <si>
    <t xml:space="preserve"> The Supreme Court of the Philippines through Property division invites interested bidders/suppliers for  1 lot supply delivery and installations of 3 units 5TR airconditioning unit. The one day  ocular inspection or surveying will be on Saturday August 8,</t>
  </si>
  <si>
    <t xml:space="preserve"> ITEM NO - QTY - ITEM DESCRIPTION - TOTAL COST 1 - 1 - PMS 12000 Hrs. Komatsu Backhoe (PC200-8MO) - 60,000.00 GRAND TOTAL: PHP 60,000.00</t>
  </si>
  <si>
    <t xml:space="preserve"> Repair of Comfort Rooms Replacement of bowl, PVC Door, Ceiling, Floor Tiles and construction of Pozo Negro</t>
  </si>
  <si>
    <t xml:space="preserve"> REPUBLIC OF THE PHILIPPINES PROVINCE OF BATAAN MUNICIPALITY OF MARIVELES BARANGAY ALASASIN INVITATION TO APPLY FOR ELIGIBILITY AND TO BID The Barangay of Alasasin, through the General Fund Approved by the Sangguniang Barangay CY 2020 intends to apply the </t>
  </si>
  <si>
    <t xml:space="preserve"> UNIT ITEM DESCRIPTION QTY packs Breakfast 7000 packs Lunch 7000 packs Dinner 7000 Republic of the Philippines Province of Aurora Municipality of Dipaculao INVITATION TO BID A. THE LOCAL GOVERNMENT UNIT (LGU) OF DIPACULAO, AURORA, through its Bids and Awar</t>
  </si>
  <si>
    <t xml:space="preserve"> Purchase and Delivery for the Construction of Multipurpose Drying Pavement</t>
  </si>
  <si>
    <t xml:space="preserve"> Republic of the Philippines DEPARTMENT OF PUBLIC WORKS &amp; HIGHWAYS Region X Office of the Regional Director Bulua, Cagayan de Oro City REQUEST FOR PROPOSAL July 28, 2020 Dear Sir/Madam,  We are respectfully inviting you to submit your Technical and Financi</t>
  </si>
  <si>
    <t xml:space="preserve"> KALIBO BRANCH - Safety Barriers (Tellers Station) ABC Php 55,000.00</t>
  </si>
  <si>
    <t xml:space="preserve"> The Municipality of Limay, through its Bids and Awards Committee (BAC) invites registered contractors to apply for eligibility and if found eligible, to bid for the hereunder project/contract: Project/Contract:   REHABILITATION OF DRAINAGE AND CONSTRUCTIO</t>
  </si>
  <si>
    <t xml:space="preserve"> This project entails labor and materials for the Construction of Street Lights at Bgry. Bulala, Magallanes, Sorsogon  funded at BDF 2020.</t>
  </si>
  <si>
    <t xml:space="preserve"> Pls. quote the items listed below: 1.  Squash (50g./can)  -  2 can 2.  String Beans  -  5 kgs. 3.  Cucumber (50g./can)  -  7 cans 4.  Ampalaya (100g./can)  -  3 cans 5.  Eggplant (50g./can)  -  4 cans 6.  Upo (250g./can)  -  2 cans 7.  Sikwa (250g./can)  </t>
  </si>
  <si>
    <t xml:space="preserve"> INVITATION TO BID FOR THE PROCUREMENT OF PERISHABLE ITEMS FOR BANGUN IMPLEMENTATION IN TAWI-TAWI PROVINCE The Department of Social Welfare and Development (DSWD) Field Office IX through the Government of the Philippines General Appropriations Act of 2020 </t>
  </si>
  <si>
    <t xml:space="preserve"> Date:	 					 COMPANY NAME: _________________________________					 LOCATION: _______________________________________					 					 					 REQUEST FOR QUOTATION					 					 Gentlemen/Madam:					 					      Please quote your lowest price on the item/s listed belo</t>
  </si>
  <si>
    <t xml:space="preserve"> NO.	QTY	UNIT	PARTICULARS/DESCRIPTION AND SPECIFICATIONS	APPROVED BUDGET COST	QUOTED PRICE 				UNIT COST	 1	1	lot	Repair of CSDT Canopy and DXBU Bulletin Board	 70,000.00 	 			Duration 15 C.D 		 			Contract I.D No. SVP 24-20</t>
  </si>
  <si>
    <t xml:space="preserve"> 2 units Milking Machine 12 meters Airline Hose 2 pcs. Milk Claw 4 pcs. Vaccum Gauge 3 packs Rubber Liner 5.7 meters Milk Hose 4 pcs. Pulsator</t>
  </si>
  <si>
    <t xml:space="preserve"> 3 units Motorbike</t>
  </si>
  <si>
    <t xml:space="preserve"> see details attached with POW.</t>
  </si>
  <si>
    <t xml:space="preserve"> Purchase of School Educational Supplies and materials approved by BAC Members in their resolution dated July 3, 2020.</t>
  </si>
  <si>
    <t xml:space="preserve"> Republic of the Philippines BATANGAS STATE UNIVERSITY Batangas City REQUEST FOR QUOTATION "Procurement of Supplies for the implementation of Tertiary Education Subsidy (TES)"  1. The Batangas State University (BatState U) through the Bids and Awards Commi</t>
  </si>
  <si>
    <t xml:space="preserve"> 1 UNIT SMART PHONE (ANDROID) CPU Speed 2.73 GHz, 2.5 GHz, 2 GHz CPU Type Octa-Core Size (Main Display) 174.4mm (6.9" full rectangle) / 170.2mm (6.7" rounded corners) Technology (Main Display) Dynamic AMOLED 2X Color Depth (Main Display) 16M Rear Camera - </t>
  </si>
  <si>
    <t xml:space="preserve"> Spiral Notebooks (80 leaves) Panda Ballpen ( Black) 1/2 Crosswise Pad Paper ( 50 Leaves) Clear Plastic Envelope (with Handle)</t>
  </si>
  <si>
    <t xml:space="preserve"> Spine board</t>
  </si>
  <si>
    <t xml:space="preserve"> REPUBLIC OF THE PHILIPPINES Guimba Water District Danzalan St. Cor. Faigal St., Sta. Veronica Guimba, Nueva Ecija Request for Quotation for Supply and Delivery of Five (5) Units Pressure  Transducer 4-20 MA, 4-30 VDC, ¼ NPT for ABB Variable Frequency Driv</t>
  </si>
  <si>
    <t xml:space="preserve"> Supply and delivery of various printed forms for use at the Municipal Health Office 1. 1000 pcs Health Card Biege 2. 1000 pcs Health Card Green 3. 500 pcs Sanitary Health Card (Tag Board)</t>
  </si>
  <si>
    <t xml:space="preserve"> Split Type Aircon Unit (1.5HP)</t>
  </si>
  <si>
    <t xml:space="preserve"> 1	T50Staple Wire	piece	1 2	UY Connector	piece	1 3	RJ-11	box	1 4	RJ45	piece	1 5	XLR Conector, male	piece	1 6	XLR Conector, female	piece	1 7	Mono Connector	piece	1 8	Rechargeable Battery	piece	1 9	Electrical Tape	piece	3 10	Soldering Lead	piece	3 11	Solderi</t>
  </si>
  <si>
    <t xml:space="preserve"> Item No.	Qty	DESCRIPTION				Unit 						Measurement 1	10.00	P.E. Pipe,75mmØx60.0m, SDR11,ISO				roll 2	6.00	P.E. Pipe,63mmØx60.0m, SDR11,ISO				roll 3	4.00	P.E. Pipe,50mmØx60.0m, SDR11,ISO				roll 4	5.00	P.E. Pipe,32mmØx100.0m, SDR11,ISO				roll 5	12.00	P.</t>
  </si>
  <si>
    <t xml:space="preserve"> Contract ID: 20PK0073 Contract Name: Installation of Road Safety Devices along Kalinga - Abra Road K064+(-136) - K0488+000 (I.S.), Pasil and Balbalan, Kalinga   Contract Location: Pasil and Balbalan, Kalinga Brief Description: Installation of Road Safety </t>
  </si>
  <si>
    <t xml:space="preserve"> SAN PABLO CITY WATER DISTRICT							 San Pablo City							 Telefax: (049) 503-0075 Email Address: spcwd_bac@yahoo.com							 							 REQUEST FOR PRICE QUOTATION							 July 28, 2020							 AGD - 099 - 0							 Contract No. 2020-190							 REFERENCE 		PR N</t>
  </si>
  <si>
    <t xml:space="preserve"> 1st POSTING The Barangay Government of Capacuan, Paracale, Camarines Norte invites all legitimate suppliers to submit their quotation for the project of Barangay Capacuan, Paracale, Camarines Norte. MEDICINES 25 btl. Paracetamol Drops 30 btl. Paracetamol </t>
  </si>
  <si>
    <t xml:space="preserve"> Scope of works: 1. Well drilling 4" dia. Bore hole 200 ft. 2. Installation of G.I. Pipe casing 3. Excavation of column footing 4. Concrete works concrete pedestal 5. Fab. of elevated tank 6. Form works 7. Installation of water pump, pipe lines and accesso</t>
  </si>
  <si>
    <t xml:space="preserve"> PROCUREMENT OF TROPHIES, ETC.</t>
  </si>
  <si>
    <t xml:space="preserve"> 4       pcs         Tire 205/70 RIS               10,500.00              42,000.00 8       lit           Engine Oil                            750.00                6,000.00 1       pc          Oil Filter 512                         650.00                </t>
  </si>
  <si>
    <t xml:space="preserve"> 6 meter 80mm2 THHN Wire 2 pcs. Rubber Tape 1 pc. Electrical Tape, Big 200 meter ACSR #2, Bare Wire 1 set Fuse Cut-out w/ Lightning Arrester 1 set Hot Line Clamp 2 set Grounding Rod, 5/8 with Clamp 3 pcs. Solderless Connector, 80mm2</t>
  </si>
  <si>
    <t xml:space="preserve"> PROCUREMENT OF EMERGENCY LIGHTS AEL-390, ETC.</t>
  </si>
  <si>
    <t xml:space="preserve"> Construction of covered walk re: Detailed Estimates: Name of Project: Proposed Covered Walk Location: ATI RTC-7 Cabawan Dist., Tagbilaran City I. CONCRETING WORKS Foundation Footings: 30 bags Portland Cement 3 cubic mtr. Washed Sand (S-1) 4 cubic mtr. Was</t>
  </si>
  <si>
    <t xml:space="preserve"> 1.	The Municipal Government of Roxas, Isabela has received the share from the CY 2016 Collection of Burley and Native Excise Tax   and it  intends to apply part or whole of the proceeds of this funds for payment under the contract for the project. Bids re</t>
  </si>
  <si>
    <t xml:space="preserve"> NO.	QTY	UNIT	PARTICULARS/DESCRIPTION AND SPECIFICATIONS	APPROVED BUDGET COST	QUOTED PRICE 				UNIT COST	 1	1	lot	Proposed Medical Clinic Interior @ Health Services Building 	 430,000.00 	 			Duration 60 C.D 		 			Contract I.D No. SVP 23-20</t>
  </si>
  <si>
    <t xml:space="preserve"> 551 learners x 10 pages per modules x 96 modules per quarter x Php 0.85</t>
  </si>
  <si>
    <t xml:space="preserve"> The Supreme Court of the Philippines through procurement section of Property division would like to invite/s interested bidders/suppliers for 1 lot supply delivery and installation of 19 units network outlets including roughing ins etc. Ocular inspection/</t>
  </si>
  <si>
    <t xml:space="preserve"> Description: 2.80G 4x4 m/t white Pick-up diesel engine with accessories DIMENSION AND WEIGHT: Overall Dimension 5,335x1,855x1,855 Wheel base (mm) 3,085 Seating Capacity 5 Engine Displacement 2,755 Maximum Output (ps/rpm) 174/3,400 Maximum Torque / Nm/Rpm </t>
  </si>
  <si>
    <t xml:space="preserve"> PROCUREMENT OF FOLDING TABLE, ETC. (BALAY SILANGAN REFORMATION CENTER)</t>
  </si>
  <si>
    <t xml:space="preserve"> 1 pc. Water Dispenser (HOT &amp; COLD)</t>
  </si>
  <si>
    <t xml:space="preserve"> DepEd, Division of Sorsogon										 Standard Form Number: SF-GOOD-60										 Revised on: May 24, 2004										 REQUEST FOR QUOTATION										 										 						Date:		August 3, 2020		 						Quotation No.:		20-08-114-______		 										 										 			</t>
  </si>
  <si>
    <t xml:space="preserve"> PR. NO.		        DESCRIPTION	                                                     ESTIMATED AMOUNT 000009896	   	One (1) lot Supply and Installation of		             PhP        486,720.00 			               CCTV System for DFPC-Hilton Hotel Clark  NOTE:  P</t>
  </si>
  <si>
    <t xml:space="preserve"> PROVISION OF HYGIENE KIT FOR COMPRE BENEFICIRIES (FAMILIES and STREET CHILDREN) FOR LGU Legazpi City for CY 2020					 Target Date: August 26, 2020	 250	bottle ALCOHOL, ethyl,68%-70%, scented, 500ml					 250	box SOAP, BATHROOM, 135 grams, 1 piece in indivi</t>
  </si>
  <si>
    <t xml:space="preserve"> Qoutation Ctrl #:	20-07-007 						 REQUEST FOR QUOTATION						 PROCUREMENT OF 1TB EXTERNAL FLASH DRIVES						 						 Name						 						 Address						 						 Please qoute your lowest price on the item/s listed, subject to the conditions stated below, statin</t>
  </si>
  <si>
    <t xml:space="preserve"> 1 unit 4 wheels car</t>
  </si>
  <si>
    <t xml:space="preserve"> PHILIPPINE BIDDING DOCUMENTS (As Harmonized with Development Partners) SUPPLY AND DELIVERY OF FACE SHIELD AND HOUSEHOLD KIT TO BE USE IN BARANGAY VISITATION BIDDING Government of the Republic of the Philippines TABLE OF CONTENTS SECTION I. INVITATION TO B</t>
  </si>
  <si>
    <t xml:space="preserve"> PURCHASE OF 1 UNIT MOTORCYCLE</t>
  </si>
  <si>
    <t xml:space="preserve"> 87 employees needed on or before Sept. 10, 2020 1. BASIC APE Medical Services includes: Urinalysis Fecalysis Chest Xray Complete Blood Count Doctor's Consultation 2. LIPID PROFILE Triglycerides HDL LDL Cholesterol 3. ELECTROCARDIOGRAM 4. CREATININE 5. URI</t>
  </si>
  <si>
    <t xml:space="preserve"> Paper size : A4 Paper Thickness: 70 gsm Binding: Saddle stich Cover: Foldcote No. 12 (FC#12)(4 color) with lamination (UV coating)</t>
  </si>
  <si>
    <t xml:space="preserve"> FOR CSSR USE</t>
  </si>
  <si>
    <t xml:space="preserve"> 1. 16 pcs steel matting HD 2. 8 pcs 0.7 flat sheet 3. 12 pcs 1'' dia. G.I PIPE #40 4. 10 Kgs W. Rod 5. 12 pcs angle bar 1 x 1 6. pcs cutting disc. HD 7.4 pcs hacksaw blade 8. 16 pcs cylindrical hinges 9. 1 gal primer paint ( gray ) 10. 1 bottle paint thin</t>
  </si>
  <si>
    <t xml:space="preserve"> bond paper (Long)                      Php. 46,800.00 Bond paper (A4)                         Php. 36,570.00 Ink EPSON colors 4 bot./set         Php. 19,133.75</t>
  </si>
  <si>
    <t xml:space="preserve"> Hand Gloves		10 	pair Hand Trowel		10 	pc Handy Sprayer		1 	pc &gt;1 gal. capacity			 Pruning Shear		3 	pc Shovel / Spade		2 	pc Hoe		2 	pc Mattock Pick		1 	pc Weighing Scale		1 	pc &gt;0-12kgs</t>
  </si>
  <si>
    <t xml:space="preserve"> Proposal of the Extension of 1P Primary Overhead Lines and Installation of 1-75 kva transformer</t>
  </si>
  <si>
    <t xml:space="preserve"> Construction of 3mx6m public toilet</t>
  </si>
  <si>
    <t xml:space="preserve"> Supply and Delivery of; Contract : GOODS-C-UCRIS PIP/PIS-01-2020 Project    : Supply and Delivery of Water Pump with Accessories Location : Tabuk City, Kalinga &amp; Quezon, Isabela DESCRIPTION	QUANTITY	UNIT  	 	 	  WATER PUMP AND ENGINE WITH ACCESSORIES		 a.</t>
  </si>
  <si>
    <t xml:space="preserve"> ILOILO BRANCH - Safety Barriers ABC Php 85,000.00 Specifications attached</t>
  </si>
  <si>
    <t xml:space="preserve"> PROCUREMENT OF ICT EQUIPMENT FOR LOCAL SCHOOL BOARD LSB, Mexico, Pampanga</t>
  </si>
  <si>
    <t xml:space="preserve"> 1 unit 25 KVA Electronic Transformer Primary Line 13,200Volt/7,260 Volt, Secondary Line 240Volt/120Volt Oil Emerged</t>
  </si>
  <si>
    <t xml:space="preserve"> 1/4" x 4' x 8 hrdiflex (std ) 1 1/2" x 3/16" angle bar ( std ) 1" x 3/16" angle bar ( std ) 1" x 3/16" flat bar ( std ) 2" x 1/4" flat bar ( std ) E 6013 2.5 mm welding electrode 4" concrete nails 4" super thin cutting disc 4" grinding disc tyrolit cut-of</t>
  </si>
  <si>
    <t xml:space="preserve"> Vitamin C ( Ceelin Tablet) Vitamin C (Ceelin Syrup 60ml) Multivitamins w/ Iron (Tablet) Multivitamins w/ Iron (Syrup 60ml)</t>
  </si>
  <si>
    <t xml:space="preserve"> Republic of the Philippines Province of Leyte MUNICIPALITY OF HILONGOS 	 Invitation to Bid  1.	The  Local Government Unit of Hilongos  through its Bids and Awards Committee (BAC), hereby invites Domestic Contractors registered with and classified by the P</t>
  </si>
  <si>
    <t xml:space="preserve"> Procurement of laboratory testing equipment and apparatus for use of Quality Assurance Section DPWH Iloilo 2nd DEO, Balabag, Dumangas, Iloilo</t>
  </si>
  <si>
    <t xml:space="preserve"> DISTRIBUTION PIPES</t>
  </si>
  <si>
    <t xml:space="preserve"> FOR OPERATING ROOM USE</t>
  </si>
  <si>
    <t xml:space="preserve"> Specification: Model: 2020 2.4 E DSL, 4x4 M/T ENGINE: 2GD-FTV,Type 2.4L Diesel,4-cylinder,16 valve DOHC Variable Nozzle Turbo with Front Mounted Inter cooler Displacement: 2,393 cc, Maximum Output : 147/3,400 hp/rpm, Maximum Torque : 400/1,600- 2,000 nm/r</t>
  </si>
  <si>
    <t xml:space="preserve"> Please quote your lowest price on the item(s) listed, subject to the Terms and Conditions stated below and submit your quotations duly signed by your representative not later than 9:00AM of August 7, 2020 in a sealed envelope to the Office of the BAC Secr</t>
  </si>
  <si>
    <t xml:space="preserve"> DESCRIPTION	UNIT	QUANTITY Provision of Field Office for the Engineers (Rental Basis)	months	3.00 Project Billboard/Signboard	each	1.00 Occupational Safety and Health Program	months	3.00 Mobilization/Demobilization	Lump sum	1.00 Surplus Common Excavation	c</t>
  </si>
  <si>
    <t xml:space="preserve"> 280 PLATTERS PLAIN RICE AND 9 OTHER LINE ITEMS</t>
  </si>
  <si>
    <t xml:space="preserve"> Item No.	Unit	DESCRIPTION				Qty 						 1	Set	FSL LED StreetLights 90W				10 2	Set	FSL LED StreetLights 60W				10</t>
  </si>
  <si>
    <t xml:space="preserve"> 1 set Socket wrench 3/4 1 set Socket wrench 1/2 2 sets Packaging seal 1 roll Vulcanizing gum 1 set Brake lining 1 set Kingpin 1 pc. Head gasket 2 pcs. Hydraulic hose 0.100x38 2 pcs. Oil seal big 2 pcs. Oil seal small 2 sets Brake master rep. Kit 5 meters </t>
  </si>
  <si>
    <t xml:space="preserve"> 6 UNIT SMART TV 40" WITH WALL BRACKET NOTE:  - Hard copy of this RFQ must be signed, sealed and delivered to LNHS BAC Office within 3 days upon receipt.  - All items should be delivered free of charge.</t>
  </si>
  <si>
    <t xml:space="preserve"> Batangas Branch Office                                         Alangilan, Batangas City 4200  BATANGAS BRANCH OFFICE REQUEST FOR QUOTATION The GOVERNMENT SERVICE INSURANCE SYSTEM invites all interested registered suppliers to submit quotations for: 	1	lot</t>
  </si>
  <si>
    <t xml:space="preserve"> UNIT                       QUANTITY                              DESCRIPTION REAM                         400                                     A4 BOND PAPER SUBSTANCE 20 BOTTLE                        16                                     INK (CYAN, MA</t>
  </si>
  <si>
    <t xml:space="preserve"> 1 unit Water Dispenser (Hot and Cold)</t>
  </si>
  <si>
    <t xml:space="preserve"> for the procurement of Dental Supplies for Dental Services</t>
  </si>
  <si>
    <t xml:space="preserve"> 5000 liters Gasoline</t>
  </si>
  <si>
    <t xml:space="preserve"> Various office supplies and janitorial supplies for Comelec Office</t>
  </si>
  <si>
    <t xml:space="preserve"> Republic of Philippines										 City of Canlaon										 OFFICE OF THE BIDS AND AWARDS COMMITTEE										 REQUEST FOR SEALED QUOTATION										 										 				Date:	3-Aug-20					 				Quotation No.:	2020-07-0116					 				PR No.:	2020-07-116 A					 			</t>
  </si>
  <si>
    <t xml:space="preserve"> Rehabilitation of Water System at EcoPark @ Samal, Bataan 1 pc - CL Ejector Venture H232 2 pcs - Leather Cap US H254 1 pc - Foot Valve WB H1925 6 pcs - Coupling France 1-1/4 1 pc - Nipple 1-1/4 x 12 2 pcs - Coupling 1-1/4 MEC 2 pcs - Bushing 1-1/4 MEC 2 p</t>
  </si>
  <si>
    <t xml:space="preserve"> REQUEST FOR QUOTATIONS Purchase of Field Supplies to be used in CHED-IDIG Project - Lot 5 The Bicol University, through the Corporate Budget for the contract approved by the Board of Regents intends to apply the sum of One Hundred Fifty-Nine Thousand Nine</t>
  </si>
  <si>
    <t xml:space="preserve"> Procurement of 1 Lot Grocery Items</t>
  </si>
  <si>
    <t xml:space="preserve"> Scope of works:  1. Well drilling and Installation of Casing 220 ft. 2. Construction of flatform/ installation of hand pump and accessories</t>
  </si>
  <si>
    <t xml:space="preserve"> Please see attached Purchase Request (PR) for the specifications.</t>
  </si>
  <si>
    <t xml:space="preserve"> Please download RFQ.</t>
  </si>
  <si>
    <t xml:space="preserve"> Supply and delivery of cellular phone equipment all in accordance with the approved quantity and specifications (4/6 GB RAM 65/125GB RAM 6000maH fast charging battery 48 MP tiple camera)</t>
  </si>
  <si>
    <t xml:space="preserve"> See attached file.</t>
  </si>
  <si>
    <t xml:space="preserve"> Supply &amp; Delivery of other supplies 01D HES H02-2020 Kindly see attached file. Thank you!</t>
  </si>
  <si>
    <t xml:space="preserve"> Construction/Rehabilitation of Street Lights</t>
  </si>
  <si>
    <t xml:space="preserve"> PROCUREMENT OF FIFTEEN (15) UNIT RISOGRAPH MACHINE WITH ONE HUNDRED (100) UNIT MASTER ROLL LSB Mexico South, North and West District  Mexico, Pampanga BAC Activities	Schedule 1. Submission of Request for Expression of       Interest and Eligibility Requir</t>
  </si>
  <si>
    <t xml:space="preserve"> For the construction of Car port/garage/Multi-Purpose Hall at TESDA Masbate Provincial Office Grounds located at Capiyol Road, Masbate City</t>
  </si>
  <si>
    <t xml:space="preserve"> 6 pcs Relay Controller 1 pc Craft shaft Oil Seal</t>
  </si>
  <si>
    <t xml:space="preserve"> REQUEST FOR QUOTATION For Negotiated Procurement thru Small Value Procurement under Sec. 53.9 of the 2016 Revised IRR of RA 9184 Quotation No.:  2020-08-261 Date: August 3, 2020 PR No.: 20-07-288 PR Date: July 23, 2020 The Metropolitan Tuguegarao Water Di</t>
  </si>
  <si>
    <t xml:space="preserve"> Republic of the Philippines Province of Camarines Sur Municipality of Del Gallego Barangay Government of Poblacion Zone II INVITATION TO BID The Barangay Government of Poblacion Zone II, Del Gallego, Camarines Sur, through the 20% BEDF 2017 intends to app</t>
  </si>
  <si>
    <t xml:space="preserve"> 4" x 8" x 16' CHB Portland Cement 10mmØ Def. Bars Sand (Approved Source) Gravel (Approved Source) No. 16 Tie Wire 1/4" x 1 1/2" x 1 1/2" Angle Bar 1/4" x 1" x 1" Angle Bar Welding Rod (15 kgs.) Red Lead Paint Aluminum Paint 0.4mm THK Pre-painted Rib Type </t>
  </si>
  <si>
    <t xml:space="preserve"> Supply &amp; Delivery of Electrical Materials 01D(GASS) H03-2020 Kindly see attached file. Thank you!</t>
  </si>
  <si>
    <t xml:space="preserve"> Office Supplies of Barangay 3, Lucena City</t>
  </si>
  <si>
    <t xml:space="preserve"> LOSARTAN 50MG	865 boxes METFORMIN 500MG	600 boxes METOPROLOL 50MG	160 boxes ASCORBIC ACID 500MG	170 boxes VITAMIN B1, B6, B12	        170 boxes ATORVASTATIN 20MG        70 boxes	 CLOPIDOGREL 75MG	        30 boxes SALBUTAMOL 1MG/2ML NEBULE	 50 boxes</t>
  </si>
  <si>
    <t xml:space="preserve"> Republic of the Philippines Province of Agusan del Norte Municipality of Remedios T. Romualdez Invitation to Bid SUPPLY, DELIVERY AND INSTALLATION OF THREE (3) UNITS 50KVA TRANSFORMER AND ACCESSORIES OF MUNICIPAL HALL BUILDING 1. The Municipality of Remed</t>
  </si>
  <si>
    <t xml:space="preserve"> 1   unit    Motorcycle</t>
  </si>
  <si>
    <t xml:space="preserve"> This project entails labor and materials for the Rehabilitation/Construction of Street Lights at Brgt. Binisitahan Sur funded at BDF 2020.</t>
  </si>
  <si>
    <t xml:space="preserve"> Construction of Water Tank/Reservoir with approximate capacity of 15 cubic meters at Purok Mapailubon, Alawijao, Badian. 100 bags Cement 40kg/bag 100 pcs. CHB 4" 7 cu.m. Wash Sand 3 cu.m. Fine Sand 40 length Def. bar 10mm. ø 30 length Def.bar 12mm.ø 18 sh</t>
  </si>
  <si>
    <t xml:space="preserve"> 2 Pcs Stove, Heavy Duty 3 Pcs Tables, 72 x 30 x 29.25 (six Sitters) 1 Unit Refrigerator/Freezer 2 Pcs LPG Tank 2 Pcs Hose Regulator</t>
  </si>
  <si>
    <t xml:space="preserve"> 7    pcs   RCPC 30"Ø 7    pcs   RCPC 36"Ø 26  bags Cement 9    cu.m washed sand 210 pcs.  chb 4x8x16 15   pcs.  rsb 10mmØ 2     kls    Tie wire #16</t>
  </si>
  <si>
    <t xml:space="preserve"> Important Notice for Bidders: 1.	Bidders shall pay the nonrefundable fee for the Bidding Documents not later than the submission of their bids to the Basilan State College Cashier or you may deposit your payment through our Landbank account. BASILAN STATE</t>
  </si>
  <si>
    <t xml:space="preserve"> Item No.	Description	Unit	Quantity 1	Angle Bar (1½”X1½”X¼”)	Pc.	5 2	Round Bar (10mmØ)	Pc.	9 3	Welding Rod	Kg.	4 4	Epoxy Primer	Gal.	1 5	Quick Drying Enamel	Gal.	1 6	Paint Brush (2”)	Pc.	6 7	Paint Thinner	Bot.	4 8	Bolts and Nuts (⅝” Ø)	Pc.	18 9	Latex Paint</t>
  </si>
  <si>
    <t xml:space="preserve"> PLEASE SEE ATTACHED ASSOCIATED COMPONENT</t>
  </si>
  <si>
    <t xml:space="preserve"> 6 box	Ascorbic Acid tablet					 6 box	B. complex</t>
  </si>
  <si>
    <t xml:space="preserve"> Window Type Aircon of Barangay 3, Lucena City</t>
  </si>
  <si>
    <t xml:space="preserve"> Specification: 136-174MHz Channel Capacity: 16 Channel Channel Spacing: 12.5/25 Operating Voltage: 7.4 Antenna Impedance: 50 Ohms Dimension: (H x W x D) 119 x 55 x 33 Weight: 270gms IP Rating: IP66 Transmitter RF Power Output: 5W Modulation: F3E Audio Dis</t>
  </si>
  <si>
    <t xml:space="preserve"> Procurement of 1 Lot Vehicle Parts and Accessories 1 Unit Steering Rock End Assymbly-Superior Multicab #9908805, etc.</t>
  </si>
  <si>
    <t xml:space="preserve"> 200 PACKS SNACKS BIHON/PINEAPPLE JUICE AND 3 OTHER LINE ITEMS</t>
  </si>
  <si>
    <t xml:space="preserve"> Republic of the Philippines				 Province of Quezon 				 Municipality of Lucban				 				 Bill of Quantities				 Quantity	Unit	Articles/Description	Unit Price	Amount 		OFFICE SUPPLIES		 			 	  20	BOXES	PENCILS	 	  15	BOXES	BALL PEN BLACK	 	  20	BOXES	BALLPE</t>
  </si>
  <si>
    <t xml:space="preserve"> REQUEST FOR QUOTATION (RFQ) The MO through the Bids and Awards Committee (BAC) of the Municipality of Banaybanay, Davao Oriental hereby notifies and invites you to submit your quotation/bid for the hereunder proposed project/request, viz: TO SUPPLY AND RE</t>
  </si>
  <si>
    <t xml:space="preserve"> 1 pc Kitchen Knife 1 pc Cutting Knife 1 pc 7" Clever Knife 1 pc Paring Knife 1 pc Knife Sharpener 1 pc Collapsible Cutting/Chopping Board 1 pc Can Opener 1 set Measuring Cups 1 set Mixing Bow, 1 pc Vegetable Peeler 2 pcs Kitchen Shears 1 pc Citrus Juicer </t>
  </si>
  <si>
    <t xml:space="preserve"> INVITATION TO BID									 									 The  BARANGAY GOVERNMENT OF LA ROCHE SAN MIGUEL, SINDANGAN ZAMBOANGA DEL NORTE, through its Bids and Awards Committee (BAC), hereby invites suppliers/manufacturers/ distributors/contractors to apply for eligibility and</t>
  </si>
  <si>
    <t xml:space="preserve"> Scope of works: 1.	General requirement 2.	2. Soil Poisoning treatment 3.	3. Earthworks 4.	Structural concrete (Incl. Forms &amp; scaffolding) 5.	5. Masonry works 6.	Roof framing( fully welded &amp; painted) and roofing 7.	Doors and windows 8.	Carpentry works 9.	F</t>
  </si>
  <si>
    <t xml:space="preserve"> That the BAC of Balandra Elementary School hereby resolve to post in Philgeps for the Bidding of Procurement of Supplies to be used in Modular Learning that is charged to school MOOE per month. That the BAC has agreed to qualify the bidders according to t</t>
  </si>
  <si>
    <t xml:space="preserve"> Petroleum/Oil/Lubricants (P.O.L)	 4986.66	ltrs	Diesoline	 12	        ltrs	4T Oil	 12	        ltrs	Brake Fluid</t>
  </si>
  <si>
    <t xml:space="preserve"> 12 box	Amplodipine 5mg					 10 box	Amplodipine 10mg					 10 box	Lozartan 50mg					 10 box	Lozartan 100mg					 12 box	Ascorbic Acid tablet					 10 box	B. complex 					 10 box	ambroxol tab					 10 box	Paracetamol tablet					 5 box	Amoxicillin cap 500mg					</t>
  </si>
  <si>
    <t xml:space="preserve"> 3 reams Bond Paper (Long) 3 bxs Face Mask 3 pcs Black Ink L3110 1 pc Magenta Ink L3110 1 pc Cyan Ink L3110 1 pc Yellow Ink L3110 15 pcks Certificate Paper 20 pcs T-Shirt 143 btl Alcohol</t>
  </si>
  <si>
    <t xml:space="preserve"> Republic of the Philippines DEPARTMENT OF PUBLIC WORKS AND HIGHWAYS LAGUNA I  DISTRICT ENGINEERING OFFICE REGIONAL OFFICE NO. IV-A Santa Cruz, Laguna 									July 30, 2020 NOTICE OF PROCUREMENT THROUGH ALTERNATIVE METHOD 	Notice is given that the DPWH-La</t>
  </si>
  <si>
    <t xml:space="preserve"> GENTLEMEN:				NOTE: 			 Please submit  your  lowest price quotation (including taxes and government discounts) on charged account basis, on the following supplies/materials/ equipment or labor for the account and official use of the Authority. This Reques</t>
  </si>
  <si>
    <t xml:space="preserve"> Sealed Quotation - One (1) Lot Supply, Delivery and Installation of Glass Tint of Pag-IBIG Fund Calapan Branch Size of Glass Panel: 3pcs. 48" x 120" 1pc. 36 1/2" x 120" 2pcs. 36" x 96"  1pc. 19" x 72" -One Way Tint; Mirror (Branded)</t>
  </si>
  <si>
    <t xml:space="preserve"> PROCUREMENT OF DOUBLE DECK, ETC. (BALAY SILANGAN REFORMATION CENTER)</t>
  </si>
  <si>
    <t xml:space="preserve"> see the attached RFQ, submit necessary file and sent to this ; email : johnedmar.barairo@deped.gov.ph  phone no. (049) 530-0284 - we prioritize bidder/supplier who completed and complied the process. - if system error occur pls. contact us.</t>
  </si>
  <si>
    <t xml:space="preserve"> Republic of the Philippines DEPARTMENT OF ENVIRONMENT AND  NATURAL RESOURCES Regional Government Center, Balintawak, Pagadian City Region IX, Zamboanga Peninsula 			                 REQUEST FOR QUOTATION Date: 	August 03, 2020 RFQ No.: 007.0569 The Depart</t>
  </si>
  <si>
    <t xml:space="preserve"> ITEMS - 1 - 4" X 1' G.I. Saddle Clamp (welded and fabricated) - 1 pc 2 - G.I. Plug 1" Dia. - 1 pc 3 - G.I. Tee 1" Dia. - 1 pc 4 - G.I. Nipple, 6" long 1" Dia. - 3 pcs 5 - Gate Valve 1" Dia. - 1 pc 6 - 1" x 1/2" P.E. Reducer Coupling - 1 pc 7 - P.E. Male T</t>
  </si>
  <si>
    <t xml:space="preserve"> see associated components.</t>
  </si>
  <si>
    <t xml:space="preserve"> Invitation to Bid (ITB) for the Procurement, Supply and Delivery of Clean Potable Water with an initial Volume of Two Thousand (2,000) Cubic Meters Per Day under an 25-Year Bulk Water Supply Contract with the Carles Water District (CWD)</t>
  </si>
  <si>
    <t xml:space="preserve"> Procurement of 1 Lot Kitchenwares 100 Pcs. Cooking Pot, etc.</t>
  </si>
  <si>
    <t xml:space="preserve"> see attached letters</t>
  </si>
  <si>
    <t xml:space="preserve"> 1. Sorghum Hybrid Seeds, Triumph F1 (200 kgs) -  ₱ 58,000.00  2. Sorghum Hybrid Seeds, Triumph F1 (10 kgs) -  ₱ 2,900.00  3. Sorghum Hybrid Seeds, GAP 142 (10 kgs) -  ₱ 2,900.00  4. Sorghum Hybrid Seeds, Sathwo variety (10 kgs) - ₱ 2,900.00</t>
  </si>
  <si>
    <t xml:space="preserve"> Item No.	Description	Unit	Quantity 1	Marine Plywood, ¾” thick	Pc.	25 2	Concealed Hinge. #1	Pair	16 3	Concealed Hinge, #2	Pair	34 4	Cabinet Handle	Pc.	47 5	Wood Moulding, 2”x½”x8’ 	Pc.	80 6	Wood Glue, 500g	Pc.	8 7	Finishing Nails #1	Kg. 	1.5 8	Finishing Na</t>
  </si>
  <si>
    <t xml:space="preserve"> This project entails labor and materials for the Construction of concrete Pathway at Brgy. Aguada Sur, Magallanes, Sorsogon funded of BDF 2020.</t>
  </si>
  <si>
    <t xml:space="preserve"> Due to the pandemic, the education of learners in public schools shall adapt to the new normal of education. Through different learning modalities, one of which will be the modular approach, there is  need to purchase items which will be used in the print</t>
  </si>
  <si>
    <t xml:space="preserve"> for the Sustainment of Office - NIFC.</t>
  </si>
  <si>
    <t xml:space="preserve"> Supply and delivery of construction materials and supplies intended for Concreting of Bamban Multi-Purpose Pavement all in accordance with the approved plans, drawings and specifications</t>
  </si>
  <si>
    <t xml:space="preserve"> Please see the attached file in the associated components.</t>
  </si>
  <si>
    <t xml:space="preserve"> Item No.	Item and Description	                                                   Qty Approved Budget   TOTAL PRICE 1	Printing Services – Tarpaulin/ Newsletter/Annual Report/etc.    500	300.00	      150, 000.00 	1.	Booklet type -	In full color -	At least 8</t>
  </si>
  <si>
    <t xml:space="preserve"> Request of Quotation</t>
  </si>
  <si>
    <t xml:space="preserve"> Electrical Materials</t>
  </si>
  <si>
    <t xml:space="preserve"> SEE LIST</t>
  </si>
  <si>
    <t xml:space="preserve"> 4  pcs.   Tire 1   Set Carburator 3   pcs.  Sparkplug</t>
  </si>
  <si>
    <t xml:space="preserve"> 340 pcs DVD -RW 15 pcs File Rack 15 pair Magazine Rack 15 bxs Expanding Envelope 20 ocs File Organizer (Portfolio) 15 pcs Filing Box 12 btl Glue 30 ream Bond Paper Short 50 ream Bond Paper Long 20 btl Epson L300/L210 (Black) 20 btl Epson L300/L210 (Cyan) </t>
  </si>
  <si>
    <t xml:space="preserve"> Republic of the Philippines Province of Leyte Municipality of Hilongos INVITATION TO BID FOR THE PROCUREMENT OF OFFICE SUPPLIES 1.  The Local Government Unit of Hilongos, through GENERAL FUND-CURRENT APPROPRIATION- intends to apply the sum TWENTY THOUSAND</t>
  </si>
  <si>
    <t xml:space="preserve"> Supply and delivery of Books to Augment Library Holdings</t>
  </si>
  <si>
    <t xml:space="preserve"> Ink- Epson 003	10	pcs &gt;black		 Ink - Epson 003	5	pcs &gt;cyan		 Ink - Epson 003	5 	pcs &gt;magenta		 Ink - Epson 003	5	pcs &gt;yellow</t>
  </si>
  <si>
    <t xml:space="preserve"> BLGU:CANTUGBAS,MARIA,SIQUIJOR					Project Reference No:		TUGBAS-0001RFQ-2020	 Name of the Procuring Entity					Name of the Project :		Purchase of Various 	 							Equipments in Support	 							to BDRRMC	 					Location of the Project   :		Cantugbas, Maria,</t>
  </si>
  <si>
    <t xml:space="preserve"> INVITATION TO BID (RE-BID) The Provincial Government of Palawan through its Bids and Awards Committee (BAC) invites suppliers/manufacturers/ distributors/contractors to apply for eligibility and to bid for the hereunder project. Name of the Project       </t>
  </si>
  <si>
    <t xml:space="preserve"> Republic of the Philippines Province of Samar  Municipality of Jiabong INVITATION TO BID FOR  CONSTRUCTION OF DRAINAGE/CANAL BRGY KARUNUNGAN JIABONG, SAMAR Jiab-2020-10D 1.	The Municipal Government of Jiabong, Samar, intends to apply the sum of TWO HUNDRE</t>
  </si>
  <si>
    <t xml:space="preserve"> 100	Piece	PPR Pipe 1", ABC 800.00/pc 150	Piece	PPR Pipe 1/2, ABC 300.00/pc 50	Piece	PPR Coupling 1", ABC 20.00/pc 50	Piece	PPR Elbow 1"x90°, ABC 25.00/pc 150	Piece	PPR Coupling 1/2, ABC 10.00/pc 150	Piece	PPR Elbow 1/2x90°, ABC 20.00/pc 50	Piece	PPR Elbow</t>
  </si>
  <si>
    <t xml:space="preserve"> ONE JOB ORDER - CATERING SERVICES AM SNACKS ONLY, 285 PERSONS ETC... FOR VOLUNTARY BLOOD DONATION ON AUGUST 19, 2020.</t>
  </si>
  <si>
    <t xml:space="preserve"> Petri Dish			5	box	20,000.00 Size: 15 x 100mm					 Patented cross ribs on the bottom					 500 pcs / box					 Parafilm			4	roll	10,000.00 Thickness: 0.127 mm					 Roll Size: 4 in x 125 ft.					 Blue tips (100 µL-1000 µL)			6	case	95,280.00 Filtered, steril</t>
  </si>
  <si>
    <t xml:space="preserve"> 1   unit   Motorcycle</t>
  </si>
  <si>
    <t xml:space="preserve"> https://drive.google.com/file/d/1hMOnOLeXv834RLOHKZk-hAmV0bX8mZ2i/view?usp=drivesdk PAPER SIZE-  PAPER SIZE USED ON LAYOUT A4 PAPER THICKNESS( BASIS WEIGHT)- 70 gsm (BP) BINDING - SADDLE STITCH COVER- FOLDCOTE NO. 12 (FC#12) (4COLOR) WITH LAMINATION (UV C</t>
  </si>
  <si>
    <t xml:space="preserve"> Republic of the Philippines  Province of Samar  Municipality of Villareal      INVITATION TO BID    CONSTRUCTION OF LOCAL ACESS ROAD AT BRGY LAM-AWAN TO POLANGI, VILLAREAL, SAMAR    	 	 	 	 	 	 	 	 	    	 August 4, 2020   	 	 	 	 	 	 	 	 	                </t>
  </si>
  <si>
    <t xml:space="preserve"> CNH-0620-063</t>
  </si>
  <si>
    <t xml:space="preserve"> Fusing Unit A4FJR70422 - 1unit; Developing Unit DV512K - 1unit; Drum Unit K DR512K - 1unit; Transfer Belt Unit A61DR700000 - 1unit</t>
  </si>
  <si>
    <t xml:space="preserve"> 1	set	TENSILE JIG 			 200,000.00   	 	Specifications:			    		Manual Screw Type Flat Grips, with 5 kN capacity, Grip Face width of 60 mm, Applicable thickness of 0-16 mm, Grip weight: 2kg. Compatible with SHIMADZU AGS-X Universal Testing Machine</t>
  </si>
  <si>
    <t xml:space="preserve"> Supply &amp; Delivery of Material for Radio Based-Instruction Lesson</t>
  </si>
  <si>
    <t xml:space="preserve"> 355 Tires, 235/75r 17.5 Tubeless &amp; 16 L/I</t>
  </si>
  <si>
    <t xml:space="preserve"> Please see attached Request for Quotation, Specifications and Scope of Work. Other document relative to this procurement is available at the BAC Secretariat.</t>
  </si>
  <si>
    <t xml:space="preserve"> CONSTRUCTION OF 0.20M THK FARM TO MARKET ROAD</t>
  </si>
  <si>
    <t xml:space="preserve"> 3	Set	Sprinkler system, overhead including installation and other accessories 		 		A. PLUMBING 		 		1 unit high pressure deep submersible pump, stainless, 220-240 V/AC,  		Single phase, 1500-2500 watts, 1 inch head 		1 lhs PVC Pipe, 4 inch dia. 		3 units </t>
  </si>
  <si>
    <t xml:space="preserve"> 1 box Ballpen 2 reams Bond Paper A4 100 pcs Cartolina  10 pcs Colored Pencil 3 bxs Pentel Pen 50 pads Solid Headed Steel Pins</t>
  </si>
  <si>
    <t xml:space="preserve"> Supplies to be Purchased</t>
  </si>
  <si>
    <t xml:space="preserve"> 3        pcs          HP Laserjet toner 204A- cyan      3        pcs          HP laserjet toner 204A-magenta      3        pcs          HP laserjet toner 204A- yellow      3        pcs          HP laserjet toner 204A-black      4        pcs          Canon</t>
  </si>
  <si>
    <t xml:space="preserve"> Description Republic of the Philippines Danao City Brgy.Maslog INVITATION to APPLY for ELIGIBILITY and to BID Garbage Truck @ Brgy.Maslog,Danao City The Brgy.Maslog, tends to apply the sum of Php 325,000.00 being Approved Budget for the Contract (ABC) to </t>
  </si>
  <si>
    <t xml:space="preserve"> OPENING OF BIDS IN DSWD FO IX ZAMBOANGA CITY		 DELIVERY IN DSWD-SWAD-IPIL, ZAMBOANGA SIBUGAY		 PROCUREMENT FOR THE FF.:		 		 17 BOX BALL PEN, BLACK, 0.5mm 50 PCS. /BOX	@ 300.00  230 REAM BOND PAPER A4, S-20	@	 210.00  230 REAM BOND PAPER LONG S-20	@	 230.</t>
  </si>
  <si>
    <t xml:space="preserve"> 100 bxs Surgical Mask 120 btl Isoprophyl Alcohol 70% (500ml) 10 pcs Foot Mat 100 bxs Gloves 125 btl Disinfectants (1gallon) 100 pcs Face Shield)</t>
  </si>
  <si>
    <t xml:space="preserve"> PURCHASE OF ADVOCACY MATERIALS OF LISTAHANAN III RE: LACE-LANYARD &amp; REUSABLE MASK &amp; PRINTING AND PUBLICATION (VALIDATION FLYER BROCHURE)</t>
  </si>
  <si>
    <t xml:space="preserve"> REQUEST FOR QUOTATION					 _______________________________________				Date	July 27, 2020                         Name of Supplier				Quotation No.:  	2020-160 _______________________________________					                               Adrdress					 					  </t>
  </si>
  <si>
    <t xml:space="preserve"> Procurement of 1 Lot General Merchandise 100 Pcs. Mosquito Nets 100 Pcs. Mat(Banig)</t>
  </si>
  <si>
    <t xml:space="preserve"> 1	lot	Provision of Material, Labor &amp; Equipment for the installation of Modular Cabinets for the office of the Regional Executive Director with the following minimum specifications:		  	 	 		  		1. Carcasse in 15mm Moisture resistant Melamine Particle Boar</t>
  </si>
  <si>
    <t xml:space="preserve"> 120	pcs	60x60 ceramics tiles 2	klg	tile grout 50	bags	portland cement 50	pcs	10mm def bar 10	klg	#16 tie wire 5	sht	1/4 " mar. plywood 6	sht	GA 26x8 corr G.I Ft 1	sht	Ga 26 plain G. I sht 7	klg	4" CWN 5	klg	3" CWN 1    	klg	umbrella nails 1	klg	1 1/2 CWN </t>
  </si>
  <si>
    <t xml:space="preserve"> Various Materials for Water Proofing of Registrar's Office Norzagaray College</t>
  </si>
  <si>
    <t xml:space="preserve"> Item No.	Unit	DESCRIPTION				Qty 						 1	Box	Cleene Gloves				7 2	Gal.	Alcohol 70%				8 3	Box	Facemask 				8</t>
  </si>
  <si>
    <t xml:space="preserve"> for Municipal Health Office</t>
  </si>
  <si>
    <t xml:space="preserve"> For the use of City General Services Office. Isuzu Elf Tow Truck SFX 546 1 gal. radiator coolant 1 pc. radiator cap 1 lot radiator repair 1 assy. brake master 1 pc. oil sending unit 1 pc. water sending unit 6 pcs. wire terminal 1 pc. flasher relay 12V 2 p</t>
  </si>
  <si>
    <t xml:space="preserve"> 10 PCS 2.0 MP IR NETWORK MINI BULLET CMOS 1 UNIT LED TV 43" 10 PCS WHITE JUNCTION BOX 100X100 50 PCS RJ-45 CONNECTOR CAT5 3 BOXES OUTDOOR LAND CABLE 300M 12 PCS POWER SUPPLY ADAPTER US PLUG 24W 10 PCS NEMA 3R WAETHERPROOF 10 PCS SURFACE OUTLET WSO-003-GAN</t>
  </si>
  <si>
    <t xml:space="preserve"> CONSTRUCTION 0.20M THK FARM TO MARKET ROAD</t>
  </si>
  <si>
    <t xml:space="preserve"> 355 Liquid Hand Soap,500ml per bottle &amp; 13 L/I</t>
  </si>
  <si>
    <t xml:space="preserve"> Supply and delivery of office furniture for CBAA Cagayan de Oro Field Office with the ff details: One (1) pc. Office Panel Divider  4 panel, MDF material, Preferred Dimension 6' x 9' One (1) pc. Sofa Bench (visitors' seat) Fabric, 3-seater Four (4) pcs. O</t>
  </si>
  <si>
    <t xml:space="preserve"> Please see attachment.</t>
  </si>
  <si>
    <t xml:space="preserve"> Clearing and Grubbing	 100.00 	 sq.m.  Structure Excavation	 51.80 	 cu.m.  Embankment	 40.26 	 cu.m.  Forms and Falseworks	 120.20 	 sq.m.  Structural Concrete	 20.47 	 cu.m.  Reinforcing Steel	 2,715.44 	 kgs  Masonry Works	 172.73 	 sq.m.  Cement Plast</t>
  </si>
  <si>
    <t xml:space="preserve"> INVITATION TO BID   1.	The Department of Agrarian Reform Provincial Office (DARPO) of Mountain Province through the Government of the Philippines General Appropriation Act CY 2020 intends to apply the sum of Two Million Eight Hundred Eighty-Two Thousand F</t>
  </si>
  <si>
    <t xml:space="preserve"> Item No.		Qty							Unit	Item Description					 1			15							ream	PAPER for PPC, Legal size, 216mm x 330mm, min. of 80gsm					 2			5							bot.	INK, Black L3110					 3			2							bot.	INK, Cyan L3110					 4			2							bot.	INK, Magenta L3110					 5			2						</t>
  </si>
  <si>
    <t xml:space="preserve"> REQUEST FOR QUOTATION Please quote your lowest price (price must be inclusive of tax) for the item/s listed below, subject to the General Conditions, stating the shortest time of delivery. Submit your quotation duly signed by your representative and prope</t>
  </si>
  <si>
    <t xml:space="preserve"> Purchase of Meals and Snacks for Programs and Activities of the Municipality of Calasiao</t>
  </si>
  <si>
    <t xml:space="preserve"> 1.	The Municipality of Tayug, Pangasinan through the Bids and Awards Committee intends to apply the sum of Five Hundred Thousand  Pesos (Php500,000.00) being the Approved Budget for the Contract (ABC) to payments under the contract for Supply and Delivery</t>
  </si>
  <si>
    <t xml:space="preserve"> straight contract</t>
  </si>
  <si>
    <t xml:space="preserve"> Supply &amp; Delivery of Agricultural Supplies for the Mushroom Production Project 07D(DA-BAR Mushroom) H05-2020 Kindly see attached file. Thank you!</t>
  </si>
  <si>
    <t xml:space="preserve"> Grade 1 - 35.00/set (5 subjects)/week Grade 2 - 47.00/set (7 subjects)/week Grade 3 to 6 - 53.00/set (8 subjects)/week</t>
  </si>
  <si>
    <t xml:space="preserve"> That the BAC of Balandra Elementary School hereby resolve to post in Philgeps for the Bidding of Procurement of Supplies for Internet Connection. That the BAC has agreed to qualify the bidders according to the following conditions: 1. The supplier must be</t>
  </si>
  <si>
    <t xml:space="preserve"> The CNSC Bids and Awards Committee would like to invite interested bidders to quote their lowest price for the following: Item No   Description                           Quantity       unit of Issue 1	      Bond Paper, long size (S20)          35	        </t>
  </si>
  <si>
    <t xml:space="preserve"> Construction and Installation of Solar Powered Street Lights - P 60,000.00 Schedule of Activities 1. Submission &amp; Receipt of Bids / Bid Opening - August 24, 2020 @ 10:00 A.M. 2. Bid Evaluation -August 25, 2020 3. Post Qualification - August 26, 2020 4. Ap</t>
  </si>
  <si>
    <t xml:space="preserve"> Invitation to Bid for the Construction of Evacuation Center, Daguit High School, Brgy. Daguit, Labo, Camarines Norte 1.	TheProvincial Government of Camarines Norte, through the LDRRMF-Special Trust FundCY 2020intends to apply the sum of One MillionNine Hu</t>
  </si>
  <si>
    <t xml:space="preserve"> Republic of Philippines										 City of Canlaon										 OFFICE OF THE BIDS AND AWARDS COMMITTEE										 REQUEST FOR SEALED QUOTATION										 										 				Date:	3-Aug-20					 				Quotation No.:	2020-07-0115					 				PR No.:	2020-07-115 A					 			</t>
  </si>
  <si>
    <t xml:space="preserve"> Various Materials for Improvement of Kitchen Laboratory Norzagaray College</t>
  </si>
  <si>
    <t xml:space="preserve"> Republic of the Philippines                Province of Southern Leyte           MUNICIPALITY OF SOGOD                  BARANGAY LIBAS INVITATION TO BID FOR PROCUREMENT OF GOODS FOR THE REHABILITATION /REPAIR OF WATER SYSTEM PIPELINE 1.	The Barangay Libas,</t>
  </si>
  <si>
    <t xml:space="preserve"> 1	Desktop Computer MIDRANGE Number of cores: 2 Cache:3M Processor Base Frequency: at least 3.00 GHz Memory: at least 4GB Storage: at least 500GB Desktop Type:Mini Desktop Warranty:at least 1 year MONITOR Display size and type: 19.5" ,LED Monitor UPS Outpu</t>
  </si>
  <si>
    <t xml:space="preserve"> QTY  UNIT  PARTICULARS D. JANITORIAL SUPPLIES						 12	piece	Anti-static dusters, washable, wd soft mocrofiber				 25	piece	Apron, water resistant				 2	piece	Ashtrays				 50	piece	BROOM, soft (tambo)				 50	piece	BROOM, stick (tingting)				 6	piece	Bucke</t>
  </si>
  <si>
    <t xml:space="preserve"> Procuring Entity	                                : MUNICIPAL GOVERNMENT OF BASILISA Name of Project			:  Purchase of Communication Device  Location of Project		: Ferdinand, Basilisa, Dinagat Islands REQUEST FOR QUOTATION 									Date	: ____________ 					</t>
  </si>
  <si>
    <t xml:space="preserve"> SEE ATTACHED DOCUMENTS FOR COMPLETE DETAILS OF SPECIFICATIONS</t>
  </si>
  <si>
    <t xml:space="preserve"> Computer Desktop</t>
  </si>
  <si>
    <t xml:space="preserve"> 355 Tire 16.9x28 12 PR with Inner Tube &amp; 5 L/I</t>
  </si>
  <si>
    <t xml:space="preserve"> Construction of concrete landmark</t>
  </si>
  <si>
    <t xml:space="preserve"> delivery of construction materials</t>
  </si>
  <si>
    <t xml:space="preserve"> Item No.		Qty							Unit	Item Description					 1			3							unit	Keyboard					 2			3							Unit	Mouse					 3			3							piece	Expanded envelop w/ Compartment, Plastic long</t>
  </si>
  <si>
    <t xml:space="preserve"> 1 UNIT RISOGRAPH OF LGU-MAPANAS, NORTHERN SAMAR PHILIPPINE BIDDING DOCUMENTS Procurement of GOODS Government of the Republic of the Philippines Third Edition October 2009   Preface These Philippine Bidding Documents (PBDs) for the procurement of Goods thr</t>
  </si>
  <si>
    <t xml:space="preserve"> Description   1 set Adjustable Muslin Background Backdrop Support System Stand, Pxel LS-BD2X2 Photo Video Studio 200cm x 200cm or 6ft. x 6ft Adjustable Muslin Background Backdrop Support System Stand Brand 1.00 2 set Seamless Muslin Background Cloth Backd</t>
  </si>
  <si>
    <t xml:space="preserve"> IMPROVEMENT OF SCHOOL STAGE @ ALALUM NATIONAL HIGH SCHOOL, SAN PASCUAL, BATANGAS</t>
  </si>
  <si>
    <t xml:space="preserve"> Please submit your quotation for the following items on or before 5:00PM on Aug 10, 2020. ITEM D E S C R I P T I O N QTY. UNIT  1 CHAIR, Office 8 unit Specifications: High Back Material: Leather Color: Black Awarding is in LUMP-SUM basis, however, the sup</t>
  </si>
  <si>
    <t xml:space="preserve"> diesel unleaded gasoline</t>
  </si>
  <si>
    <t xml:space="preserve"> FOR MASINLOC OYON BAY PROTECTED LANDSCAPE AND SEASCAPE UNDER CENRO-MASINLOC, ZAMBS.</t>
  </si>
  <si>
    <t xml:space="preserve"> Provision of Research Aide Services on "Multilocation Cacao Trial Project" Job Description: -Replanting, pruning, cacao pods sleeving and fertilization -watering of cacao plants and seedlings in nursery  - data gathering Qualifications: -must be at least </t>
  </si>
  <si>
    <t xml:space="preserve"> Republic of the Philippines Province of Cebu Municipality of San Francisco BIDS AND AWARDS COMMITTEE San Francisco, Cebu INVITATION TO SUBMIT PROPOSAL FOR INVITATION TO BID TO SUPPLY LABOR, MATERIAL &amp; EQUIPMENT FOR THE CONSTRUCTION OF LEVEL III WATER SYST</t>
  </si>
  <si>
    <t xml:space="preserve"> Invitation to Bid for the Rehabilitationof Evacuation Center, Barangay VII, Mercedes, Camarines Norte 1.	TheProvincial Government of Camarines Norte, through the LDRRMF-Special Trust FundCY 2020intends to apply the sum of OneMillionTwo Hundred Ninety-Seve</t>
  </si>
  <si>
    <t xml:space="preserve"> * Removal of Structure &amp; Obstruction - 5.79 * Subgrade Preparation - 4.88 * Aggregate Base Course - 16.00 * PCC Pavement, Plain (3,500 PSI, 7 days curing) * Warning &amp; Hazard Signs - 0.46 * Construction Health &amp; Safety - 0.63 * Billboard - 0.56</t>
  </si>
  <si>
    <t xml:space="preserve"> Procuring Entity	                                : MUNICIPAL GOVERNMENT OF BASILISA Name of Project			: Purchase of Wi-Fi Location of Project		: Ferdinand, Basilisa, Dinagat Islands REQUEST FOR QUOTATION 									Date	: ____________ 									RFQ No	: ____</t>
  </si>
  <si>
    <t xml:space="preserve"> COUPON BOND A4</t>
  </si>
  <si>
    <t xml:space="preserve"> 4	roll	2" SDR Pipe  5	pcs	2" x 1/2" Sadle Clamp 2	pcs	2' x 1 1/2" PVC Tee Reducer 6	pcs	1/2" PVC Pipe 6	pcs	Steel Wall Faucet 10	pcs	90 deg. 1/2" PVC Elbow 5	roll	Teflon Tape 1	can	400cc Solvent Cement - Atlanta 1	set	Bestank 1,000L Stainless</t>
  </si>
  <si>
    <t xml:space="preserve"> 355 Engine Assy, Brushcutter MS DT40 &amp; 6 L/I</t>
  </si>
  <si>
    <t xml:space="preserve"> Invitation to Bid for the Construction of Evacuation Center, Brgy. Catioan, Capalonga, Camarines Norte 1.	TheProvincial Government of Camarines Norte, through the LDRRMF-Special Trust FundCY 2020intends to apply the sum of FourMillionFour Hundred Ninety-E</t>
  </si>
  <si>
    <t xml:space="preserve"> 1. FOR BANTAY DAGAT PUMBOAT SPECIFICATION: PUMPBOAT WITH 2 ENGINE (12 HP DEISEL)            unit        1 Vat and Evat</t>
  </si>
  <si>
    <t xml:space="preserve"> 1	The Municipality of Pola, Province of Oriental Mindoro through its  Trust Fund (Appropriated &amp; alloted) intends to apply the sum of Six Million Seven Hundred Three Thousand   pesos  only (Php6,703,000.00) being the Approved Budget for the Contract (ABC)</t>
  </si>
  <si>
    <t xml:space="preserve"> UNIT.      2    DX2430 COPY PRINTER DIGITAL DUPLICATING MACHINE		                      W/ STEEL MACHINE CABINET OR STAND SPECIFICATION:                      DRUM TYPE : DETACHABLE DRUM                      PRINTING SPEED : 90 PRINTS PER MINUTE (PPM)      </t>
  </si>
  <si>
    <t xml:space="preserve"> Request for Quotation											 											 Date :		08/03/2020 Quotation No.	2020-053 											 To all Eligible Suppliers:											 											 I.	Please quote your lowest price inclusive of VAT on the item/s listed below, subject to the Terms and Co</t>
  </si>
  <si>
    <t xml:space="preserve"> Republic of the Philippines Province of Palawan Municipality of Balabac BIDS AND AWARDS COMMITTEE INVITATION TO BID 1.The Municipal Government  of Balabac, through 20% MDF 2020 intends to apply the sum of One Million Seven Hundred Ninety Thousand Five Hun</t>
  </si>
  <si>
    <t xml:space="preserve"> Project: CONCRETING OF BARANGAY ROAD Location: Sitio Duhat, San Gabriel, Laurel, Batangas ABC: PHP1,499,958.05 Advertisement	August 4-11, 2020	 Pre-bid Conference	August 14, 2020-2:00 PM at 2F R204 Municipal Hall of Laurel, Batangas-Pob. 2, Laurel, Batang</t>
  </si>
  <si>
    <t xml:space="preserve"> Please submit your quotation for the following items on or before 5:00PM on Aug 14, 2020. ITEM D E S C R I P T I O N QTY. UNIT  1 Handheld Water Velocity Meter, Flow Probe 1 unit  Technical Speification Requirements: FP111 (3.7 TO 6ft./1.1 to 1.8m); Digit</t>
  </si>
  <si>
    <t xml:space="preserve"> INVITATION/REQUEST FOR PRICE QUOTATION The Municipality of Diplahan, through its Bids and Awards Committee (BAC), invites suppliers/manufactures/distributors to submit price quotation for the hereunder project: Name of Project:	Procurement of Appliances f</t>
  </si>
  <si>
    <t xml:space="preserve"> Scanner Machine, Heavy Duty</t>
  </si>
  <si>
    <t xml:space="preserve"> Item No.		Qty							Unit	Item Description					 1			8							ream	PAPER for PPC, Legal size, 216mm x 330mm, min. 80gsm					 2			8							ream	PAPER for PPC, A4 size, 210mm x 297mm, min. of 80gsm</t>
  </si>
  <si>
    <t xml:space="preserve"> 1  unit Printer 3 in 1            Printer Up to A3 	Colored 	Print Resolution up to 5760 x 440 dpi  	Print Speed up to 15ipm 	Refill Tank System Ink 1 unit	Desktop with Table 	CPU 3.0 Hz Intel Core i7 	Memory 8gb DBR44 1.066m Hz 	HD 4870 x 2512MB 2 gb nvi</t>
  </si>
  <si>
    <t xml:space="preserve"> Construction of Slope Protection and Line Canal @ Diversion Road, Bolod &amp; Terraplin, San Pascual, Masbate</t>
  </si>
  <si>
    <t xml:space="preserve"> 6	Unit	ICOM Transceiver -portable two-way radio IP67 waterproof and, ABC 12,000.00/unit 		Dust-tight protection atleast 10 hrs of operating time w/ the supplied				 		waterproof battery 5.5 W/4 W (VHF/UHF) of output power 1500				 		mW Audio output				 RF</t>
  </si>
  <si>
    <t xml:space="preserve"> 355 Scanner Assy for Printer Pixma G2010 Model &amp; 18 L/I</t>
  </si>
  <si>
    <t xml:space="preserve"> Republic of the Philippines Province of Misamis Oriental Local Government Unit of Claveria Invitation to Bid for  Procurement of   Construction  of One  (1)  Classroom Building at barangay Bulahan The Local Government Unit of Claveria, through the budget </t>
  </si>
  <si>
    <t xml:space="preserve"> 1 pc	10ft x 20ft Bungalow Tent with 4 sidings 1 pc	20ft x 20 ft Bungalow Tent with 4 sidings 	Materials: Pulley set  &amp; B.I. Pipe 1”</t>
  </si>
  <si>
    <t xml:space="preserve"> PURCHASE OF VARIOUS IT EQUIPMENT: 3 sets Computer 1 unit Printer 3 units printer cartridge 2 pcs. UPS</t>
  </si>
  <si>
    <t xml:space="preserve"> 1 UNIT MULTICAB Specifications: Color: White Product Model: Suzuki pick-up type Product Name: Pick-up Lift-up with canopy scrum round eye Transmission Type: Manual Engine Displacement: F6A Chain drive Engine Type: 4 stroke, 3-Cylinder Fuel Type: Gasoline </t>
  </si>
  <si>
    <t xml:space="preserve"> IQ Plus Shrimp Haemocyte Iridescent Virus (SHIV) kit 48 test 1 including extraction &amp; R-tubes (48) C/N: AIQP-SHIV			15	Kits 	720,000.00 					 					 Total					720,000.00</t>
  </si>
  <si>
    <t xml:space="preserve"> City Engineer's Office P.R. No. : 2020-04-2222 Date: 04/20/2020 132,000.00 FUEL, Diesel (Note: Delivery Site - Talicud Island; Freight On Board) 2,400 liter 1</t>
  </si>
  <si>
    <t xml:space="preserve"> Office Table, Standard size Hardwood, 1 drawer center &amp; 3 drawers leftside	6	 pcs  		 Built-in Cabinet	1	 unit  Hardwood		 80x96 inches</t>
  </si>
  <si>
    <t xml:space="preserve"> See attached for the Terms of Reference</t>
  </si>
  <si>
    <t xml:space="preserve"> PURCHASE REQUEST 					 SAN MATEO VOCATIONAL AND INDUSTRIAL HIGH SCHOOL					 San Mateo, Isabela					 					 	          Unit 	Item Description	            Quantity	 1	reams	Bond Paper-A4-substance 20	 600		 2	bundles	Folder-A4	                               </t>
  </si>
  <si>
    <t xml:space="preserve"> REQUEST FOR QUOTATION  The Dagupan City Water District through its Bids and Awards Committee (BAC) invites qualified bidders/contractors to send letter of quotation for the following:  Name of Project:  RAIN GEAR 2020 Location: DCWD Tambac District, Dagup</t>
  </si>
  <si>
    <t xml:space="preserve"> INVITATION TO BID The Municipality of Anda, Pangasinan, through its Bids and Awards Committee, invites bidder/suppliers to submit their Bid for the hereunder contract; Name of Contract: PROCUREMENT OF ONE (1) UNIT OF SEA    AMBULANCE AND TWO (2) UNITS OF </t>
  </si>
  <si>
    <t xml:space="preserve"> Republic of the Philippines Province of Samar MUNICIPALITY OF SAN JORGE Invitation to Bid for Procurement of Office Furniture’s   1.	The Municipality of San Jorge, Samar, through the General Fund  intends to apply the sum of  Four  Hundred Ninety Five  Th</t>
  </si>
  <si>
    <t xml:space="preserve"> RFQ on MATERIALS FOR THE PRODUCTION OF LEARNING RESOURCE BOND PAPER (A4) SPECIFICATIONS: 80 Gsm, size: 210mm X 297mm (A4)                             Substance 20                            no. of reams : 3,187 reams</t>
  </si>
  <si>
    <t xml:space="preserve"> Republic of the Philippines                    CENTRAL BICOL STATE UNIVERSITY OF AGRICULTURE                     Sipocot, Camarines Sur	                 Telefax No.: (054) 881-6681	  BIDS AND AWARDS COMMITTEE REQUEST FOR QUOTATIONS    The Central Bicol St</t>
  </si>
  <si>
    <t xml:space="preserve"> Supply &amp; Delivery of cloth &amp; curtains 01D HES H04-2020 Kindly see attached file. Thank you!</t>
  </si>
  <si>
    <t xml:space="preserve"> Republic of the Philippines Province of Oriental Mindoro MUNICIPALITY OF SAN TEODORO INVITATION TO BID FOR THE  EXPANSION AND IMPROVEMENT OF MUNICIPAL BUILDING PHASE 2 No. 2020-14 August 3, 2020 1.	The Municipality of San Teodoro intends to apply the sum </t>
  </si>
  <si>
    <t xml:space="preserve"> Bond Paper A4, substances 20 ------228 ream Ink, refill   -----------------------------67  set Brown Envelope, long ----------------300 piece Plastic Fastener ----------------------- 20 box Plastic Bag, envelope ---------------- 1000 piece</t>
  </si>
  <si>
    <t xml:space="preserve"> Improvement of Water Supply (Purok 1 &amp; 2) to include installation of 2 units stainless tank</t>
  </si>
  <si>
    <t xml:space="preserve"> 1	set	L-Shape Sofa Set with Center Table Standard Size 15	pcs.	Rectangular Solid Slim Top Table 24" x 48" Foldable 8	pcs.	Leather High Back Executive Office Chair with Headrest and Armrest 30	pcs.	Monoblock Plastic Chairs Heavy Duty</t>
  </si>
  <si>
    <t xml:space="preserve"> ANTIQUE BRANCH Materials and Labor for installation of horizontal signage for DBP Antique Specifications attached. ABC Php 100,000.00</t>
  </si>
  <si>
    <t xml:space="preserve"> Procurement of 34 Pcs. Task Force Uniform</t>
  </si>
  <si>
    <t xml:space="preserve"> Intel Core i%, Core i7 8th</t>
  </si>
  <si>
    <t xml:space="preserve"> Republic of the Philippines Province of Batanes	 MUNICIPALITY OF BASCO               INVITATION FOR NEGOTIATED PROCUREMENT  Small Value Procurement Project Reference No. :100-3-03-GADF Name of Project	      : GAD-Fund Reproductive Health Program Location </t>
  </si>
  <si>
    <t xml:space="preserve"> UNIT          QUANTITY          DESCRIPTION PACK           100                  FOLDER WITH TAB, A4 BOX             210                  FASTENER  REAM           510                  BOND PAPER, A4, SUBS. 20 PCS             1,005               ENVELOP, DO</t>
  </si>
  <si>
    <t xml:space="preserve"> 2	set	Printer Ink 5	reams	Bookpaper Long 5	reams	Bookpaper Short 10	pcs	Sign Pen, G-Tech 0.5 3	boxes	Paper Clip Small 3	boxes	Paper Clip Big 5	boxes	paper Fastener 11	pcs	Ballpen Black,  20	pcs	Correction Pen, Small 5	pcs	White Folder, Long 4	bottles	Whit</t>
  </si>
  <si>
    <t xml:space="preserve"> 60 pcs flu vaccine</t>
  </si>
  <si>
    <t xml:space="preserve"> Five (5) bxs Sardines 155g/100 and twenty one (21) other L/I</t>
  </si>
  <si>
    <t xml:space="preserve"> DEPARTMENT OF EDUCATION Region V DIVISION OF CAMARINES SUR BIDS AND AWARDS COMMITTEE Freedom Sports Complex, San Jose, Pili, Camarines Sur ¬¬                                                                                                                  </t>
  </si>
  <si>
    <t xml:space="preserve"> OPENING O BIDS IN DSWD FO IX, ZAMBOANGA CITY, DELIVERY IN DSWD FIELD OFFICE IX PROCUREMENT FOR THE FF.: 50 BOX ALCOHOL , 70% ISOPROPHYL , 500ml. @ 1,000.00 50 PACK DISPOSABLE MASK 100 pcs./PACK@ 500.00 100 PCS N-95 FACE MASK @ 300.00 50 BOX DISPOSABLE HAN</t>
  </si>
  <si>
    <t xml:space="preserve"> Please submit your quotation for the following items on or before 5:00PM on Aug 14, 2020. ITEM D E S C R I P T I O N QTY. UNIT 1 Chemicals, Palintest Free Chlorine, DPD1 Tablets (APO II) 60 box Specificatios/Recommendations:  1. Supplier must provide Mate</t>
  </si>
  <si>
    <t xml:space="preserve"> UNIT                   QUANTITY                 DESCRIPTION REAMS                   1500                   BOND PAPER,A4, SUB20 PCS                           70                   STAPLER,STANDARD TYPE 26/6 NO.35 BOXES                     127              </t>
  </si>
  <si>
    <t xml:space="preserve"> Item No.		Qty							Unit	Item Description					 1			12							bot.	ALCOHOL, 70% solution, 500ml					 2			10							piece	CORRECTION TAPE					 3			1							pad	NOTE PAD, Stick-on, 3x4, 100 sheets per pad					 4			1							box	PUSH PIN					 5			12							piece	SI</t>
  </si>
  <si>
    <t xml:space="preserve"> SEE ATTACHED COMPLETE DETAILS</t>
  </si>
  <si>
    <t xml:space="preserve"> Starter Kits for Sari-Sari Store Business  ABC: Php 3,370.00/pack - individually packed in an apple box - please see attached sheet for the composition of goods per box Provision of Starter Kits for COVID-19 affected MSMEs in Brgy. Colonsabac, Matanao, Da</t>
  </si>
  <si>
    <t xml:space="preserve"> INVITATION TO APPLY FOR ELIGIBILITY AND TO BID THE BIDS &amp; AWARD COMMITTEE OF THE MUNICIPALITY OF CAIBIRAN, BILIRAN IS INVITING ALL INTERESTED BIDDERS ON ITS FORTHCOMING PUBLIC BIDDING FOR: Project Title	: Acquisition of Equipment for the Techno-Gabay Prog</t>
  </si>
  <si>
    <t xml:space="preserve"> Invitation to Bid for  PROCUREMENT OF CONSTRUCTION OF CONCRETE FENCE The Barangay Government of KIMLAWIS, Kiblawan, Davao del Sur through the SMI  Fund FY 2020 [ In the case of National Government Agencies, the General Appropriations Act and/or continuing</t>
  </si>
  <si>
    <t xml:space="preserve"> Republic of the Philippines MUNICIPALITY OF QUEZON Province of Quezon REQUEST FOR QUOTATION Date	:					 						           (Supplier Name/Contractor Name) 						                               (Address) 	Please quote your lowest price on the item/s listed be</t>
  </si>
  <si>
    <t xml:space="preserve"> *** 2 Batches *** Day 1 (2 meals and 2 snacks for pax, RP and TMT) ----- 25 Pax Day 2 (2 meals and 2 snacks for pax, RP and TMT) ----- 25 Pax</t>
  </si>
  <si>
    <t xml:space="preserve"> Republic of the Philippines Province of Agusan del Norte Municipality of Nasipit BIDS AND AWARDS COMMITTEE REQUEST for QUOTATION The Local Government Unit of Nasipit, through its Bids and Awards Committee (BAC) will undertake a Small Value Procurement in </t>
  </si>
  <si>
    <t xml:space="preserve"> 300     pcs     Personalized Medal Gold                      (Vice Mayor Atty Herminigildo G. Trinidad, Jr Academic Excellence Award)                       Engraved Letter ,Metal, size 2.5, Colored 500      pcs    Personalized Medal Gold                  </t>
  </si>
  <si>
    <t xml:space="preserve"> Quantity Unit         Item      2	     copy         ECOLOGICAL CRISIS, OUR RESPONSIBILITY! LET US AMEND OUR LIVES - ARSENIO							      2	     copy        UNDERSTANDING THE EARTH THROUGH ENVIRONMENTAL SCIENCE - ANDAYA							      2	     copy         SALIM</t>
  </si>
  <si>
    <t xml:space="preserve"> ITEM NO	QNTY	UNIT OF ISSUE	ITEM DESCRIPTION 1	2	 rolls	Drop wire 2	2	rolls	PDX #14 3	10	pcs	Lampholder 4	6	pcs	Switch (ordinary) 5	6	pcs	Outlet (3 gang) 6	6	pcs	Junction box 7	1	roll	Electrical tape &amp; staple wire 8	8	pcs	Bulb (11 watts) 9	2	pcs	Circuit br</t>
  </si>
  <si>
    <t xml:space="preserve"> PR. NO.		        DESCRIPTION	                                                 ESTIMATED AMOUNT 000009874	   	One (1) unit Network Switch/ 24 Port		         PhP        90,897.00 			        One (1) unit UPS/Rack Mounted 1KVA 		         	      27,089.00 				</t>
  </si>
  <si>
    <t xml:space="preserve"> The CNSC Bids and Awards Committee would like to invite interested bidders to quote their lowest price for the following: Item No     Unit of Issue  Quantity  Description 1               unit               1            Laptop with accessories             </t>
  </si>
  <si>
    <t xml:space="preserve"> 6 unit	Sphygmomanometer (aneroid)				   5 unit	Thermometer (non-contact)				  4 box	Micropore 3m 1" 12's				  10 box	Sterile Gauze pad 4x4x8, 100's				   10 rolls	Cotton 400g				  5 box	Prick Lancet 200's				  10 box	Capillary Tube 100's				  6 gal 	Disin</t>
  </si>
  <si>
    <t xml:space="preserve"> 20 ltrs. Insects &amp; Mosquito Repellant</t>
  </si>
  <si>
    <t xml:space="preserve"> Republic of the Philippines Province of Cavite Municipality of Naic BIDS AND AWARDS COMMITTEE PB-2020-08-049 INVITATION TO  BID  IMPROVEMENT OF COVERED COURT AT BRGY. SAN ROQUE, NAIC, CAVITE 1.        The Municipal Government of Naic through  2020 20% ADF</t>
  </si>
  <si>
    <t xml:space="preserve"> OTHER SUPPLIES</t>
  </si>
  <si>
    <t xml:space="preserve"> * Subgrade Preparation - 6.69 * Aggregate Base Course - 11.71 * PCC Pavement, Plain - 73.53 * Pipe Culverts  - 4.23 * Stone Masonry - 2.44 * Warning &amp; Hazard Signs - 0.33  * Construction Health &amp; Safety - 0.67 * Billboard - 0.40</t>
  </si>
  <si>
    <t xml:space="preserve"> REQUEST FOR QUOTATION For Negotiated Procurement thru Small Value Procurement under Sec. 53.9 of the 2016 Revised IRR of RA 9184 Quotation No.:  2020-08-260 Date: August 3, 2020 PR No.: 20-07-294 PR Date: July 28, 2020 The Metropolitan Tuguegarao Water Di</t>
  </si>
  <si>
    <t xml:space="preserve"> BARANGAY POBLACION, Pamplona Negros Oriental through the Bids and Awards Committee (BAC), invites suppliers/bidders to apply for eligibility and to bid for the supply of construction materials for the following project: Name of Project	: materials for the</t>
  </si>
  <si>
    <t xml:space="preserve"> Republic of the Philippines Province of Leyte Municipality of Palompon oOo BIDS &amp; AWARD COMMITTEE INVITATION TO BID FOR  PROCUREMENT OF EQUIPMENT FOR GLASS BOTTOM KAYAK’S &amp; EQUIPMENT FOR RENTALS Project Identification No. 2020-2508-017 The Municipality of</t>
  </si>
  <si>
    <t xml:space="preserve"> One (1) pc Clutch disc and forty (40) other L/I</t>
  </si>
  <si>
    <t xml:space="preserve"> The Local Government Unit of Bula is inviting interested PhilGEPS accredited contractors to apply for eligibility and to submit complete bid for the CONSTRUCTION OF DRAINAGE STRUCTURES ALONG SAGRADA SECTION at Barangay Sagrada, Bula, Camarines Sur under t</t>
  </si>
  <si>
    <t xml:space="preserve"> REPUBLIC OF THE PHILIPPINES PROVINCE OF BOHOL MUNICIPALITY OF SEVILLA BARANGAY LICOLICO INVITATION TO BID 1.	The Barangay Licolico, through the authorized appropriations under the FY 2019 General Appropriations Act, intends to apply the sum of Sixty Nine </t>
  </si>
  <si>
    <t xml:space="preserve"> 355 Track Rod Link, (Left &amp; Right) &amp; 16 L/I</t>
  </si>
  <si>
    <t xml:space="preserve"> Please see attached approved Request for Quotation (RFQ) in the Associated Components</t>
  </si>
  <si>
    <t xml:space="preserve"> CONSTRUCTION OF EMERGENCY STEEL FOOT BRIDGES AT SAN JOSE MALINO AND TINAJERO SAN ANTONIO San Jose Malino and Tinajero, San Antonio, Mexico, Pampanga BAC Activities	Schedule 1. Submission of Request for Expression of       Interest and Eligibility Requirem</t>
  </si>
  <si>
    <t xml:space="preserve"> Item No.		Qty							Unit	Item Description					 1			104							reams	Bookpaper, A4 size, 70gsm, Subs.20</t>
  </si>
  <si>
    <t xml:space="preserve"> For the use of Antipolo City Police Station. 1 unit Computer Laptop (i7, 8GB RAM, 1 TB HDD)</t>
  </si>
  <si>
    <t xml:space="preserve"> ilippines Province of Cavite Municipality of Naic BIDS AND AWARDS COMMITTEE PB-2020-08-049 INVITATION TO  BID  CONSTRUCTION OF MULTI-PURPOSE HALL AT BRGY. SABANG, NAIC, CAVITE 1.        The Municipal Government of Naic through  2020 ADF  intends to apply </t>
  </si>
  <si>
    <t xml:space="preserve"> Please See attached File!</t>
  </si>
  <si>
    <t xml:space="preserve"> Procurement of  4 pcs. Tires, MT Tire 265 x 70 R17, etc.</t>
  </si>
  <si>
    <t xml:space="preserve"> ITEM 201 AGGREGATE BASE COURSE 300 cu.m aggregate base course</t>
  </si>
  <si>
    <t xml:space="preserve"> The Cagayan State University is pleased to invite you to quote your lowest price on the item/s listed below, stating the shortest time of delivery and submit your quotation duly signed by you, or by your authorized representative not later than 3 days.</t>
  </si>
  <si>
    <t xml:space="preserve"> Invitation to Bid for  PROCUREMENT OF CONSTRUCTION OF CONCRETE FENCE KIMLAWIS NATIONAL HIGH SCHOOL The Barangay Government of KIMLAWIS, Kiblawan, Davao del Sur through the SMI  Fund FY 2020 [ In the case of National Government Agencies, the General Approp</t>
  </si>
  <si>
    <t xml:space="preserve"> 1 LOT Supply and Delivery of Notarial Gold Seal for the official use of the Office of Consular Affairs (OCA)-Authentication Division Quantity: 3,500 boxes  ABC = PhP 945,000.00 For details of the item/s, kindly download and refer to the attached PURCHASE </t>
  </si>
  <si>
    <t xml:space="preserve"> "Stock/  Property No."	Unit 	Item Description	Quantity	 Unit Cost 	 Total Cost  					 1	               piece	 1/2 marine plywood	    83	  950.00 	 78,850.00  2	               piece	 2x3x12 coco lumber	    850	  135.00 	 114,750.00  3	               piece	</t>
  </si>
  <si>
    <t xml:space="preserve"> 1.		Barbed Wire	1	roll 2.		G.I. Pipe # 1 1/2 S40	8	pcs 3.		Steel Matting 4x8	16	pcs 4.		CHB # 4	450	pcs 5.		RSB # 10x6m STD	30	pcs 6.		RSB # 8x6m STD	28	pcs 7.		RSB # 12x6m STD	26	pcs 8.		Hacksaw Blade	3	pcs 9.		Grinding Disc #4	1	pc  10.		Welding Rod	3	k</t>
  </si>
  <si>
    <t xml:space="preserve"> Republic of the Philippines Province of Cotabato Municipality of Antipas BIDS AND AWARDS COMMITTEE Invitation to Bid for  Concreting of Magsaysay Highway-Purok 5 Road 1.	The Municipal Government of Antipas, through the Budget Approved by the Sanggunian, i</t>
  </si>
  <si>
    <t xml:space="preserve"> Supply &amp; Delivery of ICT 05D Res H06-2020 Kindly see attached file. Thank you!</t>
  </si>
  <si>
    <t xml:space="preserve"> Republic of the Philippines Province of Leyte Municipality of Kananga BIDS AND AWARDS COMMITTEE REQUEST FOR QUOTATION The Municipality of Kananga, through its Bids and Awards Committee, will undertake a Small Value for the Procurement of Electrical &amp; Ligh</t>
  </si>
  <si>
    <t xml:space="preserve"> Plastic Folder with holder long- 600pcs</t>
  </si>
  <si>
    <t xml:space="preserve"> Supply and delivery of Diesel and Gasoline Fuel(1 lot)  QTY      UNIT    DESCRIPTION 3,860    liters     Diesel  150      liters     Unleaded Gasoline Terms &amp; Conditions: 1.	Fuel withdrawal shall be made upon the receipt of approved Purchase order or NTP.</t>
  </si>
  <si>
    <t xml:space="preserve"> Republic of the Philippines Province of Cotabato Municipality of Antipas BIDS AND AWARDS COMMITTEE Invitation to Bid for  Construction of Flood Control Project (Construction of Single Barrel Box Culvert) @ M.L. Quezon Street 1.	The Municipal Government of</t>
  </si>
  <si>
    <t xml:space="preserve"> Description   SMALL VALUE PROCUREMENT: The LGU - Mariveles, through the General Fend Approved by the Sangguniang Bayan CY 2020 intends to apply the sum of TWO HUNDRED THOUSAND AND 00/100 PESOS (PHP 200,000.00) being the Approved Budget for the Contract (A</t>
  </si>
  <si>
    <t xml:space="preserve"> Republic of Philippines										 City of Canlaon										 OFFICE OF THE BIDS AND AWARDS COMMITTEE										 REQUEST FOR SEALED QUOTATION										 										 				Date:	08/03/2020					 				Quotation No.:	2020-07-032					 				JO No.:	2020-07-32 A					 			</t>
  </si>
  <si>
    <t xml:space="preserve"> Description   SMALL VALUE PROCUREMENT: The LGU - Mariveles, through the General Fund Approved by the Sangguniang Bayan CY 2020 intends to apply the sum of ONE HUNDRED NINETY-NINE THOUSAND SIX HUNDRED THIRTY-FIVE AND 30/100 PESOS (PHP 199,635.30) being the</t>
  </si>
  <si>
    <t xml:space="preserve"> Item No.		Qty							Unit	Item Description					 1			20							pack	COFFEE 3 in 1, 20 pcs/pack					 2			20							pack	ASSORTED BISCUITS					 3			10							pack	ASSORTED CANDIES					 4			20							pack	DETERGENT POWDER, all purpose, 1kg					 5			30							bottle</t>
  </si>
  <si>
    <t xml:space="preserve"> 1	Service provider for the Surveying for the	                 5	ha 	Establishment of Sanitary Landfill		 	At  Sitio Maulawin, Brgy. Dampulan, Torrijos, 		 	Marinduque		 EUGENIA DL. CRUZADO BAC Chairperson</t>
  </si>
  <si>
    <t xml:space="preserve"> Invitation to Bid for the rental of Photocopying Machine for use of different offices of Batangas City Government</t>
  </si>
  <si>
    <t xml:space="preserve"> 1 Meal &amp; 2 Snacks for the 85 Participants per day for 3 days</t>
  </si>
  <si>
    <t xml:space="preserve"> 3	pcs	Rechargable Flashlight 20	pcs	Uniform T-shirt  20	pcs	Cloth Caps, Black 2	pcs	batuta 3	pcs	Handcuff</t>
  </si>
  <si>
    <t xml:space="preserve"> please see attached documents</t>
  </si>
  <si>
    <t xml:space="preserve"> Procurement for Catering Services</t>
  </si>
  <si>
    <t xml:space="preserve"> Republic of the Philippines Bangsamoro Autonomous Region in Muslim Mindanao Provincial Government of Maguindanao BIDS AND AWARDS COMMITTEE REQUEST FOR QUOTATION The PROVINCIAL GOVERNMENT OF MAGUINDANAO – Office of the Provincial Governor invites all inter</t>
  </si>
  <si>
    <t xml:space="preserve"> 1.	The Brgy. Taugtog, Municipality of Botolan, through the Barangay Fund intends to apply the sum of P 300,000.00 being the Approved Budget for the Contract (ABC) to payments under the contract for Improvement of Barangay Health Center at Brgy. Taugtog, B</t>
  </si>
  <si>
    <t xml:space="preserve"> PROCUREMENT OF 6 PCS. TIRE EXTERIOR       # 8.25-20</t>
  </si>
  <si>
    <t xml:space="preserve"> Republic of the Philippines Province of Palawan Municipality of Balabac BIDS AND AWARDS COMMITTEE INVITATION TO BID 1.The Municipal Government  of Balabac, through 20% MDF 2020 intends to apply the sum of One Million Five Hundred Ninety Five Thousand One </t>
  </si>
  <si>
    <t xml:space="preserve"> 2 rolls String Nylon # 80 8 bd. ft  2x2x12 Coco Lumber  0.5 kl.  CW nails # 4  0.5 kl.  CW nails # 3 0.5 kl.  CW nails # 2 1/2 0.5 kl.  CW nails # 2 1,300 pcs  CHB  4X6X16 120 bags  Portland Cement type I-P 12 Cu.m Washed Sand 2 pcs.  Construction Pail (c</t>
  </si>
  <si>
    <t xml:space="preserve"> Supply and Delivery of            School and Office Supplies  Budget: Php 119,533.18 Semi-expendable Budget: Php 26,415.50 Hardware &amp; Construction Materials Budget: Php 32,801.32</t>
  </si>
  <si>
    <t xml:space="preserve"> Bicol Medical Center Concepcion Pequeña, Naga City, 4400 (0998-247-0239/0906-256-9238          E-mail Address: bmc.bacoffice@gmail.com INIVITATION TO BID SUPPLY, DELIVERY, INSTALLATION &amp; COMMISSIONING OF LAPAROSCOPY TOWER (1 Lot) ITB No. 2020-27 1.	The BI</t>
  </si>
  <si>
    <t xml:space="preserve"> August 3, 2020 INVITATION TO BID  Reference No. 7150103 /Solicitation No.20-29 The City Government of Tagum invites interested Bidders/Suppliers to bid for the following: Name of Contract         :  37 UNITS SHOTGUN FOR THE USE OF CGSO - SAFETY AND SECURI</t>
  </si>
  <si>
    <t xml:space="preserve"> Photocopies of Modules for JHS and SHS Students 1,536,508 pages (front &amp; back)</t>
  </si>
  <si>
    <t xml:space="preserve"> 210	pc	uPVC Pipe 150mm (6") x 6 meters 		C-100 with Rubber Ring</t>
  </si>
  <si>
    <t xml:space="preserve"> 2,278 liters Diesel</t>
  </si>
  <si>
    <t xml:space="preserve"> Please submit price quotation as per attached RFQ</t>
  </si>
  <si>
    <t xml:space="preserve"> .................................APPROVED BUDGET......................... 1.  4 unit.....Supply of Audio Video Capture and..........................Php 80,000.00 / 20,000.00 Playback device For Windows Computer ·Component, Composite and S-video Inputs and</t>
  </si>
  <si>
    <t xml:space="preserve"> SEE ATTACHED FOR COMPLETE DETAILS</t>
  </si>
  <si>
    <t xml:space="preserve"> The City Government of Santiago invites interested parties to submit price quotation for the “SUPPLY AND DELIVERY OF SACKS FOR REPACKING OF RICE FOR RELIEF OPERATION“ City Hall, Santiago City, details as follows: ABC: Php  637,500.00 Contract Duration: 14</t>
  </si>
  <si>
    <t xml:space="preserve"> 1500 PCS OF EXPANDABLE COLOR CODED PLASTIC ENVELOP WITH HANDLE Payable for 2 Months (August 2020 - September 2020)</t>
  </si>
  <si>
    <t xml:space="preserve"> Republic of the Philippines PROVINCE OF ZAMBALES I B A  Project Reference Number/Purchase Request No.	SMDH-2020-254 													                                                                                                 Location of the Project:	San </t>
  </si>
  <si>
    <t xml:space="preserve"> ADC Wall Angle &amp; 36 L/I</t>
  </si>
  <si>
    <t xml:space="preserve"> 285 bags PORTLAND CEMENT 19 cu.mtr. GRAVEL at approved source 24 cu.mtr. SAND at approved source 10,000 pcs. BAMBOO STICKS</t>
  </si>
  <si>
    <t xml:space="preserve"> Bicol Medical Center Concepcion Pequeña, Naga City, 4400 (0998-247-0239/0906-256-9238          E-mail Address: bmc.bacoffice@gmail.com INIVITATION TO BID SUPPLY, DELIVERY, INSTALLATION &amp; COMMISSIONING OF DEEP TRANSCRANIAL MAGNETIC STIMULATION MACHINE ITB </t>
  </si>
  <si>
    <t xml:space="preserve"> ELECTRICAL SYSTEM</t>
  </si>
  <si>
    <t xml:space="preserve"> QTY  UNIT  DESCRIPTION GENERAL REQUIREMENTS 1.00 lot i.i Mobilization/Demobilization 1.00 lot i.ii Contractor Temporary Facilities EARTHWORKS 565.00 cu.m. ii.i Excavation Works (Lined Canal &amp; RCBC) GENERAL REQUIREMENTS 464.00 In.m. iii.i Lined Canal 23.00</t>
  </si>
  <si>
    <t xml:space="preserve"> 1.	The Brgy. Taugtog, Municipality of Botolan, through the Barangay Fund intends to apply the sum of P250,000.00 being the Approved Budget for the Contract (ABC) to payments under the contract for Repainting of Fence at Brgy. Taugtog, Botolan, Zambales. B</t>
  </si>
  <si>
    <t xml:space="preserve"> Republic of the Philippines Province of Palawan Municipality of Balabac BIDS AND AWARDS COMMITTEE INVITATION TO BID 1.The Municipal Government  of Balabac, through 20% MDF 2020 intends to apply the sum of Three Hundred Thirty Five Thousand Six Hundred Sev</t>
  </si>
  <si>
    <t xml:space="preserve"> Republic of the Philippines Province of Misamis Occidental Municipality of Plaridel INVITATION TO APPLY FOR ELIGIBILITY AND TO BID 	The Local Government Unit, LGU-Plaridel, Misamis Occidental, through its Bids and Awards Committee (BAC), invites suppliers</t>
  </si>
  <si>
    <t xml:space="preserve"> 8 Drums CHLORINE GRANULES 40kls. per drum</t>
  </si>
  <si>
    <t xml:space="preserve"> Republic of the Philippines  Province of Leyte                                                               MUNICIPALITY OF PALO 	NOTICE OF POSTING @ PHILGEPS WEBSITE	                                                                                       </t>
  </si>
  <si>
    <t xml:space="preserve"> Description   SMALL VALUE PROCUREMENT: The LGU - Mariveles, through the General Fund Approved by the Sangguniang Bayan CY 2020 intends to apply the sum of ONE HUNDRED SEVENTY-FOUR THOUSAND NINE HUNDRED NINETY-SEVEN AND 35/100 PESOS              (PHP 174,9</t>
  </si>
  <si>
    <t xml:space="preserve"> SEE ATTACHED FILES</t>
  </si>
  <si>
    <t xml:space="preserve"> 14 pcs Ballpen (Black) and 69 Others</t>
  </si>
  <si>
    <t xml:space="preserve"> Construction Projects</t>
  </si>
  <si>
    <t xml:space="preserve"> Item No.		Qty							Unit	Item Description					 1			13							reams	Paper, Legal, 70gsm, Subs.20					 2			16							reams	Paper, A4, 70gsm, Subs.20					 3			25							box	Ballpen, black, smooth ink pen, 0.5mm (12pcs/box)					 4			10							pcs	Correction tape,</t>
  </si>
  <si>
    <t xml:space="preserve"> The PHILIPPINE SCIENCE HIGH SCHOOL SYSTEM - CALABARZON REGION CAMPUS (PSHS-CBZRC) intends to apply the sum of FOUR HUNDRED THOUSAND PESOS (Php400,000.00) being the Approved Budget for the Contract (ABC) to pay for the contract for the Project: SUPPLY, DEL</t>
  </si>
  <si>
    <t xml:space="preserve"> BID ACTIVITIES: ISSUANCE OF BID DOCUMENTS: AUGUST 4, 2020 TO AUGUST 14, 2020 OPENING OF BID DOCUMENTS: AUGUST 14, 2020@1:00PM A complete set of Bidding Documents may be purchased by interested Bidders on August 4, 2020 to August 14, 2020 from the address </t>
  </si>
  <si>
    <t xml:space="preserve"> 1. Jalousie Frame 2. Jalouseie Blade 3. Deformed Bar 10mm 4. Gravel (can) 5.Sand (can) 6. Cement 7. Tie wire 8. CHB 9. Deformed Bar 10. Gravel 11. Sand (can) 12. Cement (can) 13. Tie Wire 14. CHB 15. Ballpen Black 16. Pencil #2 17. Eraser 18. Sharpener 19</t>
  </si>
  <si>
    <t xml:space="preserve"> REQUEST FOR QUOTATION GOODS 2020-037 August 03, 2020 _____________________________ _____________________________ _____________________________ Please quote your lowest price inclusive of VAT, subject to the Terms and Conditions of this RFQ, and submit you</t>
  </si>
  <si>
    <t xml:space="preserve"> Item No.		Qty							Unit	Item Description					 1			20							pack	COFFEE 3 in 1, 20 pcs/pack					 2			20							pack	ASSORTED BISCUITS					 3			10							pack	ASSORTED CANDIES					 4			10							can	AIR FRESHENER, aerosol, 280ml/150g min					 5			20							pac</t>
  </si>
  <si>
    <t xml:space="preserve"> 300 REAMS MULTIPURPOSE PAPER A4 SUB 20  300 REAMS MULTIPURPOSE PAPER LEGAL SIZE SUB 20</t>
  </si>
  <si>
    <t xml:space="preserve"> Provincial Agriculturist Office Agusan del Norte</t>
  </si>
  <si>
    <t xml:space="preserve"> Other Supplies (COVID Response in Isolation Facility) - MDRRMO</t>
  </si>
  <si>
    <t xml:space="preserve"> The Local Government of San Mateo, through its Bids and Awards Committee (BAC), invites suppliers, manufacturers, distributors, contractors registered with the BAC in the Local Government of San Mateo, to apply for eligibility and if found eligible, to bi</t>
  </si>
  <si>
    <t xml:space="preserve"> 1	200	bags	Portland Cement	 2	10	elf	Washed Sand	 3	15	elf	Crushed Gravel	 4	100	pcs	12mm def.bar	 5	10	kgs	Tie Wire	 6	50	pcs	2x4x10	 7	3	pcs	Shovel	 8	3	kgs	Nylon	 9	5	kgs	C.W. Nails #4	 10	5	kgs	C.W. Nails #3	 11	3	kgs	C.W. Nails #1 1/2	 x-x-x-x-x</t>
  </si>
  <si>
    <t xml:space="preserve"> SEE ATTACHED FILES.</t>
  </si>
  <si>
    <t xml:space="preserve"> Republic of the Philippines Province of Cotabato Municipality of Antipas BIDS AND AWARDS COMMITTEE Invitation to Bid for  Concreting of Street at Kiyaab Beside Barangay Hall 1.	The Municipal Government of Antipas, through the Budget Approved by the Sanggu</t>
  </si>
  <si>
    <t xml:space="preserve"> Republic of the Philippines Province of Iloilo Municipality of Lambunao Brgy.  Brgy. Supoc Barangay Office of the Bids &amp; Awards Committee INVITATION TO BID Name of Project: Purchase of Fuel for the Concreting of FMR Location: Brgy. Supoc, Lambunao, Iloilo</t>
  </si>
  <si>
    <t xml:space="preserve"> Communication Equipment</t>
  </si>
  <si>
    <t xml:space="preserve"> 302 PIECES NOTEBOOK 150 PADS INTERMEDIATE PAPER 150 PADS WRITING PAD GRADE 1&amp;2 120 PADS WRITING PAD GRADE 3&amp;4 149 PIECES BALLPEN 110 PIECES PENCIL 100 PIECES ERASER 50 PIECES SHARPENER 10 PIECES RULER 150 BOXES CRAYON 7 PIECES PENTEL PEN BROAD 7 PIECES PE</t>
  </si>
  <si>
    <t xml:space="preserve"> 1 	 75 	 bag 	 18-46-0 	  2 	 75 	 bag 	 0-0-60 	  3 	 75 	 piece 	 Plastic drums 	  4 	 60 	 piece 	 Sprinkler (plastic 8 liters) 	  5 	 60 	 piece 	 Shovel (heavy duty) 	 6	60	piece	Spading Fork (heavy duty, hardwood handle)	 7	41	piece	Fruitfly Trap	 8</t>
  </si>
  <si>
    <t xml:space="preserve"> Excavation and Backfilling		 On Ordinary Soil (PVC)- National, City and Municipal 		 Roads and Brgy. Tertiary and Alley Roads		 50mm	966	LM 75MM	390	LM 		 Fittings  (Installation)		 C.I Tee 3 x 3	2	pcs C.I Tee 2 x 2	3	pcs C.I STC 2"	2	pcs C.I STC 3"	4	pcs</t>
  </si>
  <si>
    <t xml:space="preserve"> Improvement of Basketball Court at Sitio Lourdes, Brgy. Talaga, Capas, Tarlac</t>
  </si>
  <si>
    <t xml:space="preserve"> Item No.		Qty							Unit	Item Description					 1			5							piece	DATA FILE BOX, made of chipboard, with closed ends					 2			10							pad	NOTE PAD, stick on, 76mm x 76mm (3" x 3") min					 3			30							ream	PAPER, MULTICOPY, 80gsm, size :Legal (216mm x 33</t>
  </si>
  <si>
    <t xml:space="preserve"> Republic of the Philippines Province of Palawan Municipality of Balabac BIDS AND AWARDS COMMITTEE INVITATION TO BID 1.The Municipal Government  of Balabac, through 20% DF 2020 intends to apply the sum of Four Hundred Ninety Seven Thousand Three Hundred Si</t>
  </si>
  <si>
    <t xml:space="preserve"> Republic of the Philippines Province of Palawan Municipality of Balabac BIDS AND AWARDS COMMITTEE INVITATION TO BID 1.The Municipal Government  of Balabac, through 20% MDF 2015 intends to apply the sum of One Million Four Hundred Ninety Nine Thousand Nine</t>
  </si>
  <si>
    <t xml:space="preserve"> please click the link below to download bidding documents https://drive.google.com/file/d/1iZbX2k5fS1ld-B-lcapy5KE87u4SJw2g/view?usp=drivesdk</t>
  </si>
  <si>
    <t xml:space="preserve"> CADO-Economic Enterprise Unit P.R. No. : 2020-01-1394 Date: 01/28/2020 100,000.00 Tents (makeshift collapsible) 5meters x 5meters, thick heavy duty canvass, GI Pipes Thickness- Schedule 40, 1.5 diameter, color blue and white combination, with logo and tex</t>
  </si>
  <si>
    <t xml:space="preserve"> 1. 1 LOT - CONSTRUCTION SUPPLIES - 125,880.00 The Complete Schedule of Activities are Listed as Fallows: 1. Submission of Letter of Intent &amp; Eligibility Documents - August 11-14, 2020 @ 8:00am - 5:00pm 2. Issuance of Bid Documents - August 17-21, 2020 @ 8</t>
  </si>
  <si>
    <t xml:space="preserve"> reusable/washable facemask to be distributed to the residents of Brgy. Pinagbuhatan</t>
  </si>
  <si>
    <t xml:space="preserve"> INVITATION TO BID FOR CONSTRUCTION OF BARANGAY HALL (PHASE I) 2ND FLOOR OF MULTI-PURPOSE BUILDING IN SAN MANUEL  (INFRA 2020-17) 1.	The LOCAL GOVERNMENT UNIT OF SAN MATEO, ISABELA (LGU-SMI), through its Bids and Awards Committee  intends to apply the sum </t>
  </si>
  <si>
    <t xml:space="preserve"> Meals &amp; Snacks 8/18,20,24,26, &amp; 28 (5 days)				 1	140	pax	AM Snacks : Clubhouse w/ Softdrinks 300ml				 2	140	pax	Lunch Menu : Beefsteak, Four Season, Veggies, Chicken in				 			garlic, Fish Fillet, Rice, Banana &amp; Softdrinks 300ml				 3	140	pax	PM Snacks </t>
  </si>
  <si>
    <t xml:space="preserve"> Television 75 inches = 1 unit Voltage: 100-240V-50/60Hz Weight net/gross: 34 0/47.0kg Dimensions: 1850x285x1170mm w/ google play, chrome cast built-in,  netflix, bluetooth, youtube Floor Mounted Split-type = 1 unit Airconditioner w/ installation Cooling c</t>
  </si>
  <si>
    <t xml:space="preserve"> please click the link below to download bidding documents https://drive.google.com/file/d/1C1nfFJ-Ar9R6Dx2KwlWpozdmWXwCpwgV/view?usp=drivesdk</t>
  </si>
  <si>
    <t xml:space="preserve"> Purchase of T-shirt 351 pcs</t>
  </si>
  <si>
    <t xml:space="preserve"> food packs to be distributed to the residents of Brgy. Pinagbuhatan</t>
  </si>
  <si>
    <t xml:space="preserve"> 1	Unit	Server Rack 		 		 		 		 		Requirements: 		1. Mayor’s/Business Permit 		2. PhilGEPS Registration Number</t>
  </si>
  <si>
    <t xml:space="preserve"> The City Government of Santiago invites interested parties to submit price quotation for the “SUPPLY AND DELIVERY OF CADAVER BAG FOR BESPREN SA KALANGITAN“ City Hall, Santiago City, details as follows: ABC: Php  66,000.00 Contract Duration: 14 calendar da</t>
  </si>
  <si>
    <t xml:space="preserve"> Provincial Governor's Office Agusan del Norte</t>
  </si>
  <si>
    <t xml:space="preserve"> For Pharmacy use</t>
  </si>
  <si>
    <t xml:space="preserve"> Republic of the Philippines Province of Cotabato Municipality of Arakan Barangay Kulaman Valley BIDS AND AWARDS COMMITTEE REQUEST FOR QUOTATION Rehabilitation of Water System @Sitio Rancho  The Barangay Local Government Unit of Kulaman Valley is inviting </t>
  </si>
  <si>
    <t xml:space="preserve"> PLEASE SEE ATTACHED AND DOWNLOAD THE DOCUMENT</t>
  </si>
  <si>
    <t xml:space="preserve"> The NATIONAL LIBRARY OF THE PHILIPPINES through its Bids and Awards Committee invites bidders / suppliers to bid for Supply and Delivery of Dental Supplies/Equipments for NLP Bidding will be through LINE Item Bidding. Bids received in excess of the ABC sh</t>
  </si>
  <si>
    <t xml:space="preserve"> Food Supplies - MO</t>
  </si>
  <si>
    <t xml:space="preserve"> ARTICLE AND DESCRIPTION											 															 ITEM	QTY.	UNIT						CEILING 					UNIT PRICE		TOTAL  								PRICE							 															 				Office:  Justice Jose Abad Santos  General Hospital				PR. No.796							 				Charge to:   Other Supplies &amp; Mate</t>
  </si>
  <si>
    <t xml:space="preserve"> Republic of the Philippines Province of Leyte MUNICIPALITY OF ALBUERA BARANGAY MAHAYAG BIDS AND AWARDS COMMITTEE INVITATION TO BID  1.	The LGU, Barangay Mahayag, Albuera, Leyte, through the Budget Approved by the Sanggunian  under the General Fund intends</t>
  </si>
  <si>
    <t xml:space="preserve"> Republic of the Philippines Province of Cotabato Municipality of Antipas BIDS AND AWARDS COMMITTEE Invitation to Bid for  Concreting of Street Beside JMT Gas Station at Luhong 1.	The Municipal Government of Antipas, through the Budget Approved by the Sang</t>
  </si>
  <si>
    <t xml:space="preserve"> Republic of the Philippines Bangsamoro Autonomous Region in Muslim Mindanao Provincial Government of Maguindanao BIDS AND AWARDS COMMITTEE REQUEST FOR QUOTATION The PROVINCIAL GOVERNMENT OF MAGUINDANAO – Office of the Provincial General Services invites a</t>
  </si>
  <si>
    <t xml:space="preserve"> Republic of the Philippines													 City of San Carlos													 Negros Occidental													 													 INVITATION TO BID											FOR SALE	 			PURCHASE REQUEST NO: 1-20-07-0913				P 606.00	 Sealed bids for quotation of prices will be recei</t>
  </si>
  <si>
    <t xml:space="preserve"> 1	P.E Tubing 1/2 sdr 09	50	roll 2	P.E Saddle Clamp 2 1/2 x 1/2	20	pc. 3	P.E Saddle Clamp 3 x 1/2	25	pc. 4	Union Coupling 1/2 PPNLC	200	pc. 5	Plastic Elbow 2 PPNLC	30	pc. 6	P.E Tubing 2 sdr 09	20	roll l7	Union Coupling 2 PPNLC	20	pc.</t>
  </si>
  <si>
    <t xml:space="preserve"> (4) units Desktop Computer Core i7, 8GB memory 512 SSD Hard Disk (7) units Desktop Computer Core i3, 4GB Memory 1 TB Hard Disk</t>
  </si>
  <si>
    <t xml:space="preserve"> Provincial Governor's Office/JAIL Agusan del Norte</t>
  </si>
  <si>
    <t xml:space="preserve"> INVITATION TO BID FOR Procurement of Equipment and CCTV Set for New I.T. Building           The CAMARINES SUR POLYTECHNIC COLLEGES, through the GAA (2020) intends to apply the sum of Two Million One Hundred Twenty Five Thousand One Hundred Seventy Pesos (</t>
  </si>
  <si>
    <t xml:space="preserve"> The SANGGUNIANG BARANGAY OF BARANGAY POBLACION IV, TANAUAN CITY, BATANGAS, through the Barangay Operating Budget 2020 intends to apply the sum of Six Thousand Pesos Only (Php 6,000.00) being the Approved Budget of the Contract (ABC) to payment under the P</t>
  </si>
  <si>
    <t xml:space="preserve"> PURPOSE: FOR REPLENISHMENT OF STOCKS. GOOD FOR THREE (3) MONTHS CONSUMPTION</t>
  </si>
  <si>
    <t xml:space="preserve"> The City Government of Santiago invites interested parties to submit price quotation for the “SUPPLY AND DELIVERY OF PLASTIC ROAD BARRIER FOR COVID 19 CHECKPOINTS OPERATION“ City Hall, Santiago City, details as follows: ABC: Php  436,800.00 Contract Durat</t>
  </si>
  <si>
    <t xml:space="preserve"> SEE ATTACHED FILE.</t>
  </si>
  <si>
    <t xml:space="preserve"> Request For Quotation attached</t>
  </si>
  <si>
    <t xml:space="preserve"> Republic of the Philippines Province of Cotabato Municipality of Antipas BIDS AND AWARDS COMMITTEE Invitation to Bid for  Concreting of Dolores-Canaan Road Via Barangay Hall 1.	The Municipal Government of Antipas, through the Budget Approved by the Sanggu</t>
  </si>
  <si>
    <t xml:space="preserve"> REQUEST FOR QUOTATION GOODS 2020-038 August 03, 2020 _____________________________ _____________________________ _____________________________ Please quote your lowest price inclusive of VAT, subject to the Terms and Conditions of this RFQ, and submit you</t>
  </si>
  <si>
    <t xml:space="preserve"> please click the link below to download bidding documents https://drive.google.com/file/d/131mErxI4f9xkcjbvT5TG5K1KvcrY5yXc/view?usp=drivesdk</t>
  </si>
  <si>
    <t xml:space="preserve"> Printing of JHS Module .50 centavos per copy Module for 4 weeks</t>
  </si>
  <si>
    <t xml:space="preserve"> Interested suppliers are required to submit the following requirements: (1) valid Mayor’s/Business Permit; (2) PhilGEPS Registration Number; (3) Income/Business Tax Return; (4) Omnibus Sworn Statement; (5) Performance Security; (6) Registration Certificat</t>
  </si>
  <si>
    <t xml:space="preserve"> The Municipality of Gen. Mariano Alvarez, Cavite, through its Bids and Awards Committee (BAC), invites suppliers / manufacturers /distributors /contractors to apply for eligibility and to bid for the hereunder project:									 									 									 Name of</t>
  </si>
  <si>
    <t xml:space="preserve"> Republic of the Philippines Department of Health Center for Health Development EASTERN VISAYAS REGIONAL MEDICAL CENTER Tacloban City REQUEST FOR QUOTATION RFQ No: 2020-08-SVP-0268 August 4, 2020 The EVRMC, Tacloban City, through the Bids &amp; Awards Committe</t>
  </si>
  <si>
    <t xml:space="preserve"> Machinery and Equipment</t>
  </si>
  <si>
    <t xml:space="preserve"> The Barangay Government of Barangay JANOPOL OCCIDENTAL, Tanauan City, Batangas through the Bids and Awards Committee (BAC) invites Suppliers/Contractors to apply for eligibility and if subsequently found eligible, to bid for the projects described hereund</t>
  </si>
  <si>
    <t xml:space="preserve"> Please download associated components.</t>
  </si>
  <si>
    <t xml:space="preserve"> Republic of the Philippines Bangsamoro Autonomous Region in Muslim Mindanao Provincial Government of Maguindanao BIDS AND AWARDS COMMITTEE REQUEST FOR QUOTATION The PROVINCIAL GOVERNMENT OF MAGUINDANAO – Office of the Provincial Budget invites all interes</t>
  </si>
  <si>
    <t xml:space="preserve"> Catering services</t>
  </si>
  <si>
    <t xml:space="preserve"> VRepublic of the Philippines													 City of San Carlos													 Negros Occidental													 										                 		REBIDDING	 INVITATION TO BID											FOR SALE	 			PURCHASE REQUEST NO: 18-20-06-0773				P 150.00	 Sealed bids for quota</t>
  </si>
  <si>
    <t xml:space="preserve"> INVITATION TO BID (CW-08-2020-022) The Department of Public Works and Highways (DPWH)-Batangas IV District Engineering Office, Marawoy, Lipa City, Batangas, through its Bids and Awards Committee (BAC), invites contractors to bid for the contract listed be</t>
  </si>
  <si>
    <t xml:space="preserve"> REQUEST FOR QUOTATION   The TARLAC AGRICULTURAL UNIVERSITY, through its Bids and Awards Committee (BAC), invites all bidders to submit sealed quotation for the Contract Reference # 2020-RFQ-037 INFRA “REFURBISHMENT AND REPAIR OF SWEETPOTATO NETHOUSE” Loca</t>
  </si>
  <si>
    <t xml:space="preserve"> Provincial Engineer's Office Agusan del Norte</t>
  </si>
  <si>
    <t xml:space="preserve"> please click the link below to download bidding documents https://drive.google.com/file/d/1VKUmtWMXXMOA9j1KrEgxz-GubQz2pwE4/view?usp=drivesdk</t>
  </si>
  <si>
    <t xml:space="preserve"> INVITATION TO BID LGU-El Salvador City, Misamis Oriental through its BAC, invites interested bidders to apply for eligibility and if found eligible to bid for the contract: 1.	Contract ID No.	:	ITB No. 2020-08-075/Project ID No. 20-027-SB#1-ENGG Name of P</t>
  </si>
  <si>
    <t xml:space="preserve"> The SANGGUNIANG BARANGAY OF BARANGAY POBLACION IV, TANAUAN CITY, BATANGAS, through the Barangay Operating Budget 2020 intends to apply the sum of Forty Five Thousand Pesos Only (Php 45,000.00) being the Approved Budget of the Contract (ABC) to payment und</t>
  </si>
  <si>
    <t xml:space="preserve"> The SANGGUNIANG BARANGAY OF BARANGAY POBLACION IV, TANAUAN CITY, BATANGAS, through the Barangay Operating Budget 2020 intends to apply the sum of Fifty Thousand Pesos Only (Php 50,000.00) being the Approved Budget of the Contract (ABC) to payment under th</t>
  </si>
  <si>
    <t xml:space="preserve"> Stock No.      Item Description      QTY.       Unit 1. Brake Fluid, 900ml   2  ltrs. 2. Brake Disc Pad, VAX2836K 1 set 3. Battery, 11 plates (12volts) 1 pc. 4. Rack End 2 Pcs 5. Bearing Inner 1 Pc. 6. Bearing Outer 1 pc. 7. Brake Shoe, 6s733yo 1 Set 8. B</t>
  </si>
  <si>
    <t xml:space="preserve"> Republic of the Philippines Department of Health Center for Health Development EASTERN VISAYAS REGIONAL MEDICAL CENTER Tacloban City REQUEST FOR QUOTATION RFQ No: 2020-08-SVP-0267 August 4, 2020 The EVRMC, Tacloban City, through the Bids &amp; Awards Committe</t>
  </si>
  <si>
    <t xml:space="preserve"> SEE ATTACHED FILE</t>
  </si>
  <si>
    <t xml:space="preserve"> please click the link below to download bidding documents https://drive.google.com/file/d/17xjQge81cJCccKMeT8FYHAX00xBrp3il/view?usp=drivesdk</t>
  </si>
  <si>
    <t xml:space="preserve"> The Obando Water District (OWD), through its Bids and Awards Committee (BAC), invites reputable supplier to submit their quotation for Shopping of 2 units of Truck Battery with an Approved Budget for the Contract (ABC) of Sixteen Thousand Four Hundred Nin</t>
  </si>
  <si>
    <t xml:space="preserve"> Lot A</t>
  </si>
  <si>
    <t xml:space="preserve"> ITEM: 48 pcs Clamp, Saddle;DI; 50mmØ x 20mmØ (for uPVC/HDPE)							 89 pcs Clamp, Saddle;DI; 100mmØ x 20mmØ (for uPVC/HDPE)	 PURPOSE: RPP NO. 20-06-05-035-FOR REPLENISHMENT OF STOCKS-(D.I/C.I.)		 ABC: PHP 149,910.00 DELIVERY SCHEDULE: 10 CALENDAR DAYS</t>
  </si>
  <si>
    <t xml:space="preserve"> 1.	The Barangay Local Government Unit of Rosario, through the General Appropriations Act (DOLE Livelihood Program) intends to apply the sum of one hundred ninety eight thousand and five hundred pesos only (Php 198,500.00) for Lot 1, two hundred eighty six</t>
  </si>
  <si>
    <t xml:space="preserve"> 1 unit Adlay Milling Machine Specifications: 3.0hp Electric motor, 50-75kgs output capacity, 95.0-99.9% Milling efficiency, 62.0% Max. milling recovery, 75jgs dry weight, portable, green finish, w/ 2 sets extra blades &amp; 2 sets concave screens, selected to</t>
  </si>
  <si>
    <t xml:space="preserve"> Republic of the Philippines Province of Palawan Municipality of Balabac BIDS AND AWARDS COMMITTEE INVITATION TO BID(Rebid) 1.The Municipal Government  of Balabac, through MOOE 2020 intends to apply the sum of One Million Pesos Only only (PHP 1,000,000.00)</t>
  </si>
  <si>
    <t xml:space="preserve"> Concreting of Feeder Road (Phase II) at Sitio Centro Toboy, Asingan, Pangasinan</t>
  </si>
  <si>
    <t xml:space="preserve"> CHEST BAG PADDED BOARD SPLINT SPINE BOARD HEAD PORTABLE PRESSURE WASHER HPW 302</t>
  </si>
  <si>
    <t xml:space="preserve"> 62      PACK       LARVACIDE 12      LITER      INSECTICIDE</t>
  </si>
  <si>
    <t xml:space="preserve"> INVITATION TO BID IB NO. CW 2020 – 130 Repair of Gymnasium at Adrialuna, Naujan, Oriental Mindoro 1.  The Provincial Government of Oriental Mindoro (PGOM) through the General Fund 2020  intends to apply the sum of Seven Hundred Thirty Thousand Nine Hundre</t>
  </si>
  <si>
    <t xml:space="preserve"> Republic of the Philippines														 Province of Occidental Mindoro														 Mamburao, Occidental Mindoro														 REQUEST FOR QUOTATION														 Date of Posting:	August 03, 2020					Ref. No.		RN 491-2020						 						PR No.		1011-2020-</t>
  </si>
  <si>
    <t xml:space="preserve"> Item No.		Qty							Unit	Item Description					 1			30							ream	PAPER, multicopy, 80gsm, size: 210mm x 297mm (A4)					 2			30							ream	PAPER, multicopy, 80gsm, size: 216mm x 330mm (Legal)					 3			50							piece	SIGN PEN, BLACK, liquid/gel ink, 0.5mm n</t>
  </si>
  <si>
    <t xml:space="preserve"> Republic of the Philippines JOSE RIZAL MEMORIAL STATE UNIVERSITY KATIPUNAN CAMPUS Katipunan, Zamboanga del Norte Invitation to Bid: Purchase of Electrical Supplies 1)	The Jose Rizal Memorial State University-Katipunan Campus, Katipunan, Zamboanga del Nort</t>
  </si>
  <si>
    <t xml:space="preserve"> Qty.	UNIT	ITEM AND DESCRIPTION					APPROVED BUDGET COST	 							UNIT PRICE	TOTAL 10	RMS	BOND PAPER PPC LONG					195.00	 1,950.00  130	PCS	SIGN PEN (0.5 MM) BLACK					69.83	 9,077.90  15	PCS	SIGN PEN (0.5MM) BLUE					69.83	 1,047.45  50	PCS	SIGN PEN (0.5MM</t>
  </si>
  <si>
    <t xml:space="preserve"> 2	piece	       Thermometer Thermal Scanner		 20	gal	       Alcohol		 90	bottle	Alcohol, with spray, 500 ml		 40	gal	        Chlorox Disinfecting Bleach		 30	bottle	Anti-bacterial Soap Liquid, 100 ml		 20	piece   	Foot tray		 20	piece	        Disinfectant </t>
  </si>
  <si>
    <t xml:space="preserve"> The City Government of Santiago invites interested parties to submit price quotation for the “SUPPLY AND DELIVERY OF SPECTRACIDES AND TERMICIDE POWDER FOR PEST CONTROL FOR PESO USE“ City Hall, Santiago City, details as follows: ABC: Php  80,080.00 Contrac</t>
  </si>
  <si>
    <t xml:space="preserve"> Project Description: (Materials for Printing of Modules) 1.	Ink for Copier Machine BPS 150 2.	Mimeographing Paper Short, High Grade, White Wove, S18 3.	Stapler #260 4.	Staple Wire #2310 5.	Staple Wire #HD 12L/17</t>
  </si>
  <si>
    <t xml:space="preserve"> Republic of the Philippines Bangsamoro Autonomous Region in Muslim Mindanao Provincial Government of Maguindanao BIDS AND AWARDS COMMITTEE REQUEST FOR QUOTATION The PROVINCIAL GOVERNMENT OF MAGUINDANAO – Office of the Provincial Planning &amp; Development inv</t>
  </si>
  <si>
    <t xml:space="preserve"> 1	Set	6 Seater Glass, Conference Table w/ revolving Chair,				 		180cm x 100cm				 x-x-x-xx-x</t>
  </si>
  <si>
    <t xml:space="preserve"> 1	Laptop Entry Level Number of cores: 2 Cache: 4M Processor Base Frequency: at least 2.10 GHz Bus Speed:4 GT/s Memory: at least 4GB Storage: at least 1TB, 5400 rpm Graphics: at least 2G GDDR5 Screen Size: at least 14-inch Warranty:at least 1 year With lic</t>
  </si>
  <si>
    <t xml:space="preserve"> Bldg. 1 (DPWH Type-Storage Room for Supply) Bldg. 2 (DPWH Type- Property &amp; Supply Office) Bldg. 3 (DPWH Type-LRMDS &amp; Library Hub) Bldg. 4 (Office of the Schools Division Superintendent) Bldg. 5 (EBD Type School Bldg.) Bldg. 6 (Beverley Rose A. Dimacuha Ty</t>
  </si>
  <si>
    <t xml:space="preserve"> Furnishing/ delivering of construction materials and supplies ***** Nothing follows*****</t>
  </si>
  <si>
    <t xml:space="preserve"> Various Office Equipment Supplies &amp; Consumables</t>
  </si>
  <si>
    <t xml:space="preserve"> 2 unit Printer Paper Size:A4, A5, A6, B5, C6, DL, Input Tray Type 100sheets, Nozzle Configuration:180nozzles, Black, 59 nozzles each colour (Cyan, Magenta, Yellow), Printing Method: On-demand 17 sets Epson Ink (003) Paper Size:A4, A5, A6, B5, C6, DL, Inpu</t>
  </si>
  <si>
    <t xml:space="preserve"> please click the link below to download bidding documents https://drive.google.com/file/d/1vMnxPAcn9E1QyAPxoY_sD7VpXaGnyz0w/view?usp=drivesdk</t>
  </si>
  <si>
    <t xml:space="preserve"> OFFICE CHAIR MEGA PHONE DIGITAL BP AAA BATTERY AA BATTERY</t>
  </si>
  <si>
    <t xml:space="preserve"> Republic of the Philippines Department of Health Center for Health Development EASTERN VISAYAS REGIONAL MEDICAL CENTER Tacloban City REQUEST FOR QUOTATION RFQ No: 2020-08-SVP-0270 August 4, 2020 The EVRMC, Tacloban City, through the Bids &amp; Awards Committe</t>
  </si>
  <si>
    <t xml:space="preserve"> Republic of the Philippines Province of Iloilo Municipality of Lambunao Brgy. Brgy. Lanot Pequeno Barangay Office of the Bids &amp; Awards Committee INVITATION TO BID Name of Project: Purchase of Materials for the Road Concreting Location: Brgy. Lanot Pequeno</t>
  </si>
  <si>
    <t xml:space="preserve"> Detailed Estimate		 For the Repainting/Repair of Sangguniang Bayan Building		 at Barangay Poblacion, Bugallon, Pangasinan		 		 ABC: 98, 775.90		 A. Materials		 		 10	tins	Q.D.E 8	gals	Glazing Putty 8	gals	Paint Thinner 6	lits	Assorte Tinting Color 4	tins	</t>
  </si>
  <si>
    <t xml:space="preserve"> Republic of the Philippines BOHOL ISLAND STATE UNIVERSITY Main Campus, Tagbilaran City INVITATION TO BID FOR RE-BIDDING: SUPPLY AND DELIVERY OF ARM CHAIRS AND SALA SETS (PR NO. 2020-02-0376, 2020-02-0240, 2020-02-0371) 1.	The Bohol Island State University</t>
  </si>
  <si>
    <t xml:space="preserve"> Republic of the Philippines													 City of San Carlos													 Negros Occidental													 													 INVITATION TO BID											FOR SALE	 			PURCHASE REQUEST NO: 18-20-07-0875				P 300.00	 Sealed bids for quotation of prices will be rece</t>
  </si>
  <si>
    <t xml:space="preserve"> Canon NPG-67 Toner (Black) Canon NPG-67 Toner (Cyan) Canon NPG-67 Toner (Magenta) Canon NPG-67 Toner (Yellow)</t>
  </si>
  <si>
    <t xml:space="preserve"> 1. 1 LOT - CONSTRUCTION SUPPLIES - 89,900.00 The Complete Schedule of Activities are Listed as Fallows: 1. Submission of Letter of Intent &amp; Eligibility Documents - August 11-14, 2020 @ 8:00am - 5:00pm 2. Issuance of Bid Documents - August 17-21, 2020 @ 8:</t>
  </si>
  <si>
    <t xml:space="preserve"> The  Printing of Modules for Kindergarten to Grade 7 including the ALIVE-Madrasah should be delivered before the opening of classes which will be on August 24,2020.  It must be in A4 size of white paper folded in newspaper type. Modules will come into set</t>
  </si>
  <si>
    <t xml:space="preserve"> Republic of the Philippines Department of Health Center for Health Development EASTERN VISAYAS REGIONAL MEDICAL CENTER Tacloban City REQUEST FOR QUOTATION RFQ No: 2020-08-SVP-0271 August 4, 2020 The EVRMC, Tacloban City, through the Bids &amp; Awards Committe</t>
  </si>
  <si>
    <t xml:space="preserve"> 1 unit Food Mixer Specifications: 150kgs Capacity 870mm Tank diameter Motor power: 4Hp Dimension: 1000x1080x1230 Capacity: 130kg/hr 1 unit Flour Mixer Specifications: Dimension: 405x300x500cm Voltage: 220v Power: 2.2KW Weight: 29kg Motor: 1.3Hp 1 unit Cor</t>
  </si>
  <si>
    <t xml:space="preserve"> Building Extension 1. Concrete Footing 2. Concrete Columns 3. CHB Laying 4. Concrete Slab on Grade 5. Installation G.I. Roof Sheets on Wooden Trusses/Purlins</t>
  </si>
  <si>
    <t xml:space="preserve"> please click the link below to download bidding documents https://drive.google.com/file/d/1isjnwtMw9Aj-9yU1t07ZsA19JJ1eFYFL/view?usp=drivesdk</t>
  </si>
  <si>
    <t xml:space="preserve"> 1.	 The Macabalan National High School, Macabalan, Cagayan de Oro City, intends to apply the labor cost for the reproduction of module in Seventy-Six Thousand Five Hundred leaves of Copies inclusion of soft bound with different color in each subject area.</t>
  </si>
  <si>
    <t xml:space="preserve"> for replacement of old tires of various service vehicle</t>
  </si>
  <si>
    <t xml:space="preserve"> Republic of the Philippines														 Province of Occidental Mindoro														 Mamburao, Occidental Mindoro														 REQUEST FOR QUOTATION														 Date of Posting:	August 3,2020					Ref. No.		RN 486-2020						 						PR No.		1021-2020-06</t>
  </si>
  <si>
    <t xml:space="preserve"> 8 units OFFICE TABLE 8 units OFFICE CHAIR</t>
  </si>
  <si>
    <t xml:space="preserve"> CONSTRUCTION OF 70M FOOTBRIDGE WITH 35M X 2.50M APPROACH-BOTH ENDS &amp; 50M SLOPE PROTECTION-BOTH SIDES</t>
  </si>
  <si>
    <t xml:space="preserve"> Republic of the Philippines BOHOL ISLAND STATE UNIVERSITY Main Campus, Tagbilaran City INVITATION TO BID FOR RE-BIDDING: SUPPLY AND DELIVERY OF PLAQUE FOR THE PRAISE AWARDING 2020 (PR NO. 2020-06-0584) 1.	The Bohol Island State University – Main Campus, T</t>
  </si>
  <si>
    <t xml:space="preserve"> Republic of the Philippines          City of Dumaguete Bids and Awards Committee INVITATION TO BID FOR PURCHASE REQUEST OF 7 BAGS PORTLAND CEMENT 40 KGS AND OTHER ITEMS 	The City of Dumaguete thru its BIDS AND AWARDS COMMITTEE (BAC), invites all intereste</t>
  </si>
  <si>
    <t xml:space="preserve"> INVITATION TO BID IB NO. CW 2020 – 131 Construction of Water System at Casiligan, Pola, Oriental Mindoro 1.  The Provincial Government of Oriental Mindoro (PGOM) through the 20% Development Fund 2020  intends to apply the sum of Nine Hundred Ninety Five T</t>
  </si>
  <si>
    <t xml:space="preserve"> 4 units WATER DISPENSER ( Hot &amp; Cold) 30 units STAND FAN (16") 1 unit REFRIGERATOR 5.6 cu.ft 1 unit FULLY AUTOMATIC WASHING MACHINE W/ DRYER (6.5 kg washing capacity) 2 units STANDARD WINDOW TYPE AIR-CON (2HP) 1 unit AMPLIFIER W/ SPEAKER (One (1) year War</t>
  </si>
  <si>
    <t xml:space="preserve"> 50	PCS	TACTICAL BOOTS	200,000.00 		High Quality Semi High Cut Waterproof 		Fabric: Polyester 		Color: Black 		Size:35,36,37,38,39 and 40 		Mid top Tactical Combat Boots 50	PCS	TACTICAL PANTS	100,000.00 		High Quality 		Materials: Acetate , Polyester , Cot</t>
  </si>
  <si>
    <t xml:space="preserve"> 1	70	bags	Portland Cement				 2	30	pcs	16mmØ x 6m. def.bar				 3	30	pcs	12mmØ x 6m. def.bar				 4	40	pcs	10mmØ x 6m. def.bar				 5	6	pcs	Ordinary  Plywood 1/4				 6	6	pcs	Marine Plywood 1/2				 7	100	pcs	2x3x12' Coco Lumber				 8	50	pcs	2x3x10' Coco Lumbe</t>
  </si>
  <si>
    <t xml:space="preserve"> QUANTITY         UNIT                                DESCRIPTION                                             409			ream                                bond paper, a4 substance 20					 20			bot                                   ink refill T6641, black					</t>
  </si>
  <si>
    <t xml:space="preserve"> Republic of the Philippines BOHOL ISLAND STATE UNIVERSITY Main Campus, Tagbilaran City INVITATION TO BID FOR RE-BIDDING: SUPPLY AND DELIVERY OF HOTEL PROPERTY MANAGEMENT SYSTEM (PMS) SOFTWARE (PR NO. 2020-03-0474) 1.	The Bohol Island State University – Ma</t>
  </si>
  <si>
    <t xml:space="preserve"> Republic of the Philippines Province of Palawan Municipality of Balabac BIDS AND AWARDS COMMITTEE INVITATION TO BID(Rebid) 1.The Municipal Government  of Balabac, through MOOE 2020 intends to apply the sum of One Million Pesos Only only (PHP 2,000,000.00)</t>
  </si>
  <si>
    <t xml:space="preserve"> The Municipality of Limay, through its Bids and Awards Committee (BAC) invites registered contractors to apply for eligibility and if found eligible, to bid for the hereunder project/contract: Project/Contract: REPAIR AND REPAINTING OF KITANG ELEMENTARY S</t>
  </si>
  <si>
    <t xml:space="preserve"> Vacuum	2	unit Multi Clamp Tester	4	unit Two-way Radio	4	unit Electric 3 Mode Rotary Hammer Drill	2	unit Inverter Welding Machine	2	unit Demolition Hammer/Chipping gun	2	unit Portable Pressure Washer	3	unit Cordless Drill	3	unit Angle Grinder	2	unit Electr</t>
  </si>
  <si>
    <t xml:space="preserve"> Item No.		Qty							Unit	Item Description					 1			200							ltrs	Diesel					 2			4							qrt	Oil</t>
  </si>
  <si>
    <t xml:space="preserve"> INVITATION TO BID FOR THE Procurement of Free Range Chickens (Male and Female) 1. The Department of Agriculture-Regional Field Office 7, through the GAA 2020 intends to apply the sum of One Million Six Hundred Twenty Thousand Pesos (₱ 1,620,000.00) being </t>
  </si>
  <si>
    <t xml:space="preserve"> Republic of the Philippines BOHOL ISLAND STATE UNIVERSITY Main Campus, Tagbilaran City INVITATION TO BID FOR SUPPLY AND DELIVERY OF PRINTERS AND SCANNER (PR NO. 2020-06-0593, 2020-05-0507, 2020-02-0243, 2020-02-0308, 2020-02-0210, 2020-03-0462, 2020-02-03</t>
  </si>
  <si>
    <t xml:space="preserve"> 1	pc	projector</t>
  </si>
  <si>
    <t xml:space="preserve"> Item No.		Qty							Unit	Item Description					 1			129							vials	Anti Rabies Vaccine</t>
  </si>
  <si>
    <t xml:space="preserve"> Republic of the Philippines Province of Iloilo Municipality of Lambunao Office of the Bids &amp; Awards Committee REQUEST FOR PRICE QUOTATION Name of Project: Purchase of Fuel &amp; Oil for the Farm to Market Road (Concreting) Location: Lambunao, Iloilo ABC: Php </t>
  </si>
  <si>
    <t xml:space="preserve"> Supply and installation of Glass Partition, double sliding door and glass window at SSD Office, CID Office and 2 sliding glass window at facility office. Materials: 1. analok framing on 1 3/4 x 4 tubular with clear glass 2. 2-sets 3 panels sliding windows</t>
  </si>
  <si>
    <t xml:space="preserve"> Republic of the Philippines Bangsamoro Autonomous Region in Muslim Mindanao Provincial Government of Maguindanao BIDS AND AWARDS COMMITTEE REQUEST FOR QUOTATION The PROVINCIAL GOVERNMENT OF MAGUINDANAO – Office of the Provincial Treasurer invites all inte</t>
  </si>
  <si>
    <t xml:space="preserve"> Please quote your lowest price on the items listed below, subject to the General Condition on the last page, stating the shortest time of delivery and submit your quotation duly signed by your representative not later than five (5) days after receipt, in </t>
  </si>
  <si>
    <t xml:space="preserve"> Republic of the Philippines JOSE RIZAL MEMORIAL STATE UNIVERSITY KATIPUNAN CAMPUS Katipunan, Zamboanga del Norte Invitation to Bid: Purchase of ICT Equipment 1)	The Jose Rizal Memorial State University-Katipunan Campus, Katipunan, Zamboanga del Norte thro</t>
  </si>
  <si>
    <t xml:space="preserve"> ITEM: 1 set CI Std pavement Manhole Cover 1000mmØ		 PURPOSE: PROP. REHABILITATION OF 600MM ELECTROMAGNETIC FLOW METER MANHOLE COVER @ TAKE OFF POINT LUMBIA,CDOC(W.O.#20-021-D)		 ABC: PHP 71,500.00 DELIVERY SCHEDULE: 10 CALENDAR DAYS</t>
  </si>
  <si>
    <t xml:space="preserve"> Republic of the Philippines														 Province of Occidental Mindoro														 Mamburao, Occidental Mindoro														 REQUEST FOR QUOTATION														 Date of Posting:	August 03, 2020					Ref. No.		RN 490-2020						 						PR No.		4421-7-202</t>
  </si>
  <si>
    <t xml:space="preserve"> 1,300  booklets  ECCD Checklist x-x-x-x-x</t>
  </si>
  <si>
    <t xml:space="preserve"> REGION XII Province of Cotabato Municipality of Midsayap BIDS &amp; AWARDS COMMITTEE Tel. Nos. (064) 229-8018; 229-8650; 229-8450 INVITATION TO BID FOR  2020-074, SUPPLY AND DELIVERY OF 2 UNITS MINI DUMPTRUCK (SURPLUS) AT LGU MIDSAYAP, COTABATO 1. The MUNICIP</t>
  </si>
  <si>
    <t xml:space="preserve"> Bids received in excess of the ABC shall be automatically rejected during the bid opening. The bidders should have completed, within two (2) years from the date of submission and receipt of bids, at least one contract that is similar to the Project. The d</t>
  </si>
  <si>
    <t xml:space="preserve"> 2 SETS DESKTOP COMPUTER 2 UNIT UPS 650VA 2 UNITS 3N1 COMPUTER PRINTER 2 SETS ANTIVIRUS</t>
  </si>
  <si>
    <t xml:space="preserve"> Please see attached RFQ and Specifications All quotations shall be duly signed and submitted in person to Administrative Services Department, PPA Corporate Building , Bonifacio Drive, South Harbor, Port Area, Manila,. Quotations/documents sent to any othe</t>
  </si>
  <si>
    <t xml:space="preserve"> ITEM: 2 shts MS Plate 4' x 8' x 3/4" thk							 1 sht MS Plate 4' x 8' x 1/2" thk		 PURPOSE: PROP. 50MM &amp; 300MM PIPELINE RE-ALIGNMENT @ AYESA BUNTONG, CAMAMAN -AN, CDOC (W.O.#20-031-A)	 ABC: PHP 55,000.00 DELIVERY SCHEDULE: 10 CALENDAR DAYS</t>
  </si>
  <si>
    <t xml:space="preserve"> The City Government of Santiago invites interested parties to submit price quotation for the “SUPPLY AND DELIVERY OF CONSTRUCTION MATERIALS FOR IMPROVEMENT OF CITY ECONOMIC &amp; INVESTMENT PROMOTION OFFICE“ City Hall, Santiago City, details as follows: ABC: </t>
  </si>
  <si>
    <t xml:space="preserve"> CATERING SERVICES:  To be served during the Pre-procurement , Prebid Conference and Opening of Bids for the Procurement of Various Equipments , Goods and Infrastructure Project for the period of September 2020 to December 2020</t>
  </si>
  <si>
    <t xml:space="preserve"> 1	40	pcs	2x3x8 Hardwood				 2	60	pcs	2x2x8 Hardwood				 3	100	pcs	2x3x12 Coco Lumber				 4	40	pcs	Marine Plywood 3/4"				 5	8	kgs	C.W. Nails #4				 6	5	kgs	C.W. Nails #3				 7	3	kgs	Finishing Nails # 2 1/2				 8	3	kgs	Finishing Nails # 2 				 9	2	kgs	Fini</t>
  </si>
  <si>
    <t xml:space="preserve"> 165 pcs Polo Shirt w/ Print 55 pcs Raincoat (Poncho) 55 pcs Rubber Boots Size 9 55 pcs Whistle (Iron) 55 pcs Traffic Vest 110 pcs Traffic Cap (Blue &amp; Orange) 110 pcs UV Protection Arm Cover 55 pcs Patrol Shoes 55 pcs Belt with small pouch 55 pcs Pants wit</t>
  </si>
  <si>
    <t xml:space="preserve"> List of Items available at the BAC office upon request</t>
  </si>
  <si>
    <t xml:space="preserve"> Labor and Materials for Rehabilitation of Archive Wing Room at Accounting Office</t>
  </si>
  <si>
    <t xml:space="preserve"> Republic of the Philippines Bangsamoro Autonomous Region in Muslim Mindanao Provincial Government of Maguindanao BIDS AND AWARDS COMMITTEE REQUEST FOR QUOTATION The PROVINCIAL GOVERNMENT OF MAGUINDANAO – Office of the Provincial Agriculturist invites all </t>
  </si>
  <si>
    <t xml:space="preserve"> Republic of the Philippines          City of Dumaguete Bids and Awards Committee INVITATION TO BID FOR PURCHASE REQUEST OF 1 UNIT SEARCH LIGHT WITH TRIPOD AND OTHER ITEMS 	The City of Dumaguete thru its BIDS AND AWARDS COMMITTEE (BAC), invites all interes</t>
  </si>
  <si>
    <t xml:space="preserve"> 1	80	bags	Portland Cement				 2	4	elf	Washed Sand				 3	3	elf	Crushed Gravel 3/4				 4	45	pcs	12mm def.bar				 5	75	pcs	10mm def.bar				 6	20	pcs	Marine Plywood 1/4				 7	5	pcs	Marine Plywood 1/2				 8	50	pcs	2x3x10 Coco Lumber				 9	3	bundles	1x2x8 Coco </t>
  </si>
  <si>
    <t xml:space="preserve"> See attached RFQ'S</t>
  </si>
  <si>
    <t xml:space="preserve"> REPUBLIC OF THE PHILIPPINES 																																							  Province of Davao del Sur 																																							  MUNICIPALITY OF SANTA CRUZ 																																							  -- oOo -- 																																							 	</t>
  </si>
  <si>
    <t xml:space="preserve"> CONSTRUCTION OF OPEN STORGAE AT BARANGAY NEW TUBIGON,SIBAGAT,AGUSAN DEL SUR</t>
  </si>
  <si>
    <t xml:space="preserve"> Republic of the Philippines City of Dapitan BIDS AND AWARDS COMMITTEE 						July 30, 2020 NOTICE FOR RE - NEGOTIATED - SMALL VALUE PROCUREMENT The City Government of Dapitan through the Bids and Awards Committee (BAC) would like to inform PhilGEPS registe</t>
  </si>
  <si>
    <t xml:space="preserve"> The City Government of Santiago invites interested parties to submit price quotation for the “SUPPLY AND DELIVERY OF VARIOUS MATERIALS AND EQUIPMENT FOR IMPROVEMENT OF AMPHITHEATER OF BALINTOCATOC“ City Hall, Santiago City, details as follows: ABC: Php  1</t>
  </si>
  <si>
    <t xml:space="preserve"> 14 mtrs Blue Pipe 3/4 x 3 and 34 Others L/I</t>
  </si>
  <si>
    <t xml:space="preserve"> Republic of the Philippines Province of zamboanga Sibugay Municipality of Olutanga 7014 AUGUST 3, 2020 NOTICE TO THE PUBLIC INVITIATION TO APPLY FOR ELIGIBILITY AND TO BID All interested bidders are invited to Pre-qualify and participate in sealed bidding</t>
  </si>
  <si>
    <t xml:space="preserve"> See attached files</t>
  </si>
  <si>
    <t xml:space="preserve"> Republic of the Philippines Province of Palawan Municipality of Balabac BIDS AND AWARDS COMMITTEE INVITATION TO BID(Rebid) 1.The Municipal Government  of Balabac, through MOOE 2020 intends to apply the sum of One Million Two Hundred Thousand Pesos Only on</t>
  </si>
  <si>
    <t xml:space="preserve"> Province of Cotabato Municipality of Arakan Barangay Malibatuan BIDS AND AWARDS COMMITTEE Invitation for Negotiated Procurement Purchase of Rescue Vehicle 	In view of the two (2) failed public bidding the Barangay Government of Malibatuan Bids and Awards </t>
  </si>
  <si>
    <t xml:space="preserve"> 6	Piece	Copper Busbar-(9mmx90mmx250mm), ABC 9,500.00/pc 10	Piece	4"Dia. RSC Pipe, Schedule 40, ABC 3,500.00/pc RFQ#07-0801</t>
  </si>
  <si>
    <t xml:space="preserve"> P.R. No. 2020-07-071 Supply and Delivery of Non-Common Use Supplies for Planning and Design Section Use</t>
  </si>
  <si>
    <t xml:space="preserve"> 1	Epoetin (alpha) 4,000 IU							500	Prefilled syr	850.00 2	Heparin Sodium Vial 1000 IU/ml, 5 ml							1,500	Vials	139.00 3	Plain NSS 1 L							2,000	Bottles	70.00 										 	Term of Delivery:10-15 Working Days upon Receipt of Purchase Order									 Pro</t>
  </si>
  <si>
    <t xml:space="preserve"> for the Procurement of Handheld Radios.</t>
  </si>
  <si>
    <t xml:space="preserve"> 200 pcs Data File Box 100 pcs Data File Folder Long 10 Units USb 32 GB 2 units HDD (external Hard drive) 500 GB</t>
  </si>
  <si>
    <t xml:space="preserve"> Item No.		Qty							Unit	Item Description					 1			10							BAGS	HAMMERED CORN					 2			10							BAGS	GROWER CRUMBLE					 3			60							BAGS	DUCK LAYER PELLETS					 4			10							BAGS	GPP</t>
  </si>
  <si>
    <t xml:space="preserve"> ITEM: 4 lgth Pipe, BI; S40, 75mmØ x 6m							 4 lgth Pipe, BI; S40, 100mmØ x 6m							 4 lgth Pipe, BI; S40, 125mmØ x 6m							 5 lgth Pipe, BI; S40, 200mmØ x 6m							 2 lgth Pipe, BI; S40, 250mmØ x 6m							 1 sht Steel Plates, 1"thk							 4 shts steel</t>
  </si>
  <si>
    <t xml:space="preserve"> 1	Wire 3.5mm sq. thw cu., stranded (black), 150m/box 2	Acrylic Primer 3	Aluminum Glass Door 2.55m x 1.0m, with complete accessories 4	Angle Bracket Steel 1/4' unthreaded Hole Standard 5	Blind Rivets 6	Bowl and Tank Lever Type w/ fittings 7	CHB #4 8	Circui</t>
  </si>
  <si>
    <t xml:space="preserve"> Tarpaulin etc.  NOTE:To all suppliers bid documents and BAC Resolution No. 2020-029 are available at BAC Office and LGU website.</t>
  </si>
  <si>
    <t xml:space="preserve"> 1	Marine Plywood 4x8x3/4							8	piece	1,600.00 2	Marine Plywood 4x8x1/4							15	piece	700.00 3	Common Nails 4"							10	kilo	80.00 4	Common Nails 3"							10	kilo	80.00 5	Common Nails 2 1/2"							10	kilo	85.00 6	Common Nails 2"							10	kilo	85.00 7	Co</t>
  </si>
  <si>
    <t xml:space="preserve"> Please provide us Bill of Quantities for the Repair of the following project: 1 lot IMPROVEMENT OF ENTRANCE GATE ABC 312,005.57 Please submit the following documents for eligibility. 1 Registration certificate from SEC, Department of Trade and Industry (D</t>
  </si>
  <si>
    <t xml:space="preserve"> Republic of the Philippines BOHOL ISLAND STATE UNIVERSITY Main Campus, Tagbilaran City INVITATION TO BID FOR SUPPLY AND DELIVERY OF LAPTOPS (PR NO. 2020-02-0226, 2020-02-0210, 2020-02-0280) 1.	The Bohol Island State University – Main Campus, Tagbilaran Ci</t>
  </si>
  <si>
    <t xml:space="preserve"> 1	(1) one Unit Motorcycle 150cc							1	unit	130,000.00 Project Name:		for the use at BM Baldado Office Delivery of Communications to different barangays							 Place of Delivery:		Provincial Health Office							 ABC:P130,000.00</t>
  </si>
  <si>
    <t xml:space="preserve"> INVITATION FOR SUBMISSION OF QUOTATION (SHOPPING)   The ZAMBOANGA SIBUGAY POLYTECHNIC (ZSPI) formerly KABASALAN INSTITUTE OF TECHNOLOGY (KIT), through the General Appropriations Act (GAA) of 2018 intends to apply the sum THREE HUNDRED THIRTEEN  THOUSAND F</t>
  </si>
  <si>
    <t xml:space="preserve"> The Municipal Government of Aloguinsan invites prospective bidders to bid for the project Supply and Delivery of Spare Parts for LGU Vehicles. Source of Fund: General Fund FY 2020 ABC: Php 494,110.00 The complete schedule of activities will be as follows:</t>
  </si>
  <si>
    <t xml:space="preserve"> Prepaid Cards, 100s for Globe, TM, Smart, Talk N' Text = 1800 pcs @ 115.00 *Please see attached Request for Quotation for details and breakdown</t>
  </si>
  <si>
    <t xml:space="preserve"> 6	Bag	SSP (0-16-0 OR 0-18-0), granular, fertilizer 50kg 5	Bag	DAP (18-46-0), granular, fertilizer, 50kg 15	Bag	Ammosul (20-0-0-24), granular, fertilizer, 50kg 20	Bag	Urea (46-0-0), granular, fertilizer, 50kg 15	Bag	MOP (0-0-60), granular, fertilizer, 50kg</t>
  </si>
  <si>
    <t xml:space="preserve"> Generator set, diesel, brand new equipped with sound attenuated enclosure and automatic transfer switch (ATS) with over voltage and under voltage (OVUV) protection Specifications: &gt; Engine: 	 	  Engine Data Sheet: Diesel Engine, 4 steps air to air cooling</t>
  </si>
  <si>
    <t xml:space="preserve"> Website Development -Domain Name &amp; Hosting -Improvement of Existing Website, Development &amp; Maintenance</t>
  </si>
  <si>
    <t xml:space="preserve"> UNIT                    QUANTITY                DESCRIPTION REAM                    1000                       A4 BOND PAPER SUBSTANCE 20 SETS                     100                         #664 INK FOR EPSON PRINTER(4 COLORS) PCS.                      1</t>
  </si>
  <si>
    <t xml:space="preserve"> 665 vials Rabies Vaccine</t>
  </si>
  <si>
    <t xml:space="preserve"> Republic of the Philippines						 City Government of Davao						 						 INVITATION TO BID						 for Infrastructure Projects B15-2020						 						 The City Government of Davao now invites bidders for the project/s under B15-2020 as listed below.   The pros</t>
  </si>
  <si>
    <t xml:space="preserve"> Various Janitorial Supplies</t>
  </si>
  <si>
    <t xml:space="preserve"> Republic of the Philippines BOHOL ISLAND STATE UNIVERSITY Main Campus, Tagbilaran City INVITATION TO BID FOR SUPPLY AND DELIVERY OF DESKTOP COMPUTERS (PR NO. 2020-01-0054, 2020-02-0308, 2020-02-0204, 2020-06-0563) 1.	The Bohol Island State University – Ma</t>
  </si>
  <si>
    <t xml:space="preserve"> PURCHASE REQUEST					 DENR-PENRO, Lamut, Ifugao					 Agency					 					 Department: PENRO Ifugao                         PR No.: 2020-07-727				Date: July 6, 2020	 Section: 	Technical Division				 					 Stock No.	Unit	Description	Quantity	Unit Cost	Total C</t>
  </si>
  <si>
    <t xml:space="preserve"> 1.	The Municipality of Ubay, through the its bids and Awards Committee (BAC), Invites contractors to submit bids for the following contract: Contract Name: CONSTRUCTION OF BOUNDARY MARKER (LED DISPLAY) Contract Location: Ilihan, Ubay, Bohol (Ubay-Alicia B</t>
  </si>
  <si>
    <t xml:space="preserve"> 1	2	units	To provide cleaning and check-up of the floor mounted Aircon Units in the 			Municipal Session Hall.</t>
  </si>
  <si>
    <t xml:space="preserve"> Provision of Comprehensive Preventive Maintenance and Repair Services of the Three (3) Elevator Units located at the DOLE Main Building Note: Please see attached Terms of Reference</t>
  </si>
  <si>
    <t xml:space="preserve"> 1.00 	lot	Fabrication of Movable Interlink Fence at Port of Baybay, Maasin and		 		Naval, Hilongos and Palompon		 *******************Fabrication of Movable Interlink at Port of Baybay, Maasin and Naval, Hilongos and Palompon****************</t>
  </si>
  <si>
    <t xml:space="preserve"> Project Billboard - 1 unit Site Works (Structural Excavation) - 10.69 cu.m. Structural Concrete - 49.09 cu.m. Masonry Works - 212.48 sq.m. Carpentry Works - 726.11 sq.m. Tile Works- 246.15 sq.m. Electrical Works - 1 lot Plumbing Works - 1 lot Roofing Work</t>
  </si>
  <si>
    <t xml:space="preserve"> Republic of the Philippines Province of Iloilo Municipality of Lambunao Office of the Bids &amp; Awards Committee REQUEST FOR PRICE QUOTATION Name of Project: Purchase of Fuel &amp; Oil for the Farm to Market Road (Concreting) Location: Brgy. Pajo, Lambunao, Iloi</t>
  </si>
  <si>
    <t xml:space="preserve"> The Barangay Tiguma, through its Bids and Awards Committee (BAC), invites contractors registered with and classified by the Philippines Contractors Accreditation Board (PCAB) to apply for eligibility and if found eligible, to bid for the hereunder contrac</t>
  </si>
  <si>
    <t xml:space="preserve"> Purchase of IT Equipment for the PNP Office Zamboanguita 1. 1 unit Laptop 2. 1 unit Printer 3. 1 pc flash drive</t>
  </si>
  <si>
    <t xml:space="preserve"> Republic of the Philippines Province of Quezon Municipality of Atimonan INVITATION FOR ELIGIBILITY AND TO BID 	The Local Government Unit of Atimonan thru the Bids and Awards Committee (BAC) invites interested suppliers/contractors to apply for eligibility</t>
  </si>
  <si>
    <t xml:space="preserve"> 1	Oil for Diesel SAE 15 W-40							160	liters	196.50 2	Oil Synthetic 5W 40							184	liters	484.50 3	Oil For Unleaded SAE 20 w-50							180	liters	204.90 4	ATF							160	liters	199.50 5	Automotive Gear oil SAE 90							160	liters	163.80 6	Automotive Gear </t>
  </si>
  <si>
    <t xml:space="preserve"> 9 cu.m. Washed Sand 6.66 cu.m. 3/4" Gravel 186 bags Portland Cement Type A 124 length 10mm Def. Bars (Standard) 16 kls. Assorted Common Nails 6.60 kls. No.16 Tie Wire</t>
  </si>
  <si>
    <t xml:space="preserve"> P.R. No. 2020-07-064 Supply and Delivery of Non-Common Use Supplies for Planning and Design Section Use</t>
  </si>
  <si>
    <t xml:space="preserve"> Portable Wireless Mobile Printer Printing Technology: 4-color (CMYK) drop-on-demand MicroPiezo® inkjet technology Minimum Ink Droplet Size: 3 droplet sizes, as small as 3 picoliters Maximum Print Resolution: 5760 x 1440 optimized dpi ISO Print Speed: AC P</t>
  </si>
  <si>
    <t xml:space="preserve"> 1 	 20 	 PC/S 	 BATTERY 11 PLATES MAINTENANCE FREE 	  2 	 10 	 PC/S 	 BATTERY 21 PLATES WITH BATTERY SOLUTION 	  3 	 4 	 PC/S 	 BATTERY 15 PLATES WITH BATTERY SOLUTION 	  4 	 32 	 PC/S 	 BATTERY CLAMPS ( BRONZE) 	 			 NOTE: 	 			      a. FOR 11 PLATES 	 	</t>
  </si>
  <si>
    <t xml:space="preserve"> Invitation to Bid for the  Supply &amp; Delivery of IT Equipment and Semi-Expendable Machinery &amp; Equipment 1.	The JH Cerilles State College, through the Trust Fund (164)-2020 invites PhilGEPS registered suppliers to bid for the Supply &amp; Delivery of IT Equipme</t>
  </si>
  <si>
    <t xml:space="preserve"> Republic of the Philippines Province of zamboanga Sibugay Municipality of Olutanga 7014 AUGUST 3,2020 NOTICE TO THE PUBLIC INVITIATION TO APPLY FOR ELIGIBILITY AND TO BID All interested bidders are invited to Pre-qualify and participate in sealed bidding </t>
  </si>
  <si>
    <t xml:space="preserve"> INVITATION TO BID FOR THE SUPPLY AND DELIVERY OF IT EQUIPMENT (RE-BIDDING) 1. The Metropolitan Tuguegarao Water District through the Corporate Budget for the Year 20201 intends to apply the sum of Two Million Four Hundred Thousand Pesos (P 2,400,000.00) b</t>
  </si>
  <si>
    <t xml:space="preserve"> To able to Fabricate 10 pieces cabinet and 1 counter Location: LGU-Balingasag, MPDC Office, Peoples Palace, Balingasag, Misamis Oriental</t>
  </si>
  <si>
    <t xml:space="preserve"> P.R. No. 2020-07-080 Supply and Delivery of Non-Common Use Supplies (UV Lamps) for DPWH Leyte First District Engineering Office Use</t>
  </si>
  <si>
    <t xml:space="preserve"> Section I. Invitation to Bid Notes on the Invitation to Bid The Invitation to Bid provides information that enables potential Bidders to decide whether to participate in the procurement at hand.  The Invitation to Bid shall be: (a)	Posted continuously in </t>
  </si>
  <si>
    <t xml:space="preserve"> Republic of the Philippines Province of Palawan Municipality of Balabac BIDS AND AWARDS COMMITTEE Project Reference Number: 004-RFQ-01-MEO-20 Name of the Project              : Supply and Delivery of  Various Supplies for the repair and maintenance of Mun</t>
  </si>
  <si>
    <t xml:space="preserve"> REQUEST FOR QUOTATION (RFQ)							 							 					August 03, 2020		 					R.I.S. No.: 20-03-012		 							 GENTLEMEN:			 Please submit  your  lowest price quotation (including taxes and government discounts) on charged account basis, on the following supplies</t>
  </si>
  <si>
    <t xml:space="preserve"> ITEM: 250 pcs Meter Coupling(Brass Tailpiece) 13mmØ x 75mm (1/2" x 3")							 PURPOSE: MATERIALS FOR REPLACEMENT/CHANGE OF AGED WATER METER		 ABC:  PHP 75,000.00 DELIVERY SCHEDULE: 10 CALENDAR DAYS</t>
  </si>
  <si>
    <t xml:space="preserve"> ITEM NO.	ITEM &amp; DESCRIPTION	 BRAND	UOM	QTY. 1	Detachable Tablet Laptop		Unit	1 	*CPU 2.30 GHz Intel core i5-6200U or its equivalent (dual core, 3M cache, 2.80GHz with turbo Boost)			 	*Graphics: Intel HD Graphics 520			 	*RAM: 8GB LPDDR3 SD RAM			 	*Scree</t>
  </si>
  <si>
    <t xml:space="preserve"> Construction of 3,500 square meter public parks and plaza.</t>
  </si>
  <si>
    <t xml:space="preserve"> 1 unit Laptop 1 unit Multi function Ink Tank Printer</t>
  </si>
  <si>
    <t xml:space="preserve"> **INVITATION TO APPLY FOR ELIGIBILITY AND TO BID** The BARANGAY V, Daet, Camarines Norte through the Bids and Awards Committee (BAC), invites suppliers/manufacturers/distributors/contractors to apply for eligibility to bid for the hereunder project: Name </t>
  </si>
  <si>
    <t xml:space="preserve"> DUMAGUETE BRANCH - BIOMETRIC DOOR ACCES SYSTEM (FOR VAULT's SECONDARY STEEL DOOR) ABC = Php 400,000.00 Specifications attached.</t>
  </si>
  <si>
    <t xml:space="preserve"> INVITATION FOR SUBMISSION OF QUOTATION (SHOPPING)   The ZAMBOANGA SIBUGAY POLYTECHNIC (ZSPI) formerly KABASALAN INSTITUTE OF TECHNOLOGY (KIT), through the General Appropriations Act (GAA) of 2018 intends to apply the sum EIGHTY FOUR THOUSAND FIFTY PESOS O</t>
  </si>
  <si>
    <t xml:space="preserve"> 1	Adding Machine Tape							10	rolls 	40.00 2	Ballpen, Blue(100),black(100),red(50), metal tip, good kind							250	pcs.	15.00 3	Batteries AA black, Alkaline, Energizer, 2's per pack							30	pack	200.00 4	Batteries AAA, alkaline,Energizer, 2's per pack		</t>
  </si>
  <si>
    <t xml:space="preserve"> REPAIR/MAINTENANCE OF DOST BUILDING, PROVINCIAL SCIENCE AND TECHNOLOGY CENTER BUILDING Contract Location:                   Calaba, Bangued, Abra Brief Description:                    Repair/Maintenance of DOST Building using Finishing Works The DPWH-Abra</t>
  </si>
  <si>
    <t xml:space="preserve"> Laptop  Processor : Intel® Core™ i5-1035G1 10th Gen (1.0GHz up to 3.6GHz / 6MB Cache) Memory : 8GB DDR4 (minimum) Storage : 256GB SSD + 1TB HDD Graphics:  2GB DDR5 Display : 15.6in FHD LED/IPS Display Connectivity : Wireless 802.11 a/b/g/n/ac Battery : 2-</t>
  </si>
  <si>
    <t xml:space="preserve"> 1	437.54	Liter	Diesel/Fuel</t>
  </si>
  <si>
    <t xml:space="preserve"> various accessories of chain saw</t>
  </si>
  <si>
    <t xml:space="preserve"> coverall suits (non-sterile, protective, medical grade, free size) = 35 pcs head cover disposable = 1 pack shoe cover disposable = 1 pack nitrile gloves disposable = 1 pack surgical face mask = 1 box</t>
  </si>
  <si>
    <t xml:space="preserve"> Item No.	Qty	DESCRIPTION				Unit of Measurement 						 1	7	Office Curtain 				Pcs 2	2	Door Mat				Pcs 3	1	Mop				Pc. 4	1	Spoon and Fork				Set/Dozen 5	2	Pail				Pcs 6	1	Broom				Pc.</t>
  </si>
  <si>
    <t xml:space="preserve"> Purchase of Office Supplies for PNP Office</t>
  </si>
  <si>
    <t xml:space="preserve"> Form No. 	IFD-SP-PROC002-001			 			BOHOL ISLAND STATE UNIVERSITY	Revision: 	00			 			Main Campus	Effectivity Date:	June 17, 2019			 			  C.P.G. North Avenue, Tagbilaran City, Bohol	Related Process:	BISU-SP-PROC-002			 				REQUEST FOR QUOTATION				 							</t>
  </si>
  <si>
    <t xml:space="preserve"> Card etc. NOTE:To all suppliers bid documents and BAC Resolution No. 2020-029 are available at BAC Office and LGU website.</t>
  </si>
  <si>
    <t xml:space="preserve"> Purchase of Steel Cabinet for PNP Zamboanguita Station</t>
  </si>
  <si>
    <t xml:space="preserve"> Maam/Sir; Good Day! The Iponan Elementary School would like to invite illegible supplier for the reproduction of modules (Grades 1-6) in all subjects. Kindly fill in the RFQ form and send to the attached email add or submit personally in the school. Thank</t>
  </si>
  <si>
    <t xml:space="preserve"> Item No.		Qty							Unit	Item Description					 1			3							unit	"Digital Duplicator Model: DP-G325 (BOOKPLATEN) with Built-in Interface Kit   -300x600 dpi print/scan resolution   -Flat bed scanning method   -1,300 paper capacity   -130 copies per minute  </t>
  </si>
  <si>
    <t xml:space="preserve"> 1. LUMP SUM-CONSTRUCTION/FABRICATION OF SEAWEEDS DRYER PURPOSE: CONSTRUCTION/FABRICATION OF PERMANENT SEAWEEDS DRYER TECHNOLOGY AT POBLACION, JOSE DALMAN, ZAMBOANGA DEL NORTE. The complete schedule of activities is listed, as follows:							 							 		Act</t>
  </si>
  <si>
    <t xml:space="preserve"> Split Type Aircon (inverter) Capacity – 1.0 hp FP-53AST010KEIV-W5		1	unit Split Type Aircon (Inverter) Capacity – 2.0 hp FP-53AST020KEIV-W5		4	units</t>
  </si>
  <si>
    <t xml:space="preserve"> 1. Beck Youth Inventory 2nd edition (manual, record form) = 1 set 2. Beck Youth Inventory record form = 100 pcs</t>
  </si>
  <si>
    <t xml:space="preserve"> Standard From Title:   Purchase Request					 			                               PURCHASE REQUEST			 LGU BUGALLON						 Agency / Procuring Entity						 						 	Department: 		MDRRMC		Date:	 						 	Section:				Date:	 						 STOCK 		UNIT	Description	QTY	UNIT </t>
  </si>
  <si>
    <t xml:space="preserve"> Animal / Zoological Supplies</t>
  </si>
  <si>
    <t xml:space="preserve"> ITEM: 1 unit Replacement of Roof for pump control, power house building of PW# 27	 Scope of work:							 a. Dismantling of Existing roofing							 b. Replacement of roof panels							 c. Replacement of end flashing, Box Gutter, Inside Gutter,							 Ridge</t>
  </si>
  <si>
    <t xml:space="preserve"> QTY     UNIT       DESCRIPTION 29     loads     BOULDERS (2.5 CuM per load) 126   bags      Portland cement 10     Load      Rivermixed x x x x x  Nothing    Follows x x x x</t>
  </si>
  <si>
    <t xml:space="preserve"> Republic of the Philippines 		 National Kidney and Transplant Institute 			Bids and Awards Committee 		           East Avenue Quezon City 1100 				   981-0300 local 1084 / 926-8946 				          http://www.nkti.gov.ph/ 1.  The NATIONAL KIDNEY AND TRANSPLA</t>
  </si>
  <si>
    <t xml:space="preserve"> Procurement of Office Supplies and consumables for printing of Modular, and other reading materials for students by year level.</t>
  </si>
  <si>
    <t xml:space="preserve"> 1	2	Units	Branded/Brand New Processor : Intel Core i7-8700T 2.40 GHz Processor (12M Cache, up to 4.00 GHz) Memory : 8 GB DDR4-2400 SDRAM (1 x 8 GB) Storage : 1 TB 7200 rpm SATA Optical Drive : DVD writer ODD Operating System : Windows 10 Pro Display : 23.</t>
  </si>
  <si>
    <t xml:space="preserve"> 8262	cu.m	Filling Materials		 		(includes pushing, compacting and leveling)</t>
  </si>
  <si>
    <t xml:space="preserve"> Please see attached Request for Quotation. ---------------------PGSO--------------------</t>
  </si>
  <si>
    <t xml:space="preserve"> for the procurement of fire extinguishers.</t>
  </si>
  <si>
    <t xml:space="preserve"> PROCUREMENT OF BOND PAPERS AND INK FOR RISOGRAPH MACHINE FOR THE REPRODUCTION AND DELIVERY OF LOCALLY DEVELOPED LEARNING RESOURCES RISO INK/ RISO MASTER A4 BOND PAPER  3506 REAMS@200    TOTAL  701,200.00  RISO INK 69PCS@ PHP 1,120.00         TOTAL  77,280</t>
  </si>
  <si>
    <t xml:space="preserve"> 2,205 heads	 Kayumanggi or khati itik pinas breed from BAI- PCAARRD farmer-cooperators, 5-6 months old ready to lay Includes transport and delivery in CALABARZON</t>
  </si>
  <si>
    <t xml:space="preserve"> 4	unit	   12V 200AH gel type battery (germany or Japan made) 1	lot	   Installation of batteries and calibration of controller's 		     voltage and current parameters (Igenecon sun  		     storage model No. 1play 3TL) 8	pcs	   Cable lugs for battery termin</t>
  </si>
  <si>
    <t xml:space="preserve"> Republic of the Philippines Province of Oriental Mindoro MUNICIPALITY OF GLORIA BARANGAY TAMBONG INVITATION TO BID ITB NO. 2020-001 Supply and Delivery of Materials for the Construction of Drainage Canal 1.	The Barangay Tambong, through the 20% Barangay D</t>
  </si>
  <si>
    <t xml:space="preserve"> Republic of the Philippines Province of Iloilo Municipality of Lambunao Office of the Bids &amp; Awards Committee REQUEST FOR PRICE QUOTATION Name of Project: Purchase of Fuel &amp; Oil for the Farm to Market Road (Concreting) Location:  Brgy. Malag-it, Lambunao,</t>
  </si>
  <si>
    <t xml:space="preserve"> Vegetable Seeds</t>
  </si>
  <si>
    <t xml:space="preserve"> ITEM: 35 m³ Washed Sand 							 15 m³ Crushed Gravel 3/4"							 4 m³ Crushed Gravel G1							 32 m³ Filling Materials							 (for staggered delivery)							 PURPOSE: VARIOUS WORK ORDER(W.O.#20-038-A)(W.O.#20-025-D) (W.O.#20-027-D)(W.O.#20-036-D)		 ABC: P</t>
  </si>
  <si>
    <t xml:space="preserve"> 2500 pcs Long plastic envelope for JHS and SHS students</t>
  </si>
  <si>
    <t xml:space="preserve"> Bond Paper 70gsm.size:A4 Plastic Folder size:a4 Mega Box, MG-500, High Impact, 30L storage box, clear</t>
  </si>
  <si>
    <t xml:space="preserve"> INVITATION TO BID IB NO. CW 2020 – 132 Improvement of Senior Citizen Hall at Pinagsabangan I, Naujan, Or. Mindoro and  Construction of Water System at Pinagsabangan I, Naujan, Oriental Mindoro 1.  The Provincial Government of Oriental Mindoro (PGOM) throu</t>
  </si>
  <si>
    <t xml:space="preserve"> The Agricultural Training Institute (ATI) invites interested suppliers to submit quotation/proposals for the hereunder requirements: Supply and Delivery of Certificate Holder to be used of PAD for 2nd Semester for FY 2020. Budget for the Contract = PHP 10</t>
  </si>
  <si>
    <t xml:space="preserve"> For complete specification, please see attached for quotation at the associate link or request.</t>
  </si>
  <si>
    <t xml:space="preserve"> 2 Units 15.6 in FHD Intel Core i7-10510U/4gb/256gb SSD + 1TB/2gb GFMX230/Win10</t>
  </si>
  <si>
    <t xml:space="preserve"> SCHOOL MOOE CY 2020 2ND QUARTER - School and Office Supplies - Php 83 633.00</t>
  </si>
  <si>
    <t xml:space="preserve"> INVITATION TO BID CONSTRUCTION OF MATERIAL RECOVERY FACILITY (MRF) FOR BARANGAY 1, BARANGAY 2, BARANGAY 4 &amp; BARANGAY 5, SFADS The Municipal Government of San Francisco, Agusan del Sur, through the BIDS and AWARDS COMMITTEE (BAC) intends to apply the sum o</t>
  </si>
  <si>
    <t xml:space="preserve"> 1	GI COUPLING 1/2" Ø sch-40, 85 GRAMS, Thailand	300	pcs		 2	GI COUPLING 3/4"  Ø ,Full threaded, sch-40, France	250	pcs		 3	GI ELBOW 1/2" Ø X 90° , Sch-40, 117 g, Thailand	1000	pcs		 4	G.I. PIPE, 1/2” Øx 6m Sch. 40, 8 kgs.weight, Std.MTE x MTE, HEAVY GAUGE</t>
  </si>
  <si>
    <t xml:space="preserve"> 1	pc	Single channel adjustable volume pipette (1-10ul)			 6,500.00  1	pc	Single channel adjustable volume pipette (20-200ul)			 6,500.00  1	pc	Single channel adjustable volume pipette (100-1000ul)			 6,500.00  1	pc	8-channel pipettor (20-200ul)			 21,000.</t>
  </si>
  <si>
    <t xml:space="preserve"> 1. standard filing steel cabinet        - 4 layer        - centralized key        - plain white        - H-52" x W 18.5" x D 28"        - with delivery 2. standard lateral filing cabinet        - 4 layer        - centralized key        - plain white      </t>
  </si>
  <si>
    <t xml:space="preserve"> Please quote your lowest price on the item(s) listed, subject to the Terms and Conditions stated below and submit your quotations duly signed by your representative not later than 9:00AM of August 7, 2020in a sealed envelope to the Office of the BAC Secre</t>
  </si>
  <si>
    <t xml:space="preserve"> Proposed Construction of Police Headquarters, Mapsa Headquarters &amp; Cental Fire Station, located at Malugay Street, Brgy. San Antonio, Makati City - Order of payment for Bid Docs will be available at GSD-Head Office @ 10th Floor Makati City Hall Bldg. 2.  </t>
  </si>
  <si>
    <t xml:space="preserve"> The Barangay San Juan, Allacapan,CAgayan through its Bids and Awards Committee (BAC), invites suppliers/distributors/contractors to apply for eligibility and to bid for the hereunder project: Name of Contract : Concreting of Barangay Road Location : San j</t>
  </si>
  <si>
    <t xml:space="preserve"> One of the learning modalities during the new normal education is the modular approach. The school has printer/copier that will help in the reproduction of modules during the school year. There is a need to purchase toner for the printer/copier in order t</t>
  </si>
  <si>
    <t xml:space="preserve"> See attach RFQ</t>
  </si>
  <si>
    <t xml:space="preserve"> SCHOOL MOOE CY 2020 3RD QUARTER - School and Office Supplies - Php 82 900.00</t>
  </si>
  <si>
    <t xml:space="preserve"> 1. Procurement ID/Contract ID:	RFQ-020-2020 Contract Name:	PROCUREMENT OF FUEL, FOR THE USE OF VARIOUS SERVICE VEHICLE ASSIGNED IN THE CONSTRUCTION SECTION Contract Location:	DPWH-CAPIZ 1ST DEO, KM. 1, ROXAS CITY Brief Description:	PROCUREMENT OF FUEL App</t>
  </si>
  <si>
    <t xml:space="preserve"> Department of Public Works and Highways (DPWH) Contract ID: 20G00114 Contract Name: Construction of River bank protection works along Kalibo River, Kalibo Bridge III, Tigayon, Kalibo Section, Aklan Location of the Contract: Tigayon, Kalibo, Aklan --------</t>
  </si>
  <si>
    <t xml:space="preserve"> Nine (9) units of Colored Printer with three (3) sets of Toner per printer Minimum Specifications: 1	Functions	Print, Copy, Scan, Fax, Email 2	Multitasking Supported	Yes 3	Print Speed Black	Normal: Up to 27 ppm 4	First Page Out Black (A4, Ready	As fast as</t>
  </si>
  <si>
    <t xml:space="preserve"> Item No.		Qty							Unit	Item Description					 1			1							unit	"Water Dispenser Specifications: - Free Standing Water Dispenser - 3 Type Faucet - Black Color - Storage/Cabinet"					 2			1							unit	"Gas Range Specifications: - 3 Gas Burner - Gas Oven - </t>
  </si>
  <si>
    <t xml:space="preserve"> Epson Ink 001 black	16	bts Epson Ink T6441 black	20	bots Epson Ink T6442 cyan	14	bots Epson Ink T6443 magenta	14	bots Epson Ink T6444 yellow	14	bots Universal Ink Yellow	20	bots Universal Ink Magenta	20	bots Universal Ink Cyan	20	bots Universal Ink Black	</t>
  </si>
  <si>
    <t xml:space="preserve"> Republic of the Philippines LOCAL GOVERNMENT UNIT OF GINGOOG BIDS AND AWARDS COMMITTEE Gingoog City 	INVITATION TO BID	 PURCHASE OF REPAIR AND MAINTENANCE MATERIALS FOR SCHOOL AND OTHER LEARNING CENTERS FOR THE IMPLEMENTATION OF BRIGADA SKWELA ON MAY 2020</t>
  </si>
  <si>
    <t xml:space="preserve"> Materials for the Improvement of Waterworks System</t>
  </si>
  <si>
    <t xml:space="preserve"> Procurement of construction supplies and materials for the training cum production project at Tinoc, Ifugao under the Training for Work Scholarship Program.</t>
  </si>
  <si>
    <t xml:space="preserve"> 100	Pcs	 Blue plastic drum			 20	Length	4’’ pvc orange			 40	Pcs	4’’ Elbow			 40	Pcs	4’’ Tee			 80	Pcs	4’’ Copling			 40	Pcs	4’’ Wash out/clear out			 20	Length	½’’ pvc blue			 160	Pcs	½’’Tee			 100	Pcs	½’’ Elbow			 80	Pcs	½’’  Ball valve			 20	Meter	Chem</t>
  </si>
  <si>
    <t xml:space="preserve"> 6,892 toothpaste- 22 gms 3,446 toothbrush-for kids 3,446 bath soap (small pack) antibacterial xxxxxxxxxxxxxxxxxxxxxxxxxxxxxxxxxxx Nothing Follows xxxxxxxxxxxxxxxxxxxxxxxxxxxxxxxxxxxxxxxxxxxxxxxxx</t>
  </si>
  <si>
    <t xml:space="preserve"> ITEM: 5 lgth Deformed Round Bars 16mmØ(5/8"Ø)							 10 lgth Deformed Round Bars 10mmØ(3/8"Ø)							 5 lgth Plain Round Bars, 16mmØ(5/8"Ø)							 10 lgth Plain Round Bars, 10mmØ(3/8"Ø)							 300 kgs Welding Rod #6012							 6 kgs Welding Rod all purpose	</t>
  </si>
  <si>
    <t xml:space="preserve"> 1. Procurement ID/Contract ID:	SH-014-2020 Contract Name:	PROCUREMENT AND DELIVERY OF CORING BLADE TO BE USED IN CORING MACHINE AT QUALITY ASSURANCE SECTION.	 Contract Location:	DPWH-CAPIZ 1ST DEO, KM. 1, ROXAS CITY Brief Description:	PROCUREMENT AND DELI</t>
  </si>
  <si>
    <t xml:space="preserve"> REQUEST FOR QUOTATION					 _______________________________________				Date	July 27, 2020                         Name of Supplier				Quotation No.:  	2020-155 _______________________________________					                               Adrdress					 					  </t>
  </si>
  <si>
    <t xml:space="preserve"> Stock / Property No.	Unit	Item Description					Quantity	Unit Cost			Total Cost 											 											 1	ream	Bond Paper (A4) 210X297mm					65	210.00			13,650.00 2	ream	Bond Paper (short) 8.5X11 inch.					60	190.00			11,400.00 3	set	Ink Refill (cyan, mage</t>
  </si>
  <si>
    <t xml:space="preserve"> SEE POW</t>
  </si>
  <si>
    <t xml:space="preserve"> The Municipal Government of San Mariano, Isabela intends to apply the sum of Seven Hundred Ninety One Thousand Eight Hundred Ninety Nine Pesos &amp; Fifty-One Centavos (Php791,899.51) being the Approved Budget for the Contract (ABC) chargeable against CY 2020</t>
  </si>
  <si>
    <t xml:space="preserve"> Provides recreational activities for the youth of Barangay Pinagkaisahan that could enhance their mental capabilities and camaraderie of youth participants through online games as well as to provide support and assistance to the youth by giving them essen</t>
  </si>
  <si>
    <t xml:space="preserve"> UNIT            QUANTITY                       DESCRIPTION REAM              115                      A4 BOND PAPER 70 GSM REAM               66                       LEGAL BOND PAPER 70 GSM BOX                 66                      STAPLE WIRE, STANDAR</t>
  </si>
  <si>
    <t xml:space="preserve"> Republic of the Philippines Province of Bukidnon Municipality of Damulog OFFICE OF THE BIDS AND AWARD COMMITTEE Invitation to Bid for the Supply and Delivery of One (1) Unit of RISO Machine The Local Government Unit of Damulog, through the SEF North Distr</t>
  </si>
  <si>
    <t xml:space="preserve"> Republic of the Philippines							 Province of Eastern Samar							 Municipality of Balangkayan							 							 REQUEST FOR QUOTATION (RFQ)							 							 				DATE :	8/3/2020		 							 							 							 							 							 							 Sir/Madam:							 							 	Plea</t>
  </si>
  <si>
    <t xml:space="preserve"> Republic of the Philippines CITY OF MARIKINA SF-GOOD-05 Revised on: July 28, 2004				 													Mkna-GSO-20-329	 	BIDS AND AWARDS COMMITTEE		 NOTICE OF PROPOSED PROCUREMENT The City Government of Marikina, through its Bids and Awards Committee (BAC), w</t>
  </si>
  <si>
    <t xml:space="preserve"> Republic of the Philippines PROVINCE OF SIQUIJOR Capitol, Bldg., Pulangyuta, Siquijor, Siquijor INVITATION TO BID FOR Supply and Delivery of Instructional Tools and Equipment for Technical Vocational Livelihood (TVL) Course, for Science Laboratory and for</t>
  </si>
  <si>
    <t xml:space="preserve"> Construction of Comfort Room, Riprapping and Construction of Perimeter Fence at Public Market New Public Market, Capalonga,  Camarines Norte</t>
  </si>
  <si>
    <t xml:space="preserve"> Renovation and Improvement of Pitogo Community Complex located at Cebu St. Cor. Luzon St., Brgy. Pitogo, Makati City - Order of payment for Bid Docs will be available at GSD-Head Office @ 10th Floor Makati City Hall Bldg. 2.  Look for Mr. Reden Villanueva</t>
  </si>
  <si>
    <t xml:space="preserve"> 1. The Local Government Unit of Baleno, Masbate, through the 2019 LGSFSALINTUBIG intends to apply the sum of Fourteen Million Nine Hundred Forty-three Thousand One Hundred Twenty-seven Pesos &amp; 68/100 (P14,943,127.68) being the Approved Budget for the Cont</t>
  </si>
  <si>
    <t xml:space="preserve"> Republic of the Philippines Province of Nueva Vizcaya Municipality of Ambaguio -000- Invitation to Bid FOR THE SUPPLY OF CONSTRUCTION MATERIALS The Municipal Government of Ambaguio, through the Budget for Contract Approved by the Sanggunian intends to app</t>
  </si>
  <si>
    <t xml:space="preserve"> CLARK DEVELOPMENT CORPORATION CLARK FREEPORT ZONE INVITATION TO BID The Clark Development Corporation, through its Bids and Awards Committee (BAC), invites Audio-Visual Equipment Suppliers to bid for the hereunder project: Name of Project:Supply and Insta</t>
  </si>
  <si>
    <t xml:space="preserve"> Standard Form Number: SF-GOOD-60 Revised on May 24, 2004                                                                                  Republic of the Philippines CARLOS HILADO MEMORIAL STATE COLLEGE  Talisay City, Negros Occidental Telefax (034) 712-8</t>
  </si>
  <si>
    <t xml:space="preserve"> DBP BUENAVISTA BRANCH - SUPPLY AND DELIVERY OF VARIOUS OFFICE EQUIPMENT 1.  Two (4 doors) Fire Proof Steel Filing Cabinets @ Php 40,000.00 = ABC Php 80,000.00 2.  One (4 doors) Steel Filing Cabinet @ Php 18,000.00 = ABC Php 18,000.00 3.  Bundy Clock @ABC </t>
  </si>
  <si>
    <t xml:space="preserve"> ITEM: 6 lgths Wide Flange, W6x15							 8 lgths Square Bar, 12mm							 2 lgths Flat Bar 50mm x 6.00 x 6.35 thk							 PURPOSE: FOR PROP. 150MMØ PIPE REALIGNMENT @ VALENZUELA BRIDGE, AGORA, LAPASAN, CDOC(W.O.#19-027-F)												 ABC: PHP 58,562.00 DELIV</t>
  </si>
  <si>
    <t xml:space="preserve"> Day 1  1st batch (August 17, 2020) 	 1	45	pax	 Breakfast 	 			Rice	 			Hot Dog	 			Boil Egg	 			Coffe/Milo	 2	45    	pax	 SNACKS (AM) 	 			 Torta 	 			 C2 Solo 	 3	45	pax	Lunch	 			Rice	 			Pork Humba(40)	 			Chopsuey	 			Buttered Chicken(5)	 			Coke 8 oz</t>
  </si>
  <si>
    <t xml:space="preserve"> REQUEST FOR QUOTATION (RFQ)							 							 					August 03, 2020		 					R.I.S. No.: 20-83-149		 							 GENTLEMEN:			 Please submit  your  lowest price quotation (including taxes and government discounts) on charged account basis, on the following supplies</t>
  </si>
  <si>
    <t xml:space="preserve"> NOTE:	1. THE APPROVED BUDGET FOR THE CONTRACT IS PhP 100,000.00		 	2. ALL ENTRIES MUST BE TYPEWRITTEN		 	3. DELIVERY PERIOD WITHIN ________ CALENDAR DAYS		 	4. WARRANTY SHALL BE FOR A PERIOD OF THREE (3) MONTHS FOR EXPENDABLE SUPPLIES, ONE (1) 		 	     YE</t>
  </si>
  <si>
    <t xml:space="preserve"> Construction of Ramp and Other PWD Requirements (Various Public Schools and Public Buildings), located at Makati City - Order of payment for Bid Docs will be available at GSD-Head Office @ 10th Floor Makati City Hall Bldg. 2.  Look for Mr. Reden Villanuev</t>
  </si>
  <si>
    <t xml:space="preserve"> Department of Public Works and Highways (DPWH) Contract ID: 20G00115 Contract Name: Construction of River Bank Protection Works along Kalibo River, Kalibo Bridge III, Mina, Lezo Section, Aklan Location of the Contract: Lezo, Aklan ------------------------</t>
  </si>
  <si>
    <t xml:space="preserve"> PURCHASE REQUEST							 Municipality of Pangil							 Pangil, Laguna							 Department: 	MPDO / HRMO			PR No.___________		Date:	 Section:				SAI No.___________		Date:____________	 				ALOBS No._______		Date:____________	 Item no.	Qty	Unit	Item Description</t>
  </si>
  <si>
    <t xml:space="preserve"> Rehabilitation, Repair, Renovation and Repainting of Cembo Talipapa located at Narra St. Brgy. Cembo, Makati City - Order of payment for Bid Docs will be available at GSD-Head Office @ 10th Floor Makati City Hall Bldg. 2.  Look for Mr. Reden Villanueva. -</t>
  </si>
  <si>
    <t xml:space="preserve"> box	Electrode 3.2mm E6011		5 box	Electrode 3.2mm E7018		6 pc	Grinding Disc 4" X 1/4" X 5/8"		40 pc	Cutting Disc 4" X 3/32" X 5/8"		20 set	Leather Gloves (Long)		25 pcc	Dark Glass		50 pc	Clear Glass (Plastic)		25 length	Flat Bar 2" X 1/2" X 6m		10 pc	Files</t>
  </si>
  <si>
    <t xml:space="preserve"> Republic of the Philippines Bangsamoro Autonomous Region in Muslim Mindanao Provincial Government of Maguindanao BIDS AND AWARDS COMMITTEE REQUEST FOR QUOTATION The PROVINCIAL GOVERNMENT OF MAGUINDANAO – Office of the Provincial Engineer-Motorpool invites</t>
  </si>
  <si>
    <t xml:space="preserve"> 1 unit Welding Generator  &gt; Capacity rating :5000W  &gt; Fuel: Diesel CONDITIONS: 1. VAT shall be included in the quotation 2. Specify brand name in the quotation 3. Warranty INSTRUCTIONS:  1. Bidder must submit valid Philgeps Certificate of Registration 2. </t>
  </si>
  <si>
    <t xml:space="preserve"> INTERESTED BIDDERS MAY OBTAIN FURTHER INFORMATION THRU THE BAC SECRETARIAT WITH THE TELEPHONE NO. 324-4499</t>
  </si>
  <si>
    <t xml:space="preserve"> Republic of the Philippines Bangsamoro Autonomous Region in Muslim Mindanao Provincial Government of Maguindanao BIDS AND AWARDS COMMITTEE REQUEST FOR QUOTATION The PROVINCIAL GOVERNMENT OF MAGUINDANAO – Office of the Provincial Veterinarian invites all i</t>
  </si>
  <si>
    <t xml:space="preserve"> Item No.		Qty							Unit	Item Description					 1			90							bags	Portland Cement					 2			26							lengths	8mm X 6m STD DRB Grade 33					 3			3							kgs	No. 16 F.I Tie Wire					 4			56							set	Movable Lavatory					 5			6							roll	3/4" SDR-11 PE Hose </t>
  </si>
  <si>
    <t xml:space="preserve"> INVITATION TO BID Bid No. B-115-2020  1.	The Provincial Government of Negros Oriental through Responsibility Center: 4919-01(19) / Account Code: 1070-6010, intends to apply the sum of Four Million Five Hundred Thousand Pesos (Php 4,500,000.00) to payment </t>
  </si>
  <si>
    <t xml:space="preserve"> 1	Lot	Internet for Dormitory &amp; Cottages 		 		1 un 80 ft. Monopole Mast Tower 		1 un 60 ft. Monopole Mast Tower 		4 un 450 mbps high power dual band wireless router 		4 un 8-port Gigabit Ethernet Switch 		4 un Litebeam Gen2 AC 14300 radio antenna 		Labor F</t>
  </si>
  <si>
    <t xml:space="preserve"> 1.	The Barangay Local Government Unit of Masagaosao, through the Barangay Annual Budget 2020 intends to apply the sum of Two Hundred Eight Thousand Pesos and 1/100 only (P208,000.01) being the Approved Budget for the Contract (ABC) to payments under the c</t>
  </si>
  <si>
    <t xml:space="preserve"> Republic of the Philippines DEPARTMENT OF PUBLIC WORKS AND HIGHWAYS Nueva Vizcaya   District Engineering Office OFFICE OF THE DISTRICT ENGINEER Bayombong, Nueva Vizcaya INVITATION TO BID Contract ID: 20GBI018  Procurement of 10 drums Emulsified Asphalt, e</t>
  </si>
  <si>
    <t xml:space="preserve"> NOTICE TO BIDDERS The Department of Public Works and Highways (DPWH), through the Bids and Awards Committee (BAC) of the DPWH - Dinagat Islands District Engineering Office, San Jose, Dinagat Islands hereby notifies the following suppliers / bidders classi</t>
  </si>
  <si>
    <t xml:space="preserve"> Republic of the Philippines Bangsamoro Autonomous Region in Muslim Mindanao Provincial Government of Maguindanao BIDS AND AWARDS COMMITTEE REQUEST FOR QUOTATION The PROVINCIAL GOVERNMENT OF MAGUINDANAO – Office of the Provincial Accountant invites all int</t>
  </si>
  <si>
    <t xml:space="preserve"> INVITATION TO BID							 FOR THE							 Construction of Lateral Road  							 (Zone 3, Tagbong, Pili, Camarines Sur)							 							 The Local Government Unit of Pili, through the 20% Economic Development Fund (EDF)(2020)  intends    to   apply    the   su</t>
  </si>
  <si>
    <t xml:space="preserve"> REQUEST FOR QUOTATION 				                                            Quotation No/PR No. 138                                                                                                  Date: August 4, 2020 To all Eligible Suppliers: I.  Please quote</t>
  </si>
  <si>
    <t xml:space="preserve"> NOTICE TO THE PUBLIC REQUEST FOR QUOTATION                                              AMP SVP-D NO: 20-07-0248B	              The University of the Philippines, Diliman (UPD) hereby informs the public that it will be procuring the following item/s throu</t>
  </si>
  <si>
    <t xml:space="preserve"> Qty	Unit of Issue	Item Description 3	UNIT 	Electric plainer-Heavy duty, GHO 6500, 65 w, Motor, Fast Planning Speed, Max 2.6mm cutting                       depth adjustment, 9mm rebating, 16, 500 rpm no load speed, Lx158mmx 140 mm) MAKITA Brand 3	Unit	   </t>
  </si>
  <si>
    <t xml:space="preserve"> Proposed Improvement of STP at Makati Homes-I located at H. Santos Street, Barangay Tejeros, Makati City - Order of payment for Bid Docs will be available at GSD-Head Office @ 10th Floor Makati City Hall Bldg. 2.  Look for Mr. Reden Villanueva. - A  compl</t>
  </si>
  <si>
    <t xml:space="preserve"> Purchase of Photocopier  ITEM &amp; DESCRIPTION	QTY	UNIT	UNIT PRICE	TOTAL PRICE Photocopier Machine  Specifications: Digital color copier with network printing, color scanning &amp; optional network fax. Copy &amp; print speed of 25 copies per minute. A4, on monochro</t>
  </si>
  <si>
    <t xml:space="preserve"> OFFICE SUPPLIES FOR THE 1st and 2nd Quarter of 2020</t>
  </si>
  <si>
    <t xml:space="preserve"> Item No.		Qty							Unit	Item Description					 1			1							unit	"Refrigerator Specifications: - 8.3 Cubic Ft. - Manual Defrost - Single Door"					 2			1							unit	"Gas Range Specifications: - 3 Gas Burner - Gas Oven - Matte Black"					 3			1							unit	"</t>
  </si>
  <si>
    <t xml:space="preserve"> Name of the Procuring Entity: TONDO MEDICAL CENTER Name of the Project:  Procurement of Platform Truck and Electric Shower Heater      			                                          Location of the Project: Tondo Medical Center Balut, Tondo Manila          </t>
  </si>
  <si>
    <t xml:space="preserve"> 2. Procurement ID/Contract ID:	SH-015-2020 Contract Name:	PROCUREMENT AND DELIVERY OF MATERIALS FOR THE PROPOSED GUARD HOUSE TOILET AND SERVICE AREA, ROXAS CITY, CAPIZ Contract Location:	DPWH-CAPIZ 1ST DEO, KM. 1, ROXAS CITY Brief Description:	PROCUREMENT</t>
  </si>
  <si>
    <t xml:space="preserve"> For the use of Regional Trial Court Branch 139, Antipolo City. 2 units Air Conditioning Unit * window type * 2HP * Inverter * with remote</t>
  </si>
  <si>
    <t xml:space="preserve"> LGU - Padre Burgos, Southern Leyte Invitation to Bid for Continuation of MDRRM Bldg. Brgy. Poblacion, Padre Burgos, Southern Leyte 1.	The LGU – Padre Burgos, Southern Leyte, through the  5% CALAMITY FUND 2020   intends to apply the sum of Two Million One </t>
  </si>
  <si>
    <t xml:space="preserve"> Republic of the Philippines Bangsamoro Autonomous Region in Muslim Mindanao Provincial Government of Maguindanao BIDS AND AWARDS COMMITTEE REQUEST FOR QUOTATION The PROVINCIAL GOVERNMENT OF MAGUINDANAO – Office of the Provincial Administrator invites all </t>
  </si>
  <si>
    <t xml:space="preserve"> Republic of the Philippines Province of Bukidnon Municipality of Damulog OFFICE OF THE BIDS AND AWARD COMMITTEE Invitation to Bid for the Supply and Delivery of One (1) Unit of RISO Machine The Local Government Unit of Damulog, through the SEF South Distr</t>
  </si>
  <si>
    <t xml:space="preserve"> The Provincial Government of Samar invites all interested registered suppliers to submit in person or authorized representative quotation for- 				 1.	60	pax	Food, Venue and Hotel Accommodation Activity: -Three (3) days Food and Venue Accommodation -Two (</t>
  </si>
  <si>
    <t xml:space="preserve"> NOTE:	1. THE APPROVED BUDGET FOR THE CONTRACT IS PhP 89,250.00		 	2. ALL ENTRIES MUST BE TYPEWRITTEN		 	3. DELIVERY PERIOD WITHIN ________ CALENDAR DAYS		 	4. WARRANTY SHALL BE FOR A PERIOD OF THREE (3) MONTHS FOR EXPENDABLE SUPPLIES, ONE (1) 		 	     YEA</t>
  </si>
  <si>
    <t xml:space="preserve"> Stock / Property No.	Unit	Item Description					Quantity	Unit Cost			Total Cost 											 											 1	ream	Bond Paper Long (Long) 70GSM-S20					20	220.00			4,400.00 2	ream	Bond Paper Short 70GSM-S20					20	190.00			3,800.00 3	pcs	Folder (Long)					75	1</t>
  </si>
  <si>
    <t xml:space="preserve"> Proposed Rehabilitation and Upgrading of Existing Streetlighting along H. Santos Street located at Barangay Tejeros, Makati City - Order of payment for Bid Docs will be available at GSD-Head Office @ 10th Floor Makati City Hall Bldg. 2.  Look for Mr. Rede</t>
  </si>
  <si>
    <t xml:space="preserve"> Please see attached documents</t>
  </si>
  <si>
    <t xml:space="preserve"> 5 pcs freezer 4 cubic feet solid top-chest type 49 pieces ice box- styrofoam- large size xxxxxxxxxxxxxxxxxxxxxxxxxxxxxxxxxxxxxxx Nothing Follows xxxxxxxxxxxxxxxxxxxxxxxxxxxxxxxxxxxxxxxxxxxxx</t>
  </si>
  <si>
    <t xml:space="preserve"> Republic of the Philippines Bangsamoro Autonomous Region in Muslim Mindanao Provincial Government of Maguindanao BIDS AND AWARDS COMMITTEE REQUEST FOR QUOTATION The PROVINCIAL GOVERNMENT OF MAGUINDANAO – Office of the Provincial Engineer invites all inter</t>
  </si>
  <si>
    <t xml:space="preserve"> Item No. 1 1338 bags Complete Fertilizer 14-14-14 at 50 kgs. 1338 bags Urea Fertilizer 46-0-0 at 50 kgs. Terms and Conditions: 1.	With FPA License. 2.	15 days delivery period. 3.	Delivered at Municipal Hall, Solsona, Ilocos Norte. 4.	Hauling and unloading</t>
  </si>
  <si>
    <t xml:space="preserve"> Facial Masks, 3-ply, Disposable, 50pcs/box Alcohol, 70% Isoprophyl, at least 1 gal To be used in all offices of BIR RR12 in protection against Covid 19 Outbreak</t>
  </si>
  <si>
    <t xml:space="preserve"> Qty	Unit	NAME OF MATERIALS	Unit Price		  2.00 	pc	Steel Matting, 4ft x 8ft x 3mm w/ 2'' x 2'' wire mesh opening			  30.00 	pcs	Plastic Pots for Plants, customised size			  30.00 	each	Ornamental Plants			  2.00 	length	G.I Pipe, Schedule 40, 1 1/2"			  2.</t>
  </si>
  <si>
    <t xml:space="preserve"> 19 pcs. Column pipe (PVC sure loc)4" 114.3m OD min. thickness 8.56mm in 3m. as per ASTRI D 1785 SCH 80 blue color 18 pcs. 4" PVC sure loc coupler (color blue) with plastic spline as locking system and rubber-O-ring 1 pc. 4" s/s Pump connector (SCH 80) 1. </t>
  </si>
  <si>
    <t xml:space="preserve"> INVITATION TO BID The Municipal Government of Gumaca, through its Bids and Awards Committee (BAC), invites suppliers/ manufacturers/ distributors/ contractors, to bid for the hereunder contract: Name of Contract		:	CONCRETING OF BARANGAY ROAD Location			:</t>
  </si>
  <si>
    <t xml:space="preserve"> Bantay Bayan - Tactical Pants (2x24), Polo Shirt w/ print (5x24), Shoes Taglinis - Polo Shirt w/ print (5x19), Jogging Pants (3x19), Rubber Shoes Disaster - Tactical Pants (2x10), Polo Shirt w/ print (5x10), Tactical Shoes, Tactical Belt Coordinator - Pol</t>
  </si>
  <si>
    <t xml:space="preserve"> School supplies for Bulua NHS</t>
  </si>
  <si>
    <t xml:space="preserve"> MUNICIPAL HEALTH OFFICE – 1 unit laptop 3sf314-41G-R9QL (silver)14 IPS Ryzen 5 3500U/4GB/1TB/2 GB Radeon Win10 MSWDO 1. 1 set COMPUTER with desktop Intel Core TM i3 2. 1 unit PRINTER INK TANK PRINTER Print speeds up to 10ipm for black and 5.0ipm Mun. Agri</t>
  </si>
  <si>
    <t xml:space="preserve"> Item No.		Qty							Unit	Item Description					 1			34							bags	Portland Cement					 2			10							rolls	No. 10 X 6' Cyclone Wire					 3			66							pcs	0.30m X 0.30m Unglazed Tiles					 4			6							kgs	White Cement					 5			7							length	Tile Trimmer				</t>
  </si>
  <si>
    <t xml:space="preserve"> Procurement of office supplies, materials and equipments for the operation of SK office that will help the SK Officials to perform their duties effectively.</t>
  </si>
  <si>
    <t xml:space="preserve"> 1	3	unit	Meat Grinder - 1,500watts, stainless steel housing, Reverse function, Metal Glass	 2	2	unit	Cacao Grinder - Pure copper mixer, Stainless steel	 3	1	unit	Coffee Grinder (HP) - Cutting blade, 3 metal Cutting plates	 4	2	unit	Electric Juicer - Extra</t>
  </si>
  <si>
    <t xml:space="preserve"> 1 lot furniture and fixtures</t>
  </si>
  <si>
    <t xml:space="preserve"> In view of the two (2) failed public biddings, the Municipality of Tanza, Cavite, through its Bids and Awards Committee (BAC) invites interested bidders to participate in the negotiation for the project stated below: 	Name of Project	: SUPPLY AND DELIVERY</t>
  </si>
  <si>
    <t xml:space="preserve"> ITEM:  1 unit ESFF DESKTOP PURPOSE: FOR REPLACEMENT-INTENDED FOR C. REQUINO-TELLER. PWMRS NO.3-002-2020-CASE B.	 ABC: PHP 65,000.00 DELIVERY SCHEDULE: 10 CALENDAR DAYS</t>
  </si>
  <si>
    <t xml:space="preserve"> Toner for Photocopier</t>
  </si>
  <si>
    <t xml:space="preserve"> Please see attached Request for Quotation.</t>
  </si>
  <si>
    <t xml:space="preserve"> For the use of Business Permits &amp; Licensing Office. 1 unit Computer Desktop with UPS (i5, 8GB RAM, 1TB HDD, compatible motherboard, GT730 VC, DVD ROM, mouse &amp; keyboard, casing with power supply, 18.5" monitor &amp; UPS)</t>
  </si>
  <si>
    <t xml:space="preserve"> Republic of the Philippines              BATANGAS STATE UNIVERSITY                                  Batangas City               Tel. Nos. (043) 980-0385 loc 1549             REQUEST FOR QUOTATION Printing of graduation picture set for June 2020 graduating</t>
  </si>
  <si>
    <t xml:space="preserve"> Republic of the Philippines Department of Public Works and Highways Nueva Vizcaya 1ST District Engineering Office Bayombong, Nueva Vizcaya August 3, 2020 NOTICE OF ALTERNATIVE METHODS OF PROCUREMENT (Small Value Procurement-RFQ) Notice is hereby given tha</t>
  </si>
  <si>
    <t xml:space="preserve"> *BATTERY - 12V, 21 Plates, Automotive Battery, Low-Maintenance, 1yr. Warranty (DT-136 HD 270 HYUNDAI 6DAC 18161798) (2 pcs) *BATTERY - 12V, 21 Plates, Automotive Battery, Low-Maintenance, 1yr. Warranty (DT-138 HD 270 HYUNDAI D6AC 8160018) (2 pcs) *BATTERY</t>
  </si>
  <si>
    <t xml:space="preserve"> The Provincial Government of Samar invites all interested registered suppliers to submit in person or authorized representative quotation for- 				 1.	42	pax		Meals and Accommodation (for two (2) days) 2.	42	pax		Meals (for 3rd day/No accommodation) Meals</t>
  </si>
  <si>
    <t xml:space="preserve"> PROCUREMENT OF CONSTRUCTION MATERIALS &amp; SUPPLIES, TO WIT: UNIT    DESCRIPTION                                                                         QUANTITY unit 	          Mini Wash Borrk Urinal 1041 American Standard 6401 m	       2		 pcs	          2"</t>
  </si>
  <si>
    <t xml:space="preserve"> Republic of the Philippines Province of Albay Municipality of Rapu-Rapu Barangay Manila INVITATION TO BID FOR THE IMPROVEMENT OF WATER SYSTEM 1.	The Barangay Local Government Unit of Manila, Rapu-Rapu, Albay, through the Budget of the contract approved by</t>
  </si>
  <si>
    <t xml:space="preserve"> REQUEST FOR QUOTATION											 											 RFQ No.		SVP 20-0917				Date				8/3/2020	 PR Reference		100-20-07-061				Implementing Office				CPDO	 Closing Date and Time											 Designated Places of Submission (Bid Box Designated Locations)						1. BAC </t>
  </si>
  <si>
    <t xml:space="preserve"> 1 LOT Supply and Delivery of Eyelet No. 5 for the official use of the Office of Consular Affairs (OCA)-Authentication Division Quantity: 4,800 cases ABC = PhP 648,000.00 For details of the item/s, kindly download and refer to the attached PURCHASE REQUEST</t>
  </si>
  <si>
    <t xml:space="preserve"> Item No.	Qty	DESCRIPTION				Unit of Measurement 						 1	1	Folding Bed, Good Quality				Pc. 2	1	Electric Fan (Stand Fan)				Pc.</t>
  </si>
  <si>
    <t xml:space="preserve"> List of supplies used to reproduce learning materials</t>
  </si>
  <si>
    <t xml:space="preserve"> The DPWH-Ilocos Norte Second District Engineering Office, through its Bids and Awards Committee (BAC), invites contractors to submit bids for the Contract: Procurement ID/Contract ID: 20AB0123 Contract Name/Location: CONSTRUCTION OF ONE (1) STOREY - FOUR </t>
  </si>
  <si>
    <t xml:space="preserve"> 5	ream	bond paper long 5	ream	bond paper short 5	ream	bond paper A4 3	pcs	logbook 300 2	box	ballpen black faber castel 5	pcs	correction tape 1	box	paper clip big 1	box	paper clip small 5	pcs	plastic envelop, bag 2	pcs	staple w/ wings 2    	pcs	dash pan 50</t>
  </si>
  <si>
    <t xml:space="preserve"> Roller Trashbins</t>
  </si>
  <si>
    <t xml:space="preserve"> The Barangay Mapurao, Allacapan,CAgayan through its Bids and Awards Committee (BAC), invites suppliers/distributors/contractors to apply for eligibility and to bid for the hereunder project: Name of Contract : Construction of Multi Purpose DryingPavement </t>
  </si>
  <si>
    <t xml:space="preserve"> Republic of the Philippines                                                CONCEPCION WATER DISTRICT                                                  San Jose, Concepcion, Tarlac                                   Tel. No. (045) 923-0430 / 923-1576 / 628-2</t>
  </si>
  <si>
    <t xml:space="preserve"> Supply and delivery of 4 in 1 Printer Machines.</t>
  </si>
  <si>
    <t xml:space="preserve"> Detailed Estimate		 For the Concreting of Perimeter Pathways		 at SB Building, Bugallon, Pangasinan		 		 ABC: 116,415.60		 A. Materials		 		 157	bags	Portland Cement 12	cu.m	S1 17.42	cu.m	G1 6	bd ft	2"x 4" x 12' Good lumber 2	kls	Assorted CW Nail 26	cu.m	</t>
  </si>
  <si>
    <t xml:space="preserve"> Republika ng Pilipinas PAMAHALAANG LUNGSOD NG TACLOBAN (City Government of Tacloban) Kanhuraw Hill, Tacloban City 6500 BIDS AND AWARDS COMMITTEE INVITATION TO BID  REF #049-08-2020 (AUGUST 04, 2020) PR# 2020-808 DATED 07-10-2020 7150544 The Procuring Enti</t>
  </si>
  <si>
    <t xml:space="preserve"> General Cleaning of Nine (9) Unit Computer Desktop</t>
  </si>
  <si>
    <t xml:space="preserve"> 8 units Sewing machine manual             x x x x</t>
  </si>
  <si>
    <t xml:space="preserve"> Sir/Madam: Kindly quote your lowest price on the item/s listed below, subject to the General Conditions,  stating the shortest time of delivery and submit your quotation duly signed by your representative not  later than the set deadline at the Procuremen</t>
  </si>
  <si>
    <t xml:space="preserve"> Republic of Philippines								 City of Canlaon								 OFFICE OF THE BIDS AND AWARDS COMMITTEE								 REQUEST FOR SEALED QUOTATION								 								 				Date:	August 3, 2020			 				Quotation No.:	2020-08-051			 				PR No.:	2020-07-068-D			 				Department</t>
  </si>
  <si>
    <t xml:space="preserve"> INVITATION TO APPLY FOR ELIGIBILITY AND TO BID THE BIDS AND AWARD COMMITTEE OF THE MUNICIPALITY OF CAIBIRAN, BILIRAN IS INVITING ALL INTERESTED BIDDERS ON ITS FORTHCOMING PUBLIC BIDDING FOR: Project Title	        : Establishment Automated Weather Station </t>
  </si>
  <si>
    <t xml:space="preserve"> 1 lot of 2 units of working table (stainless) 2x8ft with two shelves 						 2 units of steamer 36cm diamter (aluminum) 3 layers, estimated 5L</t>
  </si>
  <si>
    <t xml:space="preserve"> P.R. No. X6-20-06-251 - Supply and Delivery for the operation of Mitsubishi Strada (AAS-1891)-100801. (Please see attached RFQ)</t>
  </si>
  <si>
    <t xml:space="preserve"> 1.	The Provincial Government of Ilocos Norte through Trust Fund – DILG CMGP    intends to apply the sum of Thirty Four Million Eight Hundred Fifty Thousand Pesos (Php34,850,000.00) being the Approved Budget for the Contract (ABC) to payments for the Rehab</t>
  </si>
  <si>
    <t xml:space="preserve"> Republic of the Philippines Province of Iloilo Municipality of Ajuy BIDS AND AWARD COMMITTEE INVITATION TO APPLY FOR ELIGIBILITY AND TO BID 	The Local Government of Ajuy, Iloilo invites Accredited Supplier to apply for eligibility and to bid for the Concr</t>
  </si>
  <si>
    <t xml:space="preserve"> Structural Works 24 Bags Cement 40 Bags Sand 79 Bags Gravel 27 Pcs 12mm Reinforcing Steel Bar 47 Pcs 10mm Reinforcing Steel Bar 6 Kgs #16 Tie Wire 7 Shts 1/4" Ordinary Plywood (forms) 55 Pcs 2" x 2" x 10" Good Lumber (forms) 2 kgs 2 1/2" Common Wood Nails</t>
  </si>
  <si>
    <t xml:space="preserve"> For the use of Antipolo Institute of Technology. 44 pcs. plywood 1/4 marine 90 pcs. plywood 3/4 marine 54 pcs. lumber 2 x 2 x 8 KD 216 pcs. lumber 1/2 x 2 x 8 KD 243 pcs. drawer guide # 18 243 pcs. drawer lock 243 pcs. handles 21 pcs. wood glue 500g 9 kls</t>
  </si>
  <si>
    <t xml:space="preserve"> Other Supplies &amp; Materials Expenses</t>
  </si>
  <si>
    <t xml:space="preserve"> 1.	The Provincial Government of Ilocos Norte through Repair and Maintenance – Building and Other Structure   intends to apply the sum of Two Hundred Seven Thousand Seven Hundred Eleven and 71/100 Pesos (Php207,711.71) being the Approved Budget for the Con</t>
  </si>
  <si>
    <t xml:space="preserve"> 1.	The Provincial Government of Ilocos Norte through Capital Outlay – Other Structures    intends to apply the sum of One Million Five Hundred Thousand Pesos (Php1,500,000.00) being the Approved Budget for the Contract (ABC) to payments for the Improvemen</t>
  </si>
  <si>
    <t xml:space="preserve"> CITY GOVERNMENT OF ZAMBOANGA		Purchase Request No.:	100-20-05-1056/May 26, 2020 Bids and Awards Committee  Villalobos St., Zamboanga City		Office of the:	CMO-SPORTS 		Amount:	P 114,470.00 SF-GOOD-60	 REQUEST FOR QUOTATION (53.9 Small Value Procurement)   </t>
  </si>
  <si>
    <t xml:space="preserve"> Maintenance of Porac Public Market (Comfort rooms and Gutter) Faucet 4 pcs Toilet Bowl 3 Set Solvent 1 Ltr Teflon Tape 10 pcs PVC Blue 1/2 2 pcs Cement 1 Bag Outlet 2-gang 1 Set</t>
  </si>
  <si>
    <t xml:space="preserve"> CITY GOVERNMENT OF ZAMBOANGA		Purchase Request No.:	100-20-05-0950/May 8, 2020 Bids and Awards Committee  Villalobos St., Zamboanga City		Office of the:	CITY HEALTH 		Amount:	P 388,800.00 SF-GOOD-60	 REQUEST FOR QUOTATION (53.9 Small Value Procurement)   </t>
  </si>
  <si>
    <t xml:space="preserve"> Invitation to Bid</t>
  </si>
  <si>
    <t xml:space="preserve"> Purchase of ICT Equipment to be used by Planas High School i5 Processor 1tb HDD w/ 25g SSD 15.6 Led Display w/ win 10 OS 2gb Videocard GDDRS</t>
  </si>
  <si>
    <t xml:space="preserve"> PURCHASE OF GROCERIES FOR GENDER AND DEVELOPMENT OF THE MUNICIPALITY OF SANTO DOMINGO,ILOCOS SUR</t>
  </si>
  <si>
    <t xml:space="preserve"> CITY GOVERNMENT OF ZAMBOANGA		Purchase Request No.:	100-20-05-1055/May 26, 2020 Bids and Awards Committee  Villalobos St., Zamboanga City		Office of the:	CGSO-CMO-SPORTS 		Amount:	P 385,000.00 SF-GOOD-60	 REQUEST FOR QUOTATION (53.9 Small Value Procuremen</t>
  </si>
  <si>
    <t xml:space="preserve"> Brother Ink  							5	sets Black (BT6000) 								 Yellow, Cyan, Magenta (BT5000) 								 EPSON 003 Ink (Black, Yellow, Cyan, Magenta) 							4	sets Fuji Xerox Toner 							5	sets</t>
  </si>
  <si>
    <t xml:space="preserve"> Fabrication of Six pcs Table Office and 30 pcs Height Board @ RHU I 1x2x12 Moulding 5 pcs 1/2x1x12 Moulding 15 pcs 1/2 x2x12 Moulding 15 pcs 3/4x4x8 Plyboard Sanding Sealer 6 Gal Thinner 6 Gal Fulla Tite 1 Ltr Wood Stain 1 pcs 1/2x4x8 Plywood 1 pcs Drawer</t>
  </si>
  <si>
    <t xml:space="preserve"> UNIT		ITEM &amp; DESCRIPTION				QTY piece		Magazine Holder				300 	        Size: Large				 	        Color: Blue				 							 bundle	Loose-leaf Cover				  3 		100pcs/bundle</t>
  </si>
  <si>
    <t xml:space="preserve"> PURCHASE OF CONSUMABLE SHOP SUPPLIES, CGSO, CALBAYOG CITY</t>
  </si>
  <si>
    <t xml:space="preserve"> July 30, 2020 REQUEST FOR QUOTATION (RFQ) MEALS OF PERSONNEL AT THE COVID WARD, QUARANTINE AREA AND COVID AND MOLECULAR LABORATORY FOR THE PERIOD OF AUGUST 7 – 21, 2020 1.	The Batangas Medical Center hereinafter referred to as the “Purchaser” now request </t>
  </si>
  <si>
    <t xml:space="preserve"> P.R. No. X3-20-06-239 - Supply and Delivery for the repair and maintenance of Mitsubishi Montero, H1-1668 (B5-A833) assigned at Finance Division. (Please see attached RFQ)</t>
  </si>
  <si>
    <t xml:space="preserve"> CITY GOVERNMENT OF ZAMBOANGA		Purchase Request No.:	100-20-05-1019/May 20, 2020 Bids and Awards Committee  Villalobos St., Zamboanga City		Office of the:	CGSO-CIVIL REGISTRAR 		Amount:	P 162,900.00 SF-GOOD-60	 REQUEST FOR QUOTATION (53.9 Small Value Procu</t>
  </si>
  <si>
    <t xml:space="preserve"> 1 - 6 months Provision of 100 Mbps CIR Internet Connectivity at Central Command Center, Brgy. Manoc Manoc Boracay, Malay, Aklan</t>
  </si>
  <si>
    <t xml:space="preserve"> Republic of the Philippines Province of Iloilo Municipality of Ajuy BIDS AND AWARD COMMITTEE INVITATION TO APPLY FOR ELIGIBILITY AND TO BID 	The Local Government of Ajuy, Iloilo invites Accredited Supplier to apply for eligibility and to bid for the Purch</t>
  </si>
  <si>
    <t xml:space="preserve"> PHIVIDEC INDUSTRIAL AUTHORITY	 MCT Complex, Tagoloan, Mis. Oriental	 Tel Nos: (08822) 740245, (088) 5670-315	 email add:  	procurement@piamo.gov.ph 	pia.bacsec@gmail.com 	 Standard Form Number: SF-GOOD-60	 Revised on: May 24, 2004	Oct-16 Standard Form Tit</t>
  </si>
  <si>
    <t xml:space="preserve"> Spare Parts for Vehicle Variation</t>
  </si>
  <si>
    <t xml:space="preserve"> 1.	The Provincial Government of Ilocos Norte through Trust Fund – DILG CMGP    intends to apply the sum of Twenty Seven Million Four Hundred Twenty Three Thousand Eight Hundred Forty One Pesos (Php27,423,841.00) being the Approved Budget for the Contract </t>
  </si>
  <si>
    <t xml:space="preserve"> Purchase of 2 HP Aircon to be used by Planas High School 1 pc 2 HP Window Type Aircon</t>
  </si>
  <si>
    <t xml:space="preserve"> Rescue Boat Outboard Motor (30 HP) Parts</t>
  </si>
  <si>
    <t xml:space="preserve"> 2 ea Heat Sink AS 2905567</t>
  </si>
  <si>
    <t xml:space="preserve"> 304th Contracting Office										 ARMED FORCES OF THE PHILIPPINES PROCUREMENT SERVICE										 Naval Station Leovigildo Gantioqui 										 San antonio, Zambales										 										 REQUEST FOR QUOTATION 										 										 03 Aug 2019						RFQ NO: </t>
  </si>
  <si>
    <t xml:space="preserve"> Labor for the Construction of Brooder Cage A. Removal of existing concrete pedestal B. Excavation C. Structural Works D. Masonry Work E. Carpentry Works F. Roofing System</t>
  </si>
  <si>
    <t xml:space="preserve"> CITY GOVERNMENT OF ZAMBOANGA		Purchase Request No.:	100-20-06-1276/June 24, 2020 Bids and Awards Committee  Villalobos St., Zamboanga City		Office of the:	CITY ACCOUNTANT 		Amount:	P 193,800.00 SF-GOOD-60	 REQUEST FOR QUOTATION (53.9 Small Value Procureme</t>
  </si>
  <si>
    <t xml:space="preserve"> ITEM NO.	QTY/ UNIT	          ARTICLES		                         TOTAL *ABC 1	          3 Pack	(+/-) Abscisic acid, MW = 264.32                                 Plant tissue culture tested,                                 White to yellow powder, 1 gram / pa</t>
  </si>
  <si>
    <t xml:space="preserve"> ISUZU ELF TRUCK JAB-6091	 sets	5	Tire and Tube with Flaps 7.50 x 16;	 46,750.00  		14PR Rating	 		SUZUKI MULTICAB SKK-444, SJT-666 and SGP-293	 sets	10	Tire and Tube with Flaps 6.40 x 13;	 52,000.00  		6PR Rating</t>
  </si>
  <si>
    <t xml:space="preserve"> CITY GOVERNMENT OF ZAMBOANGA		Purchase Request No.:	100-20-06-1273/June 24, 2020 Bids and Awards Committee  Villalobos St., Zamboanga City		Office of the:	CLO 		Amount:	P 133,200.00 SF-GOOD-60	 REQUEST FOR QUOTATION (53.9 Small Value Procurement)         </t>
  </si>
  <si>
    <t xml:space="preserve"> CITY GOVERNMENT OF ZAMBOANGA		Purchase Request No.:	100-20-06-1202/June 17, 2020 Bids and Awards Committee  Villalobos St., Zamboanga City		Office of the:	CGSO-OSSP 		Amount:	P 200,000.00 SF-GOOD-60	 REQUEST FOR QUOTATION (53.9 Small Value Procurement)   </t>
  </si>
  <si>
    <t xml:space="preserve"> ITEM: 2 pcs Stainless steel couplings 3"dia applicable fittings to adapt 3 inch flexible pipe		 1 pc Vertical check valve 3" dia female tread end adaptable for SS coupling	 PURPOSE: REPAIR OF PUMP SET FLEXIBLE HOSE AT PW#32 MACAPAYA CAMAMAN-AN CDO		 ABC: </t>
  </si>
  <si>
    <t xml:space="preserve"> PURCHASE REQUEST										 MUNICIPAL GOVERNMENT OF SEBASTE, ANTIQUE										 										 Department:		Mun. Assessor			PR No.:		Date:			 Section:					SAI No.:		Date:			 					OS No.:		Date:			 ITEM NO.	QTY	UNIT OF	ITEM DESCRIPTION				ESTIMATED 		ESTIMATED C</t>
  </si>
  <si>
    <t xml:space="preserve"> 304th Contracting Office										 ARMED FORCES OF THE PHILIPPINES PROCUREMENT SERVICE										 Naval Station Leovigildo Gantioqui 										 San Antonio, Zambales										 										 REQUEST FOR QUOTATION 										 										 03 Aug 2019						RFQ NO: </t>
  </si>
  <si>
    <t xml:space="preserve"> Republic of the Philippines Province of Davao de Oro BIDS AND AWARDS COMMITTEE Cabidianan, Nabunturan, Davao de Oro ITB No. 20-028 July 29, 2020 INVITATION TO BID  FOR  THE Procurement of 500 pcs polo shirt with design 1.	The Provincial Government of Dava</t>
  </si>
  <si>
    <t xml:space="preserve"> Republic of the Philippines Province of Davao de Oro BIDS AND AWARDS COMMITTEE Cabidianan, Nabunturan, Davao de Oro ITB No. 20-028 July 29, 2020 INVITATION TO BID  FOR  THE Procurement of 5,251 pcs. Washable face mask 1.	The Provincial Government of Davao</t>
  </si>
  <si>
    <t xml:space="preserve"> 150 pk Tucker Wire (20pc/pk) and 29 other line items</t>
  </si>
  <si>
    <t xml:space="preserve"> Procurement of Printing Services One job order for the layouting, editing and printing of various IEC Materials for SAAD Program, with the following specifications: FLYERS 500	Piece	Peanut Production Size: 8.5”x13” Paper: C2S 80, glossy, full color, three</t>
  </si>
  <si>
    <t xml:space="preserve"> III. LEGARDA STREET (2 SIDES)	 		LOT 1:	 bags	50	Portland Cement	 		sub-total Lot 1:	 12,000.00  			 		LOT 2:	 m³	24	Sand	 m³	10	Gravel (Fine)	 		sub-total Lot 2:	 27,600.00  			 		LOT 3:	 lghts	24	12mmø x 6.0m DSB	 kgs	6	#16 G.I. Tie Wire	 kgs	5	4" CWN	 </t>
  </si>
  <si>
    <t xml:space="preserve"> Procurement of Supply and Delivery of Office  Supplies&amp; Equipment 20	pcs	Ink cartridge, # 680 black 20	pcs	Ink cartridge, # 680 color 22	pcs	Ink cartridge, # 933 XL magenta 22	pcs	Ink cartridge, # 933 XL cyan 22	pcs	Ink cartridge, # 933 XL yellow 25	pcs	I</t>
  </si>
  <si>
    <t xml:space="preserve"> P.R. No. X1-20-05-215 - Supply and Delivery for the reproduction of the CY 2019 Annual Report, this Office. (Please see attached RFQ)</t>
  </si>
  <si>
    <t xml:space="preserve"> 130 pk Sticker Paper A4 (20pc) and 10 other line items</t>
  </si>
  <si>
    <t xml:space="preserve"> 4 assy Cylinder Liner for Perkins 4.236 (Part No. 3135x032)</t>
  </si>
  <si>
    <t xml:space="preserve"> 1 lot General Overhauling/Repair of Carrier Open Type Direct Drive Compressor 60 Toner (Chilled Water Type Aircon Unit) Labor and Materials</t>
  </si>
  <si>
    <t xml:space="preserve"> Site Clearing &amp; Loading of Garbage at Transfer Station, Pandaguirig, Floridablanca, Pampanga</t>
  </si>
  <si>
    <t xml:space="preserve"> CONCRETING OF BARANGAY ROAD AT BARANGAY MAGALANG-GALANG, BAUAN, BATANGAS</t>
  </si>
  <si>
    <t xml:space="preserve"> ITEM	QTY.	UNIT		ARTICLE AND DESCRIPTION				CEILING 					UNIT PRICE		TOTAL  								PRICE							 															 				Office: Office of the Mayor				PR No. 362							 				Charge to: Extraordinary &amp; Miscellaneous Expenses				OBR No. 100-2002-00917							 			</t>
  </si>
  <si>
    <t xml:space="preserve"> Republic of the Philippines Province of Davao de Oro BIDS AND AWARDS COMMITTEE Cabidianan, Nabunturan, Davao de Oro ITB No. 20-028 July 29, 2020 INVITATION TO BID  FOR  THE Procurement of veterinary drugs and biologics 1.	The Provincial Government of Dava</t>
  </si>
  <si>
    <t xml:space="preserve"> Procurement of supply and delivery of farm chemicals 2	bottle	SYBR Green Nucleic, acid stain: 0.5 ml packaging PR# 2020-271</t>
  </si>
  <si>
    <t xml:space="preserve"> Chairs (White, Monobloc) 							95	pc  Tables (White, Monobloc, 36x36x28in) 							25	pcs</t>
  </si>
  <si>
    <t xml:space="preserve"> Republic of the Philippines Province of Davao de Oro BIDS AND AWARDS COMMITTEE Cabidianan, Nabunturan, Davao de Oro ITB No. 20-028 July 29, 2020 INVITATION TO BID  FOR  THE Procurement of 1 lot Supply and installation of chlorination system-rebid 1.	The P</t>
  </si>
  <si>
    <t xml:space="preserve"> CITY GOVERNMENT OF ZAMBOANGA		Purchase Request No.:	100-20-04-0899/April 22, 2020 Bids and Awards Committee  Villalobos St., Zamboanga City		Office of the:	CGSO-CHO 		Amount:	P 100,000.00 SF-GOOD-60	 REQUEST FOR QUOTATION (53.9 Small Value Procurement)   </t>
  </si>
  <si>
    <t xml:space="preserve"> 26 box Disposable face mask 20 pc Bucket hat with detachable face shield 26 pc Face shield 3 gallon Ethyl alcohol, 70% solution 15 ream Long bond paper 15 ream A4 bond paper 5 gallon Zonrox 5 pc Wireless wifi adapter 5 pc UPS 3 pc Wireless mouse 7 pc Exte</t>
  </si>
  <si>
    <t xml:space="preserve"> CITY GOVERNMENT OF ZAMBOANGA		Purchase Request No.:	100-20-06-1091/June 1, 2020 Bids and Awards Committee  Villalobos St., Zamboanga City		Office of the:	CGSO-CTO 		Amount:	P 300,000.00 SF-GOOD-60	 REQUEST FOR QUOTATION (53.9 Small Value Procurement)     </t>
  </si>
  <si>
    <t xml:space="preserve"> Description: Adobe Creative Cloud Centralized administration and deployment For Teams - All apps: One desktop app, services and business features Image editing and compositing, Vector graphics, layout and publishing, Create, edit, and sign PDF documents a</t>
  </si>
  <si>
    <t xml:space="preserve"> Republic of the Philippines Province of Davao de Oro BIDS AND AWARDS COMMITTEE Cabidianan, Nabunturan, Davao de Oro ITB No. 20-028 July 29, 2020 INVITATION TO BID  FOR  THE Procurement of feed ingredients 1.	The Provincial Government of Davao de Oro, thro</t>
  </si>
  <si>
    <t xml:space="preserve"> Republic of the Philippines PROVINCE OF NUEVA VIZCAYA Municipality of Bayombong BARANGAY LUYANG The Local Government Unit of Barangay Luyang, through the Unexpended Calamity Fund Balance and 20% Barangay Development Fund 2020, intends to apply the total a</t>
  </si>
  <si>
    <t xml:space="preserve"> Standard Form No. 60						 Revised on May 24, 2004						 REQUEST FOR QUOTATION						 Provincial Government of Romblon						 						 				Date:        August 03, 2020		 				Quotation No.:    692		 						 To Our Valued Suppliers:						 						 	Please quote yo</t>
  </si>
  <si>
    <t xml:space="preserve"> 1	1 Lot	Supply, delivery, installation and commissioning of various equipment: 1 unit Vacuum dryer for VCO Working vacuum pressure: max. 70cmHg With electronic band heater for heat drying with working temperature of at least 100°C Capacity: 20-50 Liter/ho</t>
  </si>
  <si>
    <t xml:space="preserve"> Qualification Requirements: 	Contract Period:  January 1, 2021 to December 31, 2021	 Deployment of  two (2) qualified, bonded, uniformed, highly trained and armed Security Guards to NTRC rendering 12 – hours duty each from 7AM to 7PM daily including Satur</t>
  </si>
  <si>
    <t xml:space="preserve"> P.R. No. X6-20-07-292 - Supply and Delivery for the use in Weighbridge Station Operation, Maintenance Division. (Please see attached RFQ)</t>
  </si>
  <si>
    <t xml:space="preserve"> P.R. No. X11-20-07-325 - Supply and Delivery for the repair of Nissan Navara, H1-6590/100101 (FOK-937), assigned at EMD. (Please see attached RFQ)</t>
  </si>
  <si>
    <t xml:space="preserve"> 2 ea ACU Indoor Unit</t>
  </si>
  <si>
    <t xml:space="preserve"> [LOCAL GOVERNMENT UNIT-VINCENZO SAGUN] INVITATION TO BID FOR PROCUREMENT OF 6 units ENGINE (PUMPBOAT) 1.	The Local Government Unit-Vincenzo Sagun, through the General Fund 2020  intends to apply the sum of One Hundred Eighty Six Thousand Pesos (P186, 000.</t>
  </si>
  <si>
    <t xml:space="preserve"> PURCHASE OF GRASS CUTTER AND STEEL CABINET, CGSO, CALBAYOG CITY</t>
  </si>
  <si>
    <t xml:space="preserve"> 2 bx Welding Rod Wip Weld (6011) &amp; 62 L/I</t>
  </si>
  <si>
    <t xml:space="preserve"> Order/Download and fill up attach Request for Quotation and submit to the BAC Office on/before closing date</t>
  </si>
  <si>
    <t xml:space="preserve"> CITY GOVERNMENT OF ZAMBOANGA		Purchase Request No.:	100-20-06-1223/June 19, 2020 Bids and Awards Committee  Villalobos St., Zamboanga City		Office of the:	CITY CIVIL REGISTRAR 		Amount:	P 116,590.00 SF-GOOD-60	 REQUEST FOR QUOTATION (53.9 Small Value Proc</t>
  </si>
  <si>
    <t xml:space="preserve"> For complete specification, please see attached RFQ at the associate components link or request....</t>
  </si>
  <si>
    <t xml:space="preserve"> PLEASE SEE ATTACHED FILE REQUEST FOR QUOTATION (RFQ)</t>
  </si>
  <si>
    <t xml:space="preserve"> AM Snacks Lunch PM Snacks Hygiene Kits (1 face mask, 1-350ml alcohol spray &amp; 3 hand Soap)</t>
  </si>
  <si>
    <t xml:space="preserve"> P.R. No. X7-20-06-241 - Supply and Delivery for the use in the Conduct of Traffic Count Survey Regionwide, Planning and Design Division. (Please attached RFQ)</t>
  </si>
  <si>
    <t xml:space="preserve"> Republic of the Philippines Province of Negros Occidental Municipality of Binalbagan Telephone/ FAX Number: (034) 3888701 INVITATION TO BID The Municipality of Binalbagan, Negros Occidental, through its Bids and Awards Committee (BAC), invites suppliers/m</t>
  </si>
  <si>
    <t xml:space="preserve"> Labor and materials for the replacement and maintenance of RP Vehicle SJB 110 (Toyota Hi-Ace)		 				 		Materials:		 1	pc	Rear Bumper Protection		 1	pc	Steering Cover		 1	set	Seat Cover (Fabric)		 1	pc	Front Bullbar		 1	set	Car Tint		 1	set	Floormatting</t>
  </si>
  <si>
    <t xml:space="preserve"> PURCHASE OF SOUND SYSTEM, LAPTOP AND LCD PROJECTOR, COOP, CALBAYOG CITY</t>
  </si>
  <si>
    <t xml:space="preserve"> Standard Form No. 60						 Revised on May 24, 2004						 REQUEST FOR QUOTATION						 Provincial Government of Romblon						 						 				Date:        August 03, 2020		 				Quotation No.:    691		 						 To Our Valued Suppliers:						 						 	Please quote yo</t>
  </si>
  <si>
    <t xml:space="preserve"> *** refer to attached RFQ and layout ***</t>
  </si>
  <si>
    <t xml:space="preserve"> Republic of the Philippines						CASO		 		Government of Ormoc City						P.R. No.:  	202120	 		BIDS AND AWARDS COMMITTEE						Quotation No.: 	204741-6291	 		Ormoc City						PhilGEPs No.: 		 										 Standard Form Title:			REQUEST FOR QUOTATION							 			</t>
  </si>
  <si>
    <t xml:space="preserve"> CITY GOVERNMENT OF ZAMBOANGA		Purchase Request No.:	100-20-05-0959/May 11, 2020 Bids and Awards Committee  Villalobos St., Zamboanga City		Office of the:	CGSO-CHRMO 		Amount:	P 150,000.00 SF-GOOD-60	 REQUEST FOR QUOTATION (53.9 Small Value Procurement)   </t>
  </si>
  <si>
    <t xml:space="preserve"> Republic of the Philippines						MARKET		 		Government of Ormoc City						P.R. No.:  	202086	 		BIDS AND AWARDS COMMITTEE						Quotation No.: 	204737-6289	 		Ormoc City						PhilGEPs No.: 		 										 Standard Form Title:			REQUEST FOR QUOTATION							 	</t>
  </si>
  <si>
    <t xml:space="preserve"> P.R. No. X7-20-06-233 - Supply and delivery for the use in the various seminars and trainings of Planning and Design Division. (Please see attached RFQ)</t>
  </si>
  <si>
    <t xml:space="preserve"> CITY GOVERNMENT OF ZAMBOANGA		Purchase Request No.:	100-20-05-0942/May 7, 2020 Bids and Awards Committee  Villalobos St., Zamboanga City		Office of the:	CGSO-CITY VET. 		Amount:	P 300,000.00 SF-GOOD-60	 REQUEST FOR QUOTATION (53.9 Small Value Procurement)</t>
  </si>
  <si>
    <t xml:space="preserve"> P.R. No. X7-20-07-321 - Supply and Delivery for the use in the Planning and Design Division. (Please see attached RFQ)</t>
  </si>
  <si>
    <t xml:space="preserve"> Republic of the Philippines						LDRRMO-TF		 		Government of Ormoc City						P.R. No.:  	202048	 		BIDS AND AWARDS COMMITTEE						Quotation No.: 	204743-6292	 		Ormoc City						PhilGEPs No.: 		 										 Standard Form Title:			REQUEST FOR QUOTATION						</t>
  </si>
  <si>
    <t xml:space="preserve"> Standard Form No. 60						 Revised on May 24, 2004						 REQUEST FOR QUOTATION						 Provincial Government of Romblon						 						 				Date:        August 03, 2020		 				Quotation No.:    764		 						 To Our Valued Suppliers:						 						 	Please quote yo</t>
  </si>
  <si>
    <t xml:space="preserve"> CITY GOVERNMENT OF ZAMBOANGA		Purchase Request No.:	100-20-01-0257/January 17, 2020 Bids and Awards Committee  Villalobos St., Zamboanga City		Office of the:	CMO 		Amount:	P 10,708,150.00 SF-GOOD-60	 REQUEST FOR QUOTATION (53.1 Two Failed Biddings)       </t>
  </si>
  <si>
    <t xml:space="preserve"> 30 ea UHF Frequency Display Unit &amp; 13 L/I</t>
  </si>
  <si>
    <t xml:space="preserve"> Republic of the Philippines						OCA		 		Government of Ormoc City						P.R. No.:  	202001	 		BIDS AND AWARDS COMMITTEE						Quotation No.: 	204739-6290	 		Ormoc City						PhilGEPs No.: 		 										 Standard Form Title:			REQUEST FOR QUOTATION							 				</t>
  </si>
  <si>
    <t xml:space="preserve"> P.R. No. X11-20-06-253 - Supply and Delivery for the repair and Maintenance of Mitsubishi Montero, H1-7092 (100804/LMR-504) assigned at EMD. (Please see attached RFQ)</t>
  </si>
  <si>
    <t xml:space="preserve"> Republic of the Philippines						CMO		 		Government of Ormoc City						P.R. No.:  	202170	 		BIDS AND AWARDS COMMITTEE						Quotation No.: 	204735-6288	 		Ormoc City						PhilGEPs No.: 		 										 Standard Form Title:			REQUEST FOR QUOTATION							 				</t>
  </si>
  <si>
    <t xml:space="preserve"> Supply &amp; Delivery of		 Office curtains (cloth)	1	set *velance type		 *Transparent lining droppery</t>
  </si>
  <si>
    <t xml:space="preserve"> Please quote your lowest price on the item/s listed below, subject to the  General Conditions on this page, stating the shortest time of delivery and  submit your quotation duly signed by your representative not later than ten  (10) days upon receipt of t</t>
  </si>
  <si>
    <t xml:space="preserve"> (1) unit Sonic Wall License Renewal *NSA 2600 Total Secure for one (1) year renewal *Warranty   - Hardware warranty: Firmware and technical assistance coverage based is inclusive of one (1) year hardware and software warranty, software upgrades and techni</t>
  </si>
  <si>
    <t xml:space="preserve"> Standard Form No. 60						 Revised on May 24, 2004						 REQUEST FOR QUOTATION						 Provincial Government of Romblon						 						 				Date:        August 03, 2020		 				Quotation No.:    756		 						 To Our Valued Suppliers:						 						 	Please quote yo</t>
  </si>
  <si>
    <t xml:space="preserve"> Republic of the Philippines						CHO		 		Government of Ormoc City						P.R. No.:  	202141	 		BIDS AND AWARDS COMMITTEE						Quotation No.: 	204725-6283	 		Ormoc City						PhilGEPs No.: 		 										 Standard Form Title:			REQUEST FOR QUOTATION							 				</t>
  </si>
  <si>
    <t xml:space="preserve"> Procurement of Learners Material for the Reproduction of Learners' Module for the use of Southville IV National High School. The following items are needed for the reproduction of modules: a. Multipurpose paper, 70 gsm, A4 size; 1,514 reams b. Ink,risogra</t>
  </si>
  <si>
    <t xml:space="preserve"> CITY GOVERNMENT OF ZAMBOANGA		Purchase Request No.:	100-20-06-1255/June 23, 2020 Bids and Awards Committee  Villalobos St., Zamboanga City		Office of the:	CGSO-STOCKS 		Amount:	P 794,440.00 SF-GOOD-60	 REQUEST FOR QUOTATION (53.9 Small Value Procurement) </t>
  </si>
  <si>
    <t xml:space="preserve"> Republic of the Philippines						ORWASA		 		Government of Ormoc City						P.R. No.:  	201898	 		BIDS AND AWARDS COMMITTEE						Quotation No.: 	204729-6285	 		Ormoc City						PhilGEPs No.: 		 										 Standard Form Title:			REQUEST FOR QUOTATION							 	</t>
  </si>
  <si>
    <t xml:space="preserve"> Please quote your lowest price on the items listed below, subject to the General Conditions, stating the shortest time of delivery and submit your quotation duly signed by your representative.		 		 Instructions:		 a)  Official copy of the Request for Quot</t>
  </si>
  <si>
    <t xml:space="preserve"> 1.	The Municipality of Esperanza, intends to apply the sum of Two Million Pesos (Php2,000,000.00) being the Approved Budget for the Contract (ABC) to payments under the contract for Supply and Delivery of Pick Up Vehicle use for Vice Mayor’s Office / Cont</t>
  </si>
  <si>
    <t xml:space="preserve"> CITY GOVERNMENT OF ZAMBOANGA		Purchase Request No.:	100-20-06-1305/June 29, 2020 Bids and Awards Committee  Villalobos St., Zamboanga City		Office of the:	CGSO-STOCKS 		Amount:	P 650,343.00 SF-GOOD-60	 REQUEST FOR QUOTATION (53.9 Small Value Procurement) </t>
  </si>
  <si>
    <t xml:space="preserve"> Republic of the Philippines						CASO		 		Government of Ormoc City						P.R. No.:  	202115	 		BIDS AND AWARDS COMMITTEE						Quotation No.: 	204715-6278	 		Ormoc City						PhilGEPs No.: 		 										 Standard Form Title:			REQUEST FOR QUOTATION							 			</t>
  </si>
  <si>
    <t xml:space="preserve"> 10 bx Anti-Virus 3 in 1 &amp; 10 L/I</t>
  </si>
  <si>
    <t xml:space="preserve"> 14 UNITS OF 4G-LTE Mobile Global Network Walkie - Talkie																																													 • 1.77" Color Screen																																													 • Battery Capacity: 5000maH																																													 • GPS Accurate</t>
  </si>
  <si>
    <t xml:space="preserve"> CITY GOVERNMENT OF ZAMBOANGA		Purchase Request No.:	100-20-02-0574/February 20, 2020 Bids and Awards Committee  Villalobos St., Zamboanga City		Office of the:	CGSO-STOCKS 		Amount:	P 230,032.00 SF-GOOD-60 REQUEST FOR QUOTATION (53.9 Small Value Procuremen</t>
  </si>
  <si>
    <t xml:space="preserve"> CITY GOVERNMENT OF ZAMBOANGA		Purchase Request No.:	100-20-06-1199/June 16, 2020 Bids and Awards Committee  Villalobos St., Zamboanga City		Office of the:	CMO 		Amount:	P 120,000.00 SF-GOOD-60	 REQUEST FOR QUOTATION (53.9 Small Value Procurement)         </t>
  </si>
  <si>
    <t xml:space="preserve"> PURCHASE OF MONOBLOC TABLE &amp; CHAIR &amp; CURTAINS, COOP, CALBAYOG CITY</t>
  </si>
  <si>
    <t xml:space="preserve"> Standard Form No. 60						 Revised on May 24, 2004						 REQUEST FOR QUOTATION						 Provincial Government of Romblon						 						 				Date:        August 03, 2020		 				Quotation No.:    757		 						 To Our Valued Suppliers:						 						 	Please quote yo</t>
  </si>
  <si>
    <t xml:space="preserve"> Republic of the Philippines						CHO		 		Government of Ormoc City						P.R. No.:  	201962	 		BIDS AND AWARDS COMMITTEE						Quotation No.: 	204721-6281	 		Ormoc City						PhilGEPs No.: 		 										 Standard Form Title:			REQUEST FOR QUOTATION							 				</t>
  </si>
  <si>
    <t xml:space="preserve"> Republic of the Philippines						SLAUGHTER		 		Government of Ormoc City						P.R. No.:  	202067	 		BIDS AND AWARDS COMMITTEE						Quotation No.: 	204731-6286	 		Ormoc City						PhilGEPs No.: 		 										 Standard Form Title:			REQUEST FOR QUOTATION						</t>
  </si>
  <si>
    <t xml:space="preserve"> PURCHASE OF AIRCON, COOP, CALBAYOG CITY</t>
  </si>
  <si>
    <t xml:space="preserve"> Organic compost fertilizer  -  51 bags Triple 14  -  35 bags Muriate of potash  -  5 bags Insecticide (carbaryl) - 5 kgs. Insecticde (cartap)  -  8 boxes Insecticide (pymetrozine)  -  7 boxes Fungicide (mancozeb)  -  7 kgs. Sticker Spreader  - 5 liters Ma</t>
  </si>
  <si>
    <t xml:space="preserve"> CITY GOVERNMENT OF ZAMBOANGA		Purchase Request No.:	100-20-01-0256/January 17, 2020 Bids and Awards Committee  Villalobos St., Zamboanga City		Office of the:	CMO 		Amount:	P 6,933,600.00 SF-GOOD-60	 REQUEST FOR QUOTATION (53.1 Two Failed Biddings)        </t>
  </si>
  <si>
    <t xml:space="preserve"> Republic of the Philippines						VET		 		Government of Ormoc City						P.R. No.:  	202123	 		BIDS AND AWARDS COMMITTEE						Quotation No.: 	204717-6279	 		Ormoc City						PhilGEPs No.: 		 										 Standard Form Title:			REQUEST FOR QUOTATION							 				</t>
  </si>
  <si>
    <t xml:space="preserve"> Republic of the Philippines						CASO		 		Government of Ormoc City						P.R. No.:  	202106	 		BIDS AND AWARDS COMMITTEE						Quotation No.: 	204707-6274	 		Ormoc City						PhilGEPs No.: 		 										 Standard Form Title:			REQUEST FOR QUOTATION							 			</t>
  </si>
  <si>
    <t xml:space="preserve"> NEGOTIATED PROCUREMENT The Municipal Government of Laoac, Pangasinan through its Bids and Awards Committee (BAC), invites suppliers/ manufacturers/distributors/contractors to bid for the hereunder contract/s: Name of Project	: PROCUREMENT OF FARM INPUTS F</t>
  </si>
  <si>
    <t xml:space="preserve"> Procurement of 2 Unit Desktop Computer &amp; 1 LI</t>
  </si>
  <si>
    <t xml:space="preserve"> Republic of the Philippines						CASO		 		Government of Ormoc City						P.R. No.:  	202113	 		BIDS AND AWARDS COMMITTEE						Quotation No.: 	204711-6276	 		Ormoc City						PhilGEPs No.: 		 										 Standard Form Title:			REQUEST FOR QUOTATION							 			</t>
  </si>
  <si>
    <t xml:space="preserve"> ITEM	QTY.	UNIT		ARTICLE AND DESCRIPTION				CEILING 					UNIT PRICE		TOTAL  								PRICE							 				Office: Manila City Library				PR No. 414							 				Charge to: Information &amp; Communication Technology				OBR No. 100-2002-01212							 				Equipment (Capi</t>
  </si>
  <si>
    <t xml:space="preserve"> CITY GOVERNMENT OF ZAMBOANGA		Purchase Request No.:	100-20-03-1171/June 10, 2020 Bids and Awards Committee  Villalobos St., Zamboanga City		Office of the:	CGSO-OSSP 		Amount:	P 155,000.00 SF-GOOD-60	 REQUEST FOR QUOTATION (53.9 Small Value Procurement)   </t>
  </si>
  <si>
    <t xml:space="preserve"> PLS. SEE ATTACHED DOCUMENTS</t>
  </si>
  <si>
    <t xml:space="preserve"> see attached bidding documents</t>
  </si>
  <si>
    <t xml:space="preserve"> Republic of the Philippines						CMO		 		Government of Ormoc City						P.R. No.:  	202169	 		BIDS AND AWARDS COMMITTEE						Quotation No.: 	204705-6273	 		Ormoc City						PhilGEPs No.: 		 										 Standard Form Title:			REQUEST FOR QUOTATION							 				</t>
  </si>
  <si>
    <t xml:space="preserve"> CITY GOVERNMENT OF ZAMBOANGA		Purchase Request No.:	100-20-06-1254/June 23, 2020 Bids and Awards Committee  Villalobos St., Zamboanga City		Office of the:	CGSO-STOCKS 		Amount:	P 304,337.00 SF-GOOD-60	 REQUEST FOR QUOTATION (53.9 Small Value Procurement) </t>
  </si>
  <si>
    <t xml:space="preserve"> Procurement of 15 pcs Brake Hub bearing &amp; 10 LI</t>
  </si>
  <si>
    <t xml:space="preserve"> CITY GOVERNMENT OF ZAMBOANGA		Purchase Request No.:	100-19-04-1170/April 26, 2019 Bids and Awards Committee  Villalobos St., Zamboanga City		Office of the:	CGSO-CITY ASSESSOR 		Amount:	P 207,000.00 SF-GOOD-60	 REQUEST FOR QUOTATION (53.9 Small Value Procu</t>
  </si>
  <si>
    <t xml:space="preserve"> 130        POLES     BAMBOO   24        PCS         GALVANIZED CORRUGATED ROOFING SHEET    6         PCS         RIDGE ROLL    1         ROLL       ROPE #24    2         PCS         TRAPAL (TARPAULIN) (20FT X 20FT)</t>
  </si>
  <si>
    <t xml:space="preserve"> Republic of the Philippines						CMO		 		Government of Ormoc City						P.R. No.:  	202165	 		BIDS AND AWARDS COMMITTEE						Quotation No.: 	204703-6272	 		Ormoc City						PhilGEPs No.: 		 										 Standard Form Title:			REQUEST FOR QUOTATION							 				</t>
  </si>
  <si>
    <t xml:space="preserve"> Procurement of 80 Ea Monoblock chair &amp; 14 LI</t>
  </si>
  <si>
    <t xml:space="preserve"> CITY GOVERNMENT OF ZAMBOANGA		Purchase Request No.:	100-19-10-2857/October 9,  2019 Bids and Awards Committee  Villalobos St., Zamboanga City		Office of the:	CGSO-CBO 		Amount:	P 650,000.00 SF-GOOD-60 REQUEST FOR QUOTATION (53.9 Small Value Procurement) 	</t>
  </si>
  <si>
    <t xml:space="preserve"> 1.	The Local Government Unit of Las Nieves, through the Budget for the Contract Approved by the Sanggunian intends to apply the sum of one hundred ninety seven thousand three hundred and forty seven pesos only (Php 197,347.00) for Lot 1 and twelve thousan</t>
  </si>
  <si>
    <t xml:space="preserve"> 500     PAIRS     WORKING GLOVES, COTTON 5,000     PCS        GARBAGE BAG, LARGE SIZE 8,000     PCS        GARBAGE BAG, SMALL SIZE</t>
  </si>
  <si>
    <t xml:space="preserve"> 103(1)A STRUCTURE EXCAVATION 178.56 CU.M 506 STONE MASONRY 99.58 CU.M 104(1) EMBANKMENT 48 CU.M B.5 PROJECT BILLBOARD 1 EACH</t>
  </si>
  <si>
    <t xml:space="preserve"> Supply and Delivery of Surveillance Equipment for Mayor’s Office</t>
  </si>
  <si>
    <t xml:space="preserve"> 100(3)A INDIVIDUAL REMOVAL OF TREES 10 EACH 102(2)B SURPLUS COMMON EXCAVATION 1,312.50 CU.M 104(1)A EMBANKMENT 544.50 CU.M 300(1) GRAVEL SURFACE COURSE (UNCRUSHED) 445.20 CU.M B.9 MOBILIZATION/DEMOBILIZATION 1 LUMPSUM B.5 PROJECT BILLBOARD/SIGN BOARD 1 EA</t>
  </si>
  <si>
    <t xml:space="preserve"> Republic of the Philippines						CASO		 		Government of Ormoc City						P.R. No.:  	202118	 		BIDS AND AWARDS COMMITTEE						Quotation No.: 	204713-6277	 		Ormoc City						PhilGEPs No.: 		 										 Standard Form Title:			REQUEST FOR QUOTATION							 			</t>
  </si>
  <si>
    <t xml:space="preserve"> Invitation to Bid  1.	The CITY GOVERNMENT OF CAUAYAN CITY, ISABELA through the LBP LOAN intends to apply the sum of NINETEEN MILLION NINE HUNDRED NINETY NINE THOUSAND ONE HUNDRED EIGHTY FOUR PESOS AND FIFTY EIGHT CENTAVOS (Php19,999,184.58)  being the App</t>
  </si>
  <si>
    <t xml:space="preserve"> Republic of the Philippines						CASO		 		Government of Ormoc City						P.R. No.:  	202029	 		BIDS AND AWARDS COMMITTEE						Quotation No.: 	204701-6271	 		Ormoc City						PhilGEPs No.: 		 										 Standard Form Title:			REQUEST FOR QUOTATION							 			</t>
  </si>
  <si>
    <t xml:space="preserve"> [LOCAL GOVERNMENT UNIT-VINCENZO SAGUN] INVITATION TO BID FOR PROCUREMENT OF FOOD STUFF (SUPPLEMENTARY FEEDING) 1.	The Local Government Unit-Vincenzo Sagun, through the Trust Fund 2020  intends to apply the sum of Eight Hundred Ten Thousand Eight Hundred F</t>
  </si>
  <si>
    <t xml:space="preserve"> Procurement of 1 Lot Meals &amp; Snacks</t>
  </si>
  <si>
    <t xml:space="preserve"> Procurement of 60 pcs G.I Sheet Cor. # 26x12ft |&amp; 11 LI</t>
  </si>
  <si>
    <t xml:space="preserve"> Republic of the Philippines PROVINCE OF SOUTHERN LEYTE Municipality of San Juan BIDS AND AWARD COMMITTEE INVITATION TO BID FOR  Supply and Delivery of One (1) Motor Vehicle (Brand New) Passenger Van -15 Seater The Municipality of San Juan through the Gene</t>
  </si>
  <si>
    <t xml:space="preserve"> Procurement of 1,570 Bd ft 2X2X12 Good Lumber &amp; 26 LI</t>
  </si>
  <si>
    <t xml:space="preserve"> REPRESENTATION EXPENSE</t>
  </si>
  <si>
    <t xml:space="preserve"> Republic of the Philippines						PERMITS		 		Government of Ormoc City						P.R. No.:  	201577	 		BIDS AND AWARDS COMMITTEE						Quotation No.: 	204559-6200	 		Ormoc City						PhilGEPs No.: 		 										 Standard Form Title:			REQUEST FOR QUOTATION							 </t>
  </si>
  <si>
    <t xml:space="preserve"> office supply</t>
  </si>
  <si>
    <t xml:space="preserve"> Republic of the Philippines						OTESD		 		Government of Ormoc City						P.R. No.:  	202101	 		BIDS AND AWARDS COMMITTEE						Quotation No.: 	204733-6287	 		Ormoc City						PhilGEPs No.: 		 										 Standard Form Title:			REQUEST FOR QUOTATION							 		</t>
  </si>
  <si>
    <t xml:space="preserve"> Procurement of 3 pc Paint brush 5 inch &amp; 14 LI</t>
  </si>
  <si>
    <t xml:space="preserve"> BARANGAY GOVERNMENT OF NABAG-O City of Valencia INVITATION TO BID FOR  SUPPLY AND DELIVERY OF 12 UNITS BRAND NEW COMMUNICATION EQUIPMENT  1.	The BARANGAY GOVERNMENT OF NABAG-O, through the 2020 Supplemental Budget 02  intends to apply the sum of One hundr</t>
  </si>
  <si>
    <t xml:space="preserve"> DESCRIPTION	UNIT	QUANTITY PART II (A)	FACILITIES FOR THE ENGINEER		 A.1.1(11)	PROVISION OF FURNITURES/FIXTURES, EQUIPMENT &amp; APPLIANCES FOR THE FIELD OFFICE FOR THE ENGINEER 	L.S.	1.00 PART II (B)	OTHER GENERAL REQUIREMENTS		 B.3	PERMITS &amp; CLEARANCES	L.S.	</t>
  </si>
  <si>
    <t xml:space="preserve"> DESCRIPTION	UNIT	QUANTITY PART A	FACILITIES FOR THE ENGINEER		 A.1.1(10)	PROVISION OF LIVING QUARTER FOR THE ENGINEER (RENTAL BASIS)	MOS	5.43 PART B	OTHER GENERAL REQUIREMENTS		 B.4(1)	CONSTRUCTION SURVEY &amp; STAKING	KM.	1.41 B.5	PROJECT BILLBOARD	EACH	4.00</t>
  </si>
  <si>
    <t xml:space="preserve"> Republic of the Philippines						SP		 		Government of Ormoc City						P.R. No.:  	202132	 		BIDS AND AWARDS COMMITTEE						Quotation No.: 	204697-6269	 		Ormoc City						PhilGEPs No.: 		 										 Standard Form Title:			REQUEST FOR QUOTATION							 					</t>
  </si>
  <si>
    <t xml:space="preserve"> CONSULTANCY SERVICES FOR THE ASSESSMENT AND CAPACITY-BUILDING TO ADDRESS THE NON-REVENUE WATER (NRW) OF SANTIAGO WATER DISTRICT (SANWAD) - 1 LOT CONDITIONS: 1. Bids received in excess of the Approved Budget for the Contract (ABC) shall be automatically re</t>
  </si>
  <si>
    <t xml:space="preserve"> OTHER SUPPLIES &amp; MATERIAL EXP</t>
  </si>
  <si>
    <t xml:space="preserve"> 100 set Telephone Set &amp; 9 L/I</t>
  </si>
  <si>
    <t xml:space="preserve"> Republic of the Philippines Province of Misamis Occidental MUNICIPALITY OF DON VICTORIANO INVITATION TO SUBMIT QUOTATION FOR IMPROVEMENT OF PUBLIC BUILDING 1.The Local Government Unit of Don Victoriano, Misamis Occidental, through its Bids and Award Commi</t>
  </si>
  <si>
    <t xml:space="preserve"> Procurement of 12 pcs Filing Cabinet &amp; 1 LI</t>
  </si>
  <si>
    <t xml:space="preserve"> 51 pk Biscuit, 10s &amp; 10 L/I</t>
  </si>
  <si>
    <t xml:space="preserve"> SUPPLY OF 1,500 PCS. FACEMASK under PR No. GSD-2007-083 and ITB No. 2007-045-12 Please quote your lowest price on the item/s listed below, subject to the Terms and Conditions set forth hereunder, stating among others the shortest time of delivery and subm</t>
  </si>
  <si>
    <t xml:space="preserve"> Please submit your quotation for the following items on or before 5:00PM on Aug 10, 2020. ITEM D E S C R I P T I O N                                                 QTY. UNIT  1 Jewelry, Bracelet, Gold (Men) (18Karat, 8 - 8.62 grams)      2     pc 2 Jewel</t>
  </si>
  <si>
    <t xml:space="preserve"> 142 ea Prepaid Load Card, 500</t>
  </si>
  <si>
    <t xml:space="preserve"> 6 bx Acetate,, Film A4 &amp; 63 L/I</t>
  </si>
  <si>
    <t xml:space="preserve"> Republic of the Philippines Province of Davao de Oro BIDS AND AWARDS COMMITTE Cabidianan, Nabunturan, Davao de Oro ITB No. 20-029 July 30, 2020 INVITATION TO BID  FOR  THE Procurement of various medical supplies 1.	The Provincial Government of Davao de Or</t>
  </si>
  <si>
    <t xml:space="preserve"> Please submit your quotation for the following items on or before 5:00PM on Aug 10, 2020. ITEM D E S C R I P T I O N                                                      QTY. UNIT  1 Jewelry, Necklace, Gold (Men) (18Karat, 10 - 10.35 grams)      3      pc</t>
  </si>
  <si>
    <t xml:space="preserve"> Invitation to Bid  1.	The CITY GOVERNMENT OF CAUAYAN CITY, ISABELA through the LBP LOAN intends to apply the sum of FIVE MILLION FIVE HUNDRED SIXTY NINE THOUSAND FIVE HUNDRED SEVENTY TWO PESOS AND SEVENTY CENTAVOS (Php5,569,572.70)  being the Approved Bud</t>
  </si>
  <si>
    <t xml:space="preserve"> 1 unit floor mounted aircon</t>
  </si>
  <si>
    <t xml:space="preserve"> Republic of the Philippines Province of Davao de Oro BIDS AND AWARDS COMMITTEE Cabidianan, Nabunturan, Davao de Oro ITB No. 20-028 July 29, 2020 INVITATION TO BID  FOR  THE Procurement of Publication of 18 pages ordinance 1.	The Provincial Government of D</t>
  </si>
  <si>
    <t xml:space="preserve"> Invitation to Bid  1.	The CITY GOVERNMENT OF CAUAYAN CITY, ISABELA through the LBP LOAN intends to apply the sum of TWO MILLION SIX HUNDRED FIFTY FIVE THOUSAND SEVEN HUNDRED TWO PESOS AND TWENTY CENTAVOS (Php2,655,702.20)  being the Approved Budget for th</t>
  </si>
  <si>
    <t xml:space="preserve"> 1 pcs Florence Flask &amp; 14 L/I</t>
  </si>
  <si>
    <t xml:space="preserve"> Procurement of 52 Pcs White Board Marker &amp; 24 LI</t>
  </si>
  <si>
    <t xml:space="preserve"> Republic of the Philippines Province of Davao de Oro BIDS AND AWARDS COMMITTEE Cabidianan, Nabunturan, Davao de Oro ITB No. 20-028 July 29, 2020 INVITATION TO BID  FOR  THE Procurement of construction materials 1.	The Provincial Government of Davao de Oro</t>
  </si>
  <si>
    <t xml:space="preserve"> Various vegetables &amp; condiments</t>
  </si>
  <si>
    <t xml:space="preserve"> Procurement of 16 Ea Fuel Filter &amp; 6 LI</t>
  </si>
  <si>
    <t xml:space="preserve"> 1 Unit photocopier machine</t>
  </si>
  <si>
    <t xml:space="preserve"> 1 UNIT Shrink Wrapping Machine Supply Delivery and Installation of Shrink Wrapping Machine: Maximum seal: 15.5” X 9.5” X 7.5” Power: 220V, 60 Hz Power Usage: 1.8 -2.0 Kw Warranty: 1 Year for parts and services</t>
  </si>
  <si>
    <t xml:space="preserve"> Surgical Mask &amp; Gloves</t>
  </si>
  <si>
    <t xml:space="preserve"> Invitation to Bid  1.	The CITY GOVERNMENT OF CAUAYAN CITY, ISABELA through the LBP LOAN intends to apply the sum of THREE MILLION FIVE HUNDRED EIGHTY THREE THOUSAND TWO HUNDRED NINETY TWO PESOS AND SEVENTY CENTAVOS (Php3,583,292.70)  being the Approved Bu</t>
  </si>
  <si>
    <t xml:space="preserve"> Procurement of 700 pcs Juice in Can &amp; 6 LI</t>
  </si>
  <si>
    <t xml:space="preserve"> Procurement of 3 Ea Mother Board &amp; 4 LI</t>
  </si>
  <si>
    <t xml:space="preserve"> Republic of the Philippines Department of Education REGION V SCHOOLS DIVISION OF SORSOGON CITY Office of the Schools Division Superintendent Division Bids and Awards Committee INVITATION TO BID    PROCUREMENT OF MATERIALS &amp; SUPPLIES FOR THE  IN HOUSE REPR</t>
  </si>
  <si>
    <t xml:space="preserve"> Procurement of 700 cans Juice in can (Orange) &amp; 7 LI</t>
  </si>
  <si>
    <t xml:space="preserve"> The Department of Agriculture-RFO 3, invites interested suppliers to submit quotations/proposals for the hereunder requirement, to wit: ITEM NO.	QTY.	UNIT	ITEMS &amp; DESCRIPTION		UNIT PRICE	TOTAL AMOUNT	BRAND/MODEL 							 			JANITORIAL SUPPLIES				 	10	bott</t>
  </si>
  <si>
    <t xml:space="preserve"> Procurement of 37 Packs Cheese cake 12's &amp; 10 LI</t>
  </si>
  <si>
    <t xml:space="preserve"> Procurement of Oil Filter (M35) &amp; 16 LI</t>
  </si>
  <si>
    <t xml:space="preserve"> The Department of Agriculture-RFO 3, invites interested suppliers to submit quotations/proposals for the hereunder requirement, to wit: 		MEALS AND SNACKS	 			 85	pax	AM SNACKS	 		Arrozcaldo, pandesal, water/coffee/buko juice	 85	pax	LUNCH	 		Rice, bistig</t>
  </si>
  <si>
    <t xml:space="preserve"> INVITATION TO BID ITB NO. 2020-07-0224 The Procuring Entity through its Bids and Awards Committee (BAC), invites eligible Construction suppliers to apply for eligibility and to bid for the hereunder project: Name of Project: Supply and Delivery of Supplie</t>
  </si>
  <si>
    <t xml:space="preserve"> Procurement of 40 Bags Cement &amp; 8 LI</t>
  </si>
  <si>
    <t xml:space="preserve"> Rapid Test Kit</t>
  </si>
  <si>
    <t xml:space="preserve"> For the use of City Engineering Office. 5 roll electrical tape (big) 2 pcs. non-self lock push button switch with LED light 2 pcs. mini metal motor siren 100DB industrial alarm 1 roll 16 GA AWG tinned oxygen free copper (OFC) duplex wire 16/2, 100ft 35 pc</t>
  </si>
  <si>
    <t xml:space="preserve"> Invitation to Bid  1.	The CITY GOVERNMENT OF CAUAYAN CITY, ISABELA through the LBP LOAN intends to apply the sum of FOUR MILLION FOUR HUNDRED FIFTY FOUR THOUSAND TWENTY PESOS AND FIFTY EIGHT CENTAVOS (Php4,454,020.58)  being the Approved Budget for the Co</t>
  </si>
  <si>
    <t xml:space="preserve"> Invitation to Bid  1.	The CITY GOVERNMENT OF CAUAYAN CITY, ISABELA through the LBP LOAN intends to apply the sum of TWO MILLION THREE HUNDRED NINETY SEVEN THOUSAND EIGHT HUNDRED ONE PESOS AND FORTY EIGHT CENTAVOS (Php2,397,801.48)  being the Approved Budg</t>
  </si>
  <si>
    <t xml:space="preserve"> Supply and Delivery of ONE (1) UNIT BACKHOE</t>
  </si>
  <si>
    <t xml:space="preserve"> Procurement of 9 kgs Common Nails #4 &amp; 14 LI</t>
  </si>
  <si>
    <t xml:space="preserve"> Invitation to Bid  1.	The CITY GOVERNMENT OF CAUAYAN CITY, ISABELA through the LBP LOAN intends to apply the sum of SEVENTEEN MILLION THREE HUNDRED ELEVEN THOUSAND THREE HUNDRED SIXTY TWO PESOS AND TWENTY ONE CENTAVOS (Php17,311,362.21) being the Approved</t>
  </si>
  <si>
    <t xml:space="preserve"> INVITATION FOR NEGOTIATED PROCUREMENT Improvement of Existing Rock Causeway, Port of San Roque, Daram, Samar  (PPA-DOTr-7100-P1000-20401010B) Approved Budget for the Contract: Php. 9,230,982.40 1.	In view of the two (2) failed public bidding, the Philippi</t>
  </si>
  <si>
    <t xml:space="preserve"> The Municipal Government of Atok, Benguet now invites bids for CONSTRUCTION OF WATER SUPPLY AT BAHONG AND MARAGEM IN BARANGAY PASDONG, ATOK, BENGUET with the following Scope of Works: 1.	EXCAVATION WORKS; 2.	CONSTRUCTION OF INTAKE TANKS AND DISTRIBUTION T</t>
  </si>
  <si>
    <t xml:space="preserve"> Invitation to Bid  1.	The CITY GOVERNMENT OF CAUAYAN CITY, ISABELA through the LBP LOAN intends to apply the sum of ONE MILLION NINE HUNDRED FORTY FIVE THOUSAND NINE HUNDRED FORTY FIVE PESOS AND THIRTEEN CENTAVOS (Php1,945,945.13) being the Approved Budge</t>
  </si>
  <si>
    <t xml:space="preserve"> The Municipal Government of Atok, Benguet now invites bids for CONSTRUCTION OF WATER SUPPLY AT BOKIG AND PITDAO IN BARANGAY PASDONG, ATOK, BENGUET with the following Scope of Works: 1.	EXCAVATION WORKS; 2.	CONSTRUCTION OF INTAKE TANKS AND DISTRIBUTION TAN</t>
  </si>
  <si>
    <t xml:space="preserve"> REPUBLIC OF THE PHILIPPINES PROVINCE OF CEBU MUNICIPALITY OF PINAMUNGAJAN Invitation to Bid for : LIGHTING OF THE MUNICIPAL PUBLIC MARKET 					(at Brgy. Poblacion) 	 1. The MUNICIPALITY OF PINAMUNGAJAN, through the GENERAL FUND  intends to apply the sum o</t>
  </si>
  <si>
    <t xml:space="preserve"> Invitation to Bid  1.	The CITY GOVERNMENT OF CAUAYAN CITY, ISABELA through the LBP LOAN intends to apply the sum of FOUR MILLION FIVE HUNDRED FOUR THOUSAND THREE HUNDRED SIXTEEN PESOS AND ONE CENTAVO (Php4,504,316.01) being the Approved Budget for the Con</t>
  </si>
  <si>
    <t xml:space="preserve"> The Municipal Government of Atok, Benguet now invites bids for REHABILITATION OF WATER SUPPLY AT BONENG IN BARANGAY NAGUEY, ATOK, BENGUET with the following Scope of Works: 1.	EXCAVATION WORKS; 2.	CONSTRUCTION OF INTAKE TANKS AND DISTRIBUTION TANKS; 3.	CO</t>
  </si>
  <si>
    <t xml:space="preserve"> REPUBLIC OF THE PHILIPPINES Province of CEBU MUNICIPALITY OF PINAMUNGAJAN          INVITATION TO BID FOR : 	 FABRICATION AND INSTALLATIONOF 8 PAIRS BASKETBALL GOALS, BOARDS &amp; RINGS                                           		 1.	The MUNICIPALITY OF PINAMU</t>
  </si>
  <si>
    <t xml:space="preserve"> Contract ID No. 20CSNC0005 - Cluster 5 - Consulting Services for the Conduct of Soil Exploration and/or Geotechnical Investigation in the preparation for the Preliminary Engineering Design of various FY 2021 Infrastructure Projects, Rosario, Bunawan, Tren</t>
  </si>
  <si>
    <t xml:space="preserve"> Contract ID No. 20CSNC0004 - Cluster 4 - Consulting Services for the Conduct of Soil Exploration and/or Geotechnical Investigation in the preparation for the Preliminary Engineering Design of various FY 2021 Infrastructure Projects, San Francisco, Agusan </t>
  </si>
  <si>
    <t xml:space="preserve"> Standard Form No. 60						 Revised on May 24, 2004						 REQUEST FOR QUOTATION						 Provincial Government of Romblon						 						 				Date:        August 03, 2020		 				Quotation No.:    801		 						 To Our Valued Suppliers:						 						 	Please quote yo</t>
  </si>
  <si>
    <t xml:space="preserve"> ITEM NO.	ITEM &amp; DESCRIPTION	 BRAND	UOM	QTY. 	Solid Waste Management Program			 	Fuel, Oil and Lubricants Exp.			 1	Diesel		Liters	125,000</t>
  </si>
  <si>
    <t xml:space="preserve"> ITEM NO.	ITEM &amp; DESCRIPTION	 BRAND	UOM	QTY. Lot 1- Supply and Delivery of Diesel for Roxas City PNP 1	Diesel		Liters	2,750 				 				                                                                                                                           </t>
  </si>
  <si>
    <t xml:space="preserve"> Invitation to Bid  1.	The CITY GOVERNMENT OF CAUAYAN CITY, ISABELA through the LBP LOAN intends to apply the sum of THREE MILLION EIGHT HUNDRED SEVENTY FIVE THOUSAND SIX HUNDRED FIFTY SIX PESOS AND THIRTY FIVE CENTAVOS (Php3,875,656.35)  being the Approve</t>
  </si>
  <si>
    <t xml:space="preserve"> The National Food Authority (NFA) Regional Office V, through its Infrastructure and PHF Machineries Capital Outlay Budget with ASA No. 2020-COF-TRSD-V-Masbate-009 intends to apply the sum of PESOS: ONE MILLION SEVEN HUNDRED FIFTEEN THOUSAND SEVEN HUNDRED </t>
  </si>
  <si>
    <t xml:space="preserve"> Invitation to Bid  1.	The CITY GOVERNMENT OF CAUAYAN CITY, ISABELA through the LBP LOAN intends to apply the sum of FOUR MILLION SIX HUNDRED NINETY FOUR THOUSAND NINE HUNDRED TWENTY EIGHT PESOS AND TEN CENTAVOS (Php4,694,928.10) being the Approved Budget </t>
  </si>
  <si>
    <t xml:space="preserve"> Contract ID No. 20CSNC0006 - Cluster 6 - Consulting Services for the Conduct of Soil Exploration and/or Geotechnical Investigation in the preparation for the Preliminary Engineering Design of various FY 2021 Infrastructure Projects, San Francisco and Buna</t>
  </si>
  <si>
    <t xml:space="preserve"> Repair/Improvement of Comfort Rooms @ Niogan Elementary School</t>
  </si>
  <si>
    <t xml:space="preserve"> REQUEST FOR QUOTATION Date: ____________ Name of Dealer: ____________ Address: ____________ GENTLEMEN: Please quote your lowest price and indicate shortest delivery date of articles herein below enumerated and return the same in SEALED ENVELOPE together w</t>
  </si>
  <si>
    <t xml:space="preserve"> Repair/Improvement of Portion of Road  L = 60.m W = 2.0m T = 0.10m</t>
  </si>
  <si>
    <t xml:space="preserve"> Repair/Improvement  of PNP Barracks</t>
  </si>
  <si>
    <t xml:space="preserve"> 24          PCS           DIVING MASK 23          PCS           DIVING BOOTS                                  (5xxs, 5xs, 5small, 5medium, 5large)                                  (5mm cold proof) 23          PCS           WET SUIT                        </t>
  </si>
  <si>
    <t xml:space="preserve"> Store Name:				 Address:				 "           Please quote you lowest price/s for all item/s as specified on the list below for SILAHIS ELEMENTARY SCHOOL  which are available in your store/establishment/company. If available, please furnish catalogue, descript</t>
  </si>
  <si>
    <t xml:space="preserve"> Repair/Improvement of Principals Office @ Bugarin National High School</t>
  </si>
  <si>
    <t xml:space="preserve"> Contract ID No. 20CSNC0009 - Cluster 9 - Consulting Services for the Conduct of Soil Exploration and/or Geotechnical Investigation in the preparation for the Preliminary Engineering Design of various FY 2021 Infrastructure Projects, Loreto and La Paz, Agu</t>
  </si>
  <si>
    <t xml:space="preserve"> Republic of the Philippines BIDS AND AWARDS COMMITTEE Province of Iloilo Invitation to Bid Purchase of HOUSEKEEPING SUPPLIES Bid No. AGR-20-0906-B 1. The Iloilo Provincial Government, through the GENERAL FUND 2020 intends to apply the sum of  ONE HUNDRED </t>
  </si>
  <si>
    <t xml:space="preserve"> The Municipal Government of Atok, Benguet now invites bids for CONSTRUCTION OF WATER SUPPLY AT BOY-OTAN AND ANDIONGAN IN BARANGAY ABIANG, ATOK, BENGUET with the following Scope of Works: 1.	EXCAVATION WORKS; 2.	CONSTRUCTION OF INTAKE TANKS AND DISTRIBUTIO</t>
  </si>
  <si>
    <t xml:space="preserve"> Republic of the Philippines BIDS AND AWARDS COMMITTEE Province of Iloilo Invitation to Bid Purchase of DIESEL FUEL Bid No. GOV-20-0942-B 1. The Iloilo Provincial Government, through the GENERAL FUND 2020 intends to apply the sum of  ONE MILLION SEVEN HUND</t>
  </si>
  <si>
    <t xml:space="preserve"> REPAIR &amp; MAINTENANCE MOTOR VEHICLE</t>
  </si>
  <si>
    <t xml:space="preserve"> Republic of the Philippines BIDS AND AWARDS COMMITTEE Province of Iloilo Invitation to Bid Purchase of OFFICE SUPPLIES Bid No. AGR-20-0905-B 1. The Iloilo Provincial Government, through the GENERAL FUND 2020 intends to apply the sum of  ONE HUNDRED FIFTY-</t>
  </si>
  <si>
    <t xml:space="preserve"> REQUEST FOR QUOTATION 		 		Place your quotation in sealed envelope			 		(quote for each item only especially under unit cost &amp; total cost)			 Item No. 	Quantity 	Unit	Description of Article	Unit Cost 	Total Cost 	155	pcs.	Advocacy Polo Shirt White with pr</t>
  </si>
  <si>
    <t xml:space="preserve"> Republic of the Philippines BIDS AND AWARDS COMMITTEE Province of Iloilo Invitation to Bid Purchase of OFFICE SUPPLIES Bid No. PPD-20-0901-B 1. The Iloilo Provincial Government, through the GENERAL FUND 2020 intends to apply the sum of  ONE HUNDRED SIXTEE</t>
  </si>
  <si>
    <t xml:space="preserve"> Repair/Improvement of Open-Lined Canal</t>
  </si>
  <si>
    <t xml:space="preserve"> REPUBLIC OF THE PHILIPPINES Province of CEBU MUNICIPALITY OF PINAMUNGAJAN INVITATION TO BID FOR :   PURCHASE OF MEDICINES  1.	The MUNICIPALITY OF PINAMUNGAJAN, through the General Fund intends to apply the sum of ONE MILLION ONE HUNDRED TWENTY FOUR  THOUS</t>
  </si>
  <si>
    <t xml:space="preserve"> 76 bags Portland Cement 9 cu.m. Sand (sariaya) 3 cu.m. Gravel (sariaya) 121 pcs. 10mm RSB x 6m 11 kls. Ga. #16 Tie Wire 7 sheet 1/4" x 4' x 8' Ord. Plywood 30 pcs. 2" x 3" x 12' Cocolumber 30 pcs. 2" x 2" x 12' Cocolumber 13 kls. Asstd. CWN 18 pcs. 1/4" x</t>
  </si>
  <si>
    <t xml:space="preserve"> Contract ID No. 20CSNC0007 - Cluster 7 - Consulting Services for the Conduct of Soil Exploration and/or Geotechnical Investigation in the preparation for the Preliminary Engineering Design of various FY 2021 Infrastructure Projects, Trento and Sta. Josefa</t>
  </si>
  <si>
    <t xml:space="preserve"> The Provincial Government of Laguna through its Bids and Awards Committee (BAC) invites suppliers/manufacturers/distributors/contractors to submit quotations for the hereunder project:  Name of Project	:	Laboratory equipment for LPH-Dr. Jose P. Rizal Memo</t>
  </si>
  <si>
    <t xml:space="preserve"> The Provincial Government of Laguna through its Bids and Awards Committee (BAC) invites suppliers/manufacturers/distributors/contractors to submit quotations for the hereunder project:  Name of Project	:	Materials and other supplies for Laguna Medical Cen</t>
  </si>
  <si>
    <t xml:space="preserve"> For negotiated procurement as per Sec. 53.9 of Revised IRR or small value procurement: The Provincial Government of Laguna through its Bids and Awards Committee (BAC) invites suppliers/manufacturers/distributors/contractors to submit quotations for the he</t>
  </si>
  <si>
    <t xml:space="preserve"> OFFICE SUPPLIES FOR THE 1ST QUARTER OF 2020 TOTAL ABC: PHP 258,535.80 ITEM AND DESCRIPTION/Technical Specifications: alcohol, ethyl, 68%-70%, scented, 500ml		45	bot	 stamp pad ink, purple or violet		9	bot	 note pad, stick on, 2"x3"		30	pad	 note pad, stic</t>
  </si>
  <si>
    <t xml:space="preserve"> The Provincial Government of Laguna through its Bids and Awards Committee (BAC) invites suppliers/manufacturers/distributors/contractors to submit quotations for the hereunder project:  Name of Project	:	Medical supplies for LPH-Bay District Hospital Loca</t>
  </si>
  <si>
    <t xml:space="preserve"> JANITORIAL SUPPLIES FOR THE 1ST QUARTER OF 2020 TOTAL ABC: PHP 51,775.00 ITEM AND DESCRIPTION/Technical Specifications: insecticide, aerosol type, net content 600ml min		16	can air freshener, aerosol, 280ml/150g min		18	can broom, soft (tambo)		6	piece br</t>
  </si>
  <si>
    <t xml:space="preserve"> Republic of the Philippines BIDS AND AWARDS COMMITTEE Province of Iloilo Invitation to Bid Purchase of AGRICULTURAL SEEDS Bid No. AGR-20-0925-B 1. The Iloilo Provincial Government, through the GENERAL FUND 2020 intends to apply the sum of  TWO HUNDRED SEV</t>
  </si>
  <si>
    <t xml:space="preserve"> Contract ID No. 20CSNC0008 - Cluster 8 - Consulting Services for the Conduct of Soil Exploration and/or Geotechnical Investigation in the preparation for the Preliminary Engineering Design of various FY 2021 Infrastructure Projects, Veruela, Agusan del Su</t>
  </si>
  <si>
    <t xml:space="preserve"> COMPUTER SUPPLIES AND SEMI-EXPANDABLE MATERIALS FOR 2ND QUARTER OF 2020 TOTAL ABC: PHP 87,860.00 ITEM AND DESCRIPTION/Technical Specifications: external hard drive, 1TB, 2.5"HDD, USB 3.0		5	piece flash drive, 16 GB capacity		20	piece mouse, optical, USB c</t>
  </si>
  <si>
    <t xml:space="preserve"> CONSTRUCTION OF 85 L.M X 4m X 4m DRAINAGE SYSTEM 95 pcs. CHB 4'' 95 bags Portland cement 12 cu.m washed sand 8 cu.m washed gravel 120 pcs. 10mm dia. X 6.0m RSB 2 pcs. 1/4'' thk. Ord. Plywood 8 pcs. 2''x2''x12' form lumber 2 pcs. Hacksaw Blade  4 Kls. cw n</t>
  </si>
  <si>
    <t xml:space="preserve"> 1. 1 set Injection Pump Assembly 2. 4 pcs Injector for Mahindra</t>
  </si>
  <si>
    <t xml:space="preserve"> The Provincial Government of Laguna through its Bids and Awards Committee (BAC) invites suppliers/manufacturers/distributors/contractors to submit quotations for the hereunder project:  Name of Project	:	Medical supplies for Laguna Medical Center Location</t>
  </si>
  <si>
    <t xml:space="preserve"> The Provincial Government of Laguna through its Bids and Awards Committee (BAC) invites suppliers/manufacturers/distributors/contractors to submit quotations for the hereunder project:  Name of Project	:	Office Equipment, other machinery and equipment for</t>
  </si>
  <si>
    <t xml:space="preserve"> REPUBLIC OF THE PHILIPPINES Province of CEBU MUNICIPALITY OF PINAMUNGAJAN INVITATION TO BID FOR : PROCUREMENT OF ANTI-RABIES VACCINES 1.	The MUNICIPALITY OF PINAMUNGAJAN, through the General Fund intends to apply the sum of NINE HUNDRED NINETY NINE THOUSA</t>
  </si>
  <si>
    <t xml:space="preserve"> Republic of the Philippines BIDS AND AWARDS COMMITTEE Province of Iloilo Invitation to Bid Purchase of AGRICULTURAL SUPPLIES Bid No. AGR-20-0924-B 1. The Iloilo Provincial Government, through the GENERAL FUND 2020 intends to apply the sum of  ONE HUNDRED </t>
  </si>
  <si>
    <t xml:space="preserve"> Republic of the Philippines Province of Iloilo  BIDS AND AWARDS COMMITTEE REQUEST FOR QUOTATION Quotation No.GOV-20-0916-NP (SV) Reference PR No. GOV-20-0916 July 27, 2020 ____________________________ ____________________________ _________________________</t>
  </si>
  <si>
    <t xml:space="preserve"> Republic of the Philippines National Irrigation Administration (PAMBANSANG PANGASIWAAN NG PATUBIG) Regional Office No. 13 CARAGA AGUSAN DEL NORTE SURIGAO DEL NORTE AND DINAGAT ISLANDS Irrigation Management Office Office Address      : Ambago, Butuan  City</t>
  </si>
  <si>
    <t xml:space="preserve"> COMPUTER SUPPLIES AND SEMI-EXPANDABLE MATERIALS FOR THE 1ST QUARTER OF 2020 TOTAL ABC: PHP 113,375.00 ITEM AND DESCRIPTION/Technical Specifications: External hard drive, 1TB, 2.5"HDD, USD 3.0		5	pcs Flash Drive, 16 GB capacity		30	Pcs Mouse, optical, USB </t>
  </si>
  <si>
    <t xml:space="preserve"> see attached</t>
  </si>
  <si>
    <t xml:space="preserve"> Flooring, roofing, walling, ceiling, painting</t>
  </si>
  <si>
    <t xml:space="preserve"> Quantity	Unit	Description of Articles		Unit Price	Total Amount 3	boxes	Ballpen, Red			 3	boxes	Ballpen, Black			 3	boxes	Ballpen, Blue			 3	boxes	Ballpen, Green			 11	Jar	Glue, all purpose, gross weight:200 grams			 3	Pieces	Phils. National Flag			 8	Ream</t>
  </si>
  <si>
    <t xml:space="preserve"> A. Materials 20 Lngths 10 mmx6.0m deff. steel bar         950.00 / roll                       19,000.00 4 cu.m washed Sand &amp; Gravel                     1,200/ cu.m                         4,800.00 2.37 Kgs # 16 Tie wire                               90.00</t>
  </si>
  <si>
    <t xml:space="preserve"> Procurement of Office Equipment</t>
  </si>
  <si>
    <t xml:space="preserve"> Procurement of Waste Management Supplies and Materials</t>
  </si>
  <si>
    <t xml:space="preserve"> Procurement of Office Supplies and Materials</t>
  </si>
  <si>
    <t xml:space="preserve"> COUPON BOND LONG COUPON BOND SHORT EPSON INK BLACK EPSON INK CYAN EPSON INK MAGENTA EPSON INK YELLOW FOLDER LONG FASTENER GLUE SCOTH TAPE</t>
  </si>
  <si>
    <t xml:space="preserve"> Republic of the Philippines Province of Batangas Municipality of San Nicolas Invitation to Bid for Purchase and Installation of Accessories of Rescue Vehicle with plate no. P6 N257 of the Municipality of San Nicolas, Batangas  1.	The MUNICIPALITY OF SAN N</t>
  </si>
  <si>
    <t xml:space="preserve"> Class supplies, Office supplies, Minor repair and COVID 19 response Materials</t>
  </si>
  <si>
    <t xml:space="preserve"> CATERING SERVICE - TABLES AND CHAIRS GOOD FOR 40 PAX - FOOD SERVERS  - 2 MEATS (NO PORK) - 1 VEGETABLE (NO PORK) - RICE - DESSERT - DRINKS NOTE: ALL NEW SUPPLIER ARE REQUIRED TO SUBMIT THE FOLLOWING DOCUMENT. 1. DTI Registration 2. SEC Registration 3. Cur</t>
  </si>
  <si>
    <t xml:space="preserve"> PROCUREMENT OF CONSULTANCY SERVICES FOR THE IMPLEMENTATION OF PROFICIENCY STAGE OF THE PGS WITHIN THE MARINA ORGANIZATION -PLEASE SEE ATTACHED TOR</t>
  </si>
  <si>
    <t xml:space="preserve"> INVITATION TO BID  Supply and Delivery of 15 units Palay Thresher &amp; 15 units Handtractor  with trailer for implementation under 2020 SAAD Program 1.	The Department of Agriculture Regional Field Office No. 5, through the General Appropriations Act (GAA) fo</t>
  </si>
  <si>
    <t xml:space="preserve"> Provincial Government of Romblon						 						 				Date:        August 03, 2020		 				Quotation No.:    796		 						 To Our Valued Suppliers:						 						 	Please quote your lowest price on the items/articles listed below, subject to the General Conditions</t>
  </si>
  <si>
    <t xml:space="preserve"> Description I.	Aggregate Base Course II.	Concrete Works 1. Barangay San Jose, Palo, LEYTE through the bids and awards comm.) invites suppliers, distributors of construction materials for the project: Proposed Construction of Concrete Walkway 2. The bids a</t>
  </si>
  <si>
    <t xml:space="preserve"> Republic of the Philippines Province of Misamis Oriental MUNICIPALITY OF KINOGUITAN BIDS AND AWARDS COMMITTEE (BAC) INVITATION to APPLY for ELIGIBILITY and to BID The Local Government Unit of Kinoguitan, this province, invites interested prospective bidde</t>
  </si>
  <si>
    <t xml:space="preserve"> FABRICATION OF STANDARD FIBERGLASS BASKETBALL BOARD WITH GI PIPE STAND AND ANGLE BAR BASE WITH STEEL ROLLER</t>
  </si>
  <si>
    <t xml:space="preserve"> 6       pcs        PPE 5       pcs        Alcohol 500 ml 5       pcs        Alcohol 180  ml 1n     pc          Thermometer 30     meters   Trapal 2       dozen    Tissue Paper 2ply 2       pcs        Foot bath  3       pcs        Stand Fan 1       pc     </t>
  </si>
  <si>
    <t xml:space="preserve"> Republic of the Philippines						CMO		 		Government of Ormoc City						P.R. No.:  	202183	 		BIDS AND AWARDS COMMITTEE						Quotation No.: 	204747-6294	 		Ormoc City						PhilGEPs No.: 		 										 Standard Form Title:			REQUEST FOR QUOTATION							 				</t>
  </si>
  <si>
    <t xml:space="preserve"> see associated component</t>
  </si>
  <si>
    <t xml:space="preserve"> Invitation to Bid No. 2020-01 Republic of the Philippines Batangas City Invitation to Bid for the Purchase of Various Medicines for the use of Barangay Talumpok Kanluran, Batangas City. The Barangay Government through the Office of the Brgy. Chairman inte</t>
  </si>
  <si>
    <t xml:space="preserve"> RFQ -PROCUREMENT OF PLUMBING SUPPLIES AND MATERIALS FOR THE DRAINAGE FACILITY OF THE FOOD COURT IN THE CITY PUBLIC MARKET</t>
  </si>
  <si>
    <t xml:space="preserve"> 100 BOTTLE/S INSECTICIDE SPRAY, ODORLESS 200 PC/S DEODORIZER 100 MG  150 PC/S CANEBO 199 BOTTLE/S DISHWASHING LIQUID 300 BOTTLE/S TOILET BOWL CLEANER 500 ML 200 BOTTLE/S GLASS CLEANER 500ML (ALCOHOL BASE) 150 BOTTLE/S DISHWASHING PAD 50 PC/S STEEL WOOL  2</t>
  </si>
  <si>
    <t xml:space="preserve"> PLEASE SEE ATTACHED DOCUMENT</t>
  </si>
  <si>
    <t xml:space="preserve"> 65      sacks      Commercial Rice 288     pcs        Coffee 25 grms 288     pcs        Powdered Milk 300 grms 5         pcs        Multipurpose Cleaner 2         pcs        Dishwashing Liquid 5         pcs        Scotch Brite 1         sack      Sugar</t>
  </si>
  <si>
    <t xml:space="preserve"> FUMIGATION SOLUTION (40 GAL) NOTE: ALL NEW SUPPLIER ARE REQUIRED TO SUBMIT THE FOLLOWING DOCUMENT. 1. DTI Registration 2. SEC Registration 3. Current Mayor's Permit 4. Certificate of Registration from B.I.R/TIN number. 5. Tax Clearance Certificate Issued </t>
  </si>
  <si>
    <t xml:space="preserve"> Republic of the Philippines					 Province of Bukidnon					 Municipality of Lantapan					 					 INVITATION TO BID FOR THE PURCHASE OF 					 TWO (2) UNITS DUMPTRUCK (1ST BID)					 					 1	The Local Government Unit of Lantapan through the 20% LDF for CY 2020</t>
  </si>
  <si>
    <t xml:space="preserve"> •One (1) assembly Drying Oven-Incubator (Dual-Use) *50L capacity *Temp Range: Incubator: Room Temp +5-80°C                         Drying Oven: 80-200°C *Temperature Precision: 0.1°C *Ambient Temp: 5-40°C *Timing Range: 1-9999 minutes *Microprocessor temp</t>
  </si>
  <si>
    <t xml:space="preserve"> School/ Office supplies for April, May, June 2020</t>
  </si>
  <si>
    <t xml:space="preserve"> PURCHASE REQUEST											 											 MUNICIPALITY OF SAN NICOLAS											 											 Department : Tourism Office								 Section:										 								 											 Quantity------Unit of Issue-----Item Description----------------Estimated Unit Cost-----</t>
  </si>
  <si>
    <t xml:space="preserve"> RFQ -SUPPLY AND DELIVERY OF COVERALL JUMPSUITS AND WATERPROOF RAIN SHOES</t>
  </si>
  <si>
    <t xml:space="preserve"> DRY MISTING DISINFECTANT MACHINE (1 UNIT) Specs: Voltage:220-240 VAC 50/60 Hz, Weight:7kg, Power: 1100w engine, Dimension: 360 x 466 x 450 (width x length x height), Cable Requirement: 3x1.5mm- 2 mt Length Power Supply Cable, Sprayer particles: 5 microns </t>
  </si>
  <si>
    <t xml:space="preserve"> Republic of the Philippines Province of Batangas Municipality of San Nicolas Invitation to Bid for Purchase and Installation of Accessories of Rescue Vehicle with plate no. P6 P925 of the Municipality of San Nicolas, Batangas  1.	The MUNICIPALITY OF SAN N</t>
  </si>
  <si>
    <t xml:space="preserve"> RFQ -SUPPLY AND DELIVERY OF (OFFICE EQUIPMENT) REPRODUCTION MACHINE  FOR THE CITY GENERAL SERVICES OFFICE</t>
  </si>
  <si>
    <t xml:space="preserve"> Local Government Unit of Leyte, Leyte Barangay Tinucdugan  INVITATION TO BID FOR Construction / Improvement of Concrete Pavement of Barangay Tinucdugan  Project Reference Number: 2020-08-01 The Local Government Unit of Leyte, Leyte Barangay Tinucdugan thr</t>
  </si>
  <si>
    <t xml:space="preserve"> Installation of additional 7 units StreetlightsCFL Lightning Fixture (FIAMMA Single) w/ LED bulb 15 watts and 2 x 2 -1/2 X 4.5 mtrs. Ht. G.I. post at Sitio San Gabriel and Manuro</t>
  </si>
  <si>
    <t xml:space="preserve"> Supply and Delivery of Construction Materials</t>
  </si>
  <si>
    <t xml:space="preserve"> Acquisition of CCTV Cameras</t>
  </si>
  <si>
    <t xml:space="preserve"> Supply and Delivery of labor and parts for the vehicle repair of barangay patrol</t>
  </si>
  <si>
    <t xml:space="preserve"> RFQ -SUPPLY DELIVERY AND INSTALLATION OF VARIOUS MATERIALS FOR THE REHABILITATION AND REPLACEMENT OF TRAFFIC SIGNAGES</t>
  </si>
  <si>
    <t xml:space="preserve"> Tarpaulin                               2 pcs Meals                                115 pax T-shirt                               115 pcs     Gas                                       1 lot Sanitary kit                        115 pax Alcohol Hand Soap Deo </t>
  </si>
  <si>
    <t xml:space="preserve"> Table Tennis Table with Net		2	pcs Electronic Scoreboard		        1	pc Athletes Locker		                5	units Cabinet		                        2	units Athletic Tapes	                 	10	pcs Pain Reliever Spray		        11	bottles Emergency Kit		       </t>
  </si>
  <si>
    <t xml:space="preserve"> Bleach 1000 pcs Soap   1000 pcs</t>
  </si>
  <si>
    <t xml:space="preserve"> REPUBLIC OF THE PHILIPPINES CITY OF MANILA OFFICE OF THE BARANGAY COUNCIL INVITATION TO BID SUBMISSION AND OPENING OF BID WILL BE ON AUGUST 10, 2020 AT 8 AM THE BARANGAY 74 ZONE 6 DISTRICT 12 MANILA THROUGH ITS BID AND AWARDS COMMITTEE (BAC) INVITES ALL Q</t>
  </si>
  <si>
    <t xml:space="preserve"> DATE OF BIDDING: AUGUST 10, 2020@10:00 AM AMOUNT: 421,953.00 SOURCE OF FUND: 20% DEVELOPMENT FUND -2020 VENUE: BARANGAY HALL OF CALAHUNAN MANDURRIAO, ILOILO CITY</t>
  </si>
  <si>
    <t xml:space="preserve"> Construction Supplies And Delivery</t>
  </si>
  <si>
    <t xml:space="preserve"> 1 UNI Recorder, Standalone h.264 USB, portable  -In accordance with the Technical Specifications  ABC: Php 27,442.54  NOTE: Please sign all pages of the Technical Specifications and submit it together with your quotation. If selected as the winning bidder</t>
  </si>
  <si>
    <t xml:space="preserve"> 3 Tonner Floor Mounted Aircon (2 PCS) (Non Inverter 220 Volts 60Hz)" Installation and Consumable Materials (2PCS) Double Throw, 50 Amp Metal Panel Board (1SET) 50 Amp Weather Proof Circuit Breaker Metal (1PC) 5.5 THHN Wire (2BOXES) 3.5 THHN Wire (1BOX) PV</t>
  </si>
  <si>
    <t xml:space="preserve"> Republic of the Philippines						 Province of Bukidnon						 Municipality of Lantapan						 						 INVITATION TO BID FOR THE PURCHASE OF DIGITAL DUPLICATING						 MACHINE, LAPTOP AND PRINTER USE FOR MODULAR REPRODUCTION						 OF DEPED LANTAPAN EAST AND WE</t>
  </si>
  <si>
    <t xml:space="preserve"> Batangas Branch Office                                         Alangilan, Batangas City 4200  BATANGAS BRANCH OFFICE REQUEST FOR QUOTATION The GOVERNMENT SERVICE INSURANCE SYSTEM invites all interested registered suppliers to submit quotations for: Quanti</t>
  </si>
  <si>
    <t xml:space="preserve"> ATTACHED</t>
  </si>
  <si>
    <t xml:space="preserve"> Printing of Learning Modules to be Utilized for Two Weeks Lessons</t>
  </si>
  <si>
    <t xml:space="preserve"> Seed, Seedlings, Plants etc.</t>
  </si>
  <si>
    <t xml:space="preserve"> PURCHASE OF EXPANDING PLASTIC ENVELOPE LONG</t>
  </si>
  <si>
    <t xml:space="preserve"> Mouse- File box Tag Folder White- Tag Folder Brown- Record book 300 pages Sign Pen No. 7- Sign Pen 3- BAllpen Black Ordinary- Staple Wire- A4 bond paper, 80gsm,subs 24 - Legal size bond paper 80gsm, subs 24  USB wifi Adapter  Expanded Plastic envelope lon</t>
  </si>
  <si>
    <t xml:space="preserve"> Request for Quotation See attachment at Associated Component</t>
  </si>
  <si>
    <t xml:space="preserve"> PURCHASE OF OFFICE EQUIPMENT AND OTHERS OFFICE SUPPLIES Photocopy Machine  -Print, Copy speed: up to 23 PPM -Input capacity: 350 sheets -Built in ethernet networking Laptop  -at least AMD Ryzen 5 -at least 15’ -8gb DDR4 Memory -1TB HDD = 128 SSD -AMD inte</t>
  </si>
  <si>
    <t xml:space="preserve"> Bicycle                                 6 pcs Tablet                                  6 pcs Groceries                             50 pcs Sack of Rice (25kgs)             30 pcs</t>
  </si>
  <si>
    <t xml:space="preserve"> Republic of the Philippines DEPARTMENT OF PUBLIC WORKS AND HIGHWAYS QUEZON I  District Engineering Office 					     Regional Office IV-A        Lucban, Quezon INVITATION TO BID The  Department  of  Public  Works  and  Highways (DPWH), Quezon 1st District </t>
  </si>
  <si>
    <t xml:space="preserve"> 1/2" P.E Pipe SDR 9 (90m /Roll rolls 28.00     2,200.00             61,600.00 1/2" O Straight Coupling Pcs. 28.00              150.00                 4,200.00 1.0" O Straight Coupling Pcs. 4.00                250.00                 1,000.00 2.0" O Straigh</t>
  </si>
  <si>
    <t xml:space="preserve"> 1		Drone					1	unit 		Takeoff Weight: 1391g, Diagonal Distance: 350mm Max Service Ceiling above Sea Level: 						 		19685 ft (6000 m) max Ascent Speed: 6m/s (automatic flight) 5m/s (manual control, Max						 		Descent Speed 3m/s, Max Speed 31 mph (50 kph)</t>
  </si>
  <si>
    <t xml:space="preserve"> Medical, dental and laboratory supplies 52,700</t>
  </si>
  <si>
    <t xml:space="preserve"> Purchase of  Close Circuit Television CCTV  (lot)  to be installed in different areas in the barangay</t>
  </si>
  <si>
    <t xml:space="preserve"> Republic of the Philippines Province of Leyte Municipality of Albuera Barangay San Pedro, Albuera,Leyte OFFICE OF THE BIDS AND AWARDS COMMITTEE INVITATION TO BID The Barangay San Pedro of Albuera, Leyte through its Bids and Awards Committee invites intere</t>
  </si>
  <si>
    <t xml:space="preserve"> Republic of the Philippines Department of Environment and Natural Resources ENVIRONMENTAL MANAGEMENT BUREAU REGION VI Tel. Nos.: 033-336-6989                               REQUEST FOR QUOTATION (RFQ) PROCUREMENT OF GYM EQUIPMENT FOR OFFICIAL USE OF EMB R6</t>
  </si>
  <si>
    <t xml:space="preserve"> RFQ -PRINTING OF FRANCHISE  STICKERS FOR THE REPLACEMENT OF EXISTING STICKERS</t>
  </si>
  <si>
    <t xml:space="preserve"> Republic of the Philippines Department of Environment and Natural Resources ENVIRONMENTAL MANAGEMENT BUREAU REGION VI Tel. Nos.: 033-336-6989                               REQUEST FOR QUOTATION (RFQ) PROCUREMENT OF LAPTOP AND PRINTER  RFQ No. 2020-RFQ-08-</t>
  </si>
  <si>
    <t xml:space="preserve"> TOTAL MATERIALS = P 142,426.00 BAGGER EQUIPMENT = P 7,800.00</t>
  </si>
  <si>
    <t xml:space="preserve"> The Local Government Unit of Casiguran, Sorsogon intends to apply the sum of Php  169,098.00.00  being the Approved Budget for the Contract to payments for the contract under the 2020 20% Annual Investment Plan Fund,  Supply and Delivery of Construction M</t>
  </si>
  <si>
    <t xml:space="preserve"> 5 meters Network Lan 1.5 meters VGA Cord 240 G SSD Reformat Memory Upgrade</t>
  </si>
  <si>
    <t xml:space="preserve"> Republic of the Philippines Province of Samar Municipality of Sta. Rita Brgy. Cansadong BIDS AND AWARDS COMMITTEE INVITATION TO BID The Brgy. Cansadong, Municipality of Sta. Rita, through Brgy. fund intends to apply the sum of Two Hundred Twenty Thousand </t>
  </si>
  <si>
    <t xml:space="preserve"> The Local Government Unit of Casiguran, Sorsogon intends to apply the sum of Php  1,009,004.00  being the Approved Budget for the Contract to payments for the contract under the 2020 20% Annual Investment Plan Fund,  Supply and Delivery of Construction Ma</t>
  </si>
  <si>
    <t xml:space="preserve"> 5 klg rags round &amp; 20 Others</t>
  </si>
  <si>
    <t xml:space="preserve"> 5 bxs Folder presboard size 240mm x 370mm 5mm &amp; 15 Others</t>
  </si>
  <si>
    <t xml:space="preserve"> 6 bx battery double AA (48pcs per bx) &amp; 24 Others</t>
  </si>
  <si>
    <t xml:space="preserve"> 70 ea Tubular LED Light (flourescent type w/ convertion fittings and 7 Others</t>
  </si>
  <si>
    <t xml:space="preserve"> Standard Form Number: SF-GOOD-60 Date: 07/30/2020 Quotation No.2020-08-001-a.m EASTERN VISAYAS STATE UNIVERSITY – CARIGARA CAMPUS Carigara, Leyte Please quote your lowest price on the item/s listed below, subject to the General Conditions on the last page</t>
  </si>
  <si>
    <t xml:space="preserve"> INVITATION TO BID FOR THE PROCUREMENT OF MATERIALS FOR THE CONSTRUCTION OF DEEPWELL/SHALLOW WELL-PUROK –IV,V &amp; VI 1.	The Barangay BAYBAY,  Tiwi, Albay, through Barangay Development Fund of CY 2020  intends to apply the sum of  Eighty one THOUSAND  TWENTY </t>
  </si>
  <si>
    <t xml:space="preserve"> 4 ea Bearing AY Thrust &amp; 12 Others</t>
  </si>
  <si>
    <t xml:space="preserve"> Republic of the Philippines Province of Samar Municipality of Sta. Rita The Municipality of Sta. Rita, through LGU fund intends to apply the sum of TWO MILLION SEVEN HUNDRED THOUSAND PESOS (Php2,700,000.00) ONLY being the Approved Budget for the Contract </t>
  </si>
  <si>
    <t xml:space="preserve"> Common Office Supplies</t>
  </si>
  <si>
    <t xml:space="preserve"> Camera:													1	unit Megapixel &amp; sensor: 24.3X-Trans CMOS III, Lens: Function XF 18-55mm f/2.8-4 RLM OIS Lens, Mount: Fujifilm X Mount, LCD Screen: 3 "Tilting, Video Recording 4K (3840 x 2160) [ 29.97p/ 25p/ 24p/ 23.98p, Full HD (1920x1080)][59.94p </t>
  </si>
  <si>
    <t xml:space="preserve"> BARANGAY CENTRAL SIGNAL BIDS AND AWARDS COMMITTEE -- Advertisement/Posting of Invitation to Bid ------ August 3, 2020 -- Issuance and Availability of Bid Documents ----- August 3, 2020 -- Deadline for Submission -------------------------- August 12, 2020 </t>
  </si>
  <si>
    <t xml:space="preserve"> Van Rental for Southern municipalities maximum of 3 days per trip				4	trip Van Rental for Northern municipalities maximum of 3 days per trip					4	trip</t>
  </si>
  <si>
    <t xml:space="preserve"> Client Computer 													4	unit  All in One 														 7th or above, 8gb memory, 480 SSD, OS, mouse, 														 keyboard &amp; AVR 														 Colored Printer 3in1 													2	unit  CIS Tank 														 Scanner A4, Printer &amp; copier 						</t>
  </si>
  <si>
    <t xml:space="preserve"> Hematolgy Diluent 20L 												3	boxes Hematolgy Lyse 1L (Lyse-HX5D) 											3	bottles Hematolgy Lyse 200 ml (Lyse-HX5H)										4	bottles EDTA Tube 100's (2ml) 												13	trays  Disposable Syringe with Needle 3cc 100's 									12	boxes 10-Par</t>
  </si>
  <si>
    <t xml:space="preserve"> Oxygen Tank Refill 													120	tank</t>
  </si>
  <si>
    <t xml:space="preserve"> 36 sacks Rice 50kls &amp; 27 Others</t>
  </si>
  <si>
    <t xml:space="preserve"> DIESEL 													3,500	LTRS 														 TERMS OF REFERENCE:														 WEEKLY WITHDRAWALS</t>
  </si>
  <si>
    <t xml:space="preserve"> ..</t>
  </si>
  <si>
    <t xml:space="preserve"> INVITATION TO BID PROCUREMENT OF SUPPLY, DELIVERY, INSTALLATION, TESTING AND COMMISSIONING OF PUMPING AND CHLORINATION EQUIPMENT, AND GENERATOR SETS 1.	The Bongabon Water District has received a PhP 25 Million Financial Assistance through the LWUA Interna</t>
  </si>
  <si>
    <t xml:space="preserve"> 20 pcks photo paper A4 &amp; 6 Others</t>
  </si>
  <si>
    <t xml:space="preserve"> Information Technology Accessories</t>
  </si>
  <si>
    <t xml:space="preserve"> INVITATION TO BID PROCUREMENT OF COMPUTERIZED HOSPITAL INFORMATION SYSTEM &amp; ELECTRONIC HEALTH RECORD FOR THE USE OF NAVOTAS CITY HOSPITAL &amp; 25 HEALTH CENTERS (SECOND BIDDING) 	 The City Government of Navotas, through its Bids and Awards Committee, will ho</t>
  </si>
  <si>
    <t xml:space="preserve"> 1. The LGU-Bakun, Benguet, through the 2020 20% MDF intends to apply the sum of   P 1,199,788.03 being the Approved Budget for the Contract (ABC) to payments under the contract IMPROVEMENT OF SOOKAN-GAMBANG FMR, GAMBANG, BAKUN, BENGUET/Contract Number 54-</t>
  </si>
  <si>
    <t xml:space="preserve"> 1. The LGU-Bakun, Benguet, through the LDRRMF- TF intends to apply the sum of   P 344,977.34 being the Approved Budget for the Contract (ABC) to payments under the contract RIPRAPPING OF BANGLELAO ACCESS ROAD, DALIPEY, BAKUN, BENGUET/Contract Number 44-20</t>
  </si>
  <si>
    <t xml:space="preserve"> REQUEST FOR PRICE QUOTATION CONTENTS VARIOUS OFFICE SUPPLIES SUCH AS CLEANER TOLET BOWL AND URINAL,FLOOR WAX PASTE RED,DUST PAN, PAPER MULTI-PURPOSE LEGAL, PAPER MULTI-PURPOSE A4 AND ETC.</t>
  </si>
  <si>
    <t xml:space="preserve"> OPENING OF BIDS IN DSWD FO IX, ZAMBOANGA CITY			 	DELIVERY IN MUNICIPALITY OF BAYOG ZAMBOANGA DEL SUR			 	PROCUREMENT FOR THE FF.:			 				 60	pax	2 snacks	@	 100.00  		10pax/brgy x 6 barangays		 		Brgy/Local Inter-agency Task Force Covid 19		 		August 17 </t>
  </si>
  <si>
    <t xml:space="preserve"> Republic of the Philippines Province of Cagayan Municipality Of Ballesteros BARANGAY MABUTTAL EAST INVITATION TO BID FOR “Procurement of Various Materials for the Installation &amp; Procurement of Solar Streetlights” 1.	The Barangay Government of Mabuttal Eas</t>
  </si>
  <si>
    <t xml:space="preserve"> Various Drugs &amp;  Medicines</t>
  </si>
  <si>
    <t xml:space="preserve"> Various Medical Supplies</t>
  </si>
  <si>
    <t xml:space="preserve"> Supply and Delivery of Construction Supplies for three classrooms</t>
  </si>
  <si>
    <t xml:space="preserve"> Republic of the Philippines Province of Pangasinan Municipality of Bolinao Tel. No. (075) 632-4346 Invitation to Bid 1.	The Local Government Unit of Bolinao Pangasinan intends to apply the sum of Two Hundred Twenty Five Thousand Pesos Only (Php225,000.00)</t>
  </si>
  <si>
    <t xml:space="preserve"> MOOE FOR 2ND QUARTER</t>
  </si>
  <si>
    <t xml:space="preserve"> Refer to RFQ</t>
  </si>
  <si>
    <t xml:space="preserve"> Republic of the Philippines Province of Cagayan Municipality Of Ballesteros BARANGAY CENTRO EAST INVITATION TO BID FOR “Procurement of Various Materials for the Construction of Drainage Canal along B. Cortez Street” 1.	The Barangay Government of Centro Ea</t>
  </si>
  <si>
    <t xml:space="preserve"> 1. The LGU-Bakun, Benguet, through the 2020 LDRRMF, intends to apply the sum of   P 299,983.41 being the Approved Budget for the Contract (ABC) to payments under the contract for the IMPROVEMENT OF SINACBAT TO BEYENG FARM TO MARKET ROAD,POBLACION, BAKUN, </t>
  </si>
  <si>
    <t xml:space="preserve"> OPENING OF BIDS IN DSWD FO IX, ZAMBOANGA CITY			 3	DELIVERY IN MUNICIPALITY OF MABUHAY ZAMBOANGA SIBUGAY			 	PROCUREMENT FOR THE FF.:			 				 180	pax	1 meal, 1 snack	@	 150.00  		Barangay/Local Agency task Force Covid 19/BDRRMC (cum Planning Workshop and </t>
  </si>
  <si>
    <t xml:space="preserve"> Republic of the Philippines Province of Quezon Municipality of Atimonan Barangay San Isidro 			Project Reference Number: 20-08-05s Name of the Project:  Supply and Delivery of Materials for Construction of                                                  </t>
  </si>
  <si>
    <t xml:space="preserve"> Republic of the Philippines Province of Quezon Municipality of Atimonan Barangay San Isidro 			Project Reference Number: 20-08-04s Name of the Project:  Supply and Delivery of Materials for Construction of                                                  </t>
  </si>
  <si>
    <t xml:space="preserve"> Note Book, 100 leaves			370	pcs Ballpen, Black			370	pcs Ballpen, Blue			370	pcs Yellow Pad			380	pcs Pencil			360	pcs Cartolina, all color set			350	set Sharpener			350	pad Pencil eraser			358	pcs Plastic Envelopes			370	pcs Crayons (16 colors)			350	box</t>
  </si>
  <si>
    <t xml:space="preserve"> Supply and delivery of materials to be used in the Installation og Street Lights</t>
  </si>
  <si>
    <t xml:space="preserve"> 1. The LGU-Bakun, Benguet, through the 2020 20% MDF, intends to apply the sum of   P 799,994.14 being the Approved Budget for the Contract (ABC) to payments under the contract Various Infrastructure Projects under Cluster J-2020, Poblacion, Bakun, Benguet</t>
  </si>
  <si>
    <t xml:space="preserve"> 2020-379-A	Office Furniture	MHO	 12,350.00  2020-373	Office Equipment	Vista Alegre ES	 41,000.00  2020-372	Office Equipment	SANHS	 51,000.00  2020-384-A	Office Equipment &amp; Consumables	ROVCMS	 10,000.00  2020-374	Office Equipment	ROVCMS	 94,000.00  2020-37</t>
  </si>
  <si>
    <t xml:space="preserve"> Procurement of 400 pcs laminated sacks (3x3 meters) and 4000 pcs empty sacks as extension support for the participants during the conduct of Information Caravan on Air in the Province of Cam. Sur under the Rice Competitive Enhancement Fund.</t>
  </si>
  <si>
    <t xml:space="preserve"> EXPANDING PLASTIC ENVELOPE WITH HANDLE (GREEN) EXPANDING PLASTIC ENVELOPE WITH HANDLE (YELLOW) EXPANDING PLASTIC ENVELOPE WITH HANDLE (BLUE)</t>
  </si>
  <si>
    <t xml:space="preserve"> 200	pax	Catering Services (1 meal and 2 snacks)		 				 		Menu:		 				 		Lechon, Beef Steak, Meatballs, Rice, Fruits and		 		Drinks		 		Morning Snack:		 		Siopao and Juice		 		Afternoon Snack:		 		Brownies and Juice		 Purpose: to be served during 42nd Nati</t>
  </si>
  <si>
    <t xml:space="preserve"> I. Layout /Staking Works  lot 1.00 II. Project Billboard        pc. 1.00 III. Occupational Safety and Health Program lot 1.00 IV. Temporary Facility lot 1.00 V. Hauling of Const. Materials lot 1.00 VI. Temporary Break Water  lot 1.00 VII. Concrete Slope P</t>
  </si>
  <si>
    <t xml:space="preserve"> Republic of the Philippines Province of Quezon Municipality of Atimonan Barangay San Isidro 			Project Reference Number: 20-08-03s Name of the Project:  Supply and Delivery of Materials for Construction of                                                  </t>
  </si>
  <si>
    <t xml:space="preserve"> The Local Government Unit of Casiguran, Sorsogon intends to apply the sum of Php  1,031,136.00.00  being the Approved Budget for the Contract to payments for the contract under the 2020 Annual Investment Plan (AIP) Fund,  Supply &amp; Delivery of Construction</t>
  </si>
  <si>
    <t xml:space="preserve"> OPENING OF BIDS IN DSWD FO IX, ZAMBOANGA CITY			 	DELIVERY IN MUNICIPALITY OF  ALICIA ZSP			 	PROCUREMENT FOR THE FF.:			 				 216	pax	1 meal, 2 snacks	@	 250.00  		Community Project Devt Workshop		 		8 pax/brgy x 27 brgys		 		August 17 (5 barangays, simu</t>
  </si>
  <si>
    <t xml:space="preserve"> OPENING OF BIDS IN DSWD FO IX, ZAMBOANGA CITY			 	DELIVERY IN MUNICIPALITY OF  LEON POSTIGO ZAMBOANGA DEL NORTE			 	PROCUREMENT FOR THE FF.:			 				 90	pax	2 snacks	@	 100.00  		10pax/brgy x 9 barangays		 		Brgy/Local Inter-agency Task Force Covid 19		 		</t>
  </si>
  <si>
    <t xml:space="preserve"> Yellow T-Shirt			1800	pcs Brown Jogging Pants			1500	pcs</t>
  </si>
  <si>
    <t xml:space="preserve"> TOOTHBRUSH			1200	PCS TOOTHPASTE			1200	SACHET DETERGENT BAR			1200	BAR BATHSOAP			1200	PCS DEODORANT 			1200	SACHET SLIPPERS			1200	PAIRS SLEEPING MAT			1200	PCS SHAMPOO			1200	SACHET</t>
  </si>
  <si>
    <t xml:space="preserve"> PR # 20-082 QTY	UNIT	PARTICULARS 		 1	lot	Honorarium of Resource Person (8,000.00/MSME/ Food Processors) for the conduct of OTOP Next Gen. Intensive Product Development for Food OTOPRENEURS 2020 on August 7 and  10-11, 2020 in Borongan City.	 	 		 (Please</t>
  </si>
  <si>
    <t xml:space="preserve"> I. Project Billboard l.s. 1 II. Temporary Facility l.s. 1.00 III. Occupational Safety land Health Program ls. 1.00 IV. Layout ad Clearing (Including cutting of tree) l.s. 1 V. Grouted Riprap     A. Excavation  cu.m. 345.00    B. Riprapping cu.m. 535.44   </t>
  </si>
  <si>
    <t xml:space="preserve"> Republic of the Philippines Province of Quezon Municipality of Atimonan Barangay San Isidro 			Project Reference Number: 20-08-06s Name of the Project:  Supply and Delivery of Materials for Construction of                                                  </t>
  </si>
  <si>
    <t xml:space="preserve"> 100	pck	Expanded Env. w/ garter long colored(50pcs) 50	box	Bond Paper Q2 100	box	Pentel Pen broad black,blue,red 55	box	Expanded Folder long (colored 25pcs) 26	box	Documentary brown krft env.Short 120	box	Coin Envelop #4 100	box	Bond Paper F4 66	box	White</t>
  </si>
  <si>
    <t xml:space="preserve"> A.1.1. Temporary Facility lot 1.00 B,5 Project Billboard lot 1.00 B.7  Occupational Safety and Health Program lot 1.00 B.9 Mobilization/Demobilization of waste Materials  lot 1.00 SPCL 1 Clearing and Dsiposal of Waste Materials  lot 1.00 Item 105 Subgrade</t>
  </si>
  <si>
    <t xml:space="preserve"> Republic of the Philippines Province of Quezon Municipality of Atimonan Barangay San Isidro INVITATION FOR ELIGIBILITY AND TO BID 	The Barangay San Isidro of Atimonan thru the Bids and Awards Committee (BAC) invites interested suppliers/contractors to app</t>
  </si>
  <si>
    <t xml:space="preserve"> I. Layout /Staking works lot 1.00 II. Project Billboad pc. 1.00 III. Occupational Safety and Health Program lot 1.00 IV. Demolition Works  cu.m. 5.00 V. Excavation Works  cu.m. 40.00 VI. Gravelfill  cu.m. 1.50 VII, Backfill cu.m. 7.00 VIII. Concrete works</t>
  </si>
  <si>
    <t xml:space="preserve"> OPENING OF BIDS IN DSWD FO IX, ZAMBOANGA CITY			 	DELIVERY IN MUNICIPALITY OF  LAKEWOOD ZAMBOANGA DEL SUR			 	PROCUREMENT FOR THE FF.:			 				 180	pax	2 snacks	@	 100.00  		10pax/brgy x 18 barangays		 		Brgy/Local Inter-agency Task Force Covid 19		 		Augu</t>
  </si>
  <si>
    <t xml:space="preserve"> 1. 13 lengths 2" dia G. I. Pipe S-40 2. 116 lengths 1 1/2" x 1 1/2" x 1/4" thk. Angle Bar 3. 8 lengths 16 mm dia DSB 4. 900 bd.ft. 2" x 3" x 12' Gemilina Lumber 150 Pcs. 5. 1,200 Pcs. 10 mm dia x 3" Machine Bolt w/ nut &amp; Washer 6. 20 Pcs. 10 mm dia Metal </t>
  </si>
  <si>
    <t xml:space="preserve"> Best Quality Ecobag for the modules of students. The design to be printed will be discuss by the supplier and the school head.</t>
  </si>
  <si>
    <t xml:space="preserve"> OPENING OF BIDS IN DSWD FO IX, ZAMBOANGA CITY			 	DELIVERY IN MUNICIPALITY OF  SINDANGAN AND SIAYAN ZAMBOANGA DEL NORTE 			 	PROCUREMENT FOR THE FF.:			 				 100	pax	2 snacks	@	 100.00  		10pax/brgy x 10 barangays		 		Brgy/Local Inter-agency Task Force Co</t>
  </si>
  <si>
    <t xml:space="preserve"> OPENING OF BIDS IN DSWD FO IX, ZAMBOANGA CITY, DELIVERY IN MUNICIPALITY OF  GODOD ZAMBOANGA DEL NORTE AND KABASALAN ZAMBOANGA SIBUGAY PROVINCE	, PROCUREMENT FOR THE FF.:			 				 50	pax	2 snacks	@	 100.00  		10pax/brgy x 5 barangays		 		Brgy/Local Inter-ag</t>
  </si>
  <si>
    <t xml:space="preserve"> Item #      Item/Description                                                                       Qty      Unit 1. Potassium Dichromate, Analytical Grade, CAS # 7758-50-9 500g/bot           1        pc 2. Concentrated Sulfuric Acid, 98%. CAS # 7664-93-9 </t>
  </si>
  <si>
    <t xml:space="preserve"> Item No. Qty. Unit of Issue Item Description 1 10 bots. Printer Ink 003 (Black) 2 9 bots. Printer Ink 003 (Cyan) 3 9 bots. Printer Ink 003 (Magenta) 4 9 bots. Printer Ink 003 (Yellow) 5 7 ream Folder (long white 100's) 6 198 ream Bond Paper (Legal Size) 7</t>
  </si>
  <si>
    <t xml:space="preserve"> Republic of the Philippines Province of Cagayan Municipality Of Ballesteros BARANGAY CENTRO EAST INVITATION TO BID FOR “Procurement of Various Materials for Rehabilitation of Various Roads of Barangay Centro East - Aggregates for Shoulders” 1.	The Baranga</t>
  </si>
  <si>
    <t xml:space="preserve"> 100	doz	Worx spealty paper long 100	bxs	Carbon Paper black 24/bxs 120	bxs	Paper Clip coated big 24/bx 120	bxs	Coin Envelop # 8 86	bxs	Documentary brown krft env.L 86	bxs	Documentary brown krft env.Short 100	doz	Expanded Env. Green w/ metal 100	doz	Expande</t>
  </si>
  <si>
    <t xml:space="preserve"> INVITATION TO REBID FOR THE SUPPLY &amp; DELIVERY OF VARIOUS AGRICULTURAL SUPPLIES The Municipality of Isulan, through the DA RFO 12 (PAMANA CY2016)  intends to apply the sum of FOUR HUNDRED EIGHTY-SIX THOUSAND FIVE HUNDRED PESOS (P 486,500.00) being the Appr</t>
  </si>
  <si>
    <t xml:space="preserve"> I. Project Billboard lot 1.00 II. Temporary Facility lot 1.00 III.Occupational Safety and Health Program lot 1.00 IV. Demolition cu.m. 44.75 V. Clearing and Disposal lot 1.00 A. Grouted Riprap using Escombro  I. Clearing and Grubbing  sq.m. 40.50 II. Layo</t>
  </si>
  <si>
    <t xml:space="preserve"> REQUEST TO SUBMIT PROPOSAL FOR SUPPLY OF GASOLINE, DIESOLINE AND LUBRICANTS FOR USE AT DA-CNLRRS, DAET, CAMARINES NORTE UNDER CORN PROGRAM WITH AN APPROVED BUDGET FOR THE CONTRACT AMOUNTING TO FORTY FIVE THOUSAND PESOS (₱ 45,000.00) PURSUANT TO ALTERNATIV</t>
  </si>
  <si>
    <t xml:space="preserve"> REQUEST FOR QUOTATION (RFQ)  PREVENTIVE MAINTENANCE SERVICE OF ONE (1) WATER PURIFICATION SYSTEM, BRAND/MODEL LABOSTAR TWF 7 (S/N: 153556-09) OF VARIOUS ANAYLYSIS IN THE ELSS  RFQ NO. EMB-ERLSD-ELSS-ECMU-SHOPPING-0047-7-8-2020   1.	The Department of Envir</t>
  </si>
  <si>
    <t xml:space="preserve"> INVITATION TO BID FOR THE PROCUREMENT OF GOODS AND SERVICES FOR FISH PRODUCTION-RELATED PROGRAM IN SUPPORT TO BAYANIHAN TO HEAL AS ONE ACT  (ITB NO. 2020-09) 1. The Bureau of Fisheries and Aquatic Resources-Regional Fisheries Office I (BFAR-RFO I, through</t>
  </si>
  <si>
    <t xml:space="preserve"> REQUEST FOR QUOTATION Please quote your prices on the supplies listed which the Municipality of Kalawit, Zamboanga del Norte desires to buy item if advantageous to the government. NAME OF PROJECTS			: SUPPLY AND DELIVERY OF 1 UNIT AIRCONDITION, 1.5HP, SPL</t>
  </si>
  <si>
    <t xml:space="preserve"> Board and Lodging	75	pax Amenities:		 Airconditioned function room, bed rooms		 Free access of WIFI		 Free use of sound system		 Free flowing coffee		 Provision of free white screen(for LCD projector)		 Free of charge on electrical charges		 XXXXXXXXXXXXX</t>
  </si>
  <si>
    <t xml:space="preserve"> 60	bot	Canon caltridge ink 810 black 80	bot	Brother ink BT60 black 100	bot	Brother ink BT60 (Tri Color) 50	bot	Canon caltridge ink 811 colored 2	unit	Canon G 2000 printer 100	bot	Canon Pixma 790 4 color 100	box	Epson ink (3110) 003 (4 colors) 200	bot	Epso</t>
  </si>
  <si>
    <t xml:space="preserve"> 1. 121 Bags Cement 2. 8.8 Cu.m Gravel  3. 7.15 Cu.m Sand 4. 44 Pcs. 20 mm dia DSB 5. 12.8 Kgs. # 16 Tie Wire 6. 99 Pcs. 10 mm dia DSB 7. 16 Pcs. 12 mm dia DSB 8.  852 Pcs. 4" Concrete Hollow Blocks 9. 1 Meter Sand Screen 10. 20 Pcs. 2" x 3" x 8' Coco Lumb</t>
  </si>
  <si>
    <t xml:space="preserve"> 4 Set Disc Brake (Altera) 2 Unit Battery 3SM 4 pc Tire 265-70 R16 112T</t>
  </si>
  <si>
    <t xml:space="preserve"> B.5 Project Billboard l.s. 1.00 B.7 Occupational Safety and Health Program l.s. 1.00 B.8 Traffic Management l.s. 1.00 Item 301 Bit. Prime Coat m.t. 341 Item 310 Bit Conc. Surface Coarse m.t. 566.89 600 (a) Pavement Markings  sq.m. 162.20</t>
  </si>
  <si>
    <t xml:space="preserve"> REQUEST FOR QUOTATION Please quote your prices on the supplies listed which the Municipality of Kalawit, Zamboanga del Norte desires to buy item if advantageous to the government. NAME OF PROJECTS			: SUPPLY AND DELIVERY OF 2,050 LITERS DIESEL FUEL(FOR TH</t>
  </si>
  <si>
    <t xml:space="preserve"> REQUEST TO SUBMIT PROPOSAL FOR LABOR AND MATERIALS FOR THE REPAIR AND PAINTING OF TNZ-151 SERVICE VEHICLE FOR USE AT THE OFFICE OF RTD FOR RESEARCH AND REGULATIONS, DA-RFO 5 AT APPROVED BUDGET FOR THE CONTRACT AMOUNTING TO TWENTY FIVE THOUSAND PESOS (PHP2</t>
  </si>
  <si>
    <t xml:space="preserve"> SPCL 1 Project Billboard lot 1.00 SPCL II Temporary Facility lot 1.00 SPCL III Occupational Safety and Health Program  lot 1.00 I. Layout, clearing cutting of Tree and Uprooting II. Grouted Riprap A. Excavation cu.m. 324.00 B. Riprapping cu.m. 774.75 C. F</t>
  </si>
  <si>
    <t xml:space="preserve"> REQUEST FOR QUOTATION (RFQ) SUPPLY AND DELIVERY OF VARIOUS LABORATORY CONSUMABLES UNDER EMB-ERLSD-ELSS-DIOXINS AND FURANS LABORATORY RFQ NO. 2020-0417-EMB-S-ERLSD-ELSS LABORATORY CONSUMABLES (4th) 1.	The Department of Environment and Natural Resources – E</t>
  </si>
  <si>
    <t xml:space="preserve"> REQUEST FOR QUOTATION (RFQ)  SUPPLY AND DELIVERY OF INK RIBBON FOR DATA PRINTER OF MICROBALANCE AND RESPIRATOR FOR EMB LABORATORY STAFF UNIT  RFQ NO. EMB-ERLSD-ELSS-ILU-SHOPPING-0036-7-22-2020   1.	The Department of Environment and Natural Resources – Env</t>
  </si>
  <si>
    <t xml:space="preserve"> REQUEST FOR QUOTATION Please quote your prices on the supplies listed which the Municipality of Kalawit, Zamboanga del Norte desires to buy item if advantageous to the government. NAME OF PROJECTS			: SUPPLY AND DELIVERY OF 2,000 LITERS DIESEL FUEL(FOR TH</t>
  </si>
  <si>
    <t xml:space="preserve"> INVITATION TO REBID FOR THE SUPPLY AND DELIVERY OF COMPLETE FERTILIZER The Municipality of Isulan, through the 2020 GENERAL FUND  intends to apply the sum of TWO HUNDRED NINETY-NINE THOUSAND PESOS (P 299,000.00) being the Approved Budget for the Contract </t>
  </si>
  <si>
    <t xml:space="preserve"> OPENING OF BIDS IN DSWD FO IX, ZAMBOANGA CITY			 	DELIVERY DSWD FO IX ZC			 	PROCUREMENT FOR THE FF.:			 				 2222	BXS	SURGICAL FACE MASK, DISPOSABLE, 50 PCS. PER BOX, GOOD QUALITY	@	 350.00  1010	BOTTLE 	EMPTY BOTTLE SPRAYER FOR ALCOHOL	@	 60.00  1010	PC</t>
  </si>
  <si>
    <t xml:space="preserve"> 1  4 sets Branded Desktop Computer Includes: - Printer: L5190 with 1 set extra ink - Core i5 3.2GHz 8th Gen or latest - Memory: 8GB DDR4 RAM, 1TB Hard Drive - Video Card: GT730 2GB - 22.5" Wide LED Monitor - USB Keyboard and Mouse - Windows 10 Pro 64bit, </t>
  </si>
  <si>
    <t xml:space="preserve"> 1st                      May 26, 2020	23	pax 2nd                     June 29, 2020	23	pax 3rd                      July 28, 2020	23	pax 4th                      August 27, 2020	23	pax 5th                      September 28, 2020	23	pax 6th                 </t>
  </si>
  <si>
    <t xml:space="preserve"> 4 REAMS LONG LAMINATING FILM</t>
  </si>
  <si>
    <t xml:space="preserve"> ARTICLE AND DESCRIPTION							 											 ITEM	QTY.	UNIT						CEILING 			 								PRICE			 											 				Office: Department of Engineering and Public Works				PR No. 137			 				Charge to: Rent Expenses				OBR No. 100-2001-00248			 				ABC:  Php2,500,00</t>
  </si>
  <si>
    <t xml:space="preserve"> Republic of the Philippines Province of Quezon Municipality of Atimonan Barangay Kulawit Project Reference Number: 2020-08-011 Name of the Project:  Purchase of Kitchen Wares Location of the Project:  Barangay Kulawit REQUEST FOR QUOTATION-SHOPPING (Sec. </t>
  </si>
  <si>
    <t xml:space="preserve"> SPCL I Occupational Safety and Health Program lot 1.00 SPCL II Project Billboard lot 1.00 SPCL III Temporary Facility lot 1.00 I. Demolition and Clearing Works lot 1.00 II. Layout and Staking Works lot 1.00 III. Excavation Works  cu.m. 33.36 IV. Embankmen</t>
  </si>
  <si>
    <t xml:space="preserve"> INVITATION TO APPLY FOR ELIGIBILITY AND TO BID The Barangay Local Government Unit of Nato, Taft, Eastern Samar through is Bid and Awards Committee (BAC). Invites suppliers to apply for eligibility, to bid for the hereunder contract: Name of Contract: Purc</t>
  </si>
  <si>
    <t xml:space="preserve"> Supply and Delivery of Bio Composting Machine (Organic Fertilizer Machine and System), Plastic Grinding Machine, Paver Press, Waste Mixer and Waste Baler Machine  Bio Composting Machine (Organic Fertilizer Machine and System), 1 unit Inclusion and Specifi</t>
  </si>
  <si>
    <t xml:space="preserve"> Republic of the Philippines Province of Quezon Municipality of Atimonan Barangay Kulawit Project Reference Number: 2020-08-012 Name of the Project:  Purchase of Handheld Radio Location of the Project:  Barangay Kulawit REQUEST FOR QUOTATION-SHOPPING (Sec.</t>
  </si>
  <si>
    <t xml:space="preserve"> Republic of the Philippines Department of Health DAVAO REGIONAL MEDICAL CENTER Apokon, Tagum City Tel/Fax No.: (084) 216-9129 HOP-QR-PRO-011 BIDS AND AWARDS COMMITTEE ========================================================================== REQUEST FOR Q</t>
  </si>
  <si>
    <t xml:space="preserve"> The LOCAL BARANGAY GOVERNMENT UNIT of Barangay Taleb, intends to apply the sum above-stated being the Approved Budget for the Contract (ABC) to payments under the contract for CONSTRUCTION OF DRAINAGE CANAL W/ STEEL GRATING COVER, specified hereunder: MAT</t>
  </si>
  <si>
    <t xml:space="preserve"> 4 Set Venetian Blind (Sky Blue/Fabric)</t>
  </si>
  <si>
    <t xml:space="preserve"> The LOCAL BARANGAY GOVERNMENT UNIT of Barangay Taleb, intends to apply the sum above-stated being the Approved Budget for the Contract (ABC) to payments under the contract for CONCRETING OF FARM-TO-MARKET ROAD, specified hereunder: MATERIALS COST:        </t>
  </si>
  <si>
    <t xml:space="preserve"> MONTH               TENTATIVE SCHED		 JULY                   1ST WEEK	10	pax AUGUST             1ST WEEK	10	pax SEPTEMBER      1ST WEEK	10	pax OCTOBER           1ST WEEK	10	pax NOVEMBER        1ST WEEK	10	pax DECEMBER         1ST WEEK	10	pax 1 meals &amp; 2 s</t>
  </si>
  <si>
    <t xml:space="preserve"> OPENING OF BIDS IN DSWD FO IX, ZAMBOANGA CITY			 	DELIVERY IN MUNICIPALITY OF PAYAO ZAMBOANGA SIBUGAY PROVINCE			 	PROCUREMENT FOR THE FF.:			 				 100	pax	1 meal, 2 snacks	@	 350.00  		Community Project Devt Workshop		 		Batch 1: August 17, 2020 (50 pax/</t>
  </si>
  <si>
    <t xml:space="preserve"> TO ALL BIDDERS: Interested bidders may obtain further information from the LBGU Barangay Balaleng at the address given below. The Local Barangay Government Unit of Barangay Balaleng serves the right to accept or reject any bid, declares failure of bidding</t>
  </si>
  <si>
    <t xml:space="preserve"> FULL BOARD ACCOMMODATION		 No. of Participants: 15		 No. of Dyas: 2		 July 2-3, 2020                            1st	15	pax September 3-4, 2020               2nd	15	pax AMENITIES:		 Free WIFI access		 Free LCD projector		 Free whiteboard and LCD screen		 F</t>
  </si>
  <si>
    <t xml:space="preserve"> INVITATION TO BID Procurement of Desktop Computers for Various Offices and Campuses in Batangas State University 1.	The Batangas State University, through the Supplemental Budget 2018, PRE FY 2018, STF 2018  intends to apply the sum of Six Million Nine Hu</t>
  </si>
  <si>
    <t xml:space="preserve"> REQUEST FOR QUOTATION Please quote your prices on the supplies listed which the Municipality of Kalawit, Zamboanga del Norte desires to buy item if advantageous to the government. NAME OF PROJECTS			: SUPPLY AND DELIVERY OF 1,300 LITERS DIESEL FUEL(FOR TH</t>
  </si>
  <si>
    <t xml:space="preserve"> 50 bags cement 6 pcs Plywood 2 Unit Baterry 12N12</t>
  </si>
  <si>
    <t xml:space="preserve"> Construction of Sanitary Landfill</t>
  </si>
  <si>
    <t xml:space="preserve"> Construction of Residual Containment Area</t>
  </si>
  <si>
    <t xml:space="preserve"> PDW                          60pax X 3days	60	PAX MIAC TECH               60pax X 3days	60	PAX 1 meals &amp; 2 snacks 		 MEAL:  Lunch		 Rice, 3 viands, side dishes, Desserts, Fruits &amp; Drinks		 SNACKS:		 Am &amp; Pm w/ drinks		 xxxxxxxxxxxxxxxxxxxxxxxxxxxxxxxxxxxx</t>
  </si>
  <si>
    <t xml:space="preserve"> REQUEST FOR QUOTATION (RFQ) SUPPLY AND DELIVERY OF LABORATORY CONSUMABLES UNDER EMB-ERLSD-ENVIRONMENTAL LABORATORY SERVICES SECTION (ELSS) INORGANICS LABORATORY UNIT RFQ NO. EMB-S-ERLSD-ELSS LABORATORY CONSUMABLES 2020-0531(3rd) 1.	The Department of Envir</t>
  </si>
  <si>
    <t xml:space="preserve"> FULL BOARD ACCOMMODATION		 No. of Participants: 12		 No. of Days: 3		 July 20-22, 2020                          1st	12	pax September 1-3, 2020                 2nd	12	pax AMENITIES:		 Free WIFI access		 Free LCD projector		 Free whiteboard and LCD screen		</t>
  </si>
  <si>
    <t xml:space="preserve"> Construction of Municipal Material Nursery Facility Phase 2</t>
  </si>
  <si>
    <t xml:space="preserve"> ...</t>
  </si>
  <si>
    <t xml:space="preserve"> APRIL 2020                   1 DAY	50	PAX JULY 2020                     1 DAY	50	PAX OCTOBER 2020            1 DAY	50	PAX 1 meals &amp; 2 snacks / Meetings		 MEAL:  Lunch		 Rice, 3 viands, side dishes, Desserts, Fruits &amp; Drinks		 SNACKS:		 Am &amp; Pm w/ drinks		</t>
  </si>
  <si>
    <t xml:space="preserve"> 1. 2 Sack Commercial Rice 2.  20 kls. Mongo 3.  20 kls. DRESSED Chicken 4.  20 Kls. Pork 5.  10 Kls. Squash 6.  20 Kls. Potato 7.  5 flat Cooking Oil 8.  5 Kls. Brown Sugar 9.  5 kls. pancit canton 10.  5 kls. Bihon 11.  5 kls. Carrots</t>
  </si>
  <si>
    <t xml:space="preserve"> ITB / BOQ</t>
  </si>
  <si>
    <t xml:space="preserve"> Item No.       Description                                                                    Qty.            Unit                     1. Reflux Condenser                                                                            6                pc 2. Fl</t>
  </si>
  <si>
    <t xml:space="preserve"> 1st                      May 26, 2020	21	pax 2nd                     June 29, 2020	21	pax 3rd                      July 28, 2020	21	pax 4th                      August 27, 2020	21	pax 5th                      September 28, 2020	21	pax 6th                 </t>
  </si>
  <si>
    <t xml:space="preserve"> FULL BOARD ACCOMMODATION		 No. of Participants: 36		 No. of Days: 3		 July 27-29, 2020                          1st	36	pax September 28-30, 2020             2nd	36	pax AMENITIES:		 Free WIFI access		 Free LCD projector		 Free whiteboard and LCD screen		 F</t>
  </si>
  <si>
    <t xml:space="preserve"> 1st                      July 17, 2020	21	pax 2nd                     June 31, 2020	21	pax 3rd                      August 14, 2020	21	pax 4th                      August 28, 2020	21	pax 5th                      September 28, 2020	21	pax 6th              </t>
  </si>
  <si>
    <t xml:space="preserve"> STONE MASONRY WORKS</t>
  </si>
  <si>
    <t xml:space="preserve"> Item No.  Description                                                                   Qty        Unit 1. Hot Plate with magnetic stirrer. Voltage 220V/ 50 Hz                   6            pc     Heating Power: 180W: Motor Power: 10W; Stirring speed    </t>
  </si>
  <si>
    <t xml:space="preserve"> 1 Unit Laptop 1 Unit Printer with Copier</t>
  </si>
  <si>
    <t xml:space="preserve"> AD ASSEMBLY                   60pax X 1day	60	pax O&amp;M/ODM                           60pax X 1day	60	pax PRE-IMP                              60pax X 3days	60	pax MAR                                     60pax X 3days	60	pax ACCOMMODATIONS 60 pax X 1 day		 </t>
  </si>
  <si>
    <t xml:space="preserve"> 1   1 UNIT 14" LAPTOP TOUCHSCREEN TECHNICAL SPECIFICATIONS 1. 1920X1080 IPS TOUCHSCREEN 2.10TH GEN INTEL CORE i5 3. 1035GI Quadcore, 1GHz or i7 1065G7 quadcore 1.8 Ghz 4. 8 GB RAM 5. 512 GB SSD 6. LIGHTWEIGHT, 2.18 POUND (0.9 KG) 7. PORTS: 1 USB - C, 1 - </t>
  </si>
  <si>
    <t xml:space="preserve"> Supply and Delivery of Brand New Cargo Trike Motorcycle with Canopy and Windshield, 13 units Specification: Engine Displacement: 107 ml Nominal Power: 5.2 kw/7500r/min Span:2855 mm Width: 1100mm Maximum Allowable Bearing Capacity: 500 kg Fuel Consumption:</t>
  </si>
  <si>
    <t xml:space="preserve"> 1 Unit Portable Speaker 1 Unit Microphone with Cable 1 Unit Battery 12x12</t>
  </si>
  <si>
    <t xml:space="preserve"> 65 Cavan Rice x 60 kg</t>
  </si>
  <si>
    <t xml:space="preserve"> 1st                      July 17, 2020	14	pax 2nd                     June 31, 2020	14	pax 3rd                      August 14, 2020	14	pax 4th                      August 28, 2020	14	pax 5th                      September 28, 2020	14	pax 6th              </t>
  </si>
  <si>
    <t xml:space="preserve"> CLARK DEVELOPMENT CORPORATION													 Clark Freeport Zone, Philippines													 													 REQUEST FOR QUOTATION													 													 The Clark Development Corporation, through its Purchasing Division(PD), invites suppliers/													</t>
  </si>
  <si>
    <t xml:space="preserve"> MUNICIPALITY OF TABOGON				           				                                                          SUPPLY &amp; DELIVERY OF SUPPLIES &amp; MATERIALS                                                                                                    FOR THE IMPROV</t>
  </si>
  <si>
    <t xml:space="preserve"> Purchase of 3 Unit Portable Speaker</t>
  </si>
  <si>
    <t xml:space="preserve"> INVITATION TO BID PROCUREMENT OF PRIVATE MILLING SERVICES FOR NFA REGION 3 FOR THE YEAR 2020 Project Reference No. NFA - 2020-RBAC-REGIII-029 1. The NATIONAL FOOD AUTHORITY (NFA) Regional Office 3 intends to apply the sum of Thirty Four Million One Hundre</t>
  </si>
  <si>
    <t xml:space="preserve"> FULL BOARD ACCOMMODATION		 No. of Participants: 20		 No. of Days: 2		 August 2020	20	pax October 2020	20	pax AMENITIES:		 Free WIFI access		 Free LCD projector		 Free whiteboard and LCD screen		 Fully airconditioned		 Free Sounds System and accessories w/</t>
  </si>
  <si>
    <t xml:space="preserve"> Supply and delivery of school and office supplies .</t>
  </si>
  <si>
    <t xml:space="preserve"> Republic of the Philippines					 Province of Bukidnon					 Municipality of Lantapan					 					 INVITATION TO BID FOR THE CONSTRUCTION OF LANDMARK:					 WELCOME SIGNAGES AT BARANGAY BUGCAON AND BASAC (1ST BID)					 					 1	The Local Government Unit of Lant</t>
  </si>
  <si>
    <t xml:space="preserve"> SOLAR POWERED STREETLIGHTS</t>
  </si>
  <si>
    <t xml:space="preserve"> FULL BOARD ACCOMMODATION		 No. of Participants: 11		 No. of Days: 3		 July 20-23, 2020                            1st	11	pax September 21-23, 2020               2nd	11	pax AMENITIES:		 Free WIFI access		 Free LCD projector		 Free whiteboard and LCD screen</t>
  </si>
  <si>
    <t xml:space="preserve"> ACCOMMODATION 110 pax X 2 DAYS	110	pax MEALS:		 Rice, 3-viands, side dishes, Desserts, Fruits &amp; Drinks		 SNACKS:		 Am &amp; Pm w/ drinks		 FUNCTION:		 Can accommodate required number of Pax		 Tables and Chairs		 Sound Systems		 Accesible CR w/ tissue and Soap</t>
  </si>
  <si>
    <t xml:space="preserve"> Computer,HArd drive Opening of bidding is on August 14, 2020 9:00am at Barangay Hall, Barangay Southside, Makati City</t>
  </si>
  <si>
    <t xml:space="preserve"> Repair and Improvement of DCC Building - Bicobian</t>
  </si>
  <si>
    <t xml:space="preserve"> Deadline of submission of quotation is on August 6, 2020 9:00am at Barangay Hall, Barangay Southside, Makati City</t>
  </si>
  <si>
    <t xml:space="preserve"> Item No.                  Description                                   Qty.           Unit 1. Office Table, L-shape Office table with keyboards        3               pc    and CPU holder / L-shape Table desk walnut black 2. Side Drawer, Mobile Pedestal </t>
  </si>
  <si>
    <t xml:space="preserve"> deadline for submission of quotation will be on August 6, 2020 9:00am at Barangay Hall, Barangay Southside, Makati City</t>
  </si>
  <si>
    <t xml:space="preserve"> Request for Quotation Date: 8/3/2020 Quotation No. _______ ____________________________________________ Name of Dealer/Supplier/Distributor _________________________ Business Address Please quote your lowest price on the item/s listed below, subject to th</t>
  </si>
  <si>
    <t xml:space="preserve"> Republic of the Philippines DEPARTMENT OF THE INTERIOR &amp; LOCAL GOVERNMENT Pres. Corazon C. Aquino Regional government Center Balintawak, Pagadian City Tellefax No. (062) 925-0252 INVITATION TO  BID The DEPARTMENT OF THE INTERIOR &amp; LOCAL GOVERNMENT, Region</t>
  </si>
  <si>
    <t xml:space="preserve"> Two (2) Set, Door lockset, bored type, chrome and 64 Other line items.</t>
  </si>
  <si>
    <t xml:space="preserve"> Construction of CAFF Building Phase 2</t>
  </si>
  <si>
    <t xml:space="preserve"> 103	bags	Portland Cement 9	cu.m.	Screened Gravel 8	cu.m.	Washed Sand 95	pcs.	10mm dia. X 6m RSB 7	kls.	Tie Wire #16 790	pcs.	C.H.B. 4" x 8" x 16' 1	pcs.	Ordinary Plywood 1/4"x4'x8' 53.33	bf	Coco lumber2x2x12 53.33	bf	Good Lumber 1"x8"x10' 1	1	Assorted \C.</t>
  </si>
  <si>
    <t xml:space="preserve"> Fourteen (14), Ea, Memento (Glass Plaque) and 4 Other line items.</t>
  </si>
  <si>
    <t xml:space="preserve"> Rescue tools, equipments and accessories</t>
  </si>
  <si>
    <t xml:space="preserve"> REQUEST FOR QUOTATION (RFQ)  PREVENTIVE MAINTENANCE, VALIDATION, AND DECONTAMINATION OF ONE (1) BIOLOGICAL SAFETY CABINET (S/N: 2017-T10148) UNDER EMB-ERLSD-ELSS-ECMU RFQ NO. 2020-0605-EMB-SVP-ERLSD-ECMU BSC PM (3rd)   1.	The Department of Environment and</t>
  </si>
  <si>
    <t xml:space="preserve"> Invitation to Bid All prospective bidders are invited to bid on the above items. The Municipality of Boac reserves the right to accept or reject any bid, to annul the bidding process, and to reject all bids at any time prior to contract award, without the</t>
  </si>
  <si>
    <t xml:space="preserve"> INVITATION TO BID PURCHASE OF BARANGAY DISASTER RISK REDUCTION MANAGEMENT COMMITTEE (BDRRMC) RESCUE VEHICLE OF BRGY. SALVACION, PANABO CITY 1.	The Barangay Salvacion of Panabo City, through (RRSTF) REMOTE REGISTRY OF SPECIAL TRUST FUND intends to apply th</t>
  </si>
  <si>
    <t xml:space="preserve"> Notice for Negotiated Procurement All prospective bidders are invited to bid on the above items. The Municipality of Boac reserves the right to accept or reject any bid, to annul the bidding process, and to reject all bids at any time prior to contract aw</t>
  </si>
  <si>
    <t xml:space="preserve"> The Nueva Ecija University of Science and Technology through its Bids and Awards Committee (BAC), invites entities to bid for the hereunder projects: Name of Project: Purchase of ICT Supplies, Materials and Equipment Location: College of Education, NEUST </t>
  </si>
  <si>
    <t xml:space="preserve"> Department of Education Region VI – Western Visayas Division of Aklan District of Malinao MALINAO ELEMENTARY SCHOOL REQUEST FOR QUOTATION (RFQ) Project No.: Dep-Ed-RO6-D1-MOOE – REPRODUCTION EQUIPMENT- 007-2020 The Malinao Elementary School of Division of</t>
  </si>
  <si>
    <t xml:space="preserve"> Description 1. The BARANGAY DISTRICT 16, AGUA DULCE, ORMOC CITY, LEYTE through (20% DEVELOPMENT FUND) intends to apply the sum of ONE HUNDRED THOUSAND PESOS  (PhP 100,000.00) only being the Approved Budget for the Contract (ABC) to payments under the cont</t>
  </si>
  <si>
    <t xml:space="preserve"> The Barangay Government of Concepcion Pequeña, Naga City intends to apply for the sum of Five Hundred Fifty Thousand Pesos (Php 550,000.00) to payments under the contract for the proposed Drainage at Zone 4B, De La Paz (3rd) Street, Doña Clara Village, Co</t>
  </si>
  <si>
    <t xml:space="preserve"> Ascorbic acid and multi vitamins</t>
  </si>
  <si>
    <t xml:space="preserve"> The Pasay City Government – Office of the Vice Mayor, through its Bids and Awards Committee, intends to apply the sum of Sixty Thousand Pesos (Php60,000.00) being the Approved Budget for the Contract (ABC) for the  project: Proposed Repair and Replacement</t>
  </si>
  <si>
    <t xml:space="preserve"> MUNICIPALITY OF TABOGON				           				                                                       SUPPLY &amp; DELIVERY OF SUPPLIES &amp; MATERIALS                                                                              FOR THE CONCRETE PAVEMENT OF TENNIS COU</t>
  </si>
  <si>
    <t xml:space="preserve"> Fifty Eight (58) pck, Sauce Spaghetti 680g and 35 Other line items.</t>
  </si>
  <si>
    <t xml:space="preserve"> The Department of Education - Impasugong National High - Junior High School Bids and Awards Committee has decided and agreed to send another Agency Procurement Receipt at PS-DBM Cagayan de Oro City to purchase the needed supplies for the module reproducti</t>
  </si>
  <si>
    <t xml:space="preserve"> Republic of the Philippines Region XII Province of Cotabato BIDS AND AWARDS COMMITTEE Amas, Kidapawan City INVITATION TO BID FOR Supply &amp; Delivery of 3 units Brand New Utility Vehicle, Double Cabin Dropside for Provincial Engineer’s Office, Amas, Kidapawa</t>
  </si>
  <si>
    <t xml:space="preserve"> Republic of the Philippines Region XII Province of Cotabato BIDS AND AWARDS COMMITTEE Amas, Kidapawan City INVITATION TO BID FOR Supply &amp; Delivery of Certified Palay Seeds for production support to rice farmers in the Province of Cotabato. (PB-20-377) 1.	</t>
  </si>
  <si>
    <t xml:space="preserve"> CARTRIDGE, HP1102 - 5 CARTRIDGE</t>
  </si>
  <si>
    <t xml:space="preserve"> Republic of the Philippines Region XII Province of Cotabato BIDS AND AWARDS COMMITTEE Amas, Kidapawan City INVITATION TO BID FOR Supply &amp; Delivery of Brand New Utility Vehicle (Pick-Up) for Provincial Project &amp; Monitoring Committee (PPMC). (PB-20-372) 1.	</t>
  </si>
  <si>
    <t xml:space="preserve"> CIRCUIT BREAKER WITH ENCLOSURE 60AMPS - 1PC CIRCUIT BREAKER WITH ENCLOSURE 30AMPS - 1PC PDX WIRE #12 -1 METER SPECIAL OUTLET WITH ENCLOSURE - 2PCS/PACKS PDX WIRE STAPLE FOR #12 -2PCS/PACKS ELECTRICAL TAPE - 3 ROLLS DRILL BIT, MASON #5 - 1 PACK RUBBER TAPE</t>
  </si>
  <si>
    <t xml:space="preserve"> Improvement/Rehabilitation of Drainage System</t>
  </si>
  <si>
    <t xml:space="preserve"> UNIT	ITEMS &amp; DESCRIPTION/S		QTY 	Printing of Rubberwood Manual		 pc	1) Manual on Sawmilling		100 	Size: 21 x 29.7cm		 	# of pages incl cover: 40		 	Paper: cover: FC 149 gsm, matte laminated, full color 		 	Inside: bookpaper, 80 gsm, full color		 pc	2) Man</t>
  </si>
  <si>
    <t xml:space="preserve"> One Hundred (100) pk, Crackers with Whole Wheat 400g and 30 Other line items.</t>
  </si>
  <si>
    <t xml:space="preserve"> The SANGGUNIANG BARANGAY OF BARANGAY BANJO WEST, TANAUAN CITY, BATANGAS, through the Barangay Operating Budget 2020 intends to apply the sum of Fifty Thousand Pesos Only (Php 50,000.00) being the Approved Budget of the Contract (ABC) to payment under the </t>
  </si>
  <si>
    <t xml:space="preserve"> Description Attached</t>
  </si>
  <si>
    <t xml:space="preserve"> 2         PCS       OFFICE TABLE, 3 DRAWERS, 25W X 48L X 30H INCHES 2         PCS        OFFICE REVOLVING CHAIR, LEATHERETTE 2         PCS        POLYETHYLENE FOLDABLE TABLE, 6FEET 12       PCS        MONOBLOC CHAIR, COLOR YELLOW</t>
  </si>
  <si>
    <t xml:space="preserve"> Computer Table, black/brown, with drawers Computer chair, with arm rest, black</t>
  </si>
  <si>
    <t xml:space="preserve"> 1			2			units				Thermal Scanner with Stand and System Management																			 										System Management inclusion 1 unit Desktop, 1 unit 22" LED Monitor, Mouse and Keyboard, 1 unit Wifi Repeater, Real Time Dashboard System and Facial Recognition</t>
  </si>
  <si>
    <t xml:space="preserve"> PRINTER INK REFILL, CANON G3010/ G2010, BLACK - 5BOTTLES PRINTER INK REFILL, EPSON L120, BLACK - 15 BOTTLED PRINTER INK REFILL, EPSON L120, CYAN - 5 BOTTLES PRINTER INK REFILL, EPSON L120, YELLOW - 5 BOTTLES PRINTER INK REFILL, EPSON L120, MAGENTA - 5 BOT</t>
  </si>
  <si>
    <t xml:space="preserve"> Republic of the Philippines Region XII Province of Cotabato BIDS AND AWARDS COMMITTEE Amas, Kidapawan City INVITATION TO BID FOR Supply of Petroleum Products for RP vehicles use in the conduct of various programs, projects and activities of the province .</t>
  </si>
  <si>
    <t xml:space="preserve"> Tarpaulin. garbage bag, trash bin opening of bid will be on august 14, 2020 9:00am at Barangay Hall,Barangay Southside, Makati City</t>
  </si>
  <si>
    <t xml:space="preserve"> Republic of the Philippines Region XII Province of Cotabato BIDS AND AWARDS COMMITTEE Amas, Kidapawan City INVITATION TO BID FOR Supply &amp; Delivery of Laboratory Reagents for Cotabato Provincial Hospital, Amas, Kidapawan City. (PB-20-422) 1.	The Provincial</t>
  </si>
  <si>
    <t xml:space="preserve"> Republic of the Philippines Province of Agusan del Sur MUNICIPALITY OF PROSPERIDAD BIDS AND AWARDS COMMITTEE NOTICE FOR NEGOTIATED PROCUREMENT NO. 2020-068 The Municipal Government of PROSPERIDAD, Province of Agusan del Sur, through its Bids and Awards Co</t>
  </si>
  <si>
    <t xml:space="preserve"> NOTICE TO THE PUBLIC  REQUEST FOR QUOTATION                                           AMP SVP-S NO: 20-07-0332B	             	 The University of the Philippines, System (UPS) hereby informs the public that it will be procuring the following item/s through</t>
  </si>
  <si>
    <t xml:space="preserve"> INVITATION TO BID Republic of the Philippines Province of Antique Municipality of Anini-y Barangay Casay Viejo, Anini-y Antique BIDS &amp; AWARDS COMMITTEE Invitation to Bid for CONSTRUCTION OF MULTI-PURPOSE FENCE 	 The BLGU, Casay Viejo, Anini-y,  Antique, t</t>
  </si>
  <si>
    <t xml:space="preserve"> Republic of the Philippines Region XII Province of Cotabato BIDS AND AWARDS COMMITTEE Amas, Kidapawan City INVITATION TO BID FOR Supply &amp; Delivery of Medicines for Cotabato Provincial Hospital, Amas, Kidapawan City. (PB-20-419) 1.	The Provincial Governmen</t>
  </si>
  <si>
    <t xml:space="preserve"> Renovation of Dilapidated Wooden Grandstand</t>
  </si>
  <si>
    <t xml:space="preserve"> Republic of the Philippines Region XII Province of Cotabato BIDS AND AWARDS COMMITTEE Amas, Kidapawan City INVITATION TO BID FOR Supply &amp; Delivery of Medicines for Cotabato Provincial Hospital, Amas, Kidapawan City. (PB-20-418) 1.	The Provincial Governmen</t>
  </si>
  <si>
    <t xml:space="preserve"> Republic of the Philippines Region XII Province of Cotabato BIDS AND AWARDS COMMITTEE Amas, Kidapawan City INVITATION TO BID FOR Supply &amp; Delivery of Medicines for Cotabato Provincial Hospital, Amas, Kidapawan City. (PB-20-417) 1.	The Provincial Governmen</t>
  </si>
  <si>
    <t xml:space="preserve"> Sixty (60) roll, Acetate Plastic #3 50 mtr/roll and 37 Other line items.</t>
  </si>
  <si>
    <t xml:space="preserve"> One (1) Pc, Air cleaner and 18 Other line items.</t>
  </si>
  <si>
    <t xml:space="preserve"> Republic of the Philippines Province of Agusan del Sur MUNICIPALITY OF PROSPERIDAD BIDS AND AWARDS COMMITTEE NOTICE FOR NEGOTIATED PROCUREMENT NO. 2020-067 The Municipal Government of PROSPERIDAD, Province of Agusan del Sur, through its Bids and Awards Co</t>
  </si>
  <si>
    <t xml:space="preserve"> Republic of the Philippines Region XII Province of Cotabato BIDS AND AWARDS COMMITTEE Amas, Kidapawan City INVITATION TO BID FOR Supply &amp; Delivery of Various Supplies for MuseyoKutawato, Amas, Kidapawan City. (PB-20-424) 1.	The Provincial Government of Co</t>
  </si>
  <si>
    <t xml:space="preserve"> Materials for Continuation of Rehabilitation of Creek at Diamond Village</t>
  </si>
  <si>
    <t xml:space="preserve"> Republic of the Philippines Region XII Province of Cotabato BIDS AND AWARDS COMMITTEE Amas, Kidapawan City INVITATION TO BID FOR Supply &amp; Delivery of Medical Supplies for Cotabato Provincial Hospital, Amas, Kidapawan City. (PB-20-420) 1.	The Provincial Go</t>
  </si>
  <si>
    <t xml:space="preserve"> Materials for Rehabilitation/Elevation of Pathway at Sitio Acacia</t>
  </si>
  <si>
    <t xml:space="preserve"> Widening of Barangay Road, Laying of CHB &amp; Installation of Grating</t>
  </si>
  <si>
    <t xml:space="preserve"> Item No.               Description                                        QTY                 Unit 1.   Clamp Carrier                                                          24                    units 2. Dowel Cutter Head (6; 8; 10;12;16MM Blade dia    </t>
  </si>
  <si>
    <t xml:space="preserve"> The City Government Caloocan requests the submission of price quotations for the Supply and Delivery of Liquid Bleach for City Operations Against the Threat of Corona Virus Disease (COVID 19) ABC:  P630,000.00	 Delivery Period:  within 30 days upon receip</t>
  </si>
  <si>
    <t xml:space="preserve"> 1. The Energy Regulatory Commission (ERC), through the continuing Appropriation for Fiscal Year 2019, intends to apply the sum of Ten Million Nine Hundred Thousand Pesos (PhP10,900,000.00) inclusive of all government taxes and other charges and fees, bein</t>
  </si>
  <si>
    <t xml:space="preserve"> Materials for Rehabilitation of Pathway at Arellano Riverside</t>
  </si>
  <si>
    <t xml:space="preserve"> Republic of the Philippines Province of Isabela LOCAL GOVERNMENT UNIT OF BENITO SOLIVEN INVITATION TO BID FOR THE CONSTRUCTION OF 250 METERS CONCRETE CANAL AT BARANGAY MALUNO NORTE 1.	The Municipal Government of Benito Soliven, intends to apply the sum of</t>
  </si>
  <si>
    <t xml:space="preserve"> Description CITY GOVERNMENT OF DIGOS INVITATION TO BID The City Government of Digos thru the Bids and Awards Committee(BAC) invited interested suppliers/contractors to apply for eligibility screening and if subsequently found eligible to bid for the procu</t>
  </si>
  <si>
    <t xml:space="preserve"> 1			4			unit				Split Type/Wall Mounted Aircon, Inverter, 1.0 hp, Coverage:10-15sqm, with hanger bracket and installation																			 																													 2			5			unit				Washing Machine, 13kg</t>
  </si>
  <si>
    <t xml:space="preserve"> Materials for Elevation of Pathway at Sitio Bay Bay</t>
  </si>
  <si>
    <t xml:space="preserve"> 1			11			unit				Air Purifier, with 6-stage air filtration system, coverage 45-60sqm																			 2			20			unit				Air Purifier, True HEPA-Type Filter, coverage 40sqm																			 3			6			unit				Air Purifier, True HEPA-Type Filter, coverage 2</t>
  </si>
  <si>
    <t xml:space="preserve"> SCOPE OF WORKS: B.5	Project Billboard &amp; Signboard	2.00	each		 101(4)a3	Removal of Structures/Obstructions, 910 mm dia. RCPC	5.00	ln.m. 102(2)	Roadway Excavation (Surplus Common)	1,311.25	cu.m. 103(6)a	Pipe Culverts and Drain Excavation (Common Soil)	31.30</t>
  </si>
  <si>
    <t xml:space="preserve"> Materials for Construction of Pathway at Sitio Calima</t>
  </si>
  <si>
    <t xml:space="preserve"> INVITATION TO APPLY FOR ELIGIBILITY AND TO BID The City of San Juan, Metro Manila, through its Bids and Awards Committee (BAC), invites interested parties to apply for an Eligibility and if found eligible to bid for the – Name of Project  Laundry Services</t>
  </si>
  <si>
    <t xml:space="preserve"> 1.The Energy Regulatory Commission (ERC), through the continuing Appropriation for Fiscal Year 2019, intends to apply the sum of Three Million Pesos (PhP3,000,000.00) inclusive of all government taxes and other charges and fees, being the Approved Budget </t>
  </si>
  <si>
    <t xml:space="preserve"> One (1) Ea, Compressor, LRA 49 and 21 Other line items.</t>
  </si>
  <si>
    <t xml:space="preserve"> 1      UNIT      LAPTOP COMPUTER                       Intel Core i5- 10210U                       4GB DDR4 RAM                       256GB M.2 Pcle NVMe SSD                       NviDia Graphics MX230                       14' LED Display                </t>
  </si>
  <si>
    <t xml:space="preserve"> SCOPE OF WORKS: B.5	Project Billboard &amp; Signboard	2.00	each	 102(2)	Roadway Excavation (Surplus Common)	196.25	cu.m. 103(6)a	Pipe Culverts &amp; Drainage Excavation, Common Soil	3.99	cu.m. 104(1)a	Embankment from Road Excavation	175.00	cu.m. 105(1)a	Subgrade </t>
  </si>
  <si>
    <t xml:space="preserve"> Republic of the Philippines Province of Iloilo BINGAWAN WATER DISTRICT Municipal Hall, Pagara St., Poblacion, Bingawan, Iloilo INVITATION TO BID for DRILLING OF EXPLORATORY/PRODUCTION WELLS (Provision of Water Supply System to Non-operational Water Distri</t>
  </si>
  <si>
    <t xml:space="preserve"> ITEM  No.       QTY	UNIT OF MEASUREMENT	ITEM DESCRIPTION 1	              1	UNIT                          	CUTTER PLOTTER 24” 630 2	              1	UNIT	                                HEAT PRESS 15” X 15” 3	              1	UNIT                            </t>
  </si>
  <si>
    <t xml:space="preserve"> Supply and Delivery of Electrical Materials and Supplies for Installation of Solar Street Lights Sitio Sto.Niño</t>
  </si>
  <si>
    <t xml:space="preserve"> SCOPE OF WORKS: A.1.1(8)	Provision of Field Office	8.00	month B.3	Project Billboard &amp; Signboard	2.00	each B.7	Occupational Safety and Health Program	8.00	months B.8 (2)	Traffic Management	1.00	l.s B.9	Mobilization/Demobilization	1.00	l.s 101(6)	Removal of</t>
  </si>
  <si>
    <t xml:space="preserve"> Purchase of Plastic Expanding Envelopes with Handle and Lock</t>
  </si>
  <si>
    <t xml:space="preserve"> Please quote your lowest price inclusive of TAXES on the item/s listed below, subject to Item Description and Terms and Conditions of this RFQ, and submit your quotation duly signed by you or your representative not later than 10:00 A.M of August 6, 2020 </t>
  </si>
  <si>
    <t xml:space="preserve"> Republic of the Philippines Province of Isabela LOCAL GOVERNMENT UNIT OF BENITO SOLIVEN INVITATION TO BID FOR THE ROAD CONCRETING AND INSTALLATION OF RC PIPES AT BARANGAY SEVILLANA 1.	The Municipal Government of Benito Soliven, intends to apply the sum of</t>
  </si>
  <si>
    <t xml:space="preserve"> RECONSTRUCTION OF CANAL LINING W/ CONCRETE COVER A. MATERIALS: 1,050 pcs CHB # 4 160 bags PORTLAND CEMENT 12 cu. m. WHITE SAND 7 cu.m. GRAVEL 117 pcs RSB 10mmØ x 6m 2 rolls G.I. TIE WIRE # 16 100 bd. ft. CUCULUMBER 7 pcs. ORDINARY PLYWOOD, 1/4" x 4' x 8' </t>
  </si>
  <si>
    <t xml:space="preserve"> 1. 25	pack	Ballpen , black, 0.5mm, 12pcs/pack 2. 13	pack	Ballpen blue, 0.5mm, 12 pcs/pack 3. 10	pack	Ballpen red, 0.5mm, 12 pcs/pack 4. 32	piece	Eraser, plastic/rubber, for pencil draft/writing 5. 6	piece	Pencil Sharpener, manual single cutter head 6. 19	</t>
  </si>
  <si>
    <t xml:space="preserve"> Republic of the Philippines Province of Isabela LOCAL GOVERNMENT UNIT OF BENITO SOLIVEN INVITATION TO BID FOR THE CONCRETING OF 40 METERS ROAD AT BARANGAY MALUNO NORTE 1.	The Municipal Government of Benito Soliven, intends to apply the sum of Four Hundred</t>
  </si>
  <si>
    <t xml:space="preserve"> Materials for Construction of Drainage System at Zone 7</t>
  </si>
  <si>
    <t xml:space="preserve"> Republic of the Philippines Province of Iloilo MUNICIPALITY OF BINGAWAN Office of the Bids and Awards Committee INVITATION TO RE-BID PURCHASE OF MATERIALS FOR THE CONSTRUCTION OF DRAINAGE SYSTEM Name of Project 1.	The Local Government Unit of Bingawan, th</t>
  </si>
  <si>
    <t xml:space="preserve"> Republic of the Philippines Province of Agusan del Sur MUNICIPALITY OF PROSPERIDAD BIDS AND AWARDS COMMITTEE NOTICE FOR NEGOTIATED PROCUREMENT NO. 2020-066 The Municipal Government of PROSPERIDAD, Province of Agusan del Sur, through its Bids and Awards Co</t>
  </si>
  <si>
    <t xml:space="preserve"> Republic of the Philippines Region XII Province of Cotabato BIDS AND AWARDS COMMITTEE Amas, Kidapawan City INVITATION TO BID FOR Supply &amp; Delivery of High Volume Low Speed Ceiling Fan for PSWDO-Warehouse, Amas, Kidapawan City. (PB-20-426) 1.	The Provincia</t>
  </si>
  <si>
    <t xml:space="preserve"> The City Government Caloocan requests the submission of price quotations for the Supply and Delivery of Alcohol for City Operations Against the threat of Corona Virus Disease (COVID 19) ABC:  P989,510.00	 Delivery Period:  within 30 days upon receipt of P</t>
  </si>
  <si>
    <t xml:space="preserve"> The Pasay City Government – Office of the City Engineer, through its Bids and Awards Committee, intends to apply the sum of Fifty Three Thousand Two Hundred Pesos (Php53,200.00) being the Approved Budget for the Contract (ABC) for the  project: Proposed R</t>
  </si>
  <si>
    <t xml:space="preserve"> 10 pcs PC Webcam 10 pcs Headset with Mic 1 unit SATA HDD 1TB 2 units Document Scanner 1 unit Laptop (Core i7) 1 unit Microphone for DSLR Camera</t>
  </si>
  <si>
    <t xml:space="preserve"> 1	roll	Polyester microfiber (green) - abrasion resistant, dries			10 		  quickly, durable, lightweight, strong, wrinkle resistant,			 		  and hydrophobic 90 width			 					 2	roll	Polyester microfiber (green) - abrasion resistant, dries			10 		  quickly, d</t>
  </si>
  <si>
    <t xml:space="preserve"> MAsonry, steel works, plumbing works for handwashing facility of Rizal ES</t>
  </si>
  <si>
    <t xml:space="preserve"> 1	bgs	Cement			60 2	loads	Sand (S1)			10 3	loads	Gravel (3/4)			6 4	pcs	4" CHB			460 5	pcs	10mm Deformed Bar			36 6	pcs	GI Tie Wire			4 7	pcs	1-1/2" GI Pipe Sch.40			10 8	pcs	6x20 Steel Matting			12 9	pcs	1x1" Angel Bar			50 10	pcs	1-1/2" Angel Bar			16 1</t>
  </si>
  <si>
    <t xml:space="preserve"> Plastic Protective Plastic sheet for New Accounts Counter , Teller's Cage (with mobilization cost) to be installed at LBP Puerto Princesa City Branch .  Please see attached lay out for more detailed instruction. All interested supplier may submit their se</t>
  </si>
  <si>
    <t xml:space="preserve"> Republic of the Philippines  Barangay 601, Zone 59, District VI, Manila Bids and Awards Committee INVITATION TO BID Barangay 601, Zone 59, District VI, Manila through its Bids and Awards Committee (BAC), Invites all Suppliers Contractors to bid the here u</t>
  </si>
  <si>
    <t xml:space="preserve"> Offices: Mayor's Office ---------------------------------------------------------- 115,000.00 SB Office ----------------------------------------------------------------  60,000.00 Planning Office --------------------------------------------------------- 1</t>
  </si>
  <si>
    <t xml:space="preserve"> Republic of the Philippines PROVINCE OF NUEVA ECIJA City of Palayan INVITATION TO BID FOR  SUPPLY AND DELIVERY OF MEALS FOR THE USE OF PDRRMO (SUBJECT TO ORDERING AGREEMENT) August 3, 2020 1.	The Provincial Government of Nueva Ecija (PGNE), through the Ge</t>
  </si>
  <si>
    <t xml:space="preserve"> 1   2 UNIT NUTRI -TECH AIR PURIFICATION SYSTEM (10 STAGES) Color: black and white 92.95 SQ. MT. 2   2 UNIT NUTRI -TECH AIR PURIFICATION SYSTEM (6 STAGES)  COLOR BLACK &amp; WHITE 34.86 SQ. MT</t>
  </si>
  <si>
    <t xml:space="preserve"> Agricultural Training Institute Regional Training Center, MiMaRoPa (ATI-RTC-MiMaRoPa) invites interested bidders/suppliers to submit quotation/proposals for the here under requirement: Room Accommodation for the conduct of Training on High Quality Inbred </t>
  </si>
  <si>
    <t xml:space="preserve"> 1 3,000 Ltrs. Diesel  2  240 Ltrs. Gasoline TERMS: 1. PAYMENT WILL E BASE ON ACTUAL PUMP PRICE 2. PAYMENT WILL BW MADE PER QUINCINA 3. THE SUPPLIER MUST SUBMIT THE STATEMENT OF ACCOUNT EVERY 15TH AND 30TH END OF THE MONTH 4. THE SUPPLIER MUST BASE IN IGAC</t>
  </si>
  <si>
    <t xml:space="preserve"> INVITATION TO APPLY FOR ELIGIBILITY AND TO BID The City of San Juan, Metro Manila, through its Bids and Awards Committee (BAC), invites interested parties to apply for an Eligibility and if found eligible to bid for the – Name of Project One (1) Lot –Pest</t>
  </si>
  <si>
    <t xml:space="preserve"> 1.  5 SETS  MARYAMA TARPAULIN 15 FT X 25 FT 2.  2 SETS  MARYAMA TARPAULIN 18 FT X 24 FT</t>
  </si>
  <si>
    <t xml:space="preserve"> Please quote your lowest price on the following items below:</t>
  </si>
  <si>
    <t xml:space="preserve"> Please quote your lowest quotation on the following items: 1. TK-594 Black				 2. TK-594 Cyan				 3. TK-594 Magenta				 4. TK-594 Yellow				 5. Toner Cartridge (all color) for Photocopier (set)				 6. Toner Ink Toshiba Task Alfa 2802 am</t>
  </si>
  <si>
    <t xml:space="preserve"> 1 3,000 PCS GERMICIDAL SOAP (60 GRAMS, BRANDED)  2 2,500 BOT BLEACHING LIQUID (100ML, BRANDED) Remarks : 1. SUPPLIER MUST BE LOCATED WITHIN DAVAO DEL NORTE. 2. ITEMS MUST BE DELIVERED AFTER THE PO IS SERVED.</t>
  </si>
  <si>
    <t xml:space="preserve"> Please quote your lowest price on the following items: 1. Epson 673 Black				 2. Epson 673 Cyan				 3. Epson 673 Light Cyan				 4. Epson 673 Light Magenta				 5. Epson 673 Magenta				 6. Epson 673 Yellow				 7. Brother LC565 XL C (cyan) ink cartridge (for</t>
  </si>
  <si>
    <t xml:space="preserve"> TONER TN 118					20	PCS</t>
  </si>
  <si>
    <t xml:space="preserve"> ITEM DESCRIPTION	   Quantity (QTY)			 	          Printing Services of Learners Module		 	of Daraga National High School		 	 Specification:		 	Book Paper #60 @ ₱0.50/page  one side printing		 	Sorted and Stapled/module	 	 		 1	Grade 7	pages	 396,495.00  2	</t>
  </si>
  <si>
    <t xml:space="preserve"> INVITATION TO APPLY FOR ELIGIBILITY AND TO BID The City of San Juan, Metro Manila, through its Bids and Awards Committee (BAC), invites interested parties to apply for an Eligibility and if found eligible to bid for the – Name of Project One (1) Lot –Supp</t>
  </si>
  <si>
    <t xml:space="preserve"> ALCOHOL, ETHYL 68% - 70% scented, 500ml							12	bot Ballpen Black													190	pc Ballpen Blue													30	pc Battery AA 2's													4	set Binder Clip backfold, all metal 25mm									10	box Binder Clip backfold, all metal 32mm									18	box B</t>
  </si>
  <si>
    <t xml:space="preserve"> Republic of the Philippines Province of Iloilo Municipality of Lambunao Office of the Bids &amp; Awards Committee INVITATION TO BID/ REQUEST FOR PRICE QUOTATION Name of Project: Purchase of Materials for the Repair of Pay Loader 02 Location: Lambunao, Iloilo </t>
  </si>
  <si>
    <t xml:space="preserve"> 5	set	Desktop Computer		 		AMD Athlon 3.6Ghz		 		MSI Motherboard		 		500GB HDD		 		4GB DDR3 (1600)		 		LED Monitor 19"		 		Keyboard &amp; Mouse		 		AVR 650 watts		 Purpose: to purchase office supply ABC: Php 105,000.00 Bid Opening: August 10, 2020 @ 10:00 AM </t>
  </si>
  <si>
    <t xml:space="preserve"> Invitation to Bid for  PROCUREMENT OF PURCHASE OF PIPES The Barangay Government of KIMLAWIS, Kiblawan, Davao del Sur through the SMI  Fund FY 2020 [ In the case of National Government Agencies, the General Appropriations Act and/or continuing appropriatio</t>
  </si>
  <si>
    <t xml:space="preserve"> 1.	The Capiz Provincial Government, through the GOP–2020 intends to apply the total amount Two Million Nine Hundred Twenty-Eight Thousand One Hundred Thirty-Nine Pesos (Php 2,928,139.00) being the total Approved Budget for the Contract (ABC) to payments u</t>
  </si>
  <si>
    <t xml:space="preserve"> Printing and delivery of modules for grades 7-10 learners in all learning areas for the first quarter</t>
  </si>
  <si>
    <t xml:space="preserve"> Pest Control (termite) for Library Room.</t>
  </si>
  <si>
    <t xml:space="preserve"> INVITATION TO BID ITB No.: VIII-03-02 The Barangay Luyang Municipality of Sibalom through its Bids &amp; Awards Committee (BAC), invites bidders/contractors to apply for eligibility and to bid for the hereunder project: Project : Purchase of Agricultural Mach</t>
  </si>
  <si>
    <t xml:space="preserve"> NOTICE OF NEGOTIATED PROCUREMENT PROCUREMENT OF TARPAULINS FOR INFORMATION DISSEMINATION OF THE PUBLIC INFORMATION OFFICE  The City Government of Navotas, through its Bids and Awards Committee, will conduct a NEGOTIATED PROCUREMENT FOR PROCUREMENT OF TARP</t>
  </si>
  <si>
    <t xml:space="preserve"> Request for Quotation Please quote your lowest price on the item(s) listed below, subject to the Terms and Conditions stated below and submit your quotation duly signed by your representative not later than 10:00am of August 06, 2020 in the return envelop</t>
  </si>
  <si>
    <t xml:space="preserve"> 4	pcs	Sleeve Type Coupling 4"		 4	pcs	Union Coupling/PE Coupler		 Purpose: intended for Waterworks Operation ABC: Php 50,540.00 Bid Opening: August 10, 2020 @ 2:00 PM New Municipal Building - BAC Office Poblacion, Rosario, Agusan del Sur Fund Source: GF D</t>
  </si>
  <si>
    <t xml:space="preserve"> LED Bulb 5.5w/e27 daylight 										166	pcs LED Bulb 3w mini/e27 daylight										130	pcs LED Bulb 3w mini/e27 warmlight										90	pcs Angle Bar 1½ x 1/4 												1	pcs Fluorescent bulb 40w, daylight										30	set Fluorescent bulb 20w, daylight		</t>
  </si>
  <si>
    <t xml:space="preserve"> Invitation to Submit Quotation Date:  July 30, 2020 Canvass/Quotation No.: 2020-07-089  	 To All Eligible Service Providers/Bidders I. Please quote your lowest price inclusive of VAT on the items/ listed below, subject to the Terms and Conditions of this </t>
  </si>
  <si>
    <t xml:space="preserve"> INVITATION TO QUOTE Date:  July 30, 2020 1.	The Provincial Government of Davao del Sur, through its Bids and Awards Committee (BAC), invites all interested bidders/suppliers to quote for the following goods under Alternative Methods of Procurement ([Shopp</t>
  </si>
  <si>
    <t xml:space="preserve"> REQUEST FOR QUOTATION 	 The Local Government Unit of General Santos City thru its Bids and Awards Committee invites interested suppliers for (2FB)N20-07-073 PURCHASE OF PURIFIED DRINKING WATER amounting to P 156,310.00.  Please visit or call Bids and Awar</t>
  </si>
  <si>
    <t xml:space="preserve"> REQUEST FOR QUOTATION The Local Government Unit of General Santos City thru its Bids and Awards Committee invites interested suppliers for (2FB)N20-07-063 PURCHASE OF OFFICE EQUIPMENT amounting to P 145,000.00.  Please visit or call Bids and Awards Commit</t>
  </si>
  <si>
    <t xml:space="preserve"> PHILGEPS REFERENCE NUMBER: 			 APPROVED BUDGET: PHP 161,856 &amp; BELOW	 DELIVERY DATE IS BEFORE:  				 AUGUST 17, 2020 SCOPE  1.  PRINTING/REPRODUCTION AND SORTING OF Division-Based Developed ADM-Modules for Senior High School, Technology and Livelihood Educ</t>
  </si>
  <si>
    <t xml:space="preserve"> 1.	The NATIONAL FOOD AUTHORITY (NFA) Regional Office 3 intends to apply the sum of Forty Two Million Nine Hundred Seventy Four Thousand Five Pesos (P42,974,005.00) inclusive of VAT from its Corporate Operating Budget as the Approved Budget for the Contrac</t>
  </si>
  <si>
    <t xml:space="preserve"> 1 Unit Multi-Cab     - Multi-Cab Van Type Ambulance     - Rims Set (Mag Wheels)     - fully air-conditioned     - tinted windows     - original stretcher (foldable)     - two (2) big siren with blinker     - Fully painted with barangay logo</t>
  </si>
  <si>
    <t xml:space="preserve"> INVITATION TO BID FOR THE PROCUREMENT OF TWO (2) UNITS REFRIGERATED VAN 1. The Bureau of Fisheries and Aquatic Resources-Regional Fisheries Office I (BFAR RFO I), through the General Appropriations Act of 2020 (GAA 2020) intends to apply the sum of Five M</t>
  </si>
  <si>
    <t xml:space="preserve"> INVITATION TO SUBMIT QUOTATION Date:  July 30, 2020 Canvass/Quotation No.: 2020-07-088 To All Eligible Service Providers/Bidders I. Please quote your lowest price inclusive of VAT on the items/ listed below, subject to the Terms and Conditions of this RFQ</t>
  </si>
  <si>
    <t xml:space="preserve"> An on-wheel library that will bring educational materials to the streets that will be use for the improvement learning of KK Members.</t>
  </si>
  <si>
    <t xml:space="preserve"> repair and rehab of 124 sqm -1 unit NCDC building</t>
  </si>
  <si>
    <t xml:space="preserve"> Description   Republic of the Philippines Province of Oriental Mindoro MUNICIPALITY OF NAUJAN BARANGAY ARANGIN BIDS AND AWARDS COMMITTEE INVITATION TO BID SUPPLY AND INSTALLATION OF 4 UNITS CLOSE CIRCUIT TELEVISION (CCTV) CAMERAS OF BARANGAY ARANGIN, NAUJ</t>
  </si>
  <si>
    <t xml:space="preserve"> Long Envelope Expanded Plastic w/Handle plock (Yellow), Adventure 420 pieces Long Envelope Expanded Plastic w/Handle plock (Pink), Adventure 350 pieces Long Envelope Expanded Plastic w/Handle plock (Orange), Adventure 370 pieces Long Envelope Expanded Pla</t>
  </si>
  <si>
    <t xml:space="preserve"> Standard Form Number: SF-GOOD-05 Revised on: July 28, 2004        INVITATION TO APPLY FOR ELIGIBILITY AND TO BID The LGU-GARCHITORENA, through its Bids and Awards Committee (BAC), invites suppliers/ manufacturers/distributors/contractors to apply for elig</t>
  </si>
  <si>
    <t xml:space="preserve"> CLIMATE CHANGE COMMISSION - BIDS AND AWARDS COMMITTEE REQUEST FOR QUOTATION 	RFQ NO. 2020-009 PROCUREMENT OF DIGITAL EVENT MANAGEMENT FOR THE CONDUCT OF ACCELERATED CLIMATE ACTION AND TRANSFORMATION (ACT) LOCAL ONLINE CONFERENCE The Climate Change Commiss</t>
  </si>
  <si>
    <t xml:space="preserve"> 1 unit Motorcycle 125cc TMX Purpose:  intended for waterworks operation ABC: Php 70,000.00 Bid Opening: August 10, 2020 @ 11:00 AM New Municipal Building - BAC Office Poblacion, Rosario, Agusan del Sur Fund Source: GF Delivery Period: 15 c.d.</t>
  </si>
  <si>
    <t xml:space="preserve"> Laptop</t>
  </si>
  <si>
    <t xml:space="preserve"> SCOPE OF WORKS: B.5	Project Billboard &amp; Signboard	2.00	each B.7 (1)	Occupational Safety and Health Program	6.00	mos.	 103(1)a.1	Removal of Existing Concrete Pavement (0.20 m thk.)	18.00	cu.m. 103(1)a	Structure Excavation (Common Soil, RCPC)	1.91	cu.m. 104</t>
  </si>
  <si>
    <t xml:space="preserve"> Acquisition of equipment and office supplies for the SK Council Office including rehabilitation of the SK's Office due to unavailability of workplace for the SK Council and provision of transportation and communication for the SK Council members for effic</t>
  </si>
  <si>
    <t xml:space="preserve"> SCOPE OF WORKS: B.5	Project Billboard &amp; Signboard	2.00	each 101(1)	Removal of Structure and Obstruction (Overflow Bridge)	1.00	l.s 101(4)a3	Removal of Structure and Obstruction , 910 mm dia. RCPC	7.00	l.m 102(2)	Roadway Excavation (Surplus Common)	1,201.4</t>
  </si>
  <si>
    <t xml:space="preserve"> Republic of the Philippines Region XII Province of Cotabato BIDS AND AWARDS COMMITTEE Amas, Kidapawan City INVITATION TO BID FOR Supply &amp; Delivery of Buntis Kits for the implementation of Maternal &amp; Child Health Program of Integrated Provincial Health Off</t>
  </si>
  <si>
    <t xml:space="preserve"> 10            PCS           BROOM,SOFT 10            PCS           DEODORIZER, ASSORTED BRAND 155          POUCH       DETERGENT POWDER 10            PCS            DISH WASHING LIQUID, 250ML 15            BOTS          DISINFECTANT SPRAY 20            BI</t>
  </si>
  <si>
    <t xml:space="preserve"> Level        Enrollment     Learning Areas     Cost Per Week Kinder          436                  7                        32   I                425                  5                        32   II               432                  7                    </t>
  </si>
  <si>
    <t xml:space="preserve"> INVITATION TO APPLY FOR ELIGIBILITY AND TO BID The City of San Juan, Metro Manila, through its Bids and Awards Committee (BAC), invites interested parties to apply for an Eligibility and if found eligible to bid for the – Name of Project One (1) Lot – Pes</t>
  </si>
  <si>
    <t xml:space="preserve"> The Local  Government   Unit  of General  Santos  City, through  the  GENERAL FUND CY 2020  intends  to apply  the sum of three hundred fifty two thousand three hundred nineteen and 50 / 100 Pesos Only (352,319.50)   being  the Approved  Budget  for the C</t>
  </si>
  <si>
    <t xml:space="preserve"> The Local  Government   Unit  of General  Santos  City, through  the  GENERAL FUND CY 2020  intends  to apply  the sum of three hundred seventy eight thousand four hundred and xx / 100 Pesos Only (378,400.00)   being  the Approved  Budget  for the Contrac</t>
  </si>
  <si>
    <t xml:space="preserve"> JOSE B. LINGAD MEMORIAL REGIONAL HOSPITAL City of San Fernando, Pampanga Tel. No. (045) 961-3921 Date: August 1, 2020 No. 2020 – 08 - 241-S REQUEST FOR QUOTATION (Name of Agency) (Address) Sir/Madam: Please quote your lowest price on the item/s listed bel</t>
  </si>
  <si>
    <t xml:space="preserve"> Republic of the Philippines Province of Ilocos Norte Municipality of Paoay BIDS AND AWARDS COMMITTEE INVITATION TO BID 2020-022 Invitation to Bid for the Purchase of materials for the construction of isolation rooms of the Municipality 1.	The Municipal Go</t>
  </si>
  <si>
    <t xml:space="preserve"> Republic of the Philippines Province of Ilocos Norte Municipality of Paoay BIDS AND AWARDS COMMITTEE INVITATION TO BID 2020-021 Invitation to Bid for the Purchase of office supplies to be use by the different offices of the Municipality (1st and 2nd Quart</t>
  </si>
  <si>
    <t xml:space="preserve"> Meals and Snacks  good for 6 days  Days 1-5 am snacks lunch 3 courses (chicken, pork, fish and vegetable with dessert)  pm snacks (light)  490 pax/day Day 6 am snacks lunch 3 courses (chicken, pork, fish and vegetable with dessert)  pm snacks (light)  23 </t>
  </si>
  <si>
    <t xml:space="preserve"> PLEASE SEE ATTACHED PURCHASE REQUEST</t>
  </si>
  <si>
    <t xml:space="preserve"> Republic of the Philippines Province of Ilocos Norte Municipality of Paoay BIDS AND AWARDS COMMITTEE INVITATION TO BID 2020-020 Invitation to Bid for the Purchase of office equipment for the use at the Sangguniang Bayan Office 1.	The Municipal Government </t>
  </si>
  <si>
    <t xml:space="preserve"> The Local  Government   Unit  of General  Santos  City, through  the  GENERAL FUND CY 2020  intends  to apply  the sum of one hundred seventy one thousand and xx / 100 Pesos Only (171,000.00)   being  the Approved  Budget  for the Contract   (ABC) to paym</t>
  </si>
  <si>
    <t xml:space="preserve"> The Local  Government   Unit  of General  Santos  City, through  the  GENERAL FUND CY 2020  intends  to apply  the sum of one hundred fourteen thousand and xx / 100 Pesos Only (114,000.00)   being  the Approved  Budget  for the Contract   (ABC) to payment</t>
  </si>
  <si>
    <t xml:space="preserve"> The Local  Government   Unit  of General  Santos  City, through  the  GENERAL FUND CY 2020  intends  to apply  the sum of seven hundred fifty six thousand six hundred eighty and xx / 100 Pesos Only (756,680.00)   being  the Approved  Budget  for the Contr</t>
  </si>
  <si>
    <t xml:space="preserve"> REQUEST FOR QUOTATION 	 The Local Government Unit of General Santos City thru its Bids and Awards Committee invites interested suppliers for (2FB)N20-07-072 LANDLINE SUBSCRIPTION W/ INTERNET amounting to P 78,750.00.  Please visit or call Bids and Awards </t>
  </si>
  <si>
    <t xml:space="preserve"> Description                   Qty.                Unit  Trumpa                          6                     set Speaker wire #16          12                   rolls Speaker wire #16          15                  meter</t>
  </si>
  <si>
    <t xml:space="preserve"> Republic of the Philippines Municipality of Jordan BIDS AND AWARDS COMMITTEE 									August 1, 2020  Invitation of Bid No. 20-001 Sealed bids, in triplicate subject to the coordination herein below specified will be received in the Property Division of t</t>
  </si>
  <si>
    <t xml:space="preserve"> ITEM - BUDDED RUBBER SEEDLINGS QUANTITY - 33,333  UNIT OF MEASURE - PIECES DESCRIPTION: 1 leaf story in a 6x10 polyethylene bag  minimum age - 5 months minimum height - 1.5 feet clones:           RIM-600 (with tags)           PB-217 (with tags) On-site de</t>
  </si>
  <si>
    <t xml:space="preserve"> The Local  Government   Unit  of General  Santos  City, through  the  GENERAL FUND CY 2020  intends  to apply  the sum of sixty thousand and xx / 100 Pesos Only (60,000.00)   being  the Approved  Budget  for the Contract   (ABC) to payments  under  the  c</t>
  </si>
  <si>
    <t xml:space="preserve"> please quote for Structural analysis Includes: Area of Bleacher=1,124 sq.m Stage area=162 sq.m. 2nd floor front wing=108 sq.m 3rd foor right wing=108 sq. m Whole bldg. structure=1,974 sq.m Total area=3,476.0 sq.m</t>
  </si>
  <si>
    <t xml:space="preserve"> Please see attached (RFQ 20-02-057 to 20-02-132) for reference</t>
  </si>
  <si>
    <t xml:space="preserve"> Handwashing Facilities is a must in times of pandemic and the Municipal Mayor advocates cleanliness by providing handwashing facilities on selected areas.</t>
  </si>
  <si>
    <t xml:space="preserve"> Republic of the Philippines Region XII Province of Cotabato BIDS AND AWARDS COMMITTEE Amas, Kidapawan City INVITATION TO BID FOR Supply &amp; Delivery of Office &amp; IT Equipment for Provincial Budget Office, Amas, Kidapawan City. (PB-20-416) 1.	The Provincial G</t>
  </si>
  <si>
    <t xml:space="preserve"> AIRCON A/C FP53KAV009313 INSTALLATION FEE INCLUDED</t>
  </si>
  <si>
    <t xml:space="preserve"> The Local  Government   Unit  of General  Santos  City, through  the  GENERAL FUND CY 2020  intends  to apply  the sum of twenty eight thousand nine hundred and xx / 100 Pesos Only (28,900.00)   being  the Approved  Budget  for the Contract   (ABC) to pay</t>
  </si>
  <si>
    <t xml:space="preserve"> Purchase of 1 Unit Fire Extinguisher</t>
  </si>
  <si>
    <t xml:space="preserve"> MUNICIPALITY OF HINABANGAN Hinabangan, Samar Invitation to Bid for  IMPROVEMENT OF BRGY. CANANO MULTI-PURPOSE COVERED COURT PHASE II 1.	The Municipal Government of Hinabangan, through the 20% CDF CY 2020 intends to apply the sum of ONE MILLION FOUR HUNDRE</t>
  </si>
  <si>
    <t xml:space="preserve"> Please quote for 142	BAGS	PORTLAND CEMENT		 13	CU.M	SAND		 11	CU.M	GRAVEL 3/4		 6	LENGTH	16 MM DIA. BARS		 107	LENGTH	10 MM DIA. BARS		 20	KGS	TIE WIRE # 16		 800	PCS	CHB # 4		 4	LENGTH	WALL ANGLE		 20	LENGTH	DOUBLE METAL FURRING 2" X 4"		 200	PC/S	HARDIE</t>
  </si>
  <si>
    <t xml:space="preserve"> 1 Unit Comb Binding Machine 10 Unit Ring BInder 1/2" 1 Roll Laminating Film</t>
  </si>
  <si>
    <t xml:space="preserve"> please Quote for  30 bags Urea (46-0-0) 30 bot Pesticide (500 ml)</t>
  </si>
  <si>
    <t xml:space="preserve"> Supply and delivery of construction materials for the Construction of Bridge.</t>
  </si>
  <si>
    <t xml:space="preserve"> Supply and delivery fo construction materials for the Concreting of Road Shoulder.</t>
  </si>
  <si>
    <t xml:space="preserve"> For printing, for reproduction</t>
  </si>
  <si>
    <t xml:space="preserve"> This landscapingworks of the municipal plaza is in pursuant of the requirements mandating local government units to provide a green space for its constituents und Republic Act 9003 otherwise known as the Solid Waste Management Act of 2009.</t>
  </si>
  <si>
    <t xml:space="preserve"> Supply and Delivery of Hardware Materials</t>
  </si>
  <si>
    <t xml:space="preserve"> Improvement of FMR at Sitio Bantolinao,Padiay,Sibagat Agusan del Sur</t>
  </si>
  <si>
    <t xml:space="preserve"> Supply and Delivery of  Hardware Materials</t>
  </si>
  <si>
    <t xml:space="preserve"> Republic of the Philippines Province of Surigao del Sur MUNICIPALITY OF CANTILAN REQUEST FOR QUOTATION The Local Government Unit of Cantilan, Surigao del Sur, through its Bids and Awards Committee (BAC), will undertake a Small Value Procurement for the Su</t>
  </si>
  <si>
    <t xml:space="preserve"> ROOF AND ROOF FRAMING AT 2ND FLOOR ROOF DECK</t>
  </si>
  <si>
    <t xml:space="preserve"> Invitation to Bid to all Supplier/Contractor duly accredited by the City Council of Manila to supply and deliver the following items provided hereunder, to wit; Item	Qty.	 	Unit	 	 	 	DESCRIPTION	  1	 	2	 	Pcs	Fire Hose 1 1/2	 	 	 	 	 	  2	 	10	 	Bxs	Losa</t>
  </si>
  <si>
    <t xml:space="preserve"> Invitation to Bid to all Supplier/Contractor duly accredited by the City Council of Manila to supply and deliver the following items provided hereunder, to wit; Item	 	Qty.	 	Unit	 	 	 	DESCRIPTION	  1	 	15	 	Pcs	Nightstick	 	 	 	 	 	 	  2	 	15	 	Pcs	Whis</t>
  </si>
  <si>
    <t xml:space="preserve"> Split type Air Conditioner (3TR Floor Mounted)			1	Unit Note: (includes wiring and installation)				 x-x-x Nothing Follows x-x-x</t>
  </si>
  <si>
    <t xml:space="preserve"> 1	Meals and Snacks	2683	pax 	1 Rice, 2 Viands, Mineral Water  		 	am/pm snack</t>
  </si>
  <si>
    <t xml:space="preserve"> MUNICIPALITY OF HINABANGAN Hinabangan, Samar Invitation to Bid for  LOCAL ACCESS ROAD IN BRGY. CANANO TO BRGY. DALOSDOSON ROUTE 1.	The Municipal Government of Hinabangan, through the DILG AM CY 2020 TRUST FUND intends to apply the sum of EIGHT MILLION EIG</t>
  </si>
  <si>
    <t xml:space="preserve"> 104 SETS  HOOK AND LINE  @2,200 2KGS  MONOFILAMENT NYLON #130 @400/KG I KG MONOFILAMENT NYLON #120 @ 400.00/KG I KG MONOFILAMENT NYLON #100 @ 400.00/KG 2 KGS LEAD SINKER (xx/0.5 DIA.) @ 300.00/KG CONDITIONS: 1.   Must be delivered at LGU Bacacay 2.  Items</t>
  </si>
  <si>
    <t xml:space="preserve"> long bond paper 70gsm</t>
  </si>
  <si>
    <t xml:space="preserve"> REQUEST FOR QUOTATION (RFQ) SUPPLY AND DELIVERY OF LABORATORY ITEMS UNDER EMB-ERLSD-ELSS-ELSS  RFQ NO. 2020-0505-EMB-S-ERLSD-ELSS LABORATORY ITEMS  1.	The Department of Environment and Natural Resources – Environmental Management Bureau (DENR-EMB) hereina</t>
  </si>
  <si>
    <t xml:space="preserve"> 1	Snacks	8325	pax</t>
  </si>
  <si>
    <t xml:space="preserve"> 1.	The Municipality of Esperanza, Masbate, through the Appropriation Ordinance No. 06, series of 2019, intends to apply the sum of Four Hundred Ninety Nine Thousand Eight Hundred Sixty Three Pesos and 9/100 (₱499,863.09) being the Approved Budget for the </t>
  </si>
  <si>
    <t xml:space="preserve"> 1	Mosquito Net, 15m/piece	20	pcs 	Hygiene Kits		 2	Slippers	100	pairs 3	Toothpaste	100	sachet 4	Toothbrush	100	pcs 5	Facetowel	100	pcs 6	Bath Soap	100	pcs 7	Tank LPG (11kg)	1	refill 8	Acrylic Paint	15	sets 9	Canvas (painting medium with frame)	20	pcs 10	T</t>
  </si>
  <si>
    <t xml:space="preserve"> Item	Qty.	A R T I C L E S				 1		POWER SUPPLY SYSTEM				 2	10 pcs	Single arm LED lights				 3	2 box	Stranded wire				 4	20 pcs	Bulb LED lights				 5	20 pcs	Electrical tape</t>
  </si>
  <si>
    <t xml:space="preserve"> 1	Dinner Plate	2	doz 2	Cup with Saucer	2	doz 3	Hair Net	1	doz 4	Serving Tray with Rack Stand	2	pcs 5	Plastic Food Gloves	2	doz 6	Hand Towel (White)	1	doz 7	Pit Guard	3	pcs 8	Spatula	6	pcs 9	Spoon	2	doz 10	Fork	2	doz 11	Ladle Strainer	4	pcs 12	Flat Tray	6	</t>
  </si>
  <si>
    <t xml:space="preserve"> 1	Projector:	1	unit 	Res. 1280 x800; Graphics WXGA; 		 	Brightness 33001m; Built in speaker;		 	Voltage 230V ac;  Depth 237mm; Height 		 	82mm; Width 302mm		 			 2	Speaker with Microphone:	1	set 	BIDirectional Sound; 1, 500 watts 		 	total RMS; Bass boost</t>
  </si>
  <si>
    <t xml:space="preserve"> Description REPUBLIC OF THE PHILIPPINES PROVINCE OF DAVAO DEL SUR MUNICIPALITY OF KIBLAWAN BARANGAY OF POBLACION -ooOoo- INVITATION TO BID Barangay Government of Poblacion, Kiblawan, Davao del Sur, through its Bids and Awards Committee ( BAC), invites Bar</t>
  </si>
  <si>
    <t xml:space="preserve"> 1	Battery N70	4	pcs 2	Brake Pad Foton	1	set 3	Brake Pad Nissan	1	set 4	Devcon Small	1	pair 5	Fan Belt # A-32	1	pc 6	Fan Belt # A-46	1	pc 7	Fan Belt # B-49	2	pcs 8	Selicon Gasket	1	pc 9	Tire # 195R14	8	pcs 10	Tire #20570R15	8	pcs 11	Wiper Blade 16inches	2	</t>
  </si>
  <si>
    <t xml:space="preserve"> 1	85A Toner HP Refill	50	pcs 2	Battery AA	20	pcs 3	Battery AAA	20	pcs 4	Ballpen (Black)	250	pcs 5	Ballpen (Red)	60	pcs 6	Ballpen (Blue)	60	pcs 7	Bond Paper Short	100	reams 8	Bond Paper Yellow Long	30	reams 9	Bond Paper Pink Long	30	reams 10	Bond Paper Gre</t>
  </si>
  <si>
    <t xml:space="preserve"> 2	reams	Colored paper 4	pcs	        USB 32GB 1	Bundle	Manila paper 1	roll	        Plastic cover 1	unit	        Mini Speaker</t>
  </si>
  <si>
    <t xml:space="preserve"> 1	Meals and Snacks (5 Days)	30	pax 	1 Rice, 2 Viands, Mineral Water		 	AM/PM Snack		 2	Meals and Snacks (3 Days)	30	pax 	1 Rice, 2 Viands, Mineral Water		 	AM/PM Snack</t>
  </si>
  <si>
    <t xml:space="preserve"> OTHER SUPPLIES AND MATERIALS EXPENSES</t>
  </si>
  <si>
    <t xml:space="preserve"> ACETYLCYSTEINE 600MG EFFERVECENT TABLET/POWDER/GRANULES x 10'S	20	BOX ADENOSINE 6MG/2ML VIAL	5	VIAL ALUMINUM/MAGNESIUM HYDROXIDE 200MG/5ML, 120ML SUSPENSION ORAL	50	BOTTLE ALUMINUM HYDROXIDE + MAGNESIUM HYDROXIDE TABLET ORAL x 100'S	10	BOX ALUMINUM/MAGNES</t>
  </si>
  <si>
    <t xml:space="preserve"> 10	pcs	Roller Brush big 5	Kilos	Common nail 2” 5	Kilos	Common nail3” 5	kilos	Common Nail4” 8	pcs	Marine plywood 1/2 8	liters	Blackboard paint Green 10	pcs	Paint Brush 4” 10	Pcs	Paint Brush 2” 2	Set	Emergency kit 8	pcs	Plywood Ordinary 50	pcs	Square bar fo</t>
  </si>
  <si>
    <t xml:space="preserve"> 18	REAMS	BOND PAPER LONG 18	REAMS	BOND PAPER SHORT</t>
  </si>
  <si>
    <t xml:space="preserve"> 1	unit	Desktop Computer (8gb ddr4 2400MHZ/120SSD+ Seagate 1TB)	                         P 43,000.00 1	unit	Printer L3150	               	                                                                                      9,300.00 2	units	Printer Netwok </t>
  </si>
  <si>
    <t xml:space="preserve"> INVITATION TO BID 1.	The FOREST PRODUCTS RESEARCH AND DEVELOPMENT INSTITUTE (FPRDI) through the CY 2020 General Appropriations Act (GAA), intends to apply the sum of One Million Six Hundred Thirty-Five Thousand Pesos (Php 1,635,000.00) being the Approved </t>
  </si>
  <si>
    <t xml:space="preserve"> 1 HOUR RADIO PROGRAM WITH RADIO SPOTS PLUGGING ANCHOR ON BROADCAST PROVINCE WIDE EVERY SATURDAY													8	hour</t>
  </si>
  <si>
    <t xml:space="preserve"> Supply and Delivery of Construction Materials and Supplies for Construction of Open Canal Additional (Hagan Elem School)</t>
  </si>
  <si>
    <t xml:space="preserve"> Catering Services to be served during the conduct of the Two-Day Public Hearing on the Proposed Ordinance to be held on August 6-7, 2020. Please contact the end-user/BAC for the menu/s.</t>
  </si>
  <si>
    <t xml:space="preserve"> Republic of the Philippines Region XII Province of Cotabato BIDS AND AWARDS COMMITTEE Amas, Kidapawan City INVITATION TO BID FOR Supply &amp; Delivery of Medical Supplies for Cotabato Provincial Hospital, Amas, Kidapawan City. (PB-20-421) 1.	The Provincial Go</t>
  </si>
  <si>
    <t xml:space="preserve"> Alcohol, isoprophyl 70% 500ml										200	bottles Bathroom soap-reg. size, pure white									40	pcs Bleaching solution 1 gal.											12	gals Detergent powder 500g											61	pcs Dishwashing liquid, 250 ml											100	bottles Disinfectant spray 34</t>
  </si>
  <si>
    <t xml:space="preserve"> 1	Toner 12A	3	pcs 2	USB Flush Drive 16 GB	2	pcs 3	USB Flush Drive 32 GB	1	pc 4	Toner 35A	3	pcs 5	USB Mouse	5	pcs 6	USB Keyboard	5	pcs 7	USB Mouse (Wireless)	2	pcs 8	Toner 85A	3	pcs 9	Bond Paper Legal	100	reams 10	Bond Paper A4	100	reams 11	Wide Series Out</t>
  </si>
  <si>
    <t xml:space="preserve"> DIESEL 													4,500	liter Terms of Reference: 														               twice a week withdrawal of diesel</t>
  </si>
  <si>
    <t xml:space="preserve"> Global Positioning System													5	units 240 x 320 display pixels														 2:2 inch, 65K color, sunlight readable display														 2.1" x 4.0" x 1.3" diameter 														 														 Turbidity Meter													1	unit G7 Maker								</t>
  </si>
  <si>
    <t xml:space="preserve"> Supply and Delivery of Construction Materials and Supplies for Construction of Water System (So. Balite)</t>
  </si>
  <si>
    <t xml:space="preserve"> REPAIR AND MAINTENANCE MOTOR VEHICLE</t>
  </si>
  <si>
    <t xml:space="preserve"> Computer, Desktop All in One, Processor: Core i5, Memory: 4GB, Hard disk-1TB, DVD ROM, Monitor Size 21', mouse keyboard, UPS: 2000 VA, AVR,													5	unit Colored Printer 3 in 1 (Printer Type - Ink Tank; Functionality - All-in-One (Print, Scan, Copy),</t>
  </si>
  <si>
    <t xml:space="preserve"> 1	Battery, size AAA, alkaline 2pcs/packet GP LR03	6	packs 2	Calculator, desktop, LCD, display, 12 digits, 2-way power source	2	unit  3	CD-Rewrittable, 700MB	24	pcs 4	Zonrox Bleach, 1000ml	1	bottle 5	Folder file, legal size, tagboard equivalent, 14 points </t>
  </si>
  <si>
    <t xml:space="preserve"> BCPC Profiling</t>
  </si>
  <si>
    <t xml:space="preserve"> See Attached Associated Component</t>
  </si>
  <si>
    <t xml:space="preserve"> Please see attached (RFQ 20-02-061 to 20-02-131) for reference</t>
  </si>
  <si>
    <t xml:space="preserve"> Photocopier													1	unit Engine Speed: up to 1 pages per minute A4														 Print, Photocopy, Scan														 Up to A3 (11" x 17") paper size														 Resolution: 600 x 600 dpi														 Weight: main unit : Approx. 23.6 kg										</t>
  </si>
  <si>
    <t xml:space="preserve"> Reproduction of Modules</t>
  </si>
  <si>
    <t xml:space="preserve"> Maintenance/Repair of Airconditioning Units</t>
  </si>
  <si>
    <t xml:space="preserve"> 570 bags portland cement 670 lgths 10MM DIA.x 6.00 M DRB 30 pcs. hacksaw blade (Sanvik) 50 kgs. Tie Wire #16 200 bd.ft. 2"x2"x10' = 60.00 pcs frames 48 bd.ft. 1"x6"x8' = 12.00 pcs scaffolds 5 kgs. cw nails #4 2 kgs. cw nails #2 1/2 1.5 kgs. cw nails #2 65</t>
  </si>
  <si>
    <t xml:space="preserve"> 182 bags Portland Cement 125 lgths 10MM Dia.x 6.00 M DRB 21 pcs. Hacksaw Blade (Sanvik) 23 kgs. Tie Wire #16 160 bd.ft. 2"x2"x10' = 48.00 pcs Frames 48 bd.ft 1"x6"8'= 12.00 pcs Scaffolds 5 kgs. CW Nails #4 2 kgs. CW Nails #2 1/2 1.5 kgs CW Nails #2 2100 p</t>
  </si>
  <si>
    <t xml:space="preserve"> See Attached File</t>
  </si>
  <si>
    <t xml:space="preserve"> Supplies to be used against covid 19 virus</t>
  </si>
  <si>
    <t xml:space="preserve"> 1.	The Municipality of Dagami, through the General Fund (MOOE) 2020 intends to apply the sum of Nine Hundred Ninety Eight Thousand One Hundred Fifty One Pesos &amp; 50/100 Only (Php. 998,151.50) being the Approved Budget for the Contract (ABC) to payments und</t>
  </si>
  <si>
    <t xml:space="preserve"> Alcohol , 500ml, 70% Isoprophyl 										100	Bot  Cotton, 400gms 													60	Rolls  Baby Oil, 100ml 													50	Bot  Lipstick, Red/L-Red, Peach &amp; Pink 										30	Pcs  Liquid Foundation, Skintone - 30ml 										30	Pcs  Pressed Powder, Skintone</t>
  </si>
  <si>
    <t xml:space="preserve"> 1.The Barangay Liwan Norte of Enrile,Cagayan intends to apply the sum of THREE HUNDRED THOUSAND PESOS only (P300,000.00) being the approved Budget for the Contract (ABC) for the Contract of Regravelling of Barangay  Road (farm to market) of Liwan Norte,En</t>
  </si>
  <si>
    <t xml:space="preserve"> Rehab of Drainage Canal</t>
  </si>
  <si>
    <t xml:space="preserve"> Acetylcysteine 600mg Powder for Oral Solution	50	sachet Aluminum Hydroxide+ Magnesium Hydroxide 200mg/100mg Chewable	4	box Aluminum Hydroxide+Magnesium Hydroxide 225mg/200mg per 5mL Suspension, 60mL	50	bottle Ambroxol 30mg 	100	tablet Ambroxol Hydrochlori</t>
  </si>
  <si>
    <t xml:space="preserve"> Amended APP for Calenday Year 2020</t>
  </si>
  <si>
    <t xml:space="preserve"> 2	Rolls	Floor Mat</t>
  </si>
  <si>
    <t xml:space="preserve"> 1	set	Sala set (sofa/couch</t>
  </si>
  <si>
    <t xml:space="preserve"> Procurement of various school and office supplies for Magsaysay Elementary School</t>
  </si>
  <si>
    <t xml:space="preserve"> ITEM NO.	ITEM &amp; DESCRIPTION	QTY.	UNIT	UNIT PRICE A	 AIR CONDITIONER, 1.5 HP WINDOW TYPE, INVERTER	3	UNITS	 x - x - x - x - x - x - x- x - x - x - x - x - x- x - x - x - x - x - x - x - x - x - x NOTE:	-FOR NFA ILOILO PROVINCIAL OFFICE			 	-TO BE DELIVERED</t>
  </si>
  <si>
    <t xml:space="preserve"> DIESEL 													8,000	liter Terms of Reference: 														 Withdrawal As need arises</t>
  </si>
  <si>
    <t xml:space="preserve"> Thermal scanner with stand Face mask</t>
  </si>
  <si>
    <t xml:space="preserve"> 2   Alcohol Foot Pump Dispenser (100cm x 30cm, steel)      7000 2   Electric Knasack Sprayer 20L                                        14000 30 Disenfectant spray ( chlorine)                                       26250   6  Disenfection Mat 3m roll w/pol</t>
  </si>
  <si>
    <t xml:space="preserve"> 1 UNIT WINDOW TYPE 1 HP AIRCON</t>
  </si>
  <si>
    <t xml:space="preserve"> 2 PCS SWIVEL CHAIR</t>
  </si>
  <si>
    <t xml:space="preserve"> July 30, 2020 RE-INVITATION TO BID 1.	The Department of Public Works and Highways, Mindoro Occidental District Engineering Office, Mamburao, Occidental Mindoro, through the General Appropriations Act intends to apply the sum of the Approved Budget for the</t>
  </si>
  <si>
    <t xml:space="preserve"> Garbage Bins (height is 50 cm., 40 cm. circumference with cover) yellow, red &amp; blue</t>
  </si>
  <si>
    <t xml:space="preserve"> The Department of Education (DepEd) Pangasinan Schools Division Office II, through its Bids and Awards Committee (BAC), hereby invites all interested bidders to quote their lowest price for the items listed below subject to the General Conditions stated h</t>
  </si>
  <si>
    <t xml:space="preserve"> 1	X-Ray Envelopes	14 x 17 in size, with SLH logo, department and patient identification of general data	pcs	6000	 Php5.00 	 Php30,000.00</t>
  </si>
  <si>
    <t xml:space="preserve"> Risograph print (A4 size)											35	reams  Risograph print (8.5 x 12 inches)										42	reams  Calling Card (2x3.5 inches, 100 pcs/box) 								4	boxes Digital print, Glossy, Back to Back (8.5x11 inches)						1,245	pieces  Vinyl sticker (36x36 inches)</t>
  </si>
  <si>
    <t xml:space="preserve"> SEE ATTACHED DOCUMENTS</t>
  </si>
  <si>
    <t xml:space="preserve"> INVITATION TO NEGOTIATE REHABILITATION OF BASKETBALL COURT AT OPAL ST.  LOS BAÑOS SUBD. BARANGAY BATONG MALAKE, LOS BAÑOS, LAGUNA 1.	The BRGY. BATONG MALAKE, through the 20% Barangay Development Fund intends to apply the sum of ONE HUNDRED SIXTEEN THOUSAN</t>
  </si>
  <si>
    <t xml:space="preserve"> 1	Contrast Medium	Iodine base; non-iconic (low osmolar) solution with FDA approved for oral, IV and rectal; PICS certified; 50ml/bottle	pcs	750	 Php1,300.00 	 Php975,000.00  2	Dry Imaging Film	14 x 17, blue base, 100pcs/box, compatible with existing ct-sc</t>
  </si>
  <si>
    <t xml:space="preserve"> This will be used for school operations in line with the new normal education. If possible, delivery of goods should be done within one day only.</t>
  </si>
  <si>
    <t xml:space="preserve"> Supply and Delivery of Supplies and Medicines for the Ligtas COVID19 Center Isolation Facility of LGU Dupax del Norte with an ABC of Php1,314,381.00</t>
  </si>
  <si>
    <t xml:space="preserve"> 1	Thermal Paper	Type 5; glossy; compatible with existing ultrasound printer.	Rolls	35	 Php900.00 	 Php31,500.00  2	Ultrasound Gel	Hypoallergenic, water based transmission gel.	Gallons	5	 Php1,500.00 	 Php7,500.00</t>
  </si>
  <si>
    <t xml:space="preserve"> CONSTRUCTION OF 105 L.M X 4m. X 4m. DRAINAGE SYSTEM 1,050 pcs. CHB 4'' 140 bags Portland cement 20 cu.m washed sand 10 cu.m washed gravel 160 pcs. 10mm dia. x 6.0m RSB 4 pcs. 1/4'' thk. Ord. Plywood 15 pcs. 2''x2''x12' form lumber 4 pcs. Hacksaw Blade 4 k</t>
  </si>
  <si>
    <t xml:space="preserve"> A. MEDICINES Amoxicillin Cetirizine O.R.S Erythromycin Cloxacillin Cefalexin Clindamycin Paracetamol Omeprazole AlOH+MgOH Tranexamic acid Ferrous sulfate w/ folic acid Ferrous sulfate Telmisartan Losartan Amlodipine Metropolol Ranitidine Celecoxib Mefinam</t>
  </si>
  <si>
    <t xml:space="preserve"> CONSTRUCTION OF HEAD WALL OF PROTECTION WORKS @ BRGY. NAGUILIAN, LAL-LO, CAGAYAN</t>
  </si>
  <si>
    <t xml:space="preserve"> Construction of Canal Lining in Barangay Alsem, Vintar</t>
  </si>
  <si>
    <t xml:space="preserve"> Supply and delivery of Surgical mask</t>
  </si>
  <si>
    <t xml:space="preserve"> Quantity	Unit	Description of Articles	 3	boxes	Ballpen, Red	 3	boxes	Ballpen, Black	 3	boxes	Ballpen, Blue	 3	boxes	Ballpen, Green	 11	Jar	Glue, all purpose, gross weight:200 grams	 3	Pieces	Phils. National Flag	 8	Reams	Paper, Multi Purpose (Copy), A4, 7</t>
  </si>
  <si>
    <t xml:space="preserve"> 1st Quarter Common Office Supplies and Janitorial Services (FY 2020)</t>
  </si>
  <si>
    <t xml:space="preserve"> LGU SAN FERNANDO Standard Form Number: SF-GOOD-05 Revised on: July 28, 2004 INVITATION TO APPLY FOR ELIGIBILITY AND TO BID The LGU-SAN FERNANDO, ROMBLON through its Bids and Awards Committee (BAC), invites suppliers/manufacturers/distributors/contractors </t>
  </si>
  <si>
    <t xml:space="preserve"> 21 Set Ornet 8.25 x 16 L909 2 Pcs Ultra U-Tubes 14 x 24</t>
  </si>
  <si>
    <t xml:space="preserve"> Republic of the Philippines BIDS AND AWARDS COMMITTEE Barangay 649, Zone 68, District V Invitation to Bid (ITB) The Barangay 649, Zone 68, DistrictV, Manila, through its Bids and Awards Committee (BAC), INVITES ALL ACRREDITED SUPPLIERS/CONTRACTORS to bid </t>
  </si>
  <si>
    <t xml:space="preserve"> Construction of Multi – Purpose Building</t>
  </si>
  <si>
    <t xml:space="preserve"> I - ITEM 101  REMOVAL OF STRUCTURES AND OBSTRUCTIONS       2940   SQ.M. II- ITEM 105  SUB-GRADE PREPARATION                                       2940   SQ.M. III - INSTALLATION OF RCPC, RIPRAPPING AND FILL                      Lumpsum IV- ITEM 200 AGGREG</t>
  </si>
  <si>
    <t xml:space="preserve"> see attached docs SUBMIT BIDDING DOCS IN A SEALED ENVELOPED ON OR BEFORE THE DATE AND TIME AS SHOWN HERE IN PHILGEPS POSTING AT NAGPAYONG HIGH SCHOOL</t>
  </si>
  <si>
    <t xml:space="preserve"> ITEM 101 REMOVAL OF STRUCTURES AND OBSTRUCTIONS           3,150 SQ.M. ITEM 105 SUB-GRADE PREAPARATION                                         3,150 SQ.M. ITEM 200 AGGREGATE SUB-BASE COURSE                                   543 CU.M. ITEM 201 AGGREGATE BAS</t>
  </si>
  <si>
    <t xml:space="preserve"> 200 boxes Facemask and 50 boxes Gloves</t>
  </si>
  <si>
    <t xml:space="preserve"> Republic of the Philippines BIDS AND AWARDS COMMITTEE Barangay 649, Zone 68, District V Invitation to Bid (ITB) The Barangay 649, Zone 68, District V, Manila, through its Bids and Awards Committee (BAC), INVITES ALL ACCREDITED SUPPLIERS/CONTRACTORS to bid</t>
  </si>
  <si>
    <t xml:space="preserve"> Liloan COVID-19 RESPONSE USE</t>
  </si>
  <si>
    <t xml:space="preserve"> 1 unit HD fogging machine</t>
  </si>
  <si>
    <t xml:space="preserve"> For COVID-19 Additional PPEs</t>
  </si>
  <si>
    <t xml:space="preserve"> 2 UNITS SPLIT TYPE/WINDOW TYPE AIRCON</t>
  </si>
  <si>
    <t xml:space="preserve"> Invitation to Bid Procurement of Service Provider for Shuttle Services for CHED Employees for Three (3) Months (Rebid) 1.	The Commission on Higher Education, through the CHED – Fund 101 GAA for FY 2020 intends to apply the sum of Five Million Five Hundred</t>
  </si>
  <si>
    <t xml:space="preserve"> TO PURCHASE BLANK CD FOR FACULTY USE Item Description					Quantity	Unit	         Estimated Unit Cost	Estimated    Cost 								 Blank CD					                100	        pieces	 5.00 	                500.00</t>
  </si>
  <si>
    <t xml:space="preserve"> Construction of Dimapnat Evacuation Center</t>
  </si>
  <si>
    <t xml:space="preserve"> for reproduction of modules</t>
  </si>
  <si>
    <t xml:space="preserve"> MODEL:  HP SO3A 100 WATS PARAMETERS:  Control Mode Light control   Time Control  Bemaing Angle 120 angle Long Life of 50,000 LED Alum alloy body Prevent bask in rain Super strong infrared remote control Pole : GI Pipe S40</t>
  </si>
  <si>
    <t xml:space="preserve"> Invitation to Bid for Installation of Solar Street Lights 1.	The Barangay Cabalayangan, Bauang, La Union, through the Development Fund intends to apply the sum of One Hundred Twenty Four Thousand Pesos (Php124,000.00) being the Approved Budget for the Con</t>
  </si>
  <si>
    <t xml:space="preserve"> REHABILITATION OF 18 METERS STONE RIPRAP WITH CONCRETE FACING (ALONG PUROK 3) A. STONE RIPRAP 50 bags Portland cement  4 cu.m washed sand 16 cu.m Boulders B. RUBBLE CONCRETE &amp; FACING 40 bags Portland cement 4.0 cu.m washed sand 4.0 cu.m washed gravel 40 p</t>
  </si>
  <si>
    <t xml:space="preserve"> 1	Bed Mattress	Must be fit to existing bed frame or 6 x 35 x 78 inches with high quality foam and easy to clean with zipper and leatherette cover	pcs	350	 3,300.00 	 1,155,000.00</t>
  </si>
  <si>
    <t xml:space="preserve"> Republic of the Philippines Province of Bukidnon Municipality of Damulog Barangay New Compostela -o0o- OFFICE OF THE BIDS AND AWARD COMMITTEE INVITATION TO BID FOR Supply &amp; Delivery of Various Construction Materials for Construction of Multipurpose Buildi</t>
  </si>
  <si>
    <t xml:space="preserve"> Republic of the Philippines MUNICIPALITY OF AGONCILLO Province of Batangas Tel. No. 043-210-2344/043-210-2117 BARANGAY BANYAGA INVITATION TO BID The LGU – Banyaga, through its Bids and Awards Committee (BAC), invites suppliers/manufacturers/distributors/c</t>
  </si>
  <si>
    <t xml:space="preserve"> 1	job	Short Message Service (SMS) Subscription for one (1) year							 		 Minimum Specifications/features:							 		- Web-based SMS or text messaging service with secured website							 		- Multiple users (at least 5 authorized users per subscription plan</t>
  </si>
  <si>
    <t xml:space="preserve"> INVITATION TO BID The LOCAL GOVERNMENT UNIT OF SANTO TOMAS,  through its Bids and Awards Committee (BAC), invites suppliers/ manufacturers/distributors/ contractors to apply for eligibility and to bid for the hereunder projects to be undertaken on  August</t>
  </si>
  <si>
    <t xml:space="preserve"> Republic of the Philippines MUNICIPALITY OF AGONCILLO Province of Batangas Tel. No. 043-210-2344/043-210-2117 BARANGAY BILIBINWANG INVITATION TO BID The LGU – Bilibinwang, through its Bids and Awards Committee (BAC), invites suppliers/manufacturers/distri</t>
  </si>
  <si>
    <t xml:space="preserve"> 1. Removal of Obstruction and Existing Structure 2. Construction Works 3. Masonry Works (including wall and col Plastering Both sides) 4. Formworks and Scaffolding 5. Structural Steel 6. Tinsmithry</t>
  </si>
  <si>
    <t xml:space="preserve"> 1	Dry Imaging Film	14 x 17, blue base, 100pcs/box	pcs	7000	 134.50 	 941,500.00  2		10 x 12, blue base, 100pcs/box	pcs	1200	 114.50 	 137,400.00  3		8 x 10, blue base, 100pcs/box	pcs	3000	 96.00 	 288,000.00  		NOTE: With free use of machine (computerized</t>
  </si>
  <si>
    <t xml:space="preserve"> 1.	The Department of Trade and Industry, through the Integrated Natural Resources and Environmental Management Project – Livelihood Enhancement Support 2 (INREMP-LES 2 ) under the Asian Development Bank (ADB) Funding intends to apply the sum of One Millio</t>
  </si>
  <si>
    <t xml:space="preserve"> The Office of the Government Corporate Counsel, through its Bids and Awards Committee, intends to procure: 1. Forty-Eight (48) Reams of Laid Paper, Ivory color, 90 gsm, Size 8.5 x 11 inches 2. Sixteen (16) Reams of Laid Paper, Ultra White color, 90 gsm, S</t>
  </si>
  <si>
    <t xml:space="preserve"> Construction of Bicobian - Dimapnat Road</t>
  </si>
  <si>
    <t xml:space="preserve"> PURCHASE RADIO COMMUNICATION AND ACCESSORIES FOR BRGY BAGONG SILANG</t>
  </si>
  <si>
    <t xml:space="preserve"> Concreting of New Municipal Public Market Road</t>
  </si>
  <si>
    <t xml:space="preserve"> 1.	The Department of Trade and Industry, through the Integrated Natural Resources and Environmental Management Project – Livelihood Enhancement Support 2 (INREMP-LES 2 ) under the Asian Development Bank (ADB) Funding intends to apply the sum of Six Hundre</t>
  </si>
  <si>
    <t xml:space="preserve"> The Municipality of Limay, through its Bids and Awards Committee (BAC) invites registered suppliers to apply for eligibility and if found eligible, to bid for the hereunder project/contract: Project/Contract:  SUPPLY AND DELIVERY OF OFFICE SUPPLIES FOR VA</t>
  </si>
  <si>
    <t xml:space="preserve"> 1	Heavy duty Cast iron 3-way Gas Stove (with regulator, hose, and Tank	2	sets 2	Heavy Duty Rice Cooker (45 cups)	2	Pcs 3	Kaldero/Boiler (Jumbo)	2	Pcs 4	Wok (large/double handle)	1	piece 5	Stainless steel Stockpot (large)	2	Pcs 6	Plates	120	Pcs 7	Bowl	120	</t>
  </si>
  <si>
    <t xml:space="preserve"> Concreting of Farm to Market Road</t>
  </si>
  <si>
    <t xml:space="preserve"> Rehabilitation of Blue Marlin Street</t>
  </si>
  <si>
    <t xml:space="preserve"> REQUEST FOR QUOTATION GOODS 2020-036                                              July 31, 2020 _____________________________ _____________________________ _____________________________ Please quote your lowest price inclusive of VAT, subject to the Terms</t>
  </si>
  <si>
    <t xml:space="preserve"> Item description: 6 pcs Chest Rubber Bulb 4 pcs Clip Electrodes 1 pc Patient Cable 1 pc Power Cord w/adapter 1 pc Ground Cable 1 pc CD User Guide 1 pc CD Manual 1 pc Manual Booklet 4 pcs Thermal paper size 63mm x 30</t>
  </si>
  <si>
    <t xml:space="preserve"> 1	Printer 3-in-1 Colour Inkjet Multifunction Centre   (Print/Copy/Scan) 	Print speed up to 12/10 ppm 	Print Resolution up to 1,200 x6,000 dpi 	20-sheet Automatic document feeder 15-sheet Paper tray &amp; manual feed slot 	Wireless LAN &amp; WI-FI Direct 	Hig</t>
  </si>
  <si>
    <t xml:space="preserve"> Revised on: July 28, 2004 INVITATION TO APPLY FOR ELIGIBILITY AND TO BID The Local Government Unit of Catanauan, Quezon, through its Bids and Awards Committee (BAC), invites suppliers/manufacturers/distributors/contractors to apply for eligibility and to </t>
  </si>
  <si>
    <t xml:space="preserve"> SUPPLY AND DELIVERY OF DOUBLE DECK BEDS</t>
  </si>
  <si>
    <t xml:space="preserve"> 1.	The Department of Trade and Industry, through the Integrated Natural Resources and Environmental Management Project – Livelihood Enhancement Support 2 (INREMP-LES 2) under Asian Development Bank (ADB) Funding intends to apply the sum of Ninety Thousand</t>
  </si>
  <si>
    <t xml:space="preserve"> SUPPLY AND DELIVERY OF CELLCARD</t>
  </si>
  <si>
    <t xml:space="preserve"> 1.	The Department of Trade and Industry, through the Integrated Natural Resources and Environmental Management Project – Livelihood Enhancement Support 2 (INREMP-LES 2 ) under the Asian Development Bank (ADB) Funding intends to apply the sum of Three Hund</t>
  </si>
  <si>
    <t xml:space="preserve"> Republic of the Philippines Province of Camarines Sur Municipality of Gainza Barangay Cagbunga BIDS AND AWARD COMMITTEE INVITATION TO BID FOR THE PROCUREMENT OF CONSTRUCTION OF BARANGAY OUTPOST PHASE 2 1.	The Barangay Local Government of Cagbunga, intends</t>
  </si>
  <si>
    <t xml:space="preserve"> Rehabilitation of Local Access Road ( Dimapula, Dicambangan, Dicatian, Dicaruyan, Sapinit, Ditarum, Dilakit, Dibulos, Dimasalansan)</t>
  </si>
  <si>
    <t xml:space="preserve"> Procurement of 3 items/ materials needed for the printing of modules.</t>
  </si>
  <si>
    <t xml:space="preserve"> Purchase of 3 Set Laptop</t>
  </si>
  <si>
    <t xml:space="preserve"> FIRST AND SECOND QUARTER</t>
  </si>
  <si>
    <t xml:space="preserve"> 100 Boxes of Face Mask for SK Federation of Mangaldan</t>
  </si>
  <si>
    <t xml:space="preserve"> 1.	The Department of Trade and Industry, through the Integrated Natural Resources and Environmental Management Project – Livelihood Enhancement Support 2 (INREMP-LES 2 ) under the Asian Development Bank (ADB) Funding intends to apply the sum of Ninety Tho</t>
  </si>
  <si>
    <t xml:space="preserve"> 1 Unit Office Table 1 Unit Divan (Long Bench) 1 Unit Computer Table</t>
  </si>
  <si>
    <t xml:space="preserve"> 1.	The Department of Trade and Industry, through the Integrated Natural Resources and Environmental Management Project – Livelihood Enhancement Support 2 (INREMP-LES 2 ) under the Asian Development Bank (ADB) Funding intends to apply the sum of One Hundre</t>
  </si>
  <si>
    <t xml:space="preserve"> Republic of the Philippines								 Province of Ilocos Norte								 Municipality of Paoay								 								 REQUEST FOR QUOTATION								 								 					Date:		8/1/2020	 					Qoutation No:		2020-187	 THE MANAGER				 				 								 								 								         </t>
  </si>
  <si>
    <t xml:space="preserve"> RESHOULDERING OF BARANGAY ROAD STA. LUCIA, STA. ANA, PAMPANGA</t>
  </si>
  <si>
    <t xml:space="preserve"> 1.	Bids received in excess of the ABC shall be automatically rejected during the Bid Opening. Interested Bidders may obtain further information from PN BAC in the given address below from 8:00 AM to 5:00 PM, Monday to Friday. 2.	Issuance of Bidding Docume</t>
  </si>
  <si>
    <t xml:space="preserve"> 2 units Airconditioner, wall mounted, 1.5 HP, with remote, inveter for the use of POPCOM RO XII- 1 Admin and 1 Technical. x-x-x-x-x-nothing follows-x-x-x-x-x-x-x-x-x-x</t>
  </si>
  <si>
    <t xml:space="preserve"> Republic of the Philippines								 Province of Ilocos Norte								 Municipality of Paoay								 								 REQUEST FOR QUOTATION								 								 					Date:		8/1/2020	 					Qoutation No:		2020-189	 THE MANAGER				 				 								 								 								         </t>
  </si>
  <si>
    <t xml:space="preserve"> Republic of the Philippines								 Province of Ilocos Norte								 Municipality of Paoay								 								 REQUEST FOR QUOTATION								 								 					Date:		8/1/2020	 					Qoutation No:		2020-179	 THE MANAGER				 				 								 								 								         </t>
  </si>
  <si>
    <t xml:space="preserve"> PERSONAL PROTECTIVE EQUIPMENT (PPE) SET: SET - PPE JUMPSUIT SET INCLUDING 1 JUMPSUIT, 1PC FACE SHIELD, 1PC BOUFFANT CAP, 1PAIR STERILE GLOVES, 1PAIR SHOE COVER, 3PCS DISPOSABLE 3PLY SURGICAL FACEMASK. ------------- 3 x 1,650.00 SET - PPE ISOLATION GOWN IN</t>
  </si>
  <si>
    <t xml:space="preserve"> Republic of the Philippines								 Province of Ilocos Norte								 Municipality of Paoay								 								 REQUEST FOR QUOTATION								 								 					Date:		8/1/2020	 					Qoutation No:		2020-183	 THE MANAGER				 				 								 								 								         </t>
  </si>
  <si>
    <t xml:space="preserve"> Procurement of various supplies for the UNIFAST Office use Extension Wire Qty: 11 Specifications: Input Voltage: 220V-230V Number of Outlets: 12 At least 6ft cable length With power indicator With Switch Crimping Tools Qty:  5 Specifications: Soft Grip Ha</t>
  </si>
  <si>
    <t xml:space="preserve"> SUPPLY AND DELIVERY OF MATTRESS &amp; BEDDINGS (FOR DOUBLE DECK)</t>
  </si>
  <si>
    <t xml:space="preserve"> 1. The Total Approved Budget for the Contract (ABC) for the Supply, Delivery and Testing of Benchtop Turbidimeter for the Daily Turbidity Monitoring Tests of the Four (4) Service Areas and the Production Area of MCWD is:											 Two Hundred Seventy Tho</t>
  </si>
  <si>
    <t xml:space="preserve"> 1. The Total Approved Budget for the Contract (ABC) for the Supply and Delivery of Free Chlorine Reagent for Chlorine Residual Monitoring in the Entire Service Coverage of MCWD is:												 One Hundred Twenty-Six Thousand Pesos (Php126,000.00)									</t>
  </si>
  <si>
    <t xml:space="preserve"> Bathroom Soap70g, asst.scent									100	pc. Bleaching Solution 1/2 gal.										36	gal. Bleaching Solution, 1 gal.										84	gal. Broom/Walis Tambo											50	pc Bulb, LED, 12 watts, 180-265 volts								50	pc. Chlorine													5	kg Cooking Gas </t>
  </si>
  <si>
    <t xml:space="preserve"> Republic of the Philippines Province of Camarines Sur Municipality of Del Gallego Barangay Government of Magais I INVITATION TO BID The Barangay Government of Magais I, Del Gallego, Camarines Sur, through 20% BEDF 2018 intends to apply the sum of One Hund</t>
  </si>
  <si>
    <t xml:space="preserve"> Polo Shirt Personalize 													100	pcs  Anywhere in Palawan 														 														 Medium = 16 (Female 16) (Black, 														  Green, Gray, White and Yellow) 														 														 Large = 50 (Female 25; Male 25) 														 (Bla</t>
  </si>
  <si>
    <t xml:space="preserve"> 1.	The Department of Trade and Industry, through the Integrated Natural Resources and Environmental Management Project – Livelihood Enhancement Support 2 (INREMP-LES 2) under Asian Development Bank (ADB) Funding intends to apply the sum of Eighty Thousand</t>
  </si>
  <si>
    <t xml:space="preserve"> Republic of the Philippines								 Province of Ilocos Norte								 Municipality of Paoay								 								 REQUEST FOR QUOTATION								 								 					Date:		8/1/2020	 					Qoutation No:		2020-180	 THE MANAGER				 				 								 								 								         </t>
  </si>
  <si>
    <t xml:space="preserve"> 3 Set Curtain</t>
  </si>
  <si>
    <t xml:space="preserve"> 1.	The Department of Trade and Industry, through the Integrated Natural Resources and Environmental Management Project – Livelihood Enhancement Support 2 (INREMP-LES 2) under Asian Development Bank (ADB) Funding intends to apply the sum of One Hundred Twe</t>
  </si>
  <si>
    <t xml:space="preserve"> 1. The Total Approved Budget for the Contract (ABC) for the Supply, Delivery and Unloading of Various Fittings and Hardware Supplies for the Proposed Pipeline Re-alignment at Kalgara Bridge are as follows:											 Lot 1: Supply, Delivery &amp; Unloading of</t>
  </si>
  <si>
    <t xml:space="preserve"> 1.	The Department of Trade and Industry, through the 2019 General Appropriations Act Continuing Appropriations intends to apply the sum of One Million Sixty Six Thousand Five Hundred Ten Pesos Only (Php1,066,510.00) being the Approved Budget for the Contr</t>
  </si>
  <si>
    <t xml:space="preserve"> BIDS AND AWARDS COMMITTEE (BAC) INVITATION TO BID The Department of Science and Technology (DOST), Regional Office No. IX, through its Bids and Awards Committee (BAC), invites qualified bidder to apply for eligibility and to bid for the “Office Equipment”</t>
  </si>
  <si>
    <t xml:space="preserve"> 1.	The Department of Trade and Industry, through the Integrated Natural Resources and Environmental Management Project – Livelihood Enhancement Support 2 (INREMP-LES 2) under Asian Development Bank (ADB) Funding intends to apply the sum of One Million Thr</t>
  </si>
  <si>
    <t xml:space="preserve"> Rehabilitation of Public Market</t>
  </si>
  <si>
    <t xml:space="preserve"> Supply and Delivery of Carbon Brush for Staplex Air Sampler</t>
  </si>
  <si>
    <t xml:space="preserve"> INVITATION TO BID ITB No.: 2020-02-001  1.   The Barangay Alibago of Enrile,Cagayan intends to apply the sum of One Hundred Forty Four Thousand Nine Hundred Sixty Three Pesos and Sixty Six Centavos (P144,963.66) being the Approved Budget for the Contract </t>
  </si>
  <si>
    <t xml:space="preserve"> FABRICATION OF ISOLATION UNIT ON GROUND AT NEW MUNICIPAL BUILDING</t>
  </si>
  <si>
    <t xml:space="preserve"> Republic of the Philippines Province of Camarines Sur Municipality of Del Gallego Barangay Government of Magais I INVITATION TO BID The Barangay Government of Magais I, Del Gallego, Camarines Sur, through 20% BEDF 2019 intends to apply the sum of Two Hund</t>
  </si>
  <si>
    <t xml:space="preserve"> RENOVATION AS ISOLATION UNIT AT NEW MUNICIPAL BUILDING</t>
  </si>
  <si>
    <t xml:space="preserve"> 1.	The Department of Trade and Industry, through the INREMP-LES 2 under ADB Funding intends to apply the sum of Eight Hundred Seventy Thousand Pesos Only (Php 870,000.00) being the Approved Budget for the Contract (ABC) for the contract for Heirloom Rice </t>
  </si>
  <si>
    <t xml:space="preserve"> 1 unit Typewriter           18 carriage           Elite</t>
  </si>
  <si>
    <t xml:space="preserve"> Supply and Delivery of Construction Supplies and Materials for the Fabrication of Steel Tunnel Type Greenhouse at Belance, Dupax del Norte with an ABC of Php300,000.00 For further details, please see attached Purchase Request in the associated components.</t>
  </si>
  <si>
    <t xml:space="preserve"> Repair and Maintenance of CCTV</t>
  </si>
  <si>
    <t xml:space="preserve"> 1.	The Department of Trade and Industry, through the INREMP LES 2 under ADB Funding intends to apply the sum of Four Hundred Eighty Three Thousand Nine Hundred Pesos Only (Php483,900.00) being the Approved Budget for the Contract (ABC) for the contract fo</t>
  </si>
  <si>
    <t xml:space="preserve"> 1.	The Department of Trade and Industry, through the Integrated Natural Resources and Environmental Management Project – Livelihood Enhancement Support 2 (INREMP-LES 2) under Asian Development Bank (ADB) Funding intends to apply the sum of Seven Hundred N</t>
  </si>
  <si>
    <t xml:space="preserve"> 1.	The Department of Trade and Industry, through the Integrated Natural Resources and Environmental Management Project – Livelihood Enhancement Support 2 (INREMP-LES 2) under Asian Development Bank (ADB) Funding intends to apply the sum of Four Hundred Th</t>
  </si>
  <si>
    <t xml:space="preserve"> The Municipality of Pilar would like to have an emergency purchase of alcohol, disinfectant, face mask and face shields under BGCM through negotiated procurement</t>
  </si>
  <si>
    <t xml:space="preserve"> 1.	The Department of Trade and Industry, through the Integrated Natural Resources and Environmental Management Project – Livelihood Enhancement Support 2 (INREMP-LES 2) under Asian Development Bank (ADB) Funding intends to apply the sum of Five Hundred Fi</t>
  </si>
  <si>
    <t xml:space="preserve"> 1.	The Department of Trade and Industry, through the Integrated Natural Resources and Environmental Management Project – Livelihood Enhancement Support 2 (INREMP-LES 2) under Asian Development Bank (ADB) Funding intends to apply the sum of Seven Hundred S</t>
  </si>
  <si>
    <t xml:space="preserve"> Republic of the Philippines										 Province of Misamis Oriental										 CITY OF EL SALVADOR										 										 REQUEST FOR QUOTATION										 										 								No.	2020-07-811	 										 										 										 										 	Please quote your price </t>
  </si>
  <si>
    <t xml:space="preserve"> Vicente Sotto Memorial Medical Center        B Rodriguez Street, Cebu City INVITATION TO BID The Vicente Sotto Memorial Medical Center, through its Bids and Awards Committee (BAC) invites contractors to bid for the hereunder project: Name of Project	Appro</t>
  </si>
  <si>
    <t xml:space="preserve"> 1.	The Department of Trade and Industry, through the  INREMP LES 2 under ADB funding intends to apply the sum of  Seven Hundred Five Thousand Pesos (Php 705,000.00) being the Approved Budget for the Contract (ABC) for the contract for  White Corn Processi</t>
  </si>
  <si>
    <t xml:space="preserve"> 1 Unit Filling Cabinet 5 Unit Computer Stand</t>
  </si>
  <si>
    <t xml:space="preserve"> 1.	The Department of Trade and Industry, through the INREMP LES 2 under ADB Funding intends to apply the sum of Seven Hundred Sixty Seven Thousand Pesos Only (Php767,000.00) being the Approved Budget for the Contract (ABC) for the contract for ENHANCING T</t>
  </si>
  <si>
    <t xml:space="preserve"> Republic of the Philippines Province of Camarines Sur Municipality of Del Gallego Barangay Government of Magais I INVITATION TO BID The Barangay Government of Magais I, Del Gallego, Camarines Sur, through 20% BEDF 2019 intends to apply the sum of Thirty S</t>
  </si>
  <si>
    <t xml:space="preserve"> 1.	The Department of Trade and Industry, through the Integrated Natural Resources and Environmental Management Project – Livelihood Enhancement Support 2 (INREMP-LES 2) under Asian Development Bank (ADB) Funding intends to apply the sum of One Hundred Two</t>
  </si>
  <si>
    <t xml:space="preserve"> PARALAYA CROSSING</t>
  </si>
  <si>
    <t xml:space="preserve"> 1.	The Department of Trade and Industry, through the INREMP-LES 2 under ADB Funding intends to apply the sum of Five Hundred Two Thousand Six Hundred Eighty Pesos Only (Php 502,680.00) being the Approved Budget for the Contract (ABC) for the contract for </t>
  </si>
  <si>
    <t xml:space="preserve"> 1 Set TV 32" 1 Unit AVR 1500 watts 1 Cable Set 1 pc TV Wall Mount</t>
  </si>
  <si>
    <t xml:space="preserve"> Notice for Negotiated Procurement (Small Value Procurement-Consultancy Firm) HIRING OF CONSULTANCY FIRM IN THE PREPARATION OF THE FIRST (1st) GENERAL ADMINISTRATION SUPPORT SERVICES GROUP (GASSG) SURVEILLANCE AUDIT FOR CY 2020 DSWD NNP NO. 20-DFAT-SVCF-00</t>
  </si>
  <si>
    <t xml:space="preserve"> 20CSE014: Consulting Services on the Conduct of Sub-soil Investigation for the Proposed Construction of Rehabilitation/ Major Repair of Slope Protection Structure along Tablas Circumferential Road (K0062+800 - K0063+110), Romblon</t>
  </si>
  <si>
    <t xml:space="preserve"> 1.	The Department of Trade and Industry, through the 2019 General Appropriations Act Continuing Appropriations intends to apply the sum of Three Hundred Sixty Two Thousand Five Hundred Ninety Five Pesos (Php 362,595.00) being the Approved Budget for the C</t>
  </si>
  <si>
    <t xml:space="preserve"> Drum Kit and Toner Cartridge for Photocopier Machine</t>
  </si>
  <si>
    <t xml:space="preserve"> Various Office Supplies</t>
  </si>
  <si>
    <t xml:space="preserve"> Repair and Maintenance of Building and Other Structure</t>
  </si>
  <si>
    <t xml:space="preserve"> Republic of the Philippines Province of Camarines Sur Municipality of Del Gallego Barangay Government of Magais I INVITATION TO BID The Barangay Government of Magais I, Del Gallego, Camarines Sur, through 20% BEDF 2019 intends to apply the sum of Twelve T</t>
  </si>
  <si>
    <t xml:space="preserve"> Various Drugs and Medicines for the Treatment of Patients use</t>
  </si>
  <si>
    <t xml:space="preserve"> EMBANKMENT OF BARANGAY ROAD SAN ROQUE, STA. ANA, PAMPANGA</t>
  </si>
  <si>
    <t xml:space="preserve"> Tires, Batteries &amp; other Parts of Motorcycles</t>
  </si>
  <si>
    <t xml:space="preserve"> TERMS OF REFERENCE               PURCHASE OF VITAMIN SUPPLEMENTS FOR SB CORP PERSONNEL UP TO SG 25 Specifications 205 boxes (100 pcs per box) of multivitamins  (Vitamin A 5000 IU, Vitamin C 500 mg, Vitamin E 100 IU, Zinc 25 mg); 205 boxes (100 pcs per box</t>
  </si>
  <si>
    <t xml:space="preserve"> Improvement of Women's Training Center</t>
  </si>
  <si>
    <t xml:space="preserve"> 1.	The Department of Trade and Industry, through the INREMP LES 2 under ADB Funding intends to apply the sum of Four Hundred Twenty Eight Thousand Five Hundred Pesos Only (Php428,500.00) being the Approved Budget for the Contract (ABC) for the contract fo</t>
  </si>
  <si>
    <t xml:space="preserve"> 1.	The Department of Trade and Industry, through the INREMP LES 2 under ADB Funding intends to apply the sum of Six Hundred Seventy One Thousand Five Hundred Pesos Only (Php671,500.00) being the Approved Budget for the Contract (ABC) for the contract for </t>
  </si>
  <si>
    <t xml:space="preserve"> Purchase of 1 Unit Projector with Complete Accessories</t>
  </si>
  <si>
    <t xml:space="preserve"> various Office Supplies</t>
  </si>
  <si>
    <t xml:space="preserve"> Heavy Duty Paper Shredder</t>
  </si>
  <si>
    <t xml:space="preserve"> INVITATION TO BID FOR THE CONSTRUCTION OF  COVERED CANAL POBLACION 1 AND 3, Adams, Ilocos Norte 1.	The Municipal Government of Adams, through funds from the 5% Calamity Fund  intends to apply the sum of ph299,474.44 being the Approved Budget for the Contr</t>
  </si>
  <si>
    <t xml:space="preserve"> Purchase of 5 Unit Ceiling Fan</t>
  </si>
  <si>
    <t xml:space="preserve"> 1 Unit Air-conditioner 2 HP 2 Set Venetian Blind 1 Unit Electric Air pot 5 Liters</t>
  </si>
  <si>
    <t xml:space="preserve"> Republic of the Philippines PROVINCE OF AGUSAN DEL SUR Municipality of Sta. Josefa OFFICE OF THE BIDS AND AWARDS COMMITTEE REQUEST FOR QUOTATION Price Quotation No. SJADS SVP: 2020-24 The Local Government Unit, Sta. Josefa, Agusan del Sur, through its Bid</t>
  </si>
  <si>
    <t xml:space="preserve"> Republic of the Philippines Office of the Punong Barangay BIDS AND AWARDS COMMITTEE Barangay #5 Davila, Pasuquin, Ilocos Norte INVITATION TO BID FOR PURCHASE OF 2 UNITS 2.0 HP AIRCON, 2 SETS OF DESKTOP COMPUTER AND 2 UNITS OF PRINTER 1.	The BARANGAY #5 DA</t>
  </si>
  <si>
    <t xml:space="preserve"> REPLACEMENT OF EXISTING TILES AT COA, SATELLITE OFFICE AND HALLWAY OF GINGOOG BRANCH PLEASE SEE ATTACHED SCOPE OF WORKS, BID FORM AND PLAN. DEADLINE OF QUOTATION WILL BE ON AUGUST 6, 2020 ON OR BEFORE 12:00 NOON. THANK YOU.</t>
  </si>
  <si>
    <t xml:space="preserve"> 1. 10% SK FUND OF 2020 ABC P 600,000.00 CONTRACT # 2020-001-SK PURCHASE OF OFFICE EQUIPMENT SUPPLIES &amp; CONSUMABLES 2. DELIVERY REQUIRED OF 10 DAYS AFTER THE AWARD OF CONTRACT     MINIMUM OF 2 YEARS COMPLETED SIMILAR PROJECTS 3. OPEN COMPETITIVE BIDDING AP</t>
  </si>
  <si>
    <t xml:space="preserve"> DELIVERY OF MATERIALS ONLY</t>
  </si>
  <si>
    <t xml:space="preserve"> Construction of Perimeter Fence - Dimapnat</t>
  </si>
  <si>
    <t xml:space="preserve"> NOTE: ALL ITEMS MUST BE DELIVERED IN ONE PACKAGE           LIST OF ITEMS AND ESTIMATED COST ARE INCLUDED 82		REAMS	WHITEWOVE MIMEO PAPER S18,(A4)				 186.00 	 15,252.00  6		BOTTLES	EPSON INK L365 (black)				                 320.00 	 1,920.00  3		BOTTLES	E</t>
  </si>
  <si>
    <t xml:space="preserve"> NOTE: ALL ITEMS MUST BE DELIVERED IN ONE PACKAGE           LIST OF ITEMS AND ESTIMATED COST ARE INCLUDED 2	pcs.	Epson L5190 Wi-Fi All-in-One Ink Tank Printer  ADF				 13,050.00 	 26,100.00  			 "Specifications: Printer Type: Print, Scan, Copy, Fax with AD</t>
  </si>
  <si>
    <t xml:space="preserve"> The Municipality of Bay, through the GOP – 20% Economic Development Fund (EDF) intends to apply the sum of One Million Pesos Only (PHP 1,000,000.00) being the Approved Budget for the Contract (ABC) to payments under the contract for the Delivery of labor </t>
  </si>
  <si>
    <t xml:space="preserve"> NOTE: ALL ITEMS MUST BE DELIVERED IN ONE PACKAGE.                      LIST OF ITEMS AND ESTIMATED COST ARE INCLUDED. 150		pcs.	Welding Mask Lens(Dark Glass # 10)				 35.00 	 5,250.00  50		pcs.	Welding Mask Lens(Dark Glass # 12)				 30.00 	 1,500.00  200	</t>
  </si>
  <si>
    <t xml:space="preserve"> JOSE B. LINGAD MEMORIAL REGIONAL HOSPITAL City of San Fernando, Pampanga Tel. No. (045) 961-3921 Date: July 31, 2020 No. 2020 – 07 - 235-S REQUEST FOR QUOTATION (Name of Agency) (Address) Sir/Madam: Please quote your lowest price on the item/s listed belo</t>
  </si>
  <si>
    <t xml:space="preserve"> THE MUNICIPALITY OF PILAR, CEBU WOULD LIKE TO HAVE AN EMERGENCY PURCHASE OF 600 BOXES OF VIT. C.</t>
  </si>
  <si>
    <t xml:space="preserve"> 1.	The Department of Trade and Industry, through the INREMP-LES 2 under ADB Funding intends to apply the sum of Four Hundred Seventy-Two Thousand Five Hundred Fifty Pesos Only (Php 472,550.00) being the Approved Budget for the Contract (ABC) for the contr</t>
  </si>
  <si>
    <t xml:space="preserve"> Operation against Illegal Drugs</t>
  </si>
  <si>
    <t xml:space="preserve"> Meals, snacks and accommodation for the Knowledge Learning Market of INREMP Kalinga Peoples Organization on August 25-29, 2020 in Tabuk City, Kalinga.								 ITEM AND DESCRIPTION			QTY	UNIT August 25, 2020 (Arrival)				 Dinner ( unli rice, vegetables, po</t>
  </si>
  <si>
    <t xml:space="preserve"> SHIPPING AND HAULING OF DMPA, CONDOM, COC AND NFP CHARTS TO THE REGIONAL OFFICES AND POPCOM CENTRAL WAREHOUSE. Requirement: •	Shipped via sea/land/trucking cargo •	Payment to supplier is thru LDDAP-ADA •	Pick up point is specified Warehouse in Paranaque a</t>
  </si>
  <si>
    <t xml:space="preserve"> Meals, snacks and accommodation for the conduct of CY-2020 Integrated Natural Resources and Environmental Management Project-Chico Upper River Basin 9INREMP-CURB) Midyear Assessment Workshop on August 11-14, 2020 in Tabuk City, Kalinga. ITEM AND DESCRIPTI</t>
  </si>
  <si>
    <t xml:space="preserve"> The Scoop of the Projects:  A.	OTHER REQUIREMENTS	 Item No. 	Description 					Unit Quantity				 Item A-I 	Provision for Safety and Health Program 	Lot	1	 Item A-2	Project Billboard				Each	1	 B.	Improvement of Barangay Road-Lamagan Item No. 	Description 	</t>
  </si>
  <si>
    <t xml:space="preserve"> The Scope of the Projects: Item No. 	Description 				Unit   Quantity		 Item I		Removal of Structures and Obstructions	 Lot   1 Item II		Structure Excavation			Cu.m 6.31 Item III		Reinforcing Steel Bars			Kgs    132.45 Item IV		Structural Concrete			Cu.m 2</t>
  </si>
  <si>
    <t xml:space="preserve"> The Barangay Local Government Unit of Bacneng Santa Fe, Nueva Vizcaya, through its Bids &amp; Awards Committee invites contractors to bid for the following project: Contract Name:  Improvement of Multi-Purpose Building Contract Location: Bacneng, Santa Fe, Nu</t>
  </si>
  <si>
    <t xml:space="preserve"> CONSTRUCTION OF KITCHEN EXTENSION AT EVACUATION CENTER NEW MUNICIPAL BUILDING</t>
  </si>
  <si>
    <t xml:space="preserve"> The Local Government Unit of Santa Fe, Nueva Vizcaya, through its Bids &amp; Awards Committee invites contractors to bid for the following project: Contract Name: Procurement of Office Equipment:Projector (Supply and delivery)  Contract Location: Santa Fe, Nu</t>
  </si>
  <si>
    <t xml:space="preserve"> Unit 	Item Description		                                   Quantity	 Unit Cost 	 Total Cost  					 unit 	Solid Top, chest freezer/chiller, 8 cu. ft. 137 watts		8	 14,990.00 	 119,920.00  unit 	Upright freezer, 6 cu. ft., inverter		                        </t>
  </si>
  <si>
    <t xml:space="preserve"> RFQ&gt;&gt;&gt; Supply and Delivery of Office supplies for the Division Office  ABC=P85,155.00</t>
  </si>
  <si>
    <t xml:space="preserve"> Printing and binding (softbound) of modules for Kindergarten, Grades 1-3, 5,7 and 9: Specifications: • bond paper size: A4, subs. 24 • colored printing for Kindergarten and Grade 1 modules • grayscale printing for Grades 2-3, 5, 7 and 9 modules • front an</t>
  </si>
  <si>
    <t xml:space="preserve"> RFQ&gt;&gt;&gt; Supply and Delivery of Cell Cards for Pilot Schools ABC=P120,960.00</t>
  </si>
  <si>
    <t xml:space="preserve"> 1	Unit	Processor Corei5,  RAM 8 GB,Graphic Memory/Video Card 4GB, Hard drive 1TB+256GB SSD 15.6 Win10</t>
  </si>
  <si>
    <t xml:space="preserve"> DPWH, Isabela City District Engineering Office Tabuk, Isabela City, Basilan Province INVITATION TO BID The DPWH Isabela City District Engineering Office, through its Bids and Awards Committee (BAC), invites contractors to submit bids for the following Con</t>
  </si>
  <si>
    <t xml:space="preserve"> RFQ&gt;&gt;&gt; Supply and Delivery of Cell Cards ABC=P73,560.00</t>
  </si>
  <si>
    <t xml:space="preserve"> The Scoop of the Project: A. Rehabilitation of Drainage Canal (Domepnas Residence to Ano's Residence Soquib)	 Item No. 	Description 					Unit Quantity Item I		Structure excavation				cu.m	7.50	 Item II		Reinforcing Steelbars				kgs	725.94	 Item III		Struc</t>
  </si>
  <si>
    <t xml:space="preserve"> The Scoop of the Projects: Item No. 	Description 				 Unit   Quantity	 Item I		Removal of Structures and Obstructions	 Lot 1 Item II		Structure Excavation(unclassified)	Cu.m 7.20 Item III		Reinforcing Steel Bars			Kgs 423.26 Item IV		Structural Concrete		</t>
  </si>
  <si>
    <t xml:space="preserve"> The Barangay Government of Punta I  through its Bids and Awards Committee (BAC), invites contractors with and classified by the Philippine Contractors Accredited Board (PCAB) to apply  for eligibility and to re-bid for hereunder project: Name of Project	:</t>
  </si>
  <si>
    <t xml:space="preserve"> REQUEST FOR EXPRESSION OF INTEREST  FOR THE  CONDUCT OF CONSULTANCY SERVICES FOR THE PARCELLARY SURVEY FOR  FY 2021 PROJECTS                                                                                                                                   </t>
  </si>
  <si>
    <t xml:space="preserve"> Unit 	Item Description		                         Quantity	 Unit Cost 	 Total Cost  					 pax	1 meal and 2 snacks on August 10, 2020 		38	 350.00 	 13,300.00  pax	1 meal and 2 snacks on August 11, 2020 		36	 350.00 	 12,600.00  pax	1 meal and 2 snacks on A</t>
  </si>
  <si>
    <t xml:space="preserve"> The Barangay Government of Binubongan, Allacapan Cagayan, through its Bids and Awards Committee (BAC) will invites interested entities to submit their bidding documents for the following details: Name of Project: Installation of Solar Street Lights Source</t>
  </si>
  <si>
    <t xml:space="preserve"> The Scoop of the Projects: Item No. 	Description 					Unit Quantity Item I 		Structure Excavation (excavation and throw) 	Cu.m 57.75 Item II 		Reinforcing Steelbars 				Kgs 3,483.48 Item III 		Structural Concrete 				Cu.m 30.61 Item IV 		Sub Grade Prepara</t>
  </si>
  <si>
    <t xml:space="preserve"> REQUEST FOR EXPRESSION OF INTEREST  FOR THE  CONSULTING SERVICES FOR THE CONDUCT OF SUB SURFACE SOIL EXPLORATION AND GEOTECHNICAL INVESTIGATION FOR VARIOUS ROAD NETWORK DEVELOPMENT AND CONSTRUCTION OF FLOOD CONTROL STRUCTURES (CLUSTER B)                  </t>
  </si>
  <si>
    <t xml:space="preserve"> REQUEST FOR EXPRESSION OF INTEREST  FOR THE  CONSULTING SERVICES FOR THE CONDUCT OF SUB SURFACE SOIL EXPLORATION AND GEOTECHNICAL INVESTIGATION FOR VARIOUS ROAD NETWORK DEVELOPMENT AND CONSTRUCTION OF FLOOD CONTROL STRUCTURES (CLUSTER A)                  </t>
  </si>
  <si>
    <t xml:space="preserve"> PLEASE SEE ATTACHED DOCUMENT FOR THE LINE ITEMS AND ESTIMATED UNIT COST OF THE MONOBLOC CHAIRS AND FOLDING TABLE</t>
  </si>
  <si>
    <t xml:space="preserve"> 1.	The Capiz Provincial Government, through the GOP CY-2020 (20% DF) intends to apply the total amount of Three Million Five Hundred Thousand Pesos (Php,3,500,000.00) being the Approved Budget for the Contract (ABC).  Bids received in excess of the ABC sh</t>
  </si>
  <si>
    <t xml:space="preserve"> Description   Republic of the Philippines Province of Leyte Municipality of ORMOC CITY BARANGAY DISTRICT 8 BIDS AND AWARDS COMMITTEE Invitation to Bid for the Procurement of Installation/Fabrication of Material Recovery Facility (MRF), Barangay District 8</t>
  </si>
  <si>
    <t xml:space="preserve"> Item No.	Unit	Quantity	DESCRIPTION		 1	bucket	14	Latex paint, ivory 		 2	bucket	5	Latex paint, white		 3	bucket	3	Latex paint, green		 4	bucket	3	Enamel paint, white		 5	piece	       28	Paint roller with tray,#7		 6	gal	        2	Enamel (Green )		 7	gal	 </t>
  </si>
  <si>
    <t xml:space="preserve"> Republic of the Philippines  Province of Batangas  Municipality of Laurel BARANGAY Paliparan BIDS AND AWARDS COMMITTEE INVITATION TO BID I.     The Barangay Government of Barangay Paliparan, Laurel, Batangas through its Bids and Awards Committee (BAC), in</t>
  </si>
  <si>
    <t xml:space="preserve"> T-SHIRT w/ COLLAR AND CUFFS WITH RUBBERIZED DEPED SIARGAO LOGO  1. EXTRA SMALL  117 PCS.  2. SMALL  378 PCS.  3. MEDUIM 699 PCS.  4. LARGE  433 PCS.  5. EXTRA LARGE 183 PCS.  6. XXL 36 PCS.  7. XXXL 6 PCS.</t>
  </si>
  <si>
    <t xml:space="preserve"> 25 pcs Safety Breaker 30 A														 29 pcs Safety Breaker 15 A														 1 box PDX Wire #10														 1 box PDS Wire #12														 1 box PDS Wire #14														 50 pcs 2 Gang convenience outlet (surface type)														 60 pcs Plast</t>
  </si>
  <si>
    <t xml:space="preserve"> ISO CERTIFICATION SERVICES Audit Activities: Re-assessment Audit Certification Fee 1st Surveillance  2nd Surveillance NOTE: REQUEST FOR PROPOSAL AND TERMS OF REFERENCE IS AVAILABLE AT Associated Components.</t>
  </si>
  <si>
    <t xml:space="preserve"> 1	200	bags	Portland Cement	 2	13	m3	Washed Sand	 3	13	m3	Selected Gravel	 4	1,086	pcs	4"x8"x16" - CHB				 5	175	pcs	10mmØ6.0m - DRB, STD. G40				 6	34	pcs	12mmØ6.0m - DRB, STD. G40				 7	52	pcs	16mmØ6.0m - DRB, STD. G40				 8	9	kgs	G.I. Tie Wire, #16				 </t>
  </si>
  <si>
    <t xml:space="preserve"> 1	29	bottle	Air Freshener - Spray	 2	30	can	Air Freshener in can	 3	10	piece	Albatros - Big	 4	2	unit	Backup Battery (UPS )	 5	6	box	Ballpen , black, 50's/box 6	489	piece	Ballpen- BPS GP Fine, 0.7-Black Pilot	 7	12	piece	Ballpen- BPS GP Fine, 0.7-Blue Pil</t>
  </si>
  <si>
    <t xml:space="preserve"> Construction of Animal Bite Center</t>
  </si>
  <si>
    <t xml:space="preserve"> INVITATION TO QUOTE Date:  July 30, 2020 1.	The Provincial Government of Davao del Sur, through its Bids and Awards Committee (BAC), invites all interested bidders/suppliers to quote for the following goods under Alternative Methods of Procurement (Small </t>
  </si>
  <si>
    <t xml:space="preserve"> Furniture, Fixtures &amp; Equipment (w/ Installation)</t>
  </si>
  <si>
    <t xml:space="preserve"> LCD 15.6 SLIM(DELL) 8,000.00</t>
  </si>
  <si>
    <t xml:space="preserve"> Rehabilitation and Improvement of Bleachers</t>
  </si>
  <si>
    <t xml:space="preserve"> CNH-0520-057</t>
  </si>
  <si>
    <t xml:space="preserve"> ¬REQUEST FOR EXPRESSION OF INTEREST FOR THE  CONSULTING SERVICES FOR THE CONDUCT OF SUB SURFACE SOIL EXPLORATION AND GEOTECHNICAL INVESTIGATION FOR VARIOUS ROAD NETWORK DEVELOPMENT AND CONSTRUCTION OF FLOOD CONTROL STRUCTURES (CLUSTER C)                  </t>
  </si>
  <si>
    <t xml:space="preserve"> 7 set of Printer 846 Ream Long Bondpaper 25 pcs Stapler 50 boxes Staple wire 100 Bottle Ink Refill (Black) 50 Bottle Ink Refill (Blue) 50 Bottle Ink Refill (Yellow) 50 Bottle Ink Refill (Red)</t>
  </si>
  <si>
    <t xml:space="preserve"> 35 pcs of mobile load</t>
  </si>
  <si>
    <t xml:space="preserve"> Please see attached Invitation To Bid for details.</t>
  </si>
  <si>
    <t xml:space="preserve"> Republic of the Philippines Department of Health Center for Health Development IX SULU SANITARIUM Upper San Raymundo, 7400 Jolo, Sulu 0688460047(PLDT); 0853418911 local 2331 sulusanitarium@ymail.com INVITATION TO BID FOR Procurement of Various Hospital </t>
  </si>
  <si>
    <t xml:space="preserve"> PRINTING AND DELIVERY OF MODULES FOR GENERAL EDUCATION SUBJECTS 1.	The OCCIDENTAL MINDORO STATE COLLEGE (OMSC), through the Special Trust Fund intends to apply the sum of One Million Two Hundred Thirty-Seven Thousand Nine Hundred Pesos (Php1,237,900.00) b</t>
  </si>
  <si>
    <t xml:space="preserve"> 1 PC NEBULIZER 1PC BP APPARATUS MANUAL 1PC WEIGHING SCALE 150 WASHABLE ASK         DISPOSABLE MASK 10 BXS METROPOLOL 10 BXS ALODIPINE 5 BXS LOSARTAN 2 BXS GOVES 10 BOTS. MULTIVITAMIN P30,200.00</t>
  </si>
  <si>
    <t xml:space="preserve"> I - CONST. OF R.C. RESERVOIR 3MX3MX2.40M II - INSTALLATION OF ELECTRIC WATER PUMP III - INSTALLATION OF PIPELINES</t>
  </si>
  <si>
    <t xml:space="preserve"> 1.   220   pcs.   Prepaid Load Card(Globe)</t>
  </si>
  <si>
    <t xml:space="preserve"> 1.   22   cases   Noodles (Canton 60 grams) 2.   14   cases   3 in 1 Coffee 10's 3.   33   cases   Beef Loaf 150 grams 4.   5     cases   Corned Beef 150 grams</t>
  </si>
  <si>
    <t xml:space="preserve"> Duplicator Machine Minimum Specifications: Supported O/S: Windows, Vista, 7,8, &amp; 10 Supported paper size: A3 Operation Mode: Thermal Master Making Memory Print, before scan, before print Image processing mode: Text/Text picture/Newspaper/pencil Original s</t>
  </si>
  <si>
    <t xml:space="preserve"> I.PURCHASED OF COVID-19 RESPONSE ITEMS                Liquid soap                                                                                   pcs 	 27 	  Doormat/Foothbath 	                                                                    pcs 	 23</t>
  </si>
  <si>
    <t xml:space="preserve"> -Provisioning for Rescue Equipment for disaster preparedness response, search, rescue, and retrieval operation -Declogging of Canals</t>
  </si>
  <si>
    <t xml:space="preserve"> 20CSE013 -  Consulting Services for the Master Plan and Detailed Architectural and Engineering Design (DAED) for Palawan Convention Centers, Palawan</t>
  </si>
  <si>
    <t xml:space="preserve"> ITEM   QTY.     UNIT       DESCRIPTION  NO. 1.        141     SACKS     FERTILIZER - 16-20-0 2.        140     SACKS     FERTILIZER - 14-14-14 3.        330     SACKS     FERTILIZER  - 21-0-0 4.          50     SACKS     FERTILIZER -  Potash Places of Del</t>
  </si>
  <si>
    <t xml:space="preserve"> 1 lot Actual Structural Plan and Design														 Review the Structural Plans														 Submit a signed and computer modeling 														 and structural design calculations under														 the proposed loads in compliance to the 											</t>
  </si>
  <si>
    <t xml:space="preserve"> The vehicle aims to be utilized in line with the municipality's promotion of a proper waste disposal management system.</t>
  </si>
  <si>
    <t xml:space="preserve"> Republika ng Pilipinas					 Department of Education					 Region XI					 Davao City					 Request for Quotation					 				Date:	 				PR No.:	000058 	Please quote your lowest price on the item/s listed below, subject to the General Conditions on the last page</t>
  </si>
  <si>
    <t xml:space="preserve"> Supply and delivery of construction materials for the Rehabilitation of Multi-Purpose hall.</t>
  </si>
  <si>
    <t xml:space="preserve"> See attached ITB.</t>
  </si>
  <si>
    <t xml:space="preserve"> Extraordinary and Miscellaneous Expenses</t>
  </si>
  <si>
    <t xml:space="preserve"> FARM MACHINERY AND EQUIPMENT ITEM #   QTY    UNIT         DESCRIPTION 1.             4      UNITS        TRAILER                                         Specification:                                                                                  brand </t>
  </si>
  <si>
    <t xml:space="preserve"> Conduct a seminar for the youth regarding the social work in responding to human trafficking in the community and information dessimenation on curfew hours and violators consequences through installation of signages to avoid the youth to the influence of </t>
  </si>
  <si>
    <t xml:space="preserve"> INVITATION TO BID FOR The Procurement of 586 bags of GM Hybrid Yellow Corn Seeds 1.	The Department of Agriculture-Regional Field Office 7, through the GAA 2020  intends to apply the sum of Two Million Nine Hundred Thirty Thousand Pesos (₱2,930,000.00) bei</t>
  </si>
  <si>
    <t xml:space="preserve"> The Materials includes the following below; Item #	Description	    Quantity	Unit 1	Assorted CW. Nails 	           4.00	kgs. 2	16 mm dia. RSB (34pcs)	317.25	kgs. 3	12 mm dia. RSB (66 pcs)	351.78	kgs. 4	10 mm dia. RSB (54 pcs)	199.31	kgs. 5	#16 Tirewires	  </t>
  </si>
  <si>
    <t xml:space="preserve"> The Local  Government   Unit  of General  Santos  City, through  the  GENERAL FUND CY 2020  intends  to apply  the sum of four hundred sixty thousand three hundred ninety two and xx / 100 Pesos Only (460,392.00)   being  the Approved  Budget  for the Cont</t>
  </si>
  <si>
    <t xml:space="preserve"> please quote for 1 set of Smart TV(65 inches)</t>
  </si>
  <si>
    <t xml:space="preserve"> Purchase of Electrical Massage Chair and Sala Set (Upholstery)</t>
  </si>
  <si>
    <t xml:space="preserve"> 1. REFRIGERATED CENTRIFUGE.............................................................1 unit DP - 2065 R PLUS 6 PLACER Refrigerated centrifuge with 6 (six) 2,000 ml beakers. each for the  use of 12 bags of 500ml. quadruple, triple, double and for TOP &amp; B</t>
  </si>
  <si>
    <t xml:space="preserve"> Discription: -285 pcs. Agricultural Fertilizer</t>
  </si>
  <si>
    <t xml:space="preserve"> Jetmatic Pump (heavy duty) G.I. Pipe 1 1/4 x 6m sched 40</t>
  </si>
  <si>
    <t xml:space="preserve"> PROJECT REFERENCE NO. CWD 35-2020 Invitation to Bid for  Drilling of Exploratory Well in  Various Areas of Calamba City, Laguna Item No.	Item Description	Qty.	Unit	Unit Cost	Total Amount 1	Brgy. Turbina, Glenwood Subdivision (200 mtrs)	1	Lot	4,828,110.00 </t>
  </si>
  <si>
    <t xml:space="preserve"> L = 50m H = 1.5m F= 1.2m T= 50cm TOTAL MATERIALS = P 148,225.00 TOTAL LABOR = P 51,775.00</t>
  </si>
  <si>
    <t xml:space="preserve"> INVITATION TO BID ITB NO. 20-12 	The Lung Center of the Philippines (LCP), through its Bids and Awards Committee 	(BAC), invites eligible bidders to bid for the, " PROCUREMENT FOR SUPPLY AND DELIVERY OF VARIOUS REGULAR MEDICINES AND IV FLUIDS" (ITB NO 20-</t>
  </si>
  <si>
    <t xml:space="preserve"> ROAD CONCRETING Item No.	Description 	Unit	Quantity PART A 	GENERAL REQUIREMENTS		 a	Const.Safety and Health Program	LS	 1.00  b	Project Billboard	Unit	 1.00  c	Mobilization/Demobilization	LS	 1.00  PART B 	ROADS		 105	Subgrade Preparation	sq.m.	 1,884.00</t>
  </si>
  <si>
    <t xml:space="preserve"> Republic of the Philippines Province of Nueva Vizcaya MUNICIPALITY OF BAGABAG INVITATION TO BID  SUPPLY AND DELIVERY OF MATERIALS FOR THE CONSTRUCTION OF DRAINAGE CANAL ALONG DOLORES ST. &amp; BARIAUN ST. SAN GERONIMO, BAGABAG, NUEVA VIZCAYA 1.	The Local Gove</t>
  </si>
  <si>
    <t xml:space="preserve"> INVITATION TO BID  CONSTRUCTION OF OUTPATIENT DEPARTMENT EXTENSION BUILDING OF  TALAVERA GENERAL HOSPITAL IBTGH No. 2020 – 009 Approved Budget for the Contract (ABC) and Source of Fund ABC:  7,302,910.64 GAA/Income Fund Price of Bid Documents (non-refunda</t>
  </si>
  <si>
    <t xml:space="preserve"> Concreting of farm-to-market road with length of 209.00 meters including transitions and spill way with the length of 9.00 meters.</t>
  </si>
  <si>
    <t xml:space="preserve"> 52.00 cu.m. Removal of structure &amp; obstruction	 153.50 cu.m. Structure Excavation (Solid Rock)	 30,332.00	kg Reinforcing Steel Bar, Grade 40 (Minor Structures)	  194.40 cu.m Structural Concrete Class A (Minor Structures) including stairs	 1,500.00 Sq.m. R</t>
  </si>
  <si>
    <t xml:space="preserve"> Please see attached associated components Purchase Request and Request for Quotation for specifications and the corresponding budget of each item. Please email your quotations to jesspsanchez@yahoo.com and ras1031@yahoo.com</t>
  </si>
  <si>
    <t xml:space="preserve"> 0.02	ha Clearing &amp; Grubbing (w/ stripping)  15.00 cu.m. Structural Concrete Class A (Minor Structures) including stairs	 1.00	l.s. Construction Safety and Health</t>
  </si>
  <si>
    <t xml:space="preserve"> **SVP-Hospital Equipment and Supplies in connection with COVID-19 RT-PCR Examination</t>
  </si>
  <si>
    <t xml:space="preserve"> SPED Materials			 1	1	set		Brigance Early Childhood Screen III - K &amp; 1 				Plus: Data Sheets (15 Triplicate data sheets/ pad) 				Kindergarten - 10 pads 				First Grade - 10 pads 2	1	set		Brigance Early Childhood Development Inventory 				2 Volumes, Plus:</t>
  </si>
  <si>
    <t xml:space="preserve"> 270 rolls    Chemical Hose 1.5" @40m/roll 36   units   Multi-cultivator, 7hp diesel engine with complete implements, complete set of tools and accessories</t>
  </si>
  <si>
    <t xml:space="preserve"> ROAD CONCRETING Item No.	Description 	Unit	Quantity PART A 	GENERAL REQUIREMENTS		 a	Const.Safety and Health Program	Lumpsum	 1.00  b	Project Billboard	Unit	 1.00  c	Mobilization/Demobilization	Lot	 1.00  PART B 			 I	Subgrade Preparation	sq.m.	 823.44  I</t>
  </si>
  <si>
    <t xml:space="preserve"> INVITATION TO BID FOR THE Procurement of Various Inorganic Fertilizer 1. The Department of Agriculture-Regional Field Office 7, through the GAA 2020 intends to apply the sum of Four Million One Thousand Pesos (₱ 4,001,000.00) being the Approved Budget for</t>
  </si>
  <si>
    <t xml:space="preserve"> 0.01	ha Clearing &amp; Grubbing (w/ stripping)	 110.00 Sq.m. Sub-grade Preparation (Common Material)	 11 Cu.m.  Aggregate Sub-base Course	 110.00 Sq.m. PCC Pavement (Plain) – Using Concrete Paver, 230mm thk.	 1.00	l.s. Construction Safety and Health</t>
  </si>
  <si>
    <t xml:space="preserve"> Office Supplies, Ink &amp; Other Supplies</t>
  </si>
  <si>
    <t xml:space="preserve"> REQUEST FOR QUOTATION (RFQ-2020-008) 1.	The DOST-SCIENCE AND TECHNOLOGY INFORMATION INSTITUTE (DOST-STII), through its Bids and Awards Committee (BAC), invites PhilGEPS registered suppliers/contractors to submit quotations for the project “One (1) Lot Sup</t>
  </si>
  <si>
    <t xml:space="preserve"> 1,145 bags Ammonium Sulfate Fertilizer (21-0-0) @50kgs/bag  2,402 bags Urea Fertilizer (46-0-0) @50kgs/bag  2,100 bags Ammophos (16-20-0) @50kgs/bag</t>
  </si>
  <si>
    <t xml:space="preserve"> 1. The City Government of Calamba through the GAD Fund intends to apply the sum of Php 847,200.00 being the Approved Budget for the Contract (ABC) to payments under the contract for G-2020-487 Supply and Delivery of Breastmilk Storage Bottles, Gender and </t>
  </si>
  <si>
    <t xml:space="preserve"> INVITATION TO BID ITB NO. 20-13 	The Lung Center of the Philippines (LCP), through its Bids and Awards Committee 	(BAC), invites eligible bidders to bid for the, " PROCUREMENT FOR SUPPLY AND DELIVERY OF VARIOUS ONCOLOGY DRUGS” ( ITB NO 20-13) ABC Php 5,37</t>
  </si>
  <si>
    <t xml:space="preserve"> 1. The City Government of Calamba through the General Fund intends to apply the sum of Php 299,975.10 being the Approved Budget for the Contract (ABC) to payments under the contract for G-2020-486 Supply and Delivery of Office &amp; Janitorial Supplies, City </t>
  </si>
  <si>
    <t xml:space="preserve"> 1. The City Government of Calamba through the General Fund intends to apply the sum of Php 210,000.00 being the Approved Budget for the Contract (ABC) to payments under the contract for G-2020-485 Publication of Advertisement, City Planning and Developmen</t>
  </si>
  <si>
    <t xml:space="preserve"> OFFICE SUPPLIES PURCHASED</t>
  </si>
  <si>
    <t xml:space="preserve"> 1.	The Capiz Provincial Government, through the GOP CY-2020 (20% DF) intends to apply the total amount of Three Million Nine Hundred Eighty-Four Thousand Three Hundred Seventy Pesos &amp; 33/100 (Php,3,984,370.33) being the Approved Budget for the Contract (A</t>
  </si>
  <si>
    <t xml:space="preserve"> 1. The City Government of Calamba through the General Fund intends to apply the sum of Php 204,240.00 being the Approved Budget for the Contract (ABC) to payments under the contract for G-2020-477 Supply and Delivery of T-shirt, City Social Services Depar</t>
  </si>
  <si>
    <t xml:space="preserve"> Contract for the Supply of Various Spare Parts (Kit Mimic Panel HMI, Fuse 200A, Fuse 10A, etc.) under PR No. RS-0620-008 and ITB No. 2007-038-01 Schedule of Activities  Pre-bid Conference		: 07 August 2020 @ 10:00 A.M. 				  Cafeteria, LRTA Line 2- Depot,</t>
  </si>
  <si>
    <t xml:space="preserve"> 1. The City Government of Calamba through the GAD Fund intends to apply the sum of Php 474,886.80 being the Approved Budget for the Contract (ABC) to payments under the contract for G-2020-475 Supply and Delivery of Medical Supplies, Gender and Developmen</t>
  </si>
  <si>
    <t xml:space="preserve"> 1. The City Government of Calamba through the General Fund intends to apply the sum of Php 100,000.00 being the Approved Budget for the Contract (ABC) to payments under the contract for G-2020-474 Supply and Delivery of I.T. Equipment, City Planning and D</t>
  </si>
  <si>
    <t xml:space="preserve"> 1. The City Government of Calamba through the General Fund intends to apply the sum of Php 900,000.00 being the Approved Budget for the Contract (ABC) to payments under the contract for G-2020-471 Supply and Delivery of Printed Materials, City Social Serv</t>
  </si>
  <si>
    <t xml:space="preserve"> Republic of the Philippines Municipal Government of Palanas, Masbate Invitation to Bid for the Supply and Delivery of One (1) Unit Pump Boat (ITB ID No.:  PAL-GOODS-04-2020) 1.	The Municipal Government of Palanas, through its General Fund, intends to appl</t>
  </si>
  <si>
    <t xml:space="preserve"> Quantity       Unit of Issue       Item Description     1                    lot               Supply of materials, labor and equipment NAME OF PROJECT/LOCATION -  Development of the proposed evacuation site at Manghinao Proper, Bauan, Batangas CONTRACT R</t>
  </si>
  <si>
    <t xml:space="preserve"> 1. Division Memorandum No. 186, series 2020 – Reproduction of Learning Materials and Utilization for the Implementation of Learning Continuity Plan LCP) School Year 2020-2020. Sta. Justina East Elementary School intends to apply the sum of Two Hundred Sev</t>
  </si>
  <si>
    <t xml:space="preserve"> 1	1	Lot	Supply and Delivery of Office Supplies ₱110,653.82 			Item Description: 	1	Pack	WRAPPING PAPER, Kraft, 65gsm ( 5%) 	24	Pcs	SIGN PEN, BLACK, liquid/gel ink, 0.5mm needle tip 	20	Pcs	ERASER, PLASTIC/RUBBER, for pencil draft/writing 	12	Pack	BATTERY,</t>
  </si>
  <si>
    <t xml:space="preserve"> 1.	The Capiz Provincial Government, through the GOP CY-2020 (20% DF) intends to apply the total amount of Three Million Nine Hundred Ninety-Nine Thousand Eight Hundred Sixty-One Pesos &amp; 98/100 (Php,3,999,861.98) being the Approved Budget for the Contract </t>
  </si>
  <si>
    <t xml:space="preserve"> Reproduction of Modules and Activity Sheets  using A4 size of high quality bondpaper, substance 20.   Must be delivered on or before August 14, 2020 at Cugman Elementary School  Supplier must be within Cagayan de Oro City Cost per page must be less than 1</t>
  </si>
  <si>
    <t xml:space="preserve"> OPENING OF BIDS IN DSWD FO IX, ZAMBOANGA CITY			 	DELIVERY IN HOME FOR WOMEN, MAMPANG ZC			 	PROCUREMENT FOR THE FF.:			 				 4	PACK	BENDER VISUAL MOTOR GESTALT TEST II (BG -II)  FORM #9-20643 (TEXT RECORD FORMS)	@	 2,000.00   4	PACK	BG II FORMS #9-20644 </t>
  </si>
  <si>
    <t xml:space="preserve"> OPENING OF BIDS IN DSWD FO IX ZAMBOANGA CITY, DELIVERY ZAMBOANGA CITY PROCUREMENT FOR THE FF.: 75 SERVICE-RAPID ANTIBODY TEST ******************************** FOR THE CONDUCT OF  RAPID ANTIBODY TEST TO (INCLUDE KITS AND PPEs) FOR HOME FOR WOMEN. NOTE: SEE</t>
  </si>
  <si>
    <t xml:space="preserve"> PART B   ( OTHER GENERAL REQUIREMENT) B.4 (1)   CONSTRUCTION SURVEY &amp; STAKING B.5         PROJECT BILLBOARD /SIGNBOARD (2-4"x 8" DPWH BILLBOARD, 1-8"x *" COA BILLBOARD) B.7 (1)   OCCUPATIONAL SAFETY AND HEALTH PROGRAM B.8 (1)   TRAFFIC MANAGEMENT B.9     </t>
  </si>
  <si>
    <t xml:space="preserve"> 1.	The Capiz Provincial Government, through the GOP CY-2020 (20% DF) intends to apply the total amount of Eleven Million Nine Hundred Eighty-Nine Thousand Nine Hundred Sixty-Seven Pesos &amp; 56/100 (Php,11,989,967.56) being the Approved Budget for the Contra</t>
  </si>
  <si>
    <t xml:space="preserve"> 1. The City Government of Calamba through the General Fund intends to apply the sum of Php 198,468.60 being the Approved Budget for the Contract (ABC) to payments under the contract for G-2020-480 Supply and Delivery of Office Supplies, Commission on Elec</t>
  </si>
  <si>
    <t xml:space="preserve"> Service Drop Wire #6 insulate with PE       1,000  lm Electric Submeter                                           1  pc. Meter Box                                                      1  pc. G.I Pipe 2-1/2" Schedule 40                           15  length</t>
  </si>
  <si>
    <t xml:space="preserve"> Republic of the Philippines PROVINCE OF AGUSAN DEL SUR Municipality of Sta. Josefa OFFICE OF THE BIDS AND AWARDS COMMITTEE REQUEST FOR QUOTATION Price Quotation No. SJADS SVP: 2020-25 The Local Government Unit, Sta. Josefa, Agusan del Sur, through its Bid</t>
  </si>
  <si>
    <t xml:space="preserve"> Please see attached RFQ # 20-1245 Submit the HARDCOPY of your SIGNED and SEALED quotation together with your UPDATED ELIGIBILITY requirement on or before the closing date of this opportunity. For more information, please contact Ma'am Nanette M. Rosales a</t>
  </si>
  <si>
    <t xml:space="preserve"> Office Supplies--- 187,000.00</t>
  </si>
  <si>
    <t xml:space="preserve"> PURCHASE OF CCTV</t>
  </si>
  <si>
    <t xml:space="preserve"> Republic of the Philippines Department Education Region IX Zamboanga Peninsula Basilan National High School Isabela City,Basilan REQUEST FOR QUOTATION Sir/Madam ; Please quote your lowest price on the items listed below, send your quote at reykorb29@outlo</t>
  </si>
  <si>
    <t xml:space="preserve"> Republic of the Philippines Province of Dinagat Islands Municipality of Basilisa BARANGAY VILLA PANTINOPLE -oOo- BIDS AND AWARDS COMMITTEE -oOo- INVITATION TO APPLY FOR ELIGIBILITY AND TO BID The Barangay Villa Pantinople, Municipality of Basilisa, Provin</t>
  </si>
  <si>
    <t xml:space="preserve"> QTY UNIT ITEM DESCRIPTION 1 set AFB Staining Set 1 pc. Hematocrit Centrifuse 1 set ABO Blood typing Anti-sera 1 set Blood Cholesterol Test Kit 1 set Uric Acid Test Kit 3 bots. Uric Acid Strips 10 bots. Glucose Strips (Glucosure) 1 set Easy Touch Hemoglobi</t>
  </si>
  <si>
    <t xml:space="preserve"> Purchase Request No. : 2020-07-0027 Name of Project: Survey Equipment/Materials and Office Supplies for the Conduct of Bridge Management System (BMS) Assessment and Validation Program assigned to the Planning and Design Section of this District Descriptio</t>
  </si>
  <si>
    <t xml:space="preserve"> REF. NO/PR NO.: INFRA2020-IPP-010/MG-IPP20-008 DESCRIPTION:   Supply of Labor and Materials- Replaced Ceiling and Repair of Flooring of MRSQ Housing Quarter No. 11 at NPC Mindanao Generation, Maria Cristina, Iligan City (50 Calendar Days) The Works consis</t>
  </si>
  <si>
    <t xml:space="preserve"> LOT 1---- OFFICE SUPPLIES------  76,525</t>
  </si>
  <si>
    <t xml:space="preserve"> Office Supplies and Devices---- 102,643</t>
  </si>
  <si>
    <t xml:space="preserve"> AM Snacks for 70 pax LUNCH for 100 pax PM Snacks for 100pax</t>
  </si>
  <si>
    <t xml:space="preserve"> National Power Corporation INVITATION TO BID PUBLIC BIDDING 2020-0242 1.	The NATIONAL POWER CORPORATION (NPC), through       its        approved       Corporate Budget of CY 2020 intends to apply   the   sum   of (Please see schedule below) being the Appr</t>
  </si>
  <si>
    <t xml:space="preserve"> Please see associated components for details.</t>
  </si>
  <si>
    <t xml:space="preserve"> QTY./UNIT OF ISSUE/ITEM DESCRIPTION 232 bags Portland Cement 142 pcs 10mm.Øx6.0m. Steel bars 28 pcs 16mm.Øx6m. Reinf. Steel bars 7 pcs ¼”thk. Marine Plywood 6 kgs CW Nails (assorted sizes) 10 kgs #16 Tie Wire 906 pcs 6”thk. Concrete Hollowblocks 10 cu.m. </t>
  </si>
  <si>
    <t xml:space="preserve"> PROVINCE OF CAGAYAN Municipality of Claveria Barangay SAN ANTONIO INVITATION TO BID 									July 30, 2020 Barangay San Antonio, Claveria, Cagayan intends to apply the sum of ONE HUNDRED THIRTY NINE THOUSAND NINE HUNDRED SIXTY ONE PESOS ONLY (139,961.00) </t>
  </si>
  <si>
    <t xml:space="preserve"> Procuring of the following Farm Machineries/Equipments   1. Mechanical Rice Transplanter   2.Rice reaper   3. Floating Tiller   4. Open Source Water Pump   5.Pressurized Power Sprayer   6. 2 Stroke Brush Cutter</t>
  </si>
  <si>
    <t xml:space="preserve"> 1 unit Camera DLSR w/ extra battery, memory card, tripod,back pack 1 unit Camera tripod for DSLR  1 unit Back Pack bag 1 unit memory card 1 unit battery pack</t>
  </si>
  <si>
    <t xml:space="preserve"> lot 1--Office Supplies  --- 74,468.00</t>
  </si>
  <si>
    <t xml:space="preserve"> 1 ----- lot ------ Repair/ Improvement of Municipal Building ground floor comfort room with area of 31.61 sq.m such clearing and demolition, structural excavation , embankment, concrete works, masonry cement plaster finish, ceiling works, tile works, door</t>
  </si>
  <si>
    <t xml:space="preserve"> 1. General Cleaning of Split Type ACU's with pressure wash, soap &amp; chem and with PMS          -35 unit 2. Charging of R410A &amp; General Cleaning with pressure wash, soap &amp; chem                            -4 unit</t>
  </si>
  <si>
    <t xml:space="preserve"> Reference No. PR # 20-07-0920 PRICE QUOTATION FORM (BID FORM) Sealed Bids shall be dropped in the BIDDERS BOX on or before 2:00 P.M.  August 07, 2020   placed at the office of the Chairman of the College BAC. Thereafter, the Bidder's Box shall be sealed u</t>
  </si>
  <si>
    <t xml:space="preserve"> PLEASE SEE ATTACHED BID DOCUMENTS</t>
  </si>
  <si>
    <t xml:space="preserve"> 150 - SERVES - MEALS AND SNACKS : 2 BATCHES - 25 PAX PER BATCH IN THREE DAYS 100 - SERVES - MEALS AND SNACKS DURING FIELD DAY AND HARVESTING MENU: RICE, FISH TINOLA, PANSIT, FRIED CHICKEN, FRUITS, JUICE WITH SOFT DRINKS, WATER</t>
  </si>
  <si>
    <t xml:space="preserve"> Contract Name: 20GKF0046-Purchase of Desktop Computer and Printer (Photocopy, Print, Scan) for use in Quality Assurance Section Contract Location: Iligan City Brief Description of Goods to be Procured: Desktop Computer=3 Units, Printer=2 units (print, sca</t>
  </si>
  <si>
    <t xml:space="preserve"> NOTICE OF NEGOTIATED PROCUREMENT (Small Value Procurement) PNOC Exploration Corporation (PNOC EC), through its 2020 Corporate Budget, has an Approved Budget for the Contract (ABC) of Four Hundred Thirty Five Thousand Three Hundred Fifty Eight and 55/100 P</t>
  </si>
  <si>
    <t xml:space="preserve"> Republic of the Philippines Province of Cagayan Municipality of Aparri BARANGAY TORAN -oOo- BIDS AND AWARDS COMMITTEE 								                           July 30, 2020 	 RE-INVITATION TO APPLY FOR ELIGIBILITY AND TO BID The Barangay of TORAN, Municipality </t>
  </si>
  <si>
    <t xml:space="preserve"> Purchase of ICT equipment(Computer set,printer,laptop,projector)</t>
  </si>
  <si>
    <t xml:space="preserve"> Requesting for Quotation (RFQ) for PR No. 2002213  Interested suppliers are invited to submit Sealed Price Quotations for the above listed items. The Request for Quotation (RFQ) for may be obtained from Mr. Albert A. Camarillo City General Services Office</t>
  </si>
  <si>
    <t xml:space="preserve"> 1.	Contract ID	No. 	      	: 20AD0097 Contract Name	      	: Construction of Candon Sports Complex, Phase II Contract Location	      	: Bagani Campo, Candon City, Ilocos Sur	       Brief Description	      	: Construction of Sports Complex Approved Budget </t>
  </si>
  <si>
    <t xml:space="preserve"> head stone - 30 cubic ft cement - 105 bags</t>
  </si>
  <si>
    <t xml:space="preserve"> 1. The City Government of Calamba through the GAD Fund intends to apply the sum of Php 299,772.00 being the Approved Budget for the Contract (ABC) to payments under the contract for G-2020-478 Supply and Delivery of Vegetable Seed, Gender and Development/</t>
  </si>
  <si>
    <t xml:space="preserve"> 152.0   pcs.    Monobloc Chairs Black 23.0     pcs.    Monobloc Tables 2.5 x 2.5 Black</t>
  </si>
  <si>
    <t xml:space="preserve"> Procurement of 3 units laptop computer for University BOR Secretary use.</t>
  </si>
  <si>
    <t xml:space="preserve"> 1. The City Government of Calamba through the Special Education Fund intends to apply the sum of Php 997,020.00 being the Approved Budget for the Contract (ABC) to payments under the contract for G-2020-498 Supply and Delivery of Payroll Printer, City Sch</t>
  </si>
  <si>
    <t xml:space="preserve"> The work includes plastering of exterior wall, replacement of wooden grills to steel grills, replacement of door and 2 roof sheets as per approved plan and POW.</t>
  </si>
  <si>
    <t xml:space="preserve"> 2.	The NPC now invites bids for Items listed above. Delivery of the Goods is required (see table below) specified in the Technical Specifications. Bidders should have completed, within (see table below) from the date of submission and receipt of bids, a c</t>
  </si>
  <si>
    <t xml:space="preserve"> Plate nos. SLC-428;F10-129;F1Q-154;F1Q-154;F1Q-142;SJT-503;F1Q-143;SHU-117; &amp; SGN-835</t>
  </si>
  <si>
    <t xml:space="preserve"> Republic of the Philippines PROVINCE OF BUKDINON Malaybalay City OFFICE OF THE PROVINCIAL GOVERNOR Bids and Awards Committee INVITATION TO BID FOR THE “SUPPLY AND DELIVERY OF AGRICULTURAL IMPLEMENTS” ITB No. 2020-170A July 29, 2020 1.	The Provincial Gover</t>
  </si>
  <si>
    <t xml:space="preserve"> Honorarium for Resource Speaker Activity: Social Media Management and Digital Marketing Training               Workshop Schedule: 1st batch: August 19-20, 2020 - DTI Davao Del Sur 2nd batch: August 26-27, 2020 - DTI Davao Occidental 3rd batch: September 9</t>
  </si>
  <si>
    <t xml:space="preserve"> Description Please quote your price inclusive of VAT on the item/s listed below, subject to the Terms and conditions of the RFQ, and submit your quotation duly signed by your representative not later than August 06, 2020 at CGSO for Goods. Upon receipt of</t>
  </si>
  <si>
    <t xml:space="preserve"> 4000 Liters Crude/Diesel Oil</t>
  </si>
  <si>
    <t xml:space="preserve"> The Barangay Alabiao, Tuao Cagayan through its Provincial Government Fund intends to apply the sum of             Php 53,183.00  being the Approved Budget for the Contract (ABC) to payments under the contract for  Procurement of Materials for the Installa</t>
  </si>
  <si>
    <t xml:space="preserve"> Republic of the Philippines Province of Cagayan Municipality Of Ballesteros BARANGAY CABARITAN WEST INVITATION TO BID FOR “Procurement of Various Materials for the Fabrication and Installation of Solar Streetlights Along Rizal Street” 1.	The Barangay Gove</t>
  </si>
  <si>
    <t xml:space="preserve"> The City Government of Ligao through its Bids and Awards Committee (BAC), now invites bids for the herein project: Name of Contract        :  Construction of Ligao City Sports Complex (Phase I) Location                       : Binatagan,  Ligao City Brief</t>
  </si>
  <si>
    <t xml:space="preserve"> Metropolitan Manila Development Authority																																     BIDS AND AWARDS COMMITTEE																																 																																    REQUEST FOR QUOTATION																																 Small Value Procurement						</t>
  </si>
  <si>
    <t xml:space="preserve"> KINDLY REFER TO THE ATTACHED RFQs</t>
  </si>
  <si>
    <t xml:space="preserve"> Kinder - 10 pages x 4 weeks x 1000 pc Grade I - 5 pages x 4 weeks x 1000 pc Grade II - 7 pages x 4 weeks x 1000 pc Grade III - 8 pages x 4 weeks x 1, 200 pc</t>
  </si>
  <si>
    <t xml:space="preserve"> MUNICIPALITY OF MASIU, LANAO DEL SUR Invitation to Bid for Concreting of Buadiamaloy Road 	The Municipal Government of Masui, Lanao del Sur, through its Bids and Awards Committee (BAC), invites suppliers/contractors to join the bidding for the hereunder p</t>
  </si>
  <si>
    <t xml:space="preserve"> MUNICIPALITY OF MASIU, LANAO DEL SUR Invitation to Bid for Concreting of Kaluntay Rogan Farm Road 	The Municipal Government of Masui, Lanao del Sur, through its Bids and Awards Committee (BAC), invites suppliers/contractors to join the bidding for the her</t>
  </si>
  <si>
    <t xml:space="preserve"> Shopping   1. Ready Mix Asphalt     m.t.   150</t>
  </si>
  <si>
    <t xml:space="preserve"> Shopping 1. Hot Asphalt 60/70 200 ltrs per drum   drum   55 2. CSS-1       drum   20</t>
  </si>
  <si>
    <t xml:space="preserve"> Description INVITATION TO BID / REQUEST FOR EXPRESSION OF INTEREST The Municipality of Allacapan, through its Bids and Awards Committee (BAC), invites suppliers/distributors/contractors to apply for eligibility and to bid for the hereunder project: Name o</t>
  </si>
  <si>
    <t xml:space="preserve"> Purchase of Personal Protective Equipment for MDRRMO</t>
  </si>
  <si>
    <t xml:space="preserve"> Republic of the Philippines Cordillera Administrative Region Province of Benguet MUNICIPALITY OF BAKUN BARANGAY KAYAPA INVITATION FOR THE PROCUREMENT OF ONE SET GENERATOR 1.	The LGU-Kayapa, Bakun, through the National Wealth Tax from 2020 intends to apply</t>
  </si>
  <si>
    <t xml:space="preserve"> Materials for VAWC Room (Fabrication and Installation of Aluminum Glass Wall)</t>
  </si>
  <si>
    <t xml:space="preserve"> 1. Steel Framed Shelf, size: 2.5m x 0.40m x 2.6m                     - 1 unit 2. Steel Framed Shelf, size: 4m x 0.40m x 2.6m                        - 2 unit 3. Steel Framed Cabinet, size 2.0m x .4m x 2.6m                      - 1 unit</t>
  </si>
  <si>
    <t xml:space="preserve"> CEMENT, ANGLE BARS, PRE-PAINTED COLOROOFS, ETC.</t>
  </si>
  <si>
    <t xml:space="preserve"> 3 bottle, Ink for Brother DCP-T700W, BT5000C, 48.8ml. 3 bottle, Ink for Brother DCP-T700W, BT5000M, 48.8ml. 3 bottle, Ink for Brother DCP-T700W, BT5000Y, 48.8ml. 5 bottle, Ink for Brother DCP-T700W, BT6000BK, 48.8ml.</t>
  </si>
  <si>
    <t xml:space="preserve"> CONSTRUCTION OF MECHANICAL DRYER  LGU Cabagan Cabagan, Isabela Description: a. Drying Bin Dimension: Length=7.32m (24'),  Width=-3.66m (12'), Height=1.52m (5') (Inside Dimension) Capacity=6 Tons or 12 Cavans Grain Depth=0.46m (18") Design: Fixed made of 4</t>
  </si>
  <si>
    <t xml:space="preserve"> 2.	Contract ID	No. 	      	: 20AD0098 Contract Name	      	: Construction of Candon Sports Complex, Phase I Contract Location	      	: Bagani Campo, Candon City, Ilocos Sur	       Brief Description	      	: Construction of Sports Complex Approved Budget f</t>
  </si>
  <si>
    <t xml:space="preserve"> 60 gallon, antibacterial Liquid Hand Soap, atleast 3.8 liters net volume content 30 pack, Detergent Powder atleast 3.5kgs net weight 350 container, Disinfectant Spray, atleast 500grams net weight</t>
  </si>
  <si>
    <t xml:space="preserve"> Date of Bidding: August 7, 2020@ 10:00 am Amount: P 200,000.00 Source of Fund: 20% Development Fund 2020 Venue: Brgy. Hall of Calahunan Mandurriao, Iloilo City</t>
  </si>
  <si>
    <t xml:space="preserve"> Refer to attached documents</t>
  </si>
  <si>
    <t xml:space="preserve"> Supply and delivery of construction supply and materials</t>
  </si>
  <si>
    <t xml:space="preserve"> 2020 ASEAN Month Celebration</t>
  </si>
  <si>
    <t xml:space="preserve"> PLEASE SEE THE ATTACHED FILE.</t>
  </si>
  <si>
    <t xml:space="preserve"> Please see attached RFQ for more details. For concerns / queries, you may contact us through BAC.SDOBenguet@gmail.com from Mondays to Fridays (8:00AM to 5:00PM) except holidays.</t>
  </si>
  <si>
    <t xml:space="preserve"> CLARK DEVELOPMENT CORPORATION										 Clark Freeport Zone, Philippines										 										 REQUEST FOR QUOTATION										 										 The Clark Development Corporation, through its Purchasing Division(PD), invites suppliers/										 manufacturers/con</t>
  </si>
  <si>
    <t xml:space="preserve"> UNIT  QTY ITEM DESCRIPTION bot.    24   Toner RICOH bot.    6     Toner BIZHUB bot.    4     Toner OKI</t>
  </si>
  <si>
    <t xml:space="preserve"> Kinder - 10 pages x 4 weeks x 510 pcs Grade I - 5 pages x 4 weeks x 700 pcs Grade II - 8 pages x 4 weeks x 800 pcs Grade III - 8 pages x 4 weeks x 700 pcs Grade IV - 8 pages x 4 weeks x 600 pcs Grade V - 8 pages x 4 weeks x 600 pcs Grade VI - 8 pages x 4 </t>
  </si>
  <si>
    <t xml:space="preserve"> Activity Sheets Kinder - Grade VI</t>
  </si>
  <si>
    <t xml:space="preserve"> PROCUREMENT FOR THE CONSTRUCTION OF THREE (3) UNITS OF HAND WASHING FACILITIES AT DIVISION OFFICE OF LANAO DEL NORTE 2 units with 3 faucets and 1 unit with 5 faucets. please see attached specifications. For more details, please contact the BAC secretariat</t>
  </si>
  <si>
    <t xml:space="preserve"> 1.	40	piece/s	Height Board (Allen Stick)</t>
  </si>
  <si>
    <t xml:space="preserve"> Invitation to Rehabilitation of Barangay Basketball Court The Barangay Bay-ang, through the  continuing Appropriation intends to apply the sum of Eighty Nine Thousand Three Hundred Four and Sixty Seven Centavos  (P 89,304.67) being the Approved Budget for</t>
  </si>
  <si>
    <t xml:space="preserve"> 1. The City Government of Calamba through the General Fund intends to apply the sum of Php 52,601.40 being the Approved Budget for the Contract (ABC) to payments under the contract for G-2020-491 Supply and Delivery of Office and Janitorial Supplies, City</t>
  </si>
  <si>
    <t xml:space="preserve"> 1. The City Government of Calamba through the General Fund intends to apply the sum of Php 194,586.00 being the Approved Budget for the Contract (ABC) to payments under the contract for G-2020-490 Supply and Delivery of Drugs &amp; Medicines, City Health Serv</t>
  </si>
  <si>
    <t xml:space="preserve"> RFQ 2020-165 PROJECT		:	LBRDC MOST COMMONLY USED MATERIALS IMPLEMENTOR		: 	LBP RESOURCES AND DEVELOPMENT CORPORATION OWNER			:	LAND BANK OF THE PHILIPPINES	 REQUEST FOR QUOTATION FOR	:	SUPPLY OF PLUMBING FIXTURES    DATE / TIME OF SUBMISSION		:	ON OR BEFO</t>
  </si>
  <si>
    <t xml:space="preserve"> WIDENING/ROAD CONCRETING Item No.	Description 	Unit	Quantity PART A 	GENERAL REQUIREMENTS		 a	Const.Safety and Health Program	Lot	 1.00  b	Project Billboard	Unit	 2.00  c	Mobilization/Demobilization	LS	 1.00  PART B 			 102	Roadway Excavation(Unsuitable)	</t>
  </si>
  <si>
    <t xml:space="preserve"> INVITATION TO BID FOR THE Procurement of 12,351 bags @ 50 kgs./bag of Urea Fertilizer (46-0-0)  1. The Department of Agriculture-Regional Field Office 7, through the GAA 2020 intends to apply the sum of Twelve Million Three Hundred Fifty One Thousand Peso</t>
  </si>
  <si>
    <t xml:space="preserve"> INVITATION TO BID FOR THE Procurement of 450 containers of Molasses and 1,000 bags of Organic Fertilizer 1. The Department of Agriculture-Regional Field Office 7, through the GAA 2020 intends to apply the sum of Nine Hundred Five Thousand Pesos (₱ 905,000</t>
  </si>
  <si>
    <t xml:space="preserve"> REQUEST FOR QUOTATION 	 The Local Government Unit of General Santos City thru its Bids and Awards Committee invites interested suppliers for N20-07-094 PURCHASE OF GENERAL MERCHANDISE amounting to  P 64,000.00.  Please visit or call Bids and Awards Commit</t>
  </si>
  <si>
    <t xml:space="preserve"> REQUEST FOR QUOTATION 	 The Local Government Unit of General Santos City thru its Bids and Awards Committee invites interested suppliers for (2FB)N20-07-074 PRINTING OF SIGNAGE amounting to P 87,700.00.  Please visit or call Bids and Awards Committee offi</t>
  </si>
  <si>
    <t xml:space="preserve"> Five hundred fifty (550) Ea, Distilled Water 500 ml and 43 Other line items.</t>
  </si>
  <si>
    <t xml:space="preserve"> UNIT	ITEMS &amp; DESCRIPTION/S		             QTY Unit	UV VIS Spectrophotometer (Shimadzu		1 	UV-1700 - Preventive Maintenance and		 	Hardware validation (PM) - Operation		 	Qualification		 	 ABC Php 55,000.00 Note:  Bid can be submitted thru e-mail at propert</t>
  </si>
  <si>
    <t xml:space="preserve"> 5          KGS        TIE WIRE #16 60         PCS        10mm DIA. x 6m RSB, GRADE #33 70         BAGS      PORTLAND CEMENT,40KGS 525       CANS      MIX GRAVEL AND SAND 40         PCS         COCO LUMBER, 2"X2"X10' 30         PCS         COCO LUMBER, 2"X</t>
  </si>
  <si>
    <t xml:space="preserve"> REQUEST FOR QUOTATION The Local Government Unit of Barangay Portabaga, through its 5% Calamity Fund, will undertake a Negotiated Procurement – Small Value Procurement for the “Supply and Delivery of Feeds,” in accordance with Section 53.9 of the implement</t>
  </si>
  <si>
    <t xml:space="preserve"> 1. The City Government of Calamba through the General Fund intends to apply the sum of Php 375,054.00 being the Approved Budget for the Contract (ABC) to payments under the contract for G-2020-493 Supply and Delivery of Books, City College of Calamba/City</t>
  </si>
  <si>
    <t xml:space="preserve"> REQUEST FOR QUOTATION 	 The Local Government Unit of General Santos City thru its Bids and Awards Committee invites interested suppliers for N20-07-097 CATERING SERVICES amounting  to  P 140,000.00.  Please visit or call Bids and Awards Committee office f</t>
  </si>
  <si>
    <t xml:space="preserve"> Improvement/Rehabilitation of ICT Building</t>
  </si>
  <si>
    <t xml:space="preserve"> Twenty (20) Tube, Acid Echant 2.5 ml and 73 Other line items.</t>
  </si>
  <si>
    <t xml:space="preserve"> Republic of the Philippines Province of Agusan del Norte Municipality of Remedios T. Romualdez Invitation to Bid SUPPLY AND DELIVERY OF P.E. HOSE AND P.E. COUPLING FOR THE IMPROVEMENT OF WATER SYSTEM OF PUROK 6, BARANGAY BALANGBALANG 1. The Municipality o</t>
  </si>
  <si>
    <t xml:space="preserve"> WIDENING/ROAD CONCRETING Item No.	Description 	Unit	Quantity PART A	GENERAL REQUIREMENTS		 a	Const.Safety and Health Program	LS	 1.00  b	Project Billboard	Unit	 2.00  c	Mobilization/Demobilization	Lot	 1.00  PART B	ROADS		 102	Roadway Excavation(Surplus C</t>
  </si>
  <si>
    <t xml:space="preserve"> Fifty five (55) pcs, Magazine File Box, Large and 13 Other line items</t>
  </si>
  <si>
    <t xml:space="preserve"> Republic of the Philippines Province of South Cotabato Municipality of Banga Tel.&amp;Fax No. (083) 239-1652 CONTACT PERSON: ROBERT V. FRANILLA - BAC CHAIRMAN Invitation to Apply for Eligibility and to Bid The Municipality of Banga, South Cotabato through its</t>
  </si>
  <si>
    <t xml:space="preserve"> Republic of the Philippines Province of Iloilo Municipality of Guimbal Rizal Street, Guimbal, Iloilo The Local Government Unit of Guimbal, Rizal Street, Guimbal, Iloilo, through its Bids and Award Committee (BAC), invites Contractors to submit bids for th</t>
  </si>
  <si>
    <t xml:space="preserve"> Materials for the concreting of Lalud-Pachoca Road</t>
  </si>
  <si>
    <t xml:space="preserve"> UNIT	  DESCRIPTION		                                   QUANTITY	 	WIDTH OF ROAD - 4m		LENGTH OF SHOULDER PER SIDE - 1m	 	THICKNESS OF ROAD - 0.2m		THICKNESS OF BASE COARSE - 0.15m	 	LENGTH OF ROAD - 300m		THICKNESS OF SUB-BASE COARSE - 0.15m	 			SUBGRADE </t>
  </si>
  <si>
    <t xml:space="preserve"> 10 UNIT IN-CEILING LOUDSPEAKER 6W TRANSFORMER FOR USE OF 70V/100 V DISTRIBUTED LINES 3 ROLL SPEAKER WIRE 164WG 100M ROLL 1 UNIT PAGING MICROPHONE CONDENSER TYPE WITH CHIME FUNCTION 1 UNIT LABOR AND INSTALLATION COST</t>
  </si>
  <si>
    <t xml:space="preserve"> Food for Locally Stranded Individuals (LSI)</t>
  </si>
  <si>
    <t xml:space="preserve"> Republic of the Philippines							 			             Department of Agriculture							 			 BUREAU OF FISHERIES AND AQUATIC RESOURCES							 			                                           Fisheries Regional Office No. 10							 			                             </t>
  </si>
  <si>
    <t xml:space="preserve"> Project Description Length 65In. mtrs. Section (HxW) 0.9m x 0.7m Estimates I. Excavation for Canal II. Drainage Canal</t>
  </si>
  <si>
    <t xml:space="preserve"> Location:  Tupaya, Olilicon, Boliwong, Pob. West,  Dulao, Banga ABC: Php 1,208,232.00 Cost of Bid Docs: 5,000.00 The Procurement Schedules are as following: 1. Deadline of buying of Bid Docs: August 12, 2020 @ 5:00 PM 2. Deadline for submission of Bid Doc</t>
  </si>
  <si>
    <t xml:space="preserve"> Please see attached associated component for specifications.</t>
  </si>
  <si>
    <t xml:space="preserve"> Date of Bidding: August 7, 2020@10:00 am Amount: 186,697.00 Source of Fund: LDRRMF  2020 Venue: Barangay Hall of Sooc Arevalo, Iloilo Ci</t>
  </si>
  <si>
    <t xml:space="preserve"> 10 heads  (2 women 8 men) Security Guards (services) • minimum daily wage + COLA day shift night shift • phil health • PAG IBIG • SSS • 5 days leave with pay day shift night shift • 13th month bonus day shift night shift • admin cost • uniform allowance</t>
  </si>
  <si>
    <t xml:space="preserve"> Republic of the Philippines Department of Education Region V SCHOOLS DIVISION OF MASBATE CITY Bids and Awards Committee REQUEST FOR QUOTATION                                                                                                                  </t>
  </si>
  <si>
    <t xml:space="preserve"> Request for Quotation for the Supply of Food to be served during the conduct of DA7 Management Committee Meeting at the DA7 Complex, Mandaue City 1.	The Department of Agriculture-Regional Field Office 7 (DA-RFO 7), through the General Appropriations Act o</t>
  </si>
  <si>
    <t xml:space="preserve"> The Finance Division-OCA, of the Supreme Court, through the Procurement Section, invites interested suppliers to quote for the price/s of the item/s listed in the attached document (PLEASE DOWNLOAD) Additional Specification: * 9 1/2 x 13, One Color Print,</t>
  </si>
  <si>
    <t xml:space="preserve"> 1 tab Cefuroxime 500 mg Tablet (2000) 2 cap Celecoxib 200 mg Capsule (2000) 3 tab Ceterizine 10 mg Tablet (4000) 4 bot Salbutamol/Guaifenesin Syrup (500) 5 bot Cefaclor 250 mg Susp (350) 6 cap Clindamycin 300 mg Capsule (3000) 7 bot Cefuroxime 250 mg/5 ml</t>
  </si>
  <si>
    <t xml:space="preserve"> INFRASTRUCTURE</t>
  </si>
  <si>
    <t xml:space="preserve"> 5 drums EMULSIFIED ASPHALT SS-1 (200kgs/drum) x-x-x-x nothing follows x-x-x-x-x</t>
  </si>
  <si>
    <t xml:space="preserve"> 1. 500 reams Plain Bond Paper (A4)</t>
  </si>
  <si>
    <t xml:space="preserve"> Honorarium for Resource Speaker Activity: Product Packaging/Labelling and Consultancy Sessions              Schedule: August 10, 2020 - DTI Davao Oriental August 11, 2020 - DTI Davao de Oro August 12, 2020 - DTI Davao del Norte August 13, 2020 - DTI Davao</t>
  </si>
  <si>
    <t xml:space="preserve"> Purchase of IT Equipment</t>
  </si>
  <si>
    <t xml:space="preserve"> Centennial Year Projects (Centennial of Museum)</t>
  </si>
  <si>
    <t xml:space="preserve"> Republic of the Philippines				 Province of Cebu				 Municipality of Moalboal				 				 			Canvass No.:	 			Date:	 				 REQUEST FOR QUOTATION				 				 				 				 SIR/MADAM:				 				 	Please quote your price of the articles listed below for immediate deliver</t>
  </si>
  <si>
    <t xml:space="preserve"> PR#20-07-0373 ABC 56,140.00 3 pcs.  PVC Cable Channel (3m) 1 lot    Cable Tray with equipment and accessories 3 units 1u Network Cable Manager – rack cable 4 pcs.  Faceplate Simplex – 1 port 14 pcs. Faceplate Duplex – 2 ports 1 box   Black ziptie 12 inche</t>
  </si>
  <si>
    <t xml:space="preserve"> The Office of the BAR Confidant, of the Supreme Court, through the Procurement Section, invites interested suppliers to quote for the price/s of the item/s listed in the attached document (PLEASE DOWNLOAD) Please also provide "Eligibility Documents, Annex</t>
  </si>
  <si>
    <t xml:space="preserve"> INVITATION TO BID The Iligan City Government Bids and Awards Committee (BAC), invites contractors registered by the Philippine Contractors Accreditation Board (PCAB) to bid for the hereunder contract: Name of Project 	  : Procurement of Electro-Mechanical</t>
  </si>
  <si>
    <t xml:space="preserve"> Office Supplies-Various Office Supplies</t>
  </si>
  <si>
    <t xml:space="preserve"> Air Conditioning, Floor Type, 3 tonner,2 HP Laptop, i7 Processor, 2 in 1 Touch screen Laptop Smartphone, 64 GB Desktop Computer, i5 processor, 8 GB DDR4 Memory  Air Conditioning Unit, window type, 1 hp</t>
  </si>
  <si>
    <t xml:space="preserve"> for Assessor's Office use LGU Cabagan Cabagan, Isabela</t>
  </si>
  <si>
    <t xml:space="preserve"> 20 piece Toilet Deodorizer 100 bot. Alcohol Isoprophyl 70% solution 500ml 10 piece Ceiling Broom 10 bar Detergent Bar 40 piece Detergent Powder 40g 20 bottle Diswashing Liquid 500ml 10 piece Doormat Cloth 20 piece Dust pan big 10 bot. Fabric Conditioner 1</t>
  </si>
  <si>
    <t xml:space="preserve"> 50 pcs. Foldable Metal Tables and 200 pcs. Monoblock Chairs</t>
  </si>
  <si>
    <t xml:space="preserve"> Requesting for Quotation (RFQ) for PR No. 2002212  Interested suppliers are invited to submit Sealed Price Quotations for the above listed items. The Request for Quotation (RFQ) for may be obtained from Mr. Albert A. Camarillo City General Services Office</t>
  </si>
  <si>
    <t xml:space="preserve"> Request for Quotation for the Supply of Food to be served during the conduct of DA7 Full-Time Delivery Unit Meeting at the DA7 Complex, Mandaue City 1.	The Department of Agriculture-Regional Field Office 7 (DA-RFO 7), through the General Appropriations Ac</t>
  </si>
  <si>
    <t xml:space="preserve"> Concreting of Local Road at Zone 3, Inapatan, Nabua, Camarines Sur</t>
  </si>
  <si>
    <t xml:space="preserve"> 1 REAM/S PAPER - BOND,PG,A4,210MMX297MM,70GSM. 7 2 REAM/S PAPER - BOND,PG,LEGAL,216MMX330MM(8-1/2"X13") 70 GSM 6 3 BOX BALLPEN - BLACK ORDINARY 50'S 1 4 TUBE/S MECHANICAL PENCIL 6 5 BOX/S PENCIL - WOODEN NO.482 1 6 REAM/S BOOK - PAPER. A3 2 7 PC/S STAINLE</t>
  </si>
  <si>
    <t xml:space="preserve"> For maintenance of various heavy equipment</t>
  </si>
  <si>
    <t xml:space="preserve"> 30 REAM, BONDPAPER (A3) 4 TUBE BLACK TONER 4 TUBE YELLOW TONER 4 TUBE MAGENTA TONER 4 TUBE CYAN TONER</t>
  </si>
  <si>
    <t xml:space="preserve"> Construction of Quarantine Facility Building (materials, labor &amp; equiptment rental) Brgy.San Roque</t>
  </si>
  <si>
    <t xml:space="preserve"> The Motor Pool Section of the Court, through the Procurement Section, invites interested motor shops to submit cost estimates for the Check / Repair Aircon Low Cool; etc. of a HONDA CRV with Plate#SGS-318 PLEASE DOWNLOAD ATTACHED DOCUMENT NOTE: Cost may v</t>
  </si>
  <si>
    <t xml:space="preserve"> Concreting of Local Road at Zone 5, Inapatan, Nabua, Camarines Sur</t>
  </si>
  <si>
    <t xml:space="preserve"> 1. 100 kilos Pork Meat 2. 100 kilos Fish  3. 50 packs Seasonings 4. 20 kilos Lasona 5. 20 kilos Bawang 6. 100 kilos Assorted Vegetables 7. 25 kilos Salt</t>
  </si>
  <si>
    <t xml:space="preserve"> 1.	The Municipal Government of Talisayan, through the SEF 2020 intends to apply the sum of P163,393.00 being the Approved Budget for the Contract (ABC) to payments under the PURCHASE OF MATERIALS FOR REHABILIATION OF TALISAYAN CENTRAL SCHOOL BUILDING, Tal</t>
  </si>
  <si>
    <t xml:space="preserve"> 1 unit LAPTOP BATTERY                 Specification:             DELL 40W Type M5Y1K</t>
  </si>
  <si>
    <t xml:space="preserve"> Concreting of Local Road at Zone 5, Santiago Young, Nabua, Camarines Sur</t>
  </si>
  <si>
    <t xml:space="preserve"> Republic of the Philippines Province of Quezon Municipality of San Francisco   BIDS &amp; AWARDS COMMITTEE INVITATION TO APPLY FOR ELIGIBILITY AND TO BID     The Municipality of San Francisco through 20%  Development Fund intends to apply the sum of One Milli</t>
  </si>
  <si>
    <t xml:space="preserve"> OPENING OF BIDS IN DSWD FO IX ZAMBOANGA CITY, DELIVERY IN HOME FOR WOMAN ZC PROCUREMENT FOR THE FF.:		 		 1 LOT GROCERY ITEMS/FOOD SUPPLIES		 		 50 packs All Purpose Cream 250ml	@	 55.00  50 packs Baking powder 100g	@	 35.00  10 cases Beef loaf 250g	@	 2,</t>
  </si>
  <si>
    <t xml:space="preserve"> Republic of the Philippines										 BIDS AND AWARDS COMMITTEE										 Baguio City										 (074) 300-6537/ (074)442-8795										 BID FORM										 CP No. 2020-45 Bidding									July 21, 2020	 Circular Proposal No.									Date Prepared	 									</t>
  </si>
  <si>
    <t xml:space="preserve"> Supply &amp; Delivery of Photocopying Machine for General Services Office and Bids and Awards Committee Office, Municipality of Bongabong, Oriental Mindoro</t>
  </si>
  <si>
    <t xml:space="preserve"> Snacks for Mayor's office for the month of July 2020, Botolan, Zambales</t>
  </si>
  <si>
    <t xml:space="preserve"> Republic of the Philippines					 DEPARTMENT OF PUBLIC WORKS AND HIGHWAYS					 BUTUAN CITY DISTRICT ENGINEERING OFFICE					 REGIONAL OFFICE XIII					 Butuan City, Agusan del Norte					   Tel. Nos. 342-5331  Fax No. 225-2022					 					GS-130-145-158-159-162</t>
  </si>
  <si>
    <t xml:space="preserve"> DIESEL AND OIL LUBRICANT (ATTACHED REQUEST FOR QUOTATION)</t>
  </si>
  <si>
    <t xml:space="preserve"> Specs: 1 unit  Mini excavator           Model: U-30-3           Engine: D1503-M-BH-1, 27H/P           Weight: 2,990kg           Length: 4,485mm           Height: 1,550mm           Width: 2,350mm           Std Bucket Capacity: 0.09 cu.m.</t>
  </si>
  <si>
    <t xml:space="preserve"> NOTICE OF NEGOTIATED PROCUREMENT (Small Value Procurement) Project:	Purchase of Various Construction Materials (to be delivered to the different barangays of the Province of Pangasinan) 		(PR#2020-07-6335) 1,350	bag 	Cement 2600	pc.	CHB 4” 50	cu.m.	Washed</t>
  </si>
  <si>
    <t xml:space="preserve"> Supply and Delivery  of  various construction materials The Metro Midsayap Water District (MMWD) gives notice that  quotations are invited for the Supply and Delivery  of  various construction materials 24 pcs - 16 MM RSB,STANDARD				 16 pcs - 12 MM RSB,S</t>
  </si>
  <si>
    <t xml:space="preserve"> One (1) lot  - Repair and Replacement of Parts of Chilled and Condenser Water Pumps at the Power Center of BSP Head Office, as per BSP Scope of Works and Picture</t>
  </si>
  <si>
    <t xml:space="preserve"> 1. 54 liters Fully Synthetic Engine Oil 2. 6 liters Oil Filter (c-529) 3. 3 pcs. Air Cleaner 4. 6 pcs. Fuel Filter 5. 1 set Ball Joint Upper and Lower (CS 0062) 6. 16 pcs Shackle Bushing (CS 0062) 7. 1 set Disk Pad (CS 0062) 8. 1 set Brake Shoe (CQ 9235) </t>
  </si>
  <si>
    <t xml:space="preserve"> Riprapping of Local Road at Zone 7, Paloyon Oriental, Nabua, Camarines Sur</t>
  </si>
  <si>
    <t xml:space="preserve"> ESTIMATES ITEM I. EARTHWORKS ITEM II. MASONRY WORKS ITEM III. CONCRETE WORKS ITEM IV. PLUSTERING WORKS ITEM V. TRUSS &amp; ROOF WORKS</t>
  </si>
  <si>
    <t xml:space="preserve"> For use in the operation of service vehicles, brush cutter, chainsaw,  generator set, kneading machine and plate compactor assigned in this office  for the period of September 01, 2020 to December 31, 2020</t>
  </si>
  <si>
    <t xml:space="preserve"> Fabrication/Installation of 216pcs Signages/Billboards (Sta. Monica, Sto. Tomas &amp; Sta. Lucia San Luis, Pampanga) 712 (1)   Fabrication/Installation of Signages/Billboards</t>
  </si>
  <si>
    <t xml:space="preserve"> 12 Cum Washed Sand 8 Cum Ornegon 1,160 Pieces CHB 4" 95 Bags Cement 80 Pieces 10 mm RSB 8 Kilos Tie Wire #16</t>
  </si>
  <si>
    <t xml:space="preserve"> Procurement of 1 Lot Office Supplies</t>
  </si>
  <si>
    <t xml:space="preserve"> Kitchen and Janitorial Supplies for Mayor's office for the month July 2020, Botolan, Zambales</t>
  </si>
  <si>
    <t xml:space="preserve"> Republic of the Philippines Province of Nueva Vizcaya MUNICIPALITY OF BAGABAG INVITATION TO BID  SUPPLY AND DELIVERY OF MATERIALS FOR THE IMPROVEMENT OF TABBAN FTMR POGONSINO, BAGABAG, NUEVA VIZCAYA 1.	The Local Government Unit of Bagabag, through the 202</t>
  </si>
  <si>
    <t xml:space="preserve"> INVITATION TO BID FOR  SUPPLY AND DELIVERY OF MATERIALS FOR THE CONSTRUCTION OF SOLAR DRIER PUROK-6, CAIMPUGAN, SAN AGUSAN DEL SUR 1.	The BARANGAY CAIMPUGAN, SAN FRANCISCO, AGUSAN DEL SUR, though the BIDS and AWARDS COMMITTEE (BAC) with Municipal Aid as t</t>
  </si>
  <si>
    <t xml:space="preserve"> Prospective Bidders should have experience in undertaking similar project within the last 5 years with an amount of at least   25% of the proposed project for bidding. Partial bidding is not allowed. The eligibility checks/screening   as well as the Preli</t>
  </si>
  <si>
    <t xml:space="preserve"> Public Bidding for the Proposed Construction of Multi-Purpose Covered Court @ Brgy. San Ramon, Pilar, Capiz, Under ITB No. 2020-016C 1.	The Capiz Provincial Government, through the GOP CY-2020 (20% DF) intends to apply the total amount of Three Million Fi</t>
  </si>
  <si>
    <t xml:space="preserve"> 130 boxes canned sardines location: mayor's office, gutalac, zamboanga del norte approved budget for the contract: php200,000.00 opening of bids: august 6, 2020    2:00 pm submission of bids: on or before opening of bids non refundable fee for biiding doc</t>
  </si>
  <si>
    <t xml:space="preserve"> Republic of the Philippines Province of Davao Oriental City of Mati BIDS &amp; AWARDS COMMITTEE INVITATION TO BID Catering Services and Room Accommodation for 40 Pax for Use in the Conduct of BHW Federated President’s Meeting (3rd-4th Quarter 2020) SOURCE OF </t>
  </si>
  <si>
    <t xml:space="preserve"> Invitation to Bid for the IMPROVEMENT OF PERIMETER FENCE OF TAWID HOLDING CENTER TAWID, ANDA, BOHOL 	 No. 01 	 1.	Barangay Tawid, Anda Bohol through the Barangay Development Fund (BDF) of C.Y. 2020  to apply the  sum of Fifty Three Thousand Three Hundred </t>
  </si>
  <si>
    <t xml:space="preserve"> FOR CPDO EQUIPMENT FOR BUILDING PLANS USE AND ADMINISTRATIVE USE</t>
  </si>
  <si>
    <t xml:space="preserve"> 60 pcs. 1/2" dia. G.I. Pipe Sch 40 10 kls. Welding Rod 8 pcs. 10mm RSB 3 pcs. 9mm dia. Metal Drill Bit 100 pcs. 2" Transparent Tape 10 kls. Tie Wire #16 100 pcs. 2" Metal Black Screw</t>
  </si>
  <si>
    <t xml:space="preserve"> NOTICE OF NEGOTIATED PROCUREMENT (Small Value Procurement) Project:	Purchase of 20,000 liters Diesel Fuel (to replenish Stocks at Motorpool Oil Depot, for use of various                  service vehicles, dumptrucks &amp; equipment of the province) 		(PR#2020</t>
  </si>
  <si>
    <t xml:space="preserve"> QUANTITY---UNIT-----ITEMS 210.42------ Cu.m.-----Improvement of Concrete Flooring with Rubberized Paint Finished 992.32------ Sq.m-----Improvement of Bleachers with Tiles, Pebbles and Paint Finished 1.00--------- lot--------Construction/Improvement of Com</t>
  </si>
  <si>
    <t xml:space="preserve"> Prospective bidders should posses a valid PCAB License (General Engineering with Category D or higher) applicable to the contract, have completed a similar contract with a value of at least 50% of the ABC, and have a key personnel and equipment (listed in</t>
  </si>
  <si>
    <t xml:space="preserve"> Delivery of goods</t>
  </si>
  <si>
    <t xml:space="preserve"> Republic of the Philippines Province of Leyte Municipality of Hilongos Barangay BALIW REQUEST FOR QUOTATION ________________ DATE _____________________ _____________________ .        Please quote your lowest price on the items/listed below for theProcurem</t>
  </si>
  <si>
    <t xml:space="preserve"> INSTALLATION /FABRICATION OF FIBERGLASS BASKETBALL GOAL</t>
  </si>
  <si>
    <t xml:space="preserve"> The East Avenue Medical Center through its Hospital Bids and Awards Committee (BAC) through the Hospital Income 2020 invites suppliers / manufacturers / distributors for the bidding of the following projects for CY 2020. Interested Bidders shall pay a non</t>
  </si>
  <si>
    <t xml:space="preserve"> Republic of the Philippines  Province of Bukidnon  MUNICIPALITY OF KALILANGAN    Bids and Award Committee (BAC)  INVITATION TO BID FOR  Goods 2020-07-023 The Local Government Unit – Kalilangan, Bukidnon through the BIDS AND AWARDS COMMITTEE (BAC) now invi</t>
  </si>
  <si>
    <t xml:space="preserve"> Construction of .80x70 m line canal</t>
  </si>
  <si>
    <t xml:space="preserve"> INVITATION TO BID FOR 20GE032G - P.R. No. R06.14-035 – Purchase of Gasoline for use in maintenance service vehicle and other maintenance equipments, this Office. The Department of Public Works and Highways Guimaras District Engineering Office, through its</t>
  </si>
  <si>
    <t xml:space="preserve"> Supply and Delivery of Materials for the Rehabilitation of Covered Court Comfort Room of BLGU Aguinaldo, Laak, Davao De Oro with an ABC of Php. 137,750.00. Note: For further details of the said project, please see/contact Hon. Nicolas B. Escabusa - Punong</t>
  </si>
  <si>
    <t xml:space="preserve"> Republic of the Philippines Office of the Municipal Mayor BIDS AND AWARDS COMMITTEE Sual, Pangasinan Invitation to Bid for PROCUREMENT OF TABLETS (DepED – Sual District Office) 1.	The Municipal Government of Sual, Pangasinan, through the ER1-94 intends to</t>
  </si>
  <si>
    <t xml:space="preserve"> Republic of the Philippines Province of Nueva Vizcaya MUNICIPALITY OF BAGABAG INVITATION TO BID  SUPPLY AND DELIVERY OF MATERIALS FOR THE CONCRETING OF DOLORES STREET (Completion) San Geronimo, Bagabag, Nueva Vizcaya 1.	The Local Government Unit of Bagaba</t>
  </si>
  <si>
    <t xml:space="preserve"> Total Approved Budget PHP 90,000.00 Supply and installation of OV Wildcard SSL Certificate for senate.gov.ph domain - Valid for two (2) years - SHA-256 - 2048-bit - Secure Site Seal - Compatible with all browsers and devices - Unlimited reissuance of cert</t>
  </si>
  <si>
    <t xml:space="preserve"> Republic of the Philippines										 BIDS AND AWARDS COMMITTEE										 Baguio City										 (074) 300-6537/ (074)442-8795										 BID FORM										 CP No. 2020-50 Bidding									July 29, 2020	 Circular Proposal No.									Date Prepared	 									</t>
  </si>
  <si>
    <t xml:space="preserve"> Equipment for Banana Tissue Culture Laboratory  Kindly see attached file. Thank you!</t>
  </si>
  <si>
    <t xml:space="preserve"> 1 unit LAPTOP        Specification:              PROCESSOR: Intel Core i5-1021U                                  10th Gen. Processor              RAM            : 8GB, DDR4, 2666Mhz              STORAGE    : 256GB Polenume Solid/state drive(boot) + 1TB / </t>
  </si>
  <si>
    <t xml:space="preserve"> Republic of the Philippines Office of the Municipal Mayor BIDS AND AWARDS COMMITTEE Sual, Pangasinan Invitation to Bid for PROCUREMENT OF EQUIPMENT FOR COMPUTER ROOMS  AND COMMUNITY LEARNING HUBS (DepED – Sual District Office) 1.	The Municipal Government </t>
  </si>
  <si>
    <t xml:space="preserve"> CPU-375OH RAM-12GB-16GB DDR4 STORAGE-256GB-512GB NVME SSD GPU-4GB-6GB DISPLAY- 14" - 15.6" WITH OPERATING SYSTEM</t>
  </si>
  <si>
    <t xml:space="preserve"> 200 PCS. EMPLOYEES LEAVE CARDS</t>
  </si>
  <si>
    <t xml:space="preserve"> Brand Approved Budget Contract per Item Name and Description of the Article / sUnitQTY.ITEM NO. P.R. No. :Various Office CONSOLIDATED-23 Date: 06/22/2020 Date: 3,694.08AIR FRESHENER, 280mL/150g mincan371 13,200.00ALCOHOL, 70%, ethyl, 500mlbottle1652 3,000</t>
  </si>
  <si>
    <t xml:space="preserve"> - 200 bags - Complete Fertilizer - 140 bags - Organic Fertilizer</t>
  </si>
  <si>
    <t xml:space="preserve"> 3,000 pcs Neurogen E Vitamins 20,000 pcs Sodium Ascorbate Capsule 2,000 pcs Enervon C Tablet 3,000 pcs Vitamins B Complex</t>
  </si>
  <si>
    <t xml:space="preserve"> 1 Unit Laptop 100 Meters Microphone Wire 6 Pieces Gooseneck Microphone 12 Pieces XLR Connector</t>
  </si>
  <si>
    <t xml:space="preserve"> 10 Barrels Swimming Pool Disinfectant(Hi-clone) Swimming Pool Vacuum Hose</t>
  </si>
  <si>
    <t xml:space="preserve"> Construction of the Truck Scale Foundation including labor &amp; materials</t>
  </si>
  <si>
    <t xml:space="preserve"> 4	units	Laptop Computer *15”FHD i5, DRAM-4GB DDR4, 256 GD-SSD, 1TB-HDD, NVIDIA GE FORCE 2	units	Printer *Refill Ink Tank System/CISS, Built-in Wireless &amp; Internet, Automatic Document Feeder</t>
  </si>
  <si>
    <t xml:space="preserve"> Procurement of 1 Lot Construction Materials, etc.</t>
  </si>
  <si>
    <t xml:space="preserve"> Corazon Locsin Montelibano Memorial Regional Hospital, through its Bids and Awards Committee, intends to procure OUTSOURCE GENERAL CLEANING OF AIRCONDITIONING UNITS, which will be undertaken in accordance with Section 53.9 of the Revised Implementing Rule</t>
  </si>
  <si>
    <t xml:space="preserve"> Number: 	Quantity: 	 1 	4	pcs.		Battery	Motolite Maintenance free		8,000.00	32,000.00 2	5	pcs		Fuel Filter	(for Toyota Hi-Ace Van)		1,300.00	6,500.00 3	5	pcs.		Fuel Filter	(Avanza) for gasoline		1,300.00	6,500.00 4	10	pcs.		Oil Filter	(for Toyota Hi-Ace V</t>
  </si>
  <si>
    <t xml:space="preserve"> Please quote your exclusive price with a VAT on the items</t>
  </si>
  <si>
    <t xml:space="preserve"> 1. 10 pcs Tires (245/70/16R) Plate nos. CQ9235 and CS 1812 2. 5 pcs Tires (265/70/15R) Plate no. CS 0062</t>
  </si>
  <si>
    <t xml:space="preserve"> Purchase of Medicines Item	Quantity	Unit of	Item Description	 No.		Issue		 1	150	bots	Ambroxol syrup 15mg/5ml 60ml	 2	25	boxes	Ambroxol tablet 30 mg 100s	 3	15	boxes	Amoxicillin capsule 250mg 100s	 4	25	boxes	Amoxicillin capsule 500mg 100s	 5	100	bots	Amo</t>
  </si>
  <si>
    <t xml:space="preserve"> CP No. 2020-49 Bidding									July 29, 2020	 Circular Proposal No.									Date Prepared	 										 The City Government of Baguio, through its Bids and Awards Committee desires to purchase the articles listed below										 From Oct. 1, 2020 to Sept. 3</t>
  </si>
  <si>
    <t xml:space="preserve"> Republic of the Philippines Province of Nueva Vizcaya MUNICIPALITY OF BAGABAG INVITATION TO BID  SUPPLY AND DELIVERY OF MATERIALS FOR THE MAINT./IMPROVEMENT OF AMBALLO NORTH – AMBALLO SOUTH FMR Baretbet, Bagabag, Nueva Vizcaya 1.	The Local Government Unit</t>
  </si>
  <si>
    <t xml:space="preserve"> Supply and Delivery of Office equipment, Semi-Expendable Furniture &amp; Fixtures and Furniture &amp; Fixtures &amp; Semi-Expendable Information and Communication Technology Equipment.</t>
  </si>
  <si>
    <t xml:space="preserve"> QUANTITY--UNIT-----ITEM 1,100----Pcs.-------- 4’’ CHB 8---------Cu.m.------ Washed Sand 60------Pcs.--------- 10mm RSB 71-------bags-------- Portland Cement 7--------Bags-------- Tie Wire 22------Kgs.-------- 12mm RSB 14------Pcs.--------- 8mm RSB 3------</t>
  </si>
  <si>
    <t xml:space="preserve"> 12 cu.m. Sand 3 cu.m. Gravel 40 bags Cement Pozzolan 36 pcs. RSB 12mm x 6 40 pcs. RSB 10mm x 6 30 pcs. Ordinary Plywood 1/4 1200 meter PE Pipe Tubing 1/2 150 meter PE Pipe Tubing 3/4 50 bags Cement Sahara</t>
  </si>
  <si>
    <t xml:space="preserve"> 1 PC/S DATA FILE BOX - W/ COVER (GREEN) 10 2 BOX/S FASTENER - PAPER, VINYL COATED, 50 SETS/BOX 2 3 BOX BALLPEN - BLACK ORDINARY 50 1</t>
  </si>
  <si>
    <t xml:space="preserve"> INVITATION TO BID / REQUEST FOR EXPRESSION OF INTEREST The Municipality of Allacapan, through its Bids and Awards Committee (BAC), invites suppliers/distributors/contractors to apply for eligibility and to bid for the hereunder project: Name of Contract :</t>
  </si>
  <si>
    <t xml:space="preserve"> 3 pc, Modality Treatment Table - dimensions:  atleast 78"L x 30"W x 31"H - weight capacity:  400lbs - access holes for plugs - 3 cabinets - 1 cabinet with storage for modality - 2 cabinet for storage with lock</t>
  </si>
  <si>
    <t xml:space="preserve"> BARANGAY BARBO DULAG, LEYTE  ROAD CONCRETING   1.	The BARANGAY BARBO, through the ANNUAL INVESTMENT PROGRAM  FUNDED – YEAR 2020 intends to apply the sum of EIGHTY FIVE THOUSAND, PESOS (Php. 250,000.00) being the Approved Budget for the Contract (ABC) to p</t>
  </si>
  <si>
    <t xml:space="preserve"> ITEM NO. P.R. No. :Various Office CONSOLIDATED-24 Date: 06/22/2020 Date: 1,500.00- bond paper, long sub 20ream51 1,500.00A4 bond paper sub 20ream62 3,500.00Ball Pen, Black box103 748.80CORRECTION TAPE, 6 meters(min), 1 piece in individual plasticpiece20 4</t>
  </si>
  <si>
    <t xml:space="preserve"> ARTICLE AND DESCRIPTION                  										 ITEM	QTY	UNIT						CEILING 		UNIT PRICE			TOTAL  								PRICE					 			Office:  City General Services Office 										 				Manila Barangay Bureau									 			Charge to: Office Supplies Expenses					PR N</t>
  </si>
  <si>
    <t xml:space="preserve"> Corazon Locsin Montelibano Memorial Regional Hospital, through its Bids and Awards Committee, intends to procure SUPPLY OF 9 CYLINDERS OF HELIUM GAS, which will be undertaken in accordance with Section 53.9 of the Revised Implementing Rules and Regulation</t>
  </si>
  <si>
    <t xml:space="preserve"> SUPPLY AND DELIVERY OF CCTV FOR THE USE OF BRGY.STO. TOMAS CITY OF BINAN LAGUNA</t>
  </si>
  <si>
    <t xml:space="preserve"> The Central Bicol State University of Agriculture (CBSUA) announces that the aforesaid project will be procured through the Alternative Mode of Negotiated Procurement specified in Section 53.9 (Small Value Procurement) of the 2016 Revised Implementing Rul</t>
  </si>
  <si>
    <t xml:space="preserve"> Republic of the Philippines										 BIDS AND AWARDS COMMITTEE										 Baguio City										 (074) 300-6537/ (074)442-8795										 BID FORM										 CP No. 2020-51 Bidding									July 30, 2020	 Circular Proposal No.									Date Prepared	 									</t>
  </si>
  <si>
    <t xml:space="preserve"> Total Approved Budget Php. 279,000.00 Thirty One (31) Units of WIRELESS BONE CONDUCTION HEADPHONES Specifications: - Bluetooth 5.0 - Reliable connectivity up to 33ft. (10m) - PremiumPitch 2.0+Tm - Powerful bass and higher volume - Moisture detection alert</t>
  </si>
  <si>
    <t xml:space="preserve"> Pipes to be use in extension of lines for more service lines connections</t>
  </si>
  <si>
    <t xml:space="preserve"> Republic of the Philippines Province of Davao Oriental City of Mati BIDS &amp; AWARDS COMMITTEE INVITATION TO BID LOT Procurement of VETERINARY SUPPLIES for Use in Provincial Livestock and Breeding Center at PARDC, Magay, City of Mati SOURCE OF FUND: OLFP [19</t>
  </si>
  <si>
    <t xml:space="preserve"> Improvement of the Luis Hora Gym</t>
  </si>
  <si>
    <t xml:space="preserve"> 1.	The Provincial Government of Davao del Norte, through CY 2020 Annual Budget hereby invites all interested PhilGEPS registered suppliers to submit bids for the procurement of goods. Bids received in excess of the ABC shall be automatically rejected at b</t>
  </si>
  <si>
    <t xml:space="preserve"> Microsoft Office Standard Device Single Language 2019</t>
  </si>
  <si>
    <t xml:space="preserve"> Please quote hereunder your government price(s) for the following item(s) which is/are needed by this office. It is requested that the quotation(s) be submitted to the Supply and Property Section, National Archives of the Philippines, 6th Floor, PPL Bldg.</t>
  </si>
  <si>
    <t xml:space="preserve"> Republic of the Philippines Province of Davao Oriental City of Mati BIDS &amp; AWARDS COMMITTEE INVITATION TO BID Catering Services and Room Accommodation for 30 Pax for Use in the Conduct of PIMAM Training for Health and Nutrition Service Providers (3rd – 4t</t>
  </si>
  <si>
    <t xml:space="preserve"> HIGH SPEED PRODUCTION INKJECT PRINTER * MINIMUM SPECS 1. As fast as 120 pages per minute 2. Even lower than P0.15 black and white copy 3. Maximum paper size: 13 3/8 x 21 5/8" 4. Paper weight: 46 gsm to 210 gsm 5. Up to 24 hours of non-stop operation 6. On</t>
  </si>
  <si>
    <t xml:space="preserve"> Republic of the Philippines Province of Cotabato Municipality of Arakan Barangay Malibatuan BIDS AND AWARDS COMMITTEE INVITATION TO BID FOR   Rehabilitation of Concrete Stair &amp; Pathway of Brgy. Hall    1.	The Barangay Government Unit of Malibatuan, throug</t>
  </si>
  <si>
    <t xml:space="preserve"> UNIT	  DESCRIPTION		                        QUANTITY	 	WIDTH OF ROAD - 4m		LENGTH OF SHOULDER PER SIDE - 1.5m	 	THICKNESS OF ROAD - 0.2m		THICKNESS OF BASE COARSE - 0.15m	 	LENGTH OF ROAD - 350m		SUBGRADE PREPARATION - 8.4m 	 				 105	Subgrade Preparation</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</si>
  <si>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</si>
  <si>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280 cover Meals serve during the regular session of the Provincial Board Members Week I  Menu: Chicken Pork Adobo, Buttered Peas and Carrots, Fish Fillet, Rice, Mineral Water, Coffee/Black Gulaman   Week II Menu: Chicken Curry, Mixed Vegetables, Pork Barb</t>
  </si>
  <si>
    <t xml:space="preserve"> 1	box	Master Mix, PCR Master MixTechnical specifications: -Readyto-use cocktail containing all components (except primers and template) for the amplification and detection of DNA in qPCR -Must be supplied with ROX Reference Dye Low and High (50x) -500 x 2</t>
  </si>
  <si>
    <t xml:space="preserve"> 1 UNIT OF XEROX MACHINE 1 UNIT OF PRINTER</t>
  </si>
  <si>
    <t xml:space="preserve"> Procurement of 1 Unit Chest Type Freezzer, 10 cu. ft, etc. for Livelihood support for ICEMPC &amp; Fish and Vegetable Bangko Mercado Association</t>
  </si>
  <si>
    <t xml:space="preserve"> Purchase of Agri-Fishery Supply Item	Quantity	Unit of	Item Description	 No.		Issue		 				 			Farm/Nursery Supplies	 1	3	can	Ampalaya Seeds 250 grams hybrid	 2	1	can	Eggplant, Purple long 250 grams hybrid	 3	3	can	Pole Sitao hybrid 250 grams	 4	1	can	Squas</t>
  </si>
  <si>
    <t xml:space="preserve"> 1 PC/S CORRECTION TAPE - W/ CASE 60 2 REAM/S PAPER - BOND,PG,A4,210MMX297MM,70GSM. 30 3 REAM/S PAPER - BOND,PG,LEGAL,216MMX330MM(8-1/2"X13") 70 GSM 20 4 BOT/S INK - EPSON-L5190 (eco ink) CYAN 2 5 BOT/S INK - EPSON-L5190 ( eco ink)MAGENTA 2 6 BOT/S INK - E</t>
  </si>
  <si>
    <t xml:space="preserve"> Republic of the Philippines Province of Camarines Sur Municipality of Ocampo INVITATION TO BID PROCUREMENT OF OFFICE EQUIPMENT (Name of Project) OFFICE EQUIPMENT (Brief Description of Goods) THE MUNICIPAL GOVERNMENT OF OCAMPO, through the FY 2020 Municipa</t>
  </si>
  <si>
    <t xml:space="preserve"> 100 Snacks serve during the committee hearing at the Sangguniang Panlalawigan Session Hall (Committee on Internal Government &amp; Provincial Properties) Menu: Spaghetti Fried Chicken Cheese Pimiento Juice/Coffee Mineral Water</t>
  </si>
  <si>
    <t xml:space="preserve"> JOB ORDER: Provide services through piecework system in processing of liquidation documents for the quick response fund under HVCD Program for the Month of August - December 2020 No.	Scope of Work	Quantity	Unit_Cost	ABC 1	"	Encoding of CSF for quick respo</t>
  </si>
  <si>
    <t xml:space="preserve"> INVITATION TO APPLY FOR ELIGIBILITY AND TO BID The local Government Unit of Can-avid, through is Bid and Awards Committee (BAC). Invites suppliers to apply for eligibility, to bid for the hereunder contract: Name of Contract: 	PURCHASE AND DELIVERY OF OFF</t>
  </si>
  <si>
    <t xml:space="preserve"> Republic of the Philippines Province of Davao Oriental City of Mati BIDS &amp; AWARDS COMMITTEE INVITATION TO BID Catering Services and Room Accommodation for 166 Pax for Use in the Conduct of PIMAM Training for Health and Nutrition Volunteers (3rd – 4th Qrtr</t>
  </si>
  <si>
    <t xml:space="preserve"> MOOE January to June 2020 of Kalampigan Elementary School.</t>
  </si>
  <si>
    <t xml:space="preserve"> Corazon Locsin Montelibano Memorial Regional Hospital, through its Bids and Awards Committee, intends to procure WASTE WATER TREATMENT PLANT PREVENTIVE MAINTENANCE, which will be undertaken in accordance with Section 53.9 of the Revised Implementing Rules</t>
  </si>
  <si>
    <t xml:space="preserve"> 3 pcs. Battery 3SM</t>
  </si>
  <si>
    <t xml:space="preserve"> 1.	2,000	liter/s	Diesel Fuel</t>
  </si>
  <si>
    <t xml:space="preserve"> Republic of the Philippines Province of Davao Oriental City of Mati BIDS &amp; AWARDS COMMITTEE INVITATION TO BID Procurement of 15,740 Pieces COCO SEEDNUTS in Support to Coconut Farm Intercropping Project SOURCE OF FUND: OLFP [1999OF-200-5-02-03-100-01] 1.	T</t>
  </si>
  <si>
    <t xml:space="preserve"> Republic of the Philippines Province of Davao Oriental City of Mati BIDS &amp; AWARDS COMMITTEE INVITATION TO BID Procurement of REAGENTS for Water Analysis for the Use of the City Health Office and 10 Municipal Health Offices of Davao Oriental SOURCE OF FUND</t>
  </si>
  <si>
    <t xml:space="preserve"> Republic of the Philippines DEPARTMENTOF ENVIRONMENT AND NATURAL RESOURCES Provincial Environment and Natural Resources Office OFFICE OF THE BIDS &amp; AWARDS COMMITTEE Sta. Isabel, Dipolog City INVITATION TO QUALIFY AND BID The Department of Environment and </t>
  </si>
  <si>
    <t xml:space="preserve"> CONSTRUCTION OF 6M X 9M MATERIAL RECOVERY FACILITY</t>
  </si>
  <si>
    <t xml:space="preserve"> Procurement of 1 Lot Premium Rice (40 sacks)</t>
  </si>
  <si>
    <t xml:space="preserve"> Supply and Delivery of Spare Parts</t>
  </si>
  <si>
    <t xml:space="preserve"> PLEASE DOWNLOAD THE ATTACHMENT/S FOR REFERENCE. Important Notes and Conditions: You can submit your quotation ON or BEFORE AUGUST 7, 2020 at 01:00 PM with the photocopy of the following legal documents: a. Mayor’s / Business Permit  b. PhilGEPS Registrati</t>
  </si>
  <si>
    <t xml:space="preserve"> 1 REAM/S PAPER - BOND,PG,A4,210MMX297MM,70GSM. 5 2 REAM/S PAPER - BOND,PG,LEGAL,216MMX330MM(8-1/2"X13") 70 GSM 10 3 PC/S INK - EPSON - BLACK T6641 2</t>
  </si>
  <si>
    <t xml:space="preserve"> Supply &amp; Delivery of Vegetable Seeds for Community Based Vegetable Gardening of Municipal Agriculture Office, Municipality of Bongabong, Oriental Mindoro</t>
  </si>
  <si>
    <t xml:space="preserve"> Republic of the Philippines Province of Cagayan MUNICIPALITY OF BALLESTEROS INVITATION TO BID FOR UPGRADING AND IMPROVEMENT OF  LOCAL ACCESS ROADS 1.	The MUNICIPAL GOVERNMENT OF BALLESTEROS, through the 2020 Assistance to Municipalities (LGSF 2020) intend</t>
  </si>
  <si>
    <t xml:space="preserve"> - 4X4  - PRODUCTION TYPE: REMANUFACTURED - CHASSIS: BRAND NEW CHASSIS ENKR71E, STRAIGHT CHASSIS (STANDARD WHEELBASE) - GROSS VEHICLE WEIGHT: 4,80 GVW, "TRUCK BAN" - CABIN MODEL: BB SPORT V2, HIGH CABIN, WIDE CABIN) - BODY TYPE &amp; DIMENSION: DUMP (SEMI HIGH</t>
  </si>
  <si>
    <t xml:space="preserve"> Republic of the Philippines Province of Davao Oriental City of Mati BIDS &amp; AWARDS COMMITTEE INVITATION TO BID LOT Procurement of SPAREPARTS for the Use of Toyota Grandia of the Provincial Tourism Office SOURCE OF FUND: OLF [1999UB-200-5-02-13-060] 1.	The </t>
  </si>
  <si>
    <t xml:space="preserve"> COMPUTER SUPPLIES</t>
  </si>
  <si>
    <t xml:space="preserve"> CONSUMABLES FOR DUPLO DP-A120II 161 Cart    DUPLO Black Ink Specification:    (600 cc per cart.)                        (one cart. can yield up to 10,000 to 15,000 copies) 5 roll         DUPLO Master Specification:    (200 cuts per roll)                  </t>
  </si>
  <si>
    <t xml:space="preserve"> INVITATION TO BID The Surigao del Sur 1st District Engineering Office, Tandag City, through its Bids and Awards Committee (BAC), invites contractors to submit bids for the following Contract: CONTRACT ID	:	20NH0093 CONTRACT NAME	:	Concreting of Brgy. Mags</t>
  </si>
  <si>
    <t xml:space="preserve"> 1.	1	unit/s	Advance Document Camera 			Full HD 1080p Camera, 30 FPS screen refresh rate 			12X Optical Plus 10X Digital Zoom 			Large A3 Capture Area, Built in LED Light 			 2.	1	unit/s	Laptop HD Intel Core i7 			Intel Core i7-8565U Processor 			8GB DDR4 </t>
  </si>
  <si>
    <t xml:space="preserve"> Corazon Locsin Montelibano Memorial Regional Hospital, through its Bids and Awards Committee, intends to procure CLEANING SUPPLIES (PR#20-07-70707), which will be undertaken in accordance with Section 53.9 of the Revised Implementing Rules and Regulations</t>
  </si>
  <si>
    <t xml:space="preserve"> Supply and Delivery of Materials</t>
  </si>
  <si>
    <t xml:space="preserve"> Supply and Delivery of IT equipment, Parts Tools and Software for Installation and Configuration of Communication Networking Equipment including System Integration .</t>
  </si>
  <si>
    <t xml:space="preserve"> CONSTRUCTION OF EVACUATION CENTER W/ RAIN WATER COLLECTOR FACILITIES</t>
  </si>
  <si>
    <t xml:space="preserve"> 1 UNIT AIRCONDITIONING - .  - Split Type Wall Mounted - 2.5 HP, Inverter - Free Installation - Labor &amp; Materials up to 20ft. piping/wiring (standard free installation up to 10ft., plus 10ft. additional excess piping/wiring.)</t>
  </si>
  <si>
    <t xml:space="preserve"> Please quote your lowest price on item/s listed in the line item and submit your quotation duly signed by your authorized representative through email at bac.secretariat@pnu.edu.ph not later than August 6, 2020 @ 4PM. Note: 1. Delivery period within seven</t>
  </si>
  <si>
    <t xml:space="preserve"> Republic of the Philippines Province of Davao Oriental City of Mati BIDS &amp; AWARDS COMMITTEE INVITATION TO BID LOT Procurement of Vehicle Parts for the Use of Isuzu Elf SOURCE OF FUND: PGO [1011-200-5-02-13-060-01] 1.	The Provincial Government of Davao Ori</t>
  </si>
  <si>
    <t xml:space="preserve"> The Supreme Court of the Philippines, through the Bids &amp; Awards Committee for the Halls of Justice, invites bids for the Repair and Rehabilitation of the Hall of Justice in Baler, Aurora and Refurbishment of Leased Property for the Courts in Imus City, Ca</t>
  </si>
  <si>
    <t xml:space="preserve"> 1 	piece	Electrode, combination pH electrode, glass body DG-113SC Mettler Toledo for DL 50 Graphix titrator; length - 149.5 mm; internal reference - Ag/Ag/LiCI; junction-PTFE sleeve; fill solution-LiCI; pH range: 0-12; inclusion of 500 mL of internal fill</t>
  </si>
  <si>
    <t xml:space="preserve"> Republic of the Philippines Province of Agusan del Norte Municipality of Remedios T. Romualdez Invitation to Bid SUPPLY AND DELIVERY OF ONE (1) UNIT DINGHY AND ONE (1) UNIT RESCUE CUTTER WITH COMPLETE ACCESSORIES 1. The Municipality of Remedios T. Romuald</t>
  </si>
  <si>
    <t xml:space="preserve"> Number: 	Quantity: 	Unit	PPMP_Code	PPMP_Code1	PPMP_Code2	PPMP_Remarks	Particulars	StockNo	Unit_Cost	Estimated_Cost 	14	bag					SUPPLY AND DELIVERY OF  SORGHUM SEEDS		6,705.00	93,870.00 										 							SORGHUM @ 50 lbs/bag			 							Specifications:			 		</t>
  </si>
  <si>
    <t xml:space="preserve"> Republic of the Philippines Province of Nueva Vizcaya BIDS AND AWARDS COMMITTEE (BAC-Goods) BAC OFFICE, Provincial Capitol, Bayombong, Nueva Vizcaya 	 REQUEST FOR QUOTATION (RFQ)  For the Procurement of 20 tubes Duplicator Ink for DD3344, etc. For the Nue</t>
  </si>
  <si>
    <t xml:space="preserve"> 1. Paper, Multi-purpose (copy) A4, 80gsm	= 100	ream @ 	220.00 2. Paper, Multi-purpose (copy) legal, 80gsm	= 100	ream @ 	240.00 3. Toilet Tissue Paper 2-ply sheets, 150 pulls, 24roll/pack	= 10	pack	@ 350.00 4. Battery, dry cell, AAA, 2 pieces per blister p</t>
  </si>
  <si>
    <t xml:space="preserve"> Department of Trade and Industry CONSTRUCTION INDUSTRY AUTHORITY OF THE PHILIPPINES 5/F Executive Bldg. Center, Sen. Gil Puyat Ave. Cor. Makati Ave., Makati City BIDS AND AWARDS COMMITTEE REQUEST FOR QUOTATION The Construction Industry Authority of the Ph</t>
  </si>
  <si>
    <t xml:space="preserve"> Republic of the Philippines Province of Camarines Norte MUNICIPALITY OF VINZONS BIDS AND AWARDS COMMITTEE (BAC) (Tel. # 446-63-09) 	 INVITATION TO BID FOR: Purchase of Gasoline, Oil and Lubricants, etc. 1.	The Local Government Unit of Vinzons through the </t>
  </si>
  <si>
    <t xml:space="preserve"> 5 pcs. 5 gang extension cord with 6 meters cable wire</t>
  </si>
  <si>
    <t xml:space="preserve"> Republic of the Philippines LOCAL GOVERNMENT UNIT OF GINGOOG BIDS AND AWARDS COMMITTEE Gingoog City 	INVITATION TO BID	 PURCHASE OF SEEDLINGS FOR THE DEVELOPMENT OF ECO-PARK AT CIVOLEG, BRGY. LUNOTAN UNDER P.R. NO. 50-20-07-059 1.	The Local Government Uni</t>
  </si>
  <si>
    <t xml:space="preserve"> Procurement of 1 Lot Food Processing Equipment 1 Unit Heavy Duty Stand Mixer, etc.</t>
  </si>
  <si>
    <t xml:space="preserve"> 1 REAM/S BOOK - PAPER. A3 2 2 PACK/S BATTERY - SIZE AA @ 4'S/PACK 10 3 BOX/S FASTENER - PAPER, VINYL COATED, 50 SETS/BOX 5</t>
  </si>
  <si>
    <t xml:space="preserve"> Republic of the Philippines							 Province of Bohol							 Municipality of Batuan							 OFFICE OF THE BIDS AND AWARDS COMMITTEE							 							 ABSTRACT OF BID/BILL OF QUANTITIES							 ____________________________							 ____________________________				</t>
  </si>
  <si>
    <t xml:space="preserve"> Republic of the Philippines Province of Nueva Vizcaya BIDS AND AWARDS COMMITTEE (BAC-Goods) BAC OFFICE, Provincial Capitol, Bayombong, Nueva Vizcaya 	 REQUEST FOR QUOTATION (RFQ)  For the Procurement of Office Supplies (Paper Multi-Purpose, Toner Cart, et</t>
  </si>
  <si>
    <t xml:space="preserve"> 0.02	ha Clearing &amp; Grubbing (w/ stripping)	 44.94 cu.m. Structure Excavation (Soft Rock) 1,947.40 Kg Reinforcing Steel Bar, Grade 40 (Minor Structures)	 18.19 cu.m. Structural Concrete Class A (Minor Structures) including stairs	 1.00	l.s. Construction Sa</t>
  </si>
  <si>
    <t xml:space="preserve"> QTY          UNIT           DESCRIPTION 173    BAGS     PORTLAND CEMENT 8        LOADS     G1 GRAVEL, (@.5 cum PER LOAD) 4        LOADS     SAND (2.5 CUM PER LOAD) 4        PCS          2x6x 12 LUMBER 1        KLS          3' CWN 2        LAODS      CEMEN</t>
  </si>
  <si>
    <t xml:space="preserve"> The Pamantasan ng Lungsod ng Maynila (PLM), through the Procurement Office (PO), will undertake a Small Value Procurement for the "Supply and Delivery of Audio Equipment, Supplies &amp; Peripherals" in accordance with Section 53.9 of the IRR of R.A. 9184. Int</t>
  </si>
  <si>
    <t xml:space="preserve"> 1 UNIT WATER DISPENSER - HOT &amp; COLD</t>
  </si>
  <si>
    <t xml:space="preserve"> Publication/Printing of Cordillera Health Voice Magazine size 8.5 x 11, portrait, saddle binding, 2 issues at 1,000  copies/issue, 24 pages, full color, back to back printing, C2S100  = 2,000 pcs @ 50.00 *Please see attached Request for quotation</t>
  </si>
  <si>
    <t xml:space="preserve"> Establishment of Engineering Physics Laboratory - Potia Campus</t>
  </si>
  <si>
    <t xml:space="preserve"> Number: 	Quantity: 	Unit	PPMP_Code	PPMP_Code1	PPMP_Code2	PPMP_Remarks	Particulars	StockNo	Unit_Cost	Estimated_Cost 1	50	pack					Hybrid Corn Seeds (Sweet Corn)		3,000.00	150,000.00 										 							Minimum Specification:			 							a ) Quality variety @ 1</t>
  </si>
  <si>
    <t xml:space="preserve"> Terms and Conditions 1.	Bidders shall pay the nonrefundable fee for the Bidding Documents not later than the submission of their bids to the Basilan State College Cashier or you may deposit your payment through our Landbank account. BASILAN STATE COLLEGE	</t>
  </si>
  <si>
    <t xml:space="preserve"> 1 BOX BALLPEN - BLUE ORDINARY 50'S 1 2 REAM/S CERTIFICATE PAPER - A4 SIZE 1 3 PC/S BALLPEN - BP-S FINE, BLACK 24 4 PACK/S BATTERY - RECHARGEABLE SIZE AAA @ 2'S/PACK 1 5 REAM/S PAPER - BOND-SUBS.16,LONG (8 1/2"X13") 5 6 REAM/S PAPER - BOND,PG,A4,210MMX297M</t>
  </si>
  <si>
    <t xml:space="preserve"> Please see attached file. Thanks!</t>
  </si>
  <si>
    <t xml:space="preserve"> Republic of the Philippines				 Province of Bohol				 Municipality of Batuan				 				 ABSTRACT OF BID/BILL OF QUANTITIES				 ____________________________				 ____________________________				 ____________________________				 				  Sealed proposals,plainly </t>
  </si>
  <si>
    <t xml:space="preserve"> Supply and delivery of DRRM Hygiene Kit: 1588 bxs Disposable Facemask, surgical, 3ply, 50pcs/box 794 pcs   Face Shield,shark krystal shield-face with clear PET Film 397 bxs   Hygiene Protective Disposable Stretchable PVC Gloves 397 bxs   Spray Alcohol bot</t>
  </si>
  <si>
    <t xml:space="preserve"> 1 PC/S CERAMIC FLOOR TILES - white-30cmx30cm 350 2 PC/S DIAMOND CUTTER DISC - #4 4 3 KG/S TILE GROUT - 2KG. 6 4 PC/S CUTTING DISK - 4" steel 1mm thk 6 5 PC/S SAW BLADE - 4"-115mmx23mmx22mm 2 6 PC/S FAUCET - plastic 8 7 MTR/S WIRE SCREEN - 1/8 THK/MESH 6 8</t>
  </si>
  <si>
    <t xml:space="preserve"> Supplies and delivery of face mask for the preventive measure against COVID-19</t>
  </si>
  <si>
    <t xml:space="preserve"> OPENING OF BIDS IN DSWD FO IX ZAMBOANGA CITY, DELIVERY IN HOME FOR WOMAN ZC PROCUREMENT FOR THE FF.: 		 		 		 1	UNIT	OCCUPATIONAL THERAPIST  (600.00 PER SESSION FOR 14 CLIENTS, ONCE A WEEK FOR 20 WEEKS) 1	UNIT	PHYSICAL THERAPIST (500.00 PER SESSION FOR 3 </t>
  </si>
  <si>
    <t xml:space="preserve"> REQUEST FOR QUOTATION RFQ No. 2020-0301 The CITY GOVERNMENT OF CABANATUAN through its Bid and Awards Committee (BAC), will  undertake Small Value Procurement for the SUPPLY AND DELIVERY OF AIRCONDITIONING UNITS in accordance with Section 53.9 of the Revis</t>
  </si>
  <si>
    <t xml:space="preserve"> Furnishing of Materials for Improvement of Multi-purpose Hall</t>
  </si>
  <si>
    <t xml:space="preserve"> 0.02	ha Clearing &amp; Grubbing (w/ stripping) 32.76 cu.m. Structure Excavation (Soft Rock) 1,419.60 Kg Reinforcing Steel Bar, Grade 40 (Minor Structures) 13.26 cu.m. Structural Concrete Class A (Minor Structures) including stairs 1.00	l.s. Construction Safet</t>
  </si>
  <si>
    <t xml:space="preserve"> Supply &amp; Delivery of Medical Supplies for Massive Deworming and Vitamin Injection of Livestocks Animals on September 1 - December 31, 2020, Municipality of Bongabong, Oriental Mindoro</t>
  </si>
  <si>
    <t xml:space="preserve"> INVITATION TO QUOTE Date:  June 30, 2020 1.	The Provincial Government of Davao del Sur, through its Bids and Awards Committee (BAC), invites all interested bidders/suppliers to quote for the following goods under Alternative Methods of Procurement (Small </t>
  </si>
  <si>
    <t xml:space="preserve"> BIDS AND AWARDS COMMITTEE Office of the Chairman Request for Quotation Date:                                                                                 Quotation No.:         PR # 2020-07-347 __________________________________ _______________________</t>
  </si>
  <si>
    <t xml:space="preserve"> Corazon Locsin Montelibano Memorial Regional Hospital, through its Bids and Awards Committee, intends to procure CHICKEN (PR#20-07-70706), which will be undertaken in accordance with Section 53.9 of the Revised Implementing Rules and Regulations of Republ</t>
  </si>
  <si>
    <t xml:space="preserve"> ONE LOT 20	ream	PAPER, Multi-Purpose (COPY) A4, 70 gsm 260	ream	PAPER, Multi-Purpose (COPY) Legal, 70 gsm 40	bot,	INK , EPSON C13T664100 (T6641), Black 10	bot,	INK, EPSON C13T664200 (T6642), Cyan 10	bot,	INK, EPSON C13T664300 (T6643), Magenta 10	bot,	INK,</t>
  </si>
  <si>
    <t xml:space="preserve"> 1 PC/S INK - EPSON - BLACK T6641 6 2 PC/S INK - EPSON - CYAN T6642 2 3 PC/S INK - EPSON - MAGENTA T6643 2 4 PC/S INK - EPSON - YELLOW T6644 2 5 PC/S STAPLE WIRE - #35 3 6 BTL/S ALCOHOL - RUBBING, 70% ETHYL, 500ML 8 7 ROLL/S CELLOPHANE - FOR COVER ( TABLE </t>
  </si>
  <si>
    <t xml:space="preserve"> 1	3	roll	Outdoor Cat6 Cables 2	3	set	Sectoral Antenna 3	6	unit	Sectoral Radio 4	1	unit	Internet Gateway 5	75	meter	Fiber Optic Cable 6	1	unit	UPS 7	1	unit	Data Cabinet 12 R.U. 8	6	unit	Surge Protector 9	1	unit	Network Gigabit Switch 16 Ports 10	4	unit	Fib</t>
  </si>
  <si>
    <t xml:space="preserve"> Republic of the Philippines PROVINCE OF ZAMBOANGA SIBUGAY Municipality of Mabuhay OFFICE OF THE BAC CHAIRMAN INVITATION TO BID July 30, 2020 To all interested Bidders; Notice is hereby served that sealed bid be received for public bidding under the harmon</t>
  </si>
  <si>
    <t xml:space="preserve"> ONE LOT  24  PC EPSON L120 PRINTER</t>
  </si>
  <si>
    <t xml:space="preserve"> Republic of the Philippines Province of Camarines Sur Municipality of Ocampo INVITATION TO BID PROCUREMENT OF OFFICE EQUIPMENT/IT PRODUCTS  (Name of Project) OFFICE EQUIPMENT/ IT PRODUCTS, PARTS &amp; ACCESSORIES (Brief Description of Goods) THE MUNICIPAL GOV</t>
  </si>
  <si>
    <t xml:space="preserve"> 0.06	ha Clearing &amp; Grubbing (w/ stripping)	 350.00 l.m. Plumbing Works	 1.00	l.s. Construction Safety and Health</t>
  </si>
  <si>
    <t xml:space="preserve"> 5	packs	Cartridge Filter for Respirator, Pink- 3.4 height x 4.2 length for organic vapor/acid gas 5	units	Digital timer, with count up/down features, min, sec and start/stop button, Triple timer, large display 216	pieces	Face mask, ordinary 3	packs 	Film,</t>
  </si>
  <si>
    <t xml:space="preserve"> Republic of the Philippines Province of Leyte Municipality of Palompon Palompon, Leyte  								  BIDS AND AWARDS COMMITTEE		RPQ No.	2020-0608-029	   						Date	31-July-2020	   						PR No.	20-03	  						Date	7/30/2020	 To: 	 	Origin	 	   	 			   	 			   </t>
  </si>
  <si>
    <t xml:space="preserve"> 1.	The Local Government Unit of Tuao, Cagayan  through General Fund  intends to  apply the sum of  Php 216,480.00   being the Approved Budget for the Contract (ABC) to payments under the contract for PURCHASE AND DELIVERY OF OFFICE EQUIPMENT. Bids receive</t>
  </si>
  <si>
    <t xml:space="preserve"> Corazon Locsin Montelibano Memorial Regional Hospital, through its Bids and Awards Committee, intends to procure CALIBRATION SERVICES FOR BIOMEDICAL TEST EQUIPMENT, which will be undertaken in accordance with Section 53.9 of the Revised Implementing Rules</t>
  </si>
  <si>
    <t xml:space="preserve"> Procurement of 1 Lot Premium Rice</t>
  </si>
  <si>
    <t xml:space="preserve"> Technical Specifications:  Display: at least 10 inch (at least 1600 x 2560) with capacitive multi-touch, AMOLED Processor: 2.0 dual core or higher Storage: at least 128 GB or higher, external-microSD/eMMC supporting up to 500 GB or higher Memory: at least</t>
  </si>
  <si>
    <t xml:space="preserve"> NRCP Invites PhilGEPS registered Suppliers for the Supply and Delivery of ICT Networking Equipment and Supplies Item A 1.	Gigabit Web Smart PoE + Switch Dual Band PoE Manageable: 24 Gigabit Ports – PoE; Rack-mountable Ports 24x10/100/1000 + 2x1000Base-X S</t>
  </si>
  <si>
    <t xml:space="preserve"> Republic of the Philippines Province of Leyte Municipality of Palompon Palompon, Leyte  								  BIDS AND AWARDS COMMITTEE		RPQ No.	2020-0608-030	   						Date	31-July-2020	   						PR No.	20-05	  						Date	7/30/2020	 To: 	 	Origin	 	   	 			   	 			   </t>
  </si>
  <si>
    <t xml:space="preserve"> OFFICE OF THE EXECUTIVE DIRECTOR Administration, Resource Management and Support Services July 27, 2020  Section I. Invitation to Bid SUPPLY AND DELIVERY OF Q3-Q4 CY 2020 OFFICE SUPPLIES The Philippine Council for Agriculture, Aquatic, and Natural Resourc</t>
  </si>
  <si>
    <t xml:space="preserve"> INVITATION TO BID 	 Date: July 30, 2020 1.	The Provincial Government of Davao Occidental, through its Bids and Awards Committee (BAC), invites all potential contractors to apply to bid for the following infrastructure projects: IB NO.	Description	ABC	Sour</t>
  </si>
  <si>
    <t xml:space="preserve"> Item No.	QTY.	UNIT	DESCRIPTION/SPECIFICATION OF ARTICLES	ABC	 				Unit	Total 1	50	sacks	RICE, 50 kgs.	2,300.00	115,000.00 Office/Purpose:				115,000.00</t>
  </si>
  <si>
    <t xml:space="preserve"> Republic of the Philippines DEPARTMENT OF PUBLIC WORKS AND HIGHWAYS Nueva Vizcaya District Engineering Office REGIONAL OFFICE II Bayombong, Nueva Vizcaya INVITATION TO BID The DPWH Nueva Vizcaya District Engineering Office through the Bids and Awards Comm</t>
  </si>
  <si>
    <t xml:space="preserve"> Repair/Maintenance of Flood Control and Drainage Structures</t>
  </si>
  <si>
    <t xml:space="preserve"> Preventive maintenance of Backhoe loader</t>
  </si>
  <si>
    <t xml:space="preserve"> Republic of the Philippines Province of Eastern Samar City of Borongan -0- BIDS AND AWARDS COMMITTEE Invitation to Bid for SUPPLY &amp; DELIVERY OF DRUGS AND MEDICINES FOR LGU-BORONGAN CITY, EASTERN SAMAR 1.	The City Government of Borongan, through the Bayani</t>
  </si>
  <si>
    <t xml:space="preserve"> Republic of the Philippines Province of Nueva Vizcaya MUNICIPALITY OF BAGABAG INVITATION TO BID  SUPPLY AND DELIVERY OF MATERIALS FOR THE CONCRETING OF BARANGAY ROAD SAN PEDRO, BAGABAG, NUEVA VIZCAYA 1.	The Local Government Unit of Bagabag, through the 20</t>
  </si>
  <si>
    <t xml:space="preserve"> REHABILITATION/IMPROVEMENT OF 988.77 LN.M ROAD AT PONONG, MAGARAO CAMARINES SUR</t>
  </si>
  <si>
    <t xml:space="preserve"> PROCUREMENT OF AGRICULTURE INPUTS AND SUPPLIES APPROVED BUDGET OF THE CONTRACT: PHP 1,084,940.00 RECEIPT AND OPENING OF BIDS WILL BE ON AUGUST  24, 2020, 10:00 AM AT BAC OFFICE, BRGY. POBLACION, SIBUCO, ZAMBOANGA DEL NORTE. LATE BIDS WILL AUTOMATICALLY RE</t>
  </si>
  <si>
    <t xml:space="preserve"> Various machinery and Equipment</t>
  </si>
  <si>
    <t xml:space="preserve"> Supplemental Bid Bulletin: Inclusion of Bill of Quantities for Construction and Scope of Works that was previously omitted in Bid Notice Reference Number 7120707 with Solicitation Number PB No. 2020-001.</t>
  </si>
  <si>
    <t xml:space="preserve"> To All Eligible Suppliers/Contractors: Please quote your lowest price inclusive of VAT on the items listed in the RFQ Form (please see and download attachment in the Associated Components), subject to the Terms and Conditions of this Request for Quotation</t>
  </si>
  <si>
    <t xml:space="preserve"> Laptop Computer for MCR LGU Cabagan Cabagan, Isabela Specifications: -Notebooks Zenbook Flip (Grey)  -Intel Core i7-8565U Processor -14" FHD IPS Touch Monitor -8 Gigabyte (GB) Random Access Memory (RAM) -512GB NVME Solid State Drive (SSD)  -Windows 10 Pro</t>
  </si>
  <si>
    <t xml:space="preserve"> PROCUREMENT OF LGU BAND EQUIPMENTS APPROVED BUDGET OF THE CONTRACT: PHP 420,000.00 RECEIPT AND OPENING OF BIDS WILL BE ON AUGUST  24, 2020, 10:00 AM AT BAC OFFICE, BRGY. POBLACION, SIBUCO, ZAMBOANGA DEL NORTE. LATE BIDS WILL AUTOMATICALLY REJECTED.</t>
  </si>
  <si>
    <t xml:space="preserve"> Standard Form No. SF Good-05		            Project Reference No.: CATCAM-2020-22 Revised on July 28,2004                   		    Name of Project: PURCHASE OF RESPONSE &amp; RESCUE                                                                                 </t>
  </si>
  <si>
    <t xml:space="preserve"> cement, RSB, paints</t>
  </si>
  <si>
    <t xml:space="preserve"> Republic of the Philippines Local Government Unit of Tinambac, Camarines Sur Municipal Compound, Binalay, Tinambac, Camarines Sur Standard Form Number: SF-GOOD-05 Revised on: July 28, 2004 INVITATION TO APPLY FOR ELIGIBILITY AND TO BID The Local Governmen</t>
  </si>
  <si>
    <t xml:space="preserve"> Section I Invitation to Bid  Construction of Butig Public Market Building Building Bayabao, Butig Lanao del Sur The Local government of Butig Lanao del Sur through the Local Government Support Fund (LGSF-DBM)-FY 2020 intends to apply the sum Pesos (P20,00</t>
  </si>
  <si>
    <t xml:space="preserve"> Laptop Computer for Accounting Office LGU Cabagan Cabagan, Isabela Specifications: -Notebooks Zenbook Flip (Grey)  -Intel Core i7-8565U Processor -14" FHD IPS Touch Monitor -8 Gigabyte (GB) Random Access Memory (RAM) -512GB NVME Solid State Drive (SSD)  -</t>
  </si>
  <si>
    <t xml:space="preserve"> Construction Materials &amp; Supplies</t>
  </si>
  <si>
    <t xml:space="preserve"> PURPOSE/S: 1) Provision of Slope Protection with Handwashing Facilities and Drainage System                         2) Provision of protective steel railing for Grade 8-D and Grade 9-D classrooms 150.00	bags	       Cement 300.00	pcs	       Concrete Hollow</t>
  </si>
  <si>
    <t xml:space="preserve"> Drainage Maintenance</t>
  </si>
  <si>
    <t xml:space="preserve"> Republic of the Philippines DEPARTMENT OF PUBLIC WORKS &amp; HIGHWAYS, REGION X OFFICE OF THE DISTRICT ENGINEER Lanao del Norte 1st District Engineering Office 0054 Seminary Drive, Del Carmen, Iligan City (063) 225-4244  INVITATION TO BID/REQUEST FOR EXPRESSI</t>
  </si>
  <si>
    <t xml:space="preserve"> The Department of Agriculture invites interested suppliers to submit quotations/proposals for the hereunder requirement:  ICT EQUIPMENT: PORTABLE EXTERNAL SSD  3 unit Portable External SSD - Php 108,000.00 Grand Total: Php 108,000.00 Please see attached T</t>
  </si>
  <si>
    <t xml:space="preserve"> The Department of Agriculture invites interested suppliers to submit quotations/proposals for the hereunder requirement: ICT EQUIPMENT 1 LOT RFID - Php 200,000.00 Grand Total: Php 200,000.00 Please see attached technical specifications II.	INSTRUCTIONS:  </t>
  </si>
  <si>
    <t xml:space="preserve"> Number: 	Quantity: 	 1	6	roll	Shade Net (Black) / Greenhouse Net	PE material, 2mx100m		11,500.00	69,000.00 2	10	pc	RAKE	heavy duty, metal handle		450.00	4,500.00 3	6	pc	Plastic barrel/drum,	160 lts cap. W removable cover		3,000.00	18,000.00 4	5	roll	nylon</t>
  </si>
  <si>
    <t xml:space="preserve"> Corazon Locsin Montelibano Memorial Regional Hospital, through its Bids and Awards Committee, intends to procure FISH (PR#20-07-70705), which will be undertaken in accordance with Section 53.9 of the Revised Implementing Rules and Regulations of Republic </t>
  </si>
  <si>
    <t xml:space="preserve"> Quantity	Unit	Item Description 7,040	pcs	Guyabano @ P25.00 per seedling 		Height : 50 cm &amp; above Diameter : 45 cm &amp; above, 1 inch from fruit collar Hardened &amp; without indication of pest diseases Bag size : 4 x 6 polyethylene bag</t>
  </si>
  <si>
    <t xml:space="preserve"> Republic of the Philippines										 BIDS AND AWARDS COMMITTEE										 Baguio City										 (074) 300-6537/ (074)442-8795										 BID FORM										 CP No. 2020-52 Bidding									July 30, 2020	 Circular Proposal No.									Date Prepared	 									</t>
  </si>
  <si>
    <t xml:space="preserve"> Executive Table 160 x 70</t>
  </si>
  <si>
    <t xml:space="preserve"> 2,400 liters diesel fuel location: mayor's office, gutalac, zamboanga del norte approved budget for the contract: php102,835.00 opening of bids: august 6, 2020    2:00 pm submission of bids: on or before opening of bids non refundable fee for bidding docu</t>
  </si>
  <si>
    <t xml:space="preserve"> Republic of the Philippines MUNICIPALITY OF BUENAVISTA INVITATION TO BID FOR SUPPLY AND DELIVERY OF OFFICE EQUIPMENT FOR RADYO KAMALINDIG   1.	The Local Government Unit of Buenavista, Marinduque through the fund from the Capital Outlay intends to apply th</t>
  </si>
  <si>
    <t xml:space="preserve"> TERMS OF REFERENCE ISO 9001:2015 Certification Quality Management System Consultancy and Training Services for Surigao Metropolitan Water District (SMWD) I. PROJECT OBJECTIVES:  The objective of this proposal is to meet SMWD’s systems certification needs </t>
  </si>
  <si>
    <t xml:space="preserve"> Concrete works Masonry works Doors &amp; windows Plumbing works &amp; fixtures Electrical works &amp; fixtures Carpentry &amp; joinery works Roofing &amp; roofing framing Tile works</t>
  </si>
  <si>
    <t xml:space="preserve"> For MISO use.</t>
  </si>
  <si>
    <t xml:space="preserve"> Supply and Delivery of Materials for the Concreting of Drainage System of Purok 1, 2, 3 &amp; 4 at BLGU Aguinaldo, Laak, Davao De Oro with an ABC of Php. 109,860.00. Note: For further details of the said project, please see/contact Hon. Nicolas B. Escabusa - </t>
  </si>
  <si>
    <t xml:space="preserve"> UNIT	  DESCRIPTION		                                  QUANTITY	  	WIDTH OF ROAD - 4m		LENGTH OF SHOULDER PER SIDE - 1.5m	 	THICKNESS OF ROAD - 0.2m		THICKNESS OF BASE COARSE - 0.15m	 	LENGTH OF ROAD - 350m		SUBGRADE PREPARATION - 8.4m 	 				 105	Subgrade </t>
  </si>
  <si>
    <t xml:space="preserve"> ITEM NO. QUANTITY UNIT ITEM DESCRIPTION 1 924 BAGS PORTLAND CEMENT 2 103 CU.M. FINE AGGREGATES 3 51 CU.M. COARSE AGGREGATES 4 8 PCS 2 X 4 X 1.2MM C-PURLINS 5 2 PCS 12 MM DIA. RSB</t>
  </si>
  <si>
    <t xml:space="preserve"> INVITATION TO APPLY FOR ELIGIBILITY AND TO BID The local Government Unit of Can-avid, through is Bid and Awards Committee (BAC). Invites suppliers to apply for eligibility, to bid for the hereunder contract: Name of Contract: 	PURCHASE AND DELIVERY OF MAT</t>
  </si>
  <si>
    <t xml:space="preserve"> Construction/Installation of Streetlights at Sta. Lucia, Nabua, Camarines Sur</t>
  </si>
  <si>
    <t xml:space="preserve"> Desktop and Laptop unit for SHE Division to preserve the organizational knowledge such as storage of documented information including confidential technical reports, envi database, safety reports, etc.</t>
  </si>
  <si>
    <t xml:space="preserve"> .</t>
  </si>
  <si>
    <t xml:space="preserve"> 1	15	UNIT	Workstation: Galaxy Tab S6, 10.5" LTE	 			1600x2560 pixels, (Wifi) Processor 	 			Qualcomm Snapdragon 855, (Cellular)	 			Octa-Core 2.86HZ. Storage: 128 6B+ 	 			micro SDXC Battery 7040 with keypads/	 			keyboards/LTE, Color: Mountain Grey.	 			</t>
  </si>
  <si>
    <t xml:space="preserve"> BIDS AND AWARDS COMMITTEE (BAC) Email address: bacregion2@yahoo.com Telefax No.: (078) 304-0560 INVITATION TO BID ITB No.: 2020-07-29 The Department of Agriculture – Regional Field Office No. 02 (DA-RFO 02) through its Bids and Awards Committee (BAC) invi</t>
  </si>
  <si>
    <t xml:space="preserve"> 1. 108 packs Native Coffee 2. 135 kilos Sugar 3. 135 kilos Salt 4. 36 liters Soy 5. 18 Liters Vinegar 6. 180 pcs Seasoning (Vetsin) 7. 18 kilos Bawang 8. 18 Kilos Lasona 9. 45 Ties Paminta 10. 36 trays Egg</t>
  </si>
  <si>
    <t xml:space="preserve"> See attached</t>
  </si>
  <si>
    <t xml:space="preserve"> The Department of Agriculture invites interested suppliers to submit quotations/proposals for the hereunder requirement: SUPPLY AND DELIVERY OF 10 UNITS OF STEEL LATERAL FILING CABINET (4 DRAWERS) 10	units	   4 Drawers Steel Lateral Filing Cabinet  Featur</t>
  </si>
  <si>
    <t xml:space="preserve"> Republic of the Philippines DEPARTMENT OF AGRICULTURE Regional Field Office IX, Zamboanga Peninsula INVITATION TO BID FOR PROCUREMENT OF DRUGS AND BIOLOGICS 1.	The Department of Agriculture Regional Field Office IX, through the GAA 2020 - (National Livest</t>
  </si>
  <si>
    <t xml:space="preserve"> QTY  UNIT  PARTICULARS CONSUMABLES		 20	pcs.	Pattern paper 1	pack	Index card 15	yards	Fabric for polo (60 with) 15	yards	Fabric for slack pants (60 with) 5	yards	Interlinings (soft) 5	yards	Pocket lining 1	yards	Sanforized 50	pc.	Flat buttons with 2 or 4 </t>
  </si>
  <si>
    <t xml:space="preserve"> 1	25	sacks	 Skim Coat 	 2	30	gals	 Acrytex Primer 	 3	30	gals	 Semi Gloss Latex 	 4	10	gals	 Metal Primer Red Oxide 	 5	12	gals	 Quick Dry Enamel (Triton) 	 6	3	gals	 Paint Thinner 	 7	6	pcs	 Paint Roller Big #7 	 8	8	pcs	 Paint Baby Roller 	 9	5	pcs	 Ste</t>
  </si>
  <si>
    <t xml:space="preserve"> 126 Liters Hydraulic Oil (#68)</t>
  </si>
  <si>
    <t xml:space="preserve"> purchase of xerox machine</t>
  </si>
  <si>
    <t xml:space="preserve"> 1 unit PLASTIC GRANULATOR HG 80 - 10hp Air-cooled Diesel Engine - Capacity: 5-120 kg/hr - Granulating Capability (types of plastic): plastic bags, sachet, styrofoam, disposable cups and cutlery - High carbon tool steel blades (3pcs for Rotary and 2pcs for</t>
  </si>
  <si>
    <t xml:space="preserve"> Venue: Bangkas Heights Covered Court Unit      Qty      Items Bangkas Height Toril-Re orientation pax      37       Batulosa SLP Association - August 19, 2020 pax      37       BBH SLP Association - August 20, 2020 Bangkas Heights Toril-Launching / Releas</t>
  </si>
  <si>
    <t xml:space="preserve"> Supply of Labor and Materials for Pipeline Expansion		 Project in Brgy. Mabini Ext. to Common Terminal.		 I.Pipelines	1	lot  A. Materials		 75mm u-PVC Pipe (class 100)	150	pcs  B. Fittings		 C.I Tee 3 x 3	7	pcs C.I STC 3"	5	pcs C.I Elbow 75mm x 90 def	4	p</t>
  </si>
  <si>
    <t xml:space="preserve"> Construction materials and supplies</t>
  </si>
  <si>
    <t xml:space="preserve"> INVITATION TO BID The Municipality of San Mateo, through its Bids and Awards Committee (BAC), invites suppliers, manufacturers, distributors, contractors registered with the BAC in the Municipality of San Mateo, to apply for eligibility and if found eligi</t>
  </si>
  <si>
    <t xml:space="preserve"> See attached Program of Works</t>
  </si>
  <si>
    <t xml:space="preserve"> ITEMNO. 	ITEM  &amp; DESCRIPTION	QTY.	UOM 			 	COMPUTER SPARE PARTS/PERIPHERALS		 	Fury HyperX 8gb ddr4 3000Mhz	1	pc 	WD 240gb SSD M.2	1	pc 	Mouse and Keyboard combo, USB type	3	set 	AMD Ryzen 7 2700* 3.2GHz to 4.1GHz	1	pc 	GIGABYTE Radeon RX 570 Gaming 4gb G</t>
  </si>
  <si>
    <t xml:space="preserve"> 1. 558 kilos Pork Meat 2. 279 kilos Fish 3. 36 kilos Dried Fish</t>
  </si>
  <si>
    <t xml:space="preserve"> Barangay Government Unit										 Imelda, Zamboanga Sibugay										 										 INVITATION TO APPLY FOR ELIGIBILITY AND TO BID										 										 The Barangay Government Unit  of Imelda, Zamboanga Sibugay , through its Bids and  Awards Committee (BAC)</t>
  </si>
  <si>
    <t xml:space="preserve"> 2020-07-006 Supply and Delivery of Construction materials</t>
  </si>
  <si>
    <t xml:space="preserve"> Republic of the Philippines Province of Misamis Occidental Municipality of Plaridel INVITATION TO APPLY FOR ELIGIBILITY AND TO BID 	 	The Barangay Local Government Unit, BLGU-New Cartagena, Plaridel, Misamis Occidental, through the Municipal Bids and Awar</t>
  </si>
  <si>
    <t xml:space="preserve"> 2.5 HP SPLIT TYPE AIRCON (NON INVERTER) (2 UNITS) INSTALLATION AND CONSUMABLE (2 UNITS) NOTE: ALL NEW SUPPLIER ARE REQUIRED TO SUBMIT THE FOLLOWING DOCUMENT. 1. DTI Registration 2. SEC Registration 3. Current Mayor's Permit 4. Certificate of Registration </t>
  </si>
  <si>
    <t xml:space="preserve"> unit     qty       items units   10        Webcam with microphone *full hd 1080p video calling *autofocus *2 omni directional mics *hi speed usb 2.0 certified *tripod ready universal clip units   10         Speakers *usb powered, compact 2.0 multimedia sp</t>
  </si>
  <si>
    <t xml:space="preserve"> Republic of the Philippines PROVINCE OF CAMARINES SUR BIDS AND AWARDS COMMITTEE ITB No. 046-08-2020 INVITATION TO BID  	The Provincial Government of Camarines Sur (PGCS) through its Bids and Awards Committee (BAC) invites suppliers/manufacturers/distribut</t>
  </si>
  <si>
    <t xml:space="preserve"> 150	boxes	Amlodipine 10 mg tablet 40	boxes	Amoxicillin 500 mg capsule 300	bottles	Ascorbic Acid Syrup 100mg/5ml 60 ml 400	bottles	Ascorbic Acid 100 mg/ml drops 300	boxes	Ascorbic Acid 500 mg tablet 100	tablets	Azithromycin 500 mg 28	tubes	Betamethasone Va</t>
  </si>
  <si>
    <t xml:space="preserve"> The Municipality of Limay, through its Bids and Awards Committee (BAC) invites registered contractors to apply for eligibility and if found eligible, to bid for the hereunder project/contract: Project/Contract:  CONSTRUCTION OF DRAINAGE CANAL ALONG NATION</t>
  </si>
  <si>
    <t xml:space="preserve"> Republic of the Philippines					 MUNICIPALITY OF MARIHATAG					 SURIGAO DEL SUR					 	oOo-				 Bids and Awards Committee					 					 REQUEST FOR QUOTATION					 					 		       Date: July 30, 2020			 		       Quotation No.379-2020			 ________________________</t>
  </si>
  <si>
    <t xml:space="preserve"> 300	Sets	 Universal Transport Medium, 3 ml, for virus individually packed with sterile flocked swab, Expiration                   should be more than one year expiration from date of delivery</t>
  </si>
  <si>
    <t xml:space="preserve"> Department of Public Works and Highways (DPWH) Contract ID: 20GP0073 Contract Name: Construction of 3STY9CL, Vicente Fabuna ES, Cuartero, Capiz Location of the Contract:  Cuartero, Capiz  -------------------------------------------------------------------</t>
  </si>
  <si>
    <t xml:space="preserve"> 1	1308	bottle	 Ascorbic Acid plus Zinc - 120 ml -  	 			 **************nothing follows******************</t>
  </si>
  <si>
    <t xml:space="preserve"> Request for Quotation The Bureau of Fisheries and Aquatic Resources, Regional Office No. 5, Fabrica, Bula, Camarines Sur is requesting from prospective suppliers to submit quotation for the Supply and Delivery of Bottom Set Gill Net intended for SAAD Bene</t>
  </si>
  <si>
    <t xml:space="preserve"> INSTALLATION OF CCTV</t>
  </si>
  <si>
    <t xml:space="preserve"> All entries must be typewritten or legibly written. 2. Delivery period within 15CD upon receipt of the approved funded Purchase Order (P.O.) Administrative Penalties pursuant to Sec. 69 of the Revised IRR-RA 9184 shall be imposed for non-delivery without </t>
  </si>
  <si>
    <t xml:space="preserve"> Republic of the Philippines Province of Misamis Occidental Municipality of Plaridel INVITATION TO APPLY FOR ELIGIBILITY AND TO BID 	 	The Barangay Local Government Unit, BLGU-Deboloc, Plaridel, Misamis Occidental, through the Municipal Bids and Awards Com</t>
  </si>
  <si>
    <t xml:space="preserve"> Republic of the Philippines          City of Dumaguete Bids and Awards Committee INVITATION TO BID FOR PURCHASE REQUEST OF 2 UNITS SOLID PANEL DOOR (D-1) 0.90M X 2.10M AND OTHER ITEMS 	The City of Dumaguete thru its BIDS AND AWARDS COMMITTEE (BAC), invite</t>
  </si>
  <si>
    <t xml:space="preserve"> 1	17,857	liters	Crude Oil	 			-------NOTHING FOLLOWS-------</t>
  </si>
  <si>
    <t xml:space="preserve"> Concrete Reblocking</t>
  </si>
  <si>
    <t xml:space="preserve"> Republic of the Philippines  Province of Batangas  Municipality of Laurel BARANGAY POBLACION 2 BIDS AND AWARDS COMMITTEE INVITATION TO BID 2ND INVITATION I.     The Barangay Government of Barangay Poblacion 2, Laurel, Batangas through its Bids and Awards </t>
  </si>
  <si>
    <t xml:space="preserve"> Supply &amp; Delivery of Office Supplies for the Different Offices 1	78	Pcs	Ballpen, Fine Point Black 2	78	Pcs	Ballpen, Fine Point Blue 3	10	Pcs	Ballpen, Fine Point Red 4	18	Ream	BondPaper, Short, 70gsm 5	88	Ream	BondPaper, A4, 70gsm 6	93	Ream	BondPaper, Long</t>
  </si>
  <si>
    <t xml:space="preserve"> Republic of the Philippines Province of Sarangani Municipality of Maitum Invitation to Bid for Construction of Lined Canal within Brgy. Malalag The Local Government of Maitum, through LGSF – FA FY 2019 intends to apply the sum of Php 8,000,000.00 being th</t>
  </si>
  <si>
    <t xml:space="preserve"> The Municipality of Limay, through its Bids and Awards Committee (BAC) invites registered contractors to apply for eligibility and if found eligible, to bid for the hereunder project/contract: Project/Contract:  PBD-MODIFICATION OF BOX CULVERT AND RIPRAPP</t>
  </si>
  <si>
    <t xml:space="preserve"> 3690 cu.m. item 201 (class A) - P1,992,600.00</t>
  </si>
  <si>
    <t xml:space="preserve"> Contract ID: 20KF0135 Contract Name: Rehabilitation of Public Market in Brgy. Poblacion, Maigo, Lanao del Norte Contract Location: Brgy. Poblacion ,Maigo, Lanao del Norte Brief Description: Rehabilitaion/Repair of existing Public Market Approved Budget fo</t>
  </si>
  <si>
    <t xml:space="preserve"> For further details, please see attached Program of Works in the associated components.</t>
  </si>
  <si>
    <t xml:space="preserve"> Republicof the Philippines PROVINCEOFAGUSAN DEL SUR Municipality of San Luis BarangayMuritula Negotiated Procurement SupplyandDeliveryofHardwareMaterials fortheConstruction of Multi-Purpose Building 1. The Barangay government of Muritula, San Luis, Agusan</t>
  </si>
  <si>
    <t xml:space="preserve"> 1	26	lgths	 12mmØ x 6.0m RBS 	 2	16	lgths	 10mmØ x 6.0m RBS 	 3	5	kls	 GI Tie Wire #16 	 4	2	pcs	 Hacksaw Blade 	 5	6	shts	 5mm x 1.20m x 2.40m Ord. Plywood 	 6	150	bd.ft.	 2 x 3 x 10 MCL 	 7	100	bd.ft.	 2 x 2 x 10 MCL 	 8	3	kls	 CW Nails #4 	 9	3	kls	 CW</t>
  </si>
  <si>
    <t xml:space="preserve"> Supply and Delivery of One (1) Lot Spare parts and Materials for the repair of L300 Firetruck. Please quote your lowest price on Supply and Delivery of One (1) Lot Spare parts and Materials for the repair of L300 Fire Truck listed below and submit your qu</t>
  </si>
  <si>
    <t xml:space="preserve"> Location: Mun. MRF ,Brgy. Burgos, Moncada, Tarlac Scope of Work to be done: 1. Footing and Wall footing 2. Column 3. Beam 4. CHB Wall 5. Steel Matting Fence</t>
  </si>
  <si>
    <t xml:space="preserve"> Item Description				% of Total	Unit	Quantity 						 I. MATERIAL COST						 EARTHWORKS					sq.m	        60.48 CONCRETING WORKS				cu.m.	1.02 ROOF FRAME					bd.ft.	318.00 ROOFING WORKS				pc	        56.00 CARPENTRY WORKS				bd.ft.	584.00 OTHERS					        </t>
  </si>
  <si>
    <t xml:space="preserve"> Republic of the Philippines Province of Batangas Municipality of Lemery  INVITATION TO BID FOR THE Purchase of Gasoline for  Service Vehicle of various offices 1.	The MUNICIPALITY OF LEMERY, through the Annual Budget CY 2020/MOOE-Fuel, Oil and Lubricants </t>
  </si>
  <si>
    <t xml:space="preserve"> Supply and delivery of office equipment</t>
  </si>
  <si>
    <t xml:space="preserve"> See attached file.......</t>
  </si>
  <si>
    <t xml:space="preserve"> Republic of the Philippines																		 Province of Bohol																		 Municipality of Buenavista																		 																		 Barangay SWEETLAND																		 INVITATION TO APPLY FOR ELIGIBILITY AND TO BID																		 							</t>
  </si>
  <si>
    <t xml:space="preserve"> Purchase and delivery of books and other leaning materials for DepEd Calapan City</t>
  </si>
  <si>
    <t xml:space="preserve"> Location:  Tupaya, Boliwong, Banga, Caba,  Buyabuyan ABC: Php 1,220,000.00 Cost of Bid Docs: 5,000.00 The Procurement Schedules are as following: 1. Deadline of buying of Bid Docs: August 12, 2020 @ 5:00 PM 2. Deadline for submission of Bid Docs: August  </t>
  </si>
  <si>
    <t xml:space="preserve"> Department of Public Works and Highways (DPWH) Contract ID: 20GP0074 Contract Name: Construction of 2STY6CL, Mahabang Sapa PS, Cuartero, Capiz Location of the Contract:  Cuartero, Capiz  --------------------------------------------------------------------</t>
  </si>
  <si>
    <t xml:space="preserve"> Procurement of Construction Supplies and Materials</t>
  </si>
  <si>
    <t xml:space="preserve"> P.R. No. 2020-07-059 Supply and Delivery of Office Supplies for Planning and Design Section Use</t>
  </si>
  <si>
    <t xml:space="preserve"> THE PROCUREMENT SERVICE INVITES PHILGEPS REGISTERED SUPPLIERS TO QUOTE FOR THE UPLOADED CANVASS SHEET LOCATED OF THE ASSOCIATED COMPONENTS.</t>
  </si>
  <si>
    <t xml:space="preserve"> Public Bidding</t>
  </si>
  <si>
    <t xml:space="preserve"> Repair of Wall, Repainting of ORD Office &amp; Provision of Wooden Partition with Shelves and Cabinet and Console for Wall Mounted Television</t>
  </si>
  <si>
    <t xml:space="preserve"> SCHOOL EQUIPMENT &amp; SUPPLIES FOR THE REPRODUCTION OF LEARNING MATERIALS /MODULES</t>
  </si>
  <si>
    <t xml:space="preserve"> OFFICE SUPPLIES FOR 1ST &amp; 2ND QUARTER</t>
  </si>
  <si>
    <t xml:space="preserve"> Republic of the Philippines MUNICIPALITY OF BUENAVISTA INVITATION TO BID FOR SUPPLY AND DELIVERY OF MATERIALS FOR LIVELIHOOD ASSISTANCE   1.	The Local Government Unit of Buenavista, Marinduque through the fund from the Trust Fund intends to apply the sum </t>
  </si>
  <si>
    <t xml:space="preserve"> The Municipality of Limay, through its Bids and Awards Committee (BAC) invites registered contractors to apply for eligibility and if found eligible, to bid for the hereunder project/contract: Project/Contract: CONSTRUCTION OF STREET LIGHTING FOUNDATION I</t>
  </si>
  <si>
    <t xml:space="preserve"> ITEMNO. 	ITEM  &amp; DESCRIPTION	QTY.	UOM 			 	MATERIALS		 1	1/4" Marine Plywood	7	pc 2	Lockset Al578	9	set 3	RT Toilet Bowl	2	pc 4	Finishing Nail	1	kg 5	Lavatory Faucet	3	pcs 6	PVC Faucet	3	pcs 7	Teflon 1"	1	roll 8	Sblue	1	can 9	Concrete Nail	1	kg 10	Type -1</t>
  </si>
  <si>
    <t xml:space="preserve"> INVITATION FOR PRICE QUOTATION Date:  30 July 2020 For The Provision Of Runway Markers And Markings At Bacon Airport – 3rd SVP The Civil Aviation Authority of the Philippines (CAAP), Area Center V, Legazpi Airport intends to apply the estimated amount   o</t>
  </si>
  <si>
    <t xml:space="preserve"> Republic of the Philippines DEPARTMENT OF AGRICULTURE Regional Field Office IX, Zamboanga Peninsula INVITATION TO BID FOR SUPPLY AND DELIVERY OF 2,005 BAGS OF CORN SEEDS 1.	The Department of Agriculture Regional Field Office IX, through the GAA 2020 - (Na</t>
  </si>
  <si>
    <t xml:space="preserve"> See attached RFQ for the Terms and Conditions and Technical Specifications. Interested Suppliers/Dealers are to contract the BAC Secretariat.</t>
  </si>
  <si>
    <t xml:space="preserve"> Specifications: 20280 liters Crude Oil; 4 pail Oil 10; 3 pail Delo 500</t>
  </si>
  <si>
    <t xml:space="preserve"> PROJECT REFERENCE NO. CWD 36-2020 INVITATION TO BID FOR  Supply and Delivery of Various I.T Equipment of Different Departments ITEM NO.	PARTICULAR	QTY	UNIT	UNIT COST	TOTAL 1	CPU - i7	3	units	50,000.00	150,000.00 2	Printer 3 in 1	1	unit	20,000.00	20,000.00</t>
  </si>
  <si>
    <t xml:space="preserve"> PLEASE QUOTE YOUR LOWEST PRICE INCLUSIVE OF VAT ON THE FOLLOWING ITEMS LISTED BELOW. ITEM NO.      QUANTITY         UNIT       DESCRIPTON 1	140	ream   	PAPER, Multi-Purpose (COPY) A4, 70 gsm 2	70	ream	        PAPER, Multi-Purpose (COPY) Legal, 70 gsm 3	1	</t>
  </si>
  <si>
    <t xml:space="preserve"> Please see attached Bid Docs for details</t>
  </si>
  <si>
    <t xml:space="preserve"> Republic of the Philippines Province of Eastern Samar MUNICIPALITY OF GEN.MACARTHUR -o0o- BIDS AND AWARDS COMMITTEE Invitation to Bid for the Construction of  Slope Protection at Barangay Alang-Alang to Barangay Tandang Sora Farm to Market Road, Gen. MacA</t>
  </si>
  <si>
    <t xml:space="preserve"> MILK SCHOOL-BASED FEEDING PROGRAM</t>
  </si>
  <si>
    <t xml:space="preserve"> INVITATION TO BID The Department of Public Works and Highways-National Capital Region-Metro Manila 3rd District Engineering Office, through its Bids and Awards Committee (BAC), invites contractors to apply to bid for the following contract/s:     Contract</t>
  </si>
  <si>
    <t xml:space="preserve"> INVITATION FOR PRICE QUOTATION Date:  30 July 2020 For The Provision Of Runway Markers And Markings At Bulan Airport – 3rd SVP The Civil Aviation Authority of the Philippines (CAAP), Area Center V, Legazpi Airport intends to apply the estimated amount   o</t>
  </si>
  <si>
    <t xml:space="preserve"> 2     units    Laptop, Intel core i3 1005G1 processor, 14” (16:9)/LED-Backlit HD (1366x768) LED display/NVIDIA GeForce MX110 2GB GDDR5 VRAM/4GB DRR4 memory, 512GB SSD, IEEE802.11 AC wifi + BT webcam/ 10/ with carrying bag and wireless mouse 1     unit    </t>
  </si>
  <si>
    <t xml:space="preserve"> (Repair of detached Aluminum Composite Panel (ACP), COD Area Flooring, Pedestrian Gate, Swing Gates, Aux. Building Ceiling, installation of Steel Door at Gate 3 Guard Post, installation of Stainless Steel Ducting Ventilation Exhaust Grille Cover of Physic</t>
  </si>
  <si>
    <t xml:space="preserve"> ITEM	ITEM  DESCRIPTION	QTY	UNIT NO.			 1	Portland Cement	30	bags 2	CHB 4"	200	pcs. 3	G.I. Corrugated Sheets 0.4 mmx12'	18	pcs. 4	RSB def. 9mm dia	20	pcs. 5	RSB def. 10mm dia	24	pcs. 6	Marine plywood 1/4" x 4' x 8'	8	pcs. 7	Common wire Nails 4"	1	kl. 8	Com</t>
  </si>
  <si>
    <t xml:space="preserve"> Descriptions: 1 .	1	lot	Supply delivery and Installation of CCTV camera with the following specifications:		 			 1 set 16 CHANNEL DVR, 16 CAMERAS minimum of 4MP 8 X Cameras Dome Indoor 8 X Cameras Bullet Outdoor, HDD 4TB with 21” LCD monitor, RG 6 cable		</t>
  </si>
  <si>
    <t xml:space="preserve"> INVITATION TO BID  FOR SUPPLY AND DELIVERY OF ONE (1) UNIT ATOMIC ABSORPTION SPECTROPHOTOMETER (AAS) (SHORT OF AWARD) 1.	The Sugar Regulatory Administration through the 2020 SRA Corporate Operating Budget (COB) intends to apply the sum of Three Million Pe</t>
  </si>
  <si>
    <t xml:space="preserve"> The Department of Agriculture invites interested suppliers to submit quotations/proposals for the hereunder requirement: Supply and Delivery of Folding Beds and Mattress Foams	 Item I: Folding Beds	 5	units	Dimensions: 72″L x 23.5″W x 15″ Materials: Steel</t>
  </si>
  <si>
    <t xml:space="preserve"> I.       CONCRETE WORKS      -       70.80    CU.M.</t>
  </si>
  <si>
    <t xml:space="preserve"> Republicof the Philippines PROVINCEOFAGUSAN DEL SUR Municipality of San Luis BarangayNuevoTrabajo Negotiated Procurement SupplyandDeliveryofHardwareMaterials fortheImprovementof Multipurpose Building(STAGE) 1. The Barangay government of Nuevo Trabajo, San</t>
  </si>
  <si>
    <t xml:space="preserve"> MOTORIZED TREADMILL - electric, 3-led display, 220V, 2HP, programmable with handle pulse.</t>
  </si>
  <si>
    <t xml:space="preserve"> WALL TALKBACK INTERCOM (7 SETS) Specifications: Working Voltage: 12v DC Maximum Working Current: 1 Ampere Main and Secondary Speaker: 3w Outer Microphone: -38db +/- 3db Inner Microphone: -38db +/- 3db Dimension: Main Machine: 18.20 cm x 13cm x 5.60cm NOTE</t>
  </si>
  <si>
    <t xml:space="preserve"> Purchase of Medical Supplies for the use of Ospital ng Lungsod ng San Jose Del Monte</t>
  </si>
  <si>
    <t xml:space="preserve"> Republic of the Philippines Province of Nueva Vizcaya MUNICIPALITY OF BAGABAG INVITATION TO BID  CONCRETING OF AMBALLO NORTH-AMBALLO SOUTH FMR (Portion) Sitio Amballo South Baretbet, Bagabag, Nueva Vizcaya 1.	The Local Government Unit of Bagabag, through </t>
  </si>
  <si>
    <t xml:space="preserve"> Please submit bid based on the attached RFQ. If you are a new supplier please submit your Mayor's Permit, PhilGEPS Cert, Income Tax/Business Tax Return, Omnibus Sworn Statement.  If you have not renewed please submit updated copies of these documents.</t>
  </si>
  <si>
    <t xml:space="preserve"> Please submit a bid based on the attached RFQ. If you are a new supplier please submit your Mayor's Permit, PhilGEPS Cert, Income Tax/Business Tax Return, Omnibus Sworn Statement.  If you have not renewed please submit updated copies of these documents.</t>
  </si>
  <si>
    <t xml:space="preserve"> materials for Construction of Multi-Purpose Building Phase II</t>
  </si>
  <si>
    <t xml:space="preserve"> FREE MEDICAL SERVICES (FLU VACCINE ) FOR THE CONSTITUENTS OF BARANGAY SAPA I, ROSARIO, CAVITE</t>
  </si>
  <si>
    <t xml:space="preserve"> IMPROVEMENT OF FTMR AT SITIO SINIGPIT AND CONSTRUCTION OF SLOPE PROTECTION ALONG CREEK NEAR POTABLE WATER RESERVOIR at Brgy 15 Sta. Magdalena Sarrat,  Ilocos Norte          1.	The Municipality of  Sarrat, Ilocos Norte, through the RA 7171  intends to appl</t>
  </si>
  <si>
    <t xml:space="preserve"> 1.The Local Government Unit of San Andres, Quezon through its CY 2020 20% Municipal Development Fund (MDF) intends to apply the sum of One  Million One Hundred Fifty Thousand Pesos (Php 1,150,000.00) only being the Approved Budget for the Contract (ABC) t</t>
  </si>
  <si>
    <t xml:space="preserve"> Supply and Delivery of Construction materials</t>
  </si>
  <si>
    <t xml:space="preserve"> Acquisition of equipment's and office supplies.</t>
  </si>
  <si>
    <t xml:space="preserve"> Please quote your lowest price on the item(s)  listed below, subject to the Terms and Condition Stated										 below and submit your quotation duly signed by your representative not later than 10:30 A.M. of  August 05, 										 2020, at the return env</t>
  </si>
  <si>
    <t xml:space="preserve"> CONSTRUCTION OF RESERVOIR (6X6X6) AND INSTALLATION OF PIPES AND FITTINGS</t>
  </si>
  <si>
    <t xml:space="preserve"> Republic of the Philippines											 DEPARTMENT OF EDUCATION											 Region VI - Western Visayas											 PAHANOCOY BAYBAY ELEM. SCHOOL											 			               Prk. Mahigugma on, Pahanocoy Baybay , Bacolod City								 					Address of School		</t>
  </si>
  <si>
    <t xml:space="preserve"> 1 	 75 	 ream 	 Sando bag, medium 	  2 	 61 	 ream 	 Colored cellophane, 8x14 	  3 	 52 	 ream 	 Cellophane, 3x4 	  4 	 30 	 kg 	 Pechay (1 kilogram) 	  5 	 30 	 kg 	 Upland Kangkong (1 kilogram) 	  6 	 36 	 grm 	 Upo (50 grms) 	  7 	 30 	 kg 	 Okra (1 ki</t>
  </si>
  <si>
    <t xml:space="preserve"> For materials and Dental Supplies.</t>
  </si>
  <si>
    <t xml:space="preserve"> A.	MATERIALS 12	pcs	Lighting Fixture 12	pcs	15 Watts LED Lamp 12	pcs	Screw insulator (big) 7	bags	3.5 mm2 Lumex Wires 6      pcs	G.I Pipe2” Ø 4	pcs	G.I Pipe 1 ½ “ Ø 4      pcs	RSB #9 3	kgs	Tie Wire #16 4	kgs	Welding Rod 1.5	cu.m	White Sand 1.5	cu.m	Gravel</t>
  </si>
  <si>
    <t xml:space="preserve"> INVITATION TO BID ( RE-POSTING) CONCRETING OF BARANGAY ROAD ITB No.: 2020-02-002 1.The Barangay Alibago of Enrile,Cagayan,intends to apply the sum of One hundred Nineteen Thousand Two Hundred Seventy Four Pesos and Seventy Seven Centavos (P 119,274.77) be</t>
  </si>
  <si>
    <t xml:space="preserve"> 1st Bidding The Local Government Unit of Paracale,Camarines Norte ,through its Bids and Awards Committe (BAC ) invites a contractor registered with and classified by the Philippine Contractors Accreditation Board ( PCAB) to apply for eligibility and to be</t>
  </si>
  <si>
    <t xml:space="preserve"> Republic of the Philippines PROVINCE OF AGUSAN DEL SUR Municipality of Sta. Josefa Invitation to Bid for   SJADS GOODS 20-10: PROCUREMENT OF SPAREPARTS FOR HEAVY EQUIPMENT 					   July 31, 2020 1.	The Municipality of Sta. Josefa through the authorized app</t>
  </si>
  <si>
    <t xml:space="preserve"> Republic of the Philippines Province of Camarines Sur MUNICIPALITY OF CALABANGA  -oOo- BIDS AND AWARDS COMMITTEE INVITATION TO BID  The LGU CALABANGA, through its Bids and Awards Committee (BAC), invites PhilGEPS-registered suppliers to apply for eligibil</t>
  </si>
  <si>
    <t xml:space="preserve"> JOB ORDER: To provide catering services for the Coordination Meeting in the Implementation of various Agricultural and other Infrastracture Projects with 30 pax for 7 batch @ DA-RFO8 Main Building, Kanhuraw Hill, Tacloban City. No.	Scope of Work	Quantity	</t>
  </si>
  <si>
    <t xml:space="preserve"> Item No.	QTY.	UNIT	DESCRIPTION/SPECIFICATION OF ARTICLES	ABC	 				Unit	Total 1	1,738	kit	Nasopharyngeal Swab	70.00	121,660.00 Office/Purpose:				121,660.00</t>
  </si>
  <si>
    <t xml:space="preserve"> ITEM	ITEM  DESCRIPTION	QTY	UNIT NO.			 1	Mixed sand and gravel	152	cu m</t>
  </si>
  <si>
    <t xml:space="preserve"> INVITATION TO BID  ITB NO: 08-04-2020 – CIVIL WORKS   The Municipal Government of Maramag, Bukidnon, thru the Bids and Awards Committee (BAC) now invites contractors classified by and registered with the Philippine Contractors Accreditation Board (PCAB) t</t>
  </si>
  <si>
    <t xml:space="preserve"> [LGU-San Antonio]    INVITATION TO BID FOR [Procurement of Goods – Purchase of Books Materials ]      1. The [LGU-San Antonio], through the [GENERAL FUND]3 intends to apply the sum of [ SIXTY FIVE THOUSAND SEVEN HUNDRED FIFTY  PESOS ONLY (P 65,750.00] bei</t>
  </si>
  <si>
    <t xml:space="preserve"> 100 pc Viral Transport Medium (VTM)</t>
  </si>
  <si>
    <t xml:space="preserve"> REQUEST FOR QUOTATION The City Government of Malolos, through its BIDS and AWARDS COMMITTEE (BAC) Invites Suppliers/Manufacturers/Distributors to Bid for hereunder procurement:  PR No. : GSO-2020-02-245 Name of Project : PURCHASE OF 1 UNIT AMBULANCE FOR T</t>
  </si>
  <si>
    <t xml:space="preserve"> Republic of the Philippines MUNICIPALITY OF ORION Province of Bataan Bids and Awards Committee Secretariat Office, 2nd Floor Municipal Building, San Vicente, Orion, Bataan Telephone No. 244-9611 local 101 20ITB-G-03-00053 Invitation to Bid 1.	The Municipa</t>
  </si>
  <si>
    <t xml:space="preserve"> 170	boxes	3 Layer Disposable Face Mask, 50 pcs/box 250	boxes	Latex Examination Surgical Gloves, 100 pcs/box, (large and XL) 118	boxes	Alcohol, 70% Isoprophyl, 500 ml, 36 pcs/box</t>
  </si>
  <si>
    <t xml:space="preserve"> 22 Rolls  Plastic Roll, 2 ply, PE Transparent, 60" x 0.004"</t>
  </si>
  <si>
    <t xml:space="preserve"> 290	in.m.	Service drop wire #6 75	in.m.	Stranded wire #6 28	set	30 Amp. safety breaker (KSB) 28	set	2 gang convenience outlet 28	set	1 gang switch 30	pcs	U-box 30	pcs	J-box 28	pcs	Receptacle 4x4 28	pcs	LED bulb (13watts) 5	pack	Cable tie 8in. 3	pack	No mo</t>
  </si>
  <si>
    <t xml:space="preserve"> Republic of the Philippines Province of Eastern Samar Municipality of Maydolong Barangay Lapgap INVITATION TO BID FOR  Procurement of Barangay Office Tables and Chairs 1.	The Barangay Government of Barangay Lapgap, Maydolong, Eastern Samar, through the 20</t>
  </si>
  <si>
    <t xml:space="preserve"> TO : ALL BIDDERS WHAT : Schedule for the bid; WHEN : August 20, 2020 @ 9:00 A.M. WHERE : Multi-Purpose Hall, 2nd Floor, Left Wing, Bogo City Hall, Cayang, Bogo City, Cebu Attention: All Bidders 1) You are required to bring Universal Serial Bus (USB) Flash</t>
  </si>
  <si>
    <t xml:space="preserve"> CONSTRUCTION OF THREE (8) UNITS MATERIALS RECOVERY FACILITY (MRF) IN BARANGAY GUBATAN, MACO DAVAO DE ORO</t>
  </si>
  <si>
    <t xml:space="preserve"> Supply and Delivery of 1000 pieces Grafted Cashew for the Municipality of Coron. Please quote your lowest price on Supply and Delivery of 1000 pieces Grafted Cashew, listed below and submit your quotation duly signed by your authorized representative not </t>
  </si>
  <si>
    <t xml:space="preserve"> Republic of the Philippines DEPARTMENT OF AGRICULTURE Regional Field Office IX, Zamboanga Peninsula INVITATION TO BID FOR SUPPLY AND DELIVERY OF ASSORTED VEGETABLE SEEDS 1.	The Department of Agriculture Regional Field Office IX, through the GAA 2020 - (Hi</t>
  </si>
  <si>
    <t xml:space="preserve"> see attached.</t>
  </si>
  <si>
    <t xml:space="preserve"> Request for Quotation for the Procurement of 1 Set Soil pH Meter to be used in the Collection and Management of Research Data for Farmer and Field Characterization… 1.	The Department of Agriculture-Regional Field Office 7 (DA-RFO 7), through the General A</t>
  </si>
  <si>
    <t xml:space="preserve"> Republicof the Philippines PROVINCEOFAGUSAN DEL SUR Municipality of San Luis Barangay Balit Invitation to Bid SUPPLY AND DELIVERY OF HARDWARE MATERIALS FOR THE CONSTRUCTION OF CONCRETE FENCE 1. The Barangay government of Balit, San Luis, Agusan del Sur, r</t>
  </si>
  <si>
    <t xml:space="preserve"> Materials and Supplies</t>
  </si>
  <si>
    <t xml:space="preserve"> Item Number	Description	        Qty 1	             Bar Counter set	        1 unit		 2	             Single size bed set 	7 units		 3	             Queen size bed set	2 units		 4	             King size bed set	1 unit	 5	             Laundry cabinet set	1 uni</t>
  </si>
  <si>
    <t xml:space="preserve"> ESTIMATES ITEM I. CONSTRUCTION OF INTAKE BOX (1unit) ITEM II. INSTALLATION OF PIPES</t>
  </si>
  <si>
    <t xml:space="preserve"> 7,000 Liters Diesel Fuel</t>
  </si>
  <si>
    <t xml:space="preserve"> INVITATION TO BID FOR     ITB NO. 08-02-2020- GOODS                                       The Local Government Unit – Maramag, Bukidnon through the BIDS AND AWARDS COMMITTEE  (BAC) now invites bids for the herein mentioned project: Name of Project        </t>
  </si>
  <si>
    <t xml:space="preserve"> 1 lot Primers 100 nMole each, Please see attached sequences</t>
  </si>
  <si>
    <t xml:space="preserve"> 23 pairs – Black Charol Shoes (assorted sizes)</t>
  </si>
  <si>
    <t xml:space="preserve"> Sir/Madam:																																						 																																						 Please quote your government price/s including delivery charges, VAT or other applicable taxes, and other incidental expenses for the goods listed in Annex A.  Failure</t>
  </si>
  <si>
    <t xml:space="preserve"> Republic of the Philippines Province of Eastern Samar Municipality of Maydolong Barangay Lapgap INVITATION TO BID FOR  Procurement of Barangay Office Equipment 1.	The Barangay Government of Barangay Lapgap, Maydolong, Eastern Samar, through the 2020 Regul</t>
  </si>
  <si>
    <t xml:space="preserve"> Republic of the Philippines			 Province of Guimaras			 Municipality of Jordan			 BIDS AWARDS COMMITTEE			 			  			30-Jul-20 			 Invitation of Bid No.20-046 (Re-bid) 			 			 Sealed bids, in triplicate subject to the coordination herein below specified will</t>
  </si>
  <si>
    <t xml:space="preserve"> Republic of the Philippines Province of Cebu MUNICIPALITY OF BALAMBAN Balamban, Cebu Telefax: (032) 316 – 4960 OFFICE OF THE BIDS and AWARDS COMMITTEE INVITATION TO BID FOR THE  CONSTRUCTION OF COVERED COURT (Sitio Pundok, Pondol, Balamban, Cebu) 1.	The M</t>
  </si>
  <si>
    <t xml:space="preserve"> Republic of the Philippines Province of Cebu MUNICIPALITY OF BALAMBAN Balamban, Cebu Telefax: (032) 316 – 4960 OFFICE OF THE BIDS and AWARDS COMMITTEE INVITATION TO BID FOR THE  CONSTRUCTION OF CROSS DRAINAGE AND DRAINAGE CANAL  (Corner D.C. Sanchez St. a</t>
  </si>
  <si>
    <t xml:space="preserve"> INVITATION TO BID  ITB NO: 08-05-2020 – CIVIL WORKS   The Municipal Government of Maramag, Bukidnon, thru the Bids and Awards Committee (BAC) now invites contractors classified by and registered with the Philippine Contractors Accreditation Board (PCAB) t</t>
  </si>
  <si>
    <t xml:space="preserve"> 4     units     Laptop Intel Core i5 8th Gen, Windows 10 Home, 4GB DDR4 Memory, 1TB Sata HDD Storage *The unit’s specification can be equivalent or higher Location                      : BICOL UNIVERSITY POLANGUI CAMPUS, POLANGUI, ALBAY    Delivery Period</t>
  </si>
  <si>
    <t xml:space="preserve"> Republic of the Philippines  BARANGAY SICO Lipa City  OFFICE OF THE PUNONG BARANGAY  BIDS AND AWARDS COMMITTEE  INVITATION TO BID  The Barangay Government of BARANGAY SICO, through its Bids and Awards Committee ( BAC ), invites suppliers/manufacturers/dis</t>
  </si>
  <si>
    <t xml:space="preserve"> 1	LOT	Soil Investigation for the Local Bridge Rehabilitation/Improvement at Brgy. Torres-Jimenez Bridge XXXX</t>
  </si>
  <si>
    <t xml:space="preserve"> PCC at CMU would like to invite a PhilGeps Registered suppliers for the supply of construction materials and supplies with an approved ABC of P96,000.00. Please attached your Certificate of Philgeps Registration, Business Permit/Mayor's Permit  Details: 4</t>
  </si>
  <si>
    <t xml:space="preserve"> 35 HP 4 Wheel Drive Tractor with Rotavator and 1 Heavy Duty Trailer 5 HP Transplanter 4 Rows Gas Engine 12 HP Hand Tractor Diesel Engine and Complete Accessories Corn Seeder Hand Tractor Mounted Power Spray 4 Stroke Gas Engine</t>
  </si>
  <si>
    <t xml:space="preserve"> INVITATION TO BID  ITB NO: 08-06-2020 – CIVIL WORKS   The Municipal Government of Maramag, Bukidnon, thru the Bids and Awards Committee (BAC) now invites contractors classified by and registered with the Philippine Contractors Accreditation Board (PCAB) t</t>
  </si>
  <si>
    <t xml:space="preserve"> Republic of the Philippines          City of Dumaguete Bids and Awards Committee INVITATION TO BID FOR PURCHASE REQUEST OF 115 BAGS PORTLAND CEMENT 40 KGS AND OTHER ITEMS 	The City of Dumaguete thru its BIDS AND AWARDS COMMITTEE (BAC), invites all interes</t>
  </si>
  <si>
    <t xml:space="preserve"> INVITATION TO BID FOR     ITB NO. 08-01-2020- GOODS                                       The Local Government Unit – Maramag, Bukidnon through the BIDS AND AWARDS COMMITTEE  (BAC) now invites bids for the herein mentioned project: Name of Project        </t>
  </si>
  <si>
    <t xml:space="preserve"> Paper size: A4 Paper Thickness: 70 GSM (BP) Binding: Saddle Stitch Cover: Fold Cote no. 12 (FC #12)  (4 colors) with lamination (UV Coating) Inside: 1 color/4 color</t>
  </si>
  <si>
    <t xml:space="preserve"> Materials: QTY.	Unit	Item 20	bags	Skimcoat 250	gals	Elastomeric Paint Odorless 2	gals	Epoxy Primer (Gray) 25	gals	Flat Wall Enamel 5	gals	Flat Latex 90	pcs	Sandpaper #100 30	pcs	Roller Brush #7 20	pcs	Roller Brush #4 12	kilos	Rags 1	gals	Paint Thinner   T</t>
  </si>
  <si>
    <t xml:space="preserve"> REQUEST FOR EXPRESSION OF INTEREST (REOI) (Consulting Services) July 29, 2020 Contract ID:  21CSIA004 - Conduct of Soil Exploration for the following Flood Control Projects under FY 2021 Infrastructure Program 1.	Construction of Anog Flood Control along B</t>
  </si>
  <si>
    <t xml:space="preserve"> 1.	The Local Government Unit of Aroroy, through its Supplemental Budget No. 05-2020 intends to apply the sum of Php 500,000.00 being the Approved Budget for the Contract (ABC) to payments under the contract for Construction of Mini Pier at Brgy. Dayhagan.</t>
  </si>
  <si>
    <t xml:space="preserve"> Unit	Qty.	Particulars 		 		 		 Lot	1	Drilling of two (2) units Exploratory/Production 		Wells</t>
  </si>
  <si>
    <t xml:space="preserve"> Republic of the Philippines Province of Eastern Samar MUNICIPALITY OF DOLORES INVITATION TO BID FOR  LOCAL ROAD OPENING (PHASE II)  	                    The Local Government of Dolores, through the 20% Economic Development Fund of CY 2020 (EDF) intends to</t>
  </si>
  <si>
    <t xml:space="preserve"> Purchase of Tools of Emergency Equipment of MDRRMO, Botolan, Zambales</t>
  </si>
  <si>
    <t xml:space="preserve"> 50 BOX DISPOSABLE MASK (3 PLY LAYER) 50 PCS N95 MASK FACE MASK 5 BOX HAIR NET/HEAD CAP 10 BOX DISPOSABLE GLOVES/CLEAN GLOVES 90 BOT ETHYL DISINFECTANT SPRAY (1 CAN/510g) 3 BOX LYSOL DISINFECTANT SPRAY 6 UNIT INFRARED THERMOMETER 10 BOX ASCORBIC ACID TABLE</t>
  </si>
  <si>
    <t xml:space="preserve"> Landscaping of pathways, Plastic/ Styro Densifier, Brick Mold Machine Prebidding conference will be on August 10, 2020 9:00am at Barangay Hall, Barangay Southside, Makati City Opening of Bids will be on August 14, 2020 9:00am at Barangay Hall, Barangay So</t>
  </si>
  <si>
    <t xml:space="preserve"> Please see attached purchase request. To all interested suppliers/bidders, kindly send your proposal in a sealed envelope, addressed to the School Principal Ms. Maribel T. Lescano, on or before the closing date and time of this bid notice. Please enclose </t>
  </si>
  <si>
    <t xml:space="preserve"> Supply and Delivery of Emergency (E) Balde, 375 sets Consist of: (1) Plastic Pail with Cover, 16 Liters and Above (1) Rechargeable Flashlight (1) Pea-less Safety Whistle (1) Set First Aid Kit (1) Digital Thermometer (1) Elastic Bandage (5) Gauze Pad, 4x4 </t>
  </si>
  <si>
    <t xml:space="preserve"> OFFICE SUPPLIES AND MATERIALS</t>
  </si>
  <si>
    <t xml:space="preserve"> INCLUDES PURCHASE AND DELIVERY OF SOLAR LIGHTS</t>
  </si>
  <si>
    <t xml:space="preserve"> FULL BOARD ACCOMMODATION		 No. of Participants: 20		 No. of Days: 3		 Proposed date: July 2020	20	pax AMENITIES:		 Free WIFI access		 Free LCD projector		 Free whiteboard and LCD screen		 Fully airconditioned		 Free Sounds System and accessories w/ operat</t>
  </si>
  <si>
    <t xml:space="preserve"> Item No.                Description                                              Qty             Unit 1.  Cordless Drill Driver: 18V; Torque (sof/hard/max)                3               pc      28/50/50Nm No-Load speed: (1st gear/2nd gear)      0-460/0-1</t>
  </si>
  <si>
    <t xml:space="preserve"> Openning of bids will be on Aguust 14, 2020 9:00am at Barangay Hall, Barangay Southside Makati City</t>
  </si>
  <si>
    <t xml:space="preserve"> 1.	The Local Government Unit of Las Nieves, through the Budget for the Contract Approved by the Sanggunian intends to apply the sum of sixty thousand pesos only (Php 60,000.00) being the Approved Budget for the Contract (ABC) to payments under the contrac</t>
  </si>
  <si>
    <t xml:space="preserve"> 308 BOXES ----VITAMINS C</t>
  </si>
  <si>
    <t xml:space="preserve"> Qty	Unit of Issue	Item Description		 2	pc	Gait Belt/ Harness (1 adult  kids)		 2	pcs	Vestibular Ball / Gym Ball (Gray big &amp; Blue small)		 2	set	Theraband Resistance band (yellow, red, green, blue, black)		 3	pcs	Stop Watch (Mechanical Timer)		 1	pc	Goniom</t>
  </si>
  <si>
    <t xml:space="preserve"> Republic of the Philippines			 Province of Guimaras			 Municipality of Jordan			 BIDS AWARDS COMMITTEE			 			  			30-Jul-20 			 Invitation of Bid No.20-047			 			 Sealed bids, in triplicate subject to the coordination herein below specified will be receiv</t>
  </si>
  <si>
    <t xml:space="preserve"> INVITATION TO APPLY FOR ELIGIBILITY AND TO BID The Barangay Local Government Unit of Bati-awan, Taft E. Samar, through its Bid and Awards Committee (BAC). Invites suppliers to apply for eligibility, to bid for the hereunder contract: Name of Contract: PUR</t>
  </si>
  <si>
    <t xml:space="preserve"> REQUEST FOR QUOTATION The Municipality of Allacapan, through its Bids and Awards Committee (BAC), invites suppliers/distributors/contractors to SUBMIT QUOTATION for the hereunder project: Name of Contract :Purchase of Spareparts for DT#3 Brief Description</t>
  </si>
  <si>
    <t xml:space="preserve"> 336 pc T shirt (Round Neck) with Print (LGU Logo)</t>
  </si>
  <si>
    <t xml:space="preserve"> INVITATION TO BID The Municipal Government of Laoac, Pangasinan through its Bids and Awards Committee (BAC), invites suppliers/ manufacturers/distributors/contractors to bid for the hereunder contract/s: Name of Project	: CONCRETING OF FARM TO MARKET ROAD</t>
  </si>
  <si>
    <t xml:space="preserve"> Proposed RipRap and Pathwalk Extension Zone 7, Sitio Gilid, San Felipe, Naga City</t>
  </si>
  <si>
    <t xml:space="preserve"> SECTION I. REQUEST FOR EXPRESSION OF INTEREST  Consulting Services For The  Revenue and Finance Operation Modernization Project 1.	The Municipal Government of Maramag, Bukidnon, through the General Fund intends to apply the sum of Php 20,000,000 being the</t>
  </si>
  <si>
    <t xml:space="preserve"> Wall plastic hanging pot and assorted plants.  Deadline of submission of quotation is on August 8,2020 9:00am at BIDS and Award Committee Office at Barangay Hall, Barangay Southside, Makati City</t>
  </si>
  <si>
    <t xml:space="preserve"> INVITATION TO BID SUPPLY AND DELIVERY OF FUEL (DIESEL AND GASOLINE) FOR VARIOUS OFFICES 1.	The Local Government Unit of Cabadbaran City through the GENERAL FUND intends to apply the sum of FIVE HUNDRED SEVENTY-FOUR THOUSAND FIVE HUNDRED PESOS ONLY (P 574,</t>
  </si>
  <si>
    <t xml:space="preserve"> 418.52         CU.M        PIPE CULVERT AND DRAIN EXCAVATION 38.06           CU.M        EMBANKMENT/IMPORTED FILL 346              SQ.M        CONCRETE SIDEWALK (100MM THK.) 314              L.M           REINFORCEMENT CONCRETE PIPE CULVERT (RCPC), 760 MM</t>
  </si>
  <si>
    <t xml:space="preserve"> List of Materials for concreting of drainage canal</t>
  </si>
  <si>
    <t xml:space="preserve"> Invitation to Bid  SUPPLY AND DELIVERY OF MATERIALS AND LABOR FOR THE REHABILITATION/IMPROVEMENT OF MULTI-PURPOSE HALL AT BRGY. KINAGUNAN ILAYA 1.	The Barangay Government Unit of Kinagunan Ilaya, Padre Burgos, through the Barangay Development Fund, intend</t>
  </si>
  <si>
    <t xml:space="preserve"> Republic of the Philippines Province of Cebu MUNICIPALITY OF BALAMBAN Balamban, Cebu Telefax: (032) 316 – 4960 OFFICE OF THE BIDS and AWARDS COMMITTEE INVITATION TO BID FOR THE  CONCRETING OF BARANGAY ROAD  (Laray III, Kamanggahan, Buanoy, Balamban, Cebu)</t>
  </si>
  <si>
    <t xml:space="preserve"> 1 2 BXS SOAKING SOLUTION (VIRUSOLVE) 1 LITER  2 200 BXS COTTON BALLS (PACKS) 250 PCS.  3 100 BXS ALCOHOL SPRAY  4 10 BXS SURGICAL BLADE NO.11  5 50 BXS EXAMINATION GLOVES (SMALL)  6 50 BXS EXAMINATION GLOVES (LARGE)  7 10 BXS FACE MASK 100'S  8 5 BXS SURG</t>
  </si>
  <si>
    <t xml:space="preserve"> The Barangay Government of Tranca, Talisay, Batangas through the Bids and Awards Committee(BAC) invites Suppliers/Contractors to apply for the eligibility and if subsequently found eligible to bid for the supply of materials for the project described here</t>
  </si>
  <si>
    <t xml:space="preserve"> Publication of Municipal Ordinances 1. Publication of Municipal Ordinance Nos. 08 and 09, S. 2020 - 3 issues</t>
  </si>
  <si>
    <t xml:space="preserve"> Republic of the Philippines DR. EMILIO B. ESPINOSA, SR. MEMORIAL STATE COLLEGE  OF AGRICULTURE AND TECHNOLOGY (Masbate State College) BIDS AND AWARDS COMMITTEE http:www.debesmscat.edu.ph Cabitan, Mandaon, Masbate Invitation to Bid for the  Fabrication of </t>
  </si>
  <si>
    <t xml:space="preserve"> MASONARY MATERIALS 95 PCS 4" CONCRETE HOLLOW BLOCKS 20 BAGS PORTLAND CEMENT 4 PCS 10 MM RSB 50 PCS 40X49 WALL TILES  2 BAGS TILE ADHESIVE 3 PCS 9MM RSB 1 CUM AGGREGATE 11 CONCREYE WORKS 30 BAGS PORTLAND CEMENT 2 CUM AGGREGATES 22 PCS 16MM RSB 32 PCS 10MM </t>
  </si>
  <si>
    <t xml:space="preserve"> L.S. Improvement of Barangay Auditorium *2 unit Entrance Gate, 75lm, Concrete Bench, 1 set Basketball post with board (acrylic), 45sq.m. concrete pavement &amp; fencing (repair), 2 sets steel gate</t>
  </si>
  <si>
    <t xml:space="preserve"> List of items available at the BAC office upon request</t>
  </si>
  <si>
    <t xml:space="preserve"> 1.	The Local Government Unit (LGU) of Aroroy, through its Annual Budget 2020 to apply the sum of Php 1,250,000.00 being the Approved Budget for the Contract (ABC) to payments under the contract for Supply and Delivery of DRRM Rescue Vehicle (4 Wheel Drive</t>
  </si>
  <si>
    <t xml:space="preserve"> Republic of the Philippines 				2020 – 07 - 01 Province of Pangasinan 					Re-Gravelling along Barangay Road   Barangay San Juan, Agno, Pangasinan 							 INVITATION TO BID The Barangay Council of Barangay San Juan, Agno, Pangasinan, through its Bids and </t>
  </si>
  <si>
    <t xml:space="preserve"> SUPPLY AND DELIVERY OF PHOTOCOPIER MACHINE AND TONER  FOR DEP-ED SARRAT ILOCOS NORTE 1.	The Municipality of Sarrat, Ilocos Norte, through the Special Educational Fund intends to apply the sum of Nine Hundred Fifty Nine  Thousand Eight Hundred Ninety Eight</t>
  </si>
  <si>
    <t xml:space="preserve"> Procurement of Housekeeping Supplies RFQ No. 503</t>
  </si>
  <si>
    <t xml:space="preserve"> Republic of the Philippines Province of Cebu MUNICIPALITY OF BALAMBAN Balamban, Cebu Telefax: (032) 316 – 4960 OFFICE OF THE BIDS and AWARDS COMMITTEE INVITATION TO BID FOR THE  CONSTRUCTION OF BOX CULVERT  (Baliwagan, Balamban, Cebu) 1.	The Municipality </t>
  </si>
  <si>
    <t xml:space="preserve"> Specifications: *Engine-Fuel Type: Diesel; Engine Size/Displacement: 2,1488; No. of Cylinders: 4; Maximum Torque (Nm): 356; Maximum Power (ps): 129 *Engine &amp; Transmission – Fuel Type: Diesel; No. of Cylinders: 4; Engine Size/Displacement: 2,488; Maximum P</t>
  </si>
  <si>
    <t xml:space="preserve"> HYGIENE KIT FO LEARNERS SY 2020-2021 1 POUCH 1 BAR OF BATH SOAP 1 50 ml ALCOHOL SPRAY 1 PACK FACIAL TISSUE 2 SURGICAL MASK</t>
  </si>
  <si>
    <t xml:space="preserve"> Municipality of Looc Invitation to Bid for Rehabilitation/Backfilling/Improvement of Seawall in Brgy. Guitna 1.	The Municipality of Looc, through the LDF intends to apply the sum of Php 2,300,000.00 being the Approved Budget for the Contract (ABC) to paym</t>
  </si>
  <si>
    <t xml:space="preserve"> I - ELECTRICAL II - CONSTRUCTION III - DOORS &amp; WINDOWS IV - TILE WORKS V - PAINTING</t>
  </si>
  <si>
    <t xml:space="preserve"> INVITATION TO BID SUPPLY AND DELIVERY OF VARIOUS IT EQUIPMENT (DESKTOP COMPUTER, LAPTOP, PRINTER) FOR THE CITY HEALTH OFFICE 1.	The Local Government Unit of Cabadbaran City through the GENERAL  FUND intends to apply the sum of TWO HUNDRED SEVENTEEN THOUSA</t>
  </si>
  <si>
    <t xml:space="preserve"> materials for Rehabilitation of Line Canal</t>
  </si>
  <si>
    <t xml:space="preserve"> liters</t>
  </si>
  <si>
    <t xml:space="preserve"> 300lm Construction of Concrete Pathway *H=0.10m, W=1.00, L=300m</t>
  </si>
  <si>
    <t xml:space="preserve"> Facilities for the Engineer, Other General Requirements, Earthworks, Plain and Reinforced Concrete Works, Finishing and Other Civil Works, Electrical Works</t>
  </si>
  <si>
    <t xml:space="preserve"> 1047(2)b Structural Roof Truss (Rafters) 1047(2)c Structural Roof Truss (Purlins) 1047(2)d Structural Roof Truss (Fascia) 1047(3)a Metal Structure Accessories (Anchor Bolt) 1047(3)b Metal Structure Accessories (Sagrod) 1047(3)c Metal Structure Accessories</t>
  </si>
  <si>
    <t xml:space="preserve"> *PLEASE SEE ATTACHED ASSOCIATED COMPONENTS FOR THE COMPLETE SPECIFICATION OF THE CAMERA AND TRIPOD *PLEASE INDICATE COMPLETE SPECIFICATION OF THE QUOTED ITEM *KINDLY READ OTHER INFORMATION BELOW TO AVOID DISQUALIFICATION *KINDLY READ OTHER INFORMATION BEL</t>
  </si>
  <si>
    <t xml:space="preserve"> Republic of the Philippines MUNICIPALITY OF BUENAVISTA INVITATION TO BID FOR SUPPLY AND DELIVERY OF MATERIALS FOR MAINTENANCE OF ORGANIC DEMO FARM   1.	The Local Government Unit of Buenavista, Marinduque through the fund from the 20% DF 2020 intends to ap</t>
  </si>
  <si>
    <t xml:space="preserve"> Invitation to Bid  SUPPLY AND DELIVERY OF MATERIALS AND LABOR FOR THE CONSTRUCTION OF RIPRAPPING OF RIVERSIDE                             AT BRGY. SAN ISIDRO 1.	The Barangay Government Unit of San Isidro, Padre Burgos, through the Barangay Development Fun</t>
  </si>
  <si>
    <t xml:space="preserve"> Procurement of 19 units Smart Phone for 19 Negosyo Centers in Zamboanga Del Norte 19 units @ PhP10,00/unit = PhP 190,000.00 Operating System: Android Storage: 128 GB Main Camera: 48 MP Battery: 4000 mAh Dimension: 158.3 X 75.3 X 8.35 mm RAM: 6 GB Slim Slo</t>
  </si>
  <si>
    <t xml:space="preserve"> PT PUMP ( 1 UNIT) SERVICE CHARGE (1 UNIT) NOTE: ALL NEW SUPPLIER ARE REQUIRED TO SUBMIT THE FOLLOWING DOCUMENT. 1. DTI Registration 2. SEC Registration 3. Current Mayor's Permit 4. Certificate of Registration from B.I.R/TIN number. 5. Tax Clearance Certif</t>
  </si>
  <si>
    <t xml:space="preserve"> Specifications: 20940 liters Crude Oil; 6 pail Oil 10; 5 pail Delo 500; 11 qrt Brake Fluid</t>
  </si>
  <si>
    <t xml:space="preserve"> Office Supplies for printing of modules.</t>
  </si>
  <si>
    <t xml:space="preserve"> 1	unit	Mushroom Bagging Machine, fabricated 		Operation: Manual Operation 		Operator: 1-2 person/s 		Capacity: 100 fruiting bags/hour (approx) 		Specifications: 		Hopper height: 60-80cm 		Hopper Size: 30-40cm x 70-90cm 		Total Height: 140-160cm 		Fruting </t>
  </si>
  <si>
    <t xml:space="preserve"> CONFERENCE TABLE Specification: TWO (2) SETS CONFERENCE TABLE WITH SIX (6) OFFICE CHAIRS ----- (Php 78,400.00) **1800 mm x 900 mm black **OFFICE CHAIRS SIX (6) SEATERS with armrest adjustable gaslift mesh black back and fabric seat and chrome finish star </t>
  </si>
  <si>
    <t xml:space="preserve"> Republic of the Philippines Province of Cebu MUNICIPALITY OF BALAMBAN Balamban, Cebu Telefax: (032) 316 – 4960 OFFICE OF THE BIDS and AWARDS COMMITTEE INVITATION TO BID FOR THE  CONSTRUCTION OF SLOPE PROTECTION STRUCTURE  (Cabasiangan, Balamban, Cebu) 1.	</t>
  </si>
  <si>
    <t xml:space="preserve"> 1 panel black out curtain (size 60x109)</t>
  </si>
  <si>
    <t xml:space="preserve"> FURNISHING AND DELIVERY OF POWDERED MILK FOR THE NUTRITIONALLY AT RISK PREGNANT WOMEN</t>
  </si>
  <si>
    <t xml:space="preserve"> Specifications: 6480 liters Crude Oil; 2 pail Oil 10; 2 pail Delo 500; 9 qrt Brake Fluid</t>
  </si>
  <si>
    <t xml:space="preserve"> I. ROOFING, CEILING, PAINTING &amp; PARTITION WALL    A. MATERIALS    B. LABOR II. DEMOLATION  (LUMP SUM) III. SEPTIC VAULT &amp; PIPES     A. MATERIALS     B. LABOR</t>
  </si>
  <si>
    <t xml:space="preserve"> Amoxicillin 500mg Mefenamic Acid 500mg Alaxan 500mg Biogesic 500mg Tempra Syrup 60ml Ferrous Sulfate Syrup Ferrous Sulfate Capsule</t>
  </si>
  <si>
    <t xml:space="preserve"> Republic of the Philippines MUNICIPALITY OF ECHAGUE Province of Isabela INVITATION TO BID FOR  THE  PROCUREMENT OF   DIGITAL DUPLICATOR 1.	The Local Government Unit , through  the  SEF    Of  2020  intends to apply the sum of  ONE MILLION PESOS (P 1,000,0</t>
  </si>
  <si>
    <t xml:space="preserve"> Republic of the Philippines Province of Cagayan Municipality of Baggao INVITATION TO BID FOR THE PROCUREMENT OF GOODS The LOCAL GOVERNMENT UNIT OF BAGGAO, CAGAYAN, through the 01-001-5-02-03-010 intends to apply the sum of Two Million Seventeen Thousand T</t>
  </si>
  <si>
    <t xml:space="preserve"> Republic of the Philippines          City of Dumaguete Bids and Awards Committee INVITATION TO BID FOR PURCHASE REQUEST OF 2 BOX ELECTRICAL WIRE 150 MTRS/BOX (BLACK) #3.5MM² THHN AND OTHER ITEMS 	The City of Dumaguete thru its BIDS AND AWARDS COMMITTEE (B</t>
  </si>
  <si>
    <t xml:space="preserve"> Furnishing and delivery of office supplies 1st and 2nd quarter 2020</t>
  </si>
  <si>
    <t xml:space="preserve"> Consulting Services for the Establishment of Municipal Sanitary Landfill Terms and Conditions: a.) Conduct survey and site inspection/assessment on the proposed SLF prior to the development of SLF design; b.) Prepare SLF Master plan/blue print that will b</t>
  </si>
  <si>
    <t xml:space="preserve"> PROCUREMENT OF MESSENGERIAL SERVICE   * August 16,2020 - August 15, 2021</t>
  </si>
  <si>
    <t xml:space="preserve"> FULL BOARD ACCOMMODATION 1DAY/MONTH	23	pax MAY 2020		 AUGUST 2020		 OCTOBER 2020		 DECEMBER 2020		 MEALS: Breakfast, Lunch &amp; Dinner		 rice, 3-viands, side dishes, Desserts, Fruits &amp; Drinks		 SNACKS:		 Am &amp; Pm w/ drinks		 FUNCTION:		 Can accommodate requir</t>
  </si>
  <si>
    <t xml:space="preserve"> Invitation to Bid  SUPPLY AND DELIVERY OF MATERIALS AND LABOR FOR THE CONTINUATION OF CONCRETING OF FARM TO MARKET ROAD                                      AT BRGY. SAN ISIDRO 1.	The Barangay Government Unit of San Isidro, Padre Burgos, through the Baran</t>
  </si>
  <si>
    <t xml:space="preserve"> Republic of the Philippines MUNICIPALITY OF TAPAZ BIDS AND AWARDS COMMITTEE Office of the BAC Secretariat, Ground Floor, Municipal Hall, Tapaz, Capiz 5814 E-mail: bac.tapaz@yahoo.com Invitation to Bid:   Procurement of Works for the Construction of Suppor</t>
  </si>
  <si>
    <t xml:space="preserve"> must deliver free of charge and meet the specific brand and description indicated in each items.</t>
  </si>
  <si>
    <t xml:space="preserve"> (PLEASE SEE ATTACHED ASSOCIATED COMPONENT) please send Request for Quotation  -  philgepsprocurement19@gmail.com Contact Person:	JILLSHARON JIMENEZ (711-69-73) Quotation must be submitted with company’s letter head. Stating Specification, unit cost and to</t>
  </si>
  <si>
    <t xml:space="preserve"> REPUBLIC OF THE PHILIPPINES PROVINCE OF RIZAL MUNICIPALITY OF ANGONO INVITATION TO BID FOR  PROCUREMENT OF LEARNING EQUIPMENT  AND SUPPLIES 1.	The Municipality of Angono Rizal, through the SPECIAL EDUCATION FUND (SEF) intends to apply the sum of Seven mil</t>
  </si>
  <si>
    <t xml:space="preserve"> Interested Suppliers are invited to submit Sealed Price Quotations for the above listed items. The Official Department of Health Drug Abuse Treatment and Rehabilitation Center Request for Quotation Forms may be obtained from Ms. SUSAN P. DELA CRUZ Head of</t>
  </si>
  <si>
    <t xml:space="preserve"> THREE (3) UNITS EXECUTIVE TABLE (GLASS) Dimension: **A-16 (1.6m) - L 160cm x D 80cm x H 76cm **A-16 (1.8m) - L 180cm x D 80cm x H 76 cm Color: Black</t>
  </si>
  <si>
    <t xml:space="preserve"> 1000 pcs 4” THK CHB 210 bags 40 kg Cement 3 kg # 16 Tie Wire 40 pcs 10 mm RSB x 6.0m 6 pcs 12 mm RSB x 6.0m 10 pcs 16 mm RSB x 6.0m 5 pcs ¼” Ordinary Plywood 6 kg SWN 2”, 3” &amp; 4” (2kg each) 40 bd-ft 10 – 2” x 2” x 12 good lumber 265 pcs 60cm x 60cm Cerami</t>
  </si>
  <si>
    <t xml:space="preserve"> REQUEST FOR QUOTATION Procurement of Goods [Thermal Scanners and Face Masks] The   City Government of Tagbilaran, through its Bids and Awards Committee (BAC) intends to apply the sum of Three Hundred Eighteen Thousand (P318,000.00) pesos onlybeing the App</t>
  </si>
  <si>
    <t xml:space="preserve"> Republic of the Philippines CITY OF BAIS BIDS AND AWARDS COMMITTEE NOTICE OF AWARD This is to certify that the following item was awarded to Newborn Screening Center – Central Visayas Eversley Childs Sanitarium and General Hospital (Outpatient Department </t>
  </si>
  <si>
    <t xml:space="preserve"> Invitation to Bid The National Housing Authority (NHA), through the Corporate Budget approved by the NHA Board for CY 2020 intends to apply the sum of the Approved Budget for the Contract (ABC) to payments for the following contract: Ref. No. 2020-019	 PR</t>
  </si>
  <si>
    <t xml:space="preserve"> Contract ID: 20PK0072 Contract Name: Construction of Two (2) Storey - Four (4) Classroom Building   Contract Location: Balbalan Agriculture and Industrial School - Extension, Balbalan, Kalinga Brief Description: Construction of Two Storey &amp; Four Classroom</t>
  </si>
  <si>
    <t xml:space="preserve"> 1.1.0 HP, Dual inverter Compressor (window type) (1) unit Air condition 2.2.0 HP, Dual inverter compressor (window type) (1) unit Air condition 3.2.0 HP, Dual inverter Compressor (split type) (2) unit Air condition 4.2.5 HP, Dual inverter compressor (spli</t>
  </si>
  <si>
    <t xml:space="preserve"> The Bids &amp; Awards Committee (BAC) of Barangay Bala-as, Argao, Cebu, invites all interested suppliers/manufacturers/distributors/contractors/consultants to apply for eligibility and to submit bids for the following: DIRECT COST: A. Materials: 40.0 bags Por</t>
  </si>
  <si>
    <t xml:space="preserve"> Republic of the Philippines MUNICIPALITY OF TAPAZ BIDS AND AWARDS COMMITTEE Office of the BAC Secretariat, Poblacion, Tapaz, Capiz 5814 E-mail: bac.tapaz@yahoo.com Invitation to Bid:   Procurement of Works for the Construction of Category 3 Sanitary Land </t>
  </si>
  <si>
    <t xml:space="preserve"> CLARK DEVELOPMENT CORPORATION Clark Freeport Zone, Philippines INVITATION TO BID The Clark Development Corporation, through its Bids and Awards Committee (BAC), invites contractors registered with and classified by the Philippine Contractors Accreditation</t>
  </si>
  <si>
    <t xml:space="preserve"> 1 BOX/S STRANDED WIRE - 2.0mm2 THHN - 150mtrs 1 2 PC/S PVC ELECTRICAL ORANGE PIPE - 1/2'' DIA. 10 3 PC/S ELECTRICAL TAPE - BIG 10 4 PC/S DRILL BIT - # 3/16" ( Masonry ) 2 5 PAIRS GLOVES - RUBBER-BIG ( ASSTD. SIZE ) 4 6 PC/S HACKSAW BLADE - HEAVY DUTY 15 7</t>
  </si>
  <si>
    <t xml:space="preserve"> Invitation to Bid The National Housing Authority (NHA), through the Corporate Budget approved by the NHA Board for CY 2020 intends to apply the sum of the Approved Budget for the Contract (ABC) to payments for the following contract: Ref. No. 2020-020	 PR</t>
  </si>
  <si>
    <t xml:space="preserve"> 10     PC      1X4X12 GOOD LUMBER 2       KL      ASSORTED COMMON WIRE NAILS 505   BAG    PORTLAND CEMENT 30     CU.M   WASHED SAND 55     CU.M   SCREENED GRAVEL 175   PC       4"CHB 328    LGTH   #10MM DIA RSB REINFORCEMENT STEEL BAR 15      CU.M    FILL</t>
  </si>
  <si>
    <t xml:space="preserve"> 10	pc	Outstanding award plaques, 10" ht. x 2pu of  x 3/16" thk, clear glass photo print on 3/8"thk. Glass rectangular shape base. 19	pc	Group Citation award plaques, 10"ht. x 2pu of 3/16"thk. Clear glass photo print on 3/8" thk. Glass rectangular shape ba</t>
  </si>
  <si>
    <t xml:space="preserve"> Republicof the Philippines PROVINCEOFAGUSAN DEL SUR Municipality of San Luis Barangay CECILIA Negotiated Procurement SUPPLY AND DELIVERY OF LUMBER MATERIALS FOR THE CONSTRUCTION OF MULTI-PURPOSE HALL BLDG. (PHASE-2) 1. The Barangay government of Cecilia, </t>
  </si>
  <si>
    <t xml:space="preserve"> 1.             The Local Government Unit of Pasil,  through the 2020 General Fund  intends to apply the sum of Two Hundred Thousand Pesos Only (P200,000.00) being the Approved Budget for the Contract (ABC) to payments under the contract for Procurement of</t>
  </si>
  <si>
    <t xml:space="preserve"> 3RD QUARTER MOOE</t>
  </si>
  <si>
    <t xml:space="preserve"> 1    SPOOL        #16X150M FLAT CORD 45   PCS             15W  BULB LED 15   PCS             13" CEILING TYPE EXHAUST FAN 10   PCS              11 1/2" WALL TYPE EXHAUST FAN 15   PCS               3D WALL FAN 15   PCS               EMERGENCY LIGHTS 10   P</t>
  </si>
  <si>
    <t xml:space="preserve"> 1.	The Barangay Government of Toketec, Tayug, Pangasinan through the Bids and Awards Committee intends to apply the sum of One Hundred Thousand Pesos Only (Php100,000.00) being the Approved Budget for the Contract (ABC) to payments under the contract for </t>
  </si>
  <si>
    <t xml:space="preserve"> REHABILITATION OF LOCAL ACCESS ROAD AT NOVELETA, CAVITE</t>
  </si>
  <si>
    <t xml:space="preserve"> INVITATION TO APPLY FOR ELIGIBILITY AND TO BID The LGU of Mataasnakahoy, Batangas through its Bids and Awards Committee (BAC), invites suppliers/ manufacturers/distributors/contractors to apply for eligibility and to bid for the hereunder project Name of </t>
  </si>
  <si>
    <t xml:space="preserve"> 1-LOT REPAIR OF DICT BLDG. IN GEN. SANTOS CITY A. GLASS AND ALUMINUM WORKS; B. REPAIR OF EAVES AND GUTTER; C. REPAINTING OF SOME ROOMS PLS SEE ATTACHED RFQ for your reference. Purpose: for use in the DICT-MC3 Gen. Santos Building Repair																	 	</t>
  </si>
  <si>
    <t xml:space="preserve"> Improvement of Gomez St. to include  1. Graveling 2. Excavation 3. Riprap</t>
  </si>
  <si>
    <t xml:space="preserve"> Republic of the Philippines Province of Eastern Samar MUNICIPALITY OF DOLORES INVITATION TO BID FOR  CONSTRUCTION OF ACCESS ROAD   	                    The Local Government of Dolores, through the 20% Economic Development Fund of CY 2020 (EDF) intends to </t>
  </si>
  <si>
    <t xml:space="preserve"> Items: A)  FOC Laying Out in City Wide of Binan 212 core fiber optic cable with messenger wire Installation (fusion, patch cord, fiber trays, coupler) GPON Optical Line Terminal (OLT) Core router carier Grade 36  Layer 2 Manage Switch 24 port Layer 3 Core</t>
  </si>
  <si>
    <t xml:space="preserve"> Republic of the Philippines          City of Dumaguete Bids and Awards Committee INVITATION TO BID FOR PURCHASE REQUEST OF 15 BAGS PORTLAND CEMENT 40 KGS AND OTHER ITEMS 	The City of Dumaguete thru its BIDS AND AWARDS COMMITTEE (BAC), invites all interest</t>
  </si>
  <si>
    <t xml:space="preserve"> Purchase of medicines and medical supplies for patients of Circumcision from July 25 to July 31, 2020</t>
  </si>
  <si>
    <t xml:space="preserve"> 2	unit	Vehicle Rental  (VAN) 		Province of Camarines Sur 		Duration: 15 days 		Date: October 6-26, 2020 		*Excect weekend (Saturday &amp; Sunday) and  		Holiday 		(Php 6,690 per day/unit) 		Php 6,690.00 x 15 days x 2 unit = Php 200,700.00 		Inclusion of drive</t>
  </si>
  <si>
    <t xml:space="preserve"> LOCAL GOVERNMENT UNIT OF NAGUILIAN, ISABELA Invitation to Bid for the CONSTRUCTION OF MULTI-PURPOSE BUILDING (PHASE 1) IN BARANGAY MAGSAYSAY, NAGUILIAN, ISABELA 1.	The Local Government Unit of Naguilian, Isabela, through the LGSF-AM 2020  intends to apply</t>
  </si>
  <si>
    <t xml:space="preserve"> This is a Barangay road project for concreting for a much accessible road for the residence.</t>
  </si>
  <si>
    <t xml:space="preserve"> Republic of the Philippines DEPARTMENT OF ENVIRONMENT AND NATURAL RESOURCES- CAR Baguio City BIDS AND AWARDS COMMITTEE REQUEST FOR QUOTATION (ABC: ₱50,000.00 and above) Name:										Date: 	July 30, 2020	 Address: 									RFQ No. 2020-07-241	 Sir/Madam:</t>
  </si>
  <si>
    <t xml:space="preserve"> REQUEST FOR EXPRESSION OF INTEREST (REOI) FOR          Consulting Services for the Concept Study of Baler By-Pass Road, Baler, Aurora 1.	The Department of Public Works and Highways – Aurora District Engineering Office, through the FY-2019 Preliminary Deta</t>
  </si>
  <si>
    <t xml:space="preserve"> Please quote your lowest price on item/s listed in the line item and submit your quotation duly signed by your authorized representative through email at bac.secretariat@pnu.edu.ph not later than August 6, 2020 @ 4PM. Note: 1. Delivery period within fifte</t>
  </si>
  <si>
    <t xml:space="preserve"> An awareness campaign on HIV/AIDS.</t>
  </si>
  <si>
    <t xml:space="preserve"> 1 set Cityhood Anniversary Decoration *********************************** Purpose: 20th Cityhood Anniversary of the City of Maasin</t>
  </si>
  <si>
    <t xml:space="preserve"> LOT 1 = 105,429.00			 1)	4	pcs	1/4" thk. Ordinary Plywood 2)	18	pcs	1/4" thk. Marine plywood 3)	32	kgs	CW Nails Assorted 4)	62	bags	Portland Cement 5)	6	cum	Washed sand 6)	5	cum	Crushed Gravel 3/4 dia. 7)	68	pcs	DSB 10mm dia 8)	26	pcs	DSB 12MM dia 9)	8	kg</t>
  </si>
  <si>
    <t xml:space="preserve"> Invitation to Bid The National Housing Authority (NHA), through the Corporate Budget approved by the NHA Board for CY 2020 intends to apply the sum of the Approved Budget for the Contract (ABC) to payments for the PROCUREMENT OF ADDITIONAL FULLY DEVELOPED</t>
  </si>
  <si>
    <t xml:space="preserve"> REPRODUCTION OF LEARNING MODULES *A4 SIZES OF PAGES *ALL SUBJECTS</t>
  </si>
  <si>
    <t xml:space="preserve"> Contract Name &amp; ID:  21CSIA001 - Conduct of Soil Exploration for the widening of Permanent Bridges –             Moog and Busali Bridges in Busali, Biliran, Biliran under FY 2021 Fund.       Contract Location    :   Brgy. Busali, Biliran, Biliran A B C	  </t>
  </si>
  <si>
    <t xml:space="preserve"> Day 1: 12 pack - Snack Day 2: 20 pack - Snack Day 3: 17 pack - Snack Day 4: 15 pack - Snack Day 5: 40 pack - Snack Day 6: 30 pack - Snack, Lunch Day 7: 15 pack - Snack</t>
  </si>
  <si>
    <t xml:space="preserve"> Republic of the Philippines PROVINCE OF AGUSAN DEL SUR Municipality of Sta. Josefa Invitation to Bid for   SJADS INFRA 20-09: CONSTRUCTION OF SOLAR DRYER 				                         July 31, 2020 1.	The Municipality of Sta. Josefa through the Loan Procee</t>
  </si>
  <si>
    <t xml:space="preserve"> BRASS BUILDING MARKER (2' X 3') (1 UNIT) ACRYLIC INFORMATION DISPLAY WITH STAND (3X4) (7 UNIT) NOTE: ALL NEW SUPPLIER ARE REQUIRED TO SUBMIT THE FOLLOWING DOCUMENT. 1. DTI Registration 2. SEC Registration 3. Current Mayor's Permit 4. Certificate of Regist</t>
  </si>
  <si>
    <t xml:space="preserve"> Republic of the Philippines MUNICIPALITY OF ECHAGUE Province of Isabela INVITATION TO BID FOR  THE  PURCHASE  OF OFFICE SUPPLIES  1.	The Local Government Unit , through  the  SEF  Of  2020  intends to apply the sum of  ONE MILLION FIVE HUNDRED THOUSAND  P</t>
  </si>
  <si>
    <t xml:space="preserve"> The Municipality of Limay, through its Bids and Awards Committee (BAC) invites registered contractors to apply for eligibility and if found eligible, to bid for the hereunder project/contract: Project/Contract: REPAIR &amp; PAINTING WORKS (SMAW BLDG., CEILING</t>
  </si>
  <si>
    <t xml:space="preserve"> Purchase of medicines and medical supplies for patients of circumcision August 1-7,2020</t>
  </si>
  <si>
    <t xml:space="preserve"> 25 units COMPUTER DESKTOP       Specifications          HARDWARE:              * Processor: G5400-2Cores, 4 Threads@3.70GHz or higher              * Motherboard: H310M or better compatibility with G5400 processor              * RAM: 4GB              * Har</t>
  </si>
  <si>
    <t xml:space="preserve"> INSTALLATION OF STREET LIGHTS AT SAN RAFAEL III AND SAN RAFAEL IV NOVELETA, CAVITE</t>
  </si>
  <si>
    <t xml:space="preserve"> Various School Supplies</t>
  </si>
  <si>
    <t xml:space="preserve"> 175	ream	BOND PAPER,(COPY), A4 size, 80gsm				 100	piece	CORRECTION TAPE, 6 meters(min), 1 piece in individual plastic				 20	piece	DATA FILE BOX, made with chipboard, with closed ends				 16	box	ENVELOPE, DOCUMENTARY, for Legal size document, 500 pieces </t>
  </si>
  <si>
    <t xml:space="preserve"> REQUEST FOR QUOTATION (RFQ) The National Housing Authority (NHA), through Region 4 Office Bids and Awards Committee (ROBAC), intends to procure Service Provider which will be undertaken in accordance with Section 53.9 (Small Value Procurement) of the 2016</t>
  </si>
  <si>
    <t xml:space="preserve"> REQUEST FOR QUOTATION Procurement of Goods [Reusable Coverall] The   City Government of Tagbilaran, through its Bids and Awards Committee (BAC) intends to apply the sum of One Hundred One Thousand (P101,000.00) pesos onlybeing the Approved Budget for the </t>
  </si>
  <si>
    <t xml:space="preserve"> 16	unit	Vehicle Rental  (VAN) 		For the fieldwork activities of the OAP &amp;  R &amp; D 		Project 		Detailed: 18 seating capacity 		airconditioned 		supplier will shoulder the gasoline and toll fee 		Itinerary Schedule 		September 28, 2020 		October 6, 2020 		Oc</t>
  </si>
  <si>
    <t xml:space="preserve"> 18 units Refrigerator , at least 7 cu.ft.</t>
  </si>
  <si>
    <t xml:space="preserve"> INVITATION TO BID FOR THE   SUPPLY AND DELIVERY OF MOTOR PARTS AND ACCESSORIES,  LIVELIHOOD OF INDIGENOUS PEOPLES FORMER REBEL OF SAN MIGUEL, SURIGAO DEL SUR (IPFROS). 1.  The  Local Government Unit of San Miguel through the  Bids and Awards Committee (BA</t>
  </si>
  <si>
    <t xml:space="preserve"> CONSTRUCTION / IMPROVEMENT OF GYMNASIUM AT SAN RAFAEL II</t>
  </si>
  <si>
    <t xml:space="preserve"> LOT 1  ABC  =  227,297.50			 1)	86	pcs	Floor Tiles unglazed (0.4m x 0.4m) 2)	175	pcs	Floor Tiles glazed (0.4m x 0.4m) 3)	4	bags	Adhesive cement 4)	99	bags	Portland cement 5)	5.25	cu.m	Washed Sand 6)	530	pcs	CHB 4" thk 7)	59	pcs	DSB 10mm x 6m 8)	15	pcs	Hac</t>
  </si>
  <si>
    <t xml:space="preserve"> REPUBLIC OF THE PHILIPPINES CITY GOVERNMENT OF OROQUIETA BIDS AND AWARD COMMITTEE City Hall, Oroquieta City                                                                                                                       July 30, 2020                </t>
  </si>
  <si>
    <t xml:space="preserve"> Scope of Works:   1)  Earthworks 2)  Coffer damming 3)  Civil works, steel sheet piles, structural concrete 4)  Billboard/Signboard 1)  The Schedule of Bidding Activities is available at the BAC Office, City Annex Building, Brgy. Zapote, City of Binan, La</t>
  </si>
  <si>
    <t xml:space="preserve"> Republic of the Philippines                                                   													 DEPARTMENT OF PUBLIC WORKS AND HIGHWAYS													 ZAMBOANGA DEL NORTE													 1ST DISTRICT ENGINEERING OFFICE													 REGIONAL OFFICE IX													 </t>
  </si>
  <si>
    <t xml:space="preserve"> Name of the Procuring Entity:					Project Reference Number: ITB # 2020-06-036 Municipality of Lantapan					Name of the Project:  Standard Form Number: SF-GOOD-60					Procurement of Sound System, Office Furnitures Revised on: May 24, 2004					&amp; Equipment f</t>
  </si>
  <si>
    <t xml:space="preserve"> unit	Heavy Duty Stainless Steel Submersible Deepwell Pump DP 60 -13			1	 410,000.00 	 410,000.00  	consist of 13 Stages, Made of Corrosion Resistant All Stainless					 	Steel 304/316 Material Bowl Impeller, Shafting with Built-in 					 	Vertical Check Val</t>
  </si>
  <si>
    <t xml:space="preserve"> QTY	UOM	ARTICLES and DESCRIPTION 1	 pc 	USB Optical Mouse branded heavy duty 1	 pc 	 USB Keyboard  branded heavy duty  1	 pc 	 USB Speaker for laptop/computer   1	 pc 	 Mirrorless Digital Camera with 28-70mm Lens  1	 pc 	 2x 500W Photo Video Studio E27 La</t>
  </si>
  <si>
    <t xml:space="preserve"> 1-lot Construction Materials &amp; Supplies a. Repair of Two units Comfort Room; b. Replacement of Windows and Door; c. Repainting of Selected Rooms and d. Installation of curtains Note: All deliveries by the suppliers shall be subject to inspection and accep</t>
  </si>
  <si>
    <t xml:space="preserve"> for laboratory testing: Pregnancy test, Trop 1, Syphilis Screening ,Thyroid Function test, Botolan, Zambales</t>
  </si>
  <si>
    <t xml:space="preserve"> RFQ attached</t>
  </si>
  <si>
    <t xml:space="preserve"> REQUEST FOR QUOTATION Procurement of Goods [Motorcycles] The   City Government of Tagbilaran, through its Bids and Awards Committee (BAC) intends to apply the sum of Two Hundred Twenty-Two Thousand (P222,000.00) pesos onlybeing the Approved Budget for the</t>
  </si>
  <si>
    <t xml:space="preserve"> The Local Government Unit of Paracale,Camarines Norte ,through its Bids and Awards Committe (BAC ) invites a contractor registered with and classified by the Philippine Contractors Accreditation Board ( PCAB) to apply for eligibility and to be for the her</t>
  </si>
  <si>
    <t xml:space="preserve"> The DepED-CAR Regional Office through its Bids and Awards Committee (BAC), invites suppliers to quote for the project VARIOUS REPAIR AND REHABILITATION OF DEPED-CAR REGIONAL OFFICE Quotations should be inclusive of tax.  The total approved Budget for the </t>
  </si>
  <si>
    <t xml:space="preserve"> PLEASE SEE ATTACHED DOCUMENTS FOR THE PROGRAM OF WORKS AND DETAILED UNIT PRICE ANALYSIS OF THE PROJECT.</t>
  </si>
  <si>
    <t xml:space="preserve"> PUBLICATION OF VARIOUS CITY RESOLUTION OF THIS CITY</t>
  </si>
  <si>
    <t xml:space="preserve"> INVITATION TO BID SUPPLY AND DELIVERY OF HARDWARE SUPPLIES AND MATERIALS FOR VARIOUS OFFICES 1.	The Local Government Unit of Cabadbaran City through the GENERAL  FUND intends to apply the sum of ONE HUNDRED SEVENTY-EIGHT THOUSAND NINE HUNDRED TWENTY-SEVEN</t>
  </si>
  <si>
    <t xml:space="preserve"> 1	unit	Vehicle Rental  (PICK-UP/VAN) 		For the fieldwork activities of the OAP &amp;  R &amp; D 		Project 		Php 9,000/unit for 14 days 		Type of Vehicle: 4 x 4/pick-up/van 		Approximately: 10 hrs/day 		Itinerary: Zambales Province and points 		September 1-4, 2020</t>
  </si>
  <si>
    <t xml:space="preserve"> INVITATION TO BID SUPPLY AND DELIVERY OF VEHICLE MAINTENANCE SUPPLIES, PARTS AND ACCESSORIES FOR VARIOUS TRANSPORTATION EQUIPMENT / VEHICLE OF THE CITY 1.	The Local Government Unit of Cabadbaran City through the GENERAL  FUND intends to apply the sum of F</t>
  </si>
  <si>
    <t xml:space="preserve"> Contract for the drilling of one (1) exploratory / production well in Barangay Lauis, Candelaria, Zambales</t>
  </si>
  <si>
    <t xml:space="preserve"> Republic of the Philippines Province of Aklan Municipality of Kalibo INVITATION TO BID FOR THE CONSTRUCTION OF DRAINAGE The Municipality of Kalibo, through the General Fund 2020, intends to apply the sum of Two Million Nine Hundred Six Thousand Five Hundr</t>
  </si>
  <si>
    <t xml:space="preserve"> 520 pcs Dri-fit Uniform for Gso,Mtrg &amp; Building Guard</t>
  </si>
  <si>
    <t xml:space="preserve"> IT Peripherals &amp; Accessories</t>
  </si>
  <si>
    <t xml:space="preserve"> 4 units External Hard Drive Back-Up, 4TB</t>
  </si>
  <si>
    <t xml:space="preserve"> REQUEST FOR QUOTATION Procurement of Goods [Flyers for COVID-19] The   City Government of Tagbilaran, through its Bids and Awards Committee (BAC) intends to apply the sum of One Hundred Thousand Eight Hundred (P100,800.00) pesos onlybeing the Approved Bud</t>
  </si>
  <si>
    <t xml:space="preserve"> Day1 - 2: 60 pack - AM Snack, Lunch, PM Snack</t>
  </si>
  <si>
    <t xml:space="preserve"> Republic of the Philippines Province of Bohol Municipality of Ubay INVITATION TO BID FOR PURCHASE OF SPARE PARTS FOR REPAIR AND MAINTENANCE OF GOVERNMENT VEHICLES AND HEAVY EQUIPMENTS 1.	The Municipality of Ubay, through the Annual Budget C.Y. 2020 (Gener</t>
  </si>
  <si>
    <t xml:space="preserve"> REQUEST FOR QUOTATION Procurement of Goods [Supplies for Search, Rescue and Response Operations] The   City Government of Tagbilaran, through its Bids and Awards Committee (BAC) intends to apply the sum of Two Hundred Sixteen Thousand Five Hundred (P216,5</t>
  </si>
  <si>
    <t xml:space="preserve"> THREE (3) UNITS PLAT FORM SCALE **Heavy Duty Platform Scale **300 kg capacity **Large backlit LED display for easy reading **Weighing units: kg, g, lb **application mode: weighing, parts counting, accumulation</t>
  </si>
  <si>
    <t xml:space="preserve"> IAEB NO.: 2020-I004  BIDS AND AWARDS COMMITTEE I (POC-BAC I) INVITATION FOR NEGOTIATED PROCUREMENT Supply and Delivery of Radiology Supplies (July-December 2020) 1.	In view of the two (2) failed public biddings, the Philippine Orthopedic Center Bids and A</t>
  </si>
  <si>
    <t xml:space="preserve"> 1.	1	unit/s	Aircon 2.0HP Inverter (Window Type) 2.	1	unit/s	Aircon 1.5HP Inverter (Window Type)</t>
  </si>
  <si>
    <t xml:space="preserve"> Purchased of Disasters Supplies and Materials</t>
  </si>
  <si>
    <t xml:space="preserve"> Snack</t>
  </si>
  <si>
    <t xml:space="preserve"> JOSE B. LINGAD MEMORIAL REGIONAL HOSPITAL City of San Fernando, Pampanga Tel. No. (045) 961-3921 Date: July 31, 2020 No. 2020 – 07 - 237-S REQUEST FOR QUOTATION (Name of Agency) (Address) Sir/Madam: Please quote your lowest price on the item/s listed belo</t>
  </si>
  <si>
    <t xml:space="preserve"> 185    PCS       0.60M X 0.60M FLOOR TILES  95       PCS      16" X 16" WALL TILES  35      PCS        16" X16" FLOOR TILES 1        SET        2.10M X 0.60M PVC PLASTIC DOOR W/ JAMB 1         PCS        4"X4" FLOOR DRAIN 1         SET         WATER CLOSE</t>
  </si>
  <si>
    <t xml:space="preserve"> Invitation to Bid Supply and Delivery of Food Items (1 lot) for the Supplementary Feeding Program for the 10th cycle implementation CY 2020    1. The Department of Social Welfare and Development, Field Office 02, through the Government of the Philippines </t>
  </si>
  <si>
    <t xml:space="preserve"> 60 pairs Men's High Cut Rubber Rain Boots, Black with orange sole, without Steel toe (Large - 42 pairs; Medium - 10 pairs) 10 pairs Ladies Printed Waterproof Short Rain Boots ( Large 2 Pairs; Medium- 2 pairs)</t>
  </si>
  <si>
    <t xml:space="preserve"> 1	unit	Vehicle Rental  (VAN) 		Province of Kalinga 		Details: 		Duration: 15 days 		Date: September 7-25, 2020 		*Except weekend (Saturday &amp; Sunday) and  		Holiday 		(Php 5,880 per day/unit x 15 days) 		Inclusion of driver's fee &amp; meals, toll fees and 		g</t>
  </si>
  <si>
    <t xml:space="preserve"> 285.5 cu. m. - Firewood</t>
  </si>
  <si>
    <t xml:space="preserve"> IMPROVEMENT OF SCHOOL BUILDING AT T.I.P. AT SAN RAFAEL III</t>
  </si>
  <si>
    <t xml:space="preserve"> Republic of the Philippines Province of Eastern Samar MUNICIPALITY OF DOLORES INVITATION TO BID FOR  CONCRETE ACCESS ROAD GOING TO BRGY. BUENAVISTA EVACUATION CENTER  	                    The Local Government of Dolores, through the 20% Economic Developme</t>
  </si>
  <si>
    <t xml:space="preserve"> For laboratory testing: for Urine Test and Blood Extraction Supplies</t>
  </si>
  <si>
    <t xml:space="preserve"> 250 pcs. - Personal Protective Equipments (PPE) with Hoodie (Microfiber)</t>
  </si>
  <si>
    <t xml:space="preserve"> REQUEST FOR QUOTATION Procurement of Goods [Multicab] The   City Government of Tagbilaran, through its Bids and Awards Committee (BAC) intends to apply the sum of Six Hundred Ninety Thousand (P690,000.00) pesos onlybeing the Approved Budget for the Contra</t>
  </si>
  <si>
    <t xml:space="preserve"> Various Hygiene Kits</t>
  </si>
  <si>
    <t xml:space="preserve"> UNIT                                   ITEM DESCRIPTION                      QUANTITY               TOTAL PRICE PAGE                           PAPER SIZE FOR LAYOUT-A4                581,840 YARD                           PAPER THICKNESS - 70 gsm (BP)    </t>
  </si>
  <si>
    <t xml:space="preserve"> REQUEST FOR QUOTATION Procurement of Goods [Ribbon Color YMCKOK] The   City Government of Tagbilaran, through its Bids and Awards Committee (BAC) intends to apply the sum of Seventy Thousand Six Hundred (P70,600.00) pesos onlybeing the Approved Budget for</t>
  </si>
  <si>
    <t xml:space="preserve"> 1.	2250	liter/s	Diesel Fuel</t>
  </si>
  <si>
    <t xml:space="preserve"> Republic of the Philippines Department of Environment and Natural Resources  Cordillera Administrative Region PROVINCIAL ENVIRONMENT AND NATURAL RESOURCES OFFICE San Isidro Sur, Luna, Apayao BIDS AND AWARDS COMMITTEE 		 							 							 							 							 			</t>
  </si>
  <si>
    <t xml:space="preserve"> INSTALLATION OF LONG BEACH RECREATIONAL FACILITIES AT SAN RAFAEL IV AT NOVELETA, CAVITE</t>
  </si>
  <si>
    <t xml:space="preserve"> 26 pcs. - Newborn Screening Filter</t>
  </si>
  <si>
    <t xml:space="preserve"> LOT 1  ABC  =  105,945.00			 1)	5	unit 	FLAT SCREEN TV 42" 			Specifications: 			HDMI * 7 2 (side) 			USB ( 2 side; USB 2.0 x 2 			CPU - Dual Core 			Dimension 61.6 X 96.9 x 21</t>
  </si>
  <si>
    <t xml:space="preserve"> NOTICE TO THE PUBLIC REQUEST FOR PROPOSAL Purchase Request No: PUR20-05-0392  The Philippine General Hospital hereby informs the public that it will be procuring the following item/s through Small Value Procurement: Chlorhexidine gluconate Formalin 37% te</t>
  </si>
  <si>
    <t xml:space="preserve"> 3 "Set(s)" "Laptop -"  Processor CORE™ i3 Processor Operating System-Windows 10 Home recomends Windows 10 Pro for business. Memory-4GB DDR4 2400MHZ SDRAM Onboard memory, total up to 12GB SDRAM Display-14.0""(16.9) LED-backlit FHD(1920x1080) 60hz Anti-Glar</t>
  </si>
  <si>
    <t xml:space="preserve"> please see associated components</t>
  </si>
  <si>
    <t xml:space="preserve"> 2.	Contract ID: 20EI0185 Contract Name: Concreting of Brgy. Maliwanag to Brgy. Roma FMR, Brgy. Maliwanag and Brgy. Roma,  Location: Mansalay, Oriental Mindoro Brief Description: Road Length = 2.00 lane km., Pavement width = 5.00m, Pavement thickness = 0.2</t>
  </si>
  <si>
    <t xml:space="preserve"> LOT 1  ABC  =  33,090.00			 1)	10	pcs	1/4" thk. Ordinary Plywood 2)	4	pcs	1/2" thk. Ordinary Plywood 3)	42	kls	CW Nails 4)	12	pcs	Hinges 3x3 5)	15	bags	Portland Cement 6)	12	pcs	10mm dia DSB 7)	3	kls	G.I Tie wire # 16 8)	2	pcs	Plain GI sheet 9)	2	kls	Roof</t>
  </si>
  <si>
    <t xml:space="preserve"> Commnuter Van 3.0L DSL MT Engine Model : 1KD FTV Engine Technology : Direct Injection Four Stroke Common Rail Diesel (D-4D) Engine Type : 3.0 Liter, Diesel, 4 Cylinder, Inline 16V, DOHZ, Double Overhead Camshaft (DOHZ) Turbo Charger Displacement : 2,982cc</t>
  </si>
  <si>
    <t xml:space="preserve"> Various Venetian Blinds 1 pc Window 1, W-1.02, H-1.86, Equiv. Sqft.-20.42 1 pc Fix Glass1, W-1.60, H-2.22, Equiv. Sqft.-38.23 1 pc Fix Glass2 Panel1, H-2.05, H-2.22, Sqft. 48.38 1 pc Fix Glass2 Panel2, H-2.01, H-2.22, Sqft.-48.03 3 pc Window 2-4, W-2.11, </t>
  </si>
  <si>
    <t xml:space="preserve"> Republic of the Philippines MUNICIPALITY OF ECHAGUE Province of Isabela INVITATION TO BID FOR  THE  PROCUREMENT OF FOODSTUFF  FOR COVID 19   OPERATIONS  1.	The Local Government Unit , through  the  GENERAL FUND  Of  2020  intends to apply the sum of  NINE</t>
  </si>
  <si>
    <t xml:space="preserve"> 1.	Contract ID: 20EI0184 Contract Name: Concreting of Sitio Lumbayan, Proper Bansud FMR, Brgy. Proper Bansud,  Location: Bansud, Oriental Mindoro Brief Description: Concreting of Road, Total Length = 1,000.00 l.m. (2.00 lane km.), Pavement width = 5.00m, </t>
  </si>
  <si>
    <t xml:space="preserve"> Installation of Roll-Up Door (Market)</t>
  </si>
  <si>
    <t xml:space="preserve"> SEE PROGRAM OF WORKS FOR DETAILS</t>
  </si>
  <si>
    <t xml:space="preserve"> Disinfectant and other Disinfection Supplies</t>
  </si>
  <si>
    <t xml:space="preserve"> Invitation to Bid for Beautification of Barangay Facility  No. 2020-003 1. The Barangay Kapitan Pepe, through the Annual Budget 2020(General Fund) Approved by the Sanggunian intends to apply the sum of One Hundred Fifty Thousand Pesos  (Php 150,000.00 ) b</t>
  </si>
  <si>
    <t xml:space="preserve"> July 30, 2020 INVITATION TO BID FOR CONCRETING OF FARM-TO-MARKET ROAD AT GAZELLIAN COLLEGE, BRGY. KABULUSAN, MAGALLANES, CAVITE The Municipality of Magallanes, Cavite, through the Budget for the Contract approved by the Sangguniang Bayan intends to apply </t>
  </si>
  <si>
    <t xml:space="preserve"> Contract for drilling of one (1) exploratory/production well in Barangay Bulawon, Sta. Cruz, Zambales</t>
  </si>
  <si>
    <t xml:space="preserve"> Republic of the Philippines Province of Biliran MUNICIPALITY OF CABUCGAYAN -6567- BIDS AND AWARDS COMMITTEE Invitation to Bid for the Supply and Delivery of Solid Waste Management Equipment 1.	The LGU - Cabucgayan, through (20%) DF Support to SWM Program </t>
  </si>
  <si>
    <t xml:space="preserve"> Per compliance with the GPPB Resolution 03-2020 and BAC Resolution 2020-0018, The PCOO - BAC has issued a new notice for the resumption of the negotiated procurement of the Supply and Delivery of Office Supplies. The Meeting will be conducted via Google M</t>
  </si>
  <si>
    <t xml:space="preserve"> SEE AGENCY ESTIMATE  FOR DETAILS</t>
  </si>
  <si>
    <t xml:space="preserve"> Republic of the Philippines Province of Cebu MUNICIPALITY OF BALAMBAN Balamban, Cebu Barangay Vito    	 	 	Barangay Vito of the Municipality of Balamban,  through  the  various  sources  of  Funds, intends  to  apply  the  sum  of  and  to  payments  unde</t>
  </si>
  <si>
    <t xml:space="preserve"> Location of the Project: Municipality of San Dionisio, Iloilo Approved Budget for the Contract: P5,000,000.00 Funding Source: TRUST FUND (LGSF-FA), FY 2019 Specifications:      Engine Displacement: 2.982, Fuel Type: Diesel      Model: 1KD-FTV, Cylinder: 4</t>
  </si>
  <si>
    <t xml:space="preserve"> 550   pieces    Flash Drive-OTG 32GB = compatible with Android and iOS8.0 and above with the following features:                         Maximum Reading Speed     :     20 (MB/s)                         Maximum Write speed          :     10 (MB/s)        </t>
  </si>
  <si>
    <t xml:space="preserve"> 1	lot	Water Quality Analysis (Awards lot basis) 12	per parameter	BOD 12	per parameter	Chloride 12	per parameter	Color 12	per parameter	Dissolved Oxygen 12	per parameter	Fecal Ccoliform 12	per parameter	Nitrate as NO3-N 12	per parameter	pH 12	per parameter</t>
  </si>
  <si>
    <t xml:space="preserve"> Republic of the Philippines Province of zamboanga Sibugay Municipality of Olutanga 7014 JULY 30,2020 NOTICE TO THE PUBLIC INVITIATION TO APPLY FOR ELIGIBILITY AND TO BID All interested bidders are invited to Pre-qualify and participate in sealed bidding f</t>
  </si>
  <si>
    <t xml:space="preserve"> 384 pcs. - Rapid Antibody Test</t>
  </si>
  <si>
    <t xml:space="preserve"> 260     LENGTH          #10MM  DIA   RSB REINFORCEMENT STEEL BAR 60      LENGTH          #8MM  DIA   RSB REINFORCEMENT STEEL BAR  160      BAGS             PORTLAND CEMENT  2,850   PCS               4" CHB 8          CU.M             WASHED SAND 7        </t>
  </si>
  <si>
    <t xml:space="preserve"> 2	unit	Vehicle Rental  (VAN) 		Province of Catanduanes 		Duration: 15 days 		Date: September 8-27, 2020 		*Except weekend (Saturday &amp; Sunday) and  		Holiday 		(Php 6,690 per day/unit) 		Php 6,690.00 x 15 days x 2 unit = Php 200,700.00 		Inclusion of drive</t>
  </si>
  <si>
    <t xml:space="preserve"> For sustain the availability of stock to help prevent the spread of COVID 19</t>
  </si>
  <si>
    <t xml:space="preserve"> CLEARING OF TREES NEAR 13.8KV LINE AT PULANGI IV HEP</t>
  </si>
  <si>
    <t xml:space="preserve"> METRO BANGUED WATER DISTRICT							 Bangued, Abra							 							 APPROVED BUDGET FOR THE CONTRACT (ABC)							 							 DIVISION: 		TECHNICAL					 ABC No. :		20-07-02					 DATE        : 		30-Jul-20					 							 Item No.	ITEM 			Qty.	Unit	 Unit Cost 	ABC 1	</t>
  </si>
  <si>
    <t xml:space="preserve"> LOT 1  ABC  =  160,000.00			 1)	1	Lot	Color roof with complete accessories 			spandrell tekscrew, rivets, gutter, flashing &amp; 			installation (182 sq. m) LOT 2  ABC  =  43,200.00			 2)	13	units	Sliding window 1.20m x 1.20m with frame 			and installation 3)</t>
  </si>
  <si>
    <t xml:space="preserve"> Preventive Maintenance of Uninterruptible Power Supply (UPS) for two (2) quarters at various SSS Branch Offices under Luzon North 1 Division (1 lot) (CY 2020) SSS AGOO (10 KVA, 1 Ø) 3/F B&amp;D Building, McArthur Highway, San Antonio, Agoo, La Union SSS BAGUI</t>
  </si>
  <si>
    <t xml:space="preserve"> PROCUREMENT OF PREPAID CELLULAR CARDS for the month of July to December 2020	 	 1.  Globe Prepaid Cellular Cards @ P300 - 148 PIECES 2.  Globe Prepaid Cellular Cards @ P100	 - 272 PIECES 3.  Smart Prepaid Cellular Cards @ P300 - 126 PIECES 	 4.  Smart Pre</t>
  </si>
  <si>
    <t xml:space="preserve"> 85 bags 40kls Portland Cement 5 cu.m Screen Sand 5 cu.m 3/4" Gravel 20 shts 4.5mm thk Marine Plywood 20 shts 17.5mm thk. Marine Plywood</t>
  </si>
  <si>
    <t xml:space="preserve"> Republic of the Philippines NATIONAL FOOD AUTHORITY Eastern Visayas Regional Office Pawing, Palo, Leyte - INVITATION TO BID   REPAIR OF GID WAREHOUSE AT RAWIS, NORTHERN SAMAR Project Reference No. 2020- NFA-RBAC8-INFR- 19 The NATIONAL FOOD AUTHORITY (NFA)</t>
  </si>
  <si>
    <t xml:space="preserve"> Purchase of Tarapal for the Repair and Maintenance of Tent for barangay.</t>
  </si>
  <si>
    <t xml:space="preserve"> 76    boxes    surgical face mask  72    gallons  70% alcohol 543   boxes    ascorbic acid 500   boxes    Vitamin B Complex  48    packs    lady pills  34    boxes    condom</t>
  </si>
  <si>
    <t xml:space="preserve"> MASONRY WORKS, FINISHING, TILE WORKS, DOORS AND WINDOWS AND ELECTRICAL WORKS</t>
  </si>
  <si>
    <t xml:space="preserve"> ROYAL CORD #5.5mm² TTHN/THWN &amp; 1 OTHER ITEM</t>
  </si>
  <si>
    <t xml:space="preserve"> Section II. Instructions to Bidders A.  General 1.	Scope of Bid 		 	1.1	The procuring entity named in the BDS  invites bids for the supply and delivery of the Goods as described in Section VII. Technical Specifications. 		 	1.2	The name, identification, a</t>
  </si>
  <si>
    <t xml:space="preserve"> Republic of the Philippines Province of Eastern Samar MUNICIPALITY OF GEN.MACARTHUR -o0o- BIDS AND AWARDS COMMITTEE Invitation to Bid for the Rehabilitation of Municipal Hall 1. The Municipality of Gen. MacArthur, through the 20% Development Fund 2020 int</t>
  </si>
  <si>
    <t xml:space="preserve"> POWER TOOL KIT COMPLETE POWER/ELECTRICAL KIT</t>
  </si>
  <si>
    <t xml:space="preserve"> 37 pcs. - 4" dia. PVC Pipe 2 pcs. - 6 x 4 Mechanical Reducer 1 pc. - 4x8 Tarpaulin Signboard wtih Frame</t>
  </si>
  <si>
    <t xml:space="preserve"> 274 bags cement 31 cu.m. Gravel 16 cu.m. sand 192 bdft Coco lumber 2 pcs RSB 12mm 13 pcs RSB 16mm 3 kgs Assorted CWNail</t>
  </si>
  <si>
    <t xml:space="preserve"> Name of Project		: Project No. 1: Construction of Perimeter Fence Location	        	: Revil/Bajar National Highschool,Pob. West,Milagros,Masbate Brief Description	: Scope of Works: 			              I.- Construction of Perimeter Fence	                     </t>
  </si>
  <si>
    <t xml:space="preserve"> Republic of the Philippines Province of Ifugao Municipal Government of Hingyon BIDS AND AWARDS COMMITTEE – INFRA Invitation to Bid Publication No. 015 – 2020                                                          (FIRST POSTING) July 30, 2020 The Munici</t>
  </si>
  <si>
    <t xml:space="preserve"> PLEASE SEE ATTACHED DOCUMENTS FOR THE PROGRAM OF WORKS OF THE PROJECT.</t>
  </si>
  <si>
    <t xml:space="preserve"> 10	can		Air Freshener			aerosol 280ml/150g min				 30	btl		Alcohol			ethyl 68%-70%, scented 500ml (-5ml)				 20	pack		Battery			dry cell, AA, 2 pcs/blister pack				 20	pack		Battery			dry cell, AAA, 2 pcs/blister pack				 50	pc		Correction tape			1 pc in </t>
  </si>
  <si>
    <t xml:space="preserve"> SUPPLY AND DELIVERY OF CARBON BRUSHES FOR PULANGI IV HEP GENERATING UNIT</t>
  </si>
  <si>
    <t xml:space="preserve"> I. FORMS AND SCAFFOLDING       A. MATERIALS       B. LABOR II. CONCRETE, MASONRY AND REBARS     A. MATERIALS     B. LABOR III. DEMOLATION OF EXISTING ROOFING (LUMP SUM)</t>
  </si>
  <si>
    <t xml:space="preserve"> 440 BAGS   CEMENT 6    LOADS  G/S        6    PCS       CEE PURLINS 2X6 40  PCS       10 MM 10  PCS       12 MM 2    KLS       TIE WIRE</t>
  </si>
  <si>
    <t xml:space="preserve"> 20% EDF Fund CY 2020 Installation of Solar Powered Street Lights (Purok 1-3) - P 135,000.00 Schedule of Activities 1. Submission &amp; Receipt of Bids / Bid Opening - August 19, 2020 @ 3:00 AM 2. Bid Evaluation - August 20, 2020  3. Post Qualification - Augus</t>
  </si>
  <si>
    <t xml:space="preserve"> Corazon Locsin Montelibano Memorial Regional Hospital, through its Bids and Awards Committee, intends to procure CSR SUPPLIES (PR#20-07-70696), which will be undertaken in accordance with Section 53.9 of the Revised Implementing Rules and Regulations of R</t>
  </si>
  <si>
    <t xml:space="preserve"> 18 sets - Solar Street Light with Stand, Solar Panel 5V/15W (Movable Panel), 3600 lumens equivalent to 60 watts Stand: GI Pipe 2" with Concrete Pedestal and Paint 30 sets - Solar Street Light with Stand, Solar Panel 5V/15W, 1800 lumens equivalent to 30 wa</t>
  </si>
  <si>
    <t xml:space="preserve"> DOST Region 02 are inviting bidders to submit their lowest price(s) on the services needed. Please read the instructions below. INSTRUCTIONS: 1. Bidders are required to read the instructions and fill out the blanks properly. Prospective suppliers are requ</t>
  </si>
  <si>
    <t xml:space="preserve"> Republic of the Philippines DEPARTMENT OF ENVIRONMENT AND NATURAL RESOURCES- CAR Baguio City BIDS AND AWARDS COMMITTEE REQUEST FOR QUOTATION (ABC: ₱50,000.00 and above) Name:										Date: 	July 30, 2020	 Address: 									RFQ No. 2020-07-212	 Sir/madam:</t>
  </si>
  <si>
    <t xml:space="preserve"> Conference Table, Chairs for barangay use.</t>
  </si>
  <si>
    <t xml:space="preserve"> 1. Approved request 2. Request for Quotation/Proposal 3. Price Quotation Form 4. Actual Photo</t>
  </si>
  <si>
    <t xml:space="preserve"> See Section 1 of the Bidding Documents</t>
  </si>
  <si>
    <t xml:space="preserve"> BATTERY, RECHARGEABLE, SIZE AA, NI-MH, 1000 MAH &amp; 6 OTHER ITEMS</t>
  </si>
  <si>
    <t xml:space="preserve"> 40 pcs Arnis Padded Sticks 2 pcs Arnis Head Gear # 3 red and blue 2 pcs Body Armor # 3 red and blue 2 pcs Groin guard Male (large) red and blue 2 pcs Groin guard Female (Large) red and Blue</t>
  </si>
  <si>
    <t xml:space="preserve"> REQUEST FOR QUOTATION Procurement of Goods [Supplies for COVID-19 Isolation Area (Solvent Cement 80ml, etc.)] The   City Government of Tagbilaran, through its Bids and Awards Committee (BAC) intends to apply the sum of Ninety Thousand Nine Hundred Sixty-S</t>
  </si>
  <si>
    <t xml:space="preserve"> A series of training and skills orientation designed on focusing practical safety, disaster and emergency management.</t>
  </si>
  <si>
    <t xml:space="preserve"> SPECIFICATION: Engine Type: 2.9999-3.857L, 4-Cylinder Overall Dimension: 5035x1945x2180 Wheel Base: 2765-3200 Cargo Body Size: 3750x2000x2650 Loading Capacity: 6000-65000 Gross Vehicle Weight: 7000-8900</t>
  </si>
  <si>
    <t xml:space="preserve"> 1)	30	Bags	Hybrids Seeds (15 .kilos per bag) 2)	90	Bags	Complete Fertilizer (14-14-14) 3)	60	Bags	Urea (46-0-0)</t>
  </si>
  <si>
    <t xml:space="preserve"> 1) 2 UNITS COMPUTER DESKTOP W/PRINTER INTEL CORE i5 -8400 PROCESSOR GIGABYTE H310 MOTHERBOARD  2GB VIDEO CARD , 8GB DDR RAM 1TB Int HDD, DVD ROM CASING W/ PSU AND CARD, 18.5 LED MONITOR, KEYBOARD AND MOUSE W/ PAD COMPUTER TABLE, HEADPHONE, WEBCAM WIRELESS</t>
  </si>
  <si>
    <t xml:space="preserve"> I. EARTHWORKS       EXCAVATION       SUBGRADE PREPARATION II. CONCRETE WORKS     A. MATERIALS              275      BAG       PORTLAND CEMENT              36        CU.M     GRAVEL              18        CU.M     SAND              187.5    LGTH    10MM DS</t>
  </si>
  <si>
    <t xml:space="preserve"> Republic of the Philippines PROVINCE OF DINAGAT ISLANDS Municipality of Basilisa Barangay Villa Ecleo -oOo- INVITATION TO BID PROVISION OF MATERIALS FOR CONSTRUCTION OF BOX CULVERT 1.	The Barangay Villa Ecleo, through the 20% BDF 2020 intends to apply the</t>
  </si>
  <si>
    <t xml:space="preserve"> REQUEST FOR QUOTATION Procurement of Goods [Washer with Electric Dryer] The   City Government of Tagbilaran, through its Bids and Awards Committee (BAC) intends to apply the sum of One Hundred Ten Thousand (P110,000.00) pesos onlybeing the Approved Budget</t>
  </si>
  <si>
    <t xml:space="preserve"> Republic of the Philippines Province of South Cotabato BIDS AND AWARDS COMMITTEE Salada Street, Poblacion Tupi, South Cotabato Tel. Fax No.: (083) 226-1045 INVITATION TO BID FOR THE SUPPLY AND DELIVERY OF OFFICE AND OTHER SUPPLIES 1.	The Municipality of T</t>
  </si>
  <si>
    <t xml:space="preserve"> For FDMO-FMU use.</t>
  </si>
  <si>
    <t xml:space="preserve"> Turingan Street = 20.00m x 2m x 0.15m</t>
  </si>
  <si>
    <t xml:space="preserve"> 14 LOADS GRAVEL AND SAND</t>
  </si>
  <si>
    <t xml:space="preserve"> DESILTING OF ILOG BALEN / YABUT RIVER, MINALIN, PAMPANGA</t>
  </si>
  <si>
    <t xml:space="preserve"> Training Expenses</t>
  </si>
  <si>
    <t xml:space="preserve"> 20% EDF Fund CY 2020 Construction/Rehabilitation of Breakwater - P 230,165.00 Schedule of Activities 1. Submission &amp; Receipt of Bids / Bid Opening - August 19, 2020 @ 10:00 AM 2. Bid Evaluation - August 20, 2020  3. Post Qualification - August 24, 2020 4.</t>
  </si>
  <si>
    <t xml:space="preserve"> SUPPLY AND DELIVERY OF RUBBER CORK GASKET SHEET (5 x 1000 x 2000mm)</t>
  </si>
  <si>
    <t xml:space="preserve"> 200	pcs		LED Bulb			E-27, daylight 230V, 13 watts					               	                 	 100	pcs		LED Straight Flourescen Lamp			230V, 18watts, daylight							 													 3	set		Lightning arrester</t>
  </si>
  <si>
    <t xml:space="preserve"> Installation of Water System (Phase 2) of Barangay Rizal, West District, Sorsogon City</t>
  </si>
  <si>
    <t xml:space="preserve"> Corazon Locsin Montelibano Memorial Regional Hospital, through its Bids and Awards Committee, intends to procure CSR SUPPLIES (PR#20-07-70708), which will be undertaken in accordance with Section 53.9 of the Revised Implementing Rules and Regulations of R</t>
  </si>
  <si>
    <t xml:space="preserve"> Please download associated components</t>
  </si>
  <si>
    <t xml:space="preserve"> REQUEST FOR QUOTATION Procurement of Goods [Installation and Configuration of PABX][Repost] The   City Government of Tagbilaran, through its Bids and Awards Committee (BAC) intends to apply the sum of Five Hundred Forty-Five Thousand Eight Hundred Ninety-</t>
  </si>
  <si>
    <t xml:space="preserve"> Expanded Plastic Envelope, Long Colors: 1000 pcs Orange 1000 pcs Clear 1500 pcs Green 1000 pcs Red 1000 pcs Blue 1000 pcs Yellow Note: Hard Copy of this RFQ must be signed, sealed and delivered to the LNHS-BAC office within three days up0n receipt.</t>
  </si>
  <si>
    <t xml:space="preserve"> 2	Unit	 Machine, ECG -3 channel digital electrocardiograph, portable, compact and lightweight,  -With approximately 4.8” LCD Display that enables viewing of waveforms and data more easily -AC / DC power supply -12 Leads ECG Cable with complete accessories</t>
  </si>
  <si>
    <t xml:space="preserve"> PE Tubings # 1/2" dia x 300mtrs/roll SDR 11 - 50 rolls x-x-x-x-nothing follows x-x-x-x</t>
  </si>
  <si>
    <t xml:space="preserve"> Item No.	Qty.	Unit of Issue	Item Description 	 	 	Concrete works 1	277	bags	Portland Cement 2	220	pcs	12mm dia. Deformed bar 3	16	kgs	# 16 GI tie wire 	 	 	Form Works 4	20	pcs.	1/2"THK Ordinary Plywood 	 	 	Hardware 5	30	kgs	CW Nails 4" 6	8	kgs	CW Nails 3</t>
  </si>
  <si>
    <t xml:space="preserve"> ITEM DESCRIPTION	UNIT OF ISSUE	QTY ALCOHOL GAL	GALS	20 GLOVES M	BXS	50 GLOVES S	BXS	50 ERYTHROMYCIN	TUBES	50 LIDOCAINE HYDROCHLORIDE 20mg ml/(2%)	PCS	50 SURGICAL MASK	BXS	25 D5LR BOX OF 12]	BXS	10 MEFENAMIC ACID 500g	BXS	50 CEFALEXIN 500mg	BXS	25 AMOXCILL</t>
  </si>
  <si>
    <t xml:space="preserve"> Republic of the Philippines Province of Camarines Sur Municipality of Pamplona -o0o- Invitation to Bid for Repair and Upgrade of Municipal Public Restroom,  LGU-Pamplona, Camarines Sur 1.	The LGU-Pamplona, Camarines Sur, through the GENERAL FUND 2020  int</t>
  </si>
  <si>
    <t xml:space="preserve"> Purchase of Office Equipment for Office of Vice Mayor, LGU San Andres, Romblon  	The Municipal Government of San Andres, Romblon through Capital Outlay 2020 (Regular Budget 2020) intends to apply the sum of One Hundred Sixty Seven Thousand Pesos(Php167,00</t>
  </si>
  <si>
    <t xml:space="preserve"> 22 sets - Solar Street Lights with Stand Solar Panel 5V/15W, 6000 lumens Stand: GI Pipe 3" with Concrete Pedestal and Painted Finish 1 pc. - Tarpaulin Signage with Frame, 4x8</t>
  </si>
  <si>
    <t xml:space="preserve"> Republic of the Philippines Province of Albay Municipality of Rapu-Rapu Barangay Calanaga INVITATION TO BID FOR THE PURCHASE OF DRUGS AND MEDICINES 1.	The Barangay Local Government Unit of Calanaga, Rapu-Rapu, Albay, through the Budget Approved by the San</t>
  </si>
  <si>
    <t xml:space="preserve"> Item No.	Qty.	Unit of Issue	Item Description 1	30	Pcs.	ENGINE SPROCKET 12/13/CJ B-1 2	5	Pcs.	BULB 3	45	Pcs.	INTERIOR TUBE 350/17 ( ESUMI ) 4	30	Pcs.	INTERIOR TUBE 325/17 ( ESUMI ) 5	15	Pcs.	INTERIOR TUBE 300/17 ( ESUMI ) 6	15	Pcs.	INTERIOR TUBE 2.75/17 ( </t>
  </si>
  <si>
    <t xml:space="preserve"> LOT 1 ABC = 293,020.00			 1)	150	bags	Portland Cement 2)	60	pcs	16mm DSB x 6m 3)	40	pcs	12mm DSB X 6m 4)	198	pcs	10mm DSB X 6m 5)	750	pcs	CHB 4" thk 6)	46	kls	Tie Wire #16 7)	68	kls	CW Nails (assorted) 8)	1	kls	Finishing Nails #1 9)	2	kls	Roof nails 1 1/2</t>
  </si>
  <si>
    <t xml:space="preserve"> Republic of the Philippines PROVINCIAL GOVERNMENT OF EASTERN SAMAR Capitol Building, Borongan, Eastern Samar, 6800 Tel No. (055)-560-8312 E-mail Address: esamar.bac@gmail.com BIDS AND AWARDS COMMITTEE (BAC) INVITATION TO BID FOR CONSTRUCTION OF MULTI-PURP</t>
  </si>
  <si>
    <t xml:space="preserve"> Please see attached RFQ File for your reference</t>
  </si>
  <si>
    <t xml:space="preserve"> Procurement and delivery of Handwashing Facility</t>
  </si>
  <si>
    <t xml:space="preserve"> INVITATION TO BID FOR THE SUPPLY AND DELIVERY OF PATIENT’S BED 1.  The Cagayan Valley Medical Center (CVMC), intends to apply the sum Five Million Five Hundred Thousand Pesos (Php   5,500,000.00 ) being the Approved Budget for the Contract (ABC) to paymen</t>
  </si>
  <si>
    <t xml:space="preserve"> Republic of the Philippines Province of Negros Occidental Municipality of Isabela INVITATION TO BID FOR THE  Procurement of One (1) Tarpaulin Maker Machine, DRRM, Isabela, Negros Occidental. 1. The MUNICIPALITY OF ISABELA, through the 70% of 5% DRRM Fund </t>
  </si>
  <si>
    <t xml:space="preserve"> IAEB NO.: 2020-I003  BIDS AND AWARDS COMMITTEE I (POC-BAC I) INVITATION FOR NEGOTIATED PROCUREMENT Supply and Delivery of Anesthesia Supplies (July-December 2020) 1.	In view of the two (2) failed public biddings, the Philippine Orthopedic Center Bids and </t>
  </si>
  <si>
    <t xml:space="preserve"> 10	box		Clip			backfold, 50mm, 12pcs/box					               	                 	 15	pcs		Correction tape			1pc in individual plastic							 50	ream		Paper multicopy			80gsm, size: 210mm x 297 (A4)							 50	ream		Paper multicopy			80gsm, size: 216mm x 330 </t>
  </si>
  <si>
    <t xml:space="preserve"> 2173 liters diesel</t>
  </si>
  <si>
    <t xml:space="preserve"> 1.) TWO (2) UNITS PORTABLE BILL COUNTER (HEAVY DUTY) TECHNICAL SPECIFICATIONS * COUNTING SPEED - MINIMUM THREE (3) VARIABLE SPEED SETTINGS (MUST RANGE FROM 500 TO 1800 NOTES PER MINUTE * BATCH DISPLAY - 3 DIGIT LCD/LED * COUNT DISPLAY - 4 DIGIT LCD/LED * </t>
  </si>
  <si>
    <t xml:space="preserve"> 1200 Liters Unleaded 5000 Liters Diesel</t>
  </si>
  <si>
    <t xml:space="preserve"> Republic of the Philippines Province of Batangas Municipality of San Juan BIDS AND AWARDS COMMITTEE INVITATION TO APPLY FOR ELIGIBILITY AND TO BID THE LOCAL GOVERNMENT UNIT OF BRGY. QUIPOT,  SAN JUAN, BATANGAS, through its Bids and Awards Committee (BAC),</t>
  </si>
  <si>
    <t xml:space="preserve"> OPENING OF BIDS IN DSWD FO IX ZAMBOANGA CITY,  DELIVERY IN DSWD FO IX ZC PROCUREMENT FOR THE FF.: 		 		 96	BOXES	SURGICAL FACE MASK , DISPOSABLE ,  3 PLY, 50 PCS. PER BOX GOOD QUALITY.	@	400 8	BOXES	ETHYL ALCOHOL ,4 GALLONS/ BOX	@	2800 *******************</t>
  </si>
  <si>
    <t xml:space="preserve"> Revised on: July 28, 2004                                                INVITATION TO APPLY FOR ELIGIBILITY AND TO BID             The Local Government Unit of Catanauan, Quezon, through its Bids and Awards Committee (BAC), invites suppliers/manufacturer</t>
  </si>
  <si>
    <t xml:space="preserve"> Republic of the Philippines PROVINCE OF ALBAY Municipality of Rapu-Rapu INVITATION TO BID FOR  Purchase of Drugs and Medicines 1.	The Barangay Local  Government of Galicia, Rapu-Rapu, Albay, through the Budget of contract approved by the Barangay Sangguni</t>
  </si>
  <si>
    <t xml:space="preserve"> The Bids &amp; Awards Committee (BAC) of Barangay Gutlang, Argao, Cebu, invites all interested suppliers/manufacturers/distributors/contractors/consultants to apply for eligibility and to submit bids for the following: DIRECT COST: A. Materials: 32.00     Bag</t>
  </si>
  <si>
    <t xml:space="preserve"> Procurement and delivery of Materials for the Construction of conference room and rural sanitary inspection room at Sapian Rural Health Unit</t>
  </si>
  <si>
    <t xml:space="preserve"> REPUBLIC OF THE PHILIPPINES Region XII Province of Cotabato Municipality of Midsayap LOCAL GOVERNMENT OF MIDSAYAP BIDS &amp; AWARDS COMMITTEE _____________________________________________________________________________________ REQUEST FOR QUOTATION RFQ No.: </t>
  </si>
  <si>
    <t xml:space="preserve"> 2 units Digital Duplicator Specs: Printing Methods: High speed digital master-making/full automatic printing Original type:Sheet OrignalSize (Minlmax):90mmx140mm to 310mm x 435mm (317/37" x51./2." to727t32" x17 U9"l I Paper Weight: 50 gsm b 1A7 gsm (13-lb</t>
  </si>
  <si>
    <t xml:space="preserve"> 10200 Liters Diesel 16 Liters Oil #40</t>
  </si>
  <si>
    <t xml:space="preserve"> LOT 1  ABC = 38,740.00			 1)	1	pc	Wall Mirror  (0,60m x 0,60m) 2)	1	pc	Toilet Paper Holder  3)	1	pc	Soap Holder  4)	1	set	Wall Lavatory 5)	1	unit	38mm dia. Stainless Grabrail 6)	2	pc	Angle Valve 1/2 x 1/2 7)	10	pcs	PVC Elbow 1/2 8)	6	pcs	PVC Union 1/2 9)	</t>
  </si>
  <si>
    <t xml:space="preserve"> Republic of the Philippines Province of Leyte BRGY. PINAMOPOAN, CAPOOCAN, LEYTE -oOo- BIDS AND AWARD COMMITTEE INVITATION TO BID  FOR THE PROCUREMENT OF SUPPLIES AND MATERIALS FOR THE CONSTRUCTION OF GARAGE 1.	The Brgy. Pinamopoan, Capoocan, Leyte, throug</t>
  </si>
  <si>
    <t xml:space="preserve"> INVITATION TO APPLY FOR ELIGIBILITY AND TO BID Approved Budget for the Contract: ₱4,095,109.99 ITB No. 2020-024 Bidding 1.	The Municipality of Mendez-Nuñez, through POPS Fund intends to apply the sum of Four Million Ninety Five Thousand One Hundred Nine P</t>
  </si>
  <si>
    <t xml:space="preserve"> GRILLES FOR PUPILS' SAFETY</t>
  </si>
  <si>
    <t xml:space="preserve"> Supply and Delivery of following Building Supplies, as per BSP Technical Specifications and Terms and Conditions Item 1 – 40 sets Locksets, Door, 2-3/8” Item 2 –100 kgs Rod, Welding 1/8” Magna 51 Item 3 – 50 meter Air Compressor Hose ½” Ø</t>
  </si>
  <si>
    <t xml:space="preserve"> 150	lghts	2"x3"x10 Metal Furring				 66	shts	1/4" Marine Plywood				 3	sets	2.10m x0.80m Flush Door				 3	sets	2.10m x0.80m Door Jamb				 45	shts	3/4" Plyboard				 750	pcs	3/4" Metal Screw				 12	kls	C.W. Nails #2				 5	boxes	Blind Revits 1/8x12				 6	pai</t>
  </si>
  <si>
    <t xml:space="preserve"> Republic of the Philippines Region IX, Zamboanga Peninsula   PROVINCE OF ZAMBOANGA DEL SUR  Municipality of Guipos -oOo- INVITATION TO BID  SUPPLY AND DELIVERY OF SANITATION AND CLEANING SUPPLIES IN THE PREPAREDNESS AND RESPONSE OF COVID- 19 PANDEMIC INTE</t>
  </si>
  <si>
    <t xml:space="preserve"> 5685 Liters Unleaded Gas 28 liters 2T Oil</t>
  </si>
  <si>
    <t xml:space="preserve"> 120,000.00  PURCHASE OF LICENSED MS OFFICE				 SOFTWARE FOR LAPTOP OF CITY				 ENGINEERING OFFICE				 ( PERPETUAL LICENSE FOR 12 UNITS)</t>
  </si>
  <si>
    <t xml:space="preserve"> SPECIFICATION: Engine Type: 4-Stroke, Air-Cooled, Overhead Cam (OHC) Displacement: 124.89cc Bore &amp; Store: 52.40 x 57.91 (mm) Starting System: Electric and Kick Ignition System: Full Transistorized Transmission: Semi-Manual Suspension: Telescopic (front) &amp;</t>
  </si>
  <si>
    <t xml:space="preserve"> ABC  Lot  1 = 28,380,00	 1)	10	gals	Flat latex paint (White) 2)	10	gals	Ready mixed paint morning bliss 3)	8	gals	Roof paint baguio green 4)	4	gals	Flatwall enamel paint white 5)	2	gals	Metal Primer gray 6)	20	pcs	Sand Paper 7)	6	bags	Patching compound 8)</t>
  </si>
  <si>
    <t xml:space="preserve"> Republic of the Philippines Province of Misamis Occidental MUNICIPALITY OF CALAMBA BARANGAY DAPACAN BAJO INVITATION TO BID FOR IMPROVEMENT OF MULTI-PURPOSE BUILDING 	July 31, 2020 1.	The Barangay Dapacan Bajo  of Calamba, Misamis Occidental, through the 2</t>
  </si>
  <si>
    <t xml:space="preserve"> Republic of the Philippines								 Province of Negros Occidental								 Municipality of La Castellana								 Bids and Awards Committee								 								 INVITATION TO APPLY FOR ELIGIBILITY AND TO BID								 								 Name of Project: 		4 UNITS COVID WAS</t>
  </si>
  <si>
    <t xml:space="preserve"> Procurement and delivery of materials for the Construction of Quarantine FAcilities/Isolation Rooms with comfort facility at Multipurpose Gym Brgy Bilao, Agtatacay Norte, and Lonoy, Sapian, Capiz</t>
  </si>
  <si>
    <t xml:space="preserve"> 260,000.00  40 FOOTER CONTAINER VAN</t>
  </si>
  <si>
    <t xml:space="preserve"> 20 pcs. of 6"x10m HDPE PIPE SDR 11 (Blue)</t>
  </si>
  <si>
    <t xml:space="preserve"> The Bids &amp; Awards Committee (BAC) of Barangay Gutlang, Argao, Cebu, invites all interested suppliers/manufacturers/distributors/contractors/consultants to apply for eligibility and to submit bids for the following: MATERIALS: 108     Bags       Portland C</t>
  </si>
  <si>
    <t xml:space="preserve"> 97,600.00  MIDEA FP- 53AST020KEIV-W5				 AURORA WHITE WALL MOUNTED				 INVERTER 2.0HP</t>
  </si>
  <si>
    <t xml:space="preserve"> INVITATION TO BID Date: July 30, 2020 1.	The Provincial Government of Davao del Sur, through its Bids and Awards Committee (BAC), invites all potential bidders/suppliers to apply to bid for the following goods. Bids received in excess of the ABC shall be </t>
  </si>
  <si>
    <t xml:space="preserve"> [PACKAGE 026- Procurement of Infra Projects with CRN 026-2020;  (1.Road Concreting at Purok 3 Main Road, Ambasa  2.) Concreting of Tanap Road at Lawig   3.)Road Concreting at Tanap-Occapon Road, Magulon  4.) Elementary School Road Improvement at Nayon   5</t>
  </si>
  <si>
    <t xml:space="preserve"> INVITATION TO APPLY FOR ELIGIBILITY AND TO BID Approved Budget for the Contract: ₱478,200.00 ITB No. 2020-023 Bidding 1.	The Municipality of Mendez-Nuñez, through 5% Trust Fund intends to apply the sum of Four Hundred Seventy Eight Thousand Two Hundred Pe</t>
  </si>
  <si>
    <t xml:space="preserve"> 216,843.44  Formworks and scaffolding				 tile works				 Painting Works				 Masonry</t>
  </si>
  <si>
    <t xml:space="preserve"> ABC Lot 1 = 25,200.00	 1)	1	pc	W1 (1.1m x 1.5 m) fix clear glass with Aluminum brace and installation 2)	1	pc	W2 (1.1m x 1.53m) fix clear glass with aluminum brace and installation 3)	1	pc	W3 (0.60m x 2.37m) fix clear glass with aluminum brace and install</t>
  </si>
  <si>
    <t xml:space="preserve"> CONSTRUCTION MATERIALS NECCESARY FOR INSTALLATION OF VERTICAL GARDEN  INCLUSIVE OF VERTICAL PLANTS</t>
  </si>
  <si>
    <t xml:space="preserve"> INVITATION TO BID The DPWH Bukidnon 1st District Engineering Office, Malaybalay City, through its Bids and Awards Committee (BAC), invites contractors to submit bids for the following Contracts:   Contract ID 	:	19KA0162 Contract Name 	:	Concreting of Sit</t>
  </si>
  <si>
    <t xml:space="preserve"> I. FORM AND SCAFFOLDING        A. MATERIALS        B.  LABOR  II.   CONCRETE MASONRY AND REBARS         A. MATERIALS         B.  LABOR  III.   ROOFING AND ROOF FRAMING AND FASCIA          A. MATERIALS           B.  LABOR  IV.     CEILING AND TILE WORKS   </t>
  </si>
  <si>
    <t xml:space="preserve"> INVITATION TO APPLY FOR ELIGIBILITY AND TO BID Approved Budget for the Contract: ₱153,700.00 ITB No. 2020-025 Bidding 1.	The Municipality of Mendez-Nuñez, through POPS Fund intends to apply the sum of One Hundred Fifty Three Thousand Seven Hundred Pesos b</t>
  </si>
  <si>
    <t xml:space="preserve"> BIDS AND AWARDS COMMITTEE (BAC) INVITATION TO BID The Department of Science and Technology (DOST), Regional Office No. IX, through its Bids and Awards Committee (BAC), invites qualified bidder to apply for eligibility and to bid for the “ ICT Equipment”: </t>
  </si>
  <si>
    <t xml:space="preserve"> 385       PCS         16"X6" FLOOR TILES 45        BAGS        PORTLAND CEMENT  8          CU..M       WASHED SAND  55        PCS           1/4X4X8 MARINE PLYWOOD  165      PCS           2X2 X10 G/L 65        PCS            1X2X10 G/L 25        KLS       </t>
  </si>
  <si>
    <t xml:space="preserve"> REPUBLIC OF THE PHILIPPINES CITY GOVERNMENT OF OROQUIETA BIDS AND AWARD COMMITTEE City Hall Main, Oroquieta City            		 July 30, 2020                                                                                                                   </t>
  </si>
  <si>
    <t xml:space="preserve"> 250,000.00  REPAIR AND MAINTENANCE OF				 COMFORT ROOM AND WASH ROOM</t>
  </si>
  <si>
    <t xml:space="preserve"> REPUBLIC OF THE PHILIPPINES CITY GOVERNMENT OF OROQUIETA BIDS AND AWARD COMMITTEE City Hall Main, Oroquieta City            		   July 30, 2020                                                                                                                 </t>
  </si>
  <si>
    <t xml:space="preserve"> ITB # 2020-41 INVITATION TO BID FOR THE FURNISHING &amp; DELIVERY OF A4 BONDPAPER FOR PRINTING OF MODULES @ CAMALANIUGAN DISTRICT 1.	The Municipality of Camalaniugan through the SPECIAL EDUCATION FUND intends to apply the sum of SIXTY THREE THOUSAND EIGHT HUN</t>
  </si>
  <si>
    <t xml:space="preserve"> Split Type Aircon, 1.5 HP Inverter Premium with Installation  3 units Split Type Aircon, 1 HP Inverter Premium with Installation     1 unit</t>
  </si>
  <si>
    <t xml:space="preserve"> FOR OFFICE PERSONNEL HEALTH SECURITY</t>
  </si>
  <si>
    <t xml:space="preserve"> 104,608.00  ELECTRICAL INSTALLATION				        MATERIALS				      LABOR</t>
  </si>
  <si>
    <t xml:space="preserve"> AS PER CRITERIA ATTACHED IN THE REQUEST FOR EXPRESSION OF INTEREST</t>
  </si>
  <si>
    <t xml:space="preserve"> FOR PUPILS SAFETY</t>
  </si>
  <si>
    <t xml:space="preserve"> Supply and Delivery of Catering Services for Bayugan City On wheels Activities</t>
  </si>
  <si>
    <t xml:space="preserve"> CONSTRUCTION OF DRAINAGE SYSTEM , BRGY. STA. RITA, MINALIN, PAMPANGA</t>
  </si>
  <si>
    <t xml:space="preserve"> ITB # 2020-40 INVITATION TO BID FOR THE FURNISHING &amp; DELIVERY OF ONE (1) UNIT XEROX/COPIER MACHINE CABINET 1.	The Municipality of Camalaniugan through the GENERAL FUND (Municipal Agriculturist Office – SB#06) intends to apply the sum of SEVENTY THOUSAND P</t>
  </si>
  <si>
    <t xml:space="preserve"> Proposed Construction of Bleachers of Covered Court of Barangay Patg, Opol, Misamis Oriental</t>
  </si>
  <si>
    <t xml:space="preserve"> The Schools Division of Calapan City invites eligible suppliers/ bidders for the delivery of the following: Unit            Item Description                       Quantity pcs        Reproduction of ADM Modules        1, 309, 308              in A4 bond b</t>
  </si>
  <si>
    <t xml:space="preserve"> Medical, Dental &amp; Laboratory Supplies</t>
  </si>
  <si>
    <t xml:space="preserve"> Republic of the Philippines Province of Eastern Samar MUNICIPALITY OF GEN.MACARTHUR -o0o- BIDS AND AWARDS COMMITTEE Invitation to Bid for the Construction of Proposed Power House. 1. The Municipality of Gen. MacArthur, through the 20% Development Fund 202</t>
  </si>
  <si>
    <t xml:space="preserve"> INVITATION TO APPLY FOR ELIGIBILITY AND TO BID FOR THE PROCUREMENT OF EGG MACHINE CAGE, PULLETS, FEEDS AND BIOLOGICS FOR EGG PRODUCTION UNDER THE LIVELIHOOD SUPPORT FOR WOMEN IN CRISIS SITUATION, COMPONENT “C” (PACKAGE III), FUNDED UNDER THE PASSOVER: ARB</t>
  </si>
  <si>
    <t xml:space="preserve"> Republic of the Philippines REGION IX PROVINCE OF ZAMBOANGA DEL SUR Pagadian City Provincial Capitol, Pagadian City INVITATION TO APPLY FOR ELIGIBILITY AND TO BID The Provincial Government of Zamboanga del Sur, through its Bids and Awards Committee (BAC),</t>
  </si>
  <si>
    <t xml:space="preserve"> Separator Cartridge (PN-54749247) - 4 pcs Coolant Filter (PN-54672654) - 2 pcs Air Filter Element PN-22203095 (151490831) - 2 pcs Ultra Coolant (20 liters/pail) - 2 pails  Elbow PN-39155577 - 3 pcs Elbow PN-39155478 - 4 pcs Hose Assembly PN-22245849 - 1 s</t>
  </si>
  <si>
    <t xml:space="preserve"> 1 unit Laptop (lease for 6 months) Specification: Memory: Intel Core i7 or higher, 8GB RAM Graphics Card: 16GB RAM: 1280x1024 with true color 1600x1200 with true color Nvidia GeForce RTX 2080 Ti  vxvxvx</t>
  </si>
  <si>
    <t xml:space="preserve"> Republic of the Philippines 			       NATIONAL FOOD AUTHORITY            Eastern Visayas Regional Office    Pawing, Palo, Leyte - INVITATION TO BID   REPAIR OF GID BOBON  WAREHOUSE  IN DANCALAN, BOBON ,NORTHERN SAMAR Project Reference No. 2020- NFA-RBAC8-</t>
  </si>
  <si>
    <t xml:space="preserve"> Republic of the Philippines City of Gapan Province of Nueva Ecija -------------------------------------------------------------------------- Invitation to Bid for the Installation of Fiber Optic, CCTV, Early Warning System, and other Paraphernalia for Cen</t>
  </si>
  <si>
    <t xml:space="preserve"> INVITATION TO SUBMIT QUOTATION  PRINTING OF TARPAULIN FOR THE 2020 CENSUS OF POPULATION AND HOUSING (2020 CPH)  - PUBLICITY AND IEC MATERIALS FOR THE BARANGAYS OF ISABELA 1.	The Philippine Statistics Authority – Regional Statistical Services Office II  (P</t>
  </si>
  <si>
    <t xml:space="preserve"> Republic of the Philippines City of Dapitan BIDS AND AWARDS COMMITTEE 						July 30, 2020   NOTICE FOR NEGOTIATED - SMALL VALUE PROCUREMENT 	The City Government of Dapitan through the Bids and Awards Committee (BAC) would like to inform PhilGEPS registere</t>
  </si>
  <si>
    <t xml:space="preserve"> Rehabilitation/ Reconstruction/ Upgrading Of Damaged Paved Rd include Earthworks; Subbase and Base Course; Surface Courses; and Miscellaneous Structures.</t>
  </si>
  <si>
    <t xml:space="preserve"> 460     I.m       CONCRETE CURB AND GUTTER , TYPE A (CAST IN PLACE ) 460     I.m     PIPE CULVERTS , 760MM DIAMETER  (30"O) WITH CONCRETE MAN HOLE  184     CU.M.   GROUTED RIP RAP  (CLASS A) 69        CU.M.   REINFORCED CONCRETE SIDEWALK 150MM THK        </t>
  </si>
  <si>
    <t xml:space="preserve"> INVITATION TO BID FOR THE                   PROCUREMENT OF DIFFERENT EQUIPMENT 2020 1.	The Culion Sanitarium and General Hospital, through the General Appropriations Act of 2020 intends to apply the sum of Sixty-Seven Million Four Hundred Nineteen Thousan</t>
  </si>
  <si>
    <t xml:space="preserve"> 1 CONSTRUCTION OF BILLBOARD, COVERED WALKWAY AND STEEL GATE 1 Lot Php 971,175.14 &gt; See attached Scope of Work and Specification, Plan, and Bill of Quantities. &gt;Total Project Duration 45 C.D (Calendar Days) Documentary Requirements to submit. &gt;Upon submiss</t>
  </si>
  <si>
    <t xml:space="preserve"> ITEM  NO. 102     337.50      CU.M.         ROADWAY AND LINE CANAL EXCAVATION 104      186          CU.M          EMBANKMENT  105      750          SQ.M.          SUBGRADE PREPARATION  200      112.50      CU.M           AGGREGATE SUBBASE COURSE  311     </t>
  </si>
  <si>
    <t xml:space="preserve"> The Bids &amp; Awards Committee (BAC) of Barangay Gutlang, Argao, Cebu, invites all interested suppliers/manufacturers/distributors/contractors/consultants to apply for eligibility and to submit bids for the following: MATERIALS: 20 sets Solar Street Light</t>
  </si>
  <si>
    <t xml:space="preserve"> Republic of the Philippines PROVINCE OF SAMAR Municipality of Pinabacdao Invitation to Bid Construction of Brgy.Dolores Multi-Purpose Hall (Phase 2) Barangay Dolores, Pinabacdao Samar 1. The BARANGAY LOCAL GOVERMENT UNIT of  Dolores Pinabacdao Samar, thro</t>
  </si>
  <si>
    <t xml:space="preserve"> Republic of the Philippines City of Gapan Province of Nueva Ecija -------------------------------------------------------------------------- Invitation to Bid for the Construction of “Ang Lumang Gapan Project” 1.	The City Government of Gapan, through the </t>
  </si>
  <si>
    <t xml:space="preserve"> INVITATION TO SUBMIT QUOTATION  CATERING SERVICES DURING THE 2020 CENSUS OF POPULATION AND HOUSING (2020 CPH)  THIRD AND FOURTH LEVEL TRAINING ON AUGUST 17-22, 2020 AT BASCO, BATANES 	 1.	The Philippine Statistics Authority – Regional Statistical Services</t>
  </si>
  <si>
    <t xml:space="preserve"> [Package 027- Procurement of Infra Projects with CRN027-2020;  1.) Concreting of Sonio Road (Hapid Road – Sana) at Poblacion West  2.) Concreting of Mansanas Street (Hapid Road – Belingon) at Poblacion West  3.)Road concreting at Nabilaan, Pugol  4.)Road </t>
  </si>
  <si>
    <t xml:space="preserve"> SHUTTLE SERVICE FOR TPB FOR AUGUST 2020 I.	DURATION OF TASK The shuttle service shall cover a period of 15 working days from the issuance of the Purchase Order II.	SCOPE OF WORK Specifically included as major requirements for this project are the followin</t>
  </si>
  <si>
    <t xml:space="preserve"> PARTICULARS Feeds Duck pre-starter crumble,  50kg/bag; content: Crude Protien: 19% NLT, Crude Fat: 3%NLT, Crude Fiber: 4% NMT, Moisture: 12%NMT, Calcium: 0.90-1.10%, Phosphorus: 0.70% NLT, Aflatoxin max. level: 50PPB Duck Layer Pellets, 50kg/bag; content:</t>
  </si>
  <si>
    <t xml:space="preserve"> REQUEST FOR QUOTATION           The Bureau of Jail Management and Penology — National Headquarters (BJMP-NHQ), through its Bids and Awards Committee, intends to procure Various Government Forms which will be undertaken in accordance with the 2016 Revised </t>
  </si>
  <si>
    <t xml:space="preserve"> ITEM NO. I STRUCTURE EXCAVATION II. EMBANKMENT FROM STRUCTURE EXCAVATION III. EMBANKMENT FROM BORROW IV.  GRAVEL FILL V. STRUCTURAL CONCRETE (FOOTINGS AND SLAB) VI. STRUCTURAL CONCRETE ( FOOTING TIE BEAM) VII. STRUCTURAL CONCRETE (COLUMN) VIII. STRUCTURAL</t>
  </si>
  <si>
    <t xml:space="preserve"> REQUEST FOR QUOTATION The Dr. Jose Fabella Memorial Hospital hereby invites interested suppliers to submit quotation for the supply and delivery of: Particular			 1. Exhaust Fan, 12 inches blade, 220V, 60Hz, wall mounted	 Quantity: 40 units	 Unit Cost: ₱2</t>
  </si>
  <si>
    <t xml:space="preserve"> Item No.	Unit	Qty.	Description of Articles 1	m3	189	Aggregate Base Course 2	bags	823	Portland Cement 3	m3	77	Fine Gravel 4	m3	59	Sand (DPWH accepted source) 5	lgths	24	16mm Ø x 6.0 m DSB 6	lgths	8	16mm Ø x 6.0 m PSB 7	kgs	50	Asphalt Sealer 8	lgths	4	12mm </t>
  </si>
  <si>
    <t xml:space="preserve"> OFFICE SUPPLIES AND DEVICES</t>
  </si>
  <si>
    <t xml:space="preserve"> Republic of the Philippines Province of Davao Oriental CITY OF MATI REQUEST FOR QUOTATION 			 Date:	29 JULY 2020 RFQ No.:	0000-2020 Name of Company: __________________________________________________________________________________________________________</t>
  </si>
  <si>
    <t xml:space="preserve"> REQUEST FOR QUOTATION The Dr. Jose Fabella Memorial Hospital hereby invites interested suppliers to submit quotation for the supply and delivery of: Particular			 1. Bench, Monobloc, 4 seater with backrest     Color: white or cream     For hospital waitin</t>
  </si>
  <si>
    <t xml:space="preserve"> REQUEST FOR QUOTATION The Bureau of Jail Management and Penology – National Headquarters (BJMP-NHQ), through its Bids and Awards Committee, intends to procure Repair and Parts Replacement for 4th Floor Led Indicator Push Button and Car Operating Board of </t>
  </si>
  <si>
    <t xml:space="preserve"> INSTALLATION OF STREETLIGHTS</t>
  </si>
  <si>
    <t xml:space="preserve"> FACE MASK (HEAVY DUTY) KN95 (50 PCS) FACE MASK (DISPOSABLE) (220 BOXES) GLOVES (DISPOSABLE) (180 BOXES) ALCOHOL 500 ML (40 BOTTLES) NOTE: ALL NEW SUPPLIER ARE REQUIRED TO SUBMIT THE FOLLOWING DOCUMENT. 1. DTI Registration 2. SEC Registration 3. Current Ma</t>
  </si>
  <si>
    <t xml:space="preserve"> 30.93      CU.M                 GROUTED RIP RAP 135.70    CU.M                  EMBANKMENT (FROM BORROW) 112          SQ.M                 SUBGRADE PREPARATION 112         SQ.M                  PORTLAND CEMENT CONCRETE PAVEMENT (PCCP) 200MM THK 14        </t>
  </si>
  <si>
    <t xml:space="preserve"> CONCRETING OF FARM-TO-MARKET ROAD,  20%</t>
  </si>
  <si>
    <t xml:space="preserve"> ITEM NO. 102         157.50     CU.M.         ROAD EXCAVATION  104          42           CU.M.         EMBANKMENT  105          420          SQ.M.         SUBGRADE PREPARATION 200          52.50        CU.M          AGGREGATE SUBBASE COURSE  311          </t>
  </si>
  <si>
    <t xml:space="preserve"> Republic of the Philippines DEPARTMENT OF PUBLIC WORKS AND HIGHWAYS ILOILO 1st  DISTRICT ENGINEERING OFFICE Fort San Pedro Road, Iloilo City INVITATION TO BID FOR: 20GGF0021 – Procurement of Various Road Safety Materials for use in the Repair/Maintenance </t>
  </si>
  <si>
    <t xml:space="preserve"> CONCRETING OF 0.15m thk. x4.0m x87 i.m PCCP w/ 0.60m x 0.60m x 6.i.m Box Culvert 418 bags Portland cement 53 cu.m washed gravel 27 cu.m. washed sand 16 pcs. 2''x6''x12' form lumber 12 pcs. 10mm dia. x 6.0m RSB 12 pcs. 12mm dia. x 6.0m RSB 45 pcs. 12mm dia</t>
  </si>
  <si>
    <t xml:space="preserve"> The Barangay Government of Barangay BALELE, Tanauan City, Batangas through the Bids and Awards Committee (BAC) invites Suppliers/Contractors to apply for eligibility and if subsequently found eligible, to bid for the projects described hereunder, viz: Nam</t>
  </si>
  <si>
    <t xml:space="preserve"> GENERAL REQUIREMENTS:  	1. The bidder must be a valid registered organization in existence for a minimum of ten (10) years;  	   	2. The bidder must have at least two (2) years’ experience in delivering similar ICT Projects within the              Governm</t>
  </si>
  <si>
    <t xml:space="preserve"> Republic of the Philippines DEPARTMENT OF PUBLIC WORKS AND HIGHWAYS ILOILO 1st  DISTRICT ENGINEERING OFFICE Fort San Pedro Road, Iloilo City INVITATION TO BID FOR: 20GGF0022 – Procurement of Various Tools and Equipment to be used by the Maintenance Point </t>
  </si>
  <si>
    <t xml:space="preserve"> If you are interested to submit your quotation, please attach also the following scanned copy of your company permits: 1.) BIR Certificate of Registration 2.) PhilGEPS Certificate of Registration 3.) SEC / DTI Permit 4.) Mayor's/Business Permit</t>
  </si>
  <si>
    <t xml:space="preserve"> TIRES (265 / 65 R17) With free wheel alignment and balancing inst. (Labor and Materials)</t>
  </si>
  <si>
    <t xml:space="preserve"> Republic of the Philippines BIDS AND AWARDS COMMITTEE 9017 Población, El Salvador City Misamis Oriental  Email: bac.elsalvadorcity@gmail.com INVITATION TO BID for the PROCUREMENT OF SCHOOL BUS FOR CITY COLLEGE OF EL SALVADOR (REBIDDING) 	 The LGU-El Salva</t>
  </si>
  <si>
    <t xml:space="preserve"> Foot Bath Sanitation Set Lot 1 Foot Bath Tray with Rubber Dirt Mat Size of Tray - 61cm x 38.4cm x 2cm Material of Tray – Stainless Color of Rubber Dirt Mat – Black Quantity: 3 pieces Price: Php2,000.00 Lot 2 Foot Bath Tray with Cloth Rug (to use for dryin</t>
  </si>
  <si>
    <t xml:space="preserve"> FILE ATTACHED</t>
  </si>
  <si>
    <t xml:space="preserve"> 4 rolls #12 THHN Wire Stranded 10 m Flat chord #16 280 pcs. LED Bulb 12 watts 20 pcs. Aluminum basin 50 pcs. Receptacle 2''x2'' 3 pcs. Receptacle 4''x4'' 8 pcs. circuit Breaker 30A 30 rolls Electrical Tape (Big)</t>
  </si>
  <si>
    <t xml:space="preserve"> 88 Pc/s Riso Ink For KZ30 20 Pc/s Riso Master for KZ30</t>
  </si>
  <si>
    <t xml:space="preserve"> 1	UNIT	TWO (2) TON MAN-LIFT TRUCK WITH ANTI-ELECTRIC 				 		BOOM &amp; BUCKET				 						 		SPECIFICATION				 						 		     ENGINE:				 		* WATER COOLED, DIRECT INJECTION DIESEL ENGINE WITH 				 		3.6L DISPLACEMENT 101 PSI @ 3200 RPM MAX POWER				 		242N-M (17</t>
  </si>
  <si>
    <t xml:space="preserve"> Labor and Materials for the Construction of Multi-Purpose Hall Building at Various Barangays of Concepcion, Tarlac Approved Budget for the Contract : P 4,997,382.00 Source of Fund : 20% Economic Development Fund 2020 - Special Purpose Appropriation The co</t>
  </si>
  <si>
    <t xml:space="preserve"> storage of printed learning  modules</t>
  </si>
  <si>
    <t xml:space="preserve"> Purchase and delivery of supplies for the preventive measure against COVID-19</t>
  </si>
  <si>
    <t xml:space="preserve"> 1 -UNIT	BRAND NEW FUNERAL TRANSPORT SERVICE	 			 	SPECIFICATION		 			 	BODY TYPE: VAN		 	ENGINE: PISTON DISPLACEMENT 2476, FOUR (4) CYLINDER		 	FUEL TYPE: DIESEL		 	GROSS WERIGHT: 2850		 	NET WEIGHT: 1425		 	SHIPPING WEIGHT: 1425		 	NET CAPACITY: 1425		 	</t>
  </si>
  <si>
    <t xml:space="preserve"> MFO2: Technical Support Service 2020 REGIONAL GRAND NUTRITION AWARDS 07 August 2020 8" High, 1/2" Depth - Acrylic         - Award: Retiree 9" High, 5" Width, 1/2" Depth - Acrylic (Colored)               * Base: Black 6" Width, 2" High, 1.5" Depth         </t>
  </si>
  <si>
    <t xml:space="preserve"> 1	UNIT	BRAND NEW SIX (6)DUMPTRUCK				 						 		SPECIFICATION				 						 		     ENGINE:				 		ENGINE TYPE: FOUR (4) CYLINDER INLINE, WATER-COOLING,				 		                        CRDI, TURBOCHARGER				 		DISAPLACEMENT: 3.76L				 		POWER OUTPUT: 154HP/2600RP</t>
  </si>
  <si>
    <t xml:space="preserve"> ITEM NO. 102     961.74      CU.M.                           ROADWAY AND LINE CANAL EXCAVATION 104     575.40      CU.M.                           EMBANKMENT  105     2,877        SQ.M.                           SUBGRADE PREPARATION 200     308.25      CU</t>
  </si>
  <si>
    <t xml:space="preserve"> IMPROVEMENT OF MULTI-PURPOSE HALL, 20%</t>
  </si>
  <si>
    <t xml:space="preserve"> REHABILITATION OF MULTIPURPOSE HALL</t>
  </si>
  <si>
    <t xml:space="preserve"> CONCRETING OF PATHWALK, 20%</t>
  </si>
  <si>
    <t xml:space="preserve"> Anti Rabies Vaccine, Vero Cell (purified) 2.5IU/0.5ml vial+diluent</t>
  </si>
  <si>
    <t xml:space="preserve"> 20GM00171 – Purchase of Traffic Signs for Bridges along Various Road Sections</t>
  </si>
  <si>
    <t xml:space="preserve"> ITEM          DESCRIPTION                                                    QTY.         UNIT I.              CONSTRUCTION OF 2 UNITS JETMATIC PUMP         2            UNITS</t>
  </si>
  <si>
    <t xml:space="preserve"> Labor and Materials for the Concreting of Road at Barangay Sta Rita, Concepcion, Tarlac Approved Budget for the Contract : P998,579.10 Source of Fund : Capital Outlay - Mun.Mayor's Office The contract to be performed by the successful bidder shall be spec</t>
  </si>
  <si>
    <t xml:space="preserve"> Materials for Upgrading of Road at Sampangao</t>
  </si>
  <si>
    <t xml:space="preserve"> Please quote us your lowest price inclusive of VAT on the items</t>
  </si>
  <si>
    <t xml:space="preserve"> Request for Quotation July 30, 2020                                                                                     	 	Quotation No.  2020-07-068                                                                                       	 	 P.R. No.       </t>
  </si>
  <si>
    <t xml:space="preserve"> REQUEST FOR EXPRESSION OF INTEREST (EOI) 1. The City Human Resource Management Office (CHRMO) intends to apply the sum of TWO MILLION PESOS ONLY (PHP 2,000,000.00), inclusive of all applicable government taxes and charges, professional fees, and other inc</t>
  </si>
  <si>
    <t xml:space="preserve"> JOSE B. LINGAD MEMORIAL REGIONAL HOSPITAL City of San Fernando, Pampanga Tel. No. (045) 961-3921 Date: July 31, 2020 No. 2020 – 07 - 238-S REQUEST FOR QUOTATION (Name of Agency) (Address) Sir/Madam: Please quote your lowest price on the item/s listed belo</t>
  </si>
  <si>
    <t xml:space="preserve"> "           Please quote you lowest price/s for all item/s as specified on the list below for Pinamula Integrated School which are available in your store/establishment/company. If available, please furnish catalogue, descriptive brochures of literature a</t>
  </si>
  <si>
    <t xml:space="preserve"> This project covers the Construction of One Story Day Care Center at Brgy. Bagong Silang, Lumban, Laguna</t>
  </si>
  <si>
    <t xml:space="preserve"> Upgrading/Concreting of Access Road (Daungang Pari) Pag-asa, Obando, Bulacan</t>
  </si>
  <si>
    <t xml:space="preserve"> INVITATION TO BID The Government of Barangay Ambiong La Trinidad through the Bids and Awards Committee (BAC) invites Suppliers/ contractors to bid for the hereunder project: Contract Reference No.	01-AMBG-2020 Name of Project	                PROCUREMENT O</t>
  </si>
  <si>
    <t xml:space="preserve"> KIT	SARS-CoV-2 IgGM/IgG ANTIBODY ASSAY KIT					950 	MUST BE FDA APPROVED</t>
  </si>
  <si>
    <t xml:space="preserve"> SECTION I. INVITATION TO BID SUPPLY AND DELIVERY OF CONSERVATION, PRESERVATION AND EXHIBITION MATERIALS FOR THE NATIONAL LIBRARY OF THE PHILIPPINES The National Library of the Philippines (NLP) through the authorized appropriation for FY 2020 General Appr</t>
  </si>
  <si>
    <t xml:space="preserve"> Republic of the Philippines  PROVINCE OF SURIGAO DEL SUR  		MUNICIPALITY OF CARRASCAL	 Barangay Embarcadero INVITATION FOR BIDS The Barangay Embarcadero through its Bids and Awards Committee invites sealed bids from eligible bidders with applicable PCAB l</t>
  </si>
  <si>
    <t xml:space="preserve"> Purchase and delivery of Various supplies (COVID19 PPA'S) to be used in the Municipality of Concepcion, Tarlac Approved Budget for the Contract : P1,191,500.00 Source of Fund : 5% Calamity Fund of Special Purpose Appropriation The contract to be performed</t>
  </si>
  <si>
    <t xml:space="preserve"> Various IV Fluids</t>
  </si>
  <si>
    <t xml:space="preserve"> Materials for Upgrading Of Road at Ballesteros and Esguerra</t>
  </si>
  <si>
    <t xml:space="preserve"> CONCRETING OF FARM-TO-MARKET ROAD, 20%</t>
  </si>
  <si>
    <t xml:space="preserve"> 1	Unit 	Fabrication of Steelgate w/ of Lifting Mechanism	 		including materials, Labor and painting	 		     Ht. of Steelgate Frame = 313cms.	 		     Ht. of Steelplate = 190cms.	 		     Width = 80cms.	 		     Stem Size = 1 1/2"Ø x 125cms.	 		             A</t>
  </si>
  <si>
    <t xml:space="preserve"> CONSTRUCTION OF ROAD PROTECTION, 20%</t>
  </si>
  <si>
    <t xml:space="preserve"> Republic of the Philippines Province of Oriental Mindoro MUNICIPALITY OF GLORIA INVITATION TO BID ITB NO. 2020-011 Supply and Delivery of Photocopying Machine  1.	The Municipality of Gloria, through the Special Education Fund (SEF) intends to apply the su</t>
  </si>
  <si>
    <t xml:space="preserve"> 200      PCS       INK JET CARTRIDGE FOR PANINI SCANER    -       P800,000.00 Please be guided by the following:    1.	Price quotation must be based on the Terms of Reference (TOR) / Scope of Work/Services (SOW) / Technical          Specifications (TS), a</t>
  </si>
  <si>
    <t xml:space="preserve"> 20GM00173 – Purchase of Office Supplies and Equipments for the use of Planning and Design Section</t>
  </si>
  <si>
    <t xml:space="preserve"> Description I.	Signboard II.	Clearing &amp; Grubbing  III.	Subgrade Preparation &amp; Base Correction IV.	Aggregate Sub Base Course V.	Aggregate Base Course (+10% Shrinkage) VI.	Portland Cement Concrete Pavement 1.	Formworks 2.	Shoulder 3.	Construction Safety &amp; H</t>
  </si>
  <si>
    <t xml:space="preserve"> Various animal/zoological supplies</t>
  </si>
  <si>
    <t xml:space="preserve"> TERMS OF REFERENCE (Technical Consultant) Charged to 2019 Continuing Budget of OTDPRIM ---------------------------------------------------------- MINIMUM REQUIREMENTS 1. Seasoned writer with published articles and at least 15 year of writing experience; 2</t>
  </si>
  <si>
    <t xml:space="preserve"> 20GM00172 – Purchase of Temporary Signs and Traffic Management for Maintenance Works on Roads and Bridges Along Various Road Sections</t>
  </si>
  <si>
    <t xml:space="preserve"> Please quote us your lowest price inclusive with VAT on the items listed below</t>
  </si>
  <si>
    <t xml:space="preserve"> Training Schedule: August 10-14, 2020, Gandara, Samar Class (Gandara &amp; Pagsanghan) Day 1 AM Snack: Chicken Sotanghon (Strictly no pork and shrimp), Toasted bread and Ice tea LUNCH: Fish (Tinola), Fried Chicken Lotong bahay, Beef caldereta, Rice, Buko pand</t>
  </si>
  <si>
    <t xml:space="preserve"> ITEM NO.	ITEM &amp; DESCRIPTION					BRAND &amp; MODEL	QTY.	UoM 1	Aluminum Ladder (24 steps - foldable)						1	unit 2	Ammonia						3	gals. 3	Air Freshener, 320ml						9	bots. 4	Ballpen, Black 0.5						10	doz 5	Binding Stripe: 1"						3	dozens 6	Bleach 375 ml.					</t>
  </si>
  <si>
    <t xml:space="preserve"> CONSTRUCTION OF LOCAL ROADS @ BLOCK 1 TO 3</t>
  </si>
  <si>
    <t xml:space="preserve"> The Barangay Government of Barangay SAMBAT, Tanauan City, Batangas through the Bids and Awards Committee (BAC) invites Suppliers/Contractors to apply for eligibility and if subsequently found eligible, to bid for the projects described hereunder, viz: Nam</t>
  </si>
  <si>
    <t xml:space="preserve"> Request for Quotation July 30, 2020                                                                                     	 	Quotation No.  2020-07-069                                                                                       	 	 P.R. No.       </t>
  </si>
  <si>
    <t xml:space="preserve"> INVITATION TO BID FOR THE IMPROVEMENT OF IRRIGATION SANJERA TAMMO, Malaggao, Adams, Ilocos Norte 1.	The Municipal Government of Adams, through funds from the Savings of Tobacco Excise Tax Share from 2016-2020  intends to apply the sum of 502,741.93 being </t>
  </si>
  <si>
    <t xml:space="preserve"> INVITATION TO BID  No. 2020-018 The Department of Public Works and Highways -Davao del Norte District Engineering Office, Tagum City, Davao del Norte, through its Bids and Awards Committee (BAC), invites contractors to submit bids for the following Contra</t>
  </si>
  <si>
    <t xml:space="preserve"> Please quote your lowest price inclusive on VAT on the items listed below</t>
  </si>
  <si>
    <t xml:space="preserve"> Name of the Procuring Entity 					Project Reference No.                              				 					      Name of the Project:  Procurement of Vegetable Seeds				 									 				              Location of the Project :Looc,Romblon					 Standard Form Number: SF-G</t>
  </si>
  <si>
    <t xml:space="preserve"> invitation to bid- constr=uction / fabrication of steel railing project description: steel railing g 3m 30 working calndar days I. construction / fabrication of steel railing total project: 200,000.00</t>
  </si>
  <si>
    <t xml:space="preserve"> TERMS and CONDITIONS:	 1. All entries must be typewritten or legibly written.	 2. Delivery period within 15 W.D. upon receipt of the approved funded Purchased Order (P.O.) Administrative penalties pursuant to Sec. 69 of the Revised IRR-RA 9184 shall be im</t>
  </si>
  <si>
    <t xml:space="preserve"> Procurement ID/Contract ID		20LC0162 Contract Name		Construction of 2STY8CL School Building at Dujali Central Elementary School, Braulio E. Dujali, Davao del Norte Contract Location		Braulio E. Dujali, Davao del Norte Brief Description		Construction of 2S</t>
  </si>
  <si>
    <t xml:space="preserve"> Replacement of defective elevator parts</t>
  </si>
  <si>
    <t xml:space="preserve"> Various uniforms</t>
  </si>
  <si>
    <t xml:space="preserve"> ID's of Job Order</t>
  </si>
  <si>
    <t xml:space="preserve"> Procurement ID/Contract ID		20LC0168 Contract Name		Concreting of Purok 9 to Purok 3, Brgy. Anibongan FMR, Brgy. Anibongan, Carmen, Davao del Norte Contract Location		Carmen, Davao del Norte Brief Description		Concreting of Road with RCPC Approved Budget </t>
  </si>
  <si>
    <t xml:space="preserve"> Various office equipment</t>
  </si>
  <si>
    <t xml:space="preserve"> Procurement ID/Contract ID		20LC0166 Contract Name		Construction of 3STY6CL School Building at Magdum National High School, City of Tagum, Davao del Norte Contract Location		Tagum City, Davao del Norte Brief Description		Construction of 3STY6CL School Bui</t>
  </si>
  <si>
    <t xml:space="preserve"> NVITATION TO BID FOR THE CONSTRUCTION OF  LOWER AKI FMR Lower Aki, Malaggao, Adams, Ilocos Norte 1.	The Municipal Government of Adams, through funds from the Savings of Tobacco Excise Tax Share from 2016-2020  intends to apply the sum of P497,893.74 being</t>
  </si>
  <si>
    <t xml:space="preserve"> INVITATION TO BID FOR THE CONSTRUCTION OF  muti-purpose hall Lower Aki, Malaggao, Adams, Ilocos Norte 1.	The Municipal Government of Adams, through funds from the 20% MDF and Capital  intends to apply the sum of P1,191,312.38 being the Approved Budget for</t>
  </si>
  <si>
    <t xml:space="preserve"> Procurement ID/Contract ID		20LC0164 Contract Name		Construction of 2STY6CL School Building at Consolacion ES, City of Panabo, Davao del Norte Contract Location		Panabo City, Davao del Norte Brief Description		Construction of 2STY6CL School Building  Appr</t>
  </si>
  <si>
    <t xml:space="preserve"> PROCUREMENT OFFICE												 Email ad: tonychavezbac1@yahoo.com.ph												 TELEFAX: (055) 2093122												 												 									P. R. No.:	20-07-149		 									RFQ Date:	30-Jul-20		 									ABC:	 ₱153,000.00 		 												 REQUEST FOR PRICE QU</t>
  </si>
  <si>
    <t xml:space="preserve"> Invitation to Bid to all Supplier/Contractor duly accredited by the City Council of Manila to supply and deliver the following items provided hereunder, to wit; Item	Qty.	 	Unit	 	 	 	DESCRIPTION 1	 	25	 	Reams	Bond Paper, Long	 	  2	 	25	 	Reams	Bond Pap</t>
  </si>
  <si>
    <t xml:space="preserve"> Procurement ID/Contract ID		20LC0165 Contract Name		Construction of 2STY4CL School Building at J.P. Laurel ES, City of Panabo, Davao del Norte Contract Location		Panabo City, Davao del Norte Brief Description		Construction of 2STY4CL School Building  Appr</t>
  </si>
  <si>
    <t xml:space="preserve"> Procurement ID/Contract ID		20LC0169 Contract Name		Concreting of Brgy. Poblacion to Brgy. New Bohol FMR, Brgy. Poblacion and Brgy. New Bohol, New Corella, Davao del Norte Contract Location		New Corella, Davao del Norte Brief Description		Concreting of Ro</t>
  </si>
  <si>
    <t xml:space="preserve"> Procurement ID/Contract ID		20LC0167 Contract Name		Construction of 1STY3CL School Building with Toilet Attached at Sampao IS, Kapalong, Davao del Norte Contract Location		Kapalong, Davao del Norte Brief Description		Construction of 1STY3CL School Buildin</t>
  </si>
  <si>
    <t xml:space="preserve"> Various medical and dental equipment</t>
  </si>
  <si>
    <t xml:space="preserve"> Various agricultural and marine supplies</t>
  </si>
  <si>
    <t xml:space="preserve"> 10 	Procurement ID/Contract ID		20LC0170 	Contract Name		Concreting of Crossing Purok 1 to Sitio Banate, Brgy. Capungagan FMR, Brgy. Capungagan, Kapalong, Davao del Norte 	Contract Location		Kapalong, Davao del Norte 	Brief Description		Concreting of Road</t>
  </si>
  <si>
    <t xml:space="preserve"> Delivery of office equipment for Elementary and Secondary Modules, Alfonso, Cavite</t>
  </si>
  <si>
    <t xml:space="preserve"> INVITATION TO BID  Procurement of Security Services for Batangas State University  1.	The Batangas State University, through the MDS / STF / SUPPLEMENTAL BUDGET 2020 intends to apply the sum of Thirty Four Million Nine Hundred Nineteen Thousand Four Hundr</t>
  </si>
  <si>
    <t xml:space="preserve"> Supply and delivery of various office and school supplies for Elementary and Secondary Modules, Alfonso, Cavite</t>
  </si>
  <si>
    <t xml:space="preserve"> Procurement ID/Contract ID		20LC0163 Contract Name		Construction of 1STY3CL School Building at Maguintalunan ES, Sto. Tomas, Davao del Norte Contract Location		Sto. Tomas, Davao del Norte Brief Description		Construction of 1STY3CL School Building with Toi</t>
  </si>
  <si>
    <t xml:space="preserve"> Various furnitures and fixtures</t>
  </si>
  <si>
    <t xml:space="preserve"> Description							Unit	       Qty Long Bondpaper							ream	       605  EPSON 003 Ink							bot	       100  BROTHER T710W Ink						bot	         20  Epson Ink Refill							bot	         60  Elmer's Glue							bot	         12  Expanded Plastic Envelope					p</t>
  </si>
  <si>
    <t xml:space="preserve"> INVITATION TO BID- FOR THE CONSTRUCTION REPAIR/ IMPROVEMENT OF CONCRETING OF BRGY. ROAD DIMENSION/ LENGTH 0.15M X 2.0M X 165M 30 WORKING CALNDAR DAYS I. LAYOUT / CLEARING AND EARTHWORKS BASE PREPARATION 0.80 % 9,962.00 II. PORTLAND CEMENT CONCRETE PAVEMEN</t>
  </si>
  <si>
    <t xml:space="preserve"> Contract Ref. No.:	20200720-03-G Name of Contract:	Procurement of Ambulance to be used by the City of Mabalacat Location:	LGU-MABALACAT CITY Republic of the PHILIPPINES Province of PAMPANGA Municipality of MABALACAT INVITATION TO APPLY FOR ELIGIBILITY AND</t>
  </si>
  <si>
    <t xml:space="preserve"> Concreting of Pathway (0.10m x 1.50m x 60.0m) @ Sitio Goldbug Syndicate, Aroroy, Masbate.</t>
  </si>
  <si>
    <t xml:space="preserve"> Construction of Drainage Canal ( 0.60m x 0.80m x 220.0m) @ Centro II, Syndicate, Aroroy,Masbate</t>
  </si>
  <si>
    <t xml:space="preserve"> Construction of Drainage Canal @ Centro I Syndicate ,Aroroy, Masbate</t>
  </si>
  <si>
    <t xml:space="preserve"> Purchase Request No. : 2020-07-0029 Name of Project: Supply of Diesel Fuel for use in the Conduct of Feasibility Study/Pre- Feasibility/Preliminary Detailed Engineering (PDE) Activities for Region VI assigned to the Planning and Design Section of this Dis</t>
  </si>
  <si>
    <t xml:space="preserve"> Various Construction and Electrical Supplies</t>
  </si>
  <si>
    <t xml:space="preserve"> Design and Build: Please refer to Terms of Reference Annual Budget CY 2019 Supplemental Budget II (8731-50704990-01-2019) Seventy Five Million Pesos [75,000,000.00] being the Approved Budget for the Contract (ABC) Duration of the DB Works is 180 Calendar </t>
  </si>
  <si>
    <t xml:space="preserve"> Please see Request for Quotation/ Bid Form attached to Associated Components.</t>
  </si>
  <si>
    <t xml:space="preserve"> RE-INVITATION TO BID  No. 2020-008 The Department of Public Works and Highways -Davao del Norte District Engineering Office, Tagum City, Davao del Norte, through its Bids and Awards Committee (BAC), invites contractors to submit bids for the following Con</t>
  </si>
  <si>
    <t xml:space="preserve"> 2 	Procurement ID/Contract ID		20LC0159 	Contract Name		Construction/Rehabilitation of Water Supply/Septage and Sewerage/ Rain Water Collectors 1. Sto. Niño ES, Carmen, Davao del Norte 2. Salvacion ES, Panabo City, Davao del Norte 3. Panabo Central ES, Pa</t>
  </si>
  <si>
    <t xml:space="preserve"> Contract Ref. No.:	20200720-04-G Name of Contract:	Procurement of Multi-Purpose Vehicle to be used by Early Childhood Care and Development (ECCD) Office Location:	LGU-MABALACAT CITY Republic of the PHILIPPINES Province of PAMPANGA Municipality of MABALACA</t>
  </si>
  <si>
    <t xml:space="preserve"> Contract Ref. No.:	20200720-01-I Name of Contract:	Procurement for the Proposed Rehabilitation of Old Municipal Hall (Historical Building) (Phase 1) at Brgy. Poblacion, Mabalacat City, Pampanga Location:	LGU-MABALACAT CITY Republic of the PHILIPPINES Prov</t>
  </si>
  <si>
    <t xml:space="preserve"> Construction of School Playground (0.10m x 15.0m x 38.0m) @ Syndicate Elementary School , Aroroy, Masbate</t>
  </si>
  <si>
    <t xml:space="preserve"> CNH-0520-056</t>
  </si>
  <si>
    <t xml:space="preserve"> Supply of Civil Works for the Construction of Civic Center @ Brgy. California, Barotac Viejo, Iloilo</t>
  </si>
  <si>
    <t xml:space="preserve"> Interested printing services may join. 50 cents is the ceiling price per copy</t>
  </si>
  <si>
    <t xml:space="preserve"> Installation of Fiber Glass Board with Ring</t>
  </si>
  <si>
    <t xml:space="preserve"> PROCUREMENT OF THE FOLLOWING SERVICES: CONSTRUCTION OF 225 LINEAR METERS x 1 METER WIDTH x .10 METER THK. CONCRETE PATHWAY. A. MATERIALS B. LABOR C. HAULING OF MATERIALS FOR MORE DETAILS VISIT THE BARANGAY</t>
  </si>
  <si>
    <t xml:space="preserve"> ITEM NO.  DESCRIPTION   UNIT  QUANTITY 100 Clearing works sq.m  37.000 102  Concrete works   cu.m 3.88 506  grouted riprap    cu.m 10.5 SPL Concrete permanent marker Lot 1.00s SPL Transhipment work     Road end to projects site (manual Hauling) LOT 1.00</t>
  </si>
  <si>
    <t xml:space="preserve"> Republic of the Philippines Province of Nueva Vizcaya Municipality of Bambang -oOo- INVITATION TO BID The Local Government Unit of Bambang, through the Barangay Disaster Risk Reduction Management Fund (BDRRMF 2014-2020), intends to apply the sum of SIX HU</t>
  </si>
  <si>
    <t xml:space="preserve"> The Maasin Multi purpose Hall is a facility designed to provide the community with space for a variety of activities and services. The proposed facility in Maasin would include features that would benefit the entire community.</t>
  </si>
  <si>
    <t xml:space="preserve"> PROCUREMENT OF CONSTRUCTION MATERIALS &amp; SUPPLY FOR BRGY ROAD CONCRETING AT BRGY BAGONG LIPUNAN, MATALOM, LEYTE</t>
  </si>
  <si>
    <t xml:space="preserve"> Janitorial</t>
  </si>
  <si>
    <t xml:space="preserve"> INVITATION TO APPLY FOR ELIGIBILITY AND TO BID THE MUNICIPALITY OF CAIBIRAN, BILIRAN IS INVITING ALL INTERESTED BIDDERS ON ITS FORTHCOMING PUBLIC BIDDING FOR: Project Title 	: Acquisition of Medicines, RHU Location	: RHU, LGU - Caibiran, Biliran  Delivery</t>
  </si>
  <si>
    <t xml:space="preserve"> PROCUREMENT OF THE FOLLOWING SERVICES: CONSTRUCTION OF  2 UNITS 4.0 METERS x 2.0 METERS MATERIALS RECOVERY FACILITY AT SITIO BARAS AND SINAMPAGA. A. MATERIALS B. LABOR INCLUDES WELDING, INSTALLATION AND PAINTINGS FOR MORE DETAILS VISIT THE BARANGAY</t>
  </si>
  <si>
    <t xml:space="preserve"> PROCUREMENT OF THE FOLLOWING SERVICES: MOTORCYCLE: FRAME WITH BACKBONE FRONT TIRE 3.00 x 17 IGNITION TYPE DC-CDI ENGINE TYPE 4 STROKE, SINGLE OVERHEAD CAMSHAFT, BORE x STROKE 1 CYLINDER, DISPLACEMENT 176.6 cc, FRONT SUSPENSION TELESCOPIC FORK FUEL CAPACIT</t>
  </si>
  <si>
    <t xml:space="preserve"> Epoxy													1	qrt All purpose silicon sealant (black)								5	can Elasto Seal												2	qrt Solvent 400cc												4	pcs Teflon 1/2"												20	pcs PVC pipe blue 1" dia.											5	pcs PVC pipe blue 1/2" dia.										30	pcs HDPE hose 1/2"</t>
  </si>
  <si>
    <t xml:space="preserve"> Aircon</t>
  </si>
  <si>
    <t xml:space="preserve"> Gasoline/Diesoline</t>
  </si>
  <si>
    <t xml:space="preserve"> AIrcon</t>
  </si>
  <si>
    <t xml:space="preserve"> Rehabilitation and Maintenance of CCTV</t>
  </si>
  <si>
    <t xml:space="preserve"> Contract I.D. No.: 		200004 Contract Name: 			Procurement of   Road Safety Devices used for the 							Maintenance, Repair and 	Rehabilitation of Infrastructure Facilities 					and other Related Activities-Repair and Maintenance of Road 						Safety Facil</t>
  </si>
  <si>
    <t xml:space="preserve"> INVITATION TO BID FOR THE PURCHASE OF MATERIALS FOR THE MAINTENANCE OF VARIOUS HEAVY EQUIPMENTS 1.	The Local Government Unit of Manolo Fortich, through the Economic Enterprise Fund  intends to apply the sum of Four Hundred Sixty One Thousand Three Hundred</t>
  </si>
  <si>
    <t xml:space="preserve"> Republic of the Philippines PROVINCE OF ZAMBOANGA DEL NORTE Municipality of Sibutad BIDS AND AWARDS COMMITTEE JULY 30, 2020 INVITATION TO BID The Local Government Unit of Sibutad, Zamboanga del Norte under P.R. No. GFP100-2020-07-063 dated JULY 16, 2020 w</t>
  </si>
  <si>
    <t xml:space="preserve"> CONSTRUCTION OF CONCRETE FOOTBRIDGE</t>
  </si>
  <si>
    <t xml:space="preserve"> INVITATION TO BID FOR THE PURCHASE OF SERVER FOR IT DIVISION OFFICE USE 1.	The Local Government Unit of Manolo Fortich, through the Economic Enterprise Fund  intends to apply the sum of Three Hundred Ninety Three Thousand Three Hundred Seventy Five Pesos </t>
  </si>
  <si>
    <t xml:space="preserve"> 801 (6) REMOVAL OF STRUCTURES AND OBSTRUCTION (CONCRETE) CU.M. 12.64 803(1)a STRUCTURE EXCAVATION (COMMON SOIL) CU.M. 24.34 900(1) STRUCTURAL CONCRETE FOR FOOTING TIE BEAM, COLUMN, SUSPENDED SLAB, GIRDER/BEAM (CLASS A, 28DAYS) CU.M. 43.80 902(1) REINFORCI</t>
  </si>
  <si>
    <t xml:space="preserve"> Republic of the Philippines				 Province of Zamboanga Sibugay Municipality of Titay 3rd Floor New Municipal Building -oOo- Reference:_________________ 					 REQUEST FOR QUOTATION The Municipality of Titay, Zamboanga Sibugay, through its Bids and Awards Co</t>
  </si>
  <si>
    <t xml:space="preserve"> INVITATION TO BID FOR THE PURCHASE OF CONSTRUCTION MATERIALS FOR THE COMPLETION OF MAMBATANGAN ELEMENTARY SCHOOL 2 CLASSROOMS 1.	The Local Government Unit of Manolo Fortich, through the Economic Enterprise Fund  intends to apply the sum of Three Hundred S</t>
  </si>
  <si>
    <t xml:space="preserve"> INVITATION TO BID FOR THE PURCHASE OF SPARE PARTS FOR SLAUGHTER HOUSE MOTOR VEHICLE  (2ND BID OPENING) 1.	The Local Government Unit of Manolo Fortich, through the Economic Enterprise Fund  intends to apply the sum of Two Hundred Ten Thousand Two Hundred P</t>
  </si>
  <si>
    <t xml:space="preserve"> COMPUTER DESKTOP MONITOR MINIMUM SPECIFICATIONS Type: LED-backlit LCD 23" Resolution: 1920 x 1080 at 60Hz Brightness: 250 cd/sq.m (typ) Response Time: 5ms typical Input Connectors: HDMI, VGA, Audio Operational Power Consumption: 23W Aspect Ratio: 16:9; Pi</t>
  </si>
  <si>
    <t xml:space="preserve"> Construction of MPP at Lower Collog, Junction, Pinukpuk</t>
  </si>
  <si>
    <t xml:space="preserve"> INVITATION TO BID FOR THE SUPPLY AND DELIVERY OF 9,620 SETS OF 13MMØ MECHANICAL WATER METERS    1. The Cagayan de Oro City Water District, through the COWD Approved Budget for 2020 intends to apply the sum of Nineteen Million Two Hundred Forty Thousand Pe</t>
  </si>
  <si>
    <t xml:space="preserve"> REBIDDING OF LOT 1: SUPPLY AND DELIVERY OF VARIOUS MEDICAL SURGICAL DEVICES  (IB NO. 2020-GOODS-006R-01-0730 LOT 1 Rep) 1.	The ILOCOS TRAINING AND REGIONAL MEDICAL CENTER (ITRMC), through the FY 2020 GAA, intends to apply the sum of TWO MILLION EIGHT HUND</t>
  </si>
  <si>
    <t xml:space="preserve"> Package 1: Various Drainage Facility, Junction, Pinukpuk</t>
  </si>
  <si>
    <t xml:space="preserve"> The MINDANAO CENTRAL SANITARIUM, through the REGULAR MOOE intends to apply the sum of Two Million Eleven Thousand Eight Hundred Ninety-Five Pesos (Php2,011,895.00) being the Approved Budget for the Contract (ABC) to payments under the contract for the P P</t>
  </si>
  <si>
    <t xml:space="preserve"> Republic of the Philippines PROVINCE OF ZAMBOANGA DEL SUR Municipality of Dimataling BIDS AND AWARD COMMITTEE Reference Number : PR-213-100-2020 Date: July 14, 2020 Project Title/P.R. # : PROCUREMENT OF IT EQUIPMENTS AND ACCESSORIES Approved Budget of the</t>
  </si>
  <si>
    <t xml:space="preserve"> INVITATION TO BID FOR THE REBIDDING OF THE SUPPLY AND DELIVERY OF VARIOUS CONSTRUCTION/MAINTENANCE SUPPLIES (IB NO. 2020-GOODS-011R-01-0730 Rep) 1.	The ILOCOS TRAINING AND REGIONAL MEDICAL CENTER (ITRMC), through the Trust Fund – Income Collection, intend</t>
  </si>
  <si>
    <t xml:space="preserve"> Description   Municipality of Amlan BARANGAY TANDAYAG OFFICE OF THE SANGGUNIANG BARANGAY PROJECT PROGRAM OF WORK Date Prepared : January 27, 2020 Revision No. : Project Title : Electric Metering of Barangay Tandayag Electrical Lights Location : Tandayag, </t>
  </si>
  <si>
    <t xml:space="preserve"> 1 UNIT MOTORCYCLE - . - single cylinder - air-cooled - 4-stroke - displacement ( 150cc ) - front tire ( 2.75-17 ) - rear tire (3.00-17 ) - free helmet,GSIS Insurance &amp; LTO registration</t>
  </si>
  <si>
    <t xml:space="preserve"> Republic of the Philippines MUNICIPALITY OF ORION Province of Bataan Bids and Awards Committee Secretariat Office, 2nd Floor Municipal Building, San Vicente, Orion, Bataan Telephone No. 244-9611 local 107  20ITB-INF-03-00054 Invitation to Bid for  Labor a</t>
  </si>
  <si>
    <t xml:space="preserve"> Package 2: Various Concrete Pathway, Apatan, Pinukpuk</t>
  </si>
  <si>
    <t xml:space="preserve"> HEADPHONES		 MINIMUM SPECIFICATIONS: Wireless Range: Connect from up 30 Feet away Battery Life: Up to 10 hours of battery life for longer listening Convenient Controls: Integrals microphone with wind cancellation, song navigation/telephony buttons			 WEB </t>
  </si>
  <si>
    <t xml:space="preserve"> Procurement of HIV Supplies - Rebidding</t>
  </si>
  <si>
    <t xml:space="preserve"> Procurement of Qualitative Fit Test Kit for N95- Rebidding</t>
  </si>
  <si>
    <t xml:space="preserve"> INVITATION TO BID The Municipal Government of San Narciso, Quezon through its Bids and Award Committee (BAC), invites registered suppliers with DTI, Mayor’s Permit and PhilGEPS, if found eligible, to bid or the hereunder contract: Name of Contract : 	Conc</t>
  </si>
  <si>
    <t xml:space="preserve"> REHAB OF DCC COMFORT ROOM, CODDOG, ALLAGUIA</t>
  </si>
  <si>
    <t xml:space="preserve"> Rehab of FMR, Coddog- Tanggawan, Allaguia, Pinukpuk</t>
  </si>
  <si>
    <t xml:space="preserve"> Tarpaulin etc.  NOTE:To all suppliers bid documents are available at BAC Office and LGU website.</t>
  </si>
  <si>
    <t xml:space="preserve"> Procurement of Medical Supplies Lot 1- Rebidding</t>
  </si>
  <si>
    <t xml:space="preserve"> Republic of the Philippines MUNICIPALITY OF CATARMAN Province of Northern Samar 	-ooOoo- BIDS &amp; AWARDS COMMITTEE INVITATION TO BID 	The Local Government of Catarman, Northern Samar invites interested parties/contractors to Apply for Eligibility and to Bid</t>
  </si>
  <si>
    <t xml:space="preserve"> Republic of the Philippines Region XII Province of Cotabato CITY OF KIDAPAWAN BIDS AND AWARDS COMMITTEE Invitation to Bid 						  		             Date: July 30, 2020 1.	The City Government of Kidapawan, through the LDRRMF ORDINANCE No. 19-107 Disaster Prev</t>
  </si>
  <si>
    <t xml:space="preserve"> Republic of the Philippines Region XII Province of Cotabato CITY OF KIDAPAWAN BIDS AND AWARDS COMMITTEE Invitation to Bid 						  		             Date: July 30, 2020	 1.	The City Government of Kidapawan, through the 20% EDF CY 2020   intends to apply the s</t>
  </si>
  <si>
    <t xml:space="preserve"> Republic of the Philippines Region XII Province of Cotabato CITY OF KIDAPAWAN BIDS AND AWARDS COMMITTEE Invitation to Bid 						  		            Date: July 30, 2020	 1.	The City Government of Kidapawan, through the Office of the City Mayor(Infra Support Pr</t>
  </si>
  <si>
    <t xml:space="preserve"> INVITATION TO APPLY FOR ELIGIBILITY AND TO BID The Barangay Government of  Bagong Tubig, San Luis, Batangas, through its Barangay Bids and Awards Committee (BBAC), invites contractors registered with and classified by the Philippine Contractors Accreditat</t>
  </si>
  <si>
    <t xml:space="preserve"> Republic of the Philippines Region XII Province of Cotabato CITY OF KIDAPAWAN BIDS AND AWARDS COMMITTEE Invitation to Bid 						  		             Date: July 30, 2020	 1.	The City Government of Kidapawan, through the Trust Fund DA-BUB   intends to apply the</t>
  </si>
  <si>
    <t xml:space="preserve"> Republic of the Philippines PROVINCE OF SURIGAO DEL NORTE MUNICIPALITY OF TAGANA-AN Office of the Barangay Captain Brgy. Talavera, Taganaan, Surigao del Norte Invitation to Bid for  CONSTRUCTION OF SANITARY LANDFILL PERIMETER FENCE BRGY. TALAVERA, TAGANA-</t>
  </si>
  <si>
    <t xml:space="preserve"> 1. The City Government of Bacoor, Cavite, through the City Ordinance No. CO 562019 intends to apply the sum of TWO HUNDRED  THOUSAND  PESOS AND ZERO CENT (PhP200,000.00) being the total Approved Budget for the Contract (ABC) for all lots indicated in BDS </t>
  </si>
  <si>
    <t xml:space="preserve"> Republic of the Philippines PROVINCE OF ZAMBOANGA DEL NORTE Municipality of Sibutad BIDS AND AWARDS COMMITTEE JULY 30, 2020 INVITATION TO BID The Local Government Unit of Sibutad, Zamboanga del Norte under P.R. No. GFP100-2020-07-068 dated JULY 20, 2020 w</t>
  </si>
  <si>
    <t xml:space="preserve"> Republic of the Philippines												 City of San Carlos												 Negros Occidental												 												 			INVITATION TO BID							FOR SALE	 			PURCHASE REQUEST NO: 221-20-06-0710			P 7,000.00	 Sealed bids for quotation of prices will be receive</t>
  </si>
  <si>
    <t xml:space="preserve"> 1.	The Development Bank of the Philippines, through the Corporate Budget approved by the Board for CY 2020 intends to apply the sum of Fourteen Million Three Hundred Thousand Pesos (Php14,300,000.00) (at Php 130,000.00 per set)  being the Approved Budget </t>
  </si>
  <si>
    <t xml:space="preserve"> Invitation to Bid for  PURCHASED OF FILLING MATERIALS FOR STA. FE-SENIOR HIGH SCHOOL, POBLACION, STA. FE, LEYTE (CW-2020-04) 1.	The Local Government Unit of Sta. Fe through the General Fund CY 2020  intends to apply the sum of Three Hundred Thousand Pesos</t>
  </si>
  <si>
    <t xml:space="preserve"> The Municipal Government of Aloguinsan invites prospective bidders to bid for the project Purchase and Delivery of 4 Wheeler Truck Dropside with Full Canopy. Source of Fund: 5% RESERVE FY 2020 ABC: Php 2,000,000.00 The complete schedule of activities will</t>
  </si>
  <si>
    <t xml:space="preserve"> see plans and specifications</t>
  </si>
  <si>
    <t xml:space="preserve"> 1.2mm thkx2"x4" C-Purlins 6m etc. NOTE:To all suppliers bid documents and BAC Resolution 2020- 029 are available at BAC Office and LGU website.</t>
  </si>
  <si>
    <t xml:space="preserve"> INVITATION TO BID FOR THE PURCHASE OF TABLET FOR CBMS (2ND BID OPENING) 1.	The Local Government Unit of Manolo Fortich, through the Trust Fund  intends to apply the sum of Five Hundred Ten Thousand Pesos (Php 510,000.00) being the Approved Budget for the </t>
  </si>
  <si>
    <t xml:space="preserve"> INVITATION TO BID NO. INFRA -054-2020 In response to the first advertisement for Rehabilitation/Improvement of Barangay Hall Barangay Del Pilar, Dinalupihan, Bataan, three (3) eligible bidders purchased bidding documents but failed to submit bidding requi</t>
  </si>
  <si>
    <t xml:space="preserve"> Model: 4x2 Mini Dump Truck Engine Type: 4 Cylinder Engine: 110-115 HP Rated Power: 96Kw/2500rpm Maximum Torque: 320kg.m/1100-2200rpm Fuel Type: Diesel Fuel Tank: 120 Liters Suspension: Steer Axle-Semi Elliptical Leaf Spring with Shock Absorber            </t>
  </si>
  <si>
    <t xml:space="preserve"> Republic of the Philippines City of Cagayan de Oro BIDS AND AWARDS COMMITTEE Invitation to Bid  for Construction of Drainage Along 19th St., Nazareth; SN 163 - 2020 1.	The City Government of Cagayan de Oro, through the Non-Office: Economic Services Sector</t>
  </si>
  <si>
    <t xml:space="preserve"> Republic of the Philippines City of Cagayan de Oro BIDS AND AWARDS COMMITTEE Invitation to Bid  for Construction of Brgy. 15 Session Hall &amp; Day Care (Burgos St.); SN 165 - 2020 1.	The City Government of Cagayan de Oro, through the Non-Office: Economic Ser</t>
  </si>
  <si>
    <t xml:space="preserve"> 1.	The Municipality of Impasugong, through the MHO – Drugs &amp; Medicines Expenses intends to apply the sum Five Hundred Forty Four Thousand Six Hundred Seven &amp; 35/100 Pesos (PhP 544,607.35) being the Approved Budget for the Contract (ABC) to payments under </t>
  </si>
  <si>
    <t xml:space="preserve"> Republic of the Philippines												 City of San Carlos												 Negros Occidental												 												 			INVITATION TO BID							FOR SALE	 			PURCHASE REQUEST NO: 221-20-06-0723			P 2,250.00	 Sealed bids for quotation of prices will be receive</t>
  </si>
  <si>
    <t xml:space="preserve"> ITEM NO.1  M3 OX10-1G-CE INDUSTRIAL PDA (MODEL: WSB) -	CPU: CORTEX-A8 1 GHZ -	O/S: WINDOWS CE 6.0 -	MEMORY:512 MB RAM, 4 GB FALSH ROM -	DISPLAY:3.5’ QVGA TFT LCD 240X320 TOUCH SCREEN -	WLAN: IEEE 802.11 B/G/N -	SCANNER: 1D LASER -	BLUETOOTH: CLASS II V2.1</t>
  </si>
  <si>
    <t xml:space="preserve"> Republic of the Philippines City of Cagayan de Oro BIDS AND AWARDS COMMITTEE Invitation to Bid  for Construction of Drainage along 4th St. to 21st St. (Nazareth); SN 164 - 2020 1.	The City Government of Cagayan de Oro, through the Non-Office: Economic Ser</t>
  </si>
  <si>
    <t xml:space="preserve"> 1. The City Government of Bacoor, Cavite, through the City Ordinance No. CO 562019 intends to apply the sum of FOUR HUNDRED FIFTY  THOUSAND  PESOS AND ZERO CENT (PhP450,000.00) being the total Approved Budget for the Contract (ABC) for all lots indicated </t>
  </si>
  <si>
    <t xml:space="preserve"> 1. The City Government of Bacoor, Cavite, through the City Ordinance No. CO 562019 intends to apply the sum of TWO HUNDRED FIFTY  THOUSAND  PESOS AND ZERO CENT (PhP250,000.00) being the total Approved Budget for the Contract (ABC) for all lots indicated i</t>
  </si>
  <si>
    <t xml:space="preserve"> Republic of the Philippines Region XII Province of Cotabato City of Kidapawan OFFICE OF THE BIDS AND AWARD COMMITTEE July 30, 2020 INVITATION TO BID FOR  SUPPLY AND DELIVERY OF ELECTRICAL MATERIALS FOR THE PROPOSED LINE REHAB 1 PHASE TO 3 PHASE (RICE PROC</t>
  </si>
  <si>
    <t xml:space="preserve"> INVITATION TO BID FOR THE SUPPLY AND DELIVERY OF AIRCONDITIONING UNITS, PARTS AND ACCESSORIES INCLUDING LABOR FOR INSTALLATION   1.	The City of Iloilo, through the Capital Outlay intends to apply the sum of Nineteen Million Four Hundred Ninety-Three Thous</t>
  </si>
  <si>
    <t xml:space="preserve"> Republic of the Philippines City of Cagayan de Oro BIDS AND AWARDS COMMITTEE  INVITATION TO BID  FOR  Supply and Delivery of One (1) Unit Cargo Truck; PR No. 20-1650 dated 14 May 2020; SN 175 - 2020 1.	The City Government of Cagayan de Oro, through APO 20</t>
  </si>
  <si>
    <t xml:space="preserve"> Invitation to Bid for the Supply and Delivery of Handheld Radio for the use of Brgy. Mahabang Dahilig, Batangas City</t>
  </si>
  <si>
    <t xml:space="preserve"> 40	Rms	Mimeo Paper Long		 42	Rms	Mimeo Paper Short 		 40	Rms	Book Paper Long		 40	Rms	Book Paper Short		 6	Pcs	Toner Xerox Copier		 15	Pcs	Epson Ink Black		 15	Pcs	Epson Ink Cyan		 10	Pcs	Epson Ink Magenta		 10	Pcs	Epson Ink Yellow		 10	Bxs	Staple Wire #3</t>
  </si>
  <si>
    <t xml:space="preserve"> INVITATION TO BID FOR THE SUPPLY AND DELIVERY OF VARIOUS EQUIPMEMT   1.	The City of Iloilo, through the General Fund CY 2020 intends to apply the sum of Two Hundred Seventy-Three Thousand Eight Hundred Sixty Pesos (P273,860.00) being the Approved Budget f</t>
  </si>
  <si>
    <t xml:space="preserve"> One (1) unit Brand new Hydraulic Excavator (Backhoe) SPECIFICATIONS: Engine Model:						                QSF3.8T Engine Type:						                Water cooling, turbo charging No. of Cylinder.Bore and stroke:			                4x102x115 Displacement(L):		</t>
  </si>
  <si>
    <t xml:space="preserve"> INVITATION TO BID FOR THE SUPPLY AND DELIVERY OF EYE LEVEL PHYSICIAN SCALE   1.	The City of Iloilo, through the 20% Development Fund CY 2020 intends to apply the sum of One Million Four Hundred Ninety-Seven Thousand Six Hundred Pesos (P1,497,600.00) being</t>
  </si>
  <si>
    <t xml:space="preserve"> INVITATION TO BID FOR THE SUPPLY AND DELIVERY OF OFFICE EQUIPMENT   1.	The City of Iloilo, through the Capital Outlay intends to apply the sum of One Hundred Thirty-Five Thousand Pesos (P135,000.00) being the Approved Budget for the Contract (ABC) to paym</t>
  </si>
  <si>
    <t xml:space="preserve"> INVITATION TO BID FOR THE SUPPLY AND DELIVERY OF OFFICE EQUIPMENT   1.	The City of Iloilo, through the Capital Outlay intends to apply the sum of Four Million Five Hundred Forty-Nine Thousand Two Hundred Pesos (P4,549,200.00) being the Approved Budget for</t>
  </si>
  <si>
    <t xml:space="preserve"> OPENING OF BIDS IN DSWD FO IX, ZAMBOANGA CITY DELIVERY IN DSWD CENTERS COMPOUND MAMPANG ZAMBOANGA CITY PROCUREMENT FOR THE FF.: 1 LOT LABOR AND MATERIALS  GENERAL REQUIREMENTS REINFORCEMENT STEEL BARS FORM WORKS AND SCAFOLDING METAL WORKS CONCRETE WORK (L</t>
  </si>
  <si>
    <t xml:space="preserve"> INVITATION TO BID FOR THE SUPPLY OF MEDIA SERVICES   1.	The City of Iloilo, through the General Fund CY 2020 intends to apply the sum of Three Million Sixty-Two Thousand Seven Hundred Fifty Pesos (P3,062,750.00) being the Approved Budget for the Contract </t>
  </si>
  <si>
    <t xml:space="preserve"> Republic of the Philippines												 City of San Carlos												 Negros Occidental												 												 			INVITATION TO BID							FOR SALE	 			PURCHASE REQUEST NO: 221-20-06-0766			P 2,250.00	 Sealed bids for quotation of prices will be receive</t>
  </si>
  <si>
    <t xml:space="preserve"> Invitation to Bid for  CONSTRUCTION OF DRAINAGE SYSTEM AT STA. FE CENTRAL SCHOOL, STA. FE, LEYTE (CW-2020-05) 1.	The Local Government Unit of Sta. Fe through the General Fund CY 2020  intends to apply the sum of Three Hundred Thousand Pesos Only (Php300,0</t>
  </si>
  <si>
    <t xml:space="preserve"> Acetylene Standard contents etc. NOTE:To all suppliers bid documents and BAC Resolution 2020-029 are available at BAC Office and LGU website.</t>
  </si>
  <si>
    <t xml:space="preserve"> Republic of the Philippines Region XII Province of Cotabato City of Kidapawan OFFICE OF THE BIDS AND AWARD COMMITTEE July 30, 2020 INVITATION TO BID FOR  SUPPLY OF FUEL FOR THE USE OF RP VEHICLES OF THE CITY TREASURER’S OFFICE, KIDAPAWAN CITY  The CITY GO</t>
  </si>
  <si>
    <t xml:space="preserve"> Republic of the Philippines PROVINCE OF ZAMBOANGA DEL SUR Municipality of Dimataling BIDS AND AWARD COMMITTEE Reference Number : PR-207-100-2020 Date: July 10, 2020 Project Title/P.R. # : PROCUREMENT OF OFFICE EQUIPMENTS AND ACCESSORIES Approved Budget of</t>
  </si>
  <si>
    <t xml:space="preserve"> INVITATION TO BID FOR THE SUPPLY AND DELIVERY OF MEDICAL AMBULANCE/TRANSPORT   1.	The City of Iloilo, through the PEDC/PPC ER1-94 FUND intends to apply the sum of Six Million Pesos (P6,000,000.00) being the Approved Budget for the Contract (ABC) to paymen</t>
  </si>
  <si>
    <t xml:space="preserve"> Items of Work consists of Removal of Existing Structure/Roofings, Concrete Works, Roofing Sheets, Electrical Works &amp; Equipment The BAC will conduct the procurement process in accordance with the revised IRR of R.A. 9184.  Bids Received in excess of the AB</t>
  </si>
  <si>
    <t xml:space="preserve"> Republic of the Philippines Region XII Province of Cotabato City of Kidapawan OFFICE OF THE BIDS AND AWARD COMMITTEE July 30, 2020 INVITATION TO BID FOR  SUPPLY OF STICKERS (NO SMOKING) FOR THE USE OF CITY HEALTH OFFICE, KIDAPAWAN CITY  The CITY GOVERNMEN</t>
  </si>
  <si>
    <t xml:space="preserve"> INVITATION TO BID FOR THE SUPPLY AND DELIVERY OF MOTOR OIL AND SUPPLIES   1.	The City of Iloilo, through the LDRRM Fund 2020 intends to apply the sum of One Hundred One Thousand Six Hundred Fifty-Six Pesos (P101,656.00) being the Approved Budget for the C</t>
  </si>
  <si>
    <t xml:space="preserve"> ITEM NO.	Unit of issue	ITEM &amp;DESCRIPTION	Brand &amp; Model	QTY.	 1	unit/set	Toilet bowl with thank fitting with complete accessories		2	 2	unit/set	Lavatory with accessories and complete fitting faucet		2	 3	pc	60 cm  x 60 cm tiles, unglaze		50	 4	pc	30 cm x </t>
  </si>
  <si>
    <t xml:space="preserve"> INVITATION TO BID The City Vigan, through its Bids and Awards Committee (BAC), invites suppliers/manufacturers/distributors/contractors to apply for eligibility and to bid for the hereunder project: Name of Project:	Improvement of Roofing at Vigan Public </t>
  </si>
  <si>
    <t xml:space="preserve"> Invitation to Bid  For the  Construction/Rehabilitation/Repair/Widening of Roads at Brgy. Guzman Jesena (JEMS Subdivision), Mandurriao, Iloilo City 1.	The City of Iloilo, through the 20% Development Fund, CY2020 intends to apply the sum of One Million Fiv</t>
  </si>
  <si>
    <t xml:space="preserve"> Items of Work consists of Project Billboard, Structure Excavation, Embankment, Gravel Bedding, Reinforcing Steel, Concrete Works, Masonry Works, Formworks, Finishing Works, Metal Works, Roofing Sheets, Ceiling, Door &amp; Windows, Painting Works, Sewer Lines,</t>
  </si>
  <si>
    <t xml:space="preserve"> Republic of the Philippines Region XII Province of Cotabato City of Kidapawan OFFICE OF THE BIDS AND AWARD COMMITTEE July 30, 2020 INVITATION TO BID FOR  SUPPLY AND DELIVERY OF OFFICE SUPPLIES FOR THE PRINTING AND REPRODUCTION OF SELF-LEARNING MODULES OF </t>
  </si>
  <si>
    <t xml:space="preserve"> Invitation to Bid  For the  Construction/Rehabilitation of Existing Drainage System at Brgy. Sto. Niño Norte, Arevalo, Iloilo City 1.	The City of Iloilo, through the 20% Development Fund, CY2019 intends to apply the sum of One Million Pesos (Php 1,000,000</t>
  </si>
  <si>
    <t xml:space="preserve"> Republic of the Philippines Region XII Province of Cotabato City of Kidapawan OFFICE OF THE BIDS AND AWARD COMMITTEE July 30, 2020 INVITATION TO BID FOR  SUPPLY AND DELIVERY OF GROCERY ITEMS AND PERISHABLE GOODS FOR THE PANGKABUHAYAN STARTER KITS BENEFICI</t>
  </si>
  <si>
    <t xml:space="preserve"> Invitation to Bid  For the  Construction/Rehabilitation/Improvement of Multi-Purpose Hall at Brgy. M.H. del Pilar, (Don Francisco Village), Jaro, Iloilo City 1.	The City of Iloilo, through the 20% Development Fund, CY2020 intends to apply the sum of Three</t>
  </si>
  <si>
    <t xml:space="preserve"> Invitation to Bid  For the  Construction/Rehabilitation/Repair/Widening of Roads at Brgy. PHHC Blk. 17, Mandurriao, Iloilo City 1.	The City of Iloilo, through the 20% Development Fund, CY2020 intends to apply the sum of Four Million Three Hundred Thousand</t>
  </si>
  <si>
    <t xml:space="preserve"> Republic of the Philippines Region XII Province of Cotabato City of Kidapawan OFFICE OF THE BIDS AND AWARD COMMITTEE July 30, 2020 INVITATION TO BID FOR  RISOGRAPHING OF FORMS FOR THE USE OF THE CDRRMO, KIDAPAWAN CITY  The CITY GOVERNMENT OF KIDAPAWAN, th</t>
  </si>
  <si>
    <t xml:space="preserve"> 10	Pcs	Low Back Chair		 12	Pcs	Office Visitor Chair		 2	Set 	Office Table With Fixed Drawer		 8	Pcs	Low Back Chair (Brown)		 3	Pcs	3 Seater Public Chair		 300	Pcs	Monoblock Chair	 Only suppliers duly registered and accredited with Barangay Council of Sto.</t>
  </si>
  <si>
    <t xml:space="preserve"> The Municipality of Zaragoza, through its Bids and Awards Committee (BAC), invites contractors to bid for the hereunder contract: Name of Contract                     : Purchase of Instructional Reading Materials for Kindergarten Learners Location        </t>
  </si>
  <si>
    <t xml:space="preserve"> Republic of the Philippines Region XII Province of Cotabato City of Kidapawan OFFICE OF THE BIDS AND AWARD COMMITTEE July 30, 2020 INVITATION TO BID FOR  SUPPLY AND DELIVERY OF OFFICE SUPPLIES FOR THE USE OF THE CITY TREASURER’S OFFICE, KIDAPAWAN CITY  Th</t>
  </si>
  <si>
    <t xml:space="preserve"> The Roxas City Government, through the GOP-2020 intends to apply the total amount of Eight Hundred Fifty Two Thousand Four Hundred Seventy Five Pesos and 50/100 (Php  852,475.50) being the Aggregate Approved Budget for the Contract (ABC) to payments under</t>
  </si>
  <si>
    <t xml:space="preserve"> 20 units 30 watt LED Solar power streetlight installed in 3”Ø GI Pipe (S-40) and stable concrete pedestal</t>
  </si>
  <si>
    <t xml:space="preserve"> Procurement of BHS Package - Rebidding</t>
  </si>
  <si>
    <t xml:space="preserve"> Items of Work consists of Clearing and Grubbing, Rechanneling, Structural Excavation, Embankment, Concrete Slope Protection (Revetment): a. Pre-cast Footing; b. Beam; c. leaving wall; d. Slab, Forms &amp; Scaffoldings, Monuments &amp; Markers The BAC will conduct</t>
  </si>
  <si>
    <t xml:space="preserve"> Republic of the Philippines Region XII Province of Cotabato CITY OF KIDAPAWAN BIDS AND AWARDS COMMITTEE Invitation to Bid 						  		           Date: July 30, 2020 1.	The City Government of Kidapawan, through the Supplemental Budget No.2 CY 2020   intends </t>
  </si>
  <si>
    <t xml:space="preserve"> Equipment</t>
  </si>
  <si>
    <t xml:space="preserve"> see attached bid docs</t>
  </si>
  <si>
    <t xml:space="preserve"> Various Supplies</t>
  </si>
  <si>
    <t xml:space="preserve"> Republic of the Philippines PROVINCE OF ZAMBOANGA DEL SUR Municipality of Dimataling BIDS AND AWARD COMMITTEE Reference Number : PR-196-100-2020 Date: July 7, 2020 Project Title/P.R. # : PROCUREMENT OF MULTI-PURPOSE SHREDDER Approved Budget of the Contrac</t>
  </si>
  <si>
    <t xml:space="preserve"> Procurement of Microscope Binocular- Rebidding</t>
  </si>
  <si>
    <t xml:space="preserve"> Procurement of Fetal Doppler- Rebidding</t>
  </si>
  <si>
    <t xml:space="preserve"> Supply, Delivery &amp; Installation of Refrigerant Pipe Run</t>
  </si>
  <si>
    <t xml:space="preserve"> Republic of the Philippines Region XII Province of Cotabato City of Kidapawan OFFICE OF THE BIDS AND AWARD COMMITTEE July 30, 2020 INVITATION TO BID FOR  SUPPLY OF FUEL FOR THE PROPOSED ROAD REHABILITATION/CROWNING AND COMPACTION OF VARIOUS BARANGAY ROADS</t>
  </si>
  <si>
    <t xml:space="preserve"> Republic of the Philippines PROVINCE OF ZAMBOANGA DEL NORTE Municipality of Sibutad BIDS AND AWARDS COMMITTEE JULY 30, 2020 INVITATION TO BID The Local Government Unit of Sibutad, Zamboanga del Norte under P.R. No. GFP100-2020-07-065 dated JULY 20, 2020 w</t>
  </si>
  <si>
    <t xml:space="preserve"> 1. 80 pads Order of Payment Forms (11cm x 17cm) - Triplicate copy (White, Yellow, Blue) - Carbonized 50 sets/pad 2. 72 pads Certificate of Clearance Forms - Duplicate copy - Carbonized 50 sets/pad</t>
  </si>
  <si>
    <t xml:space="preserve"> ITEM NO. DESCRIPTION UNIT QUANTITY 100  Clearing works in.m 1,500.000 102  Excavation works cu.m 9.12 SPL  Installation pipe works in.m 120.00 SPL  Concrete Permanent Marker/Billboard  Lot 1.0 SPL  Transhipment works         road project site (manual haul</t>
  </si>
  <si>
    <t xml:space="preserve"> Republic of the Philippines Region XII Province of Cotabato City of Kidapawan OFFICE OF THE BIDS AND AWARD COMMITTEE July 30, 2020 INVITATION TO BID FOR  SUPPLY AND DELIVERY OF CONSTRUCTION MATERIALS OF THE PROPOSED TEMPORARY FACILITY OF THE CITY HEALTH O</t>
  </si>
  <si>
    <t xml:space="preserve"> Invitation to Bid  For the  Construction/Rehabilitation/Repair/Widening of Roads (with Drainage) at Brgy. Taal, Molo, Iloilo City 1.	The City of Iloilo, through the 20% Development Fund, CY2020 intends to apply the sum of Three Million Five Hundred Thousa</t>
  </si>
  <si>
    <t xml:space="preserve"> Invitation to Bid for the Construction of Danao CIP   NIAR6-SIP-DANAO–CW71-20 1.	The National Irrigation Administration Regional Office 6, Iloilo City, through the Small Irrigation Projects (SIP) CY 2020 intends to apply the sum of NINE MILLION THREE HUND</t>
  </si>
  <si>
    <t xml:space="preserve"> 2 packs scanner roller kit</t>
  </si>
  <si>
    <t xml:space="preserve"> SUPPLY AND DELIVERY OF 60 UNITS 12V,18AH BATTERY WITH INSTALLATION AND DELIVERY CHARGE FOR LBP GENSAN PIONEER BRANCH G/F PHILAM LIFE BLDG., PIONEER AVE., GEN. SANTOS CITY THE LAND BANK OF THE PHILIPPINES ITEM DESCRIPTION-----------------------------------</t>
  </si>
  <si>
    <t xml:space="preserve"> -1 USB Podcast Condenser Microphone 192kHZ/24bit Professional PC Streaming Cardioid Microphone Kit for Youtube Laptop Karaoke (Uhuru UM900) -1 USB Microphone Kit Professional Podcast Streaming Microphone Condenser Studio Mic for Computer Youtube Gaming Re</t>
  </si>
  <si>
    <t xml:space="preserve"> 4 episodes of 30-minute radio blocktime program for School-on-Air (1 episode a week for 4 weeks, preferably Tuesday afternoons)</t>
  </si>
  <si>
    <t xml:space="preserve"> 9 pieces Water filter cartridge, carbon filter, large size 9 pieces Water filter cartridge, 5 micron, large size 9 pieces Water filter cartridge, 1 micron, large size 2 pieces Garden hose with hose nozzle (10m) 2 units Solar DC pump 12V 180V 1 unit Centri</t>
  </si>
  <si>
    <t xml:space="preserve"> Procurement of Reagent Refrigerator for Pharmaceutical Use- Rebidding</t>
  </si>
  <si>
    <t xml:space="preserve"> Procurement of Medical Instrument Package- Rebidding</t>
  </si>
  <si>
    <t xml:space="preserve"> REQUEST FOR QUOTATION Supply and Delivery of Various Furniture for CCJ  1. The Cavite State University (CvSU) invites interested firms/supplier to submit quotation for the project Supply and Delivery of Various Furniture for CCJ” with an Approved Budget f</t>
  </si>
  <si>
    <t xml:space="preserve"> INVITATION TO BID FOR THE HIRING OF LIFESTYLE PHOTOGRAPHER FOR THE MANILA FAME DIGITAL CATALOG 1.	The Center for International Trade Expositions and Missions, through the Manila FAME 2020 October Budget intends to apply the sum of Four Million Nine Hundre</t>
  </si>
  <si>
    <t xml:space="preserve"> Procurement of Special Equipment Package 4- Rebidding</t>
  </si>
  <si>
    <t xml:space="preserve"> INVITATION TO BID FOR THE HIRING OF DROPOUT STUDIO PHOTOGRAPHER FOR THE MANILA FAME DIGITAL CATALOG (ZONE 2) COVERAGE 1.	The Center for International Trade Expositions and Missions, through the Manila FAME 2020 October Budget intends to apply the sum of F</t>
  </si>
  <si>
    <t xml:space="preserve"> Procurement of Physical Therapy Equipment Set- Rebidding</t>
  </si>
  <si>
    <t xml:space="preserve"> 1.	The Bohol Island State University-Clarin Campus, Poblacion Norte, Clarin, Bohol, through the Corporate Budget for the contract approved by the governing Boards for CY 2020  intends to apply the sum of Five Hundred Thousand Pesos (Php 500,000.00) being </t>
  </si>
  <si>
    <t xml:space="preserve"> Standard Form Number				`		Project Reference Number= 2020-07-28-01 Revised on July 29, 2004						Name of Project: CONCRETING OF LOCAL ACCCESS                                                                                                                  </t>
  </si>
  <si>
    <t xml:space="preserve"> I.  Materials II. Labor OCM/CP/VAT</t>
  </si>
  <si>
    <t xml:space="preserve"> Invitation to Bid for the Construction of Igcabidio CIP   NIAR6-SIP-IGCABIDIO–CW72-20 1.	The National Irrigation Administration Regional Office 6, Iloilo City, through the Small Irrigation Projects (SIP) CY 2020 intends to apply the sum of NINE MILLION TH</t>
  </si>
  <si>
    <t xml:space="preserve"> Republic of the Philippines DEPARTMENT OF PUBLIC WORKS AND HIGHWAYS SURIGAO DEL NORTE 1st  DISTRICT ENGINEERING OFFICE REGIONAL OFFICE XIII 			       Dapa, Siargao Island, Surigao del Norte INVITATION TO BID The Department of Public Works and Highways Sur</t>
  </si>
  <si>
    <t xml:space="preserve"> Standard Form Number				`		Project Reference Number= 2020-07-28-02 Revised on July 29, 2004						Name of Project: FOOTBRIDGE REHABILITATION                                                                                                          /IMPROVEME</t>
  </si>
  <si>
    <t xml:space="preserve"> INVITATION TO BID FOR PURCHASE OF OFFICE SUPPLIES, MSWDO, CAJIDIOCAN, ROMBLON 1.	The Municipal Government of Cajidiocan, Romblon intends to apply the sum of FOURTY NINE THOUSAND, NINE HUNDRED EIGHTY FIVE PESOS and 00/100 (P 49,985.00) being the Approved B</t>
  </si>
  <si>
    <t xml:space="preserve"> INVITATION TO BID FOR PURCHASE OF MOBILE PHONES, SB OFFICE, CAJIDIOCAN, ROMBLON 1.	The Municipal Government of Cajidiocan, Romblon intends to apply the sum of NINETY THOUSAND PESOS and 00/100 (P 90,000.00) being the Approved Budget for the Contract (ABC) </t>
  </si>
  <si>
    <t xml:space="preserve"> 4" CHB 1,800 PCS 9MM Ø RSB 31 PCS 10MM Ø RSB 43 PCS PORTLAND CEMENT 84 BAGS TIE WIRE 5 KLS RIVER SAND 3 CU.M MIXED AGGREGATES 6 CU.M</t>
  </si>
  <si>
    <t xml:space="preserve"> INVITATION TO BID FOR PURCHASE OF FISHING EQUIPMENT, MAO, CAJIDIOCAN, ROMBLON 1.	The Municipal Government of Cajidiocan, Romblon intends to apply the sum of FOURTY THREE THOUSAND, TWO HUNDRED PESOS and 00/100  (P 43,200.00) being the Approved Budget for t</t>
  </si>
  <si>
    <t xml:space="preserve"> INVITATION TO BID FOR PURCHASE OF IT EQUIPMENT AND FURNITURE, MTO, CAJIDIOCAN, ROMBLON 1.	The Municipal Government of Cajidiocan, Romblon intends to apply the sum of EIGHTY FIVE THOUSAND PESOS and 00/100 (P 85,000.00) being the Approved Budget for the Con</t>
  </si>
  <si>
    <t xml:space="preserve"> Construction of Public Market at Sitio Lubuk, Angilan, Omar, Sulu</t>
  </si>
  <si>
    <t xml:space="preserve"> Republic of the Philippines Province of Zamboanga del Sur Municipality of Dimataling 1. The Municipal Government of Dimataling, Zamboanga del Sur, has an approved budget from the Sanggunian through 20% IRA of 2020 Fund in the amount One Million Four Hundr</t>
  </si>
  <si>
    <t xml:space="preserve"> PROCUREMENT OF THE FOLLOWING SERVICES: FABRICATION AND INSTALLATION OF FIBER BOARD FRAME, FABRICATION AND INSTALLATION  OF BASKETBALL COURT LIGHT POST, LIGHTING AND PAINTING OF BASKETBALL COURT.  A. MATERIALS B. LABOR C. OTHER SERVICES FOR MORE DETAILS VI</t>
  </si>
  <si>
    <t xml:space="preserve"> 500 REAMS OF BOND PAPER LONG 500 REAMS OF BOND PAPER (A4) 70 GSM 50 REAMS OF BOND PAPER A3 INK FOR A3 PRINTER 15 PCS 7741 BLACK 15 PCS 6642 CYAN 15 PCS 6643 MAGENTA 15 PCS 6644 YELLOW INK FOR L3110 50 PCS 7741 BLACK 50 PCS 6642 CYAN 50 PCS 6643 MAGENTA 50</t>
  </si>
  <si>
    <t xml:space="preserve"> Republic of the Philippines 	DEPARTMENT OF PUBLIC WORKS AND HIGHWAYS 			SURIGAO DEL NORTE 1ST DISTRICT ENGINEERING OFFICE REGIONAL OFFICE XIII Dapa, Siargao Island, Surigao del Norte INVITATION TO BID FOR                    20NF-GOODS-01: DELIVERY AND INS</t>
  </si>
  <si>
    <t xml:space="preserve"> Republic of the Philippines Region XII Province of Cotabato City of Kidapawan OFFICE OF THE BIDS AND AWARD COMMITTEE July 30, 2020 INVITATION TO BID FOR  SUPPLY AND DELIVERY OF LUBRICANTS AND ADDITIVES FOR THE USE OF THE RP VEHICLES OF CDRRMO, KIDAPAWAN C</t>
  </si>
  <si>
    <t xml:space="preserve"> CONTRACT ID: 19GL00119; P.R. No. 2020-03-042 DATED 03/19/2020 CONTRACT LOCATION: DPWH R.O. XI (NEW BUILDING) CONTRACT DESCRIPTION: PROCUREMENT OF ONE (1) LOT OF VARIOUS FURNITURE, FOR USE IN THE OPERATION OF THE DPWH R.O. XI (NEW BUILDING), UNDER THE PLAN</t>
  </si>
  <si>
    <t xml:space="preserve"> I.SITE EXCAVATION II.GRAVEL BED III.CONCRETE WORKS IV.SCAFFOLDING AND FORM WORKS V.MASONRY WORKS VI.CEMENT PLASTER FINISH VII.STEEL AND ROOFING WORKS</t>
  </si>
  <si>
    <t xml:space="preserve"> Republic of the Philippines							 DEPARTMENT OF PUBLIC WORKS AND HIGHWAYS							 OFFICE OF THE DISTRICT ENGINEER							 BENGUET 1ST DISTRICT ENGINEERING OFFICE							 Wangal, La Trinidad, Benguet							 DPWH - Benguet 1st District Engineering Office			P.</t>
  </si>
  <si>
    <t xml:space="preserve"> Please see BAC Chairman &amp; attached document</t>
  </si>
  <si>
    <t xml:space="preserve"> LEGAL SIZE SUB 20 800 REAMS</t>
  </si>
  <si>
    <t xml:space="preserve"> WORK TO BE DONE:		 TYPE: TEMPORARY OPERATOR'S Permit (TOP)		 SPECS: CARBONLESS PAPER (5 COPIES EACH)		 WHITE,PINK,YELLOW,BLUE &amp; GREEN		 WITH NUMBERING		 PADDED BY 50 SETS		 SIZE: 8.5"X4.25" INCHES		 NO. OF COPIES: 200 PADS		                    X-X-X-X-X-X</t>
  </si>
  <si>
    <t xml:space="preserve"> INVITATION TO BID FOR PURCHASE OF CONCRETING MATERIALS OF ROAD TO EVACUATION CENTER 1.	The Municipal Government of Talisayan, through the 20% MDF 2020 intends to apply the sum of P183,360.30 being the Approved Budget for the Contract (ABC) to payments und</t>
  </si>
  <si>
    <t xml:space="preserve"> Republic of the Philippines BIDS AND AWARDS COMMITTEE Province of Iloilo Invitation to Bid Purchase of  DRUGS AND MEDICINES Bid No. RTH-20-0213-B 1. The Iloilo Provincial Government, through the  GENERAL FUND  2020 intends to apply the sum of ONE HUNDRED </t>
  </si>
  <si>
    <t xml:space="preserve"> Please see attached RFQ for more details. For queries / Concerns, you may contact us through BAC.SDOBenguet@gmail.com from Mondays to Fridays (Except Holidays).</t>
  </si>
  <si>
    <t xml:space="preserve"> Republic of the Philippines PROVINCE OF BUKIDNON Municipality of Sumilao INVITATION TO BID ITB NO. GS-2020-36 PROCUREMENT OF CONSTRUCTION MATERIALS FOR THE REPAIR AND MAINTENANCE OF DIFFERENT SCHOOLS July 29, 2020 1.	The Local Government Unit of  Sumilao,</t>
  </si>
  <si>
    <t xml:space="preserve"> INVITATION TO BID FOR PURCHASE OF NUTRITION PRODUCTS (ADULT MILK AND INSTANT OATMEAL), MDRRMO, CAJIDIOCAN, ROMBLON 1.	The Municipal Government of Cajidiocan, Romblon intends to apply the sum of NINETY-NINE THOUSAND, EIGHT HUNDRED TWENTY FIVE PESOS and 00/</t>
  </si>
  <si>
    <t xml:space="preserve"> Please see attached Requisition and Issue Slip (RIS) for more details. Kindle submit your quotation on or before August 6, 2020, 8Am to 5PM at Procurement Management Division, Cultural Center of the Philippines, Admin and Finance Building, CCP Complex, Ro</t>
  </si>
  <si>
    <t xml:space="preserve"> ITEM NO.    DESCRIPTION   UNIT QUANTITY SPL1       PROJECT SIGNBOARD/PERMANENT MARKER    LOT 1.00 SPL2      PROVISION OF HEALTH &amp; SAFETY/VARIOUS HANDTOOLS   LOT 1.00 101       EXCAVATION WORKS     A.        Common Earth   CU.M  121.28  B.        HARD     </t>
  </si>
  <si>
    <t xml:space="preserve"> The Local Government Unit of Sta. Elena, Camarines Norte will be procuring one (1) unit of laptop for use in the MDRRMO via Shopping and hereby requests for quotation from qualified suppliers.</t>
  </si>
  <si>
    <t xml:space="preserve"> Republic of the Philippines Office of the Punong Barangay BIDS AND AWARDS COMMITTEE Patac, Burgos, Ilocos Sur INVITATION TO BID The Barangay Government of Patac, Burgos, Ilocos Sur, through its Bids and Awards Committee (BAC) invites bids for the hereunde</t>
  </si>
  <si>
    <t xml:space="preserve"> PROCUREMENT OF THE FOLLOWING SERVICES: CONCRETING OF BASKETBALL COURT 23 METERS x 12 METERS x 0.10 METERS A. MATERIALS B. LABOR C. OTHER SERVICES FOR MORE DETAILS VISIT THE BARANGAY</t>
  </si>
  <si>
    <t xml:space="preserve"> Typesetting, Lay-Outing, Printing and Reproduction of R.A. 9165 Booklet Specifications: Kind - Handbook Stock-Cover- Foldcote 12,  inside-book #60 Size-5.5"x8.5" (folded), 11"x8.5" (Spread) Binding-Perfect binding and laminated cover Process - Offset Prin</t>
  </si>
  <si>
    <t xml:space="preserve"> this serves as second bidding for this project from barangay pangpang labo camarines norte</t>
  </si>
  <si>
    <t xml:space="preserve"> 1.	The Municipal Government of Talisayan, through the 20% MDF 2020 intends to apply the sum of 367,100.00 being the Approved Budget for the Contract (ABC) to payments under the PURCHASE OF CONCRETING MATERIALS OF ROAD TO EVACUATION CENTER,  Sta. Ines, Tal</t>
  </si>
  <si>
    <t xml:space="preserve"> PROCUREMENT OF THE FOLLOWING SERVICES: 0.50 WIDTH x 90 METER LENGTH SHOULDERING OF 5 METERS EXISTING ROAD (BOTH SIDES) WITH DOWELS. A. MATERIALS B. LABOR C. OTHER SERVICES FOR MORE DETAILS VISIT THE BARANGAY</t>
  </si>
  <si>
    <t xml:space="preserve"> 1	unit	INTERNET CONNECTION	 		* speed at least up to 150 Mbps or better	 		* unlimited internet connection	 		* Wifi Router included	 		Monthly Charges	 			 			 		The following documents must be included in the 	 		submission of sealed price quotation:	 	</t>
  </si>
  <si>
    <t xml:space="preserve"> Republic of the Philippines Province of Ilocos Sur Municipality of Quirino OFFICE OF THE BIDS AND AWARDS COMMITTEE “INVITATION FOR NEGOTIATED PROCUREMENT DUE TO TWO-FAILED BIDDINGS” “Purchase of One (1) Unit Forward Six Wheeler Truck Self-Loading with Boo</t>
  </si>
  <si>
    <t xml:space="preserve"> Republic of the Philippines  Province of Samar  Municipality of Villareal      INVITATION TO BID    IMPROVEMENT OF HEALTH CENTER  AT BRGY GUINTARCAN, VILLAREAL, SAMAR    	 	 	 	 	 	 	 	 	    	 July 30, 2020   	 	 	 	 	 	 	 	 	                 Date      1.</t>
  </si>
  <si>
    <t xml:space="preserve"> 2 pcs Table top sensor alcohol dispenser  5 pcs alcohol dispenser with stand  4 units non contact thermo scanner with stand 17 pcs foothbath  4 units footlever alcohol dispenser stand, stainless  50 boxes 3 ply surgical mask</t>
  </si>
  <si>
    <t xml:space="preserve"> Invitation to Construction of Rehabilitation of Multi Purpose Building The Barangay Tubog, through the  continuing Appropriation intends to apply the sum of One Hundred Sixty Two Thousand Eight Hundred Forty Two Pesos  (P 162,842.00) being the Approved Bu</t>
  </si>
  <si>
    <t xml:space="preserve"> 723	Bag	Portland Cement 41	cu.m.	Washed Sand 82	cu.m.	Washed Gravel 14	pcs	12 mm dia. X 6.00 m DRSB 250	pcs	10 mm dia. X 6.00 m DRSB 23	kg	  # 16 G.I. Tie Wire 2	gal/s	Aqua Epoxy Paint- ceramic red 2	gal/s	Aqua Epoxy Paint- black 2	gal/s	Aqua Epoxy Paint </t>
  </si>
  <si>
    <t xml:space="preserve"> INVITATION TO BID FOR PURCHASE OF OFFICE SUPPLIES, BFP-DILG, CAJIDIOCAN, ROMBLON 1.	The Municipal Government of Cajidiocan, Romblon intends to apply the sum of TWENTY THOUSAND PESOS and 00/100 (P 20,000.00) being the Approved Budget for the Contract (ABC)</t>
  </si>
  <si>
    <t xml:space="preserve"> 1. 1 Set Computer Set Intel Core i5 - 8400 processor  8GB Memory  1TB HDD 2GB DDR3 NVIDIA GT 710  DVDRW WITH MONITOR 21.5"  Mouse Speakers UP' or AVR Computer Table and Chair  2. 1 Unit Printer 3 n1  Wifi All in One  Ink Tank Printer with ADF  Purpose: Fo</t>
  </si>
  <si>
    <t xml:space="preserve"> UNIT                                   DESCRIPTION                                QUANTITY SPL- 1 LINE CANAL INCL. LAY-BY  QTY.= 100.00 l.m  L= 100m W= 1.20m  I. Materials  pcs                                     RCPC 36"Ø (0.90m)                         </t>
  </si>
  <si>
    <t xml:space="preserve"> Russi See pic for samples</t>
  </si>
  <si>
    <t xml:space="preserve"> This project is dealing of Brgy. Cawayan, Lopez, Quezon</t>
  </si>
  <si>
    <t xml:space="preserve"> Republic of the Philippines BIDS AND AWARDS COMMITTEE Province of Iloilo Invitation to Bid Purchase of  DRUGS AND MEDICINES Bid No. RTH-20-0370-B 1. The Iloilo Provincial Government, through the  GENERAL FUND  2020 intends to apply the sum of NINETY FIVE </t>
  </si>
  <si>
    <t xml:space="preserve"> Invitation to Bid for Supply and Delivery of Office Equipment (1unit Drone, 3unit Handheld GPS, 10unit External Hard Drive 2TB, 10unit Laptop i7, 2unit Desktop Computer &amp; 2unit Printer A3) for Bukidnon IMO The National Irrigation Administration, through t</t>
  </si>
  <si>
    <t xml:space="preserve"> INVITATION TO RE-BID The Provincial Government of Occidental Mindoro through its Bids and Awards Committee (BAC) invites all interested contractors to apply for eligibility and to bid for the following projects: Reference No.	Name of Project	Location	Brie</t>
  </si>
  <si>
    <t xml:space="preserve"> - The Barangay Kilalaban, call for quotation for the procurement of hardware materials and construction supplies used for the Construction of Water System. - The Estimated Project Cost is One Hundred Eight Thousand One Hundred Thirty One Pesos (Php108,131</t>
  </si>
  <si>
    <t xml:space="preserve"> 1 set 1.0 HP Deepwell Motor pump (heavy duty) 7 pcs G.I. Pipe , 2"0, 6m length s- 40 6 pcs G.I. Coupling, 2"0 8 pcs G.I. Pipe, 1/2"0, 6m length s-40 6 pcs Coupling, 1/2 "0 1 pc 2 x 1 1/4 Tee Reducer 1 pc 1 1/4 x 10 G. I. Nipple 1 pc 1 1/4 G.I. Straight El</t>
  </si>
  <si>
    <t xml:space="preserve"> Re-bid for Contract Labor and Materials for the Expansion of Potable Water System Level III at Brgy. El Katipunan, Laak, Davao De Oro with an ABC of Php. 908,437.75.</t>
  </si>
  <si>
    <t xml:space="preserve"> ORGANIC FERTILIZER</t>
  </si>
  <si>
    <t xml:space="preserve"> Construction of 37 meters concrete perimeter fence</t>
  </si>
  <si>
    <t xml:space="preserve"> drugs and medicines</t>
  </si>
  <si>
    <t xml:space="preserve"> Desilting Works at Main Canal extension, Sta 20+745- Sta 21+045 - East Apayao Abulug Irrigation System, Allacapan, Cagayan Canal Excavation - By equipment = 3490.55 cu.m</t>
  </si>
  <si>
    <t xml:space="preserve"> See Associated Component for Specification and RFQ. Send accomplished Request For Quotation to: trc.malinao@gmail.com Please include the Copy of 1. Tin Number 2. Business / Mayors Permit 3. Philgeps Certification 4. DTI/ SEC Registration</t>
  </si>
  <si>
    <t xml:space="preserve"> Republic of the Philippines Province of Laguna MUNICIPALITY OF LUISIANA BARANGAY SAN RAFAEL INVITATION TO BID 1. Barangay San Rafael, Luisiana, Laguna intends to apply the sum of EIGHTY ONE THOUSAND PESOS ONLY (Php 81,000.00) being the Approved Budget for</t>
  </si>
  <si>
    <t xml:space="preserve"> Printing and Delivery of Learning Resources</t>
  </si>
  <si>
    <t xml:space="preserve"> HARD COPY BONDPAPER LONG SUB 20	30 REAMS ONION SKIN LONG	5 REAMS BODNPAPER LONG SUB 16	10 REAMS PENTEL PEN BLACK PERMANENT (FINE)	6 PCS COMPUTER RIBBON EPSON LX310	6 BXS TOILET BOWL CLEANER 500ML	12 BTLS. BALLPEN BLACK	2 DOZ. TISSUE PAPER	80 ROLLS SIGN PE</t>
  </si>
  <si>
    <t xml:space="preserve"> Title:Procurement of 1 Unit Water Finder/Resistivity under P.R No. 2314-2020 -CMO -Provision for Technical and Scientific Equipment (Continuing) Total ABC: Php 3,000,000.00 For representative/s of interested bidders  who wish to attend the Pre-Bidding Con</t>
  </si>
  <si>
    <t xml:space="preserve"> 1 3 BTL/S INK - EPSON 003 (BLACK) 2 2 REAM/S PAPER - BOND,PG,A4,210MMX297MM,70GSM. 3 4 REAM/S PAPER - BOND,PG,LEGAL,216MMX330MM(8-1/2"X13") 70 GSM 4 6 PC/S CORRECTION TAPE - W/ CASE 5 1 CAN/S INSECT SPRAY - WATERBASE 500ML</t>
  </si>
  <si>
    <t xml:space="preserve"> DESCRIPTION	UNIT	QUANTITY Project Billboard/ Signboard	each	   1.00 Structure Excavation 	Cu.m	8.74 Plain Concrete (concrete canal lining)	Cu.m	14.73</t>
  </si>
  <si>
    <t xml:space="preserve"> Construction of 24 meters concrete perimeter fence</t>
  </si>
  <si>
    <t xml:space="preserve"> 3/4 Marine Plywood 1/4x1x1x6m Angle Bar Welding Rod Bolt 3/16x1w/ nuts and washes 60x60 tiles counter sink faucet HDPE Pipe 1/2 Compression Type T reader coupling 1/2 Epoxy (1ltr) Epoxy Primer PVC Threaded Elbow 1/2 PVC Elbow 1/2 PVC Tee 1/2 PVC Elbow 1 1</t>
  </si>
  <si>
    <t xml:space="preserve"> ITEM DESCRIPTION: 1 UNIT MUNICIPAL SERVICE VEHICLE Specifications: Seating Capacity: 8 Audio: 2DIN CD/Tuner/MP3 Body Dimension: Min. Length 4,700mm Min. Width 1,800mm Min. Height 1,700mm Transmission: 6-Speed Automatic Engine: Type: 2.8 Liter Diesel Cylin</t>
  </si>
  <si>
    <t xml:space="preserve"> Invitation to Bid  For the  Construction/Rehabilitation of Existing Drainage System at Brgy. Concepcion, City Proper, Iloilo City 1.	The City of Iloilo, through the 20% Development Fund, CY2020 intends to apply the sum of Two Million Pesos (Php 2,000,000.</t>
  </si>
  <si>
    <t xml:space="preserve"> 1.	1 unit Desktop Computer Set Intel Core i5-7400 Processor MSI-H8110 VH Plus/Pro-D Motherboard 2Tb HDD Toshiba Lite on IHAS24 DVD Writer Neutron Casing with power supply 15.6 Monitor Deluxe USB keyboard and mouse  AVR 500 watts GT 710 16B SDDR3 Video Car</t>
  </si>
  <si>
    <t xml:space="preserve"> Republic of the Philippines BIDS AND AWARDS COMMITTEE Province of Iloilo Invitation to Bid Purchase of  OFFICE SUPPLIES For Bid No. ACC-20-0897-B 1. The Iloilo Provincial Government, through the  GENERAL FUND 2020 intends to apply the sum of TWO HUNDRED F</t>
  </si>
  <si>
    <t xml:space="preserve"> CONSTRUCTION MATERIALS &amp; SUPPLIES</t>
  </si>
  <si>
    <t xml:space="preserve"> l.	The MUNICIPALITY OF GUINAYANGAN, QUEZON, through the  2020  MDF   intends to apply the sum of  Fifty Seven Thousand Eight Hundred Fifteen Pesos                                  (P  57,815.00) being the Approved Budget for the Contract (ABC) to payments</t>
  </si>
  <si>
    <t xml:space="preserve"> RIBBON ADDING MACHINE (RED &amp; BLACK)	24 PCS	 BALLPOINT BLACK	144 PCS	 BALLPOINT PEN BLUE	144 PCS	 ENVELOPE (BROWN LONG SIZE)	100 PCS	 STAPLER (MAXX W/ STAPLE REMOVER)	2 PCS	 MIMEO PAPER WHITR (SHORT SIZE)	18 REAMS	 MIMEO PAPER WHITE (LONG SIZE)	60 REAMS	 G</t>
  </si>
  <si>
    <t xml:space="preserve"> 2	unit	EPSON L1300 (Long Barrel Printer)	 1	unit	EPSON L850 Photo All in one INK tank printer	 1	unit	EPSON WorkForce DS-410 A4	 		Duplex Sheet-fed Document Scanner	 2	units	Epson L6190 Printer	 2	units	LAPTOP Intel Core I5 Processor 4 GB RAM 500 SSD 15.6</t>
  </si>
  <si>
    <t xml:space="preserve"> LOCAL GOVERNMENT OF TITAY				Project Reference Number Province of Zamboanga Sibugay					Name of the Project:     Location of the Project:  Standard Form Number:	 Revised on: July 29, 2004 INVITATION TO BID The Municipality of Titay, Zamboanga Sibugay, thr</t>
  </si>
  <si>
    <t xml:space="preserve"> l.	The MUNICIPALITY OF GUINAYANGAN, QUEZON, through  the  2020  MDF   intends to apply the sum of  Two Hundred Two Thousand One Hundred Seventy Pesos    (P 202,170.00) being the Approved Budget for the Contract (ABC) to payments under the contract for  Su</t>
  </si>
  <si>
    <t xml:space="preserve"> l.	The MUNICIPALITY OF GUINAYANGAN, QUEZON, through  the  2020 MDF  intends to apply the sum of  One Hundred Fifty Four Thousand Thirty Six Pesos   (P  154,036.00) being the Approved Budget for the Contract (ABC) to payments under the contract for Supply </t>
  </si>
  <si>
    <t xml:space="preserve"> SEE ATTACHED DOCUMENTS...</t>
  </si>
  <si>
    <t xml:space="preserve"> Republic of the Philippines Province of Zamboanga del Sur MUNICIPALITY OF DINAS INVITATION TO BID July 30, 2020 The Municipality of Dinas, Zamboanga del Sur now invites bids for MUNICIPAL STREETS CONCRETING PADAO MORO STREETS at Poblacion, Dinas, Zamboang</t>
  </si>
  <si>
    <t xml:space="preserve"> Description Republic of the Philippines Province of Oriental Mindoro MUNICIPALITY OF NAUJAN BARANGAY ADRIALUNA BIDS &amp; AWARDS COMMITTEE INVITATION TO BID SUPPLY AND DELIVERY OF MATERIALS TO BE USED IN CONCRETING OF BARANGAY ROAD, SITIO HULO, BARANGAY ADRIA</t>
  </si>
  <si>
    <t xml:space="preserve"> July 29, 2020 	 INVITATION TO BID Reference No. 7142292 / Solicitation No. 2020/07/085 	The City Government of Tagum invites interested Bidders/Suppliers to submit for eligibility and to bid for the following: MATERIALS FOR CONSTRUCTION OF DRAINAGE CANALS</t>
  </si>
  <si>
    <t xml:space="preserve"> Grammarly Premium Subscription 500 users maximum 1-year subscription</t>
  </si>
  <si>
    <t xml:space="preserve"> Procurement of Additional Regular Drugs and Medicines Supplies of MHO - Laak, Davao De ORo with an ABC of Php. 414,650.00.</t>
  </si>
  <si>
    <t xml:space="preserve"> Invitation to Bid  For the  Construction/Rehabilitation/Improvement of Multi-Purpose Hall at Brgy. Pali-Benedicto, Mandurriao, Iloilo City 1.	The City of Iloilo, through the 20% Development Fund, CY2020 intends to apply the sum of One Million Six Hundred </t>
  </si>
  <si>
    <t xml:space="preserve"> SUPPLY, DELIVERY AND COMMISSIONING OF ONE (1) LOT SOLID WASTE MACHINERIES PROVINCIAL CAPITOL, SURIGAO CITY 1.	The Provincial Government of Surigao del Norte, through the Trust Fund (DENR-EMB), intends to apply the sum of Nineteen Million Nine Hundred Fift</t>
  </si>
  <si>
    <t xml:space="preserve"> LOGBOOK	10 PCS BONDPAPER (A4)	20 REAMS BONDPAPER (F4)	20 REAMS BLEACH 	10 GAL. TISSUE PAPER	77 PCS ALCOHOL 70%	30 BOTS. DISHWASHING (250ML)	6 BOTS. CLEANING DETERGENT POWDER (550G)	20 PACKS DETERGENT BAR	10 BARS INSECTICIDE SPRAY	10 PCS DISINFECTANT SPRAY</t>
  </si>
  <si>
    <t xml:space="preserve"> Concreting of San luis-amado boundary road</t>
  </si>
  <si>
    <t xml:space="preserve"> 1 unit floor polisher etc .. ADH</t>
  </si>
  <si>
    <t xml:space="preserve"> 1.	The MUNICIPALITY OF GUINAYANGAN, QUEZON,  through  the  2020 C.O.  intends to apply the sum of  Seventy  Seven  Thousand  Five Hundred  Pesos  (P   77,500.00) being the Approved Budget for the Contract (ABC) to payments under the contract for  Supply a</t>
  </si>
  <si>
    <t xml:space="preserve"> Procurement of Various Materials and Equipment for the Sound System of Laak National HIgh School, Kapatagan National High School and Kaligutan Elementary School - Laak, Davao De Oro with an ABC of 335,000.00</t>
  </si>
  <si>
    <t xml:space="preserve"> Tacunan Elementary School Please see attachment.</t>
  </si>
  <si>
    <t xml:space="preserve"> Republic of the Philippines Province of Zamboanga del Sur MUNICIPALITY OF DINAS INVITATION TO BID July 30, 2020 The Municipality of Dinas, Zamboanga del Sur now invites bids for MUNICIPAL STREETS CONCRETING LACUAREN STREETS at Poblacion, Dinas, Zamboanga </t>
  </si>
  <si>
    <t xml:space="preserve"> 256 bags cement 28.5 cu.m Gravel 14.5 cu.m Sand 3 kgs CWNails, Assorted 3 pcs RSB 12mm0 144 bdft Coco lumber</t>
  </si>
  <si>
    <t xml:space="preserve"> Republic of the Philippines Province of Zamboanga del Sur MUNICIPALITY OF DINAS INVITATION TO BID July 30, 2020 The Municipality of Dinas, Zamboanga del Sur now invites bids for UPGRADING AND IMPROVEMENT OF SITIO DOPONGAN ROAD at Legarda Uno, Dinas, Zambo</t>
  </si>
  <si>
    <t xml:space="preserve"> 1.	The MUNICIPALITY OF GUINAYANGAN, QUEZON, through  the  Trust  Fund intends to apply the sum of  Fifty Thousand Nine Hundred Ten Pesos (P 50,910.00) being the Approved Budget for the Contract (ABC) to payments under the contract for Supply and Delivery </t>
  </si>
  <si>
    <t xml:space="preserve"> 4165 seedlings Forest Tree seedlings 5555 seedlings Abaca seedlings</t>
  </si>
  <si>
    <t xml:space="preserve"> Republic of the Philippines PROVINCE OF MARINDUQUE Capitol Boac, Marinduque OFFICE OF BIDS AND AWARDS COMMITTEE Invitation to Bid  Furnishing labor, materials and  rental of equipment for the Improvement of Governor’s Office/Right Wing, Santol, Boac, Mari</t>
  </si>
  <si>
    <t xml:space="preserve"> 1.	5	tube/s	Plaster (Hospital size) 2.	150	piece/s	Nebulizing kit w/o mask  3.	200	piece/s	Macroset 4.	200	piece/s	Microset 5.	50	piece/s	Soluset 6.	4	roll/s	Gauze Hospital size 7.	20	piece/s	Heplock 8.	10	box/es	Disposable Syringe 3 cc 100s 9.	10	box/es	</t>
  </si>
  <si>
    <t xml:space="preserve"> PLEASE SEE ATTACHED BIDDING DOCUMENTS FOR COMPLETE DETAILS</t>
  </si>
  <si>
    <t xml:space="preserve"> MATERIALS AND FITTINGS</t>
  </si>
  <si>
    <t xml:space="preserve"> 4 unit rim with tire, brand new etc.. PGSO</t>
  </si>
  <si>
    <t xml:space="preserve"> l.	The MUNICIPALITY OF GUINAYANGAN, QUEZON, through the  2020  C.O.   intends to apply the sum of  One Hundred Ninety Six Thousand Five Hundred Ninety Four  Pesos     (P 196,594.00) being the Approved Budget for the Contract (ABC) to payments under the co</t>
  </si>
  <si>
    <t xml:space="preserve"> July 29, 2020 	 INVITATION TO BID Reference No. 7142359 / Solicitation No. 2020/07/086 	The City Government of Tagum invites interested Bidders/Suppliers to submit for eligibility and to bid for the following: MATERIALS FOR REHABILITATION OF STREETLIGHT I</t>
  </si>
  <si>
    <t xml:space="preserve"> Number: 	Quantity: 	Unit	PPMP_Code	PPMP_Code1	PPMP_Code2	PPMP_Remarks	Particulars	StockNo	Unit_Cost	Estimated_Cost 1	16640	pcs		1 Cacao Asexually Propagated Certified Quality Planting Materials		45.00	748,800.00 							Specifications:			 							a. Must be</t>
  </si>
  <si>
    <t xml:space="preserve"> 1 UNIT DESKTOP COMPUTER - . - PC22 1TB-8GB, Intel Core i5-7400 Coffee Lake 6-Core 2.90 GHz LGA 1151 (300 series) 65W. CPU Package Computer Set with Monitor, Keyboard, Mouse &amp; Mousepad (1 set)</t>
  </si>
  <si>
    <t xml:space="preserve"> Republic of the Philippines BIDS AND AWARDS COMMITTEE Province of Iloilo Invitation to Bid Purchase of I.T EQUIPMENT AND SOFTWARE For Bid No. ACC-20-0918-B 1. The Iloilo Provincial Government, through the  CAPITAL OUTLAY (SUPPLEMENTAL BUDGET 2017) intends</t>
  </si>
  <si>
    <t xml:space="preserve"> Department of Agriculture						 Bureau of Plant Industry						 National Seed Quality Control Services Division						 Malasin, San Mateo, Isabela, Philippines						 E-mail Address: nsqcs_reg2@yahoo.com.ph						 Mobile No.: 0947-680-9796, 0917-133-3274| Web</t>
  </si>
  <si>
    <t xml:space="preserve"> PURCHASE AND DELIVERY OF DRUGS AND MEDICINES FOR RURAL HEALTH UNIT 1.	The Municipal Government of Sta. Maria through the regular MHO fund 2020 intends   to apply the sum of Four Hundred Fifty Thousand Pesos (₱450,000.00) being                          the</t>
  </si>
  <si>
    <t xml:space="preserve"> T-PIECE SET Large bore continuous aerosol with corrugated tubing and “T” TUBE. FiO2 of 35 to 100% with feed set and immersion type heater INCENTIVE SPIROMETRY With one way valve, high visible pistons and universal graphics, atleast 1000-4000ml</t>
  </si>
  <si>
    <t xml:space="preserve"> Demolition of old Slaughterhouse,old warehouse,old water tank</t>
  </si>
  <si>
    <t xml:space="preserve"> CLEARING AND REMOVAL OF EXISTING STRUCTURE ROOFING WORKS CARPENTRY WORKS SANITARY WORKS PAINTING WORKS</t>
  </si>
  <si>
    <t xml:space="preserve"> Republic of the Philippines OFFICE OF THE PUNONG BARANGAY 	Barangay MAIKAY	 	Municipality of Tudela	 Province of Misamis Occidental INVITATION TO BID The Office of the Punong Barangay of Barangay Maikay through its Bids and Awards Committee [BAC], invites</t>
  </si>
  <si>
    <t xml:space="preserve"> 200   pcs  Standard Q Covid 19 Ag Test</t>
  </si>
  <si>
    <t xml:space="preserve"> Republic of the Philippines LOCAL GOVERNMENT UNIT OF GINGOOG BIDS AND AWARDS COMMITTEE Gingoog City INVITATION TO BID 1.	The Local Government Unit of Gingoog City, through the Budget for the contract approved by the Sangguniang Panlungsod, intends to appl</t>
  </si>
  <si>
    <t xml:space="preserve"> Medical, Dental and Laboratory Supplies		 Nitrile Gloves, Large, 100s	80	box Disposable Surgical Face Mask 3 ply (50s)	120	box N95 Mask (3M) 20’s	2	box KN95 Mask (without valve)	100	pcs Sterile Gauze Pad, 4x4 8-ply, 100s	40	box Sterile Gauze Pad, 3x3 8-pl</t>
  </si>
  <si>
    <t xml:space="preserve"> Title:Construction of 1 Unit 2 Classrooms at Sitio Salvacion, Barangay Manila De Bugabos, Butuan City Location: Barangay Manila De Bugabos, Butuan City Duration: 120 calendar days Total ABC: Php 3,064,853.87 For representative/s of interested bidders  who</t>
  </si>
  <si>
    <t xml:space="preserve"> PROJECT: PURCHASE OF 9 UNITS MOUNTAIN BIKES LOCATION: BARANGAY SAN JOSE, CONCEPCION, TARLAC APPROVED BUDGET FOR THE CONTRACT: PHP 131,850.00 SOURCE OF FUND: CAPITAL OUTLAY The contract to be performed by the successful bidder shall be specified in the Tec</t>
  </si>
  <si>
    <t xml:space="preserve"> 2 UNIT DESKTOP COMPUTER - . - PC22 1TB-8GB, Intel Core i5-7400 Coffee Lake 6-Core 2.90 GHz LGA 1151 (300 series) 65W. CPU Package Computer Set with Monitor, Keyboard, Mouse &amp; Mousepad (1 set)</t>
  </si>
  <si>
    <t xml:space="preserve"> Supply/Delivery of 1 (one) unit computer high back chair and 8 (eight) units low back chairs</t>
  </si>
  <si>
    <t xml:space="preserve"> 10	pcs	Gauze bandage (non-sterile 4x)				 10	box	Disposable Gloves medium size				 8	box	Disposable masks				 4	box	N95 Mask 10's				 1	box	Epipen (epinephrine auto-injector 0.3mg)				 6	pcs	Ice bag small (6 inches)				 10	bot	Plain NSS (500ml)				 10	pcs</t>
  </si>
  <si>
    <t xml:space="preserve"> JOB ORDER: Provision of food good for 30 pax/day during the Enterprise Assessment in Mahaplag, Leyte on September 22-23, 2020; in Tabon-tabon, Leyte on September 29-30, 2020. No.	Scope of Work	Quantity	Unit_Cost	ABC 	Mahaplag, Leyte			 	September 22, 2020</t>
  </si>
  <si>
    <t xml:space="preserve"> 1. The Municipal Government of Sta. Cruz, through its General Fund intends to apply the sum of Two Hundred Fifty Thousand Pesos (P250,000.00) being the Approved Budget for the Contract (ABC) to payments under the contract for Project: Supply and Delivery </t>
  </si>
  <si>
    <t xml:space="preserve"> July 29, 2020 	 INVITATION TO BID Reference No. 7142400 / Solicitation No. 2020/07/087 	The City Government of Tagum invites interested Bidders/Suppliers to submit for eligibility and to bid for the following: MATERIALS FOR REHABILITATION OF LOCAL ROADS I</t>
  </si>
  <si>
    <t xml:space="preserve"> 1.	500	vial/s	Cefuroxime sodium 750mg  2.	10	box/es	Celocoxib 200mg cap 100s 3.	30	bottle/s	Cetirizine 2.5mg/ ml drops 10ml 4.	30	bottle/s	Cetirizine 5mg/ 5ml syrup 60m 5.	30	bottle/s	Cloxacillin 250mg/ 5ml syrup 60ml 6.	10	box/es	Cloxacillin 500mg capsul</t>
  </si>
  <si>
    <t xml:space="preserve"> Concreting of Alban Street,Cabatacan Pudtol,Apayao</t>
  </si>
  <si>
    <t xml:space="preserve"> UNIT                     DESCRIPTION                                                QUANTITY CONCRETING &amp; MASONRY WORKS  cu.m                     Cement                                                                619 cu.m                     Sand      </t>
  </si>
  <si>
    <t xml:space="preserve"> Approved Budget for the Contract: P74,670.00 Location: Evacuation Center, Poblacion I, RTRomualdez, Agusan del Norte Please quote your lowest price on the item/s listed below, subject to the Terms and Conditions stipulated herein and submit your quotation</t>
  </si>
  <si>
    <t xml:space="preserve"> 30 watt Solar Light Street lamp installed in 3"0 x 6.0m G.I. Pipe (sch 40) and stable concrete pedestal</t>
  </si>
  <si>
    <t xml:space="preserve"> Republic of the Philippines PROVINCE OF MARINDUQUE Capitol Boac, Marinduque OFFICE OF BIDS AND AWARDS COMMITTEE Invitation to Bid  Furnishing labor, materials and  rental of equipment for the Improvement of Governor’s Office/Left Wing, Santol, Boac, Marin</t>
  </si>
  <si>
    <t xml:space="preserve"> Republic of the Philippines BATANGAS STATE UNIVERSITY Batangas City REQUEST FOR QUOTATION "Procurement of Supplies and Materials for the repair and maintenance of AVR of the Technopreneurship at DOST GIA TBI 4.0 KITE Program"  1. The Batangas State Univer</t>
  </si>
  <si>
    <t xml:space="preserve"> REPUBLIC OF THE PHILIPPINES PROVINCE OF LA UNION MUNICIPALITY OF CABA Barangay Santiago Sur BIDS AND AWARDS COMMITTEE INVITATION TO BID FOR THE PROCUREMENT OF INFRASTRUCTURE PROJECTS  The Santiago Sur Barangay Council, Caba, La Union, through the Developm</t>
  </si>
  <si>
    <t xml:space="preserve"> Road Concreting  4m x 0.20m x 22m concrete road</t>
  </si>
  <si>
    <t xml:space="preserve"> Republic of the Philippines Province of Leyte Municipality of Pastrana  -oOo- BARANGAY SAPSAP INVITATION TO BID  CONSTRUCTION OF CONCRETE PATHWAY (L=70m, W=1m, H=0.01016m) The Local Government Unit of Barangay Sapsap, Municipality of Pastrana, intends to </t>
  </si>
  <si>
    <t xml:space="preserve"> Republic of the Philippines Province of Batangas MUNICIPALITY OF LEMERY INVITATION TO BID FOR Concreting/Construction/Widening of Climate Change Resilient road at Barangay Bucal, Lemery, Batangas 1.	The MUNICIPALITY OF LEMERY through the Annual Budget CY </t>
  </si>
  <si>
    <t xml:space="preserve"> REPUBLIC OF THE PHILIPPINES PROVINCE OF LA UNION MUNICIPALITY OF CABA BARANGAY SAN CARLOS  BIDS AND AWARDS COMMITTEE INVITATION TO BID FOR THE PROCUREMENT OF INFRASTRUCTURE PROJECTS 	      The San Carlos Barangay Council of Caba, La Union, through the Dev</t>
  </si>
  <si>
    <t xml:space="preserve"> 10 - units:  WINDOW TYPE AIRCONDITIONING UNIT                  2HP, NON-INVERTER, 1 PHASE, 230  VAC, 60 HZ PURPOSE: FOR DICT-MC3 PROVINCIAL OFFICES ALL DELIVERIES BY SUPPLIERS SHALL BE SUBJECT TO INSPECTION, AND ACCEPTANCE BY THE COMMITTEE. The Supplier w</t>
  </si>
  <si>
    <t xml:space="preserve"> 500 REAMS --- BOND PAPER (SHORT) --- PHP 100,000.00</t>
  </si>
  <si>
    <t xml:space="preserve"> Quantity : 60  Unit : SACKS  RICE (Good Quality)  Unit Cost : 2,000.00 Total Cost : 120,000.00</t>
  </si>
  <si>
    <t xml:space="preserve"> Complete Construction of (9.50m x 32.0m) Two (2) Storey, Six (6) Classroom School Building mostly built with concrete and masonry, with PWD ramp with handrails, parapet wall on concrete gutter, and complete with electrical works, sanitary/plumbing work, f</t>
  </si>
  <si>
    <t xml:space="preserve"> One (1)Year Provision of cloud-based, enterprise-wide, productivity applications and related technical support for 200 users. Email application with advanced threat management, archiving, information protection Compatible with office productivity applicat</t>
  </si>
  <si>
    <t xml:space="preserve"> I. Rehabilitation/Construction of Drainage System in Buenavista, Bato, Catanduanes  (Php135,780.00) 1.	150	bags	Portland cement 2.	10	cu.m.	Sand 3.	7	cu.m.	Gravel 4.	1260	bags	4” CHB 5.	175	pcs	10mm diam. X 6.0m RSB 6.	8	pcs	Tire Wire 7.	5	pcs	Pail 8.	1	l</t>
  </si>
  <si>
    <t xml:space="preserve"> 1    unit	LAPTOP                 Core i7                 RAM: 8GB DDR                 Storage:1 TB + 256 SSD                 OS: Windows 10                 Display: 14 inches 1     unit     MS Office  Home &amp; Student Lifetime 1     unit      Anti-virus</t>
  </si>
  <si>
    <t xml:space="preserve"> Please see attached Technical Specifications</t>
  </si>
  <si>
    <t xml:space="preserve"> ITEM DESCRIPTION: 2 Units HIGH VOLUME LOW SPEED (HVLS) FAN SPECIFICATIONS: Diameter: Minimum 20 ft. Motor: 2.0 hp Max Speed: Minimum 78 PRM Fan Weight: Maximum 132 kg. INSTALLATION: Fan Mounting and Assembly Fan Termination and Commissioning Additional Br</t>
  </si>
  <si>
    <t xml:space="preserve"> ACER LAPTOP i5 PRINTER Epson L3110</t>
  </si>
  <si>
    <t xml:space="preserve"> Supply, delivery and installation of Radio Communication Equipment/ Network with Installation/ Labor and NTC License Fee for all Radio Communication Equipment	1	LOT Inclusions:		 1 unit VHF/UHF FM Dual Band Base Radio; Model; Kenwood TMV-71A		 Specificati</t>
  </si>
  <si>
    <t xml:space="preserve"> Number: 	Quantity:  							Supply and Delivery of DRUGS AND BIOLOGICS			 							Multivitamins for Poultry			 1	4	box		Chlortetracycline Hydrochloride Vitamin A + B12 (Classic)		625.00	2,500.00 2	4	box		Chlortetracycline Hydrochloride Vitamin A + B12 (Prem</t>
  </si>
  <si>
    <t xml:space="preserve"> Pathway : Length=90.00 , Width=1.00m , Thickness=0.10m</t>
  </si>
  <si>
    <t xml:space="preserve"> Republic of the Philippines BATANGAS STATE UNIVERSITY Batangas City REQUEST FOR QUOTATION "Procurement of Printing and Publication of Commencement Program for the Graduation  2020"  1. The Batangas State University (BatState U) through the Bids and Awards</t>
  </si>
  <si>
    <t xml:space="preserve"> BJMP XI Compound (Regional Office Conference), Ma-a Davao City</t>
  </si>
  <si>
    <t xml:space="preserve"> 240 BAG/S PORTLAND CEMENT - with delivery at Municipal Warehouse - TYPE 1</t>
  </si>
  <si>
    <t xml:space="preserve"> Republic of the Philippines PROVINCE OF MARINDUQUE Capitol Boac, Marinduque OFFICE OF BIDS AND AWARDS COMMITTEE Invitation to Bid  Furnishing labor, materials and equipment rental for the Repair of Capitol Building (Governor’s Hall) at Capitol Compound, S</t>
  </si>
  <si>
    <t xml:space="preserve"> I.   Site Clearing &amp; Cleaning II.  Concrete Works III. Tapping works IV.  Construction safety &amp; health program Labor OCM/CP/VAT</t>
  </si>
  <si>
    <t xml:space="preserve"> INVITATION TO BID  Purchase and Delivery of Cell cards  ITB 2020-07-040(GOODS) 1. 	The Municipality of Tuba, through the Budget for the contract approved by the Sangguniang Bayan for CY 2020 intends to apply the sum of One Million Six Hundred Twenty Four </t>
  </si>
  <si>
    <t xml:space="preserve"> 6    units   Brand New Laptop                 Intel -i5 8th/9th Gen                8 GB RAM, 256 GD SSD                46B Video Card 1    unit    Multimedia - 5,500 lumens 5    units  Projector Screen   1    unit    Printer with scanner and photo copier </t>
  </si>
  <si>
    <t xml:space="preserve"> REPAIR/MAINTENANCE OF DPWH BUILDING</t>
  </si>
  <si>
    <t xml:space="preserve"> Spl-1 - Excavation Spl-2 - Concrete Works Spl-3 - Iron Works Spl-4 - Electrical Works</t>
  </si>
  <si>
    <t xml:space="preserve"> PURCHASE OF MEDICINE</t>
  </si>
  <si>
    <t xml:space="preserve"> Republic of the Philippines Province of Batangas MUNICIPALITY OF LEMERY INVITATION TO BID FOR Concreting/Construction/Widening of Climate Change Resilient road at Barangay Masalisi, Lemery, Batangas 1.	The MUNICIPALITY OF LEMERY through the Annual Budget </t>
  </si>
  <si>
    <t xml:space="preserve"> Auto Supplies for the Repair and Maintenance of Service Vehicle &amp; Payloader.  Source of Fund: 3-01-001 (Repair Transportation) Prospective bidders should have experience in undertaking a similar project within the last two years with an amount of at least</t>
  </si>
  <si>
    <t xml:space="preserve"> 1 2 PAN/S PLYBOARD - Marine- 10mmx1.2mx2.4m 2 2 PAN/S PLYWOOD - Marine-1.2'x2.4x5mm 3 2 MTR/S WIRE SCREEN - 1/8 THK/MESH 4 10 KG/S WELDING ROD - ORDINARY 5 10 KG/S. G.I. TIE WIRE - #16 6 12 PC/S. HACKSAW BLADE 7 36 PC/S CUTTING DISK - . 8 82 LGTH/S DRB - </t>
  </si>
  <si>
    <t xml:space="preserve"> 1 1 UNIT PRINTER - . - Colored Multi-Function Printer with Scanner 2 1 UNIT PRINTER - . - A3+ Single Function Colored Printer with built-in Ink Tank System</t>
  </si>
  <si>
    <t xml:space="preserve"> Please see attached copy of Request for Quotation</t>
  </si>
  <si>
    <t xml:space="preserve"> Republic of the Philippines Department of Agriculture BUREAU OF PLANT INDUSTRY NATIONAL SEED QUALITY CONTROL SERVICES Region 02   										               REQUEST FOR QUOTATION July 29, 2020 Company Name:	______________________________________ Address:		_</t>
  </si>
  <si>
    <t xml:space="preserve"> Republic of the Philippines PROVINCE OF MARINDUQUE Capitol Boac, Marinduque OFFICE OF BIDS AND AWARDS COMMITTEE Invitation to Bid  Furnishing labor, materials and rental of equipment for the Improvement of Governors Hall &amp; Hallway, Santol, Boac, Marinduqu</t>
  </si>
  <si>
    <t xml:space="preserve"> Republic of the Philippines Province of Misamis Oriental MUNICIPALITY OF BALINGOAN -o0o- Municipal Bids and Awards Committee Invitation to Bid for PURCHASE OF MATERIALS FOR  DEVELOPMENT OF WATER SYSTEM MANTANGALE, BALINGOAN, MISAMIS ORIENTAL ITB No. BAL-A</t>
  </si>
  <si>
    <t xml:space="preserve"> Republic of the Philippines			 Province of Negros Oriental			 Municipality of Amlan			 BIDS AND AWARDS COMMITTEE			 			 INVITATION TO BID			 			 The Municipality of Amlan, Negros Oriental invites all interested bidders/suppliers  to a competitive bidding </t>
  </si>
  <si>
    <t xml:space="preserve"> PURCHASE OF COMMON AND NON-COMMON OFFICE SUPPLIES</t>
  </si>
  <si>
    <t xml:space="preserve"> As per Request for Quotation No. QN20-07-225 under PR20-06-295 1 btl Sodium iminodiacetate 1 btl Chromium (III) sulfate hydrate</t>
  </si>
  <si>
    <t xml:space="preserve"> Republic of the Philippines Barangay Villa Ibaba Municipality of Atimonan Province of Quezon INVITATION TO BID 	The Barangay Government Unit of Brgy Villa Ibaba Atimonan, Quezon thru the Bids and Awards Committee (BAC) invites interested suppliers/contrac</t>
  </si>
  <si>
    <t xml:space="preserve"> Republic of the Philippines Province of Surigao del Sur Municipality of Tago ---ooo0ooo--- Invitation to Bid Purchase of Food Supply Project ID No. TAG-SDS-073 -2020 The Local Government Unit of  Tago, Surigao del Sur invites sealed Bids from eligible Bid</t>
  </si>
  <si>
    <t xml:space="preserve"> Republic of the Philippines Province of Batangas MUNICIPALITY OF LEMERY INVITATION TO BID FOR Concreting/Construction/Widening of Climate Change Resilient road at Barangay Mataas na Bayan, Lemery, Batangas 1.	The MUNICIPALITY OF LEMERY through the Annual </t>
  </si>
  <si>
    <t xml:space="preserve"> 1 unit Laptop 1 unit Printer 1 unit Steel Cabinet (4 layers) 1 set Computer Desktop 1 unit Auto Recorder (Digital)</t>
  </si>
  <si>
    <t xml:space="preserve"> Please see attached File</t>
  </si>
  <si>
    <t xml:space="preserve"> 267 BAG/S PORTLAND CEMENT - with delivery at Municipal Warehouse - Type 1</t>
  </si>
  <si>
    <t xml:space="preserve"> 387 BAG/S PORTLAND CEMENT - with delivery at Municipal Warehouse - Type 1</t>
  </si>
  <si>
    <t xml:space="preserve"> The Department of Agriculture-RFO 3, invites interested suppliers to submit quotations/proposals for the hereunder requirement, to wit: 		Other Supplies	 50	ream	Bond Paper (subs 24, 80 gsm, 210 mm x 297 m A4)	 50	ream	Bond Paper (subs 24, 80 gsm, F4, leg</t>
  </si>
  <si>
    <t xml:space="preserve"> Supply &amp; Delivery of Animals ABC:120,000.00 6 head  Gilt (Pig)  -	High breed -	6 mos. Old -	60-70 kgs 		 4 head  Native Chicken   -	Roaster -	 ready to breed -	1-1.4 kgs 36 head  Native Chicken  -	Hen  -	Ready to breed -	1.2- 1.5kgs 1 head  Goat (Buck) -	</t>
  </si>
  <si>
    <t xml:space="preserve"> PLEASE SEE ATTACHED BID DOCUMENTS FOR COMPLETE SPECIFICATION</t>
  </si>
  <si>
    <t xml:space="preserve"> I.  FABRICATION WORKS Labor OCM/CP/VAT .</t>
  </si>
  <si>
    <t xml:space="preserve"> 60	BAGS	CORN SEEDS OPV (20KGS) 1000	HDS	        CHICKEN (BROILER) 		 5	BAGS	TILAPIA FEEDS (STARTER) 40	BAGS	TILAPIA FEEDS (GROWER) 25 KG 		 10	BAGS	TILAPIA FEEDS (FINISHER) 25KG 50	PCS	        PLASTIC DRUM (200 L CAP.)</t>
  </si>
  <si>
    <t xml:space="preserve"> 1 1 LOT MODULAR PLAY SYSTEM ( TYPE A ) - With Free Delivery and Installation at the Specific Site 2 1 LOT MODULAR PLAY SYSTEM ( TYPE B ) - With Free Delivery and Installation at the Specific Site</t>
  </si>
  <si>
    <t xml:space="preserve"> CONTRACT ID:	19GL00120; P.R. No. 2020-03-042 DATED 03/19/2020 CONTRACT LOCATION: DPWH R.O. XI (NEW BUILDING) CONTRACT DESCRIPTION: PROCUREMENT OF ONE (1) LOT OF VARIOUS CABINETS &amp; FILE STORAGE, FOR USE IN THE DPWH R.O. XI, UNDER ADMINISTRATIVE DIVISION, D</t>
  </si>
  <si>
    <t xml:space="preserve"> STOCK NO.	UNIT	ITEM DESCRIPTION				QTY 1	cu.m	Common Excavation (Canal reshaping)				 5,100.82  		x-x-x-x-x-x-x-x				 Purpose / Remarks:	Maintenance of canal facilities of UCRIS.</t>
  </si>
  <si>
    <t xml:space="preserve"> The PHILIPPINE SCIENCE HIGH SCHOOL - MIMAROPA REGION CAMPUS (PSHS-MRC) intends to apply the sum of TWO HUNDRED FIFTY-THREE THOUSAND FOUR HUNDRED SEVEN PESOS (Php253,407.00) being the Approved Budget for the Contract (ABC) to pay for the contract for the P</t>
  </si>
  <si>
    <t xml:space="preserve"> Spare Parts Engine Oil Brake pad Oil Filter Fuel filter Air Filter Element Fan Pulley Belt 6pk Battery 11 plates Battery Clamp Battery lug Vacuum hose w/crimping Silicone Gasket Magnetic cluctch Assy. Evaporator Filter Drier Expansion Valve Orings Tail Li</t>
  </si>
  <si>
    <t xml:space="preserve"> Provision of Fuel for Various Municipal Health Vehicle for August 2020</t>
  </si>
  <si>
    <t xml:space="preserve"> Republic of the Philippines Province of Batangas MUNICIPALITY OF LEMERY INVITATION TO BID FOR Concreting/Construction/Widening of Climate Change Resilient road at Barangay Ayao-Iyao, Lemery, Batangas 1.	The MUNICIPALITY OF LEMERY through the Annual Budget</t>
  </si>
  <si>
    <t xml:space="preserve"> Number: 	Quantity: 	 							Supply and Delivery of PLANTING MATERIALS			 										 1	14851	pc		INDEGOFIRA		20.00	297,020.00 							Minimum Specifications:			 							Seedling; Ready to Plant			 										 2	14851	pc		TRICHANTERA		20.00	297,020.00 							M</t>
  </si>
  <si>
    <t xml:space="preserve"> ITEM NO.       QTY.       UNIT         DESCRIPTION	                        UNIT PRICE	     TOTAL COST 1	              80	  Pcs	          30x60 Granite Tiles (Stair)	220.00	             17,600.00 2	             444	  Pcs	          60x60 Granite Tiles	     </t>
  </si>
  <si>
    <t xml:space="preserve"> 1 unit Ambulance</t>
  </si>
  <si>
    <t xml:space="preserve"> Republic of the Philippines	 Province of Bohol	 Municipality of Buenavista	 INVITATION TO APPLY FOR ELIGIBILITY AND TO BID	 The Local Government Unit of Buenavista, Bohol, through its Bids and Awards Committee (BAC), invites suppliers/manufacturers/distri</t>
  </si>
  <si>
    <t xml:space="preserve"> 20 pcs. 70 watts HPS Lamp SON-L self ignited 20 pcs. 70 watts HPS Lamp SON-T 20 pcs. 150 watts HPS Lamp SON 20 pcs. 250 watts HPS Lamp SON 8 pcs. 70 watts HPS Ballast</t>
  </si>
  <si>
    <t xml:space="preserve"> 1. The Municipal Government of Sta. Cruz, through its General Fund intends to apply the sum of Five Million Five Hundred Thousand Pesos (P5,500,000.00) being the Approved Budget for the Contract (ABC) to payments under the contract for Project: Supply, De</t>
  </si>
  <si>
    <t xml:space="preserve"> INVITATION TO BID  CONCRETING OF SITIO KANLUKDUHAN, BARANGAY GOMENTOC, BARANGAY ROAD, AYUNGON, NEGROS ORIENTAL (2ND POSTING) BID IDENTIFICATION NUMBER 2020-07-33 1.	The Municipality of Ayungon, through the 20% LDF 2020 Supplemental Budget intends to apply</t>
  </si>
  <si>
    <t xml:space="preserve"> Republic of the Philippines Province of Surigao del Sur Municipality of Tago ---ooo0ooo--- Invitation to Bid Purchase of Water System Materials &amp; supply Project ID No. TAG-SDS-074 -2020 The Local Government Unit of  Tago, Surigao del Sur invites sealed Bi</t>
  </si>
  <si>
    <t xml:space="preserve"> Construction of Plaza Fence</t>
  </si>
  <si>
    <t xml:space="preserve"> ********************************************APPROVED BUDGET 1. 12 ROLL 2.0MM2 (#14 AWG) STRANDED. CU. WIRE, Php 66,000.00 THHN PHELPS DODGE (Php5,500.00/ROLL) 2. 20 ROLL 3.5MM2 (#12 AWG) STRANDED CU. WIRE, Php 146,000.00 THHN PHELPS DODGE (Php7,300.00/ROL</t>
  </si>
  <si>
    <t xml:space="preserve"> PURCHASE OF RESPONDER ENDURANCE AND PHYSICAL ENHANCEMENT MACHINE</t>
  </si>
  <si>
    <t xml:space="preserve"> Spl-1 - Masonry Works Spl-2 - Concrete Works Spl-3 - Painting Works Spl-4 - Tile Works Spl-5 - Doors and Windows Spl-6 - Railings</t>
  </si>
  <si>
    <t xml:space="preserve"> Republic of the Philippines Province of Eastern Samar City of Borongan -0- BIDS AND AWARDS COMMITTEE ------------------------------------------------------------------------------------------ Invitation to Bid for REPAIR OF BARANGAY BALACDAS MULTI-PURPOSE</t>
  </si>
  <si>
    <t xml:space="preserve"> Invitation to Construction of Streetlighting at Purok 3 The Barangay Bood, through the  continuing Appropriation intends to apply the sum of Seventy Eight Thousand One Hundred Forty Two Pesos  (P 78,142.00) being the Approved Budget for the Contract (ABC)</t>
  </si>
  <si>
    <t xml:space="preserve"> 1-lot various construction Material        for Office CANOPY Please see attached RFQ for your references. Purpose: for use in the DICT-MC3 Regional Office Canopy Note: All deliveries by the suppliers shall be subject to inspection and acceptance by the in</t>
  </si>
  <si>
    <t xml:space="preserve"> Invitation to Bid No. LGU-Lupao- 2020-040 The Local Government of Lupao, Nueva Ecija Invitation to Bid for the Concreting of Farm to Market Road located at San Isidro to Mapangpang Road of this municipality with Identification No. 2020-040 1. The Municipa</t>
  </si>
  <si>
    <t xml:space="preserve"> CONCRETE WORKS</t>
  </si>
  <si>
    <t xml:space="preserve"> l.	The MUNICIPALITY OF GUINAYANGAN, QUEZON, through the  2020 C.O.   intends to apply the sum of  Three Hundred Fifty Nine Thousand Nine Hundred Seventy Seven   Pesos (P 359,977.00) being the Approved Budget for the Contract (ABC) to payments under the co</t>
  </si>
  <si>
    <t xml:space="preserve"> CONSTRUCTION OF UNGBUL-LABANNON FARM TO MARKET ROAD</t>
  </si>
  <si>
    <t xml:space="preserve"> GARBAGE DUMPTRUCK ENGINE *ENGINE TYPE: 4 cylinders inline,water-cooling, turbocharger * DISPLACEMENT: 3.76L * POWER-OUTPUT: 154Hp/2600rpm *TORQUE: 500N.m/1200-1900rpm * TRANSMISSION: 6-speed Manual+ 1 reverse (ZF 65500)  SIZE *OVER-ALL DIMENSION (LxWxH): </t>
  </si>
  <si>
    <t xml:space="preserve"> Supply and Delivery of One (1) Unit Risograph Machine/ Digital Duplicator * Specifications :  Direct prenting from a USB flash drive  Direct from PC Print  High Speed digital master making/fully  automatic stencil printing  Paper Size : Must be  A3 size o</t>
  </si>
  <si>
    <t xml:space="preserve"> ITEM               DESCRIPTION                                                      UNIT                     QTY 103                 STRUCTURE EXCAVATION/ CLEARING                    Cu. M                    30.00 SPL 1               DRAINAGE CANAL       </t>
  </si>
  <si>
    <t xml:space="preserve"> INVITATION TO BID  CONCRETING OF TAMBO BARANGAY ROAD, AYUNGON, NEGROS ORIENTAL (2ND POSTING) BID IDENTIFICATION NUMBER 2020-07-34 1.	The Municipality of Ayungon, through the 20% LDF 2020 Supplemental Budget intends to apply the sum of Two Million Pesos (P</t>
  </si>
  <si>
    <t xml:space="preserve"> Republic of the Philippines PROVINCE OF MARINDUQUE Capitol Boac, Marinduque OFFICE OF BIDS AND AWARDS COMMITTEE Invitation to Bid  Furnishing labor, materials and equipment rental for the Rehab./Improvement of Brgy. Water Works System, Brgy. Puting Buhang</t>
  </si>
  <si>
    <t xml:space="preserve"> Supply and Delivery of; STOCK NO.	UNIT	ITEM DESCRIPTION				QTY 1	pcs	Tire 235/70, R15				4 		x-x-x-x-x-x-x				 Purpose / Remarks:	For use of Isuzu Pick-up, SFK 988</t>
  </si>
  <si>
    <t xml:space="preserve"> Provision of Food &amp; Accommodation for 2 days ABC:97,500.00 	1st day 	50 pax Full Board (3 Meals &amp; 2 Snacks with Accommodation)   	2nd day 	50 pax  1 Meal &amp; 2 Snacks  	(during the conduct of Regional PRIME Mid-Year  Assessment  on September 29-30 2020 at G</t>
  </si>
  <si>
    <t xml:space="preserve"> Republic of the Philippines PROVINCE OF MARINDUQUE Capitol Boac, Marinduque OFFICE OF BIDS AND AWARDS COMMITTEE Invitation to Bid  Furnishing labor, materials and equipment rental for the Concreting/Rehabilitation/Improvement/Upgrading of Villa Mendez, Mo</t>
  </si>
  <si>
    <t xml:space="preserve"> Printing &amp; Delivery of Livestock IEC Materials ABC:105,000.00 1,000 copies African Swine Fever Awareness Poster -	24” x 36” -	FC 15, Full color 1 side 1,000 copies Bird Flu Awareness Brochure  -	C2S 120 lbs., full color, back top back, 3 folds 		Note:    </t>
  </si>
  <si>
    <t xml:space="preserve"> *Installation of Streetlights  * The materials to be used in this project must be in good condition. Not recon. *High in quality  *Not expensive in price.</t>
  </si>
  <si>
    <t xml:space="preserve"> 1 10 ROLL/S NYLON STRING - . - 40Lbs.-1/8" 2 1 BOX/S CHALK STONE 3 1 UNIT/S PE EMPTY CONTAINER - (Color White with Steel Frame) Daconil 4 30 MTR/S TRAPAL - 7' BLUE/ORANGE WATERPROOF SHEETING MATERIAL 5 10 PC/S CONSTRUCTION HELMET/HARD HAT - 1 White, 5 Yel</t>
  </si>
  <si>
    <t xml:space="preserve"> Rehabilitation of Multi-Purposed Building 						(UP-2020-07-005-IB) The Brgy. Upper Panikian of LGU-Pitogo, through the Bids and Awards Committee (BAC), invites suppliers registered with the PhilGEPS to apply for eligibility and if found eligible, to bid </t>
  </si>
  <si>
    <t xml:space="preserve"> 5 reams Bond Paper Long subs. 20 2 reams Bond Paper Short subs 20 1 pack Tissue Paper Core Less 12's 2 btls Ink Black (L360) 1 btl Ink Cyan (L360) 1 btl Ink Magenta (L360) 1 btl Ink Yellow (L360) 5 pcs Correction Tape 20 pcs Folder Long 3 pcs Highlighter </t>
  </si>
  <si>
    <t xml:space="preserve"> 1 unit Multi-functional Photocopier</t>
  </si>
  <si>
    <t xml:space="preserve"> Road Concreting  - 4m x 0.20m x 22m Concrete Road</t>
  </si>
  <si>
    <t xml:space="preserve"> 1 9 PC/S TEFLON - 1/2" 2 3 PC/S FLEXIBLE HOSE - 1/2x3/4 ( Lavatory ) 3 10 SET/S FITTINGS - for water closet 4 2 PC/S URINAL BOTTOM FLUSH - . 5 10 PC/S FAUCET - Lavatory Standard 6 10 PC/S PVC COUPLING - Eslon Blue 1/2" 7 10 PC/S PVC ELBOW - Eslon Blue 1/2</t>
  </si>
  <si>
    <t xml:space="preserve"> Description Republic of the Philippines Province of Oriental Mindoro MUNICIPALITY OF NAUJAN BARANGAY GENERAL ESCO BIDS AND AWARDS COMMITTEE INVITATION TO BID SUPPLY AND DELIVERY OF MATERIALS TO BE USED FOR REPAIR AND MAINTENANCE OF OTHER STRUCTURE (MPH), </t>
  </si>
  <si>
    <t xml:space="preserve"> 13 - units: PORTABLE INVERTER GENERATOR, 3.0 KVA Please see attached RFQ for your references. Purpose: for use in the DICT-MC3 Regional Office &amp; Provincial Offices Note: All deliveries by the suppliers shall be subject to inspection and acceptance by the </t>
  </si>
  <si>
    <t xml:space="preserve"> UNIT              DESCRIPTION                                                      QUANTITY  I. MASONRY/CONCRETE WORKS:  Qty.= 1 lot  pcs                 CHB #6                                                                 7461  pcs                 CHB </t>
  </si>
  <si>
    <t xml:space="preserve"> Komatsu Mini Wheel Backhoe Repair and Installation of Hydraulic Pump I.Parts 1.3 Stage – Hydraulic Pump Assy ( B. New) II. Machine Shop 1.Modification of Pump 2.Reinstall of fittings and valve 3. Fabrication of Pump bolts 4. Orings, fittings 5. Assembly o</t>
  </si>
  <si>
    <t xml:space="preserve"> see attched documents</t>
  </si>
  <si>
    <t xml:space="preserve"> 50	pcs	-  TONER WITH FREE USE OF PRINTER/COPIER (OPT-55A COMPUTER FOR HP L J P 3015)</t>
  </si>
  <si>
    <t xml:space="preserve"> LOCAL GOVERNMENT UNIT OF NAGUILIAN , ISABELA INVITATION TO BID FOR the PURCHASE OF TWO (2) UNITS COPYING MACHINE. 1.	The Local Government Unit of Naguilian, Isabela, through the Special Education Fund (SEF) intends to apply the sum of Four Hundred Fifty T</t>
  </si>
  <si>
    <t xml:space="preserve"> 27843-001	Repair and Maintenance - NRW	1	LOT	168,000.00	168,000.00 TECHNICAL SPECIFICATIONS: Supply of Miantenance Service to Existing JICA Funded 59 ABB Electromagnetic Flowmeters 1. SCOPE The service shall cover 59 units ABB Electromagnetic Flowmeters o</t>
  </si>
  <si>
    <t xml:space="preserve"> Republic of the Philippines Zamboanga Peninsula Department of Health Basilan General Hospital Isabela City, Basilan 7300                                                        INVITATION TO BID FOR  Procurement of Supply, Delivery, Testing and Commissioni</t>
  </si>
  <si>
    <t xml:space="preserve"> REQUEST FOR QUOTATION														 														 RFQ No.		SVP 20-0902				Date				7/29/2020				 PR Reference		100-20-07-059				Implementing Office				CPDO				 Closing Date and Time														 Designated Places of Submission (Bid Box Designated Locatio</t>
  </si>
  <si>
    <t xml:space="preserve"> PROJECT:CONCRETING OF ROAD PUROK 5 LOCATION: BARANGAY DUTUNG A MATAS, CONCEPCION, TARLAC APPROVED BUDGET FOR THE CONTRACT: PHP 431,694.00 SOURCE OF FUND: 20% BDF The contract to be performed by the successful bidder shall be specified in the Technical Quo</t>
  </si>
  <si>
    <t xml:space="preserve"> installation of street light</t>
  </si>
  <si>
    <t xml:space="preserve"> Republic of the Philippines  Province of Nueva Ecija City Government of Palayan INVITATION TO BID FOR THE PROCUREMENT OF RAPID TESTING KIT 1.	The City Government of Palayan, through the Trust Fund of 2020 intends to apply the sum of (Php874,500.00) being </t>
  </si>
  <si>
    <t xml:space="preserve"> Supply &amp; Delivery of Organic Fertilizer ABC:366,000.00 1,220  bags  Organic Fertilizer -	N-P₂ O₂  -K₂O (5% -10%) -	3rd Party Organic Certified -	50 kgs/bag, bag with plastic lining -	Bags shall be printer back to back with DA Logo 3” diameter Labeled with</t>
  </si>
  <si>
    <t xml:space="preserve"> Equipment 1 Hand Roller 1 Bar Cutter 1 Concrete Mixer (one Bagger) 1 Water Consumption Description 100(2) CLEARING AND GRUBBING 105(1) SUBGRADE PREPARATION 201 AGGREGATE BASE COURSE 311(1) PCC PAVEMENT, PLAIN SPL-1 HAULING OF MATERIALS AND EQUIPMENTS SPL-</t>
  </si>
  <si>
    <t xml:space="preserve"> 1 106 LGTH/S DRB - 16.0mm.ø x 6.0m. G.40 2 490 LGTH/S DRB - 10.0mm.dia. x 6.0m gr.33 3 8 MTR/S WIRE SCREEN - 1/8 THK/MESH 4 60 KG/S. G.I. TIE WIRE - #16 5 10 PC/S HACKSAW BLADE - 12"/300mm 6 20 PR/S CONSTRUCTION GLOVES - (ORANGE PALM) 7 20 PC/S TILE CUTTI</t>
  </si>
  <si>
    <t xml:space="preserve"> Invitation to Fencing of Barangay Site The Barangay Achila, through the  continuing Appropriation intends to apply the sum of One Hundred Fifty Two Thousand Five Hundred Eighty Eight Pesos (P 152,588.00) being the Approved Budget for the Contract (ABC) to</t>
  </si>
  <si>
    <t xml:space="preserve"> 2	cases	Milk Powdered,700gms; 14's, ABC 3,250.00/case 100	cases	Milk Powdered,Swak,33gms,128's, ABC 1,500.00/case 40	box	Cheese, 165gms, ABC 50.00/box 50	cans	Black Beans, 200gms, ABC 30.00/can 20	packs	Macaroni Pasta,1kilo, ABC 90.00/pack RFQ#06-0647</t>
  </si>
  <si>
    <t xml:space="preserve"> concreting secondary road</t>
  </si>
  <si>
    <t xml:space="preserve"> Supply &amp; Delivery of  Mallard Ducks (Itik Pinas) ABC:900,000.00 1,800  head Duck (Itik Pinas) -	1,600 head  Duck (Female) -	200 Drake (Male) -	4-5 months Old -	1-1.5 kls 		Additional Requirements: -	With Test  Result Negative to Avian Influenza (AI) -	Wit</t>
  </si>
  <si>
    <t xml:space="preserve"> INVITATION TO BID  CONCRETING OF LAMIGAN (ABURAO SECTION) BARANGAY ROAD AT AYUNGON, NEGROS ORIENTAL (2ND POSTING) BID IDENTIFICATION NUMBER 2020-07-35 1.	The Municipality of Ayungon, through the 20% LDF 2020 Supplemental Budget intends to apply the sum of</t>
  </si>
  <si>
    <t xml:space="preserve"> REQUEST FOR QUOTATION														 														 RFQ No.		SVP 20-0907				Date				7/29/2020				 PR Reference		100-20-07-028				Implementing Office				AGRICULTURE				 Closing Date and Time														 Designated Places of Submission (Bid Box Designated </t>
  </si>
  <si>
    <t xml:space="preserve"> If you are interested to submit your quotation, kindly attached also the following scanned permits of your company: 1.) BIR Certificate of Registration 2.) PhilGEPS Certificate of Registration 3.) Mayor's / Business Permit 4.) SEC / DTI Permit</t>
  </si>
  <si>
    <t xml:space="preserve"> Parts and Labor		 Penetrating Oil	3	PCS Lower arm assy	2	PCS Shock absorber front L?R	2	PCS Shock mounting front	2	PCS Rack end	2	PCS Tie rod end	2	PCS Rack end boots	2	PCS Steering boots	2	PCS Air filter	1	PC Spark plug	4	PCS Carburator cleaner	1	PC Brak</t>
  </si>
  <si>
    <t xml:space="preserve"> Description Republic of the Philippines Province of Oriental Mindoro MUNICIPALITY OF NAUJAN BARANGAY MELGAR A BIDS AND AWARDS COMMITTEE INVITATION TO BID SUPPLY AND DELIVERY OF MATERIALS TO BE USED IN FLOOD MITIGATION PROGRAM, SITIO BONIFACIO &amp; LOOBAN, BA</t>
  </si>
  <si>
    <t xml:space="preserve"> Main switch mechanism	1	SET Rear suspension arm bushing	2	PCS Stabilizer ink (rear)	2	PCS Rear clap bushing	2	PCS Rear shock mounting	2	PCS Rear shock absorber	2	PCS Trailing arm assy	2	PCS Penetrating oil	2	PCS Pull out and replace rear suspension arm bu</t>
  </si>
  <si>
    <t xml:space="preserve"> 291  PCS - COMMUNICATION CARDS</t>
  </si>
  <si>
    <t xml:space="preserve"> Republic of the Philippines Province of zamboanga Sibugay Municipality of Olutanga 7014 JULY 29, 2020 NOTICE TO THE PUBLIC INVITIATION TO APPLY FOR ELIGIBILITY AND TO BID All interested bidders are invited to Pre-qualify and participate in sealed bidding </t>
  </si>
  <si>
    <t xml:space="preserve"> INVITATION TO BID  IMPROVEMENT/REBLOCKING/SHOULDER/CANAL OF MUNICIPAL STREET- KAPITANA TIRAY STREET, DEGUIT STREET, TABURAZA STREET, ENARDECIDO STREET AND VILLANUEVA STREET, BRGY. POBLACION, AYUNGON, NEGROS ORIENTAL (2ND POSTING) BID IDENTIFICATION NUMBER</t>
  </si>
  <si>
    <t xml:space="preserve"> ITEM                               DESCRIPTION                                    UNIT                   QTY 103                          STRUCTURE EXCAVATION/CLEARING          Cu. M                20.00 SPL I                        DRAINAGE CANAL        </t>
  </si>
  <si>
    <t xml:space="preserve"> CONTRACT ID: 19GL00121; P.R. No. 2020-03-042 DATED 03/19/2020 CONTRACT LOCATION:DPWH R.O. XI (NEW BUILDING) CONTRACT DESCRIPTION: PROCUREMENT OF ONE (1) OF LOT ROLLER BLINDS,  FOR USE IN THE OPERATION OF THE DPWH R.O. XI (NEW BUILDING), UNDER THE PLANNING</t>
  </si>
  <si>
    <t xml:space="preserve"> Republic of the Philippines PROVINCE OF MARINDUQUE Capitol Boac, Marinduque OFFICE OF BIDS AND AWARDS COMMITTEE Invitation to Bid  Furnishing labor, materials and equipment rental for the Rehab./Improvement of Brgy. Water Works System, Brgy. Amoingon, Boa</t>
  </si>
  <si>
    <t xml:space="preserve"> Labor: Perform 70,000 kms service check up Check battery condition Replace front brake pads and brake shoe Check font wiper nozzle and wiper motor assy- front wiper nozzle/ fixed nozzle Check suspension parts condition Clean muffler Lubricate all door hin</t>
  </si>
  <si>
    <t xml:space="preserve"> 1 5 BOX BALLPEN - BLACK ORDINARY 50'S 2 10 REAM/S PAPER - BOND,PG,LEGAL,216MMX330MM(8-1/2"X13") 70 GSM 3 5 REAM/S PAPER - BOND,PG,A4,210MMX297MM,70GSM. 4 10 REAM/S PAPER - BOND,PG,SHORT 8 1/2X11" 5 5 BOX/S CLIP BACKFOLD - 19MM 6 20 PC/S CORRECTION TAPE - </t>
  </si>
  <si>
    <t xml:space="preserve"> 60 pcs 12W LED Bulb 50 sets Refelctor w/ accessories 20 pcs Switch 800 lm Service drop wire #6 100 lm #12 PDX Wire 50 lm #10 PDX Wire 50 pcs Receptacle 10 rolls Electrical tape</t>
  </si>
  <si>
    <t xml:space="preserve"> CONTRACT ID: 19GL00122: P.R. No. 2020-07-084 DATED 07/16/2020 CONTRACT LOCATION: PROCUREMENT UNIT, DPWH R.O. XI, DAVAO CITY CONTRACT DESCRIPTION: PROCUREMENT OF COMPUTER/I.T. EQUIPMENT FOR USE IN THE PROCUREMENT UNIT, DPWH R.O. XI, DAVAO CITY ABC: Php413,</t>
  </si>
  <si>
    <t xml:space="preserve"> Republic of the Philippines																					 BIDS AND AWARDS COMMITTEE																					 Dagupan City																					 																					 																					 Request for Quotation (RFQ)																					 																					 Procuremen</t>
  </si>
  <si>
    <t xml:space="preserve"> PLEASE SEE ATTACHED BID DOCUMENTS FOR COMPLETE DETAILS</t>
  </si>
  <si>
    <t xml:space="preserve"> Road Concreting  - 4m x 0.15m x 20m Concrete Road</t>
  </si>
  <si>
    <t xml:space="preserve"> 50	Packs	All-Purpose Cream,  250g, ABC 56.00/pack 80	roll	Aluminum Foil, Refill, ABC 35.00/roll 40	pks	Brown Supot # 1 (100's), ABC 35.00/pack 30	Packs	Biscuit with filling, 10's, ABC 55.00/pack 48	cans	Beef Loaf, 220gms, ABC 30.00/can 10	pks	Cellophane, </t>
  </si>
  <si>
    <t xml:space="preserve"> PURCHASE OF CCTV WITH INSTALLATION</t>
  </si>
  <si>
    <t xml:space="preserve"> SUPPLY AND DELIVERY OF  GARDEN TOOLS</t>
  </si>
  <si>
    <t xml:space="preserve"> Contract ID:      20HL0112 Contract Name: Construction / Rehabilitation of Water Supply / Septage and Sewerage /                       Rain Water Collectors - Rain Water Collectors in Public Facilities - Region VII Contract Location:  Bacong, Dauin, Zambo</t>
  </si>
  <si>
    <t xml:space="preserve"> 70 LTRS. MICROBS (Biological Formulation as deodorizer sanitizer therapy for healthful living</t>
  </si>
  <si>
    <t xml:space="preserve"> ARTICLE AND DESCRIPTION											 ITEM	QTY.	UNIT						CEILING 					UNIT PRICE		TOTAL  								PRICE							 															 				Office: City Planning and Development Office				PR No. 860							 				Charge to: Office Supplies Expenses				OBR No. 100-2006-0</t>
  </si>
  <si>
    <t xml:space="preserve"> Republic of the Philippines PROVINCE OF MARINDUQUE Capitol Boac, Marinduque OFFICE OF BIDS AND AWARDS COMMITTEE Invitation to Bid  Furnishing labor, materials and equipment rental for the Improvement of View Deck Building, Brgy. Balanacan, Mogpog, Marindu</t>
  </si>
  <si>
    <t xml:space="preserve"> Invitation to Bid No. LGU-Lupao- 2020-043 The Local Government of Lupao, Nueva Ecija Invitation to Bid for the Concreting of Farm to Market Road located at Brgy. Balbalungao ( Sitio Baybayabas ) of this municipality with Identification No. 2020-043 1. The</t>
  </si>
  <si>
    <t xml:space="preserve"> Procurement of construction materials for Turmeric Laboratory; Portland Cement  -  20bags Deformed Bar (10mm) - 5pcs G.I. Pipe (1 1/2", S-40) - 8pcs Steel Matting (4'x8') - 8pcs Floor Tiles (40cmx40cm, Light color) - 300pcs Tile grout (matching the tiles </t>
  </si>
  <si>
    <t xml:space="preserve"> REPUBLIC OF THE PHILIPPINES Province of Nueva Ecija MUNICIPALITY OF LUPAO Invitation to Bid No. LGU-Lupao- 2020-042 The Local Government of Lupao, Nueva Ecija Invitation to Bid for the Concreting of Farm to Market Road located at Agupalo Este of this muni</t>
  </si>
  <si>
    <t xml:space="preserve"> Invitation to Bid No. LGU-Lupao- 2020-041 The Local Government of Lupao, Nueva Ecija Invitation to Bid for the Concreting of Farm to Market Road located at San Isidro of this municipality with Identification No. 2020-041 1. The Municipality of Lupao has a</t>
  </si>
  <si>
    <t xml:space="preserve"> BED SHEET (FIITED 36 X 75 W/ PRINT) WHITE	10	PCS BED FLAT SHEET (60 X 90 W/ PRINT) - WHITE	10	PCS BATH TOWEL 24 X 28 	10	PCS PATIENT’S GOWN WHITE – FOR ADULT WITH PRINT)	10	PCS SLIPPER WHITE SIZE 7,8,9    	5	PRS WALL CLOCK ROUND	2	PCS TAPE MEASURE 	5	PCS </t>
  </si>
  <si>
    <t xml:space="preserve"> TITLE: VARIOUS MATERIALS FOR THE CONSTRUCTION OF OPEN DRAINAGE CANAL LOCATION: PUROK-1 &amp; 2, BRGY. OBRERO, BUTUAN CITY ABC: P198,530.30 SOURCE OF FUNDS: BRGY. IRA FUND BILL OF MATERIALS: 1	0.50	Roll/s	Nylon rope 2	10	Mt/s	Hose level 1/2Ø 3	6	Bundle/s	1” x </t>
  </si>
  <si>
    <t xml:space="preserve"> Supply and Delivery of Toner Cartridge 100 cart Toner Cartridge, HP Part No. CE285A, Black Original 150 cart Toner Cartridge, HP Q2612A, Black - Original 50 cart Toner Cartridge, HP Part No. 17A</t>
  </si>
  <si>
    <t xml:space="preserve"> 275 SERVING - MEALS MENU: LUNCH FOR 5 DAYS                       (RICE, SWEET AND SOUR FISH, CHOPSUEY, FRIED CHICKEN, SHANGHAI LUMPIA, FRUITS,                        TINOLANG MANOK, SOFTDRINKS) 500  SERVING  SNACKS MENU:                       AM: SIOPAO A</t>
  </si>
  <si>
    <t xml:space="preserve"> TERMS and CONDITIONS:					 1. All entries must be typewritten or legibly written.					 2. Delivery period within Fifteen (15) working days upon receipt of the approved funded Purchase (P.O.). Administrative penalties pursuant to Sec. 69 of the Revised IRR</t>
  </si>
  <si>
    <t xml:space="preserve"> 1 PC/S AIRCRAFT MONITOR - . - SCREEN SIZE: 6.26 INCHES, FHD+2,340X1, 080 PIXELS - BATTERY CAPACITY: 5000MAH - STORAGE: 8GB RAM + 128 GB ROM - REAR CAMERA: 48MP( F/1.8 APERTURE AF)+ 16 M(F/2.2 APERTURE FF)+2M(F 2.4 APERTURE FF)+ 2M(F2.4 APERTURE FF) SUPPOR</t>
  </si>
  <si>
    <t xml:space="preserve"> 1	con't	All-Purpose Dressing, Mayo Magic, 4kilo, ABC 500.00/container 40	kilos	Bihon,Special, 1kl, ABC 70.00/kilo 1	kilo	Black Pepper,Cracked,1kl, ABC 800.00/kilo 3	kilo	Black Pepper,Powdered 1kl, ABC 800.00/kilo 20	pks	Cellophane, 2x4,100's, ABC 15.00/pa</t>
  </si>
  <si>
    <t xml:space="preserve"> 1 UNIT AMBULANCE          •2.8L Diesel Engine Ambulance Equipment:         • Installation of Basic LED Toplight w/ Siren- TBD4126 Red/Blue         • Construct Medical Floor Mounted Cabinet 3 layer         • Install Fully Collapsible Stretcher w/ locking M</t>
  </si>
  <si>
    <t xml:space="preserve"> 10- SETS: COMPUTER TABLE WITH ERGONOMIC CHAIR Please see attached RFQ for your references. Purpose: for use in the DICT-MC3 Regional Office TECH4ED CENTERS Note: All deliveries by the suppliers shall be subject to inspection and acceptance by the inspecti</t>
  </si>
  <si>
    <t xml:space="preserve"> INVITATION TO BID  PROCUREMENT OF 1 (PACKAGE) CONSTRUCTION MATERIALS FOR BARANGAY TIBYAWAN MULTI-PURPOSE HALL , BARANGAY TIBYAWAN, AYUNGON, NEGROS ORIENTAL (2ND POSTING) BID IDENTIFICATION NUMBER 2020-07-37 1.	The Municipality of Ayungon, through the 20% </t>
  </si>
  <si>
    <t xml:space="preserve"> Supply &amp; Delivery of Foliar Fertilizer ABC:244,000.00 610  bot  Foliar Fertilizer -	Seaweed Base -	It contain trichoderma as fungicide and citronella as insect repellant  -	1 liter / bottle 	Delivery period: 30 calendar days 	Delivery site: DA- R&amp;D  Organ</t>
  </si>
  <si>
    <t xml:space="preserve"> REQUEST FOR QUOTATION														 														 RFQ No.		SVP 20-0906				Date				7/29/2020				 PR Reference		100-20-07-035				Implementing Office				AGRICULTURE				 Closing Date and Time														 Designated Places of Submission (Bid Box Designated </t>
  </si>
  <si>
    <t xml:space="preserve"> 1.	400		pcs.		Filling Envelope		 2.	200		pcs.		Foldable Table		 3.	200		pcs.		White Board		 4.	150		pcs.		Jumbo Pencil		 5.	400		pcs.		Mongol Pencil		 6.	400		pcs.		Ballpen		 7.	150		pcs.		Activity Book		 8.	350		pcs.		Pad Paper (Assorted)		 9.	350		pcs.	</t>
  </si>
  <si>
    <t xml:space="preserve"> Republic of the Philippines  Province of Nueva Ecija City Government of Palayan INVITATION TO BID FOR THE PURCHASE OF VARIOUS COMMODITIES FOR GABAY PAGMAMAHAL SA NAKAKATANDA 2020 1.	The City Government of Palayan, through the Special Purpose Lumpsum Fund </t>
  </si>
  <si>
    <t xml:space="preserve"> Supply/Delivery of office supplies and consumables</t>
  </si>
  <si>
    <t xml:space="preserve"> REQUEST FOR QUOTATION														 														 RFQ No.		SVP 20-0905				Date				7/29/2020				 PR Reference		100-20-07-027				Implementing Office				AGRICULTURE				 Closing Date and Time														 Designated Places of Submission (Bid Box Designated </t>
  </si>
  <si>
    <t xml:space="preserve"> PR. No. 66-2020 (BCISWMP) 1. 1,818 liters	Diesel</t>
  </si>
  <si>
    <t xml:space="preserve"> Provision of Food (meals &amp; snacks) 3 batches @ 2 days	ABC:72,000.00 	1st batch  	30 pax 2 meals &amp; 2 snacks  for 2 days 	2nd batch  	30 pax 2 meals &amp; 2 snacks  for 2 days 	3rd batch  	30 pax 2 meals &amp; 2 snacks  for 2 days 	 -	Buffet type -	With flowing cof</t>
  </si>
  <si>
    <t xml:space="preserve"> INVITATION TO BID  PROCUREMENT OF 1 (PACKAGE) CONSTRUCTION MATERIALS FOR S.E.F. 2019 FOR 6 SCHOOL RECIPIENTS ANHS, INACBAN ES, CANLUKDUHAN ES, BUENAVISTA ES, TAMBO ES AND KILABAN ES AT AYUNGON, NEGROS ORIENTAL (2ND POSTING) BID IDENTIFICATION NUMBER 2020-</t>
  </si>
  <si>
    <t xml:space="preserve"> REQUEST FOR QUOTATION														 														 RFQ No.		SVP 20-0904				Date				7/29/2020				 PR Reference		100-20-07-036				Implementing Office				CHO				 Closing Date and Time														 Designated Places of Submission (Bid Box Designated Location</t>
  </si>
  <si>
    <t xml:space="preserve"> Republic of the Philippines Cordillera Administrative Region Province of Kalinga B A L B A L A N BARANGAY POBLACION Invitation to Apply for Eligibility and to Bid for the CONSTRUCTION OF BARANGAY HALL PERIMETER FENCING, BUAYA, BALBALAN, KALINGA PROVINCE 1</t>
  </si>
  <si>
    <t xml:space="preserve"> Supply &amp; Delivery of Electrical Supplies ABC:254,322.77 	30 meters conductor, bare, ACSR #2 	200 meters conductor duplex #2, AWG 	2 pcs bolt, oval eye 5/8” x 12” 	2 pcs clamp. Ground rod for 5/8” dia. Steel rod 	4 pcs clevis, secondary swinging without sp</t>
  </si>
  <si>
    <t xml:space="preserve"> REQUEST FOR QUOTATION											 											 RFQ No.		SVP 20-0605				Date				May 20, 2020	 PR Reference		100-20-05-009				Implementing Office				City Admin Office	 Closing Date and Time					May 26, 2020		,5PM				 Designated Places of Submission (Bid Box D</t>
  </si>
  <si>
    <t xml:space="preserve"> Provision of Food &amp; Accommodation for 3 batches @ 2 days ABC:390,000.00 	1st Batch for 2 days (September 2020) 	1st day 	65 pax 3 meals &amp;2 snacks  with Accommodation    	2nd day 	65 pax 2 meals &amp; 2 snacks    	2nd  Batch for 2 days (November 2020) 	1st day</t>
  </si>
  <si>
    <t xml:space="preserve"> Invitation to Bid No. LGU-Lupao- 2020-044 The Local Government of Lupao, Nueva Ecija Invitation to Bid for the Concreting of Farm to Market Road located at Brgy. San Roque of this municipality with Identification No. 2020-044 1. The Municipality of Lupao </t>
  </si>
  <si>
    <t xml:space="preserve"> Republic of the Philippines PROVINCE OF MARINDUQUE Capitol Boac, Marinduque OFFICE OF BIDS AND AWARDS COMMITTEE Invitation to Bid  Furnishing labor, materials and equipment for the Concreting/Rehabilitation/Improvement/Upgrading of Lipa Road, Sta. Cruz, M</t>
  </si>
  <si>
    <t xml:space="preserve"> DESCRIPTION	UNIT	QUANTITY Project Billboard	each/day	1.00 Tile Works (200mmx200mm vitrified glazed tile finish)	Sq.m.	16.30 Tile works (200mmx200mm vitrified unglazed tile floor finish)	Sq.m.	3.20 4.5 mm Fiber Cement Board Ceiling on Metal Frame	Sq.m.	140</t>
  </si>
  <si>
    <t xml:space="preserve"> Provide Labor &amp; Materials for RP Vehicle Repair (Plate # SAA-5044) ABC:156,460.00 6 bot  Engine Oil 1 bot oil filter 1 pc fuel filter 1 pc air filter 3 pcs gear oil 90 4 pcs gear oil 140 2 pcs brake fluid 1 pc clutch booster 1 pc clutch leave cylinder 1 p</t>
  </si>
  <si>
    <t xml:space="preserve"> DESCRIPTION	UNIT	QUANTITY Project Billboard/ Signboard	each	1.00 Unclassified earth excavation 	cu.m	1,930.00</t>
  </si>
  <si>
    <t xml:space="preserve"> Provision of Food &amp; Accommodation for 2 days ABC:102,500.00 	1st day 	50 pax 2 meals &amp;2 snacks  with Accommodation    	2nd day 	50 pax 2 meals &amp;2 snacks    (during  the conduct of R &amp;D Pre-Agency in House Review on August  2020 at KIDAPAWAN CITY) Note: Bi</t>
  </si>
  <si>
    <t xml:space="preserve"> 1	3,000	ltrs	Diesel		 2	1,000	ltrs	Special Gasoline		 3	180	ltrs	Special Engine Oil (15W-40)		 x-x-x-x-x</t>
  </si>
  <si>
    <t xml:space="preserve"> 4	station	Information Dissemination for the month of August 1 - 30				 		to December 1-31,2020. A.M. / F/M.				 						 		From 6:00AM - 9:00AM				 		         2:00PM - 3:00PM				 						 		"Bayri ug sayo ang inyong buluhisan, 10% nga diskwento				 		alang sa</t>
  </si>
  <si>
    <t xml:space="preserve"> Supply &amp; Delivery of  Assorted Vegetables Seeds ABC:450,000.00 	3,000 packs Pinakbet, 50 grams per pack Enclose  with -	10 grams Bitter Ground -	13 grams Pole Sitao -	10 grams  Squash -	2 grams Eggplant -	15 grams Okra -	With DA Logo Sticker water Resista</t>
  </si>
  <si>
    <t xml:space="preserve"> Item No.	Item Description	Quantity	Unit of Issue	Estimated Unit Cost (₱)	Total Estimated Cost (₱) 					 "JOB ORDER:        To provide labor, materials , tools and equipment  for the  CONSTRUCTION OF STEEL GATE &amp; LANDSCAPING OF AGRIBUSINESS DEVELOPMENT CEN</t>
  </si>
  <si>
    <t xml:space="preserve"> 1  UNIT - PRINTER: 3N1 INK TANK (PRINT, SCAN, COPY) ECOTANK COMPACT INTEGRATED TANK DESIGN; HIGH YIELD INK BOTTLES; BORDER LESS PRINTING UP TO 4R; MAX COPY RESOLUTION AT 300 x 300 DPI 1  UNIT - PRINTER: DOT MATRIX PRINTER (SPECS.: IMPACT DOT MATRIX; 4 SWI</t>
  </si>
  <si>
    <t xml:space="preserve"> 20-07-241 Procurement of HDW 14x20</t>
  </si>
  <si>
    <t xml:space="preserve"> 10  UNIT - PRINTER (SPECS.: 10x15CM / 4x6", APPROX. 68 SEC PER PHOTO (BORDER) / 90 SEC PER PHOTO, (BORDERLESS) 1 DRAFT, A4 (BLACK/COLOUR) UP TO 33PPM/15PPM*1</t>
  </si>
  <si>
    <t xml:space="preserve"> Republic of the Philippines Province of Davao de Oro Municipality of Monkayo -o0o- INVITATION TO BID FOR THE PROCUREMENT OF CONSTRUCTION MATERIALS FOR HONEYCOMB CONSTRUCTION &amp; FABRICATION OF NICHES  The Municipality of Monkayo, through the ECONOMIC FUND i</t>
  </si>
  <si>
    <t xml:space="preserve"> INVITATION TO BID 1.	The MPW-BARMM, Maguindanao 2nd District Engineering Office, PC Hill, Cotabato City through its Bids and Awards Committee (BAC) hereby invites interested and Eligible Bidders to bid for Contracts of the hereunder Regular Infra CY 2019 </t>
  </si>
  <si>
    <t xml:space="preserve"> REQUEST FOR QUOTATION														 														 RFQ No.		SVP 20-0901				Date				7/29/2020				 PR Reference		100-20-07-037				Implementing Office				AGRICULTURE				 Closing Date and Time														 Designated Places of Submission (Bid Box Designated </t>
  </si>
  <si>
    <t xml:space="preserve"> Republic of the Philippines PROVINCE OF MARINDUQUE Capitol Boac, Marinduque OFFICE OF BIDS AND AWARDS COMMITTEE Invitation to Bid  Furnishing labor, materials and equipment for the Concreting/Rehabilitation/Improvement/Upgrading of Hupi Road, Brgy. Hupi, </t>
  </si>
  <si>
    <t xml:space="preserve"> 1	18	pc		DDR3 Memory Module			 				4GB DDR3 1600MHz			 2	1	pc		DDR3 SO DIMM Memory Module			 				4GbB DDR3 1800MHz low voltage			 3	9	pc		8-port gigabit network switch			 				DGS 1008A 8-port gigabit			 				1000mbps networks switch			 4	9	pc		Web Camera		</t>
  </si>
  <si>
    <t xml:space="preserve"> Republic of the Philippines  Province of Nueva Ecija City Government of Palayan INVITATION TO BID FOR THE PROCUREMENT OF PVC ID CARD, INK AND WEBCAM 1.	The City Government of Palayan, through the General Fund 2020 intends to apply the sum of (Php431,013.0</t>
  </si>
  <si>
    <t xml:space="preserve"> 1-lot:  A.:  COFFEE TABLE WITH FOUR (4) CHAIRS           B.:  SOFA- 3 SEATER Please see attached RFQ for your references. Purpose: for use in the DICT-MC3 Regional Office TECH4ED CENTER Note: All deliveries by the suppliers shall be subject to inspection </t>
  </si>
  <si>
    <t xml:space="preserve"> DESCRIPTION	UNIT	QUANTITY Project Billboard	each/day	1.00 Structure Excavation (common Soil)	cu.m.	8.50 Backfilling	cu.m.	7.62 Gravel Bedding	cu.m.	9.25 Reinforced Concrete	cu.m.	13.48 Roof Framing works (metal structures)	kgs.	2,306.04 Prepainted Metal s</t>
  </si>
  <si>
    <t xml:space="preserve"> 1 100 bottle ALCOHOL, 70%, 500 ml 2 4 pcs. Ant-Virus INSTALLER 3 1 unit AVR (1000v) 4 24 bxs. Ballpen BP-SF-B (Black) 5 11 bxs. Ballpen (Black) Press button 6 5 bxs. Ballpen (Blue) Press button 7 5 bxs. Ballpen (ordinary, black) 8 4 bxs. Ballpen 1423 0.5 </t>
  </si>
  <si>
    <t xml:space="preserve"> DESCRIPTION	UNIT	QUANTITY Project Billboard/ Signboard	each	1.00 Occupation Safety and Health Program	months	2.00 Mobilization/ Demobilization	lumpsum	1.00 Surplus Common Excavation	Cu.m.	113.00 Structure Excavation (for Grouted Riprap &amp; Breast Wall)	Cu.m</t>
  </si>
  <si>
    <t xml:space="preserve"> TITLE: PURCHASE OF AGRICULTURAL EQUIPMENT RICE PLANTER FOR BRGY. ALANGAN CLOSING OF BIDS: ,2020: AUGUST 6,2020; 1:00PM OPENING OF BIDS: AUGUST 6,2020; 2:00PM</t>
  </si>
  <si>
    <t xml:space="preserve"> 1-LOT: 12 SEATER- CONFERENCE TABLE WITH CHAIRS Please see attached RFQ for your references.		 		 Purpose: for use in the DICT-MC3 Regional Office TECH4ED CENTERS/RIS HUB		 		 Note: All deliveries by the suppliers shall be subject to inspection and accepta</t>
  </si>
  <si>
    <t xml:space="preserve"> 20-07-238 Procurement of Various Medical Supplies</t>
  </si>
  <si>
    <t xml:space="preserve"> Supply &amp; Delivery of spare parts of RP vehicle ABC:232,440.00 1 set crankshaft bearing (SKX 899) 1 set connecting rod bearing  (SKX 899) 1 set overhauling gasket (SKX 899) 1 set thrust washer (SKX 899) 1 set piston ring (SKX 899) 1 set suction valve (SKX </t>
  </si>
  <si>
    <t xml:space="preserve"> DESCRIPTION	UNIT	QUANTITY Project Billboard/ Signboard	each	1.00 Occupation Safety and Health Program	lot	1.00 Mobilization/ Demobilization	lot	1.00 Surplus Common Excavation	cu.m.	129.20 Subgrade Preparation	sq.m.	465.48 Aggregate Base Course	cu.m.	38.79</t>
  </si>
  <si>
    <t xml:space="preserve"> INVITATION TO BID  PROCUREMENT OF 1 (PACKAGE) CONSTRUCTION MATERIALS FOR THE CONSTRUCTION OF 5 FEEDING CENTERS AT DULI DULI, LIBTACON, BANBAN, MABATO AND POBLACION ELEMENTARY SCHOOL, AT AYUNGON, NEGROS ORIENTAL (2ND POSTING) BID IDENTIFICATION NUMBER 2020</t>
  </si>
  <si>
    <t xml:space="preserve"> Ballpen, 200 ball point pen, black	300	PCS Ballpen, BPS Fine, Black	409	PCS Ballpen, BPS Fine, Red	40	PCS Battery, AA Max Alkaline 	70	PCS Bond paper short/ Sub.24	50	REAM Bond paper A4/ Sub.24	100	REAM Bond paper long/ sub.24	60	REAM Bond paper colored l</t>
  </si>
  <si>
    <t xml:space="preserve"> Please quote your lowest price ont the item/s on attached document subject to herein terms and conditions and submit your quotation in a sealed envelope duly signed by your representative and submit your quotation to the BAC Secretariat, Provincial Genera</t>
  </si>
  <si>
    <t xml:space="preserve"> 1	300	bags	Portland Cement				 2	50	pcs	25mm Def. Bars				 3	50	pcs	20mm Def. Bars				 4	50	pcs	16mm Def. Bars				 5	200	pcs	10mm Def. Bars				 6	30	kgs.	tie wire				 7	10	pcs	Hacksaw				 8	1	pc	Water Tank Stainless 2,000 ltrs Pressure Stainless Tank with</t>
  </si>
  <si>
    <t xml:space="preserve"> REQUEST FOR QUOTATION														 														 RFQ No.		SVP 20-0900				Date				7/29/2020				 PR Reference		100-20-07-052				Implementing Office				MAYOR'S OFFICE				 Closing Date and Time														 Designated Places of Submission (Bid Box Designat</t>
  </si>
  <si>
    <t xml:space="preserve"> FACE MASK - CLOTH - Neoprene, SUBLIMATION - Personalized SK logo/design SEWING         - electronic sewing CUTTING        - garment cutting machine PPE'S CLOTH     - Microfiber SUBLIMATION    - Personalized SK logo/design SEWING            -  Electronic s</t>
  </si>
  <si>
    <t xml:space="preserve"> Catering Services of; STOCK NO.	UNIT	ITEM DESCRIPTION				QTY 		Meals and Snacks				 		First Day				 1	pax	Snacks a.m				50 2	pax	Lunch				50 3	pax	Snacks p.m				50 		Second Day				 5	pax	Snacks a.m				50 6	pax	Lunch				50 7	pax	Snacks p.m				50 		x-x-x-x-</t>
  </si>
  <si>
    <t xml:space="preserve"> INVITATION TO APPLY FOR ELIGIBILITY AND TO BID The local Government Unit of Taft, through is Bid and Awards Committee (BAC). Invites suppliers to apply for eligibility, to bid for the hereunder contract: Name of Contract: PROPOSED CONSTRUCTION OF ONE (1) </t>
  </si>
  <si>
    <t xml:space="preserve"> INVITATION TO BID  PROCUREMENT OF 1 (PACKAGE) BRAND NEW TIRES FOR MUNICIPAL SERVICE VEHICLE USE AT MUNICIPALITY OF AYUNGON, NEGROS ORIENTAL  BID IDENTIFICATION NUMBER 2020-07-40 1.	The Municipality of Ayungon, through the General Funds intends to apply th</t>
  </si>
  <si>
    <t xml:space="preserve"> Supply &amp; Delivery of Forage Chopper ABC:200,000.00 	1 unit Forage Chopper -	Diesel Engine , 10HP minimum, air-cooled single cylinder engine -	Continuous power at least 85% of the rated power -	Specific  fuel consumption : 280g/kwhr, maximum -	Input capaci</t>
  </si>
  <si>
    <t xml:space="preserve"> Republic of the Philippines Province of Davao de Oro Municipality of Monkayo -o0o- INVITATION TO BID FOR THE PROCUREMENT OF FUEL FOR HONEYCOMB CONSTRUCTION &amp; FABRICATION OF NICHES  The Municipality of Monkayo, through the ECONOMIC FUND intends to apply th</t>
  </si>
  <si>
    <t xml:space="preserve"> Republic of the Philippines Province of Camarines Norte MUNICIPALITY OF VINZONS BIDS AND AWARDS COMMITTEE (BAC) (Tel. # 446-63-09) 	 INVITATION TO BID FOR: Purchase of Hardware Materials for the Construction of Drainage Canal with Cover Purok 4, Brgy. Cal</t>
  </si>
  <si>
    <t xml:space="preserve"> 27873-001	VACCINE, INFLUENZA	600	PIECE	700.00	420,000.00 Specification:    Invactivated split Influenza vaccine 0.5 m adult dose. Requirement:    Supplier needs to submit a brochure/ drug literature. Date Needed:    30 Days upon receipt of P. O. TERMS OF </t>
  </si>
  <si>
    <t xml:space="preserve"> Republic of the Philippines Province of zamboanga Sibugay Municipality of Olutanga 7014 JULY 29,2020 NOTICE TO THE PUBLIC INVITIATION TO APPLY FOR ELIGIBILITY AND TO BID All interested bidders are invited to Pre-qualify and participate in sealed bidding f</t>
  </si>
  <si>
    <t xml:space="preserve"> DESCRIPTION	UNIT	QUANTITY Project Billboard/ Signboard	each	1.00 Occupation Safety and Health Program	months	2.00 Surplus Common Earth Excavation	cu.m.	51.80 Surplus Rock Excavation	cu.m.	28.00 Embankment (From Roadway Excavation)	cu.m.	34.30 Subgrade Pre</t>
  </si>
  <si>
    <t xml:space="preserve"> Labor and materials for the construction of Fishpond and gazebo for the establishment of the UMA-Akit component of the ATIng Uma located at ATI-RTC V Compound, San Agustin, Pili, Cam. Sur.</t>
  </si>
  <si>
    <t xml:space="preserve"> LOT 1 :  ABC - P55,200.00 1	2	Units	LAPTOP				 			            ---AMD RYZEN 3 32004 dual core				 		  	            ---4GB, 1TB, AMD Radeon Vega 3 Mobile Graphics				 			            ---15.6" Windows 10				 2	1	Unit	Router		 LOT 2 :  ABC - P34,600.00		 1	1	u</t>
  </si>
  <si>
    <t xml:space="preserve"> ***see attached document***</t>
  </si>
  <si>
    <t xml:space="preserve"> 1	pcs	186	SMART @ 300 2	pcs	42	SMART @ 100 3	pcs	348	GLOBE @ 300 4	pcs	51	GLOBE @ 100 			 			 			 			 			 			 The following documents must be included in the  submission of sealed price quotation: 1. Mayor's/Business Permit 2. PhilGEPS Registration 			 TE</t>
  </si>
  <si>
    <t xml:space="preserve"> DESCRIPTION	UNIT	QUANTITY Project Billboard/ Signboard	each	1.00 Surplus common excavation 	cu.m	237.00 Subgrade preparation	sq.m.	279.00 Aggregate sub-base course	cu.m.	23.25 PCCP (Unreinforced 200mm. thk)	sq.m.	232.50</t>
  </si>
  <si>
    <t xml:space="preserve"> MATERIAL COST</t>
  </si>
  <si>
    <t xml:space="preserve"> DESCRIPTION	UNIT	QUANTITY Project Billboard/ Signboard	each	1.00 Surplus Common Excavation 	cu.m	131.88 Embankment (from roadway excavation)	cu.m	24.00 Subgrade preparation	sq.m.	207.45 Aggregate sub base course	cu.m.	20.75 Portland concrete pavement (PCC</t>
  </si>
  <si>
    <t xml:space="preserve"> INVITATION TO BID FOR  PURCHASE/INSTALLATION OF CCTV 	The Municipality of San Juan through the Government of the Philippines intends to apply the sum of  TWO MILLION THREE HUNDRED THOUSAND PESOS  (Php.2,300,000.00)  being the Approved Budget for the Contr</t>
  </si>
  <si>
    <t xml:space="preserve"> Republic of the Philippines Province of Eastern Samar Municipality of Arteche Invitation to Bid for the Garments and Printing Shop Projects 1.	The Local Government Unit of Arteche, Eastern Samar, through a grant from the Department of Labor and Employment</t>
  </si>
  <si>
    <t xml:space="preserve"> ITEM NO.	Unit of issue	ITEM &amp;DESCRIPTION	Brand &amp; Model	QTY.	 1	reams	Bond paper, long		15	 2	reams	Bond paper, A4		15	 3	pcs	Sign pen, black		20	 4	pcs	Sign pen, blue		20	 5	pcs	Sign pen, red		20	 6	pcs	Pentel pen, black		5	 7	pcs	Pentel pen, red		5	 8	se</t>
  </si>
  <si>
    <t xml:space="preserve"> Body type : CARGO DROPSIDE Engine : 135hp No. of Cylinder : 4 Fuel : Diesel Electrical System : 24 volts Transmission : Manual No. of Gear Forward : 5 Speed No. of Gear Reverse : 1 Wheel drive : Rear Wheel drive (4x2) Steering system : Power Assisted Susp</t>
  </si>
  <si>
    <t xml:space="preserve"> CONSTRUCTION OF VARIOUS INFRASTRUCTURE PROJECTS TO WITT; a. IMPROVEMENT OF ECHAGUE PICNIC SITE b. LOWER MANAOT ELECTRIC PUMP c. SENIOR CITIZEN MULTI-PURPOSE IMPROVEMENT d. CHALALO ES ANNEX STAGE IMPROVEMENT e. ACS SCHOOL BUILDING SHADE EXTENSION</t>
  </si>
  <si>
    <t xml:space="preserve"> Republic of the Philippines PROVINCE OF ZAMBOANGA DEL NORTE Municipality of Sibutad BIDS AND AWARDS COMMITTEE JULY 30, 2020 INVITATION TO BID The Local Government Unit of Sibutad, Zamboanga del Norte under P.R. No. GFP100-2020-07-067 dated JULY 20, 2020 w</t>
  </si>
  <si>
    <t xml:space="preserve"> 1	500	Ltrs	Diesel				 2	500	Ltrs	Gasoline Premium				 			x-x-x-x-x-x-x-x-x-x-</t>
  </si>
  <si>
    <t xml:space="preserve"> TITLE: PURCHASE OF ONE (1) UNIT HI-ACE GRANDIA ,15 SEATERS FOR THE USE AT BRGY. ALANGAN  CLOSING DATE: AUGUST 7,2020; 1:00PM OPENING DATE: AUGUST 7,2020; 2:00PM</t>
  </si>
  <si>
    <t xml:space="preserve"> Furnishing of Materials for Construction of Water System Phase 2</t>
  </si>
  <si>
    <t xml:space="preserve"> Supply and Delivery of; ITEM NO.	ITEM  AND DESCRIPTION			Qty	UNIT 1	EPSON REFILL INK (BLACK)			 101.00 	pcs 2	EPSON REFILL INK (YELLOW)			 101.00 	pcs 3	EPSON REFILL INK (MAGENTA)			 101.00 	pcs 4	EPSON REFILL INK (CYAN)			 101.00 	pcs 5	TONER 85A			 20.0</t>
  </si>
  <si>
    <t xml:space="preserve"> Construction materials &amp; supplies</t>
  </si>
  <si>
    <t xml:space="preserve"> 45 sample Biological Oxygen Demand 45 sample Chlorides 45 sample Color 45 sample Dissolved Oxygen 45 sample Fecal Coliform 45 sample Nitrate 45 sample PH 45 sample Phospate 45 sample Temperature 45 sample Total Suspended Solids Pier Charge/Porter plus 12%</t>
  </si>
  <si>
    <t xml:space="preserve"> CONSTRUCTION OF VARIOUS INFRASTRUCTURE PROJECTS TO WITT; a. MONGGAYANG - MANAOT FMR IMPROVEMENT b. LUPAO - CHAPAHAN FMR OPENING AND IMPROVEMENT</t>
  </si>
  <si>
    <t xml:space="preserve"> Republic of the Philippines Province of Negros Occidental Municipality of Binalbagan BARANGAY SAN JUAN Tel No. (034) 3888-701 INVITATION TO BID The Barangay San Juan, through its Bids and Awards Committee (BAC), invites suppliers/manufacturers/ distributo</t>
  </si>
  <si>
    <t xml:space="preserve"> Road Concreting  - 40m x 0.20m x 22m Concrete Road</t>
  </si>
  <si>
    <t xml:space="preserve"> Republic of the Philippines Province of Davao de Oro Municipality of Monkayo -o0o- INVITATION TO BID FOR THE PROCUREMENT CATERING SERVICES FOR VARIOUS OFFICES  The Municipality of Monkayo, through the GENERAL FUND intends to apply the sum of EIGHTY FOUR T</t>
  </si>
  <si>
    <t xml:space="preserve"> Bidding will be conducted through open competitive bidding procedures as specified in the Implementing Rules and Regulation (IRR) of Republic Act No. 9184 (R.A. 9184), otherwise known as the Government Procurement Reform Act.</t>
  </si>
  <si>
    <t xml:space="preserve"> 5 Unit Desktop Computer PEO</t>
  </si>
  <si>
    <t xml:space="preserve"> Laptop- 1 unit 8th generation Intel Core i5-8265U Processor (1.6 GHz) ITB Hard Drive Windows 10 (8) (45) 812.2MB SOD/MM DDR4 SDRAM 15.6" Diagonal HD LED Display Wlan/Bluetooth: (16) (17) Desktop- 1 unit OS: Windows 10 Home Response Time: 5ms Viewing angle</t>
  </si>
  <si>
    <t xml:space="preserve"> Supply and Delivery of; ITEM NO.	ITEM  AND DESCRIPTION			Qty	UNIT 1	BONG PAPER Long			 24.00 	boxes 2	BONG PAPER A4			 60.00 	boxes 3	BOND PAPER (A3)			 60.00 	boxes 4	USB FLASH DRIVE, 64GB			 10.00 	boxes 5	SLIDING FOLDER (LONG), ASSORTED COLOR			 26.00 </t>
  </si>
  <si>
    <t xml:space="preserve"> CONSTRUCTION OF VARIOUS INFRASTRUCTURE PROJECTS TO WITT; a. ANHS ACCESS ROAD CONSTRUCTION b. CURBA PROPER POSNAAN ROAD c. NATIONAL ROAD - LIMMOCBFOB FMR OPENING AND IMPROVEMENT d. MABALAT-SAGPAT ROAD e. BUGALLO-UCHUOD ROAD f. ITAB-BUTIE ROAD</t>
  </si>
  <si>
    <t xml:space="preserve"> INVITATION TO BID FOR THE PURCHASE OF TABLET FOR THE PUPILS WHO ARE IN THE JUNIOR HIGH SCHOOL AND SENIOR HIGH SCHOOL USING ON-LINE CLASS ON VARIOUS SCHOOLS UNDER  THE CITY SCHOOL DIVISION OF BACOOR – CSDO 1.	The City Government of Bacoor, Cavite, through </t>
  </si>
  <si>
    <t xml:space="preserve"> INVITATION TO BID FOR THE PROCUREMENT OF SUPPLY &amp; DELIVERY OF 186 HEADS GOAT     1.	The Department of Agriculture Regional Field Office 6 through the General Appropriations Act (GAA) of 2020 intends to apply the sum of Two Million Nine Hundred Thirty Thou</t>
  </si>
  <si>
    <t xml:space="preserve"> REQUEST FOR QUOTATION (REQ) for the Procurement of Various Load Cards… 1. The Government of the Philippines has been granted a loan from the World Bank towards the cost of the Philippine Rural Development Program (PRDP) and intends to apply part of the pr</t>
  </si>
  <si>
    <t xml:space="preserve"> 6 -  PCS. TIRE SIZE: 750 X 16 TR Please see attached RFQ for your references.		 		 Purpose: for use in the DICT-MC3 VEHICLE MITSUBISHI  BOOM TRUCK		 		 Note: All deliveries by the suppliers shall be subject to inspection and acceptance by the inspection c</t>
  </si>
  <si>
    <t xml:space="preserve"> Section I. Invitation to Bid Republic of the Philippines Province of Benguet MUNICIPALITY OF BOKOD INVITATION TO BID FOR PROCUREMENT OF VARIOUS DISASTER RESPONSE &amp; RESCUE EQUIPMENT (MDRRMF 2020), BOKOD, BENGUET 1.	The MUNICIPALITY OF BOKOD, through the Go</t>
  </si>
  <si>
    <t xml:space="preserve"> Republic of the Philippines Province of Davao de Oro Municipality of Monkayo -o0o- INVITATION TO BID FOR THE PROCUREMENT OF OFFICE EQUIPMENT FOR MTOU OPERATION  The Municipality of Monkayo, through the TRUST FUND intends to apply the sum of FORTY THOUSAND</t>
  </si>
  <si>
    <t xml:space="preserve"> Concreting of Barangay Road W-2.00 x L-350m and Gravelled Raod W-2.00 x L-350m</t>
  </si>
  <si>
    <t xml:space="preserve"> DESCRIPTION	UNIT	QUANTITY Project Billboard/ Signboard	each	1.00 Occupation Safety and Health Program	months	2.00 Surplus Common Earth Excavation	cu.m.	47.93 Embankment (From Roadway Excavation)	cu.m.	31.40 Subgrade Preparation 	sq.m.	551.25 Aggregate Sub</t>
  </si>
  <si>
    <t xml:space="preserve"> Republic of the Philippines Province of Negros Occidental Municipality of Binalbagan BARANGAY STO ROSARIO Tel No. (034) 3888-701 INVITATION TO BID The Barangay Sto Rosario, through its Bids and Awards Committee (BAC), invites suppliers/manufacturers/ dist</t>
  </si>
  <si>
    <t xml:space="preserve"> Republic of the Philippines Province of Negros Oriental Municipality of Sibulan OFFICE OF THE BIDS AND AWARDS COMMITTEE INVITATION TO APPLY FOR ELIGIBILITY AND TO BID The Barangay Government of Tubtubon, Sibulan, Negros Oriental invites all interested sup</t>
  </si>
  <si>
    <t xml:space="preserve"> Republic of the Philippines BATANGAS STATE UNIVERSITY Batangas City REQUEST FOR QUOTATION "Procurement of Equipment for the BatStateU Amphitheater ."  1. The Batangas State University (BatState U) through the Bids and Awards Committee invites interested f</t>
  </si>
  <si>
    <t xml:space="preserve"> 1-LOT: 6 SEATER- CONFERENCE TABLE WITH CHAIRS		 		 		 Please see attached RFQ for your references.		 		 Purpose: for use in the DICT-MC3 Regional Office OPERATION DIVISION		 		 Note: All deliveries by the suppliers shall be subject to inspection and accep</t>
  </si>
  <si>
    <t xml:space="preserve"> REHABILITATION/IMPROVEMENT OF SAN JOSE DIVERSION DAM</t>
  </si>
  <si>
    <t xml:space="preserve"> Modular Learning Materials: Printer, bondpaper(A4), Epson L120 Ink</t>
  </si>
  <si>
    <t xml:space="preserve"> Ipad Pro 11" 256GB WiFi Ipad Pro 11" Keyboard Ipad Pro 11" Pen</t>
  </si>
  <si>
    <t xml:space="preserve"> ROADWAY EXCAVATION AGGREGATE BASE COURSE BILLBOARD</t>
  </si>
  <si>
    <t xml:space="preserve"> TITLE: PURCHASE OF COMMUNICATION EQUIPMENT, ELEVEN (11) UNITS CELLPHONE FOR BRGY. OFFICIALS  CLOSING DATE : AUGUST 7,2020; 2:00PM OPENING DATE: AUGUST 7,2020; 3:00PM</t>
  </si>
  <si>
    <t xml:space="preserve"> Republic of the Philippines Province of Davao de Oro Municipality of Monkayo -o0o- INVITATION TO BID FOR THE PROCUREMENT OF FUEL FOR MASSIVE BARANGAY BASED DRR-CCA COMMUNITY EDUCATION AND PUBLIC AWARENESS AND SUPPORT TO MEDICAL AND SOCIAL SERVICES CARAVAN</t>
  </si>
  <si>
    <t xml:space="preserve"> Republic of the Philippines CITY OF BAIS BIDS AND AWARDS COMMITTEE NOTICE OF AWARD This is to certify that item 1 of Purchase Request 256-20, 20 sets Tire with Inner Tube &amp; Flap, 10.00 x 20, 16 PR, 288mm Section width, minimum was awarded to New Bian Yek </t>
  </si>
  <si>
    <t xml:space="preserve"> The Municipality of Limay, through its Bids and Awards Committee (BAC) invites registered contractors to apply for eligibility and if found eligible, to bid for the hereunder project/contract: Project/Contract:   PROCUREMENT OF VARIOUS I.T. SUPPLIES AND M</t>
  </si>
  <si>
    <t xml:space="preserve"> Furnishing of Materials for Construction of Day Care Center</t>
  </si>
  <si>
    <t xml:space="preserve"> Republic of the Philippines DEPARTMENT OF PUBLIC WORKS AND HIGHWAYS BOHOL III DISTRICT ENGINEERING OFFICE REGIONAL OFFICE VII Guindulman, Bohol INVITATION TO BID FOR GOODS July 28, 2020 The Department of Public Works and Highways-Bohol 3rd District Engine</t>
  </si>
  <si>
    <t xml:space="preserve"> Section I. Invitation to Bid Republic of the Philippines Province of Benguet MUNICIPALITY OF BOKOD INVITATION TO BID FOR PROCUREMENT OF DRUGS AND MEDICINES (MHO-MOOE 2020), BOKOD, BENGUET 1.	The MUNICIPALITY OF BOKOD, through the Government of the Philipp</t>
  </si>
  <si>
    <t xml:space="preserve"> Section I. Invitation to Bid Republic of the Philippines Province of Misamis Oriental  Municipality of Salay INVITATION TO BID FOR Procurement of materials for Rehabilitation of 2nd Floor MPB – SB Building (Phase 1) 1.	The Local Government Unit of Salay, </t>
  </si>
  <si>
    <t xml:space="preserve"> 2 unit Laptop Computer (with mouse) 8gb RAM, at least 15.6"Screen size, Intel Core i5 Processor, Storage 256gb PCIe SSD + 1TB HDD, with pre-installed Windows 10 OS,64-Bit Operating System, with pre-installed licensed Microsoft Office 2016 or higher versio</t>
  </si>
  <si>
    <t xml:space="preserve"> Canal Line, Cover and Pathwalk</t>
  </si>
  <si>
    <t xml:space="preserve"> INVITATION TO BID   Procurement of Goods:  SUPPLY and DELIVERY of Various Oral Health Supplies for the 50 established Clinics in DepEd Region 2 (LOT 2) 1.	The Department of Education, Regional Office 02, through GAA 2020   intends to apply the sum of Five</t>
  </si>
  <si>
    <t xml:space="preserve"> Electrical 10 post</t>
  </si>
  <si>
    <t xml:space="preserve"> Republic of the Philippines MUNICIPALITY OF BUENAVISTA INVITATION TO BID FOR SUPPLY AND DELIVERY OF OFFICE SUPPLIES FOR BUDGET, HRMO AND MSWD OFFICE    1.	The Local Government Unit of Buenavista, Marinduque through the fund from the MOOE (Office Supplies)</t>
  </si>
  <si>
    <t xml:space="preserve"> CONSTRUCTION OF VARIOUS INFRASTRUCTURE PROJECTS TO WITT; a. NATIONAL ROAD - TALITE ES ROAD IMPROVEMENT b. BUNHIAN MULTI-PURPOSE BUILDING HALL IMPROVEMENT</t>
  </si>
  <si>
    <t xml:space="preserve"> Republic of the Philippines BATANGAS STATE UNIVERSITY Batangas City REQUEST FOR QUOTATION "Procurement of Equipment for the UHT/HTST Pasteurizer &amp; Blastr Freezer of the Food Innovation Center (FIC)"  1. The Batangas State University (BatState U) through t</t>
  </si>
  <si>
    <t xml:space="preserve"> Republic of the Philippines Province of Davao de Oro Municipality of Monkayo -o0o- INVITATION TO BID FOR THE PROCUREMENT OF DRUGS AND MEDICINES FOR MSWD VARIOUS PROGRAM  The Municipality of Monkayo, through the GENERAL FUND intends to apply the sum SEVENT</t>
  </si>
  <si>
    <t xml:space="preserve"> 1	m³	189	Aggregate base course           FOB	800.00	151,200.00 2	m³	81	Gravel                                  INDUSTRIAL	840.00	68,040.00 3	m³	63	Sand                                          PARK, PALINPINON	820.00	51,660.00 			TOTAL:		270,900.00</t>
  </si>
  <si>
    <t xml:space="preserve"> CONSTRUCTION OF VARIOUS INFRASTRUCTURE PROJECTS TO WITT; a. PROPER CHALALO - FUMA'CHONG - BUTAYAN ROAD OPENING b. MONGGAYANG MANAOT ROAD IMPROVEMENT</t>
  </si>
  <si>
    <t xml:space="preserve"> Radio Airtime during the conduct of ATIng Kaugnay School on the Air Program on Production of High Quality Inbred Rice and Seeds and Farm Mechanization under Rice Competitive Enhancement Fund (RCEF) for the period August 4-Septemeber 29, 2020 (16 hrs, 1 ho</t>
  </si>
  <si>
    <t xml:space="preserve"> 1. The Government Service Insurance System (GSIS), through the GSIS Corporate Operating Budget for CY2020, intends to apply the sum of Two Million Two Hundred Thousand Pesos (Php2,200,000.00) being the Approved Budget for the Contract (ABC) for payment un</t>
  </si>
  <si>
    <t xml:space="preserve"> REPUBLIC OF THE PHILIPPINES CITY GOVERNMENT OF OROQUIETA BIDS AND AWARD COMMITTEE City Hall, Oroquieta City                                                                                                                       July 29, 2020                </t>
  </si>
  <si>
    <t xml:space="preserve"> please see attached invitation to bid</t>
  </si>
  <si>
    <t xml:space="preserve"> Republic of the Philippines PROVINCE OF MARINDUQUE Capitol Boac, Marinduque OFFICE OF BIDS AND AWARDS COMMITTEE Invitation to Bid  Furnishing labor and materials for the Construction of  Water Works System, Brgy. Isok II, Brgy. Isok II, Boac, Marinduque  </t>
  </si>
  <si>
    <t xml:space="preserve"> INVITATION TO BID   Procurement of Goods:  SUPPLY and DELIVERY of Various Oral Health Supplies for the 30 established Clinics in DepEd Region 2 (LOT 3) 1.	The Department of Education, Regional Office 02, through GAA 2020   intends to apply the sum of Thre</t>
  </si>
  <si>
    <t xml:space="preserve"> Republic of the Philippines BANGSAMORO AUTONOMOUS REGION IN MUSLIM MINDANAO Province  of  Lanao  del  Sur REQUEST FOR QUOTATION The Provincial Government of  Lanao del Sur through its  Bids and Awards Committee (BAC) invites accredited  suppliers  for the</t>
  </si>
  <si>
    <t xml:space="preserve"> 14 UNITS of Internet Connectivity FIBER 100 mbps 1 UNIT of Internet Connectivity 20mbps Note:  Hard Copy of this RFQ must be signed, sealed and delivered to the LNHS-BAC office within three (3) days upon receipt.</t>
  </si>
  <si>
    <t xml:space="preserve"> Contract ID #					 :    20II0061(Re-Ad) Contract Name				         :    Repair and Maintenance of Road Safety Facilities (Supply, Delivery and Installation of Danger, Hazard, Warning, Regulatory and Informative Signages) along Catarman Laoang Road, Laoang </t>
  </si>
  <si>
    <t xml:space="preserve"> Republic of the Philippines City of Toledo -oOo- BIDS AND AWARDS COMMITTEE ITB No. I11-02-2020 INVITATION TO BID FOR: Proposed Completion of GSD Warehouse &amp; Construction of Perimeter Fence @ Brgy. Poblacion, Toledo City 1.	The City Government of Toledo un</t>
  </si>
  <si>
    <t xml:space="preserve"> a. construction of local access road with drainage system at poblacion P3,538,000.00 b. construction of potable water supply system level II at binguang P5,000,000.00 c.  construction of potable water supply system level II at Caddangan P3,000,000.00</t>
  </si>
  <si>
    <t xml:space="preserve"> 50 bags 40 kls Portland Cement 10 cu.m Screen Sand 10 cu.m 3/4" Gravel 960 pcs CHB 4" 10 shts 4.5mm thk Marine Plywood</t>
  </si>
  <si>
    <t xml:space="preserve"> Laptop- 2 unit  Windows 10 Home in S Mode (8) (45) Intel Core i3-1005G1 Processor: 128GB Solid state Drive 4GB SODIMM DDR4 DRAM 14".0 HD LED Display Printer (6 in 1) 1 unit with contineous Ink system, printer, copier, scanner, wifi, fax and ethernet Lapto</t>
  </si>
  <si>
    <t xml:space="preserve"> ITEM	QTY.	UNIT		ARTICLE AND DESCRIPTION				CEILING 					UNIT PRICE		TOTAL  								PRICE							 															 	Office: Ospital Ng Maynila Medical Center 					PR No. 697	Php85,593.00			OBR No. 100-2005-04602					 	           Ospital Ng Maynila Medical Ce</t>
  </si>
  <si>
    <t xml:space="preserve"> NOTICE OF NEGOTIATED PROCUREMENT (Two (2) Failed Biddings)   In view of the urgency of the immediate need for the completion of the project Supply and Delivery of Office Equipment for FGIS with an Approved budget for the Contract amounting to Eight Hundre</t>
  </si>
  <si>
    <t xml:space="preserve"> INVITATION TO BID   Procurement of Goods:  SUPPLY and DELIVERY of Various Oral Health Supplies for the 60 established Clinics in DepEd Region 2 (LOT 1) 1.	The Department of Education, Regional Office 02, through GAA 2020   intends to apply the sum of Six </t>
  </si>
  <si>
    <t xml:space="preserve"> Section I. Invitation to Bid Republic of the Philippines Province of Benguet MUNICIPALITY OF BOKOD INVITATION TO BID FOR PURCHASE OF FOOD SUPPLEMENTS FOR 6-59 MONTHS CHILDREN, PWDS AND PREGNANT WOMEN (SUPPORT TO NUTRITION), BOKOD, BENGUET 1.	The MUNICIPAL</t>
  </si>
  <si>
    <t xml:space="preserve"> Description:		 			Road Section Length: 70 L.m		 			Thickness 0.15 m		 			Road Width: 7.0 L.m		 			Surface Type: Item 311-PCCP		 					 			CONTRACT COST:		 	LOT	1	SPECIAL ITEM-GENERAL CONDITIONS		 			A. Mobilization and Demobilization		10,000.00 			B. Proje</t>
  </si>
  <si>
    <t xml:space="preserve"> Paper, Book, A4,  subs. 20 - 270 Reams</t>
  </si>
  <si>
    <t xml:space="preserve"> LOT 1		 9 unit	 SUPPLY AND DELIVERY OF LAPTOP		 	Specifications: 		 	SUMMARY		 	Storage: 	1 TB HDD	 	Processor: 	Intel Core i5 to i7 (10th Gen Processor)	 	Display: 	13" to 14" (1920 x 1080 px)	 	RAM: 	8 GB DDR4 RAM	 	Weight: 	2.00 to 3:00 kg	 	Operating </t>
  </si>
  <si>
    <t xml:space="preserve"> Supply and Delivery of Construction Materials for use for the construction of Perimeter Fence at NIA-EAAIS, Allacapan, Cagaya</t>
  </si>
  <si>
    <t xml:space="preserve"> Concreting of Barangay Road W-4.00m x L-0.94km</t>
  </si>
  <si>
    <t xml:space="preserve"> Republic of the Philippines PROVINCE OF MARINDUQUE Capitol Boac, Marinduque OFFICE OF BIDS AND AWARDS COMMITTEE Invitation to Bid  Furnishing labor, materials and equipment rental for the Construction of Brgy. Water Supply System (Phase 1), Brgy. Tabionan</t>
  </si>
  <si>
    <t xml:space="preserve"> INVITATION TO BID FOR THE PURCHASE OF OTHER MACHINERY AND EQUIPMENT – HOME FOR BOYS - CSWDO 1.	The City Government of Bacoor, Cavite, through the General Fund Year 2020 intends to apply the sum of ONE MILLION FIVE HUNDRED SIXTY FIVE THOUSAND PESOS AND ZER</t>
  </si>
  <si>
    <t xml:space="preserve"> 1	56	bags		portland cement			 2	7	cu.m		sand s1			 3	7	cu.m		gravel 3/4			 4	56	pcs		10 mm dia reinf bar			 5	38	pcs		12 mm dia reinf bar			 6	15	kgs		gi tie wire #16			 7	5	pcs		gi pipe 2" dia sched 40			 8	18	pcs		angle bar 1/4" x 1 1/2" x 1 1/2"			 9	6</t>
  </si>
  <si>
    <t xml:space="preserve"> Construction of barangay street lightings.</t>
  </si>
  <si>
    <t xml:space="preserve"> Republic of the Philippines MUNICIPALITY OF ECHAGUE Province of Isabela INVITATION TO BID FOR  THE  PROCUREMENT  OF DRUGS, MEDICINES  AND MEDICAL  SUPPLIES 1.	The Local Government Unit , through  the  GENERAL   FUND  Of  2020   intends to apply the sum of</t>
  </si>
  <si>
    <t xml:space="preserve"> Please see attached RFQ # 20-1265 Submit your Sign and Sealed Quotation together with your UPDATED ELIGIBILITY Requirements For more details please call Corn Program (920-2013) or Email us at damimaropasvp@gmail.com Technical Requirements: 1. Valid Busine</t>
  </si>
  <si>
    <t xml:space="preserve"> Republic of the Philippines PROVINCE OF MARINDUQUE Capitol Boac, Marinduque OFFICE OF BIDS AND AWARDS COMMITTEE Invitation to Bid  Furnishing labor, materials and equipment rental for the Construction of Brgy. Water Works System, Brgy. Datingbayan, Sta. C</t>
  </si>
  <si>
    <t xml:space="preserve"> REQUEST FOR QUOTATION														 														 RFQ No.		SVP 20-0903				Date				7/29/2020				 PR Reference		100-20-07-038				Implementing Office				AGRICULTURE				 Closing Date and Time														 Designated Places of Submission (Bid Box Designated </t>
  </si>
  <si>
    <t xml:space="preserve"> DESCRIPTION	UNIT	QUANTITY Project Billboard/ Signboard	each	1.00 Occupational Safety and Health Program	months	2.00 Mobilization/Demobilization	Lump sum	1.00 Structure Excavation	cu.m.	132.90 Subgrade Preparation	sq.m.	364.50 Aggregate Base Course	cu.m.	3</t>
  </si>
  <si>
    <t xml:space="preserve"> INVITATION TO APPLY FOR ELIGIBILITY AND TO BID The Municipal Government of Piñan, Zamboanga del Norte through its Bids and Awards Committee (BAC), invites legitimate suppliers/dealers  to apply for eligibility and if found eligible, to bid for the hereund</t>
  </si>
  <si>
    <t xml:space="preserve"> 1. 500 kls. Sugar 2. 1000 kls Salt 3. 2500 cans sardines 4. 2500 pcs. Noodles 5. 500 Liters Cooking Oil 6. 1000 pcs. Coffee 50g 7. 500 Bars Detergent Bar 8. 183.3 bxs. Match</t>
  </si>
  <si>
    <t xml:space="preserve"> 10 unit wheelchair, etc.. OPSWD</t>
  </si>
  <si>
    <t xml:space="preserve"> Republic of the Philippines Province of Leyte Municipality of Hilongos Barangay WESTERN POB. REQUEST FOR QUOTATION ________________ DATE _____________________ _____________________ .        Please quote your lowest price on the items/listed below for theP</t>
  </si>
  <si>
    <t xml:space="preserve"> ***see attached documents***</t>
  </si>
  <si>
    <t xml:space="preserve"> NOTICE OF ALTERNATIVE MODE OF PROCUREMENT (Small Value Procurement) NOTICE PR. NO. 20-07-133; In accordance with Section 53.9 of the Revised Implementing Rules and Regulations of R.A. 9184, this Notice is hereby issued per approved Annual Procurement Plan</t>
  </si>
  <si>
    <t xml:space="preserve"> See attached RFQ 2020-08-019</t>
  </si>
  <si>
    <t xml:space="preserve"> Republic of the Philippines City of Toledo -oOo- BIDS AND AWARDS COMMITTEE ITB No. I09-02-2020 INVITATION TO BID FOR: Proposed Construction of Multi-Purpose Building (PhaseII) @ Brgy. Cabitoonan, Toledo City 1.	The City Government of Toledo under the 20% </t>
  </si>
  <si>
    <t xml:space="preserve"> Republic of the Philippines PROVINCE OF MARINDUQUE Capitol Boac, Marinduque OFFICE OF BIDS AND AWARDS COMMITTEE Invitation to Bid  Furnishing labor, materials &amp; equipment for the Construction of Hospital Facilities (Morgue) Santol, Boac, Marinduque  The M</t>
  </si>
  <si>
    <t xml:space="preserve"> RFQ-2020-223		 			 1.	2	mts	Conduit Pipe 80 mm 2.	2	mts	Entrance Cap 870 mm 3.	8	pcs	Locknut 80 mm 4.	8	pcs	Bushing 80 mm 5.	1	pc 	Circuit breaker 3 Pole 1200 amp. 6.	100	pcs	Electrical Wire # 200 mm THHN 7.	50	pcs	Electrical Wire # 80 mm THHN 8.	4	pcs	Te</t>
  </si>
  <si>
    <t xml:space="preserve"> ELECTRICAL  7 POST</t>
  </si>
  <si>
    <t xml:space="preserve"> RFQ (20-07-095) Electrical Supplies and Electrical Fixtures</t>
  </si>
  <si>
    <t xml:space="preserve"> RFQ-2020-222		 			 1.	2	mts	Conduit Pipe 80 mm 2.	2	mts	Entrance Cap 870 mm 3.	8	pcs	Locknut 80 mm 4.	8	pcs	Bushing 80 mm 5.	1	pc 	Circuit breaker 3 Pole 1200 amp. 6.	100	pcs	Electrical Wire # 200 mm THHN 7.	50	pcs	Electrical Wire # 80 mm THHN 8.	4	pcs	Te</t>
  </si>
  <si>
    <t xml:space="preserve"> 105 unit Thermo Gun 300 gallon Ethyl Alcohol (70%) Solution 200 gallon Chlorine Bleach Liquid 16 unit Sensor Alcohol Dispenser Machine</t>
  </si>
  <si>
    <t xml:space="preserve"> Republic of the Philippines PROVINCE OF MARINDUQUE Capitol Boac, Marinduque OFFICE OF BIDS AND AWARDS COMMITTEE Invitation to Bid  Furnishing labor, materials &amp; equipment for the Construction of  Hospital Facilities (Morgue) Santol, Boac, Marinduque  The </t>
  </si>
  <si>
    <t xml:space="preserve"> Republic of the Philippines PROVINCE OF MARINDUQUE Capitol Boac, Marinduque OFFICE OF BIDS AND AWARDS COMMITTEE Invitation to Bid  Furnishing labor, materials and  equipment for the Construction/Rehabilitation of Poblacion Provincial Road at Rizal St., Ma</t>
  </si>
  <si>
    <t xml:space="preserve"> Name of the Procuring Entity: TONDO MEDICAL CENTER Name of the Project:  Procurement of UV Sterilizer      			                                          Location of the Project: Tondo Medical Center Balut, Tondo Manila                                      </t>
  </si>
  <si>
    <t xml:space="preserve"> Procurement of 500 pieces garden spade as extension support during the conduct of ATIng Kaugnay School on the Air Program on Production of High Quality Inbred Rice and Seeds and Farm Mechanization under Rice Competitive Enhancement Fund (RCEF) for the per</t>
  </si>
  <si>
    <t xml:space="preserve"> RFQ (20-07-085) Dietary Supplies</t>
  </si>
  <si>
    <t xml:space="preserve"> Improvement of the Existing Building</t>
  </si>
  <si>
    <t xml:space="preserve"> 1 unit Pick-up truck Specifications: Engine Model: RZ4E-TC, Type: 4-cylinder in line blue power diesel engine with turbo intercooler, displacement: 1898cc, Maximum Power: 150 ps(110kW)@3600rpm, Maximum Torque: 350N-m (35.7kg-m) @ 1,800-2600 rpm, Bore x st</t>
  </si>
  <si>
    <t xml:space="preserve"> Republic of the Philippines Province of Camarines Norte MUNICIPALITY OF VINZONS BIDS AND AWARDS COMMITTEE (BAC) (Tel. # 446-63-09) INVITATION TO BID 	 Invitation to Bid for: CONSTRUCTION OF DRAINAGE CANAL WITH COVER  BARANGAY I, POBLACION, VINZONS, CAM. N</t>
  </si>
  <si>
    <t xml:space="preserve"> Road Concreting  - 4m x 0.20m 22m Concrete Road</t>
  </si>
  <si>
    <t xml:space="preserve"> Name of the Procuring Entity: TONDO MEDICAL CENTER Name of the Project: Procurement of Electric Kettle for Office Use      			                                          Location of the Project: Tondo Medical Center Balut, Tondo Manila                      </t>
  </si>
  <si>
    <t xml:space="preserve"> motorcycle with side car</t>
  </si>
  <si>
    <t xml:space="preserve"> Republic of the Philippines MUNICIPALITY OF BUENAVISTA INVITATION TO BID FOR SUPPLY AND DELIVERY OF DIGITAL COPYPRINTER FOR DEPED BUENAVISTA    1.	The Local Government Unit of Buenavista, Marinduque through the fund from the Special Education Fund (SEF) i</t>
  </si>
  <si>
    <t xml:space="preserve"> Republic of the Philippines									 Province of Batangas									 Municipality of Sto. Tomas									 Barangay STA. ANASTACIA									 									 									 INVITATION TO BID									 									 The Barangay Government of Sta Anastacia, Sto. Tomas, Batangas</t>
  </si>
  <si>
    <t xml:space="preserve"> 354 length 4"x 6.0m HDPE Pipe SDR 11</t>
  </si>
  <si>
    <t xml:space="preserve"> REQUEST FOR QUOTATIONS Procurement of Scanner Note:  Please see attached document for complete specifications. REMINDERS: 1.) Pls. see associated components for the attached approved canvass form for complete specifications. 2.) Only the approved and pres</t>
  </si>
  <si>
    <t xml:space="preserve"> LOT A 2,891 pcs TUPAD Long Sleeve (Color: Green)*  3,170 pcs Washable  Face Mask (2 pcs per beneficiary, 1 Black and 1 green)**  Lot B 534 pcs Face Shield***  18,400 pcs Disposable Surgical Mask (10 pcs per beneficiary for 10 days work)****  534 bottle 70</t>
  </si>
  <si>
    <t xml:space="preserve"> PR2020-07-031 - Purchase and Delivery of Vehicle Parts for use of Various Service Vehicles assigned at the Planning and Design Section and District Engineer's Office</t>
  </si>
  <si>
    <t xml:space="preserve"> Republic of the Philippines Province of Camarines Norte MUNICIPALITY OF VINZONS BIDS AND AWARDS COMMITTEE (BAC) (Tel. # 446-63-09) 	 INVITATION TO BID FOR: Purchase/Delivery of Medical Supplies for Lying-IN and RHU Used  1.	The Local Government Unit of Vi</t>
  </si>
  <si>
    <t xml:space="preserve"> 15 Set Desktop Computer PEO</t>
  </si>
  <si>
    <t xml:space="preserve"> Waterworks Materials to be used for raw materials for Organic Production</t>
  </si>
  <si>
    <t xml:space="preserve"> QTY 1 UNIT Ppcs. Agency Specification:  Supply, Delivery and Installation of 3.0 Tonner Floor Mounted Air Conditioner ABC: Php 96,000.00 Delivery Period is within 30 (Thirty ) Calendar Days from the receipt of Purchase Order.</t>
  </si>
  <si>
    <t xml:space="preserve"> Procurement of 500 pieces rechargeable AM/FM/SW radio as extension support during the conduct of ATIng Kaugnay School on the Air Program on Production of High Quaclity Inbred Rice and Seeds and Farm Mechanization under Rice Competitive Enhancement Fund (R</t>
  </si>
  <si>
    <t xml:space="preserve"> This project entails purchase of materials for the improvement of Health Center at Brgy. Malbog, Magallanes,  Sorsogon funded of BDF 2020.</t>
  </si>
  <si>
    <t xml:space="preserve"> 4 pcs portable handheld radio BPENRO</t>
  </si>
  <si>
    <t xml:space="preserve"> 1.	The DEPARTMENT OF EDUCATION NORTH COTABATO DIVISION, through the Government of the Philippines intends to apply the sum of ELEVEN MILLION FOUR HUNDRED SEVENTY-SIX THOUSAND SEVEN HUNDRED NINETY-TWO PESOS AND 14/100 (PhP 11,476,792.14) being the Approved</t>
  </si>
  <si>
    <t xml:space="preserve"> Republic of the Philippines PROVINCE OF CAGAYAN Municipality of Peñablanca PROVINCIAL BIDS AND AWARDS COMMITTEE INVITATION FOR NEGOTIATED PROCUREMENT DUE TO TWO FAILED BIDDINGS Procurement of 313,150 Liters Diesel Fuel 1.	The Provincial Government of Caga</t>
  </si>
  <si>
    <t xml:space="preserve"> Asphalt Overlay Location: Brgy Cumba Lian, Batangas Budget:370,000.00</t>
  </si>
  <si>
    <t xml:space="preserve"> SUPPLY AND DELIVERY OF MATERIALS AND TOOLS FOR THE PSHS-CALABARZON REGION CAMPUS UTILITY WORKERS' REPAIR AND MAINTENANCE TASKS                           The PHILIPPINE SCIENCE HIGH SCHOOL SYSTEM - CALABARZON REGION CAMPUS (PSHS-CBZRC) intends to apply the</t>
  </si>
  <si>
    <t xml:space="preserve"> One (1) Unit Desktop with complete accessories</t>
  </si>
  <si>
    <t xml:space="preserve"> Republic of the Philippines Province of Davao de Oro Municipality of Monkayo -o0o- INVITATION TO BID FOR THE PROCUREMENT OF BUSINESS PLATE 2021  The Municipality of Monkayo, through the GENERAL FUND intends to apply the sum NINETY-THREE THOUSAND FOUR HUND</t>
  </si>
  <si>
    <t xml:space="preserve"> Requesting for Quotation (RFQ) for PR No. 2003067  Interested suppliers are invited to submit Sealed Price Quotations for the above listed items. The Request for Quotation (RFQ) for may be obtained from Mr. Albert A. Camarillo City General Services Office</t>
  </si>
  <si>
    <t xml:space="preserve"> Republic of the Philippines PROVINCE OF CAGAYAN Municipality of Peñablanca PROVINCIAL BIDS AND AWARDS COMMITTEE INVITATION FOR NEGOTIATED PROCUREMENT DUE TO TWO FAILED BIDDINGS Supply and Delivery of Various Brand New Tires 1.	The Provincial Government of</t>
  </si>
  <si>
    <t xml:space="preserve"> Requesting for Quotation (RFQ) for PR No. 2002291  Interested suppliers are invited to submit Sealed Price Quotations for the above listed items. The Request for Quotation (RFQ) for may be obtained from Mr. Albert A. Camarillo City General Services Office</t>
  </si>
  <si>
    <t xml:space="preserve"> Drugs and Medicines</t>
  </si>
  <si>
    <t xml:space="preserve"> 3 LI</t>
  </si>
  <si>
    <t xml:space="preserve"> The PHILIPPINE SCIENCE HIGH SCHOOL SYSTEM - CALABARZON REGION CAMPUS (PSHS-CBZRC) intends to apply the sum of ONE HUNDRED EIGHTY THOUSAND PESOS (Php180,000.00) being the Approved Budget for the Contract (ABC) to pay for the contract for the Project: SUPPL</t>
  </si>
  <si>
    <t xml:space="preserve"> Concreting of Barangay Raod</t>
  </si>
  <si>
    <t xml:space="preserve"> Section I. Invitation to Bid Republic of the Philippines Province of Benguet MUNICIPALITY OF BOKOD INVITATION TO BID FOR PROCUREMENT OF COMMUNICATION EQUIPMENT, BOKOD, BENGUET 1.	The MUNICIPALITY OF BOKOD, through the Government of the Philippines (GOP) t</t>
  </si>
  <si>
    <t xml:space="preserve"> 15    unit      Steel Cabinet with 4 drawers</t>
  </si>
  <si>
    <t xml:space="preserve"> Republic of the Philippines									 DEPARTMENT OF PUBLIC WORKS &amp; HIGHWAYS									 CAMARINES SUR 3RD   									 DISTRICT ENGINEERING OFFICE									 Regional Office V									 Baras, Canaman									 									 Name of Procuring Entry: DPWH-Cam. Sur III	</t>
  </si>
  <si>
    <t xml:space="preserve"> Request for Quotation July 29, 2020                                                                                     	 	Quotation No.  2020-07-067                                                                                       	 	 P.R. No.       </t>
  </si>
  <si>
    <t xml:space="preserve"> QTY.	UNIT	DESCRIPTION 227	vials	Purified Chick Rabies Vaccine</t>
  </si>
  <si>
    <t xml:space="preserve"> Provision for catering services (AM snacks, lunch) good for 150 pax on September 2, 2020 in San Fernando, Pamplona, Pili, Iriga City, Bula and Baao, Camarines Sur (25 pax per municipality) simultaneously.  Details: September 2, 2020 (AM Snacks, Lunch: 2 v</t>
  </si>
  <si>
    <t xml:space="preserve"> Republic of the Philippines PROVINCE OF ZAMBOANGA DEL NORTE Municipality of Sibutad BIDS AND AWARDS COMMITTEE JULY 30, 2020 INVITATION TO BID The Local Government Unit of Sibutad, Zamboanga del Norte under P.R. No. GFP100-2020-07-055 dated JULY 9, 2020 wi</t>
  </si>
  <si>
    <t xml:space="preserve"> Republic of the Philippines PROVINCE OF NORTHERN SAMAR BIDS AND AWARDS COMMITTEE Catarman Purchase of 2 Units Mini Bus 4x2 DSL M/T (29 - seater) for Disaster and Emergency Purposes PDRRMO Province of Northern Samar    NS-07-30-20 1.	The Provincial Governm</t>
  </si>
  <si>
    <t xml:space="preserve"> Republic of the Philippines PROVINCE OF PANGASINAN BIDS AND AWARD COMMITTEE (BAC) Brgy. Capaoay, San Jacinto, Pangasinan Mobile No. 09453394700 INVITATION TO BID The Barangay Capaoay, San Jacinto, Pangasinan, though its Bids and Award Committee (BAC), inv</t>
  </si>
  <si>
    <t xml:space="preserve"> Bids received in excess of the ABC for each project shall be automatically rejected at bid opening. Prospective bidders should have undertaken a similar project within three (3) years from the date of bidding. Bidding will be conducted through open compet</t>
  </si>
  <si>
    <t xml:space="preserve"> LAPTOP 15s-du0077TX	 INTEL CORE I3-8130U PROCESSOR	 128GB SOLID STATE DRIVE	 1TB HARD DRIVE	 8GB SODIMM DDR4 SDRAM	 15.6" HD LED DISPLAY	 NVIDIA GEFORCE GRAPHICS</t>
  </si>
  <si>
    <t xml:space="preserve"> The Barangay Government of Brgy. San Pedro, Quinapondan, Eastern Samar, through its Bids and Awards Committee (BAC), intends to apply the sum of One Hundred Sixty Six Thousand Three Hundred Forty Five Pesos and 82/100 (Php 166,345.82), under the 20% BDF o</t>
  </si>
  <si>
    <t xml:space="preserve"> INVITATION TO APPLY FOR ELIGIBILITY AND TO BID THE BIDS AND AWARD COMMITTEE OF THE MUNICIPALITY OF CAIBIRAN, BILIRAN IS INVITING ALL INTERESTED BIDDERS ON ITS FORTH COMING PUBLIC BIDDING FOR:   Project Title	: Setting-Up of Covered Court as Isolation Area</t>
  </si>
  <si>
    <t xml:space="preserve"> QUANTITY UNIT DESCRIPTION      2          unit Motorboat with double engine</t>
  </si>
  <si>
    <t xml:space="preserve"> Pls see attached for the details</t>
  </si>
  <si>
    <t xml:space="preserve"> Please quote your price(s) for the article(s) as specified in the list below for Kikipot Elementary School of Division of Bukidnon which are available in your store/establishment/company. If available, please furnish catalogue, descriptive brochures of li</t>
  </si>
  <si>
    <t xml:space="preserve"> The Municipality of Limay, through its Bids and Awards Committee (BAC) invites registered contractors to apply for eligibility and if found eligible, to bid for the hereunder project/contract: Project/Contract:     PROCUREMENT OF I.T. EQUIPMENT AND SUPPLI</t>
  </si>
  <si>
    <t xml:space="preserve"> NOTICE OF ALTERNATIVE MODE OF PROCUREMENT (Small Value Procurement) NOTICE PR. NO. 20-07-147;  In accordance with Section 53.9 of the Revised Implementing Rules and Regulations of R.A. 9184, this Notice is hereby issued per approved Annual Procurement Pla</t>
  </si>
  <si>
    <t xml:space="preserve"> Republic of the Philippines PROVINCE OF MARINDUQUE Capitol Boac, Marinduque OFFICE OF BIDS AND AWARDS COMMITTEE Invitation to Bid  Furnishing labor, materials and equipment for the Concreting/Rehabilitation/Improvement/Upgrading of Janagdong Road, Brgy. J</t>
  </si>
  <si>
    <t xml:space="preserve"> Lubricants</t>
  </si>
  <si>
    <t xml:space="preserve"> Road Opening at Ikog Buaya Sitio Nonocan Brgy. Dapnan Phase III, Baganga, Davao Oriental</t>
  </si>
  <si>
    <t xml:space="preserve"> INVITATION TO BID   Procurement of Goods:  SUPPLY and DELIVERY of Hygiene Kits to 176,825 Public Elementary Learners in DepEd Region 2 (LOT 1) 1.	The Department of Education, Regional Office 02, through GAA 2020   intends to apply the sum of Seven Million</t>
  </si>
  <si>
    <t xml:space="preserve"> Food Stuff for Senior Citizens 2020</t>
  </si>
  <si>
    <t xml:space="preserve"> 2 ASSY TRACK LINK 4 PCS IDLER 4 PCS BLOCK 4 PCS CAP ASSEMBLY 8 PCS BOLT CAP SCREW 8 PCS WASHER 2 PCS CARRIER ROLLER 8 PCS TRACK ROLLER (SINGLE FLANGER) 4 PCS TRACK ROLLER (DOUBLE FLANGER) 48 PCS BOLT (CAP SCREW 48 PCS WASHER 24 PCS CAP 152 PCS BOLT (TRACK</t>
  </si>
  <si>
    <t xml:space="preserve"> Spare Parts</t>
  </si>
  <si>
    <t xml:space="preserve"> 27784-010	WRENCH  ADJUSTIBLE  18"	13	PIECE	3,990.00	51,870.00  27784-014	WRENCH  PIPE  10"	40	PIECE	1,853.50	74,140.00  27784-015	WRENCH  PIPE  12"	40	PIECE	2,150.00	86,000.00  27784-016	WRENCH  PIPE  14"	59	PIECE	2,250.00	132,750.00  27784-017	WRENCH  PI</t>
  </si>
  <si>
    <t xml:space="preserve"> Construction of sanitary toilet facilities &amp; water facilities</t>
  </si>
  <si>
    <t xml:space="preserve"> Government office hours only.  1 Security Guard only.</t>
  </si>
  <si>
    <t xml:space="preserve"> Requesting for Quotation (RFQ) for PR No. 2005248  Interested suppliers are invited to submit Sealed Price Quotations for the above listed items. The Request for Quotation (RFQ) for may be obtained from Mr. Albert A. Camarillo City General Services Office</t>
  </si>
  <si>
    <t xml:space="preserve"> REQUEST FOR QUOTATION  RFQ No. 2020-07-081 The Rizal Medical Center (Rizal Med) through its Bids and Awards Committee-C (BAC-C), hereby invites all interested suppliers or distributors registered with the Philippine Government Electronic Procurement Syste</t>
  </si>
  <si>
    <t xml:space="preserve"> NOTICE OF PROCUREMENT OF GOODS THROUGH ALTERNATIVE METHOD OF PROCUREMENT (AMP-07-2020-013) 	Notice is hereby given that the Department of Public Works and Highways, Batangas IV District Engineering Office, Marawoy, Lipa City will conduct Small Value Procu</t>
  </si>
  <si>
    <t xml:space="preserve"> 1.	The BLGU-Duangan,Esperanza,Agusan del Sur intends to apply the sum of One Hundred Six Thousand Nine Hundred Six Pesos Only (Php106,906.00) being the Approved Budget for the Contract (ABC) to payments under the contract for Supply and Delivery of Variou</t>
  </si>
  <si>
    <t xml:space="preserve"> for Repair of Backhoe LGU Cabagan Cabagan, Isabela</t>
  </si>
  <si>
    <t xml:space="preserve"> Pls. quote the item listed below: 1.  Diesel  -  1, 800 ltrs. NOTE:                       Opening of Bids will be on August 11, 2020 @ 1:00 pm</t>
  </si>
  <si>
    <t xml:space="preserve"> Materials (Hardware/ Construction)</t>
  </si>
  <si>
    <t xml:space="preserve"> Item  No.           Description		Qty.		Unit 100(1) Clearing and Grubbing- 0.046  sq.m. 103(1)a Sructure Excavation common soil – 345.00  cu.m. 404(2)a Embankment From Borrow, Common soil – 158.70 cu.m. 404(1)a Reinforcing Steel, Grade 40 – 3,700.00 kgs. 4</t>
  </si>
  <si>
    <t xml:space="preserve"> Republic of the Philippines Province of Davao de Oro Municipality of Monkayo -o0o- INVITATION TO BID FOR THE PROCUREMENT OF FUEL FOR MOBILIZATION OF VARIOUS OFFICES  The Municipality of Monkayo, through the GENERAL FUND intends to apply the sum of SIX HUN</t>
  </si>
  <si>
    <t xml:space="preserve"> Provincial Social Welfare Development Office Agusan del Norte</t>
  </si>
  <si>
    <t xml:space="preserve"> Request for Quotation for the Procurement of Other Supplies to be used at DA SAAD Offices in Region 7 1.	The Department of Agriculture-Regional Field Office 7 (DA-RFO 7), through the General Appropriations Act of CY 2020)  intends to apply the sum of Eigh</t>
  </si>
  <si>
    <t xml:space="preserve"> CONSTRUCTION OF 0.20M THK ROAD SHOULDER</t>
  </si>
  <si>
    <t xml:space="preserve"> Please quote your lowest price on the item/s listed below:  PRODUCTION AND INSTALLATION  OF ONE (1) ADDITIONAL HOLOGRAM EXHIBIT Requirements: I. Audio-video revisions of existing Salinlahi AVP a.  Scriptwriting revisions b. Voice over recording/soundtrack</t>
  </si>
  <si>
    <t xml:space="preserve"> THE FOLLOWING ARE THE LIST OF SUPPLIES NEEDS IN SAN FRANCISCO ELEMENTARY SCHOOL  copy paper , 8.5 x 13, 70 GSM	 copy paper , 8.25 x 11.75, 70 GSM	 Universal ink bottle (black)	 Universal ink bottle (cyan)	 Universal ink bottle (yellow)	 Universal inkbottl</t>
  </si>
  <si>
    <t xml:space="preserve"> Security Services</t>
  </si>
  <si>
    <t xml:space="preserve"> The ZAMBOANGA CITY STATE POLYTECHNIC COLLEGE through its Bids and Awards Committee (BAC) is inviting PHILGEPS registered suppliers to apply for eligibility and to submit bids for the items listed below: Learning Management System Multi-Technology Interact</t>
  </si>
  <si>
    <t xml:space="preserve"> The [Local Government Unit of Inopacan, Leyte], through the [Advertising Expense (Publication) under the MOOE of the Office of Sangguniang Bayan in the 2020 General Fund Annual Budget 1 as per Appropriation Ordinance No. 20-01 by the 14th Sannguniang Baya</t>
  </si>
  <si>
    <t xml:space="preserve"> NOTICE TO ALL PROVIDERS/SUPPLIERS: The Department of Science and Technology, Caraga, through its BAC intends to procure the 1 lot Subscription to Video Conferencing Application. Technical Specfications: Pro Plan with All Basic Features, annual subscriptio</t>
  </si>
  <si>
    <t xml:space="preserve"> Procurement of various office, school, construction and electrical supplies, materials and equipment of the Senior High School for the Second Quarter CY 2020</t>
  </si>
  <si>
    <t xml:space="preserve"> Republic of the Philippines Province of Davao de Oro Municipality of Monkayo -o0o- INVITATION TO BID FOR THE PROCUREMENT OF FUEL FOR MAYOR’S OFFICE USE  The Municipality of Monkayo, through the GENERAL FUND intends to apply the sum of ONE HUNDRED FORTY TW</t>
  </si>
  <si>
    <t xml:space="preserve"> DOORS &amp; WINDOWS REMOVAL OF EXISTING WINDOWS TILE WORKS</t>
  </si>
  <si>
    <t xml:space="preserve"> INVITATION TO BID FOR THE SUPPLY AND DELIVERY OF SUPPLIES, MATERIALS AND EQUIPMENT TO BE USED FOR DENTAL SERVICES- 2nd Posting PB-2020-163-019 1. The Pampanga State Agricultural University, through Fund 163, intends to apply the sum of P312,703.71 being t</t>
  </si>
  <si>
    <t xml:space="preserve"> Section I. Invitation to Bid Republic of the Philippines Province of Misamis Oriental  Municipality of Salay INVITATION TO BID FOR Procurement of Diesel for Rechanneling of Rivers (Along Poblacion-SR 1 water ways) 1.	The Local Government Unit of Salay, th</t>
  </si>
  <si>
    <t xml:space="preserve"> Requesting for Quotation (RFQ) for PR No. 2003043  Interested suppliers are invited to submit Sealed Price Quotations for the above listed items. The Request for Quotation (RFQ) for may be obtained from Mr. Albert A. Camarillo City General Services Office</t>
  </si>
  <si>
    <t xml:space="preserve"> INVITATION TO BID   Procurement of Goods:  SUPPLY and DELIVERY of Hygiene Kits to 178,550 Public Elementary Learners in DepEd Region 2 (LOT 2) 1.	The Department of Education, Regional Office 02, through GAA 2020   intends to apply the sum of Seven Million</t>
  </si>
  <si>
    <t xml:space="preserve"> PC DESKTOP PACKAGE RYZEN 22000 MSI A320M PRO E 8GB DDR4 MEMORY 240 GB SATA SSD CASING WITH SUPPLY 22 LED MONITOR IPS NVISION A4TECH MOUSE KEYBOARD HEADSET 500W TRUE RATED POWER SUPPLY  2 PRINTER EPSON L 360 UTP CABLE CAT 6 FREE SET UP  BANDWITH MANAGEMENT</t>
  </si>
  <si>
    <t xml:space="preserve"> Engineering Device / Equipment &amp; Supplies</t>
  </si>
  <si>
    <t xml:space="preserve"> ITEM NO.	Unit of issue	ITEM &amp;DESCRIPTION	Brand &amp; Model	QTY.	 1	pc	Glass Cover for conference table 4ft x 8ft, thickness:		1	 		6.35mm, tempered glass, fabricated			 2	pc	Classroom Arm Chair, Metal, standard size fabricated		30	 		(see attached sample)			 </t>
  </si>
  <si>
    <t xml:space="preserve"> Service Vehicle &gt; Brand New &gt; Sports Utility Vehicle &gt; Engine Displacement : 2400cc (minimum) &gt; Engine Type : 4-cylinder, Diesel-fed, with turbo intercooler &gt; Power : 150 PS  &gt; Torque : 350 N-m (Minimum) &gt; Fuel System : CRDI &gt; Emission Rating : EURO IV &gt; </t>
  </si>
  <si>
    <t xml:space="preserve"> REQUEST FOR QUOTATION __________________ __________________ Sir/Madam: DepEd-SDO Bayawan through its Bids and Awards Committee (BAC), will undertake procurement of civil works for the REHABILITATION OF LAVATORY AT SDS COMFORT ROOM AND FABRICATION OF TV ST</t>
  </si>
  <si>
    <t xml:space="preserve"> 1.	The Carmona Water District hereinafter referred to as the “Purchaser” now requests for submission of price quotation for the procurement of the aforesaid item described in the Technical Specifications. 2.	A set of technical specifications are provided </t>
  </si>
  <si>
    <t xml:space="preserve"> The DepED-CAR Regional Office through its Bids and Awards Committee (BAC), invites suppliers to quote for the project SUPPLY AND DELIVERY OF LAPTOPS AND DESKTOP COMPUTER FOR THE HUMAN RESOURCE DEVELOPMENT DIVISION Quotations should be inclusive of tax.  T</t>
  </si>
  <si>
    <t xml:space="preserve"> Republic of the Philippines CITY OF PANABO Province of Davao del Norte BIDS AND AWARDS COMMITTEE -o0o- INVITATION TO BID  SUPPLY OF MEALS 1.	The City of Panabo, through CSWDO-OTHER MOE-ANNUAL CELEBRATION (ELDERLY WEEK) MOOE 2020 intends to apply the sum o</t>
  </si>
  <si>
    <t xml:space="preserve"> 60 persons  2 snacks and Lunch for 4 days Day 1 Snacks AM Mineral Water Palabok w/ puto Lunch Fried Chicken Rice, Chopsuey Banana, bottled water Snacks PM Toasted Siopao (2 pcs. each person) C2 Day 2 Snacks AM Spaghetti w/ toasted bread Bottled water Lunc</t>
  </si>
  <si>
    <t xml:space="preserve"> 1)  20 Drums Sodium Hypochlorite</t>
  </si>
  <si>
    <t xml:space="preserve"> INVITATION TO BID The Iligan City Government Bids and Awards Committee (BAC), invites contractors registered by the Philippine Contractors Accreditation Board (PCAB) to bid for the hereunder contract: Name of Project    : Construction of Iligan’s Best Dis</t>
  </si>
  <si>
    <t xml:space="preserve"> 12000	pax	STUDENT GROUP INSURANCE		 		Term of References:		 		"1. Annual Premium per Student – P75.00 for each student (or lower as proposed by the insurance provider) 2. Terms of Payment of the Premium (by BPSU) – in consideration with the release of UNI</t>
  </si>
  <si>
    <t xml:space="preserve"> NOTE: A complete set of Bidding Documents may be purchased by interested Bidders (working days and hours only) from the address below upon payment of nonrefundable fee in the amount 500 pesos only. It may also be downloaded free of charge from the website</t>
  </si>
  <si>
    <t xml:space="preserve"> 1.) 2,000 liters Diesel fuel</t>
  </si>
  <si>
    <t xml:space="preserve"> INVITATION TO BID July 29, 2020 1.	The Provincial Government of Davao Occidental, through its Bids and Awards Committee (BAC), invites all suppliers to apply to bid for the following goods: Bids received in excess of the ABC shall be automatically rejecte</t>
  </si>
  <si>
    <t xml:space="preserve"> 1.	100	packs	Battery AA 2’s 2.	75	packs	Battery AAA 2’s 3.	20	pieces	Battery, 9 volts 4.	1,300	pieces	Brown Envelope, long 5.	1,300	pieces	Brown Envelope, short 6.	40	boxes	Carbon Paper (Plastofoil), long (216x330mm), black 100’s 7.	6	pieces	Computer Ribb</t>
  </si>
  <si>
    <t xml:space="preserve"> BIDS AND AWARDS COMMITTEE - C REQUEST FOR QUOTATION  RFQ No. 2020-07-083 The Rizal Medical Center (Rizal Med) through its Bids and Awards Committee-C (BAC-C), hereby invites all interested suppliers or distributors registered with the Philippine Governmen</t>
  </si>
  <si>
    <t xml:space="preserve"> 1/2" water meter</t>
  </si>
  <si>
    <t xml:space="preserve"> VEGETABLE SEEDS:		 1. Eggplant, Banate King  F1  (300 seeds/pack)	282	pack 2. Squash, Suprema F1 (30 seeds/pack)	        282	pack 3. Okra, Smooth Green (200 seeds/pack)	        282	pack 4. Tomato, Diamante MAC F1 (190 seeds/pack)	282	pack 5. Ampalaya, Gal</t>
  </si>
  <si>
    <t xml:space="preserve"> The DepED-CAR Regional Office through its Bids and Awards Committee (BAC), invites suppliers to quote for the project SUPPLY AND DELIVERY OF MATERIALS FOR THE COVID PREVENTATION, MITIGATION, AND RESPONSE MEASURES (DISINFECTION OF FACILITIES, EQUIPMENT IN </t>
  </si>
  <si>
    <t xml:space="preserve"> Item  No.           Description		Qty.		Unit 100(1) Clearing and Grubbing- 0.0471  sq.m. 103(1)a Sructure Excavation common soil – 11.78  cu.m. 404(2)a Embankment From Borrow, Common soil – 79.68  cu.m. 404(1)a Reinforcing Steel, Grade 40 – 2,183.00 kgs. 4</t>
  </si>
  <si>
    <t xml:space="preserve"> 1.	The Department of Public Works and Highways Regional Office XI, Davao City, through its Bids and Awards Committee (BAC), invites bidders to submit bids for the Infra project funded under FY 2020 RA 11465 Regular 2020 CURRENT, to wit: Contract ID 	:	20L</t>
  </si>
  <si>
    <t xml:space="preserve"> ARTICLE AND DESCRIPTION											 															 ITEM	QTY.	UNIT						CEILING 					UNIT PRICE		TOTAL  								PRICE							 				Office: Manila Health Department 				PR No. 841							 				ABC:Php188,000.00				OBR No. 100-2006-05079							 				Charge to: Ot</t>
  </si>
  <si>
    <t xml:space="preserve"> Standard Form Number: SF-GOOD-60   Revised on: May 24, 2004 Standard Form Title: Request for Quotation Date: Quotation ______________________________ (name of Company) ______________________________ (address/Tel. #) Please quote your lowest price on the i</t>
  </si>
  <si>
    <t xml:space="preserve"> Lot No. 1 150	pc.	Monoblock Chairs, gray color 40	pc.	Classroom Tables Rectangular Table BT006K027BWHT 182x76x74cm, RECT. WHITE IN HALF 10	pc.	Gang Chairs(4 Seaters Aluminum waiting visitors chairs) Lot No. 2 4	unit 	Swivel Chair, Erodynamic Chair 360⁰, W</t>
  </si>
  <si>
    <t xml:space="preserve"> FUEL FOR REHAB. OF WATER WAYS, DRY CREEKS &amp; FARM TO MARKET ROADS - MO-MDRRMO (20-03-0974x) 1	12500	ltrs	diesel fuel</t>
  </si>
  <si>
    <t xml:space="preserve"> Province of Surigao del Sur MUNICIPALITY OF TAGBINA BARANGAY HINAGDANAN BIDS AND AWARDS COMMITTEE (BAC) INVITATION TO BID SUPPLY AND DELIVERY OF HARDWARE MATERIALS FOR THE CONSTRUCTION OF BARANGAY WATER SYSTEM The barangay government of Hinagdanan, Tagbin</t>
  </si>
  <si>
    <t xml:space="preserve"> RFQ 2020-161 PROJECT		:	LBRDC MOST COMMONLY USED MATERIALS IMPLEMENTOR		: 	LBP RESOURCES AND DEVELOPMENT CORPORATION OWNER			:	LAND BANK OF THE PHILIPPINES	 REQUEST FOR QUOTATION FOR	:	SUPPLY OF VARIOUS CONSTRUCTION MATERIALS    DATE / TIME OF SUBMISSION	</t>
  </si>
  <si>
    <t xml:space="preserve"> Republic of the Philippines CITY OF PANABO Province of Davao del Norte BIDS AND AWARDS COMMITTEE -o0o- INVITATION TO BID  SUPPLY OF CONSOLIDATED DRUGS &amp; MEDICINES 1.	The City of Panabo, through CHO-DRUGS &amp; MEDICINES EXP. 3RD QUARTER- MCH/FAMILY PLANNING D</t>
  </si>
  <si>
    <t xml:space="preserve"> Fourteen Units Hiking Shoes</t>
  </si>
  <si>
    <t xml:space="preserve"> BIDS AND AWARDS COMMITTEE – HEAD OFFICE INVITATION TO BID 1. The Bangko Sentral ng Pilipinas (BSP), through its Bids and Awards Committee (BAC) – Head Office, invites Bidders to apply for eligibility and to bid for the hereunder requirement: Lot No. Name </t>
  </si>
  <si>
    <t xml:space="preserve"> Procurement of Delivery Item 200 Aggregates</t>
  </si>
  <si>
    <t xml:space="preserve"> VARIOUS COMMON-USE SUPPLIES</t>
  </si>
  <si>
    <t xml:space="preserve"> G.I Tubular, Welding Rod, Grinding Disc, Hacksaw Blade, Deformed Bars, Epoxy Primer, Polytuff w/ Hardener, Portland Cement, Gravel &amp; Sand, Tansi, Black Peebles, Grout, QDE Paint, Tinting Color, Paint Thinner, Lacquer Thinner, Paint Brush, Rugs, Circuit Br</t>
  </si>
  <si>
    <t xml:space="preserve"> INVITATION TO BID No. 20-004 ONE (1) YEAR GARBAGE COLLECTION, TRANSPORT AND DISPOSAL SERVICES (2nd Posting) 1.	The Cultural Center of the Philippines (CCP), through  its Corporate Operating Budget of 2020 intends to apply the sum of Two Million Nine Hundr</t>
  </si>
  <si>
    <t xml:space="preserve"> FUEL, OIL AND LUBRICANTS - MO-SH (20-0953X) 1	3250	liter	Diesel 2	34	liter	Engine Oil 3	1100	liter	Gasoline</t>
  </si>
  <si>
    <t xml:space="preserve"> I. CONCRETE WORKS II. CARPENTRY WORKS III.TINNERY WORKS</t>
  </si>
  <si>
    <t xml:space="preserve"> Car Rental / Service Vehicle</t>
  </si>
  <si>
    <t xml:space="preserve"> Requesting for Quotation (RFQ) for PR No. 2002424  Interested suppliers are invited to submit Sealed Price Quotations for the above listed items. The Request for Quotation (RFQ) for may be obtained from Mr. Albert A. Camarillo City General Services Office</t>
  </si>
  <si>
    <t xml:space="preserve"> 250 mm THHN Copper Wire	 250 mm Terminal Lug	 500A Circuit breaker 15KAIC	 250A Circuit breaker	 Nema Enclosure 500A	 Nema Enclosure 250A</t>
  </si>
  <si>
    <t xml:space="preserve"> INVITATION TO BID   Procurement of Goods:  SUPPLY and DELIVERY of Hygiene Kits to 136,576 Public Elementary Learners in DepEd Region 2 (LOT 3) 1.	The Department of Education, Regional Office 02, through GAA 2020   intends to apply the sum of Five Million </t>
  </si>
  <si>
    <t xml:space="preserve"> FURNISHING OF SPARE PARTS, TIRES, BATTERIES AND LUBRICANTS</t>
  </si>
  <si>
    <t xml:space="preserve"> LOT 1 14	pcs	DIGITAL DUPLICATOR 		PRINT SPEED -130 SHEETS PER MINUTES 		RESOLUTION: 300 DPIXX360DPI 		MASTER MAKING TIME: 45 SECONDS 		SCANNING METHOD: AUTOMATIC DOCUMENTS FEEDER  		PRINTING METHOD: STENCIL PRINT 		DOCUMENT TYPE: SHEET 		DOCUMENT SIZE: MA</t>
  </si>
  <si>
    <t xml:space="preserve"> Date: July 29, 2020 The MANAGER		Quotation/Bid No. F501-CS-162-20 NSAN HARDWARE &amp; CONSTRUCTION SUPPLY Magsaysay Ave., Balatas, Naga City	Purpose: Supply/Delivery of Construction Materials use in the construction of concrete canal lining under 30M CY 2019 </t>
  </si>
  <si>
    <t xml:space="preserve"> NOTICE OF ALTERNATIVE MODE OF PROCUREMENT (Small Value Procurement) NOTICE PR. NO. 20-07-160 In accordance with Section 53.9 of the Revised Implementing Rules and Regulations of R.A. 9184, this Notice is hereby issued per approved Annual Procurement Plan </t>
  </si>
  <si>
    <t xml:space="preserve"> Republic of the Philippines Province of Samar  Municipality of Jiabong INVITATION TO BID FOR  CONSTRUCTION OF CIVIC CENTER BRGY CANDAYAO JIABONG SAMAR Jiab-2020-9D 1.	The Municipal Government of Jiabong, Samar, intends to apply the sum of FOUR HUNDRED THO</t>
  </si>
  <si>
    <t xml:space="preserve"> REQUEST FOR EXPRESSION OF INTEREST FOR CONSULTANCY SERVICES FOR THE PREPARATION OF DETAILED ENGINEERING DESIGN FOR THE REHABILITATION OF SHIP REPAIR FACILITIES (SRF) PIER AND WHARVES PROJECT (SBMA-BAC-CONS-RFEI-20-03 1.	The Subic Bay Metropolitan Authorit</t>
  </si>
  <si>
    <t xml:space="preserve"> DOORS &amp; WINDOWS TINNERY WORKS CARPENTRY WORKS</t>
  </si>
  <si>
    <t xml:space="preserve"> Republic of the Philippines CITY OF PANABO Province of Davao del Norte BIDS AND AWARDS COMMITTEE -o0o- INVITATION TO BID  SUPPLY OF COMPUTER DESKTOP WITH COMPLETE ACCESSORIES &amp; PRINTER (REBID) 1.	The City of Panabo, through CSWDO/CAPITAL OUTLAY 2020 inten</t>
  </si>
  <si>
    <t xml:space="preserve"> 1 pax - Topic Specialist for Research Study on Determining the Minimum Wage of Domestic Workers in the Philippines Remuneration: PHP 160,000.00 Contract duration: 5 months Qualifications 1. At least a master’s degree holder in Statistics, Economics or oth</t>
  </si>
  <si>
    <t xml:space="preserve"> Republika ng Pilipinas PAMAHALAANG LUNGSOD NG TACLOBAN (City Government of Tacloban) Kanhuraw Hill, Tacloban City 6500 BIDS AND AWARDS COMMITTEE INVITATION TO BID  REF #048-07-2020 (JULY 30, 2020) PR# 2020-862 DATED 07-21-2020 7143779 The Procuring Entity</t>
  </si>
  <si>
    <t xml:space="preserve"> FUEL, OIL &amp; LUBRICANTS FOR THE USE OF LIGHT AND HEAVY EQUIPMENT - MEO (20-07-1023X) 1	14746	liter	Diesel 2	50	liter	Gasoline</t>
  </si>
  <si>
    <t xml:space="preserve"> Purchase of various Table to be use during various event of this City</t>
  </si>
  <si>
    <t xml:space="preserve"> INVITATION TO BID The Barangay Beckel through the Bids and Awards Committee (BAC) invites contractors to bid for the hereunder project: Contract Reference No.	POW-1041-2020-BKL-03B Name of Project	CONSTRUCTION OF CENTRALIZED CANAL AT SITIO OBULAN Project </t>
  </si>
  <si>
    <t xml:space="preserve"> RFQ 2020-162 PROJECT		:	LBP IMELDA BRANCH RENOVATION IMPLEMENTOR		: 	LBP RESOURCES AND DEVELOPMENT CORPORATION OWNER			:	LAND BANK OF THE PHILIPPINES	 REQUEST FOR QUOTATION FOR	:	SUPPLY OF CONCRETE AND MASONRY WORKS MATERIALS    DATE / TIME OF SUBMISSION	</t>
  </si>
  <si>
    <t xml:space="preserve"> 1.) 2 pieces Chainsaw chain 2.) 10 pieces Brake shoe (TD-40) 3.) 10 pieces Head gear (TD-40) 4.) 10 pieces Nylon adoptor 5.) 1 unit Power spray, 1.5HP</t>
  </si>
  <si>
    <t xml:space="preserve"> Purchase of Desk Shield for the use of various Offices of this City</t>
  </si>
  <si>
    <t xml:space="preserve"> Expansion of Coral for PRDP Carabao at San Antonio, Cabagan, Isabela LGU Cabagan Cabagan, Isabela</t>
  </si>
  <si>
    <t xml:space="preserve"> 1.	The DEPARTMENT OF EDUCATION NORTH COTABATO DIVISION, through the Government of the Philippines intends to apply the sum of TWO MILLION SEVEN HUNDRED FORTY-THREE THOUSAND FOUR HUNDRED PESOS AND 00/100 (PhP 2,743,400.00) being the Approved Budget for the</t>
  </si>
  <si>
    <t xml:space="preserve"> INVITATION TO BID The Iligan City Government Bids and Awards Committee (BAC), invites contractors registered by the Philippine Contractors Accreditation Board (PCAB) to bid for the hereunder contract: Name of Project 	  : Road Concreting Location		       </t>
  </si>
  <si>
    <t xml:space="preserve"> INVITATION TO  BID                                                 Project No. 2020-02-124a The Department of Education (DepEd) Division of Panabo City, through the  CY 2020 BEFF Upgrading of  Electrification of Un-energized Schools and Modernization of E</t>
  </si>
  <si>
    <t xml:space="preserve"> Republic of the Philippines PROVINCE OF ZAMBOANGA DEL NORTE Municipality of Sibutad BIDS AND AWARDS COMMITTEE JULY 30, 2020 INVITATION TO BID The Local Government Unit of Sibutad, Zamboanga del Norte under P.R. No. GFP100-2020-07-060 dated JULY 15, 2020 w</t>
  </si>
  <si>
    <t xml:space="preserve"> Please submit your quotation for the following items on or before 5:00PM on Aug 10, 2020. ITEM D E S C R I P T I O N QTY. UNIT  1 Computer, Laptop 2 unit Technical Specification Requirements: Operating System : Windows 10 Home Processor : Intel Core i7-10</t>
  </si>
  <si>
    <t xml:space="preserve"> Five units Printer with Scanner                    (ABC: 14,000.00 per unit ) One Unit  Hot and Cold Water Dispenser/     (ABC: 7,000.00) Two Units Standing Electric Fan                   (ABC: 3,000.00 per Unit)</t>
  </si>
  <si>
    <t xml:space="preserve"> The Municipality of Limay, through its Bids and Awards Committee (BAC) invites registered contractors to apply for eligibility and if found eligible, to bid for the hereunder project/contract: Project/Contract:   CONSTRUCTION OF COVERED CANAL AT QUEZON ST</t>
  </si>
  <si>
    <t xml:space="preserve"> RFQ 2020-163 PROJECT		:	LBP VALENZUELA BRANCH RENOVATION/RELOCATION IMPLEMENTOR		: 	LBP RESOURCES AND DEVELOPMENT CORPORATION OWNER			:	LAND BANK OF THE PHILIPPINES	 REQUEST FOR QUOTATION FOR	:	SUPPLY OF CASH VAULT CEILING MATERIALS    DATE / TIME OF SUBM</t>
  </si>
  <si>
    <t xml:space="preserve"> NOTICE TO THE PUBLIC REQUEST FOR PROPOSAL Purchase Request No: PUR20-05-0403 Recanvass  The Philippine General Hospital hereby informs the public that it will be procuring the following item/s through Small Value Procurement: 12 packs Microtubes 4,200.00 </t>
  </si>
  <si>
    <t xml:space="preserve"> BOOKS AND MAGAZINES</t>
  </si>
  <si>
    <t xml:space="preserve"> INVITATION TO BID Supply and Delivery of CCTV Equipment Identification No. TAMP-PB-GOODS-08-2020 1.	The Local Government of Tampakan, through the SB#1 20% MDF 2020/3911-300-1-07-05-100 intends to apply the sum of Three Hundred Eighty Eight Thousand Seven </t>
  </si>
  <si>
    <t xml:space="preserve"> Republic of the Philippines Province of Maguindanao MUNICIPALITY OF BULUAN INVITATION TO BID PROCUREMENT OF MUNICIPAL WIDE 79 CAMERAS CCTV AND FIBER OPTIC DELIVERY AND INSTALLATION (ITB No. 03-GOODS-2020) 1. The Local Government of Buluan, through the Gen</t>
  </si>
  <si>
    <t xml:space="preserve"> Republic of the Philippines MUNICIPALITY OF BUENAVISTA INVITATION TO BID FOR SUPPLY AND DELIVERY OF MATERIALS FOR COVID 19 PREVENTION AND CONTROLS AND MEDICINES FOR MUNICIPAL HEALTH OFFICE    1.	The Local Government Unit of Buenavista, Marinduque through </t>
  </si>
  <si>
    <t xml:space="preserve"> Fuel, Additives, Lubricants &amp; Anti-Corrosive</t>
  </si>
  <si>
    <t xml:space="preserve"> The project aims to have a smoothly and efficiently operational Sangguniang Kabataan Office thru Procurement of  Office and Janitorial Supplies, Materials and Equipment</t>
  </si>
  <si>
    <t xml:space="preserve"> Please see attached Purchase Request for your reference</t>
  </si>
  <si>
    <t xml:space="preserve"> ITEM NO.   DESCRIPTION   UNIT QUANTITY SPL 1    PROJECT SIGNBOARD/BILLBOARD    LOT 1.00 SPL 2   HANDTOOLS    LOT 1.00 103   SITE WORKS EXCAVATION (GROUND LEVELING)   48.00 CU.M 200  SUB-BASE COURSE   CU.M 32.54 404  REINFORCING STEEL BARS   KGS  1,363.12 </t>
  </si>
  <si>
    <t xml:space="preserve"> Date: July 29, 2020 The MANAGER		Quotation/Bid No. COB-CS-163-20 NEW NB AUTO PARTS &amp; GENERAL MECHANDISE  San Francisco, Nabua, Camarines Sur	Purpose: Supply/Delivery of Spare Parts and Materials for Repair and Maintenance of Assigned Service Vehicle at NI</t>
  </si>
  <si>
    <t xml:space="preserve"> Please submit your quotation for the following items on or before 5:00 PM on Aug 10, 2020. ITEM D E S C R I P T I O N QTY. UNIT 1 Computer Accessories, Keyboard 6 pc 2 Computer Accessories, Mouse 6 pc 3 Computer Accessories, UPS 6 pc 4 Computer Accessorie</t>
  </si>
  <si>
    <t xml:space="preserve"> NOTICE TO ALL PROVIDERS/SUPPLIERS: The Department of Science and Technology, Caraga, through its BAC intends to procure the Supply and Delivery of Laboratory Supplies for Micro and Chem Analyses. QTY	UNIT	ITEM DESCRIPTION	ABC / UNIT 1	bottle	Hydrogen Pero</t>
  </si>
  <si>
    <t xml:space="preserve"> Fuel (Diesel)</t>
  </si>
  <si>
    <t xml:space="preserve"> PLEASE REFER TO THE ATTACHMENT</t>
  </si>
  <si>
    <t xml:space="preserve"> Item  No.           Description		Qty.		Unit 100(1) Clearing and Grubbing- 0.0132  ha. 404(2)d Embankment From Borrow,  Granular Coarse Material – 211.15  cu.m. 105(1)a Sub-Grade Preparation, Common Material – 43.15 cu.m. 200 (1) Aggregate sub-base course </t>
  </si>
  <si>
    <t xml:space="preserve"> VICTORIA HOMES ELEMENTARY SCHOOL  IS LOOKING FOR A SUPPLIER OF   LEARNING MATERIALS   TO BE USED  FOR  THIS SCHOOL YEAR 2020-2021</t>
  </si>
  <si>
    <t xml:space="preserve"> RFQ 2020-164 PROJECT		:	LBP MIAG-AO BRANCH OFFICE BUILDING CONSTRUCTION IMPLEMENTOR		: 	LBP RESOURCES AND DEVELOPMENT CORPORATION OWNER			:	LAND BANK OF THE PHILIPPINES	 REQUEST FOR QUOTATION FOR	:	TRUCKING SERVICES    DATE / TIME OF SUBMISSION		:	ON OR B</t>
  </si>
  <si>
    <t xml:space="preserve"> NOTICE TO THE PUBLIC REQUEST FOR PROPOSAL Purchase Request No: PUR20-07-0586 The Philippine General Hospital hereby informs the public that it will be procuring the following item/s through Small Value Procurement: 1.	14 pcs.		OXYGEN FLOWMETER Oxequip Ada</t>
  </si>
  <si>
    <t xml:space="preserve"> Date: July 29, 2020 The MANAGER		Quotation/Bid No. COB-CS-164-20 BEN-JOHN AUTO MOTOR WORKS  Magsaysay Ave., Balatas, Naga City	Purpose: Supply/Delivery of Spare Parts for use in the repair of TOYOTA HI-LUX w/ Plate No. SCN-371 and SCN-368 assigned at NIA-</t>
  </si>
  <si>
    <t xml:space="preserve"> Republic of the Philippines CITY OF PANABO Province of Davao del Norte BIDS AND AWARDS COMMITTEE -o0o- INVITATION TO BID  SUPPLY OF DRUGS &amp; MEDICINES 1.	The City of Panabo, through CMO-DRUGS &amp; MEDICINES EXPENSES-LFP 2020 intends to apply the sum of One Mi</t>
  </si>
  <si>
    <t xml:space="preserve"> Requesting for Quotation (RFQ) for PR No. 2002444  Interested suppliers are invited to submit Sealed Price Quotations for the above listed items. The Request for Quotation (RFQ) for may be obtained from Mr. Albert A. Camarillo City General Services Office</t>
  </si>
  <si>
    <t xml:space="preserve"> This project is consist of Repainting on Second Floor, Repair of Roofings and Installation of Glass Doors and Windows.</t>
  </si>
  <si>
    <t xml:space="preserve"> SCHOOL SUPPLY AND BUILDING AND MAINTENANCE</t>
  </si>
  <si>
    <t xml:space="preserve"> INVITATION TO BID 1.	The Provincial Government of Misamis Oriental, through the Bids and Awards Committee, hereby invites all interested Philgeps registered contractors to submit bids for infrastructure projects stated below. Project Title	Construction of</t>
  </si>
  <si>
    <t xml:space="preserve"> Negotiated Procurement No. 2020-20 (GAS) NOTICE FOR RENEGOTIATED PROCUREMENT The Department of Agriculture, Western Visayas, Iloilo City invites all suppliers/distributors to participate in the RENEGOTIATION for the Procurement of Supply &amp; Delivery of Var</t>
  </si>
  <si>
    <t xml:space="preserve"> Republic of the Philippines Province of Agusan del Norte BIDS AND AWARDS COMMITTEE Capitol, Butuan City INVITATION TO BID (NEGOTIATED PROCUREMENT) NEGOTIATED PROCUREMENT OF LABORATORY SUPPLIES OF PROVINCIAL HEALTH OFFICE, AGUSAN DEL NORTE The Provincial G</t>
  </si>
  <si>
    <t xml:space="preserve"> Date: July 29, 2020 The MANAGER		Quotation/Bid No. F501-CS-165-20 3GX COMPUTERS AND IT SOLUTIONS Naga City	Purpose: Supply/Delivery of Computers and Office Equipments use in Farmland Geographic Information System (FGIS) of LCPIS, Libmanan, Camarines Sur a</t>
  </si>
  <si>
    <t xml:space="preserve"> Republic of the Philippines          City of Dumaguete Bids and Awards Committee INVITATION TO BID FOR PURCHASE REQUEST OF 25 PAIL HYDRAULIC OIL, AW 68 	The City of Dumaguete thru its BIDS AND AWARDS COMMITTEE (BAC), invites all interested manufacturers, </t>
  </si>
  <si>
    <t xml:space="preserve"> Const. Materials &amp; Supply- Panganason (materials)</t>
  </si>
  <si>
    <t xml:space="preserve"> Please submit your quotation for the following items on or before 5:00 PM on Aug 10, 2020. ITEM D E S C R I P T I O N QTY. UNIT 1 Chemicals, Broth, Lauryl Sulfate, (1.10266.0500) 500 grams 10 bot (Specification/Recommendation: 1. Supplier must provide Mat</t>
  </si>
  <si>
    <t xml:space="preserve"> Section I. Invitation to Bid CONSTRUCTION OF SITIO LIFILIFIAN POTABLE WATER SYSTEM LEVEL II (SPRING DEVELOPMENT) GEPS-2020 - 0018  									      July 30 2020 The Municipal Government of Esperanza through the Department of Interior and Local Government (D</t>
  </si>
  <si>
    <t xml:space="preserve"> Sir/Madam: Please quote your government price/s including delivery charges, VAT or other applicable taxes, and other incidental expenses for the goods listed in Annex A. Failure to indicate information could be basis for non-compliance. Also, furnish us w</t>
  </si>
  <si>
    <t xml:space="preserve"> PROCUREMENT OF CONSTRUCTION MATERIALS AND SUPPLIES FOR THE BARANGAY ROAD CONCRETING AT PUROK SAN JUAN, BRGY. AGBANGA, MATALOM, LEYTE.</t>
  </si>
  <si>
    <t xml:space="preserve"> INVITATION TO BID FOR  INSTALLATION OF CCTV WITH NVR&amp; MONITOR AT VARIOUS RESETTLEMENT SITES FOR PEACE AND ORDER MONITORING @ GOLDEN HORIZON SUNSHINE VILLE &amp; SOUTHVILLE 2 PHASE 3, TRECE MARTIRES CITY 1.	The City Government of Trece Martires, through the TR</t>
  </si>
  <si>
    <t xml:space="preserve"> Procurement of various agricultural inputs as extension support during the conduct of Technology Updating on Nutrient Management of Rice Production for Farmers in San Fernando, Pamplona, Pili, Iriga City, Bula and Baao, Camarines Sur simultaneously.  All </t>
  </si>
  <si>
    <t xml:space="preserve"> Item  No.           Description		Qty.		Unit 1002 Plumbing Works – 1.00 Is. 1003(1) b Ceiling – 148.00 sq.m. 1008 Aluminum glass Windows – 14.60 sq.m 1010(2)a Doors, Flush - 8.19 sq.m. 1018 Ceramic/Granite tiles - 119.00 sq.m. 1027(1) Cement plaster finish</t>
  </si>
  <si>
    <t xml:space="preserve"> Item Description: 2 unit FB Van for GSO</t>
  </si>
  <si>
    <t xml:space="preserve"> see associated components for downloadable RFQ 2020-4235)</t>
  </si>
  <si>
    <t xml:space="preserve"> 1.	The Southern Leyte State University Main Campus through its Internally Generated Fund intends to apply the sum of ONE MILLION SIX HUNDRED PESOS only (₱1,600,000.00) being the Approved Budget for the Contract (ABC) to payments under the contract of Proc</t>
  </si>
  <si>
    <t xml:space="preserve"> Furnishing/ delivering of the following office equipment 1. 5 Units ELECTRIC FAN - 16' Metal Speed, 3-Speed Rotary Switch, Round &amp; Stable Plastic Base       2. 1 unit FLOOR STANDING AIR CONDITIONER - Cooling Capacity: 48000Btu/h, Wide Operation Range up t</t>
  </si>
  <si>
    <t xml:space="preserve"> INVITATION TO BID Bid No. B-109-2020  1.	The Provincial Government of Negros Oriental, through Responsibility Center: 8918-063(20), intends to apply the sum of Two Million Nine Hundred Forty Thousand Pesos (Php 2,940,000.00) being the Approved Budget for </t>
  </si>
  <si>
    <t xml:space="preserve"> INSTRUCTION TO BIDDERS: 1.	Only the bona fide representative of the prospective bidder shall be allowed to purchase and drop the bidding documents. 2.	All prospective bidders must submit to the Provincial Bids and Awards Committee (PBAC) thru the Secretar</t>
  </si>
  <si>
    <t xml:space="preserve"> 3 units  of Weaving Machine</t>
  </si>
  <si>
    <t xml:space="preserve"> Funds: 5%</t>
  </si>
  <si>
    <t xml:space="preserve"> INVITATION TO BID Bid No. B-112-2020 (*REBIDDING) 1.	The Provincial Government of Negros Oriental through Responsibility Center: 8918-007(19), intends to apply the sum of Nine Hundred Ninety-Four Thousand Five Hundred Forty-Two Pesos &amp; 04/100 (Php 994,542</t>
  </si>
  <si>
    <t xml:space="preserve"> Item Description:  1 unit  Ambulance for MHO</t>
  </si>
  <si>
    <t xml:space="preserve"> Date: July 29, 2020 The MANAGER		Quotation/Bid No. F501-CS-166-20 3GX COMPUTERS AND IT SOLUTIONS Naga City	Purpose: Supply/Delivery of Office Equipments use of Construction Unit &amp; Contract Management Unit, NIA-CSIMO, Naga City 	 REQUEST FOR QUOTATION Plea</t>
  </si>
  <si>
    <t xml:space="preserve"> Construction of Footpath at Shontog to Botidao Payew (Phase II) Site Preparation Works Concrete Works Construction of footpath at Taytay Site Preparation Works Concrete Works Construction of Tirepath at Ejen Roadside, Alno Signs Subgrade Preparation Concr</t>
  </si>
  <si>
    <t xml:space="preserve"> PR2020-07-043 - Purchase and delivery of office supplies and devices for us of the Maintenance Section, This Office</t>
  </si>
  <si>
    <t xml:space="preserve"> Item Description: 1 unit FB Van for MHO</t>
  </si>
  <si>
    <t xml:space="preserve"> INVITATION TO BID Project Name:	Installation of Streetlighting System Name of Bidder:	 Address :	 ITB Number:	DMM - 004-20 ABC	P 149,415.00 Please quote your lowest price on the item/s listed below, stating the shortest time of delivery and submit your qu</t>
  </si>
  <si>
    <t xml:space="preserve"> Item Description:  1 unit Pick- up Truck for Engineering and 1 unit FB Van Multipurpose for GSO</t>
  </si>
  <si>
    <t xml:space="preserve"> Republic of the Philippines PROVINCE OF PAMPANGA City of San Fernando INVITATION TO BID NO. 2020-30 MEDIC-BAC INVITATION TO BID FOR PURCHASE REQUEST NO. 20-1610 The Provincial Government of Pampanga (“Province”) intends to apply the following sums from th</t>
  </si>
  <si>
    <t xml:space="preserve"> Request for Quotation for the Procurement of 1 Unit Pelletizing Machine to be used for the Formulation of Indigenous Feedstuff at Ubay Stock Farm, Lomangog, Ubay, Bohol 1.	The Department of Agriculture-Regional Field Office 7 (DA-RFO 7), through the Gener</t>
  </si>
  <si>
    <t xml:space="preserve"> PLEASE REFER TO THE ATTACHMENTS</t>
  </si>
  <si>
    <t xml:space="preserve"> Republic of the Philippines Department of Education Region V SCHOOLS DIVISION OF MASBATE CITY REQUEST FOR QUOTATION                                                                                                                                            </t>
  </si>
  <si>
    <t xml:space="preserve"> We are looking for a supplier of vehicle parts , for more details and description please see attached request for quotation. Please submit your original quotations on or before closing date in a sealed envelope, and /or e-mailed together with your Busines</t>
  </si>
  <si>
    <t xml:space="preserve"> For TSU Hotel use.</t>
  </si>
  <si>
    <t xml:space="preserve"> Republic of the Philippines Province of Bohol Municipality of Alicia INVITATION TO APPLY FOR ELIGIBILITY AND TO BID 	The Local Government Unit of Alicia, through its Bids and Awards Committee (BAC) invites Suppliers/manufacturers/distributors/contractors </t>
  </si>
  <si>
    <t xml:space="preserve"> The Pag-IBIG Fund TAS-NCR North, through its Bids and Awards Committee – TAS-NCR North intends to apply the sum of Nine Hundred Seventy Thousand Eight Hundred Sixteen Pesos Only (PhP 970,816.00) inclusive of all applicable taxes, being the Approved Budget</t>
  </si>
  <si>
    <t xml:space="preserve"> PR2020-07-042 - Purchase and delivery of COVID 19 personal health care products for us of this office</t>
  </si>
  <si>
    <t xml:space="preserve"> 300            PC/S              RAGS (SMALL) 1,500        PC/S             DETERGENT POWDER 50 GRAMS 20             BUNDLE/S     TRASH BAGS COLORLESS (XL) 100           PC/S              TRASH BIN PEDAL (17-30L) NOTE: ALL NEW SUPPLIER ARE REQUIRED TO SUB</t>
  </si>
  <si>
    <t xml:space="preserve"> Fuel &amp; Lubricants</t>
  </si>
  <si>
    <t xml:space="preserve"> 1. 1 LOT - CONSTRUCTION SUPPLIES - 1,465,899.00 The Complete Schedule of Activities are Listed as Fallows: 1. Submission of Letter of Intent, August 6-11, 2020 @ 10:00a.m @ Mun. Conference Room, Mun. Hall Dangcagan, Bukidnon 2. Issuance of Bid Documents -</t>
  </si>
  <si>
    <t xml:space="preserve"> Republic of the Philippines          City of Dumaguete Bids and Awards Committee INVITATION TO BID FOR PURCHASE REQUEST OF 12 CU.M SAND, STD. SPECS. AND OTHER ITEMS 	The City of Dumaguete thru its BIDS AND AWARDS COMMITTEE (BAC), invites all interested ma</t>
  </si>
  <si>
    <t xml:space="preserve"> Republic of the Philippines Province of Bohol Municipality of Ubay INVITATION TO BID FOR SUPPLY AND DELIVERY OF OFFICE EQUIPMENTS 1.	The Municipality of Ubay, through the Annual Budget C.Y. 2020 (SEF Fund) intends to apply the sum of Nine Hundred Ninety S</t>
  </si>
  <si>
    <t xml:space="preserve"> Republika ng Pilipinas PAMAHALAANG LUNGSOD NG TACLOBAN (City Government of Tacloban) Kanhuraw Hill, Tacloban City 6500 Tel. Nos.  325-4053 BIDS AND AWARDS COMMITTEE 	INVITATION TO SUBMIT PRICE QUOTATIONS 1st Posting 	           The City Government of Tacl</t>
  </si>
  <si>
    <t xml:space="preserve"> INVITATION TO BID Bid No. B-111-2020 1.	The Provincial Government of Negros Oriental, through Source of Fund: 1) 9998-027(20); 2) 1918-005(20), intends to apply the sum of Five Million Eight Hundred Eighty Thousand Pesos (Php 5,880,000.00) being the Appro</t>
  </si>
  <si>
    <t xml:space="preserve"> Section I. Invitation to Bid Republic of the Philippines Province of Misamis Oriental  Municipality of Salay Barangay YUngod  INVITATION TO BID FOR Procurement of materials for Rehabilitation of Waterworks System 1.	The Local Government Unit of Barangay Y</t>
  </si>
  <si>
    <t xml:space="preserve"> 1,604   BOTTLE/S   BLEACH  1,002   KILO/S       DETERGENT POWDER NOTE: ALL NEW SUPPLIER ARE REQUIRED TO SUBMIT THE FOLLOWING DOCUMENT. 1. DTI Registration 2. SEC Registration 3. Current Mayor's Permit 4. Certificate of Registration from B.I.R/TIN number. </t>
  </si>
  <si>
    <t xml:space="preserve"> 1	612 bags Cement   2	10 pcs  12mm RSB 3	1 Pc. Hacksaw Blade 4	27 cu.m. Gravel 5	39 cu.M Sand 6	1 kgs 4” CW Nail 7	18 pcs 2’x 6” x 12” form lumber 8	 47 cu.m Base Course Gravel 9	Rental of 1 unit concrete mixer for 12 days 10	60 ltrs. Diesel</t>
  </si>
  <si>
    <t xml:space="preserve"> Item Description:  1 unit  Refrigerated Van (14 Cubic Feet) for Slaughterhouse Section</t>
  </si>
  <si>
    <t xml:space="preserve"> Section I. Invitation to Bid CONSTRUCTION OF SITIO KUED POTABLE WATER SYSTEM LEVEL II (SPRING DEVELOPMENT) GEPS-2020 - 0019  									      July  30, 2020 The Municipal Government of Esperanza through the Department of Interior and Local Government (DILG)</t>
  </si>
  <si>
    <t xml:space="preserve"> INVITATION TO BID 1.	Provincial Government of Misamis Oriental, intends to apply the sum stated below being the Approved Budget for the Contract (ABC) to payments under the contract: for the supply and Delivery of Goods. Bids received in excess of the ABC</t>
  </si>
  <si>
    <t xml:space="preserve"> QTY.	UNIT	DESCRIPTION 20	box	Aluminum Magnesium Tablet 100's 6	box	Allupirinol 100mg Tablet/100's 80	box	Amoxicillin 500mg Capsule/100's 144	btl	Amoxicillin 250mg Syrup 144	btl	Amoxicillin 100mg Drops 216	btl	Ascorbic Acid 100mg/5ml Syrup, 60ml 144	btl	As</t>
  </si>
  <si>
    <t xml:space="preserve"> Republic of the Philippines Province of Iloilo Municipality of Pavia Invitation to Bid for the Purchase of Furniture and Fixtures for Mayor’s Office and MENR Office 1.	The Municipality of Pavia, Iloilo, through the General Fund 2020 intends to apply the s</t>
  </si>
  <si>
    <t xml:space="preserve"> SUPPLY, DELIVERY AND INSTALLATION OF CUSTOMIZED STEEL CONTAINER VANS - Order of payment for Bid Docs will be available at GSD-Head Office @ 10th Floor Makati City Hall Bldg. 2.  Look for Mr. Reden Villanueva. - A  complete set of Bidding Documents will be</t>
  </si>
  <si>
    <t xml:space="preserve"> Republika ng Pilipinas PAMAHALAANG LUNGSOD NG TACLOBAN (City Government of Tacloban) Kanhuraw Hill, Tacloban City 6500 Bids and Awards Committee INVITATION TO SUBMIT PRICE QUOTATIONS FOR THE NEGOTIATED PROCUREMENT (Small Value Procurement) OF FOOD STUFF B</t>
  </si>
  <si>
    <t xml:space="preserve"> Republic of the Philippines National Kidney and Transplant Institute Bids and Awards Committee East Avenue, Quezon City 1100 981-0300 / 981-0400 local 1157 http://www.nkti.gov.ph/	 INVITATION TO BID for the ITB No. 20-070 ONE (1) LOT SUPPLY AND DELIVERY O</t>
  </si>
  <si>
    <t xml:space="preserve"> The Municipality of Limay, through its Bids and Awards Committee (BAC) invites registered contractors to apply for eligibility and if found eligible, to bid for the hereunder project/contract: Project/Contract:    CONSTRUCTION OF COVERED CANAL AT QUEZON S</t>
  </si>
  <si>
    <t xml:space="preserve"> The Local Government Unit of Aglipay through 20% Municipal Development Fund (MDF) CY 2020 – Improvement of Dry Market Building   intends to apply the sum of Seven Hundred Seventy Three Thousand Five Hundred Thirty Eight Pesos and 94/100 (Php 773, 538.94) </t>
  </si>
  <si>
    <t xml:space="preserve"> INVITATION TO BID   PROPOSED 100MM X 394 LM. DI PIPELINE EXPANSION AT SITIO LUTAW-LUTAW, BRGY. TISA, CEBU CITY, CEBU PR No. 27583-001   1.	The Metropolitan Cebu Water District (MCWD), through the Corporate Budget for the contract approved by the governin</t>
  </si>
  <si>
    <t xml:space="preserve"> Four Units Lithium Ion Polymer Rechargeable Battery for DJI Mavic 2 Pro Drone Battery Model No.: FB2-3850mAh-15.4V (ABC: 14,000 per unit) One Unit Android cellphone (ABC: 14,000.00) specs: OS ver		:	ColorOS 6 (Android 9.0 Pie) or higher CPU Speed	:	4x2.1 </t>
  </si>
  <si>
    <t xml:space="preserve"> 1	30 cu.m. Base Course Gravel 2	350 bags Cement 3	46 cu.m. Gravel 4	23 cu.m. Sand 5	2 kl. 3” CWN 6	18 pcs. 2x6x12 Form Lumber</t>
  </si>
  <si>
    <t xml:space="preserve"> INVITATION TO BID FOR THE PURCHASE OF JETMATIC PUMPS &amp; FITTINGS  1.	The Local Government Unit of Hinigaran, through Social &amp; Economic Infra (20% Development Fund) intends to apply the sum of P 999,996.00 being the Approved Budget for the Contract (ABC) to</t>
  </si>
  <si>
    <t xml:space="preserve"> Estimated approved budget for Tarp Printing is 3000.00</t>
  </si>
  <si>
    <t xml:space="preserve"> 1.	The DEPARTMENT OF EDUCATION NORTH COTABATO DIVISION, through the Government of the Philippines intends to apply the sum of ONE MILLION SIX HUNDRED FIFTY THOUSAND SIX HUNDRED EIGHTY PESOS AND 91/100 (PhP 1,650,680.91) being the Approved Budget for the C</t>
  </si>
  <si>
    <t xml:space="preserve"> Republic of the Philippines Province of Leyte Municipality of Albuera Barangay Cambalading, Albuera,Leyte OFFICE OF THE BIDS AND AWARDS COMMITTEE INVITATION TO BID 	The Barangay Cambalading of Albuera, Leyte through its Bids and Awards Committee invites i</t>
  </si>
  <si>
    <t xml:space="preserve"> EQUIPMENT FOR PRESIDENT OFFICE AND CAMPUS DIRECTOR OFFICE</t>
  </si>
  <si>
    <t xml:space="preserve"> SUPPLY, DELIVERY OF VARIOUS OPTHALMIC SURGERY MEDICAL EQUIPMENT (5 LOTS) LOT 1: SUPPLY AND DELIVERY OF SPECULAR MICROSCOPE LOT 2: SUPPLY AND DELIVERY OF PHOROPTERS LOT 3: SUPPLY AND DELIVERY OF BIOM FOR OPERATING MICROSCOPE LOT 4: SUPPLY AND DELIVERY OF V</t>
  </si>
  <si>
    <t xml:space="preserve"> Invitation to Bid The Brgy. Panungyan II, Mendez-Nuñez, Cavite, through the 20% Development Fund of 2020 intends to apply the sum of One Hundred Ten Thousand Eight Hundred Seven Pesos and 81/100  only (P110,807.81) being the Approved Budget for the Contra</t>
  </si>
  <si>
    <t xml:space="preserve"> Billboard; Clearing and Excavation; Structural Concrete (Class A); RSB (Grade 40); Grouted Riprap (Class A); Backfill; PCC Pavement (200 mm Thick); Safety &amp; Health (Construction Health and Safety Requirement); Equipment Requirement: One bagger mixer; Conc</t>
  </si>
  <si>
    <t xml:space="preserve"> Republic of the Philippines Province of Iloilo Municipality of Pavia Invitation to Bid for the Repair and Maintenance of Various Barangay Roads (Regraveling of Barangay Cabugao Norte, Sitio Red Fox, Barangay Cabugao Sur and Railway, Barangay Purok II, Pav</t>
  </si>
  <si>
    <t xml:space="preserve"> Republic of the Philippines Province of Iloilo Municipality of Pavia Invitation to Bid for the Improvement of Farmer’s Information Technology Services (FITS) Center 1.	The Municipality of Pavia, Iloilo, through the General Fund 2020 intends to apply the s</t>
  </si>
  <si>
    <t xml:space="preserve"> Section I. Invitation to Bid CONSTRUCTION OF PLAMANGO POTABLE WATER SYSTEM LEVEL II (SPRING DEVELOPMENT) GEPS-2020 - 0020  									      July 30, 2020 The Municipal Government of Esperanza through the Department of Interior and Local Government (DILG) – </t>
  </si>
  <si>
    <t xml:space="preserve"> Hiring of Freight Services  *Please see attached Request for Quotation for details</t>
  </si>
  <si>
    <t xml:space="preserve"> SUPPLY, DELIVERY AND INSTALLATION OF QUEUING SYSTEM WITH SOFTWARE AND CONSUMABLES - Order of payment for Bid Docs will be available at GSD-Head Office @ 10th Floor Makati City Hall Bldg. 2.  Look for Mr. Reden Villanueva. - A  complete set of Bidding Docu</t>
  </si>
  <si>
    <t xml:space="preserve"> The estimated approved budget for the materials for the improvement of exterior and interior ceiling is 15,000.00</t>
  </si>
  <si>
    <t xml:space="preserve"> Supply and Delivery of CM for the improvement of CIS @ Tudkol, Pingkian and Improvement of CIS @ Mapayao,KNV</t>
  </si>
  <si>
    <t xml:space="preserve"> 1	15 pcs. 0.50 x 3.20 mm Pre-painted Roofing 2	4 pcs. 0.50 mm Ridge Roll 3	6 pcs. 0.50 mm End Flushing 4	6 pcs. 2mm x 2” x 6” C-Purlin Truss 5	5 pcs. 2mm x 2” x 4 C-Purlin Truss Support and Brace 6	15 pcs. 1.5mm x 2” x 3” C-Purlin 7	5 pcs. 1.5mm x 2” x 4”</t>
  </si>
  <si>
    <t xml:space="preserve"> Republic of the Philippines City of Canlaon OFFICE OF THE BIDS AND AWARDS COMMITTEE Invitation to Bid for the CONSTRUCTION OF BUNTIS LOUNGE  The City Government of Canlaon City, through AIP 2020 intends to apply the sum of  Nine Hundred Seventy Eight Thou</t>
  </si>
  <si>
    <t xml:space="preserve"> Procurement of licenses, Network Access Control (NAC) appliance inclusive of 1,200 device license scalable (up to 5,000 devices) with implementation, support and trainings for the enhancement of OP Network Access Control. To view Bidding Documents please </t>
  </si>
  <si>
    <t xml:space="preserve"> Republic of the Philippines Province of Eastern Samar Municipality of Maydolong INVITATION TO BID FOR  Procurement of Equipment for Maydolong Water System 1.	The Municipal Government of Maydolong, Eastern Samar, through the 2020 MEO Regular Fund intends t</t>
  </si>
  <si>
    <t xml:space="preserve"> Billboard; construction of Bleacher: Structure Excavation; Reinforcing Steel; Structural Concrete; Construction of Reinforced Concrete Canal: Reinforcing Steel Bars; Structural Concrete; Structure Excavation; Steel Gating; Construction of Reinforced Concr</t>
  </si>
  <si>
    <t xml:space="preserve"> SUPPLY AND DELIVERY OF VARIOUS LABORATORY EQUIPMENT (2 LOTS) LOT 1: SUPPLY AND DELIVERY OF DUCTLESS FUME HOOD LOT 2: SUPPLY AND DELIVERY OF LABORATORY CENTRIFUGE - Order of payment for Bid Docs will be available at GSD-Head Office @ 10th Floor Makati City</t>
  </si>
  <si>
    <t xml:space="preserve"> For competency enhancement of the 36 personnel involved in the Internal Quality Audit composed of process owner and internal quality auditors.</t>
  </si>
  <si>
    <t xml:space="preserve"> INVITATION TO BID Bid No. B-108-2020  1.	The Provincial Government of Negros Oriental through Responsibility Center: 8918-053(12) SP Res. No. 858-2011 (20% EDF AIP 2012), intends to apply the sum of One Million Twenty Thousand Eight Hundred Twenty Pesos &amp;</t>
  </si>
  <si>
    <t xml:space="preserve"> 1. Head Set = 2 unit @ 14,999.00 2. Speaker = 3 unit @ 14,999.00 3. Web-cam = 3 unit @ 14,999.00 4. Tripod = 3 unit @ 3,000.00 5. Uninterruptible Power Supply = 9 unit @ 8,000.00 6. Rental of Printer = 2 unit @ 38,000.00 *Please see attached Request for Q</t>
  </si>
  <si>
    <t xml:space="preserve"> Republika ng Pilipinas PAMAHALAANG LUNGSOD NG TACLOBAN (City Government of Tacloban) Kanhuraw Hill, Tacloban City 6500 Bids and Awards Committee INVITATION TO SUBMIT PRICE QUOTATIONS FOR THE NEGOTIATED PROCUREMENT (Small Value Procurement) OF COMMUNICATIO</t>
  </si>
  <si>
    <t xml:space="preserve"> Equipment for Covid 19 Prevention: Infectious Droplets from Cough and Sneezes</t>
  </si>
  <si>
    <t xml:space="preserve"> Republic of the Philippines Province of Iloilo Municipality of Pavia Invitation to Bid for the Improvement of School at Ungka II Elementary School (Improvement of Grade VI Room and Construction of Study Area) Fund 2020 intends to apply the sum of Two Hund</t>
  </si>
  <si>
    <t xml:space="preserve"> ARTICLE AND DESCRIPTION										 ITEM	QTY.	UNIT						CEILING 			UNIT PRICE			TOTAL  								PRICE						 				Office: Justice Jose Abad Santos General Hospital				P.R. No. 1683						 				Charge to: Office Supplies Expenses				OBR. No. 100-2005-04465						 </t>
  </si>
  <si>
    <t xml:space="preserve"> Supply and Delivery of 13 sets gongs (4 pcs per set)</t>
  </si>
  <si>
    <t xml:space="preserve"> Requesting for Quotation (RFQ) for PR No. 2003097  Interested suppliers are invited to submit Sealed Price Quotations for the above listed items. The Request for Quotation (RFQ) for may be obtained from Mr. Albert A. Camarillo City General Services Office</t>
  </si>
  <si>
    <t xml:space="preserve"> split type / 3 HP  including installation</t>
  </si>
  <si>
    <t xml:space="preserve"> Item No.		Qty			Unit			Description														 																						 																						 		Ligtas Covid-19 Treatment &amp; Monitoring Facilities																				 		Barangay Pili,  Presentacion, Camarines Sur																				 1		25			rolls.			Cyclo</t>
  </si>
  <si>
    <t xml:space="preserve"> Clearing &amp; Grubbing; Excavation; PCCP; Railings;’ Hauling; Project Billboard;   Safety &amp; Health (Construction Health and Safety Requirement);  Equipment Requirement: one Bagger Mixer; Concrete Vibrator; Water Truck;(3 cu.m.); Welding Machine; bar cutter; </t>
  </si>
  <si>
    <t xml:space="preserve"> Insecticide, aerosol type, net content:600ml min	1	BOT Air Freshener, aerosol, 280ml/150g min	1	CAN Alcohol, ethyl, 68%-70%, scented, 500ml, (-ml)	80	BOT Battery, dry cell, AA, 2 pieces per blister pack	70	PAIR Battery, dry cell, AAA, 2 pieces per blister</t>
  </si>
  <si>
    <t xml:space="preserve"> Shirt - 1,000.00 White with Print, With Collar, Cotton 400 pieces - Small 300 pieces - Medium  200 pieces - Large 100 pieces - Extra Large</t>
  </si>
  <si>
    <t xml:space="preserve"> UNIT	  DESCRIPTION		QUANTITY	 	WIDTH OF ROAD - 4m		LENGTH OF SHOULDER PER SIDE - 1.5m	 	THICKNESS OF ROAD - 0.2m		THICKNESS OF BASE COARSE - 0.15m	 	LENGTH OF ROAD - 300m		THICKNESS OF SUB-BASE COARSE - 0.15m	 			SUBGRADE PREPARATION - 8.4m 	 105	Subgrade</t>
  </si>
  <si>
    <t xml:space="preserve"> Republic of the Philippines Province of Iloilo Municipality of Pavia Invitation to Bid for the Concreting of Hedriana Street, Pavia, Iloilo 1.	The Municipality of Pavia, Iloilo, through the IRA Fund 2020 intends to apply the sum of Four Million Three Hund</t>
  </si>
  <si>
    <t xml:space="preserve"> ITEM NO.	Unit of issue	ITEM &amp;DESCRIPTION	Brand &amp; Model	QTY.	 1	set	Bartending set (cocktail shaker, filter, measuring cup, broken pops, bar spoon, ice clip, pouring machine, ice bucket, back mouth, wine bottle opener)		1	 		Specification 			 		Metal type:</t>
  </si>
  <si>
    <t xml:space="preserve"> Republic of the Philippines									 COMMISSION ON AUDIT									 Regional Office No. 5									 Rawis, Legazpi city									 									 REQUEST FOR QUOTATION									 						Date  : 	29-Jul-20		 									 						RFQ No.  	2020-07-		 									 						PR No.  </t>
  </si>
  <si>
    <t xml:space="preserve"> Republic of the Philippines Province of Southern Leyte Municipality of Tomas Oppus Invitation to Bid  PROCUREMENT OF MATERIALS FOR INSTALLATION OF WATER PIPE LINES 1.	The Barangay Local Government Unit, San Antonio, Tomas Oppus, Southern Leyte, through th</t>
  </si>
  <si>
    <t xml:space="preserve"> Meals and Snacks for the various activities of the office of the Municipal Mayor</t>
  </si>
  <si>
    <t xml:space="preserve"> Purchase of Various Medicines for RHU</t>
  </si>
  <si>
    <t xml:space="preserve"> 27 PAX MEALS AND SNACKS FOR 20 DAYS</t>
  </si>
  <si>
    <t xml:space="preserve"> ITEM NO. UNIT QTY DESCRIPTION 1. 580 PCS 4 THICK CHB 2.  48 BAGS CEMENT 3.  4.0 CU M WASH SAND 4.  30 LENGTH 10MM DEF BAR 5.  4 KILOS TIE WIRE # 16 6.  9 SHTS 1/4"X4"X8' BI PLATE 7.  16 LENGTH 1/4"X1"X1"X6.0 DRF BAR 8.  6 LENGTH 16MM DIAX6 DEF BAR 9.  8 P</t>
  </si>
  <si>
    <t xml:space="preserve"> Republic of the Philippines City Government of Cotabato BIDS AND AWARDS COMMITTEE Cotabato City INVITATION TO BID FOR THE Purchase of Office Equipment 1.	The City Government of Cotabato, through  Ordinance # 4768  intends to apply the sum of  One Hundred </t>
  </si>
  <si>
    <t xml:space="preserve"> Republic of the Philippines MUNICIPALITY OF BUENAVISTA INVITATION TO BID FOR SUPPLY AND DELIVERY OF ICT EQUIPMENT FOR MUNICIPAL BUDGET OFFICE AND RADYO KAMALINDIG   1.	The Local Government Unit of Buenavista, Marinduque through the fund from the Capital O</t>
  </si>
  <si>
    <t xml:space="preserve"> INVITATION TO BID Bid No. B-113-2020 (*REBIDDING) 1.	The Provincial Government of Negros Oriental through Responsibility Center: SP Res. # 846-2018 20% DF AIP 2019, intends to apply the sum of One Million Two Hundred Sixty-Eight Thousand Five Hundred Fort</t>
  </si>
  <si>
    <t xml:space="preserve"> The approved estimated budget for reproduction of school forms is 5000.00</t>
  </si>
  <si>
    <t xml:space="preserve"> INVITATION TO BID IB NO.  068 – 2020/MJS SUPPLY AND DELIVERY OF 23 UNITS CORN MILL 1.	The Department of Agriculture – Regional Field Office 10, through  Corn &amp; SAAD Program Funds CY 2020 intends to apply the sum of Nine Million Two Hundred Thousand Pesos </t>
  </si>
  <si>
    <t xml:space="preserve"> Construction of 1 unit Multi-Purpose Pavement (.10 x 17 x 28M) Sitio Obian 2, Brgy. San Victor, Baganga, Davao Oriental</t>
  </si>
  <si>
    <t xml:space="preserve"> Republic of the Philippines Province of Nueva Vizcaya BIDS AND AWARDS COMMITTEE (BAC-Goods) BAC OFFICE, Provincial Capitol, Bayombong, Nueva Vizcaya 	 REQUEST FOR QUOTATION (RFQ)  For the Procurement Meals &amp; Snacks, etc. (For Various Trainings and Worksho</t>
  </si>
  <si>
    <t xml:space="preserve"> 1	198 bags Cement   2	12 pcs  12mm RSB 3	1 Pc. Hacksaw Blade 4	27 cu.m. Gravel 5	 14 Cu.M Sand 6	 2 kgs CW Nail 7	2 4pcs 2’x 6” x 10” form lumber 8	 20 Cu.m Base Course Gravel</t>
  </si>
  <si>
    <t xml:space="preserve"> Republic of the Philippines MUNICIPALITY OF QUEZON Province of Quezon INVITATION TO BID Date	: August 3, 2020 The Municipality of Quezon, through its Bids and Awards Committee (BAC), invites supplier/manufactures/distributors/contractors to apply for elig</t>
  </si>
  <si>
    <t xml:space="preserve"> Section I. Invitation to Bid CONSTRUCTION OF SAGASA – GAWAD KALINGA  POTABLE WATER SYSTEM LEVEL II (DEEP WELL) GEPS-2020 - 0021  									      July 30, 2020 The Municipal Government of Esperanza through the Department of Interior and Local Government (DI</t>
  </si>
  <si>
    <t xml:space="preserve"> Republic of the Philippines Department of Public Works and Highways Pampanga 3rd District Engineering Office San Francisco Street, Brgy. Pampang, Angeles City Region III Telephone Nos. (045) 323-5782 / 887-5249 INVITATION TO BID CONTRACT ID NO. – 20GCI000</t>
  </si>
  <si>
    <t xml:space="preserve"> Supply and Delivery of CM for the construction of Hanging Bridge Phase I @ Nansipokan, Cabayo NV</t>
  </si>
  <si>
    <t xml:space="preserve"> 1 unit	Printer, Wifi Duplex, All-in-One Tank Printer with ADF  	       (Print, Scan, Copy, Fax with ADF) 1 unit	Laptop, Intel Core i3-1005GI 10th Gen Processor 	        14" Display, 4GB DDR4 System Memory free delivery to PIT, Palompon, Leyte</t>
  </si>
  <si>
    <t xml:space="preserve"> Republika ng Pilipinas PAMAHALAANG LUNGSOD NG TACLOBAN (City Government of Tacloban) Kanhuraw Hill, Tacloban City 6500 Bids and Awards Committee INVITATION TO SUBMIT PRICE QUOTATIONS FOR THE NEGOTIATED PROCUREMENT (Small Value Procurement) OF VEHICLE PART</t>
  </si>
  <si>
    <t xml:space="preserve"> SUPPLY AND DELIVERY OF VARIOUS LABORATORY SUPPLIES (3 LOTS) LOT 1: SUPPLY AND DELIVERY OF LABORATORY SUPPLIES (HEPARINIZED SYRINGE FOR ARTERIAL BLOOD GASES (ABG) – QUALITY CONTROL FOR CARTRIDGE-TYPE ABG ANALYZER) LOT 2: SUPPLY AND DELIVERY OF LABORATORY S</t>
  </si>
  <si>
    <t xml:space="preserve"> Approved estimated budget for the purchase of 2 unit printer is 15,000.00</t>
  </si>
  <si>
    <t xml:space="preserve"> INVITATION TO BID FOR THE PURCHASE OF ONE (1) LOT SUPPLIES FOR MDRRMO EMERGENCY USE, TO WIT: PLEASE SEE ATTACHED SPECIFICATIONS: 1. The Local Government Unit of Tanauan, Leyte through 20% General Fund intends to apply the sum of ONE HUNDRED EIGHTY EIGHT T</t>
  </si>
  <si>
    <t xml:space="preserve"> `										 DEPARTMENT OF EDUCATION										 Region Xll										 Division Of General Santos City										 BIDS AND AWARDS COMMITTEE										 										 REQUEST FOR QUOTATION										 										 								Date:	July 29, 2020	 								Quotation No.:	2020</t>
  </si>
  <si>
    <t xml:space="preserve"> 1	External Hardware  Drive 1TB, 2.5HDD, USB 3.0, 1 unit in individual box-supported windows 7 or higher, or mac OS x 10.9 higher operating system, mobile	20	unit 2	Computer Keyboard, USB type	20	pcs 3	Computer Mopuse, Usb Type	20	pcs 4	Scanner	10	units 	S</t>
  </si>
  <si>
    <t xml:space="preserve"> CPU UNIT                        3 UNITS</t>
  </si>
  <si>
    <t xml:space="preserve"> Republic of the Philippines Province of Iloilo Municipality of Pavia Invitation to Bid for the Purchase of one (1) unit Brand New Garbage Truck Compactor 1.	The Municipality of Pavia, Iloilo, through the IRA Fund 2020 intends to apply the sum of Seven Mil</t>
  </si>
  <si>
    <t xml:space="preserve"> Services</t>
  </si>
  <si>
    <t xml:space="preserve"> Republic of the Philippines          City of Dumaguete Bids and Awards Committee INVITATION TO BID FOR PURCHASE REQUEST OF 2 CU.M SAND, STD. SPECS. AND OTHER ITEMS 	The City of Dumaguete thru its BIDS AND AWARDS COMMITTEE (BAC), invites all interested man</t>
  </si>
  <si>
    <t xml:space="preserve"> Invitation to Bid Republic of the Philippines City of Olongapo -0- BIDS AND AWARDS COMMITTEE BAC Office 3rd Floor  Olongapo City Hall  Web: www.olongapocity.gov.ph INVITATION TO BID FOR  OC-76(CHD-03) 20 GD PROCUREMENT FOR THE SUPPLY AND DELIVERY OF ONE (</t>
  </si>
  <si>
    <t xml:space="preserve"> INVITATION TO BID 1.	The Provincial Government of Misamis Oriental, through the Bids and Awards Committee, hereby invites all interested Philgeps registered contractors to submit bids for infrastructure projects stated below. Project Title	Proposed Constr</t>
  </si>
  <si>
    <t xml:space="preserve"> Republic of the Philippines          City of Dumaguete Bids and Awards Committee INVITATION TO BID FOR PURCHASE REQUEST OF 13 CU.M SAND, STD. SPECS. AND OTHER ITEMS 	The City of Dumaguete thru its BIDS AND AWARDS COMMITTEE (BAC), invites all interested ma</t>
  </si>
  <si>
    <t xml:space="preserve"> INVITATION TO BID Bid No. B-110-2020 1.	The Provincial Government of Negros Oriental, through Source of Fund: 1) 8918-059(20); 2) 8918-060(2), intends to apply the sum of Seven Million Eight Hundred Sixty-Three Thousand Pesos (Php 7,863,000.00) being the </t>
  </si>
  <si>
    <t xml:space="preserve"> Republic of the Philippines PROVINCE OF ZAMBOANGA DEL NORTE Municipality of Sibutad BIDS AND AWARDS COMMITTEE JULY 30, 2020 INVITATION TO BID The Local Government Unit of Sibutad, Zamboanga del Norte under P.R. No. GFP100-2020-07-069 dated JULY 20, 2020 w</t>
  </si>
  <si>
    <t xml:space="preserve"> INVITATION TO APPLY FOR ELIGIBILITY AND TO BID THE BIDS AND AWARD COMMITTEE OF THE MUNICIPALITY OF CAIBIRAN, BILIRAN IS INVITING ALL INTERESTED BIDDERS ON ITS FORTH COMING PUBLIC BIDDING FOR:   Project Title	: Provision of Comfort Rooms in Covered Court (</t>
  </si>
  <si>
    <t xml:space="preserve"> Supply and Delivery of the following Office Equipments - 4 units Heavy Duty Duplicator and 4 units Digital Copier</t>
  </si>
  <si>
    <t xml:space="preserve"> To All Eligible Suppliers; Please quote your lowest price on the items listed below, subject to the General Conditions stated herein and Submit the same to the Office of the BAC-Secretariat on or before August  17, 2020 at 10:00 o'clock in the morning. (S</t>
  </si>
  <si>
    <t xml:space="preserve"> NOTICE OF ALTERNATIVE MODE OF PROCUREMENT (Shopping) NOTICE PR. NO. 20-07-161 In accordance with Section 52.1(b) of the Revised Implementing Rules and Regulations of R.A. 9184, this Notice is hereby issued per approved Annual Procurement Plan of this offi</t>
  </si>
  <si>
    <t xml:space="preserve"> Republic of the Philippines Province of Agusan del Norte BIDS AND AWARDS COMMITTEE Capitol, Butuan City INVITATION TO BID (NEGOTIATED PROCUREMENT) NEGOTIATED PROCUREMENT OF LABORATORY SUPPLIES OF CABADBARAN DISTRICT HOSPITAL, AGUSAN DEL NORTE The Provinci</t>
  </si>
  <si>
    <t xml:space="preserve"> 1. Disc Plow Assembly - set - 1 2. Disc Plow Blade - set - 1</t>
  </si>
  <si>
    <t xml:space="preserve"> Republic of the Philippines Province of Iloilo Municipality of Pavia Invitation to Bid for the Installation of Air Conditioners including Labor at 24/7 Operations Center and MENR Office 1.	The Municipality of Pavia, Iloilo, through the General Fund 2020 i</t>
  </si>
  <si>
    <t xml:space="preserve"> Supply and Delivery of CM for the Improvement of Padang, Acacia -Mapayao Road</t>
  </si>
  <si>
    <t xml:space="preserve"> Invitation to Bid for the Site Dev./Construction/Rehab of Materials Recovery Facility (MRF) The Municipality of San Francisco, Surigao del Norte, through the 20% Development Fund of CY 2020 intends to apply the sum of One Million Four Hundred Fifty Thousa</t>
  </si>
  <si>
    <t xml:space="preserve"> PROVINCE OF CAGAYAN Municipality of Claveria Barangay TAGGAT NORTE INVITATION TO BID July 29,2020 Barangay Taggat Norte, Claveria, Cagayan intends to apply the sum of EIGHTY SIX THOUSAND FOUR HUNDRED FIFTY PESOS ONLY (86,450.00) being the Approved Budget </t>
  </si>
  <si>
    <t xml:space="preserve"> Republic of the Philippines OFFICE OF THE PUNONG BARANGAY 	Barangay SAN NICOLAS	 	Municipality of Tudela	 Province of Misamis Occidental INVITATION TO BID The Office of the Punong Barangay of Barangay San Nicolas through its Bids and Awards Committee [BAC</t>
  </si>
  <si>
    <t xml:space="preserve"> Republic of the Philippines							 Province of Negros Occidental							 Municipality of La Castellana							 Bids and Awards Committee							 							 INVITATION TO APPLY FOR ELIGIBILITY AND TO BID							 							 Name of Project: 		ENCLOSURE OF BPAT / COMP</t>
  </si>
  <si>
    <t xml:space="preserve"> Republika ng Pilipinas PAMAHALAANG LUNGSOD NG TACLOBAN (City Government of Tacloban) Kanhuraw Hill, Tacloban City 6500 Bids and Awards Committee INVITATION TO SUBMIT PRICE QUOTATIONS FOR THE NEGOTIATED PROCUREMENT (Small Value Procurement) OF PRINTING SER</t>
  </si>
  <si>
    <t xml:space="preserve"> 1. Paper, bond, A4 = 130 ream @ 240.00 2. Toner Cart, Brother TN 3428 = 10 pieces @ 5,000.00 3. Tape, double side = 4 rolls @ 100.00 4. Marker, permanent, bullet type, black = 10 pcs @ 75.00 5. Marker, permanent, bullet type, blue = 10 pcs @ 75.00 *Please</t>
  </si>
  <si>
    <t xml:space="preserve"> Republic of the Philippines Province of Iloilo Municipality of Pavia Invitation to Bid for the Installation of Street Lighting System at Cabugao-Tigum Road, Pavia, Iloilo 1.	The Municipality of Pavia, Iloilo, through the IRA Fund 2020 intends to apply the</t>
  </si>
  <si>
    <t xml:space="preserve"> Republic of the Philippines								 Province of Negros Occidental								 Municipality of La Castellana								 Bids and Awards Committee								 								 INVITATION TO APPLY FOR ELIGIBILITY AND TO BID								 								 Name of Project: 		RENOVATION OF MUL</t>
  </si>
  <si>
    <t xml:space="preserve"> INVITATION TO BID   PROPOSED PIPELINE REHABILITATION PROJECT FOR GARDEN BLOOM ACRES SUBDIVISION, BRGY. PITOGO, CONSOLACION, CEBU PR No. 27613-001   1.	The Metropolitan Cebu Water District (MCWD), through the Corporate Budget for the contract approved by t</t>
  </si>
  <si>
    <t xml:space="preserve"> Construction of PDAO Office Extension Building at Municipal Complex, Baganga, Davao Oriental.</t>
  </si>
  <si>
    <t xml:space="preserve"> SUPPLY AND DELIVERY OF VARIOUS BOOKS FOR UNIVERSITY OF MAKATI’S LIBRARY SERVICE PROGRAM - Order of payment for Bid Docs will be available at GSD-Head Office @ 10th Floor Makati City Hall Bldg. 2.  Look for Mr. Reden Villanueva. - A  complete set of Biddin</t>
  </si>
  <si>
    <t xml:space="preserve"> INVITATION TO BID The Municipal Government of San Narciso, Quezon through its Bids and Award Committee (BAC), invites registered suppliers with DTI, Mayor’s Permit and PhilGEPS, if found eligible, to bid or the hereunder contract: Name of Contract : 	Repa</t>
  </si>
  <si>
    <t xml:space="preserve"> CONSTRUCTION OF VIRGIN COCONUT OIL PROCESSING PLANT - BRGY. MALAYA Brgy. Malaya, Labo, Cams. Norte</t>
  </si>
  <si>
    <t xml:space="preserve"> Republic of the Philippines  Province of Bukidnon  MUNICIPALITY OF KALILANGAN    Bids and Award Committee (BAC)  INVITATION TO BID FOR  Goods 2020-07-022 The Local Government Unit – Kalilangan, Bukidnon through the BIDS AND AWARDS COMMITTEE (BAC) now invi</t>
  </si>
  <si>
    <t xml:space="preserve"> 1	Steel Filing Cabinet (Sliding steel) - 2 drawers	1	unit 2	Prepaid LTE Home WIFI	1	unit 3	Computer Printer (can Scan Long Documents)	1	 unit   	   Type: print,Scan, Copy ,Fax with ADF	 	   	   Dimensions WxDxH) 375x34x237mm	 	   	   Weight 5.0kg	 	  4	Co</t>
  </si>
  <si>
    <t xml:space="preserve"> SUPPLY AND DELIVERY OF BRAND NEW TRACTOR TRUCK WITH LOW BED SEMI-TRAILER - Order of payment for Bid Docs will be available at GSD-Head Office @ 10th Floor Makati City Hall Bldg. 2.  Look for Mr. Reden Villanueva. - A  complete set of Bidding Documents wil</t>
  </si>
  <si>
    <t xml:space="preserve"> SUPPLY AND DELIVERY OF MEALS FOR VARIOUS ACTIVITIES OF MAKATI CITY POLICE AND PLEB - Order of payment for Bid Docs will be available at GSD-Head Office @ 10th Floor Makati City Hall Bldg. 2.  Look for Mr. Reden Villanueva. - A  complete set of Bidding Doc</t>
  </si>
  <si>
    <t xml:space="preserve"> INVITATION TO BID The Municipal Government of San Francisco, through the Acquisition of Rescue Equipment Vehicle program of the Municipal Disaster Risk Reduction and Management Fund of CY 2020 intends to apply the sum of Php 2,000,000.00, being the Approv</t>
  </si>
  <si>
    <t xml:space="preserve"> Republika ng Pilipinas PAMAHALAANG LUNGSOD NG TACLOBAN (City Government of Tacloban) Kanhuraw Hill, Tacloban City 6500 Bids and Awards Committee INVITATION TO SUBMIT PRICE QUOTATIONS FOR THE NEGOTIATED PROCUREMENT (Small Value Procurement) OF AUDIO AND VI</t>
  </si>
  <si>
    <t xml:space="preserve"> The approved estimated budget for the materials for the Improvement of Computer tables is 10,000.00</t>
  </si>
  <si>
    <t xml:space="preserve"> Airconditioning</t>
  </si>
  <si>
    <t xml:space="preserve"> 899       paxs       meals        150.00       134,850.00 600       paxs       snacks        30.00         18,000.00                                                     Total: 152,850.00</t>
  </si>
  <si>
    <t xml:space="preserve"> 660	ltr	Diesel 300	ltr	Special Gasoline 100	ltr	Unleaded Gasoline 6	ltr	ATF 2	ltr	Brake Fluid 2	ltr	2T Oil</t>
  </si>
  <si>
    <t xml:space="preserve"> Republic of the Philippines Province of Batangas CITY OF STO. TOMAS INVITATION TO BID  The City Government of Sto. Tomas, Batangas through its Bids and Awards Committee (BAC) invites suppliers/manufacturers/distributors to apply for eligibility, and if fo</t>
  </si>
  <si>
    <t xml:space="preserve"> Republika ng Pilipinas PAMAHALAANG LUNGSOD NG TACLOBAN (City Government of Tacloban) Kanhuraw Hill, Tacloban City 6500 Bids and Awards Committee INVITATION TO SUBMIT PRICE QUOTATIONS FOR THE NEGOTIATED PROCUREMENT (Small Value Procurement) OF MEDICAL SUPP</t>
  </si>
  <si>
    <t xml:space="preserve"> Republic of the Philippines Province of Iloilo Municipality of Pavia Invitation to Bid for the Installation of Street Lighting System at KABSAKA Road, Pavia, Iloilo 1.	The Municipality of Pavia, Iloilo, through the IRA Fund 2020 intends to apply the sum o</t>
  </si>
  <si>
    <t xml:space="preserve"> REQUEST FOR QUOTATION Name of Project: Purchase of Semi-Expendable Furnitures and Computer Printer for NPS Region IX Approved Budget for the Contract: P259,400.00 Delivery Period: 30 calendar days</t>
  </si>
  <si>
    <t xml:space="preserve"> Barangay Road Opening from Barangay Site Saoquigue to Diversion Road, Saoquigue, Baganga, Davao Oriental</t>
  </si>
  <si>
    <t xml:space="preserve"> 1. The [Local Government Unit of Inopacan, Leyte], through the [Approved 2020 General Fund Annual Budget under the 20% Development Fund as per Appropriation Ordinance No. 20-01 by the 14th Sangguniang Bayan of Inopacan, Leyte] intends to apply the sum of </t>
  </si>
  <si>
    <t xml:space="preserve"> REQUEST FOR QUOTATION Name of Project: Purchase of Various Office Supplies NOT Available in PS for NPS Region IX Approved Budget for the Contract: P115,707.00 Delivery Period: 30 Calendar Days</t>
  </si>
  <si>
    <t xml:space="preserve"> Republic of the Philippines Province of Nueva Vizcaya BIDS AND AWARDS COMMITTEE (BAC-Goods) BAC OFFICE, Provincial Capitol, Bayombong, Nueva Vizcaya 	  REQUEST FOR QUOTATION (RFQ)  For the Procurement of Tarpaulin (4,000 sq.ft) &amp; Stickers (2,000 sq.ft) Fo</t>
  </si>
  <si>
    <t xml:space="preserve"> INVITATION TO BID IB NO. 2020 – 069/ JJL SUPPLY AND DELIVERY OF HYBRID CORN SEEDS (Yellow) GMO 		 1.	Department of Agriculture, Regional Field Office-10, through the Corn Program Funds CY 2020 intends to apply the sum of One Million One Hundred Ninety Two</t>
  </si>
  <si>
    <t xml:space="preserve"> Spcl 1 - 1.00 pc Standard Project Billboard 100.00- 17.00 sq. m Clearing and Grubbing 101.00- 4.08 sq. m Removal of Structures and Obstructions 102.00- 35.60 Cu. m Excavation 104     - 1.70 cu.m Embankment 200.00 - 1.70 cu. m Aggregate Sub-base Course 201</t>
  </si>
  <si>
    <t xml:space="preserve"> Barangay Road Opening at Ikog Buaya, Sitio Nonocan, Brgy. Dapnan Phase II, Baganga, Davao Oriental</t>
  </si>
  <si>
    <t xml:space="preserve"> Republic of the Philippines Province of Iloilo Municipality of Pavia Invitation to Bid for the Installation of Street Lighting System at Anilao-Pagsanga-an Road, Pavia, Iloilo 1.	The Municipality of Pavia, Iloilo, through the IRA Fund 2020 intends to appl</t>
  </si>
  <si>
    <t xml:space="preserve"> Invitation to Bid for the Supply and Delivery of UPVC Pipes. Refer to Section VI and Section VII of the Bidding Documents for the Schedule of Requirements and Technical Specification of UPVC Pipes. All pipes must be delivered to the Project Site located a</t>
  </si>
  <si>
    <t xml:space="preserve"> Republic of the Philippines Province of Iloilo Municipality of Pavia Invitation to Bid for the Repair, Improvement and Maintenance of School at Pavia National High School (Repair of Gymnasium) 1.	The Municipality of Pavia, Iloilo, through the Special Educ</t>
  </si>
  <si>
    <t xml:space="preserve"> Republic of the Philippines Province of Nueva Vizcaya BIDS AND AWARDS COMMITTEE (BAC-Goods) BAC OFFICE, Provincial Capitol, Bayombong, Nueva Vizcaya 	 REQUEST FOR QUOTATION (RFQ)  For the Procurement of Rolling Bins (200ltrs) &amp; Hooded Trash Bins For the N</t>
  </si>
  <si>
    <t xml:space="preserve"> SUPPLY AND DELIVERY OF VARIOUS DIETARY AND OTHER SUPPLIES THROUGH ORDERING AGREEMENT - Order of payment for Bid Docs will be available at GSD-Head Office @ 10th Floor Makati City Hall Bldg. 2.  Look for Mr. Reden Villanueva. - A  complete set of Bidding D</t>
  </si>
  <si>
    <t xml:space="preserve"> SUPPLY AND DELIVERY OF CT TRIPAK INJECTORS THROUGH ORDERING AGREEMENT - Order of payment for Bid Docs will be available at GSD-Head Office @ 10th Floor Makati City Hall Bldg. 2.  Look for Mr. Reden Villanueva. - A  complete set of Bidding Documents will b</t>
  </si>
  <si>
    <t xml:space="preserve"> 1. 74 bags Portland Cement 2. 186.55 kgs. 35-12mm @6mm RSB 3. 4 kls. #16 Tie wire 4. 6 pcs. 1/2 THK ord. plywood 5. 10 Kls. Asstd. CWNails 6. 500 pcs. 4" CHB 7. 298.5 kls. 56 pcs.-12mm diax6mm 8. 4 kls. #16 GI Tie wire</t>
  </si>
  <si>
    <t xml:space="preserve"> Supply of materials for the Construction of Retaining Wall (Grouted Rip-rap)</t>
  </si>
  <si>
    <t xml:space="preserve"> Purchase of Various Materials and Supplies which will be used for New Service Connection of Save More located at Zaragoza St., Brgy. Poblacion D, Tayug, Pangasinan. *Winning Bidder shall submit minimum requirements:     a. Mayor's/Business Permit     b. B</t>
  </si>
  <si>
    <t xml:space="preserve"> Repair of the Building of SK Hall</t>
  </si>
  <si>
    <t xml:space="preserve"> 1) 1 unit -DSLR Camera                EOS 800D                Sensor: 24.2mm APS -C dual pixel CMOS AF                 (22.3 x 14.9mm), Full HD 1920 x 1080 2) 1 unit - Notebook              - S340-1411L (81VVooA4PH)                 14" Full HD Display,Cor</t>
  </si>
  <si>
    <t xml:space="preserve"> Republic of the Philippines Province of Iloilo Municipality of Pavia Invitation to Bid for the Purchase of I.T. Equipment for Various Offices of the municipality (Mayor Gerardo Gorriceta Sr. Memorial School, Municipal Treasurer’s Office, Mayor’s Office-MI</t>
  </si>
  <si>
    <t xml:space="preserve"> Q line canal       0.70x18.00 Q steel gratings 0.50x18.00</t>
  </si>
  <si>
    <t xml:space="preserve"> SUPPLEMENTAL/BID BULLETIN Republic of the Philippines Bangsamoro Autonomous Region in Muslim Mindanao Province of Maguindanao Local Government Unit of Upi Upi, Maguindanao upi_sk@yahoo.com 09088869725 ADDENDUM NO. 01 This Addendum No. 01 of the Re-Posting</t>
  </si>
  <si>
    <t xml:space="preserve"> Republic of the Philippines Province of Bohol MUNICIPALITY OF SAN MIGUEL Invitation to Bid for Expansion of Water System   1.	The Local Government Unit of San Miguel, Bohol through the DILG-SALINTUBIG 2019 intends to apply the sum of Fifteen Million Pesos</t>
  </si>
  <si>
    <t xml:space="preserve"> 25 UNITS MIST BLOWERS FOR DISINFECTION AND DECONTAMINATION OF PUBLIC FACILITIES --- PHP 875,000.00</t>
  </si>
  <si>
    <t xml:space="preserve"> Republic of the Philippines Province of Iloilo Municipality of Pavia Invitation to Bid for the Fabrication of Furniture and Fixtures  for Various Child Development Centers of the municipality 1.	The Municipality of Pavia, Iloilo, through the Trust Fund 20</t>
  </si>
  <si>
    <t xml:space="preserve"> CONCRETING OF FMR-BRGY. BAKIAD Brgy. Bakiad, Labo, Cams. Norte</t>
  </si>
  <si>
    <t xml:space="preserve"> 40 PIECES WHEELCHAIRS --- PHP 192,000.00</t>
  </si>
  <si>
    <t xml:space="preserve"> Republic of the Philippines DEPARTMENT OF PUBLIC WORKS AND HIGHWAYS ZAMBALES 2ND  DISTRICT ENGINEERING OFFICE REGIONAL OFFICE III Castillejos, Zambales NOTICE OF ALTERNATIVE METHODS OF PROCUREMENT Please be informed that the Department of Public Works and</t>
  </si>
  <si>
    <t xml:space="preserve"> Republic of the Philippines Province of Iloilo Municipality of Pavia Invitation to Bid for the Purchase of Audio Visual System  for Various Child Development Centers of the municipality 1.	The Municipality of Pavia, Iloilo, through the Trust Fund 2019 int</t>
  </si>
  <si>
    <t xml:space="preserve"> Section I. Invitation to Bid FOR THE UPLB-RES-038-08-20  SUPPLY AND DELIVERY OF BRANDED AND BRAND NEW VEHICLES FOR CEAT-AMTEC (3) 1.	The UNIVERSITY OF THE PHILIPPINES LOS BAÑOS (UPLB), through the GOP (LB03050001-C0002301; N824932) intends to apply the su</t>
  </si>
  <si>
    <t xml:space="preserve"> 1.	The BLGU-Cebulan,Esperanza,Agusan del Sur intends to apply the sum of One Hundred Fifty One Thousand Three Hundred Fifty Pesos Only (Php151,350.00) being the Approved Budget for the Contract (ABC) to payments under the contract for Supply and Delivery </t>
  </si>
  <si>
    <t xml:space="preserve"> Republic of the Philippines Province of Iloilo Municipality of Pavia Invitation to Bid for the Renovation/Upgrading of Amparo Barangay Health Station at Barangay Amparo, Pavia, Iloilo 1.	The Municipality of Pavia, Iloilo, through the Trust Fund-DOH intend</t>
  </si>
  <si>
    <t xml:space="preserve"> 1.	300		pcs.		Plastic Envelope 	 2.	900		pcs.		Notebook (Assorted)	 3.	200		pcs.		Mongol Pencil	 4.	200		pcs.		Ballpen (Assorted)	 5.	200		pcs.		Pad Paper (Assorted)	 6.	100		pcs.		Intermediate Pad Paper 	 7.	300		pcs.		Sharpener	 8.	100		pcs.		Jumbo Penc</t>
  </si>
  <si>
    <t xml:space="preserve"> Republic of the Philippines Batangas City Invitation to Apply for Eligibility and to Bid The Barangay Government of Barangay Kumintang Ilaya, Batangas City intends to apply the sum of Eighty Thousand Four Hundred Fifty Pesos Only (Php 80,450.00) broken do</t>
  </si>
  <si>
    <t xml:space="preserve"> Medicines and Medical Supplies for Awuyon Community Hospital use.</t>
  </si>
  <si>
    <t xml:space="preserve"> Republika ng Pilipinas PAMAHALAANG LUNGSOD NG TACLOBAN (City Government of Tacloban) Kanhuraw Hill, Tacloban City 6500 Bids and Awards Committee INVITATION TO SUBMIT PRICE QUOTATIONS FOR THE NEGOTIATED PROCUREMENT (Small Value Procurement) OF AGRICULTURAL</t>
  </si>
  <si>
    <t xml:space="preserve"> To provide catering services for the conduct of Training of Trainers on the NTP Manual of Procedure, 6th Edition August 25-28, 2020 in General Santos City.</t>
  </si>
  <si>
    <t xml:space="preserve"> Description   Invitation to Apply for Eligibility and to Bid The barangay Lumbayao, San Pablo, Zamboanga del Sur, through its Bids &amp; Awards Committee (BAC) invites suppliers to apply and to bid for the hereunder project: Name of Project: Installation of B</t>
  </si>
  <si>
    <t xml:space="preserve"> INVITATION TO BID IB NO. 2020 - 070/ AGMR SUPPLY AND DELIVERY OF 97,0000 PCS. CACAO CERTIFIED SEEDLINGS 		 1.	The Department of Agriculture, Regional Field Office-10, through the  High Value Crops Development Program (HVCDP) Funds CY 2020 intends to apply</t>
  </si>
  <si>
    <t xml:space="preserve"> CONSTRUCTION OF SCHOOL BUILDING CUM EVACUATION CENTER-NAPAOD ELEMENTARY SCHOOL Napaod Elementary School, Labo, Cams. Norte</t>
  </si>
  <si>
    <t xml:space="preserve"> Republic of the Philippines Province of Iloilo Municipality of Pavia Invitation to Bid for the Purchase of Two (2) units Brand New Motorcycles for Pavia Bureau of Fire Protection 1.	The Municipality of Pavia, Iloilo, through the General Fund 2019 intends </t>
  </si>
  <si>
    <t xml:space="preserve"> VARIOUS BED NETS AND CHEMICAL PRODUCTS FOR THE DENGUE PREVENTION AND MANAGEMENT PROGRAM</t>
  </si>
  <si>
    <t xml:space="preserve"> Republic of the Philippines Province of Iloilo Municipality of Pavia Invitation to Bid for the Catering Services for Various Activities of the Sangguniang Bayan Office 1.	The Municipality of Pavia, Iloilo, through the General Fund 2020 intends to apply th</t>
  </si>
  <si>
    <t xml:space="preserve"> INVITATION TO BID The Local Government Unit of Rizal, Kalinga, through the Bids and Wards Committee, invites Suppliers to submit bids for the contract Contract Number: 2020-07-14 Project Title: Procurement of Communication Equipment (CCTV) Project Locatio</t>
  </si>
  <si>
    <t xml:space="preserve"> Procurement of One (1) unit Brand New 4X2, 6-wheeler Cab for the Use of the Assets Management Office. To view Bidding Documents please copy this link on your browser: https://drive.google.com/file/d/1cDQo0TPrclBSM9Bd4TO5oDJECYPSsl1O/view?usp=sharing -----</t>
  </si>
  <si>
    <t xml:space="preserve"> Smart prepaid cards, 300s - 519 pcs Talk n Text prepaid cards, 300s - 93 pcs Globe prepaid cards, 300s - 43pcs TM prepaid cards, 300s - 34pcs</t>
  </si>
  <si>
    <t xml:space="preserve"> Electrolytes (1kg)	1 can Chick Booster Crumble (50 kgs)	2 sacks Vitamins with B-complex (100 ml)	1 bot Crack Corn (50 kgs) 	7 sacks Hog Grower Pellet (50 kgs)	8 sacks Corn Bran (50 kgs)	8 sacks Rice Bran (50 kgs)	8 sacks Hog Starter Pellet (50 kgs)	4 sack</t>
  </si>
  <si>
    <t xml:space="preserve"> INVITATION TO BID FOR THE   SUPPLY AND DELIVERY OF SINGLE SPLIT AIR CONDITIONER, SAN MIGUEL, SURIGAO DEL SUR 1.  The  Local Government Unit of San Miguel through the  Bids and Awards Committee (BAC) intends to apply the sum of Three   Hundred      Thousan</t>
  </si>
  <si>
    <t xml:space="preserve"> VARIOUS OFFICE FURNITURES --- PHP 628,050.00</t>
  </si>
  <si>
    <t xml:space="preserve"> To provide labor services for the land preparation (2x passing ) of the 20 hectares  Sorghum Model Farm at Villa Luna MPC , Villa Luna, Cauayan City, Isabela</t>
  </si>
  <si>
    <t xml:space="preserve"> INVITATION TO BID SUPPLY AND DELIVERY OF ONE (1) UNIT PROJECTOR FOR THE CITY PLANNING AND DEVELOPMENT COORDINATOR’S OFFICE – 2ND BIDDING 1.	The Local Government Unit of Cabadbaran City through the GENERAL FUND intends to apply the sum of ONE HUNDRED THOUS</t>
  </si>
  <si>
    <t xml:space="preserve"> Republic of the Philippines                                           Province of Leyte     MUNICIPALITY OF ALBUERA       OFFICE OF THE BIDS AND AWARDS COMMITTEE INVITATION TO BID 	The Local Government Unit of Albuera, Leyte through its Bids and Awards Co</t>
  </si>
  <si>
    <t xml:space="preserve"> Office Supplies - Php 106,525.00</t>
  </si>
  <si>
    <t xml:space="preserve"> 10  PCS - FIRE HOSE WITH COUPLING: 50 FT 1 1/2 DIAMETER DOUBLE JACKETED NOTED: LOT PRICE</t>
  </si>
  <si>
    <t xml:space="preserve"> INSTALLATION OF STREETLIGHTS AT POBLACION BARANGAY Poblacion, Labo, Cams. Norte</t>
  </si>
  <si>
    <t xml:space="preserve"> PROVISION FOR THE EXTENSION OF RTC BRANCH 64 OFFICE BUILDING RTC Branch 64 Office Building, Labo, Cams. Norte</t>
  </si>
  <si>
    <t xml:space="preserve"> Civil work that include concrete work</t>
  </si>
  <si>
    <t xml:space="preserve"> To All Eligible Suppliers; Please quote your lowest price on the items listed below, subject to the General Conditions stated herein and submit the same to the Office of the BAC-Secretariat on or before August 17, 2020 at 10:00 o'clock in the morning. (SG</t>
  </si>
  <si>
    <t xml:space="preserve"> Republic of the Philippines Province of Iloilo Municipality of Pavia Invitation to Bid for the Improvement of Anilao and Jibao-an Child Development Centers (Walling of Material Recovery Facility at Anilao CDC and Concreting of Additional Comfort Room at J</t>
  </si>
  <si>
    <t xml:space="preserve"> Please see attached docs</t>
  </si>
  <si>
    <t xml:space="preserve"> For training</t>
  </si>
  <si>
    <t xml:space="preserve"> Please see the attached file.</t>
  </si>
  <si>
    <t xml:space="preserve"> Republic of the Philippines Province of Leyte Municipality of Hilongos Barangay BUNG-AW REQUEST FOR QUOTATION ________________ DATE _____________________ _____________________ .        Please quote your lowest price on the items/listed below for theProcur</t>
  </si>
  <si>
    <t xml:space="preserve"> Invitation to Bid for the Exploratory Deepwell Drilling, Installation of Electro-Mechanical Equipment and Power Supply, Construction of Pump House and Fence and Pipelaying of 100mm u.P.V.C. Transmission Pipelines in Barangay Lipay, Villasis, Pangasinan 1.</t>
  </si>
  <si>
    <t xml:space="preserve"> Implementation of COB Project</t>
  </si>
  <si>
    <t xml:space="preserve"> Supply/Delivery of 1 Unit Brand New Laptop Please see attached specifications</t>
  </si>
  <si>
    <t xml:space="preserve"> Please see the attache file.</t>
  </si>
  <si>
    <t xml:space="preserve"> Glass Pulverizer for Waste Recycling in Ecological  Solid Waste Management Program</t>
  </si>
  <si>
    <t xml:space="preserve"> Republic of the Philippines							 Province of Negros Occidental							 Municipality of La Castellana							 Bids and Awards Committee							 							 INVITATION TO APPLY FOR ELIGIBILITY AND TO BID							 							 Name of Project: 		RENOVATION OF MULTI-PURP</t>
  </si>
  <si>
    <t xml:space="preserve"> 1. The City Government of Bacoor, Cavite, through the City Ordinance No. CO 562019 intends to apply the sum of FOUR HUNDRED TWENTY FOUR THOUSAND NINE HUNDRED EIGHTY  PESOS AND ZERO CENT (PhP424,980.00) being the total Approved Budget for the Contract (ABC</t>
  </si>
  <si>
    <t xml:space="preserve"> Description   Description Invitation to Apply for Eligibility and to Bid The barangay Songgoy, San Pablo, Zamboanga del Sur, through its Bids &amp; Awards Committee (BAC) invites suppliers to apply and to bid for the hereunder project: Name of Project: Instal</t>
  </si>
  <si>
    <t xml:space="preserve"> Republic of the Philippines PROVINCE OF CAVITE Barangay San Francisco City of General Trias INVITATION TO BID PROJECT TITLE/ DESCRIPTION : PURCHASE OF TWO UNITS OWNER TYPE JEEPNEY AT BARANGAY SAN FRANCISCO CITY OF GENERAL TRIAS CAVITE 1. The San Francisco</t>
  </si>
  <si>
    <t xml:space="preserve"> Republic of the Philippines PROVINCE OF CAVITE Barangay San Francisco City of General Trias INVITATION TO BID PROJECT TITLE/ DESCRIPTION : PURCHASE OF VARIOUS MATERIALS FOR SIX SCHOOLS AT BARANGAY SAN FRANCISCO CITY OF GENERAL TRIAS CAVITE 1. The San Fran</t>
  </si>
  <si>
    <t xml:space="preserve"> QTY.	UNIT	DESCRIPTION 8	bags	Pre-Starter @25kgs 20	bags	Starter @50kgs 100	bags	Gestation @50kgs 40	bags	Lactation @23kgs 1500	kilos	Rice Bran 1500	kilos	Corn Grits</t>
  </si>
  <si>
    <t xml:space="preserve"> FERTILIZER &amp; FUNGICIDE:		 1. 16-16-16 Complete Fertilizer (50 kilos/bag)	105	bags 2. 46-0-0 Urea (50 kilos/bags)	55	bags 3. 0-0-60 Muriate of Potash (50 kilos/bag)	40	bags 4. 21-0-0 Ammonium Sulfate (50 kilos/bag)	20	bags 5. Karate (1 liter /bottle)	60	Li</t>
  </si>
  <si>
    <t xml:space="preserve"> INSTALLATION OF PARTITION WALLS FOR 2 CLASSROOMS AND 2 ROOMS FOR PLATE STORAGE</t>
  </si>
  <si>
    <t xml:space="preserve"> Republic of the Philippines PROVINCE OF CAVITE Barangay San Francisco City of General Trias INVITATION TO BID PROJECT TITLE/ DESCRIPTION : PURCHASE OF VARIOUS MATERIALS FOR CANAL LINING WITH COVER AT BARANGAY SAN FRANCISCO CITY OF GENERAL TRIAS CAVITE 1. </t>
  </si>
  <si>
    <t xml:space="preserve"> Republic of the Philippines Province of Eastern Samar Municipality of Maydolong INVITATION TO BID FOR  Procurement of Engineering Office Equipment 1.	The Municipal Government of Maydolong, Eastern Samar, through the 2020 MEO Regular Fund intends to apply </t>
  </si>
  <si>
    <t xml:space="preserve"> Republic of the Philippines Province of Eastern Samar City of Borongan .-0- BIDS AND AWARDS COMMITTEE ------------------------------------------------------------------------------------------ Invitation to Bid for STRENGTHENING OF HANGING FOOTBRIDGE AT B</t>
  </si>
  <si>
    <t xml:space="preserve"> Size: 6m x 4m x 2.5m Materials per tent: 4 pcs. 61 pipe 2" 24 pcs. 61 pipe 1 1/4" 16 pcs. 61 pipe 1" 100 pcs lock screw 3/8" x 1" 100m Nylon Rope cover S200 thick canvass</t>
  </si>
  <si>
    <t xml:space="preserve"> PROCUREMENT OF CONST. MATERIALS FOR THE CONCRETE PAVING OF 71LN.M X 2.50M SINGLE LANE BARANGAY ACCESS ROAD AND CONSTRUCTION OF ROADSIDE DRAINAGE SYSTEM (OPEN CANAL) AT BARANGAY QUEZON, CORDON, ISABELA. SOURCE OF FUND: 20% EDF 2020</t>
  </si>
  <si>
    <t xml:space="preserve"> Invitation to Bid   Procurement of WORKS:  Restoration and Upgrading of Teachers’ Hall - Phase 1 1.	The Department of Education Regional Office No.2, through the NEAP-R Funds   intends to apply the sum of One Million One Hundred Ninety – Nine Thousand Fiv</t>
  </si>
  <si>
    <t xml:space="preserve"> JOSE B. LINGAD MEMORIAL REGIONAL HOSPITAL City of San Fernando, Pampanga Tel. No. (045) 961-3921 Date: July 30, 2020 No. 2020 – 07 - 232-S REQUEST FOR QUOTATION (Name of Agency) (Address) Sir/Madam: Please quote your lowest price on the item/s listed belo</t>
  </si>
  <si>
    <t xml:space="preserve"> Please see attached TOR, Tech. Specs. &amp; RFQ for details</t>
  </si>
  <si>
    <t xml:space="preserve"> 1. 27 Rolls 1 1/2" dia 60m. SDR PIPE #17 2. 3 rolls PVC Moldex Blue 3. 2 pcs. 11/2 x 1 GI Tee Reducer 4. 1 pc. Gate Valve 1 1/2" Dia</t>
  </si>
  <si>
    <t xml:space="preserve"> PROCUREMENT OF 3 UNITS 43" SMART TV AND 1 UNIT 75" SMART TV WITH MOVABLE STAND AND SPEAKER FOR THE MULTI MEDIA EQUIPMENT OF THE DILGR2</t>
  </si>
  <si>
    <t xml:space="preserve"> 20GM00174 – Rental of Service Vehicle Chargeable to CY 2020 Annual Maintenance Work Program (AMWP) for Inspection and Supervision of Routine/Periodic Maintenance for Roads and Bridges Projects along Banisilan-Guiling-Alamada-Libungan Road, Bukidnon-Cotaba</t>
  </si>
  <si>
    <t xml:space="preserve"> Supply and Delivery of Office Equipment (Steel Cabinet, Sleeping Kits, Swivel Chairs) Please see attached specifications</t>
  </si>
  <si>
    <t xml:space="preserve"> JOSE B. LINGAD MEMORIAL REGIONAL HOSPITAL City of San Fernando, Pampanga Tel. No. (045) 961-3921 Date: July 30, 2020 No. 2020 – 07 - 234-S REQUEST FOR QUOTATION (Name of Agency) (Address) Sir/Madam: Please quote your lowest price on the item/s listed belo</t>
  </si>
  <si>
    <t xml:space="preserve"> Invitation to Bid   Procurement of WORKS:  Construction of 3-Phase Power Distribution Line and Installation Electrical System in the NEAP ELC Building  1.	The Department of Education Regional Office No.2, through the NEAP-R Funds   intends to apply the su</t>
  </si>
  <si>
    <t xml:space="preserve"> ITB No. 2020-01 1. Name of Project:  Supply &amp; Delivery of various construction materials for the Rehab of St. lights 2.Schedule of Activity Bid Opening: August 7 @ 10:00 A.M. Bid Evaluation/Post-qualification: August 8 to August 10, 2020 Cost of Bidding D</t>
  </si>
  <si>
    <t xml:space="preserve"> Republic of the Philippines Province of Eastern Samar Municipality of Maydolong Barangay Poblacion 5 INVITATION TO BID FOR  Procurement of Supplies and Materials for the Construction of Barangay Doors and Window Grills 1.	The Barangay Government of Barang</t>
  </si>
  <si>
    <t xml:space="preserve"> REQUEST FOR QUOTATION											 											 RFQ No.		SVP 20-0473.4				Date				July 29, 2020	 PR Reference		100-20-03-081				Implementing Office				CAGRI	 Closing Date and Time											 Designated Places of Submission (Bid Box Designated Locations)					</t>
  </si>
  <si>
    <t xml:space="preserve"> 1 unit Cargo Container Van</t>
  </si>
  <si>
    <t xml:space="preserve"> QTY.	UNIT	DESCRIPTION 95	units	Branded Laptop 		Windows 10 OS 		1.6 Ghz Based Processor, Turbo Speed 		14in 1920x1080 FHD Display 		8GB RAM 		512GB HDD 		Nvidia GeForce w/ 2GB VRAM Graphic Adaptor 		802.11ac, Ethernet Port 		USB 3.0/2.0 Ports 		HDMI 		3.5</t>
  </si>
  <si>
    <t xml:space="preserve"> Paper size : Paper size used on layout A4 Paper Thickness : 70 gsm (BP) Binding : Saddle stich Cover : Fold cote no. 12 (FC#12) (4 color) with  lamination (UV coating) Inside : 1 color/4 color</t>
  </si>
  <si>
    <t xml:space="preserve"> REQUEST FOR QUOTATION											 											 RFQ No.		SVP 20-0473.3				Date				July 29, 2020	 PR Reference		100-20-03-081				Implementing Office				CAGRI	 Closing Date and Time											 Designated Places of Submission (Bid Box Designated Locations)					</t>
  </si>
  <si>
    <t xml:space="preserve"> Bidders must submit Certificate of PHILGEPS Registration.</t>
  </si>
  <si>
    <t xml:space="preserve"> Section I. Invitation to Bid FOR THE UPLB-RES-035-08-20 PROCUREMENT OF DIAGNOSTIC AND LABORATORY SERVICES FOR BIOTECH AND IAS 1.	The UNIVERSITY OF THE PHILIPPINES LOS BAÑOS (UPLB), through the GOP (LB03023001-C0002489: N827147; LB04003001-C0002100: N82222</t>
  </si>
  <si>
    <t xml:space="preserve"> Republic of the Philippines MUNICIPALITY OF ECHAGUE Province of Isabela INVITATION TO BID FOR  THE  PROCUREMENT OF  BUSINESS PLATES  AND TRICYCLE STICKERS 1.	The Local Government Unit , through  the  GENERAL   FUND  Of  2020  intends to apply the sum of  </t>
  </si>
  <si>
    <t xml:space="preserve"> REQUEST FOR EXPRESSION OF INTEREST FOR THE CONSULTING SERVICES FOR THE UPDATING OF THE SOCIAL AND ENVIRONMENTAL MANAGEMENT SYSTEM (SEMS) MANUAL  1.	The Department of Public Works and Highways (DPWH), through the GAA of Fiscal Year 2020, intends to apply t</t>
  </si>
  <si>
    <t xml:space="preserve"> 20GM00176 – Rental of Service Vehicle for Use in Supervision of Various Projects within the Cotabato Sub-District Engineering office assigned in the Quality Assurance Section (1 unit 4x4) (August 16-31, 2020) (Equipment Rental Only)</t>
  </si>
  <si>
    <t xml:space="preserve"> Portable Cardiac Monitor to be use by MDRRM Office</t>
  </si>
  <si>
    <t xml:space="preserve"> G.I. pipes and connectors, P.E. pipe and connectors, cement, RSB, paints</t>
  </si>
  <si>
    <t xml:space="preserve"> 1	copy	Gender discrimination by Bauma ©2020				 1	copy	Women in policy making: a global view by Menon ©2020				 1	copy	Woman &amp; their political empowerment across the globe by 				 		Menon ©2020				 1	copy	Challenges of women empowerment by Bello ©2020				</t>
  </si>
  <si>
    <t xml:space="preserve"> REQUEST TO SUBMIT QUOTATION The TARLAC AGRICULTURAL UNIVERSITY, through its Bids and Awards Committee (BAC), invites all suppliers and dealers to submit sealed quotation for the Contract Reference # 2020-RFQ-036 GOODS “PURCHASE OF BAKERY EQUIPMENT FOR THE</t>
  </si>
  <si>
    <t xml:space="preserve"> Sofa Bed  2 unit Sizes:  (Thickness x Width x Length) 7.5 x 36 x 75 Material:  fabric combined with quality foam with a medium firm Pls. submit your quotation thru email:  mi_lynsn@yahoo.com x-x-x-x-x-x-x-x-x-x-x-x-x-x-x-x-x Total ABC  (in PhP)  14,200.00</t>
  </si>
  <si>
    <t xml:space="preserve"> REQUEST FOR QUOTATION - SAFETY BARRIER TELLERS STATION &amp; NEW ACCOUNTS Specification                    - ¼” THK. Clear Acrylic Sheet provide 4-way aluminum channel - 10” X 3” Pigeon Hole with sliding enclosure  - 0.90 Counter Top - 1.10 Fin. Floor Line - </t>
  </si>
  <si>
    <t xml:space="preserve"> NOTICE IS HEREBY GIVEN that the National Food Authority, Regional Office, Legazpi City, thru its Regional Procurement Committee (RPC), intends to apply the sum of PESOS: ONE HUNDRED TWENTY NINE THOUSAND FIVE HUNDRED (Php 129,500.00) being the Approved Bud</t>
  </si>
  <si>
    <t xml:space="preserve"> Delivery and supply of Construction Materials for the project of Proposed Two Storey Office Building, Pagatpat, Cagayan de Oro City</t>
  </si>
  <si>
    <t xml:space="preserve"> 20GM00178 – Rental of Service Vehicle for Roads and Bridges Investigation Activities for DPWH Projects (August 17-31, 2020) (Equipment Rental Only)</t>
  </si>
  <si>
    <t xml:space="preserve"> Republic of the Philippines Province of Oriental Mindoro  MUNICIPALITY OF NAUJAN BIDS AND AWARDS COMMITTEE INVITATION TO BID SUPPLY AND DELIVERY OF ONE (1) UNIT GENERATOR SET TO BE USED IN THE EVACUATION CENTER AT NAUJAN SPORTS COMPLEX, NAUJAN, ORIENTAL M</t>
  </si>
  <si>
    <t xml:space="preserve"> REPUBLIC OF THE PHILIPPINES CITY GOVERNMENT OF OROQUIETA BIDS AND AWARD COMMITTEE City Hall Main, Oroquieta City            		   July 29, 2020                                                                                                                 </t>
  </si>
  <si>
    <t xml:space="preserve"> JOSE B. LINGAD MEMORIAL REGIONAL HOSPITAL City of San Fernando, Pampanga Tel. No. (045) 961-3921 Date: July 30, 2020 No. 2020 – 07 - 233-S REQUEST FOR QUOTATION (Name of Agency) (Address) Sir/Madam: Please quote your lowest price on the item/s listed belo</t>
  </si>
  <si>
    <t xml:space="preserve"> 1.	The Provincial Government of Antique, through the 20% IRA-CY 2020 (Economic Development Sector) intends to apply the sum One Million Nine Hundred Seventy Five Thousand Two Hundred Sixty Eight Pesos (Php 1, 975, 268.00) being the Approved Budget for the</t>
  </si>
  <si>
    <t xml:space="preserve"> Procurement of Infrastructure and Construction Supplies   RFQ No. 500</t>
  </si>
  <si>
    <t xml:space="preserve"> Delivery and supply of Construction Materials for the project of  Proposed Right Wing Canopy @ Covered Court, Pagatpat, Cagayan de Oro City</t>
  </si>
  <si>
    <t xml:space="preserve"> 9	drums	Chlorine (Hiclone)				 150	gals	Muriatic				 3	sets	Vacuum Hose, Heavy Duty				 		50 feet with swivel hose cuff for swimming pool				 		*Spiral wound design provides excellent durability				 		*Constructed of heavy duty eva plastic; abrasion 				 </t>
  </si>
  <si>
    <t xml:space="preserve"> SUPPLY OF LABOR AND EQUIPMENT FOR THE REHABILITATION OF PIPELINE AT PUROK 6, BRGY. PALIHAN, HERMOSA</t>
  </si>
  <si>
    <t xml:space="preserve"> Republic of the Philippines MUNICIPALITY OF ECHAGUE Province of Isabela INVITATION TO BID FOR  THE  PROCUREMENT OF  FACE  MASKS 1.	The Local Government Unit , through  the  GENERAL   FUND  Of  2020  intends to apply the sum of  FOUR  HUNDRED FIFTY  THOUSA</t>
  </si>
  <si>
    <t xml:space="preserve"> Republic of the Philippines Province of Oriental Mindoro  MUNICIPALITY OF NAUJAN BIDS AND AWARDS COMMITTEE INVITATION TO BID SUPPLY AND DELIVERY OF ONE (1) UNIT BRAND NEW TEN WHEELER DUMP TRUCK TO BE USED IN THE REHABILITATION AND REPAIR OF DAMAGED ROADS,</t>
  </si>
  <si>
    <t xml:space="preserve"> 1,300 pcs TUPAD Long Sleeves (Green) 13,000 pcs Disposable Face Masks x x x x x x x x x x x x x x x</t>
  </si>
  <si>
    <t xml:space="preserve"> INVITATION TO BID The Iligan City Government Bids and Awards Committee (BAC), through  2016 GENERAL FUND-Proper intends to apply the sum of  P 3,300,000.00 being the Approved Budget for the Contract (ABC) to payments under the Contract for Supply and Deli</t>
  </si>
  <si>
    <t xml:space="preserve"> REPAIR AND MAINTENANCE OF RP VEHICLE BRGY. BUKAL AND BRGY. STO. NIÑO</t>
  </si>
  <si>
    <t xml:space="preserve"> 1.	The Provincial Government of Antique, through the 20% IRA-CY 2020 (Economic Development Sector) intends to apply the sum One Million Nine Hundred Forty Eight Thousand Four Hundred Fifty Four Pesos &amp; 28/100 (Php 1, 948, 454.28) being the Approved Budget</t>
  </si>
  <si>
    <t xml:space="preserve"> NOTICE OF NEGOTIATED PROCUREMENT (Two Failed Biddings) PNOC Exploration Corporation (PNOC EC), under its 2020 Corporate Budget, has a Total Approved Budget for the Contract (ABC) of Fifteen Million Five Hundred Fifty Five Thousand Pesos (Php15,555,000.00)</t>
  </si>
  <si>
    <t xml:space="preserve"> Qty.	Unit	Item Description	 			 1	unit	"Desktop Processor  Model : Intel core i7 – 7700 (8MB Cache, up to 3.6 GHz) Processor Speed, 3 GHZ Turboboost Speed, 3.6 GHz (i7-7700) GPU Model  Intel HD Graphics 630 with shared graphics memory NVIDIA GeForce GTX 7</t>
  </si>
  <si>
    <t xml:space="preserve"> 1.	The Provincial Government of Antique, through the 20% IRA-CY 2020 (Economic Development Sector) intends to apply the sum One Million Four Hundred Fifty Seven Thousand Seven Hundred Thirty Four Pesos &amp; 53/100 (Php 1, 457, 734.53) being the Approved Budg</t>
  </si>
  <si>
    <t xml:space="preserve"> Supply and Delivery of One (1) Lot Office Supplies 400	reams	Bond paper short ( sub 20 ) 150	reams	Bond paper long ( sub 20 ) 1	pcs	        Clear PVC Cover - long (100pcs/pack) (217x331mm)200mic. 3	pcs	       Clear PVC Cover - short (100pcs/pack) 300mic. </t>
  </si>
  <si>
    <t xml:space="preserve"> Letterhead should include the GSIS Logo and the following details: GSIS Malaybalay Branch Office Onda Bldg., Sayre Highway, Casisang 8700 Malaybalay City, Bukidnon</t>
  </si>
  <si>
    <t xml:space="preserve"> Section I. Invitation to Bid FOR THE UPLB-RES-036-08-20  SUPPLY AND DELIVERY OF BRANDED AND BRAND NEW LABORATORY AND SCIENTIFIC EQUIPMENT FOR BIOTECH AND IFST 1.	The UNIVERSITY OF THE PHILIPPINES LOS BAÑOS (UPLB), through the GOP (LB03023001-C0002356: N82</t>
  </si>
  <si>
    <t xml:space="preserve"> The Department of Agriculture-RFO 3, invites interested suppliers/ bidders to submit bid proposal(s) for the hereunder requirement, to wit: 6,250 SACHETS	 PLANT GROWTH ENHANCER (FOLIAR FERTILIZER)	 Specification: - 100 grams / sachet - 14-16% N - 0.25-0.7</t>
  </si>
  <si>
    <t xml:space="preserve"> Republic of the Philippines DR. EMILIO B. ESPINOSA, SR. MEMORIAL STATE COLLEGE  OF AGRICULTURE AND TECHNOLOGY (Masbate State College) http:www.debesmscat.edu.ph Cabitan, Mandaon, Masbate Sir/Madam; The DEBESMSCAT invites suppliers to submit quotations or </t>
  </si>
  <si>
    <t xml:space="preserve"> Republic of the Philippines Province of Bohol Municipality of San Miguel INVITATION TO BID FOR  SUPPLY AND DELIVERY OF HOSPITAL LABORATORY AND CSR SUPPLIES  1.	The Local Government Unit of San Miguel, Bohol, through the 4421 intends to apply the sum of Tw</t>
  </si>
  <si>
    <t xml:space="preserve"> REQUEST FOR QUOTATION The DPWH Quezon III District Engineering Office, Catanauan, Quezon through its Bids and Awards Committee (BAC), invites suppliers/manufacturers/distributors/contractors to apply for quotation for the following: 	Project Reference No	</t>
  </si>
  <si>
    <t xml:space="preserve"> I. DEMOLITION OF EXISTING STRUCTURE II. RCPC incl. Catch Basin III. SUBBASE AND PCCP</t>
  </si>
  <si>
    <t xml:space="preserve"> INVITATION TO BID FOR  GULAYAN SA BARANGAY AND GREEN REVOLUTION PROJECT   LOT 1.   PLANTING MATERIALS ( FRUIT TREES)            LOT 2.    ASSORTED SEEDS              LOT 3.    AGRICULTURAL INPUTS 1.	The City Government of Trece Martires, through the 20 % </t>
  </si>
  <si>
    <t xml:space="preserve"> The Metro Kalibo Water District, through the Bids and Awards Committee (BAC), will undertake Negotiated Procurement (Small Value Procurement) for the SUPPLY AND DELIVERY OF VARIOUS WATER SERVICE CONNECTION MATERIALS FOR MAINTENANCE USE FOR 2ND AND 3RD QUA</t>
  </si>
  <si>
    <t xml:space="preserve"> ITEM DESCRIPTION	QTY.	UNIT 		 		  Thickness gauge	2	pcs.  Surface plate (300x300x50mm) 	1	pc. Steel V-block (75mm) 	1	set  Vernier Caliper (150mm) 	1	pc. Steel V-block (100mm) 	1	 set  Vernier Caliper (300mm) 	1	 pc.  Multi-circuit tester 	1	 unit   Micro</t>
  </si>
  <si>
    <t xml:space="preserve"> Republic of the Philippines Province of  Romblon Municipality of  Magdiwang Barangay Jao-asan -oOo- INVITATION TO BID 002-2020 	CONSTRUCTION OF TWO (2) UNIT COMFORT ROOM	                                                                                     </t>
  </si>
  <si>
    <t xml:space="preserve"> REQUEST FOR QUOTATION The DPWH Quezon III District Engineering Office, Catanauan, Quezon through its Bids and Awards Committee (BAC), invites suppliers/manufacturers/distributors/contractors to apply for quotation for the following: Project Reference No	:</t>
  </si>
  <si>
    <t xml:space="preserve"> Republic of the Philippines Province of Bohol Municipality of San Miguel INVITATION TO BID FOR  SUPPLY AND DELIVERY OF ICT EQUIPMENT AND SUPPLIES  1.	The Local Government Unit of San Miguel, Bohol, through the 7611 &amp; MOOE intends to apply the sum of One H</t>
  </si>
  <si>
    <t xml:space="preserve"> REQUEST FOR QUOTATION The DPWH Quezon III District Engineering Office, Catanauan, Quezon through its Bids and Awards Committee (BAC), invites suppliers/manufacturers/distributors/contractors to apply for quotation for the following: 1.	Project Reference N</t>
  </si>
  <si>
    <t xml:space="preserve"> Republic of the Philippines Province of  Romblon Municipality of  Magdiwang Barangay Jao-asan -oOo- INVITATION TO BID 001-2020 	CONSTRUCTION OF SOLAR DRYER	                                                                                                   </t>
  </si>
  <si>
    <t xml:space="preserve"> Construction of Concrete Road (200mm thk), 0+000 -1+009, L=1.009 km or 2.018 Lkm</t>
  </si>
  <si>
    <t xml:space="preserve"> BALAOAN WATER DISTRICT Viloria St., Brgy. Antonino, Balaoan LA UNION 2517, Philippines Telefax No. (072)607-0360 E-mail Address: balaoanwaterdistrict66@yahoo.com Website:balaoanwaterdistrict.gov.ph                                      Date: ______________</t>
  </si>
  <si>
    <t xml:space="preserve"> PHILIPPINE TEXTILE RESEARCH INSTITUTE								 General Santos Avenue, Bicutan, Taguig City								 Telephone No. 8372071 Local 2373 &amp; 2366; Telefax No. 8370744								 								 Request for Quotation								 								 							Date	29-Jul-20 							Quotation N</t>
  </si>
  <si>
    <t xml:space="preserve"> Republic of the Philippines Province of Albay Municipality of Sto. Domingo Bids and Awards Committee 	 Invitation to Apply for Eligibility and to Bid: 07-05-2020 	The LGU- Sto. Domingo, Albay through its Bids and Awards Committee (BAC) invites Suppliers/M</t>
  </si>
  <si>
    <t xml:space="preserve"> Contract Duration: The service maintenance contract shall commence on the date stipulated in the Notice to Proceed to be issued by Facilities Management and Engineering Department (FMED) to end 31 December 2020 Bidders should have completed from Y2015 to </t>
  </si>
  <si>
    <t xml:space="preserve"> Republic of the Philippines Province of Bohol Municipality of San Miguel INVITATION TO BID FOR  SUPPLY AND DELIVERY OF CONSTRUCTION MATERIALS  1.	The Local Government Unit of San Miguel, Bohol, through the 1918-20, Standby and 20% development fund intends</t>
  </si>
  <si>
    <t xml:space="preserve"> Invitation to Bid The LGU Alangalang, through its Bids and Awards Committee (BAC), invites prospective bidders to apply for eligibility and to bid for the hereunder project: Name of Project   	: CONSTRUCTION OF RESIDUAL CELL WITH TRUCK WEIGHING SCALE AT B</t>
  </si>
  <si>
    <t xml:space="preserve"> 1,306 pcs TUPAD Long Sleeves (Green) 13,060 pcs Disposable Face Masks x x x x x x x x x x x x</t>
  </si>
  <si>
    <t xml:space="preserve"> 1 lot Tarpaulin Printing including fabrication of Frame, delivery and installation at Leyte (Tagbibi, Hindang Leyte &amp; Tugbong, Kananga, Leyte), Southern Leyte (Tigbao, Libagon, Southern Leyte &amp; Mahayahay, St. Bernard, Southern Leyte) and Western Samar (Bu</t>
  </si>
  <si>
    <t xml:space="preserve"> SUPPLIES AND MATERIALS ONLY</t>
  </si>
  <si>
    <t xml:space="preserve"> 1 LOT  Catering Services (Snacks) for the implementation of Negosyo Serbisyo sa Barangay Program on Seven (7) Barangays of  Bontoc, Southern Leyte. Specifications: •	805 total pax @ P 150.00 worth of snacks per pax •	35 runs with 23 pax per run Barangay B</t>
  </si>
  <si>
    <t xml:space="preserve"> 1.	The Provincial Government of Antique, through the 20% IRA-CY 2019 (Social Development Sector) intends to apply the sum One Million Nine Hundred Forty Five Thousand One Hundred Thirteen Pesos &amp; 61/100 (Php 1, 945, 113.61) being the Approved Budget for t</t>
  </si>
  <si>
    <t xml:space="preserve"> Completion for Child Development Center at Sitio Kabutungan, Brgy. Kinablangan, Baganga, Davao Oriental</t>
  </si>
  <si>
    <t xml:space="preserve"> 1.	The Provincial Government of Antique, through the 20% IRA-CY 2020 (Social Development Sector) intends to apply the sum One Million Nine Hundred Sixty Eight Thousand Six Hundred Seventy Four Pesos &amp; 22/100 (Php 1, 968, 674.22) being the Approved Budget </t>
  </si>
  <si>
    <t xml:space="preserve"> IMPROVEMENT OF CANALS WITH COVER AND DECLOGGING (PANGASINAN AND BULACAN ALLEYS), BARANGAY 153, ZONE 13, DISTRICT I, CALOOCAN CITY</t>
  </si>
  <si>
    <t xml:space="preserve"> Construction of Multi-Purpose Hall at Brgy. Kinablangan, Baganga, Davao Oriental</t>
  </si>
  <si>
    <t xml:space="preserve"> Republic of the Philippines Department of Environment and Natural Resources    ENVIRONMENTAL MANAGEMENT BUREAU Region VI, Western Visayas                                                                                    INVITATION FOR NEGOTIATED PROCUREM</t>
  </si>
  <si>
    <t xml:space="preserve"> Construction of Potable Water System at Sitio Pagsingitan to Sitio Luha, Brgy. Saoquigue, Baganga, Davao Oriental</t>
  </si>
  <si>
    <t xml:space="preserve"> Invitation to Bid for the CONSTRUCTION &amp; IMPROVEMENT OF BRGY. HEALTH CENTER, CONSTRUCTION &amp; REHABILITATION OF MULTI-PURPOSE HALL AND CONSTRUCTION OF 92 ln.m. CONCRETE PAVEMENT (92 Ln.m X 4m X 200mm thk. With 150mm Base course) @ BRGY. MARUBAY, LAOANG N. S</t>
  </si>
  <si>
    <t xml:space="preserve"> INVITATION TO BID FOR THE SUPPLY OF LABOR AND MATERIALS FOR  SITE DEVELOPMENT OF DENR RIV-A REGIONAL OFFICE 1.	The Department of Environment and Natural Resources CALABARZON Region, intends to apply the sum of Three Million Six Hundred Thousand Pesos (PhP</t>
  </si>
  <si>
    <t xml:space="preserve"> Republic of the Philippines Province of Sarangani Municipality of Alabel oooOooo INVITATION TO BID FOR PROCUREMENT OF ONE (1) UNIT RESCUE VEHICLE 2.2 L 4x4 Manual Transmission 1.The Municipality of Alabel, through the Disaster Response &amp; Rescue Equipment </t>
  </si>
  <si>
    <t xml:space="preserve"> INVITATION TO BID (National Competitive Bidding) The BFAR XIII, through its Bids and Awards Committee (BAC), invites eligible suppliers to bid for the hereunder contracts: Project Title: Supply and Delivery of Fishing Gears and Paraphernalia for the Imple</t>
  </si>
  <si>
    <t xml:space="preserve"> 20GM00179 – Rental of Service Vehicle for Supervision/Implementation of Regular Infra Projects (August 16-31, 2020) (Equipment Rental Only)</t>
  </si>
  <si>
    <t xml:space="preserve"> REPUBLIC OF THE PHILIPPINES BARANGAY KIMBA KIMBA, LAZI, SIQUIJOR INVITATION TO BID 1.	The Barangay Kimba, Lazi, Siquijor, through the authorized appropriations under the 20% Development Fund CY 2020, intends to apply the sum of Two Hundred Twenty Thousand</t>
  </si>
  <si>
    <t xml:space="preserve"> PURCHASE OF FURNITURE &amp; FIXTURES FOR BARANGAY 153, ZONE 13, DISTRICT I, CALOOCAN CITY</t>
  </si>
  <si>
    <t xml:space="preserve"> INSTALLATION OF RADIO COMMUNICATION EQUIPMENT FOR BARANGAY 153, ZONE 13, DISTRICT I, CALOOCAN CITY</t>
  </si>
  <si>
    <t xml:space="preserve"> Construction of 4m x 6m RCBC in Barangay Pag-alad 	The Municipal Government of San Andres, Romblon through 5% LDRRM Fund-70% (Regular Budget 2020)  intends to apply the sum of Nine Hundred Ninety Eight Thousand Two Hundred Thirty Five Pesos(Php998,235.00)</t>
  </si>
  <si>
    <t xml:space="preserve"> The supplies that are needed to be purchased are essential goods that are intended for the normal course of business of the school. Most of the supplies are to be used for the mitigation of the Covid 19 pandemic and the desire of the school to adapt to th</t>
  </si>
  <si>
    <t xml:space="preserve"> REQUEST FOR BEST AND FINAL OFFER This is in reference to the Department of Health’s Negotiated Procurement (Two Failed Biddings) of Confirmatory Test Reagents for HIV 1 &amp; 2 with Machine Tie-Up  under NP No. 2020 - 034. The Central Office Bids and Awards C</t>
  </si>
  <si>
    <t xml:space="preserve"> INSTALLATION OF AIR-CONDITIONING UNIT (OFFICE EQUIPMENT) FOR BARANGAY 153, ZONE 13, DISTRICT I, CALOOCAN CITY</t>
  </si>
  <si>
    <t xml:space="preserve"> Concreting of Road</t>
  </si>
  <si>
    <t xml:space="preserve"> Republic of the Philippines Province of Bohol Municipality of San Miguel INVITATION TO BID FOR  SUPPLY AND DELIVERY OF NON-PERISHABLE GOODS  1.	The Local Government Unit of San Miguel, Bohol, through the 1091-AUGMENT intends to apply the sum of One Hundre</t>
  </si>
  <si>
    <t xml:space="preserve"> Republic of the Philippines Province of Samar Catbalogan City INVITATION TO BID FOR Goods 2020-018 Supply and Delivery of  Computer Equipment (Laptop and printer)  and Nine (9) units Office Equipment (aircondition) 1.	The City Government of Catbalogan, th</t>
  </si>
  <si>
    <t xml:space="preserve"> 1. Repair and Dredging of Banahaw Creek/Spillway, Barangay Batiano, Baganga, Davao Oriental 2. Dredging of Pagkusahan Creek, Barangay Mahan-ub, Baganga, Davao Oriental</t>
  </si>
  <si>
    <t xml:space="preserve"> PURCHASE OF DRUGS AND MEDICINES AT BARANGAY 153, ZONE 13 DISTRICT I, CALOOCAN CITY</t>
  </si>
  <si>
    <t xml:space="preserve"> Republic of the Philippines Department of Health SOUTHERN ISABELA MEDICAL CENTER Hospital Bids and Awards Committee Brgy. Rosario, Santiago City Philippines ITB NO. 2020-07-018 INVITATION TO BID FOR THE  PROJECT: SUPPLY AND DELIVERY OF AMBULANCE MEDICAL E</t>
  </si>
  <si>
    <t xml:space="preserve"> Republic of the Philippines Province of Bohol Municipality of San Miguel INVITATION TO BID FOR  SUPPLY AND DELIVERY OF MEDICINES AND HOSPITAL PHARMACY SUPPLIES  1.	The Local Government Unit of San Miguel, Bohol, through the 4421 intends to apply the sum o</t>
  </si>
  <si>
    <t xml:space="preserve"> PURCHASE OF OFFICE SUPPLIES FOR BARANGAY 153, ZONE 13, DISTICT I, CALOOCAN CITY</t>
  </si>
  <si>
    <t xml:space="preserve"> Construction of Multi-Purpose Hall at: 1. Sitio Kiagbaan, Brgy. Kinablangan, Baganga, Davao Oriental 2. Sitio Jasmin, Brgy. Kinablangan, Baganga, Davao Oriental 3. Sitio Daisy, Brgy. Kinablangan, Baganga, Davao Oriental</t>
  </si>
  <si>
    <t xml:space="preserve"> School and Office Supplies</t>
  </si>
  <si>
    <t xml:space="preserve"> PURCHASE OF OFFICE EQUIPMENT</t>
  </si>
  <si>
    <t xml:space="preserve"> Repair of RCPC Canal in Poblacion, San Andres, Romblon 	The Municipal Government of San Andres, Romblon through Social Fund (Regular Budget 2020)  intends to apply the sum of Three Hundred Thousand Pesos(Php300,000.00) only  being the Approved Budget for </t>
  </si>
  <si>
    <t xml:space="preserve"> The Department of Agriculture-RFO 3, invites interested suppliers/ bidders to submit bid proposal(s) for the hereunder requirement, to wit: Hybrid Rice Seeds @ 15 kgs/bag 2,782 bags  NSIC Rc540H	 2,782 bags  NSIC Rc132H	 2,782 bags  SL-12H	 Specification </t>
  </si>
  <si>
    <t xml:space="preserve"> ITEM DESCRIPTION	QTY.	UNIT 		 		 Monitor 35"	2	Unit 2TB Hard Drive 	3	Unit Bullet Type Camera	16	Unit Dome Type Camera	2	Unit Power Supply 12V/10A	2	Unit Video and power cable wire	4	rolls cable staple	4	box Flat cord wire # 14	50	meters Utility box	18	18</t>
  </si>
  <si>
    <t xml:space="preserve"> Republic of the Philippines Department of Justice BUREAU OF CORRECTIONS SABLAYAN PRISON AND PENAL FARM Malisbong, Sablayan, Occidental Mindoro 5104 INVITATION TO BID  For The Supply &amp; Delivery of Various Materials and Tools for the Repair of Siburan Sub-P</t>
  </si>
  <si>
    <t xml:space="preserve"> 30  pcs. Bicycles for Adult</t>
  </si>
  <si>
    <t xml:space="preserve"> PLEASE SEE ATTACHED ASSOCIATED COMPONENTS.</t>
  </si>
  <si>
    <t xml:space="preserve"> PURCHASE OF OFFICE SUPPLIES AND MATERIALS</t>
  </si>
  <si>
    <t xml:space="preserve"> The Development Bank of the Philippines - Toledo Branch, through its Regional Bids and Awards Committee (RBAC), invites interested parties to submit price quotations for the Supply and Delivery of the following items, to wit: Specification/Description	   </t>
  </si>
  <si>
    <t xml:space="preserve"> Republic of the Philippines BIDS AND AWARDS COMMITTEE Municipality of Bulusan Reference Number: PG-20-07-018 July 30, 2020 REQUEST FOR QUOTATION The Local Government of Bulusan, through its Bids and Awards Committee (BAC), requests suppliers/manufacturers</t>
  </si>
  <si>
    <t xml:space="preserve"> INSTALLATION OF CCTV CAMERAS AT BARANGAY 153, ZONE 13, DISTRICT I, CALOOCAN CITY</t>
  </si>
  <si>
    <t xml:space="preserve"> INVITATION TO BID The Municipal Government of San Narciso, Quezon through its Bids and Award Committee (BAC), invites registered suppliers with DTI, Mayor’s Permit and PhilGEPS, if found eligible, to bid or the hereunder contract: Name of Contract : 	Cons</t>
  </si>
  <si>
    <t xml:space="preserve"> DP 160-3a, 50.0 LPS @ 84.0 mts TDH, 6"Ø NPT, SS316, submersible pump, coupled to 75.0 Hp, 460 V, 3 phase, 3 wires, 8"Ø Franklin submersible motor  -	1 Set 3C - 50mm²/ #1.0 AWG submersible wire (flat wire preferred) - 84 Meters 6” Ø/150mm Ø X 6.0 mm thick </t>
  </si>
  <si>
    <t xml:space="preserve"> SCHOOL SUPPLIES 800 SETS (SK PROJECT) FOR BARANGAY KAYPIAN</t>
  </si>
  <si>
    <t xml:space="preserve"> PURCHASE OF SOLAR PANEL</t>
  </si>
  <si>
    <t xml:space="preserve"> 1. The Brgy. Government of Paitan, Sta. Maria, Pangasinan, intends to apply the sum of EightyThousand Pesos (Php.80,000.00) being the Approved Budget for the Contract (ABC) to payments. Bids received in excess of the ABC shall be automatically rejected a </t>
  </si>
  <si>
    <t xml:space="preserve"> HYGIENE KIT 800 SETS (SK PROJECT) FOR BARANGAY KAYPIAN</t>
  </si>
  <si>
    <t xml:space="preserve"> TO CONDUCT FLU VACCINATION FOR THE CONSTITUENTS OF BRGY. LIGTONG III.</t>
  </si>
  <si>
    <t xml:space="preserve"> Medical and drugs supplies</t>
  </si>
  <si>
    <t xml:space="preserve"> I N V I T A T I O N   T O   B I D  The Visayas State University through its Bids and Awards Committee (BAC), invites suppliers/manufacturers/distributors to apply for eligibility and to bid for the hereunder project: Name of Project 	:  Supply and Install</t>
  </si>
  <si>
    <t xml:space="preserve"> Invitation to Bid for the Supply and Delivery of Cast Iron (CI) Fittings. Refer to Section VI and Section VII for the Schedule of Requirements and Technical Specifications of the Bidding Documents Schedule of Activities: Issuance of Bid Docs: July 30, 202</t>
  </si>
  <si>
    <t xml:space="preserve"> 20GG0057-G - PROCUREMENT OF ELECTRICAL MATERIALS FOR THE LIGHTING MAINTENANCE OF DPWH - ILOILO 2ND DEO, BALABAG, DUMANGAS, ILOILO</t>
  </si>
  <si>
    <t xml:space="preserve"> Please quote your lowest price on item/s listed in the line item and submit your quotation duly signed by your authorized representative through email at bac.secretariat@pnu.edu.ph not later than August 5, 2020 @ 4PM. Note: 1. Delivery period within fifte</t>
  </si>
  <si>
    <t xml:space="preserve"> DEPARTMENT OF PUBLIC WORKS AND HIGHWAYS Ifugao Second District Engineering Office Aguinaldo, Ifugao INVITATION TO BID The DPWH- Ifugao Second District Engineering Office Aguinaldo, Ifugao, through its Bids and Awards Committee (BAC), invites contractors t</t>
  </si>
  <si>
    <t xml:space="preserve"> ANTI-DRUG (PURCHASE OF DRUG TESTING KIT)</t>
  </si>
  <si>
    <t xml:space="preserve"> PURCHASE OF BRGY. SIGNAGE</t>
  </si>
  <si>
    <t xml:space="preserve"> MACHINERY AND EQUIPMENT</t>
  </si>
  <si>
    <t xml:space="preserve"> Republic of the Philippines BATANGAS STATE UNIVERSITY ARASOF-Nasugbu Nasugbu, Batangas Tel. Nos. (043) 416-0350 loc 105              REQUEST FOR QUOTATION Purchase of Hardware and Construction Supplies for BatStateU-ARASOF Nasugbu   The Batangas State Uni</t>
  </si>
  <si>
    <t xml:space="preserve"> Republic of the Philippines City of Dapitan BIDS AND AWARDS COMMITTEE INVITATION TO BID July 28, 2020 	 The City Government of Dapitan, through its Bids and Awards Committee (BAC), invites interested parties to apply for eligibility and, if found eligible</t>
  </si>
  <si>
    <t xml:space="preserve"> Assorted Supplies</t>
  </si>
  <si>
    <t xml:space="preserve"> 2” Sleeve Type Coupling - 80.00	Pcs 3” Sleeve Type Coupling - 50.00	Pcs 4” Sleeve Type Coupling - 70.00	Pcs 6” Sleeve Type Coupling - 50.00	Pcs 8” Sleeve Type Coupling - 35.00	Pcs Hot dipped galvanized 9/16” x 14” threaded rods with minimum of 4” thread l</t>
  </si>
  <si>
    <t xml:space="preserve"> 1	1	Lot	Supply &amp; Delivery of  GPS Unit 			Description: 	8	Units	Global Positioning System (GPS) Touchscreen Electronic Compass High Sensitivity Receiver (GPS/GLONASS) Wi-Fi, Bluetooth, ANT+ Flashlight 8MP Camera IPX7 Water Rating Note : Subject to 5% VAT </t>
  </si>
  <si>
    <t xml:space="preserve"> To conduct flu vaccination for the constituents of Barangay Silangan II.</t>
  </si>
  <si>
    <t xml:space="preserve"> 66.0 LPS@ 65mTDH SS-316 submersible pump (preferrably DPM 215-2a or equivalent) coupled to 75Hp, 460 volts, 3 phase 8"Ø Franklin submersible motor with 2 pcs-Splicing Kit #3M 82-A3)   - 1 set 4.0 LPS (240 liters per min) @85m TDH pump, SS 316 (preferrably</t>
  </si>
  <si>
    <t xml:space="preserve"> 1	1	Lot	Supply and Delivery of  Medical Supplies 			Item Description: 	10	Boxes	Surgical mask, 50pcs /box 	73	Pcs	Mask. KN95 	25	Bottles	Hand Sanitizer Antibacterial w/ moisturizer, 500ml 	25	Bottles	Liquid Antibacterial Soap w/ moisturizer, 750ml 	5	Boxe</t>
  </si>
  <si>
    <t xml:space="preserve"> The Development Bank of the Philippines - Toledo Branch, through its Regional Bids and Awards Committee (RBAC), invites interested parties to submit price quotations for the Supply, Delivery and Construction of the following, to wit: Specification/Descrip</t>
  </si>
  <si>
    <t xml:space="preserve"> PROPOSED CONSTRUCTION OF LINE CANAL WITH COVER AT BRGY. SAN RAFAEL, SAN PABLO CITY</t>
  </si>
  <si>
    <t xml:space="preserve"> Hiring of Consultant for the Design and Development of Online Peer Education (PE) Program, PE Manual, Job Aids and Monitoring and Evaluation Mechanisms (Duration: August to October 2020)   (See attached Term of Reference TOR) Please attach quotation with </t>
  </si>
  <si>
    <t xml:space="preserve"> Department of Education Region VI-Western Visayas Division of Cadiz City CNHS- Luna Extension High School INVITATION TO BID FOR   Office Supplies 1.	The DepEd,Division of Cadiz City, CNHS- Luna Extension High School, through the Schools MOOE  Fund CY 2020</t>
  </si>
  <si>
    <t xml:space="preserve"> INVITATION TO BID FOR PURCHASE OF FOOD AND NON-FOOD ITEMS FOR STOCKPILE OF FAMILY FOOD PACKS (FFP)   1.	The DEPARTMENT OF SOCIAL WELFARE AND DEVELOPMENT FIELD OFFICE III through its Bids and Awards Committee and the DRMD intends to apply the sum of One Hu</t>
  </si>
  <si>
    <t xml:space="preserve"> Quantity Unit Description 5 pcs.Thermal Scanner 40 boxes Disposable Facemask Surgical 60 pcs. Face Shield 33 boxes Rubber Gloves 10 galons Alcohol Isoprophyl 70% 15 rolls Paper Towel</t>
  </si>
  <si>
    <t xml:space="preserve"> Republic of the Philippines Province of Batangas Nasugbu, Batangas ITB No. 20-12 INVITATION TO BID FOR THE PROCUREMENT  OF GOODS  1.	The Municipal Government of Nasugbu, Batangas through General Fund and SEF Fund intends to apply the sum of ₱ 2,437,709.00</t>
  </si>
  <si>
    <t xml:space="preserve"> 4" Check Valve  - 1 set 3" Check Valve  - 1 set 10" Mechanical Flowmeter with pulser 	- 1 set 6" Mechanical Flowmeter with Pulser  - 1 set 4" Mechanical Flowmeter - 1 set 2" Mechanical Flowmeter - 1 set 6" Y-Strainer - 1	set 4" Y-Strainer - 1	set 2" Y-Str</t>
  </si>
  <si>
    <t xml:space="preserve"> 1.	The Power Sector Assets and Liabilities Management (PSALM) Corporation, through the 2020 Corporate Operating Budget (for the portion of the Contract to be performed in 2020) and 2021 Corporate Operating Budget (for the portion of the Contract to be per</t>
  </si>
  <si>
    <t xml:space="preserve"> GARBAGE WASTE DISPOSAL</t>
  </si>
  <si>
    <t xml:space="preserve"> MAINTENANCE OF MOTOR SERVICE VEHICLE, REPAIR, SERVICING &amp; PARTS</t>
  </si>
  <si>
    <t xml:space="preserve"> Republic of the Philippines Province of Bulacan Municipality of Calumpit INVITATION TO BID The Municipality of Calumpit , Bulacan through its Bids and Awards Committee (BAC), invites all prospective bidders to apply for eligibility and subsequently bid fo</t>
  </si>
  <si>
    <t xml:space="preserve"> This project is dealing of Brgy. Lalaguna, Lopez, Quezon</t>
  </si>
  <si>
    <t xml:space="preserve"> Republic of the Philippines  PROVINCE OF SURIGAO DEL SUR  		MUNICIPALITY OF CARRASCAL	 Barangay Adlay INVITATION FOR BIDS The Barangay Adlay through its Bids and Awards Committee invites sealed bids from eligible supplier for Construction Materials with a</t>
  </si>
  <si>
    <t xml:space="preserve"> Republic of the Philippines BIDS AND AWARDS COMMITTEE Municipality of Bulusan Reference Number: PG-20-07-017 July 30, 2020 REQUEST FOR QUOTATION The Local Government of Bulusan, through its Bids and Awards Committee (BAC), requests suppliers/manufacturers</t>
  </si>
  <si>
    <t xml:space="preserve"> Making of medals</t>
  </si>
  <si>
    <t xml:space="preserve"> DP 160-3a, 60 LPS @ 68mts TDH, 6"Ø NPT,  SS 316, submersible pump, coupled to 75.0 Hp, 460 V, 3 phase, 3 wires, 8"Ø Franklin Submersible motor - 1 set 82-A3 Splicing Kit - 2	pcs 3C - 50mm² / #1.0 AWG submersible wire (flat wire preferred)  - 68 meters VFD</t>
  </si>
  <si>
    <t xml:space="preserve"> INSTALLATION OF STREETLIGHTS AT BARANGAY 153, ZONE 13, DISTRICT I, CALOOCAN CITY</t>
  </si>
  <si>
    <t xml:space="preserve"> PURCHASE OF BUSINESS PLATE</t>
  </si>
  <si>
    <t xml:space="preserve"> * 14 HP Air Cold Diesel Engine * Push Button Starter or Dual * Trailer Type Rim 13 Tubeless Tire * Capacity of 2,500 kilos per hour * w/ Three (3) different screen size * Can pulverize different types of bottles, glass, and rocks * Alternator Type * Dimen</t>
  </si>
  <si>
    <t xml:space="preserve"> please see attached file For further information, please refer to: Mr. Marlon Balitaon Telefax No. 837-8113 loc 318 / 837-2071 loc 2293 Email address: marl_balitaon@yahoo.com</t>
  </si>
  <si>
    <t xml:space="preserve"> INVITATION TO BID Printing, Binding, Packaging and Delivery of Self Learning Modules 1.	The Department of Education, Division of Camiguin Bids and Awards Committee (BAC), through the FY 2019 (GAA) of R.A. 11260 and FY 2020 (GAA) of R.A. no. 11465 intends </t>
  </si>
  <si>
    <t xml:space="preserve"> B.9	Mobilization/Demobilization	lot	all	7,100.00 801	Removal and Relocation of Structures (63mmø HDPE Pipe)	1,040	ln.m.	70,408.00 803(1)	Structure Excavation (Common Soil)	303	cu.m.	138,471.00 804(1)	Embankment From Structure Excavation	300	cu.m.	68,400.0</t>
  </si>
  <si>
    <t xml:space="preserve"> Surplus Common Excavation Structure Excavation Stone Masonry</t>
  </si>
  <si>
    <t xml:space="preserve"> ITEM	QTY.	UNIT		ARTICLE AND DESCRIPTION				CEILING 					UNIT PRICE		TOTAL  								PRICE							 				Office: Department of Tourism, Culture and Arts of Manila				PR No. 927							 				Charge to: Representation Expenses				OBR No. 100-2007-06077							 				</t>
  </si>
  <si>
    <t xml:space="preserve"> B.9	Mobilization/Demobilization	lot	all	7,100 803(1)	Structure Excavation (Common Soil)	183	cu.m.	83,631.00 804(1)	Embankment From Structure Excavation	180	cu.m.	41,040.00 900(1)	Structural Concrete, Class “A”	2.40	cu.m.	15,688 902(1)	Reinforcing Steel (D</t>
  </si>
  <si>
    <t xml:space="preserve"> * Excavation * Masonry Works * Carpentry Works * Plastering Works * PCCP * Layout of Pipe/Accessories</t>
  </si>
  <si>
    <t xml:space="preserve"> B.9	Mobilization/Demobilization	lot	all	14,370.00 801(3)	Reoval of Actual Structures/Obstruction	60	sq.m.	7,320.00 803(1)	Structure Excavation (Common Soil)	368	cu.m.	168,176.00 804(1)	Embankment From Structure Excavation	363	cu.m.	82,945.00 900(1)	Struct</t>
  </si>
  <si>
    <t xml:space="preserve"> Structural Excavation  Installation Layout of Street Lights</t>
  </si>
  <si>
    <t xml:space="preserve"> Repair/Improvement of Drainage Canal, Construct CHB Line Canal 60 Linear meter and Repair and Desilting 50 Linear meter. Spcl 1- 1.00 unit Standard Project Billboard  I      - 1.00 lot Removal of Existing Damage Canal  II     - 39.00 Sq. M Cleaning of Can</t>
  </si>
  <si>
    <t xml:space="preserve"> * Excavation * CHB Wall Works * Installation of Cyclone Wire * Embankment</t>
  </si>
  <si>
    <t xml:space="preserve"> Supply of materials &amp; rental of concrete mixer for the concreting of barangay road</t>
  </si>
  <si>
    <t xml:space="preserve"> Supply And Delivery of Spare Parts for the needs of MENRO Equipment, Brooke’s Point, Palawan</t>
  </si>
  <si>
    <t xml:space="preserve"> SPECIFICATIONS: 540 PIECES MONOBLOC VHAIRS WITH BACKREST WITHOUT ARMREST COLOR WHITE GOOD QUALITY</t>
  </si>
  <si>
    <t xml:space="preserve"> Supply and Delivery of 31 pails Chlorine 70-G (Lot #1) and 13 box Chlorine Test Kit (Lot #2) to be used for the Operation of Water System, Brooke’s Point, Palawan Lot #1 Chlorine: 232,500.00 Lott #2 Test Kit: 20, 800.00</t>
  </si>
  <si>
    <t xml:space="preserve"> QUANTITY                   UNIT                             DESCRIPTION 100                            BOTTLES                       EPSON L3110 - INK 003 BLACK 20                             BOTTLES                        EPSON L3110 - INK 003 CYAN 20   </t>
  </si>
  <si>
    <t xml:space="preserve"> Proposed Construction of Bleachers</t>
  </si>
  <si>
    <t xml:space="preserve"> please see attached</t>
  </si>
  <si>
    <t xml:space="preserve"> Republic of the Philippines PROVINCE OF NUEVA ECIJA City of Palayan INVITATION TO BID FOR  SUPPLY AND DELIVERY OF ANTI-RABIES VACCINES July 30, 2020 1.	The Provincial Government of Nueva Ecija (PGNE), through the General Fund intends to apply the sum of O</t>
  </si>
  <si>
    <t xml:space="preserve"> I. Mobilization II. Demolition Works &amp; Disposal of Concrete Road Fragments III. SPL: Lay-out and Stake-out IV. Item 105: Subgrade Preparation V. Item 201: Aggregate Base Coarse VI. Item 311: Portland Cement Concrete Pavement VII. Construction Safety and H</t>
  </si>
  <si>
    <t xml:space="preserve"> Request for Quotation RFQ No.		SVP-047-2020 MR. No.		11540 &amp; 11541 Requisition No.	20-0110 AREA I Posting Date:         	July 30, 2020 Deadline for Submission:		August 3, 2020 at 9:00 AM Opening Date:	August 3, 2020 at 10:00 AM TO:	Name of Supplier:______</t>
  </si>
  <si>
    <t xml:space="preserve"> Description I.	Signboard II.	Scaffolding III.	Tile Works IV.	Painting Works V.	Construction Safety &amp; Health 1. Barangay Pasil Tanauan, LEYTE through the bids and awards comm.) invites suppliers, distributors of construction materials for the project: Pain</t>
  </si>
  <si>
    <t xml:space="preserve"> One (1) Lot – Maintenance and Technical Support Services for the existing IBM Pure Application System (PureApps) Appliances of the BSP, inclusive of Software Upgrades, Updates, Patches and Fixes, for a period of One (1) Year (for Primary and Remote Sites)</t>
  </si>
  <si>
    <t xml:space="preserve"> improvement of Multi-Purpose Building / Barangay Hall</t>
  </si>
  <si>
    <t xml:space="preserve"> 50.0 Meter length of CHB Line Canal with Bracing and Stiffener and Removal of Existing drainage Canal 40 meters Spcl 1 - 1.00 unit Standard Project Billboard   I       - 1.00 lot removal of existing Damage Canal  II       - 35.00 Sq. M Cleaning of Canal  </t>
  </si>
  <si>
    <t xml:space="preserve"> Modules ( 560 pages) Paper size = Paper size used on layout A4 Paper thickness = 70 GSM (BP) Binding= Saddle stitch Cover = Fold Cote No. 12 (FC#14)(4 color) with  lamination (UV coating) Inside = 1 color / 4 color</t>
  </si>
  <si>
    <t xml:space="preserve"> CONDUCT OF ROAD SURVEY FOR FY 2021 REGULAR INFRASTRUCTURE PROJECTS: MANOLO FORTICH, SUMILAO, LIBONA, MALITBOG, TALAKAG, KALILANGAN &amp; PANGANTUCAN, BUKIDNON 1.	The Department of Public Works and Highways, Bukidnon 3rd District Engineering Office, through it</t>
  </si>
  <si>
    <t xml:space="preserve"> 2 UNITS SURVEYING INSTRUMENT (GPS)	 Specifications:			 Physical &amp; Performance				 * Physical dimensions;  2.9" x 5.7"x				  1.4 "(7.48x14.42x 3.64 cm)				 * Display  size, WxH;  2"W x 3.5"H 				 * Display  size, WxH;  2"W x 3.5"H 				 (5.06x8.93 cm); 4"di</t>
  </si>
  <si>
    <t xml:space="preserve"> Hiring of Individual Consultant/Institutional Service Provider to Design, Development and Pilot-Run of E-Learning Platform for Pre-Marriage Orientation (PMO) and Sexually Healthy and Personally Empowered Adolescent (SHAPE-A) Learning Packages  (Duration A</t>
  </si>
  <si>
    <t xml:space="preserve"> Brief Description of the Project			 Quantity	Unit	Item Description	 1.00	lot	Construction Safety &amp; Occupational Health	 1.00	lot	Mobilization / Demolization	 1.00	lot	Filter Media Placement	 1.00	lot	Repiping of Leaks	 1.00	lot	Descaling and Disinfection </t>
  </si>
  <si>
    <t xml:space="preserve"> Brief Description of the Project			 Quantity	Unit	Item Description	 1.00	lot	General Items	 1.00	lot	Mobilization / Demolization	 62.31	cu.m.	Excavation Works	 39.58	cu.m.	Concrete Works	 1.00	lot	Form Works (rental)	 28.00	sq.m	Masonry Works (blower)	 1.</t>
  </si>
  <si>
    <t xml:space="preserve"> SUBMIT PRICE QUOTATION NOT LATER THAN AUGUST 3, 2020, TO THE BAC SECRETARIAT OFFICE, IMBATUG, BAUNGON, BUKIDNON</t>
  </si>
  <si>
    <t xml:space="preserve"> QUANTITY                  UNIT                   DESCRIPTION 470                           REAMS                  BOND PAPER SUBS 20 - A4 SIZE 200                           PACKS                   STICKY PAPER 40                             PACKS         </t>
  </si>
  <si>
    <t xml:space="preserve"> Purchase of 580 reams of A4 size (hard copy) bond paper to be used for the reproduction of modules for all students of San Lorenzo Ruiz (Elementary and Secondary).</t>
  </si>
  <si>
    <t xml:space="preserve"> Brief Description of the Project			 Quantity	Unit	Item Description	 1.00	lot	Construction &amp; Occupational Health	 1.00	lot	Mobilization	 6.00	cu.m.	Excavation Works	 7.22	cu.m.	Concrete Works	 1.00	lot	Form Works	 59.60	sq.m.	Masonry Works	 46.20	sq.m.	Roo</t>
  </si>
  <si>
    <t xml:space="preserve"> Brief Description of the Project			 Quantity	Unit	Item Description	 1.00	lot	Construction &amp; Occupational Health	 51.02	sq.m.	Ceiling Works	 1.00	lot	Painting Works	 1.30	cu.m.	Concrete Works	 1.00	lot	Iron Works</t>
  </si>
  <si>
    <t xml:space="preserve"> Brief Description of the Project		 Quantity	Unit	Item Description 1.00	lot	Construction Safety &amp; Occupational Health 300.00	sq.m	Excavation 124.00	sq.m	Stone Masonry  96.00 	cu.m.	Backfill</t>
  </si>
  <si>
    <t xml:space="preserve"> DEADLINE OF SUBMISSION AND OPENING OF BIDS: AUGUST 19, 2020, 10:00 A.M. AT THE MUNICIPAL BAC SECRETARIAT OFFICE, IMBATUG, BAUNGON, BUKIDNON</t>
  </si>
  <si>
    <t xml:space="preserve"> Supply and Delivery of Spare parts for the use of Municipal Health Office Vehicle, Brooke’s Point, Palawan</t>
  </si>
  <si>
    <t xml:space="preserve"> SUBMIT PRICE QUOTATION NOT LATER THAN AUGUST 3, 2020, TO THE MUNICIPAL BAC SECRETARIAT OFFICE, IMBATUG, BAUNGON, BUKIDNON</t>
  </si>
  <si>
    <t xml:space="preserve"> DEADLINE OF SUBMISSION AND OPENING OF BIDS: AUGUST 19, 2020, 10:00 A.M. AT THE MUNICIPAL BAC-SECRETARIAT OFFICE, IMBATUG, BAUNGON, BUKIDNON.</t>
  </si>
  <si>
    <t xml:space="preserve"> Brief Description of the Project				 Quantity	Unit	Item Description		 1.00	lot	Construction &amp; Occupational Health		 1.00	lot	Site Clearing		 22.39	cu.m.	Conrete Works		  1.00 	lot	Formworks (rental)		  285.01 	sq.m	Masonry Works 1st &amp; 2nd Floor (includes </t>
  </si>
  <si>
    <t xml:space="preserve"> Procurement of ICT Equipment of POPCOM (Computer Accessories) Items: 1.	Computer Head Set -	91 Pieces 2.	Speaker (Computer)- 6 Pieces Please attach quotation with the ff: 1.	Mayors Permit 2.	PhilGEPS Certification/Registration Number (Snap Shot of Certifi</t>
  </si>
  <si>
    <t xml:space="preserve"> PURCHASE OF COMPUTER</t>
  </si>
  <si>
    <t xml:space="preserve"> CONDUCT OF PARCELLARY SURVEY ALONG 1ST LEGISLATIVE DISTRICT NATIONAL ROADS: SAYRE HIGHWAY (ALAE-KISOLON) 1.	The Department of Public Works and Highways, Bukidnon 3rd District Engineering Office, through its PDE, intends to apply the sum of Php 2,000,000.0</t>
  </si>
  <si>
    <t xml:space="preserve"> I. MASONRY WORKS: A. MATERIALS: 287 BAGS PORTLAND CEMENT 12 m3 WHITE SAND 23 m3 GRAVEL 3/4 4 PCS. COCOLUMBER 2"X4"X12' 5 PCS. RSB 10MMØ 3 KGS. G.I. TIE WIRE #16 5 KGS. CWNAIL ASSTD. 1 PC. ORDINARY PLYWOOD 1/4 X 4" X 8" B. LABOR: 1 FOREMAN 1 SKILLED LABORE</t>
  </si>
  <si>
    <t xml:space="preserve"> Supply and delivery of One (1) unit OF Table Top Electronic Digital Score Board for Basket Ball to be used for Sangguniang Kabataan Activity, Brooke’s Point, Palawan</t>
  </si>
  <si>
    <t xml:space="preserve"> _____________________________ INVITATION TO BID The City Government of Imus, Province of Cavite through its Bid and Awards Committee (BAC) invites bidders/suppliers to apply for the eligibility and to bid for the hereunder projects: 1. REFERENCE NUMBER : </t>
  </si>
  <si>
    <t xml:space="preserve"> Item      No.	Quantity   Unit 	               Description     1	  40	     units	                    Wheelchair (for adult) 				               Specifications: 				                   Seat width – 41 cm 				                   Seat height -50 cm 				         </t>
  </si>
  <si>
    <t xml:space="preserve"> 20GG0056-G - PROCUREMENT OF ROAD SAFETY DEVICES AND SUPPLIES FOR THE USE OF PLANNING AND DESIGN SECTION, DPWH - ILOILO 2ND DEO, BALABAG, DUMANGAS, ILOILO</t>
  </si>
  <si>
    <t xml:space="preserve"> PURCHASE OF OFFICES SUPPLIES FOR THE REPRODUCTION OF IM'S IN PREPARATION FOR THE OPENING OF SCHOOL YEAR ON AUGUST 24, 2020, IN WHICH FACE-FACE INSTRUCTION IS WAIVED DUE TO COVID-19 PANDEMIC (BOND PAPER, STAPLER, STAPLE WIRE, INK)</t>
  </si>
  <si>
    <t xml:space="preserve"> CONSTRUCTION OF FARMERS POST HARVEST FACILITY LOCATED AT PARAS, SANTO DOMINGO, ILOCOS SUR</t>
  </si>
  <si>
    <t xml:space="preserve"> To conduct flu vaccination for the constituents of Barangay Bagbag II.</t>
  </si>
  <si>
    <t xml:space="preserve"> CONCRETING OF FARM TO MARKET ROAD LOCATED AT BARANGAY NAGLAOA-AN, SANTO DOMINGO, ILOCOS SUR</t>
  </si>
  <si>
    <t xml:space="preserve"> Supply and delivery of silent type diesel power generator set 6.5 KVA, Voltage 220 Ccc, H360.</t>
  </si>
  <si>
    <t xml:space="preserve"> CONCRETING OF FARM TO MARKET ROAD LOCATED AT BARANGAY CABARITAN, SANTO DOMINGO, ILOCOS SUR</t>
  </si>
  <si>
    <t xml:space="preserve"> Republic of the Philippines                                       Province of Leyte                            MUNICIPALITY OF ALBUERA                     OFFICE OF THE MUNICIPAL MAYOR OFFICE OF THE BIDS AND AWARDS COMMITTEE INVITATION TO BID 	The Local G</t>
  </si>
  <si>
    <t xml:space="preserve"> CONCRETING OF FARM TO MARKET ROAD LOCATED AT BARANGAY CABIGBIGAAN, SANTO DOMINGO, ILOCOS SUR</t>
  </si>
  <si>
    <t xml:space="preserve"> Invitation to Bid July 29, 2020 1. The Municipality of Tinoc through the Bids and Awards Committee advertised an Invitation to bid for the PACKAGE 15 (A. IMPUGONG-EHEB-TUKUCAN CORE ROAD IMPROVEMENT, B. AMBOTDAN ROAD IMPROVEMENT-TUKUCAN) funded under Year </t>
  </si>
  <si>
    <t xml:space="preserve"> Invitation to Bid July 29, 2020 1. The Municipality of Tinoc through the Bids and Awards Committee advertised an Invitation to bid for the PACKAGE 14 (A. GUMHANG MRF CONSTRUCTION, B. AHBUNAN FP-HAND RAILS CONSTRUCTION-GUMHANG, C. KULOG-MALINGHI FMR IMPROV</t>
  </si>
  <si>
    <t xml:space="preserve"> Construction of Toilet Facilities and Water Facilities</t>
  </si>
  <si>
    <t xml:space="preserve"> REPUBLIC OF THE PHILIPPINES PROVINCE OF PANGASINAN MUNICIPALITY OF TAYUG BARANGAY BARANGOBONG – TAYUG PANGASINAN INVITATION TO BID FOR THE SUPPLY AND DELIVERY OF SIXTEEN (16) UNITS OF CCTV CAMERAS AND ACCESSORIES WITH INSTALLATION 1.	The BARANGAY BARANGOB</t>
  </si>
  <si>
    <t xml:space="preserve"> MATERIALS: 464.03 KGS. 16mm x 6.0m deformed bars, Grade 40, (49 pcs.) 8.50 KGS. #16 G.I. tie wire 533.33 bd. ft. 2"x4"x10" Coco Lumber, (80 pcs.) 4.00 rolls 63mmx60m P.E. Pipes SDR 11, ISO 10 KGS. Assorted CW Nails 5.00 Bags Sahara Water Proofing Cement 3</t>
  </si>
  <si>
    <t xml:space="preserve"> REHABILITATION/CONCRETING OF FARM TO MARKET ROAD LOCATED AT BARANGAY PANGPANGDAN, SANTO DOMINGO, ILOCOS SUR.</t>
  </si>
  <si>
    <t xml:space="preserve"> set	Aluminum &amp; Glass Swing Door(with installation)	1 sets	Aluminum &amp; Glass Sliding Door 2.35mx1.30m ( with installation)	4 Pcs.	CHB #5	95 bags	Fortune Portland Cement	10 tin	Sand S1	42 Pcs.	RSB 10mm dia x 6m	4 Kg.	G.I. Tie Wire #16	0.5 Gal.	Flat Latex	1 G</t>
  </si>
  <si>
    <t xml:space="preserve"> CONSTRUCTION OF REINFORCED CONCRETE BOX CULVERT LOCATED AT BARANGAY NAGLAOA-AN, SANTO DOMINGO, ILOCOS SUR</t>
  </si>
  <si>
    <t xml:space="preserve"> I. LANDSCAPING OF MUNICIPAL HALL GROUNDS, ABC: PhP 347,550.50		 6	pcs.	2"Ø G.I. Pipe sched. 40 28	pcs.	3/4"Ø G.I. Pipe sched. 20 28	pcs.	1.2mm thk. x 2" x2 "  tubular 20	pcs.	10 mm dia. Plain round bar 18	pcs.	6mm. x 1200mm. x 4880mm. Twin wall Polycarbon</t>
  </si>
  <si>
    <t xml:space="preserve"> The DPWH-Regional Office I, through its Bids and Awards Committee (BAC), invites contractors to submit bids for the following Contract: Contract ID: 20A00218 Contract Name: Construction of Makeshift Healthcare Facilities (Quarantine/Isolation Facilities) </t>
  </si>
  <si>
    <t xml:space="preserve"> Republic of the Philippines PROVINCE OF ZAMBALES IBA BIDS AND AWARDS COMMITTEE Invitation to Bid for the Supply and Delivery of Medical and Laboratory Supplies for San Marcelino District Hospital and Candelaria District Hospital  1.	The Provincial Governm</t>
  </si>
  <si>
    <t xml:space="preserve"> INSTALLATION OF PUBLIC ADDRESS SYSTEM FOR BARANGAY 153, ZONE 13, DISTRICT I, CALOOCAN CITY</t>
  </si>
  <si>
    <t xml:space="preserve"> for minor repair</t>
  </si>
  <si>
    <t xml:space="preserve"> Upgrading of School Ground at Sapang Kawayan Elementary School Brgy. Sapang Kawayan,Masantol Pampanga Amounting to Two Hundred Fifty Thousand Pesos (PHP 250,000.00) Funded from the 20% Municipal Development Fund 2020. PROJECT BILLBOARD AND SIGNBOARD EMBAN</t>
  </si>
  <si>
    <t xml:space="preserve"> PURCHASE OF MULTI-PURPOSE MOTORCYCLE FOR BARANGAY 153, ZONE 13, DISTRICT I, CALOOCAN CITY</t>
  </si>
  <si>
    <t xml:space="preserve"> Procurement of A4 Bond Paper</t>
  </si>
  <si>
    <t xml:space="preserve"> 1.	The Department of Public Works and Highways, Regional Office I, through the FY 2020 RA 11465 Regular 2020 CURRENT, intends to apply the sum of Ten Million Nine Hundred Seventeen Thousand Six Hundred Ninety One Pesos and Sixty Six Centavos (Php 10,917,6</t>
  </si>
  <si>
    <t xml:space="preserve"> Republic of the Philippines Province of Samar Catbalogan City INVITATION TO BID FOR GOODS 2020-019 SUPPLY AND DELIVERY OF BLINDS, CITY DIVISION OFFICE 1.	The City Government of Catbalogan, through the Continuing 2019 (Ordinance No. 2020-021) City Division</t>
  </si>
  <si>
    <t xml:space="preserve"> Installation of Plastic Protective Sheets of Negros Oriental and Siquijor Branches.</t>
  </si>
  <si>
    <t xml:space="preserve"> BIDS AND AWARDS COMMITTEE – SECURITY PLANT COMPLEX INVITATION TO BID 1.	The Bangko Sentral ng Pilipinas (BSP), through its Bids and Awards Committee-Security Plant Complex (BAC-SPC), invites Bidders to apply for eligibility and to bid for the hereunder re</t>
  </si>
  <si>
    <t xml:space="preserve"> Republic of the Philippines Department of Health SOUTHERN ISABELA MEDICAL CENTER Hospital Bids and Awards Committee Brgy. Rosario, Santiago City Philippines ITB NO. 2020-07-017 INVITATION TO BID FOR THE  PROJECT: SUPPLY AND DELIVERY OF LAUNDRY EQUIPMENT 1</t>
  </si>
  <si>
    <t xml:space="preserve"> Republic of the Philippines PROVINCE OF ZAMBALES IBA BIDS AND AWARDS COMMITTEE Invitation to Bid for the Supply and Delivery of Drugs and Medicines for Candelaria District Hospital  1.	The Provincial Government of Zambales, through the Trust Fund CY–2020,</t>
  </si>
  <si>
    <t xml:space="preserve"> Construction of Concrete Road (200mm thk), 0+000 -0+850, L=0.850 km or 1.700 Lkm</t>
  </si>
  <si>
    <t xml:space="preserve"> INVITATION TO BID (National Competitive Bidding) The BFAR XIII, through its Bids and Awards Committee (BAC), invites eligible suppliers to bid for the hereunder contracts: Project Title: Materials, Labor and Installation of HDPE Cage Approved Budget of th</t>
  </si>
  <si>
    <t xml:space="preserve"> INVITATION TO BID PB 2020-07-18  1.	The Local Government of Abulug, Cagayan through its 2020  Annual Budget - Capital Outlay of the Office of the Mayor  intends to apply the sum of TWO MILLION EIGHT HUNDRED THOUSAND PESOS (P2,800,000.00) being the Approve</t>
  </si>
  <si>
    <t xml:space="preserve"> Fuel – Diesel</t>
  </si>
  <si>
    <t xml:space="preserve"> Installation and Delivery of Public  Address Sysytem</t>
  </si>
  <si>
    <t xml:space="preserve"> 6 cart - Toner Cartridge HP CF 400A (HP201A) Black, Original, Laserjet 3 cart - Toner Cartridge, HP CF210A, Black, Original 2 cart - Toner Cartridge, HP CF211A, Cyan, Original 2 cart - Toner Cartridge, HP CF212A, Yellow, Original 2 cart - Toner Cartridge,</t>
  </si>
  <si>
    <t xml:space="preserve"> 1.) 1 unit Advanced Aluminum Travel Tripod Lever, ball head 2.) 1 unit Handheld Gimbal with Free Servo Follow Focus 3.2kg Payload 3.) 1 unit Blink 500 B2 2-Person Digital Camera-Mount Wireless Omni Lavalier Microphones System (2.4 GHz) 4.) 1 unit E-mount </t>
  </si>
  <si>
    <t xml:space="preserve"> CONCRETING OF FARM TO MARKET ROAD LOCATED AT BARANGAY PANGPANGDAN, SANTO DOMINGO, ILOCOS SUR</t>
  </si>
  <si>
    <t xml:space="preserve"> work items includes roofing works, construction of lavatory and flooring, tile &amp; plumbing works, repair of roofing &amp; roof deck &amp; replacement of ceiling</t>
  </si>
  <si>
    <t xml:space="preserve"> Work items includes concrete works, masonry and plastering works, steel works, ceiling and tiling works, painting and tinsmithry works</t>
  </si>
  <si>
    <t xml:space="preserve"> Use for Awuyon Municipal Community Hospital use.</t>
  </si>
  <si>
    <t xml:space="preserve"> Work items includes base preparation, aggregate base course, PCCP Plain, grouted riprap, replacement of broken RC Pipe culvert &amp; embankment on shoulders</t>
  </si>
  <si>
    <t xml:space="preserve"> REQUEST FOR EXPRESSION OF INTEREST (REOI) Contract ID:  20CSGG0002 Contract Name:  SUB-SURFACE EXPLORATION FOR THE PROPOSED REHABILITATION/ RECONSTRUCTION OF NATIONAL ROADS WITH SLIPS, SLOPE COLLAPSE, LANDSLIDE ALONG NATIONAL ROADS, CONSTRUCTION/MAINTENAN</t>
  </si>
  <si>
    <t xml:space="preserve"> work items includes installation of RC Pipe Culvert with headwalls  and grouted riprap (slope protection)</t>
  </si>
  <si>
    <t xml:space="preserve"> work items includes construction of drainage canal, reblocking of dilapidated concrete pavement and widening of road</t>
  </si>
  <si>
    <t xml:space="preserve"> Supply of Construction Materials</t>
  </si>
  <si>
    <t xml:space="preserve"> Second hand Sports Utility Vehicle Gasoline Net Capacity: 1250 Cylinder : 4 Net Weight:   1250 Manual Transmission</t>
  </si>
  <si>
    <t xml:space="preserve"> Republic of the Philippines PROVINCE OF AKLAN Municipality of Tangalan INVITATION TO BID  IMPROVEMENT OF PARKS AND PLAZA  Project Reference No.: SF-GOODS:2020-008-006 Approved Budget for the Contract: Php 833, 530.00 Source of Fund: 20% Development Fund f</t>
  </si>
  <si>
    <t xml:space="preserve"> Republic of the Philippines PROVINCE OF AKLAN Municipality of Tangalan INVITATION TO BID  Improvement/Repair of Tangalan Sports &amp; Cultural Center (Materials Only) Project Reference No.: SF-GOODS:2020-004-003A Approved Budget for the Contract: Php 300, 000</t>
  </si>
  <si>
    <t xml:space="preserve"> Repainting of wall exterior face of Municipal Government bldg: Repair of second floor exterior ceiling and waterproofing of second floor roof deck and pre-painted roofings.</t>
  </si>
  <si>
    <t xml:space="preserve"> Republic of the Philippines Province of Bohol Municipality of San Miguel INVITATION TO BID FOR  SUPPLY AND DELIVERY OF OFFICE SUPPLIES  1.	The Local Government Unit of San Miguel, Bohol, through the MOOE, 1% PC AND 1% SC intends to apply the sum of One Hu</t>
  </si>
  <si>
    <t xml:space="preserve"> PURCHASE OF FURNITURE AND FIXTURE</t>
  </si>
  <si>
    <t xml:space="preserve"> 1.	The Provincial Government of Batanes, through the Provincial Appropriations Ordinance No. 03 series of 2019 (20% Development Fund) intends to apply the sum of Five Hundred Seven Thousand Five Hundred Thirty-Seven Pesos Only (₱ 507,537.00), being the Ap</t>
  </si>
  <si>
    <t xml:space="preserve"> Writing &amp; Counting Books</t>
  </si>
  <si>
    <t xml:space="preserve"> ITEM NO.      QUANTITY          UNIT          DESCRIPTION      1.            22                     CU.M          HEAD SIZE BOULDERS      2.            45                     CU.M          SELECT FILLING MATERIALS      3.            6                     </t>
  </si>
  <si>
    <t xml:space="preserve"> 1.	The Provincial Government of Batanes, through the Provincial Appropriations Ordinance No. 03 series of 2019 intends to apply the sum of Fifty Thousand Pesos Only (₱ 50,000.00), being the Approved Budget for the Contract (ABC) to payments under the cont</t>
  </si>
  <si>
    <t xml:space="preserve"> Description Item No. | Description | Unit | Quantity SPL I | Mobilization / Hauling Of Materials | m2 | 50.40 SPL II | Removal of Existing Dilapidated Steel Flooring &amp; Railing / Clearing | m2 | 67.50 SPL III | Flat Bar Flooring / GI Pipe Railing | m2 | 32</t>
  </si>
  <si>
    <t xml:space="preserve"> Republic of the Philippines PROVINCE OF LEYTE MUNICIPALITY OF LEYTE BARANGAY PALID I -oOo- INVITATION TO BID FOR REHABILITATION/IMPROVEMENT OF WATER SYSTEM SO. KAMALIG, BRGY. PALID I, LEYTE, LEYTE P.R No: 00-01-20 The Sangguniang Barangay of Palid I Leyte</t>
  </si>
  <si>
    <t xml:space="preserve"> Republic of the Philippines Province of Samar Municipality of Sta. Margarita INVITATION TO BID FOR  PROCUREMENT OF BOWA MULTI TILLING MACHINE WITH COMPLETE ACCESSORIES 1.	The Municipal Government of Sta. Margarita, Samar, through the Annual Budget of 2020</t>
  </si>
  <si>
    <t xml:space="preserve"> Republic of the Philippines Province of Guimaras OFFICE OF THE BIDS AND AWARDS COMMITTEE INVITATION TO BID FOR    SUPPLY AND DELIVERY OF CONSTRUCTION SUPPLIES Bid Ref. No. 2020-07-435 1.	The Province of Guimaras , through the Repair and Maintenance-Buildi</t>
  </si>
  <si>
    <t xml:space="preserve"> Republic of the Philippines Province of Samar Municipality of Sta. Margarita INVITATION TO BID FOR  PROCUREMENT OF RICE TRANSPLANTER  (WALK BEHIND) 1.	The Municipal Government of Sta. Margarita, Samar, through the Annual Budget of 2020   intends to apply </t>
  </si>
  <si>
    <t xml:space="preserve"> CONSTRUCTION OF SLOPE PROTECTION AT BARANGAY NAGBETTEDAN, SANTO DOMINGO,ILOCOS SUR</t>
  </si>
  <si>
    <t xml:space="preserve"> Republic of the Philippines Province of Samar Municipality of Sta. Margarita INVITATION TO BID FOR  PROCUREMENT OF BOOKS FOR  DAY CARE AND SNP CHILDREN  1.	The Municipal Government of Sta. Margarita, Samar, through the Annual Budget of 2020   intends to a</t>
  </si>
  <si>
    <t xml:space="preserve"> Prospective bidders should have experience in undertaking a similar project within the last two (2) years with an amount of at least 50% of the proposed project for bidding and have key personnel and equipment (owned, leased or under purchase) available f</t>
  </si>
  <si>
    <t xml:space="preserve"> CONCRETING/REBLOCKING Item No.	Description 	Unit	Quantity PART A 	GENERAL REQUIREMENTS		 a	Project Billboard	Unit	 1.00  b	Mobilization/Demobilization	Lot	 1.00  PART B 			 101(3)a2	Removal of Existing Concrete Pavement (for reblocking at intermettent sec</t>
  </si>
  <si>
    <t xml:space="preserve"> ROAD CONCRETING OF 134 METERS Item No.	Description 	Unit	Quantity PART A 	GENERAL REQUIREMENTS		 a	Project Billboard	unit	 1.00  b	Mobilization/Demobilization	LS	 1.00  PART B 	Roads		 105	Subgrade Preparation	sq.m.	 670.00  201	Aggregate Base Course	cu.m</t>
  </si>
  <si>
    <t xml:space="preserve"> ROAD CONCRETING Item No.	Description 	Unit	Quantity PART A	GENERAL REQUIREMENTS		 a	Const.Safety and Health Program	LS	 1.00  b	Project Billboard	Unit	 1.00  c	Mobilization/Demobilization	Lot	 1.00  PART B	ROADS		 105	Subgrade Preparation	sq.m.	 936.00  2</t>
  </si>
  <si>
    <t xml:space="preserve"> INVITATION TO APPLY FOR ELIGIBILITY AND TO BID Approved Budget for the Contract: ₱511,543.00 ITB No. 2020-022 Bidding 1.	The Municipality of Mendez-Nuñez, through 20% General Fund intends to apply the sum of Five Hundred Eleven Thousand Five Hundred Forty</t>
  </si>
  <si>
    <t xml:space="preserve"> Republic of the Philippines Province of Samar Municipality of Sta. Margarita INVITATION TO BID FOR  PROCUREMENT OF VARIOUS MEDICINES AND MEDICIAL SUPPLIES 1.	The Municipal Government of Sta. Margarita, Samar, through the Annual Budget of 2020   intends to</t>
  </si>
  <si>
    <t xml:space="preserve"> 20GM00177 – Rental of Service Vehicle Chargeable to CY 2020 Annual Maintenance Work Program (AMWP) for Inspection and Supervision of Routine/Periodic Maintenance for Roads and Bridges (August 16-31, 2020) (Equipment Rental Only)</t>
  </si>
  <si>
    <t xml:space="preserve"> The Zamboanga State College of Marine Sciences and Technology (ZSCMST), through its Bids and Awards Committee, is inviting PhilGeps registered suppliers to apply for eligibility and to submit bids for the items mentioned hereunder: B-046-2020-A	 SUPPLY, D</t>
  </si>
  <si>
    <t xml:space="preserve"> Invitation to Bid for the PIPELAYING OF 100MM PARALLEL PIPELINES IN BACAG WEST-HIGHWAY in Barangay Bacag West, Villasis, Pangasinan 1.	The VILLASIS WATER DISTRICT, through the 2020 CORPORATE BUDGET APPROVED BY THE GOVERNING BOARDS intends to apply the sum</t>
  </si>
  <si>
    <t xml:space="preserve"> INVITATION TO APPLY FOR ELIGIBILITY AND TO BID Approved Budget for the Contract: ₱813,936.00 ITB No. 2020-020 Bidding 1.	The Municipality of Mendez-Nuñez, through 20% Development Fund of General Fund and Trust Fund intends to apply the sum of Eight Hundre</t>
  </si>
  <si>
    <t xml:space="preserve"> REQUEST FOR QUOTATION Date:	July 28, 2020 RFQ No.:	20-07-0061 							 Name of Company:	 Address:	 	 Business Permit No.:	 TIN:	 PhilGEPS Registration No.:	 Please quote your best offer for the item/s described below, subject to the Terms and Conditions pr</t>
  </si>
  <si>
    <t xml:space="preserve"> Materials &amp; Labor</t>
  </si>
  <si>
    <t xml:space="preserve"> SIX (6) UNITS OF BIOMETRIC FACE AND FINGERPRINT TIME ATTENDANCE WITH ACCESS CONTROL SYSTEM AND ID CARD FOR THE UPGRADING OF DILGR2 REGIONAL OFFICE AND PROVINCIAL OFFICES FINGERPRINT ATTENDANCE TERMINAL TO MULTI BIOMETRICS SYSTEM</t>
  </si>
  <si>
    <t xml:space="preserve"> Please quote your lowest price on the item/s listed below, subject to the General Conditions on 						 the last page, stating the shortest time of delivery and submit your quotation duly signed by your 						 representative not later than   ______________</t>
  </si>
  <si>
    <t xml:space="preserve"> INVITATION TO APPLY FOR ELIGIBILITY AND TO BID Approved Budget for the Contract: ₱4,165,060.00 ITB No. 2020-021 Bidding 1.	The Municipality of Mendez-Nuñez, through 20% Development Fund of General Fund intends to apply the sum of Four Million One Hundred </t>
  </si>
  <si>
    <t xml:space="preserve"> '1 lot Tarpaulin Printing including fabrication of Frame, delivery and installation at Albay (Malinao &amp; Libon), Sorsogon (Gubat &amp; Bulan) and Camarine Sur (Lagonoy &amp; San Fernando). 6pieces 'Tarpaulin Printing, 6 Pieces Size: (4 ft x 8 ft) tarpaulin blackou</t>
  </si>
  <si>
    <t xml:space="preserve"> 20GM00175 – Rental of Service Vehicle for Road Slope and Survey Investigation Activities for DPWH Projects (August 17-31, 2020) (Equipment Rental Only)</t>
  </si>
  <si>
    <t xml:space="preserve"> Republic of the Philippines Province of Samar Municipality of Sta. Margarita INVITATION TO BID FOR  PROCUREMENT OF MODULAR TENT INDOOR 1.	The Municipal Government of Sta. Margarita, Samar, through the Annual Budget of 2020   intends to apply the sum of Th</t>
  </si>
  <si>
    <t xml:space="preserve"> 1.	The Provincial Government of Antique, through the 20% IRA-CY 2020 (Social Development Sector) intends to apply the sum One Million Four Hundred Fifty Eight Thousand Nine Hundred Eighty Seven Pesos &amp; 49/100 (Php 1, 458, 987.49) being the Approved Budget</t>
  </si>
  <si>
    <t xml:space="preserve"> 1.             The Local Government Unit of Pasil,  through the General Fund 2019 Savings  intends to apply the sum of One Hundred Fifty Thousand Pesos Only (P150,000.00) being the Approved Budget for the Contract (ABC) to payments under the contract for </t>
  </si>
  <si>
    <t xml:space="preserve"> various hemodialysis  supplies</t>
  </si>
  <si>
    <t xml:space="preserve"> 1.	The Provincial Government of Antique, through the 20% IRA-CY 2020 (Economic Development Sector) intends to apply the sum One Million Nine Hundred Forty Seven Thousand One Hundred Two Pesos &amp; 54/100 (Php 1, 947, 102.54) being the Approved Budget for the</t>
  </si>
  <si>
    <t xml:space="preserve"> ROAD CONCRETING Item No.	Description 	Unit	Quantity PART A 	GENERAL REQUIREMENTS		 a	Const.Safety and Health Program	LS	 1.00  b	Project Billboard	Unit	 1.00  c	Mobilization/Demobilization	Lot	 1.00  PART B 	ROAD CONCRETING		 I	Removal of Existing Concret</t>
  </si>
  <si>
    <t xml:space="preserve"> Republic of the Philippines PROVINCE OF LEYTE MUNICIPALITY OF LEYTE BARANGAY PALID I -oOo- INVITATION TO BID FOR CONSTRUCTION OF FLOOD CONTROL BRGY. PALID I LEYTE, LEYTE P.R No: 00-02-20 The Sangguniang Barangay of Palid I Leyte, Leyte through its Bids an</t>
  </si>
  <si>
    <t xml:space="preserve"> 1.	The Provincial Government of Batanes, through the Provincial Appropriations Ordinance No. 03 series of 2019 (20% Development Fund) intends to apply the sum of Two Million Pesos Only (₱ 2,000,000.00), being the Approved Budget for the Contract (ABC) to </t>
  </si>
  <si>
    <t xml:space="preserve"> INVITATION TO BID Purchase of Medicines (Anti-Rabies) The Local Government Unit of Barangay Labangal, General Santos City, through the Barangay Fund, intends to apply the sum of Ninety Eight Thousand Pesos Only (P98,000.00) being the Approved Budget for t</t>
  </si>
  <si>
    <t xml:space="preserve"> 1.	The Provincial Government of Batanes, through the Provincial Appropriations Ordinance No. 03 series of 2019 (20% Development Fund) intends to apply the sum of One Million Pesos Only (₱ 1,000,000.00), being the Approved Budget for the Contract (ABC) to </t>
  </si>
  <si>
    <t xml:space="preserve"> INVITATION TO BID The City Government of Pasay, through its Bids and Awards Committee (BAC) invites suppliers/manufacturers/distributors/contractors to apply and submit sealed bids for the supply and delivery of the following: Supply and delivery of one (</t>
  </si>
  <si>
    <t xml:space="preserve"> 1.	The Provincial Government of Batanes, through the 5% Calamity Fund intends to apply the sum of Five Million Eight Hundred Twenty Thousand Pesos Only (₱ 5,820,000.00), being the Approved Budget for the Contract (ABC) to payments under the contract for S</t>
  </si>
  <si>
    <t xml:space="preserve"> Republic of the Philippines Province of Davao de Oro MUNICIPALITY OF MONTEVISTA BIDS AND AWARDS COMMITTEE 		 Reference No:  CB-2020-017 INVITATION TO BID FOR FUEL, OIL AND LUBRICANTS 1. 	The Municipality of  Montevista, Compostela Valley Province, through</t>
  </si>
  <si>
    <t xml:space="preserve"> Republic of the Philippines Province of Davao Occidental MUNICIPALITY OF SARANGANI Invitation to Bid CONSTRUCTION OF MULTI-PURPOSE BUILDING (BODEGA) (8000-2-2-15) MABILA, SARANGANI, DAVAO OCCIDENTAL. The Municipality of Sarangani, through 20% Devt.  Fund </t>
  </si>
  <si>
    <t xml:space="preserve"> Republic of the Philippines  City of Tacurong  BARANGAY SAN PABLO    BIDS AND AWARDS COMMITTEE    INVITATION TO BID    The Barangay Government of San Pablo through the bids and Awards Committee (BAC) is inviting suppliers to bid for the supply and deliver</t>
  </si>
  <si>
    <t xml:space="preserve"> Republic of the Philippines					 PROVINCE OF ZAMBOANGA DEL NORTE					 Municipality of President Manuel A. Roxas					 BARANGAY PIAO BIDS AND AWARDS COMMITTEE					 INVITATION TO BID					           Invitation is hereby given for the Supply and Delivery of IN</t>
  </si>
  <si>
    <t xml:space="preserve"> Republic of the Philippines Province of Leyte MUNICIPALITY OF TABANGO Invitation to Bid for Rehabilitation of Multi-Purpose Hall Brgy. Omaganhan, Tabango, Leyte 1.	The Barangay Government of Omaganhan, Tabango, Leyte through the AIP 2020  intends to apply</t>
  </si>
  <si>
    <t xml:space="preserve"> Republic of the Philippines Province of Leyte MUNICIPALITY OF TABANGO Invitation to Bid for Pathway Concreting (Sitio Proper – Habyan) Brgy. Butason I, Tabango, Leyte 1.	The Barangay Government of Butason I, Tabango, Leyte through the AIP 2020  intends to</t>
  </si>
  <si>
    <t xml:space="preserve"> Fabrication/Construction of Steel Garbage Can with Steel Frame</t>
  </si>
  <si>
    <t xml:space="preserve"> Republic of the Philippines Province of Guimaras OFFICE OF THE BIDS AND AWARDS COMMITTEE INVITATION TO BID FOR    SUPPLY AND DELIVERY OF RISOGRAPH/DIGITAL DUPLICATOR Bid Ref. No. 2020-07-425 1.	The Province of Guimaras , through the OFFICE EQUIPMENT OUTLA</t>
  </si>
  <si>
    <t xml:space="preserve"> Description of Works to be Done Steel Grills &amp; Steel Lights Decoration...............39.16 Land Scaping (Grass &amp; Plants)........................25.20 Stage and Lawn...........................................11.75 Comfort Room..............................</t>
  </si>
  <si>
    <t xml:space="preserve"> Invitation to Bid Republic of the Philippines Province of Marinduque Torrijos BIDS AND AWARDS COMMITTEE INVITATION TO BID FOR THE CONSTRUCTION OF BOLO-PULANG LUPA ROAD 1.	The MUNICIPALITY OF TORRIJOS, through the LGSF – AM  2020 intends to apply the sum o</t>
  </si>
  <si>
    <t xml:space="preserve"> Republic of the Philippines Province of Guimaras OFFICE OF THE BIDS AND AWARDS COMMITTEE INVITATION TO BID FOR    SUPPLY AND DELIVERY OF LAPTOP Bid Ref. No. 2020-07-434 1.	The Province of Guimaras , through the Office Equipment Capital Outlay intends to a</t>
  </si>
  <si>
    <t xml:space="preserve"> Department of Public Works and Highways SAMAR FIRST DISTRICT ENGINEERING OFFICE OFFICE OF THE DISTRICT ENGINEER Calbayog City INVITATION TO BID  1.	The DPWH-Samar First District Engineering Office, Calbayog City , through the Sub-Allotment Advice No. with</t>
  </si>
  <si>
    <t xml:space="preserve"> ITEM  DESCRIPTION     UNIT  QUANTITY 1.0     General Requirements    lot   1.00 2.0     Earthworks      sq.m 124.00 3.0     Concrete works (include ramp on fill)  cu.m 34.70 4.0    Formworks   sq.m  130.33 5.0    Reinforcing steel bars   kg  2,381.92 6.0 </t>
  </si>
  <si>
    <t xml:space="preserve"> Republic of the Philippines DEPARTMENT OF PUBLIC WORKS AND HIGHWAYS CAMARINES SUR 1st DISTRICT ENGINEERING OFFICE REGIONAL OFFICE V Baras, Canaman, Camarines Sur INVITATION TO BID The      DPWH -Camarines Sur 1st DEO, through its Bids and Awards Committee</t>
  </si>
  <si>
    <t xml:space="preserve"> INVITATION TO BID The City Government of Pasay, through its Bids and Awards Committee (BAC) invites suppliers/manufacturers/distributors/contractors to apply and submit sealed bids for the supply and delivery of the following: Proposed PEST CONTROL SERVIC</t>
  </si>
  <si>
    <t xml:space="preserve"> 1.	The Provincial Government of Batanes, through the Provincial Appropriations Ordinance No. 03 series of 2019 intends to apply the sum of Sixty-One Thousand Four Hundred Twenty Pesos Only (₱ 61,420.00), being the Approved Budget for the Contract (ABC) to</t>
  </si>
  <si>
    <t xml:space="preserve"> 1	GI sq. tube 1-1/2” x 1-1/2” x 1.5mm	3	pcs	 	  2	GI sq.tube 2” x 2” x 1.5mm	10	pcs	 	  3	Welding rod	8	kgs	 	  4	Tekscrew #2	50	kgs	 	  5	Cutting disc #4	3	pcs	 	  6	Grinding disc #4	2	pcs	 	  7	Red Oxide	1	gal	 	  8	Paint brush #2	2	pcs	 	  9	Paint roll</t>
  </si>
  <si>
    <t xml:space="preserve"> Republic of the Philippines CITY OF PANABO Province of Davao del Norte BIDS AND AWARDS COMMITTEE -o0o- INVITATION TO BID 													July 29, 2020 1.	The City Government of Panabo, through the source of fund as indicated below intends to apply the sum as</t>
  </si>
  <si>
    <t xml:space="preserve"> REQUEST FOR EXPRESSION OF INTEREST (REOI) FOR CONSULTING SERVICES  19CSK00053 – Consulting Services for the Conduct of Soil Testing/Exploration for Bridge Projects - Geotechnical Investigation - Construction of Pigsuotan Bridge, Brgy. Mandulog, Iligan Cit</t>
  </si>
  <si>
    <t xml:space="preserve"> Brief Description		:   		A. Removal of Dilapidated concrete pavement, Roadway Excavation, Aggregate base course of Road and Shoulder and Concreting of 129 L.m. x 6.10 m x 0.20 m thk road. 		B. Removal of Existing Structure, Roadway Excavation, Backfilling</t>
  </si>
  <si>
    <t xml:space="preserve"> PLEASE SEE ATTACHED INVITATION TO BID.</t>
  </si>
  <si>
    <t xml:space="preserve"> REPUBLIC OF THE PHILIPPINES																																		 	PROVINCE OF ZAMBOANGA DEL NORTE																																		 	MUNICIPALITY OF PRES. MANUEL A. ROXAS																																		 	BIDS AND AWARDS COMMITTEE																											</t>
  </si>
  <si>
    <t xml:space="preserve"> Republic of the Philippines Province of Guimaras OFFICE OF THE BIDS AND AWARDS COMMITTEE INVITATION TO BID FOR    SUPPLY AND DELIVERY OF MEDICAL SUPPLIES Bid Ref. No. 2020-07-423 1.	The Province of Guimaras , through the Revolving Fund (BEH) intends to ap</t>
  </si>
  <si>
    <t xml:space="preserve"> 1.	The Provincial Government of Batanes, through the Provincial Appropriations Ordinance No. 03 series of 2019 intends to apply the sum of Seventy-Five Thousand Pesos Only (₱ 75,000.00), being the Approved Budget for the Contract (ABC) to payments under t</t>
  </si>
  <si>
    <t xml:space="preserve"> REPUBLIC OF THE PHILIPPINES  CITY OF ILOILO BIDS AND AWARDS COMMITTEE Office of the BAC Secretariat, 7th Floor, Iloilo City Hall, Plaza Libertad, Iloilo City 5000 Philippines Tel No.:  033-333-111 loc. 730		E-mail: bac.iloilocity@gmail.com REQUEST FOR QUO</t>
  </si>
  <si>
    <t xml:space="preserve"> 12,500	Li	Fuel, Diesel 200	Li	Oil Engine #30 50	Li	Oil Engine, Diesel, 15W40 20	Li	Oil, Hydraulic #10</t>
  </si>
  <si>
    <t xml:space="preserve"> INVITATION TO BID FOR Procurement of Infra (Safe Closure and Rehabilitation of Dampas Dumpsite) The City Government of Tagbilaran, through the Trust Fund (Bureau of Treasury-Environmental Management Bureau Region VII), intends to apply the sum of Seven Mi</t>
  </si>
  <si>
    <t xml:space="preserve"> REQUEST FOR EXPRESSION OF INTEREST (REOI) FOR CONSULTING SERVICES  19CSK00056 – Consulting Services for the Conduct of Soil Testing/Exploration for Bridge Projects - Geotechnical Investigation - Construction of Bridge, Cagayan de Oro Diversion Road, Jct. </t>
  </si>
  <si>
    <t xml:space="preserve"> INFRA 2020-06-042 IMPROVEMENT/ CONSTRUCTION OF DRAINAGE SYSTEM AT BRGY. TULAY, MINGLANILLA, CEBU 1.	The MUNICIPALITY OF MINGLANILLA, through the Local Fund intends to apply the sum of   Three Million  Four  Hundred  Eighty  Nine  Thousand  Eighty Eight Pe</t>
  </si>
  <si>
    <t xml:space="preserve"> Invitation to Bid No. 2020-01 Republic of the Philippines Batangas City Invitation to Bid for the Purchase of Various Medicines for the use of Barangay San Pedro, Batangas City. The Barangay Government through the Office of the Brgy. Chairman intends to a</t>
  </si>
  <si>
    <t xml:space="preserve"> INFRA 2020-06-043 IMPROVEMENT  OF BRGY. LINAO COVERED COURT/ MULTI-PURPOSE HALL AT LINAO, MINGLANILLA, CEBU 1.	The MUNICIPALITY OF MINGLANILLA, through the Local Fund intends to apply the sum of   Two  Million  Three  Hundred  Twenty  One  Thousand  Five </t>
  </si>
  <si>
    <t xml:space="preserve"> FINANCIAL PROPOSAL																								 NEGOTIATED PROCUREMENT																								 DUE TO TWO-FAILED BIDDINGS																								 																								 	Company Name 			:																				 	Address                			:																				 	</t>
  </si>
  <si>
    <t xml:space="preserve"> INVITATION TO BID The Provincial Government of Palawan through its Bids and Awards Committee (BAC) invites suppliers/manufacturers/ distributors/contractors to apply for eligibility and to bid for the hereunder project. Name of the Project       : Procure</t>
  </si>
  <si>
    <t xml:space="preserve"> INVITATION TO BID The __DEPARTMENT OF PUBLIC WORKS AND HIGHWAYS - DISTRICT ENGINEER’S OFFICE ZAMBOANGA CITY__, through its Bids and Awards Committee (BAC), invites contractors to submit bids for the following Contract: Contract ID: 20JA0092  (RE-ADVERTISE</t>
  </si>
  <si>
    <t xml:space="preserve"> NO	UNIT	DESCRIPTION	QTY 1	pcs	Mixing Bowl (medium. Stainless)	3 2	sets	Measuring Cup &amp; spoon (stainless)	2 3	unit	Electric hand Mixer	1 4	packs	Puto Molder (plastic, medium)10's	3 5	units	Streamer (2 layers, Big)	1 6	pcs	Strainer (metal,big)	2 7	pcs	Spatu</t>
  </si>
  <si>
    <t xml:space="preserve"> 1.	The Local Government Unit of Tubigon, Bohol, through the budget for the contract approved by the Sangguniang Bayan (Special Education Fund) intends to apply the sum of Three Hundred Eighty-Six Thousand Three Hundred Twenty Pesos (P386,320.00) being the</t>
  </si>
  <si>
    <t xml:space="preserve"> Republic of the Philippines Province of Guimaras OFFICE OF THE BIDS AND AWARDS COMMITTEE INVITATION TO BID FOR    SUPPLY AND DELIVERY OF JANITORIAL SUPPLIES Bid Ref. No. 2020-07-432 1.	The Province of Guimaras , through the 2020 Regular Budget-office Supp</t>
  </si>
  <si>
    <t xml:space="preserve"> NO	UNIT	DESCRIPTION	QTY 1	kls	Pork (pigue)	200 2	kls	Ground Pork	100 3	kls	Beef (lean)	100 4	kls	White Sugar	50 5	kls	Brown Sugar	45 6	cans	Pineapple juice unsweetened 240ml	400 7	packs	lodized salt	85 8	pouches	Soysauce 100ml	200 9	kls	Garlic	119 10	kls	</t>
  </si>
  <si>
    <t xml:space="preserve"> 1. One (1) Microsoft Office 2019 (Perpetual License for 1 device) 2. One (1) pc. HDMI Cable, ultra HD, 4K 3. Three (3) units Webcam, 1080 full HD, USB Class, 30° tilt 4. Three (3) pc headset 5. One (1) unit Computer Laptop     Minimum requirements:     In</t>
  </si>
  <si>
    <t xml:space="preserve"> One (1) Year Anti-Virus Anti-Spam Web-Filter  Application Filter Intrusion Prevention System 1 Year 8 x 5 Technical Support</t>
  </si>
  <si>
    <t xml:space="preserve"> Republic of the Philippines Province of Guimaras OFFICE OF THE BIDS AND AWARDS COMMITTEE INVITATION TO BID FOR    SUPPLY AND DELIVERY OF JANITORIAL SUPPLIES Bid Ref. No. 2020-07-426 1.	The Province of Guimaras , through the OTHER MAINT. &amp; OPERATING EXPENS</t>
  </si>
  <si>
    <t xml:space="preserve"> 1.	The Provincial Government of Batanes, through the Provincial Appropriations Ordinance No. 03 series of 2019 intends to apply the sum of Five Hundred Thousand Pesos Only (₱ 500,000.00), being the Approved Budget for the Contract (ABC) to payments under </t>
  </si>
  <si>
    <t xml:space="preserve"> Republic of the Philippines Province of Negros Occidental City of Sagay BIDS AND AWARDS COMMITTEE Tel. No. 4540196, Telefax 4880187 www.sagay-city.com.ph bacsagaycity@yahoo.com INVITATION TO BID The City of Sagay, through its Bids and Awards Committee (BA</t>
  </si>
  <si>
    <t xml:space="preserve"> CONSTRUCTION OF LINED CANAL @ PUROK 2, 4 &amp; 6, BRGY CAMBULAGA WEST DIST. SORSOGON CITY</t>
  </si>
  <si>
    <t xml:space="preserve"> NO	UNIT	DESCRIPTION	QTY 1	box	Losartan 50 mg. tablet 100tablet per box	700 2	box	Metoprolol 50 mg. tablet 100 tab/ box	200 3	box	Amlodipine tablet 10mg 100 tab/box	300 4	box	Methyldopa 125 mg. tab	10 5	box	Multivitamins 500mg. Capsule	50 6	box	Ferrous Sul</t>
  </si>
  <si>
    <t xml:space="preserve"> NO	UNIT	DESCRIPTION	QTY 1	pcs	Weighing Scale with height measuring Stick, Adult	12 2	pcs	Infant weighing scale	15 3	pcs	Wooden Height Board	4 4	set	Surgical Miror set (1 Kelly Curve, 1 Kelly Straight, 1 needle holder, 1 basin square, 1 Mosquito Forcep Str</t>
  </si>
  <si>
    <t xml:space="preserve"> QTY	UNIT	DESCRIPTION	Unit Price	TOTAL 				 		OFFICE OF THE SB (FOR PUBLICATION)		 2	issues	Mun. Ordinance No. 1, s. 2020 - An Ordinance		 6,500.00  		Regulating Motorcycles		 		Back Riders or "Angkas" in the Municipality of		 		Del Gallego, Cam. Sur		 		(</t>
  </si>
  <si>
    <t xml:space="preserve"> 1. Interactive Education System Package.....................................................................….9 units For Elementary Students INTERACTIVE DISPLAY BOARD • Touch Surface: Next Generation Anti-Glare Glass • Screen Size: 65 Inches • Backlight:</t>
  </si>
  <si>
    <t xml:space="preserve"> INVITATION TO BID (REBID) Procurement of Fuel, Oil &amp; Lubricants The LGU Surallah through the Bids and Awards Committee (BAC) is inviting suppliers to bid for the supply and delivery of GOODS/INFRASTRUCTURE/SERVICES with the following details: TITLE OF PRO</t>
  </si>
  <si>
    <t xml:space="preserve"> Republic of the Philippines PROVINCE OF ALBAY Legazpi City BIDS AND AWARDS COMMITTEE Provincial Government of Albay (052) 742-0732 albay.bac@gmail.com INVITATION TO BID NO. 2020(G)-008 Supply &amp; Delivery of One (1) Unit Multi-Purpose Vehicle (MPV) with Eng</t>
  </si>
  <si>
    <t xml:space="preserve"> Republic of the Philippines PROVINCE OF ALBAY Legazpi City BIDS AND AWARDS COMMITTEE Provincial Government of Albay (052) 742-0732 albay.bac@gmail.com INVITATION TO BID NO. 2020(G)-006 Supply &amp; Delivery of 1,500 Units Jetmatic Pump with PGA Seal (Embossed</t>
  </si>
  <si>
    <t xml:space="preserve"> INVITATION TO BID (641-2020) Procurement of Materials for the Improvement of Comfort Room The LGU Surallah through the Bids and Awards Committee (BAC) is inviting suppliers to bid for the supply and delivery of GOODS/INFRASTRUCTURE/SERVICES with the follo</t>
  </si>
  <si>
    <t xml:space="preserve"> Accounting (P 12, 859.00)			 Anti Bacterial Bathroom Bar Soap, 135 g	15	pc	 Detergent Bar, Long at Lease 450 g	5	bar	 Detergent Powder. 500 gms	25	pack	 Dishwashing Liquid-250 ml	25	btl	 Disinfectant Bleach, 1000 ml	3	bl	 Multipurpose Cleanser, Scented, T</t>
  </si>
  <si>
    <t xml:space="preserve"> INFRA 2020-06-044  IMPROVEMENT  OF BRGY. WARD I COVERED COURT/ MULTI-PURPOSE BUILDING (PHASE III) AT BRGY. WARD I, MINGLANILLA, CEBU 1.	The MUNICIPALITY OF MINGLANILLA, through the Local Fund intends to apply the sum of   Two  Million   Nine   Hundred   N</t>
  </si>
  <si>
    <t xml:space="preserve"> Republic of the Philippines PROVINCE OF ALBAY Legazpi City BIDS AND AWARDS COMMITTEE Provincial Government of Albay (052) 742-0732 albay.bac@gmail.com INVITATION TO BID NO. 2020(I)-008 Construction of Auditorium II, Albay Farmer's Bounty Village, Brgy. Ca</t>
  </si>
  <si>
    <t xml:space="preserve"> GOODS 2020-06-046 PURCHASE OF MEDICAL, DENTAL &amp; LABORATORY SUPPLIES ALLOCATION FOR 2020 FOR RHU 2 FOR MINGLANILLA, CEBU The Municipality of Minglanilla, through the Local Fund of Municipality of Minglanilla intends to apply the sum of TWO MILLION NINE HUN</t>
  </si>
  <si>
    <t xml:space="preserve"> Republic of the Philippines PROVINCE OF ALBAY Legazpi City BIDS AND AWARDS COMMITTEE Provincial Government of Albay (052) 742-0732 albay.bac@gmail.com INVITATION TO BID NO. 2020(I)-007 Construction/Rehab. of Hospital Facilities at Rapu-Rapu, Albay 1.	The </t>
  </si>
  <si>
    <t xml:space="preserve"> I	MO-LYDO (P 60,000.00)		 1	All-in One PC Desktop w/ Printer	1	unit 	21.5' (54.6cm), 16:9, Wide Screen, Full HD 1920x1080/, LED		 	backlight, Intel Core ™ i5 7200U Intel Core ™ i3 7100U 4 GB to 8 GB		 	Dual Channel, DDR4 at 2133MHz, 2.5" 256GB SATA SSD 65</t>
  </si>
  <si>
    <t xml:space="preserve"> I	LAPTOP	6	unit 	Specifications:		 	15.6 LED-backlit Full HD (1920 x 1080) 16.9 		 	Frameless four-sided Nano Edge display		 	8th Generation Intel Core i7-8565U 		 	(1.8Ghz-4.8Ghz; 8MB Cache) 		 	4GB 2400MHz DDR4 SDRAM (Slot 1)		 	128GB SSD + 1TB HDD		 	2</t>
  </si>
  <si>
    <t xml:space="preserve"> ITEM      QTY.    UNIT OF        DESCRIPTION     NO.                   ISSUE                  1.           1         unit             electrical motor (2HP)      2.           1         set              GI tank 1,500 liters (horizontal)      3.           6</t>
  </si>
  <si>
    <t xml:space="preserve"> 1	SITE CLEAIRNG, LAY-OUT, STAKING	100	sqm 2	EXCAVATION	16.54	Cu.m. 3	CONCRETE WORKS WITH STEEL REINFORCEMENT &amp; PLASTER	10.89	CU.M. 4	MASONRY WORKS WITH STEEL REINFORCEMENT 7 PLASTER	163.82	SQ.M. 5	ROOF AND ROOF FRAMING	60.28	SQ.M. 6	DOORS AND WINDOWS	19.0</t>
  </si>
  <si>
    <t xml:space="preserve"> Republic of the Philippines Province of Marinduque Torrijos INVITATION TO BID FOR THE SUPPLY AND DELIVERY OF MATERIALS FOR DISASTER PREPAREDNESS AND RESPONSE 1.	The MUNICIPALITY OF TORRIJOS, through the MDRRM FUND intends to apply the sum of SEVEN HUNDRED</t>
  </si>
  <si>
    <t xml:space="preserve"> I	DEPED - DISTRICT LB (P 520,000.00)		 1	Desktop Computer with Printer	13	set 	*Processor: 9th Gen core i5; 6 cores; 6 threads, 2.9-4.1 Ghz;		 	9MB Cache; Integrated UHD630 GPU		 	*Motherboard: B360 Chipset; LGA 1151; DDR4; On-board M.2 		 	socket w / hea</t>
  </si>
  <si>
    <t xml:space="preserve"> Invitation to Bid Republic of the Philippines Province of Marinduque Torrijos BIDS AND AWARDS COMMITTEE INVITATION TO BID FOR THE CONSTRUCTION OF MULTI-PURPOSE BUILDING 1.	The MUNICIPALITY OF TORRIJOS, through the FY 2019 LOCAL GOVERNMENT SUPPORT FUND –Ot</t>
  </si>
  <si>
    <t xml:space="preserve"> 1	Site clearing, removal of obstruction, lay-out &amp; staking	400	sqm 2	Excavation	106	Cu.m. 3	Portland cement concrete pavement with base course aggregates, reinforcement and forms	105	sq.m. 4	Drain Pipe with catch basin @ every 15m	267	l.m. 5	Health and Sa</t>
  </si>
  <si>
    <t xml:space="preserve"> Republic of the Philippines Province of Marinduque Torrijos INVITATION TO BID FOR SUPPLY AND DELIVERY OF SUPPLIES AND MATERIALS FOR REPRODUCTION AND PROVISION OF LEARNING MATERIALS FOR THIRTY FIVE (35) SCHOOLS IN THE DISTRICT, SPED/TRANSITION PROGRAM AND </t>
  </si>
  <si>
    <t xml:space="preserve"> Procurement of supplies for Renal Care Unit</t>
  </si>
  <si>
    <t xml:space="preserve"> Republic of the Philippines Province of Davao De Oro MUNICIPALITY OF COMPOSTELA BIDS AND AWARDS COMMITTEE (BAC) Invitation to Bid for Construction of WCPD and FJGAD Building (Rebid) ITB NO. 2020-07-038 - BID NO. 001 1.	The Municipality of Compostela, thro</t>
  </si>
  <si>
    <t xml:space="preserve"> Supply and Delivery of Construction Materials and Supplies for Improvement of Multi-Purpose Hall</t>
  </si>
  <si>
    <t xml:space="preserve"> 9 bottles ALCOHOL, ethyl, 68%-70%, scented, 500ml (-5ml) 1 roll ACETATE, thickness: 0.075mm min (gauge #3) 350 ream PAPER, Multi-Purpose (COPY) A4, 70 gsm 1 roll TWINE, plastic, one (1) kilo per roll 10 bottle CLEANER,TOILET BOWL AND URINAL, 900ml-1000ml </t>
  </si>
  <si>
    <t xml:space="preserve"> Interested bidders may obtain further information from the City of Balanga and inspect the Bidding Documents at the address given below from 9:00 a.m. to 4:00 p.m. A complete set of Bidding Documents may be acquired by interested Bidders on July 8 to 28, </t>
  </si>
  <si>
    <t xml:space="preserve"> Technical Specifications:   Ø GNSS Receiver Specification • Channel Configuration: - 576 channels (dual frequency) for GPS, GLONASS, Beidou and SBAS • Single Tracked: - GPS: L1 C/A, L1C, L2C, L2P, L5 - GLONASS: L1 C/A, L2C, L2P, L3, L5 - BEIDOU: B1, B2, B</t>
  </si>
  <si>
    <t xml:space="preserve"> Improvement of multi-purpose building located near the Barangay hall.</t>
  </si>
  <si>
    <t xml:space="preserve"> I.   Trimming of trees, Clearing, Excavation and Lay-out II.  Electrical Works III. Concrete Works</t>
  </si>
  <si>
    <t xml:space="preserve"> Rehabilitation of the Barangay covered court located beside the Barangay hall.</t>
  </si>
  <si>
    <t xml:space="preserve"> Republic of the Philippines Province of Bohol MUNICIPALITY OF TUBIGON INVITATION TO BID FOR  Supply and Delivery of Various Medicines for Mental Health Use @ Municipal Health Office  1.	The Local Government Unit of Tubigon, Bohol, through its General Fund</t>
  </si>
  <si>
    <t xml:space="preserve"> GOODS 2020-06-045 PURCHASE OF MEDICAL, DENTAL &amp; LABORATORY SUPPLIES ALLOCATION FOR 2020 FOR RHU 1 FOR MINGLANILLA, CEBU The Municipality of Minglanilla, through the Local Fund of Municipality of Minglanilla intends  to  apply  the  sum  of   THREE MILLION</t>
  </si>
  <si>
    <t xml:space="preserve"> OPENING OF BIDS IN DSWD FO IX DELIVERY IN HOME FOR ELDERLY PROCUREMENT FOR THE FF.: 1 LOT REPLACEMENT/UPGRADING OF DESKTOP COMPUTER 2 units Processor;latest Architecture(not lower than 5mb) @ 9,000.00 2 units Memory 4gb  @ 1,500.00 2 units HDD ≤250SSD @ 5</t>
  </si>
  <si>
    <t xml:space="preserve"> (see bidding documents and other supporting papers in the associated component for further project details)</t>
  </si>
  <si>
    <t xml:space="preserve"> Republic of the Philippines PROVINCE OF ALBAY Legazpi City BIDS AND AWARDS COMMITTEE Provincial Government of Albay (052) 742-0732 albay.bac@gmail.com INVITATION TO BID NO. 2020(G)-007 Supply &amp; Delivery of 21,000 Bags Portland Cement 1.	The PGA, through t</t>
  </si>
  <si>
    <t xml:space="preserve"> Republic of the Philippines PROVINCE OF NUEVA ECIJA City of Palayan INVITATION TO BID FOR  SUPPLY AND DELIVERY OF VARIOUS IT EQUIPMENT AND SUPPLIES FOR MIS OFFICE July 29, 2020 1.	The Provincial Government of Nueva Ecija (PGNE), through the General Fund, </t>
  </si>
  <si>
    <t xml:space="preserve"> PURCHASE</t>
  </si>
  <si>
    <t xml:space="preserve"> 2nd Posting - Supply and Delivery of Harwdware Materials for the Rehabilitation of Multi-Purpose Hall</t>
  </si>
  <si>
    <t xml:space="preserve"> Pls. quote the item listed below: 1.  Fertilizer (46-0-0)  -  271 bags NOTE:                       Opening of Bids will be on August 11, 2020 @ 1:00 pm</t>
  </si>
  <si>
    <t xml:space="preserve"> I.   Mechanical Works Labor OCM/CP/VAT</t>
  </si>
  <si>
    <t xml:space="preserve"> Invitation to bid to all supplier/contractor duly acrredited ny the city council of manila to supply and deliver the following items provided hereunder, to wit: 1	 	155		Bags	Portland cement	 	  2	 	25		cu.m	Washed sand		 3	 	15		cu.m	Gravel 4	 	450		Pcs	</t>
  </si>
  <si>
    <t xml:space="preserve"> Supply, delivery and installation of temporary				 			drainage crossing of Quipot IP located at 	 			brgy. Callehon, Del Valle &amp; San Antonio,	 			Quezon.	 							 			I. Civil Works				 							 1.	74	pcs.	Temporary Drainage Crossing (Steel Drum)</t>
  </si>
  <si>
    <t xml:space="preserve"> Republic of the Philippines Province of Davao del Norte BARANGAY VISAYAN VILLAGE, TAGUM CITY BIDS AND AWARDS COMMITTEE                                                                                                                                         </t>
  </si>
  <si>
    <t xml:space="preserve"> Suppy and deluvery of materials to be used by farniture and fixtures</t>
  </si>
  <si>
    <t xml:space="preserve"> INVITATION TO BID LGU-El Salvador City, Misamis Oriental through its BAC, invites interested bidders to apply for eligibility and if found eligible to bid for the contract: 1.	Contract ID No.	:	ITB No. 2020-073 Name of Project	:	Procurement of Musical Ins</t>
  </si>
  <si>
    <t xml:space="preserve"> Republic of the Philippines Province of Surigao del Sur Municipality of Carrascal Barangay Panikian OFFICE OF THE BARANGAY BIDS AND AWARDS COMMITTEE The BLGU of Panikian through its Bids and Awards Committee invites sealed bids from eligible bidders with </t>
  </si>
  <si>
    <t xml:space="preserve"> 1) 1 unit Furnishing of Materials, Labor and Equipment Thru Contract for the Improvement/Expansion of Water Supply System. I. Concrete Works 10.20 sq.m. II. Cables and Steel Works 790.00 cu.m. III. Pipeline 8227.00 cu.m. IV. Excavation Works 15.88 cu.m. V</t>
  </si>
  <si>
    <t xml:space="preserve"> INVITATION TO BID LGU-El Salvador City, Misamis Oriental through its BAC, invites interested bidders to apply for eligibility and if found eligible to bid for the contract: 1.	Contract ID No.	:	ITB No. 2020-07-072 Name of Project	:	Procurement of Catering</t>
  </si>
  <si>
    <t xml:space="preserve"> Republic of the Philippines Department of Health Jose R. Reyes Memorial Medical Center M a n i l a INVITATION TO BID FOR  ONE (1) SET ARTHROSCOPY TOWER IMAGING SYSTEM  ITB No. 2020-ART TOWER-107  1.	The Jose R. Reyes Memorial Medical Center, through the G</t>
  </si>
  <si>
    <t xml:space="preserve"> Qty.	Unit	Description 			 		OFFICE OF THE CITY TREASURER			 2	units	Desktop CPU			 		Specs: Intel Corei3 Processor			 		4GB DDR4 RAM, 1 TB Hard Disk Drive			 		Motherboard with Integrated AVL			 		Mini Tower Casing with Power Supply 650W	 		 		OFFICE OF T</t>
  </si>
  <si>
    <t xml:space="preserve"> ITEM NO.  DESCRIPTION  UNIT  QUANTITY SPL   Excavation &amp; staking works sq.m 65.00 102   Excavation works cu.m 15.12 405   Concrete works cu.m 6.50 SPL   steel works (include wire screen installation) sq.m 46.12 506 Masonry works cu.m 35.15 SPL  permanent </t>
  </si>
  <si>
    <t xml:space="preserve"> Item 101- Removal of Existing Dilapidated Structure Item 104- Sub-Grade Preparation Item 200-Aggregate Sub-Base Coarse Item 311- PCCP Item 506- Stone Masonry SPL-1 Road Sign and Marker SPL-2 Construction Health and Safety SCHEDULE OF BIDDING Advertisement</t>
  </si>
  <si>
    <t xml:space="preserve"> pc	Angle bar 2x2x1/4	215 pc	C-purlins 2x3x1.5	190 gal	Epoxy Primer	30 gal	Laquer Thinner	8 box	Welding Rod	20 pc	Cutting Disk #14	30 pc	Paint Brush #3	20 pc	Baby Roller 	10 lm	Ribtype 0.4(306.9LM)	464 pc	Gutter 24x0.4	30 bag	Cement	12 pcs	G.I. Pipe #4 s-4</t>
  </si>
  <si>
    <t xml:space="preserve"> The City Government of Ligao through its Bids and Awards Committee (BAC), now invites bids for the herein project: Name of Contract        :  Construction of Day Care Center at Gogon Location                       : Tupaz,  Ligao City Brief Description   </t>
  </si>
  <si>
    <t xml:space="preserve"> Republic of the Philippines Province of Bohol MUNICIPALITY OF TUBIGON INVITATION TO BID FOR  Supply and Delivery of Various Materials for the Installation of Secondary lines at Lower Centro, Cang-ampa, Bagtic Sur Cawayanan and Purok 7 (Talenceras)Tubigon,</t>
  </si>
  <si>
    <t xml:space="preserve"> Please download PDF @ associated components for more information.</t>
  </si>
  <si>
    <t xml:space="preserve"> Purchase and delivery of office supplies and devices to be used by different schools of Calapan City</t>
  </si>
  <si>
    <t xml:space="preserve"> Republic of the Philippines							 DEPARTMENT OF PUBLIC WORKS AND HIGHWAYS							 CAGAYAN 2ND							 DISTRICT ENGINEERING OFFICE							 Regional Office II							 Abulug, Cagayan							 							 							 Procuring Entity:		DPWH-Cagayan 2nd DEO	P.R. No.:			20</t>
  </si>
  <si>
    <t xml:space="preserve"> Package 1:  Construction &amp; Improvement of Access Road, Collog- PInococ, Pinukpuk</t>
  </si>
  <si>
    <t xml:space="preserve"> 1) 1 unit Furnishing of Materials, Labor and Equipment Thru Contract for the Upgrading and Improvement of Road Section from Brgy. Poblacion to Brgy. Singaran. 105 Subgrade Preparation 5670.00 sq.m. 200 Aggregate Sub-Base Coarse 850.50 cu.m. 311 Portland C</t>
  </si>
  <si>
    <t xml:space="preserve"> This project is located at Jose Abad Santos St, Barangay Saranay,Cabatuan,Isabela			 			 	Project Length: 155.00 meters length X 0.80 meters width		 	Type of Structure: RC LINE CANAL		 			 ITEM NO.	DESCRIPTION OF WORK TO BE DONE	QUANTITY	 			 I.	CLEARING </t>
  </si>
  <si>
    <t xml:space="preserve"> Delivery of supplies and equipment for SHS Learning Activity Package</t>
  </si>
  <si>
    <t xml:space="preserve"> Materials for the installation of GSO Partition wall</t>
  </si>
  <si>
    <t xml:space="preserve"> INVITATION TO BID ITB NO. 2020-07-0240 The Procuring Entity through its Bids and Awards Committee (BAC), invites eligible Construction suppliers to apply for eligibility and to bid for the hereunder project: Name of Project: Supply and Delivery of Equipme</t>
  </si>
  <si>
    <t xml:space="preserve"> Purchase and delivery of fabricated stainless steel handwashing sink</t>
  </si>
  <si>
    <t xml:space="preserve"> PLEASE SECURE REQUEST FOR QUOTATION AT BPI-GNCRDPSC OFFICE SAN MIGUEL, JORDAN, GUIMARAS.</t>
  </si>
  <si>
    <t xml:space="preserve"> 4m x 330m PCCP w/ 2 lines (6pcs. 900mm dia. RCP per line) Cross Drainage, 20.00m x 1.00 x .2m Stone Masonry</t>
  </si>
  <si>
    <t xml:space="preserve"> Black Cofta Chairs</t>
  </si>
  <si>
    <t xml:space="preserve"> Retrofitting of Mauhang Bridge</t>
  </si>
  <si>
    <t xml:space="preserve"> INVITATION TO BID SUPPLY &amp; DELIVERY OF MATERIALS FOR THE IMPROVEMENT OF EVACUATION CENTER OF BARANGAY MATE, SAN FRANCISCO, AGUSAN DEL SUR 1.	BARANGAY GOVERNMENT UNIT OF BARANGAY MATE, SAN FRANCISCO, AGUSAN DEL SUR, through the BIDS AND AWARDS COMMITTEE (B</t>
  </si>
  <si>
    <t xml:space="preserve"> REPUBLIC OF THE PHILIPPINES PROVINCE OF ILOCOS SUR MUNICIPALITY OF SANTA BRGY. MABILBILA SUR INVITATION TO BID IMPROVEMENT OF MULTI-PURPOSE HALL PHP 200,000.00 A. MATERIALS DESCRIPTION UNIT QTY CEMENT				BAG	60 GRAVEL				CU.M	9 SAND				CU.M	9 2X4X12 GOOD </t>
  </si>
  <si>
    <t xml:space="preserve"> Republic of the Philippines Province of Guimaras OFFICE OF THE BIDS AND AWARDS COMMITTEE INVITATION TO BID FOR    SUPPLY AND DELIVERY OF MINERAL OIL, VEGETABLE OIL AND CITRONELLA PLANTS Bid Ref. No. 2020-07-427 1.	The Province of Guimaras , through the DO</t>
  </si>
  <si>
    <t xml:space="preserve"> INSTALLATION OF OFFICE DIVIDERS AND TILES  AT THE PRINCIPAL'S OFFICE</t>
  </si>
  <si>
    <t xml:space="preserve"> 1 UNIT OF MOTORCYCLE WITH SIDECAR</t>
  </si>
  <si>
    <t xml:space="preserve"> Purchase and deliver of 11 units all in one computer to be used at the City College of Calapan</t>
  </si>
  <si>
    <t xml:space="preserve"> this serves as second bidding post</t>
  </si>
  <si>
    <t xml:space="preserve"> INVITATION TO APPLY FOR ELIGIBILITY AND TO BID The Local Government Unit of Malitbog, Southern Leyte, through its Bids and Awards Committee (BAC) invites to apply for eligibility and if found eligible, to bid for the hereunder: ROAD CONCRETING AND INSTALL</t>
  </si>
  <si>
    <t xml:space="preserve"> LABOR AND MATERIALS    A. RIB 0.50mm        15 pcs 8.00 mm          1 pc  7.00 mm          3 pcs 7.80 mm          3 pcs 6.80 mm          2 pcs 6.50 mm          2 pcs 6.20 mm          1 pc  6.00 mm          1 pc  5.50 mm          1 pc  5.00 mm          5 p</t>
  </si>
  <si>
    <t xml:space="preserve"> Republic of the Philippines Municipality of Taytay Taytay, Palawan    NOTICE TO BIDDERS Item # Qty Unit Description Amount 1.    3560    liters    Diesel 2.        3     gal       Diesel Engine Oil 40 3.        4     gal       Diesel Engine Oil 30 The two</t>
  </si>
  <si>
    <t xml:space="preserve"> Delivery of colored Tshirt with print-BHW</t>
  </si>
  <si>
    <t xml:space="preserve"> Materials to be use for the rehabilitation of animal cage at Bulusan Park</t>
  </si>
  <si>
    <t xml:space="preserve"> Republic of the Philippines PROVINCIAL GOVERNMENT OF EASTERN SAMAR Capitol Building, Borongan, Eastern Samar, 6800 Tel No. (055)-560-8312 E-mail Address: esamar.bac@gmail.com BIDS AND AWARDS COMMITTEE (BAC) INVITATION TO BID FOR  ROAD OPENING/ FMR VIGAN T</t>
  </si>
  <si>
    <t xml:space="preserve"> 1.  18 units 3 in 1 Printer Ecotank  2.  9 units 32 inches Flat Screen TV</t>
  </si>
  <si>
    <t xml:space="preserve"> CLARK DEVELOPMENT CORPORATION CLARK FREEPORT ZONE INVITATION TO BID The Clark Development Corporation, through its Bids and Awards Committee (BAC), invites Electrical Contractors/Suppliers to bid for the hereunder project: Name of Project:Preventive Maint</t>
  </si>
  <si>
    <t xml:space="preserve"> Delivery of 2 units 45" LED TV to be used by City College of Calapan</t>
  </si>
  <si>
    <t xml:space="preserve"> Republic of the Philippines Province of Negros Occidental Municipality of Valladolid INVITATION TO BID  PROCUREMENT OF OFFICE EQUIPMENT  1.	The Municipality of Valladolid, through the Special Education Fund (SEF) intends to apply the sum of Seven Hundred </t>
  </si>
  <si>
    <t xml:space="preserve"> Republic of the Philippines PROVINCIAL GOVERNMENT OF EASTERN SAMAR Capitol Building, Borongan, Eastern Samar, 6800 Tel No. (055)-560-8312 E-mail Address: esamar.bac@gmail.com BIDS AND AWARDS COMMITTEE (BAC) INVITATION TO BID FOR  CONSTRUCTION OF BRGY. STO</t>
  </si>
  <si>
    <t xml:space="preserve"> 1.The Brgy. Pondang, through the LGSF-DBM intends to apply the sum of Two Hundred Fifty Thousand Pesos Only (P250,000.00) being the Approved Budget for the Contract (ABC) to payments under the contract for Construction &amp; Repair of Brgy. Road. Bids receive</t>
  </si>
  <si>
    <t xml:space="preserve"> Republic of the Philippines Sangguniang Barangay of 06 Poblacion Barangay 06 Catanauan Quezon INVITATION TO APPLY FOR ELIGIBILITY AND TO BID The Sangguniang Barangay 06 Poblacion Catanauan,Quezon through its Bids and Awards Committee(BAC),invites supplier</t>
  </si>
  <si>
    <t xml:space="preserve"> Materials for the construction of child development center</t>
  </si>
  <si>
    <t xml:space="preserve"> Expenses for national disability prevention and rehabilitation week</t>
  </si>
  <si>
    <t xml:space="preserve"> Republic of the Philippines Province of zamboanga Sibugay Municipality of Olutanga 7014 JULY 28, 2020 NOTICE TO THE PUBLIC INVITIATION TO APPLY FOR ELIGIBILITY AND TO BID All interested bidders are invited to Pre-qualify and participate in sealed bidding </t>
  </si>
  <si>
    <t xml:space="preserve"> Item	Description	                                                    Quantity	                  Unit I.	SITE WORKS		 1.a	Mobilization, Demobilization	                                 1	                           Lot 1.b	Temporary facility &amp; project signbo</t>
  </si>
  <si>
    <t xml:space="preserve"> WE INVITE INTERESTED BIDDERS TO QUOTE FOR THE SUPPLY OF LABOR AND TOOLS FOR THE REPAIR AND MAINTENANCE OF STORAGE FACILITY OF THE BUREAU OF PLANT INDUSTRY-LA GRANJA NATIONAL CROP RESEARCH DEVELOPMENT AND PRODUCTION SUPPORT CENTER, LA GRANJA LA CARLOTA CIT</t>
  </si>
  <si>
    <t xml:space="preserve"> Republic of the Philippines PROVINCIAL GOVERNMENT OF EASTERN SAMAR Capitol Building, Borongan, Eastern Samar, 6800 Tel No. (055)-560-8312 E-mail Address: esamar.bac@gmail.com BIDS AND AWARDS COMMITTEE (BAC) INVITATION TO BID FOR  ROAD OPENING/FARM-TO-MARK</t>
  </si>
  <si>
    <t xml:space="preserve"> Republic of the Philippines PROVINCE OF NUEVA VIZCAYA Municipality of Alfonso Castañeda  BIDS &amp; AWARDS COMMITTEE FOR GOODS &amp; SERVICES REQUEST FOR QUOTATION RFQ Number: 2020-07-20 The Local Government of Alfonso Castañeda through its Bids and Awards Comm</t>
  </si>
  <si>
    <t xml:space="preserve"> Concreting of 80mx2mx.15m</t>
  </si>
  <si>
    <t xml:space="preserve"> Republic of the Philippines Province of Batanes MUNICIPALITY OF SABTANG -oOo- BIDS AND AWARDS COMMITTEE INVITATION TO APPLY FOR ELIGIBILITY AND TO BID The LGU-Sabtang has allocated funds from 2020 Special Trust Fund which is intended for the payment of th</t>
  </si>
  <si>
    <t xml:space="preserve"> Procurement of One (1) set Desktop Computer and One (1) unit of Printer - IT Equipment for Tribal Operation of LGU Laak, Davao De Oro with an ABC of Php. 50,000.00</t>
  </si>
  <si>
    <t xml:space="preserve"> Republic of the Philippines Municipality of Taytay Taytay, Palawan NOTICE TO BIDDERS Item # Qty Unit Description Amount 1.      1     Lots    Fuels/Fuel Additives &amp; Lubricant &amp; Anti-Corrosive  The two envelope system of procurement shall be observed, Bidd</t>
  </si>
  <si>
    <t xml:space="preserve"> Republic of the Philippines Municipality of Taytay Barangay Old Guinlo NOTICE TO BIDDERS 1.	Rehab of Multi-Purpose Building Bgy. Hall  Item#	Description			      QTY.		UNIT	 1.	Portland Cement			       40		bags 2.	Marine plywood			               40		pcs 3.</t>
  </si>
  <si>
    <t xml:space="preserve"> Supply and Delivery of one (1) unit Computer Laptop for CBAA Cebu City Minimum requirements: Intel Core i5,  1 TB HDD,  4GB memory,  14" LED display Windows 10,  MS Office Home (Perpetual) Battery pack,  Bluetooth mouse,  Auto voltage regulator Backpack</t>
  </si>
  <si>
    <t xml:space="preserve"> THE DISTRICT ENGINEERING OFFICE IS UNDERTAKING THE FOLLOWING CONTRACTS, THROUGH NEGOTIATED PROCUREMENT IN ACCORDANCE WITH SECTION 53.9 OF THE REVISED IMPLEMENTATION RULES AND REGULATIONS OF R.A. 9184 (SMALL VALUE PROCUREMENT)</t>
  </si>
  <si>
    <t xml:space="preserve"> Server computer entry level Tower server 1080 monitor UPC BV100I-MS 1000VA 15.6" IPS Full HD 8GB DDR4 RAM 1TB HDO and 256GB SSD</t>
  </si>
  <si>
    <t xml:space="preserve"> Repair/rehabilitation of brgy. multipurpose hall</t>
  </si>
  <si>
    <t xml:space="preserve"> PEO-2020-0192 PR2020-0546 INVITATION TO BID FOR THE PROCUREMENT OF STAAD PRO PERPETUAL LICENSE FOR USE AT PROVINCIAL ENGINEER"S OFFICE ABC: P 631,800.00 COST OF BID DOCUMENTS: P 1,000.00 ADVERTISEMENT PERIOD: JULY 29 - AUGUST 5, 2020 OPENING OF BIDS: AUGU</t>
  </si>
  <si>
    <t xml:space="preserve"> 12.5mX6.30m</t>
  </si>
  <si>
    <t xml:space="preserve"> Three (3) units Computer Laptops Minimum requirements: Intel Core i5  1 TB HDD 4GB memory  14" LED Windows 10  MS Office Home (Perpetual) Battery pack  Bluetooth mouse Backpack Headset</t>
  </si>
  <si>
    <t xml:space="preserve"> 1. 1 unit Corn Sheller with complete accessories and a 10 HP Water cooled Diesel Engine 2. 1 unit Hand Tractor with Trailer and a 4 Stroke 10 HP Water Cooled Diesel Engine 3. 1 unit Corn Mill **********************nothing follows**************************</t>
  </si>
  <si>
    <t xml:space="preserve"> labor, supplies and materials and equipment rental</t>
  </si>
  <si>
    <t xml:space="preserve"> 16,250 Liters Diesel Fuel</t>
  </si>
  <si>
    <t xml:space="preserve"> Electrification @ KNP, Pantukan, Davao De Oro (Materials)</t>
  </si>
  <si>
    <t xml:space="preserve"> REQUEST FOR EXPRESSION OF INTEREST FOR CONSULTING SERVICES  The DPWH-CAGAYAN THIRD DISTRICT ENGINEERING OFFICE, through its CY2020 PDE intend to apply the sum of P3,177,367.00 being the Approved Budget for the Contract (ABC) to payments under the contract</t>
  </si>
  <si>
    <t xml:space="preserve"> PHILIPPINE BIDDING DOCUMENTS (As Harmonized with Development Partners) Procurement of GOODS Government of the Republic of the Philippines Province of Bohol MUNICIPALITY OF DANAO Barangay Cantubod SUPPLY AND DELIVERY OF CONSTRUCTION MATERIALS FOR THE IMPRO</t>
  </si>
  <si>
    <t xml:space="preserve"> Republic of the Philippines Municipality of Taytay Taytay, Palawan NOTICE TO BIDDERS Item # Qty Unit Description Amount 1.	3003	pcs	Rubber/Plastic Pots 2.	200	bags	Organic Fertilizer  3.	50	pcs	Empty Drum (150 lits, W/Cover and Lock) 4.	20	rolls 	Black Sc</t>
  </si>
  <si>
    <t xml:space="preserve"> Office Supplies-Toner-copier/printer Black 1600series,Toner-copier/printer Color CYM 1600 series,etc...</t>
  </si>
  <si>
    <t xml:space="preserve"> Office Equipment-Projector 1200 Lumens,Steel Cabinet 4 Drawers,Computer Desktop</t>
  </si>
  <si>
    <t xml:space="preserve"> The Barangay Naruangan, Tuao Cagayan through its SUPPLEMENTAL AID Fund intends to apply the sum of Php 60,000.00 being the Approved Budget for the Contract (ABC) to payments under the contract for Purchased and Delivery of One (1) UNIT CHAINSAW. Bids rece</t>
  </si>
  <si>
    <t xml:space="preserve"> One (1) Job Order: Labor &amp; Materials: for the supply, installation and wiring of 2 units Boom Barrier Gate</t>
  </si>
  <si>
    <t xml:space="preserve"> Office Equipment, Equipment Supplies and Consumables</t>
  </si>
  <si>
    <t xml:space="preserve"> Please see attached PR for specification</t>
  </si>
  <si>
    <t xml:space="preserve"> Labor and Materials</t>
  </si>
  <si>
    <t xml:space="preserve"> MUNICIPALITY OF DEL GALLEGO PROVINCE OF CAMARINES SUR INVITATION TO BID FOR PURCHASE OF TIRES OF MUN. DUMPTRUCK 57.	The Municipality of Del Gallego, Province of Camarines Sur, through the 6919-200 intends to apply the sum of One Hundred Fifty Eight Thousa</t>
  </si>
  <si>
    <t xml:space="preserve"> Const. of Toilet Facilities &amp; Water Facilities</t>
  </si>
  <si>
    <t xml:space="preserve"> 30 units Fabrication of light trap NOTE: PLEASE ATTACHED LEGAL DOCUMENTS AND UPDATED PHILGEPS CERTIFICATE FAILURE TO SUBMIT YOUR BID DOCUMENTS WILL NOT BE CONSIDERED FOR THE OPENING BY THE BAC. ALSO, PLEASE REFER TO RA 9184-GPPB REVISED IRR SERIES OF 2016</t>
  </si>
  <si>
    <t xml:space="preserve"> 7.50mX6.00m</t>
  </si>
  <si>
    <t xml:space="preserve"> Please see attached Terms of Reference (TOR) for more details Kindly submit your sealed quotation and other related documents (see attached checklist of requirements) on or before August 5, 2020, 8AM to 5PM, at Procurement Management Division, Cultural Ce</t>
  </si>
  <si>
    <t xml:space="preserve"> Contract for the Supply of Various Spare Parts (Static Inverter IGBT, Static Inverter Gate Drive Unit, and SIV Fuse) under P.R. No. RS-0720-010 and ITB No.2007-037-01 Schedule of Activities  Pre-bid Conference		: 05 August 2020 @ 10:00 A.M. 				  Cafeteri</t>
  </si>
  <si>
    <t xml:space="preserve"> Reblocking of Aggub Barangay Road at AGGUB, Cabagan, Isabela LGU Cabagan Cabagan, Isabela</t>
  </si>
  <si>
    <t xml:space="preserve"> Earthworks, Footbridge Construction, Miscellaneous</t>
  </si>
  <si>
    <t xml:space="preserve"> UNIT       DESCRIPTION          QTY. lumpsum,      Project billboard/Signboard, 1.00 lumpsum, Occupational Safety and Health Program, 1.00 cu.m,       Roadway Excavation,      242.00 sq.m, Subgrade Preparation, 807.10 cu.m., Aggregate Base Course,    135.</t>
  </si>
  <si>
    <t xml:space="preserve"> 1,666.50 cu.m. Anapog Binder (Excluding Hauling Cost)</t>
  </si>
  <si>
    <t xml:space="preserve"> This project is located at slaughterhouse,barangay Saranay,Cabatuan,Isabela			 			 			 	Type of Structure: Perimeter Fence		 			 ITEM NO.	DESCRIPTION OF WORK TO BE DONE	QUANTITY	 			 I.	EARTHWORKS	192.00	sq.m. II.	CONCRETE WORKS/FORM WORKS	16.08	cu.m. III</t>
  </si>
  <si>
    <t xml:space="preserve"> MUNICIPALITY OF DEL GALLEGO PROVINCE OF CAMARINES SUR INVITATION TO BID FOR PURCHASE OF OFFICE SUPPLIES AND MATERIALS 61.	The Municipality of Del Gallego, Province of Camarines Sur, through the General Fund 2020 intends to apply the sum of Fourteen Thousa</t>
  </si>
  <si>
    <t xml:space="preserve"> REQUEST FOR QUOTATION Please quote your price on the job/item listed below, subject to the Specification and Terms and Conditions provided herein, stating the shortest time of delivery and submit your quotation in the bid box located at the Procurement Se</t>
  </si>
  <si>
    <t xml:space="preserve"> 250 reams of A4 bond paper, 70gsm 5 reams of Legal bond paper, 100gsm 2 boxes of Tagboard legal folder 20 packs of drycell battery AA (2pcs/pack) 12 pieces of 16gb Flashdrive 24 boxes of 33mm Paper Clip 24 boxes of Paper Fastener 6 pieces of 300 pages Rec</t>
  </si>
  <si>
    <t xml:space="preserve"> THE DISTRICT ENGINEERING OFFICE IS UNDERTAKING THE FOLLOWING CONTRACTS, THROUGH NEGOTIATED PROCUREMENT IN ACCORDANCE WITH SECTION 53.9 OF THE REVISED IMPLEMENTATION RULES AND REGULATION OF R.A. 9184 (SMALL VALUE PROCUREMENT)</t>
  </si>
  <si>
    <t xml:space="preserve"> Supply, Delivery, Installation of One (1) Unit Aircondition Window Type 2HP Inverter One (1) Year warranty parts and services Price VAT inclusive</t>
  </si>
  <si>
    <t xml:space="preserve"> Republic of the Philippines Province of Guimaras Municipality of Sibunag INVITATION TO BID FOR Bid No. 2020-023 – MOTORIZED PATROL BOAT The Municipality of Sibunag through the TRUST FUND – Proper 2019 FA from VP Leni  Robredo (Acquisition of motorized Pat</t>
  </si>
  <si>
    <t xml:space="preserve"> Rehabilitation of Road w/ Provision of Slope Protection and Cross Drainage at Tallag, Cabagan, Isabela LGU Cabagan Cabagan, Isabela</t>
  </si>
  <si>
    <t xml:space="preserve"> Item I-A - General Requirements (Mob./demob.)    1.00  lot Item I-B - General Requirements (Project Signboard &amp; BM)  2.88 sq.m. Item II-A - Earthworks @ Site (Excavation/Backfilling)  19.44  cu.m. Item II-B - Earthworks @ Site (Filling Materials @ G-Floor</t>
  </si>
  <si>
    <t xml:space="preserve"> Supplies and Delivery of Materials and Labor for the Rehabilitation of Admin. Office</t>
  </si>
  <si>
    <t xml:space="preserve"> Republic of the Philippines Province of Southern Leyte MUNICIPALITY OF SAN JUAN Invitation to Bid for  REPAIR/IMPROVEMENT OF MUNICIPAL STREETS  AT CAPT. LAYLAY ST., BRGY. STA. CRUZ, SAN JUAN, SOUTHERN LEYTE 1.	The MUNICIPALITY OF SAN JUAN, through General</t>
  </si>
  <si>
    <t xml:space="preserve"> 2 UNIT LAPTOP INTEL i7 7TH GEN PROCESSOR 1 UNIT LAPTOP INTEL i3 GEN PROCESSOR 2 UNIT GEOTAGGING DEVICE REALME 6PRO 1 UNIT LAPTOP i7 7TH GEN PROCESSOR 1 UNIT PRINTER</t>
  </si>
  <si>
    <t xml:space="preserve"> Rehabilitation of Multipurpose Hall</t>
  </si>
  <si>
    <t xml:space="preserve"> Electrification @ KNP, Pantukan, Davao De Oro (Labor)</t>
  </si>
  <si>
    <t xml:space="preserve"> I - Base Preparation     L=26m     W=15m     T=0.10m     V= 39cu.m. plus 15% shrinkage=45cu.m. II - Concrete Pavement      L=22m     W=12m     T=0.10m     V= 26.40cu.m.</t>
  </si>
  <si>
    <t xml:space="preserve"> I - Base Preparation     L=19m     W=15.20     T=0.10m     V=28.88 cu.m. II - Concrete Pavement     L=19m     W=15.20m     T=0.10m     V=28.88 cu.m.</t>
  </si>
  <si>
    <t xml:space="preserve"> Information Technology Parts &amp; Accessories &amp; Perip</t>
  </si>
  <si>
    <t xml:space="preserve"> INVITATION TO BID FOR  Supplies &amp; Delivery of  Materials   INSTALLATION OF CEILING WITH PAINTING MUTLI-PURPOSE HALL Poblacion Zone II   , Villasis, Pangasinan 1.	The Local Government of  Poblacion  Zone II, Villasis,  Pangasinan, intends to apply the sum </t>
  </si>
  <si>
    <t xml:space="preserve"> BLGU-PINAMANAGAN-AL-01-2020 CONSTRUCTION OF MULTI-PURPOSE BUILDING</t>
  </si>
  <si>
    <t xml:space="preserve"> 1.	The Provincial Government of Batanes, through the Provincial Appropriations Ordinance No. 03 series of 2019 intends to apply the sum of One Hundred Seventeen Thousand Ten Pesos Only (₱ 117,010.00), being the Approved Budget for the Contract (ABC) to pa</t>
  </si>
  <si>
    <t xml:space="preserve"> REQUEST FOR QUOTATION (RFQ) RFQ-BNBNP No. Bul-2020-02 The Department of Environment and Natural Resources-PENRO Bulacan, through its Provincial Bids and Awards Committee (PBAC), is calling for participation of local community or People’s Organization of k</t>
  </si>
  <si>
    <t xml:space="preserve"> BRAND NEW DUMPTRUCK 4 x 2 6CBM WITH HIGHSIDE &amp; DOUBLE BACK DOOR WITH COMPLETE ACCESSORIES INCLUDING : ( SPARE TIRE, JACK AND TOOLS, 2 PCS. (EWD) EARLY WARNING DEVICE LTO REGISTRATION IN THE NAME OF THE BUYER AND INSURANCE PREMIUM )</t>
  </si>
  <si>
    <t xml:space="preserve"> Republic of the Philippines Province of Camarines Sur MUNICIPALITY OF DEL GALLEGO INVITATION TO BID FOR THE CONCRETING OF PORTION OF SINUKNIPAN II GOING TO PUTING BUHANGIN [BAC INFRA 2020-06] The Local Government Unit of Del Gallego, Camarines Sur, throug</t>
  </si>
  <si>
    <t xml:space="preserve"> Office Equipment-Office Table with Office Chair,Aluminum Fixture</t>
  </si>
  <si>
    <t xml:space="preserve"> Construction Projects-Concreting of Access Road to Evacuation Center Phase 2 Brgy. Awasian, Tandag City</t>
  </si>
  <si>
    <t xml:space="preserve"> Item	Description	Quantity	Unit I.	SITE WORKS		 1.a	Mobilization, Demobilization	1	Lot 1.b	Temporary facility &amp; project signboard	1	Lot 1.c	Safety Equipment	1	Lot 	Sub-Total of Item I---------------------		 II.	CONCETE WORKS		 2.a	Form Works		 2.a.1	1” x 6</t>
  </si>
  <si>
    <t xml:space="preserve"> SUPPLY, DELIVERY AND TESTING OF ONE (1) UNIT HEAVY DUTY MONEY COUNTER FOR DBP PALAYAN BRANCH *** PLEASE SEE ATTACHED APPROVED TERMS OF REFERENCE WITH TECHNICAL SPECIFICATIONS ***</t>
  </si>
  <si>
    <t xml:space="preserve"> BLGU-PINAMANAGAN-AL-02-2020 CONSTRUCTION OF 12M CONCRETE PAVEMENT</t>
  </si>
  <si>
    <t xml:space="preserve"> THE DISTRICT ENGINEERING OFFICE IS UNDERTAKING THE FOLLOWING  CONTRACTS, THROUGH NEGOTIATED PROCUREMENT IN ACCORDANCE WITH SECTION 53.9 OF THE REVISED IMPLEMENTATION RULES AND REGULATIONS OF R.A. 9184 (SMALL VALUE PROCUREMENT)</t>
  </si>
  <si>
    <t xml:space="preserve"> Republic of the Philippines Province of Guimaras OFFICE OF THE BIDS AND AWARDS COMMITTEE INVITATION TO BID FOR    SUPPLY AND DELIVERY OF MEDICAL SUPPLIES Bid Ref. No. 2020-07-431 1.	The Province of Guimaras , through the NVDH- 502-03-080 Medical, Dental a</t>
  </si>
  <si>
    <t xml:space="preserve"> The Department of Public Works and Highways – Northern Samar Second District Engineering Office, through its Bids and Awards Committee (BAC) invites suppliers to submit bids for the following Contract: Contract ID No.	:	20GII0010 Contract Name	:	Supply an</t>
  </si>
  <si>
    <t xml:space="preserve"> Description   LOT 1- HARDWARE MATERIALS    ABC  Php  57,340.00 520 pcs. CHB 4 " 32 pcs 12mm DSB x 6m 64 pcs. 10mm DSB x 6m 4 kls. Tie Wire #16 3 cu.m. Washed Sand 3 cu.m. Screened gravel 60 bags Portland Cement 12 pcs. Marine plywood (1/4") 4 pcs. Ordinar</t>
  </si>
  <si>
    <t xml:space="preserve"> VARIOUS MEDICAL EQUIPMENT</t>
  </si>
  <si>
    <t xml:space="preserve"> Republic of the Philippines COMMISSION ON AUDIT Quezon City REQUEST FOR QUOTATION Procurement And Property &amp; Supply Management Services, General Services Office Date Prepared: July 28, 2020 Supplier :______________________ Address :______________________ </t>
  </si>
  <si>
    <t xml:space="preserve"> Republic of the Philippines Province of Eastern Samar Municipality of Mercedes     OFFICE OF THE BIDS AND AWARDS COMMITTEE (BAC) INVITATION TO BID # INFRA-2020-009  Invitation to Bid for the Proposed Construction of Multi-Purpose Center (Phase 1)     		 1</t>
  </si>
  <si>
    <t xml:space="preserve"> REQUEST FOR QUOTATION Local Government Unit of Guinobatan invites eligible Suppliers to submit Proposals specific named contract: Repainting of Parks and monuments and repair of stage Poblacion, Guinobatan, albay Procurement will be conducted through Nego</t>
  </si>
  <si>
    <t xml:space="preserve"> REQUEST FOR QUOTATION Local Government Unit of Guinobatan invites eligible Suppliers to submit Proposals specific named contract: Repair of Road shoulder and gutter along paterno, ocfemia, zamora and mabini street, guinobatan, albay Procurement will be co</t>
  </si>
  <si>
    <t xml:space="preserve"> 1      5 KIT MONOLISA HBsAg;480T " Micro plate strips (Coated with monoclonal anti-HBs antibodies) " Concentrated washing solution " Negative control " Positive control " Conjugate diluent " Conjugate (Mouse monoclonal anti-HBs antibodies and goat polyclo</t>
  </si>
  <si>
    <t xml:space="preserve"> Republic of the Philippines DEPARTMENT OF PUBLIC WORKS AND HIGHWAYS LANAO DEL NORTE 1st  DISTRICT ENGINEERING OFFICE REGION X 0054 Seminary Drive, Del Carmen, Iligan City INVITATION TO BID FOR THE PROCUREMENT OF GOODS/SUPPLIES FOR THE   FOLLOWING PROJECT </t>
  </si>
  <si>
    <t xml:space="preserve"> Republic of the Philippines Province of Camarines Sur MUNICIPALITY OF DEL GALLEGO INVITATION TO BID FOR THE CONCRETING OF PORTION OF MABINI ROAD [BAC INFRA 2020-07] The Local Government Unit of Del Gallego, Camarines Sur, through the Reprogramming – MDC R</t>
  </si>
  <si>
    <t xml:space="preserve"> Republic of the Philippines BATANGAS STATE UNIVERSITY Batangas City REQUEST FOR QUOTATION "Procurement of Electrical Supplies and Fixture for the College of Engineering,Architecture and Fine Arts"  1. The Batangas State University (BatState U) through the</t>
  </si>
  <si>
    <t xml:space="preserve"> Republic of the Philipines Province of Southern Leyte Municipality of Tomas Oppus Barangay Carnaga ANNUAL PROCUREMENT PLAN PURCHASE OF ADULT MILK AND SUGAR Name of Barangay: Carnaga Program Control No. 2020-2021 PLANNED AMOUNT Department/Office: Regular C</t>
  </si>
  <si>
    <t xml:space="preserve"> I.	SITE WORKS		 1.a	Mobilization, Demobilization	1	Lot 1.b	Temporary facility &amp; project signboard	1	Lot 1.c	Safety Equipment	1	Lot 	Sub-Total of Item I---------------------		 II.	CONCETE WORKS		 2.a	Form Works		 2.a.1	1” x 6” Coco Lumber	525	Bd. Ft 2.a.2	</t>
  </si>
  <si>
    <t xml:space="preserve"> Republic of the Philippines Province of Eastern Samar City  of  Borongan BARANGAY BATO  E-mail address: nidabadiola@yahoo.com. Tel#09194536037 ========================================================================== BIDS AND AWARDS COMMITTEE  (BAC) INVI</t>
  </si>
  <si>
    <t xml:space="preserve"> 21 unit of Streetlights</t>
  </si>
  <si>
    <t xml:space="preserve"> 1.	The Provincial Government of Batanes, through the Provincial Appropriations Ordinance No. 03 series of 2019 intends to apply the sum of Sixty Thousand Pesos Only (₱ 60,000.00), being the Approved Budget for the Contract (ABC) to payments under the cont</t>
  </si>
  <si>
    <t xml:space="preserve"> This project is located at barangay Luzon,Cabatuan,Isabela					 					 	Type of structure: Vertical Structure				 	Size of structure  : 8mX12m (two storey)				 	Classification        : Building structure				 					 					 ITEM NO.	DESCRIPTION OF WORKS	QUANTI</t>
  </si>
  <si>
    <t xml:space="preserve"> Please see attached Bidding Documents and Technical Specifications Other documents relative to this procurement is available at the BAC Secretariat</t>
  </si>
  <si>
    <t xml:space="preserve"> 20	set	Printing of PRDP Photos				 		Specifications:				 		A3 Size (287x420mm), matte vinyl sticker in clear acrylic frame/case with bolt				 5	pcs	Tarpaulin Printing-Subprojects map (48x72inches)				 5	pcs	Tarpaulin Printing-Subprojects map (20x27inches)</t>
  </si>
  <si>
    <t xml:space="preserve"> Republic of the Philippines Province of Leyte Municipality of Hilongos Barangay Tambis REQUEST FOR QUOTATION __________________________ __________________________					                           Date:____________________________ __________________________ </t>
  </si>
  <si>
    <t xml:space="preserve"> 1.	The Municipality of Baliguian, now invites bids for the Construction of New Evacuation Center, Kauswagan, Baliguian, Zamboanga del Norte.  2.	Bidding will be conducted in accordance with relevant procedures for open competitive bidding as. The contract</t>
  </si>
  <si>
    <t xml:space="preserve"> MATERIALS LABOR</t>
  </si>
  <si>
    <t xml:space="preserve"> 1. EXCAVATION 2. REINFORCED/CONCRETE WORKS 3. INSTALLATION</t>
  </si>
  <si>
    <t xml:space="preserve"> Purchase of MRF ( Materials Recovery Facilities)</t>
  </si>
  <si>
    <t xml:space="preserve"> BLGU-PINAMANAGAN-AL-03-2020 CONSTRUCTION OF 13M CONCRETE PAVEMENT WITH CONCRETE CANAL</t>
  </si>
  <si>
    <t xml:space="preserve"> Republic of the Philippines Province of Negros Occidental Municipality of Valladolid INVITATION TO BID  PROCUREMENT OF SUPPLEMENTAL MATERIALS  1.	The Municipality of Valladolid, through the Special Education Fund (SEF) intends to apply the sum of Three Hu</t>
  </si>
  <si>
    <t xml:space="preserve"> Republic of the Philippines Region XII                 Province of Cotabato                  City of Kidapawan OFFICE OF THE BIDS AND AWARD COMMITTEE REQUEST FOR QUOTATION (Small Value Procurement) 									 Date: July 29, 2020											 SVP No: SVP2020-</t>
  </si>
  <si>
    <t xml:space="preserve"> 1.	The Municipality of Baliguian, now invites bids for the Rehabilitation of Level II Potable Water Supply at Barangay Tan-awan, Baliguian, Zamboanga del Norte.  2.	Bidding will be conducted in accordance with relevant procedures for open competitive bidd</t>
  </si>
  <si>
    <t xml:space="preserve"> I - Common Excavation II - Sand Bagging III - Structural Concrete a.  Super Structure:  Box Culvert 16.80 cu.m.      Paving Notch      Reinforcing Steel Bars b.  Apron Vol.= 11.92cu.m.      Shear Key: Vol= 5.52cu.m.      Total Vol 17.44cu.m. c.  Wing Wall</t>
  </si>
  <si>
    <t xml:space="preserve"> Item No.	Unit	DESCRIPTION				Qty 						 1	Pcs.	FILING CABINET COMM'L 4-D WRINKLED				3 2	Pcs.	FILING CABINET COMM'L 4-D BLUE				2 3	Pcs.	FILING CABINET COMM'L 3-D GRAY				2 4	Pcs.	EXECUTIVE CHAIR				1</t>
  </si>
  <si>
    <t xml:space="preserve"> 1.	The Provincial Government of Batanes, through the Provincial Appropriations Ordinance No. 03 series of 2019 intends to apply the sum of Sixty-Four Thousand Pesos Only (₱ 64,000.00), being the Approved Budget for the Contract (ABC) to payments under the</t>
  </si>
  <si>
    <t xml:space="preserve"> Republic of the Philippines Province of Cotabato Municipality of Aleosan Invitation to Bid  SUPPLY AND DELIVERY OF PORTABLE MICROBIOLOGICAL TEST FOR WATER                                                                                                     </t>
  </si>
  <si>
    <t xml:space="preserve"> 1. 1 LOT - ID SUPPLIES - 500,000.00 The Complete Schedule of Activities are Listed as Fallows: 1. Submission of Letter of Intent, August 5-7, 2020 @ 10:00a.m @ Mun. Conference Room, Mun. Hall Dangcagan, Bukidnon 2. Issuance of Bid Documents - August 10-17</t>
  </si>
  <si>
    <t xml:space="preserve"> CARPENTRY, PAINTING WORKS</t>
  </si>
  <si>
    <t xml:space="preserve"> Item No.	ITEM AND DESCRIPTION	QTY	Unit of Issue	UNIT PRICE 1	Bond Paper A3	2	 box	 2	Bond Paper A4	80	 box	 3	Folder (A4)	5	box	 4	Folder (long)	5	 box	 5	Staple Wire Copper # 35	12	box	 6	Metal Fastener	4	box	 7	Plastic Fastener	10	 box	 8	Signing Pen (B</t>
  </si>
  <si>
    <t xml:space="preserve"> Republic of the Philippines Province of Eastern Samar Municipality of Mercedes     OFFICE OF THE BIDS AND AWARDS COMMITTEE (BAC) INVITATION TO BID # INFRA-2020-010  Invitation to Bid for the Proposed Upgrading of Multi-Purpose Center (Phase 1)     		 1.	T</t>
  </si>
  <si>
    <t xml:space="preserve"> Republic of the Philippines Province of Leyte Municipality of Hilongos INVITATION TO BID FOR THE PROCUREMENT OF OFFICE SUPPLIES 1.  The Local Government Unit of Hilongos, through GENERAL FUND-CURRENT APPROPRIATION- intends to apply the sum ONE HUNDRED FIF</t>
  </si>
  <si>
    <t xml:space="preserve"> SPCL-I - Project Billboard    32.00  sq.ft. Item I - Breaking of Existing Pavement  740.00  sq.m. Item II - Embankment/Backfilling and Compaction  149.00  cu.m. Item III - P.C.C.P. @ 0.127m thick  192  sq.m. Invitation to Bid    EMBANKMENT AND CEMENTING O</t>
  </si>
  <si>
    <t xml:space="preserve"> Republic of the Philippines MUNICIPALITY OF QUEZON Province of Quezon INVITATION TO BID Date	: July 29, 2020 The Municipality of Quezon, through its Bids and Awards Committee (BAC), invites supplier/manufactures/distributors/contractors to apply for eligi</t>
  </si>
  <si>
    <t xml:space="preserve"> Republic of the Philippines Province of Leyte Local Government Unit Bato, Leyte INVITATION TO BID SUPPLY AND DELIVERY OF VARIOUS MATERIALS FOR THE CONSTRUCTION OF MAN MADE LAGOON PHASE II, BRGY. KALANGGAMAN, BATO, LEYTE (BATGOODS 2020-07-019) 1.	The Local</t>
  </si>
  <si>
    <t xml:space="preserve"> 100	bts	Liquid Soap (Anti-bacterial) 225mL		 50	pairs	Rubber Gloves (thick) any color available  (for GSO)		 150	pairs	Rubber Gloves (thin) any color available (for GSO)		 40	bxs	Non-sterile Gloves (medium) 100pcs/box		 40	bxs	Non-sterile Gloves (large) 1</t>
  </si>
  <si>
    <t xml:space="preserve"> INVITATION TO APPLY FOR ELIGIBILITY AND BID								 								 The  Municipality  of  Maasin,  Iloilo,  through  its  Bids  and  Awards  Committee (BAC),  invites  suppliers/								 distributors/ contractors to apply for eligibility and to bid for the here</t>
  </si>
  <si>
    <t xml:space="preserve"> Republic of the Philippines PROVINCE OF CAMARINES SUR BIDS AND AWARDS COMMITTEE 									    	                      ITB No.044-08-2020 INVITATION TO BID 	The Provincial Government of Camarines Sur (PGCS) through its Bids and Awards Committee (BAC) invites</t>
  </si>
  <si>
    <t xml:space="preserve"> Republic of the Philippines Province of Batanes	 MUNICIPALITY OF BASCO               		INVITATION TO BID FOR THE PROCUREMENT OF MATERIALS FOR THE REHABILITATION OF MUNICIPAL BUILDING-STAIRS AND HALLWAY 1.	The Municipal Local Government Unit of Basco, thro</t>
  </si>
  <si>
    <t xml:space="preserve"> INVITATION TO BID The Department of Science and Technology Regional Office No. 7, through the Bids and Awards Committee, hereby invites interested suppliers to bid for the following equipment:                                                               </t>
  </si>
  <si>
    <t xml:space="preserve"> PURCHASE REQUEST										 MUNICIPAL GOVERNMENT OF SEBASTE, ANTIQUE										 										 Department:		SB OFFICE			PR No.:		Date:			 Section:					SAI No.:		Date:			 					OS No.:		Date:			 ITEM NO.	QTY	UNIT OF	ITEM DESCRIPTION				ESTIMATED 		ESTIMATED COST	</t>
  </si>
  <si>
    <t xml:space="preserve"> Rehab of Hanging Bridge Piasusuan @ Napnapan, Pantukan, Davao De Oro (Labor)</t>
  </si>
  <si>
    <t xml:space="preserve"> Location: LGU-Lagawe ABC: Php 2,205,000.00 Cost of Bid Docs: 5,000.00 The Procurement Schedules are as following: 1. Deadline of buying of Bid Docs: August 12, 2020 @ 5:00 PM 2. Deadline for submission of Bid Docs: August 13, 2020 @ 9:00 AM 3. Opening of </t>
  </si>
  <si>
    <t xml:space="preserve"> Republic of the Philippines Province of Cotabato Municipality of Aleosan Invitation to Bid  SUPPLY AND DELIVERY OF A4 BOND PAPER SUB 20 - SEF                                                                                                                  </t>
  </si>
  <si>
    <t xml:space="preserve"> Republic of the Philippines PROVINCE OF BILIRAN Municipality of Naval – 6560 Project Reference Number: ITB No. 20-27           INVITATION TO BID FOR THE SUPPLY AND DELIVERY OF  VARIOUS DRUGS &amp; MEDICINES 	1.	The Provincial Government of Biliran under Suppl</t>
  </si>
  <si>
    <t xml:space="preserve"> ENHANCEMENT OF HEALTH CENTER BUILDING of brgy. banza</t>
  </si>
  <si>
    <t xml:space="preserve"> 1	unit	Up to A3 Colored Multifunction Photocopier Machine		 		Shall satisfy the following minimum technical 		 		specifications or its equivalent:		 		*Print/Copy Speed: 22-30 pages per minute 		 		(Printer, Copier Scanner) with reversing Automatic		 		Do</t>
  </si>
  <si>
    <t xml:space="preserve"> 1. 1 LOT - CONSTRUCTION SUPPLIES - 1,430,873.30 The Complete Schedule of Activities are Listed as Fallows: 1. Submission of Letter of Intent, August 6-11, 2020 @ 10:00a.m @ Mun. Conference Room, Mun. Hall Dangcagan, Bukidnon 2. Issuance of Bid Documents -</t>
  </si>
  <si>
    <t xml:space="preserve"> 1.	40kg. Portland Cement	459 bags 2.	Washed Sand (338 sacks)	13 cu.m. 3.	Washed Gravel (234 sacks)	9 cu.m. 4.	4”CHB	2,745 pcs. 5.	10mmØ x 6m RSB	123 pcs. 6.	16mmØ x 6m RSB	36 pcs. 7.	8’ Cor. G.I. sheet Gauge #.40mm	13 shts. 8.	10’ Cor. G.I. sheet Gauge #.</t>
  </si>
  <si>
    <t xml:space="preserve"> City Government of Kidapawan BIDS AND AWARD COMMITTEE Poblacion, Kidapawan City INVITATIONS TO PAKYAW CONTRACT GROUPS 			 Date: July 29, 2020 PL#:PL2020-03-0001 	The City of Kidapawan is inviting Pakyaw Contract Groups to apply for the various items invol</t>
  </si>
  <si>
    <t xml:space="preserve"> Republic of the Philippines DEPARTMENT OF PUBLIC WORKS AND HIGHWAYS BATANGAS II  DISTRICT ENGINEERING OFFICE REGIONAL OFFICE IV-A Kumintang Ilaya, Batangas City INVITATION TO BID For Concreting of Brgy. Manalupang FMR, Brgy. Manalupang, Bauan, Batangas  1</t>
  </si>
  <si>
    <t xml:space="preserve"> 1 Ascorbic Acid (Vitamin C) 100 mg/5 mL, 60 mL Syrup (144 bottles/box) 2 Ascorbic Acid Tablet 500mg (100 tab/box) 3 Atorvastatin 20mg tablet (100 tablet/box) 4 Cefalexin 125mg/5ml in 60ml bottle (144 bottles/box) 5 Cefalexin 500mg capsule (100capsule/box)</t>
  </si>
  <si>
    <t xml:space="preserve"> ENHANCEMENT OF MULTIPURPOSE BUILDING at BRGY. BANZA</t>
  </si>
  <si>
    <t xml:space="preserve"> Republic of the Philippines DEPARTMENT OF PUBLIC WORKS AND HIGHWAYS BATANGAS II  DISTRICT ENGINEERING OFFICE REGIONAL OFFICE IV-A Kumintang Ilaya, Batangas City INVITATION TO BID For Concreting of Brgy. Calo FMR, Brgy. Calo, Lobo, Batangas  1.	The Departm</t>
  </si>
  <si>
    <t xml:space="preserve"> 1.	The Provincial Government of Batanes, through the Provincial Appropriations Ordinance No. 03 series of 2019 (Capital Outlay) intends to apply the sum of One Hundred Seventy-Five Thousand Pesos Only (₱ 175,000.00), being the Approved Budget for the Cont</t>
  </si>
  <si>
    <t xml:space="preserve"> Republic of the Philippines Province of Pangasinan Municipality of Natividad BTO BATCHELOR EAST INVITATION TO BID FOR (CONSTRUCTION OF PUBLIC TOILET WITH DRESSING ROOM AT BARANGAY HALL COMPOUND, PUROK 6 IN  BARANGAY BATCHELOR EAST, N ATIVIDAD, PANGASINAN)</t>
  </si>
  <si>
    <t xml:space="preserve"> INVITATION TO BID NO. 2020-07-0019 PROCUREMENT OF OFFICE AND PRINTING SUPPLIES OF CAPSU CENTRAL ADMINISTRATION AND BURIAS CAMPUS 1.	The Capiz State University, through the Trust Fund and Special Trust Fund - 2020 intends to apply the sum of Three Hundred </t>
  </si>
  <si>
    <t xml:space="preserve"> Contract for One (1) Lot Cloud Storage, 20TB under P.R. No. KMT-2002-008 and ITB No. 2006-029-10 Schedule of Activities  Pre-bid Conference		: 05 August 2020 @ 10:00 A.M. 				  Cafeteria, LRTA Line 2- Depot, Santolan, Pasig City Submission of Bids		: 19 A</t>
  </si>
  <si>
    <t xml:space="preserve"> CONCRETING/CONSTRUCTION OF BOBONAON-BIYABID ROAD MUNICIPALITY OF SISON AND MAINIT, SURIGAO DEL NORTE Brief Description:    The project will involve the Concreting/Construction of Bobonaon-Biyabid Road with the following scope of works: Construction of Fie</t>
  </si>
  <si>
    <t xml:space="preserve"> Republic of the Philippines Region XII Province of Cotabato City of Kidapawan OFFICE OF THE BIDS AND AWARD COMMITTEE REQUEST FOR QUOTATION (Small Value Procurement) 									 Date: July 29, 2020							             				 SVP No.:SVP2020-07-0142 The City Gov</t>
  </si>
  <si>
    <t xml:space="preserve"> ENHANCEMENT OF MULTI PURPOSE COVERED COURT OF BRGY. BANZA</t>
  </si>
  <si>
    <t xml:space="preserve"> 1.	200	pc.	Straight Fluorescent Lamp 40 watts 2.	200	pc.	Straight Fluorescent Lamp 20 watts 3.	150	pc.	Energy Saving Light Bulb 3 watts (LED) 20,000hrs. 4.	150	pc.	Energy Saving Light Bulb 5 watts (LED) 20,000hrs. 5.	100	pc.	Energy Saving Light Bulb 9 wat</t>
  </si>
  <si>
    <t xml:space="preserve"> Invitation to Apply for Eligibility and to Bid The barangay Payag, San Pablo, Zamboanga del Sur, through its Bids &amp; Awards Committee (BAC) invites suppliers to apply and to bid for the hereunder project: Name of Project: Repair of Hanging Bridge Deadman L</t>
  </si>
  <si>
    <t xml:space="preserve"> CONSTRUCTION OF PARKING SHED OF BRGY. BANZA</t>
  </si>
  <si>
    <t xml:space="preserve"> INVITATION TO BID The Iligan City Government Bids and Awards Committee (BAC), through General Fund 2020, intends to apply the sum of  P 1,994,475.00  being the Approved Budget for the Contract (ABC) to payments under the Contract for Procurement of Drugs </t>
  </si>
  <si>
    <t xml:space="preserve"> Republic of the Philippines Province of Cotabato Municipality of Arakan Barangay Doroluman PBIDS AND AWARDS COMMITTEE INVITATION TO BID FOR  Ri Bid for Materials for the Construction of Social Hall 1.	The Barangay Local Government Unit of Doroluman, throu</t>
  </si>
  <si>
    <t xml:space="preserve"> REPUBLIC OF THE PHILIPPINES MUNICIPALITY OF LUBAO INVITATION TO BID FOR THE PROCUREMENT OF GOODS FOR STOCKPILING OF RELIEF GOODS 1.	The Municipality of Lubao (MOL) through the authorized appropriation under LDRRMF ANNUAL BUDGET 2020 intends to apply the s</t>
  </si>
  <si>
    <t xml:space="preserve"> Republic of the Philippines Province of Cotabato Municipality of Arakan Barangay Doroluman PBIDS AND AWARDS COMMITTEE INVITATION TO BID FOR  Ri Bid for Materials for the Construction of Stock Room 1.	The Barangay Local Government Unit of Doroluman, throug</t>
  </si>
  <si>
    <t xml:space="preserve"> Department of Education Region VI-Western Visayas Division of Cadiz City Mabini National High School INVITATION TO BID FOR PROCUREMENT OF INTERNET LOAD MNHS-SHS 2020 1.	The Mabini National High School  of Cadiz City, through the Schools MOOE Fund CY 2020 </t>
  </si>
  <si>
    <t xml:space="preserve"> SITE WORKS		 Mobilization, Demobilization &amp; Waste Disposal	1	Lot Safety Equipment	1	Lot Sub-Total of Item I---------------------		 EARTHWORKS		 Excavation for concrete pedestal	1	Lot FABRICATION AND INSTALLATION OF LAMPPOST		 Concrete Works		 Pozzolanic C</t>
  </si>
  <si>
    <t xml:space="preserve"> Republic of the Philippines Province of Romblon MUNICIPALITY OF MAGDIWANG INVITATION TO BID CONSTRUCTION OF DRAINAGE SYSTEM ALONG  JACINTO ST. IN BARANGAY POBLACION Project ID No. 07-2020-008 January 9, 2020 1.	The Municipality of Magdiwang, Romblon, thro</t>
  </si>
  <si>
    <t xml:space="preserve"> 1.	The Provincial Government of Batanes, through the Provincial Appropriations Ordinance No. 03 series of 2019 intends to apply the sum of One Hundred Fifty-Five Thousand Pesos Only (₱ 155,000.00), being the Approved Budget for the Contract (ABC) to payme</t>
  </si>
  <si>
    <t xml:space="preserve"> Item No.	Unit	Qty.	Description of Articles				 1	cu.m.	2390	Filling Materials (White Rocks)				 			x-x-x-x-x				 							 							 		Note: quarry site (stockpile should be provided by the supplier)</t>
  </si>
  <si>
    <t xml:space="preserve"> INVITATION TO BID The Department of Education (DepEd), Division of Pagadian City through the 2019 Government Appropriations Act (GAA), intends to apply the sum of One Million Seven Hundred Forty-Eight Thousand Five Hundred Ninety-One Pesos Only and 30/100</t>
  </si>
  <si>
    <t xml:space="preserve"> Republic of the Philippines Province of North Cotabato Municipality of Pres. Roxas OFFICE OF THE BIDS AND AWARDS COMMITTEE INVITATION TO BID The Local Government Unit of President Roxas, thru Bids and Awards Committee (BAC) hereby invites interested Bidde</t>
  </si>
  <si>
    <t xml:space="preserve"> Republic of the Philippines Province of Cotabato Municipality of Arakan Barangay Doroluman PBIDS AND AWARDS COMMITTEE INVITATION TO BID FOR  Ri Bid for Materials for the Construction of Back Stage 1.	The Barangay Local Government Unit of Doroluman, throug</t>
  </si>
  <si>
    <t xml:space="preserve"> ITEM	QTY.	UNIT	PARTICULARS 704	26.52	sq.m.	MASONRY WORKS 801	1.00	lot	REMOVAL 900	1.00	cu.m.	CONCRETE WORKS 1010	4.00	sets	DOOR 1013	241.08	sq.m.	METAL ROOFING SPL-1	274.49	sq.m.	AMAKAN WALLING SPL-2	100.00	bd.ft.	SCAFFOLDING SPL-3	2.00	sets	PROJECT BILLB</t>
  </si>
  <si>
    <t xml:space="preserve"> Item No.	Unit	Qty.	Description of Articles				 1	cu.m.	1560	Filling Materials (White Rocks)				 			x-x-x-x-x				 							 							 		Note: quarry site (stockpile should be provided by the supplier)</t>
  </si>
  <si>
    <t xml:space="preserve"> bulletin board (2x3ft) floorwax 900g Phil. Flag zonrox (1000ml) scissor symmetrical blade  stick brooms  soft brooms  bond paper a4 epson ink black epson ink magenta  epson inkl cyan  epson ink yellow construction paper (asstd color) glue all purpose 200g</t>
  </si>
  <si>
    <t xml:space="preserve"> Purchase of Various Furniture and Fixture to be taken from Capital Outlay 2020</t>
  </si>
  <si>
    <t xml:space="preserve"> INVITATION TO BID NO. 2020-07-0020 PROCUREMENT OF BUS PARKING SHADE STRUCTURE OF CAPSU ROXAS MAIN CAMPUS 1.	The Capiz State University, through the Special Trust Fund 2020 intends to apply the sum of Three Hundred Sixty-Five Thousand Three Hundred One Pes</t>
  </si>
  <si>
    <t xml:space="preserve"> 60 bags cement 5 cu.m Gravel 4 cu.m. Sand 2 pcs RSB 16mm0 37 pcs RSB 12mm0 25 pcs RSB 10mm0 6 kgs #16 G.I. Tie wire 180 pcs CHB 4" 180 bdft Coco lumber 5 kgs Assorted CW Nail 7 pcs O. Plywood 1/4 1 set (Fabrication and Installation) 1.20 x 2.10m Steel Doo</t>
  </si>
  <si>
    <t xml:space="preserve"> Republic of the Philippines                  MUNICIPALITY OF MARIHATAG                 SURIGAO DEL SUR                                                 -o0o-        Bids and Awards Committee       INVITATION TO BID   SUPPLY &amp; DELIVERY OF FUEL USE FOR REHAB</t>
  </si>
  <si>
    <t xml:space="preserve"> CARPENTRY AND ROOFING WORKS</t>
  </si>
  <si>
    <t xml:space="preserve"> Republic of the Philippines Province of Davao del Sur MUNICIPALITY OF STA.CRUZ INVITATION TO BID  PROCUREMENT OF ASSORTED CELLCARDS FOR COMMUNICATION PURPOSES (3RD &amp; 4TH QTR 2020) - 1ST POSTING (ITB No. 24-Goods-2020) 1.	The Local Government Unit of Sta. </t>
  </si>
  <si>
    <t xml:space="preserve"> INVITATION TO BID #2020-05  FOR  GOODS The Department of Public Works and Highways, Samar Second District Engineering Office, Catbalogan City, Samar, through its Bids and Awards Committee (BAC) for Goods, invites suppliers to submit bids for the following</t>
  </si>
  <si>
    <t xml:space="preserve"> SOURCE OF FUNDS: ANNUAL BUDGET CY 2020 BIDDING DATE &amp; TIME: AUGUST 5, 2020- 1:00 P.M</t>
  </si>
  <si>
    <t xml:space="preserve"> Republic of the Philippines Province of Cotabato Municipality of Arakan Barangay Doroluman PBIDS AND AWARDS COMMITTEE INVITATION TO BID FOR  Ri Bid for Materials for the Rehabilitation of Slaughter House 1.	The Barangay Local Government Unit of Doroluman,</t>
  </si>
  <si>
    <t xml:space="preserve"> SUPPLY, TRANSPORT, DELIVERY &amp; HANDLING OF OFFICE SUPPLIES FOR PCA RXII  (please refer to attached RFQ).</t>
  </si>
  <si>
    <t xml:space="preserve"> The Local Government Unit of San Andres. Quezon is Requesting for Quotation for the Purchase of Materials for the Fabrication of Wooden windows Mosquito Net Frame at Bryg. Poblacion, San Andres, Quezon amounting to Php 56,735.00.</t>
  </si>
  <si>
    <t xml:space="preserve"> ITEM	QTY.	UNIT	PARTICULARS 103	47.94	m3	STRUCTURE EXCAVATION 404	282.38	kgs	REINFORCING STEEL 405	4.14	m3	STRUCTURAL CONCRETE 505-B	32.05	m3	PLAIN RIPRAP (CLASS “C”) 506	95.34	m3	STONE MASONRY (CLASS “A” ROCKS) SPL-A	4.00	units	PROJECT BILLBOARD SPL-C	1.0</t>
  </si>
  <si>
    <t xml:space="preserve"> 2 km</t>
  </si>
  <si>
    <t xml:space="preserve"> Name of Project	:	HIRING OF RESEARCH BOAT AND MOTOR LAUNCH FOR OFFICIAL USE OF TUBBATAHA                                 REEFS NATURAL PARK – MANAGEMENT OFFICE Destination	:	Puerto Princesa City to Tubbataha Reefs Natural Park, Cagayancillo, Palawan to Pu</t>
  </si>
  <si>
    <t xml:space="preserve"> BID TENDER								 								 The Bids and Awards Committee								 Province of Iloilo								 								      In connection with your Invitation to Bid No. ISC-20-0899-B scheduled on August 19, 2020, I/we proposed to furnish and deliver in conformity with th</t>
  </si>
  <si>
    <t xml:space="preserve"> Brief Description/Specification: “SUPPLY AND DELIVERY OF MEALS AND SNACKS” for the conduct of Information Dissemination regarding COVID-19 Related Ordinances, Municipal Government of Bayog, Zamboanga del Sur.   Approved Budget For The Contract:  Php 75,60</t>
  </si>
  <si>
    <t xml:space="preserve"> Lot 1 Supply and Delivery of Construction Materials for Installation of Floor Tiles, Installation of Doors &amp; Construction of Perimeter Fence of Barangay Health Center, Barangay Cunsad, Janiuay, Iloilo Item Number	Description	Quantity 1	Polished Tiles 0.60</t>
  </si>
  <si>
    <t xml:space="preserve"> 1. 1 unit Laptop -windows 10  core i5 10th Gen Processor  20 GB RAM, 256 GB SSD and 1 TB HDD storage  NVIDIA GeForce MX230 graphics  card, 15.6 inches TFT - LCD display  2. 1 unit Printer 4n1  L5190 echo tank, Wifi Ethernet  3. 1 unit Desktop  core i3  4G</t>
  </si>
  <si>
    <t xml:space="preserve"> BID TENDER								 								 The Bids and Awards Committee								 Province of Iloilo								 								      In connection with your Invitation to Bid No. ISC-20-0900-B scheduled on August 5, 2020, I/we proposed to furnish and deliver in conformity with the</t>
  </si>
  <si>
    <t xml:space="preserve"> Purchase of Office Equipment for Office Modernization of Office of Sangguniang Bayan, LGU San Andres, Romblon 	The Municipal Government of San Andres, Romblon through Capital Outlay (Regular Budget 2020) intends to apply the sum of Three Hundred Thousand </t>
  </si>
  <si>
    <t xml:space="preserve"> INVITATION TO BID FOR Procurement of Non-Contact Temperature Screening Camera for the Covid-19 Prevention of the College           The CAMARINES SUR POLYTECHNIC COLLEGES, through the GAA Savings (2020) intends to apply the sum of One Million Five Hundred </t>
  </si>
  <si>
    <t xml:space="preserve"> Republic of the Philippines CITY OF LAPU-LAPU BIDS AND AWARDS COMMITTEE Invitation to Bid FOR THE PROCUREMENT OF 1 LOT TRAINING PNEUMATIC PACKAGE EQUIPMENT SET The City of Lapu-Lapu through the  CO 3324-1-07-05-140-17s1 intends to apply the sum of One Mil</t>
  </si>
  <si>
    <t xml:space="preserve"> Provision of Training Services for Advance/Refresher Diving Course  Description :     Duration :  August 10-14, 2020   Location :  Coron, Palawan   Number of Participants :  10 pax    Inclusion :   1.	Diving License for all participants 2.	Food (snacks an</t>
  </si>
  <si>
    <t xml:space="preserve"> INVITATION TO BID FOR  Procurement of Goods [Supply and Installation of Close Circuit Television Security] (REBID) The   City Government of Tagbilaran,   through the Appropriation Ordinance No. 19-05 for FY 2020, intends to apply the sum of Nine Hundred E</t>
  </si>
  <si>
    <t xml:space="preserve"> Republic of the Philippines Province of Misamis Occidental MUNICIPALITY OF CALAMBA BARANGAY LANGUB INVITATION TO BID FOR PURCHASE OF MATERIALS FOR THE IMPROVEMENT OF BARANGAY ROAD 	July 29, 2020 1.	The Barangay Langub  of Calamba, Misamis Occidental, thro</t>
  </si>
  <si>
    <t xml:space="preserve"> Additional details available at the BAC Office  upon request and purchase of bidding documents</t>
  </si>
  <si>
    <t xml:space="preserve"> Name of Procuring Entity:                     	                             Contract Reference No. LGU-Q-CWC-09-20 LOCAL GOVERNMENT UNIT	 OF QUEZON, ISABELA      Name of Contract: CONSTRUCTION OF DAIRY GOAT BARN                             	              </t>
  </si>
  <si>
    <t xml:space="preserve"> Province of Iloilo									 BIDS AND AWARDS COMMITTEE									 New Iloilo Provincial Capitol, Bonifacio Drive, Iloilo City									 REQUEST FOR QUOTATION									 				Quotation No. 	COO-20-0416-NPSV				 				Reference PR No. 	COO-20-0416				 									 TO:	</t>
  </si>
  <si>
    <t xml:space="preserve"> Republic of the Philippines Province of Cotabato Municipality of Arakan Barangay Lanao Kuran BIDS AND AWARDS COMMITTEE INVITATION TO BID FOR  Installation of Basketball Ring Fiber Glass (1Set) With Stand/Post 1.	The Barangay Government Unit of Lanao Kuran</t>
  </si>
  <si>
    <t xml:space="preserve"> Please find attached TOR</t>
  </si>
  <si>
    <t xml:space="preserve"> 1 lot</t>
  </si>
  <si>
    <t xml:space="preserve"> Name of the Procuring Entity 					Project Reference No.                              				 					      Name of the Project:  Purchase of Supplies for Medical Mission				 									 				              Location of the Project :Looc,Romblon					 Standard Form Nu</t>
  </si>
  <si>
    <t xml:space="preserve"> REPUBLIC OF THE PHILIPPINES CITY GOVERNMENT OF OROQUIETA BIDS AND AWARD COMMITTEE City Hall Main, Oroquieta City            		 July 28, 2020                                                                                                                   </t>
  </si>
  <si>
    <t xml:space="preserve"> RE - INVITATION TO BID FOR CIVIL WORKS July 27, 2020 1.	The Department of Public Works and Highways (DPWH), Bukidnon Second District Engineering Office, Pinamaloy, Don Carlos, Bukidnon through its Bids and Awards Committee BAC, invites contractors to subm</t>
  </si>
  <si>
    <t xml:space="preserve"> The Barangay Government of Barangay Malibayo, Batangas City intends to apply the sum of Eighty Four Thousand Seven Hundred Ninety Eight Pesos (P 84,798.00) broken down as follow: ITEM Brief Description SUB-ABC Lot 1 Purchase of Medical Supplies Bids recei</t>
  </si>
  <si>
    <t xml:space="preserve"> 1 UNIT 4X4 MULTICAB PICK-UP WITH CANOPE PICK-UP  WITH CANOPE ENGINE  DISPLACEMENT : 660 CC TYPE:  GAS TRANSMISSION : MANUAL</t>
  </si>
  <si>
    <t xml:space="preserve"> BARANGAY GOVERNMENT OF POBLACION C INVITATION TO BID FOR Materials of Fabrication for Two-Storey Multi-Purpose Halll 1.	The Barangay Government of Poblacion C through the Budget of 2020 intends to apply the sum of Php 529,859.60 being the Approved Budget </t>
  </si>
  <si>
    <t xml:space="preserve"> Purchase of Barangay Business Plate</t>
  </si>
  <si>
    <t xml:space="preserve"> 1.	90 	gal.	LIQUID BLEACH, 1-Gal, Floral Scent 2.	30	bottle	DISINFECTANT SPRAY, 340-grams 3.	384	cakes	BATH SOAP, 90-Grams (Anti-bacterial) 4.	192	roll	TOILET PAPER, 2-Ply 5.	720	sach.	DISHWASHING LIQUID, 50-ml (Anti-bacterial) 6.	30	sach.	DISWASHING SPON</t>
  </si>
  <si>
    <t xml:space="preserve"> 1 Lot HARDWARE, ELECTRICAL AND CONSTRUCTION SUPPLIES/MATERIALS</t>
  </si>
  <si>
    <t xml:space="preserve"> Printing Supplies</t>
  </si>
  <si>
    <t xml:space="preserve"> please find attached TOR</t>
  </si>
  <si>
    <t xml:space="preserve"> BIDS AND AWARDS COMMITTEE INVITATION TO BID The  Barangay Lopoc  of Labason, Zamboanga del Norte, through its Bids and Awards Committee (BAC), invites eligible suppliers/contractors to bid for the hereunder project: Name of Project and Description:  Const</t>
  </si>
  <si>
    <t xml:space="preserve"> Republic of the Philippines PROVINCE OF NORTHERN SAMAR Municipality of Lavezares -oOo- INVITATION TO APPLY FOR ELIGIBILITY AND TO BID 		The Local Government Unit of Lavezares, Province of Northern Samar invites bidders/ 	contractors to apply for eligibili</t>
  </si>
  <si>
    <t xml:space="preserve"> Materials 2,000   pcs.  CHB#4 2   CU.M Fine  Sand 122  bags  Cement 15  cu.m washed  sand 9 cu.m washed  gravel 80  pcs.Defbar #  10 3  sheets m.plywood # 4x8x1/2 5 kilos   tie  wire#16 5  pcs.  coco lumber #2x2x8 2 kilos  concrete  nail #2 10  pcs. hacks</t>
  </si>
  <si>
    <t xml:space="preserve"> INVITATION TO BID FOR CIVIL WORKS July 27, 2020 1.	The Department of Public Works and Highways (DPWH), Bukidnon Second District Engineering Office, Pinamaloy, Don Carlos, Bukidnon through its Bids and Awards Committee BAC, invites contractors to submit bi</t>
  </si>
  <si>
    <t xml:space="preserve"> Republika ng Pilipinas								 NATIONAL IRRIGATION ADMINISTRATION								 Pambansang Pangasiwaan ng Patubig								 Negros Occidental Irrigation Management Office								 Celis St. Bago City, Negros Occidental								 (034) 461-0494, (034) 454-2033							</t>
  </si>
  <si>
    <t xml:space="preserve"> Republic of the Philippines PROVINCE OF CAMARINES SUR BIDS AND AWARDS COMMITTEE ITB No. 045-08-2020 INVITATION TO BID  	The Provincial Government of Camarines Sur (PGCS) through its Bids and Awards Committee (BAC) invites suppliers/manufacturers/distribut</t>
  </si>
  <si>
    <t xml:space="preserve"> Republic of the Philippines Province of Cotabato Municipality of Arakan Barangay Lanao Kuran BIDS AND AWARDS COMMITTEE INVITATION TO BID FOR  Purchase of 2 Unit Laptop With 1 Unit Printer 1.	The Barangay Government Unit of Lanao Kuran, through the SK  FUN</t>
  </si>
  <si>
    <t xml:space="preserve"> Const./Rehab/Repair of Solar Lights</t>
  </si>
  <si>
    <t xml:space="preserve"> The specification is available at the Bids and Awards Committee Secretariat MPDC-2nd Floor Lasam Municipal Town Hall</t>
  </si>
  <si>
    <t xml:space="preserve"> MOTOR VEHICLE, PICK-UP 4WD					 Engine:					 2.4 L In-Line 4 DOHC 16 valves 					 with variable geometry turbo (VGT)					 andInnovative Valve Timing Electronic Control					 System 					 Electronic Fuel Injection - common rail (fuel system)					 181/3,500 </t>
  </si>
  <si>
    <t xml:space="preserve"> 1 Lot DIGITAL DUPLICATING MACHINE Master Making Time (Quick Master Making Mode): approx 17 sec Master Making Time (Normal Master Making Mode): approx 19 sec Scanning Resolution: 600 x 600 dpi Print Resolution: 300 x 600 dpi Max Scanning Area: 297 mm x 432</t>
  </si>
  <si>
    <t xml:space="preserve"> The Bids and Awards Committee								 Province of Iloilo								 								      In connection with your Invitation to Bid No. PEO-20-0929-B scheduled on August 5, 2020, I/we proposed to furnish and deliver in conformity with the terms and conditions, and s</t>
  </si>
  <si>
    <t xml:space="preserve"> The DepED-CAR Regional Office through its Bids and Awards Committee (BAC), invites suppliers to quote for the project SUPPLY AND DELIVERY OF WOVEN FABRIC FOR THE REGIONAL OFFICE EMPLOYEES Quotations should be inclusive of tax.  The total approved Budget f</t>
  </si>
  <si>
    <t xml:space="preserve"> ARTICLE AND DESCRIPTION                  										 ITEM	QTY	UNIT						CEILING 		UNIT PRICE			TOTAL  								PRICE					 			Office:  Office of the Vice Mayor					PR No. 905					 			Charge to: Printing and Publications Expenses					OBR No. 100-2007-05645			</t>
  </si>
  <si>
    <t xml:space="preserve"> PROCUREMENT OF VARIOUS OFFICE SUPPLIES AND EQUIPMENT 300  INK, BLACK 100  INK, CYAN 100  INK, YELLOW 100  INK, MAGENTA</t>
  </si>
  <si>
    <t xml:space="preserve"> Construction Materials &amp; Supplies (see attached documents)</t>
  </si>
  <si>
    <t xml:space="preserve"> a. OTHER GENERAL REQUIREMENTS &gt; Project Billboard (Materials, Labor) 3 each &gt; Occupational Safety &amp; Health b. SUBBASE AND BASE COURSES &gt; Aggregate Subbase Course (Material, Equipment &amp; Labor) - 98.15 cu.m. c. SURFACE COURSES &gt; Portland Cement Concrete Pav</t>
  </si>
  <si>
    <t xml:space="preserve"> 11  pcs  Polo Barong 10 pcs   Polo shirts</t>
  </si>
  <si>
    <t xml:space="preserve"> Republic of the Philippines DEPARTMENT OF HEALTH WESTERN VISAYAS Center for Health Development INVITATION TO BID FOR THE  Procurement of Emergency Birthing Kits,  IB No. SB-2020-016 1.	The Department of Health – WV CHD, through the GOP PHM POOLED fund  in</t>
  </si>
  <si>
    <t xml:space="preserve"> CONSTRUCTION OF PATHWAY @ BRGY.PUTI MASANTOL PAMPANGA AMOUNTING TO ONE HUNDRED FIFTY THOUSAND PESOS (PHP 150,000.00) FUNDED UNDER 20% MUNICIPAL DEVELOPMENT FUND 2020. PROJECT BILLBOARD AND SIGNBOARD EMBANKMENT WORKS CONCRETING WORKS ESTIMATED EXPENDITURES</t>
  </si>
  <si>
    <t xml:space="preserve"> BIDS AND AWARDS COMMITTEE REQUEST FOR QUOTATION The  Barangay Lopoc  of Labason, Zamboanga del Norte, through its Bids and Awards Committee (BAC), invites eligible suppliers/contractors to bid for the hereunder project: Name of Project and Description:   </t>
  </si>
  <si>
    <t xml:space="preserve"> CLOTH</t>
  </si>
  <si>
    <t xml:space="preserve"> 1. 1 set sliding window  ( 98 x 1.43 m ) 2. 1 set sliding window ( 1.17 m x 1.17 m )</t>
  </si>
  <si>
    <t xml:space="preserve"> 4 PCS TIRE 11.00 X  20 WITH TUBE AND FLAP 2 PCS TIRE 900 X 20 WITH TUBE AND FLAP</t>
  </si>
  <si>
    <t xml:space="preserve"> Brief Description/Specification: “SUPPLY, DELIVERY AND INSTALLATION OF TWO (2) AIRCONDITION UNITS” for use in the Offices of the Municipal Treasurer and Municipal Budget Officer, Municipal Government of Bayog, Zamboanga del Sur.   Approved Budget For The </t>
  </si>
  <si>
    <t xml:space="preserve"> The Local Government Unit-BARANGAY OF BULABUD, Malinao, Aklan through the Barangay IRA and GAD CY 2020, intends to apply the sum of Ninety Nine Thousand Five Hundred Sixty Five Pesos and 00/100 (Php99,565.00) as the Approved Budget for the Contract (ABC) </t>
  </si>
  <si>
    <t xml:space="preserve"> MATERIALS 1,500  PCS. CHB#4 107  BAGS  CEMENT 12  CU.M WASHED  Sand 6  cu.m Washed  Gravel 80  pcs.Defbar #10 3  sheets  marine plywood #4x8x1/2 3 kilos  tie  wire #16 5 pcs.coco  lumber #2x2x8</t>
  </si>
  <si>
    <t xml:space="preserve"> Use for the fabrication of playground set at San Pedro West Day Care Center/CSAP Housing</t>
  </si>
  <si>
    <t xml:space="preserve"> Procurement of Consulting Services for the Site Development, Ground Preparation and Beautification, Concrete Works, Electrical Works, Plumbing and Fixtures and Tile Works (Design &amp; Construction Supervision) of Parks and Plaza of LGU Laak, Davao De Oro wit</t>
  </si>
  <si>
    <t xml:space="preserve"> 1	6mm x 50mm x 6m Angular Bar	70	length 2	1mm x 150mm x 6m Cee Purlins	40	length 3	2.04mm x 1.00mm Rib Type Long Span Pre-Painted Roofing (Baguio Green) supply and install	33	length 4	24mm x 8.0 Bended Panel Pre-painted Ridge Roll (baguio green) supply an</t>
  </si>
  <si>
    <t xml:space="preserve"> UNIT           DESCRIPTION                                QUANTITY 105 Subgrade Preparation  A = 230m x 5.2m  Qty.= 1196 sq.m  I- Equipment Rental:  1 Road Grader for 4 hours  1 Road Roller for 4 hours  II- Labor:  1 Foreman for 0.5 day(s)  2 Laborers for</t>
  </si>
  <si>
    <t xml:space="preserve"> The Bids and Awards Committee								 Province of Iloilo								 								      In connection with your Invitation to Bid No. PEO-20-0928-B scheduled on August 5, 2020, I/we proposed to furnish and deliver in conformity with the terms and conditions, and s</t>
  </si>
  <si>
    <t xml:space="preserve"> PROCUREMENT OF VARIOUS OFFICE AND EQUIPMENT 4 UNITS PRINTERS, 3 N 1, WITH FEEDER, MONOCHROME 3 UNITS PRINTERS, 3 N 1, WITH FEEDER COLORED 3 UNITS PRINTERS, 3 N 1, COLORED</t>
  </si>
  <si>
    <t xml:space="preserve"> details at the Engineering Office</t>
  </si>
  <si>
    <t xml:space="preserve"> ITEM: 1 unit Electromagnetic Flow Meter, Remote Type, SS, FE x FE, 150mmØ							 1 unit Electromagnetic Flow Meter, Remote Type, SS, FE x FE, 200mmØ							 1 unit Electromagnetic Flow Meter, Remote Type, SS, FE x FE, 250mmØ			 PURPOSE: FOR REPLACEMENT OF </t>
  </si>
  <si>
    <t xml:space="preserve"> NO	UNIT	DESCRIPTION	QTY 1	Boxes	Ascorbic acid 500 mg. tab.	50 2	Boxes	Multivitamins capsule	100 3	Boxes	Vitamin B Complex	100 4	Boxes	Calcium Carbonate 500 mg.tab.	50 5	Boxes	Lozartan 50 mg. tablet, 30s/box	700 6	Boxes	Amlodepine 10 mg. tab. 100s/box	200 </t>
  </si>
  <si>
    <t xml:space="preserve"> Local Government Unit of Irosin						                                            GOOD-22-2020                 Supply &amp; Delivery of Hardware/Materials  For the Improvement of Brgy. Bulawan  Water System Irosin, Sorsogon Standard Form Number: SF-GOOD-05 Rev</t>
  </si>
  <si>
    <t xml:space="preserve"> 1.	900	reams	GROUNWOOD, Short, subs. 18, 63GSM, 480sheets 2.	300	reams	MIMEO PAPER, Whitewove, short, subs. 18, 63GSM, 480sheets 3.	180	reams	MIMEO PAPER, Whitewove, long, subs. 18, 63GSM, 480sheets 4.	300	reams	BOOK PAPER, Short, subs. 20, 70GSM, 500shee</t>
  </si>
  <si>
    <t xml:space="preserve"> Materials 1,000  PCS. CHB#4 96  BAGS  CEMENT 9  CU.M  WASHED  SAND 3  CU.M  WASHED  GRAVEL 90  PCS.  DEFBAR #10X6 3  SHEETS  M.PLYWOOD #4X8X1/2 4  KILOS  TIE WIRE#16 10  PCS.  COCO  LUMBER  #2X2</t>
  </si>
  <si>
    <t xml:space="preserve"> ITEM	QTY.	UNIT	PARTICULARS SPL-1	151.05	sq.m.	MASONRY WORKS 1003	CARPENTRY WORKS A.	57.96	sq.m.	CEILING WORKS B.	33.48	sq.m.	CABINET C.	46.61	sq.m.	WALLING 1009	GLASS A.	1.00	lot	DOORS B.	5.00	sets	WINDOWS 1018	57.96	sq.m.	TILE WORKS 1032	1.00	lot	PAINTIN</t>
  </si>
  <si>
    <t xml:space="preserve"> NEOPRENE</t>
  </si>
  <si>
    <t xml:space="preserve"> 2	pcs.	2x3x12 cocolumber 5	pcs.	2x2x12 cocolumber 1	kg.	Assorted Nails 1	 kg.	Nylon String #100 		Reinforced concrete works 82	bags	portland cement 4	cu. m	washed sand 		formworks 14	pcs.	marine plywood 1/4 48	pcs.	coco lumber 2"x2"x8' 21	pcs.	coco lumber</t>
  </si>
  <si>
    <t xml:space="preserve"> 1	12mm ø RSB	28	pcs. 2	16mm ø RSB	30	pcs. 3	10mm ø RSB	18	pcs. 4	Portland Cement	75	bags 5	1/4"x4'x8' ordinary Plywood	5	sheets 6	C.W. Nails No. 3"	4	kls 7	C.W. Nails No. 4"	3	kls 8	C.W. Nails No. 1"	1	kls 9	C.W. Nails No. 5"	40	kg 10	C.W. Nails No. 4"	40</t>
  </si>
  <si>
    <t xml:space="preserve"> Republic of the Philippines Province of Iloilo Municipality of Lambunao Brgy.  Patag Barangay Office of the Bids &amp; Awards Committee INVITATION TO BID Name of Project: Purchase of Materials for the Road Concreting Location:  Brgy. Patag, Lambunao, Iloilo A</t>
  </si>
  <si>
    <t xml:space="preserve"> Purchase of Milk Powder to be used by RHU  25 bxs Milk Powder 330grams 30's</t>
  </si>
  <si>
    <t xml:space="preserve"> Supply and delivery of various materials for the Proposed Footbridge at Brgy. Catan-agan, San Enrique, Iloilo. Approved Budget for the Contract: Php. 181,200.00</t>
  </si>
  <si>
    <t xml:space="preserve"> Republic of the Philippines					 Department of Public Works and Highways					 OFFICE OF THE DISTRICT ENGINEER					 Cagayan de Oro City 1st District Engineering Office					 10th RES Compound, Bulua, Cagayan de Oro City					 					 PURCHASE REQUEST					 				</t>
  </si>
  <si>
    <t xml:space="preserve"> Republic of the Philippines Province of Bohol Municipality of Getafe Barangay Poblacion Bids and Awards Committee REQUEST FOR QUOTATION RFQ NO. ____ 1. The Barangay of Poblacion, Getafe, Bohol through its Bids and Awards Committee (BAC), will undertake Sm</t>
  </si>
  <si>
    <t xml:space="preserve"> The Bids and Awards Committee								 Province of Iloilo								 								      In connection with your Invitation to Bid No. PEO-20-0927-B scheduled on August 10, 2020, I/we proposed to furnish and deliver in conformity with the terms and conditions, and </t>
  </si>
  <si>
    <t xml:space="preserve"> Procurement of Disaster Equipment and Accessories Municipality of Dumanjug, Cebu through the SB Resolution No. 2018-136 Series of 2018  intends to apply the sum of ONE MILLION PESOS (1,000,000.00)  being the Approved Budget for the Contract (ABC) to payme</t>
  </si>
  <si>
    <t xml:space="preserve"> Contract ID: 20PK0071 Contract Name: Opening and Concreting of Ababa-an Farm-to-Market Road (FMR), Brgy. Ababa-an, Balbalan, Kalinga   Contract Location: Brgy. Ababa-an, Balbalan, Kalinga /Sta. 5+550 - Sta. 6+350 Brief Description: Concreting of Roads App</t>
  </si>
  <si>
    <t xml:space="preserve"> BRAND NEW PICKUP VEHICLE 4X4, 2.8L DIESEL,					      MANUAL TRANSMISSION					  COLOR: preferrably White					 ENGINE:					      2.8-3.0L Diesel, 4 Cylinder, 16-Valve, Double					           Overhead Camshaft, Variable Nozzle Turbo					           with Interc</t>
  </si>
  <si>
    <t xml:space="preserve"> MATERIALS 150  BAGS  CEMENT 25  CU.M  WASHED  SAND 15  CU.M  WASHED  GRAVEL 14  SHEETS  M.PLYWOOD #4X8X1/2 50  PCS.COCO LUMBER #2X3X8 5 KILOS  CONCRETE NAIL #4 3 KILOS  CONCRETE  NAIL #2 100  PCS.DEFBAR #12 5  KILOS TIE  WIRE #16 48  KILOS  SAHARA 300 M  </t>
  </si>
  <si>
    <t xml:space="preserve"> 1.	The Provincial Government of Batanes, through the Provincial Appropriations Ordinance No. 03 series of 2019 (Capital Outlay) intends to apply the sum of Eighty Thousand Pesos Only (₱ 80,000.00), being the Approved Budget for the Contract (ABC) to payme</t>
  </si>
  <si>
    <t xml:space="preserve"> REPUBLIC OF THE PHILIPPINES CITY GOVERNMENT OF OROQUIETA BIDS AND AWARD COMMITTEE City Hall, Oroquieta City                                                                                                                       July 28, 2020                </t>
  </si>
  <si>
    <t xml:space="preserve"> Republic of the Philippines DEPARTMENT OF HEALTH WESTERN VISAYAS Center for Health Development INVITATION TO BID FOR THE  Rebidding of Disinfectants,  IB No. SB-2020-020 1.	The Department of Health – WV CHD, through the SAA-2020-03-0345 fund  intends to a</t>
  </si>
  <si>
    <t xml:space="preserve"> Installation of Street Light</t>
  </si>
  <si>
    <t xml:space="preserve"> Please quote your lowest price on item/s listed in the line item and submit your quotation duly signed by your authorized representative through email at bac.secretariat@pnu.edu.ph not later than August 4, 2020 @ 4PM. Note: 1. Delivery period within seven</t>
  </si>
  <si>
    <t xml:space="preserve"> CONSTRUCTION OF MULTI-PURPOSE HAL (GYM TYPE) AT THE OPEN SPACE OF PUROK CRYSTAL MEADOWS PART II OTHER GENERAL REQUIREMENTS PART B	OTHER GENERAL REQUIREMENTS B.3 Permits and Clearances		1.00	l.s. B.5 Project Billboard/Signboard (1-4"x8" DPWH Billboard &amp; 1-</t>
  </si>
  <si>
    <t xml:space="preserve"> Please see attached Terms of Reference and Invitation to Apply for Eligibility and to Bid</t>
  </si>
  <si>
    <t xml:space="preserve"> Republic of the Philippines BARANGAY PALINDAN Ibaan, Batangas INVITATION TO BID The Barangay Government of Palindan, Ibaan, Batangas through its Bids and Awards Committee (BAC), invites contractors registered with and classified by the Philippine Contract</t>
  </si>
  <si>
    <t xml:space="preserve"> [BARANGAY LOCAL GOVERNMENT UNIT- KABATAN, VINCENZO SAGUN]                                                         INVITATION TO BID FOR                                             PROCUREMENT of MINI DUMPTRUCK 1.	The Barangay Local Government Unit- Kabata</t>
  </si>
  <si>
    <t xml:space="preserve"> INVITATION TO BID  FOR THE Supply and Delivery of Motor Vehicles I.B. No. 2020 - 0041 							 1. The LGU-Cabanatuan City, through the General Fund FY 2020 intends to apply the sum of Twelve Million Pesos (₱12,000,000.00) being the Approved Budget for the </t>
  </si>
  <si>
    <t xml:space="preserve"> 50     cart    Toner HP LaserJet 17A (for HP LaserJet Pro M102W)</t>
  </si>
  <si>
    <t xml:space="preserve"> UNIT               DESCRIPTION            QTY. cu.m.,   Reservior Construction,        13.25 lumpsum.,   Pipelines Installation,      1.00</t>
  </si>
  <si>
    <t xml:space="preserve"> Invitation to Bid July 29, 2020 1. The Municipality of Tinoc through the Bids and Awards Committee advertised an Invitation to bid for the PACKAGE 16 (A. RHU-LANDING ROAD IMPROVEMENT, B. ATHLETIC OVAL DRAINAGE OUTLET, AND C. PALABAYAN ELEMENTARY SCHOOL SL</t>
  </si>
  <si>
    <t xml:space="preserve"> Location: LGU-Lagawe ABC: Php 95,000.00 Cost of Bid Docs: 500.00 The Procurement Schedules are as following: 1. Deadline of buying of Bid Docs: August 12, 2020 @ 5:00 PM 2. Deadline for submission of Bid Docs: August 13, 2020 @ 9:00 AM 3. Opening of Bids:</t>
  </si>
  <si>
    <t xml:space="preserve"> INVITATION TO BID  FOR THE Supply and Delivery of Rescue Equipment I.B. No. 2020 - 0040 1.	The LGU - Cabanatuan City, through the General Fund, FY 2020 intends to apply the sum of One Million Nine Hundred Ninety-Four Thousand Seven Hundred Sixty-Three Pes</t>
  </si>
  <si>
    <t xml:space="preserve"> INVITATION TO BID	 The National Maritime Polytechnic (NMP), through its Bids and Awards Committee (BAC), invites suppliers/manufacturers/distributors/contractors to bid for the following: PARTICULARS	Source of Funds 	Approved Budget for the Contract (ABC)</t>
  </si>
  <si>
    <t xml:space="preserve"> 1    100 PCS 20cc SYRINGE 2    340 BOT 70% ETHYL ALCOHOL 500ML/BOT 3    100 PCS ABDOMINAL SUCTION WITH TIP 4    500 ROLL ABSORBENT COTTON 400GMS 5    350 ROLL ABSORBENT GAUZE SPONGES BANDAGES, FINS 6    400 TUBE ADHESIVE PLASTER, HOSPITAL SIZE 7    40 PCS</t>
  </si>
  <si>
    <t xml:space="preserve"> 1	2160	Bdft	2x3x12 Coco Lumber (350 pcs.)	25.00	54,000.00 2	29	Pcs. 	Ord. Plywood ¼ x 4 x 8	452.00	13,108.00 3	16.5	Kls. 	CWN (assorted length)	90.00	1,485.00 4	156	Bags 	Portland Cement	352.00	54,912.00 5	460	M³	Sand S1	42.00	19,320.00 6	17.5	M³	Gravel	6</t>
  </si>
  <si>
    <t xml:space="preserve"> Republic of the Philippines Province of Leyte Municipality of Hilongos INVITATION TO BID FOR THE PROCUREMENT OF OFFICE SUPPLIES 1.  The Local Government Unit of Hilongos, through GENERAL FUND-CURRENT APPROPRIATION- intends to apply the sum FIFTY THOUSAND </t>
  </si>
  <si>
    <t xml:space="preserve"> 475 BAGS CEMENT 75 CU.M. GRAVEL 50 CU.M. SAND 300 PCS CHB #5 1 LOT FORM WORKS 60 PCS STEEL BAR 9MM  LABOR</t>
  </si>
  <si>
    <t xml:space="preserve"> I. 1 lot - Temporary Facilities - 50,400.00 		 II. 1 unit - Project Billboard - 10,546.20 		 III. 184 cu.m - Concrete Works: Column, Slab, Beams and Roof Beams and Roof Beams (2nd floor and 3rd          floor columns, 3rd floor slab,3rd floor beam and roo</t>
  </si>
  <si>
    <t xml:space="preserve"> ITEM	QTY.	UNIT	PARTICULARS 1003	1.00	lot	CARPENTRY WORKS (Double Wall Partition &amp; Cabinets) 1004	1.00	lot	HARDWARES 1010	3.00	unit	WOODEN DOORS 1018	1.00	lot	TILE WORKS 1032	1.00	m2	PAINTING WORKS 1100	1.00	lot	ELECTRICAL WORKS SPL-1	58.97	m2	CEILING WORK</t>
  </si>
  <si>
    <t xml:space="preserve"> The detailed Bill of Materials is attached to the Bid Forms.</t>
  </si>
  <si>
    <t xml:space="preserve"> Republic of the Philippines Province of Bukidnon Municipality of Damulog BARANGAY TANGKULAN OFFICE OF THE BIDS AND AWARDS COMMITTEE INVITATION TO BID FOR SUPPLY AND DELIVERY OF VARIOUS CONSTRUCTION MATERIALS FOR IMPROVEMENT OF MULTI-PURPOSE BUILDING(PHASE</t>
  </si>
  <si>
    <t xml:space="preserve"> Republic of the Philippines Province of Bohol Municipality of Getafe Barangay Buyog Bids and Awards Committee REQUEST FOR QUOTATION RFQ NO. ____ 1. The Barangay of Buyog, Getafe, Bohol through its Bids and Awards Committee (BAC), will undertake Small Valu</t>
  </si>
  <si>
    <t xml:space="preserve"> Republic of the Philippines PROVINCE OF AKLAN Municipality of Tangalan INVITATION TO BID  CONSTRUCTION OF SLAUGHTERHOUSE PHASE II AND OTHER AMENITIES Project Reference No.: SF-INFR-2020-008-007 Approved Budget for the Contract: Php 2, 500, 000.00 Source o</t>
  </si>
  <si>
    <t xml:space="preserve"> BRAND NEW MULTI-PURPOSE VEHICLE WITH					 REAR FB BODY AND DUAL AIRCON					 MANUAL TRANSMISSION					  COLOR: White					 					 Engine Type:  Diesel, 2.2L Euro 4 Compliant,					 	turbocharged &amp; intercooled 16-Valve DOHC				 Fuel System: Electronic Common Ra</t>
  </si>
  <si>
    <t xml:space="preserve"> Rehab. and repair of Brgy. Cauringan Water System at Brgy. Cauringan, Sison, Pangasinan  NOTE: BARANGAY FUND/PROJECT</t>
  </si>
  <si>
    <t xml:space="preserve"> 1. Construction of 90 linear meter rock causeway with stairlandings.</t>
  </si>
  <si>
    <t xml:space="preserve"> Republic of the Philippines									 Department of Public Works and Highways									 OFFICE OF THE DISTRICT ENGINEER									 Cagayan de Oro City 1st District Engineering Office									 10th RES Compound, Bulua, Cagayan de Oro City									 									 PU</t>
  </si>
  <si>
    <t xml:space="preserve"> STEEL WORKS, INSTALLATION OF BOARDS AND RINGS, CONCRETE WORKS AND PAINTING For further information for the bill materials, Programs Works or any requests for additional  information concerning this bidding shall be directed to the Bids and Awards Committe</t>
  </si>
  <si>
    <t xml:space="preserve"> MATERIALS 1,000  PCS. CHB#4 96  BAGS  CEMENT 9  CU.M  WASHED  SAND 3 CU.M  WASHED  GRAVEL 90  PCS.DEFBAR #10 3  SHEETS  M.PLYWOOD #4X8X1/2 4 KILOS  TIE  WIRE#16 10  PCS.COCO LUMBER #2X2X6</t>
  </si>
  <si>
    <t xml:space="preserve"> Project 1: Construction of Perimeter Fence, Libertad E/S, Libertad, Sta. Monica,SDN. I- Structure Excavation - 3.70 cu.m II- Gravel Bedding - 0.594 cu.m III-Reinforced Concrete Works - 1.173 cu.m IV-Masonry Works - 25.200 sq.m V- Project Billboard - 1.00 </t>
  </si>
  <si>
    <t xml:space="preserve"> Republic of the Philippines Province of Iloilo Municipality of Lambunao Brgy. San Gregorio Barangay Office of the Bids &amp; Awards Committee INVITATION TO BID Name of Project: Purchase of materials for the Construction of Evacuation Center (Ph II) Location: </t>
  </si>
  <si>
    <t xml:space="preserve"> Department of Public Works and Highways  Regional Office VI, Fort San Pedro, Iloilo City INVITATION TO BID  The Department of Public Works and Highways, Regional Office VI, through its Bids and Awards Committee (BAC), invites suppliers to submit bids for </t>
  </si>
  <si>
    <t xml:space="preserve"> Purchase of Commercial Rice</t>
  </si>
  <si>
    <t xml:space="preserve"> Repair of CR</t>
  </si>
  <si>
    <t xml:space="preserve"> Republic of the Philippines DEPARTMENT OF HEALTH WESTERN VISAYAS Center for Health Development INVITATION TO BID FOR THE  Rebidding of N95 Mask,  IB No. SB-2020-021 1.	The Department of Health – WV CHD, through the NTP CONAP 2019 fund  intends to apply th</t>
  </si>
  <si>
    <t xml:space="preserve"> To Contract for the Supply of Materials, Labor, and Equipments for the Project: SUPPLY AND INSTALLATION OF FIRE DETECTION, ALARM AND SUPPRESSION FOR THREE (3) STOREY NEW MUNICIPAL HALL BLDG. with I.D. # KIA-SAR-20-001, amounting to Six hundred forty five </t>
  </si>
  <si>
    <t xml:space="preserve"> Republic of the Philippines DEPARTMENT OF HEALTH WESTERN VISAYAS Center for Health Development INVITATION TO BID FOR THE  Rebidding of NAAT – LAMP Reagents and Consumables, IB No. SB-2020-022 1.	The Department of Health – WV CHD, through the SAA-20-04-073</t>
  </si>
  <si>
    <t xml:space="preserve"> Invitation to Bid 				 for the 				 Supply and Delivery of construction &amp; Electrical materials for Construction of Streetlights for Barangay Binobong, Anayan, Bagong Sirang, San Vicente, Tagbong, Himaao and Curry, pili, cam. sur 				 				 The Local Govern</t>
  </si>
  <si>
    <t xml:space="preserve"> Please see attached Invitation to Bid &amp; Technical Specification</t>
  </si>
  <si>
    <t xml:space="preserve"> Republic of the Philippines DEPARTMENT OF HEALTH WESTERN VISAYAS Center for Health Development INVITATION TO BID FOR THE  Procurement of Medical Supplies,  IB No. SB-2020-026 1.	The Department of Health – WV CHD, through the CONAP SAA-19-06-0227 and SAA-2</t>
  </si>
  <si>
    <t xml:space="preserve"> Republic of the Philippines  Province of Cebu Municipality of Boljoon INVITATION TO BID FOR the Procurement of Street Lights 1.	The Barangay Baclayan, through the Financial Assistance in the amount of One hundred thousand pesos (P 100,000.00) being the ap</t>
  </si>
  <si>
    <t xml:space="preserve"> Republic of the Philippines Province of Cagayan LOCAL GOVERNMENT UNIT-MUNICIPALITY SOLANA, 3503 BIDS AND AWARDS COMMITTEE (BAC) INVITATION TO BID FOR  SUPPLY AND DELIVERY OF MEAL AND SNACK 1.	The Municipal Government of Solana, through the General Fund   </t>
  </si>
  <si>
    <t xml:space="preserve"> 7 units Hospital Bed with table 7 units Mobile IV Stand 7 units Electric Fan (Stand Fan) 30 pcs Chairs (Folding) 1 units Nebulizer (Devilbiss)</t>
  </si>
  <si>
    <t xml:space="preserve"> Republic of the Philippines Province of Misamis Oriental Municipality of Lugait -oOo- INVITATION TO BID FOR THE PROCUREMENT OF 10-UNITS PHOTOCOPIER MACHINE AND CONSUMABLES FOR THE USE LUGAIT DISTRICT UNDER LOCAL SCHOOL BOARD OF LOCAL GOVERNMMENT UNIT OF L</t>
  </si>
  <si>
    <t xml:space="preserve"> Republic of the Philippines																 Department of the Public Works and Highways																 OFFICE OF THE DISTRICT ENGINEER																 Cagayan de Oro City 1st District Engineering Office																 10th RES Compound, Bulua, Cagayan d</t>
  </si>
  <si>
    <t xml:space="preserve"> INVITATION TO BID  (ITB NO. 20-17) PUBLIC BIDDING OF PROCUREMENT OF JANITORIAL SERVICES FOR DTI-REGION 10 FOR THE YEAR 2020 (2020-07-180) 1.	The Department of Trade and Industry-Region 10 (DTI 10) through the General Appropriations Act intends to apply th</t>
  </si>
  <si>
    <t xml:space="preserve"> REQUEST FOR QUOTATION				 LGU BATUAN				 				 				 _____________________________				 _____________________________				 				 Please quote your lowest price item/s listed below, subject to the General conditions on the last page, starting the  shortest time</t>
  </si>
  <si>
    <t xml:space="preserve"> Republic of the Philippines DEPARTMENT OF HEALTH WESTERN VISAYAS Center for Health Development INVITATION TO BID FOR THE  Procurement of Urine Pregnancy Test Kit,  IB No. SB-2020-025 1.	The Department of Health – WV CHD, through the GOP POOLED fund  inten</t>
  </si>
  <si>
    <t xml:space="preserve"> Tricycle with a Minimum enclosed sidecar dimension of H=0.60m, L=1.20m, W=2.20m and built-in Shed for driver and detachable shed for sidecar and Motorcycle minimum specs are 150cc 4-stroke engine (gasoline), electric starter, and compatible for sidecar in</t>
  </si>
  <si>
    <t xml:space="preserve"> 1 UNIT AMBULANCE</t>
  </si>
  <si>
    <t xml:space="preserve"> The Municipal Government of Bayog, Zamboanga del Sur thru its Bids and Awards Committee (BAC) invites all interested bidders for the “SUPPLY, DELIVERY AND INSTALLATION OF AIRCONDITION UNITS” for use in the Offices of the Municipal Government of Bayog. App</t>
  </si>
  <si>
    <t xml:space="preserve"> 1. Aggregates Based Course                                   126.0 cu.m. 2. Cement                                                             203.0 bags 3. Sand                                                                  15.0 cu.m 4. Gravel         </t>
  </si>
  <si>
    <t xml:space="preserve"> 1 set overhauling gasket 1 pc oil seal    fuel tank full down    labor</t>
  </si>
  <si>
    <t xml:space="preserve"> CI sleeve coupling 6" PVC to PVC CI tee reducer 6" x 3" CI mechanical elbow 3" x 90 degree CI mechanical gate valve 3" G.I nipple 3" x 12" G.I tee 3" G.I bushing reducer 3" x 2-1/2" G.I nipple 2-1/2" x 6 G.I elbow 2-1/2" x 90 degree PE male adoptor 2-1/2"</t>
  </si>
  <si>
    <t xml:space="preserve"> MATERIALS 700 PCS.  CHB#4 67  BAGS  CEMENT 9 CU.M  WASHED  SAND 6 CU.M WASHED GRAVEL 50  PCS.DEFBAR #10 3 SHEETS M.PLYWOOD #4X8X1/2 4  KILOS  TIE  WIRE #16 10  PCS.  COCO  LUMBER   #2X2X8</t>
  </si>
  <si>
    <t xml:space="preserve"> repair of Ceiling</t>
  </si>
  <si>
    <t xml:space="preserve"> UNIT                  DESCRIPTION                           QUANTITY  SPL-1 CLEARING OF OTHER OBSTRUCTIONS/STRUCTURE EXCAVATION  Qty.= 1.00 lot  I. Labor incl. Equipment Rental  DIRECT COST  INDIRECT COST  OCM(15%ofDirect Cost)  Profit(10%of Direct Cost) </t>
  </si>
  <si>
    <t xml:space="preserve"> details at the MPDC</t>
  </si>
  <si>
    <t xml:space="preserve"> INVITATION TO BID FOR  Procurement of Various Vitamins for Senior Citizens, Frontliners, Covid-19 Patients and Children The Municipality of Banaybanay, through the 2020 Annual Budget intends to apply the sum of Six Hundred Fifty-Four Thousand Pesos (Php 6</t>
  </si>
  <si>
    <t xml:space="preserve"> 500	Piece	N95 mask Regular, ABC 300.00/pc RFQ#07-0787</t>
  </si>
  <si>
    <t xml:space="preserve"> Installation of Solar Panel for Street lighting Venue:  Barangay Hall Barangay Banuyao, Lapaz Iloilo City Date of Bidding: 8/7/2020 Pre-bid:  8/5/2020</t>
  </si>
  <si>
    <t xml:space="preserve"> INVITATION TO BID Rehabilitation of Water System in MinSCAT Forest Reserved  in MinSCAT Main Campus 		 1.	The Mindoro State College of Agriculture and Technology (MinSCAT), through General Appropriations Act (GAA) 2020 intends to apply the sum of One Mill</t>
  </si>
  <si>
    <t xml:space="preserve"> Title:Procurement of 3 Month Advertising Expense under P.R No. 2797-2020-Office of the City Civil Registrar. Total ABC: Php 90,000.00 (INSTRUCTION AS TO THE REQUIRED FORM: For your price quotation, please use the attached Request for Quotation (RFQ) Form </t>
  </si>
  <si>
    <t xml:space="preserve"> Republic of the Philippines DEPARTMENT OF HEALTH WESTERN VISAYAS Center for Health Development INVITATION TO BID FOR THE  Procurement of Reagents and Glassware,  IB No. SB-2020-028 1.	The Department of Health – WV CHD, through the SAA-2019-06-0121 fund  i</t>
  </si>
  <si>
    <t xml:space="preserve"> 1 UNIT VAN TYPE VEHICLE POWERED BY A EURO-COMPLIANT 4N15 2.4 LITER DIESEL ENGINE, FOUR CYLINDER AND 5-SPEED MANUAL TRANSMISSION</t>
  </si>
  <si>
    <t xml:space="preserve"> INVITATION TO BID FOR  Procurement of Municipal Health Office Medicine Supplies The Municipality of Banaybanay, through the 2020 Annual Budget intends to apply the sum of Five Hundred Eighty-Nine Thousand Two Hundred Ninety-Eight Pesos (Php 589,298.00) be</t>
  </si>
  <si>
    <t xml:space="preserve"> Republic of the Philippines DEPARTMENT OF HEALTH WESTERN VISAYAS Center for Health Development INVITATION TO BID FOR THE  Procurement of Ointments and Essential Medicines,  IB No. SB-2020-027 1.	The Department of Health – WV CHD, through the 2020 PHM (NCD</t>
  </si>
  <si>
    <t xml:space="preserve"> Invitation to Bid for SUPPLY AND DELIVERY OF IT &amp; OFFICE EQUIPMENT FOR MUNICIPAL ACCOUNTING OFFICE The Municipal Government of Looc, Romblon, through the AO-NO. 021-2020-Supplemental Appropriation intends to apply the sum of One Hundred Eighty Thousand Fi</t>
  </si>
  <si>
    <t xml:space="preserve"> 250       pc.        Sacks, Medium (white) 100       pc.        Sacks, Large 55       ream       Bond Paper, Short 30       ream       Bond Paper, Long 5           pc.        Calculator 5           pc.        Stapler with remover 10       box        Stapl</t>
  </si>
  <si>
    <t xml:space="preserve"> Title: Procurement of Vehicle Repair and Maintenance under P.R Nos. 1886-2020 (City Environment &amp; Natural Resources Office- City Parks and Waterways Services Division),1892-2020(City Environment &amp; Natural Resources Office- Ecological  Solid Waste Manageme</t>
  </si>
  <si>
    <t xml:space="preserve"> Republic of the Philippines Barangay Angeles Municipality of Atimonan Province of Quezon INVITATION TO BID 	The Barangay Government Unit of Angeles, Atimonan, Quezon thru the Bids and Awards Committee (BAC) invites interested suppliers/contractors to appl</t>
  </si>
  <si>
    <t xml:space="preserve"> Republic of the Philippines PROVINCE OF PAMPANGA City of San Fernando INVITATION TO BID NO. 2020-29 IG - BAC INVITATION TO BID FOR PURCHASE REQUEST NO.20-1553, 20-1532, 20-1534, 20-1804, 20-1759, 20-1453, 20-1546, 20-1452, 20-0825 and 20-0620 The Provinci</t>
  </si>
  <si>
    <t xml:space="preserve"> The City Government of Ligao through its Bids and Awards Committee (BAC), now invites bids for the herein project: Name of Contract        :  Road Opening from Purok 5 to Libtong Location                       : Cabarian,  Ligao City Brief Description    </t>
  </si>
  <si>
    <t xml:space="preserve"> Construction of 14.0m x 11.0m 2 classroom Gabaldon type school building</t>
  </si>
  <si>
    <t xml:space="preserve"> Invitation to Bid 				 for the 				 Supply and Delivery of Construction Materials for Construction of Small Water Impounding Project at Del Rosario, Pili, Cam. Sur 				 				 The Local Government Unit of Pili, Camarines Sur, through the MOOE – Rep &amp; Maint.</t>
  </si>
  <si>
    <t xml:space="preserve"> 2 UNITS WATER PURIFIER SET (WATER PURIFIER &amp; SOLAR POWER SYSTEM) FLOW RATE OF 2.9 GAL/MIN 4 STAGE WATER PURIFICATION SYSTEM W/ ULTRA VIOLET LIGHT 16AMP BATTERY SOLAR CHARGE CONTROLLER:10AMP UNIT THAT USES PWM TECH SLAR PANEL:ONE CE, ROHS, PSE-CERTIFIED 20</t>
  </si>
  <si>
    <t xml:space="preserve"> BID TENDER							 							 The Bids and Awards Committee							 Province of Iloilo							 							      In connection with your Invitation to Bid No. POS-20-0698-B scheduled on August 19, 2020, I/we proposed to furnish and deliver in conformity with the ter</t>
  </si>
  <si>
    <t xml:space="preserve"> Project Reference No.: I-2020-17  Date:          July 29, 2020 INVITATION TO BID FOR “MODERN AUDIO VISUAL ROOM AT  LABORATORY HIGH SCHOOL (LHS)” (INFRA-2020-17)      1.	The Bulacan State University (BulSU), through the Income Fund 2020 intends to apply th</t>
  </si>
  <si>
    <t xml:space="preserve"> INVITATION TO BID FOR THE CONSTRUCTION OF ONE (1) BUILDING PUBLIC MARKET (10M X 34.2M) – STALL SECTION LOCATED AT PUBLIC MARKET, STA. ROSA, AURORA, ISABELA 1.	The Local Government Unit of Aurora, through the DBP Loan intends to apply the sum of Five Milli</t>
  </si>
  <si>
    <t xml:space="preserve"> MUNICIPALITY OF PANIQUI Province of Tarlac	Project Reference Number : I-2020-021 Name of the Project           : Construction of Multi-Purpose Covered Court Location of the Project     : Brgy. San Isidro, Paniqui, Tarlac Standard Form Number: SF-INFR-05 R</t>
  </si>
  <si>
    <t xml:space="preserve"> INVITATION TO BID FOR THE  SUPPLY AND DELIVERY OF CORPORATION STOP AND BRASS COUPLING PR Nos. 2777-001-004 1.	The Metropolitan Cebu Water District, through the Corporate Budget of 2020 intends to apply the sum of: PR No.	Description	Qty.	Unit Price	Approv</t>
  </si>
  <si>
    <t xml:space="preserve"> INVITATION TO BID FOR THE  SUPPLY AND DELIVERY OF RESISTIVITY FIELD METER PR Nos. 27838 – 001 1.	The Metropolitan Cebu Water District, through the Corporate Budget of 2020 intends to apply the sum of: PR No.	Description	Qty.	Unit Price	Approved Budget  fo</t>
  </si>
  <si>
    <t xml:space="preserve"> Republic of the Philippines DEPARTMENT OF HEALTH WESTERN VISAYAS Center for Health Development INVITATION TO BID FOR THE  Procurement of Laboratory Supplies for TB Infection Control,  IB No. SB-2020-030 1.	The Department of Health – WV CHD, through the PH</t>
  </si>
  <si>
    <t xml:space="preserve"> INVITATION TO BID KB-GOODS-2020-07 I.	The Municipality of Kitaotao, intends to apply the sum of Two Hundred Fifty-Six Thousand One Hundred Ninety-Two Pesos Only (P256,192.00) for the Supply and Delivery of Various Goods. Bids received more than the ABC sh</t>
  </si>
  <si>
    <t xml:space="preserve"> INVITATION TO BID									 									 The LOCAL GOVERNMENT UNIT OF SINDANGAN, through its Bids and Awards Committee (BAC), hereby invites suppliers/manufacturers/ distributors/contractors to apply for eligibility and to bid for the hereunder project.						</t>
  </si>
  <si>
    <t xml:space="preserve"> Invitation to Bid 				 for the 				 Supply and Delivery of Construction Materials for Riprapping and Backfilling of Farm to MArket Road at Sitio Caboclodan, San Jose, Pili, Cam. Sur 				 				 The Local Government Unit of Pili, Camarines Sur, through the 2</t>
  </si>
  <si>
    <t xml:space="preserve"> Invitation to Bid for SUPPLY AND DELIVERY OF OFFICE EQUIPMENT  FOR MUNICIPAL ASSESSOR OFFICE The Municipal Government of Looc, Romblon, through the AO-NO. 021-2020 Supplemental Appropriation1 intends to apply the sum of Fifty-Seven Thousand Pesos Only (P </t>
  </si>
  <si>
    <t xml:space="preserve"> ITEM NO. Unit of issue ITEM &amp;DESCRIPTION Brand &amp; Model QTY. pane Glass Partition for Cashier &amp; Accounting Office 1 see attachment for specification and visit the office for measurement &amp; see highlighted partition on our design ***Nothing Follows** TOTAL A</t>
  </si>
  <si>
    <t xml:space="preserve"> Republic of the Philippines Batangas City Invitation to Apply for Eligibility and to Bid The Barangay Government of Barangay San Agapito Isla Verde, Batangas City intends to apply the sum of Seventy Thousand Pesos Only (Php 70,000.00) broken down as follo</t>
  </si>
  <si>
    <t xml:space="preserve"> Republic of the Philippines Province of Surigao del Sur Municipality of Tago ---ooo0ooo--- REQUEST FOR QUOTATION The Local Government Unit of Tago, Surigaodel Sur Request for Quotation for the  PURCHASE OF DIESEL  Name of Project: PURCHASE OF DIESEL FUEL </t>
  </si>
  <si>
    <t xml:space="preserve"> 1. Bulb Specification: -led, 12 watts -85% to 100% energy saving -average lifetime: 20000 hours 2. Tube Light Bulb -led, T8 -9 watts -600 mm -high efficiency energy savings -lifespan up to 10000 hours -85-265 V -50/60 Hz NOTE: Please see attached Request </t>
  </si>
  <si>
    <t xml:space="preserve"> Server	1	set -	1U rack mount server		 -	16 core, 32 threads cpu @ 28 GHz, 64 MB cache		 -	5x 512 GB Storage		 -	16 GB DDR4 2666 MHz ECC RAM		 -	10x 2.5” swap drive bays		 -	Server motherboard with 2 10Gbase-T ports		 -	Additional 4 port Gigabit network ca</t>
  </si>
  <si>
    <t xml:space="preserve"> INVITATION TO BID FOR THE CONSTRUCTION OF ONE (1) BUILDING PUBLIC MARKET (8M X 34.2M) – MEAT SECTION LOCATED AT PUBLIC MARKET, STA. ROSA, AURORA, ISABELA 1.	The Local Government Unit of Aurora, through the DBP Loan intends to apply the sum of Four Million</t>
  </si>
  <si>
    <t xml:space="preserve"> Invitation to Bid for SUPPLY AND DELIVERY OF VARIOUS OFFICE EQUIPMENT  FOR MUNICIPAL TREASURER OFFICE The Municipal Government of Looc, Romblon, through the AO-NO. 021-2020 Supplemental Appropriation1 intends to apply the sum of One Hundred Thirty-Five Th</t>
  </si>
  <si>
    <t xml:space="preserve"> 1.	The Municipality of Esperanza, intends to apply the sum of Two Hundred Six Thousand   Pesos Only (Php206,000.00) being the Approved Budget for the Contract (ABC) to payments under the contract for Supply and Delivery of Various Office Equipment use for</t>
  </si>
  <si>
    <t xml:space="preserve"> 7 Integrated Solar LED Lights panel of 60 watts with Post of GI Pipe 2" or 2.5" steel post with concrete base (4-5 meters height  of post) with the following description: *intelligent light control *wireless remote control * with warranty * free installat</t>
  </si>
  <si>
    <t xml:space="preserve"> INVITATION TO BID FOR THE  SUPPLY AND DELIVERY OF COMPUTER NOTEBOOK PR Nos. 27852-001 1.	The Metropolitan Cebu Water District, through the Corporate Budget of 2020 intends to apply the sum of: PR No.	Description	Qty.	Unit Price	Approved Budget for the Con</t>
  </si>
  <si>
    <t xml:space="preserve"> INVITATION TO BID FOR THE  SUPPLY AND DELIVERY OF COMPUTER SOFTWARE AUTOCAD PR Nos. 27828-001 1.	The Metropolitan Cebu Water District, through the Corporate Budget of 2020 intends to apply the sum of: PR No.	Description	Qty.	Unit Price	Approved Budget for</t>
  </si>
  <si>
    <t xml:space="preserve"> Republic of the Philippines Province of Negros Oriental City of Guihulngan Bids and Awards Committee INVITATION TO BID (ITB No. PB2020-051) (2nd Call for Public Bidding) The  City of  Guihulngan, through its Bids and Awards Committee (BAC), invites contra</t>
  </si>
  <si>
    <t xml:space="preserve"> CONSTRUCTION OF EVACUATION CENTER</t>
  </si>
  <si>
    <t xml:space="preserve"> Invitation to Bid for SUPPLY AND DELIVERY OF OFFICE EQUIPMENT  FOR MUNICIPAL PLANNING &amp; DEVELOPMENT OFFICE The Municipal Government of Looc, Romblon, through the AO-NO. 018-2019 Regular1 intends to apply the sum of Seventy-Five Thousand Pesos Only (P 75,0</t>
  </si>
  <si>
    <t xml:space="preserve"> to satisfy the needs of the Barangay such as meetings,conference, big events and etc.</t>
  </si>
  <si>
    <t xml:space="preserve"> INVITATION TO BID FOR THE CONSTRUCTION OF ONE (1) BUILDING PUBLIC MARKET (13M X 34.2M) – VEGETABLE SECTION LOCATED AT PUBLIC MARKET, STA. ROSA, AURORA, ISABELA 1.	The Local Government Unit of Aurora, through the DBP Loan intends to apply the sum of Six Mi</t>
  </si>
  <si>
    <t xml:space="preserve"> materials Supply of labor Rental of equipment</t>
  </si>
  <si>
    <t xml:space="preserve"> Materials Supply of Labor Rental of Equipment</t>
  </si>
  <si>
    <t xml:space="preserve"> I.     CONCRETE WORKS      -      60.00    CU.M.</t>
  </si>
  <si>
    <t xml:space="preserve"> MUNICIPALITY OF PANIQUI Province of Tarlac	Project Reference Number : I-2020-022 Name of the Project           : Rehabilitation of Local Access Road (Phase 1) Location of the Project     : Brgy. Nagmisaan to Brgy. San Juan De Milla, Paniqui, Tarlac Standa</t>
  </si>
  <si>
    <t xml:space="preserve"> SCOPE OF WORKS ITEM 201- AGGREGATE BASE COURSE ITEM 106- COMPACTION EQPT &amp; DENSITY CONTROL STRIPS ITEM 311- PORTLAND CEMENT CONCRETE PAVEMENT ITEM 115-SHOULDERS</t>
  </si>
  <si>
    <t xml:space="preserve"> Materials Supply of labor  Rental of equipment</t>
  </si>
  <si>
    <t xml:space="preserve"> ITEM NO.	ITEM &amp; DESCRIPTION				QTY.	UoM 1	TOTAL STATION						1	unit 	Specs:							 	Telescope, Dual Screen,  Magnification/Resolving Power 							 	Length 171mm, Objective apeture: 45mm (48mm for EDM)							 	Image Erect, Field of view: 1°30' (26m / 1,000</t>
  </si>
  <si>
    <t xml:space="preserve"> Republic of the Philippines Province of Negros Oriental City of Guihulngan Bids and Awards Committee INVITATION TO BID (ITB No. PB2020-052) (2nd Call for Public Bidding) The  City of  Guihulngan, through its Bids and Awards Committee (BAC), invites contra</t>
  </si>
  <si>
    <t xml:space="preserve"> AGUS 6 UNITS 3,4 &amp; 5</t>
  </si>
  <si>
    <t xml:space="preserve"> with Elevated Concrete Reservoir, Pump House, Transmission and Distribution Line at Lower Mabuhay, Bansalan, Davao del Sur Please see attached ITB and RFQ in Associated Component Section for Specifications</t>
  </si>
  <si>
    <t xml:space="preserve"> INVITATION TO BID FOR  Procurement of Goods [Medicines] (REBID) The   City Government of Tagbilaran,   through the Appropriation Ordinance No. 19-05 for FY 2020, intends to apply the sum of Eight Hundred Ninety One Thousand Six Hundred Sixty Pesos and Sev</t>
  </si>
  <si>
    <t xml:space="preserve"> Item No.	Qty	DESCRIPTION				Unit Of Measurement 						 1	106	Water Meter, Residential Type (Supply Only)				Piece 2	152	Brass Ball Valve,1/2''				Piece 3	212	G.I. Nipple, 1'' x 12''				Piece 4	106	G.I. Nipple, 1/2'' x 4''				Piece 5	424	G.I. Elbow, 1/2'' </t>
  </si>
  <si>
    <t xml:space="preserve"> Invitation to Bid for SUPPLY AND DELIVERY OF IT &amp; OFFICE EQUIPMENT AND FURNITURE &amp; FIXTURES FOR MUNICIPAL BUDGET OFFICE The Municipal Government of Looc, Romblon, through the AO-NO. 021-2020 Supplemental Appropriation1 intends to apply the sum of One Hund</t>
  </si>
  <si>
    <t xml:space="preserve"> INVITATION TO BID FOR THE CONSTRUCTION OF ONE (1) BUILDING PUBLIC MARKET (8M X 34.2M) – FISH SECTION LOCATED AT PUBLIC MARKET, STA. ROSA, AURORA, ISABELA 1.	The Local Government Unit of Aurora, through the DBP Loan intends to apply the sum of Four Million</t>
  </si>
  <si>
    <t xml:space="preserve"> SUPPLY OF LABOR AND MATERIALS</t>
  </si>
  <si>
    <t xml:space="preserve"> Republic of the Philippines Province of Negros Oriental City of Guihulngan Bids and Awards Committee INVITATION TO BID (ITB No. PB2020-053) (2nd Call for Public Bidding) The  City of  Guihulngan, through its Bids and Awards Committee (BAC), invites contra</t>
  </si>
  <si>
    <t xml:space="preserve"> ARTICLE AND DESCRIPTION                  										 ITEM	QTY	UNIT						CEILING 		UNIT PRICE			TOTAL  								PRICE					 			Office:  City General Services Office 										 			Charge to: Trust Fund-Sale of Bidding Documents					PR No. 48					 			ABC: Php67</t>
  </si>
  <si>
    <t xml:space="preserve"> 15	pcs.	6" dia. Sanitary pipes series 1000 10	cans	solvent cement</t>
  </si>
  <si>
    <t xml:space="preserve"> Republic of the Philippines								 Province of Negros Occidental								 Municipality of La Castellana								 Bids and Awards Committee								 								 INVITATION TO APPLY FOR ELIGIBILITY AND TO BID								 								 Name of Project: 		CONSTRUCTION OF I</t>
  </si>
  <si>
    <t xml:space="preserve"> 1 unit EB-X41 XGA 3LCD Projector with Free Tripod														 Projector and 16GB Flash Drive	 													 1 unit DSLR EOS 1500D with EFS18-55mm IS II Lens														 DSLR Camera 24 MP		 												 1 unit Air Cooled Portable Diesel Fire Pump model</t>
  </si>
  <si>
    <t xml:space="preserve"> Republic of the Philippines Province of Cagayan Municipality of Baggao INVITATION TO BID FOR THE PROCUREMENT OF GOODS The LOCAL GOVERNMENT UNIT OF BAGGAO, CAGAYAN, through the 01-001-5-02-03-010 intends to apply the sum of One Million Five Hundred Eighty-</t>
  </si>
  <si>
    <t xml:space="preserve"> NOTICE FOR NEGOTIATED PROCUREMENT 	 You are invited to enter into negotiated procurement pursuant to Section 53.7 of  the   IRR, R.A. 9184 for  individual consultant for five (5) months, August-December, 2020,  for the following consulting services: 1. Ma</t>
  </si>
  <si>
    <t xml:space="preserve"> PAKYAW BASIS TO ASSIST THE AGUS 6 HEP MECHANICAL SECTION DURING REPAIR OF SPILLWAY GATES</t>
  </si>
  <si>
    <t xml:space="preserve"> INVITATION TO BID FABRICATION OF OFFICE TABLES Reference No.: GDS-20-074 The MUNICIPAL GOVERNMENT OF DARAGA, through the Municipal Annual Budget, intends to apply the sum of Two Hundred Ninety Thousand Nine Hundred Eighty-One Pesos &amp; 25/100 (P290,981.25) </t>
  </si>
  <si>
    <t xml:space="preserve"> Republic of the Philippines Province of Negros Oriental City of Guihulngan Bids and Awards Committee INVITATION TO BID (ITB No. PB2020-055) (2nd Call for Public Bidding) The  City of  Guihulngan, through its Bids and Awards Committee (BAC), invites contra</t>
  </si>
  <si>
    <t xml:space="preserve"> Republic of the Philippines Province of Negros Oriental City of Guihulngan Bids and Awards Committee INVITATION TO BID (ITB No. PB2020-054) (2nd Call for Public Bidding) The  City of  Guihulngan, through its Bids and Awards Committee (BAC), invites contra</t>
  </si>
  <si>
    <t xml:space="preserve"> Labor and materials</t>
  </si>
  <si>
    <t xml:space="preserve"> PROCUREMENT OF VARIOUS OFFICE SUPPLIES AND EQUIPMENTS 1,500	ream	Bond paper, Long						 250	ream	Bond paper, A4						 264	ream	Bond paper, short						 50	box	Staple wire						 20	box	Paper fastener						 100	pc	Clear folder						 20	pack	Special Paper				</t>
  </si>
  <si>
    <t xml:space="preserve"> Republic of the Philippines Province of Cagayan Municipality of Baggao INVITATION TO BID FOR THE PROCUREMENT OF GOODS The LOCAL GOVERNMENT UNIT OF BAGGAO, CAGAYAN, through the 01-01-5-06-04-020-99 SB #01-2015 intends to apply the sum of Three Hundred Sixt</t>
  </si>
  <si>
    <t xml:space="preserve"> 76	pcs.	2"X2"10 COCO LUMBER 14	pcs.	MARINE PLYWOOD 1/4" 4	KGS.	CWN 3" 2	KGS.	CWN 1" 4	UNITS	BAMBOO BED 1	BOX	DUPLEX WIRE 14/2 12	pcs.	EXCELL BULB 11 WATTS 4	pcs.	SWITCH 4	pcs.	OUTLET 2 GANG 2	pcs.	ELECTRIC TAPE BIG 2	ROLLS	BALB WIRE 7	pcs.	12MMX6M DEF BAR</t>
  </si>
  <si>
    <t xml:space="preserve"> Qty.  Unit           Item      1	piece	   Coffee Maker    4	piece	   Oven Toaster    4	piece	   Microwave Oven    1	piece	   Refrigerator 8 cu. Ft. (Double Door)    2	piece	   Wall Clock (Large, Round)    4	piece	   Rice Cooker (10 cups)</t>
  </si>
  <si>
    <t xml:space="preserve"> Equipment                                 No.                No. of Days 1.  Road Grader                               1                         1 2.  One Bagger Mixer                        1                       18 3.  Concrete Vibrator                </t>
  </si>
  <si>
    <t xml:space="preserve"> INVITATION TO BID KB-GOODS-2020-07 I.	The Municipality of Kitaotao, intends to apply the sum of One Hundred Eighty-Four Thousand Three Hundred Pesos Only (P184,300.00) for the Supply and Delivery of Various Goods. Bids received more than the ABC shall be </t>
  </si>
  <si>
    <t xml:space="preserve"> Republic of the Philippines								 Province of Negros Occidental								 Municipality of La Castellana								 Bids and Awards Committee								 								 INVITATION TO APPLY FOR ELIGIBILITY AND TO BID								 								 Name of Project: 		INSTALLATION OF F</t>
  </si>
  <si>
    <t xml:space="preserve"> Republic of the Philippines Province of Romblon MUNICIPALITY OF MAGDIWANG INVITATION TO BID EXPANSION OF PWS LEVEL III PHASE IV (MATERIALS Project ID No. 2020-20) July 28, 2020 1.	The Municipality of Magdiwang, Romblon, through its 20%  ADF SAVINGS 2018 i</t>
  </si>
  <si>
    <t xml:space="preserve"> Republic of the Philippines							 Province of Negros Occidental							 Municipality of La Castellana							 Bids and Awards Committee							 							 INVITATION TO APPLY FOR ELIGIBILITY AND TO BID							 							 Name of Project: 		REPLACEMENT OF DAMAGE (1</t>
  </si>
  <si>
    <t xml:space="preserve"> Electrical Supplies</t>
  </si>
  <si>
    <t xml:space="preserve"> The Municipal Government Unit of CONNER, through the Capital Outlay 2020- Mayor’s Office intends to apply the sum of One Million Pesos only (₱ 1,000,000.00) being the Approved Budget for the Contract (ABC) to payments under the contract for the:    Procur</t>
  </si>
  <si>
    <t xml:space="preserve"> Republic of the Philippines Province of Cagayan Municipality of Baggao INVITATION TO BID FOR THE PROCUREMENT OF GOODS The LOCAL GOVERNMENT UNIT OF BAGGAO, CAGAYAN, through the 01-001-5-02-03-010 intends to apply the sum of Six Hundred Ninety-Three Thousan</t>
  </si>
  <si>
    <t xml:space="preserve"> Republic of the Philippines Provincial Government of Aurora Bids and Awards Committee (BAC) BAC Office, Provincial Capitol Building, Baler, Aurora 3200, Philippines Standard Form Number: SF-INFR-05 Revised on: July 29, 2004 INVITATION TO BID The PROVINCIA</t>
  </si>
  <si>
    <t xml:space="preserve"> INVITATION TO BID FOR THE PROCUREMENT                                                                                          OF JANITORIAL SERVICES FOR CY2020 The PHILIPPINE HEALTH INSURANCE CORPORATION, PhilHealth Regional Office-Caraga (PRO Caraga), t</t>
  </si>
  <si>
    <t xml:space="preserve"> Invitation to Bid for SUPPLY AND DELIVERY OF IT EQUIPMENT  FOR MUNICIPAL AGRICULTURE OFFICE The Municipal Government of Looc, Romblon, through the AO-NO. 021-2020 Supplemental Appropriation1 intends to apply the sum of Forty-Four Thousand Pesos Only (P 44</t>
  </si>
  <si>
    <t xml:space="preserve"> Annual Physical and Medical Examination for PFDA-NFPC Employees 116	Employee	Inclusions :		 		1) Chest X-Ray (11" x 14" Film)		 		2) Laboratory Examination consisting of the following :		 		      a) Complete blood count (CBC)		 		      b) Urinalysis 		 		</t>
  </si>
  <si>
    <t xml:space="preserve"> INVITATION TO BID FOR SUPPLIES/DELIVERIES FOR THE PROCUREMENT OF VARIOUS IT EQUIPMENT AND ACCESSORIES TO BE USED IN ADMINISTRATIVE SECTION, MAINTENANCE SECTION, QUALITY ASSURANCE SECTION, PLANNING &amp; DESIGN SECTION, AND FINANCE SECTION FOR THE 3RD QUARTER </t>
  </si>
  <si>
    <t xml:space="preserve"> ITEM NO.   DESCRIPTION   UNIT QUANTITY SPL 2  Construction project and Health program  lot 1.00 SPL 3 Project billboard and signages lot 1.00 103 (1) a Structural excavation  cu.m 150.00 405 Structural concret Class A  cu.m 50.55 505(5) Grouted Riprap (cl</t>
  </si>
  <si>
    <t xml:space="preserve"> Republic of the Philippines Province of Negros Oriental City of Guihulngan Bids and Awards Committee INVITATION TO BID (ITB No. PB2020-057) The  City of  Guihulngan, through its Bids and Awards Committee (BAC), invites contractors registered with and clas</t>
  </si>
  <si>
    <t xml:space="preserve"> Republic of the Philippines Province of Leyte Municipality of Pastrana -oOo- INVITATION TO BID INSTALLATION OF PUBLIC ADDRESS RA The Local Government Unit of Barangay Lima, Municipality of Pastrana, intends to apply the sum of ONE HUNDRED FIFTEEN THOUSAND</t>
  </si>
  <si>
    <t xml:space="preserve"> INVITATION TO BID TheDPWH-Regional Office No. III, throughits Bids and Awards Committee (BAC), invites contractorstosubmitbidsforthe following Contracts below: ProcurementID/ContractID:20C00049 ContractName:Local Program-Construction/Repair/Rehabilitation</t>
  </si>
  <si>
    <t xml:space="preserve"> 1	7,500	Btl		Paracetamol Drops  2	4,000	Btl		Ambroxol Drops  3	5,000	Btl		Amoxicillin Drops  4	10,000	Btl		Multivitamins Drops  5	10,000	Btl		Ascorbic Acid Drops  6	7,500	Btl		Phenylpropanolamine Drops  7	4,000	Btl		Carbocisteine Drops  8	3,000	Btl		Cefal</t>
  </si>
  <si>
    <t xml:space="preserve"> Materials Supply of labor Rental of equipment</t>
  </si>
  <si>
    <t xml:space="preserve"> Republic of the Philippines Province of Negros Oriental City of Guihulngan Bids and Awards Committee INVITATION TO BID (ITB No. PB2020-056) The  City of  Guihulngan, through its Bids and Awards Committee (BAC), invites contractors registered with and clas</t>
  </si>
  <si>
    <t xml:space="preserve"> The Local Government Unit of CONNER, through the DF LCPC-2020 intends to apply the sum of Two Hundred Thirty-Two Thousand Two Hundred Seventeen Pesos and 53/100 Centavos Only (₱ 232,217.53) being the Approved Budget for the Contract (ABC) to payments unde</t>
  </si>
  <si>
    <t xml:space="preserve"> PROCUREMENT OF VARIOUS CONSTRUCTION MATERIALS AND SUPPLIES 40	pc	Faucets						 35	pc	Tapelon						 10	pc	Padlocks						 10	set	Door knobs						 20	pc	Paint brush, 1/2"						 20	pc	Paint brush, 3/4"						 20	pc	Paint brush, 1"						 20	pc	Paint brush, 2"		</t>
  </si>
  <si>
    <t xml:space="preserve"> Republic of the Philippines Province of Nueva Vizcaya BIDS AND AWARDS COMMITTEE (BAC-Goods) BAC OFFICE, Provincial Capitol, Bayombong, Nueva Vizcaya Tel. No. 078-392-2062 	 2ND INVITATION TO BID FOR THE SUPPLY AND DELIVERY OF 1 UNIT  MOTOR VEHICLE/SERVICE</t>
  </si>
  <si>
    <t xml:space="preserve"> Initial Installation of Early Warning System and Monitoring in Lucod, Central and Lambajon (Public Address, remote Trigger Alarm System, Visual Monitoring/Surveillance and Recording at the Opcen).</t>
  </si>
  <si>
    <t xml:space="preserve"> Completion of Barangay Kitchen - Brgy. Bugbuga</t>
  </si>
  <si>
    <t xml:space="preserve"> The Local Government Unit of CONNER, through the 2020 20% DF intends to apply the sum of Four hundred twenty eight thousand six hundred fifty three pesos and 17/100 Centavos Only (₱ 428,653.17) being the Approved Budget for the Contract (ABC) to payments </t>
  </si>
  <si>
    <t xml:space="preserve"> Please see attached RFQ in Associated Component or Link Below. …</t>
  </si>
  <si>
    <t xml:space="preserve"> Description of Works to be Done I. EXCAVATION II. CONCRETE WORKS III. PAINTING WORKS IV. INSTALLATION OF SOLAR POWER STREETLIGHTS</t>
  </si>
  <si>
    <t xml:space="preserve"> SEE ATTACHED PURCHASE REQUEST</t>
  </si>
  <si>
    <t xml:space="preserve"> The  Sangguniang Barangay  BANTAD, through its Bids and Awards Committee (BAC), invites suppliers/manufacturers/distributors/contractors to apply for eligibility and to bid for the hereunder project: Name of Project	:  REHABILITATION OF MULTI –  PURPOSE B</t>
  </si>
  <si>
    <t xml:space="preserve"> Republic of the Philippines LOCAL GOVERNMENT UNIT OF GINGOOG BIDS AND AWARDS COMMITTEE Gingoog City 	INVITATION TO BID	 PURCHASE OF DIGITAL DUPLICATOR MACHINES AND PHOTOCOPIER MACHINES UNDER P.R. NO. 80-20-07-084 1.	The Local Government Unit of Gingoog Ci</t>
  </si>
  <si>
    <t xml:space="preserve"> 1 unit Eco Solvent Large Format Printer (6 feet)</t>
  </si>
  <si>
    <t xml:space="preserve"> Invitation to Bid for SUPPLY AND DELIVERY OF FURNITURE  FOR MUNICIPAL TREASURER OFFICE The Municipal Government of Looc, Romblon, through the AO-NO. 021-2020 Supplemental Appropriation1 intends to apply the sum of Sixty-Five Thousand Seven Hundred Pesos O</t>
  </si>
  <si>
    <t xml:space="preserve"> COMPLETION OF PUROK 3 BARANGAY BALUNTAY LEVEL III WATER SYSTEM Alabel, Sarangani Province (Contract No. INFRA 2020-42) July 29, 2020 1.	The Provincial Government of Sarangani, through AIP CY 2020/AB 2020 intends to apply the sum of One Million Four Hundre</t>
  </si>
  <si>
    <t xml:space="preserve"> Department of Education Region VI-Western Visayas Division of Cadiz City Hiyang-Hiyang Elementary School  INVITATION TO BID FOR THE PROCUREMENT OF SUPPLIES FOR COVID-19 PANDEMIC PREPAREDNESS FOR THE YEAR 2020 1.	The Hiyang-Hiyang Elementary School of Cadi</t>
  </si>
  <si>
    <t xml:space="preserve"> INVITATION TO BID FOR THE PROCUREMENT                                                                                          OF SECURITY SERVICES FOR CY 2020 The PHILIPPINE HEALTH INSURANCE CORPORATION, PhilHealth Regional Office-Caraga (PRO Caraga), th</t>
  </si>
  <si>
    <t xml:space="preserve"> Republic of the Philippines Province of Cagayan Municipality of Sta. Praxedes BIDS AND AWARDS COMMITTEE	 Invitation to Bid Supply and Delivery of Photocopier,  Computer Laptop &amp; Printer ITB – Goods – 2020 -07-041 1.	The Local Government Unit of Sta. Praxe</t>
  </si>
  <si>
    <t xml:space="preserve"> Republic of the Philippines Province of Negros Oriental City of Guihulngan Bids and Awards Committee INVITATION TO BID (ITB No. PB2020-059) The  City of  Guihulngan, through its Bids and Awards Committee (BAC), invites contractors registered with and clas</t>
  </si>
  <si>
    <t xml:space="preserve"> The Local Government Unit of CONNER, through the Capital Outlay Mayor’s Office 2019 intends to apply the sum of Four Hundred sixty four thousand One hundred eighty seven pesos and 72/100 Centavos Only (₱ 464,187.72) being the Approved Budget for the Contr</t>
  </si>
  <si>
    <t xml:space="preserve"> 50 panels Blinds (Plain gray for windows, 23.92 sq.ft.)</t>
  </si>
  <si>
    <t xml:space="preserve"> Republic of the Philippines Province of Quezon Municipality of Atimonan Barangay Angeles Project Reference No:  2020-06 Name of the Project: Purchase of Medicines Location of the Project: Barangay Angeles, Atimonan, Quezon REQUEST FOR QUOTATION-SHOPPING (</t>
  </si>
  <si>
    <t xml:space="preserve"> Supply and delivery of crude oil for LGU Jose Abad Santos, Davao Occidental.</t>
  </si>
  <si>
    <t xml:space="preserve"> Invitation to Bid for SUPPLY AND DELIVERY OF OFFICE &amp; IT EQUIPMENT  FOR MUNICIPAL CIVIL REGISTRAR OFFICE The Municipal Government of Looc, Romblon, through the AO-NO. 021-2020 Supplemental Appropriation1 intends to apply the sum of One Hundred Forty-Five </t>
  </si>
  <si>
    <t xml:space="preserve"> Republic of the Philippines Province of Bohol MUNICIPALITY OF SAN MIGUEL Bids and Awards Committee 2nd Floor Municipal Hall Building, Municipal Compound, Poblacion, San Miguel, Bohol Contact: 09287957497 Email: bacsanmiguelbohol@gmail.com REQUEST FOR QUOT</t>
  </si>
  <si>
    <t xml:space="preserve"> 22 units of Super Digital Duplicator Machine Specifications: Master Making/Printing Methods	-	High-speed digital master-making/Full automatic printing Original type				-	Sheet Original Size (min./max.)		-	90mm x 140mm to 310mm x 435mm 						        (3 17/</t>
  </si>
  <si>
    <t xml:space="preserve"> Republic of the Philippines Province of Cagayan Municipality of Baggao INVITATION TO BID FOR THE PROCUREMENT OF GOODS The LOCAL GOVERNMENT UNIT OF BAGGAO, CAGAYAN, through the 01-001-5-02-03-010 intends to apply the sum of Two Million Seven Hundred Twenty</t>
  </si>
  <si>
    <t xml:space="preserve"> Construction of Multi- Purpose Hall are made of long span roofing, flashing,fascia board, assorted concrete nails,lumber,hardiflex,metal furring and etc. Source of Fund: SB 1 cy 2019  Biddng Date: August 13, 2020- 2:00pm at Brgy Jereos, La Paz, Brgy. Hall</t>
  </si>
  <si>
    <t xml:space="preserve"> ITEM NO.   DESCRIPTION  UNIT QUANTITY 102   Excavation works cu.m  9.750 506   Grouted riprap works  cu.m 18.85 SPL   Concrete Permanent marker/Billboard   lot 1.00 SPL  Transhipment works        Road to project site (manual hauling) Lot 1</t>
  </si>
  <si>
    <t xml:space="preserve"> CORPORATE ANTI-VIRUS (1 Year License-Renewal)	200 Users	     Technical Specification:		 ● Remote Administration		 "● Protects against viruses, worms, trojans, spyware, malware    and toolkits using industry leading technology"		 "● Scans all web, email an</t>
  </si>
  <si>
    <t xml:space="preserve"> Republic of the Philippines Province of Lanao del Norte Municipality of Tubod OFFICE OF THE BIDS AND AWARDS COMMITTEE INVITATION TO BID CONSTRUCTION OF COLUMBARIUM NICHES Public Cemetery, Tubod, Lanao del Norte  (ITB-2020-JDL-017 Re-Bid) Approved Budget f</t>
  </si>
  <si>
    <t xml:space="preserve"> Republic of the Philippines Province of Davao Oriental City of Mati BIDS &amp; AWARDS COMMITTEE INVITATION TO BID Procurement of 1,225 LITERS LIQUID FOLIAR FERTILIZER in Support to Farmers of the Province SOURCE OF FUND: OLFP [1999OD-200-5-02-03-100-01] 1.	Th</t>
  </si>
  <si>
    <t xml:space="preserve"> Shopping</t>
  </si>
  <si>
    <t xml:space="preserve"> Republic of the Philippines Province of Negros Oriental City of Guihulngan Bids and Awards Committee INVITATION TO BID (ITB No. PB2020-060) The  City of  Guihulngan, through its Bids and Awards Committee (BAC), invites contractors registered with and clas</t>
  </si>
  <si>
    <t xml:space="preserve"> 8 PCS TIRE 11:00X 22.5</t>
  </si>
  <si>
    <t xml:space="preserve"> The Local Government Unit of CONNER, through the LDRRMF 5% 2018 intends to apply the sum of Two hundred thirty Five Thousand Five Hundred One  Pesos and 40/100 Centavos Only (₱ 235,501.40) being the Approved Budget for the Contract (ABC) to payments under</t>
  </si>
  <si>
    <t xml:space="preserve"> Department of Education Region VI-Western Visayas Division of Cadiz City Hiyang-Hiyang Elementary School  INVITATION TO BID FOR THE PROCUREMENT OF SUPPLIES FOR MODULES FOR THE YEAR 2020 1.	The Hiyang-Hiyang Elementary School of Cadiz City, through the Sch</t>
  </si>
  <si>
    <t xml:space="preserve"> Republic of the Philippines Province of Davao De Oro MUNICIPALITY OF COMPOSTELA BIDS AND AWARDS COMMITTEE CP#: 0998-571-7569 INVITATION TO BID FOR  Purchase of Supplies and Materials needed for Evacuation Center - MDRRMO ITB NO. 2020-07-037, BID NO. 003 1</t>
  </si>
  <si>
    <t xml:space="preserve"> Purchase of Medicine for RHU Use</t>
  </si>
  <si>
    <t xml:space="preserve"> PROJECT: CONCRETING OF ROAD ALLEY PHASE 1, 2 &amp; 3 LOCATION: BARANGAY STA. ROSA, CONCEPCION, TARLAC APPROVED BUDGET FOR THE CONTRACT: PHP 272,944.90 SOURCE OF FUND: 20% BDF The contract to be performed by the successful bidder shall be specified in the Tech</t>
  </si>
  <si>
    <t xml:space="preserve"> July 28, 2020 INVITATION TO BID FOR CONCRETING OF ROAD AT DAISY ST., BRGY. URDANETA, MAGALLANES, CAVITE The Municipality of Magallanes, Cavite, through the Budget for the Contract approved by the Sangguniang Bayan intends to apply the sum of Six Hundred N</t>
  </si>
  <si>
    <t xml:space="preserve"> (IB NO. 2020DJG-002) The PhilHealth Regional Office VI, through the COB of CY 2020 intends to apply the sum of Two Million Seven Hundred Sixty Eight Thousand Seven Hundred Two Pesos and 15/100 only  (Php 2,768,702.15), being the Approved Budget for the Co</t>
  </si>
  <si>
    <t xml:space="preserve"> Back-up Power Generator Sets for MDRRMO/Barangay LGU Operations/Emergency Warning System.</t>
  </si>
  <si>
    <t xml:space="preserve"> Republic of the Philippines Province of Cagayan Municipality of Piat -o0o- BARANGAY MINANGA OFFICE OF THE BIDS AND AWARDS COMMITTEE (BAC) “INVITATION TO BID FOR CONSTRUCTION OF DRAINAGE CANAL WITH STIFFENERS AT MINANGA, PIAT, CAGAYAN” The Local Government</t>
  </si>
  <si>
    <t xml:space="preserve"> CONSTRUCTION OF ADDITIONAL CELLS AND INFIRMARY FOR SARANGANI PROVINCIAL JAIL Alabel, Sarangani Province (Contract No. INFRA 2020-44) July 29, 2020 1.	The Provincial Government of Sarangani, through AIP CY 2020/AB 2020 intends to apply the sum of Nine Mill</t>
  </si>
  <si>
    <t xml:space="preserve"> Republic of the Philippines PROVINCE OF BUKDINON Malaybalay City OFFICE OF THE PROVINCIAL GOVERNOR Bids and Awards Committee INVITATION TO BID FOR THE “SUPPLY AND DELIVERY OF SEEDS” ITB No. 2020-186 July 27, 2020 1.	The Provincial Government of Bukidnon, </t>
  </si>
  <si>
    <t xml:space="preserve"> PURCHASE OF SOLAR POWERED LIGHTING FACILITIES The Barangay Veterans Village, City Proper, Iloilo City thru the Office of Bids and Awards Committee invites suppliers to apply for eligibility and if found eligible to bid for the ff:  Project Title: PURCHASE</t>
  </si>
  <si>
    <t xml:space="preserve"> Republic of the Philippines Office of the Municipal Mayor BIDS AND AWARDS COMMITTEE Burgos, Ilocos Sur INVITATION TO BID The Municipal Government of Burgos, Ilocos Sur, through its Bids and Awards Committee (BAC) invites bids for the hereunder contract: 	</t>
  </si>
  <si>
    <t xml:space="preserve"> Acquisition of equipments and office supplies for the SK Council office and provision of transportation, communication and allowance for the SK Council members for efficient and effective delivery of service for KK members of Barangay Guadalupe Viejo.</t>
  </si>
  <si>
    <t xml:space="preserve"> REQUEST FOR QUOTATION The Local Government Unit of Molave, through its Bids and Awards Committee, will undertake a Small Value Procurement for the Purchase of Computers and Printer to be Used in  Molave Rural Health Unit in accordance with Section 53.9 of</t>
  </si>
  <si>
    <t xml:space="preserve"> REMOVAL OF EXISTING STRUCTURES CLEARING OF CULVERT PIPE IN PLACE BACKFILLING CONCRETE WORKS SANITARY WORKS</t>
  </si>
  <si>
    <t xml:space="preserve"> Republic of the Philippines Province of Lanao del Norte Municipality of Tubod OFFICE OF THE BIDS AND AWARDS COMMITTEE INVITATION TO BID ESTABLISHMENT OF LGU-MANAGED FM RADIO STATION Tubod, Lanao del Norte  (ITB-2020-JDL-016 Re-Bid) Approved Budget for the</t>
  </si>
  <si>
    <t xml:space="preserve"> INVITATION TO BID FOR THE PROCUREMENT OF GOODS The LOCAL GOVERNMENT UNIT OF BAGGAO, CAGAYAN, through the 01-001-5-02-03-090 intends to apply the sum of One Million Seven Hundred Ninety-Six Thousand Nine Hundred Pesos (PHP 1,796,900.00) being the Approved </t>
  </si>
  <si>
    <t xml:space="preserve"> Republic of the Philippines Batangas City Invitation to Apply for Eligibility and to Bid The Barangay Government of Barangay Tinga Labac, Batangas City intends to apply the sum of One Hundred Sixty Eight Thousand Four Hundred Sixty Five Pesos and Fifty-Fi</t>
  </si>
  <si>
    <t xml:space="preserve"> The Local Government Unit of CONNER, through the DSWD LCPC-2020 intends to apply the sum of Three Hundred Seventy-One Thousand Four Hundred Sixty Seven   Pesos and 64/100 Centavos Only (₱ 371,467.64) being the Approved Budget for the Contract (ABC) to pay</t>
  </si>
  <si>
    <t xml:space="preserve"> Sub grade preparation Portland cement Concrete pavement Riprap Canal</t>
  </si>
  <si>
    <t xml:space="preserve"> IMPROVEMENT OF KIOGAM MULTI-PURPOSE BUILDING Glan, Sarangani Province (Contract No. INFRA 2020-43) July 29, 2020 1.	The Provincial Government of Sarangani, through AIP CY 2020/AB 2020 intends to apply the sum of One Million Five Hundred Thousand Pesos (₱1</t>
  </si>
  <si>
    <t xml:space="preserve"> Additional Construction of  Apartment Type (Multi-Leveled) Niches (Forty Eight (48) units)</t>
  </si>
  <si>
    <t xml:space="preserve"> Invitation to Bid for SUPPLY AND DELIVERY OF FURNITURE &amp; FIXTURE AND OFFICE  EQUIPMENT FOR MUNICIPAL PLANNING &amp; DEVELOPMENT OFFICE The Municipal Government of Looc, Romblon, through the AO-NO. 021-2020 Supplemental Appropriation1 intends to apply the sum </t>
  </si>
  <si>
    <t xml:space="preserve"> Republic of the Philippines  DEPARTMENT OF PUBLIC WORKS AND HIGHWAYS REGIONAL OFFICE VIII Baras, Palo, Leyte NOTICE OF POSTING @ PHILGEPS / DPWH WEBSITE / BULLETIN BOARD                                                                                      </t>
  </si>
  <si>
    <t xml:space="preserve"> PURCHASE OF OFFICE SUPPLIES AND OFFICE EQUIPMENT</t>
  </si>
  <si>
    <t xml:space="preserve"> Republic of the Philippines Municipality of Taytay Taytay, Palawan NOTICE TO BIDDERS Item # Qty Unit Description Amount 1.    1    lots     Animals Feeds &amp; Other Supplies The two envelope system of procurement shall be observed, Bidding documents shall be</t>
  </si>
  <si>
    <t xml:space="preserve"> EQUEST FOR QUOTATION The Local Government Unit of Molave, through its Bids and Awards Committee, will undertake a Small Value Procurement for the Purchase of Office Tables and Chairs to be Used in  Molave Rural Health Unit in accordance with Section 53.9 </t>
  </si>
  <si>
    <t xml:space="preserve"> PROJECT: CONSTRUCTION OF CHB OPEN CANAL PHASE I LOCATION: BARANGAY PANDO, CONCEPCION, TARLAC APPROVED BUDGET FOR THE CONTRACT: PHP 282,857.70 SOURCE OF FUND: 20% BDF The contract to be performed by the successful bidder shall be specified in the Technical</t>
  </si>
  <si>
    <t xml:space="preserve"> 10 PCS TIRE 10.00 X 20 WITH TUBE AND FLAP</t>
  </si>
  <si>
    <t xml:space="preserve"> Please see attached ITB. ABC: 15,000.00</t>
  </si>
  <si>
    <t xml:space="preserve"> PR#	2020-07-0370 INREMP	 1	lot	Various sizes of Visual Aids	 192,000.00 	 50	piece	Flip Chart		 		size: 11 x 14. 25		 		16 pages, colored with standee		 5000	piece	Sticker Print Ordinary		 		size: 3-3/4 x 4.5, colored		 1000	piece	Poster		 		size: 12 x 18</t>
  </si>
  <si>
    <t xml:space="preserve"> Invitation to Bid for SUPPLY AND DELIVERY OF MATERIALS FOR CONSTRUCTION OF MATERIAL RECOVERY FACILITY IN 12 BARANGAYS The Municipal Government of Looc, Romblon, through the AO-NO. 018-2019 Regular1 intends to apply the sum of Seven Hundred Twenty Thousand</t>
  </si>
  <si>
    <t xml:space="preserve"> INSTALLATION OF STREET LIGHTS AT BARANGAY  BALUNTAY, ALABEL Alabel, Sarangani Province (Contract No. INFRA 2020-46) July 29, 2020 1.	The Provincial Government of Sarangani, through AIP CY 2020/AB 2020 intends to apply the sum of One Million Nine Hundred S</t>
  </si>
  <si>
    <t xml:space="preserve"> ITEM	QTY.	UNIT		ARTICLE AND DESCRIPTION				CEILING 					UNIT PRICE		TOTAL  								PRICE							 				Office: PESO Manila, Office of the Mayor				PR No. 43							 				Charge to: Trust Liabilities - Grants and Donations for NCOV-19											 				ABC:  Php38</t>
  </si>
  <si>
    <t xml:space="preserve"> Republic of the Philippines PROVINCE OF BUKDINON Malaybalay City OFFICE OF THE PROVINCIAL GOVERNOR Bids and Awards Committee INVITATION TO BID FOR THE “SUPPLY AND DELIVERY OF OLYSET NET WINDOW SCREEN” ITB No. 2020-187 July 27, 2020 1.	The Provincial Gover</t>
  </si>
  <si>
    <t xml:space="preserve"> For use in Artesian Well Servies Division in delivering Portable water in various barangays especially in the upland area.</t>
  </si>
  <si>
    <t xml:space="preserve"> CONSTRUCTION OF BLEACHERS FOR TUYAN SPORTS CENTER Malapatan, Sarangani Province (Contract No. INFRA 2020-45) July 29, 2020 1.	The Provincial Government of Sarangani, through AIP CY 2020/AB 2020 intends to apply the sum of Nine Hundred Ninety-Nine Thousand</t>
  </si>
  <si>
    <t xml:space="preserve"> The  Sangguniang Barangay  BUNGAHAN, through its Bids and Awards Committee (BAC), invites suppliers/manufacturers/distributors/contractors to apply for eligibility and to bid for the hereunder project: Name of Project	:  REHABILITATION OF MULTI –  PURPOSE</t>
  </si>
  <si>
    <t xml:space="preserve"> BID TENDER								 The Bids and Awards Committee								 Province of Iloilo								 								 In connection with your Invitation to Bid No. ASS-20-0878-B scheduled on August 19, 2020 I/we proposed to furnish and deliver in conformity with the terms and con</t>
  </si>
  <si>
    <t xml:space="preserve"> ITEM	QTY.	UNIT		ARTICLE AND DESCRIPTION				CEILING 					UNIT PRICE		TOTAL  								PRICE							 															 				Office: Office of the Mayor				PR No. 1698							 				Charge to: Capital Outlay - Machineries and Equipment				OBR No. 100-1911-10693						</t>
  </si>
  <si>
    <t xml:space="preserve"> For maintenance of garbage trucks and various motor vehicles assigned to DPS.</t>
  </si>
  <si>
    <t xml:space="preserve"> INVITATION TO BID FOR THE SUPPLY AND DELIVERY OF SUPPLIES, MATERIALS AND EQUIPMENT TO BE USED AT THE IP-TBM FACILITY PB-2020-184-017 1. The Pampanga State Agricultural University, through Fund 184, intends to apply the sum of P1,051,950.01 being the Appro</t>
  </si>
  <si>
    <t xml:space="preserve"> Conreting of Pathwalk 42 cu. m ordinary gravel  37 cu. m sand  300 bags cement  8 pcs 2"x6"12' coco lumber  5 pcs 12mm RSB  4 cu. m earthfill (construction materials)  2 kls 4" CWN</t>
  </si>
  <si>
    <t xml:space="preserve"> INVITATION TO APPLY FOR ELIGIBILITY AND TO BID The ILOILO STATE COLLEGE OF FISHERIES MAIN POBLCAION CAMPUS, through its Bids and Awards Committee (BAC), invites eligible Bidders to apply for eligibility and to bid for the following project:  Name of Proje</t>
  </si>
  <si>
    <t xml:space="preserve"> 1.) 6 rolls Cyclone wire, 6', 2 x 2 x 3.5 x 12m 2.) 2 rolls Barb wire (30 kls.) 3.) 1 piece Welding mask 4.) 1 box Cutting disk (25's per box) 5.) 1 piece Gloves, leather 6.) 35 piece RSB #10mm 7.) 2 box Welding rod 8.) 15 pieces Cutting disk 9.) 20 meter</t>
  </si>
  <si>
    <t xml:space="preserve"> 20-07-236 Procurement of High Flow Theraphy Machine</t>
  </si>
  <si>
    <t xml:space="preserve"> Proposed MLWD Collection Booth at Lipa Public Market, Brgy. 03, Lipa City ABC : Php 383,073.71 Project Duration : 30 calendar days</t>
  </si>
  <si>
    <t xml:space="preserve"> To be distributed to the communities and public schools as part of fire preparedness program of CCDRRMO.</t>
  </si>
  <si>
    <t xml:space="preserve"> The following are the specific projects under this cluster, to wit: 1. Slope Protection along Ponopon Road, Ba-ayan, Tublay ABC: P125,000.00 2. Rehabilitation of Child Development Center at Ba-ayan Proper, Ba-ayan, Tublay ABC: P125,000.00 3. Slope Protect</t>
  </si>
  <si>
    <t xml:space="preserve"> The   NATIONAL TELECOMMUNICATIONS COMMISSION RXI  -Davao signify in quoting  the value of the services of three security guard with available and approved budget per General Appropriations Act ( GAA) for CY 2020 in the amount of  FIVE HUNDRED FORTY  THOUS</t>
  </si>
  <si>
    <t xml:space="preserve"> Republic of the Philippines NATIONAL FOOD AUTHORITY Region XIV Bangsamoro People’s Complex, Cotabato City REGIONAL BIDS AND AWARDS COMMITTEE Tel. Nos. (064) 421-2407; Fax No. (064) 421-2128 Small Value Procurement No. NFA-RXIV-2020-G-009 July ¬¬¬¬29, 2020</t>
  </si>
  <si>
    <t xml:space="preserve"> 1.	The Local Government Unit (LGU) of Aroroy, through its Annual Budget 2020 to apply the sum of Php 300,000.00 being the Approved Budget for the Contract (ABC) to payments under the contract for Supply and Delivery of IT Equipment for AMC. Bids received </t>
  </si>
  <si>
    <t xml:space="preserve"> DEPARTMENT OF ENVIRONMENT &amp; NATURAL RESOURCES-CAR Baguio City Bids and Awards Committee	           REQUEST FOR QUOTATION                            (ABC:  Php 50,001.00 up to 1,000,000.00)                                        						                     </t>
  </si>
  <si>
    <t xml:space="preserve"> 1.	The Local Government Unit (LGU) of Aroroy, through its Annual Budget 2020 to apply the sum of Php 405,144.50.00 being the Approved Budget for the Contract (ABC) to payments under the contract for Supply and Delivery of Various Office Supplies for Diffe</t>
  </si>
  <si>
    <t xml:space="preserve"> Republic of the Philippines PROVINCE OF BUKDINON Malaybalay City OFFICE OF THE PROVINCIAL GOVERNOR Bids and Awards Committee INVITATION TO BID FOR THE “SUPPLY AND DELIVERY OF AGRICULTURAL EQUIPMENT” ITB No. 2020-185 July 27, 2020 1.	The Provincial Governm</t>
  </si>
  <si>
    <t xml:space="preserve"> Republic of the Philippines Municipality of Taytay Taytay, Palawan NOTICE TO BIDDERS Item # Qty Unit Description Amount 1.	30	set	Seaweeds Paraphernalias                         1 roll rope #20                                    6 roll rope #8            </t>
  </si>
  <si>
    <t xml:space="preserve"> ITEM	QTY.	UNIT		ARTICLE AND DESCRIPTION				CEILING 					UNIT PRICE		TOTAL  								PRICE							 				Office: Office of the Mayor				PR No. 921							 				Charge to: Printing and Publication Expenses				OBR No. 100-2007-06132							 				ABC:  Php957,500.00	</t>
  </si>
  <si>
    <t xml:space="preserve"> ELECTRODES</t>
  </si>
  <si>
    <t xml:space="preserve"> To purchase reflectorized Thermoplastic Pavement Markings to be used for Traffic Engineering.</t>
  </si>
  <si>
    <t xml:space="preserve"> PROJECT: IMPROVEMENT OF COVERED COURT LOCATION: BARANGAY PITABUNAN, CONCEPCION, TARLAC APPROVED BUDGET FOR THE CONTRACT: PHP 505,200.00 SOURCE OF FUND: 20% BDF The contract to be performed by the successful bidder shall be specified in the Technical Quota</t>
  </si>
  <si>
    <t xml:space="preserve"> For Office Supplies of Various Cebu City Government Offices.</t>
  </si>
  <si>
    <t xml:space="preserve"> Republic of the Philippines BARANGAY BAGONG POOK OFFICE OF THE PUNONG BARANGAY BIDS AND AWARDS COMMITTEE INVITATION TO BID The Barangay Government of BARANGAY BAGONG POOK through its Bids and Awards Committee (BAC), invites suppliers/manufacturers/distrib</t>
  </si>
  <si>
    <t xml:space="preserve"> ITEM	QTY.	UNIT		ARTICLE AND DESCRIPTION				CEILING 					UNIT PRICE		TOTAL  								PRICE							 				Office: Office of the Mayor				PR No. 904							 				Charge to: Telephone Expenses				OBR No. 100-2007-005862							 				ABC:  Php357,000.00											 			</t>
  </si>
  <si>
    <t xml:space="preserve"> The Local Government Unit of CONNER, through the 2020 20% DF intends to apply the sum of One Million Three Hundred Ninety Four Thousand Four Hundred Fifty Nine Pesos and 68/100 Centavos Only (₱ 1,394,459.68) being the Approved Budget for the Contract (ABC</t>
  </si>
  <si>
    <t xml:space="preserve"> INVITATION TO BID FOR  LOCAL BRIDGE IN BARANGAYS TUBUAN III,  POBLACION V AND BARANGAY IBA,                                            SILANG , CAVITE 1.	The Municipality of Silang, Cavite through the General Fund of 2020 and National Grant (Assistance to</t>
  </si>
  <si>
    <t xml:space="preserve"> 1. Excavation 2. Reinforced/ Concrete Works 3. Installation</t>
  </si>
  <si>
    <t xml:space="preserve"> Republic of the Philippines Province of Quezon Municipality of Atimonan Barangay Angeles Project Reference No:  2020-09 Name of the Project: Purchase of Sacks Location of the Project: Barangay Angeles, Atimonan, Quezon REQUEST FOR QUOTATION-SHOPPING (Sec.</t>
  </si>
  <si>
    <t xml:space="preserve"> REQUEST FOR QUOTATION The Local Government Unit of Molave, through its Bids and Awards Committee, will undertake a Small Value Procurement for the Purchase of Chainsaw to be Used for Clearing Operations during Disaster and Pruning Trees on Pre-Disaster Op</t>
  </si>
  <si>
    <t xml:space="preserve"> Jose Rizal Memorial State University Construction of Marine Engineering Laboratory 1.	The Jose Rizal Memorial State University-Dapitan Campus through the Corporate Budget for the Contract approved by the governing Board for 2020 intends to apply the sum o</t>
  </si>
  <si>
    <t xml:space="preserve"> pRepublic of the Philippines Province of Bukidnon MUNICIPALITY OF PANGANTUCAN TIN 099-000-631-170 OFFICE OF THE MUNICIPAL MAYOR Bids and Awards Committee (BAC) Cel # 09265379129 E-mail Address: munpangantucanbukidnon@yahoo.com or visit www.philgeps.net IN</t>
  </si>
  <si>
    <t xml:space="preserve"> maintenance of various city owned vehicles and equipment.</t>
  </si>
  <si>
    <t xml:space="preserve"> Republic of the Philippines Province of Cagayan Municipality of Baggao INVITATION TO BID FOR THE PROCUREMENT OF CIVIL WORKS The LOCAL GOVERNMENT UNIT OF BAGGAO, CAGAYAN, through 5-06-04-030-02 20% MDF- 2020 intends to apply the sum of Four Million Nine Hu</t>
  </si>
  <si>
    <t xml:space="preserve"> INVITATION TO BID The Barangay Comon of Tabaco City through the Bids and Awards Committee (BAC) invites suppliers to bid for the hereunder contract: Name of Contract: Procurement of Materials for the Rehabilitation of Water System at Barangay Comon, Tabac</t>
  </si>
  <si>
    <t xml:space="preserve"> Republic of the Philippines Municipality of Taytay Taytay, Palawan NOTICE TO BIDDERS Item # Qty Unit Description Amount 1.     1    Lot    Office Equipment  The two envelope system of procurement shall be observed, Bidding documents shall be available at </t>
  </si>
  <si>
    <t xml:space="preserve"> Republic of the Philippines Province of Nueva Vizcaya BIDS AND AWARDS COMMITTEE (BAC-Goods) BAC OFFICE, Provincial Capitol, Bayombong, Nueva Vizcaya Tel. No. 078-392-2062 	 INVITATION TO BID FOR THE SUPPLY &amp; DELIVERY OF FIREARMS (9MM FS W/ LICENSE)  FOR T</t>
  </si>
  <si>
    <t xml:space="preserve"> INVITATION TO BID FOR [Climate Resilient Farm Productivity Support  (CRFPS) Project] 1.	The Department of Agrarian Reform of Surigao del Sur ,in the Annual Expenditure Program for CY 2020 ,the Climate Resilient Farm Productivity Support has budget allocat</t>
  </si>
  <si>
    <t xml:space="preserve"> GAD Supplemental Feeding Program  Purchase of Food Supplies - P 150,000.00</t>
  </si>
  <si>
    <t xml:space="preserve"> CLUSTERED INFRASTRUCTURE PROJECTS  DRAINAGE CANAL Location: Zone 5-7, Cambalidio, Libmanan, Camarines Sur Appropriation: P 225,000.00 Source of Fund : 20% EDF 2020 Description: I - Drainage Canal                        L=70 m  Outer width= 0.80 m.  Depth=</t>
  </si>
  <si>
    <t xml:space="preserve"> Republic of the Philippines NATIONAL FOOD AUTHORITY Region XIV, BARMM Cotabato City REGIONAL BIDS AND AWARDS COMMITTEE Tel Nos. 064-421-2128 						Small Value Procurement No.  NFA-RXIV-2020-G-008 INVITATION TO SUBMIT QUOTATION SMALL VALUE PROCUREMENT FOR </t>
  </si>
  <si>
    <t xml:space="preserve"> Section I. Invitation to Bid FOR THE UPLB-S-049-08-20  PROCUREMENT FOR THE REHABILITATION/UPGRADE OF INTERNET CONNECTION FOR BAC SECRETARIAT OFFICE 1.	The UNIVERSITY OF THE PHILIPPINES LOS BAÑOS (UPLB), through the GOP intends to apply the sum of EIGHT HU</t>
  </si>
  <si>
    <t xml:space="preserve"> Section I. Invitation to Bid FOR THE UPLB-S-047-08-20  SUPPLY AND DELIVERY OF BRANDED AND BRAND NEW VARIOUS INFORMATION TECHNOLOGY, PARTS &amp; ACCESSORIES &amp; PERIPHERALS 1.	The UNIVERSITY OF THE PHILIPPINES LOS BAÑOS (UPLB), through the GOP intends to apply t</t>
  </si>
  <si>
    <t xml:space="preserve"> Purchase of Common and Non-Common Office Supplies</t>
  </si>
  <si>
    <t xml:space="preserve"> Two Years Internet Subscription of LHIO Calamba San Pedro Center with one installation fee on year 1</t>
  </si>
  <si>
    <t xml:space="preserve"> Check and make general body repair and repainting of Toyota Revo including replacement of all broken parts/accessories to make the vehicle safe and convenient to use.  Check and effect necessary repair of the engine, transmission and under chassis parts t</t>
  </si>
  <si>
    <t xml:space="preserve"> Republic of the Philippines Province of Nueva Vizcaya BIDS AND AWARDS COMMITTEE (BAC-Goods) BAC OFFICE, Provincial Capitol, Bayombong, Nueva Vizcaya Tel. No. 078-392-2062 	 SUPPLY &amp; DELIVERY OF GROCERY ITEMS FOR STOCKPILING (RICE, SARDINES, ETC.)  FOR THE</t>
  </si>
  <si>
    <t xml:space="preserve"> 1.) 200 kilos Nylon, 300/350</t>
  </si>
  <si>
    <t xml:space="preserve"> Project: PURCHASE OF OFFICE SUPPLIES AND DEVICES  Location: Laurel, Batangas ABC:PHP242,948.76 Advertisement	July 29-August 6, 2020	 Pre-bid Conference	-	 Submission of Letter of Intent	July 29-August 6, 2020	 Issuance of Bid Documents	July 29-August 6, 2</t>
  </si>
  <si>
    <t xml:space="preserve"> Purchase of Food distributed in 15 baranggays</t>
  </si>
  <si>
    <t xml:space="preserve"> Purchase of Core i5 Laptop for office use</t>
  </si>
  <si>
    <t xml:space="preserve"> The Local Government Unit of General Santos City, through the GENERAL FUND CY 2020 intends to apply the sum of two hundred forty-eight thousand nine hundred five and xx / 100 Pesos Only (248,905.00) being the Approved Budget for the Contract (ABC) to paym</t>
  </si>
  <si>
    <t xml:space="preserve"> Purchase of Medical Equipment for RHU use</t>
  </si>
  <si>
    <t xml:space="preserve"> Republic of the Philippines DEPARTMENT OF TOURISM REGION 8 REQUEST FOR QUOTATION Date: 28 July 2020 RFQ No.: ADMIN – 007 – 001  Name of Company: _	______________________________________	_____________  Address: _____________________________________________</t>
  </si>
  <si>
    <t xml:space="preserve"> Municipality of Looc INVITATION TO BID FOR Supply and Delivery of 1 Brand New Ambulance 1.	The Municipality of Looc, through the Trust 2019 LGSF FA intends to apply the sum of Php2,500,000.00 being the Approved Budget for the Contract (ABC) to payments un</t>
  </si>
  <si>
    <t xml:space="preserve"> Republic of the Philippines Municipality of Taytay Taytay, Palawan NOTICE TO BIDDERS Item # Qty Unit Description Amount 1.	1	UNIT	Brand New Vehicle (VAN): Specification: Transmission and Chassis: Transmission: 6-speed MANUAL, Suspension Front/Rear: McPher</t>
  </si>
  <si>
    <t xml:space="preserve"> INVITATION TO BID PROCUREMENT OF VARIOUS GOODS IB NO. 2020-08-18 (09) 1.	The Department of Health Cagayan Valley Center for Health Development, through the GOP-General Appropriations Act 2020 intends to apply the lump sum of Nine Million Two Hundred Fifty</t>
  </si>
  <si>
    <t xml:space="preserve"> I. CONCRETE PAVEMENT       -       40.90  CU.M.</t>
  </si>
  <si>
    <t xml:space="preserve"> Republic of the Philippines Municipality of Taytay Taytay, Palawan NOTICE TO BIDDERS Item # Qty Unit Description Amount 1.	1	unit 	SCANNER:  -Specs: Compact size and Footpring, -Powered via USB 3.0 bus powered, AC adapter or in Built-in Battery, -Dedicate</t>
  </si>
  <si>
    <t xml:space="preserve"> Republic of the Philippines Province of Nueva Vizcaya BIDS AND AWARDS COMMITTEE (BAC-Goods) BAC OFFICE, Provincial Capitol, Bayombong, Nueva Vizcaya Tel. No. 078-392-2062 	 INVITATION TO BID FOR THE SUPPLY &amp; DELIVERY OF1 UNIT PHOTOCOPIER   FOR THE  GOVERN</t>
  </si>
  <si>
    <t xml:space="preserve"> Repair and Maintenance of Emergency Vehicle (General Repair) 1 Lot Cargo BodyRepair GI Flooring replace to stainless 1.5 304 extending up to side wall, floor joist repair and reinforcement, Door frame repair, Tail end and side revision, Door lock revision</t>
  </si>
  <si>
    <t xml:space="preserve"> 172 bags Bangus feeds grower 30 bags Fry mash 5 bags Shrimp feeds (starter) 35 bags Shrimp feeds (grower) 10 bags Shrimp feeds (finisher)</t>
  </si>
  <si>
    <t xml:space="preserve"> Reblocking of Local Road, Zone 7, Sitio Panganiban, Brgy. Malawag, Nabua, Camarines Sur</t>
  </si>
  <si>
    <t xml:space="preserve"> The Local Government Unit of General Santos City, through the GENERAL FUND CY 2020 intends to apply the sum of four hundred forty thousand twenty-three and 44 / 100 Pesos Only (440,023.44) being the Approved Budget for the Contract (ABC) to payments under</t>
  </si>
  <si>
    <t xml:space="preserve"> Republic of the Philippines LOCAL GOVERNMENT UNIT OF GINGOOG BIDS AND AWARDS COMMITTEE Gingoog City 	INVITATION TO BID	 PURCHASE OF OFFICE EQUIPMENT AND ACCESSORIES FOR THE USE OF CENTER OPERATION UNDER P.R. NO. 80-20-04-051 1.	The Local Government Unit o</t>
  </si>
  <si>
    <t xml:space="preserve"> The Local Government Unit of General Santos City, through the GENERAL FUND CY 2020 intends to apply the sum of nineteen thousand four hundred sixty and xx / 100 Pesos Only (19,460.00) being the Approved Budget for the Contract (ABC) to payments under the </t>
  </si>
  <si>
    <t xml:space="preserve"> INVITATION TO BID  FOR THE SUPPLY AND DELIVERY OF LABOR &amp; MATERIALS FOR THE CONSTRUCTION OF 100,000 BAGS CAPACITY WAREHOUSE WITH WS II OFFICE AT NFA COMPOUND IN  SCIENCE CITY OF MUÑOZ, NUEVA ECIJA Project Reference No. 2020-RBAC-REGIII-INFR-NEJ-025 The Na</t>
  </si>
  <si>
    <t xml:space="preserve"> INVITATION TO BID FOR THE PROCUREMENT OF LABOR AND MATERIALS FOR PREVENTIVE MAINTENANCE SERVICES OF FOUR (4) UNITS GENERATOR SET AT RONQUILLO SATELLITE FOR TWO (2) YEARS UNDER ITB NO. PB20-07-041COR The Philippine Amusement and Gaming Corporation (PAGCOR)</t>
  </si>
  <si>
    <t xml:space="preserve"> Republic of  the Philippines Province of  Quezon Municipality of  Atimonan INVITATION TO BID 	The Barangay Zone II Poblacion of Atimonan thru the Bids and Awards Committee (BAC) invites interested suppliers/contractors to apply for eligibility screening a</t>
  </si>
  <si>
    <t xml:space="preserve"> Public Information and Part of Early Warning System for Geographically Isolated and Depressed Communities of the Municipality</t>
  </si>
  <si>
    <t xml:space="preserve"> The Local Government Unit of General Santos City, through the GENERAL FUND CY 2020 intends to apply the sum of four hundred sixty-three thousand seven hundred fifty and xx / 100 Pesos Only (463,750.00) being the Approved Budget for the Contract (ABC) to p</t>
  </si>
  <si>
    <t xml:space="preserve"> Republic of the Philippines BIDS AND AWARDS COMMITTEE Province of Iloilo Invitation to Bid Purchase of Medical &amp; Laboratory Supplies Bid No. DIS-20-0817-B 1. The Iloilo Provincial Government, through the LDRRM TRUST FUND intends to apply the sum of ONE MI</t>
  </si>
  <si>
    <t xml:space="preserve"> Concreting of Local Road, Zone 4, Brgy. Lourdes Old , Nabua, Camarines Sur</t>
  </si>
  <si>
    <t xml:space="preserve"> Purchase of Core i3 Laptop for office use</t>
  </si>
  <si>
    <t xml:space="preserve"> PLEASE SEE ATTACHED ITB</t>
  </si>
  <si>
    <t xml:space="preserve"> The Local Government Unit of General Santos City, through the GENERAL FUND CY 2020 intends to apply the sum of two hundred thousand and xx / 100 Pesos Only (200,000.00) being the Approved Budget for the Contract (ABC) to payments under the contract for 20</t>
  </si>
  <si>
    <t xml:space="preserve"> Supply and Delivery of Voucher Boxes for use at the Provincial Accounting Office 500 pcs voucher boxes  size: L-24" W-5: H-8"</t>
  </si>
  <si>
    <t xml:space="preserve"> INVITATION TO BID  FOR THE SUPPLY AND DELIVERY OF LABOR &amp; MATERIALS FOR THE CONSTRUCTION OF 100,000 BAGS CAPACITY WAREHOUSE WITH WS II OFFICE AT NFA COMPOUNDIN  CABANATUAN CITY, NUEVA ECIJA Project Reference No. 2020-RBAC-REGIII-INFR-NEJ-024 The National </t>
  </si>
  <si>
    <t xml:space="preserve"> Republic of the Philippines PROVINCE OF AKLAN Municipality of Tangalan INVITATION TO BID  PROVISION OF SANITARY TOILET Project Reference No.: SF-GOODS:2020-008-008 Approved Budget for the Contract: Php 320, 000.00 Source of Fund: General Fund (Department </t>
  </si>
  <si>
    <t xml:space="preserve"> The Local Government Unit of General Santos City, through the GENERAL FUND CY 2020 intends to apply the sum of four thousand two hundred fifty and xx / 100 Pesos Only (4,250.00) being the Approved Budget for the Contract (ABC) to payments under the contra</t>
  </si>
  <si>
    <t xml:space="preserve"> National Power Corporation INVITATION TO BID PUBLIC BIDDING 2020-0232 1.	The NATIONAL POWER CORPORATION (NPC), through       its        approved       Corporate Budget of CY 2020 intends to apply   the   sum   of (Please see schedule below) being the Appr</t>
  </si>
  <si>
    <t xml:space="preserve"> Republic of the Philippines PROVINCE OF ALBAY 				   Municipality of Rapu-Rapu Invitation to Bid for  Construction, Rehabilitation and Improvement of Pier Poblacion (Seaport System) 1.	The Local Government Units of Rapu-Rapu, Albay through the Approved Bu</t>
  </si>
  <si>
    <t xml:space="preserve"> Procurement of Thermal Scanner and Disinfecting Materials for use in different offices of the Sangguniang Panlalawigan 15 units Hands free alcohol steel stand with alcohol bottle 10 sets anti bacterial door mat 2 units thermal scanner 30 gallons alcohol 7</t>
  </si>
  <si>
    <t xml:space="preserve"> Section I. Invitation to Bid FOR THE UPLB-S-048-08-20  SUPPLY AND DELIVERY OF BRANDED AND BRAND NEW CHEMICALS AND CHEMICAL PRODUCTS FOR BIOTECH 1.	The UNIVERSITY OF THE PHILIPPINES LOS BAÑOS (UPLB), through the GOP intends to apply the sum of TWO MILLION </t>
  </si>
  <si>
    <t xml:space="preserve"> 29 JULY 2020 INVITATION TO BID FOR THE SUPPLY AND DELIVERY OF COMPUTER NOTEBOOKS   FOR DIVISION OF CITY SCHOOLS 	 	 1.	The City of Caloocan, through the Special Education Fund and included in the 2020 Annual City School Board Budget approved under  City S</t>
  </si>
  <si>
    <t xml:space="preserve"> Repair and Maintenance of Municipal Heavy Equipment for 2nd Quarter 2020 with an ABC of Php512,260.00 For further details, please see attached Purchase Request in the associated components.</t>
  </si>
  <si>
    <t xml:space="preserve"> 1.	The National Academy of Science and Technology, through the DOST GIA Project Funds 2019 intends to apply the sum of One Million Nine Hundred Twenty-Three Thousand One Hundred Seventy-Eight Pesos and 21/100 Only (1,923,178.21) being the Approved Budget </t>
  </si>
  <si>
    <t xml:space="preserve"> The Local Government Unit of General Santos City, through the GENERAL FUND CY 2020 intends to apply the sum of five hundred forty thousand six hundred fifty-six and xx / 100 Pesos Only (540,656.00) being the Approved Budget for the Contract (ABC) to payme</t>
  </si>
  <si>
    <t xml:space="preserve"> Concreting of Local Road, Zone 6, Brgy. San Jose, Nabua, Camarines Sur</t>
  </si>
  <si>
    <t xml:space="preserve"> Concreting of Local Road, Zone 7, San Isidro Inapatan, Nabua, Camarines Sur</t>
  </si>
  <si>
    <t xml:space="preserve"> 10 units LCD PROJECTOR TECHNOLOGY Projection System 3LCD Technology LCD Panel 0.55 inch with D7 IMAGE Colour Light Output 3,200 lumen-2,240 lumen (economy) In accordance with IDMS15.4 White Light Output 3,200 lumen - 2,240 lumen (economy) In accordance wi</t>
  </si>
  <si>
    <t xml:space="preserve"> Republic of the Philippines BARANGAY SAN CARLOS OFFICE OF THE PUNONG BARANGAY BIDS AND AWARDS COMMITTEE INVITATION TO BID The Barangay Government of BARANGAY SAN CARLOS through its Bids and Awards Committee (BAC), invites suppliers/manufacturers/distribut</t>
  </si>
  <si>
    <t xml:space="preserve"> The Local Government Unit of General Santos City, through the GENERAL FUND CY 2020 intends to apply the sum of seven hundred thirty-six thousand seven hundred forty-four and xx / 100 Pesos Only (736,744.00) being the Approved Budget for the Contract (ABC)</t>
  </si>
  <si>
    <t xml:space="preserve"> The Local Government Unit of General Santos City, through the GENERAL FUND CY 2020 intends to apply the sum of four hundred ten thousand one hundred and xx / 100 Pesos Only (410,100.00) being the Approved Budget for the Contract (ABC) to payments under th</t>
  </si>
  <si>
    <t xml:space="preserve"> Rehabilitation of Barangay Road from Sitio Cabanbanan, Barangay Dapnan to Sitio Lapaz &amp; Sitio Calinaban, Barangay San Isidro, Baganga, Davao Oriental</t>
  </si>
  <si>
    <t xml:space="preserve"> INVITATION TO BID SUPPLY, DELIVERY, INSTALLATION AND COMMISSIONING OF 80 TONS PITLESS TYPE OF ELECTRONIC TRUCKSCALE AT NFA COMPOUND IN AGUSO, TARLAC Project Reference No. 2020-RBAC-REGIII-026 The National Food Authority, Central Luzon Regional Office (NFA</t>
  </si>
  <si>
    <t xml:space="preserve"> Kindly download the Request for Quotation form for the complete details of this requirement. Thank you.</t>
  </si>
  <si>
    <t xml:space="preserve"> The Local Government Unit of General Santos City, through the GENERAL FUND CY 2020 intends to apply the sum of fifty-eight thousand two hundred and xx / 100 Pesos Only (58,200.00) being the Approved Budget for the Contract (ABC) to payments under the cont</t>
  </si>
  <si>
    <t xml:space="preserve"> Embankment of Municipal Baywalk</t>
  </si>
  <si>
    <t xml:space="preserve"> Republic of the Philippines BARANGAY TIPACAN OFFICE OF THE PUNONG BARANGAY BIDS AND AWARDS COMMITTEE INVITATION TO BID The Barangay Government of BARANGAY TIPACAN through its Bids and Awards Committee (BAC), invites suppliers/manufacturers/distributors to</t>
  </si>
  <si>
    <t xml:space="preserve"> 29 JULY 2020 INVITATION TO BID FOR THE SUPPLY AND DELIVERY OF TEST SCORING MACHINES    FOR DIVISION OF CITY SCHOOLS 	 	 1.	The City of Caloocan, through the Special Education Fund and included in the 2020 Annual City School Board Budget approved under  Ci</t>
  </si>
  <si>
    <t xml:space="preserve"> Republic of the Philippines											 Cordillera Administrative Region											 Provincial Government of Kalinga											 											 BIDS AND AWARDS COMMITTEE											 											 Invitation to Bid											 											 1.	The Provincial Governme</t>
  </si>
  <si>
    <t xml:space="preserve"> 16	Unit 	Steel Cabinet, Vertical, 4 drawers, textured light gray, 45.2 x 62 x 133.1 cm (LWH) 11	Unit 	4-Layer Filing Cabinet with lock, gray, 46 x 62 x 138 cm (LWH), 73.5 kgs. 4	Unit 	Steel Locker Cabinet (9 door)</t>
  </si>
  <si>
    <t xml:space="preserve"> INVITATION TO BID  Purchase and Delivery of Office Supplies ITB 2020-07-039(GOODS) 1. 	The Municipality of Tuba, through the Budget for the contract approved by the Sangguniang Bayan for CY 2020 intends to apply the sum of Nine Hundred Sixty Three Thousan</t>
  </si>
  <si>
    <t xml:space="preserve"> The Local Government Unit of General Santos City, through the DRRM FUND CY 2020 intends to apply the sum of one hundred sixty-six thousand and xx / 100 Pesos Only (166,000.00) being the Approved Budget for the Contract (ABC) to payments under the contract</t>
  </si>
  <si>
    <t xml:space="preserve"> Republic of the Philippines Province of Oriental Mindoro MUNICIPALITY OF GLORIA INVITATION TO BID ITB NO. 2020-010 Supply and Delivery of Materials for the Construction of Uniformed Brgy. Hall (Malamig Brgy. Hall-Phase III) 1. The Municipality of Gloria, </t>
  </si>
  <si>
    <t xml:space="preserve"> The Local Government Unit of General Santos City, through the GENERAL FUND CY 2020 intends to apply the sum of three hundred fifty-nine thousand six hundred eleven and 96 / 100 Pesos Only (359,611.96) being the Approved Budget for the Contract (ABC) to pa</t>
  </si>
  <si>
    <t xml:space="preserve"> Request for Quotation RFQ No.		SVP-043-2020 MR. No.		12051 Requisition No.	ADM-003-2020 Posting Date:         	July 29, 2020 Deadline for Submission:		August 3, 2020 at 9:00 AM Opening Date:	August 3, 2020 at 10:00 AM TO:	Name of Supplier:________________</t>
  </si>
  <si>
    <t xml:space="preserve"> Barangay Road Opening from Proposed Cemetery, Brgy. Salingcomot, Baganga, Davao Oriental</t>
  </si>
  <si>
    <t xml:space="preserve"> Republic of the Philippines BARANGAY DUHATAN OFFICE OF THE PUNONG BARANGAY BIDS AND AWARDS COMMITTEE INVITATION TO BID The Barangay Government of BARANGAY DUHATAN through its Bids and Awards Committee (BAC), invites suppliers/manufacturers/distributors to</t>
  </si>
  <si>
    <t xml:space="preserve"> 29 JULY 2020 INVITATION TO BID FOR THE SUPPLY AND DELIVERY OF OPTICAL MARK READER (OMR) ANSWER SHEETS              FOR DIVISION OF CITY SCHOOLS 	 	 1.	The City of Caloocan, through the Special Education Fund and included in the 2020 Annual City School Boa</t>
  </si>
  <si>
    <t xml:space="preserve"> Procurement of 5 Units Brand New Motorcycles 125cc</t>
  </si>
  <si>
    <t xml:space="preserve"> Republic of the Philippines Province of Oriental Mindoro MUNICIPALITY OF GLORIA INVITATION TO BID ITB NO. 2020-009 Supply and Delivery of Materials for the Construction of Uniformed Brgy. Hall (M. Adriatico Brgy. Hall-Phase III) 1. The Municipality of Glo</t>
  </si>
  <si>
    <t xml:space="preserve"> Republic of the Philippines BARANGAY DAGATAN OFFICE OF THE PUNONG BARANGAY BIDS AND AWARDS COMMITTEE INVITATION TO BID The Barangay Government of BARANGAY DAGATAN through its Bids and Awards Committee (BAC), invites suppliers/manufacturers/distributors to</t>
  </si>
  <si>
    <t xml:space="preserve"> Republic of the Philippines Province of Laguna MUNICIPALITY OF LUISIANA INVITATION TO BID 1. The Municipal Government of Luisiana, Laguna intends to apply the sum of Five Hundred Fifty Thousand Pesos (Php 550,000.00) being the Approved Budget for the Cont</t>
  </si>
  <si>
    <t xml:space="preserve"> Rehabilitation of Barangay Road from Proper San Victor to Sitio Heni, Barangay San Victor, Baganga, Davao Oriental</t>
  </si>
  <si>
    <t xml:space="preserve"> Description of Work to be Done I. EXCAVATION II. CONCRETE WORKS III. PAINTING WORKS IV. INSTALLATION OF SOLAR POWER STREETLIGHTS</t>
  </si>
  <si>
    <t xml:space="preserve"> Rehabilitation of of Sunrise Boulevard, Barangay Dapnan, Baganga, Davao Oriental</t>
  </si>
  <si>
    <t xml:space="preserve"> The Local Government Unit of General Santos City, through the GENERAL FUND CY 2020 intends to apply the sum of two hundred thirty-nine thousand nine hundred ninety-five and xx / 100 Pesos Only (239,995.00) being the Approved Budget for the Contract (ABC) </t>
  </si>
  <si>
    <t xml:space="preserve"> Rehabilitation of Barangay Road from Diversion Road to Sitio Paopagon, Barangay Salingcomot, Baganga, Davao Oriental.</t>
  </si>
  <si>
    <t xml:space="preserve"> Republic of the Philippines Province of Oriental Mindoro MUNICIPALITY OF GLORIA INVITATION TO BID ITB NO. 2020-008 Supply and Delivery of Materials for the Construction of Uniformed Brgy. Hall (Malubay Brgy. Hall-Phase III) 1. The Municipality of Gloria, </t>
  </si>
  <si>
    <t xml:space="preserve"> Concreting of Pathway, Zone 2, Sta. Elena, Nabua, Camarines Sur</t>
  </si>
  <si>
    <t xml:space="preserve"> 1	unit 	Aircon Split Type with inverter (1.5HP) 4	unit 	Airconditioning unit, Split Type,Inverter, 2.0 HP, 65% power savings-the highest energy savings in the industry, wireless remote, autorestart function, easy to clean panel, Nano silver and photocatal</t>
  </si>
  <si>
    <t xml:space="preserve"> 4th Level Training on 2020 Census of Population and Housing (CPH) September 2020 47 Participants (trainers and trainees)   Merged (Cuyo – 30/ Magsaysay – 17) Venue: Cuyo, Palawan Mode of Payment: SEND BILL Date of Delivery:August 17-22,2020 Mode : Food to</t>
  </si>
  <si>
    <t xml:space="preserve"> The Local Government Unit of General Santos City, through the GENERAL FUND CY 2020 intends to apply the sum of four hundred sixty-eight thousand eight hundred and xx / 100 Pesos Only (468,800.00) being the Approved Budget for the Contract (ABC) to payment</t>
  </si>
  <si>
    <t xml:space="preserve"> The Local Government Unit of General Santos City, through the GENERAL FUND CY 2020 intends to apply the sum of three hundred twenty-five thousand and xx / 100 Pesos Only (325,000.00) being the Approved Budget for the Contract (ABC) to payments under the c</t>
  </si>
  <si>
    <t xml:space="preserve"> INVITATION TO BID Purchase and Delivery of Automated External Defibrillator (AED) Complete Set ITB 2020-07-041 (GOODS) 1. 	The Municipality of Tuba, through the Budget for the contract approved by the Sangguniang Bayan for CY 2019 intends to apply the sum</t>
  </si>
  <si>
    <t xml:space="preserve"> Invitation to Bid For Supply and Delivery of Additional 120 Units for Existing Cisco ISR 4221 Routers 1.	The LAND BANK OF THE PHILIPPINES (LANDBANK), through its Corporate Budget for the contract Thirty One Million Four Hundred Five Thousand Pesos Only (P</t>
  </si>
  <si>
    <t xml:space="preserve"> 4th Level Training on 2020 Census of Population and Housing (CPH) September 2020 26 Participants (trainers and trainees) Venue: Culion, Palawan Mode of Payment: SEND BILL Date of Delivery:August 17-22,2020 Mode : Food to be delivered at Training room REQU</t>
  </si>
  <si>
    <t xml:space="preserve"> The Local Government Unit of General Santos City, through the GENERAL FUND CY 2020 intends to apply the sum of forty-one thousand four hundred eighty and 85 / 100 Pesos Only (41,480.85) being the Approved Budget for the Contract (ABC) to payments under th</t>
  </si>
  <si>
    <t xml:space="preserve"> Republic of the Philippines BARANGAY MALITLIT OFFICE OF THE PUNONG BARANGAY BIDS AND AWARDS COMMITTEE INVITATION TO BID The Barangay Government of BARANGAY MALITLIT through its Bids and Awards Committee (BAC), invites suppliers/manufacturers/distributors </t>
  </si>
  <si>
    <t xml:space="preserve"> 4th Level Training on Census of Population &amp; Housing (CPH) September 2020. 108 Participants (trainers and trainees) Venue: Bataraza, Palawan Mode of Payment: SEND BILL Date of Delivery: August 17-21,2020                             August 24-29,2020 Mode </t>
  </si>
  <si>
    <t xml:space="preserve"> Republic of the Philippines BARANGAY CUMBA OFFICE OF THE PUNONG BARANGAY BIDS AND AWARDS COMMITTEE INVITATION TO BID The Barangay Government of BARANGAY CUMBA through its Bids and Awards Committee (BAC), invites suppliers/manufacturers/distributors to bid</t>
  </si>
  <si>
    <t xml:space="preserve"> 4th Level Training on Census of Population &amp; Housing (CPH) September 2020. 23 Participants (trainers and trainees) Venue: Agutaya, Palawan Mode of Payment: SEND BILL Date of Delivery: August 24-29, 2020 Mode : Food to be delivered at Training room REQUIRE</t>
  </si>
  <si>
    <t xml:space="preserve"> Contract ID:	20LG0120 Contract Name:	Construction of Classrooms, Tamisan Elementary School, City of Mati, Davao Oriental Contract Location:	City of Mati, Davao Oriental Brief Description:	Construction of 2 Storey 6CL and 1 storey 2CL Approved Budget for t</t>
  </si>
  <si>
    <t xml:space="preserve"> 1. The Local Government Unit of Amulung, Cagayan through the Provincial Fund intends to apply the sum of Php 299,992.94 being the Approved Budget for the Contract (ABC) to payments under the contract for Installation of Street Light at Unag, Amulung Cagay</t>
  </si>
  <si>
    <t xml:space="preserve"> 4th Level Training on Census of Population &amp; Housing (CPH) September 2020. 73 Participants (trainers and trainees) Venue: Rizal, Palawan Mode of Payment: SEND BILL Date of Delivery:August 24-29,2020 Mode : Food to be delivered at Training room REQUIREMENT</t>
  </si>
  <si>
    <t xml:space="preserve"> Republic of the Philippines  Province of Samar Municipality of Sta. Margarita Invitation to Bid for  PROPOSED ESTABLISHMENT OF ECOLOGICAL PARK PHASE II Barangay Balud, Sta. Margarita, Samar   The Municipal Government of Sta. Margarita, Samar, through the </t>
  </si>
  <si>
    <t xml:space="preserve"> Fourth Level Training on 2020 Census of Population and Housing (CPH) in the municipality of Linapacan. 24 Participants (trainers and trainees) Venue: Linapacan, Palawan Mode of Payment: SEND BILL Date of Delivery:August 24-29,2020 Mode : Food to be delive</t>
  </si>
  <si>
    <t xml:space="preserve"> Republic of the Philippines Province of Eastern Samar Municipality of Arteche Invitation to Bid for the Supply and Delivery of Goods for the Egg Production Projects 1.	The Local Government Unit of Arteche, Eastern Samar, through a grant from the Departmen</t>
  </si>
  <si>
    <t xml:space="preserve"> Fourth Level Training on 2020 Census of Population and Housing (CPH) in the municipality of Araceli 23 Participants (trainers and trainees) Venue: Araceli, Palawan Mode of Payment: SEND BILL Date of Delivery:August 24-29,2020 Mode : Food to be delivered a</t>
  </si>
  <si>
    <t xml:space="preserve"> Request for Quotation RFQ No.		SVP-046-2020 MR No.		11840 Requisition No. 	TSE-2020-058 Posting Date:         	July 29, 2020 Deadline for Submission:		August 3, 2020 at 9:00 AM Opening Date:	August 3, 2020 at 10:00 AM 	 TO:	Name of Supplier:______________</t>
  </si>
  <si>
    <t xml:space="preserve"> 4th Level Training on Census of Population &amp; Housing (CPH) September 2020. 29 Participants (trainers and trainees) Venue: Busuanga, Palawan Mode of Payment: SEND BILL Date of Delivery: August 24-29, 2020 Mode : Food to be delivered at Training room REQUIR</t>
  </si>
  <si>
    <t xml:space="preserve"> Republic of the Philippines Province of Eastern Samar Municipality of Arteche Invitation to Bid for Concreting of Seaside Street (Sta.0+408 to 0+468) 1.	The Local Government Unit of Arteche, Eastern Samar, through its general appropriations intends to app</t>
  </si>
  <si>
    <t xml:space="preserve"> Educational Materials and Supplies</t>
  </si>
  <si>
    <t xml:space="preserve"> 1. The Local Government Unit of Amulung, Cagayan through the Provincial Fund 2020 intends to apply the sum of Php 374,112.45 being the Approved Budget for the Contract (ABC) to payments under the contract for Installation of Potable Water Supply (Phase 1)</t>
  </si>
  <si>
    <t xml:space="preserve"> WIRE GRIP AG5 ROPE LUBRICATOR Features: * Effectively lubricates the wire rope surface continuously * Reduce friction between cable, roller and pulley * Reduce the wear generated from friction between steel wires and drum increasing the life span of the w</t>
  </si>
  <si>
    <t xml:space="preserve"> 10 pcs. 10watts LED Light                      - ( Php220)                        - Php33,000.00 2 Rolls Drop Wire                               - (Php10,000.00)                -  Php20,000.00 5 Boxes PDX Wire # 12                       - (Php3,300.00)   </t>
  </si>
  <si>
    <t xml:space="preserve"> INVITATION TO SUBMIT PRICE QUOTATION The Nueva Ecija University of Science and Technology (NEUST) through the Bids and Awards Committee (BAC), hereby invites all interested contractors registered with the Philippine Government Electronic Procurement Syste</t>
  </si>
  <si>
    <t xml:space="preserve"> 1. The Local Government Unit of Amulung, Cagayan through the Barangay Fund intends to apply the sum of Php 357,733.06 being the Approved Budget for the Contract (ABC) to payments under the contract for Installation of Pipelines for the Water System at Bac</t>
  </si>
  <si>
    <t xml:space="preserve"> COMBINATION LADDER A. DESCRIPTION: - Fiber glass - 3 sections of 10 rungs - 7.29 meters (23.9 ft.) open length - Maximum load 150 kgs. - Aluminum side locking arm for "A" frame configuration - Wide stabilizing base with anti-slip feet - Lockable ladder se</t>
  </si>
  <si>
    <t xml:space="preserve"> G.I Corrugated Sheet	35pcs   Ridge roll ( standard )	10 pcs   Umbrella nails 3”		10kls   Common nails 4”		19kls   2x6x14 cocolumber		350bdft.   2x4x12 cocolumber		200bdft   2x3x12 cocolumber		200bdft   Gravel		                7 cu.   Sand		               </t>
  </si>
  <si>
    <t xml:space="preserve"> Invitation to Bid for the “REHABILITATION OF MT. STA. RITA COMMUNICATION FACILITY” 1. The Subic Bay Metropolitan Authority, through the 2020 Corporate Operating Budget for the contract approved by the SBMA Governing Board, intends to apply the sum of Six </t>
  </si>
  <si>
    <t xml:space="preserve"> INVITATION TO BID FOR THE HIRING OF CONTENT PRODUCER FOR MANILA FAME DIGITAL CATALOG 1.	The Center for International Trade Expositions and Missions, through the Manila FAME 2020 October Budget intends to apply the sum of Two Million Three Hundred Fifty Th</t>
  </si>
  <si>
    <t xml:space="preserve"> REGIONAL BIDS AND AWARDS COMMITTEE INVITATION TO BID  Procurement of RTK &amp; Drone Equipment for Manila Bay Rehabilitation Program 1.	The Department of Environment and Natural Resources – National Capital Region (DENR-NCR), through the authorized appropriat</t>
  </si>
  <si>
    <t xml:space="preserve"> 1.17 The Intended Completion Date is Ninety (90) Calendar Days. NOTE: The contract duration shall be reckoned from the start date and not from contract effectivity date. 1.22	The Procuring Entity is Quezon City Government. 1.23 The Procuring Entity’s Repr</t>
  </si>
  <si>
    <t xml:space="preserve"> OFFICE OF THE BIDS AND AWARDS COMMITTEE (BAC) INVITATION TO BID FOR: 20-06-492 Repair and Maintenance of DH6 II Bulldozer 1.	The Local Government Unit of Alamada, through the SB No. 4 FY 2020 (8751-5-02-13-050) intends to apply the sum of P 1,100,357.72 b</t>
  </si>
  <si>
    <t xml:space="preserve"> 1	1	Lot	Supply &amp; Delivery of Telecommunication Supplies 			Item Description: 	2	Pcs	48port POE switch Product : GS950/48PS Copper Ports : 44+4 (Combo) Total Ports: 48 Switching Fabric: 96Gbps Forwarding Rate: 71.42 Mpps 	2	Pcs	24port POE switch Product : </t>
  </si>
  <si>
    <t xml:space="preserve"> Repainting of Multi- purpose building -Installation of Toilet -Construction/installation of Kitchen Brgy. Lerma B. De leon BAC Chairman San Vicente Barangay Council 09385618077</t>
  </si>
  <si>
    <t xml:space="preserve"> Republic of the Philippines Bangsamoro Autonomous Region in Muslim Mindanao Province of Maguindanao MUNICIPALITY OF MATANOG Invitation to Bid  CONSTRUCTION OF MUNICIPAL GATE, FENCE AND PATHWAYS, PHASE 1 1.	The Municipality of Matanog, through the 2020 Ann</t>
  </si>
  <si>
    <t xml:space="preserve"> Description of Works to be Done I. DEMOLITION &amp; DISPOSAL OF EXISTING STRUCTURE II. EXCAVATION III. CONCRETE WORKS IV. MASONRY WORKS (INCL. PLASTERING) V. DOORS &amp; WINDOWS VI. PLUMBING (INCL. SEPTIC TANK &amp; TILEWORKS) VII. PAINTING WORKS VIII. ELECTRICAL WOR</t>
  </si>
  <si>
    <t xml:space="preserve"> Barangay Hall August 05, 2020 4:00pm</t>
  </si>
  <si>
    <t xml:space="preserve"> Description of Works to be Done I. EXCAVATION II. CONCRETE WORKS III. MASONRY WORKS (INCL. PLASTERING) IV. DOORS &amp; WINDOWS V. PLUMBING (INCL. SEPTIC TANK &amp; TILE WORKS) VI. PAINTING WORKS VII. ELECTRICAL WORKS VIII. STAINLESS RAILINGS</t>
  </si>
  <si>
    <t xml:space="preserve"> Barangay Road Opening from NHJ Sitio Tuajon, Brgy. Dapnan to Sitio Kasukan, Brgy. San Victor, Baganga, Davao Oriental</t>
  </si>
  <si>
    <t xml:space="preserve"> Republic of the Philippines Province of Romblon MUNICIPALITY OF LOOC ~o0o~ INVITATION TO BID FOR THE Rehabilitation and Raising of Municipal Road Phase-11 (Portion of Bonifacio and Tirol Street) The Municipal Government of Looc, Romblon, through the Annua</t>
  </si>
  <si>
    <t xml:space="preserve"> Concreting and Widening of Road</t>
  </si>
  <si>
    <t xml:space="preserve"> Labor and Materials Construction of Evacuation Center</t>
  </si>
  <si>
    <t xml:space="preserve"> Description of Works to be Done I. EXCAVATION II. CONCRETE WORKS III. MASONRY WORKS (INCL. PLASTERING) IV. DOORS &amp; WINDOWS V. PLUMBING (INCL. SEPTIC TANK &amp; TILEWORKS) VI. PAINTING WORKS VII. ELECTRICAL WORKS VIII. STAINLESS RAILINGS IX. TILE WORKS</t>
  </si>
  <si>
    <t xml:space="preserve"> NAME AND ADDRESS OF REQUESTING AGENCY:							ACCOUNT CODE:			 PIRADA ELEMENTARY SCHOOL 							                    AGENCY CONTROL NO.			 CABADBARAN CITY										 AGENCY PROCUREMENT REQUEST						                     PS APR NO.			 										 TO:						Date P</t>
  </si>
  <si>
    <t xml:space="preserve"> Reoair/ Rehabilitation of Barangay Hall</t>
  </si>
  <si>
    <t xml:space="preserve"> 1 meal and 2 snacks  for 5 days for  174 pax @ 1,750/pax              304,500.00</t>
  </si>
  <si>
    <t xml:space="preserve"> INVITATION TO BID FOR 	 PURCHASE OF EQUIPMENTS AND MATERIALS FOR FISH PASTE PROJECT  [GOODS-CB-2020-07-009] 	     	 1.	The Local Government Unit of Balatan, Camarines Sur, through the FishCORAL Fund Transfer 2017 intends to apply the sum of FIVE HUNDRED E</t>
  </si>
  <si>
    <t xml:space="preserve"> Office Supplies (bond Paper)</t>
  </si>
  <si>
    <t xml:space="preserve"> REQUEST FOR EXPRESSION OF INTEREST (REI) FOR THE CONSULTANCY SERVICES FOR THE GEOTECHNICAL INVESTIGATION (SUB-SOIL EXPLORATION) OF VARIOUS FLOOD CONTROL AND NATIONAL ROAD PROJECTS FOR THE PROPOSED FY 2021 INFRASTRUCTURE PROGRAM OF ZAMBALES 2ND DEO 1.	The </t>
  </si>
  <si>
    <t xml:space="preserve"> Description of Works to be Done I. BACKFILLING MATERIALS II. CARPENTRY WORKS III. CONCRETE WORKS IV. DOORS &amp; WINDOWS V. TILE WORKS VI. PAINTING WORKS VII. ELECTRICAL WORKS VIII. AMENITIES</t>
  </si>
  <si>
    <t xml:space="preserve"> Invitation to Bid for the “PROPOSED CONSTRUCTION OF STORAGE FACILITY FOR HAZARDOUS MATERIALS” 1. The Subic Bay Metropolitan Authority, through the 2020 Corporate Operating Budget for the contract approved by the SBMA Governing Board, intends to apply the </t>
  </si>
  <si>
    <t xml:space="preserve"> INTALLATION OF PRESURRIZED WATER PUMP W/ 500 I.m. WATER LINES 1 unit water pump goulds 1.5 Hp 1 unit stainless pressure tank 82 gal. 1 pc. 4'' dia. G.I Pipe S20 5 rolls P.E Pipe 1'' dia. 1 unit 1'' dia foot valve 1 unit check valve 1 unit pressure gauge 1</t>
  </si>
  <si>
    <t xml:space="preserve"> 1. Procurement ID/Contract ID:	20GD0108 Contract Name:	CONCRETING OF SUGARCANE FARM-TO-MILL ROAD, SITIO ESPERANZA, BRGY. BINUNTUCAN TO BRGY. CABUNGAHAN ROAD Contract Location:	Pontevedra, Capiz Brief Description :	Construction of Sugarcane Farm-to-Mill Ro</t>
  </si>
  <si>
    <t xml:space="preserve"> 1	1	Lot	Supply &amp; Delivery of Office Furniture 			Item Description: 	9	Units	Adjustable shelves, Metal (sizes: 72"H x 48"W x 18" D) 	4	Units	Adjustable shelves, Metal (sizes: 72"H x 36"W x 18" D) Note : Subject to 5% VAT &amp; 1% EWT/CWT deduction as per RA 93</t>
  </si>
  <si>
    <t xml:space="preserve"> 1. The Barangay Government of Cabuloan,Sta. Maria, Pangasinan, through the 20% Economic Development Fund for CY 2020 intends to apply the sum of ONE HUNDRED Nine THOUSAND SEVEN HUNDRED ONE PESOS (Php 109,701.00) being the Approved Budget for the Contract </t>
  </si>
  <si>
    <t xml:space="preserve"> Republic of the Philippines Province of Romblon MUNICIPALITY OF LOOC ~o0o~ INVITATION TO BID FOR THE Construction of Tuguis Child Development Center The Municipal Government of Looc, Romblon, through the Annual Budget 2020 under 20% Development Fund  inte</t>
  </si>
  <si>
    <t xml:space="preserve"> Multifunction, 3 in 1, print-scan-copy up to legal size paper, with ADF</t>
  </si>
  <si>
    <t xml:space="preserve"> 1.17 The Intended Completion Date is One Hundred Fifty (150) Calendar Days. NOTE: The contract duration shall be reckoned from the start date and not from contract effectivity date. 1.22	The Procuring Entity is Quezon City Government. 1.23 The Procuring E</t>
  </si>
  <si>
    <t xml:space="preserve"> Description of Works to be Done I. EXCAVATION/ MAN POWER II. CONCRETE WORKS III. FORM WORKS</t>
  </si>
  <si>
    <t xml:space="preserve"> 1. STREETLIGHT Location: Duang Niog, Lib. Cam. Sur Appropriation: P200,000.00 Source of Fund: 20% DEVELOPMENT FUND 2020 Description: LED Streetlights = 13 units ; Distance in b/w Poles = 30m Scope of Works: I- Excavation works; Estmd. Qty.= 3.05 cu.m II- </t>
  </si>
  <si>
    <t xml:space="preserve"> Description of Work to be Done I. EXCAVATION II. SURVEY III. DISPOSAL IV. DRAINAGE CANAL V. FORMWORKS</t>
  </si>
  <si>
    <t xml:space="preserve"> Survey Services of 382,608 sq. meters total area, 9 Lots for Relocation and 11 Lots for subdivision into 2 Lots</t>
  </si>
  <si>
    <t xml:space="preserve"> Republic of the Philippines Province of Romblon MUNICIPALITY OF LOOC ~o0o~ INVITATION TO BID FOR THE Rehabilitation of Agojo Child Development Center The Municipal Government of Looc, Romblon, through the Annual Budget 2020 under 20% Development Fund  int</t>
  </si>
  <si>
    <t xml:space="preserve"> Procurement of HD-CCTV 1080P Equipment &amp; Accessories with Installation</t>
  </si>
  <si>
    <t xml:space="preserve"> INVITATION TO BID ITB NO.: A6-2020 The East Avenue Medical Center through its Hospital Bids and Awards Committee (BAC) through the General Appropriations Act (GAA) 2020, Revolving Fund, and/or Hospital Income, invites suppliers / manufacturers / distribut</t>
  </si>
  <si>
    <t xml:space="preserve"> Republic of the Philippines Region XII Province of Cotabato BIDS AND AWARDS COMMITTEE Amas, Kidapawan City INVITATION TO BID FOR Supply &amp; Delivery of Printed Tarpaulins to be used as tents in the evacuation centers. (PB-20-395) 1.	The Provincial Governmen</t>
  </si>
  <si>
    <t xml:space="preserve"> National Power Corporation INVITATION TO BID PUBLIC BIDDING 2020-0238 1.	The NATIONAL POWER CORPORATION (NPC), through       its        approved       Corporate Budget of CY 2020 intends to apply   the   sum   of (Please see schedule below) being the Appr</t>
  </si>
  <si>
    <t xml:space="preserve"> INVITATION TO BID The Municipality of Mutia through its Bids and  Awards Committee Invites  contractors to apply for eligibility and to bid for the project reflected hereunder; NAME OF PROJECT	:  Purchase of one(1) unit CCTV Surveillance Equipment P to P </t>
  </si>
  <si>
    <t xml:space="preserve"> 1.17 The Intended Completion Date is One Hundred Twenty (120) Calendar Days. NOTE: The contract duration shall be reckoned from the start date and not from contract effectivity date. 1.22	The Procuring Entity is Quezon City Government. 1.23 The Procuring </t>
  </si>
  <si>
    <t xml:space="preserve"> Republic of the Philippines Region XII Province of Cotabato BIDS AND AWARDS COMMITTEE Amas, Kidapawan City INVITATION TO BID FOR Supply &amp; Delivery of Hybrid Corn Seeds for distribution to farmers affected by calamities provincewide. (PB-20-394) 1.	The Pro</t>
  </si>
  <si>
    <t xml:space="preserve"> 3. Procurement ID/Contract ID:	20GD0110 Contract Name:	CONCRETING OF SITIO KATAN-AGAN-PROPER, BRGY. EAST VILLAFLORES, MAAYON, CAPIZ Contract Location:	Maayon, Capiz Brief Description :	Concreting of Farm-to-Market Road (FMR) Approved Budget for the Contra</t>
  </si>
  <si>
    <t xml:space="preserve"> Description I.	Concrete Works II.	Tile Works III.	Carpentry Works  IV.	Plumbing Works  V.	Electrical Works  VI.	Painting Works 1. Barangay Cansamada East, Dagami, LEYTE through the bids and awards comm.) invites suppliers, distributors of construction mat</t>
  </si>
  <si>
    <t xml:space="preserve"> Procurement of Operational Materials and Equipment to Support Commercial Fishing</t>
  </si>
  <si>
    <t xml:space="preserve"> Republic of the Philippines Region XII Province of Cotabato BIDS AND AWARDS COMMITTEE Amas, Kidapawan City INVITATION TO BID FOR Procurement of Radio Airtime (Information advocacy) Blocktime “Masaganang Cotabato” simulcast to 10 radio station and telerady</t>
  </si>
  <si>
    <t xml:space="preserve"> LHG 4G kit, RBLHGR&amp;R11eAG, 21 dbi high gain antenna, 1 core count CPU nominal frequency 650 Mhz, 391 x 391 x 227 mm license level 3 OS routerOS, 64 MB RAM, 16 MB flash storage, Unlimited internet sim, AC1200 dual band router, CAT6 outdoor shielded UTP cab</t>
  </si>
  <si>
    <t xml:space="preserve"> Republic of the Philippines Provincial Government of Nueva Ecija (PGNE) BIDS AND AWARDS COMMITTEE (BAC) PGNE-BAC Office 1/F, Provincial Capitol, Brgy. Singalat Palayan City, Nueva Ecija INVITATION TO QUOTE SUPPLY AND DELIVERY OF MULTI-TILLERS Solicitation</t>
  </si>
  <si>
    <t xml:space="preserve"> INVITATION TO BID The Municipality of Mutia through its Bids and  Awards Committee Invites  contractors to apply for eligibility and to bid for the project reflected hereunder; NAME OF PROJECT	:  Procurement of Food Packs for Individual in Crisis Situatio</t>
  </si>
  <si>
    <t xml:space="preserve"> Republic of the Philippines Provincial Government of Nueva Ecija (PGNE) BIDS AND AWARDS COMMITTEE (BAC) PGNE-BAC Office 1/F, Provincial Capitol, Brgy. Singalat Palayan City, Nueva Ecija INVITATION TO QUOTE SUPPLY AND DELIVERY OF VARIOUS AGRICULTURAL MACHI</t>
  </si>
  <si>
    <t xml:space="preserve"> ITEM     QTY.      UNIT OF         DESCRIPTION NO.                    ISSUE 1.          19         PCS              THK PLYWOOD (4X8) 3/4 2.         101.46    BD.FT.          LUMBER (1X4X8) 3.          152       BD.FT.           LUMBER (1X4X12) 4.        </t>
  </si>
  <si>
    <t xml:space="preserve"> 2. Procurement ID/Contract ID:	20GD0109 Contract Name:	CONCRETING OF BRGY. VIZCAYA FMR, PRESIDENT ROXAS, CAPIZ Contract Location:	Pres. Roxas, Capiz Brief Description :	Concreting of Farm-to-Market Road (FMR) Approved Budget for the Contract (ABC): 	Php 1</t>
  </si>
  <si>
    <t xml:space="preserve"> Republic of the Philippines Region XII Province of Cotabato BIDS AND AWARDS COMMITTEE Amas, Kidapawan City INVITATION TO BID FOR Supply of Diesel Fuel for RP Vehicles of various Committees in the Sangguniang Panlalawigan, Amas, Kidapawan City. (PB-20-396)</t>
  </si>
  <si>
    <t xml:space="preserve"> -EXPANDABLE  -LEGAL SIZE -ECO BAG -WITH PRINTED SCHOOL LOGO -WATER PROOF</t>
  </si>
  <si>
    <t xml:space="preserve"> Republic of the Philippines PROVINCE OF NUEVA ECIJA City of Palayan INVITATION TO BID FOR  SUPPLY, DELIVERY, INSTALLATION, TESTING AND COMMISSIONING OF VARIOUS ICT EQUIPMENT FOR THE ESTABLISHMENT OF EMERGENCY AND RESCUE TELECOMMUNICATION NETWORK OPERATION</t>
  </si>
  <si>
    <t xml:space="preserve"> INVITATION TO BID  PR# 20-07-067-051 DATED JULY 9, 2020  SUPPLY AND DELIVERY OF VARIOUS ICT EQUIPMENT DEPED, Division of San Carlos City, Negros Occidental 1.	The DEPED, Division of San Carlos City, through the General Appropriations Act (GAA) intends to </t>
  </si>
  <si>
    <t xml:space="preserve"> INVITATION TO BID FOR THE HIRING OF DROPOUT STUDIO PHOTOGRAPHER FOR THE MANILA FAME DIGITAL CATALOG (ZONE 1) COVERAGE 1.	The Center for International Trade Expositions and Missions, through the Manila FAME 2020 October Budget intends to apply the sum of F</t>
  </si>
  <si>
    <t xml:space="preserve"> Republic of the Philippines Region XII Province of Cotabato BIDS AND AWARDS COMMITTEE Amas, Kidapawan City INVITATION TO BID FOR Supply &amp; Delivery of Medical Supplies for Aleosan District Hospital, Aleosan, Cotabato. (PB-20-370) 1.	The Provincial Governme</t>
  </si>
  <si>
    <t xml:space="preserve"> Republic of the Philippines Province of Romblon 		MUNICIPALITY OF LOOC ~o0o~ INVITATION TO BID FOR THE Rehabilitation of Manhac Evacuation Center The Municipal Government of Looc, Romblon, through the Annual Budget 2020 under 20% Development Fund  intends</t>
  </si>
  <si>
    <t xml:space="preserve"> Republic of the Philippines Province of Romblon 		MUNICIPALITY OF LOOC ~o0o~ INVITATION TO BID FOR THE Rehabilitation of Child Development Center at Buenavista and Limon Norte The Municipal Government of Looc, Romblon, through the Annual Budget 2020 under</t>
  </si>
  <si>
    <t xml:space="preserve"> 4th Level Training on 2020 Census of Population and Housing (CPH) September 2020 38 Participants (trainers and trainees) Venue: Dumaran, Palawan Mode of Payment: SEND BILL Date of Delivery:August 24-29,2020 Mode : Food to be delivered at Training room REQ</t>
  </si>
  <si>
    <t xml:space="preserve"> Atleast 120 cc Automatic Transmission Motorcycle Equipt with carrier box See prototype at the office of the barangay secretary.</t>
  </si>
  <si>
    <t xml:space="preserve"> One (1) Lot Broadcast Camera and Video Switcher for Streaming with Accessories</t>
  </si>
  <si>
    <t xml:space="preserve"> OFFICE OF THE BIDS AND AWARDS COMMITTEE (BAC) INVITATION TO BID FOR: 20-06-493 Repair and Maintenance of D6R Bulldozer 1.	The Local Government Unit of Alamada, through the SB No. 4 FY 2020 (8751-5-02-13-050) intends to apply the sum of P 1,299,949.88 bein</t>
  </si>
  <si>
    <t xml:space="preserve"> 4th Level Training on 2020 Census of Population and Housing (CPH) September 2020 39 Participants (trainers &amp; trainees) Venue: San Vicente, Palawan Mode of Payment: SEND BILL Date of Delivery:August 24-29,2020 Mode : Food to be delivered at Training room R</t>
  </si>
  <si>
    <t xml:space="preserve"> 1	1	Lot	Supply &amp; Delivery of Construction Materials 			Item Description: 	330	Boxes	3mm x .30m x .30 vinyl tiles as per sample 	4	Pail	Adhesive for vinyl power bond 	6	Pail	Flat wall paint Latex odorless 	8	Pail	Semi-gloss Paint Latex odorless 	6	Gal	Epox</t>
  </si>
  <si>
    <t xml:space="preserve"> LGU – Sierra Bullones     					  Contractor Reference Number 	                                                                                                  	                                                                                       							</t>
  </si>
  <si>
    <t xml:space="preserve"> Description of Works to be Done I. EXCAVATION/MAN POWER II. CONCRETE WORKS III. FORM WORKS</t>
  </si>
  <si>
    <t xml:space="preserve"> INVITATION TO BID  Supply and Delivery of Tokens (Gold Rings) PR no. 13820 1. The Metro Iloilo Water District, through the Corporate Fund of 2020 intends to apply the sum of One Million Pesos (Php 1,000,000.00) being the Approved Budget for the Contract (</t>
  </si>
  <si>
    <t xml:space="preserve"> 450	pcs.	C.H.B. 4" x 8" x 16" 59	bags	Portland cement 4.5	cu.m.	Screened Gravel 5.5	cu.m.	Washed Sand 39	pcs.	10mm dia x 6m RSB 4	kls.	Tie wire # 16 1	set	Water Closet w/lavatory 1	set	Urinal 7	pcs.	PVC Pipe # 4 sanitary 5	pcs.	PVC Pipe # 2 sanitary 5	pcs</t>
  </si>
  <si>
    <t xml:space="preserve"> 4th Level Training on Census of Population &amp; Housing (CPH) September 2020. 87 Participants (trainers and trainees) Venue: Brooke’s Point, Palawan Mode of Payment: SEND BILL Date of Delivery: August 17-22,2020                             August 24-29,2020 </t>
  </si>
  <si>
    <t xml:space="preserve"> REQUEST FOR EXPRESSION OF INTEREST FOR THE PROCUREMENT OF CONSULTING SERVICES TO DEVELOP THE COMMISSION ON HUMAN RIGHTS ORGANIZATIONAL STRUCTURE AND STAFFING PATTERN AND PREPARATION FOR LEVEL 2 PRIME HRM ACCREDITATION 1.	The Commission on Human Rights (CH</t>
  </si>
  <si>
    <t xml:space="preserve"> Republic of the Philippines BIDS AND AWARDS COMMITTEE Province of Iloilo Invitation to Bid Purchase of Office Equipment Bid No. PPD-20-0845-B 1. The Iloilo Provincial Government, through the CAPITAL OUTLAY intends to apply the sum of TWENTY FIVE THOUSAND </t>
  </si>
  <si>
    <t xml:space="preserve"> Republic of the Philippines Municipality of Taytay Taytay, Palawan NOTICE TO BIDDERS Item # Qty Unit Description Amount 1.	20	tons 	Green Mussel Juveniles  2.	20	tons 	Seaweeds Seedlings The two envelope system of procurement shall be observed, Bidding do</t>
  </si>
  <si>
    <t xml:space="preserve"> Republic of the Philippines DEPATMENT OF PUBLIC WORKS AND HIGHWAYS SULTAN KUDARAT 1ST DISTRICT EINGINEERING OFFICE REGIONAL OFFICE XII Isulan, Sultan Kudarat                                                                             INVITATION TO BID The</t>
  </si>
  <si>
    <t xml:space="preserve"> Republic of the Philippines Province of Quezon Municipality of Atimonan Barangay Angeles Project Reference No:  2020-08 Name of the Project: Purchase of Cooking Gas (LPG Refill) Location of the Project: Barangay Angeles, Atimonan, Quezon REQUEST FOR QUOTA</t>
  </si>
  <si>
    <t xml:space="preserve"> INVITATION TO BID FOR THE SUPPLY AND DELIVERY OF OFFICE SUPPLIES AND EQUIPMENT TO BE USED AT THE TWG, DGE, CASHIER, SUPPLY AND RECORDS OFFICE PB-2020-184-018 1. The Pampanga State Agricultural University, through Fund 184, intends to apply the sum of P591</t>
  </si>
  <si>
    <t xml:space="preserve"> Main Document</t>
  </si>
  <si>
    <t xml:space="preserve"> Republic of the Philippines Province of Laguna MUNICIPALITY OF LUISIANA INVITATION TO BID 1. The Municipal Government of Luisiana, Laguna intends to apply the sum of Three Hundred Thousand Pesos (Php 300,000.00) being the Approved Budget for the Contract </t>
  </si>
  <si>
    <t xml:space="preserve"> Procurement of One (1) Unit Hauling Truck (Brand New) Specification: Brand New Overall Dimension Length: 4,195mm Width: 1,765mm Height: 1,910mm Gross Vegicle Weight: Not less than 2,000kg Load Capacity: Not less than 900kg</t>
  </si>
  <si>
    <t xml:space="preserve"> Republic of the Philippines Region XII Province of Cotabato BIDS AND AWARDS COMMITTEE Amas, Kidapawan City INVITATION TO BID FOR Supply &amp; Delivery of Medical Supplies for Arakan Valley District Hospital, Antipas, Cotabato. (PB-20-407) 1.	The Provincial Go</t>
  </si>
  <si>
    <t xml:space="preserve"> INVITATION TO BID  PR# 20-07-067-053 DATED JULY 9, 2020  SUPPLY AND DELIVERY OF VARIOUS OFFICE EQUIPMENT DEPED, Division of San Carlos City, Negros Occidental 1.	The DEPED, Division of San Carlos City, through the General Appropriations Act (GAA) intends </t>
  </si>
  <si>
    <t xml:space="preserve"> Republic of the Philippines Region XII Province of Cotabato BIDS AND AWARDS COMMITTEE Amas, Kidapawan City INVITATION TO BID FOR Supply &amp; Delivery of Medical Supplies &amp; Medicines for Integrated Provincial Health Office, Amas, Kidapawan City. (PB-20-406) 1</t>
  </si>
  <si>
    <t xml:space="preserve"> Republic of the Philippines Region XII Province of Cotabato BIDS AND AWARDS COMMITTEE Amas, Kidapawan City INVITATION TO BID FOR Supply &amp; Delivery of Goats for distribution to farmers affected by earthquake provincewide. (PB-20-399) 1.	The Provincial Gove</t>
  </si>
  <si>
    <t xml:space="preserve"> Republic of the Philippines Region XII Province of Cotabato BIDS AND AWARDS COMMITTEE Amas, Kidapawan City INVITATION TO BID FOR Supply &amp; Delivery of IT Equipment for Provincial Disaster Risk Reduction Operation Center, Amas, Kidapawan City. (PB-20-409) 1</t>
  </si>
  <si>
    <t xml:space="preserve"> 1 unit of Multi-purpose Vehicle ( L-300 Reconditioned)</t>
  </si>
  <si>
    <t xml:space="preserve"> Republic of the Philippines Region XII Province of Cotabato BIDS AND AWARDS COMMITTEE Amas, Kidapawan City INVITATION TO BID FOR Supply &amp; Delivery of Muscovy Duck for distribution to farmers affected by earthquake provincewide. (PB-20-398) 1.	The Provinci</t>
  </si>
  <si>
    <t xml:space="preserve"> Republic of the Philippines Region XII Province of Cotabato BIDS AND AWARDS COMMITTEE Amas, Kidapawan City INVITATION TO BID FOR Supply &amp; Delivery of Medicines for Cotabato Provincial Hospital, Amas, Kidapawan City. (PB-20-410) 1.	The Provincial Governmen</t>
  </si>
  <si>
    <t xml:space="preserve"> The Local Government Unit of Santa Fe, Nueva Vizcaya, through its Bids &amp; Awards Committee invites contractors to bid for the following project: Contract Name: 	Construction of Erosion Control Structure Contract Location: Sinapaoan, Santa Fe, Nueva Vizcaya</t>
  </si>
  <si>
    <t xml:space="preserve"> Republic of the Philippines Region XII Province of Cotabato BIDS AND AWARDS COMMITTEE Amas, Kidapawan City INVITATION TO BID FOR Supply &amp; Delivery of Office &amp; Janitorial Supplies for Arakan Valley District Hospital, Antipas, Cotabato. (PB-20-408) 1.	The P</t>
  </si>
  <si>
    <t xml:space="preserve"> Procurement of Livestock 1. CATTLE (Cow) Minimum Specification *Female (Heifer) *Not less than 1 year of age *Not less than 120kgs Live wt. *With good body conformation 2. GOAT (Doe) Minimum Specification *Not less than 8 months old *Not less than 15kg wi</t>
  </si>
  <si>
    <t xml:space="preserve"> Repair of Classrooms for DEPED, San Carlos City, Negros Occidental Fund: 2020 Basic Education Facilities Fund (BEFF) 1)  Rizal Elementary School       ABC: P716,539.68      2 classrooms 2) Malindog Elementary School     ABC:  3,494,846.11     10 classroom</t>
  </si>
  <si>
    <t xml:space="preserve"> The Local Government Unit of Santa Fe, Nueva Vizcaya, through its Bids &amp; Awards Committee invites contractors to bid for the following project: Contract Name: 	PROCUREMENT OF CCTV SYSTEMS (4Megapixels IP CCTV System) -Supply &amp; Delivery  Contract Location:</t>
  </si>
  <si>
    <t xml:space="preserve"> Republic of the Philippines PROVINCE OF NUEVA ECIJA City of Palayan -o0o- Invitation to Bid for  Construction of Multipurpose Hall (Bahay Pulungan) July 29, 2020 1.	The Provincial Government of Nueva Ecija (PGNE), through the 2020 General Fund intends to </t>
  </si>
  <si>
    <t xml:space="preserve"> INVITATION TO BID  “ACQUISITION OF FORENSIC TOOLS AND EQUIPMENT” ____________ 	 1.	The National Bureau of Investigation (NBI), through the Trust Account - PAGCOR Fund intends to apply the sum of Three Million Three Hundred Twenty Four Thousand Nine Hundre</t>
  </si>
  <si>
    <t xml:space="preserve"> INVITATION TO BID The Municipality of Mutia through its Bids and  Awards Committee Invites  contractors to apply for eligibility and to bid for the project reflected hereunder; NAME OF PROJECT	:  Procurement of Materials for Painting, Upholstery and boby </t>
  </si>
  <si>
    <t xml:space="preserve"> Republic of the Philippines Region XII Province of Cotabato BIDS AND AWARDS COMMITTEE Amas, Kidapawan City INVITATION TO BID FOR Supply &amp; Delivery of Medicines for Cotabato Provincial Hospital, Amas, Kidapawan City. (PB-20-411) 1.	The Provincial Governmen</t>
  </si>
  <si>
    <t xml:space="preserve"> 10 units LED Barangay Streetlights</t>
  </si>
  <si>
    <t xml:space="preserve"> INVITATION TO BID The Municipality of Mutia through its Bids and  Awards Committee Invites  contractors to apply for eligibility and to bid for the project reflected hereunder; NAME OF PROJECT	:  Procurement of spare Parts for Service vehicle [Military Je</t>
  </si>
  <si>
    <t xml:space="preserve"> Republic of the Philippines Region XII Province of Cotabato BIDS AND AWARDS COMMITTEE Amas, Kidapawan City INVITATION TO BID FOR Supply &amp; Delivery of Medicines for Cotabato Provincial Hospital, Amas, Kidapawan City. (PB-20-412) 1.	The Provincial Governmen</t>
  </si>
  <si>
    <t xml:space="preserve"> 1. Managed router, Structured Wifi and P2P Cabling:     - 1 Router/Security Appliance     - 1 AC Power Cord (US Plug)     - Advance Security License and Support     - 1 lot Horizontal Cablings     - 6 ft Data Cabinet and Accessories     - 2 units Integrat</t>
  </si>
  <si>
    <t xml:space="preserve"> Republic of the Philippines PROVINCE OF NUEVA ECIJA City of Palayan INVITATION TO BID FOR  SUPPLY AND DELIVERY OF OILS, LUBRICANTS AND AUTOMOTIVE FILTERS July 29, 2020 1.	The Provincial Government of Nueva Ecija (PGNE), through the General Fund intends to</t>
  </si>
  <si>
    <t xml:space="preserve"> The Local Government Unit of Santa Fe, Nueva Vizcaya, through its Bids &amp; Awards Committee invites contractors to bid for the following project: Contract Name: 	PROCUREMENT OF GENERATOR SET - Supply &amp; Delivery  Contract Location: Santa Fe, Nueva Vizcaya Ap</t>
  </si>
  <si>
    <t xml:space="preserve"> 20GGO0004 – Rental of one (1) unit Action Utility Vehicle or its equivalent (with fuel &amp; driver) which will be used to convey surveyors for the: a.) conduct of data collection, for the conduct of road condition and inventory update. Total ABC = P 60,000.0</t>
  </si>
  <si>
    <t xml:space="preserve"> Supply and Delivery of: 204 pcs. T-shirt Long Sleeve Survey Jersey with Personalized Print (Assorted Size): Php 204,000.00 Total Amount: Php 204,000.00</t>
  </si>
  <si>
    <t xml:space="preserve"> Construction of Multi-Purpose Building at Sitio Lubuk, Angilan, Sulu</t>
  </si>
  <si>
    <t xml:space="preserve"> INVITATION TO BID (for the Procurement of Goods)           1.	The City Government of Puerto Princesa (CGPP), through its Supplemental Budget No. 3-2020 intends to apply the sum, corresponds as the Approved Budget for the Contract (ABC) for each of the fol</t>
  </si>
  <si>
    <t xml:space="preserve"> BIDS AND AWARDS COMMITTEE INVITATION TO BID The  Municipal Government of Labason, Zamboanga del Norte, through its Bids and Awards Committee (BAC), invites eligible suppliers/contractors to bid for the hereunder project: Name of Project and Description :R</t>
  </si>
  <si>
    <t xml:space="preserve"> - see attached Public Bidding Documents (Part II)</t>
  </si>
  <si>
    <t xml:space="preserve"> Republic of the Philippines                   Department of Health	       CENTRAL OFFICE BIDS AND AWARDS COMMITTEE  INVITATION TO BID FOR THE  PROCUREMENT OF HEAVY DUTY COT BEDS  IB NO. 2020-231 1.	The Department of Health (DOH), through the General Appro</t>
  </si>
  <si>
    <t xml:space="preserve"> Please download the attached file (Associated Components) for the Bid Document.</t>
  </si>
  <si>
    <t xml:space="preserve"> 1.	The Mindanao State University-Tawi-Tawi College of Technology and Oceanography (MSU-TCTO), through the MSU-TCTO Trust Fund,  intends to apply the sum of Two Million Nine Hundred Fifty-Six Thousand Five Hundred Fifty-Six Pesos and 86/100 Centavos (PhP 2</t>
  </si>
  <si>
    <t xml:space="preserve"> Supply and Delivery of DIGITAL PHOTOCOPIER MACHINE</t>
  </si>
  <si>
    <t xml:space="preserve"> Procurement of Consolidated IT Equipment Laptop; Windows 10. Core i5, 8GB RAM, HDMI, USB, Bluetooth DDR4, 14", 1TB HDD Laptop: Windows 10, Quad Core N5000, 4GB RAM500 GB HD, 14" Desktop computer: Intel core i7-7700 processor 8th gen. 8GB DDR4 1TB Hard dis</t>
  </si>
  <si>
    <t xml:space="preserve"> Medical Oxygen Tanks, 50 lbs. (Refill) - 30 tanks 					 Medical Oxygen Refill - Adult, Standard gas charged to 127kg/cm2 (1800 PSI) pressure, 65 kg - 50	tanks						 Medical Oxygen Refill - Ambulance type, Standard gas 1800 PSI) pressure, 30 kg - 10 tanks </t>
  </si>
  <si>
    <t xml:space="preserve"> Procurement ID/ Contract ID:	19FI0063 Contract Name:	Cluster I a. Construction (Completion) of 1-Unit 2-Storey 2-ICT Building (9.50m x 23.0m) at Alejandro Delos Reyes Integrated School, Masbate City b. Construction (Completion) of 1-Unit 3-Storey 3-Regula</t>
  </si>
  <si>
    <t xml:space="preserve"> 1	"Ambulance (Responder -2020 Model) "	1	unit 	"Specs: Engine &amp; Transmission: Code- YD25 DDTi  Dispalcement - 2488 cc Engine Type - Inline 4- Cylinder, DOHC, 16 valves, Variable Turbocharger (VGS) Maximum Power - 129ps/3,200 rpm Maximum Torque - 356Nm/2,0</t>
  </si>
  <si>
    <t xml:space="preserve"> Procurement ID/ Contract ID:	20FI0039(RE-ADVERTISED) Contract Name:	Construction of 1-Unit 2-Storey 4-Classroom (9.50m x 23.0m) School Building at Potoson Elementary School, Using Exposure D (Wind V=340 KPH) Contract Location:	Baleno, Masbate Brief Descri</t>
  </si>
  <si>
    <t xml:space="preserve"> Supply and Delivery of  Diorite (Soil Covering) (PR-2020-1061-0201) 1.	The City Government of Mandaue, through the Annual Budget of 2020 – General Fund – 1061 50299990 – Other Maintenance &amp; Operating Expenses Approved by the Sanggunian intends to apply th</t>
  </si>
  <si>
    <t xml:space="preserve"> Republic of the Philippines Province of Nueva Vizcaya BIDS AND AWARDS COMMITTEE (BAC-Goods) BAC OFFICE, Provincial Capitol, Bayombong, Nueva Vizcaya Tel. No. 078-392-2062 	 INVITATION TO BID FOR THE SUPPLY &amp; DELIVERY OF HIGH-SPEED SCANNER, LAPTOP &amp; ALL IN</t>
  </si>
  <si>
    <t xml:space="preserve"> Ambulance with Body Sticker Technical Specification of Van Vehicle Type/Model: Van Engine Type: 3.0 Liter Diesel, 4 Cylinder In-Line 16V, DOHC (Turbo Charged with VNT) Displacement: 2,982cc (Euro 4) Maximum Output: 136 Ps/3,400 Rpm Maximum Torque: 300 Nm/</t>
  </si>
  <si>
    <t xml:space="preserve"> INVITATION TO BID FOR THE Construction of 1 Unit Day Care Center LGU-Kabugao, Apayao 1.	The Local Government Unit of Kabugao, through Appropriation Ordinance No. 02-Series of 2019 (FY 2020 Annual Budget)   intends to apply the sum of Two Million Pesos (₱2</t>
  </si>
  <si>
    <t xml:space="preserve"> The Bids and Awards Committee								 Province of Iloilo								 								      In connection with your Invitation to Bid No. PEO-20-0664-B scheduled on August 5, 2020, I/we proposed to furnish and deliver in conformity with the terms and conditions, and s</t>
  </si>
  <si>
    <t xml:space="preserve"> Supply and delivery of 3 sets Brand New Desktop Computer w/ complete accessories and 2 sets Printer, WIFI, Integrated Ink Tank of the Mayor's Office, San Enrique, Iloilo. (Rebid) Approved Budget for the Contract:  Php. 147, 000.00 1. 3 sets Brand New Desk</t>
  </si>
  <si>
    <t xml:space="preserve"> INVITATION TO BID     20-098 Name of Project	:	Air Conditioning Units for LPH-Dr. J.P. Rizal Memorial District Hospital  Location	:	Calamba City, Laguna  Brief Description	:	Various Air Conditioning Units, with Installation Approved Budget For the Contrac</t>
  </si>
  <si>
    <t xml:space="preserve"> INVITATION TO BID     20-097 Name of Project	:	Medicines for Laguna Medical Center (NBB)  Location	:	Sta. Cruz, Laguna  Brief Description	:	Various Medicines Approved Budget For the Contract	:	1,499,989.80 Delivery Period 	:	10 Calendar Days  The Provinci</t>
  </si>
  <si>
    <t xml:space="preserve"> INVITATION TO BID     20-096 Name of Project	:	Dump Truck and Light Cargo Truck with Dropside Body for Solid Waste Management Program of the Provincial Government of Laguna  Location	:	Sta. Cruz, Laguna   Brief Description	:	Dump Truck: (1.5 Cubic) 4-Cyli</t>
  </si>
  <si>
    <t xml:space="preserve"> INVITATION TO BID     20-095 Name of Project	:	Medicines for Laguna Medical Center for 3rd and 4th Quarter Location	:	Sta. Cruz, Laguna  Brief Description	:	Various Medicines Approved Budget For the Contract	:	5,436,308.07 Delivery Period 	:	10 Calendar D</t>
  </si>
  <si>
    <t xml:space="preserve"> QTY  UNIT  DESCRIPTION 250 btls. 120 ml. Multivitamins syrup (Branded) for growth Development 429 btls. 60 ml. Multivitamins syrup plus iron 860 btls. 60 ml. Multivitamins syrup C</t>
  </si>
  <si>
    <t xml:space="preserve"> Construction of Concrete road 714 Lane km. length, 5mtrs width, 0.20 thickness and other scope of work</t>
  </si>
  <si>
    <t xml:space="preserve"> Republic of the Philippines Province of Quezon Municipality of Macalelon Invitation to Bid for the  CONSTRUCTION OF TUBIGAN ILAYA – TUBIGAN IBABA FMR Reference No. 2020-07-369-ME 										July 28, 2020 1.	The LGU - Macalelon, Quezon intends to apply the </t>
  </si>
  <si>
    <t xml:space="preserve"> SUPPLY AND DELIVERY OF CONSTRUCTION/HARDWARE MATERIALS</t>
  </si>
  <si>
    <t xml:space="preserve"> INVITATION TO BID FOR Proposed Deployment of Three(3) Private Security Guard for use in DPWH Equipment Management Division, Balanga City, Bataan The DPWH-Bataan 2nd District Engineering Office, through its Bids and Awards Committee (BAC) for Goods, invite</t>
  </si>
  <si>
    <t xml:space="preserve"> Work Description:		 			1. Improvement/Raising of Perimeter Fence		 			2. Rubberize Court		 			3. Installation of Fab G.I Vents		 					 			CONTRACT COST:		 1.			IMPROVEMENT/RAISING OF PERIMETER FENCE ALONG RIGHT AND FRONT SIDE		 			A. Materials		 			B. Equ</t>
  </si>
  <si>
    <t xml:space="preserve"> Government of the Philippines BLGU BRGY. BAGONG, ANYO DOLORES, QUEZON Invitation to Bid for PROCUREMENT Of rescue ambulance 1.The BLGU, through the General  Fund – P1,400,000.00 	 intends to apply the sum of  One Million Four Hundred  Thousand Pesos being</t>
  </si>
  <si>
    <t xml:space="preserve"> DESCRIPTION BARANGAY GOVERNMENT OF KAPATAGAN INVITATION TO BID The Barangay Government of Kapatagan Thru the bids and awards Committee (BAC) invite interested Suppliers/Constructor to Apply for eligibility screening and if subsequently found to bid for th</t>
  </si>
  <si>
    <t xml:space="preserve"> MPDC OFFICE (CO GF SURPLUS CY 2019 APP. NO. # 6)		 1	unit	1	Floor Mounted Aircondition with Installation Fee	100,000.00	100,000.00 			Specs:                                 -4 HP/3TR                                 -Inverter Type                          </t>
  </si>
  <si>
    <t xml:space="preserve"> Shopping. . .</t>
  </si>
  <si>
    <t xml:space="preserve"> Construction of Jacquez ECCD Learning Center SITE DEVELOPMENT Demolition Layout &amp; staking EARTH WORKS Excavation for column &amp; wall Footing CONCRETE WORKS Reinforced Concrete Footing Reinforced Concrete Column Reinforced Concrete Beam Reinforced Wall Footi</t>
  </si>
  <si>
    <t xml:space="preserve"> PROJECT SIGNAGE STRUCTURE DEMOLITION EXCAVATION GROUTED RI0PRAP AGGREGATE BASE COURSE &amp; SHOULDER PORTLAND CEMENT CONC. PAVEMENT PIPE CULVERTS</t>
  </si>
  <si>
    <t xml:space="preserve"> Government of the Philippines LGU-DOLORES, QUEZON INVITATION TO BID FOR SUPPLY  AND DELIVERY OF MEDICINES/MEDICAL &amp; LABORATORY SUPPLIES 1.	The LGU, through the Supply and Delivery of Medicines/Medical &amp; laboratory Supplies.being the Approved Budget for th</t>
  </si>
  <si>
    <t xml:space="preserve"> Project Description:		 			Type: Reinforced Boulder Dike		 			Length: 68 l.m.		 			Height: 4.10 l.m. (from River Bed)		 			CONTRACT COST:		 1.			SPECIAL ITEM-GENERAL CONDITION		 1.1			Mobilization/Demobilization		                        8,000.00 1.2			Temp</t>
  </si>
  <si>
    <t xml:space="preserve"> Republic of the Philippines PROVINCE OF SOUTHERN LEYTE Maasin City Invitation to Bid for the Procurement of Various Office Supplies &amp; Aluminum Ladder  Contract ID # 2020-08-18-430PG 1.	The Provincial Government of Southern Leyte through the PASSO Other Ma</t>
  </si>
  <si>
    <t xml:space="preserve"> One Unit Wheel Loader with the following specifications: Rated operating load: 3000kg; Bucket Capacity: 1.5-2.5cubic meter; Machine Weight: 1060±200kg; Dumoe Clearance at maximum lift: 2770̴3260mm; Reach at maximum lift: 1010~1210mm; Wheel base: 2600mm; T</t>
  </si>
  <si>
    <t xml:space="preserve"> I.	OBJECTIVE : To continue the existing engagement of an Offsite Records Management Storage Facility vendor for a period of two (2) years, 2020 to 2022. II.	SCOPE OF WORK : The contractor should provide the following services : •	Hauling  and barcoding of</t>
  </si>
  <si>
    <t xml:space="preserve"> INVITATION TO BID FOR CONSTRUCTION OF BARANGAY HEALTH CENTER AT VICTORIA, LUNA, LA UNION 1.	The Municipal Government of Luna, La Union through the 20% DEVELOPMENT FUND intends to apply the sum of FIVE HUNDRED THOUSAND PESOS (Php500,000.00) being the Appro</t>
  </si>
  <si>
    <t xml:space="preserve"> INVITATION TO BID FOR CONSTRUCTION OF BARANGAY HEALTH CENTER AT OAQUI NO. 4, LUNA, LA UNION 1.	The Municipal Government of Luna, La Union through the 20% DEVELOPMENT FUND intends to apply the sum of FIVE HUNDRED THOUSAND PESOS (Php500,000.00) being the Ap</t>
  </si>
  <si>
    <t xml:space="preserve"> INVITATION TO BID FOR CONCRETE PAVING OF MEDINA STREET, MAGALLANES, LUNA, LA UNION  1.	The Municipal Government of Luna, La Union through the 20% DEVELOPMENT FUND intends to apply the sum of ONE MILLION PESOS (Php1,000,000.00) being the Approved Budget fo</t>
  </si>
  <si>
    <t xml:space="preserve"> INVITATION TO BID FOR CONCRETE PAVING OF FARM TO MARKET ROAD AT OAQUI NO. 1, LUNA, LA UNION 1.	The Municipal Government of Luna, La Union through the 20% DEVELOPMENT FUND intends to apply the sum of ONE MILLION EIGHT HUNDRED PESOS (Php1,800,000.00) being </t>
  </si>
  <si>
    <t xml:space="preserve"> INVITATION TO BID FOR SUPPLY AND DELIVERY OF VARIOUS APPLIANCES, FURNITURE AND FIXTURE AND UTILITY SUPPLIES 1.	The Municipal Government of Luna, La Union through the GENERAL FUND intends to apply the sum of SIX HUNDRED FIFTY THOUSAND FIFTY PESOS (Php650,0</t>
  </si>
  <si>
    <t xml:space="preserve"> Improvement of the Municipal Beach Resort (Phase I &amp; II) SITE DEVELOPMENT Layout &amp; staking EARTH WORKS Structural Excavation  Backfilling CONCRETE WORKS Footing Gravel Bedding Class A Concrete Reinforcing steel bars Pedestal Class A Concrete Reinforcing s</t>
  </si>
  <si>
    <t xml:space="preserve"> Supplies/Deliveries of Construction Materials for the Project Improvement of Organic Fertilizer Production Center 115 pcs - 2" x 2" x 8' Coco Lumber  225 pcs - 2" x 3" x 8' Coco Lumber  10 pcs - 2" x 2" x 10' Coco Lumber 4 pcs - 2" x 2" x 8' Good Lumber  </t>
  </si>
  <si>
    <t xml:space="preserve"> Rehabilitation/Improvement of Kong St. Barangay Don Ruben Road Lay-out Staking Demolition Demolition of Dilapidated Earthworks Structural Excavation Sub-Grade Preparation Aggregate Sub-Base Coarse CONCRETE WORKS Portland Cement Concrete Road Shoulder Rein</t>
  </si>
  <si>
    <t xml:space="preserve"> Invitation to Bid for the supply &amp; delivery of Various Medicines for use of the City Health Office, Batangas City.</t>
  </si>
  <si>
    <t xml:space="preserve"> Republic of the Philippines PROVINCE OF SOUTHERN LEYTE Maasin City Invitation to Bid for the Procurement of Spare parts and Services  Contract ID # 2020-08-18-443PG 1.	The Provincial Government of Southern Leyte through the OSP– Repair and Maintenance –Tr</t>
  </si>
  <si>
    <t xml:space="preserve"> Rescue Ambulance High Roof (Pls. coordinate to the end-user for personalized design of sticker) Engine Fuel Type Diesel Engine Size/Displacement 2,488 No. of Cylinders 4 Maximum Torque (Nm) 356 Maximum Power (ps) 129 Engine &amp; Transmission Maximum Torque (</t>
  </si>
  <si>
    <t xml:space="preserve"> Republic of the Philippines PROVINCE OF SOUTHERN LEYTE Maasin City Invitation to Bid for the Procurement of Premium Gasoline  Contract ID # 2020-08-18-440PG 1.	The Provincial Government of Southern Leyte through the PGO– Fuel,Oil and Lubricants Expenses i</t>
  </si>
  <si>
    <t xml:space="preserve"> Republic of the Philippines PROVINCE OF SOUTHERN LEYTE Maasin City Invitation to Bid for the Procurement of Various Vehicle Spare parts  Contract ID # 2020-08-18-441PG 1.	The Provincial Government of Southern Leyte through the PGO – Repair and Maintenance</t>
  </si>
  <si>
    <t xml:space="preserve"> Republic of the Philippines PROVINCE OF SOUTHERN LEYTE Maasin City Invitation to Bid for the Procurement of Various Office Supplies  Contract ID # 2020-08-18-438PG 1.	The Provincial Government of Southern Leyte through the PHSO– Office Supplies Expenses i</t>
  </si>
  <si>
    <t xml:space="preserve"> Republic of the Philippines PROVINCE OF SOUTHERN LEYTE Maasin City Invitation to Bid for the Procurement of Spare parts and Services  Contract ID # 2020-08-18-437PG 1.	The Provincial Government of Southern Leyte through the OVG– Repair and Maintenance –Tr</t>
  </si>
  <si>
    <t xml:space="preserve"> Republic of the Philippines PROVINCE OF SOUTHERN LEYTE Maasin City Invitation to Bid for the Procurement of Various Housekeeping Supplies and Office Supplies  Contract ID # 2020-08-18-436PG 1.	The Provincial Government of Southern Leyte through the PEO–Mo</t>
  </si>
  <si>
    <t xml:space="preserve"> Republic of the Philippines PROVINCE OF SOUTHERN LEYTE Maasin City Invitation to Bid for the Procurement of One (1) Unit Service Vehicle (Coaster)  Contract ID # 2020-08-18-434PG 1.	The Provincial Government of Southern Leyte through the OSP Motor Vehicle</t>
  </si>
  <si>
    <t xml:space="preserve"> Republic of the Philippines PROVINCE OF SOUTHERN LEYTE Maasin City Invitation to Bid for the Procurement of Various Office Supplies  Contract ID # 2020-08-18-439PG 1.	The Provincial Government of Southern Leyte through the PSWDO– Office Supplies Expenses </t>
  </si>
  <si>
    <t xml:space="preserve"> Republic of the Philippines PROVINCE OF SOUTHERN LEYTE Maasin City Invitation to Bid for the Procurement of Air condition with Installation, Camera with complete Accessories &amp; Computer Set   Contract ID # 2020-08-18-433PG 1.	The Provincial Government of S</t>
  </si>
  <si>
    <t xml:space="preserve"> Job Orders / Rental of Equipments 8 units Rental of Service Vehicle 4x4 Pick Up Vehicle Fuel: Php 612,000.00 and Driver included whole day use Total Amount: Php 612,000.00</t>
  </si>
  <si>
    <t xml:space="preserve"> Republic of the Philippines PROVINCE OF SOUTHERN LEYTE Maasin City Invitation to Bid for the Procurement of Various Tire Wheel  Contract ID # 2020-08-18-432PG 1.	The Provincial Government of Southern Leyte through the PDH, PAGSO &amp; PHSO Repairs and Mainten</t>
  </si>
  <si>
    <t xml:space="preserve"> Republic of the Philippines PROVINCE OF SOUTHERN LEYTE Maasin City Invitation to Bid for the Procurement of One (1) Unit Photocopier Machine  Contract ID # 2020-08-18-435PG 1.	The Provincial Government of Southern Leyte through the PBCH Office Equipment e</t>
  </si>
  <si>
    <t xml:space="preserve"> Bicol Medical Center Concepcion Pequeña, Naga City, 4400 (0998-247-0239/0906-256-9238          E-mail Address: bmc.bacoffice@gmail.com INIVITATION TO BID PROCUREMENT OF MEDICAL &amp; OTHER HEALTH RELATED EQUIPMENT (2) ITB No. 2020-26 1.	The BICOL MEDICAL CENT</t>
  </si>
  <si>
    <t xml:space="preserve"> Republic of the Philippines Province of Cagayan Municipality of Piat -o0o- OFFICE OF THE BIDS AND AWARDS COMMITTEE (BAC) INVITATION TO BID FOR PROCUREMENT OF MULTI-FUNCTION PRINTER AND COPY PRINTER                                       The Local Governmen</t>
  </si>
  <si>
    <t xml:space="preserve"> Government of the Philippines LGU-DOLORES, QUEZON INVITATION TO BID FOR SUPPLY  AND DELIVERY OF MEDICINES  1.	The LGU, through the General  Fund –	 intends to apply the sum of  Three  Hundred  Fifteen Thousand Pesos being the Approved Budget for the Contr</t>
  </si>
  <si>
    <t xml:space="preserve"> INVITATION TO BID FOR THE 1 LOT SUPPLY AND DELIVERY OF VARIOUS GALVANIZED STEEL SERVICE CONNECTION FITTINGS AND MATERIALS    1. The Cagayan de Oro City Water District, through the COWD Approved Budget for 2020 intends to apply the sum of Two Million Seven</t>
  </si>
  <si>
    <t xml:space="preserve"> Republic of the Philippines PROVINCE OF SOUTHERN LEYTE Maasin City Invitation to Bid for the Procurement of Catering Services &amp; Venue  Contract ID # 2020-08-18-431PG 1.	The Provincial Government of Southern Leyte through the PDRRMO Training expenses inten</t>
  </si>
  <si>
    <t xml:space="preserve"> Bicol Medical Center Concepcion Pequeña, Naga City, 4400 (0998-247-0239/0906-256-9238          E-mail Address: bmc.bacoffice@gmail.com INIVITATION TO BID PROCUREMENT OF HAND SANITIZER (1 LOT) ITB No. 2020-24 1.	The BICOL MEDICAL CENTER, through SA QRF COV</t>
  </si>
  <si>
    <t xml:space="preserve"> Republic of the Philippines PROVINCE OF SOUTHERN LEYTE Maasin City Invitation to Bid for the Procurement of Diesel Fuel  Contract ID # 2020-08-18-442PG 1.	The Provincial Government of Southern Leyte through the OSP and OVG – Fuel, Oil and Lubricants Expen</t>
  </si>
  <si>
    <t xml:space="preserve"> Need to construct phase 2 and 3 hand washing Area in 2 diierent location of SHS ground.  Phase 2  Hand washing area (.60M x 7m) with pathwalk (1.5mx10mx.10m) and roofing (2mx8m)   Phase 3  Hand washing area (.60M x 7m) with pathwalk (1.5mx11mx.10m) and ro</t>
  </si>
  <si>
    <t xml:space="preserve"> Constructiin of MP building kitchen</t>
  </si>
  <si>
    <t xml:space="preserve"> SUPPLY AND DELIVERY OF ONE (1) UNIT MOTORCYCLE WITH SIDECAR                     ENGINE TYPE:  4 STROKE</t>
  </si>
  <si>
    <t xml:space="preserve"> Republic of the Philippines Province of Cagayan Municipality of Piat -o0o- OFFICE OF THE BIDS AND AWARDS COMMITTEE (BAC) “INVITATION TO BID FOR CONCRETING OF ROAD AT GUMARUENG, PIAT, CAGAYAN” The Local Government Unit of Piat through the CY2016 Financial </t>
  </si>
  <si>
    <t xml:space="preserve"> Supply and Delivery of Hardware Materials for Installation of Lights at Sea Wall</t>
  </si>
  <si>
    <t xml:space="preserve"> Supply and Delivery of Hardware Materials for Rehabilitation of Multi-Purpose Hall (Phase 4)</t>
  </si>
  <si>
    <t xml:space="preserve"> Invitation to Bid The National Housing Authority (NHA), through the Corporate Budget approved by the NHA Board for the year 2020 intends to apply the sum of the Approved Budget for the Contract (ABC) to payments for the following contract: Ref. No. : NHAR</t>
  </si>
  <si>
    <t xml:space="preserve"> Description   Republic of the Philippines Danao City BIDS AND AWARDS COMMITTEE INVITATION to APPLY for ELIGIBILITY and to BID Supply and Delivery of Gasoline for Stock (GSO) of the City GOVERNMENT OF DANAO The Local Government of Danao City, through the G</t>
  </si>
  <si>
    <t xml:space="preserve"> 1.       25      pcs        Metal furring 2.       18      pcs        carrying channel 3.       30      pcs        Wall angle 4.       50      pcs        Wall Clip 5.       2        boxes    Blind riuvet 2/32 6.       25      pcs        Plywood 1/4 x 4 x </t>
  </si>
  <si>
    <t xml:space="preserve"> 1 Injector Valve, EMEC KCL (INJECTOR CHECKVALVE INCLUDED ALL SETS OF STANDARD INTERNAL PARTS/ACCESSORIES, WITH LOCKNUT FOR 9MM OUTSIDE DIAMETER BRAIDED HOSE, COMPRESSION RING FOR 4MM INSIDE DIA. BRAIDED HOSE, CONE; SEE ATTACHED SAMPLE PICTURE) 15 pc  2 Ho</t>
  </si>
  <si>
    <t xml:space="preserve"> Republic of the Philippines Province of Batanes	 MUNICIPALITY OF BASCO               		INVITATION TO BID FOR THE PROCUREMENT OF BOTTLE CRUSHER 1.	The Municipal Local Government Unit of Basco, through the General Fund  intends to apply the sum of One Milli</t>
  </si>
  <si>
    <t xml:space="preserve"> INVITATION TO BID The Municipality of Mutia through its Bids and  Awards Committee Invites  contractors to apply for eligibility and to bid for the project reflected hereunder; NAME OF PROJECT	:  Procurement &amp; Installation of Municipal Children's Playgrou</t>
  </si>
  <si>
    <t xml:space="preserve"> CONSTRUCTION/CONCRETING OF PROVINCIAL ROADS, HIGHWAYS AND BRIDGES (MATIN-AO-CANTUGAS ROAD SECTION) MUNICIPALITY OF MAINIT, SURIGAO DEL NORTE Brief Description:    The project will involve the Concreting of 0.573 km Road with the following scope of works: </t>
  </si>
  <si>
    <t xml:space="preserve"> Republic of the Philippines Province of Davao del Sur Municipality of Matanao BARANGAY TIBONGBONG INVITATION TO BID (Re-Bid) The Barangay Government of Tibongbong, Matanao, Davao del Sur through its Bids and Awards Committee (BAC), invites suppliers/manuf</t>
  </si>
  <si>
    <t xml:space="preserve"> Republic of the Philippines Province of Bukidnon MUNICIPALITY OF LIBONA Barangay Government Unit of Capihan INVITATION TO BID 	The Barangay Government Unit of Capihan, through its Bids and Awards Committee (BAC) invites Suppliers/manufacturers/distributor</t>
  </si>
  <si>
    <t xml:space="preserve"> REQUEST FOR QUOTATION														 														 RFQ No.		SVP 20-0885				Date				7/23/2020				 PR Reference		100-20-07-062				Implementing Office				CCMDO				 Closing Date and Time														 Designated Places of Submission (Bid Box Designated Locati</t>
  </si>
  <si>
    <t xml:space="preserve"> Republic of the Philippines PROVINCE OF SOUTHERN LEYTE Maasin City Invitation to Bid for the Procurement of Automated Weather Station (AWS) Equipment with Installation and IT Equipment   Contract ID # 2020-08-18-444PG 1.	The Provincial Government of South</t>
  </si>
  <si>
    <t xml:space="preserve"> Republic of the Philippines PROVINCE OF SOUTHERN LEYTE Maasin City Invitation to Bid for the Procurement of One (1) Unit Service Vehicle    Contract ID # 2020-08-18-446PG 1.	The Provincial Government of Southern Leyte through the PSWDO Motor Vehicles Expe</t>
  </si>
  <si>
    <t xml:space="preserve"> INVITATION TO BID  The DPWH – Cavite II District Engineering Office, through its Bids and Awards Committee (BAC), invites contractors to submit bids for the following Contract:  3.	Contract I.D. No.	:	20DG0046         Contract Name           :   	Construc</t>
  </si>
  <si>
    <t xml:space="preserve"> REQUEST FOR QUOTATION														 														 RFQ No.		SVP 20-0834				Date				7/15/2020				 PR Reference		100-20-07-003				Implementing Office				BNHS				 Closing Date and Time														 Designated Places of Submission (Bid Box Designated Locatio</t>
  </si>
  <si>
    <t xml:space="preserve"> Republic of the Philippines														 PROVINCE OF ZAMBOANGA SIBUGAY														 Municipality of Payao														 														 INVITATION TO BID														 										PR2020-06-29-077				 The Local Government Unit of Payao, Zamboanga Sibugay, </t>
  </si>
  <si>
    <t xml:space="preserve"> 19GF00010 (Line Items 8 &amp; 9) Procurement of Dredging and Support Equipment, Amphibious Excavator, etc. (PR No. 19-09-201 dated 9/27/2019), EMD, DPWH, Region V, Rawis, Legazpi City Line Item 8 - 2 units Motorized Boat, 12Hp, fiber-glass body Line Item 9 - </t>
  </si>
  <si>
    <t xml:space="preserve"> INVITATION TO BID  Purchase &amp; Delivery of Various Medical Supplies  for SMC  July 28, 2020 1.	The Provincial Government of Sarangani, through the AB CY 2020 (SB #2) intends to apply the sum of Three Million Two Hundred Seventy-One Thousand Three Hundred T</t>
  </si>
  <si>
    <t xml:space="preserve"> INVITATION TO BID KB-GOODS-2020-07 I.	The Municipality of Kitaotao, intends to apply the sum of Four Hundred Ninety-Five Thousand Pesos Only (P495,000.00) for the Supply and Delivery of Various Goods. Bids received more than the ABC shall be automatically</t>
  </si>
  <si>
    <t xml:space="preserve"> PURCHASE OF THE MATERIALS FOR THE REPAIR AND REPLACEMENT OF BASKETBALL LIGHTS OF BARANGAY MALINAO GINGOOG CITY MISAMIS ORIENTAL, PHILIPPINES.</t>
  </si>
  <si>
    <t xml:space="preserve"> 1,242,410 pcs DepEd Modules for Kinder, Grade 1 to 12; Specifications: Size: 8.25”x 10.75”; Pages: Quarter 1-Batch 1-40 pages; Quarter 1-Batch 2-40 pages</t>
  </si>
  <si>
    <t xml:space="preserve"> INVITATION TO BID FOR THE SUPPLY AND DELIVERY OF SUPPLIES USED TO MAINTAIN THE CLEANLINESS OF ALL FACILITIES OF THIS MUNICIPALITIES; TO WIT: PLEASE SEE ATTACHED SPECIFICATIONS: 1. The Local Government Unit of Tanauan, Leyte through General Fund intends to</t>
  </si>
  <si>
    <t xml:space="preserve"> INVITATION TO BID FOR  PROCUREMENT AND INSTALLATION OF PUBLIC ADDRESS SYSTEM, AUDIO VISUAL ROOM AND CONFERENCE ROOM (BLDG 1,2 &amp; OLD BLDG) 1.	The DOH-LABUAN GENERAL HOSPITAL, through the GENERAL APPROPRIATION ACT (GAA) OF 2020 intends to apply the sum of T</t>
  </si>
  <si>
    <t xml:space="preserve"> Republic of the Philippines Province of Leyte Municipality of Javier BARANGAY LARAY INVITATION TO BID The Barangay Local Government Unit of Brgy. Laray, Javier, Leyte, through its Bids and Awards Committee (BAC), invites eligible contractors to bid for th</t>
  </si>
  <si>
    <t xml:space="preserve"> INVITATION TO BID KB-GOODS-2020-07 I.	The Municipality of Kitaotao, intends to apply the sum of Four Hundred Fifty Thousand Pesos Only (P450,000.00) for the Supply and Delivery of Various Goods. Bids received more than the ABC shall be automatically rejec</t>
  </si>
  <si>
    <t xml:space="preserve"> INVITATION TO BID  The DPWH – Cavite II District Engineering Office, through its Bids and Awards Committee (BAC), invites contractors to submit bids for the following Contract:  2.	Contract I.D. No.	:	20DG0045 Contract Name          :   	Construction of M</t>
  </si>
  <si>
    <t xml:space="preserve"> INVITATION TO BID  Purchase &amp; Delivery of Computer Sets for PVGO  July 28, 2020 1.	The Provincial Government of Sarangani, through the AB CY 2020 (PAF) intends to apply the sum of One Million Eight Hundred Twenty Five Thousand Pesos Only  (P 1,825,000.00)</t>
  </si>
  <si>
    <t xml:space="preserve"> REQUEST FOR QUOTATION														 														 RFQ No.		SVP 20-0877				Date				7/23/2020				 PR Reference		100-20-07-004				Implementing Office				CEO				 Closing Date and Time														 Designated Places of Submission (Bid Box Designated Location</t>
  </si>
  <si>
    <t xml:space="preserve"> OPENING OF BIDS IN DSWD FO IX, ZAMBOANGA CITY								 DELIVERY IN AVRC COMPOUND, DSWD MAMPANG ZAMBOANGA CITY								 PROCUREMENT FOR THE FF.:								 								 20	UNIT	HIGH SPEED SEWING MACHINE GOOD QUALITY	@	 14,950.00  		METAL SPARE PARTS WITH ACCESSORIE</t>
  </si>
  <si>
    <t xml:space="preserve"> By Contract.</t>
  </si>
  <si>
    <t xml:space="preserve"> I. Base Preparation    Length          85  m.    Width           3   m.    Thickness     0.1  m.     Volume       25.5 cu. m. II. Portland Cement Concrete Pavement     Length        85  m.     Width          3    m.     Thickness    0.15  m.     Volume   </t>
  </si>
  <si>
    <t xml:space="preserve"> Republic of the Philippines PROVINCE OF SOUTHERN LEYTE Maasin City Invitation to Bid for the Procurement of Window grills  Contract ID # 2020-08-18-449PG 1.	The Provincial Government of Southern Leyte through the SLPL Repair and Maintenance Expenses inten</t>
  </si>
  <si>
    <t xml:space="preserve"> Republic of the Philippines Province of Negros Occidental Municipality of Ilog Invitation to bid for sale  Amount Php 500 Purchase of Medical supplies for the use of 15 Barangays of Ilog, Birthing Facility and Circumcision. Ilog, Neg. Occ.</t>
  </si>
  <si>
    <t xml:space="preserve"> INVITATION TO BID FOR THE  UPGRADING OF CATABAN BAILEY BRIDGE II TO RCDG (BGY. CATABAN, TAYTAY, PALAWAN) 1.	The Provincial Government of Palawan, through its 20% Development Fund (OBR No. 300-20-07-08703) account intends to apply the sum of Sixteen Millio</t>
  </si>
  <si>
    <t xml:space="preserve"> See attached file.....</t>
  </si>
  <si>
    <t xml:space="preserve"> The National Center for Mental Health (NCMH) is inviting all Phil-GEPS registered to apply the Invitation to Bid for Procurement of Systems and Solutions with Managed Services for the NCMH Crisis Hotline CY 2020. (Complete Specifications are indicated in </t>
  </si>
  <si>
    <t xml:space="preserve"> The Barangay Bugnay, Tuao Cagayan through its 20% Barangay Dev’t fund intends to apply the sum of Php 95,250.00 being the Approved Budget for the Contract (ABC) to payments under the contract for Rehabilitation of Barangay Roads . Bids received in excess </t>
  </si>
  <si>
    <t xml:space="preserve"> Republic of the Philippines Province of Negros Occidental Municipality of Ilog Invitation to bid for sale Amount Php 500 Purchase of materials for the implementation of Ilog Flood &amp; Erosion Control Project (Riprapping), Malinao Creek, Vista Alegre, Ilog, </t>
  </si>
  <si>
    <t xml:space="preserve"> Design and Build</t>
  </si>
  <si>
    <t xml:space="preserve"> INVITATION TO BID The DPWH Zamboanga del Sur 2nd District Engineering Office, Poblacion, Guipos, Zamboanga del Sur, through its Bids and Awards Committee (BAC), invites contractors to submit bids for the following Contract: Contract ID	:	20JG0088 Contract</t>
  </si>
  <si>
    <t xml:space="preserve"> ELECTRICAL SUPPLIES 			 Electrical Tape		5	roll Rotary Fan 220/240VAC 50/60HZ		10	pc. LED Flood Light 50 watts		2	unit Photoswitch 6 ampers		5	pc. Soldering iron 30 watts		2	pc. Soldering Lead 1.2mm 60/40		2	roll #16 Flatcord, color black		2	roll UY2 Conn</t>
  </si>
  <si>
    <t xml:space="preserve"> Min Specifications: Specifications  Body                                 :       MPV (Single cabin -Pickup with Enclosed Passenger Cab) Type				        :	2.4 Liter Diesel, 4-Cylinder. 16- Valve, DOHC Turbo  Maximum Output (HP/rpm)	:	147 / 3,400 Maximum To</t>
  </si>
  <si>
    <t xml:space="preserve"> Republicof the Philippines PROVINCEOFAGUSAN DEL SUR Municipality of San Luis Barangay Santiago Invitation to Bid SUPPLY AND DELIVERY OF HARDWARE MATERIALS FOR THE INSTALLATION OF POTABLE WATER SYSTEM 1. The Barangay government of Santiago, San Luis, Agusa</t>
  </si>
  <si>
    <t xml:space="preserve"> GLASS WORK INSTALLATION  BREAKDOWN OF EXPENDITURES:  I.  MATERIALS &amp; ACCESSORIES WITH INSTALLATION  -      P    72,235.00</t>
  </si>
  <si>
    <t xml:space="preserve"> INVITATION TO BID The DPWH Zamboanga del Sur 2nd District Engineering Office, Poblacion, Guipos, Zamboanga del Sur, through its Bids and Awards Committee (BAC), invites contractors to submit bids for the following Contract: Contract ID	:	20JG0087 Contract</t>
  </si>
  <si>
    <t xml:space="preserve"> Republic of the Philippines Department of Public Works and Highways OFFICE OF THE DISTRICT ENGINEER 		Camarines Sur 4th  District Engineering Office (Formerly: Camarines Sur 3rd DEO) REGION V Caraycayon, Tigaon, Camarines Sur Tel #(054) 881-0107 INVITATIO</t>
  </si>
  <si>
    <t xml:space="preserve"> Purchase request submitted by Helen B. Lobaton  1 6 sacks Fertilizer (Urea) 2 3 packs Fungicide (WP), 500 grams/pack 3 3 packs Insecticide (WP), 500 grams/pack  4 25 pieces Cane Bolo with case / Cane Knives 5 15 pieces Harvesting Knives (Tabas) 6 25 piece</t>
  </si>
  <si>
    <t xml:space="preserve"> Republic of the Philippines PROVINCE OF SOUTHERN LEYTE Maasin City Invitation to Bid for the Procurement of Various Medical Equipment  Contract ID # 2020-08-18-448PG 1.	The Provincial Government of Southern Leyte through the SDH Medical Equipment Expenses</t>
  </si>
  <si>
    <t xml:space="preserve"> Department of Education Region VI-Western Visayas Division of Cadiz City Mabini National High School INVITATION TO BID FOR THE PROCUREMENT OF UNINTERRUPTED POWER SUPPLY- MNHS 2020 1.	The Mabini National High School  of Cadiz City, through the Schools MOOE</t>
  </si>
  <si>
    <t xml:space="preserve"> 0.10m x 2.50m x 42.50 LM PCCP</t>
  </si>
  <si>
    <t xml:space="preserve"> INVITATION TO BID  Purchase &amp; Delivery of Service Utility Vehicle  for DCMMH July 28, 2020 1.	The Provincial Government of Sarangani, through the AB CY 2020  intends to apply the sum of One Million Four Hundred Thousand Pesos Only (P 1,400,000.00) being t</t>
  </si>
  <si>
    <t xml:space="preserve"> Republic of the Philippines Province of Leyte Municipality of Javier BARANGAY PICAS NORTE INVITATION TO BID The Barangay Local Government Unit of Brgy. Picas Norte, Javier, Leyte, through its Bids and Awards Committee (BAC), invites eligible contractors t</t>
  </si>
  <si>
    <t xml:space="preserve"> PURCHASE OF THE MATERIALS FOR THE CONSTRUCTION OF PUROK HALL OF PUROK CALAANAN BARANGAY MALINAO GINGOOG CITY.</t>
  </si>
  <si>
    <t xml:space="preserve"> Republic of the Philippines Province of Negros Occidental Municipality of Ilog Invitation to bid for sale Amount: Php 5,000 Purchase of Fuel for the use of Municipal Service Vehicle. Ilog, Neg. Occ.</t>
  </si>
  <si>
    <t xml:space="preserve"> Republic of the Philippines Province of Cagayan Municipality of Piat -o0o- OFFICE OF THE BIDS AND AWARDS COMMITTEE (BAC) “INVITATION TO BID FOR CONSTRUCTION OF RETAINING WALL AND COMFORT ROOM AT POBLACION 1 (UBBUG), PIAT, CAGAYAN” The Local Government Uni</t>
  </si>
  <si>
    <t xml:space="preserve"> Republic of the Philippines  Province of Batangas  Municipality of Laurel BARANGAY GULOD BIDS AND AWARDS COMMITTEE INVITATION TO BID I.     The Barangay Government of Barangay Gulod, Laurel, Batangas through its Bids and Awards Committee (BAC), invites co</t>
  </si>
  <si>
    <t xml:space="preserve"> This project entails labor and materials for the Improvement of DCC at Brgy. Incarizan, Magallanes, Sorsogon funded of BDF 2020.</t>
  </si>
  <si>
    <t xml:space="preserve"> See attached document</t>
  </si>
  <si>
    <t xml:space="preserve"> Standard Form Number: SFGOOD60 Revised on: May 24, 2004 Standard Form Title: Request for Quotation Date: July 24, 2020  Quotation No. 20-07-0415 PR No. 20-07-872 __________________________ Company Name _________________________________ Address         Ple</t>
  </si>
  <si>
    <t xml:space="preserve"> INVITATION TO BID Date: July 27, 2020 1.	The Provincial Government of Davao del Sur, through its Bids and Awards Committee (BAC), invites all potential bidders/suppliers to apply to bid for the following goods. Bids received in excess of the ABC shall be </t>
  </si>
  <si>
    <t xml:space="preserve"> OPENING OF BIDS IN DSWD FO IX, 							 DELIVERY IN AVRC III, DSWD MAMPANG ZAMBOANGA CITY							 PROCUREMENT FOR THE FF.:							 							 100	CANS	CORNED BEEF, 260grams (HALAL)		@	 77.00  100	CANS	SARDINES 155g (HALAL)				@	 25.00  100	DOZ	3 in 1 COFFEE 30g</t>
  </si>
  <si>
    <t xml:space="preserve"> Republic of the Philippines PROVINCE OF AKLAN Kalibo -oOo- BIDS AND AWARDS COMMITTEE (BAC) INVITATION TO BID 1.	The Provincial   Government   of   Aklan, through   20% IRA Development Fund CY 2020 intends   to   apply   the   sum   of  Four Million Eight </t>
  </si>
  <si>
    <t xml:space="preserve"> Republic of the Philippines  Province of Batangas  Municipality of Laurel BARANGAY NIYUGAN BIDS AND AWARDS COMMITTEE INVITATION TO BID I.     The Barangay Government of Barangay Niyugan, Laurel, Batangas through its Bids and Awards Committee (BAC), invite</t>
  </si>
  <si>
    <t xml:space="preserve"> The Barangay Government of Barangay Tinga Labac, Batangas City intends to apply the sum of One Hundred Seventy Five Thousand Pesos (P 175,000.0) broken down as follow: ITEM Brief Description SUB-ABC Lot 1 Purchase of Calamity Equipment Bids received in ex</t>
  </si>
  <si>
    <t xml:space="preserve"> Pick-Up Truck Motor Vehicle</t>
  </si>
  <si>
    <t xml:space="preserve"> Lot 1 – Supply, Delivery and Installation of 2 - Aircondition Units for the use of Planning &amp; Design Section</t>
  </si>
  <si>
    <t xml:space="preserve"> Standard Form Number: SFGOOD60 Revised on: May 24, 2004 Standard Form Title: Request for Quotation Date: July 24, 2020  Quotation No. 20-07-0414 PR No. 20-07-871 __________________________ Company Name _________________________________ Address         Ple</t>
  </si>
  <si>
    <t xml:space="preserve"> Republic of the Philippines Zamboanga Peninsula Department of Health Basilan General Hospital Isabela City, Basilan 7300 INVITATION TO BID FOR  Procurement of Various Medical Supplies IB# 2020-07-0489         2020-07-0499 The BASILAN GENERAL HOSPITAL (BGH</t>
  </si>
  <si>
    <t xml:space="preserve"> The Municipality of Concepcion, through the Department of Agriculture, intends to apply the sum of Php 221, 370.00 being the Approved Budget for the Contract (ABC) to payments under the contract for the ESTABLISHMENT OF LOCAL ECONOMIC LIVELIHOOD PROJECTS </t>
  </si>
  <si>
    <t xml:space="preserve"> Standard Form Number: SFGOOD60 Revised on: May 24, 2004 Standard Form Title: Request for Quotation Date: July 24, 2020  Quotation No. 20-07-0416 PR No. 20-07-822 __________________________ Company Name _________________________________ Address         Ple</t>
  </si>
  <si>
    <t xml:space="preserve"> Contract ID: 20GKK0035 Contract Name: Supply and Delivery of Fuel to be used by DPWH-MOFDEO Service Vehicles and Equipment of All Section Contract Location: DPWH-MOFDEO, Gingoog City Brief Description of Goods to be procured: Gasoline and Diesoline Approv</t>
  </si>
  <si>
    <t xml:space="preserve"> Description   Republic of the Philippines Danao City BIDS AND AWARDS COMMITTEE INVITATION to APPLY for ELIGIBILITY and to BID Supply and Installation of 2 Units Fuel Storage Underground Tank (GSO) of the City GOVERNMENT OF DANAO The Local Government of Da</t>
  </si>
  <si>
    <t xml:space="preserve"> Isuzu Dmax 4x4 LT MT RZ4E</t>
  </si>
  <si>
    <t xml:space="preserve"> I. Mobilization; II. Electrical Works</t>
  </si>
  <si>
    <t xml:space="preserve"> INVITATION TO BID KB-GOODS-2020-07 I.	The Municipality of Kitaotao, intends to apply the sum of Three Hundred Thirty Thousand Pesos Only (P330,000.00) for the Supply and Delivery of Various Goods. Bids received more than the ABC shall be automatically rej</t>
  </si>
  <si>
    <t xml:space="preserve"> Catering Services-Meals for 35 pax for 4 days,Snacks for 35 pax for 4 days</t>
  </si>
  <si>
    <t xml:space="preserve"> Republic of the Philippines PROVINCE OF AKLAN Kalibo -oOo- BIDS AND AWARDS COMMITTEE (BAC) INVITATION TO BID 1.	The Provincial   Government   of   Aklan, through   DILG - Recovery Assistance for Yolanda- (RAY) Batch 3    intends   to   apply   the   sum  </t>
  </si>
  <si>
    <t xml:space="preserve"> Republic of the Philippines PROVINCIAL GOVERNMENT OF EASTERN SAMAR Capitol Building, Borongan, Eastern Samar, 6800 Tel No. (055)-560-8312 E-mail Address: esamar.bac@gmail.com BIDS AND AWARDS COMMITTEE (BAC) INVITATION TO BID FOR  BRGY. ROAD CONCRETING  Br</t>
  </si>
  <si>
    <t xml:space="preserve"> TO REHABILITATE THE BASKETBALL COURT OF SANTICON, BADIAN 650 PCS. CHB 4"  160 BAGS CEMENT 40 KGS./BAG 10 CU.M GRAVEL 10 CU.M SAND 8 CU.M SCREENED SAND 40 LENGTH RECTANGULAR TUBE 2'X4'X6M. 70 LENGTH DEF. BAR 10MM.Ø 25 LENGTH DEF. BAR 12MM.Ø 15 SHEETS MARIN</t>
  </si>
  <si>
    <t xml:space="preserve"> to be used by the sangguniang barangay and for the convenient of constituent of the barangay</t>
  </si>
  <si>
    <t xml:space="preserve"> Invitation to Bid Date: July 27, 2020 1.	The Provincial Government of Davao del Sur, through its Bids and Awards Committee (BAC), invites all potential bidders / suppliers to apply to bid for the following goods. Bids received in excess of the ABC shall b</t>
  </si>
  <si>
    <t xml:space="preserve"> Republic of the Philippines Province of Negros Occidental Municipality of Ilog Invitation to bid for sale Amount Php 1,000 Purchase of materials for the improvement of roads (Regravelling) Brgy. Balicotoc Proper to So. Taysican, Brgy. Balicotoc, Ilog, Neg</t>
  </si>
  <si>
    <t xml:space="preserve"> Republic of the Philippines PROVINCE OF SOUTHERN LEYTE Maasin City Invitation to Bid for the Procurement of Various Laboratory Supplies  Contract ID # 2020-08-18-447PG 1.	The Provincial Government of Southern Leyte through the SDH Medical, Dental and Labo</t>
  </si>
  <si>
    <t xml:space="preserve"> The Municipality of San Mariano, Isabela invite bidders to participate in this procurement, Supply and Delivery of Tilapia Feeds(MAO) Approved Budget: Php 100,000.00 Interested bidders may submit the accomplished Price Quotation/Canvass Form/ Complete Det</t>
  </si>
  <si>
    <t xml:space="preserve"> INVITATION TO BID FOR THE  REHABILITATION OF RAC MULTI-PURPOSE BUILDING (BONO-BONO, BATARAZA, PALAWAN) 1.	The Provincial Government of Palawan, through its General Fund (OBR No. 200-20-07-08701) account intends to apply the sum of Two Million Eighteen Tho</t>
  </si>
  <si>
    <t xml:space="preserve"> Description   Republic of the Philippines Danao City BIDS AND AWARDS COMMITTEE INVITATION to APPLY for ELIGIBILITY and to BID Supply and Delivery of (24) Units Heavy Duty Copyprinter/RESO Machine (DepEd) of the City GOVERNMENT OF DANAO The Local Governmen</t>
  </si>
  <si>
    <t xml:space="preserve"> RELOCATION SURVEY OF VARIOUS MUNICIPAL ROADS: 1.  400 lm Relocation Survery of various municipal roads at M.L. Quezon, E. Glinoga and J. Mauricio Street</t>
  </si>
  <si>
    <t xml:space="preserve"> BIDS AND AWARDS COMMITTEE INVITATION TO BID The  Municipal Government of Labason, Zamboanga del Norte, through its Bids and Awards Committee (BAC), invites eligible suppliers/contractors to bid for the hereunder project: Name of Project and Description : </t>
  </si>
  <si>
    <t xml:space="preserve"> Republic of the Philippines Province of Lanao del Norte Municipality of Tubod BARANGAY PUALAS BIDS AND AWARDS COMMITTEE INVITATION TO BID CONCRETING OF FARM TO MARKET ROAD Purok 3 &amp; 4, Barangay Pualas, Tubod, Lanao del Norte  (ITB-2020-REL-005 Re-Bid)  Ap</t>
  </si>
  <si>
    <t xml:space="preserve"> Description of Educational Supplies Needed 1. Plastic Envelope with handle.           1.1 Quantity per color                 1.1.1 Green    -    485 pcs.                 1.1.2 Yellow    -    456 pcs.                 1.1.3 Blue       -    429 pcs.         </t>
  </si>
  <si>
    <t xml:space="preserve"> The Municipality of Tanza, Cavite, through its Bids and Awards Committee (BAC), invites suppliers/manufacturers/distributor/contractors to apply for eligibility and to bid for the hereunder project: 	Name of Project	: SUPPLY AND DELIVERY OF GUNS AND AMMUN</t>
  </si>
  <si>
    <t xml:space="preserve"> Local Government Unit of Cordon, Isabela INVITATION TO BID FOR  LOT  1- Procurement of 2-units Brand New six (6) wheeler mini dump truck 4x2 drive standard size, Lot 2- Procurement of 1-unit Brand new six (6) wheeler garbage dump truck (forward dump truck</t>
  </si>
  <si>
    <t xml:space="preserve"> Location: Sto. Tomas, Pampanga Appropriation: Php 2,000,000.00 Source of Fund: 20% Development Fund Classificaton: Rehabilitation Center Limits: Floor Area=150.00 sq.m. Net Length: Elev. = 0.30m. No. of days to complete: 60 C.D</t>
  </si>
  <si>
    <t xml:space="preserve"> Description   Republic of the Philippines Danao City BIDS AND AWARDS COMMITTEE INVITATION to APPLY for ELIGIBILITY and to BID Supply and Delivery of One (1) Unit Heavy Duty Digital Copier (DepEd) of the City GOVERNMENT OF DANAO The Local Government of Dan</t>
  </si>
  <si>
    <t xml:space="preserve"> Republic of the Philippines PROVINCIAL GOVERNMENT OF EASTERN SAMAR Capitol Building, Borongan, Eastern Samar, 6800 Tel No. (055)-560-8312 E-mail Address: esamar.bac@gmail.com BIDS AND AWARDS COMMITTEE (BAC) INVITATION TO BID FOR  CONCRETING OF BARANGAY RO</t>
  </si>
  <si>
    <t xml:space="preserve"> Purchase request submitted by Virgie P. Celestial  1 3 bottles Potassium Standard (1000 ppm), 500 milligrams/bottle 2 3 bottles Phosphorus Standard (1000 ppm), 500 milligrams/bottle 3 3 bottles Calcium Standard (1000 ppm), 500 milligrams/bottle 4 3 bottle</t>
  </si>
  <si>
    <t xml:space="preserve"> Republic of the Philippines Province of Lanao del Norte Municipality of Tubod BARANGAY PUALAS BIDS AND AWARDS COMMITTEE INVITATION TO BID PURCHASE AND INSTALLATION OF 1 SET BASKETBALL BOARD Barangay Pualas, Tubod, Lanao del Norte  (ITB-2020-REL-004 Re-Bid</t>
  </si>
  <si>
    <t xml:space="preserve"> Purchase request submitted by Virgie P. Celestial  1 15 bottles Ammonium Acetate, AR grade, 1 kilogram/bottle 2 6 bottles Ammonium Sulfate, AR grade, 500 grams/bottle 3 15 bottles Calcium Chloride, AR grade, 500 grams/bottle 4 15 bottles Commercial Sulfur</t>
  </si>
  <si>
    <t xml:space="preserve"> OVEN, GAS OVEN STANDARD RANGE 		 FEATURES:  STAINLESS STEEL BODY;  BUILT-IN GREASE DRIP PAN;  GAS BURNERS WITH INDEPENDENT CONTROL KNOB;  HEAVY DUTY;  DIMENSION: 1340x900x1370;  VOLTAGE: 220-240V;  CAPACITY: 30 KG/HR;  WATTAGE: 120 W;  THERMAL LOAD: 120 M</t>
  </si>
  <si>
    <t xml:space="preserve"> 1 set RTK GNSS Static base (448 channel or more) GNSS Technology 448 hardware channel or more for simultaneous tracking of all visible satellite signals Support Signal: GPS(L1P,L1CA,L2,L5), GLONASS(L1,IL2,L3) Galileo(E1,E5ab,AItBoc,E6), BEIDOU(B1,B2,B3),S</t>
  </si>
  <si>
    <t xml:space="preserve"> Republic of the Philippines PROVINCE OF ZAMBOANGA SIBUGAY Municipality of Buug BIDS AND AWARDS COMMITTEE Invitation to Bid for Concreting  of Local Access Road with Drainage Improvement 1.	The Local Government Unit of Buug, through the 20 % Development Fu</t>
  </si>
  <si>
    <t xml:space="preserve"> Republic of the Philippines Province of Cagayan Tuguegarao City Invitation to Bid for Concreting of Baculod – San Jose Road Iguig, Cagayan  1.	The Provincial Government of Cagayan, through the AIP2019 intends to apply the sum of P 11,196,359.42 being the </t>
  </si>
  <si>
    <t xml:space="preserve"> Contract ID: 20GKK0036 Contract Name: Supply and Delivery of Lubricants to be used by DPWH-MOFDEO Service Vehicles and Equipment of All Section Contract Location: DPWH-MOFDEO, Gingoog City Brief Description of Goods to be procured: Lubricant Approved Budg</t>
  </si>
  <si>
    <t xml:space="preserve"> Republic of the Philippines Province of Romblon MUNICIPALITY OF ALCANTARA -oOo- INVITATION TO BID FOR PROCUREMENT OF FOOD SUPPLIES (INTENSIFIED NUTRITION PROGRAM)  Poblacion, Alcantara, Romblon The Local Government Unit of Alcantara, Romblon, through the </t>
  </si>
  <si>
    <t xml:space="preserve"> The purchase of one (unit) of Multi-Purpose Vehicle of Barangay Manibaug Pasig, Porac, Pampanga *not exceeding 2800cc engine displacement diesel-fed and 4 cylinder</t>
  </si>
  <si>
    <t xml:space="preserve"> INVITATION TO BID Procurement of various Procurement of various ISSP-MITHI 2020 Equipment for DOST Caraga Region Bid Bulletin No :  2020-06-248 1.	The DEPARTMENT OF SCIENCE AND TECHNOLOGY-CARAGA, through the General Appropriations Act 2020 intends to appl</t>
  </si>
  <si>
    <t xml:space="preserve"> Hardware, sand and gravel, lumber, steel tank, plumbing materials and construction materials</t>
  </si>
  <si>
    <t xml:space="preserve"> Description   Republic of the Philippines Danao City BIDS AND AWARDS COMMITTEE INVITATION to APPLY for ELIGIBILITY and to BID Supply and Delivery of Six (6) Units Heavy Duty Copyprinter/RESO Machine (DepEd) of the City GOVERNMENT OF DANAO The Local Govern</t>
  </si>
  <si>
    <t xml:space="preserve"> Procurement of Materials (Anapog) for the Maintenance of Various Provincial Roads for the Project Management Division (PMD) I, of the Provincial Engineer's Office, New Capitol Building, Tagbilaran City ABC: P1,212,500.00 Cost of Bid Documents: P5,000.00 A</t>
  </si>
  <si>
    <t xml:space="preserve"> Republic of the Philippines Province of Cagayan Tuguegarao City Invitation to Bid for  Cluster 2 Concreting of Barangay Road Gagabutan West Rizal Cagayan and Concreting of Access Road Leading to Sanitary Landfill, Masical Sto Niño, Cagayan                </t>
  </si>
  <si>
    <t xml:space="preserve"> All interested bidders / suppliers contractors are requested to submit LOI's (Letter of Intent) to BAC Secretariat.</t>
  </si>
  <si>
    <t xml:space="preserve"> RFQ (20-07-078) various dietary supplies</t>
  </si>
  <si>
    <t xml:space="preserve"> INVITATION TO BID  ON THE  PROCUREMENT FOR THE SUPPLY AND DELIVERY  OF 2 LOTS VARIOUS OFFICE EQUIPMENT (IB # PROV-2020-02-GS) 1.	The PhilHealth Regional Office V, through the 2020 Corporate Operating Budget  of PRO V   to apply the total sum of Four  Mill</t>
  </si>
  <si>
    <t xml:space="preserve"> Republic of the Philippines Province of Cagayan Tuguegarao City Invitation to Bid for  Cluster 7 Construction of Concrete Canal, Ugac Norte Tuguegarao City, Concreting of Barangay Road at Taguinod St. Quibal Peñablanca, Cagayan and Concreting of Farm to M</t>
  </si>
  <si>
    <t xml:space="preserve"> Description   Republic of the Philippines Danao City BIDS AND AWARDS COMMITTEE INVITATION to APPLY for ELIGIBILITY and to BID Supply and Delivery of (184) sets Student Tables and Chairs (DepEd) of the City GOVERNMENT OF DANAO The Local Government of Danao</t>
  </si>
  <si>
    <t xml:space="preserve"> Republic of the Philippines PROVINCE OF AKLAN Kalibo -oOo- BIDS AND AWARDS COMMITTEE (BAC) INVITATION TO BID 1.	The Provincial   Government   of   Aklan, through   5% LDRRM Fund CY 2019    intends   to   apply   the   sum   of  Two Million Five Hundred Th</t>
  </si>
  <si>
    <t xml:space="preserve"> 3,000 liters premium gasoline</t>
  </si>
  <si>
    <t xml:space="preserve"> Lot 2 – Supply, Delivery and Installation of Office Cubicle with chairs &amp; Mobile Pedestal for the use of Planning &amp; Design Section</t>
  </si>
  <si>
    <t xml:space="preserve"> Description   Republic of the Philippines Danao City BIDS AND AWARDS COMMITTEE INVITATION to APPLY for ELIGIBILITY and to BID Supply and Delivery of Supplementary Food of Pregnant Women for Nutrition Services Office of the City GOVERNMENT OF DANAO The Loc</t>
  </si>
  <si>
    <t xml:space="preserve"> INVITATION TO BID  PURCHASE OF OFFICE EQUIPMENTS LGU-GIGMOTO, CATANDUANES 		 July 27, 2020 1.	The Municipal Government of Gigmoto, through CY 2020 General Fund intends to apply the sum of One Hundred Seventy Six Thousand Pesos (Php176,000.00) being the to</t>
  </si>
  <si>
    <t xml:space="preserve"> Republic of the Philippines PROVINCE OF ZAMBOANGA SIBUGAY Municipality of Buug BIDS AND AWARDS COMMITTEE Invitation to Bid for the Rehabilitation of Municipal Roads 1. The Local Government Unit of Buug, through the 20 % Development Fund of 2020 intends to</t>
  </si>
  <si>
    <t xml:space="preserve"> Republic of the Philippines PROVINCE OF AKLAN Kalibo -oOo- BIDS AND AWARDS COMMITTEE (BAC) INVITATION TO BID 1.	The Provincial   Government   of   Aklan, through   Improvement/Rehabilitation of Provincial Office Building (Capital Outlay CY 2020)   intends</t>
  </si>
  <si>
    <t xml:space="preserve"> 25 UNITS SEWING MACHINE 9 ROLLS FABRIC (DIFFERENT COLORS) 25 PCS TAILOR'S SCISSOR 25 SETS SEWING MACHINE NEEDLES 25 SETS MARKING TOOLS 25 PCS MEASURING TOOLS 25 BOXES PINS 25 PCS PINCUSHIONS  75 PCS THREAD (3000 METERS) 25 PCS PATTERN PAPER</t>
  </si>
  <si>
    <t xml:space="preserve"> RFQ (20-07-075) Pre-filter and hepa filter for PC respiratory hood</t>
  </si>
  <si>
    <t xml:space="preserve"> Republic of the Philippines Province of Cagayan Tuguegarao City Invitation to Bid for Upgrading of Bagumbayan – Magallongon Road Lal – lo, Cagayan 1.	The Provincial Government of Cagayan, through the Trust Fund intends to apply the sum of P 58,963,353.68 </t>
  </si>
  <si>
    <t xml:space="preserve"> Purchase request submitted by Lucille Mae M. Sy  1 1 lot RETIREMENT TOKENS FOR THE 2020 RETIREES OF SRA VISAYAS  (WRISTWATCHES, ENGRAVED RINGS OR PINS) 1.	Francisco C. Banlaygas 2.	Rutchie T. Muchada 3.	Helen B. Nonato 4.	Aniano C. Chavez ABC is Php 99,00</t>
  </si>
  <si>
    <t xml:space="preserve"> Procurement of Materials (Anapog) for the Maintenance of Various Provincial Roads for the Project Management Division (PMD) I, of the Provincial Engineer's Office, New Capitol Building, Tagbilaran City ABC: P1,187,500.00 Cost of Bid Documents: P5,000.00 A</t>
  </si>
  <si>
    <t xml:space="preserve"> Republic of the Philippines Province of South Cotabato BIDS AND AWARDS COMMITTEE Capitol Compound Alunan Avenue, Koronadal City Tel. Fax No.: (083) 228-9951/228-8570 INVITATION TO BID FOR THE SUPPLY AND DELIVERY OF VARIOUS LABORATORY &amp; MEDICAL SUPPLIES 1.</t>
  </si>
  <si>
    <t xml:space="preserve"> Republic of the Philippines Province of Masbate MUNICIPALITY OF CATAINGAN BARANGAY NADAWISAN   			                                                                                              JULY 28, 2020 INVITATION TO APPLY FOR ELIGIBILITY AND TO BID Th</t>
  </si>
  <si>
    <t xml:space="preserve"> Republic of the Philippines Province of Cagayan Tuguegarao City Invitation to Bid for  Cluster 8 Repair/ Rehab of Gymnasium San Gabriel Tuguegarao City, Construction of Perimeter Fence Barangay Hall Cataggaman Pardo Tuguegarao City and Construction of Two</t>
  </si>
  <si>
    <t xml:space="preserve"> Republic of the Philippines Province of Leyte Municipality of Hilongos Barangay STA. CRUZ REQUEST FOR QUOTATION ________________ DATE _____________________ _____________________ .        Please quote your lowest price on the items/listed below for theProc</t>
  </si>
  <si>
    <t xml:space="preserve"> Cement Coco Lumber 2"x4"x12' Mixing Water Sand Gravel Common Nails</t>
  </si>
  <si>
    <t xml:space="preserve"> Procurement of Desktop, Laptop, Fire Extinguisher, Multi Function Printer, Dome Type Camera, Patch Panel, Floor Mounted Air Conditioning Unit, Computer Cubicles &amp; Chairs, Switch Hub, WiFi Router, Smart LED TV, Welding Machine, Cultivator &amp; Shredder for th</t>
  </si>
  <si>
    <t xml:space="preserve"> Republic of the Philippines Province of Nueva Vizcaya Municipality of Solano -o0o- INVITATION TO BID FOR Supply &amp; Delivery of Six Hundred (600) pieces Monoblock Chairs Donation to various Barangays   (SOLANO 086-2020) 1.	The Local Government Unit of Solan</t>
  </si>
  <si>
    <t xml:space="preserve"> Job request submitted by Dorothy B. Rodrigo  1 1 lot ELECTRICAL POWER SYSTEM  (MAIN BUILDING, NORTH BUILDING,  SOUTH BUILDING AND POWER HOUSE) 1.	Grounding / Bonding To supply labor services and materials for  the installation of Grounding: -	Grounding Ro</t>
  </si>
  <si>
    <t xml:space="preserve"> 103(1)A STRUCTURE EXCAVATION 320 CU.M 1710(5) GROUTED RIPRAP (CLASS A) 288 CU.M 1704(1) EMBANKMENT 48 CU.M B.5 PROJECT BILLBOARD 1 EACH</t>
  </si>
  <si>
    <t xml:space="preserve"> The purchase includes common and non-common office supplies.</t>
  </si>
  <si>
    <t xml:space="preserve"> One  (1)  Lot  Engagement  of  Consultant  for  the Assessment  of  Enterprise  Risk,  Business  Continuity  Management  Frameworks  and Development  of  Compliance  Management Framework and Program for the Bangko Sentral ng  Pilipinas  (BSP),  as  per  B</t>
  </si>
  <si>
    <t xml:space="preserve"> Description   Republic of the Philippines Danao City BIDS AND AWARDS COMMITTEE INVITATION to APPLY for ELIGIBILITY and to BID Supply and Delivery of Nutri Dry Cereals and Complimentary Foods to 6-24 Months Children for Nutrition Services Office of the Cit</t>
  </si>
  <si>
    <t xml:space="preserve"> SUPPLY AND DELIVERY OF FURNITURE’S AND FIXTURES: 1. 3 pcs door steel locker cabinet, W-10 x L-15 2.  executive table L-type, 1.6m 3.  1 pc office table, W-24 x L-48, color grey 4.  6 pcs folding half table W-29 x H-29 x L-70, off white color 5.  2 pcs com</t>
  </si>
  <si>
    <t xml:space="preserve"> Republic of the Philippines Province of Pangasinan Bids and Awards Committee Municipality of Calasiao INVITATION TO BID  DELIVERY AND INSTALLATION OF SOLAR STREET LIGHTS AT DOÑA MARIA DIZON SUBDIVISION  AT BUENLAG, CALASIAO, PANGASINAN 1.	The Municipality</t>
  </si>
  <si>
    <t xml:space="preserve"> 1 Unit Office Table  1 Unit Executive Chair 1 Unit Filling Cabinet</t>
  </si>
  <si>
    <t xml:space="preserve"> Diesel</t>
  </si>
  <si>
    <t xml:space="preserve"> Republic of the Philippines Province of South Cotabato BIDS AND AWARDS COMMITTEE Capitol Compound Alunan Avenue, Koronadal City Tel. Fax No.: (083) 228-9951/228-8570 INVITATION TO BID FOR THE SUPPLY AND DELIVERY OF VARIOUS HOSPITAL EQUIPMENT 1.  The PROVI</t>
  </si>
  <si>
    <t xml:space="preserve"> Meals and Snacks 948 heads  for the Radio Program, OSCA meeting,Blessing Tissue Culture,TMU Dakop w/ PNP, RHU ,Tourism LCE Expenses ,ASF,72nd IB army Menro Meeting and Census Meeting</t>
  </si>
  <si>
    <t xml:space="preserve"> Minimum Specifications Requirements: Portable Wireless Weather (Rain Gauge) Station with Software (CAN DOWNLOAD DATA AND CONNECT TO COMPUTER) - 22 alarms to warn of dangers such as high winds, possible flooding - It can Display: Wind Speed, Wind Direction</t>
  </si>
  <si>
    <t xml:space="preserve"> INVITATION TO BID FOR THE ENCLOSURE OF EXISTING GAZEBO FOR SENIOR CITIZEN / PERSONS WITH DISABILITIES (PWD) LOUNGE AND CLINIC AT LUCAP WHARF, BRGY. LUCAP, CITY OF ALAMINOS, PANGASINAN 1.	The CITY GOVERNMENT OF ALAMINOS, PANGASINAN through its Development </t>
  </si>
  <si>
    <t xml:space="preserve"> PURCHASE AND DELIVERY OF THREE (3) UNITS CEILING FAN IN DINGLE PUBLIC MARKET, DINGLE, ILOILO</t>
  </si>
  <si>
    <t xml:space="preserve"> The specification is available at the Bids and Awards Committee Secreatariat MPDC-2nd Floor, Lasam Municipal Town Hall</t>
  </si>
  <si>
    <t xml:space="preserve"> Republic of the Philippines Province of South Cotabato BIDS AND AWARDS COMMITTEE Capitol Compound Alunan Avenue, Koronadal City Tel. Fax No.: (083) 228-9951/228-8570 INVITATION TO BID FOR THE SUPPLY AND DELIVERY OF 34,880 LITERS DIESOLINE 1.  The PROVINCI</t>
  </si>
  <si>
    <t xml:space="preserve"> SAYON GOODS 20-01</t>
  </si>
  <si>
    <t xml:space="preserve"> Republic of the Philippines Province of South Cotabato BIDS AND AWARDS COMMITTEE Capitol Compound Alunan Avenue, Koronadal City Tel. Fax No.: (083) 228-9951/228-8570 INVITATION TO BID FOR THE SUPPLY AND DELIVERY OF 195 UNITS FABRICATED DOUBLE DECK BED 1. </t>
  </si>
  <si>
    <t xml:space="preserve"> INVITATION TO BID FOR THE CONSTRUCTION OF PERIMETER FENCE AT SLAUGHTERHOUSE, BRGY. POBLACION, CITY OF ALAMINOS, PANGASINAN 1.	The CITY GOVERNMENT OF ALAMINOS, PANGASINAN through its Development Fund (DF) intends to apply an amount of Six Hundred Thirty Fo</t>
  </si>
  <si>
    <t xml:space="preserve"> Republic of the Philippines BOHOL ISLAND STATE UNIVERSITY Main Campus, Tagbilaran City INVITATION TO BID FOR SUPPLY AND DELIVERY OF IT SUPPLIES (PR NO. 2020-02-0130, 2020-06-0564, 2020-06-0598, 2020-01-0032, 2020-05-0507, 2020-02-0163) 1.	The Bohol Island</t>
  </si>
  <si>
    <t xml:space="preserve"> INVITATION TO RE-BID  PROCUREMENT AND INSTALLATION OF FOUR (4) UNITS GENERATOR SET FOR THE                                                            PPSC HEAD OFFICE AND NPC SILANG PPSC BAC IB NO.011 (G/I) 2020 1.	The Philippine Public Safety College thr</t>
  </si>
  <si>
    <t xml:space="preserve"> Various goods for distribution of COVID-19 affected families</t>
  </si>
  <si>
    <t xml:space="preserve"> INVITATION TO BID INVITATION TO BID FOR SUPPLY AND DELIVERY OF GOODS (NORTHERN SAMAR LIVELIHOOD SEEDING PROGRAM) 1.	The Department of Trade and Industry, Regional Office No. 8, through the R. A. 11465 GAA 2020 intends to apply the sum of THREE MILLION TWO</t>
  </si>
  <si>
    <t xml:space="preserve"> INVITATION TO BID SUPPLY AND DELIVERY OF SAN FRANCISCO, AGUSAN DEL SUR BARANGAY TANODs’ UNIFORM FOR BARANGAY PEACE AND ORDER ACTIVITIES, SFADS  The Municipal Government of San Francisco, Agusan del Sur, through the BIDS and AWARDS COMMITTEE (BAC) intends </t>
  </si>
  <si>
    <t xml:space="preserve"> Please see attached Request for Quotation. ---------------------DMDH-------------------</t>
  </si>
  <si>
    <t xml:space="preserve"> Republic of the Philippines Province of Bohol Municipality of Duero BIDS AND AWARDS COMMITTEE Section 1. INVITATION TO BID The Municipality of Duero, Bohol, through its Bids and Awards Committee (BAC), invites suppliers/manufacturers/distributors to apply</t>
  </si>
  <si>
    <t xml:space="preserve"> PURCHASE AND DELIVERY OF MATERIALS FOR THE CONSTRUCTION OF LGU DINGLE EVACUATION CENTER PHASE IV,  DALIPE ST., DINGLE, ILOILO</t>
  </si>
  <si>
    <t xml:space="preserve"> PURCHASE OF BARANGAY SERVICE VEHICLE</t>
  </si>
  <si>
    <t xml:space="preserve"> 20pcs 2x3x8     80 Bdft 20pcs 2x2x10    67 bdft concrete epoxy A&amp;B Skim Coat Fine Sand Portland Cement 4 x 8 polycarbonate(light green) H-clip 16lght 63mm x 6m outdoor stainless pipe 50mm x 6m outdoor stainless pipe 50mm x 50mmx6m outdoor stainless tubula</t>
  </si>
  <si>
    <t xml:space="preserve"> See Request for Quotation hereto attached.</t>
  </si>
  <si>
    <t xml:space="preserve"> Interested bidders/parties are hereby invited to a public bidding to be held on August 7, 2020 at 10:00 a.m. here at the Barangay Hall, Barangay North Fairview, Brookside St. corner Brimley St., Fairville Homes, Barangay North Fairview, District 5, Quezon</t>
  </si>
  <si>
    <t xml:space="preserve"> See Program of Works and Bill of Quantities.</t>
  </si>
  <si>
    <t xml:space="preserve"> Republic of the Philippines PROVINCIAL GOVERNMENT OF EASTERN SAMAR Capitol Building, Borongan, Eastern Samar, 6800 Tel No. (055)-560-8312 E-mail Address: esamar.bac@gmail.com BIDS AND AWARDS COMMITTEE (BAC) INVITATION TO BID FOR  CONCRETING OF BARANGAY 7 </t>
  </si>
  <si>
    <t xml:space="preserve"> Construction Projects (see attached documents)</t>
  </si>
  <si>
    <t xml:space="preserve"> INVITATION TO APPLY FOR ELIGIBILITY AND TO BID THE MUNICIPALITY OF CAIBIRAN, BILIRAN IS INVITING ALL INTERESTED BIDDERS ON ITS FORTHCOMING PUBLIC BIDDING FOR: Project Title 	: Acquisition of Office Supplies, SO Location	: LGU - Caibiran, Biliran  Delivery</t>
  </si>
  <si>
    <t xml:space="preserve"> Republic of the Philippines BOHOL ISLAND STATE UNIVERSITY Main Campus, Tagbilaran City INVITATION TO BID FOR SUPPLY AND DELIVERY OF WINDOWS 10 OPERATING SYSTEM (PR NO. 2020-02-0130) 1.	The Bohol Island State University – Main Campus, Tagbilaran City, thro</t>
  </si>
  <si>
    <t xml:space="preserve"> Please see attached documents It may also be downloaded free of charge form the website of the Philippine Ports Authority at www.ppa.com.ph</t>
  </si>
  <si>
    <t xml:space="preserve"> Production of Lapulapu Figurines Based on Guillermo Tolentino’s Lapulapu Bust Size: 9 inches x 6 inches x 3 inches (height, width and dimension) Material: Fiber resin Finish: Bronze Quantity: 1,000 pcs</t>
  </si>
  <si>
    <t xml:space="preserve"> INVITATION TO RE-BID  PROCUREMENT AND INSTALLATION OF AIR-CONDITIONING UNITS FOR THE OFFICES &amp; CLASSROOMS OF THE NFSTI - PPSC BAC IB NO.012 (G) 2020 1.	The Philippine Public Safety College through the General Appropriations Act of FY2020 , intends to appl</t>
  </si>
  <si>
    <t xml:space="preserve"> The Barangay Government of Utan Allacapan,CAgayan through its Bids and Awards Committee (BAC), invites suppliers/distributors/contractors to apply for eligibility and to bid for the hereunder project: Name of Contract : Maintenance of Barangay Road Locati</t>
  </si>
  <si>
    <t xml:space="preserve"> PROJECT NAME: Improvement along J207 – Kadaigay – Alapang Road PROJECT LOCATION:  Poblacion, Buguias, Benguet DURATION:  21 CD (Including mobilization) PROJECT Cost:  PHP 350,000.00 SOURCE OF FUND: 20% MDF CY 2020 ITEM NO.	DESCRIPTION							 QTY  	   	UNI</t>
  </si>
  <si>
    <t xml:space="preserve"> Water Dispenser Coffee Dispenser Airconditioner Wall Mounted Airconditioner Airconditioner 1.5 HP  TV sets 36" TV Set (MWWS)</t>
  </si>
  <si>
    <t xml:space="preserve"> ITEM NO.	 QTY.	 UNIT	 DESCRIPTION	UNIT PRICE	TOTAL COST 1	1	Unit	Stainless 82 gallon Pressure tank	11,500.00	11,500.00 2	1	Unit	Water Pump (2hp Shallow Well)	20,000.00	20,000.00 3	1	Pc	Foot Valve #1	750.00	750.00 4	12	Mtr	P.E. Pipe #1 (Blue)	54.00	648.00 </t>
  </si>
  <si>
    <t xml:space="preserve"> Alcohol 480 gal Facemask  1000 bx Ascorbic Acid 8600 tabs</t>
  </si>
  <si>
    <t xml:space="preserve"> INVITATION TO BID The City of Bayawan, through its Bids and Awards Committee (BAC), invites suppliers/manufacturers/distributors/contractors to bid for the hereunder projects: 	Lot No. I		INDUSTRIAL MACHINERY EQUIPMENT					 1	1	unit	WELDING MACHINE					 	</t>
  </si>
  <si>
    <t xml:space="preserve"> Regional  Office No. 10, Masterson Avenue, Upper Carmen, Cagayan de Oro City INVITATION TO BID FOR Bidding of Supply and delivery of Food items for Supplementary Feeding Program 10th cycle The Department of Social Welfare and Development Field Office 10 t</t>
  </si>
  <si>
    <t xml:space="preserve"> REQUEST FOR QUOTATION														 														 RFQ No.		SVP 20-0890				Date				7/27/2020				 PR Reference		100-20-07-046				Implementing Office				CSWDO				 Closing Date and Time														 Designated Places of Submission (Bid Box Designated Locati</t>
  </si>
  <si>
    <t xml:space="preserve"> ANY XEROX MACHINE</t>
  </si>
  <si>
    <t xml:space="preserve"> Republic of the Philippines Province of Cagayan Tuguegarao City Invitation to Bid for  Cluster 1 Concreting of Barangay Road Jones Street Centro Abulug, Cagayan, Concreting of Barangay Road Aguinaldo Street at Boundrey of bagu and Centro Abulug, Cagayan, </t>
  </si>
  <si>
    <t xml:space="preserve"> Republic of the Philippines BOHOL ISLAND STATE UNIVERSITY Main Campus, Tagbilaran City INVITATION TO BID FOR SUPPLY AND DELIVERY OF OFFICE FURNITURE (PR NO. 2020-06-0542, 2020-02-0145, 2020-06-0553) 1.	The Bohol Island State University – Main Campus, Tagb</t>
  </si>
  <si>
    <t xml:space="preserve"> b.5 project billboard/signboard 1 lot PART A 801 (3) REMOVAL OF STRUCTURES AND OBSTRUCTION 1,359.77 SQ.M (Existing longspan Metal Sheet, Purlins sag rods, struts and sway braces) ITEM 1047 STRUCTURAL STEEL 1047(2)b ROOF TRUSS (Retrofitting and Lifting of </t>
  </si>
  <si>
    <t xml:space="preserve"> Drug Testing Kits &amp; Other Supplies</t>
  </si>
  <si>
    <t xml:space="preserve"> Republic of the Philippines BOHOL ISLAND STATE UNIVERSITY Main Campus, Tagbilaran City INVITATION TO BID FOR LOT 1: SUPPLY AND DELIVERY OF ELECTRICAL SUPPLIES FOR MAINTENANCE OF SCHOOL LIGHTING/WIRING SYSTEM (PR NO. 2020-02-0095, 2020-02-0096, 2020-02-020</t>
  </si>
  <si>
    <t xml:space="preserve"> Supply and Delivery of One (1) Unit Brand New Palay Harvester</t>
  </si>
  <si>
    <t xml:space="preserve"> REQUEST FOR QUOTATION														 														 RFQ No.		SVP 20-0883				Date				7/23/2020				 PR Reference		100-20-07-017				Implementing Office				CEO				 Closing Date and Time														 Designated Places of Submission (Bid Box Designated Location</t>
  </si>
  <si>
    <t xml:space="preserve"> Farm Inputs: 1. 435 packs bigante hybrid seeds (3 kilos) @ P 800.00/packs 2. 522 bags of Vermicast Fertilizer @ P 600.00/bag 3. 87 sacks of Urea Fertilizer @ 1,150.00/sacks 4. 87 sacks of Triple 14 @ 1,150.00/sacks Weighing scale: 1. Weighing Scale (100 k</t>
  </si>
  <si>
    <t xml:space="preserve"> TO PURCHASE PLASTIC STORAGE BOX WITH ROLLER "20 x 25 x 15" INCHES OR NEAREST DIMENSION  FOR STORAGE OF CLASS MODULES. Item Description					               Quantity	Unit	Estimated Unit Cost	Estimated    Cost 								 Plastic Storage Box with roller "20x25x1</t>
  </si>
  <si>
    <t xml:space="preserve"> Water Sanitation Supplies</t>
  </si>
  <si>
    <t xml:space="preserve"> Republic of the Philippines BOHOL ISLAND STATE UNIVERSITY Main Campus, Tagbilaran City INVITATION TO BID FOR SUPPLY AND DELIVERY OF APPLIANCES FOR THE 2ND QUARTER (PR NO. 2020-01-0029, 2020-02-0178, 2020-02-0168, 2020-02-0130, 2020-06-0576) 1.	The Bohol I</t>
  </si>
  <si>
    <t xml:space="preserve"> Section I. Invitation to Bid Republic of the Philippines Province of Bukidnon MUNICIPALITY OF TALAKAG Invitation to Bid for  Construction of Potable Deepwell Water Supply   Phase II – Market Site, San Isidro 1.	The Municipality of Talakag, through the 8-9</t>
  </si>
  <si>
    <t xml:space="preserve"> 1	Longsfan (Orange) 20ft.	4	pcs. 2	2" x 3" C-Purlins	8	pcs. 3	1/4" x 2' Angle bar	4	pcs. 4	1/2" x 8" x 10' Facia Board	8	pcs. 5	Welding Rod (Nihonweld)	7	kls. 6	10W LED Bulb	13	pcs. 7	Electrical Tape (Big)	1	pc. 8	#14 Stranded Wire	1	box 9	2" Receptacle	5</t>
  </si>
  <si>
    <t xml:space="preserve"> Republic of the Philippines Cordillera Administrative Region Provincial Local Government Unit of Ifugao BIDS AND AWARDS COMMITTEE - INFRA 3rd Floor PEO Bldg., Capitol Compound Lagawe, Ifugao Email Ad.: bacifugao@gmail.com INVITATION TO BID  		NCB Publicat</t>
  </si>
  <si>
    <t xml:space="preserve"> 1. 2"ᴓ x 6 m sch. 40 G.I. pipe stringer 40 pcs 2. 2"ᴓ x 3 m sch. 40 G.I. pipe sway brace 15 pcs 3. 1-3/4" ᴓ x 6 m sch. 40 G.I. stringer coupling 10 pcs 4. 3/4" ᴓ x 6 m sch. 40 G.I. pipe handrail 40 pcs 5. 10mm" ᴓ x 6 RSB 20 pcs 6. 1.5m x 2m fabricated ste</t>
  </si>
  <si>
    <t xml:space="preserve"> Standard Form Number: SF-GOOD-05 Revised on: July 28, 2004        INVITATION TO APPLY FOR ELIGIBILITY AND TO BID The LOCAL GOVERNMENT UNIT OF UNISAN, QUEZON, through its Bids and Awards Committee (BAC), invites suppliers/ manufacturers/distributors/contra</t>
  </si>
  <si>
    <t xml:space="preserve"> Republic of the Philippines DEPARTMENT OF HEALTH DR. JOSE RIZAL MEMORIAL HOSPITAL Lawaan, Dapitan City Telefax; (065) 213-6421 Website: www.djrmh.doh.gov.ph Email: dohdjrmh@gmail.com BIDS AND AWARDS COMMITTEE INVITATION TO BID PROCUREMENT OF VARIOUS MEDIC</t>
  </si>
  <si>
    <t xml:space="preserve"> INVITATION TO BID FOR THE REPAIR AND MAINTENANCE OF STREETLIGHTS 500  meters   Duplex wire #6  27   pieces    Receptacle bulb  10   rolls       Electrical taped assorted (big)  60   meters   THHN Wire #14 AWG  50   pieces     Led Bulb 9 watts  27   pieces</t>
  </si>
  <si>
    <t xml:space="preserve"> The specification is available at the Bids and Awards Committee Secretariat MPDC-2nd Floor, Lasam Municipal Town Hall</t>
  </si>
  <si>
    <t xml:space="preserve"> Vegetable Seeds, Agri. products and Supplies, Incubator and Livestock's</t>
  </si>
  <si>
    <t xml:space="preserve"> Provision of protective equipment and disinfectants for COVID-19 control and prevention program</t>
  </si>
  <si>
    <t xml:space="preserve"> INVITATION TO BID SUPPLY AND DELIVERY OF COMMON USED OFFICE SUPPLIES, SFADS  The Municipal Government of San Francisco, Agusan del Sur, through the BIDS and AWARDS COMMITTEE (BAC) intends to apply the sum of FIVE HUNDRED TWENTY FIVE THOUSAND EIGHT HUNDRED</t>
  </si>
  <si>
    <t xml:space="preserve"> Republic of the Philippines DEPARTMENT OF PUBLIC WORKS AND HIGHWAYS BOHOL III DISTRICT ENGINEERING OFFICE REGIONAL OFFICE VII Guindulman, Bohol INVITATION TO BID July 27, 2020	 The Department of Public Works and Highways – Bohol 3rd District Engineering O</t>
  </si>
  <si>
    <t xml:space="preserve"> OTHER LAND IMPROVEMENT (CONSTRUCTION OF BLEACHERS AND CANAL LINING) EKB PARK ABC (1,792,111.61) PART B OTHER GENERAL REQUIREMENTS B.5 PROJECT BILLBOARD/SIGNBOARD 1 LOT PART A EARTHWORK 803(1)A EXCAVATION (COLUMNS FTG. CHB FTG. AND CANAL) 50.92 CU.M PART B</t>
  </si>
  <si>
    <t xml:space="preserve"> AREA FOR REPAIR-68.82M; T=2.5"; VOL.4.30M; H=5CHB; T=3" CONCRETE BENCH- L=25LM; W=0.3M</t>
  </si>
  <si>
    <t xml:space="preserve"> Meals and snacks for United Civil Society Association of Magpet</t>
  </si>
  <si>
    <t xml:space="preserve"> Republic of the Philippines Province of Antique Municipality of Valderrama OFFICE OF THE BIDS AND AWARDS COMMITTEE  			 INVITATION TO BID The Local Government Unit of Valderrama, Antique through its Bids and Awards Committee (BAC), invites suppliers to ap</t>
  </si>
  <si>
    <t xml:space="preserve"> JULY 27, 2020 INVITATION TO BID Name of Project: PURCHASE OF PROTECTIVE EQUIPMENT AND SUPPLIES NEEDED FOR COVID-19 PREVENTION AND MITIGATION Approved Budget of the Contract: P 493,050.00 ITEMS: 10	Gallon	70% Alcohol 5	packs	Shoe Cover (50 pairs/pack) 25	p</t>
  </si>
  <si>
    <t xml:space="preserve"> INVITATION TO BID FOR 1.	 The Department of Public Works and Highways Davao City District Engineering Office, through its Bids and Awards Committee (BAC) for Goods, invites suppliers to submit bids for the Contract: 1.	Contract ID No. 	: 20GLB0072   ►PR N</t>
  </si>
  <si>
    <t xml:space="preserve"> Republic of the Philippines Province of Cagayan Tuguegarao City Invitation to Bid for Construction of Semi Private Room Building Lasam District Hospital, Lasam, Cagayan 1.	The Provincial Government of Cagayan, through the General Fund CY 2019 intends to a</t>
  </si>
  <si>
    <t xml:space="preserve"> 1.	The Municipal Government of El Nido, through the 20% DF BAGONG BAYAN, intends to apply the sum of Four Hundred Fourteen Thousand Six Hundred Seventy Pesos (₱ 414,670.00) being the Approved Budget for the Contract (ABC) to payments for the Procurement a</t>
  </si>
  <si>
    <t xml:space="preserve"> Multi-Jet Water Meter 15mm dia. (Class B) Specifications: Magnetically driven sealed register with dome shaped lens; 6 number rollers for high totalizing capacity, 3 dial pointers for meter accuracy below 50ml, testing, central pointer for leak detection </t>
  </si>
  <si>
    <t xml:space="preserve"> Improvement of Barangay Street Lights to Include  1.Replacement /Installation of Busted Bulbs,wirings &amp; electrical Accessories .</t>
  </si>
  <si>
    <t xml:space="preserve"> INVITATION TO BID FOR THE SUPPLY OF MATERIALS FOR THE REHABILITATION OF WATER FACILITIES. 1. The Barangay Government MAHABANG DAHILIG  through the Provincial Aid of Barangay intends to apply the sum of Php 150,000.00 being the Approved Budget for the Cont</t>
  </si>
  <si>
    <t xml:space="preserve"> The program of work is available at the Bids and Awards Committee Secretariat MPDC-2nd Floor, Lasam Municipal Town Hall</t>
  </si>
  <si>
    <t xml:space="preserve"> INVITATION TO BID 1)	The DPWH- Davao City District Engineering Office through its Bids and Awards Committee (BAC), invites contractors to submit bids for the following contract; 1. Procurement ID /          Contract ID No.	:	20LB0298     Contract Name	:	R</t>
  </si>
  <si>
    <t xml:space="preserve"> Republic of the Philippines PROVINCE OF PAMPANGA City of San Fernando INVITATION TO BID NO. 2020-28 IG-BAC INVITATION TO BID FOR PURCHASE REQUEST NO. 20-1897 The Provincial Government of Pampanga (“Province”) intends to apply the following sums from the f</t>
  </si>
  <si>
    <t xml:space="preserve"> 1.	The Municipal Government of El Nido, through the 20% DF BDAF ABERAWAN, intends to apply the sum of Four Hundred Forty Eight Thousand Five Hundred Thirty Two Pesos and Fifty Centavos        (₱ 448,532.50) being the Approved Budget for the Contract (ABC)</t>
  </si>
  <si>
    <t xml:space="preserve"> LGU - Padre Burgos, Southern Leyte INVITATION TO BID FOR  Procurement of Commercial Rice Padre Burgos, Southern Leyte 1.	The LGU Padre Burgos, Southern Leyte through the 	LDRRM Fund, CY 2020  intends to apply the sum of Three Hundred Fifty Thousand Pesos </t>
  </si>
  <si>
    <t xml:space="preserve"> Vehicle Accessories for MDRRMO vehicle</t>
  </si>
  <si>
    <t xml:space="preserve"> BIDS AND AWARDS COMMITTEE REQUEST FOR QUOTATION The Local Government Unit of Labason, Z.N., invites all interested registered supplier to submit quotation for the Purchase of IT Equipments for PNP Labason: Approved Budget for the Contract (ABC):  89,500.0</t>
  </si>
  <si>
    <t xml:space="preserve"> ITEM NO.      QTY.            UNIT              DESCRIPTION  1.                   2               pcs.                 Portable hand Washing  2.                   2               pcs.                 3/4" PBC pipe  3.                   6               pcs</t>
  </si>
  <si>
    <t xml:space="preserve"> Conctract ID No.	:	20K00356 Conctract Name	:	Cluster "RO-02" Construction of Building Projects in Bukidnon 1. Construction of Southern Track and Field and Track Oval, Brgy. Laguitas, Malaybalay City, Bukidnon = Php 30,000,000.00;  2. Construction of Perim</t>
  </si>
  <si>
    <t xml:space="preserve"> REQUEST FOR QUOTATION											 											 RFQ No.		SVP 20-0876				Date				7/23/2020	 PR Reference		100-20-07-016				Implementing Office				GSO	 Closing Date and Time											 Designated Places of Submission (Bid Box Designated Locations)						1. BAC </t>
  </si>
  <si>
    <t xml:space="preserve"> 1.	The Municipal Government of El Nido, through the Continuing Appropriation 2017 Non-Office Construction of Motor Bldg. and Equipment, intends to apply the sum of Four Hundred Ninety Four Thousand Eight Hundred Forty Two Pesos (₱ 494,842.00) being the Ap</t>
  </si>
  <si>
    <t xml:space="preserve"> B.5 PROJECT BILLBOARD/SIGNBOARD 1 LOT 503(B) STEEL GRATING W/ FRAMES 6,765.65 KGS</t>
  </si>
  <si>
    <t xml:space="preserve"> Body Type: FB ENGINE: Engine Size: 2.0L Max Power: 3,000cc Number of Cylinders: 4 Cylinders Number of Valves: 16 Valve DOHC Transmission Category: 5 Speed Manual Top Speed: 180km/h Fuel Type: Diesel Fuel Capacity: 55 L Wheels: 14"x50 Tire, 4 Tire &amp; 1 Spar</t>
  </si>
  <si>
    <t xml:space="preserve"> Conctract ID No.	:	20K00355 Conctract Name	:	Cluster "RO-01" Construction of Various Road Projects in Misamis Oriental: 1. Construction of By-Pass and Diversion Roads, Magsaysay-Butuan City Coastal Bypass/Alternate Road (Damayuhan-Villa Felipa Section), P</t>
  </si>
  <si>
    <t xml:space="preserve"> REQUEST FOR QUOTATION											 											 RFQ No.		SVP 20-0891				Date				7/27/2020	 PR Reference		100-20-07-050.1				Implementing Office				CPDO	 Closing Date and Time											 Designated Places of Submission (Bid Box Designated Locations)						1. B</t>
  </si>
  <si>
    <t xml:space="preserve"> Please see attached File.</t>
  </si>
  <si>
    <t xml:space="preserve"> SITE DEVELOPMENT</t>
  </si>
  <si>
    <t xml:space="preserve"> 1.	The Municipal Government of El Nido, through the 20% DF TENEGUIBAN, intends to apply the sum of Three Hundred Ninety Seven Thousand Six Hundred Thirty Pesos (₱ 397,630.00) being the Approved Budget for the Contract (ABC) to payments for the Procurement</t>
  </si>
  <si>
    <t xml:space="preserve"> Republic of the Philippines DEPARTMENT OF PUBLIC WORKS AND HIGHWAYS EASTERN SAMAR DISTRICT ENGINEERING OFFICE REGIONAL OFFICE VIII Borongan City, Eastern Samar INVITATION TO BID The Department of Public Works and Highways Eastern Samar District Engineerin</t>
  </si>
  <si>
    <t xml:space="preserve"> Section I. Invitation to Bid Republic of the Philippines Province of Davao del Norte MUNICIPALITY OF TALAINGOD 								28 July, 2020 Invitation to Bid for CONSTRUCTION OF PERSON WITH DISABILITY (PWD) BUILDING PHASE II (@Sto. Niño,Talaingod, DdN 1.	The Loc</t>
  </si>
  <si>
    <t xml:space="preserve"> REPUBLIC OF THE PHILIPPINES																																			 	PROVINCE OF ZAMBOANGA DEL NORTE																																			 	MUNICIPALITY OF PRES. MANUEL A. ROXAS																																			 	BIDS AND AWARDS COMMITTEE																								</t>
  </si>
  <si>
    <t xml:space="preserve"> The Department of ICT-MC3, Davao City through its committee intend to procure Desktop &amp; Laptop computers through Bidding. SUPPLY AND DELIVERY OF COMPUTER EQUIPMENT PACKAGES    3 lots are the following; Lot 1 -  LAPTOP COMPUTER PACKAGES: (12 UNITS)   ABC 4</t>
  </si>
  <si>
    <t xml:space="preserve"> BIDS AND AWARDS COMMITTEE REQUEST FOR QUOTATION The Local Government Unit of Labason, Z.N., invites all interested registered supplier to submit quotation for the Purchase of One (1) Unit 3 in 1 Printer for RHU: Approved Budget for the Contract (ABC):  11</t>
  </si>
  <si>
    <t xml:space="preserve"> INVITATION TO APPLY FOR ELIGIBILITY AND TO BID The Local Government Unit of Malitbog, Southern Leyte, through its Bids and Awards Committee (BAC) invites to apply for eligibility and if found eligible, to bid for the hereunder: CONSTRUCTION OF MULTI-PURPO</t>
  </si>
  <si>
    <t xml:space="preserve"> CONSTRUCTION/IMPROVEMENT</t>
  </si>
  <si>
    <t xml:space="preserve"> uPVC Pipe 50mm, dia. X 6m, S-8 w/ Rubberings uPVC Pipe 100mm, dia. X 6m, S- 8 w/ Rubberings uPVC Pipe 150mm, dia. X 6m, S- 8 w/ Rubberings</t>
  </si>
  <si>
    <t xml:space="preserve"> PCCP = 0.280 LANE KILOMETER</t>
  </si>
  <si>
    <t xml:space="preserve"> Supply and Delivery of Materials, Labor and Construction of Transmitter House at Mt. Tapyas View Deck, Barangay Poblacion 4, Coron, Palawan. Invitation to Bid  1.	The Municipal Government of Coron, Palawan, through the 2020 Annual Municipal Budget intends</t>
  </si>
  <si>
    <t xml:space="preserve"> July 27, 2020 INVITATION TO BID FOR CONCRETING OF FARM-TO-MARKET ROAD AT SITIO PULO, BRGY. KABULUSAN, MAGALLANES, CAVITE The Municipality of Magallanes, Cavite, through the Budget for the Contract approved by the DILG through Performance Challenge Fund (P</t>
  </si>
  <si>
    <t xml:space="preserve"> 1. 1 LOT - CONSTRUCTION SUPPLIES - 73,123.05 The Complete Schedule of Activities are Listed as Fallows: 1. Submission of Letter of Intent &amp; Eligibility Documents - August 4-7, 2020 @ 8:00am - 5:00pm 2. Issuance of Bid Documents - August 10-14, 2020 @ 8:00</t>
  </si>
  <si>
    <t xml:space="preserve"> Republic of the Philippines Province of Bukidnon MUNICIPALITY OF LIBONA INVITATION TO BID 	The Local Government Unit of libona, through its Bids and Awards Committee (BAC) invites Suppliers/manufacturers/distributors/contractors with to apply for eligibil</t>
  </si>
  <si>
    <t xml:space="preserve"> Republic of the Philippines President Ramon Magsaysay State University (Formerly Ramon Magsaysay Technological University) Iba, Zambales, Philippines Tel/Fax No.: (047) 811-1683 Invitation to Bid for: REHABILITATION/IMPROVEMENT OF UNIVERSITY STRUCTURE/FAC</t>
  </si>
  <si>
    <t xml:space="preserve"> SUPPLY AND DELIVERY OF FLASH DRIVES</t>
  </si>
  <si>
    <t xml:space="preserve"> Department of Public Works and Highways (DPWH) Contract ID: 20G00106 Contract Name: Construction of Permanent Evacuation Center/Multi-Purpose Covered Court (Standard) Location of the Contract: Cabatuan Comprehensive National High School Compound, Cabatuan</t>
  </si>
  <si>
    <t xml:space="preserve"> 1.	The Municipal Government of El Nido, through the 20 % DF BDAF-MALIGAYA, intends to apply the sum of Two Hundred Ninety Seven Thousand One Hundred Seventy Five Pesos (₱ 297,175.00) being the Approved Budget for the Contract (ABC) to payments for the Pro</t>
  </si>
  <si>
    <t xml:space="preserve"> Bicol Medical Center Concepcion Pequeña, Naga City, 4400 (0998-247-0239/0906-256-9238          E-mail Address: bmc.bacoffice@gmail.com INIVITATION TO BID PROCUREMENT OF INTRA-AORTIC BALLOON PUMP (IABP) ITB No. 2020-25 1.	The BICOL MEDICAL CENTER, through </t>
  </si>
  <si>
    <t xml:space="preserve"> Department of Public Works and Highways (DPWH) Contract ID: 20G00105 Contract Name: Construction of Permanent Evacuation Center/Multi-Purpose Covered Court (Standard) Location of the Contract: Brgy. Loong, Concepcion, Iloilo ------------------------------</t>
  </si>
  <si>
    <t xml:space="preserve"> The Local Government Unit of Barugo, through the General Fund intends to apply the sum of Two Hundred Forty Seven Thousand Five Hundred Seventeen Pesos and 81/100 only (Php247,517.81) being the Approved Budget for the Contract (ABC) to payments under the </t>
  </si>
  <si>
    <t xml:space="preserve"> Scope of Work: concreting of 0.15thk x 4.0m wide x 105.0m long road Materials: 1. Cement - 523 bags 2. SAG - 102.19 cu.m 3. RSB - 12 mm x 6.0m -40 -pcs 4. # 18 G.I Wire-5.0 kls 5. Coco Lumber - 50 pcs - 2x6x12' 6. CW Nails assorted - 6 kilos</t>
  </si>
  <si>
    <t xml:space="preserve"> INVITATION TO BID (Public Bidding) 	 The PHILIPPINE SCIENCE HIGH SCHOOL-MIMAROPA REGION CAMPUS (PSHS-MRC), through its Bids and Awards Committee (BAC), invites interested parties to apply for eligibility and to bid for the hereunder Procurement of Laptops</t>
  </si>
  <si>
    <t xml:space="preserve"> 1.00	 unit	 Heavy Duty Copier (Specification: Printing and copying speed&gt;A4: max. 36ppm&gt;A3: max. 18 ppm                   Printing system: Laser Gradation: 256 Paper format: A6-A3, customized paper sizes Dimensions (w x d                   x h): 585 x 660</t>
  </si>
  <si>
    <t xml:space="preserve"> Other General Requirements, Civil, Mechanical, Electrical &amp; Sanitary/Plumbing Works, Earthworks, Plain and Reinforced Concrete Work, Finishing and Other Civil Works, Electrical, Drainage and Slope Protection Structures</t>
  </si>
  <si>
    <t xml:space="preserve"> Section I. Invitation to Bid Republic of the Philippines Province of Bukidnon MUNICIPALITY OF TALAKAG Invitation to Bid for Procurement of Food Stuff  (For MDRRMO Stock Filling of Food Supply) 1.	The Municipality of Talakag through the 5% LDRRMF, intends </t>
  </si>
  <si>
    <t xml:space="preserve"> Republic of the Philippines PROVINCE OF AKLAN Kalibo -oOo- BIDS AND AWARDS COMMITTEE (BAC) INVITATION TO BID 1.	The Provincial   Government   of   Aklan, through   20% IRA Development Fund CY 2019 intends   to   apply   the   sum   of  Four Million Eight </t>
  </si>
  <si>
    <t xml:space="preserve"> Procurement of Materials for the Tire Path Road Concreting</t>
  </si>
  <si>
    <t xml:space="preserve"> SUPPLY AND DELIVERY OF PROCUREMENT OF VARIOUS SUPPLIES (LOT 1. PROCUREMENT OF OFFICE SUPPLIES; LOT 2. PROCUREMENT OF JANITORIAL AND OTHER SUPPLIES; LOT 3. PROCUREMENT OF ICT SUPPLIES</t>
  </si>
  <si>
    <t xml:space="preserve"> Installation of transmission and distribution pipeline(2,640 ln.m) and six(6) units reservoir with roofing &amp; accessories to designated areas.</t>
  </si>
  <si>
    <t xml:space="preserve"> 1 LOT -Digital Event Production, PR, Marketing and Branding Service for DTI-7 Online Programs - (48 sessions of Digital Conferences, Trainings and Workshops ). &gt;Webinar Concept Development &gt;Webinar Creative Branding &gt;Webinar Marketing and PR         Tradi</t>
  </si>
  <si>
    <t xml:space="preserve"> Description   Republic of the Philippines Danao City BIDS AND AWARDS COMMITTEE INVITATION to APPLY for ELIGIBILITY and to BID Supply and Delivery of One (1) Unit Desktop Computer for City Legal Office of the City GOVERNMENT OF DANAO The Local Government o</t>
  </si>
  <si>
    <t xml:space="preserve"> Department of Public Works and Highways (DPWH) Contract ID: 20G00109 Contract Name: Construction of Permanent Evacuation Center/Multi-Purpose Covered Court (Standard) Location of the Contract: Moises Padilla, Negros Occidental ----------------------------</t>
  </si>
  <si>
    <t xml:space="preserve"> DUMANLAS ELEMENTARY SCHOOL GENERAL MERCHANDISE</t>
  </si>
  <si>
    <t xml:space="preserve"> 1.	The Municipal Government of El Nido, through the 20 % DF BDAF-CORONG CORONG, intends to apply the sum of Four Hundred Twenty Seven Thousand Twenty Pesos (₱ 427,020.00) being the Approved Budget for the Contract (ABC) to payments for the Procurement and</t>
  </si>
  <si>
    <t xml:space="preserve"> REQUEST FOR EXPRESSION OF INTEREST (REOI) FOR CONSULTING SERVICES  19CSK00055 – Consulting Services for the Conduct of Soil Testing/Exploration for Bridge Projects - Geotechnical Investigation - Construction of Concrete Bridge, Impasug-ong Bdry. Bukidnon </t>
  </si>
  <si>
    <t xml:space="preserve"> Department of Public Works and Highways (DPWH) Contract ID: 20G00108 Contract Name: Construction of Permanent Evacuation Center/Multi-Purpose Covered Court (Standard) Location of the Contract: Brgy. Taculing, Bacolod City, Negros Occidental --------------</t>
  </si>
  <si>
    <t xml:space="preserve"> Republic of the Philippines Province of Siquijor Municipality of Enrique Villanueva INVITATION TO BID FOR the Purchase Office Supplies 1.	The Local Government Unit of Enrique Villanueva, through the General Fund of 2020 intends to apply the sum of One Hun</t>
  </si>
  <si>
    <t xml:space="preserve"> Description   Republic of the Philippines Danao City BIDS AND AWARDS COMMITTEE INVITATION to APPLY for ELIGIBILITY and to BID Supply and Delivery of IT Equipment for City Admin./Waterworks Division of the City GOVERNMENT OF DANAO The Local Government of D</t>
  </si>
  <si>
    <t xml:space="preserve"> Republic of the Philippines Province of Bukidnon MUNICIPALITY OF LIBONA INVITATION TO BID 23-20cw 1.	The Local Government Unit of libona, through its Bids and Awards Committee (BAC) invites contractors registered with and classified by the Philippine Cont</t>
  </si>
  <si>
    <t xml:space="preserve"> Description   Republic of the Philippines Danao City BIDS AND AWARDS COMMITTEE INVITATION to APPLY for ELIGIBILITY and to BID Supply and Delivery of One (1) Unit Copier (CENRO) of the City GOVERNMENT OF DANAO The Local Government of Danao City, through th</t>
  </si>
  <si>
    <t xml:space="preserve"> REQUEST FOR QUOTATION											 											 RFQ No.		SVP 20-0875				Date				7/23/2020	 PR Reference		100-20-07-015				Implementing Office				GSO	 Closing Date and Time											 Designated Places of Submission (Bid Box Designated Locations)						1. BAC </t>
  </si>
  <si>
    <t xml:space="preserve"> Supply and Delivery</t>
  </si>
  <si>
    <t xml:space="preserve"> REQUEST FOR EXPRESSION OF INTEREST (REOI) FOR CONSULTING SERVICES  19CSK00054 – Consulting Services for the Conduct of Soil Testing/Exploration for Bridge Projects - Geotechnical Investigation - Construction of Concrete Bridge, Magsaysay-Butuan City Coast</t>
  </si>
  <si>
    <t xml:space="preserve"> DOUBLE CAB 4X4   FOUR(4) / SIX(6) WHEELER   4 CYLINDER DIESEL ENGINE   2,835 CC   94 HP   FIVE (5) SPEED MANUAL TRANSMISSION   KC TYPE   POWER STEERING   4X4   SUSPENSION TYPE   SIZE OF TIRE (185)/R14)  COMPLETE ACCESSORIES AND LTO REGISTRATION AND INSURA</t>
  </si>
  <si>
    <t xml:space="preserve"> Teachers essential for on line class</t>
  </si>
  <si>
    <t xml:space="preserve"> Installation of 15 sets 40W Solar Street Lights at General Emilio Aguinaldo Monument</t>
  </si>
  <si>
    <t xml:space="preserve"> Please see attached PR</t>
  </si>
  <si>
    <t xml:space="preserve"> The program of work is available at the Bids and Awards Committee Secretariat MPDC-2nd Floor Lasam Municipal Town Hall</t>
  </si>
  <si>
    <t xml:space="preserve"> CLARK DEVELOPMENT CORPORATION CLARK FREEPORT ZONE INVITATION TO BID The Clark Development Corporation, through its Bids and Awards Committee (BAC), invites contractors registered with and classified by the Philippine Contractors Accreditation Board (PCAB)</t>
  </si>
  <si>
    <t xml:space="preserve"> Improvement of Mini-Park and its Sorroundings and Improved Multi-Purpose Enhancement Center with Fence, Parking Area &amp; Landscape, with stable electrical connection.</t>
  </si>
  <si>
    <t xml:space="preserve"> Job request submitted by Virgie P. Celestial  1 1 lot	 To supply labor services and materials for the pesticide residues extraction and analysis specifically diuron and 2,4-D for: 1.	Sugarcane soil (monthly for one (1) year or until the target compounds a</t>
  </si>
  <si>
    <t xml:space="preserve"> Ceiling and masonry</t>
  </si>
  <si>
    <t xml:space="preserve"> Republic of the Philippines Province of Nueva Vizcaya Municipality of Solano -o0o- INVITATION TO BID FOR Construction of Child Development Center (CDC) Brgy. Bagahabag, SNV.   (SOLANO 087-2020) 1.	The Local Government Unit of Solano, Nueva Vizcaya through</t>
  </si>
  <si>
    <t xml:space="preserve"> Description   Republic of the Philippines Danao City BIDS AND AWARDS COMMITTEE INVITATION to APPLY for ELIGIBILITY and to BID Supply and Delivery of One (1) Unit Desktop Computer (CENRO) of the City GOVERNMENT OF DANAO The Local Government of Danao City, </t>
  </si>
  <si>
    <t xml:space="preserve"> Republic of the Philippines Province of Cagayan Tuguegarao City Invitation to Bid for  Cluster 9 Construction of Multi – Purpose Building Centro Norte Alcala, Cagayan and Installation of Barangay Street Lights along Anquiray Amulung Cagayan               </t>
  </si>
  <si>
    <t xml:space="preserve"> 102(1) ROADWAY EXCAVATION 96 CU.M PARTC DECKING 44 LN.M 1208(2)B2 GI PIPE RAILINGS 40 LN.M 900(1) STRUCTURAL CONCRETE 12.50 CU.M 1032(1) PAINTING WORKS 356 SQ.M B.5 PROJECT BILLBOARD/SIGNBOARD 1 EACH</t>
  </si>
  <si>
    <t xml:space="preserve"> City of Cadiz Bids and Awards Committee BID FORM 							 Atty. Reggie C. Placido Chairman  Bids and Awards Committee Sir: 	 	After having carefully read and accepted the conditions in the Invitation to Bid, I/We quote you on the item at prices noted below</t>
  </si>
  <si>
    <t xml:space="preserve"> Republic of the Philippines Province of Cagayan Tuguegarao City Invitation to Bid for Construction of School Multi -Purpose Building Cagumitan E/S, Cagumitan, Tuao, Cagayan 1.	The Provincial Government of Cagayan, through the General Fund CY 2020 intends </t>
  </si>
  <si>
    <t xml:space="preserve"> PART B OTHER GENERAL REQUIREMENTS B.5 PROJECT BILLBOARD/SIGNBOARD 1 LOT ITEM 1047 STRUCTURAL STEEL 1047(2)B ROOF TRUSS 7,808.06 KGS 1047(2)C STRUCTURAL STEEL PURLINS 1,766.25 KGS PART B PLAIN AND REINFORCED CONCRETE WORKS 900(1)B4 STRUCTURAL CONCRETE (COL</t>
  </si>
  <si>
    <t xml:space="preserve"> The Municipality of Concepcion, through the Municipal Department of Agriculture, intends to apply the sum of Php 630,100.00 being the Approved Budget for the Contract (ABC) to payments under the contract for the URBAN GREENING AND REFORESTATION with solic</t>
  </si>
  <si>
    <t xml:space="preserve"> Department of Public Works and Highways (DPWH) Contract ID: 20G00107 Contract Name: Construction of Permanent Evacuation Center/Multi-Purpose Covered Court (Standard) Location of the Contract: Brgy. III, Himamaylan City, Negros Occidental ----------------</t>
  </si>
  <si>
    <t xml:space="preserve"> 240   PCS     BATTERY AAA 1675 GAL     ISOPROPHYL 70% ALCOHOL 1675 GAL     DISINFECTANT 378   PCS     FOOT TRAY</t>
  </si>
  <si>
    <t xml:space="preserve"> INVITATION TO BID  CONSTRUCTION OF ROAD PROTECTION (SEA WALL) IN BARANGAY BIONG  LGU-GIGMOTO, CATANDUANES 		 July 27, 2020 1.	The Municipal Government of Gigmoto, through Assistance to Municipalities (AM) FY 2020 intends to apply the sum of Eleven Million</t>
  </si>
  <si>
    <t xml:space="preserve"> 1.The Provincial Government of Davao Del Norte, through Trust Fund (NHA), intends to apply the sum of Forty Four Million Pesos (Php 44,000,000.00) and being the Approved Budget for the Contract (ABC) to payment under the contract with Project ID/PR Nos.  </t>
  </si>
  <si>
    <t xml:space="preserve"> Item Description	Unit	Quantity CEFALEXIN 100mg drops	btls	250 CEFALEXIN 125mg susp.	btls	260 CEFALEXIN 250mg susp. 60ml	btls	250 CEFUROXIME 125mg/5mg. Susp.	btls	200 CEFUROXIME 250mg/5mg. susp	btls	200 CO-AMOXICLAV 125mg/5ml susp.	btls	200 CO-AMOXICLAV 25</t>
  </si>
  <si>
    <t xml:space="preserve"> Republic of the Philippines Province of Cagayan Tuguegarao City Invitation to Bid for Construction of Cadaver Holding Area, Material Recovery Facility, Repair of Toilets, Windows Screen, Repair of Admin Building and General Electrical Rewiring Nuestra Señ</t>
  </si>
  <si>
    <t xml:space="preserve"> Embankment Concrete Pavement</t>
  </si>
  <si>
    <t xml:space="preserve"> Republic of the Philippines PROVINCE OF AKLAN Kalibo -oOo- BIDS AND AWARDS COMMITTEE (BAC) INVITATION TO BID 1.	The Provincial   Government   of   Aklan, through   Improvement/Rehabilitation of Provincial Office Building (Capital Outlay CY 2020) intends  </t>
  </si>
  <si>
    <t xml:space="preserve"> 103(3)a INDIVIDUAL REMOVAL OF TREES 30 EACH 102(2) SURPLUS COMMON EXCAVATION 4,500 CU.M B.5 PROJECT BILLBOARD/SIGNBOARD 1 EACH</t>
  </si>
  <si>
    <t xml:space="preserve"> 1.	400		pcs.		Plastic Envelope w/ handle		 2.	200		pcs.		Notebook (Assorted)		 3.	400		pcs.		Mongol Pencil		 4.	800		pcs.		Ballpen (Assorted)		 5.	400		pcs.		Pad Paper (Assorted)		 6.	400		pcs.		Sharpener		 7.	400		pcs.		Eraser		 8.	200		pcs.		Jumbo Penci</t>
  </si>
  <si>
    <t xml:space="preserve"> This project entails labor and  materials for the Rehabilitation of Concrete Pathway at Brgy. Tula Tula Norte funded of BDF 2020.</t>
  </si>
  <si>
    <t xml:space="preserve"> CONSTRUCTION</t>
  </si>
  <si>
    <t xml:space="preserve"> REPUBLIC OF THE PHILIPPINES																																	 	PROVINCE OF ZAMBOANGA DEL NORTE																																	 	MUNICIPALITY OF PRES. MANUEL A. ROXAS																																	 	BIDS AND AWARDS COMMITTEE																														</t>
  </si>
  <si>
    <t xml:space="preserve"> Republic of the Philippines PROVINCE OF AKLAN Kalibo -oOo- BIDS AND AWARDS COMMITTEE (BAC) INVITATION TO BID 1.	The Provincial   Government   of   Aklan, through   20% IRA Development Fund CY 2020  intends   to   apply   the   sum   of  Four Million Eight</t>
  </si>
  <si>
    <t xml:space="preserve"> Description   Republic of the Philippines Danao City BIDS AND AWARDS COMMITTEE INVITATION to APPLY for ELIGIBILITY and to BID Supply and Delivery of Three (3) Units Laptop for CDRRM Office of the City GOVERNMENT OF DANAO The Local Government of Danao City</t>
  </si>
  <si>
    <t xml:space="preserve"> IMPROVEMENT</t>
  </si>
  <si>
    <t xml:space="preserve"> Republic of the Philippines PROVINCE OF AKLAN Kalibo -oOo- BIDS AND AWARDS COMMITTEE (BAC) INVITATION TO BID 1.	The Provincial   Government   of   Aklan, through   SEF Supplemental Budget No. 1 CY 2019 intends   to   apply   the   sum   of  Four Million O</t>
  </si>
  <si>
    <t xml:space="preserve"> Local Government Unit of Cordon Invitation to Bid for LOT 1- SPRING DEVELOPMENT PROJECT (WATER SUPPLY LEVEL II) AND LOT 2- CONSTRUCTION OF DOUBLE BARREL CONCRETE BOX CULVERT AT SITIO KAKANDUNGAN, VILLAMIEMBAN, CORDON, ISABELA. 1.	The Local Government Unit</t>
  </si>
  <si>
    <t xml:space="preserve"> OPENING OF BIDS IN DSWD FO IX ZAMBOANGA CITY				 DELIVERY IN DSWD-AVRC III MAMPANG, ZAMBOANGA CITY				 PROCUREMENT FOR THE FF.:				 				 1	UNIT	SPHYGMOMANOMETER (POTABLE WITH WHEELS)	@	 10,000.00  1	UNIT	BP APPARATUS (ANEROID)	@	 3,000.00  1	UNIT	STETHOSC</t>
  </si>
  <si>
    <t xml:space="preserve"> INVITATION TO BID  The DPWH – Cavite II District Engineering Office, through its Bids and Awards Committee (BAC), invites contractors to submit bids for the following Contract:  1.	Contract I.D. No.	:	20DG0044         Contract Name           :   	Construc</t>
  </si>
  <si>
    <t xml:space="preserve"> Republic of the Philippines Province of Bukidnon MUNICIPALITY OF LIBONA Barangay Government Unit of Laturan INVITATION TO BID 	The Barangay Government Unit of Laturan, through its Bids and Awards Committee (BAC) invites Suppliers/manufacturers/distributor</t>
  </si>
  <si>
    <t xml:space="preserve"> 1.	The Bureau of Soils and Water Management, through the General Appropriation Act for CY 2020 intends to apply the sum of One Million Two Hundred Fifty Thousand pesos (Php 1,250,000.00) being the Approved Budget for the Contract (ABC) to payments under t</t>
  </si>
  <si>
    <t xml:space="preserve"> The Municipality of Malangas, through the Bids and Award Committee (BAC), invites suppliers/manufactures/distributors/contractors to bid for the hereunder contract: Name of Project	: RENOVATION OF MARKET BUILDING Brief Description of the project:  Rehabil</t>
  </si>
  <si>
    <t xml:space="preserve"> Republic of the Philippines PROVINCE OF SOUTHERN LEYTE Maasin City Invitation to Bid for the Procurement of Consulting Services    Contract ID # 2020-07-28-445PG 1.	The Provincial Government of Southern Leyte through the PGO Consulting Services Expenses i</t>
  </si>
  <si>
    <t xml:space="preserve"> Republic of the Philippines PROVINCE OF SOUTHERN LEYTE Maasin City Invitation to Bid for the Construction of Southern Leyte COVID Testing Center SOYMPH, Brgy. Dongon, Maasin City, Southern Leyte Contact ID # - 2020-08-18-058CW 1.	The Provincial Government</t>
  </si>
  <si>
    <t xml:space="preserve"> SCOPE OF WORKS: I. HAULING OF SURFACE MATERIALS II. HAULING OF SURFACE MATERIALS III. SPREADING OF SURFACE MATERIALS IV. CLEARING OF DE-CLOGGING CANAL   A. FREE MATERIALS B. EQUIPMENT REQUIRED:      I. 1 UNIT DUMP TRUCK                                    </t>
  </si>
  <si>
    <t xml:space="preserve"> INVITATION TO BID IB No. 25,   S. 2020 The Municipality of General Nakar, Quezon through the Approved Appropriation Ordinance No. 2019-29  appropriating funds for the Annual Budget CY 2020 intends to apply the sum of  Three Million Pesos (PhP3,000,000.00)</t>
  </si>
  <si>
    <t xml:space="preserve"> The Zamboanga State College of Marine Sciences and Technology (ZSCMST), through its Bids and Awards Committee, is inviting PhilGeps registered suppliers to apply for eligibility and to submit bids for the items mentioned hereunder: B-045-2020-A SUPPLY AND</t>
  </si>
  <si>
    <t xml:space="preserve"> The Zamboanga State College of Marine Sciences and Technology (ZSCMST), through its Bids and Awards Committee, is inviting PhilGeps registered suppliers to apply for eligibility and to submit bids for the items mentioned hereunder: B-044-2020  PROCUREMENT</t>
  </si>
  <si>
    <t xml:space="preserve"> 1.	The Municipal Government of El Nido, through the General Fund intends to apply the sum of Two Million Five Hundred Thousand Pesos (P 2,500,000.00) being the Approved Budget for the Contract (ABC) to payments for the Construction of Road at So. Caalan, </t>
  </si>
  <si>
    <t xml:space="preserve"> REPUBLIC OF THE PHILIPPINES PROVINCE OF RIZAL MUNICIPALITY OF ANGONO Barangay San Vicente INVITATION TO BID FOR  PROCUREMENT OF MINI DUMPTRUCK 1.	Barangay San Vicente, Angono, Rizal, through the 20% Development Fund  intends to apply the sum of One Millio</t>
  </si>
  <si>
    <t xml:space="preserve"> Facilities for the Engineer, Other General Requirements, Earthworks, Plain and Reinforced Concrete Works, Finishing and Other Civil Works, Electrical Works and Mechanical Works</t>
  </si>
  <si>
    <t xml:space="preserve"> EXCAVATION CONCRETE WORKS</t>
  </si>
  <si>
    <t xml:space="preserve"> The Zamboanga State College of Marine Sciences and Technology (ZSCMST), through its Bids and Awards Committee, is inviting PhilGeps registered suppliers to apply for eligibility and to submit bids for the items mentioned hereunder: B-043-2020  CONTINUOUS </t>
  </si>
  <si>
    <t xml:space="preserve"> Installation of Aluminum Framed Windows</t>
  </si>
  <si>
    <t xml:space="preserve"> 1	Packing Oil Seal	7	set 2	GSM Battery	2	pcs 3	Fuel Filter	1	pc 4	Oil Filter	1	pc 5	Hydraulic Filter	2	pcs 6	Plain Sheet	2	pcs 7	Air Cleaner	1	pc 8	Fan Belt	1	pc 9	Coolant	5	Itrs 10	Fog Light Assembly	2	set 11	Oil# 10	6	pale 12	Wind Shield Front	1	pc 13	S</t>
  </si>
  <si>
    <t xml:space="preserve"> Conctract ID No.:	:	20K00270 Conctract Name:	:	Construction of Multi-Purpose Building (Public Market) Butig, Lanao del Sur Conctract Location:	:	Lanao del Sur Scope of Work:	:	Construction of Multi-Purpose Building Appropriation:	:	PHP 2,000,000.00  ABC:	</t>
  </si>
  <si>
    <t xml:space="preserve"> LABOR AND MATERIALS FOR THE CONCRETING OF MUNICIPAL ROADS/STREETS AT POBLACION,BADIAN,CEBU</t>
  </si>
  <si>
    <t xml:space="preserve"> 1.	The Municipality of Consolacion, through the General Fund intends to apply the sum of One Million Twenty-Two Thousand Nine Hundred Seventy-Five Pesos (P 1,022,975.00) being the Approved Budget for the Contract (ABC) to payments under the contract for P</t>
  </si>
  <si>
    <t xml:space="preserve"> Item of Description	Unit of Issue	Quantity Backfold Clip, 19mm	box	2 Backfold Clip, 25mm	box	2 Backfold Clip, 32mm	box	1 Backfold Clip, 51mm	box	4 Ballpen Retractable Refill, Fine, black	piece	34 Ballpen, 0.5, Black BPS Fine 	piece	36 Ballpen, black, 0.5m</t>
  </si>
  <si>
    <t xml:space="preserve"> Republic of the Philippines PROVINCE OF SOUTHERN LEYTE Maasin City Invitation to Bid for the Construction of  Pigpen Barangay Buenavista, Bontoc, Southern Leyte Contact ID # - 2020-08-18-059CW 1.	The Provincial Government of Southern Leyte, through the Ge</t>
  </si>
  <si>
    <t xml:space="preserve"> Republic of the Philippines CITY GOVERNMENT OF SAN FERNANDO City Hall Building, F. Ortega Highway Tel. No. (072)8886901, (072) 867-8100/Fax No. (072)8886907 Website: www.sanfernandocity.gov.ph Email: csflu_98@yahoo.com INVITATION TO BID FOR  PROCUREMENT O</t>
  </si>
  <si>
    <t xml:space="preserve"> Republic of the Philippines PROVINCE OF AKLAN Kalibo -oOo- BIDS AND AWARDS COMMITTEE (BAC) INVITATION TO BID  1.	The Provincial Government of Aklan through the PGO Capital Outlay CY 2020 intends to apply the sum of Seven Hundred Twenty Five Thousand Pesos</t>
  </si>
  <si>
    <t xml:space="preserve"> PCCP - 0.276 LANE KM</t>
  </si>
  <si>
    <t xml:space="preserve"> 1.	The Laguna State Polytechnic University, through GAA Fund intends to apply the sum of two million one hundred thirty thousand pesos only (Php2,130,000.00) being the Approved Budget for the Contract (ABC) to payments under the contract for the Procureme</t>
  </si>
  <si>
    <t xml:space="preserve"> Quantity	Unit	Description 750	gals	Acid Concentrate 10L  1500	gals	Bicarbonate Concentrate 34	bxs	Boodlines w/ Filter 24's 5	gals	Citrosteril 5	pcs	Disafe Plus 100	pcs	Dialyzer F8 Low Flux 6	bxs	Fistula Needle (Arterial) 50's 6	bxs	Fistula  Needle (Venous</t>
  </si>
  <si>
    <t xml:space="preserve"> Republic of the Philippines Province of Cagayan Municipality of Piat -o0o- OFFICE OF THE BIDS AND AWARDS COMMITTEE (BAC) INVITATION TO BID FOR PROCUREMENT OF DIESEL ENGINE FOR MINI DUMP TRUCK                                       The Local Government Unit</t>
  </si>
  <si>
    <t xml:space="preserve"> Purchased of Movable tent</t>
  </si>
  <si>
    <t xml:space="preserve"> Contract ID No.	: 20K00354     Contract Name	: Construction/Rehabilitation of Water Supply/Septage and Sewerage/ Rain Water Collectors in Region X 1.	Const. of Rainwater Collection System(RWCS),Balongkot ES, Brgy. Dansolihon, Cagayan de Oro City          </t>
  </si>
  <si>
    <t xml:space="preserve"> Kindly see attached Documents</t>
  </si>
  <si>
    <t xml:space="preserve"> SUPPLIES FOR ROUTINE LABORATORY AND PRENATAL SERVICES</t>
  </si>
  <si>
    <t xml:space="preserve"> Republic of the Philippines DEPARTMENT OF PUBLIC WORKS AND HIGHWAYS Region VII            South Road Properties (SRP), Cebu City                                        Contract ID	: 20H00081 Contract Name : Proposed Improvement of Storage Room for Nationa</t>
  </si>
  <si>
    <t xml:space="preserve"> SUPPLIES DRUGS AND MEDICINES</t>
  </si>
  <si>
    <t xml:space="preserve"> Municipality of San Juan, Siquijor						Project Reference No.: 				 						Name of Project: MHO				 						Location of Project:RHU, San Juan, Siquijor				 Standard Form Number: SF-GOOD-60										 Revised on: May 24, 2004										 Standard Form Title: Req</t>
  </si>
  <si>
    <t xml:space="preserve"> REPUBLIC OF THE PHILIPPINES PROVINCE OF LA UNION MUNICIPALITY OF CABA BIDS AND AWARDS COMMITTEE INVITATION TO BID FOR THE PROCUREMENT OF INFRASTRUCTURE PROJECT OF THE MUNICIPALITY The Local Government Unit of Caba, La Union, through the DBM-LGSF intends t</t>
  </si>
  <si>
    <t xml:space="preserve"> Please refer to the attached Bid Documents for more details.</t>
  </si>
  <si>
    <t xml:space="preserve"> Description   Republic of the Philippines Danao City BIDS AND AWARDS COMMITTEE INVITATION to APPLY for ELIGIBILITY and to BID Supply and Delivery of Six (6) sets Venetian Blinds for City Accounting Office of the City GOVERNMENT OF DANAO The Local Governme</t>
  </si>
  <si>
    <t xml:space="preserve"> Lot 2 - Supply and Delivery of Various Inks and Cartridges for Various Existing printer of CF-Bacolod</t>
  </si>
  <si>
    <t xml:space="preserve"> I CARPENTRY WORKS</t>
  </si>
  <si>
    <t xml:space="preserve"> Repair and Maintenance of Road Safety Facilities</t>
  </si>
  <si>
    <t xml:space="preserve"> Lot - 1 Supply and Delivery of Office Supplies</t>
  </si>
  <si>
    <t xml:space="preserve"> REPUBLIC OF THE PHILIPPINES																																								 	PROVINCE OF ZAMBOANGA DEL NORTE																																								 	MUNICIPALITY OF PRES. MANUEL A. ROXAS																																								 	BIDS AND AWARDS COMMITTEE									</t>
  </si>
  <si>
    <t xml:space="preserve"> !.00       lot      Concrete Works</t>
  </si>
  <si>
    <t xml:space="preserve"> IMPROVEMENT OF BARANGAY HALL</t>
  </si>
  <si>
    <t xml:space="preserve"> Repair and Improvement of  Brgy. Annex, Anak Paiws Floodway, San Juan, Cainta, Rizal</t>
  </si>
  <si>
    <t xml:space="preserve"> Republic of the Philippines Province of Capiz Municipality of Tapaz INVITATION TO BID  Supply and Delivery of 200 Sacks Clean Rice, Tapaz, Capiz. 1.	The Municipality of Tapaz, through the (Promotion of Peace and Order and Welfare Fund) intends to apply th</t>
  </si>
  <si>
    <t xml:space="preserve"> 1.	The Municipality of Consolacion, through the 20% EDF intends to apply the sum of One Million Nine Hundred Sixty-Seven Thousand Nine Hundred Forty-Nine Pesos and 40/100 (P 1,967,949.40) being the Approved Budget for the Contract (ABC) to payments under </t>
  </si>
  <si>
    <t xml:space="preserve"> Concreting of 20mx5mx.15m</t>
  </si>
  <si>
    <t xml:space="preserve"> 1.	The Municipality of Consolacion, through the Barangay Funds intends to apply the sum of One Million Eight Hundred Seventeen Thousand Nine Hundred Eighty-Three Pesos and 45/100 (P 1,817,983.45) being the Approved Budget for the Contract (ABC) to payment</t>
  </si>
  <si>
    <t xml:space="preserve"> National Power Corporation INVITATION TO BID PUBLIC BIDDING 2020-0229 1.	The NATIONAL POWER CORPORATION (NPC), through       its        approved       Corporate Budget of CY 2020 intends to apply   the   sum   of (Please see schedule below) being the Appr</t>
  </si>
  <si>
    <t xml:space="preserve"> Description   Republic of the Philippines Danao City BIDS AND AWARDS COMMITTEE INVITATION to APPLY for ELIGIBILITY and to BID Supply and Delivery of IT Equipment (CMO/EDP) of the City GOVERNMENT OF DANAO The Local Government of Danao City, through the CMO</t>
  </si>
  <si>
    <t xml:space="preserve"> Republic of the Philippines MUNICIPALITY OF CABUGAO Ilocos Sur Invitation to Bid for the Construction of Multi-Purpose Building, @ Brgy. Alinaay (Proper), Cabugao, Ilocos Sur 1. The Local Government Unit of Cabugao, Ilocos Sur, through the R.A. 7171 under</t>
  </si>
  <si>
    <t xml:space="preserve"> BIDS AND AWARDS COMMITTEE – SECURITY PLANT COMPLEX INVITATION TO BID 1. The Bangko Sentral ng Pilipinas (BSP), through its Bids and Awards Committee – Security Plant Complex (BAC-SPC), invites Bidders to apply for eligibility and to bid for the hereunder </t>
  </si>
  <si>
    <t xml:space="preserve"> 150 bags Bentonite, 25kgs Please quote your BEST offer for the above item that will not exceed the Approved Budget Cost amounting to Php150,000.00 In compliance to documentary requirements of alternative mode of procurement: NP-Small Value Procurement, pl</t>
  </si>
  <si>
    <t xml:space="preserve"> REPUBLIC OF THE PHILIPPINES																																				 		PROVINCE OF ZAMBOANGA DEL NORTE																																				 		MUNICIPALITY OF PRES. MANUEL A. ROXAS																																				 		BIDS AND AWARDS COMMITTEE																		</t>
  </si>
  <si>
    <t xml:space="preserve"> Republic of the Philippines Province of Sarangani Municipality of Alabel oooOooo INVITATION TO BID FOR PROCUREMENT OF various post harvest machineries 1.The Municipality of Alabel, through the Annual Budget for CY 2020 [  Ibid.] intends to apply the sum o</t>
  </si>
  <si>
    <t xml:space="preserve"> This project entails labor and materials for the construction of Multi-Purpose Building Phase III funded out BDF 2020.</t>
  </si>
  <si>
    <t xml:space="preserve"> Pls. quote the project stated below: 1.     Concreting of Municipal Road  -  l.s. NOTE:                      Opening of Bids will be on  August 11, 2020 @ 1:00 pm</t>
  </si>
  <si>
    <t xml:space="preserve"> 1.	The Municipal Government of El Nido, through the Continuing Approp. 2019, Purchase of Speed boat Supplemental #2-Non –Office, Additional Fund For Speed boat-Non-Office Supplemental #3 CY 2020, intends to apply the sum of Two Million Pesos (P 2,000,000.</t>
  </si>
  <si>
    <t xml:space="preserve"> INVITATION TO BID FOR THE SUPPLY &amp; DELIVERY OF PHOTOCOPIER TO BE DISTRIBUTED IN VARIOUS SCHOOLS IN MUNTINLUPA CITY 1.	The City Government of Muntinlupa, through its 2020 continuing appropriation from the 2019 Supplemental Budget, intends to apply the sum </t>
  </si>
  <si>
    <t xml:space="preserve"> REQUEST FOR EXPRESSION OF INTEREST (REOI) Hiring of Consultancy Services (Individual Consultant) Solicitation No. PSO-VIS-SIC-004-20 EPC: Php 180,000.00 1. The Government of the Philippines has received a loan from the World Bank towards the cost of the P</t>
  </si>
  <si>
    <t xml:space="preserve"> INVITATION TO BID FOR Procurement of DRR Rescue Vehicle (5 Units Motorcycle) 1.	The Municipal Government of Kawit, through the Trust Fund (LGSF-Assistance to Municipalities (AM)-2019) intends to apply the sum of Six Hundred Seventy Five Thousand and 00/10</t>
  </si>
  <si>
    <t xml:space="preserve"> REQUEST FOR QUOTATION Procurement of Goods [Shredder Machine][Repost] The   City Government of Tagbilaran, through its Bids and Awards Committee (BAC) intends to apply the sum of Sixty-Five Thousand (P65,000.00) pesos onlybeing the Approved Budget for the</t>
  </si>
  <si>
    <t xml:space="preserve"> July 27, 2020 1.	The Provincial Government of Davao del Sur, through its Special Bids and Awards Committee (SBAC), invites all potential bidders/contractors to apply to bid for the following project. Bids submitted in excess of the ABC shall be automatica</t>
  </si>
  <si>
    <t xml:space="preserve"> REQUEST FOR EXPRESSION OF INTEREST (REOI) Hiring of Consultancy Services (Individual Consultant) Solicitation No. PSO-VIS-SIC-003-20 EPC: Php 120,000.00 1. The Government of the Philippines has received a loan from the World Bank towards the cost of the P</t>
  </si>
  <si>
    <t xml:space="preserve"> Supply and Delivery of Inks, Master and Toners for Existing Risograph Machine and Ineo Printers</t>
  </si>
  <si>
    <t xml:space="preserve"> 1 UNIT MOTORCYCLE - . - single cylinder - air-cooled - 4-stroke - displacement ( 150 cc ) - front tire ( 2.75-17 ) - rear tire ( 3.00-17 ) - free helmet,GSIS Insurance &amp; LTO Registration</t>
  </si>
  <si>
    <t xml:space="preserve"> REQUEST FOR EXPRESSION OF INTEREST (REI) CONSULTANCY SERVICES FOR THE CONDUCT OF SUB-SURFACE SOIL EXPLORATION AND GEOTECHNICAL INVESTIGATION (BORING) FOR THE CONSTRUCTION/ MAINTENANCE OF FLOOD MITIGATION STRUCTURES &amp; DRAINAGE SYSTEMS, FIRST LEGISLATIVE DI</t>
  </si>
  <si>
    <t xml:space="preserve"> Republic of the Philippines CITY GOVERNMENT OF SAN FERNANDO City Hall Building, F. Ortega Highway Tel. No. (072)8886901, (072) 867-8100/Fax No. (072)8886907 Website: www.sanfernandocity.gov.ph Email: csflu_98@yahoo.com INVITATION TO BID FOR  Procurement o</t>
  </si>
  <si>
    <t xml:space="preserve"> Contract ID	20 – 0029 – S Contract Name 	Repair/Maintenance of Roads along MSR, Jct. Lopez-Catanauan Road, K0217+(-)890 - K0236+128 (Intermittent Section) (3rd Quarter) Approved Budget for the Contract (ABC)	 P          998,000.00 Purchase Request No:	20-</t>
  </si>
  <si>
    <t xml:space="preserve"> REQUEST FOR QUOTATION Procurement of Goods [Submersible Motor and Submersible Pump][Repost] 	 The   City Government of Tagbilaran, through its Bids and Awards Committee (BAC) intends to apply the sum of One Hundred Forty-Five Thousand Seven Hundred Sevent</t>
  </si>
  <si>
    <t xml:space="preserve"> 1	Portland Cement	82	bags. 2	4" THK CHB	700	pcs. 3	Sand (Sariaya)	7	cu.m. 4	Gravel (Sariaya)	4	cu.m. 5	12mmØ x 6m RSB	60	pcs. 6	10mmØ x 6m RSB	90	pcs. 7	#16 Tie Wire	10	kls. 8	20mm x 50mm x 75mm x 60m C- Purlins	30	pcs. 9	6mm x 50mm x 50mm x 6.0m Angle Ba</t>
  </si>
  <si>
    <t xml:space="preserve"> Construction of Water System, Sitio Buga, Brgy. Danao, Janiuay, Iloilo Item No.	DESCRIPTION	Qty.	Unit I.	EARTHWORKS:		 I.A.	EXCAVATION OF PIPELINE TRENCH	70.20	CU.M. I.B.	BACKFILLING OF PIPELINE TRENCH	70.20	CU.M. II.	WELL DEVELOPMENT	1.00	LOT II.A.	DUG W</t>
  </si>
  <si>
    <t xml:space="preserve"> 1) 8 shts MPW 1/4" thk 2) 2 shts MPW 3/4" thk 3) 20 lgths 2 x 2 x 12 good lumber 4) 2 kls CW Nails #4 5) 2 kls CW Nails 1 1/2 6) 2 kls CW Nails #2 7) 2 gals QDE White 8) 2 pcs Baby Roller 9) 2 pcs Paint Brush #2 10) 2 gals Flat Enamel 11) 1 gal Paint Thin</t>
  </si>
  <si>
    <t xml:space="preserve"> Republic of the Philippines 	CITY OF SAN PEDRO Province of Laguna BIDS AND AWARDS COMMITTEE INVITATION TO APPLY FOR ELIGIBILITY AND TO BID PR NO. 0541 1.	The City Government of San Pedro, Laguna through the Philheath Fund intends to apply the sum of Php 1</t>
  </si>
  <si>
    <t xml:space="preserve"> REQUEST FOR EXPRESSION OF INTEREST (REI) CONSULTANCY SERVICES FOR THE CONDUCT OF SUB-SURFACE SOIL EXPLORATION AND GEOTECHNICAL INVESTIGATION (BORING) FOR THE CONSTRUCTION/ MAINTENANCE OF FLOOD MITIGATION STRUCTURES &amp; DRAINAGE SYSTEMS, LONE LEGISLATIVE DIS</t>
  </si>
  <si>
    <t xml:space="preserve"> Republic of the Philippines Department of Public Works and Highways Pampanga 3rd District Engineering Office San Francisco Street, Brgy. Pampang, Angeles City Region III Telephone Nos. (045) 323-5782 / 887-5249 DPWH-INFR-04-2016 INVITATION TO BID The Depa</t>
  </si>
  <si>
    <t xml:space="preserve"> Republic of the Philippines Cordillera Administrative Region Province of Kalinga B A L B A L A N MUNICIPALITY OF BALBALAN Invitation to Apply for Eligibility and to Bid for the CONSTRUCTION OF BALLAYANGON COMMUNAL IRRIGATION SYSTEM (PUDAYAN-BOTOL), ABABA-</t>
  </si>
  <si>
    <t xml:space="preserve"> CONCRETING OF TIMAMANA-SAN ISIDRO-GUINOB-AN-MARAYAG ROAD MUNICIPALITY OF TUBOD, SURIGAO DEL NORTE Brief Description:	The project will involve the Concreting of Timamana-San Isidro-Guinob-an-Marayag Road with the following scope of works: Construction of F</t>
  </si>
  <si>
    <t xml:space="preserve"> Republic of the Philippines CITY GOVERNMENT OF ANTIPOLO Antipolo City INVITATION TO BID For the Supply and Delivery of Hardware &amp; Construction Materials The City Government of Antipolo, through the General Fund intends to apply the sum of  P 2,317,495.00 </t>
  </si>
  <si>
    <t xml:space="preserve"> 1.	1000		pcs.		Notebook (Assorted)	 2.	150		pcs.		Plastic Envelope w/ handle	 3.	300		pcs.		Mongol Pencil	 4.	400		pcs.		Ballpen (Assorted)	 5.	150		pcs.		Pad Paper (Assorted)	 6.	50		pcs.		Intermediate Pad Paper	 7.	75		pcs.		Crayola #8	 8.	200		pcs.		Sh</t>
  </si>
  <si>
    <t xml:space="preserve"> 1.	The Sultan Kudarat Water District, through the Corporate Budget Approved by the Governing Board  intends to apply the sum of P 2,520,000.00 being the Approved Budget for the Contract (ABC) to payments under the contract. Bids received in excess of the </t>
  </si>
  <si>
    <t xml:space="preserve"> Repair and Improvement of Lupon Office Barangay San Juan, Cainta, Rizal</t>
  </si>
  <si>
    <t xml:space="preserve"> Please quote your lowest price on the item(s)  listed below, subject to the Terms and Condition Stated										 below and submit your quotation duly signed by your representative not later than 10:30 A.M. of  August 06, 										 2020, at the return env</t>
  </si>
  <si>
    <t xml:space="preserve"> Construction of Rural Health Unit- Phase II at Capas Plazuela, Brgy. Sto. Rosario, Capas, Tarlac</t>
  </si>
  <si>
    <t xml:space="preserve"> I.    SOLARLIGHT WORKS       1.00    L.S.       3kw Infinisolar Hybrid Gridtie Inverter                -       1.00    pc.       Rec Solar 250W Solar PAnel Monocrystalline      -     12.00    pcs.       PV Rail ALuminum (Tin Roofing)                      </t>
  </si>
  <si>
    <t xml:space="preserve"> Concrete &amp;MAsonry works Roof &amp; Roof Framing system Painting works Ceiling system Inst.of floor tiles Doors &amp; window Electrical works</t>
  </si>
  <si>
    <t xml:space="preserve"> INVITATION TO BID FOR THE SUPPLY &amp; DELIVERY OF  VARIOUS MATERIALS FOR CONSOLIDATED PROJECT AT DIST. 1 &amp; 2, MUNTINLUPA CITY (*RE-POSTED) 1.	The City Government of Muntinlupa, through its duly-approved Executive Budget for 2020 intends to apply the sum of O</t>
  </si>
  <si>
    <t xml:space="preserve"> Contract ID	20 – 0033 – S Contract Name 	Procurement of Spare Parts for use of  Dump Truck with DPWH no. H3-6632 detailed in the Maintenance Section, DPWH-Quezon IV District Engineering Office, Gumaca Quezon. Approved Budget for the Contract (ABC)	 P     </t>
  </si>
  <si>
    <t xml:space="preserve"> Republic of the Philippines MUNICIPALITY OF ECHAGUE Province of Isabela INVITATION TO BID FOR  THE  PURCHASE OF RAPID ELECTRIC VEHICLE CHARGER (FOR  E-TRIKE) 1.	The Local Government Unit , through  the  DOST FUND ( Grant)  intends to apply the sum of  ONE</t>
  </si>
  <si>
    <t xml:space="preserve"> Construction of Nagsabaran Sur Farm Slope Protection</t>
  </si>
  <si>
    <t xml:space="preserve"> Contract ID	20 – 0032– S Contract Name 	Procurement of Office Supplies for use in this District, DPWH, Quezon IV District Engineering Office, Gumaca, Quezon      (3rd Quarter) Approved Budget for the Contract (ABC)	 P           222,500.00 Purchase Request</t>
  </si>
  <si>
    <t xml:space="preserve"> INVITATION TO BID FOR THE SUPPLY &amp; DELIVERY OF ICT EQUIPMENT FOR THE IMPLEMENTATION OF LEARNING CONTINUITY PLAN (LCP) ON DISTANCE LEARNING DELIVERY 1.	The City Government of Muntinlupa, through its duly-approved 2020 Supplemental Budget intends to apply t</t>
  </si>
  <si>
    <t xml:space="preserve"> Concreting of 110mx2mx.15m</t>
  </si>
  <si>
    <t xml:space="preserve"> LOT A – Supply, Delivery and Installation of Laboratory Equipment for Bachelor of Arts in Communication Instruction	 1 set Photo Studio Laboratory  Equipment 1 set Television Studio Laboratory Equipment LOT C – Purchase of Laboratory Equipment for Mechani</t>
  </si>
  <si>
    <t xml:space="preserve"> INVITATION TO BID  PROCUREMENT OF NJMPTI FURNITURE &amp; FIXTURE FY2020                                                                PPSC BAC IB NO.013 (G) 2020 1.	The Philippine Public Safety College through the General Appropriations Act of FY2020 , inten</t>
  </si>
  <si>
    <t xml:space="preserve"> 1.	The Municipality of Consolacion, through the GF - 20% intends to apply the sum of Two Hundred Fifty-Three Thousand Four Hundred Fifty-Eight Pesos (P 253,458.00) being the Approved Budget for the Contract (ABC) to payments under the contract for Repair/</t>
  </si>
  <si>
    <t xml:space="preserve"> Contract ID	20 – 0034 – S Contract Name 	Procurement of Spare Parts for use of Mitsubishi L-200 SFG-504 detailed in the Maintenance Section, DPWH-Quezon IV District Engineering Office, Gumaca Quezon. Approved Budget for the Contract (ABC)	 P         90,38</t>
  </si>
  <si>
    <t xml:space="preserve"> 3 units High Density Polyethylene (HDPE) 6m L x 6m W x 5m depth Fish Cages Location: Apad-Aparan, Buenasuerte, Ragay -nothing follows-</t>
  </si>
  <si>
    <t xml:space="preserve"> Republic of the Philippines Province of Palawan Municipality of Dumaran dum_bacsecretariat@yahoo.com BIDS AND AWARDS COMMITTEE INVITATION TO BID 1.	The Municipal Government of Dumaran, Palawan, through its 5% MDRRMF intends to apply the sum of One Million</t>
  </si>
  <si>
    <t xml:space="preserve"> Stock	ITEM DESCRIPTION	QTY	UNIT No.			 			 A.	 General Requirements		 	1. Permits (Building Permits, Occupancy Permit, ECC, DOLE 	1	lot 	    and  other Local Permits required)		 	2. Mobilization/Demobilization	1	lot 	3. Temporary Facilities	1	lot 	4. Phot</t>
  </si>
  <si>
    <t xml:space="preserve"> REPUBLIC OF THE PHILIPPINES																																				 	PROVINCE OF ZAMBOANGA DEL NORTE																																				 	MUNICIPALITY OF PRES. MANUEL A. ROXAS																																				 	BIDS AND AWARDS COMMITTEE																					</t>
  </si>
  <si>
    <t xml:space="preserve"> Contract ID	20 – 0030 – S Contract Name 	Repair/Maintenance of Roads along Daang Maharlika, Pagbilao-Atimonan-Plaridel Section, K0135+(-)732 - K0187+000 (Intermittent Section) (3rd Quarter) Approved Budget for the Contract (ABC)	 P             997,043.00 </t>
  </si>
  <si>
    <t xml:space="preserve"> Improvement of Sector 07 Bungol Farm to Market Road</t>
  </si>
  <si>
    <t xml:space="preserve"> Improvement of Sinapangan Norte Farmers Multi-purpose Building</t>
  </si>
  <si>
    <t xml:space="preserve"> Contract ID	20 – 0037 – S Contract Name 	Procurement of Tarpaulin, Personal Protective Equipment, Office Supplies and Printer Supplies for use in the Gender and Developemnt (GAD) Integration Framework in Road Infrastructure Sector and Other  Related Activ</t>
  </si>
  <si>
    <t xml:space="preserve"> I. PROJECT BILLBOARD - 1 LOT II. CONSTRUCTION SAFETY AND HEALTH - 1 LOT III. DEMOLITION WORKS - 70 SQ.M IV. STEEL REINFORCEMENT - 456.83 KGS V. CONCRETE POURING - 6.46 CU.M VI. MASONRY WORKS - 274.05 SQ.M VII. CARPENTRY WORKS - 743.33 BD. FT VIII. ELECTRI</t>
  </si>
  <si>
    <t xml:space="preserve"> Contract ID	20 – 0036 – S Contract Name 	Procurement of Office Supplies and Printer Supplies for use in the Multi-Year Planning and Scheduling (MYPS), DPWH, Quezon IV District Engineering Office, Gumaca, Quezon Approved Budget for the Contract (ABC)	 P   </t>
  </si>
  <si>
    <t xml:space="preserve"> Fabrication &amp; Installation of Project Signboard, Concrete Works and Painting Works</t>
  </si>
  <si>
    <t xml:space="preserve"> 60 pack - AM Snack, Lunch, PM Snack</t>
  </si>
  <si>
    <t xml:space="preserve"> Improvement of Sector one (1) Pantar Norte Farm to Market Road</t>
  </si>
  <si>
    <t xml:space="preserve"> Contract ID	20 – 0031 – S Contract Name 	Repair/Maintenance of Road along  Daang Maharlika, Gumaca-Lopez-Calauag Section, K0187+000 - K0246+724 (Intermittent Section) (3rd Quarter) Approved Budget for the Contract (ABC)	 P            994,800.00 Purchase R</t>
  </si>
  <si>
    <t xml:space="preserve"> IT Peripherals and Accessories</t>
  </si>
  <si>
    <t xml:space="preserve"> REQUEST FOR EXPRESSION OF INTEREST (REI) CONSULTANCY SERVICES FOR THE CONDUCT OF SUB-SURFACE SOIL EXPLORATION AND GEOTECHNICAL INVESTIGATION (BORING) FOR THE CONSTRUCTION/ MAINTENANCE OF FLOOD MITIGATION STRUCTURES &amp; DRAINAGE SYSTEMS, SECOND LEGISLATIVE D</t>
  </si>
  <si>
    <t xml:space="preserve"> Republic of the Philippines  DEPARTMENT OF PUBLIC WORKS AND HIGHWAYS MISAMIS ORIENTAL 2nd DISTRICT ENGINEERING OFFICE Region X Balase Street, El Salvador City INVITATION TO BID The Misamis Oriental 2nd District Engineering Office, through its Bids and Awa</t>
  </si>
  <si>
    <t xml:space="preserve"> INVITATION TO BID FOR THE CONSTRUCTION OF STP AT MUNTINLUPA CITY HALL, NATIONAL ROAD BRGY. PUTATAN, MUNTINLUPA CITY 1.	The City Government of Muntinlupa, through its duly-approved Executive Budget for 2020 intends to apply the sum of Six Million Seven Hun</t>
  </si>
  <si>
    <t xml:space="preserve"> 200 AGGREGATE SUB-BASE COARSE</t>
  </si>
  <si>
    <t xml:space="preserve"> INVITATION TO BID FOR THE CONSTRUCTION OF 4-STOREY LAKEVIEW SENIOR HIGH SCHOOL (PHASE 2 &amp; 3) AT LAKEVIEW, BRGY. PUTATAN, MUNTINLUPA CITY 1.	The City Government of Muntinlupa, through its duly-approved Local School Board Budget for 2019 intends to apply th</t>
  </si>
  <si>
    <t xml:space="preserve"> Construction of Storage Building and Parking Area- LDRMMO (Phase II) at Municipal Compound, Capas, Tarlac</t>
  </si>
  <si>
    <t xml:space="preserve"> Republic of the Philippines												 	Office of the Municipal Mayor												 	BIDS AND AWARDS COMMITTEE												 	Binmaley, Pangasinan												 													 	Invitation to Bid												 	 for 												 	BINMALEY RESETTLEMENT PROJECT PHAS</t>
  </si>
  <si>
    <t xml:space="preserve"> INVITATION TO BID FOR Procurement of DRR Rescue Equipment for Emergency Response 1.	The Municipal Government of Kawit, through the Trust Fund (LGSF-Assistance to Municipalities (AM)-2019) intends to apply the sum of Three Million Two Hundred Twenty Thousa</t>
  </si>
  <si>
    <t xml:space="preserve"> Improvement of Purok 4, 6 &amp; 7 Bet-ang Farm to Market Road</t>
  </si>
  <si>
    <t xml:space="preserve"> Republic of the Philippines Cordillera Administrative Region Province of Kalinga B A L B A L A N MUNICIPALITY OF BALBALAN Invitation to Apply for Eligibility and to Bid for the CONSTRUCTION OF DONGAWON-UMBALI COMMUNAL IRRIGATION SYSTEM, MABACA, BALBALAN, </t>
  </si>
  <si>
    <t xml:space="preserve"> Contract Labor and Materials for the Construction of Multi-Purpose Building (Bleacher) of BLGU Bagong Silang, Laak, Davao De Oro with an ABC of Php. 332,144.55. Note: For further details of the said project, please see/contact Hon. Jimmy M. Largo - Punong</t>
  </si>
  <si>
    <t xml:space="preserve"> 1. Improvement of all waiting shed from Dantay-Sagada –MDF 2019                     707,264.08 2. Continuation of Ankileng water system –MDF 2016                                           289,465.27 3. Improvement of Guedangan  CIS  -MDF 2018             </t>
  </si>
  <si>
    <t xml:space="preserve"> INVITATION TO BID FOR NEGOTIATED PROCUREMENT(SEC. 53.1)				              The PROVINCIAL GOVERNMENT OF APAYAO,        through its Bids and Awards Committee (BAC), invites PCAB licensed/qualified contractor   to submit bid quotations for the hereunder contr</t>
  </si>
  <si>
    <t xml:space="preserve"> Improvement of 2, 4 &amp; 5 Antonino Canals</t>
  </si>
  <si>
    <t xml:space="preserve"> PROJECT:	CONSTRUCTION OF SUMEGCOL MATERIAL RECOVERY FACILITY				 Location : 	ABABA-AN, BALBALAN, KALINGA				 ABC:	PhP 100,000.00				 FUND:	2019 PRIZES				 					 					 BILL OF QUANTITIES					 ITEM NO.	 DESCRIPTION	QTY	Unit	Unit Price	Amount I	GENERAL REQUI</t>
  </si>
  <si>
    <t xml:space="preserve"> The Municipal Government of Aloguinsan invites prospective bidders to bid for the project Supply and Delivery of Medicines for COVID-19 Response. Source of Fund: BAYANIHAN GRANT FY 2020 ABC: Php 2,000,000.00 The complete schedule of activities will be as </t>
  </si>
  <si>
    <t xml:space="preserve"> 1. Stone laid pathway from Aguid-omod-ok (Datil style)                                    292,889.90 2. Stone laid pathway w/in the end of concrete road at Batalao                         294,682.93      Going to Lamagan (Datil style)  3. Riprapping and c</t>
  </si>
  <si>
    <t xml:space="preserve"> Improvement of Camilo Osias Canals</t>
  </si>
  <si>
    <t xml:space="preserve"> Construction of Butubut Norte Farm Slope Protection</t>
  </si>
  <si>
    <t xml:space="preserve"> Republic  of  the  Philippines  Province  of  Marinduque MUNICIPALITY  OF  GASAN INVITATION TO BID FOR  MUNICIPAL AND/OR BARANGAY ROADS AND BRIDGES 1.	The Municipality of Gasan, through  20% Development Fund CY 2020,  Municipal and/or Barangay Roads and B</t>
  </si>
  <si>
    <t xml:space="preserve"> The Local Government Unit of Santa Fe, Nueva Vizcaya, through its Bids &amp; Awards Committee invites contractors to bid for the following project: Contract Name: 	CONCRETING OF TACTAC-ATBU ROAD Contract Location: Tactac, Santa Fe, Nueva Vizcaya Approve Budge</t>
  </si>
  <si>
    <t xml:space="preserve"> Republic of the Philippines         President Ramon Magsaysay State University (Formerly Ramon Magsaysay Technological University) Iba, Zambales, Philippines Tel/Fax No.: (047) 811-1683 INVITATION TO BID FOR  MACHINERY AND EQUIPMENT OUTLAY                </t>
  </si>
  <si>
    <t xml:space="preserve"> Municipality of Balud                                                                                                           GOODS-01-2020                       					                                             Supply and Delivery of Coconut Seedlings </t>
  </si>
  <si>
    <t xml:space="preserve"> Supply and Delivery of Electrical Materials and Supplies for Installation of Streetlights</t>
  </si>
  <si>
    <t xml:space="preserve"> Rehab. of barangay Plaza</t>
  </si>
  <si>
    <t xml:space="preserve"> 60	pcs	T8 LED Tube Box Type set			 		    16 Watts (Good Quality)			 40	pcs	T8 LED Tube Box Type set			 		     7 Watts (Good Quality)			 112	pcs	LED Bulb Daylight 			 		     15 Watts (Good Quality)			 20	pcs	3-gang Spring Type Outlet			 		      (Good Quali</t>
  </si>
  <si>
    <t xml:space="preserve"> (Section I) Republic of the Philippines Department of Health CENTER FOR HEALTH DEVELOPMENT MIMAROPA Q.M.M.C. Compound, Project 4, Quezon City INVITATION TO BID  PUBLIC BIDDING FOR THE SUPPLY AND DELIVERY OF VARIOUS MEDICAL EQUIPMENTS FOR THE EQUIPPING OF </t>
  </si>
  <si>
    <t xml:space="preserve"> Upgrading of Internet Infrastructure •	Mobilization/ Demobilization and Logistics, Installation, Cable Pulling(Rough-ins), Grounding for Racks, Termination, Configuration, Labor •	Network Unifi AC-LR Access Point, UTP CAT5E Cable 300m, Fiber Optic Cable, </t>
  </si>
  <si>
    <t xml:space="preserve"> 1. The Local Government Unit of Lagayan, thru the 2020 -DA MOOE Funds, intends to apply the sum of ONE HUNDRED THOUSAND PESOS (PHP100,000.00), being the Approved Budget for the Contract (ABC) to payments under the contract "PURCHASE OF FOLIAR FERTILIZER".</t>
  </si>
  <si>
    <t xml:space="preserve"> Barangay Information System Automated Data Base &amp; Data Link</t>
  </si>
  <si>
    <t xml:space="preserve"> 1 CONTAINER 20 LITERS CAPACITY 2 FAN BELT, PPL048488 3 FUEL FILTER, FOR 60kw FG WILSON  4 LUBE OIL FILTER, FOR 60kw FG WILSON 5 SEALANT, SILICONE, RTV 6 WRENCH FLOWER TYPE ½ DRIVE, 7MM-30MM Site Delivery:  NPC- SAN PASCUAL DPP, BRGY TERRAPLIN, BURIAS ISLA</t>
  </si>
  <si>
    <t xml:space="preserve"> Procurement of One (1) set 3hp Submersible Pump with Control Box and Complete Accessories for the Rehabilitation of Potable Water System og BLGU Bagong Silang, Laak, Davao De Oro with an ABC of Php. 150,000.00. Note: For further details of the said projec</t>
  </si>
  <si>
    <t xml:space="preserve"> Republic of the Philippines Cordillera Administrative Region Province of Kalinga B A L B A L A N MUNICIPALITY OF BALBALAN Invitation to Apply for Eligibility and to Bid for the OPENING OF BUTOD TO COMO FARM TO MARKET ROAD, BUAYA-MABACA, BALBALAN, KALINGA </t>
  </si>
  <si>
    <t xml:space="preserve"> I.   CONCRETE WORKS          -      1.565      CU.M. II.  STEELWORKS                   -      1.000     L.S. III. ELECTRICAL WORKS        -      1.000     L.S. IV.  PAINTING WORKS            -      1.000     L.S.</t>
  </si>
  <si>
    <t xml:space="preserve"> Construction of Calliat Farmers Civic Center</t>
  </si>
  <si>
    <t xml:space="preserve"> Request for Quotation for the Procurement of Printed Retractable Tent 1.	The Department of Agriculture-Regional Field Office 7 (DA-RFO 7), through the General Appropriation Act for CY 2020 intends to apply the sum of Two Hundred Forty Seven Thousand Five </t>
  </si>
  <si>
    <t xml:space="preserve"> Rice &amp; Groceries</t>
  </si>
  <si>
    <t xml:space="preserve"> INVITATION TO BID for the following Projects: Construction of Multipurpose Building, Brgy. Magsaysay, Loreto, Dinagat Islands The Department of Public Works and Highways, DPWH Dinagat Islands District Engineering Office through GAA CY 2020 intends to appl</t>
  </si>
  <si>
    <t xml:space="preserve"> PURCHASE OF MEDICAL SUPPLIES</t>
  </si>
  <si>
    <t xml:space="preserve"> Republic of the Philippines MUNICIPALITY OF CABUGAO Ilocos Sur Invitation to Bid for the Construction of Post Harvest Facility @ Brgy. Pug-os (Proper), Cabugao, Ilocos Sur 1. The Local Government Unit of Cabugao, Ilocos Sur, through the R.A. 7171 under AO</t>
  </si>
  <si>
    <t xml:space="preserve"> ODIC data banking and linkage system Software (Build and Develop type  - 1 unit * Client Information System  * Business Permit System  *Zoning Clearance System   Hardware Server * 64 Bit with License OS for server other peripheral core i3, license OS with</t>
  </si>
  <si>
    <t xml:space="preserve"> Republic of the Philippines Department of Education Region v SCHOOLS DIVISION OF SORSOGON Capitol Compound, Sorsogon City INVITATION TO BID FOR PURCHASE OF SUPPLIES AND MATERIALS FOR THE IN-HOUSE REPRODUCTION OF LOCALLY DEVELOPED SELF-LEARNING MODULES PRO</t>
  </si>
  <si>
    <t xml:space="preserve"> Construction of Drainage System The Barangay Veterans Village, City Proper, Iloilo City thru the Office of Bids and Awards Committee invites suppliers to apply for eligibility and if found eligible to bid for the ff:  Project Title: CONSTRUCTION OF DRAINA</t>
  </si>
  <si>
    <t xml:space="preserve"> CONCRETING OF PILI-KARIHATAG ROAD STA.0+000 - STA. 0+883.25 MUNICIPALITY OF MALIMONO, SURIGAO DEL NORTE Brief Description:	The project will involve the Concreting of Pili – Karihatag Road with the following scope of works: Construction of Field Office for</t>
  </si>
  <si>
    <t xml:space="preserve"> Republic of the Philippines Province of Misamis Occidental MUNICIPALITY OF CALAMBA BARANGAY SILOY INVITATION TO BID FOR PURCHASE OF MATERIALS FOR THE IMPROVEMENT OF MULTI-PURPOSE EVACUATION CENTER 	July 28, 2020 1.	The Barangay Siloy  of Calamba, Misamis </t>
  </si>
  <si>
    <t xml:space="preserve"> The [Local Government Unit of Inopacan, Leyte], through the [Trust Fund allocated for the Local Access Road Upgrading at Brgy. Cabulisan to Brgy. De Los Santos] intends to apply the sum of [Six Million One Hundred Ninety-One Thousand Nine Hundred Ninety-S</t>
  </si>
  <si>
    <t xml:space="preserve"> To supply a protective equipment to our frontliner staffs and barangay officials.</t>
  </si>
  <si>
    <t xml:space="preserve"> Republic of the Philippines MUNICIPALITY OF CABUGAO Ilocos Sur Invitation to Bid for the Improvement of Farm to Market Road @ Brgy. Rizal (Savellano St.), Cabugao, Ilocos Sur 1. The Local Government Unit of Cabugao, Ilocos Sur, through the R.A. 7171 under</t>
  </si>
  <si>
    <t xml:space="preserve"> MOBILIZATION/DEMOBILIZATION              1.00    L.S. PCCP                                                         13.50  CU.M.</t>
  </si>
  <si>
    <t xml:space="preserve"> SUPPLY AND DELIVERY OF HARDWARE MATERIALS</t>
  </si>
  <si>
    <t xml:space="preserve"> The [Local Government Unit of Inopacan, Leyte], through the [FY 2019 Local Government Support Fund – Other Financial Assistance (LGSF-FA), FY 2019 General Appropriations Act, Republic Act No. 11260 as per ADA No. 9901200004 allocated for the Opening of Ro</t>
  </si>
  <si>
    <t xml:space="preserve"> 1.	The Development Bank of the Philippines, through the Corporate Budget approved by the governing Board for CY 2020 intends to apply the sum of One Hundred Fifty-Six Million Nine Hundred Thousand Pesos &amp; 00/100 (PhP156,900,000.00) for three years (or PhP</t>
  </si>
  <si>
    <t xml:space="preserve"> It includes: Various Risograph and Consumables</t>
  </si>
  <si>
    <t xml:space="preserve"> Republic of the Philippines MUNICIPALITY OF CABUGAO Ilocos Sur Invitation to Bid for the Improvement of Farm to Market Road @ Brgy. Quezon (Siruno St.), Cabugao, Ilocos Sur 1. The Local Government Unit of Cabugao, Ilocos Sur, through the R.A. 7171 under A</t>
  </si>
  <si>
    <t xml:space="preserve"> Lot 1: Books ABC Php 147,115.00 3	copies  	Animation and Multimedia: K-12, 3rd ed./Jemma Development Group ©2017 3	copies  	Animation: Intermediate with DVD, 2nd ed./3G E-Learning ©2018 3	copies  	Art Appreciation/Solmerano, E. ©2019 3	copies  	Biology 2/</t>
  </si>
  <si>
    <t xml:space="preserve"> Republic of the Philippines MUNICIPALITY OF CABUGAO Ilocos Sur Invitation to Bid for the Improvement of Farm to Market Road @ Brgy. Rizal (Sison St), Cabugao, Ilocos Sur 1. The Local Government Unit of Cabugao, Ilocos Sur, through the R.A. 7171 under AO N</t>
  </si>
  <si>
    <t xml:space="preserve"> Republic of the Philippines PROVINCE OF BUKIDNON   Municipality of Don Carlos BIDS AND AWARDS COMMITTEE Invitation to Bid for the Supply &amp; Delivery of Limestone &amp; Grader Rental intended for the Rehab./Maintenance of Brgy. Roads (Complete Bid) (Project Ref</t>
  </si>
  <si>
    <t xml:space="preserve"> PROJECT NAME: IMPROVEMENT OF OLD PUBLIC MARKET (PHASE III) PROJECT LOCATION:  Abatan, Buguias, Benguet DURATION:  197 CD (Including mobilization &amp; curing) PROJECT Cost:  PHP 2,000,000.00 SOURCE OF FUND: 20% MDF CY 2020 ITEM NO.	DESCRIPTION							 QTY  	  </t>
  </si>
  <si>
    <t xml:space="preserve"> 1.	The Municipality of Botolan, through the 20% Development Plan intends to apply the sum of P 4,000,000.00 being the Approved Budget for the Contract (ABC) to payments under the contract for Construction of Multi-Purpose Hall at Barangay Porac, Botolan, </t>
  </si>
  <si>
    <t xml:space="preserve"> Republic of the Philippines MUNICIPALITY OF CABUGAO Ilocos Sur Invitation to Bid for the Improvement of Farm to Market Road @ Brgy. Rizal (Singson St), Cabugao, Ilocos Sur 1. The Local Government Unit of Cabugao, Ilocos Sur, through the R.A. 7171 under AO</t>
  </si>
  <si>
    <t xml:space="preserve"> I. SCOPE OF WORKS excavation laying of 4" CHB/Pouring flooring II. EXCAVATION 30.6 cu.m III.MASONRY/CONCRETE WORKS 1500 pcs 4" CHB 91 pcs 10mm diam. RSB 129 bags portland cement 4 cu.m River Sand 6 cu.m mixed aggregates 8 kls tie wire</t>
  </si>
  <si>
    <t xml:space="preserve"> 1	unit	A3 Colored Photocopy Machine w/ ADF and Duplex Unit		 		Shall satisfy the following minimum technical 		 		specifications or its equivalent:		 		*Print Speed: 22-30ppm (Printer, Copier and Scanner 		 		with ARDF and Duplex Unit)		 		*Print Resoluti</t>
  </si>
  <si>
    <t xml:space="preserve"> Republic of the Philippines MUNICIPALITY OF CABUGAO Ilocos Sur Invitation to Bid for the Improvement of Farm to Market Road @ Brgy. Catucdaan (Proper), Cabugao, Ilocos Sur 1. The Local Government Unit of Cabugao, Ilocos Sur, through the R.A. 7171 under AO</t>
  </si>
  <si>
    <t xml:space="preserve"> 1.	The Local Government Unit of Balangiga, through the 2020 EDF implementation intends to apply the sum of Three Hundred Twenty Thousand Pesos  (Php320,000.00) being the Approved Budget for the Contract (ABC) to payments under the contract for the Supply </t>
  </si>
  <si>
    <t xml:space="preserve"> various Office Supplies Prospective Bidders must have completed a contract similar to the project with the amount of at least 50% of the ABC. Bidding will be conducted through open competitive bidding procedures using a non-discretionary “pass/fail” crite</t>
  </si>
  <si>
    <t xml:space="preserve"> OPENING OF BIDS IN DSWD FO IX, 				 DELIVERY IN PCDP, DSWD MAMPANG ZAMBOANGA CITY				 PROCUREMENT FOR THE FF.:				 							 50	PACK	All purpose cream (250ml)	@	 55.00  25	GALLON	Banana Catsup (1Liter)	@	 130.00  50	PACK	Bihon (1kg, Class A, Good Quality)	@</t>
  </si>
  <si>
    <t xml:space="preserve"> It includes: General Requirements, Earthworks, Riprap &amp; Grouted Riprap, Concrete Works, &amp; Billboard.</t>
  </si>
  <si>
    <t xml:space="preserve"> Republic of the Philippines MUNICIPALITY OF CABUGAO Ilocos Sur Invitation to Bid for the Improvement of Farm to Market Road @ Brgy. Bonifacio-Turod Patac Road @ Cabugao, Ilocos Sur 1. The Local Government Unit of Cabugao, Ilocos Sur, through the R.A. 7171</t>
  </si>
  <si>
    <t xml:space="preserve"> 1	unit	Laptop		 		Shall satisfy the following minimum technical 		 		specifications or its equivalent:		 		Solid State Drive (SSD)		 		Processor		 		Up to 8th Gen Intel® Core™ i7 with vPro		 		Operating System		 		Up to Windows 10 Pro		 		Display		 		Up t</t>
  </si>
  <si>
    <t xml:space="preserve"> Improvement of Pantar Norte Canals</t>
  </si>
  <si>
    <t xml:space="preserve"> 1. Improvement/of Panan Pathway                                                            195,500.90 2. Roofing of the Material Recovery Facility                                                 495,365.04 3. Restoration of Riprap at Tanulong Road(Bab-aak</t>
  </si>
  <si>
    <t xml:space="preserve"> Republic of the Philippines MUNICIPALITY OF CABUGAO Ilocos Sur Invitation to Bid for the Improvement of Farm to Market Road @ Brgy.Quezon (Tandang Sora St.), Cabugao, Ilocos Sur 1. The Local Government Unit of Cabugao, Ilocos Sur, through the R.A. 7171 un</t>
  </si>
  <si>
    <t xml:space="preserve"> FOR POSTING ONLY</t>
  </si>
  <si>
    <t xml:space="preserve"> The significant times and deadlines of procurement activities are shown below:  Activities	Schedule 1. Receipt of LOIs from Prospective Bidders	July 28-August 03, 2020 2. Issuance of Bidding Documents	August 04-10, 2020 3. Pre-Bid Conference	n.a. 4. Recei</t>
  </si>
  <si>
    <t xml:space="preserve"> 1.	The Municipal Government of El Nido, through the PORT &amp; WHARF-Continuing Approp. 2019, Additional Fund for Speed Boat-Non-Office Supplemental #3 FY 2020, intends to apply the sum of Two Million Pesos (P 2,000,000.00) being the Approved Budget for the C</t>
  </si>
  <si>
    <t xml:space="preserve"> DEPARTMENTOF SOCIAL WELFARE AND DEVELOPMENT Regional  Office No. 10, Masterson Avenue, Upper Carmen, Cagayan de Oro City INVITATION TO BID FOR Bidding of Supply and delivery of Food and Non-Food Items for Replenishment of family food packs for the Disaste</t>
  </si>
  <si>
    <t xml:space="preserve"> I. MOBILIZATION/DEMOBILIZATION II.FORM WORKS III. MASONRY WORKS</t>
  </si>
  <si>
    <t xml:space="preserve"> INVITATION TO BID The Department of Public Works and Highways - Pampanga 1st District Engineering Office, through its Bids and Awards Committee (BAC), invites contractors to submit bids for the following Contract: 1.	 Procurement ID/Contract ID	:	20CG0250</t>
  </si>
  <si>
    <t xml:space="preserve"> REFLECTORIZE PAINT FOR STREET SIGNAGES</t>
  </si>
  <si>
    <t xml:space="preserve"> Republic of the Philippines CITY GOVERNMENT OF LA CARLOTA BIDS AND AWARDS COMMITTEE OFFICE TEL. NO.  735-1370 	 INVITATION TO BID FOR THE “CONCRETING OF ROAD AT RELOCATION, PUROK SUNRISE,  BARANGAY BATUAN, LA CARLOTA CITY”                   The CITY GOVER</t>
  </si>
  <si>
    <t xml:space="preserve"> Project: Construction of Camp Col Rodriguez 8-Bullet Firing Range Location: Camp Col Rafael C Rodriguez, Libertad, Butuan City Approved Budget for the Contract: Php6,000,000.00 Duration: 180 Calendar Days</t>
  </si>
  <si>
    <t xml:space="preserve"> Republic of the Philippines Province of Agusan del Sur MUNICIPALITY OF TALACOGON BARANGAY DEL MONTE oOo BIDS AND AWARDS COMMITTEE July 24, 2020  INVITATION TO BID FOR THE REPAIR AND MAINTENANCE OF SK OFFICE 1.	The Barangay Local Government Unit of Del Mon</t>
  </si>
  <si>
    <t xml:space="preserve"> Republic of the Philippines DIGOS WATER DISTRICT (DWD) Rizal Avenue, Digos City INVITATION TO BID FOR THE SUPPLY, DELIVERY, INSTALLATION, TESTING AND COMMISSIONING OF THE ELECTRO-MECHANICAL EQUIPMENT FOR THE NEW PUMPING STATION NO. 11 AT BRGY. SINAWILAN, </t>
  </si>
  <si>
    <t xml:space="preserve"> Republic of the Philippines DEPARTMENT OF AGRICULTURE Regional Field Office IX, Zamboanga Peninsula INVITATION TO BID FOR SUPPLY AND DELIVERY OF FREE RANGE CHICKENS 1.	The Department of Agriculture Regional Field Office IX, through the GAA 2020 - (Nationa</t>
  </si>
  <si>
    <t xml:space="preserve"> Invitation to Bid for the CONSTRUCTION OF MAKILALA INSTITUTE OF SCIENCE AND TECHNOLOGY (MIST) INDIGENOUS PEOPLE DORMITORY LOCATED AT BRGY. CONCEPCION, MAKILALA, COTABATO REFERENCE NO. NHAXII-2020-073 The National Housing Authority (NHA) – Region XII, thro</t>
  </si>
  <si>
    <t xml:space="preserve"> Republic of the Philippines PROVINCE OF SAMAR Municipality of Pinabacdao Invitation to Bid Purchase and Delivery of 1 Unit Speed Boat  Pinabacdao, Samar 1. The LOCAL GOVERMENT UNIT of Pinabacdao Samar, through the FY 2019 Budget intends to apply the sum o</t>
  </si>
  <si>
    <t xml:space="preserve"> Republic of the Philippines Province of Agusan del Sur MUNICIPALITY OF TALACOGON BARANGAY DEL MONTE oOo BIDS AND AWARDS COMMITTEE July 24, 2020  INVITATION TO BID FOR THE OPENING OF FARM TO MARKET ROAD OF PUROK BASAK, SITIO MABINI 1.	The Barangay Local Go</t>
  </si>
  <si>
    <t xml:space="preserve"> Please quote your lowest price on item/s listed in the line item and submit your quotation duly signed by your authorized representative through email at bac.secretariat@pnu.edu.ph not later than August 3, 2020 @ 4PM. Note: 1. Delivery period within seven</t>
  </si>
  <si>
    <t xml:space="preserve"> INVITATION TO BID The Local Government Unit of Jasaan, Jasaan, Misamis Oriental, through the DILG intends to apply the sum of Seven Hundred Eighteen Thousand One Pesos and 08/100 (P 718,001.08) being the Approved Budget for the Contract (ABC) to payments </t>
  </si>
  <si>
    <t xml:space="preserve"> Republic of the Philippines  Department of Education Region I PANGASINAN SCHOOLS DIVISION OFFICE II INVITATION TO BID EQUIPMENT, MEDICAL EQUIPMENT &amp; SUPPLIES, AND OFFICE EQUIPMENT &amp; SUPPLIES FOR THE IMPLEMENTATION OF SCHOOL BASED FEEDING PROGRAM – MILK FE</t>
  </si>
  <si>
    <t xml:space="preserve"> Rehab of Local Access Road, Magaogao - Collog, Junction - Pinococ, Pinukpuk</t>
  </si>
  <si>
    <t xml:space="preserve"> INVITATION TO BID: 1. Project Title:  Supply and Installation of Closed-Circuit Television 2. Approved Budget for the Contract: Php 3,440,360.00 3. Pre-bid Conference: on August 06, 2020; 1:00 p.m. Dr. Pablo T. Mateo Conference Room, 2nd Floor South Wing,</t>
  </si>
  <si>
    <t xml:space="preserve"> BILL OF QUANTITIES: Item #	Qty	   Unit	                   Item Description	  Unit Cost	Total Cost 0001		1	ls	Project Facilities		 0002		1	ls	General Requirements		 0003		1	ls	Masonry Works		 0004		1	ls	Wood and Plastic		 0005		1	ls	Finishing Works		 0006	</t>
  </si>
  <si>
    <t xml:space="preserve"> Invitation to Bid to all Supplier/Contractor duly accredited by the City Council of Manila to supply and deliver the following items provided hereunder, to wit; Item	 	Qty.	 	Unit	 	 	 	DESCRIPTION 1	 	18	 	Tins	Semi Gloss Latex - White	 	 	  2	 	12	 	Gal</t>
  </si>
  <si>
    <t xml:space="preserve"> Republic of the Philippines Province of Siquijor Municipality of Enrique Villanueva INVITATION TO BID FOR the Purchase of Ambulance 1.	The Local Government Unit of Enrique Villanueva, through the 2019 Local Government Support Fund-Other Financial Assistan</t>
  </si>
  <si>
    <t xml:space="preserve"> INVITATION TO BID FOR SUPPLY, HANDLING, TRANSPORT AND DELIVERY OF 298, 257 COCONUT SEEDLINGS 1.	The Philippine Coconut Authority-Region VIII (PCAVIII), through the 2018 RA 8048 Permit to Cut, 2019 RA 8048 Permit to Cut and 2019 RA 8048 Replacement intends</t>
  </si>
  <si>
    <t xml:space="preserve"> Description I.	Signboard II.	Concrete Breaking for Column Footing III.	Excavation IV.	Formworks &amp; Scaffolding V.	Concrete Works VI.	Roof System Works VII.	Construction Safety &amp; Health 1. Barangay Canramos Tanauan, LEYTE through the bids and awards comm.) </t>
  </si>
  <si>
    <t xml:space="preserve"> Republic of the Philippines Province of Ilocos Norte MUNICIPALITY OF CURRIMAO Invitation to Bid for  REPAIR &amp; MAINTENANCE OF VARIOUS SCHOOL BUILDINGS 1.	The MUNICIPALITY OF CURRIMAO, through the Special Education Fund (SEF) intends to apply the sum of 	ON</t>
  </si>
  <si>
    <t xml:space="preserve"> Purchase of Rescue equipment and general merchandise in preparation of any calamity arises.</t>
  </si>
  <si>
    <t xml:space="preserve"> City Government of La Carlota								          Standard Form Number: SF-GOOD-59 Revised on: May 24, 2004 Standard Form Title: REQUEST FOR QUOTATION 												Date: ______________											                             Quotation No.________ Company Name </t>
  </si>
  <si>
    <t xml:space="preserve"> Supply and Delivery of Construction Materials and Supplies for Rehabilitation of Storage Room/Disaster office</t>
  </si>
  <si>
    <t xml:space="preserve"> Republic of the Philippines DIGOS WATER DISTRICT (DWD) Rizal Avenue, Digos City INVITATION TO BID FOR THE PROCUREMENT OF UPVC PIPES AND FITTINGS, C.I. FITTINGS AND CONSTRUCTION MATERIALS FOR THE MAINTENANCE OF PIPELINES 1.	The Digos Water District, throug</t>
  </si>
  <si>
    <t xml:space="preserve"> Please quote your lowest price on item/s listed in the line item and submit your quotation duly signed by your authorized representative through email at bac.secretariat@pnu.edu.ph not later than August 3, 2020 @ 4PM. Note: 1. Delivery period within sixty</t>
  </si>
  <si>
    <t xml:space="preserve"> 15	heads	Live Pig @ 110 kls live weight per head 300	kls	       Colored Chicken 100	kls	       Hot dog 100	kls	       Tilapia (3 in 1 per kilo) 100	kls	       Dressed Chicken 50	kls	       Dried Fish (Tulis) 200	kls	       Potato 100	kls	       Baguio bea</t>
  </si>
  <si>
    <t xml:space="preserve"> CONCRETING OF SISON-TAGBAYANI-MAYAG ROAD MUNICIPALITY OF MALIMONO, SURIGAO DEL NORTE Brief Description:	 The project will involve the Concreting of Sison-Tagbayani-Mayag Road with the following scope of works: Construction of Field Office for Engineers, P</t>
  </si>
  <si>
    <t xml:space="preserve"> BARANGAY GOVERNMENT UNIT OF PINAMANGGUAN Revised on: July 29, 2005 INVITATION TO APPLY FOR ELIGIBILITY AND TO BID The Barangay Government Unit of Pinamangguan, Kadingilan, Bukidnon, through the Bids and Award Committee (BAC), invites suppliers/manufacture</t>
  </si>
  <si>
    <t xml:space="preserve"> Kindly see attached bidding documents</t>
  </si>
  <si>
    <t xml:space="preserve"> INVITATION TO BID FOR THE Construction/Rehabilitation of Barangay Foot Trails LGU-Kabugao, Apayao 1.	The Local Government Unit of Kabugao, through Appropriation Ordinance No. 02-Series of 2019 (FY 2020 Annual Budget)   intends to apply the sum of Three Mi</t>
  </si>
  <si>
    <t xml:space="preserve"> Republic of the Philippines DEPARTMENT OF AGRICULTURE Regional Field Office IX, Zamboanga Peninsula INVITATION TO BID FOR SUPPLY AND DELIVERY OF 1,333 BAGS OF GROWER FEEDS (PELLETS) 1.	The Department of Agriculture Regional Field Office IX, through the GA</t>
  </si>
  <si>
    <t xml:space="preserve"> Republic of the Philippnes				 PROVINCE OF APAYAO	PROVINCE OF APAYAO			 Provincial Government Center	Provincial Government Center, San Isidro Sur			 San Isidro Sur, Luna, Apayao	LUNA, APAYAO			 				 PROVINCIAL BIDS AND AWARD COMMITTEE-INFRA				 				 INVIT</t>
  </si>
  <si>
    <t xml:space="preserve"> Invitation to Bid to all Supplier/Contractor duly accredited by the City Council of Manila to supply and deliver the following items provided hereunder, to wit; Item	 	Qty.	 	Unit	 	 	 	DESCRIPTION 1	 	10	 	Units	Two Way Radio	 	 	 	  2	 	10	 	Pcs	Refill </t>
  </si>
  <si>
    <t xml:space="preserve"> PROJECT BILLBOARD 1 lot OCCUPATIONAL SAFETY AND HEALTH PROGRAM 1 l.s. BACKFILL 85 cu.m. STONE MASONRY 248 cu.m. Republic of the Philippines Province of Ilocos Sur Municipality of SANTA MARIA BIDS AND AWARDS COMMITTEE Invitation to Bid for CONSTRUCTION OF </t>
  </si>
  <si>
    <t xml:space="preserve"> Mobilization/Demobilization Manual Excavation CHB Lined Canal Embankment Subgrade Preparation Aggregate Base Course PCCP (0.20 m THK 14 days) Occupational Safety and Health Program</t>
  </si>
  <si>
    <t xml:space="preserve"> B.9	Mobilization/Demobiliazation	lot	all	21,138.60 105(1)	Subgrade Preparation (Common Material)	292	sq.m.	5,402.00 201	Aggregate Base Coarse (100mmthk)	29	sq.m.	54,519.13 311(1)a	PVC Pavement Plain-Conventional Method, 200mm thk	292	sq.m.	417,440.28 SPL </t>
  </si>
  <si>
    <t xml:space="preserve"> Mayor's Office -------------------------------------------- 183,950.00 SB Office -------------------------------------------------- 118,495.00 MDRRM -------------------------------------------------- 38,170.00 HRMO ----------------------------------------</t>
  </si>
  <si>
    <t xml:space="preserve"> B.9	Mobilization/Demobiliazation	lot	all	13,211.60 103(1)a	Structure Excavation (Common Soil)	9.30	cu.m.	2,966.70 105(1)	Subgrade Preparation (Common Material)	260	sq.m.	4,563.00 201	Aggregate Base Coarse (100mm thk.)	26	cu.m.	48,360.00 311(1)a	PCC Paveme</t>
  </si>
  <si>
    <t xml:space="preserve"> Mobilization/Demobilization Removal of Structures and Obstruction Block Laying (Shoulder Protection) Embankment Subgrade Preparation Aggregate Base Course PCCP (0.20m THK) Occupational Safety and health Program</t>
  </si>
  <si>
    <t xml:space="preserve"> The Local Government Unit of Santa Fe, Nueva Vizcaya, through its Bids &amp; Awards Committee invites contractors to bid for the following project: Contract Name: 	CONSTRUCTION OF MULTI-PURPOSE BUILDING CUM EVACUATION CENTER (Four Sites) - Supply &amp; Delivery o</t>
  </si>
  <si>
    <t xml:space="preserve"> The Local Government Unit of Santa Fe, Nueva Vizcaya, through its Bids &amp; Awards Committee invites contractors to bid for the following project: Contract Name: 	SUPPLY &amp; DELIVERY OF CONSTRUCTION MATERIALS (CONSTRUCTION OF HANGING BRIDGE) Contract Location:</t>
  </si>
  <si>
    <t xml:space="preserve"> B.9	Mobilization/Demobiliazation	lot	all	21,000.00 102(2)b	Roadway Excavation (Surplus Common)	146	cu.m.	24,382.00 103(1)a	Structure Excavation (Common Soil)	11	cu.m.	3,553.00 105(1)	Subgrade Preparation (Common Material)	360	sq.m.	6,480.00 201	Aggregate </t>
  </si>
  <si>
    <t xml:space="preserve"> Supply and Delivery of Electrical Materials and Supplies for Installation of Solar Street Light</t>
  </si>
  <si>
    <t xml:space="preserve"> Supply and Delivery of Construction Materials and Supplies for Rehabilitation of Multi-Purpose Hall</t>
  </si>
  <si>
    <t xml:space="preserve"> Invitation to Bid for  Construction of Two (2) Storey, Four (4) Classroom Building 1.	The Municipal Government of Cavinti, Laguna, through the Special Education Fund (SEF) intends to apply the sum of Seven Million Seven Hundred Forty Eight Thousand Four H</t>
  </si>
  <si>
    <t xml:space="preserve"> INVITATION TO BID FOR  Procurement of Ambulance 1.	The Municipal Government of Cavinti, Laguna, through the DOE Electrification Fund intends to apply the sum of One Million Nine Hundred Ten Thousand  Pesos Only (Php 1,910,000.00) being the Approved Budget</t>
  </si>
  <si>
    <t xml:space="preserve"> Republic of the Philippines Province of Southern Leyte Municipality of Tomas Oppus Invitation to Bid  PROCUREMENT OF MATERIALS FOR THE SITE DEVELOPMENT OF RELOCATION SITE 1.	The Local Government of Tomas Oppus, through the General Fund 2020  intends to ap</t>
  </si>
  <si>
    <t xml:space="preserve"> Invitation to Bid for  Construction of Farm to Market Road 1.	The Municipal Government of Cavinti, Laguna, through the 2020 Annual Budget intends to apply the sum of Three Million Eight Hundred Eighteen Thousand Eight Hundred Twenty Five Pesos and Sevente</t>
  </si>
  <si>
    <t xml:space="preserve"> Republic of the Philippines Province of Southern Leyte Municipality of Tomas Oppus Invitation to Bid  PROCUREMENT OF MATERIALS FOR THE REPAIR AND MAINTENANCE OF MUNICIPAL BUILDING 1.	The Local Government of Tomas Oppus, through the General Fund 2020  inte</t>
  </si>
  <si>
    <t xml:space="preserve"> Mobilization/Demobilization Clearing and Grubbing Manual Excavation Gravel Bedding  Concrete Works Occupational Safety &amp; Health Program</t>
  </si>
  <si>
    <t xml:space="preserve"> Mobilization/Demobilization Clearing &amp; Grubbing Structure Excavation Subgrade Preparation Aggregate Base Course PCCP (0.20 m. thick) Cross Drain (5 units) CHB Lined Canal  Occupational Safety &amp; Health Program</t>
  </si>
  <si>
    <t xml:space="preserve"> Procurement of Third-Party Provider for Warehousing and Forwarding Services for DOH Commodities for Diabetes Mellitus, Mental Health &amp; Cancer Medicine Program of the Department of Health (DOH) for the year 2020</t>
  </si>
  <si>
    <t xml:space="preserve"> Training Supplies and Materials with the following inclusions per set: • 2 bottles of 150mL, 70% Solution Antiseptic Disinfectant Alcohol • 2 bottles of 250mL MultiPurpose Bleach (Disinfectant) • 1 pc. of 90g Germicidal Soap Other specifications: - Each s</t>
  </si>
  <si>
    <t xml:space="preserve"> Republic of the Philippines Province of Southern Leyte Municipality of Tomas Oppus Invitation to Bid  PROCUREMENT OF MATERIALS FOR THE FABRICATION OF MATERIAL RECOVERY FACILITY 1.	The Local Government of Tomas Oppus, through the Trust Fund  intends to app</t>
  </si>
  <si>
    <t xml:space="preserve"> Republic of the Philippines Department of Education Region VII, Central Visayas SCHOOLS DIVISION OF TOLEDO CITY INVITATION TO BID FOR Provision of Security Services for Gen. P. Del Rosario Elementary School 1.	The Schools Division of Toledo City, through </t>
  </si>
  <si>
    <t xml:space="preserve"> Invitation to Bid for  Construction of Potable Water System 1.	The Municipal Government of Cavinti, Laguna, through the DILG AM - 2019 intends to apply the sum of Three Million Three Hundred Fifty Six Thousand Six Hundred Fifty  Pesos and Forty Two Cents </t>
  </si>
  <si>
    <t xml:space="preserve"> Invitation to Bid for  Construction of Potable Water System 1.	The Municipal Government of Cavinti, Laguna, through the DOE Electrification Fund intends to apply the sum of One Million Eight Hundred Thirty Seven Thousand Three Hundred Sixty Nine Pesos and</t>
  </si>
  <si>
    <t xml:space="preserve"> Rehab of Water Tank Installation of distribution pipe</t>
  </si>
  <si>
    <t xml:space="preserve"> Mobilization/Demobilization Declogging of Existing Lined Canal Incidental Repair Works (Canal Covers) Occupational Safety and Health Program</t>
  </si>
  <si>
    <t xml:space="preserve"> ROAD CONCRETING, (LENGTH=150 MTS.,WIDE=2.50 MTS.,THICK=0.10 MTS.</t>
  </si>
  <si>
    <t xml:space="preserve"> Supply and Delivery of Construction Materials and Supplies for Improvement of Multi-Purpose Building</t>
  </si>
  <si>
    <t xml:space="preserve"> Mobilization/Demobilization Removal of Structures &amp; Obstructions Structure Excavation Embankment Riprap &amp; Grouted Riprap Occupational Safety &amp; Health Program</t>
  </si>
  <si>
    <t xml:space="preserve"> Republic of the Philippines   Province of Sarangani  Municipality of Alabel    Invitation to Bid for the Concreting of Municipal Street  (Osmeña Street, Poblacion, Alabel, Sarangani Province) 1.The Municipality of Alabel, through the Annual Budget for Cal</t>
  </si>
  <si>
    <t xml:space="preserve"> See attached.</t>
  </si>
  <si>
    <t xml:space="preserve"> The Bids and Awards Committee (BAC) of Luis UyChiat Elementary School invites interested bidders of 2020  Procurement of Supplies to be used for Modular Learning. Months Covered: August-December 2020 Approved Budget Contract: 79,150.00 Pre-bid Conference:</t>
  </si>
  <si>
    <t xml:space="preserve"> IMPROVEMENT OF POTABLE WATER SUPPLY SYSTEM Purok 2, Brgy. Fundado, Labo, Cams. Norte</t>
  </si>
  <si>
    <t xml:space="preserve"> DECLOGGING OF MUNICIPAL DRAINAGE Labo, Cams. Norte</t>
  </si>
  <si>
    <t xml:space="preserve"> RIPRAPPING OF GK VILLAGE Brgy. Masalong, Labo, Cams. Norte</t>
  </si>
  <si>
    <t xml:space="preserve"> REPUBLIC OF THE PHILIPPINES PROVINCE OF EASTERN SAMAR MUNICIPALITY OF LAWAAN REQUEST FOR QUOTATION PR No.: RFQ No.: PR Date: PhilGEPS Reference No. : End-User : Closing Date: ABC:81,400.00 Time: Sir/Madam: Please quote your lowest price on the items/s lis</t>
  </si>
  <si>
    <t xml:space="preserve"> Invitation to Bid for  Construction of Potable Water System 1.	The Municipal Government of Cavinti, Laguna, through the DILG AM - 2019 intends to apply the sum of Three Million Two Hundred Eighty Seven Thousand Eight Hundred Forty Eight Pesos and Eighty E</t>
  </si>
  <si>
    <t xml:space="preserve"> Invitation to Bid for  Construction of Potable Water System 1.	The Municipal Government of Cavinti, Laguna, through the DILG AM - 2020 intends to apply the sum of Three Million Six Hundred Sixty One Thousand Nine Hundred Seven Pesos and Twenty Eight Cents</t>
  </si>
  <si>
    <t xml:space="preserve"> Republic of the Philippines Department of Public Works and Highways OFFICE OF THE DISTRICT ENGINEER 		Camarines Sur 4th  District Engineering Office Caraycayon, Tigaon, Camarines Sur Tel. #(054)881-01-07 INVITATION TO BID The Department of Public Works an</t>
  </si>
  <si>
    <t xml:space="preserve"> Invitation to Bid for  Construction of National Child Development Center 1.	The Municipal Government of Cavinti, Laguna, through the Grants from ECCD Council intends to apply the sum of Two Million Four Hundred Ninety Five Thousand One Hundred Eighty Six </t>
  </si>
  <si>
    <t xml:space="preserve"> FENCING OF CHILD DEVELOPMENT CENTER- LABO ELEMENTARY SCHOOL Labo, Elementary School, Labo, Cams. Norte</t>
  </si>
  <si>
    <t xml:space="preserve"> THIS PROJECT INVOLVES THE IMPROVEMENT OF 108LNM CABLE BRIDGE AT BARANGAY MABONGTOT, LUBUAGAN SCOPE OF WORKS AS FOLLOWS: 1.  DEMOLITION OF WORKS         1.00 LOT 2. PROJECT LAY-OUT                   1.00 LOT 3. PORTAL "A":      EXCAVATION FOR STRUCTURE    </t>
  </si>
  <si>
    <t xml:space="preserve"> B.9	Mobilization/Demobiliazation	lot	all	10,569.30 105(1)	Subgrade Preparation (Common Material)	336	sq.m.	6,216.00 201	Aggregate Base Coarse (100mm thk.)	34	cu.m.	48,273.20 311(1)a	PCC Pavement Plain-Conventional Method, 200mm thk	336	sq.m.	433,440.00 SP</t>
  </si>
  <si>
    <t xml:space="preserve"> Section I. Invitation to Bid Republic of the Philippines PROVINCE OF ZAMBOANGA SIBUGAY Capitol Building, Ipil Heights, Ipil, Zamboanga Sibugay INVITATION TO BID FOR  New Born Hearing Screening Machine 1.	The Province of Zamboanga Sibugay, through the 20% </t>
  </si>
  <si>
    <t xml:space="preserve"> Use link to view the bidding documents https://drive.google.com/file/d/1R297nrEflE6SCb3uYUEsbiXqn5mDjJU4/view?usp=drivesdk</t>
  </si>
  <si>
    <t xml:space="preserve"> 25 pcs. 1-1/2” x 6m dia. G.I. pipe Sch 40 25 pcs. 1” x 6m dia. G.I pipe Sch 40 180 pcs. ½ ” x 6m dia. G.I pipe Sch 40 10 pcs. 1-1/2” G.I. Union  3 pcs. 1-1/2” G.I. Tee 10 pcs. G.I 1-1/2” coupling  5 pcs. G.I. 90 deg. X 1-1/2’ Dia. Elbow  10 pcs. 1” G.I un</t>
  </si>
  <si>
    <t xml:space="preserve"> Standard Form No.: SF-INFRA-               Republic of the Philippines          MUNICIPALITY OF ROSALES                  Province of Pangasinan                    INVITATION TO BID 	The Municipality of Rosales, through its Bids and Awards Committee (BAC),</t>
  </si>
  <si>
    <t xml:space="preserve"> INVITATION TO BID FOR The Procurement of 104 bags of Hybrid White Corn Seeds 1.	The Department of Agriculture-Regional Field Office 7, through the GAA 2020  intends to apply the sum of Five Hundred Twenty Thousand Pesos (₱520,000.00) being the Approved Bu</t>
  </si>
  <si>
    <t xml:space="preserve"> REHABILITATION OF RHU BUILDING  8 pcs. GI pipe Scafoldings and Bracing 2” diam. 10 pcs. 2”x 2” x 1/4” angle bar 1 box Welding rod(big)  5 pcs. 11/2” x 11/2”  x ¼”angle bar  2 pcs. Steel saw blade 2 pcs. Cutting disc 12”diam 2 pcs. Grinding disc 4” diam  2</t>
  </si>
  <si>
    <t xml:space="preserve"> Section I. Invitation to Bid Republic of the Philippines PROVINCE OF ZAMBOANGA SIBUGAY Capitol Building, Ipil Heights, Ipil, Zamboanga Sibugay INVITATION TO BID FOR  Veterinary Supplies for Distribution to Para-technician for Animal Health Care Services 1</t>
  </si>
  <si>
    <t xml:space="preserve"> INVITATION TO BID FOR The Procurement of 1,500 bags of Conventional Hybrid Yellow Corn Seeds 1.	The Department of Agriculture-Regional Field Office 7, through the GAA 2020  intends to apply the sum of Six Million Pesos (₱6,000,000.00) being the Approved B</t>
  </si>
  <si>
    <t xml:space="preserve"> INVITATION TO BID FOR The Procurement of GM Yellow Corn Seeds 1.	The Department of Agriculture-Regional Field Office 7, through the GAA 2020  intends to apply the sum of Four Million Pesos (₱4,000,000.00) being the Approved Budget for the Contract (ABC) t</t>
  </si>
  <si>
    <t xml:space="preserve"> INVITATION TO BID ITB  No. 098-Goods-2020 The City Government of Surigao, through its Bids and Awards Committee (BAC), invites suppliers to bid for the following: Name of Contract	:  Purchase &amp; Delivery of one (1) unit Brand New Service  			   Vehicle 			</t>
  </si>
  <si>
    <t xml:space="preserve"> INVITATION TO BID ITB  No. 099-Goods-2020 The City Government of Surigao, through its Bids and Awards Committee (BAC), invites suppliers to bid for the following: Name of Contract	:  Purchase &amp; Delivery of Brand New Service Vehicle 			     Location		:  SP</t>
  </si>
  <si>
    <t xml:space="preserve"> Republic of the Philippines Province of Iloilo Municipality of Sara BIDS AND AWARDS COMMITTEE INVITATION TO BID The Municipality of Sara, Iloilo, through the Bids and Awards Committee (BAC) invites suppliers/manufacturers/ distributors / contractors to ap</t>
  </si>
  <si>
    <t xml:space="preserve"> Invitation to Bid for the Concreting of Barangay Road Brgy. Manjagao, Surigao City ITB No. 097-Infra-2020    1.	The City Government of Surigao, intends to apply the sum of   One  Million  Pesos (Php1,000,000.00)  being the Approved Budget for the Contract</t>
  </si>
  <si>
    <t xml:space="preserve"> INVITATION TO BID ITB  No. 095-Brgy - 2020 The City Government of Surigao, through its Bids and Awards Committee (BAC), invites suppliers to bid for the following: Name of Contract	:  Purchase &amp; Delivery of Const. Materials &amp; Supplies for the  			   proje</t>
  </si>
  <si>
    <t xml:space="preserve"> Mobilization/Demobilization  Removal of Structure and Obstruction Subgrade Preparation   Block Laying (Shouldering Protection) Embankment  Aggregate Base Course PCCP (0.20 m THK) Occupational Safety and Health Program</t>
  </si>
  <si>
    <t xml:space="preserve"> 1.	The Bureau of Soils and Water Management, through the General Appropriation Act for CY 2020 intends to apply the sum of: LOT 1- Supply and Delivery of Palay and Vegetable seeds in the amount of One Million Three Hundred Seventy-Seven Thousand Seven Hun</t>
  </si>
  <si>
    <t xml:space="preserve"> INVITATION TO BID ITB  No. 096-Brgy - 2020 The City Government of Surigao, through its Bids and Awards Committee (BAC), invites suppliers to bid for the following: Name of Contract	:  Purchase &amp; Delivery of Const. Materials &amp; Supplies for the  			   proje</t>
  </si>
  <si>
    <t xml:space="preserve"> OFFICE OF THE BIDS AND AWARDS COMMITTEE (BAC) INVITATION TO BID FOR: 20-07-591 Supplies and Materials for the Maintenance of Government Facilities (Municipal Plaza, Municipal Building and Municipal Gym) 1.	The Local Government Unit of Alamada, through the</t>
  </si>
  <si>
    <t xml:space="preserve"> Livelihood Assistance to Tricycle Drivers/Farmers</t>
  </si>
  <si>
    <t xml:space="preserve"> 400	pcs	Wood, 2"x3"x10", delivered 120	pcs	Plywood, 1/4 thick, 4"x8", ordinary 485	pcs	Curtain, 1m x 2m 25	pcs	GI Sheet, Corrugated, Length-12', 4mm thick 10	pcs	Ridge roll, 4mm 4	pcs	Stainless Lavatory, .18mx.35mx.50m, with floor drain and hose accessori</t>
  </si>
  <si>
    <t xml:space="preserve"> Provision of Field Office for the Engineer (Rental Basis)				 Provision of Furniture/Fixture, Equipments and Appliances for the Field Office for the Engineer				 Provision of 4x2 Pick up Type Service Vehicle for the Engineer on Rental Basis				 Mobilizati</t>
  </si>
  <si>
    <t xml:space="preserve"> Provides a well-equipped space suitable for a wide range of activities in the barangay.</t>
  </si>
  <si>
    <t xml:space="preserve"> Provision of Field Office for the Engineer (Rental Basis)				 Provision of Furniture/Fixture, Equipments and Appliances for the Field Office of the Engineer				 Provision of 4x2 Pick up Type Service Vehicle for the Engineer (Rental Basis)				 Mobilization</t>
  </si>
  <si>
    <t xml:space="preserve"> Mobilization/Demobilization Installation of One Unit Deep Well with Accessories Tools Storage &amp; Power Pump Area Electrical Works Occupational Safety &amp; Health Program</t>
  </si>
  <si>
    <t xml:space="preserve"> Provision of Field Office for Engineer (Rental Basis) Project Billboard Occupational Safety &amp; Health Requirements Mobilization/Demobilization Removal of Structures and Obstructions Structure Excavation (Common Soil) Embankment from Borrow (Common Soil) Re</t>
  </si>
  <si>
    <t xml:space="preserve"> REHAB OF STAGE -CANAPAWAN COVERED COURT Brgy. Canapawan, Labo, Cams. Norte</t>
  </si>
  <si>
    <t xml:space="preserve"> Item. See program of Works and Bill of Quantities A. Finishing Works, A=100.00 sq.m B. Gate and Railings C. Ceiling Works</t>
  </si>
  <si>
    <t xml:space="preserve"> Republic of the Philippines DEPARTMENT OF PUBLIC WORKS AND HIGHWAYS CAMARINES SUR 2ND DISTRICT ENGINEERING OFFICE Regional Office V Baras, Canaman, Camarines Sur REQUEST FOR EXPRESSION OF INTEREST (REOI) FOR 20CSFE03 - Consulting Services for the Parcella</t>
  </si>
  <si>
    <t xml:space="preserve"> Republic of the Philippines Province of Cebu Municipality of Cordova BIDS AND AWARDS COMMITTEE (BAC) (032-236-6171) INVITATION TO BID  The Municipality of Cordova, through its Bids and Awards Committee (BAC) intends to apply  the sum of Eleven Million Pes</t>
  </si>
  <si>
    <t xml:space="preserve"> INVITATION TO BID IB NO. CW 2020 –  119 Construction of Barangay Stage at Guinobatan, Calapan City, Oriental Mindoro 1.  The Provincial Government of Oriental Mindoro (PGOM) through the General Fund 2020 - SB # 1 intends to apply the sum of Nine Hundred N</t>
  </si>
  <si>
    <t xml:space="preserve"> INVITATION TO BID IB NO. CW 2020 –  118 Completion of Covered Court with Bleachers at Villa Pag-asa, Bansud, Oriental Mindoro 1.  The Provincial Government of Oriental Mindoro (PGOM) through the General Fund 2020 intends to apply the sum of Nine Hundred N</t>
  </si>
  <si>
    <t xml:space="preserve"> INVITATION TO BID IB NO. CW 2020 –  117 Construction of Stage at Balite, Calapan City, Oriental Mindoro 1.  The Provincial Government of Oriental Mindoro (PGOM) through the General Fund 2020  intends to apply the sum of Nine Hundred Eighty Two Thousand Fo</t>
  </si>
  <si>
    <t xml:space="preserve"> Supply and Delivery of Office Furniture-Office of the Sangguniang Bayan, Sta. Catalina, I. Sur</t>
  </si>
  <si>
    <t xml:space="preserve"> INVITATION TO BID IB NO. CW 2020 –  106-A Completion of Evacuation Center at Mayabig, Baco, Oriental  Mindoro 1.  The Provincial Government of Oriental Mindoro (PGOM) through the 20% Development Fund-5% LDRRMF- SB # 1 intends to apply the sum of Four Hund</t>
  </si>
  <si>
    <t xml:space="preserve"> INVITATION TO BID IB NO. CW 2020 –  121 Improvement of Evacuation Center at Malapad, Baco, Oriental Mindoro 1.  The Provincial Government of Oriental Mindoro (PGOM) through the General Fund 2020 – 5% LDRRMF  intends to apply the sum of Five Hundred Ninety</t>
  </si>
  <si>
    <t xml:space="preserve"> Republic of the Philippines DEPARTMENT OF PUBLIC WORKS AND HIGHWAYS NEGROS OCCIDENTAL 1ST DISTRICT ENGINEERING OFFICE Region VI Matab-ang, Talisay City, Negros Occidental INVITATION TO BID  The Department of Public Works and Highways Negros Occidental 1st</t>
  </si>
  <si>
    <t xml:space="preserve"> INVITATION TO BID IB NO. CW 2020 –  120 Construction of Protection Dike at So. 3 and So. 7 at Merit, Victoria, Oriental Mindoro 1.  The Provincial Government of Oriental Mindoro (PGOM) through the General Fund 2020 – 5% LDRRMF  intends to apply the sum of</t>
  </si>
  <si>
    <t xml:space="preserve"> INVITATION TO BID IB NO. CW 2020 – 114 Improvement of Evacuation Center at Aninuan, Puerto Galera, Oriental Mindoro 1.  The Provincial Government of Oriental Mindoro (PGOM) through the General Fund 2020 – 5% LDRRMF intends to apply the sum of Three Hundre</t>
  </si>
  <si>
    <t xml:space="preserve"> Street lighting provides a number of important benefits. It can be used to promote security in the barangay and to increase the quality of life by artificially extending the hours in which it is light so that activity can take place.</t>
  </si>
  <si>
    <t xml:space="preserve"> Item: Road Concreting (0.15m x 3m x 115 m long.) A. Clearing and Grubbing B. Reinforced Concrete Slab, V= 2.25 cu.m C. Concrete. V= 51.75 cu,m D. Labor</t>
  </si>
  <si>
    <t xml:space="preserve"> Construction of Septic Vault @ Tubongan BHS 1. PORTLAND CEMENT 38 BAGS 2. 45-10MM ᴓ X 6M RSB 166.50 KGS 3. #16 TIE WIRE 5 KGS 4. SAHARA COMPOUND 20 KGS 5. ASSTD CWNAILS 3 KGS Construction of Septic Vault @ Naguilian BHS 1. PORTLAND CEMENT 38 BAGS 2. 45-10</t>
  </si>
  <si>
    <t xml:space="preserve"> LOT 1 - CONSTRUCTION OF NABUNDASAN POTABLE WATER SYSTEM LEVEL II              PROJECT DURATION - 60 CALENDAR DAYS             PROJECT COST - 1,705,921.88             SCOPE OF WORK:             CLEARING, EXCAVATION AND BACKFILLING, SIGNAGE (FRAMING AND INS</t>
  </si>
  <si>
    <t xml:space="preserve"> SCOPE OF WORKS: 1. SITE WORKS - CLEARING AND EXCAVATION, EMBANKMENT AND FILLING 2. CONCRETE WORKS 3.MASONRY WORKS 4.ROOFING 5. CARPENTRY WORKS 6. DOORS, WINDOWS AND RAILINGS (FABRICATION AND INSTALLATION) 7. TILE WORKS (FLOORING AND COMFORT ROOMS) 8. PAIN</t>
  </si>
  <si>
    <t xml:space="preserve"> 8 BP APPARATUS W/ STETHOSCOPE 1 DIGITAL BP APPARATUS 1 HANGING WEIGHING SCALE 1 DIGITAL WEIGHING SCALE 1 INFANTOMETER (BABY HEIGHT BOARD) 3 FIRST AID KIT</t>
  </si>
  <si>
    <t xml:space="preserve"> Provision of Field Office for Engineer (Rental Basis) Project Billboard Occupational Safety &amp; Health Requirements Mobilization/Demobilization Structure Excavation Embankment Stone Masonry Reinforcing Steel Bars (RSB) Concrete Works Removal of Existing Str</t>
  </si>
  <si>
    <t xml:space="preserve"> PORTLAND CEMENT 236 BAGS 474-PCS 10MM RSB 1,753.80 KGS #16 TIE WIRE 29 KGS 1/2" THK ORD. PLYWOOD 50 PCS ASSTD CWNAILS 36 KGS FORM OIL 8 GAL 500MM X 500MM STEEL GRATING 10 SET</t>
  </si>
  <si>
    <t xml:space="preserve"> Provision of Field Office for Engineer (Rental Basis) Project Billboard Occupational Safety &amp; Health Requirements Traffic Management Mobilization/Demobilization Structure Excavation Embankment (from Borrow) Sub-grade Preparation (Common Material) Aggregat</t>
  </si>
  <si>
    <t xml:space="preserve"> Invitation to Bid No. 2020-010 1.	The Tarlac State University, through the Special Budget (SB) Fund intends to apply the sum of Three Million Eight Hundred Nine Thousand Five Hundred Pesos (P 3,809,500.00) being the Approved Budget for the Contract (ABC) </t>
  </si>
  <si>
    <t xml:space="preserve"> Provision of Field Office for Engineer (Rental Basis) Project Billboard Occupational Safety &amp; Health Requirements Mobilization/Demobilization Structure Excavation Embankment Reinforcing Steel Bars Structural Concrete Works</t>
  </si>
  <si>
    <t xml:space="preserve"> INVITATION TO BID IB NO. CW 2020 –  122 Rehabilitation of Barangay Hall at Manihala, Bansud, Oriental Mindoro 1.  The Provincial Government of Oriental Mindoro (PGOM) through the General Fund 2020  intends to apply the sum of Nine Hundred Ninety Nine Thou</t>
  </si>
  <si>
    <t xml:space="preserve"> No.	Quantity	Unit	Item Description 			 1	1	unit	Printer Epson  2	36	bot	Epson Ink (black) 3	36	bot	Epson Ink (magenta) 4	36	bot	Epson Ink (cyan) 5	36	bot	Epson Ink (yellow) 6	1	unit	laminating machine No.	Quantity	Unit	Item Description 			 1	1	roll	lamina</t>
  </si>
  <si>
    <t xml:space="preserve"> INVITATION TO BID IB NO. CW 2020 –  116 Completion of Tennis Court at OMNHS, Calapan City, Oriental Mindoro 1.  The Provincial Government of Oriental Mindoro (PGOM) through the General Fund 2020 intends to apply the sum of Nine Hundred Ninety Nine Thousan</t>
  </si>
  <si>
    <t xml:space="preserve"> NAME OF THE PROJECT: Improvement of Perimeter (Donsol Centrum for Recreation)  LOCATION OF THE PROJECT: Market Site, Donsol, Sorsogon  PROJECT REFERENCE NO.:  INFRA-PB-2020-015  Approved Budget for the Contract: ₱580,000.00  Source of Fund: A.O. #07-s-202</t>
  </si>
  <si>
    <t xml:space="preserve"> Republic of the Philippines Province of Bukidnon Municipality of Damulog OFFICE OF THE BIDS AND AWARD COMMITTEE Invitation to Bid for the Supply and Delivery of Various Construction Materials for Municipal Isolation Unit Intended for COVID19 Pandemic  The</t>
  </si>
  <si>
    <t xml:space="preserve"> PROJECT REFERENCE NO. CWD 33-2020 INVITATION TO BID FOR  Supply and Delivery of Various Cast Iron Fittings Item No.	Item Description	Qty.	Unit	Unit Cost	Total Amount 1	Gate Valve 50mm (2"),M/M	12	Pcs	6,877.20	82,526.40 2	Gate Valve 75mm (3"),M/M	3	Pcs	10,</t>
  </si>
  <si>
    <t xml:space="preserve"> INVITATION TO BID IB NO. CW 2020 – 115 Improvement of Day Care Center at Fortuna, Socorro, Oriental Mindoro 1.  The Provincial Government of Oriental Mindoro (PGOM) through the 20% Development fund 2020 intends to apply the sum of Four Hundred Forty Six T</t>
  </si>
  <si>
    <t xml:space="preserve"> INVITATION TO BID  IB-2020-019-GOODS-OSEG-TDO PROCUREMENT OF THIRTY (30) UNITS VIDEO CAMERA FOR THE USE OF OVER SPEEDING ENFORCEMENT GROUP 1.	The Metropolitan Manila Development Authority (“MMDA”), through the 2019 LOCAL FUND 2020 Regular 2019 CONTINUING </t>
  </si>
  <si>
    <t xml:space="preserve"> BIDS AND AWARDS COMMITTEE INVITATION TO BID No. 070-2020 The METRO ROXAS WATER DISTRICT (MRWD), through its Bids and Awards Committee (BAC), invites Manufacturers/Suppliers/Distributors to apply for eligibility and to bid for the hereunder project: Name o</t>
  </si>
  <si>
    <t xml:space="preserve"> Republic of the Philippines Province of Northern Samar MUNICIPALITY OF LOPE DE VEGA -oo0oo- BIDS AND AWARDS COMMITTEE INVITATION TO BID  The Bids and Awards Committee of the Municipality of Lope de Vega hereby invites accredited business entities to bid f</t>
  </si>
  <si>
    <t xml:space="preserve"> DEPARTMENT OF PUBLIC WORKS AND HIGHWAYS Contract ID: 20CSIB10 Contract Name: CONSULTANCY SERVICES FOR PARCELLARY SURVEY OF THE CONSTRUCTION OF BORONGAN BYPASS AND DIVERSION ROAD, BORONGAN CITY, EASTERN SAMAR. Contract Location: EASTERN SAMAR Republic of t</t>
  </si>
  <si>
    <t xml:space="preserve"> Use link to view the bidding documents https://drive.google.com/file/d/1NWmcvASepLr9zIUIO0DHsngyReMxXs20/view?usp=drivesdk</t>
  </si>
  <si>
    <t xml:space="preserve"> Construction of Flooring with tiles, Flooring, Walling, Ceiling</t>
  </si>
  <si>
    <t xml:space="preserve"> Provision of Field Office for Engineer (Rental Basis) Project Billboard Occupational Safety &amp; Health Requirements Traffic Management Mobilization/Demobilization Removal of Existing Concrete Pavement (0.15m thk.) Roadway Excavation Subgrade Preparation (Co</t>
  </si>
  <si>
    <t xml:space="preserve"> Republic of the Philippines CITY OF TACURONG OFFICE OF THE CITY MAYOR INVITATION TO BID FOR PROGRESSIVE CONSTRUCTION OF MULTI-PURPOSE BUILDING (Contract ID No: 2020-CW-021) The City Government of Tacurong, through Locally Funded Projects &amp; Programs Gen. A</t>
  </si>
  <si>
    <t xml:space="preserve"> THE OFFICE OF THE BIDS AND AWARDS COMMITTEE, SAN CARLOS CITY IS IN NEED OF SUPPLY/DELIVERY OF 1 UNIT LED WALL DISPLAY (OUTDOOR), 1 UNIT LED MOBILE TRAILER</t>
  </si>
  <si>
    <t xml:space="preserve"> THE OFFICE OF THE BIDS AND AWARDS COMMITTEE, SAN CARLOS CITY IS IN NEED OF SUPPLY/DELIVERY OF VARIOUS VACCINES FOR ANIMAL BITE TREATMENT CENTER.</t>
  </si>
  <si>
    <t xml:space="preserve"> INVITATION TO BID No. IB-2020-VIII-17-01 The Municipality of Sibalom through its Bids &amp; Awards Committee (BAC), invites bidders/contractors to apply for eligibility and to bid for the hereunder project: Project           	 		:	Farm to Market Road( Igcococ</t>
  </si>
  <si>
    <t xml:space="preserve"> PROJECT REFERENCE NO. CWD 34-2020 INVITATION TO BID FOR  Supply and Delivery of Various Electrical Supplies Item No.	Item Description	Qty.	Unit	Unit Cost	Total Amount 1	Circuit Breaker 30A (plug on or bolt on)	6	pcs	1,046.65	6,279.90 2	Circuit Breaker 40A</t>
  </si>
  <si>
    <t xml:space="preserve"> INVITATION TO BID FOR THE PROCUREMENT OF THREE (3) YEAR HOTEL ACCOMMODATIONS FOR CASINO GUEST OF SATELLITE OPERATIONS GROUP (SOG) 4 UNDER ITB NO.  PB20-02-026CORa-07 (REBIDDING)  The Philippine Amusement and Gaming Corporation (PAGCOR) is inviting all int</t>
  </si>
  <si>
    <t xml:space="preserve"> NAME OF THE PROJECT: Construction of Barangay Material Recovery Facility (rolling) for Bgys.                                                              Market Site, Banban, Awaii, Dancalan, and Bandi)  LOCATION OF THE PROJECT: Bgys. Market Site, Banban,</t>
  </si>
  <si>
    <t xml:space="preserve"> NAME OF THE PROJECT: Construction of Barangay Material Recovery Facility (Fixed) for Bgys.                                                              Pinamanaan, Lourdes, Girawan, Cristo and Orange)  LOCATION OF THE PROJECT: Bgys. Pinamanaan, Lourdes, G</t>
  </si>
  <si>
    <t xml:space="preserve"> INVITATION TO BID  IB-2020-018-GOODS-WB Supply and Delivery of Various ICT Equipment to be used by the PMO under Metro Manila Flood Management Project  1.	The Metropolitan Manila Development Authority (“MMDA”), through the RA 11465 GENERAL APPROPRIATIONS </t>
  </si>
  <si>
    <t xml:space="preserve"> Date	:	July 23,  2020 Project Title 	:	Supply and Delivery of Eleven (11) Lots Wines and Spirits Lot	Description	Quantity 1	Supply and Delivery of  Whisky, 1 Liter	30 bottles 2	Supply and Delivery of Fine  Champagne  Cognac, 700 ml.	21 bottles 3	Supply an</t>
  </si>
  <si>
    <t xml:space="preserve"> Republic of the Philippines  Office of the Municipal Mayor BIDS AND AWARDS COMMITTEE Sual, Pangasinan Invitation to Bid for PROCUREMENT OF ONE (1) UNIT PAYLOADER Sual, Pangasinan 1.	The Municipal Government of Sual, Pangasinan, through the Local Fund - 20</t>
  </si>
  <si>
    <t xml:space="preserve"> INVITATION TO BID  The Barangay Dugong, Mlang, Cotabato through its Bids and Awards Committee (Bac) invites PHILGEPS registered suppliers to apply to bid for the Supply and Delivery of various Materials for COMPLETION OF BARANGAY HALL PHASE V. I. STEEL WO</t>
  </si>
  <si>
    <t xml:space="preserve"> INVITATION TO BID FOR THE SUPPLY, DELIVERY AND COMMISSIONING  OF ONE (1) UNIT PRECISION BALANCE SCALE, ONE (1) UNIT DEFIBRILLATOR ANALYZER AND ONE (1) UNIT ELECTROSURGICAL (ESU) ANALYZER (IB NO. 2020-GOODS-012-01-0727Rep) 1.	The ILOCOS TRAINING AND REGION</t>
  </si>
  <si>
    <t xml:space="preserve"> Republic of the Philippines BARANGAY PURISIMA Municipality of Manapla, Negros Occidental Name of the project:Rehabilitation of water system (level II) Location of the Project:Barangay Purisima,Municipality of Manapla INVITATION TO APPLY FOR ELIGIBILITY AN</t>
  </si>
  <si>
    <t xml:space="preserve"> REQUEST FOR QUOTATION Date	:	July 23,  2020 Project Title 	:	Supply and Delivery of Eleven (11) Lots Wines and Spirits Lot	Description	Quantity 1	Supply and Delivery of  Whisky, 1 Liter	30 bottles 2	Supply and Delivery of Fine  Champagne  Cognac, 700 ml.	</t>
  </si>
  <si>
    <t xml:space="preserve"> Pls see attached documents</t>
  </si>
  <si>
    <t xml:space="preserve"> INVITATION TO BID  IB-2020-017-GOODS-WB Supply and Delivery of Various ICT Equipment for the Faster Measurement of Surveying Data Collection of Complex Waterways, Rivers and Drainage Catchments within Pumping Station  1.	The Metropolitan Manila Developmen</t>
  </si>
  <si>
    <t xml:space="preserve"> CONTRACT ID #: 19-11-219 2ND REBID = CLUSTER OF COMPLETION/REPAIR/RENOVATION/REHABILITATION OF ZAMBOANGA DEL SUR MEDICAL CENTER</t>
  </si>
  <si>
    <t xml:space="preserve"> CONTRACT ID # 20-07-101 = PPROPOSED COMPLETION OF SAN MIGUEL RURAL HEALTH UNIT</t>
  </si>
  <si>
    <t xml:space="preserve"> CONTRACT ID # 20-07-100 = PROPOSED COMPLETION OF LAPUYAN RURAL HEALTH UNIT</t>
  </si>
  <si>
    <t xml:space="preserve"> CONSTRUCTION OF POTABLE WATER SYSTEM LEVEL I COMPOSE OF 6 units water Pump with pump house and tapstand,1000 liters capacity steel water tank  with painting of brgy.Poblacion Libungan, Cotabato.</t>
  </si>
  <si>
    <t xml:space="preserve"> 2ND INVITATION TO BID The Municipal Government of La Trinidad through the Bids and Awards Committee (BAC) invites contractors to bid for the hereunder project: Contract Reference No.: POW - 8751 - 2020 - BNG - 02 Name of Project: Completion of Multi-purpo</t>
  </si>
  <si>
    <t xml:space="preserve"> NAME OF THE PROJECT: Construction of SB Building (Phase 2)  LOCATION OF THE PROJECT: LGU Cmpd., Awaii, Donsol, Sorsogon PROJECT REFERENCE NO.:  INFRA-PB-2020-018  Approved Budget for the Contract: ₱6,500,000.00  Source of Fund: C.O. 2020 + A.O. 06 s-2020 </t>
  </si>
  <si>
    <t xml:space="preserve"> GEODETIC SERVICE</t>
  </si>
  <si>
    <t xml:space="preserve"> DRUGS AND MEDICINES</t>
  </si>
  <si>
    <t xml:space="preserve"> MUNICIPALITY OF ABRA DE ILOG Name of Procuring Entity						                 Contract Reference Number Infra No. 03-2020 Name of Contract:  Construction of Potable Water System      Location: Brgy. Sta. Maria, Abra de Ilog, Occ. Mindoro Republic of the Phi</t>
  </si>
  <si>
    <t xml:space="preserve"> Republic of the Philippines																		 Province of Bohol																		 Municipality of Buenavista																		 																		 Barangay LUBANG																		 INVITATION TO APPLY FOR ELIGIBILITY AND TO BID																		 										</t>
  </si>
  <si>
    <t xml:space="preserve"> Various Catheterization Laboratory Supplies for 2020 use</t>
  </si>
  <si>
    <t xml:space="preserve"> MUNICIPALITY OF ABRA DE ILOG Name of Procuring Entity						                 Contract Reference Number Infra No. 02-2020 Name of Contract:  Upgrading and Improvement of Kuli-kuli Road 3      Location: Brgy. Armado, Abra de Ilog, Occ. Mindoro Republic of th</t>
  </si>
  <si>
    <t xml:space="preserve"> MUNICIPALITY OF ABRA DE ILOG Name of Procuring Entity						 Contract Reference Number Goods No. 27-2020 Name of Contract: Supply and Delivery of Materials for the Construction of Barangay Multi-Purpose Hall  Location Brgy. Sta. Maria, ADIOM Republic of th</t>
  </si>
  <si>
    <t xml:space="preserve"> CONTRACT ID # 19-10-197 2ND REBID = CONSTRUCTION OF LUNDAY BHS</t>
  </si>
  <si>
    <t xml:space="preserve"> EXCAVATION/BACKFILL CONCRETE WORKS STEEL WORKS MILL WORKS (SOLAR LIGHT) PAINTING</t>
  </si>
  <si>
    <t xml:space="preserve"> Item: 1. Earthworks B. Concrete Works      1. Footing V=1.08 cu.m      2. Abbuttment Wall, V-1.62 cu.m      3. Reinforcement Concrete Beam V=1.28      4. Slab, V= 1.56 cu.m      5. Wingwalls, V= 2.40; t= 0.20,</t>
  </si>
  <si>
    <t xml:space="preserve"> INVITATION TO BID PURCHASE AND DELIVERY OF WHEEL LOADER ITB 2020-07-037(GOODS) 1. 	The Municipality of Tuba, through the Budget for the contract approved by the Sangguniang Bayan for the Supplemental Budget No. 3 CY 2020 intends to apply the sum of Two Mi</t>
  </si>
  <si>
    <t xml:space="preserve"> The Municipality of Sta. Cruz through its Bids and Awards Committee (BAC), invites suppliers to apply for eligibility and if found eligible, to bid for the hereunder contract:        Name of Project		: Purchase of Ambulance  ABC			: Php2,800,000.00 Sour o</t>
  </si>
  <si>
    <t xml:space="preserve"> CONTRACT ID #: 20-07-104 = PROPOSED EXTENSION OF LEON POSTIGO RURAL HEALTH UNIT</t>
  </si>
  <si>
    <t xml:space="preserve"> Republic of the Philippines PROVINCE OF ZAMBALES IBA BIDS AND AWARDS COMMITTEE Invitation to Bid for the Construction of Legislative Building Phase 4 at RMTU old site, Iba, Zambales 1.	The Province of Zambales, through the General Fund C.Y.-2020 intends t</t>
  </si>
  <si>
    <t xml:space="preserve"> CONTRACT ID # 20-07-103 = REPAIR / UPGRADING OF GODOD RURAL HEALTH UNIT</t>
  </si>
  <si>
    <t xml:space="preserve"> The Municipal Government of Atok, Benguet now invites bids for PROCUREMENT OF ONE (1) UNIT PASSENGER VAN FOR THE OFFICIAL USE OF MUNICIPAL OFFICIALS AND EMPLOYEES, ATOK, BENGUET with the following description: ONE (1) UNIT PASSENGER VAN (For general urban</t>
  </si>
  <si>
    <t xml:space="preserve"> The Municipal Government of Atok, Benguet now invites bids for MDF CLUSTER 7-2020 PROJECTS AT PAOAY, ATOK, BENGUET with the following Clustered Projects: 1.	CONSTRUCTION OF CONCRETE PAVEMENT ALONG LOWER ENGLANDAD-MADECLAN ROAD WITH AN ABC OF P500,000.00; </t>
  </si>
  <si>
    <t xml:space="preserve"> Republic of the Philippines PROVINCE OF SIQUIJOR Capitol, Bldg., Pulangyuta, Siquijor, Siquijor INVITATION TO BID FOR Supply and Delivery of 83 units Desk Computer 1.	The Province of Siquijor, through the DEP-ED Supplemental #1 300-107-05-030 funds intend</t>
  </si>
  <si>
    <t xml:space="preserve"> Republic of the Philippines PROVINCE OF CAMARINES SUR BIDS AND AWARDS COMMITTEE 								 	    	                      ITB No.043-08-2020 INVITATION TO BID 	The Provincial Government of Camarines Sur (PGCS) through its Bids and Awards Committee (BAC) invite</t>
  </si>
  <si>
    <t xml:space="preserve"> The Municipal Government of Atok, Benguet now invites bids for PROCUREMENT OF VARIOUS MEDICINES (TF) FOR THE USE OF MUNICIPAL HEALTH OFFICE AND BARANGAY HEALTH STATIONS OF ATOK, BENGUET with the following description: 1.	250	box	 Amoxicillin 500 mg Capsul</t>
  </si>
  <si>
    <t xml:space="preserve"> Invitation to Bid for the Completion of 2-Storey of Multi Purpose Building    Brgy. Togbongon, Surigao City ITB No. 0102-Infra-2020    1.	The City Government of Surigao, intends to apply the sum of   Four Million Pesos (Php4,000,000.00)  being the Approve</t>
  </si>
  <si>
    <t xml:space="preserve"> See attached at the back of Invitation to Bid</t>
  </si>
  <si>
    <t xml:space="preserve"> INVITATION TO BID   (2020-07-03) The Department of Justice (DOJ), through the Bids and Awards Committee (BAC) is inviting interested parties to bid the hereunder project:                 Name of Project	:	Purchase of Various Office Furniture &amp; Fixtures 		</t>
  </si>
  <si>
    <t xml:space="preserve"> INVITATION TO BID  Procurement of Farm Machineries and Equipment Support for Rice Production, Mushroom Production and Duck Egg Production under Climate Resilient Farm Productivity Support (CRFPS) to Selected ARBOs in Negros Occidental I   1. The Departmen</t>
  </si>
  <si>
    <t xml:space="preserve"> INVITATION TO BID (2020-07-02) The Department of Justice (DOJ), through the Bids and Awards Committee (BAC) is inviting interested parties to bid the hereunder project:                 Name of Project	:	Purchase of Roll up Blinds and Folding Doors 		 Loca</t>
  </si>
  <si>
    <t xml:space="preserve"> Republic of the Philippines Province of Lanao del Norte Municipality of Tubod OFFICE OF THE BIDS AND AWARDS COMMITTEE INVITATION TO BID PURCHASE OF FILE COMPACTORS WRINKLED ENAMEL FINISH OF MUNICIPAL CIVIL REGISTRAR OFFICE, Tubod, Lanao del Norte  (ITB-20</t>
  </si>
  <si>
    <t xml:space="preserve"> Invitation to Bid for the Concreting of Road (Completion) Brgy. Zaragosa, Surigao City ITB No. 0101-Infra-2020    1.	The City Government of Surigao, intends to apply the sum of   One  Million  Pesos (Php1,000,000.00)  being the Approved Budget for the Con</t>
  </si>
  <si>
    <t xml:space="preserve"> Construction of Brgy Multipurpose Hall, Phase-II See Program of Works, Plans and Estimate upon submission of LOI</t>
  </si>
  <si>
    <t xml:space="preserve"> INVITATION TO BID ITB  No. 0100-Goods-2020 The City Government of Surigao, through its Bids and Awards Committee (BAC), invites suppliers to bid for the following: Name of Contract	:  Purchase &amp; Delivery of one (1) unit  Service Vehicle 			    (brand new)</t>
  </si>
  <si>
    <t xml:space="preserve"> Item Description	Quantity	Unit a.	Project Billboard	1.00	unit b.	Excavation	18.99	Cum c.	Rebars	8,938.10	Kg. d.	Formworks and Scaffolding	403.83	Sqm. e.	Concrete Works	64.78	Cum f.	Backfilling Materials	9.67	Cum g.	Supply and Fixing of Boulders	25.50	Cum </t>
  </si>
  <si>
    <t xml:space="preserve"> CONTRACT ID #: 20-07-107 = REPAIR / RENOVATION OF LABASON RURAL HEALTH UNIT</t>
  </si>
  <si>
    <t xml:space="preserve"> CONTRACT ID # 20-07-102 = PROPOSED COMPLETION OF SAN PABLO RURAL HEALTH UNIT</t>
  </si>
  <si>
    <t xml:space="preserve"> BIDS AND AWARDS COMMITTEE INVITATION TO BID The DEPARTMENT OF HEALTH – CENTRAL VISAYAS CENTER for HEALTH DEVELOPMENT (DOH – CV CHD), through its Bids and Awards Committee (BAC), invites contractors to bid for the hereunder projects: BAC NO. 2020-I02 	 NAM</t>
  </si>
  <si>
    <t xml:space="preserve"> The Municipality of Pateros, through its Bids and Awards Committee (BAC) will undertake a Small Value Procurement for the “Procurement of Brand New Notebook Laptop intended for the utilization  of the Office of the Mayor, Municipality of Pateros” in accor</t>
  </si>
  <si>
    <t xml:space="preserve"> 1. The MLGU-Pasil, now invites bids for the Counterpart to IMPROVEMENT/COMPLETION OF EVACUATION CENTER. The project is located at Guinaang, Pasil Municipality, Province of Kalinga. The following are the Item of Works;					 					 	ITEM NO.	DESCRIPTION	QUAN</t>
  </si>
  <si>
    <t xml:space="preserve"> SOLAR PANEL LIGHT WITH POST</t>
  </si>
  <si>
    <t xml:space="preserve"> Section I. Invitation to Bid Republic of the Philippines PROVINCE OF ZAMBOANGA SIBUGAY Capitol Building, Ipil Heights, Ipil, Zamboanga Sibugay INVITATION TO BID FOR  Hospital and Medical Equipment 1.	The Province of Zamboanga Sibugay, through the GF-SB#1,</t>
  </si>
  <si>
    <t xml:space="preserve"> CONTRACT ID #Z:  20-07-105 = REPAIR RENOVATION OF LABASON DISTRICT HOSPITAL</t>
  </si>
  <si>
    <t xml:space="preserve"> BIDS AND AWARDS COMMITTEE INVITATION TO BID The DEPARTMENT OF HEALTH – CENTRAL VISAYAS CENTER for HEALTH DEVELOPMENT (DOH – CV CHD), through its Bids and Awards Committee (BAC), invites contractors to bid for the hereunder projects: BAC NO. 2020-I03 	 NAM</t>
  </si>
  <si>
    <t xml:space="preserve"> DRUGS, MEDICINES, MEDICAL LABORATORY-DENTAL SUPPLY</t>
  </si>
  <si>
    <t xml:space="preserve"> CONTRACT ID #: 20-07-106 = REPAIR / RENOVATION / UPGRADING OF MANUKAN RHU</t>
  </si>
  <si>
    <t xml:space="preserve"> Name of Project 	:	FABRICATION/INSTALLATION OF PRE-FABICATED  ISOLATION FACILITIES BRGY. MALABANBAN NORTE  CANDELARIA, QUEZON Brief Description	:	 Source of Funding	:	SPA (BAYANIHAN FUND) Approved Budget	:	PhP 2,831,836.64 Contract Duration	:	40 Calendar </t>
  </si>
  <si>
    <t xml:space="preserve"> REHABILITATION/IMPROVEMENT OF FARM TO MARKET ROAD AT BRGY. SAN ROQUE, SAN MANUEL, PANGASINAN</t>
  </si>
  <si>
    <t xml:space="preserve"> REQUEST FOR QUOTATION (RFQ) SHOPPING –WORKS Construction of SRT Green House with Storage (In support to Potato Tuberlets Production and Marketing) Estimated Project Cost: PhP 3,846,000.00 ID No.: PRDP-IR-CAR-BEN-021-LAT-021-2019 Loan No. 8421-PH July 27, </t>
  </si>
  <si>
    <t xml:space="preserve"> Republic of the Philippines Province of Siquijor Municipality of Maria Barangay Nabutay   Invitation to Bid forRehabilitation of Barangay Office– Nabutay, Maria,  Siquijor/NAB-0002I-2020 1.	The Barangay Local Government Unit of Nabutay, through the 20% De</t>
  </si>
  <si>
    <t xml:space="preserve"> PLEASE SEE ATTACHED INVITATION TO BID FOR THE PROJECT DESCRIPTION.</t>
  </si>
  <si>
    <t xml:space="preserve"> PARTICULARS	DATE Pre-bid Conference @ BAC Conference Room, GSO, 1st floor, New Capitol Blg, Pigcarangan, Tubod,LDN.	August 6,  2020 @ 10:00 AM Deadline for Submission of Eligibility requirements and bidding documents for bid opening (all bids must be plac</t>
  </si>
  <si>
    <t xml:space="preserve"> DRUGS, MEDICINES, MEDICAL LABORATORY-DENTAL SUPPLIES &amp; MEDICAL EQUIPMENT</t>
  </si>
  <si>
    <t xml:space="preserve"> Section I. Invitation to Bid Republic of the Philippines Province of Misamis Oriental Municipality of Salay  Invitation to Bid for Construction of Flood Control Dike (Phase 2) 1.	The Local Government Unit of Salay, through the 5% Calamity Fund  intends to</t>
  </si>
  <si>
    <t xml:space="preserve"> The Municipal Government of Atok, Benguet now invites bids for SUPPLY AND DELIVERY OF VARIOUS HYGIENE KIT FOR PRE-SCHOOL CHILDREN IN THE MUNICIPALITY with the following description: 1.	555	Pieces	Kid Toothbrush, gentle soft 2.	370	Pieces	Kids Cavity Prote</t>
  </si>
  <si>
    <t xml:space="preserve"> INVITATION TO BID FOR  Improvement of Waterworks System Project The Municipality of Bindoy, through the Municipal Rural Health Unit intends to apply the sum of TWO HUNDRED SEVENTY-ONE THOUSAND ONE HUNDRED FIFTY-SEVEN &amp; 10/100 (P 471,157.10) being the Appr</t>
  </si>
  <si>
    <t xml:space="preserve"> The Bids and Awards Committee								 Province of Iloilo								 								      In connection with your Invitation to Bid No. PEO-20-0898 B scheduled on August 10, 2020, I/we proposed to furnish and deliver in conformity with the terms and conditions, and </t>
  </si>
  <si>
    <t xml:space="preserve"> PARTICULARS	DATE Pre-bid Conference @ BAC Conference Room, GSO, 1st floor, New Capitol Blg, Pigcarangan, Tubod,LDN on August 6,  2020 @ 10:00 AM Deadline for Submission of Eligibility requirements and bidding documents for  bid opening (all bids must be p</t>
  </si>
  <si>
    <t xml:space="preserve"> OFFICE SUPPLIES, EQUIPMENT AND TOYS</t>
  </si>
  <si>
    <t xml:space="preserve"> 20 units Micro Desktop Computer 33 units Laptop Computer 5 units High-End Laptop Computer 2 units Portable Scanner 5 units Network switch 6 units Uninterruptible Power Supply 5 units NAS Rack Mounted 5 units Network Rack</t>
  </si>
  <si>
    <t xml:space="preserve"> Description   Republic of the Philippines Province of Iloilo Municipality of Sara BIDS AND AWARDS COMMITTEE INVITATION TO BID The Municipality of Sara, Iloilo, through the Bids and Awards Committee (BAC) invites suppliers/manufacturers/ distributors / con</t>
  </si>
  <si>
    <t xml:space="preserve"> TOILET BOWL</t>
  </si>
  <si>
    <t xml:space="preserve"> Republic of the Philippines Region X PROVINCE OF LANAO DEL NORTE Gov. Arsenio A. Quibranza Provincial Government Center Pigcarangan, Tubod, Lanao del Norte OFFICE OF THE CHAIRPERSON OF THE BIDS AND AWARDS COMMITTEE Provincial Government of Lanao del Norte</t>
  </si>
  <si>
    <t xml:space="preserve"> Republic of the Philippines National Kidney and Transplant Institute Bids and Awards Committee East Avenue, Quezon City 1100 981-0300 / 981-0400 local 1157 http://www.nkti.gov.ph/	 INVITATION TO BID for the ITB No. 20-071 SUPPLY AND DELIVERY OF THIRTY (30</t>
  </si>
  <si>
    <t xml:space="preserve"> The Municipal Government of Atok, Benguet now invites bids for PROCUREMENT OF ONE (1) UNIT PASSENGER VAN WITH DUAL AIRCON FOR THE OFFICIAL USE OF MDRRM OFFICE, ATOK, BENGUET with the following description: 1	Unit 	PASSENGER VAN with DUAL AIRCON  	 	Model:</t>
  </si>
  <si>
    <t xml:space="preserve"> Master Code – Master F11 type 70-S-8189UA Ink Code-Ink Fill Type (black) S-8113 UA</t>
  </si>
  <si>
    <t xml:space="preserve"> Republic of the Philippines PROVINCE OF MASBATE Masbate City BIDS AND AWARDS COMMITTEE (BAC) 2nd Floor PGSO Building, Capitol Road, Masbate City INVITATION to BID 	The Provincial Government of Masbate, through its Bids and Awards Committee (BAC) invites s</t>
  </si>
  <si>
    <t xml:space="preserve"> - The Municipality of Baliguian, request for quotation for the Procurement of 1 Unit Mini Bus (20 seaters). - The Estimated Budget Cost is One Million Thirty Four Thousand Five Hundred Eighty Eight Pesos and 65/100 (P1,034,588.65). - Interested suppliers/</t>
  </si>
  <si>
    <t xml:space="preserve"> Contract ID:	20GFH0022 Contract Name:	SUPPLY AND DELIVERY OF OFFICE STEEL CABINETS FOR USE IN THE DPWH, VIRAC, CATANDUANES (PR#20-07-043 DATED 7/21/2020) Contract Location:	DPWH, VIRAC, CATANDUANES  Scope of Work:	SUPPLY AND DELIVERY OF OFFICE STEEL CABIN</t>
  </si>
  <si>
    <t xml:space="preserve"> Description: Length:  50 L.M. Width:  1.0 - 1.2 m Thickness:  .12 m</t>
  </si>
  <si>
    <t xml:space="preserve"> Section I. Invitation to Bid INVITATION TO BID  DA8-Goods-2020-36 Rebidding (PR No. CORN 20-05-20-0161) 1.	The Department of Agriculture-Regional Field Office No. 8, through the CORN 2020 intends to apply the sum of Two Million Four Hundred Seventy-Six Th</t>
  </si>
  <si>
    <t xml:space="preserve"> Item No.	PARTICULARS/DESCRIPTION	Qty.	Unit 1	Cartridges for 6000 series respirators, w/ NIOSH approval, for use with certain organic vapors/acid gases, 2pc/pack	2	packs 2	Centrifuge Tube 50 ml self-standing 25 tubes/bag	4	bags 3	Centrifuge Tube 50 ml plug</t>
  </si>
  <si>
    <t xml:space="preserve"> Contract ID:	20GFH0023 Contract Name:	SUPPLY AND INSTALLATION OF STAINLESS BUILT-UP LOGO AND LETTERS FOR USE IN THE DPWH BUILDING, VIRAC, CATANDUANES (PR#20-07-042 DATED 7/21/2020) Contract Location:	VIRAC, CATANDUANES Scope of Work:	SUPPLY AND INSTALLATI</t>
  </si>
  <si>
    <t xml:space="preserve"> 1 Set Public Address System with  at least 500W Amplifier, 6 Pcs. 16" Horn with 100W Drive Unit, 6 Pcs. Line Matching Transformer, 1 Pc. Table Microphone, Inclusive of Outdoor Cables and Labor for Installation/Commissioning</t>
  </si>
  <si>
    <t xml:space="preserve"> 2 sets Computer, Desktop (Minimum Hardware Requirements: Processor: Core i5 Memory: 8GB Storage: 512GB SSD OS: Windows 10 64-Bit Network: Ethernet and Wireless/USB WIFI Adapter With Additional Accessories: 1. Mouse 2. Keyboard 3. UPS Note: Must be branded</t>
  </si>
  <si>
    <t xml:space="preserve"> CONTRACT ID #: 19-10-195 = COMPLETION OF DIPOLOG CHO (PHASE II)</t>
  </si>
  <si>
    <t xml:space="preserve"> Republic of the Philippines Province of Isabela MUNICIPALITY OF SAN ISIDRO -o0o- Invitation to Bid CONSTRUCTION OF POTABLE WATER SYSTEM Solicitation No. Infra-2020-10 The Municipality of San Isidro, Isabela, through the Assistance to Municipalities for FY</t>
  </si>
  <si>
    <t xml:space="preserve"> 3 units Radio Transceiver, Handset Radio (portable handhel radio; water resistant, shock proof, and dust proof; Superb Clear Audio; comes w/ a hidden black-out display; frequency range VHF: 136-174mHz; Output power:10 watts; w/ scrambler function, XTR-10;</t>
  </si>
  <si>
    <t xml:space="preserve"> concreting of 0.15m x 4.00m wide x 112.0 m lin m barangay rooad. See Program of Works and Estimate.</t>
  </si>
  <si>
    <t xml:space="preserve"> Republic of the Philippines        DEPARTMENT OF PUBLIC WORKS AND HIGHWAYS LAGUNA I  DISTRICT ENGINEERING OFFICE REGIONAL OFFICE NO. IV-A 	Santa Cruz, Laguna	            Invitation to Bid The Department of Public Works and Highways- Laguna I District Engi</t>
  </si>
  <si>
    <t xml:space="preserve"> As per bid results</t>
  </si>
  <si>
    <t xml:space="preserve"> INVITATION TO BID FOR THE SUPPLY AND DELIVERY OF OFFICE EQUIPMENT  1.	The Municipality of Salcedo, through the General Fund  intends to apply the sum of Five Hundred Eighty Nine Thousand Three Hundred Pesos only ( Php 589,300.00)  being the Approved Budge</t>
  </si>
  <si>
    <t xml:space="preserve"> Invitation to Bid for COMPLETION OF TECHNOLOGY HUB SND ONE STOP SHOP, MARIANO M. MONDOÑEDO AVE., UPLB, COLLEGE, LAGUNA 1.	The U.P. LOS BAÑOS, through the GOP through UPLB REPROGRAMMED FUND intends to apply the sum of ₱6,757,122.34 being the Approved Budge</t>
  </si>
  <si>
    <t xml:space="preserve"> INVITATION TO BID  PROCUREMENT  OF TWO (2) UNITS  BRAND NEW MEDICAL AMBULANCE   GS 2020-007-025 1.	The City Government of Sorsogon    intends to apply the sum of   Four   Million   Four Hundred      Thousand      Pesos (P 4,400,000.00) being the Approved </t>
  </si>
  <si>
    <t xml:space="preserve"> See attached documents, print Bid Notice Abstract and download ITB No. GOODS-20-128.</t>
  </si>
  <si>
    <t xml:space="preserve"> Republic of the Philippines Province of Antique Municipality of Caluya Barangay Semirara INVITATION TO BID FOR Procurement of Goods: Supply and delivery of one (1) unit service vehicle for Barangay Semirara, Caluya, Antique  1.	The Local Government Unit S</t>
  </si>
  <si>
    <t xml:space="preserve"> See attached documents, print Bid Notice Abstract and download ITB No. GOODS-20-127.</t>
  </si>
  <si>
    <t xml:space="preserve"> INVITATION TO APPLY FOR ELIGIBILITY AND TO BID The Municipality of Alcoy, Cebu, through its Bids and Awards Committee (BAC), invites suppliers/manufacturers/distributors/contractors to apply for eligibility and to bid for the hereunder projects: 	Particul</t>
  </si>
  <si>
    <t xml:space="preserve"> REQUEST FOR EXPRESSION OF INTEREST FOR Consulting Services for the Preparation of the Detailed Architectural and Engineering Design (DAED) for the Proposed Construction of the New Food and Nutrition Research Institute (FNRI) Building 1. The Department of </t>
  </si>
  <si>
    <t xml:space="preserve"> 1.	The Department of Social Welfare and Development – Field Office Caraga, through the General Appropriations Act 2020 – Capital Outlay intends to apply the sum of Two Million Seven Hundred Thirty Six Thousand Nine Hundred Eighty One Pesos Only (PhP2,736,</t>
  </si>
  <si>
    <t xml:space="preserve"> Various Medical Supplies Line items type of Bidding</t>
  </si>
  <si>
    <t xml:space="preserve"> Section I. Invitation to Bid INVITATION TO BID  DA8-Goods-2020-46 (PR No. NLP 20-06-26-0298) 1.	The Department of Agriculture-Regional Field Office No. 8, through the NLP 2020 intends to apply the sum of Two Million Four Hundred Twenty-One Thousand Four H</t>
  </si>
  <si>
    <t xml:space="preserve"> INVITATION TO REBID The Iligan City Government Bids and Awards Committee (BAC), through 2020-SUPPLEMENTAL BUDGET NO.1 intends to apply the sum of P 13,200,000.00 being the Approved Budget for the Contract (ABC) to payments under the Contract for Supply an</t>
  </si>
  <si>
    <t xml:space="preserve"> Contract ID:	20GFH0024 Contract Name:	SUPPLY AND DELIVERY OF DPWH STANDARD PROJECT LOGBOOKS PER D.O. #50 S. 2020 FOR USE IN CONSTRUCTION AND QUALITY ASSURANCE SECTIONS, DPWH-CATANDUANES DISTRICT ENGINEERING OFFICE, SAN ISIDRO VILLAGE, VIRAC, CATANDUANES (</t>
  </si>
  <si>
    <t xml:space="preserve"> Description I.	Project Signboard II.	Excavation III.	Solar Streetlight Post  1. Barangay Sapsap, Pastrana, LEYTE through the bids and awards comm.) invites suppliers, distributors of construction materials for the project: Installation of Solar Streetligh</t>
  </si>
  <si>
    <t xml:space="preserve"> 1.	The Department of Social Welfare and Development – Field Office Caraga, through the General Appropriations Act 2020 – Capital Outlay intends to apply the sum of Two Million Five Hundred Sixty Four Thousand Two Hundred Thirty One Pesos Only (PhP2,564,23</t>
  </si>
  <si>
    <t xml:space="preserve"> REPUBLIC OF THE PHILIPPINES PROVINCE OF CEBU MUNICIPALITY OF PINAMUNGAJAN Invitation to Bid for : ROAD CONCRETING (Brgy. Buhingtubig) 						 1. The MUNICIPALITY OF PINAMUNGAJAN, through the GENERAL FUND  intends to apply the sum of TWO MILLION SIX  HUNDRE</t>
  </si>
  <si>
    <t xml:space="preserve"> Republic of the Philippines Province of Siquijor Municipality of Maria Barangay Nabutay   Invitation to Bid for Fabrication/Installation of Solar Streetlight– Nabutay, Maria,  Siquijor/NAB-0004I-2020 1.	The Barangay Local Government Unit of Nabutay, throu</t>
  </si>
  <si>
    <t xml:space="preserve"> REPUBLIC OF THE PHILIPPINES PROVINCE OF CEBU MUNICIPALITY OF PINAMUNGAJAN Invitation to Bid for : IMPROVEMENT OF GOVERNMENT OWNED BUILDING 						 1. The MUNICIPALITY OF PINAMUNGAJAN, through the GENERAL FUND  intends to apply the sum of ONE MILLION PESOS </t>
  </si>
  <si>
    <t xml:space="preserve"> 1 Cabinet, Steel Filing (4 drawers, black color) 2 unit  2 CHAIR, monobloc, beige, with backrest, w/o armrest 6 pc  3 Cabinet, Bookshelves (2 shelves with glass door swing and bottom two-door cabinet) 1 unit  4 CHAIR, Executive (with armest, black, swivel</t>
  </si>
  <si>
    <t xml:space="preserve"> Standard Form Number: SF-INFR-05 Revised on: July 29, 2004        	 INVITATION TO APPLY FOR ELIGIBILITY AND TO BID The Municipality of Garchitorena through its Bids and Awards Committee (BAC), invites contractors registered with and classified by the Phil</t>
  </si>
  <si>
    <t xml:space="preserve"> Item No.	PARTICULARS/DESCRIPTION	Qty.	Unit 1	AMMONIUM FLOURIDE, AR, 500g/bottle	10	bottles 2	L-Lysine Monohydrochloride, AR grade, 100g/bottle	4	bottles 3	Centrifuge Tube 50 ml plug seal cap, 25 tubes/bag	2	bottles Drop off-point: DA-PREC, ILD - Bldg. Sta</t>
  </si>
  <si>
    <t xml:space="preserve"> Provides a well-equipped space suitable for a wide range of activities such as various activities,sessions, receptions events.</t>
  </si>
  <si>
    <t xml:space="preserve"> Description I.	Signboard II.	Chipping &amp; Tile Works III.	Construction Safety &amp; Health  1. Barangay Hilagpad, Tanauan LEYTE through the bids and awards comm.) invites suppliers, distributors of construction materials for the project: Installation of Tiles o</t>
  </si>
  <si>
    <t xml:space="preserve"> 1. The Municipality of Banguingui, intends to apply the sum of P 5,000,000.00 Five Million Pesos being the Approved Budget for the Contract (ABC) to payments under the contract for Concreting of Municipal Ground. Bids received in excess of the ABC shall b</t>
  </si>
  <si>
    <t xml:space="preserve"> The Construction of the Barangay Health Center has a big impact in their community because they rely on their healthcare facilities to remain useful for a long, long time — The Barangay Council wanted to built healthcare facilities designed to last for ye</t>
  </si>
  <si>
    <t xml:space="preserve"> The Bacuranan Multipurpose Hall is already in a state of dilapidation and needs improvement.</t>
  </si>
  <si>
    <t xml:space="preserve"> The Municipality of Bay, Laguna through the LCPC/Local Council for the Protection of Children intends to apply the sum of Two Hundred Fifty Thousand Two Hundred Eighty Pesos Only (Php, 250,280.00) being the Approved Budget for the Contract (ABC) to paymen</t>
  </si>
  <si>
    <t xml:space="preserve"> Invitation to Bid for CONSTRUCTION OF AREA DRAIN WITH INTERCEPTOR CANAL, DEPARTMENT OF MILITARY SCIENCE AND TACTICS, UPLB, COLLEGE, LAGUNA 1.	The U.P. LOS BAÑOS, through the GOP through UPLB-Reprogrammed Funds intends to apply the sum of ₱1,555,122.75 bei</t>
  </si>
  <si>
    <t xml:space="preserve"> ADDITIONAL INSTALLATION OF STREET LIGHTS IN SELECTED AREAS OF THE BARANGAY.</t>
  </si>
  <si>
    <t xml:space="preserve"> Construction of Concrete Platform of Stage Phase 1 Materials: 300    bags     Portland Cement 23      cu.m.   Mixed Sand  9        c.m.     Crushed Gravel 185    pcs.      DRB 10mm 111    pcs.      DRB 16mm 800    pcs.      CHB 4" 21      kgs.      Tiewir</t>
  </si>
  <si>
    <t xml:space="preserve"> INVITATION TO BID REPUBLIC OF THE PHILIPPINES CITY OF GOVERNMENT OF NAVOTAS BARANGAY BAGUMBAYAN SOUTH  BIDS AND AWARDS COMMITTEE 1.The Sangguniang BaraNGAY Bagumbayan South, through its Bids and Awards Committee intends to  apply the sun of One Hundred Si</t>
  </si>
  <si>
    <t xml:space="preserve"> 2-Units Six Wheeler Dump Truck: “Specifications: Gross vehicle weight: 14,000 kgs. Dump vessel capacity: 6.0cu.m. Engine: Diesel engine, 177KW/240PS @ 1600rpm. EURO 4 exhaust emission standard, 4-cylinder in-line, 4 cycles turbocharged and air-to-air inte</t>
  </si>
  <si>
    <t xml:space="preserve"> Description: Length:   50 L.M. Width:  1.0 - 1.2 m Thickness: .12 m</t>
  </si>
  <si>
    <t xml:space="preserve"> 1 Lot Disaster Preparedness Equipment      1 Unit Power Generator 7,300W      1 Unit  Cordless Chain Saw (Petrol)      1 Unit Cordless Angle Grinder      1 Unit Mechanical Scissor Jack      20 Pcs. Traffic Cones 36" with Rubber Base</t>
  </si>
  <si>
    <t xml:space="preserve"> Scope of Work: Upgrading 280 L.M Brgy. Road from gravel and earth to 5.0 m wide x 0.20 thick PCCP       		With road  excavation, slope protection riprap anad open earth ditching on both sides.  SUMMARY OF QUANTITIES Item No.        Descriptions           </t>
  </si>
  <si>
    <t xml:space="preserve"> INVITATION TO BID REPUBLIC OF THE PHILIPPINES CITY OF GOVERNMENT OF NAVOTAS BARANGAY BAGUMBAYAN SOUTH  BIDS AND AWARDS COMMITTEE 1.The Sangguniang BaraNGAY Bagumbayan South, through its Bids and Awards Committee intends to  apply the sun of Sixty-Three Th</t>
  </si>
  <si>
    <t xml:space="preserve"> 2-Units Hydraulic Excavator: “Specifications: Operation Weight: 19,760 kgs., Horsepower rating: 156 HP (115KW) at 200rpm net power with a max torque of 670rpm. Engine: 4-cylinder in-line, turbocharged and intercooled diesel engine. Bore &amp; Stroke: 108 &amp; 13</t>
  </si>
  <si>
    <t xml:space="preserve"> Scope of Work: Upgrading 350 L.M. Brgy. Road from gravel to 5.0 m wide x 0.20 thick PCCP       		with open earth ditching on both sides.  SUMMARY OF QUANTITIES Item No.        Descriptions                                                                   </t>
  </si>
  <si>
    <t xml:space="preserve"> Description: Length:  50 L.M. (1 side) Width:  1.0 - 1.2 m Thickness: .12 m</t>
  </si>
  <si>
    <t xml:space="preserve"> 1. The Municipality of Banguingui, intends to apply the sum of P 3,000,000.00 Three Million Pesos being the Approved Budget for the Contract (ABC) to payments under the contract for CONSTRUCTION OF ACCESS ROAD TO EVACUATION CENTER. Bids received in excess</t>
  </si>
  <si>
    <t xml:space="preserve"> 1. The Municipality of Banguingui, intends to apply the sum of P 3,868,002.00 Three Million Eight Hundred Sixty Eight Pesos being the Approved Budget for the Contract (ABC) to payments under the contract for Construction of Dungon Access Road. Bids receiv</t>
  </si>
  <si>
    <t xml:space="preserve"> Republic of the Philippines Province of Antique Municipality of Caluya Barangay Semirara INVITATION TO BID FOR PROCUREMENT OF GOODS: SUPPLY AND DELIVERY OF ONE (1) UNIT EMERGENCY RESPONSE VEHICLES FOR BARANGAY SEMIRARA, CALUYA, ANTIQUE   1.	The Local Gove</t>
  </si>
  <si>
    <t xml:space="preserve"> Section I. Invitation to Bid Republic of the Philippines PROVINCE OF CAGAYAN Municipality of Peñablanca PROVINCIAL BIDS AND AWARDS COMMITTEE INVITATION TO BID FOR  Procurement of Domestic Appliances for the Provincial COVID19 Quarantine facilities 1.	The </t>
  </si>
  <si>
    <t xml:space="preserve"> Delivered on site</t>
  </si>
  <si>
    <t xml:space="preserve"> Scope of Work: Upgrading 350 L.M. Brgy. Road from gravel to 5.0 m wide x 0.20 thick PCCP       		with open earth ditching and side cutting on both sides.  SUMMARY OF QUANTITIES Item No.        Descriptions                                                  </t>
  </si>
  <si>
    <t xml:space="preserve"> INVITATION TO BID REPUBLIC OF THE PHILIPPINES CITY OF GOVERNMENT OF NAVOTAS BARANGAY BAGUMBAYAN SOUTH  BIDS AND AWARDS COMMITTEE 1.The Sangguniang BaraNGAY Bagumbayan South, through its Bids and Awards Committee intends to  apply the sun of Four Hundred S</t>
  </si>
  <si>
    <t xml:space="preserve"> Section I. Invitation to Bid Republic of the Philippines PROVINCE OF CAGAYAN Municipality of Peñablanca PROVINCIAL BIDS AND AWARDS COMMITTEE INVITATION TO BID FOR  Supply and Delivery of Steel Sheet Piles 1.	The Provincial Government of Cagayan, through t</t>
  </si>
  <si>
    <t xml:space="preserve"> Single motorcycle Specs. 125</t>
  </si>
  <si>
    <t xml:space="preserve"> 1-Unit Brand New Single Drum Vibratory Compactor: “Specifications: Operating Weight: 11,000kgs. Engine: Turbocharged, Cylinder tier 3 diesel engine with 99Kw (133HP) at 2200rpm rated power. Propulsion: Hydrostatic type, with planetary gear box, drum type.</t>
  </si>
  <si>
    <t xml:space="preserve"> 1-Unit Brand New Six Wheeler Boom Truck: “Specifications: Gross vehicle weight: 12,000kgs. Engine: Diesel Engine, 155KW/210PS @ 2200rpm. EURO 4 Exhaust Emission Standard, 4-cylinder in-line, 4 cycles. Turbocharged and air-to-air intercooled, water-cooled,</t>
  </si>
  <si>
    <t xml:space="preserve"> Date of Bidding : August 14,2020  2:00pm at SB Hall,LGU San Antonio,Quezon</t>
  </si>
  <si>
    <t xml:space="preserve"> Section I. Invitation to Bid Republic of the Philippines PROVINCE OF CAGAYAN Municipality of Peñablanca PROVINCIAL BIDS AND AWARDS COMMITTEE INVITATION TO BID FOR  Supply and Delivery of Brand-New Light Vehicles 1.	The Provincial Government of Cagayan, th</t>
  </si>
  <si>
    <t xml:space="preserve"> Section I. Invitation to Bid Republic of the Philippines PROVINCE OF CAGAYAN Municipality of Peñablanca PROVINCIAL BIDS AND AWARDS COMMITTEE INVITATION TO BID FOR  Supply and Delivery of Safety/Disaster Equipment 1.	The Provincial Government of Cagayan, t</t>
  </si>
  <si>
    <t xml:space="preserve"> Section I. Invitation to Bid Republic of the Philippines PROVINCE OF CAGAYAN Municipality of Peñablanca PROVINCIAL BIDS AND AWARDS COMMITTEE INVITATION TO BID FOR  Supply and Delivery of Various Medical Supplies and Equipment  1.	The Provincial Government</t>
  </si>
  <si>
    <t xml:space="preserve"> 1-Unit Motor Grader: “Specifications: Engine: In-line water-cooled, 4-stroke direct injection diesel engine developing a rated power of 129kW (170HP) @ 2200rpm. Working weight: 14,600kgs. Transmission: Fixed shaft power stage, six forward-three reverse. M</t>
  </si>
  <si>
    <t xml:space="preserve"> Republic of the Philippines Region XII Province of Cotabato Municipality of Aleosan  Invitation to Bid for  CONCRETING OF LOCAL ACCESS ROAD WITH DRAINAGE IMPROVEMENT AT BARANGAY SAN MATEO 							July 26, 2020 1.	The Local Government Unit of Aleosan, throu</t>
  </si>
  <si>
    <t xml:space="preserve"> Section I. Invitation to Bid Republic of the Philippines PROVINCE OF CAGAYAN Municipality of Peñablanca PROVINCIAL BIDS AND AWARDS COMMITTEE INVITATION TO BID FOR  Supply and Delivery of Various Medicines 1.	The Provincial Government of Cagayan, through t</t>
  </si>
  <si>
    <t xml:space="preserve"> Section I. Invitation to Bid Republic of the Philippines PROVINCE OF CAGAYAN Municipality of Peñablanca PROVINCIAL BIDS AND AWARDS COMMITTEE INVITATION TO BID FOR  Supply and Delivery of Various Office and Janitorial Supplies 1.	The Provincial Government </t>
  </si>
  <si>
    <t xml:space="preserve"> INVITATION TO BID The City Government of Pasay, through its Bids and Awards Committee (BAC) invites suppliers/manufacturers/distributors/contractors to apply and submit sealed bids for the supply and delivery of the following: Supply and delivery of 1,000</t>
  </si>
  <si>
    <t xml:space="preserve"> INVITATION TO BID The City Government of Pasay, through its Bids and Awards Committee (BAC) invites suppliers/manufacturers/distributors/contractors to apply and submit sealed bids for the supply and delivery of the following: Proposed FOGGING, MISTING an</t>
  </si>
  <si>
    <t xml:space="preserve"> Section I. Invitation to Bid Republic of the Philippines PROVINCE OF CAGAYAN Municipality of Peñablanca PROVINCIAL BIDS AND AWARDS COMMITTEE INVITATION TO BID FOR  Supply, Delivery and Installation of Information, Communications and Surveillance Equipment</t>
  </si>
  <si>
    <t xml:space="preserve"> Section I. Invitation to Bid Republic of the Philippines PROVINCE OF CAGAYAN Municipality of Peñablanca PROVINCIAL BIDS AND AWARDS COMMITTEE INVITATION TO BID FOR  Supply and Delivery of Various Brand-New Medical Equipment  1.	The Provincial Government of</t>
  </si>
  <si>
    <t xml:space="preserve"> Items to bid are for Rural Health Unit patient's use</t>
  </si>
  <si>
    <t xml:space="preserve"> Republic of the Philippines Province of Samar Municipality of San Jose de Buan INVITATION TO BID FOR THE PURCHASE OF VEGETABLE SEEDS, BIOLOGICS AND FERTILIZERS 1.	The Municipal Local Government Unit of San Jose de Buan, Samar, through the General Fund of </t>
  </si>
  <si>
    <t xml:space="preserve"> Date of Bidding: August 5, 2020 @ 10:00 A.M. Amount: P353,662.00 Source of Fund: 20% Development Fund 2020 Venue: Brgy. Hall of Hibao-an Norte, Mandurriao, Iloilo City</t>
  </si>
  <si>
    <t xml:space="preserve"> NAME OF THE PROJECT: Construction of Footbridge  LOCATION OF THE PROJECT: Sitio Apad, Bgy. Juan Adre, Donsol, Sorsogon PROJECT REFERENCE NO.:  INFRA-PB-2020-019  Approved Budget for the Contract: ₱250,000.00  Source of Fund:  MCDF 2020 BRIEF DESCRIPTION O</t>
  </si>
  <si>
    <t xml:space="preserve"> Republic of the Philippines PROVINCE OF SAMAR Municipality of San Jose de Buan  Invitation to Bid for the Construction of Women Crisis Center 1.	The Municipality of San Jose de Buan, Samar, through the General Fund, c.y. 2020  intends to apply the sum of </t>
  </si>
  <si>
    <t xml:space="preserve"> 14 males security personnel 3 females security personnel The Mindanao Central Sanitarium, through the General Appropriations Act of 2020 intends to apply the sum of Three Million Three Hundred Seventy-Eight Thousand Six Hundred Sixty-Eight &amp; 40/100 Pesos </t>
  </si>
  <si>
    <t xml:space="preserve"> Republic of the Philippines Region XII Province of Cotabato BIDS AND AWARDS COMMITTEE Amas, Kidapawan City INVITATION TO BID FOR Supply &amp; Delivery of Disinfectants for Quarantine Services Program of the Office of the Provincial Veterinarian, Amas, Kidapaw</t>
  </si>
  <si>
    <t xml:space="preserve"> Section I. Invitation to Bid Supply and Delivery of Laptop Computers for the Department of Trade &amp; Industry (DTI) 1. The Department of Trade and Industry, through the General Appropriations Act for CY 2020, intends to apply the sum of Twenty-Six Million O</t>
  </si>
  <si>
    <t xml:space="preserve"> Republic of the Philippines Region XII Province of Cotabato BIDS AND AWARDS COMMITTEE Amas, Kidapawan City INVITATION TO BID FOR Supply &amp; Delivery of IV Fluids for Cotabato Provincial Hospital, Amas, Kidapawan City. (PB-20-393) 1.	The Provincial Governmen</t>
  </si>
  <si>
    <t xml:space="preserve"> Republic of the Philippines Province of Samar Municipality of Sta. Rita The Municipality of Sta. Rita, through LGU fund of 2020 intends to apply the sum of SIXTY THOUSAND PESOS ONLY (Php60,000.00) being the Approved Budget for the Contract (ABC) to paymen</t>
  </si>
  <si>
    <t xml:space="preserve"> Description   Municipality of Sta. Maria Province of Davao Occidental Republic of the Philippines INVITATION TO BID CONSTRUCTION OF 2 STOREY MULTI-PURPOSE BUILDING (PROGRESSIVE TYPE) MUNICIPAL SITE, POBLACION, STA. MARIA, DAVAO OCCIDENTAL 1. The Local Gov</t>
  </si>
  <si>
    <t xml:space="preserve"> 1.	The Tourism Promotions Board, through the 2020 Approved Corporate Operating Budget intends to apply the sum of Four Million Pesos Only (PhP4,000,000.00) being the Approved Budget for the Contract (ABC) to payments under the contract for        ITB No. </t>
  </si>
  <si>
    <t xml:space="preserve"> 2nd POSTING INVITATION TO BID FOR THE INSTALLATION OF BASKETBALL GOAL/RING WITH TEMPERED GLASS BOARD of Barangay Digon, Margosatubig, Zamboanga del Sur 1.	The LGU-Barangay Digon, Margosatubig, Zamboanga del Sur now invites bid for Improvement/Renovation o</t>
  </si>
  <si>
    <t xml:space="preserve"> Construction of Drainage System at Sitio Butas..</t>
  </si>
  <si>
    <t xml:space="preserve"> Section I. Request for Expression of Interest Consulting Service for the Support and Maintenance of the Business Name Registration System Next Generation (BNRSNextGEN) 1.	The Department of Trade and Industry, through the CY 2020 General Appropriations Act</t>
  </si>
  <si>
    <t xml:space="preserve"> Posts were already built 10 x 15 square meter</t>
  </si>
  <si>
    <t xml:space="preserve"> ITEM OF WORKS: 1 GENERAL REQUIREMENTS 2 FABRICATION AND ERECTION OF STRUCTURAL STEEL 3 SHORING AND SCAFFOLDINGS 4 REMOVAL OF CONCRETE ELEMENTS FOR ERECTION OF STRUCTURAL STEEL 5 REPAIR OF CRACKED/DAMAGED CONCRETE AND REFILLING OF REMOVED CONCRETE PORTIONS</t>
  </si>
  <si>
    <t xml:space="preserve"> INVITATION TO BID  (Competitive Public Bidding) The BFAR 08, through its Bids and Awards Committee (BAC), invites eligible suppliers to bid for the hereunder contracts: NAME OF CONTRACT: 20-07-0660 LABOR AND MATERIALS FOR THE REPAIR OF 145 MTRS. PERIMETER</t>
  </si>
  <si>
    <t xml:space="preserve"> Pcs.	Portland Cement	125 m³	Sand S1	8 m³	Gravel	5 Pcs.	12mmx6m RSB	85 Pcs.	10mmx6m RSB	125 Kls.	#16 G.I. Tie Wire	1 Pcs.	1/4” THK Ord. Plywood	45 Pcs.	2x3x12 Cocolumber	85 Pcs.	2x2x12 Cocolumber	70 Kls.	CWN (Ass. Length)	12 Kls.	Concrete Nail	6 Pcs.	CHB #</t>
  </si>
  <si>
    <t xml:space="preserve"> SOLAR STREET LIGHT 100 WATTS LED LIGHTS WITH BRACKET</t>
  </si>
  <si>
    <t xml:space="preserve"> Republic of the Philippines DEPARTMENT OF PUBLIC WORKS AND HIGHWAYS  OFFICE OF THE DISTRICT ENGINEER Cavite 1 st  District Engineering Office   Brgy. De Ocampo, Trece Martires City    INVITATION TO BID    The Department of Public Works and Highways (DPWH)</t>
  </si>
  <si>
    <t xml:space="preserve"> 1.	The Authority of the Freeport Area of Bataan (AFAB) through its Bids and Awards Committee (BAC) invites suppliers to apply for eligibility and to participate in the bidding for the above-mentioned project in accordance with the Revised Implementing Rul</t>
  </si>
  <si>
    <t xml:space="preserve"> 320.87 Square Meter Concrete Reblocking along Balite Drive and 290 Square Meter Concrete Reblocking along Sarmiento Street with 10 Linear Meter R.C. Canal</t>
  </si>
  <si>
    <t xml:space="preserve"> INVITATION TO BID  (Competitive Public Bidding) The BFAR 08, through its Bids and Awards Committee (BAC), invites eligible suppliers to bid for the hereunder contracts: NAME OF CONTRACT: 20-07-0664 LABOR AND MATERIALS FOR THE REHABILITATION OF TWO (2) STO</t>
  </si>
  <si>
    <t xml:space="preserve"> INVITATION TO BID   (Public Bidding) The BFAR 08, through its Bids and Awards Committee (BAC), invites eligible suppliers to bid for the hereunder contract:	 NAME OF CONTRACT: 20-07-0649 Procurement of Two (2) units Six-Wheeler Brand New Refrigerated Van </t>
  </si>
  <si>
    <t xml:space="preserve"> Ambulance: Specifications: • ENGINE TYPE - 4 Cylinders, In-line Type 16V DOHC w/ VNT and Intercooler • MAXIMUM OUTPUT - 176ps / 3,400 rpm • MAXIMUM TORQUE - 420 Nm/ 1,400 – 2,600 rpm • DISPLACEMENT - 2,755 cc LxWxH: 5,265 x 1,950 x 1,990 • BORE x STROKE -</t>
  </si>
  <si>
    <t xml:space="preserve"> INVITATION TO BID  (Competitive Public Bidding) The BFAR 08, through its Bids and Awards Committee (BAC), invites eligible suppliers to bid for the hereunder contracts: NAME OF CONTRACT: 20-07-0662 LABOR AND MATERIALS FOR THE IMPROVEMENT OF BLUE SWIMMING </t>
  </si>
  <si>
    <t xml:space="preserve"> Motor Vehicle: (AMBULANCE) Specification: ENGINE TYPE	:	4 Cylinders, In-line Type 16V DOHC w/ VNT and Intercooler MAXIMUM OUTPUT	:	163 ps / 3,600 rpm MAXIMUM TORQUE	:	 420 Nm/ 1,400 – 2,200 rpm DISPLACEMENT	:	2,755 cc	 LxWxH	: 	5,915 x 1,950 x 2,280 BORE </t>
  </si>
  <si>
    <t xml:space="preserve"> MG-A7C20-007, Rubber Gasket, Rectangular, 8mm x 15mm x 8m for Agus 6 ME ABC : P 1,200,000.00 PLACE OF DELIVERY : Agus 6 &amp; 7 HEP Warehouse Maria Cristina, Iligan City Amount of Bid Documents : P 3,000.00</t>
  </si>
  <si>
    <t xml:space="preserve"> ITEM OF WORKS: 1 General Requirements 2 Structural Concrete 3 Structural Steel 4 Masonry Works 5 Moisture &amp; Thermal Protections 6 Carpentry Works 7 Doors, Windows &amp; Partitions 8 Iron &amp; Stainless Steel Works 9 Electrical Works 10 Plumbing &amp; Sanitary Works </t>
  </si>
  <si>
    <t xml:space="preserve"> Republic of the Philippines Province of Eastern Samar  Municipality of Llorente Invitation to Bid for Supply and Delivery of Assorted Construction Materials 1.	The Local Government of Llorente, through the Budget Approved by the Respective Sanggunian inte</t>
  </si>
  <si>
    <t xml:space="preserve"> INVITATION TO BID July 22, 2020 The Eastern Visayas Regional Medical Center, through its Bids and Awards Committee B (BAC B) invites suppliers/manufacturers/distributors/contractors to bid for the hereunder project:  Procurement Activity	Approved Budget f</t>
  </si>
  <si>
    <t xml:space="preserve"> DEMOLITION OF EXISTING STRUCTURES, STRUCTURAL EXCAVATION, FORMWORKS &amp; SCAFFOLDINGS, CONCRETE WORKS, MASONRY WORKS, ROOFING WORKS, DOORS AND WINDOWS (GROUND FLOOR)</t>
  </si>
  <si>
    <t xml:space="preserve"> PROCUREMENT FOR MEDICINES AND SUPPLIES FOR IDENTIFIED CENTRAL ELEMENTARY SCHOOL CLINICS QTY	UNIT	ITEM DESCRIPTION 125,000	caps	Amoxicillin, 500mg, 100's 125,000	caps	Amoxicillin, 250mg 50,000	caps	Cefalexin 500 mg 50,000	caps	Tranexamic Acid, 500mg 50,000</t>
  </si>
  <si>
    <t xml:space="preserve"> Supply and Delivery of Diesel Fuel and Lubricants</t>
  </si>
  <si>
    <t xml:space="preserve"> OPENING OF BIDS IN DSWD FO IX ZAMBOANGA CITY, DELIVERY IN HOME FOR THE ELDERLY, PROCUREMENT FOR THE FF.: 1 SERVICES -PHYSICAL THERAPIST at SG 15 (31,433.00 x 6mos) SEE ATTACHED TERMS OF REFERENCE AT ASSOCIATED COMPONENT ***********************************</t>
  </si>
  <si>
    <t xml:space="preserve"> OPENING OF BIDS IN DSWD FO IX, DELIVERY IN DSWD-HOME FOR ELDERLY, TALON-TALON   ZC					 PROCUREMENT FOR THE FF.:	 				 1	svrc.	CHANGE OF STEEL ROOFTOP		@	12,000.00 1	svrc.	CHANGE OF NEW REAR .DOOR with GLASS		@	14,000.00 1	svrc.	CHANGE OF SIDE RING LEFT &amp;</t>
  </si>
  <si>
    <t xml:space="preserve"> Republic of the Philippines Province of Romblon MUNICIPALITY OF ALCANTARA -oOo- INVITATION TO BID FOR PURCHASE OF AMBULANCE Poblacion, Alcantara, Romblon The Local Government Unit of Alcantara, Romblon, through the 20% DEVELOPMENT FUND CY 2020  intends to</t>
  </si>
  <si>
    <t xml:space="preserve"> UNIVERSITY OF THE PHILIPPINES BAGUIO Governor Pack Road, 2600 Baguio City INVITATION TO BID FOR SUPPLY, DELIVERY AND INSTALLATION OF VARIOUS SCIENTIFIC EQUIPMENT FOR THE PROJECT: TUKLAS ESKAPE AT UP BAGUIO Reference no.: UPB-BID-2020-05A 1. The University</t>
  </si>
  <si>
    <t xml:space="preserve"> PROCUREMENT FOR REPLENISHMENT OF ORAL HEALTH SUPPLIES FOR THE REGIONAL AND IDENTIFIED 250 CENTRAL ELEMENTARY SCHOOLS (DENTAL SUPPLIES) QTY.	UNIT	ITEM DESCRIPTION 3,500	Box	Boxes Dental Anesthesia (50 carpules, Lidocaine HLC2%) 2,000	Tube	Tubes Topical Ane</t>
  </si>
  <si>
    <t xml:space="preserve"> Republic of the Philippines Province of Romblon MUNICIPALITY OF ALCANTARA -oOo- INVITATION TO BID FOR PURCHASE OF MULTI-PURPOSE VEHICLE Poblacion, Alcantara, Romblon The Local Government Unit of Alcantara, Romblon, through the PFPR TRUST FUND CY 2020  int</t>
  </si>
  <si>
    <t xml:space="preserve"> OFFICE OF THE BIDS AND AWARDS COMMITTEE (BAC) INVITATION TO BID FOR: 20-07-589 Supplies and Materials for Grants and Donation for 2nd Quarter (Aid to Different Schools, Organizations &amp; Purok Centers) 1.	The Local Government Unit of Alamada, through the MO</t>
  </si>
  <si>
    <t xml:space="preserve"> Supplies for Modular learning</t>
  </si>
  <si>
    <t xml:space="preserve"> -    For printing back to back cost  Php 1.00 only -    can accomodate 1,500 plus modules -    can deliver the printed modules on or before August 15, 2020, 9:00 in the morning -    if there are misprinted or distorted printing can replace it right away.</t>
  </si>
  <si>
    <t xml:space="preserve"> PROCUREMENT FOR DENTAL HEALTH CARE SUPPLIES QTY.	UNIT	PARTICULARS 702,152	Kit	Contents per Kit: 	1 pc. Kiddie Toothbrush, Extra Softy Bristle with Cap 	1 Tube Toothpaste, 37 grams, 1,450 ppm of Fluoride with ARGININE max cavity protection at least 5 yea</t>
  </si>
  <si>
    <t xml:space="preserve"> Projects: 1. Improvement of CR at TCNHS     8 Calendar days     69,753.28     Construction of lavatory      Construction of Grittings 2. Improvement of Day Care Center Building     7 Calendar days     34,975.65     Improvement of Day Care Building 3. Impr</t>
  </si>
  <si>
    <t xml:space="preserve"> Bid Opening - August 18, 2020, 2:00 P.M. at Municipal Conference Hall</t>
  </si>
  <si>
    <t xml:space="preserve"> 1.	After passing the shortlisting procedure, your company, VMIDER Engineering and Construction Services may now purchase the bidding documents upon payment of a non-refundable fee in the amount specified below.  In case of purchase through representatives</t>
  </si>
  <si>
    <t xml:space="preserve"> 1.) Contract ID        :   20CSEI0001     Contract Name 	   :   Feasibility Study of Mansalay Bypass Road,      Contract Location:  Mansalay, Oriental Mindoro          Scope of Work: Feasibility Study of Bypass Road 	Approved Budget  	for the Contract (AB</t>
  </si>
  <si>
    <t xml:space="preserve"> NOTICE OF ELIGIBILITY AND SHORTLISTING MS. TERESITA V. PASCUAL Managing Director ERGONS PROJECT MARKETING CONSULTANT 16 F, Suite 1618 City and Land Mega Plaza Building ADB Avenue, cor. Garnet Road Ortigas Center, Pasig City MR. HOSPICIO B. BAYONA, JR. Exe</t>
  </si>
  <si>
    <t xml:space="preserve"> BIDS AND AWARDS COMMITTEE ATTENTION:		ALL INTERESTED BIDDERS 			 SUBJECT:	INVITATION TO BID –   Termite Treatment Service for 2020 DATE:	July 23, 2020 - - - - - - - - - - - - - - - - - - - - - - - - - - - - - - - - - - - - - - - - - - - - - - - - - - - - </t>
  </si>
  <si>
    <t xml:space="preserve"> Security Services (October 2020-January 2021) for 35 guards</t>
  </si>
  <si>
    <t xml:space="preserve"> Republic of the Philippines Region IV – A CALABARZON Province of Batangas District of Lemery Gov. Feliciano Leviste Memorial National High School Igualdad St., Lemery, Batangas INVITATION TO BID FOR Reproduction and Delivery of Learning Modules for Junior</t>
  </si>
  <si>
    <t xml:space="preserve"> Republic of the Philippines Province of Occidental Mindoro Mamburao, Occidental Mindoro BIDS AND AWARDS COMMITTEE INVITATION TO BID The Provincial Government of Occidental Mindoro through its Bids and Awards Committee (BAC) invites all interested contract</t>
  </si>
  <si>
    <t xml:space="preserve"> Republic of the Philippines Province of Oriental Mindoro MUNICIPALITY OF SAN TEODORO INVITATION TO BID FOR THE  UPGRADING OF KAMATIS ROAD No. 2020-13 July 24, 2020 1.The Municipality of San Teodoro intends to apply the sum of Three Million, Nine Hundred N</t>
  </si>
  <si>
    <t xml:space="preserve"> BIDS AND AWARDS COMMITTEE ATTENTION:		ALL INTERESTED BIDDERS 			 SUBJECT:	INVITATION TO BID –   Procurement of Internal Hard Drive Enterprise to be used as Storage of Uploaded Learning Resources DATE:	July 23, 2020 - - - - - - - - - - - - - - - - - - - - </t>
  </si>
  <si>
    <t xml:space="preserve"> Contract Name:  Repair and Maintenance of Road Safety Facilities (20CN0161) Contract Location: District Wide Brief Description of Goods to be Procured: Portland Cement, Sand, Gravel, Form Lumber (Good – 4 uses), 75mm Dia. G.I. Pipe Schedule 40, Bolts (5mm</t>
  </si>
  <si>
    <t xml:space="preserve"> ELECTRICAL WORKS (5-UNIT COTTAGES) SPOT LIGHTS STREET LIGHTS MAIN CIRCUIT BREAKER &amp; MAIN FEEDER POWER HOUSE WITH PEDESTAL</t>
  </si>
  <si>
    <t xml:space="preserve"> 1 LOT 29 set Computer Set- High End- P 50,457.00/set 14 set Computer Set- Midrange with printer -48,037.00/set 5 set Computer Set-Low end with Dot Matrix-49-577.00/set 2 set Computer Set-Low end with 3 N 1 Printer/Scanner-48,141.50/set</t>
  </si>
  <si>
    <t xml:space="preserve"> Lot 1 - Pump and VFD Control 1 lot Vertical In-Line Centrifugal Pump and Variable Frequency Drive (VFD) Lot 2 – CI Fittings 5 pcs C.I. Sleeve Coupling 4" PVC/PVC 3 pcs C.I. Sleeve Coupling 6" PVC/PVC 1 pc C.I. Sleeve Coupling 3" PVC/PVC 1 pc C.I. Sleeve C</t>
  </si>
  <si>
    <t xml:space="preserve"> Commercial Rice</t>
  </si>
  <si>
    <t xml:space="preserve"> Republic of the Philippines Province of Leyte Municipality of Hilongos INVITATION TO BID FOR THE PROCUREMENT OF MATERIALS FOR THE COMPLETE REPAIR OF 40FT REINFORCED FIBER GLASS PATROL BOAT WITH ACCESSORIES 1.  The Local Government Unit of Hilongos, throug</t>
  </si>
  <si>
    <t xml:space="preserve"> CONSTRUCTION OF EKB PARK ( STRUCTURE EXCAVATION, REINFORCED CONCRETE, MASONRY WORKS, REINFORCED STEEL BARAS, FORMWORKS &amp; SCAFFOLDINGS, CARPENTRY WORKS, DOORS &amp; WINDOWS, ROOFING WORKS, PAINTING WORKS, TILE WORKS, PLUMBING WORKS, ELECTRICAL WORKS) OPEN DUG </t>
  </si>
  <si>
    <t xml:space="preserve"> Bawo, Sogod, Cebu						Contract Ref. No.-01-2020 Fabrication of Bleacher 6M 3 layer, Bawo, Sogod, Cebu 		 Standard Form Number: SF-INFR-05 Revised on: July 29, 2004 INVITATION TO BID The Bawo, Sogod, Cebu  through its Bids and Awards Committee (BAC), invi</t>
  </si>
  <si>
    <t xml:space="preserve"> Ampongol, Sogod, Cebu						Contract Ref. No.-01A-2020 Construction of Ampongol Barangay Hall Extension, , Ampongol, Sogod, Cebu 		 Standard Form Number: SF-INFR-05 Revised on: July 29, 2004 INVITATION TO BID The Ampongol, Sogod, Cebu  through its Bids and</t>
  </si>
  <si>
    <t xml:space="preserve"> Republic of the Philippines Province of Leyte Municipality of Hilongos INVITATION TO BID FOR THE PURCHASE OF 1 UNIT AIRCONDITIONER 1.  The Local Government Unit of Hilongos, through GENERAL FUND-SUPPLEMENTAL BUDGET NO. 2020-05 intends to apply the sum THI</t>
  </si>
  <si>
    <t xml:space="preserve"> INVITATION TO BID FOR “SUPPLY AND DELIVERY OF ONE (1) UNIT BONGGO 2 (TRUCK) FOR GARBAGE TRUCK COLLECTOR, BAYUGAN II, SAN FRANCISCO, AGUSAN DEL SUR” 1.	The Barangay Bayugan II San Francisco, Agusan del Sur, through the BIDS and AWARDS COMMITTEE (BAC) with </t>
  </si>
  <si>
    <t xml:space="preserve"> Mohon, Sogod, Cebu						Contract Ref. No.-01M-2020 Fabrication &amp; Installation of Basketball Court at Mohon Sports Complex , Mohon, Sogod, Cebu 		 Standard Form Number: SF-INFR-05 Revised on: July 29, 2004 INVITATION TO BID The Mohon, Sogod, Cebu  through </t>
  </si>
  <si>
    <t xml:space="preserve"> 1 . BOND PAPER	A4 SUBTANCE 20	225  REAMS 2.	EPSON INK	REFILL(BLACK,MAGENTA,YELLOW &amp; CYAN)	32 BOTTLES 3.	PRINTER	EPSON L3110	2 UNITS Total Cost === P69,600.00</t>
  </si>
  <si>
    <t xml:space="preserve"> Tourism Assistance Center Flooring Repair, Water Proofing, Replacement &amp; Painting of Ceiling and Electrical Works, Replacement of Burokibok Picnic Shed Roofing and Plaza Pavement Works</t>
  </si>
  <si>
    <t xml:space="preserve"> 100	bxs	Hypo allergenic plaster 3m 1 inch 12's/bx 35	pcs	BP Apparatus 15	bxs	Staright Catherter Fr. 14 50's/bx 10	gals	Povidine iodine 7.5% 20	gals	Povidine iodine 10% 25	gals	Cidex 10	bxs	Endotracheal tube 2.0 10's / bx w/cuffed 10	bxs	Endotracheal tube </t>
  </si>
  <si>
    <t xml:space="preserve"> Delivery of construction materials and supplies</t>
  </si>
  <si>
    <t xml:space="preserve"> Department of Public Works and Highways (DPWH) Contract ID: 20GP0072 Contract Name: Concreting of Sitio Agkaningay, Brgy. Damayan FMR, Brgy. Damayan, Sapi-an, Capiz    Location of the Contract:  Sitio Agkaningay, Brgy. Damayan, Sapi-an, Capiz  -----------</t>
  </si>
  <si>
    <t xml:space="preserve"> one unit dumptruck foton</t>
  </si>
  <si>
    <t xml:space="preserve"> REPUBLIC of the Philippines DEPARTMENT OF PUBLIC WORKS AND HIGHWAYS CAMARINES SUR 5TH  DISTRICT ENGINEERING OFFICE REGIONAL OFFICE V Sta. Teresita, Baao, Camarines Sur INVITATION TO BID FOR The Department of Public Works and Highways Camarines Sur 5TH, Di</t>
  </si>
  <si>
    <t xml:space="preserve"> Work To be Done I. Tinsmith Works: General repair of whole body to include front cowl, flooring  &amp; fiberglass fender. Straightening &amp; repair of damaged front bumper. Repair patching of rotten portion &amp; re-align damaged step board panel wheel arc plate &amp; d</t>
  </si>
  <si>
    <t xml:space="preserve"> ITEM	QTY	UNIT OF	DESCRIPTION		 NO		ISSUE			 					 					 1.	7	pcs	4 Mega Pixels 25x optical zoom,16x digital zoom,120db 		 			True Wide Dymanic Range,1K10, PoE &amp; Vandal Proof Ultra-Low		 			Light Pan Tilt Zoom Camera,150 meters infrared		 2.	7	pcs	8 Mega P</t>
  </si>
  <si>
    <t xml:space="preserve"> LOT - I Hardware 12	units	800mm base diameter stainless roof mounted spherical 		Ventilator w/ complete accessories 4	bxs	1/8" blind rivets (500pcs/box) 25	lghts	1/4" x 1-1/4" x 1-1/4" x 20' angle bar 64	shts	0.6mm x 3' x 8' G.I Prepainted sheets 2	boxes	</t>
  </si>
  <si>
    <t xml:space="preserve"> Transport ation/Pumpboat Rentals for emergency and LSI’s = 	1,000,00 Emergency Lights, Flashlights w/ Battery = 	31,340.00 LGU-Pilar Counterpart for Pick-up of Ambulance =	100,000.00 2	units	Sanitents = 	14,060.00</t>
  </si>
  <si>
    <t xml:space="preserve"> 1 lot Construction of Municipal water system - II, Utilizing Design &amp; Build scheme</t>
  </si>
  <si>
    <t xml:space="preserve"> Republic of the Philippines City of Toledo -oOo- BIDS AND AWARDS COMMITTEE ITB No. I10-02-2020 INVITATION TO BID FOR: Prop. Road Side Improvement@ Toledo City Science High School, Brgy. Ilihan Toledo City 1.	The City Government of Toledo under the 20% Dev</t>
  </si>
  <si>
    <t xml:space="preserve"> Section I. Invitation to Re-Bid Republic of the Philippines Province of Romblon  Invitation to Bid for the  Slope Protection at Sitio Bagulayag, Tubigon, Ferrol, Romblon July 23, 2020  1.	The Province of Romblon through the ADP CY 2020 AIP Ref. Code 8000-</t>
  </si>
  <si>
    <t xml:space="preserve"> Quantity	Unit of Issue	Item Description		 50	bx	Aluminum Hydroxide tab 100`s		 288	bot	Aluminum Hydroxide magnesium Hydroxide syrup		 10	bx	Allopurinol 100 mg  100`s		 60	bx	Amlodipine 10 mg 100`s		 288	bot	Amoxicillin 125mg/5ml 60 ml		 100	bx	Amoxicillin</t>
  </si>
  <si>
    <t xml:space="preserve"> 68 PCS PNEUMONIA VACCINES</t>
  </si>
  <si>
    <t xml:space="preserve"> PURCHASE OF TOILET BOWLS</t>
  </si>
  <si>
    <t xml:space="preserve"> see attached Bid Docs</t>
  </si>
  <si>
    <t xml:space="preserve"> QTY        UNIT         DESCRIPTION 120      LM         INSTALLATION OF DRAINAGE PIPELINES 3       SETS          CONSTRUCTION OF CATCH BASIN/MANHOLE  9       CuM        CONSTRUCTION OF HEADWALL/WINGWALL &amp; APRON SLAB (STONE MaSONRY) x x x  x x x  Nothing  </t>
  </si>
  <si>
    <t xml:space="preserve"> INVITATION TO BID SUPPLY AND DELIVERY OF 56ROLL P.E HOSE FDR FOR THE WATER SYSTEM DISTRIBUTION LINE IN BRGY. DEL PILAR 1.	The Local Government Unit of Cabadbaran City through the PEACE &amp; ORDER FUND intends to apply the sum of SEVEN HUNDRED THOUSAND PESOS </t>
  </si>
  <si>
    <t xml:space="preserve"> Pre-bidding Conference will be on July 30,2020 10:00am at Barangay Hall Opening of bids August 7, 2020 friday 10:00am at Barangay Hall Pio del Pilar,Makati City</t>
  </si>
  <si>
    <t xml:space="preserve"> INVITATION TO BID CATERING SERVICES FOR VARIOUS MEETINGS / CONFERENCES / EVENTS OF THE CITY 1.	The Local Government Unit of Cabadbaran City through the GENERAL FUND intends to apply the sum of ONE HUNDRED SISTY-EIGHT THOUSAND PESOS ONLY (P 168,000.00) bei</t>
  </si>
  <si>
    <t xml:space="preserve"> ISOLATION (Representation Expenses for 6 Month)</t>
  </si>
  <si>
    <t xml:space="preserve"> 1.	The Philippine Rice Research Institute, through the 2020 Rice Competitiveness Enhancement Fund intends to apply the sum of TWO MILLION  AND 00/100 ONLY (Php 2,000,000.00) being the Approved Budget for the Contract (ABC) to payments under the contract f</t>
  </si>
  <si>
    <t xml:space="preserve"> CONSTRUCTION OF ISOLATION FACILITY (PHASE 2)</t>
  </si>
  <si>
    <t xml:space="preserve"> INVITATION TO BID FOR THE SUPPLY &amp; DELIVERY OF PINEAPPLE SEEDLINGS The Municipality of Isulan, through the DA RFO 12 (PAMANA CY2016)  intends to apply the sum of ONE MILLION EIGHT HUNDRED THOUSAND PESOS (P 1,800,000.00) being the Approved Budget for the C</t>
  </si>
  <si>
    <t xml:space="preserve"> Concreting of barangay street.</t>
  </si>
  <si>
    <t xml:space="preserve"> Republic of the Philippines PROVINCE OF BUKDINON Malaybalay City OFFICE OF THE PROVINCIAL GOVERNOR Bids and Awards Committee INVITATION TO BID FOR THE “SUPPLY AND DELIVERY OF MOTORCYCLE WITH PROTECTIVE HELMET” ITB No. 2020-166A July 23, 2020 1.	The Provin</t>
  </si>
  <si>
    <t xml:space="preserve"> Republic of the Philippines  PROVINCE OF SURIGAO DEL SUR  		MUNICIPALITY OF CARRASCAL	 Barangay Babuyan INVITATION FOR BIDS The Barangay Babuyan through its Bids and Awards Committee invites sealed bids from eligible supplier of Construction Materials and</t>
  </si>
  <si>
    <t xml:space="preserve"> GASOLINE, OIL &amp; LUBRICANTS</t>
  </si>
  <si>
    <t xml:space="preserve"> BIDS AND AWARDS COMMITTEE ATTENTION:		ALL INTERESTED BIDDERS 			 SUBJECT:	INVITATION TO BID –   Procurement of Steel Cabinet for Guidance Office DATE:	July 24, 2020 - - - - - - - - - - - - - - - - - - - - - - - - - - - - - - - - - - - - - - - - - - - - - </t>
  </si>
  <si>
    <t xml:space="preserve"> 30	gal	Roof Paint (Green Color) 1	gal	Quick Dry Enamel Paint, White 10	gal	Flat latex (white) 20	gal	Latex (glossy) 2	btl	Paint Thinner (335ml/bottle) 5	pcs	Paint Brush # 1 5	pcs	Paint Brush # 2 5	pcs	Paint Brush # 3 10	pcs	Paint Brush # 4 5	pcs	Pallet (5</t>
  </si>
  <si>
    <t xml:space="preserve"> Republic of the Philippines SURIGAO METROPOLITAN WATER DISTRICT BIDS AND AWARDS COMMITTEE Km. 2, National Highway, 8400 Surigao City INVITATION TO BID FOR TITLE                   : SUPPLY OF MATERIALS, LABOR AND EQUIPMENT FOR THE PROPOSED                 </t>
  </si>
  <si>
    <t xml:space="preserve"> Construction of Safety and Health, Project Sign Board (LGU &amp; COA), Roadway Excavation (Surplus Common), Embankment from Roadway Excavation, Subgrade Preparation (Common Material), Aggregate Subbase Course, PCC Pavement (Plain)-Conventional Method, 150mm t</t>
  </si>
  <si>
    <t xml:space="preserve"> REQUEST FOR QUOTATION FOR THE Supply and Delivery of Equipments FOR : BARANGAY POB. ZONE III OFFICE USE (CY2020) The PROCUREMENT SERVICE invites PhilGEPS registered suppliers to quote for the following items: REFERENCE: REQUEST FOR QUOTATION NO. RFQ-2020-</t>
  </si>
  <si>
    <t xml:space="preserve"> BIDS AND AWARDS COMMITTEE ATTENTION:		ALL INTERESTED BIDDERS 			 SUBJECT:	INVITATION TO BID –   Procurement of Materials for CEAS Department DATE:	July 24, 2020 - - - - - - - - - - - - - - - - - - - - - - - - - - - - - - - - - - - - - - - - - - - - - - - </t>
  </si>
  <si>
    <t xml:space="preserve"> 1.	The Philippine Rice Research Institute, through the 2020 Rice Competitiveness Enhancement Fund intends to apply the sum of TEN MILLION PESOS AND 00/100 ONLY (Php 10,000,000.00) being the Approved Budget for the Contract (ABC) to payments under the cont</t>
  </si>
  <si>
    <t xml:space="preserve"> 1.	The Philippine Rice Research Institute, through the 2020 Rice Competitiveness Enhancement Fund intends to apply the sum of EIGHT MILLION SIX HUNDRED FIFTY THOUSAND AND 00/100 ONLY (Php 8,650,000.00) being the Approved Budget for the Contract (ABC) to p</t>
  </si>
  <si>
    <t xml:space="preserve"> 13 pcs. Gl pipe 2" dia ( S40 ) 18 pcs. GL pipe 1 1/2" dia ( S20 ) 1 box super thin cutting disk 4" 10 kl welding rod 1 gal. QDE paint ( green ) 1 gal Epoxy primer ( gray ) 2 btls. apint thinner 10 btls. lacquer thinner 2 pcs. paint brush #2 3 pcs. corruga</t>
  </si>
  <si>
    <t xml:space="preserve"> BIDS AND AWARDS COMMITTEE ATTENTION:		ALL INTERESTED BIDDERS 			 SUBJECT:	INVITATION TO BID –   Repair and Replacement of Spare Parts of College Vehicle Coaster   DATE:	July 23, 2020 - - - - - - - - - - - - - - - - - - - - - - - - - - - - - - - - - - - - </t>
  </si>
  <si>
    <t xml:space="preserve"> QUANTITY	UNIT 	DESCRIPTION      	UNIT COST 130     	pcs.         	Safeguard Soap 	5,460.00 110     	tie        	Toothpaste        	8,580.00 130    	pcs.     	Tissue               	1,170.00 110   	tie      	Detergent Powder	3,410.00 110      	dozen	Shampoo</t>
  </si>
  <si>
    <t xml:space="preserve"> BARANGAY AMBULANCE Equipped with 2.2L 4 In-Line DOCH, 16V turbo charged (VGT DID 4D14)Euro 4 5 Speed Manual Tranmission Displacement: 2200cc Max Torque: 200/1,000-3,500 Seating Capacity: 17 Seater Fuel Sys: Electrical Fuel Injection (Common Rail) Suspensi</t>
  </si>
  <si>
    <t xml:space="preserve"> qty        unit        description 637.5    CuM       Structural excavation (Surplus) 1,275.00   SqM    Sub-grade preparation 191.25 CuM       Aggregate BASE COARSE 1,020.00 sQm   PORTLAND CEMENT CONCRETE PAVEMENT x x x x x x xx   nothing    follows   x x</t>
  </si>
  <si>
    <t xml:space="preserve"> INVITATION TO BID FOR ROAD WIDENING WITH SLOPE PROTECTION WORKS AT ECO-PARK, STA ROSA, STA. MARIA, PANGASINAN 1.	The Municipal Government of Sta. Maria through the 20% Local Development Fund 2020 intends to apply the sum of One Million Seven Hundred Thous</t>
  </si>
  <si>
    <t xml:space="preserve"> Invitation to Bid Date: July 24, 2020 1.	The Provincial Government of Davao del Sur, through its Bids and Awards Committee (BAC), invites all potential bidders / suppliers to apply to bid for the following goods. Bids received in excess of the ABC shall b</t>
  </si>
  <si>
    <t xml:space="preserve"> Republic of the Philippines City of Toledo -oOo- BIDS AND AWARDS COMMITTEE ITB No. I32-03-2020 INVITATION TO BID FOR: Prop. Pavement Resurfacing/Asphalt Overlay Along S. Osmeña Sr. St. (Brgys. Poblacion, Luray 2 and Sangi), Sta. 0+860-Sta. 2+160, Toledo C</t>
  </si>
  <si>
    <t xml:space="preserve"> Information, Education Campaign Van Description: Chassis : XZU7302L Body Type: Steel Van with roll up siding (2 sides) Drive System: 4 x 2 (4 Wheeler) Gross Vehicle Weight (kg) : 3,800 Transmission : 5 Speed overdue, Synchromsh 1st - 5th Tires &amp; Rims : 7.</t>
  </si>
  <si>
    <t xml:space="preserve"> I.T. EQUIPMENT/CONSUMABLES</t>
  </si>
  <si>
    <t xml:space="preserve"> security services</t>
  </si>
  <si>
    <t xml:space="preserve"> 1 Lot CONSTRUCTION SUPPLIES AND MATERIALS</t>
  </si>
  <si>
    <t xml:space="preserve"> BIDS AND AWARDS COMMITTEE ATTENTION:		ALL INTERESTED BIDDERS 			 SUBJECT:	INVITATION TO BID –   Procurement of Office Supplies to be Used for Project Enhancing Technology Through IPM-TBM in CSPC DATE:	July 23, 2020 - - - - - - - - - - - - - - - - - - - - </t>
  </si>
  <si>
    <t xml:space="preserve"> INVITATION TO BID  The Municipal Government of Nampicuan, through its Bids and Awards Committee (BAC), invites Contractors to apply for eligibility and to bid for the hereunder projects: Name of Project	Approved Budget of the Contract	Bid Document Fee (No</t>
  </si>
  <si>
    <t xml:space="preserve"> 18 rolls HDPE pipe 63mm(2') x 60 meters sdr 13.5 black  24 pcs. plastic connector 2" 132 pcs. saddle clamp 2"</t>
  </si>
  <si>
    <t xml:space="preserve"> Adapto- CI Adaptor, 50mm MJ/F Adaptor- CI Adaptor, 75mm MJ/F Adaptor- CI Adaptor, 100mm MJ/F, OD 230mm, 8holes Adaptor- CI Adaptor, 150mm MJ/F C.I. Tee, 50mm x 50mm F/F C.I. Tee, 100mm x 100mm F/F, OD 230mm 8 holes C.I. Tee, 150mm x 150mm F/F</t>
  </si>
  <si>
    <t xml:space="preserve"> 1	unit	Recorder, mono digital voice recorder with built-inn USB, 4GB 1	unit	Powered Portable Sound System-15 inches 2 way 400W, with 2 wireless microphone, with mic input (1XLR, 1PL55), with FM radio, bluetooth, USB/SD port with 5 band equalizer and LCD d</t>
  </si>
  <si>
    <t xml:space="preserve"> BONGO 4 X 4 BRAND NEW</t>
  </si>
  <si>
    <t xml:space="preserve"> I N V I T A T I O N  T O  B I D The Manila International Airport Authority, through its Bids and Awards Committee (BAC), invites interested parties to apply for eligibility and to bid for the hereunder service contract: 	 Name of Contract       :  	Purcha</t>
  </si>
  <si>
    <t xml:space="preserve"> DUAL CAMERA REAR 13MP± 2MP FRONT 5MP OPTIMAL PERFORMANCE  OCTA CORE 2.0GHZ(SNADRAGON 439) LONG-LASTING BATTERY 3,000mAh</t>
  </si>
  <si>
    <t xml:space="preserve"> Remove and Replace of Existing Tiles, Wooden Wall Repainting, Installation of Shelf, Installation of Electrical Connections and Fixture and Comfort Rooms: SPCL-1 1 set Standard Project Billboard I. 118.52 sq.m Demolition and Preparatory Works II. 86.40 cu</t>
  </si>
  <si>
    <t xml:space="preserve"> ITEM NO. QTY UNIT DESCRIPTION 1. 19 SHEETS 1/4"X4'X8' BI STELL PLATE 2.  25 LENGTH 1/4"X2"X2" ANGEL BAR 3.  70 PCS 3/4 DIAX4" BOLT W/ NUT &amp; WASHER 4.  50 KLS WELDING ROD )GOOD QUALITY) 5.  65 PCS CUTTING OF WHEEL ( FOR GRINDER) 6.  10 PCS GRINDING WHEEL 7</t>
  </si>
  <si>
    <t xml:space="preserve"> CONSTRUCTION OF SOIL EROSION CONTROL</t>
  </si>
  <si>
    <t xml:space="preserve"> Republic of the Philippines CITY OF LAPU-LAPU BIDS AND AWARDS COMMITTEE Invitation to Bid FOR THE PROCUREMENT of SUPPLEMENTARY LEARNING MATERIALS- READING ENGLISH FOR ELEMENTARY The City of Lapu-Lapu through the MOOE 3321-5-02-03-110 intends to apply the </t>
  </si>
  <si>
    <t xml:space="preserve"> 48-50 meters long concrete footbridge</t>
  </si>
  <si>
    <t xml:space="preserve"> Opening of 190 meter access road to SWM-Eco Park with 85 Linear meter grouted rip rap and 152 cubic meter aggregated surface course</t>
  </si>
  <si>
    <t xml:space="preserve"> Republic of the Philippines PROVINCE OF BUKDINON Malaybalay City OFFICE OF THE PROVINCIAL GOVERNOR Bids and Awards Committee INVITATION TO BID FOR THE “SUPPLY AND DELIVERY OF AGRICULTURAL SUPPLIES, SEEDS, SEEDLINGS AND FERTILIZERS” ITB No. 2020-160A July </t>
  </si>
  <si>
    <t xml:space="preserve"> Please download PDF @ associated components for more information</t>
  </si>
  <si>
    <t xml:space="preserve"> 4	pcs	Date stamps with received 15	pcs	Self Inking customized rubber stamps, 38x14mm 12	pcs	Ruler, aluminum, 12 inches 2	pcs	Ruler, aluminum, straight edge, 120cm 10	box	Ballpen, black 10	pc	Stapler, 26/6, big 10	pc	Scissor, symetrical, heavy duty 10	pc	C</t>
  </si>
  <si>
    <t xml:space="preserve"> 1.	12		tin		Latex White		 2.	12		tin		QDE Paint 		 3.	24		gals.		Traffic Yellow		 4.	3		pint		Tinting Color		 5.	3		pint		Acry Color		 6.	10		pcs.		Paint Brush		 7.	6		set		Roller Brush w/ tray		 8.	2		gal.		Paint Thinner		 9.	400		packs	Garbage Bag		 10.</t>
  </si>
  <si>
    <t xml:space="preserve"> Please see attache REQUEST FOR QUOTATION</t>
  </si>
  <si>
    <t xml:space="preserve"> Digital duplicator with USB/PC Connectivity: minimum 75- 100ppm, 300x300 dpi, min. 800 ink supply, master supply:200 cuts, min. 1000 sheets paper feed tray, min. 800 sheets receiving tray 6 lots Digital Multifunction 3 in 1 Copiers (print,scan,copy): Prin</t>
  </si>
  <si>
    <t xml:space="preserve"> Description 1. Name of Project: Construction of Multi-purpose Hall/Evacuation Center Location: Igsoro, Bugasong, Antique Brief Description: Construction of Brgy. Igsoro Multi-Purpose Hall/Evacuation Center with the following scope of works: Project Billbo</t>
  </si>
  <si>
    <t xml:space="preserve"> Please see attached REQUEST FOR QUOTATION</t>
  </si>
  <si>
    <t xml:space="preserve"> CHEMICAL AND FILTERING SUPPLIES 1	pc	WS Heterotropic Plate Count PT Standard produced in accordance with ISO/IEC 17043; Proficiency testing samples are presented as single blind. No values for the samples are released until the testing period concludes; d</t>
  </si>
  <si>
    <t xml:space="preserve"> The Government of the Philippines (GOP) has received a loan from World Bank towards the cost of Philippine Rural Development Project, and it intends to apply part of the proceeds of this Loan to payments for the Procurement Training and Workshop on the Wo</t>
  </si>
  <si>
    <t xml:space="preserve"> Items are for Dengue Prevention and Control</t>
  </si>
  <si>
    <t xml:space="preserve"> 1	btl	Ascorbic Acid, AR, 250g   at least 1 year expiration date from date of delivery with certificate of analysis, safety data sheet, and expiry date/shelf life 1	btl	Magnesium Sulfate, AR, 500g   at least 1 year expiration date from date of delivery wit</t>
  </si>
  <si>
    <t xml:space="preserve"> Multi-Purpose Hall/recreational and educational building, Phase 1</t>
  </si>
  <si>
    <t xml:space="preserve"> ITEM NO.	ITEM OF WORK	QUANTITY	UNIT PART A-OTHER GENERAL REQUIREMENTS		 A.1.4 (1)	PROVISION OF PROGRESS PHOTOGRAPHS	1. 00	month B. 5	PROJECT BILLBOARD / SIGNBOARD	2. 00	set B. 7	OCCUPATIONAL SAFETY AND HEALTH PROGRAM	1. 00	month B. 9	MOBILIZATION / DEMOBI</t>
  </si>
  <si>
    <t xml:space="preserve"> Republic of the Philippines Province of Palawan Municipality of Busuanga Invitation to Bid for CONSTRUCTION OF MULTI-PURPOSE BUILDING Salvacion Elementary School,Bgy. Salvacion, Busuanga Palawan 1.	The Local Government of Busuanga, through the 20% MDF CY </t>
  </si>
  <si>
    <t xml:space="preserve"> 1.	21 MEDICINE KITS	QUANTITY	UNIT 	AIRWAY EQUIPMENT/SUPPLIES		 	•	*POCKET MASK	1	 	•	*ORAL AIRWAYS (OPA)	3	 	•	ASPIRATOR	1	 	BREATHING/ OXYGEN DELIVERY EQUIPMENT		 	•	ALUMINUM OXYGEN TANK	1	 	•	ALUMINUM O2 REGULATOR	1	 	•	ADULT NON-REBREATHER OXYGEN MASK	</t>
  </si>
  <si>
    <t xml:space="preserve"> INVITATION TO BID Date: July 24, 2020 1.	The Provincial Government of Davao del Sur, through its Bids and Awards Committee (BAC), invites all potential bidders/suppliers to apply to bid for the following goods. Bids received in excess of the ABC shall be </t>
  </si>
  <si>
    <t xml:space="preserve"> Please download ITB and Checklist in the Associated Components.</t>
  </si>
  <si>
    <t xml:space="preserve"> 1	pc	HP Deskjet 745 Chromatic Red 1	pc	HP Deskjet 745 Magenta 1	pc	hp Deskjet 745 Yellow 1	pc	HP Deskjet 745 Cyan 1	pc	HP Deskjet 745 Photo Black 1	pc	hp Deskjet 745 Matte Black 		  ************** End users:	SCMD																				 Deadline for submissio</t>
  </si>
  <si>
    <t xml:space="preserve"> SUPPLY AND DELIVERY OF THE REHAB, RENOVATION OF STL, MPC</t>
  </si>
  <si>
    <t xml:space="preserve"> Procurement of Vehicles Php1,520,000.00</t>
  </si>
  <si>
    <t xml:space="preserve"> The Municipality of Limay, through its Bids and Awards Committee (BAC) invites registered contractors to apply for eligibility and if found eligible, to bid for the hereunder project/contract: Project/Contract:   REPAINTING OF ROOF, INTERIOR &amp; EXTERIOR CE</t>
  </si>
  <si>
    <t xml:space="preserve"> Please download ITB and Checklist in thge Associated Components.</t>
  </si>
  <si>
    <t xml:space="preserve"> Republic of the Philippines PROVINCE OF NUEVA VIZCAYA 2nd Invitation to Bid for the  IMPROVEMENT OF ELECTRICAL SYSTEM OF GUARD HOUSE, STREET LIGHTS AND WATER PUMP MOTOR AT NVPH Located at NVPH, Bambang, Nueva Vizcaya  1.	The Provincial Government of Nueva</t>
  </si>
  <si>
    <t xml:space="preserve"> INVITATION TO APPLY FOR ELIGIBILITY AND TO BID The local Government Unit of Can-avid, through is Bid and Awards Committee (BAC). Invites suppliers to apply for eligibility, to bid for the hereunder contract: Name of Contract: 	PURCHASE AND DELIVERY OF CON</t>
  </si>
  <si>
    <t xml:space="preserve"> INSTALLATION OF PROJECT SIGNBOARD Quantity: 1.00 Output/day: 1.00 Unit of Measure: L.S. DIRECT COST Materials:  64 sq.ft. 8'x 8' Tarpaulin with Print Sign 33.3333 bd.ft. 10 pcs - 2" x 2" x 10' Coco Lumber 4 sheet 4'x 8' x 1/4" Marine Plywood 3 kgs CWN 3" </t>
  </si>
  <si>
    <t xml:space="preserve"> The Municipality of Tanza, Cavite, through its Bids and Awards Committee (BAC), invites suppliers/manufacturers/distributor/contractors to apply for eligibility and to bid for the hereunder project: 	Name of Project	: SUPPLY AND DELIVERY OF OFFICE SUPPLIE</t>
  </si>
  <si>
    <t xml:space="preserve"> Republic of the Philippines PROVINCE OF NUEVA VIZCAYA 2nd Invitation to Bid for the  IMPROVEMENT OF D.E.H. BUILDINGS (COVERED WALK WAYS) Located at Diadi, Nueva Vizcaya  1.	The Provincial Government of Nueva Vizcaya, through the PGSO-5-02-13-040, (Buildin</t>
  </si>
  <si>
    <t xml:space="preserve"> INVITATION TO BID ITB NO. 2020-16 Item No.	Project Description	Project Location	ABC/Project	Contract Duration	Bid Docs. Fee 1	PROCUREMENT OF SECURITY SERVICES FOR SCHISTOSOMIASIS HOSPITAL PALO, LEYTE FOR A PERIOD OF ONE (1) YEAR	Schistosomiasis Hospital P</t>
  </si>
  <si>
    <t xml:space="preserve"> Please refer to the attached RFQ</t>
  </si>
  <si>
    <t xml:space="preserve"> Republic of the Philippines Province of Nueva Vizcaya BIDS AND AWARDS COMMITTEE (BAC-Goods) BAC OFFICE, Provincial Capitol, Bayombong, Nueva Vizcaya Tel. No. 078-392-2062 	 INVITATION TO BID FOR THE SUPPLY AND DELIVERY OF VEHICLE PARTS (II) FOR THE  PROVI</t>
  </si>
  <si>
    <t xml:space="preserve"> CONCRETE PAVEMENT     -       0.15m. x 4.00m. x 139.00m.</t>
  </si>
  <si>
    <t xml:space="preserve"> VARIOUS EQUIPMENT FOR THE FURNISHINGS OF THE GOVERNMENT FACILITIES OF THE MUNICIPALITY OF LAPUYAN</t>
  </si>
  <si>
    <t xml:space="preserve"> Vehicle Description: 	 (Motorcycle) 1 unit Engine type		        Air cooled, 4-stroke, SOHC, 2-valve No. of Cylinders	                One - Single Engine Displacement	        125cm³ Starting		                Electric &amp; Kickstarter Transmissions		        V-</t>
  </si>
  <si>
    <t xml:space="preserve"> Procurement of Construction Materials Php104,850.00</t>
  </si>
  <si>
    <t xml:space="preserve"> Republic of the Philippines PROVINCE OF NUEVA VIZCAYA 2nd Invitation to Bid for the  IMPROVEMENT OF K.M.H. ADMINISTRATION BUILDING Located at Pudi, Kasibu, Nueva Vizcaya  1.	The Provincial Government of Nueva Vizcaya, through the PGSO-5-02-13-040,1-6 (Bui</t>
  </si>
  <si>
    <t xml:space="preserve"> Invitation to Bid ITB-SSS-Goods-2020-023 SUBSCRIPTION OF 300 MBPS INTERNET ACCESS FOR MAIN OFFICE AND DISASTER RECOVERY (DR) SITE FOR A PERIOD OF ONE (1) YEAR Approved Budget for the Contract (ABC)        :      ₱ 7,687,932.00 Broken down as follows:				 </t>
  </si>
  <si>
    <t xml:space="preserve"> Section II. Instructions to Bidders A.  General 1.	Scope of Bid 		 	1.1	The procuring entity named in the BDS invites bids for the supply and delivery of the Goods as described in Section VII. Technical Specifications. 		 	1.2	The name, identification, an</t>
  </si>
  <si>
    <t xml:space="preserve"> Invitation to Bid for the Procurement of One (1) Unit Ambulance for the Use of Rural Health Unit, LGU-Tagudin, Ilocos Sur 1.	The Local Government Unit of Tagudin, Ilocos Sur, thru its Bids and Awards Committee intends to apply the sum of Two Million One H</t>
  </si>
  <si>
    <t xml:space="preserve"> The Municipality of Tanza, Cavite, through its Bids and Awards Committee (BAC), invites suppliers/manufacturers/distributor/contractors to apply for eligibility and to bid for the hereunder project: 	Name of Project	: SUPPLY AND DELIVERY OF MULTIPURPOSE S</t>
  </si>
  <si>
    <t xml:space="preserve"> Contract Name: CONCRETING OF BRGY. DE VICTORIA TO BRGY. SAN ISIDRO FMR, BRGY. DE VICTORIA AND BRGY. SAN ISIDRO, CALBAYOG CITY, SAMAR Contract Location: SAMAR  Brief Description: CONCRETING OF ROAD = 2 LANE KM. Approved Budget for the Contract (ABC): PhP 2</t>
  </si>
  <si>
    <t xml:space="preserve"> Republic of the Philippines PROVINCE OF NUEVA VIZCAYA 2nd Invitation to Bid for the  IMPROVEMENT OF JCT. NATIONAL-GALINTUJA-DELACTAN-MAGINO ROAD Located at Alfonso Castañeda, Nueva Vizcaya  1.	The Provincial Government of Nueva Vizcaya, through the 2020, </t>
  </si>
  <si>
    <t xml:space="preserve"> Republic of the Philippines Province of Nueva Vizcaya BIDS AND AWARDS COMMITTEE (BAC-Goods) BAC OFFICE, Provincial Capitol, Bayombong, Nueva Vizcaya Tel. No. 078-392-2062 	 2ND INVITATION TO BID FOR THE SUPPLY AND DELIVERY OF ANIMAL FEEDS  AND VETERINARY </t>
  </si>
  <si>
    <t xml:space="preserve"> Republic of the Philippines PROVINCE OF NUEVA VIZCAYA 2nd Invitation to Bid for the  IMPROVEMENT OF PALABOTAN-BANILA-CAINO-ANAYO-CANAREM ROAD Located at Dupax del Sur, Nueva Vizcaya  1.	The Provincial Government of Nueva Vizcaya, through the 2020, 20% Dev</t>
  </si>
  <si>
    <t xml:space="preserve"> INVITATION TO BID PROCREMENT OF VARIOUS DRUGS AND MEDICINES PROCUREMENT OF DRUGS AND MEDICINES (RE-BIDDING) ITB NO. 2020-17 The Schistosomiasis Hospital through the Bids and Awards Committee (BAC) invites suppliers to bid for the hereunder project: SN	Pro</t>
  </si>
  <si>
    <t xml:space="preserve"> Republic of the Philippines PROVINCE OF NUEVA VIZCAYA 2nd Invitation to Bid for the  IMPROVEMENT OF SAN FERNANDO-BANAO-MANAING-LITLIT ROAD Located at Bambang, Nueva Vizcaya  1.	The Provincial Government of Nueva Vizcaya, through the 2020, 20% Development </t>
  </si>
  <si>
    <t xml:space="preserve"> 1.	The Municipality of Tayug, Pangasinan  through the Bids and Awards Committee intends to apply the sum of Two Million Five Hundred Thousand Pesos (Php2,500,000.00) being the Approved Budget for the Contract (ABC)  to payments under the conract for the C</t>
  </si>
  <si>
    <t xml:space="preserve"> Republic of the Philippines PROVINCE OF NUEVA VIZCAYA 2nd Invitation to Bid for the  IMPROVEMENT OF JCT. NATIONAL-BATU-BALINTUGON ROAD Located at Alfonso Castañeda, Nueva Vizcaya  1.	The Provincial Government of Nueva Vizcaya, through the 2020, 20% Develo</t>
  </si>
  <si>
    <t xml:space="preserve"> please download the ITB and its other supporting documents in the associated component</t>
  </si>
  <si>
    <t xml:space="preserve"> Invitation to Bid for the Establishment of Drainage System at Ogaong, Sto. Niño FMR 1.	The Local Government Unit of Manolo Fortich, through the General Fund intends to apply the sum of THREE MILLION PESOS (PhP 3,000,000.00) being the Approved Budget for t</t>
  </si>
  <si>
    <t xml:space="preserve"> I. Earthworks II. Concrete Works III. Masonry Works IV. Carpentry Works (forms, roof framing, roof cover) V. Plastering VI. Sanitary Works VII. Hauling (Material Hauling)</t>
  </si>
  <si>
    <t xml:space="preserve"> I.  ROAD PAVEMENT     -    0.15m. x 4.00m. x 110.50m.</t>
  </si>
  <si>
    <t xml:space="preserve"> Republic of the Philippines Province of Nueva Vizcaya BIDS AND AWARDS COMMITTEE (BAC-Goods) BAC OFFICE, Provincial Capitol, Bayombong, Nueva Vizcaya Tel. No. 078-392-2062 	 2ND INVITATION TO BID FOR THE SUPPLY AND DELIVERY OF 12, 750 MONOBLOCK CHAIRS    F</t>
  </si>
  <si>
    <t xml:space="preserve"> Contract Name: CONSTRUCTION OF RAINWATER COLLECTION SYSTEM (RWCS),  1.	JIMAUTAN ELEMENTARY SCHOOL, CALBAYOG CITY, SAMAR 2.	SAPUTAN ELEMENTARY SCHOOL, CALBAYOG CITY, SAMAR 3.	SINANTAN ELEMENTARY SCHOOL, CALBAYOG CITY, SAMAR 4.	MARCATUBIG ELEMENTARY SCHOOL,</t>
  </si>
  <si>
    <t xml:space="preserve"> PROVISION OF ADDITIONAL FISHING GEARS AS AN ALTERNATIVE LIVELIHOOD TO MUNICIPAL MODIFIED DANISH SEINE (HULBOT – HULBOT DE MANO) A.	Gill Net		 •	Net (0.25 twine, 7k mesh, 50)	270	Paldo •	Floats (No. 1 Cylindrical) (100/pack)	270	Packs B.	Fish Pot (Bobo)		 </t>
  </si>
  <si>
    <t xml:space="preserve"> INVITATION TO BID SUPPLY AND DELIVERY OF MEDICAL SUPPLIES ITB NO. 2020-18 The Schistosomiasis Hospital through the Bids and Awards Committee (BAC) invites suppliers to bid for the hereunder project: SN	Project Title	*ABC/Project	Bid Docs Fee 1	SUPPLY AND </t>
  </si>
  <si>
    <t xml:space="preserve"> Printer Ink 003 (black)</t>
  </si>
  <si>
    <t xml:space="preserve"> Republic of the Philippines Province of Nueva Vizcaya BIDS AND AWARDS COMMITTEE (BAC-Goods) BAC OFFICE, Provincial Capitol, Bayombong, Nueva Vizcaya Tel. No. 078-392-2062 	 2ND INVITATION TO BID FOR THE SUPPLY AND DELIVERY OF CONSTRUCTION MATERIALS  FOR T</t>
  </si>
  <si>
    <t xml:space="preserve"> please download rfq and store furnish in the associated component</t>
  </si>
  <si>
    <t xml:space="preserve"> CONSTRUCTION OF MATERIALS RECOVERY FACILITY, MERCED, BANATE, ILOILO</t>
  </si>
  <si>
    <t xml:space="preserve"> Republic of the Philippines Province of Bukidnon Municipality of Cabanglasan -o0o- ___________________________________________________________________________ INVITATION TO BID FOR  Purchase of Materials  for Compliance to the Protocol on COVID 19 Prevent</t>
  </si>
  <si>
    <t xml:space="preserve"> INVITATION TO BID FOR THE  SUPPLY AND DELIVERY OF UPVC PIPES WITH EPDM RUBBER GASKET (RE-BIDDING) 1.	The Metropolitan Tuguegarao Water District through the Corporate Budget for the Year 2020  intends to apply the sum of Sixteen Million Five Hundred Thousa</t>
  </si>
  <si>
    <t xml:space="preserve"> Republic of the Philippines DEPARTMENT OF PUBLIC WORKS AND HIGHWAYS OFFICE OF THE DISTRICT ENGINEER Sultan Kudarat 1st District Engineering Office Isulan, Sultan Kudarat                                         INVITATION TO BID (Goods) The Department of P</t>
  </si>
  <si>
    <t xml:space="preserve"> A. PAES MINIMUM SPECIFICATIONS:     I. Design and Performance 1. Shelling Recovery: 93%, minimum 2. Shelling Efficiency: 95%, minimum 3. Total Machine Loss: 7%, minimum 4. Purity of output: -With sieve and blower: 98%, minimum\ 5. Mechanically damaged ker</t>
  </si>
  <si>
    <t xml:space="preserve"> The BUREAU OF JAIL MANAGEMENT AND PENOLOGY, through the GENERAL APPROPRIATIONS ACT FY 2020 intends to apply the sum of FORTY MILLION PESOS (P 40,000,000.00) being the Approved Budget for the Contract (ABC) to payments under the contract for G-2020-010. Bi</t>
  </si>
  <si>
    <t xml:space="preserve"> Digital Duplicating Machine</t>
  </si>
  <si>
    <t xml:space="preserve"> INVITATION TO BID FOR The Printing of Modules for  Senior High Schools 1.	The Department of Education – SDO Batangas City, through the Sub-Allotment Release Order No. RO-4A-20-1502  intends to apply the sum of Two Million Five Hundred Ninety Four Thousand</t>
  </si>
  <si>
    <t xml:space="preserve"> INVITATION TO APPLY FOR ELIGIBILITY AND TO BID 	The local Government Unit of Can-avid, through is Bid and Awards Committee (BAC). Invites suppliers to apply for eligibility, to bid for the hereunder contract: Name of Contract:      EMBANKMENT OF PROPOSED </t>
  </si>
  <si>
    <t xml:space="preserve"> 1 unit 4WD Farm Tractor 29.7W (40 Hp) with Rotary Tiller 1 unit Hand Tractor with prime mover (6.5Hp) and attachments; 2 bottom disc plow, Comb harrow, and 1 MT heavy duty trailer capacity 2 units Single Pass Rice Mill with prime mover, 19.3 KW (26Hp) wat</t>
  </si>
  <si>
    <t xml:space="preserve"> INVITATION TO BID #20 – 16  For I.  Procurement ID/Contract ID		:  20 IK 0099     Contract Name				:  Concreting of Brgy. Lagundi – Brgy. Pangdan Farm to Market Road,     Contract Location			:  Brgy. Lagundi and Brgy. Pangdan, Catbalogan City, Samar     B</t>
  </si>
  <si>
    <t xml:space="preserve"> Invitation to Bid for the Repair of BJMP-NHQ CY 2020 1.	The BUREAU OF JAIL MANAGEMENT AND PENOLOGY-NATIONAL HEADQUARTERS (BJMP-NHQ), through the GENERAL APPROPRIATIONS ACT (GAA) FOR FY 2020 intends to apply the sum of FOUR MILLION EIGHT HUNDRED SEVEN THOU</t>
  </si>
  <si>
    <t xml:space="preserve"> Construction Materials and Supplies</t>
  </si>
  <si>
    <t xml:space="preserve"> INVITATION TO BID FOR REPRODUCTION AND DELIVERY OF PRINTED LEARNING MODULES 1.	The BALAYAN NATIONAL HIGH SCHOOL, through the General Appropriations Act  intends to apply the sum of One Million Five Hundred Sixty Seven Thousand Four Hundred Forty Pesos (Ph</t>
  </si>
  <si>
    <t xml:space="preserve"> Construction of 3Sty 6CL, Isidoro Suzara Memorial School without: 1. Embankment from Borrow 2. Fascia Board 3. Gutter 4. Windows 5. Window Grills 6. Floor Hardener 7. Railing 8. Ceiling 9. Painting Works Concrete 10. Painting Works Wood 11. Painting Works</t>
  </si>
  <si>
    <t xml:space="preserve"> PROCUREMENT &amp; INSTALLATION OF CCTV SYSTEM					 			Installation, configuration, programming and other					 			incidental cost connectors, roughing ins, mountings, braces					 			and supports, pole support, electrical tape, cable ties,					 			schedule 20 p</t>
  </si>
  <si>
    <t xml:space="preserve"> TO CONSTRUCT MARKET STALLS AT LIDLIDDA PUBLIC MARKET</t>
  </si>
  <si>
    <t xml:space="preserve"> Public Bidding August 7,2020 2:00pm at SB Hall,LGU-San Antonio,Quezon</t>
  </si>
  <si>
    <t xml:space="preserve"> REQUEST FOR QUOTATIONS Procurement of Glasswares Note:  Please see attached document for complete specifications. REMINDERS: 1.) Pls. see associated components for the attached approved canvass form for complete specifications. 2.) Only the approved and p</t>
  </si>
  <si>
    <t xml:space="preserve"> Delivery and installation of Four Units Split Type Air Conditioners,2.5HP,dual inverter,2 auto swing, with anti bacterial air filter,low noise</t>
  </si>
  <si>
    <t xml:space="preserve"> Const./Rehab. of Multi-purpose Buildings</t>
  </si>
  <si>
    <t xml:space="preserve"> Installation of Sign Board Improvement of Waterworks System</t>
  </si>
  <si>
    <t xml:space="preserve"> 1 Ball Joint, Upper, LH / RH (ORIG.) 1 set  2 Ball Joint, Lower, LH / RH (ORIG.) 1 set  3 Link, Stabilizer, LH / RH (Hilux) (ORIG.) 1 set  4 Tie Rod End, LH &amp; RH (HiLux) (ORIG.) 1 set  5 Rack End, Steering, RH / LH (HiLux) (ORIG.) 1 set  6 Assembly, Front</t>
  </si>
  <si>
    <t xml:space="preserve"> Billboard Structure Excavation Slope Protection</t>
  </si>
  <si>
    <t xml:space="preserve"> ITEM NO.	UNIT		QTY		DESCRIPTION		 							 					Provision/Distribution of quality vegetable seeds/seedlings		 1	 tray 		200		Seedling Tray		 					 Assorted Vegetables Seeds 		 2	 can 		10		 Eggplant 		 3	 can 		10		 Squash 		 4	 can 		10		 Ampalaya 		 5	 c</t>
  </si>
  <si>
    <t xml:space="preserve"> Billboard Improvement of Covered Court</t>
  </si>
  <si>
    <t xml:space="preserve"> ITEM NO.	UNIT		QTY		DESCRIPTION		 							 1	 pcs 		3		Search Lights		 					 Model: RASL 9912 		 					 Bulb: 4pcs *Cree 3W LED 		 					 Battery Type: 3.7V3600MAh 		 					 Material:ABS Housing + PC Lens 		 					 Head Rotates 120 		 					 USB Ports 		 						</t>
  </si>
  <si>
    <t xml:space="preserve"> 1.	The Provincial Government of Ilocos Norte, through the RA 7171 FUND  intends to apply the sum of Eighteen Million Pesos    (Php  18,000,000.00                   ) being the Approved Budget for the Contract (ABC) to payments under the contract for Procu</t>
  </si>
  <si>
    <t xml:space="preserve"> Invitation to Bid for the Road Upgrading of Cadawingan-Guinatungan Road, Brgy. Guinatungan&amp;Brgy. Plaridel, Basud, Camarines Norte 1.	TheProvincial Government of Camarines Norte, through the CMGPCY 2020intends to apply the sum of One Hundred Sixteen Millio</t>
  </si>
  <si>
    <t xml:space="preserve"> DIGITAL RADIOGRAPHIC SYSTEM SPECIFICATION DIGITAL RADIOGRAPHY DETECTOR: Scintillator Type:Cesium lodide (CsI) Pixel Pitch: 140 um Field of View: 14x17 inch Effective area: 356.72x428.4 mm Resolution:2536x3048 Grayscale:14 bit Spatial Resolution: 3.5 lp/mm</t>
  </si>
  <si>
    <t xml:space="preserve"> REQUEST FOR EXPRESSION OF INTEREST (REOI) Contract ID:  20CSGG0001 Contract Name:  SUB-SURFACE EXPLORATION FOR THE PROPOSED WIDENING OF BRIDGES ALONG NATIONAL ROADS, CONSTRUCTION OF LOCAL ROADS AND BRIDGES AND CONSTRUCTION OF BY-PASS AND DIVERSION ROADS O</t>
  </si>
  <si>
    <t xml:space="preserve"> INVITATION TO BID 2020-CS-07 The Department of Public Works and Highways QUEZON III DISTRICT ENGINEERING OFFICE, Catanauan, Quezon, through the FY2020 PDE FUND intends to apply the amount of ₱ ₱2,500,000.00  being the Approved Budget for the Contract (ABC</t>
  </si>
  <si>
    <t xml:space="preserve"> 17 bags cement 2 cu.m gravel 1 cu.m sand 22 pcs RSB 10mm 22 pcs RSB 9mm 5 1/2 kg #16 tie wire 3 pcs ordinary plywood 1/4" thk 108 bd.ft coco lumber 3 kg cw nails, assorted 11 pcs G.I pipe 2" sch 40, 6m length 3 kg welding rod 600 lm #6 service drop wire 1</t>
  </si>
  <si>
    <t xml:space="preserve"> We now issue this Request for Proposals (RFP) for you to provide the Consultancy Services for the conduct of Feasibility Study.  More details on the Services are provided in the Terms of Reference (ToR) included in the Bidding Documents for the contract. </t>
  </si>
  <si>
    <t xml:space="preserve"> Invitation to Bid Instruction to Bidders CONST. OF ONE UNIT (1) DAY CARE CENTER PHASE 2                                                                                                                       July 14, 2020 1.	The Barangay Consuelo, now invit</t>
  </si>
  <si>
    <t xml:space="preserve"> The project aims to mitigate impacts of river overflows that causes flashflood and soil erosion.</t>
  </si>
  <si>
    <t xml:space="preserve"> REQUEST FOR QUOTATIONS Procurement of Hammer Drill Note:  Please see attached document for complete specifications. REMINDERS: 1.) Pls. see associated components for the attached approved canvass form for complete specifications. 2.) Only the approved and</t>
  </si>
  <si>
    <t xml:space="preserve"> Construction of 2 Units Multi-purpose Buildings</t>
  </si>
  <si>
    <t xml:space="preserve"> Const./Rehab. of Child Development Centers</t>
  </si>
  <si>
    <t xml:space="preserve"> LOT 1 1. 250 Pcs. CHB 4" 2. 90 Pcs. 10 mm DSB x 6m 3. 12 Kls. Tie Wire #16 4. 5 Cu. M Washed Sand 5. 8 Cu. M Screened Gravel 6. 60 Bags Portland Cement 7. 34 Pcs. Marine Plywood 8. 1 Liter Roof Sealant 9. 20 Kls. CW Nails (Assorted)</t>
  </si>
  <si>
    <t xml:space="preserve"> PAPER SHREDDER	Can shred staples, credit cards and CDs, strip cut, cut at least eighteen (18) sheets of 70gsm paper with a cutting speed of 60mm./second, auto switch and auto reverse, with motor overheating protection, cutting width of 3mm-4mm, 220V,60Hz.</t>
  </si>
  <si>
    <t xml:space="preserve"> Republic of the Philippines Province of Surigao del Norte  Municipality of Malimono  OFFICE OF THE BIDS AND AWARDS COMMITTEE INVITATION TO BID ID NO. GF -MAL-SDN-04-20 1.	The Municipality of Malimono, Surigao del Norte through the Office of the Bids and A</t>
  </si>
  <si>
    <t xml:space="preserve"> Installation of Solar Power Street Lights</t>
  </si>
  <si>
    <t xml:space="preserve"> We now issue this Request for Proposals (RFP) for you to provide the Consultancy Services for the conduct of Feasibility Study. More details on the Services are provided in the Terms of Reference (TOR) included in the Bidding Documents for the Contract. Y</t>
  </si>
  <si>
    <t xml:space="preserve"> Procurement ID/Contract ID:	20PI0098 Contract Name:	Local Infrastructure Program - Local Roads and Bridges, Local Roads, Improvement and rehabilitation of Sadsadan-Balicanao-Salin Access Road, Bauko, Mountain Province Contract Location:	Bauko, Mountain Pr</t>
  </si>
  <si>
    <t xml:space="preserve"> Procurement ID/Contract ID:	20PI0099 Contract Name:	Local Infrastructure Program - Local Roads and Bridges, Local Roads, Improvement of Bagnen Oriente - Bagnen Proper Provincial Road located at the vegetable producing Bauko, Mountain Province Contract Loc</t>
  </si>
  <si>
    <t xml:space="preserve"> 1.	Contract ID	No. 	      	: 20AD0110 Contract Name	      	: Construction of Classrooms Contract Location	      	: Candon Information Technology NHS,     Candon City, Ilocos Sur	       Brief Description	      	: Construction of Classrooms, 4 sty-8 classro</t>
  </si>
  <si>
    <t xml:space="preserve"> Please see line items and attached Instruction to Bidders for the complete description.</t>
  </si>
  <si>
    <t xml:space="preserve"> INVITATION TO BID FOR  ESTABLISHMENT OF THREE (3) UNITS OF SMALL WATER IMPOUNDING SYSTEM (SWIS) AT BRGY. CAAGUTAYAN, SAN TEODORO, ORIENTAL MINDORO 1.	The DENR PENRO – Oriental Mindoro, through the RA 11465, GAA 2020 intends to apply the sum of Three Milli</t>
  </si>
  <si>
    <t xml:space="preserve"> Procurement ID/Contract ID:	20PI0097 Contract Name:	Convergence and Special Support Program - Construction/ Improvement of Access Roads leading to Declared Tourism Destinations, Bontoc - Mainit - Sagada Road leading to Guina-ang Rice Terraces, Mainit Hots</t>
  </si>
  <si>
    <t xml:space="preserve"> 2.	Contract ID	No. 	      	: 20AD0111 Contract Name	      	: Construction of Classrooms Contract Location	      	: Santa Central School, Santa, Ilocos Sur	       Brief Description	      	: Construction of Classrooms, 2 sty-8 classroom school building Appr</t>
  </si>
  <si>
    <t xml:space="preserve"> Invitation to Bid for the Rehabilitation of Solar Streetlights, Cory Aquino Boulevard, Camarines Norte 1.	TheProvincial Government of Camarines Norte, through the General Fund 2020intends to apply the sum of Four MillionEight Hundred Sixty-One Thousand Fi</t>
  </si>
  <si>
    <t xml:space="preserve"> ROOFING WORKS   18.00 	Metalic Plastic Gutter	pcs  28.00 	12mm thick Hardi Senepa	pcs  13.00 	Metalic Plastic End Flashing	pcs  75.00 	2"x 2" x 8' Fascia Board Frame	pcs  48.00 	2" x 2" x 8' Ceiling Joist	pcs  1,500.00 	3/16" x 3/4" Blind Rivet	pcs  2,750</t>
  </si>
  <si>
    <t xml:space="preserve"> Construction of fence along basketball court area with approximate length of 20 meters and an average height of 15 meters. 22 bags Cement 1 cu.m. Sand 1.5 cu.m. Gravel 16 length G.I. Pipe, 2"dia, sch 40 3 rolls Cyclone Wire 16 length Flat bar, 3/16"x1" 10</t>
  </si>
  <si>
    <t xml:space="preserve"> Procurement of Farm Inputs Certified imbreed seeds - 64 bags @40kg @Php1,300/bag = Php   83,200.00 Red onion seeds - 64 cans @ Php 2,135.00/can                 = Php  136,640.00 Urea (46-0-0) - 128 bags@50kg @ Php 985.00/bag           = Php  126,080.00 Co</t>
  </si>
  <si>
    <t xml:space="preserve"> 1.	The Provincial Government of Ilocos Norte, through the General Fund  intends to apply the sum of Three Million Fifty Six Thousand Pesos                                  (Php 3,056,000.00                 ) being the Approved Budget for the Contract (ABC</t>
  </si>
  <si>
    <t xml:space="preserve"> REQUEST FOR QUOTATIONS Procurement of Angel Grinder Note:  Please see attached document for complete specifications. REMINDERS: 1.) Pls. see associated components for the attached approved canvass form for complete specifications. 2.) Only the approved an</t>
  </si>
  <si>
    <t xml:space="preserve"> Invitation to Bid for the Construction/Expansion of Camarines Norte, Provincial Hospital Building, Bagasbas Road, Daet, Camarines Norte 1.	TheProvincial Government of Camarines Norte, through the DBP Loanintends to apply the sum of One Hundred Forty-NineM</t>
  </si>
  <si>
    <t xml:space="preserve"> SAMPLE DESCRIPTION</t>
  </si>
  <si>
    <t xml:space="preserve"> 1.	The Municipality of Santo Tomas, La Union, through the budget for the contract approved by the sanggunian under 20% MDF intends to apply the sum of One million pesos              (Php 1,000,000.00) being the Approved Budget for the Contract (ABC) to pa</t>
  </si>
  <si>
    <t xml:space="preserve"> Item No.	Unit	Qty.	Description of Articles				 1	bags	800	Portland Cement (40 kgs./bag)				 2	cu.m.	61	Washed Sand (black, good qlty.)				 3	cu.m.	32	Screened Gravel, passing 3/4"Ø screen (good qlty.)				 4	cu.m.	25	Sreened gravel, G1 (good qlty.)				 5	u</t>
  </si>
  <si>
    <t xml:space="preserve"> Item No.	Unit	Qty.	Description of Articles				 1	bags	245	Portland Cement (40 kgs/bag)				 2	cu.m.	14	Washed Sand, black (good qlty.)				 3	cu.m.	28	Screened gravel passing¾" screen 				 4	pcs.	800	RSB 10mmØx6m				 5	pcs.	440	RSB 9mmØx6m				 6	kls.	160	G.</t>
  </si>
  <si>
    <t xml:space="preserve"> 1.	The BUREAU OF JAIL MANAGEMENT AND PENOLOGY, through the GENERAL APPROPRIATIONS ACT FY 2020 intends to apply the sum of THIRTY-FOUR MILLION FIVE HUNDRED THOUSAND PESOS                             (P 34,500,000.00) being the Approved Budget for the Contr</t>
  </si>
  <si>
    <t xml:space="preserve"> Invitation to Bid for PR No. 20061132 – Supply and Delivery of Police, Military&amp; Security Equipment for CNPJ Security Supplies Use 	 1.	The Provincial Government of Camarines Norte, through the General Fund-Capital Outlay CY 2020intends to apply the sum o</t>
  </si>
  <si>
    <t xml:space="preserve"> 1.	The Municipality of Santo Tomas, La Union, through the budget for the contract approved by the sanggunian under the General Fund (2020) intends to apply the sum of Three hundred fifty thousand pesos (Php 350,000.00) being the Approved Budget for the Co</t>
  </si>
  <si>
    <t xml:space="preserve"> 1.	The Municipality of Santo Tomas, La Union, through the budget for the contract approved by the sanggunian under RA 8240 intends to apply the sum of Nine hundred ninety eight thousand, seven hundred fifty nine pesos &amp; 90/100 (Php 998,759.90) being the A</t>
  </si>
  <si>
    <t xml:space="preserve"> 1.	The Municipality of Santo Tomas, La Union, through the budget for the contract approved by the sanggunian under the General Fund (2020) intends to apply the sum of Nine hundred fifty thousand pesos (Php 950,000.00) being the Approved Budget for the Con</t>
  </si>
  <si>
    <t xml:space="preserve"> 1.	The Municipality of Santo Tomas, La Union, through the budget for the contract approved by the sanggunian under PCF (2019) intends to apply the sum of Two million, three hundred thousand pesos (Php 2,300,000.00) being the Approved Budget for the Contra</t>
  </si>
  <si>
    <t xml:space="preserve"> 1.	The Municipality of Santo Tomas, La Union, through the budget for the contract approved by the sanggunian under RA 8240 intends to apply the sum of Two million, nine hundred ninety nine thousand, nine hundred ninety eight pesos &amp; 7/100 (Php 2,999,998.0</t>
  </si>
  <si>
    <t xml:space="preserve"> Replacement and Installation of New Fire Exit Doors, Installation of Additional Signage with Led Emergency Lights, Fire Detection and Suppression System</t>
  </si>
  <si>
    <t xml:space="preserve"> CATERING SERVICES OF FOODS AND DRINKING/BEVERAGES (AUGUST TO DECEMBER 2020) ₱30/packs-snacks ₱50/packs-meals Catering Package Include: a.the food; b.the preparation c.the catering menu d. the cooking e.the delivery or service and cleaning, f. may also inc</t>
  </si>
  <si>
    <t xml:space="preserve"> 1.	The Municipality of Santo Tomas, La Union, through the budget for the contract approved by the sanggunian under RA 8240 intends to apply the sum of Three million pesos                 (Php 3,000,000.00) being the Approved Budget for the Contract (ABC) </t>
  </si>
  <si>
    <t xml:space="preserve"> -----------------ITEM DESCRIPTION-----------------------------------QUANTITY-------UNIT ---------------PROCUREMENT OF SMART TV-------------------------------64-----------UNIT --------TYPE TV TYPE : ----------LED, SMART TV --------Spec: Screen Size :------</t>
  </si>
  <si>
    <t xml:space="preserve"> 1.	The Municipality of Santo Tomas, La Union, through the budget for the contract approved by the sanggunian under the General Fund (2020) intends to apply the sum of Nine hundred ninety five thousand pesos (Php 995,000.00) being the Approved Budget for t</t>
  </si>
  <si>
    <t xml:space="preserve"> Republic of the Philippines Department of Public Works and Highways Cotabato 1st District Engineering Office Villarica, Midsayap, Cotabato INVITATION TO BID The DPWH-Cotabato 1st District Engineering Office through its Bids and Awards Committee (BAC), inv</t>
  </si>
  <si>
    <t xml:space="preserve"> Civil Works</t>
  </si>
  <si>
    <t xml:space="preserve"> INVITATION TO BID FOR THE PROCUREMENT OF   BRAND NEW VAN-TYPE AMBULANCE The LGU- Palapag, N. Samar, through  the  2020 Budget for the contract approved by the Sanggunian   intends to apply the sum of    Two Million Eight Hundred Thousand Pesos (PhP  2,800</t>
  </si>
  <si>
    <t xml:space="preserve"> PROVISION OF A QUANTITATIVE SURVEY ON LEVELS OF AWARENESS  AND PREFERENCE ON PAG-IBIG FUND PRODUCTS  The Pag-IBIG Fund Corporate Headquarters, through its Bids and Awards Committee – Goods and Services (BAC-GS) intends to apply the sum of One Million Five</t>
  </si>
  <si>
    <t xml:space="preserve"> PLS. SEE ATTACHED PURCHASE REQUISITION, TERMS OF REFERENCE &amp; BID DOCS FOR DETAILS.</t>
  </si>
  <si>
    <t xml:space="preserve"> 1.	The Municipality of Santo Tomas, La Union, through the budget for the contract approved by the sanggunian under 20% MDF (2020) intends to apply the sum of One million, one hundred ninety one thousand, three hundred ten pesos &amp; 23/100 (Php 1,191,310.23)</t>
  </si>
  <si>
    <t xml:space="preserve"> Republic of the Philippines BIDS AND AWARDS COMMITTEE Bacolod City INVITATION TO BID FOR THE PURCHASE OF MATERIALS FOR THE ROAD IMPROVEMENT OF STA. ANA ST., BRGY. 30 &amp; 31 (FROM EXISTING PAVEMENT-LUZURIAGA ST.)  1.	The City of Bacolod, through the Sangguni</t>
  </si>
  <si>
    <t xml:space="preserve"> OPENING OF BIDS IN DSWD FO IX, DELIVERY IN DSWD FO IX ZC						 	PROCUREMENT FOR THE FF.:	 					 50	boxes	disposable face mask;3- layer material @ 1,000.00  100	pcs	KN95 Mask:5 layer material ,95% filter	@ 150.00  200	pcs	Disposable non-woven isolation gow</t>
  </si>
  <si>
    <t xml:space="preserve"> SURIGAO STATE COLLEGE OF TECHNOLOGY Surigao City INVITATION TO BID FOR PRINTING OF COLLEGE YEARBOOK SY 2019-2020 INCLUDING PHOTOGRAPHY  1.	The Surigao State College of Technology, through the Corporate Budget for the Contract Approved by the Governing Boa</t>
  </si>
  <si>
    <t xml:space="preserve"> Repair/Maintenance of Barn House II, Cabid-an and Repair/Maintenance of DPWH Bldg. Quarters, Sorsogon 1st DEO, Guinlajon, Sorsogon City</t>
  </si>
  <si>
    <t xml:space="preserve"> Republic of the Philippines Province of Cotabato Municipality of Aleosan Invitation to Bid for the  IMPROVEMENT OF SAN MATEO LEVEL III WATER SYSTEM 								JULY 23, 2020 		 1.	The Local Government Unit of Aleosan, through SALINTUBIG CY 2020 - DILG intends</t>
  </si>
  <si>
    <t xml:space="preserve"> General Fund - Medicines					 1	Ferrous Sulfate tablet - 100/box	140	boxes		 2	Paracetamol 250mg/5ml-60ml/bot	1000	bots		 3	Paracetamol 500mg/tablet (100's/box)	50	boxes		 4	Ferrous Sulfate Syrup - 60ml/bot	1000	bots		 5	Amoxicillin Trihydrate 250mg/5ml-6</t>
  </si>
  <si>
    <t xml:space="preserve"> Republic of the Philippines Region X PROVINCE OF LANAO DEL NORTE Municipality of Linamon -oOo- BIDS AND AWARDS COMMITTEE (BAC) INVITATION TO BID FOR LABOR AND MATERIALS FOR THE IMPROVEMENT/ENHANCEMENT OF HISTORICAL SITES  Project Identification No. LIN-LD</t>
  </si>
  <si>
    <t xml:space="preserve"> 1.	The Municipality of Santo Tomas, La Union, through the budget for the contract approved by the sanggunian under the General Fund (2020) intends to apply the sum of Seven hundred thousand pesos (Php 700,000.00) being the Approved Budget for the Contract</t>
  </si>
  <si>
    <t xml:space="preserve"> Republic of the Philippines Province of Cotabato Municipality of Aleosan Invitation to Bid for the  IMPROVEMENT OF BARANGAY NEW LEON LEVEL II WATER SYSTEM 								JULY 23, 2020 		 1.	The Local Government Unit of Aleosan, through SALINTUBIG CY 2020 - DILG </t>
  </si>
  <si>
    <t xml:space="preserve"> ITEM.	QTY	UNIT OF	DESCRIPTION NO.		ISSUE	 			 1	1000	pcs	4" CHB 2	100	bags	Portland Cement 3	8	cu.m.	Gravel Gi(6 wheeler DT) 4	8	cu.m.	Screened Sand S1(6 wheeler DT) 5	87	pcs	10mmØx.0mx6m RSB 6	5	kgs	#16 GI Tie Wire 7	1	pc	1/4"x4'x8' Marine Plywood 8	18	p</t>
  </si>
  <si>
    <t xml:space="preserve"> The BAC will use non-discretionary pass/fall criteria in the Eligibility Check/Screening as well as the Preliminary Examination of Bids. All particulars relative to Eligibility Statement and Screening, Bid Security, Performance Security, Pre-Bidding Confe</t>
  </si>
  <si>
    <t xml:space="preserve"> Specifications –PICK UP TRUCK 4x2 (J) M/T ENGINE TRANSMISSION Model					2GD-FTV (LOW) Type					2.4 L Diesel 4-Cylinder, 16-Valve DOHC Variable 					Nozzle Turbo with Front Mounted Intercooler Displacement				2.393 cc Maximum Output			147 / 3,400  hp/rpm M</t>
  </si>
  <si>
    <t xml:space="preserve"> INVITATION TO BID FOR THE CONSTRUCTION OF SLOPE PROTECTION WALL AT DIMATULANG CREEK, BRGY. ELEANOR TO FELY, MACONACON, ISABELA 1.	The Local Government Unit of Maconacon, through 2020 Economic Development Fund to apply the sum of Four Million Pesos (Php 4,</t>
  </si>
  <si>
    <t xml:space="preserve"> INVITATION TO BID FOR THE CONSTRUCTION OF MINANGA SLOPE PROTECTION AT BRIDGE APPROACH, BRGY. MINANGA, MACONACON, ISABELA 1.	The Local Government Unit of Maconacon, through 2020 Economic Development Fund to apply the sum of One Million Pesos (Php 1,000,000</t>
  </si>
  <si>
    <t xml:space="preserve"> INVITATION TO BID FOR THE CONSTRUCTION OF FLOOD CONTROL AT DIANA, BRGY. DIANA, MACONACON, ISABELA 1.	The Local Government Unit of Maconacon, through 2020 Economic Development Fund to apply the sum of One Million Pesos (Php 1,000,000.00) being the Approved</t>
  </si>
  <si>
    <t xml:space="preserve"> 1. DRB 10mm 250 PCS.  2. TIE WIRE #16 20KGS  3. COCOFORMS 2X2X12 20PCS 4. COCOFORMS 2X3X12 20PCS.  5. CWN #3  3KGS  6. PORTLAND CEMENT 620 BAGS  7. BOULDERS (DEL AT JOB SITE) 130 CUM  8. WASHED SAND (DEL AT JOB SITE) 56 CUM  9. SAND AND GRAVEL (DEL AT JOB</t>
  </si>
  <si>
    <t xml:space="preserve"> Republic of the Philippines Province of Cotabato Municipality of Aleosan Invitation to Bid for the  CONSTRUCTION OF PAGANGAN LEVEL II PWS 								JULY 23, 2020 		 1.	The Local Government Unit of Aleosan, through SALINTUBIG CY 2020 - DILG intends to apply </t>
  </si>
  <si>
    <t xml:space="preserve"> Excavation for structure Concrete &amp; Masonry works</t>
  </si>
  <si>
    <t xml:space="preserve"> INVITATION TO BID FOR THE CONSTRUCTION OF FLOOD CONTROL AT MALASIN, BRGY. MALASIN, MACONACON, ISABELA 1.	The Local Government Unit of Maconacon, through 2020 Economic Development Fund to apply the sum of One Million Pesos (Php 1,000,000.00) being the Appr</t>
  </si>
  <si>
    <t xml:space="preserve"> I. CLEARING/EXCAVATION II. FORM WORKS III. PAVEMENT WORKS III. ELECTRICAL WORKS</t>
  </si>
  <si>
    <t xml:space="preserve"> I. CLEARING/EXCAVATION II. FORM WORKS III. PAVEMENT WORKS IV. ELECTRICAL WORKS</t>
  </si>
  <si>
    <t xml:space="preserve"> Republic of the Philippines BIDS AND AWARDS COMMITTEE Bacolod City INVITATION TO BID FOR THE PURCHASE OF MATERIALS FOR IMPROVEMENT OF FACILITIES AT SOCIAL DEVELOPMENT CENTER, BRGY. SINGCANG-AIRPORT, BACOLOD CITY 1.	The City of Bacolod, through the Sanggun</t>
  </si>
  <si>
    <t xml:space="preserve"> Republic of the Philippines Province Of Romblon Municipality Of Calatrava INVITATION TO BID For Procurement of Plywood for Disaster Affected 1.	The Local Government Unit of Calatrava, Romblon through the S.B. Resolution No.77 S. 2020, intends to apply the</t>
  </si>
  <si>
    <t xml:space="preserve"> Description INVITATION TO BID Barangay Quibongbongan  Guinobatan, Albay through its Bids and Awards Committee (BAC) invites suppliers/ manufacturers/ distributors/ contractors to apply for eligibility and to bid for the procurement of the hereunder projec</t>
  </si>
  <si>
    <t xml:space="preserve"> Republic of the Philippines BIDS AND AWARDS COMMITTEE Bacolod City INVITATION TO BID FOR THE PROJECT FOR CONSTRUCTION/REHABILITATION/ IMPROVEMENT OF DRAINAGE SYSTEM @ BRGY. 27 1.	The City of Bacolod, through the Sangguniang Panlungsod 2020 intends to appl</t>
  </si>
  <si>
    <t xml:space="preserve"> Invitation to Bid 1.	The Barangay Government of Tanza 2 through the 2020 BDRRM Fund,intend to apply the amount of  Ninety Thousand Pesos Only  (words)  Php 90,000.00 as the Approved Budget for the Contract (ABC) for the payment under the contract for the </t>
  </si>
  <si>
    <t xml:space="preserve"> Description   INVITATION TO BID Barangay TANDARORA Guinobatan, Albay through its Bids and Awards Committee (BAC) invites suppliers/ manufacturers/ distributors/ contractors to apply for eligibility and to bid for the procurement of the hereunder project a</t>
  </si>
  <si>
    <t xml:space="preserve"> TITLE: VARIOUS MATERIALS FOR THE CONSTRUCTION OF MULTI-PURPOSE BUILDING  (PHASE-2) LOCATION: PUROK-4, VILLA KANANGA, BUTUAN CITY SOURCE OF FUNDS: BRGY. IRA FUND ITEM DESCRIPTION: 1	366	Bdft.	Coco lumber 2	13	Kgs.	Assorted Common Wire Nails 3	16.8	Sq.m.	An</t>
  </si>
  <si>
    <t xml:space="preserve"> Republic of the Philippines Province of Leyte Municipality of Hilongos INVITATION TO BID FOR THE PURCHASE OF TWO (2) DESKTOP COMPUTER FOR LAMAK CS 1.  The Local Government Unit of Hilongos, through SEF-CURRENT APPROPRIATION intends to apply the sum SIXTY </t>
  </si>
  <si>
    <t xml:space="preserve"> This project is own and govern by the Barangay Moradje, Josefina, Zamboanga del Sur which they will going to improve their basketball court in order for the youths to have nice and conducive to play.</t>
  </si>
  <si>
    <t xml:space="preserve"> Republic of the Philippines BIDS AND AWARDS COMMITTEE Bacolod City INVITATION TO BID FOR THE PURCHASE OF MATERIALS FOR THE CONCRETING OF ROAD AT FORTUNE TOWNE, 5TH ROAD, BRGY. ESTEFANIA 1.	The City of Bacolod, through the Sangguniang Panlungsod 2020 inten</t>
  </si>
  <si>
    <t xml:space="preserve"> INVITATION TO BID FOR Procurement of Network Equipment and Cables, DPWH-Bataan 2nd DEO 	 The DPWH-Bataan 2nd District Engineering Office, through its Bids and Awards Committee (BAC) for Goods, invites suppliers to submit bids for the following Contract: C</t>
  </si>
  <si>
    <t xml:space="preserve"> Prospective bidders should possess a valid PCAB license applicable to the contract, have completed a similar contract with a value of at least 50% of the ABC. The BAC will use non-discretionary pass/fail criteria in the eligibility check/screening as well</t>
  </si>
  <si>
    <t xml:space="preserve"> Waterworks Equipment for the Improvement of Water System (14 Barangays)</t>
  </si>
  <si>
    <t xml:space="preserve"> LOT-I HARDWARE MATERIALS 44 Pcs.  12mm DSB x 6m 8 kls. Tie wire #16 3 cu.m. Washed sand 5 cu.m. Screened gravel 40 bags Portland cement 12 pcs. Ordinary plywood (1/4") 192 bd.ft 2x2x16 lauan (36 pcs.) 20 kls. CW nails (assorted) LOT-II GRAVELLING OF ROAD </t>
  </si>
  <si>
    <t xml:space="preserve"> Construction of Shoreline Protection (Seawall)				 117 	lm	Installation of scaffolding		 975 	pcs	Hauling of Concrete Blocks		 366.21 	cu.m	Concrete Works		 13,372.31 	kls	Reinforcement		 4,792 	cu.m	Embankment		 				 Concreting of Local Access Road				 1</t>
  </si>
  <si>
    <t xml:space="preserve"> CONCRETING OF BARANGAY ROAD @ ZONE 6 CULLIT, LAL-LO, CAGAYAN</t>
  </si>
  <si>
    <t xml:space="preserve"> PLS. SEE ATTACH PURCHASE REQUISITION, TERMS OF REFERENCE, &amp; BID DOCS FOR DETAILS.</t>
  </si>
  <si>
    <t xml:space="preserve"> ITEM NO. UNIT QTY DESCRIPTION 1.  160 BOX PRENATAL MIKL 375 GR/BOX 2.  160 CANS BISCUIT 850 GR/CAN 3.  5200 TABS PRENATAL VITAMINS</t>
  </si>
  <si>
    <t xml:space="preserve"> Republic of the Philippines Province of Leyte Municipality of Hilongos INVITATION TO BID FOR THE PURCHASE OF ONE (1) UNIT LAPTOP FOR LAMAK CS 1.  The Local Government Unit of Hilongos, through SEF-CURRENT APPROPRIATION intends to apply the sum THIRTY THOU</t>
  </si>
  <si>
    <t xml:space="preserve"> July 20, 2020 INVITATION TO BID  The Department of Public Works and Highways, Mindoro Occidental District Engineering Office, Mamburao, Occidental Mindoro, through its Bids and Award Committee (BAC), invites contractors to submit bids for the following Co</t>
  </si>
  <si>
    <t xml:space="preserve"> REQUEST FOR QUOTATION (RFQ) The National Museum of the Philippines through the Bids and Awards Committee, invites all eligible suppliers/contractors to bid for: SUPPLY AND DELIVERY OF T’NALAK, WOVEN ABACA TEXTILES AND BLOUSE DECORATED WITH MOTHER OF PEARL</t>
  </si>
  <si>
    <t xml:space="preserve"> Republic of the Philippines 				Province of Eastern Samar 				Municipality of Mercedes OFFICE OF THE BIDS AND AWARDS COMMITTEE (BAC) INVITATION TO BID FOR THE PROCUREMENT CONSTRUCTION MATERIALS FOR THE REHABILITATION OF TEMPORARY SHELTRERS INVITATION TO B</t>
  </si>
  <si>
    <t xml:space="preserve"> Supply and delivery of streetlight supplies and materials for installation and maintenance of streetlights at various barangay of Capas,Tarlac</t>
  </si>
  <si>
    <t xml:space="preserve"> The Municipal Government of Pilar, through the General Fund (GAD Program) intends to apply the sum of Two Million Three Hundred Ninety Eight Thousand Three Hundred Thirty One &amp; 91/100 Pesos (P/2,398,331.91) being the Approved Budget for the COntract (ABC)</t>
  </si>
  <si>
    <t xml:space="preserve"> PLS. SEE ATTACHED PURCHASE REQUISITION, TERMS OF REFERENCE, &amp; BID DOCS FOR DETAILS.</t>
  </si>
  <si>
    <t xml:space="preserve"> Benguet First District Engineering Office La Trinidad, Benguet July 22, 2020    INVITATION TO BID The Benguet First District Engineering Office, through its Bids and Awards Committee (BAC), invites contractors to submit bids for the following Contract: Co</t>
  </si>
  <si>
    <t xml:space="preserve"> UNIT                  DESCRIPTION                         QUANTITY SPL-1 INSTALLATION OF HOSPITAL LIFT ELEVATOR  Qty. = 1.00 lot  I. Materials  lot Hospital Lift Elevator 2 tons Capacity with 1 75KW motor incl. mechanical and electrical  installation incl</t>
  </si>
  <si>
    <t xml:space="preserve"> Contract ID				           :   20II0064 Contract Name			                   :   Concreting of Brgy. Bangon to Brgy. Bonifacio to Brgy. Lonoy FMR, Brgy. Bangon, Brgy. Bonifacio &amp; Lonoy Contract Location			           :   Gamay, N. Samar	 Brief Description/Sco</t>
  </si>
  <si>
    <t xml:space="preserve"> Republic of the Philippines BIDS AND AWARDS COMMITTEE Bacolod City INVITATION TO BID FOR THE PURCHASE OF MATERIALS FOR THE ROAD IMPROVEMENT AT SAN SEBASTIAN ST. (DAWIS), BRGY. 13 (SAN JUAN ST. TO PALANCA ST.) 1.	The City of Bacolod, through the Sanggunian</t>
  </si>
  <si>
    <t xml:space="preserve"> Republic of the Philippines Province of Leyte Municipality of Hilongos INVITATION TO BID FOR THE PURCHASE OF LAPTOP FOR EBEIS ROOM OF HILONGOS SOUTH CENTRAL SCHOOL 1.  The Local Government Unit of Hilongos, through SEF-CURRENT APPROPRIATION intends to app</t>
  </si>
  <si>
    <t xml:space="preserve"> Republic of the Philippines PROVINCE OF CAMIGUIN Mambajao, Camiguin  OFFICE OF THE BIDS AND AWARDS COMMITTEE (BAC) INVITATION TO BID The Provincial Government of Camiguin through its Bids and Awards Committee (BAC) invites all interested and qualified con</t>
  </si>
  <si>
    <t xml:space="preserve"> Republic of the Philippines BIDS AND AWARDS COMMITTEE Bacolod City INVITATION TO BID FOR THE 	 1.	The City of Bacolod, through the Sangguniang Panlungsod 2020 intends to apply the sum of                                                                     </t>
  </si>
  <si>
    <t xml:space="preserve"> Republic of the Philippines PROVINCE OF NUEVA VIZCAYA Invitation to Bid for the  CONCRETING OF CVR BASCARAN-SINGIAN-AGGUB ROAD Located at Solano, Nueva Vizcaya  1.	The Provincial Government of Nueva Vizcaya, through the 20% 2020 Development Fund  intends </t>
  </si>
  <si>
    <t xml:space="preserve"> INVITATION TO BID FOR Resurfacing of Shoulders along Gov. J.J. Linao Road (SO4822LZ) Binukawan Section (Both Sides) Bagac, Bataan The DPWH-Bataan 2nd District Engineering Office, through its Bids and Awards Committee (BAC) for Goods, invites suppliers to </t>
  </si>
  <si>
    <t xml:space="preserve"> Republic of the Philippines Province of Palawan  Municipal Government of Cuyo BIDS AND AWARDS COMMITTEE Email Address: baccuyopalawan@gmail.com INVITATION TO BID FOR “SUPPLY AND DELIVERY OF OFFICE SUPPLIES FOR ELEMENTARY AND SECONDARY SCHOOLS, CUYO DISTRI</t>
  </si>
  <si>
    <t xml:space="preserve"> Republic of the Philippines PROVINCE OF CAMIGUIN Mambajao, Camiguin OFFICE OF THE BIDS AND AWARDS COMMITTEE (BAC) INVITATION TO BID The Provincial Government of Camiguin through its Bids and Awards Committee (BAC) invites all interested and qualified bidd</t>
  </si>
  <si>
    <t xml:space="preserve"> Republic of the Philippines PROVINCE OF NUEVA VIZCAYA Invitation to Bid for the  RECONSTRUCTION OF TUCAL BRIDGE APPROACH (ABUTMENT &amp; WATERWAY) Located at Solano, Nueva Vizcaya  1.	The Provincial Government of Nueva Vizcaya, through the PDRRMO Capital Outl</t>
  </si>
  <si>
    <t xml:space="preserve"> Republic of the Philippines PROVINCE OF NUEVA VIZCAYA Invitation to Bid for the  REHABILITATION OF CVR BAYOMBONG-MASOC-AMBAGUIO ROAD (AMBAGUIO SECTION) Located at Ambaguio, Nueva Vizcaya  1.	The Provincial Government of Nueva Vizcaya, through the 20% 2020</t>
  </si>
  <si>
    <t xml:space="preserve"> INVITATION TO BID FOR THE CONSTRUCTION OF 2 UNITS PALAY SHED, AT BRGY. STA. MARINA AND SITIO DIADUAN, MACONACON, ISABELA 1.	The Local Government Unit of Maconacon, through 2020 Economic Development Fund to apply the sum of One Million Pesos (Php 1,000,000</t>
  </si>
  <si>
    <t xml:space="preserve"> Republic of the Philippines PROVINCE OF NUEVA VIZCAYA Invitation to Bid for the  IMPROVEMENT OF JCT. SALINAS-MAPAYAO-BINALIAN-BABADI-PINAYAG-NANSIAKAN ROAD Located at Kayapa, Nueva Vizcaya  1.	The Provincial Government of Nueva Vizcaya, through the 20% 20</t>
  </si>
  <si>
    <t xml:space="preserve"> Republic of the Philippines PROVINCE OF NUEVA VIZCAYA Invitation to Bid for the  RECONSTRUCTION OF LABBUNAN BRIDGE (ABUTMENT &amp; WATERWAY) Located at Villaverde, Nueva Vizcaya  1.	The Provincial Government of Nueva Vizcaya, through the PDRRMO Capital Outlay</t>
  </si>
  <si>
    <t xml:space="preserve"> Republic of the Philippines SUGAR REGULATORY ADMINISTRATION North Avenue, Diliman, Quezon City 													                                            7/23/2020 										         Date REQUEST FOR QUOTATION Gentlemen: 		Please quote your lowest prices, t</t>
  </si>
  <si>
    <t xml:space="preserve"> Improvement of Pathways along NRRES, L. Millan and P. Ramos St., Brgy. Poblacion West, Asingan, Pangasinan. Pre-Bid Conference – July 31, 2020 at 9:30 AM at the Conference Room of the Municipal Hall of Asingan Submission/Receipt/Opening of Bids :  August </t>
  </si>
  <si>
    <t xml:space="preserve"> Concreting of Kiloyao Road  Brgy. Kiloyao, Libungan, Cotabato</t>
  </si>
  <si>
    <t xml:space="preserve"> ITEM     DESCRIPTION                       QTY.          UNIT I.         MASONRY                            15 x 25         m</t>
  </si>
  <si>
    <t xml:space="preserve"> Construction of Intake box Installation of Pipes</t>
  </si>
  <si>
    <t xml:space="preserve"> Republic of the Philippines BIDS AND AWARDS COMMITTEE Bacolod City INVITATION TO BID FOR THE PROJECT FOR IMPROVEMENT OF BACOLOD ARTS CENTER, BCNHS CPD., BRGY. TACULING, BACOLOD CITY 1.	The City of Bacolod, through the Sangguniang Panlungsod 2020 intends t</t>
  </si>
  <si>
    <t xml:space="preserve"> OPENING OF BIDS IN DSWD FO IX ZAMBOANGA CITY,				 DELIVERY IN PCDP MAMPANG ZAMBOANGA CITY				 PROCUREMENT FOR THE FF.:				 						 				 5000	BOTTLES	ALCOHOL , 50 ml. ETHYL 70% ISOPROPHYL	@	 40.00  20	BOXES	DISPOSABLE GLOVES/CLEAN GLOVES	@	 150.00  20	BOXES</t>
  </si>
  <si>
    <t xml:space="preserve"> PaPart A. Facilities for the Engineer A.1.1(6) Provision of Combined Field Office, Laboratory and Quarters Building for the Engineers (Rental Basis ) month 4.00 A.1.1.(11) Provision of Furniture/fixtures, Equipment and Appliances for the Field Office for </t>
  </si>
  <si>
    <t xml:space="preserve"> 1.	The Municipality of Daram, through the General Fund-2020 intends to apply the sum of One Million Six Hundred Thousand Pesos (P1,600,000.00) being the Approved Budget for the Contract (ABC) to payments under the contract for the Supply and Delivery of S</t>
  </si>
  <si>
    <t xml:space="preserve"> Concreting of Montay - USM Road</t>
  </si>
  <si>
    <t xml:space="preserve"> Republic of the Philippines Province of Oriental Mindoro MUNICIPALITY OF PINAMALAYAN OFFICE OF THE BIDS AND AWARDS COMMITTEE Invitation to Bid ITB-2020-33 1.  The Municipal Government of Pinamalayan, Oriental Mindoro, through the authorized appropriations</t>
  </si>
  <si>
    <t xml:space="preserve"> FURNISHING OF LABOR AND MATERIALS FOR THE CONSTRUCTION OF MULTIPURPOSE GYM/ EVACUATION CENTER OF BARANGAY NAPNAPAN NORTE, SITIO NASULI, TIGBAUAN, ILOILO</t>
  </si>
  <si>
    <t xml:space="preserve"> FLAT SCREEN TV</t>
  </si>
  <si>
    <t xml:space="preserve"> (Rehabilitation and Improvement of Closed dumpsite damaged during typhoon Tisoy), 143 Linear meter CHB Perimeter Fence with concrete tie beam and 143 Linear Meter Stone Masonry.</t>
  </si>
  <si>
    <t xml:space="preserve"> Contract ID:	20DL0232 Contract Name:	CONCRETING OF BAGONG SILANG FMR, BRGY. BAGONG SILANG, TAGKAWAYAN, QUEZON Contract Location:	TAGKAWAYAN, QUEZON Brief Description:		CONCRETING OF FARM – TO – MARKET ROAD Approved Budget for the Contract (ABC):	PHP   11,</t>
  </si>
  <si>
    <t xml:space="preserve"> Contract ID:	20DL0233 Contract Name:	CONCRETING OF BRGY. RIZAL FMR, BRGY. RIZAL, PEREZ, QUEZON 		 Contract Location:	PEREZ, QUEZON  Brief Description:		CONCRETING OF FARM – TO – MARKET ROAD Approved Budget for the Contract (ABC):	PHP   11,940,000.00 Sourc</t>
  </si>
  <si>
    <t xml:space="preserve"> Material cost Labor cost</t>
  </si>
  <si>
    <t xml:space="preserve"> Farm Inputs: Certified Inbreed Seeds : 400 bags@40kg/bag X Php 1,300.00/bag        = Php 520,000.00 Urea Red (46-0-0)         : 373.6 bag@50kg/bag  X @Php 985.00/bag     = Php 367,996.00 Complete(14-14-14)      : 400 bags@50kg/bag X Php 1,130.00/bag      </t>
  </si>
  <si>
    <t xml:space="preserve"> INVITATION TO BID FOR THE CONSTRUCTION OF FELY DRAINAGE SYSTEM PHASE II, BRGY. FELY, MACONACON, ISABELA 1.	The Local Government Unit of Maconacon, through 2020 Economic Development Fund to apply the sum of One Million Five Hundred Pesos (Php 1,500,000.00)</t>
  </si>
  <si>
    <t xml:space="preserve"> Republic of the Philippines Province of Leyte Municipality of Mahaplag BARANGAY UPPER Invitation to bid for the Procurement of Materials for the Rehabilitation of Street Light 1. The Barangay Upper of Mahaplag, Leyte, through the Financial Assistance inte</t>
  </si>
  <si>
    <t xml:space="preserve"> INVITATION TO BID  PROCUREMENT OF RADIOLOGIC EQUIPMENT  (ULTRASOUND &amp; FULL DIGITAL MOBILE X-RAY MACHINE) MRH-008-2020 1.	The Margosatubig Regional Hospital, through the funding source of Hospital Income intends to apply the sum of Fifteen Million Eight Hu</t>
  </si>
  <si>
    <t xml:space="preserve"> PROCUREMENT OF MATERIALS FOR THE CONTINUING CONSTRUCTION OF DAY CARE CENTER (PHASE II) OF BRGY. DORONG-AN, TIGBAUAN, ILOILO</t>
  </si>
  <si>
    <t xml:space="preserve"> Provision of 1-Unit Disaster Risk Reduction and Management (DRRM) Quick Response Vehicle, Brand New 4-Cylinder Diesel Engine Disaster Vehicle, Engine Displacement at least 2,400 cc, 5-Speed Manual/ 4WD, Rock &amp; Pinion with Power assist Steering and with LT</t>
  </si>
  <si>
    <t xml:space="preserve"> Republic of the Philippines Province of Oriental Mindoro MUNICIPALITY OF NAUJAN BIDS AND AWARDS COMMITTEE INVITATION TO BID SUPPLY AND DELIVERY MATERIALS TO BE USED IN THE CONCRETING OF ROADS IN 8 DIFFERENT BARANGAYS, NAUJAN, ORIENTAL MINDORO 1. 	The Muni</t>
  </si>
  <si>
    <t xml:space="preserve"> Mobilization/ Demobilization Temporary Facilities Occupational Safety and Health Measures Clearing and Grubbing Removal of RCPC Roadway Excavation Pipe Culvert and Drainage Excavation Embankment (Selected Borrow Sub-Grade Preparation Aggregate Sub-Base Co</t>
  </si>
  <si>
    <t xml:space="preserve"> RFQ (20-07-074) T-shirts</t>
  </si>
  <si>
    <t xml:space="preserve"> Republic of the Philippines Province of Batangas Municipality of Sto. Tomas Barangay San Vicente INVITATION TO BID The Barangay Government of San Vicente, Sto. Tomas, Batangas through its Bids and Awards Committee ( BAC) invites suppliers/dealers/contract</t>
  </si>
  <si>
    <t xml:space="preserve"> Concreting of Sitio Parasapas Road  LGU Counterpart for DA Funded Project</t>
  </si>
  <si>
    <t xml:space="preserve"> Republic of the Philippines DEPARTMENT OF PUBLIC WORKS AND HIGHWAYS CAGAYAN THIRD DISTRICT ENGINEERING OFFICE REGION II Tuguegarao City The DPWH-CAGAYAN THIRD DISTRICT ENGINEERING OFFICE, through the GAA FY-2020 intends to apply the sum of P1,980,000.00 b</t>
  </si>
  <si>
    <t xml:space="preserve"> The Municipal Government of San Mariano, Isabela invite Bidders to participate in this procurement. CONCRETING OF BINATUG-LUZCON GANGALAN ROAD SECTION, Gangalan San Mariano, Isabela Approved Budget: Php  Php11,537,272.89  Contract Duration: 120 CD Bidding</t>
  </si>
  <si>
    <t xml:space="preserve"> MUNICIPALITY OF BONTOC Bontoc, Mountain Province Invitation to Bid for Construction of Municipal Parking Space INFRA 2020-13/7130946 1.	The Municipal Local Government Unit of Bontoc through the Budget Approve by the Sanggunian intends to apply the sum of </t>
  </si>
  <si>
    <t xml:space="preserve"> use in Chlorination of Water to supplied to the Municiaplity</t>
  </si>
  <si>
    <t xml:space="preserve"> MUNICIPALITY OF BONTOC Bontoc, Mountain Province Invitation to Bid for Cluster 09-2020 (1. Installation of Railings and Construction of Drainage Towards Favuyan Barangay Health Center 2. Improvement of Tobtob Pathway with Slope Protection, Bontoc Ili 3.Co</t>
  </si>
  <si>
    <t xml:space="preserve"> INVITATION TO BID 2020BM-001 - SUPPLY &amp; DELIVERY OF MATERIALS FOR CONSTRUCTION OF STREET LIGHTS, BARANGAY MALINTA, MASBATE CITY. The Local Government Unit of Masbate City, through the Barangay Development Fund 20120 intends to apply the sum of TWO HUNDRED</t>
  </si>
  <si>
    <t xml:space="preserve"> INVITATION TO APPLY FOR ELIGIBILITY AND TO BID (IAEB No. 02 -2020) Republic of the Philippines Barangay Government of Ligpit Bantayan Barangay Ligpit Bantayan Guinayangan, Quezon Supply and Delivery of Construction Materials 1.	The BARANGAY GOVERNMENT OF </t>
  </si>
  <si>
    <t xml:space="preserve"> Republic of the Philippines Province of Bukidnon MUNICIPALITY OF KIBAWE O0o0o Bids and Awards Committee INVITATION TO BID July 23, 2020 The Local Government of Kibawe, Kibawe, Bukidnon through its Bids and Awards Committee (BAC), invites contractor’s regi</t>
  </si>
  <si>
    <t xml:space="preserve"> INVITATION TO BID FOR THE SUPPLY, DELIVERY, INSTALLATION AND COMMISSIONING OF VARIOUS OB-GYNE EQUIPMENT 1.  The Cagayan Valley Medical Center (CVMC), intends to apply the sum Five Million One Hundred Thirty Thousand Pesos (Php 5,130,000.00 ) being the App</t>
  </si>
  <si>
    <t xml:space="preserve"> Construction of 1-Unit 2-Storey Isolation Building with Amenities (Phase 1) (Concrete Ground Floor Dimension = 8m x 18m) with Gendered Comfort Room, Smooth Finished Masonry and Fully Tainted Glass Wall, 10-Bedrooms capacity for COVID-19 Patient with Light</t>
  </si>
  <si>
    <t xml:space="preserve"> Local Government of Valencia Catarata Street, Poblacion, Valencia City,  Bukidnon, Philippines Philippine access (088) 828-5430 Contract Reference No. 11-2020 07/23/2020 INVITATION TO BID FOR THE PROPOSED CONSTRUCTION OF BAHAY PAG-ASA PHASE II AT POBLACIO</t>
  </si>
  <si>
    <t xml:space="preserve"> PLEASE SEE ATTACHED PURCHASE REQUISITION, TERMS OF REFERENCE &amp; BID DOCUMENTS FOR DETAILS.</t>
  </si>
  <si>
    <t xml:space="preserve"> 1 Lot HARDWARE, ELECTRICAL &amp; CONSTRUCTION SUPPLIES AND MATERIALS</t>
  </si>
  <si>
    <t xml:space="preserve"> Republic of the Philippines DEPARTMENT OF PUBLIC WORKS AND HIGHWAYS CAGAYAN THIRD DISTRICT ENGINEERING OFFICE REGION II Tuguegarao City The DPWH-CAGAYAN THIRD DISTRICT ENGINEERING OFFICE, through the GAA FY-2020 intends to apply the sum of P1,000,000.00 b</t>
  </si>
  <si>
    <t xml:space="preserve"> 1. Contract ID:	20ND0075         Contract Name:	Concreting of Purok 6, Brgy. Bobon FMR, Brgy. Bobon, Butuan City         Contract Location:	Butuan City         Brief Description:	Road Concreting PCCP - RCP           Approved Budget for the Contract (ABC):</t>
  </si>
  <si>
    <t xml:space="preserve"> I. TILE WORKS I. PAINTING WORKS</t>
  </si>
  <si>
    <t xml:space="preserve"> I. Electrical Works</t>
  </si>
  <si>
    <t xml:space="preserve"> CONCRETE PAVEMENT OF 106m x 0.20m thk AND SPILLWAY WITH WING WALL AT PUROK 3</t>
  </si>
  <si>
    <t xml:space="preserve"> Republic of the Philippines Municipality of Bontoc Mountain Province Bids and Awards Committee INVITATION TO BID FOR SUPPLY AND DELIVERY OF OFFICE SUPPLIES, MATERIALS AND EQUIPMENT PB GOODS 2020-06/7131106 1.	The Municipal Government of Bontoc,Mountain Pr</t>
  </si>
  <si>
    <t xml:space="preserve"> Republic of the Philippines SILAY CITY GOVERNMENT Zamora Street Silay City, Negros Occidental Telefax No. (034) 495-3746 	Control  Reference Number : GOODS#0140, ITB#0143,  PR#0456: SCG-2020 Name of the Project: Purchase of Drugs and Medicines for use in </t>
  </si>
  <si>
    <t xml:space="preserve"> Please download and view the associated component PDF document for the complete details/specs of the item(s).</t>
  </si>
  <si>
    <t xml:space="preserve"> Please see attached asociated components &amp; download the complete bidding documents through the lonkage below.</t>
  </si>
  <si>
    <t xml:space="preserve"> CONCRETE PAVEMENT  OF 140m x 0.20mthk AT SITIO CENTRO</t>
  </si>
  <si>
    <t xml:space="preserve"> 1.	The Municipality of Dagami, through the General Fund (MOOE/Capital Outlay)intends to apply the sum of One Million Seventy Nine Thousand Six Hundred Twenty One Pesos &amp; 71/100 Only (PhP. 1,079,621.71) being the Approved Budget for the Contract (ABC) to p</t>
  </si>
  <si>
    <t xml:space="preserve"> CONSTRUCTION OF 7.15m x  9.15m SCHOOL BUILDING</t>
  </si>
  <si>
    <t xml:space="preserve"> Department of Education Region VI-Western Visayas Division of Cadiz City Mabini National High School INVITATION TO BID FOR THE PROCUREMENT OF VARIOUS PAINTS- MNHS 2020 1.	The Mabini National High School  of Cadiz City, through the Schools MOOE Fund CY 202</t>
  </si>
  <si>
    <t xml:space="preserve"> INVITATION TO BID The Iligan City Government Bids and Awards Committee (BAC), through 2020-Special Education Fund intends to apply the sum of                                    P 6,840,000.00 being the Approved Budget for the Contract (ABC) to payments un</t>
  </si>
  <si>
    <t xml:space="preserve"> 4. Contract ID:	20ND0078         Contract Name:	Concreting of Purok 6, Brgy. Bonbon FMR, Brgy. Bonbon, Butuan City         Contract Location:	Butuan City         Brief Description:	Road Concreting PCCP - RCP           Approved Budget for the Contract (ABC</t>
  </si>
  <si>
    <t xml:space="preserve"> Republic of the Philippines DEPARTMENT OF PUBLIC WORKS AND HIGHWAYS CAGAYAN THIRD DISTRICT ENGINEERING OFFICE REGION II Tuguegarao City The DPWH-CAGAYAN THIRD DISTRICT ENGINEERING OFFICE, through the GAA FY-2020 intends to apply the sum of P68,515,000.00 </t>
  </si>
  <si>
    <t xml:space="preserve"> for the Maintenance of Municipal Water Supply</t>
  </si>
  <si>
    <t xml:space="preserve"> The Local Government Unit of Barugo, through the General Fund – 5% Municipal Disaster Risk Reduction Management Fund intends to apply the sum of One Hundred Ninety Eight Thousand Pesos only (Php198,000.00) being the Approved Budget for the Contract (ABC) </t>
  </si>
  <si>
    <t xml:space="preserve"> Republic of the Philippines CITY OF PANABO Province of Davao del Norte BIDS AND AWARDS COMMITTEE -o0o- INVITATION TO BID 						                                                                                               July 24, 2020 1.	The City Governm</t>
  </si>
  <si>
    <t xml:space="preserve"> SEE ATTACHED DISCRIPTION:</t>
  </si>
  <si>
    <t xml:space="preserve"> Republic of the Philippines					 			Department of Agriculture					 			         BUREAU OF FISHERIES AND AQUATIC RESOURCES					 			Fisheries Regional Office No. 10					 			Macabalan, Cagayan de Oro City					 			TIN – 000-550-823-017					 ___________________</t>
  </si>
  <si>
    <t xml:space="preserve"> Surplus Common Excavation Structure Excavation Sub-grade Preparation Aggregate Sub-base Coarse Aggregate Base Coarse PCCP Reinforcing Steel Bars Structural Concrete (Class A)</t>
  </si>
  <si>
    <t xml:space="preserve"> One (1) Unit Rescue Vehicle</t>
  </si>
  <si>
    <t xml:space="preserve"> 1.	The Department of Labor and Employment Regional Office VIII thru its Bids and Awards Committee, through the 2020 General Appropriations Act  intends to apply the sum of:  Lot 1: Supply and delivery of fabricated Nego Carts 		₱ 252,000.00 Lot 2: Supply </t>
  </si>
  <si>
    <t xml:space="preserve"> Republic of the Philippines Province of Bukidnon MUNICIPALITY OF KIBAWE O0o0o Bids and Awards Committee INVITATION TO BID July 23, 2020 The Local Government of  Kibawe, Kibawe, Bukidnon through its Bids and Awards Committee (BAC), invites contractor’s reg</t>
  </si>
  <si>
    <t xml:space="preserve"> CONCRETING OF PILI-KARIHATAG ROAD (SOHOTON SECTION BYPASS) MUNICIPALITY OF MALIMONO, SURIGAO DEL NORTE Brief Description:	 The project will involve the Concreting of Pili-Karihatag Road (Sohoton Section Bypass) with the following scope of works: Provision</t>
  </si>
  <si>
    <t xml:space="preserve"> Republic of the Philippines PROVINCE OF SURIGAO DEL NORTE MUNICIPALITY OF DEL CARMEN INVITATION TO BID The Local Government Unit of the Municipality of Del Carmen, Province of Surigao del Norte, through its Bids and Awards Committee (BAC), invites contrac</t>
  </si>
  <si>
    <t xml:space="preserve"> Invitation to Re-bid Project 2020-17: Construction of Water Testing Laboratory Location of Project: MSU Compound, Fatima, General Santos City Scope of Work: The work consists of supply of materials, appurtenances, labor, equipment, tools, power water and </t>
  </si>
  <si>
    <t xml:space="preserve"> 1.	The Department of Science and Technology, through the General Appropriations Act (GAA) for CY 2020, intends to apply the sum of THREE MILLION FOUR HUNDRED THIRTY-ONE THOUSAND THREE HUNDRED TWO PESOS only (Php3,431,302.00) being the Approved Budget for </t>
  </si>
  <si>
    <t xml:space="preserve"> use in Eco Park</t>
  </si>
  <si>
    <t xml:space="preserve"> CONSTRUCTION OF PERIMETER FENCE KAYPIAN ELEMENTARY SCHOOL, BRGY. KAYPIAN, CSJDM, BULACAN</t>
  </si>
  <si>
    <t xml:space="preserve"> CONCRETE PAVEMENT OF 140m x 0.20mthk AT SITIO BAGONG SILANG</t>
  </si>
  <si>
    <t xml:space="preserve"> Supply of Materials</t>
  </si>
  <si>
    <t xml:space="preserve"> Office Use Specs: Central Processing Unit (CPU) including Accessories Operating System: Windows 10 Processor: Intel Pentium Silver J5005 (4m Cache) Memory: 8GB DDR4 2400Mhz Storage: 500GB 3.5 inch 7200 RPM Optical Drive: 8x DVD-RW Drive 9.0mm Slim Graphic</t>
  </si>
  <si>
    <t xml:space="preserve"> Republic of the Philippines Province of Leyte Municipality of Hilongos Barangay Paa INVITATION TO BID FOR THE PROCUREMENT OF MATERIALS FOR THE CONSTRUCTION OF PATHWAY PUROK 1TO 7 1.	The Sangguniang Barangay of Barangay Paa, Hilongos, Leyte, through the Ge</t>
  </si>
  <si>
    <t xml:space="preserve"> The Bureau of Fisheries and Aquatic Resources Region XI now invites bids for the Supply and Delivery of ICT Equipment Units and Hardware Peripherals CY 2020 for the maintenance and update of BFAR XI ICT equipment.  Approved Budget of Contract - Php 1, 600</t>
  </si>
  <si>
    <t xml:space="preserve"> Republic of the Philippines DEPARTMENT OF PUBLIC WORKS AND HIGHWAYS CAGAYAN 2ND DISTRICT ENGINEERING OFFICE Regional Office II Abulug, Cagayan July 21, 2020 INVITATION TO BID  The Cagayan 2nd District Engineering Office, Abulug, Cagayan, through its Bids </t>
  </si>
  <si>
    <t xml:space="preserve"> CONSTRUCTION 0.20M THK BARANGAY ROD</t>
  </si>
  <si>
    <t xml:space="preserve"> 80 bd.ft 2x4x12 Coco Lumber 10 kls CW Nails, Assorted 2 roll Nylon String 461 bag Cement 29 Cu.m. Washed Sand 58 cu.m. Gravel 5 pcs Concrete Pail</t>
  </si>
  <si>
    <t xml:space="preserve"> CONSTRUCTION OF 0.20M THK BARANGAY ROAD</t>
  </si>
  <si>
    <t xml:space="preserve"> Republic of the Philippines Province of Cotabato Municipality of Antipas BIDS AND AWARDS COMMITTEE INVITATION TO BID FOR Supply and Delivery of Vehicles 1.	The Municipal Government of Antipas, through the Budget approved by the Sanggunian intends to apply</t>
  </si>
  <si>
    <t xml:space="preserve"> PHILIPPINE BIDDING DOCUMENTS (As Harmonized with Development Partners) PURCHASE OF PLASTIC CHAIRS Brgy. Militar, Tukuran, Zamboanga del Sur Fourth Edition December 2010   Preface These Philippine Bidding Documents (PBDs) for the procurement of Goods throu</t>
  </si>
  <si>
    <t xml:space="preserve"> The Local Government Unit of Barugo, through the General Fund intends to apply the sum of Two Hundred Ninety Nine Thousand Nine Hundred Eighty Pesos only (Php299,980.00) being the Approved Budget for the Contract (ABC) to payments under the contract for P</t>
  </si>
  <si>
    <t xml:space="preserve"> Republic of the Philippines DEPARTMENT OF PUBLIC WORKS AND HIGHWAYS CAGAYAN THIRD DISTRICT ENGINEERING OFFICE REGION II Tuguegarao City The DPWH-CAGAYAN THIRD DISTRICT ENGINEERING OFFICE, through the GAA FY-2020 intends to apply the sum of P12,593,000.00 </t>
  </si>
  <si>
    <t xml:space="preserve"> Purchase of Various Medicines for RHU see attached file foe the lists of medicines</t>
  </si>
  <si>
    <t xml:space="preserve"> LOT-1  		Approved Budget for the Contract (ABC) P 967,283.00	 1.	piece	30	Acetate (81/2"x11)	  2.	piece	12	A4 Plastic Clipboard	  3.	ream	1	Art Paper Assorted Color 	   4.	ream	1	Asstd. Colored bond paper, A4 size, neon color, 80gsm	   5.	box		35	Ballpen,</t>
  </si>
  <si>
    <t xml:space="preserve"> Department of Health TONDO MEDICAL CENTER ISO 9001:2008 Certified Philhealth Accredited “Health care within your reach”  BIDS AND AWARDS COMMITTEE INVITATION TO BID  1.	The Tondo Medical Center (TMC), through the General Appropriations Act (GAA)   intends</t>
  </si>
  <si>
    <t xml:space="preserve"> 4 x 4; Double Cab, Manual Transmission Specs: - 6-Speed Manual Transmission - Displacement - 2497cc - Torque (kgf-m/rpm)16.8/2400 - Power (ps/pm) 130/3800 - Valve System - DOHC (4 valve/cyl) - Lenght - 4855mm - Width - 1740mm - Height - 1995mm - Wheel Bas</t>
  </si>
  <si>
    <t xml:space="preserve"> The Local Government Unit of the Island Garden City of Samal, through the Supplemental Budget No. 3 CY 2020 intends to apply the sum of Two Million Seven Hundred Thirty Nine Thousand Three Hundred Pesos only (₱2,739,300.00) being the Approved Budget for t</t>
  </si>
  <si>
    <t xml:space="preserve"> Republic of the Philippines DEPARTMENT OF PUBLIC WORKS AND HIGHWAYS ZAMBOANGA DEL NORTE  1ST DISTRICT ENGINEERING OFFICE REGIONAL OFFICE IX Sta. Isabel, Dipolog City INVITATION TO BID The  DPWH ZN 1st District Engineering Office , through its Bids and Awa</t>
  </si>
  <si>
    <t xml:space="preserve"> 1 Developer Black (DX-36FVBA)	5pcs 2 Developer C/M/Y (DX-36FVSA)	5pcs 3 Drum Black (DX-36FRSA)	5pcs 4 Drum C/M/Y (DX-36FRSAX3)	5pcs 5 Lower Heat Roller Kit (MX-200LH)	5pcs 6 Upper Heat Roller Kit (MX-200UH)	5pcs 7 Primary Transfer Cleaning Blade Kit (MX-2</t>
  </si>
  <si>
    <t xml:space="preserve"> for Office Use</t>
  </si>
  <si>
    <t xml:space="preserve"> INVITATION TO BID FOR THE PROCUREMENT OF SUPPLY &amp; DELIVERY OF 2,200 BAGS VARIOUS NSIC APPROVED HYBRID RICE SEEDS     1.	The Department of Agriculture Regional Field Office 6 through the General Appropriations Act (GAA) of 2020 intends to apply the sum of </t>
  </si>
  <si>
    <t xml:space="preserve"> Pls. see attached documents</t>
  </si>
  <si>
    <t xml:space="preserve"> Supply and Delivery of Various Construction Materials</t>
  </si>
  <si>
    <t xml:space="preserve"> Republic of the Philippines Department of Health QUIRINO MEMORIAL MEDICAL CENTER Project 4, Quezon City INVITATION TO BID FOR Procurement of Various MEDICAL SUPPLIES The Quirino Memorial Medical Center, through the REGULAR FUND / INCOME FUND AND REVOLVING</t>
  </si>
  <si>
    <t xml:space="preserve"> The Local Government Unit of General Santos City, through the SEF FUND CY 2020 intends to apply the sum of three hundred fifty-five thousand eight hundred forty and xx / 100 Pesos Only (355,840.00) being the Approved Budget for the Contract (ABC) to payme</t>
  </si>
  <si>
    <t xml:space="preserve"> INVITATION TO APPLY FOR ELIGIBILITY AND TO BID FOR THE PROCUREMENT OF COMMON SERVICE FACILITIES AND FARM IMPLEMENTS FOR THE IMPLEMENTATION OF CLIMATE RESILIENT FARM PRODUCTIVITY SUPPORT PROGRAM-SUSTAINABLE LIVELIHOOD SUPPORT FOR DISASTER AFFECTED AREAS, S</t>
  </si>
  <si>
    <t xml:space="preserve"> 202		bags	Portland Cement	 14		cu.m.	Washed Sand	 14.5		cu.m.	Gravel Pea Size	 55		pcs.	10 mm x 6 mm DRB	 75		pcs.	8 mm x 6 mm DRB	 15		kls.	Tie Wire #16	 1022		pcs.	CHB #4"	 2		box	Assorted Nails	 44		pcs.	Superlume Corrugated #26x14'	 44		pcs.	Superlume</t>
  </si>
  <si>
    <t xml:space="preserve"> CONCRETING/CONSTRUCTION OF FARM TO MARKET ROAD BRGY. ANOMAR, SURIGAO CITY Brief Description:	The project will involve the Concreting/Construction of with the following scope of works: Construction of Field Office for Engineers, Vehicles for Engineers, Con</t>
  </si>
  <si>
    <t xml:space="preserve"> 1.	The OCCIDENTAL MINDORO STATE COLLEGE (OMSC), through the General Fund intend to apply the sum of One Million Seventy-Eight Thousand Six Hundred Pesos Only (Php1,078,600.00) being the Approved Budget for the Contract (ABC) to payments under the contract</t>
  </si>
  <si>
    <t xml:space="preserve"> Invitation to Bid 1.	The MUNICIPAL GOVERNMENT OF SAN VICENTE, PALAWAN, through the Municipal Disaster Risk Reduction Management Office (MDRRMO) SUPPLEMENTAL BUDGET NO. 03. S, 2020 intends to apply the sum of  ONE MILLION EIGHT HUNDRED THOUSAND PESOS (Php </t>
  </si>
  <si>
    <t xml:space="preserve"> for Office Use Specs: Optional Wifi Connectivity/Horizontal Keystone Adjuster/HDMI Connectivty/White and Color Brightness at 2,700LM Zoom: 1 - 1.2 DIgital Screen Size: 30" to 300" (1.08 - 2.17m) Resolution: XGA DImension: (D x W x H): 234 x 297 x 77mm Wei</t>
  </si>
  <si>
    <t xml:space="preserve"> INVITATION TO BID The Department of Public Works and Highways (DPWH), Laguna III District Engineering Office San Pablo City Region IV-A, through its Bids and Awards Committee (BAC), invites Contractors to submit bids for the following Contract: Contract I</t>
  </si>
  <si>
    <t xml:space="preserve"> The Local Government Unit of Aglipay, through its General Fund – Maintenance and Other Operating Expenses (MOOE) intends to apply the sum of Four Hundred Nine One Thousand Six Hundred Forty One Pesos and 50/100 (Php 491,641.50) being the Approved Budget f</t>
  </si>
  <si>
    <t xml:space="preserve"> Invitation to Bid 1.	The MUNICIPAL GOVERNMENT OF SAN VICENTE, PALAWAN, through the Municipal Disaster Risk Reduction Management Office (MDRRMO) SUPPLEMENTAL BUDGET NO. 03. S, 2020 intends to apply the sum of  TWO MILLION FIVE HUNDRED THOUSAND PESOS (Php 2</t>
  </si>
  <si>
    <t xml:space="preserve"> Republic of the Philippines MUNICIPALITY OF ECHAGUE Province of Isabela INVITATION TO BID FOR  THE  PROCUREMENT OF  GOAT AND SHEEP  ( INCLUDE SKILLS TRAINING) 1.	The Local Government Unit , through  the  DA   FUND(Grant)   AND LGU  FUND  Of  2020  intends</t>
  </si>
  <si>
    <t xml:space="preserve"> Republic of the Philippines PROVINCE OF BUKIDNON Municipality of Sumilao INVITATION TO BID ITB NO. GS-2020-35 RE-BIDDING FOR THE PURCHASE OF ASSISTIVE DEVICE July 23, 2020 1.	The Local Government Unit of  Sumilao, intends to apply the sum of One Hundred T</t>
  </si>
  <si>
    <t xml:space="preserve"> labor lumpsum</t>
  </si>
  <si>
    <t xml:space="preserve"> Invitation to Bid 1.	The MUNICIPAL GOVERNMENT OF SAN VICENTE, PALAWAN, through the 2019 Continuing Fund of Municipal Economic and Enterprises Development Office (MEEDO) intends to apply the sum of  EIGHT HUNDRED THIRTY THOUSAND THREE HUNDRED NINETY PESOS </t>
  </si>
  <si>
    <t xml:space="preserve"> TONDO MEDICAL CENTER ISO 9001:2008 Certified Philhealth Accredited “Health care within your reach”  BIDS AND AWARDS COMMITTEE INVITATION TO BID   1.	The Tondo Medical Center (TMC), through the General Appropriations Act intends to apply the sum of Two Mil</t>
  </si>
  <si>
    <t xml:space="preserve"> Invitation to Bid 1.	The MUNICIPAL GOVERNMENT OF SAN VICENTE, PALAWAN, through the 20% Development Fund for CY 2020 intends to apply the sum of  ONE MILLION THREE HUNDRED SIXTY-FIVE THOUSAND THREE HUNDRED THIRTY-NINE PESOS (Php 1,365,339.00) being the App</t>
  </si>
  <si>
    <t xml:space="preserve"> Republic of the Philippines PROVINCE OF PANGASINAN BIDS AND AWARD COMMITTEE (BAC) Brgy. Lobong, San Jacinto, Pangasinan Mobile No. 09073336426 INVITATION TO BID The Barangay Lobong, San Jacinto, Pangasinan, though its Bids and Award Committee (BAC), invit</t>
  </si>
  <si>
    <t xml:space="preserve"> NOTICE OF NEGOTIATED PROCUREMENT FOR THE  SUPPLY AND DELIVERY OF VARIOUS PUMPS PR Nos. 27090-001-003 1.	The Metropolitan Cebu Water District, through the Corporate Budget of 2020 intends to apply the sum of: PR No.	Description	Qty.	Unit Price	Approved Bud</t>
  </si>
  <si>
    <t xml:space="preserve"> CONSTRUCTION/CONCRETING OF PROVINCIAL ROADS, HIGHWAYS AND BRIDGES (PILI-KARIHATAG ROAD SOHOTON SECTION BYPASS) (PHASE-II) MUNICIPALITY OF MALIMONO, SURIGAO DEL NORTE Brief Description:	The project will involve the Concreting of 0.44876 km Road with the fo</t>
  </si>
  <si>
    <t xml:space="preserve"> 1.The Brgy. Pondang, through the LGSF-DBM intends to apply the sum of Seven Hundred Fifty Thousand Pesos Only (P750,000.00) being the Approved Budget for the Contract (ABC) to payments under the contract for Construction of Multi-purpose Hall. Bids receiv</t>
  </si>
  <si>
    <t xml:space="preserve"> Republic of the Philippines BIDS AND AWARDS COMMITTEE Cadiz City      BID DOCUMENTS for the CONCRETING OF BARANGAY ROAD (PHASE VIII) @ SAN EUSEBIO SUBD.,  BRGY. ZONE II, CADIZ CITY (1) BIDS AND AWARDS COMMITTEE  Cadiz City   INVITATION TO BID/REQUEST FOR </t>
  </si>
  <si>
    <t xml:space="preserve"> PROCUREMENT OF JANITORIAL SERVICES FOR DBM-ROV FOR THE DURATION OF THREE (3) YEARS</t>
  </si>
  <si>
    <t xml:space="preserve"> INVITATION TO BID FOR PURCHASE OF OFFICE SUPPLIES AND CONSUMABLES FOR THE USED OF VARIOUS OFFICES/PROGRAMS OF DSWD RO III FOR THE PERIOD OF AUGUST – SEPTEMBER 2020   1.	The DEPARTMENT OF SOCIAL WELFARE AND DEVELOPMENT FIELD OFFICE III through its Bids and</t>
  </si>
  <si>
    <t xml:space="preserve"> Republic of the Philippines Province of Davao de Oro BIDS AND AWARDS COMMITTEE BARANGAY POBLACION Maco, Compostela Valley Invitation to Bid for the Concreting of Roads Masara, Maco, Davao de Oro Province 1.	The Barangay Masara of Maco, through the (Nation</t>
  </si>
  <si>
    <t xml:space="preserve"> Construction and/or Repair/Rehabilitation of Multi-Purpose Building</t>
  </si>
  <si>
    <t xml:space="preserve"> CONSTRUCTION/IMPROVEMENT OF PROVINCIAL MANPOWER AND TRAINING CENTER CAPITOL ROAD, SURIGAO CITY Brief Description:	The project will involve the CONCSTRUCTION/IMPROVEMENT OF PROVINCIAL MANPOWER AND TRAINING CENTER WITH THE FOLLOWING SCOPE OF WORKS: Gen. req</t>
  </si>
  <si>
    <t xml:space="preserve"> Construction of One (1) Unit Water System</t>
  </si>
  <si>
    <t xml:space="preserve"> Repair/Improvement of Covered Court/Stage and Backstage 	The Municipal Government of San Andres, Romblon through 20% Development Fund (Resolution No. 58 Series 2020)   intends to apply the sum of One Million Nine Hundred Thousand Pesos(Php1,900,000.00) on</t>
  </si>
  <si>
    <t xml:space="preserve"> Invitation to Bid 1.	The MUNICIPAL GOVERNMENT OF SAN VICENTE, PALAWAN, through the General Fund for CY 2020 intends to apply the sum of  TWO HUNDRED SEVENTY THOUSAND PESOS (Php 270,000.00) being the Approved Budget for the Contract (ABC) to payments under</t>
  </si>
  <si>
    <t xml:space="preserve"> Invitation to Bid 1.	The MUNICIPAL GOVERNMENT OF SAN VICENTE, PALAWAN, through the General Fund for CY 2020 intends to apply the sum of  SIX HUNDRED SIXTEEN THOUSAND THREE HUNDRED FORTY-SIX PESOS AND FORTY CENTAVOS (Php 616,346.40) being the Approved Budg</t>
  </si>
  <si>
    <t xml:space="preserve"> Republic of the Philippines Province of Leyte Municipality of Kananga BIDS AND AWARDS COMMITTEE INVITATION TO BID FOR PROCUREMENT OF ONE (1) UNIT MANLIFTER 1.	The Municipality of Kananga, through the Trust Fund – DOE-DLF intends to apply the sum of Seven </t>
  </si>
  <si>
    <t xml:space="preserve"> The Local Government Unit of Aglipay through 20% Barangay Development Fund CY 2020  intends to apply the sum of Three Hundred Forty Thousand Two Hundred Seventy Seven Pesos and 10/100 (Php 340,277.10) being the Approved Budget for the Contract (ABC) to pa</t>
  </si>
  <si>
    <t xml:space="preserve"> Item No.	Unit	Qty.	Description of Articles				 1	pcs.	15	Monoblock Chair				 2	pcs.	3	Electric Fan (Stand Fan)				 3	rolls	2	Kurabo				 4	rolls	2	Katrina (White)				 5	rolls	2	Katrina (Royal Blue)				 6	rolls	2	Katrina (Navy Blue)				 7	rolls	2	Pitch Twil</t>
  </si>
  <si>
    <t xml:space="preserve"> Republic of the Philippines Department of Health Cagayan Valley Center for Health Development BATANES GENERAL HOSPITAL Basco, Batanes E-mail Address: bataneshospital@gmail.com INVITATION TO BID ITB NO. 2020-07 Supply&amp; Delivery of Various Medicines (Re-bid</t>
  </si>
  <si>
    <t xml:space="preserve"> PROCUREMENT OF SECURITY SERVICES FOR DBM-ROV FOR THE DURATION OF THREE (3) YEARS</t>
  </si>
  <si>
    <t xml:space="preserve"> Invitation to Bid 1.	The MUNICIPAL GOVERNMENT OF SAN VICENTE, PALAWAN, through the General Fund for CY 2020 intends to apply the sum of  ONE MILLION SIX HUNDRED SEVEN THOUSAND TWO HUNDRED ONE PESOS AND TWENTY-TWO CENTAVOS  (Php 1,607,201.22) being the App</t>
  </si>
  <si>
    <t xml:space="preserve"> CONCRETE PAVEMNET OF 140m x 0.20mthk AT SITO HULO</t>
  </si>
  <si>
    <t xml:space="preserve"> RIPRAPPING OF THE SLOPE AREA AROUND MULTI-PURPOSE HALL. 150 BAGS CEMENT 15 CU.M. SAND 70 CU.M/ BOULDER 13 LENGTH PVC PIPE, 2"DIA. 1 L.S. MISC.AND HARDWARES</t>
  </si>
  <si>
    <t xml:space="preserve"> INVITATION TO BID SUPPLY, DELIVERY AND IMPLEMENTATION OF VARIOUS NETWORK EQUIPMENT AND STRUCTURED FIBER-OPTIC NETWORK BACKBONE CABLING The Pag-IBIG Fund Corporate Headquarters, through its Bids and Awards Committee – Information Technology Resources (BAC-</t>
  </si>
  <si>
    <t xml:space="preserve"> Road Concreting</t>
  </si>
  <si>
    <t xml:space="preserve"> Concreting of Farm-To-Market Road 646.20mx0.20mx4.0m PCCP with improvement of 725.95 ln.m. concrete canal on one side with installation of 3-holes RCPC</t>
  </si>
  <si>
    <t xml:space="preserve"> Republic of the Philippines Province of Surigao del Sur MUNICIPALITY OF LANUZA REQUEST FOR EXPRESSION OF INTEREST FOR Conduct Ground Delineation Survey of Community Protected Areas at Barangay Nurcia, Sibahay,Zone III, Mampi and Pakwan. The Municipality o</t>
  </si>
  <si>
    <t xml:space="preserve"> The Local Government Unit of General Santos City, through the AKLAT FUND CY 2020 intends to apply the sum of nine hundred ninety-five thousand five hundred and xx / 100 Pesos Only (995,500.00) being the Approved Budget for the Contract (ABC) to payments u</t>
  </si>
  <si>
    <t xml:space="preserve"> Please see attached associated components &amp; download the complete bidding documents through the link below.</t>
  </si>
  <si>
    <t xml:space="preserve"> SUPPLY AND DELIVERY OF DUPLICATORS Department of Education Balayan, Batangas</t>
  </si>
  <si>
    <t xml:space="preserve"> INVITATION TO BID FOR  COLLECTION, HAULING, TRANSPORT AND DISPOSAL OF WASTES OF CITY OF TRECE MARTIRES FOR THE PERIOD OF AUGUST 16,2020 TO OCTOBER 20,2020 1.	The City Government of Trece Martires, through the GENERAL FUND  intends to apply the sum of Twen</t>
  </si>
  <si>
    <t xml:space="preserve"> National Power Corporation INVITATION TO BID PUBLIC BIDDING 2020-0210 1.	The NATIONAL POWER CORPORATION (NPC), through       its        approved       Corporate Budget of CY 2020 intends to apply   the   sum   of (Please see schedule below) being the Appr</t>
  </si>
  <si>
    <t xml:space="preserve"> Contract ID: 19PL0162 Contract Name: Concreting of Sitio San Isidro, Brgy. Cudal FMR Contract Location: Brgy. Cudal, Tabuk City, Kalinga Brief Description: Construction of 500 ln.m x 4.0m width x 0.20m thk PCCP Approved Budget for the Contract (ABC): PhP </t>
  </si>
  <si>
    <t xml:space="preserve"> The Local Government Unit of the Island Garden City of Samal, through the General Fund intends to apply the sum of One Million Pesos (₱1,000,000.00) being the Approved Budget for the Contract (ABC) to payments under the contract for Purchase of Database S</t>
  </si>
  <si>
    <t xml:space="preserve"> CALABANGA WATER DISTRICT San Antonio, Calabanga, Camarines Sur Invitation to Bid for Distribution Line Expansion at Brgy. Fabrica – Labor and Materials 1.	The Calabanga Water District, through the Corporate Budget FY 2020 intends to apply the sum of Php33</t>
  </si>
  <si>
    <t xml:space="preserve"> Republic of the Philippines Province of Surigao del Sur Municipality of Lanuza Barangay Bunga INVITATION TO BID  PROCUREMENT OF HARDWARE MATERIALS FOR REHABILITATION OF EXISTING BUSANAMCO RATTAN PROCESSING CENTER AT BARANGAY BUNGA, LANUZA, SURIGAO DEL SUR</t>
  </si>
  <si>
    <t xml:space="preserve"> 21cu.m.Graded Gravel (G1) 11cu.m.Washed Sand 189bags Cement 120bd.ft Coco Lumber 3kgs 4"CWN 2kgs 3" CWN 2pcs 2"dia Bamboo poles 7length 12mm dia rebars 15kgs.ashpalt sealant 2pcs hacksaw blade 3kgs #16 GI tie wire 7cu.m. Aggregate Base Course</t>
  </si>
  <si>
    <t xml:space="preserve"> ESTIMATES: I. STRUCTURAL EXCAVATION II. FORMWORKS &amp; SCAFFOLDINGS III. REINFORCED CONCRETE WORKS</t>
  </si>
  <si>
    <t xml:space="preserve"> Purchase of Medical Supplies</t>
  </si>
  <si>
    <t xml:space="preserve"> The Local Government Unit of the Island Garden City of Samal, through the Supplemental Budget No. 3 CY 2020 intends to apply the sum of One Million Twenty Three Thousand Five Hundred Pesos only (₱1,023,500.00) being the Approved Budget for the Contract (A</t>
  </si>
  <si>
    <t xml:space="preserve"> ONE (1) LOT Brand New Submersible Motor #6", 30Hp, 440volts, 60 hz. to be coupled w/ submersible pump #6", disch: 4", TDH: 95 mtrs #15 lps, 3600 RPM  with accessories: 3 rolls slicing kit (3M) 2 rolls electrical tape super 33+scotch Splicing rubber tape 3</t>
  </si>
  <si>
    <t xml:space="preserve"> 1 UNIT RECONDITIONED MULTI-PURPOSE MULTI-CAB 4X4 VEHICLE  MANUAL TRANSMISSION BRANDNEW TIRES NEW BATTERY NEWLY PAINTED BASIC TOOLS LTO REGISTERED IN THE NAME OF THE LGU</t>
  </si>
  <si>
    <t xml:space="preserve"> Construction of Giant Swing</t>
  </si>
  <si>
    <t xml:space="preserve"> The Local Government Unit of General Santos City, through the DRRM FUND CY 2020 intends to apply the sum of nine hundred ninety-seven thousand two hundred and xx / 100 Pesos Only (997,200.00) being the Approved Budget for the Contract (ABC) to payments un</t>
  </si>
  <si>
    <t xml:space="preserve"> Republic of the Philippines Department of Public Works and Highways REGIONAL OFFICE VIII Baras, Palo, Leyte INVITATION TO BID July 23, 2020 1.	The DPWH Regional Office VIII, Baras, Palo, Leyte through its Bids and Awards Committee (BAC), invites contracto</t>
  </si>
  <si>
    <t xml:space="preserve"> Republic of the Philippines National Kidney and Transplant Institute Bids and Awards Committee East Avenue, Quezon City 1100 981-0300 / 981-0400 local 1157 http://www.nkti.gov.ph/	 INVITATION TO BID for the ITB No. 20-069 RE-BIDDING OF ONE (1) LOT SUPPLY </t>
  </si>
  <si>
    <t xml:space="preserve"> Rehabilitation of Evacuation Center (Construction of Stockroom)</t>
  </si>
  <si>
    <t xml:space="preserve"> The Philippine National Police (PNP) Health Service (HS) invites all PhilGEPS-accredited suppliers to apply for eligibility and to bid for the Procurement of Medical, Dental &amp; Laboratory Supplies. Approved Budget for Contract: Php6,950,000.00 Bid Document</t>
  </si>
  <si>
    <t xml:space="preserve"> Procurement of Services and Provision of Ninety-Five (95) Units Multi-Function Printers (MFP) for the Printing and Photocopying Requirements of Various OP Offices for VY 2020 Please email us at opbacsec.malacanang@gmail.com to view the Actual Bidding Docu</t>
  </si>
  <si>
    <t xml:space="preserve"> PROCUREMENT OF OFFICE TABLES, CABINET AND CHAIRS For Admin. Dept. Use 10 PCS REGULAR TABLES 1 PC SWIVEL CHAIR (EXECUTIVE) 1 SET COFFEE TABLE WITH CHAIR 1 PC SUPPLIES CABINET ***Please see attached minimum specification and sample designs. NOTES: 1. Price </t>
  </si>
  <si>
    <t xml:space="preserve"> INVITATION TO BID FOR  CONSTRUCTION OF OPEN CANAL FOR FLOOD MITIGATION AT BRGY. SAN AGUSTIN, TMC 1.	The City Government of Trece Martires, through the 20% DEVT. FUND  ( 2020) approved by the Sangguniang Panlungsod intends to apply the sum of FIVE HUNDRED </t>
  </si>
  <si>
    <t xml:space="preserve"> Procurement ID/Contract ID:	20PI0100 Contract Name:	Structural Improvement of Public Buildings and Construction of Evacuation Centers - Cordillera Administrative Region, Construction of Evacuation Center, Bilibid, Caluttit, Bontoc, Mountain Province Contr</t>
  </si>
  <si>
    <t xml:space="preserve"> The Philippine National Police (PNP) Health Service (HS) invites all PhilGEPS-accredited suppliers to apply for eligibility and to bid for the Procurement of Medical, Dental &amp; Laboratory Supplies. Approved Budget for Contract: Php5,035,750.00 Bid Document</t>
  </si>
  <si>
    <t xml:space="preserve"> ESTIMATES ITEM I. EXCAVATION OF EXISTING STRUCTURE ITEM II. CONSTRUCTION OF INTAKE BOX &amp; RESERVOIR ITEM III. INSTALLATION OF PIPES</t>
  </si>
  <si>
    <t xml:space="preserve"> SCHEDULE OF BIDDING: PRE-BID : AUGUST 3, 2020  TIME      : 10:00 A.M. BID OPENING : AUGUST 19, 2020 TIME             : 10:00 A.M. A.) ITEM NO.      DESCRIPTION                         ESTIMATED      TOTAL MARK-UP     VAT      TOTAL               TOTAL    </t>
  </si>
  <si>
    <t xml:space="preserve"> The Philippine National Police (PNP) Health Service (HS) invites all PhilGEPS-accredited suppliers to apply for eligibility and to bid for the Procurement of Medical, Dental &amp; Laboratory Supplies. Approved Budget for Contract: Php5,265,000.00 Bid Document</t>
  </si>
  <si>
    <t xml:space="preserve"> Purchase of Humps</t>
  </si>
  <si>
    <t xml:space="preserve"> The Local Government Unit of General Santos City, through the SEF FUND CY 2020 intends to apply the sum of nine hundred ninety-two thousand seven hundred fifty and xx / 100 Pesos Only (992,750.00) being the Approved Budget for the Contract (ABC) to paymen</t>
  </si>
  <si>
    <t xml:space="preserve"> INVITATION TO BID FOR  CONSTRUCTION OF THREE (3) STOREY-SIX(6) CLASSROOM SCHOOL BLDG. AT ELEM. SCHOOL ( PH.1) BARANGAY SAN AGUSTIN, TRECE MARTIRES CITY 1.	The City Government of Trece Martires, through the SEF FUND Fund ( 2020) approved by the Sangguniang</t>
  </si>
  <si>
    <t xml:space="preserve"> Republic of the Philippines Province of South Cotabato City of Koronadal BIDS AND AWARDS COMMITTEE Invitation to Bid for the Construction of Lined Canal, Confessor Street, Brgy. Zone II, City of Koronadal 1.	The City Government of Koronadal, through its, </t>
  </si>
  <si>
    <t xml:space="preserve"> INVITATION TO BID: 1. Project Title: Construction of Multi-Purpose Building and Sports Facility, Mabini Campus, Sta. Mesa, Manila (Phase III). 2. Approved Budget for the Contract: Php 18,998,224.54 3. Pre-bid Conference: on August 3, 2020, 10:00 a.m. at B</t>
  </si>
  <si>
    <t xml:space="preserve"> Republic of the Philippines Province of Davao de Oro BIDS AND AWARDS COMMITTEE BARANGAY POBLACION Maco, Compostela Valley Invitation to Bid for the Construction of Barangay Health Center Masara, Maco, Davao de Oro Province 1.	The Barangay Masara of Maco, </t>
  </si>
  <si>
    <t xml:space="preserve"> 1. The [Local Government Unit of Inopacan, Leyte], through the [Continuing Appropriations under the 20% Development Fund from previous years and Approved 2019 General Fund Supplemental Budget under the 20% Development Fund of the office of the Municipal E</t>
  </si>
  <si>
    <t xml:space="preserve"> The Philippine National Police (PNP) Health Service (HS) invites all PhilGEPS-accredited suppliers to apply for eligibility and to bid for the Procurement of Medical, Dental &amp; Laboratory Supplies. Approved Budget for Contract: Php5,500,000.00 Bid Document</t>
  </si>
  <si>
    <t xml:space="preserve"> Location: PSU Goa campus Bidding Fee: P 3,500.00 (Non-refundable) Schedule of activities: 1. Issuance and availability of Bid Documents: July 24, 2020 until 12:00 noon of August 18, 2020  (except week-ends &amp; Holidays at the BAC Secretariat Office, PSU-Goa</t>
  </si>
  <si>
    <t xml:space="preserve"> Local Government of Valencia Catarata Street, Poblacion, Valencia City,  Bukidnon, Philippines Philippine access (088) 828-5430 Contract Reference No. 12-2020 07/23/2020 INVITATION TO BID FOR THE PROPOSED CONSTRUCTION OF DRAINAGE CANAL AT MANANGKILA ST., </t>
  </si>
  <si>
    <t xml:space="preserve"> INVITATION TO BID FOR  CONSTRUCTION OF TWO (2) STOREY PASALALUBONG CENTER / EMPLOYEES CANTEEN AT CITY HALL COMPOUND, BRGY. SAN AGUSTIN, TMC 1.	The City Government of Trece Martires, through the 20% DEVT. FUND  ( 2020) approved by the Sangguniang Panlungso</t>
  </si>
  <si>
    <t xml:space="preserve"> Clearing &amp; Grubbing Roadway Excavation Embankment Subgrade Preparation Aggregate Subbase Coarse Aggregate Base Coarse PCCP Project Billboard</t>
  </si>
  <si>
    <t xml:space="preserve"> Section I. Invitation for Re-Bidding Republic of the Philippines Philippine Rural Development Project Invitation for Re-bidding for the  Construction of Heirloom Rice Center in Support to Heirloom Rice Processing and Marketing Identification No. PRDP-IR-R</t>
  </si>
  <si>
    <t xml:space="preserve"> I. Concrete Works/ Scaffoldings</t>
  </si>
  <si>
    <t xml:space="preserve"> 3. Contract ID:	20ND0077         Contract Name:	Concreting of Brgy. Lemon to Brgy. Basag FMR, Brgy. Lemon and Brgy. Basag, Butuan City,  Agusan del Norte 1st  LD         Contract Location:	Butuan City         Brief Description:	Road Concreting PCCP - RCP </t>
  </si>
  <si>
    <t xml:space="preserve"> Republic of the Philippines City Government of Cotabato OFFICE OF THE CITY MAYOR Cotabato City INVITATION TO BID FOR  Purchase of Rescue Vehicle for Use of  City Disaster Risk Reduction and Management Office 1.	The City Government of Cotabato, through the</t>
  </si>
  <si>
    <t xml:space="preserve"> INVITATION TO BID FOR THE CONSTRUCTION OF MDRRM OPERATION CENTER, BRGY. FELY, MACONACON, ISABELA 1.	The Local Government Unit of Maconacon, through 2020 LDRRM Fund to apply the sum of One Million Five Hundred Pesos (Php 1,500,000.00) being the Approved Bu</t>
  </si>
  <si>
    <t xml:space="preserve"> Contract ID: 20-DO-0088 Contract Name: Public Markets/Farmers Markets (Bagsakan Centers) and Public Cemeteries Projects – Expansion of Rodriguez Municipal Public Cemetery Contract Location	: Rodriguez, Rizal Brief Description	: Expansion of Municipal Publ</t>
  </si>
  <si>
    <t xml:space="preserve"> Labor and Materials Construction of Pumping Station Location: Brgy. Inandawa, Ragay *Mobilization &amp; demobilization *Deepwell DRlilling *Electromechanical System *Electric Logging *Installation of pipe casing w/ screen pipe *Pipe Laying *Well Development b</t>
  </si>
  <si>
    <t xml:space="preserve"> INVITATION TO BID OPENING AND REGRAVELLING OF GAGGABUTAN EAST FARM TO MARKET ROAD(FMR) 	The Local Government Unit of Rizal, Cagayan intends to apply the sum of TWO MILLION SIX HUNDRED SIXTY FOUR THOUSAND ONE HNDRED NINETEEN PESOS AND 22/100 (P2,664,119.22</t>
  </si>
  <si>
    <t xml:space="preserve"> Public bidding is now open for the procurement of Managed Cloud Services. Kindly check the attached Terms of Reference to comply with the requirement. Please send email to the undersigned: ruby08abriol@gmail.com if you cannot view/download the attache Bid</t>
  </si>
  <si>
    <t xml:space="preserve"> Republic of the Philippines PROVINCE OF NORTHERN SAMAR BIDS AND AWARDS COMMITTEE Catarman Various Office Equipment for Different Departments/Offices Province of Northern Samar NS-07-24-20 1.	The Provincial Government of Northern Samar, through the SP Ordi</t>
  </si>
  <si>
    <t xml:space="preserve"> INVITATION TO BID FOR THE CONSTRUCTION OF OVERFLOW CONCRETE BRIDGE PHASE II AT ZONE 7, BRGY. MALASIN, MACONACON, ISABELA 1.	The Local Government Unit of Maconacon, through 2020 Economic Development Fund to apply the sum of One Million Five Hundred Pesos (</t>
  </si>
  <si>
    <t xml:space="preserve"> 1 "Unit(s)" "Riso Graph Machine -" "Machine Model : (Black &amp; White Printing with Automatic Sorting) Freebies : Heavy Duty Electronic Printing Stapler for Book Binding Specification : * 24/7 non-stop operation; cold printing process * Variable Data Printin</t>
  </si>
  <si>
    <t xml:space="preserve"> Republic of the Philippines Province of zamboanga Sibugay Municipality of Olutanga 7014 July 23, 2020 NOTICE TO THE PUBLIC REPOSTING INVITIATION TO APPLY FOR ELIGIBILITY AND TO BID All interested bidders are invited to Pre-qualify and participate in seale</t>
  </si>
  <si>
    <t xml:space="preserve"> 1. 3 set ANTI-STREPTOLYSIN 0 set, 100ml x 2/set 2. 3 set APTT-EA, 5x 8ml/set 3. 1 bottle ANTI-FUNGI SOLUTION (For Microscope) 4. 1 piece BLOOD GAS PO2 ELECTRODE 5. 1 piece BLOOD GAS pH ELECTRODE 6. 1 piece BLOOD GAS REFERENCE ELECTRODE 7. 3 set CALCIUM CH</t>
  </si>
  <si>
    <t xml:space="preserve"> Republic of the Philippines Province of Oriental Mindoro MUNICIPALITY OF NAUJAN BIDS AND AWARDS COMMITTEE INVITATION TO BID SUPPLY &amp; DELIVERY OF MATERIALS TO BE USED IN THE REPAIR AND MAINTENANCE OF SCHOOL BUILDING IN VARIOUS SCHOOLS, NAUJAN, ORIENTAL MIN</t>
  </si>
  <si>
    <t xml:space="preserve"> Rehabilitation of Creek</t>
  </si>
  <si>
    <t xml:space="preserve"> Contract ID: 20-DO-0087 Contract Name: LOCAL PROGRAM – Local Infrastructure Program – Buildings and other Structures – Multipurpose/Facilities – Construction of Multi-purpose Building (Barangay Health Center), Sub-Urban Village, Brgy. San Jose, Rodriguez,</t>
  </si>
  <si>
    <t xml:space="preserve"> Invitation to Bid for the Supply and Delivery of 22,259 bags Urea (46-0-0) Granules 1. The Department of Agriculture-Caraga Region, through the GAA 2020 Rice Program intends to apply the sum of Twenty-Two Million Two Hundred Fifty-Nine Thousand Pesos Only</t>
  </si>
  <si>
    <t xml:space="preserve"> Republic of the Philippines  PROVINCE OF SURIGAO DEL SUR  		MUNICIPALITY OF CARRASCAL	 Barangay Bon-ot INVITATION FOR BIDS The Barangay Bon-ot through its Bids and Awards Committee invites sealed bids from eligible supplier of Construction Materials and S</t>
  </si>
  <si>
    <t xml:space="preserve"> Invitation to Bid for the Supply and Delivery of Truck Mounted Long Distance/ Wide Range Sprayer 1. The Department of Agriculture-Caraga Region, through the GAA 2020 Rice Program intends to apply the sum of Three Million Seven Hundred Thousand Pesos (P3,7</t>
  </si>
  <si>
    <t xml:space="preserve"> Invitation to Bid for the Supply and Delivery of Various Hybrid Rice Seeds 1. The Department of Agriculture-Caraga Region, through the Rice Program GAA 2020 intends to apply the sum of Eighteen Million Six Hundred Thirty-Six Thousand Four Hundred Pesos On</t>
  </si>
  <si>
    <t xml:space="preserve"> Construction of Parasapas Diversion Dam</t>
  </si>
  <si>
    <t xml:space="preserve"> Materials Labor</t>
  </si>
  <si>
    <t xml:space="preserve"> Republic of the Philippines Municipality of Teresa Province of Rizal INVITATION TO BID FOR PURCHASE AND DELIVERY OF OFFICE MACHINERY AND EQUIPMENT FOR ELEMENTARY AND SECONDARY EDUCATION 1.	The Municipality of Teresa, through the Local School Board  CY 202</t>
  </si>
  <si>
    <t xml:space="preserve"> PRINTING OF MODULES FOR ALL SUBJECT AREAS Kinder to Grade 6 Size: 8” x 10.5” Black and White Paper: Newsprint Back to back printing Every module with cover</t>
  </si>
  <si>
    <t xml:space="preserve"> Invitation to Bid for the Supply and Delivery of 2,086 bags Hybrid Corn Seeds (9kg/bag) 1. The Department of Agriculture-Caraga Region, through the GAA 2020 Corn Program intends to apply the sum of Ten Million Four Hundred Twenty-Seven Thousand Nine Hundr</t>
  </si>
  <si>
    <t xml:space="preserve"> 1 Vest	75pcs 2 Gloves	75pairs 3 Boots	75pairs 4 Safety Shoes	75pairs 5 Raincoat	75pcs 6 Shovel	50pcs 7 Rake	30pcs 8 Pick Mattock	20pcs 9 Broom	200pcs</t>
  </si>
  <si>
    <t xml:space="preserve"> IB No. 2020-067/ACN CONSTRUCTION OF THE LIVESTOCK RESEARCH AND PRODUCTION BUILDING ABC: Php4,500,000.00 1.	The Department of Agriculture – Regional Field Office 10 through the GAA 2020 Livestock Program Funds3 intends to apply the sum of Four Million Five</t>
  </si>
  <si>
    <t xml:space="preserve"> 2. Contract ID:	20ND0076         Contract Name:	Concreting of Purok 3, Sitio Kabacungan, Brgy. Kinamlutan to Sitio Mandakpan, Brgy. San Vicente FMR, Butuan City Agusan del Norte 1st LD         Contract Location:	Butuan City         Brief Description:	Road</t>
  </si>
  <si>
    <t xml:space="preserve"> SUPPLY, INSTALLATION, TESTING AND COMMISSIONING OF AN ONLINE UNIFIED BUSINESS PERMIT APPLICATION SYSTEM FOR NEW, RENEWAL, AMENDMENT AND SPECIAL BUSINESS PERMITS (OUBPAS) FOR THE BUSINESS PERMITS AND LICENSING DEPARTMENT, QUEZON CITY (PHASE I) I.	RATIONALE</t>
  </si>
  <si>
    <t xml:space="preserve"> Invitation to Bid for the for the Supply and Delivery of Various Livestock and Poultry 1. The Department of Agriculture-Caraga Region, through the GAA 2020 Livestock Program intends to apply the sum of Four Million Six Hundred Thousand Pesos (P4,600,000.0</t>
  </si>
  <si>
    <t xml:space="preserve"> Riprapping of brgy. road @ Sitio Aguada, San Teodoro,Mabini,Batangas</t>
  </si>
  <si>
    <t xml:space="preserve"> Notice is hereby given that the National FOod Authority, Cebu Provincial Office at Banilad, Cebu City, thru its Provincial Procurement Committee (PPC) intents to apply for the sum of Php 520,000.00 being the Approved Budget for the Contract (ABC) inclusiv</t>
  </si>
  <si>
    <t xml:space="preserve"> Republic of the Philippines DEPARTMENT OF PUBLIC WORKS and HIGHWAYS SULTAN KUDARAT 2ND DISTRICT ENGINEERING OFFICE REGION XII Lebak, Sultan Kudarat Contract ID No. : Contract Name : Contract Location : Brief Description of Goods to be procured: Quantity U</t>
  </si>
  <si>
    <t xml:space="preserve"> Vehicle Parts &amp; Accessories</t>
  </si>
  <si>
    <t xml:space="preserve"> Republic of the Philippines BARANGAY II Municipality of Manapla, Negros Occidental Mobile No. 09495806644 Control reference Number :ITB #-001 PR# 23-07-2020 Name of the project:Installation of 20 units Street Lights Location of the Project:Barangay II,Mun</t>
  </si>
  <si>
    <t xml:space="preserve"> 1 | P a g e NNP 20-015 – Procurement of Consultancy Services (Individual) for the Review and Evaluation of the DSWD Self- Instructional Manual for Social Workers in Assessing Discernment of CICL NOTICE FOR NEGOTIATED PROCUREMENT (Small Value Procurement) </t>
  </si>
  <si>
    <t xml:space="preserve"> 1.	DIGITAL DUPLICATOR  SPECIFICATION: Master-making/printing methods – high speed digital master –making/fully automatic printing Original type – book sheet Master-making time- not more than 17 seconds Resolution – scanning resolution; 600 dpi x 600 dpi, </t>
  </si>
  <si>
    <t xml:space="preserve"> Supply and Delivery of Materials and Supplies for Concreting of Barangay Road</t>
  </si>
  <si>
    <t xml:space="preserve"> 1.	The Bangko Sentral ng Pilipinas (BSP), through its Bids and Awards Committee-Security Plant Complex (BAC-SPC), invites Bidders to apply for eligibility and to bid for the hereunder requirement: Name of Requirement/Brief Description:  One (1) lot Supply</t>
  </si>
  <si>
    <t xml:space="preserve"> Republic of the Philippines Province of Bukidnon Municipality of Cabanglasan -o0o- Invitation to Bid for  Upgrading and Improvement of Proper Anlugan to Compound Anlugan Road  PB-2020-29 1.	The Local Government Unit of Cabanglasan, through the Budget Appr</t>
  </si>
  <si>
    <t xml:space="preserve"> Vehicle Tires</t>
  </si>
  <si>
    <t xml:space="preserve"> LEARNING MANAGEMENT SYSTEM - GRADE 11 STUDENTS LEARNING MANAGEMENT SYSTEM - GRADE 12 STUDENTS Inclusions: SDO and schools -Dedicated support staff making regularly visits/online support to develop effective online learning program and troubleshoot any iss</t>
  </si>
  <si>
    <t xml:space="preserve"> Republic of the Philippines Province of Batangas MUNICIPALITY OF LOBO Invitation to Bid for the PURCHASE OF GENERATOR SET TO BE INSTALLED AT NEW PUBLIC MARKET, BARANGAY POBLACION, LOBO, BATANGAS Contract ID No. 3-01-001-20-076A 			 1.The Municipal Governm</t>
  </si>
  <si>
    <t xml:space="preserve"> Invitation to Bid for the Supply and Delivery of 2,500 bags Inbred Seeds (Certified) 1. The Department of Agriculture-Caraga Region, through the GAA 2020 Rice Program intends to apply the sum of Three Million Eight Hundred Thousand Pesos Only (P 3,800,000</t>
  </si>
  <si>
    <t xml:space="preserve"> Republic of the Philippines DEPARTMENT OF PUBLIC WORKS AND HIGHWAYS LA UNION SECOND DISTRICT ENGINEERING OFFICE REGIONAL OFFICE I Natividad, Naguilian, La Union INVITATION TO BID The Department of Public Works and Highways LA UNION SECOND DISTRICT ENGINEE</t>
  </si>
  <si>
    <t xml:space="preserve"> TITLE: VARIOUS SUPPLY AND MATERIALS FOR THE CONSTRUCTION OF MULTI-PURPOSE BUILDING (PHASE-1) LOCATION: PUROK-5 VILLA KANANGA, BUTUAN CITY SOURCE OF FUNDS: BRGY. IRA FUND BILL OF MATERIALS: 1	1	roll	Caution tape 2	14	Bdls.	1” x 2” x 8’ Sticks 3	1	Kl.	CW Na</t>
  </si>
  <si>
    <t xml:space="preserve"> Procurement of ICT Equipment</t>
  </si>
  <si>
    <t xml:space="preserve"> The National Irrigation Administration-Regional Office XII, through the GAA Fund CY2019 and CY2020 intends to apply the sum of THREE MILLION THREE HUNDRED NINETY THOUSAND SEVEN PESOS &amp; 50/100 (P 3,390,007.50) being the Approved Budget for the Contract (AB</t>
  </si>
  <si>
    <t xml:space="preserve"> Republic of the Philippines DEPARTMENT OF PUBLIC WORKS AND HIGHWAYS CAGAYAN THIRD DISTRICT ENGINEERING OFFICE REGION II Tuguegarao City The DPWH-CAGAYAN THIRD DISTRICT ENGINEERING OFFICE, through the GAA FY-2020 (AMWP) intends to apply the sum of P3,550,0</t>
  </si>
  <si>
    <t xml:space="preserve"> Part A. Facilities for the Engineer A.1.1(6) Provision of Combined Field Office, Laboratory and Quarters Building for the Engineers (Rental Basis ) month 3.00 A.1.1.(11) Provision of Furniture/fixtures, Equipment and Appliances for the Field Office for th</t>
  </si>
  <si>
    <t xml:space="preserve"> Delivery of materials and Scope of Project</t>
  </si>
  <si>
    <t xml:space="preserve"> Diesel &amp; Gasoline</t>
  </si>
  <si>
    <t xml:space="preserve"> ITEM NO.	UNIT		QTY		DESCRIPTION		 							 0	 -   		0		COMMON OFFICE SUPPLIES		 1	 can 		12		Air Freshener, California scent, car shaldan		 2	 piece 		184		Ballpen, panda, black, 		 3	 piece 		20		Ballpen, Retractable blue 		 4	 piece 		50		Ballpen,  Retra</t>
  </si>
  <si>
    <t xml:space="preserve"> Rescue Supplies Opening of Bids will be on August 5, 2020 2 :00 pm at Barangay Hall, Barangay West Rembo</t>
  </si>
  <si>
    <t xml:space="preserve"> Procurement of Office Supplies</t>
  </si>
  <si>
    <t xml:space="preserve"> ITEM NO.	UNIT		QTY		DESCRIPTION		 							 1	 lits 		2400		Diesel		 2	 lits 		375		 Gasoline 		 3	 lits 		15		 Oil 40 		 4	 lits 		15		 Oil 30 		 INVITATION TO BID The Municipality of Sablayan through its Bids and Awards Committee (BAC) invites all interes</t>
  </si>
  <si>
    <t xml:space="preserve"> ITEM NO.	UNIT		QTY		DESCRIPTION		 							 1	 unit 		5		Air Condition Floor Mounted		 					 3 Toner with Installation 		 INVITATION TO BID The Municipality of Sablayan through its Bids and Awards Committee (BAC) invites all interested contractors to apply </t>
  </si>
  <si>
    <t xml:space="preserve"> Rehabilitation/Upgrading and Drainage Improvement</t>
  </si>
  <si>
    <t xml:space="preserve"> Construction of 1unit  7m x 8m Tribal Hall w/ Genderized Comfort Room, Smooth finished Masonry Wall, Plywood Ceiling, Water Lines, Lightings &amp; Convenience outlet,   I	EARTH WORK                                          38.8cu.m			 II	SCAFFOLDING AND STAGI</t>
  </si>
  <si>
    <t xml:space="preserve"> Item No.	Qty	DESCRIPTION				Unit of Measurement 						 01000	1.00	     General Requirments				Lot 02200	25.51	Earthwork				Cu.m. 02410	1.0	        Scafoldings/Formworks				Lot 02630	104.78	Walkways				Sq.m. 03231	7.38	        Reinforced Concrete Column/Co</t>
  </si>
  <si>
    <t xml:space="preserve"> Rehabilitation/Concreting of Batong Paloway Barangay Road - 1,500 sq.m. x 0.20 m thick PCCP Barangay Road with 1.0 m Shoulder on Both Sides Rehabilitation/Concreting of Datag Barangay Road - 1,200 sq.m. x 0.20 m thick PCCP Barangay Road with 1.0 m Shoulde</t>
  </si>
  <si>
    <t xml:space="preserve"> Office Supplies  for Barangay Use Opening of Bids is on August 5,2020, 2 pm at Barangay Hall, Barangay West Rembo</t>
  </si>
  <si>
    <t xml:space="preserve"> Replacement of Roof, Ceiling, Windows and Re-painting</t>
  </si>
  <si>
    <t xml:space="preserve"> Rehabilitation/Reblocking/Concreting of 2,996 sq.m. x 0.20 m. thick PCCP Municipal Road with 1.0 m Shoulder on Both Sides</t>
  </si>
  <si>
    <t xml:space="preserve"> Part A. Facilities for the Engineer  A.1.1(6) Provision of Combined Field Office, Laboratory and Quarters Building for the                                        Engineers (Rental Basis )                                                                    </t>
  </si>
  <si>
    <t xml:space="preserve"> Republic of the Philippines Province of Leyte Municipality of Mahaplag BARANGAY UPPER Invitation to bid for the Procurement of Materials for the Road Concreting at Sitio Taglibas 1. The Barangay Upper of Mahaplag, Leyte, through the 20% EDF intends to app</t>
  </si>
  <si>
    <t xml:space="preserve"> I.T. Accessories &amp; Supplies</t>
  </si>
  <si>
    <t xml:space="preserve"> INVITATION TO BID FOR THE CONSTRUCTION OF INFORMATION AND RESEARCH CENTER FOR FARMERS, BRGY. FELY, MACONACON, ISABELA 1.	The Local Government Unit of Maconacon, through 2020 Economic Development Fund to apply the sum of One Million Pesos (Php 1,000,000.00</t>
  </si>
  <si>
    <t xml:space="preserve"> Republic of the Philippines PROVINCE OF NUEVA VIZCAYA Invitation to Bid for the  REHAB./UPGRADING OF CADINGRASAN BRIDGE Located at Villaverde, Nueva Vizcaya  1.	The Provincial Government of Nueva Vizcaya, through the PDRRMO Capital Outlay 2017 &amp; PDRMMO Ca</t>
  </si>
  <si>
    <t xml:space="preserve"> PLS. SEE ATTACHED PURCHASE REQUISITION, TERMS OF REFERENCE &amp; BID DOCUMENTS FOR DETAILS.</t>
  </si>
  <si>
    <t xml:space="preserve"> Republic of the Philippines Province of Iloilo Municipality of Ajuy BIDS AND AWARD COMMITTEE INVITATION TO APPLY FOR ELIGIBILITY AND TO BID 	The Local Government of Ajuy, Iloilo invites Accredited Supplier to apply for eligibility and to bid for the Const</t>
  </si>
  <si>
    <t xml:space="preserve"> 1.	The Municipality of Santo Tomas, La Union, through the budget for the contract approved by the sanggunian under 20% MDF (2020) intends to apply the sum of Four million, nine hundred ninety nine thousand, nine hundred sixteen pesos &amp; 74/100 (Php 4,999,9</t>
  </si>
  <si>
    <t xml:space="preserve"> Earthworks, Sub-base Course, Surface Course, Drainage &amp; Slope Protection Structure, Guardrails, Miscellaneous</t>
  </si>
  <si>
    <t xml:space="preserve"> Republic of the Philippines Province of Southern Leyte Municipality of Tomas Oppus Invitation to Bid  PROCUREMENT OF 50 SACKS OF RICE 1.	The Barangay Local Government Unit, Maslog, Tomas Oppus, Southern Leyte, through the Special Trust Fund- Calamity inte</t>
  </si>
  <si>
    <t xml:space="preserve"> Modules for Printing *Grades 7  7882 (7 modules/ 50 pages each module) *Grade 8   8673 (7 modules/ 50 pages each module) *Grade 9   13,204 (15 modules/ 40 pages each module) *Grade 10    13,777 (16 modules/ 40 pages each module) Item Specifications Paper </t>
  </si>
  <si>
    <t xml:space="preserve"> REQUEST FOR QUOTATIONS Procurement of Portable High Pressure Washer Note:  Please see attached document for complete specifications. REMINDERS: 1.) Pls. see associated components for the attached approved canvass form for complete specifications. 2.) Only</t>
  </si>
  <si>
    <t xml:space="preserve"> Please refer to the attached PBD No. NP IF 2020-07-001 and BOQ No. NP IF 2020-07-001 for detailed instructions, specifications and requirements. Posting and Availability of the Request for Proposal 	 starting July 25, 2020  Negotiation Conference	 August </t>
  </si>
  <si>
    <t xml:space="preserve"> The project aims to provide streetlights along the primary roads of the municipality.</t>
  </si>
  <si>
    <t xml:space="preserve"> 1.	The Municipality of Santo Tomas, La Union, through the budget for the contract approved by the sanggunian under LGSF-FA (2020) intends to apply the sum of Four million pesos              (Php 4,000,000.00) being the Approved Budget for the Contract (AB</t>
  </si>
  <si>
    <t xml:space="preserve"> National Power Corporation INVITATION TO BID PUBLIC BIDDING 2020-0219 1.	The NATIONAL POWER CORPORATION (NPC), through       its        approved       Corporate Budget of CY 2020 intends to apply   the   sum   of (Please see schedule below) being the Appr</t>
  </si>
  <si>
    <t xml:space="preserve"> ITEM NO.	UNIT		QTY		DESCRIPTION		 							 1	 bd.ft 		80		20-2"x2"x12'- cocolumber		 2	 bd.ft 		180		 30-2"x3"x12'- cocolumber 		 3	 roll 		1		 Nylon String #5 		 4	 kgs 		32		 CWN Assorted 		 5	 cu.m 		17		 Aggregates 		 6	 pcs 		12		 1/4"x4x'x8' Ordinary</t>
  </si>
  <si>
    <t xml:space="preserve"> Installation of Sign Board Structure Excavation Construction of Intake Tank Construction of Pump House Installation of Waterpumps</t>
  </si>
  <si>
    <t xml:space="preserve"> National Power Corporation INVITATION TO BID PUBLIC BIDDING 2020-0216 1.	The NATIONAL POWER CORPORATION (NPC), through       its        approved       Corporate Budget of CY 2020 intends to apply   the   sum   of (Please see schedule below) being the Appr</t>
  </si>
  <si>
    <t xml:space="preserve"> Republic of the Philippines BIDS AND AWARDS COMMITTEE Bacolod City INVITATION TO BID FOR THE CONSTRUCTION OF DRUG REHABILITATION CENTER BRGY. ALIJIS, BACOLOD CITY 1.	The City of Bacolod, through the Sangguniang Panlungsod 2020 intends to apply the sum of </t>
  </si>
  <si>
    <t xml:space="preserve"> ITEM NO.	UNIT		QTY		DESCRIPTION		 							 1	 unit 		1		Outboard Motor		 					 Engine Type: 2-Stroke, In-line 2 		 					 Displacement: 496cc 		 					 Bore x Stroke: 72 x 61 mm 		 					 Recommended Max. RPM: 5000-5500 		 					 Lubrication System: Pre-Mixing</t>
  </si>
  <si>
    <t xml:space="preserve"> The Department of Education –Schools Division of Calbayog City, through the General  Appropriations Act (GAA) FY 2020 intends to apply the sum of Two Million Eight Hundred Nine Thousand Nine Hundred Sixty-Eight Pesos &amp; 46/100 Only (Php 2,809,968.46) being</t>
  </si>
  <si>
    <t xml:space="preserve"> INVITATION TO BID for the Procurement of Infrastructure Projects            1.	The City Government of Puerto Princesa (CGPP), through Appropriation Ordinance No. 6-2019 (Supplemental Budget No. 3 for CY 2019/Fund Source: Borrowings – Loan at Land Bank of </t>
  </si>
  <si>
    <t xml:space="preserve"> ITEM NO.	UNIT		QTY		DESCRIPTION		 							 1	 cu.m. 		1		Layout and Excavation		 2	 cu.m. 		1		 Form Works 		 3	 sq.m. 		84		 Concrete Works 		 4	 lot 		1		 Masonry Works 		 5	 sq.m. 		28		 Plumbing and Sanitary Works 		 6	 lot 		1		 Tile Works and Ceiling</t>
  </si>
  <si>
    <t xml:space="preserve"> The Department of Education –Schools Division of Calbayog City, through the General Appropriations Act (GAA) FY 2020 intends to apply the sum of Three Million Six Hundred Eighty Thousand Nine  Hundred Twenty-One Pesos &amp; 03/100 Only (Php 3,680,921.03) bein</t>
  </si>
  <si>
    <t xml:space="preserve"> The Department of Education –Schools Division of Calbayog City, through the General Appropriations Act (GAA) FY 2020 intends to apply the sum of Three Million Two Hundred Ninety-Six Thousand Two Hundred Eighty-Four Pesos &amp; 79/100 Only (Php 3,296,284.79) b</t>
  </si>
  <si>
    <t xml:space="preserve"> July 13, 2020 INVITATION TO BID  The Department of Public Works and Highways, Mindoro Occidental District Engineering Office, Mamburao, Occidental Mindoro, through its Bids and Award Committee (BAC), invites contractors to submit bids for the following Co</t>
  </si>
  <si>
    <t xml:space="preserve"> The Department of Education –Schools Division of Calbayog City, through the General  Appropriations Act (GAA) FY 2020 intends to apply the sum of Three Million Three  Hundred Fifty-Nine Thousand Eight Hundred Twenty-Nine Pesos &amp; 67/100 Only (Php 3,359,829</t>
  </si>
  <si>
    <t xml:space="preserve"> I.  Electrical Works II. Labor OCM/CP/VAT</t>
  </si>
  <si>
    <t xml:space="preserve"> The Department of Education –Schools Division of Calbayog City, through the General  Appropriations Act (GAA) FY 2020 intends to apply the sum of Three Million Four Hundred Two Thousand Ninety-Seven Pesos &amp; 21/100 Only (Php 3,402,097.21) being the Total A</t>
  </si>
  <si>
    <t xml:space="preserve"> Republic of the Philippines DEPARTMENT OF PUBLIC WORKS AND HIGHWAYS NEGROS OCCIDENTAL 1ST DISTRICT ENGINEERING OFFICE Region VI Matab-ang, Talisay City, Negros Occidental INVITATION TO BID The DPWH, Negros Occidental 1st District Engineering Office, Matab</t>
  </si>
  <si>
    <t xml:space="preserve"> Scope of Work: I. Repair of one Panel Glass Main Entrance Door II. Repair of Outside Ceiling Board III. Repair of Outside G.I. Gutter IV. Repair/ Replacement of existing Tiles V. Division of Rooms VI. Repair/ Rehabilitation of Existing water lines VII. Ki</t>
  </si>
  <si>
    <t xml:space="preserve"> INVITATION TO BID The Local Government Unit of Jasaan, Jasaan, Misamis Oriental, through the DILG - BUB intends to apply the sum of Four Million Three Hundred Thirty Four Thousand Pesos and 00/100 (P 4,334,000.00) being the Approved Budget for the Contrac</t>
  </si>
  <si>
    <t xml:space="preserve"> 1	SQL Database Management System Software - No. of cores: 4 - Adaptable to future technology enhancements - Reduced complexity - Professional, enterprise-level database management, such as supporting triggers and close integration with the .NET framework.</t>
  </si>
  <si>
    <t xml:space="preserve"> 1	Boom Truck Max. Lifting Capacity: 5000 kgs Cargo Box Size: more or less 5000 x 2300 x 550 mm Gross Weight: 14000-15000 kgs Rate Load Weight: 9800-10000 kgs Transmission: Fast Power: 150-170 PS Tire: 8.25R20 14PR with Airconditioning Euro 4 or 5</t>
  </si>
  <si>
    <t xml:space="preserve"> 1	Street Sweeper Truck Capacity: 6 cbm, Power: 130-150 PS, Tire: 8.25R16 14PR, Transmission: 6 speed, Roadsweeping Equipment: 3.5 cbm garbage truck box, 1 cbm water tank with air-conditioning, Euro 4 or 5</t>
  </si>
  <si>
    <t xml:space="preserve"> Republic of the Philippines  PROVINCE OF SAMAR Municipality of San Sebastian Invitation to Bid for  LOCAL ROAD UPGRADING Upgrading of 350Ln.m x 6.10mx0.20 Existing Gravel Road to Portland Cement Concrete Pavement 1.	The Municipality of San Sebastian, thro</t>
  </si>
  <si>
    <t xml:space="preserve"> The Department of Education –Schools Division of Calbayog City, through the General  Appropriations Act (GAA) FY 2020 intends to apply the sum of Two Million Seven  Hundred Eighty-Seven Thousand Nine Hundred Four Pesos &amp; 90/100 Only (Php 2,787,904.90) bei</t>
  </si>
  <si>
    <t xml:space="preserve"> The Department of Education –Schools Division of Calbayog City, through the General  Appropriations Act (GAA) FY 2020 intends to apply the sum of Three Million One  Hundred Eighty-Four Thousand Three Hundred Forty-Five Pesos &amp; 08/100 Only (Php 3,184,345.0</t>
  </si>
  <si>
    <t xml:space="preserve"> The Department of Education –Schools Division of Calbayog City, through the General Appropriations Act (GAA) FY 2020 intends to apply the sum of Three Million One Hundred Sixty-Eight Thousand One Hundred Nine Pesos &amp; 60/100 Only (Php 3,168,109.60) being t</t>
  </si>
  <si>
    <t xml:space="preserve"> The Department of Education –Schools Division of Calbayog City, through the General Appropriations Act (GAA) FY 2020 intends to apply the sum of Three Million Seven Hundred Five Thousand Ninety Pesos &amp; 71/100 Only (Php 3,705,090.71) being the Total Approv</t>
  </si>
  <si>
    <t xml:space="preserve"> The Department of Education –Schools Division of Calbayog City, through the General  Appropriations Act (GAA) FY 2020 intends to apply the sum of Three Million Four Hundred Eighty-Nine Thousand Ninety Pesos &amp; 67/100 Only (Php 3,489,090.67) being the Total</t>
  </si>
  <si>
    <t xml:space="preserve"> The Department of Education –Schools Division of Calbayog City, through the General Appropriations Act (GAA) FY 2020 intends to apply the sum of Three Million Two Hundred Seventy-Two Thousand Three Hundred Forty-Four Pesos &amp; 18/100 Only (Php 3,272,344.18)</t>
  </si>
  <si>
    <t xml:space="preserve"> CONCRETE AND STEEL ELECTRICAL AND MECHANICAL WORKS</t>
  </si>
  <si>
    <t xml:space="preserve"> The Department of Education –Schools Division of Calbayog City, through the General Appropriations Act (GAA) FY 2020 intends to apply the sum of Three Million Seven Hundred Seventy-Nine Thousand One Hundred Fifteen Pesos &amp; 22/100 Only (Php 3,779,115.22) b</t>
  </si>
  <si>
    <t xml:space="preserve"> 1	Manlift Truck 17-20m high, work bucket: more or less 1150 x 650 x 1150 mm, work bucket load: 200 kgs., gross weight: 11500-12500 kgs., power: 150-170 PS, Tire: 8.25R20 with air-conditioning, euro 4 or 5</t>
  </si>
  <si>
    <t xml:space="preserve"> NOTICE TO THE PUBLIC REQUEST FOR QUOTATION                                              AMP SVP-S NO: 20-07-0405	              The University of the Philippines, System (UPS) hereby informs the public that it will be procuring the following item/s through</t>
  </si>
  <si>
    <t xml:space="preserve"> The Department of Education –Schools Division of Calbayog City, through the General Appropriations Act (GAA) FY 2020 intends to apply the sum of Three Million Six Hundred Ninety-Five Thousand Nine Hundred Nineteen Pesos &amp; 22/100 Only (Php 3,695,919.22) be</t>
  </si>
  <si>
    <t xml:space="preserve"> attached</t>
  </si>
  <si>
    <t xml:space="preserve"> The Department of Education –Schools Division of Calbayog City, through the General  Appropriations Act (GAA) FY 2020 intends to apply the sum of Two Million Four Hundred Two Thousand Six Hundred Seventy Pesos &amp; 22/100 Only (Php 2,402,670.22) being the To</t>
  </si>
  <si>
    <t xml:space="preserve"> LOT 1 Name of Project: Construction of Two-lane Barangay Access Road Upgrading at J. Tandayu &amp; J. Lumauig St. Location: Brgy. Annafunan, Tumauini, Isabela Contract Duration: 120 CD ABC: Php5,105,922.00 LOT 2 Name of Project: Establishment of Sanitary Land</t>
  </si>
  <si>
    <t xml:space="preserve"> Construction Project for the Construction of Evacuation Center at Barangay Igangon, San Isidro, Davao del Norte.</t>
  </si>
  <si>
    <t xml:space="preserve"> Section I. Invitation to Re-Bid Republic of the Philippines Province of Romblon INVITATION TO BID FOR  Rehabilitation of Drainage System and Pavement along Capitol Area, Brgy. Capaclan, Romblon, Romblon. July 23, 2020 1.	The Provincial Government of Rombl</t>
  </si>
  <si>
    <t xml:space="preserve"> INVITATION TO BID REFERENCE NO. 2020-07-007 1.The Department of Social Welfare and Development FO VIII, through the GAA OF CY 2020 intends to apply the sum Forty Million One Hundred Twenty Thousand Two Hundred Fifteen Pesos and Sixty-Seven Centavos (Php40</t>
  </si>
  <si>
    <t xml:space="preserve"> CONCRETING OF MABUHAY ROAD (LABOR, MATERIALS &amp; EQUIPMENT RENTAL) AT PUROK MABUHAY, BINUANGAN, MACO, DAVAO DE ORO.</t>
  </si>
  <si>
    <t xml:space="preserve"> please click the link below to download bidding documents https://drive.google.com/file/d/1h_swPhpAeTbDazu-iBc3ov6A8pNO2vB3/view?usp=drivesdk</t>
  </si>
  <si>
    <t xml:space="preserve"> INVITATION TO BID INSTALLATION OF STREET LIGHTS ALONG PROVINCIAL ROAD FROM PUROK 3 TO PUROK 4, BARANGAY COMAGASCAS 1.	The Local Government Unit of Cabadbaran City through the PEACE &amp; ORDER FUND (EO 70 ELCAC IMPLEMENTATION) intends to apply the sum of ONE </t>
  </si>
  <si>
    <t xml:space="preserve"> INVITATION TO BID FOR THE SUPPLY AND DELIVERY OF SOIL COVER FOR CITY WASTE DISPOSAL FACILITY   1.	The City of Iloilo, through the General Fund intends to apply the sum of Thirteen Million Six Hundred Thousand Pesos (P13,600,000.00) being the Approved Budg</t>
  </si>
  <si>
    <t xml:space="preserve"> Section I. Invitation to Bid Republic of the Philippines Province of Romblon INVITATION TO BID FOR  Procurement of Ambulance Van for use in transferring of patients from Corcuera (Calatrava to RPH-Odiongan) and PDRRMO, Province of Romblon . July 23, 2020 </t>
  </si>
  <si>
    <t xml:space="preserve"> INVITATION TO BID FOR THE SUPPLY AND DELIVERY OF MEDICAL/LABORATORY EQUIPMENT   1.	The City of Iloilo, through the 20% Development Fund CY 2020 intends to apply the sum of One Million Five Hundred Pesos (P1,500,000.00) being the Approved Budget for the Co</t>
  </si>
  <si>
    <t xml:space="preserve"> please click the link below to download bidding documents https://drive.google.com/file/d/1VjO4DkO9PH3Yviw7uaJmp17kqZOWBX_B/view?usp=drivesdk</t>
  </si>
  <si>
    <t xml:space="preserve"> please click the link below to download bidding documents https://drive.google.com/file/d/1LitjjCDURAZ6SqB_Zq39l4nouV6g-GzK/view?usp=drivesdk</t>
  </si>
  <si>
    <t xml:space="preserve"> INVITATION TO BID FOR THE DELIVERY OF MATERIALS FOR THE CONTINUATION OF                              TWO STOREY BARANGAY MULTI -PURPOSE HALL                   The   Barangay    Población   Gen.  Mamerto.   Natividad Nueva  Ecija, through    20% Developmen</t>
  </si>
  <si>
    <t xml:space="preserve"> 1	ARALING PANLIPUNAN: SULYAP SA KASAYSAYAN NG ASYA 7 2	(HAMP) HEALTH, ARTS, MUSIC, PE 7 3	EXPERIENTIAL MATH 10 4	EXPERIENTIAL MATH 7 5	EXPERIENTIAL MATH 8 6	EXPERIENTIAL MATH 9 7	SARALING PANLIPUNAN: SULYAP SA KASAYSAYAN NG DAIGDIG 8 8	(HAMP) HEALTH, ARTS</t>
  </si>
  <si>
    <t xml:space="preserve"> 1. Construction of  Drainage fronting Apostol's Residence at Amsing, Pacdal, Baguio City  =   P 200,000.00   = Contract Duration = 20 Calendar days. 2. Rehabilitation of Pathway from Molintas going to SAGUILOT's Residence and part of Bayuga Residence, Pac</t>
  </si>
  <si>
    <t xml:space="preserve"> For use of VMMC Main Bldg connecting hallways.</t>
  </si>
  <si>
    <t xml:space="preserve"> Republic of the Philippines											 	Office of the Municipal Mayor											 	BIDS AND AWARDS COMMITTEE											 	Binmaley, Pangasinan											 												 	Invitation to Bid											 	 for 											 	Construction of Multi-Purpose Hall (Phase</t>
  </si>
  <si>
    <t xml:space="preserve"> Republic of the Philippines DEPARTMENT OF PUBLIC WORKS &amp; HIGHWAYS LEYTE THIRD  ENGINEERING DISTRICT OFFICE Regional Office VIII Villaba, Leyte Telefax No. (053) 552-9266 Email Add: dpwh_leyte3@yahoo.com INVITATION TO BID July 20, 2020 1.	The DPWH Third Le</t>
  </si>
  <si>
    <t xml:space="preserve"> 20F00127 - CLUSTER III: A. Repair/Maintenance of DILG Building, PDEA RO-V Building, Camp Simeon Ola, Legazpi City; B. Repair/Maintenance of DepEd Building, DepEd RO-V Canteen Building, Regional Center Site, Rawis, Legazpi City</t>
  </si>
  <si>
    <t xml:space="preserve"> OPENING OF BIDS IN ZAMBOANGA CITY, DELIVERY IN HOME FOR WOMEN PROCUREMENT FOR THE FF,:		 		 1 unit WEIGHING SCALE WITH HEIGHT AND WEIGHT DETECTOR	@	 14,900.00  1 unit ANDROID BLOOD PRESSURE APPARATUS WITH WHEEL	@	 10,000.00  2 unit MEDICAL FOOT STOOL DOUB</t>
  </si>
  <si>
    <t xml:space="preserve"> see attached associated component</t>
  </si>
  <si>
    <t xml:space="preserve"> Republic of the Philippines City of Cagayan de Oro BIDS AND AWARDS COMMITTEE Invitation to Bid  for Rehabilitation of Drainage Canal, Installation of Checkered Plate Drainage and Manhole Covers, Carmen, SN 168 - 2020 ` 1.	The City Government of Cagayan de</t>
  </si>
  <si>
    <t xml:space="preserve"> Republic of the Philippines City of Cagayan de Oro BIDS AND AWARDS COMMITTEE Invitation to Bid  for Concrete Paving of Road at Gold City Village (Phase 3), Balulang; SN 156 - 2020 ` 1.	The City Government of Cagayan de Oro, through the Non-Office: Economi</t>
  </si>
  <si>
    <t xml:space="preserve"> Republic of the Philippines City of Cagayan de Oro BIDS AND AWARDS COMMITTEE Invitation to Bid  for Concrete Paving of Road at Interior of Moco, Carmen; SN 157 - 2020 ` 1.	The City Government of Cagayan de Oro, through the Non-Office: Economic Services Se</t>
  </si>
  <si>
    <t xml:space="preserve"> Purchase of Office Supplies</t>
  </si>
  <si>
    <t xml:space="preserve"> Please refer to the attached document.</t>
  </si>
  <si>
    <t xml:space="preserve"> Improvement of Matingbe Wharf (Phase II) Concrete Demolition Sub-grade Preparation Aggregate Sub-base Course Concrete Works Portland cement Concrete Pavement Masonry works Grouted riprap Safety and Health Project Bill board</t>
  </si>
  <si>
    <t xml:space="preserve"> Republic of the Philippines City of Cagayan de Oro BIDS AND AWARDS COMMITTEE Invitation to Bid  for Construction of Anhaon Creek Bank Protection Structure Phase 2, Bulua; SN 159 - 2020 1.	The City Government of Cagayan de Oro, through the Continuing Appro</t>
  </si>
  <si>
    <t xml:space="preserve"> Standard Form Number: SF-INFR-05 Revised on: July 28, 2004          INVITATION TO APPLY FOR ELIGIBILITY AND TO BID The Municipal Local Government Unit of Saguday, Quirino through its Bids and Awards Committee (BAC), invites contractors to apply for eligib</t>
  </si>
  <si>
    <t xml:space="preserve"> Republic of the Philippines Province of Negros Occidental CITY OF TALISAY INVITATION TO BID  Renovation of Three (3) units Classroom School Building located at Dos Hermanas Elementary School, Talisay City  1.	The City of Talisay, through the SEF 2018 inte</t>
  </si>
  <si>
    <t xml:space="preserve"> INVITATION TO BID NO. GOODS-034-2020 The Provincial Government of Bataan, through the General Fund034 intends to apply the below listed procurement w/ corresponding Approved Budget of the Contract (ABC). Bids received in excess of the ABC shall be automat</t>
  </si>
  <si>
    <t xml:space="preserve"> Local Access Road Construction at Purok 2 Aurelio to Purok 3 Justiniana Edera Sub-Grade Preparation Aggregate Sub-Base Coarse CONCRETE WORKS Portland Concrete Cement Pavement MASONRY WORKS Grouted Riprap SAFETY And HEALTH Project Bill board</t>
  </si>
  <si>
    <t xml:space="preserve"> Republic of the Philippines City of Cagayan de Oro BIDS AND AWARDS COMMITTEE Invitation to Bid  for Concrete Paving of NHA Lourdesville Circumferential Road, Balulang (Phase 3); SN 158 - 2020 1.	The City Government of Cagayan de Oro, through the Current A</t>
  </si>
  <si>
    <t xml:space="preserve"> See attached associated component</t>
  </si>
  <si>
    <t xml:space="preserve"> Invitation to Bid  For the Construction/Rehabilitation of Existing Drainage System at Brgy. Don Esteban, Lapuz, Iloilo City 1.	The City of Iloilo, through the 20% Development Fund, CY2019 intends to apply the sum of One Million Pesos (Php 1,000,000.00) be</t>
  </si>
  <si>
    <t xml:space="preserve"> Republic of the Philippines City of Cagayan de Oro BIDS AND AWARDS COMMITTEE Invitation to Bid  for Concrete Paving of Ysalina St. GAP Section, Lumbia; SN 153 - 2020 1.	The City Government of Cagayan de Oro, through the Continuing Appropriation, CY 2019, </t>
  </si>
  <si>
    <t xml:space="preserve"> Please refer attached file</t>
  </si>
  <si>
    <t xml:space="preserve"> Name of  Project/Contract	:	CONSTRUCTION OF STANDARD DAYCARE CENTER BUILDING WITH COMPLETE FACILITIES Location				:	ALIMIT,  Kasibu, Nueva Vizcaya Brief Description			:	1. Reinforced concrete beams, columns and slabs 					2. Installation of CHB 					3. St</t>
  </si>
  <si>
    <t xml:space="preserve"> Description Invitation to Bid 1. The Barangay Government of Barangay Anahaway through the 2020 Development Fund,intend to apply the amount of Seventy Thousand Pesos (words) Php 70,000.00 as the Approved Budget for the Contract (ABC) for the payment under </t>
  </si>
  <si>
    <t xml:space="preserve"> Name of  Project/Contract	:	COMPLETION OF STANDRD BIRTHING CLINIC - ALIMIT Location				:	ALIMIT,  Kasibu, Nueva Vizcaya Brief Description			:	1. Construction of Reinforced Concrete Slabs 					2. Installation of 4” CHB 					3. 20mm thick plastering works 	</t>
  </si>
  <si>
    <t xml:space="preserve"> Construction of Aurelio ECCD Learning Center SITE DEVELOPMENT Layout &amp; staking EARTH WORKS Excavation for column &amp; wall Footing CONCRETE WORKS Reinforced Concrete Footing Reinforced Concrete Column Reinforced Concrete Beam Reinforced Wall Footing Reinforc</t>
  </si>
  <si>
    <t xml:space="preserve"> Name of  Project/Contract	:	CONSTRUCTION OF EVACUATION CENTER-CATARAWAN Location				:	CATARAWAN, Kasibu, Nueva Vizcaya Brief Description	:	Construction of one (1) storey 11m x 20m Building (Excavation Works; backfilling works; reinforced concrete footings</t>
  </si>
  <si>
    <t xml:space="preserve"> INVITATION TO BID NO. INFRA -055-2020  The Provincial Government of  Bataan, through the Special Education Fund055 intends to apply the below listed project w/ corresponding Approved Budget of the Contract (ABC). Bids received in excess of the ABC shall b</t>
  </si>
  <si>
    <t xml:space="preserve"> Name of  Project/Contract	:	IMPROVEMENT OF FMR-EDRALIN-ATAN ROAD Location				:	ANTUTOT,  Kasibu, Nueva Vizcaya Brief Description			:	1. 0.15M thick aggregate base coarse 					2. Construction of 0.15m x 5.0m x 45m PCCP and 0.15m x 445m concrete tirepath 		</t>
  </si>
  <si>
    <t xml:space="preserve"> Republic of the Philippines National Kidney and Transplant Institute Bids and Awards Committee East Avenue, Quezon City 1100 981-0300 / 981-0400 local 1157 http://www.nkti.gov.ph/	 INVITATION TO BID for the ITB No. 20-068 RE-BIDDING FOR THE SUPPLY AND DEL</t>
  </si>
  <si>
    <t xml:space="preserve"> Invitation to Bid for the Supply, Delivery,  Installation and Commissioning  of 24  Units Solar Powered Pumps  NIAR6-GAA-SOLAR-GS03-20 1.	The National Irrigation Administration Regional Office VI, Iloilo City, through the General Appropriation Act (GAA) C</t>
  </si>
  <si>
    <t xml:space="preserve"> INVITATION TO BID 1.	The Bangko Sentral ng Pilipinas (BSP), through its Bids and Awards Committee-Security Plant Complex (BAC-SPC), invites Bidders to apply for eligibility and to bid for the hereunder requirement: Name of Requirement/Brief Description	 A</t>
  </si>
  <si>
    <t xml:space="preserve"> Local Access Road Construction at Poblacion to Aurelio (Cemetery Area) Sub-Grade Preparation Aggregate Sub-Base Coarse Portland Concrete Cement Pavement SAFETY And HEALTH Project Bill board</t>
  </si>
  <si>
    <t xml:space="preserve"> Republic of the Philippines City of Cagayan de Oro BIDS AND AWARDS COMMITTEE Invitation to Bid  for Construction of Welcome Arch 1 Section (East &amp; West Entry Point, Cagayan de Oro City); SN 171 - 2020 1.	The City Government of Cagayan de Oro, through the </t>
  </si>
  <si>
    <t xml:space="preserve"> Local Access Road Construction at Isabel St., P2 San Juan Concrete Demolition Excavation Sub-Grade Preparation Aggregate Sub-Base Coarse Concrete Works Portland Concrete Cement Pavement Shouldering Reinforced Concrete Line Canal Reinforcing Steel Bars For</t>
  </si>
  <si>
    <t xml:space="preserve"> ITEM 	UNIT	ITEM DESCRIPTION	          QUANTITY	UNIT COST	TOTAL COST 1	Unit	  Gasoline Power Tiller Cultivator	            1		 		 - Tilling Width 80-120 cm, Tilling Depth 15-30cm, Fuel Consumption 0.75 L/hr, Starting system recoil,                   Amtec </t>
  </si>
  <si>
    <t xml:space="preserve"> Invitation to Bid  For the Construction of Three (3) Storey 6 Classroom with Demolition  Completion of Three (3) Storey 6 Classroom with Demolition  at A. Mirasol Elementary School, mandurriao, Iloilo City 1.	The City of Iloilo, through the SB No. 1, CY20</t>
  </si>
  <si>
    <t xml:space="preserve"> Procurement of Engineering and Laboratory Testing Equipment for use in the Bridge Engineering and Building Inspection of the projects, DPWH, Negros Occidental 3rd District Engineering Office, Kabankalan City. 1.	The DPWH Negros Occidental 3rd District Eng</t>
  </si>
  <si>
    <t xml:space="preserve"> Local Access Road Construction at Purok 3 to 5 Mahayahay Sub-Grade Preparation Aggregate Sub-Base Coarse CONCRETE WORKS Portland Concrete Cement Pavement Concrete Barrier MASONRY WORKS Grouted Riprap SAFETY And HEALTH Project Bill board</t>
  </si>
  <si>
    <t xml:space="preserve"> Construction of Slope Protection and Access Road at the Women and Children Crisis Center (Phase I &amp; II) SITE DEVELOPMENT Layout and Staking Site Clearing EARTHWORKS Structure Excavation SUB-GRADE PREPARATION BASE COARSE CONCRETE WORKS Concrete Pavement I </t>
  </si>
  <si>
    <t xml:space="preserve"> Republic of the Philippines City of Cagayan de Oro BIDS AND AWARDS COMMITTEE Invitation to Bid  for Construction of Drainage System Along Daumar St. from JR Borja St. to J. Ramonal St. (Brgy. 32) SN 162 - 2020 1.	The City Government of Cagayan de Oro, thr</t>
  </si>
  <si>
    <t xml:space="preserve"> Purchase of Multicab</t>
  </si>
  <si>
    <t xml:space="preserve"> Republic of the Philippines City of Cagayan de Oro BIDS AND AWARDS COMMITTEE Invitation to Bid  for Pavement Re-surfacing with Pebble at Wet Section Carmen Market; SN 169 - 2020 ` 1.	The City Government of Cagayan de Oro, through the Current Appropriation</t>
  </si>
  <si>
    <t xml:space="preserve"> 1	SCIENCE: HEALTH TECHNOLOGY AND ENVIRONMENT 2 2	EDUKASYONG PANTAHANAN AT PANGKABUHAYAN 4 3	EDUKASYONG PANTAHANAN AT PANGKABUHAYAN 5 4	ELEMENTARY ENGLISH ADVENTURE 1 5	ELEMENTARY ENGLISH ADVENTURE 2 6	ELEMENTARY ENGLISH ADVENTURE 3 7	ELEMENTARY ENGLISH AD</t>
  </si>
  <si>
    <t xml:space="preserve"> Republic of the Philippines PROVINCIAL GOVERNMENT OF EASTERN SAMAR Capitol Building, Borongan, Eastern Samar, 6800 Tel No. (055)-560-8312 E-mail Address: esamar.bac@gmail.com BIDS AND AWARDS COMMITTEE (BAC) INVITATION TO BID FOR THE  PROCUREMENT OF 1 UNIT</t>
  </si>
  <si>
    <t xml:space="preserve"> Vegetable Seeds &amp; Ornamental Plants</t>
  </si>
  <si>
    <t xml:space="preserve"> (1438 CU.M. AGGREGATES) FOR THE MAINTENANCE OF NRJ (PROSPERIDAD) AZPETIA-MABUHAY-SAN LORENZO-LOS ARCOS CIRCUMFERENTIAL ROAD AT PROSPERIDAD, AGUSAN DEL SUR</t>
  </si>
  <si>
    <t xml:space="preserve"> Concreting of 0.98231 km/1.96464 lane kilometer of road</t>
  </si>
  <si>
    <t xml:space="preserve"> Upgrading of Local Access Road (Purok 7, Brgy Road, San Isidro Village, Virac, Catanduanes)</t>
  </si>
  <si>
    <t xml:space="preserve"> Name of  Project/Contract	:	COMPLETION OF MULTIPURPOSE GYM (PHASE II) Location				:	Capisaan, Kasibu, Nueva Vizcaya Brief Description	:	Manual excavation works; concreting of RSB-reinforced footing, column, beam, bench/bleacher, stairs and flooring; fabri</t>
  </si>
  <si>
    <t xml:space="preserve"> Office Equipment</t>
  </si>
  <si>
    <t xml:space="preserve"> REQUEST FOR EXPRESSION OF INTEREST (REOI) FOR SUBSURFACE EXPLORATION/GEOTECHNICAL INVESTIGATION July 23, 2020  I.      Contract ID	    : 20CSIM001          Contract Name     : Subsurface Exploration/Geotechnical Investigation for the Construction of      </t>
  </si>
  <si>
    <t xml:space="preserve"> Republic of the Philippines City of Cagayan de Oro BIDS AND AWARDS COMMITTEE Invitation to Bid  for Construction of Drainage at Diel St. towards Gumamela St., Carmen, SN 161 - 2020 1.	The City Government of Cagayan de Oro, through the Continuing Appropria</t>
  </si>
  <si>
    <t xml:space="preserve"> Procurement of medical, dental and laboratory supplies</t>
  </si>
  <si>
    <t xml:space="preserve"> Standard Form Number: SF-INFR-05 Revised on: July 28, 2004          INVITATION TO APPLY FOR ELIGIBILITY AND TO BID         The Municipal Local Government Unit of Saguday, Quirino through its Bids and Awards Committee (BAC), invites contractors to apply fo</t>
  </si>
  <si>
    <t xml:space="preserve"> 1	Unit	Fabricated Wood Medicine Cabinet  		2 Columns; 7 Layers with Varnish and Transparent 1/8 inch thick sliding glass 		H=2.15m; L=1.35m; W=0.30m 1	Unit	Fabricated Wood Medicine Cabinet  		2 Columns; 7 Layers with Varnish and Transparent 1/8 inch thick</t>
  </si>
  <si>
    <t xml:space="preserve"> Construction of 0.49 km/0.98 lane kilometer of road</t>
  </si>
  <si>
    <t xml:space="preserve"> Security Services for a period of 12 months after the effectivity of the contract. Approved Budget for the Contract: Php1,548,000.00</t>
  </si>
  <si>
    <t xml:space="preserve"> The Barangay Pata, Tuao Cagayan through its MUNICIPAL AID 2018 Fund intends to apply the sum of                 Php 179,534.06  being the Approved Budget for the Contract (ABC) to payments under the contract for  Concrete Fencing of Multi-Purpose Hall .Bi</t>
  </si>
  <si>
    <t xml:space="preserve"> Name of  Project/Contract	:	REHABILITATION/RECONSTRUCTION OF HANGING FOOT BRIDGE (between Alimit and Nagabgaban,Alimit) Location				:	Alimit, Kasibu, Nueva Vizcaya Brief Description			:	Rehabilitation/reconstruction of two (2) reinforced concrete hanging </t>
  </si>
  <si>
    <t xml:space="preserve"> (2670 CU.M. AGGREGATES) FOR THE MAINTENANCE OF NRJ (LA PAZ) POBLACION-LOWER MAITOM-WALOE ROAD AT LA PAZ, AGUSAN DEL SUR</t>
  </si>
  <si>
    <t xml:space="preserve"> 1.            The Local Government Unit of Pasil,  through the LGU Trust Fund, intends to apply the sum of Two Hundred Forty-Nine Thousand Eight Hundred Fifty Pesos Only (₱ 249,850.00) being the Approved Budget for the Contract (ABC) to payments under the</t>
  </si>
  <si>
    <t xml:space="preserve"> Republic of the Philippines                                                            PROVINCE OF ISABELA                                                          Municipality of Dinapigue                                 INVITATION TO APPLY FOR ELIGIBILI</t>
  </si>
  <si>
    <t xml:space="preserve"> (3304 CU.M. AGGREGATES) FOR MAINTENANCE OF NRJ (TRENTO) POBLACION-TUDELA-STA. MARIA CIRCUMFERENTIAL ROAD AT TRENTO, Agusan del Sur</t>
  </si>
  <si>
    <t xml:space="preserve"> (2201 CU.M. AGGREGATES) FOR THE MAINTENANCE OF NRJ (SIBAGAT) SAN VICENTE-ESPERANZA ROAD AT SIBAGAT, AGUSAN DEL SUR</t>
  </si>
  <si>
    <t xml:space="preserve"> (1354 CU.M. AGGREGATES) FOR THE MAINTENANCE OF NRJ (PROSPERIDAD) SAN JOSE-LUCENA CIRCUMFERENTIAL ROAD AT PROSPERIDAD, AGUSAN DEL SUR</t>
  </si>
  <si>
    <t xml:space="preserve"> The Barangay Lakambini, Tuao Cagayan through its Capital Outlay Fund intends to apply the sum of                    Php 65,000.00  being the Approved Budget for the Contract (ABC) to payments under the contract for  PURCHASED OF 1 UNIT MOTORCYCLE HONDA TM</t>
  </si>
  <si>
    <t xml:space="preserve"> Labor and Materials Upgrading and Improvement of barangay Road Location: Sitio Sampaloc, Banga Caves, Ragay -nothing follows-</t>
  </si>
  <si>
    <t xml:space="preserve"> CONTRACT ID: 19GL00118; P.R. No. 2020-07-079 DATED 07/06/2020 CONTRACT LOCATION: AGUSAN RIVER, COMPOSTELA, DAVAO DE ORO CONTRACT DESCRIPTION: PROCUREMENT OF DIESEL FUEL, FOR USE IN THE DREDGING EQUIPMENT AND SERVICE VEHICLE, ASSIGNED IN THE DREDGING OF AG</t>
  </si>
  <si>
    <t xml:space="preserve"> 1.	The Provincial Government of Antique, through the 20% IRA-CY 2020 (Econ. Dev’t. Sector) intends to apply the sum One Million Four Hundred Sixty Eight Thousand Fifty Nine Pesos &amp; 84/100 (Php 1, 468, 059.84) being the Approved Budget for the Contract (AB</t>
  </si>
  <si>
    <t xml:space="preserve"> LOT 35-PVDC-2020 Various Medical Supplies Line item:  MEDSURG_3186 1.) PPE COMPLETE SET COMPOSED OF THE FOLLOWING: 1.   CERTIFIED MEDICAL GRADE PROTECTIVE   COVERALL/ SUIT 2.   DISPOSABLE LABORATORY GOWN 3.   DISPOSABLE HEAD COVER 4.   DISPOSABLE SHOE COV</t>
  </si>
  <si>
    <t xml:space="preserve"> Republic of the Philippines Province of Siquijor Municipality of Siquijor Local Government Unit of the Municipality of Siquijor INVITATION TO BID FOR Construction of DCC and Provision of Facilities 1.	The Local Government Unit of the Municipality of Siqui</t>
  </si>
  <si>
    <t xml:space="preserve"> BARANGAY ENHANCEMENT PROGRAM - SPECIAL ACTION GROUP (2ND QUARTER)</t>
  </si>
  <si>
    <t xml:space="preserve"> Mainstreaming of DRR/CCA in Development Planning (CLUP) Phase III (subscription of an Off-the shelf household level Data Management System (Development for LGUs) and formulation of Socio -Ecological Profile for CLUP, Vision/CDP Validation and Goals/Strate</t>
  </si>
  <si>
    <t xml:space="preserve"> BARANGAY ENHANCEMENT PROGRAM - PEACE AND ORDER (2ND QUARTER)</t>
  </si>
  <si>
    <t xml:space="preserve"> Republic of the Philippines Province of Negros Occidental CITY OF TALISAY INVITATION TO BID  Construction of Multi-Purpose Hall for Casa Agrarian Cooperative located at Sitio Casa, Barangay Concepcion,  Talisay City  1.	The City of Talisay, through the 20</t>
  </si>
  <si>
    <t xml:space="preserve"> Republic of the Philippines Province of Siquijor Municipality of Siquijor Local Government Unit of the Municipality of Siquijor INVITATION TO BID FOR Construction of Day Care Center and Provision of its Facilities 1.	The Local Government Unit of the Munic</t>
  </si>
  <si>
    <t xml:space="preserve"> CONST. OF BOX CULVERT : LENGTH= 6.0m, Wouter=0.55m, Hinner=0.50m DRAINAGE CaNAL: L=30.60 Ln.m. W= 0.50m</t>
  </si>
  <si>
    <t xml:space="preserve"> INVITATION TO BID FOR THE PROCUREMENT OF TWO (2) UNITS REFRIGERATED TRUCK/REEFER VAN OF BFAR 6 Invitation to Bid No. 2020-017 The Bureau of Fisheries and Aquatic Resources 6, through the FY 2020 General Appropriations Act 11465 intends to apply the sum Fi</t>
  </si>
  <si>
    <t xml:space="preserve"> BARANGAY ENHANCEMENT PROGRAM - ARTS, CULTURE AND TOURISM (2ND QUARTER)</t>
  </si>
  <si>
    <t xml:space="preserve"> Invitation to Bid  For the Construction/Rehabilitation/Improvement of Multi-Purpose Hall at Brgy. Bakhaw, Mandurriao, Iloilo City 1.	The City of Iloilo, through the 20% Development Fund, CY2020 intends to apply the sum of One Million Three Hundred Thousan</t>
  </si>
  <si>
    <t xml:space="preserve"> Procurement of ICT Equipment and Supplies INVITATION TO BID (July 20, 2020) THE ILOILO SCIENCE AND TECHNOLOGY UNIVERSITY (ISAT U), Burgos Street,  La Paz, Iloilo City,  invites interested Suppliers/Bidders to apply for eligibility and to bid for the hereu</t>
  </si>
  <si>
    <t xml:space="preserve"> INVITATION TO BID FOR THE OPENING/REHABILITATION/IMPROVEMENT OF FARM-TO-MARKET ROAD WITH FLOOD CONTROL (GABIONS AND MATRESSES) AT BANNAWAG, AURORA, ISABELA 1.	The Local Government Unit of Aurora, through the 2016 Tobacco Excise Tax intends to apply the su</t>
  </si>
  <si>
    <t xml:space="preserve"> 5,000 heads Mallard Ducks Ready-to-Lay</t>
  </si>
  <si>
    <t xml:space="preserve"> Notes on the Invitation to Bid The Invitation to Bid provides information that enables potential Bidders to decide whether to participate in the procurement at hand. The Invitation to Bid shall be: (a) Advertised at least once in a newspaper of general na</t>
  </si>
  <si>
    <t xml:space="preserve"> Republic of the Philippines Province of Cagayan Municipality of Camalaniugan July 23, 2020 INVITATION TO BID  FOR THE FURNISHING &amp; DELIVERY OF ONE (1) UNIT CAMERA AND TWO (2) UNITS LAPTOP 1.	The Municipality of Camalaniugan, through the SPECIAL EDUCATION </t>
  </si>
  <si>
    <t xml:space="preserve"> Invitation to Bid  For the Construction of ICARE Center at Time Square Gaisano, Gaisano Time Square Center Compound, B. Aquino Ave. Mandurriao, Iloilo City 1.	The City of Iloilo, through the General Fund SB No. 3, CY2019 intends to apply the sum of Thirty</t>
  </si>
  <si>
    <t xml:space="preserve"> (1623 CU.M. AGGREGATES) FOR THE MAINTENANCE OF NRJ (TRENTO) KAPATUNGAN-PAG-ASA-TAPAZ, STA. JOSEFA ROAD AT TRENTO, AGUSAN DEL SUR</t>
  </si>
  <si>
    <t xml:space="preserve"> The Barangay Alabug, Tuao Cagayan through its SUPPLEMENTAL Fund intends to apply the sum of                      Php 55,000.00  being the Approved Budget for the Contract (ABC) to payments under the contract for  PURCHASED OF 1 UNIT MOTORCYCLE HONDA TMX 1</t>
  </si>
  <si>
    <t xml:space="preserve"> Complete Construction of (9.50 x 55.m) Four (4) Storey; Twenty (20) Classroom School Building with Micropile Foundation mostly built with concrete and masonry with PWD Ramp with handrails, Parapet wall on concrete gutter and complete with electrical works</t>
  </si>
  <si>
    <t xml:space="preserve"> 1.	The Provincial Government of Antique, through the Realignment SP Res. No. 241-2019(P2,000,000.00), 20% IRA-CY 2018(Social Development Sector) (P1,000,000.00) intends to apply the sum Two Million Nine Hundred Thirty Two Thousand One Hundred Forty Four P</t>
  </si>
  <si>
    <t xml:space="preserve"> Republic of the Philippines Department of Education Region V SCHOOLS DIVISION OFFICE OF CAMARINES SUR Office of the Bids and Awards Committee INVITATION TO BID FOR:   SUPPLY AND DELIVERY OF IT SUPPLIES &amp; EQUIPMENT AND OFFICE SUPPLIES FOR THE DIVISION OFFI</t>
  </si>
  <si>
    <t xml:space="preserve"> Republic of the Philippines Province of Cagayan Municipality of Camalaniugan July 23, 2020 INVITATION TO BID  FOR THE FURNISHING &amp; DELIVERY OF MATERIALS FOR THE REPAIR AND MAINTENANCE OF WATER SYSTEM @ JURISDICCION, JULIAN OLIVAS AND DACAL-LA FUGU 1.	The </t>
  </si>
  <si>
    <t xml:space="preserve"> 1 unit Construction of Local Bridge @ Barangay Switch</t>
  </si>
  <si>
    <t xml:space="preserve"> LOT NO.        PROPERTY LOCATION                                         CLOA NO.          AREA (HA.)      LOT NO 1                  BRGY. HINAGONOYAN, CATUBIG, N. SAMAR         O-CLOA-1634    12.6450            2436                     BRGY. ANONGO, CATU</t>
  </si>
  <si>
    <t xml:space="preserve"> Purchase of Supplies and Materials</t>
  </si>
  <si>
    <t xml:space="preserve"> Republic of the Philippines Provincial Government of Aurora Bids and Awards Committee (BAC) BAC Office, Provincial Capitol Building, Baler, Aurora 3200, Philippines Standard Form Number: SF---GOODS-05 Revised on: July 28, 2004 INVITATION TO BID The PROVIN</t>
  </si>
  <si>
    <t xml:space="preserve"> INVITATION TO BID FOR THE OPENING/REHABILITATION OF FARM-TO-MARKET ROAD WITH RC PIPES #24 (INCLUDES WINGWALL) AT MALASIN-BAGNOS, AURORA, ISABELA 1.	The Local Government Unit of Aurora, through the 2016 Tobacco Excise Tax intends to apply the sum of Seven </t>
  </si>
  <si>
    <t xml:space="preserve"> 1 unit Rehab &amp; improvement of existing mun. water system</t>
  </si>
  <si>
    <t xml:space="preserve"> Project: RIP-RAPPING AND SLOPE PROTECTION  Location: Brgy. Gulod, Laurel, Batangas ABC: PHP 799,993.35 Advertisement	July 23-30, 2020	 Submission of Letter of Intent	July 23-August 6, 2020	 Issuance of Bid Documents	July 23-August 6, 2020	 Deadline for Su</t>
  </si>
  <si>
    <t xml:space="preserve"> 1.	The Provincial Government of Antique, through the 20% IRA-CY 2020 (Econ. Dev’t. Sector) intends to apply the sum One Million Nine Hundred Fifty Five Thousand Nine Hundred Twelve Pesos &amp; 28/100 (Php 1, 955, 912.28) being the Approved Budget for the Cont</t>
  </si>
  <si>
    <t xml:space="preserve"> Qty.	Unit	Description 2 Unit Pumpboat 3 unit Engine(13HP) 5 bundle Net (Pukot): # 7 net 5 bundle Net (Pukot): #4 net 10 rolls Rope #10 5 rolls Rope # 20 10 rolls Nylon # 10 5 rolls Nylon # 12 1,200 pcs. Pataw 2x3 20 kls. Tingga #1 5pcs. Sikohan(Etahiay) 2</t>
  </si>
  <si>
    <t xml:space="preserve"> BARANGAY ENHANCEMENT PROGRAM - BARANGAY HALL (2ND QUARTER)</t>
  </si>
  <si>
    <t xml:space="preserve"> Republic of the Philippines Province of Iloilo MUNICIPALITY OF CARLES INVITATION TO BID 1.0 The Municipal Government of Carles, Province of Iloilo through its 20% DEVELOPMENT FUND 2020 intends to apply the sum of One Million Five Hundred Thousand Pesos On</t>
  </si>
  <si>
    <t xml:space="preserve"> please see attached file for details</t>
  </si>
  <si>
    <t xml:space="preserve"> Procurement of ICT Supplies INVITATION TO BID (July 20, 2020) THE ILOILO SCIENCE AND TECHNOLOGY UNIVERSITY (ISAT U), Burgos Street,  La Paz, Iloilo City,  invites interested Suppliers/Bidders to apply for eligibility and to bid for the hereunder project: </t>
  </si>
  <si>
    <t xml:space="preserve"> Purchase of Digital Duplicating Machine to be use for reproduction of modules for all students of San Lorenzo RUiz (Elementary and High School) Specifications: - High Speed digital master-making/fully automatic printing - Speed: 100 ppm Printing - Image Q</t>
  </si>
  <si>
    <t xml:space="preserve"> Mini Ambulance  Body Type: FB No. of cylinder: #3 Fuel: Gasoline Brand: Suzuki Net weight: 1050 Gross weight: 2100 Series: Carry</t>
  </si>
  <si>
    <t xml:space="preserve"> Specifications: 10 units DUPLICATING MACHINE</t>
  </si>
  <si>
    <t xml:space="preserve"> a.) Materials					 						 ITEM NO.	DESCRIPTION	UNIT	QUANTITY	UNIT COST	AMOUNT	 1	63mm HDPE Pipe (60m) SDR 11	roll	8	15,000.00	120,000.00	 2	63mm PE Compression Coupling	pcs	9	885.00	7,965.00	 Materials Cost	P 127,965.00	 						 b.) Labor (8 days)					 			</t>
  </si>
  <si>
    <t xml:space="preserve"> ITEM No.	ITEM AND DESCRIPTION/ SPECIFICATIONS/STOCK No.	QUANTITY	UNIT 1	FLASH DRIVE, 8GB, USB 2.0,  plug and play	9	piece 2	COMPUTER CONTINUOUS FORMS, 2 ply, 11" x 9-1/2", 1000 sets/box	1	box 4	 CARTOLINA, assorted color, 20s/pack	2	pack 5	CLIP, bulldog (</t>
  </si>
  <si>
    <t xml:space="preserve"> Specifications: 1,278 LPM Durian; 1,000 LPM Lanzones; 1,000 LPM Rambutan; 666 LPM Calamansi</t>
  </si>
  <si>
    <t xml:space="preserve"> Specifications: Engine: 187; Engine Type: In-Line 4; Engine Displacement: 2.5L; Horsepower: 187hp; Torque: 450Nm; Fuel Tank Capacity: 80L; Transmission: Automatic; Front/Rear Suspension: Independent Double Wishbone/Multi-Link Live Axle w/ Coil Springs; Wh</t>
  </si>
  <si>
    <t xml:space="preserve"> Specifications: 4,166 seedlings Molave; 4,166 seedlings Falcata; 4,166 seedlings Mahogany; 4,166 seedlings Narra</t>
  </si>
  <si>
    <t xml:space="preserve"> Procurement of Office and Janitorial Supplies INVITATION TO BID (July 20, 2020) THE ILOILO SCIENCE AND TECHNOLOGY UNIVERSITY (ISAT U), Burgos Street,  La Paz, Iloilo City,  invites interested Suppliers/Bidders to apply for eligibility and to bid for the h</t>
  </si>
  <si>
    <t xml:space="preserve"> Republic of the Philippines Province of Ilocos Norte MUNICIPALITY OF PIDDIG INVITATION TO BID  FOR  Concreting of Farm to Market Roads in various barangays 1.	The Municipality of Piddig through the RA 7171    intends to apply the sum of Seventeen Million </t>
  </si>
  <si>
    <t xml:space="preserve"> Specifications: 50 bxs. Paracetamol 500mg. tablet; 10 bxs. Omeprazole 40mg. capsule; 1000 bxs. Amlodipine 10mg. tablet 100’s; 1000 bxs. Losartan 50mg. tablet 100’s; 432 bots. Zinc Sulphate Syrup; 144 bots. Mefenamic 50mg./5ml, 60ml. suspension; 50 bxs. Hy</t>
  </si>
  <si>
    <t xml:space="preserve"> CLARK DEVELOPMENT CORPORATION CLARK FREEPORT ZONE NOTICE TO CONDUCT NEGOTIATED PROCUREMENT ELEVATOR AT CLARK MUSEUM (CIVIL WORKS) The Clark Development Corporation (CDC), through the CDC Corporate Budget for CY 2020, intends to apply the sum of Two Millio</t>
  </si>
  <si>
    <t xml:space="preserve"> REPAIR/MAINTENANCE OF SAN RAMON FLOOD CONTROL Contract Location:                   Manabo, Abra Brief Description:                    Repair/Maintenance of Flood Control using Gabions The DPWH-Abra District Engineering Office reserves the right to accept </t>
  </si>
  <si>
    <t xml:space="preserve"> BARANGAY MULTI PURPOSE CENTER CONSTRUCTION FOR SALAGUIAWAN AT SALAGUIAWAN , PATNONGON, ANTIQUE</t>
  </si>
  <si>
    <t xml:space="preserve"> Republic of the Philippines Province of Iloilo MUNICIPALITY OF CARLES INVITATION TO BID 1.0 The Municipal Government of Carles, Province of Iloilo through its 20% DEVELOPMENT FUND 2020 intends to apply the sum of Five Hundred Thousand Pesos Only (Php 500,</t>
  </si>
  <si>
    <t xml:space="preserve"> 1.	The Provincial Government of Antique, through the 20% IRA-CY 2020 (Social Development Sector) intends to apply the sum One Million Nine Hundred Fifty One Thousand Two Hundred Eighty Two Pesos &amp; 01/100 (Php 1, 951, 282.01) being the Approved Budget for </t>
  </si>
  <si>
    <t xml:space="preserve"> 1. Printer Ink (003) Blk	        60 btls 2. Printer Ink (003) Yellow	        37 btls 3. Printer Ink (003) Magenta	37 btls 4. Printer Ink (003) Cyan     	39 btls 5. Printer Ink (664) blk	        44 btls 6. Printer Ink (664) Yellow	        32 btls 7. Printe</t>
  </si>
  <si>
    <t xml:space="preserve"> Republic of the Philippines DEPARTMENT OF PUBLIC WORKS AND HIGHWAYS CAGAYAN 2ND DISTRICT ENGINEERING OFFICE Regional Office II Abulug, Cagayan July 23, 2020 INVITATION TO BID The Cagayan 2nd District Engineering Office, Abulug, Cagayan, through its Bids a</t>
  </si>
  <si>
    <t xml:space="preserve"> 1.	The Capiz Provincial Government, through the GOP–2020 intends to apply the total amount of One Million Eighty Thousand Nine Hundred Fifty-Six Pesos (Php,1,080,956.00) being the total aggregated Approved Budget for the Contract (ABC) to payments under t</t>
  </si>
  <si>
    <t xml:space="preserve"> INVITATION TO BID FOR SUPPLY AND INSTALLATION OF MEDICAL GAS PIPING WORKS IN CCH BUILDING 1. The CITY OF CABUYAO, through the General Fund of the 2020 Annual City Budget intends to apply the sum of Fourteen Million Fifteen Thousand Eight Hundred Forty- th</t>
  </si>
  <si>
    <t xml:space="preserve"> Republic of the Philippines Province of Iloilo Municipality of Carles BARANGAY ASLUMAN INVITATION TO BID 1.0 The Barangay Local Government of Asluman, Municipality of Carles, Province of Iloilo through its SUDSIDY-OTHERS FY Budget 2019 (Office of the Gove</t>
  </si>
  <si>
    <t xml:space="preserve"> BIDS AND AWARDS COMMITTEE – HEAD OFFICE INVITATION TO BID 1. The Bangko Sentral ng Pilipinas (BSP), through its Bids and Awards Committee – Head Office (BAC-HO), invites Bidders to apply for eligibility and to bid for the hereunder requirement: Descriptio</t>
  </si>
  <si>
    <t xml:space="preserve"> 1.	The Provincial Government of Antique, through the 20% IRA-CY 2020 (Social Development Sector) intends to apply the sum One Million Four Hundred Seventy Five Thousand Four Hundred Twenty Two Pesos &amp; 34/100 (Php 1, 475, 422.34) being the Approved Budget </t>
  </si>
  <si>
    <t xml:space="preserve"> Republic of the Philippines Province of Ilocos Norte MUNICIPALITY OF PIDDIG INVITATION TO BID  FOR  Construction of Irrigation Diversion Canal in Brgy. Abucay 1.	The Municipality of Piddig through the RA 7171 intends to apply the sum of Forty Eight Millio</t>
  </si>
  <si>
    <t xml:space="preserve"> SUPPLIES/DELIVERIES FOR THE PROCUREMENT OF VARIOUS SPARE PARTS FOR THE PREVENTIVE MAINTENANCE OF THE OFFICIAL VEHICLES OF DPWH-DIDEO, DPWH – COMPOUND, BRGY. CUARINTA, SAN JOSE, DINAGAT ISLANDS FOR THE 2ND AND 3RD QUARTER OF C.Y. 2020 1.	The Department of </t>
  </si>
  <si>
    <t xml:space="preserve"> CONSTRUCTION OF MADUNGO WAITING SHED, SAGADA FUND	 SOURCE: 20% PDF 2020 TYPES OF WORK TO BE DONE: Project billboard/ signboard/ occupational safety and health program/ structure excavation/ forms and falseworks/ reinforcing steel bars/ structural concrete</t>
  </si>
  <si>
    <t xml:space="preserve"> ITEM     DESCRIPTION                       QTY.            UNIT I.          MASONRY                             15                M</t>
  </si>
  <si>
    <t xml:space="preserve"> Republic of the Philippines Province of Oriental Mindoro MUNICIPALITY OF SAN TEODORO INVITATION TO BID FOR THE  EXPANSION OF LEVEL 3 WATER SYSTEM PHASE 12 No. 2020-12 July 22, 2020 1.The Municipality of San Teodoro intends to apply the sum of Seven Millio</t>
  </si>
  <si>
    <t xml:space="preserve"> INVITATION TO APPLY FOR ELIGIBILITY AND TO BID 	The local Government Unit of Can-avid, through is Bid and Awards Committee (BAC). Invites suppliers to apply for eligibility, to bid for the hereunder contract: Name of Contract:      CONCRETING OF MUNICIPAL</t>
  </si>
  <si>
    <t xml:space="preserve"> CONSTRUCTION OF BANAO BARANGAY FOOTPATH BRIDGE, NATONIN FUND SOURCE: 20% PDF 2020 TYPES OF WORK TO BE DONE: Project billboard/ occupational safety and health program/ site preparation and structure excavation/ reinforcing steel bar/ structural concrete/ g</t>
  </si>
  <si>
    <t xml:space="preserve"> 1.	The Capiz Provincial Government, through the GOP CY-2020 intends to apply the total amount of Sixteen Million Five Hundred Thousand Pesos (Php 16,500,000.00) being the Approved Budget for the Contract (ABC).  Bids received in excess of the ABC shall be</t>
  </si>
  <si>
    <t xml:space="preserve"> Section I. Invitation to Bid Republic of the Philippines Province of Romblon INVITATION TO BID FOR  Procurement of 1 unit Passenger Van Body Vehicle for use of Provincial Social Welfare and Development Office, Province of Romblon. July 23, 2020 1.	The Pro</t>
  </si>
  <si>
    <t xml:space="preserve"> REPAIR/ MAINTENANCE OF DRAINAGE ALONG NATIONAL ROADS Contract Location:                   a.) Abra-Ilocos Sur Road, K0388+350-K0388+364.50,                                                    Tangadan, San Quintin, Abra; b.) Abra-Ilocos Sur                </t>
  </si>
  <si>
    <t xml:space="preserve"> ITEM     DESCRIPTION                                  QTY.               UNIT I.          EMBANKMENT                                   30                 SQ.M</t>
  </si>
  <si>
    <t xml:space="preserve"> Republic of the Philippines PROVINCE OF ZAMBOANGA SIBUGAY Municipality of Buug BIDS AND AWARDS COMMITTEE Invitation to Bid for the Construction of Flood Control ITB No. 003-07-2020 1.	The Local Government Unit of Buug, Zamboanga Sibugay, through the Gener</t>
  </si>
  <si>
    <t xml:space="preserve"> CONSTRUCTION OF PAYAGEO PATHWAY, SAGADA FUND SOURCE: 20% PDF 2020 TYPES OF WORK TO BE DONE:  Project billboard/ signboard/ removal of structure and obstruction/ structure excavation (common soil)/ concrete pathway/ grouted riprap (class A)/ forms and fals</t>
  </si>
  <si>
    <t xml:space="preserve"> Republic of the Philippines Province of Leyte Municipality of Hilongos INVITATION TO RE-BID FOR THE PURCHASE OF 15 TELEVISION SETS AS PART OF THE E-LEARNING PROGRAM OF THE DISTRICT FOR THE 15 GRADE 1 CLASSES 1.  The Local Government Unit of Hilongos, thro</t>
  </si>
  <si>
    <t xml:space="preserve"> Concreting of Barangay Road 190.80 meter long with earth canal 80 meter long</t>
  </si>
  <si>
    <t xml:space="preserve"> CCTV and Paraphernalia</t>
  </si>
  <si>
    <t xml:space="preserve"> Republic of the Philippines Province of Leyte Municipality of Hilongos INVITATION TO RE-BID FOR THE PURCHASE OF 3 IN 1 PRINTER FOR THE EBEIS ROOM OF CONCEPCION CENTRAL SCHOOL 1.  The Local Government Unit of Hilongos, through SEF-CURRENT APPROPRIATION int</t>
  </si>
  <si>
    <t xml:space="preserve"> 1. Contract ID:	20ND0066 (Re-Ad)         Contract Name:	REPAIR/MAINTENANCE OF DPWH BLDG. MULTI-PURPOSE HALL BUTUAN CITY DISTRICT ENGINEERING OFFICE         Contract Location:	R. Palma Street , Butuan City         Brief Description:	Repair and Maintenance </t>
  </si>
  <si>
    <t xml:space="preserve"> REPAIR/REHABILITATION/IMPROVEMENT  OF FOOTBRIDGE, FOOTPATH &amp; BARANGAY HEALTH STATION; AND CONSTRUCTION OF KITCHEN SUB-PROJECTS: 1. CONSTRUCTION OF KIBUNGAN MPS KITCHEN - Php460,000.00 2. GROUND IMPROVEMENT OF TABLEO BARANGAY HEALTH STATION, BADEO - Php490</t>
  </si>
  <si>
    <t xml:space="preserve"> Supply of Crossover Utility Vehicle (CUV) - Size:  •	Seating Capacity – 8  •	Fuel – Gas - Engine:  •	Engine Type – 4 Cylinder  •	Engine Displacement (cc) – 2.0  •	Fuel Capacity (L) – 55 - Transmission:  •	Power Transmission – 5-Speed M/T  •	Front Brake/Re</t>
  </si>
  <si>
    <t xml:space="preserve"> Purchase of Various School Supplies such as Printer, Bond paper A4 size, ink black and colored: Lot 1 May Purchase of Various Office Supplies 2,000.00 Lot 2 June Purchase of Various Office Supplies 72,200.00 Lot 3 July Purchase of Various Office Supplies </t>
  </si>
  <si>
    <t xml:space="preserve"> 100(2)a Individual Removal of trees (Small 150-300mm dia.) 104(1)a Embankment (from borrow) 105(1) Subgrade Perparation (Common Material) 200 Aggregate Sub Base Course 300(1) Gravel Surface Course (Uncrushed) 311(1)a.2 PCCP (Plain)-Conventional Method, 20</t>
  </si>
  <si>
    <t xml:space="preserve"> Purchase of Professional Drone</t>
  </si>
  <si>
    <t xml:space="preserve"> Irrigation system construction materials and supply</t>
  </si>
  <si>
    <t xml:space="preserve"> Irrigation System</t>
  </si>
  <si>
    <t xml:space="preserve"> Republic of the Philippines DEPARTMENT OF PUBLIC WORKS AND HIGHWAYS CAGAYAN 2ND DISTRICT ENGINEERING OFFICE Regional Office II Abulug, Cagayan  							  INVITATION TO BID/REQUEST FOR EXPRESSION OF INTEREST (CONSULTING SERVICES) The Department of Public Wo</t>
  </si>
  <si>
    <t xml:space="preserve"> Republic of the Philippines Province of Leyte Municipality of Mahaplag BARANGAY MABUNGA Invitation to bid for the Procurement of Materials for the Construction of Filter Tank 1. The Barangay Mabunga of Mahaplag, Leyte, through the Financial Assistance int</t>
  </si>
  <si>
    <t xml:space="preserve"> CONTINUATION OF TAMBINGAN TRIBAL CENTER, SABANGAN FUND SOURCE: 20% PDF 2020 TYPES OF WORK TO BE DONE: Project billboard/ signboard/ occupational safety and health program/ structural concrete for footing tie beam, column, suspended slab, girder/ beam (cla</t>
  </si>
  <si>
    <t xml:space="preserve"> Republic of the Philippines Province of Leyte Municipality of Hilongos INVITATION TO BID FOR THE PROCUREMENT OF VENETIAN BLINDS 1.  The Local Government Unit of Hilongos, through GENERAL FUND-CURRENT APPROPRIATION intends to apply the sum THIRTY NINE THOU</t>
  </si>
  <si>
    <t xml:space="preserve"> Republic of the Philippines Province of Leyte Municipality of Mahaplag BARANGAY MABUNGA Invitation to bid for the Procurement of Materials for the Rehabilitation of Solar Drier 1. The Barangay Mabunga of Mahaplag, Leyte, through the Financial Assistance i</t>
  </si>
  <si>
    <t xml:space="preserve"> Republic of the Philippines Province of Leyte Municipality of Hilongos INVITATION TO BID FOR THE PURCHASE OF OFFICE SUPPLIES FOR THE 3RD QUARTER 1.  The Local Government Unit of Hilongos, through GENERAL FUND-CURRENT APPROPRIATION intends to apply the sum</t>
  </si>
  <si>
    <t xml:space="preserve"> Republic of the Philippines DEPARTMENT OF PUBLIC WORKS AND HIGHWAYS LAGUNA II DISTRICT ENGINEERING OFFICE REGIONAL OFFICE IV-A Brgy. Bambang, Los Baños, Laguna Invitation to Bid No. 2020 - 13 The Department of Public Works and Highways- Laguna II District</t>
  </si>
  <si>
    <t xml:space="preserve"> INVITATION TO APPLY FOR ELIGIBILITY AND TO BID 	The local Government Unit of Can-avid, through is Bid and Awards Committee (BAC). Invites suppliers to apply for eligibility, to bid for the hereunder contract: Name of Contract:      REHABILITATION/REPAIR O</t>
  </si>
  <si>
    <t xml:space="preserve"> 1.	The Provincial Government of Antique, through the 20% IRA-CY 2020 (Social Development Sector) intends to apply the sum One Million Four Hundred Thirty Five Thousand Eight Hundred Twenty Nine Pesos &amp; 49/100 (Php 1, 435, 829.49) being the Approved Budget</t>
  </si>
  <si>
    <t xml:space="preserve"> LOCATED AT BRGY. CENTRAL EAST NO. 2, BANGAR, LA UNION SOURCE OF FUND: FY 2017 AND PRIOR YEARS' 20% LOCAL DEVELOPMENT FUND &amp; 2020 20% LOCAL DEVELOPMENT FUND GENERAL DESCRIPTION: BUILDING INFRASTRUCTURES ISSUANCE OF BID DOCUMENTS: JULY 23, 2020 TO AUGUST 12</t>
  </si>
  <si>
    <t xml:space="preserve"> INVITATION TO BID FOR UPGRADING OF LOCAL ACCESS ROAD IN SALINUNGAN WEST  (INFRA 2020-15) 1.	The LOCAL GOVERNMENT UNIT OF SAN MATEO, ISABELA (LGU-SMI), through its Bids and Awards Committee  intends to apply the sum of TWO MILLION SEVEN HUNDRED SIXTY SEVEN</t>
  </si>
  <si>
    <t xml:space="preserve"> Department of Education Region VI-Western Visayas Division of Cadiz City  Mabini National High School Invitation to Bid for Various Repairs and Maintenance of the School’s Infrastructures 1.	The Mabini National High School, through the school’s MOOE 2020 </t>
  </si>
  <si>
    <t xml:space="preserve"> Republic of the Philippines												 City of San Carlos												 Negros Occidental												 												 			INVITATION TO BID							FOR SALE	 			PURCHASE REQUEST NO: 18-20-06-0788			P 1,122.00	 Sealed bids for quotation of prices will be received</t>
  </si>
  <si>
    <t xml:space="preserve"> REHABILITATION/ IMPROVEMENT OF LIWANG, LOSAD MULTIPURPOSE HALL, SABANGAN FUND SOURCE: 20% PDF 2020 TYPES OF WORK TO BE DONE: Project billboard/ signboard/ occupational safety and health program/ removal of structures and obstruction/ structure excavation </t>
  </si>
  <si>
    <t xml:space="preserve"> Republic of the Philippines Province of Ilocos Norte MUNICIPALITY OF DINGRAS INVITATION TO BID FOR THE PROCUREMENT OF CONSTRUCTION MATERIALS FOR VARIOUS INFRA PROJECTS OF THE MUNICIPALITY (PROJECT #3) 1.	The Local Government Unit of Dingras, through the 2</t>
  </si>
  <si>
    <t xml:space="preserve"> 2. Contract ID:	20ND0074         Contract Name:	Concreting of Brgy. Basag to Brgy. Camayahan FMR, Brgy. Basag and Brgy. Camayahan, Butuan City         Contract Location:	R. Palma Street , Butuan City         Brief Description:	Road Concreting PCCP - RCP  </t>
  </si>
  <si>
    <t xml:space="preserve"> Republic of the Philippines DEPARTMENT OF PUBLIC WORKS AND HIGHWAYS CAMARINES SUR 2ND DISTRICT ENGINEERING OFFICE Regional Office V Baras, Canaman, Camarines Sur INVITATION TO BID  FOR 20GFE0013 – SUPPLY OF FUEL, OIL AND LUBRICANT FOR VARIOUS DPWH EQUIPME</t>
  </si>
  <si>
    <t xml:space="preserve"> 1.	The Provincial Government of Antique, through the PDRRMF CY 2020 intends to apply the sum Two Million Nine Hundred Ten Thousand One Hundred Fifty Seven Pesos &amp; 16/100 (Php 2, 910, 157.16) being the Approved Budget for the Contract (ABC) to payments und</t>
  </si>
  <si>
    <t xml:space="preserve"> Republic of the Philippines DEPARTMENT OF PUBLIC WORKS AND HIGHWAYS CAMARINES SUR 2ND DISTRICT ENGINEERING OFFICE Regional Office V Baras, Canaman, Camarines Sur INVITATION TO BID  FOR 20GFE0014 – PURCHASE OF UNMANNED AERIAL VEHICLE/SYSTEM (UAV/UAS/RPA) –</t>
  </si>
  <si>
    <t xml:space="preserve"> Republic of the Philippines												 City of San Carlos												 Negros Occidental												 												 			INVITATION TO BID							FOR SALE	 			PURCHASE REQUEST NO: 31-20-07-0814			P 10,200.00	 Sealed bids for quotation of prices will be receive</t>
  </si>
  <si>
    <t xml:space="preserve"> 15-UNITS 4"X2"X6m Round Steel Tapered Lamp Post Hot Dipped Galvanize 10x10" base plate, 3/4x20" Anchor Bolt, Nuts and Washer 15-UNITS Cobra Type 220v Streetlight 40W 2 Bulb Cob Luminous Flux: 4000-4400 lm Materials: Aluminum Alloy Color: Black Color Tempe</t>
  </si>
  <si>
    <t xml:space="preserve"> Invitation to Bid  for Contract Reference No.  2020-007 Infra “IMPROVEMENT OF TAU DATA CENTER AND  CAMPUS NETWORK INFRASTRUCTURE” 1.	The TARLAC AGRICULTURAL UNIVERSITY, through the GAA for CY 2020 intends to apply the sum of FORTY SIX MILLION THREE HUNDRE</t>
  </si>
  <si>
    <t xml:space="preserve"> Item No.	Scope of Work	Quantity	Unit	Total Estimated Cost 1	2''x2''x8' Moro Lumber	8	Bundles	 2	1/4''x4'x8' Ordinary Plywood	2	Pcs	 3	# 4'' Common Wire Nails	2	Kls	 4	# 3'' Common Wire Nails	2	Kls	 5	# 2 1/2'' Common Wire Nails	1	Kls	 6	# 1'' Common Wire </t>
  </si>
  <si>
    <t xml:space="preserve"> Educational  Materials &amp; Supplies</t>
  </si>
  <si>
    <t xml:space="preserve"> EARTHWORKS 103(1)a Structure Excavation 104(1a) Embankment (from borrow) 105(1)a Subgrade Preparation (Common Material) PLAIN REINFORCED STRUCTURES 404(1)a Reinforcing Steel Bar (Grade 40) 405(1)a3 Structural Concrete (Class "A"-20.68MPa, 28days) DRAINAGE</t>
  </si>
  <si>
    <t xml:space="preserve"> 1. 35 Pairs – Safety Shoes Water-Resistant Performance Anti-Slip Resistant, Anti-puncture &amp; breathable, Lace up boots with Side-zips Upper Material: Genuine Cow Leather 1.4-1.6mm thickness &amp; 1200D nylon fabric Lining Material: Cotton Fabric Insole Materia</t>
  </si>
  <si>
    <t xml:space="preserve"> PROJECT TITLE &amp; LOCATION Repair &amp; Rehabilitation of Barangay Road with Drainage System at Dalapang-Stimson Abordo Road, Ozamiz City PROJECT DESCRIPTION Rehabilitation of 338 L.m. Dalapang Barangay Road Programmed Length: 197.00 m. Roadbed Width: 9.10 m.  </t>
  </si>
  <si>
    <t xml:space="preserve"> Structure Excavation (common soil); Reinforced Concrete (Class B); Cement Plaster Finish; Painting Works; CHB 4”/100mm; Fence; Project Billboard;  Construction Safety and Health Requirement; Equipment Requirement; welding machine; grinder/cutter; 18 w.d.</t>
  </si>
  <si>
    <t xml:space="preserve"> Please refer attached file.</t>
  </si>
  <si>
    <t xml:space="preserve"> Republic of the Philippines DEPARTMENT OF PUBLIC WORKS AND HIGHWAYS ILOILO CITY DISTRICT ENGINEERING OFFICE REGION VI Fort San Pedro, Iloilo City INVITATION TO BID FOR 20GGJ0055 - Supply and Delivery of Materials for the conduct of Monitoring and Evaluati</t>
  </si>
  <si>
    <t xml:space="preserve"> A)REQUEST FOR QUOTATION 1. 10 sets Brake Pad (Front) 2. 10 sets Brake Pad (Rear) 3. 10 pcs Air Filter 4. 10 sets Micro Filter 5. 10 pcs Fuel Filter 6. 10 pcs Drive Belt 7. 3 pcs Brake Master Cylinder Assembly 8. 3 sets Clutch Master Cylinder Assembly 9. 3</t>
  </si>
  <si>
    <t xml:space="preserve"> Republic of the Philippines DEPARTMENT OF PUBLIC WORKS AND HIGHWAYS ILOILO CITY DISTRICT ENGINEERING OFFICE REGION VI Fort San Pedro, Iloilo City INVITATION TO BID FOR 20GGJ0054 - Supply and Delivery of Materials for the conduct of Road Condition and Inve</t>
  </si>
  <si>
    <t xml:space="preserve"> PROJECT TITLE &amp; LOCATION Repair &amp; Rehabilitation of Barangay Dalapang Barangay Road with Drainage System at Pantaon-Dalapang Road, Ozamiz City PROJECT DESCRIPTION Rehabilitation of 235.00 L.m. Dalapang Barangay Road Programmed Length: 235.00 m. Roadbed Wi</t>
  </si>
  <si>
    <t xml:space="preserve"> Republic of the Philippines Province of Ilocos Norte MUNICIPALITY OF DINGRAS INVITATION TO BID FOR THE PROCUREMENT OF VARIOUS OFFICE AND JANITORIAL SUPPLIES 1.	The Local Government Unit of Dingras, through the Gen. Fund intends to apply the sum of One Mil</t>
  </si>
  <si>
    <t xml:space="preserve"> All items and descriptions are specified in the attached PR and RFQ, and posted in the associated component of ITB in the PhilGEPS Website.</t>
  </si>
  <si>
    <t xml:space="preserve"> 600	sets	Supply and Delivery of Six Hundred (600) sets galvanized metal layer cages with  		forty-eight (48) heads of pullets ready to lay in every set. 		To twenty (20) MIC Farmers Associations in the Municipality of Leyte subject to its terms 		 and con</t>
  </si>
  <si>
    <t xml:space="preserve"> Republic of the Philippines DEPARTMENT OF PUBLIC WORKS AND HIGHWAYS 		ILOILO CITY  DISTRICT ENGINEERING OFFICE  REGIONAL OFFICE VI       Fort San Pedro Road, Iloilo City        INVITATION TO BID   The Department of Public Works and Highways, Iloilo City D</t>
  </si>
  <si>
    <t xml:space="preserve"> INVITATION TO BID (Public Bidding) 	 The PHILIPPINE SCIENCE HIGH SCHOOL-MIMAROPA REGION CAMPUS (PSHS-MRC), through its Bids and Awards Committee (BAC), invites interested parties to apply for eligibility and to bid for the hereunder Design and Build Schem</t>
  </si>
  <si>
    <t xml:space="preserve"> Billboard; Structure Excavation; Structural Concrete; Manual Hauling; Equipment Requirement: Service Truck; 20 w.d</t>
  </si>
  <si>
    <t xml:space="preserve"> Republic of the Philippines DEPARTMENT OF PUBLIC WORKS AND HIGHWAYS ILOILO CITY DISTRICT ENGINEERING OFFICE REGION VI Fort San Pedro, Iloilo City INVITATION TO BID FOR 20GGJ0053 - Supply and Delivery of Various Spare Parts of Service Vehicles and Heavy Eq</t>
  </si>
  <si>
    <t xml:space="preserve"> TELECOMMUNICATIONS PROVIDER JANUARY								 FEBRUARY								 MARCH									 APRIL									 MAY									 JUNE									 JULY									 AUGUST									 SEPTEMBER								 OCTOBER								 NOVEMBER								 DECEMBER</t>
  </si>
  <si>
    <t xml:space="preserve"> 756	Bags	Hog grower Pellets (50 kilos) 1,680	Bags	Hog Gestating Mash (50 kilos) 720	Bags	Hog Lactating Mash (50 kilos) 180	Bags	Piglet Booster (24 kilos) 2,160	Bags	Pre Starter (25 kilos) TERMS &amp; CONDITIONS: 1. The Supplier has a capacity to deliver the r</t>
  </si>
  <si>
    <t xml:space="preserve"> Republic of the Philippines Province of Ilocos Norte MUNICIPALITY OF PIDDIG INVITATION TO BID FOR Purchase of Farm Inputs 1. The Municipality of Piddig, through the  RA 7171 intends to apply the sum Fifteen Million Pesos (PhP 15,000,000.00) being the Appr</t>
  </si>
  <si>
    <t xml:space="preserve"> The Local  Government   Unit  of General  Santos  City, through  the  GENERAL FUND CY 2020  intends  to apply  the sum of one million five hundred seventy five thousand and xx / 100 Pesos Only (1,575,000.00)   being  the Approved  Budget  for the Contract</t>
  </si>
  <si>
    <t xml:space="preserve"> INVITATION TO BID 1)	The DPWH- Davao City District Engineering Office through its Bids and Awards Committee (BAC), invites contractors to submit bids for the following contract; 1. Procurement ID /          Contract ID No.	:	20LB0191     Contract Name	:	R</t>
  </si>
  <si>
    <t xml:space="preserve"> Republic of the Philippines Municipality of Kalayaan Province of Palawan Bids and Awards Committee Section I. Invitation to Bid                                             	Republic of the Philippines                                             Municipali</t>
  </si>
  <si>
    <t xml:space="preserve"> Republic of the Philippines DEPARTMENT OF PUBLIC WORKS AND HIGHWAYS ILOILO CITY DISTRICT ENGINEERING OFFICE REGION VI Fort San Pedro, Iloilo City INVITATION TO BID FOR 20GGJ0056 - Supply and Delivery of Office Supplies for the Conduct of Inventory/Conditi</t>
  </si>
  <si>
    <t xml:space="preserve"> INVITATION TO BID FOR PURCHASE OF SCHOOL / CONVENTION BAGS (7,000 PCS.) FOR SCHOOLCHILDREN 1.	The Municipal Government of Sta. Maria through the Social Welfare Funds 2020 intends to apply the sum of One Million Six Hundred Thousand Pesos (₱1,600,000.00) b</t>
  </si>
  <si>
    <t xml:space="preserve"> SEE PBD</t>
  </si>
  <si>
    <t xml:space="preserve"> Republic of the Philippines Province of Biliran MUNICIPALITY OF CABUCGAYAN -6567- BIDS AND AWARDS COMMITTEE Invitation to Bid for the Rehabilitation/Improvement of Barangay Road in Brgy. Casiawan 1.	The LGU - Cabucgayan, through 2020 LGSF-AM intends to ap</t>
  </si>
  <si>
    <t xml:space="preserve"> LOCATED AT BRGY. CADAPLI, BANGAR, LA UNION SOURCE OF FUND: TRUST FUND - DENR GRANT GENERAL DESCRIPTION: BUILDING INFRASTRUCTURES ISSUANCE OF BID DOCUMENTS: JULY 23, 2020 TO AUGUST 12, 2020 (MONDAY TO THURSDAY 8AM TO 5PM) PRE-BID CONFERENCE: JULY 30, 2020 </t>
  </si>
  <si>
    <t xml:space="preserve"> Republic of the Philippines PROVINCE OF AGUSAN DEL SUR Bids and Awards Committee Gov. Democrito O. Plaza Government Center, Prosperidad Invitation to Bid for Acquisition/Development of Relocation Site 1.	The Provincial Government of Agusan del Sur through</t>
  </si>
  <si>
    <t xml:space="preserve"> REPAIR OF VARIOUS WAREHOUSES OF NFA ISABELA</t>
  </si>
  <si>
    <t xml:space="preserve"> Republic of the Philippines Province of Nueva Vizcaya Municipality of Solano -o0o- INVITATION TO BID FOR ABC for LOT 1 – Supply &amp; Delivery of materials for the Road Concreting	                   (Tire Path), Brgy. Bascaran, Solano, NV.			P117,734.00 ABC f</t>
  </si>
  <si>
    <t xml:space="preserve"> LOCATED AT BRGY. MARIA CRISTINA EAST, BANGAR, LA UNION SOURCE OF FUND: GENERAL FUND GENERAL DESCRIPTION: BUILDING INFRASTRUCTURES ISSUANCE OF BID DOCUMENTS: JULY 23, 2020 TO AUGUST 12, 2020 (MONDAY TO THURSDAY 8AM TO 5PM) PRE-BID CONFERENCE: JULY 30, 2020</t>
  </si>
  <si>
    <t xml:space="preserve"> Please see attache documents.</t>
  </si>
  <si>
    <t xml:space="preserve"> Republic of the Philippines PROVINCE OF AGUSAN DEL SUR Bids and Awards Committee Gov. Democrito O. Plaza Government Center, Prosperidad Invitation to Bid for Construction of Brgy. Resettlement Access Road 1.	The Provincial Government of Agusan del Sur thr</t>
  </si>
  <si>
    <t xml:space="preserve"> The Local Government Unit of General Santos City, through the TRUST FUND CY 2020 intends to apply the sum of one million and xx / 100 Pesos Only (1,000,000.00) being the Approved Budget for the Contract (ABC) to payments under the contract for 20CB-GSC-46</t>
  </si>
  <si>
    <t xml:space="preserve"> Invitation for Negotiated Procurement – Two Failed Public Bidding ITB No. 0320-074 1.	In view of the two (2) failed public biddings, the Municipality of Tuburan, Cebu through the Bids and Awards Committee invites interested bidder to participate in the ne</t>
  </si>
  <si>
    <t xml:space="preserve"> CTTMO 1 Lot Supply, Delivery and Installation for Bike Lane Signage's (See Attached Design) 350 units of ACP (Aluminum Composite Panel) Computer Cut High Grade Diamond Fluorescent Sticker, Thickness: 3.5mil - 0.0035 inches B.I. Pipe: Sched # 40, Thickness</t>
  </si>
  <si>
    <t xml:space="preserve"> The Local Government Unit of General Santos City, through the TRUST FUND CY 2020 intends to apply the sum of one million five hundred thousand and xx / 100 Pesos Only (1,500,000.00) being the Approved Budget for the Contract (ABC) to payments under the co</t>
  </si>
  <si>
    <t xml:space="preserve"> INVITATION TO BID FOR 1.	 The Department of Public Works and Highways Davao City District Engineering Office, through its Bids and Awards Committee (BAC) for Goods, invites suppliers to submit bids for the Contract: 1.	Contract ID No. 	: 20GLB0066   ►PR N</t>
  </si>
  <si>
    <t xml:space="preserve"> Republic of the Philippines Province of Nueva Vizcaya Municipality of Solano -o0o- INVITATION TO BID FOR Supply &amp; Delivery of materials for the Completion of One Classroom School Building at Brgy. Commonal, SNV.   (SOLANO 080-2020) 1.	The Local Government</t>
  </si>
  <si>
    <t xml:space="preserve"> Republic of the Philippines Province of Nueva Vizcaya Municipality of Solano -o0o- INVITATION TO BID FOR Supply &amp; Delivery of materials for the Construction of Three Classroom Building (Ladao E/S) Sitio Namugho, Brgy. Commonal, SNV.   (SOLANO 083-2020) 1.</t>
  </si>
  <si>
    <t xml:space="preserve"> Republic of the Philippines Province of Siquijor Municipality of Siquijor Local Government Unit of the Municipality of Siquijor INVITATION TO BID FOR Construction of Day Care Center and Provision of its Facilities @ Brgy. Cang-Inte, Siquijor, Siquijor 1.	</t>
  </si>
  <si>
    <t xml:space="preserve"> 240	Heads	GILT 		1. Grand Parent Stocks 		2. Parent Stocks 12	Heads	Boar 		1. Grand Parent Stocks 		2. Terminal lines 		3. A.I. Trained TERMS AND CONDITIONS: 1. The Supplier has a capacity to deliver the required Gilts and Boars needed by the project. 2. </t>
  </si>
  <si>
    <t xml:space="preserve"> 40	tubes	Adhesive Plaster Pre-Cut 100	packs	Boufant Cap (Dispo. Cap) 20	doz	Chromic 1-round 30	doz	Chromic 2-0, round 100	rlls	Absorbent Cotton,, 400gms 30	pcs	Digital Thermometer 200	bxs	Disposable Face Mask (earloop) , 3 ply 10	bxs	Disposable Needle G-2</t>
  </si>
  <si>
    <t xml:space="preserve"> 1.	The Municipal Government of Roxas, Isabela has received funding assistance from LGSF-Assistance to Municipalities (AM-2020) and it  intends to apply part or whole of the proceeds of this funds for payment under the contract for the project. . Bids rece</t>
  </si>
  <si>
    <t xml:space="preserve"> CENTRAL OFFICE BIDS AND AWARDS COMMITTEE (COBAC) INVITATION TO BID PROCUREMENT OF BUSINESS INTELLIGENCE PLATFORM SUBSCRIPTION COBAC IB NO. 004 (G) S. 2020  1.	The Department of the Interior and Local Government (DILG), through the General Appropriations A</t>
  </si>
  <si>
    <t xml:space="preserve"> Republic of the Philippines												 City of San Carlos												 Negros Occidental												 												 			INVITATION TO BID							FOR SALE	 			PURCHASE REQUEST NO: 221-20-06-0685			P 2,250.00	 Sealed bids for quotation of prices will be receive</t>
  </si>
  <si>
    <t xml:space="preserve"> 1.	The OFFICE OF CIVIL DEFENSE, through the OCD CY 2019 – Capital Outlay (Continuing Approprations), intends to apply the sum of Twelve Million, One Hundred Forty Six Thousand, Nine Hundred Sixty Seven and 54/100 Pesos (PHP12,146,967.54) being the Approve</t>
  </si>
  <si>
    <t xml:space="preserve"> Purchase of Computer</t>
  </si>
  <si>
    <t xml:space="preserve"> INVITATION TO BID FOR THE SUPPLY, DELIVERY AND COMMISSIONING OF INFANT INCUBATOR 1.  The Cagayan Valley Medical Center (CVMC), intends to apply the sum Two Million Eight Hundred Thousand Pesos (Php   2,800,000.00 ) being the Approved Budget for the Contra</t>
  </si>
  <si>
    <t xml:space="preserve"> 600               BAGS           Chicken Layer Grower Crumble (50 kilos) 600               BAGS           Chicken Pre-Layer Crumble (50 kilos) 3000               BAGS           Chicken Layer 1 Crumble (50 kilos Terms and Conditions: a. Feeds delivered sho</t>
  </si>
  <si>
    <t xml:space="preserve"> Republic of the Philippines Province of Siquijor Municipality of Maria INVITATION TO BID FOR Procurement of Various Supplies for Construction of Vermi-compost Facility – Maria, Siquijor / MAR-00037G-2020 1.	The LGU – Municipality of Maria, through the 20%</t>
  </si>
  <si>
    <t xml:space="preserve"> CITY VETERINARIAN'S OFFICE 1 Unit/s Fluorescence (FL) Inverter Microscope Please see attached file/document on associated components or BAC website www.davaocityportal.com (BAC posting) for the complete descriptions, terms of conditions and terms of refer</t>
  </si>
  <si>
    <t xml:space="preserve"> Republic of the Philippines DEPARTMENT OF PUBLIC WORKS AND HIGHWAYS ILOILO CITY DISTRICT ENGINEERING OFFICE REGION VI Fort San Pedro, Iloilo City INVITATION TO BID FOR 20GGJ0057 - Supply and Delivery of Office Supplies for the Conduct of Pavement Manageme</t>
  </si>
  <si>
    <t xml:space="preserve"> I. TILE WORKS II. SANITARY/ PLUMBING WORKS III. REPAIR/ MAINTENANCE OF AIR CONDITION UNIT IV. LABOR V. GENERAL REQUIREMENTS</t>
  </si>
  <si>
    <t xml:space="preserve"> Republic of the Philippines DEPARTMENT OF PUBLIC WORKS AND HIGHWAYS ILOILO CITY DISTRICT ENGINEERING OFFICE REGION VI Fort San Pedro, Iloilo City INVITATION TO BID FOR 20GGJ0052 - Supply and Delivery of Office Supplies (4th Quarter, CY 2020) for the use o</t>
  </si>
  <si>
    <t xml:space="preserve"> Billboard; Demolition &amp; Clearing of existing structures; Structure Excavation; Formworks &amp;  Falseworks; Structural Concrete; 100mm CHB load bearing; reinforce steel bars; structural Steel Roof Framing, Truss Flashing, Gutter &amp; other Accessories; Pre-paint</t>
  </si>
  <si>
    <t xml:space="preserve"> Republic of the Philippines Province of Siquijor Municipality of Maria INVITATION TO BID FOR Reposting Procurement of Dog Trap in Support to Dog Termination Program – Maria, Siquijor / MAR-00036G-2020 1.	The LGU – Municipality of Maria, through the Capita</t>
  </si>
  <si>
    <t xml:space="preserve"> 1.	The Local Government Unit of Tukuran, ZDS, through the Local Funds intends to apply the sum of Php 191,795.50 being the Approved Budget for the Contract (ABC) to payments under the contract PURCHASE OF MATERIALS FOR IMPROVEMENT OF LGU BEACH. Bids recei</t>
  </si>
  <si>
    <t xml:space="preserve"> LOCATED AT BRGY. RISSING, BANGAR, LA UNION SOURCE OF FUND: 2017 SEARCH FOR MODEL BARANGAY FUND GENERAL DESCRIPTION: SOLAR LIGHTS INSTALLATION ISSUANCE OF BID DOCUMENTS: JULY 23, 2020 TO AUGUST 12, 2020 (MONDAY TO THURSDAY 8AM TO 5PM) PRE-BID CONFERENCE: J</t>
  </si>
  <si>
    <t xml:space="preserve"> CITY HEALTH OFFICE 28 Unit/s Computer Desktop, Branded, Processor specification: Ninth (9th) Generation 17 Unit/s Notebook, Branded, Processor Specification: Eight (8th) Generation 23 Unit/s Printer, Color, Multi-function (Print/copy/scan) with Eco Integr</t>
  </si>
  <si>
    <t xml:space="preserve"> Republic of the Philippines													 City of San Carlos													 Negros Occidental													 													 			INVITATION TO BID							FOR SALE		 			PURCHASE REQUEST NO: 221-20-06-0692			P 2,250.00		 Sealed bids for quotation of prices will be r</t>
  </si>
  <si>
    <t xml:space="preserve"> LOCATED AT BRGY. CONSUEGRA, BANGAR, LA UNION SOURCE OF FUND: 20% LOCAL DEVELOPMENT FUND GENERAL DESCRIPTION: VARIOUS CONSTRUCTION WORKS ISSUANCE OF BID DOCUMENTS: JULY 23, 2020 TO AUGUST 12, 2020 (MONDAY TO THURSDAY 8AM TO 5PM) PRE-BID CONFERENCE: JULY 30</t>
  </si>
  <si>
    <t xml:space="preserve"> CITY MAYOR'S OFFICE 35 Unit/s Computer Desktop, Branded, Small Form Factor (SFF) or Mini PC, Dimensions: 3.94 x 13.3 x 12.13 in (WxDxH), Processor specification: Eight (8th) Generation or latest, Please see attached file/document on associated components </t>
  </si>
  <si>
    <t xml:space="preserve"> Republic of the Philippines												 City of San Carlos												 Negros Occidental												 												 			INVITATION TO BID							FOR SALE	 			PURCHASE REQUEST NO: 221-20-06-0694			P 2,250.00	 Sealed bids for quotation of prices will be receive</t>
  </si>
  <si>
    <t xml:space="preserve"> Republic of the Philippines CITY GOVERNMENT OF ANTIPOLO Antipolo City INVITATION TO BID  Tipping Services for the Disposal of Residuals to other authorized Sanitary Landfill (September 1 - December 31, 2020) The City Government of Antipolo, through the Ge</t>
  </si>
  <si>
    <t xml:space="preserve"> Supply, Delivery &amp; Installation of  Airconditioning Units at the Administration &amp; CAS Building-Cabarroguis Campus Please call Engr. Richard Pablo, end-user, at 0926-395-9865 for more information regarding the ITB.  Kindly see attached file. Thank you!</t>
  </si>
  <si>
    <t xml:space="preserve"> 500	vials	Ampicilin + Sulbactam 750mg 300	vials	Cefazolin Sodium 1g 1000	vials	Ceftriaxone 1g 1000	vials	Cefuroxime Sodium 750g 100	amps	Citicoline 1g/4ml 500	amps	Ketorolac Tromethamine 30mg/1ml 100	amps	Methylerfometrine Maleate 200mg/1ml 500	vials	Metr</t>
  </si>
  <si>
    <t xml:space="preserve"> SUPPLY AND DELIVERY OF LAPTOPS FOR DISTRIBUTION TO TEACHING AND TEACHING RELATED PERSONNEL OF ALL PUBLIC ELEMENTARY AND SECONDARY SCHOOLS IN MAKATI CITY -ORDER OF PAYMENT FOR BID DOCS WILL BE AVAILABLE AT GSD-HEAD OFFICE @ 10TH FLOOR MAKATI CITY HALL BLDG</t>
  </si>
  <si>
    <t xml:space="preserve"> Invitation to Bid for the supply, delivery &amp; installation of Furniture &amp; Fixture for use of the Batangas City Sport Center-Coliseum.</t>
  </si>
  <si>
    <t xml:space="preserve"> TRAFFIC APPREHENSION I-DIGITAL SERVER SYSTEM -ORDER OF PAYMENT FOR BID DOCS WILL BE AVAILABLE AT GSD-HEAD OFFICE @ 10TH FLOOR MAKATI CITY HALL BLDG. 2. LOOK FOR MR. REDEN VILLANUEVA. A COMPLETE SET OF BIDDING DOCUMENTS WILL BE AVAILABLE FROM DAY OF POSTIN</t>
  </si>
  <si>
    <t xml:space="preserve"> ITEM        DESCRIPTION                           QTY.        UNIT I.             MASONRY                 Length       40           M                                                Height        1.2         M</t>
  </si>
  <si>
    <t xml:space="preserve"> Republic of the Philippines												 City of San Carlos												 Negros Occidental												 												 			INVITATION TO BID							FOR SALE	 			PURCHASE REQUEST NO: 221-20-06-0711			P 2,250.00	 Sealed bids for quotation of prices will be receive</t>
  </si>
  <si>
    <t xml:space="preserve"> CITY MAYORS OFFICE 1 Unit Vehicle, brand new, Pick-Up, 4x2 LT MT (RT66), RZ4E-TC, Diesel Engine, Manual Transmission with Aircon, color: white Please see attached file/document on associated components or BAC website www.davaocityportal.com (BAC posting) </t>
  </si>
  <si>
    <t xml:space="preserve"> LOT 33-GAA-2020 SUPPLY &amp; DELIVERY OF CARDIAC CATHETERIZATION LABORATORY SUPPLIES</t>
  </si>
  <si>
    <t xml:space="preserve"> CITY MAYORS OFFICE 1 Lot Supply, deliver and installation of Testing and Server Infrastructure Please see attached file/document on associated components or BAC website www.davaocityportal.com (BAC posting) for the complete descriptions, terms of conditio</t>
  </si>
  <si>
    <t xml:space="preserve"> CITY MAYORS OFFICE 12 Units Motorcycle, brand new, 150cc, start option: kick &amp; electric, transmission type: manual, Please see attached file/document on associated components or BAC website www.davaocityportal.com (BAC posting) for the complete descriptio</t>
  </si>
  <si>
    <t xml:space="preserve"> The DPWH – Bulacan First District Engineering Office, through its Bids and Awards Committee (BAC), invites contractors to submit bids for the following Contract: Contract ID: 20CC0287 Contract Name: Construction/Rehabilitation of Water Supply/Rain Water C</t>
  </si>
  <si>
    <t xml:space="preserve"> Invitation for Negotiated Procurement – Two Failed Public Bidding ITB No. 0320-075 1.	In view of the two (2) failed public biddings, the Municipality of Tuburan, Cebu through the Bids and Awards Committee invites interested bidder to participate in the ne</t>
  </si>
  <si>
    <t xml:space="preserve"> Construction of concrete drainage canal Swan E/S</t>
  </si>
  <si>
    <t xml:space="preserve"> SUPPLY AND DELIVERY OF SOFTWARE LICENSES FOR SERVER (VXRIAL HYPER-CONVERGED INFRASTRUCTURE APPLIANCE MAINTENANCE AGREEMENT) -ORDER OF PAYMENT FOR BID DOCS WILL BE AVAILABLE AT GSD-HEAD OFFICE @ 10TH FLOOR MAKATI CITY HALL BLDG. 2. LOOK FOR MR. REDEN VILLA</t>
  </si>
  <si>
    <t xml:space="preserve"> CMO/PSSCC 1 Unit Brand New 4-wheeler Utility Vehicle / Passenger Van Please see attached file/document on associated components or BAC website www.davaocityportal.com (BAC posting) for the complete descriptions, terms of conditions and terms of references</t>
  </si>
  <si>
    <t xml:space="preserve"> Clearing &amp; Grubbing; Excavation; Structural Concrete; Reinforcing Steel Bar; Hauling; Project Billboard; Equipment Requirement: One Bagger Mixer; Concrete Vibrator; Water Truck; Dump Truck(3 cu.m.) Cargo Truck; Bar Cutter; Bar bender; 11 w.d.</t>
  </si>
  <si>
    <t xml:space="preserve"> Rehabilitation of Incident Command System Municipal Compound</t>
  </si>
  <si>
    <t xml:space="preserve"> SUPPLY AND DELIVERY OF MOBILE CLINIC WITH FULL MEDICAL AND SURGICAL AMENITIES -ORDER OF PAYMENT FOR BID DOCS WILL BE AVAILABLE AT GSD-HEAD OFFICE @ 10TH FLOOR MAKATI CITY HALL BLDG. 2. LOOK FOR MR. REDEN VILLANUEVA. A COMPLETE SET OF BIDDING DOCUMENTS WIL</t>
  </si>
  <si>
    <t xml:space="preserve"> Repair of Barangay Health Center Barangay San Antonio</t>
  </si>
  <si>
    <t xml:space="preserve"> SUPPLY AND DELIVERY OF ONE (1) LOT VARIOUS BRAND NEW HEAVY EQUIPMENT PROVINCIAL CAPITOL, SURIGAO CITY, SURIGAO DEL NORTE 1.	The Provincial Government of Surigao del Norte, through the General Fund – Supplemental Budget No. 1 CY 2020 (funded by DBP Loan Pr</t>
  </si>
  <si>
    <t xml:space="preserve"> Description	Unit	Quantity	Unit Price	Total Price Paper size: Paper size used on layout A4 Paper thickness(Basis weight): 70gsm (BP) Binding: Saddle stitch Cover: Foldcote No.12 (FC#12) (4color) with lamination (UV coating) Inside: 1 color/4color 	 2,434,3</t>
  </si>
  <si>
    <t xml:space="preserve"> INVITATION TO BID	 The National Maritime Polytechnic (NMP), through its Bids and Awards Committee (BAC), invites suppliers/manufacturers/distributors/contractors to bid for the following: PARTICULARS	Approved Budget for the Contract (ABC)	Amount of Biddin</t>
  </si>
  <si>
    <t xml:space="preserve"> Procurement of Medical supplies for COVID-19</t>
  </si>
  <si>
    <t xml:space="preserve"> TEN MONTHS PROVISION OF WATCHMAN SERVICES GOOD 1 PERSONNEL ON 12-HR PER DAY</t>
  </si>
  <si>
    <t xml:space="preserve"> Download attachment in the Associated Components. For further information, please refer to: Atty. VIRGILIO B. GALEON Head, BAC Secretariat BAC Office Government Center Bldg. A J. P. Rizal Blvd., Market Area  City of Santa Rosa, Laguna 4026 Telephone Numbe</t>
  </si>
  <si>
    <t xml:space="preserve"> Invitation to Bid for the rental of Jeepneys for relief operation as requested by the Batangas City Government</t>
  </si>
  <si>
    <t xml:space="preserve"> Civil works that include concrete works</t>
  </si>
  <si>
    <t xml:space="preserve"> Republic of the Philippines												 City of San Carlos												 Negros Occidental												 												 			INVITATION TO BID							FOR SALE	 			PURCHASE REQUEST NO: 221-20-06-0753			P 2,250.00	 Sealed bids for quotation of prices will be receive</t>
  </si>
  <si>
    <t xml:space="preserve"> Invitation to Bid for the subscription of Learning Management System as requested by Colegio ng Lungsod ng Batangas</t>
  </si>
  <si>
    <t xml:space="preserve"> Republic of the Philippines												 City of San Carlos												 Negros Occidental												 												 			INVITATION TO BID							FOR SALE	 			PURCHASE REQUEST NO: 221-20-06-0713			P 2,250.00	 Sealed bids for quotation of prices will be receive</t>
  </si>
  <si>
    <t xml:space="preserve"> CITY HEALTH OFFICE VARIOUS ELECTRICAL EQUIPMENT AND APPLIANCES - A Please see attached file/document on associated components or BAC website www.davaocityportal.com (BAC posting) for the complete descriptions, terms of conditions and terms of references. </t>
  </si>
  <si>
    <t xml:space="preserve"> SUPPLY AND DELIVERY OF JANITORIAL SUPPLIES FOR DAILY OPERATION OF THE CITY GOVERNMENT OF MAKATI -ORDER OF PAYMENT FOR BID DOCS WILL BE AVAILABLE AT GSD-HEAD OFFICE @ 10TH FLOOR MAKATI CITY HALL BLDG. 2. LOOK FOR MR. REDEN VILLANUEVA. A COMPLETE SET OF BID</t>
  </si>
  <si>
    <t xml:space="preserve"> CITY ECONOMIC ENTERPRISE VARIOUS JANITORIAL SUPPLIES AND MATERIALS Please see attached file/document on associated components or BAC website www.davaocityportal.com (BAC posting) for the complete descriptions, terms of conditions and terms of references. </t>
  </si>
  <si>
    <t xml:space="preserve"> SUPPLY AND DELIVERY OF OFFICE EQUIPMENT AND SUPPLIES FOR VARIOUS OFFICES AND DEPARTMENTS OF THE CITY GOVERNMENT OF MAKATI (2 LOTS) LOT 1:  SUPPLY AND DELIVERY OF VARIOUS OFFICE EQUIPMENT FOR UDD LOT 2:  SUPPLY AND DELIVERY OF OFFICE SUPPLIES FOR VARIOUS O</t>
  </si>
  <si>
    <t xml:space="preserve"> Republic of the Philippines Office of the Punong Barangay BIDS AND AWARDS COMMITTEE Mapanit, Burgos, Ilocos Sur INVITATION TO BID The Barangay Government of Mapanit, Burgos, Ilocos Sur, through its Bids and Awards Committee (BAC) invites bids for the here</t>
  </si>
  <si>
    <t xml:space="preserve"> Republic of the Philippines PROVINCE OF PAMPANGA City of San Fernando INVITATION TO BID NO. 2020-27 IG-BAC INVITATION TO BID FOR PURCHASE REQUEST NO. 20-0663 The Provincial Government of Pampanga (“Province”) intends to apply the following sums from the f</t>
  </si>
  <si>
    <t xml:space="preserve"> Republic of the Philippines Province of Siquijor Municipality of Maria INVITATION TO BID FOR Procurement of Supplies/Materials for Repair and Improvement of Marine Sanctuary Guardhouses – Maria, Siquijor / MAR-00038G-2020 1.	The LGU – Municipality of Mari</t>
  </si>
  <si>
    <t xml:space="preserve"> Republic of the Philippines Office of the Punong Barangay BIDS AND AWARDS COMMITTEE Macaoayan, Burgos, Ilocos Sur INVITATION TO BID The Barangay Government of Macaoayan, Burgos, Ilocos Sur, through its Bids and Awards Committee (BAC) invites bids for the </t>
  </si>
  <si>
    <t xml:space="preserve"> Invitation to Bid No. 20-07-07 CONSTRUCTION OF URGP BUILDING/ COMMERCIAL BUILDING  1.	The West Visayas State University, through Special Trust Fund 2020 and unexpended balances 2019 intends to apply the sum of Twenty Two Million Pesos (PhP22,000,000.00) O</t>
  </si>
  <si>
    <t xml:space="preserve"> CITY HEALTH OFFICE VARIOUS MEDICAL SUPPLIES AND MATERIALS Please see attached file/document on associated components or BAC website www.davaocityportal.com (BAC posting) for the complete descriptions, terms of conditions and terms of references. Bidding w</t>
  </si>
  <si>
    <t xml:space="preserve"> VARIOUS MEDICAL &amp; MEDICINE SUPPLIES</t>
  </si>
  <si>
    <t xml:space="preserve"> CITY ENGINEER'S OFFICE 1300 cubic meter Crushed Rock, 3/8 inch dia. 800 cubic meter Crushed Washed Sand (Aggregates for Bituminous Concrete Item 310) Please see attached file/document on associated components or BAC website www.davaocityportal.com (BAC po</t>
  </si>
  <si>
    <t xml:space="preserve"> Name/Location of the Project:           Construction of Buenavista Community Hospital – Phase IV &amp; V           Km. 12, Brgy. Manapa, Buenavista, Agusan del Norte Project Category:       Building Project Description:   Construction of Three (3) Storey Buil</t>
  </si>
  <si>
    <t xml:space="preserve"> Procurement of office supplies for modular Learning</t>
  </si>
  <si>
    <t xml:space="preserve"> Republic of the Philippines Province of Bukidnon Municipality of Cabanglasan -o0o- ___________________________________________________________________________ INVITATION TO BID FOR  Purchase of Materials for Construction of Multi-Purpose Building U Canang</t>
  </si>
  <si>
    <t xml:space="preserve"> Republic of the Philippines Province of Bukidnon Municipality of Cabanglasan -o0o- ___________________________________________________________________________ INVITATION TO BID FOR  Purchase of Supplies and Equipments for Cabanglasan District Office and S</t>
  </si>
  <si>
    <t xml:space="preserve"> Lot 31-GAA-2020 Supply and Delivery of Hemodialysis Bloodlines 3-in-1 with Drain Bag</t>
  </si>
  <si>
    <t xml:space="preserve"> Widening and Slope Protection of FMR at Sobol-Calepaan (Nayaknak), Asingan, Pangasinan Pre-Bid Conference – July 31, 2020 at 9:30 AM at the Conference Room of the Municipal Hall of Asingan Submission/Receipt/Opening of Bids :  August 12, 2020 at 9:30 AM a</t>
  </si>
  <si>
    <t xml:space="preserve"> LANAO DEL NORTE 1ST DISTRICT ENGINEERING OFFICE 0054 Seminary Drive, Del Carmen, Iligan City Tel./Fax No. (063) 225-4244   INVITATION TO BID The __DPWH-Lanao del Norte 1st District Engineering Office, through its Bids and Awards Committee (BAC), invites c</t>
  </si>
  <si>
    <t xml:space="preserve"> 1. The Local Government Unit of San Andres, Quezon through its LGSF Fund intends to apply the sum of Three Million Pesos (Php 3,000,000.00) only being the Approved Budget for the Contract (ABC) to payments under the contract for Construction of Multi-purp</t>
  </si>
  <si>
    <t xml:space="preserve"> Procurement of Semi-Expandable Equipment for Modular Learning</t>
  </si>
  <si>
    <t xml:space="preserve"> CITY GOVERNMENT OF DAVAO VARIOUS COMPUTER SUPPLIES AND MATERIALS Please see attached file/document on associated components or BAC website www.davaocityportal.com (BAC posting) for the complete descriptions, terms of conditions and terms of references. Bi</t>
  </si>
  <si>
    <t xml:space="preserve"> Construction/Beautification of Public Plaza and Auditorium, Asingan, Pangasinan Pre-Bid Conference – July 31, 2020 at 9:30 AM at the Conference Room of the Municipal Hall of Asingan Submission/Receipt/Opening of Bids :  August 12, 2020 at 9:30 AM at the C</t>
  </si>
  <si>
    <t xml:space="preserve"> Other General Requirements, Earthwork, Sub Base and Base Course, Surface Course and Slope Protection.</t>
  </si>
  <si>
    <t xml:space="preserve"> Republic of the Philippines Province of Nueva Vizcaya Municipality of Solano -o0o- INVITATION TO BID FOR Installation of Metal Cladding infront/leftside of  Solano Pasalubong Center, Brgy. Poblacion South, SNV.    (SOLANO  082-2020) 1.	The Local Governmen</t>
  </si>
  <si>
    <t xml:space="preserve"> CITY ENGINEER'S OFFICE VARIOUS OIL AND LUBRICANTS Please see attached file/document on associated components or BAC website www.davaocityportal.com (BAC posting) for the complete descriptions, terms of conditions and terms of references. Bidding will be c</t>
  </si>
  <si>
    <t xml:space="preserve"> CITY HEALTH OFFICE VARIOUS DRUGS AND MEDICINES Please see attached file/document on associated components or BAC website www.davaocityportal.com (BAC posting) for the complete descriptions, terms of conditions and terms of references. Bidding will be cond</t>
  </si>
  <si>
    <t xml:space="preserve"> Republic of the Philippines Office of the Punong Barangay BIDS AND AWARDS COMMITTEE Manaboc, Burgos, Ilocos Sur INVITATION TO BID The Barangay Government of Manaboc, Burgos, Ilocos Sur, through its Bids and Awards Committee (BAC) invites bids for the here</t>
  </si>
  <si>
    <t xml:space="preserve"> BIDS AND AWARDS COMMITTEE Office of the Chairman Request for Quotation Date:                                                                                 Quotation No.:        PR # 2020-07-330 __________________________________ ________________________</t>
  </si>
  <si>
    <t xml:space="preserve"> Billboard;Structure Excavation; RSB Works; Structural Concrete (Class A); Roofing ; Corrugated Metal Roofing; Manual Hauling; Construction Safety and Health; Equipment Requirement: bar cutter; cargo truck; concrete vibrator; cutting outfit; welding machin</t>
  </si>
  <si>
    <t xml:space="preserve"> Republic of  the Philippines Province of  Quezon Municipality of  Atimonan INVITATION TO BID 	The Barangay Kilait of Atimonan thru the Bids and Awards Committee (BAC) invites interested suppliers/contractors to apply for eligibility screening and if subse</t>
  </si>
  <si>
    <t xml:space="preserve"> Rehabilitation of Building II Phase I Municipal Compound at Brgy. Matacong</t>
  </si>
  <si>
    <t xml:space="preserve"> SUPPLY, DELIVERY AND INSTALLATION OF FURNITURE AND FIXTURES AT THE LAW DEPARTMENT, 18TH FLOOR MAKATI CITY HALL BUILDING I -ORDER OF PAYMENT FOR BID DOCS WILL BE AVAILABLE AT GSD-HEAD OFFICE @ 10TH FLOOR MAKATI CITY HALL BLDG. 2. LOOK FOR MR. REDEN VILLANU</t>
  </si>
  <si>
    <t xml:space="preserve"> 300	bot	Amoxicillin Drops 50	bot	AI Mg Syrup 15	box	AI Mg 200mg/100mg Tablet 120	box	Amoxicillin 250mg Capsule 150	box	Amoxicillin 500mg Capsule 230	bot	Amoxicillin 250mg/5ml syrup 400	bot	Ascorbic Acid Drops 150	box	Ascorbic Acid 500mg Tablet 500	bot	Asc</t>
  </si>
  <si>
    <t xml:space="preserve"> INVITATION TO BID 1.	The Provincial Government of Misamis Oriental, through the Bids and Awards Committee, hereby invites all interested Philgeps registered contractors to submit bids for infrastructure projects stated below. Project Title	Misamis Orienta</t>
  </si>
  <si>
    <t xml:space="preserve"> Name of  Project/Contract	:	COMPLETION OF STANDARD BIRTHING CLINIC Location				:	BIYOY, Kasibu, Nueva Vizcaya Brief Description			:	Completion of 12.om x 7.0m one – storey Building with furniture, facilities and utilities 1.	Structure excavation – column </t>
  </si>
  <si>
    <t xml:space="preserve"> CAGAYAN DE ORO CITY FIRST (1ST)  DISTRICT ENGINEERING OFFICE REGIONAL OFFICE 10 Bulua, Cagayan de Oro City REQUEST FOR QUOTATION July 15, 2020 __________________ _______________ __________________ __________________ Dear Sir/Madam,  We are respectfully in</t>
  </si>
  <si>
    <t xml:space="preserve"> The Barangay Government of Barangay Mambago-A, through the General Funds intends to apply the sum of Fifty Two Thousand Three Hundred Fifty Six Pesos and Eighty Two Centavos only (₱52,356.82) being the Approved Budget for the Contract (ABC) to payments un</t>
  </si>
  <si>
    <t xml:space="preserve"> Scope of Works: 100) Clearing/Grubbing 105) Subgrade Preparation 202) Aggregate Sub-Base Course 311) Portland Cement Concrete Pavement SPLI) Construction Safety and Health Program SPLII) Rental of Bunkhouse/Field Office SPLIII) Project Billboard SPLIV) Mo</t>
  </si>
  <si>
    <t xml:space="preserve"> CONSTRUCTION OF MULTI-PURPOSE BUILDING (Senior Citizen Building) at Parai, Dupax del Norte, Nueva Vizcaya. For further details, please see attached Program of Works in the associated components.</t>
  </si>
  <si>
    <t xml:space="preserve"> CONSTRUCTION OF 2-STOREY SCHOOL BUILDING GENERAL LUNA CENTRAL ELEM. SCHOOL, GENERAL LUNA, SURIGAO DEL NORTE Brief Description:	 The project will involve the Construction of 2-Storey School Building with the following scope of works: Facilities for Enginee</t>
  </si>
  <si>
    <t xml:space="preserve"> Name/Location of the Project:           Construction of  Poblacion  3  Human Resource and Manpower Dev’t Center Phase II           Brgy. Poblacion  3, Buenavista, Agusan del Norte Project Category:       Building Project Description:   Construction of Two</t>
  </si>
  <si>
    <t xml:space="preserve"> INVITATION TO BID FOR THE PURCHASE OF IT EQUIPMENT (LAPTOP, DESKTOP AND PRINTER) FOR VARIOUS SCHOOLS IN THE CITY SCHOOL DIVISION OF BACOOR - CSDO 1.	The City Government of Bacoor, Cavite, through the General Fund Year 2020 intends to apply the sum of ONE </t>
  </si>
  <si>
    <t xml:space="preserve"> Billboard; Safety &amp; Health; Clearing and Site preparation; Manual Hauling of Materials; Removal of Structure and obstruction; Structure Excavation; Reinforcing Steel Bar; Concrete Works; Fabrication and Installation of Suspension Bridge and Accessories; E</t>
  </si>
  <si>
    <t xml:space="preserve"> LOT 30-GAA -2020  SUPPLY AND DELIVERY OF ARTERIAL BLOOD GAS ANALYSIS REAGENT- MACHINE TIE UP</t>
  </si>
  <si>
    <t xml:space="preserve"> Republic of the Philippines Office of the Punong Barangay BIDS AND AWARDS COMMITTEE Poblacion Sur, Burgos, Ilocos Sur INVITATION TO BID The Barangay Government of Poblacion Sur, Burgos, Ilocos Sur, through its Bids and Awards Committee (BAC) invites bids </t>
  </si>
  <si>
    <t xml:space="preserve"> Description July 22, 2020 INVITATION TO BID Project No. 2020 – 07 -026 The Bauan Technical Integrated High School, through 2020 General Appropriations Act (GAA) under the FY 2020 General Appropriations Act intends to apply the sum of  One Million Two Hund</t>
  </si>
  <si>
    <t xml:space="preserve"> Procurement of Civil Works-Improvement of Sanitary Land fill and Construction of SLF Protection @ Tidang Village KNV</t>
  </si>
  <si>
    <t xml:space="preserve"> INVITATION TO BID Bid No. B-107-2020 1.	The Provincial Government of Negros Oriental, through Source of Fund: 1) 8918-080(19); 2) 8918-111(20); 3) 8918-004(19); 4)  8918-003(19); 5) 8918-079(19), intends to apply the sum of Six Million Nine Hundred Fifty-</t>
  </si>
  <si>
    <t xml:space="preserve"> Please see attached associated components &amp; download the complete bidding documents through the linkage below.</t>
  </si>
  <si>
    <t xml:space="preserve"> Republic of the Philippines Province of zamboanga Sibugay Municipality of Olutanga 7014 JULY 22, 2020 NOTICE TO THE PUBLIC INVITIATION TO APPLY FOR ELIGIBILITY AND TO BID All interested bidders are invited to Pre-qualify and participate in sealed bidding </t>
  </si>
  <si>
    <t xml:space="preserve"> Republic of the Philippines 	CITY OF SAN PEDRO Province of Laguna BIDS AND AWARDS COMMITTEE INVITATION TO APPLY FOR ELIGIBILITY AND TO BID PR NO. 0538 1.	The City Government of San Pedro, Laguna through the 2020 Budget Approved by the Sangguniang Panglung</t>
  </si>
  <si>
    <t xml:space="preserve"> Section I. Invitation to Bid Republic of the Philippines Province of Romblon INVITATION TO BID FOR  Installation of CCTV’s in Strategic Areas with Street Lights, Intermittent Sections, Poblacion, Odiongan, Romblon . July 23, 2020 1.	The Provincial Governm</t>
  </si>
  <si>
    <t xml:space="preserve"> LOT 32-GAA-2020 JANITORIAL SERVICES (SEPTEMBER-DECEMBER) REBIDDING</t>
  </si>
  <si>
    <t xml:space="preserve"> Conversion of Saver Headquarters to ISAT U GAD Office INVITATION TO BID (July 20, 2020) THE ILOILO SCIENCE AND TECHNOLOGY UNIVERSITY (ISAT U), Burgos Street,  La Paz, Iloilo City,  invites interested Suppliers/Bidders to apply for eligibility and to bid f</t>
  </si>
  <si>
    <t xml:space="preserve"> BIDDING : AUGUST 07, 2020 AT 2:00 p.m.                 AT THE BARANGAY HALL, BRGY. BAGONG POOK,                 LIAN, BATANGAS.</t>
  </si>
  <si>
    <t xml:space="preserve"> scope of works such as:  SECTION I:  100) Clearing/Grubbing  105) Subgrade Preparation  202) Aggregate Sub-Base Course 311) Portland Cement Concrete Pavement SLOPE PROTECTION:  A) Earth Works/Structure Excavation B) Grouted Riprap C) Reinforced Concrete W</t>
  </si>
  <si>
    <t xml:space="preserve"> Republic of the Philippines Province of Bukidnon Municipality of Cabanglasan -o0o- ___________________________________________________________________________ INVITATION TO BID FOR  Purchase of Diesel and Lubricants for Rehabilitation of Barangay Road, Hi</t>
  </si>
  <si>
    <t xml:space="preserve"> Republic of the Philippines DEPARTMENT OF PUBLIC WORKS AND HIGHWAYS SULTAN KUDARAT 1ST DISTRICT ENGINEERING OFFICE REGIONAL OFFICE XII Isulan, Sultan Kudarat                                                                        RE-INVITATION TO BID The D</t>
  </si>
  <si>
    <t xml:space="preserve"> Republic of the Philippines Province of Bukidnon Municipality of Cabanglasan -o0o- Invitation to Bid for  CONCRETING OF LOCAL ROADS, PALO POBLACION  PB-2020-28 1.	The Local Government Unit of Cabanglasan, through the Budget Approved by the Sanggunian 2020</t>
  </si>
  <si>
    <t xml:space="preserve"> Republic of the Philippines DEPARTMENT OF PUBLIC WORKS AND HIGHWAYS Region X OFFICE OF THE REGIONAL DIRECTOR Engineers’ Hill, Bulua, Cagayan de Oro City RE – INVITATION TO BID FOR CONTRACT ID NO. 20GSK00011– SUPPLY AND DELIVERY OF OFFICE SUPPLIES FOR USE </t>
  </si>
  <si>
    <t xml:space="preserve"> INVITATION TO BID FOR PROCUREMENT OF ONE (1) YEAR SECURITY SERVICES FOR TIEZA PRINCIPAL OFFICE Invitation to Bid No. 20-07-0002 In line with the government’s directive to ensure safety and to prevent the spread of COVID-19, please be informed that the bid</t>
  </si>
  <si>
    <t xml:space="preserve"> Supply and Delivery of 1 unit motocycle-for Barangay Acacia</t>
  </si>
  <si>
    <t xml:space="preserve"> Republic of the Philippines CITY OF SAN PEDRO Province of Laguna BIDS AND AWARDS COMMITTEE INVITATION TO BID The City Government of San Pedro Laguna through the 2020 CDC Budget Approved by Sangguniang Panglungsod intends to apply the sum of Php 1,079,118.</t>
  </si>
  <si>
    <t xml:space="preserve"> INVITATION TO BID SUPPLY AND DELIVERY OF MEDICAL PARAPHERNALIA / SUPPLIES FOR RESPONSE AMBULANCE OPERATION – 2ND BIDDING 1.	The Local Government Unit of Cabadbaran City through the 5% DRRM FUND intends to apply the sum of ONE HUNDRED THOUSAND THREE HUNDRE</t>
  </si>
  <si>
    <t xml:space="preserve"> INVITATION TO BID FOR THE Supply and Delivery of Third Quarter Office Supplies for CY 2020  The Department of Education, Regional Office V, through General Appropriations Act FY 2020 and 2020 Regional Office Funds, intends to apply the sum of One Million </t>
  </si>
  <si>
    <t xml:space="preserve"> Procurement of TABLET INVITATION TO BID (July 20, 2020) THE ILOILO SCIENCE AND TECHNOLOGY UNIVERSITY (ISAT U), Burgos Street,  La Paz, Iloilo City,  invites interested Suppliers/Bidders to apply for eligibility and to bid for the hereunder project: Name o</t>
  </si>
  <si>
    <t xml:space="preserve"> INVITATION TO BID         The Local Government Unit of Camaligan, Cam. Sur, through its Bids &amp; Awards Committee (BAC), invites contractors to submit bids for the following contract: Contract Name: REPAIR OF 3F EXECUTIVE BUILDING  Contract Location: Mun. H</t>
  </si>
  <si>
    <t xml:space="preserve"> Construction Project</t>
  </si>
  <si>
    <t xml:space="preserve"> Upgrading / Rehabilitation of Togong-Banice-Balogo Local Access Road Item No.	DESCRIPTION	Qty.	Unit 			 100	Clearing &amp; Grubbing	 5,460.00 	sq.m. 102	Surplus Common Excavation	 367.00 	cu.m 102 (3)	Surplus Rock Excavation	 200.00 	cu.m 104	Embankment	 720.</t>
  </si>
  <si>
    <t xml:space="preserve"> Republic of the Philippines Province of Bukidnon Municipality of Cabanglasan -o0o- ___________________________________________________________________________ INVITATION TO BID FOR  Purchase of Materials forInstallation of Integrated Type Solar Street Lig</t>
  </si>
  <si>
    <t xml:space="preserve"> Republic of the Philippines DEPARTMENT OF PUBLIC WORKS AND HIGHWAYS Region X OFFICE OF THE REGIONAL DIRECTOR Engineers’ Hill, Bulua, Cagayan de Oro City INVITATION TO BID FOR CONTRACT ID NO. 20GSK00014 – SUPPLY AND DELIVERY OF MFC, NETWORK VOLUME COLOR LA</t>
  </si>
  <si>
    <t xml:space="preserve"> Republic of the Philippines Province of Bukidnon Municipality of Cabanglasan -o0o- ___________________________________________________________________________ INVITATION TO BID FOR  Purchase of Materials for Pasalubong Center lot 2 PB-2020-23 1.	The Local</t>
  </si>
  <si>
    <t xml:space="preserve"> 426	cu.m.	Common Borrow Materials (delivered to site)			 426	cu.m.	Aggregate Sub-Base Course Materials (delivered to site)			 426	cu.m.	Aggregate Base Course Materials (delivered to site)			 1624	cu.m.	Rock Boulders (class 2 &amp; 3 rocks) (delivered to site)</t>
  </si>
  <si>
    <t xml:space="preserve"> Republic of the Philippines Province of Bukidnon Municipality of Cabanglasan -o0o- ___________________________________________________________________________ INVITATION TO BID FOR  Purchase of Materials for Rehabilitation of Road (Mainaga- Sumbang Raod, </t>
  </si>
  <si>
    <t xml:space="preserve"> INVITATION TO BID FOR PROCUREMENT OF ONE (1) YEAR JANITORIAL SERVICES FOR TIEZA PRICIPAL OFFICE AND LIGHTS AND SOUND MUSEUM Invitation to Bid No. 20-07-0001 In line with the government’s directive to ensure safety and to prevent the spread of COVID-19, pl</t>
  </si>
  <si>
    <t xml:space="preserve"> Republic of the Philippines Province of Bukidnon Municipality of Cabanglasan -o0o- ___________________________________________________________________________ INVITATION TO BID FOR  Purchase of Materials for Maintenance of Roads and Bridges at Cabanglasan</t>
  </si>
  <si>
    <t xml:space="preserve"> Republic of the Philippines DEPARTMENT OF PUBLIC WORKS AND HIGHWAYS Region X OFFICE OF THE REGIONAL DIRECTOR Engineers’ Hill, Bulua, Cagayan de Oro City RE – INVITATION TO BID FOR CONTRACT ID NO. 20GSK00013– SUPPLY &amp; DELIVERY OF DESKTOP COMPUTER &amp; LASER P</t>
  </si>
  <si>
    <t xml:space="preserve"> Page 1 of 2 Invitation to Bid 20GFC0032-33 Republic of the Philippines DEPARTMENT OF PUBLIC WORKS AND HIGHWAYS CAMARINES NORTE DISTRICT ENGINEERING OFFICE REGIONAL OFFICE V Daet, Camarines Norte INVITATION TO BID The Department of Public Works and Highway</t>
  </si>
  <si>
    <t xml:space="preserve"> Republic of the Philippines Province of Iloilo Municipality of Carles BARANGAY DAYHAGAN INVITATION TO BID 1.0 The Barangay Local Government of Dayhagan, Municipality of Carles, Province of Iloilo through its 20% Development Fund 2019 intends to apply the </t>
  </si>
  <si>
    <t xml:space="preserve"> INVITATION TO BID (National Competitive Bidding) The BFAR XIII, through its Bids and Awards Committee (BAC), invites eligible suppliers to bid for the hereunder contracts: Project Title: Procurement of 2 Units Refrigerated Van Approved Budget of the Contr</t>
  </si>
  <si>
    <t xml:space="preserve"> Please see attached files for reference. File names: 1. ITB - Corporate Giveaways 2. Bid Docs- Corporate Giveaways ***nothing follows***</t>
  </si>
  <si>
    <t xml:space="preserve"> Food Function Hall Room Accomodation</t>
  </si>
  <si>
    <t xml:space="preserve"> INVITATION TO BID  Public Bidding  CONTRACT FOR THE SUPPLY AND DELIVERY OF   VARIOUS FARM MACHINERIES AND EQUIPMENT CY 2020 The DAR Southern Leyte, Disposal Committee, through its Bids and Awards Committee (BAC) invites interested bidders to submit sealed</t>
  </si>
  <si>
    <t xml:space="preserve"> DESCRIPTION LOCAL GOVERNMENT UNIT - MUNICIPALITY OF BACOLOR INVITATION TO APPLY FOR ELIGIBILITY AND TO BID The Local Government Unit - Municipality of Bacolor, Bacolor, Pampanga, through the Bids and Award Committee (BAC), invites contractors to apply for</t>
  </si>
  <si>
    <t xml:space="preserve"> Procurement of Twenty Six (26) items of Medical Books</t>
  </si>
  <si>
    <t xml:space="preserve"> July 23, 2020                                                                    INVITATION TO BID 	The Sangguniang Barangay of BALOGO, EAST DISTRICT, SORSOGON CITY, through its Bids and Awards Committee(BAC), invites Suppliers to apply for eligibility an</t>
  </si>
  <si>
    <t xml:space="preserve"> Invitation to Bid for the Repair/Rehabilitation of Staging Tank and Drilling of one (1) 150mmØ Production Well at PhilRice Batac under PRRI-PB-2020-037 1.	The Philippine Rice Research Institute, Batac Branch Station, through the Corporate Fund Budget fund</t>
  </si>
  <si>
    <t xml:space="preserve"> Contract ID: 20PK0062 Contract Name: Local Program: National Roads and Bridges – National Roads Construction/Repair/Rehabilitation/Improvement of Various Infrastructure Including Local Projects – Kalinga-Abra Road, K0 499+315 to K0 499 515 Contract Locati</t>
  </si>
  <si>
    <t xml:space="preserve"> Procurement ID/Contract ID:	20GGD0003 Contract Name:	PROCUREMENT AND DELIVERY OF COMPUTERS AND ACCESSORIES TO BE USED IN THE CONSTRUCTION, FINANCE, MAINTENANCE AND QUALITY ASSURANCE SECTION IN CONNECTION FOR THE CONDUCT OF FEASIBILITY STUDY/ PRE-FEASIBILI</t>
  </si>
  <si>
    <t xml:space="preserve"> INVITATION TO BID (National Competitive Bidding) The BFAR XIII, through its Bids and Awards Committee (BAC), invites eligible suppliers to bid for the hereunder contracts: Project Title: Procurement of Post-Harvest Equipment and Processing Utensils and Su</t>
  </si>
  <si>
    <t xml:space="preserve"> SUPPLY OF LABOR AND MATERIALS FOR THE ARCHITECTURAL AND MECHANICAL WORKS AT ATD LABORATORY, TDD and OED OFFICES</t>
  </si>
  <si>
    <t xml:space="preserve"> The Central Philippines State University intends to apply the sum of Two Million Three Hundred Twenty Three Thousand Two Hundred Pesos only (PhP2,323,200.00) being the Approved Budget for the Contract (ABC) to payments under the contract for the 2019 Year</t>
  </si>
  <si>
    <t xml:space="preserve"> INVITATION TO BID (National Competitive Bidding) The BFAR XIII, through its Bids and Awards Committee (BAC), invites eligible suppliers to bid for the hereunder contracts: Project Title: Procurement of Supply and Delivery of Feeds, Fertilizers and Neutral</t>
  </si>
  <si>
    <t xml:space="preserve"> Republic of the Philippines DEPARTMENT OF PUBLIC WORKS AND HIGHWAYS Region X OFFICE OF THE REGIONAL DIRECTOR Engineers’ Hill, Bulua, Cagayan de Oro City INVITATION TO BID FOR CONTRACT ID NO. 20GSK00016 – SUPPLY AND DELIVERY OF SANITARY SUPPLIES FOR THE JA</t>
  </si>
  <si>
    <t xml:space="preserve"> INVITATION TO BID (National Competitive Bidding) The BFAR XIII, through its Bids and Awards Committee (BAC), invites eligible suppliers to bid for the hereunder contracts: Project Title: Re-bidding of Procurement of Fuel and Lubricants’ Fleet Card for Off</t>
  </si>
  <si>
    <t xml:space="preserve"> National Power Corporation INVITATION TO BID PUBLIC BIDDING 2020-0206 1.	The NATIONAL POWER CORPORATION (NPC), through       its        approved       Corporate Budget of CY 2020 intends to apply   the   sum   of (Please see schedule below) being the Appr</t>
  </si>
  <si>
    <t xml:space="preserve"> The Central Philippines State University intends to apply the sum of One Million One Hundred Thousand Pesos only (PhP1,100,000.00) being the Approved Budget for the Contract (ABC) to payments under the contract for the Supply and Delivery of Office Equipm</t>
  </si>
  <si>
    <t xml:space="preserve"> Contract ID: 20PK0061 Contract Name: Local Program: National Roads and Bridges – National Roads Construction/Repair/Rehabilitation/Improvement of Various Infrastructure Including Local Projects – Kalinga-Abra Road, K0 495+455 to K0 495+675 Contract Locati</t>
  </si>
  <si>
    <t xml:space="preserve"> Contract ID: 20PK0060 Contract Name: Local Program: National Roads and Bridges – National Roads Construction/Repair/Rehabilitation/Improvement of Various Infrastructure Including Local Projects – Kalinga-Abra Road, K0 470+890.00 to K0 471+(-005) Contract </t>
  </si>
  <si>
    <t xml:space="preserve"> Supply of Materials of Road Maintenance</t>
  </si>
  <si>
    <t xml:space="preserve"> Department of Education Region VI-Western Visayas Division of Cadiz City Alimatoc Elementary School INVITATION TO BID FOR PROCUREMENT OF 2 SETS of 3 in 1 PRINTER FOR 2020 1. The Alimatoc Elementary School of Cadiz City, through the Schools MOOE Fund CY 20</t>
  </si>
  <si>
    <t xml:space="preserve"> 1.	The Isabela State University, intends to apply the sum of Six Million Seven Hundred Fifty Five Thousand Pesos (Php6,755,000.00) corresponding to each lot/item, being the Approved Budget for the Contract (ABC) to payments under the contract for each lot</t>
  </si>
  <si>
    <t xml:space="preserve"> Request for Quotation RFQ No.		SVP-038-2020 MR No.		11836 Requisition No. 	TSE-2020-055 Posting Date:         	July 23, 2020 Deadline for Submission:		July 29, 2020 at 9:00 AM Opening Date:	July 29, 2020, 2020 at 10:00 AM TO:	Name of Supplier:____________</t>
  </si>
  <si>
    <t xml:space="preserve"> Bags	Portland Cement	371 M³	Sand S1	21 M³	Gravel	40 Bdft	2x8x12 Coco Lumber (20 pcs.)	320 Kls.	CWN (assorted length)	3 Pcs.	16mmØ RSB	13 Pcs. 	10mmØ RSB	6</t>
  </si>
  <si>
    <t xml:space="preserve"> INVITATION TO BID PROCUREMENT OF DAM INFORMATION MANAGEMENT SYSTEM INCLUDING SUPPLY, DELIVERY, INSTALLATION, TESTING AND COMMISSIONING OF EQUIPMENT ITB NO. BS-001-2020-R 1.	The National Irrigation Administration (NIA), through the Corporate Operating Budg</t>
  </si>
  <si>
    <t xml:space="preserve"> Department of Education Region VI-Western Visayas Cadiz City Alimatoc Elementary School Invitation to BID for the Procurement of Improvement of Kindergarten Comfortroom 1. The Alimatoc Elementary School, through the School’s MOOE 2020 intends to apply the</t>
  </si>
  <si>
    <t xml:space="preserve"> Republic of the Philippines Province of Cagayan Municipality of Sta. Teresita BARANGAY MASI INVITATION TO BID FOR THE SUPPLY OF LABOR AND MATERIALS FOR THE AUGMENTATION OF DRAINAGE CANAL ALONG ZONE 7, MASI, STA. TERESITA, CAGAYAN UNDER ITB No. BM002 – 202</t>
  </si>
  <si>
    <t xml:space="preserve"> The Civil Aviation Authority of the Philippines, through the Funds from DOTr Downloaded Projects intends to apply the sum of SEVEN MILLION EIGHT HUNDRED SEVENTY-ONE THOUSAND SIX HUNDRED SIXTY-NINE PESOS 6 3/1 00 (Php 7 ,8 71 ,6 69 .6 3) being the Approved</t>
  </si>
  <si>
    <t xml:space="preserve"> Production of Fifteen (15) Video Episodes for TuklaSiyensya (nuLab STEM Modules) Kindly see attached link for the bidding documents: https://drive.google.com/file/d/1tiPgxXYqh94JgeM8zDJ6HV5DzfTYaV20/view?usp=drivesdk --------------------------------------</t>
  </si>
  <si>
    <t xml:space="preserve"> PROJECT NAME: EXTENSION OF DRRM OFFICE (PHASE 4) PROJECT LOCATION:  Loo, Buguias, Benguet DURATION:  153 CD (Including mobilization &amp; curing) PROJECT Cost:  PHP 2,000,000.00 SOURCE OF FUND: 70% DRRMF CY 2020 ITEM NO.	DESCRIPTION							 QTY  	   	UNIT 902 </t>
  </si>
  <si>
    <t xml:space="preserve"> Republic of the Philippines DEPARTMENT OF PUBLIC WORKS AND HIGHWAYS CAMARINES NORTE  DISTRICT ENGINEERING OFFICE REGIONAL OFFICE V Daet, Camarines Norte INVITATION TO BID (Re-Advertisement) The Department of Public Works and Highways, Camarines Norte Dist</t>
  </si>
  <si>
    <t xml:space="preserve"> Completion of Other Building</t>
  </si>
  <si>
    <t xml:space="preserve"> 1.	The MUNICIPAL GOVERNMENT OF PALIMBANG through an appropriation from 20% Development Fund FY 2020 invites prospective and interested bidders for the project, to wit: 	 SUPPLY AND DELIVERY OF CONSTRUCTION MATERIALS FOR MAINTENANCE OF CHILDREN’S PARK, MUN</t>
  </si>
  <si>
    <t xml:space="preserve"> Republic of the Philippines DEPARTMENT OF PUBLIC WORKS AND HIGHWAYS BATANGAS III DISTRICT ENGINEERING OFFICE REGIONAL OFFICE IV-A J. Gonzales St., Barangay 4, Tanauan City REQUEST FOR EXPRESSION OF INTEREST (CONSL-2020-04) for the 20CSDD04 - Consultancy S</t>
  </si>
  <si>
    <t xml:space="preserve"> Asphalt Overlay</t>
  </si>
  <si>
    <t xml:space="preserve"> Republic of the Philippines PROVINCE OF AGUSAN DEL SUR Municipality of Loreto Invitation to Bid for  CONSTRUCTION OF KASAPA BRIDGE 1.	The Municipality of Loreto, through the TRUST FUND intends to apply the sum of SIX MILLION FOUR HUNDRED SIXTY ONE THOUSAN</t>
  </si>
  <si>
    <t xml:space="preserve"> Supply of Materials for Road Maintenance</t>
  </si>
  <si>
    <t xml:space="preserve"> Republic of the Philippines PROVINCE OF AGUSAN DEL SUR Municipality of Loreto INVITATION TO BID FOR VARIOUS CONSTRUCTION MATERIALS FOR MENRO SOLID WASTE SEGREGATION 1.	The Municipality of Loreto, through the 20% MDF intends to apply the sum of FOUR HUNDRE</t>
  </si>
  <si>
    <t xml:space="preserve"> Republic of the Philippines DEPARTMENT OF PUBLIC WORKS AND HIGHWAYS CAMARINES SUR 2ND DISTRICT ENGINEERING OFFICE Regional Office V Baras, Canaman, Camarines Sur REQUEST FOR EXPRESSION OF INTEREST (REOI) FOR 20CSFE02 - Consulting Services for the Parcella</t>
  </si>
  <si>
    <t xml:space="preserve"> Republic of the Philippines DEPARTMENT OF PUBLIC WORKS AND HIGHWAYS BATANGAS III DISTRICT ENGINEERING OFFICE REGIONAL OFFICE IV-A J. Gonzales St., Barangay 4, Tanauan City REQUEST FOR EXPRESSION OF INTEREST (CONSL-2020-03) for the 20CSDD03 - Consultancy S</t>
  </si>
  <si>
    <t xml:space="preserve"> Construction of Bank Protection at Abowok, Junction, Pinukpuk</t>
  </si>
  <si>
    <t xml:space="preserve"> INVITATION TO BID 1.	The Province of Cebu through the 2020 General Fund, intends to apply the sum of FORTY-EIGHT MILLION PESOS AND 00/100 (Php48,000,000.00) being the Approved Budget for the Contract (ABC) to payments under the contract for the CONCRETING</t>
  </si>
  <si>
    <t xml:space="preserve"> REQUEST FOR EXPRESSION OF INTEREST (REI) FOR THE CONSULTANCY SERVICES FOR THE GEOTECHNICAL AND GEOLOGICAL SURVEY (SOIL BORING EXPLORATION) OF VARIOUS BRIDGES IN REGION I 1.	The Department of Public Works and Highways, Regional Office I, through the SR2020</t>
  </si>
  <si>
    <t xml:space="preserve"> Republic of the Philippines PHILIPPINE NORMAL UNIVERSITY National Center for Teacher Education North Luzon Invitation to Bid for the Construction of Two-Storey Classroom Building Phase II 1.	The Philippine Normal University North Luzon, through the Genera</t>
  </si>
  <si>
    <t xml:space="preserve"> REQUEST FOR EXPRESSION OF INTEREST (REI) FOR THE CONSULTANCY SERVICES FOR THE GEOTECHNICAL AND GEOLOGICAL SURVEY (SOIL BORING EXPLORATION) OF VARIOUS BRIDGES IN PANGASINAN (PACKAGE 3) 1.	The Department of Public Works and Highways, Regional Office I, thro</t>
  </si>
  <si>
    <t xml:space="preserve"> REPUBLIC OF THE PHILIPPINES CITY OF CABUYAO -O0O- BIDS AND AWARDS COMMITTEE 	 		21 JULY  2020 INVITATION TO BID FOR  REHABILITATION OF BOTH SIDE COVERED CANAL AT BRGY. POBLACION II 1.	The CITY OF CABUYAO, through the Continuing Fund of the 2020 Annual Cit</t>
  </si>
  <si>
    <t xml:space="preserve"> Interested bidders may obtain further information from the City of Balanga and inspect the  Bidding Documents at the address given below from 9:00 a.m. to 4:00 p.m. 5. A complete set of Bidding Documents may be acquired by interested Bidders on July 22 to</t>
  </si>
  <si>
    <t xml:space="preserve"> INVITATION TO BID 1.	The Province of Cebu through the 2020 General Fund, intends to apply the sum of SIXTY-SEVEN MILLION THREE HUNDRED FORTY-FOUR THOUSAND PESOS AND 00/100 (Php67,344,000.00) being the Approved Budget for the Contract (ABC) to payments und</t>
  </si>
  <si>
    <t xml:space="preserve"> Republic of the Philippines Region XII Province of Cotabato CITY OF KIDAPAWAN BIDS AND AWARDS COMMITTEE Invitation to Bid 			  		           Date: July 22, 2020 1.	The City Government of Kidapawan, through the 20% EDF CY 2020   intends to apply the sum of </t>
  </si>
  <si>
    <t xml:space="preserve"> REPUBLIC OF THE PHILIPPINES CITY OF CABUYAO -O0O- BIDS AND AWARDS COMMITTEE 	 		21 JULY  2020 INVITATION TO BID FOR  DRAINAGE REHABILITATION AT PUROK I, BRGY. SAN ISIDRO 1.	The CITY OF CABUYAO, through the Continuing Fund of the 2020 Annual City Budget in</t>
  </si>
  <si>
    <t xml:space="preserve"> The Civil Aviation Authority of the Philippines, through the Funds from DOTr Downloaded Projects intends to apply the sum of EIGHTY-NINE MILLION NINE HUNDRED EIGHTY-EIGHT THOUSAND ONE HUNDRED SEVEN PESOS 14/1 0 0 (Php 8 9 , 98 8, 10 7. 14 ) being the Appr</t>
  </si>
  <si>
    <t xml:space="preserve"> Section I. Invitation to Bid Republic of the Philippines PROVINCE OF ZAMBOANGA SIBUGAY Capitol Building, Ipil Heights, Ipil, Zamboanga Sibugay INVITATION TO BID FOR  Diesel, gas, oil and lubricants 1.	The Province of Zamboanga Sibugay, through the General</t>
  </si>
  <si>
    <t xml:space="preserve"> INVITATION TO BID 1.	The Province of Cebu through the 2020 General Fund, intends to apply the sum of TWENTY-SIX MILLION FOUR HUNDRED NINETY-SIX THOUSAND PESOS AND 00/100 (Php26,496,000.00) being the Approved Budget for the Contract (ABC) to payments under</t>
  </si>
  <si>
    <t xml:space="preserve"> INVITATION TO BID 1.	The Province of Cebu through the 2020 General Fund, intends to apply the sum of THIRTY-NINE MILLION NINE HUNDRED EIGHTY-FOUR THOUSAND PESOS AND 00/100 (Php39,984,000.00) being the Approved Budget for the Contract (ABC) to payments und</t>
  </si>
  <si>
    <t xml:space="preserve"> INVITATION TO BID 1.	The Province of Cebu through the 2020 General Fund, intends to apply the sum of TWENTY-NINE MILLION THREE HUNDRED FIFTY-TWO THOUSAND PESOS AND 00/100 (Php29,352,000.00) being the Approved Budget for the Contract (ABC) to payments unde</t>
  </si>
  <si>
    <t xml:space="preserve"> INVITATION TO BID 1.	The Province of Cebu through the 2020 General Fund, intends to apply the sum of THIRTY-TWO MILLION THREE HUNDRED TWENTY-EIGHT THOUSAND PESOS AND 00/100 (Php32,328,000.00) being the Approved Budget for the Contract (ABC) to payments un</t>
  </si>
  <si>
    <t xml:space="preserve"> BIDS AND AWARDS COMMITTEE – INFORMATION TECHNOLOGY INFRASTRUCTURE AND OTHER RELATED COMPONENTS INVITATION TO BID 1.	The Bangko Sentral ng Pilipinas (BSP), through its Bids and Awards Committee – Information Technology, Infrastructure and Other Related Com</t>
  </si>
  <si>
    <t xml:space="preserve"> INVITATION TO BID 1.	The Province of Cebu through the 2020 General Fund, intends to apply the sum of THIRTY-SEVEN MILLION EIGHT HUNDRED FORTY-TWO THOUSAND THREE HUNDRED SIXTY PESOS AND 00/100 (Php37,842,360.00) being the Approved Budget for the Contract (</t>
  </si>
  <si>
    <t xml:space="preserve"> INVITATION TO BID 1.	The Province of Cebu through the 2020 General Fund, intends to apply the sum of FORTY-ONE MILLION FOUR HUNDRED THOUSAND PESOS AND 00/100 (Php41,400,000.00) being the Approved Budget for the Contract (ABC) to payments under the contrac</t>
  </si>
  <si>
    <t xml:space="preserve"> PROCUREMENT OF FERTILIZER FOR TOBACCO FARMERS OF THE MUNICIPALITY OF SANTO DOMINGO, ILOCOS SUR</t>
  </si>
  <si>
    <t xml:space="preserve"> Supply of Hooded Windbreaker Jackets  Kindly see attached link for the bidding documents https://drive.google.com/file/d/1UDK5nEX_tprCmES9AXR73XCq_yQqW-9x/view?usp=drivesdk -------------------------------------------------------------------------6- INVITA</t>
  </si>
  <si>
    <t xml:space="preserve"> Republic of the Philippines Province of Agusan del Norte Municipality of Remedios T. Romualdez BIDS AND AWARDS COMMITTEE I. Demolition of Existing Structure (Roofing &amp; Partition Wall) 57.00 sq.m. II. Excavation Works 8.40 cu.m. III. Embankment 10.00 cu.m.</t>
  </si>
  <si>
    <t xml:space="preserve"> Republic of the Philippines Province of Iloilo  Municipality of Pototan BIDS AND AWARDS COMMITTEE INVITATION TO BID 1.	The Municipality of Pototan, through the IRA Fund‘‘ intends to apply the sum of (3,000,000.00) being the Approved Budget for the Contrac</t>
  </si>
  <si>
    <t xml:space="preserve"> REPUBLIC OF THE PHILIPPINES PROVINCE OF SIQUIJOR MUNICIPALITY OF SIQUIJOR OFFICE OF THE BAC CHAIRMAN INVITATION TO BID FOR Acquisition of Materials for Improvement of Guiwanon Spring Park 1.	The Local Government Unit of the Municipality of Siquijor (GOP),</t>
  </si>
  <si>
    <t xml:space="preserve"> QTY      UNIT        DESCRIPTION 1         unit          Mini-loader Rated load:         2,000 kg Bucket capacity:   0.90 CuM Dumping clearance:   3,200 mm Dump reach:  900 mm Dimension: L=5,400mm; W=1,800mm H=2,800mm Engine power: 42KW/56 HP Ground clear</t>
  </si>
  <si>
    <t xml:space="preserve"> Republic of the Philippines Province of Misamis Oriental Local Government Unit of Claveria Invitation to Bid for  Concreting of 1.0 km Lanise to Mabini to Sta. Cruz FMR 1.	The Local Government Unit of Claveria, through the shares of LGU-Claveria from FY 2</t>
  </si>
  <si>
    <t xml:space="preserve"> REPUBLIC OF THE PHILIPPINES PROVINCE OF SIQUIJOR MUNICIPALITY OF SIQUIJOR OFFICE OF THE BAC CHAIRMAN INVITATION TO BID FOR Acquisition of Materials for Completion of Multi-Purpose Building (Brgy. Olo) 1.	The Local Government Unit of the Municipality of Si</t>
  </si>
  <si>
    <t xml:space="preserve"> Republic of the Philippines Province of Misamis Oriental Local Government Unit of Claveria Invitation to Bid for  Concreting of 1.054 Km Tamboboan to Centro Rizal 1.	The Local Government Unit of Claveria, through the shares of LGU-Claveria from FY 2016 Co</t>
  </si>
  <si>
    <t xml:space="preserve"> Republic of the Philippines                                                        Province of Misamis Oriental                                                         Municipality of  Kinoguitan                                                         BAR</t>
  </si>
  <si>
    <t xml:space="preserve"> REPUBLIC OF THE PHILIPPINES PROVINCE OF SIQUIJOR MUNICIPALITY OF SIQUIJOR OFFICE OF THE BAC CHAIRMAN INVITATION TO BID FOR Acquisition of Materials for Construction/Installation of Road Signs 1.	The Local Government Unit of the Municipality of Siquijor (G</t>
  </si>
  <si>
    <t xml:space="preserve"> INVITATION TO BID 1.	The Province of Cebu through the 2020 General Fund, intends to apply the sum of FIVE MILLION EIGHTY-EIGHT THOUSAND PESOS AND 00/100 (Php5,088,000.00) being the Approved Budget for the Contract (ABC) to payments under the contract for </t>
  </si>
  <si>
    <t xml:space="preserve"> Republic of the Philippines Province of Iloilo  Municipality of Pototan BIDS AND AWARDS COMMITTEE INVITATION TO BID 1.	The Municipality of Pototan, through the IRA Fund‘‘ intends to apply the sum of (1,000,000.00) being the Approved Budget for the Contrac</t>
  </si>
  <si>
    <t xml:space="preserve"> CLUSTER 3. IMPROVEMENT OF SINCO-TOPINAO (PHASE II), IMPROVEMENT OF YAGYAGAN-AMPUSA JUNCTION MULTI-PURPOSE BUILDING, IMPROVEMENT OF TAGADI-TADIANGAN BARANGAY ROAD</t>
  </si>
  <si>
    <t xml:space="preserve"> Invitation to Bid for the repair &amp; rehabilitation of airconditioning units installed at Batangas City Sports Center-Coliseum.</t>
  </si>
  <si>
    <t xml:space="preserve"> Republic of the Philippines Department of Health DAVAO REGIONAL MEDICAL CENTER Apokon, Tagum City BIDS AND AWARDS COMMITTEE Invitation to Bid for THE SUPPLY &amp; DELIVERY OF DRUGS &amp; MEDICINES 1.	The Davao Regional Medical Center (DRMC), through the HOSPITAL </t>
  </si>
  <si>
    <t xml:space="preserve"> Republic of the Philippines Province of Leyte Municipality of Palo INVITATION TO BID FOR  Supply/Delivery of Van Highroof Ambulance for the LGU of Palo, Leyte  Purchase Request No. 20-06-0345 1.	The Municipality of Palo, through the General Fund approved </t>
  </si>
  <si>
    <t xml:space="preserve"> Description INVITATION TO BID Barangay Calzada, Guinobatan, Albay through its Bids and Awards Committee (BAC) invites suppliers/ manufacturers/ distributors/ contractors to apply for eligibility and to bid for the procurement of the hereunder project and </t>
  </si>
  <si>
    <t xml:space="preserve"> INVITATION TO BID IB No. GS-2020 – 059-A Construction Materials and Supplies for use in the Construction of SSG Office at San Teodro NHS, San Teodoro, Oriental Mindoro/ Completion of Gymnasium at Ma. Estrella E/S, Tawiran, Calapan City, Oriental Mindoro/ </t>
  </si>
  <si>
    <t xml:space="preserve"> REPUBLIC OF THE PHILIPPINES PROVINCE OF SIQUIJOR MUNICIPALITY OF SIQUIJOR OFFICE OF THE BAC CHAIRMAN INVITATION TO BID FOR Acquisition of Materials for Electrical Facilities at Landfill 1.	The Local Government Unit of the Municipality of Siquijor (GOP), t</t>
  </si>
  <si>
    <t xml:space="preserve"> Republic of the Philippines Province of Cagayan MUNICIPALITY OF CALAYAN Calayan, Cagayan INVITATION TO BID ITB No./PhilGEPS Reference No. 7120537 UPGRADING OF MAGSIDEL-DIBAY ROAD (Barangay Magsidel , Calayan, Cagayan) 1.	The Local Government of Calayan th</t>
  </si>
  <si>
    <t xml:space="preserve"> INVITATION TO BID IB No. GS-2020 – 069-A Chemicals and Chemical Products for use of the OMPH patients/2nd quarter 2020 1. The  Provincial  Government  of  Oriental  Mindoro  (PGOM)  through  the  Trust Fund intends  to  apply  the  sum  of  Two Million On</t>
  </si>
  <si>
    <t xml:space="preserve"> OFFICE: MUNICIPAL TREASURER'S OFFICE PURPOSE: FOR OFFICE USE OF THE TREASURER'S OFFICE ABC: 110,000.00 ITEM DESCRIPTION 2 SET COMPUTER CORE i7          PROCESSOR AMD A6-6550, ITB HARD DISC, 4GB MEMORY          MOTHERBOARD, INTERNAL DVD WRITER, CVS CASING </t>
  </si>
  <si>
    <t xml:space="preserve"> Republic of the Philippines BIDS AND AWARDS COMMITTEE Province of Iloilo Invitation to Bid Purchase of Projector Bid No. AGR-20-0883-B 1. The Iloilo Provincial Government, through the GENERAL FUND 2020 intends to apply the sum of  FORTY THOUSAND PESOS (₱4</t>
  </si>
  <si>
    <t xml:space="preserve"> Republic of the Philippines CITY OF MALABON Metro Manila BIDS AND AWARDS COMMITTEE I N V I T A T I O N     T O     B I D VARIOUS INFRASTRUCTURE PROJECTS  1.	The City Government of Malabon, through the 20% Development Fund and Trust Fund CY 2020 now invite</t>
  </si>
  <si>
    <t xml:space="preserve"> Republic of the Philippines Bangsamoro Autonomous Region in Muslim Mindanao                                                 Province of Maguindanao MUNICIPALITY OF TALAYAN JULY 21, 2020 INVITATION TO BID for the CONSTRUCTION (RENOVATION) OF MUNICIPAL LEGI</t>
  </si>
  <si>
    <t xml:space="preserve"> materials and labors in this project.</t>
  </si>
  <si>
    <t xml:space="preserve"> INVITATION TO BID BAC-IB NO. 2020-33 	The Research Institute for Tropical Medicine (RITM) through its Bids and Awards Committee (BAC) invites technically, legally and financially capable PHILGEPS-registered suppliers/manufacturers to apply for eligibility</t>
  </si>
  <si>
    <t xml:space="preserve"> INVITATION TO BID IB No. GS-2020 – 073-A Agricultural Products (Seeds, Seedlings, Plants…) for Distribution under Binhian sa Barangay and Mindoro Dinorado Rice Production Program-Agro Technology Resource and Management Services Division 1. The  Provincial</t>
  </si>
  <si>
    <t xml:space="preserve"> Republic of the Philippines Province of Bukidnon Municipality of Damulog OFFICE OF THE BIDS AND AWARD COMMITTEE Invitation to Bid for the Supply and Delivery of Rapid Testing Kits for COVID19 Pandemic  The Local Government Unit of Damulog, through the 5% </t>
  </si>
  <si>
    <t xml:space="preserve"> Republic of the Philippines Province of Bukidnon Municipality of Damulog OFFICE OF THE BIDS AND AWARD COMMITTEE Invitation to Bid for the Supply and Delivery of Personal Protective Equipment for COVID19 Pandemic  The Local Government Unit of Damulog, thro</t>
  </si>
  <si>
    <t xml:space="preserve"> Republic of the Philippines Province of Misamis Oriental Local Government Unit of Claveria Invitation to Bid for  Concreting of 1.5 Km Crossing Sta. Cruz to  Ticala FMR 1.	The Local Government Unit of Claveria, through the shares of LGU-Claveria from FY 2</t>
  </si>
  <si>
    <t xml:space="preserve"> Republic of the Philippines Province of Misamis Oriental Local Government Unit of Claveria Invitation to Bid for  Concreting of 1.0 Km Plaridel to Wilkom FMR 1.	The Local Government Unit of Claveria, through the shares of LGU-Claveria from FY 2016 Collect</t>
  </si>
  <si>
    <t xml:space="preserve"> Republic of the Philippines Province of Misamis Oriental Local Government Unit of Claveria Invitation to Bid for  Concreting of 1.0 Km Patrocinio (National High-way) to Sitio Aninipot FMR 1.	The Local Government Unit of Claveria, through the shares of LGU</t>
  </si>
  <si>
    <t xml:space="preserve"> Republic of the Philippines Province of Misamis Oriental Local Government Unit of Claveria Invitation to Bid for  Concreting of 1.0 Km Patpat (Poblacion) to Public Cemetery 1.	The Local Government Unit of Claveria, through the shares of LGU-Claveria from </t>
  </si>
  <si>
    <t xml:space="preserve"> labor and materials</t>
  </si>
  <si>
    <t xml:space="preserve"> materials and labor</t>
  </si>
  <si>
    <t xml:space="preserve"> See attached Bid Docs</t>
  </si>
  <si>
    <t xml:space="preserve"> July 23, 2020                                                                 INVITATION TO BID 	The Sangguniang Barangay of BALOGO, EAST DISTRICT, SORSOGON CITY, through its Bids and Awards Committee(BAC), invites Suppliers to apply for eligibility and i</t>
  </si>
  <si>
    <t xml:space="preserve"> Republic of the Philippines Province of Misamis Oriental Local Government Unit of Claveria Invitation to Bid for  Concreting of 0.200 Km Junction National Road to Napulog Creek 1.	The Local Government Unit of Claveria, through the shares of LGU-Claveria f</t>
  </si>
  <si>
    <t xml:space="preserve"> Republic of the Philippines Province of Albay Municipality of Sto. Domingo Bids and Awards Committee 	 Invitation to Apply for Eligibility and to Bid: 07-04-2020 	The LGU- Sto. Domingo, Albay through its Bids and Awards Committee (BAC) invites Suppliers/M</t>
  </si>
  <si>
    <t xml:space="preserve"> Office of the Assessor, Indang, Cavite</t>
  </si>
  <si>
    <t xml:space="preserve"> Republic of the Philippines DEPARTMENT OF PUBLIC WORKS AND HIGHWAYS Region X OFFICE OF THE REGIONAL DIRECTOR Engineers’ Hill, Bulua, Cagayan de Oro City RE-INVITATION TO BID FOR CONTRACT ID NO. 20GSK00012– SUPPLY &amp; INSTALLATION OF OFFICE FURNITURES &amp; FIXT</t>
  </si>
  <si>
    <t xml:space="preserve"> PPA PANAY/GUIMARAS BIDS AND AWARD COMMITTEE  PROCUREMENT OF GOODS ITB No. PPA-PNG BAC-2020-02 INVITATION TO BID FOR “GARBAGE COLLECTION AND DISPOSAL AT BASEPORT FOR CY 2020” 1.	The Philippine Ports Authority (PPA), Port Management Office-Panay/Guimaras, t</t>
  </si>
  <si>
    <t xml:space="preserve"> INVITATION TO BID The East Avenue Medical Center through its Hospital Bids and Awards Committee (BAC), invites contractors registered with and classified by the Philippine Contractors Accreditation Board (PCAB) to bid for the hereunder contracts/projects:</t>
  </si>
  <si>
    <t xml:space="preserve"> BIDS AND AWARDS COMMITTEE Office of the Chairman Request for Quotation Date:                                                                                 Quotation No.:        PR # 2020-07-348 __________________________________ ________________________</t>
  </si>
  <si>
    <t xml:space="preserve"> Municipality of Indang, Cavite</t>
  </si>
  <si>
    <t xml:space="preserve"> Republic of the Philippines Province of Iloilo Municipality of Carles BARANGAY DAYHAGAN INVITATION TO BID 1.0 The Barangay Local Government of Dayhagan, Municipality of Carles, Province of Iloilo through its 20% Development Fund 2020 intends to apply the </t>
  </si>
  <si>
    <t xml:space="preserve"> INVITATION TO BID SUPPLY AND DELIVERY OF IT EQUIPMENT AND ACCESSORIES FOR DEP-ED CABADBARAN CITY DIVISION OFFICE – 2ND BIDDING 1.	The Local Government Unit of Cabadbaran City through the SEF intends to apply the sum of EIGHT HUNDRED FORTY-FIVE THOUSAND FI</t>
  </si>
  <si>
    <t xml:space="preserve"> Invitation to Bid Republic of the Philippines City of Olongapo -0- BIDS AND AWARDS COMMITTEE BAC 3rd  Floor  Olongapo City Hall  Web: www.olongapocity.gov.ph INVITATION TO BID FOR  OC-74(CEO-22) 20 CW Proposed Concreting of Road @ Cristobal Ext. (Christ t</t>
  </si>
  <si>
    <t xml:space="preserve"> Republic of the Philippines Province of Bukidnon Municipality of Cabanglasan -o0o- ___________________________________________________________________________ INVITATION TO BID FOR  Purchase of Materials for Construction of Market Stalls (PhaseII) Market </t>
  </si>
  <si>
    <t xml:space="preserve"> LOT 37-UOI-2020 AIRCONDITIONING UNITS</t>
  </si>
  <si>
    <t xml:space="preserve"> Republic of the Philippines PROVINCE OF PAMPANGA City of San Fernando INVITATION TO BID NO. 2020-26 IG - BAC INVITATION TO BID FOR PURCHASE REQUEST NO.20-1428  The Provincial Government of Pampanga (“Province”) intends to apply the following sums from the</t>
  </si>
  <si>
    <t xml:space="preserve"> Supply/Delivery of Fuel</t>
  </si>
  <si>
    <t xml:space="preserve"> INVITATION TO BID IB No. GS-2020 – 072-A Vehicle for use of Bulalacao Community Hospital (BCH) 1. The  Provincial  Government  of  Oriental  Mindoro  (PGOM)  through  the  General Fund intends  to  apply  the  sum  of  Two Million Five Hundred Thousand Pe</t>
  </si>
  <si>
    <t xml:space="preserve"> Republic of the Philippines Province of Negros Occidental Office of the Punong Barangay Invitation to Bid for Rehabilitation of Sports and Cultural Center  The Barangay Poblacion, Municipality of Valladolid, through the 20% Development fund intends to app</t>
  </si>
  <si>
    <t xml:space="preserve"> The Barangay Government of Barangay Mambago-A, through the General Funds intends to apply the sum of Two Hundred Twenty Thousand Two Hundred Two Pesos and Eighty Nine Centavos only (₱220,202.89) being the Approved Budget for the Contract (ABC) to payments</t>
  </si>
  <si>
    <t xml:space="preserve"> Procurement of Kitchen and Supplies INVITATION TO BID (July 20, 2020) THE ILOILO SCIENCE AND TECHNOLOGY UNIVERSITY (ISAT U), Burgos Street,  La Paz, Iloilo City,  invites interested Suppliers/Bidders to apply for eligibility and to bid for the hereunder p</t>
  </si>
  <si>
    <t xml:space="preserve"> I. Mobilization II. CSHP III. Porject Billboard IV. Masonry Works V. Roof Framing VI. Plumbing Works VII. Carpentry Works VIII. Forms and Scaffolding IX. External X. Windows XI. Painting Works Labor</t>
  </si>
  <si>
    <t xml:space="preserve"> INVITATION TO BID (July 20, 2020) THE ILOILO SCIENCE AND TECHNOLOGY UNIVERSITY (ISAT U), Burgos Street,  La Paz, Iloilo City,  invites interested Suppliers/Bidders to apply for eligibility and to bid for the hereunder project: Project Reference No.	:  ISA</t>
  </si>
  <si>
    <t xml:space="preserve"> INVITATION TO BID FOR THE  SUPPLY AND DELIVERY OF COLLECTION/DISCONNECTION NOTICE PR Nos. 27829-001, 27830-001 1.	The Metropolitan Cebu Water District, through the Corporate Budget of 2020 intends to apply the sum of: PR No.	Description	Qty.	Unit Price	Ap</t>
  </si>
  <si>
    <t xml:space="preserve"> Republic of the Philippines National Kidney and Transplant Institute Bids and Awards Committee East Avenue, Quezon City 1100 981-0300 / 981-0400 local 1157 http://www.nkti.gov.ph/	 INVITATION TO BID for the ITB No. 20-068 Supply and Delivery of Various Im</t>
  </si>
  <si>
    <t xml:space="preserve"> INVITATION TO BID FOR THE  PURCHASE OF IT EQUIPMENT FOR HOME FOR BOYS - CSWDO 1.	The City Government of Bacoor, Cavite, through the General Fund Year 2020 intends to apply the sum of NINE HUNDRED THIRTY FIVE THOUSAND PESOS AND ZERO CENTAVO (PhP935,000.00)</t>
  </si>
  <si>
    <t xml:space="preserve"> INVITATION TO BID IB No. GS-2020 – 060-A Construction Materials and Supplies for use in the Improvement of Barangay Hall at Brgy. Bagumbayan, Roxas, Oriental Mindoro/ Repair of Kinder and Grade 1 Classroom at San Juan E/S, Brgy. Cantil Roxas, Oriental Min</t>
  </si>
  <si>
    <t xml:space="preserve"> Straight Contract for Improvement of New Market See attached link/Url under OTHER INFORMATION BOX</t>
  </si>
  <si>
    <t xml:space="preserve"> Republic of the Philippines Region XII Province of Cotabato City of Kidapawan OFFICE OF THE BIDS AND AWARD COMMITTEE July 22, 2020 INVITATION TO BID FOR  SUPPLY OF FUEL FOR THE PROPOSED ROAD REHABILITATION/CROWNING AND COMPACTION OF VARIOUS BARANGAY ROADS</t>
  </si>
  <si>
    <t xml:space="preserve"> Republic of the Philippines Region XII Province of Cotabato City of Kidapawan OFFICE OF THE BIDS AND AWARD COMMITTEE July 22, 2020 INVITATION TO BID FOR  SUPPLY AND DELIVERY OF LUBRICANT AND ADDITIVES FOR THE USE OF THE VARIOUS HEAVY EQUIPMENT (MOTORPOOL)</t>
  </si>
  <si>
    <t xml:space="preserve"> Wheel Loader Road Roller 10-Wheeler Dump truck 10-Wheeler Transit Mixer Motor Grader Crawler Hydraulic Backhoe</t>
  </si>
  <si>
    <t xml:space="preserve"> Republic of the Philippines Province of Misamis Oriental Local Government Unit of Claveria Invitation to Bid for  Concreting of 1.50 Km Minsacuba to Kigawhat FMR 1.	The Local Government Unit of Claveria, through the shares of LGU-Claveria from FY 2016 Col</t>
  </si>
  <si>
    <t xml:space="preserve"> Section I. Invitation to Bid Republic of the Philippines PROVINCE OF ZAMBOANGA SIBUGAY Capitol Building, Ipil Heights, Ipil, Zamboanga Sibugay INVITATION TO BID (REBID) FOR  Industrial Ceiling Fan with Electrical Accessories and Installation 1.	The Provin</t>
  </si>
  <si>
    <t xml:space="preserve"> Section I. Invitation to Bid Republic of the Philippines PROVINCE OF ZAMBOANGA SIBUGAY Capitol Building, Ipil Heights, Ipil, Zamboanga Sibugay INVITATION TO BID (REBID) FOR  Diesel, gas, and lubricants 1.	The Province of Zamboanga Sibugay, through the Gen</t>
  </si>
  <si>
    <t xml:space="preserve"> Invitation to Bid The National Irrigation Administration – Upper Pampanga River Integrated Irrigation Systems, Dam and Reservoir Division (NIA-UPRIIS-DRD), through the CAPITAL OUTLAY 2020 intends to bid out the projects listed below: CONTRACT ID NO.: 2020</t>
  </si>
  <si>
    <t xml:space="preserve"> Republic of the Philippines DR. EMILIO B. ESPINOSA, SR. MEMORIAL STATE COLLEGE  OF AGRICULTURE AND TECHNOLOGY (Masbate State College) BIDS AND AWARDS COMMITTEE http:www.debesmscat.edu.ph Cabitan, Mandaon, Masbate Invitation to Bid for the  Construction of</t>
  </si>
  <si>
    <t xml:space="preserve"> REQUEST FOR EXPRESSION OF INTEREST (REOI) FOR CONSULTING SERVICES  19CSK00044 – Consulting Services for the Conduct of  Soil Testing/ Exploration for Bridge Projects-Geotechnical Investigation for the Construction of By-Pass and Diversion Roads, Eastern I</t>
  </si>
  <si>
    <t xml:space="preserve"> Republic of the Philippines Province of Siquijor BIDS AND AWARDS COMMITTEE Siquijor, Siquijor Invitation to Bid for Rehabilitation of San Juan – San Antonio – Candigum Provincial Road (Phase I),  San Juan, Siquijor  The Provincial Government of Siquijor t</t>
  </si>
  <si>
    <t xml:space="preserve"> INVITATION TO BID July 20, 2020 The DPWH-Quirino District Engineering Office, through its Bids and Awards Committee (BAC), invites contractors to submit bids for the following Contract: 	Contract I.D.  	:	20BK0150 	Name of Project	:	Repair/ Rehabilitation</t>
  </si>
  <si>
    <t xml:space="preserve"> REPUBLIC OF THE PHILIPPINES PROVINCE OF SIQUIJOR MUNICIPALITY OF SIQUIJOR OFFICE OF THE BAC CHAIRMAN INVITATION TO BID FOR Acquisition of Materials for Repair of Various School Building 1.	The Local Government Unit of the Municipality of Siquijor (GOP), t</t>
  </si>
  <si>
    <t xml:space="preserve"> contract similar to the project.  The description of an eligible bidder is contained in the Bidding Documents, particularly, in Section II. Instructions to Bidders. Bidding will be conducted through open competitive bidding procedures using non-discretion</t>
  </si>
  <si>
    <t xml:space="preserve"> INVITATION TO BID FOR  PRINTING, BINDING, SUPPLY AND DELIVERY OF LEARNING MODULES FOR THE CITY SCHOOLS DIVISION OF TAYABAS 1.	The Department of Education, City Schools Division of the City of Tayabas, through the FY 2020 General Appropriations Act (GAA) R</t>
  </si>
  <si>
    <t xml:space="preserve"> Improvement of 4.40m x 7.30m ///multi purpose building extension. Include the following scope of work: masonry wall with plastering, tile works, door and windows, painting and partition wall using marine plywood with good lumber framing</t>
  </si>
  <si>
    <t xml:space="preserve"> Procurement of one (1) unit brand new MPV</t>
  </si>
  <si>
    <t xml:space="preserve"> REQUEST FOR EXPRESSION OF INTEREST (REOI) FOR CONSULTING SERVICES  19CSK00042 – Consulting Services for the Conduct of  Soil Testing/ Exploration for Bridge Projects-Geotechnical Investigation of the Construction of By-Pass and Diversion Roads, Puerto-Cla</t>
  </si>
  <si>
    <t xml:space="preserve"> 1. Supply and Delivery of 1,828 bags Hybrid Yellow Corn Seeds Total ABC: Php8,226,000.00 1. Line Item No. 1: Supply and Delivery of 368 bags NSIC 2019 GMCn67 ABC: Php1,656,000.00 Specifications: - Glyphosate Tolerant - Packed at 9kg/bag - Germination rate</t>
  </si>
  <si>
    <t xml:space="preserve"> MUNICIPALITY OF BALETE BIDS AND AWARDS COMMITTEE THE MUNICIPALITY OF BALETE THRU BIDS AND AWARDS COMMITTEE INVITES ALL SUPPLIERS/BIDDERS/CONTRACTORS TO APPLY FOR ELIGIBILITY SCREENING AND IF SUBSEQUENTLY FOUND ELIGIBLE FOR THE PROCUREMENT REQUEST FOR THE </t>
  </si>
  <si>
    <t xml:space="preserve"> REHABILITATION OF SCHOOL BUILDINGS (13 CLASSROOMS) LOCATION: 1. 3 CLASSROOM BUILDING: DANGAN ELEMENTARY SCHOOL- P250,000 2. 3 CLASSROOM BUILDING: BANQUERO ELEMENTARY SCHOOL- P200,000 3. 2 CLASSROOM BUILDING: SANTOR ELEMENTARY SCHOOL- P150,000 4. 1 CLASSRO</t>
  </si>
  <si>
    <t xml:space="preserve"> Supply &amp; Delivery of One (1) Unit Multi-Purpose Vehicle Item Number	Description	Quantity	Unit of Issue 1	MULTI-PURPOSE VEHICLE       1            Unit Type: 2.5 CRDi VGT DOHC 16V (Euro-4) Displacement: 2,497cc Maximum Output: 170/3,600 pc/rpm Maximum Torq</t>
  </si>
  <si>
    <t xml:space="preserve"> REQUEST FOR QUOTATION Project Name: Printing services Approved Budget of Contract (ABC): Php 282,800.00 Area of Delivery: Banay-Banay Elementary School, Gatchalian Subd. Brgy. Banay-Banay, City of Cabuyao laguna Date of Submission and delivery and Opening</t>
  </si>
  <si>
    <t xml:space="preserve"> The Bids and Awards Committee (BAC) of the BARANGAY SAN VICENTE Castilla, Sorsogon invites qualified contractor’s to bid for the project: The Procurement process of the afore-mentioned projects will be conducted by this Bids and Awards Committee (BAC) in </t>
  </si>
  <si>
    <t xml:space="preserve"> Section I. Invitation to Bid Republic of the Philippines PROVINCE OF ZAMBOANGA SIBUGAY Capitol Building, Ipil Heights, Ipil, Zamboanga Sibugay INVITATION TO BID FOR  Food Supplies (Patients Subsistence), Non-Perishable 1.	The Province of Zamboanga Sibugay</t>
  </si>
  <si>
    <t xml:space="preserve"> Republic of the Philippines Province of Eastern Samar Municipality of Llorente Barangay 01-Poblacion Invitation to Bid for the Renovation of Brgy. Hall 1.	The Local Government of Brgy. 01-Poblacion, Llorente E. Samar, through the Budget Approved by the Re</t>
  </si>
  <si>
    <t xml:space="preserve"> PROPOSED SOLAR STREET LIGHTING</t>
  </si>
  <si>
    <t xml:space="preserve"> Republic of the Philippines Province of Davao Oriental City of Mati BIDS &amp; AWARDS COMMITTEE INVITATION TO BID Procurement of 17 Units HIGH SPEED DIGITAL DUPLICATOR for the Use of 17 School Districts of Davao Oriental SOURCE OF FUND: SEF 2020 [3311-1-07-05</t>
  </si>
  <si>
    <t xml:space="preserve"> REQUEST FOR EXPRESSION OF INTEREST (REOI) FOR CONSULTING SERVICES  19CSK00043 – Consulting Services for the Conduct of  Soil Testing/ Exploration for Bridge Projects-Geotechnical Investigation for the Construction of By-Pass and Diversion Roads, CDO-New W</t>
  </si>
  <si>
    <t xml:space="preserve"> INVITATION TO BID The City of Bayawan, through its Bids and Awards Committee (BAC), invites suppliers/manufacturers/distributors/contractors to bid for the hereunder projects: 	Lot No. I		MOTOR VEHICLE					 1	1	unit	MOTOR VEHICLE					 			1 unit Pick up 4x</t>
  </si>
  <si>
    <t xml:space="preserve"> Republic of the Philippines Province of Oriental Mindoro  MUNICIPALITY OF NAUJAN BIDS AND AWARDS COMMITTEE INVITATION TO BID SUPPLY AND DELIVERY OF TWO (2) UNITS EMERGENCY TRANSPORT VEHICLE TO BE USED IN THE OFFICE OF THE MUNICIPAL MAYOR, NAUJAN, ORIENTAL</t>
  </si>
  <si>
    <t xml:space="preserve"> Materials only: 1 box  8.0mm2 THW wire stand 6 pcs Light Bulb 2 pcs Convenience outlet Duplex with plate cover 2 pcs Receptacle 2 pcs Switch - 1 gang with plate cover 1 pc Electrical tape 3 pcs Fabricated GI pipe post 3" ready to install 1 pc Fabricated G</t>
  </si>
  <si>
    <t xml:space="preserve"> Republic of the Philippines DR. EMILIO B. ESPINOSA, SR. MEMORIAL STATE COLLEGE  OF AGRICULTURE AND TECHNOLOGY (Masbate State College) BIDS AND AWARDS COMMITTEE http:www.debesmscat.edu.ph INVITATION TO BID FOR THE SUPPLY, DELIVERY AND INSTALLATION OF OFFIC</t>
  </si>
  <si>
    <t xml:space="preserve"> Republic of the Philippines Province of Davao Oriental City of Mati BIDS &amp; AWARDS COMMITTEE INVITATION TO BID (REBID) Procurement of One (1) Unit Brand New 4x4 Pick-Up Vehicle for Use in Assessment and Evaluation of Farmer Beneficiaries Affected by COVID-</t>
  </si>
  <si>
    <t xml:space="preserve"> 1.	The Provincial Government of Batanes, through Trust Fund intends to apply the sum of Five Million Pesos Only (₱ 5,000,000.00), being the Approved Budget for the Contract (ABC) to payments under the contract for Supply and Delivery of Breedable Cow. Bid</t>
  </si>
  <si>
    <t xml:space="preserve"> INVITATION TO BID The City Vigan, through its Bids and Awards Committee (BAC), invites suppliers/manufacturers/distributors/contractors to apply for eligibility and to bid for the hereunder project: Name of Project:	Procurement of Agricultural and Marine </t>
  </si>
  <si>
    <t xml:space="preserve"> Feeding Materials</t>
  </si>
  <si>
    <t xml:space="preserve"> Invitation to Bid for  PACKAGE 20-35:  REHABILITATION/RENOVATION OF MODERN ABATTOIR BUILDING 1.	The Bids and Awards Committee of the Local Government Unit of Santiago City, through the City Fund intends to apply the sum of Six Million Seven Hundred Eighty</t>
  </si>
  <si>
    <t xml:space="preserve"> 1.	The LGU Dilasag, Aurora, through the 20% Development Fund 2020 intends to apply the sum of One Million Pesos (₱ 1,000,000.00) being the Approved Budget for the Contract (ABC) to payments under the contract for Additional Fund for the Construction of Ev</t>
  </si>
  <si>
    <t xml:space="preserve"> Republic of the Philippines Municipality of Palompon  Barangay Tabunok BIDS AND AWARD COMMITTEE Palompon. Leyte INVITATION TO APPLY FOR ELIGIBILITY AND TO BID N0. 2020-1008-002                                                                               </t>
  </si>
  <si>
    <t xml:space="preserve"> INVITATION TO BID FOR “PROCUREMENT OF LIGHTING EQUIPMENT” 1.	The PRESIDENTIAL BROADCAST STAFF - RTVM, through the General Appropriations Act of Year 2020  intends to apply the sum of THREE MILLION TWO HUNDRED EIGHTY EIGHT THOUSAND NINE HUNDRED NINETY SIX </t>
  </si>
  <si>
    <t xml:space="preserve"> Procurement of five (5) units of cellphone</t>
  </si>
  <si>
    <t xml:space="preserve"> Purpose:			Magsaysay Housing Projects 1	60	pcs.	Clamp, Loop Dead-end, #6 to #2/0 ACSR 2	2	pcs.	Link, Fuse, Universal, Bottom head, Type K, 5 Am 3	216	feet	Wire, Grounding, Alluminum Alloy, 3 Strand 4	240	feet	Wire, Grounding,Galvanized, 3 Strand, 5/16 5	1</t>
  </si>
  <si>
    <t xml:space="preserve"> Republic of the Philippines Province of Siquijor Municipality of Siquijor Local Government Unit of the Municipality of Siquijor INVITATION TO BID FOR COMPLETION OF MUNICIPAL HEALTH BIRTHING CENTER 1.	The Local Government Unit of the Municipality of Siquij</t>
  </si>
  <si>
    <t xml:space="preserve"> Procurement of one (1) unit service vehicle 4x2 pick-up type</t>
  </si>
  <si>
    <t xml:space="preserve"> Project Title: Cluster N13-2020 INVITATION TO BID NO. INFRA-2020-13 									 1.	The Municipal Government of Hungduan, Ifugao, through the 20% Municipal Development Fund intends to apply the sum of Eight Hundred Sixty Seven Thousand Nine Hundred Seventy T</t>
  </si>
  <si>
    <t xml:space="preserve"> CONCRETING OF FARM TO MARKET ROAD, ZONE 3 MATACLA, GOA, CAMARINES SUR</t>
  </si>
  <si>
    <t xml:space="preserve"> CONCRETING OF PATHWAY  ZONE 5, MATACLA, GOA, CAMARINES SUR</t>
  </si>
  <si>
    <t xml:space="preserve"> Republic of the Philippines Municipality of Palompon  Barangay Magsaysay BIDS AND AWARD COMMITTEE Palompon. Leyte INVITATION TO APPLY FOR ELIGIBILITY AND TO BID N0. 2020-1008-001                                                                             </t>
  </si>
  <si>
    <t xml:space="preserve"> Section I. Invitation to Re-Bid Republic of the Philippines Province of Romblon  Invitation to Bid for the  Rehabilitation/Improvement/Widening of Agnaga-Talisay Provincial Road Romblon, Romblon July 22, 2020 1.	The Province of Romblon through the CY 2019</t>
  </si>
  <si>
    <t xml:space="preserve"> Ambulance 2.8 Diesel 4-cylinder Euro 4 5265mm x 1950mm x 1990mm 6-speed Manual (dash mounted) Disc Brake (front &amp; rear) Medical Door Mounted Cabinet Fully Collapsible Stretcher w/ Locking Mechanism Oxygen Tank, 20lbs. BP apparatus, First Aid Kit, Stethosc</t>
  </si>
  <si>
    <t xml:space="preserve"> Republic of the Philippines Province of Cotabato Municipality of Antipas BIDS AND AWARDS COMMITTEE INVITATION TO BID FOR Supply and Delivery of Petroleum Products for Road Maintenance 1.	The Municipal Government of Antipas, through the Budget approved by </t>
  </si>
  <si>
    <t xml:space="preserve"> INVITATION TO BID ON THE SUPPLY AND DELIVERY OF  1 LOT LABORATORY EQUIPMENT FOR FOOD TECHNOLOGY  LABORATORY USE OF BUKIDNON STATE UNIVERSITY 1.	The Bukidnon State University through the Bids and Awards Committee &amp; Budget Approved by the Board of Regents 2</t>
  </si>
  <si>
    <t xml:space="preserve"> Procurement of Garbage Collection and Hauling Services for the Navotas Fish Port Complex (Re-bidding) (please see attached Invitation to Bid and Bid Documents)</t>
  </si>
  <si>
    <t xml:space="preserve"> Republic of the Philippines Province of Surigao del Sur MUNICIPALITY OF BAROBO INVITATION TO BID The Municipality of Barobo, through its Bids and Awards Committee (BAC), invites suppliers/bidders to Bid for the Supply and Delivery of  IT Equipment for Dep</t>
  </si>
  <si>
    <t xml:space="preserve"> Project Description: Road Construction of 238m carriageway with 5m width and 0.20m thick PCCP (2 lanes)  Republic of the Philippines Province of Leyte Municipality of Matalom INVITATION TO BID FOR  CONCRETING OF BRGY.  ROAD AT BRGY. SAN SALVADOR, SITIO CA</t>
  </si>
  <si>
    <t xml:space="preserve"> Republic of the Philippines Province of Eastern Samar  Municipality of Llorente Invitation to Bid for Supply and Delivery of Assorted Office/Other Supplies and Materials 1.	The Local Government of Llorente, through the Budget Approved by the Respective Sa</t>
  </si>
  <si>
    <t xml:space="preserve"> Republic of the Philippines Province of Ilocos Sur Office of the bids and awards committee MUNICIPALITY OF MAGSINGAL   INVITATION TO BID The LGU – MAGSINGAL, through the Bids and Awards Committee (BAC), invites PhilGEPS registered suppliers/contractors to</t>
  </si>
  <si>
    <t xml:space="preserve"> 10  cans  Squash (250 grams/can) 90  kilos  Kangkong Seeds 90  kilos  okra Seeds 90  kilos  Pole Sitao Seeds 90   kilos  Ampalaya Seeds 70  kilos  Pechay Seeds 29  cans  Eggplant Seeds (50 grams/can) 17  cans  Tomato Seeds (25 grams /can)</t>
  </si>
  <si>
    <t xml:space="preserve"> Invitation to Bid for Labor and Materials for the Perimeter Fence of the New Rural Health Unit at Sitio Pag-asa, Brgy Wawa, Orion, Bataan 1.	The Municipality of Orion Bataan, through the Government Appropriation Act of 2019 intends to apply the sum of Nin</t>
  </si>
  <si>
    <t xml:space="preserve"> Section I. Invitation to Re-Bid Republic of the Philippines Province of Romblon  Invitation to Bid for the  Repair of Perimeter Fence, San Jose District Hospital Poblacion, San Jose, Romblon July 22, 2020 1.	The Province of Romblon through the ADP REF. CO</t>
  </si>
  <si>
    <t xml:space="preserve"> Repair/Maintenance of Big Mateo Bridge Revetment (Limits: K1622+217)</t>
  </si>
  <si>
    <t xml:space="preserve"> 1.	The LGU Dilasag, Aurora, through the 20% Development Fund 2020 intends to apply the sum of One Million Pesos (₱ 1,000,000.00) being the Approved Budget for the Contract (ABC) to payments under the contract for Additional Fund for the Construction of Mu</t>
  </si>
  <si>
    <t xml:space="preserve"> 13  ream Ice Candy Wrapper (1.5 x 10) 2,266 sacks Soil Enhancer (Chicken Dung)</t>
  </si>
  <si>
    <t xml:space="preserve"> OFFICE: MUNICIPAL ENGINEERING OFFICE PURPOSE: SOLID WASTE REHAB IMPROVEMENT OF LIPAKAN DUMPSITE ABC: 121,900.00 ITEM DESCRIPTION 4.8 SQ.M           ITEM 105 (SUBGRADE PREPARATION) 125.65 CU.M     ITEM 200 (AGGREGATE SUBBASE COURSE)</t>
  </si>
  <si>
    <t xml:space="preserve"> LGU-BAROBO		Project Reference Number			 Name of Procuring Entity		Supply and Delivery of Hardware Materials			 					 			Barobo, Surigao del Sur		 Standard Form Number: SF-GOOD-60					 Revised on: May 24, 2004					 Standard Form Title: REQUEST FOR QUOTATIO</t>
  </si>
  <si>
    <t xml:space="preserve"> Prospective bidders should have completed a similar contract with a value of at least 50% of the ABC. The BAC will use non-discretionary pass/fail criteria in the eligibility check/screening as well as the preliminary examination of bids. The BAC will con</t>
  </si>
  <si>
    <t xml:space="preserve"> Republic of the Philippines Province of Quezon Municipality of Pagbilao COMMITTEE ON BIDS AND AWARDS INVITATION TO BID FOR SUPPLY AND DELIVERY OF  HAND TRACTOR AND KNAPSACK SPRAYER 1.	The Local Government Unit of Pagbilao, through the Approved Budget by t</t>
  </si>
  <si>
    <t xml:space="preserve"> PRESIDENTIAL BROADCAST STAFF-RTVM MALACANANG, MANILA  INVITATION TO BID FOR “PROCUREMENT OF BROADCAST  EQUIPMENT” 1.	The PRESIDENTIAL BROADCAST STAFF - RTVM, through the General Appropriations Act of Year 2020  intends to apply the sum of TWENTY SIX MILLI</t>
  </si>
  <si>
    <t xml:space="preserve"> Republic of the Philippines Province of Davao Oriental BIDS &amp; AWARDS COMMITTEE City of Mati INVITATION TO BID Contract No.: CW20-20 The Provincial Government of Davao Oriental through its Bids and Awards Committee (BAC), invites licensed contractors to bi</t>
  </si>
  <si>
    <t xml:space="preserve"> Description INVITATION TO BID Supply and Delivery of 1 Lot of Multi Cab for Barangay Medical/Rescue Operations City Government of Marawi City Contract ID No. 20-MC-CO-0701 ABC: Php 15,000,000.00 July 22, 2020 1. The City Government of Marawi, intends to a</t>
  </si>
  <si>
    <t xml:space="preserve"> 24 pax. Wheel Chair 15 pax. Hearing Aid 5 pax. Orthosis and Prosthesis</t>
  </si>
  <si>
    <t xml:space="preserve"> Republic of the Philippines Province of Siquijor Municipality of Siquijor Local Government Unit of the Municipality of Siquijor INVITATION TO BID FOR CONSTRUCTION OF PERIMETER FENCE @ SIQUIJOR INTEGRATED SCHOOL POLANGYUTA SIQUIJOR, SIQUIJOR 1.	The Local G</t>
  </si>
  <si>
    <t xml:space="preserve"> 1 set. Collection CPR Training Manikins (Contains 1 adult, 1 child and 1 infant all with LED Rate Monitors also included the 10 adults lung bags, 10 lung bags child and 10 lung bags infant plus an Instruction Sheet and nylon carrying case) 25 pcs. Cadaver</t>
  </si>
  <si>
    <t xml:space="preserve"> Procurement of One (1) unit Motorcycle</t>
  </si>
  <si>
    <t xml:space="preserve"> OFFICE: MUNICIPAL ENGINEERING OFFICE PURPOSE: FOR THE PREPARATION OF ARCHITECTURAL DESIGNS AND PROGRAMMING OF INFRA-PROJECTS ABC:150,000.00 ITEM DESCRIPTION 1 UNIT LAPTOP      SPECIFICATION PROCESSOR = CORE i7 RAM -16GB DDR4 HDD - 1TB SDD - 256 GB GRAPHIC</t>
  </si>
  <si>
    <t xml:space="preserve"> Procurement and Delivery of various office supplies for different offices</t>
  </si>
  <si>
    <t xml:space="preserve"> Repair/Maintenance of DILG Building</t>
  </si>
  <si>
    <t xml:space="preserve"> Republic of the Philippines Province of Isabela Municipality of Jones INVITATION TO BID FOR THE Supply and Delivery of Medicines at PGBICH (3rd Quarter 2020) Solicitation No. Goods-2020-15 	The Municipality of Jones, Isabela, through the General Fund CY 2</t>
  </si>
  <si>
    <t xml:space="preserve"> Project Title: Assistance to Barangay Solid Waste Management Program (Garbage Facilities) INVITATION TO BID NO. INFRA-2020-14 									 1.	The Municipal Government of Hungduan, Ifugao, through the 20% Municipal Development Fund intends to apply the sum of</t>
  </si>
  <si>
    <t xml:space="preserve"> Republic of the Philippines Province of Quezon Municipality of San Francisco   BIDS &amp; AWARDS COMMITTEE INVITATION TO APPLY FOR ELIGIBILITY AND TO BID     The Municipality of San Francisco through Supplemental Fund of the Office of the Municipal Health of </t>
  </si>
  <si>
    <t xml:space="preserve"> INVITATION TO BID  for  Construction of Perimeter Fence with Steel Gate at Capitol Compound, Lingayen, Pangasinan Solicitation No. PANG-2020-0854 1.	The Provincial Government of Pangasinan, through the Community Development Fund (PR#2020-01-0781) intends </t>
  </si>
  <si>
    <t xml:space="preserve"> Project Description: Road Construction of 159m carriageway with 5m width and 0.15m thick PCCP (2 lanes). Republic of the Philippines Province of Leyte Municipality of Matalom INVITATION TO BID FOR  CONCRETING OF BRGY. ROADS AT BRGY. SAN JUAN, MATALOM, LEY</t>
  </si>
  <si>
    <t xml:space="preserve"> Republic of the Philippines Province of Siquijor BIDS AND AWARDS COMMITTEE Siquijor, Siquijor Invitation to Bid for Construction of MRF and Septic Vault for Special Waste at New Hospital, Caipilan, Siquijor, Caipilan, Siquijor, Siquijor  1.	The Provincial</t>
  </si>
  <si>
    <t xml:space="preserve"> INVITATION TO BID  for  Installation of Electrical Main Feederline for 3 units – 2 Storey Cottages at Provincial Capitol Resort Hotel, Lingayen, Pangasinan Solicitation No. PANG-2020-0855 1.	The Provincial Government of Pangasinan, through the Community D</t>
  </si>
  <si>
    <t xml:space="preserve"> INVITATION TO BID  FOR THE Supply and Delivery of Air Condition Units I.B. No. 2020 - 0033 							 1. The LGU-Cabanatuan City, through the General Fund FY 2020 intends to apply the sum of One Million Six Hundred Fifty-Five Thousand Nine Hundred Twenty-Six</t>
  </si>
  <si>
    <t xml:space="preserve"> LGU-BAROBO		Project Reference Number			 Name of Procuring Entity		Supply and Delivery of General Merchandise			 					 			Barobo, Surigao del Sur		 Standard Form Number: SF-GOOD-60					 Revised on: May 24, 2004					 Standard Form Title: REQUEST FOR QUOTATI</t>
  </si>
  <si>
    <t xml:space="preserve"> Republic of the Philippines Province of Leyte Municipality of Hilongos INVITATION TO RE-BID FOR THE PROCUREMENT OF OFFICE SUPPLIES 1.  The Local Government Unit of Hilongos, through GENERAL FUND-CURRENT APPROPRIATION- intends to apply the sum FORTY NINE T</t>
  </si>
  <si>
    <t xml:space="preserve"> Construction of 10m x 8m Tribal Hall with CR, ceiling, plumbing fixtures, electrical and paintings</t>
  </si>
  <si>
    <t xml:space="preserve"> Bid Opening - August 11, 2020, 2:30 P.M at Municipal Conference Hall</t>
  </si>
  <si>
    <t xml:space="preserve"> 1.	The LGU Dilasag, Aurora, through the MDRRM Fund 2020 intends to apply the sum of One Million Four Hundred Thousand Pesos (₱ 1,400,000.00) being the Approved Budget for the Contract (ABC) to payments under the contract for Construction/Improvement of Fl</t>
  </si>
  <si>
    <t xml:space="preserve"> Construction of Slope Protection at Pange Bridge, Brgy. Altavista, Matalom, Leyte. Republic of the Philippines Province of Leyte Municipality of Matalom INVITATION TO BID FOR  CONSTRUCTION OF SLOPE PROTECTION AT PANGE BRIDGE, BRGY. ALTAVISTA, MATALOM, LEY</t>
  </si>
  <si>
    <t xml:space="preserve"> Construction of 2 units Intermediate Tower and Repair of Tower 2</t>
  </si>
  <si>
    <t xml:space="preserve"> Contract Name:	PURCHASE OF LUBRICANTS FOR MPFDEO SERVICE VEHICLES AND HEAVY EQUIPMENT Contract Location:	DPWH-MPFDEO, Bontoc, Mountain Province Brief Description of Goods to be Procured:	PURCHASE OF LUBRICANTS  Approved Budget for the Contract (ABC):	Php </t>
  </si>
  <si>
    <t xml:space="preserve"> RE - INVITATION TO BID FOR CIVIL WORKS July 20, 2020 1.	The Department of Public Works and Highways (DPWH), Bukidnon Second District Engineering Office, Pinamaloy, Don Carlos, Bukidnon through its Bids and Awards Committee BAC, invites contractors to subm</t>
  </si>
  <si>
    <t xml:space="preserve"> INVITATION TO BID The Bureau of Fisheries and Aquatic Resources Region 5 (BFAR 5), through the Government of the Philippines (GOP), for CY 2020 intends to apply the sum of One Million One Hundred Sixty Two Thousand Five Hundred Sixty Pesos (PhP1,162,560.0</t>
  </si>
  <si>
    <t xml:space="preserve"> supply and delivery of various construction materials (see attached for the list of materials)</t>
  </si>
  <si>
    <t xml:space="preserve"> Procurement of Civil Works-Improvement of Monggol,Babadi-Mahingao-Bakeh Road @ Babadi KNV</t>
  </si>
  <si>
    <t xml:space="preserve"> Republic of the Philippines Province of Siquijor Municipality of Siquijor Local Government Unit of the Municipality of Siquijor INVITATION TO BID FOR Upgrading of Local Access Road at Barangay Caipilan 1.	The Local Government Unit of the Municipality of S</t>
  </si>
  <si>
    <t xml:space="preserve"> Procurement of Civil Works-Improvement of Pampang-Balangabang-Talmoy,Banao Road @ Balangabang, KNV</t>
  </si>
  <si>
    <t xml:space="preserve"> INVITATION TO BID July 21, 2020 1. The DPWH–Biliran District Engineering Office, through its Bids and Awards Committee (BAC), invites contractors to submit bids for the following Contract: 1.	Procurement ID/Contract ID	:  20IA0086 (Re-advertisement)						</t>
  </si>
  <si>
    <t xml:space="preserve"> Invitation to Bid for  PACKAGE 20-36:  COMMUNITY DEVELOPMENT 1.	The Bids and Awards Committee of the Local Government Unit of Santiago City, through the Economic Development Fund intends to apply the sum of Six Million Nine Hundred Eighty Two Thousand Thr</t>
  </si>
  <si>
    <t xml:space="preserve"> Demolition &amp; Excavation works RCPC &amp; Catch basin</t>
  </si>
  <si>
    <t xml:space="preserve"> INVITATION TO BID ON THE SUPPLY, DELIVERY AND INSTALLATION OF  1 LOT ELECTRONIC TECHNOLOGY LABORATORY OF BUKIDNON STATE UNIVERSITY 1.	The Bukidnon State University through the Bids and Awards Committee &amp; Budget Approved by the Board of Regents 2020 [Fund </t>
  </si>
  <si>
    <t xml:space="preserve"> Republic of the Philippines Province of Leyte Municipality of Leyte BARANGAY SALOG -oOo- INVITATION TO BID FOR CONSTRUCTION OF FARM-TO-MARKET ROAD (STA. 0+000-STA.0+040) BRGY. SALOG, LEYTE, LEYTE P.R No: 000-01-20 The Sangguniang Barangay of Salog, throug</t>
  </si>
  <si>
    <t xml:space="preserve"> INVITATION TO BID  for  Concreting of Road &amp; Construction of Perimeter Fence at Poblacion Central School, Sual, Pangasinan Solicitation No. PANG-2020-0857 1.	The Provincial Government of Pangasinan, through the School Board (PR#2020-02-1860) intends to ap</t>
  </si>
  <si>
    <t xml:space="preserve"> 1 Set. Generator 45 KVA</t>
  </si>
  <si>
    <t xml:space="preserve"> Portland cement concrete pavement -Materials -Equiptment</t>
  </si>
  <si>
    <t xml:space="preserve"> 2	units	Concrete / Asphalt Cutter Machine 		Specifications: Diesel 		Fuel Type: Engine Type: Diesel Engine 		Power KW (HP): 12 HP 		Weight :  148kgs 		Max Cutting Depth 17cm 		Blade Size:  35-50cm 		Depth Adjustment: Handle Rotation 		Driving: Manual Push</t>
  </si>
  <si>
    <t xml:space="preserve"> INVITATION TO BID  FOR THE Supply and Delivery of CEO Materials Testing Equipment I.B. No. 2020 - 0034 							 1. The LGU-Cabanatuan City, through the General Fund FY 2020 intends to apply the sum of One Million Eight Hundred Eight Thousand Four Hundred T</t>
  </si>
  <si>
    <t xml:space="preserve"> 1 LOT CONSTRUCTION OF SLOPE PROTECTION OF ACCESS ROAD SITIO TAMSIAN, BARANGAY PAGTILAAN, LINGIG, SURIGAO DEL SUR</t>
  </si>
  <si>
    <t xml:space="preserve"> 1.	The LGU Dilasag, Aurora, through the 20% Development Fund 2018, 2019 &amp; 2020 intends to apply the sum of Two Million Nine Hundred Thousand Pesos (₱ 2,900,000.00) being the Approved Budget for the Contract (ABC) to payments under the contract for Constru</t>
  </si>
  <si>
    <t xml:space="preserve"> ITEM: 45 SACKS RICE (50 KGS/SACK)</t>
  </si>
  <si>
    <t xml:space="preserve"> supply &amp; delivery of various construction materials (see attached for the list of materials)</t>
  </si>
  <si>
    <t xml:space="preserve"> 20 sets Emergency First Aid Kits  &gt; Kits &gt;Flashlights &gt; Batteries &gt; Bandage &gt; Providone Iodine &gt; Alcohol &gt; Cotton Balls &gt; Matches 20 pcs Caps/Hats 20 pcs Rain coats 20 pcs Boots 20 pcs Handcuffs (heavy duty)</t>
  </si>
  <si>
    <t xml:space="preserve"> Section I. Invitation to Re-Bid Republic of the Philippines Province of Romblon  Invitation to Bid for the  Construction of Flood Control Poblacion, Sta. Fe, Romblon July 22, 2020 1.	The Province of Romblon through the ADP CY 2020 AIP Ref. Code 3000-1-01-</t>
  </si>
  <si>
    <t xml:space="preserve"> Dimension: 210 x 124.4 x 8 mm Build: Glass front, aluminum back, plastic frame SIM: Nano-SIM Display: 8.0” TFT capacitive touchscreen, 16M colors or higher OS: Android 9.0 (Pie) CPU: Quad-core  GPU: Adreno 504 Memory: 32GB / 2GB RAM or higher INVITATION T</t>
  </si>
  <si>
    <t xml:space="preserve"> INVITATION TO BID  for  Concreting of Brgy. Nagpalangan Road, Binmaley, Pangasinan Solicitation No. PANG-2020-0856 1.	The Provincial Government of Pangasinan, through the Construction, Repair &amp; Maintenance of Various Roads and Bridges (PR#2020-06-5442) in</t>
  </si>
  <si>
    <t xml:space="preserve"> 1  LS General Requirements  1  LS  Carpentry Works 1  LS  Roofing Works  Equipment Needed: 1 unit Concrete Mixer, 1 unit Welding Machine</t>
  </si>
  <si>
    <t xml:space="preserve"> Contract for One (1) Lot Comprehensive Maintenance of Conveyance System under PR No. RS-0919-033 and ITB No. 2001-004-02 Schedule of Activities  Pre-bid Conference		: 29 July 2020 (Wednesday) @ 10:00 A.M. 				  Cafeteria, LRTA Line 2- Depot, Santolan, Pas</t>
  </si>
  <si>
    <t xml:space="preserve"> 8	pcs	11.00 x 20 outer casing w/inner tube &amp; canvass (Roadlug) 2	pcs	11.00 x 20 Outer Casing w/ inner tube &amp; canvass  (Commercial) 		GRAND TOTAL AMOUNT  P174,400.00</t>
  </si>
  <si>
    <t xml:space="preserve"> Republic of the Philippines Province of Southern Leyte MUNICIPALITY OF LIMASAWA -o0o- Bids and Awards Committee Invitation to Bid for the Procurement  of Information Technology (IT) Equipment of the Municipality of Limasawa, Southern Leyte 1.	The Local Go</t>
  </si>
  <si>
    <t xml:space="preserve"> see attached Invitation to Bid</t>
  </si>
  <si>
    <t xml:space="preserve"> HOP-QR-PRO-005 Republic of the Philippines Department of Health DAVAO REGIONAL MEDICAL CENTER Apokon, Tagum City BIDS AND AWARDS COMMITTEE INVITATION TO BID FOR THE SUPPLY &amp; DELIVERY OF LABORATORY SUPPLIES &amp; REAGENTS 1.	The Davao Regional Medical Center (</t>
  </si>
  <si>
    <t xml:space="preserve"> 1	unit	AIR CON, 2.5Hp Cooling Capacity, Inverter, Split type, Wall-mounted,  price is inclusive of labor and materials for installation  2	units	AIR CON, 2.0Hp Cooling Capacity, Inverter, Split type, Wall-mounted,  price is inclusive of labor and material</t>
  </si>
  <si>
    <t xml:space="preserve"> Procurement of CCTV and Laptop</t>
  </si>
  <si>
    <t xml:space="preserve"> lawn mower gasoline nylon</t>
  </si>
  <si>
    <t xml:space="preserve"> Republic of the Philippines  Province of Isabela  Municipality of Jones    INVITATION TO BID FOR   Supply of Materials, Labor and Equipment for the Proposed Construction of Line Canal Phase I at Public Market, Barangay I, Jones, Isabela Solicitation No.: </t>
  </si>
  <si>
    <t xml:space="preserve"> Submission of Quotation on a sealed envelope submit it to  UPLB BAC Secretariat SPMO Rambutan, Road. Telephone No. (049) 544-0382 or email at bacsec.rq@gmail.com</t>
  </si>
  <si>
    <t xml:space="preserve"> Procurement of 25 unit printer Epson L3110</t>
  </si>
  <si>
    <t xml:space="preserve"> 29	cu.m.	3/4" Crushed Rocks 28	cu.m.	Mixing Sand 200	pcs	2" x 2" x 10 R/L 50	pcs	2" x 4" x 10' R/L 		GRAND TOTAL AMOUNT  P123,250.00</t>
  </si>
  <si>
    <t xml:space="preserve"> supply &amp; delivery of various construction materials (see attached for the list of supplies)</t>
  </si>
  <si>
    <t xml:space="preserve"> Section I. Invitation to Re-Bid Republic of the Philippines Province of Romblon  Invitation to Bid for the  Completion of Cajidiocan Sports Complex Concrete Bleacher Cajidiocan, Romblon July 22, 2020 1.	The Province of Romblon through the CY 2019 ADP REF.</t>
  </si>
  <si>
    <t xml:space="preserve"> INVITATION TO BID FOR  PURCHASE OF PAY LOADER 	The Municipality of San Juan through the Government of the Philippines intends to apply the sum of  SIX MILLION  PESOS ONLY  (Php.6,000,000.00)  being the Approved Budget for the Contract (ABC) to payments un</t>
  </si>
  <si>
    <t xml:space="preserve"> LOT - I Construction Materials 1500	pcs.	4" x 8" x 16" CHB 18	cu.m.	Washed Sand 8	cu.m.	3/4" Crushed Rocks 12	cu.m.	Fine Aggregates 170	bags	Portland Cement, Type I, Prem. Quality 110	pcs.	10mm dia DSB 30	pcs.	12mm x 6m DSB 250	lgths.	12mm x 6m Square Bar</t>
  </si>
  <si>
    <t xml:space="preserve"> Section I. Invitation to Re-Bid Republic of the Philippines Province of Romblon  Invitation to Bid for the  Site Development for Municipal Housing Project at Brgy. Poblacion San Agustin, Romblon July 22, 2020  1.	The Province of Romblon through the ADP CY</t>
  </si>
  <si>
    <t xml:space="preserve"> LOT - I Aggregates 70	cu.m.	Item 201 		Total of Lot - I  P45,500.00</t>
  </si>
  <si>
    <t xml:space="preserve"> 20 pcs Heavy Duty Gloves 		 20 pcs Special Insulated Gloves 		 20 pcs Working Gloves 		 20 pcs Safety Mask 		 20 pcs Safety Boots (Steel Toe)		 20 pcs Safety Shoes 		 20 pcs Goggle (for fire floods and cleaning debris)</t>
  </si>
  <si>
    <t xml:space="preserve"> Republic of the Philippines BOHOL ISLAND STATE UNIVERSITY Main Campus, Tagbilaran City INVITATION TO BID FOR RE-BIDDING: PR NO. 2020-02-0252-MAIN-SUPPLY AND DELIVERY OF RFID LIBRARY SECURITY SYSTEM 1.	The Bohol Island State University – Main Campus, Tagbi</t>
  </si>
  <si>
    <t xml:space="preserve"> INVITATION TO BID NO. INFRA-2020-04 									 1.	The Municipal Government of Hungduan, Ifugao, through the 20% Municipal Development Fund intends to apply the sum of One Million Six Hundred Thirty Six Thousand Six Hundred Fourteen Pesos &amp; Seventy Four Cen</t>
  </si>
  <si>
    <t xml:space="preserve"> Contract Name:	PURCHASE OF  DIESEL FUEL  FOR MPFDEO SERVICE VEHICLES AND HEAVY EQUIPMENT Contract Location:	DPWH-MPFDEO, Bontoc, Mountain Province Brief Description of Goods to be Procured:	PURCHASE OF  DIESEL FUEL Approved Budget for the Contract (ABC):	</t>
  </si>
  <si>
    <t xml:space="preserve"> OFFICE: MAYOR'S OFFICE PURPOSE: EQUIPMENT FOR SOLID WASTE ABC: 64,500.00 ITEM DESCRIPTION 2 UNIT BRUSH CUTTER (2 STROKE)</t>
  </si>
  <si>
    <t xml:space="preserve"> Republic of the Philippines PHILIPPINE NORMAL UNIVERSITY National Center for Teacher Education The Indigenous Peoples Education Hub North Luzon ITB NO.: PNU-NL GD 2020-07-22A INVITATION TO BID FOR THE  MASS REPRODUCTION OF FLEXLEARNING MATERIALS FOR FIRST</t>
  </si>
  <si>
    <t xml:space="preserve"> INVITATION TO BID  for  Improvement of Dietary and Laundry Room at Umingan Community Hospital, Umingan, Pangasinan Solicitation No. PANG-2020-0976 1.	The Provincial Government of Pangasinan, through the Repair of Schools and Community Projects (PR#2020-05</t>
  </si>
  <si>
    <t xml:space="preserve"> Republic of the Philippines BOHOL ISLAND STATE UNIVERSITY Main Campus, Tagbilaran City INVITATION TO BID FOR PR NO. 2020-03-0432-MAIN - SUPPLY AND DELIVERY OF MECHANICAL TECHNOLOGY LABORATORY EQUIPMENT FOR CTAS 1.	The Bohol Island State University – Main </t>
  </si>
  <si>
    <t xml:space="preserve"> supply &amp; delivery of hardware materials to be used at Guba Bridge (see attached for the list of materials)</t>
  </si>
  <si>
    <t xml:space="preserve"> INVITATION TO BID NO. 2020-07-0017 PROCUREMENT OF SECURITY SERVICES OF CAPIZ STATE UNIVERSITY 1.	The Capiz State University, through the Special Trust Fund - 2020 intends to apply the sum of Six Million Six Hundred Eighty-Three Thousand Forty Pesos (Php6,</t>
  </si>
  <si>
    <t xml:space="preserve"> I N V I T A T I O N   T O   B I D  The Visayas State University through its Bids and Awards Committee (BAC), invites suppliers/manufacturers/distributors to apply for eligibility and to bid for the hereunder project: Name of Project		 :  Supply and Delive</t>
  </si>
  <si>
    <t xml:space="preserve"> 1. 26,276.16 LITERS DIESEL</t>
  </si>
  <si>
    <t xml:space="preserve"> P.R. No. 20-0096 Republic of the Philippines ZAMBOANGA CITY WATER DISTRICT Pilar Street, Zamboanga City INVITATION TO BID  FOR  1. Aluminum Sulfate – 17%  ----------------- 2,500 bags Approximate Size: 20mm	 at 50kgs/bag	 	 The submission of One (1) kilo </t>
  </si>
  <si>
    <t xml:space="preserve"> 1	bx	CELL-DYN Control (Ruby) 12	bxs	CELL-DYN DILUENT SHEATH 4	bxs	CELL-DYN WBC LYSE 		GRAND TOTAL AMOUNT  P382,672.00</t>
  </si>
  <si>
    <t xml:space="preserve"> Repair and Repainting of Senior Citizen's Park Gate 		 &gt; 25 pcs Tubolar 		 &gt; 20 kls Welding Rod		 &gt;20 pcs Paint Brush #2		 &gt; 25 gals Epoxy Primer 		 &gt; 25 gals Enamel Green		 &gt; 100 pcs Cutting Disk		 &gt; 1 lot Labor 		 		 Repair and Repainting of Senior Citi</t>
  </si>
  <si>
    <t xml:space="preserve"> Contract Name:	PURCHASE OF MATERIALS FOR USE IN IMMEDIATE RESTORATION OF ROAD CUTS ALONG VARIOUS ROAD SECTIONS Contract Location:	DPWH-MPFDEO, Bontoc, Mountain Province Brief Description of Goods to be Procured:	PURCHASE OF  MATERIALS Approved Budget for </t>
  </si>
  <si>
    <t xml:space="preserve"> 20	bxs	SGPT Fuji Dri-Chem 30	bxs	Glucose Fuji Dri Chem 30	bxs	Creatinine Fuji Dri-Chem. 20	bxs	Uric Acid Fuji Dri-Chem 20	bxs	BUN 20	bxs	Cholesterol 20	bxs	HDL 15	bxs	Triglycerides 2	bxs	Auto Tips Fuji Dri-Chem 1	bx	Plain Tubes 1	bx 	UFII Search SED 1	bx	</t>
  </si>
  <si>
    <t xml:space="preserve"> Republic of the Philippines Province of Siquijor Municipality of Siquijor Local Government Unit of the Municipality of Siquijor INVITATION TO BID FOR Rehabilitation of Pili-Banban Farm to Market Road Pili, Siquijor, Siquijor 1.	The Local Government Unit o</t>
  </si>
  <si>
    <t xml:space="preserve"> Republic of the Philippines DEPARTMENT OF PUBLIC WORKS AND HIGHWAYS CAGAYAN THIRD DISTRICT ENGINEERING OFFICE REGION II Tuguegarao City    INVITATION TO BID  The Department of Public Works and Highways Cagayan Third District Engineering Office, through it</t>
  </si>
  <si>
    <t xml:space="preserve"> 1. REPLACEMENT OF LUMBER TRUSS TO STEEL TRUSS 2. ROOFING WORKS 3. DEMOLITION WORKS</t>
  </si>
  <si>
    <t xml:space="preserve"> CONSTRUCTION OF 1 CLASSROOM BUILDING @ BALIMBING ELEMENTARY SCHOOL, SAN PASCUAL, BATANGAS</t>
  </si>
  <si>
    <t xml:space="preserve"> INVITATION TO BID  for  Provision of Roof Deck of Roofing of X-Ray/Ultrasound Building at Mapandan Community Hospital, Mapandan, Pangasinan Solicitation No. PANG-2020-0977 1.	The Provincial Government of Pangasinan, through the Repair of Schools and Commu</t>
  </si>
  <si>
    <t xml:space="preserve"> Dimension: 4.0M x8.0M ESTIMATES: ITEM I. CONCRETE WORKS ITEM II. MASONRY WORKS ITEM III. DOORS &amp; WINDOWS ITEM IV. FORMS &amp; SCAFFOLDINGS ITEM V. PLUMBING WORKS &amp; FIXTURES ITEM VI. ELECTRICAL WORKS &amp; FURNITURES ITEM VII. CARPENTRY &amp; JOINERY WORKS (CEILING WO</t>
  </si>
  <si>
    <t xml:space="preserve"> INVITATION TO BID                            FOR THE PROCUREMENT OF SECURITY SERVICES FOR ADMINISTRATIVE CENTER                                                                                            AND CAGAYAN DE ORO CITY POST OFFICE 	The Philippine </t>
  </si>
  <si>
    <t xml:space="preserve"> Section I. Invitation to Bid Republic of the Philippines Province of Romblon  Invitation to Bid for the  Construction of Converging Area at Odiongan Sports Complex, Odiongan, Romblon July 22, 2020  1.	The Province of Romblon through the SP Resolution No. </t>
  </si>
  <si>
    <t xml:space="preserve"> bond paper printer ink folders</t>
  </si>
  <si>
    <t xml:space="preserve"> INVITATION TO BID NO. INFRA-2020-12 									 1.	The Municipal Government of Hungduan, Ifugao, through the 20% Municipal Development Fund intends to apply the sum of One Million One Hundred Ninety Four Thousand Six Hundred Fifty Nine Thousand Forty Three </t>
  </si>
  <si>
    <t xml:space="preserve"> Excavation, Embankment, Aggregate Sub-base Course, PCCP (0.28m thk.), Pavement Markings</t>
  </si>
  <si>
    <t xml:space="preserve"> Section I. Invitation to Bid Republic of the Philippines Province of Romblon  Invitation to Bid for the  Construction of Maternity Half-Way House, Malipayon District Hospital, Poblacion, Corcuera, Romblon July 22, 2020 1.	The Province of Romblon through t</t>
  </si>
  <si>
    <t xml:space="preserve"> Complete School Building (elevated 0.50.), with rain water tank</t>
  </si>
  <si>
    <t xml:space="preserve"> Republic of the Philippines Province of Oriental Mindoro Municipality of Bulalacao INVITATION TO BID FOR  Procurement of Materials for the Installation of Solar Street Lights 1.	The Municipality of Bulalacao, through the 20% Development Fund intends to ap</t>
  </si>
  <si>
    <t xml:space="preserve"> Section I. Invitation to Bid Republic of the Philippines Province of Romblon  Invitation to Bid for the  Concrete Paving of Bachawan-Poblacion Road, Concepcion, Romblon July 22, 2020 1.	The Province of Romblon through the ADP CY 2020 AIP Ref. Code 8000-1-</t>
  </si>
  <si>
    <t xml:space="preserve"> Republic of the Philippines Province of Camarines Sur MUNICIPALITY OF BAAO INVITATION TO BID FOR THE SUPPLY AND DELIVERY OF I.T. EQUIPMENT 1. The LOCAL GOVERNMENT UNIT OF BAAO, through the Budget for the contract approved by the Sanggunian 2020 intends to</t>
  </si>
  <si>
    <t xml:space="preserve"> Invitation to Bid   Design and Build of the New Eighteen-Storey Clark Air Traffic Control Tower Building Facility at Clark International Airport 1.	The Bases Conversion and Development Authority (BCDA), through the General Appropriations Act (GAA) of 2020</t>
  </si>
  <si>
    <t xml:space="preserve"> INVITATION TO BID  for  Supply and Delivery of One (1) unit 6 Wheeler Wing Van Truck (25 ft. Hydraulic Wing Van) at GSO, Lingayen, Pangasinan (for Disaster Relief Operations of the Province) Solicitation No. PANG-2020-863 1.	The Provincial Government of P</t>
  </si>
  <si>
    <t xml:space="preserve"> Republic of the Philippines Province of Leyte Municipality of Hilongos INVITATION TO RE-BID FOR THE PURCHASE OF FURNITURE &amp; FIXTURES 1.  The Local Government Unit of Hilongos, through GENERAL FUND-CURRENT APPROPRIATION intends to apply the sum EIGHTY FIVE</t>
  </si>
  <si>
    <t xml:space="preserve"> 1. 30,000 pack - Powdered Milk Drink (300 grams) (Fortified Filled Milk, with Vitamins A,C,D, Iron and Zinc)</t>
  </si>
  <si>
    <t xml:space="preserve"> INVITATION TO BID  for  Supply and Delivery of One (1) unit Generator Set (300KVA, Open Type w/ complete Accessories and Battery) at GSO, Lingayen, Pangasinan (for use at 3 Storey Multi-Purpose Building, Capitol Compound, Lingyen, Pangasinan) Solicitation</t>
  </si>
  <si>
    <t xml:space="preserve"> INVITATION TO BID NO. INFRA-2020-11 									 1.	The Municipal Government of Hungduan, Ifugao, through the 20% Municipal Development Fund intends to apply the sum of One Million Six Hundred Thirty ThreeCentavos (₱1,633,004.30) being the Approved Budget fo</t>
  </si>
  <si>
    <t xml:space="preserve"> INVITATION TO BID FOR THE SUPPLY OF LABOR &amp; MATERIALS FOR THE CONCRETING OF BARANGAY ROAD. 1. The Barangay Government SINISIAN EAST through the ANNUAL BUDGET (20% LDF FUND C.Y 2020) intends to apply the sum of Php 199,907.92 being the Approved Budget for </t>
  </si>
  <si>
    <t xml:space="preserve"> Name of Procuring Entity:                     	                             Contract Reference No. LGU-Q-CWC-11-20 LOCAL GOVERNMENT UNIT	         Name of Contract: Construction of Level II Potable Water System OF QUEZON, ISABELA                           </t>
  </si>
  <si>
    <t xml:space="preserve"> Republic of the Philippines                                                                   PROVINCE OF AKLAN                                                       MUNICIPALITY OF NEW WASHINGTON Invitation to Apply and to Bid for the Construction of Per</t>
  </si>
  <si>
    <t xml:space="preserve"> Construction of Water System Materials and Supply</t>
  </si>
  <si>
    <t xml:space="preserve"> 2 units Window Type Aircon (Inverter)		 &gt; Cooling Capacity: 2HP		 		 1 unit Split Type Aircon (Inverter)		 &gt; Cooling Capacity:2.5HP		 		 1 unit Floor Mounted (Inverter)		 &gt; Cooling Capacity: 4HP		 		 1 unit Scanner 		 &gt; A4 Sheet fed, one pass duplex colou</t>
  </si>
  <si>
    <t xml:space="preserve"> Drainage Canal Materials Labor</t>
  </si>
  <si>
    <t xml:space="preserve"> Installation of Pipes -Materials -Labor</t>
  </si>
  <si>
    <t xml:space="preserve"> Republic of the Philippines Province of Nueva Vizcaya BIDS AND AWARDS COMMITTEE (BAC-GOODS) BAC OFFICE, Provincial Capitol, Bayombong, Nueva Vizcaya Tel. No. (078) 392-2650 	 2ND INVITATION TO BID FOR THE SUPPLY AND DELIVERY OF ONE (1) UNIT DEFIBRILLATOR </t>
  </si>
  <si>
    <t xml:space="preserve"> Republic of the Philippines BOHOL ISLAND STATE UNIVERSITY Main Campus, Tagbilaran City INVITATION TO BID FOR SUPPLY AND DELIVERY OF PHOTOCOPIER FOR THE 2ND QUARTER (PR NO.2020-02-0167) 1.	The Bohol Island State University – Main Campus, Tagbilaran City, t</t>
  </si>
  <si>
    <t xml:space="preserve"> Republic of the Philippines BOHOL ISLAND STATE UNIVERSITY Main Campus, Tagbilaran City INVITATION TO BID FOR SUPPLY, DELIVERY AND INSTALLATION OF AIRCONDITIONING UNITS FOR THE 2ND QUARTER (PR NO. 2020-03-0470, 2020-02-0424, 2020-06-0578, 2020-06-0552) 1.	</t>
  </si>
  <si>
    <t xml:space="preserve"> 17 liters Insecticide  &gt; Cyphenothrin 5%</t>
  </si>
  <si>
    <t xml:space="preserve"> Republic of the Philippines BOHOL ISLAND STATE UNIVERSITY Main Campus, Tagbilaran City INVITATION TO BID FOR SUPPLY AND DELIVERY OF OFFICE EQUIPMENT FOR THE 2ND QUARTER (PR NO.2020-01-0029,2020-06-0540, 2020-02-0167, 2020-02-0144, 2020-02-0179, 2020-03-04</t>
  </si>
  <si>
    <t xml:space="preserve"> INVITATION TO BID FOR SUPPLY AND DELIVERY OF MEDICAL EQUIPMENT 1.	The Municipal Government of Luna, La Union through the 20% DEVELOPMENT FUND-CY 2020 intends to apply the sum of ONE MILLION FOUR HUNDRED NINETY-NINE THOUSAND FIVE HUNDRED PESOS (Php1,499,50</t>
  </si>
  <si>
    <t xml:space="preserve"> 1.     	BRGY POBLACION have allocated a fund amounting to Php 200,000.00 for the Construction of Brgy. Peace Keeping Action Team (BPAT) Bldg. 2    .      The LGU Veruela now invites bids for Construction of Brgy. Peace Keeping Action Team (BPAT) Bldg. 3. </t>
  </si>
  <si>
    <t xml:space="preserve"> Republic of the Philippines          City of Dumaguete Bids and Awards Committee INVITATION TO BID FOR THE PURCHASE OF 1 UNIT BRAND NEW SIX (6) WHEELER MINI-DUMP TRUCK 	The City of Dumaguete thru its BIDS AND AWARDS COMMITTEE (BAC), invites all interested</t>
  </si>
  <si>
    <t xml:space="preserve"> Republic of the Philippines  Province of Cebu Municipality of Boljoon INVITATION TO BID FOR the purchase of materials for Road concreting  1.	The Municipality of Boljoon, through the 20% Development Fund CY 2020  in the amount of Four hundred Forty Nine t</t>
  </si>
  <si>
    <t xml:space="preserve"> INVITATION TO BID  for  Supply and Delivery of Eighty boxes Dengue IgG/IgM+NSI (Combo)25’s/box at Pangsinan Provincial Hospital, San Carlos City, Pangsinan Solicitation No. PANG-2020-864 1.	The Provincial Government of Pangasinan, through the Other Mainte</t>
  </si>
  <si>
    <t xml:space="preserve"> 1lot Computer Equipment and Software [3 UNITS] Desktop Computer • Processor :Intel Core i7-7700 Processor 3.60GHz • Motherboard : MSI B250M PRO VH Micro ATX Motherboards - Intel • Memory : Avexir Core Series 8GB DDR4 • Hard Drive : Seagate 1TB HDD • Graph</t>
  </si>
  <si>
    <t xml:space="preserve"> INVITATION TO BID  for the following Projects: Repair and Rehab of National Road/Selective Replacement of Concrete Pavement, Along Dinagat-Loreto Road The Department of Public Works and Highways, DPWH Dinagat Islands District Engineering Office through FY</t>
  </si>
  <si>
    <t xml:space="preserve"> GEO-TECHNICAL AND GEOLOGICAL SURVEY.</t>
  </si>
  <si>
    <t xml:space="preserve"> INVITATION TO BID  for  Supply and Delivery of 4,000 cyls. Medical Oxygen (Std. Type) and 150 cyls. Medical Oxygen (Flask Type) at Pangasinan Provincial Hospital, San Carlos City, Pangsinan Solicitation No. PANG-2020-865 1.	The Provincial Government of Pa</t>
  </si>
  <si>
    <t xml:space="preserve"> Clearing &amp; Grubbing, Removal of Trees, Excavation, Embankment, Aggregate Sub-base Course, PCCP (0.20m thk.), Pavement Markings</t>
  </si>
  <si>
    <t xml:space="preserve"> Section I. INVITATION TO BID FOR DESIGN &amp; BUILD OF PUBLIC MARKET BUILDING 1.	The Local Government Unit of Lambayong, through the Land Bank of the Philippines intends to apply the sum of PhP 30,000,000.00 being the Approved Budget for the Contract (ABC) to</t>
  </si>
  <si>
    <t xml:space="preserve"> GEOTECHNICAL AND GEOLOGICAL SURVEY.</t>
  </si>
  <si>
    <t xml:space="preserve"> Republic of the Philippines Province of Leyte Municipality of Leyte BARANGAY SALOG -oOo- INVITATION TO BID FOR REHABILITATION OF BARANGAY STAGE BRGY. DANUS, LEYTE, LEYTE P.R No: 000-01-20 The Sangguniang Barangay of Salog, through its Bids and Awards Comm</t>
  </si>
  <si>
    <t xml:space="preserve"> Republic of the Philippines  City of Canlaon Office of the Bids and Awards Committee  INVITATION TO BID FOR the Improvement of Brgy. Multi-purpose Building The Local Government of Canlaon City, through AIP 2020. Intends to apply the sum One Million Four H</t>
  </si>
  <si>
    <t xml:space="preserve"> Conduct of tree-planting and herbal plant cultivation activities within the barangay</t>
  </si>
  <si>
    <t xml:space="preserve"> Invitation to Bid for SUPPLY AND DELIVERY OF MATERIALS FOR INSTALLATION  OF MUNICIPAL STREETLIGHTING SYSTEM The Municipal Government of Looc, Romblon, through the Appropriation Ordinance No. 018-2019 Regular intends to apply the sum of Four Hundred Fourte</t>
  </si>
  <si>
    <t xml:space="preserve"> Republic of the Philippines Province of North Cotabato Municipality of Pres. Roxas OFFICE OF THE BARANGAY BIDS AND AWARDS COMMITTEE Barangay New Cebu INVITATION TO BID The Barangay Local Government Unit of New Cebu, President Roxas, thru Barangay Bids and</t>
  </si>
  <si>
    <t xml:space="preserve"> The PROFESSIONAL REGULATION COMMISSION (PRC) CAGAYAN DE ORO REGIONAL OFFICE X, with an office address at Skypark, Limketkai Center, Cagayan de Oro City, through its Regional Bids and Awards Committee (RBAC), invites bids for the following: Items to Bid fo</t>
  </si>
  <si>
    <t xml:space="preserve"> Republic of the Philippines  City of Canlaon Office of the Bids and Awards Committee  INVITATION TO BID FOR the Procurement of Face Mask, 3 ply with ear loop The Local Government of Canlaon City, through LDRRMO. Intends to apply the sum One Million Forty </t>
  </si>
  <si>
    <t xml:space="preserve"> qty   unit     description One (1) Unit Passenger Van    Specifications:  ENGINE: 3.0 L; 4 cylinder, Turbo, Diesel Injection, Blue power diesel engine' Euro 4' 5 speed Manual Transmission, 75 liters fuel tank capacity, 15 inches tires, Equipped power wido</t>
  </si>
  <si>
    <t xml:space="preserve"> Republic of the Philippines Province of Oriental Mindoro MUNICIPALITY OF PINAMALAYAN OFFICE OF THE BIDS AND AWARDS COMMITTEE Invitation to Bid ITB-2020-31 1.  The Municipal Government of Pinamalayan, Oriental Mindoro, through the authorized appropriations</t>
  </si>
  <si>
    <t xml:space="preserve"> In connection with your Invitation to Bid No. PEO-20-0838 B  scheduled on August 12, 2020, I/we proposed to furnish and deliver in conformity with the terms and conditions, and specifications of the items of which I/we quoted as specified below, and to bi</t>
  </si>
  <si>
    <t xml:space="preserve"> 1.	The Camarines Norte State College, through the 2020 General Fund and 2020 Income Funds intends to apply the sum of Six Million Five Hundred Twenty Thousand (Php 6,520,000.00) Pesos being the Approved Budget for the Contract (ABC) to payments under the </t>
  </si>
  <si>
    <t xml:space="preserve"> ROOF EXTENSION OF  BARANGAY HALL of Barangay 7 San Manuel Sarrat,  Ilocos Norte          1.	The  Barangay 7 San Manuel of Sarrat, Ilocos Norte, through the 20% Brgy Development  Fund to apply the sum of Php 425,971.99  being the Approved Budget for the Co</t>
  </si>
  <si>
    <t xml:space="preserve"> 1 unit Dental Chair		 &gt; Fully Motorized Hydraulically Self Adjusting Chair with lifting capacity of 200kgs		 &gt; High and Low Speed Hand Piece		 &gt; High Pressure Saliva Vacuum Machine		 &gt; Intergrated 17 inches LCD/TFT Monitor 		 &gt; LED Light Cure Unit/Modular</t>
  </si>
  <si>
    <t xml:space="preserve"> IMPROVEMENT OF MULTI-PURPOSE BUILDING CENTRO 09, TUGUEGARAO CITY</t>
  </si>
  <si>
    <t xml:space="preserve"> Invitation to Bid for SUPPLY AND DELIVERY OF VARIOUS SUPPLIES AND EQUIPMENT NEEDED IN PRINTING MODULES FOR ELEMENTARY SCHOOLS OF LOOC DISTRICT The Municipal Government of Looc, Romblon, through the Special Education Fund (SEF) intends to apply the sum of </t>
  </si>
  <si>
    <t xml:space="preserve"> INVITATION TO BID  for  Supply and Delivery of 2,060 cyls. Medical Oxygen (Std. Type) and 35 cyls. Medical Oxygen (Flask Type) at Urdaneta District Hospital, Urdaneta City, Pangsinan Solicitation No. PANG-2020-866 1.	The Provincial Government of Pangasina</t>
  </si>
  <si>
    <t xml:space="preserve"> SEE ATTACHED LINK TO OTHER INFORMATION</t>
  </si>
  <si>
    <t xml:space="preserve"> INVITATION TO BID FOR SUPPLY AND DELIVERY OF LABORATORY AND DENTAL SUPPLIES 1.	The Municipal Government of Luna, La Union through the GENERAL FUND intends to apply the sum of SEVEN HUNDRED THIRTY-SIX THOUSAND ONE HUNDRED TWENTY PESOS (Php736,120.00) being</t>
  </si>
  <si>
    <t xml:space="preserve"> Invitation to Bid for the Procurement of Two (2) Units Multicab for the Use of the LGU, Tagudin, Ilocos Sur 1.	The Local Government Unit of Tagudin, Ilocos Sur, thru its Bids and Awards Committee intends to apply the sum of Eight Hundred Thousand Pesos (P</t>
  </si>
  <si>
    <t xml:space="preserve"> Republic of the Philippines PROVINCE OF PAMPANGA City of San Fernando INVITATION TO BID NO. 2020-25 IG - BAC INVITATION TO BID FOR PURCHASE REQUEST NO.20-1400, 20-1401, 20-1431, 20-0845, 20-1454, 20-0554 AND 19-3827  The Provincial Government of Pampanga </t>
  </si>
  <si>
    <t xml:space="preserve"> Republic of the Philippines  City of Canlaon Office of the Bids and Awards Committee  INVITATION TO BID FOR the Procurement of Sound System  The Local Government of Canlaon City, through AIP 2020. Intends to apply the sum One Hundred Fifty Seven Thousand </t>
  </si>
  <si>
    <t xml:space="preserve"> CONSTRUCTION OF RC PIPE DRAINAGE of Barangay 7 San Manuel Sarrat,  Ilocos Norte          1.	The  Barangay 7 San Manuel of Sarrat, Ilocos Norte, through the 20% Brgy Development  Fund to apply the sum of Php 136,312.06  being the Approved Budget for the Co</t>
  </si>
  <si>
    <t xml:space="preserve"> INVITATION TO BID  for  Supply, Delivery and Installation of Diagnostic Machine and other Accessories Solicitation No. PANG-2020-0910 1.	The Provincial Government of Pangasinan, through the Capital Outlay – Equipment for Diagnostic Bus other Machinery &amp; E</t>
  </si>
  <si>
    <t xml:space="preserve"> INVITATION TO BID 1.	The Province of Cebu through the 2020 General Fund, intends to apply the sum of THIRTY-SIX MILLION SIX HUNDRED SIXTY THOUSAND PESOS AND 00/100 (Php36,660,000.00) being the Approved Budget for the Contract (ABC) to payments under the c</t>
  </si>
  <si>
    <t xml:space="preserve"> Republic of the Philippines Province of North Cotabato Municipality of Pres. Roxas OFFICE OF THE BARANGAY BIDS AND AWARDS COMMITTEE Barangay Mabuhay INVITATION TO BID The Barangay Local Government Unit of Mabuhay, President Roxas, thru Barangay Bids and A</t>
  </si>
  <si>
    <t xml:space="preserve"> INVITATION TO BID 1.	The Province of Cebu through the 2020 General Fund, intends to apply the sum of FORTY-SIX MILLION ONE HUNDRED EIGHTY-EIGHT THOUSAND SIX HUNDRED PESOS AND 00/100 (Php46,188,600.00) being the Approved Budget for the Contract (ABC) to pa</t>
  </si>
  <si>
    <t xml:space="preserve"> 2020 27th Public Bidding: Peritoneal Dialysis Supplies</t>
  </si>
  <si>
    <t xml:space="preserve"> Republic of the Philippines Province of Nueva Vizcaya BIDS AND AWARDS COMMITTEE (BAC-Goods) BAC OFFICE, Provincial Capitol, Bayombong, Nueva Vizcaya Tel. No. 078-392-2062 	 2ND INVITATION TO BID FOR THE SUPPLY &amp; DELIVERY OF DESKTOP COMPUTERS, LAPTOP, ETC.</t>
  </si>
  <si>
    <t xml:space="preserve"> Repair of Spillway (Sitio Binagasbasan) at Sitio Binagasbasan, Brgy. Paraiso, San Miguel, Catanduanes, Scope of Works: Excva. of Foundation Structure for Concrete (left side), Concrete Foundation (left side) - 2.0mx3,5m, Stone Masonry (gravity walling), S</t>
  </si>
  <si>
    <t xml:space="preserve"> ALBAY 3RD DISTRICT ENGINEERING OFFICE																																						 Paulog, Ligao City																																						 																																						 INVITATION TO BID																																						 																											</t>
  </si>
  <si>
    <t xml:space="preserve"> INVITATION TO BID  for  Supply and Delivery of One (1) unit Universal Testing Machine at Provincial Engineering Office, Lingayen, Pangasinan (for use at Quality Control Division) Solicitation No. PANG-2020-862 1.	The Provincial Government of Pangasinan, t</t>
  </si>
  <si>
    <t xml:space="preserve"> Republic of the Philippines Province of Cagayan Municipality of Piat -o0o- OFFICE OF THE BIDS AND AWARDS COMMITTEE (BAC) “INVITATION TO BID FOR CONCRETING OF PATHWAY AND BOX CULVERT AT P.I.A.T. CENTER/CENTRAL TERMINAL, PIAT, CAGAYAN” The Local Government </t>
  </si>
  <si>
    <t xml:space="preserve"> Republic of the Philippines Province of Negros Occidental Municipality of Isabela INVITATION TO BID FOR THE  Re-bidding of the Procurement of One (1) 4WD Double Cab / Multi-Purpose Vehicle, Isabela, Negros Occidental. 1. The MUNICIPALITY OF ISABELA, throu</t>
  </si>
  <si>
    <t xml:space="preserve"> INVITATION TO BID  for  Supply and Delivery of One (1) unit Genset, 75 KVA, Open Type with Complete Accessories and Battery at GSO, Lingayen, Pangasinan (for use at Emergency Operation Center, PDRRMO Building, LDH Compound, Lingayen, Pangasinan) Solicitat</t>
  </si>
  <si>
    <t xml:space="preserve"> Republic of the Philippines Province of Oriental Mindoro MUNICIPALITY OF PINAMALAYAN OFFICE OF THE BIDS AND AWARDS COMMITTEE Invitation to Bid ITB-2020-28 1.  The Municipal Government of Pinamalayan, Oriental Mindoro, through the authorized appropriations</t>
  </si>
  <si>
    <t xml:space="preserve"> INVITATION TO BID  FOR THE Furnishing of Labor and Materials for the Animal Shelter Facility @Brgy. Macatbong, Cabanatuan City I.B. No. 2020 – 0037 							 1. The LGU-Cabanatuan City, through the General Fund FY 2020 intends to apply the sum of Five Milli</t>
  </si>
  <si>
    <t xml:space="preserve"> Concreting of 459.00 l.m. Farm-to-Market Road with 5.0 carriageway and 1.5m shoulder on both sides</t>
  </si>
  <si>
    <t xml:space="preserve"> Project: PURCHASE OF MUNICIPAL VEHICLE Location: Laurel, Batangas ABC: PHP11,285,000.00 PURCHASE OF SIX WHEELER DUMP TRUCK ABC=PHP2,885,000.00 PURCHASE OF TWO UNITS RESCUE VEHICLE ABC= PHP2,200,000.00  PURCHASE OF GARBAGE TRUCK WITH COMPACTOR=PHP6,200,000</t>
  </si>
  <si>
    <t xml:space="preserve"> INVITATION TO BID FOR Procurement of Air purifier, Instruments, and Accessories of Cardiac Monitor  IB NO: 2020-026 The Western Visayas Medical Center, through Hospital Generated Income-Fund/FY 2020 GAA, in the amount of Six Million Seven Hundred Ninety S</t>
  </si>
  <si>
    <t xml:space="preserve"> Republic of the Philippines Province of Oriental Mindoro MUNICIPALITY OF PINAMALAYAN OFFICE OF THE BIDS AND AWARDS COMMITTEE Invitation to Bid ITB-2020-29 1.  The Municipal Government of Pinamalayan, Oriental Mindoro, through the authorized appropriations</t>
  </si>
  <si>
    <t xml:space="preserve"> Section I: Invitation to Bid Section II: Instructions to Bidders A. General 1. Scope of Bid 1.1. The Procuring Entity as defined in the BDS, invites bids for the construction of Works, as described in Section VI. Specifications. The name and identificatio</t>
  </si>
  <si>
    <t xml:space="preserve"> Republic of the Philippines Province of Nueva Vizcaya BIDS AND AWARDS COMMITTEE (BAC-Goods) BAC OFFICE, Provincial Capitol, Bayombong, Nueva Vizcaya Tel. No. 078-392-2062 	 INVITATION TO BID FOR THE SUPPLY AND DELIVERY OF MULTI-PARAMETER WATER QUALITY FIE</t>
  </si>
  <si>
    <t xml:space="preserve"> ITEM 	ITEM &amp;  DESCRIPTION	QUANTITY NO.		 1	1/4"x2"x2" Angle Bar	26 pcs. 2	3/16 x 1 1/2" Angle Bar	17 pcs. 3	3/16"x1"x1" Angle Bar	10 pcs. 4	2"x3" Cee  Purlins (1.5)	24 pcs. 5	10mm.x6m. Plain Bar	4 pcs. 6	12mm. X 6m. Plain Bar	6 pcs. 7	12mm Turn Buckles	6 </t>
  </si>
  <si>
    <t xml:space="preserve"> SUPPLY AND DELIVERY OF ADDITIONAL PPE FOR LGU EMPLOYEES TO FIGHT AGAINST COVID 19. The Local Government Unit of Mauban through the TRUST FUND(DOE), 2020 intends to apply the sum of Three hundred thirty nine thousand three hundred pesos (Php 339,300.00) be</t>
  </si>
  <si>
    <t xml:space="preserve"> INVITATION TO BID  FOR THE Furnishing of Labor and Materials for the Finishing of NHA Housing @Brgy. Kalikid Sur, Cabanatuan City I.B. No. 2020 - 0039 							 1. The LGU-Cabanatuan City, through the General Fund FY 2020 intends to apply the sum of Three H</t>
  </si>
  <si>
    <t xml:space="preserve"> construction of 10m x 8m Tribal Hall with CR, ceiling, plumbing fixtures, electrical and paintings</t>
  </si>
  <si>
    <t xml:space="preserve"> Republic of the Philippines Province of Davao de Oro BIDS AND AWARDS COMMITTEE Cabidianan, Nabunturan, Davao de Oro Invitation to Bid for the Improvement of Maragusan NHS Gymnasium, Maragusan 1.	The Provincial Government of Davao de Oro, through AB – SEF </t>
  </si>
  <si>
    <t xml:space="preserve"> SUPPLYN AND DELIVERY OF SCHOOL EQUIPMENT USE FOR TEACHING (INSTRUCTIONAL MATERIALS) AND ACCOMPLISHING SCHOOL-RELATEE DOCUMENTS. The Local Government Unit of Mauban through the Special Educational Fund-3311/5-02-13-040, 2020 intends to apply the sum of Two</t>
  </si>
  <si>
    <t xml:space="preserve"> a. Contract ID No:	20P00001     Contract Name:	ORGANIZATIONAL OUTCOME 1: Ensure Safe and Reliable National Road System – Network Development Program – Construction of Missing Links/New Roads Baguio – La Trinidad – Itogon – Sablan – Tuba and Tublay, Kamog </t>
  </si>
  <si>
    <t xml:space="preserve"> FARM Equipment  5 units Mechanized Tractor 2WD with 7HP; 5 units Shredder Machine with 7HP motor; 5 units Knap Sack sprayer battery operated; 5 units water pump 7HP with complete accessoreis and 1 roll hose ABC: P1,250,000.00 for clarification/inquiry PLE</t>
  </si>
  <si>
    <t xml:space="preserve"> INVITATION TO BID ON THE SUPPLY AND DELIVERY OF 1 LOT VARIOUS  LIBRARY BOOKS-MAIN CAMPUS OF BUKIDNON STATE UNIVERSITY 1.	The Bukidnon State University through the Bids and Awards Committee &amp; Budget Approved by the Board of Regents 2020 [Fund 164] intends </t>
  </si>
  <si>
    <t xml:space="preserve"> Republic of the Philippines Province of Cagayan Municipality of Piat -o0o- OFFICE OF THE BIDS AND AWARDS COMMITTEE (BAC) INVITATION TO BID FOR THE PROCUREMENT OF ONE (1) UNIT BRAND NEW MINI DUMP TRUCK                                       The Local Govern</t>
  </si>
  <si>
    <t xml:space="preserve"> Republic of the Philippines Province of Davao de Oro BIDS AND AWARDS COMMITTEE Cabidianan, Nabunturan, Davao de Oro Invitation to Bid for the Construction of Construction of 5 bays Evacuation Center and Comfort Room at side 4, Brgy. Mangayon, Compostela 1</t>
  </si>
  <si>
    <t xml:space="preserve"> Name of Project	         : Procurement of Multivitamins for distribution to households/families for COVID-19 Response Location		        : Milagros,Masbate Brief Description	: 	                                         Quantity	  Unit	  Description         </t>
  </si>
  <si>
    <t xml:space="preserve"> Republic of the Philippines Province of Palawan Municipality of Roxas   BIDS AND AWARDS COMMITTEE INVITATION TO BID  FOR THE CONSTRUCTION OF MULTI-PURPOSE COVERED HALL AT ARASAN ELEMENTARY SCHOOL AND AGUSTIN ELLO ELEMENTARY SCHOOL The Local Government Uni</t>
  </si>
  <si>
    <t xml:space="preserve"> The Philippine National Police (PNP) Health Service (HS) invites all PhilGEPS-accredited suppliers to apply for eligibility and to bid for the Procurement of Medical, Dental &amp; Laboratory Supplies. Approved Budget for Contract: Php5,580,000.00 Bid Document</t>
  </si>
  <si>
    <t xml:space="preserve"> Metal Roofing and Ceiling ***Please see attached files for details.</t>
  </si>
  <si>
    <t xml:space="preserve"> The DPWH-Ilocos Sur 1st District Engineering Office, through its Bids and Awards Committee (BAC), invites contractors to submit bids for the following Contract:   Contract ID: 20AC0109   Contract Name: Repair of Box Culvert Along MNR, Sto. Domingo, Ilocos</t>
  </si>
  <si>
    <t xml:space="preserve"> INVITATION TO BID  FOR THE Furnishing of Labor and Materials for the Construction of Drainage Canal @Brgy. Magsaysay Norte, Cabanatuan City I.B. No. 2020 - 0038 							 1. The LGU-Cabanatuan City, through the General Fund FY 2020 intends to apply the sum </t>
  </si>
  <si>
    <t xml:space="preserve"> Construction of Sitio Pantar Farmers Multi-Purpose Building</t>
  </si>
  <si>
    <t xml:space="preserve"> INVITATION TO BID  FOR THE Furnishing of Labor and Materials for the Renovation of City Nursery Bldg. (Phase II) @Brgy. Daan Sarile, Cabanatuan City I.B. No. 2020 – 0036 							 1. The LGU-Cabanatuan City, through the General Fund FY 2020 intends to apply</t>
  </si>
  <si>
    <t xml:space="preserve"> The detailed Bill of Materials is attached to the Bid Form.</t>
  </si>
  <si>
    <t xml:space="preserve"> Various ICT Equipment (hardware and software) on a per lot basis</t>
  </si>
  <si>
    <t xml:space="preserve"> Second Floor walls, ceiling and stairs painting; downspout installation ***Please see attach files for details</t>
  </si>
  <si>
    <t xml:space="preserve"> 1.The Provincial Government of Bohol through the  BIDS AND AWARDS COMMITTEE   for CY 2020, intends to apply the sum of  NINE MILLION FOUR HUNDRED SEVENTY    THOUSAND SIX HUNDRED  THREE  PESOS AND 91/100   (P9,470,603.91) being the Approved Budget for the </t>
  </si>
  <si>
    <t xml:space="preserve"> 1	unit	GENERATOR SET, 150kVA, inclusive of delivery and installation (labor and materials),Three-Phase,220V,1800rpm, including Manual Transfer Switch                          with five (5) years warranty 2	units	GENERATOR SET, 25kVA, inclusive of delivery</t>
  </si>
  <si>
    <t xml:space="preserve"> The ZAMBOANGA CITY STATE POLYTECHNIC COLLEGE through its Bids and Awards Committee (BAC) is inviting PHILGEPS registered suppliers to apply for eligibility and to submit bids for the items listed below: 1.	(6 pcs.) Terminal lugs, copper, crimp type, long </t>
  </si>
  <si>
    <t xml:space="preserve"> ITEM 	ITEM &amp;  DESCRIPTION	QUANTITY NO.		 1	Filling Materials	8 cu.m 2	Cement	230 bags 3	Fine Aggregates	20 cu.m, 4	Coarse Aggregates	19 cu.m 5	16mm x6.0 RSB	52 pcs. 6	12mm x 6.0 Def. bars	48 pcs. 7	10mmx6.0 Derf. Bars	150 pcs. 8	#16 Tie Wire	20 kls. 9	4" </t>
  </si>
  <si>
    <t xml:space="preserve"> 830 pax Hot Meals (for Supplemental Feeding)</t>
  </si>
  <si>
    <t xml:space="preserve"> REQUEST FOR EXPRESSION OF INTEREST    DESIGN AND DEVELOPMENT OF THE INTRAMUROS ADMINISTRATION INTEGRATED INFORMATION SYSTEM (RE-BID) Project No. 2020-02 1.	The INTRAMUROS ADMINISTRATION, through the General Appropriations Act of CY 2020 intends to apply t</t>
  </si>
  <si>
    <t xml:space="preserve"> Upgrading of Local Access Road from Brgy. Pagsangahan - San Marcos at Brgy. Pagsangahan &amp; Brgy. San Marcos, San Miguel, Catanduanes. Scope of Works: Portland cement Concrete Pavement (unreinforced), Aggregate Base Coarse, Subgrade Preparation (common mtrl</t>
  </si>
  <si>
    <t xml:space="preserve"> Section I. Invitation to Bid Republic of the Philippines Philippine Rural Development Project Invitation to Bid for the  Construction of Dairy Microbiological Facility Identification No. PRDP-IB-RO02-ISA-048-000-000-2019-AF Loan No. 8816-PH July 22, 2020 </t>
  </si>
  <si>
    <t xml:space="preserve"> ITEM 	ITEM &amp;  DESCRIPTION	QUANTITY NO.		 1	Item 200	10 cu.m. 2	Cement	64 bags 3	Fine Aggregates	6 cu.m. 4	Coarse Aggregates	10 cu.m. 5	12mmØ x. 6m Deformed Steel Bar	18 pcs. 6	10mmØ x 6m Deformed Steel Bar	70 pcs. 7	#16 Tie Wire	5 kgs. 8	Hacksaw Blade	4 p</t>
  </si>
  <si>
    <t xml:space="preserve"> Construction works</t>
  </si>
  <si>
    <t xml:space="preserve"> Republic of the Philippines DEPARTMENT OF PUBLIC WORKS AND HIGHWAYS PANGASINAN IV DISTRICT ENGINEERING OFFICE REGIONAL OFFICE I Tuliao, Sta. Barbara, Pangasinan Invitation to Bid for  Concreting of Brgy. Ambonao FMR, Brgy. Ambonao, Calasiao, Pangasinan 1.</t>
  </si>
  <si>
    <t xml:space="preserve"> Department of Education Region VI-Western Visayas Division of Cadiz City Mabini National High School INVITATION TO BID FOR THE PROCUREMENT OF PPE AND FACE SHIELD - MNHS 2020 1.	The Mabini National High School  of Cadiz City, through the Schools MOOE Fund </t>
  </si>
  <si>
    <t xml:space="preserve"> Contract Name: REPAIR OF DRAINAGE SYSTEM ALONG CALBAYOG-CATARMAN (S00084SM) K0804+450, BRGY. OQUENDO, CALBAYOG CITY, SAMAR Contract Location: SAMAR  Brief Description: REHABILITATION/MAJOR REPAIR OF DRAINAGE STRUCTURE ALONG ROAD =16.00 LIN.M, CONSTRUCTION</t>
  </si>
  <si>
    <t xml:space="preserve"> The DPWH-Ilocos Norte Second District Engineering Office, through its Bids and Awards Committee (BAC), invites contractors to submit bids for the Contract: Procurement ID/Contract ID: 20AB0121 Contract Name/Location: REPAIR/ REHABILITATION OF SLOPE PROTEC</t>
  </si>
  <si>
    <t xml:space="preserve"> Concreting works</t>
  </si>
  <si>
    <t xml:space="preserve"> Supply, Delivery and Configuration of Unified Threat Management Devices for all (CTU External Campuses with the following technical specifications: HARDWARE SPECIFICATIONS: Processor : Intel Core i3 Dual Core 6100 @ 3.7GHz Form Factor : 1U Memory : 12 GB </t>
  </si>
  <si>
    <t xml:space="preserve"> Republic of the Philippines Province of Nueva Vizcaya BIDS AND AWARDS COMMITTEE (BAC-Goods) BAC OFFICE, Provincial Capitol, Bayombong, Nueva Vizcaya Tel. No. 078-392-2062 	 INVITATION TO BID FOR THE SUPPLY AND DELIVERY OF 1 UNIT LAPTOP FOR THE  PROVINCIAL</t>
  </si>
  <si>
    <t xml:space="preserve"> INVITATION TO BID  for  Supply and Delivery of Seven (7) units Cabinet Type Air Condition 5TR, Power (Non-Inverter) at PSWDO, Lingayen, Pangasinan Solicitation No. PANG-2020-0994 1.	The Provincial Government of Pangasinan, through the Capital Outlay (PR#2</t>
  </si>
  <si>
    <t xml:space="preserve"> Republic of the Philippines Province of Batangas Municipality of San Juan BIDS AND AWARDS COMMITTEE INVITATION TO APPLY FOR ELIGIBILITY AND TO BID THE LOCAL  GOVERNMENT UNIT OF BRGY. LAIYA IBABAO, SAN JUAN, BATANGAS, through its Bids and Awards Committee(</t>
  </si>
  <si>
    <t xml:space="preserve"> IMPROVEMENT OF SPILLWAY, TABGON, GOA, CAMARINES SUR</t>
  </si>
  <si>
    <t xml:space="preserve"> Item No.	Description				Quantity	Unit 1	Project Billboard				2.00	sets 2	Occupational Safety and Health 					 	Program				7.00	months 3	Removal of Structure and Obstruction				1.00	L.S 4	Structure Excavation ( Common Soil)				200.00	 cu.m.  5	Embankment f</t>
  </si>
  <si>
    <t xml:space="preserve"> SUPPLY AND DELIVERY OF MOTOR VEHICLE (TWO (2) UNITS BRAND NEW PATROL MARKED VEHICLES)</t>
  </si>
  <si>
    <t xml:space="preserve"> Vertical construction</t>
  </si>
  <si>
    <t xml:space="preserve"> Concreting of Approach (Obo Spillway) at Brgy. Obo, San Miguel, Catanduanes Scope of Works: Roadbed Preparation, Aggregate Base Coarse, Portlanc Cement Concrete Pavement, Excavation of Gravity retaining Wall, Gravity Retaining Wall (Concrete Works "Class </t>
  </si>
  <si>
    <t xml:space="preserve"> 1	1	Lot	"Furniture and fixtures to be installed in RCEF-PMO Conference Room, Office, and Pantry Area 2 units Laminated hanging cabinet, Roll-up door type Total Dimension: 175cm x 70 x 40 Individual Size: 87.5cm x 70 x 40 2 units Laminated hanging cabinet,</t>
  </si>
  <si>
    <t xml:space="preserve"> Improvement of Senior Citizen Building specifically installation of concrete ramp with railings and roofing works, interior and exterior ceiling including painting works, replacement of doors and tile works. as per specifications.</t>
  </si>
  <si>
    <t xml:space="preserve"> 1.The Provincial Government of Bohol through the  BIDS AND AWARDS COMMITTEE   for CY 2020, intends to apply the sum of  NINE MILLION NINE HUNDRED NINETY SIX  THOUSAND THREE HUNDRED THIRTY  PESOS AND 72/100   (P9,996,335.72 ) being the Approved Budget for </t>
  </si>
  <si>
    <t xml:space="preserve"> SUPPLY AND DELIVERY OF MOTOR VEHICLE FIVE (5) UNITS BRAND NEW BIG BIKE PATROL MOTORCYCLE</t>
  </si>
  <si>
    <t xml:space="preserve"> 23 heads Cow (2-3 yrs old) Female 200-330 kls. 20 heads Carabao (2-3 yrs old) Hybrid 200-250 kls. 110 heads Goat (19 male - 91 female) 5-6 months old</t>
  </si>
  <si>
    <t xml:space="preserve"> INVITATION TO BID The National Irrigation Administration (NIA) JRMP II Region VI, through its Bids and Awards Committee (BAC),  invites suppliers/manufacturers/distributors/contractors to apply for Eligibility and to bid for the hereunder contract: Name o</t>
  </si>
  <si>
    <t xml:space="preserve"> Upgrading of Barangay Road Dayawa-Siay from Dayawa-Siay at Brgy. Dayawa &amp; Brgy. Siay, San Miguel, Catanduanes. Scope of Works: Roadway Excavation, Subgrade Preparation, Rubbles Concrete, Stone Masonry, Embankment Borrow, Aggregate Base Coarse, Portland Ce</t>
  </si>
  <si>
    <t xml:space="preserve"> see associated components for downloadable bidding documents</t>
  </si>
  <si>
    <t xml:space="preserve"> Construction Materials for the Rehabilitation/Improvement of Bairan Water System</t>
  </si>
  <si>
    <t xml:space="preserve"> INVITATION TO BID The Philippine Children’s Medical Center, through GAA/HFEP (DOH) CY 2019/2020 intends to apply the sum of Eleven Million Seven Hundred Eight-Nine Thousand Forty Pesos (Php 11,789,040.00) being the Approved Budget for the Contract (ABC) t</t>
  </si>
  <si>
    <t xml:space="preserve"> Spareparts and Oil Lubircants</t>
  </si>
  <si>
    <t xml:space="preserve"> Item I Removal of Existing Shoulder Item II Drainage Canal (RCPC with Catch Basin Item III PCCP (Shouldering &amp; Gutter)</t>
  </si>
  <si>
    <t xml:space="preserve"> 1	1.00	UNIT	ID PRINTER				 			Color Printing Module				 			300dpi Printhead (11.8 dots/mm)				 			USB Connection				 			Flip Over Station for dual sided printing				 			Detachable Feeder w/ a Capacity of 100 Cards				 			Output Hopper w/ a Capacity of 100</t>
  </si>
  <si>
    <t xml:space="preserve"> Communication Load Globe and Smart</t>
  </si>
  <si>
    <t xml:space="preserve"> Rehabilitation of Water System at Brgy. San Juan, San Miguel, Catanduanes. Scope of Works: Impounding Dam; Excavation, Concrete Works, Stone Masonry, Plastering, Slab on Grade, perforated Pipes &amp; Fittings, Transmission Line &amp; hauling. Source of Fund: 20% </t>
  </si>
  <si>
    <t xml:space="preserve"> Republic of the Philippines  Province of Cebu Municipality of Boljoon INVITATION TO BID FOR the purchase of materials for Road concreting  1.	The Municipality of Boljoon, through the 20% Development Fund CY 2020  in the amount of Six hundred Seventy Two t</t>
  </si>
  <si>
    <t xml:space="preserve"> SUPPLY AND DELIVERY OF DUPLICATING/PRINTING MACHINES FOR MODULE PRINTING</t>
  </si>
  <si>
    <t xml:space="preserve"> SUPPLY AND DELIVERY OF IT PARTS ACCESSORIES AND PERIPHERALS  FOR SARRAT ILOCOS NORTE 1.	The Municipality of Sarrat, Ilocos Norte, through the Special Educational Fund and General Fund intends to apply the sum of Php 130,000.00  and Php 130,000.00 respecti</t>
  </si>
  <si>
    <t xml:space="preserve"> 1.	The Sultan Kudarat Water District, through the Corporate Budget Approved by the Governing Board  intends to apply the sum of P 1,420,000.00 being the Approved Budget for the Contract (ABC) to payments under the contract. Bids received in excess of the </t>
  </si>
  <si>
    <t xml:space="preserve"> 1.	The [PCA-Region XIII], through the 2020 EPRCP: Rejuvenation thru Fertilization (Inorganic Fertilizer)  intends to apply the sum of PhP 15,395,235.00 being the Approved Budget for the Contract (ABC) to payments under the contract for 2020 EPRCP: Rejuven</t>
  </si>
  <si>
    <t xml:space="preserve"> Republic of the Philippines Province of Batangas Municipality of San Juan BARANGAY CALUBCOB 1  INVITATION TO BID Date:  July 21, 2020 The Sangguniang Barangay Calubcob 1, San Juan, Batangas through its Bids and Awards Committee (BAC), invites suppliers/ma</t>
  </si>
  <si>
    <t xml:space="preserve"> Supply of Security Services for 36 guards (12 hours duty) for 3 1/2 months to be rendered at Municipal Hall, Public Market and Old Municipal Building Compound, Calaca, Batangas</t>
  </si>
  <si>
    <t xml:space="preserve"> b. Contract ID No:	20P00019     Contract Name:	ORGANIZATIONAL OUTCOME 1: Ensure Safe and Reliable National Road System – Network Development Program – Construction of Missing Links/New Roads Baguio – La Trinidad – Itogon – Sablan – Tuba and Tublay, Kamog </t>
  </si>
  <si>
    <t xml:space="preserve"> c. Contract ID No:	20P00010     Contract Name:	ORGANIZATIONAL OUTCOME 1: Ensure Safe and Reliable National Road System – Network Development Program – Construction of Missing Links/New Roads Baguio – La Trinidad – Itogon – Sablan – Tuba and Tublay, Labey </t>
  </si>
  <si>
    <t xml:space="preserve"> Section I. Invitation to Bid FOR THE UPLB-S-046-08-20  SUPPLY AND DELIVERY OF BRANDED AND BRAND NEW VARIOUS MEDICAL LABORATORY SUPPLIES 1.	The UNIVERSITY OF THE PHILIPPINES LOS BAÑOS (UPLB), through the GOP intends to apply the sum of NINE HUNDRED THREE T</t>
  </si>
  <si>
    <t xml:space="preserve"> see associated components for downloadable Bidding Documents</t>
  </si>
  <si>
    <t xml:space="preserve"> Rehabilitation of Water System at Brgy. Kilikilihan, San Miguel, Catanduanes. Scope of Works: TRANSMISSION LINE Source of Fund: 20% EDF- 2020    	Prospective bidders should possess a valid PCAB License applicable to the contract, have completed a similar </t>
  </si>
  <si>
    <t xml:space="preserve"> see associated components for downloadable Bidding documents</t>
  </si>
  <si>
    <t xml:space="preserve"> Steel fabrication of window grills/painting works and electrical work including electrical fixtures.</t>
  </si>
  <si>
    <t xml:space="preserve"> Project Billboard/Signboard, Occupational Safety and Health Program, Traffic Management, Mobilization/Demobilization, Maintenance Market Posts, Precast</t>
  </si>
  <si>
    <t xml:space="preserve"> SUPPLY AND DELIVERY OF ANTI-COVID SUPPLIES  FOR SARRAT ILOCOS NORTE 1.	The Municipality of Sarrat, Ilocos Norte, through the General Fund  intends to apply the sum of Php 559,840.00  being the Approved Budget for the Contract (ABC) to payments under the c</t>
  </si>
  <si>
    <t xml:space="preserve"> Republic of the Philippines Province of Davao de Oro BIDS AND AWARDS COMMITTE Cabidianan, Nabunturan, Davao de Oro ITB No. 20-027 July 21, 2020 INVITATION TO BID  FOR  THE Procurement of 1 lot Fabrication and installation of 250 units bed bunks 1.	The Pro</t>
  </si>
  <si>
    <t xml:space="preserve"> Re-blocking and concrete topping works at municipal street damage pavement and scaling pavement.</t>
  </si>
  <si>
    <t xml:space="preserve"> The DPWH-North Manila District Engineering Office, through its Bids and Awards Committee (BAC) for Goods, invites Suppliers to submit bids for the following Contract: 2.	Contract I.D. No: 20GOE0032 Contract Name 	: Procurement of Office Supplies for use a</t>
  </si>
  <si>
    <t xml:space="preserve"> Republic of the Philippinesu                   Department of Health	       CENTRAL OFFICE BIDS AND AWARDS COMMITTEE  INVITATION TO BID FOR  PROCUREMENT FOR CORRECTIVE MAINTENANCE OF AIR CONDITIONING UNITS (ACU)  IB NO. 2020-223 1.	The Department of Health</t>
  </si>
  <si>
    <t xml:space="preserve"> BIDS AND AWARDS COMMITTEE INVITATION TO BID The DEPARTMENT OF HEALTH – CENTRAL VISAYAS CENTER FOR HEALTH DEVELOPMENT (DOH – CV CHD), through its Bids and Awards Committee (BAC), invites suppliers to bid for the hereunder items: BAC NO. 2020-G06	NAME OF PR</t>
  </si>
  <si>
    <t xml:space="preserve"> 1.	The Bangko Sentral ng Pilipinas (BSP), through its Bids and Awards Committee – Information Technology, Infrastructure and Other Related Components (BAC-ITIO), invites interested contractors to bid for the project described below: Name of Requirement/ B</t>
  </si>
  <si>
    <t xml:space="preserve"> Concreting of 320 meters length; 5 meters in width; 0.20 meters in thickness with one (1) line 910mm dia. RCPC class "A" concrete mixtures.</t>
  </si>
  <si>
    <t xml:space="preserve"> Medical/Laboratory Supplies</t>
  </si>
  <si>
    <t xml:space="preserve"> Republic of the Philippines Province of Southern Leyte MUNICIPALITY OF SAINT BERNARD BIDS AND AWARDS COMMITTEE INVITATION TO BID FOR SUPPLY AND DELIVERY OF RESCUE EQUIPMENT BAC-SBSL-MDRRMO-2020-015 1.	The Municipality of Saint Bernard, Southern Leyte, thr</t>
  </si>
  <si>
    <t xml:space="preserve"> Project Billboard/Signboard, Occupational Safety and Health Program, Traffic Management, Mobilization/Demobilization, Removal of Actual Structures/Obstruction, 0.20m thick, PCCP (Reinforced), Structural Concrete (27.58 Mpa), Class A, 28 days, Reinforcing </t>
  </si>
  <si>
    <t xml:space="preserve"> Republic of the Philippines PROVINCIAL GOVERNMENT OF EASTERN SAMAR Capitol Building, Borongan, Eastern Samar, 6800 Tel No. (055)-560-8312 E-mail Address: esamar.bac@gmail.com BIDS AND AWARDS COMMITTEE (BAC) INVITATION TO BID FOR IMPROVEMENT OF  IMPROVEMEN</t>
  </si>
  <si>
    <t xml:space="preserve"> Republic of the Philippines 		DEPARTMENT OF PUBLIC WORKS AND HIGHWAYS REGIONAL OFFICE II Tuguegarao City, Cagayan INVITATION TO BID 1.	The Department of Public Works and Highways – Regional Office No. 02, through the DPWH GAA FY 2020 RA 11465 intends to a</t>
  </si>
  <si>
    <t xml:space="preserve"> 1.	The LGU - CORELLA, BOHOL, through the budget approved by the sanggunian per Municipal Ordinance Nos. 2019-15 under 20% development fund, intends to apply the sum of PHP 1,895,818.51 being the Approved Budget for the Contract (ABC) to payments under the</t>
  </si>
  <si>
    <t xml:space="preserve"> Republic of the Philippines Province of Nueva Vizcaya BIDS AND AWARDS COMMITTEE (BAC-Goods) BAC OFFICE, Provincial Capitol, Bayombong, Nueva Vizcaya Tel. No. 078-392-2062 	 INVITATION TO BID FOR THE SUPPLY AND DELIVERY OF 1 SET SOUND SYSTEM W/ INSTALLATIO</t>
  </si>
  <si>
    <t xml:space="preserve"> 1.	The LGU - CORELLA, BOHOL, through the 2020 Local Government Support Fund – Assistance to Municipalities (LGSF-AM) and the budget approved by the Sanggunian per Municipal Ordinance No. 2019-15 under 20% development fund intends to apply the sum of PHP 8</t>
  </si>
  <si>
    <t xml:space="preserve"> Item I Removal of Existing Pavement Item II Excavation Item III Subgrade Preparation Item IV Portland Cement Concrete Pavement Item V Drainage Canal (RCPC &amp; Open Canal) with Catch Basin Item VI Masonry Works Item VII Concrete Works (fence, col, footing &amp; </t>
  </si>
  <si>
    <t xml:space="preserve"> Republic of the Philippines DEPARTMENT OF PUBLIC WORKS AND HIGHWAYS ILOILO 1st  DISTRICT ENGINEERING OFFICE REGIONAL OFFICE VI Fort San Pedro, Iloilo City INVITATION TO BID  The Department of Public Works and Highways, Iloilo 1st District Engineering Offi</t>
  </si>
  <si>
    <t xml:space="preserve"> INVITATION TO BID FOR SUPPLY AND DELIVERY OF TROMPA AND AMPLIFIER FOR CITY WIDE PUBLIC ADDRESS SYSTEM 1.	The Bids and Awards Committee of the Local Government Unit of Santiago City through the General Fund intends to apply the sum of One Million Seven Hun</t>
  </si>
  <si>
    <t xml:space="preserve"> DEPARTMENT OF ENVIRONMENT AND NATURAL RESOURCES											 											 CONTRACT REFERENCE NUMBER:  2020-016											 NAME OF THE CONTRACT: 			Demolition and Improvement of front Gate and Fence of PENRO Antique								 											 											 LOCATION OF</t>
  </si>
  <si>
    <t xml:space="preserve"> Installation of new transmission lines with 15 sets stand pipes and replacement of 2 HP jetmatic electric pump with complete accessories.</t>
  </si>
  <si>
    <t xml:space="preserve"> Item I Surfacing Item II Subgrade Preparation Item III Portland Cement Concrete Pavement</t>
  </si>
  <si>
    <t xml:space="preserve"> SUPPLY AND DELIVERY OF MEDICINES, MEDICAL AND LABORATORY SUPPLIES  FOR SARRAT ILOCOS NORTE 1.	The Municipality of Sarrat, Ilocos Norte, through the General Fund  intends to apply the sum of Php 450,520.85  being the Approved Budget for the Contract (ABC) </t>
  </si>
  <si>
    <t xml:space="preserve"> Supply, Delivery, Installation, Testing and Commissioning of 40 HP Pump and Motor complete with appurtenances, discharge and column pipes    1  lot</t>
  </si>
  <si>
    <t xml:space="preserve"> The NATIONAL FOOD AUTHORITY (NFA) Regional Office VI intends to apply the sum of Two Million Two Hundred Twenty Seven Thousand Two Hundred Forty pesos (Php2,227,240.00) inclusive of VAT and other levies from its  Corporate Operating Budget as the Approved</t>
  </si>
  <si>
    <t xml:space="preserve"> For details, please find attached documents on Associated Components. Click ORDER opposite the Associated Components to view attached documents. Download is free.   Please check for any Bid Supplements for this posting. If unable to retrieve attached docu</t>
  </si>
  <si>
    <t xml:space="preserve"> 1.	The [PCA-Region XIII], through the 2020 EPRCP: Rejuvenation thru Fertilization Coco Coir Based Organic Fertilizer  intends to apply the sum of PhP 2,520,000.00 being the Approved Budget for the Contract (ABC) to payments under the contract for 2020 EPR</t>
  </si>
  <si>
    <t xml:space="preserve"> Invitation to Bid SUPPLY AND DELIVERY OF TWO (2) UNITS BRAND NEW OFFICE VEHICLES UNDER PR NO. 13799 (Rebid) 1. The Metro Iloilo Water District through the Corporate Fund of 2020 intends to apply the sum of Two Million Five Hundred Thousand Pesos (P 2,500,</t>
  </si>
  <si>
    <t xml:space="preserve"> Item I Removal of Existing Pavement Item II Excavation Item III Subgrade Preparation Item IV Portland Cement Concrete Pavement Item V Drainage Canal (RCPC &amp; Open Canal ) with Catch Basin  Item VI Steel Works</t>
  </si>
  <si>
    <t xml:space="preserve"> Waterworks Materials for the construction of Shallow Well Pump</t>
  </si>
  <si>
    <t xml:space="preserve"> Republic of the Philippines Province of Leyte Municipality of Palo BARANGAY COGON Invitation to bid for Road Concreting with Drainage Canal at Brgy. Cogon,Palo, Leyte Job Request No. 2020-07-01 1.	The Barangay of Cogon, Palo, Leyte, through the Budget for</t>
  </si>
  <si>
    <t xml:space="preserve"> Rehabilitation of Municipal Street (Felix Almano St., Caburan Big and Caburan Small, Jose Abad Santos, Davao Occidental) Length = 580.00 Meters Width = 5.00 Meters Thickness = 0.20 Meters</t>
  </si>
  <si>
    <t xml:space="preserve"> INVITATION TO BID  Purchase &amp; Delivery of One (1) Unit Service Utility Vehicle for PGO-PSG (Re-bid) July 22, 2020 1.	The Provincial Government of Sarangani, through the AB CY 2020 intends to apply the sum of One Million Five Hundred Thousand Pesos Only (P</t>
  </si>
  <si>
    <t xml:space="preserve"> National Power Corporation INVITATION TO BID PUBLIC BIDDING 2020-0199 1.	The NATIONAL POWER CORPORATION (NPC), through       its        approved       Corporate Budget of CY 2020 intends to apply   the   sum   of (Please see schedule below) being the Appr</t>
  </si>
  <si>
    <t xml:space="preserve"> 851 heads Chicken (ready to lay) 49.5 bags Feeds (pdp) 50 kls 82 heads Piglet (8-10 kls) 64 bags Feeds (Starter) 123 bags Feeds (Grower) 95 bags Feeds (Finisher)</t>
  </si>
  <si>
    <t xml:space="preserve"> SUPPLY AND DELIVERY OF HOSPITAL EQUIPMENT</t>
  </si>
  <si>
    <t xml:space="preserve"> Republic of the Philippines Province of Ifugao BIDS AND AWARDS COMMITTEE Banaue, Ifugao INVITATION TO BID FOR RESCUE AND SAFETY EQUIPMENT Publication No. G-2020-022 1st  Publication 1.	The Local Government Unit of Banaue, Ifugao, through the LGU FUND inte</t>
  </si>
  <si>
    <t xml:space="preserve"> umbrella nails assorted paints</t>
  </si>
  <si>
    <t xml:space="preserve"> Cabadbaran District Hospital Agusan del Norte</t>
  </si>
  <si>
    <t xml:space="preserve"> The DPWH-North Manila District Engineering Office, through its Bids and Awards Committee (BAC) for Goods, invites Suppliers to submit bids for the following Contract: 1.	Contract I.D. No: 20GOE0031 Contract Name 	: Procurement of Measuring Equipments and </t>
  </si>
  <si>
    <t xml:space="preserve"> PR NO. 1093 - 20                       CITY GOVERNMENT OF TACURONG                                             Alunan Highway, Tacurong City Sultan Kudarat                                      BIDS AND AWARDS COMMITTEE                                     </t>
  </si>
  <si>
    <t xml:space="preserve"> see associated componnets for downloadable Bidding Documents</t>
  </si>
  <si>
    <t xml:space="preserve"> I.	Tinnery/Tiles/Masonry/ Windows/Paint/Carpentry/ Welding Works</t>
  </si>
  <si>
    <t xml:space="preserve"> The detailed bill of Materials is attached to the Bid Forms.</t>
  </si>
  <si>
    <t xml:space="preserve"> Republic of the Philippines Province of Pangasinan MUNICIPALITY OF MANAOAG -o0o- INVITATION TO BID The LGU Manaoag, Pangasinan, through its Bids and Awards Committee (BAC), invites all interested Phil-GEPS registered suppliers/manufacturers/distributors/c</t>
  </si>
  <si>
    <t xml:space="preserve"> The Government of the Philippines (GoP) has received a loan from the International Fund for Agricultural Development (IFAD), toward the cost of Rural Agro-enterprise Partnership for Inclusive Development and Growth (RAPID Growth Project), and it intends t</t>
  </si>
  <si>
    <t xml:space="preserve"> Republic of the Philippines PROVINCIAL GOVERNMENT OF EASTERN SAMAR Capitol Building, Borongan, Eastern Samar, 6800 Tel No. (055)-560-8312 E-mail Address: esamar.bac@gmail.com BIDS AND AWARDS COMMITTEE (BAC) INVITATION TO BID FOR  REHABILITATION/IMPROVEMEN</t>
  </si>
  <si>
    <t xml:space="preserve"> INVITATION TO BID FOR SUPPLY AND DELIVERY OF TIRES WITH FLAP AND TUBE FOR REPLACEMENT OF TIRES OF VARIOUS CENRO VEHICLES 1.	The Bids and Awards Committee of the Local Government Unit of Santiago City through the General Fund intends to apply the sum of On</t>
  </si>
  <si>
    <t xml:space="preserve"> Republic of the Philippines Region XII Province of Cotabato Municipality of Makilala  OFFICE OF THE BIDS AND AWARD COMMITTEE INVITATION TO BID N0. 2020-027            The Municipality of Makilala, through the Municipal Engineering Office  intends to apply</t>
  </si>
  <si>
    <t xml:space="preserve"> Contract Name: REPAIR OF DRAINAGE SYSTEM ALONG CALBAYOG-CATARMAN ROAD (S00084SM) K0795+200, BRGY. QUEZON, CALBAYOG CITY, SAMAR Contract Location: SAMAR  Brief Description: REPAIR/REHAB OF CROSS DRAINAGE STRUCTURE = 30.00 LIN.M. Approved Budget for the Con</t>
  </si>
  <si>
    <t xml:space="preserve"> Republic of the Philippines Province of Lanao del Norte Municipality of Tubod OFFICE OF THE BIDS AND AWARDS COMMITTEE INVITATION TO BID CONSTRUCTION OF MALINGAO BIRTHING FACILITY  Barangay Malingao, Tubod, Lanao del Norte  (ITB-2020-JDL-0014 Re-Bid) Appro</t>
  </si>
  <si>
    <t xml:space="preserve"> INVITATION TO BID FOR SUPPLY AND DELIVERY OF EQUIPMENT FOR SLAUGHTERHOUSE 1.	The Bids and Awards Committee of the Local Government Unit of Santiago City through the Trust Fund intends to apply the sum of Eight Million Four Hundred Sixteen Thousand One Hun</t>
  </si>
  <si>
    <t xml:space="preserve"> Republic of the Philippines Province of Palawan Municipality of Roxas BIDS AND AWARDS COMMITTEE INVITATION TO BID FOR THE SUPPLY AND DELIVERY OF MATERIALS FOR THE REPAINTING OF 31-UNITS SCHOOL BUILDING The Local Government Unit of Roxas, Palawan, through </t>
  </si>
  <si>
    <t xml:space="preserve"> INVITATION TO BID FOR SUPPLY AND DELIVERY OF OFFICE, JANITORIAL AND OTHER SUPPLIES FOR VARIOUS OFFICES 1.	The Bids and Awards Committee of the Local Government Unit of Santiago City through the General Fund intends to apply the sum of Fifteen Million Six </t>
  </si>
  <si>
    <t xml:space="preserve"> INVITATION TO BID FOR SUPPLY AND DELIVERY OF ASPHALT FOR ROAD IMPROVEMENT/REHABILITATION 1.	The Bids and Awards Committee of the Local Government Unit of Santiago City through the General Fund intends to apply the sum of One Million Three Hundred Thirty T</t>
  </si>
  <si>
    <t xml:space="preserve"> Republic of the Philippines Province of Camarines Norte MUNICIPALITY OF VINZONS BIDS AND AWARDS COMMITTEE (BAC) (Tel. # 446-63-09) 	 INVITATION TO BID FOR: PURCHASE/DELIVERY OF FOOD SUPPLIES FOR SUPPLEMENTAL FEEDING PROGRAM 1.	The Local Government Unit of</t>
  </si>
  <si>
    <t xml:space="preserve"> Republic of the Philippines Region XII Province of Cotabato Municipality of Makilala  OFFICE OF THE BIDS AND AWARD COMMITTEE INVITATION TO BID N0. 2020-022            The Municipality of Makilala, through the Municipal Engineering Office  intends to apply</t>
  </si>
  <si>
    <t xml:space="preserve"> PGSO-2020-0183 PR2020-0506 INVITATION TO BID FOR THE PROCUREMENT OF RAFFIA WALLING AT GROUND AREA &amp; DOME AND FORMWORKS AND SCAFFOLDING FOR THE PROPOSED CEREMONIAL HALL ACOUSTIC PANELS AT NEW CAPITOL BUILDING, NEW CAPITOL SITE, COGON DISTRICT, TAGBILARAN C</t>
  </si>
  <si>
    <t xml:space="preserve"> Reference No.	CEZRFQ 2020-07-16 RIS No.	20R-03-025 Date 	July 21, 2020 REQUEST FOR QUOTATION AMP – Sec 52.1 (b) Shopping The PEZA – CEZ, through its Bids and Awards Committee (BAC) intends to apply the sum of ₱ 163,572.00 being the Approved Budget for the</t>
  </si>
  <si>
    <t xml:space="preserve"> INVITATION TO BID FOR SUPPLY AND DELIVERY OF VARIOUS CONSTRUCTIONS MATERIALS AND SUPPLIES FOR REPAIR AND MAINTENANCE OF VARIOUS BUILDINGS 1.	The Bids and Awards Committee of the Local Government Unit of Santiago City through the General Fund intends to ap</t>
  </si>
  <si>
    <t xml:space="preserve"> INVITATION TO BID FOR  2nd Invitation for Lot 3 of Supply and Delivery of Post-Harvest Related Machinery and Equipment 1.	The Department of Agriculture Regional Field Office No. 5, through the GAA for CY 2020-Corn Program intends to apply the sum of Nine </t>
  </si>
  <si>
    <t xml:space="preserve"> Other MOOE</t>
  </si>
  <si>
    <t xml:space="preserve"> INVITATION TO BID FOR THE SUPPLY AND DELIVERY                        OF LABORATORY SUPPLIES 1.	The Bureau of Animal Industry, through the General Appropriations Act FY 2020 intends to apply the sum of Two Million Two Hundred Twenty-Four Thousand Five Hund</t>
  </si>
  <si>
    <t xml:space="preserve"> INVITATION TO BID FOR THE SUPPLY AND DELIVERY                         OF LIVE ANIMALS   1.	The Bureau of Animal Industry, through the General Appropriations Act FY 2020 intends to apply the sum of Six Million Pesos (P 6,000,000.00) being the Approved Budg</t>
  </si>
  <si>
    <t xml:space="preserve"> Republic of the Philippines PROVINCE OF BOHOL City of Tagbilaran INVITATION TO BID  1.The Provincial Government of Bohol through the  BIDS AND AWARDS COMMITTEE   for CY 2020, intends to apply the sum of  TWENTY NINE MILLION EIGHT  HUNDRED EIGHTY TWO    TH</t>
  </si>
  <si>
    <t xml:space="preserve"> Invitation to Bid for  PACKAGE 20-37:  COMMUNITY DEVELOPMENT 1.	The Bids and Awards Committee of the Local Government Unit of Santiago City, through the Economic Development Fund intends to apply the sum of Four Million Nine Hundred Eighty Seven Thousand </t>
  </si>
  <si>
    <t xml:space="preserve"> Printing of Forms</t>
  </si>
  <si>
    <t xml:space="preserve"> Republic of the Philippines Province of Eastern Samar Municipality of San Julian INVITATION TO BID ESTABLISHMENT OF OFFICE FRONTLINE SERVICES FACILITIES &amp; FIXTURES (FOR OFFICES NEW NORMAL DUE TO COVID 19) The Local Government Unit of San Julian, through t</t>
  </si>
  <si>
    <t xml:space="preserve"> Republic of the Philippines Region XII Province of Cotabato Municipality of Makilala  OFFICE OF THE BIDS AND AWARD COMMITTEE INVITATION TO BID N0. 2020-028            The Municipality of Makilala, through the Municipal Engineering Office  intends to apply</t>
  </si>
  <si>
    <t xml:space="preserve"> INVITATION TO BID IB NO.  2020 - 066/RJP SUPPLY AND DELIVERY OF 3 UNITS RECIRCULATING DRYER 1.	The Department of Agriculture – Regional Field Office 10, through Rice Program Funds CY 2020 intends to apply the sum of Ten Million Eight Hundred Thousand Peso</t>
  </si>
  <si>
    <t xml:space="preserve"> Republic of the Philippines DEPARTMENT OF PUBLIC WORKS AND HIGHWAYS PANGASINAN IV DISTRICT ENGINEERING OFFICE REGIONAL OFFICE I Tuliao, Sta. Barbara, Pangasinan Invitation to Bid for  Concreting of Brgy. Tuliao FMR, Brgy. Tuliao, Sta. Barbara, Pangasinan </t>
  </si>
  <si>
    <t xml:space="preserve"> INVITATION TO BID FOR  Supply and Delivery of Various GMO Yellow Corn Seeds 1.	The Department of Agriculture Regional Field Office No. 5, through the GAA for CY 2020-Corn Program intends to apply the sum of Five Million Three Hundred Sixty-Eight Thousand </t>
  </si>
  <si>
    <t xml:space="preserve"> Republic of the Philippines Province of Oriental Mindoro MUNICIPALITY OF PINAMALAYAN OFFICE OF THE BIDS AND AWARDS COMMITTEE Invitation to Bid ITB-2020-30 1.  The Municipal Government of Pinamalayan, Oriental Mindoro, through the authorized appropriations</t>
  </si>
  <si>
    <t xml:space="preserve"> INVITATION TO BID 1.	The Province of Cebu through the 2020 General Fund, intends to apply the sum of FORTY-SEVEN MILLION SEVENTY- SEVEN THOUSAND THREE HUNDRED TWENTY PESOS AND 00/100 (Php47,077,320.00) being the Approved Budget for the Contract (ABC) to p</t>
  </si>
  <si>
    <t xml:space="preserve"> INVITATION TO BID FOR THE 1 LOT SUPPLY AND DELIVERY OF VARIOUS PUSH-IN SERVICE CONNECTION FITTINGS 1.	The Cagayan de Oro City Water District, through the COWD Approved Budget for 2020 intends to apply the sum of One Million Four Hundred Thousand Pesos onl</t>
  </si>
  <si>
    <t xml:space="preserve"> INVITATION TO BID  for  Supply and Delivery of Various Construction Materials and Agricultural Equipment at Different Barangays within the 2nd District of Pangsinan Solicitation No. PANG-2020-0970 1.	The Provincial Government of Pangasinan, through the Co</t>
  </si>
  <si>
    <t xml:space="preserve"> Republic of the Philippines PROVINCE OF BOHOL City of Tagbilaran INVITATION TO BID  1.The Provincial Government of Bohol through the  BIDS AND AWARDS COMMITTEE   for CY 2020, intends to apply the sum of  SEVENTEEN MILLION NINE HUNDRED NINETY THREE  THOUSA</t>
  </si>
  <si>
    <t xml:space="preserve"> Republic of the Philippines  City of Canlaon Office of the Bids and Awards Committee  INVITATION TO BID FOR the Improvement of Brgy. Multi-purpose Building The Local Government of Canlaon City, through AIP 2018. Intends to apply the sum Two Hundred Ninety</t>
  </si>
  <si>
    <t xml:space="preserve"> Construction of Multi-Purpose Building  Materials and Supply</t>
  </si>
  <si>
    <t xml:space="preserve"> PR NO. 1122 - 20                       CITY GOVERNMENT OF TACURONG                                             Alunan Highway, Tacurong City Sultan Kudarat                                      BIDS AND AWARDS COMMITTEE                                     </t>
  </si>
  <si>
    <t xml:space="preserve"> INVITATION TO BID FOR SUPPLY AND DELIVERY OF VARIOUS SPARE PARTS FOR REPLACEMENT OF SPAREPARTS OF VARIOUS FARM EQUIPMENT OF CITY AGRICULTURE OFFICE 1.	The Bids and Awards Committee of the Local Government Unit of Santiago City through the General Fund int</t>
  </si>
  <si>
    <t xml:space="preserve"> Republic of the Philippines BOHOL ISLAND STATE UNIVERSITY Main Campus, Tagbilaran City INVITATION TO BID FOR SUPPLY AND DELIVERY OF CONSTRUCTION SUPPLIES (PR NO.2020-02-0304, 2020-02-0198, 2020-02-0151, 2020-02-0425, 2020-02-0290, 2020-01-0030) 1.	The Boh</t>
  </si>
  <si>
    <t xml:space="preserve"> Contract ID: 20CD0182      Contract Name:  Concreting/Improvement and Upgrading of Brgy. Ubihan FMR,                                 Brgy. Ubihan, Meycauayan, Bulacan      Contract Location: Meycauayan, Bulacan      Brief Description: Concreting of road, </t>
  </si>
  <si>
    <t xml:space="preserve"> Section I. Invitation to Bid Republic of the Philippines PROVINCE OF ZAMBOANGA SIBUGAY Capitol Building, Ipil Heights, Ipil, Zamboanga Sibugay INVITATION TO BID FOR  Maintenance of Motor Vehicle 1.	The Province of Zamboanga Sibugay, through the GF - BY 20</t>
  </si>
  <si>
    <t xml:space="preserve"> INVITATION TO BID The Department of Public Works and Highways - Pampanga 1st District Engineering Office, through its Bids and Awards Committee (BAC), invites contractors to submit bids for the following Contract: 1.	 Procurement ID/Contract ID	:	20CG0236</t>
  </si>
  <si>
    <t xml:space="preserve"> 2 units Radio Base		 &gt; Band: VHF		 &gt; Frequency:136-174MHz		 &gt; Lower Power Output:1-25W		 &gt; High Power Output: 25-45W		 &gt; Channel Spacing: 12.5,25kHz		 &gt; Channel Capacity: 1000		 &gt; Dimension (HxWxD): 53x175x206m		 &gt; Weight: 1.8kg		 &gt; Power Supply (Nominal)</t>
  </si>
  <si>
    <t xml:space="preserve"> Republika ng Pilipinas                                                                      BAYAN NG CORTES                                                                         Surigao del Sur                                                            </t>
  </si>
  <si>
    <t xml:space="preserve"> Printing of Ballistics Certificate and Pouches</t>
  </si>
  <si>
    <t xml:space="preserve"> Republic of the Philippines Provincial Government of Nueva Ecija (PGNE) BIDS AND AWARDS COMMITTEE (BAC) PGNE-BAC Office 1/F, Provincial Capitol, Brgy. Singalat Palayan City, Nueva Ecija       INVITATION TO QUOTE SUPPLY AND DELIVERY OF SORTER/ CLASSIFIER F</t>
  </si>
  <si>
    <t xml:space="preserve"> Republic of the Philippines BOHOL ISLAND STATE UNIVERSITY Main Campus, Tagbilaran City INVITATION TO BID FOR SUPPLY AND DELIVERY OF MULTIMEDIA PROJECTORS FOR THE 2ND QUARTER (PR NO.2020-06-0565, 2020-05-0511, 2020-02-0178, 2020-02-0168) 1.	The Bohol Islan</t>
  </si>
  <si>
    <t xml:space="preserve"> Contract ID: 20CD0181      Contract Name:  Concreting of Brgy. Malipampang to Brgy. Telapatio FMR,                                 Brgy. Malipampang and Brgy. Telapatio, San Ildefonso, Bulacan      Contract Location: San Ildefonso, Bulacan      Brief Desc</t>
  </si>
  <si>
    <t xml:space="preserve"> INVITATION TO BID NO. INFRA-2020-15 									 1.	The Municipal Government of Hungduan, Ifugao, through the 20% Municipal Development Fund intends to apply the sum of Two Hundred Ninety Five Thousand Three Hundred Sixty Six Pesos &amp; Seventy Five Centavos (₱</t>
  </si>
  <si>
    <t xml:space="preserve"> Contract ID: 20CD0180      Contract Name:  Concreting of Brgy. Gabihan to Brgy. Sumandig FMR,                                 Brgy. Gabihan and Brgy. Sumandig, San Ildefonso, Bulacan      Contract Location: San Ildefonso, Bulacan      Brief Description: C</t>
  </si>
  <si>
    <t xml:space="preserve"> Scope of Work I. ONE UNIT GREENHOUSE WITH AEROPONICS SYSTEM				 1.1. 1 unit	Greenhouse - 8Mx32Mx5M 1.2. 16 cu.m Concrete Works		  1.3. 1 set 	Aeroponics System	 1.4. 3 boxes Aeroponic Box		  1.5. 1 lumpsum	Reinforcing Steel		  1.6. 20 sq.m. Masonry Work		</t>
  </si>
  <si>
    <t xml:space="preserve"> 1.	The Government Service Insurance System (GSIS), through the GSIS Corporate Operating Budget for CY 2019, intends to apply the sum of Twenty Six Million Three Hundred Seventy Six Thousand Pesos (Php26,376,000.00) being the Approved Budget for the Contra</t>
  </si>
  <si>
    <t xml:space="preserve"> PROCUREMENT OF NETWORK SECURITY APPLIANCE MAINTENANCE SERVICE FOR THE DEPARTMENT OF ENVIRONMENT AND NATURAL RESOURCES  (DENR) FIELD OFFICES Bid Ref. No. DENR-CO-2020-006 Approved Budget for the Contract:  =P 7,100,000.00 1.	The   Department of Environment</t>
  </si>
  <si>
    <t xml:space="preserve"> Creative and colorful sets of trash bins will be designed and hand painted by kalbaristas and/or the youth of Poblacion. These bins will be assigned to specific locations accessible to people for easy and proper disposal of solid waste</t>
  </si>
  <si>
    <t xml:space="preserve"> BIDS AND AWARDS COMMITTEE – SECURITY PLANT COMPLEX INVITATION TO BID 1.	The Bangko Sentral ng Pilipinas (BSP), through its Bids and Awards Committee – Security Plant Complex (BAC-SPC), invites Bidders to apply for eligibility and to bid for the hereunder </t>
  </si>
  <si>
    <t xml:space="preserve"> 1. The CITY GOVERNMENT OF CALAMBA through the General Fund intends to apply the sum of PHP 1,189,295.20 being the Approved Budget for the Contract (ABC) to payments under the contract for: G-2020-479 Supply and Delivery of Printed Materials Office of the </t>
  </si>
  <si>
    <t xml:space="preserve"> INVITATION TO BID The Iligan City Government Bids and Awards Committee (BAC), through 2020-Special Education Fund intends to apply the sum of                                    P 1,513,400.00 being the Approved Budget for the Contract (ABC) to payments un</t>
  </si>
  <si>
    <t xml:space="preserve"> 1. The CITY GOVERNMENT OF CALAMBA through the GAD Fund intends to apply the sum of PHP 3,033,120.00 being the Approved Budget for the Contract (ABC) to payments under the contract for: G-2020-481 Supply and Installation of Airconditioning Unit Gender and </t>
  </si>
  <si>
    <t xml:space="preserve"> FURNISHING/DELIVERING OF VARIOUS COMMON CONSTRUCTION MATERIALS AND SUPPLIES ONLY *****NOTHING FOLLOWS****</t>
  </si>
  <si>
    <t xml:space="preserve"> Republic of the Philippines Provincial Government of Nueva Ecija (PGNE) BIDS AND AWARDS COMMITTEE (BAC) PGNE-BAC Office 1/F, Provincial Capitol, Brgy. Singalat Palayan City, Nueva Ecija       INVITATION TO QUOTE Supply and Delivery of Various Supplies and</t>
  </si>
  <si>
    <t xml:space="preserve"> 1. The CITY GOVERNMENT OF CALAMBA through the General Fund intends to apply the sum of PHP 1,205,860.80 being the Approved Budget for the Contract (ABC) to payments under the contract for: G-2020-496 Supply and Delivery of Rabies Vaccine City Health Servi</t>
  </si>
  <si>
    <t xml:space="preserve"> Invitation to Bid Procurement of Ink and Toner  		 1.	The Department of Environment and Natural Resources (DENR), CALABARZON Region , through the General Appropriations Acts of  2020 intends to apply the sum of One Million Nineteen Thousand Eight Hundred </t>
  </si>
  <si>
    <t xml:space="preserve"> INVITATION TO BID The Iligan City Government Bids and Awards Committee (BAC), through 2020-Special Education Fund intends to apply the sum of P 1,125,000.00 being the Approved Budget for the Contract (ABC) to payments under the Contract for Supply and Del</t>
  </si>
  <si>
    <t xml:space="preserve"> The PhilGEPS registered suppliers are invited to bid for the following attached in PDF Form. Please download the attached file.</t>
  </si>
  <si>
    <t xml:space="preserve"> Invitation to Bid for Printing and Delivery of Modules to the Schools of General Trias City 1.	The Division of General Trias City, through the General Appropriations Act - Basic Education-Learning Continuity Plan (BE-LCP) Fund FY 2019 - 2020, GAA, RA 1146</t>
  </si>
  <si>
    <t xml:space="preserve"> 1.	The Local Government Unit (LGU) of Caluya, Antique through the Municipal Annual Budget 2020 intends to apply the sum of Eight Hundred Thirty-Five Thousand Two Hundred Sixty Nine Pesos and 51/100 (Php835,269.51) only being the Approved Budget for the Co</t>
  </si>
  <si>
    <t xml:space="preserve"> 20	units   	Gasul Refill 50	kg	        Fish (Tilapia, 4 in 1 ) 50	kg	        Bangus (3 in 1) 10	heads	Pigs (150kgs/head) 50	heads	Chicken (Sunshine) @ 2.5 kgs each 20	boxes	Dried fish 50	kg	        Cabbage 50	kg      	Chinese Cabbage 50	kg     	String bea</t>
  </si>
  <si>
    <t xml:space="preserve"> 1.	The Local Government Unit (LGU) of Caluya, Antique through the Municipal Annual Budget 2020 intends to apply the sum of Nine Hundred Twenty One Thousand Five Hundred Pesos (Php921,500.00) only being the Approved Budget for the Contract (ABC) to payment</t>
  </si>
  <si>
    <t xml:space="preserve"> 1.	The Local Government Unit (LGU) of Caluya, Antique through the Municipal Annual Budget 2020 intends to apply the sum of One Million Seven Hundred Fifty Thousand Pesos (Php1,750,000.00) only being the Approved Budget for the Contract (ABC) to payments u</t>
  </si>
  <si>
    <t xml:space="preserve"> Republika ng Pilipinas                                                                       BAYAN NG CORTES                                                                          Surigao del Sur                                                          </t>
  </si>
  <si>
    <t xml:space="preserve"> 1.	The Local Government Unit (LGU) of Caluya, Antique through the Municipal Annual Budget 2020 intends to apply the sum of Three Million One Hundred Eighty-Four Thousand Thirty Six Pesos and 80/100  (Php3,184,036.80) only being the Approved Budget for the</t>
  </si>
  <si>
    <t xml:space="preserve"> Republic of the Philippines DEPARTMENT OF PUBLIC WORKS AND HIGHWAYS OFFICE OF THE DISTRICT ENGINEER Bukidnon 1st District Engineering Office Malaybalay City INVITATION TO BID The Department of Public Works and Highways, Bukidnon 1st District Engineering o</t>
  </si>
  <si>
    <t xml:space="preserve"> 1. The CITY GOVERNMENT OF CALAMBA through the Special Education Fund intends to apply the sum of PHP 2,280,000.00 being the Approved Budget for the Contract (ABC) to payments under the contract for: G-2020-484 Supply and Delivery of Vitamins City Schools </t>
  </si>
  <si>
    <t xml:space="preserve"> 1. The CITY GOVERNMENT OF CALAMBA through the Special Education Fund intends to apply the sum of PHP 7,497,000.00 being the Approved Budget for the Contract (ABC) to payments under the contract for: G-2020-492 Supply and Delivery of Office Equipment City </t>
  </si>
  <si>
    <t xml:space="preserve"> 1. The CITY GOVERNMENT OF CALAMBA through the Special Education Fund intends to apply the sum of PHP 30,816,192.00 being the Approved Budget for the Contract (ABC) to payments under the contract for: G-2020-483 Supply and Delivery of Office Supplies City </t>
  </si>
  <si>
    <t xml:space="preserve"> 1. The CITY GOVERNMENT OF CALAMBA through the Special Education Fund intends to apply the sum of PHP 3,980,022.00 being the Approved Budget for the Contract (ABC) to payments under the contract for: G-2020-482 Supply and Installation of Network Radio &amp; An</t>
  </si>
  <si>
    <t xml:space="preserve"> INVITATION TO BID The Iligan City Government Bids and Awards Committee (BAC), through 2020-Special Education Fund intends to apply the sum of                                    P 2,034,000.00 being the Approved Budget for the Contract (ABC) to payments un</t>
  </si>
  <si>
    <t xml:space="preserve"> 1. The CITY GOVERNMENT OF CALAMBA through the Special Education Fund intends to apply the sum of PHP 91,809,600.00 being the Approved Budget for the Contract (ABC) to payments under the contract for: G-2020-500 Supply and Delivery of I.T. Equipment City S</t>
  </si>
  <si>
    <t xml:space="preserve"> Project:	GEOTECHNICAL SOIL INVESTIGATION FOR THE PROPOSED REHABILITATION/RECONSTRUCTION OF NATIONAL ROADS WITH SLIPS, SLOPE COLLAPSE, AND LANDSLIDE ALONG KIANGAN-TINOC-BUGUIAS ROAD AND CONG. ANDRES ACOP COSALAN ROAD Location	Buguias, Benguet Objectives:	 </t>
  </si>
  <si>
    <t xml:space="preserve"> 1.	The Local Government Unit (LGU) of Caluya, Antique through the Municipal Annual Budget 2020 intends to apply the sum of Six Million Pesos (Php6,000,000.00) only being the Approved Budget for the Contract (ABC) to payments under the contract for Supply </t>
  </si>
  <si>
    <t xml:space="preserve"> July 17, 2020  Request for Expression of Interest for  Managed Services for the Operations of Tax Administration  Core Systems and Other BIR Systems Public Bidding No. 2020-05 (Consulting Services)  1.	The Bureau of Internal Revenue National Office (BIR-N</t>
  </si>
  <si>
    <t xml:space="preserve"> Project:	GEOTECHNICAL SOIL INVESTIGATION FOR THE PROPOSED REHABILITATION/RECONSTRUCTION OF NATIONAL ROADS WITH SLIPS, SLOPE COLLAPSE, AND LANDSLIDE ALONG GOV. BADO DANGWA NATIONAL ROAD Location	Tublay, Kapangan, Kibungan and Bakun, Benguet Objectives:	 1.</t>
  </si>
  <si>
    <t xml:space="preserve"> ITB No. 2020-82 August 11, 2020 Republic of the Philippines Province of Davao Oriental CITY OF MATI INVITATION TO BID LAND DEVELOPMENT - NEW PUNTAVILLE Name of Project 1.	The City Government of Mati, through the 20% Local Development Fund intends to apply</t>
  </si>
  <si>
    <t xml:space="preserve"> 1.	The LGU-Mallig, Isabela, through the Tobacco Excise Tax 2016 intends to apply the sum of One Million Five Hundred Seven Thousand One Hundred Seventy-Five Pesos &amp; 58/100 Only (Php 1,507,175.58) being the Approved Budget for the Contract (ABC) to payment</t>
  </si>
  <si>
    <t xml:space="preserve"> Republika ng Pilipinas                                                                   BAYAN NG CORTES                                                                     Surigao del Sur                                                          BIDS AND </t>
  </si>
  <si>
    <t xml:space="preserve"> 1.	The Local Government Unit (LGU) of Caluya, Antique through the Supplemental Budget No.1, s. 2019, intends to apply the sum of One Million Seven Hundred Fifty Thousand Pesos (Php1,750,000.00) only being the Approved Budget for the Contract (ABC) to paym</t>
  </si>
  <si>
    <t xml:space="preserve"> 1.	The LGU-Mallig, Isabela, through the Tobacco Excise Tax 2016 intends to apply the sum of Six Million Five Hundred Twenty-Three Thousand Nine Hundred Thirty-Seven Pesos &amp; 47/100 Only (Php 6,523,937.47) being the Approved Budget for the Contract (ABC) to</t>
  </si>
  <si>
    <t xml:space="preserve"> 1.	The Local Government Unit (LGU) of Caluya, Antique through the Municipal Annual Budg-et 2020 intends to apply the sum of Three Hundred Fifty Thousand Pesos (Php350,000.00) only being the Approved Budget for the Contract (ABC) to payments under the cont</t>
  </si>
  <si>
    <t xml:space="preserve"> 1.	The Local Government Unit (LGU) of Caluya, Antique through the Municipal Annual Budget 2020 intends to apply the sum of Three Hundred Four Thousand Six Hundred Twenty Pesos (Php304,620.00) only being the Approved Budget for the Contract (ABC) to paymen</t>
  </si>
  <si>
    <t xml:space="preserve"> 1.	The LGU-Mallig, Isabela, through the Tobacco Excise Tax 2016 intends to apply the sum of One Million Seven Hundred Thirty-Two Thousand Nine Hundred Forty-One Pesos &amp; 75/100 Only (Php 1,732,941.75) being the Approved Budget for the Contract (ABC) to pay</t>
  </si>
  <si>
    <t xml:space="preserve"> LGU Patnanungan, Quezon						Ref.		See other bid docs                                                                                            	 Name of Project	As shown                                                                                    </t>
  </si>
  <si>
    <t xml:space="preserve"> Republic of the Philippines MINDANAO STATE UNIVERSITY General Santos City INVITATION TO BID FOR THE PURCHASE AND PRODUCTION OF THE 2019 “DARANGEN” ( YEARBOOK) 1.	The Mindanao State University – General Santos City (MSU-GSC), through its Special Trust Fund</t>
  </si>
  <si>
    <t xml:space="preserve"> 1.	The Local Government Unit (LGU) of Caluya, Antique through the Municipal Annual Budget 2020 intends to apply the sum of Five Hundred Twenty-Four Thousand One Hundred Ninety-One Pesos (Php524,191.00) only being the Approved Budget for the Contract (ABC)</t>
  </si>
  <si>
    <t xml:space="preserve"> SUPPLEMENTAL /BID BULLETIN ADDENDUM NO. 01 	This Addendum is issued to amend the schedule of Pre-Bid Coference and Opening of Bids for  Project Reference Number CB(B)-20-019(CEO) First Quarter  and  CB(B)-20-20(CEO) 3rd Quarter respectively for the Supply</t>
  </si>
  <si>
    <t xml:space="preserve"> 1.	The Local Government Unit (LGU) of Caluya, Antique through the Municipal Annual Budget 2020 intends to apply the sum of Five Hundred Nineteen Thousand Three Hundred Pesos (Php519,300.00) only being the Approved Budget for the Contract (ABC) to payments</t>
  </si>
  <si>
    <t xml:space="preserve"> 1. The CITY GOVERNMENT OF CALAMBA through the General Fund intends to apply the sum of PHP 95,999,904.00 being the Approved Budget for the Contract (ABC) to payments under the contract for: G-2020-501 Hauling and Dumping of Garbage City Environment and Na</t>
  </si>
  <si>
    <t xml:space="preserve"> Department of Agriculture		 BUREAU OF PLANT INDUSTRY 692 San Andres Street Malate, Manila, Philippines E-mail Address: bpibac@yahoo.com Tel. No.: (02) 8526-7859, (02) 8691-0736 | Website: bpi.da.gov.ph SOLICITATION NO.: ITB PR NO. 1279-20BAC  INVITATION T</t>
  </si>
  <si>
    <t xml:space="preserve"> 41	Sacks	Powdered Milk (Spray Process, Grade A,Nonfat Dry Milk, Made from Pasteurized Milk); @25kg/sack 50	Bags	        Cellophane (for 1 kilo, durable, thick)</t>
  </si>
  <si>
    <t xml:space="preserve"> TABLET		 *Display - Size: minimum - 8.0 inches, Type: LCD, Colour: minimum of 16.7 million colours, Resolution: minimum - 1280 x 800,     189 PPI, Screen to Body Ratio: 80% and above			 *Platform - Chipset: quad Core Minimum, Operating System - Android 9 </t>
  </si>
  <si>
    <t xml:space="preserve"> Republic of the Philippines PROVINCE OF NUEVA ECIJA City of Palayan INVITATION TO BID FOR  SUPPLY AND DELIVERY OF HARDWARE/ CONSTRUCTION MATERIALS July 22, 2020 1.	The Provincial Government of Nueva Ecija (PGNE), through the General Fund intends to apply </t>
  </si>
  <si>
    <t xml:space="preserve"> Department of Agriculture		 BUREAU OF PLANT INDUSTRY 692 San Andres Street Malate, Manila, Philippines E-mail Address: bpibac@yahoo.com Tel. No.: (02) 8526-7859, (02) 8691-0736 | Website: bpi.da.gov.ph SOLICITATION NO.: ITB PR NO. 1181-20BAC  INVITATION T</t>
  </si>
  <si>
    <t xml:space="preserve"> Republic of the Philippines Region XII Province of Cotabato BIDS AND AWARDS COMMITTEE Amas, Kidapawan City INVITATION TO BID FOR Supply &amp; Delivery of Hybrid Rice Seeds for production support to rice farmers in the Province of Cotabato. (PB-20-376) 1.	The </t>
  </si>
  <si>
    <t xml:space="preserve"> Republic of the Philippines Region XII Province of Cotabato BIDS AND AWARDS COMMITTEE Amas, Kidapawan City INVITATION TO BID FOR Procurement of Catering Services for various activities of Barangay peacekeeping/tanods of this province. (PB-20-375) 1.	The P</t>
  </si>
  <si>
    <t xml:space="preserve"> 1.17 mo. occupational safety and health program 41 cu.m. structure excavation 53.12 cu.m. concrete class A 2220.67 kgs reinforcing steel 1 ls formworks and falseworks 627.42 l.m. pre-painted rib type roof 900 sq.m. painting works (metal surface) 871.03 sq</t>
  </si>
  <si>
    <t xml:space="preserve"> 1.	The Local Government Unit (LGU) of Caluya, Antique through the Municipal Annual Budget 2020 intends to apply the sum of Two Hundred Nineteen Thousand Five Hundred Seventy Pesos (Php219,570.00) only being the Approved Budget for the Contract (ABC) to pa</t>
  </si>
  <si>
    <t xml:space="preserve"> Republic of the Philippines Region XII Province of Cotabato BIDS AND AWARDS COMMITTEE Amas, Kidapawan City INVITATION TO BID FOR Supply &amp; Delivery of Agricultural Supplies for distribution to farmers affected by earthquake. (PB-20-373) 1.	The Provincial G</t>
  </si>
  <si>
    <t xml:space="preserve"> Procurement of 3 units Digital Copy Printer Machine and 1 unit Digital Copy Printer with free Copier Machine</t>
  </si>
  <si>
    <t xml:space="preserve"> .60 mo. occupational safety and health program 1 ls removal of structures and obstructions 25 cu.m. structure excavation 5.72 cu.m. embankment from borrow 23.53 cu.m. concrete class A 2518.99 kgs einforcing steel 1 ls formworks and falseworks 508.93 sq ft</t>
  </si>
  <si>
    <t xml:space="preserve"> Republic of the Philippines Region XII Province of Cotabato BIDS AND AWARDS COMMITTEE Amas, Kidapawan City INVITATION TO BID FOR Supply &amp; Delivery of Shelter &amp; Modular Tents to be used in evacuation centers. (PB-20-374) 1.	The Provincial Government of Cot</t>
  </si>
  <si>
    <t xml:space="preserve"> Republic of the Philippines Region XII Province of Cotabato BIDS AND AWARDS COMMITTEE Amas, Kidapawan City INVITATION TO BID FOR Supply &amp; Delivery of Medicines for different RHUs in the Province of Cotabato for treatment of COVID-19 patients. (PB-20-292) </t>
  </si>
  <si>
    <t xml:space="preserve"> Republic of the Philippines PROVINCE OF NUEVA ECIJA City of Palayan INVITATION TO BID FOR  SUPPLY, DELIVERY AND INSTALLATION OF VARIOUS AIR-CONDITIONING UNITS July 22, 2020 1.	The Provincial Government of Nueva Ecija (PGNE), through the General Fund inten</t>
  </si>
  <si>
    <t xml:space="preserve"> Republic of the Philippines Province of Northern Samar Barangay San Antonio Invitation to Bid for: Concreting of San Francisco St., Brgy. San antonio, Gamay, Northern Samar The BLGU San Antonio, Gamay, Northern Samar, through the Barangay Development Fund</t>
  </si>
  <si>
    <t xml:space="preserve"> Republic of the Philippines DEPARTMENT OF PUBLIC WORKS AND HIGHWAYS PANGASINAN 2ND  DISTRICT ENGINEERING OFFICE  REGIONAL OFFICE I Alvear St., Lingayen, Pangasinan INVITATION TO BID The DPWH Pangasinan 2nd District Engineering Office, through its Bids and</t>
  </si>
  <si>
    <t xml:space="preserve"> Invitation to Bid July 21, 2020 1. The Municipality of Tinoc through the Bids and Awards Committee advertised an Invitation to bid for the PACKAGE 6 (A. MANAAN-LAB-ONG FMR IMPROVEMENT, AND B. GUMHANG-MANAAN-DANGGO ROAD IMPROVEMENT (Pitican Section)))funde</t>
  </si>
  <si>
    <t xml:space="preserve"> NOTICE OF SHORT LIST AND REQUEST FOR PROPOSALS (RFP) July 21, 2020 ELLA D. VICENTE Managing Principal SARELLE ENGINEERING CONSULTANCY Unit 605 Brescia Residences,  Lilac St. West Fairview, Quezon City Dear Ms. Vicente: Based on our evaluation of eligible </t>
  </si>
  <si>
    <t xml:space="preserve"> Invitation to Bid July 21, 2020 1. The Municipality of Tinoc through the Bids and Awards Committee advertised an Invitation to bid for the PACKAGE 7 (A. PALABAYAN E/S GYM IMPROVEMENT, B. BANGA-KADIL FMR IMPROVEMENT AND C. MRF-TUKING, AP-APID CONSTRUCTION)</t>
  </si>
  <si>
    <t xml:space="preserve"> Department of Education Region VI-Western Visayas Division of Cadiz City Cadiz East Elementary School II 2ND INVITATION TO BID FOR THE ADDITIONAL OFFICE SUPPLIES FOR 2020 1.	The Cadiz East Elementary School II of Cadiz City, through the Schools MOOE Fund </t>
  </si>
  <si>
    <t xml:space="preserve"> INVITATION TO BID (for the Procurement of Goods)           1.	The City Government of Puerto Princesa (CGPP), through its General Appropriations Ordinance No. 1-2019 (General Fund FY 2020), intends to apply the sum, corresponds as the Approved Budget for t</t>
  </si>
  <si>
    <t xml:space="preserve"> INVITATION TO BID (for the Procurement of Goods)           1.	The City Government of Puerto Princesa (CGPP), through its  General Appropriations Ordinance No. 1-2018 (General Fund FY 2019) intends to apply the sum, corresponds as the Approved Budget for t</t>
  </si>
  <si>
    <t xml:space="preserve"> .77 month occupational safety and health program 46.04 cu m structure excavation 52.07 cu m embankment from borrow 54.63 cu m concrete class A 6991.70 kgs reinforcing steel 1 ls formworks and falseworks 15.75 sq m doors and windows 63.99 lm pre-painted ri</t>
  </si>
  <si>
    <t xml:space="preserve"> Department of Agriculture		 BUREAU OF PLANT INDUSTRY 692 San Andres Street Malate, Manila, Philippines E-mail Address: bpibac@yahoo.com Tel. No.: (02) 8526-7859, (02) 8691-0736 | Website: bpi.da.gov.ph SOLICITATION NO.: ITB PR NO. 3310-19BAC  INVITATION T</t>
  </si>
  <si>
    <t xml:space="preserve"> Supply, Delivery, Installation and Configuration of Brand new Network Security Appliances for the Department of Environment and Natural Resources Regional Offices (ROs), Provincial Environment and Natural Resources Offices (PENROs), Land Management Bureau</t>
  </si>
  <si>
    <t xml:space="preserve"> National Power Corporation INVITATION TO BID PUBLIC BIDDING 2020-0200 1.	The NATIONAL POWER CORPORATION (NPC), through       its        approved       Corporate Budget of CY 2020 intends to apply   the   sum   of (Please see schedule below) being the Appr</t>
  </si>
  <si>
    <t xml:space="preserve"> INVITATION TO BID (for the Procurement of Goods)           1.	The City Government of Puerto Princesa (CGPP), through its General Appropriations Ordinance No. 1-2019 (General Fund FY 2020),  intends to apply the sum, corresponds as the Approved Budget for </t>
  </si>
  <si>
    <t xml:space="preserve"> Amount of Bid Docs 4,000.00 To all suppliers/Contractors Bid Documents are available at BAC Office on July 29, 2020 Please qoute your Lowest Price; tem No. Quantity Unit Description a) 1 unit Brand New PV-Flexi Truck with Complete Accessories &amp; Air Condit</t>
  </si>
  <si>
    <t xml:space="preserve"> Amount of Bid Docs 10,000.00 To all suppliers/Contractors Bid Documents are available at BAC Office on July 29, 2020 Please qoute your Lowest Price; tem No. Description Quantity Unit 803	        Excavation of Footing 	 18.00 	Cu. M. 804(a)	Backfilling of </t>
  </si>
  <si>
    <t xml:space="preserve"> Republic of the Philippines Province of Guimaras Municipality of Sibunag INVITATION TO BID FOR  Bid No. 2020-019 – For the Impv’t. of Drainage System in the Municipal Site The Municipality  of Sibunag, through the 2018 LGSF-TRUSTFUND (MSWDO) intends to ap</t>
  </si>
  <si>
    <t xml:space="preserve"> Amount of Bid Docs 10,000.00 To all suppliers/Contractors Bid Documents are available at BAC Office on July 29, 2020 Please qoute your Lowest Price; tem No. Description Quantity Unit 803	        Excavation of Footing 	 18.000 	Cu. M. 804(a)	Backfilling of</t>
  </si>
  <si>
    <t xml:space="preserve"> QTY  UNIT   DESCRIPTION One (1) Unit Sound System (Package with 2 years Free Service Maintenance and 1 year Parts Warranty) 2 pcs. 15"2-Way Professional Active Speaker 700 watts max 2 pcs. 18" Professional Active Subwoofer 1600 watts max 1 pair Profession</t>
  </si>
  <si>
    <t xml:space="preserve"> 1,500 sachet Etofenprox 20WP 50G</t>
  </si>
  <si>
    <t xml:space="preserve"> Drug and Medicines</t>
  </si>
  <si>
    <t xml:space="preserve"> Other Supplies &amp; Materials</t>
  </si>
  <si>
    <t xml:space="preserve"> Bicol Medical Center Concepcion Pequeña, Naga City, 4400 (0998-247-0239/0906-256-9238          E-mail Address: bmc.bacoffice@gmail.com INIVITATION TO BID PROCUREMENT OF PHARMCEUTICALS (1) ITB No. 2020-23 1.	The BICOL MEDICAL CENTER, through SA-QRF COVID i</t>
  </si>
  <si>
    <t xml:space="preserve"> CONSTRUCTION OF MULTI-PURPOSE HALL (Phase 2)</t>
  </si>
  <si>
    <t xml:space="preserve"> Republic of the Philippines Bangsamoro Autonomous Region in Muslim Mindanao Provincial Government of Maguindanao BIDS AND AWARDS COMMITTEE Buluan, Maguindanao INVITATION TO BID FOR SUPPLY AND DELIVERY OF RAPID TEST KIT  1.	The Provincial Government of Mag</t>
  </si>
  <si>
    <t xml:space="preserve"> Republic of the Philippines Bangsamoro Autonomous Region in Muslim Mindanao Provincial Government of Maguindanao BIDS AND AWARDS COMMITTEE Buluan, Maguindanao INVITATION TO BID FOR SUPPLY AND DELIVERY OF THERMAL SCANNER AND X-RAY BAGGAGE SCANNER 1.	The Pr</t>
  </si>
  <si>
    <t xml:space="preserve"> INVITATION TO BID: BID REFERENCE NO. 2020-69 “PROCUREMENT OF TWO (2) UNITS ICE BLOCK MAKING MACHINE FOR BOHOL PROVINCE UNDER SAAD 2020” The DA-Bureau of Fisheries and Aquatic Resources Region VII, through the General Appropriations Act (GAA) FY 2020 inten</t>
  </si>
  <si>
    <t xml:space="preserve"> Republic of the Philippines Provincial Government of Nueva Ecija (PGNE) BIDS AND AWARDS COMMITTEE (BAC) PGNE-BAC Office 1/F, Provincial Capitol, Brgy. Singalat Palayan City, Nueva Ecija       INVITATION TO QUOTE SUPPLY AND DELIVERY OF RED BAGS FOR STO. DO</t>
  </si>
  <si>
    <t xml:space="preserve"> Purchased of several office equipments  ( xerox machine, electronic calculator, vacuum , electronic calculator, conference microphone)</t>
  </si>
  <si>
    <t xml:space="preserve"> 1. The [Local Government Unit of Inopacan, Leyte], through the [Capital Outlay of the Municipal Engineering Office in the 2020 General Fund Supplemental Budget No. 1 as per Appropriation Ordinance No. 20-02 by the 14th Sangguniang Bayan of Inopacan, Leyte</t>
  </si>
  <si>
    <t xml:space="preserve"> IMPROVEMENT OF OPEN CANAL</t>
  </si>
  <si>
    <t xml:space="preserve"> Republic of the Philippines Province of Bukidnon Municipality of Damulog OFFICE OF THE BIDS AND AWARD COMMITTEE Invitation to Bid for Supply and Delivery of Fuel, Oil and Lubricants The Local Government Unit of Damulog, through the 8911-200 fund  intends </t>
  </si>
  <si>
    <t xml:space="preserve"> The National Food Authority (NFA) Regional Office V, through its Infrastructure and PHF Machineries Capital Outlay Budget with ASA No. 2020-TRSD-V-Tabaco, Albay-004 intends to apply the sum of PESOS: SIX MILLION SIXTY THREE THOUSAND SEVEN HUNDRED FORTY SI</t>
  </si>
  <si>
    <t xml:space="preserve"> Republic of the Philippines Province of Bohol Municipality of Maribojoc BIDS AND AWARDS COMMITTEE INVITATION TO BID The Municipality of Maribojoc, Bohol invites Contractors registered with and classified by the Philippine Contractors Accreditation Board (</t>
  </si>
  <si>
    <t xml:space="preserve"> Section 1. INVITATION to BID (IB) No. 2020-014 The Municipality of Cabiao, Nueva Ecija, through its Bids and Awards Committee (BAC), invites suppliers/manufacturers/distributors to apply for eligibility and to bid if found eligible, to bid for the followi</t>
  </si>
  <si>
    <t xml:space="preserve"> Republic of the Philippines Province of Quezon Municipality of Pagbilao BIDS AND AWARDS COMMITTEE Invitation to Bid for CONSTRUCTION OF WASH AREA 1.	The Municipal Government of Pagbilao, through the LSB- Annual Budget  CY- 2020 intends to apply the sum of</t>
  </si>
  <si>
    <t xml:space="preserve"> Republic of the Philippines Province of Quezon Municipality of Pagbilao BIDS AND AWARDS COMMITTEE Invitation to Bid for LANDSCAPING 1.	The Municipal Government of Pagbilao, through the LSB- Annual Budget  CY- 2020 intends to apply the sum of Three Hundred</t>
  </si>
  <si>
    <t xml:space="preserve"> Republic of the Philippines Province of Leyte Municipality of Kananga BARANGAY LIM-AO BIDS AND AWARDS COMMITTEE Invitation to Bid for the Procurement of One (1) Unit, Package Type, Floor Mounted Air conditioner, Brgy.Lim-ao, Kananga, Leyte 1.	The Barangay</t>
  </si>
  <si>
    <t xml:space="preserve"> 1.	The AGRICULTURAL TRAINING INSTITUTE (ATI), through the 2020 GENERAL APPROPRIATIONS ACT (GAA) intends to apply the sum of SIX MILLION ONE HUNDRED FIFTY-NINE THOUSAND ONE HUNDRED FIFTY PESOS (PHP 6,159,150.00) being the Approved Budget for the Contract (</t>
  </si>
  <si>
    <t xml:space="preserve"> To undertake Construction of Crisis Center</t>
  </si>
  <si>
    <t xml:space="preserve"> QTY	UNIT	ITEM DESCRIPTION 		  52.00 	unit/s	Fabrication / Installation of Streetlights</t>
  </si>
  <si>
    <t xml:space="preserve"> QTY	UNIT	ITEM DESCRIPTION 		  319.95 	cu.m.	Grouted Riprap</t>
  </si>
  <si>
    <t xml:space="preserve"> .17 mon. occupational safety and health program 1 ls removal of structures and obstructions 85.80 l.m. pre-painted rib type roof 118.55 sq.m. painting works (metal surface) 24 sq.m. masonry works 1444.50 kgs structural steel (roof  framing) 72 sq.m. eilin</t>
  </si>
  <si>
    <t xml:space="preserve"> Standard Form No.: SF-INFRA-05               Republic of the Philippines          MUNICIPALITY OF ROSALES                  Province of Pangasinan                    INVITATION TO BID 	The Municipality of Rosales, through its Bids and Awards Committee (BAC</t>
  </si>
  <si>
    <t xml:space="preserve"> Republic of the Philippines Province of Quezon Municipality of Pagbilao BIDS AND AWARDS COMMITTEE Invitation to Bid for REHABILITATION OF OLD SANITARY LANDFILL 1.	The Municipal Government of Pagbilao, through the DOE- ER No. 1-94 Fund- CY 2020 intends to </t>
  </si>
  <si>
    <t xml:space="preserve"> Republic of the Philippines Province of Quezon Municipality of Pagbilao BIDS AND AWARDS COMMITTEE Invitation to Bid for IMPROVEMENT OF DRAINAGE SYSTEM 1.	The Municipal Government of Pagbilao, through the LSB- Annual Budget  CY- 2020 intends to apply the s</t>
  </si>
  <si>
    <t xml:space="preserve"> To undertake Construction of Public Library/Museum</t>
  </si>
  <si>
    <t xml:space="preserve"> CONSTRUCTION OF MULTI-PURPOSE BUILDING (COVERED COURT) Kapate, Kiamba, Sarangani Province (Contract No. INFRA 2020-38) July 21, 2020 1.	The Provincial Government of Sarangani, through AIP 2020/AB 2020 intends to apply the sum of Two Million Nine Hundred N</t>
  </si>
  <si>
    <t xml:space="preserve"> REPUBLIC OF THE PHILIPPINES BARANGAY TIGBAWAN TIGBAWAN, LAZI, SIQUIJOR INVITATION TO BID 1.	The Barangay TIGBAWAN, Lazi, Siquijor, through the authorized appropriations under the 20% Development Fund CY 2020, intends to apply the sum of One Hundred Twenty</t>
  </si>
  <si>
    <t xml:space="preserve"> REPUBLIC OF THE PHILIPPINES BARANGAY TIGBAWAN TIGBAWAN, LAZI, SIQUIJOR INVITATION TO BID 1.	The Barangay TIGBAWAN, Lazi, Siquijor, through the authorized appropriations under the 20% Development Fund CY 2020, intends to apply the sum of Two Hundred Thirty</t>
  </si>
  <si>
    <t xml:space="preserve"> CONSTRUCTION OF MULTI-PURPOSE BUILDING (COVERED COURT) Lago, Glan, Sarangani Province (Contract No. INFRA 2020-37) July 21, 2020 1.	The Provincial Government of Sarangani, through AIP 2020/AB 2020 intends to apply the sum of Two Million Nine Hundred Ninet</t>
  </si>
  <si>
    <t xml:space="preserve"> Republic of the Philippines Province of Quezon Municipality of Pagbilao BIDS AND AWARDS COMMITTEE Invitation to Bid for IMPROVEMENT OF COVERED COURT 1.	The Municipal Government of Pagbilao, through the LSB Annual Budget- CY 2020 intends to apply the sum o</t>
  </si>
  <si>
    <t xml:space="preserve"> PR NO. 1017 - 20                  Republic of the Philippines                 CITY GOVERNMENT OF TACURONG Alunan Highway, Tacurong City Sultan Kudarat BIDS AND AWARDS COMMITTEE                  Tel nos. (064) 562-0128/ Telefax no. (064) 477 - 0138        </t>
  </si>
  <si>
    <t xml:space="preserve"> Approved Budget for the Contract(ABC): Php62,057,566.93 The University of the Philippines Baguio, through the General Appropriations Act and the Corporate Budget for the contract approved by the governing Boards, intends to apply the sum of Sixty-Two Mill</t>
  </si>
  <si>
    <t xml:space="preserve"> MEDICAL WASTE TREATMENT FACILITY-PYROCLAVE (CONCRETING OF PYROCLAVE SITE ACCESS ROAD) Alabel, Sarangani Province (Contract No. INFRA 2020-33) July 21, 2020 1.	The Provincial Government of Sarangani, through AIP 2020/AB 2020 intends to apply the sum of Two</t>
  </si>
  <si>
    <t xml:space="preserve"> PR NO. 1005 - 20                  Republic of the Philippines                 CITY GOVERNMENT OF TACURONG Alunan Highway, Tacurong City Sultan Kudarat BIDS AND AWARDS COMMITTEE                  Tel nos. (064) 562-0128/ Telefax no. (064) 477 - 0138        </t>
  </si>
  <si>
    <t xml:space="preserve"> INVITATION TO BID     20-092 Name of Project	:	Laboratory Supplies for LPH-Nagcarlan District Hospital for 3rd and 4th Quarter Location	:	Nagcarlan, Laguna  Brief Description	:	Various Laboratory Supplies Approved Budget For the Contract	:	1,118,800.00 De</t>
  </si>
  <si>
    <t xml:space="preserve"> Republic of the Philippines CITY GOVERNMENT OF ANTIPOLO Antipolo City INVITATION TO BID For the Supply &amp; Delivery of Medical, Laboratory, Dental Supplies &amp; Linen The City Government of Antipolo, through the General Fund intends to apply the sum of P 1,446</t>
  </si>
  <si>
    <t xml:space="preserve"> IMPROVEMENT OF SAPU PADIDU MULTI-PURPOSE BUILDING Malapatan, Sarangani Province (Contract No. INFRA 2020-36) July 21, 2020 1.	The Provincial Government of Sarangani, through AIP 2020/AB 2020 intends to apply the sum of Nine Hundred Ninety-Nine Thousand Ni</t>
  </si>
  <si>
    <t xml:space="preserve"> ENHANCEMENT AND REPAIR OF ECPC BUILDING  AND LABORATORY Alabel, Sarangani Province (Contract No. INFRA 2020-34) July 21, 2020 1.	The Provincial Government of Sarangani, through AIP 2020/AB 2020 intends to apply the sum of Seven Hundred Ninety-Eight Thousa</t>
  </si>
  <si>
    <t xml:space="preserve"> INVITATION TO BID IB No. 23,   S. 2020 The Municipality of General Nakar, Quezon through the Approved Appropriation Ordinance No. 2019-29  appropriating funds for the Annual Budget CY 2020 intends to apply the sum of  Two Million and Five Hundred  Pesos (</t>
  </si>
  <si>
    <t xml:space="preserve"> INVITATION TO BID FOR THE 1 LOT SUPPLY, DELIVERY, INSTALLATION AND COMMISSIONING OF BRAND-NEW GENERATOR 1.	The Cagayan de Oro City Water District, through the COWD Approved Budget for 2020 intends to apply the sum of Six Million Pesos only (P6,000,000.00)</t>
  </si>
  <si>
    <t xml:space="preserve"> Republic of the Philippines Province of Quezon Municipality of Pagbilao BIDS AND AWARDS COMMITTEE Invitation to Bid for REHABILITATION/IMPROVEMENT OF SANITARY &amp; PLUMBING WATER SYSTEM 1.	The Municipal Government of Pagbilao, through the LSB Annual Budget- </t>
  </si>
  <si>
    <t xml:space="preserve"> Please see attached Terms of Reference .</t>
  </si>
  <si>
    <t xml:space="preserve"> Training Expense</t>
  </si>
  <si>
    <t xml:space="preserve"> 175.5 cu.m clearing and excavation 234 sq.m subgrade preparation 23.4 cu.m aggregate sub base course 5.15 cu.m line ditch and catch basin with headwall 234 cu.m Portland cement concrete pavement mobilization/demobilization</t>
  </si>
  <si>
    <t xml:space="preserve"> Invitation to Bid for the Supply and Delivery of One (1) Unit Vertical Take-Off  and Landing (VTOL) Drone NIAR6-PRBIDP-DRONE-GS04-20 1.	The National Irrigation Administration Regional Office VI, Iloilo City, through the General Appropriation Act (GAA) CY </t>
  </si>
  <si>
    <t xml:space="preserve"> Various Construction Materials</t>
  </si>
  <si>
    <t xml:space="preserve"> COMPLETION OF PARAISO MULTI-PURPOSE BUILDING Paraiso, Alabel, Sarangani Province (Contract No. INFRA 2020-35) July 21, 2020 1.	The Provincial Government of Sarangani, through AIP 2020/AB 2020 intends to apply the sum of Six Hundred Ninety-Nine Thousand Ni</t>
  </si>
  <si>
    <t xml:space="preserve"> Republic of the Philippines Province of Quezon Municipality of Pagbilao COMMITTEE ON BIDS AND AWARDS INVITATION TO BID FOR SUPPLY AND DELIVERY OF  PALAY SEEDS &amp; FERTILIZERS 1.	The Local Government Unit of Pagbilao, through the Approved Budget by the Sangg</t>
  </si>
  <si>
    <t xml:space="preserve"> CONCRETING OF NHW JCT. KAMANGA-LAMLANGIL PROVINCIAL ROAD Maasim, Sarangani Province (Contract No. INFRA 2020-40) July 21, 2020 1.	The Provincial Government of Sarangani, through AIP 2020/AB 2020 intends to apply the sum of Five Million Pesos (₱5,000,000.0</t>
  </si>
  <si>
    <t xml:space="preserve"> 1.	The PHILIPPINE COCONUT AUTHORITY – REGION VI, through the 2020 KEDP-CHLCP intends to apply the sum of SIX HUNDRED THOUSAND PESOS (PhP 600,000.00) being the Approved Budget for the Contract (ABC) to payments under the contract for the SUPPLY, HANDLING &amp;</t>
  </si>
  <si>
    <t xml:space="preserve"> CONSTRUCTION OF UPO MULTI-PURPOSE BUILDING Upo, Maitum, Sarangani Province (Contract No. INFRA 2020-39) July 21, 2020 1.	The Provincial Government of Sarangani, through AIP 2020/AB 2020 intends to apply the sum of Two Million Nine Hundred Ninety-Nine Thou</t>
  </si>
  <si>
    <t xml:space="preserve"> Invitation to Bid for  Construction of Covered Court, Don Quintin Balcita MHS, San Fernando City, La Union 1.	The Provincial Government of La Union, through the SEF intends to apply the sum of ₱5,000,000.00 being the Approved Budget for the Contract (ABC)</t>
  </si>
  <si>
    <t xml:space="preserve"> Republic of the Philippines                                                 Bangsamoro Autonomous Region in Muslim Mindanao                                                                     Province of Sulu                                               </t>
  </si>
  <si>
    <t xml:space="preserve"> Invitation to Bid for  Construction of Covered Court, Naguilian National High School, Naguilian, La Union 1.	The Provincial Government of La Union, through the SEF intends to apply the sum of ₱5,000,000.00 being the Approved Budget for the Contract (ABC) </t>
  </si>
  <si>
    <t xml:space="preserve"> Invitation to Bid for  Construction of Covered Court, Caba Central School, Caba, La Union 1.	The Provincial Government of La Union, through the SEF intends to apply the sum of ₱5,000,000.00 being the Approved Budget for the Contract (ABC) to payments unde</t>
  </si>
  <si>
    <t xml:space="preserve"> INVITATION TO BID July 20, 2020 1.	The Provincial Government of Davao Occidental, through its Bids and Awards Committee (BAC), invites all suppliers to apply to bid for the following goods: Bids received in excess of the ABC shall be automatically rejecte</t>
  </si>
  <si>
    <t xml:space="preserve"> Invitation to Bid for  Rehabilitation of Biday-Carlatan Hanging Bridge, San Fernando City, La Union 1.	The Provincial Government of La Union, through the RA7171 intends to apply the sum of ₱1,950,000.00 being the Approved Budget for the Contract (ABC) to </t>
  </si>
  <si>
    <t xml:space="preserve"> 550 pieces Water Meter 1/2” I.	TYPE OF METER: a) Multi-jet dynamically balanced vane wheel. (DMD-A) b) Register assembly must be dry type hermetically sealed. c) Anti-magnetic. Magnetic coupling must be protected from external magnetic fields of 1500 gaus</t>
  </si>
  <si>
    <t xml:space="preserve"> Republic of the Philippines							 PROVINCE OF ZAMBOANGA SIBUGAY							 Municipality of Talusan							 -7012-							 OFFICE OF THE BAC CHAIRMAN							 							 INVITATION TO BID							 							 NOTICE TO THE PUBLIC:							 							 	Notice is hereby served t</t>
  </si>
  <si>
    <t xml:space="preserve"> Republic of the Philippines Province of Quezon Municipality of Pagbilao COMMITTEE ON BIDS AND AWARDS INVITATION TO BID FOR PRINTING OF REPORTS 1.	The Local Government Unit of Pagbilao, through the Approved Budget by the Sanggunian – GOP, General Fund, Ann</t>
  </si>
  <si>
    <t xml:space="preserve"> CONCRETING OF PAIT FARM TO MARKET ROAD Alabel, Sarangani Province (Contract No. INFRA 2020-41) July 21, 2020 1.	The Provincial Government of Sarangani, through AIP 2019/AB 2019 intends to apply the sum of Nine Million Nine Hundred Ninety-Nine Thousand Nin</t>
  </si>
  <si>
    <t xml:space="preserve"> Invitation to Bid for  Improvement of Tanquigan-Birunget Farm to Market Road, San Fernando City, La Union 1.	The Provincial Government of La Union, through the RA7171 intends to apply the sum of ₱2,925,006.22 being the Approved Budget for the Contract (AB</t>
  </si>
  <si>
    <t xml:space="preserve"> - The Municipality of Baliguian, request for quotation for the Procurement of 1 Unit Vehicle (Pick Up). - The Estimated Budget Cost is Two Million pesos (Php2,000,000.0). - Interested suppliers/bidders may obtain further information from the Bids and Awar</t>
  </si>
  <si>
    <t xml:space="preserve"> 1.	The Provincial Government of Antique, through the SEF (Special Education Fund) intends to apply the sum of Five Million Pesos (Php 5, 000, 000.00) being the Approved Budget for the Contract (ABC) to payments under the contract for Radio AM/FM Battery a</t>
  </si>
  <si>
    <t xml:space="preserve"> Construction of 100 Ln.m. cable Suspended Footbridge at Barangay Panaliwad-on Traversing Cabuyao River between Masibay and Panaliwad-on proper with Riprap and grouted Riprap at barangay Panaliwad-on.</t>
  </si>
  <si>
    <t xml:space="preserve"> 15	roll	ECG Paper roll 15	pcs	Torniquet 5	pcs	Bandage Scissors 5 1/2 4	pcs	Stainless steel tray with cover (small) 12	pcs	Bio-hazard bag 20	pcs	Medicine tray plastic 10	pcs	Kidney Basin ( Stainless) size 6 200	pcs	IV cannula g20 200	pcs	IV cannula g22 200</t>
  </si>
  <si>
    <t xml:space="preserve"> 82lm</t>
  </si>
  <si>
    <t xml:space="preserve"> Hematology Analyzer Reagents 1	gallon	Diluent (20L) 3	bot	Lyse (500ml) 1	gallon	Cleanser (20L) 2	bott	Concentrated Cleanser (1L) 		Clinical  Chemistry Reagents 1	set	Glucose (500ml) 1	set	Cholesterol (500ml) 1	set	Uric Acid (120 ml) 1	set	Creatinine (500m</t>
  </si>
  <si>
    <t xml:space="preserve"> Invitation to Bid for  Construction of Flood Control Structure at Sitio Centro &amp; Sitio Hill-Top, Barangay San Juan West, Aringay, La Union 1.	The Provincial Government of La Union, through the RA7171 intends to apply the sum of ₱1,950,000.00 being the App</t>
  </si>
  <si>
    <t xml:space="preserve"> Republic of the Philippines Province of Quezon Municipality of Pagbilao COMMITTEE ON BIDS AND AWARDS INVITATION TO BID FOR SUPPLY AND DELIVERY OF  OTHER PROPERTY, PLANT &amp; EQUIPMENT 1.	The Local Government Unit of Pagbilao, through the Approved Budget by t</t>
  </si>
  <si>
    <t xml:space="preserve"> INVITATION TO BID     20-094 Name of Project	:	I.V. Fluids for LPH-Dr. J. P. Rizal Memorial District Hospital for 3rd and 4th Quarter Location	:	Calamba City  Brief Description	:	Various I.V. Fluids Approved Budget For the Contract	:	1,180,880.00 Delivery</t>
  </si>
  <si>
    <t xml:space="preserve"> Installation of Doors and Windows w/ Grills Painting Works</t>
  </si>
  <si>
    <t xml:space="preserve"> 1 LOT 3 sets Vertical Centrifugal Pump and Motor Motor Requirement: Type: Induction HP Rating: 100HP Nominal Voltage: 460V Supply Frequency: 60Hz Nominal Speed: 3600 RPM Number of Phase: 3 Insulation Class: F Efficiency at full load: 95% Enclose Class: TE</t>
  </si>
  <si>
    <t xml:space="preserve"> Brand New Rescue Vehicle       1     unit With the following specifications: Overall (Lx Wx H) 5,265 x 1,950 x 1,990 Wheelbase: 3,210 mm Engine Type: 2.8 L Diesel 4-Cylinder in-line 16V Double Overhead Camshaft (DOHC) Turbo Charge) Engine Displacement: 2,</t>
  </si>
  <si>
    <t xml:space="preserve"> I. Window II. Masonry Works</t>
  </si>
  <si>
    <t xml:space="preserve"> Invitation for Negotiated Procurement (53.1) Two Failed Biddings Orthopaedic Implants CY 2020 1.	In view of two (2) failed biddings, the Jose R. Reyes Memorial Medical Center, through its Hospital Bids and Awards Committee (HBAC) invites interested bidder</t>
  </si>
  <si>
    <t xml:space="preserve"> 320 pcs. School Bag (5-12 Y.O) 325 PADS Pad Paper (grade 1 &amp; ) 300 PADS Pad paper (grade 3 to K-12 intermediate) 300 Note book (50 leaves) 300 boxes Crayons (Tertiary colors) 2 boxes Pencils (100 pcs/box) 2 boxes Sharpener (100 pcs/box)</t>
  </si>
  <si>
    <t xml:space="preserve"> Name of Procuring Entity:		                        		Contract Reference No. LGU-Q-CWC-10-20 LOCAL GOVERNMENT UNIT                           		Name of Contract: Construction of Community Cum  QUEZON, ISABELA 							Evacuation Center 							Location of the </t>
  </si>
  <si>
    <t xml:space="preserve"> 50	bot.	ACICLOVIR 200mg/5 mL susp., 60mL Susp.	 200.00  50	bot.	ALCOHOL, ETHYL 70% SOLUTION	 80.00  40	box	ALUMINUM MAGNESIUM 200MG TABLET	 150.00  30	bot.	ALUMINUM MAGNESIUM 200MG/5mL Susp, 60mL	 33.00  20	box	AMLODIPINE 5mg or 10mg tablet	 80.00  48	box</t>
  </si>
  <si>
    <t xml:space="preserve"> 1.	The Provincial Government of Antique, through the SEF (Special Education Fund) intends to apply the sum of Two Million Four Hundred Eighty Thousand Pesos (Php 2, 480, 000.00) being the Approved Budget for the Contract (ABC) to payments under the contra</t>
  </si>
  <si>
    <t xml:space="preserve"> Construction of 60 ln.m. Grouted Riprap annd Fabrication and Installation of Steel Fence</t>
  </si>
  <si>
    <t xml:space="preserve"> 10	box	Allopurinol 300 mg Tablet (100 tab/box) 50	bot	Amoxicillin 100mg/ml 50	bot	Amoxicillin 125mg/5ml 50	bot	Amoxicillin 250mg/5ml 75	bx	Amoxicillin 500mg/cap 50	bx	Amoxicillin 250mg cap 5	bx	Aspirin 80 mg/tab 100/box 50	bx	Azithromycin 500 mg/tab 3tab/</t>
  </si>
  <si>
    <t xml:space="preserve"> Construction Projects-School Building Project Counterparting Buenavista National High School &amp; Tandag National Science High School, Tandag City</t>
  </si>
  <si>
    <t xml:space="preserve"> 1.The Local Government Unit of the Municipality of Magsaysay, through the 2020 Annual Budget approved by the Sanggunian intends to apply the sum of Five-hundred Thousand Pesos (P 500,000.00) being the Approved Budget for the Contract (ABC) to payment unde</t>
  </si>
  <si>
    <t xml:space="preserve"> Republic of the Philippines PROVINCE OF NORTHERN SAMAR BIDS AND AWARDS COMMITTEE Catarman Purchase of Various Medical Equipment G. B. Tan Memorial Hospital Laoang, Northern Samar NS-07-21-20-01 1.	The Provincial Government of Northern Samar, through the S</t>
  </si>
  <si>
    <t xml:space="preserve"> Section II. Instructions to Bidders A.  General 1.	Scope of Bid 		 	1.1	The Procuring Entity as defined in the BDS, invites bids for the construction of Works, as described in Section VI- Specifications.  The name and identification number of the Contract</t>
  </si>
  <si>
    <t xml:space="preserve"> 1	lot	Pump &amp; Engine Set (self priming centrifugal pump closed-coupled with to gasoline engine) 		Pump &amp; Engine Set Specifications: 		Suction Ø X Discharge Ø, inches: 2X 2 		Maximum Discharge Capacity, L/min: 670 		Total Head, m: 32 		Maximum Suctinoal Hea</t>
  </si>
  <si>
    <t xml:space="preserve"> Republic of the Philippines PROVINCE OF CAGAYAN MUNICIPALITY OF CLAVERIA INVITATION TO BID  									July 16, 2020 	The Local Government Unit of Claveria, Cagayan from the General Fund Budget of the Municipality of Claveria, Cagayan, would like to apply t</t>
  </si>
  <si>
    <t xml:space="preserve"> A   ABC                         -        P 3,000,000.00 B   BID DOCS                -        P       5,000.00</t>
  </si>
  <si>
    <t xml:space="preserve"> INVITATION TO BID FOR PROCUREMENT AND DELIVERY OF MEDICAL &amp; LABORATORY SUPPLIES FOR CY 2020 1.	The DOH-CHD I through the GOP CY 2020 intends to apply the sums being the Approved Budget for the Contract (ABC) to payments under the contract for the followin</t>
  </si>
  <si>
    <t xml:space="preserve"> 1.	The PHILIPPINE COCONUT AUTHORITY – REGION VI, through the PHILIPPINE COCONUT AUTHORITY REJUVENATION THRU FERTILIZATION  PROJECT   intends to apply the sum of FIVE MILLION THREE HUNDRED SEVENTY FIVE THOUSAND FOUR HUNDRED FIFTEEN PESOS  (PhP 5,375,415.00</t>
  </si>
  <si>
    <t xml:space="preserve"> 1.	The Municipality of Baliguian, now invites bids for the Construction of Multi-purpose Building at Barangay Tamao, Baliguian, Zamboanga del Norte.  2.	Bidding will be conducted in accordance with relevant procedures for open competitive bidding as speci</t>
  </si>
  <si>
    <t xml:space="preserve"> 1 unit Multistage Centrifugal Vertical Pump Rating: 50HP Capacity: 300gpm TDH: 400ft Nominal Voltage: 460V Pump Speed: 3600rpm No. of Phase: 3 Shaft Seal Arrangement: Single Stages: 3 Impeller: 3 Frequency: 60hz Efficiency at full load: not lower than 90%</t>
  </si>
  <si>
    <t xml:space="preserve"> The CAGAYAN STATE UNIVERSITY (Andrews Campus), through the Trust Fund for the contract approved by the governing Board intends to apply the sum Seven Million Seven Hundred Twenty Thousand Seven Hundred Pesos and 00/100 (7,720,700.00) being the Approved Bu</t>
  </si>
  <si>
    <t xml:space="preserve"> NOTICE OF INVITATION TO BID TO INVITED CONTRACTORS (Negotiated Procurement — Take Over of Contracts) July 20, 2020 1. Amdi Construction 	2. RS Delovino Construction  C/o Engr. Antonio V.Bonto	    San Vicente, Canaman,  Zone 4, Impig, Sipocot, Camarines Su</t>
  </si>
  <si>
    <t xml:space="preserve"> 1 set Vertical Booster Pump and Motor Motor Requirement: - Type: Induction - HP Rating: 20HP - Nominal Voltage: 230V - Supply Frequency: 60Hz - Nominal Speed: 3600 RPM - Number of Phase: 3 - Insulation Class: F - Efficiency at full load: 90% - Enclose Cla</t>
  </si>
  <si>
    <t xml:space="preserve"> Worth 588,000.00 Must be 8 seater low gas consumption low maintenance</t>
  </si>
  <si>
    <t xml:space="preserve"> Concreting of Brgy. Road W-2.00 meters x L-424 meters</t>
  </si>
  <si>
    <t xml:space="preserve"> Republic of the Philippines Cordillera Administrative Region PROVINCIAL GOVERNMENT OF ABRA Bangued Invitation to Bid for  REPAIR OF MANABO IRRIGATION MAIN CANAL, AYYENG MANABO 1.	The Provincial Government of Abra, through the Budget for the Contract Appro</t>
  </si>
  <si>
    <t xml:space="preserve"> Republic of the Philippines PROVINCE OF NORTHERN SAMAR BIDS AND AWARDS COMMITTEE Catarman Purchase of Various Materials for Donation to Barangays (Province-wide) Province of Northern Samar NS-07-21-20-02 1.	The Provincial Government of Northern Samar, thr</t>
  </si>
  <si>
    <t xml:space="preserve"> Republic of the Philippines Province of Sarangani Municipality of Maasim Maasim, Sarangani Province Invitation to Bid for Concreting of Upper Bales-Kabcal Road, Project ID NO. MAA-SAR-INF-005-2020 at Barangay Colon, Maasim, Sarangani Province 	 The Munici</t>
  </si>
  <si>
    <t xml:space="preserve"> Republic of the Philippines DEPARTMENT OF PUBLIC WORKS AND HIGHWAYS OFFICE OF THE DISTRICT ENGINEER Cavite II District Engineering Office Brgy. Mangas II, Alfonso, Cavite INVITATION TO BID The Department of Public Works and Highways (DPWH) Cavite II Distr</t>
  </si>
  <si>
    <t xml:space="preserve"> various construction and materials</t>
  </si>
  <si>
    <t xml:space="preserve"> The Local Government Unit – Quinapondan, Eastern Samar, through its Bids &amp; Awards Committee (BAC ), intends to apply the sum of One Hundred Forty Seven Thousand Three Hundred Thirty Nine pesos (Php147,339.00) under the approved Annual Budget Appropriation</t>
  </si>
  <si>
    <t xml:space="preserve"> The Local Government Unit – Quinapondan, Eastern Samar, through its Bids &amp; Awards Committee (BAC ), intends to apply the sum of One Hundred Fifty Five Thousand Four Hundred Sixty One Pesos and 76/100 (Php155,461.76) under the approved Appropriation Ordina</t>
  </si>
  <si>
    <t xml:space="preserve"> PROJECT TITLE : CONCRETING OF ACCESS ROAD (BRGY STA ELENA) PROJECT LOCATION : BRGY STA ELENA, JOSE PANGANIBAN, CAMARINES NORTE ABC : 400,000.00 DURATION : 71 DAYS SOURCE OF FUND : 20% CDF 2020</t>
  </si>
  <si>
    <t xml:space="preserve"> Republic of the Philippines Province of Sarangani Municipality of Maasim Maasim, Sarangani Province Invitation to Bid for Concreting of San Felipe-Gaas St., Project ID NO. MAA-SAR-INF-004-2020 at Barangay Colon, Maasim, Sarangani Province 	 The Municipal </t>
  </si>
  <si>
    <t xml:space="preserve"> Government of the Philippines LGU-DOLORES, QUEZON INVITATION TO BID FOR SUPPLY AND DELIVERY OF IT EQUIPMENT &amp; SOFTWARE 1.	The LGU, through the General   Fund (P 84,600.00) and Trust Fund (MCR-P40,000.00) intends to apply the sum of PhP124,600.00 being the</t>
  </si>
  <si>
    <t xml:space="preserve"> 1. The [Local Government Unit of Inopacan, Leyte], through the [FY 2019 Local Government Support Fund – Other Financial Assistance (LGSF-FA), FY 2019 General Appropriations Act, Republic Act No. 11260 as per ADA No. 9901200004 allocated for the Constructi</t>
  </si>
  <si>
    <t xml:space="preserve"> SCOPE OF WORKS: Subgrade Preparation - Qty. 1,920 sq.m. Aggregate Base Course - Qty. 576 cu.m. Portland Cement Concrete Pavement (PCCP 0.23m thick) - Qty. 1,280 sq.m. Mobilization/Demobilization - Qty. 1 lot Project Billboard - Qty. 2 units</t>
  </si>
  <si>
    <t xml:space="preserve"> Invitation to Bid for Supply and Delivery of Construction Materials of PINAMANGGUHAN CIP The National Irrigation Administration, through the General Appropriations Act (GAA) intends to apply the sum of One Million Two Hundred Thirty-Two Thousand Eight Hun</t>
  </si>
  <si>
    <t xml:space="preserve"> worth 588,000.00 Must be 8 seater  Must be Low fuel consumption Low Maintenance cost</t>
  </si>
  <si>
    <t xml:space="preserve"> Republic of the Philippines Dagupan City BIDS AND AWARDS COMMITTEE INVITATION TO BID For the Procurement of Medical Supplies for Animal Bite Treatment Center (PR no.: 2020-00676-014) 1.	The City Government of Dagupan, through the 2020 TRUST FUND (DUE TO G</t>
  </si>
  <si>
    <t xml:space="preserve"> Republic of the Philippines DEPARTMENT OF PUBLIC WORKS AND HIGHWAYS ISABELA 1ST DISTRICT ENGINEERING OFFICE REGIONAL OFFICE II City of Ilagan, Isabela INVITATION TO BID The DPWH-lsabela lst District Engineering Office, City of Ilagan, lsabela, through the</t>
  </si>
  <si>
    <t xml:space="preserve"> Republic of the Philippines Cordillera Administrative Region PROVINCIAL GOVERNMENT OF ABRA Bangued Invitation to Bid for  CONCRETING OF DUCLIGAN FMR 1.	The Provincial Government of Abra, through the Budget for the Contract Approved by the Sangguniang Panl</t>
  </si>
  <si>
    <t xml:space="preserve"> Republic of the Philippines Cordillera Administrative Region PROVINCIAL GOVERNMENT OF ABRA Bangued Invitation to Bid for  CONCRETING OF LINGEY FMR 1.	The Provincial Government of Abra, through the Budget for the Contract Approved by the Sangguniang Panlal</t>
  </si>
  <si>
    <t xml:space="preserve"> Republic of the Philippines Cordillera Administrative Region PROVINCIAL GOVERNMENT OF ABRA Bangued Invitation to Bid for  CONCRETING OF LABAAN FMR 1.	The Provincial Government of Abra, through the Budget for the Contract Approved by the Sangguniang Panlal</t>
  </si>
  <si>
    <t xml:space="preserve"> various construction materials</t>
  </si>
  <si>
    <t xml:space="preserve"> Contract Ref. No.:	20200626-03-G  Name of Contract:	Procurement of Termite Treatment to be used by City Division Office Location:	LGU-MABALACAT CITY Republic of the PHILIPPINES Province of PAMPANGA Municipality of MABALACAT INVITATION TO APPLY FOR ELIGIBI</t>
  </si>
  <si>
    <t xml:space="preserve"> City Government of Manila INVITATION TO BID NO. 2020-07-110 Procurement of Various Laboratory Reagents for the Six (6) City Hospitals and Manila Health Department 1.	The City Government of Manila, through the Medical, Dental Laboratory Supplies Expenses i</t>
  </si>
  <si>
    <t xml:space="preserve"> Contract Ref. No.:	20200626-02-G  Name of Contract:	Procurement of IT Equipment to be utilized by the Teaching and Learning via Alternative Delivery Mode of Division Office Location:	LGU-MABALACAT CITY Republic of the PHILIPPINES Province of PAMPANGA Muni</t>
  </si>
  <si>
    <t xml:space="preserve"> Supply and delivery of various construction materials for Various Projects LOT 6</t>
  </si>
  <si>
    <t xml:space="preserve"> Republic of the Philippines SUGAR REGULATORY ADMINISTRATION North Avenue, Diliman, Quezon City 													                                           7/20/2020 										         Date REQUEST FOR QUOTATION Gentlemen: 		Please quote your lowest prices, ta</t>
  </si>
  <si>
    <t xml:space="preserve"> Section I. Invitation to Bid   Pamantasan ng Lungsod ng Maynila (University of the City of Manila) Intramuros, Manila Invitation to Bid for  Supply and Delivery of Various Technical and Scientific Equipment CY 2019 – Re-Bidding 1.	The Pamantasan ng Lungso</t>
  </si>
  <si>
    <t xml:space="preserve"> REQUEST FOR QUOTATION (RFQ) SHOPPING – WORKS Construction of Consolidation Center Estimated Project Cost: PhP 3,433,000.00 ID No.: PRDP-IR-RCAR-APA-004-000-000-2018-R1 Loan No. 8421-PH July 21, 2020         ____________________________________ ___________</t>
  </si>
  <si>
    <t xml:space="preserve"> MA-A2H20-010..SURGE PROTECTOR, 13.8 KV CAPACITOR AT MDS, 3 UNITS PER SET, AGUS 2 HE PLANT ABC  : P 2,500,000.00 PLACE OF DELIVERY : AGUS 2 HEP WAREHOUSE SAGUIARAN, ILIGAN CITY AMOUNT OF BID DOCUMENTS : P 3,000.00</t>
  </si>
  <si>
    <t xml:space="preserve"> 300 PCS DIAGNOSTIC KIT FOR lgM/lgG Antibody to Corona Virus (SARS-COV-2) X10'S (10LGm AND 10lgG per pack) (Lateral flow) expiration date should be up to 1-2 years upon manufacturing date. 3packs-EDTA TUBE 2ml 100's 2 boxes Syringe 3ccx100's 1 box Syringe </t>
  </si>
  <si>
    <t xml:space="preserve"> Procurement of Cafeteria Concessionaire for CF-Iloilo Employees for a Period of Two (2) Years</t>
  </si>
  <si>
    <t xml:space="preserve"> Republic of the Philippines Province of Cavite Municipality of Naic BIDS AND AWARDS COMMITTEE PB-2020-07-045 INVITATION TO  BID  CONSTRUCTION OF MULTI-PURPOSE HALL  AT  BRGY. TIMALAN BALSAHAN, NAIC, CAVITE 1.         The Municipal Government of Naic throu</t>
  </si>
  <si>
    <t xml:space="preserve"> 1.	Supply and Delivery of 12 units Hermetic Storage ABC: Php2,236,800.00 		 Specifications: -	Weather-resistant and UV-Protected life span -	Materials -  Flexible Polyvinyl Chloride (PVC) -	Color – White -	Thickness, mm 0.83 minimum -	Materials weight, g/</t>
  </si>
  <si>
    <t xml:space="preserve"> Republic of the Philippines CITY OF SAN PEDRO Province of Laguna BIDS AND AWARDS COMMITTEE INVITATION TO BID The City Government of San Pedro Laguna through the 2020 CDC Budget Approved by Sangguniang Panglungsod intends to apply the sum of Php 2,000,000.</t>
  </si>
  <si>
    <t xml:space="preserve"> Contract Name:  20CN0160 Contract Name:  Procurement of Diesel, Gasoline and Lubricants for use of Light and Heavy Equipment for the Maintenance of National Roads and Bridges Brief Description of Goods to be Procured: 20,000 ltrs Diesel; 8,000 ltrs. Gasol</t>
  </si>
  <si>
    <t xml:space="preserve"> Republic of the Philippines Cordillera Administrative Region PROVINCIAL GOVERNMENT OF ABRA Bangued Invitation to Bid for  CONSTRUCTION OF STONE MASONRY 1.	The Provincial Government of Abra, through the Budget for the Contract Approved by the Sangguniang P</t>
  </si>
  <si>
    <t xml:space="preserve"> Republic of the Philippines CITY OF SAN PEDRO Province of Laguna BIDS AND AWARDS COMMITTEE INVITATION TO BID The City Government of San Pedro Laguna through the 2020 CDC Budget Approved by Sangguniang Panglungsod intends to apply the sum of Php 6,000,000.</t>
  </si>
  <si>
    <t xml:space="preserve"> MG-TSE20-025.TESTER, IMPEDANCE, MULTIFUNCTION, PRIMARY ABC  : P 8,000,000.00 PLACE OF DELIVERY : CMTSD WAREHOUSE DITUCALAN, ILIGAN CITY AMOUNT OF BID DOCUMENTS : P 10,000.00</t>
  </si>
  <si>
    <t xml:space="preserve"> 1. EXCAVATION 2. INSTALLATION OF GIP LALLY COLUMN 3. FABRICATION OF TRUSS AND ROOFING</t>
  </si>
  <si>
    <t xml:space="preserve"> Republic of the Philippines DEPARTMENT OF PUBLIC WORKS AND HIGHWAYS OFFICE OF THE DISTRICT ENGINEER Cavite II District Engineering Office Mangas II, Alfonso, Cavite Tel. No. (046) 412-9513 / (046) 409-0213 INVITATION TO BID The Department of Public Works </t>
  </si>
  <si>
    <t xml:space="preserve"> IMPROVEMENT OF BARANGAY HEALTH CENTER</t>
  </si>
  <si>
    <t xml:space="preserve"> MA-A2H20-004..FIBER OPTIC CABLE ABC  : P 1,615,000.00 PLACE OF DELIVERY  : AGUS 1 HEP wAREHOUSE MARAWI CITY AMOUNT OF BID DOCUMENTS : P 3,000.00</t>
  </si>
  <si>
    <t xml:space="preserve"> INVITATION TO BID  	 The Department of Public Works and Highways-National Capital Region (DPWH-NCR), through  its Bids and Awards Committee (BAC), invites contractors to submit bids for the hereunder Contracts: 	  	        Contract ID	20O00032	20O00051 Co</t>
  </si>
  <si>
    <t xml:space="preserve"> Republic of the Philippines Province of Cavite Municipality of Naic BIDS AND AWARDS COMMITTEE PB-2020-07-046 INVITATION TO  BID  CONSTRUCTION OF WASTE TREATMENT PLANT (PHASE 1) AT DUMPSITE BRGY. SABANG, NAIC, CAVITE 1.         The Municipal Government of </t>
  </si>
  <si>
    <t xml:space="preserve"> 1. Supply and Delivery of 2 units Customized Storage Container Van Total ABC: Php1,000,000.00  Specifications: 	8ft wide, 8.5ft High 20ft Length 	Insulated Walls and Ceilings with lights, outlets, panel box, circuit breaker, exhaust fan	  	Vinyl flooring </t>
  </si>
  <si>
    <t xml:space="preserve"> Portland Cement 9mm dia. RSB Tie Wire Common Nails (Assorted) CHB 4"x8"x16' Sand Gravel</t>
  </si>
  <si>
    <t xml:space="preserve"> 1.	The PCA-Region XIII, through the 2020 Expanded PCA Response to Covid-19 Program (EPRCP): Animal Integration (Enhanced Livestock Oil Palm Integration)  intends to apply the sum of PhP 2,585,000.00 being the Approved Budget for the Contract (ABC) to paym</t>
  </si>
  <si>
    <t xml:space="preserve"> 1. Supply and Delivery of 15,000 bags Organic Fertilizer ABC: Php4,500,000.00 Specifications: - @50kgs/bag - BAFPS registered - Nitrogen: 3% - Phosphorous 1 - Potassium 1 - Delivery Period: 30 Calendar Days - Delivery Sites: 	South Cotabato: 		Polomolok	-</t>
  </si>
  <si>
    <t xml:space="preserve"> Quantity	Unit	Item Description		 30	bxs	ALLUMINUM 200mg tab	ALLUMINUM 200mg tab	ALLUMINUM 200mg tab 150	btls	ALLUMINUM HYDROXIDE 225mg/220mg MAGNESIUM 120ml.	ALLUMINUM HYDROXIDE 225mg/220mg MAGNESIUM 120ml.	ALLUMINUM HYDROXIDE 225mg/220mg MAGNESIUM 120ml.</t>
  </si>
  <si>
    <t xml:space="preserve"> 1.1	CONTRACT ID: 19GL00115; P.R. No. 2020-07-082 DATED 07/07/2020 	CONTRACT LOCATION: ADMINISTRATIVE DIVISION, DAVAO CITY 	CONTRACT DESCRIPTION:	PROCUREMENT OF ONE (1) LOT OF VARIOUS I.T. CONSUMABLES, SUPPLIES &amp; ACCESSORIES, FOR USE IN THE DPWH R.O. XI, U</t>
  </si>
  <si>
    <t xml:space="preserve"> CARLOS HILADO MEMORIAL STATE COLLEGE 		BIDS AND AWARDS COMMITTEE Talisay City, Negros Occidental Telefax Nos. (034) 712-8404 INVITATION TO BID  FOR THE PROCUREMENT OF VARIOUS CRIMINOLOGY LABORATORY EQUIPMENT AND SUPPLIES FOR INSTRUCTIONAL USE - BINALBAGAN</t>
  </si>
  <si>
    <t xml:space="preserve"> LANAO DEL NORTE 1ST DISTRICT ENGINEERING OFFICE 0054 Seminary Drive, Del Carmen, Iligan City Tel./Fax No. (063) 225-4244 INVITATION TO BID The __DPWH-Lanao del Norte 1st District Engineering Office, through its Bids and Awards Committee (BAC), invites con</t>
  </si>
  <si>
    <t xml:space="preserve"> PLEASE SEE ATTACHED ITB.</t>
  </si>
  <si>
    <t xml:space="preserve"> July 28, 2020 - Eligibility check, issuance of bidding documents. August 10, 2020 – 11:00 AM – Submission/Opening of bids at the Office of the BAC Chairman – Mun. Hall Tagkawayan, Quezon. Complete bidding documents may be purchased by the interested bidde</t>
  </si>
  <si>
    <t xml:space="preserve"> Republic of the Philippines Province of Surigao del Sur MUNICIPALITY OF TAGBINA BARANGAY POBLACION BIDS AND AWARDS COMMITTEE (BAC) INVITATION TO BID SUPPLY AND DELIVERY OF MATERIALS FOR THE PROPOSED CONSTRUCTION OF 2-STOREY BARANGAY HALL- PHASE 1, POBLACI</t>
  </si>
  <si>
    <t xml:space="preserve"> RESCUE BOAT (8-10 SEATER) - FIBERGLASS - NON SKID AND REPAIRABLE - WITH CANOPY COVER AND TRAILERS - RIGID AND DURABLE - 2 PADDLES AND 2 LIFE JACKETS PAINTING AND ADDING OF LOGO</t>
  </si>
  <si>
    <t xml:space="preserve"> MG-GPD20-004...SUPPLY/INSTALLATION OF OPERATION DISPLAY/MONITORING SYSTEM ABC : P 1,893,881.60 PLACE OF DELIVERY : MinGen Central Warehouse Ditucalan, Iligan City AMOUNT OF BID DOCUMENTS : P 3,000.00</t>
  </si>
  <si>
    <t xml:space="preserve"> PB NO. 2020-051		 			 1.	80	gal/s	Alcohol 70% (isoprophyl guardian solution) 2.	20	pc/s	Arm sling large 3.	10	gal/s	Cidex Metricide 4.	20	roll/s	Elastic bandage 4 inch 5.	10	pc/s	ET Tube 4.0 6.	10	pc/s	ET Tube 5.5 7.	10	pc/s	ET Tube 6.0 8.	10	pc/s	Foley C</t>
  </si>
  <si>
    <t xml:space="preserve"> Department of Health TONDO MEDICAL CENTER ISO 9001:2008 Certified Philhealth Accredited “Health care within your reach”  BIDS AND AWARDS COMMITTEE INVITATION TO BID   1.	The Tondo Medical Center (TMC), through the Government of the Philippines (GoP) inten</t>
  </si>
  <si>
    <t xml:space="preserve"> July 20, 2020 INVITATION TO BID  Reference No. 7121599 /Solicitation No.20-27 The City Government of Tagum invites interested Bidders/Suppliers to bid for the following: Name of Contract         :  CONSOLIDATED OFFICE SUPPLIES 2020 (3RD QUARTER)          </t>
  </si>
  <si>
    <t xml:space="preserve"> Construction of Safety and Health, Project Billboard and Signboard, Clearing and Grubbing, Soil Poisoning, Excavation, and Grubbing, Soil Poisoning, Excavation, Embankment, Structural Concrete, Reinforcing Steel, Masonry Works, Cement Plaster Finish, Tile</t>
  </si>
  <si>
    <t xml:space="preserve"> Republic of the Philippines SILAY CITY GOVERNMENT Zamora Street Silay City, Negros Occidental Telefax No. (034) 495-3746 	Control  Reference Number : INFRA#0006 ,ITB#0111,  JO#0062: SCG-2020 Name of the Project: JOB ORDER: To supply labor and materials fo</t>
  </si>
  <si>
    <t xml:space="preserve"> Republic of the Philippines Province of Aklan Municipality of Kalibo INVITATION TO BID FOR THE CONSTRUCTION OF SLOPE PROTECTION ALONG AKLAN RIVER The Municipality of Kalibo, through the General Fund 2020, intends to apply the sum of One Million Six Hundre</t>
  </si>
  <si>
    <t xml:space="preserve"> 1. Supply and Delivery of 795 bags Hybrid Yellow Corn Seeds Total ABC: Php3,577,500.00 Line Item No. 1: Supply and Delivery of 397 bags NSIC 2015 GMCn38 ABC: Php1,786,500.00 	Specifications:  	-  Glyphosate Tolerant 	-  Packed at 9kg/bag  	-  Germination </t>
  </si>
  <si>
    <t xml:space="preserve"> July 28, 2020 - Eligibility check, issuance of bidding documents. July 28, 2020 - 11:00 AM -  Pre-bid conference at the Office of the BAC Chairman. August 10, 2020 – 2:00 PM – Submission/Opening of bids at the Office of the BAC Chairman – Mun. Hall Tagkaw</t>
  </si>
  <si>
    <t xml:space="preserve"> INVITATION TO BID FOR  RENTAL OF SERVICE VEHICLES FOR OFFICIAL USE OF CONSERVATION AND DEVELOPMENT DIVISION DENR-GOODS-2020-001 1.	The Department of Environment and Natural Resources, Regional Office No. 5, Rawis, Legazpi City, through the General Appropr</t>
  </si>
  <si>
    <t xml:space="preserve"> Republic of the Philippines DEPARTMENT OF HEALTH CEBU SOUTH MEDICAL CENTER       San Isidro, Talisay City, Cebu (032)273-8785  (032) 273-8785 tdh.bac@gmail.com http://www.tdh.doh.gov.ph INVITATION TO APPLY FOR ELIGIBILITY AND TO BID 	 1. The CEBU SOUTH</t>
  </si>
  <si>
    <t xml:space="preserve"> July 28, 2020 - Eligibility check, issuance of bidding documents. July 28, 2020 - 10:00 AM -  Pre-bid conference at the Office of the BAC Chairman. August 10, 2020 – 11:00 AM – Submission/Opening of bids at the Office of the BAC Chairman – Mun. Hall Tagka</t>
  </si>
  <si>
    <t xml:space="preserve"> 1.	  1 	 - Unit 	 - Motor Vehicle (Passenger Van) 			 			Engine: 2.80 Diesel Manual Transmission, 4 cylinders 			Displacement: 2.755cc 			Maximum Output: 176/3,400 			Fuel Tank Capacity: 70L 			Emission Standard: EURO 4 			Tires: 235/65 R16 			Seating Cap</t>
  </si>
  <si>
    <t xml:space="preserve"> MG-A7C20-006..CARBON BRUSH FOR UNITS 3, 4 &amp; 5 FOR AGUS 6 EE ABC  : P 2,600,000.00 PLACE OF DELIVERY : AGUS 6/7 HEP WAREHOUSE FUENTES, ILIGAN CITY AMOUNT OF BID DOCUMENTS : P 3,000.00</t>
  </si>
  <si>
    <t xml:space="preserve"> METRO BANGUED WATER DISTRICT							 Bangued, Abra							 							 PURCHASE REQUEST							 							 DIVISION: 	TECHNICAL						 PR No.     : 	20-07-077						 DATE       : 	6-Jul-20						 							 Item No.	Description	Quantity	Unit	 Unit Cost 	 Amount 		 						</t>
  </si>
  <si>
    <t xml:space="preserve"> Invitation to Bid Date: July 20, 2020 1.	The Provincial Government of Davao del Sur, through its Bids and Awards Committee (BAC), invites all potential bidders / suppliers to apply to bid for the following goods. Bids received in excess of the ABC shall b</t>
  </si>
  <si>
    <t xml:space="preserve"> The Bids and Awards Committee hereby invites all qualified bidders for the Purchase and Delivery of a Rescue Vehicle (Pick-up Type) for the Disaster Response and Disaster Risk Reduction and Management Related Activities of LGU-Mayorga, Leyte. Prospective </t>
  </si>
  <si>
    <t xml:space="preserve"> Republic of the Philippines Cordillera Administrative Region PROVINCIAL GOVERNMENT OF ABRA Bangued Invitation to Bid for  CONCRETING OF LAMAO FMR 1.	The Provincial Government of Abra, through the Budget for the Contract Approved by the Sangguniang Panlala</t>
  </si>
  <si>
    <t xml:space="preserve"> Bids received in excess of the ABC for each project shall be automatically rejected at bid opening. Bidders should have completed a similar project within five (5) years from the date of bidding. Bidding will be conducted through open competitive bidding </t>
  </si>
  <si>
    <t xml:space="preserve"> Road overlay on station limits 1424 + 984 – 1425 + 055, length of 71 meters.</t>
  </si>
  <si>
    <t xml:space="preserve"> ITEM UNIT DESCRIPTION QNTY</t>
  </si>
  <si>
    <t xml:space="preserve"> 1. Supply and Delivery of Animal and Zoological Supplies ABC: Php1,457,800.00 	Specifications:  1)	260 pack Vitamin + Mineral + Electrolytes, 1 kg./pack 2)	35 liter Albendazole, 15 %, 1L 3)	260 box Levamisole HCl, 10% soluble powder, 10 grams/sachet, 24 s</t>
  </si>
  <si>
    <t xml:space="preserve"> GUIDELINES FOR THE SALE AND DISPOSAL OF UNSERVICEABLE LGU-TALIBON PROPERTIES These guidelines are being issued for the sale through public bidding of LGU-Talibon unserviceable properties. Procedure for Disposition: 1.	The list, location of the lot and min</t>
  </si>
  <si>
    <t xml:space="preserve"> Republic of the Philippines  Province of Samar  Municipality of Villareal      INVITATION TO BID    CONSTRUCTION OF LOCAL ACCESS ROAD  AT BARANGAY CONANT     	 	 	 	 	 	 	 	 	    	 July 21, 2020   	 	 	 	 	 	 	 	 	                 Date      1.	The Municip</t>
  </si>
  <si>
    <t xml:space="preserve"> Republic of the Philippines DEPARTMENT OF PUBLIC WORKS AND HIGHWAYS MARINDUQUE DISTRICT ENGINEERING OFFICE Region IV-B, MIMAROPA  Boac, Marinduque INVITATION TO BID  (Re-Advertisement) The DPWH-Marinduque District Engineering Office, Boac, Marinduque, thr</t>
  </si>
  <si>
    <t xml:space="preserve"> PHYSICAL THERAPY ENHANCEMENT PROGRAM (2ND QUARTER)</t>
  </si>
  <si>
    <t xml:space="preserve"> BAC RESOLUTION NO. 401-2020 “A RESOLUTION DECLARING FAILURE OF BIDDING AND RECOMMEND FOR ALTERNATIVE MODE OF PROCUREMENT” WHEREAS, the Bids and Awards Committee (BAC) thru the Secretariat published in PhilGEPS and in any conspicuous places the purchase of</t>
  </si>
  <si>
    <t xml:space="preserve"> Procurement of Various Semi-Expendables” 1.	The DOH-Treatment and Rehabilitation Center-Bataan, through the General Appropriation Act intends to apply the sum of Five Hundred Fifty Thousand Seventy-two pesos and 20/100 Only (Php 550,072.20) being the Appr</t>
  </si>
  <si>
    <t xml:space="preserve"> 1. Supply and Delivery of 495 bags NSIC 2019 GMCn67 Hybrid Yellow Corn Seeds ABC: Php2,227,500.00 Specifications:  	-  Glyphosate Tolerant 	-  Packed at 9kg/bag  	-  Germination rate: minimum 90% 	-  Purity rate: 99% 	-  Not more than 12% MC prior to sale</t>
  </si>
  <si>
    <t xml:space="preserve"> The Municipality of Baliwag, through its Bids and Awards Committee (BAC), invites contractors to apply for eligibility and to bid the here ender project: Name of Project	:	SUPPLY AND DELIVERY OF MULTI-SHREDDER/  				PULVERIZER, INCLINED AND FLAT CONVEYORS</t>
  </si>
  <si>
    <t xml:space="preserve"> July 28, 2020 - Eligibility check, issuance of bidding documents. July 28, 2020 - 9:00 AM -  Pre-bid conference at the Office of the BAC Chairman. August 10, 2020 – 9:00 AM – Submission/Opening of bids at the Office of the BAC Chairman – Mun. Hall Tagkawa</t>
  </si>
  <si>
    <t xml:space="preserve"> Republic of the Philippines Province of Quezon Municipality of Perez Bids &amp; Awards Committee INVITATION TO BID FOR  Repair &amp; Maintenance of Machinery &amp; Equipment (Tools &amp; Parts- Ambulance, Nissan Van, Volvo Truck, Pay Loader) (Second Bidding) 1.	The Munic</t>
  </si>
  <si>
    <t xml:space="preserve"> Invitation to Bid 									July 21, 2020 	 1.	 The Municipal Government of Tinoc through the Bids and Awards Committee advertised an Invitation to bid for the Procurement of Office Supplies, Other Supplies and Materials, Office Equipment and IT Equipment </t>
  </si>
  <si>
    <t xml:space="preserve"> Supply, Delivery, Repair and Maintenance of CCTV Camera, Barangay Tanza, Tuguegarao City</t>
  </si>
  <si>
    <t xml:space="preserve"> Bond Paper A4	 ream 	1040	 200.00 	 208,000.00  Stapler Big	 pc 	20	 384.00 	 7,680.00  Staple Wire #35	 box 	100	 59.50 	 5,950.00  Epson Ink Refill	 bot 	100	 95.00 	 9,500.00  Printer L120 EPSON	 pc 	1	 5,500.00 	 5,500.00  Printer L120 EPSON with Scan</t>
  </si>
  <si>
    <t xml:space="preserve"> Republic of the Philippines Province of Capiz Municipality of Mambusao Barangay Bunga Invitation to Bid for a One (1) Job Order for the Supply of Labor and Materials for Repair/Rehabilitation of Barangay Road at Brgy. Bunga, Mambusao, Capiz   The Municipa</t>
  </si>
  <si>
    <t xml:space="preserve"> MG-A5C20-013..INSTALLATION OF CONTROL ROOM FIRE SUPPRESSION SYSTEM AG5 ABC : P 8,000,000.00 PLACE OF DELIVERY : AGUS 5 HEP WAREHOUSE DITUCALAN, ILIGAN CITY AMOUNT OF BID DOCUMENTS : P 10,000.00</t>
  </si>
  <si>
    <t xml:space="preserve"> INVITATION TO BID FOR Printing and Delivery of Modules 1.	The Schools Division of Cabuyao, through the General Appropriations Act - Basic Education-Learning Continuity Plan (BE-LCP) Fund FY 2019 intends to apply the sum of Two Million One Hundred Twenty-O</t>
  </si>
  <si>
    <t xml:space="preserve"> The Local Government Unit – Quinapondan, Eastern Samar, through its Bids &amp; Awards Committee (BAC ), intends to apply the sum of FOUR HUNDRED TWENTY NINE THOUSAND TWO HUNDRED FIFTY FOUR PESOS AND 63/100 (P429,254.63) under Annual Budget Appropriation Ordin</t>
  </si>
  <si>
    <t xml:space="preserve"> See attached Request for Proposal (RFP)</t>
  </si>
  <si>
    <t xml:space="preserve"> OPLAN SAGIP BUHAY (2ND QUARTER)</t>
  </si>
  <si>
    <t xml:space="preserve"> Republic of the Philippines Province of Capiz Municipality of Mambusao Barangay Najus-an Invitation to Bid for a One (1) Job Order for the Supply of Labor and Materials for Repair/Rehabilitation of Brgy. Road at Brgy. Najus-an, Mambusao, Capiz   The Baran</t>
  </si>
  <si>
    <t xml:space="preserve"> Republic of the Philippines Province of Camarines Sur MUNICIPALITY OF MINALABAC -o0o- Invitation to Bid for REBLOCKING/IMPROVEMENT OF ROAD at Zone 3, San Antonio, Minalabac, Camarines Sur 1. LGU-Minalabac, Camarines Sur, through 20% EDF, CY 2020, intends </t>
  </si>
  <si>
    <t xml:space="preserve"> MG-A7M20-008..REHAB OF AGUS 6 UNIT NO 5 COOLING SYSTEM ABC : P 5,500,000.00 PLACE OF DELIVERY: AGUS 6&amp;7 HEP WAREHOUSE FUENTES, ILIGAN CITY AMOUNT OF BID DOCUMENTS : P 7,000.00</t>
  </si>
  <si>
    <t xml:space="preserve"> The Department of Agrarian Reform, Province of Cagayan thru its Bids and Awards Committee invites interested bidders  for the Procurement of Farm Machineries, Implements and Farm Inputs. The  Approved  Budget  for the Contract (ABC)  is  Three  Million  O</t>
  </si>
  <si>
    <t xml:space="preserve"> 2,000.00 SACKS--- RICE   (50 KLS./SACK)</t>
  </si>
  <si>
    <t xml:space="preserve"> Republic of the Philippines Province of Quezon Municipality of Pagbilao COMMITTEE ON BIDS AND AWARDS INVITATION TO BID FOR SUPPLY AND DELIVERY OF IT EQUIPMENT &amp; OTHER SUPPLIES 1.	The Local Government Unit of Pagbilao, through the Approved Budget by the Sa</t>
  </si>
  <si>
    <t xml:space="preserve"> Republic of the Philippines    Province of Samar    Municipality of Villareal            INVITATION TO BID        CONSTRUCTION OF FARM TO MARKET ROAD (FMR)    BARANGAY CANMUCAT, VILLAREAL, SAMAR           	   	   	   	   	   	   	   	   	      	 July 21, </t>
  </si>
  <si>
    <t xml:space="preserve"> 650 hills- Mangosteen (Lanrge planting Materials ,LPM) 650 hills- Durian (Puyat) grafted (LPM) 650 hills- Lanzones (Duko) Grafted (LPM) 650 hills- Rambutan (S2) Grafted (LPM)</t>
  </si>
  <si>
    <t xml:space="preserve"> Section I. Invitation to Bid FOR THE UPLB-S-045-08-20  SUPPLY AND DELIVERY OF BRANDED AND BRANDNEW DESKTOP COMPUTER FOR CAFS-ICROPS-CPMD 1.	The UNIVERSITY OF THE PHILIPPINES LOS BAÑOS (UPLB), through the GOP intends to apply the sum of ONE MILLION EIGHT H</t>
  </si>
  <si>
    <t xml:space="preserve"> 1	135 pcs- Deformed bars 10mm dia. X 6 meters 2      74 pcs- Plain bars 12 mm dia. X 6 meters 3	16 pcs.- Deformed bars 16mm x 6 meters 4	25 pcs- Deformed bars 8mm dia. X 6 meters 5	27 pcs-  wire # 16 6	5 pcs- Construction pail (pvc) 7	36 pcs- Plain bars 1</t>
  </si>
  <si>
    <t xml:space="preserve"> IMPROVEMENT OF MULTI PURPOSE BUILDING (DAY CARE CENTER) (BURGOS STREET, CENTRO 01, TUGUEGARAO CITY)</t>
  </si>
  <si>
    <t xml:space="preserve"> Republic of the Philippines Province of Quezon Municipality of Perez Bids &amp; Awards Committee INVITATION TO BID FOR  Purchase of ICT Equipment  (Desktop, Laptop &amp; Printer) (Second Bidding) 1.	The Municipal Government of Perez, Quezon through its Local Fund</t>
  </si>
  <si>
    <t xml:space="preserve"> Republic of the Philippines DEPARTMENT OF PUBLIC WORKS AND HIGHWAYS BOHOL III DISTRICT ENGINEERING OFFICE REGIONAL OFFICE VII Guindulman, Bohol INVITATION TO BID July 20, 2020	 The Department of Public Works and Highways – Bohol 3rd District Engineering O</t>
  </si>
  <si>
    <t xml:space="preserve"> 3 units- 50 KVA transformer</t>
  </si>
  <si>
    <t xml:space="preserve"> Republic of the Philippines National Kidney and Transplant Institute Bids and Awards Committee East Avenue, Quezon City 1100 981-0300 / 981-0400 local 1157 http://www.nkti.gov.ph/	 INVITATION TO BID for the ITB No. 20-063 ONE (1) LOT SUPPLY AND DELIVERY O</t>
  </si>
  <si>
    <t xml:space="preserve"> 6m x 8m</t>
  </si>
  <si>
    <t xml:space="preserve"> 1. 1 unit Cacao Grinder Specs: Capacity: 10-15 kg/hr Voltage: 220v, 60hz, 1 phase Stainless Steel 2. 1 unit Cacao Roaster Specs: Capacity: 10-15kg per batch Dimension: 22.9*14*9.6cm Heating Source: LPG Actual Test: Roasting Recovery: 91.7% LPG Consumption</t>
  </si>
  <si>
    <t xml:space="preserve"> INVITATION TO BID CATERING SERVICES FOR KONTRA COVID-19 ACTIVITIES – 2ND BIDDING 1.	The Local Government Unit of Cabadbaran City through the PEACE &amp; ORDER  FUND intends to apply the sum of ONE HUNDRED FORTY THOUSAND PESOS ONLY (P 140,000.00) being the App</t>
  </si>
  <si>
    <t xml:space="preserve"> Installation of solar reflective pavement studs &amp; ‘Keep Right’ traffic signages.</t>
  </si>
  <si>
    <t xml:space="preserve"> EXCAVATION STONE MASONRY W/ CONCRETE FACING</t>
  </si>
  <si>
    <t xml:space="preserve"> INVITATION TO BID  2nd Posting FOR THE SUPPLY AND DELIVERY OF  MARKETING IMPLEMENTS TO ARBOS AS FRONTLINERS IN THE FOOD SUPPLY CHAIN [Contract No. NV-SS-04-2020] 1.	The Department of Agrarian Reform, Province of Nueva Vizcaya through SARO #05 dated June 2</t>
  </si>
  <si>
    <t xml:space="preserve"> The Local Government Unit of San Andres, Quezon through its General Fund intends to apply the sum of Seven Hundred Ninety Three Thousand and Nine Hundred Sixty Eight Pesos (Php 793,968.00) only being the Approved Budget for the Contract (ABC) to payments </t>
  </si>
  <si>
    <t xml:space="preserve"> Republic of the Philippines Region IX PROVINCE OF ZAMBOANGA DEL SUR Capitol Complex, Pagadian City BIDS AND AWARDS COMMITTEE Invitation to Bid for  INFRA 2K20-51 CONSTRUCTION OF PSCG BRIDGE (ALONG SUNGAYAN - PISAAN ROAD) July 20, 2020 1.	The Provincial Go</t>
  </si>
  <si>
    <t xml:space="preserve"> Republic of the Philippines    Province of Samar    Municipality of Villareal            INVITATION TO BID        IMPROVEMENT OF MULTI PURPOSE HALL AT BRGY MALONOY, VILLAREAL, SAMAR        	   	   	   	   	   	   	   	   	      	 July 21, 2020       	   	</t>
  </si>
  <si>
    <t xml:space="preserve"> To Contract for the Supply of Materials, Labor, and Equipments for the Project: CONSTRUCTION OF SOLAR POWERED LED STREET LIGHTS, I.D. NO. KIA-SAR-20-003 AMOUNTING TO: ONE MILLION NINE HUNDRED SEVENTY THREE THOUSAND NINE HUNDRED NINETY TWO PESOS &amp; 75/100 S</t>
  </si>
  <si>
    <t xml:space="preserve"> Republic of the Philippines City Government of Cotabato OFFICE OF THE CITY MAYOR Cotabato City INVITATION TO BID FOR  Procurement of Office Equipment for Use of  DepEd Division of Cotabato City  1.	The City Government of Cotabato, through the DepEd Divisi</t>
  </si>
  <si>
    <t xml:space="preserve"> 5 units- Multicab Rescue Vehicle Specs: 4 Wheel Drive (4x4)  -	Rime size : 13 -	Tires: Cargador type 165x13 -	With Siren and Blinker -	Cat-Eye Type Multicab -	12- Valve Engine -	LGU Logo Sticker -	Complete Body Siding , Roofing, Seat and Step Boards.</t>
  </si>
  <si>
    <t xml:space="preserve"> For various Maintenance Work</t>
  </si>
  <si>
    <t xml:space="preserve"> The Office of the President-Presidential Management Staff (OP-PMS), through its Bids and Awards Committee (BAC), hereby invites all eligible suppliers to bid for the following:   NAME OF PROJECT	:	SUPPLY, DELIVERY AND INSTALLATION OF WINDOW BLINDS FOR THE</t>
  </si>
  <si>
    <t xml:space="preserve"> I.	Invitation to Apply for Eligibility and to Bid Supply and Delivery of Various IT Equipment for the Educating Science Teachers for All (ESTA) Project 1. The Philippine Normal University, through TL intends to apply the sum of One Million Three Hundred F</t>
  </si>
  <si>
    <t xml:space="preserve"> Fuel Capacity: t0 to 75 Liters Dimension: 5265 x 1950 x 1990,  Wheelbase: 2570 Front/rear Brake: Ventilated Disc/Drum,  Engine Type: 4 Cylinders, in-line type 16 valve DOHC,  Engine Displacement: 2755cc to 2760cc,  Max Output - 176Ps/3400 rpm; Tires 215/7</t>
  </si>
  <si>
    <t xml:space="preserve"> The Metro Kalibo Water District, through the Bids and Awards Committee (BAC), will undertake Negotiated Procurement (Small Value Procurement) for the Supply &amp; Delivery of twenty-five (25) Pails Calcium Hypochlorite Granules (45kgs. /pail, 70% Chlorine Con</t>
  </si>
  <si>
    <t xml:space="preserve"> Section I. Invitation to Bid Republic of the Philippines PROVINCE OF CAGAYAN Municipality of Peñablanca PROVINCIAL BIDS AND AWARDS COMMITTEE INVITATION TO BID FOR   Supply and Delivery of Five (5) Unit Customized Ambulance 1.	The Provincial Government of </t>
  </si>
  <si>
    <t xml:space="preserve"> INVITATION TO BID FOR Reproduction of Life Skills Learner’s Modules 1.	The Department of Education, Butuan City Division through the GAA FY 2020 intends to apply the sum of Php 1,251,510.00 (One Million Two Hundred Fifty One Thousand Five Hundred Ten Peso</t>
  </si>
  <si>
    <t xml:space="preserve"> Republic of the Philippines National Kidney and Transplant Institute Bids and Awards Committee East Avenue, Quezon City 1100 981-0300 / 981-0400 local 1157 http://www.nkti.gov.ph/	 INVITATION TO BID for the ITB No. 20-069 SUPPLY AND DELIVERY OF VARIOUS CA</t>
  </si>
  <si>
    <t xml:space="preserve"> Section I. Invitation to Bid Republic of the Philippines PROVINCE OF CAGAYAN Municipality of Peñablanca PROVINCIAL BIDS AND AWARDS COMMITTEE INVITATION TO BID FOR  Supply and Delivery of Various Light Vehicles 1.	The Provincial Government of Cagayan, thro</t>
  </si>
  <si>
    <t xml:space="preserve"> Sub – soil exploration</t>
  </si>
  <si>
    <t xml:space="preserve"> MG-A5C20-051..FIRE EXTINGUISHER, PORTABLE, FOAM, AGUS 4 &amp; 5 HE PLANT ABC  : P 2,850,000.00 PLACE OF DELIVERY : AGUS 5 HEP WAREHOUSE DITUCALAN, ILIGAN CITY AMOUNT OF BID DOCUMENTS : P3,000.00</t>
  </si>
  <si>
    <t xml:space="preserve"> Republic of the Philippines NATIONAL FOOD AUTHORITY REGIONAL OFFICE BARMM Cotabato City Tel No (064) 421-2407/552-2447/ Fax No. 421-2128 Website Address: www.nfa.gov.ph/E-mail Address:  armm@nfa.gov.ph INVITATION TO BID REBIDDING FOR THE PROCUREMENT OF TR</t>
  </si>
  <si>
    <t xml:space="preserve"> Invitation to Bid for the supply &amp; delivery of Laptop for use of Dep. Ed., Division of Batangas City</t>
  </si>
  <si>
    <t xml:space="preserve"> CONTRACT COST:		 1.	LOT	1	INSTALLATION OF 3 UNITS ROOF TRUSS, PURLINS, CROSS BRACINGS (TENSION RODS) &amp; BASE PLATES		311,783.16 			A. Materials		 			B. Equipment		 			C. Labor		 2.	LOT	1	ROOFING		499,954.14 			A. Materials		 			B. Equipment		 			C. Labor		</t>
  </si>
  <si>
    <t xml:space="preserve"> 86 bags Portland Cement 12 cu.m Gravel 8 cu.m Sand 42 pcs 16mmo x 6.0m DSB 77 pcs 10mmo x 6.0m DSB 1 roll G.I Tie Wire 860 pcs 101.60mm CHB 82 bags Portland Cement 8 cu.m Sand 72 pcs 10mmo x 6.0m DSB 6 kls  G.I Tie Wire 8 pcs 2 x 6  C-Purlins 22 pcs 2 x 3</t>
  </si>
  <si>
    <t xml:space="preserve"> Republic of the Philippines Province of Leyte Municipality of Kananga BIDS AND AWARDS COMMITTEE Invitation to Bid for REPAIR AND MAINTENANCE – BUILDING AND OTHER STRUCTURES MARKET AT BRGY. POBLACION, KANANGA, LEYTE 1.	The Municipality of Kananga through t</t>
  </si>
  <si>
    <t xml:space="preserve"> INVITATION TO BID SUPPLY, DELIVERY AND INSTALLATION OF LABORATORY TABLES (PB 20-03-19) 1.	The Philippine Rice Research Institute, through the 2020 Corporate Fund Budget intends to apply the sum of ONE MILLION PESOS ONLY (PhP1,000,000.00) being the Approve</t>
  </si>
  <si>
    <t xml:space="preserve"> BARANGAY ENHANCEMENT PROGRAM - BENHUR ACTION TEAM (2ND QUARTER)</t>
  </si>
  <si>
    <t xml:space="preserve"> Republic of the Philippines Province of Leyte Municipality of Kananga BIDS AND AWARDS COMMITTEE Invitation to Bid for CONSTRUCTION OF FRONTLINERS QUARTERS AT BRGY. POBLACION, KANANGA, LEYTE 1.	The Municipality of Kananga through the General Fund intends t</t>
  </si>
  <si>
    <t xml:space="preserve"> Republic of the Philippines Province of Leyte Municipality of Kananga BIDS AND AWARDS COMMITTEE INVITATION TO BID FOR PROCUREMENT OF ELEVEN (11) UNITS MOTORCYCLE 1.	The Municipality of Kananga, through the General Fund intends to apply the sum of One Mill</t>
  </si>
  <si>
    <t xml:space="preserve"> INVITATION TO BID The DPWH Bukidnon 1st District Engineering Office, Malaybalay City, through its Bids and Awards Committee (BAC), invites contractors to submit bids for the following Contracts:   Contract ID 	:	20KA0101(Readvertisement) Contract Name 	:	</t>
  </si>
  <si>
    <t xml:space="preserve"> INVITATION TO BID FOR THE CONSTRUCTION OF STP AT MUNTINLUPA CITY JAIL, NATIONAL ROAD BRGY TUNASAN, MUNTINLUPA CITY 1.	The City Government of Muntinlupa, through its duly-approved Executive Budget for 2020 intends to apply the sum of Seven Million Seven Hu</t>
  </si>
  <si>
    <t xml:space="preserve"> SEE ATTACHED BILL OF QUANTITIES</t>
  </si>
  <si>
    <t xml:space="preserve"> Location	: Public Market, Taboc, Opol, Misamis Oriental	 Total Project Cost 	: Seven Hundred Fifty Four Thousand Nine Hundred Twenty Five Pesos Only (Php 754,925.00)  Total Approved Budget for the  Contract (ABC)	: Six Hundred Forty Eight Thousand Twenty </t>
  </si>
  <si>
    <t xml:space="preserve"> Single Pass Traveling Rice Mill</t>
  </si>
  <si>
    <t xml:space="preserve"> 14 units - Digital Duplicators Specifications:  master-making/printing methods: high-speed digital master making/fully automatic printing; resolution: 300x300dpi; print and copy speed:  60, 80 and 100 pages per minute; master-making time: approx. 39 secon</t>
  </si>
  <si>
    <t xml:space="preserve"> The Department of Public Works and Highways – Cordillera Administrative Region, through its Bids and Awards Committee (BAC) for Goods, invites suppliers to submit bids for the contract below: Contract ID No.:	20GP00088 Contract Name:	Procurement of Fuel f</t>
  </si>
  <si>
    <t xml:space="preserve"> Part A: Facilities for the Engineers 2      months     Provision of Combined Field Office, Laboratory and Living Quarters Building for the Engineer                         (Rental Basis) Part B: Other General Requirements 1      L.S.          Miscellaneou</t>
  </si>
  <si>
    <t xml:space="preserve"> Republic of the Philippines Province of North Cotabato Municipality of Pres. Roxas OFFICE OF THE BARANGAY BIDS AND AWARDS COMMITTEE Barangay Idaoman INVITATION TO BID The Barangay Local Government Unit of Idaoman, President Roxas, thru Barangay Bids and A</t>
  </si>
  <si>
    <t xml:space="preserve"> I.   1   Lot    Occupational Safety and Health Program II.  1   Lot    Project Billboard/ Signboard III. 1   Lot    Mobilization/ Demobilization IV.  25 cu.m. Excavation Works V.   85  cu.m. Riprap Works: with Backfill</t>
  </si>
  <si>
    <t xml:space="preserve"> INVITATION TO BID FOR THE PROFESSIONAL SERVICES  FOR THE STRUCTURAL DESIGN OF VARIOUS INFRASTRUCTURE PROJECTS 1.	The City Government of Muntinlupa, through its duly-approved Executive Budget for 2020 intends to apply the sum of One Million Six Hundred Fif</t>
  </si>
  <si>
    <t xml:space="preserve"> Republic of the Philippines COMMISSION ON ELECTIONS M a n i l a INVITATION TO BID Supply and Delivery of HD Webcam for  Various Field Offices of the Commission (BAC Ref No. 06-2020WC) Approved Budget for the Contract:  Php1,913,678.00 1.	The   Commission </t>
  </si>
  <si>
    <t xml:space="preserve"> Republic of the Philippines Province of Leyte Municipality of Kananga BIDS AND AWARDS COMMITTEE INVITATION TO BID FOR PROCUREMENT OF SPORTS EQUIPMENT - REPOST  1.	The Municipality of Kananga, through the General Fund intends to apply the sum of Nine Hundr</t>
  </si>
  <si>
    <t xml:space="preserve"> Section I. Invitation to Bid Republic of the Philippines PROVINCE OF CAGAYAN Municipality of Peñablanca PROVINCIAL BIDS AND AWARDS COMMITTEE INVITATION TO BID FOR   Supply and Delivery of Forty (40) Unit Brand New Motorcycles 1.	The Provincial Government </t>
  </si>
  <si>
    <t xml:space="preserve"> Republic of the Philippines DEPARTMENT OF AGRICULTURE Regional Field Office IX, Zamboanga Peninsula INVITATION TO BID FOR SUPPLY AND DELIVERY OF 705 BAGS OF FEEDS LAYER CRUMBLE 1.	The Department of Agriculture Regional Field Office IX, through the GAA 202</t>
  </si>
  <si>
    <t xml:space="preserve"> Republic of the Philippines DEPARTMENT OF AGRICULTURE Regional Field Office IX, Zamboanga Peninsula INVITATION TO BID FOR SUPPLY AND DELIVERY OF VARIOUS LIVESTOCK (CARABAO AND CATTLE) 1.	The Department of Agriculture Regional Field Office IX, through the </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</si>
  <si>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</si>
  <si>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Instructions to Bidders A. General 1. Scope of Bid 1.1. The Procuring Entity as defined in the BDS, invites bids for the PURCHASE OF GOODS, as described in Section VI. Specifications. The name and identification number of the Contract is provided in the B</t>
  </si>
  <si>
    <t xml:space="preserve"> 1. The Local Government Unit of San Andres, Quezon through its Trust  Fund (SCRF) intends to apply the sum of Six Hundred Eighty Thousand Pesos (Php 680,000.00) only being the Approved Budget for the Contract (ABC) to payments under the contract for Purch</t>
  </si>
  <si>
    <t xml:space="preserve"> Please see attached associated components &amp; Download the Complete Bidding Documents through the linkage below.</t>
  </si>
  <si>
    <t xml:space="preserve"> 1. The Local Government Unit of San Andres, Quezon through its Trust  Fund (SCRF) intends to apply the sum of Two Hundred Sixty Six and Four Hundred Seventy Five Pesos (Php 266,475.00) only being the Approved Budget for the Contract (ABC) to payments unde</t>
  </si>
  <si>
    <t xml:space="preserve"> 1. The Local Government Unit of San Andres, Quezon through its 20% Development Fund intends to apply the sum of Two Hundred Seventy Four Thousand and One  Hundred Twenty Pesos (Php 274,120.00) only being the Approved Budget for the Contract (ABC) to payme</t>
  </si>
  <si>
    <t xml:space="preserve"> Construction of toxic and hazardous waste</t>
  </si>
  <si>
    <t xml:space="preserve"> SUPPLY AND DELIVERY OF 600,000 PIECES 50-kg CAPACITY BRAND NEW TUBULAR-TYPE WOVEN POLYPROPYLENE (WPP) EMPTY SACKS FOR PALAY AND RICE FOR NFA REGION XII FOR THE YEAR 2020        LOT NO.	       DESCRIPTION	             QUANTITTY	 	    1	              PALAY </t>
  </si>
  <si>
    <t xml:space="preserve"> INVITATION TO BID FOR THE RENOVATION OF MNHS BAHAY ALUMNI MULTI-PURPOSE BUILDING AT MNHS ALUMNI, UNIVERSITY ROAD, POBLACION, MUNTINLUPA CITY (*RE-POSTED) 1.	The City Government of Muntinlupa, through its duly-approved Supplemental Budget for 2018 intends </t>
  </si>
  <si>
    <t xml:space="preserve"> TIGLAWIGAN ELEMENTARY SCHOOL IS INVITING BIDDERS TO BID FOR THE IEC on Proper Hygiene and COVID-19 Precautionary Measures amounting of 7,000.00</t>
  </si>
  <si>
    <t xml:space="preserve"> 1. The Local Government Unit of San Andres, Quezon through its General Fund intends to apply the sum of Two Million One Hundred Forty Six Thousand and Eight Hundred Pesos (Php 2,146,800.00) only being the Approved Budget for the Contract (ABC) to payments</t>
  </si>
  <si>
    <t xml:space="preserve"> INVITATION TO BID: 1. Project Title: Repair and Rehabilitation of CCIS Computer Laboratory, A. Mabini Campus, Sta. Mesa, Manila 2. Approved Budget for the Contract: Php 999,291.92 3. Pre-bid Conference: on  July 29, 2020; 10:00 a.m. at Bulwagang Balagtas,</t>
  </si>
  <si>
    <t xml:space="preserve"> construction of covered court</t>
  </si>
  <si>
    <t xml:space="preserve"> INVITATION TO BID: 1. Project Title: Repair/Rehabilitation of One (1) Storey Multi-Purpose Building - PUP Mulanay Campus, Mulanay, Quezon 2. Approved Budget for the Contract: Php 2,999,274.22 3. Pre-bid Conference: on July 29, 2020: 11:00 a.m. at Bulwagan</t>
  </si>
  <si>
    <t xml:space="preserve"> INVITATION TO APPLY FOR ELIGIBILITY AND TO BID The Local Government Unit of Datu Saudi Ampatuan, through its Bids and Awards Committee (BAC), invites interested parties to apply for eligibility and to bid for the hereunder contract. The prospective bidder</t>
  </si>
  <si>
    <t xml:space="preserve"> INVITATION TO BID FOR THE COMPLETION WORKS FOR THE CONSTRUCTION OF HIGH SCHOOL BUILDING AT MNHS ANNEX , SOUTHVILLE 3, POBLACION, MUNTINLUPA CITY 1.	The City Government of Muntinlupa, through its duly-approved Local School Board Budget for 2020 intends to </t>
  </si>
  <si>
    <t xml:space="preserve"> Republic of the Philippines COMMISSION ON ELECTIONS M a n i l a INVITATION TO BID Supply and Delivery of Various Supplies to be used by the Field Election Officers for the 2020 Resumption of the Continuing Registration of Voters in connection with 2022 NL</t>
  </si>
  <si>
    <t xml:space="preserve"> National Power Corporation INVITATION TO BID PUBLIC BIDDING 2020-0190 1.	The NATIONAL POWER CORPORATION (NPC), through       its        approved       Corporate Budget of CY 2020 intends to apply   the   sum   of (Please see schedule below) being the Appr</t>
  </si>
  <si>
    <t xml:space="preserve"> Republic of the Philippines COMMISSION ON ELECTIONS M a n i l a INVITATION TO BID Supply and Delivery of Brother HL-L5100DN Toner Cartridges to be used for the Overseas Registration Period (BAC Ref No. 08-2020BTC) Approved Budget for the Contract:  Php1,7</t>
  </si>
  <si>
    <t xml:space="preserve"> Qty.	Unit	Description 		  1.00 	lot	Re-installation of Pump accessories and outlet plumbing  1.00 	lot	Re-installation of chlorinator facility ( Metering Type )  1.00 	lot	Construction of pump and control house  24.00 	l.m.	Construction of pump control ho</t>
  </si>
  <si>
    <t xml:space="preserve"> Invitation to Bid “Acquisition of One (1) Lot Health Care Services through Health Maintenance Organization” 01.The National Bureau of Investigation, through the 2019 NBI Clearance Retention Fees pursuant to RA 10867 otherwise known as the NBI Reorganizati</t>
  </si>
  <si>
    <t xml:space="preserve"> Republic of the Philippines Office of the Municipal Mayor BIDS AND AWARDS COMMITTEE Sual, Pangasinan Invitation to Bid for PROCUREMENT OF OFFICE EQUIPMENT AND FURNITURES (Sual, Pangasinan) 1.	The Municipal Government of Sual, Pangasinan, through the 2020 </t>
  </si>
  <si>
    <t xml:space="preserve"> 2409 Packs which contains the ff : 1 Piece of towel 1 Piece of Bath Soap 1 Mug with Print</t>
  </si>
  <si>
    <t xml:space="preserve"> Invitation to Bid  for the  CONSTRUCTION OF NEW CLARK CITY CONNECTING ROAD PACKAGE 1  New Clark City, Capas, Tarlac Public Bidding No. 20-021-1  1.	The Bases Conversion and Development Authority (BCDA) and the Procurement Service – Department of Budget an</t>
  </si>
  <si>
    <t xml:space="preserve"> Republic of the Philippines COMMISSION ON ELECTIONS M a n i l a INVITATION TO BID Supply and Delivery of Brand-New Desktop Computers for Issuance/Replacement of Defective/Beyond Economic Repair of Voter Registration Machines in Various Field Offices of th</t>
  </si>
  <si>
    <t xml:space="preserve"> LOT NO. 1: PRAS NO. 20-1019: ICTS-NOMD ABC: PhP2,420,000.00  - Twenty (20) units of Laptop (UNIX Based) LOT NO. 2: PRAS NO. 20-1020: ICTS-NOMD ABC: PhP198,000.00  - One (1) unit Point of Sale</t>
  </si>
  <si>
    <t xml:space="preserve"> Purchase of 100kva generator set to be used in the local government of San Luis</t>
  </si>
  <si>
    <t xml:space="preserve"> Various electrical materials to be used in the barangay electricication</t>
  </si>
  <si>
    <t xml:space="preserve"> 1. EXCAVATION 2. SUBGRADE PREPARATION 3. AGGREGATE BASE COURSE 4. THRESHER CROSSING 5. CANAL LINING 6. BILLBOARD</t>
  </si>
  <si>
    <t xml:space="preserve"> TIGLAWIGAN ELEMENTARY SCHOOL IS INVITING BIDDERS TO BID FOR THE PROVISION OF FIRE ALARM AMOUNTING OF 2,000.00</t>
  </si>
  <si>
    <t xml:space="preserve"> TIGLAWIGAN ELEMENTARY SCHOOL ARE INVITING BIDDERS TO BID FOR THE COMMUNICATION LOAD AMOUNTING OF 8,000.00</t>
  </si>
  <si>
    <t xml:space="preserve"> INVITATION TO BID FOR Conversion of Dental/Medical Clinic CY 2020 1. The Department of Education, Butuan City Division, through the GAA FY 2020 intends to apply the sum of  Php 1,642,711.23 being the Approved Budget for the Contract (ABC) to payments unde</t>
  </si>
  <si>
    <t xml:space="preserve"> 3	unit	Aircon Unit, Split type Inverter (1.5HP) 2	unit	Aircon Unit, Split type Inverter (2.0HP) 8	unit	Automatic Voltage Regulator 3	unit	Water Dispenser (hot &amp; cold) 4	set	Gang Chair, metallic 6-sitter 8	unit	Portable Fire Extinguisher (4.5kg) 2	set	Desk</t>
  </si>
  <si>
    <t xml:space="preserve"> Qty.	Unit	Description 		A.     FOR DIFFERENT BARANGAYS 45	mts	Cable Wire #1 76	mts	Stranded Wire TW #2 40	pcs	Bamboo #4 1	pc	G.I Pipe #3 1	pc	Blue Pipe Class 150 #8 6	mts	Wire Mesh 1	pc	G.I Tee #3 1	pc	G.I Plug #3 2	pcs	Bushing reducer 1 1/2 x 1 1	pc	Swin</t>
  </si>
  <si>
    <t xml:space="preserve"> 1    unit    PLASTIC SHREDDER MACHINE CAPACITY : 120-130KGS per HOUR ENGINE : 7HP DIESEL ENGINE Horizontal type with multi-blade system Capable of grinding all types of plastics from wet to dry high tempered blades roller type machine</t>
  </si>
  <si>
    <t xml:space="preserve"> Qty.	Unit	Description 		A.     FOR DIFFERENT BARANGAYS 		B.DEL ROSARIO PUMPING STATION 1	Lot	SUBMERSIBLE PUMP 5 HP INCLUDING ACCESSORIES 		C.DEL CARMEN WESTE PUMPING STATION 1	Lot	PANEL BOARD COMPLETE WITH MAGNETIC STARTER,SUBMERSIBLE CABLE #6/3C, 		D.CAB</t>
  </si>
  <si>
    <t xml:space="preserve"> Qty.	Unit	Description 		  36.00 	CU.M	ROAD NEAR TEODORO NAZARENO RESIDENCE PCCP,3500 PSI,(INCLUDING CONCRETE BLOCKS)  32.50 	CU.M	ROAD IN FRONT MUNICIPAL HALL                         PCCP,3,500 PSI  22.00 	CU.M	IN FRONT AND LEFT SIDE PORTION OF MUNICIPAL </t>
  </si>
  <si>
    <t xml:space="preserve"> Republic of the Philippines City of Lipa  INVITATION TO BID FOR  Construction of Multi-Purpose Building at Lipa City Community Park, Barangay 7, Lipa City 1.	The Lipa City Government through the Trust Fund   intends to apply the sum of Ten Million Pesos o</t>
  </si>
  <si>
    <t xml:space="preserve"> Item	Description of Work	Wt. %	Unit	Quantity 				 SPL A	Traffic management and Signs	0.86	days	120 SPL B	Ocupational Safety and Health Program	1.02	lot	120 SPL C	Mobilization/Demobilization	0.47	lot	1 SPL D	Billboard	0.06	sq.m	5.76 101(1)	Removal of Struc</t>
  </si>
  <si>
    <t xml:space="preserve"> Purchase of 3 units black &amp; white copier and 1 unit colored copier to be used for the reproduction of learning modules</t>
  </si>
  <si>
    <t xml:space="preserve"> Qty.	Unit	Description 		A.     FOR DIFFERENT BARANGAYS 10	Rolls	HDPE Pipe  2” DIA. SDR 11 8	Rolls	HDPE Pipe  1 ½” DIA.  SDR 11 8	Rolls	HDPE Pipe  1 ¼” DIA.  SDR 11 8	Rolls	HDPE Pipe 1” DIA. SDR 11 9	Rolls	HDPE Pipe  ¾” DIA. SDR 11 20	Rolls	HDPE Pipe  ½” D</t>
  </si>
  <si>
    <t xml:space="preserve"> National Power Corporation INVITATION TO BID PUBLIC BIDDING 2020-0197 1.	The NATIONAL POWER CORPORATION (NPC), through       its        approved       Corporate Budget of CY 2020 intends to apply   the   sum   of (Please see schedule below) being the Appr</t>
  </si>
  <si>
    <t xml:space="preserve"> INVITATION TO BID 	The DOH Central Luzon Center for Health Development through its Bids and Awards Committee (BAC), invites suppliers/manufacturers/distributors to bid for the hereunder project: Project	 Project Description	Approved Budget for the Contrac</t>
  </si>
  <si>
    <t xml:space="preserve"> Invitation to Bid for Labor and Materials for the Construction of Multi-Purpose Building at Hidalgo Street, Barangay Poblacion 7, SJOM 1.	The Municipality of San Jose, through the 20% Development Fund  intends to apply the sum of Fifteen Million Pesos Onl</t>
  </si>
  <si>
    <t xml:space="preserve"> Purchase of 1 unit motorboat and accessories</t>
  </si>
  <si>
    <t xml:space="preserve"> Republic of the Philippines City of Lipa  INVITATION TO BID FOR  Construction of COVID-19 Rapid Testing Laboratory  at Medical Arts Building, Ospital ng Lipa,  Lipa City 1.	The Lipa City Government through the 20% Development Fund intends to apply the sum</t>
  </si>
  <si>
    <t xml:space="preserve"> Republic of the Philippines City of Lipa  INVITATION TO BID FOR  Improvement of Lipa City Community Park  at Brgy. 7, Lipa City 1.	The Lipa City Government through the Trust Fund – Local Government Support Fund (LGSF) 2019 – Assistance to Cities from Depa</t>
  </si>
  <si>
    <t xml:space="preserve"> National Power Corporation INVITATION TO BID PUBLIC BIDDING 2020-0195 1.	The NATIONAL POWER CORPORATION (NPC), through       its        approved       Corporate Budget of CY 2020 intends to apply   the   sum   of (Please see schedule below) being the Appr</t>
  </si>
  <si>
    <t xml:space="preserve"> 1. MOBILIZATION 2. DREDGING 3.CANAL LINING 4. EXCAVATION 5.STONE MASONRY BASE 6. CONCRETE WORKS 7. CONCRETE WORKS 8. STEEL WORKS 9. MASONRY WORKS 10. PLASTERING</t>
  </si>
  <si>
    <t xml:space="preserve"> ITEM I.	CONSTRUCTION OF ONE (1) UNIT RESERVOIR ITEM I.1	COLUMN AND FLOORING EXCAVATION ITEM II.	FORMS AND SCAFFOLDINGS ITEM III.	REINFORCEMENT BARS ITEM IV.	CONCRETE STRUCTURES ITEM V.	PIPING FIXTURES ITEM VI.	PIPELINES SPCL 1.	CONSTRUCTION OF SAFETY AND </t>
  </si>
  <si>
    <t xml:space="preserve"> 1	unit	Portable Suction Machine with Flexible Suction Catheters (Fr 5, 8, 12, 14) 2	unit	Portable Oxygen Tank with Regulator 1	unit	Defibrillator Machine - AED (manual with cardiac monitor) 1	set	Defibrillator Pads - disposable 2	unit	Shpygmomanometer, no</t>
  </si>
  <si>
    <t xml:space="preserve"> INVITATION TO BID FOR Construction of Reinforced Concrete Slope Protection for CY 2020 1.	The Department of Education, Butuan City Division, through the GAA FY 2020 intends to apply the sum of  Php 3,820,757.90 RCS-2020-001 (Lot 1), and Php 3,408,125.05 R</t>
  </si>
  <si>
    <t xml:space="preserve"> 1. CLEARING 2. EXCAVATION 3. CONCRETE WORKS 4. STEEL WORKS 5. MASONRY WORKS 6. FORM WORKS 7. PLASTERING</t>
  </si>
  <si>
    <t xml:space="preserve"> 4	pcs	USB (16Gb) 20	pcs	Record Book (300-pages) 5	box	Ballpen (black) 1	pcs	Whiteboard (4' x 8') 10	pcs	Whiteboard Marker 2	pcs	Whiteboard Eraser 10	bot	EPSON Ink (T6641) black 10	bot	EPSON Ink (T6642) cyan 10	bot	EPSON Ink (T6643) yellow 8	cart	BROTHER I</t>
  </si>
  <si>
    <t xml:space="preserve"> Invitation to bid REBIDDING OF SUPPLY AND DELIVERY OF CONSTRUCTION  MATERIALS FOR THE RENOVATION OF TRAINING CENTER (PHASE II) ITB No. R4B-20-07-09 1.	The NIA MIMAROPA Regional Office, through the General Appropriations Act of 2019 intends to apply the su</t>
  </si>
  <si>
    <t xml:space="preserve"> INVITATION TO BID (GOODS) The Municipality of Sibonga, through the Trust Fund intends to apply the sum of Two hundred thirty-six thousand seven hundred ten &amp; 50/100 pesos only (236,710.50) being the Approved Budget for the Contract (ABC) to payment under </t>
  </si>
  <si>
    <t xml:space="preserve"> INVITATION TO BID July 15, 2020 1.	The Provincial Government of Davao Occidental, through its Bids and Awards Committee (BAC), invites all suppliers to apply to bid for the following goods: Bids received in excess of the ABC shall be automatically rejecte</t>
  </si>
  <si>
    <t xml:space="preserve"> 1. CLEARING 2. EXCAVATION 3. STONE MASONRY</t>
  </si>
  <si>
    <t xml:space="preserve"> Purchase of 1 unit motorboat engine</t>
  </si>
  <si>
    <t xml:space="preserve"> The Municipal Government of Aloguinsan invites prospective bidders to bid for the project Purchase and Delivery of  6-Wheeler Dump Truck Source of Fund: 20% Development Fund FY 2018   ABC: Php 3,500,000.00 The complete schedule of activities will be as fo</t>
  </si>
  <si>
    <t xml:space="preserve"> NOTICE OF ELIGIBILITY AND SHORTLISTING 1.	The Department of Tourism (hereinafter called “Procuring Entity” has received financing (hereinafter called “funds”) from General Appropriations Act 2020 (hereinafter called the “Funding Source”) toward the cost o</t>
  </si>
  <si>
    <t xml:space="preserve"> 1.	The Local Government Unit of Siay, through the Budget Approved by the Sanggunian intends to apply the sum of One Million Nine Hundred Ninety One Thousand Four Hundred Four Pesos Only ( PhP 1,991,404.00) being the Approved Budget for the Contract (ABC) </t>
  </si>
  <si>
    <t xml:space="preserve"> Invitation to Bid for the Installation of Streetlights  (San Miguel – Dicklum) 1.	The Local Government Unit of Manolo Fortich, through the 20% Local Development Fund intends to apply the sum of ONE MILLION TWO HUNDRED NINE THOUSAND NINE HUNDRED FIFTY TWO </t>
  </si>
  <si>
    <t xml:space="preserve"> July 20, 2020 INVITATION TO BID Project No.: PR No. 2020 – 07 – 039 The Department of Education (DepEd) Division of Batangas, through 2020 Government Appropriations Act under the FY 2020 General Appropriations Act intends to apply the sum of  Eighty-One M</t>
  </si>
  <si>
    <t xml:space="preserve"> Overlaying of limesoil and levelling to mitigate dilapidated roads</t>
  </si>
  <si>
    <t xml:space="preserve"> Name of Projects: Constructon of Elevated Water Tank @ Isolation Building	------------------------	   285,894.00  Location: Turod, Luna, Apayao		 		 Construction of Access Road to Isolation Building	------------------------------------	 4,994,228.04  Loca</t>
  </si>
  <si>
    <t xml:space="preserve"> 8 Gallons Alcohol (70% Solution) 161 Pieces Face Mask #25 (Washable Cloth) 1 Piece Thermal Scanner 22 Pieces face Mask #30 (Washable Cloth) 15 Bottles Anti-Bacterial Liquid Hand Soap 21 Bottles 1000mL Zonrox Disinfectant Bleach 25 Pieces Door Mat (rect/ov</t>
  </si>
  <si>
    <t xml:space="preserve"> PR NO. 20-07-0051								 DATE: July 24, 2020 Gentlemen/Ladies: The Technological University of the Philippines – Manila intends to Procure  ANTI-PLAGIARISM SOFTWARE with an Approved Budget for the Contract of Four Hundred Twenty-Five Thousand Pesos (PhP </t>
  </si>
  <si>
    <t xml:space="preserve"> 20 Reams Bond paper (Long) 26 Reams Bond Paper (A4) 1 Pieace EPSON L120 Printer 11 Carts Epson Ink (Black) 10 Carts Epson Ink (Cyan) 10 carts Epson Ink (Magenta) 10 carts Epson Ink (Yellow)</t>
  </si>
  <si>
    <t xml:space="preserve"> Name of Projects: Improvement of Marag Evacuation Center	---------------------------------------------	 291,363.36  Location: Marag, luna, Apayao		 		 Excavation/Dredging/Construction of Retaining Wall along Zumigui Creek -------------	 981,373.42  Locati</t>
  </si>
  <si>
    <t xml:space="preserve"> 1. CONCRETE WORKS 2. STEEL WORKS 3. FORM WORKS AND SCAFFOLDING</t>
  </si>
  <si>
    <t xml:space="preserve"> 1    unit     Colilert Machine</t>
  </si>
  <si>
    <t xml:space="preserve"> Installation of cctv camera	- 15 units One(1) set NETWORK VIDEO RECORDER	 32-Channel C15 NVR	 Support Smart 265/H.264 video formats	 32-channel input	 Third-party Ip cameras supported with ONVIF conformance: Profile S, Profile G, Profile T	 Support 2-ch H</t>
  </si>
  <si>
    <t xml:space="preserve"> Item No.	Qty.	Unit	Description of Supplies/Materials			 						 1	2	units	DIGITAL DUPLICATOR MACHINE 			 			with the following specifications:			 			 Master-Making/ Printing Methods 			 			       -   High-speed digital master-making/ Fully 			 			       au</t>
  </si>
  <si>
    <t xml:space="preserve"> Republic of the Philippines Province of Davao de Oro BIDS AND AWARDS COMMITTE Cabidianan, Nabunturan, Davao de Oro ITB No. 20-027 July 15, 2020 INVITATION TO BID  FOR  THE Procurement of food supplies (meals and snacks, item 1 with venue and item 2 withou</t>
  </si>
  <si>
    <t xml:space="preserve"> Indang National &amp; Elementary School</t>
  </si>
  <si>
    <t xml:space="preserve"> Republic of the Philippines Bangsamoro Autonomous Region in Muslim Mindanao Province of Maguindanao MUNICIPALITY OF MATANOG Invitation to Bid  CONSTRUCTION OF TECH4ED BUILDING 1.	The Municipality of Matanog, through the 2020 Annual Performance Budget inte</t>
  </si>
  <si>
    <t xml:space="preserve"> Repair/Maintenance of DPWH Building Super Area (Storage Room)</t>
  </si>
  <si>
    <t xml:space="preserve"> SEE ATTACHED DOCS</t>
  </si>
  <si>
    <t xml:space="preserve"> Republic of the Philippines Province of Iloilo Lemery Iloilo Invitation to Bid for Purchase of Office Appliances 1.	The Municipality of Lemery, Iloilo, through the Purple Ribbon Fund   intends to apply the sum of  One Hundred Fifty Six Thousand Pesos (P 1</t>
  </si>
  <si>
    <t xml:space="preserve"> JULY 20, 2020 FER2020-022 1.	The LOCAL GOVERNMENT UNIT OF FERROL, ROMBLON, through the CAPITAL OUTLAY CY 2020 intends to apply the sum of FOUR MILLION FIVE HUNDRED THOUSAND PESOS (PHP 4,500,000.00) being the Approved Budget for the Contract (ABC) to payme</t>
  </si>
  <si>
    <t xml:space="preserve"> 2 Pieces Pedal Switch Unit with Stainless Steel Basin</t>
  </si>
  <si>
    <t xml:space="preserve"> INVITATION TO BID SUPPLY AND DELIVERY OF TONERS WITH FREE USE  PRINTERS FOR PAG-IBIG FUND SOUTHERN &amp; SOUTHWESTERN MINDANAO GROUP   The Pag-IBIG Fund TAS-Southern and South-Western Mindanao, through its Bids and Awards Committee – Goods and Services (BAC-G</t>
  </si>
  <si>
    <t xml:space="preserve"> PHILIPPINE DEPOSIT INSURANCE CORPORATION Makati City REQUEST FOR EXPRESSION OF INTEREST FOR THE Procurement of a Consultancy Service Provider (CSP) for the Review and Design of PDIC’s Organizational Structure and Staffing Pattern(OSSP) 1.	The Philippine D</t>
  </si>
  <si>
    <t xml:space="preserve"> NAME OF PROJECT: REHABILITATION OF FMR(PITOGO-AGUINING ROAD-BASE PREPARATION ONLY) LOCATION : PRES. CARLOS P. GARCIA, BOHOL APPROPRIATION: P1,000,000.00 SOURCE OF FUND: 20% IRA 2020 CLASSIFICATION: PROVINCIAL ROAD NET LENGTH: 400 METERS WIDTH: 7.00 METERS</t>
  </si>
  <si>
    <t xml:space="preserve"> JULY 20, 2020 FER-2020-021 1.	The LOCAL GOVERNMENT UNIT OF FERROL, ROMBLON, through the 20% DEVELOPMENT FUND intends to apply the sum of ONE MILLION SEVEN HUNDRED THOUSAND PESOS (PHP 1,700,000.00) being the Approved Budget for the Contract (ABC) to paymen</t>
  </si>
  <si>
    <t xml:space="preserve"> Republic of the Philippines CITY OF TACURONG OFFICE OF THE CITY MAYOR INVITATION TO BID FOR INSTALLATION OF STREET LIGHTING SYSTEM (Contract ID No: 2020-CW-020) The City Government of Tacurong, through 20% Development Fund 2020intends to apply the sum sta</t>
  </si>
  <si>
    <t xml:space="preserve"> REPAIR OF 2ND FLOOR OF OLD MUNICIPAL BUILDING FOR ISOLATION.</t>
  </si>
  <si>
    <t xml:space="preserve"> 1.	The Local Government Unit Of Lianga Surigao del Sur, through the SPECIAL Education Fund-SEF   intends to apply the sum of One Hundred Thirty Three thousand, Pesos only ( P 133, 000.00) being the Approved Budget for the Contract (ABC) to payments under </t>
  </si>
  <si>
    <t xml:space="preserve"> INVITATION TO BID FOR THE PROCUREMENT OF SUPPLY &amp; DELIVERY OF CORN SEEDS FOR FOOD SECURITY (COVID 19) BY LOT     1.	The Department of Agriculture Regional Field Office 6 through the General Appropriations Act (GAA) of 2020 intends to apply the sum of One </t>
  </si>
  <si>
    <t xml:space="preserve"> INVITATION TO BID FOR THE CONTRACT ID: 20-07-097 Contract Name: PROCUREMENT OF PCR TEST KIT FOR COVID 19 Approved Budget for the Contract (ABC) : Php 4,177,800.00 Cost of Bidding Documents: Php 5,000.00 1. The Department of Health - Zamboanga Peninsula - </t>
  </si>
  <si>
    <t xml:space="preserve"> Item-	Description-	ABC-	Unit	-Qty. 	LOT BID			 1	HAZARDOUS WASTE TRANSPORT AND TREATMENT	-12,154,375.00-	LOT	-1 TERMS OF REFERENCE Project Name: 	Hazardous Waste Transport and Treatment Project Cost:	P12,154,375.00 Project Duration: 	Six Months Or Total T</t>
  </si>
  <si>
    <t xml:space="preserve"> 1.	The Municipality of Esperanza, intends to apply the sum of Three Hundred Twenty Four Thousand Pesos Only (Php324,000.00) being the Approved Budget for the Contract (ABC) to payments under the contract for Supply and Delivery of Clamp Meter, Pump &amp; Test</t>
  </si>
  <si>
    <t xml:space="preserve"> Item-	Description	-ABC	-Unit 	-Qty 	LOT BID			 1	ARTERIAL BLOOD GAS REAGENT	-1,259,968.50	-TESTS-	9,450 Terms of Reference for Medical Equipment &amp; Supplies I.	The Corazon Locsin Montelibano Memorial Regional Hospital (CLMMRH) under Medical Division/ Pulmo</t>
  </si>
  <si>
    <t xml:space="preserve"> INVITATION TO BID FOR THE PROCUREMENT OF SUPPLY &amp; DELIVERY OF 5,500 HEADS NATIVE CHICKEN     1.	The Department of Agriculture Regional Field Office 6 through the General Appropriations Act (GAA) of 2020 intends to apply the sum of Three Million Three Hund</t>
  </si>
  <si>
    <t xml:space="preserve"> INVITATION TO BID FOR THE PROCUREMENT OF SUPPLY &amp; DELIVERY OF NSIC APPROVED GM HYBRID YELLOW CORN SEEDS     1.	The Department of Agriculture Regional Field Office 6 through the General Appropriations Act (GAA) of 2020 intends to apply the sum of Eight Mil</t>
  </si>
  <si>
    <t xml:space="preserve"> INVITATION TO REBID FOR THE PROCUREMENT OF SUPPLY &amp; DELIVERY OF PIGLETS (TYPHOON URSULA)     1.	The Department of Agriculture Regional Field Office 6 through the General Appropriations Act (GAA) of 2020 intends to apply the sum of Two Million Two Hundred </t>
  </si>
  <si>
    <t xml:space="preserve"> 1.	The Municipality of Esperanza, intends to apply the sum of One Million Two Hundred Sixty Three Thousand Six Hundred Thirty Five Pesos &amp; 9/100 Only (Php1,263,635.9) being the Approved Budget for the Contract (ABC) to payments under the contract for Supp</t>
  </si>
  <si>
    <t xml:space="preserve"> The National Food Authority (NFA) Regional Office V, through its Infrastructure and PHF Machineries Capital Outlay Budget with ASA No. 2020-TRSD-V-Tabaco, Albay-004  intends to apply the sum of PESOS: FOUR MILLION EIGHT HUNDRED EIGHTEEN THOUSAND TWO HUNDR</t>
  </si>
  <si>
    <t xml:space="preserve"> JULY 20, 2020 FER2020-009 1.	The LOCAL GOVERNMENT UNIT OF FERROL, ROMBLON, through the 20% DEVELOPMENT FUND CY 2020 intends to apply the sum of ONE MILLION FIVE HUNDRED THOUSAND PESOS (PHP 1,500,000.00) being the Approved Budget for the Contract (ABC) to </t>
  </si>
  <si>
    <t xml:space="preserve"> Repair/Maintenance of DPWH Building, Langogan Resthouse</t>
  </si>
  <si>
    <t xml:space="preserve"> Republic of the Philippines MUNICIPALITY OF VILLANUEVA Province of Misamis Oriental INVITATION TO APPLY FOR ELIGIBILITY AND TO BID  The LGU of Villanueva, Misamis Oriental, through its Bids and Awards Committee (BAC), invites suppliers/ manufacturers/ dis</t>
  </si>
  <si>
    <t xml:space="preserve"> The DPWH-Regional Office I, through its Bids and Awards Committee (BAC), invites contractors to submit bids for the following Contract: Contract ID: 20A00216 Contract Name: Rehabilitation of Sta. Rosa-Calincamasan Road, Brgys. Sta. Rosa and Calincamasan, </t>
  </si>
  <si>
    <t xml:space="preserve"> PB NO. 2020-050		 			 1.	1	lot	Proposed Installation of Traffic Lights along Maharlika Highway at Brgy. San Roque-San Rafael, San Pablo City. 			By: Contract 			 	Deadline for Submission of Bids: August 10, 2020 10:00 am</t>
  </si>
  <si>
    <t xml:space="preserve"> Republic of the Philippines PROVINCE OF CAMARINES SUR BIDS AND AWARDS COMMITTEE ITB No. 041-08-2020 INVITATION TO BID  	The Provincial Government of Camarines Sur (PGCS) through its Bids and Awards Committee (BAC) invites suppliers/manufacturers/distribut</t>
  </si>
  <si>
    <t xml:space="preserve"> Republic of the Philippines MUNICIPALITY OF VILLANUEVA Province of Misamis Oriental Bids and Awards Committee INVITATION TO APPLY FOR ELIGIBILITY AND TO BID  The LGU of Villanueva, Misamis Oriental, through its Bids and Awards Committee (BAC), invites all</t>
  </si>
  <si>
    <t xml:space="preserve"> Republic of the Philippines Province of Misamis Occidental Municipality of Don Victoriano INVITATION TO BID FOR  Procurement of Fuel, Oil and Lubricants  1.	The Local Government Unit  of Don Victoriano,  Don Victoriano, Misamis  Occidental through the  Bi</t>
  </si>
  <si>
    <t xml:space="preserve"> Republic of the Philippines Province of Iloilo Lemery Iloilo Invitation to Bid for Purchase of Drugs and Medicines 1.	The Municipality of Lemery, Iloilo, through the MCP Fund   intends to apply the sum of  Two Hundred Thousand Pesos (P 200,000.00) being t</t>
  </si>
  <si>
    <t xml:space="preserve"> INVITATION TO BID FOR THE PROCUREMENT OF SUPPLY &amp; DELIVERY OF 200 HEADS GOAT     1.	The Department of Agriculture Regional Field Office 6 through the General Appropriations Act (GAA) of 2020 intends to apply the sum of Three Million Pesos (Php3,000,000.00</t>
  </si>
  <si>
    <t xml:space="preserve"> Republic of the Philippines							 PROVINCE OF ZAMBOANGA SIBUGAY							 Municipality of Talusan							 -7012-							 OFFICE OF THE BARANGAY BUALAN BAC CHAIRMAN							 							 INVITATION TO BID							 							 NOTICE TO THE PUBLIC:							 							 	Notice is</t>
  </si>
  <si>
    <t xml:space="preserve"> Barangay Government of Mailag City of Valencia Invitation to Bid for SUPPLY AND DELIVERY OF 1 UNIT BRAND NEW SERVICE VEHICLE DIESEL ENGINE GENERAL SPECIFICATIONS Transmission manual 5-speed Fuel type diesel  Overall length mm from 4,260 to 4,795 Overall w</t>
  </si>
  <si>
    <t xml:space="preserve"> Item	-Description-	ABC	-Unit	-Qty. 	LOT BID			 1	ONE (1) YEAR HAULING OF NON-INFECTIOUS (WET &amp; DRY) WASTE FROM CORAZON LOCSIN MONTELIBANO MEMORIAL REGIONAL HOSPITAL (CLMMRH) TO THE AUTHORIZED/DESIGNATED CITY DUMPSITE	-2,420,000.00	-JOB	-1 Terms of Referen</t>
  </si>
  <si>
    <t xml:space="preserve"> for supply of one (1) unit Multicab for Barangay used with complete set of TBAS and Accessories plus  free LTO registration and insurance.</t>
  </si>
  <si>
    <t xml:space="preserve"> Item-	Description-	ABC	-Unit	-Qty. 	LOT BID			 1	ONE YEAR OUTSOURCING OF JANITORIAL SERVICES	-15,000,000.00	-LOT-	1 TERMS OF REFERENCE JANITORIAL SERVICES SEVEN DAYS PER WEEK/3 SHIFTS I.	SCOPE OF SERVICE The AGENCY shall provide Janitorial Services requir</t>
  </si>
  <si>
    <t xml:space="preserve"> Republic of the Philippines Province of South Cotabato BIDS AND AWARDS COMMITTEE Capitol Compound Alunan Avenue, Koronadal City Tel. Fax No.: (083) 228-9951/228-8570 INVITATION TO BID FOR THE SUPPLY AND DELIVERY OF 36 UNITS DUPLICATING MACHINE 1.  The PRO</t>
  </si>
  <si>
    <t xml:space="preserve"> 1.	The Municipality of Esperanza, intends to apply the sum of Three Hundred Forty-Four Thousand Pesos (Php344,000.00) being the Approved Budget for the Contract (ABC) to payments under the contract for Supply and Delivery of Water Materials use for Water </t>
  </si>
  <si>
    <t xml:space="preserve"> The DPWH, Negros Occidental 3rd District Engineering Office, Kabankalan City, Negros Occidental, through its Bids and Awards Committee (BAC), invites contractors to submit bids for the following contract: 1. Contract ID		:	20GM0082 Contract Name	:	Constru</t>
  </si>
  <si>
    <t xml:space="preserve"> PURCHASE OF EIGHT (8) UNITS VEHICLES, CMO, CALBAYOG CITY PARTICULARS	SCHEDULE Issuance and Availability of Bidding Documents	July 27 to August 10, 2020; 8:30a.m. Pre-Bid Conference	July 27, 2020; 9:00 a.m. Eligibility Check; Submission, Receipts and Openi</t>
  </si>
  <si>
    <t xml:space="preserve"> The DPWH-Regional Office I, through its Bids and Awards Committee (BAC), invites contractors to submit bids for the following Contract: Contract ID: 20A00214 Contract Name: Rehabilitation of Calincamasan - Quidem Road (including construction of two bridge</t>
  </si>
  <si>
    <t xml:space="preserve"> Item-	Description-	ABC-	Unit 	-Qty. 1	CT SCAN MACHINE (AT LEAST 64-SLICE)	-45,000,000.00	-LOT-	1 	Terms of Reference and Technical Specifications Item No.	Configuration for CT scan Machine (At Least 64-Slice) Standard Scanning System Configuration 1	Scann</t>
  </si>
  <si>
    <t xml:space="preserve"> Republic of the Philippines Province of Misamis Occidental Municipality of Don Victoriano INVITATION TO BID FOR  Procurement of Motor Vehicle  1.	The Local Government Unit of Don Victoriano, Don Victoriano, Misamis Occidental through the Bids and Awards C</t>
  </si>
  <si>
    <t xml:space="preserve"> Item-	Description	-ABC-	Unit-	Qty. 	LOT BID			 1	INTEGRATED HOSPITAL INFORMATION SYSTEM	-13,500,000.00	-LOT	-1 Integrated Hospital Information System Project Corazon Locsin Montelibano Memorial Regional Hospital Terms of Reference Software Provider Scope </t>
  </si>
  <si>
    <t xml:space="preserve"> PURCHASE OF ONE (1)UNIT SERVICE VEHICLE, CEO, CALBAYOG CITY PARTICULARS	SCHEDULE Issuance and Availability of Bidding Documents	July 27 to August 10, 2020; 8:30a.m. Pre-Bid Conference	July 27, 2020; 9:00 a.m. Eligibility Check; Submission, Receipts and Op</t>
  </si>
  <si>
    <t xml:space="preserve"> Item	Description	ABC	Unit	Qty. 	LINE BID			 1	ADM. SET (BLOOD TRANSFUSION SET) 20 DROPS/ML WITH VENIPUNCTURE NEEDLE STERILE	300,000.00	SET	3,000 2	ASEPTO SYRINGE 60 ML PLASTIC STERILE	300,000.00	PCS	6,000 3	CATHETER UMBILICAL FR. 3.5 STERILE	15,000.00	PCS</t>
  </si>
  <si>
    <t xml:space="preserve"> Republic of the Philippines CITY OF TACURONG OFFICE OF THE CITY MAYOR INVITATION TO BID FOR WIDENING OF BARANGAY ROADS (Contract ID No: 2020-CW-019) The City Government of Tacurong, through 20% Development Fund 2020 intends to apply the sum stated below b</t>
  </si>
  <si>
    <t xml:space="preserve"> The DPWH, Negros Occidental 3rd District Engineering Office, Kabankalan City, Negros Occidental, through its Bids and Awards Committee (BAC), invites contractors to submit bids for the following contract: 1. Contract ID		:	20GM0081 Contract Name	:	Constru</t>
  </si>
  <si>
    <t xml:space="preserve"> Republic of the Philippines Province of Iloilo Lemery Iloilo Invitation to Bid for Purchase of IT Equipments 1.	The Municipality of Lemery, Iloilo, through the Purple Ribbon Fund   intends to apply the sum of  One Hundred Forty Nine Thousand Three Hundred</t>
  </si>
  <si>
    <t xml:space="preserve"> FUND SOURCE; 20% PDF 2020 TYPES OF WORK TO BE DONE: Project billboard/ signboard/ occupational safety and health program/ structure excavation (footing excavation)/ reinforcing steel bars (footing, column and anchorage)/ structural concrete (column, beams</t>
  </si>
  <si>
    <t xml:space="preserve"> INVITATION TO BID FOR THE Supply and Delivery of 1-unit Sports Utility Vehicle for Bicol University 1.	The BICOL UNIVERSITY, through the Corporate Budget for the contract approved by the Board of Regents intends to apply the sum of One Million Seven Hundr</t>
  </si>
  <si>
    <t xml:space="preserve"> Excavation Works, Backfill, Gravel Bedding, Structural Concrete, Reinforcing Steel, Formworks and Scaffolding, Streetlight Post Installation, Wires, Wiring Devices, and Streetlights, Transformers, Circuit Breaker, Fuse and Arrester, Temporary Facilities, </t>
  </si>
  <si>
    <t xml:space="preserve"> FUND SOURCE: 20% PDF 2020 TYPES OF WORK TO BE DONE: Project billboard/ signboard/ occupational safety and health program/ removal of actual structures/ obstruction (PCCP reinforced)/ structure excavation</t>
  </si>
  <si>
    <t xml:space="preserve"> Item	Description	ABC	Unit	Qty. 	LINE BID			 1	ADHESIVE PLASTER, BROWN CLOTH 1” (2.5 CM X 1 M) STICK WELL/STRONG ADHESION Size: At least 2.5 cm x 1 meter	180,000.00	SPOOL	2,000 2	ADHESIVE PLASTER, WHITE CLOTH 2” X 10 YDS (SILK TAPE, STICK WELL/STRONG ADHES</t>
  </si>
  <si>
    <t xml:space="preserve"> PLS. SEE ATTACHMENT/S           The Schedule of BAC activities are as follows:								 								 BAC Activities					Schedule			 1	Advertisement/Posting of IAEB				July 20 - 27, 2020			 2	Receipt of Letter of Intent							 3	Eligibility Check				August 11, </t>
  </si>
  <si>
    <t xml:space="preserve"> Construction of Field Office for the Engineer, Provision of Furniture/Fixtures, Equipment and Appliances for the Field Office for the Engineer, Construction Survey and Staking, Project Billboard, Occupational Safety and Health Program, Traffic Management </t>
  </si>
  <si>
    <t xml:space="preserve"> Item	Description	ABC	Unit	Qty. 	LINE BID			 1	CHLORHEXIDINE DIGLUCONATE SPRAY 0.2% SOL’N., ANTISEPTIC 60 ML	1,400,000.00	BOTTLE	7,000 2	DIGITAL THERMOMETER, GOOD QUALITY	75,000.00	PCS	750 3	ICE BAG 9” ADULT, GOOD QUALITY	23,750.00	PCS	250 4	NASOGASTRIC TU</t>
  </si>
  <si>
    <t xml:space="preserve"> Item	Description	ABC	Unit	Qty. 	LINE BID			 1	AIRWAY GUEDEL 70 MM STERILE	15,000.00	PCS	250 2	AIRWAY GUEDEL 80 MM STERILE	36,000.00	PCS	600 3	BS/LAPARATOMY SPONGE BLUE LOOP W/ X-RAY THREAD, STERILE (1’S/PACK 18” X 18” X 12 PLY, 28 X 24 MESH)	40,000.00	PCS</t>
  </si>
  <si>
    <t xml:space="preserve"> PLEASE SEE ATTACHMENTS</t>
  </si>
  <si>
    <t xml:space="preserve"> Please see attached ITB. ABC: 2,000,000.00</t>
  </si>
  <si>
    <t xml:space="preserve"> Item	Description	ABC	Unit 	Qty. 	LINE BID			 1	CHLORHEXIDINE DIGLUCONATE SURGICAL HANDWASHING 4% (NON-IONIC SURFACTANTS, EMOLIENTS, MOISTURIZERS &amp; STAIN FREE; 5LITERS/GAL	300,000.00	GALLON	100 2	ENZYMATIC DETERGENT (@LEAST 3.78 LITERS OR MORE/GAL.)	525,00</t>
  </si>
  <si>
    <t xml:space="preserve"> Procurement of Supply and Delivery of Office  Supplies  10	pcs	Ink cartridge #680 black 11	pcs	Ink cartridge #681 colored 10	pcs	Ink cartridge HP 932 XL, black 15	pcs	Ink cartridge HP 933 XL, cyan 15	pcs	Ink cartridge HP 933 XL, magenta 15	pcs	Ink cartrid</t>
  </si>
  <si>
    <t xml:space="preserve"> Republic of the Philippines DEPARTMENT OF PUBLIC WORKS AND HIGHWAYS CAMARINES SUR 1st DISTRICT ENGINEERING OFFICE REGIONAL OFFICE V Baras, Canaman, Camarines Sur INVITATION TO BID 		FOR 20GFD0014 – Proposed Outsourcing of Security Services for DPWH Camari</t>
  </si>
  <si>
    <t xml:space="preserve"> SPL 1 Utility Line and Transformer 50 kVa Distribution Transformer Double Bushing Electrical Meter Form 48 kv2C Current Transformer Ratio 200:5 Protection box for CT Protection Box for Meter Steel pole 30 ft Bare wire # 2 Insulation Pin Type Suspension In</t>
  </si>
  <si>
    <t xml:space="preserve"> Item	Description	ABC	Unit 	Qty. 	LINE BID			 1	CATHETER SET DOUBLE LUMEN FR. 12, CURVED EXTENSIONS, STERILE, FOR HEMODIALYSIS	437,500.00	SET	125 2	CATHETER SET TRIPPLE LUMEN FR. 12, CURVED EXTENSIONS, STERILE, FOR HEMODIALYSIS	520,000.00	SET	130 3	FLEX C-</t>
  </si>
  <si>
    <t xml:space="preserve"> Procurement of Tools, Utensils &amp; Equipment Needed for Cookery, Bread &amp; Pastry and Food &amp; Beverage Services for Senior High</t>
  </si>
  <si>
    <t xml:space="preserve"> Item	Description	ABC	Unit 	Qty. 	LINE BID			 1	CADAVER SHEET (PLASTIC SOFT WHITE 48”X50METERS)	80,000.00	ROLL	100 2	HYPOCHLORITE SOLUTION 5.5% BRANDED ATLEAST 3785ML (ATLEAST 5% HYPOCHLORITE SOLUTION)	72,000.00	GAL	400 3	MEDICINE BAG 120 X 170MM	20,000.00</t>
  </si>
  <si>
    <t xml:space="preserve"> Temporary Facilities, Project Billboard, Construction Safety and Health, Provision of Advance Warning Signs and Barricades/Traffic Control Management, Mobilization/Demobilization, Clearing and Grubbing, Roadway Excavation (Common), Embankment from Road Ex</t>
  </si>
  <si>
    <t xml:space="preserve"> Item	Description	ABC	Unit	Qty. 	LINE BID			 1	BOND PAPER (LONG), 8 1/2" X 13” – SUBSTANCE 24/80 GSM, ULTRA WHITE, GLOSS	250,000.00	REAM	1,000 2	BOND PAPER (SHORT) 8 1/2" X 11” – SUBSTANCE 24/80 GSM, ULTRA WHITE, GLOSS	1,320,000.00	REAM	6,000</t>
  </si>
  <si>
    <t xml:space="preserve"> Item	Description	ABC	Unit	Qty. 	LOT BID			 1	ADMIN. SET FOR INFUSION PUMP (20 DROPS/ML)	2,100,000.00	PCS	35,000 2	ADMIN. SET FOR INFUSION PUMP (60 DROPS/ML)	1,800,000.00	PCS	30,000 3	IV CANNULA G18 WITH SAFETY LOCK WITH INJECTION PORT, LUER LOCK PLUG WITH</t>
  </si>
  <si>
    <t xml:space="preserve"> The Municipal Government of Aloguinsan invites prospective bidders to bid for the project Purchase and Delivery of 4x4 Multicab (Cargo Truck) " Surplus" Source of Fund: GEN. FUND FY 2020 ABC: Php 200,000.00 The complete schedule of activities will be as f</t>
  </si>
  <si>
    <t xml:space="preserve"> Item	Description	ABC	Unit	Qty. 	LINE BID			 1	EXAMINING GLOVES LARGE (100’S/BOX) LATEX/RUBBER FLEXIBLE POWDER FREE	1,125,000.00	BOX	2,500 2	EXAMINING GLOVES MEDIUM (100’S/BOX) LATEX/RUBBER FLEXIBLE POWDER FREE	1,574,100.00	BOX	3,498 3	EXAMINING GLOVES SMA</t>
  </si>
  <si>
    <t xml:space="preserve"> Item	Description	ABC	Unit	Qty. 	LINE BID			 1	NYLON 3-0 W/ NEEDLE 3/8 CURVE REVERSE CUTTING EDGE 26 MM, STAINLESS STEEL NEEDLE, SHARP, WELL POLISHED, STERILE	315,000.00	PCS	900 2	NYLON 4-0 CUTTING NEEDLE, STERILE	315,000.00	PCS	900 3	POLYGLACTIN/POLYGLYCO</t>
  </si>
  <si>
    <t xml:space="preserve"> REPUBLIC OF THE PHILIPPINES CITY GOVERNMENT OF OROQUIETA BIDS AND AWARD COMMITTEE City Hall, Oroquieta City                                                                                                                       July 20, 2020                </t>
  </si>
  <si>
    <t xml:space="preserve"> Item	Description	ABC	Unit 	Qty. 	LINE BID			 1	ALL PURPOSE POWDER SOAP	71,500.00	KILO	1,000 2	OXALIC POWDER, STAIN REMOVER	42,000.00	KILO	600 3	GLASS CLEANER	42,432.00	GALLON	16 4	INSECTICIDE SPRAY, 500 ML/CAN	25,342.24	CAN	68 5	LIQUID FLOOR WAX, WHITE, C</t>
  </si>
  <si>
    <t xml:space="preserve"> 1.	900	reams	GROUNDWOOD, Short, subs. 18 2.	300	reams	MIMEO PAPER, Whitewove, short, subs. 18 3.	300	reams	BOOK PAPER, short, subs. 20 4.	240	reams	BOOK PAPER, long, subs. 20 5.	75	reams	COUPON BOND, Colored, short, subs. 16 (PINK) 6.	75	reams	COUPON BOND</t>
  </si>
  <si>
    <t xml:space="preserve"> INVITATION TO BID FOR Supply, Delivery of Materials for Relocation of Water Meter, Hydrant and Pipe affected by DPWH Road Widening Project 1.	The Calabanga Water District, through the Corporate Budget of 2020 intends to apply the sum of P1,724,879.12 bein</t>
  </si>
  <si>
    <t xml:space="preserve"> Republic of the Philippines Province of South Cotabato BIDS AND AWARDS COMMITTEE Capitol Compound Alunan Avenue, Koronadal City Tel. Fax No.: (083) 228-9951/228-8570 RE-INVITATION TO BID FOR THE SUPPLY AND DELIVERY OF VARIOUS DRUGS &amp; MEDICINES 1.  The PRO</t>
  </si>
  <si>
    <t xml:space="preserve"> Installation of Internally Illuminated (Solar) Pavement Levelled marker/Studs Flush Type</t>
  </si>
  <si>
    <t xml:space="preserve"> Item	Description	ABC	Unit 	Qty. 	LINE BID			 1	NATURAL CITRUS OIL 100%, HIGHLY CONCENTRATED DEODORIZER, CLEANER, DEGREASER	927,000.00	GAL	100 2	BROAD SPECTRUM CLEANER, DISINFECTANT, BIODEGRADABLE	365,080.00	GAL	100 3	ORGANIC ODOR SUPRESSANT &amp; AIR FRESHENE</t>
  </si>
  <si>
    <t xml:space="preserve"> REQUEST FOR EXPRESSION OF INTEREST FOR CONSULTANCY SERVICES FOR THE CONDUCT OF A REGULATORY AUDIT OF SUBIC WATER AND SEWERAGE CO. (“SUBICWATER”) FOR WATER SUPPLY RATE ADJUSTMENTS [SBMA-BAC-CONS-RFEI-20-02] 1.	The Subic Bay Metropolitan Authority (SBMA) th</t>
  </si>
  <si>
    <t xml:space="preserve"> Item	-Description-	ABC-	Unit-	Qty. 	LOT BID			 1	OXYGEN TANK (MEDICAL OXYGEN 1800 PSI) 99% 02, UNIFORMED CYLINDER SIZE 6 CU. M	-5,520,000.00	-TANK	-24,000 TERMS OF REFERENCE •	Cylinders are free of use. •	Cylinder Pressure: At least 1,800 PSI •	Oxygen Pur</t>
  </si>
  <si>
    <t xml:space="preserve"> Item -	Description	-ABC	-Unit	-Qty. 	LOT BID			 1	ONE YEAR OUTSOURCING OF SECURITY SERVICES	-16,700,000.00-	LOT-	1 TERMS OF REFERENCE SECURITY SERVICES Corazon Locsin Montelibano Memorial Regional Hospital (CLMMRH) is looking for a provider of security se</t>
  </si>
  <si>
    <t xml:space="preserve"> The DPWH-Regional Office I, through its Bids and Awards Committee (BAC), invites contractors to submit bids for the following Contract: Contract ID: 20A00213 Contract Name: Concreting of Farm to Market Road, Brgy. Tangaoan, Piddig, Ilocos Norte Brief Desc</t>
  </si>
  <si>
    <t xml:space="preserve"> Item-	Description	-ABC	-Unit	-Qty. 	LOT BID			 1.	WIRELESS RETROFIT DIRECT RADIOGRAPHY SYSTEM WITH PACS AND RIS	-12,000,000.00	-LOT	-1 TERMS OF REFERENCE   Project Title: ONE (1) LOT WIRELESS RETROFIT DIRECT 	RADIOGRAPHY SYSTEM WITH PACS AND RIS  ABC: Twe</t>
  </si>
  <si>
    <t xml:space="preserve"> 1.	The Municipality of Esperanza, intends to apply the sum of One Million Seven Hundred Thousand Pesos Only (Php1,700,000.00) being the Approved Budget for the Contract (ABC) to payments under the contract for Supply and Delivery of Diesel Generator Set u</t>
  </si>
  <si>
    <t xml:space="preserve"> Amount of Bid Docs 1,000.00 To all suppliers/Contractors Bid Documents are available at BAC Office on July 29, 2020 Please qoute your Lowest Price; Item No. Description Quantity Unit I Site Works 1.00 lot II Form works &amp; Scaffolding 1.00 lot  III Masonry </t>
  </si>
  <si>
    <t xml:space="preserve"> INVITATION TO REBID FOR THE PROCUREMENT OF SUPPLY &amp; DELIVERY OF 56 HEADS CARACOWS (TYPHOON URSULA)     1.	The Department of Agriculture Regional Field Office 6 through the General Appropriations Act (GAA) of 2020 intends to apply the sum of Two Million Fo</t>
  </si>
  <si>
    <t xml:space="preserve"> The DPWH-Regional Office I, through its Bids and Awards Committee (BAC), invites contractors to submit bids for the following Contract: Contract ID: 20A00217 Contract Name: Rehabilitation/ Reconstruction of Roads with Slips, Slope Collapse,and Landslide -</t>
  </si>
  <si>
    <t xml:space="preserve"> PROCUREMENT OF ONE (1) UNIT BRAND NEW MINI DUMP TRUCK APPROVED BUDGET FOR THE CONTRACT: PHP 3,000,000.00 RECEIPT AND OPENING OF BIDS WILL BE ON AUGUST 10, 2020 10:00 AM AT BAC OFFICE, MUNICIPAL GYMNASIUM, SIBUCO, ZAMBOANGA DEL NORTE. LATE BIDS WILL AUTOMA</t>
  </si>
  <si>
    <t xml:space="preserve"> The DPWH-Regional Office I, through its Bids and Awards Committee (BAC), invites contractors to submit bids for the following Contract: Contract ID: 20A00212 Contract Name: Concreting of Farm to Market Road, Brgy. Boyboy, Piddig, Ilocos Norte Brief Descri</t>
  </si>
  <si>
    <t xml:space="preserve"> Item	Description	ABC	Unit 	Qty 	LOT BID			 1	RICE (WHITE SPECIAL RICE 50KG PER SACK)	-1,381,380.00-	SACK-	546 TERMS OF REFERENCE   RICE (WHITE RICE) General Requirements: •	Updated Government Permits: o	Business Permit o	Sanitary Permit o	Health Permits o</t>
  </si>
  <si>
    <t xml:space="preserve"> The DPWH-Regional Office I, through its Bids and Awards Committee (BAC), invites contractors to submit bids for the following Contract: Contract ID: 20A00215 Contract Name: Rehabilitation/ Reconstruction of Roads with Slips, Slope Collapse, and Landslide </t>
  </si>
  <si>
    <t xml:space="preserve"> COMPLETION OF MUNICIPAL BUILDING APPROVED BUDGET FOR THE CONTRACT: PHP 1,500,000.00 RECEIPT AND OPENING OF BIDS WILL BE ON AUGUST 10, 2020 10:00 AM AT BAC OFFICE, MUNICIPAL GYMNASIUM, SIBUCO, Zamboanga Del Norte. LATE BIDS WILL AUTOMATICALLY REJECTED.</t>
  </si>
  <si>
    <t xml:space="preserve"> PROCUREMENT OF TWO (2) UNITS BRAND NEW MOTORCYCLES (125CC), TWO (2) UNITS BRAND NEW MOTORCYCLES-SCOOTER (155CC), TWO (2) UNITS BRAND NEW BOM (125CC) AND ONE (1) UNIT BRAND NEW MOTORCYCLE (150CC). APPROVED BUDGET FOR THE CONTRACT: PHP 750,000.00 RECEIPT AN</t>
  </si>
  <si>
    <t xml:space="preserve"> 1.	The Department of Information and Communications Technology (DICT), through the  “GAA”  intends to apply the sum of Two Million Seven Hundred Thousand Pesos (PhP2,700,000.00) being the Approved Budget for the Contract (ABC) to payments under the contra</t>
  </si>
  <si>
    <t xml:space="preserve"> TIGLAWIGAN ELEMENTARY SCHOOL IS INVITING BIDDERS TO BID FOR THE REPLACEMENT OF WATER TANK AMOUNTING OF 7,000.00</t>
  </si>
  <si>
    <t xml:space="preserve"> PROCUREMENT OF TWO (2) UNITS BRAND NEW PICK-UP TRUCK VEHICLES, ONE (1) UNIT BRAND NEW SUV AND ONE (1) UNIT BRAND MUV APPROVED BUDGET FOR THE CONTRACT: PHP 6,450,000.00 RECEIPT AND OPENING OF BIDS WILL BE ON AUGUST 10, 2020 10:00 AM AT BAC OFFICE, MUNICIPA</t>
  </si>
  <si>
    <t xml:space="preserve"> JULY 20, 2020 FER-2020-020 1.	The LOCAL GOVERNMENT UNIT OF FERROL, ROMBLON, through the 20% DEVELOPMENT FUND intends to apply the sum of ONE MILLION FOUR HUNDRED SIXTY-FIVE THOUSAND TWO HUNDRED FIFTY PESOS (PHP 1,465,250.00) being the Approved Budget for </t>
  </si>
  <si>
    <t xml:space="preserve"> INVITATION TO BID 1.	The Bangko Sentral ng Pilipinas (BSP), through its Bids and Awards Committee-Security Plant Complex (BAC-SPC), invites Bidders to apply for eligibility and to bid for the hereunder requirements: Name of Requirement/Brief Description	A</t>
  </si>
  <si>
    <t xml:space="preserve"> The Department of National Defense through the AFP Modernization Act Trust Fund intends to apply the sum of Two Hundred Fifty Million Pesos (PhP250,000,000.00) being the Approved Budget for the Contract (ABC) to payment under the AFP Basing Support System</t>
  </si>
  <si>
    <t xml:space="preserve"> INVITATION TO BID FOR THE CONSTRUCTION OF MULTI-PURPOSE COVERED COURT (PHASE 1) AT MUNTINLUPA ELEMENTARY SCHOOL, BRGY. POBLACION, MUNTINLUPA CITY 1.	The City Government of Muntinlupa, through its duly-approved Local School Board Budget for 2020 intends to</t>
  </si>
  <si>
    <t xml:space="preserve"> INVITATION TO BID FOR THE CONSTRUCTION OF ROAD AND DRAINAGE SYSTEM AT SOUTH GREENHEIGHTS, BRGY. PUTATAN, MUNTINLUPA CITY 1.	The City Government of Muntinlupa, through its duly-approved Executive Budget for 2020 intends to apply the sum of Two Million Five</t>
  </si>
  <si>
    <t xml:space="preserve"> Facilities for Engineers: 2 months  Provision of Combined Field Office, Laboratory and Living Quarters Building for the Engineer                  (Rental Basis) Other General Requirements: 1  L.S.       Miscellaneous Survey and Staking 2  each      Projec</t>
  </si>
  <si>
    <t xml:space="preserve"> INVITATION TO BID FOR THE SUPPLY, DELIVERY &amp; INSTALLATION OF AIRCONDITIONERS FOR VARIOUS HEALTH FACILITIES IN MUNTINLUPA CITY  1.	The City Government of Muntinlupa, through its duly-approved Executive Budget for 2020 intends to apply the sum of Two Millio</t>
  </si>
  <si>
    <t xml:space="preserve"> INVITATION TO BID FOR THE RENT OF PRINTER WITH CONTINUOUS INK TO BE USED AT OSPITAL NG MUNTINLUPA (*RE-POSTED) 1.	The City Government of Muntinlupa, through its duly-approved Executive Budget for 2020  intends to apply the sum of One Million Five Hundred </t>
  </si>
  <si>
    <t xml:space="preserve"> Net Length: 165.00 Linear Meters Location : Brgy. Pance, Ramos, Tarlac Note: Please refer to the Program of Works for further details.</t>
  </si>
  <si>
    <t xml:space="preserve"> Republic of the Philippines NATIONAL FOOD AUTHORITY REGIONAL OFFICE BARMM Bangsamoro Peoples Complex, Cotabato City  Tel No (064)421-2407/ Fax No. 421-2128 Website Address:www.nfa.gov.ph/E-mail Address: armm@nfa.gov.ph INVITATION TO BID  REBIDDING FOR THE</t>
  </si>
  <si>
    <t xml:space="preserve"> Republic of the Philippines Department of Education Schools Division of Roxas City Brgy. Banica, Roxas City INVITATION TO BID The Department of Education (DepEd) Division of Roxas City, through the CY 2020 Quick Response Fund (QRF), intends to apply the s</t>
  </si>
  <si>
    <t xml:space="preserve"> 1.	The Municipality of Esperanza, intends to apply the sum of Nine Hundred Seventy Two Thousand Pesos Only (Php972,000.00) being the Approved Budget for the Contract (ABC) to payments under the contract for Supply and Delivery of Pre &amp; Post Chlorine Dosin</t>
  </si>
  <si>
    <t xml:space="preserve"> Item	Description	ABC	Unit 	Qty. 	LINE BID			 1	ALLIS CLAMP, 6”, STAINLESS STEEL AISI 400 SERIES	168,000.00	PCS	24 2	ALLIS CLAMP, 8 ¾”, STAINLESS STEEL AISI 400 SERIES	121,200.00	PCS	12 3	BLADE HOLDER, 8 ¼, #3 LONG, 400 STAINLESS SERIES	27,000.00	PCS	6 4	B</t>
  </si>
  <si>
    <t xml:space="preserve"> REPUBLIC OF THE PHILIPPINES Province of CEBU MUNICIPALITY OF PINAMUNGAJAN INVITATION TO BID FOR : PROGRAMS, PROJECTS AND ACTIVITIES TO ADDRESS THE CORONA VIRUS DISEASE 2019 (COVID 19) SITUATION, FOOD, ASSISTANCE AND RELIEF GOODS FOR THE AFFECTED HOUSEHOLD</t>
  </si>
  <si>
    <t xml:space="preserve"> Republic of the Philippines										 BIDS AND AWARDS COMMITTEE										 Baguio City										 (074) 300-6537/ (074)442-8795										 BID FORM										 CP No. 2020-48 Bidding									July 17, 2020	 Circular Proposal No.									Date Prepared	 									</t>
  </si>
  <si>
    <t xml:space="preserve"> Item	Description	ABC	Unit	Qty. 1	DEFIBRILLATOR	3,750,000.00	UNIT	5 	Features: 	Must be not more than 200 Joules with pulsed bi-phasic 	With selectable energy levels: 2, 4, 15, 30, 50, 70, 90, 120 	Not more than 6” Monitor as compact defibrillator 	Can</t>
  </si>
  <si>
    <t xml:space="preserve"> Republic of the Philippines										 BIDS AND AWARDS COMMITTEE										 Baguio City										 (074) 300-6537/ (074)442-8795										 BID FORM										 CP No. 2020-47 Bidding									July 17, 2020	 Circular Proposal No.									Date Prepared	 									</t>
  </si>
  <si>
    <t xml:space="preserve"> Republic of the Philippines										 BIDS AND AWARDS COMMITTEE										 Baguio City										 (074) 300-6537/ (074)442-8795										 BID FORM										 CP No. 2020-46 Bidding									July 17, 2020	 Circular Proposal No.									Date Prepared	 									</t>
  </si>
  <si>
    <t xml:space="preserve"> Item	Description	ABC	Unit 	Qty. 	LINE BID			 1	6 HOLE 1/3 TUBULAR PLATE	44,000.00	PCS	20 2	7 HOLE 1/3 TUBULAR PLATE	60,000.00	PCS	20 3	7 HOLE L-PLATE LEFT TIBIA	24,000.00	PCS	6 4	CORTEX SCREW, 3.5MM X 14MM	11,000.00	PCS	50 5	CORTEX SCREW, 3.5MM X 16MM	66,</t>
  </si>
  <si>
    <t xml:space="preserve"> Item	Description	ABC	Unit 	Qty. 	LINE BID			 1	CRESCENT (OPHTHALMIC SURGICAL CRESCENT (BLADES BETWEEN 2.5MM TO 2.75 MM)	150,000.00	PCS	150 2	KERATOME (OPHTHALMIC KERATOME BLADES, SLIT BLADES ANGLED WITH HANDLE 2.2MM)	120,000.00	PCS	120 3	OPHTHALMIC SOLUTI</t>
  </si>
  <si>
    <t xml:space="preserve"> 1.	The Philippine Science High School Southern Mindanao Campus, through its approved budget allocation for capital outlay under FY 2020 General Appropriation Act (GAA) intends to apply the sum of Thirteen Million Two Hundred Thousand Pesos (P 13,200,000.0</t>
  </si>
  <si>
    <t xml:space="preserve"> INVITATION TO BID THE BARANGAY LANGKONG THROUGH ITS BIDS AND AWARDS COMMITTEE (BAC) INVITES PHILGEPS REGISTERED SUPPLIER TO APPLY TO BID FOR THE SUPPLY AND DELIVERY OF VARIOUS MATERIALS FOR ROAD REHABILITATION. Diesel Fuel Engine Oil Quarry Toll Fee</t>
  </si>
  <si>
    <t xml:space="preserve"> Item	Description	ABC	Unit 	Qty. 	LINE BID			 1	INTERLOCKING NAIL ORIGINAL 8MM X 32CM TIBIA	100,000.00	PCS	5 2	INTERLOCKING NAIL ORIGINAL 8MM X 34CM FEMUR	100,000.00	PCS	5 3	INTERLOCKING NAIL ORIGINAL 8MM X 36CM FEMUR	100,000.00	PCS	5 4	INTERLOCKING NAIL O</t>
  </si>
  <si>
    <t xml:space="preserve"> Item	Description	ABC	Unit 	Qty. 	LOT BID			 1	BACTERIAL/ VIRAL FILTER (BACTERIAL FILTRATION EFFICIENCY: 99.999+%)	3,000,000.00	PCS	10,000 2	BIPAP/CPAP MASK LARGE	84,000.00	PCS	20 3	BIPAP/CPAP MASK MEDIUM	840,000.00	PCS	200 4	BIPAP/CPAP MASK SMALL	84,000.0</t>
  </si>
  <si>
    <t xml:space="preserve"> Procurement of supply and delivery of Laboratory Supplies 2	box	Rubber band, heat resistant (1000pc/box) 20	box	Rubber band, regular, colored (1000pc/box) 10	packs	Auto clave plastic bag (12x12x0.3 thin, 100pc/pack) 100	box	Rearing plastic boxes (12x9x4) </t>
  </si>
  <si>
    <t xml:space="preserve"> Item	Description	ABC	Unit	Qty. 	LOT BID			 1	REAGENTS FOR HPLC HEMOGLOBIN A1C EXAMINATION WITH CONTROL CALIBRATORS, SAMPLE CUPS, FILTER, COLUMN, THERMAL PAPER &amp; OTHER ACCESSORIES	1,000,000.00	SET	2,500 	TERMS OF REFERENCE FOR PROCUREMENT OF HEMOGLOBIN A1c</t>
  </si>
  <si>
    <t xml:space="preserve"> Item	Description	ABC	Unit	Qty. 	LOT BID			 1	REAGENTS/SUPPLIES FOR AUTOMATED URINE SEDIMENT ANALYSER WITH AUTOMATED URINE CHEMISTRY ANALYSER GOOD FOR 30,240 TESTS WHICH WILL INCLUDE REPORTABLE TEST, CONTROL RUNS AND REPETITIONS	1,800,000.00	SET	1 	TERMS O</t>
  </si>
  <si>
    <t xml:space="preserve"> Location : Brgy. Coral, Ramos, Tarlac Roadbed Width : 5.00 Meters Pavement Width : 4.00 Meters Net Length : 450 Linear Meters</t>
  </si>
  <si>
    <t xml:space="preserve"> Procurement of supply and delivery of NSIC Approved Genetically Modified Hybrid Yellow Corn Seeds 137	bag	NSIC Approved Genetically Modified Hybrid Yellow Corn Seeds @ 9kg per bag 		•	NSIC Approved Variety not earlier than Year 2011 and recommended for Vi</t>
  </si>
  <si>
    <t xml:space="preserve"> The Municipal Government of Atok, Benguet now invites bids for MDRRMF CLUSTER 5-2020 PROJECTS AT PAOAY, ATOK, BENGUET with the following Clustered Projects: 1.	REPAIR AND MAINTENANCE OF MUNICIPAL DISASTER RISK REDUCTION MANAGEMENT (MDRRM) BUILDING WITH AN</t>
  </si>
  <si>
    <t xml:space="preserve"> Section I. Invitation to Bid Republic of the Philippines PROVINCE OF CAGAYAN Municipality of Peñablanca PROVINCIAL BIDS AND AWARDS COMMITTEE INVITATION TO BID FOR   Supply and Delivery of One (1) Unit 11 Footer Light Truck, Single Cab, Drop Side  1.	The P</t>
  </si>
  <si>
    <t xml:space="preserve"> Item	Description	ABC	Unit	Qty. 	LINE BID			 1	DISTILLED WATER, 4 LITERS	600.00	BOTTLE	6 2	LUGOL’S IODINE SOLUTION, 250 ML	980.00	BOTTLE	2 3	PREGNANCY TEST KIT DUO (URINE &amp; SERUM)	288,000.00	PCS	3,600 4	URINE STRIP (10 PARAMETERS), 100 STRIPS/BOTTLE	136,80</t>
  </si>
  <si>
    <t xml:space="preserve"> SCOPE OF WORKS: B.5	Project Billboard &amp; Signboard	2.00	each B.7	Occupational Safety and Health Program	3.00	each		 801(1)	Removal of Strucrures &amp; Obstructions	1.00	ls	 803(1)a	Structure Excavtion, Common Soil	8.00	cu.m. 804(1)	Earth Fill	3.00	cu.m.		 1047</t>
  </si>
  <si>
    <t xml:space="preserve"> Item	Description	ABC	Unit	Qty. 	LINE BID			 1	COVER GLASS (24 X 50 MM OPTICALLY CLEAR) 100’S/BOX	600.00	BOX	3 2	COVER GLASS (24 X 60 MM OPTICALLY CLEAR) 100’S/BOX	15,000.00	BOX	75 3	CRYOGEL 120 ML/BOTTLE	3,000.00	BOTTLE	3 4	CRYOSPRAY AT LEAST 10 OZ PER CA</t>
  </si>
  <si>
    <t xml:space="preserve"> Item	Description	ABC	Unit	Qty. 	LOT BID			 1	CD 20 (50 TESTS/PACK)	36,000.00	PACKS	1 2	CD3 (50 TESTS/PACK)	35,000.00	PACKS	1 3	CD45 (50 TESTS)	35,000.00	PACKS	1 4	CK20 (50 TESTS/PACK)	36,000.00	PACKS	1 5	CK7 (50 TESTS/PACK)	36,000.00	PACKS	1 6	DESMIN (50 </t>
  </si>
  <si>
    <t xml:space="preserve"> Item	Description	ABC	Unit	Qty. 	LINE BID			 1	AUTOPSY APRON (PLASTIC, UP TO KNEE)	7,500.00	PCS	30 2	AUTOPSY SAW BLADE/CUTTER BLADE MOPEC BD. 101	25,000.00	SET	1 3	DIAMOND PEN (STAINLESS)	3,690.00	PCS	1 4	ELBOW LENGTH GLOVES, SIZE 7	4,500.00	PCS	30 5	EYE W</t>
  </si>
  <si>
    <t xml:space="preserve"> Item	Description	ABC	Unit	Qty. 	LOT BID			 1	HEP2 ANA (IFA) 10 X 6 WELLS) 60 TESTS/KIT	45,000.00	KIT	1 	TERMS OF REFERENCE FOR PROCUREMENT OF REAGENTS AND RELATED SUPPLIES FOR INDIRECT IMMUNOFLUORESCENT MICROSCOPY FOR THE DETECTION OF ANTI-NUCLEAR ANTIBOD</t>
  </si>
  <si>
    <t xml:space="preserve"> Item	Description	ABC	Unit 	Qty. 	LINE BID			 1	BACTO AGAR 500 GRAMS	        4,400.00 	BOTTLE	1 2	BILE ESCULIN AGAR, 500G	        4,794.05 	BOTTLE	1 3	CARY-BLAIR MEDIUM AGAR 500 GRAMS	        7,900.00 	BOTTLE	1 4	DNASE AGAR 500 GRAMS	      16,500.00 	BOTTL</t>
  </si>
  <si>
    <t xml:space="preserve"> Item	Description	ABC	Unit	Qty. 	LOT BID			 1	GRAM NEGATIVE ID CARD	102,000.00	PCS	240 2	GRAM NEGATIVE SUSCEPTIBILITY CARD	102,000.00	PCS	240 3	MUELLER HINTON AGAR II WITH SHEEPS BLOOD (COMMERCIALLY PREPARED)	15,750.00	PCS	150 4	TSA WITH 5% SHEEPS BLOOD (C</t>
  </si>
  <si>
    <t xml:space="preserve"> Item	Description	ABC	Unit	Qty. 	LOT BID			 1	RIFAMPICIN 5 UG, 50 DISKS/CART	1,500.00	CART	5 2	NITROFURANTOIN 300 UG, 50 DISKS/CART	600.00	CART	2 3	MEROPENEM 10 UG, 50 DISKS/CART	3,500.00	CART	10 4	IMIPENEM 10 UG, 50 DISKS/CART	3,250.00	CART	10 5	LINEZOLID</t>
  </si>
  <si>
    <t xml:space="preserve"> Item	Description	ABC	Unit	Qty. 	LOT BID			 1	10X EZ PREP SOLUTION AT LEAST 1 L/BOTTLE	32,000.00	BOTTLE	1 2	3M STICKER LABELS (EBAR LABEL 5 ROLLS X 500 LABELS/PACK	1,000.00	PACKS	1 3	CELL CONDITIONING SOLUTION CC1 (630 TESTS/PACK)	41,000.00	PACKS	1 4	DAB C</t>
  </si>
  <si>
    <t xml:space="preserve"> Item	Description	ABC	Unit	Qty. 1	AMBULANCE WITH ADVANCE LIFE SUPPORT	5,000,000.00	UNIT	2 	TERMS OF REFERENCE 1.	Name of Project – Supply, Delivery, Testing and Commissioning of Brand New AMBULANCE (Type 1) (as of 14 October 2019) 2.	Technical Specificatio</t>
  </si>
  <si>
    <t xml:space="preserve"> Item	Description	ABC	Unit	Qty. 	LOT BID			 1	COMBO TEST FOR HBV, HCV AND HIV (NAT) 96 TEST/KIT	920,000.00	KIT	10 	TERMS OF REFERENCE FOR PROCUREMENT OF REAGENTS AND RELATED SUPPLIES FOR TTI TESTING BY NAT THIS IS LOT BID The supplier awarded to supply the</t>
  </si>
  <si>
    <t xml:space="preserve"> SCOPE OF WORKS: B.5	Project Billboard &amp; Signboard	2.00	each B-7.1	Occupational Safety and Health Program	3.00	mo.		 101(2)	Removal of Stone Masonry Headwall	2.09	ln.m. 103(1)a	Structure Excavation (Common Soil, RCPC)	39.26	cu.m. 104(1)a	Embankment from Ro</t>
  </si>
  <si>
    <t xml:space="preserve"> SCOPE OF WORKS: B.3	Project Billboard &amp; Sign Board	2.00	each B.7	Occupational Safety and Health Program	4.00	months	 801(1)	Removal of Structure &amp; Obstruction	1.00	l.s		 803(1)a	Structure Excavation, Common Soil	35.00	cu.m. 804(1)b	Embankment, from borrow</t>
  </si>
  <si>
    <t xml:space="preserve"> Item	Description	ABC	Unit	Quantity 	LINE BID			 1	ANTI-RABIES SERUM (EQUINE) 200IU/ML, 5ML VIAL (IM)	21,600.00	VIAL	20 2	BUPIVACAINE HYDROCHLORIDE 0.5%, 4ML AMPULE (HEAVY)	352,320.00	AMPULE	3,000 3	CALCIUM CARBONATE 500MG TABLET OR CHEWABLE TABLET (EQUIV </t>
  </si>
  <si>
    <t xml:space="preserve"> SCOPE OF WORKS: B.5	Project Billboard &amp; Signboard	2.00	each 101(2)	Removal of Stone Masonry Head Wall	2.49	cu.m. 101(2)a	Removal of RCPC (18 "mm dia.) 450 mm	5.00	ln.m. 103(1)a	Structure Excavation (Common Soil, RCPC)	16.08	cu.m. 104(2)	embankment from Bo</t>
  </si>
  <si>
    <t xml:space="preserve"> SCOPE OF WORKS: B.3	Project Billboard &amp; Sign Board	2.00	each B.7	Occupational Safety and Health Program	4.00	months 801(1)	Removal of Structure &amp; Obstruction	1.00	l.s 803(1)a	Structure Excavation, Common Soil	36.00	cu.m. 804(1)b	Embankment, from borrow	10</t>
  </si>
  <si>
    <t xml:space="preserve"> SCOPE OF WORKS: B.5	Project Billboard &amp; Signboard	1.00	each	 803(1)a	Structure Excavation , Common Soil	27.33	cu.m. 804(1)a	Structure Embankment from Structure Excavation	26.22	cu.m.	 903(1)	Formworks &amp; False Works	1.00	l.s 900(1)c1	Structural Concrete	63</t>
  </si>
  <si>
    <t xml:space="preserve"> Item	Description	ABC	Unit	Quantity 	LINE BID			 1	ACETYLCYSTEINE 600MG EFFERVESCENT TABLET	110,000.00	TABLET	5,000 2	ALBUMIN, HUMAN 20%, 50ML BOTTLE, (IV, IV INFUSION)	384,022.00	VIAL	200 3	ANTI-TETANUS SERUM (EQUINE) 1500”IU”/0.7ML SOLUTION FOR INJECTION</t>
  </si>
  <si>
    <t xml:space="preserve"> Item	Description	ABC	Unit	Qty. 	LOT BID			 1	ABO BLOOD GROUPING REAGENT (160 TEST/KIT)	2,475,000.00	KIT	150 2	ANTIBODY SCREENING REAGENT (192 TEST/KIT)	792,000.00	KIT	18 	TERMS OF REFERENCE FOR PROCUREMENT OF REAGENTS AND RELATED SUPPLIES FOR AUTOMATED BL</t>
  </si>
  <si>
    <t xml:space="preserve"> Item	Description	ABC	Unit	Quantity 	LINE BID			 1	BUTORPHANOL TARTRATE 2MG/ML, 1ML VIAL/AMPULE, (IM, IV)	436,220.00	PCS	1,000 2	DIAZEPAM 5MG/ML, 2ML AMPULE, (IM, IV)	142,848.00	AMPULE	1,800 3	EPHEDRINE SULFATE 50MG/ML, 1ML AMPULE (IM, IV)	91,500.00	AMPULE</t>
  </si>
  <si>
    <t xml:space="preserve"> Republic of the Philippines							 Province of Davao del Sur							 MUNICIPALITY OF MAGSAYSAY							 							 							 Project Title:	Repair and Rehabilitation of Magsaysay Halfway House Facility						 Location:	Municipal Health Center Site, Magsaysay, Dava</t>
  </si>
  <si>
    <t xml:space="preserve"> Republic of the Philippines							 Province of Davao del Sur							 MUNICIPALITY OF MAGSAYSAY							 							 							 Project Title:	"REPAIR OF BARAYONG BARANGAY HEALTH STATION  "						 Location:	Barayong, Magsaysay, Davao del Sur						 BHS Floor Area:		68</t>
  </si>
  <si>
    <t xml:space="preserve"> Republic of the Philippines							 Province of Davao del Sur							 MUNICIPALITY OF MAGSAYSAY							 							 							 Project Title:	Construction of Dalumay Barangay Health Station And IEC (Information Educational Communication &amp; Campaign Area) &amp; Construct</t>
  </si>
  <si>
    <t xml:space="preserve"> Republic of The Philippines  Province of Ilocos Sur Municipality of San Juan OFFICE OF THE BIDS AND AWARDS COMMITTEE INVITATION TO APPLY FOR ELIGIBILITY AND TO BID The Barangay Camindoroan,San JUan,Ilocos Sur through the Bids and Awards Committee(BAC)invi</t>
  </si>
  <si>
    <t xml:space="preserve"> Item	Description	ABC	Unit 	Quantity 	LINE BID			 1	ALLOPURINOL 300MG TABLET	300.00	TABLET	200 2	ATRACURIUM BESILATE 10MG/ML, 2.5ML AMPULE (IV)	172,660.00	AMPULE	2,000 3	AZATHIOPRINE 50MG TABLET	6,000.00	TABLET	200 4	CALCIUM CARBONATE 500MG TABLET OR CHEWA</t>
  </si>
  <si>
    <t xml:space="preserve"> Republic of the Philippines Province of Ilocos Sur Municipality of San Juan OFFICE OF THE BIDS AND AWARDS COMMITTEE INVITATION TO APPLY FOR ELIGIBILITY AND TO BID The Barangay Guimod Norte,San Juan, Ilocos Sur through the Bids and Awards Committee(BAC)inv</t>
  </si>
  <si>
    <t xml:space="preserve"> Republic of the Philippines							 Province of Davao del Sur							 MUNICIPALITY OF MAGSAYSAY							 							 							 Project Title:	"CONSTRUCTION OF MALONGON BARANGAY HEALTH STATION AND IEC (INFORMATION EDUCATIONALCOMMUNICATION AND CAMPAIGN AREA) AND CONS</t>
  </si>
  <si>
    <t xml:space="preserve"> Please see attached for details or you may visit the DND website at: https://www.dnd.gov.ph/transparency/procurement/dnd-properbids-and-awards-committee.html</t>
  </si>
  <si>
    <t xml:space="preserve"> 15 pcs Marcelo wire 4 x 8 15 pcs Angle Bar 1/2 x 2 10 kls Welding Rod 14 pcs G.I. Pipe #1 30 pcs Cutting Disk 2 Gal Metal Primer 3 Gal Paint Thinner 2 Tin Q.D.E. 2 pcs Paint Brush 4 Set Paint Roller 13 pcs Marine Plywood 3/4 x 4 x 8 4 kls Assorted Nail 1 </t>
  </si>
  <si>
    <t xml:space="preserve"> Procurement of Internet Service Provider (ISP) for the Benguet State University, La Trinidad Campus, La Trinidad, Benguet LOT 1. Procurement of ISP for BSU Students  ABC Php 1, 200,000.00  Contract Duration :One year   A. Technical Specifications and Requ</t>
  </si>
  <si>
    <t xml:space="preserve"> Purchase of Materials for the repair of 3 Door WatSan Comfort Room...</t>
  </si>
  <si>
    <t xml:space="preserve"> Purchase of construction supplies use to repair and renovate water system facilities...</t>
  </si>
  <si>
    <t xml:space="preserve"> Republic of the Philippines DEPARTMENT OF PUBLIC WORKS AND HIGHWAYS CAMARINES NORTE DISTRICT ENGINEERING OFFICE REGIONAL OFFICE V Daet, Camarines Norte INVITATION TO BID The Department of Public Works and Highways Camarines Norte District Engineering Offi</t>
  </si>
  <si>
    <t xml:space="preserve"> Item	Description	ABC	Unit	Quantity 	LINE BID			 1	0.9% SODIUM CHLORIDE SOLUTION 1L BOTTLE OR BAG (IV INFUSION)	1,330,000.00	PCS	35,000 2	10% DEXTROSE IN WATER 500CC BOTTLE OR BAG (IV INFUSION)	12,870.00	PCS	300 3	5% DEXTROSE IN 0.3% SODIUM CHLORIDE 500ML </t>
  </si>
  <si>
    <t xml:space="preserve"> The Local Government Unit of Science City of Muñoz, through the 2020 Development Fund, intends to apply the sum of Eight Million Pesos (Php 8,000,000.00) being the Approved Budget for the Contract (ABC) to payments under the contract for Development and B</t>
  </si>
  <si>
    <t xml:space="preserve"> Repair of Chilled and Condenser Water Piping System for the  Air Handling Units at the Cash Department, Multi-Storey  Building, BSP Head Office, as per BSP Terms of Reference Please see Invitation to Bid and Pertinent Bid Docs</t>
  </si>
  <si>
    <t xml:space="preserve"> July 14, 2020 INVITATION TO BID  The Department of Public Works and Highways, Mindoro Occidental District Engineering Office, Mamburao, Occidental Mindoro, through its Bids and Award Committee (BAC), invites contractors to submit bids for the following Co</t>
  </si>
  <si>
    <t xml:space="preserve"> SCOPE OF WORKS: B.3	Project Billboard &amp; Sign Board	2.00	each B.7	Occupational Safety and Health Program	4.00	months		 801(1)	Removal of Structure &amp; Obstruction	1.00	l.s	 803(1)a	Structure Excavation, Common Soil	30.00	cu.m. 804(1)b	Embankment, from borrow</t>
  </si>
  <si>
    <t xml:space="preserve"> Republic of the Philippines  Province of Samar Municipality of Sto. Niño  Invitation to Bid for the Concreting of FMR/ Local Road (Upgrading) Improvement of Zamora St., Acilo St. (Portion only) and Concrete Alley. 1.	The Municipality of Sto. Niño, Samar, </t>
  </si>
  <si>
    <t xml:space="preserve"> The Department of Agriculture-RFO 3, invites interested suppliers/ bidders to submit bid proposal(s) for the hereunder requirement, to wit: 1 unit LNP 40 Liquid Nitrogen Plant – Water Cooled System  Complete Fully Functional Liquid Nitrogen Plants 40 Lite</t>
  </si>
  <si>
    <t xml:space="preserve"> Sets 	Amglobe #10	40 Boxes 	THHN wire #12	12 Pcs.	3U Bulb firefly	100 Pcs.	G.I. pipe #2 sched 40	15 Bags	Portland Cement	20 Cu. M.	Sand S1	2 Cu. M.	Gravel ¾	2 Pcs.	Hacksaw Blade	2 Gal. 	Red Oxide Primer	1 Gal. 	QDE Green	1 Gal. 	Elastomeric Paint	2 Gal. 	</t>
  </si>
  <si>
    <t xml:space="preserve"> INVITATION TO BID FOR PROCUREMENT AND DELIVERY OF INSECTICIDES, CHEMICALS AND LONG LASTING INSECTICIDE NETS FOR CY 2020 1.The DOH-CHD I through the GOP CY 2020 intends to apply the sums being the Approved Budget for the Contract (ABC) to payments under th</t>
  </si>
  <si>
    <t xml:space="preserve"> Item	Description	ABC	Unit 	Qty. 	LINE BID			 1	ADM. SET (MACROSET) WITH Y PORT &amp; SAFETY LOCK (1ML=20 DROPS/ 1 DROP=0.05ML)	472,500.00	SET	13,500 2	ADM. SET (MICROSET) WITH Y PORT &amp; SAFETY LOCK (1ML=60DROPS/ 1 DROP=0.016ML)	315,000.00	SET	9,000 3	CARBON DI</t>
  </si>
  <si>
    <t xml:space="preserve"> The Department of Agriculture-RFO 3, invites interested suppliers/ bidders to submit bid proposal(s) for the hereunder requirement, to wit: 4,000 SACHETS FALL ARMY-LURE (PHEROMONE LURE) 5pcs. Silicon rubber/sachet Composition: (Z)-9-Tetradecenyl Acetate 7</t>
  </si>
  <si>
    <t xml:space="preserve"> DESCRIPTION PROCUREMENT AND DELIVERY OF 816 BAGS OF GM HYBRID YELLOW CORN SEEDS FOR LOW ELEVATION CORN AREAS @ 9KG/ BAG LOT  NO.	DESCRIPTION	QTY (bags) 1	GM Hybrid Yellow Corn Seeds for Low Elevation Corn Areas of Davao City @ 9 kilograms/ bag 	350      2</t>
  </si>
  <si>
    <t xml:space="preserve"> Invitation to Bid for the Supply and Delivery of Branded and Brand New Printers and Consumables 1 Lot The Philippine Fiber Industry Development Authority (PhilFIDA), through the Republic Act No. 11465 GAA FY 2020 Fund intends to apply the sum of Two Milli</t>
  </si>
  <si>
    <t xml:space="preserve"> Republic of the Philippines Department of Finance  PRIVATIZATION AND MANAGEMENT OFFICE 104 Gamboa Street, Legaspi Village, Makati City 1229 			 INVITATION TO BID PROVISION OF MANPOWER SERVICES (Clerk, Housekeeping, Driver/Messenger, and Messenger) PMO 01-</t>
  </si>
  <si>
    <t xml:space="preserve"> Poro Point Management Corporation INVITATION TO BID FOR THE CONTRACT FOR THE SUPPLY AND DELIVERY OF ONE (1) UNIT BRAND NEW PASSENGER VAN AND ONE (1) UNIT BRAND NEW ASIAN UTILITY VEHICLE/CROSSOVER 1. The Poro Point Management Corporation, through the Corpo</t>
  </si>
  <si>
    <t xml:space="preserve"> (PLEASE SEE ATTACHED FILES)</t>
  </si>
  <si>
    <t xml:space="preserve"> I	34.75	Cu.m. Clearing, Excavation and Backfilling 	 II	1               lot      Demolition Works 	  III	15	        Cu.m.  Reinforced Concrete Works	 IV	78	        Sq.m.  Masonry Works	 V	158	        Sq.m.  Roof &amp; Roof Framing 	 VI	158	        Sq.m  Ceili</t>
  </si>
  <si>
    <t xml:space="preserve"> The Department of Agriculture-RFO 3, invites interested suppliers/ bidders to submit bid proposal(s) for the hereunder requirement, to wit: Hybrid Yellow Corn Seeds Bt/Gt 9 kg/bag (35,000 kernels/bag) 230 bags  NSIC 2016 GMCn 41	          	 562 bags  NSIC</t>
  </si>
  <si>
    <t xml:space="preserve"> DESCRIPTION Upgraded Native Chicken – Cluster 1 (SAAD) Cluster 1 – Compostela, New Bataan, Montevista &amp; Nabunturan Male (Cockerel)  1480 Female (Pullets) 4440 8 Birds per beneficiary – 2:6 (2 male and 6 female) COVERED BARANGAY: Delivery Site BARANGAY    </t>
  </si>
  <si>
    <t xml:space="preserve"> SEE ATTACH FILE</t>
  </si>
  <si>
    <t xml:space="preserve"> 168 BAGS PORTLAND CEMENT 20 CU.M. COARSE AGGREGATES 9 CU.M. FINE AGGREGATES 9 CU.M. AGGREGATE BASE COURSE 2KLS. #16 TIE WIRE 60PCS. 10MM RSB 1 LS FORMWORKS  INCLUDES: LABOR COST                    RENTAL EQUIPMENT</t>
  </si>
  <si>
    <t xml:space="preserve"> INVITATION TO BID GS 2020-007-024 FABRICATION AND SUPPLY OF G.I. FRANCHISE PLATE @ City Franchising Office 1.	The City Government of Sorsogon,   intends to apply the sum of  Two  Million Four Hundred  Fifty  Thousand   Pesos (Php   2,450,000.00) being the</t>
  </si>
  <si>
    <t xml:space="preserve"> Republic of the Philippines Province of Agusan del Norte Municipality of Nasipit Invitation to Bid for the Concreting of Barangay Road, Brgy. Amontay The Local Government Unit of Nasipit, through the (Supplemental Budget No.2) General Fund 2020 intends to</t>
  </si>
  <si>
    <t xml:space="preserve"> Republic of the Philippines Province of Ilocos Norte MUNICIPALITY OF PINILI INVITATION TO BID FOR  “SUPPLY OF OFFICE PARTITION (INCLUDES INSTALLATION) AT MUNICIPAL TREASURER’S OFFICE” 1.	The Municipality of Pinili, Ilocos Norte through the General Fund  i</t>
  </si>
  <si>
    <t xml:space="preserve"> Construction of stock room @ Magapit, Lal-lo, Cagayan</t>
  </si>
  <si>
    <t xml:space="preserve"> Lot 1 - Three (3) Licensed Security Guards on an eight-hour shift from Mondays to Sundays at PSA - RSSO I. Lot 2 - Three (3) Licensed Security Guards on an eight-hour shift from Mondays to Sundays at PSA - Ilocos Norte PSO. Lot 3 - Three (3) Licensed Secu</t>
  </si>
  <si>
    <t xml:space="preserve"> SEE ATTACH</t>
  </si>
  <si>
    <t xml:space="preserve"> 6          PCS  2" G.I PIPE SCHEDULE 40     80        PCS  1/4 X 1 1/2 X 1 1/2 ANGLE BAR     50        PCS 2X4 C-PURLINS     26        PCS  GA. 22X12' CORRUGATED G.I SHEETS     60        PCS   GA. 22X10' CORRUGATED G.I SHEETS     10        PCS   HACKSAW B</t>
  </si>
  <si>
    <t xml:space="preserve"> ALBAY 3RD DISTRICT ENGINEERING OFFICE																											 Paulog, Ligao City																											 																											 																											 INVITATION TO BID																											 																											 															</t>
  </si>
  <si>
    <t xml:space="preserve"> Republic of the Philippines Province of Agusan del Norte Municipality of Nasipit Invitation to Bid for the Construction of Farm to Market Road, Brgy. Camagong The Local Government Unit of Nasipit, through the (Supplemental Budget No.2) 20% MDF 2020 intend</t>
  </si>
  <si>
    <t xml:space="preserve"> Various Agricultural &amp; Marine Supplies See attached link under OTHER INFORMATION BOX</t>
  </si>
  <si>
    <t xml:space="preserve"> Invitation to Bid for Construction of Five (5) Storey Higher Education  Building in Batangas State University, JLPC - Malvar (Phase I) 1.	The Batangas State University, through the Supplemental Budget FY 2020 intends to apply the sum of One Hundred Millio</t>
  </si>
  <si>
    <t xml:space="preserve"> Construction of drainage canal @ Brgy. magapit, Lal-lo, Cagayan</t>
  </si>
  <si>
    <t xml:space="preserve"> The Western Mindanao State University, through its Bids and Awards Committee (BAC), is inviting PhilGEPS registered suppliers to apply for eligibility and to submit bids for the item mentioned hereunder:  1.)	1200	Pieces	Monobloc Chair 			* with writing p</t>
  </si>
  <si>
    <t xml:space="preserve"> SCOPE OF WORKS: B.5	Project Billboard &amp; Signboard	2.00	each	 101(2)	Removal of Existing Apron	2.00	ln.m. 103(1)a	Structure Excavation (Common Soil, RCPC)	3.57	cu.m. 104(2)	Embankment from Borrow	75.00	cu.m. 105(1)a	Subgrade Preparation (Common Materials)	</t>
  </si>
  <si>
    <t xml:space="preserve"> The Western Mindanao State University, through its Bids and Awards Committee (BAC), is inviting PhilGEPS registered suppliers to apply for eligibility and to submit bids for the item mentioned hereunder:  1.)	20	Units	Desktop Computer 			Specifications: 	</t>
  </si>
  <si>
    <t xml:space="preserve"> Request for Quotation The Bureau of Fisheries and Aquatic Resources, Regional Office No. 5, Fabrica, Bula, Camarines Sur is requesting from prospective suppliers to submit quotation for the Supply and Delivery of Office Supplies.   Quantity	Unit	Item Desc</t>
  </si>
  <si>
    <t xml:space="preserve"> the bidding is divided into 15 lots.</t>
  </si>
  <si>
    <t xml:space="preserve"> Supply, Delivery, Installation, Supervision, Training, Testing and Commissioning of One (1) Set of Licensed Professional RF Network Planning Software for the People’s Television Network, Inc. (PTNI) or ITB NO. 2020-0016</t>
  </si>
  <si>
    <t xml:space="preserve"> SUPPLIES AND MEDICINE</t>
  </si>
  <si>
    <t xml:space="preserve"> ITB NO. 2020-0015 or Supply, Delivery, Design and Retrofitting of the Quezon City TV Broadcast Transmitter Tower including Rehabilitation of Building/Transmitter Shelter, Grounding and Lightning Protection System and Installation of Digital Terrestrial Te</t>
  </si>
  <si>
    <t xml:space="preserve"> --- Prebid Date and Time July 28, 2020 01:30 PM Bid Opening Date and Time August 11, 2020 01:30 PM Prebid Registration Link https://forms.gle/YUVpQ7sYZeXYhpjQ8 Relevant Procurement Documents https://bit.ly/TWDBrass2020 ---</t>
  </si>
  <si>
    <t xml:space="preserve"> --- Prebid Date and Time July 28, 2020 09:30 AM Bid Opening Date and Time August 11, 2020 09:30 AM Prebid Registration Link https://forms.gle/9T3XQ8RQ3X5Fmi9r7 Relevant Procurement Documents https://bit.ly/TWDPiercingTool2020 ---</t>
  </si>
  <si>
    <t xml:space="preserve"> Supply, Delivery, Installation, Integration, Testing, Training and Commissioning of One (1) Set of 10-Kilowatt Liquid- Cooled, Band IV-V ISDB-T Digital Transmitter with Complete Electronic &amp; Electrical System and Accessories for the People’s Television Ne</t>
  </si>
  <si>
    <t xml:space="preserve"> Municipality of Looc Invitation to Bid for Construction of Water Supply System Level II 1.	The Municipality of Looc, through the DILG Trust Fund/LDF intends to apply the sum of Php 8,043,897.00 being the Approved Budget for the Contract (ABC) to payments </t>
  </si>
  <si>
    <t xml:space="preserve"> Contract ID: 20KF0134 Contract Name: Repair/Maintenance of Slope Protection along Highway Secondary Diversion Road, Brgy. Barinaot, San Roque, Iligan City, K1522+(-964.5)-K1522+(-819.5)(LS), K1522+(-874.5)-K1522+(-819.5)(RS), Iligan City Contract Location</t>
  </si>
  <si>
    <t xml:space="preserve"> Contract ID: 20KF0133 Contract Name: Repair/Maintenance of Stone Masonry (Revetment) along Sta. Felomina- Bonbonon-Digkilaan-Rogongon Road, Brgy. Digkilaan Road, Iligan City, K1533+780-K1533+807 (R/S), Iligan City Contract Location: Iligan City Brief Desc</t>
  </si>
  <si>
    <t xml:space="preserve"> Construction/repair of 3 units comfort room @ brgy. Magapit, Lal-lo, Cagayan</t>
  </si>
  <si>
    <t xml:space="preserve"> --- Prebid Date and Time July 27, 2020 01:30 pM Bid Opening Date and Time August 10, 2020 01:30 PM Prebid Registration Link https://forms.gle/4WBut7nHcWUYAEW29 Relevant Procurement Documents https://bit.ly/TWDBypass2020 ---</t>
  </si>
  <si>
    <t xml:space="preserve"> --- Prebid Date and Time July 27, 2020 09:30 AM Bid Opening Date and Time August 10, 2020 09:30 AM Prebid Registration Link https://forms.gle/a9tnT2jjLZb377g56 Relevant Procurement Documents https://bit.ly/TWDLineValve2020 ---</t>
  </si>
  <si>
    <t xml:space="preserve"> Invitation to Bid for  Construction of Four (4) Storey Student Services Center Building in Batangas State University, ARASOF – Nasugbu (Phase I) 1.	The Batangas State University, through the Supplemental Budget FY 2020 intends to apply the sum of One Hund</t>
  </si>
  <si>
    <t xml:space="preserve"> Republic of the Philippines  Province of Samar Municipality of Sto. Niño  Invitation to Bid for the Construction/Extension of Seawall. 1.	The Municipality of Sto. Niño, Samar, through the Local Government Support Fund- Assistance to Municipalities (LGSF-A</t>
  </si>
  <si>
    <t xml:space="preserve"> Republic of the Philippines Province of Agusan del Norte Municipality of Nasipit Invitation to Bid for the Concreting of Barangay Road, Brgy. Aclan The Local Government Unit of Nasipit, through the (Supplemental Budget No.2) General Fund 2020 intends to a</t>
  </si>
  <si>
    <t xml:space="preserve"> One (1) Equipment Set; Ready to Commission Mobile Shredding Machine and Accessories (with Mini Tractor with trailer)  Public Bidding</t>
  </si>
  <si>
    <t xml:space="preserve"> Republic of the Philippines							 Province of Davao del Sur							 MUNICIPALITY OF MAGSAYSAY							 							 							 Project Title:	REPAIR OF POBLACION BARANGAY HEALTH STATION 						 Location:	POBLACION, MAGSAYSAY, DAVAO DEL SUR						 Dimension:	102.84	sq</t>
  </si>
  <si>
    <t xml:space="preserve"> Republic of the Philippines							 Province of Davao del Sur							 MUNICIPALITY OF MAGSAYSAY							 							 							 Project Title:	"CONSTRUCTION OF TAGAYTAY BARANGAY HEALTH STATION AND IEC (INFORMATION EDUCATIONALCOMMUNICATION AND CAMPAIGN AREA) AND CONS</t>
  </si>
  <si>
    <t xml:space="preserve"> Republic of the Philippines PROVINCE OF NUEVA VIZCAYA Munici pality of Aritao BIDS AND AWARDS COMMITTEE               INVITATION TO REBID FOR  FURNISHING/DELIVERY OF FUEL, OIL &amp; LUBRICANTS 1.	The Municipality of Aritao, through its 2020 General Fund inten</t>
  </si>
  <si>
    <t xml:space="preserve"> Republic of the Philippines							 Province of Davao del Sur							 MUNICIPALITY OF MAGSAYSAY							 							 							 Project Title:	"REPAIR OF TACUL BARANGAY HEALTH STATION AND IEC (INFORMATION EDUCATIONALCOMMUNICATION AND CAMPAIGN AREA) AND CONSTRUCTION </t>
  </si>
  <si>
    <t xml:space="preserve"> Purchase of materials used in printing modules...</t>
  </si>
  <si>
    <t xml:space="preserve"> Republic of the Philippines							 Province of Davao del Sur							 MUNICIPALITY OF MAGSAYSAY							 							 							 Project Title:	REPAIR AND REHABILITATION OF MAGSAYSAY BIRTHING FACILITY 						 Location:	MUNICIPAL HEALTH CENTER SITE, MAGSAYSAY, DAVAO DE</t>
  </si>
  <si>
    <t xml:space="preserve"> Republic of the Philippines							 Province of Davao del Sur							 MUNICIPALITY OF MAGSAYSAY							 							 							 Project Title:	REHABILITATION OF MUNICIPAL MULTI-PURPOSE BUILDING (PHASE I)						 Location:	Municipal Compound, Magsaysay, Davao del Sur		</t>
  </si>
  <si>
    <t xml:space="preserve"> Purchase of various supplies used in printing modules...</t>
  </si>
  <si>
    <t xml:space="preserve"> 1 Server, 6 Desktop Computers as workstations, computer peripherals and license software.</t>
  </si>
  <si>
    <t xml:space="preserve"> The Department of Agriculture-RFO 3, invites interested suppliers/ bidders to submit bid proposal(s) for the hereunder requirement, to wit: 	 Lot 1	40 heads Upgraded Doe Goat 75%  ABC (P 600,000.00) Specification:  	Not less than 25 kgs 	Goat – upon pos</t>
  </si>
  <si>
    <t xml:space="preserve"> Item	Description	ABC	Unit	Qty. 	LINE BID			 1	ANTI HUMAN GLOBULIN (AHG) (10 ML PER VIAL)	4,800.00	VIALS	6 2	ANTI-D BLOOD TYPING SERA 10 ML/VIAL	27,000.00	VIALS	45 3	POLYPROPYLENE BAG, SPECS (PLASTIC BAG, 175 X 300 MM (7 X 12 INCHES), 1000S/BAG	9,000.00	BA</t>
  </si>
  <si>
    <t xml:space="preserve"> Republic of the Philippines							 Province of Davao del Sur							 MUNICIPALITY OF MAGSAYSAY							 							 							 Project Title:	"CONSTRUCTION OF BALNATE BARANGAY HEALTH STATION AND IEC (INFORMATION EDUCATIONALCOMMUNICATION AND CAMPAIGN AREA) AND IMPRO</t>
  </si>
  <si>
    <t xml:space="preserve"> Item	Description	ABC	Unit	Qty. 	LOT BID			 1	HEMOGLOBIN MICROCUVETTE	225,000.00	PCS	4,500 	TERMS OF REFERENCE FOR PROCUREMENT  OF REAGENTS AND RELATED SUPPLIES FOR ON SITE HEMOGLOBIN AND HEMATOCRIT TESTING DURING MOBILE BLOOD DONATION THIS IS LOT BID The </t>
  </si>
  <si>
    <t xml:space="preserve"> Item	Description	ABC	Unit	Quantity 	LINE BID			 1	AMPHOTERICIN B CHOLESTERYL COMPLEX 50MG VIAL COLLOIDAL DISPERSION (LIPID COMPLEX), IV INFUSION	521,244.00	VIAL	50 2	AMPHOTERICIN B DEOXYCHOLATE 50MG LYOPHILIZED POWDER VIAL, NON LIPID COMPLEX, IV INFUSION	</t>
  </si>
  <si>
    <t xml:space="preserve"> Item	Description	ABC	Unit	Quantity 	LINE BID			 1	ASPARAGINASE LYOPHILIZED POWDER 10,000 IU VIAL, IV	169,800.00	VIAL	100 2	BLEOMYCIN POWDER, 15IU AMPULE OR VIAL (IM, IV) (AS SULFATE)	57,000.00	PCS	30 3	CAPECITABINE 500MG TABLET	51,000.00	TABLET	1,000 4	CA</t>
  </si>
  <si>
    <t xml:space="preserve"> Purchase of camera, camera lenses and peripherals, microphone, desktop computer and video editing software and other for a recording studio for a virtual instruction/demonstration.</t>
  </si>
  <si>
    <t xml:space="preserve"> Item	Description	ABC	Unit	Quantity 	LINE BID			 1	ADENOSINE 3MG/ML, 2ML VIAL (IV)	22,132.00	VIAL	100 2	AMIODARONE HYDROCHLORIDE 200MG TABLET	10,915.00	TABLET	500 3	AMIODARONE HYDROCHLORIDE 50MG/ML, 3ML AMPULE (IV)	88,500.00	AMPULE	300 4	AMLODIPINE BESILAT</t>
  </si>
  <si>
    <t xml:space="preserve"> Item	Description	ABC	Unit 	Quantity 	LINE BID			 1	BULLDOG VASCULAR CLAMP, DE BAKEY HEISS, 1 ½” LENGTH, 3/8” JAW SERRATION, STAINLESS STEEL AISI 400 SERIES	34,000.00	PCS	2 2	BULLDOG VASCULAR CLAMP, DIETRICH, 1 7/8” LENGTH, ½” JAW SERRATION, ANGLED 1/1, ST</t>
  </si>
  <si>
    <t xml:space="preserve"> Item	Description	ABC	Unit	Qty. 	LOT BID			 1	HBS-AG (ELISA) 480 TEST/KIT	529,200.00	KIT	9 2	HCV-AG/AB (ELISA) 480 TEST/KIT	1,337,400.00	KIT	9 3	HIV-AG/AB I &amp; II 480 TEST/KIT ELISA	788,400.00	KIT	9 4	SYPHILIS IMMUNOASSAY 960 TEST/KIT	344,000.00	KIT	4 	TERM</t>
  </si>
  <si>
    <t xml:space="preserve"> PLEASE SEE ATTACHMENTS FOR DETAILS</t>
  </si>
  <si>
    <t xml:space="preserve"> Item	Description	ABC	Unit	Qty. 1	BIOLOGICAL REFRIGERATOR-DOUBLE DOOR	8,000,000.00	UNIT	4 	PRODUCT FEATURES •	With door lock •	With forced air-cooling system •	With drawers (12 drawers) •	With recorder preferably •	Thermal printer type •	Glass door •	Safet</t>
  </si>
  <si>
    <t xml:space="preserve"> Item	Description	ABC	Unit	Qty. 	LOT BID			 1	450 CC DOUBLE BLOOD BAGS	247,500.00	PCS	900 2	450 CC SINGLE BLOOD BAGS	630,000.00	PCS	3,600 3	TOP AND BOTTOM BLOOD COLLECTION BAG	63,000.00	PCS	63 4	TUBE WELDER COPPER WAFER 140’S/BOX	105,000.00	BOX	10 	TERMS O</t>
  </si>
  <si>
    <t xml:space="preserve"> REPUBLIC OF THE PHILIPPINES PROVINCE OF CEBU MUNICIPALITY OF PINAMUNGAJAN Invitation to Bid for : ROAD CONCRETING 					(at Brgy. Camugao) 1.The MUNICIPALITY OF PINAMUNGAJAN, through the GENERAL FUND  intends to apply the sum of ONE  MILLION  PESOS ONLY   </t>
  </si>
  <si>
    <t xml:space="preserve"> Republic of the Philippines Province of Agusan del Sur Municipality of Trento BIDS &amp; AWARDS COMMITTEE INVITATION TO BID  FOR THE INSTALLATION OF STREETLIGHTS 1.	The Municipality of Trento, through the PDF 2020 intends to apply the sum of Five Million Peso</t>
  </si>
  <si>
    <t xml:space="preserve"> REQUEST FOR EXPRESSION OF INTEREST  FOR THE CONSULTANCY SERVICES FOR THE IMPROVEMENT OF DAGOHOY WATERWORKS SYSTEM (CONDUCT OF FEASIBILITY STUDY AND DETAILED ENGINEERING DESIGN INCLUDING FOUR (4) BARANGAYS OF LA ESPERANZA, ESTACA, CAN-OLING AND VILLA AUROR</t>
  </si>
  <si>
    <t xml:space="preserve"> Republic of the Philippines Province of Sarangani Municipality of Alabel oooOooo INVITATION TO BID FOR PROCUREMENT OF ONE (1) UNIT RESCUE VEHICLE 1.The Municipality of Alabel, through the 5% Calamity Fund for CY 2019 &amp; 2020[  Ibid.] intends to apply the s</t>
  </si>
  <si>
    <t xml:space="preserve"> Item	Description	ABC	Unit 	Qty. 	LOT BID			 1	BLOOD GLUCOSE TIP, STERILE, INDIVIDUALLY SEALED (MUST BE COMPATIBLE WITH HOSPITAL OWNED BLOOD GLUCOSE MONITORING DEVICE)	2,625,000.00	PCS	75,000 2	BLOOD LANCET WITH FREE USE OF LANCING DEVICE (MUST BE COMPATIB</t>
  </si>
  <si>
    <t xml:space="preserve"> Municipality of Looc Invitation to Bid for Construction of Bulacan Birthing Facility 1.	The Municipality of Looc, through the LDF intends to apply the sum of Php 1,800,000.00 being the Approved Budget for the Contract (ABC) to payments under the contract </t>
  </si>
  <si>
    <t xml:space="preserve"> Scope of Work 1. Conducts assessment or evaluation on existing systems, policies &amp; procedures 2. Provide computer set and install the financial software/program 3. Develop, set up and customize an accounting system 4. Accounting system registration &amp; crea</t>
  </si>
  <si>
    <t xml:space="preserve"> 1 unit BRAND NEW 2020 PICK UP 4X4 LS -A AT Minimum Specification: Engine: 4JJ1-TCX 3.0L, common rail direct injection blue power diesel engine with intercooler, variable geometry system (VGS) turbo charger, Euro 4 Emission rating. Transmission: 6 speed au</t>
  </si>
  <si>
    <t xml:space="preserve"> 1.	The Municipality of Impasugong, through the DILG-AM intends to apply the sum of Seven Million Four Hundred Forty Two Thousand Pesos (PhP7,442,000.00) being the Approved Budget for the Contract (ABC) to payments under the contract for PR No. 20-1192/ Co</t>
  </si>
  <si>
    <t xml:space="preserve"> Republic of the Philippines          City of Dumaguete Bids and Awards Committee INVITATION TO BID FOR THE PURCHASE OF 1,008 BAGS PORTLAND CEMENT 40 KGS AND OTHER ITEMS 	The City of Dumaguete thru its BIDS AND AWARDS COMMITTEE (BAC), invites all intereste</t>
  </si>
  <si>
    <t xml:space="preserve"> INVITATION TO BID The Police Community Affairs and Development Group (PCADG), through its Bids and Awards Committee (BAC), invites all PhilGeps registered suppliers to bid pursuant to the Revised Implementing Rules and Regulations (IRR) of Republic Act (R</t>
  </si>
  <si>
    <t xml:space="preserve"> I. 10.40 cu.m Removal of Damage Pavement II. 5.20 sq. m Aggregate Base Coarse III. 10.40 cu. m Portland Cement ConcretePavement SPCL-I- 1.00 unit Standard Project Billboard N/F</t>
  </si>
  <si>
    <t xml:space="preserve"> Republic of the Philippines Province of Quezon Municipality of San Francisco   BIDS &amp; AWARDS COMMITTEE INVITATION TO APPLY FOR ELIGIBILITY AND TO BID     The Municipality of San Francisco through General Fund intends to apply the sum of Nine Hundred Fifty</t>
  </si>
  <si>
    <t xml:space="preserve"> Repair/ Rehabilitation of National Road (PCCP Reblocking)</t>
  </si>
  <si>
    <t xml:space="preserve"> Item	Description	ABC	Unit 	Qty. 	LOT BID			 1	BCG SYRINGE G-27 X 3/8 (0.05ML) 100’S STERILE	14,400.00	BOX	12 2	INSULIN SYRINGE 1CC, THICKNESS: NOT LESS THAN G-30X5/16” (100’S/BOX) STERILE	800,000.00	BOX	1,000 3	SYRINGE DISPOSABLE 1ML G-26 X ½”, LUER LOCK </t>
  </si>
  <si>
    <t xml:space="preserve"> REPUBLIC OF THE PHILIPPINES LGU-Tigaon, Camarines Sur Caraycayon, Tigaon, Camarines Sur -o0o- BIDS &amp; AWARDS COMMITTEE INVITATION TO BID CONSTRUCTION OF LOCAL ACCESS ROADS  PROJECT ID NO. INFRA-20-004 1.	The Local Government Unit of Tigaon, Camarines Sur i</t>
  </si>
  <si>
    <t xml:space="preserve"> Republic of the Philippines Province of Agusan del Sur MUNICIPALITY OF TALACOGON BIDS AND AWARDS COMMITTEE July 20, 2020 INVITATION TO BID  FOR THE PROCUREMENT OF EQUIPMENT OF LA FLORA GARBAGE COLLECTOR    1.	The Local Government Unit of Talacogon, throug</t>
  </si>
  <si>
    <t xml:space="preserve"> Invitation to Bid 1.	The Commission on Higher Education (CHED), through the General Appropriations Act Fiscal Year 2020  intends to apply the sum of Three Million Two Hundred Thousand Pesos (PHP 3,200,000.00) being the Approved Budget for the Contract (AB</t>
  </si>
  <si>
    <t xml:space="preserve"> see attached program of works</t>
  </si>
  <si>
    <t xml:space="preserve"> Dump Box Capacity: 4.50 cu. m. Engine: Diesel Rated Power: 85/2800 KW/rpm 4-cylinder in-line,3.875 liter Tyre: 7.50 - R16  Fuel Tank: 120 Liters</t>
  </si>
  <si>
    <t xml:space="preserve"> Republic of the Philippines PROVINCE OF ZAMBOANGA SIBUGAY Municipality of Alicia OFFICE OF THE BIDS AND AWARDS COMMITTEE INVITATION TO APPLY FOR ELIGIBILITY AND TO BID  	The Local Government Unit of Alicia, Zamboanga  Sibugay, through the BIDS AND AWARDS </t>
  </si>
  <si>
    <t xml:space="preserve"> Section I. Invitation to Bid Republic of the Philippines Province of  Compostela Valley MUNICIPALITY OF  MAWAB Barangay Saosao 							 	____________ 2018	 Invitation to Bid for 	SUPPLIES AND INSTALLATION OF 28 UNIT 100 LITERS RAIN WATER COLLECTOR 1.	The B</t>
  </si>
  <si>
    <t xml:space="preserve"> SUPPLY AND DELIVERY OF FOUR UNITS SOLAR PANEL</t>
  </si>
  <si>
    <t xml:space="preserve"> Government of the Philippines LGU-DOLORES, QUEZON INVITATION TO BID FOR SUPPLY AND DELIVERY OF FURNITURE AND FIXTURES 1.	The LGU, through the General Fund intends to apply the sum of  One Hundred Sixty Seven  Thousand  Pesos(PhP167,000.00) being the Appro</t>
  </si>
  <si>
    <t xml:space="preserve"> 1.	The PCA-Region XIII, through the 2020 Smallholder Oil Palm Development Project: Oil Palm Seedling  intends to apply the sum of PhP 3,136,000.00 being the Approved Budget for the Contract (ABC) to payments under the contract for 2020 SOPDP: Oil Palm See</t>
  </si>
  <si>
    <t xml:space="preserve"> Contract ID: 20KF0132 Contract Name: Repair/Maintenance of Drainage along Misamis Oriental-Ma. Cristina Boundary Road Brgy. Sta. Felomina, Iligan City, K1520+600-K1520+800 (LS), Iligan City Contract Location: Iligan City Brief Description: Repair/Maintena</t>
  </si>
  <si>
    <t xml:space="preserve"> 1. Supply and Delivery of 750 box Rodenticide ABC: Php1,875,000.00 Specifications: - Active Ingredient: Zinc Phosphide - 1kg/box (100 sachet @10grams/sachet) - manufacturing date not earlier than 2020 - Delivery Period: 20 Calendar Days - Delivery Site: D</t>
  </si>
  <si>
    <t xml:space="preserve"> Republic of the Philippines Province of Cavite Municipality of Naic BIDS AND AWARDS COMMITTEE PB-2020-07-047 INVITATION TO  BID  CONSTRUCTION OF MULTI-PURPOSE HALL BUILDING (MUNICIPAL HALL RIGHT WING)  BRGY. IBAYO SILANGAN, NAIC, CAVITE 1.        The Muni</t>
  </si>
  <si>
    <t xml:space="preserve"> Republic of the Philippines Department of Public Works and Highways AGUSAN DEL NORTE DISTRICT ENGINEERING OFFICE REGIONAL OFFICE XIII J. P. Rosales Avenue, Butuan City INVITATION TO BID  The Department of Public Works and Highways Agusan del Norte Distric</t>
  </si>
  <si>
    <t xml:space="preserve"> Shoreline Protection @ Fuentes, Pantukan, Davao De Oro (Pakyaw of Labor)</t>
  </si>
  <si>
    <t xml:space="preserve"> Part A. Facilities for the Engineer  A.1.1.(6) Provision of combined Filed Office, Laboratory &amp; Living Quarters Bldg. for          month    5.00 A. 1.1 (11) Provision of Furnitures/Fixtures, Equipment &amp; appliances for the Field Office    lumpsum 1.00  Par</t>
  </si>
  <si>
    <t xml:space="preserve"> Shoreline Protection @ Fuentes, Pantukan, Davao De Oro (materials)</t>
  </si>
  <si>
    <t xml:space="preserve"> INVITATION TO BID Streetlighting Project Along Provincial Road Identification No. TAMP-PB-GOODS-05-2020 1.	The Local Government of Tampakan, through the 20% MDF 2020/8918-3001-07-03-050 intends to apply the sum of Seven Hundred Thirty Eight Thousand Five </t>
  </si>
  <si>
    <t xml:space="preserve"> 1.	The Municipality of Impasugong, through the 20% - Construction of MPH – Poblacion Area intends to apply the sum of Five Million Pesos (PhP5,000,000.00) being the Approved Budget for the Contract (ABC) to payments under the contract for PR No. 20-1156/C</t>
  </si>
  <si>
    <t xml:space="preserve"> Supply and Delivery of CM for the construction School fence @ Binalian Elementary School, Kayapa, Nueva Vizcaya</t>
  </si>
  <si>
    <t xml:space="preserve"> Embankment of Filling Materials compacted and has a slope protection on two sides of the area.</t>
  </si>
  <si>
    <t xml:space="preserve"> CONSTRUCTION OG 64 SQ.M BARAY PAGINDOWANAN WITH AMENITIES, ELECTRICAL, TILES, AND PLUMBING SYSTEM</t>
  </si>
  <si>
    <t xml:space="preserve"> Construction of Monitoring Station @ Diat, Napnapan, Pantukan, Davao De Oro(Pakyaw of Labor)</t>
  </si>
  <si>
    <t xml:space="preserve"> Construction of Monitoring Station @ Diat, Napnapan, Pantukan, Davao De Oro(Materials)</t>
  </si>
  <si>
    <t xml:space="preserve"> 1.	The Municipality of Impasugong, through the 20% - Construction of MPH - Kalabugao intends to apply the sum of Three Million Pesos (PhP3,000,000.00) being the Approved Budget for the Contract (ABC) to payments under the contract for PR No. 20-1155/Const</t>
  </si>
  <si>
    <t xml:space="preserve"> 1.	The Municipality of Impasugong, through the 20%-Construction of Local Roads-Poblacion intends to apply the sum of Three Million Pesos (PhP3,000,000.00) being the Approved Budget for the Contract (ABC) to payments under the contract for PR No. 20-1108/ </t>
  </si>
  <si>
    <t xml:space="preserve"> Republic of the Philippines CITY GOVERNMENT OF ANTIPOLO Antipolo City INVITATION TO BID For the Supply &amp; Delivery of Office Supplies The City Government of Antipolo, through the General Fund intends to apply the sum of P 4,860,704.00 being the Approved Bu</t>
  </si>
  <si>
    <t xml:space="preserve"> PROPOSED TYPICAL 1-STOREY WITH MEZZANINE FIRE STATION OF NOVELETA, CAVITE OF BFP REGION 4A, FOR FY 2020</t>
  </si>
  <si>
    <t xml:space="preserve"> Republic of the Philippines CITY OF SAN PEDRO Province of Laguna BIDS AND AWARDS COMMITTEE INVITATION TO BID The City Government of San Pedro Laguna through the 2020 CDC Budget Approved by Sangguniang Panglungsod intends to apply the sum of Php 1,499,844.</t>
  </si>
  <si>
    <t xml:space="preserve"> MA-A2H20-009.. PAD, GENERATOR BRAKE PAD, AGUS 1 HE PLANT ABC  : P 1,500,000.00 PLACE OF DELIVERY : AGUS 1 HEP WAREHOUSE MARAWI CITY AMOUNT OF BID DOCUMENTS : P 3,000.00</t>
  </si>
  <si>
    <t xml:space="preserve"> Contract I.D. No. 20OE0209   Contract Name: Construction of Four (4) Storey Twelve (12) Classroom School Building at F.G. Calderon Elementary School       Contract Location: Manila City       Brief Description: Construction of School Building       Approv</t>
  </si>
  <si>
    <t xml:space="preserve"> Republic of the Philippines Department of Health Jose R. Reyes Memorial Medical Center M a n i l a INVITATION TO BID FOR  1 Lot 800L Liquid Helium &amp; 2 Cylinder Helium UHP 125B Aluminum Assistive Cryo-fill Charge ITB No. 2020-MS-106 1.	The Jose R. Reyes Me</t>
  </si>
  <si>
    <t xml:space="preserve"> Invitation to Bid for the  UPGRADING OF LOCAL ACCESS ROAD AT AMBATALI ST., BUGALLON PROPER, RAMON, ISABELA 1.	The LGU-RAMON, ISABELA, through the Budget for the contract approved by the Sanggunian intends to apply the sum of Php11,623,000.00 being the App</t>
  </si>
  <si>
    <t xml:space="preserve"> SEE ATTACHED PROGRAM OF WORKS AND PLAN</t>
  </si>
  <si>
    <t xml:space="preserve"> Please contact BAC Secretariat for details</t>
  </si>
  <si>
    <t xml:space="preserve"> Republic of the Philippines Dagupan City BIDS AND AWARDS COMMITTEE INVITATION TO BID For the Procurement of Petroleum, Oil, &amp; Lubricant Products (PR no.: 2020-00793-018) 1.	The City Government of Dagupan, through the APPROVED ANNUAL BUDGET 2020 intends to</t>
  </si>
  <si>
    <t xml:space="preserve"> 1.00       lot       Steel Works</t>
  </si>
  <si>
    <t xml:space="preserve"> 1.00       lot       Masonry Works</t>
  </si>
  <si>
    <t xml:space="preserve"> 1.00       lot       Masonry and Plumbing Works</t>
  </si>
  <si>
    <t xml:space="preserve"> SUPPLY AND DELIVERY OF CONSTRUCTION MATERIALS FOR THE CONSTRUCTION OF STAIRCASE CHARGE TO 20% EDF</t>
  </si>
  <si>
    <t xml:space="preserve"> CAPABILITY BUILDING ON MANSAKA CULTURE PRESERVATION (CATERING SERVICES)</t>
  </si>
  <si>
    <t xml:space="preserve"> Retrofitting of P.Fuentes Elementary School @ Fuentes, Pantukan, Davao De Oro (Materials)</t>
  </si>
  <si>
    <t xml:space="preserve"> 1.00       lot       Masonry works</t>
  </si>
  <si>
    <t xml:space="preserve"> REPAIR/REHABILITATION OF BRIDGE APPROACH OF KINAOHANGAN</t>
  </si>
  <si>
    <t xml:space="preserve"> Invitation to Bid All prospective bidders are invited to bid on the above items. The Sangguniang Barangay Lupac reserves the right to accept or reject any bid, to annul the bidding process, and to reject all bids at any time prior to contract award, witho</t>
  </si>
  <si>
    <t xml:space="preserve"> Republic of the Philippines                                                          Province of Aklan                                                         MUNICIPALITY OF LIBACAO                                                          BARANGAY PAMPAN</t>
  </si>
  <si>
    <t xml:space="preserve"> Republic of the Philippines PROVINCE OF BOHOL Municipality of Dagohoy INVITATION TO BID FOR THE CONCRETING OF FARM TO MARKET ROAD (SITIO 3-MARKET ROAD) 1.	The Local Government Unit of Dagohoy, Bohol intends to apply the sum of Five Million Pesos (Php5,000</t>
  </si>
  <si>
    <t xml:space="preserve"> INVITATION TO APPLY FOR ELIGIBILITY TO BID The Local Government Unit of Matag-ob, through its Bids and Awards Committee (BAC), invites Suppliers /Manufacturers/Distributors/ Contractors to apply for eligibility and to bid for the hereunder projects. Name </t>
  </si>
  <si>
    <t xml:space="preserve"> Drainage Line Canal @ Tambongon, Pantukan, Davao De Oro (Pakyaw of Labor)</t>
  </si>
  <si>
    <t xml:space="preserve"> 400 HEADS PULLETS 40 HEADS ROOSTER 162 BAGS FEED REQUIREMENTS MEDICINES AND BIOLOGICS FEEDERE AND WATERER</t>
  </si>
  <si>
    <t xml:space="preserve"> Drainage Line Canal @ Tambongon, Pantukan, Davao De Oro (Materials)</t>
  </si>
  <si>
    <t xml:space="preserve"> 1 unit BRAND NEW 2020 SUV 4X2 LS AT Minimum specification: 4 cylinder in line blue power diesel engine with turbo intercooler, variable geometry system (VGS) turbo charger, euro 4 engine. Transmission: 6 speed automatic transmission with sequential shift </t>
  </si>
  <si>
    <t xml:space="preserve"> PROJECT SIGNBOARD = 6.27% FORM WORKS AND SCAFFOLDINGS = 5.28% PLASTERING/FINISHING (GROUND FLOOR WALLING = 26.99% COLUMNS/BEAM WORKS (GROUND FLOOR PLASTERING = 7.22% DOORS (SECOND FLOOR) = 44.91% CR REPAIR (GROUND FLOOR) = 2.88 ELECTRICAL WORKS (PARTIAL) </t>
  </si>
  <si>
    <t xml:space="preserve"> Republic of the Philippines Province of Camarines Sur MUNICIPALITY OF MINALABAC -o0o- Invitation to Bid for CONSTRUCTION OF ROADS (Zone 1 &amp; Zone 2 Baliuag Viejo), Minalabac, Camarines Sur 1. LGU-Minalabac, Camarines Sur, through 20% EDF, CY 2020, intends </t>
  </si>
  <si>
    <t xml:space="preserve"> Project Billboard/Signboard; Occupational Health and Safety Program; Structure Excavation’ Embankment from Structure Excavation; Gravel Bedding; Structural Concrete for Footing Tie Beam, Column, Suspended Slab, Girder/Beam (Class A, 28 days), Reinforcing </t>
  </si>
  <si>
    <t xml:space="preserve"> Republic of the Philippines CITY OF SAN PEDRO Province of Laguna BIDS AND AWARDS COMMITTEE INVITATION TO BID The City Government of San Pedro Laguna through the 2020 CDC Budget Approved by Sangguniang Panglungsod intends to apply the sum of Php 6,999,736.</t>
  </si>
  <si>
    <t xml:space="preserve"> Republic of the Philippines Province of Camarines Sur MUNICIPALITY OF MINALABAC -o0o- Invitation to Bid for ROAD CONCRETING, Zone 1, Mataoroc &amp; Zone 1, Sagrada Familia, Minalabac, Camarines Sur 1. LGU-Minalabac, Camarines Sur, through 20% EDF, CY 2020, in</t>
  </si>
  <si>
    <t xml:space="preserve"> 1 unit BRAND NEW 2020 SUV 4X2 LS AT Minimum specification: 4 cylinder in line blue power diesel engine with turbo intercooler, variable geometry system (VGS) Turbo charger, euro 4 engine. Transmission: 6 speed automatic transmission with sequential shift.</t>
  </si>
  <si>
    <t xml:space="preserve"> Billboard; Clearing &amp; Grubbing; Structure Excavation; Formworks &amp; Falseworks; Concrete Works; Installation of Railings; Equipment Requirement: service truck; cutting outfit; welding machine; 30 w.d.</t>
  </si>
  <si>
    <t xml:space="preserve"> 1 unit BRAND NEW 2020 PICK UP 4X2 LS -A AT Minimum specification: Engine: 4JJ-TCX 3.0L, common rail direct injection blue power diesel engine with intercooler, variable geometry system (VGS) turbo charger, Euro 4 Emission rating. Transmission: 6 speed aut</t>
  </si>
  <si>
    <t xml:space="preserve"> Procurement ID/Contract I.D.: 20CN0158 Contract Name: Concreting of Brgy. Laboy to Brgy. Ipil FMR Contract Location: Brgy. Laboy and Brgy. Ipil, Dipaculao, Aurora Brief Description: Earthworks, Subbase and Base Course, Surface Courses, Bridge Construction</t>
  </si>
  <si>
    <t xml:space="preserve"> Procurement ID/Contract I.D.: 20CN0159 Contract Name: Concreting of Sitio Kailugan FMR Contract Location: Brgy. Matawe, Dingalan, Aurora Brief Description: Earthworks, Subbase and Base Course, Surface Courses, Drainage and Slope Protection Structures, Mis</t>
  </si>
  <si>
    <t xml:space="preserve"> Billboard; Safety &amp; Health; Clearing and Site Preparation; Excavation; Reinforcing Steel Bars; Concrete Works; Equipment Requirement: Speed Cutter; Bar Bender; Dumptruck; 40 w.d.</t>
  </si>
  <si>
    <t xml:space="preserve"> 1.	The Municipal Government of El Nido, through the Trust Fund-Office of the Bldg. Official (OBO), and General Fund intends to apply the sum of One Million Sixty Five Thousand Pesos (₱ 1,065,000.00) being the Approved Budget for the Contract (ABC) to paym</t>
  </si>
  <si>
    <t xml:space="preserve"> Billboard; Clearing Works; Excavation Works; Railings; Concrete Works (Pathway); CHB Wall; Safety &amp; Health (Construction Health &amp; Safety; Manual Hauling of Materials ; Equipment Requirement: Cargo/Service Truck; Water Truck; Welding Machine; Speed Cutter;</t>
  </si>
  <si>
    <t xml:space="preserve"> QTY.	UNIT	DESCRIPTION			 928	bags	Portland Cement, 40kg.			 6098	pc.	Concrete Hollow Blocks, 4"			 14	truck	Gravel &amp; Sand			 260	pc.	Reinf. Steel Bar, 9mm dia.			 516	pc.	Reinf. Steel Bar, 10mm dia.			 38	truck	Screened Sand			 23	kgs.	Galvanized Iron Wir</t>
  </si>
  <si>
    <t xml:space="preserve"> Bongo 2 Single Tire Double Cab With Aircon, with Registration/Red Plate</t>
  </si>
  <si>
    <t xml:space="preserve"> Republic of the Philippines                                                        Province of Zamboanga del Norte                                                           MUNICIPALITY OF MANUKAN 	                                                         </t>
  </si>
  <si>
    <t xml:space="preserve"> INVITATION TO BID FOR 20GE028G - P.R. No. R06.14-029 – Purchase of Global Navigation Satellite System (GNSS) Equipment for use in surveying and Pre-Detailed Engineering Activities of Planning and Design Section, this Office. The Department of Public Works</t>
  </si>
  <si>
    <t xml:space="preserve"> Billboard; Replacement of dilapidated canal (RSB); Construction of Concrete Canal (RSB, Structural Concrete); Plastering of Existing Canal; Grouted riprap;  Safety &amp; Health (Construction Health and safety Requirement); Equipment Requirement: Bar cutter; b</t>
  </si>
  <si>
    <t xml:space="preserve"> Invitation to Bid The LGU Alangalang, through its Bids and Awards Committee (BAC), invites prospective bidders to apply for eligibility and to bid for the hereunder project: Name of Project: IMPROVEMENT OF TREASURY OFFICE Location:  LGU-Alangalang, Leyte </t>
  </si>
  <si>
    <t xml:space="preserve"> Invitation to Bid The LGU Alangalang, through its Bids and Awards Committee (BAC), invites prospective bidders to apply for eligibility and to bid for the hereunder project: Name of Project :SUPPLY AND DELIVERY OF 1 SET MICRO 20 PHOTOMETER WITH BLUETOOTH </t>
  </si>
  <si>
    <t xml:space="preserve"> Republic of the Philippines PROVINCIAL GOVERNMENT OF EASTERN SAMAR Capitol Building, Borongan, Eastern Samar, 6800 Tel No. (055)-560-8312 E-mail Address: esamar.bac@gmail.com BIDS AND AWARDS COMMITTEE (BAC) INVITATION TO BID FOR  THE PROCUREMENT OF OFFICE</t>
  </si>
  <si>
    <t xml:space="preserve"> Republic of the Philippines Province of Negros Occidental CITY OF VICTORIAS BIDS AND AWARDS COMMITTEE Reference No: Vict-eps20-035 INVITATION TO BID  ROAD CONCRETING AT SITIO PASIL, BARANGAY VI-A The City of Victorias, through the General Fund 2020 intend</t>
  </si>
  <si>
    <t xml:space="preserve"> Retrofitting of P.Fuentes Elementary School @ Fuentes, Pantukan, Davao De Oro (Pakyaw of Labor)</t>
  </si>
  <si>
    <t xml:space="preserve"> INVITATION TO QUOTE SUPPLY AND DELIVERY OF THREE (3) PCS. STAINLESS WORKING TABLES UNDER BANANA CHIPS PROCESSING AND MARKETING Estimated Project Cost: Php 90,000.00 1.	The Government of the Republic of the Philippines has received a loan from the World Ba</t>
  </si>
  <si>
    <t xml:space="preserve"> Project Sign Billboard; Construction Health and Safety Requirement; Structure Excavation (common soil);Embankment from  Common Borrow by Equipment; Structural Concrete (F,TB, Column, Slab) Class A, 28 days; Reinforcing Steel Bars, Grader 40; Formworks and</t>
  </si>
  <si>
    <t xml:space="preserve"> Republic of the Philippines Province of Negros Occidental CITY OF VICTORIAS BIDS AND AWARDS COMMITTEE Reference No: Vict-eps20-033 INVITATION TO BID  PURCHASE OF WORKBOOKS FOR PUBLIC ELEMENTARY SCHOOLS ( VICTORIAS I AND II ) The City of Victorias, through</t>
  </si>
  <si>
    <t xml:space="preserve"> INVITATION TO QUOTE SUPPLY AND DELIVERY OF ONE (1) UNIT BRAND NEW 10-TONNER TRUCK UNDER BANANA (CARDAVA) PRODUCTION, CONSOLIDATION AND MARKETING Estimated Project Cost: Php 3,525,000.00 1.	The Government of the Republic of the Philippines has received a l</t>
  </si>
  <si>
    <t xml:space="preserve"> INVITATION TO QUOTE SUPPLY AND DELIVERY OF ONE (1) GENERATOR SET  UNDER COFFEE PROCESSING AND MARKETING Estimated Project Cost: Php 80,000.00 1.	The Government of the Republic of the Philippines has received a loan from the World Bank towards the cost of </t>
  </si>
  <si>
    <t xml:space="preserve"> Republic of the Philippines NATIONAL FOOD AUTHORITY CARAGA REGIONAL OFFICE XV Libertad, Butuan City Tel No (085) 8179311, / Fax No. (085)-816-3786 Website Address: www.nfa.gov.ph/E-mail Address:  nfacaragabac@yahoo.com INVITATION TO BID  NEGOTIATED PROCUR</t>
  </si>
  <si>
    <t xml:space="preserve"> INVITATION TO QUOTE SUPPLY AND DELIVERY OF ONE HAND TRACTOR WITH TRAILER UNDER COFFEE PROCESSING AND MARKETING Estimated Project Cost: Php 160,800.00 1.	The Government of the Republic of the Philippines has received a loan from the World Bank towards the </t>
  </si>
  <si>
    <t xml:space="preserve"> Structure Excavation; Embankment; Structural Concrete for Fooling and Slab on Fill; Structural Concrete for Fooling Tie Beam, Girder/Beam; Reinforcing Steel of Reinforced Concrete Structures; Formworks and Falseworks; catch Basin (Concrete/CHB); Plumbing </t>
  </si>
  <si>
    <t xml:space="preserve"> 1.	The PhilHealth Regional Office VIII, through the Corporate Budget for COB 2020  intends to apply the sum of One Million One Hundred Two Thousand Eight Hundred Eighty-One &amp; 65/100 Pesos (P1,102,881.65) being the Approved Budget for the Contract (ABC) to</t>
  </si>
  <si>
    <t xml:space="preserve"> Republic of the Philippines Province of Negros Occidental CITY OF VICTORIAS BIDS AND AWARDS COMMITTEE Reference No: Vict-eps20-034 INVITATION TO BID  PURCHASE OF DIGITAL DUPLICATOR AND MULTIFUNCTION COPIER FOR ELEMENTARY AND SECONDARY  PUBLIC SCHOOLS The </t>
  </si>
  <si>
    <t xml:space="preserve"> ITB No. 2020-81 July 18, 2020 Republic of the Philippines Province of Davao Oriental CITY OF MATI INVITATION TO BID CONSTRUCTION OF MATI CREEK VERDANT WALL Name of Project 1.	The City Government of Mati, through the 20% Local Development Fund intends to a</t>
  </si>
  <si>
    <t xml:space="preserve"> Republic of the Philippines Province of Iloilo Municipality of Lemery Invitation to Bid 1.	The Barangay  San Jose,  Lemery, Iloilo, through  20% Development Fund 2017, 2019 &amp; 2020 intends to apply the sum of  One Hundred Eighty Thousand Pesos ( 180,000.00</t>
  </si>
  <si>
    <t xml:space="preserve"> Republic of the Philippines                                                          Province of Aklan MUNICIPALITY OF LIBACAO                                                           * * * The Local Government Unit of Libacao, through its Bids and Award</t>
  </si>
  <si>
    <t xml:space="preserve"> SUPPLY AND DELIVERY OF VARIOUS FIRE FIGHTING EQUIPMENT  The PNOC Industrial Park, through the 2020 Approved Corporate Operating Budget intends to apply the sum of Three Million Two Hundred Ten Thousand Pesos (P3,210,000.00) being the Approved Budget for t</t>
  </si>
  <si>
    <t xml:space="preserve"> Republic of the Philippines PROVINCE OF PAMPANGA City of San Fernando INVITATION TO BID NO. 2020-24 IG-BAC INVITATION TO BID FOR PURCHASE REQUEST NO. 20-1863 The Provincial Government of Pampanga (“Province”) intends to apply the following sums from the f</t>
  </si>
  <si>
    <t xml:space="preserve"> Billboard; Completion of Second Floor Extension( Dismantling of Half Roofing &amp; Framing, Structural Steel Roof Framing/Roofing, 100mm CHJB Load Bearing(including reinforcing steel), Cement Plaster Finish, A-Interior Ceiling (Marine Plywood in Wood Framing </t>
  </si>
  <si>
    <t xml:space="preserve"> Republic of the Philippines Province of Bohol Municipality of Ubay INVITATION TO BID FOR PURCHASE OF OFFICE EQUIPMENTS FOR THE PROVISION OF SCIENCE AND TECHNOLOGY INTERVENTIONS TO SUPPORT THE MUNICIPALITY OF UBAY AS A”SCIENCE MUNICIPALITY SMARTER LGU” 1.	</t>
  </si>
  <si>
    <t xml:space="preserve"> INVITATION TO BID The Provincial Government of Occidental Mindoro through its Bids and Awards Committee (BAC) invites all interested contractors to apply for eligibility and to bid for the following projects: Reference No.	Name of Project	Location	Brief D</t>
  </si>
  <si>
    <t xml:space="preserve"> Republic of the Philippines                                                   Province of Aklan                                                 MUNICIPALITY OF LIBACAO                                                 BARANGAY PAMPANGO                      </t>
  </si>
  <si>
    <t xml:space="preserve"> Republic of the Philippines Province of Negros Occidental CITY OF VICTORIAS BIDS AND AWARDS COMMITTEE Reference No: Vict-eps20-036 INVITATION TO BID  PURCHASE OF MATERIALS FOR CONSTRUCTION OF PERIMETER FENCE AT CUAYCONG EEMENTARY SCHOOL, VICTORIAS CITY Th</t>
  </si>
  <si>
    <t xml:space="preserve"> Billboard; Electrical (Second Floor &amp; Third Floor); Carpentry Works (Ceiling); Plumbing Works; Septic Tank; Comfort Rooms; Steel Column, Roof Framing, Roofing &amp; flashing; Granite Tiles; Fire Escape Ladder; Painting; Aluminum Louver, Sliding Window; Cement</t>
  </si>
  <si>
    <t xml:space="preserve"> I	SITE PREPARATION				 	1.1 TEMPORARY FENCE	1	LOT		 					 II	PPE	1	LOT		 III	SITE DEVELOPMENT	1	LOT		 	Drainage Canal varies from 0.3 m - 0.6 m	129	L.m		 	with Steel Grating 0.3 m Width (CHB#5) (1 1/2 x 5 mm Angle				 	Bar and 1 1/2 Flat Bar x 5 mm spaced</t>
  </si>
  <si>
    <t xml:space="preserve"> INVITATION TO QUOTE SUPPLY AND DELIVERY OF EQUIPMENTS AND MATERIALS UNDER BANANA (CARDAVA) PRODUCTION, CONSOLIDATION AND MARKETING Estimated Project Cost: Php 391,600.00 1.	The Government of the Republic of the Philippines has received a loan from the Wor</t>
  </si>
  <si>
    <t xml:space="preserve"> 1.	The Sultan Kudarat Water District, through the Corporate Budget Approved by the Governing Board  intends to apply the sum of P 4,887,952.56 being the Approved Budget for the Contract (ABC) for first year only to payments under the contract. Bids receiv</t>
  </si>
  <si>
    <t xml:space="preserve"> INVITATION TO QUOTE SUPPLY AND DELIVERY OF ONE (1) DEHULLER  UNDER COFFEE PROCESSING AND MARKETING Estimated Project Cost: Php 200,000.00 1.	The Government of the Republic of the Philippines has received a loan from the World Bank towards the cost of the </t>
  </si>
  <si>
    <t xml:space="preserve"> INVITATION TO QUOTE SUPPLY AND DELIVERY OF One (1) Unit BANANA CHIPS SLICER (with complete accessories) UNDER BANANA CHIPS PROCESSING AND MARKETING Estimated Project Cost: Php 130,000.00 1.	The Government of the Republic of the Philippines has received a </t>
  </si>
  <si>
    <t xml:space="preserve"> Invitation to Bid ITB-SSS-Goods-2020-022 	 PARTIAL REPLACEMENT OF 3-SET CIRCUIT BREAKERS FOR LOW VOLTAGE SWITCHGEAR (LVS) AT POWER SUBSTATION #1 (ATS AND STANDARD CONFIGURATION) 	 Approved Budget for the Contract (ABC)      :        PhP 1,500,000.00 Sourc</t>
  </si>
  <si>
    <t xml:space="preserve"> INVITATION TO QUOTE SUPPLY AND DELIVERY OF 2 units Foot Stamping Electric Sealer, 120 pcs Storage Crates (Rubberized), 2 units Digital Micro Weighing Scale, 2 units Weighing Scale 100 kg. capacity UNDER BANANA CHIPS PROCESSING AND MARKETING Estimated Proj</t>
  </si>
  <si>
    <t xml:space="preserve"> INVITATION TO QUOTE SUPPLY AND DELIVERY OF ONE (1) GRINDING MACHINE  UNDER COFFEE PROCESSING AND MARKETING Estimated Project Cost: Php 120,400.00 1.	The Government of the Republic of the Philippines has received a loan from the World Bank towards the cost</t>
  </si>
  <si>
    <t xml:space="preserve"> 34   pcs    Personalized Lectern in Public Address with Built-in Amplifier and Speaker                 (Vintar Logo at the Center)</t>
  </si>
  <si>
    <t xml:space="preserve"> Republic of the Philippines Province of Negros Occidental CITY OF VICTORIAS BIDS AND AWARDS COMMITTEE Reference No: Vict-eps20-032 INVITATION TO BID  PURCHASE OF RESCUE VEHICLE FOR THE USE OF RESCUE PERSONNEL The City of Victorias, through the General Fun</t>
  </si>
  <si>
    <t xml:space="preserve"> 100 BAGS HYDRIDE LIME 4 BAGS 14-14-14/HAS 4  BAGS FISH FEEDS STARTER 150 BAGS FISH FEED  GROWER 100 BAGS FISH FEED FINISHER</t>
  </si>
  <si>
    <t xml:space="preserve"> INVITATION TO BID The Bureau of Fisheries and Aquatic Resources Region 5 (BFAR 5), through the Government of the Philippines (GOP), for CY 2020 intends to apply the sum of One Million One Hundred Fifty Three Thousand Six Hundred Fifty Seven Pesos and Eigh</t>
  </si>
  <si>
    <t xml:space="preserve"> 50 BAGS HYDRIDE LIME 2 BAGS 14-14-14 2 BAGS 14-0-0 40 BAGS FISH FEED STARTER 75 BAGS FISH FEED GROWER 50 BAGS FISH FEED FINISHER</t>
  </si>
  <si>
    <t xml:space="preserve"> INVITATION TO QUOTE SUPPLY AND DELIVERY OF FIVE (5) SETS IRON GAS STOVE WITH LPG TANK, HOSE &amp; REGULATOR UNDER BANANA CHIPS PROCESSING AND MARKETING Estimated Project Cost: Php 35,000.00 1.	The Government of the Republic of the Philippines has received a l</t>
  </si>
  <si>
    <t xml:space="preserve"> Republic of the Philippines Province of Nueva Vizcaya BIDS AND AWARDS COMMITTEE (BAC-Goods) BAC OFFICE, Provincial Capitol, Bayombong, Nueva Vizcaya Tel. No. 078-392-2062 	 INVITATION TO BID FOR THE SUPPLY AND DELIVERY OF CONSTRUCTION MATERIALS (II) FOR T</t>
  </si>
  <si>
    <t xml:space="preserve"> Billboard; Structural Concrete Class A pathway); Grouted Riprap (Class A); Manual hauling of Backfill Material; Installation of Railings; Equipment Requirement: One Bagger Mixer; Dump Truck; Welding Machine; Bar Cutter; 8 w.d.</t>
  </si>
  <si>
    <t xml:space="preserve"> 1.	The Department of Agrarian Reform-Cordillera Administrative Region (DAR-CAR) Kalinga Provincial Office, through the Government of the Philippines, 2019 Continuing Fund,  General Appropriation Act of 2020 intends to apply the sum of ONE MILLION NINE HUN</t>
  </si>
  <si>
    <t xml:space="preserve"> The Municipality of Malangas, through the Bids and Award Committee (BAC), invites suppliers/manufactures/distributors/contractors to bid for the hereunder contract: Name of Project	: PURCHASE OF MATERIALS FOR THE DEVELOPMENT OF LAND FOR THE RELOCATION OF </t>
  </si>
  <si>
    <t xml:space="preserve"> CW-Rehabilitation of New Municipal Hall Building Php26,255.33</t>
  </si>
  <si>
    <t xml:space="preserve"> Republic of the Philippines Department of Public Works and Highways DAVAO ORIENTAL FIRST DISTRICT ENGINEERING OFFICE REGION XI Lucod, Baganga, Davao Oriental INVITATION TO BID ITB No. 2020-037 1.	The Department of Public Works and Highways Davao Oriental </t>
  </si>
  <si>
    <t xml:space="preserve"> CEMENT 8 BAGS 230  1,840 SAND  2 CU.M 850  1,700 C-STONE 1 CU.M  1,500 D/B 10MM  5 PC  165  825 D/B 8MM  6 PC  95  570 C-PURLINS #3 2 PC 432  864 PAINT  3 GAL.  540  1,620 G.I PLAIN SHEET 1.4X4X8 1 1,140 G.I PLAIN SHEET .4X4X8 4PCS  240 960 G.I PIPE #1 s.</t>
  </si>
  <si>
    <t xml:space="preserve"> Republic of the Philippines                                              Province of Aklan                                            MUNICIPALITY OF LIBACAO                                           BARANGAY  ALFONSO XII                                  </t>
  </si>
  <si>
    <t xml:space="preserve"> Concreting L=135m, W=6m and Thk=5inch</t>
  </si>
  <si>
    <t xml:space="preserve"> INVITATION TO QUOTE SUPPLY AND DELIVERY OF One (1) set Water Tank with Pipe (400 liters) UNDER BANANA CHIPS PROCESSING AND MARKETING Estimated Project Cost: Php 50,000.00 1.	The Government of the Republic of the Philippines has received a loan from the Wo</t>
  </si>
  <si>
    <t xml:space="preserve"> PLEASE QUOTE: PER LOT										 0							"SUPPLIER/CONTRACTOR/  CONSULTANT’S PROPOSAL BOX "			 										 No.	"ITEM DESCRIPTION  (ITEM NAME &amp; TECHNICAL SPECIFICATIONS)"	QTY.	UNIT	UNIT COST	APPROVED BUDGET OF CONTRACT (ABC)		"FINANCIAL PROPOSAL  (Indicate t</t>
  </si>
  <si>
    <t xml:space="preserve"> Invitation to Bid 1. The Philippine Economic Zone Authority (PEZA), through its Corporate Operating Budget for CY 2020 intends to apply the sum of P2,000,000.00 being the Approved Budget for the Contract (ABC) to payments under the contract for the Procur</t>
  </si>
  <si>
    <t xml:space="preserve"> Concreting A=816sq.m, and Thk=5inch</t>
  </si>
  <si>
    <t xml:space="preserve"> Republic of the Philippines Province of Leyte Municipality of Hilongos INVITATION TO BID FOR THE PURCHASE OF 1 UNIT PHOTOCOPIER 1.  The Local Government Unit of Hilongos, through GENERAL FUND-SUPPLEMENTAL BUDGET NO. 2020-05 intends to apply the sum NINETY</t>
  </si>
  <si>
    <t xml:space="preserve"> INVITATION TO BID A.	The Department of Public Works and Highways-Metro Manila 1 District Engineering Office, Westbank Road, Manggahan Floodway, Rosario, Pasig City through its Bids and Awards Committee (BAC), invites contractors to submit bids for the fol</t>
  </si>
  <si>
    <t xml:space="preserve"> Republic of the Philippines     Province  of Surigao del Sur   TAGBINA, SURIGAO DEL SUR    BIDS AND AWARDS COMMITTEE INVITATION TO BID FOR THE  Construction of Evacuation Center (Phase 2) LOCATION:   Poblacion, Tagbina, Surigao del Sur The municipality of</t>
  </si>
  <si>
    <t xml:space="preserve"> A) REQUEST FOR QUOTATION 2014 Model Toyota Innova 1. 150 pcs Oil Filter 2. 50 pcs Fuel Filter 3. 50 pcs Air Filter Element 4. 40 sets Brake Pad 5. 20 pcs Drive Belt 6. 80 pcs Micro Filter 7. 3 pcs Aircon Compressor Assembly 8. 10 pcs Alternator Pulley 9. </t>
  </si>
  <si>
    <t xml:space="preserve"> Supply and Delivery of two (2) units HIGH-SPEED HEAVY DUTY INKJET PRINTER SPECIFICATIONS: 120cpm minimum speed with automatic stanpling function Print Type Line- Type Inkjet System Ink Type Oil- based pigment ink (Black) Print Resolution Standard Data Pro</t>
  </si>
  <si>
    <t xml:space="preserve"> Construction of Canbantug core local road at Brgy. Canbantug, Merida, Leyte</t>
  </si>
  <si>
    <t xml:space="preserve"> Procurement of 6wheeler Truck NPR NQR Cargo Dropside Aluminum High Side</t>
  </si>
  <si>
    <t xml:space="preserve"> Improvement/Rehabilitation of Day Care Center at Brgy. Mahalit, Merida</t>
  </si>
  <si>
    <t xml:space="preserve"> Republic of the Philippines Province of Nueva Vizcaya BIDS AND AWARDS COMMITTEE (BAC-Goods) BAC OFFICE, Provincial Capitol, Bayombong, Nueva Vizcaya Tel. No. 078-392-2062 	 INVITATION TO BID FOR THE SUPPLY AND DELIVERY OF CONSTRUCTION MATERIALS  FOR THE  </t>
  </si>
  <si>
    <t xml:space="preserve"> PROCUREMENT OF RESCUE EQUIPMENT AND RETRACTABLE TENT CHARGE TO : SURPLUS 2019, MPOC 2020, ICMP 2020</t>
  </si>
  <si>
    <t xml:space="preserve"> Republic of the Philippines Province of Southern Leyte MUNICIPALITY OF SAINT BERNARD BIDS AND AWARDS COMMITTEE INVITATION TO BID FOR Supply and Delivery of Construction Materials for Const. /Improvement of Day Care Center Bldg. cum Evacuation Center BAC-S</t>
  </si>
  <si>
    <t xml:space="preserve"> Republic of the Philippines Province of Samar Municipality of Matuguinao Invitation to Bid for the Procurement of Infrastructure for the  PROVISION OF POTABLE WATER SUPPLY AT BRGY. MAHAYAG      The Municipal Government of Matuguinao, through the DILG GAA </t>
  </si>
  <si>
    <t xml:space="preserve"> Construction of Calunasan Core Local Roads at Brgy. Calunasan, Merida, Leyte</t>
  </si>
  <si>
    <t xml:space="preserve"> Republic of the Philippines Province of Samar Municipality of Matuguinao Invitation to Bid for the Procurement of Infrastructure for the  PROVISION OF POTABLE WATER SUPPLY AT BRGY. SALAVACION      The Municipal Government of Matuguinao, through the DILG G</t>
  </si>
  <si>
    <t xml:space="preserve"> 2 units Rice Mill - Single-pass mobile - Rubber roll huller-friction whitener - Power Source: Diesel Engine/Electric Motor - Input Capacity: 600-900 kg/h - Milling recovery index-minimum, 0.98 - Head Rice index, %; minimum, 0.90 - Hulling efficiency, %; m</t>
  </si>
  <si>
    <t xml:space="preserve"> LAND BANK OF THE PHILIPPINES Regional Bids and Awards Committee – Region X Skyhi Cinema Complex Capistrano corner Pa INVITATION TO BID The Land Bank of the Philippines through its Regional Bids and Awards Committee – Region X (RBAC-X), invites contractors</t>
  </si>
  <si>
    <t xml:space="preserve"> Republic of the Philippines DEPARTMENT OF PUBLIC WORKS AND HIGHWAYS SOUTH COTABATO 1ST  DISTRICT ENGINEERING OFFICE REGIONAL OFFICE XII Lagao, General Santos City   INVITATION TO BID  (IB NO. IBG -014, SERIES OF 2020) Contract ID No. 20GMB0014- Equipment </t>
  </si>
  <si>
    <t xml:space="preserve"> 1 unit mitsubishi canter double cab 2005 model Diesel Engine 4drs  Aircon with car stereo Brand new tires Body new built Manual transmission 4 new shocks New paint New upholstery New carpet All gauges and lights functioning New battery 24 plates motolite </t>
  </si>
  <si>
    <t xml:space="preserve"> Republic of the Philippines Province of Nueva Vizcaya Municipality of Bambang -oOo- INVITATION TO BID The Local Government Unit of Bambang, through the General Fund, intends to apply the sum of EIGHT HUNDRED THOUSAND PESOS (₱800,000.00) being the Approved</t>
  </si>
  <si>
    <t xml:space="preserve"> Republic of the Philippines Province of Eastern Samar MUNICIPALITY OF GEN.MACARTHUR -o0o- BIDS AND AWARDS COMMITTEE Invitation to Bid for the Construction of Flood Control along Watch Tower, L=30.00m, H=6.00m. at Barangay 07, Poblacion, Gen. MacArthur, Ea</t>
  </si>
  <si>
    <t xml:space="preserve"> Republic of the Philippines Province of Nueva Vizcaya Municipality of Bambang -oOo- INVITATION TO BID The Local Government Unit of Bambang, through the Barangay Fund, intends to apply the sum of TWO HUNDRED NINE THOUSAND FOUR HUNDRED FORTY FIVE PESOS (₱20</t>
  </si>
  <si>
    <t xml:space="preserve"> Improvement/Rehabilitation of Daycare Center at Brgy. Cabaliwan, Merida</t>
  </si>
  <si>
    <t xml:space="preserve"> 1 Unit 3.5 CU.M Dump Truck (Brand New)	  SPECIFICATIONS: *GVM  - 8,500 kg  *Engine:    NO4c-UV(Euro IV)    Diesel fed    4 cylinder    4 cycle    Vertical    Turbo    Charge and intercooled    Overhead   valve    Water cooled direct injection    Electroni</t>
  </si>
  <si>
    <t xml:space="preserve"> Improvement/Rehabilitation of Daycare Center at Brgy. San Jose, Merida</t>
  </si>
  <si>
    <t xml:space="preserve"> DELIVERY OF ONE (1) UNIT EMERGENCY RESPONSE VEHICLE</t>
  </si>
  <si>
    <t xml:space="preserve"> Building Construction</t>
  </si>
  <si>
    <t xml:space="preserve"> Complete Construction of 2 Science Laboratory Room ( 7.00m x 18.00m per room) and 2 Computer Room (7.0m x 18.00 per room) mostly built with concrete and masonry, with PWD ramp with handrails, parapet wall on concrete gutter and complete with electrical wo</t>
  </si>
  <si>
    <t xml:space="preserve"> 1 Grass Cutter 10units</t>
  </si>
  <si>
    <t xml:space="preserve"> Republic of the Philippines Province of Nueva Vizcaya Municipality of Bambang -oOo- INVITATION TO BID The Local Government Unit of Bambang, through the General Fund, intends to apply the sum of TWO MILLION THREE HUNDRED SEVENTY THOUSAND THREE HUNDRED SEVE</t>
  </si>
  <si>
    <t xml:space="preserve"> 16 "Piece(s)" "Lubricating Oil Filter # T64101001 -" "Foton DT" 8 "Piece(s)" "Secondary Fuel Filter # T64 101 003 -" "Foton DT" 8 "Piece(s)" "Primary Fuel Filter #T6410200ZA -" "Foton DT" 5 "Set(s)" "10x20 Log Type Tire with Inner Tube &amp; Flaps -" "FDT" 5 </t>
  </si>
  <si>
    <t xml:space="preserve"> Name of Projects: Improvement of Road ------------------------------------------------ 485,467.20 Location: Purok Liwliwa Brgy San Isidro Sur Road Opening at Purok Bougainvilla and Purok Sinamar -----------485,708.40 Location: Brgy. Turod Opening and Impr</t>
  </si>
  <si>
    <t xml:space="preserve"> Supply of Fuel &amp; Lubricants</t>
  </si>
  <si>
    <t xml:space="preserve"> 1 "Liter (s)" "Cobalt -" "" 2 "Liter (s)" "Wax -" "" 60 "Liter (s)" "Gelkote -" "" 115 "kg(s)" "CSM # 450 -" "" 70 "kg(s)" "WR #600 -" "" 330 "Liter (s)" "R-10-103 Resin -" "" 2 "Liter (s)" "Hardiner -" "" 5 "Liter (s)" "Styrene -" "" 6 "Liter(s)" "Laquer</t>
  </si>
  <si>
    <t xml:space="preserve"> Please download the attached documents or you may visit our website @www.prc.gov.ph</t>
  </si>
  <si>
    <t xml:space="preserve"> 1 Rubber Tube 5pcs 2 Road Tube Grip (Chinese Fingers) 10pcs 3 Canvass Strap 10pcs 4 Concrete NAil (Assorted 1.5, 2.0, 2.5 inches) 2kg 5 Metal Chain (1.50m length) 2pcs 6 Washer 50pcs 7 Padlock 4pcs 8 Gloves (leather) 4pair 9 Gloves Cotton 16pair 10 Traffi</t>
  </si>
  <si>
    <t xml:space="preserve"> Republic of the Philippines Province of Capiz Municipality of Mambusao Barangay Bunga Invitation to Bid for a One (1) Job Order for the Supply of Labor and Materials for Improvement of Multi-Purpose Hall at Brgy. Bunga, Mambusao, Capiz   The Municipality </t>
  </si>
  <si>
    <t xml:space="preserve"> Republic of the Philippines DEPARTMENT OF PUBLIC WORKS AND HIGHWAYS CAMARINES NORTE  DISTRICT ENGINEERING OFFICE REGIONAL OFFICE V Daet, Camarines Norte REQUEST FOR EXPRESSION OF INTEREST (REOI) Contract ID		: 20CSFC01 Contract Name	: CONSULTING SERVICES </t>
  </si>
  <si>
    <t xml:space="preserve"> 11 "Unit(s)" "Water Tank, Steel, Vertical, 3.20 cu.m. -" "" 4 "Unit(s)" "Water Tank, Steel, Horizontal, 3.20 cu.m. -" "" 2 "Roll(s)" "PE Pipe, 1/2"" dia. -" "" 3 "Roll(s)" "PE Pipe, 1"" dia. -" "" 60 "Piece(s)" "PPR Male Adoptor, 1"" dia. PN 20 -" "" 45 "</t>
  </si>
  <si>
    <t xml:space="preserve"> Republic of the Philippines Province of Cebu Municipality of Cordova BIDS AND AWARDS COMMITTEE (BAC) (032-236-6171) INVITATION TO BID  The Municipality of Cordova, through its Bids and Awards Committee (BAC) intends to apply  the sum of One Million Pesos </t>
  </si>
  <si>
    <t xml:space="preserve"> Invitation to Bid for PR No. 20071301 – Supply and Delivery of Materials for Improvement of Eco-Athletic Field Track Oval, Eco-Athletic Field, F. Pimentel Avenue, Daet, Camarines Norte 	 1.	The Provincial Government of Camarines Norte, through the SEF CY </t>
  </si>
  <si>
    <t xml:space="preserve"> Concreting Road W=5m, T=0.2m, L=400m, 3sets of Pipe Culvert</t>
  </si>
  <si>
    <t xml:space="preserve"> Please see attached documents It may also be downloaded free of charge from the website of the Philippine Ports Authority at www.ppa.com.ph</t>
  </si>
  <si>
    <t xml:space="preserve"> The Bids and Award Committee (BAC) of the Barangay Government of Camp 3, Tuba, Benguet, invites interested and qualified contractors registered with and classified by the Philippine Contractor Accreditation Board (PCAB) and a PhilGEPS registered to bid fo</t>
  </si>
  <si>
    <t xml:space="preserve"> Republic of the Philippines Province of Cebu Municipality of Cordova BIDS AND AWARDS COMMITTEE (BAC) (032-236-6171) INVITATION TO BID  The Municipality of Cordova, through its Bids and Awards Committee (BAC) intends to apply  the sum of Two Million Pesos </t>
  </si>
  <si>
    <t xml:space="preserve"> Republic of the Philippines Department of Agriculture BUREAU OF PLANT INDUSTRY 692 San Andres Street Malate, Manila, Philippines E-mail Address: bpibac@yahoo.com Tel. No.: (02) 8526-7859, (02) 8691-0736 | Website: bpi.da.gov.ph SOLICITATION NO.: ITB PR NO</t>
  </si>
  <si>
    <t xml:space="preserve"> Invitation to Bid for Installation of Customize Office Cubicle  including labor and materials, 10 units Free Standing Table (Main Table) and 6 units JR Executive Table Laminated Top Panel Leg  Of Bukidnon IMO The National Irrigation Administration, throug</t>
  </si>
  <si>
    <t xml:space="preserve"> QTY	UNIT	ITEM DESCRIPTION 		 		FACE RECOGNITION BIOMETRICS  1.00 	lot	Attendance Management System (Software Components) 		-can accommodate "broken" work schedules 		-can accommodate multi-shifting schedules 		-grace period 		-"sliding" schedules 		-Leave</t>
  </si>
  <si>
    <t xml:space="preserve"> Republic of the Philippines Province of Nueva Vizcaya MUNICIPALITY OF AMBAGUIO -oo0oo- July 14, 2020 INVITATION TO APPLY FOR ELIGIBILITY AND TO BID 	The Municipal Government of Ambaguio, Nueva Vizcaya through the Bids and Awards Committee (BAC) hereby inv</t>
  </si>
  <si>
    <t xml:space="preserve"> Package 9 of 10: Supply and Delivery of 328 pieces D.I. Mechanical Sleeve Type Coupling, 100mm (4") Ø (Universal Type) (re-bidding)</t>
  </si>
  <si>
    <t xml:space="preserve"> Package 8 of 10: Supply and Delivery of 365 pcs. D.I. Mechanical Sleeve Type Coupling, 110mm. O.D (4”) Standard Type</t>
  </si>
  <si>
    <t xml:space="preserve"> Republic of the Philippines DEPARTMENT OF PUBLIC WORKS AND HIGHWAYS OFFICE OF THE DISTRICT ENGINEER Aklan District Engineering Office Toting Reyes St., Kalibo, Aklan The Department of Public Works and Highways (DPWH), Aklan District EngineeringOffice, Kal</t>
  </si>
  <si>
    <t xml:space="preserve"> Package 7 of 10: Supply and Delivery of 25 units Fire Hydrant Head 4"Ø (Angle Type) and 15 units Fire Hydrant Head 6"Ø (3-Way) (re-bidding 2)</t>
  </si>
  <si>
    <t xml:space="preserve"> Supply and Delivery of   (17) UNITS DUPLICATING MACHINE SPECIFICATION: Master-Making/Printing Methods	High speed digital-making/fully automatic printing Original Type:	Sheet Original Size (min./max.)	90mmx140mm to 310mmx435mm (3 27/32" x 5 1/2" - 12/32" x</t>
  </si>
  <si>
    <t xml:space="preserve"> Package 5 of 10: Supply and Delivery of 6,930 pieces 19mm.Ø (3/4") Plastic Union Coupling, Compression Type (CTS Pipe) (re-bidding)</t>
  </si>
  <si>
    <t xml:space="preserve"> Package 10 of 10: Supply and Delivery of 650 pieces Valve Box Cover, 160mm (Cast Iron or Ductile Iron) (re-bidding)</t>
  </si>
  <si>
    <t xml:space="preserve"> Package 4 of 10: Supply and Delivery of 43 pieces Air Release Valve, 50mm Flange Type</t>
  </si>
  <si>
    <t xml:space="preserve"> Package 3 of 10: Supply and Delivery of 15 lengths Riser Pipe with Coupling, 10" Ø  x 10 ft. (re-bidding) (re-bidding 2)</t>
  </si>
  <si>
    <t xml:space="preserve"> Extension of Three (3) Phase-lines and Installation of Transformer under Material Recovery Facility (MRF) in Barangay Callos, Peñaranda, Nueva Ecija</t>
  </si>
  <si>
    <t xml:space="preserve"> Package 1 of 10: Supply of Labor and Materials for the Production and Delivery of 19 pieces Yellow Gold Bracelet with I.D. Bar (18K, 10 grams)</t>
  </si>
  <si>
    <t xml:space="preserve"> Package 6 of 10: Supply and Delivery of 3,697 pieces 19mm.Ø (3/4") Plastic Female Elbow, Compression Type (for CTS Pipe) (re-bidding)</t>
  </si>
  <si>
    <t xml:space="preserve"> Republic of the Philippines PROVINCIAL GOVERNMENT OF EASTERN SAMAR Capitol Building, Borongan, Eastern Samar, 6800 Tel No. (055)-560-8312 E-mail Address: esamar.bac@gmail.com BIDS AND AWARDS COMMITTEE (BAC) INVITATION TO BID FOR ROAD OPENING/FARM-TO-MARKE</t>
  </si>
  <si>
    <t xml:space="preserve"> Local Road Upgrading- Brgy. Catioan, Capalonga, Camarines Norte</t>
  </si>
  <si>
    <t xml:space="preserve"> QTY	UNIT	ITEM DESCRIPTION 		  13.00 	unit/s	Fabrication/Installation of Streetlights</t>
  </si>
  <si>
    <t xml:space="preserve"> QTY	UNIT	ITEM DESCRIPTION 		  24.00 	unit/s	Fabrication/Installation of Streetlights</t>
  </si>
  <si>
    <t xml:space="preserve"> INVITATION TO BID FOR THE CONTRACT ID: 20-07-099 Contract Name: PROCUREMENT OF PERSONAL PROTECTIVE EQUIPMENT Approved Budget for the Contract (ABC) : Php 11,520,600.00 Cost of Bidding Documents: Php 25,000.00 1. The Department of Health - Zamboanga Penins</t>
  </si>
  <si>
    <t xml:space="preserve"> Republic of the Philippines Province of Camarines Sur MUNICIPALITY OF BAAO INVITATION TO BID FOR THE SUPPLY AND DELIVERY OF OTHER SUPPLIES 1. The LOCAL GOVERNMENT UNIT OF BAAO, through the Budget for the contract approved by the Sanggunian 2020 intends to</t>
  </si>
  <si>
    <t xml:space="preserve"> Package 2 of 10: Supply and Delivery of 117 pieces Respiratory Mask (Full Face Gas Mask) with inclusion of two (2) Cartridges (re-bidding)</t>
  </si>
  <si>
    <t xml:space="preserve"> Republic of the Philippines Province of Samar Catbalogan City Invitation to Bid for Infra 2020-034 CONSTRUCTION OF DRAINAGE CANAL, BARANGAY GUINSORONGAN Catbalogan City 1.	The City Government of Catbalogan, through the CY 2020 Non-Office (Ordinance No. 20</t>
  </si>
  <si>
    <t xml:space="preserve"> Republic of the Philippines Province of Eastern Samar Municipality of Arteche  INVITATION TO BID Construction of Arteche Terminal 1.	The Local Government Unit of Arteche, Esastern Samar, through a general appropriation intends to apply the sum of Nineteen</t>
  </si>
  <si>
    <t xml:space="preserve"> Republic of the Philippines Province of Eastern Samar MUNICIPALITY OF GIPORLOS Office of the Municipal Mayor ________________________________________ INVITATION TO BID FOR  Supply and Delivery of Rice  GOODS 2020-07-006 1.	The LGU GIPORLOS, EASTERN SAMAR,</t>
  </si>
  <si>
    <t xml:space="preserve"> QTY	UNIT	ITEM DESCRIPTION 		  11.00 	unit/s	Fabrication/Installation of Streetlights</t>
  </si>
  <si>
    <t xml:space="preserve"> I.    Electrical Works II.   Labor/Equipment OCM/CP/VAT</t>
  </si>
  <si>
    <t xml:space="preserve"> Republic of the Philippines Province of Eastern Samar Municipality of Arteche  INVITATION TO BID Construction of Access Road to Dump Site 1.	The Local Government Unit of Arteche, Esastern Samar, through a general appropriation intends to apply the sum of </t>
  </si>
  <si>
    <t xml:space="preserve"> Republic of the Philippines Province of Samar Catbalogan City Invitation to Bid for Infra 2020-032 REPAIR/REHAB OF PATHWAY WITH RIPRAP, Barangay Darahuray Daco, Catbalogan City 1.	The City Government of Catbalogan, through the CY 2020 Non Office (Ordinanc</t>
  </si>
  <si>
    <t xml:space="preserve"> Republic of the Philippines Province of Palawan Municipality of Busuanga Invitation to Bid for ONE STOREY MULTI-PURPOSE BUILDING (PNP COMPOUND) Bgy. Salvacion, Busuanga Palawan 1.	The Local Government of Busuanga, through the CAPITAL OUTLAY intends to app</t>
  </si>
  <si>
    <t xml:space="preserve"> 2nd BIDDING The Barangay Government of Capacuan, Paracale, Camarines Norte invites all legitimate suppliers/bidders to submit their quotation for the project of Barangay Capacuan, Paracale, Camarines Norte. BARANGAY USED 2 pc Laptop 1 pc Printer Approved </t>
  </si>
  <si>
    <t xml:space="preserve"> Republic of the Philippines Province of Quezon MUNICIPALITY OF SAMPALOC INVITATION TO BID FOR THE                CONSTRUCTION OF FLOOD CONTROL STRUCTURE Date :July 17, 2020 1.	The Municipal Government of Sampaloc, Quezon thru the DILG-PCF 2019 Fund intend</t>
  </si>
  <si>
    <t xml:space="preserve"> Supply and Delivery of Medical Supplies</t>
  </si>
  <si>
    <t xml:space="preserve"> Supply and Delivery of Medicines</t>
  </si>
  <si>
    <t xml:space="preserve"> Item No.	Scope of Work	Quantity	Unit	Total Estimated Cost 1	Procurement of KIBC Equipment and Fixtures			2,627,000.00</t>
  </si>
  <si>
    <t xml:space="preserve"> Republic of the Philippines Bangsamoro Autonomous Region in Muslim Mindanao Province of Maguindanao MUNICIPALITY OF DATU ABDULLAH SANGKI BIDS AND AWARDS COMMITTE   Talisawa, Datu Abdullah Sangki, Maguindanao   INVITATION TO BID The Local Government Unit o</t>
  </si>
  <si>
    <t xml:space="preserve"> Municipality of Busuanga INVITATION TO BID FOR SUPPLY &amp; DELIVERY OF ADDITIONAL EQUIPMENT'S FOR ISOLATION FACILITY (Air Condition Units/Installation Included) 1.	The [Municipal Government of Busuanga], through the 20% Development Fund intends to apply the </t>
  </si>
  <si>
    <t xml:space="preserve"> Republic of the Philippines Province of Eastern Samar Municipality of Arteche  INVITATION TO BID Construction of Barangay Road Sidewalk with Concrete Drainage canal (Phase II) 1.	The Local Government Unit of Arteche, Esastern Samar, through a general appr</t>
  </si>
  <si>
    <t xml:space="preserve"> BUTUAN CITY WATER DISTRICT Gov. Jose A. Rosales Ave., Butuan City INVITATION TO BID  For Package 05 -2020: Supply, Delivery, Testing and Commissioning of One (1) unit Global Navigation Satellite Systems Real-Time Kinematic (GNSSRTK) including 1 Base +1 Ro</t>
  </si>
  <si>
    <t xml:space="preserve"> Republic of the Philippines Province of Davao Occidental MUNICIPALITY OF SARANGANI Invitation to Bid PROVISION OF SLIDING DOOR, SBO (1000-1-2-2-1), SARANGANI, DAVAO OCCIDENTAL. The Municipality of Sarangani, through Supplemental / No. 2 Fund for Calendar </t>
  </si>
  <si>
    <t xml:space="preserve"> Republic of the Philippines Province of Eastern Samar Municipality of Arteche  INVITATION TO BID Construction of Barangay Road Sidewalk with Concrete Drainage canal (Phase I) 1.	The Local Government Unit of Arteche, Esastern Samar, through a general appro</t>
  </si>
  <si>
    <t xml:space="preserve"> I.   Electrical Works II.  Labor / Equipment OCM/CP/VAT</t>
  </si>
  <si>
    <t xml:space="preserve"> 1	1660	Head Free Range Chicken layers (female) 2	340	Head	Free Range Chicken (male) 3	2240	Head	Itik pinas (female) 4	456	Head	Itik pinas (male)          1.2 to 1.5 kilograms body weight          25 months of age          Farm of origin must have Certific</t>
  </si>
  <si>
    <t xml:space="preserve"> INVITATION TO BID FOR THE CONTRACT ID: 20-07-098 Contract Name: PROCUREMENT OF VARIOUS MASK AND ALCOHOL Approved Budget for the Contract (ABC) : Php 2,121,368.00 Cost of Bidding Documents: Php 5,000.00 1. The Department of Health - Zamboanga Peninsula - C</t>
  </si>
  <si>
    <t xml:space="preserve"> QTY	UNIT	ITEM DESCRIPTION 		  1.00 	l.s.	Hauling of Materials  460.00 	sq.m.	Concrete Works</t>
  </si>
  <si>
    <t xml:space="preserve"> INVITATION TO BID FOR Procurement of Equipment for Electrical and Mechanical Engineering Laboratory           The CAMARINES SUR POLYTECHNIC COLLEGES, through the CHED FINANCIAL ASSISTANCE (2020) intends to apply the sum of Four Million Seven Hundred Thous</t>
  </si>
  <si>
    <t xml:space="preserve"> INVITATION TO BID FOR THE CONCRETING OF FMR ALONG BARANGAYS APIAT, SAN RAMON AND SAN RAFAEL, AURORA, ISABELA 1.	The Local Government Unit of Aurora, through the Financial Assistance from the Provincial Government of Isabelaintends to apply the sum of Nine</t>
  </si>
  <si>
    <t xml:space="preserve"> PB NO. 2020-049		 			 1.	12000	reams	Bond Paper A4 			 	Deadline for Submission of Bids: August 6, 2020 10:00 am</t>
  </si>
  <si>
    <t xml:space="preserve"> Materials Labor cost</t>
  </si>
  <si>
    <t xml:space="preserve"> 4 bxs Chromic 2.0 40mm 4 bxs Chromic 3.0 40mm 4 bxs Silk 2.0 with Cutting needle 4 bxs Silk 3.0 with Cutting needle 4 bxs Vicryl 3.0 800 pcs Macroset Adult 50 pcs O2 Canula Adult 50 pcs O2 Canula Pedia 300 pcs Venflon Adult 400 pcs Venflon g24 250 pcs Ven</t>
  </si>
  <si>
    <t xml:space="preserve"> Bid Opening - August 6, 2020, 2 P.M. at Municipal Conference Room</t>
  </si>
  <si>
    <t xml:space="preserve"> Republic of the Philippines Province of Eastern Samar Municipality of Arteche  INVITATION TO BID Construction of Barangay  Road (Sta. 00+310-00+415) 1.	The Local Government Unit of Arteche, Esastern Samar, through a general appropriation intends to apply </t>
  </si>
  <si>
    <t xml:space="preserve"> Embankment Fencing works Play ground Comfort Room</t>
  </si>
  <si>
    <t xml:space="preserve"> Republic of the Philippines Province of Davao Oriental City of Mati BIDS &amp; AWARDS COMMITTEE INVITATION TO BID LOT Procurement of MATERIALS &amp; EQUIPMENT RENTAL for Use in the Improvement of Multi-Purpose Center/Hall of the Provincial Social Welfare Developm</t>
  </si>
  <si>
    <t xml:space="preserve"> Dimension: 2.00m height, 2.00m. width Labor</t>
  </si>
  <si>
    <t xml:space="preserve"> Republic of the Philippines PROVINCE OF QUIRINO Cabarroguis -oOo- BIDS AND AWARDS COMMITTEE INVITATION TO BID FOR  Construction of Slope Protection and Line Canal along Dibibi-Dingasan Road Contract No. PB-CW-2020-026 							June 30, 2020 1.	The Bids and </t>
  </si>
  <si>
    <t xml:space="preserve"> INVITATION TO BID FOR Procurement of Laptop for CSPC Faculty Members and Key Officials for Flexible Learning and Public Service Delivery under New Normal           The CAMARINES SUR POLYTECHNIC COLLEGES, through the GAA (2020) intends to apply the sum of </t>
  </si>
  <si>
    <t xml:space="preserve"> JULY 16, 2020 INVITATION TO BID Name of Project: PURCHASE OF 1 UNIT HEAVY EQUIPMENT (MOTOR GRADER) Approved Budget of the Contract: P 5,500,000.00 ITEM:  1	unit	Motor Grader   	 	6 cylinder, 14 stroke diesel engine with rated power at least 100 km- 105kw </t>
  </si>
  <si>
    <t xml:space="preserve"> 58 cubic meter Fine Aggregates 86 cubic meter Coarse Aggregates</t>
  </si>
  <si>
    <t xml:space="preserve"> 107 cubic meter Fine Aggregates 160 cubic meter Coarse Aggregates</t>
  </si>
  <si>
    <t xml:space="preserve"> Rehabilitation of Local Road at Brgy. Tubod, Merida, Leyte</t>
  </si>
  <si>
    <t xml:space="preserve"> INVITATION TO BID CONCRETING OF DANLAG BARANGAY PROPER ROAD (INFRONT OF BARANGAY HALL)  Identification No.  TAMP-PB-INFRA-09-2020  1.	The Municipality of Tampakan, through the 20% MDF CY 2020/8918-300-1-07-10-020 intends to apply the sum of One Million Fi</t>
  </si>
  <si>
    <t xml:space="preserve"> Republic of the Philippines SPECIAL BIDS AND AWARDS COMMITTEE LOCAL GOVERNMENT OF BAGUIO CITY THE BUILD OUT AND SUPPLY, INSTALLATION &amp; COMMISSIONING OF EQUIPMENT FOR PHASE 1 OF THE BAGUIO CITY LGU SMART CITY COMMAND and CONTROL CENTER July 1, 2020 Version</t>
  </si>
  <si>
    <t xml:space="preserve"> INVITATION TO BID FOR Procurement of Equipment &amp; Software for SAP Laboratory           The CAMARINES SUR POLYTECHNIC COLLEGES, through the GAA (2020) intends to apply the sum of Five Million Eighty Thousand Pesos (₱5,080,000.00) being the Approved Budget </t>
  </si>
  <si>
    <t xml:space="preserve"> INVITATION TO BID NO. GOODS-033-2020 The Provincial Government of Bataan, through the General Fund033 intends to apply the below listed procurement w/ corresponding Approved Budget of the Contract (ABC). Bids received in excess of the ABC shall be automat</t>
  </si>
  <si>
    <t xml:space="preserve"> SUPPLY AND DELIVERY OF LABORATORY SUPPLIES (HEMATOLOGY ANALYZER DILUENT - HEMATOLOGY ANALYZER LATRON CONTROL) -ORDER OF PAYMENT FOR BID DOCS WILL BE AVAILABLE AT GSD-HEAD OFFICE @ 10TH FLOOR MAKATI CITY HALL BLDG. 2. LOOK FOR MR. REDEN VILLANUEVA. A COMPL</t>
  </si>
  <si>
    <t xml:space="preserve"> Republic of the Philippines Zamboanga Peninsula Department of Health Basilan General Hospital Isabela City, Basilan 7300 INVITATION TO BID FOR  Procurement of Various Drugs and Medicines IB# 2020-06-0441 The BASILAN GENERAL HOSPITAL (BGH), through the SAA</t>
  </si>
  <si>
    <t xml:space="preserve"> PRINTING OF FORMS AND MATERIALS FOR VARIOUS DEPARTMENTS / OFFICES OF THE CITY GOVERNMENT OF MAKATI -ORDER OF PAYMENT FOR BID DOCS WILL BE AVAILABLE AT GSD-HEAD OFFICE @ 10TH FLOOR MAKATI CITY HALL BLDG. 2. LOOK FOR MR. REDEN VILLANUEVA. A COMPLETE SET OF </t>
  </si>
  <si>
    <t xml:space="preserve"> Bid Opening - August 6, 2020 , 2 P.M. at Municipal Conference Hall</t>
  </si>
  <si>
    <t xml:space="preserve"> EARTHFILLING OF COVERED COURT  @ BOY SCOUT CAMP AND MARKET AREA</t>
  </si>
  <si>
    <t xml:space="preserve"> INVITATION TO APPLY FOR ELIGIBILITY AND TO BID-2020- 07-01 The MUNICIPALITY OF LABRADOR the Bids and Awards Committee (BAC) invites contractors registered with and classified by the Philippine Contractors Accreditation Board (PCAB) to apply for eligibilit</t>
  </si>
  <si>
    <t xml:space="preserve"> Republic of the Philippines BIDS AND AWARDS COMMITTEE Cadiz City      BID DOCUMENTS for the REPAIR/IMPROVEMENT OF BARANGAY ROAD @ SO. NAKAR, BRGY. MAGSAYSAY,  CADIZ CITY (1) BIDS AND AWARDS COMMITTEE  Cadiz City   INVITATION TO BID/REQUEST FOR EXPRESSION </t>
  </si>
  <si>
    <t xml:space="preserve"> Republic of the Philippines  Province of Misamis Oriental  Municipality of Sugbongcogon  Invitation to Apply for Eligibility and to Bid for Supply and Delivery of Mantianak Botanical Garden and Zoological Park Animal Feeds ITB NO. 2020-07-001 1.	The Munic</t>
  </si>
  <si>
    <t xml:space="preserve"> Republic of the Philippines DEPARTMENT OF AGRICULTURE Regional Field Office IX, Zamboanga Peninsula INVITATION TO BID FOR SUPPLY AND DELIVERY OF 2,695 HEADS OF LAYER CHICKEN (RTL) 1.	The Department of Agriculture Regional Field Office IX, through the GAA </t>
  </si>
  <si>
    <t xml:space="preserve"> SUPPLY AND DELIVERY OF RADIOLOGY SUPPLIES (ACCESSORY FOR CARESTREAM DIRECT VIEW MAX - THYROID SHIELD) -ORDER OF PAYMENT FOR BID DOCS WILL BE AVAILABLE AT GSD-HEAD OFFICE @ 10TH FLOOR MAKATI CITY HALL BLDG. 2. LOOK FOR MR. REDEN VILLANUEVA. A COMPLETE SET </t>
  </si>
  <si>
    <t xml:space="preserve"> INVITATION TO BID FOR THE CONSTRUCTION OF FLOOD CONTROL (GABIONS AND MATRESSES) AT APIAT, AURORA, ISABELA 1.	The Local Government Unit of Aurora, through the 2020 Beginning Balance (P1,500,000.00) and Savings of the Special Trust Fund of the 5% LDRRM Fund</t>
  </si>
  <si>
    <t xml:space="preserve"> 365 sack Noodles (BIHON) (24 pack/sack) 365 case Instant Noodles (72 pcs/case) 265 case Sardines (100 pcs/case) 200 pack Eco-bag (large)</t>
  </si>
  <si>
    <t xml:space="preserve"> Republic of the Philippines BIDS AND AWARDS COMMITTEE Cadiz City      BID DOCUMENTS for the IMPROVEMENT OF DRAINAGE SYSTEM @ PRK. CINCO MIL, BRGY. BANQUEROHAN, CADIZ CITY (1) BIDS AND AWARDS COMMITTEE  Cadiz City   INVITATION TO BID/REQUEST FOR EXPRESSION</t>
  </si>
  <si>
    <t xml:space="preserve"> 1. 12 bxs. Nylon Suture 3-0 18”  45cm 26mm PS 24’s Polyamide 6, Blue Monofilament non-absorbable 2. 6 bxs. Nylon Suture 4-0 18”  45cm 19mm PS-2 24’s Polyamide 6, Blue Monofilament non-absorbable 3. 2 bxs. Polypropylene 2-0 36”  90cm 26mm SH 36’s Blue M</t>
  </si>
  <si>
    <t xml:space="preserve"> OFFICE OF THE BIDS AND AWARDS COMMITTEE INVITATION TO BID NO. 110-20 Name of Project: Procurement of Aggregates used for Rehabilitation of A. Taruc Street, Socorro, SDN Source of Funds: Mun. 20% Development Fund The Municipality of Socorro through the bid</t>
  </si>
  <si>
    <t xml:space="preserve"> Republic of the Philippines Province of Camarines Sur MUNICIPALITY OF BAAO INVITATION TO BID FOR THE SUPPLY AND DELIVERY OF OFFICE EQUIPMENT AND CONSUMABLES - DEPED 1. The LOCAL GOVERNMENT UNIT OF BAAO, through the Budget for the contract approved by the </t>
  </si>
  <si>
    <t xml:space="preserve"> 264 Fine Aggregates 400 Coarse Aggregates</t>
  </si>
  <si>
    <t xml:space="preserve"> SPECIFICATION:  	* With floor area of 600sqm   	*9 units -  2.5 HP Wall mounted Inverter Aircon unit, R410A or R32 Refrigerant, 220-230V  	* 1 unit - 1HP 60Hz Eco Mode, Vertical and Horizontal air swing. Self-clean, refrigerant leak detection, turbo funct</t>
  </si>
  <si>
    <t xml:space="preserve"> 1. The Municipality of Baliguian, now invites bids for the Civil works for the Improvement of Wharf at Barangay Nonoyan, Baliguian, Zamboanga del Norte. 2. Bidding will be conducted in accordance with relevant procedures for open competitive bidding as sp</t>
  </si>
  <si>
    <t xml:space="preserve"> Brand new 75KW Diesel Generator with enclosure minimum protection IP44, Passed either European (CE) or American (UL) standards (provide a valid certificate). Brand new 200KW Diesel Generator with enclosure minimum protection IP44, Passed either European (</t>
  </si>
  <si>
    <t xml:space="preserve"> PROJECT DESCRIPTION: ITEM NO. AND DESCRIPTION: ITEM 1 = SCAFF., LAYOUT &amp; DEMOLITION  UNIT = LOT QUANTITY = 1.00 ITEM 2 = CEILING &amp; PARTITION UNIT = SQ.M. QUANTITY = 917.00 ITEM 3 = FLUSH DOOR UNIT = UNITS QUANTITY = 26.00 ITEM 4 = ELECTRICAL INSTALLATION </t>
  </si>
  <si>
    <t xml:space="preserve"> for the furniture &amp; fixtures will be discuss on pre-bid conference.</t>
  </si>
  <si>
    <t xml:space="preserve"> PROJECT DESCRIPTION: 1.0 164 ln.m. Roadside Drainage Canal at Tesorero Street 2.0 183.50 ln.m. Roadside Drainage Canal + 79.50 ln.m. Sidewalk at Taft Street ITEM NO. &amp; DESCRIPTION: SPL-1 = Project Billboards, Barricades &amp; Signboards/P.P.E's Unit = lot Qty</t>
  </si>
  <si>
    <t xml:space="preserve"> Republic of the Philippines Province of Nueva Ecija Municipality of General Mamerto Natividad BIDS AND AWARDS COMMITTEE  INVITATION TO BID FOR “CONCRETING/MAINTENANCE/REPAIR OF CONCRETE ROADS” 1.	The LGU-General Mamerto Natividad, Nueva Ecija, through the</t>
  </si>
  <si>
    <t xml:space="preserve"> 1	 150 MMØ Flow Totalizer Water Meter  -	Flanged ends, 150 lbs -	Body: Cast Iron, Polyester Coated -	To include 1/8” rubber gasket and ¾”Ø X 3 ½” bolts &amp; nuts/washers (high tensile) -	One (1) year warranty -	Conform to ASME/ANSI/AWWA Standards -	Submit Ce</t>
  </si>
  <si>
    <t xml:space="preserve"> INVITATION TO BID 1. 	The Davao City Water District (DCWD), through the DCWD 2020 Corporate Operating Budget intends to apply the sum indicated below being the Approved Budget for the Contract (ABC) to payments under the contract as shown below. Bids rece</t>
  </si>
  <si>
    <t xml:space="preserve"> SPECIFICATION:  	* 6“ø LED Downlight  	* 18 watts  	* Lumens 1800 LM  	* Voltage 220 – 240V  	* 3years Warranty  	* 157 pcs.</t>
  </si>
  <si>
    <t xml:space="preserve"> 100(1) CLEARING AND GRUBBING -------------------------2,000.00 sq.m. 102(3)b SURPLUS ROCK EXCAVATION, HARD ------------ 665.00 cu.m. SPL I   PROJECT BILLBOARD ------------------------------- 1.00 L.S SPL II CONSTRUCTION SAFETY AND HEALTH ------------- 1.0</t>
  </si>
  <si>
    <t xml:space="preserve"> 100(1) CLEARING AND GRUBBING -------------------------------- 2,000.00 sq.m. 102(3)b SURPLUS ROCK EXCAVATION, HARD -------------------- 665.00 cu.m. SPL I PROJECT BILLBOARD ----------------------------------------- 1.00 L.S. SPL II CONSTRUCTION SAFETY AND</t>
  </si>
  <si>
    <t xml:space="preserve"> REPUBLIC OF THE PHILIPPINES SOUTHERN LEYTE STATE UNIVERSITY – TOMAS OPPUS 6605 SAN ISIDRO, TOMAS OPPUS,  SOUTHERN LEYTE www.slsuonline.edu.ph Invitation to Bid  Supply, Delivery &amp; Installation of Equipment for Theater Lot 2 1.	The Southern Leyte State Uni</t>
  </si>
  <si>
    <t xml:space="preserve"> 18 assy Pen light 18 watts LED Lamp 1,081 Bags Portland Cement type 1p 11 bags Skim coat 98 bags Tile Adhesive Cement 7 box 1/8 blind rivets at 1000 pcs/box 1 box welding rod Stainless Steel 1 box #14 THW Stranded 1 box @ 12 THW Stranded  1 box stipple wi</t>
  </si>
  <si>
    <t xml:space="preserve"> INVITATION TO BID The Iligan City Government Bids and Awards Committee (BAC), through Capital Outlay intends to apply the sum of                                    P 1,200,000.00 being the Approved Budget for the Contract (ABC) to payments under the Contr</t>
  </si>
  <si>
    <t xml:space="preserve"> See attached documents</t>
  </si>
  <si>
    <t xml:space="preserve"> OFFICE OF THE BIDS AND AWARDS COMMITTEE INVITATION TO BID NO. 111-20 Name of Project: Procurement of Fuel &amp; Lubricants used for Rehabilitation of A. Taruc Street, Socorro, SDN Source of Funds: Mun. 20% Development Fund The Municipality of Socorro through </t>
  </si>
  <si>
    <t xml:space="preserve"> 1.	The West Visayas State University Medical Center, through its Use of Income Fund 2020 intends to apply the sum of THREE HUNDRED ELEVEN THOUSAND FIVE HUNDRED FORTY PESOS                   (PhP 311,540.00) ONLY being the Approved Budget for the Contract </t>
  </si>
  <si>
    <t xml:space="preserve"> 100(1) CLEARING AND GRUBBING 2,000 Sq.m. 102(3)b SURPLUS ROCK EXCAVATION HARD, 665 Cu.m. SPL 1 PROJECT BILLBOARD 1 SPL 11 CONSTRUCTION SAFETY AND HEALTH - 1 mo.</t>
  </si>
  <si>
    <t xml:space="preserve"> CONCRETING OF BRGY. FMR</t>
  </si>
  <si>
    <t xml:space="preserve"> OFFICE OF THE BIDS AND AWARDS COMMITTEE INVITATION TO BID NO. 113-20 Name of Project: Procurement of Lumber used for Fabrication &amp; Installation of DRRMO Open-shelf file cabinet @ MDRRM office Brgy. Navarro, Socorro, SDN Source of Funds: MDRRMO Capital Out</t>
  </si>
  <si>
    <t xml:space="preserve"> Republic of the Philippines Province of Ilocos Norte MUNICIPALITY OF CURRIMAO INVITATION TO BID FOR  PROCUREMENT OF COMPUTER DATABASE SYSTEM  FOR ASSESSOR AND TREASURY OFFICE 1.	The MUNICIPALITY OF CURRIMAO, through the General Fund  intends to apply the </t>
  </si>
  <si>
    <t xml:space="preserve"> The Bids and Awards Committee								 Province of Iloilo								 								      In connection with your Invitation to Bid No. PEO-20-0545 B (REBID) scheduled on August 7, 2020, I/we proposed to furnish and deliver in conformity with the terms and condition</t>
  </si>
  <si>
    <t xml:space="preserve"> 1-unit-Service Van; brand new; white Overall Dimensions: 5,265 x 1,950 x 1,990 mm; Wheelbase: 3,860mm; Seating Capacity: 12; Engine Type: 4 Cylinders, In-line Type 16-Valve DOHC; Engine Displacement: 2,755cc Maximum Output: 176 ps/3,400 rpm; Maximum Torqu</t>
  </si>
  <si>
    <t xml:space="preserve"> 2 unit Computer Desktop 3 unit Printer 1 unit Projector</t>
  </si>
  <si>
    <t xml:space="preserve"> Portland Cement (40kgs/bag) -------------- 865 bags Boulders ------------------------------------- 173 cu.m.    Sand ----------------------------------------- 69.20 cu.m. 2" diameter PVC Pipe, Orange ------------- 10 pcs</t>
  </si>
  <si>
    <t xml:space="preserve"> Republic of the Philippines Province of Camarines Sur MUNICIPALITY OF BAAO INVITATION TO BID FOR THE ROAD OPENING OF CRISTO REY - STA. ISABEL ROAD CONNECTING TO AGDANGAN ROAD 1. The LOCAL GOVERNMENT UNIT OF BAAO, through the Budget for the contract approv</t>
  </si>
  <si>
    <t xml:space="preserve"> The Bids and Awards Committee								 Province of Iloilo								 								      In connection with your Invitation to Bid No. PEO-20-0880-B  scheduled on August 7, 2020, I/we proposed to furnish and deliver in conformity with the terms and conditions, and </t>
  </si>
  <si>
    <t xml:space="preserve"> CONSTRUCTION OF APAYAO LIVELIHOOD</t>
  </si>
  <si>
    <t xml:space="preserve"> 10500 piece RPTAR</t>
  </si>
  <si>
    <t xml:space="preserve"> Organic Plant Supplement	176	bottles Amino Acid Based Biostimulant with chelated minerals		 		 Organic Plant Supplement	176	bottles Amino Acid &amp; Seaweed Extract-Based Stimulant with Nitrogen</t>
  </si>
  <si>
    <t xml:space="preserve"> INVITATION TO BID The Department of Education, Schools Division Office, Northern Samar, Catarman, through 2020 General Appropriation Act intends to apply the sum of:  	Sixteen Million Two Hundred Twenty Three Thousand Four Hundred Pesos Only  (Php 16,223,</t>
  </si>
  <si>
    <t xml:space="preserve"> CRUDE OIL   -----------------------------12,415 Liters</t>
  </si>
  <si>
    <t xml:space="preserve"> See attached specification</t>
  </si>
  <si>
    <t xml:space="preserve"> 4-m3-Excavation 3.5-m3-Column &amp; Column Footing 3.3-m3-Wall Footing &amp; walling 10.80-m2-Flooring 128.48-m2-Roof Framing Installation &amp; Repair 128.48-m2-Ceiling Installation Garage 1 Repair (160.50 Sq. m) 20-m3-excavation 6.59-m3-Pedestal Column &amp; Column Foo</t>
  </si>
  <si>
    <t xml:space="preserve"> INVITATION TO BID REPAIR OF TURMERIC PROCESSING BUILDING Identification No.  TAMP-PB-INFRA-11-2020 1.	The Municipality of Tampakan, through the SB#2 CY 2017, SB#2 CY 2018/8918-300-1-07 intends to apply the sum of Five Hundred Thousand Pesos (500,000.00) b</t>
  </si>
  <si>
    <t xml:space="preserve"> REF. NO./PR NO.:   INFRA2020-CDD-013 DESCRIPTION:      Repair/ Rehabilitation of Wharf with Integrated Elevation 702 masl Marker at Barangay Dagook, Lumbatan, Lanao del Sur  DURATION:  60 CD PRE-BID CONFERENCE:          July 24, 2020 at 9:30 AM  BID SUBMI</t>
  </si>
  <si>
    <t xml:space="preserve"> CRUDE OIL ----------------12,415.00 Liters</t>
  </si>
  <si>
    <t xml:space="preserve"> INVITATION TO BID WATER SUPPLY INSTALLATION AT DEMO FARM Identification No.  TAMP-PB-INFRA-10-2020 1.	The Municipality of Tampakan, through the 20% MDF CY 2016/8918-300-1-07-10-021 intends to apply the sum of Five Hundred Eighty Thousand Pesos (580,000.00</t>
  </si>
  <si>
    <t xml:space="preserve"> OFFICE OF THE BIDS AND AWARDS COMMITTEE INVITATION TO BID NO. 116-20 Name of Project: Procurement of Lumber used for Repair of Ceiling in Storage Room in Municipal Gym (P-1) @ Municipal Gym  Brgy. Navarro, Socorro, SDN Source of Funds: Accounting Office G</t>
  </si>
  <si>
    <t xml:space="preserve"> Republic of the Philippines PROVINCE OF AGUSAN DEL SUR Municipality of Sta. Josefa Invitation to Bid for   SJADS GOODS 20-12: PROCUREMENT OF MEDICINE, MEDICAL, LABORATORY AND EMERGENCY EQUIPMENT/SUPPLIES 					   July 17, 2020 1.	The Municipality of Sta. J</t>
  </si>
  <si>
    <t xml:space="preserve"> 100 pots Fox Tail Palm 250 pots Assorted Fruit Trees</t>
  </si>
  <si>
    <t xml:space="preserve"> 299-contnr-Diesel Fuel (32L/Container) 17-L-Brake Fluid 1-pail-Grease 2-barrel-Oil 10 1-barrel-Gear Oil 1-barrel-Oil 40 4-units-Tire w/ flup 100x20 (Dumptruck) 20-units-Tire w/ flup 8.25x20 (Dumptruck)</t>
  </si>
  <si>
    <t xml:space="preserve"> REF. NO./PR NO.:  INFRA2020-CDD-014 DESCRIPTION:     Repair/ Rehab. of Wharf with Integrated Elevation 702 masl Marker at Barangay Moriatao Bai Labay, Masiu, Lanao del Sur  DURATION:    Sixty (60) calendar days PRE-BID CONFERENCE:          July 24, 2020 a</t>
  </si>
  <si>
    <t xml:space="preserve"> OFFICE OF THE BIDS AND AWARDS COMMITTEE INVITATION TO BID NO. 116-20 Name of Project: Procurement of Hardware Materials used for Repair of Ceiling in Storage Room in Municipal Gym (P-1) @ Municipal Gym Brgy. Navarro, Socorro, SDN Source of Funds: Accounti</t>
  </si>
  <si>
    <t xml:space="preserve"> 1	ass'y.	Hydraulic Hose w/ ferrule 1/4"x13"  (DT-12) 6	pcs	Nozzle Tip (DT-15) 6	pcs	Plunger &amp; Barrel (DT-15) 6	pcs	Delivery Valve (DT-15) 6	pcs	O-ring, Small (DT-15) 6	pcs	O-ring, Big (DT-15) 1	pc	Selector Cable (DT-31) 2	pcs	Radiator Hose, Lower (FL-04)</t>
  </si>
  <si>
    <t xml:space="preserve"> Republic of the Philippines PROVINCE OF AGUSAN DEL SUR Municipality of Sta. Josefa Invitation to Bid for   SJADS GOODS 20-09: PROCUREMENT OF PRUNING SHEAR AND FERTILIZER 					   July 17, 2020 1.	The Municipality of Sta. Josefa through the authorized appro</t>
  </si>
  <si>
    <t xml:space="preserve"> Republic of the Philippines DEPARTMENT OF PUBLIC WORKS AND HIGHWAYS BATANGAS III DISTRICT ENGINEERING OFFICE REGIONAL OFFICE IV-A J. Gonzales St., Barangay 4, Tanauan City INVITATION TO BID (GS-2020-010) The Department of Public Works and Highways (DPWH),</t>
  </si>
  <si>
    <t xml:space="preserve"> Section I. Invitation to Bid   Provincial Government of Isabela SUPPLY AND DELIVERY OF VARIOUS AGRICULTURAL EQUIPMENT AND ACCESSORIES The Provincial Government of Isabela, through the PGI FUND intends to apply the sum of Nine Million Nine Hundred Thirty S</t>
  </si>
  <si>
    <t xml:space="preserve"> IMPROVEMENT OF MULTI-PURPOSE HALL OF BARANGAY MALIGAYA</t>
  </si>
  <si>
    <t xml:space="preserve"> SUPPLY, DELIVERY, INSTALLATION AND TESTING OF VARIOUS MEDICAL EQUIPMENT FOR BRGHGMC BRGHGMC-GS-2020-06 1.	The Bicol Region General Hospital and Geriatric Medical Center, through Regular Fund, intends to apply the sum of PhP. 84,889,000.00 being the Approv</t>
  </si>
  <si>
    <t xml:space="preserve"> Construction of Manapa Human Resource and Manpower Dev’t Center Phase II            Brgy. Manapa, Buenavista, Agusan del Norte Project Category:       Building Project Description:   Construction of Two (2) Storey Building MINIMUM EQUIPMENT REQUIRED 1 Con</t>
  </si>
  <si>
    <t xml:space="preserve"> COMMON OFFICE SUPPLIES - 522 Items</t>
  </si>
  <si>
    <t xml:space="preserve"> Invitation to Bid Date: July 16, 2020 1.	The Provincial Government of Davao del Sur, through its Bids and Awards Committee (BAC), invites all potential bidders / suppliers to apply to bid for the following goods. Bids received in excess of the ABC shall b</t>
  </si>
  <si>
    <t xml:space="preserve"> Technical Specifications: Hard drive Capacity: 500 GB, SSD,  RAM Size : 4 GB, Screen Size: 11.6” to 14”, Processor: Intel Processor, at least dual core/core 2, minimum of 2 GHZ,  Display Resolution: 1366 x 768,  Operating System: Windows 10</t>
  </si>
  <si>
    <t xml:space="preserve"> Section I. Invitation to Bid Section II. Instructions to Bidders A.  General 	 1.	Scope of Bid 		 	1.1	The Procuring Entity as defined in the BDS, invites bids for the construction of Works, as described in Section VI- Specifications.  The name and identi</t>
  </si>
  <si>
    <t xml:space="preserve"> Contract Location: 1.  Multi-Purpose Building, Balagtas, Bulacan 		           2.	Multi-Purpose Building, BSU Bustos, Poblacion, Bustos, Bulacan 		           3.	Multi-Purpose Building (New Municipal Building Extension),                                   Br</t>
  </si>
  <si>
    <t xml:space="preserve"> Republic of the Philippines PROVINCE OF AGUSAN DEL SUR Municipality of Sta. Josefa Invitation to Bid for   SJADS GOODS 20-08: PROCUREMENT OF PATIENT TRANSPORTATION VEHICLE  (VAN TYPE 18 SEATERS) 					   July 17, 2020 1.	The Municipality of Sta. Josefa thr</t>
  </si>
  <si>
    <t xml:space="preserve"> Construction of Two Storey Barangay Olave Human Resource and Manpower Dev’t Center            Brgy. Lower Olave, Buenavista, Agusan del Norte Project Category:       Building Project Description:   Construction of Two (2) Storey Building MINIMUM EQUIPMENT</t>
  </si>
  <si>
    <t xml:space="preserve"> Improvement of Waterworks			 1	pcs	2,000    Water meter 1/2"ø	1,200.00	2,400,000.00 			    Residential (COLD) water meter		 			  *15mm ø (1/2”) multi-jet type (C-708                             with internal strainer, Class-c (or B)	 			  *Dry type, dial </t>
  </si>
  <si>
    <t xml:space="preserve"> 1    SET COMPUTER UNIT WITH CORE l5 CPU, 8GB RAM,500 GB HDD,14" LCD MONITOR 1    UNIT  L617 INKJET PRINTER 2    PCS. AUTOMATIC VOLTAGE REGULATOR 3    PCS. USB FLASH DRIVE 128GB 8    SETS EXECUTIVE TABLE WITH CHAIRS</t>
  </si>
  <si>
    <t xml:space="preserve"> Republic of the Philippines PROVINCE OF AGUSAN DEL SUR Municipality of Sta. Josefa Invitation to Bid for   SJADS INFRA 20-07: DEVELOPMENT OF TAPHAGAN VILLAGE GROUND 				                         July 17, 2020 1.	The Municipality of Sta. Josefa through the </t>
  </si>
  <si>
    <t xml:space="preserve"> INVITATION TO BID FOR Procurement of Additional Internet Bandwidth for NORSU Bayawan-Sta. Catalina Campus GOOD2020-06-06 1. The Negros Oriental State University (NORSU) and the Bids and Awards Committee (BAC), through Fiduciary IRS intends to apply the su</t>
  </si>
  <si>
    <t xml:space="preserve"> REF. NO./PR NO.:  INFRA2020-CDD-015 DESCRIPTION:      Construction of Wharf with Integrated Elevation 702 masl Marker at Barangay Lumbac, Tugaya, Lanao del Sur (Phase 1) DURATION:   Sixty (60) calendar days PRE-BID CONFERENCE:        July 24, 2020 at 9:30</t>
  </si>
  <si>
    <t xml:space="preserve"> INVITATION TO BID FOR THE Supply and Delivery of Various Equipment for Bamboo Processing Project 1.	The BICOL UNIVERSITY, through the Corporate Budget for the contract approved by the Board of Regents intends to apply the sum of One Million Nine Hundred F</t>
  </si>
  <si>
    <t xml:space="preserve"> REF. NO./PR NO.:  INFRA2020-ADM-009 DESCRIPTION:      Rehabilitation/Improvement of Training Center Comfort Rooms / Water Supply System, at NPC Compound, Ditucalan, Iligan City DURATION:      Seventy-Six (76) Calendar days PRE-BID CONFERENCE:          Jul</t>
  </si>
  <si>
    <t xml:space="preserve"> INVITATION TO BID FOR PROCUREMENT OF HDPE TUBING CY 2020 1.	The Norzagaray Water District (NorWD) through its Corporate Budget for the contract approved by the governing Boards intends to apply the sum of One Million Four Hundred  Thousand Pesos (Php. 1,4</t>
  </si>
  <si>
    <t xml:space="preserve"> Republic of the Philippines Department of Public Works and Highways OFFICE OF THE DISTRICT ENGINEER Catarman, Northern Samar Telefax No.: (055) 251-8190/055) 500-9165  Invitation to Bid The DPWH – Northern Samar 1st Engineering District Office, through it</t>
  </si>
  <si>
    <t xml:space="preserve"> 436 bags Portland Cement  129.38 cu.m Mix Sand &amp; Gravel 26.03 cu.m Screened Sand 35.63 cu.m Washed Gravel 35 pcs.2x8x10 Coco Lumber 30 bndls 1x2x8 sticks 1638 pcs. CHB # 4 120 pcs 10mm RSB 15 kilos Tie Wire #16 4 unit RC Pipes (12” dia.) 15 kilos C.W. Nai</t>
  </si>
  <si>
    <t xml:space="preserve"> Supply and Delivery of Various Office, Agricultural, and Other Supplies for the Research 	Division and Research Outreach Stations under 	2020 Other PSS and R&amp;D Funds 1.	The Department of Agriculture Regional Field Office No. 5, through the GAA 2019 intend</t>
  </si>
  <si>
    <t xml:space="preserve"> Republic of the Philippines DEPARTMENT OF PUBLIC WORKS AND HIGHWAYS NUEVA ECIJA 2ND DISTRICT ENGINEERING OFFICE REGIONAL OFFICE III San Isidro, Cabanatuan City INVITATION TO BID  1.	The DPWH-Nueva Ecija 2nd District Engineering Office, through its Bids an</t>
  </si>
  <si>
    <t xml:space="preserve"> INVITATION TO BID FOR THE PURCHASE REQUEST OF AIR SAMPLER (TSP, PM 10, PM 2.5) BID REFERENCE NO. PR-2020-07-103 APPROVED BUDGET OF CONTRACT: P1,250,000.00 1.	The Environmental Management Bureau V, through the General Appropriate Act 2020 intends to apply </t>
  </si>
  <si>
    <t xml:space="preserve"> Concreting</t>
  </si>
  <si>
    <t xml:space="preserve"> The Nueva Ecija University of Science and Technology through its Bids and Awards Committee (BAC), invites entities to bid for the hereunder projects: 	 Name of Project: Printing of Yearbook 2019 for AY 2018-2019  Location: College of Industrial Technology</t>
  </si>
  <si>
    <t xml:space="preserve"> Repair/Maintenance of Ravelled Areas and Transition of Shoulders</t>
  </si>
  <si>
    <t xml:space="preserve"> 1,067 bags Premium Cement 30 pcs. 12 mm diameter STD. deform bars 18 kilos #4 Common wire nails 20 kilos #3 common wire nails 16 kilos #2 common wire nails  396 pcs. 10 mm diameter STD deform bars 25 kilos # 16 tie wire 1 kilos #1 common wire nails</t>
  </si>
  <si>
    <t xml:space="preserve"> Republic of the Philippines PROVINCE OF AGUSAN DEL SUR Municipality of Sta. Josefa Invitation to Bid for   SJADS INFRA 20-08: CONSTRUCTION/IMPROVEMENT OF COVERED COURT BLEACHER 				                         July 17, 2020 1.	The Municipality of Sta. Josefa </t>
  </si>
  <si>
    <t xml:space="preserve"> PLS. SEE ATTACHED PR</t>
  </si>
  <si>
    <t xml:space="preserve"> 4 pcs. 7.50 X 15 tire with tube (elf dump truck) 2 pcs. 14 X 24 tire with tube (loader) 2 pcs. 9 plates battery (elf) maintenance free 1 unit Transmission ELF (surplus) 4BE-1 1 set Brake light elf (surplus)' 2 pcs Side Mirror elf (brand new)' 1 pc Oil Fil</t>
  </si>
  <si>
    <t xml:space="preserve"> INVITATION TO BID IB No. 2020-006 BAC I SUPPLY, DELIVERY, INSTALLATION, TESTING AND COMMISSIONING OF BRAND-NEW BED/ PASSENGER ELEVATOR 1.	The Baguio General Hospital &amp; Medical Center (BGHMC) through the Government of the Philippines (GOP)/ Hospital Income</t>
  </si>
  <si>
    <t xml:space="preserve"> Repair/Maintenance (Reblocking of Concrete Pavement with Stone Masonry)</t>
  </si>
  <si>
    <t xml:space="preserve"> INVITATION TO BID IB No. 2020-008 BAC I	 PROCUREMENT OF VARIOUS IT EQUIPMENT 1.	The Baguio General Hospital &amp; Medical Center (BGHMC) through the Government of the Philippines (GAA)/ Hospital Income intends to apply the hereunder amount being the Approved </t>
  </si>
  <si>
    <t xml:space="preserve"> SULTAN KUDARAT STATE UNIVERSITY 2nd Floor, Bids and Awards Committee Office  ACCESS, E.J.C. Montilla, Tacurong City INVITATION TO BID FOR MACHINERY &amp; EQUIPMENT OUTLAY FOR THE PURCHASE OF VARIOUS LABORATORY EQUIPMENT FOR THE COLLEGE OF COMPUTER STUDIES 1.	</t>
  </si>
  <si>
    <t xml:space="preserve"> Available upon request xxxxxxxxxxxxxxxxxxx</t>
  </si>
  <si>
    <t xml:space="preserve"> REF. NO./PR NO.:  INFRA2020-PUL-011 DESCRIPTION:     Fabrication/Installation of Guardrails at Power Channel (Phase 13) at Camp 1 and South Poblacion, Maramag, Bukidnon    DURATION:    (70) Calendar Days     PRE-BID-CONFERENCE:         July 24, 2020 at 9:</t>
  </si>
  <si>
    <t xml:space="preserve"> The Nueva Ecija University of Science and Technology through its Bids and Awards Committee (BAC), invites entities to bid for the hereunder projects: Name of Project: STATE OF THE ARTS PHYSICS LABORATORY Location: College of Education, NEUST Sumacab Campu</t>
  </si>
  <si>
    <t xml:space="preserve"> 2,000 PCS. Banana Sucher Tissue Cultured Free  from BBT and Bugtok Virus</t>
  </si>
  <si>
    <t xml:space="preserve"> INVITATION TO BID The Department of Public Works and Highways Zamboanga del Sur 1st District Engineering Office, Pagadian City, through its Bids and Awards Committee (BAC), invites contractors to submit bids for the following Contract: Contract ID	:	20JE0</t>
  </si>
  <si>
    <t xml:space="preserve"> PLS. ATTACHED PR</t>
  </si>
  <si>
    <t xml:space="preserve"> The Nueva Ecija University of Science and Technology through its Bids and Awards Committee (BAC), invites entities to bid for the hereunder projects: Name of Project: STATE OF THE ARTS CHEMISTRY LABORATORY Location: College of Education, NEUST Sumacab Cam</t>
  </si>
  <si>
    <t xml:space="preserve"> Quantity       Unit of Issue       Item Description      1                   unit             4 x 2 Dsl, Garbage Dump Truck NAME OF PROJECT/LOCATION -  Purchase of one (1) unit  4 x 2, Dsl, Garbage Dump Truck to be used for garbage collection within the M</t>
  </si>
  <si>
    <t xml:space="preserve"> 3 assy Pen light 18 watts LED lamp 5 bags Portland Cement type-1 40 bd.ft. 12 pcs. 2" X 2" X 10' Ceiling joist 1 box Stiple wire #1 2 doz Sandpaper #100 2 doz. Sandpaper #200 10 gals Flat latex White (wall) Solvent 10 gals Top Coat paint white (wall) Solv</t>
  </si>
  <si>
    <t xml:space="preserve"> INVITATION TO BID  Supply and delivery of (Lot 1) Supplies and Materials and (Lot 2) 114 units Geotagging device to be used for the implementation of RCM Advisory Service and Parcellary Mapping in the Region through partnership with the  LGUs  1.	The Depa</t>
  </si>
  <si>
    <t xml:space="preserve"> Barangay Automation and Peripherals</t>
  </si>
  <si>
    <t xml:space="preserve"> INVITATION TO BID  PROCUREMENT OF TWO (2) UNITS REFRIGERATED VAN USE ANY MARKETING RELATED ACTIVITIES / SERVICES REGION-WIDE UNDER CY 2020 BUDGET ALLOCATION Specification:  -	Displacement: 2999 CC Diesel -	Size: 14 footer, 6 wheeler -	Max Torque N-m (kg-m</t>
  </si>
  <si>
    <t xml:space="preserve"> 103  EXCAVATION FOR STRUCTURE , 45 cu.m. 506 STONE MASONRY, 220 cu.m 105  SUB-GRADE PREPARATION, 120 Sq.m. 200 Aggregate Sub-base course, 18 cu.m. 311 PCCP, 120 sq.m.</t>
  </si>
  <si>
    <t xml:space="preserve"> See attached Files</t>
  </si>
  <si>
    <t xml:space="preserve"> See attached Documents</t>
  </si>
  <si>
    <t xml:space="preserve"> Please submit your lowest  bid  for the Multiband scanning receiver and post processing tools as described in the technical specifications of the bid documents.</t>
  </si>
  <si>
    <t xml:space="preserve"> See Attached Files</t>
  </si>
  <si>
    <t xml:space="preserve"> 2,790 bags Portland Cement Type-1 85 pcs. 12 mm diameter STD def bars 30 kilos #4 common wire nails 30 kilos #3 common wire nails 26 kilos #2 common wire nails 867 pcs. 10 mm diameter STD deform bars 35 pcs. 3/8 Ordinary Plywood 50 pcs. # 16 tie wire 2 ki</t>
  </si>
  <si>
    <t xml:space="preserve"> INVITATION TO BID SUPPLY, DELIVERY, INSTALLATION, TESTING, AND ACCEPTANCE OF VARIOUS LOTS OF IP RADIOS, OUTDOOR ACCESS POINTS, ROUTER BOARDS, ETHERNET SURGE SUPPRESSORS, AND ACCESSORIES FOR VISAYAS CLUSTER 2 INTERNET CONNECTIVITY SUPPORT FOR TECH4ED PROJE</t>
  </si>
  <si>
    <t xml:space="preserve"> Department of Education Region VI-Western Visayas Division of Cadiz City Cadiz East Elementary School II INVITATION TO BID FOR THE PROVISION OF OFFICE SUPPLIES FOR THE PRINTING OF MODULES 1.	The Cadiz East Elementary School II of Cadiz City, through the S</t>
  </si>
  <si>
    <t xml:space="preserve"> INVITATION TO BID ONE (1) YEAR MAINTENANCE OF DICT - FIBER OPTIC CABLE NETWORK IN PALO, LEYTE AND CEBU CITY INCLUDING SUPPLY AND DELIVERY OF FOC NETWORK MAINTENANCE AND MATERIALS.   Bid Reference No. DICTBAC-VC2-2020-0003 Approved Budget for the Contract:</t>
  </si>
  <si>
    <t xml:space="preserve"> Republic of the Philippines CARAGA Administrative Region PROVINCE OF DINAGAT ISLANDS San Jose, Dinagat Islands Bids AND AWARDS COMMITTEE Invitation to Bid  Project Name: 	PROVINCIAL ROAD MAINTENANCE (MAHAYAHAY-CUARINTA SECTION, KABISIG ROAD), CONSTRUCTION</t>
  </si>
  <si>
    <t xml:space="preserve"> 3,597 bags Portland Cement type -1 442 pcs. 12mm std. def. bars 60 kls. #4 common wire nails 60 kls. #3 common wire nails 10 kls. #2 common wire nails 778 pcs. 10mm @ Std def. bars 110 kls. # 16 tie wire  70 pcs. 3/8 Ordinary Plywood 30 kls. #1 Common Wir</t>
  </si>
  <si>
    <t xml:space="preserve"> Republic of the Philippines CARAGA Administrative Region PROVINCE OF DINAGAT ISLANDS San Jose, Dinagat Islands Bids AND AWARDS COMMITTEE Invitation to Bid  Project Name: 	CONSTRUCTION OF PALAY STORAGE AND MULTI-PURPOSE DRYING PAVEMENT Location: Brgy. Mabi</t>
  </si>
  <si>
    <t xml:space="preserve"> INVITATION TO BID SUPPLY AND DELIVERY OF ONE (1) UNIT PASSENGER VAN VEHICLE (PV) – (REBIDDING)   The Pag-IBIG Fund Corporate Headquarters, through its Bids and Awards Committee – Goods and Services (BAC-GS) intends to apply the sum of Two Million Six Hund</t>
  </si>
  <si>
    <t xml:space="preserve"> 40 PACK FRENCH BEANS OPV TYPE, 1Kg. 50 CAN CABBAGE F1, 25 Gms. 70 can Pipino F1, 50gms. 35 pack Floweing pechay F1, 1kg. 80 packs string beans F1, 1kg. 80 cans Ampalaya F1, 50gms. 40 cans Eggplant F1, 50kg. 64 can squash F1, 1kg.</t>
  </si>
  <si>
    <t xml:space="preserve"> Please see attached files for reference. File names: 1. ITB - Manpower Lot Nos. I-V (v07.16.2020) 2. Bid Docs - Manpower Lot No. IV - Management (v07.16.2020) ***nothing follows***</t>
  </si>
  <si>
    <t xml:space="preserve"> Please see attached files for reference. File names: 1. ITB - Manpower Lot Nos. I-V (v07.16.2020) 2. Bid Docs - Manpower Lot No. II - Accounting (v07.16.2020) ***nothing follows***</t>
  </si>
  <si>
    <t xml:space="preserve"> Republic of the Philippines CARAGA Administrative Region PROVINCE OF DINAGAT ISLANDS San Jose, Dinagat Islands Bids AND AWARDS COMMITTEE Invitation to Bid  Project Name: 	PROVINCIAL ROAD MAINTENANCE (SAN JOSE-MATINGBE SECTION), CONSTRUCTION OF CONCRETE SH</t>
  </si>
  <si>
    <t xml:space="preserve"> Please see attached files for reference. File names: 1. ITB - Manpower Lot Nos. I-V (v07.16.2020) 2. Bid Docs - Manpower Lot No. III - Marketing (v07.16.2020) ***nothing follows***</t>
  </si>
  <si>
    <t xml:space="preserve"> 1. The Total Approved Budget for the Contract (ABC) is One Hundred Seventy Two Thousand Five Hundred Pesos (Php 172,500.00). 2. Price quotation/s should be inclusive of tax obligations. 3. Evaluation of bids will be conducted either on a “per item” or “lo</t>
  </si>
  <si>
    <t xml:space="preserve"> Please see attached files for reference. File names: 1. ITB - Manpower Lot Nos. I-V (v07.16.2020) 2. Bid Docs - Manpower Lot No. V - IT (v07.16.2020) ***nothing follows***</t>
  </si>
  <si>
    <t xml:space="preserve"> Please see attached files for reference. File names: 1. ITB - Manpower Lot Nos. I-V (v07.16.2020) 2. Bid Docs - Manpower Lot No. I - Clerical (v07.16.2020) ***nothing follows***</t>
  </si>
  <si>
    <t xml:space="preserve"> Improvement of one (1) public building.</t>
  </si>
  <si>
    <t xml:space="preserve"> STOCK NO.		ITEM DESCRIPTION		QTY.	UNIT 1	)	Alcohol, Isopropyl, 70% Solution, 330ml, Spray 		94	bottles 2	)	Anti-virus Software, Licensed, 5 Devices		2	lic. 3	)	Ballpen, 0.5mm, Ball Needle Point, Black 		24	pieces 4	)	Ballpen, 1 Box, Black		1	box 5	)	Ballp</t>
  </si>
  <si>
    <t xml:space="preserve"> 1.00      lot      Masonry and Plumbing works</t>
  </si>
  <si>
    <t xml:space="preserve"> 3,000 liters Crude Oil</t>
  </si>
  <si>
    <t xml:space="preserve"> National Power Corporation INVITATION TO BID PUBLIC BIDDING 2020-0169 1.	The NATIONAL POWER CORPORATION (NPC), through       its        approved       Corporate Budget of CY 2020 intends to apply   the   sum   of (Please see schedule below) being the Appr</t>
  </si>
  <si>
    <t xml:space="preserve"> Supply and Delivery of Construction Materials &amp; Accessories for Reservoirs 1 to 4 sta. 1+812, 2+660, 3+854 &amp; 5+220  &amp; Supply &amp; Installation of uPVC Pipes @ MP sta. 3+966-5+220</t>
  </si>
  <si>
    <t xml:space="preserve"> Please submit your lowest bid for rapidly deployable communications system as described in the technical specifications in the bid docs.</t>
  </si>
  <si>
    <t xml:space="preserve"> INVITATION TO BID REBID OF SUBSCRIPTION FOR A ONE (1) YEAR MANAGED INTERNET AND WIFI ACCESS POINT FOR PROVINCE OF BOHOL    Bid Reference No. DICTBAC-VC2-2020-0005 Approved Budget for the Contract: Php 3,697,272.00 The DEPARTMENT OF INFORMATION AND COMMUNI</t>
  </si>
  <si>
    <t xml:space="preserve"> INVITATION TO BID REBID OF SUBSCRIPTION FOR A ONE (1) YEAR MANAGED INTERNET AND WIFI ACCESS POINT FOR PROVINCE OF LEYTE    Bid Reference No. DICTBAC-VC2-2020-0007 Approved Budget for the Contract: Php 9,859,392.00 The DEPARTMENT OF INFORMATION AND COMMUNI</t>
  </si>
  <si>
    <t xml:space="preserve"> Republic of the Philippines Province of Samar Catbalogan City Invitation to Bid for Infra 2020-033 CONSTRUCTION OF PERIMETER FENCE INFIRMARY CLINIC,  Barangay Silanga Catbalogan City   1.	The City Government of Catbalogan, through the CY 2020 Non-Office (</t>
  </si>
  <si>
    <t xml:space="preserve"> Republic of the Philippines Province of Samar Catbalogan City Invitation to Bid for Infra 2020-035 CONSTRUCTION OF ROAD SEPTAGE PROJECT Barangay Lagundi Catbalogan City 1.	The City Government of Catbalogan, through the Continuing 2016 Non-Office (Ord. No.</t>
  </si>
  <si>
    <t xml:space="preserve"> Invitation to Bid for Construction of Two (2) Storey Command Center Building in Batangas State University, Pablo Borbon Main I 1.	The Batangas State University, through the Supplemental Budget FY 2020 intends to apply the sum of Thirty Six Million Three H</t>
  </si>
  <si>
    <t xml:space="preserve"> INVITATION TO BID REBID OF SUBSCRIPTION FOR A ONE (1) YEAR MANAGED INTERNET AND WIFI ACCESS POINT FOR PROVINCE OF NEGROS ORIENTAL    Bid Reference No. DICTBAC-VC2-2020-0008 Approved Budget for the Contract: Php 8,010,756.00 The DEPARTMENT OF INFORMATION A</t>
  </si>
  <si>
    <t xml:space="preserve"> Contract ID: 			20GO0104 Contract Name: 	Concreting of Brgy. Granada FMR, Brgy. Granada, Bacolod City, Negros Occidental Contract Location:		Brgy. Granada, Bacolod City, Negros Occidental Brief Description: 	Concreting of 886 l.m. farm to market road whic</t>
  </si>
  <si>
    <t xml:space="preserve"> INVITATION TO BID IB No. 2020-007 BAC I SUPPLY AND DELIVERY OF ONE (1) YEAR SUBSCRIPTION OF 100 MBPS INTERNET DIRECT (PREMIUM LEASED LINE) 1.	The Baguio General Hospital &amp; Medical Center (BGHMC) through the Government of the Philippines (GOP)/ Hospital In</t>
  </si>
  <si>
    <t xml:space="preserve"> ITEM NO.	UNIT		QTY		DESCRIPTION		 							 1	 liter 		5225		Gasoline		 2	 liter 		12500		 Diesoline 		 3	 gal 		75		 Gear Oil 		 4	 liter 		15		 Break Fluid 		 5	 liter 		10		 ATF 		 6	 gal 		25		 Oil #40 		 7	 liter 		25		 Oil #30 		 8	 gal 		25		 Versafl</t>
  </si>
  <si>
    <t xml:space="preserve"> LAPTOP COMPUTER	32	units Operating System: Windows 10 Home		 Dimension, Maximum of: (WxHxD) 357.8mmx229.9mmx16.9mm		 Weight, Maximum of: 4kg		 Colour: No Specific		 Display: 15.6 inches maximum screen size		 IPS Screen Type		 1920 x 1080 Resolution		 87&amp; </t>
  </si>
  <si>
    <t xml:space="preserve"> Please see attached document. Thanks!</t>
  </si>
  <si>
    <t xml:space="preserve"> Contract ID: 			20GO0103 Contract Name: 	Concreting of Brgy. Alangilan FMR, Brgy. Alangilan, Bacolod City, Negros Occidental Contract Location:		Brgy. Alangilan, Bacolod City, Negros Occidental Brief Description: 	Concreting of 886 l.m. farm to market roa</t>
  </si>
  <si>
    <t xml:space="preserve"> ITEM NO.	UNIT		QTY		DESCRIPTION		 							 					Public Safety and Internal Security Program		 					 Conduct of Search, Rescue and Retrieval Operations, Fire Drills, Earthquake Drills and Similar Operations that Promote Public Safety 		 1	 liters 		800		 Di</t>
  </si>
  <si>
    <t xml:space="preserve"> Request for Quotation RFQ No.		SVP-037-2020 MR No.		10224 Requisition No. 	AMD-096-2020 Posting Date:         	July 17, 2020 Deadline of  Submission:		July 24, 2020 at 9:00 AM Opening Date:	July 24, 2020 at 10:00 AM TO:	Name of Supplier: _________________</t>
  </si>
  <si>
    <t xml:space="preserve"> INVITATION TO BID FOR LABORATORY EQUIPMENT 1.	The Industrial Technology Development Institute, through the Program “Enhancement of the Competence and Capabilities of the National Metrology Laboratory of the Philippines – Project 2: Chemical Metrology for </t>
  </si>
  <si>
    <t xml:space="preserve"> INVITATION TO BID REBID OF SUBSCRIPTION FOR A ONE (1) YEAR MANAGED INTERNET AND WIFI ACCESS POINT FOR PROVINCE OF BILIRAN    Bid Reference No. DICTBAC-VC2-2020-0004 Approved Budget for the Contract: Php 616,212.00 The DEPARTMENT OF INFORMATION AND COMMUNI</t>
  </si>
  <si>
    <t xml:space="preserve"> INVITATION TO BID FOR LABORATORY EQUIPMENT 1.	The Industrial Technology Development Institute, through the Program “Enhancement of the Competence and Capabilities of the National Metrology Laboratory of the Philippines – Project 1: Chemical Metrology for </t>
  </si>
  <si>
    <t xml:space="preserve"> INVITATION TO BID REBID OF SUBSCRIPTION FOR A ONE (1) YEAR MANAGED INTERNET AND WIFI ACCESS POINT FOR PROVINCE OF SAMAR    Bid Reference No. DICTBAC-VC2-2020-0010 Approved Budget for the Contract: Php 6,162,120.00 The DEPARTMENT OF INFORMATION AND COMMUNI</t>
  </si>
  <si>
    <t xml:space="preserve"> The MINDANAO CENTRAL SANITARIUM, a Level 1 DOH-Retained Hospital located in Pasobolong, Zamboanga City is in need for janitorial and cleaning services to maintain the Hospital Wards, ER, OR, DR, OPD and other Units of the Hospital.</t>
  </si>
  <si>
    <t xml:space="preserve"> INVITATION TO BID REBID OF SUBSCRIPTION FOR A ONE (1) YEAR MANAGED INTERNET AND WIFI ACCESS POINT FOR PROVINCE OF NORTHERN SAMAR    Bid Reference No. DICTBAC-VC2-2020-0009 Approved Budget for the Contract: Php 7,394,544.00 The DEPARTMENT OF INFORMATION AN</t>
  </si>
  <si>
    <t xml:space="preserve"> ITEM NO.	UNIT		QTY		DESCRIPTION		 							 					Establishment and Operation of Arts and Culture Center		 1	 unit 		1		 Printer (Pixma IP7270) 		 2	 units 		3		 ASUS, i7 8gen, 16Gig RAM, Video, Video Card AMD4 Gig, Processor 2.9 Gigahertz 		 3	 units 		3		 </t>
  </si>
  <si>
    <t xml:space="preserve"> 1 Lot FISHING BOATS, GEARS, AND MATERIALS</t>
  </si>
  <si>
    <t xml:space="preserve"> Republic of the Philippines DEPARTMENT OF PUBLIC WORKS AND HIGHWAYS BATANGAS II  DISTRICT ENGINEERING OFFICE REGIONAL OFFICE IV-A Kumintang Ilaya, Batangas City INVITATION TO BID For Local Infrastructure Program – Road Widening along San Isidro - Sto. Niñ</t>
  </si>
  <si>
    <t xml:space="preserve"> 1 Lot FISHING BOATS, GEARS AND MATERIALS</t>
  </si>
  <si>
    <t xml:space="preserve"> 1 Lot EQUIPMENTS, AGRICULTURAL PRODUCTS, FEEDS, BROILER CHICKS, VET. MED's AND SUPPLIES</t>
  </si>
  <si>
    <t xml:space="preserve"> INVITATION TO BID FOR THE SUPPLY AND DELIVERY OF WEIGHING SCALE   1.	The City of Iloilo, through the 20% Development Fund CY 2019 intends to apply the sum of One Million Four Hundred Ninety-Six Thousand Seven Hundred Fifty Pesos (P1,496,750.00) being the </t>
  </si>
  <si>
    <t xml:space="preserve"> Bidding will be conducted through open competitive bidding procedures using non-discretionary pass/fail criteria as specified in the Implementing Rules and Regulations Part A (IRR-A) of Republic Act 9184, otherwise known as the “Government Procurement Ref</t>
  </si>
  <si>
    <t xml:space="preserve"> July 17, 2020 MS. WASSAMON CHEEWARATTANAPORN Assistant Managing Director SIAM TOURISM GROUP COMPANY LIMITED No. 5, 3_B, 15th Floor, Ratchadaphisek Road,  Chom Phon, Chatuchak 10900 Thailand Chatuchak  Bangkok Metropolis Thailand Dear Ms. Cheewarattanaporn</t>
  </si>
  <si>
    <t xml:space="preserve"> INVITATION TO BID REBID OF SUBSCRIPTION FOR A ONE (1) YEAR MANAGED INTERNET AND WIFI ACCESS POINT FOR PROVINCE OF SOUTHERN LEYTE    Bid Reference No. DICTBAC-VC2-2020-0011 Approved Budget for the Contract: Php 616,212.00 The DEPARTMENT OF INFORMATION AND </t>
  </si>
  <si>
    <t xml:space="preserve"> 1 Lot EQUIPMENT, BREEDER STOCK, FEEDS, VET. MEDICINES &amp; SUPPLIES</t>
  </si>
  <si>
    <t xml:space="preserve"> Republic of the Philippines City of Cagayan de Oro BIDS AND AWARDS COMMITTEE Invitation to Bid  for Construction of Drainage along Macapagal Drive (Phase 2), Canitoan; SN 140 - 2020 1.	The City Government of Cagayan de Oro, through the  Current Appropriat</t>
  </si>
  <si>
    <t xml:space="preserve"> Republic of the Philippines City of Cagayan de Oro BIDS AND AWARDS COMMITTEE Invitation to Bid  for Construction of Slope Protection Structure @ Gusa National High School; SN 142 - 2020 1.	The City Government of Cagayan de Oro, through the  Continuing App</t>
  </si>
  <si>
    <t xml:space="preserve"> Republic of the Philippines City of Cagayan de Oro BIDS AND AWARDS COMMITTEE Invitation to Bid  for Construction of Drainage along Tomas Saco St. Diversion Channel towards Arroyo Creek, Macasandig (Phase 2); SN 141 - 2020 1.	The City Government of Cagayan</t>
  </si>
  <si>
    <t xml:space="preserve"> Invitation to Bid  For the  Construction/Improvement of Public Market City Wide   Construction/Improvement of Terminal Market  at Brgy. Flores, City Proper, Iloilo City 1.	The City of Iloilo, through the 20% Development Fund, CY2019 (P 5,000,000.00); Reso</t>
  </si>
  <si>
    <t xml:space="preserve"> Invitation to Bid  For the  Construction of 4-Storey 8-Classroom Building with Demolition of Classroom (Phase I)   Completion of Building and Site Development  at Feliciana Java Kelly Elementary School, Mandurriao, Iloilo City 1.	The City of Iloilo, throu</t>
  </si>
  <si>
    <t xml:space="preserve"> Republic of the Philippines City of Cagayan de Oro BIDS AND AWARDS COMMITTEE Invitation to Bid  for Road Opening from SDR to Convention Center passing Court of Appeals (Indahag); SN 139 - 2020 1.	The City Government of Cagayan de Oro, through the  Current</t>
  </si>
  <si>
    <t xml:space="preserve"> Invitation to Bid  For the  Construction of 4-Storey 20-Classroom Building at A. Bonifacio Integrated School, City Proper, Iloilo City 1.	The City of Iloilo, through the SEF Capital Outlay, CY2019 intends to apply the sum of Fifty Five Million Pesos (Php </t>
  </si>
  <si>
    <t xml:space="preserve"> Invitation to Bid  For the Construction of Security Facilities at Fort San Pedro National High School, City Proper, Iloilo City 1.	The City of Iloilo, through the SEF CY2018 intends to apply the sum of Two Million Pesos (Php 2,000,000.00) being the Approv</t>
  </si>
  <si>
    <t xml:space="preserve"> Republic of the Philippines City of Cagayan de Oro BIDS AND AWARDS COMMITTEE Invitation to Bid  for Road Opening from Sto. Niño to Convention Center; SN 143 - 2020 1.	The City Government of Cagayan de Oro, through the  Continuing Appropriation, CY 2016, N</t>
  </si>
  <si>
    <t xml:space="preserve"> Republic of the Philippines City of Cagayan de Oro BIDS AND AWARDS COMMITTEE Invitation to Bid  for Concrete Paving of 33rd St. with Drainage, Nazareth; SN 154 - 2020 1.	The City Government of Cagayan de Oro, through the Non-Office: Economic Services Sect</t>
  </si>
  <si>
    <t xml:space="preserve"> 1 unit MULTI-FUNCTIONAL CULTIVATOR TILLER/CULTIVATOR (with accessories) 1 unit SINGLE-PASS RICE MILL (with accessories) 1 unit TRANSFORMER 25KVA</t>
  </si>
  <si>
    <t xml:space="preserve"> 1 Lot CANDLE PRODUCTION SUPPLIES AND MATERIALS</t>
  </si>
  <si>
    <t xml:space="preserve"> Invitation to Bid  For the Construction/Rehabilitation of Existing Drainage System at Brgy. Quintin Salas, Jaro, Iloilo City 1.	The City of Iloilo, through the SB No. 2 CY2018, 20% Development Fund intends to apply the sum of Two Million Pesos (Php 2,000,</t>
  </si>
  <si>
    <t xml:space="preserve"> 3 units WATER PUMP ASSEMBLY (15hp. Gas.) 3 units FLOATING TILLER 3 rolls WATER PUMP HOSE 4"dia.</t>
  </si>
  <si>
    <t xml:space="preserve"> 1 Lot AGRICULTURAL MACHINERY, BREEDER STOCKS, FEEDS, VET. MED's AND MATERIALS</t>
  </si>
  <si>
    <t xml:space="preserve"> Supply and Delivery of 1 Unit Passenger Van -	Transmission: 4 speed automatic gate-type,  -	Suspension Front/Rear: double wishbone with stabilizer bar/rigid axle, leaf soring or its equivalent,  -	Tires: 225/70R15,  -	Wheels: 611x 15 alloy wheel,  -	Engin</t>
  </si>
  <si>
    <t xml:space="preserve"> City Government of Manila INVITATION TO BID NO. 2020-07-114 Procurement of Various Hospital Equipment 1.	The City Government of Manila, through the Pagcor Trust Fund &amp; Lotto Fund CY 2020 intends to apply the sum of Fifty Seven Million Seven Hundred Thousa</t>
  </si>
  <si>
    <t xml:space="preserve"> Lot 1 - Automatic Voltage Regulators and CCTV System  Lot 2 - Desktop Computers, Laptops, Server Computer and Printer  Lot 3 - Smart TV, Projectors and Tablets</t>
  </si>
  <si>
    <t xml:space="preserve"> 3 units WATER PUMP (6.5hp. Gas.) 2 units BRASS CUTTER 1 unit MULTI-FUNCTIONAL CULTIVATOR (with accessories) 4 rolls WATER PUMP HOSE 1 roll ENCLOSURE (Barb Wire)</t>
  </si>
  <si>
    <t xml:space="preserve"> 2 units FLOATING TILLER (with accessories) 1 unit WALK BEHIND RICE TRANSPLANTER (with accessories) 1 unit WATER PUMP 6.5HP GASOLINE (with accessories) 1 unit SMALL MECHANICAL THRESHER (with accessories) 1 roll ENCLOSURE (Barb Wire)</t>
  </si>
  <si>
    <t xml:space="preserve"> Republic of the Philippines Cordillera Administrative Region Provincial Local Government Unit of Ifugao BIDS AND AWARDS COMMITTEE 2nd Floor COA Bldg., Capitol Compound Lagawe, Ifugao Email Ad.: bacgoodsifugao13@gmail.com INVITATION TO BID BRAND NEW AMBULA</t>
  </si>
  <si>
    <t xml:space="preserve"> Straight Contract for Water Project See attached link/Url under OTHER INFORMATION BOX</t>
  </si>
  <si>
    <t xml:space="preserve"> Republic of the Philippines Province of Guimaras OFFICE OF THE BIDS AND AWARDS COMMITTEE INVITATION TO BID FOR    SUPPLY AND DELIVERY OF DRUGS AND MEDICINES Bid Ref. No. 2020-07-406 1.	The Province of Guimaras , through the Revolving Fund intends to apply</t>
  </si>
  <si>
    <t xml:space="preserve"> Republic of the Philippines Cordillera Administrative Region Provincial Local Government Unit of Ifugao BIDS AND AWARDS COMMITTEE 2nd Floor COA Bldg., Capitol Compound Lagawe, Ifugao Email Ad.: bacgoodsifugao13@gmail.com INVITATION TO BID BRAND NEW LIGHT </t>
  </si>
  <si>
    <t xml:space="preserve"> Republic of the Philippines Cordillera Administrative Region Provincial Local Government Unit of Ifugao BIDS AND AWARDS COMMITTEE 2nd Floor COA Bldg., Capitol Compound Lagawe, Ifugao Email Ad.: bacgoodsifugao13@gmail.com INVITATION TO BID BRAND NEW MERCY </t>
  </si>
  <si>
    <t xml:space="preserve"> 1 Lot EQUIPMENTS, BREEDER STOCKS, FEEDS, VET. MED's AND MATERIALS</t>
  </si>
  <si>
    <t xml:space="preserve"> 3,000 kgs. Cloth retaso 3,000 kgs. Pyle cloth 200 kgs. Cotton 200 kgs. Cida 3 pcs. Electric Round Knife Cutter 3 units Sewing Machine 30 pcs. Scissors 250 mtrs. Tela</t>
  </si>
  <si>
    <t xml:space="preserve"> Straight Contract for Construction of Farm to Market Road  See attached link/Url under OTHER INFORMATION BOX</t>
  </si>
  <si>
    <t xml:space="preserve"> Straight Contract for Construction of Drainage  See attached link/Url under OTHER INFORMATION BOX</t>
  </si>
  <si>
    <t xml:space="preserve"> Straight Contract for Construction of Farm to Market Road See attached link/Url under OTHER INFORMATION BOX</t>
  </si>
  <si>
    <t xml:space="preserve"> 1 unit Readymade Boat body 1 unit Purchase Boat engine (4DRS) 75hp 1 length Boat Accessories (IHI Stainless #2 12ft.) 1 length Boat Accessories (IHI Stainless #1 10ft.) 1 length Boat Accessories (G.I. Pipe/33 20ft.) 1 length Stainless plate (14x16) 1 pc. </t>
  </si>
  <si>
    <t xml:space="preserve"> Straight Contract for Rural Electrification See attached link/Url under OTHER INFORMATION BOX</t>
  </si>
  <si>
    <t xml:space="preserve"> INVITATION TO BID The Iligan City Government Bids and Awards Committee (BAC), through 2019-GENERAL FUND intends to apply the sum of                          P 1,854,958.60 being the Approved Budget for the Contract (ABC) to payments under the Contract for</t>
  </si>
  <si>
    <t xml:space="preserve"> Republic of the Philippines Province of Eastern Samar Municipality of Llorente Invitation to Bid for the Construction of Plant Nurseries 1.	The Local Government of Llorente, through the General Appropriations Act (GAA) intends to apply the sum of Two hund</t>
  </si>
  <si>
    <t xml:space="preserve"> Installation of Firefighting Equipments and Sprinkler System for RHU II at Ban-ag, Santa Barbara, Iloilo</t>
  </si>
  <si>
    <t xml:space="preserve"> Qty   unit of issue     item description 20       cu.m                     stone 1/4      pcs           1/4"  marine plywood 2f 3,200  bdft                 cocolumber 186      kgs       assorted common wire nails 1048     bags            Portland cement 6</t>
  </si>
  <si>
    <t xml:space="preserve"> Construction of Uniformed Apartment Type Niche at the Municipal Cemetery</t>
  </si>
  <si>
    <t xml:space="preserve"> 1 unit WATER PUMP (6.5hp. Gas.) 2 units BRASS CUTTER 1 unit MULTI-FUNCTIONAL CULTIVATOR (with accessories) 1 unit HAND TRACTOR with trailer 1 roll ENCLOSURE (Barb Wire) 1 roll WATER PUMP HOSE</t>
  </si>
  <si>
    <t xml:space="preserve"> 1.	The Mabini Water District through its Internal Cash Generation (ICG) intends to apply the sum of One Million Seven Hundred One Thousand Six Hundred Twenty Five Pesos Only (P 1,701,625.00) being the Approved Budget for the Contract (ABC) to payment unde</t>
  </si>
  <si>
    <t xml:space="preserve"> a.) Project signboard (1 lot) b.) OSHP (Q- 1lot) c.) Mobilization/Demob. (Q=1 lot) d.) Excavation (Q= 1lot) e.) Formworks (Q= 1lot) f.) Steel Works (Q= 1lot) g.) Concrete Works (Q=68.49 cu.m.) h.) Masonry Works  (Q= 1lot) i.) Electrical Works (Q= 1lot) j.</t>
  </si>
  <si>
    <t xml:space="preserve"> Various Materials for the Concreting of Barasan Oeste Barangay Road</t>
  </si>
  <si>
    <t xml:space="preserve"> Various materials for the Concreting of Sangcate Barangay Road</t>
  </si>
  <si>
    <t xml:space="preserve"> Various Materials for the Concreting of Manhayang Barangay Road</t>
  </si>
  <si>
    <t xml:space="preserve"> Republic of the Philippines Province of Cagayan Municipality of Baggao INVITATION TO BID FOR THE PROCUREMENT OF GOODS The Barangay San Antonio, Baggao, Cagayan, through the 20% Barangay Development Fund CY 2020  intends to apply the sum of  One Hundred Tw</t>
  </si>
  <si>
    <t xml:space="preserve"> INVITATION TO BID  The Department of Public Works and Highways DPWH – Isabela 4th District Engineering Office, through its Bids and Awards Committee (BAC) for Goods, invites suppliers to submit bids for the following Contract:   Contract ID: 20BH0002G Con</t>
  </si>
  <si>
    <t xml:space="preserve"> Republic of the Philippines Province of Cagayan Municipality of Baggao INVITATION TO BID FOR THE PROCUREMENT OF GOODS The Barangay San Jose, Baggao, Cagayan, through the 20% Barangay Development Fund CY 2019 intends to apply the sum of  One Hundred Six Th</t>
  </si>
  <si>
    <t xml:space="preserve"> Various Materials for the Concreting of Cadagmayan Sur Barangay Road</t>
  </si>
  <si>
    <t xml:space="preserve"> Various Materials for the Concreting of Canipayan Barangay Road</t>
  </si>
  <si>
    <t xml:space="preserve"> INVITATION TO BID  Supply and delivery of Three Hundred Forty (340) bags Hybrid Palay Seeds for use in the implementation of RRP-ALPAS Program under Rice Program 2020 1.	The Department of Agriculture Regional Field Office No. 5, through the General Approp</t>
  </si>
  <si>
    <t xml:space="preserve"> please click this link to download bidding documents https://drive.google.com/file/d/1wHmwtux8jc_gfofmpA3-uj6ze9VTGPP_/view?usp=drivesdk</t>
  </si>
  <si>
    <t xml:space="preserve"> Procurement of Supplies and Materials for Concreting of Monte Alegre Pathway to Sitio Opaw at Brgy. Monte Alegre, Matalom, Leyte. INVITATION TO BID The Local Government Unit of Matalom through its Bids and Awards Committee (BAC), invites suppliers/manufac</t>
  </si>
  <si>
    <t xml:space="preserve"> 165 SQ.M. CLEARING AND LAY OUT 108.8 CU.M EXCAVATION FOR STRUCTURE 16 CU.M. EMBANKMENT 95.04 SQ.M FORMWORKS AND SCAFFOLDING 198 SQ.M MASONRY WORKS 264 SQ.M PLASTERING 1587.30 KGS REBARS 17.3 CU.M CONCRETE WORKS</t>
  </si>
  <si>
    <t xml:space="preserve"> INVITATION TO BID  	 The Central Luzon State University (CLSU) its Bids and Awards Committee (BAC), invites suppliers/manufacturers/distributors to bid for the hereunder projects: NAME OF PROJECT: Lot 1 - Upgrading of the Pests and Disease Diagnostic Labo</t>
  </si>
  <si>
    <t xml:space="preserve"> Description   Description TERMS OF REFERENCE (CLIMATE RESILIENT FARM PRODUCTIVITY SUPPORT PROJECT) A. OVERVIEW/BACKGROUND The Department of Agrarian Reform is the lead agency tasked with implementing the Comprehensive Agrarian Reform Program or CARP. Amon</t>
  </si>
  <si>
    <t xml:space="preserve"> Section I. Invitation to Bid      PROVINCIAL GOVERNMENT OF ISABELA Invitation to Bid for Construction of Bridge Connecting Brgys. Quezon, Quirino, Mansibang &amp; Palattao, Naguillian, Isabela  1.	The Provincial Government of Isabela, through the PGI Fund   i</t>
  </si>
  <si>
    <t xml:space="preserve"> Procurement of Supplies and Materials for Concreting of Altavista Brgy. Road to Sitio Tonggo at Brgy. Altavista, Matalom, Leyte. INVITATION TO BID The Local Government Unit of Matalom through its Bids and Awards Committee (BAC), invites suppliers/manufact</t>
  </si>
  <si>
    <t xml:space="preserve"> INVITATION TO BID July 16, 2020 The DPWH Tacloban City District Engineering Office, New Bus Terminal, Brgy. Abucay, Tacloban City, through its Bids and Awards Committee (BAC), invites contractors to submit bids for the following Contract: I.    Contract I</t>
  </si>
  <si>
    <t xml:space="preserve"> Section I. Invitation to Bid      PROVINCIAL GOVERNMENT OF ISABELA Invitation to Bid for Maintenance of Completed District III-Sta. Cruz Farm to Market Road, San Manuel, Isabela  1.	The Provincial Government of Isabela, through the PGI Fund   intends to a</t>
  </si>
  <si>
    <t xml:space="preserve"> Republic of the Philippines Province of Ilocos Norte Municipality of Paoay BARANGAY 12 SAN BLAS  BIDS AND AWARDS COMMITTEE INVITATION TO BID 2020-002 Invitation to bid for the Purchase of Materials for the Installation and Rehabilitation of Street Lightin</t>
  </si>
  <si>
    <t xml:space="preserve"> Various Materials for the Concreting of Zone 2 Barangay Road</t>
  </si>
  <si>
    <t xml:space="preserve"> Clearing/Excavation Const.of Intake box Materials Labor Installation of Pipes Materials Labor</t>
  </si>
  <si>
    <t xml:space="preserve"> Section I. Invitation to Bid      PROVINCIAL GOVERNMENT OF ISABELA Invitation to Bid for Maintenance of Completed Olango-Siempre Viva-Trinidad-Manano Farm to Market Road, Mallig, Isabela  1.	The Provincial Government of Isabela, through the PGI Fund   int</t>
  </si>
  <si>
    <t xml:space="preserve"> INVITATION TO BID ON THE SUPPLY, DELIVERY AND INSTALLATION OF  1 LOT 645KVA GENERATOR SET OF BUKIDNON STATE UNIVERSITY (RE-BIDDING) 1.	The Bukidnon State University through the Bids and Awards Committee &amp; Budget Approved by the Board of Regents 2020 Fund </t>
  </si>
  <si>
    <t xml:space="preserve"> INVITATION TO BID FOR  SUPPLY &amp; DELIVERY OF PRINTERS &amp; USB FOR USE IN PUBLIC SCHOOLS  IN THIS MUNICIPALITY, LGU VILLASIS, PANGASINAN 	 		 1.	The Local Government of Villasis, Pangasinan, thru Special Education Fund, intends to apply the sum of Two Hundred</t>
  </si>
  <si>
    <t xml:space="preserve"> please click this link to download bidding documents https://drive.google.com/file/d/1NJUKd-crnWtaqda9ewKyOCjcwe-NJgDJ/view?usp=drivesdk</t>
  </si>
  <si>
    <t xml:space="preserve"> 39.00   	bags		Portland Cement 3.50		cu.m.	Gravel, crushed stones 2.25		cu.m.	Black River Sand 40.00	pcs.		12mm ø Deformed Bars 18.00	pcs.		10mm ø Deformed Bars 7.00		pcs.		G.I. Tie Wire # 16 20.00	Pcs.		1 ½”ø G.I. Pipe S-40 1.00		pcs.		1 ½”ø G.I. Tee 20.</t>
  </si>
  <si>
    <t xml:space="preserve"> Section I. Invitation to Bid      PROVINCIAL GOVERNMENT OF ISABELA Invitation to Bid for Maintenance of Completed Union-Camasi Farm to Market Road, Cabagan, Isabela  1.	The Provincial Government of Isabela, through the PGI Fund   intends to apply the sum </t>
  </si>
  <si>
    <t xml:space="preserve"> Republic of the Philippines Province of South Cotabato BIDS AND AWARDS COMMITTEE  City of Koronadal  INF-ITB 20-036 INVITATION TO BID  1.	The Provincial Government of South Cotabato, through the LBP 0752-1090-44-CMGP 25 intends to apply the sum of        </t>
  </si>
  <si>
    <t xml:space="preserve"> Republic of the Philippines Province of South Cotabato BIDS AND AWARDS COMMITTEE  City of Koronadal  INF-ITB 20-039 INVITATION TO BID  1.	The Provincial Government of South Cotabato, through the LBP 0752-1090-44-CMGP 24 intends to apply the sum of        </t>
  </si>
  <si>
    <t xml:space="preserve"> Section I. Invitation to Bid      PROVINCIAL GOVERNMENT OF ISABELA Invitation to Bid for Maintenance of Completed San Placido-Sinamar Farm to Market Road, Roxas, Isabela  1.	The Provincial Government of Isabela, through the PGI Fund   intends to apply the</t>
  </si>
  <si>
    <t xml:space="preserve"> 1.	1	Dental chair with High and Low Intensity light using LED bulb 		*X-ray viewer * 2 connector good for	 		- High speed Handpiece 		- Low speed air motor 		- Air scaler 		- Fiber optic high speed handpiece * Three way syringe * Detachable cuspidor bowl </t>
  </si>
  <si>
    <t xml:space="preserve"> Republic of the Philippines MUNICIPALITY OF TAPAZ BIDS AND AWARDS COMMITTEE Office of the BAC Secretariat, Ground Floor, Municipal Hall, Tapaz, Capiz 5814 E-mail: bac.tapaz@yahoo.com Section I-Invitation to Bid    Procurement of Works for the Construction</t>
  </si>
  <si>
    <t xml:space="preserve"> Republic of the Philippines BIDS AND AWARDS COMMITTEE San Remigio, Antique INVITATION TO BID CIVIL WORKS The LGU- SAN REMIGIO, ANTIQUE,through its Bids and Awards Committee (BAC), invites contractors registered with and classified by the Philippine Contra</t>
  </si>
  <si>
    <t xml:space="preserve"> please click this link to download bidding documents https://drive.google.com/file/d/1EQFfP56uo3v2N5eEJPDOxjOFaUoQDHO1/view?usp=drivesdk</t>
  </si>
  <si>
    <t xml:space="preserve"> Procurement of Hammer Mill/ Pulverizer at LGU-Matalom, Leyte. INVITATION TO BID The Local Government Unit of Matalom through its Bids and Awards Committee (BAC), invites suppliers/manufacturers/distributors/contractors to bid for the hereunder project: Na</t>
  </si>
  <si>
    <t xml:space="preserve"> MATERIALS FOR THE RM OF SCHOOL FENCE</t>
  </si>
  <si>
    <t xml:space="preserve"> Procurement of Plastic Shredder Machine at LGU-Matalom, Matalom, Leyte. INVITATION TO BID The Local Government Unit of Matalom through its Bids and Awards Committee (BAC), invites suppliers/manufacturers/distributors/contractors to bid for the hereunder p</t>
  </si>
  <si>
    <t xml:space="preserve"> The ZAMBOANGA CITY STATE POLYTECHNIC COLLEGE through its Bids and Awards Committee (BAC) is inviting PHILGEPS registered suppliers to apply for eligibility and to submit bids for the items listed below: 1.	Stainless utility rack 4-layer, 1200mm L x 500mm </t>
  </si>
  <si>
    <t xml:space="preserve"> INVITATION TO BID FOR Fuel, Oil and Lubricants Expenses  (Name of Project)    1.	The CITY GOVERNMENT OF ZAMBOANGA, through the General Fund intends to apply the sum of TWO MILLION FIVE HUNDRED FIFTY THREE THOUSAND THREE HUNDRED PESOS (P2,553,300.00) ONLY </t>
  </si>
  <si>
    <t xml:space="preserve"> 26.00	pcs.		4” x 8’ Wooden Moulding (Treated) 2.00		kgs.		Nail # 1” (for moulding) 2.00		cans		Epoxy Filler (1 liter content) 3.00		set		Fabricated Cubicle Office Table 8.00		pcs.		3”ø x 3.00 mtrs. PVC Pipe 10.00	pcs.		3”ø x 90’PVC Elbow 2.00		cans		PVC S</t>
  </si>
  <si>
    <t xml:space="preserve"> INVITATION TO BID FOR Fuel, Oil and Lubricants Expenses  (Name of Project)    1.	The CITY GOVERNMENT OF ZAMBOANGA, through the General Fund intends to apply the sum of FOURTEEN MILLION ONE HUNDRED FIFTY THOUSAND FOUR HUNDRED PESOS (P14,150,400.00) ONLY be</t>
  </si>
  <si>
    <t xml:space="preserve"> Reflectorized Thermoplastic Pavement Markings, Removal of Existing Reflectorized Thermoplastic Pavement Markings</t>
  </si>
  <si>
    <t xml:space="preserve"> 1	Polyglycolic Acid 4/0 cutting edge needle 2	Activated charcoal 20g powder 3	Alcohol 70% 500ml 4	Amoxicillin Trihydrate 250mg 5	Atropine Sulfate 1mg/ml 6	ATS Antitanus Serum 5000iu/ml, 1ml 7	Benzathine benzyl-penicillin+ Procaine benzylpenicillin+ Dihydr</t>
  </si>
  <si>
    <t xml:space="preserve"> Republic of the Philippines PROVINCE OF ZAMBOANGA SIBUGAY Municipality of Mabuhay OFFICE OF THE BAC CHAIRMAN                         INVITATION TO BID FOR THE CONSTRUCTION OF WATER SYSTEM LEVEL II Identification No. LGSF-SALINTUBIG2020-MAB-01             </t>
  </si>
  <si>
    <t xml:space="preserve"> INVITATION TO BID FOR  SUPPLY AND DELIVERY OF OFFICE SUPPLIES (FOR INSTRUCTIONAL DELIVERY VIA FLEXIBLE  LEARNING MODALITIES) 1.	The SAMAR STATE UNIVERSITY, through the GAA-RAF FY 2020 intends to apply the sum of Two Million One Hundred Thousand Pesos (PhP</t>
  </si>
  <si>
    <t xml:space="preserve"> The CAGAYAN STATE UNIVERSITY through the GAA FY 2020 intends to apply the sum of Two Million Pesos  (P 2,000,000.00), being the Approved Budget for the Contract (ABC) to payments under the contract for “CONSTRUCTION OF CAMPUS BUSINESS CENTER (PROJ.REF.NO:</t>
  </si>
  <si>
    <t xml:space="preserve"> INVITATION TO RE-BID FOR Breeding Stocks  (Name of Project)    1.	The CITY GOVERNMENT OF ZAMBOANGA, through the AB FY 2020 intends to apply for re-bid the sum of ONE MILLION THREE HUNDRED TWENTY THOUSAND PESOS (P1,320,000.00) ONLY being the Approved Budge</t>
  </si>
  <si>
    <t xml:space="preserve"> PURCHASE OF OFFICE SUPPLIES FOR THE REPRODUCTION OF LEARNING MATERIALS</t>
  </si>
  <si>
    <t xml:space="preserve"> INVITATION TO BID ON THE SUPPLY, DELIVERY AND INSTALLATION OF  1 LOT SKILLS LABORATORY EQUIPMENT FOR NEW NURSING LABORATORY  OF BUKIDNON STATE UNIVERSITY(RE-BIDDING) 1.	The Bukidnon State University through the Bids and Awards Committee &amp; Budget Approved </t>
  </si>
  <si>
    <t xml:space="preserve"> Republic of the Philippines Province of Oriental Mindoro Municipality of Bongabong Barangay Lisap Section I. Invitation to Bid 2020-004 SUPPLY AND DELIVERY OF CONSTRUCTION MATERIALS AND SUPPLIES FOR THE CONSTRUCTION OF SENIOR CITIZEN BUILDING (SO. CENTRO)</t>
  </si>
  <si>
    <t xml:space="preserve"> The ZAMBOANGA CITY STATE POLYTECHNIC COLLEGE through its Bids and Awards Committee (BAC) is inviting PHILGEPS registered suppliers to apply for eligibility and to submit bids for the items listed below: 1.	Battle rope w/ mall mount 1.5 handles x 9m rope (</t>
  </si>
  <si>
    <t xml:space="preserve"> PURCHASE OF OFFICE SUPPLIES</t>
  </si>
  <si>
    <t xml:space="preserve"> Republic of the Philippines PROVINCE OF BUKIDNON Municipality of Sumilao INVITATION TO BID  ITB NO. CW-2020-09 RE-BIDDING FOR THE CONSTRUCTION OF DRAINAGE CANAL FOR TEN (10) BARANGAYS 1.	The Local Government Unit of Sumilao, through its Bids Awards Commit</t>
  </si>
  <si>
    <t xml:space="preserve"> Republic of the Philippines City of Cagayan de Oro BIDS AND AWARDS COMMITTEE  INVITATION TO BID  FOR  Supply and Delivery of One (1) Unit Van Type Vehicle; PR No. 20-1580 dated 23 March 2020; SN 170 - 2020 1.	The City Government of Cagayan de Oro, through</t>
  </si>
  <si>
    <t xml:space="preserve"> Republic of the Philippines PROVINCIAL GOVERNMENT OF EASTERN SAMAR Capitol Building, Borongan, Eastern Samar, 6800 Tel No. (055)-560-8312 E-mail Address: esamar.bac@gmail.com BIDS AND AWARDS COMMITTEE (BAC) INVITATION TO BID FOR CONCRETING OF BARANGAY ROA</t>
  </si>
  <si>
    <t xml:space="preserve"> Selected Barrow 200 cu.m 16mm dia RSB @ 6.0m 290 pcs 10mm dia RSB @ 6.0m 170 pcs 1/2" Ordinary ply 19 pcs Coco lumber 340 pcs Common wire nail 20 kls Tie wire 24 kls Portland cement 167 bags Sand mixed (10 cu.m TL) 10 TL 0.50dia steelfoam (plain sheets) 1</t>
  </si>
  <si>
    <t xml:space="preserve"> Republic of the Philippines City of Iriga Main City Hall Building, Sta. Cruz Sur Telefax No. (054) 299-1933 OFFICE OF THE BIDS AND AWARDS COMMITTEE The City of Iriga, through its Bids and Awards Committee (BAC) Office, intends  to apply the sum of Seven H</t>
  </si>
  <si>
    <t xml:space="preserve"> City Government of Manila INVITATION TO BID NO. 2020-07-113 Supply and Installation of one (1) unit CT Scan 128 Slices and one (1) unit Ultrasound Machine (General Use) 1.	The City Government of Manila, through the CY 2020 – PAGCOR Trust Fund intends to a</t>
  </si>
  <si>
    <t xml:space="preserve"> 22.00	 bags	Portland Cement 3.00 		 bags	Crushed Stones, black 2.00		 bags	Black River Sand 12.00	 pcs.		12mm x 6.0m. Deformed Bars 23.00	 pcs.		10mm x 6.0m. Deformed Bars 4.00		 kgs. 	G.I Tire Wire # 16 1.00		 shts.	1/4” x 4’ x 8’ Ordinary Plywood 80.00	</t>
  </si>
  <si>
    <t xml:space="preserve"> INVITATION TO BID FOR Printing Services  (Name of Project)    1.	The CITY GOVERNMENT OF ZAMBOANGA, through the General Fund intends to apply the sum of TWO MILLION NINE HUNDRED NINETY NINE THOUSAND EIGHT HUNDRED TWENTY PESOS (P2,999,820.00) ONLY being the</t>
  </si>
  <si>
    <t xml:space="preserve"> Republic of the Philippines Province of South Cotabato BIDS AND AWARDS COMMITTEE  City of Koronadal  INF-ITB 20-038 INVITATION TO BID  1.	The Provincial Government of South Cotabato, through the LBP 0752-1090-44-CMGP 23 intends to apply the sum of        </t>
  </si>
  <si>
    <t xml:space="preserve"> INVITATION TO BID 1)	The DPWH- Davao City District Engineering Office through its Bids and Awards Committee (BAC), invites contractors to submit bids for the following contract; 1. Procurement ID /          Contract ID No.	:	20LB0266     Contract Name	:	C</t>
  </si>
  <si>
    <t xml:space="preserve"> Improvement of Day Care Center, Namabbalan Norte, Tuguegarao City</t>
  </si>
  <si>
    <t xml:space="preserve"> 1.	The Provincial Government of Ilocos Norte, through the General Fund  intends to apply the sum of One Million Seven Hundred Seventy Thousand Pesos                                  (Php 1,770,000.00                ) being the Approved Budget for the Cont</t>
  </si>
  <si>
    <t xml:space="preserve"> Portland Cement Sand Gravel 10mmoRSB Tie Wire #16 Direct Couple 7.5 Hz Power Engine Water Pump HDPE Black Pipe 1"o Foot Valve PVC 2"o Swing Valve Pipe 2"o Ball Valve Pipe 1" o Ball Valve Pipe 1" o HDPE Coupling 1"o PVC Solvent  PVC Pipe 2" o PVC Elbow 2" </t>
  </si>
  <si>
    <t xml:space="preserve"> PLEASE REFER TO THE ATTACHEMENT</t>
  </si>
  <si>
    <t xml:space="preserve"> Republic of the Philippines CITY OF PANABO Province of Davao del Norte BIDS AND AWARDS COMMITTEE -o0o- INVITATION TO BID  SUPPLY OF SURVEYING EQUIPMENT 1.	The City of Panabo, through CPDO/ REAL TIME KINEMATIC SURVEYING EQUIPMENT – CAPITAL OUTLAY 2020 inte</t>
  </si>
  <si>
    <t xml:space="preserve"> INVITATION TO BID FOR Printing Services  (Name of Project)    1.	The CITY GOVERNMENT OF ZAMBOANGA, through the General Fund intends to apply the sum of TWO MILLION NINE HUNDRED NINETY SEVEN THOUSAND TWO HUNDRED PESOS (P2,997,200.00) ONLY being the Approve</t>
  </si>
  <si>
    <t xml:space="preserve"> INVITATION TO BID 1)	The DPWH- Davao City District Engineering Office through its Bids and Awards Committee (BAC), invites contractors to submit bids for the following contract; 1. Procurement ID /          Contract ID No.	:	20LB0297     Contract Name	:	R</t>
  </si>
  <si>
    <t xml:space="preserve"> 1. 1 LOT - CONSTRUCTION MATERIALS - 389,675.00 The Complete Schedule of Activities are Listed as Fallows: 1. Submission of Letter of Intent &amp; Issuance of Bid Documents - July 23 - August 5, 2020 @ 8:00am - 5:00pm 2. Opening of Bids - August 6, 2020 @ 09:0</t>
  </si>
  <si>
    <t xml:space="preserve"> INVITATION TO BID FOR  Procurement of Goods [Books] (Rebid) The   City Government of Tagbilaran,   through the Continuing Appropriation, intends to apply the sum of Three Million Three Hundred Sixty Seven Thousand Four Hundred Fifty Seven Pesos only (Php3</t>
  </si>
  <si>
    <t xml:space="preserve"> 141 pcs TRAPAL (16 x 24) See attached link under OTHER INFORMATION BOX</t>
  </si>
  <si>
    <t xml:space="preserve"> INVITATION TO BID FOR SUPPLY AND DELIVERY OF 1,796 UNITS 15MM Ø MULTI JET BRASS WATER METER 1. The Tanay Water District, through the 2020 Corporate Operating Budget intends to apply the sum of Two Million Six Hundred Ninety Four Thousand Pesos (₱2,694,000</t>
  </si>
  <si>
    <t xml:space="preserve"> 43750 pcs NOTEBOOKS See attached link under OTHER INFORMATION BOX</t>
  </si>
  <si>
    <t xml:space="preserve"> Invitation to Bid for Drilling of One (1) Production Well at Kat-Bayani Pumping Station 1. The Tanay Water District, through the Corporate Budget for 2019 intends to apply the sum of Three Million Six Hundred Ten Thousand Two Hundred Fifteen Pesos (₱3,610</t>
  </si>
  <si>
    <t xml:space="preserve"> INVITATION TO BID  Contract Reference No. 2020-0013 GOODS “PROCUREMENT OF LABORATORY EQUIPMENT FOR THE UPGRADING  OF ANIMAL HEALTH LABORATORY FACILITY OF TAU “ 1.	The TARLAC AGRICULTURAL UNIVERSITY, through the Department of Agriculture – Agricultural Com</t>
  </si>
  <si>
    <t xml:space="preserve"> 1.	The Provincial Government of Ilocos Norte, through the General Fund  intends to apply the sum of Two Million Four Hundred Forty Five Thousand Three Hundred Ninety Two Pesos   (Php 2,445,392.00                 ) being the Approved Budget for the Contrac</t>
  </si>
  <si>
    <t xml:space="preserve"> INVITATION TO BID for the ITB No. 20-067 Supply and Delivery of Two Hundred Forty Thousand (240,000) Heparin Sodium, 1000IU/mL 5mL, Vial  (FRAMEWORK AGREEMENT)  1.	The National Kidney and Transplant Institute (NKTI) through its Corporate Operating Budget </t>
  </si>
  <si>
    <t xml:space="preserve"> Purchase of Fourteen (14) Units Duplicator Machine Item	Unit	Description	 Quantity  I	Unit	DIGITAL DUPLICATOR MACHINE	14 		Specifications:	 		- with 3 Feeding	 		- 300 x 360 DPT Scanning &amp; Printing Resolution	 		- 60, 90, to 130 Copies per minute	 		- wit</t>
  </si>
  <si>
    <t xml:space="preserve"> INVITATION TO BID FOR  Procurement of Goods [Web Based Prepaid Loading Portal Service] The   City Government of Tagbilaran,   through the Trust Fund (Tagbilaran City College), intends to apply the sum of Two Million Six Hundred Thousand Pesos only (Php2,6</t>
  </si>
  <si>
    <t xml:space="preserve"> Republic of the Philippines PROVINCE OF PANGASINAN BIDS AND AWARD COMMITTEE (BAC) Brgy. Labney, San Jacinto, Pangasinan Mobile No. 09361243062 INVITATION TO BID The Barangay  Labney, San Jacinto, Pangasinan, though its Bids and Award Committee (BAC), invi</t>
  </si>
  <si>
    <t xml:space="preserve"> Improvement of Multi - Purpose Building, Namabbalan Norte, Tuguegarao City</t>
  </si>
  <si>
    <t xml:space="preserve"> Cement 150 bags Sand 13 cu.m Gravel 26 cu.m 16mm RSB @ angular bar 60 pcs 1/2" x 1/2" x 20' angular bar 15 pcs 10mm RSB @ 6.0m 80 pcs Tie wire 15 kls 1/2" ordinary plywood 30 pcs Cocolumber 2x3 200 pcs Cocolumber 2x2 200 pcs CWN assorted sizes 30 kls 10mm</t>
  </si>
  <si>
    <t xml:space="preserve"> 1.	The Capiz Provincial Government, through the GOP CY-2020 intends to apply the total amount of Five Million Pesos (Php 5,000,000.00) being the Approved Budget for the Contract (ABC).  Bids received in excess of the ABC shall be automatically rejected at</t>
  </si>
  <si>
    <t xml:space="preserve"> 1.	The Capiz Provincial Government, through the GOP CY-2020 intends to apply the total amount of Nine Million Eight Hundred Forty Thousand Six Hundred Three Pesos &amp; 12/100 (Php 9,840,603.12) being the Approved Budget for the Contract (ABC).  Bids received</t>
  </si>
  <si>
    <t xml:space="preserve"> Construction</t>
  </si>
  <si>
    <t xml:space="preserve"> Republic of the Philippines Province of Nueva Vizcaya Municipality of Solano -o0o- INVITATION TO BID FOR Supply &amp; Delivery of materials for the Improvement of ALS Building, Solano East Central School, SNV.   (SOLANO 079-2020) 1.	The Local Government Unit </t>
  </si>
  <si>
    <t xml:space="preserve"> Drugged Out Hull&amp; Frames (Kasko) 18"x24' Rough Lumber 1/4"x4x8' Marine Plywood 3/8"x4x8' marine Plywood Nylon Twine #100 Pamalong 10' Bamboo Floater 0.15 O Bamboo Floater Frame 0.08 O Propelier (Stainless) Paddle Wheel  Ehe 3/4" O x8' Stainless Bolt 3 3/8</t>
  </si>
  <si>
    <t xml:space="preserve"> Public Competitive Bidding for the Supply and Delivery of Ethyl Alcohol for the Account of the Philippine Statistics Authority (PSA) (Project Ref. No. BAC-PO/GOODS 2020-07-009)</t>
  </si>
  <si>
    <t xml:space="preserve"> Republic of the Philippines MUNICIPALITY OF CABUGAO Ilocos Sur Invitation to Bid for the Construction of Flood Control @ Brgy. Pug-os (Sadiri), Cabugao, Ilocos Sur 1. The Local Government Unit of Cabugao, Ilocos Sur, through the R.A. 7171 thru Appropriati</t>
  </si>
  <si>
    <t xml:space="preserve"> Construction , Improvement, Rehab.</t>
  </si>
  <si>
    <t xml:space="preserve"> 1.Invitation to Bid. 2.Please see attached file.</t>
  </si>
  <si>
    <t xml:space="preserve"> INVITATION TO BID INVITATION TO BID FOR SUPPLY AND DELIVERY OF GOODS (BILIRAN LIVELIHOOD SEEDING PROGRAM) 1.	The Department of Trade and Industry, Regional Office No. 8, through the R. A. 11465 GAA 2020 intends to apply the sum of ONE MILLION NINE HUNDRED</t>
  </si>
  <si>
    <t xml:space="preserve"> Invitation to Bid No. 20-07-06 PROCUREMENT OF LEARNING PACKETS  1.	The West Visayas State University, through the Fund 101 and 164 intends to apply the sum of Twenty Eight Million Two Hundred Forty Two Thousand Pesos (PhP28,242,000.00) Only being the Appr</t>
  </si>
  <si>
    <t xml:space="preserve"> 26 units Refrigerator’s See attached link under OTHER INFORMATION BOX</t>
  </si>
  <si>
    <t xml:space="preserve"> 39 units Television's See attached link under OTHER INFORMATION BOX</t>
  </si>
  <si>
    <t xml:space="preserve"> 30 units WATER DISPENSER See attached link under OTHER INFORMATION BOX</t>
  </si>
  <si>
    <t xml:space="preserve"> Construction of Deep well Pump (Manual) at San Isidro, San Fernando, Cebu Item	Unit	Description	 Quantity  I	Lot	Mobilization/Demobilization and Setting up Drilling Equipment	1 II	Ft	Drilling Operation to desired depth	180 III	Lot	Well Development and ins</t>
  </si>
  <si>
    <t xml:space="preserve"> Invitation to Bid for  PURCHASED OF FILLING MATERIALS FOR PUBLIC MARKET, POBLACION, STA. FE, LEYTE (CW-2020-02) 1.	The Local Government Unit of Sta. Fe through the General Fund CY 2020  intends to apply the sum of Five Million Five  Hundred Thousand Pesos</t>
  </si>
  <si>
    <t xml:space="preserve"> Republic of the Philippines Province of Nueva Vizcaya Municipality of Solano -o0o- INVITATION TO BID FOR Supply &amp; Delivery of materials for the Rehabilitation of Bagahabag Bridge  at Purok 5, Brgy. Bagahabag, Solano, NV.   (SOLANO 078-2020) 1.	The Local G</t>
  </si>
  <si>
    <t xml:space="preserve"> Republic of the Philippines Province of Nueva Vizcaya Municipality of Solano -o0o- INVITATION TO BID FOR ABC for Lot 1 – Supply &amp; Delivery of materials for the Construction of	         Slope Protection, Brgy. San Juan Provincial Rd. SNV.       P348,182.36</t>
  </si>
  <si>
    <t xml:space="preserve"> Republic of the Philippines Province of South Cotabato BIDS AND AWARDS COMMITTEE  City of Koronadal  INF-ITB 20-037 INVITATION TO BID  1.	The Provincial Government of South Cotabato, through the LBP 0752-1090-44-CMGP 26 intends to apply the sum of        </t>
  </si>
  <si>
    <t xml:space="preserve"> 1	Passenger Van Not exceeding 3000cc engine displacement, diesel-fed and 4 cylinders</t>
  </si>
  <si>
    <t xml:space="preserve"> PROCUREMENT OF LOCAL DISASTER RISK REDUCTION MANAGEMENT OFFICE ADDITIONAL EQUIPMENT AND SUPPLIES</t>
  </si>
  <si>
    <t xml:space="preserve"> 1.	The Capiz Provincial Government, through the GOP–2020 intends to apply the total amount of Five Million Six Hundred Twenty-Two Thousand Seven Hundred Sixty-Five Pesos (Php 5,622,765.00) being the total aggregated Approved Budget for the Contract (ABC) </t>
  </si>
  <si>
    <t xml:space="preserve"> Republic of the Philippines MUNICIPALITY OF CABUGAO Ilocos Sur Invitation to Bid for the Improvement of Water System @ Cabugao, Ilocos Sur 1. The Local Government Unit of Cabugao, Ilocos Sur, through the R.A. 7171 thru Appropriation Ordinance No. 2019-04 </t>
  </si>
  <si>
    <t xml:space="preserve"> Invitation to Bid for  IMPROVEMENT OF CONCRETE PAVEMENT LEADING TO MUNICIPAL GYMNASIUM, STA. FE, LEYTE (CW-2020-03) 1.	The Local Government Unit of Sta. Fe through the General Fund CY 2020  intends to apply the sum of Five Hundred Thousand Pesos (Php500,0</t>
  </si>
  <si>
    <t xml:space="preserve"> GEOTECNICAL INVESTIGATION -ROAD WIDENING-TERTIARY ROADS, KANANGA-TUNGONAN HOT SPRING ROAD</t>
  </si>
  <si>
    <t xml:space="preserve"> Installation of Production Pump for Upper Tangke, San Isidro, San Fernando, Cebu Item	Unit	Description	 Quantity  I	Lot	Mobilization/Demobilization and Setting up Drilling Equipment	1 II	Ft	Drilling Operation to desired depth	160 III	Lot	Well Development </t>
  </si>
  <si>
    <t xml:space="preserve"> I LOT - Fabrication of Sterile Wave 250 Blade Assembly				 90,000.00 	 1	1	lot	• Fabrication of center plate blade base holder		 			• Fabrication of 4 pcs rectangular blades with 3 holes treaded		 			• Fabrication of center blade with 4 holes treaded		 		</t>
  </si>
  <si>
    <t xml:space="preserve"> LGU-ALLEN, NORTHERN SAMAR                                         MUNICIPAL BIDS AND AWARDS COMMITTEE                                                        INVITATION TO BID 	The Municipal Government of Allen Northern Samar through its Bids and Awards Co</t>
  </si>
  <si>
    <t xml:space="preserve"> Republic of the Philippines MUNICIPALITY OF CABUGAO Ilocos Sur Invitation to Bid for the Concreting of Farm to Market Road @ Brgy. Pug-os (Sadiri East), Cabugao, Ilocos Sur 1. The Local Government Unit of Cabugao, Ilocos Sur, through the R.A. 7171 thru Ap</t>
  </si>
  <si>
    <t xml:space="preserve"> Title:Procurement of 1 Set Drone with Accessories under P.R No. 2312-2020 - CMO- Provision for Technical and Scientific Equipment (Continuing) Total ABC: Php 1,758,000.00 For representative/s of interested bidders  who wish to attend the Pre-Bidding Confe</t>
  </si>
  <si>
    <t xml:space="preserve"> Republic of the Philippines Province of Quezon CITY GOVERNMENT OF TAYABAS INVITATION TO BID FOR PROJECT # 20-083 - SUPPLY AND DELIVERY OF DRUGS AND MEDICINES 3RD  QUARTER - CHO. 1.	The City Government of Tayabas, through the General Fund 2020 intends to a</t>
  </si>
  <si>
    <t xml:space="preserve"> Republic of the Philippines MUNICIPALITY OF CABUGAO Ilocos Sur Invitation to Bid for the Improvement of Farm to Market Road @ Brgy. Quezon (Proper), Cabugao, Ilocos Sur 1. The Local Government Unit of Cabugao, Ilocos Sur, through the R.A. 7171 thru Approp</t>
  </si>
  <si>
    <t xml:space="preserve"> Construction Vehicles Inclusion: 1. Brand New 6 wheeler Dump Truck Engine Type: 6 Cylinder 4 stroke, water cooled, turbo-charged inter-cooling, common rail,  electrical controlled injection engine Emission Standard: EURO 4 Engine Power: 180 kw/ 24HP Torqu</t>
  </si>
  <si>
    <t xml:space="preserve"> Republic of the Philippines Province of Quezon CITY GOVERNMENT OF TAYABAS INVITATION TO BID FOR PROJECT # 20-044 – PROCUREMENT OF STF DISASTER EQUIPMENT FOR DISASTER RESPONSE AND RESCUE ACTIVITES - LDRRMO. 1.	The City Government of Tayabas, through the Tr</t>
  </si>
  <si>
    <t xml:space="preserve"> Kindly see attached documents</t>
  </si>
  <si>
    <t xml:space="preserve"> Republic of the Philippines MUNICIPALITY OF CABUGAO Ilocos Sur Invitation to Bid for the Construction of Multi-Purpose Building @ Brgy. Sisim (Proper), Cabugao, Ilocos Sur 1. The Local Government Unit of Cabugao, Ilocos Sur, through the R.A. 7171 thru App</t>
  </si>
  <si>
    <t xml:space="preserve"> 5	amp	dexamethsone ampule 5	amp	diphenhydramine amp 5	amp	tranexamic amp 10	gals	alcohol 70% 100	pcs	face mask 5	boxes	ibuprofen 400mg tab 10	boxes	amoxicillin 500mg 11	boxes	celecoxib 200mg cap 50	boxes	azithromycin tab 5	boxes	cloxacillin 500mg cap 20	b</t>
  </si>
  <si>
    <t xml:space="preserve"> 1	Pick-Up 4x4 1. Automatic transmission 2. 2.0 - 3.0 cc Engine displacement 3. Bedliner 4. Leather seat cover 5. Towing hitch</t>
  </si>
  <si>
    <t xml:space="preserve"> Republic of the Philippines Province of Quezon CITY GOVERNMENT OF TAYABAS INVITATION TO RE-BID FOR PROJECT # 20-053 - PROCUREMENT OF CCTV CAMERA WITH TV MONITOR SYSTEM AND NETWORK INFRASTRUCTURE – CITY SCHOOL DIVISION OFFICE The City Government of Tayabas</t>
  </si>
  <si>
    <t xml:space="preserve"> Republic of the Philippines Province of Quezon CITY GOVERNMENT OF TAYABAS INVITATION TO BID FOR PROJECT # 20-094 - PROCUREMENT OF MOTOR VEHICLE (RESPONSE / RESCUE VEHICLE CUSTOMIZED VEHICLE) 2 – LDRRMO. 1.	The City Government of Tayabas, through the Gener</t>
  </si>
  <si>
    <t xml:space="preserve"> With 720 LM.M Lined Drainage Canal &amp; 1 Line Cross Drain at Poblacion Uno, Bansalan, Davao del Sur Please see attached ITB and RFQ in Associated Component Section for Specifications</t>
  </si>
  <si>
    <t xml:space="preserve"> 1.	The Bureau of Fisheries and Aquatic Resources (BFAR) Regional Fisheries Office - MIMAROPA, Department of Agriculture invites interested bidders to participate in a public bidding for the above procurement project (“SERVICES”) with an Approved Budget fo</t>
  </si>
  <si>
    <t xml:space="preserve"> Republic of the Philippines MUNICIPALITY OF CABUGAO Ilocos Sur Invitation to Bid for the Concreting of Farm to Market Road @ Brgy. Pug-os (Rang-ay), Cabugao, Ilocos Sur 1. The Local Government Unit of Cabugao, Ilocos Sur, through the R.A. 7171 thru Approp</t>
  </si>
  <si>
    <t xml:space="preserve"> Republic of the Philippines MUNICIPALITY OF CABUGAO Ilocos Sur Invitation to Bid for the Construction of Post Harvest Facility@ Brgy. Baclig (Proper), Cabugao, Ilocos Sur 1. The Local Government Unit of Cabugao, Ilocos Sur, through the R.A. 7171 thru Appr</t>
  </si>
  <si>
    <t xml:space="preserve"> Republic of the Philippines National Kidney and Transplant Institute Bids and Awards Committee East Avenue, Quezon City 1100 981-0300 / 981-0400 local 1157 http://www.nkti.gov.ph/	 INVITATION TO BID for the ITB No. 20-066 RE-BIDDING FOR THE SUPPLY AND DEL</t>
  </si>
  <si>
    <t xml:space="preserve"> City Government of Manila INVITATION TO BID NO. 2020-07-112 Procurement of Various Plants and Painting Supplies 1.	The City Government of Manila, through the Other Supplies and Material Expenses intends to apply the sum of One Million Forty Two Thousand E</t>
  </si>
  <si>
    <t xml:space="preserve"> One (1) Lot Supply, Delivery, Installation, Testing and Configuration of Access Control System (Facial Recognition and Thermal Scanner Terminal and Accessories) in the Office of the President Please email us at opbacsec@malacanang.gov.ph to view the Actua</t>
  </si>
  <si>
    <t xml:space="preserve"> Improvement of Sanitary Landfill (Fence Enclosure) at Magsico, San Fernando, Cebu Item	Unit	Description	 Quantity  I	lm	Stake out and Excavation of column footing and wall footing	126 II	cu.m	Construction of column footing and wall footing	17 III	cu.m	Con</t>
  </si>
  <si>
    <t xml:space="preserve"> INVITATION TO BID FOR Procurement of Fabrics, Threads and Stockinette for the Use of OB-OR, Linen and Laundry Section IB NO: 2020-025 The Western Visayas Medical Center, through Internally Generated Fund-Hospital Income/FY 2020 GAA, in the amount of Three</t>
  </si>
  <si>
    <t xml:space="preserve"> LABORATORY REAGENTS FOR FAMILY PLANNING HYPERTENSIVE AND DIABETIC  FACILITY BASED DELIVERY</t>
  </si>
  <si>
    <t xml:space="preserve"> One (1) Year Subscription of Direct Internet for Enterprise Connection (80 Mbps Internet Dedicated Line) with Managed Router (VAT Inclusive) Please email us at opbacsec@malacanang.gov.ph to view the Actual Bidding Documents. Thank you.</t>
  </si>
  <si>
    <t xml:space="preserve"> 1 Lot Supply, Delivery, Installation and Commissioning of Two (2) Nodes for Hyperconverged Infrastructure (HCI). Please email us at opbacsec@malacanang.gov.ph to view the Actual Bidding Documents. Thank you.</t>
  </si>
  <si>
    <t xml:space="preserve"> a) Power:60watts;2700K-6000K;7200lm;IP65;90-305Voc;with surge protection and fluctuation protection,  b) Pole-top=75mm(3”);down=127mm(5”);height 6m(20ft); flange=250x250x16mm; base on the cage=19mmx60cm;tapered, hotdip with bolts and nuts and washer  c) P</t>
  </si>
  <si>
    <t xml:space="preserve"> Republic of the Philippines Province of Occidental Mindoro Municipality of Sta. Cruz INVITATION TO BID The Municipality of Sta. Cruz, through its Bids and Awards Committee (BAC), invites qualified suppliers to bid for the implementation of hereunder progr</t>
  </si>
  <si>
    <t xml:space="preserve"> Republic of the Philippines MUNICIPALITY OF CABUGAO Ilocos Sur Invitation to Bid for the Improvement of Farm to Market Road @ Brgy. Baclig (Proper), Cabugao, Ilocos Sur 1. The Local Government Unit of Cabugao, Ilocos Sur, through the R.A. 7171 thru Approp</t>
  </si>
  <si>
    <t xml:space="preserve"> INVITATION TO BID FOR THE SUPPLY AND DELIVERY OF EQUIPMENT FOR THE TAMARIND RESEARCH AND DEVELOPMENT CENTER PB-2020-184-016 1. The Pampanga State Agricultural University, through Fund 184, intends to apply the sum of P1,070,000.00 being the Approved Budge</t>
  </si>
  <si>
    <t xml:space="preserve"> ONE (1) UNIT RESCUE AMBULANCE WITH ACCESSORIES INCLUDES INSTALLATION OF NECESSARY EQUIPMENT TO BE USED DURING EMERGENCIES.</t>
  </si>
  <si>
    <t xml:space="preserve"> Republic of the Philippines                       EASTERN VISAYAS STATE UNIVERSITY                                                                              Tacloban City                     										 BIDS AND AWARDS COMMITTEE INVITATION TO BID  SUPPL</t>
  </si>
  <si>
    <t xml:space="preserve"> Invitation to Bid  Construction of Baler Water District Water Source Development and Water Quality Improvement Project    1.	The Bongabon Water District Bids and Awards Committee (Bongabon WD BAC) has accepted the request of Baler Water District (Baler WD</t>
  </si>
  <si>
    <t xml:space="preserve"> DRUGS AND MEDICINES SUPPLIES  SMOKING CESSATION CLINIC NATIONAL TUBERCULOSIS PROGRAM ANTE NATAL CARE DOH LICENSING</t>
  </si>
  <si>
    <t xml:space="preserve"> Name of Requirement/Brief Description One (1) Lot – Maintenance and Subscription of BSP Unified Threat Management System (Fortinet), as per BSP Terms of Reference and Service Level Agreement (Multi-Year Contract) Approved Budget for the Contract (ABC) Php</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</si>
  <si>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</si>
  <si>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</si>
  <si>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Republic of the Philippines Province of Leyte MUNICIPALITY OF CAPOOCAN -oOo- CAPOOCAN BIDS AND AWARD COMMITTEE INVITATION TO BID  for IMPROVEMENT OF WATER SUPPLY SYSTEM 1.	The MUNICIPALITY OF CAPOOCAN, LEYTE, through the Development Fund of 2020, intends </t>
  </si>
  <si>
    <t xml:space="preserve"> REQUEST FOR EXPRESSION OF INTEREST FOR CONSTRUCTION SUPERVISION AND MANAGEMENT CONSULTANCY SERVICES FOR THE TWO (2) STOREY OFFICE BUILDING WITH RECORDS ROOM AND WAREHOUSE LOCATED RGC COMPOUND, CARIG SUR, TUGUEGARAO CITY 1. The Metropolitan Tuguegarao Wate</t>
  </si>
  <si>
    <t xml:space="preserve"> Health Care Benefits of Commission on Appointments' employees for the year 2020-2021</t>
  </si>
  <si>
    <t xml:space="preserve"> INVITATION TO BID FOR THE SUPPLY, DELIVERY AND INSTALLATION OF EQUIPMENT TO BE USED FOR THE ENHANCEMENT OF THE LABORATORIES OF BIOSYSTEMS, AGRICULTURE AND OTHER RELATED PROGRAMS PB-2020-184-015 1. The Pampanga State Agricultural University, through Fund 1</t>
  </si>
  <si>
    <t xml:space="preserve"> OFFICE OF THE BIDS AND AWARDS COMMITTEE (BAC) INVITATION TO BID FOR: 20-07-526 Purchase of Two (2) Units Brand New Pick Up Type Vehicles to be Used for Official Transactions of the Office of the Municipal Mayor 1.	The Local Government Unit of Alamada, thr</t>
  </si>
  <si>
    <t xml:space="preserve"> Invitation to Bid for  LOWER SIBUGUEY I RIS EXTENSION PROJECT PACKAGE 3 CY 2016 REMAINING WORKS Diplahan, Zamboanga Sibugay 1.	The National Irrigation Administration – Zamboanga Sibugay Irrigation Management Office, Region 9, through the LINEPROGRAMS-EXTE</t>
  </si>
  <si>
    <t xml:space="preserve"> PROCUREMENT OF LABOR AND MATERIALS FOR INSTALLATION AND REHABILITATION OF TRANSMISSION AND DISTRIBUTION LINES IN VARIOUS LOCATIONS (2 LOTS)  ***Kindly see attached Bidding Documents and Bill of Quantities for the Technical Specifications and Conditions of</t>
  </si>
  <si>
    <t xml:space="preserve"> Republic of the Philippines Province of Leyte MUNICIPALITY OF CAPOOCAN -oOo- CAPOOCAN BIDS AND AWARD COMMITTEE INVITATION TO BID  for PAVEMENT OF RCA BUILDING PERIPHERY /  SORTING AREA &amp; IMPROVEMENT OF RCA BUILDING BACK &amp; SIDE WALL 1.	The MUNICIPALITY OF </t>
  </si>
  <si>
    <t xml:space="preserve"> Republic of the Philippines Province of Leyte MUNICIPALITY OF CAPOOCAN -oOo- CAPOOCAN BIDS AND AWARD COMMITTEE INVITATION TO BID  for INSTALLATION OF SOLAR STREET LIGHTS 1.	The MUNICIPALITY OF CAPOOCAN, LEYTE, through the Development Fund of 2020, intends</t>
  </si>
  <si>
    <t xml:space="preserve"> The DPWH – Bulacan First District Engineering Office, through its Bids and Awards Committee (BAC), invites contractors to submit bids for the following Contract: Contract ID: 20CC0286 Contract Name: Concreting of Brgy. Cupang FMR Contract Location: Brgy. </t>
  </si>
  <si>
    <t xml:space="preserve"> INVITATION TO BID The National Irrigation Administration (NIA), through the GAA CY 2020 Projects intends to apply the sum of One Million Two Hundred Sixty Thousand One Hundred Sixteen Pesos and 2/100 Centavos Only (₱ 1,260,116.02) being the Total Approved</t>
  </si>
  <si>
    <t xml:space="preserve"> INSTRUCTION TO BIDDERS (ITB) A. General 1. Scope of Bid 1.1 The Procuring Entity, as defined in the BDS, invites bids for the construction of the Works under the proposed Contract, as described in the BDS. The name and ID of the Contract are stated in the</t>
  </si>
  <si>
    <t xml:space="preserve"> Republic of the Philippines Province of Leyte MUNICIPALITY OF CAPOOCAN -oOo- CAPOOCAN BIDS AND AWARD COMMITTEE INVITATION TO BID  for CONSTRUCTION OF CONCRETE STAIRS &amp; FMR CONCRETING PROJECT  1.	The MUNICIPALITY OF CAPOOCAN, LEYTE, through the SAOOB-DF De</t>
  </si>
  <si>
    <t xml:space="preserve"> Invitation to Bid for Smallholder Oil Palm Development  Project (SOPDP) 2019 1.The Philippine Coconut Authority – XI, through the authorized appropriations under the continuing appropriation of FY 2020 General Appropriations Act (GAA), intends to apply th</t>
  </si>
  <si>
    <t xml:space="preserve"> Republic of the Philippines Province of Leyte MUNICIPALITY OF CAPOOCAN -oOo- CAPOOCAN BIDS AND AWARD COMMITTEE INVITATION TO BID  for CONSTRUCTION / ESTABLISHMENT OF MUNICIPAL PLANT NURSERY 1.	The MUNICIPALITY OF CAPOOCAN, LEYTE, through the Development F</t>
  </si>
  <si>
    <t xml:space="preserve"> Republika ng Pilipinas PAMAHALAANG LUNGSOD NG TACLOBAN (City Government of Tacloban) Kanhuraw Hill, Tacloban City 6500 BIDS AND AWARDS COMMITTEE INVITATION TO BID  REF #047-07-2020 (JULY 16, 2020) PR# 2020-790 DATED 07-07-2020 7112752 The Procuring Entity</t>
  </si>
  <si>
    <t xml:space="preserve"> INVITATION TO BID The National Irrigation Administration (NIA), through the GAA CY 2020 Goods Projects intends to apply the sum of One Million Seven Hundred Five Thousand Nine Hundred Six Pesos and 50/100 Centavos Only (₱ 1,705,906.50) being the Total App</t>
  </si>
  <si>
    <t xml:space="preserve"> Republic of the Philippines Province of Leyte MUNICIPALITY OF CAPOOCAN -oOo- CAPOOCAN BIDS AND AWARD COMMITTEE INVITATION TO BID  for CONSTRUCTION OF EVACUATION FACILITY 1.	The MUNICIPALITY OF CAPOOCAN, LEYTE, through the PMS-OP FUND, intends to apply the</t>
  </si>
  <si>
    <t xml:space="preserve"> Republic of the Philippines Province of Quezon CITY GOVERNMENT OF TAYABAS INVITATION TO BID FOR PROJECT # 20-048 – PROCUREMENT OF DISASTER RESPONSE AND RESCUE EQUIPMENT - LDRRMO. 1.	The City Government of Tayabas, through the General Fund Continuing 2020 </t>
  </si>
  <si>
    <t xml:space="preserve"> Assorted Vegetables Seeds 30 to 50 seeds/pack Prospective Bidders must have completed a contract similar to the project with the amount of at least 50% of the ABC. Bidding will be conducted through open competitive bidding procedures using a non-discretio</t>
  </si>
  <si>
    <t xml:space="preserve"> One (1) Lot Supply, Delivery, Installation, Configuration and Commissioning of Managed Switches, Line-Card for High-Speed Backbone and Switch-to-Switch Applications for the Enhancement of OP Network Facilities OP-BAC Bidding Room, Mezzanine Floor, Mabini </t>
  </si>
  <si>
    <t xml:space="preserve"> Republic of the Philippines Province of Leyte MUNICIPALITY OF CAPOOCAN -oOo- CAPOOCAN BIDS AND AWARD COMMITTEE INVITATION TO BID  for IMPROVEMENT OF DRAINAGE CANAL, CONSTRUCTION OF DRAINAGE CANAL, EMBANKMENT/BACKFILL PROJECT ROAD REBLOCKING 1.	The MUNICIP</t>
  </si>
  <si>
    <t xml:space="preserve"> Concreting of Road (254 LM x 4.00M x 0.15M) at Sitio Luna to MRF Magsico, San Fernando, Cebu Item	Unit	Description	 Quantity  I	sq.m	Reshaping of road, road widening and compacting	1,016 II	cu.m	Aggregates Base coarse 2 1/2 inches leveling &amp; compacting	65</t>
  </si>
  <si>
    <t xml:space="preserve"> Procurement and delivery of Materials for the Construction/ Extension of Evacuation Center Extension</t>
  </si>
  <si>
    <t xml:space="preserve"> Republic of the Philippines MUNICIPALITY OF CABUGAO Ilocos Sur Invitation to Bid for the Concreting of Farm to Market Road @ Brgy. Pug-os (Rang-ay-Padual), Cabugao, Ilocos Sur 1. The Local Government Unit of Cabugao, Ilocos Sur, through the R.A. 7171 thru</t>
  </si>
  <si>
    <t xml:space="preserve"> Kindly see and download attached documents</t>
  </si>
  <si>
    <t xml:space="preserve"> Republic of the Philippines PAMANTASAN NG LUNGSOD NG MAYNILA (University of the City of Manila) Intramuros, Manila PLM - BIDS and AWARDS COMMITTEE (PLM-BAC) INVITATION TO BID The Pamantasan ng Lungsod ng Maynila, through its Bids and Awards Committee (BAC</t>
  </si>
  <si>
    <t xml:space="preserve"> One (1) Lot Supply and Delivery of Cloud Managed Firewall and Access Points Please email us at opbacsec@malacanang.gov.ph to view the Actual Bidding Documents. Thank you.</t>
  </si>
  <si>
    <t xml:space="preserve"> Republic of the Philippines Province of Quezon CITY GOVERNMENT OF TAYABAS INVITATION TO BID FOR PROJECT # 20-084 - SUPPLY AND DELIVERY OF MEDICAL SUPPLIES 3RD  QUARTER  - CHO. 1.	The City Government of Tayabas, through the General Fund 2020 intends to app</t>
  </si>
  <si>
    <t xml:space="preserve"> Invitation to Bid for kaanib enterprise development project – community –household level coconut processing project (kedp-chlcpp) 1.The Philippine Coconut Authority – XI, through the authorized appropriations under the continuing appropriation of FY 2020 </t>
  </si>
  <si>
    <t xml:space="preserve"> Republic of the Philippines MUNICIPALITY OF CABUGAO Ilocos Sur Invitation to Bid for the Installation of Street Lighting System @ Cabugao, Ilocos Sur 1. The Local Government Unit of Cabugao, Ilocos Sur, through the 20% Development Fund Utilization- Contin</t>
  </si>
  <si>
    <t xml:space="preserve"> 1	Pick-up Type Vehicle Not exceeding 3000cc engine displacement, diesel-fed 4 cylinders Manual Freedom White(Pearl White)/Silver Mettalic/Attitude Black Mica(Midnight Black) 2	Asian Utility Vehicle Not exceeding 2500cc engine displacement, diesel-fed and </t>
  </si>
  <si>
    <t xml:space="preserve"> Republic of the Philippines PROVINCE OF ZAMBOANGA SIBUGAY Municipality of Mabuhay OFFICE OF THE BAC CHAIRMAN                         INVITATION TO BID FOR THE CONCRETING OF 588 METERS POBLACION LOCAL ACCESS ROAD Identification No. LGSF-AM2020-MAB-01      </t>
  </si>
  <si>
    <t xml:space="preserve"> Republic of the Philippines Province of Quezon CITY GOVERNMENT OF TAYABAS INVITATION TO BID FOR PROJECT # 20-093 - PROCUREMENT OF MOTOR VEHICLE (RESPONSE / RESCUE VEHICLE CUSTOMIZED VEHICLE) – LDRRMO. 1.	The City Government of Tayabas, through the General</t>
  </si>
  <si>
    <t xml:space="preserve"> INVITATION TO BID FOR  SUPPLY &amp; DELIVERY OF VARIOUS CONSTRUCTION MATERIALS FOR THE CONSTRUCTION OF OPEN TYPE MARKET BUILDING (PHASE I OF BUILDING A) PEOPLE’S BOULEVARD  POBLACION ZONE I, VILLASIS, PANGASINAN 1.	The Local Government of Villasis, Pangasinan</t>
  </si>
  <si>
    <t xml:space="preserve"> City Government of Manila INVITATION TO BID NO. 2020-07-109 Procurement of 4,674 pcs. Manila Banner 1.	The City Government of Manila, through the General Fund CY 2020 – Other Supplies and Materials Expenses intends to apply the sum of Three Million Five H</t>
  </si>
  <si>
    <t xml:space="preserve"> Title:Procurement of 1 Package CCTV Rehab &amp; Additional Supply , Delivery, Installation &amp; Commissioning  under P.R.No. 2595-2020 -5% City Disaster Risk Reduction and Management Fund (Continuing). Total ABC: Php 2,266,896.80 For representative/s of interest</t>
  </si>
  <si>
    <t xml:space="preserve"> Warning Signs, Regulatory Signs, Hazard Markers</t>
  </si>
  <si>
    <t xml:space="preserve"> INVITATION TO BID FOR  SUPPLY &amp; DELIVERY OF DUPLICATING MACHINES FOR USE IN PUBLIC SCHOOLS (CLUSTERED) IN THIS MUNICIPALITY, LGU VILLASIS, PANGASINAN 	 		 1.	The Local Government of Villasis, Pangasinan, thru Special Education Fund, intends to apply the s</t>
  </si>
  <si>
    <t xml:space="preserve"> Description TERMS OF REFERENCE (CLIMATE RESILIENT FARM PRODUCTIVITY SUPPORT PROJECT) A. OVERVIEW/BACKGROUND The Department of Agrarian Reform is the lead agency tasked with implementing the Comprehensive Agrarian Reform Program or CARP. Among the stated o</t>
  </si>
  <si>
    <t xml:space="preserve"> Excavation of Structure Concrete &amp; Masonry Works (Including septic tank) Roofing &amp; Ceiling Door System Hardware &amp; Tileworks Painting</t>
  </si>
  <si>
    <t xml:space="preserve"> Section I. Invitation to Bid      PROVINCIAL GOVERNMENT OF ISABELA Invitation to Bid for Construction of Dimalama Bridge Brgy. Burgos, San Guillermo, Isabela  1.	The Provincial Government of Isabela, through the PGI Fund   intends to apply the sum of Nine</t>
  </si>
  <si>
    <t xml:space="preserve"> LGU-AL-27-2020 OVERLAYING OF CONCRETE PAVEMENT &amp; REHABILITATION OF DRAINAGE CANAL, PHASE III BRGY. BITO ABUYOG, LEYTE</t>
  </si>
  <si>
    <t xml:space="preserve"> INVITATION TO BID Name of Contract: Supply and Delivery of High Speed Printers, Binding Machine &amp; Cutting Machines for use at Schools Division Office, Urdaneta City Brief Description :Supply and Delivery of High Speed Printers, Binding Machine &amp; Cutting M</t>
  </si>
  <si>
    <t xml:space="preserve"> Invitation to Bid for Smallholder Oil Palm Development  Project (SOPDP) 2020 1.The Philippine Coconut Authority – XI, through the authorized appropriations under the continuing appropriation of FY 2020 General Appropriations Act (GAA), intends to apply th</t>
  </si>
  <si>
    <t xml:space="preserve"> Clearing and Grabing, Earthworks, Steel Works, Masonry and Others</t>
  </si>
  <si>
    <t xml:space="preserve"> 1	Fabricated Water Hyacinth Briquette Machine 15-20 Hole Mold Manual Briquetter</t>
  </si>
  <si>
    <t xml:space="preserve"> Republic of the Philippines Province of Cagayan Municipality of Baggao INVITATION TO BID FOR THE PROCUREMENT OF GOODS The Barangay Catugay, Baggao, Cagayan, through the 20% Barangay Development Fund CY 2019  intends to apply the sum of One Hundred Ten Tho</t>
  </si>
  <si>
    <t xml:space="preserve"> 1	Conference Full HD Camera (Tabletop,PTZ with remote) Resolution: up to 1080p Field of View: Diagonal:at least 78° Vertical: at least 43.3° Horizontal:at least 70.42° SPEAKERPHONE Integrated full duplex speakerphone with echo and noise cancellation Micro</t>
  </si>
  <si>
    <t xml:space="preserve"> 3 units WATER PUMP (6.5hp. Gas.) 3 units BRASS CUTTER 2 units FLOATING TILLER</t>
  </si>
  <si>
    <t xml:space="preserve"> Quantity	Unit 	Item Description	 			 3	bottles	Air freshener spray 320mL	 5	bottles	Air Humidifier Oil Scent	 98	bottles	Alcohol 500ml	 1	pc	Anti virus software	 400	pcs	Assorted Cartolina	 25	boxes	Ballpen (black)	 18	boxes	Ballpen (blue)	 9	boxes	Ballpe</t>
  </si>
  <si>
    <t xml:space="preserve"> 1 Lot PROCESSING EQUIPMENTS, SUPPLIES AND MATERIALS</t>
  </si>
  <si>
    <t xml:space="preserve"> 1 pc. Butterfat Extractor Machine 1 pc. Pulvorizer 1 pc. Electric Food Dryer 1 pc. Stainless Sink 1 pc. Made to Order Stainless Banggera 13 pcs. Stainless Casserole 6 pcs. Stainless Basin</t>
  </si>
  <si>
    <t xml:space="preserve"> 1 Lot PEANUT BUTTER PRODUCTION EQUIPMENT, SUPPLIES AND MATERIALS</t>
  </si>
  <si>
    <t xml:space="preserve"> Scope of Works:				 1	Improvement of Chocolate Hills Restaurant				 	1.1 Demolition Works				 	1.2 Earth Works				 	   1.2.A Excavation Labor				 	   1.2.B Spreading, Tamping &amp; Grading Labor				 	   1.2.C Excavation for Embedment of  Downspouts				 	   1.</t>
  </si>
  <si>
    <t xml:space="preserve"> Republic of the Philippines City of Cagayan de Oro BIDS AND AWARDS COMMITTEE Invitation to Bid  for Concrete Paving of Saarenas Street, Patag; SN 155 - 2020 1.	The City Government of Cagayan de Oro, through the Non-Office: Economic Services Sector, Infras</t>
  </si>
  <si>
    <t xml:space="preserve"> ITEM OF WORKS: I GENERAL REQUIREMENTS (Temporary Encl., Temp, Warehouse, Batterboards, Stakes, Etc.) II EXCAVATION FOR STRUCTURES III CONCRETE WORKS IV MASONRY WORKS (a 6" CHB Incl. Reinforcement and Plastering) V MECHANICAL WORKS VI CONSTRUCTION SAFETY A</t>
  </si>
  <si>
    <t xml:space="preserve"> Supply and delivery of various materials and supplies for the Proposed Const. of Covered Gym, Phase 2 of Brgy. Poblacion Ilawod, San Enrique, Iloilo. Approved Budget for the Contract: Php. 129,900.00</t>
  </si>
  <si>
    <t xml:space="preserve"> Republic of the Philippines MUNICIPALITY OF CABUGAO Ilocos Sur Invitation to Bid for the Construction of Flood Control @ Brgy. Pug-os (Ballaigi)), Cabugao, Ilocos Sur 1. The Local Government Unit of Cabugao, Ilocos Sur, through the R.A. 7171 thru Appropri</t>
  </si>
  <si>
    <t xml:space="preserve"> Republic of the Philippines Region XII Province of Cotabato CITY OF KIDAPAWAN BIDS AND AWARDS COMMITTEE Invitation to Bid 						  		             Date: July 15, 2020 1.	The City Government of Kidapawan, through the 20% EDF CY 2017 &amp; 20% EDF CY 2018   inten</t>
  </si>
  <si>
    <t xml:space="preserve"> Construction of Rainwater Collection System Facilities</t>
  </si>
  <si>
    <t xml:space="preserve"> Repair of 1 Storey Building</t>
  </si>
  <si>
    <t xml:space="preserve"> SUPPLY AND DELIVERY OF THE FOLLOWING Lot 1- service vehicles-                      Php  2,030,068.00 1 unit service vehicle (VAN)  Specification: silver metallic/white, Engine Technology: 4 cylinder type, Displacement: 2,500-3,000, Maximum torque (N/m/Rpm</t>
  </si>
  <si>
    <t xml:space="preserve"> 1.	The Development Bank of the Philippines, through the Corporate Budget approved by the Board for CY 2020 intends to apply the sum of Three Million Pesos (Php3,000,000.00) being the Approved Budget for the Contract (ABC) inclusive of all applicable taxes</t>
  </si>
  <si>
    <t xml:space="preserve"> Republic of the Philippines Province of Leyte MUNICIPALITY OF CAPOOCAN -oOo- CAPOOCAN BIDS AND AWARD COMMITTEE INVITATION TO BID  for RIVER FLOOD CONTROL (along river near Basketball Court) &amp; CONSTRUCTION OF SEA WALL (Lungib) 1.	The MUNICIPALITY OF CAPOOC</t>
  </si>
  <si>
    <t xml:space="preserve"> 1 Lot MAIZE KAPE PRODUCTION's EQUIPMENT, SUPPLIES AND MATERIALS</t>
  </si>
  <si>
    <t xml:space="preserve"> Republic of the Philippines Province of Leyte MUNICIPALITY OF CAPOOCAN -oOo- CAPOOCAN BIDS AND AWARD COMMITTEE INVITATION TO BID  for IMPROVEMENT OF LEVEL II WATER SYSTEM 1.	The MUNICIPALITY OF CAPOOCAN, LEYTE, through the 20% Development Fund to apply th</t>
  </si>
  <si>
    <t xml:space="preserve"> The Southern Philippines Medical Center through the Hospital Income / Specific Budget of NGAs for Southern Philippines Medical Center and NSC-M Funds for Newborn Screening Center – Mindanao (NSC-Min) for the Calendar Year 2020 intends to apply the sum ind</t>
  </si>
  <si>
    <t xml:space="preserve"> Name of Project	: Civil Work Project No. 1: Riprapping and Construction of Concrete Pavement at   Luacan Waterpark Location		: Sitio Luacan, Brgy. Paraiso, Milagros, Masbate Brief Description	:  I.	Mobilization and Demobilization  II.	Stone Masonry III.	B</t>
  </si>
  <si>
    <t xml:space="preserve"> Republic of the Philippines Province of Leyte MUNICIPALITY OF CAPOOCAN -oOo- CAPOOCAN BIDS AND AWARD COMMITTEE INVITATION TO BID  for CONSTRUCTION OF FLOOD CONTROL 1.	The MUNICIPALITY OF CAPOOCAN, LEYTE, through the 20% Development Fund, intends to apply </t>
  </si>
  <si>
    <t xml:space="preserve"> Republic of the Philippines Province of Leyte MUNICIPALITY OF CAPOOCAN -oOo- CAPOOCAN BIDS AND AWARD COMMITTEE INVITATION TO BID  for IMPROVEMENT OF BDRRM CENTER 1.	The MUNICIPALITY OF CAPOOCAN, LEYTE, through the Development Fund of 2019 &amp; 2020, intends </t>
  </si>
  <si>
    <t xml:space="preserve"> Republic of the Philippines BIDS AND AWARDS COMMITTEE Province of Iloilo Invitation to Bid Purchase of  ECG MACHINE Bid No. JCH-20-0454-B 1. The Iloilo Provincial Government, through the 2019 20%IRA intends to apply the sum of ONE HUNDRED THOUSAND  PESOS </t>
  </si>
  <si>
    <t xml:space="preserve"> Republic of the Philippines BIDS AND AWARDS COMMITTEE Province of Iloilo Invitation to Bid Purchase of  AUTOCLAVE MACHINE Bid No. JCH-20-0753-B 1. The Iloilo Provincial Government, through the 2015 20%IRA intends to apply the sum of FIVE HUNDRED THOUSAND </t>
  </si>
  <si>
    <t xml:space="preserve"> Republic of the Philippines BIDS AND AWARDS COMMITTEE Province of Iloilo Invitation to Bid Purchase of  NEBULIZER MACHINE Bid No. JCH-20-0652-B 1. The Iloilo Provincial Government, through the 2019 20%IRA intends to apply the sum of TWO HUNDRED THOUSAND  </t>
  </si>
  <si>
    <t xml:space="preserve"> Invitation to Bid for the Concreting of Road @ Purok 1 Proper to Purok 2 Proper Brgy. Canlanipa, Surigao City ITB No. 093-Infra-2020    1.	The City Government of Surigao, intends to apply the sum of   One Million  Pesos (Php1,000,000.00)  being the Approv</t>
  </si>
  <si>
    <t xml:space="preserve"> INVITATION TO BID FOR THE PROCUREMENT OF ONE (1) LOT SUPPLY OF LABOR AND MATERIALS FOR THE PROPOSED REPAIR/REHABILITATION OF OLD PROPERTY BUILDING  1.	The PHILIPPINE POSTAL CORPORATION, through the CY 2020 Corporate Budget approved by PHLPost Board of Dir</t>
  </si>
  <si>
    <t xml:space="preserve"> Republic of the Philippines Region XII Province of Cotabato City of Kidapawan OFFICE OF THE BIDS AND AWARD COMMITTEE July 15, 2020 INVITATION TO BID FOR  SUPPLY OF FUEL FOR THE PROPOSED ROAD REHABILITATION/SPOT GRAVELLING /QUARRYING OF LIMESTONE SPREADING</t>
  </si>
  <si>
    <t xml:space="preserve"> INVITATION TO BID (GOODS) The Municipality of Sibonga, through the Trust Fund intends to apply the sum of Five hundred eleven thousand seven hundred fifty-seven &amp; 80/100 pesos only (511,757.80) being the Approved Budget for the Contract (ABC) to payment u</t>
  </si>
  <si>
    <t xml:space="preserve"> Republic of the Philippines Region XII Province of Cotabato City of Kidapawan OFFICE OF THE BIDS AND AWARD COMMITTEE July 15, 2020 INVITATION TO BID FOR  SUPPLY OF FUEL FOR THE PROPOSED ROAD REHABILITATION/SPOT GRAVELLING /QUARRYING OF LIMESTONE AND COMPA</t>
  </si>
  <si>
    <t xml:space="preserve"> INVITATION TO BID FOR Procurement of Infra (Installation of Modern Street Illumination Project at M. Torralba Street) The City Government of Tagbilaran, through the 20% Development Fund, intends to apply the sum of Seven Million One Hundred Thirteen Thous</t>
  </si>
  <si>
    <t xml:space="preserve"> Procurement of CW-Concreting of Road (PR# GF-578) at Freedom Park, Poblacion Php2,000,000.00</t>
  </si>
  <si>
    <t xml:space="preserve"> Republic of the Philippines Province of Samar Catbalogan City Invitation to Bid for Infra 2020-031 CONSTRUCTION/ESTABLISHMENT OF WATER SYSTEM, Barangay Pangdan, Catbalogan City 1.	The City Government of Catbalogan, through the  Ordinance No. 2019-028  int</t>
  </si>
  <si>
    <t xml:space="preserve"> Republic of the Philippines Province of Davao de Oro Municipality of Monkayo -o0o- INVITATION TO BID FOR THE PROCUREMENT OF INSTALLATION OF ELECTRICAL PRIMARY &amp; SECONDARY LINES &amp; TRANSFORMER @ BAYLO, MONKAYO (CEMETERY &amp; MEMORIAL PARK) The Municipality of </t>
  </si>
  <si>
    <t xml:space="preserve"> INVITATION TO BID FOR Procurement of Infra (Installation of Modern Street Illumination Project at H. Zamora Street) The City Government of Tagbilaran, through the 20% Development Fund, intends to apply the sum of Ten Million Nine Hundred Twenty Two Thousa</t>
  </si>
  <si>
    <t xml:space="preserve"> INVITATION TO BID  	 The Department of Public Works and Highways-National Capital Region (DPWH-NCR), through  its Bids and Awards Committee (BAC), invites contractors to submit bids for the hereunder Contracts: 	  	        Contract ID	20O00061	20O00062 Co</t>
  </si>
  <si>
    <t xml:space="preserve"> Procurement of Construction Materials PR#GF-552 for Construction of Perimeter Fence at Sanitary Landfill Php1,151,491.95</t>
  </si>
  <si>
    <t xml:space="preserve"> Republic of the Philippines NATIONAL POLICE COMMISSION PHILIPPINE NATIONAL POLICE  INTELLIGENCE GROUP Camp BGen Rafael T Crame, Quezon City INVITATION TO BID 1.	The PNP Intelligence Group Bids and Awards Committee (PNP IG-BAC) based on the approved GAA FY</t>
  </si>
  <si>
    <t xml:space="preserve"> 1. The CITY GOVERNMENT OF CALAMBA through the General Fund intends to apply the sum of PHP 1,488,480.00 being the Approved Budget for the Contract (ABC) to payments under the contract for: G-2020-455 Supply and Delivery of Rice City Human Resource and Man</t>
  </si>
  <si>
    <t xml:space="preserve"> INVITATION TO BID FOR THE PROCUREMENT OF ONE (1) LOT SUPPLY OF LABOR AND MATERIALS FOR THE PROPOSED REPAIR/REHABILITATION OF COMFORT ROOMS AT QUEZON CITY CENTRAL POST OFFICE 1.	The PHILIPPINE POSTAL CORPORATION, through the CY 2020 Corporate Budget approv</t>
  </si>
  <si>
    <t xml:space="preserve"> The DPWH Nueva Ecija 1st DEO, through its Bids and Awards Committee (BAC), invites contractors to submit bids for the following contract:			 				 	20CE0244: Proposed Rehabilitation &amp; Improvement of Central Luzon State University (CLSU) Road Networks			 		</t>
  </si>
  <si>
    <t xml:space="preserve"> Supply and Delivery a.) Brand New b.) Engine (2.8 liter or higher) c.) Displacement 2,755 CC or higher d.) No.0f cylinders (4) e.) No. of Valves (16) f.) Transmission (6 speed automatic) g.) Fuel type Diesel h.) Drive train i.) Rear wheel drive/all wheel </t>
  </si>
  <si>
    <t xml:space="preserve"> SEE ATTACHED FILES FOR THE SPECIFICATION/DESCRIPTION OF ITEMS REQUIRED SOURCE OF FUND: GAD FUND ISSUANCE OF BID DOCUMENTS: JULY 15, 2020 TO AUGUST 5, 2020 (WORKING DAYS ONLY 8AM TO 5PM) PREBID CONFERENCE: JULY 23, 2020 AT 9AM AT THE MUNICIPAL CONFERENCE H</t>
  </si>
  <si>
    <t xml:space="preserve"> 1. The CITY GOVERNMENT OF CALAMBA through the Trust Fund intends to apply the sum of PHP 4,143,376.50 being the Approved Budget for the Contract (ABC) to payments under the contract for: G-2020-447 Supply and Delivery of Medical Supplies Local Disaster Ri</t>
  </si>
  <si>
    <t xml:space="preserve"> 1. The CITY GOVERNMENT OF CALAMBA through the General Fund intends to apply the sum of PHP 1,666,560.00 being the Approved Budget for the Contract (ABC) to payments under the contract for: G-2020-414 Supply and Delivery of Rice Office of the City Mayor, C</t>
  </si>
  <si>
    <t xml:space="preserve"> A. ABC                -     P 11,000,451.75 B. BID DOCS       -              25,000.00</t>
  </si>
  <si>
    <t xml:space="preserve"> Republic of the Philippines Province of Leyte Municipality of Kananga BIDS AND AWARDS COMMITTEE INVITATION TO BID FOR PROCUREMENT OF DIGITAL FULL COLOR COPIER/PRINTER/SCANNER WITH DUPLEX DOCUMENT FEEDER 1.	The Municipality of Kananga, through the General </t>
  </si>
  <si>
    <t xml:space="preserve"> INVITATION TO BID FOR EMERGENCY RESPONSE VEHICLE 1. The Municipal Government of Hinoba-an, through the CY 2020 20% Municipal Development Fund (Purchase of Acquisition of Disaster Response Vehicle, intends to apply the sum of Two Million  Five Hundred Peso</t>
  </si>
  <si>
    <t xml:space="preserve"> Republic of the Philippines Province of Leyte Municipality of Kananga BIDS AND AWARDS COMMITTEE INVITATION TO BID FOR PROCUREMENT AND INSTALLATION OF ACCOUNTING SYSTEM  1.	The Municipality of Kananga, through the General Fund intends to apply the sum of T</t>
  </si>
  <si>
    <t xml:space="preserve"> Republic of the Philippines Province of Davao Oriental City of Mati BIDS &amp; AWARDS COMMITTEE INVITATION TO BID Procurement of TIRES for the Use of Light and Heavy Equipment SOURCE OF FUND: 20% LGDF [8000A-300-1-07-03-010-17-16] 1.	The Provincial Government</t>
  </si>
  <si>
    <t xml:space="preserve"> BIDS AND AWARDS COMMITTEE                                                       SECTION I - INVITATION TO BID  SUPPLY OF LABOR AND MATERIALS FOR THE CORRECTIVE/REPAIR WORKS OF FIRE ENGINE PUMP AND ITS CONTROL SYSTEM AT POWERHOUSE     The Philippine Intern</t>
  </si>
  <si>
    <t xml:space="preserve"> Republic of the Philippines Region XII Province of Cotabato City of Kidapawan OFFICE OF THE BIDS AND AWARD COMMITTEE July 15, 2020 INVITATION TO BID FOR  SUPPLY AND DELIVERY OF VARIOUS MATERIALS AND EQUIPMENT NEEDED FOR THE PANGKABUHAYAN STARTER KITS BENE</t>
  </si>
  <si>
    <t xml:space="preserve"> MUNICIPALITY OF PANIQUI Province of Tarlac Barangay Salumague	Project Reference Number : BSGoods-2020-001 Name of the Project           :  Supply &amp; Delivery of Construction Materials for the Construction of MRF - Collecting Point Location of the Project  </t>
  </si>
  <si>
    <t xml:space="preserve"> ITEM NO.	DESCRIPTION	QUANTITY	UNIT 			 PART I	FACILITIES FOR THE ENGINEER	 	  A.1.1 (1)	Construction of Field Office for the Engineer, 40 sq.m.	1	L.S. PART II	OTHER GENERAL REQUIREMENTS	 	  B.4 (8)	Permanent Monument and Marker	1	ea. B.5	Project Billboard</t>
  </si>
  <si>
    <t xml:space="preserve"> Republic of the Philippines Province of Leyte Municipality of Kananga BIDS AND AWARDS COMMITTEE Invitation to Bid for CONSTRUCTION OF INTEGRATED PEST MANAGEMENT BUILDING AT SO. SAN AGUSTIN, BRGY. POBLACION, KANANGA, LEYTE 1.	The Municipality of Kananga th</t>
  </si>
  <si>
    <t xml:space="preserve"> Invitation to Bid No. LGU-Lupao- 2020-036 The Local Government of Lupao, Nueva Ecija Invitation to Bid for the Construction of National Child Development Center located at Brgy. San Antonio Este of this municipality with Identification No. 2020-036 1. The</t>
  </si>
  <si>
    <t xml:space="preserve"> Republic of the Philippines Province of Samar Catbalogan City INVITATION TO BID FOR GOODS 2020-016 SUPPLY AND DELIVERY OF ONE (1) LOT VARIOUS MEDICINES 1.	The City Government of Catbalogan, through the CY 2020 City Health Office fund intends to apply the </t>
  </si>
  <si>
    <t xml:space="preserve"> Republic of the Philippines BIDS AND AWARDS COMMITTEE Province of Iloilo Invitation to Bid Purchase of HEMATOCRIT CENTRIFUGE Bid No. FRT-20-0803-B 1. The Iloilo Provincial Government, through the SUPPLEMENTAL BUDGET #1 2017 intends to apply the sum of ONE</t>
  </si>
  <si>
    <t xml:space="preserve"> a.) Project signboard (1 lot) b.) OSHP (Q- 1lot) c.) Clearing and Grubbing (Q= 1 lot) d.) Stone Masonry (Q= 450 cu.m.) e.) PCCP Flooring (Q=69.05 cu.m.) f.) Fill (Q=248.58 cu.m.) g.) Hauling of Materials (Q= 1 lot)</t>
  </si>
  <si>
    <t xml:space="preserve"> ITEM NO.	DESCRIPTION	QUANTITY	UNIT 			 PART B	OTHER GENERAL REQUIREMENTS	 	  B.4 (8)	Permanent Monuments and Markers	1	ea. B.5	Project Billboard / Signboard	2	ea. B.7	Occupational Safety and Health Program	1	L.S. B.9	Mobilization / Demobilization	1	L.S. P</t>
  </si>
  <si>
    <t xml:space="preserve"> Republic of the Philippines Province of Leyte Municipality of Kananga BIDS AND AWARDS COMMITTEE INVITATION TO BID FOR PROCUREMENT OF VARIOUS PARTS &amp; MATERIALS FOR THE REPAIR AND MAINTENANCE OF GOVERNMENT OWNED VEHICLE  1.	The Municipality of Kananga, thro</t>
  </si>
  <si>
    <t xml:space="preserve"> Republic of the Philippines BIDS AND AWARDS COMMITTEE Province of Iloilo Invitation to Bid Purchase of Pulse Oximeter Bid No. FRT-20-0800-B 1. The Iloilo Provincial Government, through the 20% IRA OF 2016 intends to apply the sum of TWO HUNDRED FORTY THOU</t>
  </si>
  <si>
    <t xml:space="preserve"> Republic of the Philippines BIDS AND AWARDS COMMITTEE Province of Iloilo Invitation to Bid Purchase of Pediatric Bed Bid No. FRT-20-0802-B 1. The Iloilo Provincial Government, through the SUPPLEMENTAL BUDGET #1 2017 intends to apply the sum of ONE HUNDRED</t>
  </si>
  <si>
    <t xml:space="preserve"> Republic of the Philippines Province of Leyte Municipality of Kananga BIDS AND AWARDS COMMITTEE INVITATION TO BID FOR PROCUREMENT OF VARIOUS OFFICE IT EQUIPMENT 1.	The Municipality of Kananga, through the General Fund intends to apply the sum of Two Milli</t>
  </si>
  <si>
    <t xml:space="preserve"> SEE ATTACHED FILES FOR THE SPECIFICATION/DESCRIPTION OF ITEMS REQUIRED SOURCE OF FUND: FY 2019 PERFORMANCE CHALLENGE FUND ISSUANCE OF BID DOCUMENTS: JULY 15, 2020 TO AUGUST 5, 2020 (WORKING DAYS ONLY 8AM TO 5PM) PREBID CONFERENCE: JULY 23, 2020 AT 9AM AT </t>
  </si>
  <si>
    <t xml:space="preserve"> Republic of the Philippines BIDS AND AWARDS COMMITTEE Province of Iloilo Invitation to Bid Purchase of Nebulizer Machine Bid No. FRT-20-0799-B 1. The Iloilo Provincial Government, through the 20% IRA OF 2018 intends to apply the sum of NINETY THOUSAND PES</t>
  </si>
  <si>
    <t xml:space="preserve"> BIDS AND AWARDS COMMITTEE                                                 SECTION I - INVITATION TO BID  SUPPLY, DELIVERY, INSTALLATION AND CONFIGURATION OF ADDITIONAL ACCESS POINT WITH FIBER OPTICS, CAT6 CABLE AND ACCESSORIES  The Philippine Internationa</t>
  </si>
  <si>
    <t xml:space="preserve"> Drilling of One (1) Exploratory / Production Well 1.	The Candelaria Water District (CWD) intends to apply the sum of P3,022,738.56 being the Approved Budget for the Contract (ABC) to payments under the contract for the Drilling of One (1) Exploratory/Prod</t>
  </si>
  <si>
    <t xml:space="preserve"> INVITATION TO BID The DPWH Isabela 4th District Engineering Office through its Bids and Awards Committee (BAC), invites contractors to submit bids for the following Contract: Procurement ID / Contract ID			: 20BH0157 Contract Name/                        </t>
  </si>
  <si>
    <t xml:space="preserve"> Republic of the Philippines BIDS AND AWARDS COMMITTEE Province of Iloilo Invitation to Bid Purchase of Mobile OR Light Bid No. FRT-20-0801-B 1. The Iloilo Provincial Government, through the 20% IRA OF 2017 intends to apply the sum of FIVE HUNDRED THOUSAND</t>
  </si>
  <si>
    <t xml:space="preserve"> REPUBLIC OF THE PHILIPPINES METRO COTABATO WATER DISTRICT Governor Gutierrez Avenue Cotabato City SECTION I. INVITATION TO BID Supply, Delivery, Installation, Commissioning, Pump Laboratory and Field Testing of Two (2) Brand New Vertical Turbine Pump for </t>
  </si>
  <si>
    <t xml:space="preserve"> ITEM NO.	DESCRIPTION	QUANTITY	UNIT 			  	 	 	  PART I	FACILITIES FOR THE ENGINEER	 	  A.1.1 (1)	Construction of Field Office for the Engineer, 40 sq.m.	1	L.s.  	 	 	  PART II	OTHER GENERAL REQUIREMENTS	 	  B.4 (8)	Permanent Monument and Marker	1	cu.m. B.5</t>
  </si>
  <si>
    <t xml:space="preserve"> HOP-QR-PRO-005 Republic of the Philippines Department of Health DAVAO REGIONAL MEDICAL CENTER Apokon, Tagum City BIDS AND AWARDS COMMITTEE INVITATION TO BID FOR THE SUPPLY &amp; DELIVERY OF MEDICAL EQUIPMENT 1.	The Davao Regional Medical Center (DRMC), throug</t>
  </si>
  <si>
    <t xml:space="preserve"> Please see attached bidding documents or you may visit our website @www.prc.gov.ph</t>
  </si>
  <si>
    <t xml:space="preserve"> ITEM NO.	DESCRIPTION	QUANTITY	UNIT PART I	FACILITIES FOR THE ENGINEER	 	  A.1.1 (1)	Construction of Field Office for the Engineer, 40 sq.m.	1	L.S. PART II	OTHER GENERAL REQUIREMENTS	 	  B.4 (8)	Permanent Monument and Marker	1	ea. B.5	Project Billboard / S</t>
  </si>
  <si>
    <t xml:space="preserve"> INVITATION TO BID The DPWH Isabela 4th District Engineering Office through its Bids and Awards Committee (BAC), invites contractors to submit bids for the following Contract: Procurement ID / Contract ID			: 20BH0156 Contract Name/                        </t>
  </si>
  <si>
    <t xml:space="preserve"> Republic of the Philippines BIDS AND AWARDS COMMITTEE Province of Iloilo Invitation to Bid Purchase of Cardiac Monitor Bid No. FRT-20-0805-B 1. The Iloilo Provincial Government, through the SUPPLEMENTAL BUDGET #2 2017 intends to apply the sum of TWO HUNDR</t>
  </si>
  <si>
    <t xml:space="preserve"> HOP-QR-PRO-005 Republic of the Philippines Department of Health DAVAO REGIONAL MEDICAL CENTER Apokon, Tagum City BIDS AND AWARDS COMMITTEE INVITATION TO BID FOR THE PROCUREMENT OF LEASE OF TWENTY (20) UNITS OF MECHANICAL VENTILATOR, BRAND NEW FOR TWO (2) </t>
  </si>
  <si>
    <t xml:space="preserve"> Item No. 	Scope of Works	Quantity	Unit 			 PART B	OTHER GENERAL REQUIREMENTS	 	  B.4 (8)	Permanent Monuments and Markers	1	ea. B.5	Project Billboard / Signboard 	2	ea. B.7	Occupational Safety and Health Program	1	L.S. B.9	Mobilization / Demobilization	1	L</t>
  </si>
  <si>
    <t xml:space="preserve"> INVITATION TO BID The DPWH Isabela 4th District Engineering Office through its Bids and Awards Committee (BAC), invites contractors to submit bids for the following Contract: Procurement ID / Contract ID			: 20BH0159 Contract Name/                        </t>
  </si>
  <si>
    <t xml:space="preserve"> Section I. Invitation to Bid   Provincial Government of Isabela SUPPLY AND DELIVERY OF BRAND NEW AUV, 2.8L, 4 CYLINDER, DIESEL, A/T WITH 3 YEARS LTO REGISTRATION The Provincial Government of Isabela, through the PGI FUND intends to apply the sum of One Mi</t>
  </si>
  <si>
    <t xml:space="preserve"> Republic of the Philippines MUNICIPALITY OF BUENAVISTA INVITATION TO BID FOR SUPPLY AND DELIVERY OF PLASTIC EXTRUDER/DENSIFIER WITH POLLUTION CONTROL DEVICE (EPCD) 1.	The Local Government Unit of Buenavista, Marinduque through the fund from the Other Mach</t>
  </si>
  <si>
    <t xml:space="preserve"> INVITATION TO BID The DPWH Isabela 4th District Engineering Office through its Bids and Awards Committee (BAC), invites contractors to submit bids for the following Contract: Procurement ID / Contract ID			: 20BH0155 Contract Name/                        </t>
  </si>
  <si>
    <t xml:space="preserve"> Republic of the Philippines Province of Ilocos Norte MUNICIPALITY OF CURRIMAO INVITATION TO BID FOR  PURCHASE OF BOOKS 1.	The Municipality of Currimao  intends to apply the sum of [Five Hundred Forty Nine Thousand Eight Hundred Forty Six Pesos (P549, 846.</t>
  </si>
  <si>
    <t xml:space="preserve"> Republic of the Philippines DEPARTMENT OF PUBLIC WORKS AND HIGHWAYS REGIONAL OFFICE II Tuguegarao City, Cagayan  INVITATION TO BID 1.	The DPWH Regional Office No. 2 through the General Appropriations Act (GAA) secured from the Department of Budget and Man</t>
  </si>
  <si>
    <t xml:space="preserve"> INVITATION TO BID The DPWH Isabela 4th District Engineering Office through its Bids and Awards Committee (BAC), invites contractors to submit bids for the following Contract: Procurement ID / Contract ID			: 20BH0158 Contract Name/                        </t>
  </si>
  <si>
    <t xml:space="preserve"> Republic of the Philippines PROVINCE OF BOHOL City of Tagbilaran INVITATION TO BID   The Provincial Government of Bohol through the Bids and Awards Committee for CY 2020, intends to apply the sum of SIXTY EIGHT  MILLION  EIGHT HUNDRED NINETY THOUSAND FOUR</t>
  </si>
  <si>
    <t xml:space="preserve"> Supply and Delivery a.) Brand New b.) 95 cu.m.capacity c.) Hydraulic Load Sensor System d.) 1600 rated power (kw/rpm) e.) Break out (KN) 48 f.) Operating wt. 5300 g.) Engine Rated Power (kw/rpm) 51.4/2400 h.) Traction Force (kn) 45 i.) Rated Torque (nm/rp</t>
  </si>
  <si>
    <t xml:space="preserve"> 1st Bidding The Local Government Unit of Paracale, through its Bids and Awards Committee (BAC) invites a contractor registered with and classified by the Philippine Contractors Accreditation Board ( PCAB ) to apply for eligibility and to bid for the here </t>
  </si>
  <si>
    <t xml:space="preserve"> Organic Disinfectant Solution (concentrated) Prospective Bidders must have completed a contract similar to the project with the amount of at least 50% of the ABC. Bidding will be conducted through open competitive bidding procedures using a non-discretion</t>
  </si>
  <si>
    <t xml:space="preserve"> Invitation to Bid for the Construction of Sara Fire Station Building BFP6 BAC P2020-07-04   The BUREAU OF FIRE PROTECTION REGION 6 invites PhilGEPS registered suppliers to bid for the following:       Lot No.  Qty  Description  Approved Budget for the Con</t>
  </si>
  <si>
    <t xml:space="preserve"> I. PROJECT BILLBOARD - 1 LOT II CONSTRUCTION SAFETY AND HEALTH - 1 LOT III. MASONRY WORKS - 100.80 SQ.M IV. TILES WORKS - 68.25 SQ.M V. ELECTRICAL WORKS - 13.00 SETS VI. ROOFING WORKS - 17.85 SQ.M VII. DOORS &amp; WINDOWS - 13 SETS VII. PAINTING WORKS - 355.1</t>
  </si>
  <si>
    <t xml:space="preserve"> Republic of the Philippines Province of Davao de Oro Municipality of Monkayo -o0o- INVITATION TO BID FOR THE PROCUREMENT OF DRUGS AND MEDICINES FOR VARIOUS PROGRAM OF MUNICIPAL HEALTH OFFICE 2ND SEMESTER The Municipality of Monkayo, through the GENERAL FU</t>
  </si>
  <si>
    <t xml:space="preserve"> Multivitamins with Ascorbic Acid 400mg + Folic Acid 500mcg +Vitamin E + B Complex</t>
  </si>
  <si>
    <t xml:space="preserve"> I. EXCAVATION - 2,179.50 CU.M II. MASONRY WORKS - 1 LOT III. BILLBOARD - 1 LOT</t>
  </si>
  <si>
    <t xml:space="preserve"> Republic of the Philippines MUNICIPALITY OF BUENAVISTA INVITATION TO BID FOR UPGRADING OF RESCUE AMBULANCE 1.	The Local Government Unit of Buenavista, Marinduque through the fund from MDRRM Trust Fund 2020 intends to apply the sum of One Million Pesos (Ph</t>
  </si>
  <si>
    <t xml:space="preserve"> Republic of the Philippines BIDS AND AWARDS COMMITTEE Province of Iloilo Invitation to Bid Purchase of  WHEEL CHAIR Bid No. JCH-20-0307-B 1. The Iloilo Provincial Government, through the 2018- 20% IRA intends to apply the sum of ONE HUNDRED THOUSAND PESOS</t>
  </si>
  <si>
    <t xml:space="preserve"> Contract ID	: 20CSHE0001  Contract Name	: CLUSTER I – Flaring of Intersections at 1.	Cebu South Coastal Road Jct. A. Bacaltos St., Talisay City, Cebu 2.	Cebu South Coastal Road Jct. San Isidro St., Talisay City, Cebu 3.	Cebu South Coastal Road Jct. Uldog </t>
  </si>
  <si>
    <t xml:space="preserve"> Section I. Invitation to Bid   Provincial Government of Isabela SUPPLY AND DELIVERY OF MPV, DIESEL V, A/T, 2,798CC, 4 CYLINDERS WITH 3 YEARS LTO REGISTRATION The Provincial Government of Isabela, through the PGI FUND intends to apply the sum of One Millio</t>
  </si>
  <si>
    <t xml:space="preserve"> Request for Proposal  The Bureau of Fisheries and Aquatic Resources Regional Office No. 5 (BFAR RO 5), Fabrica, Bula, Camarines Sur is requesting from prospective suppliers to submit written proposal for the Labor for the Installation of Fishery Product T</t>
  </si>
  <si>
    <t xml:space="preserve"> INVITATION TO BID Republic of the Philippines MUNICIPALITY OF KITCHARAO Province of Agusan del Norte BIDS AND AWARDS COMMITTEE INVITATION TO BID FOR PURCHASE OF CONSTRUCTION MATERIALS (MUNICIPAL STAGE REPAIR) 	The Municipal Government of Kitcharao now inv</t>
  </si>
  <si>
    <t xml:space="preserve"> INVITATION TO BID The DPWH Isabela 4th District Engineering Office through its Bids and Awards Committee (BAC), invites contractors to submit bids for the following Contract: Procurement ID / Contract ID			: 20BH0160 Contract Name/                        </t>
  </si>
  <si>
    <t xml:space="preserve"> SEE ATTACHED FILES FOR THE SPECIFICATION/DESCRIPTION OF ITEMS REQUIRED SOURCE OF FUND: GENERAL FUND ISSUANCE OF BID DOCUMENTS: JULY 15, 2020 TO AUGUST 5, 2020 (WORKING DAYS ONLY 8AM TO 5PM) PREBID CONFERENCE: JULY 23, 2020 AT 9AM AT THE MUNICIPAL CONFEREN</t>
  </si>
  <si>
    <t xml:space="preserve"> ITEM NO.	DESCRIPTION	QUANTITY	UNIT 			 PART A	FACILITIES FOR THE ENGINEER	 	  A.1.1 (1)	Construction of Combined Field Office, Laboratory and  Living Quarters Building for the Engineer, 40 sq.m.	40 	sq.m.  	 	 	  PART B	OTHER GENERAL REQUIREMENTS	 	  B.4 </t>
  </si>
  <si>
    <t xml:space="preserve"> Republic of the Philippines                   Department of Health	       CENTRAL OFFICE BIDS AND AWARDS COMMITTEE  INVITATION TO BID FOR  PROCUREMENT OF SERVICE PROVIDER FOR THE PREVENTIVE MAINTENANCE OF AIR CONDITIONING UNITS (ACU) - REBID IB NO. 2020-2</t>
  </si>
  <si>
    <t xml:space="preserve"> Republic of the Philippines City of Dapitan BIDS AND AWARDS COMMITTEE INVITATION TO BID July 14, 2020 	 The City Government of Dapitan, through its Bids and Awards Committee (BAC), invites interested parties to apply for eligibility and, if found eligible</t>
  </si>
  <si>
    <t xml:space="preserve"> Meals and Snacks (Pre-Budget Hearing) - 100 pax Lechon - 2 pcs Meals and Snacks - 960 pax</t>
  </si>
  <si>
    <t xml:space="preserve"> Republic of the Philippines BIDS AND AWARDS COMMITTEE Province of Iloilo Invitation to Bid Purchase of Defibrillator Bid No. FRT-20-0804-B 1. The Iloilo Provincial Government, through the SUPPLEMENTAL BUDGET #1 2017 intends to apply the sum of FIVE HUNDRE</t>
  </si>
  <si>
    <t xml:space="preserve"> Project Billboard,  Safety and Health,  Pushing/Stockpiling,  Hauling of Excess materials Prospective Bidders must have completed a contract similar to the project with the amount of at least 50% of the ABC. Bidding will be conducted through open competit</t>
  </si>
  <si>
    <t xml:space="preserve"> Brgy. Binauganan Project Billboard,  Safety and Health,  Sub-Grade Preparation,  Aggregate Base Course,  PCCP Brgy. Bora Project Billboard,  Safety and Health,  Sub-Grade Preparation,  Aggregate Base Course,  PCCP Brgy. San Rafael Project Billboard,  Safe</t>
  </si>
  <si>
    <t xml:space="preserve"> Project Billboard,  Safety and health,  Structural Excavation,  Aggregate Base Course,  RCCP Prospective Bidders must have completed a contract similar to the project with the amount of at least 50% of the ABC. Bidding will be conducted through open compe</t>
  </si>
  <si>
    <t xml:space="preserve"> Republic of the Philippines Province of Apayao MUNICIPAITY OF CONNER OFFICE OF THE MUNICIPAL ENGINEERING INVITATION TO APPLY FOR ELIGIBILITY AND TO BID Project Title: REHABILITATION/IMPROVEMENT OF QUARANTINE ISOLATION FACILITY Project Location: Calafug, C</t>
  </si>
  <si>
    <t xml:space="preserve"> PLEASE SEE ATTACHED FILE.</t>
  </si>
  <si>
    <t xml:space="preserve"> 1.	The Local Government Unit of CONNER, through the 20% Development Fund 2020 intends to apply the sum of Nine Hundred Twenty Seven Thousand Three Hundred Six Pesos and 76/100 Centavos Only (₱ 927,306.76)  being the Approved Budget for the Contract (ABC) </t>
  </si>
  <si>
    <t xml:space="preserve"> The Municipal Government Unit of CONNER, through the Capital Outlay 2020 intends to apply the sum of Two hundred fourteen thousand eight hundred fifty pesos only (₱ 214,850.00) being the Approved Budget for the Contract (ABC) to payments under the contrac</t>
  </si>
  <si>
    <t xml:space="preserve"> 1.	The Local Government Unit of CONNER, through the 20% Development Fund 2020 intends to apply the sum of Four hundred Sixty Nine Thousand Two hundred Thirty Two  Pesos and 27/100 Centavos Only (₱ 469,234.27)  being the Approved Budget for the Contract (A</t>
  </si>
  <si>
    <t xml:space="preserve"> Refrigerated truck - 2 units</t>
  </si>
  <si>
    <t xml:space="preserve"> 1.	The Local Government Unit of CONNER, through the 20% Development Fund 2020 intends to apply the sum of Two Hundred Eighty Six Thousand Seven Hundred Twenty Two Pesos and 24/100 Centavos Only (₱ 286,722.24)  being the Approved Budget for the Contract (A</t>
  </si>
  <si>
    <t xml:space="preserve"> The Municipal Government Unit of CONNER, through the Capital Outlay 2020 intends to apply the sum of Two hundred twenty thousand pesos only (₱ 220,000) being the Approved Budget for the Contract (ABC) to payments under the contract for the:    Procurement</t>
  </si>
  <si>
    <t xml:space="preserve"> Description Republic of the Philippines  City of Danao BIDS AND AWARDS COMMITTEE INVITATION TO APPLY FOR ELIGIBILITY AND TO BID INFRASTRUCTURE PROJECTS IN THE CITY OF DANAO Construction of Box Culvert at Barangay Guinacot, Danao City The City Government o</t>
  </si>
  <si>
    <t xml:space="preserve"> Description Republic of the Philippines  City of Danao BIDS AND AWARDS COMMITTEE INVITATION TO APPLY FOR ELIGIBILITY AND TO BID INFRASTRUCTURE PROJECTS IN THE CITY OF DANAO Construction of Covered Court at Barangay Quisol, Danao City The City Government o</t>
  </si>
  <si>
    <t xml:space="preserve"> REQUEST FOR QUOTATION Date	:	July 15, 2020 Project Title	:	SUPPLY, FABRICATION AND DELIVERY OF STEEL GATE AND WINDOW GLASS FOR THE REHABILITATION AND IMPROVEMENT OF ANTIPOLO REPEATER TOWER ITB No.             	:	FB20-03-007COR Approved Budget for the Cont</t>
  </si>
  <si>
    <t xml:space="preserve"> INVITATION TO BID FOR THE  SUPPLY, DELIVERY AND INSTALLATION OF SOUND SYSTEM  IB NO. 2020-225 1.	The Department of Health (DOH), through the Continuing Appropriations of 2019 intends to apply the sum of Three Million Three Hundred Ninety Two Thousand Four</t>
  </si>
  <si>
    <t xml:space="preserve"> Description Republic of the Philippines  City of Danao BIDS AND AWARDS COMMITTEE INVITATION TO APPLY FOR ELIGIBILITY AND TO BID INFRASTRUCTURE PROJECTS IN THE CITY OF DANAO River Bank Protection at Sitio Langlang, Barangay Cogon Cruz, Danao City The City </t>
  </si>
  <si>
    <t xml:space="preserve"> Description Republic of the Philippines  City of Danao BIDS AND AWARDS COMMITTEE INVITATION TO APPLY FOR ELIGIBILITY AND TO BID INFRASTRUCTURE PROJECTS IN THE CITY OF DANAO Slope Protection of Landslide Prone Areas at Barangay Guinacot, Danao City The Cit</t>
  </si>
  <si>
    <t xml:space="preserve"> REPAIR REHABILITATION OF MUNICIPAL RECOVERY FACILITY BUILDING</t>
  </si>
  <si>
    <t xml:space="preserve"> Description Republic of the Philippines  City of Danao BIDS AND AWARDS COMMITTEE INVITATION TO APPLY FOR ELIGIBILITY AND TO BID INFRASTRUCTURE PROJECTS IN THE CITY OF DANAO Construction of Covered Court at Barangay Mantija, Danao City The City Government </t>
  </si>
  <si>
    <t xml:space="preserve"> REQUEST FOR EXPRESSION OF INTEREST FOR HIRING OF CONSULTANCY SERVICES FOR THE DEVELOPMENT OF AN ENVIRONMENTAL MANAGEMENT SYSTEM (EMS) CERTIFIABLE TO ISO 14001:2015 FOR DENR RIV-A REGIONAL OFFICE  1.	The Department of Environment and Natural Resources (DEN</t>
  </si>
  <si>
    <t xml:space="preserve"> Description Republic of the Philippines  City of Danao BIDS AND AWARDS COMMITTEE INVITATION TO APPLY FOR ELIGIBILITY AND TO BID INFRASTRUCTURE PROJECTS IN THE CITY OF DANAO Rehab/Improvement of Barangay Road at Cogon, Guinsay, Danao City The City Governme</t>
  </si>
  <si>
    <t xml:space="preserve"> INVITATION TO BID     20-083 Name of Project	:	Digital Duplicator for Different Schools in the Province of Laguna Location	:	Sta. Cruz, Laguna   Brief Description	:	High Speed Digital Master-Making/Fully Automatic Stencil Printing Approved Budget For the </t>
  </si>
  <si>
    <t xml:space="preserve"> 2020 23RD PUBLIC BIDDING FOR PROCUREMENT OF FOOD STUFF FOR 2020 2ND SEMESTER CONSUMPTION</t>
  </si>
  <si>
    <t xml:space="preserve"> SUPPLY AND DELIVERY OF THE FOLLOWING: ONE  UNIT DROPSIDE MINI-TRUCK BRAND NEW OVERALL LENGTH 4250 mm to 4500 mm Overall width at least 1600 mm Over all height- 1800-2000 mm Maximum gross vehicle weight – 2000-4000 kg Engine: 4 cylinder, 16 valve, turbocha</t>
  </si>
  <si>
    <t xml:space="preserve"> Procurement of Drugs &amp; Medicines Additional Requirements: &gt; -	The winning bidder shall submit a copy of Test Analysis Results for the Non-Antibiotics items -	The winning bidder shall submit a copy of Bio Assay Test Results for Antibiotics items. -	At leas</t>
  </si>
  <si>
    <t xml:space="preserve"> procurement negotiated</t>
  </si>
  <si>
    <t xml:space="preserve"> Office Equipment &amp; Furniture &amp; Fixture &amp; Info &amp; Comm. Technology Equipment</t>
  </si>
  <si>
    <t xml:space="preserve"> 1. Provisioning of Managed Internet Services with at least 10 Mbps of dedicated and Committed Information Rate (CIR) Internet bandwidth with at most 250 milliseconds of latency and 95% uptime and availability.	 2. Provisioning of Wi-Fi access points capab</t>
  </si>
  <si>
    <t xml:space="preserve"> Description Republic of the Philippines  City of Danao BIDS AND AWARDS COMMITTEE INVITATION TO APPLY FOR ELIGIBILITY AND TO BID INFRASTRUCTURE PROJECTS IN THE CITY OF DANAO Construction of Covered Court at Barangay Santican, Danao City The City Government</t>
  </si>
  <si>
    <t xml:space="preserve"> The National Housing Authority - West Sector (NHA-WS), through the Corporate Operating Budget approved by the NHA Board for the year 2019 intends to apply the sum of the Approved Budget for the Contract (ABC) to payment for the following contract: Ref. No</t>
  </si>
  <si>
    <t xml:space="preserve"> Republic of the Philippines Region XII Province of Cotabato BIDS AND AWARDS COMMITTEE Amas, Kidapawan City INVITATION TO BID FOR Supply &amp; Delivery of 1,000 bags Commercial Rice to be given to various clients in crisis situation. (PB-20-342) 1.	The Provinc</t>
  </si>
  <si>
    <t xml:space="preserve"> H E A D Q U A R T E R S P H I L I P P I N E   A R M Y OFFICE OF THE PHILIPPINE ARMY BIDS AND AWARDS COMMITTEE 1 Fort Andres Bonifacio, Metro Manila ITB 007-20									13 July 2020 Invitation to Bid The Armed Forces of the Philippines, through the Philippi</t>
  </si>
  <si>
    <t xml:space="preserve"> Description Republic of the Philippines  City of Danao BIDS AND AWARDS COMMITTEE INVITATION TO APPLY FOR ELIGIBILITY AND TO BID INFRASTRUCTURE PROJECTS IN THE CITY OF DANAO Construction of Covered Court at Barangay Cahumayan, Danao City The City Governmen</t>
  </si>
  <si>
    <t xml:space="preserve"> 1st  Bidding        1st Bidding        The Local Government Unit of  Paracale, through its Bids and  Awards  Committee (BAC) invites  a contractor registered with and  classified by the  Philippine Contractors  Accreditation Board ( PCAB ) to apply for  e</t>
  </si>
  <si>
    <t xml:space="preserve"> Republic of the Philippines BOHOL ISLAND STATE UNIVERSITY Main Campus, Tagbilaran City INVITATION TO BID FOR SUPPLY AND DELIVERY OF UNIFORM (POLO SHIRT) FOR BISU FOUNDATION DAY 2020 (PR NO. 2020-06-0600) 1.	The Bohol Island State University – Main Campus,</t>
  </si>
  <si>
    <t xml:space="preserve"> INVITATION TO APPLY FOR ELIGIBILITY AND TO BID		 		 The Local Government Unit of Municipality of Buenavista, Bohol, through its Bids and Awards		 Committee (BAC), Invites contractors registered with and classified by the Philippine Contractors		 accredita</t>
  </si>
  <si>
    <t xml:space="preserve"> Republic of the Philippines  Province of Nueva Ecija City Government of Palayan INVITATION TO BID FOR THE CONSULTING SERVICES FOR POTABLE WATER SYSTEM OF THE FOLLOWING BRGYS: •	Sitio Pinaltakan, Brgy. Caballero  •	Brgy. Sapang Buho •	Brgy. Doña Josefa 1.	</t>
  </si>
  <si>
    <t xml:space="preserve"> Solar Street Light Installation-National Highway , Pantukan</t>
  </si>
  <si>
    <t xml:space="preserve"> Republic of the Philippines BOHOL ISLAND STATE UNIVERSITY Main Campus, Tagbilaran City INVITATION TO BID FOR SUPPLY AND DELIVERY OF TEST MATERIALS FOR THE GUIDANCE OFFICE (PR NO. 2020-01-0042) 1.	The Bohol Island State University – Main Campus, Tagbilaran</t>
  </si>
  <si>
    <t xml:space="preserve"> Republic of the Philippines BOHOL ISLAND STATE UNIVERSITY Main Campus, Tagbilaran City INVITATION TO BID FOR RE-BIDDING: SUPPLY AND DELIVERY OF PRINTING SUPPLIES FOR DIFFERENT DEPARTMENTS (NON-PS) (PR NO. 2020-06-0560) 1.	The Bohol Island State University</t>
  </si>
  <si>
    <t xml:space="preserve"> Republic of the Philippines BOHOL ISLAND STATE UNIVERSITY Main Campus, Tagbilaran City INVITATION TO BID FOR SUPPLY AND DELIVERY OF WHITE BOARD FOR DIFFERENT DEPARTMENTS (PR NO. 2020-02-0241, 2020-02-0386, 2020-03-0450) 1.	The Bohol Island State Universit</t>
  </si>
  <si>
    <t xml:space="preserve"> Republic of the Philippines BOHOL ISLAND STATE UNIVERSITY Main Campus, Tagbilaran City INVITATION TO BID FOR SUPPLY AND DELIVERY OF TONER FOR EXISTING KYOCERA PHOTOCOPIER (PR NO. 2020-02-0166, 2020-06-0570, 2020-02-0326, 2020-07-0612) 1.	The Bohol Island </t>
  </si>
  <si>
    <t xml:space="preserve"> 3  UNITS 2.5 HP WALL MOUNTED AIRCONDITIONER     INVERTER; 220V-230V; 1PAHSE WITH COMPLETE STANDARD ACCEESSORIES 3 UNITS - LABOR AND INSTALLATION WITH COMPLETE STANDARD MATERIALS UP TO 10FT COPPER TUBE 0.028</t>
  </si>
  <si>
    <t xml:space="preserve"> Republic of the Philippines BOHOL ISLAND STATE UNIVERSITY Main Campus, Tagbilaran City INVITATION TO BID FOR SUPPLY AND DELIVERY OF JANITORIAL SUPPLIES (PR NO. 2020-07-0617, 2020-06-0582) 1.	The Bohol Island State University – Main Campus, Tagbilaran City</t>
  </si>
  <si>
    <t xml:space="preserve"> Republic of the Philippines PROVINCE OF NORTHERN SAMAR BIDS AND AWARDS COMMITTEE Catarman Purchase of various Vehicles Province of Northern Samar NS-07-14-20 1.	The Provincial Government of Northern Samar, through the SP Ordinance No. 21, series of 2019, </t>
  </si>
  <si>
    <t xml:space="preserve"> 5 HEADS OF LARGE ANIMAL (CARABAO)</t>
  </si>
  <si>
    <t xml:space="preserve"> Republic of the Philippines                                                          Province of Aklan                                                        Municipality of Libacao                                                       BARANGAY JULITA * *</t>
  </si>
  <si>
    <t xml:space="preserve"> Republic of the Philippines Province of Cagayan MUNICIPALITY OF CALAYAN Calayan, Cagayan INVITATION TO BID ITB No./PhilGEPS Reference No. 7105013 CONCRETING OF ROADS UNDER AIP 2020 (Barangay Dibay &amp; Dilam , Calayan, Cagayan) 1.	The Local Government of Cal</t>
  </si>
  <si>
    <t xml:space="preserve"> PLEASE REFER ATTACHED FILE FOR THE DETAILS.</t>
  </si>
  <si>
    <t xml:space="preserve"> Invitation to Bid The Armed Forces of the Philippines, through the Philippine Army Special Bids and Awards Committee (PASBAC), invites all suppliers/manufacturers/distributors to bid for the following items: Nomenclature/Activity		  A B C		 PRE-BID		 ROBE</t>
  </si>
  <si>
    <t xml:space="preserve"> Invitation to Bid for SUPPLY AND DELIVERY OF MATERIALS FOR REPAIR  OF AGRICULTURE OFFICE The Municipal Government of Looc, Romblon, through the AO NO 021-2020 Supplemental Appropriation intends to apply the sum of One Hundred Twenty-Two Thousand Two Hundr</t>
  </si>
  <si>
    <t xml:space="preserve"> Republic of the Philippines Region XII Province of Cotabato BIDS AND AWARDS COMMITTEE Amas, Kidapawan City INVITATION TO BID FOR Supply &amp; Delivery of 5,950 bags Commercial Rice to be given to various clients in crisis situation. (PB-20-343) 1.	The Provinc</t>
  </si>
  <si>
    <t xml:space="preserve"> 32 SETS- 30W SOLAR LED STREET LIGHT ON METAL POLE MOUNTED ON CONCRETE PEDESTAL LAMP SPECIFICATION LED lamp-30W 3000K-6500K SOLAR PANEL-  15v-32w, Polycrystalline Lithium Ion Battery-11.1V 15.5 AH Charging time: 6-8 hours Discharging time: 30-36 hours Lume</t>
  </si>
  <si>
    <t xml:space="preserve"> Invitation to Bid The Armed Forces of the Philippines, through the Philippine Army Special Bids and Awards Committee (PASBAC), invites all suppliers/manufacturers/distributors to bid for the following items: Nomenclature/Activity		  A B C		  PRE-BID		  RO</t>
  </si>
  <si>
    <t xml:space="preserve"> INVITATION TO BID PROCUREMENT OF LOANS MONITORING SYSTEM 1.	The Philippine Deposit Insurance Corporation (PDIC), through its 2020-2021 Corporate Operating Budget, intends to apply the sum of Php 11,600,000.00 to payments under the contract for the Procure</t>
  </si>
  <si>
    <t xml:space="preserve"> Diesel Engine  Bucket capacity 1.0m3 Dumping Height 2650 mm Over all dimension (LXWXH) 8000x2200x3350 mm Dumping Reach 930 mm Digger capacity 0.3 m3 Max digging depth 4400 mm Rated Power 65 KW Rated Speed 2500 r/min Wheel base 2600 mm Tread 1700</t>
  </si>
  <si>
    <t xml:space="preserve"> PROCUREMENT negotiated</t>
  </si>
  <si>
    <t xml:space="preserve"> Farm Tractor, Big, Brand New Farm Tractor, Small, Brand New</t>
  </si>
  <si>
    <t xml:space="preserve"> Installation of additional Road Safety Signage and Railings/guardrails.</t>
  </si>
  <si>
    <t xml:space="preserve"> Generator Set w/ Automatic Transfer Switch (ATS) 125KVA (Silent Type), Diesel Feed, Brand New Generator Set w/ Automatic Transfer Switch (ATS) 550KVA (Silent Type), Brand New Generator Set w/ Automatic Transfer Switch (ATS) 173KVA (Silent Type), Brand New</t>
  </si>
  <si>
    <t xml:space="preserve"> Diesel Engine, Displacement (L)3.66 Max output power kw(r/min) 91/2900 Max torque Nm(r/min) 380/1200-2200 Min Fuel Consumption g(Kw-h) 200 6 Gear Overall dimensions of Truck assembly, length(mm) 5470, width(mm)2112, Height2405 Body measurement  (mm) 5m2 W</t>
  </si>
  <si>
    <t xml:space="preserve"> Diesel Engine  Operation weight (kg) 15,318 Bucket Capacity (m3) 0.58 Output Power (kw/rpm) 104/2000 Bucket Digging Force (kN) 95 Max digging Height (mm) 8305 Max digging depth (mm) 9150 Max digging reach (mm) 5040</t>
  </si>
  <si>
    <t xml:space="preserve"> Issuance of Bid Documents Starts: July 14, 2020 Cost of Bid Document: Php 1,000.00 Venue of Dropping and Opening Bids: BAC Conference Room, Leyte SMED Center, Provincial Capitol Grounds, Tacloban City</t>
  </si>
  <si>
    <t xml:space="preserve"> INVITATION TO BID FOR  Procurement of Goods [Operational Tent] (Rebid) The   City Government of Tagbilaran,   through the Appropriation Ordinance No. 19-05 for FY 2020, intends to apply the sum of Eight Million Pesos only (Php8,000,000.00)being the  Appro</t>
  </si>
  <si>
    <t xml:space="preserve"> 1. 42 UNITS 4X2"X6M ROUND STEEL TAPERED LAMP POST, HOT DIPPED GALVANIZE 10X10 BASE PLATE. 3/4X20" ANCHOR BOLT, NUTS AND WASHER 2. 42 UNITS M40W INTEGRATED ALL IN ONE SOLAR STREET LIGHTS Luminous Flux: 4000-4400 lumen LED Chip: OSRAM / Philips (50000 hours</t>
  </si>
  <si>
    <t xml:space="preserve"> Issuance of Bid Documents Starts: July 14, 2020 Cost of Bid Document: Php 1,500.00 Venue of Dropping and Opening Bids: BAC Conference Room, Leyte SMED Center, Provincial Capitol Grounds, Tacloban City</t>
  </si>
  <si>
    <t xml:space="preserve"> Supply and Delivery of 1 Lot of Various Drugs and Medicine</t>
  </si>
  <si>
    <t xml:space="preserve"> This project entails Road Construction (Concreting of 5m x 270m Road and 180m Pathway (1.2m &amp; 2.0m) with Concrete Gutter (Sub-Grade Preparation, Aggregate Base Coarse and 211 kg/sq.m. Plain Concrete, Others (Concrete Pavilion and Kiosk, Back filling, Elec</t>
  </si>
  <si>
    <t xml:space="preserve"> Republic of the Philippines                                       Department of Health	                  CENTRAL OFFICE BIDS AND AWARDS COMMITTEE                                         INVITATION TO BID FOR THE                                        PROC</t>
  </si>
  <si>
    <t xml:space="preserve"> Concreting of Sitio Sabang Road</t>
  </si>
  <si>
    <t xml:space="preserve"> PROJECT DETAILS PROJECT TITLE: CONSTRUCTION OF DRAINAGE SYSTEM APPROVED BUDGET FOR THE CONTRACT: PHP 2,300,000.00 SOURCE OF FUND: DILG CALENDAR DAYS TO COMPLETE: 100 CALENDAR DAYS CONSTRUCTION LIMITS: CONSTRUCTION OF 212.00m LINE CANAL WITH COVER, BOX CUL</t>
  </si>
  <si>
    <t xml:space="preserve"> PROJECT DETAILS NAME OF PROJECT: DEVELOPMENT OF DISPOSAL CELL LOCATION: BRGY. BATO-BATO, NARRA, PALAWAN IMPLEMENTATION PROCEDURE: STRAIGHT CONTRACT APPROVED BUDGET COST: PHP 3,000,000.00 SOURCE OF FUND: 20% MDF CALENDAR DAYS TO COMPLETE: 150 CALENDAR DAYS</t>
  </si>
  <si>
    <t xml:space="preserve"> Service Vehicle, Shuttle Body, Brand New, 4 Cylinder Diesel Engine Manlift Telescopic (TEL 35, Insulated Aerial Flatform), Brand New, 4 Cylinder Diesel Engine Dump Truck, 4 cu.m. Capacity, Brand New Dump Truck, 6 cu.m. Capacity, Brand New Water Truck, Sta</t>
  </si>
  <si>
    <t xml:space="preserve"> Invitation to Bid for REPAIR AND MAINTENANCE OF FOUR-WHEELED TRACTOR The Municipal Government of Looc, Romblon, through the AO NO 021-2020 Supplemental Appropriation intends to apply the sum of Two Hundred Sixty Thousand Pesos Only (P 260,000.00) being th</t>
  </si>
  <si>
    <t xml:space="preserve"> Republic of the Philippines Department of the Interior and Local Government BUREAU OF JAIL MANAGEMENT AND PENOLOGY Regional Office VII 13B M. Veloso St., Guadalupe, Cebu City Tel: 254-4747 E-mail: logs.bjmpro7@gmail.com Website: www.bjmpro7.com INVITATION</t>
  </si>
  <si>
    <t xml:space="preserve"> Portland Cement Coco Lumber 2x4x12 Mixing Water Sand Gravel Common Nails (Assorted)</t>
  </si>
  <si>
    <t xml:space="preserve"> Republic of the Philippines Province of Bukidnon Municipality of Damulog Barangay Sampagar OFFICE OF THE BIDS AND AWARD COMMITTEE INVITATION TO BID FOR SUPPLY AND DELIVERY OF VARIOUS CONSTRUCTION MATERIALS FOR THE REHABILITATION OF MPP-SENIOR CITIZEN . Th</t>
  </si>
  <si>
    <t xml:space="preserve"> INVITATION TO BID  ITEM A: DRILLING SITE DEVELOPMENT ITEM B: DRILLING OF PRODUCTION WELL AT MALVAR, BAGUIO CITY 1.	  BAGUIO WATER DISTRICT (BWD), through its Bids and Awards Committee (BAC), intends to apply the sum of SIX MILLION TWO HUNDRED FIFTY THOUSA</t>
  </si>
  <si>
    <t xml:space="preserve"> Republic of the Philippines Province of Bukidnon Municipality of Damulog Barangay Sampagar OFFICE OF THE BIDS AND AWARD COMMITTEE INVITATION TO BID FOR CONSTRUCTION SUPPLIES  AND MATERIALS FOR THE CONSTRUCTION OF MPP-WAITING SHED  The barangay government </t>
  </si>
  <si>
    <t xml:space="preserve"> BULACAN AGRICULTURAL STATE COLLEGE San Ildefonso, Bulacan 3010 PROCUREMENT OF GOODS 2020-03G: For the Acquisition of Information Technology and Office Equipment for the 3-Storey Education Building Phase 2 Capital Outlay - FY 2020 Preface These Philippine </t>
  </si>
  <si>
    <t xml:space="preserve"> 209     bags       Portland Cement 12       cu.m.      3/4" Crushed Gravel 20       cu.m.     Washed Sand 30       lgths.      16mm Def. Round Bars 78       lgths.      12mm Def. Round Bars 185     lgths.      10mm Def. Round Bars 26       kls.         #1</t>
  </si>
  <si>
    <t xml:space="preserve"> Republic of the Philippines                                                             Department of Health 		                                   Center for Health Development-Bicol                    BICOL REGION GENERAL HOSPITAL AND GERIATRIC MEDICAL CE</t>
  </si>
  <si>
    <t xml:space="preserve"> 2020 21ST PUBLIC BIDDING: MEDICAL SUPPLIES FOR 2020 2ND SEMESTER CONSUMPTION</t>
  </si>
  <si>
    <t xml:space="preserve"> 1.	The Government Service Insurance System (GSIS) through the GSIS Corporate Operating Budget for CY 2020 intends to apply the sum of Twenty Three Million One Hundred Thousand Pesos (Php23,100,000.00) being the Approved Budget for the Contract (ABC) to pa</t>
  </si>
  <si>
    <t xml:space="preserve"> 1.	The Government Service Insurance System (GSIS), through the GSIS Corporate Operating Budget for CY 2020, intends to apply the sum of Twenty Five Million Five Hundred Thousand Pesos (Php25,500,000.00) being the Approved Budget for the Contract (ABC) to </t>
  </si>
  <si>
    <t xml:space="preserve"> Republic of the Philippines Department of Health	 CENTRAL OFFICE BIDS AND AWARDS COMMITTEE  INVITATION TO BID FOR THE  PRINT ADVERTISEMENT FOR THE DOH ADVISORIES IB NO. 2020-230 1.	The Department of Health (DOH), through the General Appropriations Act of </t>
  </si>
  <si>
    <t xml:space="preserve"> Invitation to Bid for Improvement of Public Restroom in Batangas State University, Pablo Borbon Main I 1.	The Batangas State University, through the Supplemental Budget FY 20203 intends to apply the sum of Two Million Five Hundred Forty Seven Thousand Two</t>
  </si>
  <si>
    <t xml:space="preserve"> INVITATION TO BID FOR THE SUPPLY AND DELIVERY OF SURVEY EQUIPMENT FOR USE IN THE PLANNING &amp; DESIGN DIVISION, DPWH-REGIONAL OFFICE I, CITY OF SAN FERNANDO, LA UNION The Department of Public Works and Highways-Regional Office I, through its Bids and Awards </t>
  </si>
  <si>
    <t xml:space="preserve"> Republic of the Philippines Department of Health Center for Health Development I REGION 1 MEDICAL CENTER Bids and Awards Committee Arellano Street, Dagupan City INVITATION TO BID PROCUREMENT OF VARIOUS HOSPITAL EQUIPMENT (OAL) BID REFERENCE NO. 23-2020 1.</t>
  </si>
  <si>
    <t xml:space="preserve"> ABC: P 10,000,000.00 LOCATION: Junction T. - Concha St. Monteverde, Poblacion 2 Burgos Surigao del Norte DIMENSIONS: 0.20M x 5.00M x 438.00M CD: 90 DAYS</t>
  </si>
  <si>
    <t xml:space="preserve"> SectionI. Invitation to Bid Republic of the Philippines Province of Misamis Occidental MUNICIPALITY OF PANAON Invitation to Bid for COMPLETION OF MULTI-PURPOSE BUILDING AT PUBLIC MARKET 									July 14, 2020 1.	The Municipality of Panaon, Misamis Occiden</t>
  </si>
  <si>
    <t xml:space="preserve"> This project entails site works, aggregate sub-base coarse, concreting works, and drainage canal with steel grating cover. This project is located at LGU Compound, funded from CDF 2020.</t>
  </si>
  <si>
    <t xml:space="preserve"> Republic of the Philippines Province of Ilocos Norte MUNICIPALITY OF CURRIMAO INVITATION TO BID FOR  PURCHASE OF AIRCONDITIONING UNIT  INCLUDING INSTALLATION 1.	The Municipality of Currimao  intends to apply the sum of [Three Hundred Sixty Thousand Pesos </t>
  </si>
  <si>
    <t xml:space="preserve"> Section I. Invitation to Bid   Provincial Government of Isabela SUPPLY AND DELIVERY OF NATURAL FERTILIZERS The Provincial Government of Isabela, through the PGI FUND intends to apply the sum of Eight Million Nine Hundred Ninety Nine Thousand Nine Hundred </t>
  </si>
  <si>
    <t xml:space="preserve"> PHLPOST SEEK TO PROCURE THE SERVICES OF A SECURITY SERVICE PROVIDER THAT WILL SAFEGUARD ITS PERSONNEL, FACILITIES AND PROPERTIES IN THE ADMINISTRATIVE CENTER AND VARIOUS POST OFFICES</t>
  </si>
  <si>
    <t xml:space="preserve"> Section I. Invitation to Bid   Provincial Government of Isabela SUPPLY AND DELIVERY OF ORGANIC FERTILIZERS The Provincial Government of Isabela, through the PGI FUND intends to apply the sum of One Million Pesos &amp; 0/100 (P 1,000,000.00) being the Approved</t>
  </si>
  <si>
    <t xml:space="preserve"> Security Services for one year..... 1,255,000.00</t>
  </si>
  <si>
    <t xml:space="preserve"> INSTALLATION OF LEGISLATIVE TRACKING SYSTEM  (HARDWARE AND SOFTWARE) 11 PCS TABLET 1 UNIT LAPTOP 1 UNIT SERVER 1 UNIT MESH NETWORK DEVICE LEGISLATIVE INFORMATION MANAGEMENT SYSTEM (SOFTWARE)</t>
  </si>
  <si>
    <t xml:space="preserve"> Republic of the Philippines Province of Surigao del Sur MUNICIPALITY OF BAROBO INVITATION TO BID The Municipality of Barobo, through its Bids and Awards Committee (BAC), invites suppliers/bidders to Bid for the Supply and Delivery of Agricultural Material</t>
  </si>
  <si>
    <t xml:space="preserve"> Item No. 	Description	Unit of Issue	Qty.	 Estimated Unit Cost 	 Estimated Cost  17	Amiodarone HCl 50mg/ml, 3mL  (150mg/3mL)  (IV)	amp	 70 	 400.00 	28,000.00 25	Bupivacaine HCl 0.5% isobaric, 10mL, single dose flipflop, preservative free	amp	 50 	 170.00 </t>
  </si>
  <si>
    <t xml:space="preserve"> 1 UNIT GARBAGE TRUCK</t>
  </si>
  <si>
    <t xml:space="preserve"> 1 UNIT RESCUE VEHICLE (VAN BODY)</t>
  </si>
  <si>
    <t xml:space="preserve"> Procurement ID/Contract I.D.: 20CN0152 (Re-adv.) Contract Name: Repair/Rehabilitation of Slope Protection along National Roads Contract Location: A. Castañeda – Ma. Aurora San Luis Road, K0226+375, K0202+850, Dimasalang Bridge Brief Description: Earthwork</t>
  </si>
  <si>
    <t xml:space="preserve"> Republic of the Philippines CITY OF LAPU-LAPU BIDS AND AWARDS COMMITTEE Invitation to Bid FOR THE PROCUREMENT of 1 UNIT BRAND NEW DOPPLER ULTRASOUND SYSTEM The City of Lapu-Lapu through the CAPITAL OUTLAY 4421-1-1-07-05-110-19s3 intends to apply the sum o</t>
  </si>
  <si>
    <t xml:space="preserve"> INVITATION TO BID July 11, 2020 CHINA STATE CONSTRUCTION ENGINEERING CO. LTD. 12F Petron Megaplaza 358 Gil Puyat Avenue Makati City SUBJECT	: Construction of the Priority Bridges Crossing Pasig-Marikina River and Manggahan Floodway Bridges Construction Pr</t>
  </si>
  <si>
    <t xml:space="preserve"> 1.	The General Mariano Alvarez Water District (GMAWD). through the GMAWD General Fund, intends to apply the sum of One Million and Two Hundred Thousand Pesos (Php 1,200,000.00) being the Approved Budget for the Contract (ABC) to payments under the contrac</t>
  </si>
  <si>
    <t xml:space="preserve"> Project Reference No.: 7096775 Solicitation No.:  ITB-128-2020 Contract No INVITATION TO BID FOR THE SUPPLY AND DELIVERY OF VARIOUS FERTILIZERS IN SUPPORT TO FOOD PRODUCTION AMIDST COVID 19 PANDEMIC UNDER CORN PROGRAM CY 2020   1.	The Department of Agricu</t>
  </si>
  <si>
    <t xml:space="preserve"> Project Reference No.: 7096115 Solicitation No.:  ITB-130-2020 Contract No  INVITATION TO BID FOR THE SUPPLY AND DELIVERY OF 1,600 BOTTLES INSECTICIDE IN SUPPORT TO FOOD PRODUCTION AMIDST COVID-19 PANDEMIC UNDER CORN PROGRAM CY 2020   1.	The Department of</t>
  </si>
  <si>
    <t xml:space="preserve"> Invitation to Bid for  “CONCRETING OF WALKWAY/STEPS AT Sitio Asinan. The Barangay Government of Poblacion, Puerto Galera, through the Approved Budget for FY 2020 intends to apply the sum of  One Hundred Fifty Thousand Pesos  ,being the Approved Budget for</t>
  </si>
  <si>
    <t xml:space="preserve"> INVITATION TO BID SUPPLY AND DELIVERY OF SIX (6) UNITS 24-CHANNEL SEISMOGRAPH FOR THE USE OF DPWH REGIONAL OFFICES (FY 2020) The Department of Public Works and Highways [DPWH] thru its Bids and Awards Committee for Goods, through GAA 2020, intends to appl</t>
  </si>
  <si>
    <t xml:space="preserve"> Project Reference No.: 7089483 Solicitation No.:  ITB-124-2020 Contract No  INVITATION TO BID FOR THE SUPPLY AND DELIVERY OF VARIOUS FERTILIZER UNDER RICE PROGRAM CY 2020  1.	The Department of Agriculture Regional Field Office IVA through the Rice Program</t>
  </si>
  <si>
    <t xml:space="preserve"> Project Reference No.: 7096516 Solicitation No.:  ITB-129-2020 Contract No  INVITATION TO BID FOR THE SUPPLY AND DELIVERY OF 600 KGS. CORN SEEDS-HYBRID WHITE GLUTINOUS IN SUPPORT TO FOOD PRODUCTION AMIDST COVID-19 PANDEMIC UNDER CORN PROGRAM CY 2020   1.	</t>
  </si>
  <si>
    <t xml:space="preserve"> INVITATION TO BID SUPPLY AND DELIVERY OF SIX (6) UNITS GROUND PENETRATING RADAR (GPR) FOR THE USE OF DPWH REGIONAL OFFICES (FY 2020) The Department of Public Works and Highways [DPWH] thru its Bids and Awards Committee for Goods, through GAA 2020, intends</t>
  </si>
  <si>
    <t xml:space="preserve"> Republic of the Philippines                                                                   PROVINCE OF SAMAR                                                                    INVITATION TO BID                                                           </t>
  </si>
  <si>
    <t xml:space="preserve"> Delivery and Purchase of of Combine Rice Harvester 		Specification:	 Engine Type:			Water Cooled, 4 Cycle, 4 Cylinder, Vertical Diesel Engine (w/ turbo charger) Total Displacement:			2.434 L - 3.0 L Engine Output:			50.8 kW - 55.50 kW @ 2700 RPM Fuel Capa</t>
  </si>
  <si>
    <t xml:space="preserve"> See attached ITB</t>
  </si>
  <si>
    <t xml:space="preserve"> INVITATION TO BID  FOR  Rehabilitation/Construction of Diversion Dam, LMC (Sta. 0+000 – 1+200), RMC (Sta. 0+000 – 0+770), Lat. A (Sta. 0+000 – 0+240) &amp; Appurtenant Structures, and Access Roads  of DULAY COMMUNAL IRRIGATION SYSTEM Marawi, Lanao del Sur Con</t>
  </si>
  <si>
    <t xml:space="preserve"> ENGINE: DIESEL TYPE: LIQUID TYPE PISTON DISPLACEMENT: 1900CC (MIN) - 3000CC (MAX) HORSEPOWER OUTPUT: 70-110 HP TORQUE: 270 n.m 1800-2000 rpm (min); 345 n.m 1400-3000 rpm (max) no. of cylinder: 4-6 TRANSMISSION: A/T-M/T. 5 speed forward, reverse and neutra</t>
  </si>
  <si>
    <t xml:space="preserve"> WITH READING</t>
  </si>
  <si>
    <t xml:space="preserve"> Please see attachment</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</si>
  <si>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</si>
  <si>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INVITATION TO BID  FOR  Rehabilitation/Construction of Main Canals, LMC, RMC, Lateral A, Lateral B &amp; Appurtenant Structures and Access Roads of NIOGPOLO COMMUNAL IRRIGATION SYSTEM &amp; KIANODAN COMMUNAL IRRIGATION SYSTEM Maguing, Lanao del Sur Contract Ref. </t>
  </si>
  <si>
    <t xml:space="preserve"> Republic of the Philippines                       EASTERN VISAYAS STATE UNIVERSITY                                                                              Tacloban City                     										      BIDS AND AWARDS COMMITTEE 			         INVITAT</t>
  </si>
  <si>
    <t xml:space="preserve"> 1.	The Local Government Unit (LGU) of Caluya, Antique through the Municipal Annual Budget 2020, intends to apply the sum of One Million Three Hundred Thousand Pesos (Php1,300,000.00) Only, being the Approved Budget for the Contract (ABC) to payments under</t>
  </si>
  <si>
    <t xml:space="preserve"> 1.	The Local Government Unit (LGU) of Caluya, Antique through the Municipal Annual Budget 2020 intends to apply the sum of Two Million Five Hundred Thousand Pesos (Php2,500,000.00) Only, being the Approved Budget for the Contract (ABC) to payments under t</t>
  </si>
  <si>
    <t xml:space="preserve"> 1.	The Local Government Unit (LGU) of Caluya, Antique through the Municipal Annual Budget 2019 intends to apply the sum of Three Million Five Hundred Thousand Pesos (Php3,500,000.00) Only, being the Approved Budget for the Contract (ABC) to payments under</t>
  </si>
  <si>
    <t xml:space="preserve"> The Municipal Government of Bayog, Zamboanga del Sur thru its Bids and Awards Committee (BAC) invites all interested bidders for the “CONSTRUCTION OF POWER HOUSE” in the Municipal Government of Bayog, Zamboanga del Sur. Approved Budget For The Contract/ E</t>
  </si>
  <si>
    <t xml:space="preserve"> ANALOG</t>
  </si>
  <si>
    <t xml:space="preserve"> INVITATION TO BID The Department of Public Works and Highways - Pampanga 1st District Engineering Office, through its Bids and Awards Committee (BAC), invites interested accredited/registered Suppliers/Bidders with the Government Electronic Procurement Sy</t>
  </si>
  <si>
    <t xml:space="preserve"> 1.	The Local Government Unit (LGU) of Caluya, Antique through the Municipal Annual Budget 2019 intends to apply the sum of Three Million Pesos (Php3,000,000.00) Only, being the Approved Budget for the Contract (ABC) to payments under the contract for ITB </t>
  </si>
  <si>
    <t xml:space="preserve"> The DPWH-Regional Office I, through its Bids and Awards Committee (BAC), invites contractors to submit bids for the following Contract: Contract ID: 20A00209 Contract Name: Construction of PENRO 3-Storey Building, Capitol Compound, Lingayen, Pangasinan Br</t>
  </si>
  <si>
    <t xml:space="preserve"> III.	APPROVE BUDGET FOR THE CONTRACT: The approved budget for the contract for the procurement of Two (2) units Printing Machine Digital Duplicator is SEVEN HUNDRED FIFTY SIX THOUSAND TWO HUNDRED FIFTY (P 756,250.00) PESOS only. Qty.	Unit	Description	Unit</t>
  </si>
  <si>
    <t xml:space="preserve"> INVITATION TO BID  FOR  Rehabilitation/Construction of Main Canals, LMC, RMC, Lateral A, Lateral B, Lateral C, Lateral D &amp; Appurtenant Structures  of PANGADAPUN COMMUNAL IRRIGATION SYSTEM GAMOT COMMUNAL IRRIGATION SYSTEM KARIGONGAN COMMUNAL IRRIGATION SYS</t>
  </si>
  <si>
    <t xml:space="preserve"> Replacement of 512.55 sq.m. dilapidated concrete pavement/Asphalt.</t>
  </si>
  <si>
    <t xml:space="preserve"> INVITATION TO BID  FOR  Rehabilitation/Construction of Diversion Dams, Main Canals, Lateral A, Lateral B, Lateral B-1 &amp; Appurtenant Structures and Access Roads  of MAPANTAO COMMUNAL IRRIGATION SYSTEM MAPANTAO-LUBO COMMUNAL IRRIGATION SYSTEM BARARAY COMMUN</t>
  </si>
  <si>
    <t xml:space="preserve"> One job furnishing labor and materials for the CONSTRUCTION OF CONCRETE CANAL ALONG BADILLA STREET (PHASE 2), BULARAN, BANATE, ILOILO</t>
  </si>
  <si>
    <t xml:space="preserve"> INVITATION TO APPLY FOR ELIGIBILITY AND TO BID The  Municipality of Barobo , through its Bids and Awards Committee (BAC), invites contractors registered with and classified by the Philippine Contractors Accreditation Board (PCAB) to apply for eligibility </t>
  </si>
  <si>
    <t xml:space="preserve"> Item/Description	Unit	Quantity PORTLAND CEMENT	bag	35 SCREENED SAND	cu.m	3 GRAVEL	cu.m	4 RSB 12mm DIA	pc	63 RSB 10mm DIA	pc	53 WATER	pail	72 GI TIE WIRE #16	kg	13 G.I. PIPE 2” DIA. SCHED 40	pc	25 LATEX FLAT	lit	2 READ LEAD	lit	2 GLOSS ENAMEL (QDE)	lit	2 P</t>
  </si>
  <si>
    <t xml:space="preserve"> Please see attached documents for your reference.</t>
  </si>
  <si>
    <t xml:space="preserve"> Concreting of 803.00 ln.m. x 5.00m x 0.20m thick PCCP with gravel shoulder and proposed 54.00  ln.m. of  910 mm dia. RCPC with rubble concrete headwall, grouted riprap and catch basin</t>
  </si>
  <si>
    <t xml:space="preserve"> Complete construction of (9.50m x 23.00m) 4-Storey-8 Classroom School Building, including PWD  ramp with handrail, parapet wall on concrete gutter, stairwall  5m width, steel fire exit, complete with  electrical works, sanitary plumbing works, water pumpi</t>
  </si>
  <si>
    <t xml:space="preserve"> BIDS AND AWARDS COMMITTEE FDA-BAC REF NO. ITB NO. 2020-005-CSL INVITATION TO BIDS SUPPLY, DELIVERY, INSTALLATION, COMMISSIONING AND TESTING OF GAS CHROMATOGRAPH WITH FLAME IONIZATION DETECTOR COMPLETE WITH ALL NECESSARY PARTS AND ACCESSORIES FOR FDA-ALABA</t>
  </si>
  <si>
    <t xml:space="preserve"> The Western Mindanao State University, through its Bids and Awards Committee (BAC), is inviting PhilGEPS registered suppliers to apply for eligibility and to submit bids for the item mentioned hereunder:  1.)	1	Unit	Visualization Table for Medical Educati</t>
  </si>
  <si>
    <t xml:space="preserve"> 1 Mobile Load  1,000 July     2 Mobile Load  1,000 August      3 Mobile Load  1,000 September      4 Mobile Load  1,000 October      5 Mobile Load  1,000 November      6 Mobile Load  1,000 December</t>
  </si>
  <si>
    <t xml:space="preserve"> Concreting of 1.060 km. x 5.00m x 200 mm thick slab carriageway with gravel shoulder on both sides.</t>
  </si>
  <si>
    <t xml:space="preserve"> EARTHWORKS EXCAVATION ROADWAY EXCAVATION AGGREGATE BASE COARSE CONCRETE WORKS RSB WORKS FORM WORKS PIPE WORKS</t>
  </si>
  <si>
    <t xml:space="preserve"> LOT.#1 Construction of Steel Gate @ Purok 3 (Php100,000.00), LOT.#2 Rehab of MPB @ Purok 3 (Php100,000.00), LOT. #3 Cons. Of MPB - (store Stall) Phase 2 @ P3 (Php200,000.00), LOT.#4 Crossdrain (Culvert) @ Purok 1(Php100,000.00), LOT.#5 Rehab of MPP @ Puro</t>
  </si>
  <si>
    <t xml:space="preserve"> 1 OFFICE TABLE - 5,300.00</t>
  </si>
  <si>
    <t xml:space="preserve"> IP Transport Municipal (ITPM) Services: Committed Internet Rate (CIR)  of 20 Mbps per Municipal Plaza. Zamboanga Del Sur: 1.Josefina Municipal Plaza  2. Midsalip Municipal Plaza  Zamboanga Sibugay: 1.Titay Municipal Plaza</t>
  </si>
  <si>
    <t xml:space="preserve"> Republic of the Philippines DEPARTMENT OF PUBLIC WORKS AND HIGHWAYS ANTIQUE  DISTRICT ENGINEERING OFFICE REGIONAL OFFICE VI San Jose, Antique INVITATION TO BID  The Department of Public Works and Highways, Antique District Engineering Office, San Jose, An</t>
  </si>
  <si>
    <t xml:space="preserve"> Office Chair 3 pcs 12, 900</t>
  </si>
  <si>
    <t xml:space="preserve"> Please submit your lowest bid price for one (1) unit brand new motor vehicle with an engine displacement not less than 2.0 Liter if gasoline-fed; or 2.5 Liter, if diesel-fed; with an engine not exceeding 4 cylinders.  The type of vehicle can either be Cro</t>
  </si>
  <si>
    <t xml:space="preserve"> Republic of the Philippines DEPARTMENT OF PUBLIC WORKS &amp; HIGHWAYS LANAO DEL NORTE 1st  DISTRICT ENGINEERING OFFICE REGION X 0054 Seminary Drive, Del Carmen, Iligan City (063) 225-4244  INVITATION TO BID/REQUEST FOR EXPRESSION OF INTEREST The Department of</t>
  </si>
  <si>
    <t xml:space="preserve"> Managed Internet Services: Committed Information Rate (CIR) of at least 10 MBPS. Must have at least three (3) Wi-Fi access points per identified location. Wi-Fi Hotspot device. Must include 24/7 Support with proactive monitoring. For Covid19 Hospitals, qu</t>
  </si>
  <si>
    <t xml:space="preserve"> A) REQUEST FOR QUOTATION 1. 50 rolls SHUTTLE BUS TICKETS (YELLOW) Specifications: Color: Yellow with Black print Process: Letterpress printing Binding: Roll Size: 2x1 inches With Number Series B) USE COMPANY LETTERHEAD FOR YOUR QUOTATION &amp; ADDRESS TO: DIR</t>
  </si>
  <si>
    <t xml:space="preserve"> INVITATION TO BID FOR  “Supply and Delivery of Seventeen (17) units Branded Laptop Computer, Five (5) boxes Office 365, Three (3) units Branded LED Monitor and Ten (10) units Portable External Hard Drive” 1.	The Philippine Institute of Volcanology and Sei</t>
  </si>
  <si>
    <t xml:space="preserve"> 125.00 l.m x 5.00m x .20m (125.00cu.m) River Wall</t>
  </si>
  <si>
    <t xml:space="preserve"> CONCRETING OF DAFFODIL STREET, POBLACION EAST, FLORA, APAYAO CONCRETING OF DOÑA AURORA STREET, POBLACION WEST, FLORA, APAYAO</t>
  </si>
  <si>
    <t xml:space="preserve"> 1 Potable Water 60 gallons 1,500 July      2 Potable Water 60 gallons 1,500 August      3 Potable Water 60 gallons 1,500 September      4 Potable Water 60 gallons 1,500 October     5 Potable Water 60 gallons 1,500 November     6 Potable Water 60 gallons 1</t>
  </si>
  <si>
    <t xml:space="preserve"> CONCRETING OF GUMAMELA STREET (SAUL-MATEO SECTION) CONCRETING OF FORTUNE STREET POBLACION EAST &amp; WEST, FLORA, APAYAO</t>
  </si>
  <si>
    <t xml:space="preserve"> BID TENDER								 The Bids and Awards Committee								 Province of Iloilo								 								      In connection with your Invitation to Bid No. PPO-20-0239-B scheduled on July 29, 2020, I/We proposed to furnish and deliver in conformity with the Terms and</t>
  </si>
  <si>
    <t xml:space="preserve"> Standard Form Number: SF-GOODS-05 Revised on: July 29, 2004        INVITATION TO APPLY FOR ELIGIBILITY AND TO BID The Barangay Local Government Unit Barangay of Dibul, Saguday, Quirino, through its Bids and Awards Committee (BAC), invites contractors to a</t>
  </si>
  <si>
    <t xml:space="preserve"> Description Republic of the Philippines  City of Danao BIDS AND AWARDS COMMITTEE INVITATION TO APPLY FOR ELIGIBILITY AND TO BID INFRASTRUCTURE PROJECTS IN THE CITY OF DANAO Construction of Drainage System at Ilaya to Guinacot, Danao City The City Governme</t>
  </si>
  <si>
    <t xml:space="preserve"> Description Republic of the Philippines  City of Danao BIDS AND AWARDS COMMITTEE INVITATION TO APPLY FOR ELIGIBILITY AND TO BID INFRASTRUCTURE PROJECTS IN THE CITY OF DANAO Concreting of Barangay Road at Sandayong Sur, Danao City The City Government of Da</t>
  </si>
  <si>
    <t xml:space="preserve"> Description Republic of the Philippines  City of Danao BIDS AND AWARDS COMMITTEE INVITATION TO APPLY FOR ELIGIBILITY AND TO BID INFRASTRUCTURE PROJECTS IN THE CITY OF DANAO Repair/Rehab of Road @ C.P Garcia Street, Poblacion, Danao City The City Governmen</t>
  </si>
  <si>
    <t xml:space="preserve"> 1 LOT Indoor Air Quality (IAQ) Testing (NHMFC HEAD OFFICE) (on selected sampling points per floor) Scope: - Operative Temperature  - Relative Humidity 	 - Air Movement 	 - Carbon Monoxide 	 - Carbon Dioxide 	 - Total Volatile Organic Compound 	 - Total Vo</t>
  </si>
  <si>
    <t xml:space="preserve"> Regravelling of Sitio Bulbulala</t>
  </si>
  <si>
    <t xml:space="preserve"> Const. of Barangay Hall</t>
  </si>
  <si>
    <t xml:space="preserve"> Description Republic of the Philippines  City of Danao BIDS AND AWARDS COMMITTEE INVITATION TO APPLY FOR ELIGIBILITY AND TO BID INFRASTRUCTURE PROJECTS IN THE CITY OF DANAO Construction of Multi-Purpose Building at Barangay Cagat, Danao City The City Gove</t>
  </si>
  <si>
    <t xml:space="preserve"> Construction of Drainage Canal</t>
  </si>
  <si>
    <t xml:space="preserve"> 1.	2’ x 2’ Ceramic Tiles (see actual color)	240 pcs 2.	Adhesive Cement	                         50 bags 3.	Sand (Binistay)	                                  88 bags 4.  	Tiles Filler	                                           5 bags</t>
  </si>
  <si>
    <t xml:space="preserve"> SEE BIDDING DOCUMENTS</t>
  </si>
  <si>
    <t xml:space="preserve"> EXCAVATION CONCRETE WORKS RSB WORKS FORM WORKS TINNERY WORKS CARPENTRY WORKS</t>
  </si>
  <si>
    <t xml:space="preserve"> -Managed Internet Service: Committed Information Rate (CIR) of at least 10 MBPS, must include 24/7 Support with proactive monitoring. For COVID-19 Hospitals, quarantine facilities, and other priority sites in the provinces of Basilan, Sulu, and Tawi-Tawi.</t>
  </si>
  <si>
    <t xml:space="preserve"> Republic of the Philippines DEPARTMENT OF PUBLIC WORKS AND HIGHWAYS MISAMIS ORIENTAL 1st DISTRICT ENGINEERING OFFICE REGIONAL OFFICE X Gingoog City, Misamis Oriental INVITATION TO BID	 The Department of Public Works and Highways Misamis Oriental First Dis</t>
  </si>
  <si>
    <t xml:space="preserve"> INVITATION TO BID FOR SUPPLY AND DELIVERY OF FOOD AND NON-FOOD ITEMS FOR THE PRODUCTION OF FAMILY FOOD PACKS FOR CY 2020 THROUGH FRAMEWORK AGREEMENT —  ITB NO. GOP/20-DSWD-028-A — (PR NO. 01-20001-PR-2020-02-00033; 01-20001-PR-2020-02-00034;  and 01-20001</t>
  </si>
  <si>
    <t xml:space="preserve"> III.	APPROVED BUDGET FOR THE CONTRACT a.	Approved Budget for the Contract to be bid is as follows: Item No.	Qty.	Unit	Technical Specifications	Unit Cost	Amount 1	 37	 Unit/s	CLERICAL TABLE FOR SG 17 AND BELOW (WITH MOBILE PEDESTAL)  Main desk: “L-Shaped u</t>
  </si>
  <si>
    <t xml:space="preserve"> Scope of Works Includes a.) Mobilization and Demobilization b.) Demolition Works  c.)Masonry Works d.) Architectural Works e.) Plumbing Works  f.) Electrical Works g.)  Formworks Source of Funds: Department of Health (20201050-005-021) Approved Budget for</t>
  </si>
  <si>
    <t xml:space="preserve"> This project is adopting the Design and Build scheme, which involves a 5-Storey Building which utilizes the whole lot area and considers mandatory set-backs. The Building will adopt the Green Architecture Design to create energy efficient and sustainable </t>
  </si>
  <si>
    <t xml:space="preserve"> Republic of the Philippines										 BIDS AND AWARDS COMMITTEE										 Baguio City										 (074) 300-6537/ (074)442-8795										 BID FORM										 CP No. 2020-44 Bidding									July 7, 2020	 Circular Proposal No.									Date Prepared	 										</t>
  </si>
  <si>
    <t xml:space="preserve"> 1.	The Government Service Insurance System (GSIS) through the GSIS Corporate Operating Budget for CY 2020 intends to apply the sum of One Million Three Hundred Thousand Pesos (Php1,300,000.00) being the Approved Budget for the Contract (ABC) to payments u</t>
  </si>
  <si>
    <t xml:space="preserve"> Republic of the Philippines                   Department of Health	       CENTRAL OFFICE BIDS AND AWARDS COMMITTEE  INVITATION TO BID FOR  PROCUREMENT OF NEXT GENERATION PRIVILEGED ACCOUNT MANAGEMENT IN DOH DATA CENTER-REBID IB NO. 2020-205-A 1.	The Depar</t>
  </si>
  <si>
    <t xml:space="preserve"> 1 lot Provision of Security Services for a Period of One (1) Year in the DOLE Central Office from October 2020 to October 2021</t>
  </si>
  <si>
    <t xml:space="preserve"> Republic of the Philippines										 BIDS AND AWARDS COMMITTEE										 Baguio City										 (074) 300-6537/ (074)442-8795										 BID FORM										 CP No. 2020-43 Bidding										July 7, 2020 Circular Proposal No.										Date Prepared The City G</t>
  </si>
  <si>
    <t xml:space="preserve"> Surface preparation, base coarse preparation, PCCP</t>
  </si>
  <si>
    <t xml:space="preserve"> Republic of the Philippines Province of Surigao del Sur MUNICIPALITY OF BAROBO  INVITATION TO BID The Municipality of Barobo, through its Bids and Awards Committee (BAC), invites suppliers/bidders to Bid for the Supply and Delivery of  1 Unit Brandnew 10-</t>
  </si>
  <si>
    <t xml:space="preserve"> The Pag-IBIG Fund invites prospective bidders to bid for the Supply and Delivery of Five (5) units Sports Utility Vehicle (SUV). The requirement shall be procured through Negotiated Method of Procurement due to 2-Bid Failures. Our Approved Budget for the </t>
  </si>
  <si>
    <t xml:space="preserve"> INVITATION TO BID The Iligan City Government Bids and Awards Committee (BAC), through 2020–LSB-Special Educaion Fund intends to apply the sum of P6,999,415.00 being the Approved Budget for the Contract (ABC) to payments under the Contract for Supply and D</t>
  </si>
  <si>
    <t xml:space="preserve"> REQUEST FOR EXPRESSION OF INTEREST FOR FEASIBILITY STUDY The NIA- CARAGA Region, through the FS of CY 2020 FUNDS intends to apply the sum of  Twenty Four Million Two Hundred Seventy One Thousand Eight Hundred Forty Four Pesos and 65/100 Centavos Only (P 2</t>
  </si>
  <si>
    <t xml:space="preserve"> INVITATION TO BID Procurement of Desktop Computers for Various Offices and Campuses FY 2019 in Batangas State University The Batangas State University, through the Supplemental FY 2019 (STF- Instruction Services) intends to apply the sum of Three Million </t>
  </si>
  <si>
    <t xml:space="preserve"> INVITATION TO APPLY FOR ELIGIBILITY AND TO BID The LGU of Mataasnakahoy, Batangas, through its Bids and Award Committee (BAC), invites contractors/suppliers registered with PHILGEPS to apply for Eligibility and if found eligible, to bid for the hereunder </t>
  </si>
  <si>
    <t xml:space="preserve"> 1. The Polomolok Water District now invites bids for the construction of perimeter fence at PS No. 11 and other related works. Completion of the Works is required within forty (40) calendar days. Bidders should have completed, a contract similar to the Pr</t>
  </si>
  <si>
    <t xml:space="preserve"> 1. The Polomolok Water District now invites bids for the construction of 2 – storey building and other related works. Completion of the Works is required within ninety six (96) days. Bidders should have completed, a contract similar to the Project. The de</t>
  </si>
  <si>
    <t xml:space="preserve"> PLEASE REFER ATTACHED FILE PURCHASE REQUEST</t>
  </si>
  <si>
    <t xml:space="preserve"> Concreting of Existing Municipal Road W=4.00mxL=212 meter x.15m thick pavement</t>
  </si>
  <si>
    <t xml:space="preserve"> PHILIPPINE DEPOSIT INSURANCE CORPORATION Makati City INVITATION TO BID PROCUREMENT FOR THE SUPPLY, DELIVERY AND INSTALLATION OF SYSTEMS FURNITURE FOR PDIC OFFICE (Rebidding) 1.	The Philippine Deposit Insurance Corporation (PDIC), through its 2020 Corporat</t>
  </si>
  <si>
    <t xml:space="preserve"> Republic of the Philippines										 BIDS AND AWARDS COMMITTEE										 Baguio City										 (074) 300-6537/ (074)442-8795										 BID FORM										 CP No. 2020-40 Bidding										July 7, 2020 Circular Proposal No.										Date Prepared The City G</t>
  </si>
  <si>
    <t xml:space="preserve"> 1.	The Tourism Promotions Board, through the 2020 Approved Corporate Operating Budget intends to apply the sum of Ninety-Four Million Five Hundred Thousand Pesos Only (PhP94,500,000.00) being the Approved Budget for the Contract (ABC) to payments under th</t>
  </si>
  <si>
    <t xml:space="preserve"> INVITATION TO BID FOR THE SUPPLY, DELIVERY, INSTALLATION AND COMMISSIONING OF CENTRALLY-MANAGED WIRELESS ACCESS POINTS (WAP) The Department of Public Works and Highways thru its Bids and Awards Committee for Goods, through the GAA 2020, intends to apply t</t>
  </si>
  <si>
    <t xml:space="preserve"> Project Reference No.: 7089668 Solicitation No.:  ITB-125-2020 Contract No  INVITATION TO BID FOR THE SUPPLY AND DELIVERY OF 26,276 BAGS UREA (46-0-0) UNDER RICE PROGRAM CY 2020   1.	The Department of Agriculture Regional Field Office IVA through the Rice</t>
  </si>
  <si>
    <t xml:space="preserve"> Project Reference No.: 7089694 Solicitation No.:  ITB-126-2020 Contract No  INVITATION TO BID FOR THE SUPPLY AND DELIVERY OF 38,000 BAGS MURIATE OF POTASH (0-0-60) FOR REHABILITATION AND RECOVERY OF DAMAGES CAUSED BY TAAL VOLCANO ERUPTION UNDER THE REGULA</t>
  </si>
  <si>
    <t xml:space="preserve"> Project Reference No.: 7089602 Solicitation No.:  ITB-114-2020 Contract No  INVITATION TO BID FOR THE SUPPLY AND DELIVERY OF TWO (2) UNITS TRUCK-MOUNTED LONG DISTANCE/  WIDERANGE SPRAYER UNDER RICE PROGRAM CY 2020   1.	The Department of Agriculture Region</t>
  </si>
  <si>
    <t xml:space="preserve"> For the use of Bureau of Research and Standards 																																																						 				 DPWH TECHNICAL JOURNAL DECEMBER 2019 																																																						  1 				 Number of page: 52 pages 																						</t>
  </si>
  <si>
    <t xml:space="preserve"> Project Reference No.: 7090288 Solicitation No.:  ITB-127-2020 Contract No INVITATION TO BID FOR THE SUPPLY AND DELIVERY OF 2,151 BAGS GM HYBRID CORN SEEDS UNDER CORN PROGRAM CY 2020   1.	The Department of Agriculture Regional Field Office IVA through the</t>
  </si>
  <si>
    <t xml:space="preserve"> The provision of combined network, storage, and compute cloud platform or Hyper-Converged Infrastructure (HCI) Systems Solution includes the following: a.  Harware b.  Software c.  Equipment and System Implementation d.  Scalability and Efficiency require</t>
  </si>
  <si>
    <t xml:space="preserve"> REQUEST FOR EXPRESSION OF INTEREST (REI) FOR 20CSAG01: GEOTECHNICAL AND GEOLOGICAL SURVEY  (SOIL BORING EXPLORATION) OF RBP 2021 AT PANGASINAN FIRST ENGINEERING/LEGISTRATIVE DISTRICT  1.	The Department of Public Works and Highways, Pangasinan 1st District</t>
  </si>
  <si>
    <t xml:space="preserve"> This project entails construction of 37 linear meter river control (site works, rubble masonry, reinforced concrete, hauling works) located at Sitio Binalyuhan, Caditaan funded from LDRRM Fund 2020.</t>
  </si>
  <si>
    <t xml:space="preserve"> Invitation to Bid for Surigao City Luneta Park Revitalization Plan Luneta Park, Surigao City ITB No. 084-Infra-2020    1.	The City Government of Surigao, intends to apply the sum of   Fifteen Million Two Hundred Forty Thousand Eight Hundred Eighty Five  P</t>
  </si>
  <si>
    <t xml:space="preserve"> Procurement of supply and delivery of drugs and biologics &amp; feeds 38	Set	Drugs &amp; Biologics •	1 box of Doxycycline HCI + Tiamulin + Vitamin A + Vitamin B12, WSP, 5gx48/box •	1 box of Levamisole HCI 10% Soluble Powder, 5gx48/box •	36 packs of Multivitamins </t>
  </si>
  <si>
    <t xml:space="preserve"> INVITATION TO BID Procurement of Tables and Chairs for Psychological Experimental Laboratory and Crime Laboratory in  Batangas State University – ARASOF, Nasugbu The Batangas State University, through the Supplemental FY 2019 (STF- Instruction Services) i</t>
  </si>
  <si>
    <t xml:space="preserve"> Invitation to Bid for Replacement of Roofing and Ceiling of CITE Building in Batangas State University, ARASOF-Nasugbu 1.	The Batangas State University, through the Supplemental Budget FY 2020 (Affiliation Savings 2018, Instruction Savings 2018, Instructi</t>
  </si>
  <si>
    <t xml:space="preserve"> 1 unit - 4 WD 22 Hp Tractor L2202 DT with complete accessories and heavy duty trailer 2 units - 4 WD 36 Hp Tractor L3608 with rotavator and complete accessories, tools and heavy duty trailer 1 unit - Hand Tractor (Kuliglig) with complete accessories and h</t>
  </si>
  <si>
    <t xml:space="preserve"> Republic of the Philippines PROVINCE OF NUEVA VIZCAYA Municipality of Aritao BIDS AND AWARDS COMMITTEE ITB-STREET LIGHTS-20-07-01 INVITATION TO BID FOR SOLAR POWERED / STREET LIGHTS INSTALLATION IN ALL ACCIDENT PRONE AREAS At Municipalwide, Aritao, Nueva </t>
  </si>
  <si>
    <t xml:space="preserve"> 3 UNITS - Mobile Ricemill with weighing scale 2 UNITS - Walk behind 5 rows mechanized Rice Transplanter 2 UNITS - Hand Tractor (Kuliglig) w/ diesel engine 7hp, complete implements/accessories and heavy duty trailer 1 UNIT - Multi-tilling machine (80-120cm</t>
  </si>
  <si>
    <t xml:space="preserve"> INVITATION TO BID Establishment of the University FM Station in Batangas State University ARASOF – Nasugbu (Re-bidding) 1.	The Batangas State University, through the PRE 2019 (Laboratory Fee) intends to apply the sum of One Million Four Hundred Seventy Th</t>
  </si>
  <si>
    <t xml:space="preserve"> Two-Storey Agriculture Innovation Center for Agri-Fishery-Livestock</t>
  </si>
  <si>
    <t xml:space="preserve"> BIDS AND AWARDS COMMITTEE INVITATION TO BID No. 052-2020 The METRO ROXAS WATER DISTRICT (MRWD), through its Bids and Awards Committee (BAC), invites Manufacturers/Suppliers/Distributors to apply for eligibility and to bid for the hereunder project: Name o</t>
  </si>
  <si>
    <t xml:space="preserve"> Invitation to Bid for the Repair of Sitio Balibayon  Irrigation System    Brgy. Rizal, Surigao City ITB No. 087-Infra-2020    1.	The City Government of Surigao, intends to apply the sum of   One Million  Six Hundred Fifty Thousand  Pesos (Php1,650,000.00)</t>
  </si>
  <si>
    <t xml:space="preserve"> Items: Drugs and medicine (please see attachment) 1)  The Schedule of Bidding Activities is available at the BAC Office, City Annex Building, Brgy. Zapote, City of Binan, Laguna.  Please look for the following for inquiries:       a)  Engr. Wilfredo F. Al</t>
  </si>
  <si>
    <t xml:space="preserve"> INVITATION TO BID FOR THE PROVISION OF LABOR, MATERIALS, EQUIPMENT RENTALS AND OTHER INCIDENTALS NEEDED FOR THE RECONSTRUCTION OF DA RFO-1 SOILS AND FEED LABORATORY CUM REGIONAL AGRICULTURAL DISASTER RISK REDUCTION AND MANAGEMENT (RDRRM) OPERATION CENTER </t>
  </si>
  <si>
    <t xml:space="preserve"> Consulting Services for the Conduct of Sub-soil Exploration for Various Infrastructure Projects under GAA FY 2020 and Proposed 2021 Projects Sorsogon 2nd Congressional District</t>
  </si>
  <si>
    <t xml:space="preserve"> Invitation to Bid For Three (3) Years Subscription for Web Security Protection for LANDBANK Branches (700 Users)  1.	The LAND BANK OF THE PHILIPPINES (LANDBANK), through its Corporate Budget for the contract approved by the Board of Directors for 2020 int</t>
  </si>
  <si>
    <t xml:space="preserve"> Department of Social Welfare and Development  Field Office V INVITATION TO BID PROCUREMENT OF BEAM BALANCE SCALE WITH HEIGHT AND WEIGHT 1.	The Department of Social Welfare and Development, Field Office V, through the General Appropriations Act (GAA) inten</t>
  </si>
  <si>
    <t xml:space="preserve"> Bid for office supplies   Unit	Item Description	         Qty Bots	Epson Ink (Magenta)	         245 Bots	Epson Ink (Cyan)	         245 Bots	Epson Ink (Yellow)	         245 Bots	Epson Ink (Black)	         295 pcs	Xerox Ink Toner Kit TK-1147  45 pcs	File Fol</t>
  </si>
  <si>
    <t xml:space="preserve"> PR No. 				CMD 2020-06-059							 				          							 	Please quote your lowest price on the item/s listed below, subject to the General Conditions, 										 stating the shortest time of delivery and submit your quotation duly signed by  your authoriz</t>
  </si>
  <si>
    <t xml:space="preserve"> Procurement of supply and delivery of drugs and biologics &amp; feeds 70	bag	Chicken grower crumble, 50kg/bag 19	Set	Drugs &amp; Biologics •	Doxycycline HCI + Tiamulin + Vitamin A + Vitamin B12, WSP, 5gx48/box •	Levamisole HCI 10% Soluble Powder, 5gx48/box •	Mult</t>
  </si>
  <si>
    <t xml:space="preserve"> Thirty (30) sets Solar Kit See attached link under OTHER INFORMATION BOX</t>
  </si>
  <si>
    <t xml:space="preserve"> Republic of the Philippines DEPARTMENT OF PUBLIC WORKS AND HIGHWAYS QUIRINO DISTRICT ENGINEERING OFFICE Regional Office II Cabarroguis, Quirino REQUEST FOR EXPRESSION OF INTEREST 1.	The Department of Public Works and Highways-Quirino District Engineering </t>
  </si>
  <si>
    <t xml:space="preserve"> Please download the attached documents or you may visit our website @prc.gov.ph</t>
  </si>
  <si>
    <t xml:space="preserve"> A) REQUEST FOR QUOTATION 1. 20 pcs 1” x 2” x 10’ Wd. S4S kd. Tang. 2. 1 kg 1” Finishing Nail  3. 1 kg 2” Finishing Nail 4. 1 ¼ kg 2” Common wire nails 5. 2 ½ kg 3” Common wire nails 6. ½ kg 3” Concrete nails 7. 56 pcs 2” x 4” x 12’ Wd. S4S Kd. Tang. 8. 3 </t>
  </si>
  <si>
    <t xml:space="preserve"> Name of Project: Construction of Covered Court  Location: Cab 22                       P3,000,000.00               Alinguigan 3                  3,000,000.00 Approved Budget Cost:              P6,000,000.00 Contract Duration: 120 CD Source of Fund: 20%EDF</t>
  </si>
  <si>
    <t xml:space="preserve"> Name of Project: Construction of Line Canal  Location: Alibagu (Going to Relocation Site)               P2,000,000.00               Calamagui 1st                                           P1,000,000.00 Approved Budget Cost: P3,000,000.00 Contract Duration</t>
  </si>
  <si>
    <t xml:space="preserve"> Name of Project: Construction of Pathways/Walkways (Gandang Ilagan Program) Location: City of Ilagan, Isabela  Approved Budget Cost: P20,000,000.00 Contract Duration: 180 CD Source of Fund: 20%EDF</t>
  </si>
  <si>
    <t xml:space="preserve"> 1	Digital Wall Clock	1 unit 2	Dish Dryer    	        1 unit 3	Drinking Glass   	12 pcs 4	Wood Serving Tray	3 pcs 5	Plastic Serving Tray	3 pcs 6	Glass Jar	                5 pcs 7	Round Plate       	12 pcs 8	Serving Dish Plate 	6 pcs 9	Cups and Saucer	24 pc</t>
  </si>
  <si>
    <t xml:space="preserve"> (Please also see attached.) INVITATION TO BID Supply, Delivery and Testing of Walking Type Agricultural Tractors (PHilMech RCEF 20-06-02) 1. The Philippine Center for Postharvest Development and Mechanization (PHilMech) through its FY 2019 &amp; FY2020 Rice C</t>
  </si>
  <si>
    <t xml:space="preserve"> Name of Project: Construction of Retaining Wall with Road Concreting @ San Felipe Location: San Felipe, City of Ilagan ABC: P3,000,000.00 Contract Duration: 90 CD Source of Fund: 20%EDF</t>
  </si>
  <si>
    <t xml:space="preserve"> IMPROVEMENT OF HAZARD WASTE AREA</t>
  </si>
  <si>
    <t xml:space="preserve"> Rehab of Day Care Center</t>
  </si>
  <si>
    <t xml:space="preserve"> Contract Location: FIRST DISTRICT OF ALBAY Brief Description: Construction of School Building Source of Funds	: GAA 2020 DPWH OUTSIDE INFRA The BAC is conducting the public bidding for this Contract in accordance with RA 9184 and its Implementing Rules an</t>
  </si>
  <si>
    <t xml:space="preserve"> A) REQUEST FOR QUOTATION 1. 6 pcs 1.5mm x 1” x 2” x 6 mtrs – Tubular Steel 2. 16 pcs 1.5mm x 2” x 2” x 6 mtrs – Tubular Steel  3. 20 kg Welding Rod 6013 1/8” 4. 1 box Blind rivets 1/8 Ø ½” 5. 30 pcs Cutting Disc 4"Ø 6. 10 pcs Grinding Disc 4”Ø 7. 12 pcs 2</t>
  </si>
  <si>
    <t xml:space="preserve"> INVITATION TO BID: BID REFERENCE NO.: 2020-20 “SUPPLY, DELIVERY AND INSTALLATION OF TONERS WITH FREE USE OF MULTIFUNCTION PRINTERS FOR THE USE OF VARIOUS OFFICES IN BFAR CENTRAL OFFICE  FOR ONE (1) YEAR” The Bureau of Fisheries and Aquatic Resources (BFAR</t>
  </si>
  <si>
    <t xml:space="preserve"> Invitation to Bid Supply and Delivery of Various Vehicles for Resource Generation and Management Service (RGMS) 1. The Department of Trade and Industry, through the Rural Agro-Enterprise Partnership for Inclusive Development and Growth (RAPID Growth) Loan</t>
  </si>
  <si>
    <t xml:space="preserve"> INVITATION TO BID The DPWH-Regional Office No. III,  through  its  Bids  and  Awards  Committee  (BAC),  invites contractors to submit bids for the Contract below: Procurement ID/Contract ID:    20C00050 Contract Name:      Rehabilitation of Pampanga Rive</t>
  </si>
  <si>
    <t xml:space="preserve"> Invitation to Bid For One (1) Lot Supply, Delivery and Installation of Office Furniture at LANBBANK Buendia Branch 1.	The LAND BANK OF THE PHILIPPINES (LANDBANK), through its Corporate Budget for the contract approved by the Board of Directors for 2019 in</t>
  </si>
  <si>
    <t xml:space="preserve"> Name of Project: Construction of Multi-Purpose Commercial Building Location: Calamagui 2nd, City of Ilagan ABC: P50,000,000.00 Contract Duration 300CD Source of Fund: Loan Proceeds-LBP</t>
  </si>
  <si>
    <t xml:space="preserve"> Request for Proposal  The Bureau of Fisheries and Aquatic Resources Regional Office No. 5 (BFAR RO 5), Fabrica, Bula, Camarines Sur is requesting from prospective suppliers to submit written proposal for the Supply and Delivery of Tilapia Fingerlings. Qua</t>
  </si>
  <si>
    <t xml:space="preserve"> INVITATION TO BID The Department of Public Works &amp; Highways thru its Bids and Awards Committee for Goods, through GAA 2020, intends to apply the sum of One Hundred Forty Nine Million Eight Hundred Thirty Three Thousand Three Hundred Thirty Three and 54/10</t>
  </si>
  <si>
    <t xml:space="preserve"> 1 Year Security Services, ABC 19, 920,658.80/year *95 Security Guards* Please see attached ITB</t>
  </si>
  <si>
    <t xml:space="preserve"> Invitation to Bid The Manila International Airport Authority, through its Bids and Awards Committee (BAC), invites contractors to apply for eligibility and if found eligible, to bid for the hereunder contract:  Name of Contract                            </t>
  </si>
  <si>
    <t xml:space="preserve"> Supply, Installation, Commissioning and Testing  of a 250Mbps Fiber Optic Dedicated Internet Access Service 1.	The Pamantasan ng Lungsod ng Maynila (PLM), through the PLM’s Corporate Budget for the contract approved by the Board of Regents for CY 2020 int</t>
  </si>
  <si>
    <t xml:space="preserve"> CSC-CO  BIDS AND AWARDS COMMITTEE    								                               CSC-ITB No.  2020 - 10  (Proc. of Primary Internet Services)      June 29, 2020   INVITATION TO BID  (Mode of Procurement:   Public Bidding) The Civil Service Commission (CSC), th</t>
  </si>
  <si>
    <t xml:space="preserve"> CSC-CO  BIDS AND AWARDS COMMITTEE                                                CSC-ITB No.  2020 - 09                 (Proc. of Anti-Virus Licenses)                                                                     June  29, 2020     INVITATION TO BID</t>
  </si>
  <si>
    <t xml:space="preserve"> Construction of school building</t>
  </si>
  <si>
    <t xml:space="preserve"> CSC-CO  BIDS AND AWARDS COMMITTEE                                          CSC-ITB No.  2020-_08_               (Proc. of Laptops &amp; Printers)                                                                  June 29, 2020    INVITATION TO BID  (Mode of Pro</t>
  </si>
  <si>
    <t xml:space="preserve"> INVITATION TO BID IB 2020-078 The Philippine Children’s Medical Center, through GAA 2019/2020 intends to apply the sum of Four Hundred Ninety-Six Million Pesos (Php496,000,00.00) being the Approved Budget for the Contract (ABC) to payment under the contra</t>
  </si>
  <si>
    <t xml:space="preserve"> Invitation to Bid For Two (2) Years Subscription of Dark Fiber Facility 1.	The LAND BANK OF THE PHILIPPINES (LANDBANK), through its Corporate Budget for the contract approved by the Board of Directors for 2019intends to apply the total sum of Six Million </t>
  </si>
  <si>
    <t xml:space="preserve"> INVITATION TO BID The Department of Public Works and Highways - Pampanga 1st District Engineering Office, through its Bids and Awards Committee (BAC), invites contractors to submit bids for the following Contract: 1.	 Procurement ID/Contract ID	:	20CG0200</t>
  </si>
  <si>
    <t xml:space="preserve"> (Please see attached.) INVITATION TO BID Supply, Delivery and Testing of Rice Precision Seeders  (PHilMech-RCEF-20-06-04) 1. The Philippine Center for Postharvest Development and Mechanization (PHilMech) through its FY 2019  &amp; FY 2020 Rice Competitive Enh</t>
  </si>
  <si>
    <t xml:space="preserve"> INVITATION TO BID  	 The Department of Public Works and Highways-National Capital Region (DPWH-NCR), through  its Bids and Awards Committee (BAC), invites contractors to submit bids for the hereunder Contract: 	  	        Contract ID	20O00004 Contract Nam</t>
  </si>
  <si>
    <t xml:space="preserve"> INVITATION TO BID FOR THE SUPPLY AND DELIVERY OF FOOD AND BEVERAGES FOR CASINO CUSTOMERS, PLAYERS AND GUESTS FOR THREE (3) YEARS FOR RONQUILLO SATELLITE UNDER ITB NO. PB20-06-035COR The Philippine Amusement and Gaming Corporation (PAGCOR) is inviting all </t>
  </si>
  <si>
    <t xml:space="preserve"> Purchase of Bucket Truck Boom for the use of Barangay Bagumbuhay</t>
  </si>
  <si>
    <t xml:space="preserve"> INVITATION TO BID FOR Expansion of Students Athletic Ground (Lot 2-Savings)                 The CAMARINES SUR POLYTECHNIC COLLEGES, through the GAA (Savings)  intends to apply the sum of Eight Hundred Twenty Nine Thousand Two Hundred Thirty Pesos &amp; 15/100</t>
  </si>
  <si>
    <t xml:space="preserve"> Augmentation Bantay Bayan Outpost</t>
  </si>
  <si>
    <t xml:space="preserve"> NOTICE OF PROCUREMENT  (For Posting Purposes in the PhilGEPS and DPWH websites)  19CSZ016- Capacity Development of DPWH Staff in Tunnel Operation and Maintenance and Preparation of Tender Documents for Procurement of Services for the Operation and Mainten</t>
  </si>
  <si>
    <t xml:space="preserve"> Construction of Bridge</t>
  </si>
  <si>
    <t xml:space="preserve"> Construction of Flood Mitigation Structure</t>
  </si>
  <si>
    <t xml:space="preserve"> Nature of Project :      	 Procurement of Security Services for Civil Service Commission Regional Office IV Located at 139 Panay Ave., Barangay South Triangle, Quezon City   Location: 139 Panay Ave., Brgy. South Triangle, Quezon City Approved Budget for t</t>
  </si>
  <si>
    <t xml:space="preserve"> MG-TSE20-032..REHAB/REPAIR OF VARIOUS DEFECTIVE LOW/MEDIUM/HIGH VOLTAGE EQUIPMENT ABC  : P 1,021,500.00 PLACE OF DELIVERY : CMTSD WAREHOUSE DITUCALAN, ILIGAN CITY AMOUNT OF BID DOCUMENTS : P 3,000.00</t>
  </si>
  <si>
    <t xml:space="preserve"> Rehabilitation of Paved Road</t>
  </si>
  <si>
    <t xml:space="preserve"> MG-TSE20-018..METER MULTIFUNCTION CAN MEASURE VOLTAGE, CURRENT, ACTIVE POWER ABC  : P 1,500,000.00 PLACE OF DELIVERY : CMTSD WAREHOUSE DITUCALAN, ILIGAN CITY AMOUNT OF BID DOCUMENTS : P 3,000.00</t>
  </si>
  <si>
    <t xml:space="preserve"> Construction of Flood Mitigation Facility</t>
  </si>
  <si>
    <t xml:space="preserve"> FLOOR STANDING, INVERTER TYPE</t>
  </si>
  <si>
    <t xml:space="preserve"> Invitation to Bid ITB-SSS-Goods-2020-018 SUPPLY, DELIVERY, INSTALLATION INTO OPERATIONAL STATE, AND MAINTENANCE OF AN INVESTMENT MANAGEMENT SYSTEM (IMS) (RE-ADVERTISEMENT) Approved Budget for the Contract (ABC)    : ₱ 66,400,000.00 (inclusive of Value Add</t>
  </si>
  <si>
    <t xml:space="preserve"> Republic of the Philippines Department of Health	 CENTRAL OFFICE BIDS AND AWARDS COMMITTEE  INVITATION TO BID FOR THE  PROCUREMENT OF NVBSP COLLATERALS IB NO. 2020-218 1.	The Department of Health (DOH), through the General Appropriations Act of 2020 and C</t>
  </si>
  <si>
    <t xml:space="preserve"> pls see attached</t>
  </si>
  <si>
    <t xml:space="preserve"> Republic of the Philippines City of Dapitan BIDS AND AWARDS COMMITTEE INVITATION TO BID June 26, 2020 	 The City Government of Dapitan, through its Bids and Awards Committee (BAC), invites interested parties to apply for eligibility and, if found eligible</t>
  </si>
  <si>
    <t xml:space="preserve"> Republic of the Philippines City of Dapitan BIDS AND AWARDS COMMITTEE INVITATION TO BID June 25, 2020 	 The City Government of Dapitan, through its Bids and Awards Committee (BAC), invites interested parties to apply for eligibility and, if found eligible</t>
  </si>
  <si>
    <t xml:space="preserve"> Invitation to Bid for the Consultancy Services for the Training Needs Assessment, Design, Development and Pilot Implementation of Training Programs on MSMEs Resiliency for the Creative Industries Sector: Animation (with development of PTTC trainers) 1.	Th</t>
  </si>
  <si>
    <t xml:space="preserve"> Invitation to Bid for the Consultancy Services for the Training Needs Assessment, Design, Development and Pilot Implementation of Training Programs on MSMEs Resiliency for the Food Manufacturing Sector: Processed Meat Products (with development of PTTC tr</t>
  </si>
  <si>
    <t xml:space="preserve"> Invitation to Bid for the Consultancy Services for the Training Needs Assessment, Design, Development and Pilot Implementation of Training Programs on MSMEs Resiliency for the Creative Industries Sector: Film (with development of PTTC trainers) 1.	The Phi</t>
  </si>
  <si>
    <t xml:space="preserve"> Invitation to Bid for the Consultancy Services for the Training Needs Assessment, Design, Development and Pilot Implementation of Training Programs on MSMEs Resiliency for the Creative Industries Sector: Gaming (with development of PTTC trainers) 1.	The P</t>
  </si>
  <si>
    <t xml:space="preserve"> L=92LM;  W=1M,  T=0.15M</t>
  </si>
  <si>
    <t xml:space="preserve"> Procurement ID/Contract I.D.: 20CN0125 Contract Name: Slope Protection along Nueva Ecija – Aurora Road Contract Location: K0184+800 – K0184+880, K0184+980 – K0185+090 Brief Description: Drainage and Slope Protection Structures Approved Budget for the Cont</t>
  </si>
  <si>
    <t xml:space="preserve"> Procurement ID/Contract I.D.: 20CN0123 Contract Name: Construction of Slope Protection along Baler - Casiguran Road (Dinadiawan-Casiguran Section) Contract Location: K0297+060 – K0297+143, K0297+190 – K0297+300, Casigura, Aurora Brief Description: Drainag</t>
  </si>
  <si>
    <t xml:space="preserve"> Invitation to Bid for the Consultancy Services for the Training Needs Assessment, Design, Development and Pilot Implementation of Training Programs on MSMEs Resiliency for the Lifestyle Sector: Clothing (with development of PTTC trainers) 1.	The Philippin</t>
  </si>
  <si>
    <t xml:space="preserve"> Invitation to Bid for the Consultancy Services for the Training Needs Assessment, Design, Development and Pilot Implementation of Training Programs on MSMEs Resiliency for the Food Manufacturing Sector: Processed Marine Products (with development of PTTC </t>
  </si>
  <si>
    <t xml:space="preserve"> Procurement ID/Contract I.D.: 20CN0124 Contract Name: Slope Protection along Nueva Ecija – Aurora Road Contract Location: K0176+200 – K0176+360 Brief Description: Drainage and Slope Protection Structures Approved Budget for the Contract (ABC): Php 99,000,</t>
  </si>
  <si>
    <t xml:space="preserve"> Procurement ID/Contract I.D.: 20CN0072 Contract Name: Construction of Slope Protection along Nueva Ecija – Aurora Road Contract Location: K0171+150 – K0171+195.52, Aurora Brief Description: Drainage and Slope Protection Structures Approved Budget for the </t>
  </si>
  <si>
    <t xml:space="preserve"> Preventive Maintenance of Road: Asphalt Overlay</t>
  </si>
  <si>
    <t xml:space="preserve"> Procurement ID/Contract I.D.: 20CN0071 Contract Name: Construction of Slope Protection Along Baler – Casiguran Road (Dinadiawan – Casiguran Section) Contract Location: (K0302+490 – K0302+570), Casiguran, Aurora Brief Description: Drainage and Slope Protec</t>
  </si>
  <si>
    <t xml:space="preserve"> Procurement ID/Contract I.D.: 20CN0069 Contract Name: Construction of Slope Protection Along Baler – Casiguran Road (Baler – Dinadiawan Section) Contract Location: (K0259+735 – K0259+775), Casiguran, Aurora Brief Description: Drainage and Slope Protection</t>
  </si>
  <si>
    <t xml:space="preserve"> Procurement ID/Contract I.D.: 20CN0075 Contract Name: Construction of Slope Protection along Nueva Ecija – Aurora Road Contract Location: K0204+325 – K0204+386, Aurora Brief Description: Drainage and Slope Protection Structures Approved Budget for the Con</t>
  </si>
  <si>
    <t xml:space="preserve"> Procurement ID/Contract I.D.: 20CN0070 Contract Name: Construction of Slope Protection Along Baler – Casiguran Road (Dinadiawan – Casiguran Section) Contract Location: K0292+910 – K0292+988, Aurora Brief Description: Drainage and Slope Protection Structur</t>
  </si>
  <si>
    <t xml:space="preserve"> Procurement ID/Contract I.D.: 20CN0067 Contract Name: Construction of Slope Protection Along A. Castañeda – Ma. Aurora San Luis Road Contract Location: (K0198+120 – K0198+171.84), Aurora  Brief Description: Drainage and Slope Protection Structures Approve</t>
  </si>
  <si>
    <t xml:space="preserve"> Contract Location: FIRST DISTRICT OF ALBAY Brief Description: Concreting of Farm to Market Roads Source of Funds: GAA 2020 DPWH OUTSIDE INFRA The BAC is conducting the public bidding for this Contract in accordance with RA 9184 and its Implementing Rules </t>
  </si>
  <si>
    <t xml:space="preserve"> Procurement ID/Contract I.D.: 20CN0068 Contract Name: Construction of Slope Protection Along A. Castañeda – Ma. Aurora San Luis Road Contract Location: (K0211+175 – K0211+310), Aurora  Brief Description: Drainage and Slope Protection Structures Approved B</t>
  </si>
  <si>
    <t xml:space="preserve"> Construction of Concrete Road</t>
  </si>
  <si>
    <t xml:space="preserve"> Construction of Multi-Purposed Building (Tourism Information and Assistance Center) @ Brgy Sapang Uwak, Porac, Pampanga</t>
  </si>
  <si>
    <t xml:space="preserve"> REQUEST FOR EXPRESSION OF INTEREST FOR THE CONDUCT  OF SURFACE AND SUBSURFACE GEOLOGICAL AND GEOTECHNICAL INVESTIGATION OF  OCAMPO  SRIP (REBID), OCAMPO, CAMARINES SUR 1.	 The National Irrigation Administration RO V, Naga City, through the GAA/FSDE CY 201</t>
  </si>
  <si>
    <t xml:space="preserve"> 1.	The DENR-Environmental Management Bureau Region 2, through the ESWM Fund (Fund 101) CY 2020 intends to apply the sum of Two Million Two Hundred Thousand Pesos (P2,200,000.00) the contract for Procurement Of Professional Consulting Service For The Condu</t>
  </si>
  <si>
    <t xml:space="preserve"> The Subic Bay Metropolitan Authority, through the Corporate Budget for the contract approved by the governing board for 2020 intends to apply the sum of Seventy Million Pesos (PHP 70,000,000.00) VAT Exclusive being the Approved Budget for the Contract (AB</t>
  </si>
  <si>
    <t xml:space="preserve"> Purchase of Various Medicines for RHU  *see attached file for the list of medicines</t>
  </si>
  <si>
    <t xml:space="preserve"> Rehabilitation/ Major Repair of Multi – Purpose Building</t>
  </si>
  <si>
    <t xml:space="preserve"> L=5.5LM;  W=7M, FLOORING EMBANKMENT=1M COL. SIZE= 10"X10"</t>
  </si>
  <si>
    <t xml:space="preserve"> INVITATION TO BID FOR SUPPLY AND DELIVERY OF WORKSTATION COMPUTERS  FOR DSWD-UCT NPMO —  ITB NO. GOP/19-DSWD-059-A — (PR NO. 01-20001-PR-2019-11-00121) 1.	The Department of Social Welfare and Development (DSWD), through the DSWD Funds, intends to apply th</t>
  </si>
  <si>
    <t xml:space="preserve"> Republic of the Philippines BOHOL ISLAND STATE UNIVERSITY Main Campus, Tagbilaran City INVITATION TO BID FOR PR NO. 2020-02-0182-MAIN-SUPPLY AND DELIVERY OF STENOGRAPH MACHINE FOR STENOGRAPH LABORATORY OF CBAS 1.	The Bohol Island State University – Main C</t>
  </si>
  <si>
    <t xml:space="preserve"> Republic of the Philippines BOHOL ISLAND STATE UNIVERSITY Main Campus, Tagbilaran City INVITATION TO BID FOR PR NO. 2020-02-0277-MAIN-SUPPLY AND DELIVERY OF STEEL FILING CABINETS FOR  THE DIFFERENT OFFICES 1.	The Bohol Island State University – Main Campu</t>
  </si>
  <si>
    <t xml:space="preserve"> Contract Period: One (1) year subscription period shall commence on the date stipulated in the Notice to Proceed to be issued by the BSP Institute. Bidders should have completed from Y2015 to present a contract similar to the requirement.  The Eligibility</t>
  </si>
  <si>
    <t xml:space="preserve"> Republic of the Philippines BOHOL ISLAND STATE UNIVERSITY Main Campus, Tagbilaran City INVITATION TO BID FOR PR NO. 2020-06-0561-MAIN-SUPPLY AND DELIVERY OF INKS AND TONERS FOR EXISTING PRINTERS OF THE DIFFERENT BISU OFFICES 1.	The Bohol Island State Univ</t>
  </si>
  <si>
    <t xml:space="preserve"> Advertisement/Posting of Invitation to Bid 16 June 2020 Issuance and Availability of Bid Documents 16 June to 06 July 2020 Pre-bid Conference 29 June 2020, 2:00 PM Last Day of Written Clarification 02 July 2020 Last Day of Issuance of Bid Bulletin 06 July</t>
  </si>
  <si>
    <t xml:space="preserve"> Advertisement/Posting of Invitation to Bid 16 June 2020 Issuance and Availability of Bid Documents 16 June to 06 July 2020 Pre-bid Conference 29 June 2020 10:00 AM Last Day of Written Clarification 02 July 2020 Last Day of Issuance of Bid Bulletin 06 July</t>
  </si>
  <si>
    <t xml:space="preserve"> REQUEST FOR EXPRESSION OF INTEREST (REOI) FOR CONSULTING SERVICES  19CSK00041 – Consultancy Services for the Conduct of Geotechnical &amp; Geological Investigation and Survey Works for the Proposed Construction of Sabo Dam on Upper and Lower Dinanggasan River</t>
  </si>
  <si>
    <t xml:space="preserve"> Invitation to Bid For    One (1) Lot Supply, Delivery and Installation of Signages, Acrylic Frame Panels, ATM Sunshade, and Thru-The-Wall ATM Enclosure, including Dismantling of existing signages, when necessary, at Four (4) LANDBANK Branches 1.	The LAND </t>
  </si>
  <si>
    <t xml:space="preserve"> DENR-PENRO Davao de Oro Province INVITATION TO BID FOR THE PURCHASE OF ONE (1) 4X4 PICK-UP VEHICLE; 1.	The DENR-PENRO Davao de Oro, through the Department of Budget &amp; Management (GAA) intends to apply the sum of One Million Five Hundred Thousand Pesos P (</t>
  </si>
  <si>
    <t xml:space="preserve"> NOTICE TO THE PUBLIC REQUEST FOR PROPOSAL Purchase Request No: PUR20-03-0291  The Philippine General Hospital hereby informs the public that it will be procuring the following item/s through Small Value Procurement: 120 cyl Carbon Dioxide 50 lbs/cyl refil</t>
  </si>
  <si>
    <t xml:space="preserve"> INVITATION TO BID  	 The Department of Public Works and Highways-National Capital Region (DPWH-NCR) and Unified Project Management Office - Flood Control Management Cluster (UPMO-FCMC), through the NCR Bids and Awards Committee (NCR-BAC), invites contract</t>
  </si>
  <si>
    <t xml:space="preserve"> INVITATION TO BID The DPWH Bukidnon 1st District Engineering Office, Malaybalay City, through its Bids and Awards Committee (BAC), invites contractors to submit bids for the following Contracts:   			 8	Contract ID 	:	20KA0142 	Contract Name 	:	Constructi</t>
  </si>
  <si>
    <t xml:space="preserve"> Please download the attached file for the RFS, TOR, and Omnibus Sworn Statement form.</t>
  </si>
  <si>
    <t xml:space="preserve"> Department of Agriculture		 BUREAU OF PLANT INDUSTRY 692 San Andres Street Malate, Manila, Philippines E-mail Address: bpibac@yahoo.com Tel. No.: (02) 8526-7859, (02) 8691-0736 | Website: bpi.da.gov.ph SOLICITATION NO.: ITB PR NO. 0952-20BAC  INVITATION T</t>
  </si>
  <si>
    <t xml:space="preserve"> HYDRAULIC OIL	 	 	 HYDRAULIC OIL HYPLUS	 HYDRAULIC OIL, TURBINE OIL T68	 	 HIGH QUALITY ANTI WEAR HYDRAULIC OIL FORTIFIES WITH AN EFFECTIVE ADDITIVE PACKAGE FOR HYDRAULIC SYSTEMS OPERATING UNDER A WIDE RANGE OF TEMPERATURE	 OPERATIONS. COMPATBLE WITH THE </t>
  </si>
  <si>
    <t xml:space="preserve"> Department of Agriculture		 BUREAU OF PLANT INDUSTRY 692 San Andres Street Malate, Manila, Philippines E-mail Address: bpibac@yahoo.com Tel. No.: (02) 8526-7859, (02) 8691-0736 | Website: bpi.da.gov.ph SOLICITATION NO.: ITB PR NO. 0694-20BAC  INVITATION T</t>
  </si>
  <si>
    <t xml:space="preserve"> Department of Agriculture		 BUREAU OF PLANT INDUSTRY 692 San Andres Street Malate, Manila, Philippines E-mail Address: bpibac@yahoo.com Tel. No.: (02) 8526-7859, (02) 8691-0736 | Website: bpi.da.gov.ph SOLICITATION NO.: ITB PR NO. 0698-20BAC  INVITATION T</t>
  </si>
  <si>
    <t xml:space="preserve"> Department of Agriculture		 BUREAU OF PLANT INDUSTRY 692 San Andres Street Malate, Manila, Philippines E-mail Address: bpibac@yahoo.com Tel. No.: (02) 8526-7859, (02) 8691-0736 | Website: bpi.da.gov.ph SOLICITATION NO.: ITB PR NO. 0691-20BAC  INVITATION T</t>
  </si>
  <si>
    <t xml:space="preserve"> INVITATION TO RE-BID FOR THE  SUPPLY AND DELIVERY OF COMPUTER NOTEBOOK PR Nos. 27619-001 to 27619-003 1.	The Metropolitan Cebu Water District, through the Corporate Budget of 2020 intends to apply the sum of: PR No.	Description	Qty.	Unit Price	Approved Bu</t>
  </si>
  <si>
    <t xml:space="preserve"> INVITATION TO RE-BID FOR THE  SUPPLY, DELIVERY, AND INSTALLATION OF FIRE SUPRESSION SYSTEM PR No. 27388-001 1.	The Metropolitan Cebu Water District, through the Corporate Budget of 2020 intends to apply the sum of: PR No.	Description	Qty.	Unit Price	Appro</t>
  </si>
  <si>
    <t xml:space="preserve"> 20F00122 - OO1: Ensure Safe and Reliable National Road System – Bridge Program – Widening of Permanent Bridges – Magsaysay Br. (B00474LZ) along MT Villanueva Ave-Magsaysay Road, Naga City, Camarines Sur 3rd Legislative District</t>
  </si>
  <si>
    <t xml:space="preserve"> Request for Quotation The Bureau of Fisheries and Aquatic Resources, Regional Office No. 5, Fabrica, Bula, Camarines Sur is requesting from prospective suppliers to submit quotation for the Supply and Delivery of FRP Materials, Underwater Fittings and Mar</t>
  </si>
  <si>
    <t xml:space="preserve"> INVITATION TO RE-BID FOR THE  SUPPLY, DELIVERY, AND INSTALLATION OF LOCAL AREA NETWORK (LAN) STRUCTURED CABLING IN THE NEW MSSD BUILDING, TALAMBAN, CEBU CITY PR No. 27608-001 1.	The Metropolitan Cebu Water District, through the Corporate Budget of 2020 in</t>
  </si>
  <si>
    <t xml:space="preserve"> AIRCONDITIONING UNIT CEILING TYPE, 5 HP, 3 TONS AIRCONDITIONING UNIT INVERTER, SPLIT TYPE, 1.5 HP NOTE: WITH FREE INSTALLATION</t>
  </si>
  <si>
    <t xml:space="preserve"> DATA BACKUP STORAGE NETWORK ATTACHED STORAGE (NAS)/DISK STATION, RAID TECHNICAL SPEC: HARDWARE:  CPU: REALTEK RTD 1296 QUADCORE 1.4 GHZ HARDWARE ENCRYPTION ENGINE: YES HARDWARE TRANSCODING ENGINE:     *SUPPORTED CODEC: MPEG-4 PART 2(XVID, DIVX5), MPEG-2, </t>
  </si>
  <si>
    <t xml:space="preserve"> Request for Expression of Interest Consulting Service for the Support and Maintenance of the Business Name Registration System Next Generation (BNRSNextGEN) 1.	The Department of Trade and Industry, through the CY 2020 General Appropriations Act and/or con</t>
  </si>
  <si>
    <t xml:space="preserve"> Department of Agriculture		 BUREAU OF PLANT INDUSTRY 692 San Andres Street Malate, Manila, Philippines E-mail Address: bpibac@yahoo.com Tel. No.: (02) 8526-7859, (02) 8691-0736 | Website: bpi.da.gov.ph SOLICITATION NO.: ITB PR NO. 0697-20BAC  INVITATION T</t>
  </si>
  <si>
    <t xml:space="preserve"> INVITATION TO BID The DPWH Bukidnon 1st District Engineering Office, Malaybalay City, through its Bids and Awards Committee (BAC), invites contractors to submit bids for the following Contracts:   			 7	Contract ID 	:	20KA0141 	Contract Name 	:	Paving of </t>
  </si>
  <si>
    <t xml:space="preserve"> INVITATION TO BID The DPWH Bukidnon 1st District Engineering Office, Malaybalay City, through its Bids and Awards Committee (BAC), invites contractors to submit bids for the following Contracts:   			 6	Contract ID 	:	20KA0140 	Contract Name 	:	Paving of </t>
  </si>
  <si>
    <t xml:space="preserve"> Contract ID: 20-DO-0079 Contract Name: LOCAL PROGRAM - Local Infrastructure Program - Building and Other Structures - Multipurpose/Facilities - Construction of Multi-Purpose Building and Facilities, San Francisco St., Brgy. Patunhay, Cardona, Rizal Contra</t>
  </si>
  <si>
    <t xml:space="preserve"> 4 	Procurement ID/Contract ID		20LC0144 	Contract Name		Construction of Water Systems, Islandwide, IGACOS, Davao del Norte 	Contract Location		IGACOS, Davao del Norte 	Brief Description		Water Filtration System, Clarifier, 8” dia. HDPE Pipelines (Transmis</t>
  </si>
  <si>
    <t xml:space="preserve"> INVITATION TO BID The DPWH Bukidnon 1st District Engineering Office, Malaybalay City, through its Bids and Awards Committee (BAC), invites contractors to submit bids for the following Contracts:   			 4	Contract ID 	:	20KA0138 	Contract Name 	:	Constructi</t>
  </si>
  <si>
    <t xml:space="preserve"> INVITATION TO BID The DPWH Bukidnon 1st District Engineering Office, Malaybalay City, through its Bids and Awards Committee (BAC), invites contractors to submit bids for the following Contracts:   			 3	Contract ID 	:	20KA0137 	Contract Name 	:	Paving of </t>
  </si>
  <si>
    <t xml:space="preserve"> INVITATION TO BID The DPWH Bukidnon 1st District Engineering Office, Malaybalay City, through its Bids and Awards Committee (BAC), invites contractors to submit bids for the following Contracts:   1	Contract ID 	:	20KA0135 	Contract Name 	:	Road Widening </t>
  </si>
  <si>
    <t xml:space="preserve"> Republic of the Philippines DEPARTMENT OF PUBLIC WORKS &amp; HIGHWAYS OFFICE OF THE REGIONAL DIRECTOR Region III Sindalan, City of San Fernando, Pampanga INVITATION TO BID The DPWH-Regional Office No. III,  through  its  Bids  and  Awards  Committee  (BAC),  </t>
  </si>
  <si>
    <t xml:space="preserve"> REPAIR OF PHYTON CAGE NOTE: (FOR JOB ORDER) REQUEST FOR QUOTATION SHALL BE THRU EMAIL DUE TO COVID 19.   YOU CAN DROP YOUR QUOTATIONS AT OUR BID BOX SITUATED IN FRONT OF OUR MAINGATE GUARDHOUSE – AGUS 6/7 HPPC.</t>
  </si>
  <si>
    <t xml:space="preserve"> INVITATION TO BID June 2, 2020 CHINA GEZHOUBA GROUP CORPORATION LIMITED / CHINA GEZHOUBA GROUP MUNICIPAL ENGINEERING CORPORATION LIMITED (JV) Unit 916, High Street South Corporate Plaza Tower1, 26th Street corner 9th Ave., Bonifacio Global City, Taguig Ci</t>
  </si>
  <si>
    <t xml:space="preserve"> INVITATION TO BID The DPWH Bukidnon 1st District Engineering Office, Malaybalay City, through its Bids and Awards Committee (BAC), invites contractors to submit bids for the following Contracts:   			 2	Contract ID 	:	20KA0136 	Contract Name 	:	Paving of </t>
  </si>
  <si>
    <t xml:space="preserve"> INVITATION TO BID June 2, 2020 CHINA STATE CONSTRUCTION ENGINEERING CORPORATION LIMITED / CHINA GEO ENGINEERING CORPORATION (JV) 12F Petron Megaplaza, 358 Gil Puyat Avenue, Makati City  Email address: liuwei@chinaconstruction.com SUBJECT	:	Contract Packag</t>
  </si>
  <si>
    <t xml:space="preserve"> INVITATION TO BID   SUPPLY AND DELIVERY OF 45,000 PAIRS BRAND NEW SOCKS FOR BOOTS, GRAY FOR THE PHILIPPINE AIR FORCE (PAF)  Bid Reference No. MPG-BI-2020-045  Approved Budget for the Contract - ₱3,028,500.00      1. The Philippine International Trading Co</t>
  </si>
  <si>
    <t xml:space="preserve"> INVITATION TO BID  SUPPLY AND DELIVERY OF FOURTEEN (14) SETS BRAND NEW TRACK ASSY (T130) FOR M113 APC OF THE PHILIPPINE ARMY (PA)  Bid Reference No. MPG-B1-2020-002 Approved Budget for the Contract - ₱ 10,769,230.64     1. Philippine International Trading</t>
  </si>
  <si>
    <t xml:space="preserve"> Invitation to Bid For Supply and Delivery of 600 Units Passbook Printer 1.	The LAND BANK OF THE PHILIPPINES (LANDBANK), through its Corporate Budget for the contract approved by the Board of Directors for 2019 intends to apply the total sum of Nine Millio</t>
  </si>
  <si>
    <t xml:space="preserve"> PROVISION OF WATCHMAN SERVICES FROM MARCH 1-DECEMBER 31, 2020</t>
  </si>
  <si>
    <t xml:space="preserve"> Invitation to Bid For One (1) Lot Supply, Delivery, Installation, Testing and Commissioning of Variable Refrigerant Flow (VRF) Air-Conditioning Units at LANDBANK Sta. Cruz Office Building 1.	The LAND BANK OF THE PHILIPPINES (LANDBANK), through its Corpora</t>
  </si>
  <si>
    <t xml:space="preserve"> Procurement ID/Contract I.D.: 20CN0073 Contract Name: Construction of Slope Protection along Nueva Ecija – Aurora Road Contract Location: K0212+155 – K0212+203, Aurora Brief Description: Drainage and Slope Protection Structures Approved Budget for the Con</t>
  </si>
  <si>
    <t xml:space="preserve"> Scope of Works Includes: a.) General requirements b.) Supply and install underground fibre optic network c.) Supply and install traffic signal equipment d.) Supply and install smart surveillance system (hardware and software) e.) Trainings for CCTO person</t>
  </si>
  <si>
    <t xml:space="preserve"> Request for Proposal  The Bureau of Fisheries and Aquatic Resources Regional Office No. 5 (BFAR RO 5), Fabrica, Bula, Camarines Sur is requesting from prospective suppliers to submit written proposal for the Upgrading of Desktop Computer. Quantity	Unit	It</t>
  </si>
  <si>
    <t xml:space="preserve"> Procurement ID/Contract I.D.: 20CN0074 Contract Name: Construction of Slope Protection along Nueva Ecija – Aurora Road Contract Location: K0196+230 – K0196+277, Aurora Brief Description: Drainage and Slope Protection Structures Approved Budget for the Con</t>
  </si>
  <si>
    <t xml:space="preserve"> Invitation to Bid for Project No.: ITB 2020-Infra-006 1.	The Department of Education (DepEd) Division of Calamba City, intends to apply the sum of Two million seven hundred eighty-seven thousand seven hundred fifty-six pesos &amp; 08/100 only (Php.2,787,756.0</t>
  </si>
  <si>
    <t xml:space="preserve"> Invitation to Bid for Project No.: ITB 2020-Infra-005 1.	The Department of Education (DepEd) Division of Calamba City, intends to apply the sum of One million three hundred twenty-nine thousand four hundred twenty-eight pesos &amp; 01/100 only (Php.1,329,428.</t>
  </si>
  <si>
    <t xml:space="preserve"> Invitation to Bid for Project No.: ITB 2020-Infra-007 1.	The Department of Education (DepEd) Division of Calamba City, intends to apply the sum of One million one hundred eighty-seven thousand eight hundred forty-nine pesos &amp; 29/100 only (Php.1,187,849.29</t>
  </si>
  <si>
    <t xml:space="preserve"> Invitation to Bid for Project No.: ITB 2020-Infra-003 1.	The Department of Education (DepEd) Division of Calamba City, intends to apply the sum of Two million three hundred forty thousand eight hundred one pesos &amp; 68/100 only (Php.2,340,801.68) being the </t>
  </si>
  <si>
    <t xml:space="preserve"> Invitation to Bid for Project No.: ITB 2020-Infra-002 1.	The Department of Education (DepEd) Division of Calamba City, intends to apply the sum of Two million six hundred six thousand nine hundred fifty-one pesos &amp; 31/100 only (Php.2,606,951.31) being the</t>
  </si>
  <si>
    <t xml:space="preserve"> 1.	The Philippine Health Insurance Corporation, through the Corporate Operating Budget of CY 2020 intends to apply the sum of Fourteen Million Four Hundred Fifty Eight Pesos Three Hundred Thirty Three Pesos and Fifty Centavos (PhP14,458,333.50) for the fi</t>
  </si>
  <si>
    <t xml:space="preserve"> Invitation to Bid for Project No.: ITB 2020-Infra-004 1.	The Department of Education (DepEd) Division of Calamba City, intends to apply the sum of One million one hundred fourteen thousand seven hundred ninety-three pesos &amp; 99/100 only (Php.1,114,793.99) </t>
  </si>
  <si>
    <t xml:space="preserve"> Invitation to Bid for Project No.: ITB 2020-Infra-001 1.	The Department of Education (DepEd) Division of Calamba City, intends to apply the sum of Three million twenty-five thousand six hundred fifty-seven pesos &amp; 63/100 only (Php.3,025,657.63) being the </t>
  </si>
  <si>
    <t xml:space="preserve"> INVITATION TO BID PROCUREMENT OF OTHER SUPPLIES AND MATERIALS (SUPPLIES AND TOOLS ON SHIELDED METAL ARTS &amp; WELDING) FOR SAN ROQUE NHS (UNDER SCHOOLS DIVISION OFFICE) 	 The City Government of Navotas, through its Bids and Awards Committee, will hold a Publ</t>
  </si>
  <si>
    <t xml:space="preserve"> SUPPLY AND DELIVERY OF BRAND NEW 2,031 PIECES MILITARY BINOCULAR, COMPACT, MODEL 1 FOR THE PHILIPPINE ARMY (PA)   Bid Reference No. MPG-BI 2020-318 4 th  Rebid  (Previous Bid Ref. Nos. MPG-BI-2018-113, MPG-B1-2018-264, Rebid,                              </t>
  </si>
  <si>
    <t xml:space="preserve"> Republic of the Philippines Department of Environment and Natural Resources ENVIRONMENTAL MANAGEMENT BUREAU Region VI, Western Visayas Standard Form Number: SF-GOOD-60				Project Reference No. ________________ Revised on: May 24, 2004					Date of Purchase</t>
  </si>
  <si>
    <t xml:space="preserve"> RE-INVITATION TO BID FOR THE CONSTRUCTION OF VARIOUS 2020 CAPEX INFRASTRUCTURE PROJECTS WITHIN THE PORO POINT FREEPORT ZONE, CITY OF SAN FERNANDO, LA UNION    1. The Poro Point Management Corporation (PPMC), through the approved PPMC Corporate Budget for </t>
  </si>
  <si>
    <t xml:space="preserve"> Republic of the Philippines Department of Environment and Natural Resources ENVIRONMENTAL MANAGEMENT BUREAU Region VI REQUEST FOR QUOTATION (RFQ) PROCUREMENT OF AUTOMATED SOLVENT RECOVERY SYSTEM 2020-RFQ-03-03-135 1.	The Department of Environment and Natu</t>
  </si>
  <si>
    <t xml:space="preserve"> INVITATION TO BID    SUPPLY AND DELIVERY OF ONE LOT BRAND NEW OPHTHALMIC OPERATING MICROSCOPE AND BRAND NEW OPHTHALMIC CHAIR AND STAND FOR THE PHILIPPINE ARMY (PA)   Bid Reference No. MPG-BI-2020-231 Rebid (Previous Bid Reference No. MPG-BI-2019-169)     </t>
  </si>
  <si>
    <t xml:space="preserve"> INVITATION TO BID    SUPPLY AND DELIVERY OF 17 UNITS BRAND NEW MAJOR SURGERY SET AND 25 UNITS BRAND NEW MINOR SURGERY SET FOR THE PHILIPPINE ARMY (PA)  Bid Reference No. MPG-BI-2020-230 Rebid  (Previous Bid Reference No. MPG-BI-2019-166)     1.  The Phili</t>
  </si>
  <si>
    <t xml:space="preserve"> INVITATION TO BID FOR THE SUPPLY, DELIVERY, INSTALLATION, TESTING AND COMMISSIONING OF FIRE SUPPRESSION SYSTEM, 5-KW AIRCON, UPS, DOOR ACCESS CONTROL, TEMPERATURE AND HUMIDITY MONITORING SYSTEM, SERVER RACK AND RETROFITTING OF SERVER ROOM UNDER ITB NO. PB</t>
  </si>
  <si>
    <t xml:space="preserve"> NVITATION TO BID    SUPPLY AND DELIVERY OF BRAND NEW 3,552 PAIRS TANKER SUIT, PHILARPAT FOR THE PHILIPPINE ARMY (PA)   Bid Reference No. MPG-BI-2020-415 Approved Budget for the Contract - ₱ 9,615,264.00     1. The Philippine International Trading Corporat</t>
  </si>
  <si>
    <t xml:space="preserve"> WORK ENVIRONMENT MEASUREMENT		 		 		 		 SCOPE OF WORKS:		 WORK ENVIRONMENT MEASUREMENT FOR THE FOLLOWING:		 PARAMETERS	NO. OF SAMPLING AREA/ STATION	 1.ILLUMINATION	15	 2.NOISE	15	 3.VENTILATION	15	 4.HEAT STRESS	15	 5.RELATIVE HUMIDITY &amp; AIR	15	 6. TOTAL</t>
  </si>
  <si>
    <t xml:space="preserve"> Invitation to Bid For One (1) Lot Supply, Delivery and Installation of 50 Units Thru-The-Wall Cash Deposit Machine with Four (4) – Year Maintenance Package and Spare Parts   1.	The LAND BANK OF THE PHILIPPINES (LANDBANK), through its Corporate Budget for </t>
  </si>
  <si>
    <t xml:space="preserve"> Republic of the Philippines				 				                   Office of the Municipal Mayor				 					       BIDS AND AWARDS COMMITTEE				 					            Sta. Barbara, Pangasinan				 									 					               Invitation to Bid 				 					                    </t>
  </si>
  <si>
    <t xml:space="preserve"> Republic of the Philippines										 BIDS AND AWARDS COMMITTEE										 Province of Pangasinan										 Municipality of Sta. Barbara										 										 Invitation to Bid										  for 										 Improvement of Public Plaza										 Poblacion Norte,</t>
  </si>
  <si>
    <t xml:space="preserve"> INVITATION TO BID    SUPPLY AND DELIVERY OF BRAND NEW 14,871 SETS TOWEL BATH AND FACE, MICROFIBER OD FOR THE PHILIPPINE ARMY (PA)   Bid Reference No. MPG-BI-2020-250 Approved Budget for the Contract - ₱ 8,579,377.32     1. The Philippine International Tra</t>
  </si>
  <si>
    <t xml:space="preserve"> INVITATION TO BID FOR THE REHABILITATION / UPGRADING OF FARM TO MARKET ROAD (SABANGAN PORTION) AT BRGY. SABANGAN, CITY OF ALAMINOS, PANGASINAN 1.	The CITY GOVERNMENT OF ALAMINOS, PANGASINAN through its Development Fund (DF) intends to apply an amount of E</t>
  </si>
  <si>
    <t xml:space="preserve"> Invitation to Bid For   Supply and Delivery of 4,300 pieces Ribbon for EPSON Printer FX2190 and 440 pieces  Genuine Burroughs Black Multiline Print Inkjet Cartridge 1.	The LAND BANK OF THE PHILIPPINES (LANDBANK), through its Corporate Budget for the contr</t>
  </si>
  <si>
    <t xml:space="preserve"> 20	pc	Silicon sealant 3	pail 	flexi bond 6	bag	cement 4	gal 	marine epoxy 10	pc	roller brush, 9" 10	pc	baby roller 10	pc	paint brush, 4" 10	pc	paint brush, 2" 4	pail 	flat latex, white 4	pail 	gloss latex, white 6	gal 	QDE black 1	gal 	QDE white 1	gal 	QD</t>
  </si>
  <si>
    <t xml:space="preserve"> INVITATION TO BID FOR THE EXTENSION OF MULTI-PURPOSE BUILDING AT BRGY. MACATIW, CITY OF ALAMINOS, PANGASINAN 1.	The CITY GOVERNMENT OF ALAMINOS, PANGASINAN through its Special Purpose Appropriation (SPA) intends to apply an amount of Seven Hundred Seventy</t>
  </si>
  <si>
    <t xml:space="preserve"> WATER POTABILITY TESTING	  	  	 25 SAMPLING POINTS ( 3 -  PHYSICO-CHEMICAL AND 22 - MICROBIOLOGICAL TESTS)	 PARAMETERS FOR PHYSIO-CHEMICAL ARE ARSENIC, CADMIUM, LEAD NITRATES, COLOR, TURBIDITY, IRON, Ph, MANGANESE, CHLORIDE, SULFATE AND TOTAL	 DISSOLVED S</t>
  </si>
  <si>
    <t xml:space="preserve"> Invitation to Bid For Additional License for the Existing Solarwinds Servers, Networks, Database and Application Monitoring Tool 1.	The LAND BANK OF THE PHILIPPINES (LANDBANK), through its Corporate Budget for the contract approved by the Board of Directo</t>
  </si>
  <si>
    <t xml:space="preserve"> 50	pc	LED Tube, 18 Watts 30	pc	LED Tube, 9 watts 20	pc	LED Emergency Lights 6	pc	LED Emergency Exit Lights 20	pc	Switch, wide series 20	pc	Floor outlet, wide series 30	pc	LED bulb, 12 watts 10	pc	LED Spot light, 30 watts 150	meter	THHN Cu wire, 2.0 mm sq </t>
  </si>
  <si>
    <t xml:space="preserve"> Invitation to Bid For   Supply and Delivery of 1,100 Units Desktop Computer 1.	The LAND BANK OF THE PHILIPPINES (LANDBANK), through its Corporate Budget for the contract approved by the Board of Directors for 2019 intends to apply the total sum of Forty S</t>
  </si>
  <si>
    <t xml:space="preserve"> Request for Expression of Interest CONSULTING SERVICES FOR THE DETAILED ARCHITECTURAL AND ENGINEERING DESIGN FOR THE UNIVERSITY OF THE PHILIPPINES MINDANAO CSM RESEARCH DEVELOPMENT AND EXTENSION BUILDING Bid Reference No. GPG-B1-2020-309 Rebid (Previous B</t>
  </si>
  <si>
    <t xml:space="preserve"> INVITATION TO BID FOR THE PROCUREMENT OF ONE (1) LOT, THREE (3) YEARS PRIVATE SECURITY AGENCY (PSA) SERVICES FOR CF-DAVAO AND APO VIEW SATELLITE UNDER ITB NO. PB20-03-002DAV The Philippine Amusement and Gaming Corporation (PAGCOR) is inviting all interest</t>
  </si>
  <si>
    <t xml:space="preserve"> INVITATION TO BID   SUPPLY AND DELIVERY OF TWO (2) UNITS BRAND NEW  15-SEATER (MINIMUM) MULTI-PURPOSE VEHICLE (MPV) FOR THE GENERAL  HEADQUARTERS, ARMED FORCES OF THE PHILIPPINES (GHQ, AFP)   Bid Reference No. MPG-BI-2020-286 3rd Rebid (Previous Bid Ref. </t>
  </si>
  <si>
    <t xml:space="preserve"> Qty.	Unit	Description 10	pc	Mechanical Seal, 1 1/4" 10	pc	Coupling, L110, rubber only 10	pc	Coupling, L075, rubber only 10	pc	Fiber Flex 30	pc	Gasket Maker 10	pc	Bearing, sealed type, 6204 24	pc	Fan Belt/V-belt, A 57</t>
  </si>
  <si>
    <t xml:space="preserve"> Republic of the Philippines DEPARTMENT OF HEALTH TALISAY DISTRICT HOSPITAL        (DR. JACINTO VELEZ SR. MEMORIAL HOSPITAL) San Isidro, Talisay City, Cebu (032)273-3226  (032) 273-3226 talisaydistricthospital@gmail.com http://www.tdh.doh.gov.ph INVITAT</t>
  </si>
  <si>
    <t xml:space="preserve"> Request for Quotation for Catering Services for Catering Services for 50 has. Corn Model Farm Launching and Technical Briefing in Toledo City, Cebu 1.	The Department of Agriculture-Regional Field Office 7 (DA-RFO 7), through the General Appropriation Act </t>
  </si>
  <si>
    <t xml:space="preserve"> Republic of the Philippines DEPARTMENT OF HEALTH TALISAY DISTRICT HOSPITAL        (DR. JACINTO VELEZ SR. MEMORIAL HOSPITAL) San Isidro, Talisay City, Cebu (032)273-8785  (032) 273-8785 talisaydistricthospital@gmail.com http://www.tdh.doh.gov.ph INVITAT</t>
  </si>
  <si>
    <t xml:space="preserve"> Contract Location: TABACO CITY, ALBAY Brief Description: REPLACEMENT/CONSTRUCTION OF BRIDGE Source of Funds: GAA CY 2020 DPWH INFRA The BAC is conducting the public bidding for this Contract in accordance with RA 9184 and its Implementing Rules and Regula</t>
  </si>
  <si>
    <t xml:space="preserve"> INVITATION TO BID The National Development Company (NDC), through its Bids &amp; Awards Committee, invites bids for the public bidding of the project specified below: Name of Project          :	4th Public Bidding of the Site Development Works for the NDC Indu</t>
  </si>
  <si>
    <t xml:space="preserve"> Contract Location:  BACACAY, STO. DOMINGO, MALINAO &amp; TABACO CITY, ALBAY Brief Description: WIDENING &amp; CONCRETING OF ROADS Source of Funds: GAA 2020 DPWH INFRA  The BAC is conducting the public bidding for this Contract in accordance with RA 9184 and its I</t>
  </si>
  <si>
    <t xml:space="preserve"> Contract ID: 20-DO-0067 Contract Name: LOCAL PROGRAM - Local Infrastructure Program – Buildings and Other Structures – Multipurpose/Facilities – Construction and/or Repair/ Rehabilitation of Multi-Purpose Building, Brgy. Rizal, Baras, Rizal Contract Locat</t>
  </si>
  <si>
    <t xml:space="preserve"> The DPWH-North Manila District Engineering Office, through its Bids and Awards Committee (BAC) invites contractors to submit bids for the following Contract: 20.	Contract I.D. No. 20OE0173 Contract Name: Rehabilitation / Reconstruction / Improvement of Mu</t>
  </si>
  <si>
    <t xml:space="preserve"> Invitation to Bid For   One (1) Year Courier Services for LANDBANK Credit Cards, Statement of Accounts and Other Credit Card Related Parcels 1.	The LAND BANK OF THE PHILIPPINES (LANDBANK), through its Corporate Budget for the contract approved by the Boar</t>
  </si>
  <si>
    <t xml:space="preserve"> INVITATION TO BID Provision of Security Services for Pag-IBIG Fund Central and Eastern Visayas Branches, Offices and Warehouses covering the period Y2020-2021 The Pag-IBIG Fund Technical and Administrative Support for Central and Eastern Visayas (TAS-CEV)</t>
  </si>
  <si>
    <t xml:space="preserve"> EXECUTIVE CHAIR/SWIVEL CHAIR</t>
  </si>
  <si>
    <t xml:space="preserve"> REPLACEMENT OF FIRE SPRINKLER SYSTEM AND INSTALLATION OF JOCKEY PUMP OF THE DEPARTMENT OF ENVIRONMENT AND NATURAL RESOURCES-CENTRAL OFFICE (DENR-CO) Bid Ref. No. DENR-CO-2020-003 Rebid Approved Budget for the Contract:  25,000,000.00 1.	The   Department o</t>
  </si>
  <si>
    <t xml:space="preserve"> INVITATION TO BID The DPWH-Tarlac 1st District Engineering Office, through its Bids and Awards Committee (BAC), invites contractors to submit bids for the following Contracts: r.	Procurement ID/Contract ID 	: 	20CJ0134 	Contract Name 	: 	Local Infrastruct</t>
  </si>
  <si>
    <t xml:space="preserve"> Contract Location: STO. DOMINGO, MALINAO AND MALILIPOT, ALBAY Brief Description: REHABILITATION/CONSTRUCTION/IMPROV’T OF FLOOD CONTROL Source of Funds: GAA 2020 DPWH INFRA  The BAC is conducting the public bidding for this Contract in accordance with RA 9</t>
  </si>
  <si>
    <t xml:space="preserve"> INVITATION TO BID The DPWH-Tarlac 1st District Engineering Office, through its Bids and Awards Committee (BAC), invites contractors to submit bids for the following Contracts: q.	Procurement ID/Contract ID 	: 	20CJ0133 	Contract Name 	: 	Local Infrastruct</t>
  </si>
  <si>
    <t xml:space="preserve"> INVITATION TO BID  SUPPLY AND DELIVERY OF BRAND NEW 46,894 PIECES UNDERSHIRT, RAGLAN, POLYESTER, SPANDEX, ROUND NECK FOR THE PHILIPPINE ARMY (PA)  Bid Reference No. MPG-BI-2020-251  Approved Budget for the Contract - ₱ 18,035,901.34  1. The Philippine Int</t>
  </si>
  <si>
    <t xml:space="preserve"> INVITATION TO BID The DPWH-Tarlac 1st District Engineering Office, through its Bids and Awards Committee (BAC), invites contractors to submit bids for the following Contracts: f.	Procurement ID/Contract ID 	: 	20CJ0065 	Contract Name 	: 	Flood Management </t>
  </si>
  <si>
    <t xml:space="preserve"> INVITATION TO BID The DPWH Bukidnon 1st District Engineering Office, Malaybalay City, through its Bids and Awards Committee (BAC), invites contractors to submit bids for the following Contracts:   			 5	Contract ID 	:	20KA0139 	Contract Name 	:	Road Widen</t>
  </si>
  <si>
    <t xml:space="preserve"> INVITATION TO BID The DPWH-Tarlac 1st District Engineering Office, through its Bids and Awards Committee (BAC), invites contractors to submit bids for the following Contracts: x.	Procurement ID/Contract ID 	: 	20CJ0140 	Contract Name 	: 	Local Infrastruct</t>
  </si>
  <si>
    <t xml:space="preserve"> Invitation to Bid  for the  Subic-Clark Railway Project Public Bidding No.  19-341-7 1.	The Government of the Philippines (GoP) intends to apply for a Loan from the People’s Republic of China toward the cost of the Subic-Clark Railway Project (SCRP), and </t>
  </si>
  <si>
    <t xml:space="preserve"> INVITATION TO BID The DPWH-Tarlac 1st District Engineering Office, through its Bids and Awards Committee (BAC), invites contractors to submit bids for the following Contracts: u.	Procurement ID/Contract ID 	: 	20CJ0137 	Contract Name 	: 	Local Infrastruct</t>
  </si>
  <si>
    <t xml:space="preserve"> INVITATION TO BID The DPWH-Tarlac 1st District Engineering Office, through its Bids and Awards Committee (BAC), invites contractors to submit bids for the following Contracts: f.	Procurement ID/Contract ID 	: 	20CJ0122 	Contract Name 	: 	Construction / Re</t>
  </si>
  <si>
    <t xml:space="preserve"> INVITATION TO BID  Supply and Installation of New Outdoor Type Electronic LED Billboard in Batangas State University, Pablo Borbon Main I 1.	The Batangas State University, through the Supplemental Budget 2019 (Instructional Services) intends to apply the </t>
  </si>
  <si>
    <t xml:space="preserve"> Contract Name: Continuation of Multi – Purpose Building, Brgy. 259, Tondo, Manila Contract Location: Manila City      Brief Description: Rehabilitation of Multi – Purpose Building      Approved Budget for the Contract (ABC):  Php 14,849,659.73      Source</t>
  </si>
  <si>
    <t xml:space="preserve"> REQUEST FOR QUOTATION Date: February 07, 2019	  RFQ No. MCPD20-002 PR NO. PD2001-20-005 To All Eligible Suppliers Please quote your lowest price inclusive of VAT on the item/s listed below, subject to the Terms and Conditions of this RFQ, for more informa</t>
  </si>
  <si>
    <t xml:space="preserve"> INVITATION TO BID The Department of Public Works and Highways-National Capital Region-Metro Manila 3rd District Engineering Office, through its Bids and Awards Committee (BAC), invites contractors to apply to bid for the following contract/s:   Contract I</t>
  </si>
  <si>
    <t xml:space="preserve"> REQUEST FOR EXPRESSION OF INTEREST (REOI) FOR CONSULTING SERVICES  19CSK00049 – Consultancy Services for the Conduct of Feasibility Study for Misamis Occidental Economic Zone Diversion Road (ReXPRIP-29), Misamis Occidental 1st and 2nd Legislative District</t>
  </si>
  <si>
    <t xml:space="preserve"> REQUEST FOR EXPRESSION OF INTEREST (REOI) FOR CONSULTING SERVICES  19CSK00048 – Consultancy Services for the Conduct of Feasibility Study for Tubod-Kapatagan Bypass Road, Sapad-Pualas Road, Kauswagan-Poona Piagapo-Marantao Road, Balo-i Bypass Road, (ReXPR</t>
  </si>
  <si>
    <t xml:space="preserve"> Procurement of supply and delivery of farm chemicals 		Herbicide with active ingredients: 8	bottle	Selective post-emergence (fluazifop) 1000ml/bot 8	bottle	Pre-emergence (pretilachlor) 1000ml/bot  		Rodenticide: 320	sachet	Acute Rodenticide (Zinc Phosphid</t>
  </si>
  <si>
    <t xml:space="preserve"> Contract ID: 			20GO0038 Contract 	Name: 			 Widening/Improvement/Upgrading of Honorata Manalo  (Buri Road), Brgy. Mandalagan, Bacolod City Contract 	Location: 		 Brgy. Mandalagan, Bacolod City, Negros Occidental Brief Description:                   Widen</t>
  </si>
  <si>
    <t xml:space="preserve"> INVITATION TO BID  SUPPLY OF LABOR AND MATERIALS FOR THE REHABILITATION OF PETROLEUM, OIL AND LUBRICANTS (POL) DUMP AT LOWER CALARIAN, ZAMBOANGA CITY &amp; BATU-BATU, TAWI-TAWI FOR THE PHILIPPINE NAVY (PN)    Bid Ref. No. MPG-B2-2020-005    Approved Budget fo</t>
  </si>
  <si>
    <t xml:space="preserve"> Procurement of supply and delivery of services for equipment calibration 11	unit	Single Channel Pipettor 5	unit	Multi Channel Pipettor 5	unit	Incubator/Oven 2	unit	Refrigerator 		PAB Certified Calibrator PR# 2020-268</t>
  </si>
  <si>
    <t xml:space="preserve"> INVITATION TO BID FOR THE CONSTRUCTION OF WINGS OF MULTI-PURPOSE BUILDING AT BRGY. TELBANG, CITY OF ALAMINOS, PANGASINAN 1.	The CITY GOVERNMENT OF ALAMINOS, PANGASINAN through its Development Fund intends to apply an amount of One Million Seven Hundred Fo</t>
  </si>
  <si>
    <t xml:space="preserve"> INVITATION TO BID FOR THE CONSTRUCTION OF MULTI-PURPOSE BUILDING AT BRGY. TANGCARANG, CITY OF ALAMINOS, PANGASINAN 1.	The CITY GOVERNMENT OF ALAMINOS, PANGASINAN through its Special Purpose Appropriation (SPA) intends to apply an amount of Two Million Fiv</t>
  </si>
  <si>
    <t xml:space="preserve"> INVITATION TO BID SUPPLY AND DELIVERY OF 45 HEADS EXPLOSIVE DETECTION DOGS WITH ACCESSORIES AND TRAINING FOR 45 PERSONNEL  FOR THE PHILIPPINE NATIONAL POLICE (PNP) Bid Reference No.: GPG-B1-2020-107 Approved Budget for the Contract: ₱22,248,000.00 1.	The </t>
  </si>
  <si>
    <t xml:space="preserve"> INVITATION TO BID    PROCUREMENT OF PITC JANITORIAL AND ALLIED SERVICES REQUIREMENT FOR THREE (3) YEARS    Bid Ref. No. ASD-B1-2020-315 2nd Rebid  (Prev. Bid Ref. Nos. ASD-B1-2019-440 Rebid &amp; ASD-B1-2019-155)    Approved Budget for the Contract – ₱ 4,630,</t>
  </si>
  <si>
    <t xml:space="preserve"> Lot 1 (Lot 6 Rebid)  REPAIR OF CLASSROOMS AT LANAO DEL NORTE PROVINCIAL SCIENCE AND TECHNOLOGY HS,TUBOD,LDN	 ABC Php3,759,553.34	 Contract Days: 90 CD	 Cost of Bidding Documents: Php5,000.00 The bidding shall be governed by the Implementing Rules and Regu</t>
  </si>
  <si>
    <t xml:space="preserve"> Republic of the Philippines Department of Environment and Natural Resources ENVIRONMENTAL MANAGEMENT BUREAU Region VI REQUEST FOR QUOTATION (RFQ) PROCUREMENT OF FIBER OPTIC PROBE FOR UV-VIS  RFQ NO. 2020-RFQ-03-124 1.	The Department of Environment and Nat</t>
  </si>
  <si>
    <t xml:space="preserve"> INVITATION FOR NEGOTIATION  SUPPLY AND DELIVERY OF VARIOUS BRAND NEW SERVICE VEHICLES  FOR THE PHILIPPINE INTERNATIONAL TRADING CORPORATION   BAC Nego Ref. No. ASD-B1-2020-316 (Previous Bid Ref. Nos. ASD-B1-2018-607 and ASD-B1-2019-153 Rebid)    1. The Ph</t>
  </si>
  <si>
    <t xml:space="preserve"> A. Clearing. Layout and false works B. Excavation C. Concrete Line Canal with Concrete Cover and Concrete Shoulder D. Concrete Line Canal</t>
  </si>
  <si>
    <t xml:space="preserve"> Contract Name: Construction of Retention Basin at Estero de Sampaloc, Manila City Contract Location: Sampaloc, Manila      Brief Description: Construction of Retention Basin at Estero de Calubcob      Approved Budget for the Contract (ABC):  Php 48,999,86</t>
  </si>
  <si>
    <t xml:space="preserve"> CLARK DEVELOPMENT CORPORATION Clark Freeport Zone, Philippines INVITATION TO BID The Clark Development Corporation, through its Bids and Awards Committee (BAC), invites video production companies to bid for the hereunder project: Name of Project	:	PRODUCT</t>
  </si>
  <si>
    <t xml:space="preserve"> Republic of the Philippines										 BIDS AND AWARDS COMMITTEE										 Province of Pangasinan										 Municipality of Sta. Barbara										 										 Invitation to Bid										  for 										 Construction of One Storey Commercial Stall										 </t>
  </si>
  <si>
    <t xml:space="preserve"> PLS. SEE ATTACHMENT          The Schedule of BAC activities are as follows:								 								 BAC Activities					Schedule			 1	Advertisement/Posting of IAEB				March 16-23, 2020			 2	Receipt of Letter of Intent							 3	Eligibility Check				Arpil 6, 2020		</t>
  </si>
  <si>
    <t xml:space="preserve"> REQUEST FOR EXPRESSION OF INTEREST (REOI) FOR CONSULTING SERVICES  19CSK00047 – Consulting Services for the Conduct of Feasibility Study for Region X Priority Road Infrastructure Projects-27 (REXPRIP-27) a.	PIA Bypass Road, Misamis Oriental 2nd Legislativ</t>
  </si>
  <si>
    <t xml:space="preserve"> INVITATION TO BID    SUPPLY AND DELIVERY OF 9,615 BRAND NEW INDIVIDUAL FIRST AID KITSFOR THE PHILIPPINE ARMY (PA)  Bid Reference No. MPG-B1-2019-416    Approved Budget for the Contract – P 36,663,533.40   1.  The Philippine International Trading Corporati</t>
  </si>
  <si>
    <t xml:space="preserve"> INVITATION TO BID The DPWH-Regional Office No. III,  through  its  Bids  and  Awards  Committee  (BAC),  invites contractors to submit bids for the following Contracts below:   Procurement ID/Contract ID:    20C00042 Contract Name:      Local Program-Cons</t>
  </si>
  <si>
    <t xml:space="preserve"> SEE ATTACHED INVITATION TO BID, CHECKLISTS, BIDDING DOCUMENTS, STANDARD BIDDING FORMS AND PLANS</t>
  </si>
  <si>
    <t xml:space="preserve"> 1. Pre-procurement	May 7, 2020 2. Advertisement/Posting of IBEI	May 8-14, 2020 3.  Eligibility Check	May 15-16, 2020 4. Issuance and availability of Bidding Documents	May 18-June 1, 2020 5. Pre-Bid Conference 	May 19, 2020 6. Submission and Opening of Bid</t>
  </si>
  <si>
    <t xml:space="preserve"> INVITATION TO RE-BID FOR THE  SUPPLY AND DELIVERY OF GIS DESKTOP SOFTWARE PR No. 27611-001  1.	The Metropolitan Cebu Water District, through the Corporate Budget of 2020 intends to apply the sum of: PR No.	Description	Qty.	Unit Price	Approved Budget  for </t>
  </si>
  <si>
    <t xml:space="preserve"> Contract Location: TIWI, ALBAY Brief Description: REHABILITATION/RECONSTRUCTION OF ROAD SLIPS Source of Funds: GAA 2020 DPWH INFRA  The BAC is conducting the public bidding for this Contract in accordance with RA 9184 and its Implementing Rules and Regula</t>
  </si>
  <si>
    <t xml:space="preserve"> DESCRIPTION	UNIT	QUANTITY PART A	FACILITIES FOR THE ENGINEER		 A.1.1(10)	PROVISION OF LIVING QUARTER FOR THE ENGINEER (RENTAL BASIS)	MO.	2.87 PART B	OTHER GENERAL REQUIREMENTS		 B.4(1)	CONSTRUCTION SURVEY &amp; STAKING	KM.	1.006 B.5	PROJECT BILLBOARD	EACH	4.0</t>
  </si>
  <si>
    <t xml:space="preserve"> 1 Unit Procurement of Works for the establishment of wood vinegar facility Location: Region VI Please see attached Program of Works and Detailed Estimate PR# 2020-76</t>
  </si>
  <si>
    <t xml:space="preserve"> Invitation to Bid and Bidding Documents</t>
  </si>
  <si>
    <t xml:space="preserve"> 1.	The Development Bank of the Philippines (DBP), through the Corporate Budget for CY 2020 intends to apply the sum of Two Million Five Hundred Thousand Pesos (Php2,500,000.00) inclusive of taxes/VAT being the Approved Budget for the Contract (ABC) to pay</t>
  </si>
  <si>
    <t xml:space="preserve"> Invitation to Bid For One (1) Year Support and Maintenance of Single Back-up Systems Solution for Midrange and Enterprise Platforms 1.	The LAND BANK OF THE PHILIPPINES (LANDBANK), through its Corporate Budget for the contract approved by the Board of Dire</t>
  </si>
  <si>
    <t xml:space="preserve"> Republic of the Philippines                   Department of Health	       CENTRAL OFFICE BIDS AND AWARDS COMMITTEE  INVITATION TO BID FOR THE PROCUREMENT OF LINK LOAD BALANCER IB NO. 2020-219 1.	The Department of Health (DOH), through the General Appropri</t>
  </si>
  <si>
    <t xml:space="preserve"> REPAIR / REPLACEMENT OF DEFECTIVE CCTV CAMERA AT AGUS 7 SPILLWAY</t>
  </si>
  <si>
    <t xml:space="preserve"> Seven (7) units Motorcycles See attached link under OTHER INFORMATION BOX</t>
  </si>
  <si>
    <t xml:space="preserve"> 1.	The General Mariano Alvarez Water District (GMAWD), through the GMAWD General Fund, intends to apply the sum of TWO MILLION SEVEN HUNDRED TWENTY NINE THOUSAND PESOS (Php2,729,000.00) being the Approved Budget for the Contract (ABC) to payments under th</t>
  </si>
  <si>
    <t xml:space="preserve"> Procurement ID/Contract I.D.: 20CN0126 Contract Name: Slope Protection along Nueva Ecija – Aurora Road Contract Location: (K0190+740 – K0190+890), (K0191+211 – K0191+260) Brief Description: Drainage and Slope Protection Structures Approved Budget for the </t>
  </si>
  <si>
    <t xml:space="preserve"> Invitation to Bid For Three (3) Years Hardware Maintenance and License Subscription of Axway Secure Transport Server 1.	The LAND BANK OF THE PHILIPPINES (LANDBANK), through its Corporate Budget for the contract approved by the Board of Directors for 2020 </t>
  </si>
  <si>
    <t xml:space="preserve"> Procurement ID/Contract I.D.: 20CN0066 Contract Name: Construction of Slope Protection along Madela – Dinadiawan Road Contract Location: K0410+100 – K0410+146, Aurora  Brief Description: Drainage and Slope Protection Structures Approved Budget for the Con</t>
  </si>
  <si>
    <t xml:space="preserve"> DPWH – La Union First District Engineering Office Lingsat, San Fernando City, La Union INVITATION TO BID The DPWH – La Union First District Engineering Office, through its Bids and Awards Committee (BAC), invites contractors to submit bids for the followi</t>
  </si>
  <si>
    <t xml:space="preserve"> 1.	The OFFICE OF CIVIL DEFENSE, through the OCD CY 2019 – Capital Outlay (Continuing Appropration), intends to apply the sum of Fifty Eight Million Six Hundred Fifty Seven Thousand Five Hundred Fifty Three Pesos (PHP58,657,553.00) being the Approved Budge</t>
  </si>
  <si>
    <t xml:space="preserve"> Purchase request submitted by Ma. Theresa Alejandrino  1 unit	 ELECTRIC STERILIZER ABC is Php 150,000.00</t>
  </si>
  <si>
    <t xml:space="preserve"> INVITATION TO BID: 1. Project Title: Repair/Rehabilitation of Building and Structure (Improvement of Physical Planning and Development Office, Bids and Awards Committee &amp; Procurement Management Office) 2. Approved Budget for the Contract: Php 1,403,855.73</t>
  </si>
  <si>
    <t xml:space="preserve"> 1458.93 cu.m Pipeline Excavation 6871.7  Lm  Installation ofPipelines &amp; Fittings 90.00  cu.m  Sand Bedding 1635.68  cu.m Backfilling and Compaction  5.00 units Blow Off Valve Assembly &amp; Air Release Valve 16.00  units Installation of Stubout 2.00  units Si</t>
  </si>
  <si>
    <t xml:space="preserve"> Contract Location:  FIRST DISTRICT OF ALBAY Brief Description: CONSTRUCTION OF WATER SYSTEM Source of Funds: GAA 2020 DPWH INFRA  The BAC is conducting the public bidding for this Contract in accordance with RA 9184 and its Implementing Rules and Regulati</t>
  </si>
  <si>
    <t xml:space="preserve"> INVITATION TO BID: 1. Project Title: Construction of Academic and Office Building Phase I,  PUP  Rizal  Campus,  S.H.  Loyola  Street,  Sampaloc,  Manila  (Using  a  Design  and Build  Scheme) 2. Approved Budget for the Contract: Php 69,682,190.00 3. Pre-</t>
  </si>
  <si>
    <t xml:space="preserve"> INVITATION TO BID 1)	The DPWH- Davao City District Engineering Office through its Bids and Awards Committee (BAC), invites contractors to submit bids for the following contract; 1. Procurement ID /          Contract ID No.	:	20LB0182     Contract Name	:	C</t>
  </si>
  <si>
    <t xml:space="preserve"> INVITATION TO BID: 1.  Project Title:  Repair/Rehabilitation of Comfort Rooms At Ground Floor Charlie Del Rosario 2.  Approved Budget for the Contract:  Php 1,958,914.14 3.  Pre-bid Conference: on July 8, 2020 1:00 p.m. at Bulwagang Balagtas, 4th Floor, N</t>
  </si>
  <si>
    <t xml:space="preserve"> 2.	Contract ID: 20EI0182 Contract Name: Construction of Evacuation Center, Barangay San Juan,  Location: Bongabong, Oriental Mindoro Brief Description: Construction of 1 unit Building.  Approved Budget for the Contract (ABC): PhP 34,740,000.00 Source of F</t>
  </si>
  <si>
    <t xml:space="preserve"> C O R R E C T E D C O P Y H E A D Q U A R T E R S P H I L I P P I N E   A R M Y OFFICE OF THE PHILIPPINE ARMY BIDS AND AWARDS COMMITTEE 1 Fort Andres Bonifacio, Metro Manila ITB 006-20									29 June 2020 Invitation to Bid The Armed Forces of the Philipp</t>
  </si>
  <si>
    <t xml:space="preserve"> Invitation to Bid 1.	The MUNICIPAL GOVERNMENT OF SAN VICENTE, PALAWAN, through the 20% Development Fund CY 2020 intends to apply the sum of  ONE MILLION NINE HUNDRED FIVE THOUSAND PESOS (Php 1,905,000.00) being the Approved Budget for the Contract (ABC) t</t>
  </si>
  <si>
    <t xml:space="preserve"> Invitation to Bid  PROCUREMENT OF REPAIR AND REHABILITATION OF VARIOUS SCHOOL BUILDING (REPAIR OF 11 CLASSROOMS) IN SINALOC ELEMENTARY SCHOOL Project 2020-03-0023 1.	The Department of Education, Division of El Salvador City, through the General Appropriat</t>
  </si>
  <si>
    <t xml:space="preserve"> Installation of Artesian Well</t>
  </si>
  <si>
    <t xml:space="preserve"> L=92LM;  W=1M;  T=0.15M</t>
  </si>
  <si>
    <t xml:space="preserve"> INVITATION TO BID FOR PROVISION OF MULTI-YEAR CONTRACT FOR THE HIRING OF SERVICE PROVIDER FOR TERMITE TREATMENT AND GENERAL PEST CONTROL OF DSWD CENTRAL OFFICE AND OTHER SATELLITE OFFICES                                                          FOR CY 202</t>
  </si>
  <si>
    <t xml:space="preserve"> Concreting of  Alley Roads</t>
  </si>
  <si>
    <t xml:space="preserve"> INVITATION TO BID: 1. Project Title: Repair/Rehabilitation of Comfort Rooms At 3rd Floor, North And West Wing, Academic Bldg. 2. Approved Budget for the Contract: Php 1,509,556.47 3. Pre-bid Conference: on July 8, 2020 1:00 p.m. at Bulwagang Balagtas, 4th</t>
  </si>
  <si>
    <t xml:space="preserve"> Continuation Development Center</t>
  </si>
  <si>
    <t xml:space="preserve"> INVITATION TO BID The Department of Public Works and Highways - Pampanga 1st District Engineering Office, through its Bids and Awards Committee (BAC), invites contractors to submit bids for the following Contract: 1.	 Procurement ID/Contract ID	:	20CG0217</t>
  </si>
  <si>
    <t xml:space="preserve"> Republic of the Philippines Province of Cavite City of General Trias Invitation to Bid for  Project Reference No. INFR-20-018– CONSTRUCTION OF MAIN CITY HEALTH CENTER (PHASE II) AT BARANGAY PINAGTIPUNAN, CITY OF GEN. TRIAS, CAVITE 1.	The City Government U</t>
  </si>
  <si>
    <t xml:space="preserve"> This project entails site works, concrete works, masonry works, rubble concrete and others located at Sitio Canamucan, Aguada Sur funded from CDF 2019 Continuing Appropriation.</t>
  </si>
  <si>
    <t xml:space="preserve"> This project entails improvement of second floor area (concreting works, masonry works, electrical works and windows). This project is located at the Municipal Health Center, Binisitahan Sur, funded from CDF 2020.</t>
  </si>
  <si>
    <t xml:space="preserve"> This project entails purchase of six (6) sets of diorama depicting the culture and history of Magallanes. This project will be setup at the Heritage Center of Magallanes, LGU Compound, funded from CDF 2020.</t>
  </si>
  <si>
    <t xml:space="preserve"> INVITATION TO BID FOR  SUPPLY AND DELIVERY OF COCONUT COIR-BASED ORGANIC FERTILIZERS (CCBOF) UNDER CFP CY 2020 1.	The Philippine Coconut Authority (PCA) Region V, through the Corporate Budget for CY 2020 intends to apply the sum as indicated below being t</t>
  </si>
  <si>
    <t xml:space="preserve"> Supply and Delivery of Spare Parts, &amp; Supply and Delivery of Materials and Tools for Repainting of Service Vehicles and Heavy Equipments.</t>
  </si>
  <si>
    <t xml:space="preserve"> I - Demolition/Removal/Chipping/paint Peeling/Excavation II - Concreting of Flooring @ Kitchen Stock &amp; Preparation  III - Tile Works IV - Ceiling Works (Kitchen &amp; Chimney) V - Fabrication/Installation of Scaffoldings VI - Re-painting (interior ceiling, In</t>
  </si>
  <si>
    <t xml:space="preserve"> Republic of the Philippines Province of Occidental Mindoro Municipality of Sta. Cruz INVITATION TO BID The Municipality of Sta. Cruz, through its Bids and Awards Committee (BAC), invites qualified contractors to bid for the construction of hereunder progr</t>
  </si>
  <si>
    <t xml:space="preserve"> H E A D Q U A R T E R S P H I L I P P I N E  A R M Y OFFICE OF THE PA BIDS AND AWARDS COMMITTEE-2 Fort Andres Bonifacio, Metro Manila 								13 July 2020 INVITATION TO BID The Armed Forces of the Philippines, through the Philippine Army Bids and Awards C</t>
  </si>
  <si>
    <t xml:space="preserve"> ALBAY 3RD DISTRICT ENGINEERING OFFICE																																																									 Paulog, Ligao City																																																									 																																																									 																										</t>
  </si>
  <si>
    <t xml:space="preserve"> INVITATION TO BID FOR  Supply and Delivery of Inorganic Fertilizers under CFP CY 2020 1.	The Philippine Coconut Authority (PCA) Region V, through the Corporate Budget for CY 2020 intends to apply the sum as indicated below being the Approved Budget for th</t>
  </si>
  <si>
    <t xml:space="preserve"> Republic of the Philippines PROVINCE OF ZAMBOANGA SIBUGAY Municipality of Olutanga INVITATION TO BID FOR CONSTRUCTION OF MULTI-PURPOSE BUILDING/GOVERNMENT CENTER 1.	The Local Government Unit of Olutanga Zamboanga Sibugay, through the Loan proceed from Lan</t>
  </si>
  <si>
    <t xml:space="preserve"> Invitation to Bid for SUPPLY AND DELIVERY OF OFFICE EQUIPMENT  FOR MDRRM OFFICE The Municipal Government of Looc, Romblon, through the AO NO 021-2020 Supplemental Appropriation intends to apply the sum of Two Hundred Twenty-Three Thousand Pesos Only (P 22</t>
  </si>
  <si>
    <t xml:space="preserve"> Improvement of Brgy. Road,(Slope Protection)Brgy. Cunsad, Alimodian Iloilo</t>
  </si>
  <si>
    <t xml:space="preserve"> Concrete 2 - Storey Commercial Building</t>
  </si>
  <si>
    <t xml:space="preserve"> Construction of Cable Pipe Support</t>
  </si>
  <si>
    <t xml:space="preserve"> 13.60m x 36.00m Building with 4.0m x 9.0m Office Building</t>
  </si>
  <si>
    <t xml:space="preserve"> 4 kits Alpha-Globin StripAssay Delivery Term: Within 2 weeks upon written advice of end user General Conditions: 1. All entries must be typewritten or in print. 2. Price validity shall be for a period of 90 calendar days. 3. PhilGEPS Registration Certific</t>
  </si>
  <si>
    <t xml:space="preserve"> Barangay New Clarin, Union, Dolo and Sto. Niño Please see attached ITB and RFQ in Associated Component Section for Specifications</t>
  </si>
  <si>
    <t xml:space="preserve"> Invitation to Bid The Armed Forces of the Philippines, through the Philippine Army Special Bids and Awards Committee (PASBAC), invites all suppliers/manufacturers/distributors to bid for the following items: Nomenclature/Activity		  A B C		    PRE-BID		  </t>
  </si>
  <si>
    <t xml:space="preserve"> Invitation to Bid for SUPPLY AND DELIVERY OF IT EQUIPMENT FOR RHU The Municipal Government of Looc, Romblon, through the AO NO 021-2020 Supplemental Appropriation intends to apply the sum of Seventy-Five Thousand Pesos Only (P 75,000.00) being the Approve</t>
  </si>
  <si>
    <t xml:space="preserve"> DRUGS AND MEDICINES - MHO (20-07-1030) 1	288	bottle	Paracetamol, 125mg/5ml, 60ml 2	432	bottle	Paracetamol, 250mg/5ml, 60ml 3	10000	tab	Paracetamol, 500mg/tab 4	7500	tab	Cetrizine, 10mg/tab 5	576	syrup	Cetrizine, 5mg/5ml syrup, 60ml 6	432	bottle	Cetirizine</t>
  </si>
  <si>
    <t xml:space="preserve"> Invitation to Bid for SUPPLY AND DELIVERY OF AIR CONDITIONER FOR SANGGUNIANG BAYAN OFFICE AND SESSION HALL The Municipal Government of Looc, Romblon, through the AO NO 021-2020 Supplemental Appropriation intends to apply the sum of One Hundred Fifty-Five </t>
  </si>
  <si>
    <t xml:space="preserve"> INVITATION TO BID FOR  1.	The Municipal Government of Coron, Palawan, through the 2020 Annual Municipal Budget intends to apply the sum of Two Million Pesos (PhP2,000,000.00) being the Approved Budget for the Contract (ABC) to payments under the contract </t>
  </si>
  <si>
    <t xml:space="preserve"> REPAIR OF DAMAGED PORT FACILITIES, PORT OF LIMASAWA, LIMASAWA ISLAND, SO. LEYTE      The Philippine Ports Authority, Port Management Office – Western Leyte/Biliran, through the Corporate Budget of the Authority for CY 2019, intends to apply the sum of   S</t>
  </si>
  <si>
    <t xml:space="preserve"> 3 UNITS COLLAPSIBLE TENT 3 X 4 2 UNITS COLLAPSIBLE TENT 3 X 6</t>
  </si>
  <si>
    <t xml:space="preserve"> INVITATION TO BID     20-085 Name of Project	:	BP Apparatus with Stethoscope and Portable Nebulizer for Donation to Different Barangays and Municipalities in the Province of Laguna Location	:	Various Barangays and Municipalities in the Province of Laguna </t>
  </si>
  <si>
    <t xml:space="preserve"> INVITATION TO BID     20-084 Name of Project	:	Laboratory Supplies for LPH-Majayjay District Hospital for 3rd and 4th Quarter Location	:	Majayjay, Laguna  Brief Description	:	Various Laboratory Supplies Approved Budget For the Contract	:	1,155,284.00 Deli</t>
  </si>
  <si>
    <t xml:space="preserve"> Republic of the Philippines BOHOL ISLAND STATE UNIVERSITY Main Campus, Tagbilaran City INVITATION TO BID FOR SUPPLY AND DELIVERY OF OFFICE TABLES AND CHAIRS FOR DIFFERENT OFFICES (PR NO. 2020-02-0311, 2020-03-0450, 2020-02-0371, 2020-02-0231, 2020-02-0130</t>
  </si>
  <si>
    <t xml:space="preserve"> Republic of the Philippines BOHOL ISLAND STATE UNIVERSITY Main Campus, Tagbilaran City INVITATION TO BID FOR SUPPLY AND DELIVERY OF CONFERENCE TABLES AND CHAIRS (PR NO. 2020-02-0311, 2020-02-0274, 2020-03-0450) 1.	The Bohol Island State University – Main </t>
  </si>
  <si>
    <t xml:space="preserve"> BIDS AND AWARDS COMMITTEE (BAC) Email address: bacregion2@yahoo.com Telefax No.: (078) 304-0560 INVITATION TO BID ITB No.: 2020-07-28 The Department of Agriculture – Regional Field Office No. 02 (DA-RFO 02) through its Bids and Awards Committee (BAC) invi</t>
  </si>
  <si>
    <t xml:space="preserve"> 130 BAGS 16-20-0</t>
  </si>
  <si>
    <t xml:space="preserve"> OPENING OF BIDS IN DSWD FO IX ZAMBOANGA CITY								 	DELIVERY IN DSWD-PCDP , MAMPANG ZAMBOANGA CITY								 	PROCUREMENT FOR THE FF.: 								 100	KILOS	BANANA LAKATAN		@	 130.00  75	KILOS	GRAPES SEEDLESS		@	 200.00  75	CASE	ORANGE PONKAN -100 PCS./CASE	</t>
  </si>
  <si>
    <t xml:space="preserve"> Concreting of Road Phase II - Purok Bituon, Tagdangua</t>
  </si>
  <si>
    <t xml:space="preserve"> 2 UNITS AIRCONDITIONER, 3TR FLOOR MOUNTED     NONE- INVERTER    220V-230V, 60H2    1 PHASE WITH COMPLETE STANDARD ACCESSORIES 2 UNITS- LABOR AND INSTALLATION</t>
  </si>
  <si>
    <t xml:space="preserve"> Invitation to Bid for SUPPLY AND DELIVERY OF DISASTER EQUIPMENT The Municipal Government of Looc, Romblon, through the AO NO 018-2019 Regular intends to apply the sum of Two Hundred Fifty-Five Thousand Seven Hundred Eighty Pesos &amp; 07/100 Only (P 255,780.0</t>
  </si>
  <si>
    <t xml:space="preserve"> CONCRETING OF ML QUEZON STREET</t>
  </si>
  <si>
    <t xml:space="preserve"> Please attached TOR (Bid Documents)</t>
  </si>
  <si>
    <t xml:space="preserve"> 1. The Local government Unit of Jipapad, Eastern Samar through the 20% EDF (2020) intends to apply the sum of One Million Three Hundred Thirty-Six Thousand Two Hundred Fifty-Three Pesos and Sixty-Three Centavos (P1,336,253.63) being the Approved Budget fo</t>
  </si>
  <si>
    <t xml:space="preserve"> INVITATION TO BID FOR  SUPPLY AND DELIVERY OF MEALS AND SNACKS and Facilitator’s Accommodation for Basic Skills Training in Dressmaking and Beads Making 1.	The Barangay Doroluman, through the 2017 Trust Fund  intends to apply the sum of Sixty-Four Thousan</t>
  </si>
  <si>
    <t xml:space="preserve"> INVITATION TO BID FOR  SUPPLY AND DELIVERY OF TRAINING MATERIALS with 8-units SEWING MACHINE and STARTER-KIT FOR THE BASIC SKILLS TRAINING IN DRESSMAKING AND BEADS MAKING 1.	The Barangay Doroluman, through the Trust Fund  intends to apply the sum of One H</t>
  </si>
  <si>
    <t xml:space="preserve"> The Local Government Unit of CONNER, through the 20% Development Fund 2018 intends to apply the sum of Seven Hundred Seventy-Five Thousand Two Hundred Forty-Six Pesos and 25/100 Centavos Only (₱ 775,246.25) being the Approved Budget for the Contract (ABC)</t>
  </si>
  <si>
    <t xml:space="preserve"> Construction of School Building</t>
  </si>
  <si>
    <t xml:space="preserve"> The rehabilitation of the SK Office for a more conducive workplace and an accommodating place for the youth of Calinan.</t>
  </si>
  <si>
    <t xml:space="preserve"> Mental Health Medicines</t>
  </si>
  <si>
    <t xml:space="preserve"> Drainage Improvement Project - Townsite, Kingking, Pantukan (by Contract)</t>
  </si>
  <si>
    <t xml:space="preserve"> I. CONCRETE WORKS - 1.00 LOT II. HARDWARE MATERIALS - 1.00 LOT III. CARPENTRY WORKS - 1.00 LOT</t>
  </si>
  <si>
    <t xml:space="preserve"> CONCRETING OF SOMINOT NATIONAL HICH SCHOLL ACCESS ROAD</t>
  </si>
  <si>
    <t xml:space="preserve"> The Local Government Unit of CONNER, through the 20% DF 2020 intends to apply the sum of Two Hundred Seventy Eight Thousand Nine Hundred Twenty Nine Pesos and 34/100 Centavos Only (₱ 278,929.34) being the Approved Budget for the Contract (ABC) to payments</t>
  </si>
  <si>
    <t xml:space="preserve"> I. PROJECT BILLBOARD - 1.00 LOT II. CONSTRUCTION SAFETY AND HEALTH - 1.00 LOT III. DEMOLITION OF WORKS - 156.80 SQ.M IV. REHABILITATION OF CATCH BASIN &amp; ELEVATED TANK - 1.00 LOT V. WELL DRILLING AND DEVELOPMENT  - 355.72 KGS VI. DISTRIBUTION PIPELINE - 31</t>
  </si>
  <si>
    <t xml:space="preserve"> Republic of the Philippines DEPARTMENT OF PUBLIC WORKS AND HIGHWAYS REGIONAL OFFICE VIII Baras, Palo, Leyte    INVITATION TO BID No. 2020-07-004 July 13, 2020 1.	The Department of Public Works and Highways Regional Office VIII, Baras, Palo, Leyte, through</t>
  </si>
  <si>
    <t xml:space="preserve"> Republic of the Philippines Department of Justice BUREAU OF CORRECTIONS Muntinlupa City INVITATION TO BID FOR  SUPPLY, DELIVERY AND INSTALLATION OF AIR-CONDITIONING UNITS 1.	The Bureau of Corrections, through the Special Account (Bases Conversion Developm</t>
  </si>
  <si>
    <t xml:space="preserve"> Request for Proposal  The Bureau of Fisheries and Aquatic Resources Regional Office No. 5 (BFAR RO 5), Fabrica, Bula, Camarines Sur is requesting from prospective suppliers to submit written proposal for the Labor and Materials for the Fabrication and Ins</t>
  </si>
  <si>
    <t xml:space="preserve"> Republic of the Philippines PROVINCE OF BUKIDNON Municipality of Sumilao INVITATION TO BID  ITB NO. CW-2020-08 CONCRETING OF FARM TO MARKET ROAD 1.	The Local Government Unit of Sumilao, through its Bids Awards Committee (BAC) invites contractors registere</t>
  </si>
  <si>
    <t xml:space="preserve"> Const. of Slope Protection</t>
  </si>
  <si>
    <t xml:space="preserve"> INVITATION TO BID				              The PROVINCIAL GOVERNMENT OF APAYAO,        through its Bids and Awards Committee (BAC), invites PCAB licensed/qualified contractor   to submit bid qoutations for the hereunder contracts:				 				 				 Series No.	Name of</t>
  </si>
  <si>
    <t xml:space="preserve"> The Local Government Unit of CONNER, through the 20% DF 2020 intends to apply the sum of Three Hundred Eighty Six Thousand Four Hundred Fifty Seven Pesos and 17/100 Centavos Only (₱ 386, 457.17) being the Approved Budget for the Contract (ABC) to payments</t>
  </si>
  <si>
    <t xml:space="preserve"> Republic of the Philippines City of Iriga Main City Hall Building, Sta. Cruz Sur Telefax No. (054) 299-1933 OFFICE OF THE BIDS AND AWARDS COMMITTEE July 3, 2020 INVITATION TO BID The City of Iriga, through its Bids and Awards Committee (BAC) hereby invite</t>
  </si>
  <si>
    <t xml:space="preserve"> INVITATION TO BID FOR Procurement of Infra (Installation of Modern Street Illumination Project at M. Parras Street) The City Government of Tagbilaran, through the 20% Development Fund, intends to apply the sum of Five Million Nine Hundred Seventy Eight Th</t>
  </si>
  <si>
    <t xml:space="preserve"> INVITATION TO BID FOR Procurement of Infra (Installation of Modern Street Illumination Project at P. Castillo Street) The City Government of Tagbilaran, through the 20% Development Fund, intends to apply the sum of Seven Million Seven Hundred Ninety Three</t>
  </si>
  <si>
    <t xml:space="preserve"> INVITATION TO BID The DPWH Isabela 4th District Engineering Office through its Bids and Awards Committee (BAC), invites contractors to submit bids for the following Contract: Procurement ID / Contract ID			: 20BH0154 Contract Name/                        </t>
  </si>
  <si>
    <t xml:space="preserve"> Concreting of Paglaum Road, Brgy. Maibo, Tantangan, South Cotabato Description: 3,640 sq.m. Clearing and Grubbing (Including Removal &amp; Cutting of Trees) 1,081.50 cu.m. Roadway Excavation 3,640 sq.m. Subgrade Preparation 728 cu.m. Aggregate Base Course 416</t>
  </si>
  <si>
    <t xml:space="preserve"> Republic of the Philippines Province of Leyte MUNICIPALITY OF CAPOOCAN -oOo- CAPOOCAN BIDS AND AWARD COMMITTEE INVITATION TO BID  for CONCRETING OF ACCESS ROAD LEADING TO EVACUATION CENTER (45 LN.M) 1.	The MUNICIPALITY OF CAPOOCAN, LEYTE, through the Deve</t>
  </si>
  <si>
    <t xml:space="preserve"> Republic of the Philippines Province of Leyte MUNICIPALITY OF CAPOOCAN -oOo- CAPOOCAN BIDS AND AWARD COMMITTEE INVITATION TO BID  for IMPROVEMENT OF MULTI-PURPOSE SPORTS CENTER PERIPHERY (PHASE II) 1.	The MUNICIPALITY OF CAPOOCAN, LEYTE, through the Devel</t>
  </si>
  <si>
    <t xml:space="preserve"> Republic of the Philippines Province of Leyte MUNICIPALITY OF CAPOOCAN -oOo- CAPOOCAN BIDS AND AWARD COMMITTEE INVITATION TO BID  for IMPROVEMENT OF MUNICIPAL BUILDING PERIPHERY (REAR SIDE) 1.	The MUNICIPALITY OF CAPOOCAN, LEYTE, through the 2020 MO-CAPIT</t>
  </si>
  <si>
    <t xml:space="preserve"> OFFICE OF THE BIDS AND AWARDS COMMITTEE (BAC) INVITATION TO BID FOR: 20-07-565 Purchase of One (1) Unit Heavy Equipment Road Roller (Brand New) for Opening and Maintenance of Farm to Market Roads in the Municipality of Alamada 1.	The Local Government Unit</t>
  </si>
  <si>
    <t xml:space="preserve"> Republic of the Philippines City of Cagayan de Oro BIDS AND AWARDS COMMITTEE Invitation to Bid  for Temporary Office for the Court of Appeals, City Tourism Hall; SN 152 - 2020 ` 1.	The City Government of Cagayan de Oro, through the Current Appropriation, </t>
  </si>
  <si>
    <t xml:space="preserve"> Various Office Supplies Prospective Bidders must have completed a contract similar to the project with the amount of at least 50% of the ABC. Bidding will be conducted through open competitive bidding procedures using a non-discretionary “pass/fail” crite</t>
  </si>
  <si>
    <t xml:space="preserve"> Republic of the Philippines City of Cagayan de Oro BIDS AND AWARDS COMMITTEE Invitation to Bid  for Construction of Drainage at Barangay 40; SN 145 - 2020 1.	The City Government of Cagayan de Oro, through the  Current Appropriation, Annual Budget CY 2020,</t>
  </si>
  <si>
    <t xml:space="preserve"> One (1) Lot Supply &amp; Installation of Package Type Air Conditioning Units: Four (4) sets 5-toner and three (3) sets 3-toner, per BSP Terms of Reference</t>
  </si>
  <si>
    <t xml:space="preserve"> 1 Lot PROCESSING EQUIPMENT, INGREDIENTS, SUPPLIES AND MATERIALS</t>
  </si>
  <si>
    <t xml:space="preserve"> Republic of the Philippines City of Cagayan de Oro BIDS AND AWARDS COMMITTEE Invitation to Bid  for Concrete Paving of Road to Sitio Monigue (Phase 4), Mambuaya; SN 137 - 2020 1.	The City Government of Cagayan de Oro, through the  Current Appropriation, A</t>
  </si>
  <si>
    <t xml:space="preserve"> Development of a Prototype Trimaran Multipurpose Fishing Vessel CENTER HULL      Length Overall       :          17.54 mtrs.      L.B.P.                     :          15.00 mtrs      Breadth                   :           2.00 mtrs.      Total Breadth    </t>
  </si>
  <si>
    <t xml:space="preserve"> 1 Lot EQUIPMENTS, FEEDS, BREEDER STOCKS, VET. MED's AND SUPPLIES/MATERIALS</t>
  </si>
  <si>
    <t xml:space="preserve"> 1 Lot EQUIPMENTS, SUPPLIES AND MATERIALS</t>
  </si>
  <si>
    <t xml:space="preserve"> Invitation to Bid  For the Construction of Two Storey Four Classroom Building at Buntatala-Tagbak Elementary School, Jaro, Iloilo City 1.	The City of Iloilo, through the SEF Capital Outlay, CY2019 intends to apply the sum of Ten Million Pesos (Php 10,000,</t>
  </si>
  <si>
    <t xml:space="preserve"> Republic of the Philippines City of Cagayan de Oro BIDS AND AWARDS COMMITTEE Invitation to Bid  for Concrete Paving of Roads at Phase 2 Pagatpat Relocation Site with Drainage; SN 134 - 2020 1.	The City Government of Cagayan de Oro, through the  Current Ap</t>
  </si>
  <si>
    <t xml:space="preserve"> The work includes Construction of 0.15mm thk x 4.0m wide x 218 long concrete pavement along City Central School Exit, with the installation of cross drain RCBC's, RCPC Drainage canal, riprap and roads side concrete canal on left side only 186m, as per app</t>
  </si>
  <si>
    <t xml:space="preserve"> Invitation to Bid  For the Fabrication and Installation of Grills in Classrooms at Lapaz National High School, Lapaz, Iloilo City 1.	The City of Iloilo, through the SEF 2018 intends to apply the sum of Two Million Fifty Two Thousand Pesos (Php 2,052,000.0</t>
  </si>
  <si>
    <t xml:space="preserve"> INVITATION TO BID FOR  CONSTRUCTION OF FLOOD CONTROL  – MALAMIN The Municipality of San Juan, through its Bids and Awards Committee (BAC), invites contractors to submit bids for the following Contract: Contract ID		:          	20-00051						 Contract Name</t>
  </si>
  <si>
    <t xml:space="preserve"> Invitation to Bid  For the Rehabilitation of All Gabaldon Building at Jaro I Elementary School, Jaro, Iloilo City 1.	The City of Iloilo, through the SEF Capital Outlay SB No. 2 CY2019 intends to apply the sum of Five Million Pesos (Php 5,000,000.00) being</t>
  </si>
  <si>
    <t xml:space="preserve"> Republic of the Philippines City of Cagayan de Oro BIDS AND AWARDS COMMITTEE Invitation to Bid  for Concrete Paving of Road with Drainage at Pag-ibig Homes (Canitoan); SN 136 - 2020 1.	The City Government of Cagayan de Oro, through the  Current Appropriat</t>
  </si>
  <si>
    <t xml:space="preserve"> 220 BOXES ANMUM 880G 120 BOXES PROMAMA 800G</t>
  </si>
  <si>
    <t xml:space="preserve"> INVITATION TO BID FOR THE SUPPLIES AND MATERIALS FOR THE INSTALLATION OF STREETLIGHTING SYSTEM   1.	The City of Iloilo, through the GENERAL FUND SB NO. 4 CY 2019 intends to apply the sum of Five Million Five Hundred Thousand Pesos (P5,500,000.00) being th</t>
  </si>
  <si>
    <t xml:space="preserve"> ITEM NO.	UNIT		QTY		DESCRIPTION		 							 1	 packs 		3623		Snacks		 2	 packs 		2053		 Meals Set C 		 3	 packs 		334		 Meals Set D 		 INVITATION TO BID The Municipality of Sablayan through its Bids and Awards Committee (BAC) invites all interested contract</t>
  </si>
  <si>
    <t xml:space="preserve"> Republic of the Philippines City of Cagayan de Oro BIDS AND AWARDS COMMITTEE Invitation to Bid  for Construction of Slope Protection Structure with Drainage at Pigsag-an National Highschool; SN 147 - 2020 1.	The City Government of Cagayan de Oro, through </t>
  </si>
  <si>
    <t xml:space="preserve"> The MINDANAO CENTRAL SANITARIUM, through the HOSPITAL INCOME intends to apply the sum of Two Million Two Thousand Pesos (Php2,002,000.00) being the Approved Budget for the Contract (ABC) to payments under the contract for the PROCUREMENT OF ONE (1) UNIT V</t>
  </si>
  <si>
    <t xml:space="preserve"> 544 pcs Smart Cellcard @ 100</t>
  </si>
  <si>
    <t xml:space="preserve"> INVITATION TO BID FOR LABORATORY EQUIPMENT 1.	The Industrial Technology Development Institute, through the Program “Enhancement of the Competence and Capabilities of the National Metrology Laboratory of the Philippines – Project 4: Strengthening the Physi</t>
  </si>
  <si>
    <t xml:space="preserve"> OFFICE OF THE BIDS AND AWARDS COMMITTEE (BAC) INVITATION TO BID FOR: 20-07-532 Purchase of Four (4) Units Brand New Ten Wheeler Dumptruck for Opening and Maintenance of Farm to Market Roads 1.	The Local Government Unit of Alamada, through the CO 2020-1011</t>
  </si>
  <si>
    <t xml:space="preserve"> Repair and Rehabilitation of Staff House The Commission on Audit, Regional Office No. VIII, through the General Fund - Capital Outlay CY 2020, intends to apply the sum of Four Million Four Hundred Fifteen Thousand Three Hundred Eighty Pesos and Forty-Six </t>
  </si>
  <si>
    <t xml:space="preserve"> Provision of Rental of Motor Service Vehicles    The Pag-IBIG Fund Corporate Headquarters, through its Bids and Awards Committee – Goods and Services (BAC-GS) intends to apply the sum of Thirty-Nine Million Nine Hundred Thirty Thousand Pesos (Php39,930,00</t>
  </si>
  <si>
    <t xml:space="preserve"> Repair/Maintenance of Bridges</t>
  </si>
  <si>
    <t xml:space="preserve"> INVITATION TO BID REBID OF SUBSCRIPTION FOR A ONE (1) YEAR MANAGED INTERNET AND WIFI ACCESS POINT FOR PROVINCE OF CEBU    Bid Reference No. DICTBAC-VC2-2020-0006 Approved Budget for the Contract: Php 9,859,392.00 The DEPARTMENT OF INFORMATION AND COMMUNIC</t>
  </si>
  <si>
    <t xml:space="preserve"> INVITATION TO BID The Central Luzon State University (CLSU) through its Bids and Awards Committee (BAC), invites contractors registered with and classified by the Philippine Contractors Accreditation Board (PCAB) to bid for the hereunder contract: LOT/ITE</t>
  </si>
  <si>
    <t xml:space="preserve"> Section I. Invitation to Bid Section II. Instructions to Bidders A.  General 1.	Scope of Bid 		 	1.1	The Procuring Entity as defined in the BDS, invites bids for the construction of Works, as described in Section VI- Specifications.  The name and identifi</t>
  </si>
  <si>
    <t xml:space="preserve"> Description   Bidding will be conducted through open competitive bidding procedures using non-discretionary pass/fail criteria as specified in the Implementing Rules and Regulations Part A (IRR-A) of Republic Act 9184, otherwise known as the “Government P</t>
  </si>
  <si>
    <t xml:space="preserve"> 1,494 bags Portland Cement Type 1 38 pcs. 12 mm diameter STD deform bars 202 pcs. 10 mm diameter STD deform bars 20 kilos # 16 tie wire 8 pcs. 3/8 Ordinary Plywood 8 kilos # 3 Common Wire Nails 2 kilos #1 Common Wire Nails</t>
  </si>
  <si>
    <t xml:space="preserve"> I.    Materials II.   Labor      OCM/CP/VAT</t>
  </si>
  <si>
    <t xml:space="preserve"> INVITATION TO BID FOR Procurement of One (1) Unit Passenger Van for NORSU Bais Campus Project Reference No.: GOOD2020-03-02 1. The Negros Oriental State University (NORSU) Campuses and the Bids and Awards Committee (BAC), through STF 164 intends to apply </t>
  </si>
  <si>
    <t xml:space="preserve"> Republic of the Philippines DEPARTMENT OF PUBLIC WORKS AND HIGHWAYS NUEVA VIZCAYA 2ND DISTRICT ENGINEERING OFFICE REGIONAL OFFICE II Dupaxdel Norte, Nueva Vizcaya INVITATION TO BID The DPWH-Nueva Vizcaya 2nd District Engineering Office,  through  its  Bid</t>
  </si>
  <si>
    <t xml:space="preserve"> Republic of the Philippines Zamboanga Peninsula Department of Health Basilan General Hospital Isabela City, Basilan 7300 Invitation to Bid for the PROPOSED REHABILITATION OF OUTPATIENT DEPARTMENT BUILDING IB# 2020-06-0443 1. The Basilan General Hospital t</t>
  </si>
  <si>
    <t xml:space="preserve"> 1 set Digital Repeater Dual Mode (DMR/Analog) Repeater System with Repeater Unit, Power Supplies, Tower, Antennas, Cables, Lightning Surge Protectors, Connectors/ Adapters, Repeater Cabinet/ Enclosure, Other Accessories, System Design, Programming, Mobili</t>
  </si>
  <si>
    <t xml:space="preserve"> 1.	The Municipality of Dagami, through the DRRMO intends to apply the sum of Two Hundred Seventy Thousand Three Hundred Pesos Only (270,300.00)  being the Approved Budget for the Contract (ABC) to payments under the contract for the Supply/ Delivery and I</t>
  </si>
  <si>
    <t xml:space="preserve"> CONSTRUCTION OF LOCAL ROAD @ BARANGAY ANTIPOLO, SAN PASCUAL, BATANGAS</t>
  </si>
  <si>
    <t xml:space="preserve"> 1.	The West Visayas State University Medical Center, through its Use of Income Fund 2020 intends to apply the sum of TWO MILLION PESOS (PhP 2,000,000.00) ONLY being the Approved Budget for the Contract (ABC) to payments under the contract for the Procurem</t>
  </si>
  <si>
    <t xml:space="preserve"> Republic of the Philippines Province of Leyte Municipality of Hilongos INVITATION TO BID FOR THE PURCHASE OF 1 UNIT DESKTOP COMPUTER WITH PRINTER 1.  The Local Government Unit of Hilongos, through GENERAL FUND-SUPPLEMENTAL BUDGET NO. 2020-05 intends to ap</t>
  </si>
  <si>
    <t xml:space="preserve"> Republic of the Philippines DEPARTMENT OF PUBLIC WORKS AND HIGHWAYS BATANGAS III DISTRICT ENGINEERING OFFICE REGIONAL OFFICE IV-A J. Gonzales St., Barangay 4, Tanauan City INVITATION TO BID (GS-2020-009) The Department of Public Works and Highways (DPWH),</t>
  </si>
  <si>
    <t xml:space="preserve"> INVITATION TO BID FOR PROCUREMENT OF COURIER SERVICES  FOR DELIVERY OF DOCUMENTS under ITB No. PB20-07-037COR  The Philippine Amusement and Gaming Corporation (PAGCOR) is inviting all interested bidders in its forthcoming public bidding for the Procuremen</t>
  </si>
  <si>
    <t xml:space="preserve"> OFFICE OF THE BIDS AND AWARDS COMMITTEE INVITATION TO BID NO. 106-20 Name of Project: Procurement of Hardware Materials used for Rehabilitation of A. Taruc Street, Socorro, SDN Source of Funds: Mun. 20% Development Fund The Municipality of Socorro through</t>
  </si>
  <si>
    <t xml:space="preserve"> SUPPLY AND DELIVERY OF VARIOUS MEDICAL SUPPLIES/EQUIPMENT FOR OSPITAL NG MAKATI (2 LOTS) LOT 1:  SUPPLY AND DELIVERY OF MEDICAL SUPPLIES FOR DAILY AND EMERGENCY OPERATIONS OF OSPITAL NG MAKATI (AUTOMATIC DOCUMENTATION SYSTEM LABEL FOR FORMALDEHYDE PROCESS</t>
  </si>
  <si>
    <t xml:space="preserve"> INVITATION TO BID-HIRING OF GENERAL CONTRACTOR FOR THE REPAIRS/RENOVATION OF 2ND FLOOR OF DBP DIPOLOG BRANCH BUILDING ABC-    1,129,404.81</t>
  </si>
  <si>
    <t xml:space="preserve"> 1 Lot "SUMAN" FOOD PROCESSING EQUIPMENT, MATERIALS AND INGREDIENTS</t>
  </si>
  <si>
    <t xml:space="preserve"> INVITATION TO BID FOR THE PROCUREMENT OF THIRTY (30) UNITS PRINTER AND ONE (1) UNIT DESKTOP COMPUTER CORE i5 WITH COMPLETE ACCESSORIES 1.	The Local Government Unit of Aurora, through the Local School Board (LSB) Fund intends to apply the sum of Two Hundre</t>
  </si>
  <si>
    <t xml:space="preserve"> Republic of the Philippines PROVINCE OF QUIRINO Cabarroguis -oOo- BIDS AND AWARDS COMMITTEE INVITATION TO BID FOR  Construction of Slope Protection &amp; Line Canal along Villa Ylanan – San Martin Road (Phase I) Contract No. PB-CW-2020-028 							July 17, 202</t>
  </si>
  <si>
    <t xml:space="preserve"> Republic of the Philippines BIDS AND AWARDS COMMITTEE Cadiz City      BID DOCUMENTS for the CONCRETING OF BARANGAY ROAD (PHASE II) @ PRK. RIVER SIDE, BRGY. BURGOS , CADIZ CITY (1) BIDS AND AWARDS COMMITTEE  Cadiz City   INVITATION TO BID/REQUEST FOR EXPRE</t>
  </si>
  <si>
    <t xml:space="preserve"> INVITATION TO BID FOR THE PROCUREMENT OF THREE (3) UNITS COPIER MACHINE AND FIVE (5) UNITS DUPLICATING MACHINE 1.	The Local Government Unit of Aurora, through the Local School Board (LSB) Fund intends to apply the sum of One Million Three Hundred Thousand</t>
  </si>
  <si>
    <t xml:space="preserve"> 215 cubic meter Fine Aggregates 315 cubic meter Coarse Aggregates</t>
  </si>
  <si>
    <t xml:space="preserve"> REHAB/REPAIR/RENOVATION/ COMPLETION OF 10 DAY CARE CENTER IN THE MUNICIPALITY OF LAPUYAN</t>
  </si>
  <si>
    <t xml:space="preserve"> SUPPLY AND DELIVERY OF LABORATORY SUPPLIES (GLUCOSE TEST REAGENT FOR FULLY AUTOMATED CHEMISTRY ANALYZER - URINE CALIBRATOR FOR ICT MODULE) -ORDER OF PAYMENT FOR BID DOCS WILL BE AVAILABLE AT GSD-HEAD OFFICE @ 10TH FLOOR MAKATI CITY HALL BLDG. 2. LOOK FOR </t>
  </si>
  <si>
    <t xml:space="preserve"> PURCHASE AND DELIVERY OF MATERIALS FOR THE CONSTRUCTION OF SINIBA-AN MP BUILDING (COVERED GYM), BRGY. SINIBA-AN DINGLE, ILOILO</t>
  </si>
  <si>
    <t xml:space="preserve"> Republic of the Philippines PROVINCE OF QUIRINO Cabarroguis -oOo- BIDS AND AWARDS COMMITTEE INVITATION TO BID FOR  Construction of Slope Protection Structure along San Bernabe – San Salvador Road Contract No. PB-CW-2020-027 							July 17, 2020 1.	The Bid</t>
  </si>
  <si>
    <t xml:space="preserve"> Invitation to Bid for the Procurement of Venetian Blinds for the Use of Different Offices of the LGU, Tagudin, Ilocos Sur 1.	The Local Government Unit of Tagudin, Ilocos Sur, thru its Bids and Awards Committee intends to apply the sum of One Million Three</t>
  </si>
  <si>
    <t xml:space="preserve"> One (1) Job Contract Furnishing Materials, Labor &amp; Equipment</t>
  </si>
  <si>
    <t xml:space="preserve"> Bid Opening - August 11, 2020, 2 P.M. at Municipal Conference Hall</t>
  </si>
  <si>
    <t xml:space="preserve"> INVITATION TO BID CONCRETING OF ROAD (INFRONT OF LIBERTY NATIONAL HIGH SCHOOL) Identification No.  TAMP-PB-INFRA-08-2020 1.	The Municipality of Tampakan, through the 20% MDF CY 2020/8918-300-1-07-10-020 intends to apply the sum of One Million Five Hundred</t>
  </si>
  <si>
    <t xml:space="preserve"> Republic of the Philippines Province of Eastern Samar City of Borongan -0- BIDS AND AWARDS COMMITTEE ------------------------------------------------------------------------------------------ Invitation to Bid for SUPPLY AND DELIVERY OF FIVE (5) UNITS ALL</t>
  </si>
  <si>
    <t xml:space="preserve"> Reproduction of Module for 1st and 2nd Quarter for SY 2020-2021</t>
  </si>
  <si>
    <t xml:space="preserve"> The Municipal Government of Bayog, Zamboanga del Sur thru its Bids and Awards Committee (BAC) invites all interested bidders for the “PROCUREMENT OF ONE (1) UNIT SPORTS UTILITY VEHICLE” for use as Service Vehicle in the general administration and supervis</t>
  </si>
  <si>
    <t xml:space="preserve"> 50 vials Metronidazole IV 50 amp Amino Acid 800 vials Ampicillin 1g 1000 vials Ceftriaxone 1000 vials Cefuroxime 750mg 200 vials Chloramphenicol 300 vials Omeprazole 100 vials Pen G NA 5,000,000 IU 500 vials Hydrocortisone 80 vials Ceftazidine 1G 80 vials</t>
  </si>
  <si>
    <t xml:space="preserve"> INVITATION TO BID FOR THE CONSTRUCTION OF TWO (2) STOREY EIGHT CLASSROOM (8CL) SCHOOL BUILDING LOCATED AT BALLESTEROS ELEMENTARY SCHOOL, BALLESTEROS, AURORA, ISABELA 1.	The Local Government Unit of Aurora, through the 2016 Tobacco Excise Tax intends to ap</t>
  </si>
  <si>
    <t xml:space="preserve"> July 16, 2020 			 	INVITATION TO BID				 					 	The City Government of Pasig through Ordinance No. 21 Series 2019 dated November 7, 2019 duly approved by the Sanggunian Panglungsod and through Special Education Fund CY 2020 duly approved by the Local Scho</t>
  </si>
  <si>
    <t xml:space="preserve"> INVITATION TO BID FOR SUPPLY AND DELIVERY OF 242 MODULES OF LAYER CHICKEN WITH FABRICATED CAGE 1.	The Department of Agriculture Regional Field Office IX, through the GAA 2020 - (SAAD Program 2020) intends to apply the sum of TWELVE MILLION FIVE HUNDRED EI</t>
  </si>
  <si>
    <t xml:space="preserve"> Republic of the Philippines Province of Camarines Sur MUNICIPALITY OF BAAO INVITATION TO BID FOR THE SUPPLY AND DELIVERY OF CONSTRUCTION SUPPLIES FOR THE IMPROVEMENT OF MAYOR’S CONFERENCE ROOM 1. The LOCAL GOVERNMENT UNIT OF BAAO, through the Budget for t</t>
  </si>
  <si>
    <t xml:space="preserve"> 3,875 RICE half-sack (1/2 sack at 25 klios/half sack)</t>
  </si>
  <si>
    <t xml:space="preserve"> Quantity       Unit of Issue       Item Description     1                    lot               Supply of materials, labor and equipment NAME OF PROJECT/LOCATION -  Rehabilitation of road and covering of canal at Barangay Aplaya, Bauan, Batangas CONTRACT R</t>
  </si>
  <si>
    <t xml:space="preserve"> I.  Mechanical &amp; Electrical Works II. Labor OCM/CP/VAT</t>
  </si>
  <si>
    <t xml:space="preserve"> SUPPLY AND DELIVERY OF LABORATORY SUPPLIES (ACID FAST BACILLI (AFB) STAIN) -ORDER OF PAYMENT FOR BID DOCS WILL BE AVAILABLE AT GSD-HEAD OFFICE @ 10TH FLOOR MAKATI CITY HALL BLDG. 2. LOOK FOR MR. REDEN VILLANUEVA. A COMPLETE SET OF BIDDING DOCUMENTS WILL B</t>
  </si>
  <si>
    <t xml:space="preserve"> Construction of 0.20m thk concrete shoulder.</t>
  </si>
  <si>
    <t xml:space="preserve"> Purchase of Ten (10) Units Handheld Radio and Ten (10) Units W80 Extended Battery QUANTITY	UNIT	ARTICLES &amp; DESCRIPTION 10	Units	Handheld Radio (350 MGZ) 10	Units	W80 Extended Battery (2300 MAH) 		***************NOTHING FOLLOWS**************</t>
  </si>
  <si>
    <t xml:space="preserve"> BUTUAN CITY WATER DISTRICT Gov. Jose A. Rosales Ave., Butuan City INVITATION TO BID  For Package 04 -2020: Supply, Delivery and Commissioning of One (1) unit Engine-Driven Welding Machine/Generator The BUTUAN CITY WATER DISTRICT through the Corporate Budg</t>
  </si>
  <si>
    <t xml:space="preserve"> I.  Fabrication Works II. Labor OCM/CP/VAT</t>
  </si>
  <si>
    <t xml:space="preserve"> QTY	UNIT	ITEM DESCRIPTION 		  1.00 	lot	Clearing  132.00 	cu.m.	Grouted Riprap</t>
  </si>
  <si>
    <t xml:space="preserve"> Name of the Procuring Entity: TONDO MEDICAL CENTER Name of the Project:  Procurement of Yellow Plastic Bag of  Housekeeping Section      			                                          Location of the Project: Tondo Medical Center Balut, Tondo Manila        </t>
  </si>
  <si>
    <t xml:space="preserve"> DEPARTMENT OF PUBLIC WORKS AND HIGHWAYS Contract ID: 20CSIB09 Contract Name: GEOTECHNICAL INVESTIGATION OF THE REPLACEMENT OF BOX CULVERT TO BIGO BRIDGE INCLUDING ITS APPROACHES AT ARTECHE, EASTERN SAMAR AND GEOTECHNICAL INVESTIGATION OF THE CONSTRUCTION </t>
  </si>
  <si>
    <t xml:space="preserve"> Two (2) Sets of Industrial Conveyor Belt</t>
  </si>
  <si>
    <t xml:space="preserve"> Quantity       Unit of Issue       Item Description     1                    lot               Supply of materials, labor and equipment NAME OF PROJECT/LOCATION -  Concreting/rehabilitation of climate resilient road at Malindig - San Diego Barangay Road, </t>
  </si>
  <si>
    <t xml:space="preserve"> REQUEST FOR EXPRESSION OF INTEREST (REI) CONDUCT OF SOIL TESTING/EXPLORATION FOR THE PROPOSED MULTI-STOREY SCHOOL BUILDINGS, BATAC CITY,  ILOCOS NORTE 1.	The Department of Public Works and Highways, Ilocos Norte 2nd District Engineering Office, through th</t>
  </si>
  <si>
    <t xml:space="preserve"> Quantity      Unit of Issue      Item Description       1                unit              2.4G, 4 x 2 Dsl A/T Pick-p tyUpe vehicle NAME OF PROJECT/LOCATION -  Purchase of one (1) unit 2.4G, 4 x 2, Dsl, A/T Pick-Up type vehicle for official use by the Off</t>
  </si>
  <si>
    <t xml:space="preserve"> QTY	UNIT	ITEM DESCRIPTION 		  20.00 	unit/s	Fabrication/Installation of Streetlights</t>
  </si>
  <si>
    <t xml:space="preserve"> 1 "Unit(s)" "SEISMIC ACCELEROGRAPH -" " Minimum Technical Specifications : SERVO TYPE Sensor/Accelerometer at least 0.1 to 999.9 gals Full Operation Colored Touch Screen Panel Internal audible alarm based on trigger level Internal Backup battery, standby </t>
  </si>
  <si>
    <t xml:space="preserve"> Republic of the Philippines Province of Samar Municipality of Matuguinao Invitation to Bid for the Procurement of Infrastructure for the  ROAD OPENING AND CONCRETING OF INTERIOR ROAD IN SITIO ARINGIT, BRGY MABULIGON      The Municipal Government of Matugu</t>
  </si>
  <si>
    <t xml:space="preserve"> Republic of the Philippines Province of Samar Municipality of Matuguinao Invitation to Bid for the Procurement of Infrastructure for the  REPAIR OF STAFFHOUSE/EVACUATION BUILDING      The Municipal Government of Matuguinao, through the 20% EDF AND DRRMF  </t>
  </si>
  <si>
    <t xml:space="preserve"> Supply of Office Supplies</t>
  </si>
  <si>
    <t xml:space="preserve"> Republic of the Philippines Province of Samar Municipality of Matuguinao Invitation to Bid for the Procurement of Infrastructure for the  PROVISION OF POTABLE WATER SUPPLY AT BRGY. LIBERTAD      The Municipal Government of Matuguinao, through the DILG GAA</t>
  </si>
  <si>
    <t xml:space="preserve"> 	                                                                                                July 17, 2020 MR. DAVID HARSAMTO Director PT Intrareps Ji. Dr. Saharjo No. 96A South Jakarta, Indonesia Dear Mr. Harsamto: 1.	The Department of Tourism (herei</t>
  </si>
  <si>
    <t xml:space="preserve"> Supply, Delivery and Installation of Split-Type Air Conditioners and Flat-Screen Televisions</t>
  </si>
  <si>
    <t xml:space="preserve"> a. Reblocking of 10m x 3.00m x 0.20m road; Reblocking of 20m x 3.50m x 0.20m road and Concreting of 25m x 3.25m x 0.20m road in Tilis, Bato I.	1	l.s.	Facilities for the Engineer II.	1	ea	Project Billboard/Signboard III.	1	lot	Road Sign IV.	81.25	sq.m.	Cle</t>
  </si>
  <si>
    <t xml:space="preserve"> Province of Cagayan Municipality of Camalaniugan BARANGAY CENTRO NORTE July 17, 2020 INVITATION TO BID  FOR THE FURNISHING &amp; DELIVERY OF VARIOUS  MATERIALS FOR THE CONSTRUCTION OF  MULTI – PURPOSE BUILDING EXTENSION AT CENTRO NORTE, CAMALANIUGAN, CAGAYAN-</t>
  </si>
  <si>
    <t xml:space="preserve"> CONDUCT OF SOIL TESTING/EXPLORATION FOR THE PROPOSED MULTI-STOREY SCHOOL BUILDINGS, BADOC &amp; MARCOS, ILOCOS NORTE 1.	The Department of Public Works and Highways, Ilocos Norte 2nd District Engineering Office, through the BEFF 2020, intends to apply the sum </t>
  </si>
  <si>
    <t xml:space="preserve"> Procurement of Rice Php 464,600.00</t>
  </si>
  <si>
    <t xml:space="preserve"> Procurement of Meals and Snacks Php 242,500.00</t>
  </si>
  <si>
    <t xml:space="preserve"> Republic of the Philippines Province of Nueva Vizcaya BIDS AND AWARDS COMMITTEE (BAC-Goods) BAC OFFICE, Provincial Capitol, Bayombong, Nueva Vizcaya Tel. No. 078-392-2062 	 INVITATION TO BID FOR THE SUPPLY AND DELIVERY OF GRAFTED FRUIT TREES AND FOREST TR</t>
  </si>
  <si>
    <t xml:space="preserve"> A) REQUEST FOR QUOTATION  1. 5 months Monthly Preventive Maintenance Service of one (1) unit WELLS Machine Roomless Passenger Elevator, four (4) stops (G, 2 front opening and 3, 4 rear opening), Capacity: 800 kgs.; (August 2020 to December 2020) Scope of </t>
  </si>
  <si>
    <t xml:space="preserve">                                                                                                   July 17, 2020 MR. JUDD B. BALAYAN  Group Chief Financial Officer  DDB Philippines Inc.  16F Two World Square 22  Upper McKinley Road, McKinley Hill  Fort Bon</t>
  </si>
  <si>
    <t xml:space="preserve"> Labor and Materials Completion of Hanging Bridge  Location: Salvacion, Ragay -nothing follows-</t>
  </si>
  <si>
    <t xml:space="preserve"> CW-Rehabilitation of Multi-purpose Building at Libertad Php527,310.16</t>
  </si>
  <si>
    <t xml:space="preserve"> 2020 24th Public Bidding – REPAINTING OF EXTERIOR WALLS, ROOFS, ROOF EAVES, AND PERIMETER FENCE OF BGHMC</t>
  </si>
  <si>
    <t xml:space="preserve"> ESTIMATES: ITEM I. CONCRETE &amp; MASONRY WORKS ITEM II. ROOF FRAMING &amp; ROOFING SYSTEM ITEM III. DOORS &amp; WINDOWS SYSTEM ITEM IV. TILE WORKS (2ND FLOOR)</t>
  </si>
  <si>
    <t xml:space="preserve"> 1 unit Construction of multi-purpose building</t>
  </si>
  <si>
    <t xml:space="preserve"> 1.	The Municipality of Impasugong, through the 20% - Construction of MPH – Hagpa, Phase 2 intends to apply the sum of Two Million Pesos (PhP2,000,000.00) being the Approved Budget for the Contract (ABC) to payments under the contract for PR No. 20-1136/Co</t>
  </si>
  <si>
    <t xml:space="preserve"> ITEM NO.          QUANTITY                   UNIT               DESCRIPTION    1                       414                            m3                Coarse Aggregate 2                      1500                           bags              Portland Cemen</t>
  </si>
  <si>
    <t xml:space="preserve"> INVITATION TO BID FOR THE CONSTRUCTION OF TWO (2) STOREY EIGHT CLASSROOM (8CL) SCHOOL BUILDING LOCATED AT CAMARUNGGAYAN ELEMENTARY SCHOOL, CAMARUNGAYAN, CAMARUNGGAYAN, AURORA, ISABELA 1.	The Local Government Unit of Aurora, through the 2016 Tobacco Excise</t>
  </si>
  <si>
    <t xml:space="preserve"> For furnishing Labor in connection with Impv’t./Repair of  Quality Assurance Section, Laboratory Annex Extension at DPWH compound, Guinlajon, Sorsogon City</t>
  </si>
  <si>
    <t xml:space="preserve"> The Municipality of San Mariano, Isabela invite bidders to participate in this procurement, Supply and Delivery of Medicines, Vaccines, Equipment and Dentures for Senior Citizens  (OSCA Fund) Approved Budget: Php.228,445.00 Bids must be duly received on o</t>
  </si>
  <si>
    <t xml:space="preserve"> BARANGAY RESOURCE ENHANCEMENT (2ND QUARTER)</t>
  </si>
  <si>
    <t xml:space="preserve"> Description of Work to be Done: - Complete Plumbing with Accessories - Complete Electrical Fixtures - Windows, - Railings - Electrical Wirings - Stainless Steel Building Name - Landscaping - Painting Works - Carpentry Works for Ceiling - General Requireme</t>
  </si>
  <si>
    <t xml:space="preserve"> Republic of the Philippines Province of Agusan del Norte Municipality of Magallanes BIDS AND AWARDS COMMITTEE INVITATION TO BID The Municipality of Magallanes through its Bids and Awards Committee (BAC), invites potential and interested bidders to apply f</t>
  </si>
  <si>
    <t xml:space="preserve"> Republic of the Philippines Province of Samar Municipality of Matuguinao Invitation to Bid for the Procurement of Infrastructure for the  PROVISION OF POTABLE WATER SUPPLY AT BRGY. LIGAYA      The Municipal Government of Matuguinao, through the DILG GAA  </t>
  </si>
  <si>
    <t xml:space="preserve"> INVITATION TO BID     20-093 Name of Project	:	Laboratory Supplies for LPH-Luisiana District Hospital for 3rd and 4th Quarter Location	:	Luisiana, Laguna  Brief Description	:	Various Laboratory Supplies Approved Budget For the Contract	:	1,680,302.00 Deli</t>
  </si>
  <si>
    <t xml:space="preserve"> Section I. Invitation to Bid INVITATION TO BID DA8-Goods-2020-35 Rebidding (PR NO. NLP 20-03-02-0202) 1.	The Department of Agriculture-Regional Office No. 8, through the NLP 2020 intends to apply the sum of One Million Four Hundred Sixty-One Thousand Thre</t>
  </si>
  <si>
    <t xml:space="preserve"> Republic of the Philippines Province of Quezon Municipality of Pagbilao COMMITTEE ON BIDS AND AWARDS INVITATION TO BID FOR SUPPLY AND DELIVERY OF  VARIOUS EQUIPMENT 1.	The Local Government Unit of Pagbilao, through the Approved Budget by the Sanggunian – </t>
  </si>
  <si>
    <t xml:space="preserve"> FURNISHING OF LABOR (PAKYAW SYSTEM) SCOPE OF WORKS: Concrete Works - Qty. 52.185 cu.m. Plumbing Works (Downspout) - Qty. 27 units Drainage: A) Concrete and Masonry Works - 88 li.m.                B) Steel Works (Steel Grating) Painting Works - Qty. 2,350 </t>
  </si>
  <si>
    <t xml:space="preserve"> A   ABC                -    P   2,789,160.00 B   BID  DOCS      -    P         5,000.00</t>
  </si>
  <si>
    <t xml:space="preserve"> CAPABILITY BUILDING ON MANSAKA CULTURE PRESERVATION ( MUSICAL INSTRUMENT, TRIBAL DRESS, OFFICE SUPPLIES)</t>
  </si>
  <si>
    <t xml:space="preserve"> INVITATION TO BID  FOR PROCUREMENT OF AGRICULTURAL PRODUCTS: SEEDS, SEEDLINGS, PLANTS AND FERTILIZER 1.	The Local Government Unit of Alfonso Lista ifugao, through the authorized appropriations under the FY 2020 General Appropriations Act intends to apply </t>
  </si>
  <si>
    <t xml:space="preserve"> Kindly refer to the uploaded RFQ &amp; TOR in the Associated Components, or proceed to https://philguarantee.gov.ph/procurements/requests-and-invitations/2020-2/ For inquiries, please contact Atty. Ronces Anne Reyes-De Leon at 8-897-3531/ 8-890-4534 or rardel</t>
  </si>
  <si>
    <t xml:space="preserve"> Invitation to Bid for Construction of Power House in Batangas State University, Balayan 1.	The Batangas State University, through the Supplemental Budget FY 2020 intends to apply the sum of One Million Two Hundred Twenty Six Thousand Three Hundred Pesos o</t>
  </si>
  <si>
    <t xml:space="preserve"> Scope of the Project ITEM NO.	DESCRIPTION				                         UNIT	QUANTITY 1. Continuation of Construction of the Multi-purpose Hall							 	A. Other Requirements						 Item A-1	Provision for Safety and Health Program	        Lot	1	 Item A-2	Proj</t>
  </si>
  <si>
    <t xml:space="preserve"> Republic of the Philippines CITY GOVERNMENT OF SAN FERNANDO City Hall Building, F. Ortega Highway Tel. No. (072)8886901, (072) 867-8100/Fax No. (072)8886907 Website: www.sanfernandocity.gov.ph Email: csflu_98@yahoo.com INVITATION TO BID FOR  Procurement a</t>
  </si>
  <si>
    <t xml:space="preserve"> The CAGAYAN STATE UNIVERSITY (Andrews Campus), through the Trust Fund for the contract approved by the governing Board intends to apply the sum Two Million Eight Hundred Fifty-Nine Thousand Three Hundred Pesos and 00/100 (2,859,300.00) being the Approved </t>
  </si>
  <si>
    <t xml:space="preserve"> 1.  Purpose      The purpose of procurement of Lease of One Hundred Forty-One (141) units of Laptop Computers will provide IPOPHL employees with computing equipment that can securely connect to the IPOPHL network infrastructure whether they work within th</t>
  </si>
  <si>
    <t xml:space="preserve"> Republic of the Philippines Province of Quezon Municipality of Pagbilao COMMITTEE ON BIDS AND AWARDS INVITATION TO BID FOR SUPPLY AND DELIVERY OF  ANIMAL CONTROL VEHICLE 1.	The Local Government Unit of Pagbilao, through the Approved Budget by the Sangguni</t>
  </si>
  <si>
    <t xml:space="preserve"> Development (PCAARRD), through the General Appropriations Act FY 2020 intends to apply the sum of EIGHT HUNDRED TWENTY FIVE THOUSAND PESOS ONLY (PhP 825,000.00) as the Approved Budget for the Contract (ABC) to payments under the contract for the Printing </t>
  </si>
  <si>
    <t xml:space="preserve"> City Government of Manila INVITATION TO BID NO. 2020-07-115 Procurement of Various Anti-Riot Protective Equipment 1.	The City Government of Manila, through the Capital Outlay -Continuing Appropriation Operational Expenses for Peace and Order CY 2020 inten</t>
  </si>
  <si>
    <t xml:space="preserve"> INVITATION TO BID      20-091 Name of Project	:	Medicines (Dangerous Drugs) for LPH-Dr. J. P. Rizal Memorial District Hospital for 3rd and 4th Quarter Location	:	Calamba City  Brief Description	:	Various Medicines Approved Budget For the Contract	:	1,378,</t>
  </si>
  <si>
    <t xml:space="preserve"> The Philippine Council for Agriculture, Aquatic, and Natural Resources Research and Development (PCAARRD), through the General Appropriations Act FY 2020 intends to apply the sum of THREE HUNDRED TWENTY THOUSAND TWO HUNDRED EIGHTY TWO PESOS ONLY (PhP320,2</t>
  </si>
  <si>
    <t xml:space="preserve"> City Government of Manila INVITATION TO BID NO. 2020-07-111 Procurement of Various Office Supplies 1.	The City Government of Manila, through the General Fund CY 2020 – Office Supplies Expenses intends to apply the sum of One Million Three Hundred One Thou</t>
  </si>
  <si>
    <t xml:space="preserve"> INVITATION TO BID     20-090 Name of Project	:	Medicines for Human Induced and Natural Disaster Operations of Provincial Disaster Risk Reduction Management Office (PDRRMO) Location	:	Sta. Cruz, Laguna Brief Description	:	Various Medicines Approved Budget </t>
  </si>
  <si>
    <t xml:space="preserve"> Diesel Fuel etc.  NOTE:To all suppliers bid documents and BAC Resolution 2020-029 are available at BAC Office and LGU website.</t>
  </si>
  <si>
    <t xml:space="preserve"> 9,300     cu.m.      Item 104 - Embankment Specifications: 1. Selected common borrow 2. Spreading and Compaction 3. Supply and delivery o-site. 4. Tax included</t>
  </si>
  <si>
    <t xml:space="preserve"> INVITATION TO BID     20-086 Name of Project	:	Oxygen for Laguna Medical Center, LPH-San Pablo City District Hospital, LPH-Dr. J.P. Rizal Memorial District Hospital, LPH-Nagcarlan District Hospital, LPH-Majayjay District Hospital for 3rd and 4th Quarter L</t>
  </si>
  <si>
    <t xml:space="preserve"> INVITATION TO BID     20-087 Name of Project	:	Brand New Passenger Van for Governor’s Office – Executive for the Transport of Visitors and Personnel in the Implementation of Programs and Projects in the Province of Laguna  Location	:	Sta. Cruz, Laguna   B</t>
  </si>
  <si>
    <t xml:space="preserve"> Republic of the Philippines Province of Quezon Municipality of Pagbilao BIDS AND AWARDS COMMITTEE Invitation to Bid for CONSTRUCTION OF PERIMETER FENCE 1.	The Municipal Government of Pagbilao, through the LSB Annual Budget- CY 2020 intends to apply the su</t>
  </si>
  <si>
    <t xml:space="preserve"> INVITATION TO BID      20-089 Name of Project	:	Brand New AUV for Governor’s Office  Location	:	Sta. Cruz, Laguna   Brief Description	:	2.8 Liter Diesel, 4-Cylinder, In-Line16-Valve; Notice of Award to be Issued Approved Budget For the Contract	:	1,311,20</t>
  </si>
  <si>
    <t xml:space="preserve"> Republic of the Philippines 		MUNICIPALITY OF LEYTE LEYTE -oOo- INVITATION TO BID FOR THE CONSTRUCTION OF TEMPORARY SLAUGHTER HOUSE (Brgy. Poblacion, Leyte, Leyte) P.R No: LL-27-20 The Municipality of Leyte, through its Bids and Awards Committee intends t</t>
  </si>
  <si>
    <t xml:space="preserve"> Republic of the Philippines Province of Quezon Municipality of Pagbilao BIDS AND AWARDS COMMITTEE Invitation to Bid for CONSTRUCTION OF GOVERNMENT BUILDINGS/STRUCTURES/FACILITIES (CONSTRUCTION OF FOUR (4) STOREY MUNICIPAL BUILDING WITH BASEMENT- PHASE 1) </t>
  </si>
  <si>
    <t xml:space="preserve"> The Philippine Council for Agriculture, Aquatic, and Natural Resources Research and Development (PCAARRD), through the General Appropriations Act FY 2020 intends to apply the sum of ONE MILLION NINE HUNDRED FIFTY ONE THOUSAND FIVE HUNDRED SIXTY PESOS ONLY</t>
  </si>
  <si>
    <t xml:space="preserve"> Please see attached document.</t>
  </si>
  <si>
    <t xml:space="preserve"> Republic of the Philippines Province of Quezon Municipality of Pagbilao BIDS AND AWARDS COMMITTEE Invitation to Bid for CONSTRUCTION OF COVERED PATHWAY 1.	The Municipal Government of Pagbilao, through the LSB Annual Budget- CY 2020 intends to apply the su</t>
  </si>
  <si>
    <t xml:space="preserve"> Invitation to Bid July 21, 2020 1. The Municipality of Tinoc through the Bids and Awards Committee advertised an Invitation to bid for the PACKAGE 9 (A. DANGGO-GALIWGIWEN FMR IMPROVEMENT, B. DANGGO-NADUNTOG FMR IMPROVEMENT, AND C. GAHA-BAGIMBING FMR OPENI</t>
  </si>
  <si>
    <t xml:space="preserve"> INVITATION TO BID     20-088 Name of Project	:	Brand New Pick-Up for Governor’s Office – Executive for the Transport of Visitors and Personnel in the Implementation of Programs and Projects in the Province of Laguna Location	:	Sta. Cruz, Laguna   Brief De</t>
  </si>
  <si>
    <t xml:space="preserve"> Invitation to Bid July 21, 2020 1. The Municipality of Tinoc through the Bids and Awards Committee advertised an Invitation to bid for the PACKAGE 13 (A. DENGAO FMR IMPROVEMENT, AND B. NANLUDAHAN-BEKEH FMR IMPROVEMENT) funded under Year 2020 20% LDF with </t>
  </si>
  <si>
    <t xml:space="preserve"> 1	unit	Air condition 2	units	Laptop 1	unit	Smart TV 7	units	Desktop Computer 7	pcs	Table 7	pcs	Chairs 1	set	Sofa set 1	unit	Photocopy machine 4	pcs	Filing Cabinet 1	unit	All-in-one printer 2	pcs	Book shelf 200	pcs	Various Reference Books 1	unit	Portable S</t>
  </si>
  <si>
    <t xml:space="preserve"> Department of Agriculture		 BUREAU OF PLANT INDUSTRY 692 San Andres Street Malate, Manila, Philippines E-mail Address: bpibac@yahoo.com Tel. No.: (02) 8526-7859, (02) 8691-0736 | Website: bpi.da.gov.ph SOLICITATION NO.: ITB PR NO. 1564-20BAC  INVITATION T</t>
  </si>
  <si>
    <t xml:space="preserve"> 30 month occupational safety and health program 1 lot clearing and grubbing 1 lot removal of structures and obstructions 32 cu.m. structure excavation 26.28 cu m concrete class A 2715.62 kgs reinforcing steel 1 ls formworks and falseworks 135 sq.m. pre-pa</t>
  </si>
  <si>
    <t xml:space="preserve"> Invitation to Bid July 21, 2020 1. The Municipality of Tinoc through the Bids and Awards Committee advertised an Invitation to bid for the PACKAGE 10 (A. POBLACION-NANTAKAN FMR IMPROVEMENT, AND B. POBLACION-IMPUGONG CORE ROAD IMPROVEMENT (Pantal Section))</t>
  </si>
  <si>
    <t xml:space="preserve"> Supply and Delivery of Three (3) Units Brand New Mini-Dump Truck for the  Department of Environment and Natural Resources-Manila Bay  Coordinating Office (DENR-MBCO) Bid Ref. No. DENR-CO-2020-001 REBID Approved Budget for the Contract:  =P 3,999,000.00 1.</t>
  </si>
  <si>
    <t xml:space="preserve"> Project:	GEOTECHNICAL SOIL INVESTIGATION FOR THE PROPOSED CY 2021 FLOOD CONTROL PROJECTS LOCATED AT KAPANGAN, KIBUNGAN AND BAKUN, BENGUET (9 FLOOD CONTROL PROJECTS WITH 20 BOREHOLES) Location	Kapangan, Kibungan and Bakun, Benguet  Objectives:	 1.	To explo</t>
  </si>
  <si>
    <t xml:space="preserve"> Department of Agriculture		 BUREAU OF PLANT INDUSTRY 692 San Andres Street Malate, Manila, Philippines E-mail Address: bpibac@yahoo.com Tel. No.: (02) 8526-7859, (02) 8691-0736 | Website: bpi.da.gov.ph SOLICITATION NO.: ITB PR NO. 1563-20BAC  INVITATION T</t>
  </si>
  <si>
    <t xml:space="preserve"> Project:	GEOTECHNICAL SOIL INVESTIGATION FOR THE PROPOSED CY 2021 FLOOD CONTROL PROJECTS LOCATED AT ATOK, BUGUIAS, KIBUNGAN AND TUBLAY, BENGUET (9 FLOOD CONTROL PROJECTS WITH 27 BOREHOLES) Location	Atok, Buguias, Kibungan and Tublay, Benguet Objectives:	 </t>
  </si>
  <si>
    <t xml:space="preserve"> INVITATION TO BID The Iligan City Government Bids and Awards Committee (BAC), through 2020-Special Education Fund intends to apply the sum of                                    P 1,125,000.00 being the Approved Budget for the Contract (ABC) to payments un</t>
  </si>
  <si>
    <t xml:space="preserve"> Invitation to Bid July 21, 2020 1. The Municipality of Tinoc through the Bids and Awards Committee advertised an Invitation to bid for the IMPUGONG-MOMMO-O VIEW DECK &amp; CR CONSTRUCTION funded under Year 2018 20% LDF with an Approved Budget for the Contract</t>
  </si>
  <si>
    <t xml:space="preserve"> Republic of the Philippines Province of Albay Municipality of Sto. Domingo Bids and Awards Committee 	 Invitation to Apply for Eligibility and to Bid: 07-03-2020 	The LGU- Sto. Domingo, Albay through its Bids and Awards Committee (BAC) invites Suppliers/M</t>
  </si>
  <si>
    <t xml:space="preserve"> Project:	GEOTECHNICAL SOIL INVESTIGATION FOR THE PROPOSED CY 2021 FLOOD CONTROL PROJECTS LOCATED AT BUGUIAS AND MANKAYAN, BENGUET (16 FLOOD CONTROL PROJECTS WITH 68 BOREHOLES). Location	Buguias and Mankayan, Benguet Objectives:	 1.	To explore the sub-surf</t>
  </si>
  <si>
    <t xml:space="preserve"> Opening of 10.00 m x 624.10 lm road with concreting of 5.00 m wide x 624.10 lm x 0.20 m thick two-lane road with 1.50 m wide shoulders on both sides; construction of grouted riprap slope protection; installation of 2 units 1-line x 10 lm x 910 mm ø RCPC; </t>
  </si>
  <si>
    <t xml:space="preserve"> Invitation to Bid July 21, 2020 1. The Municipality of Tinoc through the Bids and Awards Committee advertised an Invitation to bid for the PACKAGE 8 (A. BINABLAYAN PROPER ROAD CANAL CONSTRUCTION, AND B. HUHLUCAN-NAMPIWIHAN FMR IMPROVEMENT) funded under Ye</t>
  </si>
  <si>
    <t xml:space="preserve"> Republika ng Pilipinas                                                                     BAYAN NG CORTES                                                                        Surigao del Sur                                                         BIDS </t>
  </si>
  <si>
    <t xml:space="preserve"> Clearing &amp; Grubbing, Removal of Trees, Removal of Existing PCCP, Excavation, Embankment, Aggregate Sub-base Course, PCCP (0.20m thk.), Reinforcing Steel Bar, Structural Concrete &amp; Pipe Culverts</t>
  </si>
  <si>
    <t xml:space="preserve"> Invitation to Bid July 21, 2020 1. The Municipality of Tinoc through the Bids and Awards Committee advertised an Invitation to bid for the PACKAGE 12 (A. REROUTING OF PAMULLINGAN-BALAWA TO COCOY-BALAWA FMR, B. PINATPAT-PANTAL DRAINAGE CANAL IMPROVEMENT, a</t>
  </si>
  <si>
    <t xml:space="preserve"> Lot 1. thirteen (13) units of HAND TRACTOR          Specs:          1. Prime Mover:              a. Engine minimum-Diesel:6.44KW (10hp)              b. Continuous power: minimum 80% of rated power              c. Cooling system: air cooled          2. Tra</t>
  </si>
  <si>
    <t xml:space="preserve"> Akapulko Ointment, Aluminum Magnesium hydroxide susp. in 60ml, Amoxicillin trihydrate 250mg capsule in 100's, Tranexamic Acid 500mg tablet in 100's ,Zinc Sulfate 60ml Syrup, Surgical blade No.15 in 100's, EDTA evacuated tubes 2ml in 100's, Syringe Gauge 3</t>
  </si>
  <si>
    <t xml:space="preserve"> Province of Cagayan Municipality of Camalaniugan Barangay TAGUM July 21, 2020 INVITATION TO BID  FURNISHING AND DELIVERY OF VARIOUS MATERIALS FOR INSTALLATION OF CEILING, TILES AND ELECTRICALS OF MULTI-PURPOSE BUILDING AT BARANGAY TAGUM, CAMALANIUGAN, CAG</t>
  </si>
  <si>
    <t xml:space="preserve"> INVITATION TO BID NO. INFRA-2020-10 									 1.	The Municipal Government of Hungduan, Ifugao, through the 20% Municipal Development Fund intends to apply the sum of One Million Three Hundred Thirty Nine Thousand Two Hundred Thirty Seven Peso and Ninety E</t>
  </si>
  <si>
    <t xml:space="preserve"> 8-UNITS OF STREET LIGHTS</t>
  </si>
  <si>
    <t xml:space="preserve"> supply &amp; delivery of 5 unit motorcycles (see attached for the list of specifications)</t>
  </si>
  <si>
    <t xml:space="preserve"> INVITATION TO BID NO. INFRA-2020-16 									 1.	The Municipal Government of Hungduan, Ifugao, through the 20% Municipal Development Fund intends to apply the sum of Five Hundred Ninety Five Thousand Seven Hundred Ninety Five Pesos &amp; Sixty Five Centavos (</t>
  </si>
  <si>
    <t xml:space="preserve"> HOP-QR-PRO-005 Republic of the Philippines Department of Health DAVAO REGIONAL MEDICAL CENTER Apokon, Tagum City BIDS AND AWARDS COMMITTEE INVITATION TO BID FOR THE SUPPLY &amp; DELIVERY OF GALENICALS 1.	The Davao Regional Medical Center (DRMC), through the H</t>
  </si>
  <si>
    <t xml:space="preserve"> Bid Opening - August 11, 2020, 2:00 P.M. at Municipal Conference Hall</t>
  </si>
  <si>
    <t xml:space="preserve"> Republic of the Philippines Province of Samar Municipality of Sta. Rita The Municipality of Sta. Rita, through LGU fund intends to apply the sum of ONE MILLION SIX HUNDRED FIFTY THOUSAND PESOS (Php1,650,000.00) ONLY being the Approved Budget for the Contr</t>
  </si>
  <si>
    <t xml:space="preserve"> INVITATION TO BID NO. INFRA-2020-09 									 1.	The Municipal Government of Hungduan, Ifugao, through the 20% Municipal Development Fund intends to apply the sum of One Million Two Hundred Fifty Five Thousand Eight Hundred Seventeen Pesos &amp; Sixty Four Ce</t>
  </si>
  <si>
    <t xml:space="preserve"> INVITATION TO BID  for  Supply and Delivery of Pre-Mix Asphalt and Emulsified Asphalt Solicitation No. PANG-2020-0858 1.	The Provincial Government of Pangasinan, through the Construction, Repair &amp; Maintenance of Various Roads and Bridges intends to apply </t>
  </si>
  <si>
    <t xml:space="preserve"> Republic of the Philippines DR. EMILIO B. ESPINOSA, SR. MEMORIAL STATE COLLEGE  OF AGRICULTURE AND TECHNOLOGY (Masbate State College) BIDS AND AWARDS COMMITTEE http:www.debesmscat.edu.ph INVITATION TO BID FOR THE SUPPLY AND DELIVERY OF  EQUIPMENT, SUPPLIE</t>
  </si>
  <si>
    <t xml:space="preserve"> Bid Opening - August 13, 2020, 2:00 P.M. at Municipal Conference Hall</t>
  </si>
  <si>
    <t xml:space="preserve"> INVITATION TO BID  for  Supply and Delivery of 351 pax Meals (Breakfast, Lunch, Dinner) for the Inmates of the Pangasinan Provincial Jail for 92 days at PGO – Office of the Warden, Lingayen, Pangasinan  Solicitation No. PANG-2020-859 1.	The Provincial Gov</t>
  </si>
  <si>
    <t xml:space="preserve"> Section I. Invitation to Bid Republic of the Philippines Province of Romblon  Invitation to Bid for the  Construction of Pathological Pit, Malipayon District Hospital, Corcuera, Romblon July 22, 2020  1.	The Province of Romblon through the ADP CY 2020 AIP</t>
  </si>
  <si>
    <t xml:space="preserve"> Procurement of IT Equipments</t>
  </si>
  <si>
    <t xml:space="preserve"> Republic of the Philippines Province of Sultan Kudarat Municipality of Sen. Ninoy Aquino BIDS AND AWARDS COMMITTEE INVITATION TO BID FOR Purchase of Lighting Components (Provision of Lighting System) 1. The Municipal Government of Senator Ninoy Aquino, th</t>
  </si>
  <si>
    <t xml:space="preserve"> INVITATION TO BID  FOR THE Supply and Delivery of Fuel and Lubricants for Regravelling of Various Barangay Road I.B. No. 2020 - 0035 							 1. The LGU-Cabanatuan City, through the General Fund FY 2020 intends to apply the sum of Three Million Two Hundred</t>
  </si>
  <si>
    <t xml:space="preserve"> Republic of the Philippines BOHOL ISLAND STATE UNIVERSITY Main Campus, Tagbilaran City INVITATION TO BID FOR RE-BIDDING: PR NO. 2020-02-0267-MAIN-SUPPLY AND DELIVERY OF COSMETOLOGY EQUIPMENT FOR THE COSMETOLOGY TECHNOLOGY LABORATORY OF CTAS 1.	The Bohol I</t>
  </si>
  <si>
    <t xml:space="preserve"> Republic of the Philippines Province of Camarines Sur MUNICIPALITY OF BAAO INVITATION TO BID FOR THE CONSTRUCTION OF ALSUM-LOURDES ROAD PHASE II 1. The LOCAL GOVERNMENT UNIT OF BAAO, through the Budget for the contract approved by the Sanggunian 2020 inte</t>
  </si>
  <si>
    <t xml:space="preserve"> P.R. No. 20-0097 Republic of the Philippines ZAMBOANGA CITY WATER DISTRICT Pilar Street, Zamboanga City INVITATION TO BID  FOR  1. Liquid Poly Aluminum Chloride (PAC) ------------- 850 drums At 200 Liters/Drum content only	 	 SPECIFICATIONS:	 Alumina cont</t>
  </si>
  <si>
    <t xml:space="preserve"> Invitation to Bid July 21, 2020 1. The Municipality of Tinoc through the Bids and Awards Committee advertised an Invitation to bid for the PACKAGE 11 (A. LANDING-TUPAAN WATER SYSTEM CONSTRUCTION, AND B. ECOLODGE WATER SYSTEM-POBLACION) funded under Year 2</t>
  </si>
  <si>
    <t xml:space="preserve"> Section I. Invitation to Re-Bid Republic of the Philippines Province of Romblon  Invitation to Bid for the  Completion of Food Court    Poblacion, Cajidiocan, Romblon July 22, 2020  1.	The Province of Romblon through the ADP CY 2020 AIP Ref. Code 8000-1-0</t>
  </si>
  <si>
    <t xml:space="preserve"> 250 vials Flu Vaccine  &gt; Quadrivalent (4 strains)</t>
  </si>
  <si>
    <t xml:space="preserve"> To be delivered at DARPO, Davao Oriental. Supplier must be within Davao Region.</t>
  </si>
  <si>
    <t xml:space="preserve"> To be procured within Davao Region.</t>
  </si>
  <si>
    <t xml:space="preserve"> Check associated components.</t>
  </si>
  <si>
    <t xml:space="preserve"> 1.Suppliers/Bidders must download the attached Bid Document in the associated component section.</t>
  </si>
  <si>
    <t xml:space="preserve"> Please see the attached in the associated components</t>
  </si>
  <si>
    <t xml:space="preserve"> Please bring valid medical certificates upon attendance (note: certificates should be issued one week prior to the date of attendance)</t>
  </si>
  <si>
    <t xml:space="preserve"> Please contact to Mr. Reno C. Salazar the BAC Secretariat with CP # 09459852914 or you may call to Ms. Ma. Teresa L. Minguez the BAC Chairperson. Thanks and God Bless us all.</t>
  </si>
  <si>
    <t xml:space="preserve"> The submission of request for quotation form is on or before the closing date.</t>
  </si>
  <si>
    <t xml:space="preserve"> Construction of one-unit (1.5m x 1.5m x 1.5m) Source Tank, one-unit (1.5m x 1.5m x 1.5m) Outlet/Distribution tank and one-unit (5m x 5m x 2.8m) Storage/Collection Tank with water pipelines with total volume of 76.75.</t>
  </si>
  <si>
    <t xml:space="preserve"> 1	15	pack	Battery, dry cell, AA, 2 pcs per blister pack	</t>
  </si>
  <si>
    <t xml:space="preserve"> BID TENDER							</t>
  </si>
  <si>
    <t xml:space="preserve"> 1	3	units	Ondoy Boat (4-6 pax capacity)	</t>
  </si>
  <si>
    <t xml:space="preserve"> 1	4	pcs	S/S Hose Clamp #1¼	</t>
  </si>
  <si>
    <t xml:space="preserve"> Bid Documents will be available only to prospective bidders upon payment of a non-refundable amount										</t>
  </si>
  <si>
    <t xml:space="preserve"> MODULES</t>
  </si>
  <si>
    <t xml:space="preserve"> Cost of Bid Docs: Php 25,000.00</t>
  </si>
  <si>
    <t xml:space="preserve"> see associatded compoment</t>
  </si>
  <si>
    <t xml:space="preserve"> BID TENDER								</t>
  </si>
  <si>
    <t xml:space="preserve"> DEADLINE OF SUBMISSION OF SEALED QUOTATION AUGUST 12, 2020 AT 12:59 PM</t>
  </si>
  <si>
    <t xml:space="preserve"> RFQ is available at the associated components page.</t>
  </si>
  <si>
    <t xml:space="preserve"> SOURCE OF FUND:  20% DF, 2020</t>
  </si>
  <si>
    <t xml:space="preserve"> Please call 0998-247-0239 / 0906-256-9238 for other details...</t>
  </si>
  <si>
    <t xml:space="preserve"> please call to: 0998-247-0239   &amp;   0906-256-9238  for other details . . . .</t>
  </si>
  <si>
    <t xml:space="preserve"> please call to:  0998-247-0239  &amp;  0906-256-9238  for other details . . .</t>
  </si>
  <si>
    <t xml:space="preserve"> Deadline for submission of bid, August 12, 2020, 2pm.</t>
  </si>
  <si>
    <t xml:space="preserve"> Bidders must download the attached documents in the associated component section.</t>
  </si>
  <si>
    <t xml:space="preserve"> SEE REQUEST FOR QUOTATION</t>
  </si>
  <si>
    <t xml:space="preserve"> Please see attached Specifications</t>
  </si>
  <si>
    <t xml:space="preserve"> CONTACT PERSON:</t>
  </si>
  <si>
    <t xml:space="preserve"> Other document to be submitted:</t>
  </si>
  <si>
    <t xml:space="preserve"> CRFQ</t>
  </si>
  <si>
    <t xml:space="preserve"> see associated components</t>
  </si>
  <si>
    <t xml:space="preserve"> 1. Bidders must download the attached document in the associated component section and can also be downloaded for free at www.ilocossur.gov.ph.</t>
  </si>
  <si>
    <t xml:space="preserve"> Bidders must download the attached document in the associated component section and can also be downloaded for free at www.ilocossur.gov.ph.</t>
  </si>
  <si>
    <t xml:space="preserve"> https://drive.google.com/file/d/1fiWSAnQGo3JvDp9l4MzlO_q_OoYRwlhs/view?usp=drivesdk</t>
  </si>
  <si>
    <t xml:space="preserve"> https://drive.google.com/file/d/1szXt0il8nDc6AV1yCXXcVxN2546JucWb/view?usp=drivesdk</t>
  </si>
  <si>
    <t xml:space="preserve"> REMINDER:</t>
  </si>
  <si>
    <t xml:space="preserve"> https://drive.google.com/file/d/1CZNaP6ecuc-yk6jKz7ht7QM9e7FObABw/view?usp=drivesdk</t>
  </si>
  <si>
    <t xml:space="preserve"> For queries, please contact mobile no: 09062070955</t>
  </si>
  <si>
    <t xml:space="preserve"> call Ms. Judilyn Garcia</t>
  </si>
  <si>
    <t xml:space="preserve"> Issuance of Bid Documents: August 5-12, 2020</t>
  </si>
  <si>
    <t xml:space="preserve"> 1.) Availability of Request for Quotation (RFQ) can be downloaded here.</t>
  </si>
  <si>
    <t xml:space="preserve"> For queries, concerns, and submission of quotation, please contact</t>
  </si>
  <si>
    <t xml:space="preserve"> none</t>
  </si>
  <si>
    <t xml:space="preserve"> 3009 pcs of modular kit</t>
  </si>
  <si>
    <t xml:space="preserve"> Line Item awarding</t>
  </si>
  <si>
    <t xml:space="preserve"> Please submit your quotations to the General Services Office of the Local Government Unit of Dupax del Norte.</t>
  </si>
  <si>
    <t xml:space="preserve"> SEE ASSOCIATED COMPONENTS</t>
  </si>
  <si>
    <t xml:space="preserve"> Please be informed that the Bid Documents can’t be downloaded from the website. Prospective bidders are requested to acquire the documents directly and personally from the BAC Secretariat upon payment at the Municipal Treasury Office a corresponding fee of Php5,000.00 for the said project.</t>
  </si>
  <si>
    <t xml:space="preserve"> BIDDERS MUST BE FROM WITHIN THE PROVINCE OF ZAMBOANGA DEL NORTE AND MUST HAVE A PHYSICAL OFFICE AT THE ABOVE MENTION PROVINCE.</t>
  </si>
  <si>
    <t xml:space="preserve"> For the use of 4RCDG, ARC, PA</t>
  </si>
  <si>
    <t xml:space="preserve"> Bid documents are available at the office of Punong Barangay</t>
  </si>
  <si>
    <t xml:space="preserve"> Submission of Letter of Intent-   August 6-10, 2020</t>
  </si>
  <si>
    <t xml:space="preserve"> PLEASE SEE ATTACH DOWNLOADED FILES/DOCUMENTS</t>
  </si>
  <si>
    <t xml:space="preserve"> SUBMISSION OF LETTERS  OF INTENT  AND APPLICATION FOR ELIGIBILITY  WILL BE FROM  AUGUST 5-AUGUST  14,2020.CUT-OFF TIME FOR THE  SUBMISSION OF BIDS  WILL BE ON AUGUST 14,2020, 1:00 P.M.PRE-BID CONFERENCE WILL BE ON AUGUST 12,2020,1:00 P.M.OPENING OF BIDS AND ELIGIBILITY  CHECKING WILL BE AUGUST 14,2020, 1:00 P.M  AT  LAMAC,BARANGAY  HALL.BID DOCUMENTS  WILL BE AVAILABLE ONLY  UPON PAYMENT OF A NON-REFUNDABLE AMOUNT OF FIVE HUNDRED PEOSO( 500.00)  PAYABLE TO THE  BARANGAY TREASURER OF BARANGAY  LAMAC,PINAMUNGAJAN  CEBU</t>
  </si>
  <si>
    <t xml:space="preserve"> For inquiries, you may call (075) 632-1528 or email us at asinganwaterdistrict.bac@gmail.com</t>
  </si>
  <si>
    <t xml:space="preserve"> laptop</t>
  </si>
  <si>
    <t xml:space="preserve"> BIDDERS MUST DOWNLOAD THE ATTACHED DOCUMENTS IN THE ASSOCIATED COMPONENT SECTION</t>
  </si>
  <si>
    <t xml:space="preserve"> Please see attached at Associated Components</t>
  </si>
  <si>
    <t xml:space="preserve"> Please see file on associated component</t>
  </si>
  <si>
    <t xml:space="preserve"> REQUIREMENTS:</t>
  </si>
  <si>
    <t xml:space="preserve"> See Request for quotation</t>
  </si>
  <si>
    <t xml:space="preserve"> For maintenance 2020 ( Carpentry Works ) - Administration</t>
  </si>
  <si>
    <t xml:space="preserve"> Bid documents are available at the office of Punong Banrangay</t>
  </si>
  <si>
    <t xml:space="preserve"> Small Value Procurement documents are available at Prenza Barangay Hall</t>
  </si>
  <si>
    <t xml:space="preserve"> LCRB</t>
  </si>
  <si>
    <t xml:space="preserve"> The BAC is conducting the public bidding for this Contract in accordance with Republic Act No. 9184 and its Implementing Rules and Regulations (IRR).</t>
  </si>
  <si>
    <t xml:space="preserve"> For the use of OG1, 2ID, PA</t>
  </si>
  <si>
    <t xml:space="preserve"> NOTE: To all Suppliers,</t>
  </si>
  <si>
    <t xml:space="preserve"> https://drive.google.com/file/d/1KVBLVGaf1k4MtciBlvJLfHPoXODr6aKK/view?usp=drivesdk (Bidding Documents)</t>
  </si>
  <si>
    <t xml:space="preserve"> Please see attached file for quotation</t>
  </si>
  <si>
    <t xml:space="preserve"> REHABILITATION OF LINED CANAL AT PUROK 2, 3 &amp; 6</t>
  </si>
  <si>
    <t xml:space="preserve"> BIDDERS MUST BE FROM WITHIN THE PROVINCE OF ZAMBOANGA DEL NORTE AND MUST HAVE A PHYSICAL OFFICE WITHIN THE MENTIONED PROVINCE</t>
  </si>
  <si>
    <t xml:space="preserve"> The DICT-FOO-MC3 through its committee for SVP mode of procurement intend to procure AIRCON  UNIT as per specification above. As such, the supplier of known qualifications is hereby invited to submit their quotations/price proposals not later than August 12, 2020 at DICT-F. Torres St., Davao City The supplier must submit the ff. requirements:																																						</t>
  </si>
  <si>
    <t xml:space="preserve"> SPECS: </t>
  </si>
  <si>
    <t xml:space="preserve"> For queries, please refer to:</t>
  </si>
  <si>
    <t xml:space="preserve"> BID OPENING: AUGUST 24, 2020  1:00 PM  BAC OFFICE, MUNICIPAL HALL, STA. MARCELA, APAYAO</t>
  </si>
  <si>
    <t xml:space="preserve"> See Associated Components</t>
  </si>
  <si>
    <t xml:space="preserve"> See main document.</t>
  </si>
  <si>
    <t xml:space="preserve"> contact BAC Secretariat for requirements</t>
  </si>
  <si>
    <t xml:space="preserve"> The DICT-FOO-MC3 through its committee for SVP mode of procurement intend to procure SLIDING GLASS WINDOW as per specification above. As such, the supplier of known qualifications is hereby invited to submit their quotations/price proposals not later than August 12, 2020 at DICT-F. Torres St., Davao City The supplier must submit the ff. requirements:																																						</t>
  </si>
  <si>
    <t xml:space="preserve"> Please find attached Purchase Request and Quotation.</t>
  </si>
  <si>
    <t xml:space="preserve"> The deadline of Submission and opening of the RFQ are as follows:	</t>
  </si>
  <si>
    <t xml:space="preserve"> see request quotation</t>
  </si>
  <si>
    <t xml:space="preserve"> 2.	A set of technical specifications for the above items are provided in Attachment/s # 1.  All items listed under the purchasers’ specifications must be complied on a pass-fail basis.  Failure to meet any one of the requirements may result to rejection.</t>
  </si>
  <si>
    <t xml:space="preserve"> AS PER BAC INTERNAL RULE, YOU ARE REQUIRED TO ATTEND THE PREBID CONFERENCE AS SCHEDULED.</t>
  </si>
  <si>
    <t xml:space="preserve"> OPENING OF PRICE QUOTATION ON AUGUST 14, 2020 2:00 P.M. AT  DENR-PENR OFFICE, SAN VICTORIES, BRGY. 9, MALAYBALAY CITY</t>
  </si>
  <si>
    <t xml:space="preserve"> Please indicate the brand and model of your offer. Thank you.</t>
  </si>
  <si>
    <t xml:space="preserve"> -VAT Inclusive</t>
  </si>
  <si>
    <t xml:space="preserve"> Bidders are required to read the instructions:</t>
  </si>
  <si>
    <t xml:space="preserve"> SUPPLIER OR BIDDER MUST DOWNLOAD THE ATTACHED DOCUMENT IN THE ASSOCIATED COMPONENT SECTION.</t>
  </si>
  <si>
    <t xml:space="preserve"> FOR COMPLIANCE</t>
  </si>
  <si>
    <t xml:space="preserve"> For inquiry, call BAC sec</t>
  </si>
  <si>
    <t xml:space="preserve"> Please visit BAC Office Bubual San Pablo, Zambo. Sur</t>
  </si>
  <si>
    <t xml:space="preserve"> 1	AMBULANCE</t>
  </si>
  <si>
    <t xml:space="preserve"> See associated Components</t>
  </si>
  <si>
    <t xml:space="preserve"> https://drive.google.com/file/d/1EzdOdOcRmNGNE-tycCeEpBZs25hxeiu_/view?usp=drivesdk</t>
  </si>
  <si>
    <t xml:space="preserve"> 1	Diesoline	 4,440   Liters</t>
  </si>
  <si>
    <t xml:space="preserve"> The DICT-FOO-MC3 through its committee for SVP mode of procurement intend to procure CONSTRUCTION MATERIALS as per specification above. As such, the supplier of known qualifications is hereby invited to submit their quotations/price proposals not later than August  12, 2020 at DICT-F. Torres St., Davao City The supplier must submit the ff. requirements:																																						</t>
  </si>
  <si>
    <t xml:space="preserve"> BIDDERS MUST BE FROM WITHIN THE PROVINCE OF ZAMBOANGA DEL NORTE AND MUST HAVE A PHYSICAL OFFICE WITHIN THE SAID PROVINCE.</t>
  </si>
  <si>
    <t xml:space="preserve"> issuance of bid documents - August 5-26, 2020</t>
  </si>
  <si>
    <t xml:space="preserve"> 1	Portland cement	350	Bags</t>
  </si>
  <si>
    <t xml:space="preserve"> The Municipal Government of Dauin, Negros Oriental, through Supplemental #2 Fund,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</si>
  <si>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Please download the Bid Document in the Associated Component.</t>
  </si>
  <si>
    <t xml:space="preserve"> Opening: August 11, 2020 at 10:00 A.M.</t>
  </si>
  <si>
    <t xml:space="preserve"> https://drive.google.com/file/d/1YfrpZpc_LWwKDnd1A0lZxLXtiSFpKk-Q/view?usp=drivesdk</t>
  </si>
  <si>
    <t xml:space="preserve"> The submission of the request for quotation is on or before the closing date.</t>
  </si>
  <si>
    <t xml:space="preserve"> Please download the RFQ in the Associated Component.</t>
  </si>
  <si>
    <t xml:space="preserve"> 1	Portland cement	10	Bags</t>
  </si>
  <si>
    <t xml:space="preserve"> Other Information</t>
  </si>
  <si>
    <t xml:space="preserve"> CHECK: https://drive.google.com/file/d/1bcOFGN9j-J8HOOWLU0KjOUxfviXo3mDH/view?usp=drivesdk</t>
  </si>
  <si>
    <t xml:space="preserve"> The Municipal Government of Dauin, Negros Oriental, through CRM Fund,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</si>
  <si>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Please refer to the attached Request for Quotation (RFQ) for complete and detailed specifications. For queries, please call at 317-1768 local 779 and look for Mr. John P. Natividad.</t>
  </si>
  <si>
    <t xml:space="preserve"> https://drive.google.com/file/d/1nng2vf4XL5yja9ljnvgVD5Ve0ZfA40Wr/view?usp=drivesdk</t>
  </si>
  <si>
    <t xml:space="preserve"> Bidder must download the attached document in the associated component</t>
  </si>
  <si>
    <t xml:space="preserve"> You may download bidding documents using the link below:</t>
  </si>
  <si>
    <t xml:space="preserve"> A business tax will be levied to the winning Supplier/Contractor based on the total contract cost pursuant to Chapter 2. Article I. Section 11 in relation to Chapter 2. Article 1. Section 7 (a) to (h) of the Revised Revenue Code of Nabunturan 2016.</t>
  </si>
  <si>
    <t xml:space="preserve"> BID OPENING: AUGUST 12, 2020    3:00PM  BAC OFFICE, MUNICIPAL HALL, STA. MARCELA, APAYAO</t>
  </si>
  <si>
    <t xml:space="preserve"> Please Quote your lowest price on the item/s listed above, subject to the General Conditions, stating the shortest time of delivery and submit your quotation duly signed by your representative not later than August 10, 2020, 4:00 P.M. at the Bids and Awards Committee Office, 3rd Floor, Provincial Capitol Building, Bontoc, Mountain Province.</t>
  </si>
  <si>
    <t xml:space="preserve"> The closing date shall be on the 3rd day after the date published on the Philgeps website</t>
  </si>
  <si>
    <t xml:space="preserve"> DATE OF PUBLIC BIDDING: AUGUST 12, 2020 @ 10:00 A.M</t>
  </si>
  <si>
    <t xml:space="preserve"> ALL INTERESTED BIDDERS ARE REQUIRED TO SUBMIT THEIR COMPLETE ELIGIBILITY REQUIREMENTS TO THE BAC FOR EVALUATION DURING THE PRE-BID CONFERENCE ON AUGUST 12, 2020 8:00A.M. AT THE BAC SECRETARIAT OFFICE, 2ND FLOOR, CITY HALL OF DASMARIÑAS, CAVITE. BIDDERS WHO SHALL FAIL TO ATTEND THE PRE-BID SHALL NOT BE ALLOWED TO JOIN THE BIDDING FOR THE AFORESAID PROJECT. </t>
  </si>
  <si>
    <t xml:space="preserve"> SOURCE OF FUND: AB-2020</t>
  </si>
  <si>
    <t xml:space="preserve"> Submit your quotation together with your PhilGEPS Cert.</t>
  </si>
  <si>
    <t xml:space="preserve"> The submission of request for quotation is on or before the closing date.</t>
  </si>
  <si>
    <t xml:space="preserve"> Please submit scanned  copy of your signed Quotation @ </t>
  </si>
  <si>
    <t xml:space="preserve"> Kindly see RFQ</t>
  </si>
  <si>
    <t xml:space="preserve"> https://drive.google.com/file/d/1GnumjKsk-HDCGaJdHHunc_qUGvdcQICQ/view?usp=drivesdk</t>
  </si>
  <si>
    <t xml:space="preserve"> Bidder must be download the attached document in the associate component</t>
  </si>
  <si>
    <t xml:space="preserve"> Issuance of Bid Documents: August. 5-12, 2020</t>
  </si>
  <si>
    <t xml:space="preserve"> The schedule of opening the bid will be on August 17, 2020 at exactly 3:00 o'clock in the afternoon at the BAC Office LGU Dauis, Bohol.</t>
  </si>
  <si>
    <t xml:space="preserve"> For other information and queries, visit us at Headquarters 113th Contracting Office, AFPPS, Camp O'Donnell, Brgy Sta Lucia, Capas Tarlac and look for Chief 113th CO, AFPPS. Submission of Request for Quotation must reach to this Office not later than 101000H August 2020 for the opening of Canvass at 113th CO conference room.</t>
  </si>
  <si>
    <t xml:space="preserve"> Please See Attached</t>
  </si>
  <si>
    <t xml:space="preserve"> to download the attached RFQ, kindly copy or click the link below</t>
  </si>
  <si>
    <t xml:space="preserve"> Bidder must be download the attach document in the associate component</t>
  </si>
  <si>
    <t xml:space="preserve"> Republic of the Philippines</t>
  </si>
  <si>
    <t xml:space="preserve"> Bidder must be download the attached document in the associate componente</t>
  </si>
  <si>
    <t xml:space="preserve"> https://drive.google.com/file/d/1prYvRaJzmzovDd-F9YURj3RzGz4cup7e/view?usp=drivesdk</t>
  </si>
  <si>
    <t xml:space="preserve"> Kindly see the Plan and details</t>
  </si>
  <si>
    <t xml:space="preserve"> RFQ Available @ BAC Office</t>
  </si>
  <si>
    <t xml:space="preserve"> For more information, please call </t>
  </si>
  <si>
    <t xml:space="preserve"> BIDDERS MUST BE FROM WITHIN THE PROVINCE OF ZAMBOANGA DEL NORTE AND MUST HAVE A PHYSICAL OFFICE WITHIN THE PROVINCE</t>
  </si>
  <si>
    <t xml:space="preserve"> BIDDERS MUST FROM WITHIN THE PROVINCE OF ZAMBOANGA DEL NORTE AND MUST HAVE A PHYSICAL OFFICE WITHIN IN THE PROVINCE</t>
  </si>
  <si>
    <t xml:space="preserve"> Check Associated Components</t>
  </si>
  <si>
    <t xml:space="preserve"> HIGH QUALITY</t>
  </si>
  <si>
    <t xml:space="preserve"> 630 PAX MEALS</t>
  </si>
  <si>
    <t xml:space="preserve"> For more details, please refer to:</t>
  </si>
  <si>
    <t xml:space="preserve"> https://drive.google.com/file/d/11n_ljFmoSdLPREtd3F1k886FMJvGJ8P5/view?usp=drivesdk</t>
  </si>
  <si>
    <t xml:space="preserve"> Bid Documents must be secured from the BAC Secretariat, Leyte SMED Center, Provincial Capitol Grounds, Tacloban City</t>
  </si>
  <si>
    <t xml:space="preserve"> Preferably bidders within Davao City only</t>
  </si>
  <si>
    <t xml:space="preserve"> SSUANCE OF BIDDING DOCUMENTS: August 5, 2020- August 24, 2020</t>
  </si>
  <si>
    <t xml:space="preserve"> BIDDERS MUST BE FROM THE PROVINCE OF ZAMBOANGA DEL NORTE AND MUST BE HAVE A PHYSICAL OFFICE WITHIN THE PROVINCE.</t>
  </si>
  <si>
    <t xml:space="preserve"> Bidding: August 12, 2020</t>
  </si>
  <si>
    <t xml:space="preserve"> Interested suppliers are required to submit their valid and current Mayors Permit, DTI registration, BIR Registration, Tax Clearance, PhilGEPS Platinum Registration Certificate and Price Quotation.</t>
  </si>
  <si>
    <t xml:space="preserve"> You may submit your quotation through the ff.:</t>
  </si>
  <si>
    <t xml:space="preserve"> Second Time Bidding</t>
  </si>
  <si>
    <t xml:space="preserve"> https://drive.google.com/file/d/15qM9Yb3ee7OmkaB3_R-lJIFkU4LLq8u8/view?usp=drivesdk</t>
  </si>
  <si>
    <t xml:space="preserve"> This is a project of Barangay Diwan, please collect Bid Documents at Barangay Hall, Diwan, Dipolog City.</t>
  </si>
  <si>
    <t xml:space="preserve"> https://drive.google.com/file/d/1B8B2Pgl8_DpSMknu7KpRmhNjyjYhjK5O/view?usp=drivesdk</t>
  </si>
  <si>
    <t xml:space="preserve"> kindly download he attached bidding documents for the requirements and specifications.</t>
  </si>
  <si>
    <t xml:space="preserve"> https://drive.google.com/file/d/1Nl3F1-nHeDkWUifxNrE8jcGU1qksCxDc/view?usp=drivesdk</t>
  </si>
  <si>
    <t xml:space="preserve"> BIDDERS MUST BE FROM THE PROVINCE OF ZAMBOANGA DEL NORTE AND MUST HAVE A PHYSICAL OFFICE AT THE SAID PROVINCE</t>
  </si>
  <si>
    <t xml:space="preserve"> None</t>
  </si>
  <si>
    <t xml:space="preserve"> https://drive.google.com/file/d/1KTmpIEFgOd0eaMMQvTfI2gxP3BlM_JXl/view?usp=drivesdk</t>
  </si>
  <si>
    <t xml:space="preserve"> Please submit your quotation at Department of Agrarian Reform (DAR), Cabatuan Road, San Fermin, Cauayan City, Isabela on or before the closing date</t>
  </si>
  <si>
    <t xml:space="preserve"> 1.	Quotation must be your single best offer.</t>
  </si>
  <si>
    <t xml:space="preserve"> Bid documents are available at the office of the Punong Barangay</t>
  </si>
  <si>
    <t xml:space="preserve"> 1	Bidders are required to read the instructions  and fill ALL the blanks in typewritten form or written legibly in permanent ink.		 </t>
  </si>
  <si>
    <t xml:space="preserve"> To Our Supplier, Bid Documents are Available at BAC Secretariat</t>
  </si>
  <si>
    <t xml:space="preserve"> contact BAC Secretariat for specs &amp; requirements</t>
  </si>
  <si>
    <t xml:space="preserve"> Prospective bidders should submit duly accomplished Quotation Form with Attachment 1 and authenticated copies of the following documents, to wit:</t>
  </si>
  <si>
    <t xml:space="preserve"> Issuance of LOI : August 5, 2020 to August 14, 2020 / 8:00am to 5:00pm</t>
  </si>
  <si>
    <t xml:space="preserve"> The DICT-FOO-MC3 through its committee for SVP mode of procurement intend to procure PAINTING MATERIALS as per specification above. As such, the supplier of known qualifications is hereby invited to submit their quotations/price proposals not later than August 12, 2020 at DICT-F. Torres St., Davao City The supplier must submit the ff. requirements:																																						</t>
  </si>
  <si>
    <t xml:space="preserve"> get rfq from BAC secretariat</t>
  </si>
  <si>
    <t xml:space="preserve"> Criteria: Pass or Fail </t>
  </si>
  <si>
    <t xml:space="preserve"> THIS IS FOR BRGY GENERAL, TUDELA, CEBU</t>
  </si>
  <si>
    <t xml:space="preserve"> 1. DTI Business Name Registration or SEC Registration ,CDA Registration</t>
  </si>
  <si>
    <t xml:space="preserve"> Visit BAC Office and Bring the following requirements when acquiring prescribe Quotation Form and other inquiries:</t>
  </si>
  <si>
    <t xml:space="preserve"> https://drive.google.com/file/d/1KNo-ll4-27iYl2w292fBfNCn2239os9W/view?usp=drivesdk</t>
  </si>
  <si>
    <t xml:space="preserve"> Please download Associated Components “Request for Quotation” at www.philgeps.gov.ph or www.cagayandeoro.da.gov.ph &amp; send your sealed quotation with signature by fastest means or drop your sealed quotation with signature reflecting PR Number at the quotation box provided by BAC</t>
  </si>
  <si>
    <t xml:space="preserve"> 1.	30	units	Fabrication of Storage Bins</t>
  </si>
  <si>
    <t xml:space="preserve"> Area of Delivery: Quezon City</t>
  </si>
  <si>
    <t xml:space="preserve"> https://drive.google.com/file/d/1dY4aKPYroQ5NuDfBW7liljYgEZgh5NTk/view?usp=drivesdk</t>
  </si>
  <si>
    <t xml:space="preserve"> BIDDERS MUST BE FROM THE PROVINCE OF ZAMBOANGA DEL NORTE AND MUST HAVE A PHYSICAL OFFICE WITHIN THE PROVINCE</t>
  </si>
  <si>
    <t xml:space="preserve"> For more information and details, please contact the BAC Secretariat</t>
  </si>
  <si>
    <t xml:space="preserve"> https://drive.google.com/file/d/1Wpn6g2weRJbU6gzBZV5S9Vr9tQSK2MMi/view?usp=drivesdk</t>
  </si>
  <si>
    <t xml:space="preserve"> https://drive.google.com/file/d/1txQjl50yT2Vo-3s1n8YkiK3E6pjO_up7/view?usp=drivesdk</t>
  </si>
  <si>
    <t xml:space="preserve"> For the use of 2IMB, IMCOM, PA</t>
  </si>
  <si>
    <t xml:space="preserve"> Please see attach downloaded files/documents</t>
  </si>
  <si>
    <t xml:space="preserve"> https://drive.google.com/file/d/1mZB1o7Nfr3tbcd5g9FF1j1LGkh1wk-po/view?usp=drivesdk</t>
  </si>
  <si>
    <t xml:space="preserve"> https://drive.google.com/file/d/1feZkD2N-UivyCbnrZX0bFmZ_K7sG6HNh/view?usp=drivesdk</t>
  </si>
  <si>
    <t xml:space="preserve"> https://drive.google.com/file/d/1kS9Qhi-_AF2kVe8d-DijLQWMqzD0lEX_/view?usp=drivesdk</t>
  </si>
  <si>
    <t xml:space="preserve"> james03repita@gmail.com</t>
  </si>
  <si>
    <t xml:space="preserve"> https://drive.google.com/file/d/1AGgPBPuVBw3FJvYClfSCPNXzhkJj8YUH/view?usp=drivesdk</t>
  </si>
  <si>
    <t xml:space="preserve"> ISSUANCE OF BIDDING DOCUMENTS: AUGUST 4, 2020- AUGUST 24, 2020</t>
  </si>
  <si>
    <t xml:space="preserve"> Place of Delivery:Sipalay City, Negros Occidental</t>
  </si>
  <si>
    <t xml:space="preserve"> 1. Interested bidders may obtain further information from the LOCAL GOVERNMENT UNIT OF TAYUM BAC Chairman from 8:00 AM to 5:00 PM.</t>
  </si>
  <si>
    <t xml:space="preserve"> Please visit BAC office</t>
  </si>
  <si>
    <t xml:space="preserve"> For clarifications, just contact the BAC Secretariat of DOH CHD-NM at telephone # (088) 858-7123 local 227 in JV Seriña St., Carmen, Cagayan de Oro City from Monday until Friday (8:00 am to 5:00 pm). Just look for Ms. Marilou A. Gecosala, the Head of Procurement Unit.</t>
  </si>
  <si>
    <t xml:space="preserve"> Bidders must download document in the associated component section</t>
  </si>
  <si>
    <t xml:space="preserve"> ***Please see attached Request for Quotation...</t>
  </si>
  <si>
    <t xml:space="preserve"> Fund Source CO Mayor's Office</t>
  </si>
  <si>
    <t xml:space="preserve"> ISSUANCE OF BIDDING DOCUMENTS: August 4, 2020- August 24, 2020</t>
  </si>
  <si>
    <t xml:space="preserve"> BIDDERS MUST DOWNLOAD THE DOCUMENTS IN THE ASSOCIATED COMPONENT</t>
  </si>
  <si>
    <t xml:space="preserve"> Please download ITB &amp; Biddocs in the Associated Components for reference.</t>
  </si>
  <si>
    <t xml:space="preserve"> I.	SUMMARY</t>
  </si>
  <si>
    <t xml:space="preserve"> ISSUANCE OF BIDDING DOCUMENTS: AUgust 4, 2020- AUgust 24, 2020</t>
  </si>
  <si>
    <t xml:space="preserve"> Please submit sealed quotation.</t>
  </si>
  <si>
    <t xml:space="preserve"> All quotations must be in the prescribed canvass form and suppliers or its duly authorized representative shall personally submit the same to the City Procurement Office, City Government of Antipolo.</t>
  </si>
  <si>
    <t xml:space="preserve"> Please refer to the attached Request for Quotation (RFQ) for complete and detailed specifications. For queries, please call at 317-1768 local 519/532/784 and look for Mr. Joemar D. Sajona.</t>
  </si>
  <si>
    <t xml:space="preserve"> Interested supplier's please submit certificate of philgeps registration, mayor's permit &amp; tax clearance.</t>
  </si>
  <si>
    <t xml:space="preserve"> https://drive.google.com/file/d/1NFyxV-gjBjWtUkpGoKFIBtzT_fPXE6E7/view?usp=drivesdk</t>
  </si>
  <si>
    <t xml:space="preserve"> A copy of your legal requirements (CPR, Mayor's/Business Permit, Platinum Philgeps Certificate, Business Tax/ITR, Sec, Tax Clearance and Omnibus Sworn Statement ) is also required to be submitted along with your quotation / proposal.</t>
  </si>
  <si>
    <t xml:space="preserve"> https://drive.google.com/file/d/1eDF5yjy9T4-A7qmChQnB8sI6jKwjiZbR/view?usp=drivesdk</t>
  </si>
  <si>
    <t xml:space="preserve"> https://drive.google.com/file/d/14DCoLEuwtaNpYivZHEh3B2h1xHWDh_oe/view?usp=drivesdk</t>
  </si>
  <si>
    <t xml:space="preserve"> Please see attached document for details.</t>
  </si>
  <si>
    <t xml:space="preserve"> Prospective bidder may seek further information through BAC Office @469-9056.</t>
  </si>
  <si>
    <t xml:space="preserve"> ISSUANCE OF BIDDING DOCUMENTS: August 4, 2020- AUgust 24, 2020</t>
  </si>
  <si>
    <t xml:space="preserve"> ITEMS :</t>
  </si>
  <si>
    <t xml:space="preserve"> Please contact to Mr. Reno C. Salazar the BAC Secretary with CP # 09459852914 or you may call to Ms. Ma. Teresa L. Minguez the BAC Chairperson with CP # 09778033758. Thanks and God Bless us all.</t>
  </si>
  <si>
    <t xml:space="preserve"> Materials &amp; Fittings</t>
  </si>
  <si>
    <t xml:space="preserve"> 1.Suppliers/Bidders must download the attached Document/RFQ in the associated component section.</t>
  </si>
  <si>
    <t xml:space="preserve"> Bidders must download the attached document in the associated components section.</t>
  </si>
  <si>
    <t xml:space="preserve"> see attached specs on last page</t>
  </si>
  <si>
    <t xml:space="preserve"> Pls visit our office at 201st Contracting Office, AFPPS, Clark Air Base, Mabalacat City, Pampanga</t>
  </si>
  <si>
    <t xml:space="preserve"> FUNDED UNDER CAPITAL OUTLAY - AB 2020</t>
  </si>
  <si>
    <t xml:space="preserve"> https://drive.google.com/file/d/1ERyAsGC_8A0VkGnv2Bxw26YP_PrnlL2A/view?usp=drivesdk</t>
  </si>
  <si>
    <t xml:space="preserve"> For more information please call Pedro Cruz Elementary School at Tel. No: 09178284626  . Prospective supplier shall be responsible to verify the quoted items from above stated School and Telephone No/s</t>
  </si>
  <si>
    <t xml:space="preserve"> FOR INQUIRY PLEASE PROCEED TO BAC OFFICE</t>
  </si>
  <si>
    <t xml:space="preserve"> Should be in A4</t>
  </si>
  <si>
    <t xml:space="preserve"> Prospective bidder/s should attach PhilGEPS Registration Certificate and Notarized Omnibus Sworn Statement with the quotation.</t>
  </si>
  <si>
    <t xml:space="preserve"> CHECKLIST FOR BIDDING OF GOODS</t>
  </si>
  <si>
    <t xml:space="preserve"> Also available at DPWH website.</t>
  </si>
  <si>
    <t xml:space="preserve"> Must be delivered to Batuan Elementary School, Valladolid, Negros Occidental</t>
  </si>
  <si>
    <t xml:space="preserve"> BIDDERS MUST DOWNLOAD THE ATTACHED DOCUMENT IN THE ASSOCIATED COMPONENT SECTION</t>
  </si>
  <si>
    <t xml:space="preserve"> BIDDER MUST DOWNLOAD THE ATTACHED DOCUMENT IN THE ASSOCIATED COMPONENT SECTION.</t>
  </si>
  <si>
    <t xml:space="preserve"> DESCRIPTION - CONCRETING</t>
  </si>
  <si>
    <t xml:space="preserve"> Brand names of all items must be indicated in the bid.</t>
  </si>
  <si>
    <t xml:space="preserve"> FOR THE INSTALLATION OF CLOSE CIRCUIT TELEVISION (CCTV)			</t>
  </si>
  <si>
    <t xml:space="preserve"> Please see attached Bidding Document for more details.</t>
  </si>
  <si>
    <t xml:space="preserve"> INVITATION TO BID</t>
  </si>
  <si>
    <t xml:space="preserve"> THOMAS ADRIAN GRIARTE</t>
  </si>
  <si>
    <t xml:space="preserve"> FUND SOURCE-CO Mayor's Office</t>
  </si>
  <si>
    <t xml:space="preserve"> Payment for the item to be procured is COD upon acceptance of the P.O. of the Winning Supplier</t>
  </si>
  <si>
    <t xml:space="preserve"> RFQ# 109CO – 08 – 2020 – 133 is ready and available at 109th CO, AFPPS, Camp Elias Angeles, San Jose, Pili, Camarines Sur</t>
  </si>
  <si>
    <t xml:space="preserve"> REMINDERS:</t>
  </si>
  <si>
    <t xml:space="preserve"> You can download the Bidding Documents Here:</t>
  </si>
  <si>
    <t xml:space="preserve"> Free delivery</t>
  </si>
  <si>
    <t xml:space="preserve"> Interested supplier must download Associated Components or pick-up rfq  at Office</t>
  </si>
  <si>
    <t xml:space="preserve"> UPLOADED DOCUMENTS ARE ALSO AVAILABLE IN DPWH WEBSITE.</t>
  </si>
  <si>
    <t xml:space="preserve"> For more details, please contact Barangay Captain Juvenile P. Medequiso, Sr. with his Mobile No. 09483976852.</t>
  </si>
  <si>
    <t xml:space="preserve"> 	Option to reserve the stock for the VMMC: seven (7) working days after the opening of this canvass</t>
  </si>
  <si>
    <t xml:space="preserve"> Please download RFQ thru the Associated Component under the Bid Notice Abstract</t>
  </si>
  <si>
    <t xml:space="preserve"> Suppliers are required to submit their quotation/written proposal with the following documents on or before JULY AUGUST 10, 2020 9:00 AM at BAC Office, this LGU, to wit:</t>
  </si>
  <si>
    <t xml:space="preserve"> All suppliers must submit their quotation together with the following:</t>
  </si>
  <si>
    <t xml:space="preserve"> UPLOADED DOCS ARE ALSO AVAILABLE IN DPWH WEBSITE</t>
  </si>
  <si>
    <t xml:space="preserve"> Bid Docs Fee P/10,000.00</t>
  </si>
  <si>
    <t xml:space="preserve"> LEVI C. EDMA</t>
  </si>
  <si>
    <t xml:space="preserve"> Bid Docs PhP 500.00</t>
  </si>
  <si>
    <t xml:space="preserve"> CONTACT PERSON: BRYAN C. NIODA</t>
  </si>
  <si>
    <t xml:space="preserve"> https://drive.google.com/file/d/12bp2DicUcwSXQGg4t0cVzaiHgMrOYHd3/view?usp=drivesdk</t>
  </si>
  <si>
    <t xml:space="preserve"> https://drive.google.com/file/d/1DTBcis-JCBafXRj4-bqYZ_2MVJL8Hiv9/view?usp=drivesdk</t>
  </si>
  <si>
    <t xml:space="preserve"> TO BE Deliver and install at MAMFIC, Fd. Rd. 3, Tibal-og, Sto. Tomas, Davao del Norte</t>
  </si>
  <si>
    <t xml:space="preserve"> Other Technical/Financial Requirements: </t>
  </si>
  <si>
    <t xml:space="preserve"> For inquiries, you may reach us at (075) 632-1528 or email us at asinganwaterdistrict.bac@gmail.com</t>
  </si>
  <si>
    <t xml:space="preserve"> Fund Source - CO Mayor's Office</t>
  </si>
  <si>
    <t xml:space="preserve"> Green Procurement Technical Specifications:</t>
  </si>
  <si>
    <t xml:space="preserve"> https://drive.google.com/file/d/1H4fW1GM4FDs_zRbCrEHJecmHvAHPV0qR/view?usp=drivesdk</t>
  </si>
  <si>
    <t xml:space="preserve"> ***Please see attached Request for Quotation....</t>
  </si>
  <si>
    <t xml:space="preserve"> https://drive.google.com/file/d/1rC21UVKcoonFsTMYy2rVNdF3pc68Noit/view?usp=drivesdk</t>
  </si>
  <si>
    <t xml:space="preserve"> The Schedule of BAC Activities is as follows:</t>
  </si>
  <si>
    <t xml:space="preserve"> Items will be delivered at SAO Office, AETDC, FAB, Lipa City, Batangas. lateral coordination is highly appreciated.</t>
  </si>
  <si>
    <t xml:space="preserve"> LINKS TO DOWNLOAD THE TERMS OF REFERENCE (TOR) AND PLANS</t>
  </si>
  <si>
    <t xml:space="preserve"> The Municipality of San Jose reserves the right to accept or reject any bid, to annual biding process and to reject all bids at any time prior to the contract award, without hereby any liability to the affected bidder or bidders.</t>
  </si>
  <si>
    <t xml:space="preserve"> For Child Development Center Supplies</t>
  </si>
  <si>
    <t xml:space="preserve"> VICKY R. DURANA, MPA</t>
  </si>
  <si>
    <t xml:space="preserve"> Please see attached Notice of Negotiated Procurement for more details.</t>
  </si>
  <si>
    <t xml:space="preserve"> The municipality of Kapangan reserves the right to reject any and all bids, declare a failure of bidding, or not award the contract at any time prior to contract award in accordance with section 41 of RA 9184 and its IRR, without thereby incurring any liability to the affected bidder/s.</t>
  </si>
  <si>
    <t xml:space="preserve"> Items will be delivered at SAO Office, AETDC, FAB, lipa City, Batangas. Lateral coordination is highly appreciated.</t>
  </si>
  <si>
    <t xml:space="preserve"> Please submit your quotation and legal documents on or before 7 AUGUST 2020 thru email at christian_serrano@tpb.gov.ph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</si>
  <si>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Documentary Requirements:</t>
  </si>
  <si>
    <t xml:space="preserve"> https://drive.google.com/file/d/1EmAmEf2B-TI2F09nl2CLK2RPR57ln6-b/view?usp=drivesdk</t>
  </si>
  <si>
    <t xml:space="preserve"> https://drive.google.com/file/d/1vp-HAIV-zVV6TQxERenmziFzYacTTWAA/view?usp=drivesdk</t>
  </si>
  <si>
    <t xml:space="preserve"> Interested bidders/suppliers may download attached documents located in the Associated Component Section.</t>
  </si>
  <si>
    <t xml:space="preserve"> Bidder must download the attached document in the associated component section.</t>
  </si>
  <si>
    <t xml:space="preserve"> Interested/Prospective bidders are advised to go directly to the Bids and Awards Committee (BAC) of the aforesaid barangay. This is for posting purposes only since the concerned barangay has no internet connection for uploading purposes.</t>
  </si>
  <si>
    <t xml:space="preserve"> email: bacsecretariat@customs.gov.ph</t>
  </si>
  <si>
    <t xml:space="preserve"> The  following documents may be requested from the WINNING SUPPLIER:</t>
  </si>
  <si>
    <t xml:space="preserve"> Bidders must download the attached document in the associated component section</t>
  </si>
  <si>
    <t xml:space="preserve"> All interested bidders/suppliers must submit their request for quotation form (filled up) at the BAC Office 3rd floor Municipal Hall, Abatan, Buguias, Benguet starting August 4, 2020 from 9:00 PM- 4:00 PM.</t>
  </si>
  <si>
    <t xml:space="preserve"> Barangay Antipolo Old, Nabua, Camarines Sur reserves the right to accept or reject any bid, to annual bidding process, and to reject all bids at anytime prior to contract, award, without thereby incurring liability to the affected Bidder of Bidders.</t>
  </si>
  <si>
    <t xml:space="preserve"> During submission of Letter of Intent (LOI), kindly bring original copies of PCAB License, Mayor’s Business Permit and Department of Trade and Industry (DTI) Business Name Registration, authorization from the Authorized Managing Officer (AMO) is not allowed.</t>
  </si>
  <si>
    <t xml:space="preserve"> 1. Any specifications other than those required/stated to this form shall not be considered in the evaluation of bid.</t>
  </si>
  <si>
    <t xml:space="preserve"> Please see associated files attached.</t>
  </si>
  <si>
    <t xml:space="preserve"> for more information just contact barangay secretariat of Barangay Bagumbayan Tigbauan, Iloilo</t>
  </si>
  <si>
    <t xml:space="preserve"> For further information about the project, please kindly contact the telephone number provided in the Invitation to Bid. For the Pre-Bidding and Bidding Conference, a Zoom Conference will be held on the given date and time.</t>
  </si>
  <si>
    <t xml:space="preserve"> During submission of Letter of Intent (LOI), kindly bring original copies of Mayor’s Business Permit and Department of Trade and Industry (DTI) Business Name Registration, authorization from the Authorized Managing Officer (AMO) is not allowed.</t>
  </si>
  <si>
    <t xml:space="preserve"> TERMS AND CONDITIONS</t>
  </si>
  <si>
    <t xml:space="preserve"> for more information just contact barangay secretariat of Barangay 9 Poblacion Tigbauan, Iloilo</t>
  </si>
  <si>
    <t xml:space="preserve"> All interested bidders must purchase bid document at Municipal Treasury Office together with the letter of intent before going to the BAC Office, 3rd floor, Municipal Bldg. Abatan, Buguias, Benguet from August 11, 2020 starting 3:00 PM - 4:00 PM.</t>
  </si>
  <si>
    <t xml:space="preserve"> For further information, please refer to:</t>
  </si>
  <si>
    <t xml:space="preserve"> All interested bidders must purchase bid document at Municipal Treasury Office together with the letter of intent before going to the BAC Office, 3rd floor, Municipal Bldg. Abatan, Buguias, Benguet from August 4, 2020 starting 3:00 PM - 4:00 PM.</t>
  </si>
  <si>
    <t xml:space="preserve"> see attached specs</t>
  </si>
  <si>
    <t xml:space="preserve"> 6 pack AA size Alkaline Battery (2pcs/blister pack)</t>
  </si>
  <si>
    <t xml:space="preserve"> PLEASE SEE ATTACHED INVITATION TO SUBMIT PRICE QUOTATION, TERMS OF REFERENCE, REQUEST FOR QUOTATION WITH ABC, TECHNICAL SPECIFICATIONS, SCHEDULE OF REQUIREMENTS AND PRICE QUOTATION FORM</t>
  </si>
  <si>
    <t xml:space="preserve"> For further inquiries about the project, please contact BAC Secretariat of Brgy. Colon through the given contact number.</t>
  </si>
  <si>
    <t xml:space="preserve"> 9.	For further information, please refer to:</t>
  </si>
  <si>
    <t xml:space="preserve"> Buyer: J.S. Medina</t>
  </si>
  <si>
    <t xml:space="preserve"> Buyer: J.F. Ramos</t>
  </si>
  <si>
    <t xml:space="preserve"> Schedule of delivery is after 10 working days.</t>
  </si>
  <si>
    <t xml:space="preserve"> please see attached RFP</t>
  </si>
  <si>
    <t xml:space="preserve"> https://drive.google.com/file/d/1ATEMytt_mW2-qqpuph64k14Jzp2sLeOO/view?usp=drivesdk</t>
  </si>
  <si>
    <t xml:space="preserve"> Prospective bidder should have experience in undertaking a similar project with the proposed project for bidding. The eligibility check/screening as well as the preliminary Examination of Bids shall use nondiscretionary “pass/fail” criteria. Post-qualification of the lowest calculated bid shall be conducted. All particulars relative to Eligibility Statement and Screening, Bid Security, Performance Security, Pre-bidding Conference(s), Evaluation of Bids, Post-qualification and Awards of Contract shall be governed by the pertinent provisions of RA 9184 and its Implementing Rules and Regulation (IRR).</t>
  </si>
  <si>
    <t xml:space="preserve"> https://drive.google.com/file/d/1VVeGBmMit3wd1gerNLo_8KjyNcM9iuW8/view?usp=drivesdk</t>
  </si>
  <si>
    <t xml:space="preserve"> Buyer: N.R. Abarquez</t>
  </si>
  <si>
    <t xml:space="preserve"> All interested bidders/suppliers must submit their request for quotation form (filled up) at the BAC Office 3rd floor Municipal Hall, Abatan, Buguias, Benguet starting August 4, 2020 from 2:00 PM- 4:00 PM.</t>
  </si>
  <si>
    <t xml:space="preserve"> For further information, please contact:</t>
  </si>
  <si>
    <t xml:space="preserve"> This procurement id done by Lot by category.</t>
  </si>
  <si>
    <t xml:space="preserve"> Bidding Documents amount is Php5,000.00.</t>
  </si>
  <si>
    <t xml:space="preserve"> Bidding Documents amount is Php 5,000.00.</t>
  </si>
  <si>
    <t xml:space="preserve"> Please give us a call at 924-6101 local 1063/1067</t>
  </si>
  <si>
    <t xml:space="preserve"> Bidding Documents  amount is Php 10,000.00.</t>
  </si>
  <si>
    <t xml:space="preserve"> BAC Meetings will be conducted thru video conferencing via MS Team</t>
  </si>
  <si>
    <t xml:space="preserve"> 1.	All prospective suppliers must first submit photocopies of Class “A” Documents, and other Requirements together with the “Original’s” for the conduct of Business Inspection to determine their eligibility prior transacting business with PNPC. </t>
  </si>
  <si>
    <t xml:space="preserve"> ELIGIBILITY REQUIREMENTS:</t>
  </si>
  <si>
    <t xml:space="preserve"> Interested bidders may purchase bid documents from BAC-Secretariat at the address stated in the Invitation to Bid.</t>
  </si>
  <si>
    <t xml:space="preserve"> 2020 20% DF</t>
  </si>
  <si>
    <t xml:space="preserve"> 2020 20%DF</t>
  </si>
  <si>
    <t xml:space="preserve"> 2019 20% DF</t>
  </si>
  <si>
    <t xml:space="preserve"> Please download RFQ in the associated components.</t>
  </si>
  <si>
    <t xml:space="preserve"> CHECKLIST FOR INFRASTRUCTURE</t>
  </si>
  <si>
    <t xml:space="preserve"> ECCD BUILDING</t>
  </si>
  <si>
    <t xml:space="preserve"> Learning Modules per grade, subject and weekly lessons</t>
  </si>
  <si>
    <t xml:space="preserve"> The  schedule of activities is listed, as follows:							</t>
  </si>
  <si>
    <t xml:space="preserve"> For Particular, Inquire at BAC Secretariat of Brgy. Habingan, Atimonan, Quezon</t>
  </si>
  <si>
    <t xml:space="preserve"> SUBMISSION OF QUOTATION NOT LATER THAN AUGUST 10, 2020 UNTIL 12:00NN</t>
  </si>
  <si>
    <t xml:space="preserve"> INSTRUCTIONS/TERMS AND CONDITIONS:								</t>
  </si>
  <si>
    <t xml:space="preserve"> Terms and Condition:</t>
  </si>
  <si>
    <t xml:space="preserve"> 1. Issuance of Bidding Documents</t>
  </si>
  <si>
    <t xml:space="preserve"> Please be informed that the bid documents cannot be downloaded from the website. It is non – electronic. </t>
  </si>
  <si>
    <t xml:space="preserve"> NOTE: WEAR FACE MASK AND OBSERVED SOCIAL DISTANCING DURING THE OPENING OF BIDS.</t>
  </si>
  <si>
    <t xml:space="preserve"> NOTE: THIS IS A REBIDDING FOR ALL ITEMS IN THIS PURCHASE REQUEST..</t>
  </si>
  <si>
    <t xml:space="preserve"> NOTE: THIS IS A REBIDDING FOR THE SAID ITEM IN THIS PURCHASE REQUEST..</t>
  </si>
  <si>
    <t xml:space="preserve"> For more information please visit or contact the BAC Secretariat at Brgy. Sto. Tomas, Mutia Z. N</t>
  </si>
  <si>
    <t xml:space="preserve"> Please download associated component/s </t>
  </si>
  <si>
    <t xml:space="preserve"> Purpose: To keep safe of the documents under the office of the Alumni Affairs.</t>
  </si>
  <si>
    <t xml:space="preserve"> Purpose: For Equipment and Fixtures for the Research Workshop Room</t>
  </si>
  <si>
    <t xml:space="preserve"> Please download associated component/s</t>
  </si>
  <si>
    <t xml:space="preserve"> Purpose: For Guidance and Counseling Office Use.</t>
  </si>
  <si>
    <t xml:space="preserve"> Mode of delivery -----one time delivrey</t>
  </si>
  <si>
    <t xml:space="preserve"> The Vicente Sotto Memorial Medical Center reserves the right to accept or reject any bid, to annul the bidding process, and to reject all bids at any time prior to contract award, without thereby incurring any liability to the affected bidder or bidders.									</t>
  </si>
  <si>
    <t xml:space="preserve"> CNPH use</t>
  </si>
  <si>
    <t xml:space="preserve"> For more details you may call/visit BAC Secretariat @ LGU POLANCO, Polanco, Z. N.</t>
  </si>
  <si>
    <t xml:space="preserve"> Please submit Application Letter to Mr. Rudy R. Carlos, BAC Chair</t>
  </si>
  <si>
    <t xml:space="preserve"> Contact Person in the Branch:</t>
  </si>
  <si>
    <t xml:space="preserve"> For more information, please see or contact the BAC Members of BRgy. Anibong, Magallanes, Sorsogon.</t>
  </si>
  <si>
    <t xml:space="preserve"> - other information may be discussed during pre-bid conference</t>
  </si>
  <si>
    <t xml:space="preserve"> Interested supplier/service provider is required to submit the following documents:</t>
  </si>
  <si>
    <t xml:space="preserve"> Approved Budget for the contract - Php 150,000.00</t>
  </si>
  <si>
    <t xml:space="preserve"> https://drive.google.com/file/d/1Q3JDNVCc5xnwrwTx4a8-OYGxacu6EYRm/view?usp=drivesdk</t>
  </si>
  <si>
    <t xml:space="preserve"> Prospective bidders should have experience in undertaking a similar project within the last three (3) years, with an amount of at least 50% of the proposed project for bidding. The Eligibility Check/Screening as well as the Preliminary Examination of Bids shall use non-discretionary "pass/fail" criteria. Post Qualification of the lowest calculated bid shall be conducted.</t>
  </si>
  <si>
    <t xml:space="preserve"> Interested supplier must secure RFQ Form at NIA-MMIP 2 BAC Office, Villarica, Midsayap, Cotabato</t>
  </si>
  <si>
    <t xml:space="preserve"> For More Info. Please Contact:</t>
  </si>
  <si>
    <t xml:space="preserve"> Date of Bidding: August 11, 2020</t>
  </si>
  <si>
    <t xml:space="preserve"> For other information and queries, visit us at Headquarters 113th Contracting Office, AFPPS, Camp O'Donnell, Brgy Sta Lucia, Capas Tarlac and look for Chief 113th CO, AFPPS. Submission of Request for Quotation must reach to this Office not later than 071000H August 2020 for the opening of Canvass at 113th CO conference room.</t>
  </si>
  <si>
    <t xml:space="preserve"> F0or more details you may call/visit BAC Secretariat @ LGU POLANCO, Polanco, Z.N.</t>
  </si>
  <si>
    <t xml:space="preserve"> Please contact the BAC Secretariat at the Municipal Budget Office, 2nd floor Municipal Building, LGU-Talisay Camarines Norte.</t>
  </si>
  <si>
    <t xml:space="preserve"> Mr. RUEL C. DE LOYOLA</t>
  </si>
  <si>
    <t xml:space="preserve"> Please contact the Procurement Unit for your question and clarification at 09265678922 or you may visit our office Monday to Friday from 8:00AM to 5:00PM.</t>
  </si>
  <si>
    <t xml:space="preserve"> PLEASE DIRECTLY CONTACT MR. JOSE L. AMBONGLAY THRU MOBILE NUMBER 09058899819</t>
  </si>
  <si>
    <t xml:space="preserve"> NIGEL VINCENT SUELTO</t>
  </si>
  <si>
    <t xml:space="preserve"> Please quote your price on the items in the herewith attached Request for Quotation (RFQ), subject to the specifications, terms and conditions and submit your quotation at the Procurement Office, Philippine Science High School-Bicol Region Campus, Tagongtong, Goa, Camarines Sur not later than 8:00AM of August 7, 2020.</t>
  </si>
  <si>
    <t xml:space="preserve"> https://drive.google.com/file/d/1ZjhLw-3gSkKL2cWTS1Gu37dkJzrXOkDh/view?usp=drivesdk</t>
  </si>
  <si>
    <t xml:space="preserve"> Submission of Quotation until August 7, 2020 @ 10:00 A.M.</t>
  </si>
  <si>
    <t xml:space="preserve"> You may see the SO, Municipality of Caibiran</t>
  </si>
  <si>
    <t xml:space="preserve"> For inquiries, please call Ms. Maggie at tel. no. (074) 444-9862/444-8361/446-0371, loc. 4503</t>
  </si>
  <si>
    <t xml:space="preserve"> Bidding Activities	Schedule / Venue</t>
  </si>
  <si>
    <t xml:space="preserve"> https://drive.google.com/file/d/1FY6Uz6Zt7a0QMIK92FxW7ljK5bFVey0I/view?usp=drivesdk</t>
  </si>
  <si>
    <t xml:space="preserve"> https://drive.google.com/file/d/1Mpc_uak7o8DAT0_DC6yJkWN4OfQkarkN/view?usp=drivesdk</t>
  </si>
  <si>
    <t xml:space="preserve"> Please refer to the Purchase Request for the Computer Specifications</t>
  </si>
  <si>
    <t xml:space="preserve"> Download the RFQ at the link provided below:</t>
  </si>
  <si>
    <t xml:space="preserve"> https://drive.google.com/file/d/1cGCtRQBKAJdXhcauS-OdeNZS5jecXjkP/view?usp=drivesdk</t>
  </si>
  <si>
    <t xml:space="preserve"> GENERAL INSTRUCTIONS TO BIDDERS:							</t>
  </si>
  <si>
    <t xml:space="preserve"> For inquiries, please look for:</t>
  </si>
  <si>
    <t xml:space="preserve"> For more information, please see or contact the BAC Members of Brgy. Bulala, Magallanes, Sorsogon.</t>
  </si>
  <si>
    <t xml:space="preserve"> https://drive.google.com/file/d/10WY8N_ig-ZEfIrbdgAINMCVNYUDhKvKw/view?usp=drivesdk</t>
  </si>
  <si>
    <t xml:space="preserve"> Bidders shall pay the BAC a non-refundable fee of Php500.00 for the Bidding Documents, upon securing hard copies of the Documents. Bidders that download the Documents from the DPWH/PhilGEPS website shall pay the fee upon submission of their bids. </t>
  </si>
  <si>
    <t xml:space="preserve"> The delivery of supplies must be check by the Property Custoidian</t>
  </si>
  <si>
    <t xml:space="preserve"> Contact Person</t>
  </si>
  <si>
    <t xml:space="preserve"> https://drive.google.com/file/d/1t74V0LIJiPwYA2zPgM1359OEYtWyKZGT/view?usp=drivesdk</t>
  </si>
  <si>
    <t xml:space="preserve"> BID DOCUMENT IS AVAILABLE AT THE BAC OFFICE DURING OFFICE HOUR.</t>
  </si>
  <si>
    <t xml:space="preserve"> https://drive.google.com/file/d/1C8qNz91JjzioIdpQ3UKpac7brc-lH3f9/view?usp=drivesdk</t>
  </si>
  <si>
    <t xml:space="preserve"> https://drive.google.com/file/d/1DnVbuYTL_62Yjx2j-KtzTAtGgL-1qdTy/view?usp=drivesdk</t>
  </si>
  <si>
    <t xml:space="preserve"> A.  Please submit your quotation in a sealed envelope, addressed to:</t>
  </si>
  <si>
    <t xml:space="preserve"> Submission of Quotation with Eligibility Requirements until before 10 a.m. of August 10. 2020</t>
  </si>
  <si>
    <t xml:space="preserve"> For more information,please see or contact the BAC Members of Brgy. Binisitahan Sur, Magallanes, Sorsogon.</t>
  </si>
  <si>
    <t xml:space="preserve"> For More Details Please Contact: NECIFORA F. LADA-BAC Chairman#095536089892</t>
  </si>
  <si>
    <t xml:space="preserve"> Deadline for submission of bid, August 11, 2020, 2PM.</t>
  </si>
  <si>
    <t xml:space="preserve"> For Further information please refer to:</t>
  </si>
  <si>
    <t xml:space="preserve"> For more information, please see or contact the BAC Members of Brgy. Aguada Sur, Magallanes, Sorsogon.</t>
  </si>
  <si>
    <t xml:space="preserve"> Medicine and Medical Supplies Rack, 1st bay double side, 7 levels, H1.8mx W 6.870m x L900mm, Wire Mesh racking, Beige Color, Powder Coated, 100Kg Load capacity per level	9	unit</t>
  </si>
  <si>
    <t xml:space="preserve"> SEE ATTACHED ASSOCIATED COMPONENTS</t>
  </si>
  <si>
    <t xml:space="preserve"> Mayors Permit</t>
  </si>
  <si>
    <t xml:space="preserve"> For Inquiries: pls call The Chairman CCC, or visit our office</t>
  </si>
  <si>
    <t xml:space="preserve"> Bidders must submit along with their quotations the certified true copies of the following documents:</t>
  </si>
  <si>
    <t xml:space="preserve"> Please send us your quotation and send it in our email address.</t>
  </si>
  <si>
    <t xml:space="preserve"> Interested parties may send their VAT inclusive price quotation elmer.valenzuela@cbaa.gov.ph</t>
  </si>
  <si>
    <t xml:space="preserve"> https://drive.google.com/file/d/1vhE7BpwfnUbQ4EBcPttWgAjLeKM6fau6/view?usp=drivesdk</t>
  </si>
  <si>
    <t xml:space="preserve"> https://drive.google.com/file/d/1oJXJrkM2WmepNitPheYAaUTa30mWxGMx/view?usp=drivesdk</t>
  </si>
  <si>
    <t xml:space="preserve"> https://drive.google.com/file/d/18IIkrHxL40RDuQxSyG3X3lsiZGia2XEp/view?usp=drivesdk</t>
  </si>
  <si>
    <t xml:space="preserve"> Please contact the Procurement Unit for your questions and clarifications at 09265678922 or you may visit our office from Monday to Friday at 8:00am to 5:00PM.</t>
  </si>
  <si>
    <t xml:space="preserve"> https://drive.google.com/file/d/1jI_qe_NrHSTPupvd5ccEj55hLhWDgeeZ/view?usp=drivesdk</t>
  </si>
  <si>
    <t xml:space="preserve"> Please contact Mr. Reno C. Salazar the BAC Secretary with CP # 09459852914 or you may call to Ms. Ma. Teresa L. Minguez the Chairperson. Thanks and God Bless us all</t>
  </si>
  <si>
    <t xml:space="preserve"> SUPPLIERS/BIDDERS MUST DOWNLOAD THE ATTACHED DOCUMENTS IN THE ASSOCIATED COMPONENTS SECTION.</t>
  </si>
  <si>
    <t xml:space="preserve"> Hon. Romeo F. Alberca</t>
  </si>
  <si>
    <t xml:space="preserve"> Buyer: K.C. Lacatan</t>
  </si>
  <si>
    <t xml:space="preserve"> https://drive.google.com/file/d/1oVU0Q__P_uCkYc7fIO5VPdFrHcWdL3OM/view?usp=drivesdk</t>
  </si>
  <si>
    <t xml:space="preserve"> The Local Government Unit of the Island Garden City of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</si>
  <si>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see request for quotaion</t>
  </si>
  <si>
    <t xml:space="preserve"> RFQ ON MATERIALS FOR THE PRODUCTION OF LEARNING RESOURCE</t>
  </si>
  <si>
    <t xml:space="preserve"> https://drive.google.com/file/d/10cErwHxk26Yuk-zmwg7LwQiut-XvTXIZ/view?usp=drivesdk</t>
  </si>
  <si>
    <t xml:space="preserve"> Deadline for submission of bid, August 11, 2020, 2pm. </t>
  </si>
  <si>
    <t xml:space="preserve"> For the use of 201BDE, 2ID, PA</t>
  </si>
  <si>
    <t xml:space="preserve"> You may see the Municipal Agriculturist, Municipality of Caibiran</t>
  </si>
  <si>
    <t xml:space="preserve"> HON. ROMEO F. ALBERCA</t>
  </si>
  <si>
    <t xml:space="preserve"> Location of Bidding: BARANGAY HALL, Poblacion Pamplona Negros Oriental</t>
  </si>
  <si>
    <t xml:space="preserve"> Check to DL: https://drive.google.com/file/d/166aardG23l_EW8QujL-PfUb5qPfnUKq5/view?usp=drivesdk</t>
  </si>
  <si>
    <t xml:space="preserve"> https://drive.google.com/file/d/1WDhxRvRn2dmHcS6vUUENjd2a-PTK_ZFf/view?usp=drivesdk</t>
  </si>
  <si>
    <t xml:space="preserve"> Please contact Mr. Reno C. Salazar the BAC Secretary with CP # 09459852914 or you may call to Ms. Ma. Teresa L. Minguez the BAC Chairperson. Thanks and God Bless us all.</t>
  </si>
  <si>
    <t xml:space="preserve"> Bid docs available @ Brgy. Hall  Navalita Hinundayan So.  Leyte</t>
  </si>
  <si>
    <t xml:space="preserve"> II.	Terms and Conditions</t>
  </si>
  <si>
    <t xml:space="preserve"> kindly download the attached bidding documents for the requirements and specifications.</t>
  </si>
  <si>
    <t xml:space="preserve"> https://drive.google.com/file/d/1VHwM9HiDdVPGctOVPoLud9dHfj2-oSXm/view?usp=drivesdk</t>
  </si>
  <si>
    <t xml:space="preserve"> Mail the following eligibility and requirements:</t>
  </si>
  <si>
    <t xml:space="preserve"> Kindly download the attached bidding documents for the requirements and specifications.</t>
  </si>
  <si>
    <t xml:space="preserve"> A complete set of bidding document may be purchased by interested bidders on August 04, 2020 to August 24, 2020 from the address below upon payment of a non-refundable fee for the bidding documents in the amount of P5000.00</t>
  </si>
  <si>
    <t xml:space="preserve"> Please download RFQ in the Associated Components for Quotation.</t>
  </si>
  <si>
    <t xml:space="preserve"> RICHARD G. MONTEFALCON</t>
  </si>
  <si>
    <t xml:space="preserve"> Please download RFQ in the Associated Components for Quotation</t>
  </si>
  <si>
    <t xml:space="preserve"> oOption to reserve the stock for the VMMC: seven (3) working days after the opening of this canvass</t>
  </si>
  <si>
    <t xml:space="preserve"> Supply  and Installation of 4-units Closed Circuit</t>
  </si>
  <si>
    <t xml:space="preserve"> Please refer to the attached Request for Quotation (RFQ) for complete and detailed specifications. For queries, please call at 317-1768 local 779 and look for Prof. John P. Natividad.</t>
  </si>
  <si>
    <t xml:space="preserve"> NOTE: THIS IS A REBIDDING FOR ALL ITEMS IN THIS PURCHASE REQUEST.</t>
  </si>
  <si>
    <t xml:space="preserve"> LATE BIDS WILL NOT BE ACCEPTED</t>
  </si>
  <si>
    <t xml:space="preserve"> https://drive.google.com/file/d/1K-gUSkJJWswm7tbmRijednZIiF8-Jrdf/view?usp=drivesdk</t>
  </si>
  <si>
    <t xml:space="preserve"> https://drive.google.com/file/d/1vRAG27wI8my0TJfjoJJhpXci6DqXqfEX/view?usp=drivesdk</t>
  </si>
  <si>
    <t xml:space="preserve"> FUND SOURCE 20%EDF AND AM</t>
  </si>
  <si>
    <t xml:space="preserve"> https://drive.google.com/file/d/169ZHvq0ebrDsxDvKUB98H6rVgJ0GTwFu/view?usp=drivesdk</t>
  </si>
  <si>
    <t xml:space="preserve"> TERMS AND CONDITIONS:</t>
  </si>
  <si>
    <t xml:space="preserve"> https://drive.google.com/file/d/1Jnte8yPm8Z2pFeItEECoTbFGwygniyum/view?usp=drivesdk</t>
  </si>
  <si>
    <t xml:space="preserve"> https://drive.google.com/file/d/1CnZBB1cAQMchL0uDwboDoGw9gX0IlYeb/view?usp=drivesdk</t>
  </si>
  <si>
    <t xml:space="preserve"> SUBMIT QUOTATION ON OR BEFORE AUGUST 10, 2020-10:00AM AT BAC OFFICE</t>
  </si>
  <si>
    <t xml:space="preserve"> please send quotation to catbpenro@yahoo.com</t>
  </si>
  <si>
    <t xml:space="preserve"> https://drive.google.com/file/d/1LDWGvXWtt1erPkCxlXDprPAXYCsNx7GJ/view?usp=drivesdk</t>
  </si>
  <si>
    <t xml:space="preserve"> https://drive.google.com/file/d/1W_WX7pP21K-Jk9MTtDnBz1UIbpd_Dvsc/view?usp=drivesdk</t>
  </si>
  <si>
    <t xml:space="preserve"> Prospective bidder may seek further information through BAC Office @ 469-9056.</t>
  </si>
  <si>
    <t xml:space="preserve"> See attached Quotation form</t>
  </si>
  <si>
    <t xml:space="preserve"> https://drive.google.com/file/d/1-4aM7F3I-A_ynk0yWPmwH2sK4nm-xMaC/view?usp=drivesdk</t>
  </si>
  <si>
    <t xml:space="preserve"> For information inquire at BAC Secretariat of Atimonan, Quezon.</t>
  </si>
  <si>
    <t xml:space="preserve"> Bidder with the Single Calculated and Responsive Bid</t>
  </si>
  <si>
    <t xml:space="preserve"> kgd. DOMINGO E.MALLO           BAC CHAIRMAN            09989726210</t>
  </si>
  <si>
    <t xml:space="preserve"> https://drive.google.com/file/d/1DZpYSJckrUFfoQb2sXRufGLmMAc33POH/view?usp=drivesdk</t>
  </si>
  <si>
    <t xml:space="preserve"> For information inquire at BAC Secretariat of Atimonan, Quezon</t>
  </si>
  <si>
    <t xml:space="preserve"> This project is a Barangay Dagup project. Please contact the barangay Secretary at the said barangay at 09271138392.</t>
  </si>
  <si>
    <t xml:space="preserve"> See attached quotation form</t>
  </si>
  <si>
    <t xml:space="preserve"> Suppliers/bidders must download the attached documents in the associated component section.</t>
  </si>
  <si>
    <t xml:space="preserve"> Schedule of delivery is after 10 days.</t>
  </si>
  <si>
    <t xml:space="preserve"> Posted at three conspicuous places.</t>
  </si>
  <si>
    <t xml:space="preserve"> For clarifications, just contact the BAC Secretariat of DOH CHD-NM (White House) at telephone # (088) 858-7123 local 227 in JV Seriña St., Carmen, Cagayan de Oro City from Monday until Friday (8:00 am to 5:00 pm). Just look for Ms. Marilou A. Gecosala, the Head of Procurement Unit.</t>
  </si>
  <si>
    <t xml:space="preserve"> https://drive.google.com/file/d/1-rhjRKNT2H4v4Hx-C6asNGr0OvR4hqzN/view?usp=drivesdk</t>
  </si>
  <si>
    <t xml:space="preserve"> SSUANCE OF BIDDING DOCUMENTS: August 4, 2020- August 24, 2020</t>
  </si>
  <si>
    <t xml:space="preserve"> Please viset BAC office</t>
  </si>
  <si>
    <t xml:space="preserve"> 2nd posting</t>
  </si>
  <si>
    <t xml:space="preserve"> See Attached document</t>
  </si>
  <si>
    <t xml:space="preserve"> please coordinate with NCIP - URDANETA SERVICE CENTER</t>
  </si>
  <si>
    <t xml:space="preserve"> 20% EDF CY 2020</t>
  </si>
  <si>
    <t xml:space="preserve"> https://drive.google.com/file/d/187Uzytzb5-BVT0bFhucnSgrw5mpjGnP5/view?usp=drivesdk</t>
  </si>
  <si>
    <t xml:space="preserve"> Note: Online Submission of Bids still not available as of this writing.</t>
  </si>
  <si>
    <t xml:space="preserve"> Terms and Conditions:</t>
  </si>
  <si>
    <t xml:space="preserve"> Please see the BAC for clarification &amp; additional information</t>
  </si>
  <si>
    <t xml:space="preserve"> Preferably suppliers from Cagayan de Oro City.</t>
  </si>
  <si>
    <t xml:space="preserve"> Bidders/Suppliers Must Download the Attached Document in the Associated Component Section </t>
  </si>
  <si>
    <t xml:space="preserve"> Please call us at</t>
  </si>
  <si>
    <t xml:space="preserve"> Please download associated components </t>
  </si>
  <si>
    <t xml:space="preserve"> Instruction for Suppliers on how to View/Download Documents:</t>
  </si>
  <si>
    <t xml:space="preserve"> supplier must be in Camarines Sur only</t>
  </si>
  <si>
    <t xml:space="preserve"> 1. LINK FOR ITB, BID DOCS &amp; PLANS:</t>
  </si>
  <si>
    <t xml:space="preserve"> 1.LINKS FOR ITB, BID DOCS &amp; PLANS</t>
  </si>
  <si>
    <t xml:space="preserve"> *NOTE: PLEASE SEE ATTACHED TERM OF REFERENCE</t>
  </si>
  <si>
    <t xml:space="preserve"> ITEMS FOR PROCUREMENT:</t>
  </si>
  <si>
    <t xml:space="preserve"> 1	Bidders are required to read the instructions  and fill ALL the blanks in typewritten form or written legibly in permanent ink.						</t>
  </si>
  <si>
    <t xml:space="preserve"> Interested bidders may obtain further information from the PPA-BAC-EP- secretariat and inspect the bidding documents from the address given below from 9:00 am to 4:00 pm.</t>
  </si>
  <si>
    <t xml:space="preserve"> https://drive.google.com/file/d/1HPHceTnX5a2EocJRiOiFLEajLVmPAC-C/view?usp=drivesdk</t>
  </si>
  <si>
    <t xml:space="preserve"> https://drive.google.com/file/d/1ojr-e9CPVRZxddqyKJFYcyCuvZiY9ua_/view?usp=drivesdk</t>
  </si>
  <si>
    <t xml:space="preserve"> https://drive.google.com/file/d/1tOMj2w4yUmtuyXF1cwDDGHfNMPw-EQKJ/view?usp=drivesdk</t>
  </si>
  <si>
    <t xml:space="preserve"> https://drive.google.com/file/d/1_CMY3EcfCXvon8I-5pDvy_i5LbT78LRk/view?usp=drivesdk</t>
  </si>
  <si>
    <t xml:space="preserve"> DESCRIPTION</t>
  </si>
  <si>
    <t xml:space="preserve"> https://drive.google.com/file/d/1tv6IHgT2Zw7C3RlwSA7ifaaiV3oEIM3G/view?usp=drivesdk</t>
  </si>
  <si>
    <t xml:space="preserve"> https://drive.google.com/file/d/1teD6NJMg3-d_VztkevKe1HgA0NwL3chx/view?usp=drivesdk</t>
  </si>
  <si>
    <t xml:space="preserve"> Province of Iloilo</t>
  </si>
  <si>
    <t xml:space="preserve"> For posting purposes</t>
  </si>
  <si>
    <t xml:space="preserve"> ECO BAG</t>
  </si>
  <si>
    <t xml:space="preserve"> YOU MAY DOWNLOAD THE ITB FROM THE ASSOCIATED COMPONENTS</t>
  </si>
  <si>
    <t xml:space="preserve"> Supplier(s)/Bidder(s) is required to submit the following documents as per RA 9184 together with the RFQ:	</t>
  </si>
  <si>
    <t xml:space="preserve"> CONTACT 09300410683</t>
  </si>
  <si>
    <t xml:space="preserve"> Please call the Principal at 09667533177</t>
  </si>
  <si>
    <t xml:space="preserve"> Upon receiving the cash advance for the 2nd quarter</t>
  </si>
  <si>
    <t xml:space="preserve"> Bidders must download the attached documents associated in the component section.</t>
  </si>
  <si>
    <t xml:space="preserve"> Bid Documents will be available only to prospective bidders upon payment of a non-refundable amount									</t>
  </si>
  <si>
    <t xml:space="preserve"> PLEASE SEE ATTACHED RFQ IN THE ASSOCIATED COMPONENT</t>
  </si>
  <si>
    <t xml:space="preserve"> Every Saturday</t>
  </si>
  <si>
    <t xml:space="preserve"> For Particulars: Inquire at BAC Secretariat of Barangay San Isidro, Atimonan, Quezon</t>
  </si>
  <si>
    <t xml:space="preserve"> Contact Person:</t>
  </si>
  <si>
    <t xml:space="preserve"> Click order link of the associated components</t>
  </si>
  <si>
    <t xml:space="preserve"> For more information please visit or contact the BAC Secretariat at Brgy. Mauswagon, La Libertad Z. N</t>
  </si>
  <si>
    <t xml:space="preserve"> For Particular, Inquire at BAC Secretariat of Brgy. Kulawit, Atimonan, Quezon</t>
  </si>
  <si>
    <t xml:space="preserve"> Contact Person:  Mr. Raul Felismino</t>
  </si>
  <si>
    <t xml:space="preserve"> Contact Person:   Mr. Raul Felismino</t>
  </si>
  <si>
    <t xml:space="preserve"> SPECIFICATION:</t>
  </si>
  <si>
    <t xml:space="preserve"> 1. All prospective suppliers must first submit photocopies of Class “A” Documents, and other</t>
  </si>
  <si>
    <t xml:space="preserve"> Bidding Documents may be secured from the BAC Secretariat, Office of the Municipal Treasurer – Supply Section upon payment to the MTO Cashier of a non-refundable amount of ₱ 500.00. </t>
  </si>
  <si>
    <t xml:space="preserve"> Bidding Documents may be secured from the BAC Secretariat, Office of the Municipal Treasurer – Supply Section upon payment to the MTO Cashier of a non-refundable amount of ₱5,000.00.  </t>
  </si>
  <si>
    <t xml:space="preserve"> Activity	Date and Time	Venue</t>
  </si>
  <si>
    <t xml:space="preserve"> Bidding Documents may be secured from the BAC Secretariat, Office of the Municipal Treasurer – Supply Section upon payment to the MTO Cashier of a non-refundable amount of ₱500.00.  </t>
  </si>
  <si>
    <t xml:space="preserve"> The Secretariat (BAC)</t>
  </si>
  <si>
    <t xml:space="preserve"> Please contact or see BAC Secretariat for more information.</t>
  </si>
  <si>
    <t xml:space="preserve"> The BAC will use NON-DISCRETIONARY PASS/FAIL CRITERIA in the Eligibility Check/Screening as well as the Preliminary Examination of Bids.  The BAC will conduct post-qualification of the lowest calculated bid.</t>
  </si>
  <si>
    <t xml:space="preserve"> For other information, kindly contact:</t>
  </si>
  <si>
    <t xml:space="preserve"> Please attach the following documents together with your quotation/bid</t>
  </si>
  <si>
    <t xml:space="preserve"> Created By: Aireen T. Dizon</t>
  </si>
  <si>
    <t xml:space="preserve"> https://drive.google.com/file/d/1C8cvMRk30T0WG1wepu-u9vFt6kN45iCP/view?usp=drivesdk</t>
  </si>
  <si>
    <t xml:space="preserve"> Please submit your quotation and other inquiries thru email address, mdavid@dbm.gov.ph. Thank you.</t>
  </si>
  <si>
    <t xml:space="preserve"> For Item No. 18</t>
  </si>
  <si>
    <t xml:space="preserve"> For inquiries you may call/text or email the following persons"</t>
  </si>
  <si>
    <t xml:space="preserve"> For Item No. 1</t>
  </si>
  <si>
    <t xml:space="preserve"> Kindly download the attached file in the associated component section</t>
  </si>
  <si>
    <t xml:space="preserve"> 1.	THIS IS THE FIRST PUBLICATION FOR THIS PROCUREMENT.</t>
  </si>
  <si>
    <t xml:space="preserve"> Annex “A”</t>
  </si>
  <si>
    <t xml:space="preserve"> CREATED BY BAC CHAIRMAN</t>
  </si>
  <si>
    <t xml:space="preserve"> Ms. Antonina A. Alcachupas</t>
  </si>
  <si>
    <t xml:space="preserve"> Sylvia Boneo</t>
  </si>
  <si>
    <t xml:space="preserve"> FOR CLARIFICATION, CONTACT FREDIE RUIZ @ 09186050723</t>
  </si>
  <si>
    <t xml:space="preserve"> For further clarification, contact Fredie Ruiz @ 09086050723</t>
  </si>
  <si>
    <t xml:space="preserve"> BUDGET SOURCE: GAA/INCOME</t>
  </si>
  <si>
    <t xml:space="preserve"> 1	½” X 2” X 12” (Liston (Brush Guide)	2	Pcs</t>
  </si>
  <si>
    <t xml:space="preserve"> Please be informed that the Bid Documents can't be downloaded from the website. Interested bidders are requested to acquire the documents directly and personally from the Mayor's Office upon payment of a corresponding fee of Php1,000.00 for the said project at the Municipal Treasury Office.</t>
  </si>
  <si>
    <t xml:space="preserve"> Submit LOI</t>
  </si>
  <si>
    <t xml:space="preserve"> Requesting Office/End - User : Barangay 649, Zone 68, District V</t>
  </si>
  <si>
    <t xml:space="preserve"> Requesting Office / End-User :  Barangay 649, Zone 68, District V</t>
  </si>
  <si>
    <t xml:space="preserve"> N/A</t>
  </si>
  <si>
    <t xml:space="preserve"> n/A</t>
  </si>
  <si>
    <t xml:space="preserve"> posted in three (3) conspicuous places</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</si>
  <si>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</si>
  <si>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Please be informed that the Bid Documents can't be downloaded from the website. Interested bidders are requested to acquire the documents directly and personally from the Mayor's Office upon payment of a corresponding fee of Php500.00 for the said project at the Municipal Treasury Office.</t>
  </si>
  <si>
    <t xml:space="preserve"> This is an Online or Electronic Bid Submission. Only One (1) Representative per Company is allowed to join the Video Conferencing.</t>
  </si>
  <si>
    <t xml:space="preserve"> For further information, please refer to:			</t>
  </si>
  <si>
    <t xml:space="preserve"> Other conditions are stated in the RFQ.</t>
  </si>
  <si>
    <t xml:space="preserve"> Schedules of Bidding</t>
  </si>
  <si>
    <t xml:space="preserve"> Opening of RFQs will be onAugust 6, 2020 at the Division Conference Hall, penaplata, Samal District, IGACOS</t>
  </si>
  <si>
    <t xml:space="preserve"> Pre Bid Conference will be on August 7, 2020, at 10:00 am </t>
  </si>
  <si>
    <t xml:space="preserve"> Opening of RFQs will be o nAugust 6, 2020 at 9am at the Division office, Penaplata, Samal District, IGACOS</t>
  </si>
  <si>
    <t xml:space="preserve"> Pre-Bid Conference will be on August 7, 2020, at 10:00 am</t>
  </si>
  <si>
    <t xml:space="preserve"> https://drive.google.com/file/d/1RIjBv896OZro0INvj2ikwN4v13wN6dde/view?usp=drivesdk</t>
  </si>
  <si>
    <t xml:space="preserve"> https://drive.google.com/file/d/15Q8snoITHTAy4-6RxuJ8tiiUJDqC_8CR/view?usp=drivesdk</t>
  </si>
  <si>
    <t xml:space="preserve"> https://drive.google.com/file/d/1jLagGNdQ1r6nQDAzr1lxlVxCcCAFUCkN/view?usp=drivesdk</t>
  </si>
  <si>
    <t xml:space="preserve"> https://drive.google.com/file/d/1lXDJO9dpJtm-mIiVC4bGE6Ec8aD2RYxU/view?usp=drivesdk</t>
  </si>
  <si>
    <t xml:space="preserve"> https://drive.google.com/file/d/1O0MEwoKebm6_IR4z8a5JwMw7MfguC33d/view?usp=drivesdk</t>
  </si>
  <si>
    <t xml:space="preserve"> Parts and materials needed:</t>
  </si>
  <si>
    <t xml:space="preserve"> https://drive.google.com/file/d/1leXJ-snrh-_G4a0-mHKfKfiVy_NGR83J/view?usp=drivesdk</t>
  </si>
  <si>
    <t xml:space="preserve"> https://drive.google.com/file/d/1T6O5-WQoMjpazzjVr3aOKHX_Xbl-K3Si/view?usp=drivesdk</t>
  </si>
  <si>
    <t xml:space="preserve"> ALL INTERESTED BIDDERS ARE REQUIRED TO SUBMIT THEIR COMPLETE ELIGIBILITY REQUIREMENTS TO THE BAC FOR EVALUATION DURING THE PRE-BID CONFERENCE ON AUGUST 7, 2020 8:00A.M. AT THE BAC SECRETARIAT OFFICE, 2ND FLOOR, CITY HALL OF DASMARIÑAS, CAVITE. BIDDERS WHO SHALL FAIL TO ATTEND THE PRE-BID SHALL NOT BE ALLOWED TO JOIN THE BIDDING FOR THE AFORESAID PROJECT. </t>
  </si>
  <si>
    <t xml:space="preserve"> For copies of the Bidding Documents, Scope of Works, Drawing and Bill of Quantities, kindly click the associated components.</t>
  </si>
  <si>
    <t xml:space="preserve"> Please contact BAC Secrtariat for more information on the said project.</t>
  </si>
  <si>
    <t xml:space="preserve"> All participating bidders MUST obtain the following every time there is a scheduled bidding and the physical presence of the participating bidder is necessary: Updated (not older than three weeks) Medical Certificate from their Local Health Officer, Travel Authority as required by IATF, Visitor’s Pass</t>
  </si>
  <si>
    <t xml:space="preserve"> https://drive.google.com/file/d/1Xds4cVaAkOBta1XCGr2gy0k6cGlzW2S9/view?usp=drivesdk</t>
  </si>
  <si>
    <t xml:space="preserve"> All interested bidders/suppliers must download attachment in the associated components.</t>
  </si>
  <si>
    <t xml:space="preserve"> https://drive.google.com/file/d/1wHuD5G7-yUs1loTOxXDidWs9a8KuSZ3B/view?usp=drivesdk</t>
  </si>
  <si>
    <t xml:space="preserve"> Interested Supplier may get the RFQ from the SBAC Sec at Cugman Elem . School</t>
  </si>
  <si>
    <t xml:space="preserve"> https://drive.google.com/file/d/106ColiR76CW-qCDu6DsR0D972BgReQ5t/view?usp=drivesdk</t>
  </si>
  <si>
    <t xml:space="preserve"> labor by administration</t>
  </si>
  <si>
    <t xml:space="preserve"> RFQ should be delivered to school</t>
  </si>
  <si>
    <t xml:space="preserve"> Kindly see attached file on associated documents , RFQ instruction and Technical Specification</t>
  </si>
  <si>
    <t xml:space="preserve"> Opening of BIDs is on Aug. 18, 2020 at the Municipal Session Hall, Municipal Building, Pagsanghan, Samar</t>
  </si>
  <si>
    <t xml:space="preserve"> RFQ SHOULD BE DELIVERED TO SCHOOL</t>
  </si>
  <si>
    <t xml:space="preserve"> Interested bidders should submit their proposed menu</t>
  </si>
  <si>
    <t xml:space="preserve"> • PR Nos.: S3-CTW20-024, S3-BAD20-012, S3-SIA20-007, S3-SCL20-015, S3-WSD20-009 </t>
  </si>
  <si>
    <t xml:space="preserve"> Opening of BIDs is on August 18, 2020 at the Municipal Session Hall, Municipal Building, Pagsanghan, Samar</t>
  </si>
  <si>
    <t xml:space="preserve"> Bidding documents will be available at BAC Secretariat Office on August 3, 2020 from 8:00 AM-5:00 PM, Monday-Friday.</t>
  </si>
  <si>
    <t xml:space="preserve"> ITB, Bidding Documents and RFQ can be download in the Associated Components.</t>
  </si>
  <si>
    <t xml:space="preserve"> • PR Nos.: S3-SCL20-014, S3-TAU20-006, S3-WSD20-008, S3-SIB20-004, S3-PPP20-006 </t>
  </si>
  <si>
    <t xml:space="preserve"> FOR INQUIRIES PLEASE CONTACT MR. JEFF MEDRIANO OR OLIVER PAGAO  IT DEPARTMENT</t>
  </si>
  <si>
    <t xml:space="preserve"> • PCAB License: License Category of at least “Category D – General Building” and registration classification of at least “Small B – Building or Industrial Plant” or “Small B – Mechanical Works”</t>
  </si>
  <si>
    <t xml:space="preserve"> Opening: August 06, 2020 at 10:00 A.M.</t>
  </si>
  <si>
    <t xml:space="preserve"> All quotation must be submitted in a sealed envelope directly to LPGH&amp;STC, address to Ms. Cecille P. Manipon, BAC Chairman or email, together with the following requirements;</t>
  </si>
  <si>
    <t xml:space="preserve"> • Similar Contracts: Supply and Delivery of Diesel Generating Sets or Mechanical and/or Electrical Parts / Components / Equipment for Diesel Generating Sets</t>
  </si>
  <si>
    <t xml:space="preserve"> • Similar Contracts: Conduct of Customer / Public Opinion Survey and/or Social Analysis and Research</t>
  </si>
  <si>
    <t xml:space="preserve"> Requirements:</t>
  </si>
  <si>
    <t xml:space="preserve"> Publication: July 31 - Aug. 06, 2020</t>
  </si>
  <si>
    <t xml:space="preserve"> for more information please  call 411-0100 local 1704 BAC Office</t>
  </si>
  <si>
    <t xml:space="preserve"> For inquiry, pls. call at 0998-974-7713</t>
  </si>
  <si>
    <t xml:space="preserve"> Submission of Bids before 10 a.m. of August 11, 2020</t>
  </si>
  <si>
    <t xml:space="preserve"> Mayors per</t>
  </si>
  <si>
    <t xml:space="preserve"> Please contact BAC Secretariat  for more information of the said project.</t>
  </si>
  <si>
    <t xml:space="preserve"> https://drive.google.com/file/d/1gfIkLoDD89IOgWufyhDBymVg5bRGBLXD/view?usp=drivesdk</t>
  </si>
  <si>
    <t xml:space="preserve"> 40 Pax Catering Services w/ Venue &amp; Room Accommodation for 2 Days w/ 2 meals and 2 snacks</t>
  </si>
  <si>
    <t xml:space="preserve"> Please see the attached POW for your reference.</t>
  </si>
  <si>
    <t xml:space="preserve"> . DTI Business Name Registration or SEC Registration ,CDA Registration</t>
  </si>
  <si>
    <t xml:space="preserve"> ITB</t>
  </si>
  <si>
    <t xml:space="preserve"> Please contact BAC Secretariat for more information on the said project.</t>
  </si>
  <si>
    <t xml:space="preserve"> https://drive.google.com/file/d/1XQ3oPUE3vZoKV5qvbcSZ2P5bSMjTcS_4/view?usp=drivesdk</t>
  </si>
  <si>
    <t xml:space="preserve"> https://drive.google.com/file/d/1UiuASXBYAOLF16DlL7xEUK18w1zei954/view?usp=drivesdk</t>
  </si>
  <si>
    <t xml:space="preserve"> https://drive.google.com/file/d/1ewyectRvJ4NAQIEZfutUJv7r04yEQ_4Z/view?usp=drivesdk</t>
  </si>
  <si>
    <t xml:space="preserve"> The Local Government Unit of Island Garden City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</si>
  <si>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Please visit MPDO/BAC Office for details</t>
  </si>
  <si>
    <t xml:space="preserve"> Please contct BAC Secretariat for more information of the said project.</t>
  </si>
  <si>
    <t xml:space="preserve"> Interested bidders may obtain further information from Palawan 2nd District Engineering Office (BAC Secretariat) and inspect the Bidding Documents at the address given below during 8:00am to 5:00pm.</t>
  </si>
  <si>
    <t xml:space="preserve"> Interested Bidders must submit the following bidding documents:</t>
  </si>
  <si>
    <t xml:space="preserve"> 1.)	37	sacks	Chicken Grower Crumble</t>
  </si>
  <si>
    <t xml:space="preserve"> ELIGIBILITY CHECK REQUIREMENTS FOR THE PROCUREMENT OF GOODS</t>
  </si>
  <si>
    <t xml:space="preserve"> 30 Pax Catering Services w/ Venue &amp; Room Accommodation for 3 Days w/ 3 meals and 2 snacks</t>
  </si>
  <si>
    <t xml:space="preserve"> QTYUNIT/ITEM DESCRIPTION</t>
  </si>
  <si>
    <t xml:space="preserve"> PROCEED TO BARANGAY POBLACION HALL</t>
  </si>
  <si>
    <t xml:space="preserve"> 166 Pax Catering Services w/ Venue &amp; Room Accommodation for 2 Days w/ 3 meals and 2 snacks, Divided into 5 Batches</t>
  </si>
  <si>
    <t xml:space="preserve"> 15,740 Pcs COCO SEEDNUTS</t>
  </si>
  <si>
    <t xml:space="preserve"> 1.)	550	pcs	Colilert 18 Reagent</t>
  </si>
  <si>
    <t xml:space="preserve"> SALE/ISSUANCE OF BIDDING DOCUMENTS FROM JULY 31, 2020 - AUGUST 10, 2020 UNTIL 5PM</t>
  </si>
  <si>
    <t xml:space="preserve"> Bid Quotation Forms will be available at the Procurement Office (BAC Secretariat), BAC Building, DPWH-Palawan 2nd District Engineering Office, Narra, Palawan and  can also be downloaded at (a) DPWH website www.dpwh.gov.ph, and (b) PhilGEPs website www.philgeps.gov.ph.  The deadline set for the submission of the accomplished bid quotation forms to be hand carried by supplier/authorized representative will be on the following procurement activity schedule.</t>
  </si>
  <si>
    <t xml:space="preserve"> 1.)	1	pc	Wheel bearing</t>
  </si>
  <si>
    <t xml:space="preserve"> SALE/ISSUANCE OF BIDDING DOCUMENTS FROM JULY 31, 2020 - AUGUST 14, 2020 UNTIL 5PM</t>
  </si>
  <si>
    <t xml:space="preserve"> Please refer to the attached Request for Quotation (RFQ) for complete and detailed specifications. For queries, please call at 317-1768 local 520 and look for Mr. Mars M. Majul.</t>
  </si>
  <si>
    <t xml:space="preserve"> 1.)	1	set	Oil filter (503/513)</t>
  </si>
  <si>
    <t xml:space="preserve"> THIS IS A BARANGAY PROJECT OF BARANGAY CARDIZ, FOR INFORMATION PLEASE CONTACT THE BARANGAY SECRETARY OR TREASURER OF BARANGAY CARDIZ, BAGULIN, LA UNION</t>
  </si>
  <si>
    <t xml:space="preserve"> https://drive.google.com/file/d/11OQxJTpjecYdTXGIEfJHFI3NBM_idPJY/view?usp=drivesdk</t>
  </si>
  <si>
    <t xml:space="preserve"> https://drive.google.com/file/d/11I7-Y-AEWKWBu0BrnedE0-_5AypVaCHt/view?usp=drivesdk</t>
  </si>
  <si>
    <t xml:space="preserve"> For Clarifications, you may contact:</t>
  </si>
  <si>
    <t xml:space="preserve"> SEE ATTACH ASSOCIATED COMPONENTS</t>
  </si>
  <si>
    <t xml:space="preserve"> Day care Workers Monthly Meting &amp; Program Review of Supplementary Feeding on August 7, 2020, September 4, 2020, October 12, 2020 &amp; November 6, 2020 at PSCB/PSWDOFFICE. </t>
  </si>
  <si>
    <t xml:space="preserve"> https://drive.google.com/file/d/1E2UqFx3DeUbpU8T4fCoLx0ooK0p8E2ws/view?usp=drivesdk</t>
  </si>
  <si>
    <t xml:space="preserve"> Delivery Site: DENR-PENRO, Osmeña, City of Ilagan, Isabela</t>
  </si>
  <si>
    <t xml:space="preserve"> The bidders must download the attached documents in the associated components section.</t>
  </si>
  <si>
    <t xml:space="preserve"> BID DOCUMENTS IS AVAILABLE ONLY TO PROSPECTIVE BIDDER UPON PAYMENT OF NON-REFUNDABLE FEE IN THE</t>
  </si>
  <si>
    <t xml:space="preserve"> https://drive.google.com/file/d/18wsRdOaFnmQW3ub82vb01tp1DGe4PCB9/view?usp=drivesdk</t>
  </si>
  <si>
    <t xml:space="preserve"> Please see attached files</t>
  </si>
  <si>
    <t xml:space="preserve"> Source of Fund: Special Education Fund</t>
  </si>
  <si>
    <t xml:space="preserve"> Person's with Disability (PWD) &amp; Focal Persons Monthly Board Meeting on August 14, 2020, September 11, 2020, October 9, 2020 at PSCB/PSWDOFFICE. </t>
  </si>
  <si>
    <t xml:space="preserve"> Issuance of bidding documents at BAC Office on August 3, 2020 to August 10, 2020 at 10:00 a.m.</t>
  </si>
  <si>
    <t xml:space="preserve"> Bid opening on August 12, 2020 at 9:00A.M at the Municipal Function Hall</t>
  </si>
  <si>
    <t xml:space="preserve"> Public Address Speaker System</t>
  </si>
  <si>
    <t xml:space="preserve"> Source of Fund: General Fund</t>
  </si>
  <si>
    <t xml:space="preserve"> Please indicate</t>
  </si>
  <si>
    <t xml:space="preserve"> For Item Nos. 1 and 2</t>
  </si>
  <si>
    <t xml:space="preserve"> ITB, Bidding Documents and Plans can be download in the Associated Components.</t>
  </si>
  <si>
    <t xml:space="preserve"> Please be informed that the Bid Documents can't be downloaded from the website. Interested bidders are requested to acquire the documents directly and personally from the Mayor's Office upon payment of a corresponding fee of Php5,000.00 for the said project at the Municipal Treasury Office.</t>
  </si>
  <si>
    <t xml:space="preserve"> Interested Supplier/s may download attached documents located in the Associated Components Section.</t>
  </si>
  <si>
    <t xml:space="preserve"> Please refer to the Purchase Request for the complete list of materials</t>
  </si>
  <si>
    <t xml:space="preserve"> Unipolar Electrosurgical Cautery Unit </t>
  </si>
  <si>
    <t xml:space="preserve"> SALE/ ISSUANCE OF BIDDING DOCUMENTS FROM JULY 31, 2020- AUGUST 10, 2020 UNTIL 5PM</t>
  </si>
  <si>
    <t xml:space="preserve"> PLS. SEE ATTACHED PDF FILE.</t>
  </si>
  <si>
    <t xml:space="preserve"> For copies of the Bidding Documents and Specifications, kindly click the associated components.</t>
  </si>
  <si>
    <t xml:space="preserve"> Delivery Point: SPUG-MOD Warehouse, Zamboanga City</t>
  </si>
  <si>
    <t xml:space="preserve"> https://drive.google.com/file/d/10b7wcptrHyzagBVGrW7RCLjLrhbSXCmf/view?usp=drivesdk</t>
  </si>
  <si>
    <t xml:space="preserve"> The closing date shall be on the 3rd day after the date published in the Philgeps website</t>
  </si>
  <si>
    <t xml:space="preserve"> FOR MORE INFORMATION AND CLARIFICATION, PLEASE SEE HEAD-BAC SECRETARIAT, ENGR. CATHERINE B. CAPILI AT LGU DULAG ENGINEERING OFFICE FROM MONDAY TO FRIDAY (8:00 A.M. TO 5:00 P.M.)</t>
  </si>
  <si>
    <t xml:space="preserve"> If unable to download attachment, please visit BSP website, bsp.gov.ph for the template Request for Price Quotation or e-mail GCdTan@bsp.gov.ph.</t>
  </si>
  <si>
    <t xml:space="preserve"> Please contact BAC Secretariat on the said project.</t>
  </si>
  <si>
    <t xml:space="preserve"> https://drive.google.com/file/d/1nfBUxVKgJWeMKfk5r6eWm_yU-BA7uERl/view?usp=drivesdk</t>
  </si>
  <si>
    <t xml:space="preserve"> [LGU-San Antonio] </t>
  </si>
  <si>
    <t xml:space="preserve"> Other Information:</t>
  </si>
  <si>
    <t xml:space="preserve"> Bidder / Supplier must download the attached documents in Associated Components.</t>
  </si>
  <si>
    <t xml:space="preserve"> There will be no pre-bid conference</t>
  </si>
  <si>
    <t xml:space="preserve"> For queries, concerns, and submission of quotation, please contact:</t>
  </si>
  <si>
    <t xml:space="preserve"> Please see attached RFQ No. 20-0697 NP-SV for complete list of Items, Description and Specifications.</t>
  </si>
  <si>
    <t xml:space="preserve"> Delivery Point: Plantsite / Manuk Mangkaw DPP, Simunul, Tawi-Tawi</t>
  </si>
  <si>
    <t xml:space="preserve"> Please see attached RFQ No. 20-0696 NP-SV for complete list of Items, Descriptions and Specifications.</t>
  </si>
  <si>
    <t xml:space="preserve"> https://drive.google.com/file/d/1OzfgCdgQb-26AwmP52en-jd4ZSZ3s2xO/view?usp=drivesdk</t>
  </si>
  <si>
    <t xml:space="preserve"> PLS. SEE ATTACHED PDF FILES.</t>
  </si>
  <si>
    <t xml:space="preserve"> Please see attached files @ Other Information</t>
  </si>
  <si>
    <t xml:space="preserve"> BID OPENING: AUGUST 19, 2020    2:30PM  BAC OFFICE, MUNICIPAL HALL, STA. MARCELA, APAYAO</t>
  </si>
  <si>
    <t xml:space="preserve"> All quotations will be collated and checked a day after the 7 days posting.</t>
  </si>
  <si>
    <t xml:space="preserve"> For Item No. 8</t>
  </si>
  <si>
    <t xml:space="preserve"> Buyer: N.B. Camama</t>
  </si>
  <si>
    <t xml:space="preserve"> *Total cost is inclusive of VAT &amp; delivery charges to the identified site – Dipolog City.</t>
  </si>
  <si>
    <t xml:space="preserve"> Please submit sealed quotation</t>
  </si>
  <si>
    <t xml:space="preserve"> Please see attached RFQ No. 20-0701 NP-SVP for complete scope of work, description and specifications.</t>
  </si>
  <si>
    <t xml:space="preserve"> reach the number provided in this invitation for any clarifications</t>
  </si>
  <si>
    <t xml:space="preserve"> Please look Ms. Jillsharon Jimenez and Ms. Rowena Rodriguez for other information.</t>
  </si>
  <si>
    <t xml:space="preserve"> Bidders shall pay the BAC a non-refundable fee of Php25,000.00 for the Bidding Documents, upon securing hard copies of the Documents. Bidders that download the Documents from the DPWH/PhilGEPS website shall pay the fee upon submission of their bids. </t>
  </si>
  <si>
    <t xml:space="preserve"> STRAIGHT CONTRACT</t>
  </si>
  <si>
    <t xml:space="preserve"> SCHOOL SUPPLIES</t>
  </si>
  <si>
    <t xml:space="preserve"> PLS BRING LETTER OF INTENT AND AUTHORITY TO BUY</t>
  </si>
  <si>
    <t xml:space="preserve"> https://drive.google.com/file/d/1nfVrX-g8M488i0bCnBLm3BPcH_MICm54/view?usp=drivesdk</t>
  </si>
  <si>
    <t xml:space="preserve"> The DICT-FOO-MC3 through its committee for SVP mode of procurement intend to procure Construction Materials as per specification above. As such, the supplier of known qualifications is hereby invited to submit their quotations/price proposals not later than August 7, 2020 at DICT-F. Torres St., Davao City The supplier must submit the ff. requirements:																																						</t>
  </si>
  <si>
    <t xml:space="preserve"> Please refer to the attached Request for Quotation (RFQ) for complete and detailed specifications. For queries, please call at 317-1768 local 754/701 and look for Mr. Benedict D. Valeroso.</t>
  </si>
  <si>
    <t xml:space="preserve"> Please see attached RFQ No. 20-0702 NP-SVP for the complete Scope of Work, Description and Specifications.</t>
  </si>
  <si>
    <t xml:space="preserve"> NOTE:									</t>
  </si>
  <si>
    <t xml:space="preserve"> Please see attached associated components.</t>
  </si>
  <si>
    <t xml:space="preserve"> https://drive.google.com/file/d/1YqXlMzoK-0tDuoDJELqpI1nYRiCjLL3a/view?usp=drivesdk</t>
  </si>
  <si>
    <t xml:space="preserve"> The DICT-FOO-MC3 through its committee for SVP mode of procurement intend to procure Construction Materials &amp; supplies UNIT as per specification above. As such, the supplier of known qualifications is hereby invited to submit their quotations/price proposals not later than August 7, 2020 at DICT-F. Torres St., Davao City The supplier must submit the ff. requirements:																																						</t>
  </si>
  <si>
    <t xml:space="preserve"> https://drive.google.com/file/d/1ADfDzS1hyO7jEus3-qKNiQUadDNEcS8I/view?usp=drivesdk</t>
  </si>
  <si>
    <t xml:space="preserve"> Pre Register here: https://docs.google.com/forms/d/14e9OfDtXunawfjhKp8OF9jLVIoqUTLAttpI7ekJNCZs/viewform?edit_requested=true</t>
  </si>
  <si>
    <t xml:space="preserve"> Bid documents are available at Vito Barangay Hall</t>
  </si>
  <si>
    <t xml:space="preserve"> Payment will be in a stagard basis</t>
  </si>
  <si>
    <t xml:space="preserve"> NOTE: BUDGET AMOUNT IS INCLUSIVE OF VAT</t>
  </si>
  <si>
    <t xml:space="preserve"> BID FORM IS AVAILABLE AT METRO BANGUED WATER DISTRICT</t>
  </si>
  <si>
    <t xml:space="preserve"> For clarification on details, you may call tel. # (074) 444-4882 (SSS OVP LN1D)</t>
  </si>
  <si>
    <t xml:space="preserve"> August 3 - 10, 2020</t>
  </si>
  <si>
    <t xml:space="preserve"> Delivery Point: Plantsite / JOLO DPP, Sulu Province</t>
  </si>
  <si>
    <t xml:space="preserve"> Please submit your quotation on or before closing date to TESDA III Regional Office, Government Center, Maimpis, City of San Fernando, Pampanga address to the Bids and Awards Committee attention to Philippides B. Zamar, Supply Officer or email at region3@tesda.gov.ph in pdf format together with the documentary requirements specified in the RFQ.</t>
  </si>
  <si>
    <t xml:space="preserve"> BIDDING DATE : AUGUST 10, 2020 @ 2 P.M.</t>
  </si>
  <si>
    <t xml:space="preserve"> Suppliers are required to submit their quotation/written proposal with the following documents on or before JULY AUGUST 5, 2020 9:00 AM at BAC Office, this LGU, to wit:</t>
  </si>
  <si>
    <t xml:space="preserve"> August 3 - 17, 2020</t>
  </si>
  <si>
    <t xml:space="preserve"> Annual Budget CY 2020</t>
  </si>
  <si>
    <t xml:space="preserve"> For further information, you may call the POC-BAC I Secretariat at 711-4276 loc. 224 from 8:00 a.m. to 4:00 p.m, Monday to Friday.</t>
  </si>
  <si>
    <t xml:space="preserve"> For queries, Please contact Ms. Rollien J. Delegencia, Land Bank of the Philippines, Sara Branch Sara Iloilo at telephone No. 392-0255.</t>
  </si>
  <si>
    <t xml:space="preserve"> For more details, please contact Barangay Kagawad Teresita P. Gonzales with her Mobile No. 0910557-7887.</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</si>
  <si>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</si>
  <si>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The schedule of opening of bid will be on August 10, 2020 at exactly 3:00 o'clock in the afternoon at the BAC Office LGU Dauis, Bohol.</t>
  </si>
  <si>
    <t xml:space="preserve"> BIDDING DATE: AUGUST 10, 2020 @ 2 P.M.</t>
  </si>
  <si>
    <t xml:space="preserve"> Please see attached RFQ for the details.</t>
  </si>
  <si>
    <t xml:space="preserve"> https://drive.google.com/file/d/1Fp4WIz9ZkbhCI5HV3Gh8tG6w43na7iKW/view?usp=drivesdk</t>
  </si>
  <si>
    <t xml:space="preserve"> Please submit your quotation and legal documents on or before 5 AUGUST 2020 thru email at christian_serrano@tpb.gov.ph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</si>
  <si>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INQUIRE AT BAC OFFICE, MUNICIPAL HALL TAMBULIG, ZAMBOANGA DLE SUR</t>
  </si>
  <si>
    <t xml:space="preserve"> A complete set of Bidding Documents will be provided by PNBAC Secretariat to the interested Bidders upon payment of a non-refundable fee in the amount of FIFTY THOUSAND PESOS (P50,000.00) only at CRB, CPMU, Philippine Navy Finance Center (PNFC), Naval Station Jose Francisco, Fort Bonifacio, Taguig City.</t>
  </si>
  <si>
    <t xml:space="preserve"> A complete set of Bidding Documents will be provided by PNBAC Secretariat to the interested Bidders upon payment of a non-refundable fee in the amount of FIVE THOUSAND PESOS (P5,000.00) only at CRB, CPMU, Philippine Navy Finance Center (PNFC), Naval Station Jose Francisco, Fort Bonifacio, Taguig City.</t>
  </si>
  <si>
    <t xml:space="preserve"> https://drive.google.com/file/d/1yHF_2Bs-8oLq3uwZd_P7FfhgFeyhRef5/view?usp=drivesdk</t>
  </si>
  <si>
    <t xml:space="preserve"> https://drive.google.com/file/d/10Gy6J4oB_XOMDvCRojivTxVhDTxym7kv/view?usp=drivesdk</t>
  </si>
  <si>
    <t xml:space="preserve"> CONTACT 435-4619</t>
  </si>
  <si>
    <t xml:space="preserve"> TO BE DELIVER TO </t>
  </si>
  <si>
    <t xml:space="preserve"> Construction of Multi-Purpose Hall Building </t>
  </si>
  <si>
    <t xml:space="preserve"> 45 pcs Portable Thermal Scanner</t>
  </si>
  <si>
    <t xml:space="preserve"> --------------------------------------------------------------------------------------------------------</t>
  </si>
  <si>
    <t xml:space="preserve"> Bids must be submitted to the address below on or before August 07, 2020, 1:30 P.M. All Bids must be accompanied by a bid security in any of the acceptable forms and in the amount stated in Instructions to Bidders. Bid opening will be on August 07, 2020, 2:00 P.M. at Municipal Hall Building Conference Room. Bids will be opened in the presence of the Bidders or Bidders’ representative who choose to attend at the address above mentioned. Late bids shall not be accepted.</t>
  </si>
  <si>
    <t xml:space="preserve"> For more information, kindly contact our BAC Chairman, Mrs. Ruby S. Bulanon.</t>
  </si>
  <si>
    <t xml:space="preserve"> BAC ACTIVITIES:</t>
  </si>
  <si>
    <t xml:space="preserve"> Engine &amp; Transmission</t>
  </si>
  <si>
    <t xml:space="preserve"> You may see the Municipal Health Officer, RHU, Municipality of Caibiran</t>
  </si>
  <si>
    <t xml:space="preserve"> Please Complete your Eligibility Requirement as Contractor  for Bidding Purposes</t>
  </si>
  <si>
    <t xml:space="preserve"> https://drive.google.com/file/d/1xK9voZNG79013NHnF-B96Rb0mnWnISip/view?usp=drivesdk</t>
  </si>
  <si>
    <t xml:space="preserve"> For Clarification, please call (074) 448-0041 loc 0117</t>
  </si>
  <si>
    <t xml:space="preserve"> Bidder must download the attached documents in Associated Components.</t>
  </si>
  <si>
    <t xml:space="preserve"> For Clarifications, please contact (074) 448-0041 loc 0117</t>
  </si>
  <si>
    <t xml:space="preserve"> For the complete and detailed specifications please see attached associated components.</t>
  </si>
  <si>
    <t xml:space="preserve"> PROVINCE OF DAVAO DEL SUR</t>
  </si>
  <si>
    <t xml:space="preserve"> 1	Amoxicillin 250mg/5ml 60ml Suspension	2	Gross</t>
  </si>
  <si>
    <t xml:space="preserve"> https://drive.google.com/file/d/1QzVMSwKjRpWJNGV85NS0jzKxjnzUDRcE/view?usp=drivesdk</t>
  </si>
  <si>
    <t xml:space="preserve"> FOR MORE INFORMATION PLEASE CONTACT:</t>
  </si>
  <si>
    <t xml:space="preserve"> Note: Please see the uploaded file at associated components.</t>
  </si>
  <si>
    <t xml:space="preserve"> Please see attached Philippine Bidding Document.</t>
  </si>
  <si>
    <t xml:space="preserve"> see attached associated components</t>
  </si>
  <si>
    <t xml:space="preserve"> Other details visit BAC Office at Multi PUrpoe Hall</t>
  </si>
  <si>
    <t xml:space="preserve"> Instruction for Suppliers on how to View/Download the document:</t>
  </si>
  <si>
    <t xml:space="preserve"> BIDDERS/SUPPLIER MUST DOWNLOAD THE ATTACHED DOCUMENTS IN THE ASSOCIATED SECTIONS.</t>
  </si>
  <si>
    <t xml:space="preserve"> August 5, 2020, 9:30am	- 	Deadline of submission Quotation</t>
  </si>
  <si>
    <t xml:space="preserve"> 1.) Supplier MUST be an exclusive authorized dealer or the brand being offered.</t>
  </si>
  <si>
    <t xml:space="preserve"> Download RFQ and Memo at the associated components and submit both documents.</t>
  </si>
  <si>
    <t xml:space="preserve"> PLANT SITE, NEW DINAGAT DPP</t>
  </si>
  <si>
    <t xml:space="preserve"> Checklist for Alternative Mode of Procurement</t>
  </si>
  <si>
    <t xml:space="preserve"> The DICT-FOO-MC3 through its committee for SVP mode of procurement intend to procure AIR CONDITIONING UNIT as per specification above. As such, the supplier of known qualifications is hereby invited to submit their quotations/price proposals not later than August 6, 2020, 2020 at DICT-F. Torres St., Davao City The supplier must submit the ff. requirements:</t>
  </si>
  <si>
    <t xml:space="preserve"> for other information please contact</t>
  </si>
  <si>
    <t xml:space="preserve"> Using ADB Procurement Guidelines under the ADB Capacity Building Technical Assistance (CDTA) - ADB TA 7796-PHI Strengthening Public Private Partnerships in the Philippines (45515-001) Project</t>
  </si>
  <si>
    <t xml:space="preserve"> SOF:8751- Capital Outlay (Current &amp; Continuing) </t>
  </si>
  <si>
    <t xml:space="preserve"> Publication - July 30 - August 6, 2020</t>
  </si>
  <si>
    <t xml:space="preserve"> Visit BAC Office at Multi PUrpose Hall, Brgy. Palamis, Alaminos City, Pangasinan for other details</t>
  </si>
  <si>
    <t xml:space="preserve"> 1. All entries must be printed or type written					</t>
  </si>
  <si>
    <t xml:space="preserve"> For more information kindly contact:</t>
  </si>
  <si>
    <t xml:space="preserve"> LOT AWARD</t>
  </si>
  <si>
    <t xml:space="preserve"> For Particular, Inquire at BAC Secretariat of Brgy. Villa Ibaba Atimonan,Quezon</t>
  </si>
  <si>
    <t xml:space="preserve"> Bid Opening Date: August 07, 2020</t>
  </si>
  <si>
    <t xml:space="preserve"> Other details visit BAC Office at Multi Purpose Hall, Brgy. Palamis, Alaminos City, Pangasinan</t>
  </si>
  <si>
    <t xml:space="preserve"> The Bidding Conferrence will be held at Barangay Lucutan Session Hall, Barangay Multi-Purpose Hall and the source of fund is from Barangay fund (20% BDF) Approved Budget</t>
  </si>
  <si>
    <t xml:space="preserve"> The DICT-FOO-MC3 through its committee for SVP mode of procurement intend to procure construction materials  as per specification above. As such, the supplier of known qualifications is hereby invited to submit their quotations/price proposals not later than August 6, 2020 at DICT-F. Torres St., Davao City The supplier must submit the ff. requirements:</t>
  </si>
  <si>
    <t xml:space="preserve"> see attached invitation to bid</t>
  </si>
  <si>
    <t xml:space="preserve"> BRAND NEW</t>
  </si>
  <si>
    <t xml:space="preserve"> The DICT-FOO-MC3 through its committee for SVP mode of procurement intend to procure Portable Generator  as per specification above. As such, the supplier of known qualifications is hereby invited to submit their quotations/price proposals not later than A, 2020 at DICT-F. Torres St., Davao City The supplier must submit the ff. requirements:		</t>
  </si>
  <si>
    <t xml:space="preserve"> Site Of Delivery:</t>
  </si>
  <si>
    <t xml:space="preserve"> Bidders must download the document in the associated component section.</t>
  </si>
  <si>
    <t xml:space="preserve"> Source of Funds: Annual Budget 2020</t>
  </si>
  <si>
    <t xml:space="preserve"> SUPPLY AND DELIVERY OF  GARDEN TOOLS AMOUNTING P70,000.00</t>
  </si>
  <si>
    <t xml:space="preserve"> https://drive.google.com/file/d/1NMCQX376JJK-7i31SahZt4XMxGseFZSU/view?usp=drivesdk</t>
  </si>
  <si>
    <t xml:space="preserve"> The DICT-FOO-MC3 through its committee for SVP mode of procurement intend to procure COMPUTER TABLES as per specification above. As such, the supplier of known qualifications is hereby invited to submit their quotations/price proposals not later than August 6, 2020 at DICT-F. Torres St., Davao City The supplier must submit the ff. requirements:		</t>
  </si>
  <si>
    <t xml:space="preserve"> 1. Submission of canvass on or before August 12, 2020 @ 2:00 P.M.</t>
  </si>
  <si>
    <t xml:space="preserve"> NOTE:  ALL INTERESTED SUPPLIERS/BIDDERS ARE REQUIRED TO LOG-IN TO THE SYSTEM, PHILGEPS BEFORE  SUBMITTING BID PROPOSAL/QUOTATION TO THE BAC SECRETARIAT. FOR MORE INFORMATION, PLEASE CONTACT MS. JOYCE ANN MAE L. DEL VALLE @ TEL. NO. (049) 530-2952 LOC. 106 &amp; MS. ALTHEA D. DEOMANO @ TEL. NO.  (049) 530-2952 LOC. 306.</t>
  </si>
  <si>
    <t xml:space="preserve"> The DICT-FOO-MC3 through its committee for SVP mode of procurement intend to procure Furniture's as per specification above. As such, the supplier of known qualifications is hereby invited to submit their quotations/price proposals not later than August 6, 2020 at DICT-F. Torres St., Davao City The supplier must submit the ff. requirements:		</t>
  </si>
  <si>
    <t xml:space="preserve"> The DICT-FOO-MC3 through its committee for SVP mode of procurement intend to procure FURNITURE'S UNIT as per specification above. As such, the supplier of known qualifications is hereby invited to submit their quotations/price proposals not later than August 6, 2020 at DICT-F. Torres St., Davao City The supplier must submit the ff. requirements:		</t>
  </si>
  <si>
    <t xml:space="preserve"> Revised on: May 24, 2004										</t>
  </si>
  <si>
    <t xml:space="preserve"> Bidding Documents may be purchased by the Interested Bidders on August 5-6, 2020 from 8:00 A.M to 5:00 P.M. and upon payment of non - refundable fee of Five Hundred Pesos (Php 500.00).</t>
  </si>
  <si>
    <t xml:space="preserve"> For the use of PRDP7 Hired/Detailed Personnel...</t>
  </si>
  <si>
    <t xml:space="preserve"> The DICT-FOO-MC3 through its committee for SVP mode of procurement intend to procure Vehicle Tire as per specification above. As such, the supplier of known qualifications is hereby invited to submit their quotations/price proposals not later than August 6, 2020 at DICT-F. Torres St., Davao City The supplier must submit the ff. requirements:		</t>
  </si>
  <si>
    <t xml:space="preserve"> OPENING OF BIDS WILL BE ON AUGUST 6, 2020, 10:00 AM AT BARANGAY HALL OF TUBTUBON, SIBULAN</t>
  </si>
  <si>
    <t xml:space="preserve"> Pleas see attached associated components.</t>
  </si>
  <si>
    <t xml:space="preserve"> 20II0061(Re-Ad) Bid Docs and Plans Link;</t>
  </si>
  <si>
    <t xml:space="preserve"> Please download the documents at the associated components.</t>
  </si>
  <si>
    <t xml:space="preserve"> In pursuant to the IRR of R.A. 1984 also known as the Government Procurement Act (GPRA), the following Eligibility Requirements are to be submitted to us attached to the supplier's quotation;</t>
  </si>
  <si>
    <t xml:space="preserve"> Bidders must download the attached document in the associated component.</t>
  </si>
  <si>
    <t xml:space="preserve"> Bidding Documents may be purchased by the Interested Bidders on August 5-6, 2020 from 8:00 A.M to 5:00 P.M. and upon payment of non - refundable fee of Two Thousand Pesos (Php 2,000.00 ).</t>
  </si>
  <si>
    <t xml:space="preserve"> Please address your sealed envelope to the BAC, CHAIRMAN and submit the same to the PROCUREMENT MANAGEMENT OFFICE, Ground Floor, Main Building, Sta. Mesa, Manila. For more information, please call up 8713-15-04 or email us at procurementoffice@pup.edu.ph.</t>
  </si>
  <si>
    <t xml:space="preserve"> For more information, please see or contact the BAC Members of Brgy. Malbog, Magallanes, Sorsogon.</t>
  </si>
  <si>
    <t xml:space="preserve"> You may see the Municipal engineer, Municipality of Caibiran</t>
  </si>
  <si>
    <t xml:space="preserve"> https://www.philgeps.gov.ph/GEPSNONPILOT/Tender/CreateNoticeStep2UI.aspx?RefID=7143488</t>
  </si>
  <si>
    <t xml:space="preserve"> https://www.philgeps.gov.ph/GEPSNONPILOT/Tender/CreateNoticeStep2UI.aspx?RefID=7143542</t>
  </si>
  <si>
    <t xml:space="preserve"> https://www.philgeps.gov.ph/GEPSNONPILOT/Tender/CreateNoticeStep2UI.aspx?RefID=7143517</t>
  </si>
  <si>
    <t xml:space="preserve"> 1.	Bidders should have completed a contract similar to the Project. The description of an eligible bidder is contained in the Bidding Documents, particularly, in Section 2. Instructions to Bidders.</t>
  </si>
  <si>
    <t xml:space="preserve"> uploaded docs are also available in dpwh website</t>
  </si>
  <si>
    <t xml:space="preserve"> 1.	All interested bidders/suppliers may now submit Eligibility Documents and other documents.</t>
  </si>
  <si>
    <t xml:space="preserve"> https://www.philgeps.gov.ph/GEPSNONPILOT/Tender/CreateNoticeStep2UI.aspx?RefID=7143569</t>
  </si>
  <si>
    <t xml:space="preserve"> Information Technology &amp; Accessories &amp; Perip</t>
  </si>
  <si>
    <t xml:space="preserve"> https://www.philgeps.gov.ph/GEPSNONPILOT/Tender/CreateNoticeStep2UI.aspx?RefID=7143612</t>
  </si>
  <si>
    <t xml:space="preserve"> Also available at the DPWH Website.</t>
  </si>
  <si>
    <t xml:space="preserve"> Bidders may send their quotation to catbpenro@yahoo.com using their own form.</t>
  </si>
  <si>
    <t xml:space="preserve"> https://drive.google.com/file/d/1F-G7Fo4MovKc6qvAwy5dTyhCJgJ6Zd_u/view?usp=drivesdk</t>
  </si>
  <si>
    <t xml:space="preserve"> https://www.philgeps.gov.ph/GEPSNONPILOT/Tender/CreateNoticeStep2UI.aspx?RefID=7143714</t>
  </si>
  <si>
    <t xml:space="preserve"> https://drive.google.com/file/d/17UalkDwk5sLEC7SoeTyhJu-nFIS8GkHr/view?usp=drivesdk</t>
  </si>
  <si>
    <t xml:space="preserve"> All particulars relative to Preliminary Examination of Bids, Bid Security, Performance Security, Evaluation of Bids, Post-Qualification and Award of Contract shall be governed by the pertinent provisions of R.A 9184 and its Revised Implementing Rules and Regulations (Revised IRR). Prospective bidders should have completed a similar contract within the last five (5) years with a value of at least 50% of the ABC. The BAC will use non-discretionary “pass/fail” criteria in the screening of Technical Proposal as well as the Preliminary Examination of Bids. The BAC will conduct post-qualification of the Lowest Calculated Bid.</t>
  </si>
  <si>
    <t xml:space="preserve"> https://www.philgeps.gov.ph/GEPSNONPILOT/Tender/CreateNoticeStep2UI.aspx?RefID=7143764</t>
  </si>
  <si>
    <t xml:space="preserve"> https://www.philgeps.gov.ph/GEPSNONPILOT/Tender/CreateNoticeStep2UI.aspx?RefID=7143742</t>
  </si>
  <si>
    <t xml:space="preserve"> https://www.philgeps.gov.ph/GEPSNONPILOT/Tender/CreateNoticeStep2UI.aspx?RefID=7143816</t>
  </si>
  <si>
    <t xml:space="preserve"> https://www.philgeps.gov.ph/GEPSNONPILOT/Tender/CreateNoticeStep2UI.aspx?RefID=7143786</t>
  </si>
  <si>
    <t xml:space="preserve"> https://www.philgeps.gov.ph/GEPSNONPILOT/Tender/CreateNoticeStep2UI.aspx?RefID=7143802</t>
  </si>
  <si>
    <t xml:space="preserve"> Bidders may send quotation to catbpenro@yahoo.com using their own form.</t>
  </si>
  <si>
    <t xml:space="preserve"> https://www.philgeps.gov.ph/GEPSNONPILOT/Tender/CreateNoticeStep2UI.aspx?RefID=7143838</t>
  </si>
  <si>
    <t xml:space="preserve"> Criselle Mhae Hilario Rele</t>
  </si>
  <si>
    <t xml:space="preserve"> https://www.philgeps.gov.ph/GEPSNONPILOT/Tender/CreateNoticeStep2UI.aspx?RefID=7143865</t>
  </si>
  <si>
    <t xml:space="preserve"> Pls. See Bac Secretariat for further details.</t>
  </si>
  <si>
    <t xml:space="preserve"> MARITES L. ESPINOSA</t>
  </si>
  <si>
    <t xml:space="preserve"> Please see attached RFQ for more details.</t>
  </si>
  <si>
    <t xml:space="preserve"> SIMPLICIA O. OCBA</t>
  </si>
  <si>
    <t xml:space="preserve"> You may download the bidding documents through the link below:</t>
  </si>
  <si>
    <t xml:space="preserve"> Bid documents are available at the Barangay Hall, Alno, La Trinidad, Benguet.</t>
  </si>
  <si>
    <t xml:space="preserve"> The bidders must download the attached document in the associated components section.</t>
  </si>
  <si>
    <t xml:space="preserve"> For further inquiries and/or information, please call the BAC Secretariat at telephone number (02) 84223000 loc. 5705</t>
  </si>
  <si>
    <t xml:space="preserve"> https://drive.google.com/file/d/1aP5WlvB61VLtYaLZS_Ptm51uZ0UUutFa/view?usp=drivesdk</t>
  </si>
  <si>
    <t xml:space="preserve"> Bidders may send quotation to catbpenbro@yahoo.com using their own form.</t>
  </si>
  <si>
    <t xml:space="preserve"> https://drive.google.com/file/d/1bT4p2RWZQgp2q-M3jno_Rcxg1H-U9QvX/view?usp=drivesdk</t>
  </si>
  <si>
    <t xml:space="preserve"> https://drive.google.com/file/d/1Xp3cHgmOMhydjjmFA47SyQdSYZ9wcXoy/view?usp=drivesdk</t>
  </si>
  <si>
    <t xml:space="preserve"> Please see Associated Component attached.</t>
  </si>
  <si>
    <t xml:space="preserve"> BID DOCS PHP1000.00</t>
  </si>
  <si>
    <t xml:space="preserve"> Bidding Documents will be available to prospective bidders who purchase the bidding documents from the Office of the Municipal Treasurer of the Local GOvernment Unit of Magpet</t>
  </si>
  <si>
    <t xml:space="preserve"> 5000.00 for the reproduction of School Forms</t>
  </si>
  <si>
    <t xml:space="preserve"> Instruction for Suppliers on How to View/Download the document:</t>
  </si>
  <si>
    <t xml:space="preserve"> https://drive.google.com/file/d/1rApFwh1ZhpuGhOr0ajdy0giV0McQ4imv/view?usp=drivesdk</t>
  </si>
  <si>
    <t xml:space="preserve"> Bid Docs Fee P/5,000.00</t>
  </si>
  <si>
    <t xml:space="preserve"> You may see the Municipal Engineer, Municipality of Caibiran</t>
  </si>
  <si>
    <t xml:space="preserve"> Project Description:</t>
  </si>
  <si>
    <t xml:space="preserve"> https://drive.google.com/file/d/1SEYZrRfwTY66y6_W5WFJYhgg8KqAqFAG/view?usp=drivesdk</t>
  </si>
  <si>
    <t xml:space="preserve"> RFQ, BAC NOTICE, NOTICE OF ALTERNATIVE METHOD PR-2020-07-0035 </t>
  </si>
  <si>
    <t xml:space="preserve"> KINDLY DOWNLOAD THE DOCUMENTS IN THE ASSOCIATED COMPONENTS.</t>
  </si>
  <si>
    <t xml:space="preserve"> Please visit BAC Office of Barangay Lumbayao at Barangay Hall</t>
  </si>
  <si>
    <t xml:space="preserve"> Interested bidder shall pay 500 for the bid docs</t>
  </si>
  <si>
    <t xml:space="preserve"> BID DOCS PHP500.00</t>
  </si>
  <si>
    <t xml:space="preserve"> Interested suppliers are required to submit ther valid and current Mayor's permit, Income/Business Tax Return, PhilGeps Registration Certificate,  Omnibus Sworn Statement, and price quotation form (Annex "A"). 								</t>
  </si>
  <si>
    <t xml:space="preserve"> Please visit BAC Office of Barangay Songgoy at Barangay Hall</t>
  </si>
  <si>
    <t xml:space="preserve"> RFQ, BAC NOTICE, NOTICE OF ALTERNATIVE METHOD For PR-2020-07-0036</t>
  </si>
  <si>
    <t xml:space="preserve"> Delivery Point: Plantsite / Languyan DPP, Languyan, Tawi-Tawi</t>
  </si>
  <si>
    <t xml:space="preserve"> RFQ, BAC NOTICE, NOTICE OF ALTERNATIVE METHOD for PR-2020-07-0037</t>
  </si>
  <si>
    <t xml:space="preserve"> KINDLY DOWNLOAD ATTACHMENTS IN THE ASSOCIATED COMPONENTS.</t>
  </si>
  <si>
    <t xml:space="preserve"> LATE SUBMISSION WILL NOT BE ACCEPTED.</t>
  </si>
  <si>
    <t xml:space="preserve"> Delivery of the unit will be directly to Ground Floor, Tia Anita’s Commercial Building, Mabini Avenue, Catbalogan City Proper, Catbalogan City, Samar</t>
  </si>
  <si>
    <t xml:space="preserve"> RFQ, BAC NOTICE, NOTICE OF ALTERNATIVE METHOD for PR-2020-07-0038</t>
  </si>
  <si>
    <t xml:space="preserve"> 1	unit	GENERATOR SET</t>
  </si>
  <si>
    <t xml:space="preserve"> Delivery Point: Plantsite / Balimbing DPP,  Tawi-Tawi Province</t>
  </si>
  <si>
    <t xml:space="preserve"> RFQ, BAC NOTICE, NOTICE OF ALTERNATIVE METHOD for PR-2020-07-0039</t>
  </si>
  <si>
    <t xml:space="preserve"> 1.	1	unit	BRAND NEW TEN WHEELER DUMP TRUCK	</t>
  </si>
  <si>
    <t xml:space="preserve"> KINDLY DOWNLOAD THE ATTACHMENT IN THE ASSOCIATED COMPONENTS.</t>
  </si>
  <si>
    <t xml:space="preserve"> Please copy the link below and paste it on new tab:</t>
  </si>
  <si>
    <t xml:space="preserve"> Please see attached ITB and Bid Documents</t>
  </si>
  <si>
    <t xml:space="preserve"> Bidders must download the attached documents in the associated component.</t>
  </si>
  <si>
    <t xml:space="preserve"> Bid Documents Download Links:</t>
  </si>
  <si>
    <t xml:space="preserve"> Complete Bidding Documents can be downloaded at the DPWH Website including Bidding Forms</t>
  </si>
  <si>
    <t xml:space="preserve"> https://drive.google.com/file/d/1kGFffz57oPHImWV42yD76fIbwAlBRcnH/view?usp=drivesdk</t>
  </si>
  <si>
    <t xml:space="preserve"> Please download ITB here https://drive.google.com/file/d/1ax7R5RFg_makhrXI96MMI4L_lnRugGMZ/view?usp=drivesdk</t>
  </si>
  <si>
    <t xml:space="preserve"> https://drive.google.com/file/d/1bZaLTC3HfCSW1waOSYtBoy4tJUWIHc5T/view?usp=drivesdk</t>
  </si>
  <si>
    <t xml:space="preserve"> BAC Activity Schedule:</t>
  </si>
  <si>
    <t xml:space="preserve"> 1.	THIS IS A FIRST PUBLICATION FOR THIS PROCUREMENT.</t>
  </si>
  <si>
    <t xml:space="preserve"> Access the bidding documents in: https://drive.google.com/file/d/1zIcNDUZHLvTfbcQzWOTnE-nHn2a1WZc1/view?usp=drivesdk</t>
  </si>
  <si>
    <t xml:space="preserve"> https://drive.google.com/file/d/1Mdd5sreRy6KjQkITOIFa_C8_mANKUmA3/view?usp=drivesdk</t>
  </si>
  <si>
    <t xml:space="preserve"> Interested suppliers are required to submit their valid and current Mayors Permit, DTI registration, BIR Registration, Tax Clearance, PhilGEPS Platinum Registration Certificate and Price Quotation (annex "A").</t>
  </si>
  <si>
    <t xml:space="preserve"> Description:</t>
  </si>
  <si>
    <t xml:space="preserve"> https://drive.google.com/file/d/1iGoxV0HcbFqCUlr0cRR0uaQmdSYlWR2L/view?usp=drivesdk</t>
  </si>
  <si>
    <t xml:space="preserve"> Item Description:</t>
  </si>
  <si>
    <t xml:space="preserve"> RIA P. JARAPA</t>
  </si>
  <si>
    <t xml:space="preserve"> DEADLINE FOR SUBMISSION OF BIDS:</t>
  </si>
  <si>
    <t xml:space="preserve"> https://drive.google.com/file/d/1XIXor8RRc9OqPuQOBO3FJCbXLpif6ckG/view?usp=drivesdk</t>
  </si>
  <si>
    <t xml:space="preserve"> see attached BQ for details</t>
  </si>
  <si>
    <t xml:space="preserve"> https://drive.google.com/file/d/1bXPJTN6rCmbYxTOAWCiOM-PWb0bcSeZd/view?usp=drivesdk</t>
  </si>
  <si>
    <t xml:space="preserve"> For queries, please get in touch with Mr. Eric A. Teves, Head of RBAC Secretariat thru telephone #(035)-402-4300.</t>
  </si>
  <si>
    <t xml:space="preserve"> 20GG0055-G - IB</t>
  </si>
  <si>
    <t xml:space="preserve"> Issuance of Bidding documents at Brgy. Hall of Barangay Lucmayan on July 29, 2020 to August 5, 2020 at 10:00 a.m.</t>
  </si>
  <si>
    <t xml:space="preserve"> Pls bring your sealed and original quotations to </t>
  </si>
  <si>
    <t xml:space="preserve"> The ABC shall issue bidding documents upon payment of Five Hundred Pesos Only (Php500.00) to the disbursing/ collecting officer of the LGU.</t>
  </si>
  <si>
    <t xml:space="preserve"> 20CSGG0002 - Request for Expression of Interest</t>
  </si>
  <si>
    <t xml:space="preserve"> BID OPENING: AUGUST 18, 2020  1:00PM, BAC OFFICE, MUNICIPAL HALL, STA. MARCELA, APAYAO</t>
  </si>
  <si>
    <t xml:space="preserve"> Purpose: 	Upgrade of Maritime Education Laboratories and Equipment.</t>
  </si>
  <si>
    <t xml:space="preserve"> BID DOCS POSTED: July 29, 2020 (Wednesday)</t>
  </si>
  <si>
    <t xml:space="preserve"> ITB20-07-031A</t>
  </si>
  <si>
    <t xml:space="preserve"> ITB20-07-031B</t>
  </si>
  <si>
    <t xml:space="preserve"> NOTE: all interested bidders/suppliers are required to log-in to the system, Philgeps before submitting LOI to the BAC secretariat.For more information please contact Ms. Leovina I. Casiple and Ms. Baby Go, BAC secretariat at cp no. 09171843810/09213002779.</t>
  </si>
  <si>
    <t xml:space="preserve"> The complete schedule of activities is listed, as follows:</t>
  </si>
  <si>
    <t xml:space="preserve"> Activated Dialdehyde Solution	50	Gallon</t>
  </si>
  <si>
    <t xml:space="preserve"> 0.9% Sodium Chloride 1000ml	603	Bot</t>
  </si>
  <si>
    <t xml:space="preserve"> Printer – Borderless Image Printing</t>
  </si>
  <si>
    <t xml:space="preserve"> Interested parties may send their VAT inclusive price quotation to telefax number (02) 85251411 or email to elmer.valenzuela@cbaa.gov.ph</t>
  </si>
  <si>
    <t xml:space="preserve"> OTHER SUPPLIES &amp; MATERIAL EXPENSES		</t>
  </si>
  <si>
    <t xml:space="preserve"> ALL INTERESTED BIDDERS ARE REQUIRED TO SUBMIT THEIR COMPLETE ELIGIBILITY REQUIREMENTS TO THE BAC FOR EVALUATION DURING THE PRE-BID CONFERENCE ON AUGUST 5, 2020 8:00A.M. AT THE BAC SECRETARIAT OFFICE, 2ND FLOOR, CITY HALL OF DASMARIÑAS, CAVITE. BIDDERS WHO SHALL FAIL TO ATTEND THE PRE-BID SHALL NOT BE ALLOWED TO JOIN THE BIDDING FOR THE AFORESAID PROJECT. </t>
  </si>
  <si>
    <t xml:space="preserve"> Opening of bids shall be done 48 hours after the deadline of submission of bid or on August 7, 2020 (FRIDAY), 2:00 p.m  at the BAC/Budget Office , 3rd floor , Municipal Building, Brgy. Timugan, Los Banos, Laguna. This is per BAC Resolution No. 2020-025 dated  27th of May  2020 with the Subject Re: Resolution Implementing Safety Measures during BAC Meetings including Online Bid Submission, Videoconferencing and Other Procurement Procedures Relative to the Control and Prevention of Corona Virus Disease 2019 (COVID-19). </t>
  </si>
  <si>
    <t xml:space="preserve"> Specification:</t>
  </si>
  <si>
    <t xml:space="preserve"> Opening of bids shall be done 48 hours after the deadline of submission of bid or on August 7, 2020 (Friday), 2:00 p.m  at the BAC/Budget Office , 3rd floor , Municipal Building, Brgy. Timugan, Los Banos, Laguna. This is per BAC Resolution No. 2020-025 dated  27th of May  2020 with the Subject Re: Resolution Implementing Safety Measures during BAC Meetings including Online Bid Submission, Videoconferencing and Other Procurement Procedures Relative to the Control and Prevention of Corona Virus Disease 2019 (COVID-19). </t>
  </si>
  <si>
    <t xml:space="preserve"> 1st Publication</t>
  </si>
  <si>
    <t xml:space="preserve"> Visit BAC Office for other details at Multi Purpose Halll, Brgy. Bolaney, Alaminos City, Pangasinan</t>
  </si>
  <si>
    <t xml:space="preserve"> Fund 164</t>
  </si>
  <si>
    <t xml:space="preserve"> Interested parties may send their VAT inclusive price quotation via telefax at (02) 85251411 or thru email at elmer.valenzuela@cbaa.gov.ph</t>
  </si>
  <si>
    <t xml:space="preserve"> Interested parties may send their VAT inclusive price quotation to telefax no. (02) 85251411 or email to elmer.valenzuela@cbaa.gov.ph</t>
  </si>
  <si>
    <t xml:space="preserve"> Publication: July 29 - Aug. 04, 2020</t>
  </si>
  <si>
    <t xml:space="preserve"> Please DOWNLOAD attached file/s for Specifications.</t>
  </si>
  <si>
    <t xml:space="preserve"> Interested parties may send their VAT inclusive price quotation to (02) 85251411 or email to elmer.valenzuela@cbaa.gov.ph</t>
  </si>
  <si>
    <t xml:space="preserve"> KINDLY SEND YOUR QUOTATION TO DBP PALAYAN BRANCH.</t>
  </si>
  <si>
    <t xml:space="preserve"> Bid Docs Link: https://drive.google.com/file/d/10pxz9U6a7sASBASzhld5V2cmd1EjrF9y/view?usp=drivesdk</t>
  </si>
  <si>
    <t xml:space="preserve"> For any clarifications and information, please contact with this number 09461650451 - Brgy. Treasurer</t>
  </si>
  <si>
    <t xml:space="preserve"> https://drive.google.com/file/d/1e-Tv_iDYRcRTz8eEJt6W7TZzsv12ySts/view?usp=drivesdk</t>
  </si>
  <si>
    <t xml:space="preserve"> https://drive.google.com/file/d/19ijr9u_RZrEcTxYchSM5fQUTOro8csD9/view?usp=drivesdk</t>
  </si>
  <si>
    <t xml:space="preserve"> -other information may be discussed during pre-bid conference</t>
  </si>
  <si>
    <t xml:space="preserve"> -other information may be discussed during pre-bid conference.</t>
  </si>
  <si>
    <t xml:space="preserve"> https://drive.google.com/file/d/1let5ZCTQrUqBJnEtyVFDTcovf7xdWDgM/view?usp=drivesdk</t>
  </si>
  <si>
    <t xml:space="preserve"> Instruction for Suppliers on how to View/ Download the document:</t>
  </si>
  <si>
    <t xml:space="preserve"> Please see the BAC for further information &amp; clarification.</t>
  </si>
  <si>
    <t xml:space="preserve"> Description: Pick - up truck ~4x4</t>
  </si>
  <si>
    <t xml:space="preserve"> Submission of Bids before 10 a.m. of August 19,2020</t>
  </si>
  <si>
    <t xml:space="preserve"> Please visit  BAC OFFiCE at Barangay Hall of Payag</t>
  </si>
  <si>
    <t xml:space="preserve"> BIDDERS MUST DOWNLOAD THE ATTACHED DOCUMENTS IN THE ASSOCIATED COMPONENTS SECTION</t>
  </si>
  <si>
    <t xml:space="preserve"> Bidding Document  amount is Php 5,000.00</t>
  </si>
  <si>
    <t xml:space="preserve"> Bidding Documents link:</t>
  </si>
  <si>
    <t xml:space="preserve"> 4000 LITS. DIESEL FUEL</t>
  </si>
  <si>
    <t xml:space="preserve"> TWO NOZZLE TYPE, AUTO SHUT-OFF, DIGITAL READOUT DISPLAY, INSTALLATION AND OPERATORS INSTRUCTION</t>
  </si>
  <si>
    <t xml:space="preserve"> 1.Submission of letter of intent July 29,2020- August 05,2020</t>
  </si>
  <si>
    <t xml:space="preserve"> For more details, please contact the Municipal Engineer Jopson D. Baones with his Mobile No. 09399029802.</t>
  </si>
  <si>
    <t xml:space="preserve"> Submission of  Letters of intent and application for eligibility will be on July 29-August 7,2020.Cut-off time for the submission of bids  will be on August  7,2020, 9:00 A.M.Opening of bids and  elegibility  checking will be on August 7,2020,9:00 A.M at  Lamac Barangay Hall.Bid documents will be available only upon payment of a non-refundable amount of Five hundred Pesos(  500.00) payable, to the Barangay Treasurer of Barangay Lamac,Pinamungajan Cebu</t>
  </si>
  <si>
    <t xml:space="preserve"> Bidders must download the attached document in the component section.</t>
  </si>
  <si>
    <t xml:space="preserve"> Submission of Letters of intent and application  for eligibility will be on July 29,2020-August 7,2020.Cut-off time for the submission of bids  will be on August 7,2020, 11:00 A.M.Opening  of bids  and eligibility checking will be on August 7,2020, 11:00 A.M.at Lamac,Barangay Hall.Bid  documents will be available only upon payment of a non-refundable amount of FIVE HUNDRED PESOS (500.00)payable to the Barangay Treasurer of Barangay Lamac,Pinamungajan Cebu.</t>
  </si>
  <si>
    <t xml:space="preserve"> Note:								</t>
  </si>
  <si>
    <t xml:space="preserve"> DOWNLOAD RFQ &amp; MEMO @ THE ASSOCIATED COMPONENTS.</t>
  </si>
  <si>
    <t xml:space="preserve"> Submission of Bids before 2 p.m. of August 19, 2020</t>
  </si>
  <si>
    <t xml:space="preserve"> 1.	Emergency Birthing Kits	1,000	Kits	500,000.00	On or Before October 15, 2020	DOH – WV CHD</t>
  </si>
  <si>
    <t xml:space="preserve"> Submission of Letters of intent and application for elegibility  will be on July 29,2020-August 7,2020.Cut-off time for the submission of bids will be on August 7,2020, 3:00 P.M.Opening of bids and elegibility  checking will be on August 7,2020, 3:00 P.M  at Lamac Barangay Hall.Bid documents  will be available only  upon payment of a non-refundable amount of FIVE HUNDRED PESOS( 500.00) payable to the Barangay  Treasurer of Barangay Lamac, Pinamungajan Cebu.</t>
  </si>
  <si>
    <t xml:space="preserve"> https://drive.google.com/file/d/1aJmbjQgsetEcXDFNFlTfufaqhtbE4XlT/view?usp=drivesdk</t>
  </si>
  <si>
    <t xml:space="preserve"> https://drive.google.com/file/d/1G-Zr935bRTevV1_jIrCkZMmkTTCo1UgP/view?usp=drivesdk</t>
  </si>
  <si>
    <t xml:space="preserve"> Submission of Letters of intent and application for elegibility  will be on July 29,2020-August 7,2020, Cut-off time for the submission of bids  will be on August 7,2020, 1:00 P.M Opening of bids and elegibility  checking will be on August</t>
  </si>
  <si>
    <t xml:space="preserve"> Issuance of bid documents - July 29, 2020 - August 18, 2020</t>
  </si>
  <si>
    <t xml:space="preserve"> DOWNLOAD RFQ &amp; MEMO @ THE ASSOCIATED COMPONENTS</t>
  </si>
  <si>
    <t xml:space="preserve"> Submission of Letters  of intent and application  for elegibility  will be on July 29,2020-August  10,2020.Cut-off time for the  submission of bids  will be on August 10,2020, 9:00 A.M. Opening of bids and elegibility checking will be on August 10,2020, 9:00 A.M. at Lamac Barangay Hall.Bid documents  will be available only upon payment of a non-refundable amount of Five Hundred  Pesos( 500.00) payable to the Barangay Treasurer of Barangay Lamac,Pinamungajan Cebu.</t>
  </si>
  <si>
    <t xml:space="preserve"> 1.	Disinfectants (surfaces)	220	Bottles	319,000.00	Within 30 Calendar Days from receipt of the NTP	DOH – WV CHD</t>
  </si>
  <si>
    <t xml:space="preserve"> Please refer to the attached Request for Quotation (RFQ) for complete and detailed specifications. For queries, please call at 317-1768 local 713 and look for Prof. Marie Chiela C. Malcampo.</t>
  </si>
  <si>
    <t xml:space="preserve"> 3700 LITS. DIESEL FUEL</t>
  </si>
  <si>
    <t xml:space="preserve"> Transformer w/ Installation and Metering</t>
  </si>
  <si>
    <t xml:space="preserve"> The Bidding Conferrence will be held at Sitio Tawagan, Barangay Rosario, Mauban, Quezon, Barangay Hall, the Source of Fund is from Barangay Fund (Trust Fund)</t>
  </si>
  <si>
    <t xml:space="preserve"> Posted at three conspicuous Places</t>
  </si>
  <si>
    <t xml:space="preserve"> DOWNLOAD FRQ &amp; MEMO @ THE ASSOCIATED COMPONENTS</t>
  </si>
  <si>
    <t xml:space="preserve"> https://drive.google.com/file/d/1yMa1ushZXsI7qKTiF9omL0WL9-ocbyNy/view?usp=drivesdk</t>
  </si>
  <si>
    <t xml:space="preserve"> 1. DTI Business Name Registration or SEC Registration, CDA, Registration</t>
  </si>
  <si>
    <t xml:space="preserve"> Submission of Letters of intent and application for elegibility will be on July 29,2020-August 10,2020.Cut-off time for the submission of bids will be on August 10,2020, 11:00 A.M. Opening of bids and elegibility checking will be on August 10,2020, 11:00 A.M. at Lamac Barangay Hall.Bid documents will be available only upon payment of a non-refundable amount of Five Hundred Pesos( 500.00) payable to the Barangay Treasurer of Barangay Lamac,Pinamungajan Cebu.</t>
  </si>
  <si>
    <t xml:space="preserve"> 1.	N95 Mask (20’s/Box)	180	Boxes	547,200.00	On or Before September 30, 2020	DOH – WV CHD</t>
  </si>
  <si>
    <t xml:space="preserve"> 1.	NAAT – LAMP Reagents and Consumables	37	Packages	2,035,000.00	Within 30 Calendar Days from receipt of the NTP	DOH – WV CHD</t>
  </si>
  <si>
    <t xml:space="preserve"> https://drive.google.com/file/d/1LXQdguL_3oNpsIPAuDJ2CoGQtgOgOdd_/view?usp=drivesdk</t>
  </si>
  <si>
    <t xml:space="preserve"> 1.	Sterile Gown Disposable	1,000	Pieces	300,000.00	Within 30 Calendar Days from receipt of the NTP	DOH – WV CHD</t>
  </si>
  <si>
    <t xml:space="preserve"> 1.	Urine Pregnancy Test Kit	10,000	Kits	200,000.00	30 calendar days from receipt of NTP	DOH – WV CHD</t>
  </si>
  <si>
    <t xml:space="preserve"> The Local Government Unit of Pilar, through the General Fund  intends to apply the sum of One Million, Three Hundred Thousand Pesos (P1,300,000.00)  being the Approved Budget for the Contract (ABC) to payment under the contract for the Procurement of 1 Unit Ambulance.  Bids received in excess of the ABC shall be automatically rejected at bid opening.</t>
  </si>
  <si>
    <t xml:space="preserve"> Submission of Letters of intent and application for elegibility will be on July 29,2020-August 10,2020.Cut-off time for the submission of bids will be on August 10,2020, 1:00 P.M. Opening of bids and elegibility checking will be on August 10,2020, 1:00 P.M. at Lamac Barangay Hall.Bid documents will be available only upon payment of a non-refundable amount of Five Hundred Pesos( 500.00) payable to the Barangay Treasurer of Barangay Lamac,Pinamungajan Cebu.</t>
  </si>
  <si>
    <t xml:space="preserve"> 1.	Petri Dish, Disposable, 100mm x 15mm	600	Pieces	3,600.00	30 calendar days from receipt of NTP	DOH – WV CHD</t>
  </si>
  <si>
    <t xml:space="preserve"> The Local Government Unit of Pilar, through the General Fund  intends to apply the sum of One Million, One Hundred Thousand Pesos (P1,100,000.00)  being the Approved Budget for the Contract (ABC) to payment under the contract for the Procurement of 1 Unit Rescue Vehicle.  Bids received in excess of the ABC shall be automatically rejected at bid opening.</t>
  </si>
  <si>
    <t xml:space="preserve"> 1.	Sulfur 10% Ointment, 15g Tube	1,818	Tubes	94,754.16	On or Before October 30, 2020</t>
  </si>
  <si>
    <t xml:space="preserve"> Pls. Inquire at BAC Secretariat</t>
  </si>
  <si>
    <t xml:space="preserve"> https://drive.google.com/file/d/1OG7fDI3kzWfn5mZfNOzxqEJg-arirATs/view?usp=drivesdk</t>
  </si>
  <si>
    <t xml:space="preserve"> The Local Government Unit of Pilar, through the General Fund  intends to apply the sum of Six Hundred Thousand Pesos (P600,000.00)  being the Approved Budget for the Contract (ABC) to payment under the contract for the Procurement of 1 Unit Water Purifier.  Bids received in excess of the ABC shall be automatically rejected at bid opening.</t>
  </si>
  <si>
    <t xml:space="preserve"> 1.	ACID FAST STAIN (Ziehl-Neelsen Method)	700	Boxes	2,100,000.00	Within 30 Calendar Days from receipt of the NTP	DOH – WV CHD</t>
  </si>
  <si>
    <t xml:space="preserve"> https://drive.google.com/file/d/1kU8Cj0FAjcTXedxDu0Pz2IPv8XDfuWBv/view?usp=drivesdk</t>
  </si>
  <si>
    <t xml:space="preserve"> FOR MORE INFORMATION AND CLARIFICATION, PLEASE SEE HEAD-BAC SECRETARIAT, ENGR. CATHERINE B. CAPILI AT ENGINEERING OFFICE, LGU DULAG FROM MONDAY TO FRIDAY (8:00 A.M. TO 5:00 P.M.)</t>
  </si>
  <si>
    <t xml:space="preserve"> pls. Inquire at BAC Secretariat</t>
  </si>
  <si>
    <t xml:space="preserve"> Date of Posting : July 29 - August 5, 2020</t>
  </si>
  <si>
    <t xml:space="preserve"> Bidding Documents amount is Php 500.00.</t>
  </si>
  <si>
    <t xml:space="preserve"> PEMILYN Z. MIRO</t>
  </si>
  <si>
    <t xml:space="preserve"> Reservation Clause:</t>
  </si>
  <si>
    <t xml:space="preserve"> Opening of Bids @ BAC Office, Municipal Hall</t>
  </si>
  <si>
    <t xml:space="preserve"> I.  Funded under Special Education Fund, with an ABC of Php 1,496,670.00</t>
  </si>
  <si>
    <t xml:space="preserve"> Pls. Inquire at Bac Secretariat</t>
  </si>
  <si>
    <t xml:space="preserve"> I.  Funded under Special Education Fund Supplemental Budget No. 1, with an ABC of Php 3,106,400.00</t>
  </si>
  <si>
    <t xml:space="preserve"> For more information, please contact Mr. Ariel Bonita at 8924-6031 loc 226/210.</t>
  </si>
  <si>
    <t xml:space="preserve"> Bidding Docs Link:</t>
  </si>
  <si>
    <t xml:space="preserve"> 1,225 Liters LIQUID FOLIAR FERTILIZER</t>
  </si>
  <si>
    <t xml:space="preserve"> Barangay Hall</t>
  </si>
  <si>
    <t xml:space="preserve"> For more Info. Please Contact:</t>
  </si>
  <si>
    <t xml:space="preserve"> You can also download the items and specifications at our official website: www.cebucity.gov.ph under For</t>
  </si>
  <si>
    <t xml:space="preserve"> Source of Fund: 20% BDF CY 2020</t>
  </si>
  <si>
    <t xml:space="preserve"> Check associated components</t>
  </si>
  <si>
    <t xml:space="preserve"> SIMPLICIA O. ORTIZ</t>
  </si>
  <si>
    <t xml:space="preserve"> SCHEDULE OF BAC ACTIVITIES</t>
  </si>
  <si>
    <t xml:space="preserve"> 1. Receipt from the Bidders of Letter of Intent - July 29 - Aug 6, 2020</t>
  </si>
  <si>
    <t xml:space="preserve"> Ambulance</t>
  </si>
  <si>
    <t xml:space="preserve"> BAC Secretariat</t>
  </si>
  <si>
    <t xml:space="preserve"> FOR MORE INFORMATION AND CLARIFICATION, PLEASE SEE HEAD-BAC SECRETARIAT, ENGR. CATHERINE B. CAPILI AT ENGINEERING OFFICE-LGU DULAG FROM MONDAY TO FRIDAY (8:00 A.M. TO 5:00 P.M.)</t>
  </si>
  <si>
    <t xml:space="preserve"> https://drive.google.com/file/d/1wudmWq74ynTajzq8cU5GnF7gdDX9VftP/view?usp=drivesdk</t>
  </si>
  <si>
    <t xml:space="preserve"> For Particulars: Inquire at the Bac Secretariat of Barangay Zone II Poblacion, Atimonan, Quezon</t>
  </si>
  <si>
    <t xml:space="preserve"> 20% EDF CY 2019 </t>
  </si>
  <si>
    <t xml:space="preserve"> SUPPLIERS/BIDDERS MUST DOWNLOAD THE ATTACHED DOCUMENT IN THE ASSOCIATED COMPONENT SECTION.</t>
  </si>
  <si>
    <t xml:space="preserve"> Bidders must download the attached documents in the associated components section.</t>
  </si>
  <si>
    <t xml:space="preserve"> for query, pls. contact MS. JAM FABELLA at tel no. 8 5512200 locals 2452, 2453; email address: jamfabella@gmail.com</t>
  </si>
  <si>
    <t xml:space="preserve"> See Link (bidding documents):</t>
  </si>
  <si>
    <t xml:space="preserve"> Please see attached RFQ in the associated component.</t>
  </si>
  <si>
    <t xml:space="preserve"> SUPPLIER MUST SUBMIT LOCAL BUSINESS PERMIT AT ILIGAN CITY</t>
  </si>
  <si>
    <t xml:space="preserve"> Republic of the Philippines </t>
  </si>
  <si>
    <t xml:space="preserve"> Please see attached Philippine Bidding Document for more details.</t>
  </si>
  <si>
    <t xml:space="preserve"> https://drive.google.com/file/d/15H6fO43EupGfqcq938TGfysCV5BKN7Nf/view?usp=drivesdk</t>
  </si>
  <si>
    <t xml:space="preserve"> Date of Posting July 29-August 6,2020</t>
  </si>
  <si>
    <t xml:space="preserve"> Complete Bidding Documents can be downloaded using the links below:</t>
  </si>
  <si>
    <t xml:space="preserve"> Opening of RFQs will be on July 3, 2020 at 8:30 am at the Division Office, Penaplata, Samal District, IGACOS</t>
  </si>
  <si>
    <t xml:space="preserve"> • PR Nos.: S3-SIA20-003, S3-SCL20-016 S3-WSD20-007, S3-TAN20-005, S3-BAI20-004 </t>
  </si>
  <si>
    <t xml:space="preserve"> • Complete Project Title: Supply and Delivery of Battery Stationary 110VDC, Gel Type, 55 Cells, 2V per Cell, 150AH Min. Cap. 2.25VDC Floaf Charge, 2 Terminals Welded each with Copper Insert, Tubular Plates Design, with Rack &amp; Maintenance Free</t>
  </si>
  <si>
    <t xml:space="preserve"> Refer to the Barangay Secretary at Tel. No. 2360521.</t>
  </si>
  <si>
    <t xml:space="preserve"> Bidding requirements/bid forms may be obtained, beginning August 3, 2020  from C.A. General Service upon payment of a non-refundable fee of P 3,000.00.  Interested parties may get in touch with Ms. Weng Mirhan, BAC Secretariat at telephone no. 8834-2708.</t>
  </si>
  <si>
    <t xml:space="preserve"> https://drive.google.com/file/d/1GZsrwAGq2RQvD32-o5QFnY8Xx08S_pjb/view?usp=drivesdk</t>
  </si>
  <si>
    <t xml:space="preserve"> Submit the Quotation to Ms. Estrella Eugenio of Treasury Office or Mr. Ruzzel Soltura of Budget Office</t>
  </si>
  <si>
    <t xml:space="preserve"> Bidding Documents available after the PreBid Conference. Bidders who opted to attend through online platform shall send request to the BAC for the link.</t>
  </si>
  <si>
    <t xml:space="preserve"> For further information, please contact Atty. JOSHUA PAUL C. CAPIRAL, Head, BAC Secretariat , or Atty. RUBY ANNE DULNUAN-DATONG, Member, BAC Secretariat, National Bureau of Investigation, Taft Avenue, Ermita, Manila.</t>
  </si>
  <si>
    <t xml:space="preserve"> Buyer: A.P. Mercado</t>
  </si>
  <si>
    <t xml:space="preserve"> For the use of MPW Mag. 1 Employees / Maintenance Section</t>
  </si>
  <si>
    <t xml:space="preserve"> Schedule of Bidding Activities: Sale and Issuance of Bid Mondays to Fridays Starting July 29, 2020 (8AM to 3PM only) DOE-BAC Secretariat, Procurement Management Division 3/F DOE Main Bldg., Energy Center, Rizal Drive, Bonifacio Global City, Taguig City </t>
  </si>
  <si>
    <t xml:space="preserve"> Venue of the meeting may be changed.</t>
  </si>
  <si>
    <t xml:space="preserve"> Issuance of bid documents - July 28, 2020 - August 17, 2020</t>
  </si>
  <si>
    <t xml:space="preserve"> A complete set of bidding document may be purchased by interested bidders on July 28, 2020 to August 17, 2020 from the address below upon payment of a non-refundable fee for the bidding documents in the amount of P500.00</t>
  </si>
  <si>
    <t xml:space="preserve"> please call To:  0998-247-0239  &amp;  0906-256-9238  for other details . . .</t>
  </si>
  <si>
    <t xml:space="preserve"> Amount of Bidding Documents: PhP10,000.00</t>
  </si>
  <si>
    <t xml:space="preserve"> For the use for project monitoring and supervision of various BARMM - B.R.I.D.G.E Projects</t>
  </si>
  <si>
    <t xml:space="preserve"> kindly download the attached bidding for the requirements and technical specifications.</t>
  </si>
  <si>
    <t xml:space="preserve"> kindly download the attached bidding documents for the requirements and technical specifications.</t>
  </si>
  <si>
    <t xml:space="preserve"> Please refer to the Bid Document (Purchase Request) for the complete list of Materials</t>
  </si>
  <si>
    <t xml:space="preserve"> Please refer to the Bid Documents (Purchase Request) for the complete list of materials.</t>
  </si>
  <si>
    <t xml:space="preserve"> Complete set up of washing area includes roofing and tiles setting</t>
  </si>
  <si>
    <t xml:space="preserve"> Please see attached Notice to Bidders.</t>
  </si>
  <si>
    <t xml:space="preserve"> For more information, please see or contact the BAC Members of BRgy. Incarizan, Magallanes, Sorsogon.</t>
  </si>
  <si>
    <t xml:space="preserve"> https://drive.google.com/file/d/1fGfqZVOTza46Zqpkt5LY7n0qLuD7pAdc/view?usp=drivesdk</t>
  </si>
  <si>
    <t xml:space="preserve"> https://drive.google.com/file/d/1sEEUmK2wKXLiJl2dybOcwvD5eOMuuMx4/view?usp=drivesdk</t>
  </si>
  <si>
    <t xml:space="preserve"> with brgy logo, and siren</t>
  </si>
  <si>
    <t xml:space="preserve"> 1.	Issuance of bid documents is on July 28, 2020 until 1:00 pm of August 5, 2020 (working days only).</t>
  </si>
  <si>
    <t xml:space="preserve"> Suppliers preferably within Batangas area only due to current covid-19 situation.</t>
  </si>
  <si>
    <t xml:space="preserve"> This office resorts to the Alternative Method of Procurement provided for under 52.1.b, IRR, RA 9184 which is Shopping, and thus, we request for the submission of price quotations for ordinary or regular office supplies and equipment not available in the Procurement Service involving an amount not exceeding P500, 000.00 (as prescribed in Annex "H" of IRR, RA 9184) to be procured directly from suppliers of known qualifications. </t>
  </si>
  <si>
    <t xml:space="preserve"> Delivered to site (Brgy. Asbang, Matanao, Davao del Sur)</t>
  </si>
  <si>
    <t xml:space="preserve"> A complete set of Bidding Documents may be purchased by interested Bidders on July 28 - August 18, 2020 from PhilHealth V Office and upon payment of a nonrefundable fee for the Bidding Documents for 1 lot or all of the 2 lots taking into consideration GPPB Resolution No 04-2012 dated Feb. 24, 2012 on the "Sales of Bidding documents", as follows:</t>
  </si>
  <si>
    <t xml:space="preserve"> https://drive.google.com/file/d/13RqoC-yadhcRf0ifWMZ-bxgtS3LIRg5N/view?usp=drivesdk</t>
  </si>
  <si>
    <t xml:space="preserve"> The Local Government Unit of Pilar, through the General Fund  intends to apply the sum of Two Hundred Ninety Thousand Pesos (P290,000.00)  being the Approved Budget for the Contract (ABC) to payment under the contract for the Procurement of 1 Lot Livelihood Training Equipment and Supplies.  Bids received in excess of the ABC shall be automatically rejected at bid opening.</t>
  </si>
  <si>
    <t xml:space="preserve"> Contact Number </t>
  </si>
  <si>
    <t xml:space="preserve"> Schedule of BAC Activities:</t>
  </si>
  <si>
    <t xml:space="preserve"> https://drive.google.com/file/d/15-m9qOMY8440OBX3P2V9yfboYivFP8Vy/view?usp=drivesdk</t>
  </si>
  <si>
    <t xml:space="preserve"> Schedule of Activities:</t>
  </si>
  <si>
    <t xml:space="preserve"> Bidders must download the attached documents in associated component section or specifications.</t>
  </si>
  <si>
    <t xml:space="preserve"> BAC Schedule of Activities;</t>
  </si>
  <si>
    <t xml:space="preserve"> You may see the Supply Officer, Municipality of Caibiran</t>
  </si>
  <si>
    <t xml:space="preserve"> https://drive.google.com/file/d/1jBCAbkYxjUl9TVSnOtNhDNNa9B3HdkoY/view?usp=drivesdk</t>
  </si>
  <si>
    <t xml:space="preserve"> Bidders must download documents in the associated components section.</t>
  </si>
  <si>
    <t xml:space="preserve"> Bidding Documents is available to prospective bidder who purchase the bidding documents  at the office of the Municipal Treasurer of the Local Government Unit of Magpet</t>
  </si>
  <si>
    <t xml:space="preserve"> Source of Fund is from 20% Brgy. Development Fund Approved Budget of 2020</t>
  </si>
  <si>
    <t xml:space="preserve"> Bidding Documents is available to prospective bidders who purchase the bidding documents from the office of the Municipal Treasurer of the Local Government Unit of Magpet</t>
  </si>
  <si>
    <t xml:space="preserve"> PLS VISIT BARANGAY POBLACION 2</t>
  </si>
  <si>
    <t xml:space="preserve"> https://drive.google.com/file/d/1LfM1aUyoxJCJVqRNm2B8D47Y_N38WBdx/view?usp=drivesdk</t>
  </si>
  <si>
    <t xml:space="preserve"> https://drive.google.com/file/d/1daM977YAV8gehI9iXB4l0Oasfx0WPsVR/view?usp=drivesdk</t>
  </si>
  <si>
    <t xml:space="preserve"> https://drive.google.com/file/d/1zQ6Kxj8QpEcxZ3KXhCFoOvVwRWsSOx8y/view?usp=drivesdk</t>
  </si>
  <si>
    <t xml:space="preserve"> Pay Item No.	Description	Unit	Quantity</t>
  </si>
  <si>
    <t xml:space="preserve"> ***NOTE: Please copy the link below and paste to the web browser for the attached set of Bidding Documents.</t>
  </si>
  <si>
    <t xml:space="preserve"> 1. Please download ITB and bidding documents in the associated component</t>
  </si>
  <si>
    <t xml:space="preserve"> FOR BID DOCS:</t>
  </si>
  <si>
    <t xml:space="preserve"> Please Submit your Proposal/Bidding Documents duly signed by your authorized representative via sealed envelop, attention yo:</t>
  </si>
  <si>
    <t xml:space="preserve"> NONE</t>
  </si>
  <si>
    <t xml:space="preserve"> Interested Bidders may download attached documents located in the Associated Components Section.</t>
  </si>
  <si>
    <t xml:space="preserve"> Please download the attached documents in the associated components</t>
  </si>
  <si>
    <t xml:space="preserve"> Floating Ball Buoy</t>
  </si>
  <si>
    <t xml:space="preserve"> kindly download the attached bidding documents for requirements and specifications.</t>
  </si>
  <si>
    <t xml:space="preserve"> Please see attached files at Other Information</t>
  </si>
  <si>
    <t xml:space="preserve"> Item Number	Description	Quantity	Unit</t>
  </si>
  <si>
    <t xml:space="preserve"> 1.  Please see associated components to download Invitation to Bid</t>
  </si>
  <si>
    <t xml:space="preserve"> ELIGIBILITY CHECK REQUIREMENTS FOR THE PROCUREMENT OF INFRASTRUCTURE PROJECT</t>
  </si>
  <si>
    <t xml:space="preserve"> For more information, please see or contact the BAC Members of BRgy. Tula Tula Norte, Magallanes, Sorsogon.</t>
  </si>
  <si>
    <t xml:space="preserve"> QTY.            DESCRIPTION</t>
  </si>
  <si>
    <t xml:space="preserve"> please call To: 0998-247-0239  &amp;  0906-256-9238  for other details . . .</t>
  </si>
  <si>
    <t xml:space="preserve"> Purpose: 	 Upgrading the office equipment and facilities and accessories of the CFMS</t>
  </si>
  <si>
    <t xml:space="preserve"> Purpose: 	For Medical use, For Dental use</t>
  </si>
  <si>
    <t xml:space="preserve"> Purpose: 	Electronic Resources (E-books) for Learning Resource Center.</t>
  </si>
  <si>
    <t xml:space="preserve"> Mini Dump Truck</t>
  </si>
  <si>
    <t xml:space="preserve"> PROJECT SPECIFICATIONS</t>
  </si>
  <si>
    <t xml:space="preserve"> BID OPENING: AUGUST 17, 2020  2:30PM  BAC OFFICE, MUNICIPAL HALL, STA. MARCELA, APAYAO</t>
  </si>
  <si>
    <t xml:space="preserve"> BID OPENING: AUGUST 17, 2020  1:00PM  BAC OFFICE,MUNICIPAL HALL, STA. MARCELA, APAYAO</t>
  </si>
  <si>
    <t xml:space="preserve"> Double Cab Truck w/ Customized Casket Compartment</t>
  </si>
  <si>
    <t xml:space="preserve"> For more information, please see or contact the BAC Members of Brgy. Cawit Extension, Magallanes, Sorsogon.</t>
  </si>
  <si>
    <t xml:space="preserve"> 5 units – DRR Rescue Vehicle (Motorcycle)</t>
  </si>
  <si>
    <t xml:space="preserve"> Also available in DPWH Website</t>
  </si>
  <si>
    <t xml:space="preserve"> • Similar Contracts: Supply and Delivery of Nickel-Cadnium Batteries for Industrial Applications</t>
  </si>
  <si>
    <t xml:space="preserve"> 4	pcs	PLAIN G.I SHEET ga.24 			</t>
  </si>
  <si>
    <t xml:space="preserve"> FOR MORE INFO &amp; CLARIFICATION, PLEASE SEE HEAD BAC SECRETARIAT OF BRGY. BUNTAY COUNCIL AT BRGY. BUNTAY HALL, BRGY BUNTAY, DULAG LEYTE FROM MONDAY TO FRIDAY (8:00 A.M. TO 5:00 P.M.</t>
  </si>
  <si>
    <t xml:space="preserve"> Cost of Documents: P1,000.00</t>
  </si>
  <si>
    <t xml:space="preserve"> Bid Opening</t>
  </si>
  <si>
    <t xml:space="preserve"> https://drive.google.com/file/d/1h7T9YfxgElQaEeGJK-ayx1OwiKx6ow9t/view?usp=drivesdk</t>
  </si>
  <si>
    <t xml:space="preserve"> 1 unit   Heavy Duty Hydraulic Kit for Extrication purposes (cutter &amp; spreader, rescue ram, motor pump &amp; coaxial hose)</t>
  </si>
  <si>
    <t xml:space="preserve"> Additional Requirements to be complied on the procurement of Medicine: </t>
  </si>
  <si>
    <t xml:space="preserve"> Please download the attached PBD in the associated components</t>
  </si>
  <si>
    <t xml:space="preserve"> Pls see attached TOR (S1-BIM20-012)</t>
  </si>
  <si>
    <t xml:space="preserve"> ATTENDANCE TO PRE-BID IS MANDATORY</t>
  </si>
  <si>
    <t xml:space="preserve"> FOR MORE INFO AND CLARIFICATION, PLEASE SEE HEAD BAC SECRETARIAT OF BRGY. SAN AGUSTIN COUNCIL AT BRGY. SAN AGUSTIN HALL, BRGY. SAN AGUSTIN, DULAG LEYTE FROM MONDAY TO FRIDAY (8:00 A.M. TO 5:00 P.M.)</t>
  </si>
  <si>
    <t xml:space="preserve"> For more details, please contact Barangay Captain Lucita B. Jumawan with her Mobile No. 09463388096.</t>
  </si>
  <si>
    <t xml:space="preserve"> Please send us your quotation thru our email address.</t>
  </si>
  <si>
    <t xml:space="preserve"> FOR MORE INFO AND CLARIFICATION, PLEASE SEE HEAD-BAC SECRETARIAT OF BRGY. SAN AGUSTIN COUNCIL AT BRGY. SAN AGUSTIN HALL, BRGY. SAN AGUSTIN, DULAG LEYTE FROM MONDAY TO FRIDAY (8:00 A.M. TO 5:00 P.M.)</t>
  </si>
  <si>
    <t xml:space="preserve"> A complete set of Bidding Documents may be acquired by interested Bidders or his duly authorized representative from the BAC Secretariat for the period July 28, 2020 to August 6, 2020 upon payment of a nonrefundable fee for the Bidding Documents, pursuant to the latest Guidelines issued by the GPPB, in the amount stated above to the Barangay Treasurer. The method of payment shall be in CASH. Bidding documents shall be received personally by the prospective Bidder or his duly authorized representative.</t>
  </si>
  <si>
    <t xml:space="preserve"> PLEASE SEE ATTACHED FILE FOR COMPLETE DESCRIPTION.</t>
  </si>
  <si>
    <t xml:space="preserve"> Please refer to the attached Invitation to Bid and Bidding Documents.</t>
  </si>
  <si>
    <t xml:space="preserve"> For more information, please call the BAC Secretariat Section Office at telephone nos. 8522-7252 / 5335-1777 or 87 loc. 397.</t>
  </si>
  <si>
    <t xml:space="preserve"> 1.  Please see associated components to download Request Invitation to Bid Form</t>
  </si>
  <si>
    <t xml:space="preserve"> Please Contact Jaren D. Ducay, BAC Secretariat at 09956498330</t>
  </si>
  <si>
    <t xml:space="preserve"> 2ND POSTING</t>
  </si>
  <si>
    <t xml:space="preserve"> Use link to view the bidding documents</t>
  </si>
  <si>
    <t xml:space="preserve"> https://drive.google.com/file/d/1I-ajuQoNCEFPGRwLRgKM8kZT23lrA1vK/view?usp=drivesdk</t>
  </si>
  <si>
    <t xml:space="preserve"> Interested bidders must download electronic copy of bidding documents attached in the associated component section</t>
  </si>
  <si>
    <t xml:space="preserve"> 1.	THIS IS A FIRST PUBLICATION OF THIS PROCUREMENT.</t>
  </si>
  <si>
    <t xml:space="preserve"> Please bring valid medical certificates upon attendance ( only certificates issued one week prior to the date of attendance are to be accepted)</t>
  </si>
  <si>
    <t xml:space="preserve"> ONE (1) ASSEMBLY MAIN ECB 3000AT, 3PHASE, 460V NEMA 1 (NATIONAL ELECTRICAL MANUFACTURERS ASSOCIATION) (FREE STANDING) MOULDED CASE CIRCUIT BREAKER AND ONE (1) ASSEMBLY AUTOMATIC TRANSFER SWITCH (ATS) 3000AT. 85KAIC, 460V, 3P, 60HZ INCLUDING INSTALLATION, TESTING, AND COMMISSIONING; ONE HUNDRED TWENTY (120) METERS 500 MM2 THW STRANDED COPPER WIRE AND TWENTY-FOUR (24) PIECES 500 MM2 MECHANICAL LUGS; TWO-CONDUCTOR</t>
  </si>
  <si>
    <t xml:space="preserve"> FOR MORE INFORMATION PLEASE CONTRACT ARLAINE M. DE VERA, BAC SECRETARIAT AT (075) 955-5862 OR EMAIL AT arlainemdevera@gmail.com</t>
  </si>
  <si>
    <t xml:space="preserve"> For copies of Bidding Documents and Specifications, kindly click the associated components.</t>
  </si>
  <si>
    <t xml:space="preserve"> For more inquiries pls call 87230401 loc4579</t>
  </si>
  <si>
    <t xml:space="preserve"> PLEASE SEE ATTACHED PURCHASE ORDER</t>
  </si>
  <si>
    <t xml:space="preserve"> Please Contact:</t>
  </si>
  <si>
    <t xml:space="preserve"> Note:  	</t>
  </si>
  <si>
    <t xml:space="preserve"> TECHNICAL SPECIFICATIONS</t>
  </si>
  <si>
    <t xml:space="preserve"> BAC ACTIVITIES	DATE	VENUE</t>
  </si>
  <si>
    <t xml:space="preserve"> BAC 2020-I02 PROJ. 1 BOQ,DBOQ AND POW</t>
  </si>
  <si>
    <t xml:space="preserve"> 1.   A complete set of Bidding Documents may be purchased by interested Bidders from the address below starting on July 27, 2020 and upon payment of a nonrefundable fee for the Bidding Documents in the amount of Ten Thousand Pesos (P10,000.00) at the Municipal Treasury Office, Amdalao, Guinaang, Pasil, Kalinga.   					</t>
  </si>
  <si>
    <t xml:space="preserve"> BAC 2020-I03 PROJ. 1 BOQ,DBOQ AND POW</t>
  </si>
  <si>
    <t xml:space="preserve"> - other information may be discussed during pre-bid conference.</t>
  </si>
  <si>
    <t xml:space="preserve"> ADDITIONAL INSTRUCTIONS TO BIDDERS:</t>
  </si>
  <si>
    <t xml:space="preserve"> PLEASE CHECK SIMILAR INFORMATION IN THE WEBSITE OF THE PROCURING ENTITY</t>
  </si>
  <si>
    <t xml:space="preserve"> BIDDING DATE: AUGUST 17, 2020 @ 10:00 A.M .</t>
  </si>
  <si>
    <t xml:space="preserve"> Bid document can also be viewed/downloaded from the DSWD Caraga website </t>
  </si>
  <si>
    <t xml:space="preserve"> Bid document can also be viewed/downloaded from DSWDS Caraga website</t>
  </si>
  <si>
    <t xml:space="preserve"> ADDITIONAL INSTRUCTION TO BIDDERS:</t>
  </si>
  <si>
    <t xml:space="preserve"> Prospective bidders should have experience in undertaking a similar project within the last two years with an amount of at least 50% of the proposed project for bidding. The Eligibility Check/Screening as well as the Preliminary Examination of Bids shall use non-discretionary “pass/fail” criteria.  Post-qualification of the lowest calculated bid shall be conducted. </t>
  </si>
  <si>
    <t xml:space="preserve"> 1. Eligible Bidders/Suppliers must have SLCC that is similar to the contract to be bid at least 50% of the Approved Budget for Contract and Registered Platinum PhilGEPS category.</t>
  </si>
  <si>
    <t xml:space="preserve"> ITB20-07-030B</t>
  </si>
  <si>
    <t xml:space="preserve"> ITB20-07-030A</t>
  </si>
  <si>
    <t xml:space="preserve"> or further information, please refer to:</t>
  </si>
  <si>
    <t xml:space="preserve"> to all interested bidder's we dont entertain querries on email and other form of social media any querries please come  in person  to the address posted above. we dont have internet connection.</t>
  </si>
  <si>
    <t xml:space="preserve"> Inquire at the Office of the Provincial Engineer for details.</t>
  </si>
  <si>
    <t xml:space="preserve"> The Schedule of BAC Activities are as follows:</t>
  </si>
  <si>
    <t xml:space="preserve"> Source of Fund is from 20% Barangay Development Fund of 2020, and the Bidding will be held at the Barangay Session Hall.</t>
  </si>
  <si>
    <t xml:space="preserve"> PROCUREMENT ACTIVITIES	DATE	TIME (BFAR Biometric Clock)	VENUE</t>
  </si>
  <si>
    <t xml:space="preserve"> Inquire at the Office of Provincial Disaster Risk Reduction and Management Council for details.</t>
  </si>
  <si>
    <t xml:space="preserve"> Inquire at the Office of the Provincial Governor for details.</t>
  </si>
  <si>
    <t xml:space="preserve"> https://drive.google.com/file/d/1ZMkE2YhUKtXw6Sl5HGzQ0oG9f02ql6E0/view?usp=drivesdk</t>
  </si>
  <si>
    <t xml:space="preserve"> Bidding Schedule:</t>
  </si>
  <si>
    <t xml:space="preserve"> Pre-bid will be on July 31, 2020 at Gov. Feliciano Leviste MNHS, Lemery, Batangas</t>
  </si>
  <si>
    <t xml:space="preserve"> ITB20-07-030C</t>
  </si>
  <si>
    <t xml:space="preserve"> BID OPENING: AUGUST 14, 2020  1:00PM  BAC OFFICE, MUNICIPAL HALL, STA. MARCELA, APAYAO</t>
  </si>
  <si>
    <t xml:space="preserve"> Rice Allowance for PNP,BFp,PMFC and PA</t>
  </si>
  <si>
    <t xml:space="preserve"> BID OPENING: AUGUST 14, 2020   2:30PM  BAC OFFICE,MUNICIPAL HALL, STA. MARCELA, APAYAO</t>
  </si>
  <si>
    <t xml:space="preserve"> July 29, 2020 - Issuance of Bidding Documents</t>
  </si>
  <si>
    <t xml:space="preserve"> Submission of sealed envelopes and opening of bids: August 13, 2020/ 10:00A.M/ Municipal Conference Room</t>
  </si>
  <si>
    <t xml:space="preserve"> https://drive.google.com/file/d/1B3OyiVcMLyt2KJn8piNE-VzlVmCSHOD7/view?usp=drivesdk</t>
  </si>
  <si>
    <t xml:space="preserve"> FIRST ENVELOPE (ELIGIBILITY &amp; TECHNICAL COMPONENTS) </t>
  </si>
  <si>
    <t xml:space="preserve"> Submission of sealed envelopes and opening of bids: August 13, 2020/ 10:00A.M./ Municipal Conference Room</t>
  </si>
  <si>
    <t xml:space="preserve"> Please download the document at the associated components.</t>
  </si>
  <si>
    <t xml:space="preserve"> BID DOCUMENT IS AVAILABLE AT ENGINEERING OFFICE, BAC SECRETARIAT</t>
  </si>
  <si>
    <t xml:space="preserve"> https://drive.google.com/file/d/1k6vDDEyelPVuGQuqdPTkWNgYLdLuQXJK/view?usp=drivesdk</t>
  </si>
  <si>
    <t xml:space="preserve"> https://drive.google.com/file/d/1qdGmTI65nzygfSsWGZWEHTJvLcBA3cub/view?usp=drivesdk</t>
  </si>
  <si>
    <t xml:space="preserve"> https://drive.google.com/file/d/1ROX8D5qgVPEVBRDHd4yTTMYuyxsxpapN/view?usp=drivesdk</t>
  </si>
  <si>
    <t xml:space="preserve"> Venue: Barangay Hall, Matindeg, Pura, Tarlac</t>
  </si>
  <si>
    <t xml:space="preserve"> bring the following buying document</t>
  </si>
  <si>
    <t xml:space="preserve"> P-1 POBLACION PALMA GIL,DDN</t>
  </si>
  <si>
    <t xml:space="preserve"> https://drive.google.com/file/d/1WJ0KbDXSpurQ8w59wTYwkJats7H_RRmA/view?usp=drivesdk</t>
  </si>
  <si>
    <t xml:space="preserve"> Submission of sealed envelopes and opening of bids:August 13, 2020/ 10:00 A.M/ Municipal Conference Room</t>
  </si>
  <si>
    <t xml:space="preserve"> also posted in dpwh website</t>
  </si>
  <si>
    <t xml:space="preserve"> Fund 101</t>
  </si>
  <si>
    <t xml:space="preserve"> Fund:101</t>
  </si>
  <si>
    <t xml:space="preserve"> The schedule of opening of bid will be on August 17, 2020 at exactly 2:00 o'clock in the afternoon at the BAC Office LGU Dauis, Bohol.</t>
  </si>
  <si>
    <t xml:space="preserve"> INSTRUCTION:</t>
  </si>
  <si>
    <t xml:space="preserve"> Fund: Tuklas-Lunas External</t>
  </si>
  <si>
    <t xml:space="preserve"> The Works consists of Electrical feederline Improvement for lamp post, guard house and water pump, Repair and Repainting of existing lamp post and panel board walls /locations.</t>
  </si>
  <si>
    <t xml:space="preserve"> Fund:164</t>
  </si>
  <si>
    <t xml:space="preserve"> The Works consists of Provision of 28.00 linear meter covered walkways.</t>
  </si>
  <si>
    <t xml:space="preserve"> For inquiries, please contact Mr. Geomar R. Ogoy, Procurement, GSD at tel no. 8293-3683.</t>
  </si>
  <si>
    <t xml:space="preserve"> FOR MORE INFO AND CLARIFICATION, PLEASE SEE HEAD-BAC SECRETARIAT, ENGR. CATHERINE B. CAPILI AT ENGINEERING OFFICE FROM MONDAY TO FRIDAY (8:00 A.M. TO 5:00 P.M.)</t>
  </si>
  <si>
    <t xml:space="preserve"> Source of Fund is from 10% Sangguniang Kabataan Fund 2020, Capital Outlay</t>
  </si>
  <si>
    <t xml:space="preserve"> The Works consists of improvement of administration building includes earthworks, concrete pedestal, fabricated steel fence, canal lines, removal of flies and laying of indoor and outdoor tiles painting of concrete and steel structures .</t>
  </si>
  <si>
    <t xml:space="preserve"> The Works consists of Provision of 10.00 l.m. stone masonry protection structure and 4.00 l.m. additional protection structure, 12.00l.m. gabion structure, 26.00 lm. Concrete canal lining and 4.00 l.m. covered cross-drain concrete canal with catch basin.</t>
  </si>
  <si>
    <t xml:space="preserve"> MTO:  3 PCS. STEEL CABINET,4 DRAWERS</t>
  </si>
  <si>
    <t xml:space="preserve"> The Works consists of Reblocking of 13.5 m long x 2.50m x 0.20 thick plain PCCP Provincial Road; provision of 35.3l.m. stone masonry slope protection structure, 11 l.m. One (1) layer gabion and 42.6 l.m. x 1.00m concrete shoulder.</t>
  </si>
  <si>
    <t xml:space="preserve"> The Works consists of Provision of 21.00l.m. stone masonry slope protection structure, 71.00 l.m. concrete shoulder and 50.00 l.m. CHB canal lining .</t>
  </si>
  <si>
    <t xml:space="preserve"> https://drive.google.com/file/d/1jNIFQZA__HRT-6cuO_jFgLipv78aedHW/view?usp=drivesdk</t>
  </si>
  <si>
    <t xml:space="preserve"> The Works consists of Provision of 12.30l.m stone masonry headwall with 2 –units apron, 4.20 l.m. protection structure 8.00 l.m. 910mmøRCPC and 46.00 l.m. roadway and across drain embankment.</t>
  </si>
  <si>
    <t xml:space="preserve"> FOR MORE INFORMATION AND CLARIFICATION, PLEASE SEE HEAD-BAC SECRETARIAT, ENGR. CATHERINE B. CAPILI AT ENGINEERING OFFICE FROM MONDAY TO FRIDAY (8:00 A.M. TO 5:00 P.M.)</t>
  </si>
  <si>
    <t xml:space="preserve"> BAC Activities	Schedule	</t>
  </si>
  <si>
    <t xml:space="preserve"> DepEd use, reproduction of modules/learners materials</t>
  </si>
  <si>
    <t xml:space="preserve"> Materials for the Improvement of CRDHS Stage-Toytoy</t>
  </si>
  <si>
    <t xml:space="preserve"> Availability of Bid Documents: July 25 – August 13, 2020; 8:00 AM-5:00 PM; Monday through Friday</t>
  </si>
  <si>
    <t xml:space="preserve"> 20CSGG0001 - Request for Expression of Interest</t>
  </si>
  <si>
    <t xml:space="preserve"> for more information please contact us in this number 09076210257 or 09776732454. thank you</t>
  </si>
  <si>
    <t xml:space="preserve"> FOR MORE INFORMATION, PLEASE DOWNLOAD ATTACHED INVITATION TO BID AND BIDDING DOCUMENTS</t>
  </si>
  <si>
    <t xml:space="preserve"> The BAC is conducting the public bidding for this Contract in accordance with the 2016 Revised IRR of RA 9184.</t>
  </si>
  <si>
    <t xml:space="preserve"> Please see the following attached documents:</t>
  </si>
  <si>
    <t xml:space="preserve"> For More Details Please Contact:   Floro  E. Bejona -BAC Chairman 09333123724</t>
  </si>
  <si>
    <t xml:space="preserve"> Bidders must download the associated component/s.</t>
  </si>
  <si>
    <t xml:space="preserve"> You may contact</t>
  </si>
  <si>
    <t xml:space="preserve"> For more information, please contact with this number 09076210257. Thank you</t>
  </si>
  <si>
    <t xml:space="preserve"> https://drive.google.com/file/d/17JT5s-bcki5EEzHFa1lwE9BJhtMy3xca/view?usp=drivesdk</t>
  </si>
  <si>
    <t xml:space="preserve"> 20II0064 Plans:</t>
  </si>
  <si>
    <t xml:space="preserve"> The Works consists of Concreting of 383.3 m long x 6.10m wide x 0.20m thk plain PCCP; provision for 146.220000000026 l.m. stone masonry slope protection structure, 18 l.m. headwall and 27 l.m. ø910mm RCPC.</t>
  </si>
  <si>
    <t xml:space="preserve"> The Works consists of Provision of 35.63 l.m. stone masonry slope protection structure.</t>
  </si>
  <si>
    <t xml:space="preserve"> The Works consists of Provision of 61.00 l.m. grouted riprap, 61.00 l.m. rubble concrete, 36.2 l.m. stone masonry slope protection structure, 149 l.m. curb &amp; gutter and 246.2 l.m. concrete shoulder.</t>
  </si>
  <si>
    <t xml:space="preserve"> The Works consists of Provision of 82.5 l.m. stone masonry slope protection structure, 9 l.m headwall, 2-units apron, 2-units catch basin, 29.3 l.m. reinforced concrete canal lining and 24 l.m. 910mmø RCPC.</t>
  </si>
  <si>
    <t xml:space="preserve"> The Works consists of Provision of One pc. Ø910mm RCPC with 38 l.m. (388.46 cu.m.) rubble concrete protection structure, 12.20 lm. (35.41 cu.m.) stone masonry headwall &amp; slope protection structure, 40 l.m. 88.0cu.m.) Gabion w/ mattress bedding and 5.70 l.m. (4.42 cu.m.) Grouted Riprap spillway flooring.</t>
  </si>
  <si>
    <t xml:space="preserve"> Bidders must download the attached documents  in the associated component</t>
  </si>
  <si>
    <t xml:space="preserve"> FOR MORE INFORMATION AND DETAILS PLEASE CONTACT BRGY. NAPNAPAN NORTE BIDS AND AWARDS COMMITTEE, BRGY NAPNAPAN NORTE HALL C/O BRGY. SECRETARY CECILIA CAIN, CELLPHONE NO. 0907-153-2241.</t>
  </si>
  <si>
    <t xml:space="preserve"> email us : elelpob2@gmail.com</t>
  </si>
  <si>
    <t xml:space="preserve"> https://drive.google.com/file/d/176Ig8PhoS28RxErumadYVeSoLmB2SEay/view?usp=drivesdk</t>
  </si>
  <si>
    <t xml:space="preserve"> Since the barangay has no PhilGEPS account the barangay BAC ask permission to LGU's BAC to post notice on their PhilGEPS Account.</t>
  </si>
  <si>
    <t xml:space="preserve"> FOR MORE INFORMATION AND DETAILS, PLEASE CONTACT BRGY. DORONG-AN BIDS AND AWARDS COMMITTEE, BRGY. DORONG-AN HALL C/O CRGY. SECRETARY JONA A. CASTAÑEDA , CELLPHONE NO. 0908-202-8058.</t>
  </si>
  <si>
    <t xml:space="preserve"> Disaster Risk Reduction &amp; Management (DRRM) Quick Response Vehicle is a Responder's Vehicle during Emergency and Rescue Operation, both natural and man-made calamity.</t>
  </si>
  <si>
    <t xml:space="preserve"> Item Qty.	Unit	D E S C R I P T I O N	</t>
  </si>
  <si>
    <t xml:space="preserve"> Bidding Date:</t>
  </si>
  <si>
    <t xml:space="preserve"> https://drive.google.com/file/d/1ngyh7s_WnoJQtzNQ9m2bCaNhBxX0cJJs/view?usp=drivesdk</t>
  </si>
  <si>
    <t xml:space="preserve"> https://drive.google.com/file/d/1EH8SSe8HhRz-DzeHBwpqbDhdPYy7bb1W/view?usp=drivesdk</t>
  </si>
  <si>
    <t xml:space="preserve"> Proposed Isolation Building is a Center Facility for COVID-19 Asymptomatic and positive patient for treatment purposes.</t>
  </si>
  <si>
    <t xml:space="preserve"> The schedule of key procurement activities for this Contract are shown below:</t>
  </si>
  <si>
    <t xml:space="preserve"> Bidding documents:</t>
  </si>
  <si>
    <t xml:space="preserve"> https://drive.google.com/file/d/11tApCDs3RBPvJQkAkfjbAb3rjr6_X3TD/view?usp=drivesdk</t>
  </si>
  <si>
    <t xml:space="preserve"> https://drive.google.com/file/d/1OXImMB9GETEnlF_AxwAEznDyu_WRBCyt/view?usp=drivesdk</t>
  </si>
  <si>
    <t xml:space="preserve"> Pre-bid Conference is open to all interested bidders.</t>
  </si>
  <si>
    <t xml:space="preserve"> https://drive.google.com/file/d/1C4RYBQxfe3BMWld5I_iCURJdfBiojwHU/view?usp=drivesdk</t>
  </si>
  <si>
    <t xml:space="preserve"> Interested bidders may obtain further information from Bids and Awards Committee Secretariat and inspect the Bidding Documents at the address given below from 9:00am to 5:00pm.</t>
  </si>
  <si>
    <t xml:space="preserve"> https://drive.google.com/file/d/1BTTHYyBClY0-0J_VsNz7ahwwsD4zXAxz/view?usp=drivesdk</t>
  </si>
  <si>
    <t xml:space="preserve"> https://drive.google.com/file/d/1HUem-gbHELL77HRDx3RzowPVZY4nsHlA/view?usp=drivesdk</t>
  </si>
  <si>
    <t xml:space="preserve"> https://drive.google.com/file/d/1xkgMp7UynN4qZda7ufJOCRZbCucuJADG/view?usp=drivesdk</t>
  </si>
  <si>
    <t xml:space="preserve"> FOR INQUIRY PLEASE PROCEED TO BAC OFFICE </t>
  </si>
  <si>
    <t xml:space="preserve"> For More Details Please Contact: Floro E. Bejona -BAC Chairman 09333123724</t>
  </si>
  <si>
    <t xml:space="preserve"> Bidding Documents:</t>
  </si>
  <si>
    <t xml:space="preserve"> https://drive.google.com/file/d/16c95vA-aWZuCX2PyAx4jI3rw8xj-fMew/view?usp=drivesdk</t>
  </si>
  <si>
    <t xml:space="preserve"> • Total ABC for Two (2) years:</t>
  </si>
  <si>
    <t xml:space="preserve"> https://drive.google.com/file/d/1jgey-BlMU0x5x6f9VOvYAgofqc1SZTrL/view?usp=drivesdk</t>
  </si>
  <si>
    <t xml:space="preserve"> Interested bidders may obtain further information from Local Government Unit of the Island Garden City of Samal and inspect the Bidding Documents at the address given below during 8:00 A.M. to 5:00 P.M.</t>
  </si>
  <si>
    <t xml:space="preserve"> THE SUPPLIER MUST DOWNLOAD THE ATTACHED DOCUMENTS IN THE ASSOCIATED COMPONENTS.</t>
  </si>
  <si>
    <t xml:space="preserve"> Requirements</t>
  </si>
  <si>
    <t xml:space="preserve"> COPY AND PASTE IN THE BROWSER THE LINK BELOW TO VIEW PLANS</t>
  </si>
  <si>
    <t xml:space="preserve"> • Similar Contracts: Supply and Delivery of Steel Poles or Steel Towers for at least 69kV Transmission Line</t>
  </si>
  <si>
    <t xml:space="preserve"> ACTIVITIES SCHEDULE:</t>
  </si>
  <si>
    <t xml:space="preserve"> https://drive.google.com/file/d/1SEyC5YFH7XpowEDS8fahNbIvJFHccwbe/view?usp=drivesdk</t>
  </si>
  <si>
    <t xml:space="preserve"> https://drive.google.com/file/d/1KnfDwUelVuG9vOuXF4orpfQAjjB6y86u/view?usp=drivesdk</t>
  </si>
  <si>
    <t xml:space="preserve"> https://drive.google.com/file/d/1yjTx8S8o_srqLoPrBSq_LvcUxrEuXOSC/view?usp=drivesdk</t>
  </si>
  <si>
    <t xml:space="preserve"> Amount of Bid Documents: Php1,000.00</t>
  </si>
  <si>
    <t xml:space="preserve"> Please see attached E-file for further Information</t>
  </si>
  <si>
    <t xml:space="preserve"> For further information on this project procurement, interested consultants may contact the Bids and Awards Committee Secretariat through Mr. Marl Philippe Y. Cachero at (02) 8921 0565 or you may send an email to marlcachero7@gmail.com</t>
  </si>
  <si>
    <t xml:space="preserve"> MR. MOHAMADSUAIB  B. ESMAEL, BAC-B, Chairperson</t>
  </si>
  <si>
    <t xml:space="preserve"> Closing August 06, 2020 @ 10:00 AM</t>
  </si>
  <si>
    <t xml:space="preserve"> The Works consists of Construction of 6.10m x 9.0m reinforced concrete flat slab bridge.</t>
  </si>
  <si>
    <t xml:space="preserve"> As a precautionary measure, only one prospective bidder or his/her representative shall be allowed to attend the different stages of the bidding process. Wearing of mask and face shield are mandatory for everyone who attends. </t>
  </si>
  <si>
    <t xml:space="preserve"> • Similar Contracts: Dry docking  and ship repair</t>
  </si>
  <si>
    <t xml:space="preserve"> Bidding Information:</t>
  </si>
  <si>
    <t xml:space="preserve"> • Similar Contracts: Supply and Delivery of Lead-Acid (LA) Battery for Industrial Applications</t>
  </si>
  <si>
    <t xml:space="preserve"> https://drive.google.com/file/d/1DSfPL1SQv_IXAegRvwIikSJDBVK3kk4y/view?usp=drivesdk</t>
  </si>
  <si>
    <t xml:space="preserve"> https://drive.google.com/file/d/1wW5f2WOTvP4fLD-1N-CmBSP8Y1RF3VeO/view?usp=drivesdk</t>
  </si>
  <si>
    <t xml:space="preserve"> https://drive.google.com/file/d/1QCiMhhluyz2_t_cxDjH_yYs-MH3pQ1UY/view?usp=drivesdk</t>
  </si>
  <si>
    <t xml:space="preserve"> https://drive.google.com/file/d/122VykzL_IJwqT6CV3Gz1WH83LKF1tDGl/view?usp=drivesdk</t>
  </si>
  <si>
    <t xml:space="preserve"> https://drive.google.com/file/d/15RuTC09fv4i-bDORk5ky2RBcd9Vn9Upa/view?usp=drivesdk</t>
  </si>
  <si>
    <t xml:space="preserve"> https://drive.google.com/file/d/1WAcRyHS9JxJQnTgaN2EOcmtrIoXPHvuk/view?usp=drivesdk</t>
  </si>
  <si>
    <t xml:space="preserve"> https://drive.google.com/file/d/1ZUgWceyqB6h9cAndkFZnLJ21Ls1BjoLd/view?usp=drivesdk</t>
  </si>
  <si>
    <t xml:space="preserve"> The BAC shall issue bidding documents upon payment of Five Thousand Pesos Only (Php5,000.00) to the disbursing/ collecting officer of the LGU.</t>
  </si>
  <si>
    <t xml:space="preserve"> https://drive.google.com/file/d/15_6mFP7DqcXaTIYGlqhq2ni38Bv9NtY7/view?usp=drivesdk</t>
  </si>
  <si>
    <t xml:space="preserve"> https://drive.google.com/file/d/10YgofYNbhFnHVuc3sTgNUn1s3GTwiTT5/view?usp=drivesdk</t>
  </si>
  <si>
    <t xml:space="preserve"> https://drive.google.com/file/d/1bGmdSNYzxh-q_LeFEoiby3zzG7uMalYy/view?usp=drivesdk</t>
  </si>
  <si>
    <t xml:space="preserve"> COST OF BIDDING DOCUMENT (NON-REFUNDABLE) = PhP25,000.00</t>
  </si>
  <si>
    <t xml:space="preserve"> https://drive.google.com/file/d/1ncSzqXYDHUQMxjS6BA9ATb_8_rjmm4Lw/view?usp=drivesdk</t>
  </si>
  <si>
    <t xml:space="preserve"> PLEASE CONTACT 4354619</t>
  </si>
  <si>
    <t xml:space="preserve"> The BAC shall issue bidding documents upon payment of Ten Thousand Pesos (Php10,000.00) for each LOT to the disbursing/ collecting officer of the LGU.</t>
  </si>
  <si>
    <t xml:space="preserve"> https://drive.google.com/file/d/121qtxUp0oU4M6KdBZQLeoitPb7dgI_IY/view?usp=drivesdk</t>
  </si>
  <si>
    <t xml:space="preserve"> https://drive.google.com/file/d/1SPwK9pYQQTDeuivcG8GCeT18V-9r2D-v/view?usp=drivesdk</t>
  </si>
  <si>
    <t xml:space="preserve"> https://drive.google.com/file/d/1egaYLoyAG8JV7Hwk9XwfghZUNQAY1pev/view?usp=drivesdk</t>
  </si>
  <si>
    <t xml:space="preserve"> Please secure Bid Docs to The Clerk incharge/ Barangay Treasurer only.</t>
  </si>
  <si>
    <t xml:space="preserve"> Advertisement/Posting of ITB to PhilGEPS, website and conspicuous places- July 23 to 31, 2020</t>
  </si>
  <si>
    <t xml:space="preserve"> https://drive.google.com/file/d/1GntPLIKQkczzifCvr_wfdz0TNWCd620Y/view?usp=drivesdk</t>
  </si>
  <si>
    <t xml:space="preserve"> Please see attached bill of quantities</t>
  </si>
  <si>
    <t xml:space="preserve"> PHILIPPINE BIDDING DOCUMENTS</t>
  </si>
  <si>
    <t xml:space="preserve"> 1		60	pc	Fiberglass syringe 10cc			 51,600.00 </t>
  </si>
  <si>
    <t xml:space="preserve"> https://drive.google.com/file/d/16YRAwTBINA-dfllACoh60gia_G8ofZT_/view?usp=drivesdk</t>
  </si>
  <si>
    <t xml:space="preserve"> Bidding Documents may be purchased by the Interested Bidders on July 29, 2020 from 8:00 A.M to 5:00 P.M. and upon payment of non - refundable fee of Five Hundred Pesos (Php 500.00).</t>
  </si>
  <si>
    <t xml:space="preserve"> https://drive.google.com/file/d/1uZlYqVCCvMFqYUoWCTB0LKoYborO0_Go/view?usp=drivesdk</t>
  </si>
  <si>
    <t xml:space="preserve"> Please see attached bill of quantities.</t>
  </si>
  <si>
    <t xml:space="preserve"> https://drive.google.com/file/d/1i0ADnZaJhU7vYxJTSHgEn3XeMhlnD9uA/view?usp=drivesdk</t>
  </si>
  <si>
    <t xml:space="preserve"> https://drive.google.com/file/d/1a8Eur9nTfM0wuWeOVsVjPukFiCk1jY8k/view?usp=drivesdk</t>
  </si>
  <si>
    <t xml:space="preserve"> https://drive.google.com/file/d/13YD4Sk9xCtEqc523WBx5v74zkghuiAAr/view?usp=drivesdk</t>
  </si>
  <si>
    <t xml:space="preserve"> https://drive.google.com/file/d/16dgVInrwviBFtHfRPl4uKyHMA9D1yZvz/view?usp=drivesdk</t>
  </si>
  <si>
    <t xml:space="preserve"> Bidding Documents may be purchased by the Interested Bidders on July 29, 2020 from 8:00 A.M to 5:00 P.M. and upon payment of non - refundable fee of One Thousand Pesos (Php 1,000.00).</t>
  </si>
  <si>
    <t xml:space="preserve"> Cost of Documents: 10,000.00</t>
  </si>
  <si>
    <t xml:space="preserve"> MEDSURG_3186 1.) PPE COMPLETE SET COMPOSED OF THE FOLLOWING:</t>
  </si>
  <si>
    <t xml:space="preserve"> Alexander G. Diez</t>
  </si>
  <si>
    <t xml:space="preserve"> The complete schedule of BAC activities is listed as follows:</t>
  </si>
  <si>
    <t xml:space="preserve"> https://drive.google.com/file/d/1Uqu7iDVdDNAsDGg-GrjF8aMIjdHty_0e/view?usp=drivesdk</t>
  </si>
  <si>
    <t xml:space="preserve"> https://drive.google.com/file/d/1d7D9q8XNftqkDwr1hmsIBINsY_DyIaLc/view?usp=drivesdk</t>
  </si>
  <si>
    <t xml:space="preserve"> 1.	Bidders should have completed, within 2 years from the date of submission and receipt of bids, a contract similar to the Project. The description of an eligible bidder is contained in the Bidding Documents, particularly, in Section II. Instructions to Bidders.</t>
  </si>
  <si>
    <t xml:space="preserve"> for inquiries, you may call us at tel. no. 364-8242</t>
  </si>
  <si>
    <t xml:space="preserve"> https://drive.google.com/file/d/1-yAP3jsHQ4LiofD70aLbWjFvQuFKCPj8/view?usp=drivesdk</t>
  </si>
  <si>
    <t xml:space="preserve"> The Municipal Government of Dauin, Negros Oriental, through General Fund - MOOE,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</si>
  <si>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https://drive.google.com/file/d/1aUsxnNbBxAiAQLXFVxOvQJWQYW8CPSHc/view?usp=drivesdk</t>
  </si>
  <si>
    <t xml:space="preserve"> A complete set of Bidding Documents may be acquired by interested bidders on JULY 23, 2020 to AUGUST 11,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</si>
  <si>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https://drive.google.com/file/d/19mD0Q7QPQXPL434EjEe3qEHhHtk2bKrl/view?usp=drivesdk</t>
  </si>
  <si>
    <t xml:space="preserve"> https://drive.google.com/file/d/1W7j19uriMw6LBzkNg3JQ29tgN18UfKtW/view?usp=drivesdk</t>
  </si>
  <si>
    <t xml:space="preserve"> Deadline for submission of bids will be on August 11, 2020, 10:00 A.M. at the Supply Office, Town Hall, Poblacion, Kibungan, Benguet.</t>
  </si>
  <si>
    <t xml:space="preserve"> FOR INQUIRIES PLEASE CONTACT MS. ANABEL ALIS BASAS BAC SECRETARIAT @09500981535</t>
  </si>
  <si>
    <t xml:space="preserve"> BID OPENING: AUGUST 11, 2020 1:00PM  BAC OFFICE, MUNICIPAL HALL, STA. MARCELA, APAYAO</t>
  </si>
  <si>
    <t xml:space="preserve"> Since the barangay has no PhilGEPS account the Brgy. Mabunga's BAC ask permission to LGU's BAC to post this notice on their PhilGEPS account.</t>
  </si>
  <si>
    <t xml:space="preserve"> Interested bidders must download the bidding documents in this link:</t>
  </si>
  <si>
    <t xml:space="preserve"> OPENING OF BID WILL BE ON AUGUST 12, 2020 AT 10:00 A.M. AT THE UNIVERSITY LIBRARY CONFERENCE ROOM, TAU, CAMILING, TARLAC. LATE BIDS WILL NOT BE ACCEPTED.</t>
  </si>
  <si>
    <t xml:space="preserve"> BID OPENING: AUGUST 11, 2020   2:30PM   BAC OFFICE, MUNICIPAL HALL, STA. MARCELA, APAYAO</t>
  </si>
  <si>
    <t xml:space="preserve"> Issuance of Bid Documents Starts: July 22, 2020</t>
  </si>
  <si>
    <t xml:space="preserve"> The BAC shall issue bidding documents upon payment of Five Hundred Pesos Only (Php500.00) to the disbursing/ collecting officer of the LGU.</t>
  </si>
  <si>
    <t xml:space="preserve"> NOTE:</t>
  </si>
  <si>
    <t xml:space="preserve"> https://drive.google.com/file/d/1nfkqJnzfHUPsCw2JkzZXkCHpnBE2VjeI/view?usp=drivesdk</t>
  </si>
  <si>
    <t xml:space="preserve"> https://drive.google.com/file/d/1vVfkoc3HjTjnCg33o6oSkDianP83qW3o/view?usp=drivesdk</t>
  </si>
  <si>
    <t xml:space="preserve"> Interested suppliers are required to submit their valid and current Mayor’s Permit, DTI Registration, BIR, Tax Clearance, PhilGEPS Registration Certificate - Platinum and price quotation (Annex “A”).</t>
  </si>
  <si>
    <t xml:space="preserve"> Bidding Documents Alternative download link: https://drive.google.com/file/d/11Qrfqnnpqy36lSft6vuolAF-hTVPzx90/view?usp=drivesdk</t>
  </si>
  <si>
    <t xml:space="preserve"> Bidding Documents Alternative download link: https://drive.google.com/file/d/1jp5Yx0fm5ndrKeiKGD8f8LM6qEP9CF2g/view?usp=drivesdk</t>
  </si>
  <si>
    <t xml:space="preserve"> Bidding Documents Alternative download link: https://drive.google.com/file/d/1Z_P9ClPhYXoDORNi9kTMIcYrEwa8b1sx/view?usp=drivesdk</t>
  </si>
  <si>
    <t xml:space="preserve"> Bidding Documents Alternative download link: https://drive.google.com/file/d/1znXAcm-pIPmqdk0z-QQVk1e_r_BtsVqG/view?usp=drivesdk</t>
  </si>
  <si>
    <t xml:space="preserve"> Bidding Documents Alternative download link: https://drive.google.com/file/d/1TMhTVEXSl_yqXqGKs2GiKBhDYi01uG-N/view?usp=drivesdk</t>
  </si>
  <si>
    <t xml:space="preserve"> https://drive.google.com/file/d/1wR8cpwQ29A_PKsceiSWuGoGddMGIhfpk/view?usp=drivesdk</t>
  </si>
  <si>
    <t xml:space="preserve"> Bidding Documents Alternative download link: https://drive.google.com/file/d/1L0tv1jhd8FJjizLJKPgKLgJNyDMOgOlS/view?usp=drivesdk</t>
  </si>
  <si>
    <t xml:space="preserve"> For Particulars: Inquire at the Bac Secretariat of Barangay Kilait, Atimonan, Quezon</t>
  </si>
  <si>
    <t xml:space="preserve"> Interested bidders may obtain further information from Barangay Government of Barangay Mambago-A through the Bids and Awards Committee Secretariat and inspect the Bidding Documents at the address given below during office hours.</t>
  </si>
  <si>
    <t xml:space="preserve"> Bidders must download the attached document in the associate component section</t>
  </si>
  <si>
    <t xml:space="preserve"> Please download the Bidding Requirements using the links below:</t>
  </si>
  <si>
    <t xml:space="preserve"> Opening and Submission of Bids: August 12, 2020 @ 11:00 A.M.</t>
  </si>
  <si>
    <t xml:space="preserve"> Bidding Documents Alternative download link: https://drive.google.com/file/d/1BKU763574_lUauoQ9b9dqTd44SzvQ7FM/view?usp=drivesdk</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</si>
  <si>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t>
  </si>
  <si>
    <t xml:space="preserve"> For further information, including drawings and scope of works please refer to:</t>
  </si>
  <si>
    <t xml:space="preserve"> Bidders shall pay the BAC a non-refundable fee of Php50,000.00 for the Bidding Documents, upon securing hard copies of the Documents. Bidders that download the Documents from the DPWH/PhilGEPS website shall pay the fee upon submission of their bids. </t>
  </si>
  <si>
    <t xml:space="preserve"> • PR Nos.: S3-PPP20-004, S3-TAU20-004, S3-CTW20-025, S3-MAN20-006 </t>
  </si>
  <si>
    <t xml:space="preserve"> The duly accomplished Price Quotation Form together with the CERTIFIED TRUE COPY of</t>
  </si>
  <si>
    <t xml:space="preserve"> • Similar Contracts: Supply and delivery of Diesel Generating Sets or Mechanical and/or Electrical Parts / Components / Equipment for Diesel Generating Sets</t>
  </si>
  <si>
    <t xml:space="preserve"> from 20% Development Fund, Sangguniang Barangay Approved Budget</t>
  </si>
  <si>
    <t xml:space="preserve"> https://drive.google.com/file/d/1tiPgxXYqh94JgeM8zDJ6HV5DzfTYaV20/view?usp=drivesdk</t>
  </si>
  <si>
    <t xml:space="preserve"> You can download Bidding Documents here: </t>
  </si>
  <si>
    <t xml:space="preserve"> Downloads available at the Associated Components/Bid Supplements pages.</t>
  </si>
  <si>
    <t xml:space="preserve"> Download electronic copy of bidding documents attached in the associated component section</t>
  </si>
  <si>
    <t xml:space="preserve"> https://drive.google.com/file/d/1riDuYsQCVIsLur9NdncmteyjPFYjYY2F/view?usp=drivesdk</t>
  </si>
  <si>
    <t xml:space="preserve"> https://drive.google.com/file/d/1-0gmcczAuJK3xztL-_moIury_O4KE137/view?usp=drivesdk</t>
  </si>
  <si>
    <t xml:space="preserve"> refer to link: https://drive.google.com/file/d/1l26fVjMLyyuBQeVIFWlYPx8JRR97COTr/view?usp=drivesdk</t>
  </si>
  <si>
    <t xml:space="preserve"> refer to link : https://drive.google.com/file/d/1co11NZRgrsIRHPTWDXuqXu_D7W1XsAjr/view?usp=drivesdk</t>
  </si>
  <si>
    <t xml:space="preserve"> Please see attached PDF for more information</t>
  </si>
  <si>
    <t xml:space="preserve"> https://drive.google.com/file/d/1UDK5nEX_tprCmES9AXR73XCq_yQqW-9x/view?usp=drivesdk</t>
  </si>
  <si>
    <t xml:space="preserve"> SCHEDULE OF ACTIVITIES:</t>
  </si>
  <si>
    <t xml:space="preserve"> 09460493915</t>
  </si>
  <si>
    <t xml:space="preserve"> All interested Bidders must download the attached documents at the Associated Component Section for Instruction to Bidders</t>
  </si>
  <si>
    <t xml:space="preserve"> ALL BIDDERS MUST FROM WITHIN THE 3RD DISTRICT OF ZAMBOANGA DEL NORTE AND MUST HAVE A PHYSICAL OFFICE WITHIN THE MENTION DISTRICT.</t>
  </si>
  <si>
    <t xml:space="preserve"> Bidding Documents Alternative download link: https://drive.google.com/file/d/1wEJKBdJqKvE6ZE3oTdAyLHFZT1PnQWqm/view?usp=drivesdk</t>
  </si>
  <si>
    <t xml:space="preserve"> Issuance of Bid Documents  : 8:00AM - 5:00PM July 22, 2020 to 8:00AM - 09:30AM, August 11, 2020</t>
  </si>
  <si>
    <t xml:space="preserve"> Bidders must download the attached documents in the associated components.</t>
  </si>
  <si>
    <t xml:space="preserve"> RECEIPT OF LOI's: July 29-30, 2020 at 5:00PM</t>
  </si>
  <si>
    <t xml:space="preserve"> PROPOSED SOLAR STREET LIGHTING FOR THE AMOUNT OF P307,790.00</t>
  </si>
  <si>
    <t xml:space="preserve"> 17 Units HIGH SPEED DIGITAL DUPLICATOR</t>
  </si>
  <si>
    <t xml:space="preserve"> 2	units	EMERGENCY TRANSPORT MOTOR VEHICLE</t>
  </si>
  <si>
    <t xml:space="preserve"> Pre-Bid: July 28,2020 - 10:00am</t>
  </si>
  <si>
    <t xml:space="preserve"> &gt; 1 Unit BRAND NEW 4X4 PICK-UP VEHICLE</t>
  </si>
  <si>
    <t xml:space="preserve"> 1. ATTENDEES FOR ANY BIDDING CONFERENCE OF THE PROJECT MUST COORDINATE WITH PBS-RTVM PROCUREMENT OFFICE FOR PSG CLEARANCE AND GATEPASS A DAY BEFORE THE SCHEDULE DATE OF THE CONFERENCE.</t>
  </si>
  <si>
    <t xml:space="preserve"> Please see attached Bidding Document in associated component</t>
  </si>
  <si>
    <t xml:space="preserve"> bidder must download attached document in associated component</t>
  </si>
  <si>
    <t xml:space="preserve"> BIDDERS MUST FROM WITHIN THE PROVINCE OF ZAMBOANGA DEL NORTE AND MUST HAVE A PHYSICAL OFFICE WITHIN THE PROVINCE.</t>
  </si>
  <si>
    <t xml:space="preserve"> Bidders must download the attached document in the associated component section.</t>
  </si>
  <si>
    <t xml:space="preserve"> 1. ATTENDEES FOR ANY BIDDING CONFERENCE OF THE PROJECT  MUST COORDINATE WITH PBS-RTVM PROCUREMENT OFFICE FOR PSG CLEARANCE AND GATEPASS PURPOSES A DAY BEFORE THE SCHEDULED DATE OF THE CONFERENCE.</t>
  </si>
  <si>
    <t xml:space="preserve"> BIDDERS MUST BE FROM WITHIN THE 3RD DISTRICT OF ZAMBOANGA DEL NORTE AND MUST HAVE A PHYSICAL OFFICE OF THE MENTIONED DISTRICT.</t>
  </si>
  <si>
    <t xml:space="preserve"> Bidding documents link:</t>
  </si>
  <si>
    <t xml:space="preserve"> The BAC is conducting the public bidding for this Contract in accordance with RA 9184 and its Implementing Rules and Regulations.</t>
  </si>
  <si>
    <t xml:space="preserve"> Bid Opening shall be on August 11, 2020 at 9:00 A.M. at the Municipal Hall, Poblacion, Santa Fe, Romblon</t>
  </si>
  <si>
    <t xml:space="preserve"> Mayors Per</t>
  </si>
  <si>
    <t xml:space="preserve"> July 23, 2020 - Issuance of Bidding Documents</t>
  </si>
  <si>
    <t xml:space="preserve"> BIDDERS NEED FOR FURTHER INFORMATION MAY CONTACT THE FOLLOWING:</t>
  </si>
  <si>
    <t xml:space="preserve"> Bid opening shall be on August 11, 2020 at 9:00 A.M. at the Municipal Hall, Poblacion, Santa Fe, Romblon</t>
  </si>
  <si>
    <t xml:space="preserve"> https://drive.google.com/file/d/1In1fRSipB71_g7GENLNnhXnCEg6gpwNz/view?usp=drivesdk</t>
  </si>
  <si>
    <t xml:space="preserve"> BIDDERS MUST BE FROM WITHIN PROVINCE OF ZAMBOANGA DEL NORTE AND MUST HAVE A PHYSICAL ADDRESS WITHIN THE PROVINCE.</t>
  </si>
  <si>
    <t xml:space="preserve"> Technical Specifications</t>
  </si>
  <si>
    <t xml:space="preserve"> https://drive.google.com/file/d/1IUIbz0__pti_t0vJ_SWaKc1nVpVH4BoM/view?usp=drivesdk</t>
  </si>
  <si>
    <t xml:space="preserve"> Very Important Instruction:</t>
  </si>
  <si>
    <t xml:space="preserve"> Purpose: For use in water treatment.</t>
  </si>
  <si>
    <t xml:space="preserve"> Please download bidding documents at the provided link, https://drive.google.com/file/d/1oZitzqFAT4rogy9Tn5Ww3hIRsAOnsdoK/view?usp=drivesdk</t>
  </si>
  <si>
    <t xml:space="preserve"> Please download bidding documents at the provided link, https://drive.google.com/file/d/1Etl1wl_MIttSxLC3JzbAeat4vlhcrCG3/view?usp=drivesdk</t>
  </si>
  <si>
    <t xml:space="preserve"> https://drive.google.com/file/d/1a6iRQi0VDEx1PsbUdZ23TwDTDKTyZMTS/view?usp=drivesdk</t>
  </si>
  <si>
    <t xml:space="preserve"> https://drive.google.com/file/d/1gwinF6SIm0kam-8v7ADxa5YQW1_LNPVP/view?usp=drivesdk</t>
  </si>
  <si>
    <t xml:space="preserve"> https://drive.google.com/file/d/1_K9Hfs_9ligdVGZ71M-vOxwqEVzRc7Yl/view?usp=drivesdk</t>
  </si>
  <si>
    <t xml:space="preserve"> Please download bidding documents at the provided link, https://drive.google.com/file/d/1zLLMsqLRRnEVVIbkLhxUqRcnxoCQBSyY/view?usp=drivesdk</t>
  </si>
  <si>
    <t xml:space="preserve"> Please download documents in the associated components.</t>
  </si>
  <si>
    <t xml:space="preserve"> BIDDERS MUST DOWNLOAD ELECTRONIC COPY OF BIDDING DOCUMENTS IN THE LINK BELOW:</t>
  </si>
  <si>
    <t xml:space="preserve"> Prospective bidders should have experience in undertaking a similar project within the last (2) two years with an 				</t>
  </si>
  <si>
    <t xml:space="preserve"> 1.     900   pcs   Washable Face Mask (cloth with hole)</t>
  </si>
  <si>
    <t xml:space="preserve"> 12   units  Laptop</t>
  </si>
  <si>
    <t xml:space="preserve"> The Bidder shall submit bid price not exceeding the ABC of CW1 and CW2 per project.</t>
  </si>
  <si>
    <t xml:space="preserve"> Please click link below for the plans.</t>
  </si>
  <si>
    <t xml:space="preserve"> 1.1.	1	unit	LAPTOP</t>
  </si>
  <si>
    <t xml:space="preserve"> Availability of Bid Documents: July 22 - August 10, 2020; 8:00 AM-5:00 PM; Monday through Friday</t>
  </si>
  <si>
    <t xml:space="preserve"> https://drive.google.com/file/d/1s5QOq_prspik7v1MvFqU_dG-kmeTi1Ub/view?usp=drivesdk</t>
  </si>
  <si>
    <t xml:space="preserve"> Item Number	Description	Quantity	Total	Delivered, Weeks/Months</t>
  </si>
  <si>
    <t xml:space="preserve"> https://drive.google.com/file/d/1ESecUxZtALaUzufoj26wWSZj_PcC6rQh/view?usp=drivesdk</t>
  </si>
  <si>
    <t xml:space="preserve"> For more information kindly contact: </t>
  </si>
  <si>
    <t xml:space="preserve"> https://drive.google.com/file/d/1a61i6rDWwf5GemzvzjWGF-r2Dl3bRn99/view?usp=drivesdk</t>
  </si>
  <si>
    <t xml:space="preserve"> https://drive.google.com/file/d/1MmD7XLwC89VNOYPJIuSiESp7tE84QCPE/view?usp=drivesdk</t>
  </si>
  <si>
    <t xml:space="preserve"> https://drive.google.com/file/d/1WR-00YIaMjeN3cublwwd-8X-Mz_EkHod/view?usp=drivesdk</t>
  </si>
  <si>
    <t xml:space="preserve"> under PENRO Antique</t>
  </si>
  <si>
    <t xml:space="preserve"> https://drive.google.com/file/d/1M90lCu_z0csRQwSDLwu4foCkdTxUEAXK/view?usp=drivesdk</t>
  </si>
  <si>
    <t xml:space="preserve"> Please contact:</t>
  </si>
  <si>
    <t xml:space="preserve"> Deadline for the submission of bid is on August 3, 2020 at 2:00 PM and opening of bids to follow immediately.Please submit your sealed bid/quotation at BAC Office, New Civil Aviation Authority of the Philippines Bldg., Mactan-Cebu Int'l. Airport, Lapu-lapu City , Cebu and look for Hannah. </t>
  </si>
  <si>
    <t xml:space="preserve"> The delivery schedule expressed as weeks/months stipulates hereafter a delivery date which is the date of delivery to the project site.  </t>
  </si>
  <si>
    <t xml:space="preserve"> • Similar Contracts: Supply and Delivery of Petroleum, Oil or Lubricant Products </t>
  </si>
  <si>
    <t xml:space="preserve"> Diesel		 22,241.99 	liters</t>
  </si>
  <si>
    <t xml:space="preserve"> Tires 11x20 lug with tube		40	sets</t>
  </si>
  <si>
    <t xml:space="preserve"> Fuel		 25,641.03 	liters</t>
  </si>
  <si>
    <t xml:space="preserve"> https://drive.google.com/file/d/135T-E-iPuISTHo6nCEdIVoy8OFx2E-2i/view?usp=drivesdk</t>
  </si>
  <si>
    <t xml:space="preserve"> https://drive.google.com/file/d/1P7ZW6Zf7mpeVEp4HlZsZ0ECI0HJUpgsq/view?usp=drivesdk</t>
  </si>
  <si>
    <t xml:space="preserve"> https://drive.google.com/file/d/19gvg8Y0Gi0MYZ5I6l5mqvHsvDMnmxeNP/view?usp=drivesdk</t>
  </si>
  <si>
    <t xml:space="preserve"> INTERESTED BUYERS/SUPPLIERS ARE REQUIRED TO ATTEND THE PRE-BID CONFERENCE AS SCHEDULED. SUBMIT LETTER OF INTENT AND PRE-QUALIFICATION DOCUMENTS ON OR BEFORE THE PRE-BID CONFERENCE.  BIDDERS/SUPPLIERS ARE PREFERABLY WITHIN THE PROVINCE OF CAPIZ.</t>
  </si>
  <si>
    <t xml:space="preserve"> Inquire at the Office of the BAC Secretariat for more details.</t>
  </si>
  <si>
    <t xml:space="preserve"> • Similar Contracts: Supply and Delivery of Electrical Testing Equipment / Instruments</t>
  </si>
  <si>
    <t xml:space="preserve"> A complete set of bidding document may be purchased by interested bidders on July 21, 2020 to August 10, 2020 from the address below upon payment of a non-refundable fee for the bidding documents in the amount of P500.00</t>
  </si>
  <si>
    <t xml:space="preserve"> Bid Documents will be available only to prospective bidders upon payment of a non-refundable amount of Php 5,000.00 per set to the Municipal Treasurer of LGU- GATTARAN.</t>
  </si>
  <si>
    <t xml:space="preserve"> Bid Documents will be available only to prospective bidders upon payment of a non-refundable amount of Php 10,000.00 per set to the Municipal Treasurer of LGU- GATTARAN.</t>
  </si>
  <si>
    <t xml:space="preserve"> 1 .) Submit LETTER OF INTENT ADDRESS TO THE REGIONAL DIRECTOR, ALLAN L. POQUITA, Ph.D.  and ATTENTION BAC CHAIRPERSON, ATTY. KIM LAURIS M. LABASAN.</t>
  </si>
  <si>
    <t xml:space="preserve"> https://drive.google.com/file/d/1Bnr5xrWWMjaEDslCjPBK6-D3G5ORaQ4P/view?usp=drivesdk</t>
  </si>
  <si>
    <t xml:space="preserve"> Fur further information, please contact:</t>
  </si>
  <si>
    <t xml:space="preserve"> Bid Document Fee: Php5,000.00</t>
  </si>
  <si>
    <t xml:space="preserve"> The Sangguniang Barangay Habana, Buruanga, Aklan ,  through  its BIDS AND AWARDS COMMITTEE (BAC) invites bidders to bid for the following project:</t>
  </si>
  <si>
    <t xml:space="preserve"> The opening of bid will be on August 10, 2020 at exactly 2:00 o'clock in the afternoon at the BAC Office c/o Budget Office LGU Dauis, Bohol.</t>
  </si>
  <si>
    <t xml:space="preserve"> Bidding Documents may be purchased by the Interested Bidders on June 10-11, 2020 from 8:00 A.M to 5:00 P.M. and upon payment of non - refundable fee of Two Thousand Five Hundred Pesos (Php 2,500.00).</t>
  </si>
  <si>
    <t xml:space="preserve"> Bidding Documents may be purchased by the Interested Bidders on July 27-28, 2020 from 8:00 A.M to 5:00 P.M. and upon payment of non - refundable fee of One Thousand Pesos (Php 1,000.00 ).</t>
  </si>
  <si>
    <t xml:space="preserve"> Bidding Documents may be purchased by the Interested Bidders on July 27-28, 2020 from 8:00 A.M to 5:00 P.M. and upon payment of non - refundable fee of Five Hundred Pesos (Php 500.00).</t>
  </si>
  <si>
    <t xml:space="preserve"> For Barangay Rescue vehicle</t>
  </si>
  <si>
    <t xml:space="preserve"> Advertisement - July 21, 2020 </t>
  </si>
  <si>
    <t xml:space="preserve"> Bid Document Section 1-7 is Available</t>
  </si>
  <si>
    <t xml:space="preserve"> Rescue vehicle of Barangay II, Quezon, Nueva Ecija</t>
  </si>
  <si>
    <t xml:space="preserve"> Plans:</t>
  </si>
  <si>
    <t xml:space="preserve"> Bidders must download the attached documents in the associated component</t>
  </si>
  <si>
    <t xml:space="preserve"> Section VII. Technical Specifications</t>
  </si>
  <si>
    <t xml:space="preserve"> BID DOCUMENT IS AVAILABLE AT ENGINEERING OFFICE BAC SECRETARIAT.</t>
  </si>
  <si>
    <t xml:space="preserve"> New Contact Person</t>
  </si>
  <si>
    <t xml:space="preserve"> https://drive.google.com/file/d/1hrZiZEL7Xm2iLbfuuhHsIRweC3FkWuQX/view?usp=drivesdk</t>
  </si>
  <si>
    <t xml:space="preserve"> To all interested bidder/s or representative/s please follow our Local Inter-Agency Task Force's protocol.</t>
  </si>
  <si>
    <t xml:space="preserve"> https://drive.google.com/file/d/1w1kFwwugtP0ksr3JslbX2c_QIKQ03Bqq/view?usp=drivesdk</t>
  </si>
  <si>
    <t xml:space="preserve"> https://drive.google.com/file/d/145kvwcLNCoI7quTuVOwrTA_xoGcuYVX9/view?usp=drivesdk</t>
  </si>
  <si>
    <t xml:space="preserve"> RENTAL OF SERVICE VEHICLES FOR OFFICIAL USE OF CONSERVATION </t>
  </si>
  <si>
    <t xml:space="preserve"> Pre-Bid will be on July 28, 2020 @ 10:00 A.M. @ Bids &amp; Awards Committee Office</t>
  </si>
  <si>
    <t xml:space="preserve"> 1) 12 drum OIL #15W40, atleast 200ltr per drum = P594,000.00</t>
  </si>
  <si>
    <t xml:space="preserve"> Equipped with the necessary equipment and apparatus such as front steel bumper with fog lights, with an electric winch with remote control, with snorkel, with a blinker siren and PA System, and with rear tow hitch) with engine displacement not exceeding 2200cc for gasoline or 3000cc for diesel.</t>
  </si>
  <si>
    <t xml:space="preserve"> SUPPLIERS/ BIDDERS MUST DOWNLOAD THE ATTACHED DOCUMENT IN ASSOCIATED COMPONENT SECTION.</t>
  </si>
  <si>
    <t xml:space="preserve"> Project Title : REBLOCKING/IMPROVEMENT OF ROAD</t>
  </si>
  <si>
    <t xml:space="preserve"> For Technical Specifications, please download Associated Component (ITB).</t>
  </si>
  <si>
    <t xml:space="preserve"> https://drive.google.com/file/d/1Ije5boN6u3oxqBypaLbr4SPtGB5_STzy/view?usp=drivesdk</t>
  </si>
  <si>
    <t xml:space="preserve"> https://drive.google.com/file/d/1qjWaWvprsdrrBSr2h4T99ZmJQylKRIYS/view?usp=drivesdk</t>
  </si>
  <si>
    <t xml:space="preserve"> Please refer to attached Associated Components</t>
  </si>
  <si>
    <t xml:space="preserve"> The BAC is conducting the public bidding for this Contracts in accordance with RA 9184 and its Revised Implementing Rules and Regulations. Bids received in excess of the ABC shall be automatically rejected at bid opening.</t>
  </si>
  <si>
    <t xml:space="preserve"> Please download attached document.</t>
  </si>
  <si>
    <t xml:space="preserve"> Uuploaded docs are also available in dpwh website</t>
  </si>
  <si>
    <t xml:space="preserve"> Item Works Quantity Unit</t>
  </si>
  <si>
    <t xml:space="preserve"> Please download attached file</t>
  </si>
  <si>
    <t xml:space="preserve"> For further information, please contact Ms. JOCELYN A. FERNANDO, MPMG, SBAC Secretariat at 5238231-38 local 2469, National Bureau of Investigation, Taft Avenue, Ermita, Manila.</t>
  </si>
  <si>
    <t xml:space="preserve"> • Similar Contracts: Supply and Delivery of Electrical / Mechanical Spare Parts for Diesel Generating Sets </t>
  </si>
  <si>
    <t xml:space="preserve"> Bid Document is available at Engineering Office, BAC Secretariat.</t>
  </si>
  <si>
    <t xml:space="preserve"> • Similar Contracts: Supply, Delivery, Test and Commissioning of Passenger Elevator</t>
  </si>
  <si>
    <t xml:space="preserve"> Please see attached associated components for the detailed and complete Specifications.</t>
  </si>
  <si>
    <t xml:space="preserve"> Please download ITB and bidding documents in the associated component</t>
  </si>
  <si>
    <t xml:space="preserve"> • PCAB License: License Category of at least “Category D – General Building” and registration classification of at least “Small B – Building or Industrial Plant”</t>
  </si>
  <si>
    <t xml:space="preserve"> Attached documents:</t>
  </si>
  <si>
    <t xml:space="preserve"> Attached Documents:</t>
  </si>
  <si>
    <t xml:space="preserve"> Kindly see attached Invitation to Bid and Public Bidding Documents</t>
  </si>
  <si>
    <t xml:space="preserve"> https://drive.google.com/file/d/1NejwYOzdbUCFysuJ2fvoqO4TvEOkW8uB/view?usp=drivesdk</t>
  </si>
  <si>
    <t xml:space="preserve"> https://drive.google.com/file/d/1Tr1iRYD9xKLLV2XlhwMLFW5Vw97P5y0h/view?usp=drivesdk</t>
  </si>
  <si>
    <t xml:space="preserve"> A complete set of Bidding Documents may be acquired by interested bidders on JULY 20, 2020 to AUGUST 11,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</si>
  <si>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Bidding Document Cost: P/ 500.00</t>
  </si>
  <si>
    <t xml:space="preserve"> Bidding Document Cost: P/ 5,000.00</t>
  </si>
  <si>
    <t xml:space="preserve"> Bidding Document Cost: P/ 1,000.00</t>
  </si>
  <si>
    <t xml:space="preserve"> Please see attached associated components for the complete and detailed specifications.</t>
  </si>
  <si>
    <t xml:space="preserve"> https://drive.google.com/file/d/1v-PIw5dWg7YXKugFIGFZ0ylR_lcN7y87/view?usp=drivesdk</t>
  </si>
  <si>
    <t xml:space="preserve"> https://drive.google.com/file/d/1mbxP-E4sAFgGKED1hz2vOCyEYYwR3n3n/view?usp=drivesdk</t>
  </si>
  <si>
    <t xml:space="preserve"> https://drive.google.com/file/d/13lIPWxes-_2JoQ4ARfyDQg_XtwEV1jon/view?usp=drivesdk</t>
  </si>
  <si>
    <t xml:space="preserve"> https://drive.google.com/file/d/1_lMPjgxzWNp4jT2cuuyAtrU_SZcUxmZf/view?usp=drivesdk</t>
  </si>
  <si>
    <t xml:space="preserve"> Item Works  Quantity Unit</t>
  </si>
  <si>
    <t xml:space="preserve"> https://drive.google.com/file/d/114ymJL_CLouSBiK-QJwkfNz8ZIl3WgA8/view?usp=drivesdk</t>
  </si>
  <si>
    <t xml:space="preserve"> https://drive.google.com/file/d/11v6XkdFZ32VC-kX1T4vvn14YzAhKFCb7/view?usp=drivesdk</t>
  </si>
  <si>
    <t xml:space="preserve"> https://drive.google.com/file/d/1klAd2gUV-wW1NxSAwx32cH8pH1yc4Ss1/view?usp=drivesdk</t>
  </si>
  <si>
    <t xml:space="preserve"> https://drive.google.com/file/d/1tOQ9_fyVeJg4rAhhe_PBcZIinGyDYXU1/view?usp=drivesdk</t>
  </si>
  <si>
    <t xml:space="preserve"> https://drive.google.com/file/d/1KEqMwsNq-ZrwNKNXwUcJj9RIkUy7JG-K/view?usp=drivesdk</t>
  </si>
  <si>
    <t xml:space="preserve"> https://drive.google.com/file/d/1mB00LkUBh-9TeofGu-Ekaj8oug86tHPL/view?usp=drivesdk</t>
  </si>
  <si>
    <t xml:space="preserve"> Due to the current Community Quarantine brought about by the Covid-19 pandemic, PhilFIDA shall hold a virtual Pre-Bid Conference through O365 Teams on July 27, 2020, 10:00 A.M. Prospective bidders should submit a valid email address one day before the Pre-bid Conference.</t>
  </si>
  <si>
    <t xml:space="preserve"> Please be reminded that the Bidding Documents of the  CONTRACT FOR THE SUPPLY AND DELIVERY OF ONE (1) UNIT BRAND NEW PASSENGER VAN AND ONE (1) UNIT BRAND NEW ASIAN UTILITY VEHICLE/CROSSOVER can also be accessed through the link below.</t>
  </si>
  <si>
    <t xml:space="preserve"> https://drive.google.com/file/d/13U-Ogzm8sdr7lHnEgE19vi4FMH4pkOvb/view?usp=drivesdk</t>
  </si>
  <si>
    <t xml:space="preserve"> PLEASE CHECK SIMILAR INFORMATION AT THE WEBSITE OF THE PROCURING ENTITY</t>
  </si>
  <si>
    <t xml:space="preserve"> Issuance of Bid Documents  : 8:00AM - 5:00PM July 19, 2020 to 8:00AM - 10:00AM, July 28, 2020</t>
  </si>
  <si>
    <t xml:space="preserve"> Terms of Delivery: FOB Zamboanga City-WMSU</t>
  </si>
  <si>
    <t xml:space="preserve"> BID OPENING: AUGUST 7, 2020   1:00PM   BAC OFFICE, MUNICIPAL HALL, STA. MARCELA, APAYAO.</t>
  </si>
  <si>
    <t xml:space="preserve"> Please see associated file attached.</t>
  </si>
  <si>
    <t xml:space="preserve"> I	Mobilization and Demobilization	1.00</t>
  </si>
  <si>
    <t xml:space="preserve"> https://drive.google.com/file/d/1af8tD4vWU6G2n_xuxxRJq2dJTkJD5yiX/view?usp=drivesdk</t>
  </si>
  <si>
    <t xml:space="preserve"> https://drive.google.com/file/d/1jE_FWDttMkBa66GDa0gOe1Rte89tbGML/view?usp=drivesdk</t>
  </si>
  <si>
    <t xml:space="preserve"> I	DEMOLITION WORKS		</t>
  </si>
  <si>
    <t xml:space="preserve"> https://drive.google.com/file/d/1Q7Lem_Btk7QQUjUu32z5JfsP9jsFF-WW/view?usp=drivesdk</t>
  </si>
  <si>
    <t xml:space="preserve"> https://drive.google.com/file/d/11AuzDUizt6yOCTwgEJQhtetg4HYFJ9eu/view?usp=drivesdk</t>
  </si>
  <si>
    <t xml:space="preserve"> I.	EARTHWORKS		</t>
  </si>
  <si>
    <t xml:space="preserve"> 105(1)	Sub-grade Preparation	2700	sq.m.</t>
  </si>
  <si>
    <t xml:space="preserve"> Consumables	</t>
  </si>
  <si>
    <t xml:space="preserve"> Instruction for Suppliers on how to View/Download the document just go to the link below:</t>
  </si>
  <si>
    <t xml:space="preserve"> DESCRIPTION - ROAD CONCRETING</t>
  </si>
  <si>
    <t xml:space="preserve"> https://drive.google.com/file/d/1Zos94jKQgrkL0mXYmXDU9nwUjBFwK_NP/view?usp=drivesdk</t>
  </si>
  <si>
    <t xml:space="preserve"> https://drive.google.com/file/d/1aS1NCV8dZcOZYXC1CJ4GUsE6kFdNf6ZF/view?usp=drivesdk</t>
  </si>
  <si>
    <t xml:space="preserve"> Bidding Documents may be secured from the Bids and Awards Committee, Barangay Lupac, Boac, Marinduque upon payment to the Barangay Treasurer of a non-refundable amount of ₱ 1,000.00. </t>
  </si>
  <si>
    <t xml:space="preserve"> see attached page</t>
  </si>
  <si>
    <t xml:space="preserve"> https://drive.google.com/file/d/11Jz_5ryiKhPSGxnBYzAjLTLlAW4QvpTs/view?usp=drivesdk</t>
  </si>
  <si>
    <t xml:space="preserve"> INQUIRE AT BAC OFFICE</t>
  </si>
  <si>
    <t xml:space="preserve"> Project Title : CONSTRUCTION OF ROAD</t>
  </si>
  <si>
    <t xml:space="preserve"> Project Title : ROAD CONCRETING</t>
  </si>
  <si>
    <t xml:space="preserve"> Please see attached  ITB and Bid Documents</t>
  </si>
  <si>
    <t xml:space="preserve"> Please see attached specifications</t>
  </si>
  <si>
    <t xml:space="preserve"> please see attached specifications</t>
  </si>
  <si>
    <t xml:space="preserve"> See Attached Page</t>
  </si>
  <si>
    <t xml:space="preserve"> Interested bidders may obtain further information from the PNOC-Procurement Management Division and inspect the Bidding Documents at the address given below from 9:00 AM to 3:00 PM.</t>
  </si>
  <si>
    <t xml:space="preserve"> INQUIRE AT BAC OFFICE TAMBULIG, ZAMBOANGA DEL SUR</t>
  </si>
  <si>
    <t xml:space="preserve"> "                                                                     GENERAL CONDITIONS</t>
  </si>
  <si>
    <t xml:space="preserve"> https://drive.google.com/file/d/1Np9-AlCH5awyt7NJvyLc8mp0KcmXCXYl/view?usp=drivesdk</t>
  </si>
  <si>
    <t xml:space="preserve"> 1 unit Plastic Shredder</t>
  </si>
  <si>
    <t xml:space="preserve"> https://drive.google.com/file/d/1X9fzgJRO0uIqApdoQsC4Qn65FUTnUHRQ/view?usp=drivesdk</t>
  </si>
  <si>
    <t xml:space="preserve"> Deadline for submission of bids will be on  August 6, 2020, 10;00 A.M. at the Supply Office, Town Hall, Kibungan, Benguet.</t>
  </si>
  <si>
    <t xml:space="preserve"> All particulars relative to Eligibility Check, Bid Bond, Performance Bond, Pre-Bid Conference, Bid Evaluation, Post Qualification and recommendation to award shall be governed by the pertinent provisions of the revised RA 9184 and its Implementing Rules and Regulations (IRR). Bids received in excess of the ABC shall be automatically rejected at the opening of bid.</t>
  </si>
  <si>
    <t xml:space="preserve"> https://drive.google.com/file/d/1c4TYPxwrmHHcXnQ2xr0gQclC_lTA153-/view?usp=drivesdk</t>
  </si>
  <si>
    <t xml:space="preserve"> 1.  Submission of Letter of Intent and Application of Eligibility					July 17, 2020	-	July 24, 2020</t>
  </si>
  <si>
    <t xml:space="preserve"> https://drive.google.com/file/d/1XFEqSA7cMt76qaoxqKQ5yexmQnPZQd2G/view?usp=drivesdk</t>
  </si>
  <si>
    <t xml:space="preserve"> https://drive.google.com/file/d/1_WvRQEt1_dTtvte_S7lbo_fwwaiIhxO0/view?usp=drivesdk</t>
  </si>
  <si>
    <t xml:space="preserve"> Bid Document/s is available at the Office of the Mayor from 9:00 am to 4:00 pm. Bid Doc costs Php 5,000.00</t>
  </si>
  <si>
    <t xml:space="preserve"> Other details visit BAC office at Multi Purpose Hall</t>
  </si>
  <si>
    <t xml:space="preserve"> Delivery Sites:</t>
  </si>
  <si>
    <t xml:space="preserve"> The BAC shall issue bidding documents upon payment of One Thousand Pesos Only (Php1,000.00) to the disbursing/ collecting officer of the LGU.</t>
  </si>
  <si>
    <t xml:space="preserve"> 1.)	2	rolls	NO. 60 LAYOUT STRING (NYLON)</t>
  </si>
  <si>
    <t xml:space="preserve"> (August 16, 2020 to December 31, 2020) Janitorial Services</t>
  </si>
  <si>
    <t xml:space="preserve"> BIDDERS MUST DOWNLOAD THE ATTACHED DOCUMENT IN THE ASSOCIATED COMPONENT SECTION.</t>
  </si>
  <si>
    <t xml:space="preserve"> A complete set of Bidding Documents may be acquired by interested Bidders on July 20, 2020 from the address below and upon payment of a non-refundable fee for the Bidding Documents, pursuant to the latest Guidelines issued by the GPPB, in the amount of Four Thousand Pesos (P4,000.00).  </t>
  </si>
  <si>
    <t xml:space="preserve"> A complete set of Bidding Documents may be acquired by interested Bidders on July 20, 2020 from the address below and upon payment of a non-refundable fee for the Bidding Documents, pursuant to the latest Guidelines issued by the GPPB, in the amount of Two Thousand Pesos (P2,000.00).  </t>
  </si>
  <si>
    <t xml:space="preserve"> Please contact BAC Secretariat at 09750779875</t>
  </si>
  <si>
    <t xml:space="preserve"> 1. Pre-Bid Supplement - July 27, 2020, 2:00PM at the Municipal Conference Hall, Galimuyod, Ilocos Sur</t>
  </si>
  <si>
    <t xml:space="preserve"> Please contact BAC Secretariat @ 09750779875</t>
  </si>
  <si>
    <t xml:space="preserve"> Please contact BAC Secretariat @ 09750779875 for further information</t>
  </si>
  <si>
    <t xml:space="preserve"> Downloadables are available in the Associated Component / Supplemental Page</t>
  </si>
  <si>
    <t xml:space="preserve"> IMPROVEMENT OF MULTI-PURPOSE HALL</t>
  </si>
  <si>
    <t xml:space="preserve"> Opening on August 5, 2020 at 9:00A.M at the Municipal Hall</t>
  </si>
  <si>
    <t xml:space="preserve"> Please Contact BAC Secretariat @ 09750779875 for further information</t>
  </si>
  <si>
    <t xml:space="preserve"> 20IH0106  (ITB, Bid Docs, POW, Plan)</t>
  </si>
  <si>
    <t xml:space="preserve"> SAID REQUEST IS PER LOT.</t>
  </si>
  <si>
    <t xml:space="preserve"> For any queries or concerns please call us at 074-619-1375. If you are encountering errors downloading the attachments, please proceed to the BGHMC website: bghmc.doh.gov.ph and you can download the MS Office version of the bidding documents. Feel free to email us back if you have any more questions. If you need the link for uploading your bidding documents please email us at: bghmcbac@gmal.com/ bacoffice@bghmc.doh.gov.ph</t>
  </si>
  <si>
    <t xml:space="preserve"> For any queries or concerns please call us at 074-619-1375. If you are encountering errors downloading the attachments, please proceed to the BGHMC website: bghmc.doh.gov.ph and you can download the MS Office version of the bidding documents. Feel free to email us back if you have any more questions. If you need the link for uploading your bidding documents please email us at: bghmcbac@gmal.com/ bacoffice@bghmc.doh.gov.ph.</t>
  </si>
  <si>
    <t xml:space="preserve"> Submission of Bids July 17, 2020 until August 13, 2020 @ 12noon</t>
  </si>
  <si>
    <t xml:space="preserve"> ***Please copy the link below and paste to the web browser to download the attached Bidding Documents.</t>
  </si>
  <si>
    <t xml:space="preserve"> 20IH0107 (ITB, Bid Docs, POW, Plan)</t>
  </si>
  <si>
    <t xml:space="preserve"> Please Contact BAC Secretariat @ 09750779875 fro further information</t>
  </si>
  <si>
    <t xml:space="preserve"> Please Contact BAC Secretraiat @ 09750779875 fro further information</t>
  </si>
  <si>
    <t xml:space="preserve"> Please Contact BAC Secretariat @09750779875 for further information</t>
  </si>
  <si>
    <t xml:space="preserve"> Please Contact BAC Secretaraiat @ 09750779875 for further information</t>
  </si>
  <si>
    <t xml:space="preserve"> https://drive.google.com/file/d/1M2ebeot8se6ru3JG8OIkovssU-6jb8f7/view?usp=drivesdk</t>
  </si>
  <si>
    <t xml:space="preserve"> https://drive.google.com/file/d/1a3ft5IvNJAw0PpSAwmOU1U9uLKYiEWAE/view?usp=drivesdk</t>
  </si>
  <si>
    <t xml:space="preserve"> * Supply and Delivery of Diesel Generating Sets or Mechanical and/or Electrical Parts/Components/Equipment for Diesel Generating Sets</t>
  </si>
  <si>
    <t xml:space="preserve"> Upon Purchase of Bidding Documents, please submit the following documents:</t>
  </si>
  <si>
    <t xml:space="preserve"> *  Supply and Delivery of Diesel Generating Sets or Mechanical and/or Electrical Spare Parts/Components/Equipment for Diesel Generating Sets</t>
  </si>
  <si>
    <t xml:space="preserve"> For inquiries you may contact the BAC Secretariat at (082) 227-4073/2463 local 1142 or 0923-7216533/0917-3156929/0999-8878095(call only) local 1142</t>
  </si>
  <si>
    <t xml:space="preserve"> Issuance of Bid Documents  : 8:00AM - 5:00PM July 16, 2020 to 8:00AM - 10:00AM, August 05, 2020</t>
  </si>
  <si>
    <t xml:space="preserve"> Amount of Bid Documents: Php5,000.00</t>
  </si>
  <si>
    <t xml:space="preserve"> Qnty  Unit  Item Description</t>
  </si>
  <si>
    <t xml:space="preserve"> Note:</t>
  </si>
  <si>
    <t xml:space="preserve"> The BAC is conducting the public bidding for this contract in accordance with RA 9184 and its Implementing Rules and Regulations (IRR).</t>
  </si>
  <si>
    <t xml:space="preserve"> https://drive.google.com/file/d/1jFde8NipOaAOnKGzYGji65_g6Lrkd6i4/view?usp=drivesdk</t>
  </si>
  <si>
    <t xml:space="preserve"> Issuance of Bidding Documents: July 16 ,2020 until August 05, 2020, 1:00 PM</t>
  </si>
  <si>
    <t xml:space="preserve"> During submission of Letter of Intent (LOI), kindly bring original copies of Mayor’s Business Permit and Department of Trade and Industry (DTI) Business Name Registration.</t>
  </si>
  <si>
    <t xml:space="preserve"> OPENING OF BID WILL BE ON AUGUST 5, 2020 AT 10:00 A.M. AT THE UNIVERSITY LIBRARY CONFERENCE ROOM, TAU CAMILING, TARLAC. LATE BIDS WILL NOT BE ACCEPTED</t>
  </si>
  <si>
    <t xml:space="preserve"> SCHEDULE OF ACTIVITIES</t>
  </si>
  <si>
    <t xml:space="preserve"> https://drive.google.com/file/d/1p5Gjgc-DxNMbKqeOnZGCmzDi9-_wXUpM/view?usp=drivesdk</t>
  </si>
  <si>
    <t xml:space="preserve"> https://drive.google.com/file/d/1tXlmubCdEnnAJ-k3mCDAfW6phtLbqnzG/view?usp=drivesdk</t>
  </si>
  <si>
    <t xml:space="preserve"> https://drive.google.com/file/d/13c7mTEeccZjpNysm8S9hR2Xid7bdow3j/view?usp=drivesdk</t>
  </si>
  <si>
    <t xml:space="preserve"> https://drive.google.com/file/d/1xmg_fBOr6Jt401y9LemhzBkgF7iGT2kn/view?usp=drivesdk</t>
  </si>
  <si>
    <t xml:space="preserve"> Contact Person </t>
  </si>
  <si>
    <t xml:space="preserve"> Opening of bid will be on July 23, 2020-09:30 in the morning at BFP Conference Room, 3rd Floor Gen. Macario Peralta Drive, Iloilo City</t>
  </si>
  <si>
    <t xml:space="preserve"> SCHEDULE  OF ACTIVITES</t>
  </si>
  <si>
    <t xml:space="preserve"> https://drive.google.com/file/d/1G0FbC9COhvor012l0QzTLp-BRioqkPL7/view?usp=drivesdk</t>
  </si>
  <si>
    <t xml:space="preserve"> https://drive.google.com/file/d/1vCLi1_yCCpCTQ9hzb0FlZpzkJBj4XkwY/view?usp=drivesdk</t>
  </si>
  <si>
    <t xml:space="preserve"> RFQs and documentary requirements may be submitted at the BAC Office or at email address at wvsbac.procurement@gmail.com on or before July 22, 2020, 5:00 pm.</t>
  </si>
  <si>
    <t xml:space="preserve"> https://drive.google.com/file/d/1MbPDl5oEiobEB1rgw8KWcpQAOtKhv1EZ/view?usp=drivesdk</t>
  </si>
  <si>
    <t xml:space="preserve"> In observance of the letter of Davao City Mayor Sara Z. Duterte dated July 1, 2020 which highly recommends the use of on-line platform to avoid conduct of face-to-face meeting, pre-bidding conference and opening of bids will be conducted through video conferencing. Limited number of bidder’s representative will be allowed to attend physically and will be on first to reserve basis. Only one representative per every prospective bidder will be allowed to attend physically. The prospective bidder MUST submit a Letter of Intent to BAC Sec. at least two (2) days before the scheduled Pre-Bidding Conference in order to secure the link and password to the Pre-Bidding video conference.</t>
  </si>
  <si>
    <t xml:space="preserve"> https://drive.google.com/file/d/1sjwMMlDaH0SHkEtRHA37ekfuagHobKqo/view?usp=drivesdk</t>
  </si>
  <si>
    <t xml:space="preserve"> Please see Associated Component attached</t>
  </si>
  <si>
    <t xml:space="preserve"> INQUIRE AT BAC OFFICE, MUNICIPAL HALL, TAMBULIG, ZAMBOANGA DEL DUR</t>
  </si>
  <si>
    <t xml:space="preserve"> LINK to download the bidding document:</t>
  </si>
  <si>
    <t xml:space="preserve"> Bidding requirements/bid forms may be obtained, beginning July 21, 2020 from C.A. General Service upon payment of a non-refundable fee of P5,000.00.  Interested parties may get in touch with Ms. Weng Mirhan, BAC Secretariat at telephone no. 8834-2708.</t>
  </si>
  <si>
    <t xml:space="preserve"> https://drive.google.com/file/d/1SNs170Ac9mne-okW6TyhvrcLZMNrnYRk/view?usp=drivesdk</t>
  </si>
  <si>
    <t xml:space="preserve"> Bidding documents are available at the BAC Secretariat Office, 4th Floor, Core A, Senate of the Philippines, Diokno Avenue, Pasay City.</t>
  </si>
  <si>
    <t xml:space="preserve"> https://drive.google.com/file/d/1z6MXhbWn0UXT4SU5P4piKv4co2JbbF8w/view?usp=drivesdk</t>
  </si>
  <si>
    <t xml:space="preserve"> See attached bidding Document</t>
  </si>
  <si>
    <t xml:space="preserve"> You can download the Bidding Documents here:</t>
  </si>
  <si>
    <t xml:space="preserve"> https://drive.google.com/file/d/13n1vMM83L3bFmuYXEuNSe1cg2ASKjHZO/view?usp=drivesdk</t>
  </si>
  <si>
    <t xml:space="preserve"> https://drive.google.com/file/d/1w0uNOLG_cjTwqOJEgpM3JBV3wXZU_ohl/view?usp=drivesdk</t>
  </si>
  <si>
    <t xml:space="preserve"> https://drive.google.com/file/d/1N473u-pgbg82gYIqvMLGYlAESpZ4NJS_/view?usp=drivesdk</t>
  </si>
  <si>
    <t xml:space="preserve"> Issuance of bid documents - July 16, 2020 - August 5, 2020</t>
  </si>
  <si>
    <t xml:space="preserve"> All participating bidders MUST obtain the following every time there is a scheduled bidding and the physical presence of the participating bidder is necessary: Updated (not older than three weeks) Medical Certificate, Travel Authority, Visitor’s Pass</t>
  </si>
  <si>
    <t xml:space="preserve"> 20CE0244: Proposed Rehabilitation &amp; Improvement of Central Luzon State University (CLSU) Road Networks; Invitation to Bid including Plans and other Supporting Docs</t>
  </si>
  <si>
    <t xml:space="preserve"> 1.) 54 Sets TIRES w/ INNER TUBE and FLAPS</t>
  </si>
  <si>
    <t xml:space="preserve"> Please Copy the link below for the PLAN</t>
  </si>
  <si>
    <t xml:space="preserve"> Please check links below to download Plan.</t>
  </si>
  <si>
    <t xml:space="preserve"> Annexes to the Terms of Reference (TOR) can be downloaded in the link description below:</t>
  </si>
  <si>
    <t xml:space="preserve"> https://drive.google.com/file/d/1F83pNnDTqbli9jNGUlozL7Ojg67Xgqcy/view?usp=drivesdk</t>
  </si>
  <si>
    <t xml:space="preserve"> https://drive.google.com/file/d/1TX272ZgHpxK-jyJmfzVAQO_iAfkX1lc5/view?usp=drivesdk</t>
  </si>
  <si>
    <t xml:space="preserve"> https://drive.google.com/file/d/1tm0GhbfL50ZzAiGfZLLgwf6psIxhUyie/view?usp=drivesdk</t>
  </si>
  <si>
    <t xml:space="preserve"> https://drive.google.com/file/d/1ShsIOhcXTapcsZeCmRYC3eJ_rOgv7XmZ/view?usp=drivesdk</t>
  </si>
  <si>
    <t xml:space="preserve"> https://drive.google.com/file/d/1RCud2Su8b-8ER7BQ-TCuKo4ekedMrm0i/view?usp=drivesdk</t>
  </si>
  <si>
    <t xml:space="preserve"> https://drive.google.com/file/d/1cd9MpjitfDVwrJU7tJRHD3QJa5Mydfz9/view?usp=drivesdk</t>
  </si>
  <si>
    <t xml:space="preserve"> All Interested Bidders must download the attached document at the Associated Component Section for Instruction to Bidders</t>
  </si>
  <si>
    <t xml:space="preserve"> Rescue hydraulic Cutter and Spreader Combi Tool</t>
  </si>
  <si>
    <t xml:space="preserve"> INFORMATION &amp; COMMUNICATION TECHNOLOGY EQUIPMENT</t>
  </si>
  <si>
    <t xml:space="preserve"> FOR BACKHOE PC70, PC130, PC200		</t>
  </si>
  <si>
    <t xml:space="preserve"> Those who are interested are required to attend the Pre-Bid Conference on July 22, 2020 at 10:00 AM. </t>
  </si>
  <si>
    <t xml:space="preserve"> ALL INTERESTED BIDDERS SHALL PRESENT A VALID COMPANY ID. AUTHORIZED PERSONS SHALL BRING VALID COMPANY ID OF THE PERSON BEING REPRESENTED, SPA AND VALID ID. FAILURE TO COMPLY WILL BE CONSIDERED BOGUS/HOAX/DUMMY AND WILL NOT BE ENTERTAINED.</t>
  </si>
  <si>
    <t xml:space="preserve"> ALL INTERESTED BIDDERS SHALL PRESENT A VALID COMPANY ID, AUTHORIZED PERSONNEL SHALL BEAR THE ID OF PERSON BEING REPRESENTED, SPA AND VALID ID. FAILURE TO COMPLY WILL BE CONSIDERED BOGUS/HOAX/DUMMY AND WILL NOT BE ENTERTAINED.</t>
  </si>
  <si>
    <t xml:space="preserve"> Posted at three conspicuous places</t>
  </si>
  <si>
    <t xml:space="preserve"> https://drive.google.com/file/d/1td3YrnRVu9SQS6WSicYxOKtN14f2N6Ln/view?usp=drivesdk</t>
  </si>
  <si>
    <t xml:space="preserve"> Please Download The Associated Components</t>
  </si>
  <si>
    <t xml:space="preserve"> All interested bidders are required to attend the Pre-Bid Conference on July 22, 2020, 10:00 AM at the BAC Office.</t>
  </si>
  <si>
    <t xml:space="preserve"> CONTACT PERSONS: NERISSA R. QUINTINIO- BAC CHAIRMAN</t>
  </si>
  <si>
    <t xml:space="preserve"> CONTACT PERSON: NERISSA R. QUINTINIO</t>
  </si>
  <si>
    <t xml:space="preserve"> CONTACT PERSON: NERISSA R. QUINTINIO-BAC CHAIRMAN</t>
  </si>
  <si>
    <t xml:space="preserve"> https://drive.google.com/file/d/1TU8eq7wMhK_o_ZU9kX-dCHjEFkucMJfK/view?usp=drivesdk PLAN 20CN0152 READV.</t>
  </si>
  <si>
    <t xml:space="preserve"> Buyer: J. F. Ramos</t>
  </si>
  <si>
    <t xml:space="preserve"> 1		lot	Demolition</t>
  </si>
  <si>
    <t xml:space="preserve"> https://drive.google.com/file/d/15Ol8W-O_RHeQry2yfFqn1bTF9ArQqr5E/view?usp=drivesdk</t>
  </si>
  <si>
    <t xml:space="preserve"> posting date	Thursday, July 09, 2020	</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</si>
  <si>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</si>
  <si>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Delivery Terms: FOB Zamboanga City-WMSU</t>
  </si>
  <si>
    <t xml:space="preserve"> Buyer: K. F. Andal</t>
  </si>
  <si>
    <t xml:space="preserve"> https://drive.google.com/file/d/1E6gE96KYZItppQ52BJdwyZp3Xf1c3Cm7/view?usp=drivesdk</t>
  </si>
  <si>
    <t xml:space="preserve"> Mini-dumptruck</t>
  </si>
  <si>
    <t xml:space="preserve"> Regravelling. of Sitio Bulbulala</t>
  </si>
  <si>
    <t xml:space="preserve"> Const. of Drainage Canal</t>
  </si>
  <si>
    <t xml:space="preserve"> Please submit all documentary requirements stated in our RFQ</t>
  </si>
  <si>
    <t xml:space="preserve"> AVAILABILITY OF BIDDING DOCUMENTS-JULY 9.2020</t>
  </si>
  <si>
    <t xml:space="preserve"> SCHEDULE:</t>
  </si>
  <si>
    <t xml:space="preserve"> at brgy Hinapu Daku, Maasin City, Southern Leyte</t>
  </si>
  <si>
    <t xml:space="preserve"> 11.	For further information, please refer to:</t>
  </si>
  <si>
    <t xml:space="preserve"> Project under ADB TA-7796-PHI: Strengthening Public-Private Partnership in the Philippines - Capacity Development Activities of the Public Private Partnership Center (PPP Center)</t>
  </si>
  <si>
    <t xml:space="preserve"> Opening of Bid – August 5, 2020</t>
  </si>
  <si>
    <t xml:space="preserve"> 1.	The Ilocos Sur Polytechnic State College, through the External Funds Granted by DA-BAR intends to apply the sum of Twenty Million Pesos and 0/100 (Php 20,000,000.00) being the Approved Budget for the Contract (ABC) to payments under the contract for Establishment of Agriculture Innovation Center for Agri-Fishery-Livestock at Ilocos Sur Polytechnic State College / 2020-06-INFR. Bids received in excess of the ABC shall be automatically rejected at bid opening.</t>
  </si>
  <si>
    <t xml:space="preserve"> For LOT 1</t>
  </si>
  <si>
    <t xml:space="preserve"> for queries, pls contact MS. ANJ EMETERIO at tel no. 405-7233 to 34, email address: mqemetrio@gmail.com</t>
  </si>
  <si>
    <t xml:space="preserve"> Bidding documents can also be downloaded thru this link: https://drive.google.com/file/d/13gOgw7GrwmRtf7CtESmwYeUTSOwA9AEN/view?usp=drivesdk</t>
  </si>
  <si>
    <t xml:space="preserve"> Issuance of Bid Documents  : 8:00AM - 5:00PM July 03, 2020 to 8:00AM - 10:00AM, July 14, 2020</t>
  </si>
  <si>
    <t xml:space="preserve"> Below is the link of the bidding document for this Project.</t>
  </si>
  <si>
    <t xml:space="preserve"> for queries, pls contact MS. JENKIN DY at 8-5512200 locals 2290, 2979; email address: jenkindy26@yahoo.com</t>
  </si>
  <si>
    <t xml:space="preserve"> for queries, pls. contact MS. LUBELLE LUMABAS, tel no. 8-405-7233 to 34; email address: landbank2290@gmail.com</t>
  </si>
  <si>
    <t xml:space="preserve"> please go to link https://drive.google.com/file/d/1s3J9LaCY_cBzkAMpn2dmtsZt9DRl1Dgd/view?usp=drivesdk for a copy of the Bidding Documents</t>
  </si>
  <si>
    <t xml:space="preserve"> The Above-listed documents (including the MS Word file for RFP) can also be downloaded at the DPWH website:</t>
  </si>
  <si>
    <t xml:space="preserve"> INTERESTED BIDDERS ARE ADVISED TO DOWNLOAD THE ATTACHED DOCUMENTS LOCATED AT THE ASSOCIATED COMPONENT SECTION FOR GUIDANCE.</t>
  </si>
  <si>
    <t xml:space="preserve"> INTERESTED BIDDERS ARE ADVISED TO DOWNLOAD THE ATTACHED DOCUMENTS LOCATED IN ASSOCIATED COMPONENT SECTION FOR GUIDANCE.</t>
  </si>
  <si>
    <t xml:space="preserve"> INTERESTED BIDDERS ARE ADVISED TO DOWNLOAD THE ATTACHED DOCUMENTS LOCATED AT THE ASSOCIATED COMPONENT SECTION FOR GUIDANCE</t>
  </si>
  <si>
    <t xml:space="preserve"> https://drive.google.com/file/d/1FIn0ACYZUbS9ALWOaCSAiwCBev5EN6r1/view?usp=drivesdk</t>
  </si>
  <si>
    <t xml:space="preserve"> https://drive.google.com/file/d/13L_cg_VRH00l-d0ij7S8USzuDljNeHcK/view?usp=drivesdk</t>
  </si>
  <si>
    <t xml:space="preserve"> https://drive.google.com/file/d/15w_xwnMIh0bgwD-WCVi0e_wJflBkxNJZ/view?usp=drivesdk</t>
  </si>
  <si>
    <t xml:space="preserve"> for queries, you may email MR. RUEL MARCA at ruelmarca@yahoo.com</t>
  </si>
  <si>
    <t xml:space="preserve"> For other inquiries/concerns about the Terms of Reference (TOR) please contact end-user Ms. Nida Zabala / Maria Victoria Iriberri (AS-HRMD) at Trunk Line 479-29-00. SUPPLIER/BIDDER is required to upon submission of offer in the SEALED ENVELOPE attach the following documents; Mayor’s/Business Permit, PhilGEPS Registration Number and Omnibus Sworn Statement. Please submit your quotation to the BAC-Secretariat Ms. Jaymee Deogracias (BAC-Office) 3rd Floor DOE Main Building, Energy Center, Rizal Drive, Bonifacio Global City, Taguig City trunk line 479-2900 loc. 383 or email to: antonio.bautista@doe.gov.ph</t>
  </si>
  <si>
    <t xml:space="preserve"> https://drive.google.com/file/d/1KgHRA1CgLn0h8QZo9dFR0kgGgD4506Np/view?usp=drivesdk</t>
  </si>
  <si>
    <t xml:space="preserve"> for inquiries, pls contact MS. ARVIE ESTRELLA at tel no. 8-405-7233 to 34, 8-5512200 locals 2452, 2453, 2731, 2609, 2979 &amp; 2290</t>
  </si>
  <si>
    <t xml:space="preserve"> https://drive.google.com/file/d/1BLzW9kq3CQC1wOpc5Jbqpbj_6g7PQyFB/view?usp=drivesdk PLAN 20CN0073</t>
  </si>
  <si>
    <t xml:space="preserve"> BAC ACTIVITIES</t>
  </si>
  <si>
    <t xml:space="preserve"> for queries, pls. contact MS. JENKIN DY at tel no. 085512200 locals 2290, 2979, 4169, 2609</t>
  </si>
  <si>
    <t xml:space="preserve"> for queries, pls. contact MR. CHARM FLORIDO at tel nos. 85512200 locals 2452, 2453; 84057233 to 34</t>
  </si>
  <si>
    <t xml:space="preserve"> For query,  pls. contact MR. JENKIN DY at tel no. 8-5512200 locals 2290, 2979, 2609, 4169</t>
  </si>
  <si>
    <t xml:space="preserve"> Purpose: Catering Services for 50 has. Corn Model Farm Launching and Technical Briefing in Toledo City, Cebu on May 8, 2020 and August 31, 2020</t>
  </si>
  <si>
    <t xml:space="preserve"> BIDDING DOCUMENTS:</t>
  </si>
  <si>
    <t xml:space="preserve"> https://drive.google.com/file/d/1S99bbKF0ugZ3dTTl2KyFEW7qIxcz-GoC/view?usp=drivesdk</t>
  </si>
  <si>
    <t xml:space="preserve"> https://drive.google.com/file/d/1cyKNIRuD4Bd4mhxnoHZzK4DBSFPReN6o/view?usp=drivesdk</t>
  </si>
  <si>
    <t xml:space="preserve"> for queries, you may email Ms. Anj Emeterio at mqemeterio@gmail.com</t>
  </si>
  <si>
    <t xml:space="preserve"> https://drive.google.com/file/d/1FDzcFxpfsiMl8ZL5v-ma3RlhJk5pAczw/view?usp=drivesdk</t>
  </si>
  <si>
    <t xml:space="preserve"> Also available at DPWH Website.</t>
  </si>
  <si>
    <t xml:space="preserve"> https://drive.google.com/file/d/1_HnOImn4pVGeQYLeylcERPeJwqYRLzz-/view?usp=drivesdk</t>
  </si>
  <si>
    <t xml:space="preserve"> https://drive.google.com/file/d/1RwzNCfoCZL6sZaTDBKwKBttTzS1v4Pkz/view?usp=drivesdk</t>
  </si>
  <si>
    <t xml:space="preserve"> https://drive.google.com/file/d/1qa450BfMcmUJu8wYtLKcZPqqsEnnF61C/view?usp=drivesdk</t>
  </si>
  <si>
    <t xml:space="preserve"> please download associated documents</t>
  </si>
  <si>
    <t xml:space="preserve"> https://drive.google.com/file/d/14wVgIcTYzsrlKV41Ukjao4x0_7Hnfqs5/view?usp=drivesdk</t>
  </si>
  <si>
    <t xml:space="preserve"> 1. PRE-BID CONFERENCE – MARCH 25, 2020 @ 10:00 A.M.</t>
  </si>
  <si>
    <t xml:space="preserve"> For further information, Please refer to:</t>
  </si>
  <si>
    <t xml:space="preserve"> for queries, you may email MS. JAM FABELLA at jamfabella@gmail.com</t>
  </si>
  <si>
    <t xml:space="preserve"> Issuance of Bid Documents  : 8:00AM - 5:00PM June 20, 2020 to 8:00AM - 10:00AM, July 14, 2020</t>
  </si>
  <si>
    <t xml:space="preserve"> for queries, you may email MS. NADIA ILETO at iletonadia25@gmail.com</t>
  </si>
  <si>
    <t xml:space="preserve"> 2.	https://drive.google.com/file/d/1idHJ8D1pmUXgEU8-TWy_VILC8id1Gidv/view?usp=drivesdk</t>
  </si>
  <si>
    <t xml:space="preserve"> See attached other associated components.</t>
  </si>
  <si>
    <t xml:space="preserve"> Please see bidding documents for details</t>
  </si>
  <si>
    <t xml:space="preserve"> Concreting of Alley Roads</t>
  </si>
  <si>
    <t xml:space="preserve"> Continuation of Development Center</t>
  </si>
  <si>
    <t xml:space="preserve"> For more information, please see or contact the BAC Members of LGU Magallanes, Sorsogon.</t>
  </si>
  <si>
    <t xml:space="preserve"> Approved Budget for the Contract (ABC) = PhP 1,459,500.00</t>
  </si>
  <si>
    <t xml:space="preserve"> Approved Budget for the Contract (ABC) = PhP 8,951,700.00</t>
  </si>
  <si>
    <t xml:space="preserve"> Ink- #664 Black	314	Bottles</t>
  </si>
  <si>
    <t xml:space="preserve"> Laptop:</t>
  </si>
  <si>
    <t xml:space="preserve"> bidding date on August 05, 2020 at 9:00 am,at Brgy. Hall,Brgy. Cunsad, Alimodian Iloilo</t>
  </si>
  <si>
    <t xml:space="preserve"> Oxygen Tanks 2000 lbs	80	cylinder</t>
  </si>
  <si>
    <t xml:space="preserve"> Interested bidders may download attached documents located in the Associated Component Section.</t>
  </si>
  <si>
    <t xml:space="preserve"> https://drive.google.com/file/d/1kJkV-caomyWzQvvIO0fzOfwPqUMFmZjq/view?usp=drivesdk</t>
  </si>
  <si>
    <t xml:space="preserve"> https://drive.google.com/file/d/11IC7KCaINeKDAXwHRXQoGsOzx8Xzt7en/view?usp=drivesdk</t>
  </si>
  <si>
    <t xml:space="preserve"> Bidding Document Fee  : Php5,000.00</t>
  </si>
  <si>
    <t xml:space="preserve"> Pre-Bid Conference	2:00 P.M. July 21, 2020	</t>
  </si>
  <si>
    <t xml:space="preserve"> https://drive.google.com/file/d/1xnMXOqcizRS23NmO9pRa3Ms0Va3kZmLQ/view?usp=drivesdk</t>
  </si>
  <si>
    <t xml:space="preserve"> https://drive.google.com/file/d/1S9mxj9oAeSqp9YRddyK6W4uPvybsTzmC/view?usp=drivesdk</t>
  </si>
  <si>
    <t xml:space="preserve"> https://drive.google.com/file/d/1c8lLGLyrhyw9qUIpveTtf2P807Cm45S7/view?usp=drivesdk</t>
  </si>
  <si>
    <t xml:space="preserve"> Please Contact BAC Secretariat  @ 09750779875</t>
  </si>
  <si>
    <t xml:space="preserve"> Please download the attached file</t>
  </si>
  <si>
    <t xml:space="preserve"> SUPPLY AND DELIVERY OF VARIOUS MEDICAL SUPPLIES/EQUIPMENT FOR OSPITAL NG MAKATI (2 LOTS)</t>
  </si>
  <si>
    <t xml:space="preserve"> Prospective Bidders should have experience in undertaking a similar project within the last 2 years with an amount of at least 50% of the proposed project for bidding. The eligibility Check/Screening as well as the Preliminary Examination of Bids shall use non-discretionary "pass/fail" criteria. Post-qualification of the lowest calculated bid shall be conducted.</t>
  </si>
  <si>
    <t xml:space="preserve"> Below are the following specifications:</t>
  </si>
  <si>
    <t xml:space="preserve"> OPENING OF BID QUOTATION</t>
  </si>
  <si>
    <t xml:space="preserve"> Bidding Document/s is available at the Office of the Mayor from 9:00 am to 4:00 pm. Bid Document costs Php 5,000.00</t>
  </si>
  <si>
    <t xml:space="preserve"> Specifications:				</t>
  </si>
  <si>
    <t xml:space="preserve"> Cost of Documents: P5,000.00</t>
  </si>
  <si>
    <t xml:space="preserve"> I	DEMOLITION WORKS	1	LS</t>
  </si>
  <si>
    <t xml:space="preserve"> INVITATION TO APPLY FOR ELIGIBILITY AND TO BID</t>
  </si>
  <si>
    <t xml:space="preserve"> Bidders may participate for any one or both Lots (Lot 1 and Lot 2).</t>
  </si>
  <si>
    <t xml:space="preserve"> Amount of Bidding Documents: PhP25,000.00 </t>
  </si>
  <si>
    <t xml:space="preserve"> 1.	THIS IS A SECOND PUBLICATION OF THIS PROCUREMENT.</t>
  </si>
  <si>
    <t xml:space="preserve"> • Similar Contracts:Supply and Delivery of Diesel Generating Sets or Mechanical and/or Electrical Parts / Components / Equipment for Diesel Generating Sets</t>
  </si>
  <si>
    <t xml:space="preserve"> • Similar Contracts: Supply and Delivery of Diesel / Bunker Generating Sets or Mechanical and/or Electrical Parts / Components / Equipment for Diesel Generating Sets</t>
  </si>
  <si>
    <t xml:space="preserve"> Please download bidding documents at the provided link, https://drive.google.com/file/d/1gjh8Vyn09MXo_r14MGhsOM-IVLoTOwjE/view?usp=drivesdk</t>
  </si>
  <si>
    <t xml:space="preserve"> https://drive.google.com/file/d/1_D42cYW00CEetGDOOB8QRSpp0QR_Zswz/view?usp=drivesdk</t>
  </si>
  <si>
    <t>M.A Cueva</t>
  </si>
  <si>
    <t>Genevieve Nuñez</t>
  </si>
  <si>
    <t>ROMMEL G. GRAGASIN</t>
  </si>
  <si>
    <t>Nelzar Borres Arsenio</t>
  </si>
  <si>
    <t>MA. RODELENE  JUAN  TERTE</t>
  </si>
  <si>
    <t>Marites Peremne Balinas</t>
  </si>
  <si>
    <t>Korina Sibulo Tronqued</t>
  </si>
  <si>
    <t>Edmundo Jr M Abueg</t>
  </si>
  <si>
    <t>dipolog water bac</t>
  </si>
  <si>
    <t>Rosemarie B. Rivera</t>
  </si>
  <si>
    <t>Jed D Panes</t>
  </si>
  <si>
    <t>Roxanne C. Pimentel</t>
  </si>
  <si>
    <t>Roy C Gonzales</t>
  </si>
  <si>
    <t>Ronald M Teves</t>
  </si>
  <si>
    <t>Janica Damilao Arsua</t>
  </si>
  <si>
    <t>ALODIA U MAPANAO</t>
  </si>
  <si>
    <t>RAFAEL LACBAYO SANTIAGO</t>
  </si>
  <si>
    <t>Rudy Escoto Metante</t>
  </si>
  <si>
    <t>Michael, Jr. N Quizon</t>
  </si>
  <si>
    <t>Michael Angelo J. Paras</t>
  </si>
  <si>
    <t>Harold C. Duremdes</t>
  </si>
  <si>
    <t>Eli A. Olifernes</t>
  </si>
  <si>
    <t>Aries Ramos Alahan</t>
  </si>
  <si>
    <t>Frenzel Ray Kitan Tomas</t>
  </si>
  <si>
    <t>Josie Delos Santos Villanueva</t>
  </si>
  <si>
    <t>Angelika A. Paladan</t>
  </si>
  <si>
    <t>Nathaniel G Echano</t>
  </si>
  <si>
    <t>Sherrymine C. Lazaga</t>
  </si>
  <si>
    <t>Pinky Miriam D Canlas</t>
  </si>
  <si>
    <t>ELIZABETH S. FERNANDEZ</t>
  </si>
  <si>
    <t>Ryan Saguyod Apolonio</t>
  </si>
  <si>
    <t>Glory Vi A. Mesina</t>
  </si>
  <si>
    <t>INREMP BAC Secretariat</t>
  </si>
  <si>
    <t>Johnnyline Pastor Jagdon</t>
  </si>
  <si>
    <t>Rodel H. Lim</t>
  </si>
  <si>
    <t>Rodelio Jr. Abordo Vera</t>
  </si>
  <si>
    <t>Melchor Talosig Halog</t>
  </si>
  <si>
    <t>Manny Maturan Da-ang</t>
  </si>
  <si>
    <t>Arniel A. Abellonar</t>
  </si>
  <si>
    <t>Reynold Q. Velos</t>
  </si>
  <si>
    <t>Marilou Seno Villanueva</t>
  </si>
  <si>
    <t>JAZERA DINOPOL OYAO</t>
  </si>
  <si>
    <t>Castor Gracilla Verdeblanco</t>
  </si>
  <si>
    <t>Gemma Bandoy Espadero</t>
  </si>
  <si>
    <t>Joseph R. Sermonia</t>
  </si>
  <si>
    <t>Daniel Apilado Suyat</t>
  </si>
  <si>
    <t>Kimberlee G. Lanuza</t>
  </si>
  <si>
    <t>Zandro A. Samarista</t>
  </si>
  <si>
    <t>Perry Origenes Bague</t>
  </si>
  <si>
    <t>Rommel T Reamico</t>
  </si>
  <si>
    <t>Mark J. Arceo</t>
  </si>
  <si>
    <t>Joseph Cañas Hernani</t>
  </si>
  <si>
    <t>Arthur Molenilla Balmadrid</t>
  </si>
  <si>
    <t>RONALD S LANGBAN</t>
  </si>
  <si>
    <t>FELIXBERTO JR. BIRCO MATUTE</t>
  </si>
  <si>
    <t>BIENVENIDA PAMAN DULCERO</t>
  </si>
  <si>
    <t>Marino E Martinquilla</t>
  </si>
  <si>
    <t>Ma. Felicidad Rebong Payba</t>
  </si>
  <si>
    <t>RANDY R MALIWAT</t>
  </si>
  <si>
    <t>Ramer B. Panes</t>
  </si>
  <si>
    <t>Generoso Jr. Projillo Maghopoy</t>
  </si>
  <si>
    <t>ANNA MAE R. BANGHA-ON</t>
  </si>
  <si>
    <t>REYSHA  T.  QUIMADO</t>
  </si>
  <si>
    <t>Grace Ipongan Daniel</t>
  </si>
  <si>
    <t>Maylen Asuncion</t>
  </si>
  <si>
    <t>Jose Raymond Ajes Manalo</t>
  </si>
  <si>
    <t>ALLEN JOY M. ESCALONA</t>
  </si>
  <si>
    <t>MARILOU DERION PEDOS</t>
  </si>
  <si>
    <t>Liza C Dorado</t>
  </si>
  <si>
    <t>Mark Andrew Abas Dilay</t>
  </si>
  <si>
    <t>Vince Kyle Dizon Timbol</t>
  </si>
  <si>
    <t>KATHLYN B. CABIA</t>
  </si>
  <si>
    <t>Jenalyn Julaton Acosta</t>
  </si>
  <si>
    <t>DELIZA M CUTARA</t>
  </si>
  <si>
    <t>Sheila Marie S Chua</t>
  </si>
  <si>
    <t>Czarina Facunla Palencia</t>
  </si>
  <si>
    <t>Sheryll A Villanueva</t>
  </si>
  <si>
    <t>Roland Dayuno Morales</t>
  </si>
  <si>
    <t>Rommel Oroceo Subaldo</t>
  </si>
  <si>
    <t>Erick Sombrio Dalumpines</t>
  </si>
  <si>
    <t>Daisy Acero Umbina</t>
  </si>
  <si>
    <t>Jovelyn Pasinag Perez</t>
  </si>
  <si>
    <t>Christy M Nabablit</t>
  </si>
  <si>
    <t>Gemma Pugong Luglug</t>
  </si>
  <si>
    <t>Bernadette Baua</t>
  </si>
  <si>
    <t>AIVIE MAE BUTUAN ALIUDIN</t>
  </si>
  <si>
    <t>Michael Rey Villaluz Biado</t>
  </si>
  <si>
    <t>ROEL B CADAGAT</t>
  </si>
  <si>
    <t>Abdul Rafi M. Lomondaya</t>
  </si>
  <si>
    <t>Amadel A Gonzales</t>
  </si>
  <si>
    <t>Luzminda Suazo Legaspi</t>
  </si>
  <si>
    <t>Jhea E Ebal</t>
  </si>
  <si>
    <t>Rosa Katherine J. Angeles</t>
  </si>
  <si>
    <t>Rosario Fe Quizon Arevalo</t>
  </si>
  <si>
    <t>Buenaventura Zaldivar Flandez</t>
  </si>
  <si>
    <t>Dionesia B. Lagas</t>
  </si>
  <si>
    <t>Irma Danganan Lugue</t>
  </si>
  <si>
    <t>Christian Ian Caligagan Villarin</t>
  </si>
  <si>
    <t>Eduardo D. Fernandez</t>
  </si>
  <si>
    <t>John Carlo V Alegre</t>
  </si>
  <si>
    <t>Bazil Nacman Cabria</t>
  </si>
  <si>
    <t>MAILYN CORDEZ HERNANDEZ</t>
  </si>
  <si>
    <t>MARY ANNE C LADO</t>
  </si>
  <si>
    <t>John A Leonardo</t>
  </si>
  <si>
    <t>Brian D. Lumague</t>
  </si>
  <si>
    <t>Roxanne Padilla</t>
  </si>
  <si>
    <t>Roch Jerome L Capistrano</t>
  </si>
  <si>
    <t>MUSLIMIN S. PAMIKIRIN</t>
  </si>
  <si>
    <t>Fe P Sagre</t>
  </si>
  <si>
    <t>Juanito Biadnes Acorin</t>
  </si>
  <si>
    <t>Reynante B. Quiros</t>
  </si>
  <si>
    <t>Alerry Layog</t>
  </si>
  <si>
    <t>Rady  Jereza  Nograles</t>
  </si>
  <si>
    <t>Jayson Pangilinan Balagtas</t>
  </si>
  <si>
    <t>Jevic Gadon Daguno</t>
  </si>
  <si>
    <t>Rezalyn Abuzo Maputol</t>
  </si>
  <si>
    <t>Gilbert C Mondroy</t>
  </si>
  <si>
    <t>Mar P. Viernes</t>
  </si>
  <si>
    <t>Benhar Sulaiman Sali</t>
  </si>
  <si>
    <t>Mary Zhane Acosta</t>
  </si>
  <si>
    <t>German Dichoson Salanio</t>
  </si>
  <si>
    <t>Mark Joseph Justimbaste Calinao</t>
  </si>
  <si>
    <t>Cyrene T Palparan</t>
  </si>
  <si>
    <t>Brett Andrew Surell</t>
  </si>
  <si>
    <t>Lydia Yumang Vinculado</t>
  </si>
  <si>
    <t>Antonio A.  Abe</t>
  </si>
  <si>
    <t>Mary Grace L. Romero</t>
  </si>
  <si>
    <t>Jomar Feliciano Doncillo</t>
  </si>
  <si>
    <t>EUGENE IGNACIO</t>
  </si>
  <si>
    <t>John III Etong Bandiwan</t>
  </si>
  <si>
    <t>Chona Salonga Dizon</t>
  </si>
  <si>
    <t>Katherine V Veracruz</t>
  </si>
  <si>
    <t>Nerichelle R Bobis</t>
  </si>
  <si>
    <t>Joel R Perez</t>
  </si>
  <si>
    <t>Leonor F.  Santos</t>
  </si>
  <si>
    <t>Vivian Enriquez Villanueva</t>
  </si>
  <si>
    <t>Ursicio Mantiza Ungab</t>
  </si>
  <si>
    <t>Raymond Pulido Gelacio</t>
  </si>
  <si>
    <t>04/02/2020</t>
  </si>
  <si>
    <t>19/04/2020</t>
  </si>
  <si>
    <t>26/02/2020</t>
  </si>
  <si>
    <t>14/06/2020</t>
  </si>
  <si>
    <t>13/02/2020</t>
  </si>
  <si>
    <t>02/12/2019</t>
  </si>
  <si>
    <t>24/04/2020</t>
  </si>
  <si>
    <t>21/10/2019</t>
  </si>
  <si>
    <t>09/06/2020</t>
  </si>
  <si>
    <t>27/03/2019</t>
  </si>
  <si>
    <t>13/01/2020</t>
  </si>
  <si>
    <t>27/06/2020</t>
  </si>
  <si>
    <t>19/06/2020</t>
  </si>
  <si>
    <t>15/06/2020</t>
  </si>
  <si>
    <t>01/06/2020</t>
  </si>
  <si>
    <t>27/05/2020</t>
  </si>
  <si>
    <t>06/05/2020</t>
  </si>
  <si>
    <t>20/05/2020</t>
  </si>
  <si>
    <t>24/05/2020</t>
  </si>
  <si>
    <t>31/03/2020</t>
  </si>
  <si>
    <t>26/03/2020</t>
  </si>
  <si>
    <t>16/04/2020</t>
  </si>
  <si>
    <t>13/04/2020</t>
  </si>
  <si>
    <t>21/04/2020</t>
  </si>
  <si>
    <t>29/04/2020</t>
  </si>
  <si>
    <t>25/04/2020</t>
  </si>
  <si>
    <t>20/02/2020</t>
  </si>
  <si>
    <t>31/01/2020</t>
  </si>
  <si>
    <t>05/02/2020</t>
  </si>
  <si>
    <t>11/02/2020</t>
  </si>
  <si>
    <t>18/11/2019</t>
  </si>
  <si>
    <t>19/12/2019</t>
  </si>
  <si>
    <t>28/01/2020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</si>
</sst>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4909"/>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f>HYPERLINK("https://www.philgeps.gov.ph/GEPSNONPILOT/Tender/SplashBidNoticeAbstractUI.aspx?menuIndex=3&amp;refID=6836147&amp;Result=3","6836147")</f>
        <v>0</v>
      </c>
      <c r="B2" t="s">
        <v>24</v>
      </c>
      <c r="C2" t="s">
        <v>3766</v>
      </c>
      <c r="D2" t="s">
        <v>17951</v>
      </c>
      <c r="E2" t="s">
        <v>18060</v>
      </c>
      <c r="F2" t="s">
        <v>30899</v>
      </c>
      <c r="G2" t="s">
        <v>30906</v>
      </c>
      <c r="H2" t="s">
        <v>30915</v>
      </c>
      <c r="I2" t="s">
        <v>8123</v>
      </c>
      <c r="J2" t="s">
        <v>31040</v>
      </c>
      <c r="K2" t="s">
        <v>40279</v>
      </c>
      <c r="M2" t="s">
        <v>40570</v>
      </c>
      <c r="N2" t="s">
        <v>44759</v>
      </c>
      <c r="O2" t="s">
        <v>44760</v>
      </c>
      <c r="P2">
        <v>0</v>
      </c>
      <c r="Q2">
        <v>0</v>
      </c>
      <c r="R2" t="s">
        <v>44761</v>
      </c>
      <c r="S2" t="s">
        <v>44862</v>
      </c>
      <c r="T2" t="s">
        <v>46349</v>
      </c>
      <c r="U2" t="s">
        <v>46955</v>
      </c>
      <c r="W2" t="s">
        <v>40570</v>
      </c>
      <c r="X2" t="s">
        <v>60952</v>
      </c>
    </row>
    <row r="3" spans="1:24">
      <c r="A3">
        <f>HYPERLINK("https://www.philgeps.gov.ph/GEPSNONPILOT/Tender/SplashBidNoticeAbstractUI.aspx?menuIndex=3&amp;refID=7114011&amp;Result=3","7114011")</f>
        <v>0</v>
      </c>
      <c r="B3" t="s">
        <v>25</v>
      </c>
      <c r="C3" t="s">
        <v>3767</v>
      </c>
      <c r="D3" t="s">
        <v>17952</v>
      </c>
      <c r="E3" t="s">
        <v>18061</v>
      </c>
      <c r="F3" t="s">
        <v>30900</v>
      </c>
      <c r="G3" t="s">
        <v>30907</v>
      </c>
      <c r="H3" t="s">
        <v>30916</v>
      </c>
      <c r="I3" t="s">
        <v>30918</v>
      </c>
      <c r="J3" t="s">
        <v>31041</v>
      </c>
      <c r="K3" t="s">
        <v>40280</v>
      </c>
      <c r="M3" t="s">
        <v>40571</v>
      </c>
      <c r="N3" t="s">
        <v>44759</v>
      </c>
      <c r="O3" t="s">
        <v>44760</v>
      </c>
      <c r="P3">
        <v>0</v>
      </c>
      <c r="Q3">
        <v>0</v>
      </c>
      <c r="R3" t="s">
        <v>44761</v>
      </c>
      <c r="S3" t="s">
        <v>44862</v>
      </c>
      <c r="T3" t="s">
        <v>46350</v>
      </c>
      <c r="U3" t="s">
        <v>46956</v>
      </c>
      <c r="W3" t="s">
        <v>40571</v>
      </c>
      <c r="X3" t="s">
        <v>44781</v>
      </c>
    </row>
    <row r="4" spans="1:24">
      <c r="A4">
        <f>HYPERLINK("https://www.philgeps.gov.ph/GEPSNONPILOT/Tender/SplashBidNoticeAbstractUI.aspx?menuIndex=3&amp;refID=7112299&amp;Result=3","7112299")</f>
        <v>0</v>
      </c>
      <c r="B4" t="s">
        <v>26</v>
      </c>
      <c r="C4" t="s">
        <v>3768</v>
      </c>
      <c r="D4" t="s">
        <v>17953</v>
      </c>
      <c r="E4" t="s">
        <v>18062</v>
      </c>
      <c r="F4" t="s">
        <v>30900</v>
      </c>
      <c r="G4" t="s">
        <v>30908</v>
      </c>
      <c r="H4" t="s">
        <v>30916</v>
      </c>
      <c r="I4" t="s">
        <v>4142</v>
      </c>
      <c r="J4" t="s">
        <v>31042</v>
      </c>
      <c r="K4" t="s">
        <v>40281</v>
      </c>
      <c r="M4" t="s">
        <v>40572</v>
      </c>
      <c r="N4" t="s">
        <v>44759</v>
      </c>
      <c r="O4" t="s">
        <v>44760</v>
      </c>
      <c r="P4">
        <v>0</v>
      </c>
      <c r="Q4">
        <v>0</v>
      </c>
      <c r="R4" t="s">
        <v>44761</v>
      </c>
      <c r="S4" t="s">
        <v>44862</v>
      </c>
      <c r="T4" t="s">
        <v>46351</v>
      </c>
      <c r="U4" t="s">
        <v>46957</v>
      </c>
      <c r="W4" t="s">
        <v>40572</v>
      </c>
      <c r="X4" t="s">
        <v>44782</v>
      </c>
    </row>
    <row r="5" spans="1:24">
      <c r="A5">
        <f>HYPERLINK("https://www.philgeps.gov.ph/GEPSNONPILOT/Tender/SplashBidNoticeAbstractUI.aspx?menuIndex=3&amp;refID=7136460&amp;Result=3","7136460")</f>
        <v>0</v>
      </c>
      <c r="B5" t="s">
        <v>27</v>
      </c>
      <c r="C5" t="s">
        <v>3769</v>
      </c>
      <c r="D5" t="s">
        <v>17954</v>
      </c>
      <c r="E5" t="s">
        <v>18063</v>
      </c>
      <c r="F5" t="s">
        <v>30900</v>
      </c>
      <c r="G5" t="s">
        <v>30907</v>
      </c>
      <c r="H5" t="s">
        <v>30915</v>
      </c>
      <c r="I5" t="s">
        <v>30919</v>
      </c>
      <c r="J5" t="s">
        <v>31043</v>
      </c>
      <c r="K5" t="s">
        <v>40282</v>
      </c>
      <c r="M5" t="s">
        <v>40573</v>
      </c>
      <c r="N5" t="s">
        <v>44759</v>
      </c>
      <c r="O5" t="s">
        <v>44760</v>
      </c>
      <c r="P5">
        <v>0</v>
      </c>
      <c r="Q5">
        <v>0</v>
      </c>
      <c r="R5" t="s">
        <v>44761</v>
      </c>
      <c r="S5" t="s">
        <v>44862</v>
      </c>
      <c r="T5" t="s">
        <v>46352</v>
      </c>
      <c r="U5" t="s">
        <v>46958</v>
      </c>
      <c r="W5" t="s">
        <v>40573</v>
      </c>
      <c r="X5" t="s">
        <v>44770</v>
      </c>
    </row>
    <row r="6" spans="1:24">
      <c r="A6">
        <f>HYPERLINK("https://www.philgeps.gov.ph/GEPSNONPILOT/Tender/SplashBidNoticeAbstractUI.aspx?menuIndex=3&amp;refID=7120154-2&amp;Result=3","7120154-2")</f>
        <v>0</v>
      </c>
      <c r="B6" t="s">
        <v>28</v>
      </c>
      <c r="C6" t="s">
        <v>3770</v>
      </c>
      <c r="D6" t="s">
        <v>17955</v>
      </c>
      <c r="E6" t="s">
        <v>18064</v>
      </c>
      <c r="F6" t="s">
        <v>30900</v>
      </c>
      <c r="G6" t="s">
        <v>30907</v>
      </c>
      <c r="H6" t="s">
        <v>7411</v>
      </c>
      <c r="I6" t="s">
        <v>7411</v>
      </c>
      <c r="J6" t="s">
        <v>31044</v>
      </c>
      <c r="K6" t="s">
        <v>40280</v>
      </c>
      <c r="M6" t="s">
        <v>40574</v>
      </c>
      <c r="N6" t="s">
        <v>44759</v>
      </c>
      <c r="O6" t="s">
        <v>44760</v>
      </c>
      <c r="P6">
        <v>0</v>
      </c>
      <c r="Q6">
        <v>0</v>
      </c>
      <c r="R6" t="s">
        <v>44761</v>
      </c>
      <c r="S6" t="s">
        <v>44862</v>
      </c>
      <c r="T6" t="s">
        <v>46353</v>
      </c>
      <c r="U6" t="s">
        <v>46959</v>
      </c>
      <c r="W6" t="s">
        <v>40574</v>
      </c>
      <c r="X6" t="s">
        <v>44762</v>
      </c>
    </row>
    <row r="7" spans="1:24">
      <c r="A7">
        <f>HYPERLINK("https://www.philgeps.gov.ph/GEPSNONPILOT/Tender/SplashBidNoticeAbstractUI.aspx?menuIndex=3&amp;refID=6969461&amp;Result=3","6969461")</f>
        <v>0</v>
      </c>
      <c r="B7" t="s">
        <v>29</v>
      </c>
      <c r="C7" t="s">
        <v>3771</v>
      </c>
      <c r="D7" t="s">
        <v>17956</v>
      </c>
      <c r="E7" t="s">
        <v>18065</v>
      </c>
      <c r="F7" t="s">
        <v>30900</v>
      </c>
      <c r="G7" t="s">
        <v>30907</v>
      </c>
      <c r="H7" t="s">
        <v>30917</v>
      </c>
      <c r="I7" t="s">
        <v>30920</v>
      </c>
      <c r="J7" t="s">
        <v>31045</v>
      </c>
      <c r="K7" t="s">
        <v>40283</v>
      </c>
      <c r="M7" t="s">
        <v>40575</v>
      </c>
      <c r="N7" t="s">
        <v>44759</v>
      </c>
      <c r="O7" t="s">
        <v>44760</v>
      </c>
      <c r="P7">
        <v>0</v>
      </c>
      <c r="Q7">
        <v>0</v>
      </c>
      <c r="R7" t="s">
        <v>44761</v>
      </c>
      <c r="S7" t="s">
        <v>44862</v>
      </c>
      <c r="T7" t="s">
        <v>46354</v>
      </c>
      <c r="U7" t="s">
        <v>46960</v>
      </c>
      <c r="W7" t="s">
        <v>40575</v>
      </c>
      <c r="X7" t="s">
        <v>60953</v>
      </c>
    </row>
    <row r="8" spans="1:24">
      <c r="A8">
        <f>HYPERLINK("https://www.philgeps.gov.ph/GEPSNONPILOT/Tender/SplashBidNoticeAbstractUI.aspx?menuIndex=3&amp;refID=7143454&amp;Result=3","7143454")</f>
        <v>0</v>
      </c>
      <c r="B8" t="s">
        <v>30</v>
      </c>
      <c r="C8" t="s">
        <v>3772</v>
      </c>
      <c r="D8" t="s">
        <v>17957</v>
      </c>
      <c r="E8" t="s">
        <v>18066</v>
      </c>
      <c r="F8" t="s">
        <v>30900</v>
      </c>
      <c r="G8" t="s">
        <v>30907</v>
      </c>
      <c r="H8" t="s">
        <v>30915</v>
      </c>
      <c r="I8" t="s">
        <v>30919</v>
      </c>
      <c r="J8" t="s">
        <v>31046</v>
      </c>
      <c r="K8" t="s">
        <v>40280</v>
      </c>
      <c r="M8" t="s">
        <v>40576</v>
      </c>
      <c r="N8" t="s">
        <v>44759</v>
      </c>
      <c r="O8" t="s">
        <v>44760</v>
      </c>
      <c r="P8">
        <v>0</v>
      </c>
      <c r="Q8">
        <v>0</v>
      </c>
      <c r="R8" t="s">
        <v>44761</v>
      </c>
      <c r="S8" t="s">
        <v>44862</v>
      </c>
      <c r="T8" t="s">
        <v>46355</v>
      </c>
      <c r="U8" t="s">
        <v>46961</v>
      </c>
      <c r="W8" t="s">
        <v>40576</v>
      </c>
      <c r="X8" t="s">
        <v>44768</v>
      </c>
    </row>
    <row r="9" spans="1:24">
      <c r="A9">
        <f>HYPERLINK("https://www.philgeps.gov.ph/GEPSNONPILOT/Tender/SplashBidNoticeAbstractUI.aspx?menuIndex=3&amp;refID=7136372&amp;Result=3","7136372")</f>
        <v>0</v>
      </c>
      <c r="B9" t="s">
        <v>27</v>
      </c>
      <c r="C9" t="s">
        <v>3769</v>
      </c>
      <c r="D9" t="s">
        <v>17954</v>
      </c>
      <c r="E9" t="s">
        <v>18067</v>
      </c>
      <c r="F9" t="s">
        <v>30900</v>
      </c>
      <c r="G9" t="s">
        <v>30907</v>
      </c>
      <c r="H9" t="s">
        <v>30915</v>
      </c>
      <c r="I9" t="s">
        <v>30919</v>
      </c>
      <c r="J9" t="s">
        <v>31047</v>
      </c>
      <c r="K9" t="s">
        <v>40284</v>
      </c>
      <c r="M9" t="s">
        <v>40573</v>
      </c>
      <c r="N9" t="s">
        <v>44759</v>
      </c>
      <c r="O9" t="s">
        <v>44760</v>
      </c>
      <c r="P9">
        <v>0</v>
      </c>
      <c r="Q9">
        <v>0</v>
      </c>
      <c r="R9" t="s">
        <v>44761</v>
      </c>
      <c r="S9" t="s">
        <v>44862</v>
      </c>
      <c r="T9" t="s">
        <v>46352</v>
      </c>
      <c r="U9" t="s">
        <v>46962</v>
      </c>
      <c r="W9" t="s">
        <v>40573</v>
      </c>
      <c r="X9" t="s">
        <v>44770</v>
      </c>
    </row>
    <row r="10" spans="1:24">
      <c r="A10">
        <f>HYPERLINK("https://www.philgeps.gov.ph/GEPSNONPILOT/Tender/SplashBidNoticeAbstractUI.aspx?menuIndex=3&amp;refID=7142325&amp;Result=3","7142325")</f>
        <v>0</v>
      </c>
      <c r="B10" t="s">
        <v>31</v>
      </c>
      <c r="C10" t="s">
        <v>3773</v>
      </c>
      <c r="D10" t="s">
        <v>17958</v>
      </c>
      <c r="E10" t="s">
        <v>18068</v>
      </c>
      <c r="F10" t="s">
        <v>30900</v>
      </c>
      <c r="G10" t="s">
        <v>30909</v>
      </c>
      <c r="H10" t="s">
        <v>30916</v>
      </c>
      <c r="I10" t="s">
        <v>4142</v>
      </c>
      <c r="J10" t="s">
        <v>31048</v>
      </c>
      <c r="K10" t="s">
        <v>40285</v>
      </c>
      <c r="M10" t="s">
        <v>40577</v>
      </c>
      <c r="N10" t="s">
        <v>44759</v>
      </c>
      <c r="O10" t="s">
        <v>44760</v>
      </c>
      <c r="P10">
        <v>0</v>
      </c>
      <c r="Q10">
        <v>0</v>
      </c>
      <c r="R10" t="s">
        <v>44761</v>
      </c>
      <c r="S10" t="s">
        <v>44862</v>
      </c>
      <c r="T10" t="s">
        <v>46356</v>
      </c>
      <c r="U10" t="s">
        <v>46963</v>
      </c>
      <c r="V10" t="s">
        <v>59091</v>
      </c>
      <c r="W10" t="s">
        <v>40577</v>
      </c>
      <c r="X10" t="s">
        <v>44768</v>
      </c>
    </row>
    <row r="11" spans="1:24">
      <c r="A11">
        <f>HYPERLINK("https://www.philgeps.gov.ph/GEPSNONPILOT/Tender/SplashBidNoticeAbstractUI.aspx?menuIndex=3&amp;refID=7138952&amp;Result=3","7138952")</f>
        <v>0</v>
      </c>
      <c r="B11" t="s">
        <v>32</v>
      </c>
      <c r="C11" t="s">
        <v>3774</v>
      </c>
      <c r="D11" t="s">
        <v>17959</v>
      </c>
      <c r="E11" t="s">
        <v>18069</v>
      </c>
      <c r="F11" t="s">
        <v>30900</v>
      </c>
      <c r="G11" t="s">
        <v>30909</v>
      </c>
      <c r="H11" t="s">
        <v>30915</v>
      </c>
      <c r="I11" t="s">
        <v>30919</v>
      </c>
      <c r="J11" t="s">
        <v>31048</v>
      </c>
      <c r="K11" t="s">
        <v>40284</v>
      </c>
      <c r="M11" t="s">
        <v>40578</v>
      </c>
      <c r="N11" t="s">
        <v>44759</v>
      </c>
      <c r="O11" t="s">
        <v>44760</v>
      </c>
      <c r="P11">
        <v>0</v>
      </c>
      <c r="Q11">
        <v>0</v>
      </c>
      <c r="R11" t="s">
        <v>44761</v>
      </c>
      <c r="S11" t="s">
        <v>44862</v>
      </c>
      <c r="T11" t="s">
        <v>46357</v>
      </c>
      <c r="U11" t="s">
        <v>46964</v>
      </c>
      <c r="W11" t="s">
        <v>40578</v>
      </c>
      <c r="X11" t="s">
        <v>44769</v>
      </c>
    </row>
    <row r="12" spans="1:24">
      <c r="A12">
        <f>HYPERLINK("https://www.philgeps.gov.ph/GEPSNONPILOT/Tender/SplashBidNoticeAbstractUI.aspx?menuIndex=3&amp;refID=7142298&amp;Result=3","7142298")</f>
        <v>0</v>
      </c>
      <c r="B12" t="s">
        <v>31</v>
      </c>
      <c r="C12" t="s">
        <v>3775</v>
      </c>
      <c r="D12" t="s">
        <v>17958</v>
      </c>
      <c r="E12" t="s">
        <v>18070</v>
      </c>
      <c r="F12" t="s">
        <v>30900</v>
      </c>
      <c r="G12" t="s">
        <v>30909</v>
      </c>
      <c r="H12" t="s">
        <v>30916</v>
      </c>
      <c r="I12" t="s">
        <v>30921</v>
      </c>
      <c r="J12" t="s">
        <v>31049</v>
      </c>
      <c r="K12" t="s">
        <v>40285</v>
      </c>
      <c r="M12" t="s">
        <v>40577</v>
      </c>
      <c r="N12" t="s">
        <v>44759</v>
      </c>
      <c r="O12" t="s">
        <v>44760</v>
      </c>
      <c r="P12">
        <v>0</v>
      </c>
      <c r="Q12">
        <v>0</v>
      </c>
      <c r="R12" t="s">
        <v>44761</v>
      </c>
      <c r="S12" t="s">
        <v>44862</v>
      </c>
      <c r="T12" t="s">
        <v>46356</v>
      </c>
      <c r="U12" t="s">
        <v>46965</v>
      </c>
      <c r="V12" t="s">
        <v>59091</v>
      </c>
      <c r="W12" t="s">
        <v>40577</v>
      </c>
      <c r="X12" t="s">
        <v>44768</v>
      </c>
    </row>
    <row r="13" spans="1:24">
      <c r="A13">
        <f>HYPERLINK("https://www.philgeps.gov.ph/GEPSNONPILOT/Tender/SplashBidNoticeAbstractUI.aspx?menuIndex=3&amp;refID=7142226&amp;Result=3","7142226")</f>
        <v>0</v>
      </c>
      <c r="B13" t="s">
        <v>31</v>
      </c>
      <c r="C13" t="s">
        <v>3776</v>
      </c>
      <c r="D13" t="s">
        <v>17958</v>
      </c>
      <c r="E13" t="s">
        <v>18071</v>
      </c>
      <c r="F13" t="s">
        <v>30900</v>
      </c>
      <c r="G13" t="s">
        <v>30909</v>
      </c>
      <c r="H13" t="s">
        <v>30916</v>
      </c>
      <c r="I13" t="s">
        <v>30921</v>
      </c>
      <c r="J13" t="s">
        <v>31050</v>
      </c>
      <c r="K13" t="s">
        <v>40285</v>
      </c>
      <c r="M13" t="s">
        <v>40577</v>
      </c>
      <c r="N13" t="s">
        <v>44759</v>
      </c>
      <c r="O13" t="s">
        <v>44760</v>
      </c>
      <c r="P13">
        <v>0</v>
      </c>
      <c r="Q13">
        <v>0</v>
      </c>
      <c r="R13" t="s">
        <v>44761</v>
      </c>
      <c r="S13" t="s">
        <v>44862</v>
      </c>
      <c r="T13" t="s">
        <v>46356</v>
      </c>
      <c r="U13" t="s">
        <v>46966</v>
      </c>
      <c r="V13" t="s">
        <v>59092</v>
      </c>
      <c r="W13" t="s">
        <v>40577</v>
      </c>
      <c r="X13" t="s">
        <v>44768</v>
      </c>
    </row>
    <row r="14" spans="1:24">
      <c r="A14">
        <f>HYPERLINK("https://www.philgeps.gov.ph/GEPSNONPILOT/Tender/SplashBidNoticeAbstractUI.aspx?menuIndex=3&amp;refID=7140874&amp;Result=3","7140874")</f>
        <v>0</v>
      </c>
      <c r="B14" t="s">
        <v>33</v>
      </c>
      <c r="C14" t="s">
        <v>3777</v>
      </c>
      <c r="D14" t="s">
        <v>17960</v>
      </c>
      <c r="E14" t="s">
        <v>18072</v>
      </c>
      <c r="F14" t="s">
        <v>30900</v>
      </c>
      <c r="G14" t="s">
        <v>30907</v>
      </c>
      <c r="H14" t="s">
        <v>30916</v>
      </c>
      <c r="I14" t="s">
        <v>30922</v>
      </c>
      <c r="J14" t="s">
        <v>31051</v>
      </c>
      <c r="K14" t="s">
        <v>40286</v>
      </c>
      <c r="M14" t="s">
        <v>40579</v>
      </c>
      <c r="N14" t="s">
        <v>44759</v>
      </c>
      <c r="O14" t="s">
        <v>44760</v>
      </c>
      <c r="P14">
        <v>0</v>
      </c>
      <c r="Q14">
        <v>0</v>
      </c>
      <c r="R14" t="s">
        <v>44761</v>
      </c>
      <c r="S14" t="s">
        <v>44862</v>
      </c>
      <c r="T14" t="s">
        <v>46358</v>
      </c>
      <c r="U14" t="s">
        <v>46967</v>
      </c>
      <c r="W14" t="s">
        <v>40579</v>
      </c>
      <c r="X14" t="s">
        <v>44769</v>
      </c>
    </row>
    <row r="15" spans="1:24">
      <c r="A15">
        <f>HYPERLINK("https://www.philgeps.gov.ph/GEPSNONPILOT/Tender/SplashBidNoticeAbstractUI.aspx?menuIndex=3&amp;refID=7140218&amp;Result=3","7140218")</f>
        <v>0</v>
      </c>
      <c r="B15" t="s">
        <v>34</v>
      </c>
      <c r="C15" t="s">
        <v>3778</v>
      </c>
      <c r="D15" t="s">
        <v>17961</v>
      </c>
      <c r="E15" t="s">
        <v>18073</v>
      </c>
      <c r="F15" t="s">
        <v>30900</v>
      </c>
      <c r="G15" t="s">
        <v>30907</v>
      </c>
      <c r="H15" t="s">
        <v>30916</v>
      </c>
      <c r="I15" t="s">
        <v>4454</v>
      </c>
      <c r="J15" t="s">
        <v>31052</v>
      </c>
      <c r="K15" t="s">
        <v>40284</v>
      </c>
      <c r="M15" t="s">
        <v>40580</v>
      </c>
      <c r="N15" t="s">
        <v>44759</v>
      </c>
      <c r="O15" t="s">
        <v>44760</v>
      </c>
      <c r="P15">
        <v>0</v>
      </c>
      <c r="Q15">
        <v>0</v>
      </c>
      <c r="R15" t="s">
        <v>44761</v>
      </c>
      <c r="S15" t="s">
        <v>44862</v>
      </c>
      <c r="T15" t="s">
        <v>46359</v>
      </c>
      <c r="U15" t="s">
        <v>46968</v>
      </c>
      <c r="V15" t="s">
        <v>59093</v>
      </c>
      <c r="W15" t="s">
        <v>40580</v>
      </c>
      <c r="X15" t="s">
        <v>44769</v>
      </c>
    </row>
    <row r="16" spans="1:24">
      <c r="A16">
        <f>HYPERLINK("https://www.philgeps.gov.ph/GEPSNONPILOT/Tender/SplashBidNoticeAbstractUI.aspx?menuIndex=3&amp;refID=7142380&amp;Result=3","7142380")</f>
        <v>0</v>
      </c>
      <c r="B16" t="s">
        <v>35</v>
      </c>
      <c r="C16" t="s">
        <v>3779</v>
      </c>
      <c r="D16" t="s">
        <v>17962</v>
      </c>
      <c r="E16" t="s">
        <v>18074</v>
      </c>
      <c r="F16" t="s">
        <v>30900</v>
      </c>
      <c r="G16" t="s">
        <v>30907</v>
      </c>
      <c r="H16" t="s">
        <v>30916</v>
      </c>
      <c r="I16" t="s">
        <v>4142</v>
      </c>
      <c r="J16" t="s">
        <v>31053</v>
      </c>
      <c r="K16" t="s">
        <v>40283</v>
      </c>
      <c r="M16" t="s">
        <v>40581</v>
      </c>
      <c r="N16" t="s">
        <v>44759</v>
      </c>
      <c r="O16" t="s">
        <v>44760</v>
      </c>
      <c r="P16">
        <v>0</v>
      </c>
      <c r="Q16">
        <v>0</v>
      </c>
      <c r="R16" t="s">
        <v>44761</v>
      </c>
      <c r="S16" t="s">
        <v>44862</v>
      </c>
      <c r="T16" t="s">
        <v>46360</v>
      </c>
      <c r="U16" t="s">
        <v>46969</v>
      </c>
      <c r="V16" t="s">
        <v>59094</v>
      </c>
      <c r="W16" t="s">
        <v>40581</v>
      </c>
      <c r="X16" t="s">
        <v>44768</v>
      </c>
    </row>
    <row r="17" spans="1:24">
      <c r="A17">
        <f>HYPERLINK("https://www.philgeps.gov.ph/GEPSNONPILOT/Tender/SplashBidNoticeAbstractUI.aspx?menuIndex=3&amp;refID=7144084&amp;Result=3","7144084")</f>
        <v>0</v>
      </c>
      <c r="B17" t="s">
        <v>36</v>
      </c>
      <c r="C17" t="s">
        <v>3780</v>
      </c>
      <c r="D17" t="s">
        <v>17963</v>
      </c>
      <c r="E17" t="s">
        <v>18075</v>
      </c>
      <c r="F17" t="s">
        <v>30900</v>
      </c>
      <c r="G17" t="s">
        <v>30907</v>
      </c>
      <c r="H17" t="s">
        <v>30916</v>
      </c>
      <c r="I17" t="s">
        <v>4545</v>
      </c>
      <c r="J17" t="s">
        <v>31054</v>
      </c>
      <c r="K17" t="s">
        <v>40287</v>
      </c>
      <c r="M17" t="s">
        <v>40582</v>
      </c>
      <c r="N17" t="s">
        <v>44759</v>
      </c>
      <c r="O17" t="s">
        <v>44760</v>
      </c>
      <c r="P17">
        <v>0</v>
      </c>
      <c r="Q17">
        <v>0</v>
      </c>
      <c r="R17" t="s">
        <v>44761</v>
      </c>
      <c r="S17" t="s">
        <v>44862</v>
      </c>
      <c r="T17" t="s">
        <v>46361</v>
      </c>
      <c r="U17" t="s">
        <v>46970</v>
      </c>
      <c r="W17" t="s">
        <v>40582</v>
      </c>
      <c r="X17" t="s">
        <v>44768</v>
      </c>
    </row>
    <row r="18" spans="1:24">
      <c r="A18">
        <f>HYPERLINK("https://www.philgeps.gov.ph/GEPSNONPILOT/Tender/SplashBidNoticeAbstractUI.aspx?menuIndex=3&amp;refID=7143915&amp;Result=3","7143915")</f>
        <v>0</v>
      </c>
      <c r="B18" t="s">
        <v>37</v>
      </c>
      <c r="C18" t="s">
        <v>3781</v>
      </c>
      <c r="D18" t="s">
        <v>17953</v>
      </c>
      <c r="E18" t="s">
        <v>18076</v>
      </c>
      <c r="F18" t="s">
        <v>30900</v>
      </c>
      <c r="G18" t="s">
        <v>30908</v>
      </c>
      <c r="H18" t="s">
        <v>30916</v>
      </c>
      <c r="I18" t="s">
        <v>6396</v>
      </c>
      <c r="J18" t="s">
        <v>31055</v>
      </c>
      <c r="K18" t="s">
        <v>40288</v>
      </c>
      <c r="M18" t="s">
        <v>40583</v>
      </c>
      <c r="N18" t="s">
        <v>44759</v>
      </c>
      <c r="O18" t="s">
        <v>44760</v>
      </c>
      <c r="P18">
        <v>0</v>
      </c>
      <c r="Q18">
        <v>0</v>
      </c>
      <c r="R18" t="s">
        <v>44761</v>
      </c>
      <c r="S18" t="s">
        <v>44862</v>
      </c>
      <c r="T18" t="s">
        <v>46362</v>
      </c>
      <c r="U18" t="s">
        <v>46971</v>
      </c>
      <c r="W18" t="s">
        <v>40583</v>
      </c>
      <c r="X18" t="s">
        <v>44768</v>
      </c>
    </row>
    <row r="19" spans="1:24">
      <c r="A19">
        <f>HYPERLINK("https://www.philgeps.gov.ph/GEPSNONPILOT/Tender/SplashBidNoticeAbstractUI.aspx?menuIndex=3&amp;refID=7112240&amp;Result=3","7112240")</f>
        <v>0</v>
      </c>
      <c r="B19" t="s">
        <v>26</v>
      </c>
      <c r="C19" t="s">
        <v>3782</v>
      </c>
      <c r="D19" t="s">
        <v>17953</v>
      </c>
      <c r="E19" t="s">
        <v>18077</v>
      </c>
      <c r="F19" t="s">
        <v>30900</v>
      </c>
      <c r="G19" t="s">
        <v>30908</v>
      </c>
      <c r="H19" t="s">
        <v>30916</v>
      </c>
      <c r="I19" t="s">
        <v>6396</v>
      </c>
      <c r="J19" t="s">
        <v>31056</v>
      </c>
      <c r="K19" t="s">
        <v>40281</v>
      </c>
      <c r="M19" t="s">
        <v>40572</v>
      </c>
      <c r="N19" t="s">
        <v>44759</v>
      </c>
      <c r="O19" t="s">
        <v>44760</v>
      </c>
      <c r="P19">
        <v>0</v>
      </c>
      <c r="Q19">
        <v>0</v>
      </c>
      <c r="R19" t="s">
        <v>44761</v>
      </c>
      <c r="S19" t="s">
        <v>44862</v>
      </c>
      <c r="T19" t="s">
        <v>46351</v>
      </c>
      <c r="U19" t="s">
        <v>46972</v>
      </c>
      <c r="W19" t="s">
        <v>40572</v>
      </c>
      <c r="X19" t="s">
        <v>44782</v>
      </c>
    </row>
    <row r="20" spans="1:24">
      <c r="A20">
        <f>HYPERLINK("https://www.philgeps.gov.ph/GEPSNONPILOT/Tender/SplashBidNoticeAbstractUI.aspx?menuIndex=3&amp;refID=7141731&amp;Result=3","7141731")</f>
        <v>0</v>
      </c>
      <c r="B20" t="s">
        <v>38</v>
      </c>
      <c r="C20" t="s">
        <v>3783</v>
      </c>
      <c r="D20" t="s">
        <v>17964</v>
      </c>
      <c r="E20" t="s">
        <v>18078</v>
      </c>
      <c r="F20" t="s">
        <v>30900</v>
      </c>
      <c r="G20" t="s">
        <v>30909</v>
      </c>
      <c r="H20" t="s">
        <v>30916</v>
      </c>
      <c r="I20" t="s">
        <v>4142</v>
      </c>
      <c r="J20" t="s">
        <v>31057</v>
      </c>
      <c r="K20" t="s">
        <v>40287</v>
      </c>
      <c r="M20" t="s">
        <v>40584</v>
      </c>
      <c r="N20" t="s">
        <v>44759</v>
      </c>
      <c r="O20" t="s">
        <v>44760</v>
      </c>
      <c r="P20">
        <v>0</v>
      </c>
      <c r="Q20">
        <v>0</v>
      </c>
      <c r="R20" t="s">
        <v>44761</v>
      </c>
      <c r="S20" t="s">
        <v>44862</v>
      </c>
      <c r="T20" t="s">
        <v>46363</v>
      </c>
      <c r="U20" t="s">
        <v>46973</v>
      </c>
      <c r="W20" t="s">
        <v>40584</v>
      </c>
      <c r="X20" t="s">
        <v>44769</v>
      </c>
    </row>
    <row r="21" spans="1:24">
      <c r="A21">
        <f>HYPERLINK("https://www.philgeps.gov.ph/GEPSNONPILOT/Tender/SplashBidNoticeAbstractUI.aspx?menuIndex=3&amp;refID=7145963&amp;Result=3","7145963")</f>
        <v>0</v>
      </c>
      <c r="B21" t="s">
        <v>39</v>
      </c>
      <c r="C21" t="s">
        <v>3784</v>
      </c>
      <c r="E21" t="s">
        <v>18079</v>
      </c>
      <c r="F21" t="s">
        <v>30900</v>
      </c>
      <c r="G21" t="s">
        <v>30907</v>
      </c>
      <c r="H21" t="s">
        <v>30916</v>
      </c>
      <c r="I21" t="s">
        <v>30918</v>
      </c>
      <c r="J21" t="s">
        <v>31058</v>
      </c>
      <c r="K21" t="s">
        <v>40289</v>
      </c>
      <c r="M21" t="s">
        <v>40585</v>
      </c>
      <c r="N21" t="s">
        <v>44759</v>
      </c>
      <c r="O21" t="s">
        <v>44760</v>
      </c>
      <c r="P21">
        <v>0</v>
      </c>
      <c r="Q21">
        <v>0</v>
      </c>
      <c r="R21" t="s">
        <v>44761</v>
      </c>
      <c r="S21" t="s">
        <v>44862</v>
      </c>
      <c r="T21" t="s">
        <v>46350</v>
      </c>
      <c r="U21" t="s">
        <v>46974</v>
      </c>
      <c r="W21" t="s">
        <v>40585</v>
      </c>
      <c r="X21" t="s">
        <v>44767</v>
      </c>
    </row>
    <row r="22" spans="1:24">
      <c r="A22">
        <f>HYPERLINK("https://www.philgeps.gov.ph/GEPSNONPILOT/Tender/SplashBidNoticeAbstractUI.aspx?menuIndex=3&amp;refID=7145941&amp;Result=3","7145941")</f>
        <v>0</v>
      </c>
      <c r="B22" t="s">
        <v>39</v>
      </c>
      <c r="C22" t="s">
        <v>3785</v>
      </c>
      <c r="E22" t="s">
        <v>18080</v>
      </c>
      <c r="F22" t="s">
        <v>30900</v>
      </c>
      <c r="G22" t="s">
        <v>30907</v>
      </c>
      <c r="H22" t="s">
        <v>30916</v>
      </c>
      <c r="I22" t="s">
        <v>30918</v>
      </c>
      <c r="J22" t="s">
        <v>31059</v>
      </c>
      <c r="K22" t="s">
        <v>40289</v>
      </c>
      <c r="M22" t="s">
        <v>40585</v>
      </c>
      <c r="N22" t="s">
        <v>44759</v>
      </c>
      <c r="O22" t="s">
        <v>44760</v>
      </c>
      <c r="P22">
        <v>0</v>
      </c>
      <c r="Q22">
        <v>0</v>
      </c>
      <c r="R22" t="s">
        <v>44761</v>
      </c>
      <c r="S22" t="s">
        <v>44862</v>
      </c>
      <c r="T22" t="s">
        <v>46350</v>
      </c>
      <c r="U22" t="s">
        <v>46975</v>
      </c>
      <c r="W22" t="s">
        <v>40585</v>
      </c>
      <c r="X22" t="s">
        <v>44767</v>
      </c>
    </row>
    <row r="23" spans="1:24">
      <c r="A23">
        <f>HYPERLINK("https://www.philgeps.gov.ph/GEPSNONPILOT/Tender/SplashBidNoticeAbstractUI.aspx?menuIndex=3&amp;refID=7144372&amp;Result=3","7144372")</f>
        <v>0</v>
      </c>
      <c r="B23" t="s">
        <v>40</v>
      </c>
      <c r="C23" t="s">
        <v>3786</v>
      </c>
      <c r="D23" t="s">
        <v>17965</v>
      </c>
      <c r="E23" t="s">
        <v>18081</v>
      </c>
      <c r="F23" t="s">
        <v>30900</v>
      </c>
      <c r="G23" t="s">
        <v>30907</v>
      </c>
      <c r="H23" t="s">
        <v>30916</v>
      </c>
      <c r="I23" t="s">
        <v>30923</v>
      </c>
      <c r="J23" t="s">
        <v>31060</v>
      </c>
      <c r="K23" t="s">
        <v>40284</v>
      </c>
      <c r="M23" t="s">
        <v>40586</v>
      </c>
      <c r="N23" t="s">
        <v>44759</v>
      </c>
      <c r="O23" t="s">
        <v>44760</v>
      </c>
      <c r="P23">
        <v>0</v>
      </c>
      <c r="Q23">
        <v>0</v>
      </c>
      <c r="R23" t="s">
        <v>44761</v>
      </c>
      <c r="S23" t="s">
        <v>44862</v>
      </c>
      <c r="T23" t="s">
        <v>46364</v>
      </c>
      <c r="U23" t="s">
        <v>46976</v>
      </c>
      <c r="W23" t="s">
        <v>40586</v>
      </c>
      <c r="X23" t="s">
        <v>44768</v>
      </c>
    </row>
    <row r="24" spans="1:24">
      <c r="A24">
        <f>HYPERLINK("https://www.philgeps.gov.ph/GEPSNONPILOT/Tender/SplashBidNoticeAbstractUI.aspx?menuIndex=3&amp;refID=7146655&amp;Result=3","7146655")</f>
        <v>0</v>
      </c>
      <c r="B24" t="s">
        <v>41</v>
      </c>
      <c r="C24" t="s">
        <v>3787</v>
      </c>
      <c r="D24" t="s">
        <v>17966</v>
      </c>
      <c r="E24" t="s">
        <v>18082</v>
      </c>
      <c r="F24" t="s">
        <v>30900</v>
      </c>
      <c r="G24" t="s">
        <v>30907</v>
      </c>
      <c r="H24" t="s">
        <v>30915</v>
      </c>
      <c r="I24" t="s">
        <v>30919</v>
      </c>
      <c r="J24" t="s">
        <v>31061</v>
      </c>
      <c r="K24" t="s">
        <v>40290</v>
      </c>
      <c r="M24" t="s">
        <v>40587</v>
      </c>
      <c r="N24" t="s">
        <v>44759</v>
      </c>
      <c r="O24" t="s">
        <v>44760</v>
      </c>
      <c r="P24">
        <v>0</v>
      </c>
      <c r="Q24">
        <v>0</v>
      </c>
      <c r="R24" t="s">
        <v>44761</v>
      </c>
      <c r="S24" t="s">
        <v>44862</v>
      </c>
      <c r="T24" t="s">
        <v>46365</v>
      </c>
      <c r="U24" t="s">
        <v>46977</v>
      </c>
      <c r="V24" t="s">
        <v>59095</v>
      </c>
      <c r="W24" t="s">
        <v>40587</v>
      </c>
      <c r="X24" t="s">
        <v>44767</v>
      </c>
    </row>
    <row r="25" spans="1:24">
      <c r="A25">
        <f>HYPERLINK("https://www.philgeps.gov.ph/GEPSNONPILOT/Tender/SplashBidNoticeAbstractUI.aspx?menuIndex=3&amp;refID=7146558&amp;Result=3","7146558")</f>
        <v>0</v>
      </c>
      <c r="B25" t="s">
        <v>42</v>
      </c>
      <c r="C25" t="s">
        <v>3788</v>
      </c>
      <c r="D25" t="s">
        <v>17967</v>
      </c>
      <c r="E25" t="s">
        <v>18083</v>
      </c>
      <c r="F25" t="s">
        <v>30900</v>
      </c>
      <c r="G25" t="s">
        <v>30907</v>
      </c>
      <c r="H25" t="s">
        <v>30916</v>
      </c>
      <c r="I25" t="s">
        <v>4545</v>
      </c>
      <c r="J25" t="s">
        <v>31062</v>
      </c>
      <c r="K25" t="s">
        <v>40284</v>
      </c>
      <c r="M25" t="s">
        <v>40588</v>
      </c>
      <c r="N25" t="s">
        <v>44759</v>
      </c>
      <c r="O25" t="s">
        <v>44760</v>
      </c>
      <c r="P25">
        <v>0</v>
      </c>
      <c r="Q25">
        <v>0</v>
      </c>
      <c r="R25" t="s">
        <v>44761</v>
      </c>
      <c r="S25" t="s">
        <v>44862</v>
      </c>
      <c r="T25" t="s">
        <v>46366</v>
      </c>
      <c r="U25" t="s">
        <v>46978</v>
      </c>
      <c r="W25" t="s">
        <v>40588</v>
      </c>
      <c r="X25" t="s">
        <v>44767</v>
      </c>
    </row>
    <row r="26" spans="1:24">
      <c r="A26">
        <f>HYPERLINK("https://www.philgeps.gov.ph/GEPSNONPILOT/Tender/SplashBidNoticeAbstractUI.aspx?menuIndex=3&amp;refID=7126224&amp;Result=3","7126224")</f>
        <v>0</v>
      </c>
      <c r="B26" t="s">
        <v>43</v>
      </c>
      <c r="C26" t="s">
        <v>3789</v>
      </c>
      <c r="D26" t="s">
        <v>17968</v>
      </c>
      <c r="E26" t="s">
        <v>18084</v>
      </c>
      <c r="F26" t="s">
        <v>30900</v>
      </c>
      <c r="G26" t="s">
        <v>30907</v>
      </c>
      <c r="H26" t="s">
        <v>30916</v>
      </c>
      <c r="I26" t="s">
        <v>30924</v>
      </c>
      <c r="J26" t="s">
        <v>31063</v>
      </c>
      <c r="K26" t="s">
        <v>40280</v>
      </c>
      <c r="M26" t="s">
        <v>40589</v>
      </c>
      <c r="N26" t="s">
        <v>44759</v>
      </c>
      <c r="O26" t="s">
        <v>44760</v>
      </c>
      <c r="P26">
        <v>0</v>
      </c>
      <c r="Q26">
        <v>0</v>
      </c>
      <c r="R26" t="s">
        <v>44761</v>
      </c>
      <c r="S26" t="s">
        <v>44862</v>
      </c>
      <c r="T26" t="s">
        <v>46367</v>
      </c>
      <c r="U26" t="s">
        <v>46979</v>
      </c>
      <c r="V26" t="s">
        <v>59096</v>
      </c>
      <c r="W26" t="s">
        <v>40589</v>
      </c>
      <c r="X26" t="s">
        <v>44776</v>
      </c>
    </row>
    <row r="27" spans="1:24">
      <c r="A27">
        <f>HYPERLINK("https://www.philgeps.gov.ph/GEPSNONPILOT/Tender/SplashBidNoticeAbstractUI.aspx?menuIndex=3&amp;refID=7143540&amp;Result=3","7143540")</f>
        <v>0</v>
      </c>
      <c r="B27" t="s">
        <v>44</v>
      </c>
      <c r="C27" t="s">
        <v>3790</v>
      </c>
      <c r="D27" t="s">
        <v>17969</v>
      </c>
      <c r="E27" t="s">
        <v>18085</v>
      </c>
      <c r="F27" t="s">
        <v>30900</v>
      </c>
      <c r="G27" t="s">
        <v>30907</v>
      </c>
      <c r="H27" t="s">
        <v>30916</v>
      </c>
      <c r="I27" t="s">
        <v>6953</v>
      </c>
      <c r="J27" t="s">
        <v>31064</v>
      </c>
      <c r="K27" t="s">
        <v>40284</v>
      </c>
      <c r="M27" t="s">
        <v>40590</v>
      </c>
      <c r="N27" t="s">
        <v>44759</v>
      </c>
      <c r="O27" t="s">
        <v>44760</v>
      </c>
      <c r="P27">
        <v>0</v>
      </c>
      <c r="Q27">
        <v>0</v>
      </c>
      <c r="R27" t="s">
        <v>44761</v>
      </c>
      <c r="S27" t="s">
        <v>44862</v>
      </c>
      <c r="T27" t="s">
        <v>46368</v>
      </c>
      <c r="U27" t="s">
        <v>46980</v>
      </c>
      <c r="W27" t="s">
        <v>40590</v>
      </c>
      <c r="X27" t="s">
        <v>44768</v>
      </c>
    </row>
    <row r="28" spans="1:24">
      <c r="A28">
        <f>HYPERLINK("https://www.philgeps.gov.ph/GEPSNONPILOT/Tender/SplashBidNoticeAbstractUI.aspx?menuIndex=3&amp;refID=7146225&amp;Result=3","7146225")</f>
        <v>0</v>
      </c>
      <c r="B28" t="s">
        <v>45</v>
      </c>
      <c r="C28" t="s">
        <v>3791</v>
      </c>
      <c r="E28" t="s">
        <v>18086</v>
      </c>
      <c r="F28" t="s">
        <v>30900</v>
      </c>
      <c r="G28" t="s">
        <v>30908</v>
      </c>
      <c r="H28" t="s">
        <v>30916</v>
      </c>
      <c r="I28" t="s">
        <v>6953</v>
      </c>
      <c r="J28" t="s">
        <v>31065</v>
      </c>
      <c r="K28" t="s">
        <v>40286</v>
      </c>
      <c r="M28" t="s">
        <v>40591</v>
      </c>
      <c r="N28" t="s">
        <v>44759</v>
      </c>
      <c r="O28" t="s">
        <v>44760</v>
      </c>
      <c r="P28">
        <v>0</v>
      </c>
      <c r="Q28">
        <v>0</v>
      </c>
      <c r="R28" t="s">
        <v>44761</v>
      </c>
      <c r="S28" t="s">
        <v>44862</v>
      </c>
      <c r="T28" t="s">
        <v>46369</v>
      </c>
      <c r="U28" t="s">
        <v>46981</v>
      </c>
      <c r="W28" t="s">
        <v>40591</v>
      </c>
      <c r="X28" t="s">
        <v>44767</v>
      </c>
    </row>
    <row r="29" spans="1:24">
      <c r="A29">
        <f>HYPERLINK("https://www.philgeps.gov.ph/GEPSNONPILOT/Tender/SplashBidNoticeAbstractUI.aspx?menuIndex=3&amp;refID=7146514&amp;Result=3","7146514")</f>
        <v>0</v>
      </c>
      <c r="B29" t="s">
        <v>42</v>
      </c>
      <c r="C29" t="s">
        <v>3792</v>
      </c>
      <c r="D29" t="s">
        <v>17967</v>
      </c>
      <c r="E29" t="s">
        <v>18087</v>
      </c>
      <c r="F29" t="s">
        <v>30900</v>
      </c>
      <c r="G29" t="s">
        <v>30907</v>
      </c>
      <c r="H29" t="s">
        <v>30916</v>
      </c>
      <c r="I29" t="s">
        <v>30925</v>
      </c>
      <c r="J29" t="s">
        <v>31066</v>
      </c>
      <c r="K29" t="s">
        <v>40284</v>
      </c>
      <c r="M29" t="s">
        <v>40588</v>
      </c>
      <c r="N29" t="s">
        <v>44759</v>
      </c>
      <c r="O29" t="s">
        <v>44760</v>
      </c>
      <c r="P29">
        <v>0</v>
      </c>
      <c r="Q29">
        <v>0</v>
      </c>
      <c r="R29" t="s">
        <v>44761</v>
      </c>
      <c r="S29" t="s">
        <v>44862</v>
      </c>
      <c r="T29" t="s">
        <v>46366</v>
      </c>
      <c r="U29" t="s">
        <v>46982</v>
      </c>
      <c r="W29" t="s">
        <v>40588</v>
      </c>
      <c r="X29" t="s">
        <v>44767</v>
      </c>
    </row>
    <row r="30" spans="1:24">
      <c r="A30">
        <f>HYPERLINK("https://www.philgeps.gov.ph/GEPSNONPILOT/Tender/SplashBidNoticeAbstractUI.aspx?menuIndex=3&amp;refID=7145999&amp;Result=3","7145999")</f>
        <v>0</v>
      </c>
      <c r="B30" t="s">
        <v>39</v>
      </c>
      <c r="C30" t="s">
        <v>3793</v>
      </c>
      <c r="E30" t="s">
        <v>18088</v>
      </c>
      <c r="F30" t="s">
        <v>30900</v>
      </c>
      <c r="G30" t="s">
        <v>30907</v>
      </c>
      <c r="H30" t="s">
        <v>30916</v>
      </c>
      <c r="I30" t="s">
        <v>30918</v>
      </c>
      <c r="J30" t="s">
        <v>31067</v>
      </c>
      <c r="K30" t="s">
        <v>40289</v>
      </c>
      <c r="M30" t="s">
        <v>40585</v>
      </c>
      <c r="N30" t="s">
        <v>44759</v>
      </c>
      <c r="O30" t="s">
        <v>44760</v>
      </c>
      <c r="P30">
        <v>0</v>
      </c>
      <c r="Q30">
        <v>0</v>
      </c>
      <c r="R30" t="s">
        <v>44761</v>
      </c>
      <c r="S30" t="s">
        <v>44862</v>
      </c>
      <c r="T30" t="s">
        <v>46350</v>
      </c>
      <c r="U30" t="s">
        <v>46983</v>
      </c>
      <c r="W30" t="s">
        <v>40585</v>
      </c>
      <c r="X30" t="s">
        <v>44767</v>
      </c>
    </row>
    <row r="31" spans="1:24">
      <c r="A31">
        <f>HYPERLINK("https://www.philgeps.gov.ph/GEPSNONPILOT/Tender/SplashBidNoticeAbstractUI.aspx?menuIndex=3&amp;refID=7145356&amp;Result=3","7145356")</f>
        <v>0</v>
      </c>
      <c r="B31" t="s">
        <v>46</v>
      </c>
      <c r="C31" t="s">
        <v>3794</v>
      </c>
      <c r="D31" t="s">
        <v>17953</v>
      </c>
      <c r="E31" t="s">
        <v>18089</v>
      </c>
      <c r="F31" t="s">
        <v>30900</v>
      </c>
      <c r="G31" t="s">
        <v>30907</v>
      </c>
      <c r="H31" t="s">
        <v>30916</v>
      </c>
      <c r="I31" t="s">
        <v>4142</v>
      </c>
      <c r="J31" t="s">
        <v>31068</v>
      </c>
      <c r="K31" t="s">
        <v>40291</v>
      </c>
      <c r="M31" t="s">
        <v>40592</v>
      </c>
      <c r="N31" t="s">
        <v>44759</v>
      </c>
      <c r="O31" t="s">
        <v>44760</v>
      </c>
      <c r="P31">
        <v>0</v>
      </c>
      <c r="Q31">
        <v>0</v>
      </c>
      <c r="R31" t="s">
        <v>44761</v>
      </c>
      <c r="S31" t="s">
        <v>44862</v>
      </c>
      <c r="T31" t="s">
        <v>46370</v>
      </c>
      <c r="U31" t="s">
        <v>46984</v>
      </c>
      <c r="W31" t="s">
        <v>60814</v>
      </c>
      <c r="X31" t="s">
        <v>44767</v>
      </c>
    </row>
    <row r="32" spans="1:24">
      <c r="A32">
        <f>HYPERLINK("https://www.philgeps.gov.ph/GEPSNONPILOT/Tender/SplashBidNoticeAbstractUI.aspx?menuIndex=3&amp;refID=7146000&amp;Result=3","7146000")</f>
        <v>0</v>
      </c>
      <c r="B32" t="s">
        <v>47</v>
      </c>
      <c r="C32" t="s">
        <v>3795</v>
      </c>
      <c r="D32" t="s">
        <v>17970</v>
      </c>
      <c r="E32" t="s">
        <v>18090</v>
      </c>
      <c r="F32" t="s">
        <v>30900</v>
      </c>
      <c r="G32" t="s">
        <v>30907</v>
      </c>
      <c r="H32" t="s">
        <v>30915</v>
      </c>
      <c r="I32" t="s">
        <v>30919</v>
      </c>
      <c r="J32" t="s">
        <v>31069</v>
      </c>
      <c r="K32" t="s">
        <v>40286</v>
      </c>
      <c r="L32" t="s">
        <v>47</v>
      </c>
      <c r="M32" t="s">
        <v>40593</v>
      </c>
      <c r="N32" t="s">
        <v>44759</v>
      </c>
      <c r="O32" t="s">
        <v>44760</v>
      </c>
      <c r="P32">
        <v>0</v>
      </c>
      <c r="Q32">
        <v>0</v>
      </c>
      <c r="R32" t="s">
        <v>44761</v>
      </c>
      <c r="S32" t="s">
        <v>44862</v>
      </c>
      <c r="T32" t="s">
        <v>46371</v>
      </c>
      <c r="U32" t="s">
        <v>46985</v>
      </c>
      <c r="V32" t="s">
        <v>59097</v>
      </c>
      <c r="W32" t="s">
        <v>40593</v>
      </c>
      <c r="X32" t="s">
        <v>44767</v>
      </c>
    </row>
    <row r="33" spans="1:24">
      <c r="A33">
        <f>HYPERLINK("https://www.philgeps.gov.ph/GEPSNONPILOT/Tender/SplashBidNoticeAbstractUI.aspx?menuIndex=3&amp;refID=7135439&amp;Result=3","7135439")</f>
        <v>0</v>
      </c>
      <c r="B33" t="s">
        <v>48</v>
      </c>
      <c r="C33" t="s">
        <v>3796</v>
      </c>
      <c r="D33" t="s">
        <v>17971</v>
      </c>
      <c r="E33" t="s">
        <v>18091</v>
      </c>
      <c r="F33" t="s">
        <v>30900</v>
      </c>
      <c r="G33" t="s">
        <v>30908</v>
      </c>
      <c r="H33" t="s">
        <v>30915</v>
      </c>
      <c r="I33" t="s">
        <v>8123</v>
      </c>
      <c r="J33" t="s">
        <v>31070</v>
      </c>
      <c r="K33" t="s">
        <v>40286</v>
      </c>
      <c r="M33" t="s">
        <v>40594</v>
      </c>
      <c r="N33" t="s">
        <v>44759</v>
      </c>
      <c r="O33" t="s">
        <v>44760</v>
      </c>
      <c r="P33">
        <v>0</v>
      </c>
      <c r="Q33">
        <v>0</v>
      </c>
      <c r="R33" t="s">
        <v>44761</v>
      </c>
      <c r="S33" t="s">
        <v>44862</v>
      </c>
      <c r="T33" t="s">
        <v>46372</v>
      </c>
      <c r="U33" t="s">
        <v>46986</v>
      </c>
      <c r="W33" t="s">
        <v>40594</v>
      </c>
      <c r="X33" t="s">
        <v>44772</v>
      </c>
    </row>
    <row r="34" spans="1:24">
      <c r="A34">
        <f>HYPERLINK("https://www.philgeps.gov.ph/GEPSNONPILOT/Tender/SplashBidNoticeAbstractUI.aspx?menuIndex=3&amp;refID=7145332&amp;Result=3","7145332")</f>
        <v>0</v>
      </c>
      <c r="B34" t="s">
        <v>49</v>
      </c>
      <c r="C34" t="s">
        <v>3797</v>
      </c>
      <c r="D34" t="s">
        <v>17961</v>
      </c>
      <c r="E34" t="s">
        <v>18092</v>
      </c>
      <c r="F34" t="s">
        <v>30900</v>
      </c>
      <c r="G34" t="s">
        <v>30908</v>
      </c>
      <c r="H34" t="s">
        <v>30916</v>
      </c>
      <c r="I34" t="s">
        <v>30926</v>
      </c>
      <c r="J34" t="s">
        <v>31071</v>
      </c>
      <c r="K34" t="s">
        <v>40283</v>
      </c>
      <c r="M34" t="s">
        <v>40595</v>
      </c>
      <c r="N34" t="s">
        <v>44759</v>
      </c>
      <c r="O34" t="s">
        <v>44760</v>
      </c>
      <c r="P34">
        <v>0</v>
      </c>
      <c r="Q34">
        <v>0</v>
      </c>
      <c r="R34" t="s">
        <v>44761</v>
      </c>
      <c r="S34" t="s">
        <v>44862</v>
      </c>
      <c r="T34" t="s">
        <v>46373</v>
      </c>
      <c r="U34" t="s">
        <v>46987</v>
      </c>
      <c r="V34" t="s">
        <v>59098</v>
      </c>
      <c r="W34" t="s">
        <v>40595</v>
      </c>
      <c r="X34" t="s">
        <v>44767</v>
      </c>
    </row>
    <row r="35" spans="1:24">
      <c r="A35">
        <f>HYPERLINK("https://www.philgeps.gov.ph/GEPSNONPILOT/Tender/SplashBidNoticeAbstractUI.aspx?menuIndex=3&amp;refID=7145286&amp;Result=3","7145286")</f>
        <v>0</v>
      </c>
      <c r="B35" t="s">
        <v>50</v>
      </c>
      <c r="C35" t="s">
        <v>3798</v>
      </c>
      <c r="D35" t="s">
        <v>17972</v>
      </c>
      <c r="E35" t="s">
        <v>18093</v>
      </c>
      <c r="F35" t="s">
        <v>30900</v>
      </c>
      <c r="G35" t="s">
        <v>30907</v>
      </c>
      <c r="H35" t="s">
        <v>30915</v>
      </c>
      <c r="I35" t="s">
        <v>30919</v>
      </c>
      <c r="J35" t="s">
        <v>31072</v>
      </c>
      <c r="K35" t="s">
        <v>40292</v>
      </c>
      <c r="M35" t="s">
        <v>40596</v>
      </c>
      <c r="N35" t="s">
        <v>44759</v>
      </c>
      <c r="O35" t="s">
        <v>44760</v>
      </c>
      <c r="P35">
        <v>0</v>
      </c>
      <c r="Q35">
        <v>0</v>
      </c>
      <c r="R35" t="s">
        <v>44761</v>
      </c>
      <c r="S35" t="s">
        <v>44862</v>
      </c>
      <c r="T35" t="s">
        <v>46354</v>
      </c>
      <c r="U35" t="s">
        <v>46988</v>
      </c>
      <c r="V35" t="s">
        <v>59099</v>
      </c>
      <c r="W35" t="s">
        <v>40596</v>
      </c>
      <c r="X35" t="s">
        <v>44767</v>
      </c>
    </row>
    <row r="36" spans="1:24">
      <c r="A36">
        <f>HYPERLINK("https://www.philgeps.gov.ph/GEPSNONPILOT/Tender/SplashBidNoticeAbstractUI.aspx?menuIndex=3&amp;refID=7146491&amp;Result=3","7146491")</f>
        <v>0</v>
      </c>
      <c r="B36" t="s">
        <v>51</v>
      </c>
      <c r="C36" t="s">
        <v>3799</v>
      </c>
      <c r="D36" t="s">
        <v>17955</v>
      </c>
      <c r="E36" t="s">
        <v>18094</v>
      </c>
      <c r="F36" t="s">
        <v>30900</v>
      </c>
      <c r="G36" t="s">
        <v>30909</v>
      </c>
      <c r="H36" t="s">
        <v>30916</v>
      </c>
      <c r="I36" t="s">
        <v>4142</v>
      </c>
      <c r="J36" t="s">
        <v>31073</v>
      </c>
      <c r="K36" t="s">
        <v>40289</v>
      </c>
      <c r="M36" t="s">
        <v>40597</v>
      </c>
      <c r="N36" t="s">
        <v>44759</v>
      </c>
      <c r="O36" t="s">
        <v>44760</v>
      </c>
      <c r="P36">
        <v>0</v>
      </c>
      <c r="Q36">
        <v>0</v>
      </c>
      <c r="R36" t="s">
        <v>44761</v>
      </c>
      <c r="S36" t="s">
        <v>44862</v>
      </c>
      <c r="T36" t="s">
        <v>46374</v>
      </c>
      <c r="U36" t="s">
        <v>46989</v>
      </c>
      <c r="W36" t="s">
        <v>40597</v>
      </c>
      <c r="X36" t="s">
        <v>44767</v>
      </c>
    </row>
    <row r="37" spans="1:24">
      <c r="A37">
        <f>HYPERLINK("https://www.philgeps.gov.ph/GEPSNONPILOT/Tender/SplashBidNoticeAbstractUI.aspx?menuIndex=3&amp;refID=7146869&amp;Result=3","7146869")</f>
        <v>0</v>
      </c>
      <c r="B37" t="s">
        <v>52</v>
      </c>
      <c r="C37" t="s">
        <v>3800</v>
      </c>
      <c r="D37" t="s">
        <v>17973</v>
      </c>
      <c r="E37" t="s">
        <v>18095</v>
      </c>
      <c r="F37" t="s">
        <v>30900</v>
      </c>
      <c r="G37" t="s">
        <v>30907</v>
      </c>
      <c r="H37" t="s">
        <v>30916</v>
      </c>
      <c r="I37" t="s">
        <v>30927</v>
      </c>
      <c r="J37" t="s">
        <v>31074</v>
      </c>
      <c r="K37" t="s">
        <v>40283</v>
      </c>
      <c r="M37" t="s">
        <v>40598</v>
      </c>
      <c r="N37" t="s">
        <v>44759</v>
      </c>
      <c r="O37" t="s">
        <v>44760</v>
      </c>
      <c r="P37">
        <v>0</v>
      </c>
      <c r="Q37">
        <v>0</v>
      </c>
      <c r="R37" t="s">
        <v>44761</v>
      </c>
      <c r="S37" t="s">
        <v>44862</v>
      </c>
      <c r="T37" t="s">
        <v>46350</v>
      </c>
      <c r="U37" t="s">
        <v>46990</v>
      </c>
      <c r="W37" t="s">
        <v>40598</v>
      </c>
      <c r="X37" t="s">
        <v>44767</v>
      </c>
    </row>
    <row r="38" spans="1:24">
      <c r="A38">
        <f>HYPERLINK("https://www.philgeps.gov.ph/GEPSNONPILOT/Tender/SplashBidNoticeAbstractUI.aspx?menuIndex=3&amp;refID=7145902&amp;Result=3","7145902")</f>
        <v>0</v>
      </c>
      <c r="B38" t="s">
        <v>39</v>
      </c>
      <c r="C38" t="s">
        <v>3801</v>
      </c>
      <c r="E38" t="s">
        <v>18096</v>
      </c>
      <c r="F38" t="s">
        <v>30900</v>
      </c>
      <c r="G38" t="s">
        <v>30907</v>
      </c>
      <c r="H38" t="s">
        <v>30916</v>
      </c>
      <c r="I38" t="s">
        <v>30918</v>
      </c>
      <c r="J38" t="s">
        <v>31075</v>
      </c>
      <c r="K38" t="s">
        <v>40289</v>
      </c>
      <c r="M38" t="s">
        <v>40585</v>
      </c>
      <c r="N38" t="s">
        <v>44759</v>
      </c>
      <c r="O38" t="s">
        <v>44760</v>
      </c>
      <c r="P38">
        <v>0</v>
      </c>
      <c r="Q38">
        <v>0</v>
      </c>
      <c r="R38" t="s">
        <v>44761</v>
      </c>
      <c r="S38" t="s">
        <v>44862</v>
      </c>
      <c r="T38" t="s">
        <v>46350</v>
      </c>
      <c r="U38" t="s">
        <v>46991</v>
      </c>
      <c r="W38" t="s">
        <v>40585</v>
      </c>
      <c r="X38" t="s">
        <v>44767</v>
      </c>
    </row>
    <row r="39" spans="1:24">
      <c r="A39">
        <f>HYPERLINK("https://www.philgeps.gov.ph/GEPSNONPILOT/Tender/SplashBidNoticeAbstractUI.aspx?menuIndex=3&amp;refID=7146811&amp;Result=3","7146811")</f>
        <v>0</v>
      </c>
      <c r="B39" t="s">
        <v>52</v>
      </c>
      <c r="C39" t="s">
        <v>3802</v>
      </c>
      <c r="D39" t="s">
        <v>17973</v>
      </c>
      <c r="E39" t="s">
        <v>18097</v>
      </c>
      <c r="F39" t="s">
        <v>30900</v>
      </c>
      <c r="G39" t="s">
        <v>30907</v>
      </c>
      <c r="H39" t="s">
        <v>30916</v>
      </c>
      <c r="I39" t="s">
        <v>30927</v>
      </c>
      <c r="J39" t="s">
        <v>31076</v>
      </c>
      <c r="K39" t="s">
        <v>40283</v>
      </c>
      <c r="M39" t="s">
        <v>40598</v>
      </c>
      <c r="N39" t="s">
        <v>44759</v>
      </c>
      <c r="O39" t="s">
        <v>44760</v>
      </c>
      <c r="P39">
        <v>0</v>
      </c>
      <c r="Q39">
        <v>0</v>
      </c>
      <c r="R39" t="s">
        <v>44761</v>
      </c>
      <c r="S39" t="s">
        <v>44862</v>
      </c>
      <c r="T39" t="s">
        <v>46350</v>
      </c>
      <c r="U39" t="s">
        <v>46992</v>
      </c>
      <c r="W39" t="s">
        <v>40598</v>
      </c>
      <c r="X39" t="s">
        <v>44767</v>
      </c>
    </row>
    <row r="40" spans="1:24">
      <c r="A40">
        <f>HYPERLINK("https://www.philgeps.gov.ph/GEPSNONPILOT/Tender/SplashBidNoticeAbstractUI.aspx?menuIndex=3&amp;refID=7145842&amp;Result=3","7145842")</f>
        <v>0</v>
      </c>
      <c r="B40" t="s">
        <v>39</v>
      </c>
      <c r="C40" t="s">
        <v>3803</v>
      </c>
      <c r="E40" t="s">
        <v>18098</v>
      </c>
      <c r="F40" t="s">
        <v>30900</v>
      </c>
      <c r="G40" t="s">
        <v>30907</v>
      </c>
      <c r="H40" t="s">
        <v>30916</v>
      </c>
      <c r="I40" t="s">
        <v>30918</v>
      </c>
      <c r="J40" t="s">
        <v>31077</v>
      </c>
      <c r="K40" t="s">
        <v>40289</v>
      </c>
      <c r="M40" t="s">
        <v>40585</v>
      </c>
      <c r="N40" t="s">
        <v>44759</v>
      </c>
      <c r="O40" t="s">
        <v>44760</v>
      </c>
      <c r="P40">
        <v>0</v>
      </c>
      <c r="Q40">
        <v>0</v>
      </c>
      <c r="R40" t="s">
        <v>44761</v>
      </c>
      <c r="S40" t="s">
        <v>44862</v>
      </c>
      <c r="T40" t="s">
        <v>46350</v>
      </c>
      <c r="U40" t="s">
        <v>46993</v>
      </c>
      <c r="W40" t="s">
        <v>40585</v>
      </c>
      <c r="X40" t="s">
        <v>44767</v>
      </c>
    </row>
    <row r="41" spans="1:24">
      <c r="A41">
        <f>HYPERLINK("https://www.philgeps.gov.ph/GEPSNONPILOT/Tender/SplashBidNoticeAbstractUI.aspx?menuIndex=3&amp;refID=7148519&amp;Result=3","7148519")</f>
        <v>0</v>
      </c>
      <c r="B41" t="s">
        <v>53</v>
      </c>
      <c r="C41" t="s">
        <v>3804</v>
      </c>
      <c r="D41" t="s">
        <v>17974</v>
      </c>
      <c r="E41" t="s">
        <v>18099</v>
      </c>
      <c r="F41" t="s">
        <v>30900</v>
      </c>
      <c r="G41" t="s">
        <v>30907</v>
      </c>
      <c r="H41" t="s">
        <v>30916</v>
      </c>
      <c r="I41" t="s">
        <v>5501</v>
      </c>
      <c r="J41" t="s">
        <v>31078</v>
      </c>
      <c r="K41" t="s">
        <v>40293</v>
      </c>
      <c r="M41" t="s">
        <v>40599</v>
      </c>
      <c r="N41" t="s">
        <v>44759</v>
      </c>
      <c r="O41" t="s">
        <v>44760</v>
      </c>
      <c r="P41">
        <v>0</v>
      </c>
      <c r="Q41">
        <v>0</v>
      </c>
      <c r="R41" t="s">
        <v>44761</v>
      </c>
      <c r="S41" t="s">
        <v>44862</v>
      </c>
      <c r="T41" t="s">
        <v>46375</v>
      </c>
      <c r="U41" t="s">
        <v>46994</v>
      </c>
      <c r="W41" t="s">
        <v>40599</v>
      </c>
      <c r="X41" t="s">
        <v>44766</v>
      </c>
    </row>
    <row r="42" spans="1:24">
      <c r="A42">
        <f>HYPERLINK("https://www.philgeps.gov.ph/GEPSNONPILOT/Tender/SplashBidNoticeAbstractUI.aspx?menuIndex=3&amp;refID=7147073&amp;Result=3","7147073")</f>
        <v>0</v>
      </c>
      <c r="B42" t="s">
        <v>54</v>
      </c>
      <c r="C42" t="s">
        <v>3805</v>
      </c>
      <c r="D42" t="s">
        <v>17953</v>
      </c>
      <c r="E42" t="s">
        <v>18100</v>
      </c>
      <c r="F42" t="s">
        <v>30900</v>
      </c>
      <c r="G42" t="s">
        <v>30910</v>
      </c>
      <c r="H42" t="s">
        <v>30916</v>
      </c>
      <c r="I42" t="s">
        <v>8365</v>
      </c>
      <c r="J42" t="s">
        <v>31079</v>
      </c>
      <c r="K42" t="s">
        <v>40287</v>
      </c>
      <c r="M42" t="s">
        <v>40600</v>
      </c>
      <c r="N42" t="s">
        <v>44759</v>
      </c>
      <c r="O42" t="s">
        <v>44760</v>
      </c>
      <c r="P42">
        <v>0</v>
      </c>
      <c r="Q42">
        <v>0</v>
      </c>
      <c r="R42" t="s">
        <v>44761</v>
      </c>
      <c r="S42" t="s">
        <v>44862</v>
      </c>
      <c r="T42" t="s">
        <v>46376</v>
      </c>
      <c r="U42" t="s">
        <v>46995</v>
      </c>
      <c r="W42" t="s">
        <v>40600</v>
      </c>
      <c r="X42" t="s">
        <v>44767</v>
      </c>
    </row>
    <row r="43" spans="1:24">
      <c r="A43">
        <f>HYPERLINK("https://www.philgeps.gov.ph/GEPSNONPILOT/Tender/SplashBidNoticeAbstractUI.aspx?menuIndex=3&amp;refID=7145282&amp;Result=3","7145282")</f>
        <v>0</v>
      </c>
      <c r="B43" t="s">
        <v>46</v>
      </c>
      <c r="C43" t="s">
        <v>3806</v>
      </c>
      <c r="D43" t="s">
        <v>17953</v>
      </c>
      <c r="E43" t="s">
        <v>18101</v>
      </c>
      <c r="F43" t="s">
        <v>30900</v>
      </c>
      <c r="G43" t="s">
        <v>30907</v>
      </c>
      <c r="H43" t="s">
        <v>30916</v>
      </c>
      <c r="I43" t="s">
        <v>30923</v>
      </c>
      <c r="J43" t="s">
        <v>31080</v>
      </c>
      <c r="K43" t="s">
        <v>40291</v>
      </c>
      <c r="M43" t="s">
        <v>40592</v>
      </c>
      <c r="N43" t="s">
        <v>44759</v>
      </c>
      <c r="O43" t="s">
        <v>44760</v>
      </c>
      <c r="P43">
        <v>0</v>
      </c>
      <c r="Q43">
        <v>0</v>
      </c>
      <c r="R43" t="s">
        <v>44761</v>
      </c>
      <c r="S43" t="s">
        <v>44862</v>
      </c>
      <c r="T43" t="s">
        <v>46370</v>
      </c>
      <c r="U43" t="s">
        <v>46984</v>
      </c>
      <c r="W43" t="s">
        <v>60814</v>
      </c>
      <c r="X43" t="s">
        <v>44767</v>
      </c>
    </row>
    <row r="44" spans="1:24">
      <c r="A44">
        <f>HYPERLINK("https://www.philgeps.gov.ph/GEPSNONPILOT/Tender/SplashBidNoticeAbstractUI.aspx?menuIndex=3&amp;refID=7148449&amp;Result=3","7148449")</f>
        <v>0</v>
      </c>
      <c r="B44" t="s">
        <v>55</v>
      </c>
      <c r="C44" t="s">
        <v>3807</v>
      </c>
      <c r="D44" t="s">
        <v>17975</v>
      </c>
      <c r="E44" t="s">
        <v>18102</v>
      </c>
      <c r="F44" t="s">
        <v>30900</v>
      </c>
      <c r="G44" t="s">
        <v>30907</v>
      </c>
      <c r="H44" t="s">
        <v>30916</v>
      </c>
      <c r="I44" t="s">
        <v>4142</v>
      </c>
      <c r="J44" t="s">
        <v>31081</v>
      </c>
      <c r="K44" t="s">
        <v>40286</v>
      </c>
      <c r="M44" t="s">
        <v>40601</v>
      </c>
      <c r="N44" t="s">
        <v>44759</v>
      </c>
      <c r="O44" t="s">
        <v>44760</v>
      </c>
      <c r="P44">
        <v>0</v>
      </c>
      <c r="Q44">
        <v>0</v>
      </c>
      <c r="R44" t="s">
        <v>44761</v>
      </c>
      <c r="S44" t="s">
        <v>44862</v>
      </c>
      <c r="T44" t="s">
        <v>46377</v>
      </c>
      <c r="U44" t="s">
        <v>46996</v>
      </c>
      <c r="V44" t="s">
        <v>59100</v>
      </c>
      <c r="W44" t="s">
        <v>40601</v>
      </c>
      <c r="X44" t="s">
        <v>44766</v>
      </c>
    </row>
    <row r="45" spans="1:24">
      <c r="A45">
        <f>HYPERLINK("https://www.philgeps.gov.ph/GEPSNONPILOT/Tender/SplashBidNoticeAbstractUI.aspx?menuIndex=3&amp;refID=7148702&amp;Result=3","7148702")</f>
        <v>0</v>
      </c>
      <c r="B45" t="s">
        <v>56</v>
      </c>
      <c r="C45" t="s">
        <v>3808</v>
      </c>
      <c r="D45" t="s">
        <v>17952</v>
      </c>
      <c r="E45" t="s">
        <v>18103</v>
      </c>
      <c r="F45" t="s">
        <v>30900</v>
      </c>
      <c r="G45" t="s">
        <v>30907</v>
      </c>
      <c r="H45" t="s">
        <v>30916</v>
      </c>
      <c r="I45" t="s">
        <v>4545</v>
      </c>
      <c r="J45" t="s">
        <v>31082</v>
      </c>
      <c r="K45" t="s">
        <v>40294</v>
      </c>
      <c r="M45" t="s">
        <v>40602</v>
      </c>
      <c r="N45" t="s">
        <v>44759</v>
      </c>
      <c r="O45" t="s">
        <v>44760</v>
      </c>
      <c r="P45">
        <v>0</v>
      </c>
      <c r="Q45">
        <v>0</v>
      </c>
      <c r="R45" t="s">
        <v>44761</v>
      </c>
      <c r="S45" t="s">
        <v>44862</v>
      </c>
      <c r="T45" t="s">
        <v>46378</v>
      </c>
      <c r="U45" t="s">
        <v>46997</v>
      </c>
      <c r="V45" t="s">
        <v>59101</v>
      </c>
      <c r="W45" t="s">
        <v>40602</v>
      </c>
      <c r="X45" t="s">
        <v>44765</v>
      </c>
    </row>
    <row r="46" spans="1:24">
      <c r="A46">
        <f>HYPERLINK("https://www.philgeps.gov.ph/GEPSNONPILOT/Tender/SplashBidNoticeAbstractUI.aspx?menuIndex=3&amp;refID=7148422&amp;Result=3","7148422")</f>
        <v>0</v>
      </c>
      <c r="B46" t="s">
        <v>55</v>
      </c>
      <c r="C46" t="s">
        <v>3809</v>
      </c>
      <c r="D46" t="s">
        <v>17975</v>
      </c>
      <c r="E46" t="s">
        <v>18104</v>
      </c>
      <c r="F46" t="s">
        <v>30900</v>
      </c>
      <c r="G46" t="s">
        <v>30907</v>
      </c>
      <c r="H46" t="s">
        <v>30916</v>
      </c>
      <c r="I46" t="s">
        <v>30928</v>
      </c>
      <c r="J46" t="s">
        <v>31083</v>
      </c>
      <c r="K46" t="s">
        <v>40286</v>
      </c>
      <c r="M46" t="s">
        <v>40601</v>
      </c>
      <c r="N46" t="s">
        <v>44759</v>
      </c>
      <c r="O46" t="s">
        <v>44760</v>
      </c>
      <c r="P46">
        <v>0</v>
      </c>
      <c r="Q46">
        <v>0</v>
      </c>
      <c r="R46" t="s">
        <v>44761</v>
      </c>
      <c r="S46" t="s">
        <v>44862</v>
      </c>
      <c r="T46" t="s">
        <v>46377</v>
      </c>
      <c r="U46" t="s">
        <v>46998</v>
      </c>
      <c r="V46" t="s">
        <v>59102</v>
      </c>
      <c r="W46" t="s">
        <v>40601</v>
      </c>
      <c r="X46" t="s">
        <v>44766</v>
      </c>
    </row>
    <row r="47" spans="1:24">
      <c r="A47">
        <f>HYPERLINK("https://www.philgeps.gov.ph/GEPSNONPILOT/Tender/SplashBidNoticeAbstractUI.aspx?menuIndex=3&amp;refID=7148147&amp;Result=3","7148147")</f>
        <v>0</v>
      </c>
      <c r="B47" t="s">
        <v>57</v>
      </c>
      <c r="C47" t="s">
        <v>3810</v>
      </c>
      <c r="D47" t="s">
        <v>17976</v>
      </c>
      <c r="E47" t="s">
        <v>18105</v>
      </c>
      <c r="F47" t="s">
        <v>30900</v>
      </c>
      <c r="G47" t="s">
        <v>30909</v>
      </c>
      <c r="H47" t="s">
        <v>30916</v>
      </c>
      <c r="I47" t="s">
        <v>30923</v>
      </c>
      <c r="J47" t="s">
        <v>31084</v>
      </c>
      <c r="K47" t="s">
        <v>40283</v>
      </c>
      <c r="M47" t="s">
        <v>40603</v>
      </c>
      <c r="N47" t="s">
        <v>44759</v>
      </c>
      <c r="O47" t="s">
        <v>44760</v>
      </c>
      <c r="P47">
        <v>0</v>
      </c>
      <c r="Q47">
        <v>0</v>
      </c>
      <c r="R47" t="s">
        <v>44761</v>
      </c>
      <c r="S47" t="s">
        <v>44862</v>
      </c>
      <c r="T47" t="s">
        <v>46379</v>
      </c>
      <c r="U47" t="s">
        <v>46999</v>
      </c>
      <c r="W47" t="s">
        <v>40603</v>
      </c>
      <c r="X47" t="s">
        <v>44766</v>
      </c>
    </row>
    <row r="48" spans="1:24">
      <c r="A48">
        <f>HYPERLINK("https://www.philgeps.gov.ph/GEPSNONPILOT/Tender/SplashBidNoticeAbstractUI.aspx?menuIndex=3&amp;refID=7148436&amp;Result=3","7148436")</f>
        <v>0</v>
      </c>
      <c r="B48" t="s">
        <v>55</v>
      </c>
      <c r="C48" t="s">
        <v>3811</v>
      </c>
      <c r="D48" t="s">
        <v>17975</v>
      </c>
      <c r="E48" t="s">
        <v>18106</v>
      </c>
      <c r="F48" t="s">
        <v>30900</v>
      </c>
      <c r="G48" t="s">
        <v>30907</v>
      </c>
      <c r="H48" t="s">
        <v>30916</v>
      </c>
      <c r="I48" t="s">
        <v>8123</v>
      </c>
      <c r="J48" t="s">
        <v>31085</v>
      </c>
      <c r="K48" t="s">
        <v>40286</v>
      </c>
      <c r="M48" t="s">
        <v>40601</v>
      </c>
      <c r="N48" t="s">
        <v>44759</v>
      </c>
      <c r="O48" t="s">
        <v>44760</v>
      </c>
      <c r="P48">
        <v>0</v>
      </c>
      <c r="Q48">
        <v>0</v>
      </c>
      <c r="R48" t="s">
        <v>44761</v>
      </c>
      <c r="S48" t="s">
        <v>44862</v>
      </c>
      <c r="T48" t="s">
        <v>46377</v>
      </c>
      <c r="U48" t="s">
        <v>47000</v>
      </c>
      <c r="V48" t="s">
        <v>59103</v>
      </c>
      <c r="W48" t="s">
        <v>40601</v>
      </c>
      <c r="X48" t="s">
        <v>44766</v>
      </c>
    </row>
    <row r="49" spans="1:24">
      <c r="A49">
        <f>HYPERLINK("https://www.philgeps.gov.ph/GEPSNONPILOT/Tender/SplashBidNoticeAbstractUI.aspx?menuIndex=3&amp;refID=7148643&amp;Result=3","7148643")</f>
        <v>0</v>
      </c>
      <c r="B49" t="s">
        <v>58</v>
      </c>
      <c r="C49" t="s">
        <v>3812</v>
      </c>
      <c r="D49" t="s">
        <v>17977</v>
      </c>
      <c r="E49" t="s">
        <v>18107</v>
      </c>
      <c r="F49" t="s">
        <v>30900</v>
      </c>
      <c r="G49" t="s">
        <v>30907</v>
      </c>
      <c r="H49" t="s">
        <v>30916</v>
      </c>
      <c r="I49" t="s">
        <v>30923</v>
      </c>
      <c r="J49" t="s">
        <v>31086</v>
      </c>
      <c r="K49" t="s">
        <v>40287</v>
      </c>
      <c r="M49" t="s">
        <v>40604</v>
      </c>
      <c r="N49" t="s">
        <v>44759</v>
      </c>
      <c r="O49" t="s">
        <v>44760</v>
      </c>
      <c r="P49">
        <v>0</v>
      </c>
      <c r="Q49">
        <v>0</v>
      </c>
      <c r="R49" t="s">
        <v>44761</v>
      </c>
      <c r="S49" t="s">
        <v>44862</v>
      </c>
      <c r="T49" t="s">
        <v>46352</v>
      </c>
      <c r="U49" t="s">
        <v>47001</v>
      </c>
      <c r="W49" t="s">
        <v>60815</v>
      </c>
      <c r="X49" t="s">
        <v>44765</v>
      </c>
    </row>
    <row r="50" spans="1:24">
      <c r="A50">
        <f>HYPERLINK("https://www.philgeps.gov.ph/GEPSNONPILOT/Tender/SplashBidNoticeAbstractUI.aspx?menuIndex=3&amp;refID=7147771&amp;Result=3","7147771")</f>
        <v>0</v>
      </c>
      <c r="B50" t="s">
        <v>59</v>
      </c>
      <c r="C50" t="s">
        <v>3813</v>
      </c>
      <c r="D50" t="s">
        <v>17976</v>
      </c>
      <c r="E50" t="s">
        <v>18108</v>
      </c>
      <c r="F50" t="s">
        <v>30900</v>
      </c>
      <c r="G50" t="s">
        <v>30908</v>
      </c>
      <c r="H50" t="s">
        <v>30916</v>
      </c>
      <c r="I50" t="s">
        <v>30921</v>
      </c>
      <c r="J50" t="s">
        <v>31087</v>
      </c>
      <c r="K50" t="s">
        <v>40280</v>
      </c>
      <c r="M50" t="s">
        <v>40605</v>
      </c>
      <c r="N50" t="s">
        <v>44759</v>
      </c>
      <c r="O50" t="s">
        <v>44760</v>
      </c>
      <c r="P50">
        <v>0</v>
      </c>
      <c r="Q50">
        <v>0</v>
      </c>
      <c r="R50" t="s">
        <v>44761</v>
      </c>
      <c r="S50" t="s">
        <v>44862</v>
      </c>
      <c r="T50" t="s">
        <v>46357</v>
      </c>
      <c r="U50" t="s">
        <v>47002</v>
      </c>
      <c r="W50" t="s">
        <v>40605</v>
      </c>
      <c r="X50" t="s">
        <v>44767</v>
      </c>
    </row>
    <row r="51" spans="1:24">
      <c r="A51">
        <f>HYPERLINK("https://www.philgeps.gov.ph/GEPSNONPILOT/Tender/SplashBidNoticeAbstractUI.aspx?menuIndex=3&amp;refID=7147609&amp;Result=3","7147609")</f>
        <v>0</v>
      </c>
      <c r="B51" t="s">
        <v>60</v>
      </c>
      <c r="C51" t="s">
        <v>3814</v>
      </c>
      <c r="D51" t="s">
        <v>17973</v>
      </c>
      <c r="E51" t="s">
        <v>18109</v>
      </c>
      <c r="F51" t="s">
        <v>30900</v>
      </c>
      <c r="G51" t="s">
        <v>30907</v>
      </c>
      <c r="H51" t="s">
        <v>30916</v>
      </c>
      <c r="I51" t="s">
        <v>30927</v>
      </c>
      <c r="J51" t="s">
        <v>31088</v>
      </c>
      <c r="K51" t="s">
        <v>40283</v>
      </c>
      <c r="M51" t="s">
        <v>40606</v>
      </c>
      <c r="N51" t="s">
        <v>44759</v>
      </c>
      <c r="O51" t="s">
        <v>44760</v>
      </c>
      <c r="P51">
        <v>0</v>
      </c>
      <c r="Q51">
        <v>0</v>
      </c>
      <c r="R51" t="s">
        <v>44761</v>
      </c>
      <c r="S51" t="s">
        <v>44862</v>
      </c>
      <c r="T51" t="s">
        <v>46350</v>
      </c>
      <c r="U51" t="s">
        <v>47003</v>
      </c>
      <c r="W51" t="s">
        <v>40606</v>
      </c>
      <c r="X51" t="s">
        <v>44767</v>
      </c>
    </row>
    <row r="52" spans="1:24">
      <c r="A52">
        <f>HYPERLINK("https://www.philgeps.gov.ph/GEPSNONPILOT/Tender/SplashBidNoticeAbstractUI.aspx?menuIndex=3&amp;refID=7147465&amp;Result=3","7147465")</f>
        <v>0</v>
      </c>
      <c r="B52" t="s">
        <v>61</v>
      </c>
      <c r="C52" t="s">
        <v>3815</v>
      </c>
      <c r="D52" t="s">
        <v>17974</v>
      </c>
      <c r="E52" t="s">
        <v>18110</v>
      </c>
      <c r="F52" t="s">
        <v>30900</v>
      </c>
      <c r="G52" t="s">
        <v>30907</v>
      </c>
      <c r="H52" t="s">
        <v>30915</v>
      </c>
      <c r="I52" t="s">
        <v>30919</v>
      </c>
      <c r="J52" t="s">
        <v>31089</v>
      </c>
      <c r="K52" t="s">
        <v>40289</v>
      </c>
      <c r="M52" t="s">
        <v>40607</v>
      </c>
      <c r="N52" t="s">
        <v>44759</v>
      </c>
      <c r="O52" t="s">
        <v>44760</v>
      </c>
      <c r="P52">
        <v>0</v>
      </c>
      <c r="Q52">
        <v>0</v>
      </c>
      <c r="R52" t="s">
        <v>44761</v>
      </c>
      <c r="S52" t="s">
        <v>44862</v>
      </c>
      <c r="T52" t="s">
        <v>46380</v>
      </c>
      <c r="U52" t="s">
        <v>47004</v>
      </c>
      <c r="W52" t="s">
        <v>40607</v>
      </c>
      <c r="X52" t="s">
        <v>44767</v>
      </c>
    </row>
    <row r="53" spans="1:24">
      <c r="A53">
        <f>HYPERLINK("https://www.philgeps.gov.ph/GEPSNONPILOT/Tender/SplashBidNoticeAbstractUI.aspx?menuIndex=3&amp;refID=7148710&amp;Result=3","7148710")</f>
        <v>0</v>
      </c>
      <c r="B53" t="s">
        <v>56</v>
      </c>
      <c r="C53" t="s">
        <v>3816</v>
      </c>
      <c r="D53" t="s">
        <v>17952</v>
      </c>
      <c r="E53" t="s">
        <v>18111</v>
      </c>
      <c r="F53" t="s">
        <v>30900</v>
      </c>
      <c r="G53" t="s">
        <v>30907</v>
      </c>
      <c r="H53" t="s">
        <v>30916</v>
      </c>
      <c r="I53" t="s">
        <v>30929</v>
      </c>
      <c r="J53" t="s">
        <v>31090</v>
      </c>
      <c r="K53" t="s">
        <v>40294</v>
      </c>
      <c r="M53" t="s">
        <v>40602</v>
      </c>
      <c r="N53" t="s">
        <v>44759</v>
      </c>
      <c r="O53" t="s">
        <v>44760</v>
      </c>
      <c r="P53">
        <v>0</v>
      </c>
      <c r="Q53">
        <v>0</v>
      </c>
      <c r="R53" t="s">
        <v>44761</v>
      </c>
      <c r="S53" t="s">
        <v>44862</v>
      </c>
      <c r="T53" t="s">
        <v>46378</v>
      </c>
      <c r="U53" t="s">
        <v>47005</v>
      </c>
      <c r="V53" t="s">
        <v>59101</v>
      </c>
      <c r="W53" t="s">
        <v>40602</v>
      </c>
      <c r="X53" t="s">
        <v>44765</v>
      </c>
    </row>
    <row r="54" spans="1:24">
      <c r="A54">
        <f>HYPERLINK("https://www.philgeps.gov.ph/GEPSNONPILOT/Tender/SplashBidNoticeAbstractUI.aspx?menuIndex=3&amp;refID=7148624&amp;Result=3","7148624")</f>
        <v>0</v>
      </c>
      <c r="B54" t="s">
        <v>53</v>
      </c>
      <c r="C54" t="s">
        <v>3817</v>
      </c>
      <c r="D54" t="s">
        <v>17974</v>
      </c>
      <c r="E54" t="s">
        <v>18112</v>
      </c>
      <c r="F54" t="s">
        <v>30900</v>
      </c>
      <c r="G54" t="s">
        <v>30907</v>
      </c>
      <c r="H54" t="s">
        <v>30916</v>
      </c>
      <c r="I54" t="s">
        <v>30923</v>
      </c>
      <c r="J54" t="s">
        <v>31091</v>
      </c>
      <c r="K54" t="s">
        <v>40293</v>
      </c>
      <c r="M54" t="s">
        <v>40599</v>
      </c>
      <c r="N54" t="s">
        <v>44759</v>
      </c>
      <c r="O54" t="s">
        <v>44760</v>
      </c>
      <c r="P54">
        <v>0</v>
      </c>
      <c r="Q54">
        <v>0</v>
      </c>
      <c r="R54" t="s">
        <v>44761</v>
      </c>
      <c r="S54" t="s">
        <v>44862</v>
      </c>
      <c r="T54" t="s">
        <v>46375</v>
      </c>
      <c r="U54" t="s">
        <v>46994</v>
      </c>
      <c r="W54" t="s">
        <v>40599</v>
      </c>
      <c r="X54" t="s">
        <v>44765</v>
      </c>
    </row>
    <row r="55" spans="1:24">
      <c r="A55">
        <f>HYPERLINK("https://www.philgeps.gov.ph/GEPSNONPILOT/Tender/SplashBidNoticeAbstractUI.aspx?menuIndex=3&amp;refID=7148707&amp;Result=3","7148707")</f>
        <v>0</v>
      </c>
      <c r="B55" t="s">
        <v>56</v>
      </c>
      <c r="C55" t="s">
        <v>3818</v>
      </c>
      <c r="D55" t="s">
        <v>17952</v>
      </c>
      <c r="E55" t="s">
        <v>18113</v>
      </c>
      <c r="F55" t="s">
        <v>30900</v>
      </c>
      <c r="G55" t="s">
        <v>30907</v>
      </c>
      <c r="H55" t="s">
        <v>30916</v>
      </c>
      <c r="I55" t="s">
        <v>30929</v>
      </c>
      <c r="J55" t="s">
        <v>31092</v>
      </c>
      <c r="K55" t="s">
        <v>40294</v>
      </c>
      <c r="M55" t="s">
        <v>40602</v>
      </c>
      <c r="N55" t="s">
        <v>44759</v>
      </c>
      <c r="O55" t="s">
        <v>44760</v>
      </c>
      <c r="P55">
        <v>0</v>
      </c>
      <c r="Q55">
        <v>0</v>
      </c>
      <c r="R55" t="s">
        <v>44761</v>
      </c>
      <c r="S55" t="s">
        <v>44862</v>
      </c>
      <c r="T55" t="s">
        <v>46378</v>
      </c>
      <c r="U55" t="s">
        <v>47006</v>
      </c>
      <c r="V55" t="s">
        <v>59101</v>
      </c>
      <c r="W55" t="s">
        <v>40602</v>
      </c>
      <c r="X55" t="s">
        <v>44765</v>
      </c>
    </row>
    <row r="56" spans="1:24">
      <c r="A56">
        <f>HYPERLINK("https://www.philgeps.gov.ph/GEPSNONPILOT/Tender/SplashBidNoticeAbstractUI.aspx?menuIndex=3&amp;refID=7149351&amp;Result=3","7149351")</f>
        <v>0</v>
      </c>
      <c r="B56" t="s">
        <v>62</v>
      </c>
      <c r="C56" t="s">
        <v>3819</v>
      </c>
      <c r="D56" t="s">
        <v>17978</v>
      </c>
      <c r="E56" t="s">
        <v>18114</v>
      </c>
      <c r="F56" t="s">
        <v>30900</v>
      </c>
      <c r="G56" t="s">
        <v>30908</v>
      </c>
      <c r="H56" t="s">
        <v>30916</v>
      </c>
      <c r="I56" t="s">
        <v>4545</v>
      </c>
      <c r="J56" t="s">
        <v>31070</v>
      </c>
      <c r="K56" t="s">
        <v>40288</v>
      </c>
      <c r="M56" t="s">
        <v>40608</v>
      </c>
      <c r="N56" t="s">
        <v>44759</v>
      </c>
      <c r="O56" t="s">
        <v>44760</v>
      </c>
      <c r="P56">
        <v>0</v>
      </c>
      <c r="Q56">
        <v>0</v>
      </c>
      <c r="R56" t="s">
        <v>44761</v>
      </c>
      <c r="S56" t="s">
        <v>44862</v>
      </c>
      <c r="T56" t="s">
        <v>46366</v>
      </c>
      <c r="U56" t="s">
        <v>47007</v>
      </c>
      <c r="W56" t="s">
        <v>40608</v>
      </c>
      <c r="X56" t="s">
        <v>44763</v>
      </c>
    </row>
    <row r="57" spans="1:24">
      <c r="A57">
        <f>HYPERLINK("https://www.philgeps.gov.ph/GEPSNONPILOT/Tender/SplashBidNoticeAbstractUI.aspx?menuIndex=3&amp;refID=7148858&amp;Result=3","7148858")</f>
        <v>0</v>
      </c>
      <c r="B57" t="s">
        <v>63</v>
      </c>
      <c r="C57" t="s">
        <v>3820</v>
      </c>
      <c r="D57" t="s">
        <v>17973</v>
      </c>
      <c r="E57" t="s">
        <v>18066</v>
      </c>
      <c r="F57" t="s">
        <v>30900</v>
      </c>
      <c r="G57" t="s">
        <v>30907</v>
      </c>
      <c r="H57" t="s">
        <v>30916</v>
      </c>
      <c r="I57" t="s">
        <v>8123</v>
      </c>
      <c r="J57" t="s">
        <v>31093</v>
      </c>
      <c r="K57" t="s">
        <v>40286</v>
      </c>
      <c r="M57" t="s">
        <v>40609</v>
      </c>
      <c r="N57" t="s">
        <v>44759</v>
      </c>
      <c r="O57" t="s">
        <v>44760</v>
      </c>
      <c r="P57">
        <v>0</v>
      </c>
      <c r="Q57">
        <v>0</v>
      </c>
      <c r="R57" t="s">
        <v>44761</v>
      </c>
      <c r="S57" t="s">
        <v>44862</v>
      </c>
      <c r="T57" t="s">
        <v>46373</v>
      </c>
      <c r="U57" t="s">
        <v>47008</v>
      </c>
      <c r="V57" t="s">
        <v>59104</v>
      </c>
      <c r="W57" t="s">
        <v>40609</v>
      </c>
      <c r="X57" t="s">
        <v>44765</v>
      </c>
    </row>
    <row r="58" spans="1:24">
      <c r="A58">
        <f>HYPERLINK("https://www.philgeps.gov.ph/GEPSNONPILOT/Tender/SplashBidNoticeAbstractUI.aspx?menuIndex=3&amp;refID=7149328&amp;Result=3","7149328")</f>
        <v>0</v>
      </c>
      <c r="B58" t="s">
        <v>45</v>
      </c>
      <c r="C58" t="s">
        <v>3821</v>
      </c>
      <c r="E58" t="s">
        <v>18115</v>
      </c>
      <c r="F58" t="s">
        <v>30900</v>
      </c>
      <c r="G58" t="s">
        <v>30909</v>
      </c>
      <c r="H58" t="s">
        <v>30916</v>
      </c>
      <c r="I58" t="s">
        <v>6396</v>
      </c>
      <c r="J58" t="s">
        <v>31058</v>
      </c>
      <c r="K58" t="s">
        <v>40287</v>
      </c>
      <c r="M58" t="s">
        <v>40610</v>
      </c>
      <c r="N58" t="s">
        <v>44759</v>
      </c>
      <c r="O58" t="s">
        <v>44760</v>
      </c>
      <c r="P58">
        <v>0</v>
      </c>
      <c r="Q58">
        <v>0</v>
      </c>
      <c r="R58" t="s">
        <v>44761</v>
      </c>
      <c r="S58" t="s">
        <v>44862</v>
      </c>
      <c r="T58" t="s">
        <v>46369</v>
      </c>
      <c r="U58" t="s">
        <v>47009</v>
      </c>
      <c r="W58" t="s">
        <v>40610</v>
      </c>
      <c r="X58" t="s">
        <v>44763</v>
      </c>
    </row>
    <row r="59" spans="1:24">
      <c r="A59">
        <f>HYPERLINK("https://www.philgeps.gov.ph/GEPSNONPILOT/Tender/SplashBidNoticeAbstractUI.aspx?menuIndex=3&amp;refID=7149244&amp;Result=3","7149244")</f>
        <v>0</v>
      </c>
      <c r="B59" t="s">
        <v>64</v>
      </c>
      <c r="C59" t="s">
        <v>3822</v>
      </c>
      <c r="D59" t="s">
        <v>17971</v>
      </c>
      <c r="E59" t="s">
        <v>18116</v>
      </c>
      <c r="F59" t="s">
        <v>30900</v>
      </c>
      <c r="G59" t="s">
        <v>30907</v>
      </c>
      <c r="H59" t="s">
        <v>30915</v>
      </c>
      <c r="I59" t="s">
        <v>30919</v>
      </c>
      <c r="J59" t="s">
        <v>31094</v>
      </c>
      <c r="K59" t="s">
        <v>40289</v>
      </c>
      <c r="M59" t="s">
        <v>40611</v>
      </c>
      <c r="N59" t="s">
        <v>44759</v>
      </c>
      <c r="O59" t="s">
        <v>44760</v>
      </c>
      <c r="P59">
        <v>0</v>
      </c>
      <c r="Q59">
        <v>0</v>
      </c>
      <c r="R59" t="s">
        <v>44761</v>
      </c>
      <c r="S59" t="s">
        <v>44862</v>
      </c>
      <c r="T59" t="s">
        <v>46381</v>
      </c>
      <c r="U59" t="s">
        <v>47010</v>
      </c>
      <c r="W59" t="s">
        <v>40611</v>
      </c>
      <c r="X59" t="s">
        <v>44763</v>
      </c>
    </row>
    <row r="60" spans="1:24">
      <c r="A60">
        <f>HYPERLINK("https://www.philgeps.gov.ph/GEPSNONPILOT/Tender/SplashBidNoticeAbstractUI.aspx?menuIndex=3&amp;refID=7147753&amp;Result=3","7147753")</f>
        <v>0</v>
      </c>
      <c r="B60" t="s">
        <v>65</v>
      </c>
      <c r="C60" t="s">
        <v>3823</v>
      </c>
      <c r="D60" t="s">
        <v>17959</v>
      </c>
      <c r="E60" t="s">
        <v>18117</v>
      </c>
      <c r="F60" t="s">
        <v>30900</v>
      </c>
      <c r="G60" t="s">
        <v>30908</v>
      </c>
      <c r="H60" t="s">
        <v>30916</v>
      </c>
      <c r="I60" t="s">
        <v>8044</v>
      </c>
      <c r="J60" t="s">
        <v>31095</v>
      </c>
      <c r="K60" t="s">
        <v>40287</v>
      </c>
      <c r="M60" t="s">
        <v>40612</v>
      </c>
      <c r="N60" t="s">
        <v>44759</v>
      </c>
      <c r="O60" t="s">
        <v>44760</v>
      </c>
      <c r="P60">
        <v>0</v>
      </c>
      <c r="Q60">
        <v>0</v>
      </c>
      <c r="R60" t="s">
        <v>44761</v>
      </c>
      <c r="S60" t="s">
        <v>44862</v>
      </c>
      <c r="T60" t="s">
        <v>46382</v>
      </c>
      <c r="U60" t="s">
        <v>47011</v>
      </c>
      <c r="W60" t="s">
        <v>40612</v>
      </c>
      <c r="X60" t="s">
        <v>44767</v>
      </c>
    </row>
    <row r="61" spans="1:24">
      <c r="A61">
        <f>HYPERLINK("https://www.philgeps.gov.ph/GEPSNONPILOT/Tender/SplashBidNoticeAbstractUI.aspx?menuIndex=3&amp;refID=7149073&amp;Result=3","7149073")</f>
        <v>0</v>
      </c>
      <c r="B61" t="s">
        <v>66</v>
      </c>
      <c r="C61" t="s">
        <v>3824</v>
      </c>
      <c r="D61" t="s">
        <v>17953</v>
      </c>
      <c r="E61" t="s">
        <v>18118</v>
      </c>
      <c r="F61" t="s">
        <v>30900</v>
      </c>
      <c r="G61" t="s">
        <v>30908</v>
      </c>
      <c r="H61" t="s">
        <v>30916</v>
      </c>
      <c r="I61" t="s">
        <v>30924</v>
      </c>
      <c r="J61" t="s">
        <v>31049</v>
      </c>
      <c r="K61" t="s">
        <v>40285</v>
      </c>
      <c r="M61" t="s">
        <v>40613</v>
      </c>
      <c r="N61" t="s">
        <v>44759</v>
      </c>
      <c r="O61" t="s">
        <v>44760</v>
      </c>
      <c r="P61">
        <v>0</v>
      </c>
      <c r="Q61">
        <v>0</v>
      </c>
      <c r="R61" t="s">
        <v>44761</v>
      </c>
      <c r="S61" t="s">
        <v>44862</v>
      </c>
      <c r="T61" t="s">
        <v>46376</v>
      </c>
      <c r="U61" t="s">
        <v>47012</v>
      </c>
      <c r="W61" t="s">
        <v>40613</v>
      </c>
      <c r="X61" t="s">
        <v>44764</v>
      </c>
    </row>
    <row r="62" spans="1:24">
      <c r="A62">
        <f>HYPERLINK("https://www.philgeps.gov.ph/GEPSNONPILOT/Tender/SplashBidNoticeAbstractUI.aspx?menuIndex=3&amp;refID=7149069&amp;Result=3","7149069")</f>
        <v>0</v>
      </c>
      <c r="B62" t="s">
        <v>66</v>
      </c>
      <c r="C62" t="s">
        <v>3825</v>
      </c>
      <c r="D62" t="s">
        <v>17953</v>
      </c>
      <c r="E62" t="s">
        <v>18119</v>
      </c>
      <c r="F62" t="s">
        <v>30900</v>
      </c>
      <c r="G62" t="s">
        <v>30908</v>
      </c>
      <c r="H62" t="s">
        <v>30916</v>
      </c>
      <c r="I62" t="s">
        <v>6396</v>
      </c>
      <c r="J62" t="s">
        <v>31096</v>
      </c>
      <c r="K62" t="s">
        <v>40285</v>
      </c>
      <c r="M62" t="s">
        <v>40613</v>
      </c>
      <c r="N62" t="s">
        <v>44759</v>
      </c>
      <c r="O62" t="s">
        <v>44760</v>
      </c>
      <c r="P62">
        <v>0</v>
      </c>
      <c r="Q62">
        <v>0</v>
      </c>
      <c r="R62" t="s">
        <v>44761</v>
      </c>
      <c r="S62" t="s">
        <v>44862</v>
      </c>
      <c r="T62" t="s">
        <v>46376</v>
      </c>
      <c r="U62" t="s">
        <v>47013</v>
      </c>
      <c r="W62" t="s">
        <v>40613</v>
      </c>
      <c r="X62" t="s">
        <v>44764</v>
      </c>
    </row>
    <row r="63" spans="1:24">
      <c r="A63">
        <f>HYPERLINK("https://www.philgeps.gov.ph/GEPSNONPILOT/Tender/SplashBidNoticeAbstractUI.aspx?menuIndex=3&amp;refID=7149396&amp;Result=3","7149396")</f>
        <v>0</v>
      </c>
      <c r="B63" t="s">
        <v>67</v>
      </c>
      <c r="C63" t="s">
        <v>3826</v>
      </c>
      <c r="D63" t="s">
        <v>17979</v>
      </c>
      <c r="E63" t="s">
        <v>18094</v>
      </c>
      <c r="F63" t="s">
        <v>30900</v>
      </c>
      <c r="G63" t="s">
        <v>30909</v>
      </c>
      <c r="H63" t="s">
        <v>30916</v>
      </c>
      <c r="I63" t="s">
        <v>6396</v>
      </c>
      <c r="J63" t="s">
        <v>31097</v>
      </c>
      <c r="K63" t="s">
        <v>40288</v>
      </c>
      <c r="M63" t="s">
        <v>40614</v>
      </c>
      <c r="N63" t="s">
        <v>44759</v>
      </c>
      <c r="O63" t="s">
        <v>44760</v>
      </c>
      <c r="P63">
        <v>0</v>
      </c>
      <c r="Q63">
        <v>0</v>
      </c>
      <c r="R63" t="s">
        <v>44761</v>
      </c>
      <c r="S63" t="s">
        <v>44862</v>
      </c>
      <c r="T63" t="s">
        <v>46383</v>
      </c>
      <c r="U63" t="s">
        <v>47014</v>
      </c>
      <c r="V63" t="s">
        <v>59105</v>
      </c>
      <c r="W63" t="s">
        <v>40614</v>
      </c>
      <c r="X63" t="s">
        <v>44763</v>
      </c>
    </row>
    <row r="64" spans="1:24">
      <c r="A64">
        <f>HYPERLINK("https://www.philgeps.gov.ph/GEPSNONPILOT/Tender/SplashBidNoticeAbstractUI.aspx?menuIndex=3&amp;refID=7149101&amp;Result=3","7149101")</f>
        <v>0</v>
      </c>
      <c r="B64" t="s">
        <v>68</v>
      </c>
      <c r="C64" t="s">
        <v>3827</v>
      </c>
      <c r="D64" t="s">
        <v>17980</v>
      </c>
      <c r="E64" t="s">
        <v>18120</v>
      </c>
      <c r="F64" t="s">
        <v>30900</v>
      </c>
      <c r="G64" t="s">
        <v>30911</v>
      </c>
      <c r="H64" t="s">
        <v>7411</v>
      </c>
      <c r="I64" t="s">
        <v>7411</v>
      </c>
      <c r="J64" t="s">
        <v>31098</v>
      </c>
      <c r="K64" t="s">
        <v>40295</v>
      </c>
      <c r="M64" t="s">
        <v>40615</v>
      </c>
      <c r="N64" t="s">
        <v>44759</v>
      </c>
      <c r="O64" t="s">
        <v>44760</v>
      </c>
      <c r="P64">
        <v>0</v>
      </c>
      <c r="Q64">
        <v>0</v>
      </c>
      <c r="R64" t="s">
        <v>44761</v>
      </c>
      <c r="S64" t="s">
        <v>44862</v>
      </c>
      <c r="T64" t="s">
        <v>46384</v>
      </c>
      <c r="U64" t="s">
        <v>47015</v>
      </c>
      <c r="W64" t="s">
        <v>40615</v>
      </c>
      <c r="X64" t="s">
        <v>44764</v>
      </c>
    </row>
    <row r="65" spans="1:24">
      <c r="A65">
        <f>HYPERLINK("https://www.philgeps.gov.ph/GEPSNONPILOT/Tender/SplashBidNoticeAbstractUI.aspx?menuIndex=3&amp;refID=7147692&amp;Result=3","7147692")</f>
        <v>0</v>
      </c>
      <c r="B65" t="s">
        <v>69</v>
      </c>
      <c r="C65" t="s">
        <v>3828</v>
      </c>
      <c r="D65" t="s">
        <v>17973</v>
      </c>
      <c r="E65" t="s">
        <v>18121</v>
      </c>
      <c r="F65" t="s">
        <v>30900</v>
      </c>
      <c r="G65" t="s">
        <v>30907</v>
      </c>
      <c r="H65" t="s">
        <v>30916</v>
      </c>
      <c r="I65" t="s">
        <v>30927</v>
      </c>
      <c r="J65" t="s">
        <v>31096</v>
      </c>
      <c r="K65" t="s">
        <v>40283</v>
      </c>
      <c r="M65" t="s">
        <v>40616</v>
      </c>
      <c r="N65" t="s">
        <v>44759</v>
      </c>
      <c r="O65" t="s">
        <v>44760</v>
      </c>
      <c r="P65">
        <v>0</v>
      </c>
      <c r="Q65">
        <v>0</v>
      </c>
      <c r="R65" t="s">
        <v>44761</v>
      </c>
      <c r="S65" t="s">
        <v>44862</v>
      </c>
      <c r="T65" t="s">
        <v>46350</v>
      </c>
      <c r="U65" t="s">
        <v>47016</v>
      </c>
      <c r="W65" t="s">
        <v>40616</v>
      </c>
      <c r="X65" t="s">
        <v>44767</v>
      </c>
    </row>
    <row r="66" spans="1:24">
      <c r="A66">
        <f>HYPERLINK("https://www.philgeps.gov.ph/GEPSNONPILOT/Tender/SplashBidNoticeAbstractUI.aspx?menuIndex=3&amp;refID=7148742&amp;Result=3","7148742")</f>
        <v>0</v>
      </c>
      <c r="B66" t="s">
        <v>70</v>
      </c>
      <c r="C66" t="s">
        <v>3829</v>
      </c>
      <c r="D66" t="s">
        <v>17981</v>
      </c>
      <c r="E66" t="s">
        <v>18122</v>
      </c>
      <c r="F66" t="s">
        <v>30900</v>
      </c>
      <c r="G66" t="s">
        <v>30907</v>
      </c>
      <c r="H66" t="s">
        <v>30915</v>
      </c>
      <c r="I66" t="s">
        <v>30919</v>
      </c>
      <c r="J66" t="s">
        <v>31099</v>
      </c>
      <c r="K66" t="s">
        <v>40296</v>
      </c>
      <c r="M66" t="s">
        <v>40617</v>
      </c>
      <c r="N66" t="s">
        <v>44759</v>
      </c>
      <c r="O66" t="s">
        <v>44760</v>
      </c>
      <c r="P66">
        <v>0</v>
      </c>
      <c r="Q66">
        <v>0</v>
      </c>
      <c r="R66" t="s">
        <v>44761</v>
      </c>
      <c r="S66" t="s">
        <v>44862</v>
      </c>
      <c r="T66" t="s">
        <v>46377</v>
      </c>
      <c r="U66" t="s">
        <v>47017</v>
      </c>
      <c r="V66" t="s">
        <v>59106</v>
      </c>
      <c r="W66" t="s">
        <v>40617</v>
      </c>
      <c r="X66" t="s">
        <v>44765</v>
      </c>
    </row>
    <row r="67" spans="1:24">
      <c r="A67">
        <f>HYPERLINK("https://www.philgeps.gov.ph/GEPSNONPILOT/Tender/SplashBidNoticeAbstractUI.aspx?menuIndex=3&amp;refID=7145458&amp;Result=3","7145458")</f>
        <v>0</v>
      </c>
      <c r="B67" t="s">
        <v>39</v>
      </c>
      <c r="C67" t="s">
        <v>3830</v>
      </c>
      <c r="E67" t="s">
        <v>18123</v>
      </c>
      <c r="F67" t="s">
        <v>30900</v>
      </c>
      <c r="G67" t="s">
        <v>30907</v>
      </c>
      <c r="H67" t="s">
        <v>30916</v>
      </c>
      <c r="I67" t="s">
        <v>30918</v>
      </c>
      <c r="J67" t="s">
        <v>31096</v>
      </c>
      <c r="K67" t="s">
        <v>40289</v>
      </c>
      <c r="M67" t="s">
        <v>40585</v>
      </c>
      <c r="N67" t="s">
        <v>44759</v>
      </c>
      <c r="O67" t="s">
        <v>44760</v>
      </c>
      <c r="P67">
        <v>0</v>
      </c>
      <c r="Q67">
        <v>0</v>
      </c>
      <c r="R67" t="s">
        <v>44761</v>
      </c>
      <c r="S67" t="s">
        <v>44862</v>
      </c>
      <c r="T67" t="s">
        <v>46350</v>
      </c>
      <c r="U67" t="s">
        <v>47018</v>
      </c>
      <c r="W67" t="s">
        <v>40585</v>
      </c>
      <c r="X67" t="s">
        <v>44767</v>
      </c>
    </row>
    <row r="68" spans="1:24">
      <c r="A68">
        <f>HYPERLINK("https://www.philgeps.gov.ph/GEPSNONPILOT/Tender/SplashBidNoticeAbstractUI.aspx?menuIndex=3&amp;refID=7148730&amp;Result=3","7148730")</f>
        <v>0</v>
      </c>
      <c r="B68" t="s">
        <v>70</v>
      </c>
      <c r="C68" t="s">
        <v>3831</v>
      </c>
      <c r="D68" t="s">
        <v>17981</v>
      </c>
      <c r="E68" t="s">
        <v>18124</v>
      </c>
      <c r="F68" t="s">
        <v>30900</v>
      </c>
      <c r="G68" t="s">
        <v>30907</v>
      </c>
      <c r="H68" t="s">
        <v>30915</v>
      </c>
      <c r="I68" t="s">
        <v>30919</v>
      </c>
      <c r="J68" t="s">
        <v>31100</v>
      </c>
      <c r="K68" t="s">
        <v>40296</v>
      </c>
      <c r="M68" t="s">
        <v>40617</v>
      </c>
      <c r="N68" t="s">
        <v>44759</v>
      </c>
      <c r="O68" t="s">
        <v>44760</v>
      </c>
      <c r="P68">
        <v>0</v>
      </c>
      <c r="Q68">
        <v>0</v>
      </c>
      <c r="R68" t="s">
        <v>44761</v>
      </c>
      <c r="S68" t="s">
        <v>44862</v>
      </c>
      <c r="T68" t="s">
        <v>46377</v>
      </c>
      <c r="U68" t="s">
        <v>47019</v>
      </c>
      <c r="V68" t="s">
        <v>59106</v>
      </c>
      <c r="W68" t="s">
        <v>40617</v>
      </c>
      <c r="X68" t="s">
        <v>44765</v>
      </c>
    </row>
    <row r="69" spans="1:24">
      <c r="A69">
        <f>HYPERLINK("https://www.philgeps.gov.ph/GEPSNONPILOT/Tender/SplashBidNoticeAbstractUI.aspx?menuIndex=3&amp;refID=7148725&amp;Result=3","7148725")</f>
        <v>0</v>
      </c>
      <c r="B69" t="s">
        <v>56</v>
      </c>
      <c r="C69" t="s">
        <v>3832</v>
      </c>
      <c r="D69" t="s">
        <v>17952</v>
      </c>
      <c r="E69" t="s">
        <v>18125</v>
      </c>
      <c r="F69" t="s">
        <v>30900</v>
      </c>
      <c r="G69" t="s">
        <v>30907</v>
      </c>
      <c r="H69" t="s">
        <v>30916</v>
      </c>
      <c r="I69" t="s">
        <v>30929</v>
      </c>
      <c r="J69" t="s">
        <v>31101</v>
      </c>
      <c r="K69" t="s">
        <v>40294</v>
      </c>
      <c r="M69" t="s">
        <v>40602</v>
      </c>
      <c r="N69" t="s">
        <v>44759</v>
      </c>
      <c r="O69" t="s">
        <v>44760</v>
      </c>
      <c r="P69">
        <v>0</v>
      </c>
      <c r="Q69">
        <v>0</v>
      </c>
      <c r="R69" t="s">
        <v>44761</v>
      </c>
      <c r="S69" t="s">
        <v>44862</v>
      </c>
      <c r="T69" t="s">
        <v>46378</v>
      </c>
      <c r="U69" t="s">
        <v>47020</v>
      </c>
      <c r="V69" t="s">
        <v>59101</v>
      </c>
      <c r="W69" t="s">
        <v>40602</v>
      </c>
      <c r="X69" t="s">
        <v>44765</v>
      </c>
    </row>
    <row r="70" spans="1:24">
      <c r="A70">
        <f>HYPERLINK("https://www.philgeps.gov.ph/GEPSNONPILOT/Tender/SplashBidNoticeAbstractUI.aspx?menuIndex=3&amp;refID=7148861&amp;Result=3","7148861")</f>
        <v>0</v>
      </c>
      <c r="B70" t="s">
        <v>71</v>
      </c>
      <c r="C70" t="s">
        <v>3833</v>
      </c>
      <c r="D70" t="s">
        <v>17973</v>
      </c>
      <c r="E70" t="s">
        <v>18066</v>
      </c>
      <c r="F70" t="s">
        <v>30900</v>
      </c>
      <c r="G70" t="s">
        <v>30907</v>
      </c>
      <c r="H70" t="s">
        <v>30916</v>
      </c>
      <c r="I70" t="s">
        <v>8123</v>
      </c>
      <c r="J70" t="s">
        <v>31102</v>
      </c>
      <c r="K70" t="s">
        <v>40286</v>
      </c>
      <c r="M70" t="s">
        <v>40618</v>
      </c>
      <c r="N70" t="s">
        <v>44759</v>
      </c>
      <c r="O70" t="s">
        <v>44760</v>
      </c>
      <c r="P70">
        <v>0</v>
      </c>
      <c r="Q70">
        <v>0</v>
      </c>
      <c r="R70" t="s">
        <v>44761</v>
      </c>
      <c r="S70" t="s">
        <v>44862</v>
      </c>
      <c r="T70" t="s">
        <v>46352</v>
      </c>
      <c r="U70" t="s">
        <v>47008</v>
      </c>
      <c r="V70" t="s">
        <v>59104</v>
      </c>
      <c r="W70" t="s">
        <v>40618</v>
      </c>
      <c r="X70" t="s">
        <v>44765</v>
      </c>
    </row>
    <row r="71" spans="1:24">
      <c r="A71">
        <f>HYPERLINK("https://www.philgeps.gov.ph/GEPSNONPILOT/Tender/SplashBidNoticeAbstractUI.aspx?menuIndex=3&amp;refID=7148722&amp;Result=3","7148722")</f>
        <v>0</v>
      </c>
      <c r="B71" t="s">
        <v>56</v>
      </c>
      <c r="C71" t="s">
        <v>3834</v>
      </c>
      <c r="D71" t="s">
        <v>17952</v>
      </c>
      <c r="E71" t="s">
        <v>18126</v>
      </c>
      <c r="F71" t="s">
        <v>30900</v>
      </c>
      <c r="G71" t="s">
        <v>30907</v>
      </c>
      <c r="H71" t="s">
        <v>30916</v>
      </c>
      <c r="I71" t="s">
        <v>30929</v>
      </c>
      <c r="J71" t="s">
        <v>31103</v>
      </c>
      <c r="K71" t="s">
        <v>40294</v>
      </c>
      <c r="M71" t="s">
        <v>40602</v>
      </c>
      <c r="N71" t="s">
        <v>44759</v>
      </c>
      <c r="O71" t="s">
        <v>44760</v>
      </c>
      <c r="P71">
        <v>0</v>
      </c>
      <c r="Q71">
        <v>0</v>
      </c>
      <c r="R71" t="s">
        <v>44761</v>
      </c>
      <c r="S71" t="s">
        <v>44862</v>
      </c>
      <c r="T71" t="s">
        <v>46378</v>
      </c>
      <c r="U71" t="s">
        <v>47021</v>
      </c>
      <c r="V71" t="s">
        <v>59101</v>
      </c>
      <c r="W71" t="s">
        <v>40602</v>
      </c>
      <c r="X71" t="s">
        <v>44765</v>
      </c>
    </row>
    <row r="72" spans="1:24">
      <c r="A72">
        <f>HYPERLINK("https://www.philgeps.gov.ph/GEPSNONPILOT/Tender/SplashBidNoticeAbstractUI.aspx?menuIndex=3&amp;refID=7148749&amp;Result=3","7148749")</f>
        <v>0</v>
      </c>
      <c r="B72" t="s">
        <v>72</v>
      </c>
      <c r="C72" t="s">
        <v>3835</v>
      </c>
      <c r="D72" t="s">
        <v>17982</v>
      </c>
      <c r="E72" t="s">
        <v>18127</v>
      </c>
      <c r="F72" t="s">
        <v>30900</v>
      </c>
      <c r="G72" t="s">
        <v>30907</v>
      </c>
      <c r="H72" t="s">
        <v>30916</v>
      </c>
      <c r="I72" t="s">
        <v>8123</v>
      </c>
      <c r="J72" t="s">
        <v>31104</v>
      </c>
      <c r="K72" t="s">
        <v>40286</v>
      </c>
      <c r="L72" t="s">
        <v>72</v>
      </c>
      <c r="M72" t="s">
        <v>40619</v>
      </c>
      <c r="N72" t="s">
        <v>44759</v>
      </c>
      <c r="O72" t="s">
        <v>44760</v>
      </c>
      <c r="P72">
        <v>0</v>
      </c>
      <c r="Q72">
        <v>0</v>
      </c>
      <c r="R72" t="s">
        <v>44761</v>
      </c>
      <c r="S72" t="s">
        <v>44862</v>
      </c>
      <c r="T72" t="s">
        <v>46385</v>
      </c>
      <c r="U72" t="s">
        <v>47022</v>
      </c>
      <c r="V72" t="s">
        <v>59107</v>
      </c>
      <c r="W72" t="s">
        <v>40619</v>
      </c>
      <c r="X72" t="s">
        <v>44765</v>
      </c>
    </row>
    <row r="73" spans="1:24">
      <c r="A73">
        <f>HYPERLINK("https://www.philgeps.gov.ph/GEPSNONPILOT/Tender/SplashBidNoticeAbstractUI.aspx?menuIndex=3&amp;refID=7148729&amp;Result=3","7148729")</f>
        <v>0</v>
      </c>
      <c r="B73" t="s">
        <v>56</v>
      </c>
      <c r="C73" t="s">
        <v>3836</v>
      </c>
      <c r="D73" t="s">
        <v>17952</v>
      </c>
      <c r="E73" t="s">
        <v>18128</v>
      </c>
      <c r="F73" t="s">
        <v>30900</v>
      </c>
      <c r="G73" t="s">
        <v>30907</v>
      </c>
      <c r="H73" t="s">
        <v>30916</v>
      </c>
      <c r="I73" t="s">
        <v>30929</v>
      </c>
      <c r="J73" t="s">
        <v>31067</v>
      </c>
      <c r="K73" t="s">
        <v>40294</v>
      </c>
      <c r="M73" t="s">
        <v>40602</v>
      </c>
      <c r="N73" t="s">
        <v>44759</v>
      </c>
      <c r="O73" t="s">
        <v>44760</v>
      </c>
      <c r="P73">
        <v>0</v>
      </c>
      <c r="Q73">
        <v>0</v>
      </c>
      <c r="R73" t="s">
        <v>44761</v>
      </c>
      <c r="S73" t="s">
        <v>44862</v>
      </c>
      <c r="T73" t="s">
        <v>46378</v>
      </c>
      <c r="U73" t="s">
        <v>47023</v>
      </c>
      <c r="V73" t="s">
        <v>59101</v>
      </c>
      <c r="W73" t="s">
        <v>40602</v>
      </c>
      <c r="X73" t="s">
        <v>44765</v>
      </c>
    </row>
    <row r="74" spans="1:24">
      <c r="A74">
        <f>HYPERLINK("https://www.philgeps.gov.ph/GEPSNONPILOT/Tender/SplashBidNoticeAbstractUI.aspx?menuIndex=3&amp;refID=7149742&amp;Result=3","7149742")</f>
        <v>0</v>
      </c>
      <c r="B74" t="s">
        <v>73</v>
      </c>
      <c r="C74" t="s">
        <v>3837</v>
      </c>
      <c r="D74" t="s">
        <v>17983</v>
      </c>
      <c r="E74" t="s">
        <v>18129</v>
      </c>
      <c r="F74" t="s">
        <v>30900</v>
      </c>
      <c r="G74" t="s">
        <v>30907</v>
      </c>
      <c r="H74" t="s">
        <v>30916</v>
      </c>
      <c r="I74" t="s">
        <v>9385</v>
      </c>
      <c r="J74" t="s">
        <v>31105</v>
      </c>
      <c r="K74" t="s">
        <v>40293</v>
      </c>
      <c r="M74" t="s">
        <v>40620</v>
      </c>
      <c r="N74" t="s">
        <v>44759</v>
      </c>
      <c r="O74" t="s">
        <v>44760</v>
      </c>
      <c r="P74">
        <v>0</v>
      </c>
      <c r="Q74">
        <v>0</v>
      </c>
      <c r="R74" t="s">
        <v>44761</v>
      </c>
      <c r="S74" t="s">
        <v>44862</v>
      </c>
      <c r="T74" t="s">
        <v>46369</v>
      </c>
      <c r="U74" t="s">
        <v>47024</v>
      </c>
      <c r="W74" t="s">
        <v>40620</v>
      </c>
      <c r="X74" t="s">
        <v>44763</v>
      </c>
    </row>
    <row r="75" spans="1:24">
      <c r="A75">
        <f>HYPERLINK("https://www.philgeps.gov.ph/GEPSNONPILOT/Tender/SplashBidNoticeAbstractUI.aspx?menuIndex=3&amp;refID=7149741&amp;Result=3","7149741")</f>
        <v>0</v>
      </c>
      <c r="B75" t="s">
        <v>74</v>
      </c>
      <c r="C75" t="s">
        <v>3838</v>
      </c>
      <c r="D75" t="s">
        <v>17984</v>
      </c>
      <c r="E75" t="s">
        <v>18130</v>
      </c>
      <c r="F75" t="s">
        <v>30900</v>
      </c>
      <c r="G75" t="s">
        <v>30907</v>
      </c>
      <c r="H75" t="s">
        <v>30915</v>
      </c>
      <c r="I75" t="s">
        <v>30919</v>
      </c>
      <c r="J75" t="s">
        <v>31106</v>
      </c>
      <c r="K75" t="s">
        <v>40297</v>
      </c>
      <c r="M75" t="s">
        <v>40621</v>
      </c>
      <c r="N75" t="s">
        <v>44759</v>
      </c>
      <c r="O75" t="s">
        <v>44760</v>
      </c>
      <c r="P75">
        <v>0</v>
      </c>
      <c r="Q75">
        <v>0</v>
      </c>
      <c r="R75" t="s">
        <v>44761</v>
      </c>
      <c r="S75" t="s">
        <v>44862</v>
      </c>
      <c r="T75" t="s">
        <v>46350</v>
      </c>
      <c r="U75" t="s">
        <v>47025</v>
      </c>
      <c r="W75" t="s">
        <v>40621</v>
      </c>
      <c r="X75" t="s">
        <v>44763</v>
      </c>
    </row>
    <row r="76" spans="1:24">
      <c r="A76">
        <f>HYPERLINK("https://www.philgeps.gov.ph/GEPSNONPILOT/Tender/SplashBidNoticeAbstractUI.aspx?menuIndex=3&amp;refID=7149738&amp;Result=3","7149738")</f>
        <v>0</v>
      </c>
      <c r="B76" t="s">
        <v>75</v>
      </c>
      <c r="C76" t="s">
        <v>3839</v>
      </c>
      <c r="D76" t="s">
        <v>17985</v>
      </c>
      <c r="E76" t="s">
        <v>18131</v>
      </c>
      <c r="F76" t="s">
        <v>30900</v>
      </c>
      <c r="G76" t="s">
        <v>30907</v>
      </c>
      <c r="H76" t="s">
        <v>30915</v>
      </c>
      <c r="I76" t="s">
        <v>30919</v>
      </c>
      <c r="J76" t="s">
        <v>31107</v>
      </c>
      <c r="K76" t="s">
        <v>40293</v>
      </c>
      <c r="M76" t="s">
        <v>40622</v>
      </c>
      <c r="N76" t="s">
        <v>44759</v>
      </c>
      <c r="O76" t="s">
        <v>44760</v>
      </c>
      <c r="P76">
        <v>0</v>
      </c>
      <c r="Q76">
        <v>0</v>
      </c>
      <c r="R76" t="s">
        <v>44761</v>
      </c>
      <c r="S76" t="s">
        <v>44862</v>
      </c>
      <c r="T76" t="s">
        <v>46380</v>
      </c>
      <c r="U76" t="s">
        <v>47026</v>
      </c>
      <c r="W76" t="s">
        <v>40622</v>
      </c>
      <c r="X76" t="s">
        <v>44763</v>
      </c>
    </row>
    <row r="77" spans="1:24">
      <c r="A77">
        <f>HYPERLINK("https://www.philgeps.gov.ph/GEPSNONPILOT/Tender/SplashBidNoticeAbstractUI.aspx?menuIndex=3&amp;refID=7148734&amp;Result=3","7148734")</f>
        <v>0</v>
      </c>
      <c r="B77" t="s">
        <v>56</v>
      </c>
      <c r="C77" t="s">
        <v>3840</v>
      </c>
      <c r="D77" t="s">
        <v>17952</v>
      </c>
      <c r="E77" t="s">
        <v>18132</v>
      </c>
      <c r="F77" t="s">
        <v>30900</v>
      </c>
      <c r="G77" t="s">
        <v>30907</v>
      </c>
      <c r="H77" t="s">
        <v>30916</v>
      </c>
      <c r="I77" t="s">
        <v>4545</v>
      </c>
      <c r="J77" t="s">
        <v>31050</v>
      </c>
      <c r="K77" t="s">
        <v>40294</v>
      </c>
      <c r="M77" t="s">
        <v>40602</v>
      </c>
      <c r="N77" t="s">
        <v>44759</v>
      </c>
      <c r="O77" t="s">
        <v>44760</v>
      </c>
      <c r="P77">
        <v>0</v>
      </c>
      <c r="Q77">
        <v>0</v>
      </c>
      <c r="R77" t="s">
        <v>44761</v>
      </c>
      <c r="S77" t="s">
        <v>44862</v>
      </c>
      <c r="T77" t="s">
        <v>46378</v>
      </c>
      <c r="U77" t="s">
        <v>47027</v>
      </c>
      <c r="V77" t="s">
        <v>59108</v>
      </c>
      <c r="W77" t="s">
        <v>40602</v>
      </c>
      <c r="X77" t="s">
        <v>44765</v>
      </c>
    </row>
    <row r="78" spans="1:24">
      <c r="A78">
        <f>HYPERLINK("https://www.philgeps.gov.ph/GEPSNONPILOT/Tender/SplashBidNoticeAbstractUI.aspx?menuIndex=3&amp;refID=7149730&amp;Result=3","7149730")</f>
        <v>0</v>
      </c>
      <c r="B78" t="s">
        <v>46</v>
      </c>
      <c r="C78" t="s">
        <v>3841</v>
      </c>
      <c r="D78" t="s">
        <v>17953</v>
      </c>
      <c r="E78" t="s">
        <v>18133</v>
      </c>
      <c r="F78" t="s">
        <v>30900</v>
      </c>
      <c r="G78" t="s">
        <v>30907</v>
      </c>
      <c r="H78" t="s">
        <v>30916</v>
      </c>
      <c r="I78" t="s">
        <v>30930</v>
      </c>
      <c r="J78" t="s">
        <v>31108</v>
      </c>
      <c r="K78" t="s">
        <v>40291</v>
      </c>
      <c r="M78" t="s">
        <v>40592</v>
      </c>
      <c r="N78" t="s">
        <v>44759</v>
      </c>
      <c r="O78" t="s">
        <v>44760</v>
      </c>
      <c r="P78">
        <v>0</v>
      </c>
      <c r="Q78">
        <v>0</v>
      </c>
      <c r="R78" t="s">
        <v>44761</v>
      </c>
      <c r="S78" t="s">
        <v>44862</v>
      </c>
      <c r="T78" t="s">
        <v>46370</v>
      </c>
      <c r="U78" t="s">
        <v>46984</v>
      </c>
      <c r="W78" t="s">
        <v>60814</v>
      </c>
      <c r="X78" t="s">
        <v>44763</v>
      </c>
    </row>
    <row r="79" spans="1:24">
      <c r="A79">
        <f>HYPERLINK("https://www.philgeps.gov.ph/GEPSNONPILOT/Tender/SplashBidNoticeAbstractUI.aspx?menuIndex=3&amp;refID=7149722&amp;Result=3","7149722")</f>
        <v>0</v>
      </c>
      <c r="B79" t="s">
        <v>74</v>
      </c>
      <c r="C79" t="s">
        <v>3842</v>
      </c>
      <c r="D79" t="s">
        <v>17984</v>
      </c>
      <c r="E79" t="s">
        <v>18134</v>
      </c>
      <c r="F79" t="s">
        <v>30900</v>
      </c>
      <c r="G79" t="s">
        <v>30907</v>
      </c>
      <c r="H79" t="s">
        <v>30915</v>
      </c>
      <c r="I79" t="s">
        <v>30919</v>
      </c>
      <c r="J79" t="s">
        <v>31109</v>
      </c>
      <c r="K79" t="s">
        <v>40298</v>
      </c>
      <c r="M79" t="s">
        <v>40621</v>
      </c>
      <c r="N79" t="s">
        <v>44759</v>
      </c>
      <c r="O79" t="s">
        <v>44760</v>
      </c>
      <c r="P79">
        <v>0</v>
      </c>
      <c r="Q79">
        <v>0</v>
      </c>
      <c r="R79" t="s">
        <v>44761</v>
      </c>
      <c r="S79" t="s">
        <v>44862</v>
      </c>
      <c r="T79" t="s">
        <v>46350</v>
      </c>
      <c r="U79" t="s">
        <v>47028</v>
      </c>
      <c r="W79" t="s">
        <v>40621</v>
      </c>
      <c r="X79" t="s">
        <v>44763</v>
      </c>
    </row>
    <row r="80" spans="1:24">
      <c r="A80">
        <f>HYPERLINK("https://www.philgeps.gov.ph/GEPSNONPILOT/Tender/SplashBidNoticeAbstractUI.aspx?menuIndex=3&amp;refID=7149745&amp;Result=3","7149745")</f>
        <v>0</v>
      </c>
      <c r="B80" t="s">
        <v>75</v>
      </c>
      <c r="C80" t="s">
        <v>3843</v>
      </c>
      <c r="D80" t="s">
        <v>17985</v>
      </c>
      <c r="E80" t="s">
        <v>18135</v>
      </c>
      <c r="F80" t="s">
        <v>30900</v>
      </c>
      <c r="G80" t="s">
        <v>30907</v>
      </c>
      <c r="H80" t="s">
        <v>30915</v>
      </c>
      <c r="I80" t="s">
        <v>30919</v>
      </c>
      <c r="J80" t="s">
        <v>31110</v>
      </c>
      <c r="K80" t="s">
        <v>40299</v>
      </c>
      <c r="M80" t="s">
        <v>40622</v>
      </c>
      <c r="N80" t="s">
        <v>44759</v>
      </c>
      <c r="O80" t="s">
        <v>44760</v>
      </c>
      <c r="P80">
        <v>0</v>
      </c>
      <c r="Q80">
        <v>0</v>
      </c>
      <c r="R80" t="s">
        <v>44761</v>
      </c>
      <c r="S80" t="s">
        <v>44862</v>
      </c>
      <c r="T80" t="s">
        <v>46380</v>
      </c>
      <c r="U80" t="s">
        <v>47029</v>
      </c>
      <c r="W80" t="s">
        <v>40622</v>
      </c>
      <c r="X80" t="s">
        <v>44763</v>
      </c>
    </row>
    <row r="81" spans="1:24">
      <c r="A81">
        <f>HYPERLINK("https://www.philgeps.gov.ph/GEPSNONPILOT/Tender/SplashBidNoticeAbstractUI.aspx?menuIndex=3&amp;refID=7149701&amp;Result=3","7149701")</f>
        <v>0</v>
      </c>
      <c r="B81" t="s">
        <v>76</v>
      </c>
      <c r="C81" t="s">
        <v>3844</v>
      </c>
      <c r="D81" t="s">
        <v>17955</v>
      </c>
      <c r="E81" t="s">
        <v>18136</v>
      </c>
      <c r="F81" t="s">
        <v>30900</v>
      </c>
      <c r="G81" t="s">
        <v>30907</v>
      </c>
      <c r="H81" t="s">
        <v>30915</v>
      </c>
      <c r="I81" t="s">
        <v>30919</v>
      </c>
      <c r="J81" t="s">
        <v>31111</v>
      </c>
      <c r="K81" t="s">
        <v>40292</v>
      </c>
      <c r="M81" t="s">
        <v>40623</v>
      </c>
      <c r="N81" t="s">
        <v>44759</v>
      </c>
      <c r="O81" t="s">
        <v>44760</v>
      </c>
      <c r="P81">
        <v>0</v>
      </c>
      <c r="Q81">
        <v>0</v>
      </c>
      <c r="R81" t="s">
        <v>44761</v>
      </c>
      <c r="S81" t="s">
        <v>44862</v>
      </c>
      <c r="T81" t="s">
        <v>46382</v>
      </c>
      <c r="U81" t="s">
        <v>47030</v>
      </c>
      <c r="W81" t="s">
        <v>40623</v>
      </c>
      <c r="X81" t="s">
        <v>44763</v>
      </c>
    </row>
    <row r="82" spans="1:24">
      <c r="A82">
        <f>HYPERLINK("https://www.philgeps.gov.ph/GEPSNONPILOT/Tender/SplashBidNoticeAbstractUI.aspx?menuIndex=3&amp;refID=7149676&amp;Result=3","7149676")</f>
        <v>0</v>
      </c>
      <c r="B82" t="s">
        <v>46</v>
      </c>
      <c r="C82" t="s">
        <v>3845</v>
      </c>
      <c r="D82" t="s">
        <v>17953</v>
      </c>
      <c r="E82" t="s">
        <v>18137</v>
      </c>
      <c r="F82" t="s">
        <v>30900</v>
      </c>
      <c r="G82" t="s">
        <v>30910</v>
      </c>
      <c r="H82" t="s">
        <v>30916</v>
      </c>
      <c r="I82" t="s">
        <v>30931</v>
      </c>
      <c r="J82" t="s">
        <v>31049</v>
      </c>
      <c r="K82" t="s">
        <v>40291</v>
      </c>
      <c r="M82" t="s">
        <v>40592</v>
      </c>
      <c r="N82" t="s">
        <v>44759</v>
      </c>
      <c r="O82" t="s">
        <v>44760</v>
      </c>
      <c r="P82">
        <v>0</v>
      </c>
      <c r="Q82">
        <v>0</v>
      </c>
      <c r="R82" t="s">
        <v>44761</v>
      </c>
      <c r="S82" t="s">
        <v>44862</v>
      </c>
      <c r="T82" t="s">
        <v>46386</v>
      </c>
      <c r="U82" t="s">
        <v>47031</v>
      </c>
      <c r="W82" t="s">
        <v>60814</v>
      </c>
      <c r="X82" t="s">
        <v>44763</v>
      </c>
    </row>
    <row r="83" spans="1:24">
      <c r="A83">
        <f>HYPERLINK("https://www.philgeps.gov.ph/GEPSNONPILOT/Tender/SplashBidNoticeAbstractUI.aspx?menuIndex=3&amp;refID=7148714&amp;Result=3","7148714")</f>
        <v>0</v>
      </c>
      <c r="B83" t="s">
        <v>56</v>
      </c>
      <c r="C83" t="s">
        <v>3846</v>
      </c>
      <c r="D83" t="s">
        <v>17952</v>
      </c>
      <c r="E83" t="s">
        <v>18138</v>
      </c>
      <c r="F83" t="s">
        <v>30900</v>
      </c>
      <c r="G83" t="s">
        <v>30907</v>
      </c>
      <c r="H83" t="s">
        <v>30916</v>
      </c>
      <c r="I83" t="s">
        <v>30929</v>
      </c>
      <c r="J83" t="s">
        <v>31112</v>
      </c>
      <c r="K83" t="s">
        <v>40294</v>
      </c>
      <c r="M83" t="s">
        <v>40602</v>
      </c>
      <c r="N83" t="s">
        <v>44759</v>
      </c>
      <c r="O83" t="s">
        <v>44760</v>
      </c>
      <c r="P83">
        <v>0</v>
      </c>
      <c r="Q83">
        <v>0</v>
      </c>
      <c r="R83" t="s">
        <v>44761</v>
      </c>
      <c r="S83" t="s">
        <v>44862</v>
      </c>
      <c r="T83" t="s">
        <v>46378</v>
      </c>
      <c r="U83" t="s">
        <v>47032</v>
      </c>
      <c r="V83" t="s">
        <v>59101</v>
      </c>
      <c r="W83" t="s">
        <v>40602</v>
      </c>
      <c r="X83" t="s">
        <v>44765</v>
      </c>
    </row>
    <row r="84" spans="1:24">
      <c r="A84">
        <f>HYPERLINK("https://www.philgeps.gov.ph/GEPSNONPILOT/Tender/SplashBidNoticeAbstractUI.aspx?menuIndex=3&amp;refID=7146890&amp;Result=3","7146890")</f>
        <v>0</v>
      </c>
      <c r="B84" t="s">
        <v>77</v>
      </c>
      <c r="C84" t="s">
        <v>3847</v>
      </c>
      <c r="D84" t="s">
        <v>17986</v>
      </c>
      <c r="E84" t="s">
        <v>18139</v>
      </c>
      <c r="F84" t="s">
        <v>30900</v>
      </c>
      <c r="G84" t="s">
        <v>30907</v>
      </c>
      <c r="H84" t="s">
        <v>30915</v>
      </c>
      <c r="I84" t="s">
        <v>30919</v>
      </c>
      <c r="J84" t="s">
        <v>31113</v>
      </c>
      <c r="K84" t="s">
        <v>40300</v>
      </c>
      <c r="M84" t="s">
        <v>40624</v>
      </c>
      <c r="N84" t="s">
        <v>44759</v>
      </c>
      <c r="O84" t="s">
        <v>44760</v>
      </c>
      <c r="P84">
        <v>0</v>
      </c>
      <c r="Q84">
        <v>0</v>
      </c>
      <c r="R84" t="s">
        <v>44762</v>
      </c>
      <c r="S84" t="s">
        <v>44863</v>
      </c>
      <c r="T84" t="s">
        <v>46350</v>
      </c>
      <c r="U84" t="s">
        <v>47033</v>
      </c>
      <c r="W84" t="s">
        <v>40624</v>
      </c>
      <c r="X84" t="s">
        <v>44767</v>
      </c>
    </row>
    <row r="85" spans="1:24">
      <c r="A85">
        <f>HYPERLINK("https://www.philgeps.gov.ph/GEPSNONPILOT/Tender/SplashBidNoticeAbstractUI.aspx?menuIndex=3&amp;refID=7147495&amp;Result=3","7147495")</f>
        <v>0</v>
      </c>
      <c r="B85" t="s">
        <v>78</v>
      </c>
      <c r="C85" t="s">
        <v>3848</v>
      </c>
      <c r="D85" t="s">
        <v>17987</v>
      </c>
      <c r="E85" t="s">
        <v>18140</v>
      </c>
      <c r="F85" t="s">
        <v>30900</v>
      </c>
      <c r="G85" t="s">
        <v>30907</v>
      </c>
      <c r="H85" t="s">
        <v>30916</v>
      </c>
      <c r="I85" t="s">
        <v>8123</v>
      </c>
      <c r="J85" t="s">
        <v>31114</v>
      </c>
      <c r="K85" t="s">
        <v>40289</v>
      </c>
      <c r="M85" t="s">
        <v>40625</v>
      </c>
      <c r="N85" t="s">
        <v>44759</v>
      </c>
      <c r="O85" t="s">
        <v>44760</v>
      </c>
      <c r="P85">
        <v>0</v>
      </c>
      <c r="Q85">
        <v>0</v>
      </c>
      <c r="R85" t="s">
        <v>44762</v>
      </c>
      <c r="S85" t="s">
        <v>44863</v>
      </c>
      <c r="T85" t="s">
        <v>46387</v>
      </c>
      <c r="U85" t="s">
        <v>47034</v>
      </c>
      <c r="W85" t="s">
        <v>40625</v>
      </c>
      <c r="X85" t="s">
        <v>44767</v>
      </c>
    </row>
    <row r="86" spans="1:24">
      <c r="A86">
        <f>HYPERLINK("https://www.philgeps.gov.ph/GEPSNONPILOT/Tender/SplashBidNoticeAbstractUI.aspx?menuIndex=3&amp;refID=7149727&amp;Result=3","7149727")</f>
        <v>0</v>
      </c>
      <c r="B86" t="s">
        <v>79</v>
      </c>
      <c r="C86" t="s">
        <v>3849</v>
      </c>
      <c r="D86" t="s">
        <v>17988</v>
      </c>
      <c r="E86" t="s">
        <v>18141</v>
      </c>
      <c r="F86" t="s">
        <v>30900</v>
      </c>
      <c r="G86" t="s">
        <v>30908</v>
      </c>
      <c r="H86" t="s">
        <v>30916</v>
      </c>
      <c r="I86" t="s">
        <v>4142</v>
      </c>
      <c r="J86" t="s">
        <v>31115</v>
      </c>
      <c r="K86" t="s">
        <v>40287</v>
      </c>
      <c r="M86" t="s">
        <v>40626</v>
      </c>
      <c r="N86" t="s">
        <v>44759</v>
      </c>
      <c r="O86" t="s">
        <v>44760</v>
      </c>
      <c r="P86">
        <v>0</v>
      </c>
      <c r="Q86">
        <v>0</v>
      </c>
      <c r="R86" t="s">
        <v>44761</v>
      </c>
      <c r="S86" t="s">
        <v>44862</v>
      </c>
      <c r="T86" t="s">
        <v>46388</v>
      </c>
      <c r="U86" t="s">
        <v>47035</v>
      </c>
      <c r="V86" t="s">
        <v>59109</v>
      </c>
      <c r="W86" t="s">
        <v>40626</v>
      </c>
      <c r="X86" t="s">
        <v>44763</v>
      </c>
    </row>
    <row r="87" spans="1:24">
      <c r="A87">
        <f>HYPERLINK("https://www.philgeps.gov.ph/GEPSNONPILOT/Tender/SplashBidNoticeAbstractUI.aspx?menuIndex=3&amp;refID=7147480&amp;Result=3","7147480")</f>
        <v>0</v>
      </c>
      <c r="B87" t="s">
        <v>78</v>
      </c>
      <c r="C87" t="s">
        <v>3850</v>
      </c>
      <c r="D87" t="s">
        <v>17987</v>
      </c>
      <c r="E87" t="s">
        <v>18142</v>
      </c>
      <c r="F87" t="s">
        <v>30900</v>
      </c>
      <c r="G87" t="s">
        <v>30907</v>
      </c>
      <c r="H87" t="s">
        <v>30916</v>
      </c>
      <c r="I87" t="s">
        <v>8123</v>
      </c>
      <c r="J87" t="s">
        <v>31116</v>
      </c>
      <c r="K87" t="s">
        <v>40289</v>
      </c>
      <c r="M87" t="s">
        <v>40625</v>
      </c>
      <c r="N87" t="s">
        <v>44759</v>
      </c>
      <c r="O87" t="s">
        <v>44760</v>
      </c>
      <c r="P87">
        <v>0</v>
      </c>
      <c r="Q87">
        <v>0</v>
      </c>
      <c r="R87" t="s">
        <v>44762</v>
      </c>
      <c r="S87" t="s">
        <v>44863</v>
      </c>
      <c r="T87" t="s">
        <v>46387</v>
      </c>
      <c r="U87" t="s">
        <v>47036</v>
      </c>
      <c r="W87" t="s">
        <v>40625</v>
      </c>
      <c r="X87" t="s">
        <v>44767</v>
      </c>
    </row>
    <row r="88" spans="1:24">
      <c r="A88">
        <f>HYPERLINK("https://www.philgeps.gov.ph/GEPSNONPILOT/Tender/SplashBidNoticeAbstractUI.aspx?menuIndex=3&amp;refID=7149726&amp;Result=3","7149726")</f>
        <v>0</v>
      </c>
      <c r="B88" t="s">
        <v>75</v>
      </c>
      <c r="C88" t="s">
        <v>3851</v>
      </c>
      <c r="D88" t="s">
        <v>17985</v>
      </c>
      <c r="E88" t="s">
        <v>18143</v>
      </c>
      <c r="F88" t="s">
        <v>30900</v>
      </c>
      <c r="G88" t="s">
        <v>30907</v>
      </c>
      <c r="H88" t="s">
        <v>30915</v>
      </c>
      <c r="I88" t="s">
        <v>30919</v>
      </c>
      <c r="J88" t="s">
        <v>31117</v>
      </c>
      <c r="K88" t="s">
        <v>40301</v>
      </c>
      <c r="M88" t="s">
        <v>40622</v>
      </c>
      <c r="N88" t="s">
        <v>44759</v>
      </c>
      <c r="O88" t="s">
        <v>44760</v>
      </c>
      <c r="P88">
        <v>0</v>
      </c>
      <c r="Q88">
        <v>0</v>
      </c>
      <c r="R88" t="s">
        <v>44761</v>
      </c>
      <c r="S88" t="s">
        <v>44862</v>
      </c>
      <c r="T88" t="s">
        <v>46380</v>
      </c>
      <c r="U88" t="s">
        <v>47037</v>
      </c>
      <c r="W88" t="s">
        <v>40622</v>
      </c>
      <c r="X88" t="s">
        <v>44763</v>
      </c>
    </row>
    <row r="89" spans="1:24">
      <c r="A89">
        <f>HYPERLINK("https://www.philgeps.gov.ph/GEPSNONPILOT/Tender/SplashBidNoticeAbstractUI.aspx?menuIndex=3&amp;refID=7120200-2&amp;Result=3","7120200-2")</f>
        <v>0</v>
      </c>
      <c r="B89" t="s">
        <v>28</v>
      </c>
      <c r="C89" t="s">
        <v>3852</v>
      </c>
      <c r="D89" t="s">
        <v>17955</v>
      </c>
      <c r="E89" t="s">
        <v>18144</v>
      </c>
      <c r="F89" t="s">
        <v>30900</v>
      </c>
      <c r="G89" t="s">
        <v>30907</v>
      </c>
      <c r="H89" t="s">
        <v>7411</v>
      </c>
      <c r="I89" t="s">
        <v>7411</v>
      </c>
      <c r="J89" t="s">
        <v>31118</v>
      </c>
      <c r="K89" t="s">
        <v>40280</v>
      </c>
      <c r="M89" t="s">
        <v>40574</v>
      </c>
      <c r="N89" t="s">
        <v>44759</v>
      </c>
      <c r="O89" t="s">
        <v>44760</v>
      </c>
      <c r="P89">
        <v>0</v>
      </c>
      <c r="Q89">
        <v>0</v>
      </c>
      <c r="R89" t="s">
        <v>44761</v>
      </c>
      <c r="S89" t="s">
        <v>44862</v>
      </c>
      <c r="T89" t="s">
        <v>46353</v>
      </c>
      <c r="U89" t="s">
        <v>46959</v>
      </c>
      <c r="W89" t="s">
        <v>40574</v>
      </c>
      <c r="X89" t="s">
        <v>44762</v>
      </c>
    </row>
    <row r="90" spans="1:24">
      <c r="A90">
        <f>HYPERLINK("https://www.philgeps.gov.ph/GEPSNONPILOT/Tender/SplashBidNoticeAbstractUI.aspx?menuIndex=3&amp;refID=7147431&amp;Result=3","7147431")</f>
        <v>0</v>
      </c>
      <c r="B90" t="s">
        <v>78</v>
      </c>
      <c r="C90" t="s">
        <v>3853</v>
      </c>
      <c r="D90" t="s">
        <v>17987</v>
      </c>
      <c r="E90" t="s">
        <v>18145</v>
      </c>
      <c r="F90" t="s">
        <v>30900</v>
      </c>
      <c r="G90" t="s">
        <v>30907</v>
      </c>
      <c r="H90" t="s">
        <v>30916</v>
      </c>
      <c r="I90" t="s">
        <v>8123</v>
      </c>
      <c r="J90" t="s">
        <v>31119</v>
      </c>
      <c r="K90" t="s">
        <v>40289</v>
      </c>
      <c r="M90" t="s">
        <v>40625</v>
      </c>
      <c r="N90" t="s">
        <v>44759</v>
      </c>
      <c r="O90" t="s">
        <v>44760</v>
      </c>
      <c r="P90">
        <v>0</v>
      </c>
      <c r="Q90">
        <v>0</v>
      </c>
      <c r="R90" t="s">
        <v>44762</v>
      </c>
      <c r="S90" t="s">
        <v>44863</v>
      </c>
      <c r="T90" t="s">
        <v>46387</v>
      </c>
      <c r="U90" t="s">
        <v>47038</v>
      </c>
      <c r="W90" t="s">
        <v>40625</v>
      </c>
      <c r="X90" t="s">
        <v>44767</v>
      </c>
    </row>
    <row r="91" spans="1:24">
      <c r="A91">
        <f>HYPERLINK("https://www.philgeps.gov.ph/GEPSNONPILOT/Tender/SplashBidNoticeAbstractUI.aspx?menuIndex=3&amp;refID=7147409&amp;Result=3","7147409")</f>
        <v>0</v>
      </c>
      <c r="B91" t="s">
        <v>78</v>
      </c>
      <c r="C91" t="s">
        <v>3854</v>
      </c>
      <c r="D91" t="s">
        <v>17987</v>
      </c>
      <c r="E91" t="s">
        <v>18146</v>
      </c>
      <c r="F91" t="s">
        <v>30900</v>
      </c>
      <c r="G91" t="s">
        <v>30908</v>
      </c>
      <c r="H91" t="s">
        <v>30916</v>
      </c>
      <c r="I91" t="s">
        <v>9385</v>
      </c>
      <c r="J91" t="s">
        <v>31120</v>
      </c>
      <c r="K91" t="s">
        <v>40289</v>
      </c>
      <c r="M91" t="s">
        <v>40625</v>
      </c>
      <c r="N91" t="s">
        <v>44759</v>
      </c>
      <c r="O91" t="s">
        <v>44760</v>
      </c>
      <c r="P91">
        <v>0</v>
      </c>
      <c r="Q91">
        <v>4</v>
      </c>
      <c r="R91" t="s">
        <v>44762</v>
      </c>
      <c r="S91" t="s">
        <v>44863</v>
      </c>
      <c r="T91" t="s">
        <v>46387</v>
      </c>
      <c r="U91" t="s">
        <v>47039</v>
      </c>
      <c r="W91" t="s">
        <v>40625</v>
      </c>
      <c r="X91" t="s">
        <v>44767</v>
      </c>
    </row>
    <row r="92" spans="1:24">
      <c r="A92">
        <f>HYPERLINK("https://www.philgeps.gov.ph/GEPSNONPILOT/Tender/SplashBidNoticeAbstractUI.aspx?menuIndex=3&amp;refID=7147232&amp;Result=3","7147232")</f>
        <v>0</v>
      </c>
      <c r="B92" t="s">
        <v>78</v>
      </c>
      <c r="C92" t="s">
        <v>3855</v>
      </c>
      <c r="D92" t="s">
        <v>17987</v>
      </c>
      <c r="E92" t="s">
        <v>18147</v>
      </c>
      <c r="F92" t="s">
        <v>30900</v>
      </c>
      <c r="G92" t="s">
        <v>30906</v>
      </c>
      <c r="H92" t="s">
        <v>30916</v>
      </c>
      <c r="I92" t="s">
        <v>8123</v>
      </c>
      <c r="J92" t="s">
        <v>31121</v>
      </c>
      <c r="K92" t="s">
        <v>40289</v>
      </c>
      <c r="M92" t="s">
        <v>40625</v>
      </c>
      <c r="N92" t="s">
        <v>44759</v>
      </c>
      <c r="O92" t="s">
        <v>44760</v>
      </c>
      <c r="P92">
        <v>0</v>
      </c>
      <c r="Q92">
        <v>0</v>
      </c>
      <c r="R92" t="s">
        <v>44762</v>
      </c>
      <c r="S92" t="s">
        <v>44863</v>
      </c>
      <c r="T92" t="s">
        <v>46387</v>
      </c>
      <c r="U92" t="s">
        <v>47040</v>
      </c>
      <c r="W92" t="s">
        <v>40625</v>
      </c>
      <c r="X92" t="s">
        <v>44767</v>
      </c>
    </row>
    <row r="93" spans="1:24">
      <c r="A93">
        <f>HYPERLINK("https://www.philgeps.gov.ph/GEPSNONPILOT/Tender/SplashBidNoticeAbstractUI.aspx?menuIndex=3&amp;refID=7147510&amp;Result=3","7147510")</f>
        <v>0</v>
      </c>
      <c r="B93" t="s">
        <v>78</v>
      </c>
      <c r="C93" t="s">
        <v>3856</v>
      </c>
      <c r="D93" t="s">
        <v>17987</v>
      </c>
      <c r="E93" t="s">
        <v>18148</v>
      </c>
      <c r="F93" t="s">
        <v>30900</v>
      </c>
      <c r="G93" t="s">
        <v>30907</v>
      </c>
      <c r="H93" t="s">
        <v>30916</v>
      </c>
      <c r="I93" t="s">
        <v>8123</v>
      </c>
      <c r="J93" t="s">
        <v>31122</v>
      </c>
      <c r="K93" t="s">
        <v>40289</v>
      </c>
      <c r="M93" t="s">
        <v>40625</v>
      </c>
      <c r="N93" t="s">
        <v>44759</v>
      </c>
      <c r="O93" t="s">
        <v>44760</v>
      </c>
      <c r="P93">
        <v>0</v>
      </c>
      <c r="Q93">
        <v>0</v>
      </c>
      <c r="R93" t="s">
        <v>44762</v>
      </c>
      <c r="S93" t="s">
        <v>44863</v>
      </c>
      <c r="T93" t="s">
        <v>46387</v>
      </c>
      <c r="U93" t="s">
        <v>47041</v>
      </c>
      <c r="W93" t="s">
        <v>40625</v>
      </c>
      <c r="X93" t="s">
        <v>44767</v>
      </c>
    </row>
    <row r="94" spans="1:24">
      <c r="A94">
        <f>HYPERLINK("https://www.philgeps.gov.ph/GEPSNONPILOT/Tender/SplashBidNoticeAbstractUI.aspx?menuIndex=3&amp;refID=7148856&amp;Result=3","7148856")</f>
        <v>0</v>
      </c>
      <c r="B94" t="s">
        <v>80</v>
      </c>
      <c r="C94" t="s">
        <v>3857</v>
      </c>
      <c r="D94" t="s">
        <v>17973</v>
      </c>
      <c r="E94" t="s">
        <v>18149</v>
      </c>
      <c r="F94" t="s">
        <v>30900</v>
      </c>
      <c r="G94" t="s">
        <v>30907</v>
      </c>
      <c r="H94" t="s">
        <v>30916</v>
      </c>
      <c r="I94" t="s">
        <v>30932</v>
      </c>
      <c r="J94" t="s">
        <v>31123</v>
      </c>
      <c r="K94" t="s">
        <v>40286</v>
      </c>
      <c r="M94" t="s">
        <v>40627</v>
      </c>
      <c r="N94" t="s">
        <v>44759</v>
      </c>
      <c r="O94" t="s">
        <v>44760</v>
      </c>
      <c r="P94">
        <v>0</v>
      </c>
      <c r="Q94">
        <v>0</v>
      </c>
      <c r="R94" t="s">
        <v>44761</v>
      </c>
      <c r="S94" t="s">
        <v>44862</v>
      </c>
      <c r="T94" t="s">
        <v>46352</v>
      </c>
      <c r="U94" t="s">
        <v>47008</v>
      </c>
      <c r="V94" t="s">
        <v>59104</v>
      </c>
      <c r="W94" t="s">
        <v>40627</v>
      </c>
      <c r="X94" t="s">
        <v>44765</v>
      </c>
    </row>
    <row r="95" spans="1:24">
      <c r="A95">
        <f>HYPERLINK("https://www.philgeps.gov.ph/GEPSNONPILOT/Tender/SplashBidNoticeAbstractUI.aspx?menuIndex=3&amp;refID=7147199&amp;Result=3","7147199")</f>
        <v>0</v>
      </c>
      <c r="B95" t="s">
        <v>81</v>
      </c>
      <c r="C95" t="s">
        <v>3858</v>
      </c>
      <c r="D95" t="s">
        <v>17959</v>
      </c>
      <c r="E95" t="s">
        <v>18150</v>
      </c>
      <c r="F95" t="s">
        <v>30900</v>
      </c>
      <c r="G95" t="s">
        <v>30906</v>
      </c>
      <c r="H95" t="s">
        <v>30916</v>
      </c>
      <c r="I95" t="s">
        <v>30923</v>
      </c>
      <c r="J95" t="s">
        <v>31124</v>
      </c>
      <c r="K95" t="s">
        <v>40289</v>
      </c>
      <c r="M95" t="s">
        <v>40628</v>
      </c>
      <c r="N95" t="s">
        <v>44759</v>
      </c>
      <c r="O95" t="s">
        <v>44760</v>
      </c>
      <c r="P95">
        <v>0</v>
      </c>
      <c r="Q95">
        <v>7</v>
      </c>
      <c r="R95" t="s">
        <v>44762</v>
      </c>
      <c r="S95" t="s">
        <v>44863</v>
      </c>
      <c r="T95" t="s">
        <v>46389</v>
      </c>
      <c r="U95" t="s">
        <v>47042</v>
      </c>
      <c r="W95" t="s">
        <v>40628</v>
      </c>
      <c r="X95" t="s">
        <v>44767</v>
      </c>
    </row>
    <row r="96" spans="1:24">
      <c r="A96">
        <f>HYPERLINK("https://www.philgeps.gov.ph/GEPSNONPILOT/Tender/SplashBidNoticeAbstractUI.aspx?menuIndex=3&amp;refID=7147112&amp;Result=3","7147112")</f>
        <v>0</v>
      </c>
      <c r="B96" t="s">
        <v>82</v>
      </c>
      <c r="C96" t="s">
        <v>3859</v>
      </c>
      <c r="D96" t="s">
        <v>17989</v>
      </c>
      <c r="E96" t="s">
        <v>18151</v>
      </c>
      <c r="F96" t="s">
        <v>30900</v>
      </c>
      <c r="G96" t="s">
        <v>30908</v>
      </c>
      <c r="H96" t="s">
        <v>30916</v>
      </c>
      <c r="I96" t="s">
        <v>4142</v>
      </c>
      <c r="J96" t="s">
        <v>31125</v>
      </c>
      <c r="K96" t="s">
        <v>40286</v>
      </c>
      <c r="M96" t="s">
        <v>40629</v>
      </c>
      <c r="N96" t="s">
        <v>44759</v>
      </c>
      <c r="O96" t="s">
        <v>44760</v>
      </c>
      <c r="P96">
        <v>0</v>
      </c>
      <c r="Q96">
        <v>0</v>
      </c>
      <c r="R96" t="s">
        <v>44762</v>
      </c>
      <c r="S96" t="s">
        <v>44863</v>
      </c>
      <c r="T96" t="s">
        <v>46390</v>
      </c>
      <c r="U96" t="s">
        <v>47043</v>
      </c>
      <c r="W96" t="s">
        <v>40629</v>
      </c>
      <c r="X96" t="s">
        <v>44767</v>
      </c>
    </row>
    <row r="97" spans="1:24">
      <c r="A97">
        <f>HYPERLINK("https://www.philgeps.gov.ph/GEPSNONPILOT/Tender/SplashBidNoticeAbstractUI.aspx?menuIndex=3&amp;refID=7147002&amp;Result=3","7147002")</f>
        <v>0</v>
      </c>
      <c r="B97" t="s">
        <v>83</v>
      </c>
      <c r="C97" t="s">
        <v>3860</v>
      </c>
      <c r="D97" t="s">
        <v>17990</v>
      </c>
      <c r="E97" t="s">
        <v>18152</v>
      </c>
      <c r="F97" t="s">
        <v>30900</v>
      </c>
      <c r="G97" t="s">
        <v>30909</v>
      </c>
      <c r="H97" t="s">
        <v>30916</v>
      </c>
      <c r="I97" t="s">
        <v>30922</v>
      </c>
      <c r="J97" t="s">
        <v>31126</v>
      </c>
      <c r="K97" t="s">
        <v>40287</v>
      </c>
      <c r="M97" t="s">
        <v>40630</v>
      </c>
      <c r="N97" t="s">
        <v>44759</v>
      </c>
      <c r="O97" t="s">
        <v>44760</v>
      </c>
      <c r="P97">
        <v>0</v>
      </c>
      <c r="Q97">
        <v>8</v>
      </c>
      <c r="R97" t="s">
        <v>44762</v>
      </c>
      <c r="S97" t="s">
        <v>44863</v>
      </c>
      <c r="T97" t="s">
        <v>46391</v>
      </c>
      <c r="U97" t="s">
        <v>47044</v>
      </c>
      <c r="W97" t="s">
        <v>60816</v>
      </c>
      <c r="X97" t="s">
        <v>44767</v>
      </c>
    </row>
    <row r="98" spans="1:24">
      <c r="A98">
        <f>HYPERLINK("https://www.philgeps.gov.ph/GEPSNONPILOT/Tender/SplashBidNoticeAbstractUI.aspx?menuIndex=3&amp;refID=7147438&amp;Result=3","7147438")</f>
        <v>0</v>
      </c>
      <c r="B98" t="s">
        <v>84</v>
      </c>
      <c r="C98" t="s">
        <v>3861</v>
      </c>
      <c r="D98" t="s">
        <v>17963</v>
      </c>
      <c r="E98" t="s">
        <v>18153</v>
      </c>
      <c r="F98" t="s">
        <v>30900</v>
      </c>
      <c r="G98" t="s">
        <v>30908</v>
      </c>
      <c r="H98" t="s">
        <v>30916</v>
      </c>
      <c r="I98" t="s">
        <v>4965</v>
      </c>
      <c r="J98" t="s">
        <v>31127</v>
      </c>
      <c r="K98" t="s">
        <v>40286</v>
      </c>
      <c r="M98" t="s">
        <v>40631</v>
      </c>
      <c r="N98" t="s">
        <v>44759</v>
      </c>
      <c r="O98" t="s">
        <v>44760</v>
      </c>
      <c r="P98">
        <v>0</v>
      </c>
      <c r="Q98">
        <v>0</v>
      </c>
      <c r="R98" t="s">
        <v>44762</v>
      </c>
      <c r="S98" t="s">
        <v>44863</v>
      </c>
      <c r="T98" t="s">
        <v>46383</v>
      </c>
      <c r="U98" t="s">
        <v>47045</v>
      </c>
      <c r="V98" t="s">
        <v>59110</v>
      </c>
      <c r="W98" t="s">
        <v>40631</v>
      </c>
      <c r="X98" t="s">
        <v>44767</v>
      </c>
    </row>
    <row r="99" spans="1:24">
      <c r="A99">
        <f>HYPERLINK("https://www.philgeps.gov.ph/GEPSNONPILOT/Tender/SplashBidNoticeAbstractUI.aspx?menuIndex=3&amp;refID=7147470&amp;Result=3","7147470")</f>
        <v>0</v>
      </c>
      <c r="B99" t="s">
        <v>78</v>
      </c>
      <c r="C99" t="s">
        <v>3862</v>
      </c>
      <c r="D99" t="s">
        <v>17987</v>
      </c>
      <c r="E99" t="s">
        <v>18154</v>
      </c>
      <c r="F99" t="s">
        <v>30900</v>
      </c>
      <c r="G99" t="s">
        <v>30907</v>
      </c>
      <c r="H99" t="s">
        <v>30916</v>
      </c>
      <c r="I99" t="s">
        <v>8123</v>
      </c>
      <c r="J99" t="s">
        <v>31128</v>
      </c>
      <c r="K99" t="s">
        <v>40289</v>
      </c>
      <c r="M99" t="s">
        <v>40625</v>
      </c>
      <c r="N99" t="s">
        <v>44759</v>
      </c>
      <c r="O99" t="s">
        <v>44760</v>
      </c>
      <c r="P99">
        <v>0</v>
      </c>
      <c r="Q99">
        <v>0</v>
      </c>
      <c r="R99" t="s">
        <v>44762</v>
      </c>
      <c r="S99" t="s">
        <v>44863</v>
      </c>
      <c r="T99" t="s">
        <v>46387</v>
      </c>
      <c r="U99" t="s">
        <v>47046</v>
      </c>
      <c r="W99" t="s">
        <v>40625</v>
      </c>
      <c r="X99" t="s">
        <v>44767</v>
      </c>
    </row>
    <row r="100" spans="1:24">
      <c r="A100">
        <f>HYPERLINK("https://www.philgeps.gov.ph/GEPSNONPILOT/Tender/SplashBidNoticeAbstractUI.aspx?menuIndex=3&amp;refID=7146926&amp;Result=3","7146926")</f>
        <v>0</v>
      </c>
      <c r="B100" t="s">
        <v>85</v>
      </c>
      <c r="C100" t="s">
        <v>3863</v>
      </c>
      <c r="D100" t="s">
        <v>17991</v>
      </c>
      <c r="E100" t="s">
        <v>18155</v>
      </c>
      <c r="F100" t="s">
        <v>30900</v>
      </c>
      <c r="G100" t="s">
        <v>30907</v>
      </c>
      <c r="H100" t="s">
        <v>30916</v>
      </c>
      <c r="I100" t="s">
        <v>8044</v>
      </c>
      <c r="J100" t="s">
        <v>31129</v>
      </c>
      <c r="K100" t="s">
        <v>40289</v>
      </c>
      <c r="M100" t="s">
        <v>40632</v>
      </c>
      <c r="N100" t="s">
        <v>44759</v>
      </c>
      <c r="O100" t="s">
        <v>44760</v>
      </c>
      <c r="P100">
        <v>0</v>
      </c>
      <c r="Q100">
        <v>0</v>
      </c>
      <c r="R100" t="s">
        <v>44762</v>
      </c>
      <c r="S100" t="s">
        <v>44863</v>
      </c>
      <c r="T100" t="s">
        <v>46387</v>
      </c>
      <c r="U100" t="s">
        <v>47047</v>
      </c>
      <c r="W100" t="s">
        <v>60817</v>
      </c>
      <c r="X100" t="s">
        <v>44767</v>
      </c>
    </row>
    <row r="101" spans="1:24">
      <c r="A101">
        <f>HYPERLINK("https://www.philgeps.gov.ph/GEPSNONPILOT/Tender/SplashBidNoticeAbstractUI.aspx?menuIndex=3&amp;refID=7150108&amp;Result=3","7150108")</f>
        <v>0</v>
      </c>
      <c r="B101" t="s">
        <v>46</v>
      </c>
      <c r="C101" t="s">
        <v>3864</v>
      </c>
      <c r="D101" t="s">
        <v>17953</v>
      </c>
      <c r="E101" t="s">
        <v>18156</v>
      </c>
      <c r="F101" t="s">
        <v>30900</v>
      </c>
      <c r="G101" t="s">
        <v>30908</v>
      </c>
      <c r="H101" t="s">
        <v>30916</v>
      </c>
      <c r="I101" t="s">
        <v>30924</v>
      </c>
      <c r="J101" t="s">
        <v>31130</v>
      </c>
      <c r="K101" t="s">
        <v>40291</v>
      </c>
      <c r="M101" t="s">
        <v>40592</v>
      </c>
      <c r="N101" t="s">
        <v>44759</v>
      </c>
      <c r="O101" t="s">
        <v>44760</v>
      </c>
      <c r="P101">
        <v>0</v>
      </c>
      <c r="Q101">
        <v>0</v>
      </c>
      <c r="R101" t="s">
        <v>44761</v>
      </c>
      <c r="S101" t="s">
        <v>44862</v>
      </c>
      <c r="T101" t="s">
        <v>46386</v>
      </c>
      <c r="U101" t="s">
        <v>47031</v>
      </c>
      <c r="W101" t="s">
        <v>60814</v>
      </c>
      <c r="X101" t="s">
        <v>44763</v>
      </c>
    </row>
    <row r="102" spans="1:24">
      <c r="A102">
        <f>HYPERLINK("https://www.philgeps.gov.ph/GEPSNONPILOT/Tender/SplashBidNoticeAbstractUI.aspx?menuIndex=3&amp;refID=7150344&amp;Result=3","7150344")</f>
        <v>0</v>
      </c>
      <c r="B102" t="s">
        <v>86</v>
      </c>
      <c r="C102" t="s">
        <v>3865</v>
      </c>
      <c r="D102" t="s">
        <v>17963</v>
      </c>
      <c r="E102" t="s">
        <v>18157</v>
      </c>
      <c r="F102" t="s">
        <v>30900</v>
      </c>
      <c r="G102" t="s">
        <v>30907</v>
      </c>
      <c r="H102" t="s">
        <v>30915</v>
      </c>
      <c r="I102" t="s">
        <v>30919</v>
      </c>
      <c r="J102" t="s">
        <v>31131</v>
      </c>
      <c r="K102" t="s">
        <v>40280</v>
      </c>
      <c r="M102" t="s">
        <v>40633</v>
      </c>
      <c r="N102" t="s">
        <v>44759</v>
      </c>
      <c r="O102" t="s">
        <v>44760</v>
      </c>
      <c r="P102">
        <v>0</v>
      </c>
      <c r="Q102">
        <v>0</v>
      </c>
      <c r="R102" t="s">
        <v>44761</v>
      </c>
      <c r="S102" t="s">
        <v>44862</v>
      </c>
      <c r="T102" t="s">
        <v>46392</v>
      </c>
      <c r="U102" t="s">
        <v>47048</v>
      </c>
      <c r="W102" t="s">
        <v>40633</v>
      </c>
      <c r="X102" t="s">
        <v>44763</v>
      </c>
    </row>
    <row r="103" spans="1:24">
      <c r="A103">
        <f>HYPERLINK("https://www.philgeps.gov.ph/GEPSNONPILOT/Tender/SplashBidNoticeAbstractUI.aspx?menuIndex=3&amp;refID=7149148&amp;Result=3","7149148")</f>
        <v>0</v>
      </c>
      <c r="B103" t="s">
        <v>87</v>
      </c>
      <c r="C103" t="s">
        <v>3866</v>
      </c>
      <c r="D103" t="s">
        <v>17970</v>
      </c>
      <c r="E103" t="s">
        <v>18158</v>
      </c>
      <c r="F103" t="s">
        <v>30900</v>
      </c>
      <c r="G103" t="s">
        <v>30907</v>
      </c>
      <c r="H103" t="s">
        <v>30916</v>
      </c>
      <c r="I103" t="s">
        <v>30933</v>
      </c>
      <c r="J103" t="s">
        <v>31050</v>
      </c>
      <c r="K103" t="s">
        <v>40288</v>
      </c>
      <c r="M103" t="s">
        <v>40634</v>
      </c>
      <c r="N103" t="s">
        <v>44759</v>
      </c>
      <c r="O103" t="s">
        <v>44760</v>
      </c>
      <c r="P103">
        <v>0</v>
      </c>
      <c r="Q103">
        <v>0</v>
      </c>
      <c r="R103" t="s">
        <v>44761</v>
      </c>
      <c r="S103" t="s">
        <v>44862</v>
      </c>
      <c r="T103" t="s">
        <v>46366</v>
      </c>
      <c r="U103" t="s">
        <v>47049</v>
      </c>
      <c r="V103" t="s">
        <v>59111</v>
      </c>
      <c r="W103" t="s">
        <v>40634</v>
      </c>
      <c r="X103" t="s">
        <v>44764</v>
      </c>
    </row>
    <row r="104" spans="1:24">
      <c r="A104">
        <f>HYPERLINK("https://www.philgeps.gov.ph/GEPSNONPILOT/Tender/SplashBidNoticeAbstractUI.aspx?menuIndex=3&amp;refID=7150323&amp;Result=3","7150323")</f>
        <v>0</v>
      </c>
      <c r="B104" t="s">
        <v>86</v>
      </c>
      <c r="C104" t="s">
        <v>3867</v>
      </c>
      <c r="D104" t="s">
        <v>17963</v>
      </c>
      <c r="E104" t="s">
        <v>18159</v>
      </c>
      <c r="F104" t="s">
        <v>30900</v>
      </c>
      <c r="G104" t="s">
        <v>30907</v>
      </c>
      <c r="H104" t="s">
        <v>30915</v>
      </c>
      <c r="I104" t="s">
        <v>30919</v>
      </c>
      <c r="J104" t="s">
        <v>31132</v>
      </c>
      <c r="K104" t="s">
        <v>40280</v>
      </c>
      <c r="M104" t="s">
        <v>40633</v>
      </c>
      <c r="N104" t="s">
        <v>44759</v>
      </c>
      <c r="O104" t="s">
        <v>44760</v>
      </c>
      <c r="P104">
        <v>0</v>
      </c>
      <c r="Q104">
        <v>0</v>
      </c>
      <c r="R104" t="s">
        <v>44761</v>
      </c>
      <c r="S104" t="s">
        <v>44862</v>
      </c>
      <c r="T104" t="s">
        <v>46392</v>
      </c>
      <c r="U104" t="s">
        <v>47050</v>
      </c>
      <c r="W104" t="s">
        <v>40633</v>
      </c>
      <c r="X104" t="s">
        <v>44763</v>
      </c>
    </row>
    <row r="105" spans="1:24">
      <c r="A105">
        <f>HYPERLINK("https://www.philgeps.gov.ph/GEPSNONPILOT/Tender/SplashBidNoticeAbstractUI.aspx?menuIndex=3&amp;refID=7147285&amp;Result=3","7147285")</f>
        <v>0</v>
      </c>
      <c r="B105" t="s">
        <v>33</v>
      </c>
      <c r="C105" t="s">
        <v>3868</v>
      </c>
      <c r="D105" t="s">
        <v>17960</v>
      </c>
      <c r="E105" t="s">
        <v>18160</v>
      </c>
      <c r="F105" t="s">
        <v>30900</v>
      </c>
      <c r="G105" t="s">
        <v>30910</v>
      </c>
      <c r="H105" t="s">
        <v>30916</v>
      </c>
      <c r="I105" t="s">
        <v>30924</v>
      </c>
      <c r="J105" t="s">
        <v>31070</v>
      </c>
      <c r="K105" t="s">
        <v>40283</v>
      </c>
      <c r="M105" t="s">
        <v>40579</v>
      </c>
      <c r="N105" t="s">
        <v>44759</v>
      </c>
      <c r="O105" t="s">
        <v>44760</v>
      </c>
      <c r="P105">
        <v>0</v>
      </c>
      <c r="Q105">
        <v>0</v>
      </c>
      <c r="R105" t="s">
        <v>44762</v>
      </c>
      <c r="S105" t="s">
        <v>44863</v>
      </c>
      <c r="T105" t="s">
        <v>46393</v>
      </c>
      <c r="U105" t="s">
        <v>47051</v>
      </c>
      <c r="W105" t="s">
        <v>40579</v>
      </c>
      <c r="X105" t="s">
        <v>44767</v>
      </c>
    </row>
    <row r="106" spans="1:24">
      <c r="A106">
        <f>HYPERLINK("https://www.philgeps.gov.ph/GEPSNONPILOT/Tender/SplashBidNoticeAbstractUI.aspx?menuIndex=3&amp;refID=7147000&amp;Result=3","7147000")</f>
        <v>0</v>
      </c>
      <c r="B106" t="s">
        <v>88</v>
      </c>
      <c r="C106" t="s">
        <v>3869</v>
      </c>
      <c r="D106" t="s">
        <v>17992</v>
      </c>
      <c r="E106" t="s">
        <v>18161</v>
      </c>
      <c r="F106" t="s">
        <v>30900</v>
      </c>
      <c r="G106" t="s">
        <v>30907</v>
      </c>
      <c r="H106" t="s">
        <v>30915</v>
      </c>
      <c r="I106" t="s">
        <v>30919</v>
      </c>
      <c r="J106" t="s">
        <v>31133</v>
      </c>
      <c r="K106" t="s">
        <v>40293</v>
      </c>
      <c r="M106" t="s">
        <v>40635</v>
      </c>
      <c r="N106" t="s">
        <v>44759</v>
      </c>
      <c r="O106" t="s">
        <v>44760</v>
      </c>
      <c r="P106">
        <v>0</v>
      </c>
      <c r="Q106">
        <v>0</v>
      </c>
      <c r="R106" t="s">
        <v>44762</v>
      </c>
      <c r="S106" t="s">
        <v>44863</v>
      </c>
      <c r="T106" t="s">
        <v>46394</v>
      </c>
      <c r="U106" t="s">
        <v>47052</v>
      </c>
      <c r="W106" t="s">
        <v>40635</v>
      </c>
      <c r="X106" t="s">
        <v>44767</v>
      </c>
    </row>
    <row r="107" spans="1:24">
      <c r="A107">
        <f>HYPERLINK("https://www.philgeps.gov.ph/GEPSNONPILOT/Tender/SplashBidNoticeAbstractUI.aspx?menuIndex=3&amp;refID=7146892&amp;Result=3","7146892")</f>
        <v>0</v>
      </c>
      <c r="B107" t="s">
        <v>88</v>
      </c>
      <c r="C107" t="s">
        <v>3870</v>
      </c>
      <c r="D107" t="s">
        <v>17992</v>
      </c>
      <c r="E107" t="s">
        <v>18162</v>
      </c>
      <c r="F107" t="s">
        <v>30900</v>
      </c>
      <c r="G107" t="s">
        <v>30907</v>
      </c>
      <c r="H107" t="s">
        <v>30915</v>
      </c>
      <c r="I107" t="s">
        <v>30919</v>
      </c>
      <c r="J107" t="s">
        <v>31134</v>
      </c>
      <c r="K107" t="s">
        <v>40302</v>
      </c>
      <c r="M107" t="s">
        <v>40635</v>
      </c>
      <c r="N107" t="s">
        <v>44759</v>
      </c>
      <c r="O107" t="s">
        <v>44760</v>
      </c>
      <c r="P107">
        <v>0</v>
      </c>
      <c r="Q107">
        <v>0</v>
      </c>
      <c r="R107" t="s">
        <v>44762</v>
      </c>
      <c r="S107" t="s">
        <v>44863</v>
      </c>
      <c r="T107" t="s">
        <v>46377</v>
      </c>
      <c r="U107" t="s">
        <v>47053</v>
      </c>
      <c r="W107" t="s">
        <v>40635</v>
      </c>
      <c r="X107" t="s">
        <v>44767</v>
      </c>
    </row>
    <row r="108" spans="1:24">
      <c r="A108">
        <f>HYPERLINK("https://www.philgeps.gov.ph/GEPSNONPILOT/Tender/SplashBidNoticeAbstractUI.aspx?menuIndex=3&amp;refID=7150242&amp;Result=3","7150242")</f>
        <v>0</v>
      </c>
      <c r="B108" t="s">
        <v>89</v>
      </c>
      <c r="C108" t="s">
        <v>3871</v>
      </c>
      <c r="D108" t="s">
        <v>17971</v>
      </c>
      <c r="E108" t="s">
        <v>18163</v>
      </c>
      <c r="F108" t="s">
        <v>30900</v>
      </c>
      <c r="G108" t="s">
        <v>30909</v>
      </c>
      <c r="H108" t="s">
        <v>30916</v>
      </c>
      <c r="I108" t="s">
        <v>30934</v>
      </c>
      <c r="J108" t="s">
        <v>31135</v>
      </c>
      <c r="K108" t="s">
        <v>40289</v>
      </c>
      <c r="M108" t="s">
        <v>40636</v>
      </c>
      <c r="N108" t="s">
        <v>44759</v>
      </c>
      <c r="O108" t="s">
        <v>44760</v>
      </c>
      <c r="P108">
        <v>0</v>
      </c>
      <c r="Q108">
        <v>0</v>
      </c>
      <c r="R108" t="s">
        <v>44761</v>
      </c>
      <c r="S108" t="s">
        <v>44862</v>
      </c>
      <c r="T108" t="s">
        <v>46390</v>
      </c>
      <c r="U108" t="s">
        <v>47054</v>
      </c>
      <c r="V108" t="s">
        <v>59112</v>
      </c>
      <c r="W108" t="s">
        <v>40636</v>
      </c>
      <c r="X108" t="s">
        <v>44763</v>
      </c>
    </row>
    <row r="109" spans="1:24">
      <c r="A109">
        <f>HYPERLINK("https://www.philgeps.gov.ph/GEPSNONPILOT/Tender/SplashBidNoticeAbstractUI.aspx?menuIndex=3&amp;refID=7150324&amp;Result=3","7150324")</f>
        <v>0</v>
      </c>
      <c r="B109" t="s">
        <v>73</v>
      </c>
      <c r="C109" t="s">
        <v>3872</v>
      </c>
      <c r="D109" t="s">
        <v>17983</v>
      </c>
      <c r="E109" t="s">
        <v>18164</v>
      </c>
      <c r="F109" t="s">
        <v>30900</v>
      </c>
      <c r="G109" t="s">
        <v>30907</v>
      </c>
      <c r="H109" t="s">
        <v>30916</v>
      </c>
      <c r="I109" t="s">
        <v>6396</v>
      </c>
      <c r="J109" t="s">
        <v>31136</v>
      </c>
      <c r="K109" t="s">
        <v>40293</v>
      </c>
      <c r="M109" t="s">
        <v>40620</v>
      </c>
      <c r="N109" t="s">
        <v>44759</v>
      </c>
      <c r="O109" t="s">
        <v>44760</v>
      </c>
      <c r="P109">
        <v>0</v>
      </c>
      <c r="Q109">
        <v>0</v>
      </c>
      <c r="R109" t="s">
        <v>44761</v>
      </c>
      <c r="S109" t="s">
        <v>44862</v>
      </c>
      <c r="T109" t="s">
        <v>46369</v>
      </c>
      <c r="U109" t="s">
        <v>47055</v>
      </c>
      <c r="W109" t="s">
        <v>40620</v>
      </c>
      <c r="X109" t="s">
        <v>44763</v>
      </c>
    </row>
    <row r="110" spans="1:24">
      <c r="A110">
        <f>HYPERLINK("https://www.philgeps.gov.ph/GEPSNONPILOT/Tender/SplashBidNoticeAbstractUI.aspx?menuIndex=3&amp;refID=7150225&amp;Result=3","7150225")</f>
        <v>0</v>
      </c>
      <c r="B110" t="s">
        <v>89</v>
      </c>
      <c r="C110" t="s">
        <v>3873</v>
      </c>
      <c r="D110" t="s">
        <v>17971</v>
      </c>
      <c r="E110" t="s">
        <v>18165</v>
      </c>
      <c r="F110" t="s">
        <v>30900</v>
      </c>
      <c r="G110" t="s">
        <v>30909</v>
      </c>
      <c r="H110" t="s">
        <v>30916</v>
      </c>
      <c r="I110" t="s">
        <v>30923</v>
      </c>
      <c r="J110" t="s">
        <v>31082</v>
      </c>
      <c r="K110" t="s">
        <v>40289</v>
      </c>
      <c r="M110" t="s">
        <v>40636</v>
      </c>
      <c r="N110" t="s">
        <v>44759</v>
      </c>
      <c r="O110" t="s">
        <v>44760</v>
      </c>
      <c r="P110">
        <v>0</v>
      </c>
      <c r="Q110">
        <v>0</v>
      </c>
      <c r="R110" t="s">
        <v>44761</v>
      </c>
      <c r="S110" t="s">
        <v>44862</v>
      </c>
      <c r="T110" t="s">
        <v>46390</v>
      </c>
      <c r="U110" t="s">
        <v>47056</v>
      </c>
      <c r="V110" t="s">
        <v>59113</v>
      </c>
      <c r="W110" t="s">
        <v>40636</v>
      </c>
      <c r="X110" t="s">
        <v>44763</v>
      </c>
    </row>
    <row r="111" spans="1:24">
      <c r="A111">
        <f>HYPERLINK("https://www.philgeps.gov.ph/GEPSNONPILOT/Tender/SplashBidNoticeAbstractUI.aspx?menuIndex=3&amp;refID=7150294&amp;Result=3","7150294")</f>
        <v>0</v>
      </c>
      <c r="B111" t="s">
        <v>89</v>
      </c>
      <c r="C111" t="s">
        <v>3874</v>
      </c>
      <c r="D111" t="s">
        <v>17971</v>
      </c>
      <c r="E111" t="s">
        <v>18166</v>
      </c>
      <c r="F111" t="s">
        <v>30900</v>
      </c>
      <c r="G111" t="s">
        <v>30909</v>
      </c>
      <c r="H111" t="s">
        <v>30916</v>
      </c>
      <c r="I111" t="s">
        <v>30923</v>
      </c>
      <c r="J111" t="s">
        <v>31137</v>
      </c>
      <c r="K111" t="s">
        <v>40289</v>
      </c>
      <c r="M111" t="s">
        <v>40636</v>
      </c>
      <c r="N111" t="s">
        <v>44759</v>
      </c>
      <c r="O111" t="s">
        <v>44760</v>
      </c>
      <c r="P111">
        <v>0</v>
      </c>
      <c r="Q111">
        <v>0</v>
      </c>
      <c r="R111" t="s">
        <v>44761</v>
      </c>
      <c r="S111" t="s">
        <v>44862</v>
      </c>
      <c r="T111" t="s">
        <v>46390</v>
      </c>
      <c r="U111" t="s">
        <v>47054</v>
      </c>
      <c r="V111" t="s">
        <v>59112</v>
      </c>
      <c r="W111" t="s">
        <v>40636</v>
      </c>
      <c r="X111" t="s">
        <v>44763</v>
      </c>
    </row>
    <row r="112" spans="1:24">
      <c r="A112">
        <f>HYPERLINK("https://www.philgeps.gov.ph/GEPSNONPILOT/Tender/SplashBidNoticeAbstractUI.aspx?menuIndex=3&amp;refID=7150211&amp;Result=3","7150211")</f>
        <v>0</v>
      </c>
      <c r="B112" t="s">
        <v>73</v>
      </c>
      <c r="C112" t="s">
        <v>3875</v>
      </c>
      <c r="D112" t="s">
        <v>17983</v>
      </c>
      <c r="E112" t="s">
        <v>18167</v>
      </c>
      <c r="F112" t="s">
        <v>30900</v>
      </c>
      <c r="G112" t="s">
        <v>30907</v>
      </c>
      <c r="H112" t="s">
        <v>30916</v>
      </c>
      <c r="I112" t="s">
        <v>30924</v>
      </c>
      <c r="J112" t="s">
        <v>31138</v>
      </c>
      <c r="K112" t="s">
        <v>40293</v>
      </c>
      <c r="M112" t="s">
        <v>40620</v>
      </c>
      <c r="N112" t="s">
        <v>44759</v>
      </c>
      <c r="O112" t="s">
        <v>44760</v>
      </c>
      <c r="P112">
        <v>0</v>
      </c>
      <c r="Q112">
        <v>0</v>
      </c>
      <c r="R112" t="s">
        <v>44761</v>
      </c>
      <c r="S112" t="s">
        <v>44862</v>
      </c>
      <c r="T112" t="s">
        <v>46369</v>
      </c>
      <c r="U112" t="s">
        <v>47057</v>
      </c>
      <c r="W112" t="s">
        <v>40620</v>
      </c>
      <c r="X112" t="s">
        <v>44763</v>
      </c>
    </row>
    <row r="113" spans="1:24">
      <c r="A113">
        <f>HYPERLINK("https://www.philgeps.gov.ph/GEPSNONPILOT/Tender/SplashBidNoticeAbstractUI.aspx?menuIndex=3&amp;refID=7150198&amp;Result=3","7150198")</f>
        <v>0</v>
      </c>
      <c r="B113" t="s">
        <v>89</v>
      </c>
      <c r="C113" t="s">
        <v>3876</v>
      </c>
      <c r="D113" t="s">
        <v>17971</v>
      </c>
      <c r="E113" t="s">
        <v>18168</v>
      </c>
      <c r="F113" t="s">
        <v>30901</v>
      </c>
      <c r="G113" t="s">
        <v>30909</v>
      </c>
      <c r="H113" t="s">
        <v>30916</v>
      </c>
      <c r="I113" t="s">
        <v>30929</v>
      </c>
      <c r="J113" t="s">
        <v>31139</v>
      </c>
      <c r="K113" t="s">
        <v>40289</v>
      </c>
      <c r="M113" t="s">
        <v>40636</v>
      </c>
      <c r="N113" t="s">
        <v>44759</v>
      </c>
      <c r="O113" t="s">
        <v>44760</v>
      </c>
      <c r="P113">
        <v>0</v>
      </c>
      <c r="Q113">
        <v>0</v>
      </c>
      <c r="R113" t="s">
        <v>44761</v>
      </c>
      <c r="S113" t="s">
        <v>44862</v>
      </c>
      <c r="T113" t="s">
        <v>46390</v>
      </c>
      <c r="U113" t="s">
        <v>47054</v>
      </c>
      <c r="V113" t="s">
        <v>59114</v>
      </c>
      <c r="W113" t="s">
        <v>40636</v>
      </c>
      <c r="X113" t="s">
        <v>44763</v>
      </c>
    </row>
    <row r="114" spans="1:24">
      <c r="A114">
        <f>HYPERLINK("https://www.philgeps.gov.ph/GEPSNONPILOT/Tender/SplashBidNoticeAbstractUI.aspx?menuIndex=3&amp;refID=7150192&amp;Result=3","7150192")</f>
        <v>0</v>
      </c>
      <c r="B114" t="s">
        <v>90</v>
      </c>
      <c r="C114" t="s">
        <v>3877</v>
      </c>
      <c r="D114" t="s">
        <v>17959</v>
      </c>
      <c r="E114" t="s">
        <v>18169</v>
      </c>
      <c r="F114" t="s">
        <v>30900</v>
      </c>
      <c r="G114" t="s">
        <v>30908</v>
      </c>
      <c r="H114" t="s">
        <v>30916</v>
      </c>
      <c r="I114" t="s">
        <v>5830</v>
      </c>
      <c r="J114" t="s">
        <v>31140</v>
      </c>
      <c r="K114" t="s">
        <v>40287</v>
      </c>
      <c r="M114" t="s">
        <v>40637</v>
      </c>
      <c r="N114" t="s">
        <v>44759</v>
      </c>
      <c r="O114" t="s">
        <v>44760</v>
      </c>
      <c r="P114">
        <v>0</v>
      </c>
      <c r="Q114">
        <v>0</v>
      </c>
      <c r="R114" t="s">
        <v>44761</v>
      </c>
      <c r="S114" t="s">
        <v>44862</v>
      </c>
      <c r="T114" t="s">
        <v>46395</v>
      </c>
      <c r="U114" t="s">
        <v>47058</v>
      </c>
      <c r="W114" t="s">
        <v>40637</v>
      </c>
      <c r="X114" t="s">
        <v>44763</v>
      </c>
    </row>
    <row r="115" spans="1:24">
      <c r="A115">
        <f>HYPERLINK("https://www.philgeps.gov.ph/GEPSNONPILOT/Tender/SplashBidNoticeAbstractUI.aspx?menuIndex=3&amp;refID=7150183&amp;Result=3","7150183")</f>
        <v>0</v>
      </c>
      <c r="B115" t="s">
        <v>46</v>
      </c>
      <c r="C115" t="s">
        <v>3878</v>
      </c>
      <c r="D115" t="s">
        <v>17953</v>
      </c>
      <c r="E115" t="s">
        <v>18170</v>
      </c>
      <c r="F115" t="s">
        <v>30900</v>
      </c>
      <c r="G115" t="s">
        <v>30908</v>
      </c>
      <c r="H115" t="s">
        <v>30916</v>
      </c>
      <c r="I115" t="s">
        <v>30935</v>
      </c>
      <c r="J115" t="s">
        <v>31048</v>
      </c>
      <c r="K115" t="s">
        <v>40291</v>
      </c>
      <c r="M115" t="s">
        <v>40592</v>
      </c>
      <c r="N115" t="s">
        <v>44759</v>
      </c>
      <c r="O115" t="s">
        <v>44760</v>
      </c>
      <c r="P115">
        <v>0</v>
      </c>
      <c r="Q115">
        <v>0</v>
      </c>
      <c r="R115" t="s">
        <v>44761</v>
      </c>
      <c r="S115" t="s">
        <v>44862</v>
      </c>
      <c r="T115" t="s">
        <v>46386</v>
      </c>
      <c r="U115" t="s">
        <v>47031</v>
      </c>
      <c r="W115" t="s">
        <v>60814</v>
      </c>
      <c r="X115" t="s">
        <v>44763</v>
      </c>
    </row>
    <row r="116" spans="1:24">
      <c r="A116">
        <f>HYPERLINK("https://www.philgeps.gov.ph/GEPSNONPILOT/Tender/SplashBidNoticeAbstractUI.aspx?menuIndex=3&amp;refID=7150243&amp;Result=3","7150243")</f>
        <v>0</v>
      </c>
      <c r="B116" t="s">
        <v>86</v>
      </c>
      <c r="C116" t="s">
        <v>3879</v>
      </c>
      <c r="D116" t="s">
        <v>17963</v>
      </c>
      <c r="E116" t="s">
        <v>18171</v>
      </c>
      <c r="F116" t="s">
        <v>30900</v>
      </c>
      <c r="G116" t="s">
        <v>30907</v>
      </c>
      <c r="H116" t="s">
        <v>30915</v>
      </c>
      <c r="I116" t="s">
        <v>30919</v>
      </c>
      <c r="J116" t="s">
        <v>31141</v>
      </c>
      <c r="K116" t="s">
        <v>40280</v>
      </c>
      <c r="M116" t="s">
        <v>40633</v>
      </c>
      <c r="N116" t="s">
        <v>44759</v>
      </c>
      <c r="O116" t="s">
        <v>44760</v>
      </c>
      <c r="P116">
        <v>0</v>
      </c>
      <c r="Q116">
        <v>0</v>
      </c>
      <c r="R116" t="s">
        <v>44761</v>
      </c>
      <c r="S116" t="s">
        <v>44862</v>
      </c>
      <c r="T116" t="s">
        <v>46392</v>
      </c>
      <c r="U116" t="s">
        <v>47059</v>
      </c>
      <c r="W116" t="s">
        <v>40633</v>
      </c>
      <c r="X116" t="s">
        <v>44763</v>
      </c>
    </row>
    <row r="117" spans="1:24">
      <c r="A117">
        <f>HYPERLINK("https://www.philgeps.gov.ph/GEPSNONPILOT/Tender/SplashBidNoticeAbstractUI.aspx?menuIndex=3&amp;refID=7150789&amp;Result=3","7150789")</f>
        <v>0</v>
      </c>
      <c r="B117" t="s">
        <v>91</v>
      </c>
      <c r="C117" t="s">
        <v>3880</v>
      </c>
      <c r="D117" t="s">
        <v>17993</v>
      </c>
      <c r="E117" t="s">
        <v>18172</v>
      </c>
      <c r="F117" t="s">
        <v>30900</v>
      </c>
      <c r="G117" t="s">
        <v>30908</v>
      </c>
      <c r="H117" t="s">
        <v>30916</v>
      </c>
      <c r="I117" t="s">
        <v>10834</v>
      </c>
      <c r="J117" t="s">
        <v>31142</v>
      </c>
      <c r="K117" t="s">
        <v>40283</v>
      </c>
      <c r="M117" t="s">
        <v>40638</v>
      </c>
      <c r="N117" t="s">
        <v>44759</v>
      </c>
      <c r="O117" t="s">
        <v>44760</v>
      </c>
      <c r="P117">
        <v>0</v>
      </c>
      <c r="Q117">
        <v>0</v>
      </c>
      <c r="R117" t="s">
        <v>44761</v>
      </c>
      <c r="S117" t="s">
        <v>44862</v>
      </c>
      <c r="T117" t="s">
        <v>46369</v>
      </c>
      <c r="U117" t="s">
        <v>47060</v>
      </c>
      <c r="V117" t="s">
        <v>59115</v>
      </c>
      <c r="W117" t="s">
        <v>40638</v>
      </c>
      <c r="X117" t="s">
        <v>44763</v>
      </c>
    </row>
    <row r="118" spans="1:24">
      <c r="A118">
        <f>HYPERLINK("https://www.philgeps.gov.ph/GEPSNONPILOT/Tender/SplashBidNoticeAbstractUI.aspx?menuIndex=3&amp;refID=7150215&amp;Result=3","7150215")</f>
        <v>0</v>
      </c>
      <c r="B118" t="s">
        <v>86</v>
      </c>
      <c r="C118" t="s">
        <v>3881</v>
      </c>
      <c r="D118" t="s">
        <v>17963</v>
      </c>
      <c r="E118" t="s">
        <v>18173</v>
      </c>
      <c r="F118" t="s">
        <v>30900</v>
      </c>
      <c r="G118" t="s">
        <v>30907</v>
      </c>
      <c r="H118" t="s">
        <v>30916</v>
      </c>
      <c r="I118" t="s">
        <v>30933</v>
      </c>
      <c r="J118" t="s">
        <v>31143</v>
      </c>
      <c r="K118" t="s">
        <v>40280</v>
      </c>
      <c r="M118" t="s">
        <v>40633</v>
      </c>
      <c r="N118" t="s">
        <v>44759</v>
      </c>
      <c r="O118" t="s">
        <v>44760</v>
      </c>
      <c r="P118">
        <v>0</v>
      </c>
      <c r="Q118">
        <v>2</v>
      </c>
      <c r="R118" t="s">
        <v>44761</v>
      </c>
      <c r="S118" t="s">
        <v>44862</v>
      </c>
      <c r="T118" t="s">
        <v>46392</v>
      </c>
      <c r="U118" t="s">
        <v>47061</v>
      </c>
      <c r="W118" t="s">
        <v>40633</v>
      </c>
      <c r="X118" t="s">
        <v>44763</v>
      </c>
    </row>
    <row r="119" spans="1:24">
      <c r="A119">
        <f>HYPERLINK("https://www.philgeps.gov.ph/GEPSNONPILOT/Tender/SplashBidNoticeAbstractUI.aspx?menuIndex=3&amp;refID=7150272&amp;Result=3","7150272")</f>
        <v>0</v>
      </c>
      <c r="B119" t="s">
        <v>89</v>
      </c>
      <c r="C119" t="s">
        <v>3882</v>
      </c>
      <c r="D119" t="s">
        <v>17971</v>
      </c>
      <c r="E119" t="s">
        <v>18174</v>
      </c>
      <c r="F119" t="s">
        <v>30900</v>
      </c>
      <c r="G119" t="s">
        <v>30909</v>
      </c>
      <c r="H119" t="s">
        <v>30916</v>
      </c>
      <c r="I119" t="s">
        <v>8123</v>
      </c>
      <c r="J119" t="s">
        <v>31144</v>
      </c>
      <c r="K119" t="s">
        <v>40289</v>
      </c>
      <c r="M119" t="s">
        <v>40636</v>
      </c>
      <c r="N119" t="s">
        <v>44759</v>
      </c>
      <c r="O119" t="s">
        <v>44760</v>
      </c>
      <c r="P119">
        <v>0</v>
      </c>
      <c r="Q119">
        <v>0</v>
      </c>
      <c r="R119" t="s">
        <v>44761</v>
      </c>
      <c r="S119" t="s">
        <v>44862</v>
      </c>
      <c r="T119" t="s">
        <v>46390</v>
      </c>
      <c r="U119" t="s">
        <v>47056</v>
      </c>
      <c r="V119" t="s">
        <v>59112</v>
      </c>
      <c r="W119" t="s">
        <v>40636</v>
      </c>
      <c r="X119" t="s">
        <v>44763</v>
      </c>
    </row>
    <row r="120" spans="1:24">
      <c r="A120">
        <f>HYPERLINK("https://www.philgeps.gov.ph/GEPSNONPILOT/Tender/SplashBidNoticeAbstractUI.aspx?menuIndex=3&amp;refID=7150739&amp;Result=3","7150739")</f>
        <v>0</v>
      </c>
      <c r="B120" t="s">
        <v>92</v>
      </c>
      <c r="C120" t="s">
        <v>3883</v>
      </c>
      <c r="D120" t="s">
        <v>17959</v>
      </c>
      <c r="E120" t="s">
        <v>18175</v>
      </c>
      <c r="F120" t="s">
        <v>30900</v>
      </c>
      <c r="G120" t="s">
        <v>30910</v>
      </c>
      <c r="H120" t="s">
        <v>30916</v>
      </c>
      <c r="I120" t="s">
        <v>4142</v>
      </c>
      <c r="J120" t="s">
        <v>31145</v>
      </c>
      <c r="K120" t="s">
        <v>40286</v>
      </c>
      <c r="M120" t="s">
        <v>40639</v>
      </c>
      <c r="N120" t="s">
        <v>44759</v>
      </c>
      <c r="O120" t="s">
        <v>44760</v>
      </c>
      <c r="P120">
        <v>0</v>
      </c>
      <c r="Q120">
        <v>0</v>
      </c>
      <c r="R120" t="s">
        <v>44761</v>
      </c>
      <c r="S120" t="s">
        <v>44862</v>
      </c>
      <c r="T120" t="s">
        <v>46389</v>
      </c>
      <c r="U120" t="s">
        <v>47062</v>
      </c>
      <c r="W120" t="s">
        <v>40639</v>
      </c>
      <c r="X120" t="s">
        <v>44763</v>
      </c>
    </row>
    <row r="121" spans="1:24">
      <c r="A121">
        <f>HYPERLINK("https://www.philgeps.gov.ph/GEPSNONPILOT/Tender/SplashBidNoticeAbstractUI.aspx?menuIndex=3&amp;refID=7150648&amp;Result=3","7150648")</f>
        <v>0</v>
      </c>
      <c r="B121" t="s">
        <v>93</v>
      </c>
      <c r="C121" t="s">
        <v>3884</v>
      </c>
      <c r="D121" t="s">
        <v>17993</v>
      </c>
      <c r="E121" t="s">
        <v>18176</v>
      </c>
      <c r="F121" t="s">
        <v>30900</v>
      </c>
      <c r="G121" t="s">
        <v>30908</v>
      </c>
      <c r="H121" t="s">
        <v>30916</v>
      </c>
      <c r="I121" t="s">
        <v>6396</v>
      </c>
      <c r="J121" t="s">
        <v>31146</v>
      </c>
      <c r="K121" t="s">
        <v>40284</v>
      </c>
      <c r="M121" t="s">
        <v>40640</v>
      </c>
      <c r="N121" t="s">
        <v>44759</v>
      </c>
      <c r="O121" t="s">
        <v>44760</v>
      </c>
      <c r="P121">
        <v>0</v>
      </c>
      <c r="Q121">
        <v>0</v>
      </c>
      <c r="R121" t="s">
        <v>44761</v>
      </c>
      <c r="S121" t="s">
        <v>44862</v>
      </c>
      <c r="T121" t="s">
        <v>46396</v>
      </c>
      <c r="U121" t="s">
        <v>47063</v>
      </c>
      <c r="W121" t="s">
        <v>40640</v>
      </c>
      <c r="X121" t="s">
        <v>44763</v>
      </c>
    </row>
    <row r="122" spans="1:24">
      <c r="A122">
        <f>HYPERLINK("https://www.philgeps.gov.ph/GEPSNONPILOT/Tender/SplashBidNoticeAbstractUI.aspx?menuIndex=3&amp;refID=7150543&amp;Result=3","7150543")</f>
        <v>0</v>
      </c>
      <c r="B122" t="s">
        <v>94</v>
      </c>
      <c r="C122" t="s">
        <v>3885</v>
      </c>
      <c r="D122" t="s">
        <v>17959</v>
      </c>
      <c r="E122" t="s">
        <v>18177</v>
      </c>
      <c r="F122" t="s">
        <v>30899</v>
      </c>
      <c r="G122" t="s">
        <v>30907</v>
      </c>
      <c r="H122" t="s">
        <v>30916</v>
      </c>
      <c r="I122" t="s">
        <v>4108</v>
      </c>
      <c r="J122" t="s">
        <v>31147</v>
      </c>
      <c r="K122" t="s">
        <v>40287</v>
      </c>
      <c r="M122" t="s">
        <v>40641</v>
      </c>
      <c r="N122" t="s">
        <v>44759</v>
      </c>
      <c r="O122" t="s">
        <v>44760</v>
      </c>
      <c r="P122">
        <v>0</v>
      </c>
      <c r="Q122">
        <v>0</v>
      </c>
      <c r="R122" t="s">
        <v>44761</v>
      </c>
      <c r="S122" t="s">
        <v>44862</v>
      </c>
      <c r="T122" t="s">
        <v>46397</v>
      </c>
      <c r="U122" t="s">
        <v>47064</v>
      </c>
      <c r="V122" t="s">
        <v>59116</v>
      </c>
      <c r="W122" t="s">
        <v>40641</v>
      </c>
      <c r="X122" t="s">
        <v>44763</v>
      </c>
    </row>
    <row r="123" spans="1:24">
      <c r="A123">
        <f>HYPERLINK("https://www.philgeps.gov.ph/GEPSNONPILOT/Tender/SplashBidNoticeAbstractUI.aspx?menuIndex=3&amp;refID=7150537&amp;Result=3","7150537")</f>
        <v>0</v>
      </c>
      <c r="B123" t="s">
        <v>95</v>
      </c>
      <c r="C123" t="s">
        <v>3886</v>
      </c>
      <c r="D123" t="s">
        <v>17957</v>
      </c>
      <c r="E123" t="s">
        <v>18178</v>
      </c>
      <c r="F123" t="s">
        <v>30902</v>
      </c>
      <c r="G123" t="s">
        <v>30909</v>
      </c>
      <c r="H123" t="s">
        <v>30916</v>
      </c>
      <c r="I123" t="s">
        <v>4108</v>
      </c>
      <c r="J123" t="s">
        <v>31148</v>
      </c>
      <c r="K123" t="s">
        <v>40281</v>
      </c>
      <c r="M123" t="s">
        <v>40642</v>
      </c>
      <c r="N123" t="s">
        <v>44759</v>
      </c>
      <c r="O123" t="s">
        <v>44760</v>
      </c>
      <c r="P123">
        <v>0</v>
      </c>
      <c r="Q123">
        <v>0</v>
      </c>
      <c r="R123" t="s">
        <v>44761</v>
      </c>
      <c r="S123" t="s">
        <v>44862</v>
      </c>
      <c r="T123" t="s">
        <v>46398</v>
      </c>
      <c r="U123" t="s">
        <v>47065</v>
      </c>
      <c r="V123" t="s">
        <v>59117</v>
      </c>
      <c r="W123" t="s">
        <v>60818</v>
      </c>
      <c r="X123" t="s">
        <v>44763</v>
      </c>
    </row>
    <row r="124" spans="1:24">
      <c r="A124">
        <f>HYPERLINK("https://www.philgeps.gov.ph/GEPSNONPILOT/Tender/SplashBidNoticeAbstractUI.aspx?menuIndex=3&amp;refID=7150291&amp;Result=3","7150291")</f>
        <v>0</v>
      </c>
      <c r="B124" t="s">
        <v>86</v>
      </c>
      <c r="C124" t="s">
        <v>3887</v>
      </c>
      <c r="D124" t="s">
        <v>17963</v>
      </c>
      <c r="E124" t="s">
        <v>18179</v>
      </c>
      <c r="F124" t="s">
        <v>30900</v>
      </c>
      <c r="G124" t="s">
        <v>30907</v>
      </c>
      <c r="H124" t="s">
        <v>30915</v>
      </c>
      <c r="I124" t="s">
        <v>30919</v>
      </c>
      <c r="J124" t="s">
        <v>31149</v>
      </c>
      <c r="K124" t="s">
        <v>40280</v>
      </c>
      <c r="M124" t="s">
        <v>40633</v>
      </c>
      <c r="N124" t="s">
        <v>44759</v>
      </c>
      <c r="O124" t="s">
        <v>44760</v>
      </c>
      <c r="P124">
        <v>0</v>
      </c>
      <c r="Q124">
        <v>0</v>
      </c>
      <c r="R124" t="s">
        <v>44761</v>
      </c>
      <c r="S124" t="s">
        <v>44862</v>
      </c>
      <c r="T124" t="s">
        <v>46392</v>
      </c>
      <c r="U124" t="s">
        <v>47066</v>
      </c>
      <c r="W124" t="s">
        <v>40633</v>
      </c>
      <c r="X124" t="s">
        <v>44763</v>
      </c>
    </row>
    <row r="125" spans="1:24">
      <c r="A125">
        <f>HYPERLINK("https://www.philgeps.gov.ph/GEPSNONPILOT/Tender/SplashBidNoticeAbstractUI.aspx?menuIndex=3&amp;refID=7150477&amp;Result=3","7150477")</f>
        <v>0</v>
      </c>
      <c r="B125" t="s">
        <v>73</v>
      </c>
      <c r="C125" t="s">
        <v>3888</v>
      </c>
      <c r="D125" t="s">
        <v>17983</v>
      </c>
      <c r="E125" t="s">
        <v>18180</v>
      </c>
      <c r="F125" t="s">
        <v>30900</v>
      </c>
      <c r="G125" t="s">
        <v>30907</v>
      </c>
      <c r="H125" t="s">
        <v>30916</v>
      </c>
      <c r="I125" t="s">
        <v>30927</v>
      </c>
      <c r="J125" t="s">
        <v>31150</v>
      </c>
      <c r="K125" t="s">
        <v>40293</v>
      </c>
      <c r="M125" t="s">
        <v>40620</v>
      </c>
      <c r="N125" t="s">
        <v>44759</v>
      </c>
      <c r="O125" t="s">
        <v>44760</v>
      </c>
      <c r="P125">
        <v>0</v>
      </c>
      <c r="Q125">
        <v>0</v>
      </c>
      <c r="R125" t="s">
        <v>44761</v>
      </c>
      <c r="S125" t="s">
        <v>44862</v>
      </c>
      <c r="T125" t="s">
        <v>46369</v>
      </c>
      <c r="U125" t="s">
        <v>47067</v>
      </c>
      <c r="W125" t="s">
        <v>40620</v>
      </c>
      <c r="X125" t="s">
        <v>44763</v>
      </c>
    </row>
    <row r="126" spans="1:24">
      <c r="A126">
        <f>HYPERLINK("https://www.philgeps.gov.ph/GEPSNONPILOT/Tender/SplashBidNoticeAbstractUI.aspx?menuIndex=3&amp;refID=7150750&amp;Result=3","7150750")</f>
        <v>0</v>
      </c>
      <c r="B126" t="s">
        <v>91</v>
      </c>
      <c r="C126" t="s">
        <v>3889</v>
      </c>
      <c r="D126" t="s">
        <v>17993</v>
      </c>
      <c r="E126" t="s">
        <v>18181</v>
      </c>
      <c r="F126" t="s">
        <v>30900</v>
      </c>
      <c r="G126" t="s">
        <v>30908</v>
      </c>
      <c r="H126" t="s">
        <v>30916</v>
      </c>
      <c r="I126" t="s">
        <v>6396</v>
      </c>
      <c r="J126" t="s">
        <v>31151</v>
      </c>
      <c r="K126" t="s">
        <v>40283</v>
      </c>
      <c r="M126" t="s">
        <v>40638</v>
      </c>
      <c r="N126" t="s">
        <v>44759</v>
      </c>
      <c r="O126" t="s">
        <v>44760</v>
      </c>
      <c r="P126">
        <v>0</v>
      </c>
      <c r="Q126">
        <v>0</v>
      </c>
      <c r="R126" t="s">
        <v>44761</v>
      </c>
      <c r="S126" t="s">
        <v>44862</v>
      </c>
      <c r="T126" t="s">
        <v>46369</v>
      </c>
      <c r="U126" t="s">
        <v>47060</v>
      </c>
      <c r="V126" t="s">
        <v>59115</v>
      </c>
      <c r="W126" t="s">
        <v>40638</v>
      </c>
      <c r="X126" t="s">
        <v>44763</v>
      </c>
    </row>
    <row r="127" spans="1:24">
      <c r="A127">
        <f>HYPERLINK("https://www.philgeps.gov.ph/GEPSNONPILOT/Tender/SplashBidNoticeAbstractUI.aspx?menuIndex=3&amp;refID=7150457&amp;Result=3","7150457")</f>
        <v>0</v>
      </c>
      <c r="B127" t="s">
        <v>75</v>
      </c>
      <c r="C127" t="s">
        <v>3890</v>
      </c>
      <c r="D127" t="s">
        <v>17985</v>
      </c>
      <c r="E127" t="s">
        <v>18182</v>
      </c>
      <c r="F127" t="s">
        <v>30900</v>
      </c>
      <c r="G127" t="s">
        <v>30906</v>
      </c>
      <c r="H127" t="s">
        <v>30915</v>
      </c>
      <c r="I127" t="s">
        <v>30919</v>
      </c>
      <c r="J127" t="s">
        <v>31152</v>
      </c>
      <c r="K127" t="s">
        <v>40303</v>
      </c>
      <c r="M127" t="s">
        <v>40622</v>
      </c>
      <c r="N127" t="s">
        <v>44759</v>
      </c>
      <c r="O127" t="s">
        <v>44760</v>
      </c>
      <c r="P127">
        <v>0</v>
      </c>
      <c r="Q127">
        <v>0</v>
      </c>
      <c r="R127" t="s">
        <v>44761</v>
      </c>
      <c r="S127" t="s">
        <v>44862</v>
      </c>
      <c r="T127" t="s">
        <v>46359</v>
      </c>
      <c r="U127" t="s">
        <v>47068</v>
      </c>
      <c r="W127" t="s">
        <v>40622</v>
      </c>
      <c r="X127" t="s">
        <v>44763</v>
      </c>
    </row>
    <row r="128" spans="1:24">
      <c r="A128">
        <f>HYPERLINK("https://www.philgeps.gov.ph/GEPSNONPILOT/Tender/SplashBidNoticeAbstractUI.aspx?menuIndex=3&amp;refID=7150451&amp;Result=3","7150451")</f>
        <v>0</v>
      </c>
      <c r="B128" t="s">
        <v>75</v>
      </c>
      <c r="C128" t="s">
        <v>3891</v>
      </c>
      <c r="D128" t="s">
        <v>17985</v>
      </c>
      <c r="E128" t="s">
        <v>18183</v>
      </c>
      <c r="F128" t="s">
        <v>30900</v>
      </c>
      <c r="G128" t="s">
        <v>30906</v>
      </c>
      <c r="H128" t="s">
        <v>30915</v>
      </c>
      <c r="I128" t="s">
        <v>30919</v>
      </c>
      <c r="J128" t="s">
        <v>31153</v>
      </c>
      <c r="K128" t="s">
        <v>40300</v>
      </c>
      <c r="M128" t="s">
        <v>40622</v>
      </c>
      <c r="N128" t="s">
        <v>44759</v>
      </c>
      <c r="O128" t="s">
        <v>44760</v>
      </c>
      <c r="P128">
        <v>0</v>
      </c>
      <c r="Q128">
        <v>0</v>
      </c>
      <c r="R128" t="s">
        <v>44761</v>
      </c>
      <c r="S128" t="s">
        <v>44862</v>
      </c>
      <c r="T128" t="s">
        <v>46359</v>
      </c>
      <c r="U128" t="s">
        <v>47068</v>
      </c>
      <c r="W128" t="s">
        <v>40622</v>
      </c>
      <c r="X128" t="s">
        <v>44763</v>
      </c>
    </row>
    <row r="129" spans="1:24">
      <c r="A129">
        <f>HYPERLINK("https://www.philgeps.gov.ph/GEPSNONPILOT/Tender/SplashBidNoticeAbstractUI.aspx?menuIndex=3&amp;refID=7150438&amp;Result=3","7150438")</f>
        <v>0</v>
      </c>
      <c r="B129" t="s">
        <v>75</v>
      </c>
      <c r="C129" t="s">
        <v>3892</v>
      </c>
      <c r="D129" t="s">
        <v>17985</v>
      </c>
      <c r="E129" t="s">
        <v>18184</v>
      </c>
      <c r="F129" t="s">
        <v>30900</v>
      </c>
      <c r="G129" t="s">
        <v>30906</v>
      </c>
      <c r="H129" t="s">
        <v>30915</v>
      </c>
      <c r="I129" t="s">
        <v>30919</v>
      </c>
      <c r="J129" t="s">
        <v>31154</v>
      </c>
      <c r="K129" t="s">
        <v>40296</v>
      </c>
      <c r="M129" t="s">
        <v>40622</v>
      </c>
      <c r="N129" t="s">
        <v>44759</v>
      </c>
      <c r="O129" t="s">
        <v>44760</v>
      </c>
      <c r="P129">
        <v>0</v>
      </c>
      <c r="Q129">
        <v>0</v>
      </c>
      <c r="R129" t="s">
        <v>44761</v>
      </c>
      <c r="S129" t="s">
        <v>44862</v>
      </c>
      <c r="T129" t="s">
        <v>46359</v>
      </c>
      <c r="U129" t="s">
        <v>47068</v>
      </c>
      <c r="W129" t="s">
        <v>40622</v>
      </c>
      <c r="X129" t="s">
        <v>44763</v>
      </c>
    </row>
    <row r="130" spans="1:24">
      <c r="A130">
        <f>HYPERLINK("https://www.philgeps.gov.ph/GEPSNONPILOT/Tender/SplashBidNoticeAbstractUI.aspx?menuIndex=3&amp;refID=7150794&amp;Result=3","7150794")</f>
        <v>0</v>
      </c>
      <c r="B130" t="s">
        <v>96</v>
      </c>
      <c r="C130" t="s">
        <v>3893</v>
      </c>
      <c r="D130" t="s">
        <v>17953</v>
      </c>
      <c r="E130" t="s">
        <v>18185</v>
      </c>
      <c r="F130" t="s">
        <v>30900</v>
      </c>
      <c r="G130" t="s">
        <v>30908</v>
      </c>
      <c r="H130" t="s">
        <v>30916</v>
      </c>
      <c r="I130" t="s">
        <v>4108</v>
      </c>
      <c r="J130" t="s">
        <v>31155</v>
      </c>
      <c r="K130" t="s">
        <v>40289</v>
      </c>
      <c r="M130" t="s">
        <v>40643</v>
      </c>
      <c r="N130" t="s">
        <v>44759</v>
      </c>
      <c r="O130" t="s">
        <v>44760</v>
      </c>
      <c r="P130">
        <v>0</v>
      </c>
      <c r="Q130">
        <v>0</v>
      </c>
      <c r="R130" t="s">
        <v>44761</v>
      </c>
      <c r="S130" t="s">
        <v>44862</v>
      </c>
      <c r="T130" t="s">
        <v>46399</v>
      </c>
      <c r="U130" t="s">
        <v>47069</v>
      </c>
      <c r="V130" t="s">
        <v>59118</v>
      </c>
      <c r="W130" t="s">
        <v>40643</v>
      </c>
      <c r="X130" t="s">
        <v>44763</v>
      </c>
    </row>
    <row r="131" spans="1:24">
      <c r="A131">
        <f>HYPERLINK("https://www.philgeps.gov.ph/GEPSNONPILOT/Tender/SplashBidNoticeAbstractUI.aspx?menuIndex=3&amp;refID=7150490&amp;Result=3","7150490")</f>
        <v>0</v>
      </c>
      <c r="B131" t="s">
        <v>97</v>
      </c>
      <c r="C131" t="s">
        <v>3894</v>
      </c>
      <c r="D131" t="s">
        <v>17975</v>
      </c>
      <c r="E131" t="s">
        <v>18186</v>
      </c>
      <c r="F131" t="s">
        <v>30900</v>
      </c>
      <c r="G131" t="s">
        <v>30908</v>
      </c>
      <c r="H131" t="s">
        <v>30916</v>
      </c>
      <c r="I131" t="s">
        <v>5830</v>
      </c>
      <c r="J131" t="s">
        <v>31156</v>
      </c>
      <c r="K131" t="s">
        <v>40283</v>
      </c>
      <c r="M131" t="s">
        <v>40644</v>
      </c>
      <c r="N131" t="s">
        <v>44759</v>
      </c>
      <c r="O131" t="s">
        <v>44760</v>
      </c>
      <c r="P131">
        <v>0</v>
      </c>
      <c r="Q131">
        <v>0</v>
      </c>
      <c r="R131" t="s">
        <v>44761</v>
      </c>
      <c r="S131" t="s">
        <v>44862</v>
      </c>
      <c r="T131" t="s">
        <v>46400</v>
      </c>
      <c r="U131" t="s">
        <v>47070</v>
      </c>
      <c r="W131" t="s">
        <v>40644</v>
      </c>
      <c r="X131" t="s">
        <v>44763</v>
      </c>
    </row>
    <row r="132" spans="1:24">
      <c r="A132">
        <f>HYPERLINK("https://www.philgeps.gov.ph/GEPSNONPILOT/Tender/SplashBidNoticeAbstractUI.aspx?menuIndex=3&amp;refID=7150430&amp;Result=3","7150430")</f>
        <v>0</v>
      </c>
      <c r="B132" t="s">
        <v>75</v>
      </c>
      <c r="C132" t="s">
        <v>3895</v>
      </c>
      <c r="D132" t="s">
        <v>17985</v>
      </c>
      <c r="E132" t="s">
        <v>18187</v>
      </c>
      <c r="F132" t="s">
        <v>30900</v>
      </c>
      <c r="G132" t="s">
        <v>30906</v>
      </c>
      <c r="H132" t="s">
        <v>30915</v>
      </c>
      <c r="I132" t="s">
        <v>30919</v>
      </c>
      <c r="J132" t="s">
        <v>31157</v>
      </c>
      <c r="K132" t="s">
        <v>40304</v>
      </c>
      <c r="M132" t="s">
        <v>40622</v>
      </c>
      <c r="N132" t="s">
        <v>44759</v>
      </c>
      <c r="O132" t="s">
        <v>44760</v>
      </c>
      <c r="P132">
        <v>0</v>
      </c>
      <c r="Q132">
        <v>0</v>
      </c>
      <c r="R132" t="s">
        <v>44761</v>
      </c>
      <c r="S132" t="s">
        <v>44862</v>
      </c>
      <c r="T132" t="s">
        <v>46359</v>
      </c>
      <c r="U132" t="s">
        <v>47068</v>
      </c>
      <c r="W132" t="s">
        <v>40622</v>
      </c>
      <c r="X132" t="s">
        <v>44763</v>
      </c>
    </row>
    <row r="133" spans="1:24">
      <c r="A133">
        <f>HYPERLINK("https://www.philgeps.gov.ph/GEPSNONPILOT/Tender/SplashBidNoticeAbstractUI.aspx?menuIndex=3&amp;refID=7150421&amp;Result=3","7150421")</f>
        <v>0</v>
      </c>
      <c r="B133" t="s">
        <v>75</v>
      </c>
      <c r="C133" t="s">
        <v>3896</v>
      </c>
      <c r="D133" t="s">
        <v>17985</v>
      </c>
      <c r="E133" t="s">
        <v>18188</v>
      </c>
      <c r="F133" t="s">
        <v>30900</v>
      </c>
      <c r="G133" t="s">
        <v>30906</v>
      </c>
      <c r="H133" t="s">
        <v>30915</v>
      </c>
      <c r="I133" t="s">
        <v>30919</v>
      </c>
      <c r="J133" t="s">
        <v>31158</v>
      </c>
      <c r="K133" t="s">
        <v>40305</v>
      </c>
      <c r="M133" t="s">
        <v>40622</v>
      </c>
      <c r="N133" t="s">
        <v>44759</v>
      </c>
      <c r="O133" t="s">
        <v>44760</v>
      </c>
      <c r="P133">
        <v>0</v>
      </c>
      <c r="Q133">
        <v>0</v>
      </c>
      <c r="R133" t="s">
        <v>44761</v>
      </c>
      <c r="S133" t="s">
        <v>44862</v>
      </c>
      <c r="T133" t="s">
        <v>46359</v>
      </c>
      <c r="U133" t="s">
        <v>47068</v>
      </c>
      <c r="W133" t="s">
        <v>40622</v>
      </c>
      <c r="X133" t="s">
        <v>44763</v>
      </c>
    </row>
    <row r="134" spans="1:24">
      <c r="A134">
        <f>HYPERLINK("https://www.philgeps.gov.ph/GEPSNONPILOT/Tender/SplashBidNoticeAbstractUI.aspx?menuIndex=3&amp;refID=7150418&amp;Result=3","7150418")</f>
        <v>0</v>
      </c>
      <c r="B134" t="s">
        <v>86</v>
      </c>
      <c r="C134" t="s">
        <v>3897</v>
      </c>
      <c r="D134" t="s">
        <v>17963</v>
      </c>
      <c r="E134" t="s">
        <v>18189</v>
      </c>
      <c r="F134" t="s">
        <v>30900</v>
      </c>
      <c r="G134" t="s">
        <v>30907</v>
      </c>
      <c r="H134" t="s">
        <v>30915</v>
      </c>
      <c r="I134" t="s">
        <v>30919</v>
      </c>
      <c r="J134" t="s">
        <v>31159</v>
      </c>
      <c r="K134" t="s">
        <v>40280</v>
      </c>
      <c r="M134" t="s">
        <v>40633</v>
      </c>
      <c r="N134" t="s">
        <v>44759</v>
      </c>
      <c r="O134" t="s">
        <v>44760</v>
      </c>
      <c r="P134">
        <v>0</v>
      </c>
      <c r="Q134">
        <v>0</v>
      </c>
      <c r="R134" t="s">
        <v>44761</v>
      </c>
      <c r="S134" t="s">
        <v>44862</v>
      </c>
      <c r="T134" t="s">
        <v>46392</v>
      </c>
      <c r="U134" t="s">
        <v>47071</v>
      </c>
      <c r="W134" t="s">
        <v>40633</v>
      </c>
      <c r="X134" t="s">
        <v>44763</v>
      </c>
    </row>
    <row r="135" spans="1:24">
      <c r="A135">
        <f>HYPERLINK("https://www.philgeps.gov.ph/GEPSNONPILOT/Tender/SplashBidNoticeAbstractUI.aspx?menuIndex=3&amp;refID=7150373&amp;Result=3","7150373")</f>
        <v>0</v>
      </c>
      <c r="B135" t="s">
        <v>94</v>
      </c>
      <c r="C135" t="s">
        <v>3898</v>
      </c>
      <c r="D135" t="s">
        <v>17959</v>
      </c>
      <c r="E135" t="s">
        <v>18190</v>
      </c>
      <c r="F135" t="s">
        <v>30899</v>
      </c>
      <c r="G135" t="s">
        <v>30907</v>
      </c>
      <c r="H135" t="s">
        <v>30916</v>
      </c>
      <c r="I135" t="s">
        <v>4142</v>
      </c>
      <c r="J135" t="s">
        <v>31160</v>
      </c>
      <c r="K135" t="s">
        <v>40287</v>
      </c>
      <c r="M135" t="s">
        <v>40641</v>
      </c>
      <c r="N135" t="s">
        <v>44759</v>
      </c>
      <c r="O135" t="s">
        <v>44760</v>
      </c>
      <c r="P135">
        <v>0</v>
      </c>
      <c r="Q135">
        <v>0</v>
      </c>
      <c r="R135" t="s">
        <v>44761</v>
      </c>
      <c r="S135" t="s">
        <v>44862</v>
      </c>
      <c r="T135" t="s">
        <v>46397</v>
      </c>
      <c r="U135" t="s">
        <v>47072</v>
      </c>
      <c r="V135" t="s">
        <v>59116</v>
      </c>
      <c r="W135" t="s">
        <v>40641</v>
      </c>
      <c r="X135" t="s">
        <v>44763</v>
      </c>
    </row>
    <row r="136" spans="1:24">
      <c r="A136">
        <f>HYPERLINK("https://www.philgeps.gov.ph/GEPSNONPILOT/Tender/SplashBidNoticeAbstractUI.aspx?menuIndex=3&amp;refID=7150360&amp;Result=3","7150360")</f>
        <v>0</v>
      </c>
      <c r="B136" t="s">
        <v>86</v>
      </c>
      <c r="C136" t="s">
        <v>3899</v>
      </c>
      <c r="D136" t="s">
        <v>17963</v>
      </c>
      <c r="E136" t="s">
        <v>18191</v>
      </c>
      <c r="F136" t="s">
        <v>30900</v>
      </c>
      <c r="G136" t="s">
        <v>30907</v>
      </c>
      <c r="H136" t="s">
        <v>30915</v>
      </c>
      <c r="I136" t="s">
        <v>30919</v>
      </c>
      <c r="J136" t="s">
        <v>31161</v>
      </c>
      <c r="K136" t="s">
        <v>40280</v>
      </c>
      <c r="M136" t="s">
        <v>40633</v>
      </c>
      <c r="N136" t="s">
        <v>44759</v>
      </c>
      <c r="O136" t="s">
        <v>44760</v>
      </c>
      <c r="P136">
        <v>0</v>
      </c>
      <c r="Q136">
        <v>0</v>
      </c>
      <c r="R136" t="s">
        <v>44761</v>
      </c>
      <c r="S136" t="s">
        <v>44862</v>
      </c>
      <c r="T136" t="s">
        <v>46392</v>
      </c>
      <c r="U136" t="s">
        <v>47073</v>
      </c>
      <c r="W136" t="s">
        <v>40633</v>
      </c>
      <c r="X136" t="s">
        <v>44763</v>
      </c>
    </row>
    <row r="137" spans="1:24">
      <c r="A137">
        <f>HYPERLINK("https://www.philgeps.gov.ph/GEPSNONPILOT/Tender/SplashBidNoticeAbstractUI.aspx?menuIndex=3&amp;refID=7150461&amp;Result=3","7150461")</f>
        <v>0</v>
      </c>
      <c r="B137" t="s">
        <v>94</v>
      </c>
      <c r="C137" t="s">
        <v>3900</v>
      </c>
      <c r="D137" t="s">
        <v>17959</v>
      </c>
      <c r="E137" t="s">
        <v>18192</v>
      </c>
      <c r="F137" t="s">
        <v>30899</v>
      </c>
      <c r="G137" t="s">
        <v>30907</v>
      </c>
      <c r="H137" t="s">
        <v>30916</v>
      </c>
      <c r="I137" t="s">
        <v>4108</v>
      </c>
      <c r="J137" t="s">
        <v>31162</v>
      </c>
      <c r="K137" t="s">
        <v>40287</v>
      </c>
      <c r="M137" t="s">
        <v>40641</v>
      </c>
      <c r="N137" t="s">
        <v>44759</v>
      </c>
      <c r="O137" t="s">
        <v>44760</v>
      </c>
      <c r="P137">
        <v>0</v>
      </c>
      <c r="Q137">
        <v>0</v>
      </c>
      <c r="R137" t="s">
        <v>44761</v>
      </c>
      <c r="S137" t="s">
        <v>44862</v>
      </c>
      <c r="T137" t="s">
        <v>46397</v>
      </c>
      <c r="U137" t="s">
        <v>47064</v>
      </c>
      <c r="V137" t="s">
        <v>59116</v>
      </c>
      <c r="W137" t="s">
        <v>40641</v>
      </c>
      <c r="X137" t="s">
        <v>44763</v>
      </c>
    </row>
    <row r="138" spans="1:24">
      <c r="A138">
        <f>HYPERLINK("https://www.philgeps.gov.ph/GEPSNONPILOT/Tender/SplashBidNoticeAbstractUI.aspx?menuIndex=3&amp;refID=7150169&amp;Result=3","7150169")</f>
        <v>0</v>
      </c>
      <c r="B138" t="s">
        <v>98</v>
      </c>
      <c r="C138" t="s">
        <v>3901</v>
      </c>
      <c r="D138" t="s">
        <v>17994</v>
      </c>
      <c r="E138" t="s">
        <v>18193</v>
      </c>
      <c r="F138" t="s">
        <v>30900</v>
      </c>
      <c r="G138" t="s">
        <v>30908</v>
      </c>
      <c r="H138" t="s">
        <v>30916</v>
      </c>
      <c r="I138" t="s">
        <v>4142</v>
      </c>
      <c r="J138" t="s">
        <v>31163</v>
      </c>
      <c r="K138" t="s">
        <v>40289</v>
      </c>
      <c r="M138" t="s">
        <v>40645</v>
      </c>
      <c r="N138" t="s">
        <v>44759</v>
      </c>
      <c r="O138" t="s">
        <v>44760</v>
      </c>
      <c r="P138">
        <v>0</v>
      </c>
      <c r="Q138">
        <v>0</v>
      </c>
      <c r="R138" t="s">
        <v>44761</v>
      </c>
      <c r="S138" t="s">
        <v>44862</v>
      </c>
      <c r="T138" t="s">
        <v>46399</v>
      </c>
      <c r="U138" t="s">
        <v>47074</v>
      </c>
      <c r="V138" t="s">
        <v>59119</v>
      </c>
      <c r="W138" t="s">
        <v>40645</v>
      </c>
      <c r="X138" t="s">
        <v>44763</v>
      </c>
    </row>
    <row r="139" spans="1:24">
      <c r="A139">
        <f>HYPERLINK("https://www.philgeps.gov.ph/GEPSNONPILOT/Tender/SplashBidNoticeAbstractUI.aspx?menuIndex=3&amp;refID=7150142&amp;Result=3","7150142")</f>
        <v>0</v>
      </c>
      <c r="B139" t="s">
        <v>99</v>
      </c>
      <c r="C139" t="s">
        <v>3902</v>
      </c>
      <c r="D139" t="s">
        <v>17975</v>
      </c>
      <c r="E139" t="s">
        <v>18194</v>
      </c>
      <c r="F139" t="s">
        <v>30900</v>
      </c>
      <c r="G139" t="s">
        <v>30908</v>
      </c>
      <c r="H139" t="s">
        <v>30916</v>
      </c>
      <c r="I139" t="s">
        <v>5830</v>
      </c>
      <c r="J139" t="s">
        <v>31164</v>
      </c>
      <c r="K139" t="s">
        <v>40283</v>
      </c>
      <c r="M139" t="s">
        <v>40646</v>
      </c>
      <c r="N139" t="s">
        <v>44759</v>
      </c>
      <c r="O139" t="s">
        <v>44760</v>
      </c>
      <c r="P139">
        <v>0</v>
      </c>
      <c r="Q139">
        <v>0</v>
      </c>
      <c r="R139" t="s">
        <v>44761</v>
      </c>
      <c r="S139" t="s">
        <v>44862</v>
      </c>
      <c r="T139" t="s">
        <v>46400</v>
      </c>
      <c r="U139" t="s">
        <v>47070</v>
      </c>
      <c r="W139" t="s">
        <v>40646</v>
      </c>
      <c r="X139" t="s">
        <v>44763</v>
      </c>
    </row>
    <row r="140" spans="1:24">
      <c r="A140">
        <f>HYPERLINK("https://www.philgeps.gov.ph/GEPSNONPILOT/Tender/SplashBidNoticeAbstractUI.aspx?menuIndex=3&amp;refID=7150278&amp;Result=3","7150278")</f>
        <v>0</v>
      </c>
      <c r="B140" t="s">
        <v>100</v>
      </c>
      <c r="C140" t="s">
        <v>3903</v>
      </c>
      <c r="D140" t="s">
        <v>17995</v>
      </c>
      <c r="E140" t="s">
        <v>18195</v>
      </c>
      <c r="F140" t="s">
        <v>30900</v>
      </c>
      <c r="G140" t="s">
        <v>30909</v>
      </c>
      <c r="H140" t="s">
        <v>30916</v>
      </c>
      <c r="I140" t="s">
        <v>10602</v>
      </c>
      <c r="J140" t="s">
        <v>31165</v>
      </c>
      <c r="K140" t="s">
        <v>40289</v>
      </c>
      <c r="M140" t="s">
        <v>40647</v>
      </c>
      <c r="N140" t="s">
        <v>44759</v>
      </c>
      <c r="O140" t="s">
        <v>44760</v>
      </c>
      <c r="P140">
        <v>0</v>
      </c>
      <c r="Q140">
        <v>0</v>
      </c>
      <c r="R140" t="s">
        <v>44761</v>
      </c>
      <c r="S140" t="s">
        <v>44862</v>
      </c>
      <c r="T140" t="s">
        <v>46363</v>
      </c>
      <c r="U140" t="s">
        <v>47075</v>
      </c>
      <c r="V140" t="s">
        <v>59120</v>
      </c>
      <c r="W140" t="s">
        <v>40647</v>
      </c>
      <c r="X140" t="s">
        <v>44763</v>
      </c>
    </row>
    <row r="141" spans="1:24">
      <c r="A141">
        <f>HYPERLINK("https://www.philgeps.gov.ph/GEPSNONPILOT/Tender/SplashBidNoticeAbstractUI.aspx?menuIndex=3&amp;refID=7146847&amp;Result=3","7146847")</f>
        <v>0</v>
      </c>
      <c r="B141" t="s">
        <v>85</v>
      </c>
      <c r="C141" t="s">
        <v>3904</v>
      </c>
      <c r="D141" t="s">
        <v>17991</v>
      </c>
      <c r="E141" t="s">
        <v>18155</v>
      </c>
      <c r="F141" t="s">
        <v>30900</v>
      </c>
      <c r="G141" t="s">
        <v>30907</v>
      </c>
      <c r="H141" t="s">
        <v>30916</v>
      </c>
      <c r="I141" t="s">
        <v>4142</v>
      </c>
      <c r="J141" t="s">
        <v>31166</v>
      </c>
      <c r="K141" t="s">
        <v>40289</v>
      </c>
      <c r="M141" t="s">
        <v>40632</v>
      </c>
      <c r="N141" t="s">
        <v>44759</v>
      </c>
      <c r="O141" t="s">
        <v>44760</v>
      </c>
      <c r="P141">
        <v>0</v>
      </c>
      <c r="Q141">
        <v>0</v>
      </c>
      <c r="R141" t="s">
        <v>44762</v>
      </c>
      <c r="S141" t="s">
        <v>44863</v>
      </c>
      <c r="T141" t="s">
        <v>46387</v>
      </c>
      <c r="U141" t="s">
        <v>47076</v>
      </c>
      <c r="W141" t="s">
        <v>60817</v>
      </c>
      <c r="X141" t="s">
        <v>44767</v>
      </c>
    </row>
    <row r="142" spans="1:24">
      <c r="A142">
        <f>HYPERLINK("https://www.philgeps.gov.ph/GEPSNONPILOT/Tender/SplashBidNoticeAbstractUI.aspx?menuIndex=3&amp;refID=7146796&amp;Result=3","7146796")</f>
        <v>0</v>
      </c>
      <c r="B142" t="s">
        <v>85</v>
      </c>
      <c r="C142" t="s">
        <v>3905</v>
      </c>
      <c r="D142" t="s">
        <v>17991</v>
      </c>
      <c r="E142" t="s">
        <v>18196</v>
      </c>
      <c r="F142" t="s">
        <v>30900</v>
      </c>
      <c r="G142" t="s">
        <v>30907</v>
      </c>
      <c r="H142" t="s">
        <v>30916</v>
      </c>
      <c r="I142" t="s">
        <v>30924</v>
      </c>
      <c r="J142" t="s">
        <v>31167</v>
      </c>
      <c r="K142" t="s">
        <v>40289</v>
      </c>
      <c r="M142" t="s">
        <v>40632</v>
      </c>
      <c r="N142" t="s">
        <v>44759</v>
      </c>
      <c r="O142" t="s">
        <v>44760</v>
      </c>
      <c r="P142">
        <v>0</v>
      </c>
      <c r="Q142">
        <v>0</v>
      </c>
      <c r="R142" t="s">
        <v>44762</v>
      </c>
      <c r="S142" t="s">
        <v>44863</v>
      </c>
      <c r="T142" t="s">
        <v>46387</v>
      </c>
      <c r="U142" t="s">
        <v>47077</v>
      </c>
      <c r="W142" t="s">
        <v>60817</v>
      </c>
      <c r="X142" t="s">
        <v>44767</v>
      </c>
    </row>
    <row r="143" spans="1:24">
      <c r="A143">
        <f>HYPERLINK("https://www.philgeps.gov.ph/GEPSNONPILOT/Tender/SplashBidNoticeAbstractUI.aspx?menuIndex=3&amp;refID=7146778&amp;Result=3","7146778")</f>
        <v>0</v>
      </c>
      <c r="B143" t="s">
        <v>88</v>
      </c>
      <c r="C143" t="s">
        <v>3906</v>
      </c>
      <c r="D143" t="s">
        <v>17992</v>
      </c>
      <c r="E143" t="s">
        <v>18197</v>
      </c>
      <c r="F143" t="s">
        <v>30900</v>
      </c>
      <c r="G143" t="s">
        <v>30907</v>
      </c>
      <c r="H143" t="s">
        <v>30915</v>
      </c>
      <c r="I143" t="s">
        <v>30919</v>
      </c>
      <c r="J143" t="s">
        <v>31168</v>
      </c>
      <c r="K143" t="s">
        <v>40293</v>
      </c>
      <c r="M143" t="s">
        <v>40635</v>
      </c>
      <c r="N143" t="s">
        <v>44759</v>
      </c>
      <c r="O143" t="s">
        <v>44760</v>
      </c>
      <c r="P143">
        <v>0</v>
      </c>
      <c r="Q143">
        <v>0</v>
      </c>
      <c r="R143" t="s">
        <v>44762</v>
      </c>
      <c r="S143" t="s">
        <v>44863</v>
      </c>
      <c r="T143" t="s">
        <v>46401</v>
      </c>
      <c r="U143" t="s">
        <v>47078</v>
      </c>
      <c r="W143" t="s">
        <v>40635</v>
      </c>
      <c r="X143" t="s">
        <v>44767</v>
      </c>
    </row>
    <row r="144" spans="1:24">
      <c r="A144">
        <f>HYPERLINK("https://www.philgeps.gov.ph/GEPSNONPILOT/Tender/SplashBidNoticeAbstractUI.aspx?menuIndex=3&amp;refID=7150388&amp;Result=3","7150388")</f>
        <v>0</v>
      </c>
      <c r="B144" t="s">
        <v>86</v>
      </c>
      <c r="C144" t="s">
        <v>3907</v>
      </c>
      <c r="D144" t="s">
        <v>17963</v>
      </c>
      <c r="E144" t="s">
        <v>18198</v>
      </c>
      <c r="F144" t="s">
        <v>30900</v>
      </c>
      <c r="G144" t="s">
        <v>30907</v>
      </c>
      <c r="H144" t="s">
        <v>30915</v>
      </c>
      <c r="I144" t="s">
        <v>30919</v>
      </c>
      <c r="J144" t="s">
        <v>31169</v>
      </c>
      <c r="K144" t="s">
        <v>40280</v>
      </c>
      <c r="M144" t="s">
        <v>40633</v>
      </c>
      <c r="N144" t="s">
        <v>44759</v>
      </c>
      <c r="O144" t="s">
        <v>44760</v>
      </c>
      <c r="P144">
        <v>0</v>
      </c>
      <c r="Q144">
        <v>0</v>
      </c>
      <c r="R144" t="s">
        <v>44761</v>
      </c>
      <c r="S144" t="s">
        <v>44862</v>
      </c>
      <c r="T144" t="s">
        <v>46392</v>
      </c>
      <c r="U144" t="s">
        <v>47079</v>
      </c>
      <c r="W144" t="s">
        <v>40633</v>
      </c>
      <c r="X144" t="s">
        <v>44763</v>
      </c>
    </row>
    <row r="145" spans="1:24">
      <c r="A145">
        <f>HYPERLINK("https://www.philgeps.gov.ph/GEPSNONPILOT/Tender/SplashBidNoticeAbstractUI.aspx?menuIndex=3&amp;refID=7149664&amp;Result=3","7149664")</f>
        <v>0</v>
      </c>
      <c r="B145" t="s">
        <v>74</v>
      </c>
      <c r="C145" t="s">
        <v>3908</v>
      </c>
      <c r="D145" t="s">
        <v>17984</v>
      </c>
      <c r="E145" t="s">
        <v>18199</v>
      </c>
      <c r="F145" t="s">
        <v>30900</v>
      </c>
      <c r="G145" t="s">
        <v>30907</v>
      </c>
      <c r="H145" t="s">
        <v>30915</v>
      </c>
      <c r="I145" t="s">
        <v>30919</v>
      </c>
      <c r="J145" t="s">
        <v>31170</v>
      </c>
      <c r="K145" t="s">
        <v>40302</v>
      </c>
      <c r="M145" t="s">
        <v>40621</v>
      </c>
      <c r="N145" t="s">
        <v>44759</v>
      </c>
      <c r="O145" t="s">
        <v>44760</v>
      </c>
      <c r="P145">
        <v>0</v>
      </c>
      <c r="Q145">
        <v>0</v>
      </c>
      <c r="R145" t="s">
        <v>44761</v>
      </c>
      <c r="S145" t="s">
        <v>44862</v>
      </c>
      <c r="T145" t="s">
        <v>46350</v>
      </c>
      <c r="U145" t="s">
        <v>47080</v>
      </c>
      <c r="W145" t="s">
        <v>40621</v>
      </c>
      <c r="X145" t="s">
        <v>44763</v>
      </c>
    </row>
    <row r="146" spans="1:24">
      <c r="A146">
        <f>HYPERLINK("https://www.philgeps.gov.ph/GEPSNONPILOT/Tender/SplashBidNoticeAbstractUI.aspx?menuIndex=3&amp;refID=7149653&amp;Result=3","7149653")</f>
        <v>0</v>
      </c>
      <c r="B146" t="s">
        <v>46</v>
      </c>
      <c r="C146" t="s">
        <v>3909</v>
      </c>
      <c r="D146" t="s">
        <v>17953</v>
      </c>
      <c r="E146" t="s">
        <v>18200</v>
      </c>
      <c r="F146" t="s">
        <v>30900</v>
      </c>
      <c r="G146" t="s">
        <v>30906</v>
      </c>
      <c r="H146" t="s">
        <v>30916</v>
      </c>
      <c r="I146" t="s">
        <v>30936</v>
      </c>
      <c r="J146" t="s">
        <v>31171</v>
      </c>
      <c r="K146" t="s">
        <v>40291</v>
      </c>
      <c r="M146" t="s">
        <v>40592</v>
      </c>
      <c r="N146" t="s">
        <v>44759</v>
      </c>
      <c r="O146" t="s">
        <v>44760</v>
      </c>
      <c r="P146">
        <v>0</v>
      </c>
      <c r="Q146">
        <v>0</v>
      </c>
      <c r="R146" t="s">
        <v>44761</v>
      </c>
      <c r="S146" t="s">
        <v>44862</v>
      </c>
      <c r="T146" t="s">
        <v>46386</v>
      </c>
      <c r="U146" t="s">
        <v>47031</v>
      </c>
      <c r="W146" t="s">
        <v>60814</v>
      </c>
      <c r="X146" t="s">
        <v>44763</v>
      </c>
    </row>
    <row r="147" spans="1:24">
      <c r="A147">
        <f>HYPERLINK("https://www.philgeps.gov.ph/GEPSNONPILOT/Tender/SplashBidNoticeAbstractUI.aspx?menuIndex=3&amp;refID=7150440&amp;Result=3","7150440")</f>
        <v>0</v>
      </c>
      <c r="B147" t="s">
        <v>101</v>
      </c>
      <c r="C147" t="s">
        <v>3910</v>
      </c>
      <c r="D147" t="s">
        <v>17987</v>
      </c>
      <c r="E147" t="s">
        <v>18201</v>
      </c>
      <c r="F147" t="s">
        <v>30900</v>
      </c>
      <c r="G147" t="s">
        <v>30907</v>
      </c>
      <c r="H147" t="s">
        <v>30915</v>
      </c>
      <c r="I147" t="s">
        <v>30919</v>
      </c>
      <c r="J147" t="s">
        <v>31172</v>
      </c>
      <c r="K147" t="s">
        <v>40292</v>
      </c>
      <c r="M147" t="s">
        <v>40648</v>
      </c>
      <c r="N147" t="s">
        <v>44759</v>
      </c>
      <c r="O147" t="s">
        <v>44760</v>
      </c>
      <c r="P147">
        <v>0</v>
      </c>
      <c r="Q147">
        <v>0</v>
      </c>
      <c r="R147" t="s">
        <v>44761</v>
      </c>
      <c r="S147" t="s">
        <v>44862</v>
      </c>
      <c r="T147" t="s">
        <v>46402</v>
      </c>
      <c r="U147" t="s">
        <v>47081</v>
      </c>
      <c r="W147" t="s">
        <v>40648</v>
      </c>
      <c r="X147" t="s">
        <v>44763</v>
      </c>
    </row>
    <row r="148" spans="1:24">
      <c r="A148">
        <f>HYPERLINK("https://www.philgeps.gov.ph/GEPSNONPILOT/Tender/SplashBidNoticeAbstractUI.aspx?menuIndex=3&amp;refID=7149590&amp;Result=3","7149590")</f>
        <v>0</v>
      </c>
      <c r="B148" t="s">
        <v>74</v>
      </c>
      <c r="C148" t="s">
        <v>3911</v>
      </c>
      <c r="D148" t="s">
        <v>17984</v>
      </c>
      <c r="E148" t="s">
        <v>18202</v>
      </c>
      <c r="F148" t="s">
        <v>30900</v>
      </c>
      <c r="G148" t="s">
        <v>30907</v>
      </c>
      <c r="H148" t="s">
        <v>30915</v>
      </c>
      <c r="I148" t="s">
        <v>30919</v>
      </c>
      <c r="J148" t="s">
        <v>31173</v>
      </c>
      <c r="K148" t="s">
        <v>40293</v>
      </c>
      <c r="M148" t="s">
        <v>40621</v>
      </c>
      <c r="N148" t="s">
        <v>44759</v>
      </c>
      <c r="O148" t="s">
        <v>44760</v>
      </c>
      <c r="P148">
        <v>0</v>
      </c>
      <c r="Q148">
        <v>0</v>
      </c>
      <c r="R148" t="s">
        <v>44761</v>
      </c>
      <c r="S148" t="s">
        <v>44862</v>
      </c>
      <c r="T148" t="s">
        <v>46350</v>
      </c>
      <c r="U148" t="s">
        <v>47082</v>
      </c>
      <c r="W148" t="s">
        <v>40621</v>
      </c>
      <c r="X148" t="s">
        <v>44763</v>
      </c>
    </row>
    <row r="149" spans="1:24">
      <c r="A149">
        <f>HYPERLINK("https://www.philgeps.gov.ph/GEPSNONPILOT/Tender/SplashBidNoticeAbstractUI.aspx?menuIndex=3&amp;refID=7150052&amp;Result=3","7150052")</f>
        <v>0</v>
      </c>
      <c r="B149" t="s">
        <v>46</v>
      </c>
      <c r="C149" t="s">
        <v>3912</v>
      </c>
      <c r="D149" t="s">
        <v>17953</v>
      </c>
      <c r="E149" t="s">
        <v>18203</v>
      </c>
      <c r="F149" t="s">
        <v>30900</v>
      </c>
      <c r="G149" t="s">
        <v>30908</v>
      </c>
      <c r="H149" t="s">
        <v>30916</v>
      </c>
      <c r="I149" t="s">
        <v>6746</v>
      </c>
      <c r="J149" t="s">
        <v>31174</v>
      </c>
      <c r="K149" t="s">
        <v>40291</v>
      </c>
      <c r="M149" t="s">
        <v>40592</v>
      </c>
      <c r="N149" t="s">
        <v>44759</v>
      </c>
      <c r="O149" t="s">
        <v>44760</v>
      </c>
      <c r="P149">
        <v>0</v>
      </c>
      <c r="Q149">
        <v>0</v>
      </c>
      <c r="R149" t="s">
        <v>44761</v>
      </c>
      <c r="S149" t="s">
        <v>44862</v>
      </c>
      <c r="T149" t="s">
        <v>46386</v>
      </c>
      <c r="U149" t="s">
        <v>47031</v>
      </c>
      <c r="W149" t="s">
        <v>60814</v>
      </c>
      <c r="X149" t="s">
        <v>44763</v>
      </c>
    </row>
    <row r="150" spans="1:24">
      <c r="A150">
        <f>HYPERLINK("https://www.philgeps.gov.ph/GEPSNONPILOT/Tender/SplashBidNoticeAbstractUI.aspx?menuIndex=3&amp;refID=7149578&amp;Result=3","7149578")</f>
        <v>0</v>
      </c>
      <c r="B150" t="s">
        <v>73</v>
      </c>
      <c r="C150" t="s">
        <v>3913</v>
      </c>
      <c r="D150" t="s">
        <v>17983</v>
      </c>
      <c r="E150" t="s">
        <v>18204</v>
      </c>
      <c r="F150" t="s">
        <v>30900</v>
      </c>
      <c r="G150" t="s">
        <v>30907</v>
      </c>
      <c r="H150" t="s">
        <v>30916</v>
      </c>
      <c r="I150" t="s">
        <v>8123</v>
      </c>
      <c r="J150" t="s">
        <v>31175</v>
      </c>
      <c r="K150" t="s">
        <v>40286</v>
      </c>
      <c r="M150" t="s">
        <v>40620</v>
      </c>
      <c r="N150" t="s">
        <v>44759</v>
      </c>
      <c r="O150" t="s">
        <v>44760</v>
      </c>
      <c r="P150">
        <v>0</v>
      </c>
      <c r="Q150">
        <v>0</v>
      </c>
      <c r="R150" t="s">
        <v>44761</v>
      </c>
      <c r="S150" t="s">
        <v>44862</v>
      </c>
      <c r="T150" t="s">
        <v>46369</v>
      </c>
      <c r="U150" t="s">
        <v>47083</v>
      </c>
      <c r="W150" t="s">
        <v>40620</v>
      </c>
      <c r="X150" t="s">
        <v>44763</v>
      </c>
    </row>
    <row r="151" spans="1:24">
      <c r="A151">
        <f>HYPERLINK("https://www.philgeps.gov.ph/GEPSNONPILOT/Tender/SplashBidNoticeAbstractUI.aspx?menuIndex=3&amp;refID=7149549&amp;Result=3","7149549")</f>
        <v>0</v>
      </c>
      <c r="B151" t="s">
        <v>46</v>
      </c>
      <c r="C151" t="s">
        <v>3914</v>
      </c>
      <c r="D151" t="s">
        <v>17953</v>
      </c>
      <c r="E151" t="s">
        <v>18205</v>
      </c>
      <c r="F151" t="s">
        <v>30900</v>
      </c>
      <c r="G151" t="s">
        <v>30906</v>
      </c>
      <c r="H151" t="s">
        <v>30916</v>
      </c>
      <c r="I151" t="s">
        <v>6396</v>
      </c>
      <c r="J151" t="s">
        <v>31176</v>
      </c>
      <c r="K151" t="s">
        <v>40291</v>
      </c>
      <c r="M151" t="s">
        <v>40592</v>
      </c>
      <c r="N151" t="s">
        <v>44759</v>
      </c>
      <c r="O151" t="s">
        <v>44760</v>
      </c>
      <c r="P151">
        <v>0</v>
      </c>
      <c r="Q151">
        <v>0</v>
      </c>
      <c r="R151" t="s">
        <v>44761</v>
      </c>
      <c r="S151" t="s">
        <v>44862</v>
      </c>
      <c r="T151" t="s">
        <v>46386</v>
      </c>
      <c r="U151" t="s">
        <v>47031</v>
      </c>
      <c r="W151" t="s">
        <v>60814</v>
      </c>
      <c r="X151" t="s">
        <v>44763</v>
      </c>
    </row>
    <row r="152" spans="1:24">
      <c r="A152">
        <f>HYPERLINK("https://www.philgeps.gov.ph/GEPSNONPILOT/Tender/SplashBidNoticeAbstractUI.aspx?menuIndex=3&amp;refID=7149542&amp;Result=3","7149542")</f>
        <v>0</v>
      </c>
      <c r="B152" t="s">
        <v>74</v>
      </c>
      <c r="C152" t="s">
        <v>3915</v>
      </c>
      <c r="D152" t="s">
        <v>17984</v>
      </c>
      <c r="E152" t="s">
        <v>18206</v>
      </c>
      <c r="F152" t="s">
        <v>30900</v>
      </c>
      <c r="G152" t="s">
        <v>30907</v>
      </c>
      <c r="H152" t="s">
        <v>30915</v>
      </c>
      <c r="I152" t="s">
        <v>30919</v>
      </c>
      <c r="J152" t="s">
        <v>31177</v>
      </c>
      <c r="K152" t="s">
        <v>40306</v>
      </c>
      <c r="M152" t="s">
        <v>40621</v>
      </c>
      <c r="N152" t="s">
        <v>44759</v>
      </c>
      <c r="O152" t="s">
        <v>44760</v>
      </c>
      <c r="P152">
        <v>0</v>
      </c>
      <c r="Q152">
        <v>0</v>
      </c>
      <c r="R152" t="s">
        <v>44761</v>
      </c>
      <c r="S152" t="s">
        <v>44862</v>
      </c>
      <c r="T152" t="s">
        <v>46350</v>
      </c>
      <c r="U152" t="s">
        <v>47084</v>
      </c>
      <c r="W152" t="s">
        <v>40621</v>
      </c>
      <c r="X152" t="s">
        <v>44763</v>
      </c>
    </row>
    <row r="153" spans="1:24">
      <c r="A153">
        <f>HYPERLINK("https://www.philgeps.gov.ph/GEPSNONPILOT/Tender/SplashBidNoticeAbstractUI.aspx?menuIndex=3&amp;refID=7149467&amp;Result=3","7149467")</f>
        <v>0</v>
      </c>
      <c r="B153" t="s">
        <v>102</v>
      </c>
      <c r="C153" t="s">
        <v>3916</v>
      </c>
      <c r="D153" t="s">
        <v>17957</v>
      </c>
      <c r="E153" t="s">
        <v>18207</v>
      </c>
      <c r="F153" t="s">
        <v>30900</v>
      </c>
      <c r="G153" t="s">
        <v>30909</v>
      </c>
      <c r="H153" t="s">
        <v>30916</v>
      </c>
      <c r="I153" t="s">
        <v>8365</v>
      </c>
      <c r="J153" t="s">
        <v>31178</v>
      </c>
      <c r="K153" t="s">
        <v>40281</v>
      </c>
      <c r="M153" t="s">
        <v>40649</v>
      </c>
      <c r="N153" t="s">
        <v>44759</v>
      </c>
      <c r="O153" t="s">
        <v>44760</v>
      </c>
      <c r="P153">
        <v>0</v>
      </c>
      <c r="Q153">
        <v>0</v>
      </c>
      <c r="R153" t="s">
        <v>44761</v>
      </c>
      <c r="S153" t="s">
        <v>44862</v>
      </c>
      <c r="T153" t="s">
        <v>46403</v>
      </c>
      <c r="U153" t="s">
        <v>47085</v>
      </c>
      <c r="V153" t="s">
        <v>59121</v>
      </c>
      <c r="W153" t="s">
        <v>40649</v>
      </c>
      <c r="X153" t="s">
        <v>44763</v>
      </c>
    </row>
    <row r="154" spans="1:24">
      <c r="A154">
        <f>HYPERLINK("https://www.philgeps.gov.ph/GEPSNONPILOT/Tender/SplashBidNoticeAbstractUI.aspx?menuIndex=3&amp;refID=7149439&amp;Result=3","7149439")</f>
        <v>0</v>
      </c>
      <c r="B154" t="s">
        <v>103</v>
      </c>
      <c r="C154" t="s">
        <v>3917</v>
      </c>
      <c r="D154" t="s">
        <v>17979</v>
      </c>
      <c r="E154" t="s">
        <v>18208</v>
      </c>
      <c r="F154" t="s">
        <v>30900</v>
      </c>
      <c r="G154" t="s">
        <v>30909</v>
      </c>
      <c r="H154" t="s">
        <v>30916</v>
      </c>
      <c r="I154" t="s">
        <v>30922</v>
      </c>
      <c r="J154" t="s">
        <v>31179</v>
      </c>
      <c r="K154" t="s">
        <v>40287</v>
      </c>
      <c r="M154" t="s">
        <v>40650</v>
      </c>
      <c r="N154" t="s">
        <v>44759</v>
      </c>
      <c r="O154" t="s">
        <v>44760</v>
      </c>
      <c r="P154">
        <v>0</v>
      </c>
      <c r="Q154">
        <v>0</v>
      </c>
      <c r="R154" t="s">
        <v>44761</v>
      </c>
      <c r="S154" t="s">
        <v>44862</v>
      </c>
      <c r="T154" t="s">
        <v>46404</v>
      </c>
      <c r="U154" t="s">
        <v>47086</v>
      </c>
      <c r="W154" t="s">
        <v>40650</v>
      </c>
      <c r="X154" t="s">
        <v>44763</v>
      </c>
    </row>
    <row r="155" spans="1:24">
      <c r="A155">
        <f>HYPERLINK("https://www.philgeps.gov.ph/GEPSNONPILOT/Tender/SplashBidNoticeAbstractUI.aspx?menuIndex=3&amp;refID=7147363&amp;Result=3","7147363")</f>
        <v>0</v>
      </c>
      <c r="B155" t="s">
        <v>104</v>
      </c>
      <c r="C155" t="s">
        <v>3918</v>
      </c>
      <c r="E155" t="s">
        <v>18209</v>
      </c>
      <c r="F155" t="s">
        <v>30900</v>
      </c>
      <c r="G155" t="s">
        <v>30907</v>
      </c>
      <c r="H155" t="s">
        <v>30916</v>
      </c>
      <c r="I155" t="s">
        <v>4454</v>
      </c>
      <c r="J155" t="s">
        <v>31180</v>
      </c>
      <c r="K155" t="s">
        <v>40280</v>
      </c>
      <c r="M155" t="s">
        <v>40651</v>
      </c>
      <c r="N155" t="s">
        <v>44759</v>
      </c>
      <c r="O155" t="s">
        <v>44760</v>
      </c>
      <c r="P155">
        <v>0</v>
      </c>
      <c r="Q155">
        <v>0</v>
      </c>
      <c r="R155" t="s">
        <v>44761</v>
      </c>
      <c r="S155" t="s">
        <v>44862</v>
      </c>
      <c r="T155" t="s">
        <v>46382</v>
      </c>
      <c r="U155" t="s">
        <v>47087</v>
      </c>
      <c r="W155" t="s">
        <v>40651</v>
      </c>
      <c r="X155" t="s">
        <v>44767</v>
      </c>
    </row>
    <row r="156" spans="1:24">
      <c r="A156">
        <f>HYPERLINK("https://www.philgeps.gov.ph/GEPSNONPILOT/Tender/SplashBidNoticeAbstractUI.aspx?menuIndex=3&amp;refID=7150933&amp;Result=3","7150933")</f>
        <v>0</v>
      </c>
      <c r="B156" t="s">
        <v>105</v>
      </c>
      <c r="C156" t="s">
        <v>3919</v>
      </c>
      <c r="D156" t="s">
        <v>17952</v>
      </c>
      <c r="E156" t="s">
        <v>18210</v>
      </c>
      <c r="F156" t="s">
        <v>30900</v>
      </c>
      <c r="G156" t="s">
        <v>30907</v>
      </c>
      <c r="H156" t="s">
        <v>30916</v>
      </c>
      <c r="I156" t="s">
        <v>30933</v>
      </c>
      <c r="J156" t="s">
        <v>31181</v>
      </c>
      <c r="K156" t="s">
        <v>40283</v>
      </c>
      <c r="M156" t="s">
        <v>40652</v>
      </c>
      <c r="N156" t="s">
        <v>44759</v>
      </c>
      <c r="O156" t="s">
        <v>44760</v>
      </c>
      <c r="P156">
        <v>0</v>
      </c>
      <c r="Q156">
        <v>0</v>
      </c>
      <c r="R156" t="s">
        <v>44761</v>
      </c>
      <c r="S156" t="s">
        <v>44862</v>
      </c>
      <c r="T156" t="s">
        <v>46373</v>
      </c>
      <c r="U156" t="s">
        <v>47088</v>
      </c>
      <c r="W156" t="s">
        <v>40652</v>
      </c>
      <c r="X156" t="s">
        <v>44763</v>
      </c>
    </row>
    <row r="157" spans="1:24">
      <c r="A157">
        <f>HYPERLINK("https://www.philgeps.gov.ph/GEPSNONPILOT/Tender/SplashBidNoticeAbstractUI.aspx?menuIndex=3&amp;refID=7149602&amp;Result=3","7149602")</f>
        <v>0</v>
      </c>
      <c r="B157" t="s">
        <v>106</v>
      </c>
      <c r="C157" t="s">
        <v>3920</v>
      </c>
      <c r="D157" t="s">
        <v>17961</v>
      </c>
      <c r="E157" t="s">
        <v>18211</v>
      </c>
      <c r="F157" t="s">
        <v>30900</v>
      </c>
      <c r="G157" t="s">
        <v>30908</v>
      </c>
      <c r="H157" t="s">
        <v>30916</v>
      </c>
      <c r="I157" t="s">
        <v>30937</v>
      </c>
      <c r="J157" t="s">
        <v>31182</v>
      </c>
      <c r="K157" t="s">
        <v>40289</v>
      </c>
      <c r="M157" t="s">
        <v>40653</v>
      </c>
      <c r="N157" t="s">
        <v>44759</v>
      </c>
      <c r="O157" t="s">
        <v>44760</v>
      </c>
      <c r="P157">
        <v>0</v>
      </c>
      <c r="Q157">
        <v>0</v>
      </c>
      <c r="R157" t="s">
        <v>44761</v>
      </c>
      <c r="S157" t="s">
        <v>44862</v>
      </c>
      <c r="T157" t="s">
        <v>46376</v>
      </c>
      <c r="U157" t="s">
        <v>47089</v>
      </c>
      <c r="V157" t="s">
        <v>59122</v>
      </c>
      <c r="W157" t="s">
        <v>40653</v>
      </c>
      <c r="X157" t="s">
        <v>44763</v>
      </c>
    </row>
    <row r="158" spans="1:24">
      <c r="A158">
        <f>HYPERLINK("https://www.philgeps.gov.ph/GEPSNONPILOT/Tender/SplashBidNoticeAbstractUI.aspx?menuIndex=3&amp;refID=7146983&amp;Result=3","7146983")</f>
        <v>0</v>
      </c>
      <c r="B158" t="s">
        <v>85</v>
      </c>
      <c r="C158" t="s">
        <v>3921</v>
      </c>
      <c r="D158" t="s">
        <v>17991</v>
      </c>
      <c r="E158" t="s">
        <v>18212</v>
      </c>
      <c r="F158" t="s">
        <v>30900</v>
      </c>
      <c r="G158" t="s">
        <v>30907</v>
      </c>
      <c r="H158" t="s">
        <v>30916</v>
      </c>
      <c r="I158" t="s">
        <v>4017</v>
      </c>
      <c r="J158" t="s">
        <v>31183</v>
      </c>
      <c r="K158" t="s">
        <v>40289</v>
      </c>
      <c r="M158" t="s">
        <v>40632</v>
      </c>
      <c r="N158" t="s">
        <v>44759</v>
      </c>
      <c r="O158" t="s">
        <v>44760</v>
      </c>
      <c r="P158">
        <v>0</v>
      </c>
      <c r="Q158">
        <v>1</v>
      </c>
      <c r="R158" t="s">
        <v>44762</v>
      </c>
      <c r="S158" t="s">
        <v>44863</v>
      </c>
      <c r="T158" t="s">
        <v>46387</v>
      </c>
      <c r="U158" t="s">
        <v>47090</v>
      </c>
      <c r="W158" t="s">
        <v>60817</v>
      </c>
      <c r="X158" t="s">
        <v>44767</v>
      </c>
    </row>
    <row r="159" spans="1:24">
      <c r="A159">
        <f>HYPERLINK("https://www.philgeps.gov.ph/GEPSNONPILOT/Tender/SplashBidNoticeAbstractUI.aspx?menuIndex=3&amp;refID=7151214&amp;Result=3","7151214")</f>
        <v>0</v>
      </c>
      <c r="B159" t="s">
        <v>107</v>
      </c>
      <c r="C159" t="s">
        <v>3922</v>
      </c>
      <c r="D159" t="s">
        <v>17984</v>
      </c>
      <c r="E159" t="s">
        <v>18213</v>
      </c>
      <c r="F159" t="s">
        <v>30900</v>
      </c>
      <c r="G159" t="s">
        <v>30907</v>
      </c>
      <c r="H159" t="s">
        <v>30915</v>
      </c>
      <c r="I159" t="s">
        <v>30919</v>
      </c>
      <c r="J159" t="s">
        <v>31184</v>
      </c>
      <c r="K159" t="s">
        <v>40307</v>
      </c>
      <c r="L159" t="s">
        <v>107</v>
      </c>
      <c r="M159" t="s">
        <v>40654</v>
      </c>
      <c r="N159" t="s">
        <v>44759</v>
      </c>
      <c r="O159" t="s">
        <v>44760</v>
      </c>
      <c r="P159">
        <v>0</v>
      </c>
      <c r="Q159">
        <v>0</v>
      </c>
      <c r="R159" t="s">
        <v>44761</v>
      </c>
      <c r="S159" t="s">
        <v>44862</v>
      </c>
      <c r="T159" t="s">
        <v>46405</v>
      </c>
      <c r="U159" t="s">
        <v>47091</v>
      </c>
      <c r="V159" t="s">
        <v>59123</v>
      </c>
      <c r="W159" t="s">
        <v>40654</v>
      </c>
      <c r="X159" t="s">
        <v>44763</v>
      </c>
    </row>
    <row r="160" spans="1:24">
      <c r="A160">
        <f>HYPERLINK("https://www.philgeps.gov.ph/GEPSNONPILOT/Tender/SplashBidNoticeAbstractUI.aspx?menuIndex=3&amp;refID=7151188&amp;Result=3","7151188")</f>
        <v>0</v>
      </c>
      <c r="B160" t="s">
        <v>108</v>
      </c>
      <c r="C160" t="s">
        <v>3923</v>
      </c>
      <c r="D160" t="s">
        <v>17952</v>
      </c>
      <c r="E160" t="s">
        <v>18214</v>
      </c>
      <c r="F160" t="s">
        <v>30900</v>
      </c>
      <c r="G160" t="s">
        <v>30907</v>
      </c>
      <c r="H160" t="s">
        <v>30915</v>
      </c>
      <c r="I160" t="s">
        <v>30919</v>
      </c>
      <c r="J160" t="s">
        <v>31185</v>
      </c>
      <c r="K160" t="s">
        <v>40308</v>
      </c>
      <c r="L160" t="s">
        <v>108</v>
      </c>
      <c r="M160" t="s">
        <v>40655</v>
      </c>
      <c r="N160" t="s">
        <v>44759</v>
      </c>
      <c r="O160" t="s">
        <v>44760</v>
      </c>
      <c r="P160">
        <v>0</v>
      </c>
      <c r="Q160">
        <v>0</v>
      </c>
      <c r="R160" t="s">
        <v>44761</v>
      </c>
      <c r="S160" t="s">
        <v>44862</v>
      </c>
      <c r="T160" t="s">
        <v>46406</v>
      </c>
      <c r="U160" t="s">
        <v>47092</v>
      </c>
      <c r="W160" t="s">
        <v>40655</v>
      </c>
      <c r="X160" t="s">
        <v>44763</v>
      </c>
    </row>
    <row r="161" spans="1:24">
      <c r="A161">
        <f>HYPERLINK("https://www.philgeps.gov.ph/GEPSNONPILOT/Tender/SplashBidNoticeAbstractUI.aspx?menuIndex=3&amp;refID=7147131&amp;Result=3","7147131")</f>
        <v>0</v>
      </c>
      <c r="B161" t="s">
        <v>109</v>
      </c>
      <c r="C161" t="s">
        <v>3924</v>
      </c>
      <c r="D161" t="s">
        <v>17973</v>
      </c>
      <c r="E161" t="s">
        <v>18215</v>
      </c>
      <c r="F161" t="s">
        <v>30900</v>
      </c>
      <c r="G161" t="s">
        <v>30907</v>
      </c>
      <c r="H161" t="s">
        <v>30916</v>
      </c>
      <c r="I161" t="s">
        <v>30927</v>
      </c>
      <c r="J161" t="s">
        <v>31186</v>
      </c>
      <c r="K161" t="s">
        <v>40283</v>
      </c>
      <c r="M161" t="s">
        <v>40656</v>
      </c>
      <c r="N161" t="s">
        <v>44759</v>
      </c>
      <c r="O161" t="s">
        <v>44760</v>
      </c>
      <c r="P161">
        <v>0</v>
      </c>
      <c r="Q161">
        <v>0</v>
      </c>
      <c r="R161" t="s">
        <v>44761</v>
      </c>
      <c r="S161" t="s">
        <v>44862</v>
      </c>
      <c r="T161" t="s">
        <v>46350</v>
      </c>
      <c r="U161" t="s">
        <v>47093</v>
      </c>
      <c r="W161" t="s">
        <v>40656</v>
      </c>
      <c r="X161" t="s">
        <v>44767</v>
      </c>
    </row>
    <row r="162" spans="1:24">
      <c r="A162">
        <f>HYPERLINK("https://www.philgeps.gov.ph/GEPSNONPILOT/Tender/SplashBidNoticeAbstractUI.aspx?menuIndex=3&amp;refID=7151024&amp;Result=3","7151024")</f>
        <v>0</v>
      </c>
      <c r="B162" t="s">
        <v>110</v>
      </c>
      <c r="C162" t="s">
        <v>3925</v>
      </c>
      <c r="D162" t="s">
        <v>17996</v>
      </c>
      <c r="E162" t="s">
        <v>18216</v>
      </c>
      <c r="F162" t="s">
        <v>30900</v>
      </c>
      <c r="G162" t="s">
        <v>30907</v>
      </c>
      <c r="H162" t="s">
        <v>30916</v>
      </c>
      <c r="I162" t="s">
        <v>4108</v>
      </c>
      <c r="J162" t="s">
        <v>31187</v>
      </c>
      <c r="K162" t="s">
        <v>40286</v>
      </c>
      <c r="M162" t="s">
        <v>40657</v>
      </c>
      <c r="N162" t="s">
        <v>44759</v>
      </c>
      <c r="O162" t="s">
        <v>44760</v>
      </c>
      <c r="P162">
        <v>0</v>
      </c>
      <c r="Q162">
        <v>0</v>
      </c>
      <c r="R162" t="s">
        <v>44761</v>
      </c>
      <c r="S162" t="s">
        <v>44862</v>
      </c>
      <c r="T162" t="s">
        <v>46407</v>
      </c>
      <c r="U162" t="s">
        <v>47094</v>
      </c>
      <c r="W162" t="s">
        <v>40657</v>
      </c>
      <c r="X162" t="s">
        <v>44763</v>
      </c>
    </row>
    <row r="163" spans="1:24">
      <c r="A163">
        <f>HYPERLINK("https://www.philgeps.gov.ph/GEPSNONPILOT/Tender/SplashBidNoticeAbstractUI.aspx?menuIndex=3&amp;refID=7151179&amp;Result=3","7151179")</f>
        <v>0</v>
      </c>
      <c r="B163" t="s">
        <v>107</v>
      </c>
      <c r="C163" t="s">
        <v>3926</v>
      </c>
      <c r="D163" t="s">
        <v>17984</v>
      </c>
      <c r="E163" t="s">
        <v>18217</v>
      </c>
      <c r="F163" t="s">
        <v>30900</v>
      </c>
      <c r="G163" t="s">
        <v>30907</v>
      </c>
      <c r="H163" t="s">
        <v>30916</v>
      </c>
      <c r="I163" t="s">
        <v>30924</v>
      </c>
      <c r="J163" t="s">
        <v>31188</v>
      </c>
      <c r="K163" t="s">
        <v>40301</v>
      </c>
      <c r="L163" t="s">
        <v>107</v>
      </c>
      <c r="M163" t="s">
        <v>40654</v>
      </c>
      <c r="N163" t="s">
        <v>44759</v>
      </c>
      <c r="O163" t="s">
        <v>44760</v>
      </c>
      <c r="P163">
        <v>0</v>
      </c>
      <c r="Q163">
        <v>0</v>
      </c>
      <c r="R163" t="s">
        <v>44761</v>
      </c>
      <c r="S163" t="s">
        <v>44862</v>
      </c>
      <c r="T163" t="s">
        <v>46405</v>
      </c>
      <c r="U163" t="s">
        <v>47095</v>
      </c>
      <c r="V163" t="s">
        <v>59124</v>
      </c>
      <c r="W163" t="s">
        <v>40654</v>
      </c>
      <c r="X163" t="s">
        <v>44763</v>
      </c>
    </row>
    <row r="164" spans="1:24">
      <c r="A164">
        <f>HYPERLINK("https://www.philgeps.gov.ph/GEPSNONPILOT/Tender/SplashBidNoticeAbstractUI.aspx?menuIndex=3&amp;refID=7151160&amp;Result=3","7151160")</f>
        <v>0</v>
      </c>
      <c r="B164" t="s">
        <v>108</v>
      </c>
      <c r="C164" t="s">
        <v>3927</v>
      </c>
      <c r="D164" t="s">
        <v>17952</v>
      </c>
      <c r="E164" t="s">
        <v>18218</v>
      </c>
      <c r="F164" t="s">
        <v>30900</v>
      </c>
      <c r="G164" t="s">
        <v>30907</v>
      </c>
      <c r="H164" t="s">
        <v>30915</v>
      </c>
      <c r="I164" t="s">
        <v>30919</v>
      </c>
      <c r="J164" t="s">
        <v>31189</v>
      </c>
      <c r="K164" t="s">
        <v>40308</v>
      </c>
      <c r="L164" t="s">
        <v>108</v>
      </c>
      <c r="M164" t="s">
        <v>40655</v>
      </c>
      <c r="N164" t="s">
        <v>44759</v>
      </c>
      <c r="O164" t="s">
        <v>44760</v>
      </c>
      <c r="P164">
        <v>0</v>
      </c>
      <c r="Q164">
        <v>0</v>
      </c>
      <c r="R164" t="s">
        <v>44761</v>
      </c>
      <c r="S164" t="s">
        <v>44862</v>
      </c>
      <c r="T164" t="s">
        <v>46406</v>
      </c>
      <c r="U164" t="s">
        <v>47096</v>
      </c>
      <c r="W164" t="s">
        <v>40655</v>
      </c>
      <c r="X164" t="s">
        <v>44763</v>
      </c>
    </row>
    <row r="165" spans="1:24">
      <c r="A165">
        <f>HYPERLINK("https://www.philgeps.gov.ph/GEPSNONPILOT/Tender/SplashBidNoticeAbstractUI.aspx?menuIndex=3&amp;refID=7151294&amp;Result=3","7151294")</f>
        <v>0</v>
      </c>
      <c r="B165" t="s">
        <v>107</v>
      </c>
      <c r="C165" t="s">
        <v>3928</v>
      </c>
      <c r="D165" t="s">
        <v>17984</v>
      </c>
      <c r="E165" t="s">
        <v>18219</v>
      </c>
      <c r="F165" t="s">
        <v>30900</v>
      </c>
      <c r="G165" t="s">
        <v>30907</v>
      </c>
      <c r="H165" t="s">
        <v>30916</v>
      </c>
      <c r="I165" t="s">
        <v>4108</v>
      </c>
      <c r="J165" t="s">
        <v>31190</v>
      </c>
      <c r="K165" t="s">
        <v>40286</v>
      </c>
      <c r="L165" t="s">
        <v>107</v>
      </c>
      <c r="M165" t="s">
        <v>40654</v>
      </c>
      <c r="N165" t="s">
        <v>44759</v>
      </c>
      <c r="O165" t="s">
        <v>44760</v>
      </c>
      <c r="P165">
        <v>0</v>
      </c>
      <c r="Q165">
        <v>0</v>
      </c>
      <c r="R165" t="s">
        <v>44761</v>
      </c>
      <c r="S165" t="s">
        <v>44862</v>
      </c>
      <c r="T165" t="s">
        <v>46405</v>
      </c>
      <c r="U165" t="s">
        <v>47097</v>
      </c>
      <c r="V165" t="s">
        <v>59124</v>
      </c>
      <c r="W165" t="s">
        <v>40654</v>
      </c>
      <c r="X165" t="s">
        <v>44763</v>
      </c>
    </row>
    <row r="166" spans="1:24">
      <c r="A166">
        <f>HYPERLINK("https://www.philgeps.gov.ph/GEPSNONPILOT/Tender/SplashBidNoticeAbstractUI.aspx?menuIndex=3&amp;refID=7151196&amp;Result=3","7151196")</f>
        <v>0</v>
      </c>
      <c r="B166" t="s">
        <v>111</v>
      </c>
      <c r="C166" t="s">
        <v>3929</v>
      </c>
      <c r="D166" t="s">
        <v>17987</v>
      </c>
      <c r="E166" t="s">
        <v>18220</v>
      </c>
      <c r="F166" t="s">
        <v>30900</v>
      </c>
      <c r="G166" t="s">
        <v>30908</v>
      </c>
      <c r="H166" t="s">
        <v>30917</v>
      </c>
      <c r="I166" t="s">
        <v>5830</v>
      </c>
      <c r="J166" t="s">
        <v>31191</v>
      </c>
      <c r="K166" t="s">
        <v>40287</v>
      </c>
      <c r="M166" t="s">
        <v>40658</v>
      </c>
      <c r="N166" t="s">
        <v>44759</v>
      </c>
      <c r="O166" t="s">
        <v>44760</v>
      </c>
      <c r="P166">
        <v>0</v>
      </c>
      <c r="Q166">
        <v>0</v>
      </c>
      <c r="R166" t="s">
        <v>44761</v>
      </c>
      <c r="S166" t="s">
        <v>44862</v>
      </c>
      <c r="T166" t="s">
        <v>46356</v>
      </c>
      <c r="U166" t="s">
        <v>47098</v>
      </c>
      <c r="W166" t="s">
        <v>40658</v>
      </c>
      <c r="X166" t="s">
        <v>44763</v>
      </c>
    </row>
    <row r="167" spans="1:24">
      <c r="A167">
        <f>HYPERLINK("https://www.philgeps.gov.ph/GEPSNONPILOT/Tender/SplashBidNoticeAbstractUI.aspx?menuIndex=3&amp;refID=7151199&amp;Result=3","7151199")</f>
        <v>0</v>
      </c>
      <c r="B167" t="s">
        <v>112</v>
      </c>
      <c r="C167" t="s">
        <v>3930</v>
      </c>
      <c r="D167" t="s">
        <v>17997</v>
      </c>
      <c r="E167" t="s">
        <v>18221</v>
      </c>
      <c r="F167" t="s">
        <v>30900</v>
      </c>
      <c r="G167" t="s">
        <v>30907</v>
      </c>
      <c r="H167" t="s">
        <v>30915</v>
      </c>
      <c r="I167" t="s">
        <v>30919</v>
      </c>
      <c r="J167" t="s">
        <v>31192</v>
      </c>
      <c r="K167" t="s">
        <v>40304</v>
      </c>
      <c r="M167" t="s">
        <v>40659</v>
      </c>
      <c r="N167" t="s">
        <v>44759</v>
      </c>
      <c r="O167" t="s">
        <v>44760</v>
      </c>
      <c r="P167">
        <v>0</v>
      </c>
      <c r="Q167">
        <v>0</v>
      </c>
      <c r="R167" t="s">
        <v>44761</v>
      </c>
      <c r="S167" t="s">
        <v>44862</v>
      </c>
      <c r="T167" t="s">
        <v>46408</v>
      </c>
      <c r="U167" t="s">
        <v>47099</v>
      </c>
      <c r="W167" t="s">
        <v>40659</v>
      </c>
      <c r="X167" t="s">
        <v>44763</v>
      </c>
    </row>
    <row r="168" spans="1:24">
      <c r="A168">
        <f>HYPERLINK("https://www.philgeps.gov.ph/GEPSNONPILOT/Tender/SplashBidNoticeAbstractUI.aspx?menuIndex=3&amp;refID=7151249&amp;Result=3","7151249")</f>
        <v>0</v>
      </c>
      <c r="B168" t="s">
        <v>107</v>
      </c>
      <c r="C168" t="s">
        <v>3931</v>
      </c>
      <c r="D168" t="s">
        <v>17984</v>
      </c>
      <c r="E168" t="s">
        <v>18222</v>
      </c>
      <c r="F168" t="s">
        <v>30900</v>
      </c>
      <c r="G168" t="s">
        <v>30907</v>
      </c>
      <c r="H168" t="s">
        <v>30915</v>
      </c>
      <c r="I168" t="s">
        <v>30919</v>
      </c>
      <c r="J168" t="s">
        <v>31193</v>
      </c>
      <c r="K168" t="s">
        <v>40309</v>
      </c>
      <c r="L168" t="s">
        <v>107</v>
      </c>
      <c r="M168" t="s">
        <v>40654</v>
      </c>
      <c r="N168" t="s">
        <v>44759</v>
      </c>
      <c r="O168" t="s">
        <v>44760</v>
      </c>
      <c r="P168">
        <v>0</v>
      </c>
      <c r="Q168">
        <v>0</v>
      </c>
      <c r="R168" t="s">
        <v>44761</v>
      </c>
      <c r="S168" t="s">
        <v>44862</v>
      </c>
      <c r="T168" t="s">
        <v>46405</v>
      </c>
      <c r="U168" t="s">
        <v>47100</v>
      </c>
      <c r="V168" t="s">
        <v>59123</v>
      </c>
      <c r="W168" t="s">
        <v>40654</v>
      </c>
      <c r="X168" t="s">
        <v>44763</v>
      </c>
    </row>
    <row r="169" spans="1:24">
      <c r="A169">
        <f>HYPERLINK("https://www.philgeps.gov.ph/GEPSNONPILOT/Tender/SplashBidNoticeAbstractUI.aspx?menuIndex=3&amp;refID=7151231&amp;Result=3","7151231")</f>
        <v>0</v>
      </c>
      <c r="B169" t="s">
        <v>111</v>
      </c>
      <c r="C169" t="s">
        <v>3929</v>
      </c>
      <c r="D169" t="s">
        <v>17987</v>
      </c>
      <c r="E169" t="s">
        <v>18223</v>
      </c>
      <c r="F169" t="s">
        <v>30900</v>
      </c>
      <c r="G169" t="s">
        <v>30908</v>
      </c>
      <c r="H169" t="s">
        <v>30917</v>
      </c>
      <c r="I169" t="s">
        <v>5830</v>
      </c>
      <c r="J169" t="s">
        <v>31194</v>
      </c>
      <c r="K169" t="s">
        <v>40287</v>
      </c>
      <c r="M169" t="s">
        <v>40658</v>
      </c>
      <c r="N169" t="s">
        <v>44759</v>
      </c>
      <c r="O169" t="s">
        <v>44760</v>
      </c>
      <c r="P169">
        <v>0</v>
      </c>
      <c r="Q169">
        <v>0</v>
      </c>
      <c r="R169" t="s">
        <v>44761</v>
      </c>
      <c r="S169" t="s">
        <v>44862</v>
      </c>
      <c r="T169" t="s">
        <v>46356</v>
      </c>
      <c r="U169" t="s">
        <v>47101</v>
      </c>
      <c r="W169" t="s">
        <v>40658</v>
      </c>
      <c r="X169" t="s">
        <v>44763</v>
      </c>
    </row>
    <row r="170" spans="1:24">
      <c r="A170">
        <f>HYPERLINK("https://www.philgeps.gov.ph/GEPSNONPILOT/Tender/SplashBidNoticeAbstractUI.aspx?menuIndex=3&amp;refID=7151221&amp;Result=3","7151221")</f>
        <v>0</v>
      </c>
      <c r="B170" t="s">
        <v>113</v>
      </c>
      <c r="C170" t="s">
        <v>3932</v>
      </c>
      <c r="D170" t="s">
        <v>17998</v>
      </c>
      <c r="E170" t="s">
        <v>18224</v>
      </c>
      <c r="F170" t="s">
        <v>30900</v>
      </c>
      <c r="G170" t="s">
        <v>30908</v>
      </c>
      <c r="H170" t="s">
        <v>30916</v>
      </c>
      <c r="I170" t="s">
        <v>6408</v>
      </c>
      <c r="J170" t="s">
        <v>31195</v>
      </c>
      <c r="K170" t="s">
        <v>40284</v>
      </c>
      <c r="M170" t="s">
        <v>40660</v>
      </c>
      <c r="N170" t="s">
        <v>44759</v>
      </c>
      <c r="O170" t="s">
        <v>44760</v>
      </c>
      <c r="P170">
        <v>0</v>
      </c>
      <c r="Q170">
        <v>0</v>
      </c>
      <c r="R170" t="s">
        <v>44761</v>
      </c>
      <c r="S170" t="s">
        <v>44862</v>
      </c>
      <c r="T170" t="s">
        <v>46376</v>
      </c>
      <c r="U170" t="s">
        <v>47102</v>
      </c>
      <c r="W170" t="s">
        <v>40660</v>
      </c>
      <c r="X170" t="s">
        <v>44763</v>
      </c>
    </row>
    <row r="171" spans="1:24">
      <c r="A171">
        <f>HYPERLINK("https://www.philgeps.gov.ph/GEPSNONPILOT/Tender/SplashBidNoticeAbstractUI.aspx?menuIndex=3&amp;refID=7151145&amp;Result=3","7151145")</f>
        <v>0</v>
      </c>
      <c r="B171" t="s">
        <v>112</v>
      </c>
      <c r="C171" t="s">
        <v>3933</v>
      </c>
      <c r="D171" t="s">
        <v>17997</v>
      </c>
      <c r="E171" t="s">
        <v>18225</v>
      </c>
      <c r="F171" t="s">
        <v>30900</v>
      </c>
      <c r="G171" t="s">
        <v>30907</v>
      </c>
      <c r="H171" t="s">
        <v>30915</v>
      </c>
      <c r="I171" t="s">
        <v>30919</v>
      </c>
      <c r="J171" t="s">
        <v>31196</v>
      </c>
      <c r="K171" t="s">
        <v>40304</v>
      </c>
      <c r="M171" t="s">
        <v>40659</v>
      </c>
      <c r="N171" t="s">
        <v>44759</v>
      </c>
      <c r="O171" t="s">
        <v>44760</v>
      </c>
      <c r="P171">
        <v>0</v>
      </c>
      <c r="Q171">
        <v>0</v>
      </c>
      <c r="R171" t="s">
        <v>44761</v>
      </c>
      <c r="S171" t="s">
        <v>44862</v>
      </c>
      <c r="T171" t="s">
        <v>46408</v>
      </c>
      <c r="U171" t="s">
        <v>47103</v>
      </c>
      <c r="W171" t="s">
        <v>40659</v>
      </c>
      <c r="X171" t="s">
        <v>44763</v>
      </c>
    </row>
    <row r="172" spans="1:24">
      <c r="A172">
        <f>HYPERLINK("https://www.philgeps.gov.ph/GEPSNONPILOT/Tender/SplashBidNoticeAbstractUI.aspx?menuIndex=3&amp;refID=7151119&amp;Result=3","7151119")</f>
        <v>0</v>
      </c>
      <c r="B172" t="s">
        <v>108</v>
      </c>
      <c r="C172" t="s">
        <v>3934</v>
      </c>
      <c r="D172" t="s">
        <v>17952</v>
      </c>
      <c r="E172" t="s">
        <v>18226</v>
      </c>
      <c r="F172" t="s">
        <v>30900</v>
      </c>
      <c r="G172" t="s">
        <v>30907</v>
      </c>
      <c r="H172" t="s">
        <v>30915</v>
      </c>
      <c r="I172" t="s">
        <v>30919</v>
      </c>
      <c r="J172" t="s">
        <v>31189</v>
      </c>
      <c r="K172" t="s">
        <v>40308</v>
      </c>
      <c r="L172" t="s">
        <v>108</v>
      </c>
      <c r="M172" t="s">
        <v>40655</v>
      </c>
      <c r="N172" t="s">
        <v>44759</v>
      </c>
      <c r="O172" t="s">
        <v>44760</v>
      </c>
      <c r="P172">
        <v>0</v>
      </c>
      <c r="Q172">
        <v>0</v>
      </c>
      <c r="R172" t="s">
        <v>44761</v>
      </c>
      <c r="S172" t="s">
        <v>44862</v>
      </c>
      <c r="T172" t="s">
        <v>46406</v>
      </c>
      <c r="U172" t="s">
        <v>47104</v>
      </c>
      <c r="W172" t="s">
        <v>40655</v>
      </c>
      <c r="X172" t="s">
        <v>44763</v>
      </c>
    </row>
    <row r="173" spans="1:24">
      <c r="A173">
        <f>HYPERLINK("https://www.philgeps.gov.ph/GEPSNONPILOT/Tender/SplashBidNoticeAbstractUI.aspx?menuIndex=3&amp;refID=7151074&amp;Result=3","7151074")</f>
        <v>0</v>
      </c>
      <c r="B173" t="s">
        <v>112</v>
      </c>
      <c r="C173" t="s">
        <v>3935</v>
      </c>
      <c r="D173" t="s">
        <v>17997</v>
      </c>
      <c r="E173" t="s">
        <v>18227</v>
      </c>
      <c r="F173" t="s">
        <v>30900</v>
      </c>
      <c r="G173" t="s">
        <v>30907</v>
      </c>
      <c r="H173" t="s">
        <v>30915</v>
      </c>
      <c r="I173" t="s">
        <v>30919</v>
      </c>
      <c r="J173" t="s">
        <v>31197</v>
      </c>
      <c r="K173" t="s">
        <v>40304</v>
      </c>
      <c r="M173" t="s">
        <v>40659</v>
      </c>
      <c r="N173" t="s">
        <v>44759</v>
      </c>
      <c r="O173" t="s">
        <v>44760</v>
      </c>
      <c r="P173">
        <v>0</v>
      </c>
      <c r="Q173">
        <v>0</v>
      </c>
      <c r="R173" t="s">
        <v>44761</v>
      </c>
      <c r="S173" t="s">
        <v>44862</v>
      </c>
      <c r="T173" t="s">
        <v>46408</v>
      </c>
      <c r="U173" t="s">
        <v>47105</v>
      </c>
      <c r="W173" t="s">
        <v>40659</v>
      </c>
      <c r="X173" t="s">
        <v>44763</v>
      </c>
    </row>
    <row r="174" spans="1:24">
      <c r="A174">
        <f>HYPERLINK("https://www.philgeps.gov.ph/GEPSNONPILOT/Tender/SplashBidNoticeAbstractUI.aspx?menuIndex=3&amp;refID=7151066&amp;Result=3","7151066")</f>
        <v>0</v>
      </c>
      <c r="B174" t="s">
        <v>108</v>
      </c>
      <c r="C174" t="s">
        <v>3936</v>
      </c>
      <c r="D174" t="s">
        <v>17952</v>
      </c>
      <c r="E174" t="s">
        <v>18228</v>
      </c>
      <c r="F174" t="s">
        <v>30900</v>
      </c>
      <c r="G174" t="s">
        <v>30907</v>
      </c>
      <c r="H174" t="s">
        <v>30915</v>
      </c>
      <c r="I174" t="s">
        <v>30919</v>
      </c>
      <c r="J174" t="s">
        <v>31198</v>
      </c>
      <c r="K174" t="s">
        <v>40280</v>
      </c>
      <c r="L174" t="s">
        <v>108</v>
      </c>
      <c r="M174" t="s">
        <v>40655</v>
      </c>
      <c r="N174" t="s">
        <v>44759</v>
      </c>
      <c r="O174" t="s">
        <v>44760</v>
      </c>
      <c r="P174">
        <v>0</v>
      </c>
      <c r="Q174">
        <v>0</v>
      </c>
      <c r="R174" t="s">
        <v>44761</v>
      </c>
      <c r="S174" t="s">
        <v>44862</v>
      </c>
      <c r="T174" t="s">
        <v>46406</v>
      </c>
      <c r="U174" t="s">
        <v>47106</v>
      </c>
      <c r="W174" t="s">
        <v>40655</v>
      </c>
      <c r="X174" t="s">
        <v>44763</v>
      </c>
    </row>
    <row r="175" spans="1:24">
      <c r="A175">
        <f>HYPERLINK("https://www.philgeps.gov.ph/GEPSNONPILOT/Tender/SplashBidNoticeAbstractUI.aspx?menuIndex=3&amp;refID=7151061&amp;Result=3","7151061")</f>
        <v>0</v>
      </c>
      <c r="B175" t="s">
        <v>114</v>
      </c>
      <c r="C175" t="s">
        <v>3937</v>
      </c>
      <c r="D175" t="s">
        <v>17966</v>
      </c>
      <c r="E175" t="s">
        <v>18229</v>
      </c>
      <c r="F175" t="s">
        <v>30900</v>
      </c>
      <c r="G175" t="s">
        <v>30909</v>
      </c>
      <c r="H175" t="s">
        <v>30916</v>
      </c>
      <c r="I175" t="s">
        <v>8123</v>
      </c>
      <c r="J175" t="s">
        <v>31199</v>
      </c>
      <c r="K175" t="s">
        <v>40286</v>
      </c>
      <c r="M175" t="s">
        <v>40661</v>
      </c>
      <c r="N175" t="s">
        <v>44759</v>
      </c>
      <c r="O175" t="s">
        <v>44760</v>
      </c>
      <c r="P175">
        <v>0</v>
      </c>
      <c r="Q175">
        <v>0</v>
      </c>
      <c r="R175" t="s">
        <v>44761</v>
      </c>
      <c r="S175" t="s">
        <v>44862</v>
      </c>
      <c r="T175" t="s">
        <v>46409</v>
      </c>
      <c r="U175" t="s">
        <v>47107</v>
      </c>
      <c r="W175" t="s">
        <v>40661</v>
      </c>
      <c r="X175" t="s">
        <v>44763</v>
      </c>
    </row>
    <row r="176" spans="1:24">
      <c r="A176">
        <f>HYPERLINK("https://www.philgeps.gov.ph/GEPSNONPILOT/Tender/SplashBidNoticeAbstractUI.aspx?menuIndex=3&amp;refID=7151333&amp;Result=3","7151333")</f>
        <v>0</v>
      </c>
      <c r="B176" t="s">
        <v>107</v>
      </c>
      <c r="C176" t="s">
        <v>3938</v>
      </c>
      <c r="D176" t="s">
        <v>17984</v>
      </c>
      <c r="E176" t="s">
        <v>18230</v>
      </c>
      <c r="F176" t="s">
        <v>30900</v>
      </c>
      <c r="G176" t="s">
        <v>30907</v>
      </c>
      <c r="H176" t="s">
        <v>30916</v>
      </c>
      <c r="I176" t="s">
        <v>4545</v>
      </c>
      <c r="J176" t="s">
        <v>31200</v>
      </c>
      <c r="K176" t="s">
        <v>40286</v>
      </c>
      <c r="L176" t="s">
        <v>107</v>
      </c>
      <c r="M176" t="s">
        <v>40654</v>
      </c>
      <c r="N176" t="s">
        <v>44759</v>
      </c>
      <c r="O176" t="s">
        <v>44760</v>
      </c>
      <c r="P176">
        <v>0</v>
      </c>
      <c r="Q176">
        <v>0</v>
      </c>
      <c r="R176" t="s">
        <v>44761</v>
      </c>
      <c r="S176" t="s">
        <v>44862</v>
      </c>
      <c r="T176" t="s">
        <v>46405</v>
      </c>
      <c r="U176" t="s">
        <v>47108</v>
      </c>
      <c r="V176" t="s">
        <v>59124</v>
      </c>
      <c r="W176" t="s">
        <v>40654</v>
      </c>
      <c r="X176" t="s">
        <v>44763</v>
      </c>
    </row>
    <row r="177" spans="1:24">
      <c r="A177">
        <f>HYPERLINK("https://www.philgeps.gov.ph/GEPSNONPILOT/Tender/SplashBidNoticeAbstractUI.aspx?menuIndex=3&amp;refID=7151268&amp;Result=3","7151268")</f>
        <v>0</v>
      </c>
      <c r="B177" t="s">
        <v>107</v>
      </c>
      <c r="C177" t="s">
        <v>3939</v>
      </c>
      <c r="D177" t="s">
        <v>17984</v>
      </c>
      <c r="E177" t="s">
        <v>18231</v>
      </c>
      <c r="F177" t="s">
        <v>30900</v>
      </c>
      <c r="G177" t="s">
        <v>30907</v>
      </c>
      <c r="H177" t="s">
        <v>30915</v>
      </c>
      <c r="I177" t="s">
        <v>30919</v>
      </c>
      <c r="J177" t="s">
        <v>31201</v>
      </c>
      <c r="K177" t="s">
        <v>40310</v>
      </c>
      <c r="L177" t="s">
        <v>107</v>
      </c>
      <c r="M177" t="s">
        <v>40654</v>
      </c>
      <c r="N177" t="s">
        <v>44759</v>
      </c>
      <c r="O177" t="s">
        <v>44760</v>
      </c>
      <c r="P177">
        <v>0</v>
      </c>
      <c r="Q177">
        <v>0</v>
      </c>
      <c r="R177" t="s">
        <v>44761</v>
      </c>
      <c r="S177" t="s">
        <v>44862</v>
      </c>
      <c r="T177" t="s">
        <v>46405</v>
      </c>
      <c r="U177" t="s">
        <v>47109</v>
      </c>
      <c r="V177" t="s">
        <v>59123</v>
      </c>
      <c r="W177" t="s">
        <v>40654</v>
      </c>
      <c r="X177" t="s">
        <v>44763</v>
      </c>
    </row>
    <row r="178" spans="1:24">
      <c r="A178">
        <f>HYPERLINK("https://www.philgeps.gov.ph/GEPSNONPILOT/Tender/SplashBidNoticeAbstractUI.aspx?menuIndex=3&amp;refID=7151523&amp;Result=3","7151523")</f>
        <v>0</v>
      </c>
      <c r="B178" t="s">
        <v>115</v>
      </c>
      <c r="C178" t="s">
        <v>3940</v>
      </c>
      <c r="D178" t="s">
        <v>17960</v>
      </c>
      <c r="E178" t="s">
        <v>18232</v>
      </c>
      <c r="F178" t="s">
        <v>30900</v>
      </c>
      <c r="G178" t="s">
        <v>30907</v>
      </c>
      <c r="H178" t="s">
        <v>30916</v>
      </c>
      <c r="I178" t="s">
        <v>4545</v>
      </c>
      <c r="J178" t="s">
        <v>31202</v>
      </c>
      <c r="K178" t="s">
        <v>40286</v>
      </c>
      <c r="M178" t="s">
        <v>40662</v>
      </c>
      <c r="N178" t="s">
        <v>44759</v>
      </c>
      <c r="O178" t="s">
        <v>44760</v>
      </c>
      <c r="P178">
        <v>0</v>
      </c>
      <c r="Q178">
        <v>0</v>
      </c>
      <c r="R178" t="s">
        <v>44761</v>
      </c>
      <c r="S178" t="s">
        <v>44862</v>
      </c>
      <c r="T178" t="s">
        <v>46353</v>
      </c>
      <c r="U178" t="s">
        <v>47110</v>
      </c>
      <c r="V178" t="s">
        <v>59125</v>
      </c>
      <c r="W178" t="s">
        <v>40662</v>
      </c>
      <c r="X178" t="s">
        <v>44763</v>
      </c>
    </row>
    <row r="179" spans="1:24">
      <c r="A179">
        <f>HYPERLINK("https://www.philgeps.gov.ph/GEPSNONPILOT/Tender/SplashBidNoticeAbstractUI.aspx?menuIndex=3&amp;refID=7151493&amp;Result=3","7151493")</f>
        <v>0</v>
      </c>
      <c r="B179" t="s">
        <v>115</v>
      </c>
      <c r="C179" t="s">
        <v>3941</v>
      </c>
      <c r="D179" t="s">
        <v>17960</v>
      </c>
      <c r="E179" t="s">
        <v>18233</v>
      </c>
      <c r="F179" t="s">
        <v>30900</v>
      </c>
      <c r="G179" t="s">
        <v>30907</v>
      </c>
      <c r="H179" t="s">
        <v>30916</v>
      </c>
      <c r="I179" t="s">
        <v>30924</v>
      </c>
      <c r="J179" t="s">
        <v>31203</v>
      </c>
      <c r="K179" t="s">
        <v>40286</v>
      </c>
      <c r="M179" t="s">
        <v>40662</v>
      </c>
      <c r="N179" t="s">
        <v>44759</v>
      </c>
      <c r="O179" t="s">
        <v>44760</v>
      </c>
      <c r="P179">
        <v>0</v>
      </c>
      <c r="Q179">
        <v>0</v>
      </c>
      <c r="R179" t="s">
        <v>44761</v>
      </c>
      <c r="S179" t="s">
        <v>44862</v>
      </c>
      <c r="T179" t="s">
        <v>46380</v>
      </c>
      <c r="U179" t="s">
        <v>47111</v>
      </c>
      <c r="V179" t="s">
        <v>59126</v>
      </c>
      <c r="W179" t="s">
        <v>40662</v>
      </c>
      <c r="X179" t="s">
        <v>44763</v>
      </c>
    </row>
    <row r="180" spans="1:24">
      <c r="A180">
        <f>HYPERLINK("https://www.philgeps.gov.ph/GEPSNONPILOT/Tender/SplashBidNoticeAbstractUI.aspx?menuIndex=3&amp;refID=7151151&amp;Result=3","7151151")</f>
        <v>0</v>
      </c>
      <c r="B180" t="s">
        <v>116</v>
      </c>
      <c r="C180" t="s">
        <v>3942</v>
      </c>
      <c r="D180" t="s">
        <v>17980</v>
      </c>
      <c r="E180" t="s">
        <v>18234</v>
      </c>
      <c r="F180" t="s">
        <v>30900</v>
      </c>
      <c r="G180" t="s">
        <v>30909</v>
      </c>
      <c r="H180" t="s">
        <v>30916</v>
      </c>
      <c r="I180" t="s">
        <v>4142</v>
      </c>
      <c r="J180" t="s">
        <v>31204</v>
      </c>
      <c r="K180" t="s">
        <v>40311</v>
      </c>
      <c r="L180" t="s">
        <v>116</v>
      </c>
      <c r="M180" t="s">
        <v>40663</v>
      </c>
      <c r="N180" t="s">
        <v>44759</v>
      </c>
      <c r="O180" t="s">
        <v>44760</v>
      </c>
      <c r="P180">
        <v>0</v>
      </c>
      <c r="Q180">
        <v>0</v>
      </c>
      <c r="R180" t="s">
        <v>44761</v>
      </c>
      <c r="S180" t="s">
        <v>44862</v>
      </c>
      <c r="T180" t="s">
        <v>46399</v>
      </c>
      <c r="U180" t="s">
        <v>47112</v>
      </c>
      <c r="W180" t="s">
        <v>40663</v>
      </c>
      <c r="X180" t="s">
        <v>44763</v>
      </c>
    </row>
    <row r="181" spans="1:24">
      <c r="A181">
        <f>HYPERLINK("https://www.philgeps.gov.ph/GEPSNONPILOT/Tender/SplashBidNoticeAbstractUI.aspx?menuIndex=3&amp;refID=7151458&amp;Result=3","7151458")</f>
        <v>0</v>
      </c>
      <c r="B181" t="s">
        <v>35</v>
      </c>
      <c r="C181" t="s">
        <v>3943</v>
      </c>
      <c r="D181" t="s">
        <v>17962</v>
      </c>
      <c r="E181" t="s">
        <v>18235</v>
      </c>
      <c r="F181" t="s">
        <v>30900</v>
      </c>
      <c r="G181" t="s">
        <v>30907</v>
      </c>
      <c r="H181" t="s">
        <v>30916</v>
      </c>
      <c r="I181" t="s">
        <v>30929</v>
      </c>
      <c r="J181" t="s">
        <v>31205</v>
      </c>
      <c r="K181" t="s">
        <v>40293</v>
      </c>
      <c r="M181" t="s">
        <v>40581</v>
      </c>
      <c r="N181" t="s">
        <v>44759</v>
      </c>
      <c r="O181" t="s">
        <v>44760</v>
      </c>
      <c r="P181">
        <v>0</v>
      </c>
      <c r="Q181">
        <v>0</v>
      </c>
      <c r="R181" t="s">
        <v>44761</v>
      </c>
      <c r="S181" t="s">
        <v>44862</v>
      </c>
      <c r="T181" t="s">
        <v>46360</v>
      </c>
      <c r="U181" t="s">
        <v>47113</v>
      </c>
      <c r="V181" t="s">
        <v>59094</v>
      </c>
      <c r="W181" t="s">
        <v>40581</v>
      </c>
      <c r="X181" t="s">
        <v>44763</v>
      </c>
    </row>
    <row r="182" spans="1:24">
      <c r="A182">
        <f>HYPERLINK("https://www.philgeps.gov.ph/GEPSNONPILOT/Tender/SplashBidNoticeAbstractUI.aspx?menuIndex=3&amp;refID=7151690&amp;Result=3","7151690")</f>
        <v>0</v>
      </c>
      <c r="B182" t="s">
        <v>117</v>
      </c>
      <c r="C182" t="s">
        <v>3944</v>
      </c>
      <c r="D182" t="s">
        <v>17963</v>
      </c>
      <c r="E182" t="s">
        <v>18236</v>
      </c>
      <c r="F182" t="s">
        <v>30900</v>
      </c>
      <c r="G182" t="s">
        <v>30907</v>
      </c>
      <c r="H182" t="s">
        <v>30915</v>
      </c>
      <c r="I182" t="s">
        <v>30919</v>
      </c>
      <c r="J182" t="s">
        <v>31206</v>
      </c>
      <c r="K182" t="s">
        <v>40287</v>
      </c>
      <c r="M182" t="s">
        <v>40664</v>
      </c>
      <c r="N182" t="s">
        <v>44759</v>
      </c>
      <c r="O182" t="s">
        <v>44760</v>
      </c>
      <c r="P182">
        <v>0</v>
      </c>
      <c r="Q182">
        <v>0</v>
      </c>
      <c r="R182" t="s">
        <v>44761</v>
      </c>
      <c r="S182" t="s">
        <v>44862</v>
      </c>
      <c r="T182" t="s">
        <v>46369</v>
      </c>
      <c r="U182" t="s">
        <v>47114</v>
      </c>
      <c r="W182" t="s">
        <v>40664</v>
      </c>
      <c r="X182" t="s">
        <v>44763</v>
      </c>
    </row>
    <row r="183" spans="1:24">
      <c r="A183">
        <f>HYPERLINK("https://www.philgeps.gov.ph/GEPSNONPILOT/Tender/SplashBidNoticeAbstractUI.aspx?menuIndex=3&amp;refID=7151462&amp;Result=3","7151462")</f>
        <v>0</v>
      </c>
      <c r="B183" t="s">
        <v>118</v>
      </c>
      <c r="C183" t="s">
        <v>3945</v>
      </c>
      <c r="D183" t="s">
        <v>17990</v>
      </c>
      <c r="E183" t="s">
        <v>18237</v>
      </c>
      <c r="F183" t="s">
        <v>30900</v>
      </c>
      <c r="G183" t="s">
        <v>30909</v>
      </c>
      <c r="H183" t="s">
        <v>30916</v>
      </c>
      <c r="I183" t="s">
        <v>6953</v>
      </c>
      <c r="J183" t="s">
        <v>31207</v>
      </c>
      <c r="K183" t="s">
        <v>40284</v>
      </c>
      <c r="M183" t="s">
        <v>40665</v>
      </c>
      <c r="N183" t="s">
        <v>44759</v>
      </c>
      <c r="O183" t="s">
        <v>44760</v>
      </c>
      <c r="P183">
        <v>0</v>
      </c>
      <c r="Q183">
        <v>0</v>
      </c>
      <c r="R183" t="s">
        <v>44761</v>
      </c>
      <c r="S183" t="s">
        <v>44862</v>
      </c>
      <c r="T183" t="s">
        <v>46410</v>
      </c>
      <c r="U183" t="s">
        <v>47115</v>
      </c>
      <c r="W183" t="s">
        <v>40665</v>
      </c>
      <c r="X183" t="s">
        <v>44763</v>
      </c>
    </row>
    <row r="184" spans="1:24">
      <c r="A184">
        <f>HYPERLINK("https://www.philgeps.gov.ph/GEPSNONPILOT/Tender/SplashBidNoticeAbstractUI.aspx?menuIndex=3&amp;refID=7151186&amp;Result=3","7151186")</f>
        <v>0</v>
      </c>
      <c r="B184" t="s">
        <v>73</v>
      </c>
      <c r="C184" t="s">
        <v>3946</v>
      </c>
      <c r="D184" t="s">
        <v>17983</v>
      </c>
      <c r="E184" t="s">
        <v>18238</v>
      </c>
      <c r="F184" t="s">
        <v>30900</v>
      </c>
      <c r="G184" t="s">
        <v>30907</v>
      </c>
      <c r="H184" t="s">
        <v>30916</v>
      </c>
      <c r="I184" t="s">
        <v>30933</v>
      </c>
      <c r="J184" t="s">
        <v>31049</v>
      </c>
      <c r="K184" t="s">
        <v>40293</v>
      </c>
      <c r="M184" t="s">
        <v>40620</v>
      </c>
      <c r="N184" t="s">
        <v>44759</v>
      </c>
      <c r="O184" t="s">
        <v>44760</v>
      </c>
      <c r="P184">
        <v>0</v>
      </c>
      <c r="Q184">
        <v>0</v>
      </c>
      <c r="R184" t="s">
        <v>44761</v>
      </c>
      <c r="S184" t="s">
        <v>44862</v>
      </c>
      <c r="T184" t="s">
        <v>46369</v>
      </c>
      <c r="U184" t="s">
        <v>47116</v>
      </c>
      <c r="W184" t="s">
        <v>40620</v>
      </c>
      <c r="X184" t="s">
        <v>44763</v>
      </c>
    </row>
    <row r="185" spans="1:24">
      <c r="A185">
        <f>HYPERLINK("https://www.philgeps.gov.ph/GEPSNONPILOT/Tender/SplashBidNoticeAbstractUI.aspx?menuIndex=3&amp;refID=7151666&amp;Result=3","7151666")</f>
        <v>0</v>
      </c>
      <c r="B185" t="s">
        <v>119</v>
      </c>
      <c r="C185" t="s">
        <v>3947</v>
      </c>
      <c r="D185" t="s">
        <v>17951</v>
      </c>
      <c r="E185" t="s">
        <v>18239</v>
      </c>
      <c r="F185" t="s">
        <v>30900</v>
      </c>
      <c r="G185" t="s">
        <v>30908</v>
      </c>
      <c r="H185" t="s">
        <v>30916</v>
      </c>
      <c r="I185" t="s">
        <v>4142</v>
      </c>
      <c r="J185" t="s">
        <v>31208</v>
      </c>
      <c r="K185" t="s">
        <v>40287</v>
      </c>
      <c r="M185" t="s">
        <v>40666</v>
      </c>
      <c r="N185" t="s">
        <v>44759</v>
      </c>
      <c r="O185" t="s">
        <v>44760</v>
      </c>
      <c r="P185">
        <v>0</v>
      </c>
      <c r="Q185">
        <v>0</v>
      </c>
      <c r="R185" t="s">
        <v>44761</v>
      </c>
      <c r="S185" t="s">
        <v>44862</v>
      </c>
      <c r="T185" t="s">
        <v>46357</v>
      </c>
      <c r="U185" t="s">
        <v>47117</v>
      </c>
      <c r="W185" t="s">
        <v>40666</v>
      </c>
      <c r="X185" t="s">
        <v>44763</v>
      </c>
    </row>
    <row r="186" spans="1:24">
      <c r="A186">
        <f>HYPERLINK("https://www.philgeps.gov.ph/GEPSNONPILOT/Tender/SplashBidNoticeAbstractUI.aspx?menuIndex=3&amp;refID=7147360&amp;Result=3","7147360")</f>
        <v>0</v>
      </c>
      <c r="B186" t="s">
        <v>60</v>
      </c>
      <c r="C186" t="s">
        <v>3948</v>
      </c>
      <c r="D186" t="s">
        <v>17973</v>
      </c>
      <c r="E186" t="s">
        <v>18240</v>
      </c>
      <c r="F186" t="s">
        <v>30900</v>
      </c>
      <c r="G186" t="s">
        <v>30907</v>
      </c>
      <c r="H186" t="s">
        <v>30916</v>
      </c>
      <c r="I186" t="s">
        <v>30927</v>
      </c>
      <c r="J186" t="s">
        <v>31209</v>
      </c>
      <c r="K186" t="s">
        <v>40283</v>
      </c>
      <c r="M186" t="s">
        <v>40606</v>
      </c>
      <c r="N186" t="s">
        <v>44759</v>
      </c>
      <c r="O186" t="s">
        <v>44760</v>
      </c>
      <c r="P186">
        <v>0</v>
      </c>
      <c r="Q186">
        <v>0</v>
      </c>
      <c r="R186" t="s">
        <v>44761</v>
      </c>
      <c r="S186" t="s">
        <v>44862</v>
      </c>
      <c r="T186" t="s">
        <v>46350</v>
      </c>
      <c r="U186" t="s">
        <v>47118</v>
      </c>
      <c r="W186" t="s">
        <v>40606</v>
      </c>
      <c r="X186" t="s">
        <v>44767</v>
      </c>
    </row>
    <row r="187" spans="1:24">
      <c r="A187">
        <f>HYPERLINK("https://www.philgeps.gov.ph/GEPSNONPILOT/Tender/SplashBidNoticeAbstractUI.aspx?menuIndex=3&amp;refID=7151547&amp;Result=3","7151547")</f>
        <v>0</v>
      </c>
      <c r="B187" t="s">
        <v>120</v>
      </c>
      <c r="C187" t="s">
        <v>3949</v>
      </c>
      <c r="D187" t="s">
        <v>17999</v>
      </c>
      <c r="E187" t="s">
        <v>18241</v>
      </c>
      <c r="F187" t="s">
        <v>30900</v>
      </c>
      <c r="G187" t="s">
        <v>30908</v>
      </c>
      <c r="H187" t="s">
        <v>30916</v>
      </c>
      <c r="I187" t="s">
        <v>6953</v>
      </c>
      <c r="J187" t="s">
        <v>31210</v>
      </c>
      <c r="K187" t="s">
        <v>40283</v>
      </c>
      <c r="M187" t="s">
        <v>40667</v>
      </c>
      <c r="N187" t="s">
        <v>44759</v>
      </c>
      <c r="O187" t="s">
        <v>44760</v>
      </c>
      <c r="P187">
        <v>0</v>
      </c>
      <c r="Q187">
        <v>0</v>
      </c>
      <c r="R187" t="s">
        <v>44761</v>
      </c>
      <c r="S187" t="s">
        <v>44862</v>
      </c>
      <c r="T187" t="s">
        <v>46382</v>
      </c>
      <c r="U187" t="s">
        <v>47119</v>
      </c>
      <c r="W187" t="s">
        <v>40667</v>
      </c>
      <c r="X187" t="s">
        <v>44763</v>
      </c>
    </row>
    <row r="188" spans="1:24">
      <c r="A188">
        <f>HYPERLINK("https://www.philgeps.gov.ph/GEPSNONPILOT/Tender/SplashBidNoticeAbstractUI.aspx?menuIndex=3&amp;refID=7151490&amp;Result=3","7151490")</f>
        <v>0</v>
      </c>
      <c r="B188" t="s">
        <v>121</v>
      </c>
      <c r="C188" t="s">
        <v>3950</v>
      </c>
      <c r="D188" t="s">
        <v>17971</v>
      </c>
      <c r="E188" t="s">
        <v>18242</v>
      </c>
      <c r="F188" t="s">
        <v>30900</v>
      </c>
      <c r="G188" t="s">
        <v>30907</v>
      </c>
      <c r="H188" t="s">
        <v>30916</v>
      </c>
      <c r="I188" t="s">
        <v>30938</v>
      </c>
      <c r="J188" t="s">
        <v>31211</v>
      </c>
      <c r="K188" t="s">
        <v>40292</v>
      </c>
      <c r="M188" t="s">
        <v>40668</v>
      </c>
      <c r="N188" t="s">
        <v>44759</v>
      </c>
      <c r="O188" t="s">
        <v>44760</v>
      </c>
      <c r="P188">
        <v>0</v>
      </c>
      <c r="Q188">
        <v>0</v>
      </c>
      <c r="R188" t="s">
        <v>44761</v>
      </c>
      <c r="S188" t="s">
        <v>44862</v>
      </c>
      <c r="T188" t="s">
        <v>46411</v>
      </c>
      <c r="U188" t="s">
        <v>47120</v>
      </c>
      <c r="W188" t="s">
        <v>40668</v>
      </c>
      <c r="X188" t="s">
        <v>44763</v>
      </c>
    </row>
    <row r="189" spans="1:24">
      <c r="A189">
        <f>HYPERLINK("https://www.philgeps.gov.ph/GEPSNONPILOT/Tender/SplashBidNoticeAbstractUI.aspx?menuIndex=3&amp;refID=7151443&amp;Result=3","7151443")</f>
        <v>0</v>
      </c>
      <c r="B189" t="s">
        <v>122</v>
      </c>
      <c r="C189" t="s">
        <v>3951</v>
      </c>
      <c r="D189" t="s">
        <v>17999</v>
      </c>
      <c r="E189" t="s">
        <v>18243</v>
      </c>
      <c r="F189" t="s">
        <v>30903</v>
      </c>
      <c r="G189" t="s">
        <v>30910</v>
      </c>
      <c r="H189" t="s">
        <v>30916</v>
      </c>
      <c r="I189" t="s">
        <v>6396</v>
      </c>
      <c r="J189" t="s">
        <v>31212</v>
      </c>
      <c r="K189" t="s">
        <v>40283</v>
      </c>
      <c r="M189" t="s">
        <v>40669</v>
      </c>
      <c r="N189" t="s">
        <v>44759</v>
      </c>
      <c r="O189" t="s">
        <v>44760</v>
      </c>
      <c r="P189">
        <v>0</v>
      </c>
      <c r="Q189">
        <v>0</v>
      </c>
      <c r="R189" t="s">
        <v>44761</v>
      </c>
      <c r="S189" t="s">
        <v>44862</v>
      </c>
      <c r="T189" t="s">
        <v>46396</v>
      </c>
      <c r="U189" t="s">
        <v>47121</v>
      </c>
      <c r="V189" t="s">
        <v>59127</v>
      </c>
      <c r="W189" t="s">
        <v>40669</v>
      </c>
      <c r="X189" t="s">
        <v>44763</v>
      </c>
    </row>
    <row r="190" spans="1:24">
      <c r="A190">
        <f>HYPERLINK("https://www.philgeps.gov.ph/GEPSNONPILOT/Tender/SplashBidNoticeAbstractUI.aspx?menuIndex=3&amp;refID=7151433&amp;Result=3","7151433")</f>
        <v>0</v>
      </c>
      <c r="B190" t="s">
        <v>123</v>
      </c>
      <c r="C190" t="s">
        <v>3952</v>
      </c>
      <c r="D190" t="s">
        <v>17987</v>
      </c>
      <c r="E190" t="s">
        <v>18244</v>
      </c>
      <c r="F190" t="s">
        <v>30900</v>
      </c>
      <c r="G190" t="s">
        <v>30910</v>
      </c>
      <c r="H190" t="s">
        <v>30916</v>
      </c>
      <c r="I190" t="s">
        <v>6396</v>
      </c>
      <c r="J190" t="s">
        <v>31213</v>
      </c>
      <c r="K190" t="s">
        <v>40289</v>
      </c>
      <c r="M190" t="s">
        <v>40670</v>
      </c>
      <c r="N190" t="s">
        <v>44759</v>
      </c>
      <c r="O190" t="s">
        <v>44760</v>
      </c>
      <c r="P190">
        <v>0</v>
      </c>
      <c r="Q190">
        <v>0</v>
      </c>
      <c r="R190" t="s">
        <v>44761</v>
      </c>
      <c r="S190" t="s">
        <v>44862</v>
      </c>
      <c r="T190" t="s">
        <v>46412</v>
      </c>
      <c r="U190" t="s">
        <v>47122</v>
      </c>
      <c r="W190" t="s">
        <v>40670</v>
      </c>
      <c r="X190" t="s">
        <v>44763</v>
      </c>
    </row>
    <row r="191" spans="1:24">
      <c r="A191">
        <f>HYPERLINK("https://www.philgeps.gov.ph/GEPSNONPILOT/Tender/SplashBidNoticeAbstractUI.aspx?menuIndex=3&amp;refID=7151634&amp;Result=3","7151634")</f>
        <v>0</v>
      </c>
      <c r="B191" t="s">
        <v>124</v>
      </c>
      <c r="C191" t="s">
        <v>3953</v>
      </c>
      <c r="D191" t="s">
        <v>17982</v>
      </c>
      <c r="E191" t="s">
        <v>18245</v>
      </c>
      <c r="F191" t="s">
        <v>30900</v>
      </c>
      <c r="G191" t="s">
        <v>30907</v>
      </c>
      <c r="H191" t="s">
        <v>30916</v>
      </c>
      <c r="I191" t="s">
        <v>30933</v>
      </c>
      <c r="J191" t="s">
        <v>31214</v>
      </c>
      <c r="K191" t="s">
        <v>40283</v>
      </c>
      <c r="M191" t="s">
        <v>40671</v>
      </c>
      <c r="N191" t="s">
        <v>44759</v>
      </c>
      <c r="O191" t="s">
        <v>44760</v>
      </c>
      <c r="P191">
        <v>0</v>
      </c>
      <c r="Q191">
        <v>2</v>
      </c>
      <c r="R191" t="s">
        <v>44761</v>
      </c>
      <c r="S191" t="s">
        <v>44862</v>
      </c>
      <c r="T191" t="s">
        <v>46380</v>
      </c>
      <c r="U191" t="s">
        <v>47123</v>
      </c>
      <c r="W191" t="s">
        <v>40671</v>
      </c>
      <c r="X191" t="s">
        <v>44763</v>
      </c>
    </row>
    <row r="192" spans="1:24">
      <c r="A192">
        <f>HYPERLINK("https://www.philgeps.gov.ph/GEPSNONPILOT/Tender/SplashBidNoticeAbstractUI.aspx?menuIndex=3&amp;refID=7151414&amp;Result=3","7151414")</f>
        <v>0</v>
      </c>
      <c r="B192" t="s">
        <v>115</v>
      </c>
      <c r="C192" t="s">
        <v>3954</v>
      </c>
      <c r="D192" t="s">
        <v>17960</v>
      </c>
      <c r="E192" t="s">
        <v>18246</v>
      </c>
      <c r="F192" t="s">
        <v>30900</v>
      </c>
      <c r="G192" t="s">
        <v>30907</v>
      </c>
      <c r="H192" t="s">
        <v>30916</v>
      </c>
      <c r="I192" t="s">
        <v>8123</v>
      </c>
      <c r="J192" t="s">
        <v>31215</v>
      </c>
      <c r="K192" t="s">
        <v>40286</v>
      </c>
      <c r="M192" t="s">
        <v>40662</v>
      </c>
      <c r="N192" t="s">
        <v>44759</v>
      </c>
      <c r="O192" t="s">
        <v>44760</v>
      </c>
      <c r="P192">
        <v>0</v>
      </c>
      <c r="Q192">
        <v>0</v>
      </c>
      <c r="R192" t="s">
        <v>44761</v>
      </c>
      <c r="S192" t="s">
        <v>44862</v>
      </c>
      <c r="T192" t="s">
        <v>46380</v>
      </c>
      <c r="U192" t="s">
        <v>47124</v>
      </c>
      <c r="V192" t="s">
        <v>59128</v>
      </c>
      <c r="W192" t="s">
        <v>40662</v>
      </c>
      <c r="X192" t="s">
        <v>44763</v>
      </c>
    </row>
    <row r="193" spans="1:24">
      <c r="A193">
        <f>HYPERLINK("https://www.philgeps.gov.ph/GEPSNONPILOT/Tender/SplashBidNoticeAbstractUI.aspx?menuIndex=3&amp;refID=7151676&amp;Result=3","7151676")</f>
        <v>0</v>
      </c>
      <c r="B193" t="s">
        <v>125</v>
      </c>
      <c r="C193" t="s">
        <v>3955</v>
      </c>
      <c r="D193" t="s">
        <v>17960</v>
      </c>
      <c r="E193" t="s">
        <v>18247</v>
      </c>
      <c r="F193" t="s">
        <v>30900</v>
      </c>
      <c r="G193" t="s">
        <v>30907</v>
      </c>
      <c r="H193" t="s">
        <v>30915</v>
      </c>
      <c r="I193" t="s">
        <v>30919</v>
      </c>
      <c r="J193" t="s">
        <v>31216</v>
      </c>
      <c r="K193" t="s">
        <v>40312</v>
      </c>
      <c r="M193" t="s">
        <v>40672</v>
      </c>
      <c r="N193" t="s">
        <v>44759</v>
      </c>
      <c r="O193" t="s">
        <v>44760</v>
      </c>
      <c r="P193">
        <v>0</v>
      </c>
      <c r="Q193">
        <v>0</v>
      </c>
      <c r="R193" t="s">
        <v>44761</v>
      </c>
      <c r="S193" t="s">
        <v>44862</v>
      </c>
      <c r="T193" t="s">
        <v>46367</v>
      </c>
      <c r="U193" t="s">
        <v>47125</v>
      </c>
      <c r="W193" t="s">
        <v>40672</v>
      </c>
      <c r="X193" t="s">
        <v>44763</v>
      </c>
    </row>
    <row r="194" spans="1:24">
      <c r="A194">
        <f>HYPERLINK("https://www.philgeps.gov.ph/GEPSNONPILOT/Tender/SplashBidNoticeAbstractUI.aspx?menuIndex=3&amp;refID=7151346&amp;Result=3","7151346")</f>
        <v>0</v>
      </c>
      <c r="B194" t="s">
        <v>126</v>
      </c>
      <c r="C194" t="s">
        <v>3956</v>
      </c>
      <c r="D194" t="s">
        <v>17990</v>
      </c>
      <c r="E194" t="s">
        <v>18248</v>
      </c>
      <c r="F194" t="s">
        <v>30900</v>
      </c>
      <c r="G194" t="s">
        <v>30908</v>
      </c>
      <c r="H194" t="s">
        <v>30916</v>
      </c>
      <c r="I194" t="s">
        <v>30924</v>
      </c>
      <c r="J194" t="s">
        <v>31217</v>
      </c>
      <c r="K194" t="s">
        <v>40287</v>
      </c>
      <c r="M194" t="s">
        <v>40673</v>
      </c>
      <c r="N194" t="s">
        <v>44759</v>
      </c>
      <c r="O194" t="s">
        <v>44760</v>
      </c>
      <c r="P194">
        <v>0</v>
      </c>
      <c r="Q194">
        <v>0</v>
      </c>
      <c r="R194" t="s">
        <v>44761</v>
      </c>
      <c r="S194" t="s">
        <v>44862</v>
      </c>
      <c r="T194" t="s">
        <v>46412</v>
      </c>
      <c r="U194" t="s">
        <v>47126</v>
      </c>
      <c r="W194" t="s">
        <v>40673</v>
      </c>
      <c r="X194" t="s">
        <v>44763</v>
      </c>
    </row>
    <row r="195" spans="1:24">
      <c r="A195">
        <f>HYPERLINK("https://www.philgeps.gov.ph/GEPSNONPILOT/Tender/SplashBidNoticeAbstractUI.aspx?menuIndex=3&amp;refID=7151718&amp;Result=3","7151718")</f>
        <v>0</v>
      </c>
      <c r="B195" t="s">
        <v>127</v>
      </c>
      <c r="C195" t="s">
        <v>3957</v>
      </c>
      <c r="D195" t="s">
        <v>17966</v>
      </c>
      <c r="E195" t="s">
        <v>18249</v>
      </c>
      <c r="F195" t="s">
        <v>30900</v>
      </c>
      <c r="G195" t="s">
        <v>30907</v>
      </c>
      <c r="H195" t="s">
        <v>30916</v>
      </c>
      <c r="I195" t="s">
        <v>7708</v>
      </c>
      <c r="J195" t="s">
        <v>31218</v>
      </c>
      <c r="K195" t="s">
        <v>40283</v>
      </c>
      <c r="M195" t="s">
        <v>40674</v>
      </c>
      <c r="N195" t="s">
        <v>44759</v>
      </c>
      <c r="O195" t="s">
        <v>44760</v>
      </c>
      <c r="P195">
        <v>0</v>
      </c>
      <c r="Q195">
        <v>0</v>
      </c>
      <c r="R195" t="s">
        <v>44761</v>
      </c>
      <c r="S195" t="s">
        <v>44862</v>
      </c>
      <c r="T195" t="s">
        <v>46413</v>
      </c>
      <c r="U195" t="s">
        <v>47127</v>
      </c>
      <c r="W195" t="s">
        <v>40674</v>
      </c>
      <c r="X195" t="s">
        <v>44763</v>
      </c>
    </row>
    <row r="196" spans="1:24">
      <c r="A196">
        <f>HYPERLINK("https://www.philgeps.gov.ph/GEPSNONPILOT/Tender/SplashBidNoticeAbstractUI.aspx?menuIndex=3&amp;refID=7151452&amp;Result=3","7151452")</f>
        <v>0</v>
      </c>
      <c r="B196" t="s">
        <v>128</v>
      </c>
      <c r="C196" t="s">
        <v>3958</v>
      </c>
      <c r="D196" t="s">
        <v>17953</v>
      </c>
      <c r="E196" t="s">
        <v>18250</v>
      </c>
      <c r="F196" t="s">
        <v>30900</v>
      </c>
      <c r="G196" t="s">
        <v>30909</v>
      </c>
      <c r="H196" t="s">
        <v>30916</v>
      </c>
      <c r="I196" t="s">
        <v>30935</v>
      </c>
      <c r="J196" t="s">
        <v>31096</v>
      </c>
      <c r="K196" t="s">
        <v>40284</v>
      </c>
      <c r="M196" t="s">
        <v>40675</v>
      </c>
      <c r="N196" t="s">
        <v>44759</v>
      </c>
      <c r="O196" t="s">
        <v>44760</v>
      </c>
      <c r="P196">
        <v>0</v>
      </c>
      <c r="Q196">
        <v>0</v>
      </c>
      <c r="R196" t="s">
        <v>44761</v>
      </c>
      <c r="S196" t="s">
        <v>44862</v>
      </c>
      <c r="T196" t="s">
        <v>46400</v>
      </c>
      <c r="U196" t="s">
        <v>47128</v>
      </c>
      <c r="W196" t="s">
        <v>40675</v>
      </c>
      <c r="X196" t="s">
        <v>44763</v>
      </c>
    </row>
    <row r="197" spans="1:24">
      <c r="A197">
        <f>HYPERLINK("https://www.philgeps.gov.ph/GEPSNONPILOT/Tender/SplashBidNoticeAbstractUI.aspx?menuIndex=3&amp;refID=7151708&amp;Result=3","7151708")</f>
        <v>0</v>
      </c>
      <c r="B197" t="s">
        <v>125</v>
      </c>
      <c r="C197" t="s">
        <v>3959</v>
      </c>
      <c r="D197" t="s">
        <v>18000</v>
      </c>
      <c r="E197" t="s">
        <v>18251</v>
      </c>
      <c r="F197" t="s">
        <v>30900</v>
      </c>
      <c r="G197" t="s">
        <v>30907</v>
      </c>
      <c r="H197" t="s">
        <v>30915</v>
      </c>
      <c r="I197" t="s">
        <v>30919</v>
      </c>
      <c r="J197" t="s">
        <v>31219</v>
      </c>
      <c r="K197" t="s">
        <v>40312</v>
      </c>
      <c r="M197" t="s">
        <v>40672</v>
      </c>
      <c r="N197" t="s">
        <v>44759</v>
      </c>
      <c r="O197" t="s">
        <v>44760</v>
      </c>
      <c r="P197">
        <v>0</v>
      </c>
      <c r="Q197">
        <v>0</v>
      </c>
      <c r="R197" t="s">
        <v>44761</v>
      </c>
      <c r="S197" t="s">
        <v>44862</v>
      </c>
      <c r="T197" t="s">
        <v>46367</v>
      </c>
      <c r="U197" t="s">
        <v>47129</v>
      </c>
      <c r="W197" t="s">
        <v>40672</v>
      </c>
      <c r="X197" t="s">
        <v>44763</v>
      </c>
    </row>
    <row r="198" spans="1:24">
      <c r="A198">
        <f>HYPERLINK("https://www.philgeps.gov.ph/GEPSNONPILOT/Tender/SplashBidNoticeAbstractUI.aspx?menuIndex=3&amp;refID=7151619&amp;Result=3","7151619")</f>
        <v>0</v>
      </c>
      <c r="B198" t="s">
        <v>129</v>
      </c>
      <c r="C198" t="s">
        <v>3960</v>
      </c>
      <c r="D198" t="s">
        <v>17974</v>
      </c>
      <c r="E198" t="s">
        <v>18252</v>
      </c>
      <c r="F198" t="s">
        <v>30900</v>
      </c>
      <c r="G198" t="s">
        <v>30908</v>
      </c>
      <c r="H198" t="s">
        <v>30916</v>
      </c>
      <c r="I198" t="s">
        <v>8123</v>
      </c>
      <c r="J198" t="s">
        <v>31220</v>
      </c>
      <c r="K198" t="s">
        <v>40283</v>
      </c>
      <c r="M198" t="s">
        <v>40676</v>
      </c>
      <c r="N198" t="s">
        <v>44759</v>
      </c>
      <c r="O198" t="s">
        <v>44760</v>
      </c>
      <c r="P198">
        <v>0</v>
      </c>
      <c r="Q198">
        <v>0</v>
      </c>
      <c r="R198" t="s">
        <v>44761</v>
      </c>
      <c r="S198" t="s">
        <v>44862</v>
      </c>
      <c r="T198" t="s">
        <v>46390</v>
      </c>
      <c r="U198" t="s">
        <v>47130</v>
      </c>
      <c r="V198" t="s">
        <v>59129</v>
      </c>
      <c r="W198" t="s">
        <v>40676</v>
      </c>
      <c r="X198" t="s">
        <v>44763</v>
      </c>
    </row>
    <row r="199" spans="1:24">
      <c r="A199">
        <f>HYPERLINK("https://www.philgeps.gov.ph/GEPSNONPILOT/Tender/SplashBidNoticeAbstractUI.aspx?menuIndex=3&amp;refID=7152168&amp;Result=3","7152168")</f>
        <v>0</v>
      </c>
      <c r="B199" t="s">
        <v>130</v>
      </c>
      <c r="C199" t="s">
        <v>3961</v>
      </c>
      <c r="D199" t="s">
        <v>18001</v>
      </c>
      <c r="E199" t="s">
        <v>18253</v>
      </c>
      <c r="F199" t="s">
        <v>30900</v>
      </c>
      <c r="G199" t="s">
        <v>30908</v>
      </c>
      <c r="H199" t="s">
        <v>30916</v>
      </c>
      <c r="I199" t="s">
        <v>10602</v>
      </c>
      <c r="J199" t="s">
        <v>31221</v>
      </c>
      <c r="K199" t="s">
        <v>40282</v>
      </c>
      <c r="M199" t="s">
        <v>40677</v>
      </c>
      <c r="N199" t="s">
        <v>44759</v>
      </c>
      <c r="O199" t="s">
        <v>44760</v>
      </c>
      <c r="P199">
        <v>0</v>
      </c>
      <c r="Q199">
        <v>0</v>
      </c>
      <c r="R199" t="s">
        <v>44761</v>
      </c>
      <c r="S199" t="s">
        <v>44862</v>
      </c>
      <c r="T199" t="s">
        <v>46390</v>
      </c>
      <c r="U199" t="s">
        <v>47131</v>
      </c>
      <c r="W199" t="s">
        <v>40677</v>
      </c>
      <c r="X199" t="s">
        <v>44763</v>
      </c>
    </row>
    <row r="200" spans="1:24">
      <c r="A200">
        <f>HYPERLINK("https://www.philgeps.gov.ph/GEPSNONPILOT/Tender/SplashBidNoticeAbstractUI.aspx?menuIndex=3&amp;refID=7151368&amp;Result=3","7151368")</f>
        <v>0</v>
      </c>
      <c r="B200" t="s">
        <v>131</v>
      </c>
      <c r="C200" t="s">
        <v>3962</v>
      </c>
      <c r="D200" t="s">
        <v>17978</v>
      </c>
      <c r="E200" t="s">
        <v>18254</v>
      </c>
      <c r="F200" t="s">
        <v>30900</v>
      </c>
      <c r="G200" t="s">
        <v>30909</v>
      </c>
      <c r="H200" t="s">
        <v>30916</v>
      </c>
      <c r="I200" t="s">
        <v>30939</v>
      </c>
      <c r="J200" t="s">
        <v>31222</v>
      </c>
      <c r="K200" t="s">
        <v>40292</v>
      </c>
      <c r="M200" t="s">
        <v>40678</v>
      </c>
      <c r="N200" t="s">
        <v>44759</v>
      </c>
      <c r="O200" t="s">
        <v>44760</v>
      </c>
      <c r="P200">
        <v>0</v>
      </c>
      <c r="Q200">
        <v>0</v>
      </c>
      <c r="R200" t="s">
        <v>44761</v>
      </c>
      <c r="S200" t="s">
        <v>44862</v>
      </c>
      <c r="T200" t="s">
        <v>46414</v>
      </c>
      <c r="U200" t="s">
        <v>47132</v>
      </c>
      <c r="W200" t="s">
        <v>40678</v>
      </c>
      <c r="X200" t="s">
        <v>44763</v>
      </c>
    </row>
    <row r="201" spans="1:24">
      <c r="A201">
        <f>HYPERLINK("https://www.philgeps.gov.ph/GEPSNONPILOT/Tender/SplashBidNoticeAbstractUI.aspx?menuIndex=3&amp;refID=7152190&amp;Result=3","7152190")</f>
        <v>0</v>
      </c>
      <c r="B201" t="s">
        <v>132</v>
      </c>
      <c r="C201" t="s">
        <v>3963</v>
      </c>
      <c r="D201" t="s">
        <v>18002</v>
      </c>
      <c r="E201" t="s">
        <v>18255</v>
      </c>
      <c r="F201" t="s">
        <v>30900</v>
      </c>
      <c r="G201" t="s">
        <v>30908</v>
      </c>
      <c r="H201" t="s">
        <v>30916</v>
      </c>
      <c r="I201" t="s">
        <v>4108</v>
      </c>
      <c r="J201" t="s">
        <v>31223</v>
      </c>
      <c r="K201" t="s">
        <v>40288</v>
      </c>
      <c r="M201" t="s">
        <v>40679</v>
      </c>
      <c r="N201" t="s">
        <v>44759</v>
      </c>
      <c r="O201" t="s">
        <v>44760</v>
      </c>
      <c r="P201">
        <v>0</v>
      </c>
      <c r="Q201">
        <v>0</v>
      </c>
      <c r="R201" t="s">
        <v>44761</v>
      </c>
      <c r="S201" t="s">
        <v>44862</v>
      </c>
      <c r="T201" t="s">
        <v>46376</v>
      </c>
      <c r="U201" t="s">
        <v>47133</v>
      </c>
      <c r="W201" t="s">
        <v>40679</v>
      </c>
      <c r="X201" t="s">
        <v>44762</v>
      </c>
    </row>
    <row r="202" spans="1:24">
      <c r="A202">
        <f>HYPERLINK("https://www.philgeps.gov.ph/GEPSNONPILOT/Tender/SplashBidNoticeAbstractUI.aspx?menuIndex=3&amp;refID=7151343&amp;Result=3","7151343")</f>
        <v>0</v>
      </c>
      <c r="B202" t="s">
        <v>131</v>
      </c>
      <c r="C202" t="s">
        <v>3964</v>
      </c>
      <c r="D202" t="s">
        <v>17978</v>
      </c>
      <c r="E202" t="s">
        <v>18256</v>
      </c>
      <c r="F202" t="s">
        <v>30900</v>
      </c>
      <c r="G202" t="s">
        <v>30909</v>
      </c>
      <c r="H202" t="s">
        <v>30916</v>
      </c>
      <c r="I202" t="s">
        <v>6396</v>
      </c>
      <c r="J202" t="s">
        <v>31224</v>
      </c>
      <c r="K202" t="s">
        <v>40283</v>
      </c>
      <c r="M202" t="s">
        <v>40678</v>
      </c>
      <c r="N202" t="s">
        <v>44759</v>
      </c>
      <c r="O202" t="s">
        <v>44760</v>
      </c>
      <c r="P202">
        <v>0</v>
      </c>
      <c r="Q202">
        <v>0</v>
      </c>
      <c r="R202" t="s">
        <v>44761</v>
      </c>
      <c r="S202" t="s">
        <v>44862</v>
      </c>
      <c r="T202" t="s">
        <v>46414</v>
      </c>
      <c r="U202" t="s">
        <v>47134</v>
      </c>
      <c r="W202" t="s">
        <v>40678</v>
      </c>
      <c r="X202" t="s">
        <v>44763</v>
      </c>
    </row>
    <row r="203" spans="1:24">
      <c r="A203">
        <f>HYPERLINK("https://www.philgeps.gov.ph/GEPSNONPILOT/Tender/SplashBidNoticeAbstractUI.aspx?menuIndex=3&amp;refID=7152185&amp;Result=3","7152185")</f>
        <v>0</v>
      </c>
      <c r="B203" t="s">
        <v>130</v>
      </c>
      <c r="C203" t="s">
        <v>3965</v>
      </c>
      <c r="D203" t="s">
        <v>18001</v>
      </c>
      <c r="E203" t="s">
        <v>18257</v>
      </c>
      <c r="F203" t="s">
        <v>30900</v>
      </c>
      <c r="G203" t="s">
        <v>30908</v>
      </c>
      <c r="H203" t="s">
        <v>30916</v>
      </c>
      <c r="I203" t="s">
        <v>10602</v>
      </c>
      <c r="J203" t="s">
        <v>31225</v>
      </c>
      <c r="K203" t="s">
        <v>40282</v>
      </c>
      <c r="M203" t="s">
        <v>40677</v>
      </c>
      <c r="N203" t="s">
        <v>44759</v>
      </c>
      <c r="O203" t="s">
        <v>44760</v>
      </c>
      <c r="P203">
        <v>0</v>
      </c>
      <c r="Q203">
        <v>0</v>
      </c>
      <c r="R203" t="s">
        <v>44761</v>
      </c>
      <c r="S203" t="s">
        <v>44862</v>
      </c>
      <c r="T203" t="s">
        <v>46390</v>
      </c>
      <c r="U203" t="s">
        <v>47135</v>
      </c>
      <c r="W203" t="s">
        <v>40677</v>
      </c>
      <c r="X203" t="s">
        <v>44763</v>
      </c>
    </row>
    <row r="204" spans="1:24">
      <c r="A204">
        <f>HYPERLINK("https://www.philgeps.gov.ph/GEPSNONPILOT/Tender/SplashBidNoticeAbstractUI.aspx?menuIndex=3&amp;refID=7152178&amp;Result=3","7152178")</f>
        <v>0</v>
      </c>
      <c r="B204" t="s">
        <v>130</v>
      </c>
      <c r="C204" t="s">
        <v>3966</v>
      </c>
      <c r="D204" t="s">
        <v>18001</v>
      </c>
      <c r="E204" t="s">
        <v>18258</v>
      </c>
      <c r="F204" t="s">
        <v>30900</v>
      </c>
      <c r="G204" t="s">
        <v>30908</v>
      </c>
      <c r="H204" t="s">
        <v>30916</v>
      </c>
      <c r="I204" t="s">
        <v>10602</v>
      </c>
      <c r="J204" t="s">
        <v>31226</v>
      </c>
      <c r="K204" t="s">
        <v>40282</v>
      </c>
      <c r="M204" t="s">
        <v>40677</v>
      </c>
      <c r="N204" t="s">
        <v>44759</v>
      </c>
      <c r="O204" t="s">
        <v>44760</v>
      </c>
      <c r="P204">
        <v>0</v>
      </c>
      <c r="Q204">
        <v>0</v>
      </c>
      <c r="R204" t="s">
        <v>44761</v>
      </c>
      <c r="S204" t="s">
        <v>44862</v>
      </c>
      <c r="T204" t="s">
        <v>46390</v>
      </c>
      <c r="U204" t="s">
        <v>47136</v>
      </c>
      <c r="W204" t="s">
        <v>40677</v>
      </c>
      <c r="X204" t="s">
        <v>44763</v>
      </c>
    </row>
    <row r="205" spans="1:24">
      <c r="A205">
        <f>HYPERLINK("https://www.philgeps.gov.ph/GEPSNONPILOT/Tender/SplashBidNoticeAbstractUI.aspx?menuIndex=3&amp;refID=7152173&amp;Result=3","7152173")</f>
        <v>0</v>
      </c>
      <c r="B205" t="s">
        <v>130</v>
      </c>
      <c r="C205" t="s">
        <v>3967</v>
      </c>
      <c r="D205" t="s">
        <v>18001</v>
      </c>
      <c r="E205" t="s">
        <v>18259</v>
      </c>
      <c r="F205" t="s">
        <v>30900</v>
      </c>
      <c r="G205" t="s">
        <v>30908</v>
      </c>
      <c r="H205" t="s">
        <v>30916</v>
      </c>
      <c r="I205" t="s">
        <v>10602</v>
      </c>
      <c r="J205" t="s">
        <v>31227</v>
      </c>
      <c r="K205" t="s">
        <v>40282</v>
      </c>
      <c r="M205" t="s">
        <v>40677</v>
      </c>
      <c r="N205" t="s">
        <v>44759</v>
      </c>
      <c r="O205" t="s">
        <v>44760</v>
      </c>
      <c r="P205">
        <v>0</v>
      </c>
      <c r="Q205">
        <v>0</v>
      </c>
      <c r="R205" t="s">
        <v>44761</v>
      </c>
      <c r="S205" t="s">
        <v>44862</v>
      </c>
      <c r="T205" t="s">
        <v>46390</v>
      </c>
      <c r="U205" t="s">
        <v>47137</v>
      </c>
      <c r="W205" t="s">
        <v>40677</v>
      </c>
      <c r="X205" t="s">
        <v>44763</v>
      </c>
    </row>
    <row r="206" spans="1:24">
      <c r="A206">
        <f>HYPERLINK("https://www.philgeps.gov.ph/GEPSNONPILOT/Tender/SplashBidNoticeAbstractUI.aspx?menuIndex=3&amp;refID=7152160&amp;Result=3","7152160")</f>
        <v>0</v>
      </c>
      <c r="B206" t="s">
        <v>130</v>
      </c>
      <c r="C206" t="s">
        <v>3968</v>
      </c>
      <c r="D206" t="s">
        <v>18001</v>
      </c>
      <c r="E206" t="s">
        <v>18260</v>
      </c>
      <c r="F206" t="s">
        <v>30900</v>
      </c>
      <c r="G206" t="s">
        <v>30908</v>
      </c>
      <c r="H206" t="s">
        <v>30916</v>
      </c>
      <c r="I206" t="s">
        <v>10602</v>
      </c>
      <c r="J206" t="s">
        <v>31228</v>
      </c>
      <c r="K206" t="s">
        <v>40282</v>
      </c>
      <c r="M206" t="s">
        <v>40677</v>
      </c>
      <c r="N206" t="s">
        <v>44759</v>
      </c>
      <c r="O206" t="s">
        <v>44760</v>
      </c>
      <c r="P206">
        <v>0</v>
      </c>
      <c r="Q206">
        <v>0</v>
      </c>
      <c r="R206" t="s">
        <v>44761</v>
      </c>
      <c r="S206" t="s">
        <v>44862</v>
      </c>
      <c r="T206" t="s">
        <v>46390</v>
      </c>
      <c r="U206" t="s">
        <v>47138</v>
      </c>
      <c r="W206" t="s">
        <v>40677</v>
      </c>
      <c r="X206" t="s">
        <v>44763</v>
      </c>
    </row>
    <row r="207" spans="1:24">
      <c r="A207">
        <f>HYPERLINK("https://www.philgeps.gov.ph/GEPSNONPILOT/Tender/SplashBidNoticeAbstractUI.aspx?menuIndex=3&amp;refID=7152154&amp;Result=3","7152154")</f>
        <v>0</v>
      </c>
      <c r="B207" t="s">
        <v>130</v>
      </c>
      <c r="C207" t="s">
        <v>3969</v>
      </c>
      <c r="D207" t="s">
        <v>18001</v>
      </c>
      <c r="E207" t="s">
        <v>18261</v>
      </c>
      <c r="F207" t="s">
        <v>30900</v>
      </c>
      <c r="G207" t="s">
        <v>30908</v>
      </c>
      <c r="H207" t="s">
        <v>30916</v>
      </c>
      <c r="I207" t="s">
        <v>10602</v>
      </c>
      <c r="J207" t="s">
        <v>31229</v>
      </c>
      <c r="K207" t="s">
        <v>40282</v>
      </c>
      <c r="M207" t="s">
        <v>40677</v>
      </c>
      <c r="N207" t="s">
        <v>44759</v>
      </c>
      <c r="O207" t="s">
        <v>44760</v>
      </c>
      <c r="P207">
        <v>0</v>
      </c>
      <c r="Q207">
        <v>0</v>
      </c>
      <c r="R207" t="s">
        <v>44761</v>
      </c>
      <c r="S207" t="s">
        <v>44862</v>
      </c>
      <c r="T207" t="s">
        <v>46390</v>
      </c>
      <c r="U207" t="s">
        <v>47139</v>
      </c>
      <c r="W207" t="s">
        <v>40677</v>
      </c>
      <c r="X207" t="s">
        <v>44763</v>
      </c>
    </row>
    <row r="208" spans="1:24">
      <c r="A208">
        <f>HYPERLINK("https://www.philgeps.gov.ph/GEPSNONPILOT/Tender/SplashBidNoticeAbstractUI.aspx?menuIndex=3&amp;refID=7152151&amp;Result=3","7152151")</f>
        <v>0</v>
      </c>
      <c r="B208" t="s">
        <v>130</v>
      </c>
      <c r="C208" t="s">
        <v>3970</v>
      </c>
      <c r="D208" t="s">
        <v>18001</v>
      </c>
      <c r="E208" t="s">
        <v>18262</v>
      </c>
      <c r="F208" t="s">
        <v>30900</v>
      </c>
      <c r="G208" t="s">
        <v>30908</v>
      </c>
      <c r="H208" t="s">
        <v>30916</v>
      </c>
      <c r="I208" t="s">
        <v>10602</v>
      </c>
      <c r="J208" t="s">
        <v>31230</v>
      </c>
      <c r="K208" t="s">
        <v>40282</v>
      </c>
      <c r="M208" t="s">
        <v>40677</v>
      </c>
      <c r="N208" t="s">
        <v>44759</v>
      </c>
      <c r="O208" t="s">
        <v>44760</v>
      </c>
      <c r="P208">
        <v>0</v>
      </c>
      <c r="Q208">
        <v>0</v>
      </c>
      <c r="R208" t="s">
        <v>44761</v>
      </c>
      <c r="S208" t="s">
        <v>44862</v>
      </c>
      <c r="T208" t="s">
        <v>46390</v>
      </c>
      <c r="U208" t="s">
        <v>47140</v>
      </c>
      <c r="W208" t="s">
        <v>40677</v>
      </c>
      <c r="X208" t="s">
        <v>44763</v>
      </c>
    </row>
    <row r="209" spans="1:24">
      <c r="A209">
        <f>HYPERLINK("https://www.philgeps.gov.ph/GEPSNONPILOT/Tender/SplashBidNoticeAbstractUI.aspx?menuIndex=3&amp;refID=7152143&amp;Result=3","7152143")</f>
        <v>0</v>
      </c>
      <c r="B209" t="s">
        <v>130</v>
      </c>
      <c r="C209" t="s">
        <v>3971</v>
      </c>
      <c r="D209" t="s">
        <v>18001</v>
      </c>
      <c r="E209" t="s">
        <v>18263</v>
      </c>
      <c r="F209" t="s">
        <v>30900</v>
      </c>
      <c r="G209" t="s">
        <v>30908</v>
      </c>
      <c r="H209" t="s">
        <v>30916</v>
      </c>
      <c r="I209" t="s">
        <v>10602</v>
      </c>
      <c r="J209" t="s">
        <v>31231</v>
      </c>
      <c r="K209" t="s">
        <v>40282</v>
      </c>
      <c r="M209" t="s">
        <v>40677</v>
      </c>
      <c r="N209" t="s">
        <v>44759</v>
      </c>
      <c r="O209" t="s">
        <v>44760</v>
      </c>
      <c r="P209">
        <v>0</v>
      </c>
      <c r="Q209">
        <v>0</v>
      </c>
      <c r="R209" t="s">
        <v>44761</v>
      </c>
      <c r="S209" t="s">
        <v>44862</v>
      </c>
      <c r="T209" t="s">
        <v>46390</v>
      </c>
      <c r="U209" t="s">
        <v>47141</v>
      </c>
      <c r="W209" t="s">
        <v>40677</v>
      </c>
      <c r="X209" t="s">
        <v>44763</v>
      </c>
    </row>
    <row r="210" spans="1:24">
      <c r="A210">
        <f>HYPERLINK("https://www.philgeps.gov.ph/GEPSNONPILOT/Tender/SplashBidNoticeAbstractUI.aspx?menuIndex=3&amp;refID=7152092&amp;Result=3","7152092")</f>
        <v>0</v>
      </c>
      <c r="B210" t="s">
        <v>133</v>
      </c>
      <c r="C210" t="s">
        <v>3972</v>
      </c>
      <c r="D210" t="s">
        <v>17959</v>
      </c>
      <c r="E210" t="s">
        <v>18264</v>
      </c>
      <c r="F210" t="s">
        <v>30900</v>
      </c>
      <c r="G210" t="s">
        <v>30907</v>
      </c>
      <c r="H210" t="s">
        <v>30916</v>
      </c>
      <c r="I210" t="s">
        <v>30933</v>
      </c>
      <c r="J210" t="s">
        <v>31232</v>
      </c>
      <c r="K210" t="s">
        <v>40286</v>
      </c>
      <c r="M210" t="s">
        <v>40680</v>
      </c>
      <c r="N210" t="s">
        <v>44759</v>
      </c>
      <c r="O210" t="s">
        <v>44760</v>
      </c>
      <c r="P210">
        <v>0</v>
      </c>
      <c r="Q210">
        <v>2</v>
      </c>
      <c r="R210" t="s">
        <v>44761</v>
      </c>
      <c r="S210" t="s">
        <v>44862</v>
      </c>
      <c r="T210" t="s">
        <v>46366</v>
      </c>
      <c r="U210" t="s">
        <v>47142</v>
      </c>
      <c r="W210" t="s">
        <v>40680</v>
      </c>
      <c r="X210" t="s">
        <v>44763</v>
      </c>
    </row>
    <row r="211" spans="1:24">
      <c r="A211">
        <f>HYPERLINK("https://www.philgeps.gov.ph/GEPSNONPILOT/Tender/SplashBidNoticeAbstractUI.aspx?menuIndex=3&amp;refID=7151938&amp;Result=3","7151938")</f>
        <v>0</v>
      </c>
      <c r="B211" t="s">
        <v>134</v>
      </c>
      <c r="C211" t="s">
        <v>3973</v>
      </c>
      <c r="E211" t="s">
        <v>18265</v>
      </c>
      <c r="F211" t="s">
        <v>30900</v>
      </c>
      <c r="G211" t="s">
        <v>30908</v>
      </c>
      <c r="H211" t="s">
        <v>30916</v>
      </c>
      <c r="I211" t="s">
        <v>4545</v>
      </c>
      <c r="J211" t="s">
        <v>31233</v>
      </c>
      <c r="K211" t="s">
        <v>40286</v>
      </c>
      <c r="M211" t="s">
        <v>40681</v>
      </c>
      <c r="N211" t="s">
        <v>44759</v>
      </c>
      <c r="O211" t="s">
        <v>44760</v>
      </c>
      <c r="P211">
        <v>0</v>
      </c>
      <c r="Q211">
        <v>0</v>
      </c>
      <c r="R211" t="s">
        <v>44761</v>
      </c>
      <c r="S211" t="s">
        <v>44862</v>
      </c>
      <c r="T211" t="s">
        <v>46399</v>
      </c>
      <c r="U211" t="s">
        <v>47143</v>
      </c>
      <c r="W211" t="s">
        <v>40681</v>
      </c>
      <c r="X211" t="s">
        <v>44763</v>
      </c>
    </row>
    <row r="212" spans="1:24">
      <c r="A212">
        <f>HYPERLINK("https://www.philgeps.gov.ph/GEPSNONPILOT/Tender/SplashBidNoticeAbstractUI.aspx?menuIndex=3&amp;refID=7151927&amp;Result=3","7151927")</f>
        <v>0</v>
      </c>
      <c r="B212" t="s">
        <v>135</v>
      </c>
      <c r="C212" t="s">
        <v>3974</v>
      </c>
      <c r="D212" t="s">
        <v>17961</v>
      </c>
      <c r="E212" t="s">
        <v>18266</v>
      </c>
      <c r="F212" t="s">
        <v>30900</v>
      </c>
      <c r="G212" t="s">
        <v>30910</v>
      </c>
      <c r="H212" t="s">
        <v>30916</v>
      </c>
      <c r="I212" t="s">
        <v>6396</v>
      </c>
      <c r="J212" t="s">
        <v>31234</v>
      </c>
      <c r="K212" t="s">
        <v>40287</v>
      </c>
      <c r="M212" t="s">
        <v>40682</v>
      </c>
      <c r="N212" t="s">
        <v>44759</v>
      </c>
      <c r="O212" t="s">
        <v>44760</v>
      </c>
      <c r="P212">
        <v>0</v>
      </c>
      <c r="Q212">
        <v>0</v>
      </c>
      <c r="R212" t="s">
        <v>44761</v>
      </c>
      <c r="S212" t="s">
        <v>44862</v>
      </c>
      <c r="T212" t="s">
        <v>46415</v>
      </c>
      <c r="U212" t="s">
        <v>47144</v>
      </c>
      <c r="W212" t="s">
        <v>40682</v>
      </c>
      <c r="X212" t="s">
        <v>44763</v>
      </c>
    </row>
    <row r="213" spans="1:24">
      <c r="A213">
        <f>HYPERLINK("https://www.philgeps.gov.ph/GEPSNONPILOT/Tender/SplashBidNoticeAbstractUI.aspx?menuIndex=3&amp;refID=7151921&amp;Result=3","7151921")</f>
        <v>0</v>
      </c>
      <c r="B213" t="s">
        <v>135</v>
      </c>
      <c r="C213" t="s">
        <v>3974</v>
      </c>
      <c r="D213" t="s">
        <v>17961</v>
      </c>
      <c r="E213" t="s">
        <v>18267</v>
      </c>
      <c r="F213" t="s">
        <v>30900</v>
      </c>
      <c r="G213" t="s">
        <v>30910</v>
      </c>
      <c r="H213" t="s">
        <v>30916</v>
      </c>
      <c r="I213" t="s">
        <v>30923</v>
      </c>
      <c r="J213" t="s">
        <v>31235</v>
      </c>
      <c r="K213" t="s">
        <v>40287</v>
      </c>
      <c r="M213" t="s">
        <v>40682</v>
      </c>
      <c r="N213" t="s">
        <v>44759</v>
      </c>
      <c r="O213" t="s">
        <v>44760</v>
      </c>
      <c r="P213">
        <v>0</v>
      </c>
      <c r="Q213">
        <v>0</v>
      </c>
      <c r="R213" t="s">
        <v>44761</v>
      </c>
      <c r="S213" t="s">
        <v>44862</v>
      </c>
      <c r="T213" t="s">
        <v>46415</v>
      </c>
      <c r="U213" t="s">
        <v>47145</v>
      </c>
      <c r="W213" t="s">
        <v>40682</v>
      </c>
      <c r="X213" t="s">
        <v>44763</v>
      </c>
    </row>
    <row r="214" spans="1:24">
      <c r="A214">
        <f>HYPERLINK("https://www.philgeps.gov.ph/GEPSNONPILOT/Tender/SplashBidNoticeAbstractUI.aspx?menuIndex=3&amp;refID=7151910&amp;Result=3","7151910")</f>
        <v>0</v>
      </c>
      <c r="B214" t="s">
        <v>135</v>
      </c>
      <c r="C214" t="s">
        <v>3974</v>
      </c>
      <c r="D214" t="s">
        <v>17961</v>
      </c>
      <c r="E214" t="s">
        <v>18268</v>
      </c>
      <c r="F214" t="s">
        <v>30900</v>
      </c>
      <c r="G214" t="s">
        <v>30910</v>
      </c>
      <c r="H214" t="s">
        <v>30916</v>
      </c>
      <c r="I214" t="s">
        <v>6408</v>
      </c>
      <c r="J214" t="s">
        <v>31236</v>
      </c>
      <c r="K214" t="s">
        <v>40287</v>
      </c>
      <c r="M214" t="s">
        <v>40682</v>
      </c>
      <c r="N214" t="s">
        <v>44759</v>
      </c>
      <c r="O214" t="s">
        <v>44760</v>
      </c>
      <c r="P214">
        <v>0</v>
      </c>
      <c r="Q214">
        <v>0</v>
      </c>
      <c r="R214" t="s">
        <v>44761</v>
      </c>
      <c r="S214" t="s">
        <v>44862</v>
      </c>
      <c r="T214" t="s">
        <v>46415</v>
      </c>
      <c r="U214" t="s">
        <v>47146</v>
      </c>
      <c r="W214" t="s">
        <v>40682</v>
      </c>
      <c r="X214" t="s">
        <v>44763</v>
      </c>
    </row>
    <row r="215" spans="1:24">
      <c r="A215">
        <f>HYPERLINK("https://www.philgeps.gov.ph/GEPSNONPILOT/Tender/SplashBidNoticeAbstractUI.aspx?menuIndex=3&amp;refID=7151899&amp;Result=3","7151899")</f>
        <v>0</v>
      </c>
      <c r="B215" t="s">
        <v>135</v>
      </c>
      <c r="C215" t="s">
        <v>3974</v>
      </c>
      <c r="D215" t="s">
        <v>17961</v>
      </c>
      <c r="E215" t="s">
        <v>18269</v>
      </c>
      <c r="F215" t="s">
        <v>30900</v>
      </c>
      <c r="G215" t="s">
        <v>30910</v>
      </c>
      <c r="H215" t="s">
        <v>30916</v>
      </c>
      <c r="I215" t="s">
        <v>30940</v>
      </c>
      <c r="J215" t="s">
        <v>31237</v>
      </c>
      <c r="K215" t="s">
        <v>40287</v>
      </c>
      <c r="M215" t="s">
        <v>40682</v>
      </c>
      <c r="N215" t="s">
        <v>44759</v>
      </c>
      <c r="O215" t="s">
        <v>44760</v>
      </c>
      <c r="P215">
        <v>0</v>
      </c>
      <c r="Q215">
        <v>0</v>
      </c>
      <c r="R215" t="s">
        <v>44761</v>
      </c>
      <c r="S215" t="s">
        <v>44862</v>
      </c>
      <c r="T215" t="s">
        <v>46415</v>
      </c>
      <c r="U215" t="s">
        <v>47147</v>
      </c>
      <c r="W215" t="s">
        <v>40682</v>
      </c>
      <c r="X215" t="s">
        <v>44763</v>
      </c>
    </row>
    <row r="216" spans="1:24">
      <c r="A216">
        <f>HYPERLINK("https://www.philgeps.gov.ph/GEPSNONPILOT/Tender/SplashBidNoticeAbstractUI.aspx?menuIndex=3&amp;refID=7151734&amp;Result=3","7151734")</f>
        <v>0</v>
      </c>
      <c r="B216" t="s">
        <v>136</v>
      </c>
      <c r="C216" t="s">
        <v>3975</v>
      </c>
      <c r="D216" t="s">
        <v>17990</v>
      </c>
      <c r="E216" t="s">
        <v>18270</v>
      </c>
      <c r="F216" t="s">
        <v>30900</v>
      </c>
      <c r="G216" t="s">
        <v>30908</v>
      </c>
      <c r="H216" t="s">
        <v>30915</v>
      </c>
      <c r="I216" t="s">
        <v>4142</v>
      </c>
      <c r="J216" t="s">
        <v>31238</v>
      </c>
      <c r="K216" t="s">
        <v>40286</v>
      </c>
      <c r="M216" t="s">
        <v>40683</v>
      </c>
      <c r="N216" t="s">
        <v>44759</v>
      </c>
      <c r="O216" t="s">
        <v>44760</v>
      </c>
      <c r="P216">
        <v>0</v>
      </c>
      <c r="Q216">
        <v>0</v>
      </c>
      <c r="R216" t="s">
        <v>44761</v>
      </c>
      <c r="S216" t="s">
        <v>44862</v>
      </c>
      <c r="T216" t="s">
        <v>46373</v>
      </c>
      <c r="U216" t="s">
        <v>47148</v>
      </c>
      <c r="V216" t="s">
        <v>59130</v>
      </c>
      <c r="W216" t="s">
        <v>40683</v>
      </c>
      <c r="X216" t="s">
        <v>44763</v>
      </c>
    </row>
    <row r="217" spans="1:24">
      <c r="A217">
        <f>HYPERLINK("https://www.philgeps.gov.ph/GEPSNONPILOT/Tender/SplashBidNoticeAbstractUI.aspx?menuIndex=3&amp;refID=7152192&amp;Result=3","7152192")</f>
        <v>0</v>
      </c>
      <c r="B217" t="s">
        <v>137</v>
      </c>
      <c r="C217" t="s">
        <v>3976</v>
      </c>
      <c r="D217" t="s">
        <v>18003</v>
      </c>
      <c r="E217" t="s">
        <v>18271</v>
      </c>
      <c r="F217" t="s">
        <v>30900</v>
      </c>
      <c r="G217" t="s">
        <v>30907</v>
      </c>
      <c r="H217" t="s">
        <v>30916</v>
      </c>
      <c r="I217" t="s">
        <v>8123</v>
      </c>
      <c r="J217" t="s">
        <v>31239</v>
      </c>
      <c r="K217" t="s">
        <v>40284</v>
      </c>
      <c r="M217" t="s">
        <v>40684</v>
      </c>
      <c r="N217" t="s">
        <v>44759</v>
      </c>
      <c r="O217" t="s">
        <v>44760</v>
      </c>
      <c r="P217">
        <v>0</v>
      </c>
      <c r="Q217">
        <v>0</v>
      </c>
      <c r="R217" t="s">
        <v>44761</v>
      </c>
      <c r="S217" t="s">
        <v>44862</v>
      </c>
      <c r="T217" t="s">
        <v>46396</v>
      </c>
      <c r="U217" t="s">
        <v>47149</v>
      </c>
      <c r="W217" t="s">
        <v>40684</v>
      </c>
      <c r="X217" t="s">
        <v>44762</v>
      </c>
    </row>
    <row r="218" spans="1:24">
      <c r="A218">
        <f>HYPERLINK("https://www.philgeps.gov.ph/GEPSNONPILOT/Tender/SplashBidNoticeAbstractUI.aspx?menuIndex=3&amp;refID=7152228&amp;Result=3","7152228")</f>
        <v>0</v>
      </c>
      <c r="B218" t="s">
        <v>138</v>
      </c>
      <c r="C218" t="s">
        <v>3977</v>
      </c>
      <c r="D218" t="s">
        <v>17965</v>
      </c>
      <c r="E218" t="s">
        <v>18272</v>
      </c>
      <c r="F218" t="s">
        <v>30900</v>
      </c>
      <c r="G218" t="s">
        <v>30909</v>
      </c>
      <c r="H218" t="s">
        <v>30916</v>
      </c>
      <c r="I218" t="s">
        <v>4545</v>
      </c>
      <c r="J218" t="s">
        <v>31138</v>
      </c>
      <c r="K218" t="s">
        <v>40287</v>
      </c>
      <c r="M218" t="s">
        <v>40685</v>
      </c>
      <c r="N218" t="s">
        <v>44759</v>
      </c>
      <c r="O218" t="s">
        <v>44760</v>
      </c>
      <c r="P218">
        <v>0</v>
      </c>
      <c r="Q218">
        <v>0</v>
      </c>
      <c r="R218" t="s">
        <v>44761</v>
      </c>
      <c r="S218" t="s">
        <v>44862</v>
      </c>
      <c r="T218" t="s">
        <v>46416</v>
      </c>
      <c r="U218" t="s">
        <v>47150</v>
      </c>
      <c r="W218" t="s">
        <v>40685</v>
      </c>
      <c r="X218" t="s">
        <v>44762</v>
      </c>
    </row>
    <row r="219" spans="1:24">
      <c r="A219">
        <f>HYPERLINK("https://www.philgeps.gov.ph/GEPSNONPILOT/Tender/SplashBidNoticeAbstractUI.aspx?menuIndex=3&amp;refID=7152227&amp;Result=3","7152227")</f>
        <v>0</v>
      </c>
      <c r="B219" t="s">
        <v>139</v>
      </c>
      <c r="C219" t="s">
        <v>3978</v>
      </c>
      <c r="D219" t="s">
        <v>17965</v>
      </c>
      <c r="E219" t="s">
        <v>18273</v>
      </c>
      <c r="F219" t="s">
        <v>30900</v>
      </c>
      <c r="G219" t="s">
        <v>30910</v>
      </c>
      <c r="H219" t="s">
        <v>30916</v>
      </c>
      <c r="I219" t="s">
        <v>4142</v>
      </c>
      <c r="J219" t="s">
        <v>31240</v>
      </c>
      <c r="K219" t="s">
        <v>40283</v>
      </c>
      <c r="M219" t="s">
        <v>40686</v>
      </c>
      <c r="N219" t="s">
        <v>44759</v>
      </c>
      <c r="O219" t="s">
        <v>44760</v>
      </c>
      <c r="P219">
        <v>0</v>
      </c>
      <c r="Q219">
        <v>0</v>
      </c>
      <c r="R219" t="s">
        <v>44761</v>
      </c>
      <c r="S219" t="s">
        <v>44862</v>
      </c>
      <c r="T219" t="s">
        <v>46356</v>
      </c>
      <c r="U219" t="s">
        <v>47151</v>
      </c>
      <c r="W219" t="s">
        <v>40686</v>
      </c>
      <c r="X219" t="s">
        <v>44762</v>
      </c>
    </row>
    <row r="220" spans="1:24">
      <c r="A220">
        <f>HYPERLINK("https://www.philgeps.gov.ph/GEPSNONPILOT/Tender/SplashBidNoticeAbstractUI.aspx?menuIndex=3&amp;refID=7152189&amp;Result=3","7152189")</f>
        <v>0</v>
      </c>
      <c r="B220" t="s">
        <v>140</v>
      </c>
      <c r="C220" t="s">
        <v>3979</v>
      </c>
      <c r="E220" t="s">
        <v>18274</v>
      </c>
      <c r="F220" t="s">
        <v>30900</v>
      </c>
      <c r="G220" t="s">
        <v>30907</v>
      </c>
      <c r="H220" t="s">
        <v>30916</v>
      </c>
      <c r="I220" t="s">
        <v>30933</v>
      </c>
      <c r="J220" t="s">
        <v>31241</v>
      </c>
      <c r="K220" t="s">
        <v>40292</v>
      </c>
      <c r="M220" t="s">
        <v>40687</v>
      </c>
      <c r="N220" t="s">
        <v>44759</v>
      </c>
      <c r="O220" t="s">
        <v>44760</v>
      </c>
      <c r="P220">
        <v>0</v>
      </c>
      <c r="Q220">
        <v>1</v>
      </c>
      <c r="R220" t="s">
        <v>44761</v>
      </c>
      <c r="S220" t="s">
        <v>44862</v>
      </c>
      <c r="T220" t="s">
        <v>46417</v>
      </c>
      <c r="U220" t="s">
        <v>47152</v>
      </c>
      <c r="W220" t="s">
        <v>40687</v>
      </c>
      <c r="X220" t="s">
        <v>44763</v>
      </c>
    </row>
    <row r="221" spans="1:24">
      <c r="A221">
        <f>HYPERLINK("https://www.philgeps.gov.ph/GEPSNONPILOT/Tender/SplashBidNoticeAbstractUI.aspx?menuIndex=3&amp;refID=7152225&amp;Result=3","7152225")</f>
        <v>0</v>
      </c>
      <c r="B221" t="s">
        <v>138</v>
      </c>
      <c r="C221" t="s">
        <v>3980</v>
      </c>
      <c r="D221" t="s">
        <v>17965</v>
      </c>
      <c r="E221" t="s">
        <v>18275</v>
      </c>
      <c r="F221" t="s">
        <v>30900</v>
      </c>
      <c r="G221" t="s">
        <v>30909</v>
      </c>
      <c r="H221" t="s">
        <v>30916</v>
      </c>
      <c r="I221" t="s">
        <v>30921</v>
      </c>
      <c r="J221" t="s">
        <v>31049</v>
      </c>
      <c r="K221" t="s">
        <v>40287</v>
      </c>
      <c r="M221" t="s">
        <v>40685</v>
      </c>
      <c r="N221" t="s">
        <v>44759</v>
      </c>
      <c r="O221" t="s">
        <v>44760</v>
      </c>
      <c r="P221">
        <v>0</v>
      </c>
      <c r="Q221">
        <v>0</v>
      </c>
      <c r="R221" t="s">
        <v>44761</v>
      </c>
      <c r="S221" t="s">
        <v>44862</v>
      </c>
      <c r="T221" t="s">
        <v>46352</v>
      </c>
      <c r="U221" t="s">
        <v>47153</v>
      </c>
      <c r="W221" t="s">
        <v>40685</v>
      </c>
      <c r="X221" t="s">
        <v>44762</v>
      </c>
    </row>
    <row r="222" spans="1:24">
      <c r="A222">
        <f>HYPERLINK("https://www.philgeps.gov.ph/GEPSNONPILOT/Tender/SplashBidNoticeAbstractUI.aspx?menuIndex=3&amp;refID=7152181&amp;Result=3","7152181")</f>
        <v>0</v>
      </c>
      <c r="B222" t="s">
        <v>130</v>
      </c>
      <c r="C222" t="s">
        <v>3981</v>
      </c>
      <c r="D222" t="s">
        <v>18001</v>
      </c>
      <c r="E222" t="s">
        <v>18276</v>
      </c>
      <c r="F222" t="s">
        <v>30900</v>
      </c>
      <c r="G222" t="s">
        <v>30908</v>
      </c>
      <c r="H222" t="s">
        <v>30916</v>
      </c>
      <c r="I222" t="s">
        <v>10602</v>
      </c>
      <c r="J222" t="s">
        <v>31242</v>
      </c>
      <c r="K222" t="s">
        <v>40282</v>
      </c>
      <c r="M222" t="s">
        <v>40677</v>
      </c>
      <c r="N222" t="s">
        <v>44759</v>
      </c>
      <c r="O222" t="s">
        <v>44760</v>
      </c>
      <c r="P222">
        <v>0</v>
      </c>
      <c r="Q222">
        <v>0</v>
      </c>
      <c r="R222" t="s">
        <v>44761</v>
      </c>
      <c r="S222" t="s">
        <v>44862</v>
      </c>
      <c r="T222" t="s">
        <v>46390</v>
      </c>
      <c r="U222" t="s">
        <v>47154</v>
      </c>
      <c r="W222" t="s">
        <v>40677</v>
      </c>
      <c r="X222" t="s">
        <v>44763</v>
      </c>
    </row>
    <row r="223" spans="1:24">
      <c r="A223">
        <f>HYPERLINK("https://www.philgeps.gov.ph/GEPSNONPILOT/Tender/SplashBidNoticeAbstractUI.aspx?menuIndex=3&amp;refID=7152223&amp;Result=3","7152223")</f>
        <v>0</v>
      </c>
      <c r="B223" t="s">
        <v>138</v>
      </c>
      <c r="C223" t="s">
        <v>3977</v>
      </c>
      <c r="D223" t="s">
        <v>17965</v>
      </c>
      <c r="E223" t="s">
        <v>18277</v>
      </c>
      <c r="F223" t="s">
        <v>30900</v>
      </c>
      <c r="G223" t="s">
        <v>30907</v>
      </c>
      <c r="H223" t="s">
        <v>30916</v>
      </c>
      <c r="I223" t="s">
        <v>4545</v>
      </c>
      <c r="J223" t="s">
        <v>31066</v>
      </c>
      <c r="K223" t="s">
        <v>40294</v>
      </c>
      <c r="M223" t="s">
        <v>40685</v>
      </c>
      <c r="N223" t="s">
        <v>44759</v>
      </c>
      <c r="O223" t="s">
        <v>44760</v>
      </c>
      <c r="P223">
        <v>0</v>
      </c>
      <c r="Q223">
        <v>0</v>
      </c>
      <c r="R223" t="s">
        <v>44761</v>
      </c>
      <c r="S223" t="s">
        <v>44862</v>
      </c>
      <c r="T223" t="s">
        <v>46418</v>
      </c>
      <c r="U223" t="s">
        <v>47150</v>
      </c>
      <c r="W223" t="s">
        <v>40685</v>
      </c>
      <c r="X223" t="s">
        <v>44762</v>
      </c>
    </row>
    <row r="224" spans="1:24">
      <c r="A224">
        <f>HYPERLINK("https://www.philgeps.gov.ph/GEPSNONPILOT/Tender/SplashBidNoticeAbstractUI.aspx?menuIndex=3&amp;refID=7152222&amp;Result=3","7152222")</f>
        <v>0</v>
      </c>
      <c r="B224" t="s">
        <v>141</v>
      </c>
      <c r="C224" t="s">
        <v>3982</v>
      </c>
      <c r="D224" t="s">
        <v>17977</v>
      </c>
      <c r="E224" t="s">
        <v>18278</v>
      </c>
      <c r="F224" t="s">
        <v>30900</v>
      </c>
      <c r="G224" t="s">
        <v>30907</v>
      </c>
      <c r="H224" t="s">
        <v>30915</v>
      </c>
      <c r="I224" t="s">
        <v>30919</v>
      </c>
      <c r="J224" t="s">
        <v>31243</v>
      </c>
      <c r="K224" t="s">
        <v>40280</v>
      </c>
      <c r="M224" t="s">
        <v>40688</v>
      </c>
      <c r="N224" t="s">
        <v>44759</v>
      </c>
      <c r="O224" t="s">
        <v>44760</v>
      </c>
      <c r="P224">
        <v>0</v>
      </c>
      <c r="Q224">
        <v>0</v>
      </c>
      <c r="R224" t="s">
        <v>44761</v>
      </c>
      <c r="S224" t="s">
        <v>44862</v>
      </c>
      <c r="T224" t="s">
        <v>46419</v>
      </c>
      <c r="U224" t="s">
        <v>47155</v>
      </c>
      <c r="W224" t="s">
        <v>40688</v>
      </c>
      <c r="X224" t="s">
        <v>44762</v>
      </c>
    </row>
    <row r="225" spans="1:24">
      <c r="A225">
        <f>HYPERLINK("https://www.philgeps.gov.ph/GEPSNONPILOT/Tender/SplashBidNoticeAbstractUI.aspx?menuIndex=3&amp;refID=7152220&amp;Result=3","7152220")</f>
        <v>0</v>
      </c>
      <c r="B225" t="s">
        <v>142</v>
      </c>
      <c r="C225" t="s">
        <v>3983</v>
      </c>
      <c r="D225" t="s">
        <v>17993</v>
      </c>
      <c r="E225" t="s">
        <v>18279</v>
      </c>
      <c r="F225" t="s">
        <v>30900</v>
      </c>
      <c r="G225" t="s">
        <v>30907</v>
      </c>
      <c r="H225" t="s">
        <v>30916</v>
      </c>
      <c r="I225" t="s">
        <v>30932</v>
      </c>
      <c r="J225" t="s">
        <v>31244</v>
      </c>
      <c r="K225" t="s">
        <v>40293</v>
      </c>
      <c r="M225" t="s">
        <v>40689</v>
      </c>
      <c r="N225" t="s">
        <v>44759</v>
      </c>
      <c r="O225" t="s">
        <v>44760</v>
      </c>
      <c r="P225">
        <v>0</v>
      </c>
      <c r="Q225">
        <v>0</v>
      </c>
      <c r="R225" t="s">
        <v>44761</v>
      </c>
      <c r="S225" t="s">
        <v>44862</v>
      </c>
      <c r="T225" t="s">
        <v>46420</v>
      </c>
      <c r="U225" t="s">
        <v>47156</v>
      </c>
      <c r="W225" t="s">
        <v>40689</v>
      </c>
      <c r="X225" t="s">
        <v>44762</v>
      </c>
    </row>
    <row r="226" spans="1:24">
      <c r="A226">
        <f>HYPERLINK("https://www.philgeps.gov.ph/GEPSNONPILOT/Tender/SplashBidNoticeAbstractUI.aspx?menuIndex=3&amp;refID=7152218&amp;Result=3","7152218")</f>
        <v>0</v>
      </c>
      <c r="B226" t="s">
        <v>143</v>
      </c>
      <c r="C226" t="s">
        <v>3984</v>
      </c>
      <c r="D226" t="s">
        <v>17965</v>
      </c>
      <c r="E226" t="s">
        <v>18280</v>
      </c>
      <c r="F226" t="s">
        <v>30900</v>
      </c>
      <c r="G226" t="s">
        <v>30909</v>
      </c>
      <c r="H226" t="s">
        <v>30916</v>
      </c>
      <c r="I226" t="s">
        <v>30941</v>
      </c>
      <c r="J226" t="s">
        <v>31245</v>
      </c>
      <c r="K226" t="s">
        <v>40284</v>
      </c>
      <c r="M226" t="s">
        <v>40690</v>
      </c>
      <c r="N226" t="s">
        <v>44759</v>
      </c>
      <c r="O226" t="s">
        <v>44760</v>
      </c>
      <c r="P226">
        <v>0</v>
      </c>
      <c r="Q226">
        <v>0</v>
      </c>
      <c r="R226" t="s">
        <v>44761</v>
      </c>
      <c r="S226" t="s">
        <v>44862</v>
      </c>
      <c r="T226" t="s">
        <v>46418</v>
      </c>
      <c r="U226" t="s">
        <v>47157</v>
      </c>
      <c r="W226" t="s">
        <v>40690</v>
      </c>
      <c r="X226" t="s">
        <v>44762</v>
      </c>
    </row>
    <row r="227" spans="1:24">
      <c r="A227">
        <f>HYPERLINK("https://www.philgeps.gov.ph/GEPSNONPILOT/Tender/SplashBidNoticeAbstractUI.aspx?menuIndex=3&amp;refID=7152229&amp;Result=3","7152229")</f>
        <v>0</v>
      </c>
      <c r="B227" t="s">
        <v>144</v>
      </c>
      <c r="C227" t="s">
        <v>3985</v>
      </c>
      <c r="D227" t="s">
        <v>17981</v>
      </c>
      <c r="E227" t="s">
        <v>18281</v>
      </c>
      <c r="F227" t="s">
        <v>30900</v>
      </c>
      <c r="G227" t="s">
        <v>30908</v>
      </c>
      <c r="H227" t="s">
        <v>30916</v>
      </c>
      <c r="I227" t="s">
        <v>30942</v>
      </c>
      <c r="J227" t="s">
        <v>31246</v>
      </c>
      <c r="K227" t="s">
        <v>40289</v>
      </c>
      <c r="M227" t="s">
        <v>40691</v>
      </c>
      <c r="N227" t="s">
        <v>44759</v>
      </c>
      <c r="O227" t="s">
        <v>44760</v>
      </c>
      <c r="P227">
        <v>0</v>
      </c>
      <c r="Q227">
        <v>0</v>
      </c>
      <c r="R227" t="s">
        <v>44761</v>
      </c>
      <c r="S227" t="s">
        <v>44862</v>
      </c>
      <c r="T227" t="s">
        <v>46399</v>
      </c>
      <c r="U227" t="s">
        <v>47158</v>
      </c>
      <c r="W227" t="s">
        <v>40691</v>
      </c>
      <c r="X227" t="s">
        <v>44762</v>
      </c>
    </row>
    <row r="228" spans="1:24">
      <c r="A228">
        <f>HYPERLINK("https://www.philgeps.gov.ph/GEPSNONPILOT/Tender/SplashBidNoticeAbstractUI.aspx?menuIndex=3&amp;refID=7152217&amp;Result=3","7152217")</f>
        <v>0</v>
      </c>
      <c r="B228" t="s">
        <v>145</v>
      </c>
      <c r="C228" t="s">
        <v>3986</v>
      </c>
      <c r="D228" t="s">
        <v>17963</v>
      </c>
      <c r="E228" t="s">
        <v>18282</v>
      </c>
      <c r="F228" t="s">
        <v>30900</v>
      </c>
      <c r="G228" t="s">
        <v>30909</v>
      </c>
      <c r="H228" t="s">
        <v>30916</v>
      </c>
      <c r="I228" t="s">
        <v>30943</v>
      </c>
      <c r="J228" t="s">
        <v>31247</v>
      </c>
      <c r="K228" t="s">
        <v>40289</v>
      </c>
      <c r="M228" t="s">
        <v>40692</v>
      </c>
      <c r="N228" t="s">
        <v>44759</v>
      </c>
      <c r="O228" t="s">
        <v>44760</v>
      </c>
      <c r="P228">
        <v>0</v>
      </c>
      <c r="Q228">
        <v>0</v>
      </c>
      <c r="R228" t="s">
        <v>44761</v>
      </c>
      <c r="S228" t="s">
        <v>44862</v>
      </c>
      <c r="T228" t="s">
        <v>46357</v>
      </c>
      <c r="U228" t="s">
        <v>47159</v>
      </c>
      <c r="W228" t="s">
        <v>40692</v>
      </c>
      <c r="X228" t="s">
        <v>44762</v>
      </c>
    </row>
    <row r="229" spans="1:24">
      <c r="A229">
        <f>HYPERLINK("https://www.philgeps.gov.ph/GEPSNONPILOT/Tender/SplashBidNoticeAbstractUI.aspx?menuIndex=3&amp;refID=7152216&amp;Result=3","7152216")</f>
        <v>0</v>
      </c>
      <c r="B229" t="s">
        <v>146</v>
      </c>
      <c r="C229" t="s">
        <v>3987</v>
      </c>
      <c r="D229" t="s">
        <v>18004</v>
      </c>
      <c r="E229" t="s">
        <v>18283</v>
      </c>
      <c r="F229" t="s">
        <v>30900</v>
      </c>
      <c r="G229" t="s">
        <v>30907</v>
      </c>
      <c r="H229" t="s">
        <v>30915</v>
      </c>
      <c r="I229" t="s">
        <v>30919</v>
      </c>
      <c r="J229" t="s">
        <v>31248</v>
      </c>
      <c r="K229" t="s">
        <v>40313</v>
      </c>
      <c r="M229" t="s">
        <v>40693</v>
      </c>
      <c r="N229" t="s">
        <v>44759</v>
      </c>
      <c r="O229" t="s">
        <v>44760</v>
      </c>
      <c r="P229">
        <v>0</v>
      </c>
      <c r="Q229">
        <v>0</v>
      </c>
      <c r="R229" t="s">
        <v>44761</v>
      </c>
      <c r="S229" t="s">
        <v>44862</v>
      </c>
      <c r="T229" t="s">
        <v>46352</v>
      </c>
      <c r="U229" t="s">
        <v>47160</v>
      </c>
      <c r="V229" t="s">
        <v>59131</v>
      </c>
      <c r="W229" t="s">
        <v>40693</v>
      </c>
      <c r="X229" t="s">
        <v>44762</v>
      </c>
    </row>
    <row r="230" spans="1:24">
      <c r="A230">
        <f>HYPERLINK("https://www.philgeps.gov.ph/GEPSNONPILOT/Tender/SplashBidNoticeAbstractUI.aspx?menuIndex=3&amp;refID=7152254&amp;Result=3","7152254")</f>
        <v>0</v>
      </c>
      <c r="B230" t="s">
        <v>147</v>
      </c>
      <c r="C230" t="s">
        <v>3988</v>
      </c>
      <c r="D230" t="s">
        <v>17970</v>
      </c>
      <c r="E230" t="s">
        <v>18284</v>
      </c>
      <c r="F230" t="s">
        <v>30900</v>
      </c>
      <c r="G230" t="s">
        <v>30910</v>
      </c>
      <c r="H230" t="s">
        <v>30916</v>
      </c>
      <c r="I230" t="s">
        <v>4142</v>
      </c>
      <c r="J230" t="s">
        <v>31249</v>
      </c>
      <c r="K230" t="s">
        <v>40286</v>
      </c>
      <c r="M230" t="s">
        <v>40694</v>
      </c>
      <c r="N230" t="s">
        <v>44759</v>
      </c>
      <c r="O230" t="s">
        <v>44760</v>
      </c>
      <c r="P230">
        <v>0</v>
      </c>
      <c r="Q230">
        <v>0</v>
      </c>
      <c r="R230" t="s">
        <v>44761</v>
      </c>
      <c r="S230" t="s">
        <v>44862</v>
      </c>
      <c r="T230" t="s">
        <v>46421</v>
      </c>
      <c r="U230" t="s">
        <v>47161</v>
      </c>
      <c r="W230" t="s">
        <v>40694</v>
      </c>
      <c r="X230" t="s">
        <v>44762</v>
      </c>
    </row>
    <row r="231" spans="1:24">
      <c r="A231">
        <f>HYPERLINK("https://www.philgeps.gov.ph/GEPSNONPILOT/Tender/SplashBidNoticeAbstractUI.aspx?menuIndex=3&amp;refID=7151426&amp;Result=3","7151426")</f>
        <v>0</v>
      </c>
      <c r="B231" t="s">
        <v>131</v>
      </c>
      <c r="C231" t="s">
        <v>3989</v>
      </c>
      <c r="D231" t="s">
        <v>17978</v>
      </c>
      <c r="E231" t="s">
        <v>18285</v>
      </c>
      <c r="F231" t="s">
        <v>30900</v>
      </c>
      <c r="G231" t="s">
        <v>30909</v>
      </c>
      <c r="H231" t="s">
        <v>30916</v>
      </c>
      <c r="I231" t="s">
        <v>30939</v>
      </c>
      <c r="J231" t="s">
        <v>31250</v>
      </c>
      <c r="K231" t="s">
        <v>40292</v>
      </c>
      <c r="M231" t="s">
        <v>40678</v>
      </c>
      <c r="N231" t="s">
        <v>44759</v>
      </c>
      <c r="O231" t="s">
        <v>44760</v>
      </c>
      <c r="P231">
        <v>0</v>
      </c>
      <c r="Q231">
        <v>0</v>
      </c>
      <c r="R231" t="s">
        <v>44761</v>
      </c>
      <c r="S231" t="s">
        <v>44862</v>
      </c>
      <c r="T231" t="s">
        <v>46414</v>
      </c>
      <c r="U231" t="s">
        <v>47162</v>
      </c>
      <c r="W231" t="s">
        <v>40678</v>
      </c>
      <c r="X231" t="s">
        <v>44763</v>
      </c>
    </row>
    <row r="232" spans="1:24">
      <c r="A232">
        <f>HYPERLINK("https://www.philgeps.gov.ph/GEPSNONPILOT/Tender/SplashBidNoticeAbstractUI.aspx?menuIndex=3&amp;refID=7152252&amp;Result=3","7152252")</f>
        <v>0</v>
      </c>
      <c r="B232" t="s">
        <v>148</v>
      </c>
      <c r="C232" t="s">
        <v>3990</v>
      </c>
      <c r="D232" t="s">
        <v>17978</v>
      </c>
      <c r="E232" t="s">
        <v>18286</v>
      </c>
      <c r="F232" t="s">
        <v>30900</v>
      </c>
      <c r="G232" t="s">
        <v>30907</v>
      </c>
      <c r="H232" t="s">
        <v>30916</v>
      </c>
      <c r="I232" t="s">
        <v>8123</v>
      </c>
      <c r="J232" t="s">
        <v>31251</v>
      </c>
      <c r="K232" t="s">
        <v>40283</v>
      </c>
      <c r="M232" t="s">
        <v>40695</v>
      </c>
      <c r="N232" t="s">
        <v>44759</v>
      </c>
      <c r="O232" t="s">
        <v>44760</v>
      </c>
      <c r="P232">
        <v>0</v>
      </c>
      <c r="Q232">
        <v>0</v>
      </c>
      <c r="R232" t="s">
        <v>44761</v>
      </c>
      <c r="S232" t="s">
        <v>44862</v>
      </c>
      <c r="T232" t="s">
        <v>46369</v>
      </c>
      <c r="U232" t="s">
        <v>47163</v>
      </c>
      <c r="W232" t="s">
        <v>40695</v>
      </c>
      <c r="X232" t="s">
        <v>44762</v>
      </c>
    </row>
    <row r="233" spans="1:24">
      <c r="A233">
        <f>HYPERLINK("https://www.philgeps.gov.ph/GEPSNONPILOT/Tender/SplashBidNoticeAbstractUI.aspx?menuIndex=3&amp;refID=7152250&amp;Result=3","7152250")</f>
        <v>0</v>
      </c>
      <c r="B233" t="s">
        <v>149</v>
      </c>
      <c r="C233" t="s">
        <v>3991</v>
      </c>
      <c r="D233" t="s">
        <v>18005</v>
      </c>
      <c r="E233" t="s">
        <v>18287</v>
      </c>
      <c r="F233" t="s">
        <v>30900</v>
      </c>
      <c r="G233" t="s">
        <v>30908</v>
      </c>
      <c r="H233" t="s">
        <v>30916</v>
      </c>
      <c r="I233" t="s">
        <v>30944</v>
      </c>
      <c r="J233" t="s">
        <v>31043</v>
      </c>
      <c r="K233" t="s">
        <v>40286</v>
      </c>
      <c r="M233" t="s">
        <v>40696</v>
      </c>
      <c r="N233" t="s">
        <v>44759</v>
      </c>
      <c r="O233" t="s">
        <v>44760</v>
      </c>
      <c r="P233">
        <v>0</v>
      </c>
      <c r="Q233">
        <v>0</v>
      </c>
      <c r="R233" t="s">
        <v>44761</v>
      </c>
      <c r="S233" t="s">
        <v>44862</v>
      </c>
      <c r="T233" t="s">
        <v>46390</v>
      </c>
      <c r="U233" t="s">
        <v>47164</v>
      </c>
      <c r="W233" t="s">
        <v>40696</v>
      </c>
      <c r="X233" t="s">
        <v>44762</v>
      </c>
    </row>
    <row r="234" spans="1:24">
      <c r="A234">
        <f>HYPERLINK("https://www.philgeps.gov.ph/GEPSNONPILOT/Tender/SplashBidNoticeAbstractUI.aspx?menuIndex=3&amp;refID=7152219&amp;Result=3","7152219")</f>
        <v>0</v>
      </c>
      <c r="B234" t="s">
        <v>150</v>
      </c>
      <c r="C234" t="s">
        <v>3992</v>
      </c>
      <c r="D234" t="s">
        <v>18006</v>
      </c>
      <c r="E234" t="s">
        <v>18288</v>
      </c>
      <c r="F234" t="s">
        <v>30900</v>
      </c>
      <c r="G234" t="s">
        <v>30910</v>
      </c>
      <c r="H234" t="s">
        <v>30916</v>
      </c>
      <c r="I234" t="s">
        <v>4142</v>
      </c>
      <c r="J234" t="s">
        <v>31252</v>
      </c>
      <c r="K234" t="s">
        <v>40286</v>
      </c>
      <c r="M234" t="s">
        <v>40697</v>
      </c>
      <c r="N234" t="s">
        <v>44759</v>
      </c>
      <c r="O234" t="s">
        <v>44760</v>
      </c>
      <c r="P234">
        <v>0</v>
      </c>
      <c r="Q234">
        <v>0</v>
      </c>
      <c r="R234" t="s">
        <v>44761</v>
      </c>
      <c r="S234" t="s">
        <v>44862</v>
      </c>
      <c r="T234" t="s">
        <v>46412</v>
      </c>
      <c r="U234" t="s">
        <v>47165</v>
      </c>
      <c r="W234" t="s">
        <v>40697</v>
      </c>
      <c r="X234" t="s">
        <v>44762</v>
      </c>
    </row>
    <row r="235" spans="1:24">
      <c r="A235">
        <f>HYPERLINK("https://www.philgeps.gov.ph/GEPSNONPILOT/Tender/SplashBidNoticeAbstractUI.aspx?menuIndex=3&amp;refID=7152247&amp;Result=3","7152247")</f>
        <v>0</v>
      </c>
      <c r="B235" t="s">
        <v>151</v>
      </c>
      <c r="C235" t="s">
        <v>3993</v>
      </c>
      <c r="D235" t="s">
        <v>17959</v>
      </c>
      <c r="E235" t="s">
        <v>18289</v>
      </c>
      <c r="F235" t="s">
        <v>30900</v>
      </c>
      <c r="G235" t="s">
        <v>30908</v>
      </c>
      <c r="H235" t="s">
        <v>30916</v>
      </c>
      <c r="I235" t="s">
        <v>4108</v>
      </c>
      <c r="J235" t="s">
        <v>31253</v>
      </c>
      <c r="K235" t="s">
        <v>40283</v>
      </c>
      <c r="M235" t="s">
        <v>40698</v>
      </c>
      <c r="N235" t="s">
        <v>44759</v>
      </c>
      <c r="O235" t="s">
        <v>44760</v>
      </c>
      <c r="P235">
        <v>0</v>
      </c>
      <c r="Q235">
        <v>1</v>
      </c>
      <c r="R235" t="s">
        <v>44761</v>
      </c>
      <c r="S235" t="s">
        <v>44862</v>
      </c>
      <c r="T235" t="s">
        <v>46400</v>
      </c>
      <c r="U235" t="s">
        <v>47166</v>
      </c>
      <c r="W235" t="s">
        <v>40698</v>
      </c>
      <c r="X235" t="s">
        <v>44762</v>
      </c>
    </row>
    <row r="236" spans="1:24">
      <c r="A236">
        <f>HYPERLINK("https://www.philgeps.gov.ph/GEPSNONPILOT/Tender/SplashBidNoticeAbstractUI.aspx?menuIndex=3&amp;refID=7152226&amp;Result=3","7152226")</f>
        <v>0</v>
      </c>
      <c r="B236" t="s">
        <v>138</v>
      </c>
      <c r="C236" t="s">
        <v>3977</v>
      </c>
      <c r="D236" t="s">
        <v>17965</v>
      </c>
      <c r="E236" t="s">
        <v>18290</v>
      </c>
      <c r="F236" t="s">
        <v>30900</v>
      </c>
      <c r="G236" t="s">
        <v>30909</v>
      </c>
      <c r="H236" t="s">
        <v>30916</v>
      </c>
      <c r="I236" t="s">
        <v>4545</v>
      </c>
      <c r="J236" t="s">
        <v>31254</v>
      </c>
      <c r="K236" t="s">
        <v>40287</v>
      </c>
      <c r="M236" t="s">
        <v>40685</v>
      </c>
      <c r="N236" t="s">
        <v>44759</v>
      </c>
      <c r="O236" t="s">
        <v>44760</v>
      </c>
      <c r="P236">
        <v>0</v>
      </c>
      <c r="Q236">
        <v>0</v>
      </c>
      <c r="R236" t="s">
        <v>44761</v>
      </c>
      <c r="S236" t="s">
        <v>44862</v>
      </c>
      <c r="T236" t="s">
        <v>46422</v>
      </c>
      <c r="U236" t="s">
        <v>47150</v>
      </c>
      <c r="W236" t="s">
        <v>40685</v>
      </c>
      <c r="X236" t="s">
        <v>44762</v>
      </c>
    </row>
    <row r="237" spans="1:24">
      <c r="A237">
        <f>HYPERLINK("https://www.philgeps.gov.ph/GEPSNONPILOT/Tender/SplashBidNoticeAbstractUI.aspx?menuIndex=3&amp;refID=7152246&amp;Result=3","7152246")</f>
        <v>0</v>
      </c>
      <c r="B237" t="s">
        <v>147</v>
      </c>
      <c r="C237" t="s">
        <v>3994</v>
      </c>
      <c r="D237" t="s">
        <v>17970</v>
      </c>
      <c r="E237" t="s">
        <v>18291</v>
      </c>
      <c r="F237" t="s">
        <v>30900</v>
      </c>
      <c r="G237" t="s">
        <v>30908</v>
      </c>
      <c r="H237" t="s">
        <v>30916</v>
      </c>
      <c r="I237" t="s">
        <v>10602</v>
      </c>
      <c r="J237" t="s">
        <v>31255</v>
      </c>
      <c r="K237" t="s">
        <v>40286</v>
      </c>
      <c r="M237" t="s">
        <v>40694</v>
      </c>
      <c r="N237" t="s">
        <v>44759</v>
      </c>
      <c r="O237" t="s">
        <v>44760</v>
      </c>
      <c r="P237">
        <v>0</v>
      </c>
      <c r="Q237">
        <v>0</v>
      </c>
      <c r="R237" t="s">
        <v>44761</v>
      </c>
      <c r="S237" t="s">
        <v>44862</v>
      </c>
      <c r="T237" t="s">
        <v>46421</v>
      </c>
      <c r="U237" t="s">
        <v>47167</v>
      </c>
      <c r="W237" t="s">
        <v>40694</v>
      </c>
      <c r="X237" t="s">
        <v>44762</v>
      </c>
    </row>
    <row r="238" spans="1:24">
      <c r="A238">
        <f>HYPERLINK("https://www.philgeps.gov.ph/GEPSNONPILOT/Tender/SplashBidNoticeAbstractUI.aspx?menuIndex=3&amp;refID=7152245&amp;Result=3","7152245")</f>
        <v>0</v>
      </c>
      <c r="B238" t="s">
        <v>151</v>
      </c>
      <c r="C238" t="s">
        <v>3995</v>
      </c>
      <c r="D238" t="s">
        <v>17959</v>
      </c>
      <c r="E238" t="s">
        <v>18292</v>
      </c>
      <c r="F238" t="s">
        <v>30900</v>
      </c>
      <c r="G238" t="s">
        <v>30908</v>
      </c>
      <c r="H238" t="s">
        <v>30916</v>
      </c>
      <c r="I238" t="s">
        <v>4108</v>
      </c>
      <c r="J238" t="s">
        <v>31256</v>
      </c>
      <c r="K238" t="s">
        <v>40283</v>
      </c>
      <c r="M238" t="s">
        <v>40698</v>
      </c>
      <c r="N238" t="s">
        <v>44759</v>
      </c>
      <c r="O238" t="s">
        <v>44760</v>
      </c>
      <c r="P238">
        <v>0</v>
      </c>
      <c r="Q238">
        <v>0</v>
      </c>
      <c r="R238" t="s">
        <v>44761</v>
      </c>
      <c r="S238" t="s">
        <v>44862</v>
      </c>
      <c r="T238" t="s">
        <v>46400</v>
      </c>
      <c r="U238" t="s">
        <v>47166</v>
      </c>
      <c r="W238" t="s">
        <v>40698</v>
      </c>
      <c r="X238" t="s">
        <v>44762</v>
      </c>
    </row>
    <row r="239" spans="1:24">
      <c r="A239">
        <f>HYPERLINK("https://www.philgeps.gov.ph/GEPSNONPILOT/Tender/SplashBidNoticeAbstractUI.aspx?menuIndex=3&amp;refID=7152242&amp;Result=3","7152242")</f>
        <v>0</v>
      </c>
      <c r="B239" t="s">
        <v>152</v>
      </c>
      <c r="C239" t="s">
        <v>3996</v>
      </c>
      <c r="D239" t="s">
        <v>17963</v>
      </c>
      <c r="E239" t="s">
        <v>18293</v>
      </c>
      <c r="F239" t="s">
        <v>30900</v>
      </c>
      <c r="G239" t="s">
        <v>30909</v>
      </c>
      <c r="H239" t="s">
        <v>30916</v>
      </c>
      <c r="I239" t="s">
        <v>4142</v>
      </c>
      <c r="J239" t="s">
        <v>31257</v>
      </c>
      <c r="K239" t="s">
        <v>40285</v>
      </c>
      <c r="M239" t="s">
        <v>40699</v>
      </c>
      <c r="N239" t="s">
        <v>44759</v>
      </c>
      <c r="O239" t="s">
        <v>44760</v>
      </c>
      <c r="P239">
        <v>0</v>
      </c>
      <c r="Q239">
        <v>0</v>
      </c>
      <c r="R239" t="s">
        <v>44761</v>
      </c>
      <c r="S239" t="s">
        <v>44862</v>
      </c>
      <c r="T239" t="s">
        <v>46423</v>
      </c>
      <c r="U239" t="s">
        <v>47168</v>
      </c>
      <c r="W239" t="s">
        <v>40699</v>
      </c>
      <c r="X239" t="s">
        <v>44762</v>
      </c>
    </row>
    <row r="240" spans="1:24">
      <c r="A240">
        <f>HYPERLINK("https://www.philgeps.gov.ph/GEPSNONPILOT/Tender/SplashBidNoticeAbstractUI.aspx?menuIndex=3&amp;refID=7152241&amp;Result=3","7152241")</f>
        <v>0</v>
      </c>
      <c r="B240" t="s">
        <v>153</v>
      </c>
      <c r="C240" t="s">
        <v>3997</v>
      </c>
      <c r="D240" t="s">
        <v>17955</v>
      </c>
      <c r="E240" t="s">
        <v>18294</v>
      </c>
      <c r="F240" t="s">
        <v>30900</v>
      </c>
      <c r="G240" t="s">
        <v>30907</v>
      </c>
      <c r="H240" t="s">
        <v>30915</v>
      </c>
      <c r="I240" t="s">
        <v>30919</v>
      </c>
      <c r="J240" t="s">
        <v>31258</v>
      </c>
      <c r="K240" t="s">
        <v>40286</v>
      </c>
      <c r="M240" t="s">
        <v>40700</v>
      </c>
      <c r="N240" t="s">
        <v>44759</v>
      </c>
      <c r="O240" t="s">
        <v>44760</v>
      </c>
      <c r="P240">
        <v>0</v>
      </c>
      <c r="Q240">
        <v>0</v>
      </c>
      <c r="R240" t="s">
        <v>44761</v>
      </c>
      <c r="S240" t="s">
        <v>44862</v>
      </c>
      <c r="T240" t="s">
        <v>46411</v>
      </c>
      <c r="U240" t="s">
        <v>47169</v>
      </c>
      <c r="W240" t="s">
        <v>40700</v>
      </c>
      <c r="X240" t="s">
        <v>44762</v>
      </c>
    </row>
    <row r="241" spans="1:24">
      <c r="A241">
        <f>HYPERLINK("https://www.philgeps.gov.ph/GEPSNONPILOT/Tender/SplashBidNoticeAbstractUI.aspx?menuIndex=3&amp;refID=7152240&amp;Result=3","7152240")</f>
        <v>0</v>
      </c>
      <c r="B241" t="s">
        <v>154</v>
      </c>
      <c r="C241" t="s">
        <v>3998</v>
      </c>
      <c r="D241" t="s">
        <v>17993</v>
      </c>
      <c r="E241" t="s">
        <v>18295</v>
      </c>
      <c r="F241" t="s">
        <v>30900</v>
      </c>
      <c r="G241" t="s">
        <v>30907</v>
      </c>
      <c r="H241" t="s">
        <v>30915</v>
      </c>
      <c r="I241" t="s">
        <v>8123</v>
      </c>
      <c r="J241" t="s">
        <v>31259</v>
      </c>
      <c r="K241" t="s">
        <v>40287</v>
      </c>
      <c r="M241" t="s">
        <v>40701</v>
      </c>
      <c r="N241" t="s">
        <v>44759</v>
      </c>
      <c r="O241" t="s">
        <v>44760</v>
      </c>
      <c r="P241">
        <v>0</v>
      </c>
      <c r="Q241">
        <v>0</v>
      </c>
      <c r="R241" t="s">
        <v>44761</v>
      </c>
      <c r="S241" t="s">
        <v>44862</v>
      </c>
      <c r="T241" t="s">
        <v>46361</v>
      </c>
      <c r="U241" t="s">
        <v>47170</v>
      </c>
      <c r="W241" t="s">
        <v>40701</v>
      </c>
      <c r="X241" t="s">
        <v>44762</v>
      </c>
    </row>
    <row r="242" spans="1:24">
      <c r="A242">
        <f>HYPERLINK("https://www.philgeps.gov.ph/GEPSNONPILOT/Tender/SplashBidNoticeAbstractUI.aspx?menuIndex=3&amp;refID=7152238&amp;Result=3","7152238")</f>
        <v>0</v>
      </c>
      <c r="B242" t="s">
        <v>139</v>
      </c>
      <c r="C242" t="s">
        <v>3999</v>
      </c>
      <c r="D242" t="s">
        <v>17965</v>
      </c>
      <c r="E242" t="s">
        <v>18296</v>
      </c>
      <c r="F242" t="s">
        <v>30900</v>
      </c>
      <c r="G242" t="s">
        <v>30909</v>
      </c>
      <c r="H242" t="s">
        <v>30916</v>
      </c>
      <c r="I242" t="s">
        <v>4142</v>
      </c>
      <c r="J242" t="s">
        <v>31260</v>
      </c>
      <c r="K242" t="s">
        <v>40283</v>
      </c>
      <c r="M242" t="s">
        <v>40686</v>
      </c>
      <c r="N242" t="s">
        <v>44759</v>
      </c>
      <c r="O242" t="s">
        <v>44760</v>
      </c>
      <c r="P242">
        <v>0</v>
      </c>
      <c r="Q242">
        <v>0</v>
      </c>
      <c r="R242" t="s">
        <v>44761</v>
      </c>
      <c r="S242" t="s">
        <v>44862</v>
      </c>
      <c r="T242" t="s">
        <v>46356</v>
      </c>
      <c r="U242" t="s">
        <v>47171</v>
      </c>
      <c r="W242" t="s">
        <v>40686</v>
      </c>
      <c r="X242" t="s">
        <v>44762</v>
      </c>
    </row>
    <row r="243" spans="1:24">
      <c r="A243">
        <f>HYPERLINK("https://www.philgeps.gov.ph/GEPSNONPILOT/Tender/SplashBidNoticeAbstractUI.aspx?menuIndex=3&amp;refID=7152251&amp;Result=3","7152251")</f>
        <v>0</v>
      </c>
      <c r="B243" t="s">
        <v>147</v>
      </c>
      <c r="C243" t="s">
        <v>4000</v>
      </c>
      <c r="D243" t="s">
        <v>17970</v>
      </c>
      <c r="E243" t="s">
        <v>18297</v>
      </c>
      <c r="F243" t="s">
        <v>30900</v>
      </c>
      <c r="G243" t="s">
        <v>30908</v>
      </c>
      <c r="H243" t="s">
        <v>30916</v>
      </c>
      <c r="I243" t="s">
        <v>30941</v>
      </c>
      <c r="J243" t="s">
        <v>31261</v>
      </c>
      <c r="K243" t="s">
        <v>40286</v>
      </c>
      <c r="M243" t="s">
        <v>40694</v>
      </c>
      <c r="N243" t="s">
        <v>44759</v>
      </c>
      <c r="O243" t="s">
        <v>44760</v>
      </c>
      <c r="P243">
        <v>0</v>
      </c>
      <c r="Q243">
        <v>0</v>
      </c>
      <c r="R243" t="s">
        <v>44761</v>
      </c>
      <c r="S243" t="s">
        <v>44862</v>
      </c>
      <c r="T243" t="s">
        <v>46421</v>
      </c>
      <c r="U243" t="s">
        <v>47172</v>
      </c>
      <c r="W243" t="s">
        <v>40694</v>
      </c>
      <c r="X243" t="s">
        <v>44762</v>
      </c>
    </row>
    <row r="244" spans="1:24">
      <c r="A244">
        <f>HYPERLINK("https://www.philgeps.gov.ph/GEPSNONPILOT/Tender/SplashBidNoticeAbstractUI.aspx?menuIndex=3&amp;refID=7152249&amp;Result=3","7152249")</f>
        <v>0</v>
      </c>
      <c r="B244" t="s">
        <v>144</v>
      </c>
      <c r="C244" t="s">
        <v>4001</v>
      </c>
      <c r="D244" t="s">
        <v>17981</v>
      </c>
      <c r="E244" t="s">
        <v>18298</v>
      </c>
      <c r="F244" t="s">
        <v>30900</v>
      </c>
      <c r="G244" t="s">
        <v>30908</v>
      </c>
      <c r="H244" t="s">
        <v>30916</v>
      </c>
      <c r="I244" t="s">
        <v>4545</v>
      </c>
      <c r="J244" t="s">
        <v>31262</v>
      </c>
      <c r="K244" t="s">
        <v>40289</v>
      </c>
      <c r="M244" t="s">
        <v>40691</v>
      </c>
      <c r="N244" t="s">
        <v>44759</v>
      </c>
      <c r="O244" t="s">
        <v>44760</v>
      </c>
      <c r="P244">
        <v>0</v>
      </c>
      <c r="Q244">
        <v>0</v>
      </c>
      <c r="R244" t="s">
        <v>44761</v>
      </c>
      <c r="S244" t="s">
        <v>44862</v>
      </c>
      <c r="T244" t="s">
        <v>46399</v>
      </c>
      <c r="U244" t="s">
        <v>47158</v>
      </c>
      <c r="W244" t="s">
        <v>40691</v>
      </c>
      <c r="X244" t="s">
        <v>44762</v>
      </c>
    </row>
    <row r="245" spans="1:24">
      <c r="A245">
        <f>HYPERLINK("https://www.philgeps.gov.ph/GEPSNONPILOT/Tender/SplashBidNoticeAbstractUI.aspx?menuIndex=3&amp;refID=7152257&amp;Result=3","7152257")</f>
        <v>0</v>
      </c>
      <c r="B245" t="s">
        <v>155</v>
      </c>
      <c r="C245" t="s">
        <v>4002</v>
      </c>
      <c r="D245" t="s">
        <v>17951</v>
      </c>
      <c r="E245" t="s">
        <v>18299</v>
      </c>
      <c r="F245" t="s">
        <v>30900</v>
      </c>
      <c r="G245" t="s">
        <v>30908</v>
      </c>
      <c r="H245" t="s">
        <v>30916</v>
      </c>
      <c r="I245" t="s">
        <v>30941</v>
      </c>
      <c r="J245" t="s">
        <v>31263</v>
      </c>
      <c r="K245" t="s">
        <v>40314</v>
      </c>
      <c r="M245" t="s">
        <v>40702</v>
      </c>
      <c r="N245" t="s">
        <v>44759</v>
      </c>
      <c r="O245" t="s">
        <v>44760</v>
      </c>
      <c r="P245">
        <v>0</v>
      </c>
      <c r="Q245">
        <v>0</v>
      </c>
      <c r="R245" t="s">
        <v>44761</v>
      </c>
      <c r="S245" t="s">
        <v>44862</v>
      </c>
      <c r="T245" t="s">
        <v>46424</v>
      </c>
      <c r="U245" t="s">
        <v>47173</v>
      </c>
      <c r="V245" t="s">
        <v>59132</v>
      </c>
      <c r="W245" t="s">
        <v>40702</v>
      </c>
      <c r="X245" t="s">
        <v>44762</v>
      </c>
    </row>
    <row r="246" spans="1:24">
      <c r="A246">
        <f>HYPERLINK("https://www.philgeps.gov.ph/GEPSNONPILOT/Tender/SplashBidNoticeAbstractUI.aspx?menuIndex=3&amp;refID=7152243&amp;Result=3","7152243")</f>
        <v>0</v>
      </c>
      <c r="B246" t="s">
        <v>156</v>
      </c>
      <c r="C246" t="s">
        <v>4003</v>
      </c>
      <c r="D246" t="s">
        <v>17978</v>
      </c>
      <c r="E246" t="s">
        <v>18300</v>
      </c>
      <c r="F246" t="s">
        <v>30900</v>
      </c>
      <c r="G246" t="s">
        <v>30908</v>
      </c>
      <c r="H246" t="s">
        <v>30916</v>
      </c>
      <c r="I246" t="s">
        <v>4142</v>
      </c>
      <c r="J246" t="s">
        <v>31264</v>
      </c>
      <c r="K246" t="s">
        <v>40283</v>
      </c>
      <c r="M246" t="s">
        <v>40703</v>
      </c>
      <c r="N246" t="s">
        <v>44759</v>
      </c>
      <c r="O246" t="s">
        <v>44760</v>
      </c>
      <c r="P246">
        <v>0</v>
      </c>
      <c r="Q246">
        <v>0</v>
      </c>
      <c r="R246" t="s">
        <v>44761</v>
      </c>
      <c r="S246" t="s">
        <v>44862</v>
      </c>
      <c r="T246" t="s">
        <v>46357</v>
      </c>
      <c r="U246" t="s">
        <v>47174</v>
      </c>
      <c r="W246" t="s">
        <v>40703</v>
      </c>
      <c r="X246" t="s">
        <v>44762</v>
      </c>
    </row>
    <row r="247" spans="1:24">
      <c r="A247">
        <f>HYPERLINK("https://www.philgeps.gov.ph/GEPSNONPILOT/Tender/SplashBidNoticeAbstractUI.aspx?menuIndex=3&amp;refID=7152281&amp;Result=3","7152281")</f>
        <v>0</v>
      </c>
      <c r="B247" t="s">
        <v>157</v>
      </c>
      <c r="C247" t="s">
        <v>4004</v>
      </c>
      <c r="D247" t="s">
        <v>17978</v>
      </c>
      <c r="E247" t="s">
        <v>18301</v>
      </c>
      <c r="F247" t="s">
        <v>30900</v>
      </c>
      <c r="G247" t="s">
        <v>30908</v>
      </c>
      <c r="H247" t="s">
        <v>30916</v>
      </c>
      <c r="I247" t="s">
        <v>4004</v>
      </c>
      <c r="J247" t="s">
        <v>31265</v>
      </c>
      <c r="K247" t="s">
        <v>40286</v>
      </c>
      <c r="M247" t="s">
        <v>40704</v>
      </c>
      <c r="N247" t="s">
        <v>44759</v>
      </c>
      <c r="O247" t="s">
        <v>44760</v>
      </c>
      <c r="P247">
        <v>0</v>
      </c>
      <c r="Q247">
        <v>0</v>
      </c>
      <c r="R247" t="s">
        <v>44761</v>
      </c>
      <c r="S247" t="s">
        <v>44862</v>
      </c>
      <c r="T247" t="s">
        <v>46399</v>
      </c>
      <c r="U247" t="s">
        <v>47175</v>
      </c>
      <c r="W247" t="s">
        <v>40704</v>
      </c>
      <c r="X247" t="s">
        <v>44762</v>
      </c>
    </row>
    <row r="248" spans="1:24">
      <c r="A248">
        <f>HYPERLINK("https://www.philgeps.gov.ph/GEPSNONPILOT/Tender/SplashBidNoticeAbstractUI.aspx?menuIndex=3&amp;refID=7152280&amp;Result=3","7152280")</f>
        <v>0</v>
      </c>
      <c r="B248" t="s">
        <v>130</v>
      </c>
      <c r="C248" t="s">
        <v>4005</v>
      </c>
      <c r="D248" t="s">
        <v>17979</v>
      </c>
      <c r="E248" t="s">
        <v>18302</v>
      </c>
      <c r="F248" t="s">
        <v>30900</v>
      </c>
      <c r="G248" t="s">
        <v>30908</v>
      </c>
      <c r="H248" t="s">
        <v>30916</v>
      </c>
      <c r="I248" t="s">
        <v>10602</v>
      </c>
      <c r="J248" t="s">
        <v>31266</v>
      </c>
      <c r="K248" t="s">
        <v>40315</v>
      </c>
      <c r="M248" t="s">
        <v>40677</v>
      </c>
      <c r="N248" t="s">
        <v>44759</v>
      </c>
      <c r="O248" t="s">
        <v>44760</v>
      </c>
      <c r="P248">
        <v>0</v>
      </c>
      <c r="Q248">
        <v>0</v>
      </c>
      <c r="R248" t="s">
        <v>44761</v>
      </c>
      <c r="S248" t="s">
        <v>44862</v>
      </c>
      <c r="T248" t="s">
        <v>46376</v>
      </c>
      <c r="U248" t="s">
        <v>47176</v>
      </c>
      <c r="W248" t="s">
        <v>40677</v>
      </c>
      <c r="X248" t="s">
        <v>44762</v>
      </c>
    </row>
    <row r="249" spans="1:24">
      <c r="A249">
        <f>HYPERLINK("https://www.philgeps.gov.ph/GEPSNONPILOT/Tender/SplashBidNoticeAbstractUI.aspx?menuIndex=3&amp;refID=7152279&amp;Result=3","7152279")</f>
        <v>0</v>
      </c>
      <c r="B249" t="s">
        <v>107</v>
      </c>
      <c r="C249" t="s">
        <v>4006</v>
      </c>
      <c r="D249" t="s">
        <v>17984</v>
      </c>
      <c r="E249" t="s">
        <v>18303</v>
      </c>
      <c r="F249" t="s">
        <v>30900</v>
      </c>
      <c r="G249" t="s">
        <v>30909</v>
      </c>
      <c r="H249" t="s">
        <v>30916</v>
      </c>
      <c r="I249" t="s">
        <v>4108</v>
      </c>
      <c r="J249" t="s">
        <v>31267</v>
      </c>
      <c r="K249" t="s">
        <v>40289</v>
      </c>
      <c r="L249" t="s">
        <v>107</v>
      </c>
      <c r="M249" t="s">
        <v>40654</v>
      </c>
      <c r="N249" t="s">
        <v>44759</v>
      </c>
      <c r="O249" t="s">
        <v>44760</v>
      </c>
      <c r="P249">
        <v>0</v>
      </c>
      <c r="Q249">
        <v>0</v>
      </c>
      <c r="R249" t="s">
        <v>44761</v>
      </c>
      <c r="S249" t="s">
        <v>44862</v>
      </c>
      <c r="T249" t="s">
        <v>46389</v>
      </c>
      <c r="U249" t="s">
        <v>47177</v>
      </c>
      <c r="W249" t="s">
        <v>40654</v>
      </c>
      <c r="X249" t="s">
        <v>44762</v>
      </c>
    </row>
    <row r="250" spans="1:24">
      <c r="A250">
        <f>HYPERLINK("https://www.philgeps.gov.ph/GEPSNONPILOT/Tender/SplashBidNoticeAbstractUI.aspx?menuIndex=3&amp;refID=7152277&amp;Result=3","7152277")</f>
        <v>0</v>
      </c>
      <c r="B250" t="s">
        <v>158</v>
      </c>
      <c r="C250" t="s">
        <v>4007</v>
      </c>
      <c r="D250" t="s">
        <v>18002</v>
      </c>
      <c r="E250" t="s">
        <v>18304</v>
      </c>
      <c r="F250" t="s">
        <v>30900</v>
      </c>
      <c r="G250" t="s">
        <v>30909</v>
      </c>
      <c r="H250" t="s">
        <v>30916</v>
      </c>
      <c r="I250" t="s">
        <v>4545</v>
      </c>
      <c r="J250" t="s">
        <v>31268</v>
      </c>
      <c r="K250" t="s">
        <v>40281</v>
      </c>
      <c r="M250" t="s">
        <v>40705</v>
      </c>
      <c r="N250" t="s">
        <v>44759</v>
      </c>
      <c r="O250" t="s">
        <v>44760</v>
      </c>
      <c r="P250">
        <v>0</v>
      </c>
      <c r="Q250">
        <v>0</v>
      </c>
      <c r="R250" t="s">
        <v>44761</v>
      </c>
      <c r="S250" t="s">
        <v>44862</v>
      </c>
      <c r="T250" t="s">
        <v>46374</v>
      </c>
      <c r="U250" t="s">
        <v>47178</v>
      </c>
      <c r="W250" t="s">
        <v>40705</v>
      </c>
      <c r="X250" t="s">
        <v>44762</v>
      </c>
    </row>
    <row r="251" spans="1:24">
      <c r="A251">
        <f>HYPERLINK("https://www.philgeps.gov.ph/GEPSNONPILOT/Tender/SplashBidNoticeAbstractUI.aspx?menuIndex=3&amp;refID=7152234&amp;Result=3","7152234")</f>
        <v>0</v>
      </c>
      <c r="B251" t="s">
        <v>151</v>
      </c>
      <c r="C251" t="s">
        <v>4008</v>
      </c>
      <c r="D251" t="s">
        <v>17959</v>
      </c>
      <c r="E251" t="s">
        <v>18305</v>
      </c>
      <c r="F251" t="s">
        <v>30900</v>
      </c>
      <c r="G251" t="s">
        <v>30908</v>
      </c>
      <c r="H251" t="s">
        <v>30916</v>
      </c>
      <c r="I251" t="s">
        <v>5830</v>
      </c>
      <c r="J251" t="s">
        <v>31269</v>
      </c>
      <c r="K251" t="s">
        <v>40283</v>
      </c>
      <c r="M251" t="s">
        <v>40698</v>
      </c>
      <c r="N251" t="s">
        <v>44759</v>
      </c>
      <c r="O251" t="s">
        <v>44760</v>
      </c>
      <c r="P251">
        <v>0</v>
      </c>
      <c r="Q251">
        <v>0</v>
      </c>
      <c r="R251" t="s">
        <v>44761</v>
      </c>
      <c r="S251" t="s">
        <v>44862</v>
      </c>
      <c r="T251" t="s">
        <v>46400</v>
      </c>
      <c r="U251" t="s">
        <v>47179</v>
      </c>
      <c r="W251" t="s">
        <v>40698</v>
      </c>
      <c r="X251" t="s">
        <v>44762</v>
      </c>
    </row>
    <row r="252" spans="1:24">
      <c r="A252">
        <f>HYPERLINK("https://www.philgeps.gov.ph/GEPSNONPILOT/Tender/SplashBidNoticeAbstractUI.aspx?menuIndex=3&amp;refID=7152275&amp;Result=3","7152275")</f>
        <v>0</v>
      </c>
      <c r="B252" t="s">
        <v>159</v>
      </c>
      <c r="C252" t="s">
        <v>4009</v>
      </c>
      <c r="D252" t="s">
        <v>18002</v>
      </c>
      <c r="E252" t="s">
        <v>18306</v>
      </c>
      <c r="F252" t="s">
        <v>30900</v>
      </c>
      <c r="G252" t="s">
        <v>30907</v>
      </c>
      <c r="H252" t="s">
        <v>30916</v>
      </c>
      <c r="I252" t="s">
        <v>4108</v>
      </c>
      <c r="J252" t="s">
        <v>31270</v>
      </c>
      <c r="K252" t="s">
        <v>40287</v>
      </c>
      <c r="M252" t="s">
        <v>40706</v>
      </c>
      <c r="N252" t="s">
        <v>44759</v>
      </c>
      <c r="O252" t="s">
        <v>44760</v>
      </c>
      <c r="P252">
        <v>0</v>
      </c>
      <c r="Q252">
        <v>0</v>
      </c>
      <c r="R252" t="s">
        <v>44761</v>
      </c>
      <c r="S252" t="s">
        <v>44862</v>
      </c>
      <c r="T252" t="s">
        <v>46396</v>
      </c>
      <c r="U252" t="s">
        <v>47180</v>
      </c>
      <c r="W252" t="s">
        <v>40706</v>
      </c>
      <c r="X252" t="s">
        <v>44762</v>
      </c>
    </row>
    <row r="253" spans="1:24">
      <c r="A253">
        <f>HYPERLINK("https://www.philgeps.gov.ph/GEPSNONPILOT/Tender/SplashBidNoticeAbstractUI.aspx?menuIndex=3&amp;refID=7152274&amp;Result=3","7152274")</f>
        <v>0</v>
      </c>
      <c r="B253" t="s">
        <v>160</v>
      </c>
      <c r="C253" t="s">
        <v>4010</v>
      </c>
      <c r="D253" t="s">
        <v>18007</v>
      </c>
      <c r="E253" t="s">
        <v>18307</v>
      </c>
      <c r="F253" t="s">
        <v>30900</v>
      </c>
      <c r="G253" t="s">
        <v>30908</v>
      </c>
      <c r="H253" t="s">
        <v>30916</v>
      </c>
      <c r="I253" t="s">
        <v>4545</v>
      </c>
      <c r="J253" t="s">
        <v>31271</v>
      </c>
      <c r="K253" t="s">
        <v>40289</v>
      </c>
      <c r="M253" t="s">
        <v>40707</v>
      </c>
      <c r="N253" t="s">
        <v>44759</v>
      </c>
      <c r="O253" t="s">
        <v>44760</v>
      </c>
      <c r="P253">
        <v>0</v>
      </c>
      <c r="Q253">
        <v>0</v>
      </c>
      <c r="R253" t="s">
        <v>44761</v>
      </c>
      <c r="S253" t="s">
        <v>44862</v>
      </c>
      <c r="T253" t="s">
        <v>46356</v>
      </c>
      <c r="U253" t="s">
        <v>47181</v>
      </c>
      <c r="W253" t="s">
        <v>40707</v>
      </c>
      <c r="X253" t="s">
        <v>44762</v>
      </c>
    </row>
    <row r="254" spans="1:24">
      <c r="A254">
        <f>HYPERLINK("https://www.philgeps.gov.ph/GEPSNONPILOT/Tender/SplashBidNoticeAbstractUI.aspx?menuIndex=3&amp;refID=7152283&amp;Result=3","7152283")</f>
        <v>0</v>
      </c>
      <c r="B254" t="s">
        <v>161</v>
      </c>
      <c r="C254" t="s">
        <v>4011</v>
      </c>
      <c r="D254" t="s">
        <v>18008</v>
      </c>
      <c r="E254" t="s">
        <v>18308</v>
      </c>
      <c r="F254" t="s">
        <v>30900</v>
      </c>
      <c r="G254" t="s">
        <v>30908</v>
      </c>
      <c r="H254" t="s">
        <v>30916</v>
      </c>
      <c r="I254" t="s">
        <v>8123</v>
      </c>
      <c r="J254" t="s">
        <v>31272</v>
      </c>
      <c r="K254" t="s">
        <v>40288</v>
      </c>
      <c r="M254" t="s">
        <v>40708</v>
      </c>
      <c r="N254" t="s">
        <v>44759</v>
      </c>
      <c r="O254" t="s">
        <v>44760</v>
      </c>
      <c r="P254">
        <v>0</v>
      </c>
      <c r="Q254">
        <v>0</v>
      </c>
      <c r="R254" t="s">
        <v>44761</v>
      </c>
      <c r="S254" t="s">
        <v>44862</v>
      </c>
      <c r="T254" t="s">
        <v>46376</v>
      </c>
      <c r="U254" t="s">
        <v>47182</v>
      </c>
      <c r="W254" t="s">
        <v>40708</v>
      </c>
      <c r="X254" t="s">
        <v>44762</v>
      </c>
    </row>
    <row r="255" spans="1:24">
      <c r="A255">
        <f>HYPERLINK("https://www.philgeps.gov.ph/GEPSNONPILOT/Tender/SplashBidNoticeAbstractUI.aspx?menuIndex=3&amp;refID=7152270&amp;Result=3","7152270")</f>
        <v>0</v>
      </c>
      <c r="B255" t="s">
        <v>162</v>
      </c>
      <c r="C255" t="s">
        <v>4012</v>
      </c>
      <c r="D255" t="s">
        <v>18002</v>
      </c>
      <c r="E255" t="s">
        <v>18304</v>
      </c>
      <c r="F255" t="s">
        <v>30900</v>
      </c>
      <c r="G255" t="s">
        <v>30909</v>
      </c>
      <c r="H255" t="s">
        <v>30916</v>
      </c>
      <c r="I255" t="s">
        <v>4545</v>
      </c>
      <c r="J255" t="s">
        <v>31268</v>
      </c>
      <c r="K255" t="s">
        <v>40281</v>
      </c>
      <c r="M255" t="s">
        <v>40709</v>
      </c>
      <c r="N255" t="s">
        <v>44759</v>
      </c>
      <c r="O255" t="s">
        <v>44760</v>
      </c>
      <c r="P255">
        <v>0</v>
      </c>
      <c r="Q255">
        <v>0</v>
      </c>
      <c r="R255" t="s">
        <v>44761</v>
      </c>
      <c r="S255" t="s">
        <v>44862</v>
      </c>
      <c r="T255" t="s">
        <v>46374</v>
      </c>
      <c r="U255" t="s">
        <v>47183</v>
      </c>
      <c r="W255" t="s">
        <v>40709</v>
      </c>
      <c r="X255" t="s">
        <v>44762</v>
      </c>
    </row>
    <row r="256" spans="1:24">
      <c r="A256">
        <f>HYPERLINK("https://www.philgeps.gov.ph/GEPSNONPILOT/Tender/SplashBidNoticeAbstractUI.aspx?menuIndex=3&amp;refID=7152268&amp;Result=3","7152268")</f>
        <v>0</v>
      </c>
      <c r="B256" t="s">
        <v>160</v>
      </c>
      <c r="C256" t="s">
        <v>4013</v>
      </c>
      <c r="D256" t="s">
        <v>18007</v>
      </c>
      <c r="E256" t="s">
        <v>18309</v>
      </c>
      <c r="F256" t="s">
        <v>30900</v>
      </c>
      <c r="G256" t="s">
        <v>30908</v>
      </c>
      <c r="H256" t="s">
        <v>30916</v>
      </c>
      <c r="I256" t="s">
        <v>4142</v>
      </c>
      <c r="J256" t="s">
        <v>31273</v>
      </c>
      <c r="K256" t="s">
        <v>40289</v>
      </c>
      <c r="M256" t="s">
        <v>40707</v>
      </c>
      <c r="N256" t="s">
        <v>44759</v>
      </c>
      <c r="O256" t="s">
        <v>44760</v>
      </c>
      <c r="P256">
        <v>0</v>
      </c>
      <c r="Q256">
        <v>0</v>
      </c>
      <c r="R256" t="s">
        <v>44761</v>
      </c>
      <c r="S256" t="s">
        <v>44862</v>
      </c>
      <c r="T256" t="s">
        <v>46356</v>
      </c>
      <c r="U256" t="s">
        <v>47184</v>
      </c>
      <c r="W256" t="s">
        <v>40707</v>
      </c>
      <c r="X256" t="s">
        <v>44762</v>
      </c>
    </row>
    <row r="257" spans="1:24">
      <c r="A257">
        <f>HYPERLINK("https://www.philgeps.gov.ph/GEPSNONPILOT/Tender/SplashBidNoticeAbstractUI.aspx?menuIndex=3&amp;refID=7152265&amp;Result=3","7152265")</f>
        <v>0</v>
      </c>
      <c r="B257" t="s">
        <v>163</v>
      </c>
      <c r="C257" t="s">
        <v>4014</v>
      </c>
      <c r="D257" t="s">
        <v>17999</v>
      </c>
      <c r="E257" t="s">
        <v>18310</v>
      </c>
      <c r="F257" t="s">
        <v>30900</v>
      </c>
      <c r="G257" t="s">
        <v>30907</v>
      </c>
      <c r="H257" t="s">
        <v>30916</v>
      </c>
      <c r="I257" t="s">
        <v>10961</v>
      </c>
      <c r="J257" t="s">
        <v>31096</v>
      </c>
      <c r="K257" t="s">
        <v>40286</v>
      </c>
      <c r="M257" t="s">
        <v>40710</v>
      </c>
      <c r="N257" t="s">
        <v>44759</v>
      </c>
      <c r="O257" t="s">
        <v>44760</v>
      </c>
      <c r="P257">
        <v>0</v>
      </c>
      <c r="Q257">
        <v>0</v>
      </c>
      <c r="R257" t="s">
        <v>44761</v>
      </c>
      <c r="S257" t="s">
        <v>44862</v>
      </c>
      <c r="T257" t="s">
        <v>46361</v>
      </c>
      <c r="U257" t="s">
        <v>47185</v>
      </c>
      <c r="W257" t="s">
        <v>40710</v>
      </c>
      <c r="X257" t="s">
        <v>44762</v>
      </c>
    </row>
    <row r="258" spans="1:24">
      <c r="A258">
        <f>HYPERLINK("https://www.philgeps.gov.ph/GEPSNONPILOT/Tender/SplashBidNoticeAbstractUI.aspx?menuIndex=3&amp;refID=7152236&amp;Result=3","7152236")</f>
        <v>0</v>
      </c>
      <c r="B258" t="s">
        <v>164</v>
      </c>
      <c r="C258" t="s">
        <v>4015</v>
      </c>
      <c r="D258" t="s">
        <v>17961</v>
      </c>
      <c r="E258" t="s">
        <v>18311</v>
      </c>
      <c r="F258" t="s">
        <v>30900</v>
      </c>
      <c r="G258" t="s">
        <v>30908</v>
      </c>
      <c r="H258" t="s">
        <v>30916</v>
      </c>
      <c r="I258" t="s">
        <v>30927</v>
      </c>
      <c r="J258" t="s">
        <v>31274</v>
      </c>
      <c r="K258" t="s">
        <v>40294</v>
      </c>
      <c r="M258" t="s">
        <v>40711</v>
      </c>
      <c r="N258" t="s">
        <v>44759</v>
      </c>
      <c r="O258" t="s">
        <v>44760</v>
      </c>
      <c r="P258">
        <v>0</v>
      </c>
      <c r="Q258">
        <v>0</v>
      </c>
      <c r="R258" t="s">
        <v>44761</v>
      </c>
      <c r="S258" t="s">
        <v>44862</v>
      </c>
      <c r="T258" t="s">
        <v>46425</v>
      </c>
      <c r="U258" t="s">
        <v>47186</v>
      </c>
      <c r="W258" t="s">
        <v>40711</v>
      </c>
      <c r="X258" t="s">
        <v>44762</v>
      </c>
    </row>
    <row r="259" spans="1:24">
      <c r="A259">
        <f>HYPERLINK("https://www.philgeps.gov.ph/GEPSNONPILOT/Tender/SplashBidNoticeAbstractUI.aspx?menuIndex=3&amp;refID=7149626&amp;Result=3","7149626")</f>
        <v>0</v>
      </c>
      <c r="B259" t="s">
        <v>74</v>
      </c>
      <c r="C259" t="s">
        <v>4016</v>
      </c>
      <c r="D259" t="s">
        <v>17984</v>
      </c>
      <c r="E259" t="s">
        <v>18312</v>
      </c>
      <c r="F259" t="s">
        <v>30900</v>
      </c>
      <c r="G259" t="s">
        <v>30907</v>
      </c>
      <c r="H259" t="s">
        <v>30915</v>
      </c>
      <c r="I259" t="s">
        <v>30919</v>
      </c>
      <c r="J259" t="s">
        <v>31275</v>
      </c>
      <c r="K259" t="s">
        <v>40316</v>
      </c>
      <c r="M259" t="s">
        <v>40621</v>
      </c>
      <c r="N259" t="s">
        <v>44759</v>
      </c>
      <c r="O259" t="s">
        <v>44760</v>
      </c>
      <c r="P259">
        <v>0</v>
      </c>
      <c r="Q259">
        <v>0</v>
      </c>
      <c r="R259" t="s">
        <v>44761</v>
      </c>
      <c r="S259" t="s">
        <v>44862</v>
      </c>
      <c r="T259" t="s">
        <v>46350</v>
      </c>
      <c r="U259" t="s">
        <v>47187</v>
      </c>
      <c r="W259" t="s">
        <v>40621</v>
      </c>
      <c r="X259" t="s">
        <v>44763</v>
      </c>
    </row>
    <row r="260" spans="1:24">
      <c r="A260">
        <f>HYPERLINK("https://www.philgeps.gov.ph/GEPSNONPILOT/Tender/SplashBidNoticeAbstractUI.aspx?menuIndex=3&amp;refID=7152264&amp;Result=3","7152264")</f>
        <v>0</v>
      </c>
      <c r="B260" t="s">
        <v>157</v>
      </c>
      <c r="C260" t="s">
        <v>4017</v>
      </c>
      <c r="D260" t="s">
        <v>17978</v>
      </c>
      <c r="E260" t="s">
        <v>18313</v>
      </c>
      <c r="F260" t="s">
        <v>30900</v>
      </c>
      <c r="G260" t="s">
        <v>30908</v>
      </c>
      <c r="H260" t="s">
        <v>30916</v>
      </c>
      <c r="I260" t="s">
        <v>4017</v>
      </c>
      <c r="J260" t="s">
        <v>31276</v>
      </c>
      <c r="K260" t="s">
        <v>40286</v>
      </c>
      <c r="M260" t="s">
        <v>40704</v>
      </c>
      <c r="N260" t="s">
        <v>44759</v>
      </c>
      <c r="O260" t="s">
        <v>44760</v>
      </c>
      <c r="P260">
        <v>0</v>
      </c>
      <c r="Q260">
        <v>0</v>
      </c>
      <c r="R260" t="s">
        <v>44761</v>
      </c>
      <c r="S260" t="s">
        <v>44862</v>
      </c>
      <c r="T260" t="s">
        <v>46399</v>
      </c>
      <c r="U260" t="s">
        <v>47188</v>
      </c>
      <c r="W260" t="s">
        <v>40704</v>
      </c>
      <c r="X260" t="s">
        <v>44762</v>
      </c>
    </row>
    <row r="261" spans="1:24">
      <c r="A261">
        <f>HYPERLINK("https://www.philgeps.gov.ph/GEPSNONPILOT/Tender/SplashBidNoticeAbstractUI.aspx?menuIndex=3&amp;refID=7152284&amp;Result=3","7152284")</f>
        <v>0</v>
      </c>
      <c r="B261" t="s">
        <v>131</v>
      </c>
      <c r="C261" t="s">
        <v>4018</v>
      </c>
      <c r="D261" t="s">
        <v>17978</v>
      </c>
      <c r="E261" t="s">
        <v>18314</v>
      </c>
      <c r="F261" t="s">
        <v>30900</v>
      </c>
      <c r="G261" t="s">
        <v>30909</v>
      </c>
      <c r="H261" t="s">
        <v>30916</v>
      </c>
      <c r="I261" t="s">
        <v>30939</v>
      </c>
      <c r="J261" t="s">
        <v>31277</v>
      </c>
      <c r="K261" t="s">
        <v>40292</v>
      </c>
      <c r="M261" t="s">
        <v>40678</v>
      </c>
      <c r="N261" t="s">
        <v>44759</v>
      </c>
      <c r="O261" t="s">
        <v>44760</v>
      </c>
      <c r="P261">
        <v>0</v>
      </c>
      <c r="Q261">
        <v>0</v>
      </c>
      <c r="R261" t="s">
        <v>44761</v>
      </c>
      <c r="S261" t="s">
        <v>44862</v>
      </c>
      <c r="T261" t="s">
        <v>46414</v>
      </c>
      <c r="U261" t="s">
        <v>47189</v>
      </c>
      <c r="W261" t="s">
        <v>40678</v>
      </c>
      <c r="X261" t="s">
        <v>44762</v>
      </c>
    </row>
    <row r="262" spans="1:24">
      <c r="A262">
        <f>HYPERLINK("https://www.philgeps.gov.ph/GEPSNONPILOT/Tender/SplashBidNoticeAbstractUI.aspx?menuIndex=3&amp;refID=7152272&amp;Result=3","7152272")</f>
        <v>0</v>
      </c>
      <c r="B262" t="s">
        <v>157</v>
      </c>
      <c r="C262" t="s">
        <v>4019</v>
      </c>
      <c r="D262" t="s">
        <v>17978</v>
      </c>
      <c r="E262" t="s">
        <v>18315</v>
      </c>
      <c r="F262" t="s">
        <v>30900</v>
      </c>
      <c r="G262" t="s">
        <v>30908</v>
      </c>
      <c r="H262" t="s">
        <v>30916</v>
      </c>
      <c r="I262" t="s">
        <v>7708</v>
      </c>
      <c r="J262" t="s">
        <v>31278</v>
      </c>
      <c r="K262" t="s">
        <v>40286</v>
      </c>
      <c r="M262" t="s">
        <v>40704</v>
      </c>
      <c r="N262" t="s">
        <v>44759</v>
      </c>
      <c r="O262" t="s">
        <v>44760</v>
      </c>
      <c r="P262">
        <v>0</v>
      </c>
      <c r="Q262">
        <v>0</v>
      </c>
      <c r="R262" t="s">
        <v>44761</v>
      </c>
      <c r="S262" t="s">
        <v>44862</v>
      </c>
      <c r="T262" t="s">
        <v>46399</v>
      </c>
      <c r="U262" t="s">
        <v>47190</v>
      </c>
      <c r="W262" t="s">
        <v>40704</v>
      </c>
      <c r="X262" t="s">
        <v>44762</v>
      </c>
    </row>
    <row r="263" spans="1:24">
      <c r="A263">
        <f>HYPERLINK("https://www.philgeps.gov.ph/GEPSNONPILOT/Tender/SplashBidNoticeAbstractUI.aspx?menuIndex=3&amp;refID=7152271&amp;Result=3","7152271")</f>
        <v>0</v>
      </c>
      <c r="B263" t="s">
        <v>163</v>
      </c>
      <c r="C263" t="s">
        <v>4020</v>
      </c>
      <c r="D263" t="s">
        <v>17999</v>
      </c>
      <c r="E263" t="s">
        <v>18316</v>
      </c>
      <c r="F263" t="s">
        <v>30900</v>
      </c>
      <c r="G263" t="s">
        <v>30907</v>
      </c>
      <c r="H263" t="s">
        <v>30916</v>
      </c>
      <c r="I263" t="s">
        <v>30945</v>
      </c>
      <c r="J263" t="s">
        <v>31105</v>
      </c>
      <c r="K263" t="s">
        <v>40286</v>
      </c>
      <c r="M263" t="s">
        <v>40710</v>
      </c>
      <c r="N263" t="s">
        <v>44759</v>
      </c>
      <c r="O263" t="s">
        <v>44760</v>
      </c>
      <c r="P263">
        <v>0</v>
      </c>
      <c r="Q263">
        <v>0</v>
      </c>
      <c r="R263" t="s">
        <v>44761</v>
      </c>
      <c r="S263" t="s">
        <v>44862</v>
      </c>
      <c r="T263" t="s">
        <v>46361</v>
      </c>
      <c r="U263" t="s">
        <v>47191</v>
      </c>
      <c r="W263" t="s">
        <v>40710</v>
      </c>
      <c r="X263" t="s">
        <v>44762</v>
      </c>
    </row>
    <row r="264" spans="1:24">
      <c r="A264">
        <f>HYPERLINK("https://www.philgeps.gov.ph/GEPSNONPILOT/Tender/SplashBidNoticeAbstractUI.aspx?menuIndex=3&amp;refID=7152307&amp;Result=3","7152307")</f>
        <v>0</v>
      </c>
      <c r="B264" t="s">
        <v>165</v>
      </c>
      <c r="C264" t="s">
        <v>4021</v>
      </c>
      <c r="D264" t="s">
        <v>18009</v>
      </c>
      <c r="E264" t="s">
        <v>18317</v>
      </c>
      <c r="F264" t="s">
        <v>30900</v>
      </c>
      <c r="G264" t="s">
        <v>30908</v>
      </c>
      <c r="H264" t="s">
        <v>30916</v>
      </c>
      <c r="I264" t="s">
        <v>6396</v>
      </c>
      <c r="J264" t="s">
        <v>31279</v>
      </c>
      <c r="K264" t="s">
        <v>40284</v>
      </c>
      <c r="M264" t="s">
        <v>40712</v>
      </c>
      <c r="N264" t="s">
        <v>44759</v>
      </c>
      <c r="O264" t="s">
        <v>44760</v>
      </c>
      <c r="P264">
        <v>0</v>
      </c>
      <c r="Q264">
        <v>0</v>
      </c>
      <c r="R264" t="s">
        <v>44761</v>
      </c>
      <c r="S264" t="s">
        <v>44862</v>
      </c>
      <c r="T264" t="s">
        <v>46376</v>
      </c>
      <c r="U264" t="s">
        <v>47192</v>
      </c>
      <c r="W264" t="s">
        <v>40712</v>
      </c>
      <c r="X264" t="s">
        <v>44762</v>
      </c>
    </row>
    <row r="265" spans="1:24">
      <c r="A265">
        <f>HYPERLINK("https://www.philgeps.gov.ph/GEPSNONPILOT/Tender/SplashBidNoticeAbstractUI.aspx?menuIndex=3&amp;refID=7152303&amp;Result=3","7152303")</f>
        <v>0</v>
      </c>
      <c r="B265" t="s">
        <v>166</v>
      </c>
      <c r="C265" t="s">
        <v>4022</v>
      </c>
      <c r="D265" t="s">
        <v>17981</v>
      </c>
      <c r="E265" t="s">
        <v>18318</v>
      </c>
      <c r="F265" t="s">
        <v>30900</v>
      </c>
      <c r="G265" t="s">
        <v>30908</v>
      </c>
      <c r="H265" t="s">
        <v>30916</v>
      </c>
      <c r="I265" t="s">
        <v>30946</v>
      </c>
      <c r="J265" t="s">
        <v>31280</v>
      </c>
      <c r="K265" t="s">
        <v>40289</v>
      </c>
      <c r="M265" t="s">
        <v>40713</v>
      </c>
      <c r="N265" t="s">
        <v>44759</v>
      </c>
      <c r="O265" t="s">
        <v>44760</v>
      </c>
      <c r="P265">
        <v>0</v>
      </c>
      <c r="Q265">
        <v>0</v>
      </c>
      <c r="R265" t="s">
        <v>44761</v>
      </c>
      <c r="S265" t="s">
        <v>44862</v>
      </c>
      <c r="T265" t="s">
        <v>46399</v>
      </c>
      <c r="U265" t="s">
        <v>47193</v>
      </c>
      <c r="W265" t="s">
        <v>40713</v>
      </c>
      <c r="X265" t="s">
        <v>44762</v>
      </c>
    </row>
    <row r="266" spans="1:24">
      <c r="A266">
        <f>HYPERLINK("https://www.philgeps.gov.ph/GEPSNONPILOT/Tender/SplashBidNoticeAbstractUI.aspx?menuIndex=3&amp;refID=7152267&amp;Result=3","7152267")</f>
        <v>0</v>
      </c>
      <c r="B266" t="s">
        <v>162</v>
      </c>
      <c r="C266" t="s">
        <v>4023</v>
      </c>
      <c r="D266" t="s">
        <v>18002</v>
      </c>
      <c r="E266" t="s">
        <v>18304</v>
      </c>
      <c r="F266" t="s">
        <v>30900</v>
      </c>
      <c r="G266" t="s">
        <v>30909</v>
      </c>
      <c r="H266" t="s">
        <v>30916</v>
      </c>
      <c r="I266" t="s">
        <v>4142</v>
      </c>
      <c r="J266" t="s">
        <v>31281</v>
      </c>
      <c r="K266" t="s">
        <v>40281</v>
      </c>
      <c r="M266" t="s">
        <v>40709</v>
      </c>
      <c r="N266" t="s">
        <v>44759</v>
      </c>
      <c r="O266" t="s">
        <v>44760</v>
      </c>
      <c r="P266">
        <v>0</v>
      </c>
      <c r="Q266">
        <v>0</v>
      </c>
      <c r="R266" t="s">
        <v>44761</v>
      </c>
      <c r="S266" t="s">
        <v>44862</v>
      </c>
      <c r="T266" t="s">
        <v>46374</v>
      </c>
      <c r="U266" t="s">
        <v>47194</v>
      </c>
      <c r="W266" t="s">
        <v>40709</v>
      </c>
      <c r="X266" t="s">
        <v>44762</v>
      </c>
    </row>
    <row r="267" spans="1:24">
      <c r="A267">
        <f>HYPERLINK("https://www.philgeps.gov.ph/GEPSNONPILOT/Tender/SplashBidNoticeAbstractUI.aspx?menuIndex=3&amp;refID=7152302&amp;Result=3","7152302")</f>
        <v>0</v>
      </c>
      <c r="B267" t="s">
        <v>167</v>
      </c>
      <c r="C267" t="s">
        <v>4024</v>
      </c>
      <c r="D267" t="s">
        <v>18005</v>
      </c>
      <c r="E267" t="s">
        <v>18319</v>
      </c>
      <c r="F267" t="s">
        <v>30900</v>
      </c>
      <c r="G267" t="s">
        <v>30908</v>
      </c>
      <c r="H267" t="s">
        <v>30916</v>
      </c>
      <c r="I267" t="s">
        <v>10602</v>
      </c>
      <c r="J267" t="s">
        <v>31282</v>
      </c>
      <c r="K267" t="s">
        <v>40317</v>
      </c>
      <c r="M267" t="s">
        <v>40714</v>
      </c>
      <c r="N267" t="s">
        <v>44759</v>
      </c>
      <c r="O267" t="s">
        <v>44760</v>
      </c>
      <c r="P267">
        <v>0</v>
      </c>
      <c r="Q267">
        <v>0</v>
      </c>
      <c r="R267" t="s">
        <v>44761</v>
      </c>
      <c r="S267" t="s">
        <v>44862</v>
      </c>
      <c r="T267" t="s">
        <v>46356</v>
      </c>
      <c r="U267" t="s">
        <v>47195</v>
      </c>
      <c r="V267" t="s">
        <v>59133</v>
      </c>
      <c r="W267" t="s">
        <v>40714</v>
      </c>
      <c r="X267" t="s">
        <v>44762</v>
      </c>
    </row>
    <row r="268" spans="1:24">
      <c r="A268">
        <f>HYPERLINK("https://www.philgeps.gov.ph/GEPSNONPILOT/Tender/SplashBidNoticeAbstractUI.aspx?menuIndex=3&amp;refID=7152276&amp;Result=3","7152276")</f>
        <v>0</v>
      </c>
      <c r="B268" t="s">
        <v>107</v>
      </c>
      <c r="C268" t="s">
        <v>4025</v>
      </c>
      <c r="D268" t="s">
        <v>17984</v>
      </c>
      <c r="E268" t="s">
        <v>18320</v>
      </c>
      <c r="F268" t="s">
        <v>30900</v>
      </c>
      <c r="G268" t="s">
        <v>30909</v>
      </c>
      <c r="H268" t="s">
        <v>30916</v>
      </c>
      <c r="I268" t="s">
        <v>6396</v>
      </c>
      <c r="J268" t="s">
        <v>31283</v>
      </c>
      <c r="K268" t="s">
        <v>40289</v>
      </c>
      <c r="L268" t="s">
        <v>107</v>
      </c>
      <c r="M268" t="s">
        <v>40654</v>
      </c>
      <c r="N268" t="s">
        <v>44759</v>
      </c>
      <c r="O268" t="s">
        <v>44760</v>
      </c>
      <c r="P268">
        <v>0</v>
      </c>
      <c r="Q268">
        <v>0</v>
      </c>
      <c r="R268" t="s">
        <v>44761</v>
      </c>
      <c r="S268" t="s">
        <v>44862</v>
      </c>
      <c r="T268" t="s">
        <v>46389</v>
      </c>
      <c r="U268" t="s">
        <v>47177</v>
      </c>
      <c r="W268" t="s">
        <v>40654</v>
      </c>
      <c r="X268" t="s">
        <v>44762</v>
      </c>
    </row>
    <row r="269" spans="1:24">
      <c r="A269">
        <f>HYPERLINK("https://www.philgeps.gov.ph/GEPSNONPILOT/Tender/SplashBidNoticeAbstractUI.aspx?menuIndex=3&amp;refID=7152300&amp;Result=3","7152300")</f>
        <v>0</v>
      </c>
      <c r="B269" t="s">
        <v>168</v>
      </c>
      <c r="C269" t="s">
        <v>4026</v>
      </c>
      <c r="D269" t="s">
        <v>18007</v>
      </c>
      <c r="E269" t="s">
        <v>18321</v>
      </c>
      <c r="F269" t="s">
        <v>30900</v>
      </c>
      <c r="G269" t="s">
        <v>30910</v>
      </c>
      <c r="H269" t="s">
        <v>30916</v>
      </c>
      <c r="I269" t="s">
        <v>30947</v>
      </c>
      <c r="J269" t="s">
        <v>31098</v>
      </c>
      <c r="K269" t="s">
        <v>40286</v>
      </c>
      <c r="M269" t="s">
        <v>40715</v>
      </c>
      <c r="N269" t="s">
        <v>44759</v>
      </c>
      <c r="O269" t="s">
        <v>44760</v>
      </c>
      <c r="P269">
        <v>0</v>
      </c>
      <c r="Q269">
        <v>0</v>
      </c>
      <c r="R269" t="s">
        <v>44761</v>
      </c>
      <c r="S269" t="s">
        <v>44862</v>
      </c>
      <c r="T269" t="s">
        <v>46357</v>
      </c>
      <c r="U269" t="s">
        <v>47196</v>
      </c>
      <c r="W269" t="s">
        <v>40715</v>
      </c>
      <c r="X269" t="s">
        <v>44762</v>
      </c>
    </row>
    <row r="270" spans="1:24">
      <c r="A270">
        <f>HYPERLINK("https://www.philgeps.gov.ph/GEPSNONPILOT/Tender/SplashBidNoticeAbstractUI.aspx?menuIndex=3&amp;refID=7152299&amp;Result=3","7152299")</f>
        <v>0</v>
      </c>
      <c r="B270" t="s">
        <v>169</v>
      </c>
      <c r="C270" t="s">
        <v>4027</v>
      </c>
      <c r="D270" t="s">
        <v>17987</v>
      </c>
      <c r="E270" t="s">
        <v>18322</v>
      </c>
      <c r="F270" t="s">
        <v>30900</v>
      </c>
      <c r="G270" t="s">
        <v>30908</v>
      </c>
      <c r="H270" t="s">
        <v>30916</v>
      </c>
      <c r="I270" t="s">
        <v>30934</v>
      </c>
      <c r="J270" t="s">
        <v>31284</v>
      </c>
      <c r="K270" t="s">
        <v>40289</v>
      </c>
      <c r="M270" t="s">
        <v>40716</v>
      </c>
      <c r="N270" t="s">
        <v>44759</v>
      </c>
      <c r="O270" t="s">
        <v>44760</v>
      </c>
      <c r="P270">
        <v>0</v>
      </c>
      <c r="Q270">
        <v>0</v>
      </c>
      <c r="R270" t="s">
        <v>44761</v>
      </c>
      <c r="S270" t="s">
        <v>44862</v>
      </c>
      <c r="T270" t="s">
        <v>46390</v>
      </c>
      <c r="U270" t="s">
        <v>47197</v>
      </c>
      <c r="W270" t="s">
        <v>40716</v>
      </c>
      <c r="X270" t="s">
        <v>44762</v>
      </c>
    </row>
    <row r="271" spans="1:24">
      <c r="A271">
        <f>HYPERLINK("https://www.philgeps.gov.ph/GEPSNONPILOT/Tender/SplashBidNoticeAbstractUI.aspx?menuIndex=3&amp;refID=7152263&amp;Result=3","7152263")</f>
        <v>0</v>
      </c>
      <c r="B271" t="s">
        <v>170</v>
      </c>
      <c r="C271" t="s">
        <v>4028</v>
      </c>
      <c r="D271" t="s">
        <v>18010</v>
      </c>
      <c r="E271" t="s">
        <v>18323</v>
      </c>
      <c r="F271" t="s">
        <v>30900</v>
      </c>
      <c r="G271" t="s">
        <v>30907</v>
      </c>
      <c r="H271" t="s">
        <v>30915</v>
      </c>
      <c r="I271" t="s">
        <v>30946</v>
      </c>
      <c r="J271" t="s">
        <v>31049</v>
      </c>
      <c r="K271" t="s">
        <v>40286</v>
      </c>
      <c r="M271" t="s">
        <v>40717</v>
      </c>
      <c r="N271" t="s">
        <v>44759</v>
      </c>
      <c r="O271" t="s">
        <v>44760</v>
      </c>
      <c r="P271">
        <v>0</v>
      </c>
      <c r="Q271">
        <v>0</v>
      </c>
      <c r="R271" t="s">
        <v>44761</v>
      </c>
      <c r="S271" t="s">
        <v>44862</v>
      </c>
      <c r="T271" t="s">
        <v>46426</v>
      </c>
      <c r="U271" t="s">
        <v>47198</v>
      </c>
      <c r="W271" t="s">
        <v>40717</v>
      </c>
      <c r="X271" t="s">
        <v>44762</v>
      </c>
    </row>
    <row r="272" spans="1:24">
      <c r="A272">
        <f>HYPERLINK("https://www.philgeps.gov.ph/GEPSNONPILOT/Tender/SplashBidNoticeAbstractUI.aspx?menuIndex=3&amp;refID=7152297&amp;Result=3","7152297")</f>
        <v>0</v>
      </c>
      <c r="B272" t="s">
        <v>131</v>
      </c>
      <c r="C272" t="s">
        <v>4029</v>
      </c>
      <c r="D272" t="s">
        <v>17978</v>
      </c>
      <c r="E272" t="s">
        <v>18324</v>
      </c>
      <c r="F272" t="s">
        <v>30900</v>
      </c>
      <c r="G272" t="s">
        <v>30909</v>
      </c>
      <c r="H272" t="s">
        <v>30916</v>
      </c>
      <c r="I272" t="s">
        <v>30939</v>
      </c>
      <c r="J272" t="s">
        <v>31277</v>
      </c>
      <c r="K272" t="s">
        <v>40292</v>
      </c>
      <c r="M272" t="s">
        <v>40678</v>
      </c>
      <c r="N272" t="s">
        <v>44759</v>
      </c>
      <c r="O272" t="s">
        <v>44760</v>
      </c>
      <c r="P272">
        <v>0</v>
      </c>
      <c r="Q272">
        <v>0</v>
      </c>
      <c r="R272" t="s">
        <v>44761</v>
      </c>
      <c r="S272" t="s">
        <v>44862</v>
      </c>
      <c r="T272" t="s">
        <v>46414</v>
      </c>
      <c r="U272" t="s">
        <v>47199</v>
      </c>
      <c r="W272" t="s">
        <v>40678</v>
      </c>
      <c r="X272" t="s">
        <v>44762</v>
      </c>
    </row>
    <row r="273" spans="1:24">
      <c r="A273">
        <f>HYPERLINK("https://www.philgeps.gov.ph/GEPSNONPILOT/Tender/SplashBidNoticeAbstractUI.aspx?menuIndex=3&amp;refID=7152296&amp;Result=3","7152296")</f>
        <v>0</v>
      </c>
      <c r="B273" t="s">
        <v>171</v>
      </c>
      <c r="C273" t="s">
        <v>4030</v>
      </c>
      <c r="D273" t="s">
        <v>18011</v>
      </c>
      <c r="E273" t="s">
        <v>18325</v>
      </c>
      <c r="F273" t="s">
        <v>30900</v>
      </c>
      <c r="G273" t="s">
        <v>30908</v>
      </c>
      <c r="H273" t="s">
        <v>30916</v>
      </c>
      <c r="I273" t="s">
        <v>5830</v>
      </c>
      <c r="J273" t="s">
        <v>31285</v>
      </c>
      <c r="K273" t="s">
        <v>40286</v>
      </c>
      <c r="M273" t="s">
        <v>40718</v>
      </c>
      <c r="N273" t="s">
        <v>44759</v>
      </c>
      <c r="O273" t="s">
        <v>44760</v>
      </c>
      <c r="P273">
        <v>0</v>
      </c>
      <c r="Q273">
        <v>0</v>
      </c>
      <c r="R273" t="s">
        <v>44761</v>
      </c>
      <c r="S273" t="s">
        <v>44862</v>
      </c>
      <c r="T273" t="s">
        <v>46357</v>
      </c>
      <c r="U273" t="s">
        <v>47200</v>
      </c>
      <c r="W273" t="s">
        <v>40718</v>
      </c>
      <c r="X273" t="s">
        <v>44762</v>
      </c>
    </row>
    <row r="274" spans="1:24">
      <c r="A274">
        <f>HYPERLINK("https://www.philgeps.gov.ph/GEPSNONPILOT/Tender/SplashBidNoticeAbstractUI.aspx?menuIndex=3&amp;refID=7152293&amp;Result=3","7152293")</f>
        <v>0</v>
      </c>
      <c r="B274" t="s">
        <v>172</v>
      </c>
      <c r="C274" t="s">
        <v>4031</v>
      </c>
      <c r="D274" t="s">
        <v>17979</v>
      </c>
      <c r="E274" t="s">
        <v>18326</v>
      </c>
      <c r="F274" t="s">
        <v>30900</v>
      </c>
      <c r="G274" t="s">
        <v>30910</v>
      </c>
      <c r="H274" t="s">
        <v>30916</v>
      </c>
      <c r="I274" t="s">
        <v>4108</v>
      </c>
      <c r="J274" t="s">
        <v>31286</v>
      </c>
      <c r="K274" t="s">
        <v>40286</v>
      </c>
      <c r="M274" t="s">
        <v>40719</v>
      </c>
      <c r="N274" t="s">
        <v>44759</v>
      </c>
      <c r="O274" t="s">
        <v>44760</v>
      </c>
      <c r="P274">
        <v>0</v>
      </c>
      <c r="Q274">
        <v>0</v>
      </c>
      <c r="R274" t="s">
        <v>44761</v>
      </c>
      <c r="S274" t="s">
        <v>44862</v>
      </c>
      <c r="T274" t="s">
        <v>46427</v>
      </c>
      <c r="U274" t="s">
        <v>47201</v>
      </c>
      <c r="W274" t="s">
        <v>40719</v>
      </c>
      <c r="X274" t="s">
        <v>44762</v>
      </c>
    </row>
    <row r="275" spans="1:24">
      <c r="A275">
        <f>HYPERLINK("https://www.philgeps.gov.ph/GEPSNONPILOT/Tender/SplashBidNoticeAbstractUI.aspx?menuIndex=3&amp;refID=7152304&amp;Result=3","7152304")</f>
        <v>0</v>
      </c>
      <c r="B275" t="s">
        <v>173</v>
      </c>
      <c r="C275" t="s">
        <v>4032</v>
      </c>
      <c r="D275" t="s">
        <v>17978</v>
      </c>
      <c r="E275" t="s">
        <v>18327</v>
      </c>
      <c r="F275" t="s">
        <v>30900</v>
      </c>
      <c r="G275" t="s">
        <v>30907</v>
      </c>
      <c r="H275" t="s">
        <v>30915</v>
      </c>
      <c r="I275" t="s">
        <v>30919</v>
      </c>
      <c r="J275" t="s">
        <v>31287</v>
      </c>
      <c r="K275" t="s">
        <v>40318</v>
      </c>
      <c r="M275" t="s">
        <v>40720</v>
      </c>
      <c r="N275" t="s">
        <v>44759</v>
      </c>
      <c r="O275" t="s">
        <v>44760</v>
      </c>
      <c r="P275">
        <v>0</v>
      </c>
      <c r="Q275">
        <v>0</v>
      </c>
      <c r="R275" t="s">
        <v>44761</v>
      </c>
      <c r="S275" t="s">
        <v>44862</v>
      </c>
      <c r="T275" t="s">
        <v>46350</v>
      </c>
      <c r="U275" t="s">
        <v>47202</v>
      </c>
      <c r="V275" t="s">
        <v>59134</v>
      </c>
      <c r="W275" t="s">
        <v>40720</v>
      </c>
      <c r="X275" t="s">
        <v>44762</v>
      </c>
    </row>
    <row r="276" spans="1:24">
      <c r="A276">
        <f>HYPERLINK("https://www.philgeps.gov.ph/GEPSNONPILOT/Tender/SplashBidNoticeAbstractUI.aspx?menuIndex=3&amp;refID=7152289&amp;Result=3","7152289")</f>
        <v>0</v>
      </c>
      <c r="B276" t="s">
        <v>174</v>
      </c>
      <c r="C276" t="s">
        <v>4033</v>
      </c>
      <c r="D276" t="s">
        <v>17959</v>
      </c>
      <c r="E276" t="s">
        <v>18328</v>
      </c>
      <c r="F276" t="s">
        <v>30899</v>
      </c>
      <c r="G276" t="s">
        <v>30908</v>
      </c>
      <c r="H276" t="s">
        <v>30916</v>
      </c>
      <c r="I276" t="s">
        <v>8365</v>
      </c>
      <c r="J276" t="s">
        <v>31288</v>
      </c>
      <c r="K276" t="s">
        <v>40287</v>
      </c>
      <c r="M276" t="s">
        <v>40721</v>
      </c>
      <c r="N276" t="s">
        <v>44759</v>
      </c>
      <c r="O276" t="s">
        <v>44760</v>
      </c>
      <c r="P276">
        <v>0</v>
      </c>
      <c r="Q276">
        <v>0</v>
      </c>
      <c r="R276" t="s">
        <v>44761</v>
      </c>
      <c r="S276" t="s">
        <v>44862</v>
      </c>
      <c r="T276" t="s">
        <v>46396</v>
      </c>
      <c r="U276" t="s">
        <v>47203</v>
      </c>
      <c r="V276" t="s">
        <v>59135</v>
      </c>
      <c r="W276" t="s">
        <v>40721</v>
      </c>
      <c r="X276" t="s">
        <v>44762</v>
      </c>
    </row>
    <row r="277" spans="1:24">
      <c r="A277">
        <f>HYPERLINK("https://www.philgeps.gov.ph/GEPSNONPILOT/Tender/SplashBidNoticeAbstractUI.aspx?menuIndex=3&amp;refID=7152301&amp;Result=3","7152301")</f>
        <v>0</v>
      </c>
      <c r="B277" t="s">
        <v>175</v>
      </c>
      <c r="C277" t="s">
        <v>4034</v>
      </c>
      <c r="D277" t="s">
        <v>17952</v>
      </c>
      <c r="E277" t="s">
        <v>18329</v>
      </c>
      <c r="F277" t="s">
        <v>30900</v>
      </c>
      <c r="G277" t="s">
        <v>30907</v>
      </c>
      <c r="H277" t="s">
        <v>30915</v>
      </c>
      <c r="I277" t="s">
        <v>30948</v>
      </c>
      <c r="J277" t="s">
        <v>31066</v>
      </c>
      <c r="K277" t="s">
        <v>40280</v>
      </c>
      <c r="M277" t="s">
        <v>40722</v>
      </c>
      <c r="N277" t="s">
        <v>44759</v>
      </c>
      <c r="O277" t="s">
        <v>44760</v>
      </c>
      <c r="P277">
        <v>0</v>
      </c>
      <c r="Q277">
        <v>0</v>
      </c>
      <c r="R277" t="s">
        <v>44761</v>
      </c>
      <c r="S277" t="s">
        <v>44862</v>
      </c>
      <c r="T277" t="s">
        <v>46428</v>
      </c>
      <c r="U277" t="s">
        <v>47204</v>
      </c>
      <c r="W277" t="s">
        <v>60819</v>
      </c>
      <c r="X277" t="s">
        <v>44762</v>
      </c>
    </row>
    <row r="278" spans="1:24">
      <c r="A278">
        <f>HYPERLINK("https://www.philgeps.gov.ph/GEPSNONPILOT/Tender/SplashBidNoticeAbstractUI.aspx?menuIndex=3&amp;refID=7150071&amp;Result=3","7150071")</f>
        <v>0</v>
      </c>
      <c r="B278" t="s">
        <v>98</v>
      </c>
      <c r="C278" t="s">
        <v>4035</v>
      </c>
      <c r="D278" t="s">
        <v>17994</v>
      </c>
      <c r="E278" t="s">
        <v>18330</v>
      </c>
      <c r="F278" t="s">
        <v>30900</v>
      </c>
      <c r="G278" t="s">
        <v>30908</v>
      </c>
      <c r="H278" t="s">
        <v>30916</v>
      </c>
      <c r="I278" t="s">
        <v>6953</v>
      </c>
      <c r="J278" t="s">
        <v>31082</v>
      </c>
      <c r="K278" t="s">
        <v>40289</v>
      </c>
      <c r="M278" t="s">
        <v>40645</v>
      </c>
      <c r="N278" t="s">
        <v>44759</v>
      </c>
      <c r="O278" t="s">
        <v>44760</v>
      </c>
      <c r="P278">
        <v>0</v>
      </c>
      <c r="Q278">
        <v>0</v>
      </c>
      <c r="R278" t="s">
        <v>44761</v>
      </c>
      <c r="S278" t="s">
        <v>44862</v>
      </c>
      <c r="T278" t="s">
        <v>46399</v>
      </c>
      <c r="U278" t="s">
        <v>47205</v>
      </c>
      <c r="V278" t="s">
        <v>59119</v>
      </c>
      <c r="W278" t="s">
        <v>40645</v>
      </c>
      <c r="X278" t="s">
        <v>44763</v>
      </c>
    </row>
    <row r="279" spans="1:24">
      <c r="A279">
        <f>HYPERLINK("https://www.philgeps.gov.ph/GEPSNONPILOT/Tender/SplashBidNoticeAbstractUI.aspx?menuIndex=3&amp;refID=7152310&amp;Result=3","7152310")</f>
        <v>0</v>
      </c>
      <c r="B279" t="s">
        <v>130</v>
      </c>
      <c r="C279" t="s">
        <v>4036</v>
      </c>
      <c r="D279" t="s">
        <v>17979</v>
      </c>
      <c r="E279" t="s">
        <v>18331</v>
      </c>
      <c r="F279" t="s">
        <v>30900</v>
      </c>
      <c r="G279" t="s">
        <v>30908</v>
      </c>
      <c r="H279" t="s">
        <v>30916</v>
      </c>
      <c r="I279" t="s">
        <v>10602</v>
      </c>
      <c r="J279" t="s">
        <v>31289</v>
      </c>
      <c r="K279" t="s">
        <v>40289</v>
      </c>
      <c r="M279" t="s">
        <v>40677</v>
      </c>
      <c r="N279" t="s">
        <v>44759</v>
      </c>
      <c r="O279" t="s">
        <v>44760</v>
      </c>
      <c r="P279">
        <v>0</v>
      </c>
      <c r="Q279">
        <v>0</v>
      </c>
      <c r="R279" t="s">
        <v>44761</v>
      </c>
      <c r="S279" t="s">
        <v>44862</v>
      </c>
      <c r="T279" t="s">
        <v>46376</v>
      </c>
      <c r="U279" t="s">
        <v>47206</v>
      </c>
      <c r="W279" t="s">
        <v>40677</v>
      </c>
      <c r="X279" t="s">
        <v>44762</v>
      </c>
    </row>
    <row r="280" spans="1:24">
      <c r="A280">
        <f>HYPERLINK("https://www.philgeps.gov.ph/GEPSNONPILOT/Tender/SplashBidNoticeAbstractUI.aspx?menuIndex=3&amp;refID=7152298&amp;Result=3","7152298")</f>
        <v>0</v>
      </c>
      <c r="B280" t="s">
        <v>161</v>
      </c>
      <c r="C280" t="s">
        <v>4037</v>
      </c>
      <c r="D280" t="s">
        <v>17999</v>
      </c>
      <c r="E280" t="s">
        <v>18332</v>
      </c>
      <c r="F280" t="s">
        <v>30900</v>
      </c>
      <c r="G280" t="s">
        <v>30908</v>
      </c>
      <c r="H280" t="s">
        <v>30916</v>
      </c>
      <c r="I280" t="s">
        <v>8123</v>
      </c>
      <c r="J280" t="s">
        <v>31290</v>
      </c>
      <c r="K280" t="s">
        <v>40288</v>
      </c>
      <c r="M280" t="s">
        <v>40708</v>
      </c>
      <c r="N280" t="s">
        <v>44759</v>
      </c>
      <c r="O280" t="s">
        <v>44760</v>
      </c>
      <c r="P280">
        <v>0</v>
      </c>
      <c r="Q280">
        <v>0</v>
      </c>
      <c r="R280" t="s">
        <v>44761</v>
      </c>
      <c r="S280" t="s">
        <v>44862</v>
      </c>
      <c r="T280" t="s">
        <v>46376</v>
      </c>
      <c r="U280" t="s">
        <v>47207</v>
      </c>
      <c r="W280" t="s">
        <v>40708</v>
      </c>
      <c r="X280" t="s">
        <v>44762</v>
      </c>
    </row>
    <row r="281" spans="1:24">
      <c r="A281">
        <f>HYPERLINK("https://www.philgeps.gov.ph/GEPSNONPILOT/Tender/SplashBidNoticeAbstractUI.aspx?menuIndex=3&amp;refID=7152292&amp;Result=3","7152292")</f>
        <v>0</v>
      </c>
      <c r="B281" t="s">
        <v>176</v>
      </c>
      <c r="C281" t="s">
        <v>4038</v>
      </c>
      <c r="D281" t="s">
        <v>18012</v>
      </c>
      <c r="E281" t="s">
        <v>18333</v>
      </c>
      <c r="F281" t="s">
        <v>30900</v>
      </c>
      <c r="G281" t="s">
        <v>30908</v>
      </c>
      <c r="H281" t="s">
        <v>30916</v>
      </c>
      <c r="I281" t="s">
        <v>30947</v>
      </c>
      <c r="J281" t="s">
        <v>31291</v>
      </c>
      <c r="K281" t="s">
        <v>40289</v>
      </c>
      <c r="M281" t="s">
        <v>40723</v>
      </c>
      <c r="N281" t="s">
        <v>44759</v>
      </c>
      <c r="O281" t="s">
        <v>44760</v>
      </c>
      <c r="P281">
        <v>0</v>
      </c>
      <c r="Q281">
        <v>0</v>
      </c>
      <c r="R281" t="s">
        <v>44761</v>
      </c>
      <c r="S281" t="s">
        <v>44862</v>
      </c>
      <c r="T281" t="s">
        <v>46429</v>
      </c>
      <c r="U281" t="s">
        <v>47208</v>
      </c>
      <c r="W281" t="s">
        <v>40723</v>
      </c>
      <c r="X281" t="s">
        <v>44762</v>
      </c>
    </row>
    <row r="282" spans="1:24">
      <c r="A282">
        <f>HYPERLINK("https://www.philgeps.gov.ph/GEPSNONPILOT/Tender/SplashBidNoticeAbstractUI.aspx?menuIndex=3&amp;refID=7152329&amp;Result=3","7152329")</f>
        <v>0</v>
      </c>
      <c r="B282" t="s">
        <v>177</v>
      </c>
      <c r="C282" t="s">
        <v>4039</v>
      </c>
      <c r="D282" t="s">
        <v>17999</v>
      </c>
      <c r="E282" t="s">
        <v>18334</v>
      </c>
      <c r="F282" t="s">
        <v>30900</v>
      </c>
      <c r="G282" t="s">
        <v>30908</v>
      </c>
      <c r="H282" t="s">
        <v>30916</v>
      </c>
      <c r="I282" t="s">
        <v>30947</v>
      </c>
      <c r="J282" t="s">
        <v>31292</v>
      </c>
      <c r="K282" t="s">
        <v>40288</v>
      </c>
      <c r="M282" t="s">
        <v>40724</v>
      </c>
      <c r="N282" t="s">
        <v>44759</v>
      </c>
      <c r="O282" t="s">
        <v>44760</v>
      </c>
      <c r="P282">
        <v>0</v>
      </c>
      <c r="Q282">
        <v>0</v>
      </c>
      <c r="R282" t="s">
        <v>44761</v>
      </c>
      <c r="S282" t="s">
        <v>44862</v>
      </c>
      <c r="T282" t="s">
        <v>46430</v>
      </c>
      <c r="U282" t="s">
        <v>47209</v>
      </c>
      <c r="W282" t="s">
        <v>40724</v>
      </c>
      <c r="X282" t="s">
        <v>44762</v>
      </c>
    </row>
    <row r="283" spans="1:24">
      <c r="A283">
        <f>HYPERLINK("https://www.philgeps.gov.ph/GEPSNONPILOT/Tender/SplashBidNoticeAbstractUI.aspx?menuIndex=3&amp;refID=7152327&amp;Result=3","7152327")</f>
        <v>0</v>
      </c>
      <c r="B283" t="s">
        <v>178</v>
      </c>
      <c r="C283" t="s">
        <v>4040</v>
      </c>
      <c r="D283" t="s">
        <v>17959</v>
      </c>
      <c r="E283" t="s">
        <v>18335</v>
      </c>
      <c r="F283" t="s">
        <v>30900</v>
      </c>
      <c r="G283" t="s">
        <v>30908</v>
      </c>
      <c r="H283" t="s">
        <v>30916</v>
      </c>
      <c r="I283" t="s">
        <v>4545</v>
      </c>
      <c r="J283" t="s">
        <v>31293</v>
      </c>
      <c r="K283" t="s">
        <v>40284</v>
      </c>
      <c r="M283" t="s">
        <v>40725</v>
      </c>
      <c r="N283" t="s">
        <v>44759</v>
      </c>
      <c r="O283" t="s">
        <v>44760</v>
      </c>
      <c r="P283">
        <v>0</v>
      </c>
      <c r="Q283">
        <v>0</v>
      </c>
      <c r="R283" t="s">
        <v>44761</v>
      </c>
      <c r="S283" t="s">
        <v>44862</v>
      </c>
      <c r="T283" t="s">
        <v>46353</v>
      </c>
      <c r="U283" t="s">
        <v>47210</v>
      </c>
      <c r="W283" t="s">
        <v>40725</v>
      </c>
      <c r="X283" t="s">
        <v>44762</v>
      </c>
    </row>
    <row r="284" spans="1:24">
      <c r="A284">
        <f>HYPERLINK("https://www.philgeps.gov.ph/GEPSNONPILOT/Tender/SplashBidNoticeAbstractUI.aspx?menuIndex=3&amp;refID=7152326&amp;Result=3","7152326")</f>
        <v>0</v>
      </c>
      <c r="B284" t="s">
        <v>179</v>
      </c>
      <c r="C284" t="s">
        <v>4041</v>
      </c>
      <c r="D284" t="s">
        <v>17953</v>
      </c>
      <c r="E284" t="s">
        <v>18336</v>
      </c>
      <c r="F284" t="s">
        <v>30900</v>
      </c>
      <c r="G284" t="s">
        <v>30909</v>
      </c>
      <c r="H284" t="s">
        <v>30916</v>
      </c>
      <c r="I284" t="s">
        <v>10847</v>
      </c>
      <c r="J284" t="s">
        <v>31294</v>
      </c>
      <c r="K284" t="s">
        <v>40287</v>
      </c>
      <c r="M284" t="s">
        <v>40726</v>
      </c>
      <c r="N284" t="s">
        <v>44759</v>
      </c>
      <c r="O284" t="s">
        <v>44760</v>
      </c>
      <c r="P284">
        <v>0</v>
      </c>
      <c r="Q284">
        <v>0</v>
      </c>
      <c r="R284" t="s">
        <v>44761</v>
      </c>
      <c r="S284" t="s">
        <v>44862</v>
      </c>
      <c r="T284" t="s">
        <v>46414</v>
      </c>
      <c r="U284" t="s">
        <v>47211</v>
      </c>
      <c r="W284" t="s">
        <v>40726</v>
      </c>
      <c r="X284" t="s">
        <v>44762</v>
      </c>
    </row>
    <row r="285" spans="1:24">
      <c r="A285">
        <f>HYPERLINK("https://www.philgeps.gov.ph/GEPSNONPILOT/Tender/SplashBidNoticeAbstractUI.aspx?menuIndex=3&amp;refID=7152291&amp;Result=3","7152291")</f>
        <v>0</v>
      </c>
      <c r="B285" t="s">
        <v>131</v>
      </c>
      <c r="C285" t="s">
        <v>4042</v>
      </c>
      <c r="D285" t="s">
        <v>17978</v>
      </c>
      <c r="E285" t="s">
        <v>18337</v>
      </c>
      <c r="F285" t="s">
        <v>30900</v>
      </c>
      <c r="G285" t="s">
        <v>30909</v>
      </c>
      <c r="H285" t="s">
        <v>30916</v>
      </c>
      <c r="I285" t="s">
        <v>30939</v>
      </c>
      <c r="J285" t="s">
        <v>31277</v>
      </c>
      <c r="K285" t="s">
        <v>40292</v>
      </c>
      <c r="M285" t="s">
        <v>40678</v>
      </c>
      <c r="N285" t="s">
        <v>44759</v>
      </c>
      <c r="O285" t="s">
        <v>44760</v>
      </c>
      <c r="P285">
        <v>0</v>
      </c>
      <c r="Q285">
        <v>0</v>
      </c>
      <c r="R285" t="s">
        <v>44761</v>
      </c>
      <c r="S285" t="s">
        <v>44862</v>
      </c>
      <c r="T285" t="s">
        <v>46414</v>
      </c>
      <c r="U285" t="s">
        <v>47212</v>
      </c>
      <c r="W285" t="s">
        <v>40678</v>
      </c>
      <c r="X285" t="s">
        <v>44762</v>
      </c>
    </row>
    <row r="286" spans="1:24">
      <c r="A286">
        <f>HYPERLINK("https://www.philgeps.gov.ph/GEPSNONPILOT/Tender/SplashBidNoticeAbstractUI.aspx?menuIndex=3&amp;refID=7152325&amp;Result=3","7152325")</f>
        <v>0</v>
      </c>
      <c r="B286" t="s">
        <v>165</v>
      </c>
      <c r="C286" t="s">
        <v>4043</v>
      </c>
      <c r="D286" t="s">
        <v>18009</v>
      </c>
      <c r="E286" t="s">
        <v>18338</v>
      </c>
      <c r="F286" t="s">
        <v>30900</v>
      </c>
      <c r="G286" t="s">
        <v>30908</v>
      </c>
      <c r="H286" t="s">
        <v>30916</v>
      </c>
      <c r="I286" t="s">
        <v>6396</v>
      </c>
      <c r="J286" t="s">
        <v>31295</v>
      </c>
      <c r="K286" t="s">
        <v>40284</v>
      </c>
      <c r="M286" t="s">
        <v>40712</v>
      </c>
      <c r="N286" t="s">
        <v>44759</v>
      </c>
      <c r="O286" t="s">
        <v>44760</v>
      </c>
      <c r="P286">
        <v>0</v>
      </c>
      <c r="Q286">
        <v>0</v>
      </c>
      <c r="R286" t="s">
        <v>44761</v>
      </c>
      <c r="S286" t="s">
        <v>44862</v>
      </c>
      <c r="T286" t="s">
        <v>46376</v>
      </c>
      <c r="U286" t="s">
        <v>47213</v>
      </c>
      <c r="W286" t="s">
        <v>40712</v>
      </c>
      <c r="X286" t="s">
        <v>44762</v>
      </c>
    </row>
    <row r="287" spans="1:24">
      <c r="A287">
        <f>HYPERLINK("https://www.philgeps.gov.ph/GEPSNONPILOT/Tender/SplashBidNoticeAbstractUI.aspx?menuIndex=3&amp;refID=7152324&amp;Result=3","7152324")</f>
        <v>0</v>
      </c>
      <c r="B287" t="s">
        <v>180</v>
      </c>
      <c r="C287" t="s">
        <v>4044</v>
      </c>
      <c r="D287" t="s">
        <v>17987</v>
      </c>
      <c r="E287" t="s">
        <v>18339</v>
      </c>
      <c r="F287" t="s">
        <v>30900</v>
      </c>
      <c r="G287" t="s">
        <v>30907</v>
      </c>
      <c r="H287" t="s">
        <v>30916</v>
      </c>
      <c r="I287" t="s">
        <v>8123</v>
      </c>
      <c r="J287" t="s">
        <v>31296</v>
      </c>
      <c r="K287" t="s">
        <v>40284</v>
      </c>
      <c r="M287" t="s">
        <v>40727</v>
      </c>
      <c r="N287" t="s">
        <v>44759</v>
      </c>
      <c r="O287" t="s">
        <v>44760</v>
      </c>
      <c r="P287">
        <v>0</v>
      </c>
      <c r="Q287">
        <v>0</v>
      </c>
      <c r="R287" t="s">
        <v>44761</v>
      </c>
      <c r="S287" t="s">
        <v>44862</v>
      </c>
      <c r="T287" t="s">
        <v>46353</v>
      </c>
      <c r="U287" t="s">
        <v>47214</v>
      </c>
      <c r="W287" t="s">
        <v>40727</v>
      </c>
      <c r="X287" t="s">
        <v>44762</v>
      </c>
    </row>
    <row r="288" spans="1:24">
      <c r="A288">
        <f>HYPERLINK("https://www.philgeps.gov.ph/GEPSNONPILOT/Tender/SplashBidNoticeAbstractUI.aspx?menuIndex=3&amp;refID=7152323&amp;Result=3","7152323")</f>
        <v>0</v>
      </c>
      <c r="B288" t="s">
        <v>181</v>
      </c>
      <c r="C288" t="s">
        <v>4045</v>
      </c>
      <c r="D288" t="s">
        <v>17996</v>
      </c>
      <c r="E288" t="s">
        <v>18340</v>
      </c>
      <c r="F288" t="s">
        <v>30900</v>
      </c>
      <c r="G288" t="s">
        <v>30907</v>
      </c>
      <c r="H288" t="s">
        <v>30915</v>
      </c>
      <c r="I288" t="s">
        <v>30919</v>
      </c>
      <c r="J288" t="s">
        <v>31297</v>
      </c>
      <c r="K288" t="s">
        <v>40289</v>
      </c>
      <c r="M288" t="s">
        <v>40728</v>
      </c>
      <c r="N288" t="s">
        <v>44759</v>
      </c>
      <c r="O288" t="s">
        <v>44760</v>
      </c>
      <c r="P288">
        <v>0</v>
      </c>
      <c r="Q288">
        <v>0</v>
      </c>
      <c r="R288" t="s">
        <v>44761</v>
      </c>
      <c r="S288" t="s">
        <v>44862</v>
      </c>
      <c r="T288" t="s">
        <v>46431</v>
      </c>
      <c r="U288" t="s">
        <v>47215</v>
      </c>
      <c r="W288" t="s">
        <v>40728</v>
      </c>
      <c r="X288" t="s">
        <v>44762</v>
      </c>
    </row>
    <row r="289" spans="1:24">
      <c r="A289">
        <f>HYPERLINK("https://www.philgeps.gov.ph/GEPSNONPILOT/Tender/SplashBidNoticeAbstractUI.aspx?menuIndex=3&amp;refID=7152311&amp;Result=3","7152311")</f>
        <v>0</v>
      </c>
      <c r="B289" t="s">
        <v>181</v>
      </c>
      <c r="C289" t="s">
        <v>4046</v>
      </c>
      <c r="D289" t="s">
        <v>17996</v>
      </c>
      <c r="E289" t="s">
        <v>18341</v>
      </c>
      <c r="F289" t="s">
        <v>30900</v>
      </c>
      <c r="G289" t="s">
        <v>30907</v>
      </c>
      <c r="H289" t="s">
        <v>30915</v>
      </c>
      <c r="I289" t="s">
        <v>30919</v>
      </c>
      <c r="J289" t="s">
        <v>31297</v>
      </c>
      <c r="K289" t="s">
        <v>40289</v>
      </c>
      <c r="M289" t="s">
        <v>40728</v>
      </c>
      <c r="N289" t="s">
        <v>44759</v>
      </c>
      <c r="O289" t="s">
        <v>44760</v>
      </c>
      <c r="P289">
        <v>0</v>
      </c>
      <c r="Q289">
        <v>0</v>
      </c>
      <c r="R289" t="s">
        <v>44761</v>
      </c>
      <c r="S289" t="s">
        <v>44862</v>
      </c>
      <c r="T289" t="s">
        <v>46431</v>
      </c>
      <c r="U289" t="s">
        <v>47216</v>
      </c>
      <c r="W289" t="s">
        <v>40728</v>
      </c>
      <c r="X289" t="s">
        <v>44762</v>
      </c>
    </row>
    <row r="290" spans="1:24">
      <c r="A290">
        <f>HYPERLINK("https://www.philgeps.gov.ph/GEPSNONPILOT/Tender/SplashBidNoticeAbstractUI.aspx?menuIndex=3&amp;refID=7152306&amp;Result=3","7152306")</f>
        <v>0</v>
      </c>
      <c r="B290" t="s">
        <v>182</v>
      </c>
      <c r="C290" t="s">
        <v>4047</v>
      </c>
      <c r="D290" t="s">
        <v>17980</v>
      </c>
      <c r="E290" t="s">
        <v>18342</v>
      </c>
      <c r="F290" t="s">
        <v>30900</v>
      </c>
      <c r="G290" t="s">
        <v>30907</v>
      </c>
      <c r="H290" t="s">
        <v>30916</v>
      </c>
      <c r="I290" t="s">
        <v>10879</v>
      </c>
      <c r="J290" t="s">
        <v>31298</v>
      </c>
      <c r="K290" t="s">
        <v>40287</v>
      </c>
      <c r="M290" t="s">
        <v>40729</v>
      </c>
      <c r="N290" t="s">
        <v>44759</v>
      </c>
      <c r="O290" t="s">
        <v>44760</v>
      </c>
      <c r="P290">
        <v>0</v>
      </c>
      <c r="Q290">
        <v>0</v>
      </c>
      <c r="R290" t="s">
        <v>44761</v>
      </c>
      <c r="S290" t="s">
        <v>44862</v>
      </c>
      <c r="T290" t="s">
        <v>46432</v>
      </c>
      <c r="U290" t="s">
        <v>47217</v>
      </c>
      <c r="W290" t="s">
        <v>40729</v>
      </c>
      <c r="X290" t="s">
        <v>44762</v>
      </c>
    </row>
    <row r="291" spans="1:24">
      <c r="A291">
        <f>HYPERLINK("https://www.philgeps.gov.ph/GEPSNONPILOT/Tender/SplashBidNoticeAbstractUI.aspx?menuIndex=3&amp;refID=7152318&amp;Result=3","7152318")</f>
        <v>0</v>
      </c>
      <c r="B291" t="s">
        <v>131</v>
      </c>
      <c r="C291" t="s">
        <v>4048</v>
      </c>
      <c r="D291" t="s">
        <v>17978</v>
      </c>
      <c r="E291" t="s">
        <v>18343</v>
      </c>
      <c r="F291" t="s">
        <v>30900</v>
      </c>
      <c r="G291" t="s">
        <v>30909</v>
      </c>
      <c r="H291" t="s">
        <v>30916</v>
      </c>
      <c r="I291" t="s">
        <v>30939</v>
      </c>
      <c r="J291" t="s">
        <v>31299</v>
      </c>
      <c r="K291" t="s">
        <v>40283</v>
      </c>
      <c r="M291" t="s">
        <v>40678</v>
      </c>
      <c r="N291" t="s">
        <v>44759</v>
      </c>
      <c r="O291" t="s">
        <v>44760</v>
      </c>
      <c r="P291">
        <v>0</v>
      </c>
      <c r="Q291">
        <v>0</v>
      </c>
      <c r="R291" t="s">
        <v>44761</v>
      </c>
      <c r="S291" t="s">
        <v>44862</v>
      </c>
      <c r="T291" t="s">
        <v>46414</v>
      </c>
      <c r="U291" t="s">
        <v>47218</v>
      </c>
      <c r="W291" t="s">
        <v>40678</v>
      </c>
      <c r="X291" t="s">
        <v>44762</v>
      </c>
    </row>
    <row r="292" spans="1:24">
      <c r="A292">
        <f>HYPERLINK("https://www.philgeps.gov.ph/GEPSNONPILOT/Tender/SplashBidNoticeAbstractUI.aspx?menuIndex=3&amp;refID=7152317&amp;Result=3","7152317")</f>
        <v>0</v>
      </c>
      <c r="B292" t="s">
        <v>161</v>
      </c>
      <c r="C292" t="s">
        <v>4049</v>
      </c>
      <c r="D292" t="s">
        <v>17999</v>
      </c>
      <c r="E292" t="s">
        <v>18300</v>
      </c>
      <c r="F292" t="s">
        <v>30900</v>
      </c>
      <c r="G292" t="s">
        <v>30908</v>
      </c>
      <c r="H292" t="s">
        <v>30916</v>
      </c>
      <c r="I292" t="s">
        <v>8123</v>
      </c>
      <c r="J292" t="s">
        <v>31300</v>
      </c>
      <c r="K292" t="s">
        <v>40288</v>
      </c>
      <c r="M292" t="s">
        <v>40708</v>
      </c>
      <c r="N292" t="s">
        <v>44759</v>
      </c>
      <c r="O292" t="s">
        <v>44760</v>
      </c>
      <c r="P292">
        <v>0</v>
      </c>
      <c r="Q292">
        <v>0</v>
      </c>
      <c r="R292" t="s">
        <v>44761</v>
      </c>
      <c r="S292" t="s">
        <v>44862</v>
      </c>
      <c r="T292" t="s">
        <v>46376</v>
      </c>
      <c r="U292" t="s">
        <v>47219</v>
      </c>
      <c r="W292" t="s">
        <v>40708</v>
      </c>
      <c r="X292" t="s">
        <v>44762</v>
      </c>
    </row>
    <row r="293" spans="1:24">
      <c r="A293">
        <f>HYPERLINK("https://www.philgeps.gov.ph/GEPSNONPILOT/Tender/SplashBidNoticeAbstractUI.aspx?menuIndex=3&amp;refID=7152290&amp;Result=3","7152290")</f>
        <v>0</v>
      </c>
      <c r="B293" t="s">
        <v>157</v>
      </c>
      <c r="C293" t="s">
        <v>4050</v>
      </c>
      <c r="D293" t="s">
        <v>17978</v>
      </c>
      <c r="E293" t="s">
        <v>18344</v>
      </c>
      <c r="F293" t="s">
        <v>30900</v>
      </c>
      <c r="G293" t="s">
        <v>30908</v>
      </c>
      <c r="H293" t="s">
        <v>30916</v>
      </c>
      <c r="I293" t="s">
        <v>4050</v>
      </c>
      <c r="J293" t="s">
        <v>31301</v>
      </c>
      <c r="K293" t="s">
        <v>40286</v>
      </c>
      <c r="M293" t="s">
        <v>40704</v>
      </c>
      <c r="N293" t="s">
        <v>44759</v>
      </c>
      <c r="O293" t="s">
        <v>44760</v>
      </c>
      <c r="P293">
        <v>0</v>
      </c>
      <c r="Q293">
        <v>0</v>
      </c>
      <c r="R293" t="s">
        <v>44761</v>
      </c>
      <c r="S293" t="s">
        <v>44862</v>
      </c>
      <c r="T293" t="s">
        <v>46399</v>
      </c>
      <c r="U293" t="s">
        <v>47220</v>
      </c>
      <c r="W293" t="s">
        <v>40704</v>
      </c>
      <c r="X293" t="s">
        <v>44762</v>
      </c>
    </row>
    <row r="294" spans="1:24">
      <c r="A294">
        <f>HYPERLINK("https://www.philgeps.gov.ph/GEPSNONPILOT/Tender/SplashBidNoticeAbstractUI.aspx?menuIndex=3&amp;refID=7152315&amp;Result=3","7152315")</f>
        <v>0</v>
      </c>
      <c r="B294" t="s">
        <v>183</v>
      </c>
      <c r="C294" t="s">
        <v>3886</v>
      </c>
      <c r="D294" t="s">
        <v>17957</v>
      </c>
      <c r="E294" t="s">
        <v>18207</v>
      </c>
      <c r="F294" t="s">
        <v>30900</v>
      </c>
      <c r="G294" t="s">
        <v>30909</v>
      </c>
      <c r="H294" t="s">
        <v>30916</v>
      </c>
      <c r="I294" t="s">
        <v>4108</v>
      </c>
      <c r="J294" t="s">
        <v>31302</v>
      </c>
      <c r="K294" t="s">
        <v>40281</v>
      </c>
      <c r="M294" t="s">
        <v>40730</v>
      </c>
      <c r="N294" t="s">
        <v>44759</v>
      </c>
      <c r="O294" t="s">
        <v>44760</v>
      </c>
      <c r="P294">
        <v>0</v>
      </c>
      <c r="Q294">
        <v>0</v>
      </c>
      <c r="R294" t="s">
        <v>44761</v>
      </c>
      <c r="S294" t="s">
        <v>44862</v>
      </c>
      <c r="T294" t="s">
        <v>46383</v>
      </c>
      <c r="U294" t="s">
        <v>47221</v>
      </c>
      <c r="V294" t="s">
        <v>59117</v>
      </c>
      <c r="W294" t="s">
        <v>40730</v>
      </c>
      <c r="X294" t="s">
        <v>44762</v>
      </c>
    </row>
    <row r="295" spans="1:24">
      <c r="A295">
        <f>HYPERLINK("https://www.philgeps.gov.ph/GEPSNONPILOT/Tender/SplashBidNoticeAbstractUI.aspx?menuIndex=3&amp;refID=7152322&amp;Result=3","7152322")</f>
        <v>0</v>
      </c>
      <c r="B295" t="s">
        <v>184</v>
      </c>
      <c r="C295" t="s">
        <v>4051</v>
      </c>
      <c r="D295" t="s">
        <v>17992</v>
      </c>
      <c r="E295" t="s">
        <v>18345</v>
      </c>
      <c r="F295" t="s">
        <v>30900</v>
      </c>
      <c r="G295" t="s">
        <v>30909</v>
      </c>
      <c r="H295" t="s">
        <v>30916</v>
      </c>
      <c r="I295" t="s">
        <v>30949</v>
      </c>
      <c r="J295" t="s">
        <v>31303</v>
      </c>
      <c r="K295" t="s">
        <v>40283</v>
      </c>
      <c r="M295" t="s">
        <v>40731</v>
      </c>
      <c r="N295" t="s">
        <v>44759</v>
      </c>
      <c r="O295" t="s">
        <v>44760</v>
      </c>
      <c r="P295">
        <v>0</v>
      </c>
      <c r="Q295">
        <v>0</v>
      </c>
      <c r="R295" t="s">
        <v>44761</v>
      </c>
      <c r="S295" t="s">
        <v>44862</v>
      </c>
      <c r="T295" t="s">
        <v>46410</v>
      </c>
      <c r="U295" t="s">
        <v>47222</v>
      </c>
      <c r="W295" t="s">
        <v>40731</v>
      </c>
      <c r="X295" t="s">
        <v>44762</v>
      </c>
    </row>
    <row r="296" spans="1:24">
      <c r="A296">
        <f>HYPERLINK("https://www.philgeps.gov.ph/GEPSNONPILOT/Tender/SplashBidNoticeAbstractUI.aspx?menuIndex=3&amp;refID=7152314&amp;Result=3","7152314")</f>
        <v>0</v>
      </c>
      <c r="B296" t="s">
        <v>185</v>
      </c>
      <c r="C296" t="s">
        <v>4052</v>
      </c>
      <c r="D296" t="s">
        <v>18002</v>
      </c>
      <c r="E296" t="s">
        <v>18346</v>
      </c>
      <c r="F296" t="s">
        <v>30900</v>
      </c>
      <c r="G296" t="s">
        <v>30909</v>
      </c>
      <c r="H296" t="s">
        <v>30916</v>
      </c>
      <c r="I296" t="s">
        <v>30923</v>
      </c>
      <c r="J296" t="s">
        <v>31304</v>
      </c>
      <c r="K296" t="s">
        <v>40319</v>
      </c>
      <c r="M296" t="s">
        <v>40732</v>
      </c>
      <c r="N296" t="s">
        <v>44759</v>
      </c>
      <c r="O296" t="s">
        <v>44760</v>
      </c>
      <c r="P296">
        <v>0</v>
      </c>
      <c r="Q296">
        <v>0</v>
      </c>
      <c r="R296" t="s">
        <v>44761</v>
      </c>
      <c r="S296" t="s">
        <v>44862</v>
      </c>
      <c r="T296" t="s">
        <v>46390</v>
      </c>
      <c r="U296" t="s">
        <v>47223</v>
      </c>
      <c r="W296" t="s">
        <v>60820</v>
      </c>
      <c r="X296" t="s">
        <v>44762</v>
      </c>
    </row>
    <row r="297" spans="1:24">
      <c r="A297">
        <f>HYPERLINK("https://www.philgeps.gov.ph/GEPSNONPILOT/Tender/SplashBidNoticeAbstractUI.aspx?menuIndex=3&amp;refID=7152309&amp;Result=3","7152309")</f>
        <v>0</v>
      </c>
      <c r="B297" t="s">
        <v>169</v>
      </c>
      <c r="C297" t="s">
        <v>4053</v>
      </c>
      <c r="D297" t="s">
        <v>17987</v>
      </c>
      <c r="E297" t="s">
        <v>18347</v>
      </c>
      <c r="F297" t="s">
        <v>30900</v>
      </c>
      <c r="G297" t="s">
        <v>30908</v>
      </c>
      <c r="H297" t="s">
        <v>30916</v>
      </c>
      <c r="I297" t="s">
        <v>4545</v>
      </c>
      <c r="J297" t="s">
        <v>31043</v>
      </c>
      <c r="K297" t="s">
        <v>40289</v>
      </c>
      <c r="M297" t="s">
        <v>40716</v>
      </c>
      <c r="N297" t="s">
        <v>44759</v>
      </c>
      <c r="O297" t="s">
        <v>44760</v>
      </c>
      <c r="P297">
        <v>0</v>
      </c>
      <c r="Q297">
        <v>0</v>
      </c>
      <c r="R297" t="s">
        <v>44761</v>
      </c>
      <c r="S297" t="s">
        <v>44862</v>
      </c>
      <c r="T297" t="s">
        <v>46390</v>
      </c>
      <c r="U297" t="s">
        <v>47197</v>
      </c>
      <c r="W297" t="s">
        <v>40716</v>
      </c>
      <c r="X297" t="s">
        <v>44762</v>
      </c>
    </row>
    <row r="298" spans="1:24">
      <c r="A298">
        <f>HYPERLINK("https://www.philgeps.gov.ph/GEPSNONPILOT/Tender/SplashBidNoticeAbstractUI.aspx?menuIndex=3&amp;refID=7152308&amp;Result=3","7152308")</f>
        <v>0</v>
      </c>
      <c r="B298" t="s">
        <v>186</v>
      </c>
      <c r="C298" t="s">
        <v>4054</v>
      </c>
      <c r="D298" t="s">
        <v>17957</v>
      </c>
      <c r="E298" t="s">
        <v>18348</v>
      </c>
      <c r="F298" t="s">
        <v>30900</v>
      </c>
      <c r="G298" t="s">
        <v>30908</v>
      </c>
      <c r="H298" t="s">
        <v>30916</v>
      </c>
      <c r="I298" t="s">
        <v>10847</v>
      </c>
      <c r="J298" t="s">
        <v>31305</v>
      </c>
      <c r="K298" t="s">
        <v>40286</v>
      </c>
      <c r="M298" t="s">
        <v>40733</v>
      </c>
      <c r="N298" t="s">
        <v>44759</v>
      </c>
      <c r="O298" t="s">
        <v>44760</v>
      </c>
      <c r="P298">
        <v>0</v>
      </c>
      <c r="Q298">
        <v>0</v>
      </c>
      <c r="R298" t="s">
        <v>44761</v>
      </c>
      <c r="S298" t="s">
        <v>44862</v>
      </c>
      <c r="T298" t="s">
        <v>46399</v>
      </c>
      <c r="U298" t="s">
        <v>47224</v>
      </c>
      <c r="W298" t="s">
        <v>40733</v>
      </c>
      <c r="X298" t="s">
        <v>44762</v>
      </c>
    </row>
    <row r="299" spans="1:24">
      <c r="A299">
        <f>HYPERLINK("https://www.philgeps.gov.ph/GEPSNONPILOT/Tender/SplashBidNoticeAbstractUI.aspx?menuIndex=3&amp;refID=7152288&amp;Result=3","7152288")</f>
        <v>0</v>
      </c>
      <c r="B299" t="s">
        <v>147</v>
      </c>
      <c r="C299" t="s">
        <v>4055</v>
      </c>
      <c r="D299" t="s">
        <v>17970</v>
      </c>
      <c r="E299" t="s">
        <v>18349</v>
      </c>
      <c r="F299" t="s">
        <v>30900</v>
      </c>
      <c r="G299" t="s">
        <v>30908</v>
      </c>
      <c r="H299" t="s">
        <v>30916</v>
      </c>
      <c r="I299" t="s">
        <v>8123</v>
      </c>
      <c r="J299" t="s">
        <v>31306</v>
      </c>
      <c r="K299" t="s">
        <v>40286</v>
      </c>
      <c r="M299" t="s">
        <v>40694</v>
      </c>
      <c r="N299" t="s">
        <v>44759</v>
      </c>
      <c r="O299" t="s">
        <v>44760</v>
      </c>
      <c r="P299">
        <v>0</v>
      </c>
      <c r="Q299">
        <v>0</v>
      </c>
      <c r="R299" t="s">
        <v>44761</v>
      </c>
      <c r="S299" t="s">
        <v>44862</v>
      </c>
      <c r="T299" t="s">
        <v>46421</v>
      </c>
      <c r="U299" t="s">
        <v>47225</v>
      </c>
      <c r="W299" t="s">
        <v>40694</v>
      </c>
      <c r="X299" t="s">
        <v>44762</v>
      </c>
    </row>
    <row r="300" spans="1:24">
      <c r="A300">
        <f>HYPERLINK("https://www.philgeps.gov.ph/GEPSNONPILOT/Tender/SplashBidNoticeAbstractUI.aspx?menuIndex=3&amp;refID=7152320&amp;Result=3","7152320")</f>
        <v>0</v>
      </c>
      <c r="B300" t="s">
        <v>187</v>
      </c>
      <c r="C300" t="s">
        <v>4056</v>
      </c>
      <c r="D300" t="s">
        <v>17952</v>
      </c>
      <c r="E300" t="s">
        <v>18350</v>
      </c>
      <c r="F300" t="s">
        <v>30900</v>
      </c>
      <c r="G300" t="s">
        <v>30908</v>
      </c>
      <c r="H300" t="s">
        <v>30916</v>
      </c>
      <c r="I300" t="s">
        <v>9385</v>
      </c>
      <c r="J300" t="s">
        <v>31307</v>
      </c>
      <c r="K300" t="s">
        <v>40286</v>
      </c>
      <c r="M300" t="s">
        <v>40734</v>
      </c>
      <c r="N300" t="s">
        <v>44759</v>
      </c>
      <c r="O300" t="s">
        <v>44760</v>
      </c>
      <c r="P300">
        <v>0</v>
      </c>
      <c r="Q300">
        <v>0</v>
      </c>
      <c r="R300" t="s">
        <v>44761</v>
      </c>
      <c r="S300" t="s">
        <v>44862</v>
      </c>
      <c r="T300" t="s">
        <v>46390</v>
      </c>
      <c r="U300" t="s">
        <v>47226</v>
      </c>
      <c r="V300" t="s">
        <v>59136</v>
      </c>
      <c r="W300" t="s">
        <v>40734</v>
      </c>
      <c r="X300" t="s">
        <v>44762</v>
      </c>
    </row>
    <row r="301" spans="1:24">
      <c r="A301">
        <f>HYPERLINK("https://www.philgeps.gov.ph/GEPSNONPILOT/Tender/SplashBidNoticeAbstractUI.aspx?menuIndex=3&amp;refID=7152286&amp;Result=3","7152286")</f>
        <v>0</v>
      </c>
      <c r="B301" t="s">
        <v>188</v>
      </c>
      <c r="C301" t="s">
        <v>4057</v>
      </c>
      <c r="D301" t="s">
        <v>17992</v>
      </c>
      <c r="E301" t="s">
        <v>18351</v>
      </c>
      <c r="F301" t="s">
        <v>30900</v>
      </c>
      <c r="G301" t="s">
        <v>30908</v>
      </c>
      <c r="H301" t="s">
        <v>30916</v>
      </c>
      <c r="I301" t="s">
        <v>30940</v>
      </c>
      <c r="J301" t="s">
        <v>31308</v>
      </c>
      <c r="K301" t="s">
        <v>40285</v>
      </c>
      <c r="M301" t="s">
        <v>40735</v>
      </c>
      <c r="N301" t="s">
        <v>44759</v>
      </c>
      <c r="O301" t="s">
        <v>44760</v>
      </c>
      <c r="P301">
        <v>0</v>
      </c>
      <c r="Q301">
        <v>0</v>
      </c>
      <c r="R301" t="s">
        <v>44761</v>
      </c>
      <c r="S301" t="s">
        <v>44862</v>
      </c>
      <c r="T301" t="s">
        <v>46412</v>
      </c>
      <c r="U301" t="s">
        <v>47227</v>
      </c>
      <c r="V301" t="s">
        <v>59137</v>
      </c>
      <c r="W301" t="s">
        <v>40735</v>
      </c>
      <c r="X301" t="s">
        <v>44762</v>
      </c>
    </row>
    <row r="302" spans="1:24">
      <c r="A302">
        <f>HYPERLINK("https://www.philgeps.gov.ph/GEPSNONPILOT/Tender/SplashBidNoticeAbstractUI.aspx?menuIndex=3&amp;refID=7152285&amp;Result=3","7152285")</f>
        <v>0</v>
      </c>
      <c r="B302" t="s">
        <v>189</v>
      </c>
      <c r="C302" t="s">
        <v>4058</v>
      </c>
      <c r="D302" t="s">
        <v>17982</v>
      </c>
      <c r="E302" t="s">
        <v>18352</v>
      </c>
      <c r="F302" t="s">
        <v>30900</v>
      </c>
      <c r="G302" t="s">
        <v>30908</v>
      </c>
      <c r="H302" t="s">
        <v>30916</v>
      </c>
      <c r="I302" t="s">
        <v>30941</v>
      </c>
      <c r="J302" t="s">
        <v>31309</v>
      </c>
      <c r="K302" t="s">
        <v>40283</v>
      </c>
      <c r="M302" t="s">
        <v>40736</v>
      </c>
      <c r="N302" t="s">
        <v>44759</v>
      </c>
      <c r="O302" t="s">
        <v>44760</v>
      </c>
      <c r="P302">
        <v>0</v>
      </c>
      <c r="Q302">
        <v>0</v>
      </c>
      <c r="R302" t="s">
        <v>44761</v>
      </c>
      <c r="S302" t="s">
        <v>44862</v>
      </c>
      <c r="T302" t="s">
        <v>46382</v>
      </c>
      <c r="U302" t="s">
        <v>47228</v>
      </c>
      <c r="V302" t="s">
        <v>59138</v>
      </c>
      <c r="W302" t="s">
        <v>40736</v>
      </c>
      <c r="X302" t="s">
        <v>44762</v>
      </c>
    </row>
    <row r="303" spans="1:24">
      <c r="A303">
        <f>HYPERLINK("https://www.philgeps.gov.ph/GEPSNONPILOT/Tender/SplashBidNoticeAbstractUI.aspx?menuIndex=3&amp;refID=7152261&amp;Result=3","7152261")</f>
        <v>0</v>
      </c>
      <c r="B303" t="s">
        <v>147</v>
      </c>
      <c r="C303" t="s">
        <v>4059</v>
      </c>
      <c r="D303" t="s">
        <v>17970</v>
      </c>
      <c r="E303" t="s">
        <v>18353</v>
      </c>
      <c r="F303" t="s">
        <v>30900</v>
      </c>
      <c r="G303" t="s">
        <v>30910</v>
      </c>
      <c r="H303" t="s">
        <v>30916</v>
      </c>
      <c r="I303" t="s">
        <v>4142</v>
      </c>
      <c r="J303" t="s">
        <v>31310</v>
      </c>
      <c r="K303" t="s">
        <v>40286</v>
      </c>
      <c r="M303" t="s">
        <v>40694</v>
      </c>
      <c r="N303" t="s">
        <v>44759</v>
      </c>
      <c r="O303" t="s">
        <v>44760</v>
      </c>
      <c r="P303">
        <v>0</v>
      </c>
      <c r="Q303">
        <v>0</v>
      </c>
      <c r="R303" t="s">
        <v>44761</v>
      </c>
      <c r="S303" t="s">
        <v>44862</v>
      </c>
      <c r="T303" t="s">
        <v>46421</v>
      </c>
      <c r="U303" t="s">
        <v>47229</v>
      </c>
      <c r="W303" t="s">
        <v>40694</v>
      </c>
      <c r="X303" t="s">
        <v>44762</v>
      </c>
    </row>
    <row r="304" spans="1:24">
      <c r="A304">
        <f>HYPERLINK("https://www.philgeps.gov.ph/GEPSNONPILOT/Tender/SplashBidNoticeAbstractUI.aspx?menuIndex=3&amp;refID=7152316&amp;Result=3","7152316")</f>
        <v>0</v>
      </c>
      <c r="B304" t="s">
        <v>188</v>
      </c>
      <c r="C304" t="s">
        <v>4060</v>
      </c>
      <c r="D304" t="s">
        <v>17992</v>
      </c>
      <c r="E304" t="s">
        <v>18354</v>
      </c>
      <c r="F304" t="s">
        <v>30900</v>
      </c>
      <c r="G304" t="s">
        <v>30907</v>
      </c>
      <c r="H304" t="s">
        <v>30916</v>
      </c>
      <c r="I304" t="s">
        <v>30933</v>
      </c>
      <c r="J304" t="s">
        <v>31311</v>
      </c>
      <c r="K304" t="s">
        <v>40291</v>
      </c>
      <c r="M304" t="s">
        <v>40735</v>
      </c>
      <c r="N304" t="s">
        <v>44759</v>
      </c>
      <c r="O304" t="s">
        <v>44760</v>
      </c>
      <c r="P304">
        <v>0</v>
      </c>
      <c r="Q304">
        <v>1</v>
      </c>
      <c r="R304" t="s">
        <v>44761</v>
      </c>
      <c r="S304" t="s">
        <v>44862</v>
      </c>
      <c r="T304" t="s">
        <v>46433</v>
      </c>
      <c r="U304" t="s">
        <v>47230</v>
      </c>
      <c r="V304" t="s">
        <v>59139</v>
      </c>
      <c r="W304" t="s">
        <v>40735</v>
      </c>
      <c r="X304" t="s">
        <v>44762</v>
      </c>
    </row>
    <row r="305" spans="1:24">
      <c r="A305">
        <f>HYPERLINK("https://www.philgeps.gov.ph/GEPSNONPILOT/Tender/SplashBidNoticeAbstractUI.aspx?menuIndex=3&amp;refID=7152258&amp;Result=3","7152258")</f>
        <v>0</v>
      </c>
      <c r="B305" t="s">
        <v>157</v>
      </c>
      <c r="C305" t="s">
        <v>4061</v>
      </c>
      <c r="D305" t="s">
        <v>17978</v>
      </c>
      <c r="E305" t="s">
        <v>18355</v>
      </c>
      <c r="F305" t="s">
        <v>30900</v>
      </c>
      <c r="G305" t="s">
        <v>30908</v>
      </c>
      <c r="H305" t="s">
        <v>30916</v>
      </c>
      <c r="I305" t="s">
        <v>4061</v>
      </c>
      <c r="J305" t="s">
        <v>31312</v>
      </c>
      <c r="K305" t="s">
        <v>40286</v>
      </c>
      <c r="M305" t="s">
        <v>40704</v>
      </c>
      <c r="N305" t="s">
        <v>44759</v>
      </c>
      <c r="O305" t="s">
        <v>44760</v>
      </c>
      <c r="P305">
        <v>0</v>
      </c>
      <c r="Q305">
        <v>0</v>
      </c>
      <c r="R305" t="s">
        <v>44761</v>
      </c>
      <c r="S305" t="s">
        <v>44862</v>
      </c>
      <c r="T305" t="s">
        <v>46399</v>
      </c>
      <c r="U305" t="s">
        <v>47231</v>
      </c>
      <c r="W305" t="s">
        <v>40704</v>
      </c>
      <c r="X305" t="s">
        <v>44762</v>
      </c>
    </row>
    <row r="306" spans="1:24">
      <c r="A306">
        <f>HYPERLINK("https://www.philgeps.gov.ph/GEPSNONPILOT/Tender/SplashBidNoticeAbstractUI.aspx?menuIndex=3&amp;refID=7152351&amp;Result=3","7152351")</f>
        <v>0</v>
      </c>
      <c r="B306" t="s">
        <v>190</v>
      </c>
      <c r="C306" t="s">
        <v>4062</v>
      </c>
      <c r="D306" t="s">
        <v>17989</v>
      </c>
      <c r="E306" t="s">
        <v>18356</v>
      </c>
      <c r="F306" t="s">
        <v>30900</v>
      </c>
      <c r="G306" t="s">
        <v>30907</v>
      </c>
      <c r="H306" t="s">
        <v>30916</v>
      </c>
      <c r="I306" t="s">
        <v>11785</v>
      </c>
      <c r="J306" t="s">
        <v>31313</v>
      </c>
      <c r="K306" t="s">
        <v>40286</v>
      </c>
      <c r="M306" t="s">
        <v>40737</v>
      </c>
      <c r="N306" t="s">
        <v>44759</v>
      </c>
      <c r="O306" t="s">
        <v>44760</v>
      </c>
      <c r="P306">
        <v>0</v>
      </c>
      <c r="Q306">
        <v>0</v>
      </c>
      <c r="R306" t="s">
        <v>44761</v>
      </c>
      <c r="S306" t="s">
        <v>44862</v>
      </c>
      <c r="T306" t="s">
        <v>46429</v>
      </c>
      <c r="U306" t="s">
        <v>47232</v>
      </c>
      <c r="W306" t="s">
        <v>40737</v>
      </c>
      <c r="X306" t="s">
        <v>44762</v>
      </c>
    </row>
    <row r="307" spans="1:24">
      <c r="A307">
        <f>HYPERLINK("https://www.philgeps.gov.ph/GEPSNONPILOT/Tender/SplashBidNoticeAbstractUI.aspx?menuIndex=3&amp;refID=7152321&amp;Result=3","7152321")</f>
        <v>0</v>
      </c>
      <c r="B307" t="s">
        <v>191</v>
      </c>
      <c r="C307" t="s">
        <v>4063</v>
      </c>
      <c r="D307" t="s">
        <v>17998</v>
      </c>
      <c r="E307" t="s">
        <v>18357</v>
      </c>
      <c r="F307" t="s">
        <v>30900</v>
      </c>
      <c r="G307" t="s">
        <v>30908</v>
      </c>
      <c r="H307" t="s">
        <v>30917</v>
      </c>
      <c r="I307" t="s">
        <v>8123</v>
      </c>
      <c r="J307" t="s">
        <v>31070</v>
      </c>
      <c r="K307" t="s">
        <v>40287</v>
      </c>
      <c r="M307" t="s">
        <v>40738</v>
      </c>
      <c r="N307" t="s">
        <v>44759</v>
      </c>
      <c r="O307" t="s">
        <v>44760</v>
      </c>
      <c r="P307">
        <v>0</v>
      </c>
      <c r="Q307">
        <v>0</v>
      </c>
      <c r="R307" t="s">
        <v>44761</v>
      </c>
      <c r="S307" t="s">
        <v>44862</v>
      </c>
      <c r="T307" t="s">
        <v>46434</v>
      </c>
      <c r="U307" t="s">
        <v>47233</v>
      </c>
      <c r="V307" t="s">
        <v>59140</v>
      </c>
      <c r="W307" t="s">
        <v>40738</v>
      </c>
      <c r="X307" t="s">
        <v>44762</v>
      </c>
    </row>
    <row r="308" spans="1:24">
      <c r="A308">
        <f>HYPERLINK("https://www.philgeps.gov.ph/GEPSNONPILOT/Tender/SplashBidNoticeAbstractUI.aspx?menuIndex=3&amp;refID=7152353&amp;Result=3","7152353")</f>
        <v>0</v>
      </c>
      <c r="B308" t="s">
        <v>192</v>
      </c>
      <c r="C308" t="s">
        <v>4064</v>
      </c>
      <c r="D308" t="s">
        <v>18002</v>
      </c>
      <c r="E308" t="s">
        <v>18358</v>
      </c>
      <c r="F308" t="s">
        <v>30900</v>
      </c>
      <c r="G308" t="s">
        <v>30908</v>
      </c>
      <c r="H308" t="s">
        <v>30916</v>
      </c>
      <c r="I308" t="s">
        <v>4108</v>
      </c>
      <c r="J308" t="s">
        <v>31120</v>
      </c>
      <c r="K308" t="s">
        <v>40283</v>
      </c>
      <c r="M308" t="s">
        <v>40739</v>
      </c>
      <c r="N308" t="s">
        <v>44759</v>
      </c>
      <c r="O308" t="s">
        <v>44760</v>
      </c>
      <c r="P308">
        <v>0</v>
      </c>
      <c r="Q308">
        <v>0</v>
      </c>
      <c r="R308" t="s">
        <v>44761</v>
      </c>
      <c r="S308" t="s">
        <v>44862</v>
      </c>
      <c r="T308" t="s">
        <v>46357</v>
      </c>
      <c r="U308" t="s">
        <v>47234</v>
      </c>
      <c r="V308" t="s">
        <v>59141</v>
      </c>
      <c r="W308" t="s">
        <v>40739</v>
      </c>
      <c r="X308" t="s">
        <v>44762</v>
      </c>
    </row>
    <row r="309" spans="1:24">
      <c r="A309">
        <f>HYPERLINK("https://www.philgeps.gov.ph/GEPSNONPILOT/Tender/SplashBidNoticeAbstractUI.aspx?menuIndex=3&amp;refID=7152352&amp;Result=3","7152352")</f>
        <v>0</v>
      </c>
      <c r="B309" t="s">
        <v>193</v>
      </c>
      <c r="C309" t="s">
        <v>4065</v>
      </c>
      <c r="D309" t="s">
        <v>18001</v>
      </c>
      <c r="E309" t="s">
        <v>18359</v>
      </c>
      <c r="F309" t="s">
        <v>30900</v>
      </c>
      <c r="G309" t="s">
        <v>30908</v>
      </c>
      <c r="H309" t="s">
        <v>30916</v>
      </c>
      <c r="I309" t="s">
        <v>4545</v>
      </c>
      <c r="J309" t="s">
        <v>31314</v>
      </c>
      <c r="K309" t="s">
        <v>40283</v>
      </c>
      <c r="M309" t="s">
        <v>40740</v>
      </c>
      <c r="N309" t="s">
        <v>44759</v>
      </c>
      <c r="O309" t="s">
        <v>44760</v>
      </c>
      <c r="P309">
        <v>0</v>
      </c>
      <c r="Q309">
        <v>0</v>
      </c>
      <c r="R309" t="s">
        <v>44761</v>
      </c>
      <c r="S309" t="s">
        <v>44862</v>
      </c>
      <c r="T309" t="s">
        <v>46390</v>
      </c>
      <c r="U309" t="s">
        <v>47235</v>
      </c>
      <c r="W309" t="s">
        <v>40740</v>
      </c>
      <c r="X309" t="s">
        <v>44762</v>
      </c>
    </row>
    <row r="310" spans="1:24">
      <c r="A310">
        <f>HYPERLINK("https://www.philgeps.gov.ph/GEPSNONPILOT/Tender/SplashBidNoticeAbstractUI.aspx?menuIndex=3&amp;refID=7152350&amp;Result=3","7152350")</f>
        <v>0</v>
      </c>
      <c r="B310" t="s">
        <v>131</v>
      </c>
      <c r="C310" t="s">
        <v>4066</v>
      </c>
      <c r="D310" t="s">
        <v>17978</v>
      </c>
      <c r="E310" t="s">
        <v>18360</v>
      </c>
      <c r="F310" t="s">
        <v>30900</v>
      </c>
      <c r="G310" t="s">
        <v>30909</v>
      </c>
      <c r="H310" t="s">
        <v>30916</v>
      </c>
      <c r="I310" t="s">
        <v>6396</v>
      </c>
      <c r="J310" t="s">
        <v>31315</v>
      </c>
      <c r="K310" t="s">
        <v>40283</v>
      </c>
      <c r="M310" t="s">
        <v>40678</v>
      </c>
      <c r="N310" t="s">
        <v>44759</v>
      </c>
      <c r="O310" t="s">
        <v>44760</v>
      </c>
      <c r="P310">
        <v>0</v>
      </c>
      <c r="Q310">
        <v>0</v>
      </c>
      <c r="R310" t="s">
        <v>44761</v>
      </c>
      <c r="S310" t="s">
        <v>44862</v>
      </c>
      <c r="T310" t="s">
        <v>46414</v>
      </c>
      <c r="U310" t="s">
        <v>47236</v>
      </c>
      <c r="W310" t="s">
        <v>40678</v>
      </c>
      <c r="X310" t="s">
        <v>44762</v>
      </c>
    </row>
    <row r="311" spans="1:24">
      <c r="A311">
        <f>HYPERLINK("https://www.philgeps.gov.ph/GEPSNONPILOT/Tender/SplashBidNoticeAbstractUI.aspx?menuIndex=3&amp;refID=7152328&amp;Result=3","7152328")</f>
        <v>0</v>
      </c>
      <c r="B311" t="s">
        <v>194</v>
      </c>
      <c r="C311" t="s">
        <v>4067</v>
      </c>
      <c r="D311" t="s">
        <v>17959</v>
      </c>
      <c r="E311" t="s">
        <v>18361</v>
      </c>
      <c r="F311" t="s">
        <v>30900</v>
      </c>
      <c r="G311" t="s">
        <v>30909</v>
      </c>
      <c r="H311" t="s">
        <v>30916</v>
      </c>
      <c r="I311" t="s">
        <v>4108</v>
      </c>
      <c r="J311" t="s">
        <v>31316</v>
      </c>
      <c r="K311" t="s">
        <v>40286</v>
      </c>
      <c r="M311" t="s">
        <v>40741</v>
      </c>
      <c r="N311" t="s">
        <v>44759</v>
      </c>
      <c r="O311" t="s">
        <v>44760</v>
      </c>
      <c r="P311">
        <v>0</v>
      </c>
      <c r="Q311">
        <v>0</v>
      </c>
      <c r="R311" t="s">
        <v>44761</v>
      </c>
      <c r="S311" t="s">
        <v>44862</v>
      </c>
      <c r="T311" t="s">
        <v>46421</v>
      </c>
      <c r="U311" t="s">
        <v>47237</v>
      </c>
      <c r="W311" t="s">
        <v>40741</v>
      </c>
      <c r="X311" t="s">
        <v>44762</v>
      </c>
    </row>
    <row r="312" spans="1:24">
      <c r="A312">
        <f>HYPERLINK("https://www.philgeps.gov.ph/GEPSNONPILOT/Tender/SplashBidNoticeAbstractUI.aspx?menuIndex=3&amp;refID=7152349&amp;Result=3","7152349")</f>
        <v>0</v>
      </c>
      <c r="B312" t="s">
        <v>195</v>
      </c>
      <c r="C312" t="s">
        <v>4068</v>
      </c>
      <c r="D312" t="s">
        <v>17989</v>
      </c>
      <c r="E312" t="s">
        <v>18362</v>
      </c>
      <c r="F312" t="s">
        <v>30900</v>
      </c>
      <c r="G312" t="s">
        <v>30908</v>
      </c>
      <c r="H312" t="s">
        <v>30916</v>
      </c>
      <c r="I312" t="s">
        <v>6396</v>
      </c>
      <c r="J312" t="s">
        <v>31317</v>
      </c>
      <c r="K312" t="s">
        <v>40286</v>
      </c>
      <c r="M312" t="s">
        <v>40742</v>
      </c>
      <c r="N312" t="s">
        <v>44759</v>
      </c>
      <c r="O312" t="s">
        <v>44760</v>
      </c>
      <c r="P312">
        <v>0</v>
      </c>
      <c r="Q312">
        <v>0</v>
      </c>
      <c r="R312" t="s">
        <v>44761</v>
      </c>
      <c r="S312" t="s">
        <v>44862</v>
      </c>
      <c r="T312" t="s">
        <v>46357</v>
      </c>
      <c r="U312" t="s">
        <v>47238</v>
      </c>
      <c r="W312" t="s">
        <v>40742</v>
      </c>
      <c r="X312" t="s">
        <v>44762</v>
      </c>
    </row>
    <row r="313" spans="1:24">
      <c r="A313">
        <f>HYPERLINK("https://www.philgeps.gov.ph/GEPSNONPILOT/Tender/SplashBidNoticeAbstractUI.aspx?menuIndex=3&amp;refID=7152347&amp;Result=3","7152347")</f>
        <v>0</v>
      </c>
      <c r="B313" t="s">
        <v>196</v>
      </c>
      <c r="C313" t="s">
        <v>4069</v>
      </c>
      <c r="D313" t="s">
        <v>18002</v>
      </c>
      <c r="E313" t="s">
        <v>18363</v>
      </c>
      <c r="F313" t="s">
        <v>30900</v>
      </c>
      <c r="G313" t="s">
        <v>30908</v>
      </c>
      <c r="H313" t="s">
        <v>30916</v>
      </c>
      <c r="I313" t="s">
        <v>4017</v>
      </c>
      <c r="J313" t="s">
        <v>31318</v>
      </c>
      <c r="K313" t="s">
        <v>40280</v>
      </c>
      <c r="L313" t="s">
        <v>196</v>
      </c>
      <c r="M313" t="s">
        <v>40743</v>
      </c>
      <c r="N313" t="s">
        <v>44759</v>
      </c>
      <c r="O313" t="s">
        <v>44760</v>
      </c>
      <c r="P313">
        <v>0</v>
      </c>
      <c r="Q313">
        <v>0</v>
      </c>
      <c r="R313" t="s">
        <v>44761</v>
      </c>
      <c r="S313" t="s">
        <v>44862</v>
      </c>
      <c r="T313" t="s">
        <v>46395</v>
      </c>
      <c r="U313" t="s">
        <v>47239</v>
      </c>
      <c r="W313" t="s">
        <v>40743</v>
      </c>
      <c r="X313" t="s">
        <v>44762</v>
      </c>
    </row>
    <row r="314" spans="1:24">
      <c r="A314">
        <f>HYPERLINK("https://www.philgeps.gov.ph/GEPSNONPILOT/Tender/SplashBidNoticeAbstractUI.aspx?menuIndex=3&amp;refID=7152331&amp;Result=3","7152331")</f>
        <v>0</v>
      </c>
      <c r="B314" t="s">
        <v>131</v>
      </c>
      <c r="C314" t="s">
        <v>4070</v>
      </c>
      <c r="D314" t="s">
        <v>17978</v>
      </c>
      <c r="E314" t="s">
        <v>18364</v>
      </c>
      <c r="F314" t="s">
        <v>30900</v>
      </c>
      <c r="G314" t="s">
        <v>30909</v>
      </c>
      <c r="H314" t="s">
        <v>30916</v>
      </c>
      <c r="I314" t="s">
        <v>6396</v>
      </c>
      <c r="J314" t="s">
        <v>31319</v>
      </c>
      <c r="K314" t="s">
        <v>40283</v>
      </c>
      <c r="M314" t="s">
        <v>40678</v>
      </c>
      <c r="N314" t="s">
        <v>44759</v>
      </c>
      <c r="O314" t="s">
        <v>44760</v>
      </c>
      <c r="P314">
        <v>0</v>
      </c>
      <c r="Q314">
        <v>0</v>
      </c>
      <c r="R314" t="s">
        <v>44761</v>
      </c>
      <c r="S314" t="s">
        <v>44862</v>
      </c>
      <c r="T314" t="s">
        <v>46414</v>
      </c>
      <c r="U314" t="s">
        <v>47240</v>
      </c>
      <c r="W314" t="s">
        <v>40678</v>
      </c>
      <c r="X314" t="s">
        <v>44762</v>
      </c>
    </row>
    <row r="315" spans="1:24">
      <c r="A315">
        <f>HYPERLINK("https://www.philgeps.gov.ph/GEPSNONPILOT/Tender/SplashBidNoticeAbstractUI.aspx?menuIndex=3&amp;refID=7152345&amp;Result=3","7152345")</f>
        <v>0</v>
      </c>
      <c r="B315" t="s">
        <v>197</v>
      </c>
      <c r="C315" t="s">
        <v>4071</v>
      </c>
      <c r="D315" t="s">
        <v>18013</v>
      </c>
      <c r="E315" t="s">
        <v>18365</v>
      </c>
      <c r="F315" t="s">
        <v>30900</v>
      </c>
      <c r="G315" t="s">
        <v>30908</v>
      </c>
      <c r="H315" t="s">
        <v>30915</v>
      </c>
      <c r="I315" t="s">
        <v>8123</v>
      </c>
      <c r="J315" t="s">
        <v>31320</v>
      </c>
      <c r="K315" t="s">
        <v>40293</v>
      </c>
      <c r="M315" t="s">
        <v>40744</v>
      </c>
      <c r="N315" t="s">
        <v>44759</v>
      </c>
      <c r="O315" t="s">
        <v>44760</v>
      </c>
      <c r="P315">
        <v>0</v>
      </c>
      <c r="Q315">
        <v>0</v>
      </c>
      <c r="R315" t="s">
        <v>44761</v>
      </c>
      <c r="S315" t="s">
        <v>44862</v>
      </c>
      <c r="T315" t="s">
        <v>46409</v>
      </c>
      <c r="U315" t="s">
        <v>47241</v>
      </c>
      <c r="W315" t="s">
        <v>40744</v>
      </c>
      <c r="X315" t="s">
        <v>44762</v>
      </c>
    </row>
    <row r="316" spans="1:24">
      <c r="A316">
        <f>HYPERLINK("https://www.philgeps.gov.ph/GEPSNONPILOT/Tender/SplashBidNoticeAbstractUI.aspx?menuIndex=3&amp;refID=7152312&amp;Result=3","7152312")</f>
        <v>0</v>
      </c>
      <c r="B316" t="s">
        <v>198</v>
      </c>
      <c r="C316" t="s">
        <v>4072</v>
      </c>
      <c r="D316" t="s">
        <v>17962</v>
      </c>
      <c r="E316" t="s">
        <v>18366</v>
      </c>
      <c r="F316" t="s">
        <v>30900</v>
      </c>
      <c r="G316" t="s">
        <v>30906</v>
      </c>
      <c r="H316" t="s">
        <v>30916</v>
      </c>
      <c r="I316" t="s">
        <v>4061</v>
      </c>
      <c r="J316" t="s">
        <v>31243</v>
      </c>
      <c r="K316" t="s">
        <v>40285</v>
      </c>
      <c r="M316" t="s">
        <v>40745</v>
      </c>
      <c r="N316" t="s">
        <v>44759</v>
      </c>
      <c r="O316" t="s">
        <v>44760</v>
      </c>
      <c r="P316">
        <v>0</v>
      </c>
      <c r="Q316">
        <v>0</v>
      </c>
      <c r="R316" t="s">
        <v>44761</v>
      </c>
      <c r="S316" t="s">
        <v>44862</v>
      </c>
      <c r="T316" t="s">
        <v>46390</v>
      </c>
      <c r="U316" t="s">
        <v>47242</v>
      </c>
      <c r="W316" t="s">
        <v>40745</v>
      </c>
      <c r="X316" t="s">
        <v>44762</v>
      </c>
    </row>
    <row r="317" spans="1:24">
      <c r="A317">
        <f>HYPERLINK("https://www.philgeps.gov.ph/GEPSNONPILOT/Tender/SplashBidNoticeAbstractUI.aspx?menuIndex=3&amp;refID=7152262&amp;Result=3","7152262")</f>
        <v>0</v>
      </c>
      <c r="B317" t="s">
        <v>199</v>
      </c>
      <c r="C317" t="s">
        <v>4073</v>
      </c>
      <c r="D317" t="s">
        <v>17963</v>
      </c>
      <c r="E317" t="s">
        <v>18094</v>
      </c>
      <c r="F317" t="s">
        <v>30900</v>
      </c>
      <c r="G317" t="s">
        <v>30909</v>
      </c>
      <c r="H317" t="s">
        <v>30916</v>
      </c>
      <c r="I317" t="s">
        <v>8365</v>
      </c>
      <c r="J317" t="s">
        <v>31321</v>
      </c>
      <c r="K317" t="s">
        <v>40287</v>
      </c>
      <c r="M317" t="s">
        <v>40746</v>
      </c>
      <c r="N317" t="s">
        <v>44759</v>
      </c>
      <c r="O317" t="s">
        <v>44760</v>
      </c>
      <c r="P317">
        <v>0</v>
      </c>
      <c r="Q317">
        <v>0</v>
      </c>
      <c r="R317" t="s">
        <v>44761</v>
      </c>
      <c r="S317" t="s">
        <v>44862</v>
      </c>
      <c r="T317" t="s">
        <v>46400</v>
      </c>
      <c r="U317" t="s">
        <v>47243</v>
      </c>
      <c r="W317" t="s">
        <v>40746</v>
      </c>
      <c r="X317" t="s">
        <v>44762</v>
      </c>
    </row>
    <row r="318" spans="1:24">
      <c r="A318">
        <f>HYPERLINK("https://www.philgeps.gov.ph/GEPSNONPILOT/Tender/SplashBidNoticeAbstractUI.aspx?menuIndex=3&amp;refID=7152260&amp;Result=3","7152260")</f>
        <v>0</v>
      </c>
      <c r="B318" t="s">
        <v>200</v>
      </c>
      <c r="C318" t="s">
        <v>4074</v>
      </c>
      <c r="D318" t="s">
        <v>18014</v>
      </c>
      <c r="E318" t="s">
        <v>18367</v>
      </c>
      <c r="F318" t="s">
        <v>30900</v>
      </c>
      <c r="G318" t="s">
        <v>30907</v>
      </c>
      <c r="H318" t="s">
        <v>30916</v>
      </c>
      <c r="I318" t="s">
        <v>8123</v>
      </c>
      <c r="J318" t="s">
        <v>31096</v>
      </c>
      <c r="K318" t="s">
        <v>40283</v>
      </c>
      <c r="L318" t="s">
        <v>200</v>
      </c>
      <c r="M318" t="s">
        <v>40747</v>
      </c>
      <c r="N318" t="s">
        <v>44759</v>
      </c>
      <c r="O318" t="s">
        <v>44760</v>
      </c>
      <c r="P318">
        <v>0</v>
      </c>
      <c r="Q318">
        <v>0</v>
      </c>
      <c r="R318" t="s">
        <v>44761</v>
      </c>
      <c r="S318" t="s">
        <v>44862</v>
      </c>
      <c r="T318" t="s">
        <v>46366</v>
      </c>
      <c r="U318" t="s">
        <v>47244</v>
      </c>
      <c r="W318" t="s">
        <v>40747</v>
      </c>
      <c r="X318" t="s">
        <v>44762</v>
      </c>
    </row>
    <row r="319" spans="1:24">
      <c r="A319">
        <f>HYPERLINK("https://www.philgeps.gov.ph/GEPSNONPILOT/Tender/SplashBidNoticeAbstractUI.aspx?menuIndex=3&amp;refID=7152346&amp;Result=3","7152346")</f>
        <v>0</v>
      </c>
      <c r="B319" t="s">
        <v>194</v>
      </c>
      <c r="C319" t="s">
        <v>4075</v>
      </c>
      <c r="D319" t="s">
        <v>17959</v>
      </c>
      <c r="E319" t="s">
        <v>18368</v>
      </c>
      <c r="F319" t="s">
        <v>30900</v>
      </c>
      <c r="G319" t="s">
        <v>30908</v>
      </c>
      <c r="H319" t="s">
        <v>30916</v>
      </c>
      <c r="I319" t="s">
        <v>30950</v>
      </c>
      <c r="J319" t="s">
        <v>31322</v>
      </c>
      <c r="K319" t="s">
        <v>40293</v>
      </c>
      <c r="M319" t="s">
        <v>40741</v>
      </c>
      <c r="N319" t="s">
        <v>44759</v>
      </c>
      <c r="O319" t="s">
        <v>44760</v>
      </c>
      <c r="P319">
        <v>0</v>
      </c>
      <c r="Q319">
        <v>1</v>
      </c>
      <c r="R319" t="s">
        <v>44761</v>
      </c>
      <c r="S319" t="s">
        <v>44862</v>
      </c>
      <c r="T319" t="s">
        <v>46421</v>
      </c>
      <c r="U319" t="s">
        <v>47237</v>
      </c>
      <c r="W319" t="s">
        <v>40741</v>
      </c>
      <c r="X319" t="s">
        <v>44762</v>
      </c>
    </row>
    <row r="320" spans="1:24">
      <c r="A320">
        <f>HYPERLINK("https://www.philgeps.gov.ph/GEPSNONPILOT/Tender/SplashBidNoticeAbstractUI.aspx?menuIndex=3&amp;refID=7152341&amp;Result=3","7152341")</f>
        <v>0</v>
      </c>
      <c r="B320" t="s">
        <v>121</v>
      </c>
      <c r="C320" t="s">
        <v>4076</v>
      </c>
      <c r="E320" t="s">
        <v>18369</v>
      </c>
      <c r="F320" t="s">
        <v>30900</v>
      </c>
      <c r="G320" t="s">
        <v>30907</v>
      </c>
      <c r="H320" t="s">
        <v>30916</v>
      </c>
      <c r="I320" t="s">
        <v>30941</v>
      </c>
      <c r="J320" t="s">
        <v>31323</v>
      </c>
      <c r="K320" t="s">
        <v>40280</v>
      </c>
      <c r="M320" t="s">
        <v>40668</v>
      </c>
      <c r="N320" t="s">
        <v>44759</v>
      </c>
      <c r="O320" t="s">
        <v>44760</v>
      </c>
      <c r="P320">
        <v>0</v>
      </c>
      <c r="Q320">
        <v>0</v>
      </c>
      <c r="R320" t="s">
        <v>44761</v>
      </c>
      <c r="S320" t="s">
        <v>44862</v>
      </c>
      <c r="T320" t="s">
        <v>46435</v>
      </c>
      <c r="U320" t="s">
        <v>47245</v>
      </c>
      <c r="W320" t="s">
        <v>40668</v>
      </c>
      <c r="X320" t="s">
        <v>44762</v>
      </c>
    </row>
    <row r="321" spans="1:24">
      <c r="A321">
        <f>HYPERLINK("https://www.philgeps.gov.ph/GEPSNONPILOT/Tender/SplashBidNoticeAbstractUI.aspx?menuIndex=3&amp;refID=7152335&amp;Result=3","7152335")</f>
        <v>0</v>
      </c>
      <c r="B321" t="s">
        <v>201</v>
      </c>
      <c r="C321" t="s">
        <v>4077</v>
      </c>
      <c r="D321" t="s">
        <v>17964</v>
      </c>
      <c r="E321" t="s">
        <v>18370</v>
      </c>
      <c r="F321" t="s">
        <v>30900</v>
      </c>
      <c r="G321" t="s">
        <v>30907</v>
      </c>
      <c r="H321" t="s">
        <v>30915</v>
      </c>
      <c r="I321" t="s">
        <v>30919</v>
      </c>
      <c r="J321" t="s">
        <v>31049</v>
      </c>
      <c r="K321" t="s">
        <v>40291</v>
      </c>
      <c r="M321" t="s">
        <v>40748</v>
      </c>
      <c r="N321" t="s">
        <v>44759</v>
      </c>
      <c r="O321" t="s">
        <v>44760</v>
      </c>
      <c r="P321">
        <v>0</v>
      </c>
      <c r="Q321">
        <v>0</v>
      </c>
      <c r="R321" t="s">
        <v>44761</v>
      </c>
      <c r="S321" t="s">
        <v>44862</v>
      </c>
      <c r="T321" t="s">
        <v>46436</v>
      </c>
      <c r="U321" t="s">
        <v>47246</v>
      </c>
      <c r="V321" t="s">
        <v>59142</v>
      </c>
      <c r="W321" t="s">
        <v>40748</v>
      </c>
      <c r="X321" t="s">
        <v>44762</v>
      </c>
    </row>
    <row r="322" spans="1:24">
      <c r="A322">
        <f>HYPERLINK("https://www.philgeps.gov.ph/GEPSNONPILOT/Tender/SplashBidNoticeAbstractUI.aspx?menuIndex=3&amp;refID=7152333&amp;Result=3","7152333")</f>
        <v>0</v>
      </c>
      <c r="B322" t="s">
        <v>202</v>
      </c>
      <c r="C322" t="s">
        <v>4078</v>
      </c>
      <c r="D322" t="s">
        <v>17996</v>
      </c>
      <c r="E322" t="s">
        <v>18371</v>
      </c>
      <c r="F322" t="s">
        <v>30900</v>
      </c>
      <c r="G322" t="s">
        <v>30908</v>
      </c>
      <c r="H322" t="s">
        <v>30915</v>
      </c>
      <c r="I322" t="s">
        <v>30919</v>
      </c>
      <c r="J322" t="s">
        <v>31324</v>
      </c>
      <c r="K322" t="s">
        <v>40286</v>
      </c>
      <c r="M322" t="s">
        <v>40749</v>
      </c>
      <c r="N322" t="s">
        <v>44759</v>
      </c>
      <c r="O322" t="s">
        <v>44760</v>
      </c>
      <c r="P322">
        <v>0</v>
      </c>
      <c r="Q322">
        <v>0</v>
      </c>
      <c r="R322" t="s">
        <v>44761</v>
      </c>
      <c r="S322" t="s">
        <v>44862</v>
      </c>
      <c r="T322" t="s">
        <v>46373</v>
      </c>
      <c r="U322" t="s">
        <v>47247</v>
      </c>
      <c r="W322" t="s">
        <v>40749</v>
      </c>
      <c r="X322" t="s">
        <v>44762</v>
      </c>
    </row>
    <row r="323" spans="1:24">
      <c r="A323">
        <f>HYPERLINK("https://www.philgeps.gov.ph/GEPSNONPILOT/Tender/SplashBidNoticeAbstractUI.aspx?menuIndex=3&amp;refID=7152332&amp;Result=3","7152332")</f>
        <v>0</v>
      </c>
      <c r="B323" t="s">
        <v>181</v>
      </c>
      <c r="C323" t="s">
        <v>4079</v>
      </c>
      <c r="D323" t="s">
        <v>17996</v>
      </c>
      <c r="E323" t="s">
        <v>18372</v>
      </c>
      <c r="F323" t="s">
        <v>30900</v>
      </c>
      <c r="G323" t="s">
        <v>30907</v>
      </c>
      <c r="H323" t="s">
        <v>30915</v>
      </c>
      <c r="I323" t="s">
        <v>30919</v>
      </c>
      <c r="J323" t="s">
        <v>31297</v>
      </c>
      <c r="K323" t="s">
        <v>40289</v>
      </c>
      <c r="M323" t="s">
        <v>40728</v>
      </c>
      <c r="N323" t="s">
        <v>44759</v>
      </c>
      <c r="O323" t="s">
        <v>44760</v>
      </c>
      <c r="P323">
        <v>0</v>
      </c>
      <c r="Q323">
        <v>0</v>
      </c>
      <c r="R323" t="s">
        <v>44761</v>
      </c>
      <c r="S323" t="s">
        <v>44862</v>
      </c>
      <c r="T323" t="s">
        <v>46431</v>
      </c>
      <c r="U323" t="s">
        <v>47248</v>
      </c>
      <c r="W323" t="s">
        <v>40728</v>
      </c>
      <c r="X323" t="s">
        <v>44762</v>
      </c>
    </row>
    <row r="324" spans="1:24">
      <c r="A324">
        <f>HYPERLINK("https://www.philgeps.gov.ph/GEPSNONPILOT/Tender/SplashBidNoticeAbstractUI.aspx?menuIndex=3&amp;refID=7152233&amp;Result=3","7152233")</f>
        <v>0</v>
      </c>
      <c r="B324" t="s">
        <v>203</v>
      </c>
      <c r="C324" t="s">
        <v>4080</v>
      </c>
      <c r="D324" t="s">
        <v>17971</v>
      </c>
      <c r="E324" t="s">
        <v>18239</v>
      </c>
      <c r="F324" t="s">
        <v>30900</v>
      </c>
      <c r="G324" t="s">
        <v>30907</v>
      </c>
      <c r="H324" t="s">
        <v>30915</v>
      </c>
      <c r="I324" t="s">
        <v>30919</v>
      </c>
      <c r="J324" t="s">
        <v>31101</v>
      </c>
      <c r="K324" t="s">
        <v>40286</v>
      </c>
      <c r="L324" t="s">
        <v>203</v>
      </c>
      <c r="M324" t="s">
        <v>40750</v>
      </c>
      <c r="N324" t="s">
        <v>44759</v>
      </c>
      <c r="O324" t="s">
        <v>44760</v>
      </c>
      <c r="P324">
        <v>0</v>
      </c>
      <c r="Q324">
        <v>0</v>
      </c>
      <c r="R324" t="s">
        <v>44761</v>
      </c>
      <c r="S324" t="s">
        <v>44862</v>
      </c>
      <c r="T324" t="s">
        <v>46437</v>
      </c>
      <c r="U324" t="s">
        <v>47249</v>
      </c>
      <c r="V324" t="s">
        <v>59143</v>
      </c>
      <c r="W324" t="s">
        <v>40750</v>
      </c>
      <c r="X324" t="s">
        <v>44762</v>
      </c>
    </row>
    <row r="325" spans="1:24">
      <c r="A325">
        <f>HYPERLINK("https://www.philgeps.gov.ph/GEPSNONPILOT/Tender/SplashBidNoticeAbstractUI.aspx?menuIndex=3&amp;refID=7152348&amp;Result=3","7152348")</f>
        <v>0</v>
      </c>
      <c r="B325" t="s">
        <v>204</v>
      </c>
      <c r="C325" t="s">
        <v>4081</v>
      </c>
      <c r="D325" t="s">
        <v>17971</v>
      </c>
      <c r="E325" t="s">
        <v>18373</v>
      </c>
      <c r="F325" t="s">
        <v>30900</v>
      </c>
      <c r="G325" t="s">
        <v>30908</v>
      </c>
      <c r="H325" t="s">
        <v>30916</v>
      </c>
      <c r="I325" t="s">
        <v>17295</v>
      </c>
      <c r="J325" t="s">
        <v>31325</v>
      </c>
      <c r="K325" t="s">
        <v>40287</v>
      </c>
      <c r="M325" t="s">
        <v>40751</v>
      </c>
      <c r="N325" t="s">
        <v>44759</v>
      </c>
      <c r="O325" t="s">
        <v>44760</v>
      </c>
      <c r="P325">
        <v>0</v>
      </c>
      <c r="Q325">
        <v>0</v>
      </c>
      <c r="R325" t="s">
        <v>44761</v>
      </c>
      <c r="S325" t="s">
        <v>44862</v>
      </c>
      <c r="T325" t="s">
        <v>46390</v>
      </c>
      <c r="U325" t="s">
        <v>47250</v>
      </c>
      <c r="W325" t="s">
        <v>40751</v>
      </c>
      <c r="X325" t="s">
        <v>44762</v>
      </c>
    </row>
    <row r="326" spans="1:24">
      <c r="A326">
        <f>HYPERLINK("https://www.philgeps.gov.ph/GEPSNONPILOT/Tender/SplashBidNoticeAbstractUI.aspx?menuIndex=3&amp;refID=7152232&amp;Result=3","7152232")</f>
        <v>0</v>
      </c>
      <c r="B326" t="s">
        <v>156</v>
      </c>
      <c r="C326" t="s">
        <v>4082</v>
      </c>
      <c r="D326" t="s">
        <v>17978</v>
      </c>
      <c r="E326" t="s">
        <v>18308</v>
      </c>
      <c r="F326" t="s">
        <v>30900</v>
      </c>
      <c r="G326" t="s">
        <v>30908</v>
      </c>
      <c r="H326" t="s">
        <v>30916</v>
      </c>
      <c r="I326" t="s">
        <v>30927</v>
      </c>
      <c r="J326" t="s">
        <v>31326</v>
      </c>
      <c r="K326" t="s">
        <v>40283</v>
      </c>
      <c r="M326" t="s">
        <v>40703</v>
      </c>
      <c r="N326" t="s">
        <v>44759</v>
      </c>
      <c r="O326" t="s">
        <v>44760</v>
      </c>
      <c r="P326">
        <v>0</v>
      </c>
      <c r="Q326">
        <v>0</v>
      </c>
      <c r="R326" t="s">
        <v>44761</v>
      </c>
      <c r="S326" t="s">
        <v>44862</v>
      </c>
      <c r="T326" t="s">
        <v>46357</v>
      </c>
      <c r="U326" t="s">
        <v>47251</v>
      </c>
      <c r="W326" t="s">
        <v>40703</v>
      </c>
      <c r="X326" t="s">
        <v>44762</v>
      </c>
    </row>
    <row r="327" spans="1:24">
      <c r="A327">
        <f>HYPERLINK("https://www.philgeps.gov.ph/GEPSNONPILOT/Tender/SplashBidNoticeAbstractUI.aspx?menuIndex=3&amp;refID=7152336&amp;Result=3","7152336")</f>
        <v>0</v>
      </c>
      <c r="B327" t="s">
        <v>205</v>
      </c>
      <c r="C327" t="s">
        <v>4083</v>
      </c>
      <c r="D327" t="s">
        <v>18015</v>
      </c>
      <c r="E327" t="s">
        <v>18374</v>
      </c>
      <c r="F327" t="s">
        <v>30900</v>
      </c>
      <c r="G327" t="s">
        <v>30908</v>
      </c>
      <c r="H327" t="s">
        <v>30916</v>
      </c>
      <c r="I327" t="s">
        <v>4108</v>
      </c>
      <c r="J327" t="s">
        <v>31327</v>
      </c>
      <c r="K327" t="s">
        <v>40287</v>
      </c>
      <c r="M327" t="s">
        <v>40752</v>
      </c>
      <c r="N327" t="s">
        <v>44759</v>
      </c>
      <c r="O327" t="s">
        <v>44760</v>
      </c>
      <c r="P327">
        <v>0</v>
      </c>
      <c r="Q327">
        <v>0</v>
      </c>
      <c r="R327" t="s">
        <v>44761</v>
      </c>
      <c r="S327" t="s">
        <v>44862</v>
      </c>
      <c r="T327" t="s">
        <v>46421</v>
      </c>
      <c r="U327" t="s">
        <v>47252</v>
      </c>
      <c r="W327" t="s">
        <v>40752</v>
      </c>
      <c r="X327" t="s">
        <v>44762</v>
      </c>
    </row>
    <row r="328" spans="1:24">
      <c r="A328">
        <f>HYPERLINK("https://www.philgeps.gov.ph/GEPSNONPILOT/Tender/SplashBidNoticeAbstractUI.aspx?menuIndex=3&amp;refID=7152231&amp;Result=3","7152231")</f>
        <v>0</v>
      </c>
      <c r="B328" t="s">
        <v>206</v>
      </c>
      <c r="C328" t="s">
        <v>4084</v>
      </c>
      <c r="D328" t="s">
        <v>17993</v>
      </c>
      <c r="E328" t="s">
        <v>18375</v>
      </c>
      <c r="F328" t="s">
        <v>30900</v>
      </c>
      <c r="G328" t="s">
        <v>30907</v>
      </c>
      <c r="H328" t="s">
        <v>30915</v>
      </c>
      <c r="I328" t="s">
        <v>30919</v>
      </c>
      <c r="J328" t="s">
        <v>31328</v>
      </c>
      <c r="K328" t="s">
        <v>40286</v>
      </c>
      <c r="M328" t="s">
        <v>40753</v>
      </c>
      <c r="N328" t="s">
        <v>44759</v>
      </c>
      <c r="O328" t="s">
        <v>44760</v>
      </c>
      <c r="P328">
        <v>0</v>
      </c>
      <c r="Q328">
        <v>0</v>
      </c>
      <c r="R328" t="s">
        <v>44761</v>
      </c>
      <c r="S328" t="s">
        <v>44862</v>
      </c>
      <c r="T328" t="s">
        <v>46420</v>
      </c>
      <c r="U328" t="s">
        <v>47253</v>
      </c>
      <c r="W328" t="s">
        <v>40753</v>
      </c>
      <c r="X328" t="s">
        <v>44762</v>
      </c>
    </row>
    <row r="329" spans="1:24">
      <c r="A329">
        <f>HYPERLINK("https://www.philgeps.gov.ph/GEPSNONPILOT/Tender/SplashBidNoticeAbstractUI.aspx?menuIndex=3&amp;refID=7152375&amp;Result=3","7152375")</f>
        <v>0</v>
      </c>
      <c r="B329" t="s">
        <v>207</v>
      </c>
      <c r="C329" t="s">
        <v>4085</v>
      </c>
      <c r="D329" t="s">
        <v>17985</v>
      </c>
      <c r="E329" t="s">
        <v>18376</v>
      </c>
      <c r="F329" t="s">
        <v>30900</v>
      </c>
      <c r="G329" t="s">
        <v>30908</v>
      </c>
      <c r="H329" t="s">
        <v>30916</v>
      </c>
      <c r="I329" t="s">
        <v>8123</v>
      </c>
      <c r="J329" t="s">
        <v>31329</v>
      </c>
      <c r="K329" t="s">
        <v>40287</v>
      </c>
      <c r="M329" t="s">
        <v>40754</v>
      </c>
      <c r="N329" t="s">
        <v>44759</v>
      </c>
      <c r="O329" t="s">
        <v>44760</v>
      </c>
      <c r="P329">
        <v>0</v>
      </c>
      <c r="Q329">
        <v>0</v>
      </c>
      <c r="R329" t="s">
        <v>44761</v>
      </c>
      <c r="S329" t="s">
        <v>44862</v>
      </c>
      <c r="T329" t="s">
        <v>46438</v>
      </c>
      <c r="U329" t="s">
        <v>47254</v>
      </c>
      <c r="V329" t="s">
        <v>59144</v>
      </c>
      <c r="W329" t="s">
        <v>40754</v>
      </c>
      <c r="X329" t="s">
        <v>44762</v>
      </c>
    </row>
    <row r="330" spans="1:24">
      <c r="A330">
        <f>HYPERLINK("https://www.philgeps.gov.ph/GEPSNONPILOT/Tender/SplashBidNoticeAbstractUI.aspx?menuIndex=3&amp;refID=7152344&amp;Result=3","7152344")</f>
        <v>0</v>
      </c>
      <c r="B330" t="s">
        <v>208</v>
      </c>
      <c r="C330" t="s">
        <v>4086</v>
      </c>
      <c r="D330" t="s">
        <v>17964</v>
      </c>
      <c r="E330" t="s">
        <v>18377</v>
      </c>
      <c r="F330" t="s">
        <v>30900</v>
      </c>
      <c r="G330" t="s">
        <v>30907</v>
      </c>
      <c r="H330" t="s">
        <v>30916</v>
      </c>
      <c r="I330" t="s">
        <v>4142</v>
      </c>
      <c r="J330" t="s">
        <v>31330</v>
      </c>
      <c r="K330" t="s">
        <v>40286</v>
      </c>
      <c r="M330" t="s">
        <v>40755</v>
      </c>
      <c r="N330" t="s">
        <v>44759</v>
      </c>
      <c r="O330" t="s">
        <v>44760</v>
      </c>
      <c r="P330">
        <v>0</v>
      </c>
      <c r="Q330">
        <v>0</v>
      </c>
      <c r="R330" t="s">
        <v>44761</v>
      </c>
      <c r="S330" t="s">
        <v>44862</v>
      </c>
      <c r="T330" t="s">
        <v>46380</v>
      </c>
      <c r="U330" t="s">
        <v>47255</v>
      </c>
      <c r="W330" t="s">
        <v>40755</v>
      </c>
      <c r="X330" t="s">
        <v>44762</v>
      </c>
    </row>
    <row r="331" spans="1:24">
      <c r="A331">
        <f>HYPERLINK("https://www.philgeps.gov.ph/GEPSNONPILOT/Tender/SplashBidNoticeAbstractUI.aspx?menuIndex=3&amp;refID=7152343&amp;Result=3","7152343")</f>
        <v>0</v>
      </c>
      <c r="B331" t="s">
        <v>181</v>
      </c>
      <c r="C331" t="s">
        <v>4087</v>
      </c>
      <c r="D331" t="s">
        <v>17996</v>
      </c>
      <c r="E331" t="s">
        <v>18378</v>
      </c>
      <c r="F331" t="s">
        <v>30900</v>
      </c>
      <c r="G331" t="s">
        <v>30907</v>
      </c>
      <c r="H331" t="s">
        <v>30915</v>
      </c>
      <c r="I331" t="s">
        <v>30919</v>
      </c>
      <c r="J331" t="s">
        <v>31297</v>
      </c>
      <c r="K331" t="s">
        <v>40289</v>
      </c>
      <c r="M331" t="s">
        <v>40728</v>
      </c>
      <c r="N331" t="s">
        <v>44759</v>
      </c>
      <c r="O331" t="s">
        <v>44760</v>
      </c>
      <c r="P331">
        <v>0</v>
      </c>
      <c r="Q331">
        <v>0</v>
      </c>
      <c r="R331" t="s">
        <v>44761</v>
      </c>
      <c r="S331" t="s">
        <v>44862</v>
      </c>
      <c r="T331" t="s">
        <v>46431</v>
      </c>
      <c r="U331" t="s">
        <v>47256</v>
      </c>
      <c r="W331" t="s">
        <v>40728</v>
      </c>
      <c r="X331" t="s">
        <v>44762</v>
      </c>
    </row>
    <row r="332" spans="1:24">
      <c r="A332">
        <f>HYPERLINK("https://www.philgeps.gov.ph/GEPSNONPILOT/Tender/SplashBidNoticeAbstractUI.aspx?menuIndex=3&amp;refID=7152373&amp;Result=3","7152373")</f>
        <v>0</v>
      </c>
      <c r="B332" t="s">
        <v>209</v>
      </c>
      <c r="C332" t="s">
        <v>4088</v>
      </c>
      <c r="D332" t="s">
        <v>17985</v>
      </c>
      <c r="E332" t="s">
        <v>18379</v>
      </c>
      <c r="F332" t="s">
        <v>30900</v>
      </c>
      <c r="G332" t="s">
        <v>30907</v>
      </c>
      <c r="H332" t="s">
        <v>30916</v>
      </c>
      <c r="I332" t="s">
        <v>8123</v>
      </c>
      <c r="J332" t="s">
        <v>31096</v>
      </c>
      <c r="K332" t="s">
        <v>40283</v>
      </c>
      <c r="M332" t="s">
        <v>40756</v>
      </c>
      <c r="N332" t="s">
        <v>44759</v>
      </c>
      <c r="O332" t="s">
        <v>44760</v>
      </c>
      <c r="P332">
        <v>0</v>
      </c>
      <c r="Q332">
        <v>0</v>
      </c>
      <c r="R332" t="s">
        <v>44761</v>
      </c>
      <c r="S332" t="s">
        <v>44862</v>
      </c>
      <c r="T332" t="s">
        <v>46394</v>
      </c>
      <c r="U332" t="s">
        <v>47257</v>
      </c>
      <c r="W332" t="s">
        <v>40756</v>
      </c>
      <c r="X332" t="s">
        <v>44762</v>
      </c>
    </row>
    <row r="333" spans="1:24">
      <c r="A333">
        <f>HYPERLINK("https://www.philgeps.gov.ph/GEPSNONPILOT/Tender/SplashBidNoticeAbstractUI.aspx?menuIndex=3&amp;refID=7152330&amp;Result=3","7152330")</f>
        <v>0</v>
      </c>
      <c r="B333" t="s">
        <v>198</v>
      </c>
      <c r="C333" t="s">
        <v>4089</v>
      </c>
      <c r="D333" t="s">
        <v>17962</v>
      </c>
      <c r="E333" t="s">
        <v>18380</v>
      </c>
      <c r="F333" t="s">
        <v>30900</v>
      </c>
      <c r="G333" t="s">
        <v>30908</v>
      </c>
      <c r="H333" t="s">
        <v>30916</v>
      </c>
      <c r="I333" t="s">
        <v>8123</v>
      </c>
      <c r="J333" t="s">
        <v>31331</v>
      </c>
      <c r="K333" t="s">
        <v>40285</v>
      </c>
      <c r="M333" t="s">
        <v>40745</v>
      </c>
      <c r="N333" t="s">
        <v>44759</v>
      </c>
      <c r="O333" t="s">
        <v>44760</v>
      </c>
      <c r="P333">
        <v>0</v>
      </c>
      <c r="Q333">
        <v>0</v>
      </c>
      <c r="R333" t="s">
        <v>44761</v>
      </c>
      <c r="S333" t="s">
        <v>44862</v>
      </c>
      <c r="T333" t="s">
        <v>46390</v>
      </c>
      <c r="U333" t="s">
        <v>47258</v>
      </c>
      <c r="W333" t="s">
        <v>40745</v>
      </c>
      <c r="X333" t="s">
        <v>44762</v>
      </c>
    </row>
    <row r="334" spans="1:24">
      <c r="A334">
        <f>HYPERLINK("https://www.philgeps.gov.ph/GEPSNONPILOT/Tender/SplashBidNoticeAbstractUI.aspx?menuIndex=3&amp;refID=7152372&amp;Result=3","7152372")</f>
        <v>0</v>
      </c>
      <c r="B334" t="s">
        <v>210</v>
      </c>
      <c r="C334" t="s">
        <v>4090</v>
      </c>
      <c r="D334" t="s">
        <v>17962</v>
      </c>
      <c r="E334" t="s">
        <v>18066</v>
      </c>
      <c r="F334" t="s">
        <v>30900</v>
      </c>
      <c r="G334" t="s">
        <v>30907</v>
      </c>
      <c r="H334" t="s">
        <v>30915</v>
      </c>
      <c r="I334" t="s">
        <v>30919</v>
      </c>
      <c r="J334" t="s">
        <v>31332</v>
      </c>
      <c r="K334" t="s">
        <v>40289</v>
      </c>
      <c r="M334" t="s">
        <v>40757</v>
      </c>
      <c r="N334" t="s">
        <v>44759</v>
      </c>
      <c r="O334" t="s">
        <v>44760</v>
      </c>
      <c r="P334">
        <v>0</v>
      </c>
      <c r="Q334">
        <v>0</v>
      </c>
      <c r="R334" t="s">
        <v>44761</v>
      </c>
      <c r="S334" t="s">
        <v>44862</v>
      </c>
      <c r="T334" t="s">
        <v>46361</v>
      </c>
      <c r="U334" t="s">
        <v>47259</v>
      </c>
      <c r="W334" t="s">
        <v>40757</v>
      </c>
      <c r="X334" t="s">
        <v>44762</v>
      </c>
    </row>
    <row r="335" spans="1:24">
      <c r="A335">
        <f>HYPERLINK("https://www.philgeps.gov.ph/GEPSNONPILOT/Tender/SplashBidNoticeAbstractUI.aspx?menuIndex=3&amp;refID=7152369&amp;Result=3","7152369")</f>
        <v>0</v>
      </c>
      <c r="B335" t="s">
        <v>211</v>
      </c>
      <c r="C335" t="s">
        <v>4091</v>
      </c>
      <c r="D335" t="s">
        <v>18016</v>
      </c>
      <c r="E335" t="s">
        <v>18381</v>
      </c>
      <c r="F335" t="s">
        <v>30900</v>
      </c>
      <c r="G335" t="s">
        <v>30908</v>
      </c>
      <c r="H335" t="s">
        <v>30916</v>
      </c>
      <c r="I335" t="s">
        <v>8123</v>
      </c>
      <c r="J335" t="s">
        <v>31333</v>
      </c>
      <c r="K335" t="s">
        <v>40289</v>
      </c>
      <c r="M335" t="s">
        <v>40758</v>
      </c>
      <c r="N335" t="s">
        <v>44759</v>
      </c>
      <c r="O335" t="s">
        <v>44760</v>
      </c>
      <c r="P335">
        <v>0</v>
      </c>
      <c r="Q335">
        <v>0</v>
      </c>
      <c r="R335" t="s">
        <v>44761</v>
      </c>
      <c r="S335" t="s">
        <v>44862</v>
      </c>
      <c r="T335" t="s">
        <v>46439</v>
      </c>
      <c r="U335" t="s">
        <v>47260</v>
      </c>
      <c r="W335" t="s">
        <v>40758</v>
      </c>
      <c r="X335" t="s">
        <v>44762</v>
      </c>
    </row>
    <row r="336" spans="1:24">
      <c r="A336">
        <f>HYPERLINK("https://www.philgeps.gov.ph/GEPSNONPILOT/Tender/SplashBidNoticeAbstractUI.aspx?menuIndex=3&amp;refID=7152339&amp;Result=3","7152339")</f>
        <v>0</v>
      </c>
      <c r="B336" t="s">
        <v>92</v>
      </c>
      <c r="C336" t="s">
        <v>4092</v>
      </c>
      <c r="D336" t="s">
        <v>17959</v>
      </c>
      <c r="E336" t="s">
        <v>18382</v>
      </c>
      <c r="F336" t="s">
        <v>30900</v>
      </c>
      <c r="G336" t="s">
        <v>30908</v>
      </c>
      <c r="H336" t="s">
        <v>30916</v>
      </c>
      <c r="I336" t="s">
        <v>10602</v>
      </c>
      <c r="J336" t="s">
        <v>31334</v>
      </c>
      <c r="K336" t="s">
        <v>40319</v>
      </c>
      <c r="M336" t="s">
        <v>40639</v>
      </c>
      <c r="N336" t="s">
        <v>44759</v>
      </c>
      <c r="O336" t="s">
        <v>44760</v>
      </c>
      <c r="P336">
        <v>0</v>
      </c>
      <c r="Q336">
        <v>0</v>
      </c>
      <c r="R336" t="s">
        <v>44761</v>
      </c>
      <c r="S336" t="s">
        <v>44862</v>
      </c>
      <c r="T336" t="s">
        <v>46389</v>
      </c>
      <c r="U336" t="s">
        <v>47261</v>
      </c>
      <c r="W336" t="s">
        <v>40639</v>
      </c>
      <c r="X336" t="s">
        <v>44762</v>
      </c>
    </row>
    <row r="337" spans="1:24">
      <c r="A337">
        <f>HYPERLINK("https://www.philgeps.gov.ph/GEPSNONPILOT/Tender/SplashBidNoticeAbstractUI.aspx?menuIndex=3&amp;refID=7152367&amp;Result=3","7152367")</f>
        <v>0</v>
      </c>
      <c r="B337" t="s">
        <v>165</v>
      </c>
      <c r="C337" t="s">
        <v>4093</v>
      </c>
      <c r="D337" t="s">
        <v>18009</v>
      </c>
      <c r="E337" t="s">
        <v>18383</v>
      </c>
      <c r="F337" t="s">
        <v>30900</v>
      </c>
      <c r="G337" t="s">
        <v>30908</v>
      </c>
      <c r="H337" t="s">
        <v>30916</v>
      </c>
      <c r="I337" t="s">
        <v>6953</v>
      </c>
      <c r="J337" t="s">
        <v>31335</v>
      </c>
      <c r="K337" t="s">
        <v>40284</v>
      </c>
      <c r="M337" t="s">
        <v>40712</v>
      </c>
      <c r="N337" t="s">
        <v>44759</v>
      </c>
      <c r="O337" t="s">
        <v>44760</v>
      </c>
      <c r="P337">
        <v>0</v>
      </c>
      <c r="Q337">
        <v>0</v>
      </c>
      <c r="R337" t="s">
        <v>44761</v>
      </c>
      <c r="S337" t="s">
        <v>44862</v>
      </c>
      <c r="T337" t="s">
        <v>46376</v>
      </c>
      <c r="U337" t="s">
        <v>47262</v>
      </c>
      <c r="W337" t="s">
        <v>40712</v>
      </c>
      <c r="X337" t="s">
        <v>44762</v>
      </c>
    </row>
    <row r="338" spans="1:24">
      <c r="A338">
        <f>HYPERLINK("https://www.philgeps.gov.ph/GEPSNONPILOT/Tender/SplashBidNoticeAbstractUI.aspx?menuIndex=3&amp;refID=7152366&amp;Result=3","7152366")</f>
        <v>0</v>
      </c>
      <c r="B338" t="s">
        <v>212</v>
      </c>
      <c r="C338" t="s">
        <v>4094</v>
      </c>
      <c r="D338" t="s">
        <v>17962</v>
      </c>
      <c r="E338" t="s">
        <v>18384</v>
      </c>
      <c r="F338" t="s">
        <v>30900</v>
      </c>
      <c r="G338" t="s">
        <v>30907</v>
      </c>
      <c r="H338" t="s">
        <v>30915</v>
      </c>
      <c r="I338" t="s">
        <v>30919</v>
      </c>
      <c r="J338" t="s">
        <v>31069</v>
      </c>
      <c r="K338" t="s">
        <v>40320</v>
      </c>
      <c r="M338" t="s">
        <v>40759</v>
      </c>
      <c r="N338" t="s">
        <v>44759</v>
      </c>
      <c r="O338" t="s">
        <v>44760</v>
      </c>
      <c r="P338">
        <v>0</v>
      </c>
      <c r="Q338">
        <v>0</v>
      </c>
      <c r="R338" t="s">
        <v>44761</v>
      </c>
      <c r="S338" t="s">
        <v>44862</v>
      </c>
      <c r="T338" t="s">
        <v>46431</v>
      </c>
      <c r="U338" t="s">
        <v>47263</v>
      </c>
      <c r="W338" t="s">
        <v>40759</v>
      </c>
      <c r="X338" t="s">
        <v>44762</v>
      </c>
    </row>
    <row r="339" spans="1:24">
      <c r="A339">
        <f>HYPERLINK("https://www.philgeps.gov.ph/GEPSNONPILOT/Tender/SplashBidNoticeAbstractUI.aspx?menuIndex=3&amp;refID=7152365&amp;Result=3","7152365")</f>
        <v>0</v>
      </c>
      <c r="B339" t="s">
        <v>213</v>
      </c>
      <c r="C339" t="s">
        <v>4095</v>
      </c>
      <c r="D339" t="s">
        <v>18011</v>
      </c>
      <c r="E339" t="s">
        <v>18385</v>
      </c>
      <c r="F339" t="s">
        <v>30900</v>
      </c>
      <c r="G339" t="s">
        <v>30909</v>
      </c>
      <c r="H339" t="s">
        <v>30916</v>
      </c>
      <c r="I339" t="s">
        <v>8123</v>
      </c>
      <c r="J339" t="s">
        <v>31082</v>
      </c>
      <c r="K339" t="s">
        <v>40285</v>
      </c>
      <c r="M339" t="s">
        <v>40760</v>
      </c>
      <c r="N339" t="s">
        <v>44759</v>
      </c>
      <c r="O339" t="s">
        <v>44760</v>
      </c>
      <c r="P339">
        <v>0</v>
      </c>
      <c r="Q339">
        <v>0</v>
      </c>
      <c r="R339" t="s">
        <v>44761</v>
      </c>
      <c r="S339" t="s">
        <v>44862</v>
      </c>
      <c r="T339" t="s">
        <v>46390</v>
      </c>
      <c r="U339" t="s">
        <v>47264</v>
      </c>
      <c r="W339" t="s">
        <v>40760</v>
      </c>
      <c r="X339" t="s">
        <v>44762</v>
      </c>
    </row>
    <row r="340" spans="1:24">
      <c r="A340">
        <f>HYPERLINK("https://www.philgeps.gov.ph/GEPSNONPILOT/Tender/SplashBidNoticeAbstractUI.aspx?menuIndex=3&amp;refID=7152364&amp;Result=3","7152364")</f>
        <v>0</v>
      </c>
      <c r="B340" t="s">
        <v>131</v>
      </c>
      <c r="C340" t="s">
        <v>4096</v>
      </c>
      <c r="D340" t="s">
        <v>17978</v>
      </c>
      <c r="E340" t="s">
        <v>18386</v>
      </c>
      <c r="F340" t="s">
        <v>30900</v>
      </c>
      <c r="G340" t="s">
        <v>30909</v>
      </c>
      <c r="H340" t="s">
        <v>30916</v>
      </c>
      <c r="I340" t="s">
        <v>4454</v>
      </c>
      <c r="J340" t="s">
        <v>31336</v>
      </c>
      <c r="K340" t="s">
        <v>40283</v>
      </c>
      <c r="M340" t="s">
        <v>40678</v>
      </c>
      <c r="N340" t="s">
        <v>44759</v>
      </c>
      <c r="O340" t="s">
        <v>44760</v>
      </c>
      <c r="P340">
        <v>0</v>
      </c>
      <c r="Q340">
        <v>0</v>
      </c>
      <c r="R340" t="s">
        <v>44761</v>
      </c>
      <c r="S340" t="s">
        <v>44862</v>
      </c>
      <c r="T340" t="s">
        <v>46414</v>
      </c>
      <c r="U340" t="s">
        <v>47265</v>
      </c>
      <c r="W340" t="s">
        <v>40678</v>
      </c>
      <c r="X340" t="s">
        <v>44762</v>
      </c>
    </row>
    <row r="341" spans="1:24">
      <c r="A341">
        <f>HYPERLINK("https://www.philgeps.gov.ph/GEPSNONPILOT/Tender/SplashBidNoticeAbstractUI.aspx?menuIndex=3&amp;refID=7152362&amp;Result=3","7152362")</f>
        <v>0</v>
      </c>
      <c r="B341" t="s">
        <v>62</v>
      </c>
      <c r="C341" t="s">
        <v>4097</v>
      </c>
      <c r="D341" t="s">
        <v>17978</v>
      </c>
      <c r="E341" t="s">
        <v>18387</v>
      </c>
      <c r="F341" t="s">
        <v>30900</v>
      </c>
      <c r="G341" t="s">
        <v>30907</v>
      </c>
      <c r="H341" t="s">
        <v>30915</v>
      </c>
      <c r="I341" t="s">
        <v>30919</v>
      </c>
      <c r="J341" t="s">
        <v>31211</v>
      </c>
      <c r="K341" t="s">
        <v>40321</v>
      </c>
      <c r="M341" t="s">
        <v>40608</v>
      </c>
      <c r="N341" t="s">
        <v>44759</v>
      </c>
      <c r="O341" t="s">
        <v>44760</v>
      </c>
      <c r="P341">
        <v>0</v>
      </c>
      <c r="Q341">
        <v>0</v>
      </c>
      <c r="R341" t="s">
        <v>44761</v>
      </c>
      <c r="S341" t="s">
        <v>44862</v>
      </c>
      <c r="T341" t="s">
        <v>46350</v>
      </c>
      <c r="U341" t="s">
        <v>47266</v>
      </c>
      <c r="W341" t="s">
        <v>40608</v>
      </c>
      <c r="X341" t="s">
        <v>44762</v>
      </c>
    </row>
    <row r="342" spans="1:24">
      <c r="A342">
        <f>HYPERLINK("https://www.philgeps.gov.ph/GEPSNONPILOT/Tender/SplashBidNoticeAbstractUI.aspx?menuIndex=3&amp;refID=7152371&amp;Result=3","7152371")</f>
        <v>0</v>
      </c>
      <c r="B342" t="s">
        <v>192</v>
      </c>
      <c r="C342" t="s">
        <v>4064</v>
      </c>
      <c r="D342" t="s">
        <v>18002</v>
      </c>
      <c r="E342" t="s">
        <v>18388</v>
      </c>
      <c r="F342" t="s">
        <v>30900</v>
      </c>
      <c r="G342" t="s">
        <v>30908</v>
      </c>
      <c r="H342" t="s">
        <v>30916</v>
      </c>
      <c r="I342" t="s">
        <v>4108</v>
      </c>
      <c r="J342" t="s">
        <v>31096</v>
      </c>
      <c r="K342" t="s">
        <v>40283</v>
      </c>
      <c r="M342" t="s">
        <v>40739</v>
      </c>
      <c r="N342" t="s">
        <v>44759</v>
      </c>
      <c r="O342" t="s">
        <v>44760</v>
      </c>
      <c r="P342">
        <v>0</v>
      </c>
      <c r="Q342">
        <v>0</v>
      </c>
      <c r="R342" t="s">
        <v>44761</v>
      </c>
      <c r="S342" t="s">
        <v>44862</v>
      </c>
      <c r="T342" t="s">
        <v>46357</v>
      </c>
      <c r="U342" t="s">
        <v>47267</v>
      </c>
      <c r="V342" t="s">
        <v>59141</v>
      </c>
      <c r="W342" t="s">
        <v>40739</v>
      </c>
      <c r="X342" t="s">
        <v>44762</v>
      </c>
    </row>
    <row r="343" spans="1:24">
      <c r="A343">
        <f>HYPERLINK("https://www.philgeps.gov.ph/GEPSNONPILOT/Tender/SplashBidNoticeAbstractUI.aspx?menuIndex=3&amp;refID=7152370&amp;Result=3","7152370")</f>
        <v>0</v>
      </c>
      <c r="B343" t="s">
        <v>131</v>
      </c>
      <c r="C343" t="s">
        <v>4098</v>
      </c>
      <c r="D343" t="s">
        <v>17978</v>
      </c>
      <c r="E343" t="s">
        <v>18389</v>
      </c>
      <c r="F343" t="s">
        <v>30900</v>
      </c>
      <c r="G343" t="s">
        <v>30909</v>
      </c>
      <c r="H343" t="s">
        <v>30916</v>
      </c>
      <c r="I343" t="s">
        <v>30933</v>
      </c>
      <c r="J343" t="s">
        <v>31337</v>
      </c>
      <c r="K343" t="s">
        <v>40280</v>
      </c>
      <c r="M343" t="s">
        <v>40678</v>
      </c>
      <c r="N343" t="s">
        <v>44759</v>
      </c>
      <c r="O343" t="s">
        <v>44760</v>
      </c>
      <c r="P343">
        <v>0</v>
      </c>
      <c r="Q343">
        <v>0</v>
      </c>
      <c r="R343" t="s">
        <v>44761</v>
      </c>
      <c r="S343" t="s">
        <v>44862</v>
      </c>
      <c r="T343" t="s">
        <v>46414</v>
      </c>
      <c r="U343" t="s">
        <v>47268</v>
      </c>
      <c r="W343" t="s">
        <v>40678</v>
      </c>
      <c r="X343" t="s">
        <v>44762</v>
      </c>
    </row>
    <row r="344" spans="1:24">
      <c r="A344">
        <f>HYPERLINK("https://www.philgeps.gov.ph/GEPSNONPILOT/Tender/SplashBidNoticeAbstractUI.aspx?menuIndex=3&amp;refID=7152368&amp;Result=3","7152368")</f>
        <v>0</v>
      </c>
      <c r="B344" t="s">
        <v>187</v>
      </c>
      <c r="C344" t="s">
        <v>4099</v>
      </c>
      <c r="D344" t="s">
        <v>17952</v>
      </c>
      <c r="E344" t="s">
        <v>18390</v>
      </c>
      <c r="F344" t="s">
        <v>30900</v>
      </c>
      <c r="G344" t="s">
        <v>30908</v>
      </c>
      <c r="H344" t="s">
        <v>30916</v>
      </c>
      <c r="I344" t="s">
        <v>30932</v>
      </c>
      <c r="J344" t="s">
        <v>31338</v>
      </c>
      <c r="K344" t="s">
        <v>40288</v>
      </c>
      <c r="M344" t="s">
        <v>40734</v>
      </c>
      <c r="N344" t="s">
        <v>44759</v>
      </c>
      <c r="O344" t="s">
        <v>44760</v>
      </c>
      <c r="P344">
        <v>0</v>
      </c>
      <c r="Q344">
        <v>0</v>
      </c>
      <c r="R344" t="s">
        <v>44761</v>
      </c>
      <c r="S344" t="s">
        <v>44862</v>
      </c>
      <c r="T344" t="s">
        <v>46390</v>
      </c>
      <c r="U344" t="s">
        <v>47269</v>
      </c>
      <c r="W344" t="s">
        <v>40734</v>
      </c>
      <c r="X344" t="s">
        <v>44762</v>
      </c>
    </row>
    <row r="345" spans="1:24">
      <c r="A345">
        <f>HYPERLINK("https://www.philgeps.gov.ph/GEPSNONPILOT/Tender/SplashBidNoticeAbstractUI.aspx?menuIndex=3&amp;refID=7152359&amp;Result=3","7152359")</f>
        <v>0</v>
      </c>
      <c r="B345" t="s">
        <v>214</v>
      </c>
      <c r="C345" t="s">
        <v>4100</v>
      </c>
      <c r="E345" t="s">
        <v>18391</v>
      </c>
      <c r="F345" t="s">
        <v>30903</v>
      </c>
      <c r="G345" t="s">
        <v>30909</v>
      </c>
      <c r="H345" t="s">
        <v>30916</v>
      </c>
      <c r="I345" t="s">
        <v>30923</v>
      </c>
      <c r="J345" t="s">
        <v>31339</v>
      </c>
      <c r="K345" t="s">
        <v>40289</v>
      </c>
      <c r="M345" t="s">
        <v>40761</v>
      </c>
      <c r="N345" t="s">
        <v>44759</v>
      </c>
      <c r="O345" t="s">
        <v>44760</v>
      </c>
      <c r="P345">
        <v>0</v>
      </c>
      <c r="Q345">
        <v>0</v>
      </c>
      <c r="R345" t="s">
        <v>44761</v>
      </c>
      <c r="S345" t="s">
        <v>44862</v>
      </c>
      <c r="T345" t="s">
        <v>46440</v>
      </c>
      <c r="U345" t="s">
        <v>47270</v>
      </c>
      <c r="W345" t="s">
        <v>40761</v>
      </c>
      <c r="X345" t="s">
        <v>44762</v>
      </c>
    </row>
    <row r="346" spans="1:24">
      <c r="A346">
        <f>HYPERLINK("https://www.philgeps.gov.ph/GEPSNONPILOT/Tender/SplashBidNoticeAbstractUI.aspx?menuIndex=3&amp;refID=7152342&amp;Result=3","7152342")</f>
        <v>0</v>
      </c>
      <c r="B346" t="s">
        <v>212</v>
      </c>
      <c r="C346" t="s">
        <v>4101</v>
      </c>
      <c r="D346" t="s">
        <v>17962</v>
      </c>
      <c r="E346" t="s">
        <v>18392</v>
      </c>
      <c r="F346" t="s">
        <v>30900</v>
      </c>
      <c r="G346" t="s">
        <v>30907</v>
      </c>
      <c r="H346" t="s">
        <v>30916</v>
      </c>
      <c r="I346" t="s">
        <v>30924</v>
      </c>
      <c r="J346" t="s">
        <v>31135</v>
      </c>
      <c r="K346" t="s">
        <v>40291</v>
      </c>
      <c r="M346" t="s">
        <v>40759</v>
      </c>
      <c r="N346" t="s">
        <v>44759</v>
      </c>
      <c r="O346" t="s">
        <v>44760</v>
      </c>
      <c r="P346">
        <v>0</v>
      </c>
      <c r="Q346">
        <v>0</v>
      </c>
      <c r="R346" t="s">
        <v>44761</v>
      </c>
      <c r="S346" t="s">
        <v>44862</v>
      </c>
      <c r="T346" t="s">
        <v>46441</v>
      </c>
      <c r="U346" t="s">
        <v>47271</v>
      </c>
      <c r="W346" t="s">
        <v>40759</v>
      </c>
      <c r="X346" t="s">
        <v>44762</v>
      </c>
    </row>
    <row r="347" spans="1:24">
      <c r="A347">
        <f>HYPERLINK("https://www.philgeps.gov.ph/GEPSNONPILOT/Tender/SplashBidNoticeAbstractUI.aspx?menuIndex=3&amp;refID=7152356&amp;Result=3","7152356")</f>
        <v>0</v>
      </c>
      <c r="B347" t="s">
        <v>131</v>
      </c>
      <c r="C347" t="s">
        <v>4102</v>
      </c>
      <c r="D347" t="s">
        <v>17978</v>
      </c>
      <c r="E347" t="s">
        <v>18393</v>
      </c>
      <c r="F347" t="s">
        <v>30900</v>
      </c>
      <c r="G347" t="s">
        <v>30909</v>
      </c>
      <c r="H347" t="s">
        <v>30916</v>
      </c>
      <c r="I347" t="s">
        <v>6396</v>
      </c>
      <c r="J347" t="s">
        <v>31340</v>
      </c>
      <c r="K347" t="s">
        <v>40283</v>
      </c>
      <c r="M347" t="s">
        <v>40678</v>
      </c>
      <c r="N347" t="s">
        <v>44759</v>
      </c>
      <c r="O347" t="s">
        <v>44760</v>
      </c>
      <c r="P347">
        <v>0</v>
      </c>
      <c r="Q347">
        <v>0</v>
      </c>
      <c r="R347" t="s">
        <v>44761</v>
      </c>
      <c r="S347" t="s">
        <v>44862</v>
      </c>
      <c r="T347" t="s">
        <v>46414</v>
      </c>
      <c r="U347" t="s">
        <v>47272</v>
      </c>
      <c r="W347" t="s">
        <v>40678</v>
      </c>
      <c r="X347" t="s">
        <v>44762</v>
      </c>
    </row>
    <row r="348" spans="1:24">
      <c r="A348">
        <f>HYPERLINK("https://www.philgeps.gov.ph/GEPSNONPILOT/Tender/SplashBidNoticeAbstractUI.aspx?menuIndex=3&amp;refID=7152230&amp;Result=3","7152230")</f>
        <v>0</v>
      </c>
      <c r="B348" t="s">
        <v>138</v>
      </c>
      <c r="C348" t="s">
        <v>4103</v>
      </c>
      <c r="D348" t="s">
        <v>17965</v>
      </c>
      <c r="E348" t="s">
        <v>18394</v>
      </c>
      <c r="F348" t="s">
        <v>30900</v>
      </c>
      <c r="G348" t="s">
        <v>30907</v>
      </c>
      <c r="H348" t="s">
        <v>30916</v>
      </c>
      <c r="I348" t="s">
        <v>30921</v>
      </c>
      <c r="J348" t="s">
        <v>31341</v>
      </c>
      <c r="K348" t="s">
        <v>40294</v>
      </c>
      <c r="M348" t="s">
        <v>40685</v>
      </c>
      <c r="N348" t="s">
        <v>44759</v>
      </c>
      <c r="O348" t="s">
        <v>44760</v>
      </c>
      <c r="P348">
        <v>0</v>
      </c>
      <c r="Q348">
        <v>0</v>
      </c>
      <c r="R348" t="s">
        <v>44761</v>
      </c>
      <c r="S348" t="s">
        <v>44862</v>
      </c>
      <c r="T348" t="s">
        <v>46442</v>
      </c>
      <c r="U348" t="s">
        <v>47153</v>
      </c>
      <c r="W348" t="s">
        <v>40685</v>
      </c>
      <c r="X348" t="s">
        <v>44762</v>
      </c>
    </row>
    <row r="349" spans="1:24">
      <c r="A349">
        <f>HYPERLINK("https://www.philgeps.gov.ph/GEPSNONPILOT/Tender/SplashBidNoticeAbstractUI.aspx?menuIndex=3&amp;refID=7152213&amp;Result=3","7152213")</f>
        <v>0</v>
      </c>
      <c r="B349" t="s">
        <v>215</v>
      </c>
      <c r="C349" t="s">
        <v>4104</v>
      </c>
      <c r="D349" t="s">
        <v>17973</v>
      </c>
      <c r="E349" t="s">
        <v>18395</v>
      </c>
      <c r="F349" t="s">
        <v>30900</v>
      </c>
      <c r="G349" t="s">
        <v>30909</v>
      </c>
      <c r="H349" t="s">
        <v>30916</v>
      </c>
      <c r="I349" t="s">
        <v>8123</v>
      </c>
      <c r="J349" t="s">
        <v>31342</v>
      </c>
      <c r="K349" t="s">
        <v>40285</v>
      </c>
      <c r="M349" t="s">
        <v>40762</v>
      </c>
      <c r="N349" t="s">
        <v>44759</v>
      </c>
      <c r="O349" t="s">
        <v>44760</v>
      </c>
      <c r="P349">
        <v>0</v>
      </c>
      <c r="Q349">
        <v>0</v>
      </c>
      <c r="R349" t="s">
        <v>44761</v>
      </c>
      <c r="S349" t="s">
        <v>44862</v>
      </c>
      <c r="T349" t="s">
        <v>46357</v>
      </c>
      <c r="U349" t="s">
        <v>47273</v>
      </c>
      <c r="W349" t="s">
        <v>40762</v>
      </c>
      <c r="X349" t="s">
        <v>44762</v>
      </c>
    </row>
    <row r="350" spans="1:24">
      <c r="A350">
        <f>HYPERLINK("https://www.philgeps.gov.ph/GEPSNONPILOT/Tender/SplashBidNoticeAbstractUI.aspx?menuIndex=3&amp;refID=7152361&amp;Result=3","7152361")</f>
        <v>0</v>
      </c>
      <c r="B350" t="s">
        <v>216</v>
      </c>
      <c r="C350" t="s">
        <v>4105</v>
      </c>
      <c r="D350" t="s">
        <v>17987</v>
      </c>
      <c r="E350" t="s">
        <v>18396</v>
      </c>
      <c r="F350" t="s">
        <v>30900</v>
      </c>
      <c r="G350" t="s">
        <v>30909</v>
      </c>
      <c r="H350" t="s">
        <v>30916</v>
      </c>
      <c r="I350" t="s">
        <v>10602</v>
      </c>
      <c r="J350" t="s">
        <v>31343</v>
      </c>
      <c r="K350" t="s">
        <v>40285</v>
      </c>
      <c r="M350" t="s">
        <v>40763</v>
      </c>
      <c r="N350" t="s">
        <v>44759</v>
      </c>
      <c r="O350" t="s">
        <v>44760</v>
      </c>
      <c r="P350">
        <v>0</v>
      </c>
      <c r="Q350">
        <v>0</v>
      </c>
      <c r="R350" t="s">
        <v>44761</v>
      </c>
      <c r="S350" t="s">
        <v>44862</v>
      </c>
      <c r="T350" t="s">
        <v>46379</v>
      </c>
      <c r="U350" t="s">
        <v>47274</v>
      </c>
      <c r="W350" t="s">
        <v>40763</v>
      </c>
      <c r="X350" t="s">
        <v>44762</v>
      </c>
    </row>
    <row r="351" spans="1:24">
      <c r="A351">
        <f>HYPERLINK("https://www.philgeps.gov.ph/GEPSNONPILOT/Tender/SplashBidNoticeAbstractUI.aspx?menuIndex=3&amp;refID=7152212&amp;Result=3","7152212")</f>
        <v>0</v>
      </c>
      <c r="B351" t="s">
        <v>215</v>
      </c>
      <c r="C351" t="s">
        <v>4104</v>
      </c>
      <c r="D351" t="s">
        <v>17973</v>
      </c>
      <c r="E351" t="s">
        <v>18397</v>
      </c>
      <c r="F351" t="s">
        <v>30900</v>
      </c>
      <c r="G351" t="s">
        <v>30910</v>
      </c>
      <c r="H351" t="s">
        <v>30916</v>
      </c>
      <c r="I351" t="s">
        <v>8123</v>
      </c>
      <c r="J351" t="s">
        <v>31342</v>
      </c>
      <c r="K351" t="s">
        <v>40285</v>
      </c>
      <c r="M351" t="s">
        <v>40762</v>
      </c>
      <c r="N351" t="s">
        <v>44759</v>
      </c>
      <c r="O351" t="s">
        <v>44760</v>
      </c>
      <c r="P351">
        <v>0</v>
      </c>
      <c r="Q351">
        <v>0</v>
      </c>
      <c r="R351" t="s">
        <v>44761</v>
      </c>
      <c r="S351" t="s">
        <v>44862</v>
      </c>
      <c r="T351" t="s">
        <v>46357</v>
      </c>
      <c r="U351" t="s">
        <v>47275</v>
      </c>
      <c r="W351" t="s">
        <v>40762</v>
      </c>
      <c r="X351" t="s">
        <v>44762</v>
      </c>
    </row>
    <row r="352" spans="1:24">
      <c r="A352">
        <f>HYPERLINK("https://www.philgeps.gov.ph/GEPSNONPILOT/Tender/SplashBidNoticeAbstractUI.aspx?menuIndex=3&amp;refID=7152360&amp;Result=3","7152360")</f>
        <v>0</v>
      </c>
      <c r="B352" t="s">
        <v>217</v>
      </c>
      <c r="C352" t="s">
        <v>4106</v>
      </c>
      <c r="D352" t="s">
        <v>17966</v>
      </c>
      <c r="E352" t="s">
        <v>18398</v>
      </c>
      <c r="F352" t="s">
        <v>30900</v>
      </c>
      <c r="G352" t="s">
        <v>30908</v>
      </c>
      <c r="H352" t="s">
        <v>30916</v>
      </c>
      <c r="I352" t="s">
        <v>30925</v>
      </c>
      <c r="J352" t="s">
        <v>31211</v>
      </c>
      <c r="K352" t="s">
        <v>40286</v>
      </c>
      <c r="M352" t="s">
        <v>40764</v>
      </c>
      <c r="N352" t="s">
        <v>44759</v>
      </c>
      <c r="O352" t="s">
        <v>44760</v>
      </c>
      <c r="P352">
        <v>0</v>
      </c>
      <c r="Q352">
        <v>0</v>
      </c>
      <c r="R352" t="s">
        <v>44761</v>
      </c>
      <c r="S352" t="s">
        <v>44862</v>
      </c>
      <c r="T352" t="s">
        <v>46352</v>
      </c>
      <c r="U352" t="s">
        <v>47276</v>
      </c>
      <c r="W352" t="s">
        <v>40764</v>
      </c>
      <c r="X352" t="s">
        <v>44762</v>
      </c>
    </row>
    <row r="353" spans="1:24">
      <c r="A353">
        <f>HYPERLINK("https://www.philgeps.gov.ph/GEPSNONPILOT/Tender/SplashBidNoticeAbstractUI.aspx?menuIndex=3&amp;refID=7152210&amp;Result=3","7152210")</f>
        <v>0</v>
      </c>
      <c r="B353" t="s">
        <v>218</v>
      </c>
      <c r="C353" t="s">
        <v>4107</v>
      </c>
      <c r="D353" t="s">
        <v>17985</v>
      </c>
      <c r="E353" t="s">
        <v>18399</v>
      </c>
      <c r="F353" t="s">
        <v>30900</v>
      </c>
      <c r="G353" t="s">
        <v>30907</v>
      </c>
      <c r="H353" t="s">
        <v>30916</v>
      </c>
      <c r="I353" t="s">
        <v>30919</v>
      </c>
      <c r="J353" t="s">
        <v>31344</v>
      </c>
      <c r="K353" t="s">
        <v>40284</v>
      </c>
      <c r="M353" t="s">
        <v>40765</v>
      </c>
      <c r="N353" t="s">
        <v>44759</v>
      </c>
      <c r="O353" t="s">
        <v>44760</v>
      </c>
      <c r="P353">
        <v>0</v>
      </c>
      <c r="Q353">
        <v>0</v>
      </c>
      <c r="R353" t="s">
        <v>44761</v>
      </c>
      <c r="S353" t="s">
        <v>44862</v>
      </c>
      <c r="T353" t="s">
        <v>46426</v>
      </c>
      <c r="U353" t="s">
        <v>47277</v>
      </c>
      <c r="V353" t="s">
        <v>59145</v>
      </c>
      <c r="W353" t="s">
        <v>40765</v>
      </c>
      <c r="X353" t="s">
        <v>44762</v>
      </c>
    </row>
    <row r="354" spans="1:24">
      <c r="A354">
        <f>HYPERLINK("https://www.philgeps.gov.ph/GEPSNONPILOT/Tender/SplashBidNoticeAbstractUI.aspx?menuIndex=3&amp;refID=7152207&amp;Result=3","7152207")</f>
        <v>0</v>
      </c>
      <c r="B354" t="s">
        <v>215</v>
      </c>
      <c r="C354" t="s">
        <v>4104</v>
      </c>
      <c r="D354" t="s">
        <v>17973</v>
      </c>
      <c r="E354" t="s">
        <v>18400</v>
      </c>
      <c r="F354" t="s">
        <v>30900</v>
      </c>
      <c r="G354" t="s">
        <v>30909</v>
      </c>
      <c r="H354" t="s">
        <v>30916</v>
      </c>
      <c r="I354" t="s">
        <v>8123</v>
      </c>
      <c r="J354" t="s">
        <v>31345</v>
      </c>
      <c r="K354" t="s">
        <v>40285</v>
      </c>
      <c r="M354" t="s">
        <v>40762</v>
      </c>
      <c r="N354" t="s">
        <v>44759</v>
      </c>
      <c r="O354" t="s">
        <v>44760</v>
      </c>
      <c r="P354">
        <v>0</v>
      </c>
      <c r="Q354">
        <v>0</v>
      </c>
      <c r="R354" t="s">
        <v>44761</v>
      </c>
      <c r="S354" t="s">
        <v>44862</v>
      </c>
      <c r="T354" t="s">
        <v>46357</v>
      </c>
      <c r="U354" t="s">
        <v>47278</v>
      </c>
      <c r="W354" t="s">
        <v>40762</v>
      </c>
      <c r="X354" t="s">
        <v>44762</v>
      </c>
    </row>
    <row r="355" spans="1:24">
      <c r="A355">
        <f>HYPERLINK("https://www.philgeps.gov.ph/GEPSNONPILOT/Tender/SplashBidNoticeAbstractUI.aspx?menuIndex=3&amp;refID=7152358&amp;Result=3","7152358")</f>
        <v>0</v>
      </c>
      <c r="B355" t="s">
        <v>219</v>
      </c>
      <c r="C355" t="s">
        <v>4108</v>
      </c>
      <c r="D355" t="s">
        <v>17955</v>
      </c>
      <c r="E355" t="s">
        <v>18401</v>
      </c>
      <c r="F355" t="s">
        <v>30900</v>
      </c>
      <c r="G355" t="s">
        <v>30908</v>
      </c>
      <c r="H355" t="s">
        <v>30916</v>
      </c>
      <c r="I355" t="s">
        <v>4108</v>
      </c>
      <c r="J355" t="s">
        <v>31346</v>
      </c>
      <c r="K355" t="s">
        <v>40286</v>
      </c>
      <c r="M355" t="s">
        <v>40766</v>
      </c>
      <c r="N355" t="s">
        <v>44759</v>
      </c>
      <c r="O355" t="s">
        <v>44760</v>
      </c>
      <c r="P355">
        <v>0</v>
      </c>
      <c r="Q355">
        <v>0</v>
      </c>
      <c r="R355" t="s">
        <v>44761</v>
      </c>
      <c r="S355" t="s">
        <v>44862</v>
      </c>
      <c r="T355" t="s">
        <v>46412</v>
      </c>
      <c r="U355" t="s">
        <v>47279</v>
      </c>
      <c r="W355" t="s">
        <v>40766</v>
      </c>
      <c r="X355" t="s">
        <v>44762</v>
      </c>
    </row>
    <row r="356" spans="1:24">
      <c r="A356">
        <f>HYPERLINK("https://www.philgeps.gov.ph/GEPSNONPILOT/Tender/SplashBidNoticeAbstractUI.aspx?menuIndex=3&amp;refID=7152191&amp;Result=3","7152191")</f>
        <v>0</v>
      </c>
      <c r="B356" t="s">
        <v>140</v>
      </c>
      <c r="C356" t="s">
        <v>4109</v>
      </c>
      <c r="D356" t="s">
        <v>17973</v>
      </c>
      <c r="E356" t="s">
        <v>18402</v>
      </c>
      <c r="F356" t="s">
        <v>30900</v>
      </c>
      <c r="G356" t="s">
        <v>30908</v>
      </c>
      <c r="H356" t="s">
        <v>30916</v>
      </c>
      <c r="I356" t="s">
        <v>30951</v>
      </c>
      <c r="J356" t="s">
        <v>31347</v>
      </c>
      <c r="K356" t="s">
        <v>40280</v>
      </c>
      <c r="M356" t="s">
        <v>40687</v>
      </c>
      <c r="N356" t="s">
        <v>44759</v>
      </c>
      <c r="O356" t="s">
        <v>44760</v>
      </c>
      <c r="P356">
        <v>0</v>
      </c>
      <c r="Q356">
        <v>0</v>
      </c>
      <c r="R356" t="s">
        <v>44761</v>
      </c>
      <c r="S356" t="s">
        <v>44862</v>
      </c>
      <c r="T356" t="s">
        <v>46443</v>
      </c>
      <c r="U356" t="s">
        <v>47280</v>
      </c>
      <c r="W356" t="s">
        <v>40687</v>
      </c>
      <c r="X356" t="s">
        <v>44762</v>
      </c>
    </row>
    <row r="357" spans="1:24">
      <c r="A357">
        <f>HYPERLINK("https://www.philgeps.gov.ph/GEPSNONPILOT/Tender/SplashBidNoticeAbstractUI.aspx?menuIndex=3&amp;refID=7152357&amp;Result=3","7152357")</f>
        <v>0</v>
      </c>
      <c r="B357" t="s">
        <v>220</v>
      </c>
      <c r="C357" t="s">
        <v>4110</v>
      </c>
      <c r="D357" t="s">
        <v>17993</v>
      </c>
      <c r="E357" t="s">
        <v>18403</v>
      </c>
      <c r="F357" t="s">
        <v>30900</v>
      </c>
      <c r="G357" t="s">
        <v>30910</v>
      </c>
      <c r="H357" t="s">
        <v>30916</v>
      </c>
      <c r="I357" t="s">
        <v>4142</v>
      </c>
      <c r="J357" t="s">
        <v>31348</v>
      </c>
      <c r="K357" t="s">
        <v>40287</v>
      </c>
      <c r="M357" t="s">
        <v>40767</v>
      </c>
      <c r="N357" t="s">
        <v>44759</v>
      </c>
      <c r="O357" t="s">
        <v>44760</v>
      </c>
      <c r="P357">
        <v>0</v>
      </c>
      <c r="Q357">
        <v>0</v>
      </c>
      <c r="R357" t="s">
        <v>44761</v>
      </c>
      <c r="S357" t="s">
        <v>44862</v>
      </c>
      <c r="T357" t="s">
        <v>46376</v>
      </c>
      <c r="U357" t="s">
        <v>47281</v>
      </c>
      <c r="V357" t="s">
        <v>59146</v>
      </c>
      <c r="W357" t="s">
        <v>40767</v>
      </c>
      <c r="X357" t="s">
        <v>44762</v>
      </c>
    </row>
    <row r="358" spans="1:24">
      <c r="A358">
        <f>HYPERLINK("https://www.philgeps.gov.ph/GEPSNONPILOT/Tender/SplashBidNoticeAbstractUI.aspx?menuIndex=3&amp;refID=7152377&amp;Result=3","7152377")</f>
        <v>0</v>
      </c>
      <c r="B358" t="s">
        <v>194</v>
      </c>
      <c r="C358" t="s">
        <v>4111</v>
      </c>
      <c r="D358" t="s">
        <v>17959</v>
      </c>
      <c r="E358" t="s">
        <v>18404</v>
      </c>
      <c r="F358" t="s">
        <v>30900</v>
      </c>
      <c r="G358" t="s">
        <v>30908</v>
      </c>
      <c r="H358" t="s">
        <v>30916</v>
      </c>
      <c r="I358" t="s">
        <v>4108</v>
      </c>
      <c r="J358" t="s">
        <v>31349</v>
      </c>
      <c r="K358" t="s">
        <v>40286</v>
      </c>
      <c r="M358" t="s">
        <v>40741</v>
      </c>
      <c r="N358" t="s">
        <v>44759</v>
      </c>
      <c r="O358" t="s">
        <v>44760</v>
      </c>
      <c r="P358">
        <v>0</v>
      </c>
      <c r="Q358">
        <v>0</v>
      </c>
      <c r="R358" t="s">
        <v>44761</v>
      </c>
      <c r="S358" t="s">
        <v>44862</v>
      </c>
      <c r="T358" t="s">
        <v>46421</v>
      </c>
      <c r="U358" t="s">
        <v>47237</v>
      </c>
      <c r="W358" t="s">
        <v>40741</v>
      </c>
      <c r="X358" t="s">
        <v>44762</v>
      </c>
    </row>
    <row r="359" spans="1:24">
      <c r="A359">
        <f>HYPERLINK("https://www.philgeps.gov.ph/GEPSNONPILOT/Tender/SplashBidNoticeAbstractUI.aspx?menuIndex=3&amp;refID=7152355&amp;Result=3","7152355")</f>
        <v>0</v>
      </c>
      <c r="B359" t="s">
        <v>221</v>
      </c>
      <c r="C359" t="s">
        <v>4112</v>
      </c>
      <c r="D359" t="s">
        <v>17972</v>
      </c>
      <c r="E359" t="s">
        <v>18405</v>
      </c>
      <c r="F359" t="s">
        <v>30900</v>
      </c>
      <c r="G359" t="s">
        <v>30908</v>
      </c>
      <c r="H359" t="s">
        <v>30916</v>
      </c>
      <c r="I359" t="s">
        <v>4108</v>
      </c>
      <c r="J359" t="s">
        <v>31350</v>
      </c>
      <c r="K359" t="s">
        <v>40287</v>
      </c>
      <c r="M359" t="s">
        <v>40768</v>
      </c>
      <c r="N359" t="s">
        <v>44759</v>
      </c>
      <c r="O359" t="s">
        <v>44760</v>
      </c>
      <c r="P359">
        <v>0</v>
      </c>
      <c r="Q359">
        <v>0</v>
      </c>
      <c r="R359" t="s">
        <v>44761</v>
      </c>
      <c r="S359" t="s">
        <v>44862</v>
      </c>
      <c r="T359" t="s">
        <v>46444</v>
      </c>
      <c r="U359" t="s">
        <v>47282</v>
      </c>
      <c r="W359" t="s">
        <v>40768</v>
      </c>
      <c r="X359" t="s">
        <v>44762</v>
      </c>
    </row>
    <row r="360" spans="1:24">
      <c r="A360">
        <f>HYPERLINK("https://www.philgeps.gov.ph/GEPSNONPILOT/Tender/SplashBidNoticeAbstractUI.aspx?menuIndex=3&amp;refID=7152395&amp;Result=3","7152395")</f>
        <v>0</v>
      </c>
      <c r="B360" t="s">
        <v>124</v>
      </c>
      <c r="C360" t="s">
        <v>4113</v>
      </c>
      <c r="D360" t="s">
        <v>17982</v>
      </c>
      <c r="E360" t="s">
        <v>18406</v>
      </c>
      <c r="F360" t="s">
        <v>30900</v>
      </c>
      <c r="G360" t="s">
        <v>30907</v>
      </c>
      <c r="H360" t="s">
        <v>30915</v>
      </c>
      <c r="I360" t="s">
        <v>30919</v>
      </c>
      <c r="J360" t="s">
        <v>31351</v>
      </c>
      <c r="K360" t="s">
        <v>40304</v>
      </c>
      <c r="M360" t="s">
        <v>40671</v>
      </c>
      <c r="N360" t="s">
        <v>44759</v>
      </c>
      <c r="O360" t="s">
        <v>44760</v>
      </c>
      <c r="P360">
        <v>0</v>
      </c>
      <c r="Q360">
        <v>0</v>
      </c>
      <c r="R360" t="s">
        <v>44761</v>
      </c>
      <c r="S360" t="s">
        <v>44862</v>
      </c>
      <c r="T360" t="s">
        <v>46380</v>
      </c>
      <c r="U360" t="s">
        <v>47283</v>
      </c>
      <c r="W360" t="s">
        <v>40671</v>
      </c>
      <c r="X360" t="s">
        <v>44762</v>
      </c>
    </row>
    <row r="361" spans="1:24">
      <c r="A361">
        <f>HYPERLINK("https://www.philgeps.gov.ph/GEPSNONPILOT/Tender/SplashBidNoticeAbstractUI.aspx?menuIndex=3&amp;refID=7152354&amp;Result=3","7152354")</f>
        <v>0</v>
      </c>
      <c r="B361" t="s">
        <v>181</v>
      </c>
      <c r="C361" t="s">
        <v>4114</v>
      </c>
      <c r="D361" t="s">
        <v>17996</v>
      </c>
      <c r="E361" t="s">
        <v>18407</v>
      </c>
      <c r="F361" t="s">
        <v>30900</v>
      </c>
      <c r="G361" t="s">
        <v>30907</v>
      </c>
      <c r="H361" t="s">
        <v>30915</v>
      </c>
      <c r="I361" t="s">
        <v>30919</v>
      </c>
      <c r="J361" t="s">
        <v>31297</v>
      </c>
      <c r="K361" t="s">
        <v>40289</v>
      </c>
      <c r="M361" t="s">
        <v>40728</v>
      </c>
      <c r="N361" t="s">
        <v>44759</v>
      </c>
      <c r="O361" t="s">
        <v>44760</v>
      </c>
      <c r="P361">
        <v>0</v>
      </c>
      <c r="Q361">
        <v>0</v>
      </c>
      <c r="R361" t="s">
        <v>44761</v>
      </c>
      <c r="S361" t="s">
        <v>44862</v>
      </c>
      <c r="T361" t="s">
        <v>46431</v>
      </c>
      <c r="U361" t="s">
        <v>47284</v>
      </c>
      <c r="W361" t="s">
        <v>40728</v>
      </c>
      <c r="X361" t="s">
        <v>44762</v>
      </c>
    </row>
    <row r="362" spans="1:24">
      <c r="A362">
        <f>HYPERLINK("https://www.philgeps.gov.ph/GEPSNONPILOT/Tender/SplashBidNoticeAbstractUI.aspx?menuIndex=3&amp;refID=7152393&amp;Result=3","7152393")</f>
        <v>0</v>
      </c>
      <c r="B362" t="s">
        <v>222</v>
      </c>
      <c r="C362" t="s">
        <v>4115</v>
      </c>
      <c r="D362" t="s">
        <v>17973</v>
      </c>
      <c r="E362" t="s">
        <v>18408</v>
      </c>
      <c r="F362" t="s">
        <v>30900</v>
      </c>
      <c r="G362" t="s">
        <v>30908</v>
      </c>
      <c r="H362" t="s">
        <v>30917</v>
      </c>
      <c r="I362" t="s">
        <v>10602</v>
      </c>
      <c r="J362" t="s">
        <v>31352</v>
      </c>
      <c r="K362" t="s">
        <v>40285</v>
      </c>
      <c r="M362" t="s">
        <v>40769</v>
      </c>
      <c r="N362" t="s">
        <v>44759</v>
      </c>
      <c r="O362" t="s">
        <v>44760</v>
      </c>
      <c r="P362">
        <v>0</v>
      </c>
      <c r="Q362">
        <v>0</v>
      </c>
      <c r="R362" t="s">
        <v>44761</v>
      </c>
      <c r="S362" t="s">
        <v>44862</v>
      </c>
      <c r="T362" t="s">
        <v>46399</v>
      </c>
      <c r="U362" t="s">
        <v>47285</v>
      </c>
      <c r="V362" t="s">
        <v>47244</v>
      </c>
      <c r="W362" t="s">
        <v>40769</v>
      </c>
      <c r="X362" t="s">
        <v>44762</v>
      </c>
    </row>
    <row r="363" spans="1:24">
      <c r="A363">
        <f>HYPERLINK("https://www.philgeps.gov.ph/GEPSNONPILOT/Tender/SplashBidNoticeAbstractUI.aspx?menuIndex=3&amp;refID=7152391&amp;Result=3","7152391")</f>
        <v>0</v>
      </c>
      <c r="B363" t="s">
        <v>223</v>
      </c>
      <c r="C363" t="s">
        <v>4116</v>
      </c>
      <c r="D363" t="s">
        <v>18002</v>
      </c>
      <c r="E363" t="s">
        <v>18409</v>
      </c>
      <c r="F363" t="s">
        <v>30900</v>
      </c>
      <c r="G363" t="s">
        <v>30908</v>
      </c>
      <c r="H363" t="s">
        <v>30916</v>
      </c>
      <c r="I363" t="s">
        <v>30952</v>
      </c>
      <c r="J363" t="s">
        <v>31353</v>
      </c>
      <c r="K363" t="s">
        <v>40289</v>
      </c>
      <c r="M363" t="s">
        <v>40770</v>
      </c>
      <c r="N363" t="s">
        <v>44759</v>
      </c>
      <c r="O363" t="s">
        <v>44760</v>
      </c>
      <c r="P363">
        <v>0</v>
      </c>
      <c r="Q363">
        <v>0</v>
      </c>
      <c r="R363" t="s">
        <v>44761</v>
      </c>
      <c r="S363" t="s">
        <v>44862</v>
      </c>
      <c r="T363" t="s">
        <v>46409</v>
      </c>
      <c r="U363" t="s">
        <v>47286</v>
      </c>
      <c r="W363" t="s">
        <v>40770</v>
      </c>
      <c r="X363" t="s">
        <v>44762</v>
      </c>
    </row>
    <row r="364" spans="1:24">
      <c r="A364">
        <f>HYPERLINK("https://www.philgeps.gov.ph/GEPSNONPILOT/Tender/SplashBidNoticeAbstractUI.aspx?menuIndex=3&amp;refID=7152388&amp;Result=3","7152388")</f>
        <v>0</v>
      </c>
      <c r="B364" t="s">
        <v>177</v>
      </c>
      <c r="C364" t="s">
        <v>4117</v>
      </c>
      <c r="D364" t="s">
        <v>17999</v>
      </c>
      <c r="E364" t="s">
        <v>18410</v>
      </c>
      <c r="F364" t="s">
        <v>30900</v>
      </c>
      <c r="G364" t="s">
        <v>30908</v>
      </c>
      <c r="H364" t="s">
        <v>30917</v>
      </c>
      <c r="I364" t="s">
        <v>6746</v>
      </c>
      <c r="J364" t="s">
        <v>31067</v>
      </c>
      <c r="K364" t="s">
        <v>40280</v>
      </c>
      <c r="M364" t="s">
        <v>40724</v>
      </c>
      <c r="N364" t="s">
        <v>44759</v>
      </c>
      <c r="O364" t="s">
        <v>44760</v>
      </c>
      <c r="P364">
        <v>0</v>
      </c>
      <c r="Q364">
        <v>0</v>
      </c>
      <c r="R364" t="s">
        <v>44761</v>
      </c>
      <c r="S364" t="s">
        <v>44862</v>
      </c>
      <c r="T364" t="s">
        <v>46430</v>
      </c>
      <c r="U364" t="s">
        <v>47287</v>
      </c>
      <c r="W364" t="s">
        <v>40724</v>
      </c>
      <c r="X364" t="s">
        <v>44762</v>
      </c>
    </row>
    <row r="365" spans="1:24">
      <c r="A365">
        <f>HYPERLINK("https://www.philgeps.gov.ph/GEPSNONPILOT/Tender/SplashBidNoticeAbstractUI.aspx?menuIndex=3&amp;refID=7152209&amp;Result=3","7152209")</f>
        <v>0</v>
      </c>
      <c r="B365" t="s">
        <v>224</v>
      </c>
      <c r="C365" t="s">
        <v>4118</v>
      </c>
      <c r="D365" t="s">
        <v>18017</v>
      </c>
      <c r="E365" t="s">
        <v>18411</v>
      </c>
      <c r="F365" t="s">
        <v>30900</v>
      </c>
      <c r="G365" t="s">
        <v>30907</v>
      </c>
      <c r="H365" t="s">
        <v>30916</v>
      </c>
      <c r="I365" t="s">
        <v>8123</v>
      </c>
      <c r="J365" t="s">
        <v>31354</v>
      </c>
      <c r="K365" t="s">
        <v>40289</v>
      </c>
      <c r="M365" t="s">
        <v>40771</v>
      </c>
      <c r="N365" t="s">
        <v>44759</v>
      </c>
      <c r="O365" t="s">
        <v>44760</v>
      </c>
      <c r="P365">
        <v>0</v>
      </c>
      <c r="Q365">
        <v>0</v>
      </c>
      <c r="R365" t="s">
        <v>44761</v>
      </c>
      <c r="S365" t="s">
        <v>44862</v>
      </c>
      <c r="T365" t="s">
        <v>46445</v>
      </c>
      <c r="U365" t="s">
        <v>47288</v>
      </c>
      <c r="W365" t="s">
        <v>40771</v>
      </c>
      <c r="X365" t="s">
        <v>44762</v>
      </c>
    </row>
    <row r="366" spans="1:24">
      <c r="A366">
        <f>HYPERLINK("https://www.philgeps.gov.ph/GEPSNONPILOT/Tender/SplashBidNoticeAbstractUI.aspx?menuIndex=3&amp;refID=7152401&amp;Result=3","7152401")</f>
        <v>0</v>
      </c>
      <c r="B366" t="s">
        <v>225</v>
      </c>
      <c r="C366" t="s">
        <v>4119</v>
      </c>
      <c r="D366" t="s">
        <v>18007</v>
      </c>
      <c r="E366" t="s">
        <v>18412</v>
      </c>
      <c r="F366" t="s">
        <v>30900</v>
      </c>
      <c r="G366" t="s">
        <v>30910</v>
      </c>
      <c r="H366" t="s">
        <v>30916</v>
      </c>
      <c r="I366" t="s">
        <v>30924</v>
      </c>
      <c r="J366" t="s">
        <v>31130</v>
      </c>
      <c r="K366" t="s">
        <v>40283</v>
      </c>
      <c r="M366" t="s">
        <v>40772</v>
      </c>
      <c r="N366" t="s">
        <v>44759</v>
      </c>
      <c r="O366" t="s">
        <v>44760</v>
      </c>
      <c r="P366">
        <v>0</v>
      </c>
      <c r="Q366">
        <v>0</v>
      </c>
      <c r="R366" t="s">
        <v>44761</v>
      </c>
      <c r="S366" t="s">
        <v>44862</v>
      </c>
      <c r="T366" t="s">
        <v>46356</v>
      </c>
      <c r="U366" t="s">
        <v>47289</v>
      </c>
      <c r="V366" t="s">
        <v>59147</v>
      </c>
      <c r="W366" t="s">
        <v>40772</v>
      </c>
      <c r="X366" t="s">
        <v>44762</v>
      </c>
    </row>
    <row r="367" spans="1:24">
      <c r="A367">
        <f>HYPERLINK("https://www.philgeps.gov.ph/GEPSNONPILOT/Tender/SplashBidNoticeAbstractUI.aspx?menuIndex=3&amp;refID=7152398&amp;Result=3","7152398")</f>
        <v>0</v>
      </c>
      <c r="B367" t="s">
        <v>226</v>
      </c>
      <c r="C367" t="s">
        <v>4120</v>
      </c>
      <c r="D367" t="s">
        <v>17987</v>
      </c>
      <c r="E367" t="s">
        <v>18413</v>
      </c>
      <c r="F367" t="s">
        <v>30900</v>
      </c>
      <c r="G367" t="s">
        <v>30910</v>
      </c>
      <c r="H367" t="s">
        <v>30916</v>
      </c>
      <c r="I367" t="s">
        <v>6396</v>
      </c>
      <c r="J367" t="s">
        <v>31355</v>
      </c>
      <c r="K367" t="s">
        <v>40284</v>
      </c>
      <c r="M367" t="s">
        <v>40773</v>
      </c>
      <c r="N367" t="s">
        <v>44759</v>
      </c>
      <c r="O367" t="s">
        <v>44760</v>
      </c>
      <c r="P367">
        <v>0</v>
      </c>
      <c r="Q367">
        <v>0</v>
      </c>
      <c r="R367" t="s">
        <v>44761</v>
      </c>
      <c r="S367" t="s">
        <v>44862</v>
      </c>
      <c r="T367" t="s">
        <v>46352</v>
      </c>
      <c r="U367" t="s">
        <v>47290</v>
      </c>
      <c r="W367" t="s">
        <v>40773</v>
      </c>
      <c r="X367" t="s">
        <v>44762</v>
      </c>
    </row>
    <row r="368" spans="1:24">
      <c r="A368">
        <f>HYPERLINK("https://www.philgeps.gov.ph/GEPSNONPILOT/Tender/SplashBidNoticeAbstractUI.aspx?menuIndex=3&amp;refID=7152394&amp;Result=3","7152394")</f>
        <v>0</v>
      </c>
      <c r="B368" t="s">
        <v>227</v>
      </c>
      <c r="C368" t="s">
        <v>4121</v>
      </c>
      <c r="D368" t="s">
        <v>18012</v>
      </c>
      <c r="E368" t="s">
        <v>18414</v>
      </c>
      <c r="F368" t="s">
        <v>30900</v>
      </c>
      <c r="G368" t="s">
        <v>30907</v>
      </c>
      <c r="H368" t="s">
        <v>30915</v>
      </c>
      <c r="I368" t="s">
        <v>30919</v>
      </c>
      <c r="J368" t="s">
        <v>31356</v>
      </c>
      <c r="K368" t="s">
        <v>40322</v>
      </c>
      <c r="M368" t="s">
        <v>40774</v>
      </c>
      <c r="N368" t="s">
        <v>44759</v>
      </c>
      <c r="O368" t="s">
        <v>44760</v>
      </c>
      <c r="P368">
        <v>0</v>
      </c>
      <c r="Q368">
        <v>0</v>
      </c>
      <c r="R368" t="s">
        <v>44761</v>
      </c>
      <c r="S368" t="s">
        <v>44862</v>
      </c>
      <c r="T368" t="s">
        <v>46446</v>
      </c>
      <c r="U368" t="s">
        <v>47291</v>
      </c>
      <c r="V368" t="s">
        <v>59148</v>
      </c>
      <c r="W368" t="s">
        <v>40774</v>
      </c>
      <c r="X368" t="s">
        <v>44762</v>
      </c>
    </row>
    <row r="369" spans="1:24">
      <c r="A369">
        <f>HYPERLINK("https://www.philgeps.gov.ph/GEPSNONPILOT/Tender/SplashBidNoticeAbstractUI.aspx?menuIndex=3&amp;refID=7152386&amp;Result=3","7152386")</f>
        <v>0</v>
      </c>
      <c r="B369" t="s">
        <v>228</v>
      </c>
      <c r="C369" t="s">
        <v>4122</v>
      </c>
      <c r="D369" t="s">
        <v>18009</v>
      </c>
      <c r="E369" t="s">
        <v>18415</v>
      </c>
      <c r="F369" t="s">
        <v>30900</v>
      </c>
      <c r="G369" t="s">
        <v>30907</v>
      </c>
      <c r="H369" t="s">
        <v>30915</v>
      </c>
      <c r="I369" t="s">
        <v>30919</v>
      </c>
      <c r="J369" t="s">
        <v>31357</v>
      </c>
      <c r="K369" t="s">
        <v>40323</v>
      </c>
      <c r="M369" t="s">
        <v>40775</v>
      </c>
      <c r="N369" t="s">
        <v>44759</v>
      </c>
      <c r="O369" t="s">
        <v>44760</v>
      </c>
      <c r="P369">
        <v>0</v>
      </c>
      <c r="Q369">
        <v>0</v>
      </c>
      <c r="R369" t="s">
        <v>44761</v>
      </c>
      <c r="S369" t="s">
        <v>44862</v>
      </c>
      <c r="T369" t="s">
        <v>46417</v>
      </c>
      <c r="U369" t="s">
        <v>47292</v>
      </c>
      <c r="W369" t="s">
        <v>40775</v>
      </c>
      <c r="X369" t="s">
        <v>44762</v>
      </c>
    </row>
    <row r="370" spans="1:24">
      <c r="A370">
        <f>HYPERLINK("https://www.philgeps.gov.ph/GEPSNONPILOT/Tender/SplashBidNoticeAbstractUI.aspx?menuIndex=3&amp;refID=7152390&amp;Result=3","7152390")</f>
        <v>0</v>
      </c>
      <c r="B370" t="s">
        <v>229</v>
      </c>
      <c r="C370" t="s">
        <v>4123</v>
      </c>
      <c r="D370" t="s">
        <v>18018</v>
      </c>
      <c r="E370" t="s">
        <v>18416</v>
      </c>
      <c r="F370" t="s">
        <v>30900</v>
      </c>
      <c r="G370" t="s">
        <v>30909</v>
      </c>
      <c r="H370" t="s">
        <v>30916</v>
      </c>
      <c r="I370" t="s">
        <v>6396</v>
      </c>
      <c r="J370" t="s">
        <v>31358</v>
      </c>
      <c r="K370" t="s">
        <v>40283</v>
      </c>
      <c r="M370" t="s">
        <v>40776</v>
      </c>
      <c r="N370" t="s">
        <v>44759</v>
      </c>
      <c r="O370" t="s">
        <v>44760</v>
      </c>
      <c r="P370">
        <v>0</v>
      </c>
      <c r="Q370">
        <v>0</v>
      </c>
      <c r="R370" t="s">
        <v>44761</v>
      </c>
      <c r="S370" t="s">
        <v>44862</v>
      </c>
      <c r="T370" t="s">
        <v>46409</v>
      </c>
      <c r="U370" t="s">
        <v>47293</v>
      </c>
      <c r="V370" t="s">
        <v>59149</v>
      </c>
      <c r="W370" t="s">
        <v>40776</v>
      </c>
      <c r="X370" t="s">
        <v>44762</v>
      </c>
    </row>
    <row r="371" spans="1:24">
      <c r="A371">
        <f>HYPERLINK("https://www.philgeps.gov.ph/GEPSNONPILOT/Tender/SplashBidNoticeAbstractUI.aspx?menuIndex=3&amp;refID=7152193&amp;Result=3","7152193")</f>
        <v>0</v>
      </c>
      <c r="B371" t="s">
        <v>132</v>
      </c>
      <c r="C371" t="s">
        <v>4124</v>
      </c>
      <c r="D371" t="s">
        <v>18002</v>
      </c>
      <c r="E371" t="s">
        <v>18417</v>
      </c>
      <c r="F371" t="s">
        <v>30900</v>
      </c>
      <c r="G371" t="s">
        <v>30908</v>
      </c>
      <c r="H371" t="s">
        <v>30916</v>
      </c>
      <c r="I371" t="s">
        <v>4108</v>
      </c>
      <c r="J371" t="s">
        <v>31359</v>
      </c>
      <c r="K371" t="s">
        <v>40288</v>
      </c>
      <c r="M371" t="s">
        <v>40679</v>
      </c>
      <c r="N371" t="s">
        <v>44759</v>
      </c>
      <c r="O371" t="s">
        <v>44760</v>
      </c>
      <c r="P371">
        <v>0</v>
      </c>
      <c r="Q371">
        <v>0</v>
      </c>
      <c r="R371" t="s">
        <v>44761</v>
      </c>
      <c r="S371" t="s">
        <v>44862</v>
      </c>
      <c r="T371" t="s">
        <v>46376</v>
      </c>
      <c r="U371" t="s">
        <v>47294</v>
      </c>
      <c r="W371" t="s">
        <v>40679</v>
      </c>
      <c r="X371" t="s">
        <v>44762</v>
      </c>
    </row>
    <row r="372" spans="1:24">
      <c r="A372">
        <f>HYPERLINK("https://www.philgeps.gov.ph/GEPSNONPILOT/Tender/SplashBidNoticeAbstractUI.aspx?menuIndex=3&amp;refID=7152384&amp;Result=3","7152384")</f>
        <v>0</v>
      </c>
      <c r="B372" t="s">
        <v>212</v>
      </c>
      <c r="C372" t="s">
        <v>4125</v>
      </c>
      <c r="D372" t="s">
        <v>17962</v>
      </c>
      <c r="E372" t="s">
        <v>18418</v>
      </c>
      <c r="F372" t="s">
        <v>30900</v>
      </c>
      <c r="G372" t="s">
        <v>30907</v>
      </c>
      <c r="H372" t="s">
        <v>30915</v>
      </c>
      <c r="I372" t="s">
        <v>30919</v>
      </c>
      <c r="J372" t="s">
        <v>31152</v>
      </c>
      <c r="K372" t="s">
        <v>40320</v>
      </c>
      <c r="M372" t="s">
        <v>40759</v>
      </c>
      <c r="N372" t="s">
        <v>44759</v>
      </c>
      <c r="O372" t="s">
        <v>44760</v>
      </c>
      <c r="P372">
        <v>0</v>
      </c>
      <c r="Q372">
        <v>0</v>
      </c>
      <c r="R372" t="s">
        <v>44761</v>
      </c>
      <c r="S372" t="s">
        <v>44862</v>
      </c>
      <c r="T372" t="s">
        <v>46431</v>
      </c>
      <c r="U372" t="s">
        <v>47295</v>
      </c>
      <c r="W372" t="s">
        <v>40759</v>
      </c>
      <c r="X372" t="s">
        <v>44762</v>
      </c>
    </row>
    <row r="373" spans="1:24">
      <c r="A373">
        <f>HYPERLINK("https://www.philgeps.gov.ph/GEPSNONPILOT/Tender/SplashBidNoticeAbstractUI.aspx?menuIndex=3&amp;refID=7152400&amp;Result=3","7152400")</f>
        <v>0</v>
      </c>
      <c r="B373" t="s">
        <v>180</v>
      </c>
      <c r="C373" t="s">
        <v>4126</v>
      </c>
      <c r="D373" t="s">
        <v>17987</v>
      </c>
      <c r="E373" t="s">
        <v>18419</v>
      </c>
      <c r="F373" t="s">
        <v>30900</v>
      </c>
      <c r="G373" t="s">
        <v>30906</v>
      </c>
      <c r="H373" t="s">
        <v>30916</v>
      </c>
      <c r="I373" t="s">
        <v>4108</v>
      </c>
      <c r="J373" t="s">
        <v>31360</v>
      </c>
      <c r="K373" t="s">
        <v>40287</v>
      </c>
      <c r="M373" t="s">
        <v>40727</v>
      </c>
      <c r="N373" t="s">
        <v>44759</v>
      </c>
      <c r="O373" t="s">
        <v>44760</v>
      </c>
      <c r="P373">
        <v>0</v>
      </c>
      <c r="Q373">
        <v>0</v>
      </c>
      <c r="R373" t="s">
        <v>44761</v>
      </c>
      <c r="S373" t="s">
        <v>44862</v>
      </c>
      <c r="T373" t="s">
        <v>46409</v>
      </c>
      <c r="U373" t="s">
        <v>47296</v>
      </c>
      <c r="W373" t="s">
        <v>40727</v>
      </c>
      <c r="X373" t="s">
        <v>44762</v>
      </c>
    </row>
    <row r="374" spans="1:24">
      <c r="A374">
        <f>HYPERLINK("https://www.philgeps.gov.ph/GEPSNONPILOT/Tender/SplashBidNoticeAbstractUI.aspx?menuIndex=3&amp;refID=7152380&amp;Result=3","7152380")</f>
        <v>0</v>
      </c>
      <c r="B374" t="s">
        <v>230</v>
      </c>
      <c r="C374" t="s">
        <v>4127</v>
      </c>
      <c r="D374" t="s">
        <v>18019</v>
      </c>
      <c r="E374" t="s">
        <v>18420</v>
      </c>
      <c r="F374" t="s">
        <v>30900</v>
      </c>
      <c r="G374" t="s">
        <v>30909</v>
      </c>
      <c r="H374" t="s">
        <v>30916</v>
      </c>
      <c r="I374" t="s">
        <v>30938</v>
      </c>
      <c r="J374" t="s">
        <v>31361</v>
      </c>
      <c r="K374" t="s">
        <v>40324</v>
      </c>
      <c r="M374" t="s">
        <v>40777</v>
      </c>
      <c r="N374" t="s">
        <v>44759</v>
      </c>
      <c r="O374" t="s">
        <v>44760</v>
      </c>
      <c r="P374">
        <v>0</v>
      </c>
      <c r="Q374">
        <v>0</v>
      </c>
      <c r="R374" t="s">
        <v>44761</v>
      </c>
      <c r="S374" t="s">
        <v>44862</v>
      </c>
      <c r="T374" t="s">
        <v>46362</v>
      </c>
      <c r="U374" t="s">
        <v>47297</v>
      </c>
      <c r="W374" t="s">
        <v>40777</v>
      </c>
      <c r="X374" t="s">
        <v>44762</v>
      </c>
    </row>
    <row r="375" spans="1:24">
      <c r="A375">
        <f>HYPERLINK("https://www.philgeps.gov.ph/GEPSNONPILOT/Tender/SplashBidNoticeAbstractUI.aspx?menuIndex=3&amp;refID=7152402&amp;Result=3","7152402")</f>
        <v>0</v>
      </c>
      <c r="B375" t="s">
        <v>121</v>
      </c>
      <c r="C375" t="s">
        <v>4128</v>
      </c>
      <c r="D375" t="s">
        <v>17971</v>
      </c>
      <c r="E375" t="s">
        <v>18421</v>
      </c>
      <c r="F375" t="s">
        <v>30900</v>
      </c>
      <c r="G375" t="s">
        <v>30910</v>
      </c>
      <c r="H375" t="s">
        <v>30916</v>
      </c>
      <c r="I375" t="s">
        <v>4108</v>
      </c>
      <c r="J375" t="s">
        <v>31362</v>
      </c>
      <c r="K375" t="s">
        <v>40283</v>
      </c>
      <c r="M375" t="s">
        <v>40668</v>
      </c>
      <c r="N375" t="s">
        <v>44759</v>
      </c>
      <c r="O375" t="s">
        <v>44760</v>
      </c>
      <c r="P375">
        <v>0</v>
      </c>
      <c r="Q375">
        <v>0</v>
      </c>
      <c r="R375" t="s">
        <v>44761</v>
      </c>
      <c r="S375" t="s">
        <v>44862</v>
      </c>
      <c r="T375" t="s">
        <v>46357</v>
      </c>
      <c r="U375" t="s">
        <v>47298</v>
      </c>
      <c r="W375" t="s">
        <v>40668</v>
      </c>
      <c r="X375" t="s">
        <v>44762</v>
      </c>
    </row>
    <row r="376" spans="1:24">
      <c r="A376">
        <f>HYPERLINK("https://www.philgeps.gov.ph/GEPSNONPILOT/Tender/SplashBidNoticeAbstractUI.aspx?menuIndex=3&amp;refID=7152417&amp;Result=3","7152417")</f>
        <v>0</v>
      </c>
      <c r="B376" t="s">
        <v>231</v>
      </c>
      <c r="C376" t="s">
        <v>4129</v>
      </c>
      <c r="D376" t="s">
        <v>17957</v>
      </c>
      <c r="E376" t="s">
        <v>18422</v>
      </c>
      <c r="F376" t="s">
        <v>30900</v>
      </c>
      <c r="G376" t="s">
        <v>30908</v>
      </c>
      <c r="H376" t="s">
        <v>30916</v>
      </c>
      <c r="I376" t="s">
        <v>10847</v>
      </c>
      <c r="J376" t="s">
        <v>31363</v>
      </c>
      <c r="K376" t="s">
        <v>40294</v>
      </c>
      <c r="M376" t="s">
        <v>40778</v>
      </c>
      <c r="N376" t="s">
        <v>44759</v>
      </c>
      <c r="O376" t="s">
        <v>44760</v>
      </c>
      <c r="P376">
        <v>0</v>
      </c>
      <c r="Q376">
        <v>0</v>
      </c>
      <c r="R376" t="s">
        <v>44761</v>
      </c>
      <c r="S376" t="s">
        <v>44862</v>
      </c>
      <c r="T376" t="s">
        <v>46399</v>
      </c>
      <c r="U376" t="s">
        <v>47299</v>
      </c>
      <c r="W376" t="s">
        <v>40778</v>
      </c>
      <c r="X376" t="s">
        <v>44762</v>
      </c>
    </row>
    <row r="377" spans="1:24">
      <c r="A377">
        <f>HYPERLINK("https://www.philgeps.gov.ph/GEPSNONPILOT/Tender/SplashBidNoticeAbstractUI.aspx?menuIndex=3&amp;refID=7152416&amp;Result=3","7152416")</f>
        <v>0</v>
      </c>
      <c r="B377" t="s">
        <v>232</v>
      </c>
      <c r="C377" t="s">
        <v>4130</v>
      </c>
      <c r="D377" t="s">
        <v>17987</v>
      </c>
      <c r="E377" t="s">
        <v>18423</v>
      </c>
      <c r="F377" t="s">
        <v>30899</v>
      </c>
      <c r="G377" t="s">
        <v>30907</v>
      </c>
      <c r="H377" t="s">
        <v>30916</v>
      </c>
      <c r="I377" t="s">
        <v>8123</v>
      </c>
      <c r="J377" t="s">
        <v>31364</v>
      </c>
      <c r="K377" t="s">
        <v>40286</v>
      </c>
      <c r="M377" t="s">
        <v>40779</v>
      </c>
      <c r="N377" t="s">
        <v>44759</v>
      </c>
      <c r="O377" t="s">
        <v>44760</v>
      </c>
      <c r="P377">
        <v>0</v>
      </c>
      <c r="Q377">
        <v>0</v>
      </c>
      <c r="R377" t="s">
        <v>44761</v>
      </c>
      <c r="S377" t="s">
        <v>44862</v>
      </c>
      <c r="T377" t="s">
        <v>46447</v>
      </c>
      <c r="U377" t="s">
        <v>47300</v>
      </c>
      <c r="W377" t="s">
        <v>40779</v>
      </c>
      <c r="X377" t="s">
        <v>44762</v>
      </c>
    </row>
    <row r="378" spans="1:24">
      <c r="A378">
        <f>HYPERLINK("https://www.philgeps.gov.ph/GEPSNONPILOT/Tender/SplashBidNoticeAbstractUI.aspx?menuIndex=3&amp;refID=7152385&amp;Result=3","7152385")</f>
        <v>0</v>
      </c>
      <c r="B378" t="s">
        <v>165</v>
      </c>
      <c r="C378" t="s">
        <v>4131</v>
      </c>
      <c r="D378" t="s">
        <v>18009</v>
      </c>
      <c r="E378" t="s">
        <v>18424</v>
      </c>
      <c r="F378" t="s">
        <v>30900</v>
      </c>
      <c r="G378" t="s">
        <v>30908</v>
      </c>
      <c r="H378" t="s">
        <v>30916</v>
      </c>
      <c r="I378" t="s">
        <v>6953</v>
      </c>
      <c r="J378" t="s">
        <v>31206</v>
      </c>
      <c r="K378" t="s">
        <v>40284</v>
      </c>
      <c r="M378" t="s">
        <v>40712</v>
      </c>
      <c r="N378" t="s">
        <v>44759</v>
      </c>
      <c r="O378" t="s">
        <v>44760</v>
      </c>
      <c r="P378">
        <v>0</v>
      </c>
      <c r="Q378">
        <v>0</v>
      </c>
      <c r="R378" t="s">
        <v>44761</v>
      </c>
      <c r="S378" t="s">
        <v>44862</v>
      </c>
      <c r="T378" t="s">
        <v>46376</v>
      </c>
      <c r="U378" t="s">
        <v>47301</v>
      </c>
      <c r="W378" t="s">
        <v>40712</v>
      </c>
      <c r="X378" t="s">
        <v>44762</v>
      </c>
    </row>
    <row r="379" spans="1:24">
      <c r="A379">
        <f>HYPERLINK("https://www.philgeps.gov.ph/GEPSNONPILOT/Tender/SplashBidNoticeAbstractUI.aspx?menuIndex=3&amp;refID=7152378&amp;Result=3","7152378")</f>
        <v>0</v>
      </c>
      <c r="B379" t="s">
        <v>233</v>
      </c>
      <c r="C379" t="s">
        <v>4132</v>
      </c>
      <c r="E379" t="s">
        <v>18425</v>
      </c>
      <c r="F379" t="s">
        <v>30900</v>
      </c>
      <c r="G379" t="s">
        <v>30907</v>
      </c>
      <c r="H379" t="s">
        <v>30916</v>
      </c>
      <c r="I379" t="s">
        <v>8123</v>
      </c>
      <c r="J379" t="s">
        <v>31365</v>
      </c>
      <c r="K379" t="s">
        <v>40289</v>
      </c>
      <c r="M379" t="s">
        <v>40780</v>
      </c>
      <c r="N379" t="s">
        <v>44759</v>
      </c>
      <c r="O379" t="s">
        <v>44760</v>
      </c>
      <c r="P379">
        <v>0</v>
      </c>
      <c r="Q379">
        <v>0</v>
      </c>
      <c r="R379" t="s">
        <v>44761</v>
      </c>
      <c r="S379" t="s">
        <v>44862</v>
      </c>
      <c r="T379" t="s">
        <v>46448</v>
      </c>
      <c r="U379" t="s">
        <v>47302</v>
      </c>
      <c r="W379" t="s">
        <v>40780</v>
      </c>
      <c r="X379" t="s">
        <v>44762</v>
      </c>
    </row>
    <row r="380" spans="1:24">
      <c r="A380">
        <f>HYPERLINK("https://www.philgeps.gov.ph/GEPSNONPILOT/Tender/SplashBidNoticeAbstractUI.aspx?menuIndex=3&amp;refID=7152425&amp;Result=3","7152425")</f>
        <v>0</v>
      </c>
      <c r="B380" t="s">
        <v>234</v>
      </c>
      <c r="C380" t="s">
        <v>4133</v>
      </c>
      <c r="D380" t="s">
        <v>17961</v>
      </c>
      <c r="E380" t="s">
        <v>18426</v>
      </c>
      <c r="F380" t="s">
        <v>30900</v>
      </c>
      <c r="G380" t="s">
        <v>30907</v>
      </c>
      <c r="H380" t="s">
        <v>30915</v>
      </c>
      <c r="I380" t="s">
        <v>30919</v>
      </c>
      <c r="J380" t="s">
        <v>31366</v>
      </c>
      <c r="K380" t="s">
        <v>40286</v>
      </c>
      <c r="M380" t="s">
        <v>40781</v>
      </c>
      <c r="N380" t="s">
        <v>44759</v>
      </c>
      <c r="O380" t="s">
        <v>44760</v>
      </c>
      <c r="P380">
        <v>0</v>
      </c>
      <c r="Q380">
        <v>0</v>
      </c>
      <c r="R380" t="s">
        <v>44761</v>
      </c>
      <c r="S380" t="s">
        <v>44862</v>
      </c>
      <c r="T380" t="s">
        <v>46352</v>
      </c>
      <c r="U380" t="s">
        <v>47303</v>
      </c>
      <c r="V380" t="s">
        <v>59150</v>
      </c>
      <c r="W380" t="s">
        <v>40781</v>
      </c>
      <c r="X380" t="s">
        <v>44762</v>
      </c>
    </row>
    <row r="381" spans="1:24">
      <c r="A381">
        <f>HYPERLINK("https://www.philgeps.gov.ph/GEPSNONPILOT/Tender/SplashBidNoticeAbstractUI.aspx?menuIndex=3&amp;refID=7152381&amp;Result=3","7152381")</f>
        <v>0</v>
      </c>
      <c r="B381" t="s">
        <v>235</v>
      </c>
      <c r="C381" t="s">
        <v>4134</v>
      </c>
      <c r="D381" t="s">
        <v>17959</v>
      </c>
      <c r="E381" t="s">
        <v>18427</v>
      </c>
      <c r="F381" t="s">
        <v>30900</v>
      </c>
      <c r="G381" t="s">
        <v>30908</v>
      </c>
      <c r="H381" t="s">
        <v>30916</v>
      </c>
      <c r="I381" t="s">
        <v>5501</v>
      </c>
      <c r="J381" t="s">
        <v>31367</v>
      </c>
      <c r="K381" t="s">
        <v>40289</v>
      </c>
      <c r="M381" t="s">
        <v>40782</v>
      </c>
      <c r="N381" t="s">
        <v>44759</v>
      </c>
      <c r="O381" t="s">
        <v>44760</v>
      </c>
      <c r="P381">
        <v>0</v>
      </c>
      <c r="Q381">
        <v>0</v>
      </c>
      <c r="R381" t="s">
        <v>44761</v>
      </c>
      <c r="S381" t="s">
        <v>44862</v>
      </c>
      <c r="T381" t="s">
        <v>46390</v>
      </c>
      <c r="U381" t="s">
        <v>47304</v>
      </c>
      <c r="V381" t="s">
        <v>59151</v>
      </c>
      <c r="W381" t="s">
        <v>40782</v>
      </c>
      <c r="X381" t="s">
        <v>44762</v>
      </c>
    </row>
    <row r="382" spans="1:24">
      <c r="A382">
        <f>HYPERLINK("https://www.philgeps.gov.ph/GEPSNONPILOT/Tender/SplashBidNoticeAbstractUI.aspx?menuIndex=3&amp;refID=7152424&amp;Result=3","7152424")</f>
        <v>0</v>
      </c>
      <c r="B382" t="s">
        <v>236</v>
      </c>
      <c r="C382" t="s">
        <v>4135</v>
      </c>
      <c r="D382" t="s">
        <v>17957</v>
      </c>
      <c r="E382" t="s">
        <v>18207</v>
      </c>
      <c r="F382" t="s">
        <v>30900</v>
      </c>
      <c r="G382" t="s">
        <v>30909</v>
      </c>
      <c r="H382" t="s">
        <v>30916</v>
      </c>
      <c r="I382" t="s">
        <v>4108</v>
      </c>
      <c r="J382" t="s">
        <v>31368</v>
      </c>
      <c r="K382" t="s">
        <v>40281</v>
      </c>
      <c r="M382" t="s">
        <v>40783</v>
      </c>
      <c r="N382" t="s">
        <v>44759</v>
      </c>
      <c r="O382" t="s">
        <v>44760</v>
      </c>
      <c r="P382">
        <v>0</v>
      </c>
      <c r="Q382">
        <v>0</v>
      </c>
      <c r="R382" t="s">
        <v>44761</v>
      </c>
      <c r="S382" t="s">
        <v>44862</v>
      </c>
      <c r="T382" t="s">
        <v>46383</v>
      </c>
      <c r="U382" t="s">
        <v>47305</v>
      </c>
      <c r="V382" t="s">
        <v>59152</v>
      </c>
      <c r="W382" t="s">
        <v>40783</v>
      </c>
      <c r="X382" t="s">
        <v>44762</v>
      </c>
    </row>
    <row r="383" spans="1:24">
      <c r="A383">
        <f>HYPERLINK("https://www.philgeps.gov.ph/GEPSNONPILOT/Tender/SplashBidNoticeAbstractUI.aspx?menuIndex=3&amp;refID=7152422&amp;Result=3","7152422")</f>
        <v>0</v>
      </c>
      <c r="B383" t="s">
        <v>237</v>
      </c>
      <c r="C383" t="s">
        <v>4136</v>
      </c>
      <c r="D383" t="s">
        <v>17977</v>
      </c>
      <c r="E383" t="s">
        <v>4136</v>
      </c>
      <c r="F383" t="s">
        <v>30900</v>
      </c>
      <c r="G383" t="s">
        <v>30908</v>
      </c>
      <c r="H383" t="s">
        <v>30916</v>
      </c>
      <c r="I383" t="s">
        <v>8123</v>
      </c>
      <c r="J383" t="s">
        <v>31369</v>
      </c>
      <c r="K383" t="s">
        <v>40289</v>
      </c>
      <c r="M383" t="s">
        <v>40784</v>
      </c>
      <c r="N383" t="s">
        <v>44759</v>
      </c>
      <c r="O383" t="s">
        <v>44760</v>
      </c>
      <c r="P383">
        <v>0</v>
      </c>
      <c r="Q383">
        <v>0</v>
      </c>
      <c r="R383" t="s">
        <v>44761</v>
      </c>
      <c r="S383" t="s">
        <v>44862</v>
      </c>
      <c r="T383" t="s">
        <v>46393</v>
      </c>
      <c r="U383" t="s">
        <v>47306</v>
      </c>
      <c r="W383" t="s">
        <v>40784</v>
      </c>
      <c r="X383" t="s">
        <v>44762</v>
      </c>
    </row>
    <row r="384" spans="1:24">
      <c r="A384">
        <f>HYPERLINK("https://www.philgeps.gov.ph/GEPSNONPILOT/Tender/SplashBidNoticeAbstractUI.aspx?menuIndex=3&amp;refID=7152421&amp;Result=3","7152421")</f>
        <v>0</v>
      </c>
      <c r="B384" t="s">
        <v>212</v>
      </c>
      <c r="C384" t="s">
        <v>4137</v>
      </c>
      <c r="D384" t="s">
        <v>17962</v>
      </c>
      <c r="E384" t="s">
        <v>18428</v>
      </c>
      <c r="F384" t="s">
        <v>30900</v>
      </c>
      <c r="G384" t="s">
        <v>30907</v>
      </c>
      <c r="H384" t="s">
        <v>30915</v>
      </c>
      <c r="I384" t="s">
        <v>30919</v>
      </c>
      <c r="J384" t="s">
        <v>31241</v>
      </c>
      <c r="K384" t="s">
        <v>40320</v>
      </c>
      <c r="M384" t="s">
        <v>40759</v>
      </c>
      <c r="N384" t="s">
        <v>44759</v>
      </c>
      <c r="O384" t="s">
        <v>44760</v>
      </c>
      <c r="P384">
        <v>0</v>
      </c>
      <c r="Q384">
        <v>0</v>
      </c>
      <c r="R384" t="s">
        <v>44761</v>
      </c>
      <c r="S384" t="s">
        <v>44862</v>
      </c>
      <c r="T384" t="s">
        <v>46431</v>
      </c>
      <c r="U384" t="s">
        <v>47307</v>
      </c>
      <c r="W384" t="s">
        <v>40759</v>
      </c>
      <c r="X384" t="s">
        <v>44762</v>
      </c>
    </row>
    <row r="385" spans="1:24">
      <c r="A385">
        <f>HYPERLINK("https://www.philgeps.gov.ph/GEPSNONPILOT/Tender/SplashBidNoticeAbstractUI.aspx?menuIndex=3&amp;refID=7152419&amp;Result=3","7152419")</f>
        <v>0</v>
      </c>
      <c r="B385" t="s">
        <v>238</v>
      </c>
      <c r="C385" t="s">
        <v>4138</v>
      </c>
      <c r="D385" t="s">
        <v>17951</v>
      </c>
      <c r="E385" t="s">
        <v>18429</v>
      </c>
      <c r="F385" t="s">
        <v>30900</v>
      </c>
      <c r="G385" t="s">
        <v>30907</v>
      </c>
      <c r="H385" t="s">
        <v>30916</v>
      </c>
      <c r="I385" t="s">
        <v>8123</v>
      </c>
      <c r="J385" t="s">
        <v>31370</v>
      </c>
      <c r="K385" t="s">
        <v>40287</v>
      </c>
      <c r="M385" t="s">
        <v>40785</v>
      </c>
      <c r="N385" t="s">
        <v>44759</v>
      </c>
      <c r="O385" t="s">
        <v>44760</v>
      </c>
      <c r="P385">
        <v>0</v>
      </c>
      <c r="Q385">
        <v>0</v>
      </c>
      <c r="R385" t="s">
        <v>44761</v>
      </c>
      <c r="S385" t="s">
        <v>44862</v>
      </c>
      <c r="T385" t="s">
        <v>46369</v>
      </c>
      <c r="U385" t="s">
        <v>47259</v>
      </c>
      <c r="W385" t="s">
        <v>40785</v>
      </c>
      <c r="X385" t="s">
        <v>44762</v>
      </c>
    </row>
    <row r="386" spans="1:24">
      <c r="A386">
        <f>HYPERLINK("https://www.philgeps.gov.ph/GEPSNONPILOT/Tender/SplashBidNoticeAbstractUI.aspx?menuIndex=3&amp;refID=7152414&amp;Result=3","7152414")</f>
        <v>0</v>
      </c>
      <c r="B386" t="s">
        <v>165</v>
      </c>
      <c r="C386" t="s">
        <v>4139</v>
      </c>
      <c r="D386" t="s">
        <v>18009</v>
      </c>
      <c r="E386" t="s">
        <v>18424</v>
      </c>
      <c r="F386" t="s">
        <v>30900</v>
      </c>
      <c r="G386" t="s">
        <v>30908</v>
      </c>
      <c r="H386" t="s">
        <v>30916</v>
      </c>
      <c r="I386" t="s">
        <v>30953</v>
      </c>
      <c r="J386" t="s">
        <v>31204</v>
      </c>
      <c r="K386" t="s">
        <v>40284</v>
      </c>
      <c r="M386" t="s">
        <v>40712</v>
      </c>
      <c r="N386" t="s">
        <v>44759</v>
      </c>
      <c r="O386" t="s">
        <v>44760</v>
      </c>
      <c r="P386">
        <v>0</v>
      </c>
      <c r="Q386">
        <v>0</v>
      </c>
      <c r="R386" t="s">
        <v>44761</v>
      </c>
      <c r="S386" t="s">
        <v>44862</v>
      </c>
      <c r="T386" t="s">
        <v>46376</v>
      </c>
      <c r="U386" t="s">
        <v>47308</v>
      </c>
      <c r="W386" t="s">
        <v>40712</v>
      </c>
      <c r="X386" t="s">
        <v>44762</v>
      </c>
    </row>
    <row r="387" spans="1:24">
      <c r="A387">
        <f>HYPERLINK("https://www.philgeps.gov.ph/GEPSNONPILOT/Tender/SplashBidNoticeAbstractUI.aspx?menuIndex=3&amp;refID=7152413&amp;Result=3","7152413")</f>
        <v>0</v>
      </c>
      <c r="B387" t="s">
        <v>227</v>
      </c>
      <c r="C387" t="s">
        <v>4140</v>
      </c>
      <c r="D387" t="s">
        <v>18012</v>
      </c>
      <c r="E387" t="s">
        <v>18430</v>
      </c>
      <c r="F387" t="s">
        <v>30900</v>
      </c>
      <c r="G387" t="s">
        <v>30907</v>
      </c>
      <c r="H387" t="s">
        <v>30915</v>
      </c>
      <c r="I387" t="s">
        <v>30919</v>
      </c>
      <c r="J387" t="s">
        <v>31371</v>
      </c>
      <c r="K387" t="s">
        <v>40304</v>
      </c>
      <c r="M387" t="s">
        <v>40774</v>
      </c>
      <c r="N387" t="s">
        <v>44759</v>
      </c>
      <c r="O387" t="s">
        <v>44760</v>
      </c>
      <c r="P387">
        <v>0</v>
      </c>
      <c r="Q387">
        <v>0</v>
      </c>
      <c r="R387" t="s">
        <v>44761</v>
      </c>
      <c r="S387" t="s">
        <v>44862</v>
      </c>
      <c r="T387" t="s">
        <v>46446</v>
      </c>
      <c r="U387" t="s">
        <v>47309</v>
      </c>
      <c r="V387" t="s">
        <v>59148</v>
      </c>
      <c r="W387" t="s">
        <v>40774</v>
      </c>
      <c r="X387" t="s">
        <v>44762</v>
      </c>
    </row>
    <row r="388" spans="1:24">
      <c r="A388">
        <f>HYPERLINK("https://www.philgeps.gov.ph/GEPSNONPILOT/Tender/SplashBidNoticeAbstractUI.aspx?menuIndex=3&amp;refID=7152412&amp;Result=3","7152412")</f>
        <v>0</v>
      </c>
      <c r="B388" t="s">
        <v>194</v>
      </c>
      <c r="C388" t="s">
        <v>4141</v>
      </c>
      <c r="D388" t="s">
        <v>17959</v>
      </c>
      <c r="E388" t="s">
        <v>18431</v>
      </c>
      <c r="F388" t="s">
        <v>30900</v>
      </c>
      <c r="G388" t="s">
        <v>30909</v>
      </c>
      <c r="H388" t="s">
        <v>30916</v>
      </c>
      <c r="I388" t="s">
        <v>4108</v>
      </c>
      <c r="J388" t="s">
        <v>31372</v>
      </c>
      <c r="K388" t="s">
        <v>40286</v>
      </c>
      <c r="M388" t="s">
        <v>40741</v>
      </c>
      <c r="N388" t="s">
        <v>44759</v>
      </c>
      <c r="O388" t="s">
        <v>44760</v>
      </c>
      <c r="P388">
        <v>0</v>
      </c>
      <c r="Q388">
        <v>0</v>
      </c>
      <c r="R388" t="s">
        <v>44761</v>
      </c>
      <c r="S388" t="s">
        <v>44862</v>
      </c>
      <c r="T388" t="s">
        <v>46421</v>
      </c>
      <c r="U388" t="s">
        <v>47237</v>
      </c>
      <c r="W388" t="s">
        <v>40741</v>
      </c>
      <c r="X388" t="s">
        <v>44762</v>
      </c>
    </row>
    <row r="389" spans="1:24">
      <c r="A389">
        <f>HYPERLINK("https://www.philgeps.gov.ph/GEPSNONPILOT/Tender/SplashBidNoticeAbstractUI.aspx?menuIndex=3&amp;refID=7152411&amp;Result=3","7152411")</f>
        <v>0</v>
      </c>
      <c r="B389" t="s">
        <v>157</v>
      </c>
      <c r="C389" t="s">
        <v>4142</v>
      </c>
      <c r="D389" t="s">
        <v>17978</v>
      </c>
      <c r="E389" t="s">
        <v>18432</v>
      </c>
      <c r="F389" t="s">
        <v>30900</v>
      </c>
      <c r="G389" t="s">
        <v>30910</v>
      </c>
      <c r="H389" t="s">
        <v>30916</v>
      </c>
      <c r="I389" t="s">
        <v>4142</v>
      </c>
      <c r="J389" t="s">
        <v>31373</v>
      </c>
      <c r="K389" t="s">
        <v>40286</v>
      </c>
      <c r="M389" t="s">
        <v>40704</v>
      </c>
      <c r="N389" t="s">
        <v>44759</v>
      </c>
      <c r="O389" t="s">
        <v>44760</v>
      </c>
      <c r="P389">
        <v>0</v>
      </c>
      <c r="Q389">
        <v>0</v>
      </c>
      <c r="R389" t="s">
        <v>44761</v>
      </c>
      <c r="S389" t="s">
        <v>44862</v>
      </c>
      <c r="T389" t="s">
        <v>46399</v>
      </c>
      <c r="U389" t="s">
        <v>47310</v>
      </c>
      <c r="W389" t="s">
        <v>40704</v>
      </c>
      <c r="X389" t="s">
        <v>44762</v>
      </c>
    </row>
    <row r="390" spans="1:24">
      <c r="A390">
        <f>HYPERLINK("https://www.philgeps.gov.ph/GEPSNONPILOT/Tender/SplashBidNoticeAbstractUI.aspx?menuIndex=3&amp;refID=7152408&amp;Result=3","7152408")</f>
        <v>0</v>
      </c>
      <c r="B390" t="s">
        <v>187</v>
      </c>
      <c r="C390" t="s">
        <v>4143</v>
      </c>
      <c r="D390" t="s">
        <v>17952</v>
      </c>
      <c r="E390" t="s">
        <v>18433</v>
      </c>
      <c r="F390" t="s">
        <v>30900</v>
      </c>
      <c r="G390" t="s">
        <v>30908</v>
      </c>
      <c r="H390" t="s">
        <v>30916</v>
      </c>
      <c r="I390" t="s">
        <v>9385</v>
      </c>
      <c r="J390" t="s">
        <v>31096</v>
      </c>
      <c r="K390" t="s">
        <v>40288</v>
      </c>
      <c r="M390" t="s">
        <v>40734</v>
      </c>
      <c r="N390" t="s">
        <v>44759</v>
      </c>
      <c r="O390" t="s">
        <v>44760</v>
      </c>
      <c r="P390">
        <v>0</v>
      </c>
      <c r="Q390">
        <v>0</v>
      </c>
      <c r="R390" t="s">
        <v>44761</v>
      </c>
      <c r="S390" t="s">
        <v>44862</v>
      </c>
      <c r="T390" t="s">
        <v>46390</v>
      </c>
      <c r="U390" t="s">
        <v>47311</v>
      </c>
      <c r="W390" t="s">
        <v>40734</v>
      </c>
      <c r="X390" t="s">
        <v>44762</v>
      </c>
    </row>
    <row r="391" spans="1:24">
      <c r="A391">
        <f>HYPERLINK("https://www.philgeps.gov.ph/GEPSNONPILOT/Tender/SplashBidNoticeAbstractUI.aspx?menuIndex=3&amp;refID=7152379&amp;Result=3","7152379")</f>
        <v>0</v>
      </c>
      <c r="B391" t="s">
        <v>232</v>
      </c>
      <c r="C391" t="s">
        <v>4144</v>
      </c>
      <c r="D391" t="s">
        <v>17987</v>
      </c>
      <c r="E391" t="s">
        <v>18434</v>
      </c>
      <c r="F391" t="s">
        <v>30899</v>
      </c>
      <c r="G391" t="s">
        <v>30907</v>
      </c>
      <c r="H391" t="s">
        <v>30916</v>
      </c>
      <c r="I391" t="s">
        <v>30923</v>
      </c>
      <c r="J391" t="s">
        <v>31374</v>
      </c>
      <c r="K391" t="s">
        <v>40286</v>
      </c>
      <c r="M391" t="s">
        <v>40779</v>
      </c>
      <c r="N391" t="s">
        <v>44759</v>
      </c>
      <c r="O391" t="s">
        <v>44760</v>
      </c>
      <c r="P391">
        <v>0</v>
      </c>
      <c r="Q391">
        <v>0</v>
      </c>
      <c r="R391" t="s">
        <v>44761</v>
      </c>
      <c r="S391" t="s">
        <v>44862</v>
      </c>
      <c r="T391" t="s">
        <v>46449</v>
      </c>
      <c r="U391" t="s">
        <v>47312</v>
      </c>
      <c r="W391" t="s">
        <v>40779</v>
      </c>
      <c r="X391" t="s">
        <v>44762</v>
      </c>
    </row>
    <row r="392" spans="1:24">
      <c r="A392">
        <f>HYPERLINK("https://www.philgeps.gov.ph/GEPSNONPILOT/Tender/SplashBidNoticeAbstractUI.aspx?menuIndex=3&amp;refID=7152406&amp;Result=3","7152406")</f>
        <v>0</v>
      </c>
      <c r="B392" t="s">
        <v>239</v>
      </c>
      <c r="C392" t="s">
        <v>4145</v>
      </c>
      <c r="D392" t="s">
        <v>17973</v>
      </c>
      <c r="E392" t="s">
        <v>18435</v>
      </c>
      <c r="F392" t="s">
        <v>30900</v>
      </c>
      <c r="G392" t="s">
        <v>30907</v>
      </c>
      <c r="H392" t="s">
        <v>30915</v>
      </c>
      <c r="I392" t="s">
        <v>30919</v>
      </c>
      <c r="J392" t="s">
        <v>31375</v>
      </c>
      <c r="K392" t="s">
        <v>40325</v>
      </c>
      <c r="M392" t="s">
        <v>40786</v>
      </c>
      <c r="N392" t="s">
        <v>44759</v>
      </c>
      <c r="O392" t="s">
        <v>44760</v>
      </c>
      <c r="P392">
        <v>0</v>
      </c>
      <c r="Q392">
        <v>0</v>
      </c>
      <c r="R392" t="s">
        <v>44761</v>
      </c>
      <c r="S392" t="s">
        <v>44862</v>
      </c>
      <c r="T392" t="s">
        <v>46450</v>
      </c>
      <c r="U392" t="s">
        <v>47313</v>
      </c>
      <c r="W392" t="s">
        <v>40786</v>
      </c>
      <c r="X392" t="s">
        <v>44762</v>
      </c>
    </row>
    <row r="393" spans="1:24">
      <c r="A393">
        <f>HYPERLINK("https://www.philgeps.gov.ph/GEPSNONPILOT/Tender/SplashBidNoticeAbstractUI.aspx?menuIndex=3&amp;refID=7152415&amp;Result=3","7152415")</f>
        <v>0</v>
      </c>
      <c r="B393" t="s">
        <v>240</v>
      </c>
      <c r="C393" t="s">
        <v>4146</v>
      </c>
      <c r="D393" t="s">
        <v>17977</v>
      </c>
      <c r="E393" t="s">
        <v>18436</v>
      </c>
      <c r="F393" t="s">
        <v>30900</v>
      </c>
      <c r="G393" t="s">
        <v>30907</v>
      </c>
      <c r="H393" t="s">
        <v>30916</v>
      </c>
      <c r="I393" t="s">
        <v>8365</v>
      </c>
      <c r="J393" t="s">
        <v>31043</v>
      </c>
      <c r="K393" t="s">
        <v>40284</v>
      </c>
      <c r="M393" t="s">
        <v>40787</v>
      </c>
      <c r="N393" t="s">
        <v>44759</v>
      </c>
      <c r="O393" t="s">
        <v>44760</v>
      </c>
      <c r="P393">
        <v>0</v>
      </c>
      <c r="Q393">
        <v>0</v>
      </c>
      <c r="R393" t="s">
        <v>44761</v>
      </c>
      <c r="S393" t="s">
        <v>44862</v>
      </c>
      <c r="T393" t="s">
        <v>46451</v>
      </c>
      <c r="U393" t="s">
        <v>47314</v>
      </c>
      <c r="W393" t="s">
        <v>40787</v>
      </c>
      <c r="X393" t="s">
        <v>44762</v>
      </c>
    </row>
    <row r="394" spans="1:24">
      <c r="A394">
        <f>HYPERLINK("https://www.philgeps.gov.ph/GEPSNONPILOT/Tender/SplashBidNoticeAbstractUI.aspx?menuIndex=3&amp;refID=7152404&amp;Result=3","7152404")</f>
        <v>0</v>
      </c>
      <c r="B394" t="s">
        <v>241</v>
      </c>
      <c r="C394" t="s">
        <v>4147</v>
      </c>
      <c r="D394" t="s">
        <v>17982</v>
      </c>
      <c r="E394" t="s">
        <v>18437</v>
      </c>
      <c r="F394" t="s">
        <v>30900</v>
      </c>
      <c r="G394" t="s">
        <v>30907</v>
      </c>
      <c r="H394" t="s">
        <v>30916</v>
      </c>
      <c r="I394" t="s">
        <v>30921</v>
      </c>
      <c r="J394" t="s">
        <v>31376</v>
      </c>
      <c r="K394" t="s">
        <v>40286</v>
      </c>
      <c r="M394" t="s">
        <v>40788</v>
      </c>
      <c r="N394" t="s">
        <v>44759</v>
      </c>
      <c r="O394" t="s">
        <v>44760</v>
      </c>
      <c r="P394">
        <v>0</v>
      </c>
      <c r="Q394">
        <v>0</v>
      </c>
      <c r="R394" t="s">
        <v>44761</v>
      </c>
      <c r="S394" t="s">
        <v>44862</v>
      </c>
      <c r="T394" t="s">
        <v>46352</v>
      </c>
      <c r="U394" t="s">
        <v>47315</v>
      </c>
      <c r="W394" t="s">
        <v>40788</v>
      </c>
      <c r="X394" t="s">
        <v>44762</v>
      </c>
    </row>
    <row r="395" spans="1:24">
      <c r="A395">
        <f>HYPERLINK("https://www.philgeps.gov.ph/GEPSNONPILOT/Tender/SplashBidNoticeAbstractUI.aspx?menuIndex=3&amp;refID=7152403&amp;Result=3","7152403")</f>
        <v>0</v>
      </c>
      <c r="B395" t="s">
        <v>242</v>
      </c>
      <c r="C395" t="s">
        <v>4148</v>
      </c>
      <c r="D395" t="s">
        <v>17993</v>
      </c>
      <c r="E395" t="s">
        <v>18438</v>
      </c>
      <c r="F395" t="s">
        <v>30900</v>
      </c>
      <c r="G395" t="s">
        <v>30909</v>
      </c>
      <c r="H395" t="s">
        <v>30916</v>
      </c>
      <c r="I395" t="s">
        <v>10847</v>
      </c>
      <c r="J395" t="s">
        <v>31355</v>
      </c>
      <c r="K395" t="s">
        <v>40286</v>
      </c>
      <c r="M395" t="s">
        <v>40789</v>
      </c>
      <c r="N395" t="s">
        <v>44759</v>
      </c>
      <c r="O395" t="s">
        <v>44760</v>
      </c>
      <c r="P395">
        <v>0</v>
      </c>
      <c r="Q395">
        <v>0</v>
      </c>
      <c r="R395" t="s">
        <v>44761</v>
      </c>
      <c r="S395" t="s">
        <v>44862</v>
      </c>
      <c r="T395" t="s">
        <v>46410</v>
      </c>
      <c r="U395" t="s">
        <v>47316</v>
      </c>
      <c r="W395" t="s">
        <v>40789</v>
      </c>
      <c r="X395" t="s">
        <v>44762</v>
      </c>
    </row>
    <row r="396" spans="1:24">
      <c r="A396">
        <f>HYPERLINK("https://www.philgeps.gov.ph/GEPSNONPILOT/Tender/SplashBidNoticeAbstractUI.aspx?menuIndex=3&amp;refID=7152410&amp;Result=3","7152410")</f>
        <v>0</v>
      </c>
      <c r="B396" t="s">
        <v>205</v>
      </c>
      <c r="C396" t="s">
        <v>4149</v>
      </c>
      <c r="D396" t="s">
        <v>18015</v>
      </c>
      <c r="E396" t="s">
        <v>18439</v>
      </c>
      <c r="F396" t="s">
        <v>30900</v>
      </c>
      <c r="G396" t="s">
        <v>30908</v>
      </c>
      <c r="H396" t="s">
        <v>30917</v>
      </c>
      <c r="I396" t="s">
        <v>30954</v>
      </c>
      <c r="J396" t="s">
        <v>31204</v>
      </c>
      <c r="K396" t="s">
        <v>40285</v>
      </c>
      <c r="M396" t="s">
        <v>40752</v>
      </c>
      <c r="N396" t="s">
        <v>44759</v>
      </c>
      <c r="O396" t="s">
        <v>44760</v>
      </c>
      <c r="P396">
        <v>0</v>
      </c>
      <c r="Q396">
        <v>0</v>
      </c>
      <c r="R396" t="s">
        <v>44761</v>
      </c>
      <c r="S396" t="s">
        <v>44862</v>
      </c>
      <c r="T396" t="s">
        <v>46421</v>
      </c>
      <c r="U396" t="s">
        <v>47252</v>
      </c>
      <c r="W396" t="s">
        <v>40752</v>
      </c>
      <c r="X396" t="s">
        <v>44762</v>
      </c>
    </row>
    <row r="397" spans="1:24">
      <c r="A397">
        <f>HYPERLINK("https://www.philgeps.gov.ph/GEPSNONPILOT/Tender/SplashBidNoticeAbstractUI.aspx?menuIndex=3&amp;refID=7152423&amp;Result=3","7152423")</f>
        <v>0</v>
      </c>
      <c r="B397" t="s">
        <v>227</v>
      </c>
      <c r="C397" t="s">
        <v>4150</v>
      </c>
      <c r="D397" t="s">
        <v>18012</v>
      </c>
      <c r="E397" t="s">
        <v>18440</v>
      </c>
      <c r="F397" t="s">
        <v>30900</v>
      </c>
      <c r="G397" t="s">
        <v>30907</v>
      </c>
      <c r="H397" t="s">
        <v>30915</v>
      </c>
      <c r="I397" t="s">
        <v>30919</v>
      </c>
      <c r="J397" t="s">
        <v>31377</v>
      </c>
      <c r="K397" t="s">
        <v>40304</v>
      </c>
      <c r="M397" t="s">
        <v>40774</v>
      </c>
      <c r="N397" t="s">
        <v>44759</v>
      </c>
      <c r="O397" t="s">
        <v>44760</v>
      </c>
      <c r="P397">
        <v>0</v>
      </c>
      <c r="Q397">
        <v>0</v>
      </c>
      <c r="R397" t="s">
        <v>44761</v>
      </c>
      <c r="S397" t="s">
        <v>44862</v>
      </c>
      <c r="T397" t="s">
        <v>46446</v>
      </c>
      <c r="U397" t="s">
        <v>47317</v>
      </c>
      <c r="V397" t="s">
        <v>59148</v>
      </c>
      <c r="W397" t="s">
        <v>40774</v>
      </c>
      <c r="X397" t="s">
        <v>44762</v>
      </c>
    </row>
    <row r="398" spans="1:24">
      <c r="A398">
        <f>HYPERLINK("https://www.philgeps.gov.ph/GEPSNONPILOT/Tender/SplashBidNoticeAbstractUI.aspx?menuIndex=3&amp;refID=7152450&amp;Result=3","7152450")</f>
        <v>0</v>
      </c>
      <c r="B398" t="s">
        <v>231</v>
      </c>
      <c r="C398" t="s">
        <v>4151</v>
      </c>
      <c r="D398" t="s">
        <v>17957</v>
      </c>
      <c r="E398" t="s">
        <v>18441</v>
      </c>
      <c r="F398" t="s">
        <v>30900</v>
      </c>
      <c r="G398" t="s">
        <v>30908</v>
      </c>
      <c r="H398" t="s">
        <v>30916</v>
      </c>
      <c r="I398" t="s">
        <v>4108</v>
      </c>
      <c r="J398" t="s">
        <v>31378</v>
      </c>
      <c r="K398" t="s">
        <v>40294</v>
      </c>
      <c r="M398" t="s">
        <v>40778</v>
      </c>
      <c r="N398" t="s">
        <v>44759</v>
      </c>
      <c r="O398" t="s">
        <v>44760</v>
      </c>
      <c r="P398">
        <v>0</v>
      </c>
      <c r="Q398">
        <v>0</v>
      </c>
      <c r="R398" t="s">
        <v>44761</v>
      </c>
      <c r="S398" t="s">
        <v>44862</v>
      </c>
      <c r="T398" t="s">
        <v>46399</v>
      </c>
      <c r="U398" t="s">
        <v>47318</v>
      </c>
      <c r="W398" t="s">
        <v>40778</v>
      </c>
      <c r="X398" t="s">
        <v>44762</v>
      </c>
    </row>
    <row r="399" spans="1:24">
      <c r="A399">
        <f>HYPERLINK("https://www.philgeps.gov.ph/GEPSNONPILOT/Tender/SplashBidNoticeAbstractUI.aspx?menuIndex=3&amp;refID=7152407&amp;Result=3","7152407")</f>
        <v>0</v>
      </c>
      <c r="B399" t="s">
        <v>243</v>
      </c>
      <c r="C399" t="s">
        <v>4152</v>
      </c>
      <c r="E399" t="s">
        <v>18442</v>
      </c>
      <c r="F399" t="s">
        <v>30900</v>
      </c>
      <c r="G399" t="s">
        <v>30906</v>
      </c>
      <c r="H399" t="s">
        <v>30916</v>
      </c>
      <c r="I399" t="s">
        <v>30933</v>
      </c>
      <c r="J399" t="s">
        <v>31069</v>
      </c>
      <c r="K399" t="s">
        <v>40293</v>
      </c>
      <c r="M399" t="s">
        <v>40790</v>
      </c>
      <c r="N399" t="s">
        <v>44759</v>
      </c>
      <c r="O399" t="s">
        <v>44760</v>
      </c>
      <c r="P399">
        <v>0</v>
      </c>
      <c r="Q399">
        <v>2</v>
      </c>
      <c r="R399" t="s">
        <v>44761</v>
      </c>
      <c r="S399" t="s">
        <v>44862</v>
      </c>
      <c r="T399" t="s">
        <v>46355</v>
      </c>
      <c r="U399" t="s">
        <v>47319</v>
      </c>
      <c r="W399" t="s">
        <v>42208</v>
      </c>
      <c r="X399" t="s">
        <v>44762</v>
      </c>
    </row>
    <row r="400" spans="1:24">
      <c r="A400">
        <f>HYPERLINK("https://www.philgeps.gov.ph/GEPSNONPILOT/Tender/SplashBidNoticeAbstractUI.aspx?menuIndex=3&amp;refID=7152449&amp;Result=3","7152449")</f>
        <v>0</v>
      </c>
      <c r="B400" t="s">
        <v>237</v>
      </c>
      <c r="C400" t="s">
        <v>4153</v>
      </c>
      <c r="D400" t="s">
        <v>17977</v>
      </c>
      <c r="E400" t="s">
        <v>4153</v>
      </c>
      <c r="F400" t="s">
        <v>30900</v>
      </c>
      <c r="G400" t="s">
        <v>30908</v>
      </c>
      <c r="H400" t="s">
        <v>30916</v>
      </c>
      <c r="I400" t="s">
        <v>30939</v>
      </c>
      <c r="J400" t="s">
        <v>31379</v>
      </c>
      <c r="K400" t="s">
        <v>40289</v>
      </c>
      <c r="M400" t="s">
        <v>40784</v>
      </c>
      <c r="N400" t="s">
        <v>44759</v>
      </c>
      <c r="O400" t="s">
        <v>44760</v>
      </c>
      <c r="P400">
        <v>0</v>
      </c>
      <c r="Q400">
        <v>0</v>
      </c>
      <c r="R400" t="s">
        <v>44761</v>
      </c>
      <c r="S400" t="s">
        <v>44862</v>
      </c>
      <c r="T400" t="s">
        <v>46393</v>
      </c>
      <c r="U400" t="s">
        <v>47320</v>
      </c>
      <c r="W400" t="s">
        <v>40784</v>
      </c>
      <c r="X400" t="s">
        <v>44762</v>
      </c>
    </row>
    <row r="401" spans="1:24">
      <c r="A401">
        <f>HYPERLINK("https://www.philgeps.gov.ph/GEPSNONPILOT/Tender/SplashBidNoticeAbstractUI.aspx?menuIndex=3&amp;refID=7152447&amp;Result=3","7152447")</f>
        <v>0</v>
      </c>
      <c r="B401" t="s">
        <v>244</v>
      </c>
      <c r="C401" t="s">
        <v>4154</v>
      </c>
      <c r="D401" t="s">
        <v>17958</v>
      </c>
      <c r="E401" t="s">
        <v>18443</v>
      </c>
      <c r="F401" t="s">
        <v>30900</v>
      </c>
      <c r="G401" t="s">
        <v>30908</v>
      </c>
      <c r="H401" t="s">
        <v>30916</v>
      </c>
      <c r="I401" t="s">
        <v>8123</v>
      </c>
      <c r="J401" t="s">
        <v>31380</v>
      </c>
      <c r="K401" t="s">
        <v>40284</v>
      </c>
      <c r="M401" t="s">
        <v>40791</v>
      </c>
      <c r="N401" t="s">
        <v>44759</v>
      </c>
      <c r="O401" t="s">
        <v>44760</v>
      </c>
      <c r="P401">
        <v>0</v>
      </c>
      <c r="Q401">
        <v>0</v>
      </c>
      <c r="R401" t="s">
        <v>44761</v>
      </c>
      <c r="S401" t="s">
        <v>44862</v>
      </c>
      <c r="T401" t="s">
        <v>46429</v>
      </c>
      <c r="U401" t="s">
        <v>47321</v>
      </c>
      <c r="W401" t="s">
        <v>40791</v>
      </c>
      <c r="X401" t="s">
        <v>44762</v>
      </c>
    </row>
    <row r="402" spans="1:24">
      <c r="A402">
        <f>HYPERLINK("https://www.philgeps.gov.ph/GEPSNONPILOT/Tender/SplashBidNoticeAbstractUI.aspx?menuIndex=3&amp;refID=7152446&amp;Result=3","7152446")</f>
        <v>0</v>
      </c>
      <c r="B402" t="s">
        <v>240</v>
      </c>
      <c r="C402" t="s">
        <v>4155</v>
      </c>
      <c r="D402" t="s">
        <v>17977</v>
      </c>
      <c r="E402" t="s">
        <v>18444</v>
      </c>
      <c r="F402" t="s">
        <v>30900</v>
      </c>
      <c r="G402" t="s">
        <v>30907</v>
      </c>
      <c r="H402" t="s">
        <v>30916</v>
      </c>
      <c r="I402" t="s">
        <v>8365</v>
      </c>
      <c r="J402" t="s">
        <v>31381</v>
      </c>
      <c r="K402" t="s">
        <v>40284</v>
      </c>
      <c r="M402" t="s">
        <v>40787</v>
      </c>
      <c r="N402" t="s">
        <v>44759</v>
      </c>
      <c r="O402" t="s">
        <v>44760</v>
      </c>
      <c r="P402">
        <v>0</v>
      </c>
      <c r="Q402">
        <v>0</v>
      </c>
      <c r="R402" t="s">
        <v>44761</v>
      </c>
      <c r="S402" t="s">
        <v>44862</v>
      </c>
      <c r="T402" t="s">
        <v>46452</v>
      </c>
      <c r="U402" t="s">
        <v>47322</v>
      </c>
      <c r="W402" t="s">
        <v>40787</v>
      </c>
      <c r="X402" t="s">
        <v>44762</v>
      </c>
    </row>
    <row r="403" spans="1:24">
      <c r="A403">
        <f>HYPERLINK("https://www.philgeps.gov.ph/GEPSNONPILOT/Tender/SplashBidNoticeAbstractUI.aspx?menuIndex=3&amp;refID=7152445&amp;Result=3","7152445")</f>
        <v>0</v>
      </c>
      <c r="B403" t="s">
        <v>193</v>
      </c>
      <c r="C403" t="s">
        <v>4156</v>
      </c>
      <c r="D403" t="s">
        <v>18001</v>
      </c>
      <c r="E403" t="s">
        <v>18445</v>
      </c>
      <c r="F403" t="s">
        <v>30900</v>
      </c>
      <c r="G403" t="s">
        <v>30908</v>
      </c>
      <c r="H403" t="s">
        <v>30916</v>
      </c>
      <c r="I403" t="s">
        <v>6953</v>
      </c>
      <c r="J403" t="s">
        <v>31382</v>
      </c>
      <c r="K403" t="s">
        <v>40283</v>
      </c>
      <c r="M403" t="s">
        <v>40740</v>
      </c>
      <c r="N403" t="s">
        <v>44759</v>
      </c>
      <c r="O403" t="s">
        <v>44760</v>
      </c>
      <c r="P403">
        <v>0</v>
      </c>
      <c r="Q403">
        <v>0</v>
      </c>
      <c r="R403" t="s">
        <v>44761</v>
      </c>
      <c r="S403" t="s">
        <v>44862</v>
      </c>
      <c r="T403" t="s">
        <v>46390</v>
      </c>
      <c r="U403" t="s">
        <v>47323</v>
      </c>
      <c r="W403" t="s">
        <v>40740</v>
      </c>
      <c r="X403" t="s">
        <v>44762</v>
      </c>
    </row>
    <row r="404" spans="1:24">
      <c r="A404">
        <f>HYPERLINK("https://www.philgeps.gov.ph/GEPSNONPILOT/Tender/SplashBidNoticeAbstractUI.aspx?menuIndex=3&amp;refID=7152396&amp;Result=3","7152396")</f>
        <v>0</v>
      </c>
      <c r="B404" t="s">
        <v>147</v>
      </c>
      <c r="C404" t="s">
        <v>4157</v>
      </c>
      <c r="D404" t="s">
        <v>17970</v>
      </c>
      <c r="E404" t="s">
        <v>18446</v>
      </c>
      <c r="F404" t="s">
        <v>30900</v>
      </c>
      <c r="G404" t="s">
        <v>30908</v>
      </c>
      <c r="H404" t="s">
        <v>30916</v>
      </c>
      <c r="I404" t="s">
        <v>30947</v>
      </c>
      <c r="J404" t="s">
        <v>31383</v>
      </c>
      <c r="K404" t="s">
        <v>40286</v>
      </c>
      <c r="M404" t="s">
        <v>40694</v>
      </c>
      <c r="N404" t="s">
        <v>44759</v>
      </c>
      <c r="O404" t="s">
        <v>44760</v>
      </c>
      <c r="P404">
        <v>0</v>
      </c>
      <c r="Q404">
        <v>0</v>
      </c>
      <c r="R404" t="s">
        <v>44761</v>
      </c>
      <c r="S404" t="s">
        <v>44862</v>
      </c>
      <c r="T404" t="s">
        <v>46421</v>
      </c>
      <c r="U404" t="s">
        <v>47324</v>
      </c>
      <c r="W404" t="s">
        <v>40694</v>
      </c>
      <c r="X404" t="s">
        <v>44762</v>
      </c>
    </row>
    <row r="405" spans="1:24">
      <c r="A405">
        <f>HYPERLINK("https://www.philgeps.gov.ph/GEPSNONPILOT/Tender/SplashBidNoticeAbstractUI.aspx?menuIndex=3&amp;refID=7152444&amp;Result=3","7152444")</f>
        <v>0</v>
      </c>
      <c r="B405" t="s">
        <v>245</v>
      </c>
      <c r="C405" t="s">
        <v>4158</v>
      </c>
      <c r="D405" t="s">
        <v>17951</v>
      </c>
      <c r="E405" t="s">
        <v>18447</v>
      </c>
      <c r="F405" t="s">
        <v>30900</v>
      </c>
      <c r="G405" t="s">
        <v>30909</v>
      </c>
      <c r="H405" t="s">
        <v>30917</v>
      </c>
      <c r="I405" t="s">
        <v>30955</v>
      </c>
      <c r="J405" t="s">
        <v>31384</v>
      </c>
      <c r="K405" t="s">
        <v>40283</v>
      </c>
      <c r="M405" t="s">
        <v>40792</v>
      </c>
      <c r="N405" t="s">
        <v>44759</v>
      </c>
      <c r="O405" t="s">
        <v>44760</v>
      </c>
      <c r="P405">
        <v>0</v>
      </c>
      <c r="Q405">
        <v>0</v>
      </c>
      <c r="R405" t="s">
        <v>44761</v>
      </c>
      <c r="S405" t="s">
        <v>44862</v>
      </c>
      <c r="T405" t="s">
        <v>46410</v>
      </c>
      <c r="U405" t="s">
        <v>47325</v>
      </c>
      <c r="W405" t="s">
        <v>40792</v>
      </c>
      <c r="X405" t="s">
        <v>44762</v>
      </c>
    </row>
    <row r="406" spans="1:24">
      <c r="A406">
        <f>HYPERLINK("https://www.philgeps.gov.ph/GEPSNONPILOT/Tender/SplashBidNoticeAbstractUI.aspx?menuIndex=3&amp;refID=7152442&amp;Result=3","7152442")</f>
        <v>0</v>
      </c>
      <c r="B406" t="s">
        <v>219</v>
      </c>
      <c r="C406" t="s">
        <v>4108</v>
      </c>
      <c r="D406" t="s">
        <v>17955</v>
      </c>
      <c r="E406" t="s">
        <v>18448</v>
      </c>
      <c r="F406" t="s">
        <v>30900</v>
      </c>
      <c r="G406" t="s">
        <v>30908</v>
      </c>
      <c r="H406" t="s">
        <v>30916</v>
      </c>
      <c r="I406" t="s">
        <v>4108</v>
      </c>
      <c r="J406" t="s">
        <v>31385</v>
      </c>
      <c r="K406" t="s">
        <v>40286</v>
      </c>
      <c r="M406" t="s">
        <v>40766</v>
      </c>
      <c r="N406" t="s">
        <v>44759</v>
      </c>
      <c r="O406" t="s">
        <v>44760</v>
      </c>
      <c r="P406">
        <v>0</v>
      </c>
      <c r="Q406">
        <v>0</v>
      </c>
      <c r="R406" t="s">
        <v>44761</v>
      </c>
      <c r="S406" t="s">
        <v>44862</v>
      </c>
      <c r="T406" t="s">
        <v>46412</v>
      </c>
      <c r="U406" t="s">
        <v>47326</v>
      </c>
      <c r="W406" t="s">
        <v>40766</v>
      </c>
      <c r="X406" t="s">
        <v>44762</v>
      </c>
    </row>
    <row r="407" spans="1:24">
      <c r="A407">
        <f>HYPERLINK("https://www.philgeps.gov.ph/GEPSNONPILOT/Tender/SplashBidNoticeAbstractUI.aspx?menuIndex=3&amp;refID=7152451&amp;Result=3","7152451")</f>
        <v>0</v>
      </c>
      <c r="B407" t="s">
        <v>212</v>
      </c>
      <c r="C407" t="s">
        <v>4159</v>
      </c>
      <c r="D407" t="s">
        <v>17962</v>
      </c>
      <c r="E407" t="s">
        <v>18449</v>
      </c>
      <c r="F407" t="s">
        <v>30900</v>
      </c>
      <c r="G407" t="s">
        <v>30907</v>
      </c>
      <c r="H407" t="s">
        <v>30915</v>
      </c>
      <c r="I407" t="s">
        <v>30919</v>
      </c>
      <c r="J407" t="s">
        <v>31214</v>
      </c>
      <c r="K407" t="s">
        <v>40320</v>
      </c>
      <c r="M407" t="s">
        <v>40759</v>
      </c>
      <c r="N407" t="s">
        <v>44759</v>
      </c>
      <c r="O407" t="s">
        <v>44760</v>
      </c>
      <c r="P407">
        <v>0</v>
      </c>
      <c r="Q407">
        <v>0</v>
      </c>
      <c r="R407" t="s">
        <v>44761</v>
      </c>
      <c r="S407" t="s">
        <v>44862</v>
      </c>
      <c r="T407" t="s">
        <v>46431</v>
      </c>
      <c r="U407" t="s">
        <v>47295</v>
      </c>
      <c r="W407" t="s">
        <v>40759</v>
      </c>
      <c r="X407" t="s">
        <v>44762</v>
      </c>
    </row>
    <row r="408" spans="1:24">
      <c r="A408">
        <f>HYPERLINK("https://www.philgeps.gov.ph/GEPSNONPILOT/Tender/SplashBidNoticeAbstractUI.aspx?menuIndex=3&amp;refID=7152438&amp;Result=3","7152438")</f>
        <v>0</v>
      </c>
      <c r="B408" t="s">
        <v>246</v>
      </c>
      <c r="C408" t="s">
        <v>4160</v>
      </c>
      <c r="D408" t="s">
        <v>17961</v>
      </c>
      <c r="E408" t="s">
        <v>4160</v>
      </c>
      <c r="F408" t="s">
        <v>30904</v>
      </c>
      <c r="G408" t="s">
        <v>30907</v>
      </c>
      <c r="H408" t="s">
        <v>30917</v>
      </c>
      <c r="I408" t="s">
        <v>8365</v>
      </c>
      <c r="J408" t="s">
        <v>31386</v>
      </c>
      <c r="K408" t="s">
        <v>40285</v>
      </c>
      <c r="M408" t="s">
        <v>40793</v>
      </c>
      <c r="N408" t="s">
        <v>44759</v>
      </c>
      <c r="O408" t="s">
        <v>44760</v>
      </c>
      <c r="P408">
        <v>0</v>
      </c>
      <c r="Q408">
        <v>0</v>
      </c>
      <c r="R408" t="s">
        <v>44761</v>
      </c>
      <c r="S408" t="s">
        <v>44862</v>
      </c>
      <c r="T408" t="s">
        <v>46453</v>
      </c>
      <c r="U408" t="s">
        <v>47327</v>
      </c>
      <c r="W408" t="s">
        <v>40793</v>
      </c>
      <c r="X408" t="s">
        <v>44762</v>
      </c>
    </row>
    <row r="409" spans="1:24">
      <c r="A409">
        <f>HYPERLINK("https://www.philgeps.gov.ph/GEPSNONPILOT/Tender/SplashBidNoticeAbstractUI.aspx?menuIndex=3&amp;refID=7152437&amp;Result=3","7152437")</f>
        <v>0</v>
      </c>
      <c r="B409" t="s">
        <v>205</v>
      </c>
      <c r="C409" t="s">
        <v>4161</v>
      </c>
      <c r="D409" t="s">
        <v>18015</v>
      </c>
      <c r="E409" t="s">
        <v>18450</v>
      </c>
      <c r="F409" t="s">
        <v>30900</v>
      </c>
      <c r="G409" t="s">
        <v>30907</v>
      </c>
      <c r="H409" t="s">
        <v>30915</v>
      </c>
      <c r="I409" t="s">
        <v>30919</v>
      </c>
      <c r="J409" t="s">
        <v>31387</v>
      </c>
      <c r="K409" t="s">
        <v>40326</v>
      </c>
      <c r="M409" t="s">
        <v>40752</v>
      </c>
      <c r="N409" t="s">
        <v>44759</v>
      </c>
      <c r="O409" t="s">
        <v>44760</v>
      </c>
      <c r="P409">
        <v>0</v>
      </c>
      <c r="Q409">
        <v>0</v>
      </c>
      <c r="R409" t="s">
        <v>44761</v>
      </c>
      <c r="S409" t="s">
        <v>44862</v>
      </c>
      <c r="T409" t="s">
        <v>46369</v>
      </c>
      <c r="U409" t="s">
        <v>47328</v>
      </c>
      <c r="W409" t="s">
        <v>40752</v>
      </c>
      <c r="X409" t="s">
        <v>44762</v>
      </c>
    </row>
    <row r="410" spans="1:24">
      <c r="A410">
        <f>HYPERLINK("https://www.philgeps.gov.ph/GEPSNONPILOT/Tender/SplashBidNoticeAbstractUI.aspx?menuIndex=3&amp;refID=7152432&amp;Result=3","7152432")</f>
        <v>0</v>
      </c>
      <c r="B410" t="s">
        <v>165</v>
      </c>
      <c r="C410" t="s">
        <v>4162</v>
      </c>
      <c r="D410" t="s">
        <v>18009</v>
      </c>
      <c r="E410" t="s">
        <v>18451</v>
      </c>
      <c r="F410" t="s">
        <v>30900</v>
      </c>
      <c r="G410" t="s">
        <v>30908</v>
      </c>
      <c r="H410" t="s">
        <v>30916</v>
      </c>
      <c r="I410" t="s">
        <v>30945</v>
      </c>
      <c r="J410" t="s">
        <v>31388</v>
      </c>
      <c r="K410" t="s">
        <v>40284</v>
      </c>
      <c r="M410" t="s">
        <v>40712</v>
      </c>
      <c r="N410" t="s">
        <v>44759</v>
      </c>
      <c r="O410" t="s">
        <v>44760</v>
      </c>
      <c r="P410">
        <v>0</v>
      </c>
      <c r="Q410">
        <v>0</v>
      </c>
      <c r="R410" t="s">
        <v>44761</v>
      </c>
      <c r="S410" t="s">
        <v>44862</v>
      </c>
      <c r="T410" t="s">
        <v>46376</v>
      </c>
      <c r="U410" t="s">
        <v>47329</v>
      </c>
      <c r="W410" t="s">
        <v>40712</v>
      </c>
      <c r="X410" t="s">
        <v>44762</v>
      </c>
    </row>
    <row r="411" spans="1:24">
      <c r="A411">
        <f>HYPERLINK("https://www.philgeps.gov.ph/GEPSNONPILOT/Tender/SplashBidNoticeAbstractUI.aspx?menuIndex=3&amp;refID=7152429&amp;Result=3","7152429")</f>
        <v>0</v>
      </c>
      <c r="B411" t="s">
        <v>225</v>
      </c>
      <c r="C411" t="s">
        <v>4163</v>
      </c>
      <c r="D411" t="s">
        <v>18007</v>
      </c>
      <c r="E411" t="s">
        <v>18452</v>
      </c>
      <c r="F411" t="s">
        <v>30900</v>
      </c>
      <c r="G411" t="s">
        <v>30910</v>
      </c>
      <c r="H411" t="s">
        <v>30916</v>
      </c>
      <c r="I411" t="s">
        <v>8123</v>
      </c>
      <c r="J411" t="s">
        <v>31389</v>
      </c>
      <c r="K411" t="s">
        <v>40283</v>
      </c>
      <c r="M411" t="s">
        <v>40772</v>
      </c>
      <c r="N411" t="s">
        <v>44759</v>
      </c>
      <c r="O411" t="s">
        <v>44760</v>
      </c>
      <c r="P411">
        <v>0</v>
      </c>
      <c r="Q411">
        <v>0</v>
      </c>
      <c r="R411" t="s">
        <v>44761</v>
      </c>
      <c r="S411" t="s">
        <v>44862</v>
      </c>
      <c r="T411" t="s">
        <v>46356</v>
      </c>
      <c r="U411" t="s">
        <v>47289</v>
      </c>
      <c r="V411" t="s">
        <v>59153</v>
      </c>
      <c r="W411" t="s">
        <v>40772</v>
      </c>
      <c r="X411" t="s">
        <v>44762</v>
      </c>
    </row>
    <row r="412" spans="1:24">
      <c r="A412">
        <f>HYPERLINK("https://www.philgeps.gov.ph/GEPSNONPILOT/Tender/SplashBidNoticeAbstractUI.aspx?menuIndex=3&amp;refID=7152428&amp;Result=3","7152428")</f>
        <v>0</v>
      </c>
      <c r="B412" t="s">
        <v>231</v>
      </c>
      <c r="C412" t="s">
        <v>4164</v>
      </c>
      <c r="D412" t="s">
        <v>17957</v>
      </c>
      <c r="E412" t="s">
        <v>18453</v>
      </c>
      <c r="F412" t="s">
        <v>30900</v>
      </c>
      <c r="G412" t="s">
        <v>30908</v>
      </c>
      <c r="H412" t="s">
        <v>30916</v>
      </c>
      <c r="I412" t="s">
        <v>4108</v>
      </c>
      <c r="J412" t="s">
        <v>31390</v>
      </c>
      <c r="K412" t="s">
        <v>40294</v>
      </c>
      <c r="M412" t="s">
        <v>40778</v>
      </c>
      <c r="N412" t="s">
        <v>44759</v>
      </c>
      <c r="O412" t="s">
        <v>44760</v>
      </c>
      <c r="P412">
        <v>0</v>
      </c>
      <c r="Q412">
        <v>0</v>
      </c>
      <c r="R412" t="s">
        <v>44761</v>
      </c>
      <c r="S412" t="s">
        <v>44862</v>
      </c>
      <c r="T412" t="s">
        <v>46399</v>
      </c>
      <c r="U412" t="s">
        <v>47330</v>
      </c>
      <c r="W412" t="s">
        <v>40778</v>
      </c>
      <c r="X412" t="s">
        <v>44762</v>
      </c>
    </row>
    <row r="413" spans="1:24">
      <c r="A413">
        <f>HYPERLINK("https://www.philgeps.gov.ph/GEPSNONPILOT/Tender/SplashBidNoticeAbstractUI.aspx?menuIndex=3&amp;refID=7152427&amp;Result=3","7152427")</f>
        <v>0</v>
      </c>
      <c r="B413" t="s">
        <v>247</v>
      </c>
      <c r="C413" t="s">
        <v>4165</v>
      </c>
      <c r="D413" t="s">
        <v>17954</v>
      </c>
      <c r="E413" t="s">
        <v>18454</v>
      </c>
      <c r="F413" t="s">
        <v>30900</v>
      </c>
      <c r="G413" t="s">
        <v>30907</v>
      </c>
      <c r="H413" t="s">
        <v>30915</v>
      </c>
      <c r="I413" t="s">
        <v>30919</v>
      </c>
      <c r="J413" t="s">
        <v>31341</v>
      </c>
      <c r="K413" t="s">
        <v>40294</v>
      </c>
      <c r="M413" t="s">
        <v>40794</v>
      </c>
      <c r="N413" t="s">
        <v>44759</v>
      </c>
      <c r="O413" t="s">
        <v>44760</v>
      </c>
      <c r="P413">
        <v>0</v>
      </c>
      <c r="Q413">
        <v>0</v>
      </c>
      <c r="R413" t="s">
        <v>44761</v>
      </c>
      <c r="S413" t="s">
        <v>44862</v>
      </c>
      <c r="T413" t="s">
        <v>46352</v>
      </c>
      <c r="U413" t="s">
        <v>47331</v>
      </c>
      <c r="W413" t="s">
        <v>40794</v>
      </c>
      <c r="X413" t="s">
        <v>44762</v>
      </c>
    </row>
    <row r="414" spans="1:24">
      <c r="A414">
        <f>HYPERLINK("https://www.philgeps.gov.ph/GEPSNONPILOT/Tender/SplashBidNoticeAbstractUI.aspx?menuIndex=3&amp;refID=7152436&amp;Result=3","7152436")</f>
        <v>0</v>
      </c>
      <c r="B414" t="s">
        <v>248</v>
      </c>
      <c r="C414" t="s">
        <v>4166</v>
      </c>
      <c r="D414" t="s">
        <v>17966</v>
      </c>
      <c r="E414" t="s">
        <v>18455</v>
      </c>
      <c r="F414" t="s">
        <v>30900</v>
      </c>
      <c r="G414" t="s">
        <v>30907</v>
      </c>
      <c r="H414" t="s">
        <v>30915</v>
      </c>
      <c r="I414" t="s">
        <v>30919</v>
      </c>
      <c r="J414" t="s">
        <v>31391</v>
      </c>
      <c r="K414" t="s">
        <v>40309</v>
      </c>
      <c r="M414" t="s">
        <v>40795</v>
      </c>
      <c r="N414" t="s">
        <v>44759</v>
      </c>
      <c r="O414" t="s">
        <v>44760</v>
      </c>
      <c r="P414">
        <v>0</v>
      </c>
      <c r="Q414">
        <v>0</v>
      </c>
      <c r="R414" t="s">
        <v>44761</v>
      </c>
      <c r="S414" t="s">
        <v>44862</v>
      </c>
      <c r="T414" t="s">
        <v>46380</v>
      </c>
      <c r="U414" t="s">
        <v>47332</v>
      </c>
      <c r="W414" t="s">
        <v>40795</v>
      </c>
      <c r="X414" t="s">
        <v>44762</v>
      </c>
    </row>
    <row r="415" spans="1:24">
      <c r="A415">
        <f>HYPERLINK("https://www.philgeps.gov.ph/GEPSNONPILOT/Tender/SplashBidNoticeAbstractUI.aspx?menuIndex=3&amp;refID=7152443&amp;Result=3","7152443")</f>
        <v>0</v>
      </c>
      <c r="B415" t="s">
        <v>249</v>
      </c>
      <c r="C415" t="s">
        <v>4167</v>
      </c>
      <c r="D415" t="s">
        <v>17955</v>
      </c>
      <c r="E415" t="s">
        <v>18456</v>
      </c>
      <c r="F415" t="s">
        <v>30900</v>
      </c>
      <c r="G415" t="s">
        <v>30907</v>
      </c>
      <c r="H415" t="s">
        <v>30916</v>
      </c>
      <c r="I415" t="s">
        <v>4108</v>
      </c>
      <c r="J415" t="s">
        <v>31392</v>
      </c>
      <c r="K415" t="s">
        <v>40288</v>
      </c>
      <c r="M415" t="s">
        <v>40796</v>
      </c>
      <c r="N415" t="s">
        <v>44759</v>
      </c>
      <c r="O415" t="s">
        <v>44760</v>
      </c>
      <c r="P415">
        <v>0</v>
      </c>
      <c r="Q415">
        <v>0</v>
      </c>
      <c r="R415" t="s">
        <v>44761</v>
      </c>
      <c r="S415" t="s">
        <v>44862</v>
      </c>
      <c r="T415" t="s">
        <v>46361</v>
      </c>
      <c r="U415" t="s">
        <v>47333</v>
      </c>
      <c r="W415" t="s">
        <v>60821</v>
      </c>
      <c r="X415" t="s">
        <v>44762</v>
      </c>
    </row>
    <row r="416" spans="1:24">
      <c r="A416">
        <f>HYPERLINK("https://www.philgeps.gov.ph/GEPSNONPILOT/Tender/SplashBidNoticeAbstractUI.aspx?menuIndex=3&amp;refID=7152454&amp;Result=3","7152454")</f>
        <v>0</v>
      </c>
      <c r="B416" t="s">
        <v>249</v>
      </c>
      <c r="C416" t="s">
        <v>4168</v>
      </c>
      <c r="D416" t="s">
        <v>17955</v>
      </c>
      <c r="E416" t="s">
        <v>18457</v>
      </c>
      <c r="F416" t="s">
        <v>30900</v>
      </c>
      <c r="G416" t="s">
        <v>30907</v>
      </c>
      <c r="H416" t="s">
        <v>30916</v>
      </c>
      <c r="I416" t="s">
        <v>11785</v>
      </c>
      <c r="J416" t="s">
        <v>31393</v>
      </c>
      <c r="K416" t="s">
        <v>40288</v>
      </c>
      <c r="M416" t="s">
        <v>40796</v>
      </c>
      <c r="N416" t="s">
        <v>44759</v>
      </c>
      <c r="O416" t="s">
        <v>44760</v>
      </c>
      <c r="P416">
        <v>0</v>
      </c>
      <c r="Q416">
        <v>0</v>
      </c>
      <c r="R416" t="s">
        <v>44761</v>
      </c>
      <c r="S416" t="s">
        <v>44862</v>
      </c>
      <c r="T416" t="s">
        <v>46361</v>
      </c>
      <c r="U416" t="s">
        <v>47334</v>
      </c>
      <c r="W416" t="s">
        <v>60821</v>
      </c>
      <c r="X416" t="s">
        <v>44762</v>
      </c>
    </row>
    <row r="417" spans="1:24">
      <c r="A417">
        <f>HYPERLINK("https://www.philgeps.gov.ph/GEPSNONPILOT/Tender/SplashBidNoticeAbstractUI.aspx?menuIndex=3&amp;refID=7152430&amp;Result=3","7152430")</f>
        <v>0</v>
      </c>
      <c r="B417" t="s">
        <v>187</v>
      </c>
      <c r="C417" t="s">
        <v>4169</v>
      </c>
      <c r="D417" t="s">
        <v>17952</v>
      </c>
      <c r="E417" t="s">
        <v>18458</v>
      </c>
      <c r="F417" t="s">
        <v>30900</v>
      </c>
      <c r="G417" t="s">
        <v>30908</v>
      </c>
      <c r="H417" t="s">
        <v>30916</v>
      </c>
      <c r="I417" t="s">
        <v>30956</v>
      </c>
      <c r="J417" t="s">
        <v>31043</v>
      </c>
      <c r="K417" t="s">
        <v>40288</v>
      </c>
      <c r="M417" t="s">
        <v>40734</v>
      </c>
      <c r="N417" t="s">
        <v>44759</v>
      </c>
      <c r="O417" t="s">
        <v>44760</v>
      </c>
      <c r="P417">
        <v>0</v>
      </c>
      <c r="Q417">
        <v>0</v>
      </c>
      <c r="R417" t="s">
        <v>44761</v>
      </c>
      <c r="S417" t="s">
        <v>44862</v>
      </c>
      <c r="T417" t="s">
        <v>46390</v>
      </c>
      <c r="U417" t="s">
        <v>47335</v>
      </c>
      <c r="W417" t="s">
        <v>40734</v>
      </c>
      <c r="X417" t="s">
        <v>44762</v>
      </c>
    </row>
    <row r="418" spans="1:24">
      <c r="A418">
        <f>HYPERLINK("https://www.philgeps.gov.ph/GEPSNONPILOT/Tender/SplashBidNoticeAbstractUI.aspx?menuIndex=3&amp;refID=7152440&amp;Result=3","7152440")</f>
        <v>0</v>
      </c>
      <c r="B418" t="s">
        <v>250</v>
      </c>
      <c r="C418" t="s">
        <v>4170</v>
      </c>
      <c r="E418" t="s">
        <v>18459</v>
      </c>
      <c r="F418" t="s">
        <v>30900</v>
      </c>
      <c r="G418" t="s">
        <v>30907</v>
      </c>
      <c r="H418" t="s">
        <v>30915</v>
      </c>
      <c r="I418" t="s">
        <v>30919</v>
      </c>
      <c r="J418" t="s">
        <v>31394</v>
      </c>
      <c r="K418" t="s">
        <v>40314</v>
      </c>
      <c r="M418" t="s">
        <v>40797</v>
      </c>
      <c r="N418" t="s">
        <v>44759</v>
      </c>
      <c r="O418" t="s">
        <v>44760</v>
      </c>
      <c r="P418">
        <v>0</v>
      </c>
      <c r="Q418">
        <v>0</v>
      </c>
      <c r="R418" t="s">
        <v>44761</v>
      </c>
      <c r="S418" t="s">
        <v>44862</v>
      </c>
      <c r="T418" t="s">
        <v>46375</v>
      </c>
      <c r="U418" t="s">
        <v>47336</v>
      </c>
      <c r="W418" t="s">
        <v>40797</v>
      </c>
      <c r="X418" t="s">
        <v>44762</v>
      </c>
    </row>
    <row r="419" spans="1:24">
      <c r="A419">
        <f>HYPERLINK("https://www.philgeps.gov.ph/GEPSNONPILOT/Tender/SplashBidNoticeAbstractUI.aspx?menuIndex=3&amp;refID=7152471&amp;Result=3","7152471")</f>
        <v>0</v>
      </c>
      <c r="B419" t="s">
        <v>201</v>
      </c>
      <c r="C419" t="s">
        <v>4171</v>
      </c>
      <c r="D419" t="s">
        <v>17964</v>
      </c>
      <c r="E419" t="s">
        <v>18460</v>
      </c>
      <c r="F419" t="s">
        <v>30900</v>
      </c>
      <c r="G419" t="s">
        <v>30907</v>
      </c>
      <c r="H419" t="s">
        <v>30915</v>
      </c>
      <c r="I419" t="s">
        <v>30919</v>
      </c>
      <c r="J419" t="s">
        <v>31270</v>
      </c>
      <c r="K419" t="s">
        <v>40308</v>
      </c>
      <c r="M419" t="s">
        <v>40748</v>
      </c>
      <c r="N419" t="s">
        <v>44759</v>
      </c>
      <c r="O419" t="s">
        <v>44760</v>
      </c>
      <c r="P419">
        <v>0</v>
      </c>
      <c r="Q419">
        <v>0</v>
      </c>
      <c r="R419" t="s">
        <v>44761</v>
      </c>
      <c r="S419" t="s">
        <v>44862</v>
      </c>
      <c r="T419" t="s">
        <v>46436</v>
      </c>
      <c r="U419" t="s">
        <v>47337</v>
      </c>
      <c r="V419" t="s">
        <v>59154</v>
      </c>
      <c r="W419" t="s">
        <v>40748</v>
      </c>
      <c r="X419" t="s">
        <v>44762</v>
      </c>
    </row>
    <row r="420" spans="1:24">
      <c r="A420">
        <f>HYPERLINK("https://www.philgeps.gov.ph/GEPSNONPILOT/Tender/SplashBidNoticeAbstractUI.aspx?menuIndex=3&amp;refID=7152397&amp;Result=3","7152397")</f>
        <v>0</v>
      </c>
      <c r="B420" t="s">
        <v>251</v>
      </c>
      <c r="C420" t="s">
        <v>4172</v>
      </c>
      <c r="D420" t="s">
        <v>17987</v>
      </c>
      <c r="E420" t="s">
        <v>18461</v>
      </c>
      <c r="F420" t="s">
        <v>30900</v>
      </c>
      <c r="G420" t="s">
        <v>30907</v>
      </c>
      <c r="H420" t="s">
        <v>30916</v>
      </c>
      <c r="I420" t="s">
        <v>8123</v>
      </c>
      <c r="J420" t="s">
        <v>31395</v>
      </c>
      <c r="K420" t="s">
        <v>40289</v>
      </c>
      <c r="M420" t="s">
        <v>40798</v>
      </c>
      <c r="N420" t="s">
        <v>44759</v>
      </c>
      <c r="O420" t="s">
        <v>44760</v>
      </c>
      <c r="P420">
        <v>0</v>
      </c>
      <c r="Q420">
        <v>0</v>
      </c>
      <c r="R420" t="s">
        <v>44761</v>
      </c>
      <c r="S420" t="s">
        <v>44862</v>
      </c>
      <c r="T420" t="s">
        <v>46418</v>
      </c>
      <c r="U420" t="s">
        <v>47338</v>
      </c>
      <c r="W420" t="s">
        <v>40798</v>
      </c>
      <c r="X420" t="s">
        <v>44762</v>
      </c>
    </row>
    <row r="421" spans="1:24">
      <c r="A421">
        <f>HYPERLINK("https://www.philgeps.gov.ph/GEPSNONPILOT/Tender/SplashBidNoticeAbstractUI.aspx?menuIndex=3&amp;refID=7152452&amp;Result=3","7152452")</f>
        <v>0</v>
      </c>
      <c r="B421" t="s">
        <v>252</v>
      </c>
      <c r="C421" t="s">
        <v>4173</v>
      </c>
      <c r="D421" t="s">
        <v>17965</v>
      </c>
      <c r="E421" t="s">
        <v>18348</v>
      </c>
      <c r="F421" t="s">
        <v>30900</v>
      </c>
      <c r="G421" t="s">
        <v>30908</v>
      </c>
      <c r="H421" t="s">
        <v>30916</v>
      </c>
      <c r="I421" t="s">
        <v>30951</v>
      </c>
      <c r="J421" t="s">
        <v>31049</v>
      </c>
      <c r="K421" t="s">
        <v>40288</v>
      </c>
      <c r="M421" t="s">
        <v>40799</v>
      </c>
      <c r="N421" t="s">
        <v>44759</v>
      </c>
      <c r="O421" t="s">
        <v>44760</v>
      </c>
      <c r="P421">
        <v>0</v>
      </c>
      <c r="Q421">
        <v>0</v>
      </c>
      <c r="R421" t="s">
        <v>44761</v>
      </c>
      <c r="S421" t="s">
        <v>44862</v>
      </c>
      <c r="T421" t="s">
        <v>46454</v>
      </c>
      <c r="U421" t="s">
        <v>47339</v>
      </c>
      <c r="W421" t="s">
        <v>40799</v>
      </c>
      <c r="X421" t="s">
        <v>44762</v>
      </c>
    </row>
    <row r="422" spans="1:24">
      <c r="A422">
        <f>HYPERLINK("https://www.philgeps.gov.ph/GEPSNONPILOT/Tender/SplashBidNoticeAbstractUI.aspx?menuIndex=3&amp;refID=7152478&amp;Result=3","7152478")</f>
        <v>0</v>
      </c>
      <c r="B422" t="s">
        <v>253</v>
      </c>
      <c r="C422" t="s">
        <v>4174</v>
      </c>
      <c r="D422" t="s">
        <v>17977</v>
      </c>
      <c r="E422" t="s">
        <v>18462</v>
      </c>
      <c r="F422" t="s">
        <v>30900</v>
      </c>
      <c r="G422" t="s">
        <v>30908</v>
      </c>
      <c r="H422" t="s">
        <v>30916</v>
      </c>
      <c r="I422" t="s">
        <v>30957</v>
      </c>
      <c r="J422" t="s">
        <v>31396</v>
      </c>
      <c r="K422" t="s">
        <v>40289</v>
      </c>
      <c r="M422" t="s">
        <v>40800</v>
      </c>
      <c r="N422" t="s">
        <v>44759</v>
      </c>
      <c r="O422" t="s">
        <v>44760</v>
      </c>
      <c r="P422">
        <v>0</v>
      </c>
      <c r="Q422">
        <v>0</v>
      </c>
      <c r="R422" t="s">
        <v>44761</v>
      </c>
      <c r="S422" t="s">
        <v>44862</v>
      </c>
      <c r="T422" t="s">
        <v>46421</v>
      </c>
      <c r="U422" t="s">
        <v>47340</v>
      </c>
      <c r="W422" t="s">
        <v>40800</v>
      </c>
      <c r="X422" t="s">
        <v>44762</v>
      </c>
    </row>
    <row r="423" spans="1:24">
      <c r="A423">
        <f>HYPERLINK("https://www.philgeps.gov.ph/GEPSNONPILOT/Tender/SplashBidNoticeAbstractUI.aspx?menuIndex=3&amp;refID=7152472&amp;Result=3","7152472")</f>
        <v>0</v>
      </c>
      <c r="B423" t="s">
        <v>254</v>
      </c>
      <c r="C423" t="s">
        <v>4175</v>
      </c>
      <c r="D423" t="s">
        <v>17977</v>
      </c>
      <c r="E423" t="s">
        <v>18463</v>
      </c>
      <c r="F423" t="s">
        <v>30903</v>
      </c>
      <c r="G423" t="s">
        <v>30909</v>
      </c>
      <c r="H423" t="s">
        <v>30916</v>
      </c>
      <c r="I423" t="s">
        <v>30958</v>
      </c>
      <c r="J423" t="s">
        <v>31388</v>
      </c>
      <c r="K423" t="s">
        <v>40285</v>
      </c>
      <c r="M423" t="s">
        <v>40801</v>
      </c>
      <c r="N423" t="s">
        <v>44759</v>
      </c>
      <c r="O423" t="s">
        <v>44760</v>
      </c>
      <c r="P423">
        <v>0</v>
      </c>
      <c r="Q423">
        <v>0</v>
      </c>
      <c r="R423" t="s">
        <v>44761</v>
      </c>
      <c r="S423" t="s">
        <v>44862</v>
      </c>
      <c r="T423" t="s">
        <v>46389</v>
      </c>
      <c r="U423" t="s">
        <v>47341</v>
      </c>
      <c r="W423" t="s">
        <v>40801</v>
      </c>
      <c r="X423" t="s">
        <v>44762</v>
      </c>
    </row>
    <row r="424" spans="1:24">
      <c r="A424">
        <f>HYPERLINK("https://www.philgeps.gov.ph/GEPSNONPILOT/Tender/SplashBidNoticeAbstractUI.aspx?menuIndex=3&amp;refID=7152475&amp;Result=3","7152475")</f>
        <v>0</v>
      </c>
      <c r="B424" t="s">
        <v>250</v>
      </c>
      <c r="C424" t="s">
        <v>4176</v>
      </c>
      <c r="E424" t="s">
        <v>18464</v>
      </c>
      <c r="F424" t="s">
        <v>30900</v>
      </c>
      <c r="G424" t="s">
        <v>30907</v>
      </c>
      <c r="H424" t="s">
        <v>30915</v>
      </c>
      <c r="I424" t="s">
        <v>30919</v>
      </c>
      <c r="J424" t="s">
        <v>31397</v>
      </c>
      <c r="K424" t="s">
        <v>40327</v>
      </c>
      <c r="M424" t="s">
        <v>40797</v>
      </c>
      <c r="N424" t="s">
        <v>44759</v>
      </c>
      <c r="O424" t="s">
        <v>44760</v>
      </c>
      <c r="P424">
        <v>0</v>
      </c>
      <c r="Q424">
        <v>0</v>
      </c>
      <c r="R424" t="s">
        <v>44761</v>
      </c>
      <c r="S424" t="s">
        <v>44862</v>
      </c>
      <c r="T424" t="s">
        <v>46375</v>
      </c>
      <c r="U424" t="s">
        <v>47336</v>
      </c>
      <c r="W424" t="s">
        <v>40797</v>
      </c>
      <c r="X424" t="s">
        <v>44762</v>
      </c>
    </row>
    <row r="425" spans="1:24">
      <c r="A425">
        <f>HYPERLINK("https://www.philgeps.gov.ph/GEPSNONPILOT/Tender/SplashBidNoticeAbstractUI.aspx?menuIndex=3&amp;refID=7152470&amp;Result=3","7152470")</f>
        <v>0</v>
      </c>
      <c r="B425" t="s">
        <v>255</v>
      </c>
      <c r="C425" t="s">
        <v>4177</v>
      </c>
      <c r="D425" t="s">
        <v>17980</v>
      </c>
      <c r="E425" t="s">
        <v>18465</v>
      </c>
      <c r="F425" t="s">
        <v>30900</v>
      </c>
      <c r="G425" t="s">
        <v>30908</v>
      </c>
      <c r="H425" t="s">
        <v>30916</v>
      </c>
      <c r="I425" t="s">
        <v>30959</v>
      </c>
      <c r="J425" t="s">
        <v>31398</v>
      </c>
      <c r="K425" t="s">
        <v>40287</v>
      </c>
      <c r="M425" t="s">
        <v>40802</v>
      </c>
      <c r="N425" t="s">
        <v>44759</v>
      </c>
      <c r="O425" t="s">
        <v>44760</v>
      </c>
      <c r="P425">
        <v>0</v>
      </c>
      <c r="Q425">
        <v>0</v>
      </c>
      <c r="R425" t="s">
        <v>44761</v>
      </c>
      <c r="S425" t="s">
        <v>44862</v>
      </c>
      <c r="T425" t="s">
        <v>46357</v>
      </c>
      <c r="U425" t="s">
        <v>47342</v>
      </c>
      <c r="W425" t="s">
        <v>40802</v>
      </c>
      <c r="X425" t="s">
        <v>44762</v>
      </c>
    </row>
    <row r="426" spans="1:24">
      <c r="A426">
        <f>HYPERLINK("https://www.philgeps.gov.ph/GEPSNONPILOT/Tender/SplashBidNoticeAbstractUI.aspx?menuIndex=3&amp;refID=7152468&amp;Result=3","7152468")</f>
        <v>0</v>
      </c>
      <c r="B426" t="s">
        <v>205</v>
      </c>
      <c r="C426" t="s">
        <v>4178</v>
      </c>
      <c r="D426" t="s">
        <v>18015</v>
      </c>
      <c r="E426" t="s">
        <v>18466</v>
      </c>
      <c r="F426" t="s">
        <v>30900</v>
      </c>
      <c r="G426" t="s">
        <v>30907</v>
      </c>
      <c r="H426" t="s">
        <v>30915</v>
      </c>
      <c r="I426" t="s">
        <v>30919</v>
      </c>
      <c r="J426" t="s">
        <v>31399</v>
      </c>
      <c r="K426" t="s">
        <v>40306</v>
      </c>
      <c r="M426" t="s">
        <v>40752</v>
      </c>
      <c r="N426" t="s">
        <v>44759</v>
      </c>
      <c r="O426" t="s">
        <v>44760</v>
      </c>
      <c r="P426">
        <v>0</v>
      </c>
      <c r="Q426">
        <v>0</v>
      </c>
      <c r="R426" t="s">
        <v>44761</v>
      </c>
      <c r="S426" t="s">
        <v>44862</v>
      </c>
      <c r="T426" t="s">
        <v>46369</v>
      </c>
      <c r="U426" t="s">
        <v>47328</v>
      </c>
      <c r="W426" t="s">
        <v>40752</v>
      </c>
      <c r="X426" t="s">
        <v>44762</v>
      </c>
    </row>
    <row r="427" spans="1:24">
      <c r="A427">
        <f>HYPERLINK("https://www.philgeps.gov.ph/GEPSNONPILOT/Tender/SplashBidNoticeAbstractUI.aspx?menuIndex=3&amp;refID=7152389&amp;Result=3","7152389")</f>
        <v>0</v>
      </c>
      <c r="B427" t="s">
        <v>131</v>
      </c>
      <c r="C427" t="s">
        <v>4179</v>
      </c>
      <c r="D427" t="s">
        <v>17978</v>
      </c>
      <c r="E427" t="s">
        <v>18467</v>
      </c>
      <c r="F427" t="s">
        <v>30900</v>
      </c>
      <c r="G427" t="s">
        <v>30909</v>
      </c>
      <c r="H427" t="s">
        <v>30916</v>
      </c>
      <c r="I427" t="s">
        <v>4108</v>
      </c>
      <c r="J427" t="s">
        <v>31400</v>
      </c>
      <c r="K427" t="s">
        <v>40283</v>
      </c>
      <c r="M427" t="s">
        <v>40678</v>
      </c>
      <c r="N427" t="s">
        <v>44759</v>
      </c>
      <c r="O427" t="s">
        <v>44760</v>
      </c>
      <c r="P427">
        <v>0</v>
      </c>
      <c r="Q427">
        <v>0</v>
      </c>
      <c r="R427" t="s">
        <v>44761</v>
      </c>
      <c r="S427" t="s">
        <v>44862</v>
      </c>
      <c r="T427" t="s">
        <v>46414</v>
      </c>
      <c r="U427" t="s">
        <v>47343</v>
      </c>
      <c r="W427" t="s">
        <v>40678</v>
      </c>
      <c r="X427" t="s">
        <v>44762</v>
      </c>
    </row>
    <row r="428" spans="1:24">
      <c r="A428">
        <f>HYPERLINK("https://www.philgeps.gov.ph/GEPSNONPILOT/Tender/SplashBidNoticeAbstractUI.aspx?menuIndex=3&amp;refID=7152464&amp;Result=3","7152464")</f>
        <v>0</v>
      </c>
      <c r="B428" t="s">
        <v>124</v>
      </c>
      <c r="C428" t="s">
        <v>4180</v>
      </c>
      <c r="D428" t="s">
        <v>17982</v>
      </c>
      <c r="E428" t="s">
        <v>18468</v>
      </c>
      <c r="F428" t="s">
        <v>30900</v>
      </c>
      <c r="G428" t="s">
        <v>30907</v>
      </c>
      <c r="H428" t="s">
        <v>30915</v>
      </c>
      <c r="I428" t="s">
        <v>30919</v>
      </c>
      <c r="J428" t="s">
        <v>31401</v>
      </c>
      <c r="K428" t="s">
        <v>40328</v>
      </c>
      <c r="M428" t="s">
        <v>40671</v>
      </c>
      <c r="N428" t="s">
        <v>44759</v>
      </c>
      <c r="O428" t="s">
        <v>44760</v>
      </c>
      <c r="P428">
        <v>0</v>
      </c>
      <c r="Q428">
        <v>0</v>
      </c>
      <c r="R428" t="s">
        <v>44761</v>
      </c>
      <c r="S428" t="s">
        <v>44862</v>
      </c>
      <c r="T428" t="s">
        <v>46380</v>
      </c>
      <c r="U428" t="s">
        <v>47344</v>
      </c>
      <c r="W428" t="s">
        <v>40671</v>
      </c>
      <c r="X428" t="s">
        <v>44762</v>
      </c>
    </row>
    <row r="429" spans="1:24">
      <c r="A429">
        <f>HYPERLINK("https://www.philgeps.gov.ph/GEPSNONPILOT/Tender/SplashBidNoticeAbstractUI.aspx?menuIndex=3&amp;refID=7152426&amp;Result=3","7152426")</f>
        <v>0</v>
      </c>
      <c r="B429" t="s">
        <v>249</v>
      </c>
      <c r="C429" t="s">
        <v>4181</v>
      </c>
      <c r="D429" t="s">
        <v>17955</v>
      </c>
      <c r="E429" t="s">
        <v>18469</v>
      </c>
      <c r="F429" t="s">
        <v>30900</v>
      </c>
      <c r="G429" t="s">
        <v>30907</v>
      </c>
      <c r="H429" t="s">
        <v>30916</v>
      </c>
      <c r="I429" t="s">
        <v>30960</v>
      </c>
      <c r="J429" t="s">
        <v>31402</v>
      </c>
      <c r="K429" t="s">
        <v>40288</v>
      </c>
      <c r="M429" t="s">
        <v>40796</v>
      </c>
      <c r="N429" t="s">
        <v>44759</v>
      </c>
      <c r="O429" t="s">
        <v>44760</v>
      </c>
      <c r="P429">
        <v>0</v>
      </c>
      <c r="Q429">
        <v>0</v>
      </c>
      <c r="R429" t="s">
        <v>44761</v>
      </c>
      <c r="S429" t="s">
        <v>44862</v>
      </c>
      <c r="T429" t="s">
        <v>46361</v>
      </c>
      <c r="U429" t="s">
        <v>47345</v>
      </c>
      <c r="W429" t="s">
        <v>60821</v>
      </c>
      <c r="X429" t="s">
        <v>44762</v>
      </c>
    </row>
    <row r="430" spans="1:24">
      <c r="A430">
        <f>HYPERLINK("https://www.philgeps.gov.ph/GEPSNONPILOT/Tender/SplashBidNoticeAbstractUI.aspx?menuIndex=3&amp;refID=7152463&amp;Result=3","7152463")</f>
        <v>0</v>
      </c>
      <c r="B430" t="s">
        <v>187</v>
      </c>
      <c r="C430" t="s">
        <v>4182</v>
      </c>
      <c r="D430" t="s">
        <v>17952</v>
      </c>
      <c r="E430" t="s">
        <v>18470</v>
      </c>
      <c r="F430" t="s">
        <v>30900</v>
      </c>
      <c r="G430" t="s">
        <v>30908</v>
      </c>
      <c r="H430" t="s">
        <v>30916</v>
      </c>
      <c r="I430" t="s">
        <v>9385</v>
      </c>
      <c r="J430" t="s">
        <v>31403</v>
      </c>
      <c r="K430" t="s">
        <v>40288</v>
      </c>
      <c r="M430" t="s">
        <v>40734</v>
      </c>
      <c r="N430" t="s">
        <v>44759</v>
      </c>
      <c r="O430" t="s">
        <v>44760</v>
      </c>
      <c r="P430">
        <v>0</v>
      </c>
      <c r="Q430">
        <v>0</v>
      </c>
      <c r="R430" t="s">
        <v>44761</v>
      </c>
      <c r="S430" t="s">
        <v>44862</v>
      </c>
      <c r="T430" t="s">
        <v>46390</v>
      </c>
      <c r="U430" t="s">
        <v>47346</v>
      </c>
      <c r="W430" t="s">
        <v>40734</v>
      </c>
      <c r="X430" t="s">
        <v>44762</v>
      </c>
    </row>
    <row r="431" spans="1:24">
      <c r="A431">
        <f>HYPERLINK("https://www.philgeps.gov.ph/GEPSNONPILOT/Tender/SplashBidNoticeAbstractUI.aspx?menuIndex=3&amp;refID=7152461&amp;Result=3","7152461")</f>
        <v>0</v>
      </c>
      <c r="B431" t="s">
        <v>231</v>
      </c>
      <c r="C431" t="s">
        <v>4183</v>
      </c>
      <c r="D431" t="s">
        <v>17957</v>
      </c>
      <c r="E431" t="s">
        <v>18471</v>
      </c>
      <c r="F431" t="s">
        <v>30900</v>
      </c>
      <c r="G431" t="s">
        <v>30908</v>
      </c>
      <c r="H431" t="s">
        <v>30916</v>
      </c>
      <c r="I431" t="s">
        <v>4050</v>
      </c>
      <c r="J431" t="s">
        <v>31404</v>
      </c>
      <c r="K431" t="s">
        <v>40294</v>
      </c>
      <c r="M431" t="s">
        <v>40778</v>
      </c>
      <c r="N431" t="s">
        <v>44759</v>
      </c>
      <c r="O431" t="s">
        <v>44760</v>
      </c>
      <c r="P431">
        <v>0</v>
      </c>
      <c r="Q431">
        <v>0</v>
      </c>
      <c r="R431" t="s">
        <v>44761</v>
      </c>
      <c r="S431" t="s">
        <v>44862</v>
      </c>
      <c r="T431" t="s">
        <v>46399</v>
      </c>
      <c r="U431" t="s">
        <v>47347</v>
      </c>
      <c r="W431" t="s">
        <v>40778</v>
      </c>
      <c r="X431" t="s">
        <v>44762</v>
      </c>
    </row>
    <row r="432" spans="1:24">
      <c r="A432">
        <f>HYPERLINK("https://www.philgeps.gov.ph/GEPSNONPILOT/Tender/SplashBidNoticeAbstractUI.aspx?menuIndex=3&amp;refID=7152460&amp;Result=3","7152460")</f>
        <v>0</v>
      </c>
      <c r="B432" t="s">
        <v>248</v>
      </c>
      <c r="C432" t="s">
        <v>4184</v>
      </c>
      <c r="D432" t="s">
        <v>17966</v>
      </c>
      <c r="E432" t="s">
        <v>18472</v>
      </c>
      <c r="F432" t="s">
        <v>30900</v>
      </c>
      <c r="G432" t="s">
        <v>30907</v>
      </c>
      <c r="H432" t="s">
        <v>30915</v>
      </c>
      <c r="I432" t="s">
        <v>30919</v>
      </c>
      <c r="J432" t="s">
        <v>31405</v>
      </c>
      <c r="K432" t="s">
        <v>40293</v>
      </c>
      <c r="M432" t="s">
        <v>40795</v>
      </c>
      <c r="N432" t="s">
        <v>44759</v>
      </c>
      <c r="O432" t="s">
        <v>44760</v>
      </c>
      <c r="P432">
        <v>0</v>
      </c>
      <c r="Q432">
        <v>0</v>
      </c>
      <c r="R432" t="s">
        <v>44761</v>
      </c>
      <c r="S432" t="s">
        <v>44862</v>
      </c>
      <c r="T432" t="s">
        <v>46380</v>
      </c>
      <c r="U432" t="s">
        <v>47348</v>
      </c>
      <c r="W432" t="s">
        <v>40795</v>
      </c>
      <c r="X432" t="s">
        <v>44762</v>
      </c>
    </row>
    <row r="433" spans="1:24">
      <c r="A433">
        <f>HYPERLINK("https://www.philgeps.gov.ph/GEPSNONPILOT/Tender/SplashBidNoticeAbstractUI.aspx?menuIndex=3&amp;refID=7152459&amp;Result=3","7152459")</f>
        <v>0</v>
      </c>
      <c r="B433" t="s">
        <v>256</v>
      </c>
      <c r="C433" t="s">
        <v>4185</v>
      </c>
      <c r="D433" t="s">
        <v>17989</v>
      </c>
      <c r="E433" t="s">
        <v>18473</v>
      </c>
      <c r="F433" t="s">
        <v>30900</v>
      </c>
      <c r="G433" t="s">
        <v>30907</v>
      </c>
      <c r="H433" t="s">
        <v>30916</v>
      </c>
      <c r="I433" t="s">
        <v>30933</v>
      </c>
      <c r="J433" t="s">
        <v>31214</v>
      </c>
      <c r="K433" t="s">
        <v>40280</v>
      </c>
      <c r="M433" t="s">
        <v>40803</v>
      </c>
      <c r="N433" t="s">
        <v>44759</v>
      </c>
      <c r="O433" t="s">
        <v>44760</v>
      </c>
      <c r="P433">
        <v>0</v>
      </c>
      <c r="Q433">
        <v>2</v>
      </c>
      <c r="R433" t="s">
        <v>44761</v>
      </c>
      <c r="S433" t="s">
        <v>44862</v>
      </c>
      <c r="T433" t="s">
        <v>46375</v>
      </c>
      <c r="U433" t="s">
        <v>47349</v>
      </c>
      <c r="W433" t="s">
        <v>40803</v>
      </c>
      <c r="X433" t="s">
        <v>44762</v>
      </c>
    </row>
    <row r="434" spans="1:24">
      <c r="A434">
        <f>HYPERLINK("https://www.philgeps.gov.ph/GEPSNONPILOT/Tender/SplashBidNoticeAbstractUI.aspx?menuIndex=3&amp;refID=7152457&amp;Result=3","7152457")</f>
        <v>0</v>
      </c>
      <c r="B434" t="s">
        <v>257</v>
      </c>
      <c r="C434" t="s">
        <v>4186</v>
      </c>
      <c r="D434" t="s">
        <v>17985</v>
      </c>
      <c r="E434" t="s">
        <v>18474</v>
      </c>
      <c r="F434" t="s">
        <v>30900</v>
      </c>
      <c r="G434" t="s">
        <v>30908</v>
      </c>
      <c r="H434" t="s">
        <v>30916</v>
      </c>
      <c r="I434" t="s">
        <v>10847</v>
      </c>
      <c r="J434" t="s">
        <v>31183</v>
      </c>
      <c r="K434" t="s">
        <v>40283</v>
      </c>
      <c r="M434" t="s">
        <v>40804</v>
      </c>
      <c r="N434" t="s">
        <v>44759</v>
      </c>
      <c r="O434" t="s">
        <v>44760</v>
      </c>
      <c r="P434">
        <v>0</v>
      </c>
      <c r="Q434">
        <v>0</v>
      </c>
      <c r="R434" t="s">
        <v>44761</v>
      </c>
      <c r="S434" t="s">
        <v>44862</v>
      </c>
      <c r="T434" t="s">
        <v>46356</v>
      </c>
      <c r="U434" t="s">
        <v>47350</v>
      </c>
      <c r="V434" t="s">
        <v>59155</v>
      </c>
      <c r="W434" t="s">
        <v>40804</v>
      </c>
      <c r="X434" t="s">
        <v>44762</v>
      </c>
    </row>
    <row r="435" spans="1:24">
      <c r="A435">
        <f>HYPERLINK("https://www.philgeps.gov.ph/GEPSNONPILOT/Tender/SplashBidNoticeAbstractUI.aspx?menuIndex=3&amp;refID=7152456&amp;Result=3","7152456")</f>
        <v>0</v>
      </c>
      <c r="B435" t="s">
        <v>258</v>
      </c>
      <c r="C435" t="s">
        <v>4187</v>
      </c>
      <c r="D435" t="s">
        <v>18005</v>
      </c>
      <c r="E435" t="s">
        <v>18475</v>
      </c>
      <c r="F435" t="s">
        <v>30900</v>
      </c>
      <c r="G435" t="s">
        <v>30909</v>
      </c>
      <c r="H435" t="s">
        <v>30916</v>
      </c>
      <c r="I435" t="s">
        <v>30947</v>
      </c>
      <c r="J435" t="s">
        <v>31406</v>
      </c>
      <c r="K435" t="s">
        <v>40283</v>
      </c>
      <c r="M435" t="s">
        <v>40805</v>
      </c>
      <c r="N435" t="s">
        <v>44759</v>
      </c>
      <c r="O435" t="s">
        <v>44760</v>
      </c>
      <c r="P435">
        <v>0</v>
      </c>
      <c r="Q435">
        <v>0</v>
      </c>
      <c r="R435" t="s">
        <v>44761</v>
      </c>
      <c r="S435" t="s">
        <v>44862</v>
      </c>
      <c r="T435" t="s">
        <v>46361</v>
      </c>
      <c r="U435" t="s">
        <v>47351</v>
      </c>
      <c r="W435" t="s">
        <v>40805</v>
      </c>
      <c r="X435" t="s">
        <v>44762</v>
      </c>
    </row>
    <row r="436" spans="1:24">
      <c r="A436">
        <f>HYPERLINK("https://www.philgeps.gov.ph/GEPSNONPILOT/Tender/SplashBidNoticeAbstractUI.aspx?menuIndex=3&amp;refID=7152469&amp;Result=3","7152469")</f>
        <v>0</v>
      </c>
      <c r="B436" t="s">
        <v>259</v>
      </c>
      <c r="C436" t="s">
        <v>4188</v>
      </c>
      <c r="D436" t="s">
        <v>17981</v>
      </c>
      <c r="E436" t="s">
        <v>18476</v>
      </c>
      <c r="F436" t="s">
        <v>30900</v>
      </c>
      <c r="G436" t="s">
        <v>30908</v>
      </c>
      <c r="H436" t="s">
        <v>30916</v>
      </c>
      <c r="I436" t="s">
        <v>5830</v>
      </c>
      <c r="J436" t="s">
        <v>31407</v>
      </c>
      <c r="K436" t="s">
        <v>40283</v>
      </c>
      <c r="M436" t="s">
        <v>40806</v>
      </c>
      <c r="N436" t="s">
        <v>44759</v>
      </c>
      <c r="O436" t="s">
        <v>44760</v>
      </c>
      <c r="P436">
        <v>0</v>
      </c>
      <c r="Q436">
        <v>0</v>
      </c>
      <c r="R436" t="s">
        <v>44761</v>
      </c>
      <c r="S436" t="s">
        <v>44862</v>
      </c>
      <c r="T436" t="s">
        <v>46390</v>
      </c>
      <c r="U436" t="s">
        <v>47352</v>
      </c>
      <c r="W436" t="s">
        <v>40806</v>
      </c>
      <c r="X436" t="s">
        <v>44762</v>
      </c>
    </row>
    <row r="437" spans="1:24">
      <c r="A437">
        <f>HYPERLINK("https://www.philgeps.gov.ph/GEPSNONPILOT/Tender/SplashBidNoticeAbstractUI.aspx?menuIndex=3&amp;refID=7152481&amp;Result=3","7152481")</f>
        <v>0</v>
      </c>
      <c r="B437" t="s">
        <v>260</v>
      </c>
      <c r="C437" t="s">
        <v>4189</v>
      </c>
      <c r="D437" t="s">
        <v>17973</v>
      </c>
      <c r="E437" t="s">
        <v>18477</v>
      </c>
      <c r="F437" t="s">
        <v>30900</v>
      </c>
      <c r="G437" t="s">
        <v>30908</v>
      </c>
      <c r="H437" t="s">
        <v>30916</v>
      </c>
      <c r="I437" t="s">
        <v>8123</v>
      </c>
      <c r="J437" t="s">
        <v>31408</v>
      </c>
      <c r="K437" t="s">
        <v>40284</v>
      </c>
      <c r="M437" t="s">
        <v>40807</v>
      </c>
      <c r="N437" t="s">
        <v>44759</v>
      </c>
      <c r="O437" t="s">
        <v>44760</v>
      </c>
      <c r="P437">
        <v>0</v>
      </c>
      <c r="Q437">
        <v>0</v>
      </c>
      <c r="R437" t="s">
        <v>44761</v>
      </c>
      <c r="S437" t="s">
        <v>44862</v>
      </c>
      <c r="T437" t="s">
        <v>46424</v>
      </c>
      <c r="U437" t="s">
        <v>47353</v>
      </c>
      <c r="V437" t="s">
        <v>59156</v>
      </c>
      <c r="W437" t="s">
        <v>40807</v>
      </c>
      <c r="X437" t="s">
        <v>44762</v>
      </c>
    </row>
    <row r="438" spans="1:24">
      <c r="A438">
        <f>HYPERLINK("https://www.philgeps.gov.ph/GEPSNONPILOT/Tender/SplashBidNoticeAbstractUI.aspx?menuIndex=3&amp;refID=7152466&amp;Result=3","7152466")</f>
        <v>0</v>
      </c>
      <c r="B438" t="s">
        <v>237</v>
      </c>
      <c r="C438" t="s">
        <v>4190</v>
      </c>
      <c r="D438" t="s">
        <v>17977</v>
      </c>
      <c r="E438" t="s">
        <v>18478</v>
      </c>
      <c r="F438" t="s">
        <v>30900</v>
      </c>
      <c r="G438" t="s">
        <v>30908</v>
      </c>
      <c r="H438" t="s">
        <v>30916</v>
      </c>
      <c r="I438" t="s">
        <v>6953</v>
      </c>
      <c r="J438" t="s">
        <v>31409</v>
      </c>
      <c r="K438" t="s">
        <v>40289</v>
      </c>
      <c r="M438" t="s">
        <v>40784</v>
      </c>
      <c r="N438" t="s">
        <v>44759</v>
      </c>
      <c r="O438" t="s">
        <v>44760</v>
      </c>
      <c r="P438">
        <v>0</v>
      </c>
      <c r="Q438">
        <v>0</v>
      </c>
      <c r="R438" t="s">
        <v>44761</v>
      </c>
      <c r="S438" t="s">
        <v>44862</v>
      </c>
      <c r="T438" t="s">
        <v>46393</v>
      </c>
      <c r="U438" t="s">
        <v>47354</v>
      </c>
      <c r="W438" t="s">
        <v>40784</v>
      </c>
      <c r="X438" t="s">
        <v>44762</v>
      </c>
    </row>
    <row r="439" spans="1:24">
      <c r="A439">
        <f>HYPERLINK("https://www.philgeps.gov.ph/GEPSNONPILOT/Tender/SplashBidNoticeAbstractUI.aspx?menuIndex=3&amp;refID=7152502&amp;Result=3","7152502")</f>
        <v>0</v>
      </c>
      <c r="B439" t="s">
        <v>261</v>
      </c>
      <c r="C439" t="s">
        <v>4191</v>
      </c>
      <c r="E439" t="s">
        <v>18479</v>
      </c>
      <c r="F439" t="s">
        <v>30900</v>
      </c>
      <c r="G439" t="s">
        <v>30907</v>
      </c>
      <c r="H439" t="s">
        <v>30915</v>
      </c>
      <c r="I439" t="s">
        <v>30919</v>
      </c>
      <c r="J439" t="s">
        <v>31410</v>
      </c>
      <c r="K439" t="s">
        <v>40280</v>
      </c>
      <c r="M439" t="s">
        <v>40808</v>
      </c>
      <c r="N439" t="s">
        <v>44759</v>
      </c>
      <c r="O439" t="s">
        <v>44760</v>
      </c>
      <c r="P439">
        <v>0</v>
      </c>
      <c r="Q439">
        <v>0</v>
      </c>
      <c r="R439" t="s">
        <v>44761</v>
      </c>
      <c r="S439" t="s">
        <v>44862</v>
      </c>
      <c r="T439" t="s">
        <v>46350</v>
      </c>
      <c r="U439" t="s">
        <v>47355</v>
      </c>
      <c r="V439" t="s">
        <v>59157</v>
      </c>
      <c r="W439" t="s">
        <v>40808</v>
      </c>
      <c r="X439" t="s">
        <v>44762</v>
      </c>
    </row>
    <row r="440" spans="1:24">
      <c r="A440">
        <f>HYPERLINK("https://www.philgeps.gov.ph/GEPSNONPILOT/Tender/SplashBidNoticeAbstractUI.aspx?menuIndex=3&amp;refID=7152500&amp;Result=3","7152500")</f>
        <v>0</v>
      </c>
      <c r="B440" t="s">
        <v>192</v>
      </c>
      <c r="C440" t="s">
        <v>4064</v>
      </c>
      <c r="D440" t="s">
        <v>18020</v>
      </c>
      <c r="E440" t="s">
        <v>18480</v>
      </c>
      <c r="F440" t="s">
        <v>30900</v>
      </c>
      <c r="G440" t="s">
        <v>30908</v>
      </c>
      <c r="H440" t="s">
        <v>30916</v>
      </c>
      <c r="I440" t="s">
        <v>30929</v>
      </c>
      <c r="J440" t="s">
        <v>31411</v>
      </c>
      <c r="K440" t="s">
        <v>40283</v>
      </c>
      <c r="M440" t="s">
        <v>40739</v>
      </c>
      <c r="N440" t="s">
        <v>44759</v>
      </c>
      <c r="O440" t="s">
        <v>44760</v>
      </c>
      <c r="P440">
        <v>0</v>
      </c>
      <c r="Q440">
        <v>0</v>
      </c>
      <c r="R440" t="s">
        <v>44761</v>
      </c>
      <c r="S440" t="s">
        <v>44862</v>
      </c>
      <c r="T440" t="s">
        <v>46357</v>
      </c>
      <c r="U440" t="s">
        <v>47356</v>
      </c>
      <c r="V440" t="s">
        <v>59158</v>
      </c>
      <c r="W440" t="s">
        <v>40739</v>
      </c>
      <c r="X440" t="s">
        <v>44762</v>
      </c>
    </row>
    <row r="441" spans="1:24">
      <c r="A441">
        <f>HYPERLINK("https://www.philgeps.gov.ph/GEPSNONPILOT/Tender/SplashBidNoticeAbstractUI.aspx?menuIndex=3&amp;refID=7152462&amp;Result=3","7152462")</f>
        <v>0</v>
      </c>
      <c r="B441" t="s">
        <v>262</v>
      </c>
      <c r="C441" t="s">
        <v>4192</v>
      </c>
      <c r="D441" t="s">
        <v>17970</v>
      </c>
      <c r="E441" t="s">
        <v>18435</v>
      </c>
      <c r="F441" t="s">
        <v>30900</v>
      </c>
      <c r="G441" t="s">
        <v>30907</v>
      </c>
      <c r="H441" t="s">
        <v>30917</v>
      </c>
      <c r="I441" t="s">
        <v>30927</v>
      </c>
      <c r="J441" t="s">
        <v>31211</v>
      </c>
      <c r="K441" t="s">
        <v>40283</v>
      </c>
      <c r="M441" t="s">
        <v>40809</v>
      </c>
      <c r="N441" t="s">
        <v>44759</v>
      </c>
      <c r="O441" t="s">
        <v>44760</v>
      </c>
      <c r="P441">
        <v>0</v>
      </c>
      <c r="Q441">
        <v>0</v>
      </c>
      <c r="R441" t="s">
        <v>44761</v>
      </c>
      <c r="S441" t="s">
        <v>44862</v>
      </c>
      <c r="T441" t="s">
        <v>46396</v>
      </c>
      <c r="U441" t="s">
        <v>47357</v>
      </c>
      <c r="W441" t="s">
        <v>40809</v>
      </c>
      <c r="X441" t="s">
        <v>44762</v>
      </c>
    </row>
    <row r="442" spans="1:24">
      <c r="A442">
        <f>HYPERLINK("https://www.philgeps.gov.ph/GEPSNONPILOT/Tender/SplashBidNoticeAbstractUI.aspx?menuIndex=3&amp;refID=7152499&amp;Result=3","7152499")</f>
        <v>0</v>
      </c>
      <c r="B442" t="s">
        <v>263</v>
      </c>
      <c r="C442" t="s">
        <v>4193</v>
      </c>
      <c r="D442" t="s">
        <v>17998</v>
      </c>
      <c r="E442" t="s">
        <v>18481</v>
      </c>
      <c r="F442" t="s">
        <v>30899</v>
      </c>
      <c r="G442" t="s">
        <v>30907</v>
      </c>
      <c r="H442" t="s">
        <v>30916</v>
      </c>
      <c r="I442" t="s">
        <v>7708</v>
      </c>
      <c r="J442" t="s">
        <v>31412</v>
      </c>
      <c r="K442" t="s">
        <v>40286</v>
      </c>
      <c r="M442" t="s">
        <v>40810</v>
      </c>
      <c r="N442" t="s">
        <v>44759</v>
      </c>
      <c r="O442" t="s">
        <v>44760</v>
      </c>
      <c r="P442">
        <v>0</v>
      </c>
      <c r="Q442">
        <v>0</v>
      </c>
      <c r="R442" t="s">
        <v>44761</v>
      </c>
      <c r="S442" t="s">
        <v>44862</v>
      </c>
      <c r="T442" t="s">
        <v>46455</v>
      </c>
      <c r="U442" t="s">
        <v>47358</v>
      </c>
      <c r="V442" t="s">
        <v>59159</v>
      </c>
      <c r="W442" t="s">
        <v>60822</v>
      </c>
      <c r="X442" t="s">
        <v>44762</v>
      </c>
    </row>
    <row r="443" spans="1:24">
      <c r="A443">
        <f>HYPERLINK("https://www.philgeps.gov.ph/GEPSNONPILOT/Tender/SplashBidNoticeAbstractUI.aspx?menuIndex=3&amp;refID=7152497&amp;Result=3","7152497")</f>
        <v>0</v>
      </c>
      <c r="B443" t="s">
        <v>233</v>
      </c>
      <c r="C443" t="s">
        <v>4194</v>
      </c>
      <c r="E443" t="s">
        <v>18482</v>
      </c>
      <c r="F443" t="s">
        <v>30900</v>
      </c>
      <c r="G443" t="s">
        <v>30908</v>
      </c>
      <c r="H443" t="s">
        <v>30916</v>
      </c>
      <c r="I443" t="s">
        <v>30939</v>
      </c>
      <c r="J443" t="s">
        <v>31413</v>
      </c>
      <c r="K443" t="s">
        <v>40289</v>
      </c>
      <c r="M443" t="s">
        <v>40780</v>
      </c>
      <c r="N443" t="s">
        <v>44759</v>
      </c>
      <c r="O443" t="s">
        <v>44760</v>
      </c>
      <c r="P443">
        <v>0</v>
      </c>
      <c r="Q443">
        <v>0</v>
      </c>
      <c r="R443" t="s">
        <v>44761</v>
      </c>
      <c r="S443" t="s">
        <v>44862</v>
      </c>
      <c r="T443" t="s">
        <v>46424</v>
      </c>
      <c r="U443" t="s">
        <v>47359</v>
      </c>
      <c r="W443" t="s">
        <v>40780</v>
      </c>
      <c r="X443" t="s">
        <v>44762</v>
      </c>
    </row>
    <row r="444" spans="1:24">
      <c r="A444">
        <f>HYPERLINK("https://www.philgeps.gov.ph/GEPSNONPILOT/Tender/SplashBidNoticeAbstractUI.aspx?menuIndex=3&amp;refID=7152496&amp;Result=3","7152496")</f>
        <v>0</v>
      </c>
      <c r="B444" t="s">
        <v>264</v>
      </c>
      <c r="C444" t="s">
        <v>4195</v>
      </c>
      <c r="D444" t="s">
        <v>17997</v>
      </c>
      <c r="E444" t="s">
        <v>18483</v>
      </c>
      <c r="F444" t="s">
        <v>30900</v>
      </c>
      <c r="G444" t="s">
        <v>30908</v>
      </c>
      <c r="H444" t="s">
        <v>30916</v>
      </c>
      <c r="I444" t="s">
        <v>6396</v>
      </c>
      <c r="J444" t="s">
        <v>31414</v>
      </c>
      <c r="K444" t="s">
        <v>40287</v>
      </c>
      <c r="M444" t="s">
        <v>40811</v>
      </c>
      <c r="N444" t="s">
        <v>44759</v>
      </c>
      <c r="O444" t="s">
        <v>44760</v>
      </c>
      <c r="P444">
        <v>0</v>
      </c>
      <c r="Q444">
        <v>0</v>
      </c>
      <c r="R444" t="s">
        <v>44761</v>
      </c>
      <c r="S444" t="s">
        <v>44862</v>
      </c>
      <c r="T444" t="s">
        <v>46382</v>
      </c>
      <c r="U444" t="s">
        <v>47360</v>
      </c>
      <c r="W444" t="s">
        <v>40811</v>
      </c>
      <c r="X444" t="s">
        <v>44762</v>
      </c>
    </row>
    <row r="445" spans="1:24">
      <c r="A445">
        <f>HYPERLINK("https://www.philgeps.gov.ph/GEPSNONPILOT/Tender/SplashBidNoticeAbstractUI.aspx?menuIndex=3&amp;refID=7152494&amp;Result=3","7152494")</f>
        <v>0</v>
      </c>
      <c r="B445" t="s">
        <v>265</v>
      </c>
      <c r="C445" t="s">
        <v>4196</v>
      </c>
      <c r="D445" t="s">
        <v>17952</v>
      </c>
      <c r="E445" t="s">
        <v>18484</v>
      </c>
      <c r="F445" t="s">
        <v>30900</v>
      </c>
      <c r="G445" t="s">
        <v>30907</v>
      </c>
      <c r="H445" t="s">
        <v>30916</v>
      </c>
      <c r="I445" t="s">
        <v>4545</v>
      </c>
      <c r="J445" t="s">
        <v>31415</v>
      </c>
      <c r="K445" t="s">
        <v>40293</v>
      </c>
      <c r="M445" t="s">
        <v>40812</v>
      </c>
      <c r="N445" t="s">
        <v>44759</v>
      </c>
      <c r="O445" t="s">
        <v>44760</v>
      </c>
      <c r="P445">
        <v>0</v>
      </c>
      <c r="Q445">
        <v>0</v>
      </c>
      <c r="R445" t="s">
        <v>44761</v>
      </c>
      <c r="S445" t="s">
        <v>44862</v>
      </c>
      <c r="T445" t="s">
        <v>46456</v>
      </c>
      <c r="U445" t="s">
        <v>47361</v>
      </c>
      <c r="V445" t="s">
        <v>59160</v>
      </c>
      <c r="W445" t="s">
        <v>40812</v>
      </c>
      <c r="X445" t="s">
        <v>44762</v>
      </c>
    </row>
    <row r="446" spans="1:24">
      <c r="A446">
        <f>HYPERLINK("https://www.philgeps.gov.ph/GEPSNONPILOT/Tender/SplashBidNoticeAbstractUI.aspx?menuIndex=3&amp;refID=7152492&amp;Result=3","7152492")</f>
        <v>0</v>
      </c>
      <c r="B446" t="s">
        <v>266</v>
      </c>
      <c r="C446" t="s">
        <v>4197</v>
      </c>
      <c r="D446" t="s">
        <v>18014</v>
      </c>
      <c r="E446" t="s">
        <v>18485</v>
      </c>
      <c r="F446" t="s">
        <v>30900</v>
      </c>
      <c r="G446" t="s">
        <v>30907</v>
      </c>
      <c r="H446" t="s">
        <v>30915</v>
      </c>
      <c r="I446" t="s">
        <v>30919</v>
      </c>
      <c r="J446" t="s">
        <v>31105</v>
      </c>
      <c r="K446" t="s">
        <v>40298</v>
      </c>
      <c r="M446" t="s">
        <v>40813</v>
      </c>
      <c r="N446" t="s">
        <v>44759</v>
      </c>
      <c r="O446" t="s">
        <v>44760</v>
      </c>
      <c r="P446">
        <v>0</v>
      </c>
      <c r="Q446">
        <v>0</v>
      </c>
      <c r="R446" t="s">
        <v>44761</v>
      </c>
      <c r="S446" t="s">
        <v>44862</v>
      </c>
      <c r="T446" t="s">
        <v>46382</v>
      </c>
      <c r="U446" t="s">
        <v>47362</v>
      </c>
      <c r="W446" t="s">
        <v>40813</v>
      </c>
      <c r="X446" t="s">
        <v>44762</v>
      </c>
    </row>
    <row r="447" spans="1:24">
      <c r="A447">
        <f>HYPERLINK("https://www.philgeps.gov.ph/GEPSNONPILOT/Tender/SplashBidNoticeAbstractUI.aspx?menuIndex=3&amp;refID=7152491&amp;Result=3","7152491")</f>
        <v>0</v>
      </c>
      <c r="B447" t="s">
        <v>267</v>
      </c>
      <c r="C447" t="s">
        <v>4198</v>
      </c>
      <c r="D447" t="s">
        <v>17959</v>
      </c>
      <c r="E447" t="s">
        <v>18486</v>
      </c>
      <c r="F447" t="s">
        <v>30900</v>
      </c>
      <c r="G447" t="s">
        <v>30909</v>
      </c>
      <c r="H447" t="s">
        <v>30916</v>
      </c>
      <c r="I447" t="s">
        <v>4108</v>
      </c>
      <c r="J447" t="s">
        <v>31416</v>
      </c>
      <c r="K447" t="s">
        <v>40288</v>
      </c>
      <c r="M447" t="s">
        <v>40814</v>
      </c>
      <c r="N447" t="s">
        <v>44759</v>
      </c>
      <c r="O447" t="s">
        <v>44760</v>
      </c>
      <c r="P447">
        <v>0</v>
      </c>
      <c r="Q447">
        <v>0</v>
      </c>
      <c r="R447" t="s">
        <v>44761</v>
      </c>
      <c r="S447" t="s">
        <v>44862</v>
      </c>
      <c r="T447" t="s">
        <v>46357</v>
      </c>
      <c r="U447" t="s">
        <v>47363</v>
      </c>
      <c r="W447" t="s">
        <v>40814</v>
      </c>
      <c r="X447" t="s">
        <v>44762</v>
      </c>
    </row>
    <row r="448" spans="1:24">
      <c r="A448">
        <f>HYPERLINK("https://www.philgeps.gov.ph/GEPSNONPILOT/Tender/SplashBidNoticeAbstractUI.aspx?menuIndex=3&amp;refID=7152490&amp;Result=3","7152490")</f>
        <v>0</v>
      </c>
      <c r="B448" t="s">
        <v>130</v>
      </c>
      <c r="C448" t="s">
        <v>4199</v>
      </c>
      <c r="D448" t="s">
        <v>17979</v>
      </c>
      <c r="E448" t="s">
        <v>18487</v>
      </c>
      <c r="F448" t="s">
        <v>30900</v>
      </c>
      <c r="G448" t="s">
        <v>30908</v>
      </c>
      <c r="H448" t="s">
        <v>30916</v>
      </c>
      <c r="I448" t="s">
        <v>10602</v>
      </c>
      <c r="J448" t="s">
        <v>31417</v>
      </c>
      <c r="K448" t="s">
        <v>40329</v>
      </c>
      <c r="M448" t="s">
        <v>40677</v>
      </c>
      <c r="N448" t="s">
        <v>44759</v>
      </c>
      <c r="O448" t="s">
        <v>44760</v>
      </c>
      <c r="P448">
        <v>0</v>
      </c>
      <c r="Q448">
        <v>0</v>
      </c>
      <c r="R448" t="s">
        <v>44761</v>
      </c>
      <c r="S448" t="s">
        <v>44862</v>
      </c>
      <c r="T448" t="s">
        <v>46376</v>
      </c>
      <c r="U448" t="s">
        <v>47364</v>
      </c>
      <c r="W448" t="s">
        <v>40677</v>
      </c>
      <c r="X448" t="s">
        <v>44762</v>
      </c>
    </row>
    <row r="449" spans="1:24">
      <c r="A449">
        <f>HYPERLINK("https://www.philgeps.gov.ph/GEPSNONPILOT/Tender/SplashBidNoticeAbstractUI.aspx?menuIndex=3&amp;refID=7152488&amp;Result=3","7152488")</f>
        <v>0</v>
      </c>
      <c r="B449" t="s">
        <v>219</v>
      </c>
      <c r="C449" t="s">
        <v>4108</v>
      </c>
      <c r="D449" t="s">
        <v>17955</v>
      </c>
      <c r="E449" t="s">
        <v>18488</v>
      </c>
      <c r="F449" t="s">
        <v>30900</v>
      </c>
      <c r="G449" t="s">
        <v>30908</v>
      </c>
      <c r="H449" t="s">
        <v>30916</v>
      </c>
      <c r="I449" t="s">
        <v>4108</v>
      </c>
      <c r="J449" t="s">
        <v>31418</v>
      </c>
      <c r="K449" t="s">
        <v>40286</v>
      </c>
      <c r="M449" t="s">
        <v>40766</v>
      </c>
      <c r="N449" t="s">
        <v>44759</v>
      </c>
      <c r="O449" t="s">
        <v>44760</v>
      </c>
      <c r="P449">
        <v>0</v>
      </c>
      <c r="Q449">
        <v>0</v>
      </c>
      <c r="R449" t="s">
        <v>44761</v>
      </c>
      <c r="S449" t="s">
        <v>44862</v>
      </c>
      <c r="T449" t="s">
        <v>46412</v>
      </c>
      <c r="U449" t="s">
        <v>47365</v>
      </c>
      <c r="W449" t="s">
        <v>40766</v>
      </c>
      <c r="X449" t="s">
        <v>44762</v>
      </c>
    </row>
    <row r="450" spans="1:24">
      <c r="A450">
        <f>HYPERLINK("https://www.philgeps.gov.ph/GEPSNONPILOT/Tender/SplashBidNoticeAbstractUI.aspx?menuIndex=3&amp;refID=7152486&amp;Result=3","7152486")</f>
        <v>0</v>
      </c>
      <c r="B450" t="s">
        <v>248</v>
      </c>
      <c r="C450" t="s">
        <v>4200</v>
      </c>
      <c r="D450" t="s">
        <v>17966</v>
      </c>
      <c r="E450" t="s">
        <v>18489</v>
      </c>
      <c r="F450" t="s">
        <v>30900</v>
      </c>
      <c r="G450" t="s">
        <v>30907</v>
      </c>
      <c r="H450" t="s">
        <v>30916</v>
      </c>
      <c r="I450" t="s">
        <v>30961</v>
      </c>
      <c r="J450" t="s">
        <v>31419</v>
      </c>
      <c r="K450" t="s">
        <v>40286</v>
      </c>
      <c r="M450" t="s">
        <v>40795</v>
      </c>
      <c r="N450" t="s">
        <v>44759</v>
      </c>
      <c r="O450" t="s">
        <v>44760</v>
      </c>
      <c r="P450">
        <v>0</v>
      </c>
      <c r="Q450">
        <v>0</v>
      </c>
      <c r="R450" t="s">
        <v>44761</v>
      </c>
      <c r="S450" t="s">
        <v>44862</v>
      </c>
      <c r="T450" t="s">
        <v>46380</v>
      </c>
      <c r="U450" t="s">
        <v>47366</v>
      </c>
      <c r="W450" t="s">
        <v>40795</v>
      </c>
      <c r="X450" t="s">
        <v>44762</v>
      </c>
    </row>
    <row r="451" spans="1:24">
      <c r="A451">
        <f>HYPERLINK("https://www.philgeps.gov.ph/GEPSNONPILOT/Tender/SplashBidNoticeAbstractUI.aspx?menuIndex=3&amp;refID=7152484&amp;Result=3","7152484")</f>
        <v>0</v>
      </c>
      <c r="B451" t="s">
        <v>268</v>
      </c>
      <c r="C451" t="s">
        <v>4201</v>
      </c>
      <c r="D451" t="s">
        <v>18021</v>
      </c>
      <c r="E451" t="s">
        <v>18490</v>
      </c>
      <c r="F451" t="s">
        <v>30900</v>
      </c>
      <c r="G451" t="s">
        <v>30908</v>
      </c>
      <c r="H451" t="s">
        <v>30916</v>
      </c>
      <c r="I451" t="s">
        <v>30922</v>
      </c>
      <c r="J451" t="s">
        <v>31420</v>
      </c>
      <c r="K451" t="s">
        <v>40314</v>
      </c>
      <c r="M451" t="s">
        <v>40815</v>
      </c>
      <c r="N451" t="s">
        <v>44759</v>
      </c>
      <c r="O451" t="s">
        <v>44760</v>
      </c>
      <c r="P451">
        <v>0</v>
      </c>
      <c r="Q451">
        <v>0</v>
      </c>
      <c r="R451" t="s">
        <v>44761</v>
      </c>
      <c r="S451" t="s">
        <v>44862</v>
      </c>
      <c r="T451" t="s">
        <v>46382</v>
      </c>
      <c r="U451" t="s">
        <v>47367</v>
      </c>
      <c r="W451" t="s">
        <v>40815</v>
      </c>
      <c r="X451" t="s">
        <v>44762</v>
      </c>
    </row>
    <row r="452" spans="1:24">
      <c r="A452">
        <f>HYPERLINK("https://www.philgeps.gov.ph/GEPSNONPILOT/Tender/SplashBidNoticeAbstractUI.aspx?menuIndex=3&amp;refID=7152495&amp;Result=3","7152495")</f>
        <v>0</v>
      </c>
      <c r="B452" t="s">
        <v>269</v>
      </c>
      <c r="C452" t="s">
        <v>4202</v>
      </c>
      <c r="D452" t="s">
        <v>17971</v>
      </c>
      <c r="E452" t="s">
        <v>18491</v>
      </c>
      <c r="F452" t="s">
        <v>30900</v>
      </c>
      <c r="G452" t="s">
        <v>30908</v>
      </c>
      <c r="H452" t="s">
        <v>30916</v>
      </c>
      <c r="I452" t="s">
        <v>6408</v>
      </c>
      <c r="J452" t="s">
        <v>31421</v>
      </c>
      <c r="K452" t="s">
        <v>40289</v>
      </c>
      <c r="M452" t="s">
        <v>40816</v>
      </c>
      <c r="N452" t="s">
        <v>44759</v>
      </c>
      <c r="O452" t="s">
        <v>44760</v>
      </c>
      <c r="P452">
        <v>0</v>
      </c>
      <c r="Q452">
        <v>0</v>
      </c>
      <c r="R452" t="s">
        <v>44761</v>
      </c>
      <c r="S452" t="s">
        <v>44862</v>
      </c>
      <c r="T452" t="s">
        <v>46373</v>
      </c>
      <c r="U452" t="s">
        <v>47368</v>
      </c>
      <c r="W452" t="s">
        <v>40816</v>
      </c>
      <c r="X452" t="s">
        <v>44762</v>
      </c>
    </row>
    <row r="453" spans="1:24">
      <c r="A453">
        <f>HYPERLINK("https://www.philgeps.gov.ph/GEPSNONPILOT/Tender/SplashBidNoticeAbstractUI.aspx?menuIndex=3&amp;refID=7152483&amp;Result=3","7152483")</f>
        <v>0</v>
      </c>
      <c r="B453" t="s">
        <v>270</v>
      </c>
      <c r="C453" t="s">
        <v>4203</v>
      </c>
      <c r="D453" t="s">
        <v>17985</v>
      </c>
      <c r="E453" t="s">
        <v>18492</v>
      </c>
      <c r="F453" t="s">
        <v>30900</v>
      </c>
      <c r="G453" t="s">
        <v>30907</v>
      </c>
      <c r="H453" t="s">
        <v>30916</v>
      </c>
      <c r="I453" t="s">
        <v>8123</v>
      </c>
      <c r="J453" t="s">
        <v>31096</v>
      </c>
      <c r="K453" t="s">
        <v>40283</v>
      </c>
      <c r="L453" t="s">
        <v>270</v>
      </c>
      <c r="M453" t="s">
        <v>40817</v>
      </c>
      <c r="N453" t="s">
        <v>44759</v>
      </c>
      <c r="O453" t="s">
        <v>44760</v>
      </c>
      <c r="P453">
        <v>0</v>
      </c>
      <c r="Q453">
        <v>0</v>
      </c>
      <c r="R453" t="s">
        <v>44761</v>
      </c>
      <c r="S453" t="s">
        <v>44862</v>
      </c>
      <c r="T453" t="s">
        <v>46426</v>
      </c>
      <c r="U453" t="s">
        <v>47369</v>
      </c>
      <c r="W453" t="s">
        <v>40817</v>
      </c>
      <c r="X453" t="s">
        <v>44762</v>
      </c>
    </row>
    <row r="454" spans="1:24">
      <c r="A454">
        <f>HYPERLINK("https://www.philgeps.gov.ph/GEPSNONPILOT/Tender/SplashBidNoticeAbstractUI.aspx?menuIndex=3&amp;refID=7152480&amp;Result=3","7152480")</f>
        <v>0</v>
      </c>
      <c r="B454" t="s">
        <v>271</v>
      </c>
      <c r="C454" t="s">
        <v>4204</v>
      </c>
      <c r="D454" t="s">
        <v>17984</v>
      </c>
      <c r="E454" t="s">
        <v>18493</v>
      </c>
      <c r="F454" t="s">
        <v>30900</v>
      </c>
      <c r="G454" t="s">
        <v>30909</v>
      </c>
      <c r="H454" t="s">
        <v>30916</v>
      </c>
      <c r="I454" t="s">
        <v>4545</v>
      </c>
      <c r="J454" t="s">
        <v>31422</v>
      </c>
      <c r="K454" t="s">
        <v>40281</v>
      </c>
      <c r="M454" t="s">
        <v>40818</v>
      </c>
      <c r="N454" t="s">
        <v>44759</v>
      </c>
      <c r="O454" t="s">
        <v>44760</v>
      </c>
      <c r="P454">
        <v>0</v>
      </c>
      <c r="Q454">
        <v>0</v>
      </c>
      <c r="R454" t="s">
        <v>44761</v>
      </c>
      <c r="S454" t="s">
        <v>44862</v>
      </c>
      <c r="T454" t="s">
        <v>46457</v>
      </c>
      <c r="U454" t="s">
        <v>47370</v>
      </c>
      <c r="W454" t="s">
        <v>40818</v>
      </c>
      <c r="X454" t="s">
        <v>44762</v>
      </c>
    </row>
    <row r="455" spans="1:24">
      <c r="A455">
        <f>HYPERLINK("https://www.philgeps.gov.ph/GEPSNONPILOT/Tender/SplashBidNoticeAbstractUI.aspx?menuIndex=3&amp;refID=7152479&amp;Result=3","7152479")</f>
        <v>0</v>
      </c>
      <c r="B455" t="s">
        <v>237</v>
      </c>
      <c r="C455" t="s">
        <v>4205</v>
      </c>
      <c r="D455" t="s">
        <v>17977</v>
      </c>
      <c r="E455" t="s">
        <v>18494</v>
      </c>
      <c r="F455" t="s">
        <v>30900</v>
      </c>
      <c r="G455" t="s">
        <v>30908</v>
      </c>
      <c r="H455" t="s">
        <v>30916</v>
      </c>
      <c r="I455" t="s">
        <v>10602</v>
      </c>
      <c r="J455" t="s">
        <v>31096</v>
      </c>
      <c r="K455" t="s">
        <v>40289</v>
      </c>
      <c r="M455" t="s">
        <v>40784</v>
      </c>
      <c r="N455" t="s">
        <v>44759</v>
      </c>
      <c r="O455" t="s">
        <v>44760</v>
      </c>
      <c r="P455">
        <v>0</v>
      </c>
      <c r="Q455">
        <v>0</v>
      </c>
      <c r="R455" t="s">
        <v>44761</v>
      </c>
      <c r="S455" t="s">
        <v>44862</v>
      </c>
      <c r="T455" t="s">
        <v>46393</v>
      </c>
      <c r="U455" t="s">
        <v>47371</v>
      </c>
      <c r="W455" t="s">
        <v>40784</v>
      </c>
      <c r="X455" t="s">
        <v>44762</v>
      </c>
    </row>
    <row r="456" spans="1:24">
      <c r="A456">
        <f>HYPERLINK("https://www.philgeps.gov.ph/GEPSNONPILOT/Tender/SplashBidNoticeAbstractUI.aspx?menuIndex=3&amp;refID=7152501&amp;Result=3","7152501")</f>
        <v>0</v>
      </c>
      <c r="B456" t="s">
        <v>245</v>
      </c>
      <c r="C456" t="s">
        <v>4206</v>
      </c>
      <c r="D456" t="s">
        <v>17951</v>
      </c>
      <c r="E456" t="s">
        <v>18495</v>
      </c>
      <c r="F456" t="s">
        <v>30900</v>
      </c>
      <c r="G456" t="s">
        <v>30909</v>
      </c>
      <c r="H456" t="s">
        <v>30916</v>
      </c>
      <c r="I456" t="s">
        <v>8123</v>
      </c>
      <c r="J456" t="s">
        <v>31423</v>
      </c>
      <c r="K456" t="s">
        <v>40283</v>
      </c>
      <c r="M456" t="s">
        <v>40792</v>
      </c>
      <c r="N456" t="s">
        <v>44759</v>
      </c>
      <c r="O456" t="s">
        <v>44760</v>
      </c>
      <c r="P456">
        <v>0</v>
      </c>
      <c r="Q456">
        <v>0</v>
      </c>
      <c r="R456" t="s">
        <v>44761</v>
      </c>
      <c r="S456" t="s">
        <v>44862</v>
      </c>
      <c r="T456" t="s">
        <v>46410</v>
      </c>
      <c r="U456" t="s">
        <v>47372</v>
      </c>
      <c r="W456" t="s">
        <v>40792</v>
      </c>
      <c r="X456" t="s">
        <v>44762</v>
      </c>
    </row>
    <row r="457" spans="1:24">
      <c r="A457">
        <f>HYPERLINK("https://www.philgeps.gov.ph/GEPSNONPILOT/Tender/SplashBidNoticeAbstractUI.aspx?menuIndex=3&amp;refID=7152503&amp;Result=3","7152503")</f>
        <v>0</v>
      </c>
      <c r="B457" t="s">
        <v>272</v>
      </c>
      <c r="C457" t="s">
        <v>4207</v>
      </c>
      <c r="D457" t="s">
        <v>17978</v>
      </c>
      <c r="E457" t="s">
        <v>18496</v>
      </c>
      <c r="F457" t="s">
        <v>30900</v>
      </c>
      <c r="G457" t="s">
        <v>30908</v>
      </c>
      <c r="H457" t="s">
        <v>30916</v>
      </c>
      <c r="I457" t="s">
        <v>30918</v>
      </c>
      <c r="J457" t="s">
        <v>31341</v>
      </c>
      <c r="K457" t="s">
        <v>40285</v>
      </c>
      <c r="M457" t="s">
        <v>40819</v>
      </c>
      <c r="N457" t="s">
        <v>44759</v>
      </c>
      <c r="O457" t="s">
        <v>44760</v>
      </c>
      <c r="P457">
        <v>0</v>
      </c>
      <c r="Q457">
        <v>0</v>
      </c>
      <c r="R457" t="s">
        <v>44761</v>
      </c>
      <c r="S457" t="s">
        <v>44862</v>
      </c>
      <c r="T457" t="s">
        <v>46390</v>
      </c>
      <c r="U457" t="s">
        <v>47373</v>
      </c>
      <c r="V457" t="s">
        <v>59161</v>
      </c>
      <c r="W457" t="s">
        <v>40819</v>
      </c>
      <c r="X457" t="s">
        <v>44762</v>
      </c>
    </row>
    <row r="458" spans="1:24">
      <c r="A458">
        <f>HYPERLINK("https://www.philgeps.gov.ph/GEPSNONPILOT/Tender/SplashBidNoticeAbstractUI.aspx?menuIndex=3&amp;refID=7152487&amp;Result=3","7152487")</f>
        <v>0</v>
      </c>
      <c r="B458" t="s">
        <v>273</v>
      </c>
      <c r="C458" t="s">
        <v>4208</v>
      </c>
      <c r="D458" t="s">
        <v>17955</v>
      </c>
      <c r="E458" t="s">
        <v>18497</v>
      </c>
      <c r="F458" t="s">
        <v>30900</v>
      </c>
      <c r="G458" t="s">
        <v>30908</v>
      </c>
      <c r="H458" t="s">
        <v>30916</v>
      </c>
      <c r="I458" t="s">
        <v>4108</v>
      </c>
      <c r="J458" t="s">
        <v>31424</v>
      </c>
      <c r="K458" t="s">
        <v>40311</v>
      </c>
      <c r="M458" t="s">
        <v>40820</v>
      </c>
      <c r="N458" t="s">
        <v>44759</v>
      </c>
      <c r="O458" t="s">
        <v>44760</v>
      </c>
      <c r="P458">
        <v>0</v>
      </c>
      <c r="Q458">
        <v>0</v>
      </c>
      <c r="R458" t="s">
        <v>44761</v>
      </c>
      <c r="S458" t="s">
        <v>44862</v>
      </c>
      <c r="T458" t="s">
        <v>46356</v>
      </c>
      <c r="U458" t="s">
        <v>47374</v>
      </c>
      <c r="W458" t="s">
        <v>40820</v>
      </c>
      <c r="X458" t="s">
        <v>44762</v>
      </c>
    </row>
    <row r="459" spans="1:24">
      <c r="A459">
        <f>HYPERLINK("https://www.philgeps.gov.ph/GEPSNONPILOT/Tender/SplashBidNoticeAbstractUI.aspx?menuIndex=3&amp;refID=7152517&amp;Result=3","7152517")</f>
        <v>0</v>
      </c>
      <c r="B459" t="s">
        <v>237</v>
      </c>
      <c r="C459" t="s">
        <v>4209</v>
      </c>
      <c r="D459" t="s">
        <v>17977</v>
      </c>
      <c r="E459" t="s">
        <v>4209</v>
      </c>
      <c r="F459" t="s">
        <v>30900</v>
      </c>
      <c r="G459" t="s">
        <v>30908</v>
      </c>
      <c r="H459" t="s">
        <v>30916</v>
      </c>
      <c r="I459" t="s">
        <v>6746</v>
      </c>
      <c r="J459" t="s">
        <v>31425</v>
      </c>
      <c r="K459" t="s">
        <v>40289</v>
      </c>
      <c r="M459" t="s">
        <v>40784</v>
      </c>
      <c r="N459" t="s">
        <v>44759</v>
      </c>
      <c r="O459" t="s">
        <v>44760</v>
      </c>
      <c r="P459">
        <v>0</v>
      </c>
      <c r="Q459">
        <v>0</v>
      </c>
      <c r="R459" t="s">
        <v>44761</v>
      </c>
      <c r="S459" t="s">
        <v>44862</v>
      </c>
      <c r="T459" t="s">
        <v>46393</v>
      </c>
      <c r="U459" t="s">
        <v>47375</v>
      </c>
      <c r="W459" t="s">
        <v>40784</v>
      </c>
      <c r="X459" t="s">
        <v>44762</v>
      </c>
    </row>
    <row r="460" spans="1:24">
      <c r="A460">
        <f>HYPERLINK("https://www.philgeps.gov.ph/GEPSNONPILOT/Tender/SplashBidNoticeAbstractUI.aspx?menuIndex=3&amp;refID=7152482&amp;Result=3","7152482")</f>
        <v>0</v>
      </c>
      <c r="B460" t="s">
        <v>274</v>
      </c>
      <c r="C460" t="s">
        <v>4210</v>
      </c>
      <c r="D460" t="s">
        <v>17972</v>
      </c>
      <c r="E460" t="s">
        <v>18498</v>
      </c>
      <c r="F460" t="s">
        <v>30900</v>
      </c>
      <c r="G460" t="s">
        <v>30909</v>
      </c>
      <c r="H460" t="s">
        <v>30916</v>
      </c>
      <c r="I460" t="s">
        <v>30924</v>
      </c>
      <c r="J460" t="s">
        <v>31426</v>
      </c>
      <c r="K460" t="s">
        <v>40288</v>
      </c>
      <c r="M460" t="s">
        <v>40821</v>
      </c>
      <c r="N460" t="s">
        <v>44759</v>
      </c>
      <c r="O460" t="s">
        <v>44760</v>
      </c>
      <c r="P460">
        <v>0</v>
      </c>
      <c r="Q460">
        <v>0</v>
      </c>
      <c r="R460" t="s">
        <v>44761</v>
      </c>
      <c r="S460" t="s">
        <v>44862</v>
      </c>
      <c r="T460" t="s">
        <v>46398</v>
      </c>
      <c r="U460" t="s">
        <v>47376</v>
      </c>
      <c r="W460" t="s">
        <v>40821</v>
      </c>
      <c r="X460" t="s">
        <v>44762</v>
      </c>
    </row>
    <row r="461" spans="1:24">
      <c r="A461">
        <f>HYPERLINK("https://www.philgeps.gov.ph/GEPSNONPILOT/Tender/SplashBidNoticeAbstractUI.aspx?menuIndex=3&amp;refID=7152516&amp;Result=3","7152516")</f>
        <v>0</v>
      </c>
      <c r="B461" t="s">
        <v>275</v>
      </c>
      <c r="C461" t="s">
        <v>4211</v>
      </c>
      <c r="D461" t="s">
        <v>17981</v>
      </c>
      <c r="E461" t="s">
        <v>18420</v>
      </c>
      <c r="F461" t="s">
        <v>30900</v>
      </c>
      <c r="G461" t="s">
        <v>30907</v>
      </c>
      <c r="H461" t="s">
        <v>30915</v>
      </c>
      <c r="I461" t="s">
        <v>30919</v>
      </c>
      <c r="J461" t="s">
        <v>31096</v>
      </c>
      <c r="K461" t="s">
        <v>40286</v>
      </c>
      <c r="M461" t="s">
        <v>40822</v>
      </c>
      <c r="N461" t="s">
        <v>44759</v>
      </c>
      <c r="O461" t="s">
        <v>44760</v>
      </c>
      <c r="P461">
        <v>0</v>
      </c>
      <c r="Q461">
        <v>0</v>
      </c>
      <c r="R461" t="s">
        <v>44761</v>
      </c>
      <c r="S461" t="s">
        <v>44862</v>
      </c>
      <c r="T461" t="s">
        <v>46352</v>
      </c>
      <c r="U461" t="s">
        <v>47377</v>
      </c>
      <c r="W461" t="s">
        <v>40822</v>
      </c>
      <c r="X461" t="s">
        <v>44762</v>
      </c>
    </row>
    <row r="462" spans="1:24">
      <c r="A462">
        <f>HYPERLINK("https://www.philgeps.gov.ph/GEPSNONPILOT/Tender/SplashBidNoticeAbstractUI.aspx?menuIndex=3&amp;refID=7152515&amp;Result=3","7152515")</f>
        <v>0</v>
      </c>
      <c r="B462" t="s">
        <v>276</v>
      </c>
      <c r="C462" t="s">
        <v>4212</v>
      </c>
      <c r="D462" t="s">
        <v>17974</v>
      </c>
      <c r="E462" t="s">
        <v>18499</v>
      </c>
      <c r="F462" t="s">
        <v>30900</v>
      </c>
      <c r="G462" t="s">
        <v>30908</v>
      </c>
      <c r="H462" t="s">
        <v>30916</v>
      </c>
      <c r="I462" t="s">
        <v>30942</v>
      </c>
      <c r="J462" t="s">
        <v>31427</v>
      </c>
      <c r="K462" t="s">
        <v>40283</v>
      </c>
      <c r="L462" t="s">
        <v>276</v>
      </c>
      <c r="M462" t="s">
        <v>40823</v>
      </c>
      <c r="N462" t="s">
        <v>44759</v>
      </c>
      <c r="O462" t="s">
        <v>44760</v>
      </c>
      <c r="P462">
        <v>0</v>
      </c>
      <c r="Q462">
        <v>0</v>
      </c>
      <c r="R462" t="s">
        <v>44761</v>
      </c>
      <c r="S462" t="s">
        <v>44862</v>
      </c>
      <c r="T462" t="s">
        <v>46418</v>
      </c>
      <c r="U462" t="s">
        <v>47378</v>
      </c>
      <c r="W462" t="s">
        <v>40823</v>
      </c>
      <c r="X462" t="s">
        <v>44762</v>
      </c>
    </row>
    <row r="463" spans="1:24">
      <c r="A463">
        <f>HYPERLINK("https://www.philgeps.gov.ph/GEPSNONPILOT/Tender/SplashBidNoticeAbstractUI.aspx?menuIndex=3&amp;refID=7152513&amp;Result=3","7152513")</f>
        <v>0</v>
      </c>
      <c r="B463" t="s">
        <v>277</v>
      </c>
      <c r="C463" t="s">
        <v>4213</v>
      </c>
      <c r="D463" t="s">
        <v>17981</v>
      </c>
      <c r="E463" t="s">
        <v>18500</v>
      </c>
      <c r="F463" t="s">
        <v>30899</v>
      </c>
      <c r="G463" t="s">
        <v>30907</v>
      </c>
      <c r="H463" t="s">
        <v>30915</v>
      </c>
      <c r="I463" t="s">
        <v>30946</v>
      </c>
      <c r="J463" t="s">
        <v>31428</v>
      </c>
      <c r="K463" t="s">
        <v>40289</v>
      </c>
      <c r="M463" t="s">
        <v>40824</v>
      </c>
      <c r="N463" t="s">
        <v>44759</v>
      </c>
      <c r="O463" t="s">
        <v>44760</v>
      </c>
      <c r="P463">
        <v>0</v>
      </c>
      <c r="Q463">
        <v>0</v>
      </c>
      <c r="R463" t="s">
        <v>44761</v>
      </c>
      <c r="S463" t="s">
        <v>44862</v>
      </c>
      <c r="T463" t="s">
        <v>46455</v>
      </c>
      <c r="U463" t="s">
        <v>47379</v>
      </c>
      <c r="V463" t="s">
        <v>59162</v>
      </c>
      <c r="W463" t="s">
        <v>40824</v>
      </c>
      <c r="X463" t="s">
        <v>44762</v>
      </c>
    </row>
    <row r="464" spans="1:24">
      <c r="A464">
        <f>HYPERLINK("https://www.philgeps.gov.ph/GEPSNONPILOT/Tender/SplashBidNoticeAbstractUI.aspx?menuIndex=3&amp;refID=7152522&amp;Result=3","7152522")</f>
        <v>0</v>
      </c>
      <c r="B464" t="s">
        <v>278</v>
      </c>
      <c r="C464" t="s">
        <v>4214</v>
      </c>
      <c r="D464" t="s">
        <v>17995</v>
      </c>
      <c r="E464" t="s">
        <v>18501</v>
      </c>
      <c r="F464" t="s">
        <v>30900</v>
      </c>
      <c r="G464" t="s">
        <v>30909</v>
      </c>
      <c r="H464" t="s">
        <v>30916</v>
      </c>
      <c r="I464" t="s">
        <v>8123</v>
      </c>
      <c r="J464" t="s">
        <v>31429</v>
      </c>
      <c r="K464" t="s">
        <v>40289</v>
      </c>
      <c r="M464" t="s">
        <v>40825</v>
      </c>
      <c r="N464" t="s">
        <v>44759</v>
      </c>
      <c r="O464" t="s">
        <v>44760</v>
      </c>
      <c r="P464">
        <v>0</v>
      </c>
      <c r="Q464">
        <v>0</v>
      </c>
      <c r="R464" t="s">
        <v>44761</v>
      </c>
      <c r="S464" t="s">
        <v>44862</v>
      </c>
      <c r="T464" t="s">
        <v>46458</v>
      </c>
      <c r="U464" t="s">
        <v>47380</v>
      </c>
      <c r="W464" t="s">
        <v>40825</v>
      </c>
      <c r="X464" t="s">
        <v>44762</v>
      </c>
    </row>
    <row r="465" spans="1:24">
      <c r="A465">
        <f>HYPERLINK("https://www.philgeps.gov.ph/GEPSNONPILOT/Tender/SplashBidNoticeAbstractUI.aspx?menuIndex=3&amp;refID=7152474&amp;Result=3","7152474")</f>
        <v>0</v>
      </c>
      <c r="B465" t="s">
        <v>114</v>
      </c>
      <c r="C465" t="s">
        <v>4215</v>
      </c>
      <c r="D465" t="s">
        <v>17966</v>
      </c>
      <c r="E465" t="s">
        <v>18502</v>
      </c>
      <c r="F465" t="s">
        <v>30900</v>
      </c>
      <c r="G465" t="s">
        <v>30909</v>
      </c>
      <c r="H465" t="s">
        <v>30916</v>
      </c>
      <c r="I465" t="s">
        <v>30922</v>
      </c>
      <c r="J465" t="s">
        <v>31430</v>
      </c>
      <c r="K465" t="s">
        <v>40286</v>
      </c>
      <c r="M465" t="s">
        <v>40661</v>
      </c>
      <c r="N465" t="s">
        <v>44759</v>
      </c>
      <c r="O465" t="s">
        <v>44760</v>
      </c>
      <c r="P465">
        <v>0</v>
      </c>
      <c r="Q465">
        <v>0</v>
      </c>
      <c r="R465" t="s">
        <v>44761</v>
      </c>
      <c r="S465" t="s">
        <v>44862</v>
      </c>
      <c r="T465" t="s">
        <v>46400</v>
      </c>
      <c r="U465" t="s">
        <v>47381</v>
      </c>
      <c r="W465" t="s">
        <v>40661</v>
      </c>
      <c r="X465" t="s">
        <v>44762</v>
      </c>
    </row>
    <row r="466" spans="1:24">
      <c r="A466">
        <f>HYPERLINK("https://www.philgeps.gov.ph/GEPSNONPILOT/Tender/SplashBidNoticeAbstractUI.aspx?menuIndex=3&amp;refID=7152504&amp;Result=3","7152504")</f>
        <v>0</v>
      </c>
      <c r="B466" t="s">
        <v>187</v>
      </c>
      <c r="C466" t="s">
        <v>4216</v>
      </c>
      <c r="D466" t="s">
        <v>17952</v>
      </c>
      <c r="E466" t="s">
        <v>18503</v>
      </c>
      <c r="F466" t="s">
        <v>30900</v>
      </c>
      <c r="G466" t="s">
        <v>30910</v>
      </c>
      <c r="H466" t="s">
        <v>30916</v>
      </c>
      <c r="I466" t="s">
        <v>30921</v>
      </c>
      <c r="J466" t="s">
        <v>31206</v>
      </c>
      <c r="K466" t="s">
        <v>40288</v>
      </c>
      <c r="M466" t="s">
        <v>40734</v>
      </c>
      <c r="N466" t="s">
        <v>44759</v>
      </c>
      <c r="O466" t="s">
        <v>44760</v>
      </c>
      <c r="P466">
        <v>0</v>
      </c>
      <c r="Q466">
        <v>0</v>
      </c>
      <c r="R466" t="s">
        <v>44761</v>
      </c>
      <c r="S466" t="s">
        <v>44862</v>
      </c>
      <c r="T466" t="s">
        <v>46390</v>
      </c>
      <c r="U466" t="s">
        <v>47382</v>
      </c>
      <c r="W466" t="s">
        <v>40734</v>
      </c>
      <c r="X466" t="s">
        <v>44762</v>
      </c>
    </row>
    <row r="467" spans="1:24">
      <c r="A467">
        <f>HYPERLINK("https://www.philgeps.gov.ph/GEPSNONPILOT/Tender/SplashBidNoticeAbstractUI.aspx?menuIndex=3&amp;refID=7152518&amp;Result=3","7152518")</f>
        <v>0</v>
      </c>
      <c r="B467" t="s">
        <v>279</v>
      </c>
      <c r="C467" t="s">
        <v>4217</v>
      </c>
      <c r="D467" t="s">
        <v>17962</v>
      </c>
      <c r="E467" t="s">
        <v>18504</v>
      </c>
      <c r="F467" t="s">
        <v>30900</v>
      </c>
      <c r="G467" t="s">
        <v>30909</v>
      </c>
      <c r="H467" t="s">
        <v>30916</v>
      </c>
      <c r="I467" t="s">
        <v>6746</v>
      </c>
      <c r="J467" t="s">
        <v>31431</v>
      </c>
      <c r="K467" t="s">
        <v>40287</v>
      </c>
      <c r="M467" t="s">
        <v>40826</v>
      </c>
      <c r="N467" t="s">
        <v>44759</v>
      </c>
      <c r="O467" t="s">
        <v>44760</v>
      </c>
      <c r="P467">
        <v>0</v>
      </c>
      <c r="Q467">
        <v>0</v>
      </c>
      <c r="R467" t="s">
        <v>44761</v>
      </c>
      <c r="S467" t="s">
        <v>44862</v>
      </c>
      <c r="T467" t="s">
        <v>46414</v>
      </c>
      <c r="U467" t="s">
        <v>47383</v>
      </c>
      <c r="W467" t="s">
        <v>40826</v>
      </c>
      <c r="X467" t="s">
        <v>44762</v>
      </c>
    </row>
    <row r="468" spans="1:24">
      <c r="A468">
        <f>HYPERLINK("https://www.philgeps.gov.ph/GEPSNONPILOT/Tender/SplashBidNoticeAbstractUI.aspx?menuIndex=3&amp;refID=7152520&amp;Result=3","7152520")</f>
        <v>0</v>
      </c>
      <c r="B468" t="s">
        <v>185</v>
      </c>
      <c r="C468" t="s">
        <v>4218</v>
      </c>
      <c r="D468" t="s">
        <v>18002</v>
      </c>
      <c r="E468" t="s">
        <v>18505</v>
      </c>
      <c r="F468" t="s">
        <v>30900</v>
      </c>
      <c r="G468" t="s">
        <v>30908</v>
      </c>
      <c r="H468" t="s">
        <v>30917</v>
      </c>
      <c r="I468" t="s">
        <v>30934</v>
      </c>
      <c r="J468" t="s">
        <v>31432</v>
      </c>
      <c r="K468" t="s">
        <v>40292</v>
      </c>
      <c r="M468" t="s">
        <v>40732</v>
      </c>
      <c r="N468" t="s">
        <v>44759</v>
      </c>
      <c r="O468" t="s">
        <v>44760</v>
      </c>
      <c r="P468">
        <v>0</v>
      </c>
      <c r="Q468">
        <v>0</v>
      </c>
      <c r="R468" t="s">
        <v>44761</v>
      </c>
      <c r="S468" t="s">
        <v>44862</v>
      </c>
      <c r="T468" t="s">
        <v>46390</v>
      </c>
      <c r="U468" t="s">
        <v>47384</v>
      </c>
      <c r="W468" t="s">
        <v>60820</v>
      </c>
      <c r="X468" t="s">
        <v>44762</v>
      </c>
    </row>
    <row r="469" spans="1:24">
      <c r="A469">
        <f>HYPERLINK("https://www.philgeps.gov.ph/GEPSNONPILOT/Tender/SplashBidNoticeAbstractUI.aspx?menuIndex=3&amp;refID=7152519&amp;Result=3","7152519")</f>
        <v>0</v>
      </c>
      <c r="B469" t="s">
        <v>280</v>
      </c>
      <c r="C469" t="s">
        <v>4219</v>
      </c>
      <c r="D469" t="s">
        <v>17985</v>
      </c>
      <c r="E469" t="s">
        <v>18506</v>
      </c>
      <c r="F469" t="s">
        <v>30900</v>
      </c>
      <c r="G469" t="s">
        <v>30909</v>
      </c>
      <c r="H469" t="s">
        <v>30916</v>
      </c>
      <c r="I469" t="s">
        <v>10847</v>
      </c>
      <c r="J469" t="s">
        <v>31433</v>
      </c>
      <c r="K469" t="s">
        <v>40289</v>
      </c>
      <c r="M469" t="s">
        <v>40827</v>
      </c>
      <c r="N469" t="s">
        <v>44759</v>
      </c>
      <c r="O469" t="s">
        <v>44760</v>
      </c>
      <c r="P469">
        <v>0</v>
      </c>
      <c r="Q469">
        <v>0</v>
      </c>
      <c r="R469" t="s">
        <v>44761</v>
      </c>
      <c r="S469" t="s">
        <v>44862</v>
      </c>
      <c r="T469" t="s">
        <v>46363</v>
      </c>
      <c r="U469" t="s">
        <v>47385</v>
      </c>
      <c r="W469" t="s">
        <v>40827</v>
      </c>
      <c r="X469" t="s">
        <v>44762</v>
      </c>
    </row>
    <row r="470" spans="1:24">
      <c r="A470">
        <f>HYPERLINK("https://www.philgeps.gov.ph/GEPSNONPILOT/Tender/SplashBidNoticeAbstractUI.aspx?menuIndex=3&amp;refID=7152514&amp;Result=3","7152514")</f>
        <v>0</v>
      </c>
      <c r="B470" t="s">
        <v>244</v>
      </c>
      <c r="C470" t="s">
        <v>4220</v>
      </c>
      <c r="D470" t="s">
        <v>17958</v>
      </c>
      <c r="E470" t="s">
        <v>18507</v>
      </c>
      <c r="F470" t="s">
        <v>30900</v>
      </c>
      <c r="G470" t="s">
        <v>30908</v>
      </c>
      <c r="H470" t="s">
        <v>30916</v>
      </c>
      <c r="I470" t="s">
        <v>4142</v>
      </c>
      <c r="J470" t="s">
        <v>31434</v>
      </c>
      <c r="K470" t="s">
        <v>40284</v>
      </c>
      <c r="M470" t="s">
        <v>40791</v>
      </c>
      <c r="N470" t="s">
        <v>44759</v>
      </c>
      <c r="O470" t="s">
        <v>44760</v>
      </c>
      <c r="P470">
        <v>0</v>
      </c>
      <c r="Q470">
        <v>0</v>
      </c>
      <c r="R470" t="s">
        <v>44761</v>
      </c>
      <c r="S470" t="s">
        <v>44862</v>
      </c>
      <c r="T470" t="s">
        <v>46429</v>
      </c>
      <c r="U470" t="s">
        <v>47386</v>
      </c>
      <c r="W470" t="s">
        <v>40791</v>
      </c>
      <c r="X470" t="s">
        <v>44762</v>
      </c>
    </row>
    <row r="471" spans="1:24">
      <c r="A471">
        <f>HYPERLINK("https://www.philgeps.gov.ph/GEPSNONPILOT/Tender/SplashBidNoticeAbstractUI.aspx?menuIndex=3&amp;refID=7152441&amp;Result=3","7152441")</f>
        <v>0</v>
      </c>
      <c r="B471" t="s">
        <v>209</v>
      </c>
      <c r="C471" t="s">
        <v>4221</v>
      </c>
      <c r="D471" t="s">
        <v>17985</v>
      </c>
      <c r="E471" t="s">
        <v>18508</v>
      </c>
      <c r="F471" t="s">
        <v>30900</v>
      </c>
      <c r="G471" t="s">
        <v>30907</v>
      </c>
      <c r="H471" t="s">
        <v>30915</v>
      </c>
      <c r="I471" t="s">
        <v>30919</v>
      </c>
      <c r="J471" t="s">
        <v>31096</v>
      </c>
      <c r="K471" t="s">
        <v>40286</v>
      </c>
      <c r="M471" t="s">
        <v>40756</v>
      </c>
      <c r="N471" t="s">
        <v>44759</v>
      </c>
      <c r="O471" t="s">
        <v>44760</v>
      </c>
      <c r="P471">
        <v>0</v>
      </c>
      <c r="Q471">
        <v>0</v>
      </c>
      <c r="R471" t="s">
        <v>44761</v>
      </c>
      <c r="S471" t="s">
        <v>44862</v>
      </c>
      <c r="T471" t="s">
        <v>46394</v>
      </c>
      <c r="U471" t="s">
        <v>47387</v>
      </c>
      <c r="W471" t="s">
        <v>40756</v>
      </c>
      <c r="X471" t="s">
        <v>44762</v>
      </c>
    </row>
    <row r="472" spans="1:24">
      <c r="A472">
        <f>HYPERLINK("https://www.philgeps.gov.ph/GEPSNONPILOT/Tender/SplashBidNoticeAbstractUI.aspx?menuIndex=3&amp;refID=7152476&amp;Result=3","7152476")</f>
        <v>0</v>
      </c>
      <c r="B472" t="s">
        <v>281</v>
      </c>
      <c r="C472" t="s">
        <v>4222</v>
      </c>
      <c r="D472" t="s">
        <v>17960</v>
      </c>
      <c r="E472" t="s">
        <v>18509</v>
      </c>
      <c r="F472" t="s">
        <v>30900</v>
      </c>
      <c r="G472" t="s">
        <v>30908</v>
      </c>
      <c r="H472" t="s">
        <v>30916</v>
      </c>
      <c r="I472" t="s">
        <v>4108</v>
      </c>
      <c r="J472" t="s">
        <v>31435</v>
      </c>
      <c r="K472" t="s">
        <v>40283</v>
      </c>
      <c r="M472" t="s">
        <v>40828</v>
      </c>
      <c r="N472" t="s">
        <v>44759</v>
      </c>
      <c r="O472" t="s">
        <v>44760</v>
      </c>
      <c r="P472">
        <v>0</v>
      </c>
      <c r="Q472">
        <v>0</v>
      </c>
      <c r="R472" t="s">
        <v>44761</v>
      </c>
      <c r="S472" t="s">
        <v>44862</v>
      </c>
      <c r="T472" t="s">
        <v>46459</v>
      </c>
      <c r="U472" t="s">
        <v>47388</v>
      </c>
      <c r="W472" t="s">
        <v>40828</v>
      </c>
      <c r="X472" t="s">
        <v>44762</v>
      </c>
    </row>
    <row r="473" spans="1:24">
      <c r="A473">
        <f>HYPERLINK("https://www.philgeps.gov.ph/GEPSNONPILOT/Tender/SplashBidNoticeAbstractUI.aspx?menuIndex=3&amp;refID=7152508&amp;Result=3","7152508")</f>
        <v>0</v>
      </c>
      <c r="B473" t="s">
        <v>282</v>
      </c>
      <c r="C473" t="s">
        <v>4223</v>
      </c>
      <c r="D473" t="s">
        <v>18022</v>
      </c>
      <c r="E473" t="s">
        <v>18510</v>
      </c>
      <c r="F473" t="s">
        <v>30900</v>
      </c>
      <c r="G473" t="s">
        <v>30908</v>
      </c>
      <c r="H473" t="s">
        <v>30916</v>
      </c>
      <c r="I473" t="s">
        <v>30939</v>
      </c>
      <c r="J473" t="s">
        <v>31101</v>
      </c>
      <c r="K473" t="s">
        <v>40289</v>
      </c>
      <c r="M473" t="s">
        <v>40829</v>
      </c>
      <c r="N473" t="s">
        <v>44759</v>
      </c>
      <c r="O473" t="s">
        <v>44760</v>
      </c>
      <c r="P473">
        <v>0</v>
      </c>
      <c r="Q473">
        <v>0</v>
      </c>
      <c r="R473" t="s">
        <v>44761</v>
      </c>
      <c r="S473" t="s">
        <v>44862</v>
      </c>
      <c r="T473" t="s">
        <v>46376</v>
      </c>
      <c r="U473" t="s">
        <v>47389</v>
      </c>
      <c r="W473" t="s">
        <v>40829</v>
      </c>
      <c r="X473" t="s">
        <v>44762</v>
      </c>
    </row>
    <row r="474" spans="1:24">
      <c r="A474">
        <f>HYPERLINK("https://www.philgeps.gov.ph/GEPSNONPILOT/Tender/SplashBidNoticeAbstractUI.aspx?menuIndex=3&amp;refID=7152521&amp;Result=3","7152521")</f>
        <v>0</v>
      </c>
      <c r="B474" t="s">
        <v>283</v>
      </c>
      <c r="C474" t="s">
        <v>4224</v>
      </c>
      <c r="E474" t="s">
        <v>18511</v>
      </c>
      <c r="F474" t="s">
        <v>30904</v>
      </c>
      <c r="G474" t="s">
        <v>30909</v>
      </c>
      <c r="H474" t="s">
        <v>30916</v>
      </c>
      <c r="I474" t="s">
        <v>5830</v>
      </c>
      <c r="J474" t="s">
        <v>31436</v>
      </c>
      <c r="K474" t="s">
        <v>40289</v>
      </c>
      <c r="M474" t="s">
        <v>40830</v>
      </c>
      <c r="N474" t="s">
        <v>44759</v>
      </c>
      <c r="O474" t="s">
        <v>44760</v>
      </c>
      <c r="P474">
        <v>0</v>
      </c>
      <c r="Q474">
        <v>0</v>
      </c>
      <c r="R474" t="s">
        <v>44761</v>
      </c>
      <c r="S474" t="s">
        <v>44862</v>
      </c>
      <c r="T474" t="s">
        <v>46398</v>
      </c>
      <c r="U474" t="s">
        <v>47390</v>
      </c>
      <c r="W474" t="s">
        <v>40830</v>
      </c>
      <c r="X474" t="s">
        <v>44762</v>
      </c>
    </row>
    <row r="475" spans="1:24">
      <c r="A475">
        <f>HYPERLINK("https://www.philgeps.gov.ph/GEPSNONPILOT/Tender/SplashBidNoticeAbstractUI.aspx?menuIndex=3&amp;refID=7152507&amp;Result=3","7152507")</f>
        <v>0</v>
      </c>
      <c r="B475" t="s">
        <v>230</v>
      </c>
      <c r="C475" t="s">
        <v>4225</v>
      </c>
      <c r="D475" t="s">
        <v>18019</v>
      </c>
      <c r="E475" t="s">
        <v>18512</v>
      </c>
      <c r="F475" t="s">
        <v>30900</v>
      </c>
      <c r="G475" t="s">
        <v>30909</v>
      </c>
      <c r="H475" t="s">
        <v>30916</v>
      </c>
      <c r="I475" t="s">
        <v>30938</v>
      </c>
      <c r="J475" t="s">
        <v>31437</v>
      </c>
      <c r="K475" t="s">
        <v>40324</v>
      </c>
      <c r="M475" t="s">
        <v>40777</v>
      </c>
      <c r="N475" t="s">
        <v>44759</v>
      </c>
      <c r="O475" t="s">
        <v>44760</v>
      </c>
      <c r="P475">
        <v>0</v>
      </c>
      <c r="Q475">
        <v>0</v>
      </c>
      <c r="R475" t="s">
        <v>44761</v>
      </c>
      <c r="S475" t="s">
        <v>44862</v>
      </c>
      <c r="T475" t="s">
        <v>46362</v>
      </c>
      <c r="U475" t="s">
        <v>47391</v>
      </c>
      <c r="W475" t="s">
        <v>40777</v>
      </c>
      <c r="X475" t="s">
        <v>44762</v>
      </c>
    </row>
    <row r="476" spans="1:24">
      <c r="A476">
        <f>HYPERLINK("https://www.philgeps.gov.ph/GEPSNONPILOT/Tender/SplashBidNoticeAbstractUI.aspx?menuIndex=3&amp;refID=7152506&amp;Result=3","7152506")</f>
        <v>0</v>
      </c>
      <c r="B476" t="s">
        <v>41</v>
      </c>
      <c r="C476" t="s">
        <v>4226</v>
      </c>
      <c r="D476" t="s">
        <v>17966</v>
      </c>
      <c r="E476" t="s">
        <v>18513</v>
      </c>
      <c r="F476" t="s">
        <v>30900</v>
      </c>
      <c r="G476" t="s">
        <v>30907</v>
      </c>
      <c r="H476" t="s">
        <v>30916</v>
      </c>
      <c r="I476" t="s">
        <v>4545</v>
      </c>
      <c r="J476" t="s">
        <v>31297</v>
      </c>
      <c r="K476" t="s">
        <v>40291</v>
      </c>
      <c r="M476" t="s">
        <v>40831</v>
      </c>
      <c r="N476" t="s">
        <v>44759</v>
      </c>
      <c r="O476" t="s">
        <v>44760</v>
      </c>
      <c r="P476">
        <v>0</v>
      </c>
      <c r="Q476">
        <v>0</v>
      </c>
      <c r="R476" t="s">
        <v>44761</v>
      </c>
      <c r="S476" t="s">
        <v>44862</v>
      </c>
      <c r="T476" t="s">
        <v>46365</v>
      </c>
      <c r="U476" t="s">
        <v>47392</v>
      </c>
      <c r="V476" t="s">
        <v>59095</v>
      </c>
      <c r="W476" t="s">
        <v>40831</v>
      </c>
      <c r="X476" t="s">
        <v>44762</v>
      </c>
    </row>
    <row r="477" spans="1:24">
      <c r="A477">
        <f>HYPERLINK("https://www.philgeps.gov.ph/GEPSNONPILOT/Tender/SplashBidNoticeAbstractUI.aspx?menuIndex=3&amp;refID=7152509&amp;Result=3","7152509")</f>
        <v>0</v>
      </c>
      <c r="B477" t="s">
        <v>191</v>
      </c>
      <c r="C477" t="s">
        <v>4010</v>
      </c>
      <c r="D477" t="s">
        <v>17998</v>
      </c>
      <c r="E477" t="s">
        <v>18514</v>
      </c>
      <c r="F477" t="s">
        <v>30900</v>
      </c>
      <c r="G477" t="s">
        <v>30907</v>
      </c>
      <c r="H477" t="s">
        <v>30916</v>
      </c>
      <c r="I477" t="s">
        <v>4545</v>
      </c>
      <c r="J477" t="s">
        <v>31050</v>
      </c>
      <c r="K477" t="s">
        <v>40286</v>
      </c>
      <c r="M477" t="s">
        <v>40738</v>
      </c>
      <c r="N477" t="s">
        <v>44759</v>
      </c>
      <c r="O477" t="s">
        <v>44760</v>
      </c>
      <c r="P477">
        <v>0</v>
      </c>
      <c r="Q477">
        <v>0</v>
      </c>
      <c r="R477" t="s">
        <v>44761</v>
      </c>
      <c r="S477" t="s">
        <v>44862</v>
      </c>
      <c r="T477" t="s">
        <v>46460</v>
      </c>
      <c r="U477" t="s">
        <v>47393</v>
      </c>
      <c r="V477" t="s">
        <v>59163</v>
      </c>
      <c r="W477" t="s">
        <v>40738</v>
      </c>
      <c r="X477" t="s">
        <v>44762</v>
      </c>
    </row>
    <row r="478" spans="1:24">
      <c r="A478">
        <f>HYPERLINK("https://www.philgeps.gov.ph/GEPSNONPILOT/Tender/SplashBidNoticeAbstractUI.aspx?menuIndex=3&amp;refID=7152505&amp;Result=3","7152505")</f>
        <v>0</v>
      </c>
      <c r="B478" t="s">
        <v>237</v>
      </c>
      <c r="C478" t="s">
        <v>4227</v>
      </c>
      <c r="D478" t="s">
        <v>17977</v>
      </c>
      <c r="E478" t="s">
        <v>18515</v>
      </c>
      <c r="F478" t="s">
        <v>30900</v>
      </c>
      <c r="G478" t="s">
        <v>30910</v>
      </c>
      <c r="H478" t="s">
        <v>30916</v>
      </c>
      <c r="I478" t="s">
        <v>6396</v>
      </c>
      <c r="J478" t="s">
        <v>31438</v>
      </c>
      <c r="K478" t="s">
        <v>40289</v>
      </c>
      <c r="M478" t="s">
        <v>40784</v>
      </c>
      <c r="N478" t="s">
        <v>44759</v>
      </c>
      <c r="O478" t="s">
        <v>44760</v>
      </c>
      <c r="P478">
        <v>0</v>
      </c>
      <c r="Q478">
        <v>0</v>
      </c>
      <c r="R478" t="s">
        <v>44761</v>
      </c>
      <c r="S478" t="s">
        <v>44862</v>
      </c>
      <c r="T478" t="s">
        <v>46393</v>
      </c>
      <c r="U478" t="s">
        <v>47394</v>
      </c>
      <c r="W478" t="s">
        <v>40784</v>
      </c>
      <c r="X478" t="s">
        <v>44762</v>
      </c>
    </row>
    <row r="479" spans="1:24">
      <c r="A479">
        <f>HYPERLINK("https://www.philgeps.gov.ph/GEPSNONPILOT/Tender/SplashBidNoticeAbstractUI.aspx?menuIndex=3&amp;refID=7152546&amp;Result=3","7152546")</f>
        <v>0</v>
      </c>
      <c r="B479" t="s">
        <v>284</v>
      </c>
      <c r="C479" t="s">
        <v>4228</v>
      </c>
      <c r="D479" t="s">
        <v>18009</v>
      </c>
      <c r="E479" t="s">
        <v>18516</v>
      </c>
      <c r="F479" t="s">
        <v>30900</v>
      </c>
      <c r="G479" t="s">
        <v>30908</v>
      </c>
      <c r="H479" t="s">
        <v>30916</v>
      </c>
      <c r="I479" t="s">
        <v>6953</v>
      </c>
      <c r="J479" t="s">
        <v>31439</v>
      </c>
      <c r="K479" t="s">
        <v>40287</v>
      </c>
      <c r="M479" t="s">
        <v>40832</v>
      </c>
      <c r="N479" t="s">
        <v>44759</v>
      </c>
      <c r="O479" t="s">
        <v>44760</v>
      </c>
      <c r="P479">
        <v>0</v>
      </c>
      <c r="Q479">
        <v>0</v>
      </c>
      <c r="R479" t="s">
        <v>44761</v>
      </c>
      <c r="S479" t="s">
        <v>44862</v>
      </c>
      <c r="T479" t="s">
        <v>46389</v>
      </c>
      <c r="U479" t="s">
        <v>47395</v>
      </c>
      <c r="W479" t="s">
        <v>40832</v>
      </c>
      <c r="X479" t="s">
        <v>44762</v>
      </c>
    </row>
    <row r="480" spans="1:24">
      <c r="A480">
        <f>HYPERLINK("https://www.philgeps.gov.ph/GEPSNONPILOT/Tender/SplashBidNoticeAbstractUI.aspx?menuIndex=3&amp;refID=7152523&amp;Result=3","7152523")</f>
        <v>0</v>
      </c>
      <c r="B480" t="s">
        <v>285</v>
      </c>
      <c r="C480" t="s">
        <v>4229</v>
      </c>
      <c r="E480" t="s">
        <v>18517</v>
      </c>
      <c r="F480" t="s">
        <v>30900</v>
      </c>
      <c r="G480" t="s">
        <v>30907</v>
      </c>
      <c r="H480" t="s">
        <v>30915</v>
      </c>
      <c r="I480" t="s">
        <v>30925</v>
      </c>
      <c r="J480" t="s">
        <v>31341</v>
      </c>
      <c r="K480" t="s">
        <v>40289</v>
      </c>
      <c r="M480" t="s">
        <v>40833</v>
      </c>
      <c r="N480" t="s">
        <v>44759</v>
      </c>
      <c r="O480" t="s">
        <v>44760</v>
      </c>
      <c r="P480">
        <v>0</v>
      </c>
      <c r="Q480">
        <v>0</v>
      </c>
      <c r="R480" t="s">
        <v>44761</v>
      </c>
      <c r="S480" t="s">
        <v>44862</v>
      </c>
      <c r="T480" t="s">
        <v>46461</v>
      </c>
      <c r="U480" t="s">
        <v>47396</v>
      </c>
      <c r="W480" t="s">
        <v>40833</v>
      </c>
      <c r="X480" t="s">
        <v>44762</v>
      </c>
    </row>
    <row r="481" spans="1:24">
      <c r="A481">
        <f>HYPERLINK("https://www.philgeps.gov.ph/GEPSNONPILOT/Tender/SplashBidNoticeAbstractUI.aspx?menuIndex=3&amp;refID=7152545&amp;Result=3","7152545")</f>
        <v>0</v>
      </c>
      <c r="B481" t="s">
        <v>286</v>
      </c>
      <c r="C481" t="s">
        <v>4230</v>
      </c>
      <c r="D481" t="s">
        <v>17977</v>
      </c>
      <c r="E481" t="s">
        <v>18518</v>
      </c>
      <c r="F481" t="s">
        <v>30900</v>
      </c>
      <c r="G481" t="s">
        <v>30908</v>
      </c>
      <c r="H481" t="s">
        <v>30916</v>
      </c>
      <c r="I481" t="s">
        <v>30934</v>
      </c>
      <c r="J481" t="s">
        <v>31206</v>
      </c>
      <c r="K481" t="s">
        <v>40283</v>
      </c>
      <c r="M481" t="s">
        <v>40834</v>
      </c>
      <c r="N481" t="s">
        <v>44759</v>
      </c>
      <c r="O481" t="s">
        <v>44760</v>
      </c>
      <c r="P481">
        <v>0</v>
      </c>
      <c r="Q481">
        <v>0</v>
      </c>
      <c r="R481" t="s">
        <v>44761</v>
      </c>
      <c r="S481" t="s">
        <v>44862</v>
      </c>
      <c r="T481" t="s">
        <v>46352</v>
      </c>
      <c r="U481" t="s">
        <v>47397</v>
      </c>
      <c r="V481" t="s">
        <v>59164</v>
      </c>
      <c r="W481" t="s">
        <v>40834</v>
      </c>
      <c r="X481" t="s">
        <v>44762</v>
      </c>
    </row>
    <row r="482" spans="1:24">
      <c r="A482">
        <f>HYPERLINK("https://www.philgeps.gov.ph/GEPSNONPILOT/Tender/SplashBidNoticeAbstractUI.aspx?menuIndex=3&amp;refID=7152543&amp;Result=3","7152543")</f>
        <v>0</v>
      </c>
      <c r="B482" t="s">
        <v>230</v>
      </c>
      <c r="C482" t="s">
        <v>4231</v>
      </c>
      <c r="D482" t="s">
        <v>18019</v>
      </c>
      <c r="E482" t="s">
        <v>18519</v>
      </c>
      <c r="F482" t="s">
        <v>30900</v>
      </c>
      <c r="G482" t="s">
        <v>30909</v>
      </c>
      <c r="H482" t="s">
        <v>30916</v>
      </c>
      <c r="I482" t="s">
        <v>8365</v>
      </c>
      <c r="J482" t="s">
        <v>31440</v>
      </c>
      <c r="K482" t="s">
        <v>40281</v>
      </c>
      <c r="M482" t="s">
        <v>40777</v>
      </c>
      <c r="N482" t="s">
        <v>44759</v>
      </c>
      <c r="O482" t="s">
        <v>44760</v>
      </c>
      <c r="P482">
        <v>0</v>
      </c>
      <c r="Q482">
        <v>0</v>
      </c>
      <c r="R482" t="s">
        <v>44761</v>
      </c>
      <c r="S482" t="s">
        <v>44862</v>
      </c>
      <c r="T482" t="s">
        <v>46362</v>
      </c>
      <c r="U482" t="s">
        <v>47398</v>
      </c>
      <c r="W482" t="s">
        <v>40777</v>
      </c>
      <c r="X482" t="s">
        <v>44762</v>
      </c>
    </row>
    <row r="483" spans="1:24">
      <c r="A483">
        <f>HYPERLINK("https://www.philgeps.gov.ph/GEPSNONPILOT/Tender/SplashBidNoticeAbstractUI.aspx?menuIndex=3&amp;refID=7152542&amp;Result=3","7152542")</f>
        <v>0</v>
      </c>
      <c r="B483" t="s">
        <v>264</v>
      </c>
      <c r="C483" t="s">
        <v>4232</v>
      </c>
      <c r="D483" t="s">
        <v>17997</v>
      </c>
      <c r="E483" t="s">
        <v>18520</v>
      </c>
      <c r="F483" t="s">
        <v>30900</v>
      </c>
      <c r="G483" t="s">
        <v>30908</v>
      </c>
      <c r="H483" t="s">
        <v>30916</v>
      </c>
      <c r="I483" t="s">
        <v>4965</v>
      </c>
      <c r="J483" t="s">
        <v>31441</v>
      </c>
      <c r="K483" t="s">
        <v>40287</v>
      </c>
      <c r="M483" t="s">
        <v>40811</v>
      </c>
      <c r="N483" t="s">
        <v>44759</v>
      </c>
      <c r="O483" t="s">
        <v>44760</v>
      </c>
      <c r="P483">
        <v>0</v>
      </c>
      <c r="Q483">
        <v>0</v>
      </c>
      <c r="R483" t="s">
        <v>44761</v>
      </c>
      <c r="S483" t="s">
        <v>44862</v>
      </c>
      <c r="T483" t="s">
        <v>46382</v>
      </c>
      <c r="U483" t="s">
        <v>47360</v>
      </c>
      <c r="W483" t="s">
        <v>40811</v>
      </c>
      <c r="X483" t="s">
        <v>44762</v>
      </c>
    </row>
    <row r="484" spans="1:24">
      <c r="A484">
        <f>HYPERLINK("https://www.philgeps.gov.ph/GEPSNONPILOT/Tender/SplashBidNoticeAbstractUI.aspx?menuIndex=3&amp;refID=7152510&amp;Result=3","7152510")</f>
        <v>0</v>
      </c>
      <c r="B484" t="s">
        <v>287</v>
      </c>
      <c r="C484" t="s">
        <v>4233</v>
      </c>
      <c r="D484" t="s">
        <v>17984</v>
      </c>
      <c r="E484" t="s">
        <v>18194</v>
      </c>
      <c r="F484" t="s">
        <v>30900</v>
      </c>
      <c r="G484" t="s">
        <v>30907</v>
      </c>
      <c r="H484" t="s">
        <v>30915</v>
      </c>
      <c r="I484" t="s">
        <v>30919</v>
      </c>
      <c r="J484" t="s">
        <v>31442</v>
      </c>
      <c r="K484" t="s">
        <v>40299</v>
      </c>
      <c r="M484" t="s">
        <v>40835</v>
      </c>
      <c r="N484" t="s">
        <v>44759</v>
      </c>
      <c r="O484" t="s">
        <v>44760</v>
      </c>
      <c r="P484">
        <v>0</v>
      </c>
      <c r="Q484">
        <v>0</v>
      </c>
      <c r="R484" t="s">
        <v>44761</v>
      </c>
      <c r="S484" t="s">
        <v>44862</v>
      </c>
      <c r="T484" t="s">
        <v>46405</v>
      </c>
      <c r="U484" t="s">
        <v>47399</v>
      </c>
      <c r="W484" t="s">
        <v>40835</v>
      </c>
      <c r="X484" t="s">
        <v>44762</v>
      </c>
    </row>
    <row r="485" spans="1:24">
      <c r="A485">
        <f>HYPERLINK("https://www.philgeps.gov.ph/GEPSNONPILOT/Tender/SplashBidNoticeAbstractUI.aspx?menuIndex=3&amp;refID=7152541&amp;Result=3","7152541")</f>
        <v>0</v>
      </c>
      <c r="B485" t="s">
        <v>288</v>
      </c>
      <c r="C485" t="s">
        <v>3769</v>
      </c>
      <c r="E485" t="s">
        <v>18521</v>
      </c>
      <c r="F485" t="s">
        <v>30900</v>
      </c>
      <c r="G485" t="s">
        <v>30907</v>
      </c>
      <c r="H485" t="s">
        <v>30915</v>
      </c>
      <c r="I485" t="s">
        <v>30919</v>
      </c>
      <c r="J485" t="s">
        <v>31443</v>
      </c>
      <c r="K485" t="s">
        <v>40284</v>
      </c>
      <c r="M485" t="s">
        <v>40836</v>
      </c>
      <c r="N485" t="s">
        <v>44759</v>
      </c>
      <c r="O485" t="s">
        <v>44760</v>
      </c>
      <c r="P485">
        <v>0</v>
      </c>
      <c r="Q485">
        <v>0</v>
      </c>
      <c r="R485" t="s">
        <v>44761</v>
      </c>
      <c r="S485" t="s">
        <v>44862</v>
      </c>
      <c r="T485" t="s">
        <v>46396</v>
      </c>
      <c r="U485" t="s">
        <v>47400</v>
      </c>
      <c r="W485" t="s">
        <v>40836</v>
      </c>
      <c r="X485" t="s">
        <v>44762</v>
      </c>
    </row>
    <row r="486" spans="1:24">
      <c r="A486">
        <f>HYPERLINK("https://www.philgeps.gov.ph/GEPSNONPILOT/Tender/SplashBidNoticeAbstractUI.aspx?menuIndex=3&amp;refID=7152540&amp;Result=3","7152540")</f>
        <v>0</v>
      </c>
      <c r="B486" t="s">
        <v>289</v>
      </c>
      <c r="C486" t="s">
        <v>4234</v>
      </c>
      <c r="D486" t="s">
        <v>18001</v>
      </c>
      <c r="E486" t="s">
        <v>18522</v>
      </c>
      <c r="F486" t="s">
        <v>30900</v>
      </c>
      <c r="G486" t="s">
        <v>30909</v>
      </c>
      <c r="H486" t="s">
        <v>30916</v>
      </c>
      <c r="I486" t="s">
        <v>6396</v>
      </c>
      <c r="J486" t="s">
        <v>31444</v>
      </c>
      <c r="K486" t="s">
        <v>40287</v>
      </c>
      <c r="M486" t="s">
        <v>40837</v>
      </c>
      <c r="N486" t="s">
        <v>44759</v>
      </c>
      <c r="O486" t="s">
        <v>44760</v>
      </c>
      <c r="P486">
        <v>0</v>
      </c>
      <c r="Q486">
        <v>0</v>
      </c>
      <c r="R486" t="s">
        <v>44761</v>
      </c>
      <c r="S486" t="s">
        <v>44862</v>
      </c>
      <c r="T486" t="s">
        <v>46410</v>
      </c>
      <c r="U486" t="s">
        <v>47401</v>
      </c>
      <c r="W486" t="s">
        <v>40837</v>
      </c>
      <c r="X486" t="s">
        <v>44762</v>
      </c>
    </row>
    <row r="487" spans="1:24">
      <c r="A487">
        <f>HYPERLINK("https://www.philgeps.gov.ph/GEPSNONPILOT/Tender/SplashBidNoticeAbstractUI.aspx?menuIndex=3&amp;refID=7152524&amp;Result=3","7152524")</f>
        <v>0</v>
      </c>
      <c r="B487" t="s">
        <v>264</v>
      </c>
      <c r="C487" t="s">
        <v>4235</v>
      </c>
      <c r="D487" t="s">
        <v>17997</v>
      </c>
      <c r="E487" t="s">
        <v>18523</v>
      </c>
      <c r="F487" t="s">
        <v>30900</v>
      </c>
      <c r="G487" t="s">
        <v>30908</v>
      </c>
      <c r="H487" t="s">
        <v>30916</v>
      </c>
      <c r="I487" t="s">
        <v>4142</v>
      </c>
      <c r="J487" t="s">
        <v>31445</v>
      </c>
      <c r="K487" t="s">
        <v>40287</v>
      </c>
      <c r="M487" t="s">
        <v>40811</v>
      </c>
      <c r="N487" t="s">
        <v>44759</v>
      </c>
      <c r="O487" t="s">
        <v>44760</v>
      </c>
      <c r="P487">
        <v>0</v>
      </c>
      <c r="Q487">
        <v>0</v>
      </c>
      <c r="R487" t="s">
        <v>44761</v>
      </c>
      <c r="S487" t="s">
        <v>44862</v>
      </c>
      <c r="T487" t="s">
        <v>46382</v>
      </c>
      <c r="U487" t="s">
        <v>47360</v>
      </c>
      <c r="W487" t="s">
        <v>40811</v>
      </c>
      <c r="X487" t="s">
        <v>44762</v>
      </c>
    </row>
    <row r="488" spans="1:24">
      <c r="A488">
        <f>HYPERLINK("https://www.philgeps.gov.ph/GEPSNONPILOT/Tender/SplashBidNoticeAbstractUI.aspx?menuIndex=3&amp;refID=7152534&amp;Result=3","7152534")</f>
        <v>0</v>
      </c>
      <c r="B488" t="s">
        <v>187</v>
      </c>
      <c r="C488" t="s">
        <v>4236</v>
      </c>
      <c r="D488" t="s">
        <v>17952</v>
      </c>
      <c r="E488" t="s">
        <v>18524</v>
      </c>
      <c r="F488" t="s">
        <v>30900</v>
      </c>
      <c r="G488" t="s">
        <v>30908</v>
      </c>
      <c r="H488" t="s">
        <v>30916</v>
      </c>
      <c r="I488" t="s">
        <v>9385</v>
      </c>
      <c r="J488" t="s">
        <v>31183</v>
      </c>
      <c r="K488" t="s">
        <v>40288</v>
      </c>
      <c r="M488" t="s">
        <v>40734</v>
      </c>
      <c r="N488" t="s">
        <v>44759</v>
      </c>
      <c r="O488" t="s">
        <v>44760</v>
      </c>
      <c r="P488">
        <v>0</v>
      </c>
      <c r="Q488">
        <v>0</v>
      </c>
      <c r="R488" t="s">
        <v>44761</v>
      </c>
      <c r="S488" t="s">
        <v>44862</v>
      </c>
      <c r="T488" t="s">
        <v>46390</v>
      </c>
      <c r="U488" t="s">
        <v>47402</v>
      </c>
      <c r="W488" t="s">
        <v>40734</v>
      </c>
      <c r="X488" t="s">
        <v>44762</v>
      </c>
    </row>
    <row r="489" spans="1:24">
      <c r="A489">
        <f>HYPERLINK("https://www.philgeps.gov.ph/GEPSNONPILOT/Tender/SplashBidNoticeAbstractUI.aspx?menuIndex=3&amp;refID=7152547&amp;Result=3","7152547")</f>
        <v>0</v>
      </c>
      <c r="B489" t="s">
        <v>290</v>
      </c>
      <c r="C489" t="s">
        <v>4237</v>
      </c>
      <c r="D489" t="s">
        <v>17993</v>
      </c>
      <c r="E489" t="s">
        <v>18525</v>
      </c>
      <c r="F489" t="s">
        <v>30900</v>
      </c>
      <c r="G489" t="s">
        <v>30907</v>
      </c>
      <c r="H489" t="s">
        <v>30915</v>
      </c>
      <c r="I489" t="s">
        <v>30919</v>
      </c>
      <c r="J489" t="s">
        <v>31446</v>
      </c>
      <c r="K489" t="s">
        <v>40330</v>
      </c>
      <c r="M489" t="s">
        <v>40838</v>
      </c>
      <c r="N489" t="s">
        <v>44759</v>
      </c>
      <c r="O489" t="s">
        <v>44760</v>
      </c>
      <c r="P489">
        <v>0</v>
      </c>
      <c r="Q489">
        <v>0</v>
      </c>
      <c r="R489" t="s">
        <v>44761</v>
      </c>
      <c r="S489" t="s">
        <v>44862</v>
      </c>
      <c r="T489" t="s">
        <v>46417</v>
      </c>
      <c r="U489" t="s">
        <v>47403</v>
      </c>
      <c r="W489" t="s">
        <v>40838</v>
      </c>
      <c r="X489" t="s">
        <v>44762</v>
      </c>
    </row>
    <row r="490" spans="1:24">
      <c r="A490">
        <f>HYPERLINK("https://www.philgeps.gov.ph/GEPSNONPILOT/Tender/SplashBidNoticeAbstractUI.aspx?menuIndex=3&amp;refID=7152550&amp;Result=3","7152550")</f>
        <v>0</v>
      </c>
      <c r="B490" t="s">
        <v>291</v>
      </c>
      <c r="C490" t="s">
        <v>4238</v>
      </c>
      <c r="D490" t="s">
        <v>17959</v>
      </c>
      <c r="E490" t="s">
        <v>4238</v>
      </c>
      <c r="F490" t="s">
        <v>30900</v>
      </c>
      <c r="G490" t="s">
        <v>30908</v>
      </c>
      <c r="H490" t="s">
        <v>30916</v>
      </c>
      <c r="I490" t="s">
        <v>30962</v>
      </c>
      <c r="J490" t="s">
        <v>31447</v>
      </c>
      <c r="K490" t="s">
        <v>40289</v>
      </c>
      <c r="M490" t="s">
        <v>40839</v>
      </c>
      <c r="N490" t="s">
        <v>44759</v>
      </c>
      <c r="O490" t="s">
        <v>44760</v>
      </c>
      <c r="P490">
        <v>0</v>
      </c>
      <c r="Q490">
        <v>1</v>
      </c>
      <c r="R490" t="s">
        <v>44761</v>
      </c>
      <c r="S490" t="s">
        <v>44862</v>
      </c>
      <c r="T490" t="s">
        <v>46357</v>
      </c>
      <c r="U490" t="s">
        <v>47404</v>
      </c>
      <c r="W490" t="s">
        <v>40839</v>
      </c>
      <c r="X490" t="s">
        <v>44762</v>
      </c>
    </row>
    <row r="491" spans="1:24">
      <c r="A491">
        <f>HYPERLINK("https://www.philgeps.gov.ph/GEPSNONPILOT/Tender/SplashBidNoticeAbstractUI.aspx?menuIndex=3&amp;refID=7152548&amp;Result=3","7152548")</f>
        <v>0</v>
      </c>
      <c r="B491" t="s">
        <v>292</v>
      </c>
      <c r="C491" t="s">
        <v>4239</v>
      </c>
      <c r="D491" t="s">
        <v>17963</v>
      </c>
      <c r="E491" t="s">
        <v>18526</v>
      </c>
      <c r="F491" t="s">
        <v>30900</v>
      </c>
      <c r="G491" t="s">
        <v>30910</v>
      </c>
      <c r="H491" t="s">
        <v>30916</v>
      </c>
      <c r="I491" t="s">
        <v>30924</v>
      </c>
      <c r="J491" t="s">
        <v>31204</v>
      </c>
      <c r="K491" t="s">
        <v>40289</v>
      </c>
      <c r="M491" t="s">
        <v>40840</v>
      </c>
      <c r="N491" t="s">
        <v>44759</v>
      </c>
      <c r="O491" t="s">
        <v>44760</v>
      </c>
      <c r="P491">
        <v>0</v>
      </c>
      <c r="Q491">
        <v>0</v>
      </c>
      <c r="R491" t="s">
        <v>44761</v>
      </c>
      <c r="S491" t="s">
        <v>44862</v>
      </c>
      <c r="T491" t="s">
        <v>46376</v>
      </c>
      <c r="U491" t="s">
        <v>47405</v>
      </c>
      <c r="W491" t="s">
        <v>40840</v>
      </c>
      <c r="X491" t="s">
        <v>44762</v>
      </c>
    </row>
    <row r="492" spans="1:24">
      <c r="A492">
        <f>HYPERLINK("https://www.philgeps.gov.ph/GEPSNONPILOT/Tender/SplashBidNoticeAbstractUI.aspx?menuIndex=3&amp;refID=7152536&amp;Result=3","7152536")</f>
        <v>0</v>
      </c>
      <c r="B492" t="s">
        <v>293</v>
      </c>
      <c r="C492" t="s">
        <v>4240</v>
      </c>
      <c r="D492" t="s">
        <v>18023</v>
      </c>
      <c r="E492" t="s">
        <v>18527</v>
      </c>
      <c r="F492" t="s">
        <v>30900</v>
      </c>
      <c r="G492" t="s">
        <v>30908</v>
      </c>
      <c r="H492" t="s">
        <v>30916</v>
      </c>
      <c r="I492" t="s">
        <v>30923</v>
      </c>
      <c r="J492" t="s">
        <v>31448</v>
      </c>
      <c r="K492" t="s">
        <v>40283</v>
      </c>
      <c r="M492" t="s">
        <v>40841</v>
      </c>
      <c r="N492" t="s">
        <v>44759</v>
      </c>
      <c r="O492" t="s">
        <v>44760</v>
      </c>
      <c r="P492">
        <v>0</v>
      </c>
      <c r="Q492">
        <v>0</v>
      </c>
      <c r="R492" t="s">
        <v>44761</v>
      </c>
      <c r="S492" t="s">
        <v>44862</v>
      </c>
      <c r="T492" t="s">
        <v>46424</v>
      </c>
      <c r="U492" t="s">
        <v>47406</v>
      </c>
      <c r="W492" t="s">
        <v>40841</v>
      </c>
      <c r="X492" t="s">
        <v>44762</v>
      </c>
    </row>
    <row r="493" spans="1:24">
      <c r="A493">
        <f>HYPERLINK("https://www.philgeps.gov.ph/GEPSNONPILOT/Tender/SplashBidNoticeAbstractUI.aspx?menuIndex=3&amp;refID=7152525&amp;Result=3","7152525")</f>
        <v>0</v>
      </c>
      <c r="B493" t="s">
        <v>294</v>
      </c>
      <c r="C493" t="s">
        <v>4241</v>
      </c>
      <c r="D493" t="s">
        <v>18019</v>
      </c>
      <c r="E493" t="s">
        <v>18528</v>
      </c>
      <c r="F493" t="s">
        <v>30900</v>
      </c>
      <c r="G493" t="s">
        <v>30907</v>
      </c>
      <c r="H493" t="s">
        <v>30916</v>
      </c>
      <c r="I493" t="s">
        <v>30933</v>
      </c>
      <c r="J493" t="s">
        <v>31449</v>
      </c>
      <c r="K493" t="s">
        <v>40286</v>
      </c>
      <c r="M493" t="s">
        <v>40842</v>
      </c>
      <c r="N493" t="s">
        <v>44759</v>
      </c>
      <c r="O493" t="s">
        <v>44760</v>
      </c>
      <c r="P493">
        <v>0</v>
      </c>
      <c r="Q493">
        <v>0</v>
      </c>
      <c r="R493" t="s">
        <v>44761</v>
      </c>
      <c r="S493" t="s">
        <v>44862</v>
      </c>
      <c r="T493" t="s">
        <v>46462</v>
      </c>
      <c r="U493" t="s">
        <v>47407</v>
      </c>
      <c r="V493" t="s">
        <v>59165</v>
      </c>
      <c r="W493" t="s">
        <v>40842</v>
      </c>
      <c r="X493" t="s">
        <v>44762</v>
      </c>
    </row>
    <row r="494" spans="1:24">
      <c r="A494">
        <f>HYPERLINK("https://www.philgeps.gov.ph/GEPSNONPILOT/Tender/SplashBidNoticeAbstractUI.aspx?menuIndex=3&amp;refID=7152527&amp;Result=3","7152527")</f>
        <v>0</v>
      </c>
      <c r="B494" t="s">
        <v>281</v>
      </c>
      <c r="C494" t="s">
        <v>4222</v>
      </c>
      <c r="D494" t="s">
        <v>17953</v>
      </c>
      <c r="E494" t="s">
        <v>18529</v>
      </c>
      <c r="F494" t="s">
        <v>30900</v>
      </c>
      <c r="G494" t="s">
        <v>30908</v>
      </c>
      <c r="H494" t="s">
        <v>30916</v>
      </c>
      <c r="I494" t="s">
        <v>4108</v>
      </c>
      <c r="J494" t="s">
        <v>31450</v>
      </c>
      <c r="K494" t="s">
        <v>40283</v>
      </c>
      <c r="M494" t="s">
        <v>40828</v>
      </c>
      <c r="N494" t="s">
        <v>44759</v>
      </c>
      <c r="O494" t="s">
        <v>44760</v>
      </c>
      <c r="P494">
        <v>0</v>
      </c>
      <c r="Q494">
        <v>0</v>
      </c>
      <c r="R494" t="s">
        <v>44761</v>
      </c>
      <c r="S494" t="s">
        <v>44862</v>
      </c>
      <c r="T494" t="s">
        <v>46459</v>
      </c>
      <c r="U494" t="s">
        <v>47408</v>
      </c>
      <c r="W494" t="s">
        <v>40828</v>
      </c>
      <c r="X494" t="s">
        <v>44762</v>
      </c>
    </row>
    <row r="495" spans="1:24">
      <c r="A495">
        <f>HYPERLINK("https://www.philgeps.gov.ph/GEPSNONPILOT/Tender/SplashBidNoticeAbstractUI.aspx?menuIndex=3&amp;refID=7152530&amp;Result=3","7152530")</f>
        <v>0</v>
      </c>
      <c r="B495" t="s">
        <v>179</v>
      </c>
      <c r="C495" t="s">
        <v>4242</v>
      </c>
      <c r="D495" t="s">
        <v>17953</v>
      </c>
      <c r="E495" t="s">
        <v>18530</v>
      </c>
      <c r="F495" t="s">
        <v>30900</v>
      </c>
      <c r="G495" t="s">
        <v>30909</v>
      </c>
      <c r="H495" t="s">
        <v>30916</v>
      </c>
      <c r="I495" t="s">
        <v>9385</v>
      </c>
      <c r="J495" t="s">
        <v>31451</v>
      </c>
      <c r="K495" t="s">
        <v>40287</v>
      </c>
      <c r="M495" t="s">
        <v>40726</v>
      </c>
      <c r="N495" t="s">
        <v>44759</v>
      </c>
      <c r="O495" t="s">
        <v>44760</v>
      </c>
      <c r="P495">
        <v>0</v>
      </c>
      <c r="Q495">
        <v>0</v>
      </c>
      <c r="R495" t="s">
        <v>44761</v>
      </c>
      <c r="S495" t="s">
        <v>44862</v>
      </c>
      <c r="T495" t="s">
        <v>46414</v>
      </c>
      <c r="U495" t="s">
        <v>47409</v>
      </c>
      <c r="W495" t="s">
        <v>40726</v>
      </c>
      <c r="X495" t="s">
        <v>44762</v>
      </c>
    </row>
    <row r="496" spans="1:24">
      <c r="A496">
        <f>HYPERLINK("https://www.philgeps.gov.ph/GEPSNONPILOT/Tender/SplashBidNoticeAbstractUI.aspx?menuIndex=3&amp;refID=7152549&amp;Result=3","7152549")</f>
        <v>0</v>
      </c>
      <c r="B496" t="s">
        <v>295</v>
      </c>
      <c r="C496" t="s">
        <v>4243</v>
      </c>
      <c r="D496" t="s">
        <v>17951</v>
      </c>
      <c r="E496" t="s">
        <v>18531</v>
      </c>
      <c r="F496" t="s">
        <v>30900</v>
      </c>
      <c r="G496" t="s">
        <v>30907</v>
      </c>
      <c r="H496" t="s">
        <v>30916</v>
      </c>
      <c r="I496" t="s">
        <v>30963</v>
      </c>
      <c r="J496" t="s">
        <v>31452</v>
      </c>
      <c r="K496" t="s">
        <v>40280</v>
      </c>
      <c r="M496" t="s">
        <v>40843</v>
      </c>
      <c r="N496" t="s">
        <v>44759</v>
      </c>
      <c r="O496" t="s">
        <v>44760</v>
      </c>
      <c r="P496">
        <v>0</v>
      </c>
      <c r="Q496">
        <v>0</v>
      </c>
      <c r="R496" t="s">
        <v>44761</v>
      </c>
      <c r="S496" t="s">
        <v>44862</v>
      </c>
      <c r="T496" t="s">
        <v>46422</v>
      </c>
      <c r="U496" t="s">
        <v>47410</v>
      </c>
      <c r="W496" t="s">
        <v>40843</v>
      </c>
      <c r="X496" t="s">
        <v>44762</v>
      </c>
    </row>
    <row r="497" spans="1:24">
      <c r="A497">
        <f>HYPERLINK("https://www.philgeps.gov.ph/GEPSNONPILOT/Tender/SplashBidNoticeAbstractUI.aspx?menuIndex=3&amp;refID=7152526&amp;Result=3","7152526")</f>
        <v>0</v>
      </c>
      <c r="B497" t="s">
        <v>296</v>
      </c>
      <c r="C497" t="s">
        <v>4244</v>
      </c>
      <c r="D497" t="s">
        <v>17977</v>
      </c>
      <c r="E497" t="s">
        <v>18532</v>
      </c>
      <c r="F497" t="s">
        <v>30900</v>
      </c>
      <c r="G497" t="s">
        <v>30908</v>
      </c>
      <c r="H497" t="s">
        <v>30916</v>
      </c>
      <c r="I497" t="s">
        <v>6408</v>
      </c>
      <c r="J497" t="s">
        <v>31453</v>
      </c>
      <c r="K497" t="s">
        <v>40284</v>
      </c>
      <c r="L497" t="s">
        <v>296</v>
      </c>
      <c r="M497" t="s">
        <v>40844</v>
      </c>
      <c r="N497" t="s">
        <v>44759</v>
      </c>
      <c r="O497" t="s">
        <v>44760</v>
      </c>
      <c r="P497">
        <v>0</v>
      </c>
      <c r="Q497">
        <v>0</v>
      </c>
      <c r="R497" t="s">
        <v>44761</v>
      </c>
      <c r="S497" t="s">
        <v>44862</v>
      </c>
      <c r="T497" t="s">
        <v>46382</v>
      </c>
      <c r="U497" t="s">
        <v>47411</v>
      </c>
      <c r="W497" t="s">
        <v>40844</v>
      </c>
      <c r="X497" t="s">
        <v>44762</v>
      </c>
    </row>
    <row r="498" spans="1:24">
      <c r="A498">
        <f>HYPERLINK("https://www.philgeps.gov.ph/GEPSNONPILOT/Tender/SplashBidNoticeAbstractUI.aspx?menuIndex=3&amp;refID=7152532&amp;Result=3","7152532")</f>
        <v>0</v>
      </c>
      <c r="B498" t="s">
        <v>282</v>
      </c>
      <c r="C498" t="s">
        <v>4245</v>
      </c>
      <c r="D498" t="s">
        <v>18022</v>
      </c>
      <c r="E498" t="s">
        <v>18533</v>
      </c>
      <c r="F498" t="s">
        <v>30900</v>
      </c>
      <c r="G498" t="s">
        <v>30908</v>
      </c>
      <c r="H498" t="s">
        <v>30916</v>
      </c>
      <c r="I498" t="s">
        <v>4142</v>
      </c>
      <c r="J498" t="s">
        <v>31454</v>
      </c>
      <c r="K498" t="s">
        <v>40289</v>
      </c>
      <c r="M498" t="s">
        <v>40829</v>
      </c>
      <c r="N498" t="s">
        <v>44759</v>
      </c>
      <c r="O498" t="s">
        <v>44760</v>
      </c>
      <c r="P498">
        <v>0</v>
      </c>
      <c r="Q498">
        <v>0</v>
      </c>
      <c r="R498" t="s">
        <v>44761</v>
      </c>
      <c r="S498" t="s">
        <v>44862</v>
      </c>
      <c r="T498" t="s">
        <v>46421</v>
      </c>
      <c r="U498" t="s">
        <v>47389</v>
      </c>
      <c r="W498" t="s">
        <v>40829</v>
      </c>
      <c r="X498" t="s">
        <v>44762</v>
      </c>
    </row>
    <row r="499" spans="1:24">
      <c r="A499">
        <f>HYPERLINK("https://www.philgeps.gov.ph/GEPSNONPILOT/Tender/SplashBidNoticeAbstractUI.aspx?menuIndex=3&amp;refID=7152512&amp;Result=3","7152512")</f>
        <v>0</v>
      </c>
      <c r="B499" t="s">
        <v>297</v>
      </c>
      <c r="C499" t="s">
        <v>4246</v>
      </c>
      <c r="D499" t="s">
        <v>17978</v>
      </c>
      <c r="E499" t="s">
        <v>18534</v>
      </c>
      <c r="F499" t="s">
        <v>30900</v>
      </c>
      <c r="G499" t="s">
        <v>30909</v>
      </c>
      <c r="H499" t="s">
        <v>30916</v>
      </c>
      <c r="I499" t="s">
        <v>6396</v>
      </c>
      <c r="J499" t="s">
        <v>31455</v>
      </c>
      <c r="K499" t="s">
        <v>40286</v>
      </c>
      <c r="M499" t="s">
        <v>40845</v>
      </c>
      <c r="N499" t="s">
        <v>44759</v>
      </c>
      <c r="O499" t="s">
        <v>44760</v>
      </c>
      <c r="P499">
        <v>0</v>
      </c>
      <c r="Q499">
        <v>0</v>
      </c>
      <c r="R499" t="s">
        <v>44761</v>
      </c>
      <c r="S499" t="s">
        <v>44862</v>
      </c>
      <c r="T499" t="s">
        <v>46399</v>
      </c>
      <c r="U499" t="s">
        <v>47412</v>
      </c>
      <c r="W499" t="s">
        <v>40845</v>
      </c>
      <c r="X499" t="s">
        <v>44762</v>
      </c>
    </row>
    <row r="500" spans="1:24">
      <c r="A500">
        <f>HYPERLINK("https://www.philgeps.gov.ph/GEPSNONPILOT/Tender/SplashBidNoticeAbstractUI.aspx?menuIndex=3&amp;refID=7152568&amp;Result=3","7152568")</f>
        <v>0</v>
      </c>
      <c r="B500" t="s">
        <v>298</v>
      </c>
      <c r="C500" t="s">
        <v>4247</v>
      </c>
      <c r="D500" t="s">
        <v>17953</v>
      </c>
      <c r="E500" t="s">
        <v>18535</v>
      </c>
      <c r="F500" t="s">
        <v>30900</v>
      </c>
      <c r="G500" t="s">
        <v>30908</v>
      </c>
      <c r="H500" t="s">
        <v>30917</v>
      </c>
      <c r="I500" t="s">
        <v>4142</v>
      </c>
      <c r="J500" t="s">
        <v>31456</v>
      </c>
      <c r="K500" t="s">
        <v>40284</v>
      </c>
      <c r="M500" t="s">
        <v>40846</v>
      </c>
      <c r="N500" t="s">
        <v>44759</v>
      </c>
      <c r="O500" t="s">
        <v>44760</v>
      </c>
      <c r="P500">
        <v>0</v>
      </c>
      <c r="Q500">
        <v>0</v>
      </c>
      <c r="R500" t="s">
        <v>44761</v>
      </c>
      <c r="S500" t="s">
        <v>44862</v>
      </c>
      <c r="T500" t="s">
        <v>46357</v>
      </c>
      <c r="U500" t="s">
        <v>47413</v>
      </c>
      <c r="W500" t="s">
        <v>40846</v>
      </c>
      <c r="X500" t="s">
        <v>44762</v>
      </c>
    </row>
    <row r="501" spans="1:24">
      <c r="A501">
        <f>HYPERLINK("https://www.philgeps.gov.ph/GEPSNONPILOT/Tender/SplashBidNoticeAbstractUI.aspx?menuIndex=3&amp;refID=7152552&amp;Result=3","7152552")</f>
        <v>0</v>
      </c>
      <c r="B501" t="s">
        <v>57</v>
      </c>
      <c r="C501" t="s">
        <v>4248</v>
      </c>
      <c r="D501" t="s">
        <v>17976</v>
      </c>
      <c r="E501" t="s">
        <v>18536</v>
      </c>
      <c r="F501" t="s">
        <v>30900</v>
      </c>
      <c r="G501" t="s">
        <v>30909</v>
      </c>
      <c r="H501" t="s">
        <v>30916</v>
      </c>
      <c r="I501" t="s">
        <v>4108</v>
      </c>
      <c r="J501" t="s">
        <v>31135</v>
      </c>
      <c r="K501" t="s">
        <v>40287</v>
      </c>
      <c r="M501" t="s">
        <v>40847</v>
      </c>
      <c r="N501" t="s">
        <v>44759</v>
      </c>
      <c r="O501" t="s">
        <v>44760</v>
      </c>
      <c r="P501">
        <v>0</v>
      </c>
      <c r="Q501">
        <v>0</v>
      </c>
      <c r="R501" t="s">
        <v>44761</v>
      </c>
      <c r="S501" t="s">
        <v>44862</v>
      </c>
      <c r="T501" t="s">
        <v>46379</v>
      </c>
      <c r="U501" t="s">
        <v>47414</v>
      </c>
      <c r="W501" t="s">
        <v>40847</v>
      </c>
      <c r="X501" t="s">
        <v>44762</v>
      </c>
    </row>
    <row r="502" spans="1:24">
      <c r="A502">
        <f>HYPERLINK("https://www.philgeps.gov.ph/GEPSNONPILOT/Tender/SplashBidNoticeAbstractUI.aspx?menuIndex=3&amp;refID=7152567&amp;Result=3","7152567")</f>
        <v>0</v>
      </c>
      <c r="B502" t="s">
        <v>282</v>
      </c>
      <c r="C502" t="s">
        <v>4249</v>
      </c>
      <c r="D502" t="s">
        <v>18022</v>
      </c>
      <c r="E502" t="s">
        <v>18537</v>
      </c>
      <c r="F502" t="s">
        <v>30900</v>
      </c>
      <c r="G502" t="s">
        <v>30908</v>
      </c>
      <c r="H502" t="s">
        <v>30916</v>
      </c>
      <c r="I502" t="s">
        <v>5830</v>
      </c>
      <c r="J502" t="s">
        <v>31043</v>
      </c>
      <c r="K502" t="s">
        <v>40289</v>
      </c>
      <c r="M502" t="s">
        <v>40829</v>
      </c>
      <c r="N502" t="s">
        <v>44759</v>
      </c>
      <c r="O502" t="s">
        <v>44760</v>
      </c>
      <c r="P502">
        <v>0</v>
      </c>
      <c r="Q502">
        <v>0</v>
      </c>
      <c r="R502" t="s">
        <v>44761</v>
      </c>
      <c r="S502" t="s">
        <v>44862</v>
      </c>
      <c r="T502" t="s">
        <v>46421</v>
      </c>
      <c r="U502" t="s">
        <v>47389</v>
      </c>
      <c r="W502" t="s">
        <v>40829</v>
      </c>
      <c r="X502" t="s">
        <v>44762</v>
      </c>
    </row>
    <row r="503" spans="1:24">
      <c r="A503">
        <f>HYPERLINK("https://www.philgeps.gov.ph/GEPSNONPILOT/Tender/SplashBidNoticeAbstractUI.aspx?menuIndex=3&amp;refID=7152511&amp;Result=3","7152511")</f>
        <v>0</v>
      </c>
      <c r="B503" t="s">
        <v>299</v>
      </c>
      <c r="C503" t="s">
        <v>4250</v>
      </c>
      <c r="E503" t="s">
        <v>18538</v>
      </c>
      <c r="F503" t="s">
        <v>30900</v>
      </c>
      <c r="G503" t="s">
        <v>30909</v>
      </c>
      <c r="H503" t="s">
        <v>30916</v>
      </c>
      <c r="I503" t="s">
        <v>10602</v>
      </c>
      <c r="J503" t="s">
        <v>31451</v>
      </c>
      <c r="K503" t="s">
        <v>40289</v>
      </c>
      <c r="M503" t="s">
        <v>40848</v>
      </c>
      <c r="N503" t="s">
        <v>44759</v>
      </c>
      <c r="O503" t="s">
        <v>44760</v>
      </c>
      <c r="P503">
        <v>0</v>
      </c>
      <c r="Q503">
        <v>0</v>
      </c>
      <c r="R503" t="s">
        <v>44761</v>
      </c>
      <c r="S503" t="s">
        <v>44862</v>
      </c>
      <c r="T503" t="s">
        <v>46414</v>
      </c>
      <c r="U503" t="s">
        <v>47415</v>
      </c>
      <c r="W503" t="s">
        <v>40848</v>
      </c>
      <c r="X503" t="s">
        <v>44762</v>
      </c>
    </row>
    <row r="504" spans="1:24">
      <c r="A504">
        <f>HYPERLINK("https://www.philgeps.gov.ph/GEPSNONPILOT/Tender/SplashBidNoticeAbstractUI.aspx?menuIndex=3&amp;refID=7152553&amp;Result=3","7152553")</f>
        <v>0</v>
      </c>
      <c r="B504" t="s">
        <v>237</v>
      </c>
      <c r="C504" t="s">
        <v>4251</v>
      </c>
      <c r="D504" t="s">
        <v>17977</v>
      </c>
      <c r="E504" t="s">
        <v>4251</v>
      </c>
      <c r="F504" t="s">
        <v>30900</v>
      </c>
      <c r="G504" t="s">
        <v>30908</v>
      </c>
      <c r="H504" t="s">
        <v>30916</v>
      </c>
      <c r="I504" t="s">
        <v>6746</v>
      </c>
      <c r="J504" t="s">
        <v>31457</v>
      </c>
      <c r="K504" t="s">
        <v>40289</v>
      </c>
      <c r="M504" t="s">
        <v>40784</v>
      </c>
      <c r="N504" t="s">
        <v>44759</v>
      </c>
      <c r="O504" t="s">
        <v>44760</v>
      </c>
      <c r="P504">
        <v>0</v>
      </c>
      <c r="Q504">
        <v>0</v>
      </c>
      <c r="R504" t="s">
        <v>44761</v>
      </c>
      <c r="S504" t="s">
        <v>44862</v>
      </c>
      <c r="T504" t="s">
        <v>46393</v>
      </c>
      <c r="U504" t="s">
        <v>47416</v>
      </c>
      <c r="W504" t="s">
        <v>40784</v>
      </c>
      <c r="X504" t="s">
        <v>44762</v>
      </c>
    </row>
    <row r="505" spans="1:24">
      <c r="A505">
        <f>HYPERLINK("https://www.philgeps.gov.ph/GEPSNONPILOT/Tender/SplashBidNoticeAbstractUI.aspx?menuIndex=3&amp;refID=7152537&amp;Result=3","7152537")</f>
        <v>0</v>
      </c>
      <c r="B505" t="s">
        <v>300</v>
      </c>
      <c r="C505" t="s">
        <v>4252</v>
      </c>
      <c r="D505" t="s">
        <v>17952</v>
      </c>
      <c r="E505" t="s">
        <v>18539</v>
      </c>
      <c r="F505" t="s">
        <v>30900</v>
      </c>
      <c r="G505" t="s">
        <v>30909</v>
      </c>
      <c r="H505" t="s">
        <v>30916</v>
      </c>
      <c r="I505" t="s">
        <v>4142</v>
      </c>
      <c r="J505" t="s">
        <v>31458</v>
      </c>
      <c r="K505" t="s">
        <v>40285</v>
      </c>
      <c r="M505" t="s">
        <v>40849</v>
      </c>
      <c r="N505" t="s">
        <v>44759</v>
      </c>
      <c r="O505" t="s">
        <v>44760</v>
      </c>
      <c r="P505">
        <v>0</v>
      </c>
      <c r="Q505">
        <v>0</v>
      </c>
      <c r="R505" t="s">
        <v>44761</v>
      </c>
      <c r="S505" t="s">
        <v>44862</v>
      </c>
      <c r="T505" t="s">
        <v>46410</v>
      </c>
      <c r="U505" t="s">
        <v>47417</v>
      </c>
      <c r="W505" t="s">
        <v>40849</v>
      </c>
      <c r="X505" t="s">
        <v>44762</v>
      </c>
    </row>
    <row r="506" spans="1:24">
      <c r="A506">
        <f>HYPERLINK("https://www.philgeps.gov.ph/GEPSNONPILOT/Tender/SplashBidNoticeAbstractUI.aspx?menuIndex=3&amp;refID=7152559&amp;Result=3","7152559")</f>
        <v>0</v>
      </c>
      <c r="B506" t="s">
        <v>130</v>
      </c>
      <c r="C506" t="s">
        <v>4253</v>
      </c>
      <c r="D506" t="s">
        <v>17979</v>
      </c>
      <c r="E506" t="s">
        <v>18540</v>
      </c>
      <c r="F506" t="s">
        <v>30900</v>
      </c>
      <c r="G506" t="s">
        <v>30908</v>
      </c>
      <c r="H506" t="s">
        <v>30916</v>
      </c>
      <c r="I506" t="s">
        <v>10602</v>
      </c>
      <c r="J506" t="s">
        <v>31459</v>
      </c>
      <c r="K506" t="s">
        <v>40315</v>
      </c>
      <c r="M506" t="s">
        <v>40677</v>
      </c>
      <c r="N506" t="s">
        <v>44759</v>
      </c>
      <c r="O506" t="s">
        <v>44760</v>
      </c>
      <c r="P506">
        <v>0</v>
      </c>
      <c r="Q506">
        <v>0</v>
      </c>
      <c r="R506" t="s">
        <v>44761</v>
      </c>
      <c r="S506" t="s">
        <v>44862</v>
      </c>
      <c r="T506" t="s">
        <v>46376</v>
      </c>
      <c r="U506" t="s">
        <v>47418</v>
      </c>
      <c r="W506" t="s">
        <v>40677</v>
      </c>
      <c r="X506" t="s">
        <v>44762</v>
      </c>
    </row>
    <row r="507" spans="1:24">
      <c r="A507">
        <f>HYPERLINK("https://www.philgeps.gov.ph/GEPSNONPILOT/Tender/SplashBidNoticeAbstractUI.aspx?menuIndex=3&amp;refID=7152565&amp;Result=3","7152565")</f>
        <v>0</v>
      </c>
      <c r="B507" t="s">
        <v>301</v>
      </c>
      <c r="C507" t="s">
        <v>4254</v>
      </c>
      <c r="D507" t="s">
        <v>17965</v>
      </c>
      <c r="E507" t="s">
        <v>18541</v>
      </c>
      <c r="F507" t="s">
        <v>30900</v>
      </c>
      <c r="G507" t="s">
        <v>30908</v>
      </c>
      <c r="H507" t="s">
        <v>30916</v>
      </c>
      <c r="I507" t="s">
        <v>10847</v>
      </c>
      <c r="J507" t="s">
        <v>31460</v>
      </c>
      <c r="K507" t="s">
        <v>40319</v>
      </c>
      <c r="M507" t="s">
        <v>40850</v>
      </c>
      <c r="N507" t="s">
        <v>44759</v>
      </c>
      <c r="O507" t="s">
        <v>44760</v>
      </c>
      <c r="P507">
        <v>0</v>
      </c>
      <c r="Q507">
        <v>0</v>
      </c>
      <c r="R507" t="s">
        <v>44761</v>
      </c>
      <c r="S507" t="s">
        <v>44862</v>
      </c>
      <c r="T507" t="s">
        <v>46463</v>
      </c>
      <c r="U507" t="s">
        <v>47419</v>
      </c>
      <c r="W507" t="s">
        <v>40850</v>
      </c>
      <c r="X507" t="s">
        <v>44762</v>
      </c>
    </row>
    <row r="508" spans="1:24">
      <c r="A508">
        <f>HYPERLINK("https://www.philgeps.gov.ph/GEPSNONPILOT/Tender/SplashBidNoticeAbstractUI.aspx?menuIndex=3&amp;refID=7152558&amp;Result=3","7152558")</f>
        <v>0</v>
      </c>
      <c r="B508" t="s">
        <v>302</v>
      </c>
      <c r="C508" t="s">
        <v>4255</v>
      </c>
      <c r="D508" t="s">
        <v>17959</v>
      </c>
      <c r="E508" t="s">
        <v>18542</v>
      </c>
      <c r="F508" t="s">
        <v>30900</v>
      </c>
      <c r="G508" t="s">
        <v>30908</v>
      </c>
      <c r="H508" t="s">
        <v>30915</v>
      </c>
      <c r="I508" t="s">
        <v>30919</v>
      </c>
      <c r="J508" t="s">
        <v>31461</v>
      </c>
      <c r="K508" t="s">
        <v>40286</v>
      </c>
      <c r="M508" t="s">
        <v>40851</v>
      </c>
      <c r="N508" t="s">
        <v>44759</v>
      </c>
      <c r="O508" t="s">
        <v>44760</v>
      </c>
      <c r="P508">
        <v>0</v>
      </c>
      <c r="Q508">
        <v>0</v>
      </c>
      <c r="R508" t="s">
        <v>44761</v>
      </c>
      <c r="S508" t="s">
        <v>44862</v>
      </c>
      <c r="T508" t="s">
        <v>46421</v>
      </c>
      <c r="U508" t="s">
        <v>47420</v>
      </c>
      <c r="W508" t="s">
        <v>40851</v>
      </c>
      <c r="X508" t="s">
        <v>44762</v>
      </c>
    </row>
    <row r="509" spans="1:24">
      <c r="A509">
        <f>HYPERLINK("https://www.philgeps.gov.ph/GEPSNONPILOT/Tender/SplashBidNoticeAbstractUI.aspx?menuIndex=3&amp;refID=7152562&amp;Result=3","7152562")</f>
        <v>0</v>
      </c>
      <c r="B509" t="s">
        <v>303</v>
      </c>
      <c r="C509" t="s">
        <v>4256</v>
      </c>
      <c r="D509" t="s">
        <v>17951</v>
      </c>
      <c r="E509" t="s">
        <v>18543</v>
      </c>
      <c r="F509" t="s">
        <v>30900</v>
      </c>
      <c r="G509" t="s">
        <v>30907</v>
      </c>
      <c r="H509" t="s">
        <v>30916</v>
      </c>
      <c r="I509" t="s">
        <v>9385</v>
      </c>
      <c r="J509" t="s">
        <v>31462</v>
      </c>
      <c r="K509" t="s">
        <v>40286</v>
      </c>
      <c r="M509" t="s">
        <v>40852</v>
      </c>
      <c r="N509" t="s">
        <v>44759</v>
      </c>
      <c r="O509" t="s">
        <v>44760</v>
      </c>
      <c r="P509">
        <v>0</v>
      </c>
      <c r="Q509">
        <v>0</v>
      </c>
      <c r="R509" t="s">
        <v>44761</v>
      </c>
      <c r="S509" t="s">
        <v>44862</v>
      </c>
      <c r="T509" t="s">
        <v>46380</v>
      </c>
      <c r="U509" t="s">
        <v>47421</v>
      </c>
      <c r="W509" t="s">
        <v>40852</v>
      </c>
      <c r="X509" t="s">
        <v>44762</v>
      </c>
    </row>
    <row r="510" spans="1:24">
      <c r="A510">
        <f>HYPERLINK("https://www.philgeps.gov.ph/GEPSNONPILOT/Tender/SplashBidNoticeAbstractUI.aspx?menuIndex=3&amp;refID=7152573&amp;Result=3","7152573")</f>
        <v>0</v>
      </c>
      <c r="B510" t="s">
        <v>304</v>
      </c>
      <c r="C510" t="s">
        <v>4257</v>
      </c>
      <c r="D510" t="s">
        <v>18000</v>
      </c>
      <c r="E510" t="s">
        <v>18544</v>
      </c>
      <c r="F510" t="s">
        <v>30900</v>
      </c>
      <c r="G510" t="s">
        <v>30908</v>
      </c>
      <c r="H510" t="s">
        <v>30916</v>
      </c>
      <c r="I510" t="s">
        <v>8123</v>
      </c>
      <c r="J510" t="s">
        <v>31463</v>
      </c>
      <c r="K510" t="s">
        <v>40285</v>
      </c>
      <c r="M510" t="s">
        <v>40853</v>
      </c>
      <c r="N510" t="s">
        <v>44759</v>
      </c>
      <c r="O510" t="s">
        <v>44760</v>
      </c>
      <c r="P510">
        <v>0</v>
      </c>
      <c r="Q510">
        <v>0</v>
      </c>
      <c r="R510" t="s">
        <v>44761</v>
      </c>
      <c r="S510" t="s">
        <v>44862</v>
      </c>
      <c r="T510" t="s">
        <v>46399</v>
      </c>
      <c r="U510" t="s">
        <v>47422</v>
      </c>
      <c r="V510" t="s">
        <v>59166</v>
      </c>
      <c r="W510" t="s">
        <v>40853</v>
      </c>
      <c r="X510" t="s">
        <v>44762</v>
      </c>
    </row>
    <row r="511" spans="1:24">
      <c r="A511">
        <f>HYPERLINK("https://www.philgeps.gov.ph/GEPSNONPILOT/Tender/SplashBidNoticeAbstractUI.aspx?menuIndex=3&amp;refID=7152570&amp;Result=3","7152570")</f>
        <v>0</v>
      </c>
      <c r="B511" t="s">
        <v>79</v>
      </c>
      <c r="C511" t="s">
        <v>4258</v>
      </c>
      <c r="D511" t="s">
        <v>17988</v>
      </c>
      <c r="E511" t="s">
        <v>18545</v>
      </c>
      <c r="F511" t="s">
        <v>30900</v>
      </c>
      <c r="G511" t="s">
        <v>30907</v>
      </c>
      <c r="H511" t="s">
        <v>30916</v>
      </c>
      <c r="I511" t="s">
        <v>4142</v>
      </c>
      <c r="J511" t="s">
        <v>31464</v>
      </c>
      <c r="K511" t="s">
        <v>40287</v>
      </c>
      <c r="M511" t="s">
        <v>40626</v>
      </c>
      <c r="N511" t="s">
        <v>44759</v>
      </c>
      <c r="O511" t="s">
        <v>44760</v>
      </c>
      <c r="P511">
        <v>0</v>
      </c>
      <c r="Q511">
        <v>0</v>
      </c>
      <c r="R511" t="s">
        <v>44761</v>
      </c>
      <c r="S511" t="s">
        <v>44862</v>
      </c>
      <c r="T511" t="s">
        <v>46464</v>
      </c>
      <c r="U511" t="s">
        <v>47035</v>
      </c>
      <c r="V511" t="s">
        <v>59167</v>
      </c>
      <c r="W511" t="s">
        <v>40626</v>
      </c>
      <c r="X511" t="s">
        <v>44762</v>
      </c>
    </row>
    <row r="512" spans="1:24">
      <c r="A512">
        <f>HYPERLINK("https://www.philgeps.gov.ph/GEPSNONPILOT/Tender/SplashBidNoticeAbstractUI.aspx?menuIndex=3&amp;refID=7152561&amp;Result=3","7152561")</f>
        <v>0</v>
      </c>
      <c r="B512" t="s">
        <v>143</v>
      </c>
      <c r="C512" t="s">
        <v>4259</v>
      </c>
      <c r="D512" t="s">
        <v>17965</v>
      </c>
      <c r="E512" t="s">
        <v>18546</v>
      </c>
      <c r="F512" t="s">
        <v>30900</v>
      </c>
      <c r="G512" t="s">
        <v>30907</v>
      </c>
      <c r="H512" t="s">
        <v>30915</v>
      </c>
      <c r="I512" t="s">
        <v>30919</v>
      </c>
      <c r="J512" t="s">
        <v>31465</v>
      </c>
      <c r="K512" t="s">
        <v>40280</v>
      </c>
      <c r="M512" t="s">
        <v>40854</v>
      </c>
      <c r="N512" t="s">
        <v>44759</v>
      </c>
      <c r="O512" t="s">
        <v>44760</v>
      </c>
      <c r="P512">
        <v>0</v>
      </c>
      <c r="Q512">
        <v>0</v>
      </c>
      <c r="R512" t="s">
        <v>44761</v>
      </c>
      <c r="S512" t="s">
        <v>44862</v>
      </c>
      <c r="T512" t="s">
        <v>46378</v>
      </c>
      <c r="U512" t="s">
        <v>47423</v>
      </c>
      <c r="W512" t="s">
        <v>40854</v>
      </c>
      <c r="X512" t="s">
        <v>44762</v>
      </c>
    </row>
    <row r="513" spans="1:24">
      <c r="A513">
        <f>HYPERLINK("https://www.philgeps.gov.ph/GEPSNONPILOT/Tender/SplashBidNoticeAbstractUI.aspx?menuIndex=3&amp;refID=7152572&amp;Result=3","7152572")</f>
        <v>0</v>
      </c>
      <c r="B513" t="s">
        <v>305</v>
      </c>
      <c r="C513" t="s">
        <v>4260</v>
      </c>
      <c r="D513" t="s">
        <v>17972</v>
      </c>
      <c r="E513" t="s">
        <v>18547</v>
      </c>
      <c r="F513" t="s">
        <v>30900</v>
      </c>
      <c r="G513" t="s">
        <v>30908</v>
      </c>
      <c r="H513" t="s">
        <v>30916</v>
      </c>
      <c r="I513" t="s">
        <v>30926</v>
      </c>
      <c r="J513" t="s">
        <v>31384</v>
      </c>
      <c r="K513" t="s">
        <v>40286</v>
      </c>
      <c r="M513" t="s">
        <v>40855</v>
      </c>
      <c r="N513" t="s">
        <v>44759</v>
      </c>
      <c r="O513" t="s">
        <v>44760</v>
      </c>
      <c r="P513">
        <v>0</v>
      </c>
      <c r="Q513">
        <v>0</v>
      </c>
      <c r="R513" t="s">
        <v>44761</v>
      </c>
      <c r="S513" t="s">
        <v>44862</v>
      </c>
      <c r="T513" t="s">
        <v>46412</v>
      </c>
      <c r="U513" t="s">
        <v>47424</v>
      </c>
      <c r="W513" t="s">
        <v>40855</v>
      </c>
      <c r="X513" t="s">
        <v>44762</v>
      </c>
    </row>
    <row r="514" spans="1:24">
      <c r="A514">
        <f>HYPERLINK("https://www.philgeps.gov.ph/GEPSNONPILOT/Tender/SplashBidNoticeAbstractUI.aspx?menuIndex=3&amp;refID=7152571&amp;Result=3","7152571")</f>
        <v>0</v>
      </c>
      <c r="B514" t="s">
        <v>306</v>
      </c>
      <c r="C514" t="s">
        <v>4261</v>
      </c>
      <c r="D514" t="s">
        <v>17987</v>
      </c>
      <c r="E514" t="s">
        <v>18548</v>
      </c>
      <c r="F514" t="s">
        <v>30900</v>
      </c>
      <c r="G514" t="s">
        <v>30907</v>
      </c>
      <c r="H514" t="s">
        <v>30916</v>
      </c>
      <c r="I514" t="s">
        <v>8123</v>
      </c>
      <c r="J514" t="s">
        <v>31466</v>
      </c>
      <c r="K514" t="s">
        <v>40308</v>
      </c>
      <c r="M514" t="s">
        <v>40856</v>
      </c>
      <c r="N514" t="s">
        <v>44759</v>
      </c>
      <c r="O514" t="s">
        <v>44760</v>
      </c>
      <c r="P514">
        <v>0</v>
      </c>
      <c r="Q514">
        <v>0</v>
      </c>
      <c r="R514" t="s">
        <v>44761</v>
      </c>
      <c r="S514" t="s">
        <v>44862</v>
      </c>
      <c r="T514" t="s">
        <v>46465</v>
      </c>
      <c r="U514" t="s">
        <v>47425</v>
      </c>
      <c r="W514" t="s">
        <v>40856</v>
      </c>
      <c r="X514" t="s">
        <v>44762</v>
      </c>
    </row>
    <row r="515" spans="1:24">
      <c r="A515">
        <f>HYPERLINK("https://www.philgeps.gov.ph/GEPSNONPILOT/Tender/SplashBidNoticeAbstractUI.aspx?menuIndex=3&amp;refID=7152560&amp;Result=3","7152560")</f>
        <v>0</v>
      </c>
      <c r="B515" t="s">
        <v>307</v>
      </c>
      <c r="C515" t="s">
        <v>4262</v>
      </c>
      <c r="D515" t="s">
        <v>17990</v>
      </c>
      <c r="E515" t="s">
        <v>18549</v>
      </c>
      <c r="F515" t="s">
        <v>30900</v>
      </c>
      <c r="G515" t="s">
        <v>30908</v>
      </c>
      <c r="H515" t="s">
        <v>30916</v>
      </c>
      <c r="I515" t="s">
        <v>8123</v>
      </c>
      <c r="J515" t="s">
        <v>31467</v>
      </c>
      <c r="K515" t="s">
        <v>40286</v>
      </c>
      <c r="M515" t="s">
        <v>40857</v>
      </c>
      <c r="N515" t="s">
        <v>44759</v>
      </c>
      <c r="O515" t="s">
        <v>44760</v>
      </c>
      <c r="P515">
        <v>0</v>
      </c>
      <c r="Q515">
        <v>0</v>
      </c>
      <c r="R515" t="s">
        <v>44761</v>
      </c>
      <c r="S515" t="s">
        <v>44862</v>
      </c>
      <c r="T515" t="s">
        <v>46356</v>
      </c>
      <c r="U515" t="s">
        <v>47426</v>
      </c>
      <c r="W515" t="s">
        <v>40857</v>
      </c>
      <c r="X515" t="s">
        <v>44762</v>
      </c>
    </row>
    <row r="516" spans="1:24">
      <c r="A516">
        <f>HYPERLINK("https://www.philgeps.gov.ph/GEPSNONPILOT/Tender/SplashBidNoticeAbstractUI.aspx?menuIndex=3&amp;refID=7152557&amp;Result=3","7152557")</f>
        <v>0</v>
      </c>
      <c r="B516" t="s">
        <v>121</v>
      </c>
      <c r="C516" t="s">
        <v>4263</v>
      </c>
      <c r="D516" t="s">
        <v>17971</v>
      </c>
      <c r="E516" t="s">
        <v>18550</v>
      </c>
      <c r="F516" t="s">
        <v>30900</v>
      </c>
      <c r="G516" t="s">
        <v>30908</v>
      </c>
      <c r="H516" t="s">
        <v>30916</v>
      </c>
      <c r="I516" t="s">
        <v>30943</v>
      </c>
      <c r="J516" t="s">
        <v>31468</v>
      </c>
      <c r="K516" t="s">
        <v>40291</v>
      </c>
      <c r="M516" t="s">
        <v>40668</v>
      </c>
      <c r="N516" t="s">
        <v>44759</v>
      </c>
      <c r="O516" t="s">
        <v>44760</v>
      </c>
      <c r="P516">
        <v>0</v>
      </c>
      <c r="Q516">
        <v>0</v>
      </c>
      <c r="R516" t="s">
        <v>44761</v>
      </c>
      <c r="S516" t="s">
        <v>44862</v>
      </c>
      <c r="T516" t="s">
        <v>46357</v>
      </c>
      <c r="U516" t="s">
        <v>47427</v>
      </c>
      <c r="W516" t="s">
        <v>40668</v>
      </c>
      <c r="X516" t="s">
        <v>44762</v>
      </c>
    </row>
    <row r="517" spans="1:24">
      <c r="A517">
        <f>HYPERLINK("https://www.philgeps.gov.ph/GEPSNONPILOT/Tender/SplashBidNoticeAbstractUI.aspx?menuIndex=3&amp;refID=7152554&amp;Result=3","7152554")</f>
        <v>0</v>
      </c>
      <c r="B517" t="s">
        <v>308</v>
      </c>
      <c r="C517" t="s">
        <v>4264</v>
      </c>
      <c r="D517" t="s">
        <v>17955</v>
      </c>
      <c r="E517" t="s">
        <v>18551</v>
      </c>
      <c r="F517" t="s">
        <v>30900</v>
      </c>
      <c r="G517" t="s">
        <v>30909</v>
      </c>
      <c r="H517" t="s">
        <v>30916</v>
      </c>
      <c r="I517" t="s">
        <v>6953</v>
      </c>
      <c r="J517" t="s">
        <v>31469</v>
      </c>
      <c r="K517" t="s">
        <v>40289</v>
      </c>
      <c r="M517" t="s">
        <v>40858</v>
      </c>
      <c r="N517" t="s">
        <v>44759</v>
      </c>
      <c r="O517" t="s">
        <v>44760</v>
      </c>
      <c r="P517">
        <v>0</v>
      </c>
      <c r="Q517">
        <v>0</v>
      </c>
      <c r="R517" t="s">
        <v>44761</v>
      </c>
      <c r="S517" t="s">
        <v>44862</v>
      </c>
      <c r="T517" t="s">
        <v>46466</v>
      </c>
      <c r="U517" t="s">
        <v>47428</v>
      </c>
      <c r="W517" t="s">
        <v>40858</v>
      </c>
      <c r="X517" t="s">
        <v>44762</v>
      </c>
    </row>
    <row r="518" spans="1:24">
      <c r="A518">
        <f>HYPERLINK("https://www.philgeps.gov.ph/GEPSNONPILOT/Tender/SplashBidNoticeAbstractUI.aspx?menuIndex=3&amp;refID=7152551&amp;Result=3","7152551")</f>
        <v>0</v>
      </c>
      <c r="B518" t="s">
        <v>260</v>
      </c>
      <c r="C518" t="s">
        <v>4265</v>
      </c>
      <c r="D518" t="s">
        <v>17973</v>
      </c>
      <c r="E518" t="s">
        <v>18552</v>
      </c>
      <c r="F518" t="s">
        <v>30900</v>
      </c>
      <c r="G518" t="s">
        <v>30908</v>
      </c>
      <c r="H518" t="s">
        <v>30916</v>
      </c>
      <c r="I518" t="s">
        <v>6408</v>
      </c>
      <c r="J518" t="s">
        <v>31470</v>
      </c>
      <c r="K518" t="s">
        <v>40283</v>
      </c>
      <c r="M518" t="s">
        <v>40807</v>
      </c>
      <c r="N518" t="s">
        <v>44759</v>
      </c>
      <c r="O518" t="s">
        <v>44760</v>
      </c>
      <c r="P518">
        <v>0</v>
      </c>
      <c r="Q518">
        <v>0</v>
      </c>
      <c r="R518" t="s">
        <v>44761</v>
      </c>
      <c r="S518" t="s">
        <v>44862</v>
      </c>
      <c r="T518" t="s">
        <v>46467</v>
      </c>
      <c r="U518" t="s">
        <v>47429</v>
      </c>
      <c r="V518" t="s">
        <v>59156</v>
      </c>
      <c r="W518" t="s">
        <v>40807</v>
      </c>
      <c r="X518" t="s">
        <v>44762</v>
      </c>
    </row>
    <row r="519" spans="1:24">
      <c r="A519">
        <f>HYPERLINK("https://www.philgeps.gov.ph/GEPSNONPILOT/Tender/SplashBidNoticeAbstractUI.aspx?menuIndex=3&amp;refID=7152556&amp;Result=3","7152556")</f>
        <v>0</v>
      </c>
      <c r="B519" t="s">
        <v>106</v>
      </c>
      <c r="C519" t="s">
        <v>4266</v>
      </c>
      <c r="D519" t="s">
        <v>17961</v>
      </c>
      <c r="E519" t="s">
        <v>18553</v>
      </c>
      <c r="F519" t="s">
        <v>30900</v>
      </c>
      <c r="G519" t="s">
        <v>30908</v>
      </c>
      <c r="H519" t="s">
        <v>30916</v>
      </c>
      <c r="I519" t="s">
        <v>6396</v>
      </c>
      <c r="J519" t="s">
        <v>31471</v>
      </c>
      <c r="K519" t="s">
        <v>40289</v>
      </c>
      <c r="M519" t="s">
        <v>40653</v>
      </c>
      <c r="N519" t="s">
        <v>44759</v>
      </c>
      <c r="O519" t="s">
        <v>44760</v>
      </c>
      <c r="P519">
        <v>0</v>
      </c>
      <c r="Q519">
        <v>0</v>
      </c>
      <c r="R519" t="s">
        <v>44761</v>
      </c>
      <c r="S519" t="s">
        <v>44862</v>
      </c>
      <c r="T519" t="s">
        <v>46376</v>
      </c>
      <c r="U519" t="s">
        <v>47430</v>
      </c>
      <c r="V519" t="s">
        <v>59168</v>
      </c>
      <c r="W519" t="s">
        <v>40653</v>
      </c>
      <c r="X519" t="s">
        <v>44762</v>
      </c>
    </row>
    <row r="520" spans="1:24">
      <c r="A520">
        <f>HYPERLINK("https://www.philgeps.gov.ph/GEPSNONPILOT/Tender/SplashBidNoticeAbstractUI.aspx?menuIndex=3&amp;refID=7152574&amp;Result=3","7152574")</f>
        <v>0</v>
      </c>
      <c r="B520" t="s">
        <v>309</v>
      </c>
      <c r="C520" t="s">
        <v>4267</v>
      </c>
      <c r="D520" t="s">
        <v>17995</v>
      </c>
      <c r="E520" t="s">
        <v>18554</v>
      </c>
      <c r="F520" t="s">
        <v>30900</v>
      </c>
      <c r="G520" t="s">
        <v>30908</v>
      </c>
      <c r="H520" t="s">
        <v>30916</v>
      </c>
      <c r="I520" t="s">
        <v>4545</v>
      </c>
      <c r="J520" t="s">
        <v>31204</v>
      </c>
      <c r="K520" t="s">
        <v>40283</v>
      </c>
      <c r="M520" t="s">
        <v>40859</v>
      </c>
      <c r="N520" t="s">
        <v>44759</v>
      </c>
      <c r="O520" t="s">
        <v>44760</v>
      </c>
      <c r="P520">
        <v>0</v>
      </c>
      <c r="Q520">
        <v>0</v>
      </c>
      <c r="R520" t="s">
        <v>44761</v>
      </c>
      <c r="S520" t="s">
        <v>44862</v>
      </c>
      <c r="T520" t="s">
        <v>46425</v>
      </c>
      <c r="U520" t="s">
        <v>47431</v>
      </c>
      <c r="W520" t="s">
        <v>40859</v>
      </c>
      <c r="X520" t="s">
        <v>44762</v>
      </c>
    </row>
    <row r="521" spans="1:24">
      <c r="A521">
        <f>HYPERLINK("https://www.philgeps.gov.ph/GEPSNONPILOT/Tender/SplashBidNoticeAbstractUI.aspx?menuIndex=3&amp;refID=7152577&amp;Result=3","7152577")</f>
        <v>0</v>
      </c>
      <c r="B521" t="s">
        <v>299</v>
      </c>
      <c r="C521" t="s">
        <v>4268</v>
      </c>
      <c r="E521" t="s">
        <v>18555</v>
      </c>
      <c r="F521" t="s">
        <v>30900</v>
      </c>
      <c r="G521" t="s">
        <v>30909</v>
      </c>
      <c r="H521" t="s">
        <v>30916</v>
      </c>
      <c r="I521" t="s">
        <v>10602</v>
      </c>
      <c r="J521" t="s">
        <v>31472</v>
      </c>
      <c r="K521" t="s">
        <v>40289</v>
      </c>
      <c r="M521" t="s">
        <v>40848</v>
      </c>
      <c r="N521" t="s">
        <v>44759</v>
      </c>
      <c r="O521" t="s">
        <v>44760</v>
      </c>
      <c r="P521">
        <v>0</v>
      </c>
      <c r="Q521">
        <v>0</v>
      </c>
      <c r="R521" t="s">
        <v>44761</v>
      </c>
      <c r="S521" t="s">
        <v>44862</v>
      </c>
      <c r="T521" t="s">
        <v>46414</v>
      </c>
      <c r="U521" t="s">
        <v>47432</v>
      </c>
      <c r="W521" t="s">
        <v>40848</v>
      </c>
      <c r="X521" t="s">
        <v>44762</v>
      </c>
    </row>
    <row r="522" spans="1:24">
      <c r="A522">
        <f>HYPERLINK("https://www.philgeps.gov.ph/GEPSNONPILOT/Tender/SplashBidNoticeAbstractUI.aspx?menuIndex=3&amp;refID=7152595&amp;Result=3","7152595")</f>
        <v>0</v>
      </c>
      <c r="B522" t="s">
        <v>284</v>
      </c>
      <c r="C522" t="s">
        <v>4269</v>
      </c>
      <c r="D522" t="s">
        <v>18009</v>
      </c>
      <c r="E522" t="s">
        <v>18556</v>
      </c>
      <c r="F522" t="s">
        <v>30900</v>
      </c>
      <c r="G522" t="s">
        <v>30908</v>
      </c>
      <c r="H522" t="s">
        <v>30916</v>
      </c>
      <c r="I522" t="s">
        <v>4545</v>
      </c>
      <c r="J522" t="s">
        <v>31473</v>
      </c>
      <c r="K522" t="s">
        <v>40287</v>
      </c>
      <c r="M522" t="s">
        <v>40832</v>
      </c>
      <c r="N522" t="s">
        <v>44759</v>
      </c>
      <c r="O522" t="s">
        <v>44760</v>
      </c>
      <c r="P522">
        <v>0</v>
      </c>
      <c r="Q522">
        <v>0</v>
      </c>
      <c r="R522" t="s">
        <v>44761</v>
      </c>
      <c r="S522" t="s">
        <v>44862</v>
      </c>
      <c r="T522" t="s">
        <v>46389</v>
      </c>
      <c r="U522" t="s">
        <v>47433</v>
      </c>
      <c r="W522" t="s">
        <v>40832</v>
      </c>
      <c r="X522" t="s">
        <v>44762</v>
      </c>
    </row>
    <row r="523" spans="1:24">
      <c r="A523">
        <f>HYPERLINK("https://www.philgeps.gov.ph/GEPSNONPILOT/Tender/SplashBidNoticeAbstractUI.aspx?menuIndex=3&amp;refID=7152590&amp;Result=3","7152590")</f>
        <v>0</v>
      </c>
      <c r="B523" t="s">
        <v>268</v>
      </c>
      <c r="C523" t="s">
        <v>4270</v>
      </c>
      <c r="D523" t="s">
        <v>18021</v>
      </c>
      <c r="E523" t="s">
        <v>18557</v>
      </c>
      <c r="F523" t="s">
        <v>30900</v>
      </c>
      <c r="G523" t="s">
        <v>30908</v>
      </c>
      <c r="H523" t="s">
        <v>30916</v>
      </c>
      <c r="I523" t="s">
        <v>30922</v>
      </c>
      <c r="J523" t="s">
        <v>31474</v>
      </c>
      <c r="K523" t="s">
        <v>40314</v>
      </c>
      <c r="M523" t="s">
        <v>40815</v>
      </c>
      <c r="N523" t="s">
        <v>44759</v>
      </c>
      <c r="O523" t="s">
        <v>44760</v>
      </c>
      <c r="P523">
        <v>0</v>
      </c>
      <c r="Q523">
        <v>0</v>
      </c>
      <c r="R523" t="s">
        <v>44761</v>
      </c>
      <c r="S523" t="s">
        <v>44862</v>
      </c>
      <c r="T523" t="s">
        <v>46382</v>
      </c>
      <c r="U523" t="s">
        <v>47434</v>
      </c>
      <c r="W523" t="s">
        <v>40815</v>
      </c>
      <c r="X523" t="s">
        <v>44762</v>
      </c>
    </row>
    <row r="524" spans="1:24">
      <c r="A524">
        <f>HYPERLINK("https://www.philgeps.gov.ph/GEPSNONPILOT/Tender/SplashBidNoticeAbstractUI.aspx?menuIndex=3&amp;refID=7152589&amp;Result=3","7152589")</f>
        <v>0</v>
      </c>
      <c r="B524" t="s">
        <v>310</v>
      </c>
      <c r="C524" t="s">
        <v>4271</v>
      </c>
      <c r="D524" t="s">
        <v>17951</v>
      </c>
      <c r="E524" t="s">
        <v>18558</v>
      </c>
      <c r="F524" t="s">
        <v>30900</v>
      </c>
      <c r="G524" t="s">
        <v>30908</v>
      </c>
      <c r="H524" t="s">
        <v>30916</v>
      </c>
      <c r="I524" t="s">
        <v>8044</v>
      </c>
      <c r="J524" t="s">
        <v>31475</v>
      </c>
      <c r="K524" t="s">
        <v>40291</v>
      </c>
      <c r="M524" t="s">
        <v>40860</v>
      </c>
      <c r="N524" t="s">
        <v>44759</v>
      </c>
      <c r="O524" t="s">
        <v>44760</v>
      </c>
      <c r="P524">
        <v>0</v>
      </c>
      <c r="Q524">
        <v>0</v>
      </c>
      <c r="R524" t="s">
        <v>44761</v>
      </c>
      <c r="S524" t="s">
        <v>44862</v>
      </c>
      <c r="T524" t="s">
        <v>46421</v>
      </c>
      <c r="U524" t="s">
        <v>47435</v>
      </c>
      <c r="W524" t="s">
        <v>40860</v>
      </c>
      <c r="X524" t="s">
        <v>44762</v>
      </c>
    </row>
    <row r="525" spans="1:24">
      <c r="A525">
        <f>HYPERLINK("https://www.philgeps.gov.ph/GEPSNONPILOT/Tender/SplashBidNoticeAbstractUI.aspx?menuIndex=3&amp;refID=7152587&amp;Result=3","7152587")</f>
        <v>0</v>
      </c>
      <c r="B525" t="s">
        <v>278</v>
      </c>
      <c r="C525" t="s">
        <v>4272</v>
      </c>
      <c r="D525" t="s">
        <v>17995</v>
      </c>
      <c r="E525" t="s">
        <v>18559</v>
      </c>
      <c r="F525" t="s">
        <v>30900</v>
      </c>
      <c r="G525" t="s">
        <v>30909</v>
      </c>
      <c r="H525" t="s">
        <v>30916</v>
      </c>
      <c r="I525" t="s">
        <v>8123</v>
      </c>
      <c r="J525" t="s">
        <v>31476</v>
      </c>
      <c r="K525" t="s">
        <v>40289</v>
      </c>
      <c r="M525" t="s">
        <v>40825</v>
      </c>
      <c r="N525" t="s">
        <v>44759</v>
      </c>
      <c r="O525" t="s">
        <v>44760</v>
      </c>
      <c r="P525">
        <v>0</v>
      </c>
      <c r="Q525">
        <v>0</v>
      </c>
      <c r="R525" t="s">
        <v>44761</v>
      </c>
      <c r="S525" t="s">
        <v>44862</v>
      </c>
      <c r="T525" t="s">
        <v>46353</v>
      </c>
      <c r="U525" t="s">
        <v>47436</v>
      </c>
      <c r="W525" t="s">
        <v>40825</v>
      </c>
      <c r="X525" t="s">
        <v>44762</v>
      </c>
    </row>
    <row r="526" spans="1:24">
      <c r="A526">
        <f>HYPERLINK("https://www.philgeps.gov.ph/GEPSNONPILOT/Tender/SplashBidNoticeAbstractUI.aspx?menuIndex=3&amp;refID=7152586&amp;Result=3","7152586")</f>
        <v>0</v>
      </c>
      <c r="B526" t="s">
        <v>245</v>
      </c>
      <c r="C526" t="s">
        <v>4273</v>
      </c>
      <c r="D526" t="s">
        <v>17951</v>
      </c>
      <c r="E526" t="s">
        <v>18560</v>
      </c>
      <c r="F526" t="s">
        <v>30900</v>
      </c>
      <c r="G526" t="s">
        <v>30909</v>
      </c>
      <c r="H526" t="s">
        <v>30917</v>
      </c>
      <c r="I526" t="s">
        <v>30964</v>
      </c>
      <c r="J526" t="s">
        <v>31477</v>
      </c>
      <c r="K526" t="s">
        <v>40286</v>
      </c>
      <c r="M526" t="s">
        <v>40792</v>
      </c>
      <c r="N526" t="s">
        <v>44759</v>
      </c>
      <c r="O526" t="s">
        <v>44760</v>
      </c>
      <c r="P526">
        <v>0</v>
      </c>
      <c r="Q526">
        <v>0</v>
      </c>
      <c r="R526" t="s">
        <v>44761</v>
      </c>
      <c r="S526" t="s">
        <v>44862</v>
      </c>
      <c r="T526" t="s">
        <v>46410</v>
      </c>
      <c r="U526" t="s">
        <v>47437</v>
      </c>
      <c r="W526" t="s">
        <v>40792</v>
      </c>
      <c r="X526" t="s">
        <v>44762</v>
      </c>
    </row>
    <row r="527" spans="1:24">
      <c r="A527">
        <f>HYPERLINK("https://www.philgeps.gov.ph/GEPSNONPILOT/Tender/SplashBidNoticeAbstractUI.aspx?menuIndex=3&amp;refID=7152585&amp;Result=3","7152585")</f>
        <v>0</v>
      </c>
      <c r="B527" t="s">
        <v>311</v>
      </c>
      <c r="C527" t="s">
        <v>4274</v>
      </c>
      <c r="E527" t="s">
        <v>18561</v>
      </c>
      <c r="F527" t="s">
        <v>30900</v>
      </c>
      <c r="G527" t="s">
        <v>30908</v>
      </c>
      <c r="H527" t="s">
        <v>30916</v>
      </c>
      <c r="I527" t="s">
        <v>10602</v>
      </c>
      <c r="J527" t="s">
        <v>31070</v>
      </c>
      <c r="K527" t="s">
        <v>40289</v>
      </c>
      <c r="M527" t="s">
        <v>40861</v>
      </c>
      <c r="N527" t="s">
        <v>44759</v>
      </c>
      <c r="O527" t="s">
        <v>44760</v>
      </c>
      <c r="P527">
        <v>0</v>
      </c>
      <c r="Q527">
        <v>0</v>
      </c>
      <c r="R527" t="s">
        <v>44761</v>
      </c>
      <c r="S527" t="s">
        <v>44862</v>
      </c>
      <c r="T527" t="s">
        <v>46399</v>
      </c>
      <c r="U527" t="s">
        <v>47438</v>
      </c>
      <c r="W527" t="s">
        <v>40861</v>
      </c>
      <c r="X527" t="s">
        <v>44762</v>
      </c>
    </row>
    <row r="528" spans="1:24">
      <c r="A528">
        <f>HYPERLINK("https://www.philgeps.gov.ph/GEPSNONPILOT/Tender/SplashBidNoticeAbstractUI.aspx?menuIndex=3&amp;refID=7152583&amp;Result=3","7152583")</f>
        <v>0</v>
      </c>
      <c r="B528" t="s">
        <v>244</v>
      </c>
      <c r="C528" t="s">
        <v>4275</v>
      </c>
      <c r="D528" t="s">
        <v>17958</v>
      </c>
      <c r="E528" t="s">
        <v>18562</v>
      </c>
      <c r="F528" t="s">
        <v>30900</v>
      </c>
      <c r="G528" t="s">
        <v>30908</v>
      </c>
      <c r="H528" t="s">
        <v>30916</v>
      </c>
      <c r="I528" t="s">
        <v>8123</v>
      </c>
      <c r="J528" t="s">
        <v>31478</v>
      </c>
      <c r="K528" t="s">
        <v>40284</v>
      </c>
      <c r="M528" t="s">
        <v>40791</v>
      </c>
      <c r="N528" t="s">
        <v>44759</v>
      </c>
      <c r="O528" t="s">
        <v>44760</v>
      </c>
      <c r="P528">
        <v>0</v>
      </c>
      <c r="Q528">
        <v>0</v>
      </c>
      <c r="R528" t="s">
        <v>44761</v>
      </c>
      <c r="S528" t="s">
        <v>44862</v>
      </c>
      <c r="T528" t="s">
        <v>46429</v>
      </c>
      <c r="U528" t="s">
        <v>47439</v>
      </c>
      <c r="W528" t="s">
        <v>40791</v>
      </c>
      <c r="X528" t="s">
        <v>44762</v>
      </c>
    </row>
    <row r="529" spans="1:24">
      <c r="A529">
        <f>HYPERLINK("https://www.philgeps.gov.ph/GEPSNONPILOT/Tender/SplashBidNoticeAbstractUI.aspx?menuIndex=3&amp;refID=7152581&amp;Result=3","7152581")</f>
        <v>0</v>
      </c>
      <c r="B529" t="s">
        <v>312</v>
      </c>
      <c r="C529" t="s">
        <v>4276</v>
      </c>
      <c r="D529" t="s">
        <v>17968</v>
      </c>
      <c r="E529" t="s">
        <v>18563</v>
      </c>
      <c r="F529" t="s">
        <v>30900</v>
      </c>
      <c r="G529" t="s">
        <v>30907</v>
      </c>
      <c r="H529" t="s">
        <v>30916</v>
      </c>
      <c r="I529" t="s">
        <v>30927</v>
      </c>
      <c r="J529" t="s">
        <v>31479</v>
      </c>
      <c r="K529" t="s">
        <v>40289</v>
      </c>
      <c r="M529" t="s">
        <v>40862</v>
      </c>
      <c r="N529" t="s">
        <v>44759</v>
      </c>
      <c r="O529" t="s">
        <v>44760</v>
      </c>
      <c r="P529">
        <v>0</v>
      </c>
      <c r="Q529">
        <v>0</v>
      </c>
      <c r="R529" t="s">
        <v>44761</v>
      </c>
      <c r="S529" t="s">
        <v>44862</v>
      </c>
      <c r="T529" t="s">
        <v>46350</v>
      </c>
      <c r="U529" t="s">
        <v>47440</v>
      </c>
      <c r="W529" t="s">
        <v>40862</v>
      </c>
      <c r="X529" t="s">
        <v>44762</v>
      </c>
    </row>
    <row r="530" spans="1:24">
      <c r="A530">
        <f>HYPERLINK("https://www.philgeps.gov.ph/GEPSNONPILOT/Tender/SplashBidNoticeAbstractUI.aspx?menuIndex=3&amp;refID=7152580&amp;Result=3","7152580")</f>
        <v>0</v>
      </c>
      <c r="B530" t="s">
        <v>313</v>
      </c>
      <c r="C530" t="s">
        <v>4277</v>
      </c>
      <c r="D530" t="s">
        <v>18024</v>
      </c>
      <c r="E530" t="s">
        <v>18564</v>
      </c>
      <c r="F530" t="s">
        <v>30900</v>
      </c>
      <c r="G530" t="s">
        <v>30907</v>
      </c>
      <c r="H530" t="s">
        <v>30916</v>
      </c>
      <c r="I530" t="s">
        <v>30949</v>
      </c>
      <c r="J530" t="s">
        <v>31480</v>
      </c>
      <c r="K530" t="s">
        <v>40286</v>
      </c>
      <c r="M530" t="s">
        <v>40863</v>
      </c>
      <c r="N530" t="s">
        <v>44759</v>
      </c>
      <c r="O530" t="s">
        <v>44760</v>
      </c>
      <c r="P530">
        <v>0</v>
      </c>
      <c r="Q530">
        <v>0</v>
      </c>
      <c r="R530" t="s">
        <v>44761</v>
      </c>
      <c r="S530" t="s">
        <v>44862</v>
      </c>
      <c r="T530" t="s">
        <v>46350</v>
      </c>
      <c r="U530" t="s">
        <v>47441</v>
      </c>
      <c r="W530" t="s">
        <v>40863</v>
      </c>
      <c r="X530" t="s">
        <v>44762</v>
      </c>
    </row>
    <row r="531" spans="1:24">
      <c r="A531">
        <f>HYPERLINK("https://www.philgeps.gov.ph/GEPSNONPILOT/Tender/SplashBidNoticeAbstractUI.aspx?menuIndex=3&amp;refID=7152602&amp;Result=3","7152602")</f>
        <v>0</v>
      </c>
      <c r="B531" t="s">
        <v>314</v>
      </c>
      <c r="C531" t="s">
        <v>4278</v>
      </c>
      <c r="D531" t="s">
        <v>17973</v>
      </c>
      <c r="E531" t="s">
        <v>18565</v>
      </c>
      <c r="F531" t="s">
        <v>30900</v>
      </c>
      <c r="G531" t="s">
        <v>30907</v>
      </c>
      <c r="H531" t="s">
        <v>30916</v>
      </c>
      <c r="I531" t="s">
        <v>30922</v>
      </c>
      <c r="J531" t="s">
        <v>31481</v>
      </c>
      <c r="K531" t="s">
        <v>40288</v>
      </c>
      <c r="M531" t="s">
        <v>40864</v>
      </c>
      <c r="N531" t="s">
        <v>44759</v>
      </c>
      <c r="O531" t="s">
        <v>44760</v>
      </c>
      <c r="P531">
        <v>0</v>
      </c>
      <c r="Q531">
        <v>0</v>
      </c>
      <c r="R531" t="s">
        <v>44761</v>
      </c>
      <c r="S531" t="s">
        <v>44862</v>
      </c>
      <c r="T531" t="s">
        <v>46418</v>
      </c>
      <c r="U531" t="s">
        <v>47442</v>
      </c>
      <c r="W531" t="s">
        <v>40864</v>
      </c>
      <c r="X531" t="s">
        <v>44762</v>
      </c>
    </row>
    <row r="532" spans="1:24">
      <c r="A532">
        <f>HYPERLINK("https://www.philgeps.gov.ph/GEPSNONPILOT/Tender/SplashBidNoticeAbstractUI.aspx?menuIndex=3&amp;refID=7152576&amp;Result=3","7152576")</f>
        <v>0</v>
      </c>
      <c r="B532" t="s">
        <v>179</v>
      </c>
      <c r="C532" t="s">
        <v>4279</v>
      </c>
      <c r="D532" t="s">
        <v>17953</v>
      </c>
      <c r="E532" t="s">
        <v>18566</v>
      </c>
      <c r="F532" t="s">
        <v>30900</v>
      </c>
      <c r="G532" t="s">
        <v>30909</v>
      </c>
      <c r="H532" t="s">
        <v>30916</v>
      </c>
      <c r="I532" t="s">
        <v>30965</v>
      </c>
      <c r="J532" t="s">
        <v>31482</v>
      </c>
      <c r="K532" t="s">
        <v>40287</v>
      </c>
      <c r="M532" t="s">
        <v>40726</v>
      </c>
      <c r="N532" t="s">
        <v>44759</v>
      </c>
      <c r="O532" t="s">
        <v>44760</v>
      </c>
      <c r="P532">
        <v>0</v>
      </c>
      <c r="Q532">
        <v>0</v>
      </c>
      <c r="R532" t="s">
        <v>44761</v>
      </c>
      <c r="S532" t="s">
        <v>44862</v>
      </c>
      <c r="T532" t="s">
        <v>46414</v>
      </c>
      <c r="U532" t="s">
        <v>47443</v>
      </c>
      <c r="W532" t="s">
        <v>40726</v>
      </c>
      <c r="X532" t="s">
        <v>44762</v>
      </c>
    </row>
    <row r="533" spans="1:24">
      <c r="A533">
        <f>HYPERLINK("https://www.philgeps.gov.ph/GEPSNONPILOT/Tender/SplashBidNoticeAbstractUI.aspx?menuIndex=3&amp;refID=7152600&amp;Result=3","7152600")</f>
        <v>0</v>
      </c>
      <c r="B533" t="s">
        <v>65</v>
      </c>
      <c r="C533" t="s">
        <v>4280</v>
      </c>
      <c r="D533" t="s">
        <v>17971</v>
      </c>
      <c r="E533" t="s">
        <v>18567</v>
      </c>
      <c r="F533" t="s">
        <v>30900</v>
      </c>
      <c r="G533" t="s">
        <v>30908</v>
      </c>
      <c r="H533" t="s">
        <v>30916</v>
      </c>
      <c r="I533" t="s">
        <v>30966</v>
      </c>
      <c r="J533" t="s">
        <v>31483</v>
      </c>
      <c r="K533" t="s">
        <v>40289</v>
      </c>
      <c r="M533" t="s">
        <v>40865</v>
      </c>
      <c r="N533" t="s">
        <v>44759</v>
      </c>
      <c r="O533" t="s">
        <v>44760</v>
      </c>
      <c r="P533">
        <v>0</v>
      </c>
      <c r="Q533">
        <v>0</v>
      </c>
      <c r="R533" t="s">
        <v>44761</v>
      </c>
      <c r="S533" t="s">
        <v>44862</v>
      </c>
      <c r="T533" t="s">
        <v>46390</v>
      </c>
      <c r="U533" t="s">
        <v>47444</v>
      </c>
      <c r="W533" t="s">
        <v>60823</v>
      </c>
      <c r="X533" t="s">
        <v>44762</v>
      </c>
    </row>
    <row r="534" spans="1:24">
      <c r="A534">
        <f>HYPERLINK("https://www.philgeps.gov.ph/GEPSNONPILOT/Tender/SplashBidNoticeAbstractUI.aspx?menuIndex=3&amp;refID=7152591&amp;Result=3","7152591")</f>
        <v>0</v>
      </c>
      <c r="B534" t="s">
        <v>315</v>
      </c>
      <c r="C534" t="s">
        <v>4281</v>
      </c>
      <c r="D534" t="s">
        <v>17977</v>
      </c>
      <c r="E534" t="s">
        <v>18568</v>
      </c>
      <c r="F534" t="s">
        <v>30900</v>
      </c>
      <c r="G534" t="s">
        <v>30908</v>
      </c>
      <c r="H534" t="s">
        <v>30916</v>
      </c>
      <c r="I534" t="s">
        <v>5830</v>
      </c>
      <c r="J534" t="s">
        <v>31484</v>
      </c>
      <c r="K534" t="s">
        <v>40289</v>
      </c>
      <c r="M534" t="s">
        <v>40866</v>
      </c>
      <c r="N534" t="s">
        <v>44759</v>
      </c>
      <c r="O534" t="s">
        <v>44760</v>
      </c>
      <c r="P534">
        <v>0</v>
      </c>
      <c r="Q534">
        <v>0</v>
      </c>
      <c r="R534" t="s">
        <v>44761</v>
      </c>
      <c r="S534" t="s">
        <v>44862</v>
      </c>
      <c r="T534" t="s">
        <v>46357</v>
      </c>
      <c r="U534" t="s">
        <v>47445</v>
      </c>
      <c r="W534" t="s">
        <v>40866</v>
      </c>
      <c r="X534" t="s">
        <v>44762</v>
      </c>
    </row>
    <row r="535" spans="1:24">
      <c r="A535">
        <f>HYPERLINK("https://www.philgeps.gov.ph/GEPSNONPILOT/Tender/SplashBidNoticeAbstractUI.aspx?menuIndex=3&amp;refID=7152599&amp;Result=3","7152599")</f>
        <v>0</v>
      </c>
      <c r="B535" t="s">
        <v>124</v>
      </c>
      <c r="C535" t="s">
        <v>4282</v>
      </c>
      <c r="D535" t="s">
        <v>17982</v>
      </c>
      <c r="E535" t="s">
        <v>18569</v>
      </c>
      <c r="F535" t="s">
        <v>30900</v>
      </c>
      <c r="G535" t="s">
        <v>30907</v>
      </c>
      <c r="H535" t="s">
        <v>30916</v>
      </c>
      <c r="I535" t="s">
        <v>8123</v>
      </c>
      <c r="J535" t="s">
        <v>31485</v>
      </c>
      <c r="K535" t="s">
        <v>40283</v>
      </c>
      <c r="M535" t="s">
        <v>40671</v>
      </c>
      <c r="N535" t="s">
        <v>44759</v>
      </c>
      <c r="O535" t="s">
        <v>44760</v>
      </c>
      <c r="P535">
        <v>0</v>
      </c>
      <c r="Q535">
        <v>0</v>
      </c>
      <c r="R535" t="s">
        <v>44761</v>
      </c>
      <c r="S535" t="s">
        <v>44862</v>
      </c>
      <c r="T535" t="s">
        <v>46380</v>
      </c>
      <c r="U535" t="s">
        <v>47446</v>
      </c>
      <c r="W535" t="s">
        <v>40671</v>
      </c>
      <c r="X535" t="s">
        <v>44762</v>
      </c>
    </row>
    <row r="536" spans="1:24">
      <c r="A536">
        <f>HYPERLINK("https://www.philgeps.gov.ph/GEPSNONPILOT/Tender/SplashBidNoticeAbstractUI.aspx?menuIndex=3&amp;refID=7152598&amp;Result=3","7152598")</f>
        <v>0</v>
      </c>
      <c r="B536" t="s">
        <v>316</v>
      </c>
      <c r="C536" t="s">
        <v>4283</v>
      </c>
      <c r="D536" t="s">
        <v>17977</v>
      </c>
      <c r="E536" t="s">
        <v>18570</v>
      </c>
      <c r="F536" t="s">
        <v>30900</v>
      </c>
      <c r="G536" t="s">
        <v>30909</v>
      </c>
      <c r="H536" t="s">
        <v>30916</v>
      </c>
      <c r="I536" t="s">
        <v>6396</v>
      </c>
      <c r="J536" t="s">
        <v>31486</v>
      </c>
      <c r="K536" t="s">
        <v>40284</v>
      </c>
      <c r="M536" t="s">
        <v>40867</v>
      </c>
      <c r="N536" t="s">
        <v>44759</v>
      </c>
      <c r="O536" t="s">
        <v>44760</v>
      </c>
      <c r="P536">
        <v>0</v>
      </c>
      <c r="Q536">
        <v>0</v>
      </c>
      <c r="R536" t="s">
        <v>44761</v>
      </c>
      <c r="S536" t="s">
        <v>44862</v>
      </c>
      <c r="T536" t="s">
        <v>46468</v>
      </c>
      <c r="U536" t="s">
        <v>47447</v>
      </c>
      <c r="V536" t="s">
        <v>59169</v>
      </c>
      <c r="W536" t="s">
        <v>40867</v>
      </c>
      <c r="X536" t="s">
        <v>44762</v>
      </c>
    </row>
    <row r="537" spans="1:24">
      <c r="A537">
        <f>HYPERLINK("https://www.philgeps.gov.ph/GEPSNONPILOT/Tender/SplashBidNoticeAbstractUI.aspx?menuIndex=3&amp;refID=7152597&amp;Result=3","7152597")</f>
        <v>0</v>
      </c>
      <c r="B537" t="s">
        <v>269</v>
      </c>
      <c r="C537" t="s">
        <v>4284</v>
      </c>
      <c r="D537" t="s">
        <v>17971</v>
      </c>
      <c r="E537" t="s">
        <v>18571</v>
      </c>
      <c r="F537" t="s">
        <v>30900</v>
      </c>
      <c r="G537" t="s">
        <v>30908</v>
      </c>
      <c r="H537" t="s">
        <v>30916</v>
      </c>
      <c r="I537" t="s">
        <v>30921</v>
      </c>
      <c r="J537" t="s">
        <v>31487</v>
      </c>
      <c r="K537" t="s">
        <v>40289</v>
      </c>
      <c r="M537" t="s">
        <v>40816</v>
      </c>
      <c r="N537" t="s">
        <v>44759</v>
      </c>
      <c r="O537" t="s">
        <v>44760</v>
      </c>
      <c r="P537">
        <v>0</v>
      </c>
      <c r="Q537">
        <v>0</v>
      </c>
      <c r="R537" t="s">
        <v>44761</v>
      </c>
      <c r="S537" t="s">
        <v>44862</v>
      </c>
      <c r="T537" t="s">
        <v>46373</v>
      </c>
      <c r="U537" t="s">
        <v>47448</v>
      </c>
      <c r="W537" t="s">
        <v>40816</v>
      </c>
      <c r="X537" t="s">
        <v>44762</v>
      </c>
    </row>
    <row r="538" spans="1:24">
      <c r="A538">
        <f>HYPERLINK("https://www.philgeps.gov.ph/GEPSNONPILOT/Tender/SplashBidNoticeAbstractUI.aspx?menuIndex=3&amp;refID=7152569&amp;Result=3","7152569")</f>
        <v>0</v>
      </c>
      <c r="B538" t="s">
        <v>301</v>
      </c>
      <c r="C538" t="s">
        <v>4285</v>
      </c>
      <c r="D538" t="s">
        <v>17999</v>
      </c>
      <c r="E538" t="s">
        <v>18572</v>
      </c>
      <c r="F538" t="s">
        <v>30900</v>
      </c>
      <c r="G538" t="s">
        <v>30908</v>
      </c>
      <c r="H538" t="s">
        <v>30916</v>
      </c>
      <c r="I538" t="s">
        <v>10847</v>
      </c>
      <c r="J538" t="s">
        <v>31488</v>
      </c>
      <c r="K538" t="s">
        <v>40319</v>
      </c>
      <c r="M538" t="s">
        <v>40850</v>
      </c>
      <c r="N538" t="s">
        <v>44759</v>
      </c>
      <c r="O538" t="s">
        <v>44760</v>
      </c>
      <c r="P538">
        <v>0</v>
      </c>
      <c r="Q538">
        <v>0</v>
      </c>
      <c r="R538" t="s">
        <v>44761</v>
      </c>
      <c r="S538" t="s">
        <v>44862</v>
      </c>
      <c r="T538" t="s">
        <v>46469</v>
      </c>
      <c r="U538" t="s">
        <v>47419</v>
      </c>
      <c r="W538" t="s">
        <v>40850</v>
      </c>
      <c r="X538" t="s">
        <v>44762</v>
      </c>
    </row>
    <row r="539" spans="1:24">
      <c r="A539">
        <f>HYPERLINK("https://www.philgeps.gov.ph/GEPSNONPILOT/Tender/SplashBidNoticeAbstractUI.aspx?menuIndex=3&amp;refID=7152593&amp;Result=3","7152593")</f>
        <v>0</v>
      </c>
      <c r="B539" t="s">
        <v>317</v>
      </c>
      <c r="C539" t="s">
        <v>4286</v>
      </c>
      <c r="D539" t="s">
        <v>17952</v>
      </c>
      <c r="E539" t="s">
        <v>18573</v>
      </c>
      <c r="F539" t="s">
        <v>30900</v>
      </c>
      <c r="G539" t="s">
        <v>30908</v>
      </c>
      <c r="H539" t="s">
        <v>30916</v>
      </c>
      <c r="I539" t="s">
        <v>30928</v>
      </c>
      <c r="J539" t="s">
        <v>31489</v>
      </c>
      <c r="K539" t="s">
        <v>40284</v>
      </c>
      <c r="M539" t="s">
        <v>40868</v>
      </c>
      <c r="N539" t="s">
        <v>44759</v>
      </c>
      <c r="O539" t="s">
        <v>44760</v>
      </c>
      <c r="P539">
        <v>0</v>
      </c>
      <c r="Q539">
        <v>0</v>
      </c>
      <c r="R539" t="s">
        <v>44761</v>
      </c>
      <c r="S539" t="s">
        <v>44862</v>
      </c>
      <c r="T539" t="s">
        <v>46395</v>
      </c>
      <c r="U539" t="s">
        <v>47449</v>
      </c>
      <c r="W539" t="s">
        <v>60824</v>
      </c>
      <c r="X539" t="s">
        <v>44762</v>
      </c>
    </row>
    <row r="540" spans="1:24">
      <c r="A540">
        <f>HYPERLINK("https://www.philgeps.gov.ph/GEPSNONPILOT/Tender/SplashBidNoticeAbstractUI.aspx?menuIndex=3&amp;refID=7152619&amp;Result=3","7152619")</f>
        <v>0</v>
      </c>
      <c r="B540" t="s">
        <v>318</v>
      </c>
      <c r="C540" t="s">
        <v>4287</v>
      </c>
      <c r="D540" t="s">
        <v>17968</v>
      </c>
      <c r="E540" t="s">
        <v>18574</v>
      </c>
      <c r="F540" t="s">
        <v>30900</v>
      </c>
      <c r="G540" t="s">
        <v>30909</v>
      </c>
      <c r="H540" t="s">
        <v>30916</v>
      </c>
      <c r="I540" t="s">
        <v>9385</v>
      </c>
      <c r="J540" t="s">
        <v>31490</v>
      </c>
      <c r="K540" t="s">
        <v>40287</v>
      </c>
      <c r="M540" t="s">
        <v>40869</v>
      </c>
      <c r="N540" t="s">
        <v>44759</v>
      </c>
      <c r="O540" t="s">
        <v>44760</v>
      </c>
      <c r="P540">
        <v>0</v>
      </c>
      <c r="Q540">
        <v>0</v>
      </c>
      <c r="R540" t="s">
        <v>44761</v>
      </c>
      <c r="S540" t="s">
        <v>44862</v>
      </c>
      <c r="T540" t="s">
        <v>46391</v>
      </c>
      <c r="U540" t="s">
        <v>47450</v>
      </c>
      <c r="V540" t="s">
        <v>59170</v>
      </c>
      <c r="W540" t="s">
        <v>40869</v>
      </c>
      <c r="X540" t="s">
        <v>44762</v>
      </c>
    </row>
    <row r="541" spans="1:24">
      <c r="A541">
        <f>HYPERLINK("https://www.philgeps.gov.ph/GEPSNONPILOT/Tender/SplashBidNoticeAbstractUI.aspx?menuIndex=3&amp;refID=7152604&amp;Result=3","7152604")</f>
        <v>0</v>
      </c>
      <c r="B541" t="s">
        <v>319</v>
      </c>
      <c r="C541" t="s">
        <v>4288</v>
      </c>
      <c r="D541" t="s">
        <v>18021</v>
      </c>
      <c r="E541" t="s">
        <v>18575</v>
      </c>
      <c r="F541" t="s">
        <v>30900</v>
      </c>
      <c r="G541" t="s">
        <v>30907</v>
      </c>
      <c r="H541" t="s">
        <v>30916</v>
      </c>
      <c r="I541" t="s">
        <v>30933</v>
      </c>
      <c r="J541" t="s">
        <v>31069</v>
      </c>
      <c r="K541" t="s">
        <v>40292</v>
      </c>
      <c r="M541" t="s">
        <v>40870</v>
      </c>
      <c r="N541" t="s">
        <v>44759</v>
      </c>
      <c r="O541" t="s">
        <v>44760</v>
      </c>
      <c r="P541">
        <v>0</v>
      </c>
      <c r="Q541">
        <v>1</v>
      </c>
      <c r="R541" t="s">
        <v>44761</v>
      </c>
      <c r="S541" t="s">
        <v>44862</v>
      </c>
      <c r="T541" t="s">
        <v>46405</v>
      </c>
      <c r="U541" t="s">
        <v>47451</v>
      </c>
      <c r="W541" t="s">
        <v>40870</v>
      </c>
      <c r="X541" t="s">
        <v>44762</v>
      </c>
    </row>
    <row r="542" spans="1:24">
      <c r="A542">
        <f>HYPERLINK("https://www.philgeps.gov.ph/GEPSNONPILOT/Tender/SplashBidNoticeAbstractUI.aspx?menuIndex=3&amp;refID=7152617&amp;Result=3","7152617")</f>
        <v>0</v>
      </c>
      <c r="B542" t="s">
        <v>320</v>
      </c>
      <c r="C542" t="s">
        <v>4289</v>
      </c>
      <c r="D542" t="s">
        <v>17951</v>
      </c>
      <c r="E542" t="s">
        <v>18576</v>
      </c>
      <c r="F542" t="s">
        <v>30900</v>
      </c>
      <c r="G542" t="s">
        <v>30909</v>
      </c>
      <c r="H542" t="s">
        <v>30916</v>
      </c>
      <c r="I542" t="s">
        <v>10879</v>
      </c>
      <c r="J542" t="s">
        <v>31098</v>
      </c>
      <c r="K542" t="s">
        <v>40287</v>
      </c>
      <c r="M542" t="s">
        <v>40871</v>
      </c>
      <c r="N542" t="s">
        <v>44759</v>
      </c>
      <c r="O542" t="s">
        <v>44760</v>
      </c>
      <c r="P542">
        <v>0</v>
      </c>
      <c r="Q542">
        <v>0</v>
      </c>
      <c r="R542" t="s">
        <v>44761</v>
      </c>
      <c r="S542" t="s">
        <v>44862</v>
      </c>
      <c r="T542" t="s">
        <v>46383</v>
      </c>
      <c r="U542" t="s">
        <v>47452</v>
      </c>
      <c r="W542" t="s">
        <v>40871</v>
      </c>
      <c r="X542" t="s">
        <v>44762</v>
      </c>
    </row>
    <row r="543" spans="1:24">
      <c r="A543">
        <f>HYPERLINK("https://www.philgeps.gov.ph/GEPSNONPILOT/Tender/SplashBidNoticeAbstractUI.aspx?menuIndex=3&amp;refID=7152616&amp;Result=3","7152616")</f>
        <v>0</v>
      </c>
      <c r="B543" t="s">
        <v>286</v>
      </c>
      <c r="C543" t="s">
        <v>4290</v>
      </c>
      <c r="D543" t="s">
        <v>17977</v>
      </c>
      <c r="E543" t="s">
        <v>18577</v>
      </c>
      <c r="F543" t="s">
        <v>30900</v>
      </c>
      <c r="G543" t="s">
        <v>30908</v>
      </c>
      <c r="H543" t="s">
        <v>30916</v>
      </c>
      <c r="I543" t="s">
        <v>8123</v>
      </c>
      <c r="J543" t="s">
        <v>31447</v>
      </c>
      <c r="K543" t="s">
        <v>40283</v>
      </c>
      <c r="M543" t="s">
        <v>40834</v>
      </c>
      <c r="N543" t="s">
        <v>44759</v>
      </c>
      <c r="O543" t="s">
        <v>44760</v>
      </c>
      <c r="P543">
        <v>0</v>
      </c>
      <c r="Q543">
        <v>0</v>
      </c>
      <c r="R543" t="s">
        <v>44761</v>
      </c>
      <c r="S543" t="s">
        <v>44862</v>
      </c>
      <c r="T543" t="s">
        <v>46352</v>
      </c>
      <c r="U543" t="s">
        <v>47453</v>
      </c>
      <c r="V543" t="s">
        <v>59171</v>
      </c>
      <c r="W543" t="s">
        <v>40834</v>
      </c>
      <c r="X543" t="s">
        <v>44762</v>
      </c>
    </row>
    <row r="544" spans="1:24">
      <c r="A544">
        <f>HYPERLINK("https://www.philgeps.gov.ph/GEPSNONPILOT/Tender/SplashBidNoticeAbstractUI.aspx?menuIndex=3&amp;refID=7152615&amp;Result=3","7152615")</f>
        <v>0</v>
      </c>
      <c r="B544" t="s">
        <v>321</v>
      </c>
      <c r="C544" t="s">
        <v>4291</v>
      </c>
      <c r="D544" t="s">
        <v>18011</v>
      </c>
      <c r="E544" t="s">
        <v>18578</v>
      </c>
      <c r="F544" t="s">
        <v>30900</v>
      </c>
      <c r="G544" t="s">
        <v>30908</v>
      </c>
      <c r="H544" t="s">
        <v>30916</v>
      </c>
      <c r="I544" t="s">
        <v>30924</v>
      </c>
      <c r="J544" t="s">
        <v>31491</v>
      </c>
      <c r="K544" t="s">
        <v>40288</v>
      </c>
      <c r="M544" t="s">
        <v>40872</v>
      </c>
      <c r="N544" t="s">
        <v>44759</v>
      </c>
      <c r="O544" t="s">
        <v>44760</v>
      </c>
      <c r="P544">
        <v>0</v>
      </c>
      <c r="Q544">
        <v>0</v>
      </c>
      <c r="R544" t="s">
        <v>44761</v>
      </c>
      <c r="S544" t="s">
        <v>44862</v>
      </c>
      <c r="T544" t="s">
        <v>46352</v>
      </c>
      <c r="U544" t="s">
        <v>47454</v>
      </c>
      <c r="V544" t="s">
        <v>59172</v>
      </c>
      <c r="W544" t="s">
        <v>40872</v>
      </c>
      <c r="X544" t="s">
        <v>44762</v>
      </c>
    </row>
    <row r="545" spans="1:24">
      <c r="A545">
        <f>HYPERLINK("https://www.philgeps.gov.ph/GEPSNONPILOT/Tender/SplashBidNoticeAbstractUI.aspx?menuIndex=3&amp;refID=7152601&amp;Result=3","7152601")</f>
        <v>0</v>
      </c>
      <c r="B545" t="s">
        <v>237</v>
      </c>
      <c r="C545" t="s">
        <v>4292</v>
      </c>
      <c r="D545" t="s">
        <v>17977</v>
      </c>
      <c r="E545" t="s">
        <v>18579</v>
      </c>
      <c r="F545" t="s">
        <v>30900</v>
      </c>
      <c r="G545" t="s">
        <v>30908</v>
      </c>
      <c r="H545" t="s">
        <v>30916</v>
      </c>
      <c r="I545" t="s">
        <v>6953</v>
      </c>
      <c r="J545" t="s">
        <v>31492</v>
      </c>
      <c r="K545" t="s">
        <v>40289</v>
      </c>
      <c r="M545" t="s">
        <v>40784</v>
      </c>
      <c r="N545" t="s">
        <v>44759</v>
      </c>
      <c r="O545" t="s">
        <v>44760</v>
      </c>
      <c r="P545">
        <v>0</v>
      </c>
      <c r="Q545">
        <v>0</v>
      </c>
      <c r="R545" t="s">
        <v>44761</v>
      </c>
      <c r="S545" t="s">
        <v>44862</v>
      </c>
      <c r="T545" t="s">
        <v>46393</v>
      </c>
      <c r="U545" t="s">
        <v>47455</v>
      </c>
      <c r="W545" t="s">
        <v>40784</v>
      </c>
      <c r="X545" t="s">
        <v>44762</v>
      </c>
    </row>
    <row r="546" spans="1:24">
      <c r="A546">
        <f>HYPERLINK("https://www.philgeps.gov.ph/GEPSNONPILOT/Tender/SplashBidNoticeAbstractUI.aspx?menuIndex=3&amp;refID=7152612&amp;Result=3","7152612")</f>
        <v>0</v>
      </c>
      <c r="B546" t="s">
        <v>322</v>
      </c>
      <c r="C546" t="s">
        <v>4293</v>
      </c>
      <c r="D546" t="s">
        <v>17959</v>
      </c>
      <c r="E546" t="s">
        <v>18580</v>
      </c>
      <c r="F546" t="s">
        <v>30900</v>
      </c>
      <c r="G546" t="s">
        <v>30907</v>
      </c>
      <c r="H546" t="s">
        <v>30916</v>
      </c>
      <c r="I546" t="s">
        <v>30942</v>
      </c>
      <c r="J546" t="s">
        <v>31493</v>
      </c>
      <c r="K546" t="s">
        <v>40281</v>
      </c>
      <c r="M546" t="s">
        <v>40873</v>
      </c>
      <c r="N546" t="s">
        <v>44759</v>
      </c>
      <c r="O546" t="s">
        <v>44760</v>
      </c>
      <c r="P546">
        <v>0</v>
      </c>
      <c r="Q546">
        <v>0</v>
      </c>
      <c r="R546" t="s">
        <v>44761</v>
      </c>
      <c r="S546" t="s">
        <v>44862</v>
      </c>
      <c r="T546" t="s">
        <v>46349</v>
      </c>
      <c r="U546" t="s">
        <v>47456</v>
      </c>
      <c r="W546" t="s">
        <v>40873</v>
      </c>
      <c r="X546" t="s">
        <v>44762</v>
      </c>
    </row>
    <row r="547" spans="1:24">
      <c r="A547">
        <f>HYPERLINK("https://www.philgeps.gov.ph/GEPSNONPILOT/Tender/SplashBidNoticeAbstractUI.aspx?menuIndex=3&amp;refID=7152621&amp;Result=3","7152621")</f>
        <v>0</v>
      </c>
      <c r="B547" t="s">
        <v>323</v>
      </c>
      <c r="C547" t="s">
        <v>4294</v>
      </c>
      <c r="D547" t="s">
        <v>17985</v>
      </c>
      <c r="E547" t="s">
        <v>18581</v>
      </c>
      <c r="F547" t="s">
        <v>30900</v>
      </c>
      <c r="G547" t="s">
        <v>30908</v>
      </c>
      <c r="H547" t="s">
        <v>30916</v>
      </c>
      <c r="I547" t="s">
        <v>5879</v>
      </c>
      <c r="J547" t="s">
        <v>31494</v>
      </c>
      <c r="K547" t="s">
        <v>40286</v>
      </c>
      <c r="M547" t="s">
        <v>40874</v>
      </c>
      <c r="N547" t="s">
        <v>44759</v>
      </c>
      <c r="O547" t="s">
        <v>44760</v>
      </c>
      <c r="P547">
        <v>0</v>
      </c>
      <c r="Q547">
        <v>0</v>
      </c>
      <c r="R547" t="s">
        <v>44761</v>
      </c>
      <c r="S547" t="s">
        <v>44862</v>
      </c>
      <c r="T547" t="s">
        <v>46399</v>
      </c>
      <c r="U547" t="s">
        <v>47457</v>
      </c>
      <c r="W547" t="s">
        <v>40874</v>
      </c>
      <c r="X547" t="s">
        <v>44762</v>
      </c>
    </row>
    <row r="548" spans="1:24">
      <c r="A548">
        <f>HYPERLINK("https://www.philgeps.gov.ph/GEPSNONPILOT/Tender/SplashBidNoticeAbstractUI.aspx?menuIndex=3&amp;refID=7152611&amp;Result=3","7152611")</f>
        <v>0</v>
      </c>
      <c r="B548" t="s">
        <v>187</v>
      </c>
      <c r="C548" t="s">
        <v>4295</v>
      </c>
      <c r="D548" t="s">
        <v>17952</v>
      </c>
      <c r="E548" t="s">
        <v>18582</v>
      </c>
      <c r="F548" t="s">
        <v>30900</v>
      </c>
      <c r="G548" t="s">
        <v>30908</v>
      </c>
      <c r="H548" t="s">
        <v>30916</v>
      </c>
      <c r="I548" t="s">
        <v>9385</v>
      </c>
      <c r="J548" t="s">
        <v>31495</v>
      </c>
      <c r="K548" t="s">
        <v>40288</v>
      </c>
      <c r="M548" t="s">
        <v>40734</v>
      </c>
      <c r="N548" t="s">
        <v>44759</v>
      </c>
      <c r="O548" t="s">
        <v>44760</v>
      </c>
      <c r="P548">
        <v>0</v>
      </c>
      <c r="Q548">
        <v>0</v>
      </c>
      <c r="R548" t="s">
        <v>44761</v>
      </c>
      <c r="S548" t="s">
        <v>44862</v>
      </c>
      <c r="T548" t="s">
        <v>46390</v>
      </c>
      <c r="U548" t="s">
        <v>47458</v>
      </c>
      <c r="W548" t="s">
        <v>40734</v>
      </c>
      <c r="X548" t="s">
        <v>44762</v>
      </c>
    </row>
    <row r="549" spans="1:24">
      <c r="A549">
        <f>HYPERLINK("https://www.philgeps.gov.ph/GEPSNONPILOT/Tender/SplashBidNoticeAbstractUI.aspx?menuIndex=3&amp;refID=7152618&amp;Result=3","7152618")</f>
        <v>0</v>
      </c>
      <c r="B549" t="s">
        <v>324</v>
      </c>
      <c r="C549" t="s">
        <v>4224</v>
      </c>
      <c r="E549" t="s">
        <v>18583</v>
      </c>
      <c r="F549" t="s">
        <v>30904</v>
      </c>
      <c r="G549" t="s">
        <v>30909</v>
      </c>
      <c r="H549" t="s">
        <v>30916</v>
      </c>
      <c r="I549" t="s">
        <v>5830</v>
      </c>
      <c r="J549" t="s">
        <v>31496</v>
      </c>
      <c r="K549" t="s">
        <v>40289</v>
      </c>
      <c r="M549" t="s">
        <v>40875</v>
      </c>
      <c r="N549" t="s">
        <v>44759</v>
      </c>
      <c r="O549" t="s">
        <v>44760</v>
      </c>
      <c r="P549">
        <v>0</v>
      </c>
      <c r="Q549">
        <v>0</v>
      </c>
      <c r="R549" t="s">
        <v>44761</v>
      </c>
      <c r="S549" t="s">
        <v>44862</v>
      </c>
      <c r="T549" t="s">
        <v>46398</v>
      </c>
      <c r="U549" t="s">
        <v>47459</v>
      </c>
      <c r="W549" t="s">
        <v>40875</v>
      </c>
      <c r="X549" t="s">
        <v>44762</v>
      </c>
    </row>
    <row r="550" spans="1:24">
      <c r="A550">
        <f>HYPERLINK("https://www.philgeps.gov.ph/GEPSNONPILOT/Tender/SplashBidNoticeAbstractUI.aspx?menuIndex=3&amp;refID=7152627&amp;Result=3","7152627")</f>
        <v>0</v>
      </c>
      <c r="B550" t="s">
        <v>325</v>
      </c>
      <c r="C550" t="s">
        <v>4296</v>
      </c>
      <c r="D550" t="s">
        <v>17995</v>
      </c>
      <c r="E550" t="s">
        <v>18584</v>
      </c>
      <c r="F550" t="s">
        <v>30900</v>
      </c>
      <c r="G550" t="s">
        <v>30909</v>
      </c>
      <c r="H550" t="s">
        <v>30916</v>
      </c>
      <c r="I550" t="s">
        <v>4108</v>
      </c>
      <c r="J550" t="s">
        <v>31497</v>
      </c>
      <c r="K550" t="s">
        <v>40287</v>
      </c>
      <c r="L550" t="s">
        <v>325</v>
      </c>
      <c r="M550" t="s">
        <v>40876</v>
      </c>
      <c r="N550" t="s">
        <v>44759</v>
      </c>
      <c r="O550" t="s">
        <v>44760</v>
      </c>
      <c r="P550">
        <v>0</v>
      </c>
      <c r="Q550">
        <v>0</v>
      </c>
      <c r="R550" t="s">
        <v>44761</v>
      </c>
      <c r="S550" t="s">
        <v>44862</v>
      </c>
      <c r="T550" t="s">
        <v>46470</v>
      </c>
      <c r="U550" t="s">
        <v>47460</v>
      </c>
      <c r="V550" t="s">
        <v>59173</v>
      </c>
      <c r="W550" t="s">
        <v>40876</v>
      </c>
      <c r="X550" t="s">
        <v>44762</v>
      </c>
    </row>
    <row r="551" spans="1:24">
      <c r="A551">
        <f>HYPERLINK("https://www.philgeps.gov.ph/GEPSNONPILOT/Tender/SplashBidNoticeAbstractUI.aspx?menuIndex=3&amp;refID=7152605&amp;Result=3","7152605")</f>
        <v>0</v>
      </c>
      <c r="B551" t="s">
        <v>326</v>
      </c>
      <c r="C551" t="s">
        <v>4297</v>
      </c>
      <c r="E551" t="s">
        <v>18585</v>
      </c>
      <c r="F551" t="s">
        <v>30900</v>
      </c>
      <c r="G551" t="s">
        <v>30908</v>
      </c>
      <c r="H551" t="s">
        <v>30916</v>
      </c>
      <c r="I551" t="s">
        <v>30929</v>
      </c>
      <c r="J551" t="s">
        <v>31043</v>
      </c>
      <c r="K551" t="s">
        <v>40289</v>
      </c>
      <c r="M551" t="s">
        <v>40877</v>
      </c>
      <c r="N551" t="s">
        <v>44759</v>
      </c>
      <c r="O551" t="s">
        <v>44760</v>
      </c>
      <c r="P551">
        <v>0</v>
      </c>
      <c r="Q551">
        <v>0</v>
      </c>
      <c r="R551" t="s">
        <v>44761</v>
      </c>
      <c r="S551" t="s">
        <v>44862</v>
      </c>
      <c r="T551" t="s">
        <v>46376</v>
      </c>
      <c r="U551" t="s">
        <v>47461</v>
      </c>
      <c r="W551" t="s">
        <v>40877</v>
      </c>
      <c r="X551" t="s">
        <v>44762</v>
      </c>
    </row>
    <row r="552" spans="1:24">
      <c r="A552">
        <f>HYPERLINK("https://www.philgeps.gov.ph/GEPSNONPILOT/Tender/SplashBidNoticeAbstractUI.aspx?menuIndex=3&amp;refID=7152625&amp;Result=3","7152625")</f>
        <v>0</v>
      </c>
      <c r="B552" t="s">
        <v>230</v>
      </c>
      <c r="C552" t="s">
        <v>4298</v>
      </c>
      <c r="D552" t="s">
        <v>18019</v>
      </c>
      <c r="E552" t="s">
        <v>18586</v>
      </c>
      <c r="F552" t="s">
        <v>30900</v>
      </c>
      <c r="G552" t="s">
        <v>30909</v>
      </c>
      <c r="H552" t="s">
        <v>30916</v>
      </c>
      <c r="I552" t="s">
        <v>30923</v>
      </c>
      <c r="J552" t="s">
        <v>31498</v>
      </c>
      <c r="K552" t="s">
        <v>40281</v>
      </c>
      <c r="M552" t="s">
        <v>40777</v>
      </c>
      <c r="N552" t="s">
        <v>44759</v>
      </c>
      <c r="O552" t="s">
        <v>44760</v>
      </c>
      <c r="P552">
        <v>0</v>
      </c>
      <c r="Q552">
        <v>0</v>
      </c>
      <c r="R552" t="s">
        <v>44761</v>
      </c>
      <c r="S552" t="s">
        <v>44862</v>
      </c>
      <c r="T552" t="s">
        <v>46362</v>
      </c>
      <c r="U552" t="s">
        <v>47462</v>
      </c>
      <c r="W552" t="s">
        <v>40777</v>
      </c>
      <c r="X552" t="s">
        <v>44762</v>
      </c>
    </row>
    <row r="553" spans="1:24">
      <c r="A553">
        <f>HYPERLINK("https://www.philgeps.gov.ph/GEPSNONPILOT/Tender/SplashBidNoticeAbstractUI.aspx?menuIndex=3&amp;refID=7152622&amp;Result=3","7152622")</f>
        <v>0</v>
      </c>
      <c r="B553" t="s">
        <v>327</v>
      </c>
      <c r="C553" t="s">
        <v>4299</v>
      </c>
      <c r="D553" t="s">
        <v>18022</v>
      </c>
      <c r="E553" t="s">
        <v>18587</v>
      </c>
      <c r="F553" t="s">
        <v>30900</v>
      </c>
      <c r="G553" t="s">
        <v>30909</v>
      </c>
      <c r="H553" t="s">
        <v>30916</v>
      </c>
      <c r="I553" t="s">
        <v>6396</v>
      </c>
      <c r="J553" t="s">
        <v>31499</v>
      </c>
      <c r="K553" t="s">
        <v>40287</v>
      </c>
      <c r="M553" t="s">
        <v>40878</v>
      </c>
      <c r="N553" t="s">
        <v>44759</v>
      </c>
      <c r="O553" t="s">
        <v>44760</v>
      </c>
      <c r="P553">
        <v>0</v>
      </c>
      <c r="Q553">
        <v>0</v>
      </c>
      <c r="R553" t="s">
        <v>44761</v>
      </c>
      <c r="S553" t="s">
        <v>44862</v>
      </c>
      <c r="T553" t="s">
        <v>46400</v>
      </c>
      <c r="U553" t="s">
        <v>47463</v>
      </c>
      <c r="W553" t="s">
        <v>40878</v>
      </c>
      <c r="X553" t="s">
        <v>44762</v>
      </c>
    </row>
    <row r="554" spans="1:24">
      <c r="A554">
        <f>HYPERLINK("https://www.philgeps.gov.ph/GEPSNONPILOT/Tender/SplashBidNoticeAbstractUI.aspx?menuIndex=3&amp;refID=7152624&amp;Result=3","7152624")</f>
        <v>0</v>
      </c>
      <c r="B554" t="s">
        <v>328</v>
      </c>
      <c r="C554" t="s">
        <v>4300</v>
      </c>
      <c r="D554" t="s">
        <v>17957</v>
      </c>
      <c r="E554" t="s">
        <v>18207</v>
      </c>
      <c r="F554" t="s">
        <v>30900</v>
      </c>
      <c r="G554" t="s">
        <v>30909</v>
      </c>
      <c r="H554" t="s">
        <v>30916</v>
      </c>
      <c r="I554" t="s">
        <v>4142</v>
      </c>
      <c r="J554" t="s">
        <v>31500</v>
      </c>
      <c r="K554" t="s">
        <v>40331</v>
      </c>
      <c r="M554" t="s">
        <v>40879</v>
      </c>
      <c r="N554" t="s">
        <v>44759</v>
      </c>
      <c r="O554" t="s">
        <v>44760</v>
      </c>
      <c r="P554">
        <v>0</v>
      </c>
      <c r="Q554">
        <v>0</v>
      </c>
      <c r="R554" t="s">
        <v>44761</v>
      </c>
      <c r="S554" t="s">
        <v>44862</v>
      </c>
      <c r="T554" t="s">
        <v>46440</v>
      </c>
      <c r="U554" t="s">
        <v>47464</v>
      </c>
      <c r="V554" t="s">
        <v>59174</v>
      </c>
      <c r="W554" t="s">
        <v>40879</v>
      </c>
      <c r="X554" t="s">
        <v>44762</v>
      </c>
    </row>
    <row r="555" spans="1:24">
      <c r="A555">
        <f>HYPERLINK("https://www.philgeps.gov.ph/GEPSNONPILOT/Tender/SplashBidNoticeAbstractUI.aspx?menuIndex=3&amp;refID=7152594&amp;Result=3","7152594")</f>
        <v>0</v>
      </c>
      <c r="B555" t="s">
        <v>329</v>
      </c>
      <c r="C555" t="s">
        <v>4301</v>
      </c>
      <c r="E555" t="s">
        <v>18588</v>
      </c>
      <c r="F555" t="s">
        <v>30900</v>
      </c>
      <c r="G555" t="s">
        <v>30908</v>
      </c>
      <c r="H555" t="s">
        <v>30916</v>
      </c>
      <c r="I555" t="s">
        <v>6746</v>
      </c>
      <c r="J555" t="s">
        <v>31501</v>
      </c>
      <c r="K555" t="s">
        <v>40289</v>
      </c>
      <c r="M555" t="s">
        <v>40880</v>
      </c>
      <c r="N555" t="s">
        <v>44759</v>
      </c>
      <c r="O555" t="s">
        <v>44760</v>
      </c>
      <c r="P555">
        <v>0</v>
      </c>
      <c r="Q555">
        <v>0</v>
      </c>
      <c r="R555" t="s">
        <v>44761</v>
      </c>
      <c r="S555" t="s">
        <v>44862</v>
      </c>
      <c r="T555" t="s">
        <v>46454</v>
      </c>
      <c r="U555" t="s">
        <v>47465</v>
      </c>
      <c r="V555" t="s">
        <v>59175</v>
      </c>
      <c r="W555" t="s">
        <v>40880</v>
      </c>
      <c r="X555" t="s">
        <v>44762</v>
      </c>
    </row>
    <row r="556" spans="1:24">
      <c r="A556">
        <f>HYPERLINK("https://www.philgeps.gov.ph/GEPSNONPILOT/Tender/SplashBidNoticeAbstractUI.aspx?menuIndex=3&amp;refID=7152623&amp;Result=3","7152623")</f>
        <v>0</v>
      </c>
      <c r="B556" t="s">
        <v>297</v>
      </c>
      <c r="C556" t="s">
        <v>4302</v>
      </c>
      <c r="D556" t="s">
        <v>17978</v>
      </c>
      <c r="E556" t="s">
        <v>18589</v>
      </c>
      <c r="F556" t="s">
        <v>30900</v>
      </c>
      <c r="G556" t="s">
        <v>30908</v>
      </c>
      <c r="H556" t="s">
        <v>30916</v>
      </c>
      <c r="I556" t="s">
        <v>30967</v>
      </c>
      <c r="J556" t="s">
        <v>31502</v>
      </c>
      <c r="K556" t="s">
        <v>40289</v>
      </c>
      <c r="M556" t="s">
        <v>40845</v>
      </c>
      <c r="N556" t="s">
        <v>44759</v>
      </c>
      <c r="O556" t="s">
        <v>44760</v>
      </c>
      <c r="P556">
        <v>0</v>
      </c>
      <c r="Q556">
        <v>0</v>
      </c>
      <c r="R556" t="s">
        <v>44761</v>
      </c>
      <c r="S556" t="s">
        <v>44862</v>
      </c>
      <c r="T556" t="s">
        <v>46399</v>
      </c>
      <c r="U556" t="s">
        <v>47466</v>
      </c>
      <c r="W556" t="s">
        <v>40845</v>
      </c>
      <c r="X556" t="s">
        <v>44762</v>
      </c>
    </row>
    <row r="557" spans="1:24">
      <c r="A557">
        <f>HYPERLINK("https://www.philgeps.gov.ph/GEPSNONPILOT/Tender/SplashBidNoticeAbstractUI.aspx?menuIndex=3&amp;refID=7152608&amp;Result=3","7152608")</f>
        <v>0</v>
      </c>
      <c r="B557" t="s">
        <v>330</v>
      </c>
      <c r="C557" t="s">
        <v>4303</v>
      </c>
      <c r="D557" t="s">
        <v>18021</v>
      </c>
      <c r="E557" t="s">
        <v>18590</v>
      </c>
      <c r="F557" t="s">
        <v>30900</v>
      </c>
      <c r="G557" t="s">
        <v>30907</v>
      </c>
      <c r="H557" t="s">
        <v>30916</v>
      </c>
      <c r="I557" t="s">
        <v>8123</v>
      </c>
      <c r="J557" t="s">
        <v>31503</v>
      </c>
      <c r="K557" t="s">
        <v>40283</v>
      </c>
      <c r="M557" t="s">
        <v>40881</v>
      </c>
      <c r="N557" t="s">
        <v>44759</v>
      </c>
      <c r="O557" t="s">
        <v>44760</v>
      </c>
      <c r="P557">
        <v>0</v>
      </c>
      <c r="Q557">
        <v>0</v>
      </c>
      <c r="R557" t="s">
        <v>44761</v>
      </c>
      <c r="S557" t="s">
        <v>44862</v>
      </c>
      <c r="T557" t="s">
        <v>46418</v>
      </c>
      <c r="U557" t="s">
        <v>47467</v>
      </c>
      <c r="W557" t="s">
        <v>40881</v>
      </c>
      <c r="X557" t="s">
        <v>44762</v>
      </c>
    </row>
    <row r="558" spans="1:24">
      <c r="A558">
        <f>HYPERLINK("https://www.philgeps.gov.ph/GEPSNONPILOT/Tender/SplashBidNoticeAbstractUI.aspx?menuIndex=3&amp;refID=7152606&amp;Result=3","7152606")</f>
        <v>0</v>
      </c>
      <c r="B558" t="s">
        <v>234</v>
      </c>
      <c r="C558" t="s">
        <v>4304</v>
      </c>
      <c r="D558" t="s">
        <v>17961</v>
      </c>
      <c r="E558" t="s">
        <v>18591</v>
      </c>
      <c r="F558" t="s">
        <v>30900</v>
      </c>
      <c r="G558" t="s">
        <v>30906</v>
      </c>
      <c r="H558" t="s">
        <v>30915</v>
      </c>
      <c r="I558" t="s">
        <v>30919</v>
      </c>
      <c r="J558" t="s">
        <v>31504</v>
      </c>
      <c r="K558" t="s">
        <v>40286</v>
      </c>
      <c r="M558" t="s">
        <v>40781</v>
      </c>
      <c r="N558" t="s">
        <v>44759</v>
      </c>
      <c r="O558" t="s">
        <v>44760</v>
      </c>
      <c r="P558">
        <v>0</v>
      </c>
      <c r="Q558">
        <v>0</v>
      </c>
      <c r="R558" t="s">
        <v>44761</v>
      </c>
      <c r="S558" t="s">
        <v>44862</v>
      </c>
      <c r="T558" t="s">
        <v>46390</v>
      </c>
      <c r="U558" t="s">
        <v>47468</v>
      </c>
      <c r="V558" t="s">
        <v>59150</v>
      </c>
      <c r="W558" t="s">
        <v>40781</v>
      </c>
      <c r="X558" t="s">
        <v>44762</v>
      </c>
    </row>
    <row r="559" spans="1:24">
      <c r="A559">
        <f>HYPERLINK("https://www.philgeps.gov.ph/GEPSNONPILOT/Tender/SplashBidNoticeAbstractUI.aspx?menuIndex=3&amp;refID=7152610&amp;Result=3","7152610")</f>
        <v>0</v>
      </c>
      <c r="B559" t="s">
        <v>331</v>
      </c>
      <c r="C559" t="s">
        <v>4305</v>
      </c>
      <c r="D559" t="s">
        <v>18004</v>
      </c>
      <c r="E559" t="s">
        <v>18592</v>
      </c>
      <c r="F559" t="s">
        <v>30900</v>
      </c>
      <c r="G559" t="s">
        <v>30908</v>
      </c>
      <c r="H559" t="s">
        <v>30916</v>
      </c>
      <c r="I559" t="s">
        <v>8123</v>
      </c>
      <c r="J559" t="s">
        <v>31505</v>
      </c>
      <c r="K559" t="s">
        <v>40292</v>
      </c>
      <c r="M559" t="s">
        <v>40882</v>
      </c>
      <c r="N559" t="s">
        <v>44759</v>
      </c>
      <c r="O559" t="s">
        <v>44760</v>
      </c>
      <c r="P559">
        <v>0</v>
      </c>
      <c r="Q559">
        <v>0</v>
      </c>
      <c r="R559" t="s">
        <v>44761</v>
      </c>
      <c r="S559" t="s">
        <v>44862</v>
      </c>
      <c r="T559" t="s">
        <v>46357</v>
      </c>
      <c r="U559" t="s">
        <v>47469</v>
      </c>
      <c r="W559" t="s">
        <v>40882</v>
      </c>
      <c r="X559" t="s">
        <v>44762</v>
      </c>
    </row>
    <row r="560" spans="1:24">
      <c r="A560">
        <f>HYPERLINK("https://www.philgeps.gov.ph/GEPSNONPILOT/Tender/SplashBidNoticeAbstractUI.aspx?menuIndex=3&amp;refID=7152644&amp;Result=3","7152644")</f>
        <v>0</v>
      </c>
      <c r="B560" t="s">
        <v>237</v>
      </c>
      <c r="C560" t="s">
        <v>4306</v>
      </c>
      <c r="D560" t="s">
        <v>17977</v>
      </c>
      <c r="E560" t="s">
        <v>4306</v>
      </c>
      <c r="F560" t="s">
        <v>30900</v>
      </c>
      <c r="G560" t="s">
        <v>30908</v>
      </c>
      <c r="H560" t="s">
        <v>30916</v>
      </c>
      <c r="I560" t="s">
        <v>6746</v>
      </c>
      <c r="J560" t="s">
        <v>31506</v>
      </c>
      <c r="K560" t="s">
        <v>40289</v>
      </c>
      <c r="M560" t="s">
        <v>40784</v>
      </c>
      <c r="N560" t="s">
        <v>44759</v>
      </c>
      <c r="O560" t="s">
        <v>44760</v>
      </c>
      <c r="P560">
        <v>0</v>
      </c>
      <c r="Q560">
        <v>0</v>
      </c>
      <c r="R560" t="s">
        <v>44761</v>
      </c>
      <c r="S560" t="s">
        <v>44862</v>
      </c>
      <c r="T560" t="s">
        <v>46393</v>
      </c>
      <c r="U560" t="s">
        <v>47470</v>
      </c>
      <c r="W560" t="s">
        <v>40784</v>
      </c>
      <c r="X560" t="s">
        <v>44762</v>
      </c>
    </row>
    <row r="561" spans="1:24">
      <c r="A561">
        <f>HYPERLINK("https://www.philgeps.gov.ph/GEPSNONPILOT/Tender/SplashBidNoticeAbstractUI.aspx?menuIndex=3&amp;refID=7152643&amp;Result=3","7152643")</f>
        <v>0</v>
      </c>
      <c r="B561" t="s">
        <v>231</v>
      </c>
      <c r="C561" t="s">
        <v>4307</v>
      </c>
      <c r="D561" t="s">
        <v>17957</v>
      </c>
      <c r="E561" t="s">
        <v>18593</v>
      </c>
      <c r="F561" t="s">
        <v>30900</v>
      </c>
      <c r="G561" t="s">
        <v>30908</v>
      </c>
      <c r="H561" t="s">
        <v>30916</v>
      </c>
      <c r="I561" t="s">
        <v>8123</v>
      </c>
      <c r="J561" t="s">
        <v>31507</v>
      </c>
      <c r="K561" t="s">
        <v>40294</v>
      </c>
      <c r="M561" t="s">
        <v>40778</v>
      </c>
      <c r="N561" t="s">
        <v>44759</v>
      </c>
      <c r="O561" t="s">
        <v>44760</v>
      </c>
      <c r="P561">
        <v>0</v>
      </c>
      <c r="Q561">
        <v>0</v>
      </c>
      <c r="R561" t="s">
        <v>44761</v>
      </c>
      <c r="S561" t="s">
        <v>44862</v>
      </c>
      <c r="T561" t="s">
        <v>46399</v>
      </c>
      <c r="U561" t="s">
        <v>47471</v>
      </c>
      <c r="W561" t="s">
        <v>40778</v>
      </c>
      <c r="X561" t="s">
        <v>44762</v>
      </c>
    </row>
    <row r="562" spans="1:24">
      <c r="A562">
        <f>HYPERLINK("https://www.philgeps.gov.ph/GEPSNONPILOT/Tender/SplashBidNoticeAbstractUI.aspx?menuIndex=3&amp;refID=7152628&amp;Result=3","7152628")</f>
        <v>0</v>
      </c>
      <c r="B562" t="s">
        <v>237</v>
      </c>
      <c r="C562" t="s">
        <v>4308</v>
      </c>
      <c r="D562" t="s">
        <v>17977</v>
      </c>
      <c r="E562" t="s">
        <v>18594</v>
      </c>
      <c r="F562" t="s">
        <v>30900</v>
      </c>
      <c r="G562" t="s">
        <v>30908</v>
      </c>
      <c r="H562" t="s">
        <v>30916</v>
      </c>
      <c r="I562" t="s">
        <v>30939</v>
      </c>
      <c r="J562" t="s">
        <v>31508</v>
      </c>
      <c r="K562" t="s">
        <v>40289</v>
      </c>
      <c r="M562" t="s">
        <v>40784</v>
      </c>
      <c r="N562" t="s">
        <v>44759</v>
      </c>
      <c r="O562" t="s">
        <v>44760</v>
      </c>
      <c r="P562">
        <v>0</v>
      </c>
      <c r="Q562">
        <v>0</v>
      </c>
      <c r="R562" t="s">
        <v>44761</v>
      </c>
      <c r="S562" t="s">
        <v>44862</v>
      </c>
      <c r="T562" t="s">
        <v>46393</v>
      </c>
      <c r="U562" t="s">
        <v>47472</v>
      </c>
      <c r="W562" t="s">
        <v>40784</v>
      </c>
      <c r="X562" t="s">
        <v>44762</v>
      </c>
    </row>
    <row r="563" spans="1:24">
      <c r="A563">
        <f>HYPERLINK("https://www.philgeps.gov.ph/GEPSNONPILOT/Tender/SplashBidNoticeAbstractUI.aspx?menuIndex=3&amp;refID=7152642&amp;Result=3","7152642")</f>
        <v>0</v>
      </c>
      <c r="B563" t="s">
        <v>332</v>
      </c>
      <c r="C563" t="s">
        <v>4309</v>
      </c>
      <c r="D563" t="s">
        <v>17978</v>
      </c>
      <c r="E563" t="s">
        <v>18595</v>
      </c>
      <c r="F563" t="s">
        <v>30900</v>
      </c>
      <c r="G563" t="s">
        <v>30907</v>
      </c>
      <c r="H563" t="s">
        <v>30915</v>
      </c>
      <c r="I563" t="s">
        <v>30919</v>
      </c>
      <c r="J563" t="s">
        <v>31152</v>
      </c>
      <c r="K563" t="s">
        <v>40292</v>
      </c>
      <c r="M563" t="s">
        <v>40883</v>
      </c>
      <c r="N563" t="s">
        <v>44759</v>
      </c>
      <c r="O563" t="s">
        <v>44760</v>
      </c>
      <c r="P563">
        <v>0</v>
      </c>
      <c r="Q563">
        <v>0</v>
      </c>
      <c r="R563" t="s">
        <v>44761</v>
      </c>
      <c r="S563" t="s">
        <v>44862</v>
      </c>
      <c r="T563" t="s">
        <v>46405</v>
      </c>
      <c r="U563" t="s">
        <v>47473</v>
      </c>
      <c r="W563" t="s">
        <v>40883</v>
      </c>
      <c r="X563" t="s">
        <v>44762</v>
      </c>
    </row>
    <row r="564" spans="1:24">
      <c r="A564">
        <f>HYPERLINK("https://www.philgeps.gov.ph/GEPSNONPILOT/Tender/SplashBidNoticeAbstractUI.aspx?menuIndex=3&amp;refID=7152641&amp;Result=3","7152641")</f>
        <v>0</v>
      </c>
      <c r="B564" t="s">
        <v>187</v>
      </c>
      <c r="C564" t="s">
        <v>4310</v>
      </c>
      <c r="D564" t="s">
        <v>17952</v>
      </c>
      <c r="E564" t="s">
        <v>18596</v>
      </c>
      <c r="F564" t="s">
        <v>30900</v>
      </c>
      <c r="G564" t="s">
        <v>30908</v>
      </c>
      <c r="H564" t="s">
        <v>30916</v>
      </c>
      <c r="I564" t="s">
        <v>9385</v>
      </c>
      <c r="J564" t="s">
        <v>31509</v>
      </c>
      <c r="K564" t="s">
        <v>40288</v>
      </c>
      <c r="M564" t="s">
        <v>40734</v>
      </c>
      <c r="N564" t="s">
        <v>44759</v>
      </c>
      <c r="O564" t="s">
        <v>44760</v>
      </c>
      <c r="P564">
        <v>0</v>
      </c>
      <c r="Q564">
        <v>0</v>
      </c>
      <c r="R564" t="s">
        <v>44761</v>
      </c>
      <c r="S564" t="s">
        <v>44862</v>
      </c>
      <c r="T564" t="s">
        <v>46390</v>
      </c>
      <c r="U564" t="s">
        <v>47474</v>
      </c>
      <c r="W564" t="s">
        <v>40734</v>
      </c>
      <c r="X564" t="s">
        <v>44762</v>
      </c>
    </row>
    <row r="565" spans="1:24">
      <c r="A565">
        <f>HYPERLINK("https://www.philgeps.gov.ph/GEPSNONPILOT/Tender/SplashBidNoticeAbstractUI.aspx?menuIndex=3&amp;refID=7152638&amp;Result=3","7152638")</f>
        <v>0</v>
      </c>
      <c r="B565" t="s">
        <v>333</v>
      </c>
      <c r="C565" t="s">
        <v>4311</v>
      </c>
      <c r="D565" t="s">
        <v>17951</v>
      </c>
      <c r="E565" t="s">
        <v>18597</v>
      </c>
      <c r="F565" t="s">
        <v>30900</v>
      </c>
      <c r="G565" t="s">
        <v>30908</v>
      </c>
      <c r="H565" t="s">
        <v>30916</v>
      </c>
      <c r="I565" t="s">
        <v>30949</v>
      </c>
      <c r="J565" t="s">
        <v>31510</v>
      </c>
      <c r="K565" t="s">
        <v>40284</v>
      </c>
      <c r="M565" t="s">
        <v>40884</v>
      </c>
      <c r="N565" t="s">
        <v>44759</v>
      </c>
      <c r="O565" t="s">
        <v>44760</v>
      </c>
      <c r="P565">
        <v>0</v>
      </c>
      <c r="Q565">
        <v>0</v>
      </c>
      <c r="R565" t="s">
        <v>44761</v>
      </c>
      <c r="S565" t="s">
        <v>44862</v>
      </c>
      <c r="T565" t="s">
        <v>46424</v>
      </c>
      <c r="U565" t="s">
        <v>47009</v>
      </c>
      <c r="W565" t="s">
        <v>40884</v>
      </c>
      <c r="X565" t="s">
        <v>44762</v>
      </c>
    </row>
    <row r="566" spans="1:24">
      <c r="A566">
        <f>HYPERLINK("https://www.philgeps.gov.ph/GEPSNONPILOT/Tender/SplashBidNoticeAbstractUI.aspx?menuIndex=3&amp;refID=7152609&amp;Result=3","7152609")</f>
        <v>0</v>
      </c>
      <c r="B566" t="s">
        <v>334</v>
      </c>
      <c r="C566" t="s">
        <v>4312</v>
      </c>
      <c r="D566" t="s">
        <v>17957</v>
      </c>
      <c r="E566" t="s">
        <v>18598</v>
      </c>
      <c r="F566" t="s">
        <v>30900</v>
      </c>
      <c r="G566" t="s">
        <v>30908</v>
      </c>
      <c r="H566" t="s">
        <v>30916</v>
      </c>
      <c r="I566" t="s">
        <v>30924</v>
      </c>
      <c r="J566" t="s">
        <v>31511</v>
      </c>
      <c r="K566" t="s">
        <v>40291</v>
      </c>
      <c r="M566" t="s">
        <v>40885</v>
      </c>
      <c r="N566" t="s">
        <v>44759</v>
      </c>
      <c r="O566" t="s">
        <v>44760</v>
      </c>
      <c r="P566">
        <v>0</v>
      </c>
      <c r="Q566">
        <v>0</v>
      </c>
      <c r="R566" t="s">
        <v>44761</v>
      </c>
      <c r="S566" t="s">
        <v>44862</v>
      </c>
      <c r="T566" t="s">
        <v>46399</v>
      </c>
      <c r="U566" t="s">
        <v>47475</v>
      </c>
      <c r="W566" t="s">
        <v>40885</v>
      </c>
      <c r="X566" t="s">
        <v>44762</v>
      </c>
    </row>
    <row r="567" spans="1:24">
      <c r="A567">
        <f>HYPERLINK("https://www.philgeps.gov.ph/GEPSNONPILOT/Tender/SplashBidNoticeAbstractUI.aspx?menuIndex=3&amp;refID=7152637&amp;Result=3","7152637")</f>
        <v>0</v>
      </c>
      <c r="B567" t="s">
        <v>335</v>
      </c>
      <c r="C567" t="s">
        <v>4313</v>
      </c>
      <c r="D567" t="s">
        <v>17993</v>
      </c>
      <c r="E567" t="s">
        <v>18599</v>
      </c>
      <c r="F567" t="s">
        <v>30900</v>
      </c>
      <c r="G567" t="s">
        <v>30909</v>
      </c>
      <c r="H567" t="s">
        <v>30916</v>
      </c>
      <c r="I567" t="s">
        <v>30957</v>
      </c>
      <c r="J567" t="s">
        <v>31512</v>
      </c>
      <c r="K567" t="s">
        <v>40284</v>
      </c>
      <c r="M567" t="s">
        <v>40886</v>
      </c>
      <c r="N567" t="s">
        <v>44759</v>
      </c>
      <c r="O567" t="s">
        <v>44760</v>
      </c>
      <c r="P567">
        <v>0</v>
      </c>
      <c r="Q567">
        <v>0</v>
      </c>
      <c r="R567" t="s">
        <v>44761</v>
      </c>
      <c r="S567" t="s">
        <v>44862</v>
      </c>
      <c r="T567" t="s">
        <v>46398</v>
      </c>
      <c r="U567" t="s">
        <v>47476</v>
      </c>
      <c r="W567" t="s">
        <v>40886</v>
      </c>
      <c r="X567" t="s">
        <v>44762</v>
      </c>
    </row>
    <row r="568" spans="1:24">
      <c r="A568">
        <f>HYPERLINK("https://www.philgeps.gov.ph/GEPSNONPILOT/Tender/SplashBidNoticeAbstractUI.aspx?menuIndex=3&amp;refID=7152632&amp;Result=3","7152632")</f>
        <v>0</v>
      </c>
      <c r="B568" t="s">
        <v>311</v>
      </c>
      <c r="C568" t="s">
        <v>4314</v>
      </c>
      <c r="E568" t="s">
        <v>18600</v>
      </c>
      <c r="F568" t="s">
        <v>30900</v>
      </c>
      <c r="G568" t="s">
        <v>30908</v>
      </c>
      <c r="H568" t="s">
        <v>30916</v>
      </c>
      <c r="I568" t="s">
        <v>10602</v>
      </c>
      <c r="J568" t="s">
        <v>31513</v>
      </c>
      <c r="K568" t="s">
        <v>40289</v>
      </c>
      <c r="M568" t="s">
        <v>40861</v>
      </c>
      <c r="N568" t="s">
        <v>44759</v>
      </c>
      <c r="O568" t="s">
        <v>44760</v>
      </c>
      <c r="P568">
        <v>0</v>
      </c>
      <c r="Q568">
        <v>0</v>
      </c>
      <c r="R568" t="s">
        <v>44761</v>
      </c>
      <c r="S568" t="s">
        <v>44862</v>
      </c>
      <c r="T568" t="s">
        <v>46399</v>
      </c>
      <c r="U568" t="s">
        <v>47477</v>
      </c>
      <c r="W568" t="s">
        <v>40861</v>
      </c>
      <c r="X568" t="s">
        <v>44762</v>
      </c>
    </row>
    <row r="569" spans="1:24">
      <c r="A569">
        <f>HYPERLINK("https://www.philgeps.gov.ph/GEPSNONPILOT/Tender/SplashBidNoticeAbstractUI.aspx?menuIndex=3&amp;refID=7152645&amp;Result=3","7152645")</f>
        <v>0</v>
      </c>
      <c r="B569" t="s">
        <v>278</v>
      </c>
      <c r="C569" t="s">
        <v>4315</v>
      </c>
      <c r="D569" t="s">
        <v>17995</v>
      </c>
      <c r="E569" t="s">
        <v>18601</v>
      </c>
      <c r="F569" t="s">
        <v>30900</v>
      </c>
      <c r="G569" t="s">
        <v>30907</v>
      </c>
      <c r="H569" t="s">
        <v>30915</v>
      </c>
      <c r="I569" t="s">
        <v>30919</v>
      </c>
      <c r="J569" t="s">
        <v>31214</v>
      </c>
      <c r="K569" t="s">
        <v>40292</v>
      </c>
      <c r="M569" t="s">
        <v>40887</v>
      </c>
      <c r="N569" t="s">
        <v>44759</v>
      </c>
      <c r="O569" t="s">
        <v>44760</v>
      </c>
      <c r="P569">
        <v>0</v>
      </c>
      <c r="Q569">
        <v>0</v>
      </c>
      <c r="R569" t="s">
        <v>44761</v>
      </c>
      <c r="S569" t="s">
        <v>44862</v>
      </c>
      <c r="T569" t="s">
        <v>46456</v>
      </c>
      <c r="U569" t="s">
        <v>47478</v>
      </c>
      <c r="W569" t="s">
        <v>60825</v>
      </c>
      <c r="X569" t="s">
        <v>44762</v>
      </c>
    </row>
    <row r="570" spans="1:24">
      <c r="A570">
        <f>HYPERLINK("https://www.philgeps.gov.ph/GEPSNONPILOT/Tender/SplashBidNoticeAbstractUI.aspx?menuIndex=3&amp;refID=7152620&amp;Result=3","7152620")</f>
        <v>0</v>
      </c>
      <c r="B570" t="s">
        <v>294</v>
      </c>
      <c r="C570" t="s">
        <v>4316</v>
      </c>
      <c r="D570" t="s">
        <v>18019</v>
      </c>
      <c r="E570" t="s">
        <v>18602</v>
      </c>
      <c r="F570" t="s">
        <v>30900</v>
      </c>
      <c r="G570" t="s">
        <v>30907</v>
      </c>
      <c r="H570" t="s">
        <v>30916</v>
      </c>
      <c r="I570" t="s">
        <v>30922</v>
      </c>
      <c r="J570" t="s">
        <v>31514</v>
      </c>
      <c r="K570" t="s">
        <v>40286</v>
      </c>
      <c r="M570" t="s">
        <v>40842</v>
      </c>
      <c r="N570" t="s">
        <v>44759</v>
      </c>
      <c r="O570" t="s">
        <v>44760</v>
      </c>
      <c r="P570">
        <v>0</v>
      </c>
      <c r="Q570">
        <v>0</v>
      </c>
      <c r="R570" t="s">
        <v>44761</v>
      </c>
      <c r="S570" t="s">
        <v>44862</v>
      </c>
      <c r="T570" t="s">
        <v>46471</v>
      </c>
      <c r="U570" t="s">
        <v>47407</v>
      </c>
      <c r="V570" t="s">
        <v>59176</v>
      </c>
      <c r="W570" t="s">
        <v>40842</v>
      </c>
      <c r="X570" t="s">
        <v>44762</v>
      </c>
    </row>
    <row r="571" spans="1:24">
      <c r="A571">
        <f>HYPERLINK("https://www.philgeps.gov.ph/GEPSNONPILOT/Tender/SplashBidNoticeAbstractUI.aspx?menuIndex=3&amp;refID=7152650&amp;Result=3","7152650")</f>
        <v>0</v>
      </c>
      <c r="B571" t="s">
        <v>336</v>
      </c>
      <c r="C571" t="s">
        <v>4317</v>
      </c>
      <c r="D571" t="s">
        <v>17961</v>
      </c>
      <c r="E571" t="s">
        <v>18603</v>
      </c>
      <c r="F571" t="s">
        <v>30900</v>
      </c>
      <c r="G571" t="s">
        <v>30909</v>
      </c>
      <c r="H571" t="s">
        <v>30916</v>
      </c>
      <c r="I571" t="s">
        <v>6396</v>
      </c>
      <c r="J571" t="s">
        <v>31204</v>
      </c>
      <c r="K571" t="s">
        <v>40283</v>
      </c>
      <c r="L571" t="s">
        <v>336</v>
      </c>
      <c r="M571" t="s">
        <v>40888</v>
      </c>
      <c r="N571" t="s">
        <v>44759</v>
      </c>
      <c r="O571" t="s">
        <v>44760</v>
      </c>
      <c r="P571">
        <v>0</v>
      </c>
      <c r="Q571">
        <v>0</v>
      </c>
      <c r="R571" t="s">
        <v>44761</v>
      </c>
      <c r="S571" t="s">
        <v>44862</v>
      </c>
      <c r="T571" t="s">
        <v>46395</v>
      </c>
      <c r="U571" t="s">
        <v>47479</v>
      </c>
      <c r="V571" t="s">
        <v>59177</v>
      </c>
      <c r="W571" t="s">
        <v>40888</v>
      </c>
      <c r="X571" t="s">
        <v>44762</v>
      </c>
    </row>
    <row r="572" spans="1:24">
      <c r="A572">
        <f>HYPERLINK("https://www.philgeps.gov.ph/GEPSNONPILOT/Tender/SplashBidNoticeAbstractUI.aspx?menuIndex=3&amp;refID=7152640&amp;Result=3","7152640")</f>
        <v>0</v>
      </c>
      <c r="B572" t="s">
        <v>337</v>
      </c>
      <c r="C572" t="s">
        <v>4318</v>
      </c>
      <c r="D572" t="s">
        <v>18013</v>
      </c>
      <c r="E572" t="s">
        <v>18604</v>
      </c>
      <c r="F572" t="s">
        <v>30900</v>
      </c>
      <c r="G572" t="s">
        <v>30909</v>
      </c>
      <c r="H572" t="s">
        <v>30916</v>
      </c>
      <c r="I572" t="s">
        <v>8123</v>
      </c>
      <c r="J572" t="s">
        <v>31515</v>
      </c>
      <c r="K572" t="s">
        <v>40285</v>
      </c>
      <c r="M572" t="s">
        <v>40889</v>
      </c>
      <c r="N572" t="s">
        <v>44759</v>
      </c>
      <c r="O572" t="s">
        <v>44760</v>
      </c>
      <c r="P572">
        <v>0</v>
      </c>
      <c r="Q572">
        <v>0</v>
      </c>
      <c r="R572" t="s">
        <v>44761</v>
      </c>
      <c r="S572" t="s">
        <v>44862</v>
      </c>
      <c r="T572" t="s">
        <v>46376</v>
      </c>
      <c r="U572" t="s">
        <v>47480</v>
      </c>
      <c r="W572" t="s">
        <v>40889</v>
      </c>
      <c r="X572" t="s">
        <v>44762</v>
      </c>
    </row>
    <row r="573" spans="1:24">
      <c r="A573">
        <f>HYPERLINK("https://www.philgeps.gov.ph/GEPSNONPILOT/Tender/SplashBidNoticeAbstractUI.aspx?menuIndex=3&amp;refID=7152648&amp;Result=3","7152648")</f>
        <v>0</v>
      </c>
      <c r="B573" t="s">
        <v>338</v>
      </c>
      <c r="C573" t="s">
        <v>4319</v>
      </c>
      <c r="D573" t="s">
        <v>18019</v>
      </c>
      <c r="E573" t="s">
        <v>18605</v>
      </c>
      <c r="F573" t="s">
        <v>30900</v>
      </c>
      <c r="G573" t="s">
        <v>30908</v>
      </c>
      <c r="H573" t="s">
        <v>30917</v>
      </c>
      <c r="I573" t="s">
        <v>5830</v>
      </c>
      <c r="J573" t="s">
        <v>31516</v>
      </c>
      <c r="K573" t="s">
        <v>40288</v>
      </c>
      <c r="M573" t="s">
        <v>40890</v>
      </c>
      <c r="N573" t="s">
        <v>44759</v>
      </c>
      <c r="O573" t="s">
        <v>44760</v>
      </c>
      <c r="P573">
        <v>0</v>
      </c>
      <c r="Q573">
        <v>0</v>
      </c>
      <c r="R573" t="s">
        <v>44761</v>
      </c>
      <c r="S573" t="s">
        <v>44862</v>
      </c>
      <c r="T573" t="s">
        <v>46356</v>
      </c>
      <c r="U573" t="s">
        <v>47481</v>
      </c>
      <c r="W573" t="s">
        <v>40890</v>
      </c>
      <c r="X573" t="s">
        <v>44762</v>
      </c>
    </row>
    <row r="574" spans="1:24">
      <c r="A574">
        <f>HYPERLINK("https://www.philgeps.gov.ph/GEPSNONPILOT/Tender/SplashBidNoticeAbstractUI.aspx?menuIndex=3&amp;refID=7152646&amp;Result=3","7152646")</f>
        <v>0</v>
      </c>
      <c r="B574" t="s">
        <v>299</v>
      </c>
      <c r="C574" t="s">
        <v>4320</v>
      </c>
      <c r="E574" t="s">
        <v>18606</v>
      </c>
      <c r="F574" t="s">
        <v>30900</v>
      </c>
      <c r="G574" t="s">
        <v>30909</v>
      </c>
      <c r="H574" t="s">
        <v>30916</v>
      </c>
      <c r="I574" t="s">
        <v>10602</v>
      </c>
      <c r="J574" t="s">
        <v>31517</v>
      </c>
      <c r="K574" t="s">
        <v>40289</v>
      </c>
      <c r="M574" t="s">
        <v>40848</v>
      </c>
      <c r="N574" t="s">
        <v>44759</v>
      </c>
      <c r="O574" t="s">
        <v>44760</v>
      </c>
      <c r="P574">
        <v>0</v>
      </c>
      <c r="Q574">
        <v>0</v>
      </c>
      <c r="R574" t="s">
        <v>44761</v>
      </c>
      <c r="S574" t="s">
        <v>44862</v>
      </c>
      <c r="T574" t="s">
        <v>46414</v>
      </c>
      <c r="U574" t="s">
        <v>47482</v>
      </c>
      <c r="W574" t="s">
        <v>40848</v>
      </c>
      <c r="X574" t="s">
        <v>44762</v>
      </c>
    </row>
    <row r="575" spans="1:24">
      <c r="A575">
        <f>HYPERLINK("https://www.philgeps.gov.ph/GEPSNONPILOT/Tender/SplashBidNoticeAbstractUI.aspx?menuIndex=3&amp;refID=7152635&amp;Result=3","7152635")</f>
        <v>0</v>
      </c>
      <c r="B575" t="s">
        <v>339</v>
      </c>
      <c r="C575" t="s">
        <v>4321</v>
      </c>
      <c r="D575" t="s">
        <v>17991</v>
      </c>
      <c r="E575" t="s">
        <v>18607</v>
      </c>
      <c r="F575" t="s">
        <v>30900</v>
      </c>
      <c r="G575" t="s">
        <v>30908</v>
      </c>
      <c r="H575" t="s">
        <v>30916</v>
      </c>
      <c r="I575" t="s">
        <v>30924</v>
      </c>
      <c r="J575" t="s">
        <v>31183</v>
      </c>
      <c r="K575" t="s">
        <v>40283</v>
      </c>
      <c r="M575" t="s">
        <v>40891</v>
      </c>
      <c r="N575" t="s">
        <v>44759</v>
      </c>
      <c r="O575" t="s">
        <v>44760</v>
      </c>
      <c r="P575">
        <v>0</v>
      </c>
      <c r="Q575">
        <v>0</v>
      </c>
      <c r="R575" t="s">
        <v>44761</v>
      </c>
      <c r="S575" t="s">
        <v>44862</v>
      </c>
      <c r="T575" t="s">
        <v>46357</v>
      </c>
      <c r="U575" t="s">
        <v>47483</v>
      </c>
      <c r="W575" t="s">
        <v>40891</v>
      </c>
      <c r="X575" t="s">
        <v>44762</v>
      </c>
    </row>
    <row r="576" spans="1:24">
      <c r="A576">
        <f>HYPERLINK("https://www.philgeps.gov.ph/GEPSNONPILOT/Tender/SplashBidNoticeAbstractUI.aspx?menuIndex=3&amp;refID=7152631&amp;Result=3","7152631")</f>
        <v>0</v>
      </c>
      <c r="B576" t="s">
        <v>340</v>
      </c>
      <c r="C576" t="s">
        <v>4322</v>
      </c>
      <c r="D576" t="s">
        <v>17963</v>
      </c>
      <c r="E576" t="s">
        <v>18608</v>
      </c>
      <c r="F576" t="s">
        <v>30900</v>
      </c>
      <c r="G576" t="s">
        <v>30907</v>
      </c>
      <c r="H576" t="s">
        <v>30916</v>
      </c>
      <c r="I576" t="s">
        <v>5501</v>
      </c>
      <c r="J576" t="s">
        <v>31518</v>
      </c>
      <c r="K576" t="s">
        <v>40283</v>
      </c>
      <c r="M576" t="s">
        <v>40892</v>
      </c>
      <c r="N576" t="s">
        <v>44759</v>
      </c>
      <c r="O576" t="s">
        <v>44760</v>
      </c>
      <c r="P576">
        <v>0</v>
      </c>
      <c r="Q576">
        <v>0</v>
      </c>
      <c r="R576" t="s">
        <v>44761</v>
      </c>
      <c r="S576" t="s">
        <v>44862</v>
      </c>
      <c r="T576" t="s">
        <v>46369</v>
      </c>
      <c r="U576" t="s">
        <v>47484</v>
      </c>
      <c r="W576" t="s">
        <v>40892</v>
      </c>
      <c r="X576" t="s">
        <v>44762</v>
      </c>
    </row>
    <row r="577" spans="1:24">
      <c r="A577">
        <f>HYPERLINK("https://www.philgeps.gov.ph/GEPSNONPILOT/Tender/SplashBidNoticeAbstractUI.aspx?menuIndex=3&amp;refID=7152652&amp;Result=3","7152652")</f>
        <v>0</v>
      </c>
      <c r="B577" t="s">
        <v>130</v>
      </c>
      <c r="C577" t="s">
        <v>4323</v>
      </c>
      <c r="D577" t="s">
        <v>17979</v>
      </c>
      <c r="E577" t="s">
        <v>18609</v>
      </c>
      <c r="F577" t="s">
        <v>30900</v>
      </c>
      <c r="G577" t="s">
        <v>30908</v>
      </c>
      <c r="H577" t="s">
        <v>30916</v>
      </c>
      <c r="I577" t="s">
        <v>10602</v>
      </c>
      <c r="J577" t="s">
        <v>31519</v>
      </c>
      <c r="K577" t="s">
        <v>40315</v>
      </c>
      <c r="M577" t="s">
        <v>40677</v>
      </c>
      <c r="N577" t="s">
        <v>44759</v>
      </c>
      <c r="O577" t="s">
        <v>44760</v>
      </c>
      <c r="P577">
        <v>0</v>
      </c>
      <c r="Q577">
        <v>0</v>
      </c>
      <c r="R577" t="s">
        <v>44761</v>
      </c>
      <c r="S577" t="s">
        <v>44862</v>
      </c>
      <c r="T577" t="s">
        <v>46376</v>
      </c>
      <c r="U577" t="s">
        <v>47485</v>
      </c>
      <c r="W577" t="s">
        <v>40677</v>
      </c>
      <c r="X577" t="s">
        <v>44762</v>
      </c>
    </row>
    <row r="578" spans="1:24">
      <c r="A578">
        <f>HYPERLINK("https://www.philgeps.gov.ph/GEPSNONPILOT/Tender/SplashBidNoticeAbstractUI.aspx?menuIndex=3&amp;refID=7152668&amp;Result=3","7152668")</f>
        <v>0</v>
      </c>
      <c r="B578" t="s">
        <v>65</v>
      </c>
      <c r="C578" t="s">
        <v>4324</v>
      </c>
      <c r="D578" t="s">
        <v>17955</v>
      </c>
      <c r="E578" t="s">
        <v>18610</v>
      </c>
      <c r="F578" t="s">
        <v>30900</v>
      </c>
      <c r="G578" t="s">
        <v>30908</v>
      </c>
      <c r="H578" t="s">
        <v>30916</v>
      </c>
      <c r="I578" t="s">
        <v>10879</v>
      </c>
      <c r="J578" t="s">
        <v>31284</v>
      </c>
      <c r="K578" t="s">
        <v>40287</v>
      </c>
      <c r="M578" t="s">
        <v>40893</v>
      </c>
      <c r="N578" t="s">
        <v>44759</v>
      </c>
      <c r="O578" t="s">
        <v>44760</v>
      </c>
      <c r="P578">
        <v>0</v>
      </c>
      <c r="Q578">
        <v>0</v>
      </c>
      <c r="R578" t="s">
        <v>44761</v>
      </c>
      <c r="S578" t="s">
        <v>44862</v>
      </c>
      <c r="T578" t="s">
        <v>46412</v>
      </c>
      <c r="U578" t="s">
        <v>47486</v>
      </c>
      <c r="V578" t="s">
        <v>59178</v>
      </c>
      <c r="W578" t="s">
        <v>40893</v>
      </c>
      <c r="X578" t="s">
        <v>44762</v>
      </c>
    </row>
    <row r="579" spans="1:24">
      <c r="A579">
        <f>HYPERLINK("https://www.philgeps.gov.ph/GEPSNONPILOT/Tender/SplashBidNoticeAbstractUI.aspx?menuIndex=3&amp;refID=7152649&amp;Result=3","7152649")</f>
        <v>0</v>
      </c>
      <c r="B579" t="s">
        <v>341</v>
      </c>
      <c r="C579" t="s">
        <v>4325</v>
      </c>
      <c r="D579" t="s">
        <v>17951</v>
      </c>
      <c r="E579" t="s">
        <v>18611</v>
      </c>
      <c r="F579" t="s">
        <v>30900</v>
      </c>
      <c r="G579" t="s">
        <v>30907</v>
      </c>
      <c r="H579" t="s">
        <v>30916</v>
      </c>
      <c r="I579" t="s">
        <v>6396</v>
      </c>
      <c r="J579" t="s">
        <v>31520</v>
      </c>
      <c r="K579" t="s">
        <v>40286</v>
      </c>
      <c r="L579" t="s">
        <v>341</v>
      </c>
      <c r="M579" t="s">
        <v>40894</v>
      </c>
      <c r="N579" t="s">
        <v>44759</v>
      </c>
      <c r="O579" t="s">
        <v>44760</v>
      </c>
      <c r="P579">
        <v>0</v>
      </c>
      <c r="Q579">
        <v>0</v>
      </c>
      <c r="R579" t="s">
        <v>44761</v>
      </c>
      <c r="S579" t="s">
        <v>44862</v>
      </c>
      <c r="T579" t="s">
        <v>46433</v>
      </c>
      <c r="U579" t="s">
        <v>47487</v>
      </c>
      <c r="V579" t="s">
        <v>48109</v>
      </c>
      <c r="W579" t="s">
        <v>40894</v>
      </c>
      <c r="X579" t="s">
        <v>44762</v>
      </c>
    </row>
    <row r="580" spans="1:24">
      <c r="A580">
        <f>HYPERLINK("https://www.philgeps.gov.ph/GEPSNONPILOT/Tender/SplashBidNoticeAbstractUI.aspx?menuIndex=3&amp;refID=7152666&amp;Result=3","7152666")</f>
        <v>0</v>
      </c>
      <c r="B580" t="s">
        <v>342</v>
      </c>
      <c r="C580" t="s">
        <v>4326</v>
      </c>
      <c r="D580" t="s">
        <v>18016</v>
      </c>
      <c r="E580" t="s">
        <v>18612</v>
      </c>
      <c r="F580" t="s">
        <v>30900</v>
      </c>
      <c r="G580" t="s">
        <v>30909</v>
      </c>
      <c r="H580" t="s">
        <v>30916</v>
      </c>
      <c r="I580" t="s">
        <v>30923</v>
      </c>
      <c r="J580" t="s">
        <v>31521</v>
      </c>
      <c r="K580" t="s">
        <v>40287</v>
      </c>
      <c r="M580" t="s">
        <v>40895</v>
      </c>
      <c r="N580" t="s">
        <v>44759</v>
      </c>
      <c r="O580" t="s">
        <v>44760</v>
      </c>
      <c r="P580">
        <v>0</v>
      </c>
      <c r="Q580">
        <v>0</v>
      </c>
      <c r="R580" t="s">
        <v>44761</v>
      </c>
      <c r="S580" t="s">
        <v>44862</v>
      </c>
      <c r="T580" t="s">
        <v>46357</v>
      </c>
      <c r="U580" t="s">
        <v>47488</v>
      </c>
      <c r="W580" t="s">
        <v>40895</v>
      </c>
      <c r="X580" t="s">
        <v>44762</v>
      </c>
    </row>
    <row r="581" spans="1:24">
      <c r="A581">
        <f>HYPERLINK("https://www.philgeps.gov.ph/GEPSNONPILOT/Tender/SplashBidNoticeAbstractUI.aspx?menuIndex=3&amp;refID=7152647&amp;Result=3","7152647")</f>
        <v>0</v>
      </c>
      <c r="B581" t="s">
        <v>343</v>
      </c>
      <c r="C581" t="s">
        <v>4327</v>
      </c>
      <c r="D581" t="s">
        <v>17994</v>
      </c>
      <c r="E581" t="s">
        <v>18613</v>
      </c>
      <c r="F581" t="s">
        <v>30900</v>
      </c>
      <c r="G581" t="s">
        <v>30908</v>
      </c>
      <c r="H581" t="s">
        <v>30916</v>
      </c>
      <c r="I581" t="s">
        <v>6396</v>
      </c>
      <c r="J581" t="s">
        <v>31522</v>
      </c>
      <c r="K581" t="s">
        <v>40286</v>
      </c>
      <c r="M581" t="s">
        <v>40896</v>
      </c>
      <c r="N581" t="s">
        <v>44759</v>
      </c>
      <c r="O581" t="s">
        <v>44760</v>
      </c>
      <c r="P581">
        <v>0</v>
      </c>
      <c r="Q581">
        <v>0</v>
      </c>
      <c r="R581" t="s">
        <v>44761</v>
      </c>
      <c r="S581" t="s">
        <v>44862</v>
      </c>
      <c r="T581" t="s">
        <v>46409</v>
      </c>
      <c r="U581" t="s">
        <v>47489</v>
      </c>
      <c r="W581" t="s">
        <v>40896</v>
      </c>
      <c r="X581" t="s">
        <v>44762</v>
      </c>
    </row>
    <row r="582" spans="1:24">
      <c r="A582">
        <f>HYPERLINK("https://www.philgeps.gov.ph/GEPSNONPILOT/Tender/SplashBidNoticeAbstractUI.aspx?menuIndex=3&amp;refID=7152664&amp;Result=3","7152664")</f>
        <v>0</v>
      </c>
      <c r="B582" t="s">
        <v>344</v>
      </c>
      <c r="C582" t="s">
        <v>4328</v>
      </c>
      <c r="D582" t="s">
        <v>17961</v>
      </c>
      <c r="E582" t="s">
        <v>18614</v>
      </c>
      <c r="F582" t="s">
        <v>30900</v>
      </c>
      <c r="G582" t="s">
        <v>30909</v>
      </c>
      <c r="H582" t="s">
        <v>30916</v>
      </c>
      <c r="I582" t="s">
        <v>6396</v>
      </c>
      <c r="J582" t="s">
        <v>31523</v>
      </c>
      <c r="K582" t="s">
        <v>40287</v>
      </c>
      <c r="M582" t="s">
        <v>40897</v>
      </c>
      <c r="N582" t="s">
        <v>44759</v>
      </c>
      <c r="O582" t="s">
        <v>44760</v>
      </c>
      <c r="P582">
        <v>0</v>
      </c>
      <c r="Q582">
        <v>0</v>
      </c>
      <c r="R582" t="s">
        <v>44761</v>
      </c>
      <c r="S582" t="s">
        <v>44862</v>
      </c>
      <c r="T582" t="s">
        <v>46376</v>
      </c>
      <c r="U582" t="s">
        <v>47490</v>
      </c>
      <c r="W582" t="s">
        <v>40897</v>
      </c>
      <c r="X582" t="s">
        <v>44762</v>
      </c>
    </row>
    <row r="583" spans="1:24">
      <c r="A583">
        <f>HYPERLINK("https://www.philgeps.gov.ph/GEPSNONPILOT/Tender/SplashBidNoticeAbstractUI.aspx?menuIndex=3&amp;refID=7152663&amp;Result=3","7152663")</f>
        <v>0</v>
      </c>
      <c r="B583" t="s">
        <v>345</v>
      </c>
      <c r="C583" t="s">
        <v>4329</v>
      </c>
      <c r="D583" t="s">
        <v>17977</v>
      </c>
      <c r="E583" t="s">
        <v>18615</v>
      </c>
      <c r="F583" t="s">
        <v>30900</v>
      </c>
      <c r="G583" t="s">
        <v>30910</v>
      </c>
      <c r="H583" t="s">
        <v>30916</v>
      </c>
      <c r="I583" t="s">
        <v>6396</v>
      </c>
      <c r="J583" t="s">
        <v>31524</v>
      </c>
      <c r="K583" t="s">
        <v>40287</v>
      </c>
      <c r="M583" t="s">
        <v>40898</v>
      </c>
      <c r="N583" t="s">
        <v>44759</v>
      </c>
      <c r="O583" t="s">
        <v>44760</v>
      </c>
      <c r="P583">
        <v>0</v>
      </c>
      <c r="Q583">
        <v>0</v>
      </c>
      <c r="R583" t="s">
        <v>44761</v>
      </c>
      <c r="S583" t="s">
        <v>44862</v>
      </c>
      <c r="T583" t="s">
        <v>46376</v>
      </c>
      <c r="U583" t="s">
        <v>47491</v>
      </c>
      <c r="W583" t="s">
        <v>40898</v>
      </c>
      <c r="X583" t="s">
        <v>44762</v>
      </c>
    </row>
    <row r="584" spans="1:24">
      <c r="A584">
        <f>HYPERLINK("https://www.philgeps.gov.ph/GEPSNONPILOT/Tender/SplashBidNoticeAbstractUI.aspx?menuIndex=3&amp;refID=7152634&amp;Result=3","7152634")</f>
        <v>0</v>
      </c>
      <c r="B584" t="s">
        <v>147</v>
      </c>
      <c r="C584" t="s">
        <v>4330</v>
      </c>
      <c r="D584" t="s">
        <v>17970</v>
      </c>
      <c r="E584" t="s">
        <v>18616</v>
      </c>
      <c r="F584" t="s">
        <v>30900</v>
      </c>
      <c r="G584" t="s">
        <v>30910</v>
      </c>
      <c r="H584" t="s">
        <v>30916</v>
      </c>
      <c r="I584" t="s">
        <v>4545</v>
      </c>
      <c r="J584" t="s">
        <v>31525</v>
      </c>
      <c r="K584" t="s">
        <v>40286</v>
      </c>
      <c r="M584" t="s">
        <v>40694</v>
      </c>
      <c r="N584" t="s">
        <v>44759</v>
      </c>
      <c r="O584" t="s">
        <v>44760</v>
      </c>
      <c r="P584">
        <v>0</v>
      </c>
      <c r="Q584">
        <v>0</v>
      </c>
      <c r="R584" t="s">
        <v>44761</v>
      </c>
      <c r="S584" t="s">
        <v>44862</v>
      </c>
      <c r="T584" t="s">
        <v>46421</v>
      </c>
      <c r="U584" t="s">
        <v>47492</v>
      </c>
      <c r="W584" t="s">
        <v>40694</v>
      </c>
      <c r="X584" t="s">
        <v>44762</v>
      </c>
    </row>
    <row r="585" spans="1:24">
      <c r="A585">
        <f>HYPERLINK("https://www.philgeps.gov.ph/GEPSNONPILOT/Tender/SplashBidNoticeAbstractUI.aspx?menuIndex=3&amp;refID=7152662&amp;Result=3","7152662")</f>
        <v>0</v>
      </c>
      <c r="B585" t="s">
        <v>346</v>
      </c>
      <c r="C585" t="s">
        <v>4331</v>
      </c>
      <c r="E585" t="s">
        <v>18617</v>
      </c>
      <c r="F585" t="s">
        <v>30900</v>
      </c>
      <c r="G585" t="s">
        <v>30908</v>
      </c>
      <c r="H585" t="s">
        <v>30916</v>
      </c>
      <c r="I585" t="s">
        <v>30942</v>
      </c>
      <c r="J585" t="s">
        <v>31223</v>
      </c>
      <c r="K585" t="s">
        <v>40289</v>
      </c>
      <c r="M585" t="s">
        <v>40899</v>
      </c>
      <c r="N585" t="s">
        <v>44759</v>
      </c>
      <c r="O585" t="s">
        <v>44760</v>
      </c>
      <c r="P585">
        <v>0</v>
      </c>
      <c r="Q585">
        <v>0</v>
      </c>
      <c r="R585" t="s">
        <v>44761</v>
      </c>
      <c r="S585" t="s">
        <v>44862</v>
      </c>
      <c r="T585" t="s">
        <v>46412</v>
      </c>
      <c r="U585" t="s">
        <v>47493</v>
      </c>
      <c r="V585" t="s">
        <v>59179</v>
      </c>
      <c r="W585" t="s">
        <v>40899</v>
      </c>
      <c r="X585" t="s">
        <v>44762</v>
      </c>
    </row>
    <row r="586" spans="1:24">
      <c r="A586">
        <f>HYPERLINK("https://www.philgeps.gov.ph/GEPSNONPILOT/Tender/SplashBidNoticeAbstractUI.aspx?menuIndex=3&amp;refID=7152661&amp;Result=3","7152661")</f>
        <v>0</v>
      </c>
      <c r="B586" t="s">
        <v>309</v>
      </c>
      <c r="C586" t="s">
        <v>4332</v>
      </c>
      <c r="D586" t="s">
        <v>17995</v>
      </c>
      <c r="E586" t="s">
        <v>18618</v>
      </c>
      <c r="F586" t="s">
        <v>30900</v>
      </c>
      <c r="G586" t="s">
        <v>30908</v>
      </c>
      <c r="H586" t="s">
        <v>30916</v>
      </c>
      <c r="I586" t="s">
        <v>5501</v>
      </c>
      <c r="J586" t="s">
        <v>31526</v>
      </c>
      <c r="K586" t="s">
        <v>40283</v>
      </c>
      <c r="M586" t="s">
        <v>40859</v>
      </c>
      <c r="N586" t="s">
        <v>44759</v>
      </c>
      <c r="O586" t="s">
        <v>44760</v>
      </c>
      <c r="P586">
        <v>0</v>
      </c>
      <c r="Q586">
        <v>0</v>
      </c>
      <c r="R586" t="s">
        <v>44761</v>
      </c>
      <c r="S586" t="s">
        <v>44862</v>
      </c>
      <c r="T586" t="s">
        <v>46425</v>
      </c>
      <c r="U586" t="s">
        <v>47494</v>
      </c>
      <c r="W586" t="s">
        <v>40859</v>
      </c>
      <c r="X586" t="s">
        <v>44762</v>
      </c>
    </row>
    <row r="587" spans="1:24">
      <c r="A587">
        <f>HYPERLINK("https://www.philgeps.gov.ph/GEPSNONPILOT/Tender/SplashBidNoticeAbstractUI.aspx?menuIndex=3&amp;refID=7152674&amp;Result=3","7152674")</f>
        <v>0</v>
      </c>
      <c r="B587" t="s">
        <v>282</v>
      </c>
      <c r="C587" t="s">
        <v>4333</v>
      </c>
      <c r="D587" t="s">
        <v>18022</v>
      </c>
      <c r="E587" t="s">
        <v>18619</v>
      </c>
      <c r="F587" t="s">
        <v>30900</v>
      </c>
      <c r="G587" t="s">
        <v>30908</v>
      </c>
      <c r="H587" t="s">
        <v>30916</v>
      </c>
      <c r="I587" t="s">
        <v>30934</v>
      </c>
      <c r="J587" t="s">
        <v>31527</v>
      </c>
      <c r="K587" t="s">
        <v>40289</v>
      </c>
      <c r="M587" t="s">
        <v>40829</v>
      </c>
      <c r="N587" t="s">
        <v>44759</v>
      </c>
      <c r="O587" t="s">
        <v>44760</v>
      </c>
      <c r="P587">
        <v>0</v>
      </c>
      <c r="Q587">
        <v>0</v>
      </c>
      <c r="R587" t="s">
        <v>44761</v>
      </c>
      <c r="S587" t="s">
        <v>44862</v>
      </c>
      <c r="T587" t="s">
        <v>46421</v>
      </c>
      <c r="U587" t="s">
        <v>47389</v>
      </c>
      <c r="W587" t="s">
        <v>40829</v>
      </c>
      <c r="X587" t="s">
        <v>44762</v>
      </c>
    </row>
    <row r="588" spans="1:24">
      <c r="A588">
        <f>HYPERLINK("https://www.philgeps.gov.ph/GEPSNONPILOT/Tender/SplashBidNoticeAbstractUI.aspx?menuIndex=3&amp;refID=7152667&amp;Result=3","7152667")</f>
        <v>0</v>
      </c>
      <c r="B588" t="s">
        <v>65</v>
      </c>
      <c r="C588" t="s">
        <v>4334</v>
      </c>
      <c r="D588" t="s">
        <v>17971</v>
      </c>
      <c r="E588" t="s">
        <v>18620</v>
      </c>
      <c r="F588" t="s">
        <v>30900</v>
      </c>
      <c r="G588" t="s">
        <v>30909</v>
      </c>
      <c r="H588" t="s">
        <v>30916</v>
      </c>
      <c r="I588" t="s">
        <v>30927</v>
      </c>
      <c r="J588" t="s">
        <v>31528</v>
      </c>
      <c r="K588" t="s">
        <v>40289</v>
      </c>
      <c r="M588" t="s">
        <v>40865</v>
      </c>
      <c r="N588" t="s">
        <v>44759</v>
      </c>
      <c r="O588" t="s">
        <v>44760</v>
      </c>
      <c r="P588">
        <v>0</v>
      </c>
      <c r="Q588">
        <v>0</v>
      </c>
      <c r="R588" t="s">
        <v>44761</v>
      </c>
      <c r="S588" t="s">
        <v>44862</v>
      </c>
      <c r="T588" t="s">
        <v>46390</v>
      </c>
      <c r="U588" t="s">
        <v>47495</v>
      </c>
      <c r="W588" t="s">
        <v>60823</v>
      </c>
      <c r="X588" t="s">
        <v>44762</v>
      </c>
    </row>
    <row r="589" spans="1:24">
      <c r="A589">
        <f>HYPERLINK("https://www.philgeps.gov.ph/GEPSNONPILOT/Tender/SplashBidNoticeAbstractUI.aspx?menuIndex=3&amp;refID=7152651&amp;Result=3","7152651")</f>
        <v>0</v>
      </c>
      <c r="B589" t="s">
        <v>347</v>
      </c>
      <c r="C589" t="s">
        <v>4335</v>
      </c>
      <c r="D589" t="s">
        <v>18025</v>
      </c>
      <c r="E589" t="s">
        <v>18621</v>
      </c>
      <c r="F589" t="s">
        <v>30900</v>
      </c>
      <c r="G589" t="s">
        <v>30908</v>
      </c>
      <c r="H589" t="s">
        <v>30916</v>
      </c>
      <c r="I589" t="s">
        <v>30968</v>
      </c>
      <c r="J589" t="s">
        <v>31529</v>
      </c>
      <c r="K589" t="s">
        <v>40293</v>
      </c>
      <c r="M589" t="s">
        <v>40900</v>
      </c>
      <c r="N589" t="s">
        <v>44759</v>
      </c>
      <c r="O589" t="s">
        <v>44760</v>
      </c>
      <c r="P589">
        <v>0</v>
      </c>
      <c r="Q589">
        <v>0</v>
      </c>
      <c r="R589" t="s">
        <v>44761</v>
      </c>
      <c r="S589" t="s">
        <v>44862</v>
      </c>
      <c r="T589" t="s">
        <v>46421</v>
      </c>
      <c r="U589" t="s">
        <v>47496</v>
      </c>
      <c r="V589" t="s">
        <v>59180</v>
      </c>
      <c r="W589" t="s">
        <v>40900</v>
      </c>
      <c r="X589" t="s">
        <v>44762</v>
      </c>
    </row>
    <row r="590" spans="1:24">
      <c r="A590">
        <f>HYPERLINK("https://www.philgeps.gov.ph/GEPSNONPILOT/Tender/SplashBidNoticeAbstractUI.aspx?menuIndex=3&amp;refID=7152671&amp;Result=3","7152671")</f>
        <v>0</v>
      </c>
      <c r="B590" t="s">
        <v>348</v>
      </c>
      <c r="C590" t="s">
        <v>4336</v>
      </c>
      <c r="D590" t="s">
        <v>17957</v>
      </c>
      <c r="E590" t="s">
        <v>18622</v>
      </c>
      <c r="F590" t="s">
        <v>30900</v>
      </c>
      <c r="G590" t="s">
        <v>30908</v>
      </c>
      <c r="H590" t="s">
        <v>30917</v>
      </c>
      <c r="I590" t="s">
        <v>8044</v>
      </c>
      <c r="J590" t="s">
        <v>31495</v>
      </c>
      <c r="K590" t="s">
        <v>40284</v>
      </c>
      <c r="M590" t="s">
        <v>40901</v>
      </c>
      <c r="N590" t="s">
        <v>44759</v>
      </c>
      <c r="O590" t="s">
        <v>44760</v>
      </c>
      <c r="P590">
        <v>0</v>
      </c>
      <c r="Q590">
        <v>0</v>
      </c>
      <c r="R590" t="s">
        <v>44761</v>
      </c>
      <c r="S590" t="s">
        <v>44862</v>
      </c>
      <c r="T590" t="s">
        <v>46382</v>
      </c>
      <c r="U590" t="s">
        <v>47497</v>
      </c>
      <c r="W590" t="s">
        <v>40901</v>
      </c>
      <c r="X590" t="s">
        <v>44762</v>
      </c>
    </row>
    <row r="591" spans="1:24">
      <c r="A591">
        <f>HYPERLINK("https://www.philgeps.gov.ph/GEPSNONPILOT/Tender/SplashBidNoticeAbstractUI.aspx?menuIndex=3&amp;refID=7152670&amp;Result=3","7152670")</f>
        <v>0</v>
      </c>
      <c r="B591" t="s">
        <v>349</v>
      </c>
      <c r="C591" t="s">
        <v>4337</v>
      </c>
      <c r="D591" t="s">
        <v>17968</v>
      </c>
      <c r="E591" t="s">
        <v>18623</v>
      </c>
      <c r="F591" t="s">
        <v>30900</v>
      </c>
      <c r="G591" t="s">
        <v>30908</v>
      </c>
      <c r="H591" t="s">
        <v>30917</v>
      </c>
      <c r="I591" t="s">
        <v>30957</v>
      </c>
      <c r="J591" t="s">
        <v>31105</v>
      </c>
      <c r="K591" t="s">
        <v>40293</v>
      </c>
      <c r="M591" t="s">
        <v>40902</v>
      </c>
      <c r="N591" t="s">
        <v>44759</v>
      </c>
      <c r="O591" t="s">
        <v>44760</v>
      </c>
      <c r="P591">
        <v>0</v>
      </c>
      <c r="Q591">
        <v>0</v>
      </c>
      <c r="R591" t="s">
        <v>44761</v>
      </c>
      <c r="S591" t="s">
        <v>44862</v>
      </c>
      <c r="T591" t="s">
        <v>46393</v>
      </c>
      <c r="U591" t="s">
        <v>47498</v>
      </c>
      <c r="W591" t="s">
        <v>40902</v>
      </c>
      <c r="X591" t="s">
        <v>44762</v>
      </c>
    </row>
    <row r="592" spans="1:24">
      <c r="A592">
        <f>HYPERLINK("https://www.philgeps.gov.ph/GEPSNONPILOT/Tender/SplashBidNoticeAbstractUI.aspx?menuIndex=3&amp;refID=7152658&amp;Result=3","7152658")</f>
        <v>0</v>
      </c>
      <c r="B592" t="s">
        <v>350</v>
      </c>
      <c r="C592" t="s">
        <v>4338</v>
      </c>
      <c r="D592" t="s">
        <v>18025</v>
      </c>
      <c r="E592" t="s">
        <v>18624</v>
      </c>
      <c r="F592" t="s">
        <v>30900</v>
      </c>
      <c r="G592" t="s">
        <v>30908</v>
      </c>
      <c r="H592" t="s">
        <v>30916</v>
      </c>
      <c r="I592" t="s">
        <v>30924</v>
      </c>
      <c r="J592" t="s">
        <v>31067</v>
      </c>
      <c r="K592" t="s">
        <v>40291</v>
      </c>
      <c r="M592" t="s">
        <v>40903</v>
      </c>
      <c r="N592" t="s">
        <v>44759</v>
      </c>
      <c r="O592" t="s">
        <v>44760</v>
      </c>
      <c r="P592">
        <v>0</v>
      </c>
      <c r="Q592">
        <v>0</v>
      </c>
      <c r="R592" t="s">
        <v>44761</v>
      </c>
      <c r="S592" t="s">
        <v>44862</v>
      </c>
      <c r="T592" t="s">
        <v>46357</v>
      </c>
      <c r="U592" t="s">
        <v>47499</v>
      </c>
      <c r="V592" t="s">
        <v>59181</v>
      </c>
      <c r="W592" t="s">
        <v>60826</v>
      </c>
      <c r="X592" t="s">
        <v>44762</v>
      </c>
    </row>
    <row r="593" spans="1:24">
      <c r="A593">
        <f>HYPERLINK("https://www.philgeps.gov.ph/GEPSNONPILOT/Tender/SplashBidNoticeAbstractUI.aspx?menuIndex=3&amp;refID=7152655&amp;Result=3","7152655")</f>
        <v>0</v>
      </c>
      <c r="B593" t="s">
        <v>351</v>
      </c>
      <c r="C593" t="s">
        <v>4339</v>
      </c>
      <c r="D593" t="s">
        <v>17994</v>
      </c>
      <c r="E593" t="s">
        <v>18625</v>
      </c>
      <c r="F593" t="s">
        <v>30900</v>
      </c>
      <c r="G593" t="s">
        <v>30909</v>
      </c>
      <c r="H593" t="s">
        <v>30916</v>
      </c>
      <c r="I593" t="s">
        <v>30927</v>
      </c>
      <c r="J593" t="s">
        <v>31530</v>
      </c>
      <c r="K593" t="s">
        <v>40283</v>
      </c>
      <c r="M593" t="s">
        <v>40904</v>
      </c>
      <c r="N593" t="s">
        <v>44759</v>
      </c>
      <c r="O593" t="s">
        <v>44760</v>
      </c>
      <c r="P593">
        <v>0</v>
      </c>
      <c r="Q593">
        <v>0</v>
      </c>
      <c r="R593" t="s">
        <v>44761</v>
      </c>
      <c r="S593" t="s">
        <v>44862</v>
      </c>
      <c r="T593" t="s">
        <v>46398</v>
      </c>
      <c r="U593" t="s">
        <v>47500</v>
      </c>
      <c r="V593" t="s">
        <v>59182</v>
      </c>
      <c r="W593" t="s">
        <v>40904</v>
      </c>
      <c r="X593" t="s">
        <v>44762</v>
      </c>
    </row>
    <row r="594" spans="1:24">
      <c r="A594">
        <f>HYPERLINK("https://www.philgeps.gov.ph/GEPSNONPILOT/Tender/SplashBidNoticeAbstractUI.aspx?menuIndex=3&amp;refID=7152654&amp;Result=3","7152654")</f>
        <v>0</v>
      </c>
      <c r="B594" t="s">
        <v>352</v>
      </c>
      <c r="C594" t="s">
        <v>4340</v>
      </c>
      <c r="D594" t="s">
        <v>17993</v>
      </c>
      <c r="E594" t="s">
        <v>18626</v>
      </c>
      <c r="F594" t="s">
        <v>30900</v>
      </c>
      <c r="G594" t="s">
        <v>30908</v>
      </c>
      <c r="H594" t="s">
        <v>30915</v>
      </c>
      <c r="I594" t="s">
        <v>30919</v>
      </c>
      <c r="J594" t="s">
        <v>31531</v>
      </c>
      <c r="K594" t="s">
        <v>40286</v>
      </c>
      <c r="M594" t="s">
        <v>40905</v>
      </c>
      <c r="N594" t="s">
        <v>44759</v>
      </c>
      <c r="O594" t="s">
        <v>44760</v>
      </c>
      <c r="P594">
        <v>0</v>
      </c>
      <c r="Q594">
        <v>0</v>
      </c>
      <c r="R594" t="s">
        <v>44761</v>
      </c>
      <c r="S594" t="s">
        <v>44862</v>
      </c>
      <c r="T594" t="s">
        <v>46399</v>
      </c>
      <c r="U594" t="s">
        <v>47501</v>
      </c>
      <c r="W594" t="s">
        <v>40905</v>
      </c>
      <c r="X594" t="s">
        <v>44762</v>
      </c>
    </row>
    <row r="595" spans="1:24">
      <c r="A595">
        <f>HYPERLINK("https://www.philgeps.gov.ph/GEPSNONPILOT/Tender/SplashBidNoticeAbstractUI.aspx?menuIndex=3&amp;refID=7152672&amp;Result=3","7152672")</f>
        <v>0</v>
      </c>
      <c r="B595" t="s">
        <v>353</v>
      </c>
      <c r="C595" t="s">
        <v>4341</v>
      </c>
      <c r="E595" t="s">
        <v>18627</v>
      </c>
      <c r="F595" t="s">
        <v>30900</v>
      </c>
      <c r="G595" t="s">
        <v>30908</v>
      </c>
      <c r="H595" t="s">
        <v>30916</v>
      </c>
      <c r="I595" t="s">
        <v>8123</v>
      </c>
      <c r="J595" t="s">
        <v>31532</v>
      </c>
      <c r="K595" t="s">
        <v>40314</v>
      </c>
      <c r="M595" t="s">
        <v>40906</v>
      </c>
      <c r="N595" t="s">
        <v>44759</v>
      </c>
      <c r="O595" t="s">
        <v>44760</v>
      </c>
      <c r="P595">
        <v>0</v>
      </c>
      <c r="Q595">
        <v>0</v>
      </c>
      <c r="R595" t="s">
        <v>44761</v>
      </c>
      <c r="S595" t="s">
        <v>44862</v>
      </c>
      <c r="T595" t="s">
        <v>46472</v>
      </c>
      <c r="U595" t="s">
        <v>47502</v>
      </c>
      <c r="W595" t="s">
        <v>40906</v>
      </c>
      <c r="X595" t="s">
        <v>44762</v>
      </c>
    </row>
    <row r="596" spans="1:24">
      <c r="A596">
        <f>HYPERLINK("https://www.philgeps.gov.ph/GEPSNONPILOT/Tender/SplashBidNoticeAbstractUI.aspx?menuIndex=3&amp;refID=7152673&amp;Result=3","7152673")</f>
        <v>0</v>
      </c>
      <c r="B596" t="s">
        <v>331</v>
      </c>
      <c r="C596" t="s">
        <v>4342</v>
      </c>
      <c r="D596" t="s">
        <v>18004</v>
      </c>
      <c r="E596" t="s">
        <v>18628</v>
      </c>
      <c r="F596" t="s">
        <v>30900</v>
      </c>
      <c r="G596" t="s">
        <v>30908</v>
      </c>
      <c r="H596" t="s">
        <v>30916</v>
      </c>
      <c r="I596" t="s">
        <v>4142</v>
      </c>
      <c r="J596" t="s">
        <v>31533</v>
      </c>
      <c r="K596" t="s">
        <v>40292</v>
      </c>
      <c r="M596" t="s">
        <v>40882</v>
      </c>
      <c r="N596" t="s">
        <v>44759</v>
      </c>
      <c r="O596" t="s">
        <v>44760</v>
      </c>
      <c r="P596">
        <v>0</v>
      </c>
      <c r="Q596">
        <v>0</v>
      </c>
      <c r="R596" t="s">
        <v>44761</v>
      </c>
      <c r="S596" t="s">
        <v>44862</v>
      </c>
      <c r="T596" t="s">
        <v>46357</v>
      </c>
      <c r="U596" t="s">
        <v>47469</v>
      </c>
      <c r="W596" t="s">
        <v>40882</v>
      </c>
      <c r="X596" t="s">
        <v>44762</v>
      </c>
    </row>
    <row r="597" spans="1:24">
      <c r="A597">
        <f>HYPERLINK("https://www.philgeps.gov.ph/GEPSNONPILOT/Tender/SplashBidNoticeAbstractUI.aspx?menuIndex=3&amp;refID=7152677&amp;Result=3","7152677")</f>
        <v>0</v>
      </c>
      <c r="B597" t="s">
        <v>354</v>
      </c>
      <c r="C597" t="s">
        <v>4343</v>
      </c>
      <c r="D597" t="s">
        <v>17978</v>
      </c>
      <c r="E597" t="s">
        <v>18629</v>
      </c>
      <c r="F597" t="s">
        <v>30900</v>
      </c>
      <c r="G597" t="s">
        <v>30908</v>
      </c>
      <c r="H597" t="s">
        <v>30916</v>
      </c>
      <c r="I597" t="s">
        <v>8123</v>
      </c>
      <c r="J597" t="s">
        <v>31534</v>
      </c>
      <c r="K597" t="s">
        <v>40289</v>
      </c>
      <c r="M597" t="s">
        <v>40907</v>
      </c>
      <c r="N597" t="s">
        <v>44759</v>
      </c>
      <c r="O597" t="s">
        <v>44760</v>
      </c>
      <c r="P597">
        <v>0</v>
      </c>
      <c r="Q597">
        <v>0</v>
      </c>
      <c r="R597" t="s">
        <v>44761</v>
      </c>
      <c r="S597" t="s">
        <v>44862</v>
      </c>
      <c r="T597" t="s">
        <v>46473</v>
      </c>
      <c r="U597" t="s">
        <v>47043</v>
      </c>
      <c r="W597" t="s">
        <v>40907</v>
      </c>
      <c r="X597" t="s">
        <v>44762</v>
      </c>
    </row>
    <row r="598" spans="1:24">
      <c r="A598">
        <f>HYPERLINK("https://www.philgeps.gov.ph/GEPSNONPILOT/Tender/SplashBidNoticeAbstractUI.aspx?menuIndex=3&amp;refID=7152639&amp;Result=3","7152639")</f>
        <v>0</v>
      </c>
      <c r="B598" t="s">
        <v>355</v>
      </c>
      <c r="C598" t="s">
        <v>4344</v>
      </c>
      <c r="D598" t="s">
        <v>17993</v>
      </c>
      <c r="E598" t="s">
        <v>18630</v>
      </c>
      <c r="F598" t="s">
        <v>30900</v>
      </c>
      <c r="G598" t="s">
        <v>30907</v>
      </c>
      <c r="H598" t="s">
        <v>30916</v>
      </c>
      <c r="I598" t="s">
        <v>8123</v>
      </c>
      <c r="J598" t="s">
        <v>31535</v>
      </c>
      <c r="K598" t="s">
        <v>40285</v>
      </c>
      <c r="M598" t="s">
        <v>40908</v>
      </c>
      <c r="N598" t="s">
        <v>44759</v>
      </c>
      <c r="O598" t="s">
        <v>44760</v>
      </c>
      <c r="P598">
        <v>0</v>
      </c>
      <c r="Q598">
        <v>0</v>
      </c>
      <c r="R598" t="s">
        <v>44761</v>
      </c>
      <c r="S598" t="s">
        <v>44862</v>
      </c>
      <c r="T598" t="s">
        <v>46352</v>
      </c>
      <c r="U598" t="s">
        <v>47503</v>
      </c>
      <c r="W598" t="s">
        <v>40908</v>
      </c>
      <c r="X598" t="s">
        <v>44762</v>
      </c>
    </row>
    <row r="599" spans="1:24">
      <c r="A599">
        <f>HYPERLINK("https://www.philgeps.gov.ph/GEPSNONPILOT/Tender/SplashBidNoticeAbstractUI.aspx?menuIndex=3&amp;refID=7152675&amp;Result=3","7152675")</f>
        <v>0</v>
      </c>
      <c r="B599" t="s">
        <v>98</v>
      </c>
      <c r="C599" t="s">
        <v>4345</v>
      </c>
      <c r="D599" t="s">
        <v>17994</v>
      </c>
      <c r="E599" t="s">
        <v>18631</v>
      </c>
      <c r="F599" t="s">
        <v>30900</v>
      </c>
      <c r="G599" t="s">
        <v>30908</v>
      </c>
      <c r="H599" t="s">
        <v>30916</v>
      </c>
      <c r="I599" t="s">
        <v>6953</v>
      </c>
      <c r="J599" t="s">
        <v>31105</v>
      </c>
      <c r="K599" t="s">
        <v>40289</v>
      </c>
      <c r="M599" t="s">
        <v>40645</v>
      </c>
      <c r="N599" t="s">
        <v>44759</v>
      </c>
      <c r="O599" t="s">
        <v>44760</v>
      </c>
      <c r="P599">
        <v>0</v>
      </c>
      <c r="Q599">
        <v>0</v>
      </c>
      <c r="R599" t="s">
        <v>44761</v>
      </c>
      <c r="S599" t="s">
        <v>44862</v>
      </c>
      <c r="T599" t="s">
        <v>46399</v>
      </c>
      <c r="U599" t="s">
        <v>47504</v>
      </c>
      <c r="V599" t="s">
        <v>59119</v>
      </c>
      <c r="W599" t="s">
        <v>40645</v>
      </c>
      <c r="X599" t="s">
        <v>44762</v>
      </c>
    </row>
    <row r="600" spans="1:24">
      <c r="A600">
        <f>HYPERLINK("https://www.philgeps.gov.ph/GEPSNONPILOT/Tender/SplashBidNoticeAbstractUI.aspx?menuIndex=3&amp;refID=7152694&amp;Result=3","7152694")</f>
        <v>0</v>
      </c>
      <c r="B600" t="s">
        <v>237</v>
      </c>
      <c r="C600" t="s">
        <v>4346</v>
      </c>
      <c r="D600" t="s">
        <v>17977</v>
      </c>
      <c r="E600" t="s">
        <v>18632</v>
      </c>
      <c r="F600" t="s">
        <v>30900</v>
      </c>
      <c r="G600" t="s">
        <v>30908</v>
      </c>
      <c r="H600" t="s">
        <v>30916</v>
      </c>
      <c r="I600" t="s">
        <v>30921</v>
      </c>
      <c r="J600" t="s">
        <v>31101</v>
      </c>
      <c r="K600" t="s">
        <v>40289</v>
      </c>
      <c r="M600" t="s">
        <v>40784</v>
      </c>
      <c r="N600" t="s">
        <v>44759</v>
      </c>
      <c r="O600" t="s">
        <v>44760</v>
      </c>
      <c r="P600">
        <v>0</v>
      </c>
      <c r="Q600">
        <v>0</v>
      </c>
      <c r="R600" t="s">
        <v>44761</v>
      </c>
      <c r="S600" t="s">
        <v>44862</v>
      </c>
      <c r="T600" t="s">
        <v>46393</v>
      </c>
      <c r="U600" t="s">
        <v>47505</v>
      </c>
      <c r="W600" t="s">
        <v>40784</v>
      </c>
      <c r="X600" t="s">
        <v>44762</v>
      </c>
    </row>
    <row r="601" spans="1:24">
      <c r="A601">
        <f>HYPERLINK("https://www.philgeps.gov.ph/GEPSNONPILOT/Tender/SplashBidNoticeAbstractUI.aspx?menuIndex=3&amp;refID=7152669&amp;Result=3","7152669")</f>
        <v>0</v>
      </c>
      <c r="B601" t="s">
        <v>171</v>
      </c>
      <c r="C601" t="s">
        <v>4347</v>
      </c>
      <c r="D601" t="s">
        <v>18011</v>
      </c>
      <c r="E601" t="s">
        <v>18633</v>
      </c>
      <c r="F601" t="s">
        <v>30900</v>
      </c>
      <c r="G601" t="s">
        <v>30908</v>
      </c>
      <c r="H601" t="s">
        <v>30916</v>
      </c>
      <c r="I601" t="s">
        <v>4142</v>
      </c>
      <c r="J601" t="s">
        <v>31536</v>
      </c>
      <c r="K601" t="s">
        <v>40283</v>
      </c>
      <c r="M601" t="s">
        <v>40718</v>
      </c>
      <c r="N601" t="s">
        <v>44759</v>
      </c>
      <c r="O601" t="s">
        <v>44760</v>
      </c>
      <c r="P601">
        <v>0</v>
      </c>
      <c r="Q601">
        <v>0</v>
      </c>
      <c r="R601" t="s">
        <v>44761</v>
      </c>
      <c r="S601" t="s">
        <v>44862</v>
      </c>
      <c r="T601" t="s">
        <v>46357</v>
      </c>
      <c r="U601" t="s">
        <v>47506</v>
      </c>
      <c r="W601" t="s">
        <v>40718</v>
      </c>
      <c r="X601" t="s">
        <v>44762</v>
      </c>
    </row>
    <row r="602" spans="1:24">
      <c r="A602">
        <f>HYPERLINK("https://www.philgeps.gov.ph/GEPSNONPILOT/Tender/SplashBidNoticeAbstractUI.aspx?menuIndex=3&amp;refID=7152692&amp;Result=3","7152692")</f>
        <v>0</v>
      </c>
      <c r="B602" t="s">
        <v>313</v>
      </c>
      <c r="C602" t="s">
        <v>4348</v>
      </c>
      <c r="E602" t="s">
        <v>18634</v>
      </c>
      <c r="F602" t="s">
        <v>30900</v>
      </c>
      <c r="G602" t="s">
        <v>30908</v>
      </c>
      <c r="H602" t="s">
        <v>30916</v>
      </c>
      <c r="I602" t="s">
        <v>30969</v>
      </c>
      <c r="J602" t="s">
        <v>31537</v>
      </c>
      <c r="K602" t="s">
        <v>40289</v>
      </c>
      <c r="M602" t="s">
        <v>40909</v>
      </c>
      <c r="N602" t="s">
        <v>44759</v>
      </c>
      <c r="O602" t="s">
        <v>44760</v>
      </c>
      <c r="P602">
        <v>0</v>
      </c>
      <c r="Q602">
        <v>0</v>
      </c>
      <c r="R602" t="s">
        <v>44761</v>
      </c>
      <c r="S602" t="s">
        <v>44862</v>
      </c>
      <c r="T602" t="s">
        <v>46399</v>
      </c>
      <c r="U602" t="s">
        <v>47507</v>
      </c>
      <c r="W602" t="s">
        <v>40909</v>
      </c>
      <c r="X602" t="s">
        <v>44762</v>
      </c>
    </row>
    <row r="603" spans="1:24">
      <c r="A603">
        <f>HYPERLINK("https://www.philgeps.gov.ph/GEPSNONPILOT/Tender/SplashBidNoticeAbstractUI.aspx?menuIndex=3&amp;refID=7152656&amp;Result=3","7152656")</f>
        <v>0</v>
      </c>
      <c r="B603" t="s">
        <v>356</v>
      </c>
      <c r="C603" t="s">
        <v>4349</v>
      </c>
      <c r="D603" t="s">
        <v>17975</v>
      </c>
      <c r="E603" t="s">
        <v>18635</v>
      </c>
      <c r="F603" t="s">
        <v>30900</v>
      </c>
      <c r="G603" t="s">
        <v>30909</v>
      </c>
      <c r="H603" t="s">
        <v>30916</v>
      </c>
      <c r="I603" t="s">
        <v>30926</v>
      </c>
      <c r="J603" t="s">
        <v>31538</v>
      </c>
      <c r="K603" t="s">
        <v>40289</v>
      </c>
      <c r="M603" t="s">
        <v>40910</v>
      </c>
      <c r="N603" t="s">
        <v>44759</v>
      </c>
      <c r="O603" t="s">
        <v>44760</v>
      </c>
      <c r="P603">
        <v>0</v>
      </c>
      <c r="Q603">
        <v>0</v>
      </c>
      <c r="R603" t="s">
        <v>44761</v>
      </c>
      <c r="S603" t="s">
        <v>44862</v>
      </c>
      <c r="T603" t="s">
        <v>46383</v>
      </c>
      <c r="U603" t="s">
        <v>47508</v>
      </c>
      <c r="V603" t="s">
        <v>59183</v>
      </c>
      <c r="W603" t="s">
        <v>40910</v>
      </c>
      <c r="X603" t="s">
        <v>44762</v>
      </c>
    </row>
    <row r="604" spans="1:24">
      <c r="A604">
        <f>HYPERLINK("https://www.philgeps.gov.ph/GEPSNONPILOT/Tender/SplashBidNoticeAbstractUI.aspx?menuIndex=3&amp;refID=7152653&amp;Result=3","7152653")</f>
        <v>0</v>
      </c>
      <c r="B604" t="s">
        <v>180</v>
      </c>
      <c r="C604" t="s">
        <v>4350</v>
      </c>
      <c r="D604" t="s">
        <v>17987</v>
      </c>
      <c r="E604" t="s">
        <v>18636</v>
      </c>
      <c r="F604" t="s">
        <v>30900</v>
      </c>
      <c r="G604" t="s">
        <v>30907</v>
      </c>
      <c r="H604" t="s">
        <v>30916</v>
      </c>
      <c r="I604" t="s">
        <v>4108</v>
      </c>
      <c r="J604" t="s">
        <v>31539</v>
      </c>
      <c r="K604" t="s">
        <v>40284</v>
      </c>
      <c r="M604" t="s">
        <v>40727</v>
      </c>
      <c r="N604" t="s">
        <v>44759</v>
      </c>
      <c r="O604" t="s">
        <v>44760</v>
      </c>
      <c r="P604">
        <v>0</v>
      </c>
      <c r="Q604">
        <v>0</v>
      </c>
      <c r="R604" t="s">
        <v>44761</v>
      </c>
      <c r="S604" t="s">
        <v>44862</v>
      </c>
      <c r="T604" t="s">
        <v>46353</v>
      </c>
      <c r="U604" t="s">
        <v>47509</v>
      </c>
      <c r="W604" t="s">
        <v>40727</v>
      </c>
      <c r="X604" t="s">
        <v>44762</v>
      </c>
    </row>
    <row r="605" spans="1:24">
      <c r="A605">
        <f>HYPERLINK("https://www.philgeps.gov.ph/GEPSNONPILOT/Tender/SplashBidNoticeAbstractUI.aspx?menuIndex=3&amp;refID=7152678&amp;Result=3","7152678")</f>
        <v>0</v>
      </c>
      <c r="B605" t="s">
        <v>357</v>
      </c>
      <c r="C605" t="s">
        <v>4351</v>
      </c>
      <c r="D605" t="s">
        <v>17977</v>
      </c>
      <c r="E605" t="s">
        <v>18623</v>
      </c>
      <c r="F605" t="s">
        <v>30900</v>
      </c>
      <c r="G605" t="s">
        <v>30909</v>
      </c>
      <c r="H605" t="s">
        <v>30916</v>
      </c>
      <c r="I605" t="s">
        <v>8365</v>
      </c>
      <c r="J605" t="s">
        <v>31540</v>
      </c>
      <c r="K605" t="s">
        <v>40288</v>
      </c>
      <c r="M605" t="s">
        <v>40911</v>
      </c>
      <c r="N605" t="s">
        <v>44759</v>
      </c>
      <c r="O605" t="s">
        <v>44760</v>
      </c>
      <c r="P605">
        <v>0</v>
      </c>
      <c r="Q605">
        <v>0</v>
      </c>
      <c r="R605" t="s">
        <v>44761</v>
      </c>
      <c r="S605" t="s">
        <v>44862</v>
      </c>
      <c r="T605" t="s">
        <v>46412</v>
      </c>
      <c r="U605" t="s">
        <v>47510</v>
      </c>
      <c r="W605" t="s">
        <v>40911</v>
      </c>
      <c r="X605" t="s">
        <v>44762</v>
      </c>
    </row>
    <row r="606" spans="1:24">
      <c r="A606">
        <f>HYPERLINK("https://www.philgeps.gov.ph/GEPSNONPILOT/Tender/SplashBidNoticeAbstractUI.aspx?menuIndex=3&amp;refID=7152695&amp;Result=3","7152695")</f>
        <v>0</v>
      </c>
      <c r="B606" t="s">
        <v>358</v>
      </c>
      <c r="C606" t="s">
        <v>4352</v>
      </c>
      <c r="D606" t="s">
        <v>17996</v>
      </c>
      <c r="E606" t="s">
        <v>18637</v>
      </c>
      <c r="F606" t="s">
        <v>30900</v>
      </c>
      <c r="G606" t="s">
        <v>30908</v>
      </c>
      <c r="H606" t="s">
        <v>30916</v>
      </c>
      <c r="I606" t="s">
        <v>6396</v>
      </c>
      <c r="J606" t="s">
        <v>31541</v>
      </c>
      <c r="K606" t="s">
        <v>40314</v>
      </c>
      <c r="L606" t="s">
        <v>358</v>
      </c>
      <c r="M606" t="s">
        <v>40912</v>
      </c>
      <c r="N606" t="s">
        <v>44759</v>
      </c>
      <c r="O606" t="s">
        <v>44760</v>
      </c>
      <c r="P606">
        <v>0</v>
      </c>
      <c r="Q606">
        <v>0</v>
      </c>
      <c r="R606" t="s">
        <v>44761</v>
      </c>
      <c r="S606" t="s">
        <v>44862</v>
      </c>
      <c r="T606" t="s">
        <v>46474</v>
      </c>
      <c r="U606" t="s">
        <v>47511</v>
      </c>
      <c r="W606" t="s">
        <v>40912</v>
      </c>
      <c r="X606" t="s">
        <v>44762</v>
      </c>
    </row>
    <row r="607" spans="1:24">
      <c r="A607">
        <f>HYPERLINK("https://www.philgeps.gov.ph/GEPSNONPILOT/Tender/SplashBidNoticeAbstractUI.aspx?menuIndex=3&amp;refID=7152690&amp;Result=3","7152690")</f>
        <v>0</v>
      </c>
      <c r="B607" t="s">
        <v>342</v>
      </c>
      <c r="C607" t="s">
        <v>4353</v>
      </c>
      <c r="D607" t="s">
        <v>18016</v>
      </c>
      <c r="E607" t="s">
        <v>18638</v>
      </c>
      <c r="F607" t="s">
        <v>30900</v>
      </c>
      <c r="G607" t="s">
        <v>30909</v>
      </c>
      <c r="H607" t="s">
        <v>30916</v>
      </c>
      <c r="I607" t="s">
        <v>4108</v>
      </c>
      <c r="J607" t="s">
        <v>31447</v>
      </c>
      <c r="K607" t="s">
        <v>40287</v>
      </c>
      <c r="M607" t="s">
        <v>40895</v>
      </c>
      <c r="N607" t="s">
        <v>44759</v>
      </c>
      <c r="O607" t="s">
        <v>44760</v>
      </c>
      <c r="P607">
        <v>0</v>
      </c>
      <c r="Q607">
        <v>0</v>
      </c>
      <c r="R607" t="s">
        <v>44761</v>
      </c>
      <c r="S607" t="s">
        <v>44862</v>
      </c>
      <c r="T607" t="s">
        <v>46357</v>
      </c>
      <c r="U607" t="s">
        <v>47512</v>
      </c>
      <c r="W607" t="s">
        <v>40895</v>
      </c>
      <c r="X607" t="s">
        <v>44762</v>
      </c>
    </row>
    <row r="608" spans="1:24">
      <c r="A608">
        <f>HYPERLINK("https://www.philgeps.gov.ph/GEPSNONPILOT/Tender/SplashBidNoticeAbstractUI.aspx?menuIndex=3&amp;refID=7152689&amp;Result=3","7152689")</f>
        <v>0</v>
      </c>
      <c r="B608" t="s">
        <v>359</v>
      </c>
      <c r="C608" t="s">
        <v>4354</v>
      </c>
      <c r="D608" t="s">
        <v>17960</v>
      </c>
      <c r="E608" t="s">
        <v>18639</v>
      </c>
      <c r="F608" t="s">
        <v>30900</v>
      </c>
      <c r="G608" t="s">
        <v>30908</v>
      </c>
      <c r="H608" t="s">
        <v>30916</v>
      </c>
      <c r="I608" t="s">
        <v>30955</v>
      </c>
      <c r="J608" t="s">
        <v>31542</v>
      </c>
      <c r="K608" t="s">
        <v>40287</v>
      </c>
      <c r="L608" t="s">
        <v>359</v>
      </c>
      <c r="M608" t="s">
        <v>40913</v>
      </c>
      <c r="N608" t="s">
        <v>44759</v>
      </c>
      <c r="O608" t="s">
        <v>44760</v>
      </c>
      <c r="P608">
        <v>0</v>
      </c>
      <c r="Q608">
        <v>0</v>
      </c>
      <c r="R608" t="s">
        <v>44761</v>
      </c>
      <c r="S608" t="s">
        <v>44862</v>
      </c>
      <c r="T608" t="s">
        <v>46390</v>
      </c>
      <c r="U608" t="s">
        <v>47513</v>
      </c>
      <c r="W608" t="s">
        <v>40913</v>
      </c>
      <c r="X608" t="s">
        <v>44762</v>
      </c>
    </row>
    <row r="609" spans="1:24">
      <c r="A609">
        <f>HYPERLINK("https://www.philgeps.gov.ph/GEPSNONPILOT/Tender/SplashBidNoticeAbstractUI.aspx?menuIndex=3&amp;refID=7152688&amp;Result=3","7152688")</f>
        <v>0</v>
      </c>
      <c r="B609" t="s">
        <v>360</v>
      </c>
      <c r="C609" t="s">
        <v>4355</v>
      </c>
      <c r="D609" t="s">
        <v>17974</v>
      </c>
      <c r="E609" t="s">
        <v>18066</v>
      </c>
      <c r="F609" t="s">
        <v>30900</v>
      </c>
      <c r="G609" t="s">
        <v>30909</v>
      </c>
      <c r="H609" t="s">
        <v>30916</v>
      </c>
      <c r="I609" t="s">
        <v>4545</v>
      </c>
      <c r="J609" t="s">
        <v>31247</v>
      </c>
      <c r="K609" t="s">
        <v>40288</v>
      </c>
      <c r="M609" t="s">
        <v>40914</v>
      </c>
      <c r="N609" t="s">
        <v>44759</v>
      </c>
      <c r="O609" t="s">
        <v>44760</v>
      </c>
      <c r="P609">
        <v>0</v>
      </c>
      <c r="Q609">
        <v>0</v>
      </c>
      <c r="R609" t="s">
        <v>44761</v>
      </c>
      <c r="S609" t="s">
        <v>44862</v>
      </c>
      <c r="T609" t="s">
        <v>46399</v>
      </c>
      <c r="U609" t="s">
        <v>47514</v>
      </c>
      <c r="W609" t="s">
        <v>40914</v>
      </c>
      <c r="X609" t="s">
        <v>44762</v>
      </c>
    </row>
    <row r="610" spans="1:24">
      <c r="A610">
        <f>HYPERLINK("https://www.philgeps.gov.ph/GEPSNONPILOT/Tender/SplashBidNoticeAbstractUI.aspx?menuIndex=3&amp;refID=7152687&amp;Result=3","7152687")</f>
        <v>0</v>
      </c>
      <c r="B610" t="s">
        <v>361</v>
      </c>
      <c r="C610" t="s">
        <v>4356</v>
      </c>
      <c r="D610" t="s">
        <v>17975</v>
      </c>
      <c r="E610" t="s">
        <v>18640</v>
      </c>
      <c r="F610" t="s">
        <v>30900</v>
      </c>
      <c r="G610" t="s">
        <v>30908</v>
      </c>
      <c r="H610" t="s">
        <v>30916</v>
      </c>
      <c r="I610" t="s">
        <v>30923</v>
      </c>
      <c r="J610" t="s">
        <v>31337</v>
      </c>
      <c r="K610" t="s">
        <v>40287</v>
      </c>
      <c r="M610" t="s">
        <v>40915</v>
      </c>
      <c r="N610" t="s">
        <v>44759</v>
      </c>
      <c r="O610" t="s">
        <v>44760</v>
      </c>
      <c r="P610">
        <v>0</v>
      </c>
      <c r="Q610">
        <v>0</v>
      </c>
      <c r="R610" t="s">
        <v>44761</v>
      </c>
      <c r="S610" t="s">
        <v>44862</v>
      </c>
      <c r="T610" t="s">
        <v>46399</v>
      </c>
      <c r="U610" t="s">
        <v>47515</v>
      </c>
      <c r="W610" t="s">
        <v>40915</v>
      </c>
      <c r="X610" t="s">
        <v>44762</v>
      </c>
    </row>
    <row r="611" spans="1:24">
      <c r="A611">
        <f>HYPERLINK("https://www.philgeps.gov.ph/GEPSNONPILOT/Tender/SplashBidNoticeAbstractUI.aspx?menuIndex=3&amp;refID=7152686&amp;Result=3","7152686")</f>
        <v>0</v>
      </c>
      <c r="B611" t="s">
        <v>343</v>
      </c>
      <c r="C611" t="s">
        <v>4357</v>
      </c>
      <c r="D611" t="s">
        <v>17994</v>
      </c>
      <c r="E611" t="s">
        <v>18641</v>
      </c>
      <c r="F611" t="s">
        <v>30900</v>
      </c>
      <c r="G611" t="s">
        <v>30908</v>
      </c>
      <c r="H611" t="s">
        <v>30916</v>
      </c>
      <c r="I611" t="s">
        <v>4017</v>
      </c>
      <c r="J611" t="s">
        <v>31263</v>
      </c>
      <c r="K611" t="s">
        <v>40291</v>
      </c>
      <c r="M611" t="s">
        <v>40896</v>
      </c>
      <c r="N611" t="s">
        <v>44759</v>
      </c>
      <c r="O611" t="s">
        <v>44760</v>
      </c>
      <c r="P611">
        <v>0</v>
      </c>
      <c r="Q611">
        <v>0</v>
      </c>
      <c r="R611" t="s">
        <v>44761</v>
      </c>
      <c r="S611" t="s">
        <v>44862</v>
      </c>
      <c r="T611" t="s">
        <v>46409</v>
      </c>
      <c r="U611" t="s">
        <v>47516</v>
      </c>
      <c r="W611" t="s">
        <v>40896</v>
      </c>
      <c r="X611" t="s">
        <v>44762</v>
      </c>
    </row>
    <row r="612" spans="1:24">
      <c r="A612">
        <f>HYPERLINK("https://www.philgeps.gov.ph/GEPSNONPILOT/Tender/SplashBidNoticeAbstractUI.aspx?menuIndex=3&amp;refID=7152684&amp;Result=3","7152684")</f>
        <v>0</v>
      </c>
      <c r="B612" t="s">
        <v>362</v>
      </c>
      <c r="C612" t="s">
        <v>4358</v>
      </c>
      <c r="D612" t="s">
        <v>17981</v>
      </c>
      <c r="E612" t="s">
        <v>18420</v>
      </c>
      <c r="F612" t="s">
        <v>30900</v>
      </c>
      <c r="G612" t="s">
        <v>30907</v>
      </c>
      <c r="H612" t="s">
        <v>30915</v>
      </c>
      <c r="I612" t="s">
        <v>30919</v>
      </c>
      <c r="J612" t="s">
        <v>31096</v>
      </c>
      <c r="K612" t="s">
        <v>40286</v>
      </c>
      <c r="M612" t="s">
        <v>40916</v>
      </c>
      <c r="N612" t="s">
        <v>44759</v>
      </c>
      <c r="O612" t="s">
        <v>44760</v>
      </c>
      <c r="P612">
        <v>0</v>
      </c>
      <c r="Q612">
        <v>0</v>
      </c>
      <c r="R612" t="s">
        <v>44761</v>
      </c>
      <c r="S612" t="s">
        <v>44862</v>
      </c>
      <c r="T612" t="s">
        <v>46352</v>
      </c>
      <c r="U612" t="s">
        <v>47377</v>
      </c>
      <c r="W612" t="s">
        <v>40916</v>
      </c>
      <c r="X612" t="s">
        <v>44762</v>
      </c>
    </row>
    <row r="613" spans="1:24">
      <c r="A613">
        <f>HYPERLINK("https://www.philgeps.gov.ph/GEPSNONPILOT/Tender/SplashBidNoticeAbstractUI.aspx?menuIndex=3&amp;refID=7152696&amp;Result=3","7152696")</f>
        <v>0</v>
      </c>
      <c r="B613" t="s">
        <v>363</v>
      </c>
      <c r="C613" t="s">
        <v>4359</v>
      </c>
      <c r="D613" t="s">
        <v>17980</v>
      </c>
      <c r="E613" t="s">
        <v>18642</v>
      </c>
      <c r="F613" t="s">
        <v>30900</v>
      </c>
      <c r="G613" t="s">
        <v>30907</v>
      </c>
      <c r="H613" t="s">
        <v>30916</v>
      </c>
      <c r="I613" t="s">
        <v>30939</v>
      </c>
      <c r="J613" t="s">
        <v>31101</v>
      </c>
      <c r="K613" t="s">
        <v>40286</v>
      </c>
      <c r="M613" t="s">
        <v>40917</v>
      </c>
      <c r="N613" t="s">
        <v>44759</v>
      </c>
      <c r="O613" t="s">
        <v>44760</v>
      </c>
      <c r="P613">
        <v>0</v>
      </c>
      <c r="Q613">
        <v>0</v>
      </c>
      <c r="R613" t="s">
        <v>44761</v>
      </c>
      <c r="S613" t="s">
        <v>44862</v>
      </c>
      <c r="T613" t="s">
        <v>46361</v>
      </c>
      <c r="U613" t="s">
        <v>47517</v>
      </c>
      <c r="V613" t="s">
        <v>59184</v>
      </c>
      <c r="W613" t="s">
        <v>40917</v>
      </c>
      <c r="X613" t="s">
        <v>44762</v>
      </c>
    </row>
    <row r="614" spans="1:24">
      <c r="A614">
        <f>HYPERLINK("https://www.philgeps.gov.ph/GEPSNONPILOT/Tender/SplashBidNoticeAbstractUI.aspx?menuIndex=3&amp;refID=7152683&amp;Result=3","7152683")</f>
        <v>0</v>
      </c>
      <c r="B614" t="s">
        <v>237</v>
      </c>
      <c r="C614" t="s">
        <v>4360</v>
      </c>
      <c r="D614" t="s">
        <v>17977</v>
      </c>
      <c r="E614" t="s">
        <v>18643</v>
      </c>
      <c r="F614" t="s">
        <v>30900</v>
      </c>
      <c r="G614" t="s">
        <v>30910</v>
      </c>
      <c r="H614" t="s">
        <v>30916</v>
      </c>
      <c r="I614" t="s">
        <v>6396</v>
      </c>
      <c r="J614" t="s">
        <v>31543</v>
      </c>
      <c r="K614" t="s">
        <v>40289</v>
      </c>
      <c r="M614" t="s">
        <v>40784</v>
      </c>
      <c r="N614" t="s">
        <v>44759</v>
      </c>
      <c r="O614" t="s">
        <v>44760</v>
      </c>
      <c r="P614">
        <v>0</v>
      </c>
      <c r="Q614">
        <v>0</v>
      </c>
      <c r="R614" t="s">
        <v>44761</v>
      </c>
      <c r="S614" t="s">
        <v>44862</v>
      </c>
      <c r="T614" t="s">
        <v>46393</v>
      </c>
      <c r="U614" t="s">
        <v>47518</v>
      </c>
      <c r="W614" t="s">
        <v>40784</v>
      </c>
      <c r="X614" t="s">
        <v>44762</v>
      </c>
    </row>
    <row r="615" spans="1:24">
      <c r="A615">
        <f>HYPERLINK("https://www.philgeps.gov.ph/GEPSNONPILOT/Tender/SplashBidNoticeAbstractUI.aspx?menuIndex=3&amp;refID=7152682&amp;Result=3","7152682")</f>
        <v>0</v>
      </c>
      <c r="B615" t="s">
        <v>327</v>
      </c>
      <c r="C615" t="s">
        <v>4299</v>
      </c>
      <c r="D615" t="s">
        <v>18022</v>
      </c>
      <c r="E615" t="s">
        <v>18644</v>
      </c>
      <c r="F615" t="s">
        <v>30900</v>
      </c>
      <c r="G615" t="s">
        <v>30909</v>
      </c>
      <c r="H615" t="s">
        <v>30916</v>
      </c>
      <c r="I615" t="s">
        <v>8123</v>
      </c>
      <c r="J615" t="s">
        <v>31544</v>
      </c>
      <c r="K615" t="s">
        <v>40287</v>
      </c>
      <c r="M615" t="s">
        <v>40878</v>
      </c>
      <c r="N615" t="s">
        <v>44759</v>
      </c>
      <c r="O615" t="s">
        <v>44760</v>
      </c>
      <c r="P615">
        <v>0</v>
      </c>
      <c r="Q615">
        <v>0</v>
      </c>
      <c r="R615" t="s">
        <v>44761</v>
      </c>
      <c r="S615" t="s">
        <v>44862</v>
      </c>
      <c r="T615" t="s">
        <v>46400</v>
      </c>
      <c r="U615" t="s">
        <v>47519</v>
      </c>
      <c r="W615" t="s">
        <v>40878</v>
      </c>
      <c r="X615" t="s">
        <v>44762</v>
      </c>
    </row>
    <row r="616" spans="1:24">
      <c r="A616">
        <f>HYPERLINK("https://www.philgeps.gov.ph/GEPSNONPILOT/Tender/SplashBidNoticeAbstractUI.aspx?menuIndex=3&amp;refID=7152681&amp;Result=3","7152681")</f>
        <v>0</v>
      </c>
      <c r="B616" t="s">
        <v>364</v>
      </c>
      <c r="C616" t="s">
        <v>4361</v>
      </c>
      <c r="D616" t="s">
        <v>17991</v>
      </c>
      <c r="E616" t="s">
        <v>18645</v>
      </c>
      <c r="F616" t="s">
        <v>30900</v>
      </c>
      <c r="G616" t="s">
        <v>30907</v>
      </c>
      <c r="H616" t="s">
        <v>30916</v>
      </c>
      <c r="I616" t="s">
        <v>30933</v>
      </c>
      <c r="J616" t="s">
        <v>31545</v>
      </c>
      <c r="K616" t="s">
        <v>40292</v>
      </c>
      <c r="M616" t="s">
        <v>40918</v>
      </c>
      <c r="N616" t="s">
        <v>44759</v>
      </c>
      <c r="O616" t="s">
        <v>44760</v>
      </c>
      <c r="P616">
        <v>0</v>
      </c>
      <c r="Q616">
        <v>1</v>
      </c>
      <c r="R616" t="s">
        <v>44761</v>
      </c>
      <c r="S616" t="s">
        <v>44862</v>
      </c>
      <c r="T616" t="s">
        <v>46475</v>
      </c>
      <c r="U616" t="s">
        <v>47520</v>
      </c>
      <c r="V616" t="s">
        <v>59185</v>
      </c>
      <c r="W616" t="s">
        <v>40918</v>
      </c>
      <c r="X616" t="s">
        <v>44762</v>
      </c>
    </row>
    <row r="617" spans="1:24">
      <c r="A617">
        <f>HYPERLINK("https://www.philgeps.gov.ph/GEPSNONPILOT/Tender/SplashBidNoticeAbstractUI.aspx?menuIndex=3&amp;refID=7152700&amp;Result=3","7152700")</f>
        <v>0</v>
      </c>
      <c r="B617" t="s">
        <v>130</v>
      </c>
      <c r="C617" t="s">
        <v>4362</v>
      </c>
      <c r="D617" t="s">
        <v>17979</v>
      </c>
      <c r="E617" t="s">
        <v>18646</v>
      </c>
      <c r="F617" t="s">
        <v>30900</v>
      </c>
      <c r="G617" t="s">
        <v>30908</v>
      </c>
      <c r="H617" t="s">
        <v>30916</v>
      </c>
      <c r="I617" t="s">
        <v>10602</v>
      </c>
      <c r="J617" t="s">
        <v>31546</v>
      </c>
      <c r="K617" t="s">
        <v>40315</v>
      </c>
      <c r="M617" t="s">
        <v>40677</v>
      </c>
      <c r="N617" t="s">
        <v>44759</v>
      </c>
      <c r="O617" t="s">
        <v>44760</v>
      </c>
      <c r="P617">
        <v>0</v>
      </c>
      <c r="Q617">
        <v>0</v>
      </c>
      <c r="R617" t="s">
        <v>44761</v>
      </c>
      <c r="S617" t="s">
        <v>44862</v>
      </c>
      <c r="T617" t="s">
        <v>46376</v>
      </c>
      <c r="U617" t="s">
        <v>47521</v>
      </c>
      <c r="W617" t="s">
        <v>40677</v>
      </c>
      <c r="X617" t="s">
        <v>44762</v>
      </c>
    </row>
    <row r="618" spans="1:24">
      <c r="A618">
        <f>HYPERLINK("https://www.philgeps.gov.ph/GEPSNONPILOT/Tender/SplashBidNoticeAbstractUI.aspx?menuIndex=3&amp;refID=7152633&amp;Result=3","7152633")</f>
        <v>0</v>
      </c>
      <c r="B618" t="s">
        <v>106</v>
      </c>
      <c r="C618" t="s">
        <v>4363</v>
      </c>
      <c r="D618" t="s">
        <v>17961</v>
      </c>
      <c r="E618" t="s">
        <v>18647</v>
      </c>
      <c r="F618" t="s">
        <v>30900</v>
      </c>
      <c r="G618" t="s">
        <v>30908</v>
      </c>
      <c r="H618" t="s">
        <v>30916</v>
      </c>
      <c r="I618" t="s">
        <v>10847</v>
      </c>
      <c r="J618" t="s">
        <v>31547</v>
      </c>
      <c r="K618" t="s">
        <v>40289</v>
      </c>
      <c r="M618" t="s">
        <v>40653</v>
      </c>
      <c r="N618" t="s">
        <v>44759</v>
      </c>
      <c r="O618" t="s">
        <v>44760</v>
      </c>
      <c r="P618">
        <v>0</v>
      </c>
      <c r="Q618">
        <v>0</v>
      </c>
      <c r="R618" t="s">
        <v>44761</v>
      </c>
      <c r="S618" t="s">
        <v>44862</v>
      </c>
      <c r="T618" t="s">
        <v>46376</v>
      </c>
      <c r="U618" t="s">
        <v>47522</v>
      </c>
      <c r="V618" t="s">
        <v>59186</v>
      </c>
      <c r="W618" t="s">
        <v>40653</v>
      </c>
      <c r="X618" t="s">
        <v>44762</v>
      </c>
    </row>
    <row r="619" spans="1:24">
      <c r="A619">
        <f>HYPERLINK("https://www.philgeps.gov.ph/GEPSNONPILOT/Tender/SplashBidNoticeAbstractUI.aspx?menuIndex=3&amp;refID=7152713&amp;Result=3","7152713")</f>
        <v>0</v>
      </c>
      <c r="B619" t="s">
        <v>365</v>
      </c>
      <c r="C619" t="s">
        <v>4364</v>
      </c>
      <c r="D619" t="s">
        <v>17957</v>
      </c>
      <c r="E619" t="s">
        <v>18648</v>
      </c>
      <c r="F619" t="s">
        <v>30900</v>
      </c>
      <c r="G619" t="s">
        <v>30908</v>
      </c>
      <c r="H619" t="s">
        <v>30916</v>
      </c>
      <c r="I619" t="s">
        <v>9385</v>
      </c>
      <c r="J619" t="s">
        <v>31548</v>
      </c>
      <c r="K619" t="s">
        <v>40283</v>
      </c>
      <c r="M619" t="s">
        <v>40919</v>
      </c>
      <c r="N619" t="s">
        <v>44759</v>
      </c>
      <c r="O619" t="s">
        <v>44760</v>
      </c>
      <c r="P619">
        <v>0</v>
      </c>
      <c r="Q619">
        <v>0</v>
      </c>
      <c r="R619" t="s">
        <v>44761</v>
      </c>
      <c r="S619" t="s">
        <v>44862</v>
      </c>
      <c r="T619" t="s">
        <v>46421</v>
      </c>
      <c r="U619" t="s">
        <v>47523</v>
      </c>
      <c r="W619" t="s">
        <v>40919</v>
      </c>
      <c r="X619" t="s">
        <v>44762</v>
      </c>
    </row>
    <row r="620" spans="1:24">
      <c r="A620">
        <f>HYPERLINK("https://www.philgeps.gov.ph/GEPSNONPILOT/Tender/SplashBidNoticeAbstractUI.aspx?menuIndex=3&amp;refID=7152712&amp;Result=3","7152712")</f>
        <v>0</v>
      </c>
      <c r="B620" t="s">
        <v>337</v>
      </c>
      <c r="C620" t="s">
        <v>4365</v>
      </c>
      <c r="D620" t="s">
        <v>18013</v>
      </c>
      <c r="E620" t="s">
        <v>18649</v>
      </c>
      <c r="F620" t="s">
        <v>30900</v>
      </c>
      <c r="G620" t="s">
        <v>30909</v>
      </c>
      <c r="H620" t="s">
        <v>30916</v>
      </c>
      <c r="I620" t="s">
        <v>4142</v>
      </c>
      <c r="J620" t="s">
        <v>31549</v>
      </c>
      <c r="K620" t="s">
        <v>40285</v>
      </c>
      <c r="M620" t="s">
        <v>40889</v>
      </c>
      <c r="N620" t="s">
        <v>44759</v>
      </c>
      <c r="O620" t="s">
        <v>44760</v>
      </c>
      <c r="P620">
        <v>0</v>
      </c>
      <c r="Q620">
        <v>0</v>
      </c>
      <c r="R620" t="s">
        <v>44761</v>
      </c>
      <c r="S620" t="s">
        <v>44862</v>
      </c>
      <c r="T620" t="s">
        <v>46376</v>
      </c>
      <c r="U620" t="s">
        <v>47524</v>
      </c>
      <c r="W620" t="s">
        <v>40889</v>
      </c>
      <c r="X620" t="s">
        <v>44762</v>
      </c>
    </row>
    <row r="621" spans="1:24">
      <c r="A621">
        <f>HYPERLINK("https://www.philgeps.gov.ph/GEPSNONPILOT/Tender/SplashBidNoticeAbstractUI.aspx?menuIndex=3&amp;refID=7152691&amp;Result=3","7152691")</f>
        <v>0</v>
      </c>
      <c r="B621" t="s">
        <v>351</v>
      </c>
      <c r="C621" t="s">
        <v>4366</v>
      </c>
      <c r="D621" t="s">
        <v>17994</v>
      </c>
      <c r="E621" t="s">
        <v>18650</v>
      </c>
      <c r="F621" t="s">
        <v>30900</v>
      </c>
      <c r="G621" t="s">
        <v>30909</v>
      </c>
      <c r="H621" t="s">
        <v>30916</v>
      </c>
      <c r="I621" t="s">
        <v>30927</v>
      </c>
      <c r="J621" t="s">
        <v>31550</v>
      </c>
      <c r="K621" t="s">
        <v>40283</v>
      </c>
      <c r="M621" t="s">
        <v>40904</v>
      </c>
      <c r="N621" t="s">
        <v>44759</v>
      </c>
      <c r="O621" t="s">
        <v>44760</v>
      </c>
      <c r="P621">
        <v>0</v>
      </c>
      <c r="Q621">
        <v>0</v>
      </c>
      <c r="R621" t="s">
        <v>44761</v>
      </c>
      <c r="S621" t="s">
        <v>44862</v>
      </c>
      <c r="T621" t="s">
        <v>46398</v>
      </c>
      <c r="U621" t="s">
        <v>47525</v>
      </c>
      <c r="V621" t="s">
        <v>59182</v>
      </c>
      <c r="W621" t="s">
        <v>40904</v>
      </c>
      <c r="X621" t="s">
        <v>44762</v>
      </c>
    </row>
    <row r="622" spans="1:24">
      <c r="A622">
        <f>HYPERLINK("https://www.philgeps.gov.ph/GEPSNONPILOT/Tender/SplashBidNoticeAbstractUI.aspx?menuIndex=3&amp;refID=7152719&amp;Result=3","7152719")</f>
        <v>0</v>
      </c>
      <c r="B622" t="s">
        <v>366</v>
      </c>
      <c r="C622" t="s">
        <v>4367</v>
      </c>
      <c r="D622" t="s">
        <v>17977</v>
      </c>
      <c r="E622" t="s">
        <v>18651</v>
      </c>
      <c r="F622" t="s">
        <v>30900</v>
      </c>
      <c r="G622" t="s">
        <v>30908</v>
      </c>
      <c r="H622" t="s">
        <v>30917</v>
      </c>
      <c r="I622" t="s">
        <v>30924</v>
      </c>
      <c r="J622" t="s">
        <v>31139</v>
      </c>
      <c r="K622" t="s">
        <v>40286</v>
      </c>
      <c r="M622" t="s">
        <v>40920</v>
      </c>
      <c r="N622" t="s">
        <v>44759</v>
      </c>
      <c r="O622" t="s">
        <v>44760</v>
      </c>
      <c r="P622">
        <v>0</v>
      </c>
      <c r="Q622">
        <v>0</v>
      </c>
      <c r="R622" t="s">
        <v>44761</v>
      </c>
      <c r="S622" t="s">
        <v>44862</v>
      </c>
      <c r="T622" t="s">
        <v>46412</v>
      </c>
      <c r="U622" t="s">
        <v>47526</v>
      </c>
      <c r="V622" t="s">
        <v>59187</v>
      </c>
      <c r="W622" t="s">
        <v>40920</v>
      </c>
      <c r="X622" t="s">
        <v>44762</v>
      </c>
    </row>
    <row r="623" spans="1:24">
      <c r="A623">
        <f>HYPERLINK("https://www.philgeps.gov.ph/GEPSNONPILOT/Tender/SplashBidNoticeAbstractUI.aspx?menuIndex=3&amp;refID=7152718&amp;Result=3","7152718")</f>
        <v>0</v>
      </c>
      <c r="B623" t="s">
        <v>364</v>
      </c>
      <c r="C623" t="s">
        <v>4368</v>
      </c>
      <c r="D623" t="s">
        <v>17991</v>
      </c>
      <c r="E623" t="s">
        <v>18652</v>
      </c>
      <c r="F623" t="s">
        <v>30900</v>
      </c>
      <c r="G623" t="s">
        <v>30907</v>
      </c>
      <c r="H623" t="s">
        <v>30916</v>
      </c>
      <c r="I623" t="s">
        <v>30939</v>
      </c>
      <c r="J623" t="s">
        <v>31551</v>
      </c>
      <c r="K623" t="s">
        <v>40286</v>
      </c>
      <c r="M623" t="s">
        <v>40918</v>
      </c>
      <c r="N623" t="s">
        <v>44759</v>
      </c>
      <c r="O623" t="s">
        <v>44760</v>
      </c>
      <c r="P623">
        <v>0</v>
      </c>
      <c r="Q623">
        <v>0</v>
      </c>
      <c r="R623" t="s">
        <v>44761</v>
      </c>
      <c r="S623" t="s">
        <v>44862</v>
      </c>
      <c r="T623" t="s">
        <v>46475</v>
      </c>
      <c r="U623" t="s">
        <v>47527</v>
      </c>
      <c r="V623" t="s">
        <v>59188</v>
      </c>
      <c r="W623" t="s">
        <v>40918</v>
      </c>
      <c r="X623" t="s">
        <v>44762</v>
      </c>
    </row>
    <row r="624" spans="1:24">
      <c r="A624">
        <f>HYPERLINK("https://www.philgeps.gov.ph/GEPSNONPILOT/Tender/SplashBidNoticeAbstractUI.aspx?menuIndex=3&amp;refID=7152717&amp;Result=3","7152717")</f>
        <v>0</v>
      </c>
      <c r="B624" t="s">
        <v>367</v>
      </c>
      <c r="C624" t="s">
        <v>4369</v>
      </c>
      <c r="D624" t="s">
        <v>18002</v>
      </c>
      <c r="E624" t="s">
        <v>18653</v>
      </c>
      <c r="F624" t="s">
        <v>30900</v>
      </c>
      <c r="G624" t="s">
        <v>30908</v>
      </c>
      <c r="H624" t="s">
        <v>30916</v>
      </c>
      <c r="I624" t="s">
        <v>30921</v>
      </c>
      <c r="J624" t="s">
        <v>31552</v>
      </c>
      <c r="K624" t="s">
        <v>40285</v>
      </c>
      <c r="M624" t="s">
        <v>40921</v>
      </c>
      <c r="N624" t="s">
        <v>44759</v>
      </c>
      <c r="O624" t="s">
        <v>44760</v>
      </c>
      <c r="P624">
        <v>0</v>
      </c>
      <c r="Q624">
        <v>0</v>
      </c>
      <c r="R624" t="s">
        <v>44761</v>
      </c>
      <c r="S624" t="s">
        <v>44862</v>
      </c>
      <c r="T624" t="s">
        <v>46393</v>
      </c>
      <c r="U624" t="s">
        <v>47528</v>
      </c>
      <c r="W624" t="s">
        <v>40921</v>
      </c>
      <c r="X624" t="s">
        <v>44762</v>
      </c>
    </row>
    <row r="625" spans="1:24">
      <c r="A625">
        <f>HYPERLINK("https://www.philgeps.gov.ph/GEPSNONPILOT/Tender/SplashBidNoticeAbstractUI.aspx?menuIndex=3&amp;refID=7152701&amp;Result=3","7152701")</f>
        <v>0</v>
      </c>
      <c r="B625" t="s">
        <v>368</v>
      </c>
      <c r="C625" t="s">
        <v>4370</v>
      </c>
      <c r="E625" t="s">
        <v>18654</v>
      </c>
      <c r="F625" t="s">
        <v>30900</v>
      </c>
      <c r="G625" t="s">
        <v>30908</v>
      </c>
      <c r="H625" t="s">
        <v>30916</v>
      </c>
      <c r="I625" t="s">
        <v>8123</v>
      </c>
      <c r="J625" t="s">
        <v>31101</v>
      </c>
      <c r="K625" t="s">
        <v>40289</v>
      </c>
      <c r="M625" t="s">
        <v>40922</v>
      </c>
      <c r="N625" t="s">
        <v>44759</v>
      </c>
      <c r="O625" t="s">
        <v>44760</v>
      </c>
      <c r="P625">
        <v>0</v>
      </c>
      <c r="Q625">
        <v>0</v>
      </c>
      <c r="R625" t="s">
        <v>44761</v>
      </c>
      <c r="S625" t="s">
        <v>44862</v>
      </c>
      <c r="T625" t="s">
        <v>46399</v>
      </c>
      <c r="U625" t="s">
        <v>47529</v>
      </c>
      <c r="W625" t="s">
        <v>40922</v>
      </c>
      <c r="X625" t="s">
        <v>44762</v>
      </c>
    </row>
    <row r="626" spans="1:24">
      <c r="A626">
        <f>HYPERLINK("https://www.philgeps.gov.ph/GEPSNONPILOT/Tender/SplashBidNoticeAbstractUI.aspx?menuIndex=3&amp;refID=7152693&amp;Result=3","7152693")</f>
        <v>0</v>
      </c>
      <c r="B626" t="s">
        <v>286</v>
      </c>
      <c r="C626" t="s">
        <v>4371</v>
      </c>
      <c r="D626" t="s">
        <v>17977</v>
      </c>
      <c r="E626" t="s">
        <v>18655</v>
      </c>
      <c r="F626" t="s">
        <v>30900</v>
      </c>
      <c r="G626" t="s">
        <v>30908</v>
      </c>
      <c r="H626" t="s">
        <v>30916</v>
      </c>
      <c r="I626" t="s">
        <v>8123</v>
      </c>
      <c r="J626" t="s">
        <v>31553</v>
      </c>
      <c r="K626" t="s">
        <v>40283</v>
      </c>
      <c r="M626" t="s">
        <v>40834</v>
      </c>
      <c r="N626" t="s">
        <v>44759</v>
      </c>
      <c r="O626" t="s">
        <v>44760</v>
      </c>
      <c r="P626">
        <v>0</v>
      </c>
      <c r="Q626">
        <v>0</v>
      </c>
      <c r="R626" t="s">
        <v>44761</v>
      </c>
      <c r="S626" t="s">
        <v>44862</v>
      </c>
      <c r="T626" t="s">
        <v>46352</v>
      </c>
      <c r="U626" t="s">
        <v>47530</v>
      </c>
      <c r="V626" t="s">
        <v>59189</v>
      </c>
      <c r="W626" t="s">
        <v>40834</v>
      </c>
      <c r="X626" t="s">
        <v>44762</v>
      </c>
    </row>
    <row r="627" spans="1:24">
      <c r="A627">
        <f>HYPERLINK("https://www.philgeps.gov.ph/GEPSNONPILOT/Tender/SplashBidNoticeAbstractUI.aspx?menuIndex=3&amp;refID=7152714&amp;Result=3","7152714")</f>
        <v>0</v>
      </c>
      <c r="B627" t="s">
        <v>323</v>
      </c>
      <c r="C627" t="s">
        <v>4372</v>
      </c>
      <c r="D627" t="s">
        <v>17985</v>
      </c>
      <c r="E627" t="s">
        <v>18656</v>
      </c>
      <c r="F627" t="s">
        <v>30900</v>
      </c>
      <c r="G627" t="s">
        <v>30908</v>
      </c>
      <c r="H627" t="s">
        <v>30916</v>
      </c>
      <c r="I627" t="s">
        <v>5879</v>
      </c>
      <c r="J627" t="s">
        <v>31554</v>
      </c>
      <c r="K627" t="s">
        <v>40286</v>
      </c>
      <c r="M627" t="s">
        <v>40874</v>
      </c>
      <c r="N627" t="s">
        <v>44759</v>
      </c>
      <c r="O627" t="s">
        <v>44760</v>
      </c>
      <c r="P627">
        <v>0</v>
      </c>
      <c r="Q627">
        <v>0</v>
      </c>
      <c r="R627" t="s">
        <v>44761</v>
      </c>
      <c r="S627" t="s">
        <v>44862</v>
      </c>
      <c r="T627" t="s">
        <v>46399</v>
      </c>
      <c r="U627" t="s">
        <v>47531</v>
      </c>
      <c r="W627" t="s">
        <v>40874</v>
      </c>
      <c r="X627" t="s">
        <v>44762</v>
      </c>
    </row>
    <row r="628" spans="1:24">
      <c r="A628">
        <f>HYPERLINK("https://www.philgeps.gov.ph/GEPSNONPILOT/Tender/SplashBidNoticeAbstractUI.aspx?menuIndex=3&amp;refID=7152711&amp;Result=3","7152711")</f>
        <v>0</v>
      </c>
      <c r="B628" t="s">
        <v>369</v>
      </c>
      <c r="C628" t="s">
        <v>4373</v>
      </c>
      <c r="D628" t="s">
        <v>17959</v>
      </c>
      <c r="E628" t="s">
        <v>18657</v>
      </c>
      <c r="F628" t="s">
        <v>30900</v>
      </c>
      <c r="G628" t="s">
        <v>30908</v>
      </c>
      <c r="H628" t="s">
        <v>30917</v>
      </c>
      <c r="I628" t="s">
        <v>10961</v>
      </c>
      <c r="J628" t="s">
        <v>31555</v>
      </c>
      <c r="K628" t="s">
        <v>40332</v>
      </c>
      <c r="M628" t="s">
        <v>40923</v>
      </c>
      <c r="N628" t="s">
        <v>44759</v>
      </c>
      <c r="O628" t="s">
        <v>44760</v>
      </c>
      <c r="P628">
        <v>0</v>
      </c>
      <c r="Q628">
        <v>0</v>
      </c>
      <c r="R628" t="s">
        <v>44761</v>
      </c>
      <c r="S628" t="s">
        <v>44862</v>
      </c>
      <c r="T628" t="s">
        <v>46393</v>
      </c>
      <c r="U628" t="s">
        <v>47532</v>
      </c>
      <c r="W628" t="s">
        <v>40923</v>
      </c>
      <c r="X628" t="s">
        <v>44762</v>
      </c>
    </row>
    <row r="629" spans="1:24">
      <c r="A629">
        <f>HYPERLINK("https://www.philgeps.gov.ph/GEPSNONPILOT/Tender/SplashBidNoticeAbstractUI.aspx?menuIndex=3&amp;refID=7152710&amp;Result=3","7152710")</f>
        <v>0</v>
      </c>
      <c r="B629" t="s">
        <v>342</v>
      </c>
      <c r="C629" t="s">
        <v>4374</v>
      </c>
      <c r="D629" t="s">
        <v>18016</v>
      </c>
      <c r="E629" t="s">
        <v>18658</v>
      </c>
      <c r="F629" t="s">
        <v>30900</v>
      </c>
      <c r="G629" t="s">
        <v>30910</v>
      </c>
      <c r="H629" t="s">
        <v>30916</v>
      </c>
      <c r="I629" t="s">
        <v>4142</v>
      </c>
      <c r="J629" t="s">
        <v>31556</v>
      </c>
      <c r="K629" t="s">
        <v>40287</v>
      </c>
      <c r="M629" t="s">
        <v>40895</v>
      </c>
      <c r="N629" t="s">
        <v>44759</v>
      </c>
      <c r="O629" t="s">
        <v>44760</v>
      </c>
      <c r="P629">
        <v>0</v>
      </c>
      <c r="Q629">
        <v>0</v>
      </c>
      <c r="R629" t="s">
        <v>44761</v>
      </c>
      <c r="S629" t="s">
        <v>44862</v>
      </c>
      <c r="T629" t="s">
        <v>46357</v>
      </c>
      <c r="U629" t="s">
        <v>47533</v>
      </c>
      <c r="W629" t="s">
        <v>40895</v>
      </c>
      <c r="X629" t="s">
        <v>44762</v>
      </c>
    </row>
    <row r="630" spans="1:24">
      <c r="A630">
        <f>HYPERLINK("https://www.philgeps.gov.ph/GEPSNONPILOT/Tender/SplashBidNoticeAbstractUI.aspx?menuIndex=3&amp;refID=7152709&amp;Result=3","7152709")</f>
        <v>0</v>
      </c>
      <c r="B630" t="s">
        <v>370</v>
      </c>
      <c r="C630" t="s">
        <v>4375</v>
      </c>
      <c r="D630" t="s">
        <v>17981</v>
      </c>
      <c r="E630" t="s">
        <v>18659</v>
      </c>
      <c r="F630" t="s">
        <v>30900</v>
      </c>
      <c r="G630" t="s">
        <v>30908</v>
      </c>
      <c r="H630" t="s">
        <v>30916</v>
      </c>
      <c r="I630" t="s">
        <v>6746</v>
      </c>
      <c r="J630" t="s">
        <v>31557</v>
      </c>
      <c r="K630" t="s">
        <v>40289</v>
      </c>
      <c r="M630" t="s">
        <v>40924</v>
      </c>
      <c r="N630" t="s">
        <v>44759</v>
      </c>
      <c r="O630" t="s">
        <v>44760</v>
      </c>
      <c r="P630">
        <v>0</v>
      </c>
      <c r="Q630">
        <v>0</v>
      </c>
      <c r="R630" t="s">
        <v>44761</v>
      </c>
      <c r="S630" t="s">
        <v>44862</v>
      </c>
      <c r="T630" t="s">
        <v>46399</v>
      </c>
      <c r="U630" t="s">
        <v>47534</v>
      </c>
      <c r="W630" t="s">
        <v>40924</v>
      </c>
      <c r="X630" t="s">
        <v>44762</v>
      </c>
    </row>
    <row r="631" spans="1:24">
      <c r="A631">
        <f>HYPERLINK("https://www.philgeps.gov.ph/GEPSNONPILOT/Tender/SplashBidNoticeAbstractUI.aspx?menuIndex=3&amp;refID=7152708&amp;Result=3","7152708")</f>
        <v>0</v>
      </c>
      <c r="B631" t="s">
        <v>106</v>
      </c>
      <c r="C631" t="s">
        <v>4376</v>
      </c>
      <c r="D631" t="s">
        <v>17961</v>
      </c>
      <c r="E631" t="s">
        <v>18660</v>
      </c>
      <c r="F631" t="s">
        <v>30900</v>
      </c>
      <c r="G631" t="s">
        <v>30908</v>
      </c>
      <c r="H631" t="s">
        <v>30916</v>
      </c>
      <c r="I631" t="s">
        <v>10847</v>
      </c>
      <c r="J631" t="s">
        <v>31558</v>
      </c>
      <c r="K631" t="s">
        <v>40289</v>
      </c>
      <c r="M631" t="s">
        <v>40653</v>
      </c>
      <c r="N631" t="s">
        <v>44759</v>
      </c>
      <c r="O631" t="s">
        <v>44760</v>
      </c>
      <c r="P631">
        <v>0</v>
      </c>
      <c r="Q631">
        <v>0</v>
      </c>
      <c r="R631" t="s">
        <v>44761</v>
      </c>
      <c r="S631" t="s">
        <v>44862</v>
      </c>
      <c r="T631" t="s">
        <v>46376</v>
      </c>
      <c r="U631" t="s">
        <v>47535</v>
      </c>
      <c r="V631" t="s">
        <v>59168</v>
      </c>
      <c r="W631" t="s">
        <v>40653</v>
      </c>
      <c r="X631" t="s">
        <v>44762</v>
      </c>
    </row>
    <row r="632" spans="1:24">
      <c r="A632">
        <f>HYPERLINK("https://www.philgeps.gov.ph/GEPSNONPILOT/Tender/SplashBidNoticeAbstractUI.aspx?menuIndex=3&amp;refID=7152706&amp;Result=3","7152706")</f>
        <v>0</v>
      </c>
      <c r="B632" t="s">
        <v>191</v>
      </c>
      <c r="C632" t="s">
        <v>4377</v>
      </c>
      <c r="D632" t="s">
        <v>17998</v>
      </c>
      <c r="E632" t="s">
        <v>18661</v>
      </c>
      <c r="F632" t="s">
        <v>30900</v>
      </c>
      <c r="G632" t="s">
        <v>30908</v>
      </c>
      <c r="H632" t="s">
        <v>30916</v>
      </c>
      <c r="I632" t="s">
        <v>5501</v>
      </c>
      <c r="J632" t="s">
        <v>31183</v>
      </c>
      <c r="K632" t="s">
        <v>40287</v>
      </c>
      <c r="M632" t="s">
        <v>40738</v>
      </c>
      <c r="N632" t="s">
        <v>44759</v>
      </c>
      <c r="O632" t="s">
        <v>44760</v>
      </c>
      <c r="P632">
        <v>0</v>
      </c>
      <c r="Q632">
        <v>0</v>
      </c>
      <c r="R632" t="s">
        <v>44761</v>
      </c>
      <c r="S632" t="s">
        <v>44862</v>
      </c>
      <c r="T632" t="s">
        <v>46434</v>
      </c>
      <c r="U632" t="s">
        <v>47536</v>
      </c>
      <c r="V632" t="s">
        <v>59190</v>
      </c>
      <c r="W632" t="s">
        <v>40738</v>
      </c>
      <c r="X632" t="s">
        <v>44762</v>
      </c>
    </row>
    <row r="633" spans="1:24">
      <c r="A633">
        <f>HYPERLINK("https://www.philgeps.gov.ph/GEPSNONPILOT/Tender/SplashBidNoticeAbstractUI.aspx?menuIndex=3&amp;refID=7152705&amp;Result=3","7152705")</f>
        <v>0</v>
      </c>
      <c r="B633" t="s">
        <v>371</v>
      </c>
      <c r="C633" t="s">
        <v>4378</v>
      </c>
      <c r="D633" t="s">
        <v>17973</v>
      </c>
      <c r="E633" t="s">
        <v>18662</v>
      </c>
      <c r="F633" t="s">
        <v>30900</v>
      </c>
      <c r="G633" t="s">
        <v>30907</v>
      </c>
      <c r="H633" t="s">
        <v>30915</v>
      </c>
      <c r="I633" t="s">
        <v>30919</v>
      </c>
      <c r="J633" t="s">
        <v>31559</v>
      </c>
      <c r="K633" t="s">
        <v>40289</v>
      </c>
      <c r="M633" t="s">
        <v>40925</v>
      </c>
      <c r="N633" t="s">
        <v>44759</v>
      </c>
      <c r="O633" t="s">
        <v>44760</v>
      </c>
      <c r="P633">
        <v>0</v>
      </c>
      <c r="Q633">
        <v>0</v>
      </c>
      <c r="R633" t="s">
        <v>44761</v>
      </c>
      <c r="S633" t="s">
        <v>44862</v>
      </c>
      <c r="T633" t="s">
        <v>46452</v>
      </c>
      <c r="U633" t="s">
        <v>47537</v>
      </c>
      <c r="W633" t="s">
        <v>40925</v>
      </c>
      <c r="X633" t="s">
        <v>44762</v>
      </c>
    </row>
    <row r="634" spans="1:24">
      <c r="A634">
        <f>HYPERLINK("https://www.philgeps.gov.ph/GEPSNONPILOT/Tender/SplashBidNoticeAbstractUI.aspx?menuIndex=3&amp;refID=7152716&amp;Result=3","7152716")</f>
        <v>0</v>
      </c>
      <c r="B634" t="s">
        <v>325</v>
      </c>
      <c r="C634" t="s">
        <v>4379</v>
      </c>
      <c r="D634" t="s">
        <v>17995</v>
      </c>
      <c r="E634" t="s">
        <v>18663</v>
      </c>
      <c r="F634" t="s">
        <v>30900</v>
      </c>
      <c r="G634" t="s">
        <v>30909</v>
      </c>
      <c r="H634" t="s">
        <v>30916</v>
      </c>
      <c r="I634" t="s">
        <v>4050</v>
      </c>
      <c r="J634" t="s">
        <v>31560</v>
      </c>
      <c r="K634" t="s">
        <v>40287</v>
      </c>
      <c r="L634" t="s">
        <v>325</v>
      </c>
      <c r="M634" t="s">
        <v>40876</v>
      </c>
      <c r="N634" t="s">
        <v>44759</v>
      </c>
      <c r="O634" t="s">
        <v>44760</v>
      </c>
      <c r="P634">
        <v>0</v>
      </c>
      <c r="Q634">
        <v>0</v>
      </c>
      <c r="R634" t="s">
        <v>44761</v>
      </c>
      <c r="S634" t="s">
        <v>44862</v>
      </c>
      <c r="T634" t="s">
        <v>46470</v>
      </c>
      <c r="U634" t="s">
        <v>47538</v>
      </c>
      <c r="V634" t="s">
        <v>59173</v>
      </c>
      <c r="W634" t="s">
        <v>40876</v>
      </c>
      <c r="X634" t="s">
        <v>44762</v>
      </c>
    </row>
    <row r="635" spans="1:24">
      <c r="A635">
        <f>HYPERLINK("https://www.philgeps.gov.ph/GEPSNONPILOT/Tender/SplashBidNoticeAbstractUI.aspx?menuIndex=3&amp;refID=7152703&amp;Result=3","7152703")</f>
        <v>0</v>
      </c>
      <c r="B635" t="s">
        <v>108</v>
      </c>
      <c r="C635" t="s">
        <v>4380</v>
      </c>
      <c r="D635" t="s">
        <v>17952</v>
      </c>
      <c r="E635" t="s">
        <v>18664</v>
      </c>
      <c r="F635" t="s">
        <v>30900</v>
      </c>
      <c r="G635" t="s">
        <v>30908</v>
      </c>
      <c r="H635" t="s">
        <v>30915</v>
      </c>
      <c r="I635" t="s">
        <v>30932</v>
      </c>
      <c r="J635" t="s">
        <v>31561</v>
      </c>
      <c r="K635" t="s">
        <v>40283</v>
      </c>
      <c r="L635" t="s">
        <v>108</v>
      </c>
      <c r="M635" t="s">
        <v>40655</v>
      </c>
      <c r="N635" t="s">
        <v>44759</v>
      </c>
      <c r="O635" t="s">
        <v>44760</v>
      </c>
      <c r="P635">
        <v>0</v>
      </c>
      <c r="Q635">
        <v>0</v>
      </c>
      <c r="R635" t="s">
        <v>44761</v>
      </c>
      <c r="S635" t="s">
        <v>44862</v>
      </c>
      <c r="T635" t="s">
        <v>46399</v>
      </c>
      <c r="U635" t="s">
        <v>47539</v>
      </c>
      <c r="W635" t="s">
        <v>40655</v>
      </c>
      <c r="X635" t="s">
        <v>44762</v>
      </c>
    </row>
    <row r="636" spans="1:24">
      <c r="A636">
        <f>HYPERLINK("https://www.philgeps.gov.ph/GEPSNONPILOT/Tender/SplashBidNoticeAbstractUI.aspx?menuIndex=3&amp;refID=7152702&amp;Result=3","7152702")</f>
        <v>0</v>
      </c>
      <c r="B636" t="s">
        <v>372</v>
      </c>
      <c r="C636" t="s">
        <v>4381</v>
      </c>
      <c r="D636" t="s">
        <v>17968</v>
      </c>
      <c r="E636" t="s">
        <v>18665</v>
      </c>
      <c r="F636" t="s">
        <v>30900</v>
      </c>
      <c r="G636" t="s">
        <v>30908</v>
      </c>
      <c r="H636" t="s">
        <v>30916</v>
      </c>
      <c r="I636" t="s">
        <v>30923</v>
      </c>
      <c r="J636" t="s">
        <v>31243</v>
      </c>
      <c r="K636" t="s">
        <v>40284</v>
      </c>
      <c r="M636" t="s">
        <v>40926</v>
      </c>
      <c r="N636" t="s">
        <v>44759</v>
      </c>
      <c r="O636" t="s">
        <v>44760</v>
      </c>
      <c r="P636">
        <v>0</v>
      </c>
      <c r="Q636">
        <v>1</v>
      </c>
      <c r="R636" t="s">
        <v>44761</v>
      </c>
      <c r="S636" t="s">
        <v>44862</v>
      </c>
      <c r="T636" t="s">
        <v>46357</v>
      </c>
      <c r="U636" t="s">
        <v>47540</v>
      </c>
      <c r="W636" t="s">
        <v>40926</v>
      </c>
      <c r="X636" t="s">
        <v>44762</v>
      </c>
    </row>
    <row r="637" spans="1:24">
      <c r="A637">
        <f>HYPERLINK("https://www.philgeps.gov.ph/GEPSNONPILOT/Tender/SplashBidNoticeAbstractUI.aspx?menuIndex=3&amp;refID=7152720&amp;Result=3","7152720")</f>
        <v>0</v>
      </c>
      <c r="B637" t="s">
        <v>124</v>
      </c>
      <c r="C637" t="s">
        <v>4382</v>
      </c>
      <c r="D637" t="s">
        <v>17982</v>
      </c>
      <c r="E637" t="s">
        <v>18666</v>
      </c>
      <c r="F637" t="s">
        <v>30900</v>
      </c>
      <c r="G637" t="s">
        <v>30907</v>
      </c>
      <c r="H637" t="s">
        <v>30915</v>
      </c>
      <c r="I637" t="s">
        <v>30919</v>
      </c>
      <c r="J637" t="s">
        <v>31562</v>
      </c>
      <c r="K637" t="s">
        <v>40292</v>
      </c>
      <c r="M637" t="s">
        <v>40671</v>
      </c>
      <c r="N637" t="s">
        <v>44759</v>
      </c>
      <c r="O637" t="s">
        <v>44760</v>
      </c>
      <c r="P637">
        <v>0</v>
      </c>
      <c r="Q637">
        <v>0</v>
      </c>
      <c r="R637" t="s">
        <v>44761</v>
      </c>
      <c r="S637" t="s">
        <v>44862</v>
      </c>
      <c r="T637" t="s">
        <v>46380</v>
      </c>
      <c r="U637" t="s">
        <v>47541</v>
      </c>
      <c r="W637" t="s">
        <v>40671</v>
      </c>
      <c r="X637" t="s">
        <v>44762</v>
      </c>
    </row>
    <row r="638" spans="1:24">
      <c r="A638">
        <f>HYPERLINK("https://www.philgeps.gov.ph/GEPSNONPILOT/Tender/SplashBidNoticeAbstractUI.aspx?menuIndex=3&amp;refID=7152732&amp;Result=3","7152732")</f>
        <v>0</v>
      </c>
      <c r="B638" t="s">
        <v>282</v>
      </c>
      <c r="C638" t="s">
        <v>4383</v>
      </c>
      <c r="D638" t="s">
        <v>18022</v>
      </c>
      <c r="E638" t="s">
        <v>18667</v>
      </c>
      <c r="F638" t="s">
        <v>30900</v>
      </c>
      <c r="G638" t="s">
        <v>30908</v>
      </c>
      <c r="H638" t="s">
        <v>30916</v>
      </c>
      <c r="I638" t="s">
        <v>10847</v>
      </c>
      <c r="J638" t="s">
        <v>31563</v>
      </c>
      <c r="K638" t="s">
        <v>40289</v>
      </c>
      <c r="M638" t="s">
        <v>40829</v>
      </c>
      <c r="N638" t="s">
        <v>44759</v>
      </c>
      <c r="O638" t="s">
        <v>44760</v>
      </c>
      <c r="P638">
        <v>0</v>
      </c>
      <c r="Q638">
        <v>0</v>
      </c>
      <c r="R638" t="s">
        <v>44761</v>
      </c>
      <c r="S638" t="s">
        <v>44862</v>
      </c>
      <c r="T638" t="s">
        <v>46421</v>
      </c>
      <c r="U638" t="s">
        <v>47389</v>
      </c>
      <c r="W638" t="s">
        <v>40829</v>
      </c>
      <c r="X638" t="s">
        <v>44762</v>
      </c>
    </row>
    <row r="639" spans="1:24">
      <c r="A639">
        <f>HYPERLINK("https://www.philgeps.gov.ph/GEPSNONPILOT/Tender/SplashBidNoticeAbstractUI.aspx?menuIndex=3&amp;refID=7152730&amp;Result=3","7152730")</f>
        <v>0</v>
      </c>
      <c r="B639" t="s">
        <v>373</v>
      </c>
      <c r="C639" t="s">
        <v>4384</v>
      </c>
      <c r="E639" t="s">
        <v>18668</v>
      </c>
      <c r="F639" t="s">
        <v>30900</v>
      </c>
      <c r="G639" t="s">
        <v>30908</v>
      </c>
      <c r="H639" t="s">
        <v>30916</v>
      </c>
      <c r="I639" t="s">
        <v>30921</v>
      </c>
      <c r="J639" t="s">
        <v>31564</v>
      </c>
      <c r="K639" t="s">
        <v>40283</v>
      </c>
      <c r="M639" t="s">
        <v>40927</v>
      </c>
      <c r="N639" t="s">
        <v>44759</v>
      </c>
      <c r="O639" t="s">
        <v>44760</v>
      </c>
      <c r="P639">
        <v>0</v>
      </c>
      <c r="Q639">
        <v>0</v>
      </c>
      <c r="R639" t="s">
        <v>44761</v>
      </c>
      <c r="S639" t="s">
        <v>44862</v>
      </c>
      <c r="T639" t="s">
        <v>46376</v>
      </c>
      <c r="U639" t="s">
        <v>47542</v>
      </c>
      <c r="W639" t="s">
        <v>40927</v>
      </c>
      <c r="X639" t="s">
        <v>44762</v>
      </c>
    </row>
    <row r="640" spans="1:24">
      <c r="A640">
        <f>HYPERLINK("https://www.philgeps.gov.ph/GEPSNONPILOT/Tender/SplashBidNoticeAbstractUI.aspx?menuIndex=3&amp;refID=7152729&amp;Result=3","7152729")</f>
        <v>0</v>
      </c>
      <c r="B640" t="s">
        <v>374</v>
      </c>
      <c r="C640" t="s">
        <v>4385</v>
      </c>
      <c r="D640" t="s">
        <v>17973</v>
      </c>
      <c r="E640" t="s">
        <v>18669</v>
      </c>
      <c r="F640" t="s">
        <v>30900</v>
      </c>
      <c r="G640" t="s">
        <v>30908</v>
      </c>
      <c r="H640" t="s">
        <v>30916</v>
      </c>
      <c r="I640" t="s">
        <v>30926</v>
      </c>
      <c r="J640" t="s">
        <v>31565</v>
      </c>
      <c r="K640" t="s">
        <v>40286</v>
      </c>
      <c r="M640" t="s">
        <v>40928</v>
      </c>
      <c r="N640" t="s">
        <v>44759</v>
      </c>
      <c r="O640" t="s">
        <v>44760</v>
      </c>
      <c r="P640">
        <v>0</v>
      </c>
      <c r="Q640">
        <v>0</v>
      </c>
      <c r="R640" t="s">
        <v>44761</v>
      </c>
      <c r="S640" t="s">
        <v>44862</v>
      </c>
      <c r="T640" t="s">
        <v>46357</v>
      </c>
      <c r="U640" t="s">
        <v>47543</v>
      </c>
      <c r="W640" t="s">
        <v>40928</v>
      </c>
      <c r="X640" t="s">
        <v>44762</v>
      </c>
    </row>
    <row r="641" spans="1:24">
      <c r="A641">
        <f>HYPERLINK("https://www.philgeps.gov.ph/GEPSNONPILOT/Tender/SplashBidNoticeAbstractUI.aspx?menuIndex=3&amp;refID=7152707&amp;Result=3","7152707")</f>
        <v>0</v>
      </c>
      <c r="B641" t="s">
        <v>237</v>
      </c>
      <c r="C641" t="s">
        <v>4386</v>
      </c>
      <c r="D641" t="s">
        <v>17977</v>
      </c>
      <c r="E641" t="s">
        <v>18670</v>
      </c>
      <c r="F641" t="s">
        <v>30900</v>
      </c>
      <c r="G641" t="s">
        <v>30908</v>
      </c>
      <c r="H641" t="s">
        <v>30916</v>
      </c>
      <c r="I641" t="s">
        <v>30921</v>
      </c>
      <c r="J641" t="s">
        <v>31043</v>
      </c>
      <c r="K641" t="s">
        <v>40289</v>
      </c>
      <c r="M641" t="s">
        <v>40784</v>
      </c>
      <c r="N641" t="s">
        <v>44759</v>
      </c>
      <c r="O641" t="s">
        <v>44760</v>
      </c>
      <c r="P641">
        <v>0</v>
      </c>
      <c r="Q641">
        <v>0</v>
      </c>
      <c r="R641" t="s">
        <v>44761</v>
      </c>
      <c r="S641" t="s">
        <v>44862</v>
      </c>
      <c r="T641" t="s">
        <v>46393</v>
      </c>
      <c r="U641" t="s">
        <v>47544</v>
      </c>
      <c r="W641" t="s">
        <v>40784</v>
      </c>
      <c r="X641" t="s">
        <v>44762</v>
      </c>
    </row>
    <row r="642" spans="1:24">
      <c r="A642">
        <f>HYPERLINK("https://www.philgeps.gov.ph/GEPSNONPILOT/Tender/SplashBidNoticeAbstractUI.aspx?menuIndex=3&amp;refID=7152726&amp;Result=3","7152726")</f>
        <v>0</v>
      </c>
      <c r="B642" t="s">
        <v>237</v>
      </c>
      <c r="C642" t="s">
        <v>4387</v>
      </c>
      <c r="D642" t="s">
        <v>17977</v>
      </c>
      <c r="E642" t="s">
        <v>18671</v>
      </c>
      <c r="F642" t="s">
        <v>30900</v>
      </c>
      <c r="G642" t="s">
        <v>30908</v>
      </c>
      <c r="H642" t="s">
        <v>30916</v>
      </c>
      <c r="I642" t="s">
        <v>30921</v>
      </c>
      <c r="J642" t="s">
        <v>31566</v>
      </c>
      <c r="K642" t="s">
        <v>40289</v>
      </c>
      <c r="M642" t="s">
        <v>40784</v>
      </c>
      <c r="N642" t="s">
        <v>44759</v>
      </c>
      <c r="O642" t="s">
        <v>44760</v>
      </c>
      <c r="P642">
        <v>0</v>
      </c>
      <c r="Q642">
        <v>0</v>
      </c>
      <c r="R642" t="s">
        <v>44761</v>
      </c>
      <c r="S642" t="s">
        <v>44862</v>
      </c>
      <c r="T642" t="s">
        <v>46393</v>
      </c>
      <c r="U642" t="s">
        <v>47545</v>
      </c>
      <c r="W642" t="s">
        <v>40784</v>
      </c>
      <c r="X642" t="s">
        <v>44762</v>
      </c>
    </row>
    <row r="643" spans="1:24">
      <c r="A643">
        <f>HYPERLINK("https://www.philgeps.gov.ph/GEPSNONPILOT/Tender/SplashBidNoticeAbstractUI.aspx?menuIndex=3&amp;refID=7152704&amp;Result=3","7152704")</f>
        <v>0</v>
      </c>
      <c r="B643" t="s">
        <v>375</v>
      </c>
      <c r="C643" t="s">
        <v>4388</v>
      </c>
      <c r="D643" t="s">
        <v>17962</v>
      </c>
      <c r="E643" t="s">
        <v>18672</v>
      </c>
      <c r="F643" t="s">
        <v>30900</v>
      </c>
      <c r="G643" t="s">
        <v>30909</v>
      </c>
      <c r="H643" t="s">
        <v>30916</v>
      </c>
      <c r="I643" t="s">
        <v>30940</v>
      </c>
      <c r="J643" t="s">
        <v>31567</v>
      </c>
      <c r="K643" t="s">
        <v>40289</v>
      </c>
      <c r="M643" t="s">
        <v>40929</v>
      </c>
      <c r="N643" t="s">
        <v>44759</v>
      </c>
      <c r="O643" t="s">
        <v>44760</v>
      </c>
      <c r="P643">
        <v>0</v>
      </c>
      <c r="Q643">
        <v>0</v>
      </c>
      <c r="R643" t="s">
        <v>44761</v>
      </c>
      <c r="S643" t="s">
        <v>44862</v>
      </c>
      <c r="T643" t="s">
        <v>46391</v>
      </c>
      <c r="U643" t="s">
        <v>47546</v>
      </c>
      <c r="W643" t="s">
        <v>40929</v>
      </c>
      <c r="X643" t="s">
        <v>44762</v>
      </c>
    </row>
    <row r="644" spans="1:24">
      <c r="A644">
        <f>HYPERLINK("https://www.philgeps.gov.ph/GEPSNONPILOT/Tender/SplashBidNoticeAbstractUI.aspx?menuIndex=3&amp;refID=7152724&amp;Result=3","7152724")</f>
        <v>0</v>
      </c>
      <c r="B644" t="s">
        <v>348</v>
      </c>
      <c r="C644" t="s">
        <v>4389</v>
      </c>
      <c r="D644" t="s">
        <v>17957</v>
      </c>
      <c r="E644" t="s">
        <v>18673</v>
      </c>
      <c r="F644" t="s">
        <v>30900</v>
      </c>
      <c r="G644" t="s">
        <v>30908</v>
      </c>
      <c r="H644" t="s">
        <v>30917</v>
      </c>
      <c r="I644" t="s">
        <v>30923</v>
      </c>
      <c r="J644" t="s">
        <v>31568</v>
      </c>
      <c r="K644" t="s">
        <v>40284</v>
      </c>
      <c r="M644" t="s">
        <v>40901</v>
      </c>
      <c r="N644" t="s">
        <v>44759</v>
      </c>
      <c r="O644" t="s">
        <v>44760</v>
      </c>
      <c r="P644">
        <v>0</v>
      </c>
      <c r="Q644">
        <v>0</v>
      </c>
      <c r="R644" t="s">
        <v>44761</v>
      </c>
      <c r="S644" t="s">
        <v>44862</v>
      </c>
      <c r="T644" t="s">
        <v>46382</v>
      </c>
      <c r="U644" t="s">
        <v>47547</v>
      </c>
      <c r="W644" t="s">
        <v>40901</v>
      </c>
      <c r="X644" t="s">
        <v>44762</v>
      </c>
    </row>
    <row r="645" spans="1:24">
      <c r="A645">
        <f>HYPERLINK("https://www.philgeps.gov.ph/GEPSNONPILOT/Tender/SplashBidNoticeAbstractUI.aspx?menuIndex=3&amp;refID=7152685&amp;Result=3","7152685")</f>
        <v>0</v>
      </c>
      <c r="B645" t="s">
        <v>254</v>
      </c>
      <c r="C645" t="s">
        <v>4390</v>
      </c>
      <c r="D645" t="s">
        <v>17976</v>
      </c>
      <c r="E645" t="s">
        <v>18674</v>
      </c>
      <c r="F645" t="s">
        <v>30903</v>
      </c>
      <c r="G645" t="s">
        <v>30909</v>
      </c>
      <c r="H645" t="s">
        <v>30916</v>
      </c>
      <c r="I645" t="s">
        <v>30958</v>
      </c>
      <c r="J645" t="s">
        <v>31282</v>
      </c>
      <c r="K645" t="s">
        <v>40288</v>
      </c>
      <c r="M645" t="s">
        <v>40801</v>
      </c>
      <c r="N645" t="s">
        <v>44759</v>
      </c>
      <c r="O645" t="s">
        <v>44760</v>
      </c>
      <c r="P645">
        <v>0</v>
      </c>
      <c r="Q645">
        <v>0</v>
      </c>
      <c r="R645" t="s">
        <v>44761</v>
      </c>
      <c r="S645" t="s">
        <v>44862</v>
      </c>
      <c r="T645" t="s">
        <v>46389</v>
      </c>
      <c r="U645" t="s">
        <v>47548</v>
      </c>
      <c r="W645" t="s">
        <v>40801</v>
      </c>
      <c r="X645" t="s">
        <v>44762</v>
      </c>
    </row>
    <row r="646" spans="1:24">
      <c r="A646">
        <f>HYPERLINK("https://www.philgeps.gov.ph/GEPSNONPILOT/Tender/SplashBidNoticeAbstractUI.aspx?menuIndex=3&amp;refID=7152723&amp;Result=3","7152723")</f>
        <v>0</v>
      </c>
      <c r="B646" t="s">
        <v>376</v>
      </c>
      <c r="C646" t="s">
        <v>4391</v>
      </c>
      <c r="D646" t="s">
        <v>18019</v>
      </c>
      <c r="E646" t="s">
        <v>18675</v>
      </c>
      <c r="F646" t="s">
        <v>30900</v>
      </c>
      <c r="G646" t="s">
        <v>30907</v>
      </c>
      <c r="H646" t="s">
        <v>30915</v>
      </c>
      <c r="I646" t="s">
        <v>30919</v>
      </c>
      <c r="J646" t="s">
        <v>31518</v>
      </c>
      <c r="K646" t="s">
        <v>40287</v>
      </c>
      <c r="M646" t="s">
        <v>40930</v>
      </c>
      <c r="N646" t="s">
        <v>44759</v>
      </c>
      <c r="O646" t="s">
        <v>44760</v>
      </c>
      <c r="P646">
        <v>0</v>
      </c>
      <c r="Q646">
        <v>0</v>
      </c>
      <c r="R646" t="s">
        <v>44761</v>
      </c>
      <c r="S646" t="s">
        <v>44862</v>
      </c>
      <c r="T646" t="s">
        <v>46352</v>
      </c>
      <c r="U646" t="s">
        <v>47549</v>
      </c>
      <c r="W646" t="s">
        <v>40930</v>
      </c>
      <c r="X646" t="s">
        <v>44762</v>
      </c>
    </row>
    <row r="647" spans="1:24">
      <c r="A647">
        <f>HYPERLINK("https://www.philgeps.gov.ph/GEPSNONPILOT/Tender/SplashBidNoticeAbstractUI.aspx?menuIndex=3&amp;refID=7152733&amp;Result=3","7152733")</f>
        <v>0</v>
      </c>
      <c r="B647" t="s">
        <v>377</v>
      </c>
      <c r="C647" t="s">
        <v>4392</v>
      </c>
      <c r="D647" t="s">
        <v>17951</v>
      </c>
      <c r="E647" t="s">
        <v>18676</v>
      </c>
      <c r="F647" t="s">
        <v>30900</v>
      </c>
      <c r="G647" t="s">
        <v>30908</v>
      </c>
      <c r="H647" t="s">
        <v>30916</v>
      </c>
      <c r="I647" t="s">
        <v>8123</v>
      </c>
      <c r="J647" t="s">
        <v>31569</v>
      </c>
      <c r="K647" t="s">
        <v>40286</v>
      </c>
      <c r="M647" t="s">
        <v>40931</v>
      </c>
      <c r="N647" t="s">
        <v>44759</v>
      </c>
      <c r="O647" t="s">
        <v>44760</v>
      </c>
      <c r="P647">
        <v>0</v>
      </c>
      <c r="Q647">
        <v>0</v>
      </c>
      <c r="R647" t="s">
        <v>44761</v>
      </c>
      <c r="S647" t="s">
        <v>44862</v>
      </c>
      <c r="T647" t="s">
        <v>46421</v>
      </c>
      <c r="U647" t="s">
        <v>47550</v>
      </c>
      <c r="W647" t="s">
        <v>40931</v>
      </c>
      <c r="X647" t="s">
        <v>44762</v>
      </c>
    </row>
    <row r="648" spans="1:24">
      <c r="A648">
        <f>HYPERLINK("https://www.philgeps.gov.ph/GEPSNONPILOT/Tender/SplashBidNoticeAbstractUI.aspx?menuIndex=3&amp;refID=7152742&amp;Result=3","7152742")</f>
        <v>0</v>
      </c>
      <c r="B648" t="s">
        <v>378</v>
      </c>
      <c r="C648" t="s">
        <v>4393</v>
      </c>
      <c r="D648" t="s">
        <v>17981</v>
      </c>
      <c r="E648" t="s">
        <v>18677</v>
      </c>
      <c r="F648" t="s">
        <v>30900</v>
      </c>
      <c r="G648" t="s">
        <v>30910</v>
      </c>
      <c r="H648" t="s">
        <v>30916</v>
      </c>
      <c r="I648" t="s">
        <v>6396</v>
      </c>
      <c r="J648" t="s">
        <v>31570</v>
      </c>
      <c r="K648" t="s">
        <v>40281</v>
      </c>
      <c r="M648" t="s">
        <v>40932</v>
      </c>
      <c r="N648" t="s">
        <v>44759</v>
      </c>
      <c r="O648" t="s">
        <v>44760</v>
      </c>
      <c r="P648">
        <v>0</v>
      </c>
      <c r="Q648">
        <v>0</v>
      </c>
      <c r="R648" t="s">
        <v>44761</v>
      </c>
      <c r="S648" t="s">
        <v>44862</v>
      </c>
      <c r="T648" t="s">
        <v>46390</v>
      </c>
      <c r="U648" t="s">
        <v>47551</v>
      </c>
      <c r="W648" t="s">
        <v>40932</v>
      </c>
      <c r="X648" t="s">
        <v>44762</v>
      </c>
    </row>
    <row r="649" spans="1:24">
      <c r="A649">
        <f>HYPERLINK("https://www.philgeps.gov.ph/GEPSNONPILOT/Tender/SplashBidNoticeAbstractUI.aspx?menuIndex=3&amp;refID=7152741&amp;Result=3","7152741")</f>
        <v>0</v>
      </c>
      <c r="B649" t="s">
        <v>379</v>
      </c>
      <c r="C649" t="s">
        <v>4394</v>
      </c>
      <c r="D649" t="s">
        <v>18015</v>
      </c>
      <c r="E649" t="s">
        <v>18678</v>
      </c>
      <c r="F649" t="s">
        <v>30900</v>
      </c>
      <c r="G649" t="s">
        <v>30907</v>
      </c>
      <c r="H649" t="s">
        <v>30916</v>
      </c>
      <c r="I649" t="s">
        <v>4545</v>
      </c>
      <c r="J649" t="s">
        <v>31571</v>
      </c>
      <c r="K649" t="s">
        <v>40283</v>
      </c>
      <c r="M649" t="s">
        <v>40933</v>
      </c>
      <c r="N649" t="s">
        <v>44759</v>
      </c>
      <c r="O649" t="s">
        <v>44760</v>
      </c>
      <c r="P649">
        <v>0</v>
      </c>
      <c r="Q649">
        <v>0</v>
      </c>
      <c r="R649" t="s">
        <v>44761</v>
      </c>
      <c r="S649" t="s">
        <v>44862</v>
      </c>
      <c r="T649" t="s">
        <v>46367</v>
      </c>
      <c r="U649" t="s">
        <v>47552</v>
      </c>
      <c r="W649" t="s">
        <v>40933</v>
      </c>
      <c r="X649" t="s">
        <v>44762</v>
      </c>
    </row>
    <row r="650" spans="1:24">
      <c r="A650">
        <f>HYPERLINK("https://www.philgeps.gov.ph/GEPSNONPILOT/Tender/SplashBidNoticeAbstractUI.aspx?menuIndex=3&amp;refID=7152740&amp;Result=3","7152740")</f>
        <v>0</v>
      </c>
      <c r="B650" t="s">
        <v>380</v>
      </c>
      <c r="C650" t="s">
        <v>4395</v>
      </c>
      <c r="D650" t="s">
        <v>18003</v>
      </c>
      <c r="E650" t="s">
        <v>18679</v>
      </c>
      <c r="F650" t="s">
        <v>30900</v>
      </c>
      <c r="G650" t="s">
        <v>30908</v>
      </c>
      <c r="H650" t="s">
        <v>30916</v>
      </c>
      <c r="I650" t="s">
        <v>10602</v>
      </c>
      <c r="J650" t="s">
        <v>31572</v>
      </c>
      <c r="K650" t="s">
        <v>40287</v>
      </c>
      <c r="M650" t="s">
        <v>40934</v>
      </c>
      <c r="N650" t="s">
        <v>44759</v>
      </c>
      <c r="O650" t="s">
        <v>44760</v>
      </c>
      <c r="P650">
        <v>0</v>
      </c>
      <c r="Q650">
        <v>0</v>
      </c>
      <c r="R650" t="s">
        <v>44761</v>
      </c>
      <c r="S650" t="s">
        <v>44862</v>
      </c>
      <c r="T650" t="s">
        <v>46373</v>
      </c>
      <c r="U650" t="s">
        <v>47553</v>
      </c>
      <c r="W650" t="s">
        <v>40934</v>
      </c>
      <c r="X650" t="s">
        <v>44762</v>
      </c>
    </row>
    <row r="651" spans="1:24">
      <c r="A651">
        <f>HYPERLINK("https://www.philgeps.gov.ph/GEPSNONPILOT/Tender/SplashBidNoticeAbstractUI.aspx?menuIndex=3&amp;refID=7152727&amp;Result=3","7152727")</f>
        <v>0</v>
      </c>
      <c r="B651" t="s">
        <v>244</v>
      </c>
      <c r="C651" t="s">
        <v>4396</v>
      </c>
      <c r="D651" t="s">
        <v>17958</v>
      </c>
      <c r="E651" t="s">
        <v>18680</v>
      </c>
      <c r="F651" t="s">
        <v>30900</v>
      </c>
      <c r="G651" t="s">
        <v>30908</v>
      </c>
      <c r="H651" t="s">
        <v>30916</v>
      </c>
      <c r="I651" t="s">
        <v>8123</v>
      </c>
      <c r="J651" t="s">
        <v>31573</v>
      </c>
      <c r="K651" t="s">
        <v>40284</v>
      </c>
      <c r="M651" t="s">
        <v>40791</v>
      </c>
      <c r="N651" t="s">
        <v>44759</v>
      </c>
      <c r="O651" t="s">
        <v>44760</v>
      </c>
      <c r="P651">
        <v>0</v>
      </c>
      <c r="Q651">
        <v>0</v>
      </c>
      <c r="R651" t="s">
        <v>44761</v>
      </c>
      <c r="S651" t="s">
        <v>44862</v>
      </c>
      <c r="T651" t="s">
        <v>46429</v>
      </c>
      <c r="U651" t="s">
        <v>47554</v>
      </c>
      <c r="W651" t="s">
        <v>40791</v>
      </c>
      <c r="X651" t="s">
        <v>44762</v>
      </c>
    </row>
    <row r="652" spans="1:24">
      <c r="A652">
        <f>HYPERLINK("https://www.philgeps.gov.ph/GEPSNONPILOT/Tender/SplashBidNoticeAbstractUI.aspx?menuIndex=3&amp;refID=7152737&amp;Result=3","7152737")</f>
        <v>0</v>
      </c>
      <c r="B652" t="s">
        <v>381</v>
      </c>
      <c r="C652" t="s">
        <v>4397</v>
      </c>
      <c r="D652" t="s">
        <v>17978</v>
      </c>
      <c r="E652" t="s">
        <v>18076</v>
      </c>
      <c r="F652" t="s">
        <v>30900</v>
      </c>
      <c r="G652" t="s">
        <v>30907</v>
      </c>
      <c r="H652" t="s">
        <v>30917</v>
      </c>
      <c r="I652" t="s">
        <v>30921</v>
      </c>
      <c r="J652" t="s">
        <v>31574</v>
      </c>
      <c r="K652" t="s">
        <v>40283</v>
      </c>
      <c r="M652" t="s">
        <v>40935</v>
      </c>
      <c r="N652" t="s">
        <v>44759</v>
      </c>
      <c r="O652" t="s">
        <v>44760</v>
      </c>
      <c r="P652">
        <v>0</v>
      </c>
      <c r="Q652">
        <v>0</v>
      </c>
      <c r="R652" t="s">
        <v>44761</v>
      </c>
      <c r="S652" t="s">
        <v>44862</v>
      </c>
      <c r="T652" t="s">
        <v>46476</v>
      </c>
      <c r="U652" t="s">
        <v>47555</v>
      </c>
      <c r="V652" t="s">
        <v>59191</v>
      </c>
      <c r="W652" t="s">
        <v>40935</v>
      </c>
      <c r="X652" t="s">
        <v>44762</v>
      </c>
    </row>
    <row r="653" spans="1:24">
      <c r="A653">
        <f>HYPERLINK("https://www.philgeps.gov.ph/GEPSNONPILOT/Tender/SplashBidNoticeAbstractUI.aspx?menuIndex=3&amp;refID=7152735&amp;Result=3","7152735")</f>
        <v>0</v>
      </c>
      <c r="B653" t="s">
        <v>370</v>
      </c>
      <c r="C653" t="s">
        <v>4398</v>
      </c>
      <c r="D653" t="s">
        <v>17981</v>
      </c>
      <c r="E653" t="s">
        <v>18681</v>
      </c>
      <c r="F653" t="s">
        <v>30900</v>
      </c>
      <c r="G653" t="s">
        <v>30908</v>
      </c>
      <c r="H653" t="s">
        <v>30916</v>
      </c>
      <c r="I653" t="s">
        <v>8123</v>
      </c>
      <c r="J653" t="s">
        <v>31575</v>
      </c>
      <c r="K653" t="s">
        <v>40289</v>
      </c>
      <c r="M653" t="s">
        <v>40924</v>
      </c>
      <c r="N653" t="s">
        <v>44759</v>
      </c>
      <c r="O653" t="s">
        <v>44760</v>
      </c>
      <c r="P653">
        <v>0</v>
      </c>
      <c r="Q653">
        <v>0</v>
      </c>
      <c r="R653" t="s">
        <v>44761</v>
      </c>
      <c r="S653" t="s">
        <v>44862</v>
      </c>
      <c r="T653" t="s">
        <v>46399</v>
      </c>
      <c r="U653" t="s">
        <v>47556</v>
      </c>
      <c r="W653" t="s">
        <v>40924</v>
      </c>
      <c r="X653" t="s">
        <v>44762</v>
      </c>
    </row>
    <row r="654" spans="1:24">
      <c r="A654">
        <f>HYPERLINK("https://www.philgeps.gov.ph/GEPSNONPILOT/Tender/SplashBidNoticeAbstractUI.aspx?menuIndex=3&amp;refID=7152725&amp;Result=3","7152725")</f>
        <v>0</v>
      </c>
      <c r="B654" t="s">
        <v>382</v>
      </c>
      <c r="C654" t="s">
        <v>4399</v>
      </c>
      <c r="D654" t="s">
        <v>17982</v>
      </c>
      <c r="E654" t="s">
        <v>4399</v>
      </c>
      <c r="F654" t="s">
        <v>30900</v>
      </c>
      <c r="G654" t="s">
        <v>30909</v>
      </c>
      <c r="H654" t="s">
        <v>30916</v>
      </c>
      <c r="I654" t="s">
        <v>30970</v>
      </c>
      <c r="J654" t="s">
        <v>31576</v>
      </c>
      <c r="K654" t="s">
        <v>40283</v>
      </c>
      <c r="M654" t="s">
        <v>40936</v>
      </c>
      <c r="N654" t="s">
        <v>44759</v>
      </c>
      <c r="O654" t="s">
        <v>44760</v>
      </c>
      <c r="P654">
        <v>0</v>
      </c>
      <c r="Q654">
        <v>0</v>
      </c>
      <c r="R654" t="s">
        <v>44761</v>
      </c>
      <c r="S654" t="s">
        <v>44862</v>
      </c>
      <c r="T654" t="s">
        <v>46369</v>
      </c>
      <c r="U654" t="s">
        <v>47557</v>
      </c>
      <c r="W654" t="s">
        <v>40936</v>
      </c>
      <c r="X654" t="s">
        <v>44762</v>
      </c>
    </row>
    <row r="655" spans="1:24">
      <c r="A655">
        <f>HYPERLINK("https://www.philgeps.gov.ph/GEPSNONPILOT/Tender/SplashBidNoticeAbstractUI.aspx?menuIndex=3&amp;refID=7152697&amp;Result=3","7152697")</f>
        <v>0</v>
      </c>
      <c r="B655" t="s">
        <v>332</v>
      </c>
      <c r="C655" t="s">
        <v>4400</v>
      </c>
      <c r="D655" t="s">
        <v>17978</v>
      </c>
      <c r="E655" t="s">
        <v>18682</v>
      </c>
      <c r="F655" t="s">
        <v>30900</v>
      </c>
      <c r="G655" t="s">
        <v>30907</v>
      </c>
      <c r="H655" t="s">
        <v>30915</v>
      </c>
      <c r="I655" t="s">
        <v>30919</v>
      </c>
      <c r="J655" t="s">
        <v>31577</v>
      </c>
      <c r="K655" t="s">
        <v>40292</v>
      </c>
      <c r="M655" t="s">
        <v>40883</v>
      </c>
      <c r="N655" t="s">
        <v>44759</v>
      </c>
      <c r="O655" t="s">
        <v>44760</v>
      </c>
      <c r="P655">
        <v>0</v>
      </c>
      <c r="Q655">
        <v>0</v>
      </c>
      <c r="R655" t="s">
        <v>44761</v>
      </c>
      <c r="S655" t="s">
        <v>44862</v>
      </c>
      <c r="T655" t="s">
        <v>46405</v>
      </c>
      <c r="U655" t="s">
        <v>47558</v>
      </c>
      <c r="W655" t="s">
        <v>40883</v>
      </c>
      <c r="X655" t="s">
        <v>44762</v>
      </c>
    </row>
    <row r="656" spans="1:24">
      <c r="A656">
        <f>HYPERLINK("https://www.philgeps.gov.ph/GEPSNONPILOT/Tender/SplashBidNoticeAbstractUI.aspx?menuIndex=3&amp;refID=7152734&amp;Result=3","7152734")</f>
        <v>0</v>
      </c>
      <c r="B656" t="s">
        <v>294</v>
      </c>
      <c r="C656" t="s">
        <v>4401</v>
      </c>
      <c r="D656" t="s">
        <v>18019</v>
      </c>
      <c r="E656" t="s">
        <v>18683</v>
      </c>
      <c r="F656" t="s">
        <v>30900</v>
      </c>
      <c r="G656" t="s">
        <v>30907</v>
      </c>
      <c r="H656" t="s">
        <v>30915</v>
      </c>
      <c r="I656" t="s">
        <v>30971</v>
      </c>
      <c r="J656" t="s">
        <v>31243</v>
      </c>
      <c r="K656" t="s">
        <v>40304</v>
      </c>
      <c r="M656" t="s">
        <v>40842</v>
      </c>
      <c r="N656" t="s">
        <v>44759</v>
      </c>
      <c r="O656" t="s">
        <v>44760</v>
      </c>
      <c r="P656">
        <v>0</v>
      </c>
      <c r="Q656">
        <v>0</v>
      </c>
      <c r="R656" t="s">
        <v>44761</v>
      </c>
      <c r="S656" t="s">
        <v>44862</v>
      </c>
      <c r="T656" t="s">
        <v>46477</v>
      </c>
      <c r="U656" t="s">
        <v>47407</v>
      </c>
      <c r="V656" t="s">
        <v>59176</v>
      </c>
      <c r="W656" t="s">
        <v>40842</v>
      </c>
      <c r="X656" t="s">
        <v>44762</v>
      </c>
    </row>
    <row r="657" spans="1:24">
      <c r="A657">
        <f>HYPERLINK("https://www.philgeps.gov.ph/GEPSNONPILOT/Tender/SplashBidNoticeAbstractUI.aspx?menuIndex=3&amp;refID=7152721&amp;Result=3","7152721")</f>
        <v>0</v>
      </c>
      <c r="B657" t="s">
        <v>235</v>
      </c>
      <c r="C657" t="s">
        <v>4402</v>
      </c>
      <c r="D657" t="s">
        <v>17959</v>
      </c>
      <c r="E657" t="s">
        <v>18684</v>
      </c>
      <c r="F657" t="s">
        <v>30900</v>
      </c>
      <c r="G657" t="s">
        <v>30908</v>
      </c>
      <c r="H657" t="s">
        <v>30916</v>
      </c>
      <c r="I657" t="s">
        <v>30921</v>
      </c>
      <c r="J657" t="s">
        <v>31578</v>
      </c>
      <c r="K657" t="s">
        <v>40284</v>
      </c>
      <c r="M657" t="s">
        <v>40937</v>
      </c>
      <c r="N657" t="s">
        <v>44759</v>
      </c>
      <c r="O657" t="s">
        <v>44760</v>
      </c>
      <c r="P657">
        <v>0</v>
      </c>
      <c r="Q657">
        <v>0</v>
      </c>
      <c r="R657" t="s">
        <v>44761</v>
      </c>
      <c r="S657" t="s">
        <v>44862</v>
      </c>
      <c r="T657" t="s">
        <v>46390</v>
      </c>
      <c r="U657" t="s">
        <v>47559</v>
      </c>
      <c r="V657" t="s">
        <v>51724</v>
      </c>
      <c r="W657" t="s">
        <v>40937</v>
      </c>
      <c r="X657" t="s">
        <v>44762</v>
      </c>
    </row>
    <row r="658" spans="1:24">
      <c r="A658">
        <f>HYPERLINK("https://www.philgeps.gov.ph/GEPSNONPILOT/Tender/SplashBidNoticeAbstractUI.aspx?menuIndex=3&amp;refID=7152743&amp;Result=3","7152743")</f>
        <v>0</v>
      </c>
      <c r="B658" t="s">
        <v>364</v>
      </c>
      <c r="C658" t="s">
        <v>4403</v>
      </c>
      <c r="D658" t="s">
        <v>17991</v>
      </c>
      <c r="E658" t="s">
        <v>18685</v>
      </c>
      <c r="F658" t="s">
        <v>30900</v>
      </c>
      <c r="G658" t="s">
        <v>30907</v>
      </c>
      <c r="H658" t="s">
        <v>30916</v>
      </c>
      <c r="I658" t="s">
        <v>8123</v>
      </c>
      <c r="J658" t="s">
        <v>31579</v>
      </c>
      <c r="K658" t="s">
        <v>40286</v>
      </c>
      <c r="M658" t="s">
        <v>40918</v>
      </c>
      <c r="N658" t="s">
        <v>44759</v>
      </c>
      <c r="O658" t="s">
        <v>44760</v>
      </c>
      <c r="P658">
        <v>0</v>
      </c>
      <c r="Q658">
        <v>0</v>
      </c>
      <c r="R658" t="s">
        <v>44761</v>
      </c>
      <c r="S658" t="s">
        <v>44862</v>
      </c>
      <c r="T658" t="s">
        <v>46475</v>
      </c>
      <c r="U658" t="s">
        <v>47560</v>
      </c>
      <c r="V658" t="s">
        <v>59192</v>
      </c>
      <c r="W658" t="s">
        <v>40918</v>
      </c>
      <c r="X658" t="s">
        <v>44762</v>
      </c>
    </row>
    <row r="659" spans="1:24">
      <c r="A659">
        <f>HYPERLINK("https://www.philgeps.gov.ph/GEPSNONPILOT/Tender/SplashBidNoticeAbstractUI.aspx?menuIndex=3&amp;refID=7152760&amp;Result=3","7152760")</f>
        <v>0</v>
      </c>
      <c r="B659" t="s">
        <v>383</v>
      </c>
      <c r="C659" t="s">
        <v>4404</v>
      </c>
      <c r="D659" t="s">
        <v>17987</v>
      </c>
      <c r="E659" t="s">
        <v>18686</v>
      </c>
      <c r="F659" t="s">
        <v>30900</v>
      </c>
      <c r="G659" t="s">
        <v>30909</v>
      </c>
      <c r="H659" t="s">
        <v>30916</v>
      </c>
      <c r="I659" t="s">
        <v>30939</v>
      </c>
      <c r="J659" t="s">
        <v>31580</v>
      </c>
      <c r="K659" t="s">
        <v>40286</v>
      </c>
      <c r="M659" t="s">
        <v>40938</v>
      </c>
      <c r="N659" t="s">
        <v>44759</v>
      </c>
      <c r="O659" t="s">
        <v>44760</v>
      </c>
      <c r="P659">
        <v>0</v>
      </c>
      <c r="Q659">
        <v>0</v>
      </c>
      <c r="R659" t="s">
        <v>44761</v>
      </c>
      <c r="S659" t="s">
        <v>44862</v>
      </c>
      <c r="T659" t="s">
        <v>46410</v>
      </c>
      <c r="U659" t="s">
        <v>47561</v>
      </c>
      <c r="W659" t="s">
        <v>40938</v>
      </c>
      <c r="X659" t="s">
        <v>44762</v>
      </c>
    </row>
    <row r="660" spans="1:24">
      <c r="A660">
        <f>HYPERLINK("https://www.philgeps.gov.ph/GEPSNONPILOT/Tender/SplashBidNoticeAbstractUI.aspx?menuIndex=3&amp;refID=7152759&amp;Result=3","7152759")</f>
        <v>0</v>
      </c>
      <c r="B660" t="s">
        <v>384</v>
      </c>
      <c r="C660" t="s">
        <v>4405</v>
      </c>
      <c r="D660" t="s">
        <v>17987</v>
      </c>
      <c r="E660" t="s">
        <v>18687</v>
      </c>
      <c r="F660" t="s">
        <v>30900</v>
      </c>
      <c r="G660" t="s">
        <v>30909</v>
      </c>
      <c r="H660" t="s">
        <v>30916</v>
      </c>
      <c r="I660" t="s">
        <v>30934</v>
      </c>
      <c r="J660" t="s">
        <v>31581</v>
      </c>
      <c r="K660" t="s">
        <v>40287</v>
      </c>
      <c r="M660" t="s">
        <v>40939</v>
      </c>
      <c r="N660" t="s">
        <v>44759</v>
      </c>
      <c r="O660" t="s">
        <v>44760</v>
      </c>
      <c r="P660">
        <v>0</v>
      </c>
      <c r="Q660">
        <v>0</v>
      </c>
      <c r="R660" t="s">
        <v>44761</v>
      </c>
      <c r="S660" t="s">
        <v>44862</v>
      </c>
      <c r="T660" t="s">
        <v>46409</v>
      </c>
      <c r="U660" t="s">
        <v>47562</v>
      </c>
      <c r="W660" t="s">
        <v>40939</v>
      </c>
      <c r="X660" t="s">
        <v>44762</v>
      </c>
    </row>
    <row r="661" spans="1:24">
      <c r="A661">
        <f>HYPERLINK("https://www.philgeps.gov.ph/GEPSNONPILOT/Tender/SplashBidNoticeAbstractUI.aspx?menuIndex=3&amp;refID=7152757&amp;Result=3","7152757")</f>
        <v>0</v>
      </c>
      <c r="B661" t="s">
        <v>313</v>
      </c>
      <c r="C661" t="s">
        <v>4406</v>
      </c>
      <c r="D661" t="s">
        <v>18026</v>
      </c>
      <c r="E661" t="s">
        <v>18688</v>
      </c>
      <c r="F661" t="s">
        <v>30900</v>
      </c>
      <c r="G661" t="s">
        <v>30907</v>
      </c>
      <c r="H661" t="s">
        <v>30916</v>
      </c>
      <c r="I661" t="s">
        <v>30936</v>
      </c>
      <c r="J661" t="s">
        <v>31582</v>
      </c>
      <c r="K661" t="s">
        <v>40289</v>
      </c>
      <c r="M661" t="s">
        <v>40863</v>
      </c>
      <c r="N661" t="s">
        <v>44759</v>
      </c>
      <c r="O661" t="s">
        <v>44760</v>
      </c>
      <c r="P661">
        <v>0</v>
      </c>
      <c r="Q661">
        <v>0</v>
      </c>
      <c r="R661" t="s">
        <v>44761</v>
      </c>
      <c r="S661" t="s">
        <v>44862</v>
      </c>
      <c r="T661" t="s">
        <v>46350</v>
      </c>
      <c r="U661" t="s">
        <v>47563</v>
      </c>
      <c r="W661" t="s">
        <v>40863</v>
      </c>
      <c r="X661" t="s">
        <v>44762</v>
      </c>
    </row>
    <row r="662" spans="1:24">
      <c r="A662">
        <f>HYPERLINK("https://www.philgeps.gov.ph/GEPSNONPILOT/Tender/SplashBidNoticeAbstractUI.aspx?menuIndex=3&amp;refID=7152728&amp;Result=3","7152728")</f>
        <v>0</v>
      </c>
      <c r="B662" t="s">
        <v>385</v>
      </c>
      <c r="C662" t="s">
        <v>4407</v>
      </c>
      <c r="D662" t="s">
        <v>17978</v>
      </c>
      <c r="E662" t="s">
        <v>18689</v>
      </c>
      <c r="F662" t="s">
        <v>30900</v>
      </c>
      <c r="G662" t="s">
        <v>30908</v>
      </c>
      <c r="H662" t="s">
        <v>30916</v>
      </c>
      <c r="I662" t="s">
        <v>4545</v>
      </c>
      <c r="J662" t="s">
        <v>31583</v>
      </c>
      <c r="K662" t="s">
        <v>40284</v>
      </c>
      <c r="M662" t="s">
        <v>40940</v>
      </c>
      <c r="N662" t="s">
        <v>44759</v>
      </c>
      <c r="O662" t="s">
        <v>44760</v>
      </c>
      <c r="P662">
        <v>0</v>
      </c>
      <c r="Q662">
        <v>0</v>
      </c>
      <c r="R662" t="s">
        <v>44761</v>
      </c>
      <c r="S662" t="s">
        <v>44862</v>
      </c>
      <c r="T662" t="s">
        <v>46478</v>
      </c>
      <c r="U662" t="s">
        <v>47564</v>
      </c>
      <c r="W662" t="s">
        <v>40940</v>
      </c>
      <c r="X662" t="s">
        <v>44762</v>
      </c>
    </row>
    <row r="663" spans="1:24">
      <c r="A663">
        <f>HYPERLINK("https://www.philgeps.gov.ph/GEPSNONPILOT/Tender/SplashBidNoticeAbstractUI.aspx?menuIndex=3&amp;refID=7152738&amp;Result=3","7152738")</f>
        <v>0</v>
      </c>
      <c r="B663" t="s">
        <v>237</v>
      </c>
      <c r="C663" t="s">
        <v>4408</v>
      </c>
      <c r="D663" t="s">
        <v>17977</v>
      </c>
      <c r="E663" t="s">
        <v>4408</v>
      </c>
      <c r="F663" t="s">
        <v>30900</v>
      </c>
      <c r="G663" t="s">
        <v>30908</v>
      </c>
      <c r="H663" t="s">
        <v>30916</v>
      </c>
      <c r="I663" t="s">
        <v>30924</v>
      </c>
      <c r="J663" t="s">
        <v>31284</v>
      </c>
      <c r="K663" t="s">
        <v>40289</v>
      </c>
      <c r="M663" t="s">
        <v>40784</v>
      </c>
      <c r="N663" t="s">
        <v>44759</v>
      </c>
      <c r="O663" t="s">
        <v>44760</v>
      </c>
      <c r="P663">
        <v>0</v>
      </c>
      <c r="Q663">
        <v>0</v>
      </c>
      <c r="R663" t="s">
        <v>44761</v>
      </c>
      <c r="S663" t="s">
        <v>44862</v>
      </c>
      <c r="T663" t="s">
        <v>46393</v>
      </c>
      <c r="U663" t="s">
        <v>47565</v>
      </c>
      <c r="W663" t="s">
        <v>40784</v>
      </c>
      <c r="X663" t="s">
        <v>44762</v>
      </c>
    </row>
    <row r="664" spans="1:24">
      <c r="A664">
        <f>HYPERLINK("https://www.philgeps.gov.ph/GEPSNONPILOT/Tender/SplashBidNoticeAbstractUI.aspx?menuIndex=3&amp;refID=7152755&amp;Result=3","7152755")</f>
        <v>0</v>
      </c>
      <c r="B664" t="s">
        <v>386</v>
      </c>
      <c r="C664" t="s">
        <v>4409</v>
      </c>
      <c r="D664" t="s">
        <v>17987</v>
      </c>
      <c r="E664" t="s">
        <v>18690</v>
      </c>
      <c r="F664" t="s">
        <v>30900</v>
      </c>
      <c r="G664" t="s">
        <v>30907</v>
      </c>
      <c r="H664" t="s">
        <v>30916</v>
      </c>
      <c r="I664" t="s">
        <v>8123</v>
      </c>
      <c r="J664" t="s">
        <v>31584</v>
      </c>
      <c r="K664" t="s">
        <v>40286</v>
      </c>
      <c r="M664" t="s">
        <v>40941</v>
      </c>
      <c r="N664" t="s">
        <v>44759</v>
      </c>
      <c r="O664" t="s">
        <v>44760</v>
      </c>
      <c r="P664">
        <v>0</v>
      </c>
      <c r="Q664">
        <v>0</v>
      </c>
      <c r="R664" t="s">
        <v>44761</v>
      </c>
      <c r="S664" t="s">
        <v>44862</v>
      </c>
      <c r="T664" t="s">
        <v>46439</v>
      </c>
      <c r="U664" t="s">
        <v>47566</v>
      </c>
      <c r="V664" t="s">
        <v>59193</v>
      </c>
      <c r="W664" t="s">
        <v>40941</v>
      </c>
      <c r="X664" t="s">
        <v>44762</v>
      </c>
    </row>
    <row r="665" spans="1:24">
      <c r="A665">
        <f>HYPERLINK("https://www.philgeps.gov.ph/GEPSNONPILOT/Tender/SplashBidNoticeAbstractUI.aspx?menuIndex=3&amp;refID=7152754&amp;Result=3","7152754")</f>
        <v>0</v>
      </c>
      <c r="B665" t="s">
        <v>341</v>
      </c>
      <c r="C665" t="s">
        <v>4410</v>
      </c>
      <c r="D665" t="s">
        <v>17951</v>
      </c>
      <c r="E665" t="s">
        <v>18691</v>
      </c>
      <c r="F665" t="s">
        <v>30900</v>
      </c>
      <c r="G665" t="s">
        <v>30910</v>
      </c>
      <c r="H665" t="s">
        <v>30916</v>
      </c>
      <c r="I665" t="s">
        <v>30933</v>
      </c>
      <c r="J665" t="s">
        <v>31585</v>
      </c>
      <c r="K665" t="s">
        <v>40294</v>
      </c>
      <c r="L665" t="s">
        <v>341</v>
      </c>
      <c r="M665" t="s">
        <v>40894</v>
      </c>
      <c r="N665" t="s">
        <v>44759</v>
      </c>
      <c r="O665" t="s">
        <v>44760</v>
      </c>
      <c r="P665">
        <v>0</v>
      </c>
      <c r="Q665">
        <v>0</v>
      </c>
      <c r="R665" t="s">
        <v>44761</v>
      </c>
      <c r="S665" t="s">
        <v>44862</v>
      </c>
      <c r="T665" t="s">
        <v>46412</v>
      </c>
      <c r="U665" t="s">
        <v>47567</v>
      </c>
      <c r="W665" t="s">
        <v>40894</v>
      </c>
      <c r="X665" t="s">
        <v>44762</v>
      </c>
    </row>
    <row r="666" spans="1:24">
      <c r="A666">
        <f>HYPERLINK("https://www.philgeps.gov.ph/GEPSNONPILOT/Tender/SplashBidNoticeAbstractUI.aspx?menuIndex=3&amp;refID=7152751&amp;Result=3","7152751")</f>
        <v>0</v>
      </c>
      <c r="B666" t="s">
        <v>387</v>
      </c>
      <c r="C666" t="s">
        <v>4411</v>
      </c>
      <c r="D666" t="s">
        <v>17977</v>
      </c>
      <c r="E666" t="s">
        <v>18692</v>
      </c>
      <c r="F666" t="s">
        <v>30900</v>
      </c>
      <c r="G666" t="s">
        <v>30907</v>
      </c>
      <c r="H666" t="s">
        <v>30916</v>
      </c>
      <c r="I666" t="s">
        <v>30939</v>
      </c>
      <c r="J666" t="s">
        <v>31586</v>
      </c>
      <c r="K666" t="s">
        <v>40291</v>
      </c>
      <c r="M666" t="s">
        <v>40942</v>
      </c>
      <c r="N666" t="s">
        <v>44759</v>
      </c>
      <c r="O666" t="s">
        <v>44760</v>
      </c>
      <c r="P666">
        <v>0</v>
      </c>
      <c r="Q666">
        <v>0</v>
      </c>
      <c r="R666" t="s">
        <v>44761</v>
      </c>
      <c r="S666" t="s">
        <v>44862</v>
      </c>
      <c r="T666" t="s">
        <v>46418</v>
      </c>
      <c r="U666" t="s">
        <v>47568</v>
      </c>
      <c r="W666" t="s">
        <v>40942</v>
      </c>
      <c r="X666" t="s">
        <v>44762</v>
      </c>
    </row>
    <row r="667" spans="1:24">
      <c r="A667">
        <f>HYPERLINK("https://www.philgeps.gov.ph/GEPSNONPILOT/Tender/SplashBidNoticeAbstractUI.aspx?menuIndex=3&amp;refID=7152766&amp;Result=3","7152766")</f>
        <v>0</v>
      </c>
      <c r="B667" t="s">
        <v>284</v>
      </c>
      <c r="C667" t="s">
        <v>4412</v>
      </c>
      <c r="D667" t="s">
        <v>18009</v>
      </c>
      <c r="E667" t="s">
        <v>18693</v>
      </c>
      <c r="F667" t="s">
        <v>30900</v>
      </c>
      <c r="G667" t="s">
        <v>30908</v>
      </c>
      <c r="H667" t="s">
        <v>30916</v>
      </c>
      <c r="I667" t="s">
        <v>6396</v>
      </c>
      <c r="J667" t="s">
        <v>31096</v>
      </c>
      <c r="K667" t="s">
        <v>40287</v>
      </c>
      <c r="M667" t="s">
        <v>40832</v>
      </c>
      <c r="N667" t="s">
        <v>44759</v>
      </c>
      <c r="O667" t="s">
        <v>44760</v>
      </c>
      <c r="P667">
        <v>0</v>
      </c>
      <c r="Q667">
        <v>0</v>
      </c>
      <c r="R667" t="s">
        <v>44761</v>
      </c>
      <c r="S667" t="s">
        <v>44862</v>
      </c>
      <c r="T667" t="s">
        <v>46389</v>
      </c>
      <c r="U667" t="s">
        <v>47569</v>
      </c>
      <c r="W667" t="s">
        <v>40832</v>
      </c>
      <c r="X667" t="s">
        <v>44762</v>
      </c>
    </row>
    <row r="668" spans="1:24">
      <c r="A668">
        <f>HYPERLINK("https://www.philgeps.gov.ph/GEPSNONPILOT/Tender/SplashBidNoticeAbstractUI.aspx?menuIndex=3&amp;refID=7152715&amp;Result=3","7152715")</f>
        <v>0</v>
      </c>
      <c r="B668" t="s">
        <v>388</v>
      </c>
      <c r="C668" t="s">
        <v>4413</v>
      </c>
      <c r="D668" t="s">
        <v>17979</v>
      </c>
      <c r="E668" t="s">
        <v>18694</v>
      </c>
      <c r="F668" t="s">
        <v>30900</v>
      </c>
      <c r="G668" t="s">
        <v>30908</v>
      </c>
      <c r="H668" t="s">
        <v>30916</v>
      </c>
      <c r="I668" t="s">
        <v>30955</v>
      </c>
      <c r="J668" t="s">
        <v>31587</v>
      </c>
      <c r="K668" t="s">
        <v>40289</v>
      </c>
      <c r="M668" t="s">
        <v>40943</v>
      </c>
      <c r="N668" t="s">
        <v>44759</v>
      </c>
      <c r="O668" t="s">
        <v>44760</v>
      </c>
      <c r="P668">
        <v>0</v>
      </c>
      <c r="Q668">
        <v>0</v>
      </c>
      <c r="R668" t="s">
        <v>44761</v>
      </c>
      <c r="S668" t="s">
        <v>44862</v>
      </c>
      <c r="T668" t="s">
        <v>46393</v>
      </c>
      <c r="U668" t="s">
        <v>47570</v>
      </c>
      <c r="W668" t="s">
        <v>40943</v>
      </c>
      <c r="X668" t="s">
        <v>44762</v>
      </c>
    </row>
    <row r="669" spans="1:24">
      <c r="A669">
        <f>HYPERLINK("https://www.philgeps.gov.ph/GEPSNONPILOT/Tender/SplashBidNoticeAbstractUI.aspx?menuIndex=3&amp;refID=7152764&amp;Result=3","7152764")</f>
        <v>0</v>
      </c>
      <c r="B669" t="s">
        <v>230</v>
      </c>
      <c r="C669" t="s">
        <v>4414</v>
      </c>
      <c r="D669" t="s">
        <v>18019</v>
      </c>
      <c r="E669" t="s">
        <v>18695</v>
      </c>
      <c r="F669" t="s">
        <v>30900</v>
      </c>
      <c r="G669" t="s">
        <v>30909</v>
      </c>
      <c r="H669" t="s">
        <v>30916</v>
      </c>
      <c r="I669" t="s">
        <v>30938</v>
      </c>
      <c r="J669" t="s">
        <v>31588</v>
      </c>
      <c r="K669" t="s">
        <v>40333</v>
      </c>
      <c r="M669" t="s">
        <v>40777</v>
      </c>
      <c r="N669" t="s">
        <v>44759</v>
      </c>
      <c r="O669" t="s">
        <v>44760</v>
      </c>
      <c r="P669">
        <v>0</v>
      </c>
      <c r="Q669">
        <v>0</v>
      </c>
      <c r="R669" t="s">
        <v>44761</v>
      </c>
      <c r="S669" t="s">
        <v>44862</v>
      </c>
      <c r="T669" t="s">
        <v>46362</v>
      </c>
      <c r="U669" t="s">
        <v>47571</v>
      </c>
      <c r="W669" t="s">
        <v>40777</v>
      </c>
      <c r="X669" t="s">
        <v>44762</v>
      </c>
    </row>
    <row r="670" spans="1:24">
      <c r="A670">
        <f>HYPERLINK("https://www.philgeps.gov.ph/GEPSNONPILOT/Tender/SplashBidNoticeAbstractUI.aspx?menuIndex=3&amp;refID=7152763&amp;Result=3","7152763")</f>
        <v>0</v>
      </c>
      <c r="B670" t="s">
        <v>389</v>
      </c>
      <c r="C670" t="s">
        <v>4415</v>
      </c>
      <c r="D670" t="s">
        <v>17969</v>
      </c>
      <c r="E670" t="s">
        <v>18696</v>
      </c>
      <c r="F670" t="s">
        <v>30900</v>
      </c>
      <c r="G670" t="s">
        <v>30909</v>
      </c>
      <c r="H670" t="s">
        <v>30916</v>
      </c>
      <c r="I670" t="s">
        <v>30972</v>
      </c>
      <c r="J670" t="s">
        <v>31589</v>
      </c>
      <c r="K670" t="s">
        <v>40314</v>
      </c>
      <c r="M670" t="s">
        <v>40944</v>
      </c>
      <c r="N670" t="s">
        <v>44759</v>
      </c>
      <c r="O670" t="s">
        <v>44760</v>
      </c>
      <c r="P670">
        <v>0</v>
      </c>
      <c r="Q670">
        <v>0</v>
      </c>
      <c r="R670" t="s">
        <v>44761</v>
      </c>
      <c r="S670" t="s">
        <v>44862</v>
      </c>
      <c r="T670" t="s">
        <v>46363</v>
      </c>
      <c r="U670" t="s">
        <v>47572</v>
      </c>
      <c r="W670" t="s">
        <v>40944</v>
      </c>
      <c r="X670" t="s">
        <v>44762</v>
      </c>
    </row>
    <row r="671" spans="1:24">
      <c r="A671">
        <f>HYPERLINK("https://www.philgeps.gov.ph/GEPSNONPILOT/Tender/SplashBidNoticeAbstractUI.aspx?menuIndex=3&amp;refID=7152752&amp;Result=3","7152752")</f>
        <v>0</v>
      </c>
      <c r="B671" t="s">
        <v>143</v>
      </c>
      <c r="C671" t="s">
        <v>4416</v>
      </c>
      <c r="D671" t="s">
        <v>17965</v>
      </c>
      <c r="E671" t="s">
        <v>18697</v>
      </c>
      <c r="F671" t="s">
        <v>30900</v>
      </c>
      <c r="G671" t="s">
        <v>30907</v>
      </c>
      <c r="H671" t="s">
        <v>30915</v>
      </c>
      <c r="I671" t="s">
        <v>30919</v>
      </c>
      <c r="J671" t="s">
        <v>31590</v>
      </c>
      <c r="K671" t="s">
        <v>40314</v>
      </c>
      <c r="M671" t="s">
        <v>40854</v>
      </c>
      <c r="N671" t="s">
        <v>44759</v>
      </c>
      <c r="O671" t="s">
        <v>44760</v>
      </c>
      <c r="P671">
        <v>0</v>
      </c>
      <c r="Q671">
        <v>0</v>
      </c>
      <c r="R671" t="s">
        <v>44761</v>
      </c>
      <c r="S671" t="s">
        <v>44862</v>
      </c>
      <c r="T671" t="s">
        <v>46378</v>
      </c>
      <c r="U671" t="s">
        <v>47423</v>
      </c>
      <c r="W671" t="s">
        <v>40854</v>
      </c>
      <c r="X671" t="s">
        <v>44762</v>
      </c>
    </row>
    <row r="672" spans="1:24">
      <c r="A672">
        <f>HYPERLINK("https://www.philgeps.gov.ph/GEPSNONPILOT/Tender/SplashBidNoticeAbstractUI.aspx?menuIndex=3&amp;refID=7152722&amp;Result=3","7152722")</f>
        <v>0</v>
      </c>
      <c r="B672" t="s">
        <v>370</v>
      </c>
      <c r="C672" t="s">
        <v>4417</v>
      </c>
      <c r="D672" t="s">
        <v>17981</v>
      </c>
      <c r="E672" t="s">
        <v>18698</v>
      </c>
      <c r="F672" t="s">
        <v>30900</v>
      </c>
      <c r="G672" t="s">
        <v>30908</v>
      </c>
      <c r="H672" t="s">
        <v>30916</v>
      </c>
      <c r="I672" t="s">
        <v>8123</v>
      </c>
      <c r="J672" t="s">
        <v>31591</v>
      </c>
      <c r="K672" t="s">
        <v>40289</v>
      </c>
      <c r="M672" t="s">
        <v>40924</v>
      </c>
      <c r="N672" t="s">
        <v>44759</v>
      </c>
      <c r="O672" t="s">
        <v>44760</v>
      </c>
      <c r="P672">
        <v>0</v>
      </c>
      <c r="Q672">
        <v>0</v>
      </c>
      <c r="R672" t="s">
        <v>44761</v>
      </c>
      <c r="S672" t="s">
        <v>44862</v>
      </c>
      <c r="T672" t="s">
        <v>46399</v>
      </c>
      <c r="U672" t="s">
        <v>47573</v>
      </c>
      <c r="W672" t="s">
        <v>40924</v>
      </c>
      <c r="X672" t="s">
        <v>44762</v>
      </c>
    </row>
    <row r="673" spans="1:24">
      <c r="A673">
        <f>HYPERLINK("https://www.philgeps.gov.ph/GEPSNONPILOT/Tender/SplashBidNoticeAbstractUI.aspx?menuIndex=3&amp;refID=7152745&amp;Result=3","7152745")</f>
        <v>0</v>
      </c>
      <c r="B673" t="s">
        <v>331</v>
      </c>
      <c r="C673" t="s">
        <v>4418</v>
      </c>
      <c r="D673" t="s">
        <v>18004</v>
      </c>
      <c r="E673" t="s">
        <v>18699</v>
      </c>
      <c r="F673" t="s">
        <v>30900</v>
      </c>
      <c r="G673" t="s">
        <v>30908</v>
      </c>
      <c r="H673" t="s">
        <v>30916</v>
      </c>
      <c r="I673" t="s">
        <v>4142</v>
      </c>
      <c r="J673" t="s">
        <v>31247</v>
      </c>
      <c r="K673" t="s">
        <v>40292</v>
      </c>
      <c r="M673" t="s">
        <v>40882</v>
      </c>
      <c r="N673" t="s">
        <v>44759</v>
      </c>
      <c r="O673" t="s">
        <v>44760</v>
      </c>
      <c r="P673">
        <v>0</v>
      </c>
      <c r="Q673">
        <v>0</v>
      </c>
      <c r="R673" t="s">
        <v>44761</v>
      </c>
      <c r="S673" t="s">
        <v>44862</v>
      </c>
      <c r="T673" t="s">
        <v>46357</v>
      </c>
      <c r="U673" t="s">
        <v>47469</v>
      </c>
      <c r="W673" t="s">
        <v>40882</v>
      </c>
      <c r="X673" t="s">
        <v>44762</v>
      </c>
    </row>
    <row r="674" spans="1:24">
      <c r="A674">
        <f>HYPERLINK("https://www.philgeps.gov.ph/GEPSNONPILOT/Tender/SplashBidNoticeAbstractUI.aspx?menuIndex=3&amp;refID=7152758&amp;Result=3","7152758")</f>
        <v>0</v>
      </c>
      <c r="B674" t="s">
        <v>282</v>
      </c>
      <c r="C674" t="s">
        <v>4419</v>
      </c>
      <c r="D674" t="s">
        <v>18022</v>
      </c>
      <c r="E674" t="s">
        <v>18700</v>
      </c>
      <c r="F674" t="s">
        <v>30900</v>
      </c>
      <c r="G674" t="s">
        <v>30908</v>
      </c>
      <c r="H674" t="s">
        <v>30916</v>
      </c>
      <c r="I674" t="s">
        <v>30967</v>
      </c>
      <c r="J674" t="s">
        <v>31592</v>
      </c>
      <c r="K674" t="s">
        <v>40289</v>
      </c>
      <c r="M674" t="s">
        <v>40829</v>
      </c>
      <c r="N674" t="s">
        <v>44759</v>
      </c>
      <c r="O674" t="s">
        <v>44760</v>
      </c>
      <c r="P674">
        <v>0</v>
      </c>
      <c r="Q674">
        <v>0</v>
      </c>
      <c r="R674" t="s">
        <v>44761</v>
      </c>
      <c r="S674" t="s">
        <v>44862</v>
      </c>
      <c r="T674" t="s">
        <v>46421</v>
      </c>
      <c r="U674" t="s">
        <v>47389</v>
      </c>
      <c r="W674" t="s">
        <v>40829</v>
      </c>
      <c r="X674" t="s">
        <v>44762</v>
      </c>
    </row>
    <row r="675" spans="1:24">
      <c r="A675">
        <f>HYPERLINK("https://www.philgeps.gov.ph/GEPSNONPILOT/Tender/SplashBidNoticeAbstractUI.aspx?menuIndex=3&amp;refID=7152747&amp;Result=3","7152747")</f>
        <v>0</v>
      </c>
      <c r="B675" t="s">
        <v>390</v>
      </c>
      <c r="C675" t="s">
        <v>4420</v>
      </c>
      <c r="D675" t="s">
        <v>17953</v>
      </c>
      <c r="E675" t="s">
        <v>18701</v>
      </c>
      <c r="F675" t="s">
        <v>30900</v>
      </c>
      <c r="G675" t="s">
        <v>30907</v>
      </c>
      <c r="H675" t="s">
        <v>30916</v>
      </c>
      <c r="I675" t="s">
        <v>30942</v>
      </c>
      <c r="J675" t="s">
        <v>31593</v>
      </c>
      <c r="K675" t="s">
        <v>40289</v>
      </c>
      <c r="M675" t="s">
        <v>40945</v>
      </c>
      <c r="N675" t="s">
        <v>44759</v>
      </c>
      <c r="O675" t="s">
        <v>44760</v>
      </c>
      <c r="P675">
        <v>0</v>
      </c>
      <c r="Q675">
        <v>0</v>
      </c>
      <c r="R675" t="s">
        <v>44761</v>
      </c>
      <c r="S675" t="s">
        <v>44862</v>
      </c>
      <c r="T675" t="s">
        <v>46394</v>
      </c>
      <c r="U675" t="s">
        <v>47574</v>
      </c>
      <c r="W675" t="s">
        <v>40945</v>
      </c>
      <c r="X675" t="s">
        <v>44762</v>
      </c>
    </row>
    <row r="676" spans="1:24">
      <c r="A676">
        <f>HYPERLINK("https://www.philgeps.gov.ph/GEPSNONPILOT/Tender/SplashBidNoticeAbstractUI.aspx?menuIndex=3&amp;refID=7152762&amp;Result=3","7152762")</f>
        <v>0</v>
      </c>
      <c r="B676" t="s">
        <v>380</v>
      </c>
      <c r="C676" t="s">
        <v>4013</v>
      </c>
      <c r="D676" t="s">
        <v>18003</v>
      </c>
      <c r="E676" t="s">
        <v>18702</v>
      </c>
      <c r="F676" t="s">
        <v>30900</v>
      </c>
      <c r="G676" t="s">
        <v>30908</v>
      </c>
      <c r="H676" t="s">
        <v>30916</v>
      </c>
      <c r="I676" t="s">
        <v>4142</v>
      </c>
      <c r="J676" t="s">
        <v>31594</v>
      </c>
      <c r="K676" t="s">
        <v>40287</v>
      </c>
      <c r="M676" t="s">
        <v>40934</v>
      </c>
      <c r="N676" t="s">
        <v>44759</v>
      </c>
      <c r="O676" t="s">
        <v>44760</v>
      </c>
      <c r="P676">
        <v>0</v>
      </c>
      <c r="Q676">
        <v>0</v>
      </c>
      <c r="R676" t="s">
        <v>44761</v>
      </c>
      <c r="S676" t="s">
        <v>44862</v>
      </c>
      <c r="T676" t="s">
        <v>46373</v>
      </c>
      <c r="U676" t="s">
        <v>47553</v>
      </c>
      <c r="W676" t="s">
        <v>40934</v>
      </c>
      <c r="X676" t="s">
        <v>44762</v>
      </c>
    </row>
    <row r="677" spans="1:24">
      <c r="A677">
        <f>HYPERLINK("https://www.philgeps.gov.ph/GEPSNONPILOT/Tender/SplashBidNoticeAbstractUI.aspx?menuIndex=3&amp;refID=7152767&amp;Result=3","7152767")</f>
        <v>0</v>
      </c>
      <c r="B677" t="s">
        <v>292</v>
      </c>
      <c r="C677" t="s">
        <v>4421</v>
      </c>
      <c r="D677" t="s">
        <v>17963</v>
      </c>
      <c r="E677" t="s">
        <v>18703</v>
      </c>
      <c r="F677" t="s">
        <v>30900</v>
      </c>
      <c r="G677" t="s">
        <v>30910</v>
      </c>
      <c r="H677" t="s">
        <v>30916</v>
      </c>
      <c r="I677" t="s">
        <v>4142</v>
      </c>
      <c r="J677" t="s">
        <v>31195</v>
      </c>
      <c r="K677" t="s">
        <v>40289</v>
      </c>
      <c r="M677" t="s">
        <v>40840</v>
      </c>
      <c r="N677" t="s">
        <v>44759</v>
      </c>
      <c r="O677" t="s">
        <v>44760</v>
      </c>
      <c r="P677">
        <v>0</v>
      </c>
      <c r="Q677">
        <v>0</v>
      </c>
      <c r="R677" t="s">
        <v>44761</v>
      </c>
      <c r="S677" t="s">
        <v>44862</v>
      </c>
      <c r="T677" t="s">
        <v>46376</v>
      </c>
      <c r="U677" t="s">
        <v>47575</v>
      </c>
      <c r="W677" t="s">
        <v>40840</v>
      </c>
      <c r="X677" t="s">
        <v>44762</v>
      </c>
    </row>
    <row r="678" spans="1:24">
      <c r="A678">
        <f>HYPERLINK("https://www.philgeps.gov.ph/GEPSNONPILOT/Tender/SplashBidNoticeAbstractUI.aspx?menuIndex=3&amp;refID=7152746&amp;Result=3","7152746")</f>
        <v>0</v>
      </c>
      <c r="B678" t="s">
        <v>391</v>
      </c>
      <c r="C678" t="s">
        <v>4422</v>
      </c>
      <c r="D678" t="s">
        <v>18019</v>
      </c>
      <c r="E678" t="s">
        <v>18704</v>
      </c>
      <c r="F678" t="s">
        <v>30900</v>
      </c>
      <c r="G678" t="s">
        <v>30907</v>
      </c>
      <c r="H678" t="s">
        <v>30916</v>
      </c>
      <c r="I678" t="s">
        <v>4108</v>
      </c>
      <c r="J678" t="s">
        <v>31595</v>
      </c>
      <c r="K678" t="s">
        <v>40286</v>
      </c>
      <c r="M678" t="s">
        <v>40946</v>
      </c>
      <c r="N678" t="s">
        <v>44759</v>
      </c>
      <c r="O678" t="s">
        <v>44760</v>
      </c>
      <c r="P678">
        <v>0</v>
      </c>
      <c r="Q678">
        <v>0</v>
      </c>
      <c r="R678" t="s">
        <v>44761</v>
      </c>
      <c r="S678" t="s">
        <v>44862</v>
      </c>
      <c r="T678" t="s">
        <v>46418</v>
      </c>
      <c r="U678" t="s">
        <v>47576</v>
      </c>
      <c r="V678" t="s">
        <v>59194</v>
      </c>
      <c r="W678" t="s">
        <v>40946</v>
      </c>
      <c r="X678" t="s">
        <v>44762</v>
      </c>
    </row>
    <row r="679" spans="1:24">
      <c r="A679">
        <f>HYPERLINK("https://www.philgeps.gov.ph/GEPSNONPILOT/Tender/SplashBidNoticeAbstractUI.aspx?menuIndex=3&amp;refID=7152781&amp;Result=3","7152781")</f>
        <v>0</v>
      </c>
      <c r="B679" t="s">
        <v>392</v>
      </c>
      <c r="C679" t="s">
        <v>4423</v>
      </c>
      <c r="D679" t="s">
        <v>17972</v>
      </c>
      <c r="E679" t="s">
        <v>18705</v>
      </c>
      <c r="F679" t="s">
        <v>30900</v>
      </c>
      <c r="G679" t="s">
        <v>30908</v>
      </c>
      <c r="H679" t="s">
        <v>30916</v>
      </c>
      <c r="I679" t="s">
        <v>8123</v>
      </c>
      <c r="J679" t="s">
        <v>31596</v>
      </c>
      <c r="K679" t="s">
        <v>40286</v>
      </c>
      <c r="M679" t="s">
        <v>40947</v>
      </c>
      <c r="N679" t="s">
        <v>44759</v>
      </c>
      <c r="O679" t="s">
        <v>44760</v>
      </c>
      <c r="P679">
        <v>0</v>
      </c>
      <c r="Q679">
        <v>0</v>
      </c>
      <c r="R679" t="s">
        <v>44761</v>
      </c>
      <c r="S679" t="s">
        <v>44862</v>
      </c>
      <c r="T679" t="s">
        <v>46356</v>
      </c>
      <c r="U679" t="s">
        <v>47577</v>
      </c>
      <c r="W679" t="s">
        <v>40947</v>
      </c>
      <c r="X679" t="s">
        <v>44762</v>
      </c>
    </row>
    <row r="680" spans="1:24">
      <c r="A680">
        <f>HYPERLINK("https://www.philgeps.gov.ph/GEPSNONPILOT/Tender/SplashBidNoticeAbstractUI.aspx?menuIndex=3&amp;refID=7152761&amp;Result=3","7152761")</f>
        <v>0</v>
      </c>
      <c r="B680" t="s">
        <v>393</v>
      </c>
      <c r="C680" t="s">
        <v>4424</v>
      </c>
      <c r="E680" t="s">
        <v>18706</v>
      </c>
      <c r="F680" t="s">
        <v>30900</v>
      </c>
      <c r="G680" t="s">
        <v>30909</v>
      </c>
      <c r="H680" t="s">
        <v>30916</v>
      </c>
      <c r="I680" t="s">
        <v>30939</v>
      </c>
      <c r="J680" t="s">
        <v>31270</v>
      </c>
      <c r="K680" t="s">
        <v>40289</v>
      </c>
      <c r="M680" t="s">
        <v>40948</v>
      </c>
      <c r="N680" t="s">
        <v>44759</v>
      </c>
      <c r="O680" t="s">
        <v>44760</v>
      </c>
      <c r="P680">
        <v>0</v>
      </c>
      <c r="Q680">
        <v>0</v>
      </c>
      <c r="R680" t="s">
        <v>44761</v>
      </c>
      <c r="S680" t="s">
        <v>44862</v>
      </c>
      <c r="T680" t="s">
        <v>46362</v>
      </c>
      <c r="U680" t="s">
        <v>47578</v>
      </c>
      <c r="V680" t="s">
        <v>59195</v>
      </c>
      <c r="W680" t="s">
        <v>40948</v>
      </c>
      <c r="X680" t="s">
        <v>44762</v>
      </c>
    </row>
    <row r="681" spans="1:24">
      <c r="A681">
        <f>HYPERLINK("https://www.philgeps.gov.ph/GEPSNONPILOT/Tender/SplashBidNoticeAbstractUI.aspx?menuIndex=3&amp;refID=7152778&amp;Result=3","7152778")</f>
        <v>0</v>
      </c>
      <c r="B681" t="s">
        <v>394</v>
      </c>
      <c r="C681" t="s">
        <v>4425</v>
      </c>
      <c r="D681" t="s">
        <v>17959</v>
      </c>
      <c r="E681" t="s">
        <v>18707</v>
      </c>
      <c r="F681" t="s">
        <v>30900</v>
      </c>
      <c r="G681" t="s">
        <v>30908</v>
      </c>
      <c r="H681" t="s">
        <v>30916</v>
      </c>
      <c r="I681" t="s">
        <v>6953</v>
      </c>
      <c r="J681" t="s">
        <v>31597</v>
      </c>
      <c r="K681" t="s">
        <v>40283</v>
      </c>
      <c r="M681" t="s">
        <v>40949</v>
      </c>
      <c r="N681" t="s">
        <v>44759</v>
      </c>
      <c r="O681" t="s">
        <v>44760</v>
      </c>
      <c r="P681">
        <v>0</v>
      </c>
      <c r="Q681">
        <v>0</v>
      </c>
      <c r="R681" t="s">
        <v>44761</v>
      </c>
      <c r="S681" t="s">
        <v>44862</v>
      </c>
      <c r="T681" t="s">
        <v>46390</v>
      </c>
      <c r="U681" t="s">
        <v>47579</v>
      </c>
      <c r="W681" t="s">
        <v>40949</v>
      </c>
      <c r="X681" t="s">
        <v>44762</v>
      </c>
    </row>
    <row r="682" spans="1:24">
      <c r="A682">
        <f>HYPERLINK("https://www.philgeps.gov.ph/GEPSNONPILOT/Tender/SplashBidNoticeAbstractUI.aspx?menuIndex=3&amp;refID=7152748&amp;Result=3","7152748")</f>
        <v>0</v>
      </c>
      <c r="B682" t="s">
        <v>380</v>
      </c>
      <c r="C682" t="s">
        <v>4426</v>
      </c>
      <c r="D682" t="s">
        <v>18003</v>
      </c>
      <c r="E682" t="s">
        <v>18708</v>
      </c>
      <c r="F682" t="s">
        <v>30900</v>
      </c>
      <c r="G682" t="s">
        <v>30908</v>
      </c>
      <c r="H682" t="s">
        <v>30916</v>
      </c>
      <c r="I682" t="s">
        <v>4545</v>
      </c>
      <c r="J682" t="s">
        <v>31583</v>
      </c>
      <c r="K682" t="s">
        <v>40287</v>
      </c>
      <c r="M682" t="s">
        <v>40934</v>
      </c>
      <c r="N682" t="s">
        <v>44759</v>
      </c>
      <c r="O682" t="s">
        <v>44760</v>
      </c>
      <c r="P682">
        <v>0</v>
      </c>
      <c r="Q682">
        <v>0</v>
      </c>
      <c r="R682" t="s">
        <v>44761</v>
      </c>
      <c r="S682" t="s">
        <v>44862</v>
      </c>
      <c r="T682" t="s">
        <v>46373</v>
      </c>
      <c r="U682" t="s">
        <v>47553</v>
      </c>
      <c r="W682" t="s">
        <v>40934</v>
      </c>
      <c r="X682" t="s">
        <v>44762</v>
      </c>
    </row>
    <row r="683" spans="1:24">
      <c r="A683">
        <f>HYPERLINK("https://www.philgeps.gov.ph/GEPSNONPILOT/Tender/SplashBidNoticeAbstractUI.aspx?menuIndex=3&amp;refID=7152775&amp;Result=3","7152775")</f>
        <v>0</v>
      </c>
      <c r="B683" t="s">
        <v>380</v>
      </c>
      <c r="C683" t="s">
        <v>4427</v>
      </c>
      <c r="D683" t="s">
        <v>18003</v>
      </c>
      <c r="E683" t="s">
        <v>18709</v>
      </c>
      <c r="F683" t="s">
        <v>30900</v>
      </c>
      <c r="G683" t="s">
        <v>30908</v>
      </c>
      <c r="H683" t="s">
        <v>30916</v>
      </c>
      <c r="I683" t="s">
        <v>6953</v>
      </c>
      <c r="J683" t="s">
        <v>31598</v>
      </c>
      <c r="K683" t="s">
        <v>40287</v>
      </c>
      <c r="M683" t="s">
        <v>40934</v>
      </c>
      <c r="N683" t="s">
        <v>44759</v>
      </c>
      <c r="O683" t="s">
        <v>44760</v>
      </c>
      <c r="P683">
        <v>0</v>
      </c>
      <c r="Q683">
        <v>0</v>
      </c>
      <c r="R683" t="s">
        <v>44761</v>
      </c>
      <c r="S683" t="s">
        <v>44862</v>
      </c>
      <c r="T683" t="s">
        <v>46373</v>
      </c>
      <c r="U683" t="s">
        <v>47553</v>
      </c>
      <c r="W683" t="s">
        <v>40934</v>
      </c>
      <c r="X683" t="s">
        <v>44762</v>
      </c>
    </row>
    <row r="684" spans="1:24">
      <c r="A684">
        <f>HYPERLINK("https://www.philgeps.gov.ph/GEPSNONPILOT/Tender/SplashBidNoticeAbstractUI.aspx?menuIndex=3&amp;refID=7152773&amp;Result=3","7152773")</f>
        <v>0</v>
      </c>
      <c r="B684" t="s">
        <v>366</v>
      </c>
      <c r="C684" t="s">
        <v>4428</v>
      </c>
      <c r="D684" t="s">
        <v>17977</v>
      </c>
      <c r="E684" t="s">
        <v>18651</v>
      </c>
      <c r="F684" t="s">
        <v>30900</v>
      </c>
      <c r="G684" t="s">
        <v>30908</v>
      </c>
      <c r="H684" t="s">
        <v>30916</v>
      </c>
      <c r="I684" t="s">
        <v>4142</v>
      </c>
      <c r="J684" t="s">
        <v>31599</v>
      </c>
      <c r="K684" t="s">
        <v>40287</v>
      </c>
      <c r="M684" t="s">
        <v>40920</v>
      </c>
      <c r="N684" t="s">
        <v>44759</v>
      </c>
      <c r="O684" t="s">
        <v>44760</v>
      </c>
      <c r="P684">
        <v>0</v>
      </c>
      <c r="Q684">
        <v>0</v>
      </c>
      <c r="R684" t="s">
        <v>44761</v>
      </c>
      <c r="S684" t="s">
        <v>44862</v>
      </c>
      <c r="T684" t="s">
        <v>46412</v>
      </c>
      <c r="U684" t="s">
        <v>47580</v>
      </c>
      <c r="V684" t="s">
        <v>59196</v>
      </c>
      <c r="W684" t="s">
        <v>40920</v>
      </c>
      <c r="X684" t="s">
        <v>44762</v>
      </c>
    </row>
    <row r="685" spans="1:24">
      <c r="A685">
        <f>HYPERLINK("https://www.philgeps.gov.ph/GEPSNONPILOT/Tender/SplashBidNoticeAbstractUI.aspx?menuIndex=3&amp;refID=7152771&amp;Result=3","7152771")</f>
        <v>0</v>
      </c>
      <c r="B685" t="s">
        <v>395</v>
      </c>
      <c r="C685" t="s">
        <v>3886</v>
      </c>
      <c r="D685" t="s">
        <v>17957</v>
      </c>
      <c r="E685" t="s">
        <v>18207</v>
      </c>
      <c r="F685" t="s">
        <v>30900</v>
      </c>
      <c r="G685" t="s">
        <v>30909</v>
      </c>
      <c r="H685" t="s">
        <v>30916</v>
      </c>
      <c r="I685" t="s">
        <v>4108</v>
      </c>
      <c r="J685" t="s">
        <v>31600</v>
      </c>
      <c r="K685" t="s">
        <v>40281</v>
      </c>
      <c r="M685" t="s">
        <v>40950</v>
      </c>
      <c r="N685" t="s">
        <v>44759</v>
      </c>
      <c r="O685" t="s">
        <v>44760</v>
      </c>
      <c r="P685">
        <v>0</v>
      </c>
      <c r="Q685">
        <v>0</v>
      </c>
      <c r="R685" t="s">
        <v>44761</v>
      </c>
      <c r="S685" t="s">
        <v>44862</v>
      </c>
      <c r="T685" t="s">
        <v>46383</v>
      </c>
      <c r="U685" t="s">
        <v>47581</v>
      </c>
      <c r="V685" t="s">
        <v>59117</v>
      </c>
      <c r="W685" t="s">
        <v>40950</v>
      </c>
      <c r="X685" t="s">
        <v>44762</v>
      </c>
    </row>
    <row r="686" spans="1:24">
      <c r="A686">
        <f>HYPERLINK("https://www.philgeps.gov.ph/GEPSNONPILOT/Tender/SplashBidNoticeAbstractUI.aspx?menuIndex=3&amp;refID=7152770&amp;Result=3","7152770")</f>
        <v>0</v>
      </c>
      <c r="B686" t="s">
        <v>396</v>
      </c>
      <c r="C686" t="s">
        <v>4429</v>
      </c>
      <c r="D686" t="s">
        <v>17984</v>
      </c>
      <c r="E686" t="s">
        <v>18710</v>
      </c>
      <c r="F686" t="s">
        <v>30900</v>
      </c>
      <c r="G686" t="s">
        <v>30908</v>
      </c>
      <c r="H686" t="s">
        <v>30916</v>
      </c>
      <c r="I686" t="s">
        <v>30973</v>
      </c>
      <c r="J686" t="s">
        <v>31601</v>
      </c>
      <c r="K686" t="s">
        <v>40287</v>
      </c>
      <c r="M686" t="s">
        <v>40951</v>
      </c>
      <c r="N686" t="s">
        <v>44759</v>
      </c>
      <c r="O686" t="s">
        <v>44760</v>
      </c>
      <c r="P686">
        <v>0</v>
      </c>
      <c r="Q686">
        <v>0</v>
      </c>
      <c r="R686" t="s">
        <v>44761</v>
      </c>
      <c r="S686" t="s">
        <v>44862</v>
      </c>
      <c r="T686" t="s">
        <v>46376</v>
      </c>
      <c r="U686" t="s">
        <v>47582</v>
      </c>
      <c r="W686" t="s">
        <v>40951</v>
      </c>
      <c r="X686" t="s">
        <v>44762</v>
      </c>
    </row>
    <row r="687" spans="1:24">
      <c r="A687">
        <f>HYPERLINK("https://www.philgeps.gov.ph/GEPSNONPILOT/Tender/SplashBidNoticeAbstractUI.aspx?menuIndex=3&amp;refID=7152753&amp;Result=3","7152753")</f>
        <v>0</v>
      </c>
      <c r="B687" t="s">
        <v>397</v>
      </c>
      <c r="C687" t="s">
        <v>4430</v>
      </c>
      <c r="D687" t="s">
        <v>17965</v>
      </c>
      <c r="E687" t="s">
        <v>18711</v>
      </c>
      <c r="F687" t="s">
        <v>30900</v>
      </c>
      <c r="G687" t="s">
        <v>30909</v>
      </c>
      <c r="H687" t="s">
        <v>30916</v>
      </c>
      <c r="I687" t="s">
        <v>6396</v>
      </c>
      <c r="J687" t="s">
        <v>31602</v>
      </c>
      <c r="K687" t="s">
        <v>40284</v>
      </c>
      <c r="M687" t="s">
        <v>40952</v>
      </c>
      <c r="N687" t="s">
        <v>44759</v>
      </c>
      <c r="O687" t="s">
        <v>44760</v>
      </c>
      <c r="P687">
        <v>0</v>
      </c>
      <c r="Q687">
        <v>0</v>
      </c>
      <c r="R687" t="s">
        <v>44761</v>
      </c>
      <c r="S687" t="s">
        <v>44862</v>
      </c>
      <c r="T687" t="s">
        <v>46479</v>
      </c>
      <c r="U687" t="s">
        <v>47583</v>
      </c>
      <c r="W687" t="s">
        <v>40952</v>
      </c>
      <c r="X687" t="s">
        <v>44762</v>
      </c>
    </row>
    <row r="688" spans="1:24">
      <c r="A688">
        <f>HYPERLINK("https://www.philgeps.gov.ph/GEPSNONPILOT/Tender/SplashBidNoticeAbstractUI.aspx?menuIndex=3&amp;refID=7152790&amp;Result=3","7152790")</f>
        <v>0</v>
      </c>
      <c r="B688" t="s">
        <v>398</v>
      </c>
      <c r="C688" t="s">
        <v>4431</v>
      </c>
      <c r="D688" t="s">
        <v>18012</v>
      </c>
      <c r="E688" t="s">
        <v>18712</v>
      </c>
      <c r="F688" t="s">
        <v>30900</v>
      </c>
      <c r="G688" t="s">
        <v>30910</v>
      </c>
      <c r="H688" t="s">
        <v>30916</v>
      </c>
      <c r="I688" t="s">
        <v>6396</v>
      </c>
      <c r="J688" t="s">
        <v>31101</v>
      </c>
      <c r="K688" t="s">
        <v>40284</v>
      </c>
      <c r="M688" t="s">
        <v>40953</v>
      </c>
      <c r="N688" t="s">
        <v>44759</v>
      </c>
      <c r="O688" t="s">
        <v>44760</v>
      </c>
      <c r="P688">
        <v>0</v>
      </c>
      <c r="Q688">
        <v>0</v>
      </c>
      <c r="R688" t="s">
        <v>44761</v>
      </c>
      <c r="S688" t="s">
        <v>44862</v>
      </c>
      <c r="T688" t="s">
        <v>46356</v>
      </c>
      <c r="U688" t="s">
        <v>47584</v>
      </c>
      <c r="W688" t="s">
        <v>40953</v>
      </c>
      <c r="X688" t="s">
        <v>44762</v>
      </c>
    </row>
    <row r="689" spans="1:24">
      <c r="A689">
        <f>HYPERLINK("https://www.philgeps.gov.ph/GEPSNONPILOT/Tender/SplashBidNoticeAbstractUI.aspx?menuIndex=3&amp;refID=7152789&amp;Result=3","7152789")</f>
        <v>0</v>
      </c>
      <c r="B689" t="s">
        <v>399</v>
      </c>
      <c r="C689" t="s">
        <v>4432</v>
      </c>
      <c r="D689" t="s">
        <v>17977</v>
      </c>
      <c r="E689" t="s">
        <v>18713</v>
      </c>
      <c r="F689" t="s">
        <v>30900</v>
      </c>
      <c r="G689" t="s">
        <v>30908</v>
      </c>
      <c r="H689" t="s">
        <v>30916</v>
      </c>
      <c r="I689" t="s">
        <v>10847</v>
      </c>
      <c r="J689" t="s">
        <v>31603</v>
      </c>
      <c r="K689" t="s">
        <v>40283</v>
      </c>
      <c r="M689" t="s">
        <v>40954</v>
      </c>
      <c r="N689" t="s">
        <v>44759</v>
      </c>
      <c r="O689" t="s">
        <v>44760</v>
      </c>
      <c r="P689">
        <v>0</v>
      </c>
      <c r="Q689">
        <v>0</v>
      </c>
      <c r="R689" t="s">
        <v>44761</v>
      </c>
      <c r="S689" t="s">
        <v>44862</v>
      </c>
      <c r="T689" t="s">
        <v>46351</v>
      </c>
      <c r="U689" t="s">
        <v>47585</v>
      </c>
      <c r="W689" t="s">
        <v>40954</v>
      </c>
      <c r="X689" t="s">
        <v>44762</v>
      </c>
    </row>
    <row r="690" spans="1:24">
      <c r="A690">
        <f>HYPERLINK("https://www.philgeps.gov.ph/GEPSNONPILOT/Tender/SplashBidNoticeAbstractUI.aspx?menuIndex=3&amp;refID=7152788&amp;Result=3","7152788")</f>
        <v>0</v>
      </c>
      <c r="B690" t="s">
        <v>380</v>
      </c>
      <c r="C690" t="s">
        <v>4433</v>
      </c>
      <c r="D690" t="s">
        <v>18003</v>
      </c>
      <c r="E690" t="s">
        <v>18714</v>
      </c>
      <c r="F690" t="s">
        <v>30900</v>
      </c>
      <c r="G690" t="s">
        <v>30908</v>
      </c>
      <c r="H690" t="s">
        <v>30916</v>
      </c>
      <c r="I690" t="s">
        <v>30927</v>
      </c>
      <c r="J690" t="s">
        <v>31604</v>
      </c>
      <c r="K690" t="s">
        <v>40287</v>
      </c>
      <c r="M690" t="s">
        <v>40934</v>
      </c>
      <c r="N690" t="s">
        <v>44759</v>
      </c>
      <c r="O690" t="s">
        <v>44760</v>
      </c>
      <c r="P690">
        <v>0</v>
      </c>
      <c r="Q690">
        <v>0</v>
      </c>
      <c r="R690" t="s">
        <v>44761</v>
      </c>
      <c r="S690" t="s">
        <v>44862</v>
      </c>
      <c r="T690" t="s">
        <v>46373</v>
      </c>
      <c r="U690" t="s">
        <v>47553</v>
      </c>
      <c r="W690" t="s">
        <v>40934</v>
      </c>
      <c r="X690" t="s">
        <v>44762</v>
      </c>
    </row>
    <row r="691" spans="1:24">
      <c r="A691">
        <f>HYPERLINK("https://www.philgeps.gov.ph/GEPSNONPILOT/Tender/SplashBidNoticeAbstractUI.aspx?menuIndex=3&amp;refID=7152785&amp;Result=3","7152785")</f>
        <v>0</v>
      </c>
      <c r="B691" t="s">
        <v>400</v>
      </c>
      <c r="C691" t="s">
        <v>4434</v>
      </c>
      <c r="D691" t="s">
        <v>17971</v>
      </c>
      <c r="E691" t="s">
        <v>18715</v>
      </c>
      <c r="F691" t="s">
        <v>30900</v>
      </c>
      <c r="G691" t="s">
        <v>30907</v>
      </c>
      <c r="H691" t="s">
        <v>30916</v>
      </c>
      <c r="I691" t="s">
        <v>30927</v>
      </c>
      <c r="J691" t="s">
        <v>31605</v>
      </c>
      <c r="K691" t="s">
        <v>40289</v>
      </c>
      <c r="M691" t="s">
        <v>40955</v>
      </c>
      <c r="N691" t="s">
        <v>44759</v>
      </c>
      <c r="O691" t="s">
        <v>44760</v>
      </c>
      <c r="P691">
        <v>0</v>
      </c>
      <c r="Q691">
        <v>0</v>
      </c>
      <c r="R691" t="s">
        <v>44761</v>
      </c>
      <c r="S691" t="s">
        <v>44862</v>
      </c>
      <c r="T691" t="s">
        <v>46465</v>
      </c>
      <c r="U691" t="s">
        <v>47586</v>
      </c>
      <c r="W691" t="s">
        <v>40955</v>
      </c>
      <c r="X691" t="s">
        <v>44762</v>
      </c>
    </row>
    <row r="692" spans="1:24">
      <c r="A692">
        <f>HYPERLINK("https://www.philgeps.gov.ph/GEPSNONPILOT/Tender/SplashBidNoticeAbstractUI.aspx?menuIndex=3&amp;refID=7152776&amp;Result=3","7152776")</f>
        <v>0</v>
      </c>
      <c r="B692" t="s">
        <v>401</v>
      </c>
      <c r="C692" t="s">
        <v>4435</v>
      </c>
      <c r="D692" t="s">
        <v>18004</v>
      </c>
      <c r="E692" t="s">
        <v>18716</v>
      </c>
      <c r="F692" t="s">
        <v>30900</v>
      </c>
      <c r="G692" t="s">
        <v>30908</v>
      </c>
      <c r="H692" t="s">
        <v>30916</v>
      </c>
      <c r="I692" t="s">
        <v>4545</v>
      </c>
      <c r="J692" t="s">
        <v>31567</v>
      </c>
      <c r="K692" t="s">
        <v>40291</v>
      </c>
      <c r="M692" t="s">
        <v>40956</v>
      </c>
      <c r="N692" t="s">
        <v>44759</v>
      </c>
      <c r="O692" t="s">
        <v>44760</v>
      </c>
      <c r="P692">
        <v>0</v>
      </c>
      <c r="Q692">
        <v>0</v>
      </c>
      <c r="R692" t="s">
        <v>44761</v>
      </c>
      <c r="S692" t="s">
        <v>44862</v>
      </c>
      <c r="T692" t="s">
        <v>46362</v>
      </c>
      <c r="U692" t="s">
        <v>47587</v>
      </c>
      <c r="W692" t="s">
        <v>40956</v>
      </c>
      <c r="X692" t="s">
        <v>44762</v>
      </c>
    </row>
    <row r="693" spans="1:24">
      <c r="A693">
        <f>HYPERLINK("https://www.philgeps.gov.ph/GEPSNONPILOT/Tender/SplashBidNoticeAbstractUI.aspx?menuIndex=3&amp;refID=7152784&amp;Result=3","7152784")</f>
        <v>0</v>
      </c>
      <c r="B693" t="s">
        <v>49</v>
      </c>
      <c r="C693" t="s">
        <v>4436</v>
      </c>
      <c r="D693" t="s">
        <v>17961</v>
      </c>
      <c r="E693" t="s">
        <v>18717</v>
      </c>
      <c r="F693" t="s">
        <v>30900</v>
      </c>
      <c r="G693" t="s">
        <v>30908</v>
      </c>
      <c r="H693" t="s">
        <v>30916</v>
      </c>
      <c r="I693" t="s">
        <v>4545</v>
      </c>
      <c r="J693" t="s">
        <v>31101</v>
      </c>
      <c r="K693" t="s">
        <v>40283</v>
      </c>
      <c r="M693" t="s">
        <v>40595</v>
      </c>
      <c r="N693" t="s">
        <v>44759</v>
      </c>
      <c r="O693" t="s">
        <v>44760</v>
      </c>
      <c r="P693">
        <v>0</v>
      </c>
      <c r="Q693">
        <v>0</v>
      </c>
      <c r="R693" t="s">
        <v>44761</v>
      </c>
      <c r="S693" t="s">
        <v>44862</v>
      </c>
      <c r="T693" t="s">
        <v>46404</v>
      </c>
      <c r="U693" t="s">
        <v>47588</v>
      </c>
      <c r="V693" t="s">
        <v>59197</v>
      </c>
      <c r="W693" t="s">
        <v>40595</v>
      </c>
      <c r="X693" t="s">
        <v>44762</v>
      </c>
    </row>
    <row r="694" spans="1:24">
      <c r="A694">
        <f>HYPERLINK("https://www.philgeps.gov.ph/GEPSNONPILOT/Tender/SplashBidNoticeAbstractUI.aspx?menuIndex=3&amp;refID=7152783&amp;Result=3","7152783")</f>
        <v>0</v>
      </c>
      <c r="B694" t="s">
        <v>391</v>
      </c>
      <c r="C694" t="s">
        <v>4437</v>
      </c>
      <c r="D694" t="s">
        <v>18019</v>
      </c>
      <c r="E694" t="s">
        <v>18718</v>
      </c>
      <c r="F694" t="s">
        <v>30900</v>
      </c>
      <c r="G694" t="s">
        <v>30906</v>
      </c>
      <c r="H694" t="s">
        <v>30916</v>
      </c>
      <c r="I694" t="s">
        <v>30960</v>
      </c>
      <c r="J694" t="s">
        <v>31606</v>
      </c>
      <c r="K694" t="s">
        <v>40286</v>
      </c>
      <c r="M694" t="s">
        <v>40946</v>
      </c>
      <c r="N694" t="s">
        <v>44759</v>
      </c>
      <c r="O694" t="s">
        <v>44760</v>
      </c>
      <c r="P694">
        <v>0</v>
      </c>
      <c r="Q694">
        <v>0</v>
      </c>
      <c r="R694" t="s">
        <v>44761</v>
      </c>
      <c r="S694" t="s">
        <v>44862</v>
      </c>
      <c r="T694" t="s">
        <v>46399</v>
      </c>
      <c r="U694" t="s">
        <v>47589</v>
      </c>
      <c r="V694" t="s">
        <v>59198</v>
      </c>
      <c r="W694" t="s">
        <v>40946</v>
      </c>
      <c r="X694" t="s">
        <v>44762</v>
      </c>
    </row>
    <row r="695" spans="1:24">
      <c r="A695">
        <f>HYPERLINK("https://www.philgeps.gov.ph/GEPSNONPILOT/Tender/SplashBidNoticeAbstractUI.aspx?menuIndex=3&amp;refID=7152769&amp;Result=3","7152769")</f>
        <v>0</v>
      </c>
      <c r="B695" t="s">
        <v>364</v>
      </c>
      <c r="C695" t="s">
        <v>4438</v>
      </c>
      <c r="D695" t="s">
        <v>17991</v>
      </c>
      <c r="E695" t="s">
        <v>18719</v>
      </c>
      <c r="F695" t="s">
        <v>30900</v>
      </c>
      <c r="G695" t="s">
        <v>30907</v>
      </c>
      <c r="H695" t="s">
        <v>30916</v>
      </c>
      <c r="I695" t="s">
        <v>8123</v>
      </c>
      <c r="J695" t="s">
        <v>31607</v>
      </c>
      <c r="K695" t="s">
        <v>40286</v>
      </c>
      <c r="M695" t="s">
        <v>40918</v>
      </c>
      <c r="N695" t="s">
        <v>44759</v>
      </c>
      <c r="O695" t="s">
        <v>44760</v>
      </c>
      <c r="P695">
        <v>0</v>
      </c>
      <c r="Q695">
        <v>0</v>
      </c>
      <c r="R695" t="s">
        <v>44761</v>
      </c>
      <c r="S695" t="s">
        <v>44862</v>
      </c>
      <c r="T695" t="s">
        <v>46475</v>
      </c>
      <c r="U695" t="s">
        <v>47560</v>
      </c>
      <c r="V695" t="s">
        <v>59199</v>
      </c>
      <c r="W695" t="s">
        <v>40918</v>
      </c>
      <c r="X695" t="s">
        <v>44762</v>
      </c>
    </row>
    <row r="696" spans="1:24">
      <c r="A696">
        <f>HYPERLINK("https://www.philgeps.gov.ph/GEPSNONPILOT/Tender/SplashBidNoticeAbstractUI.aspx?menuIndex=3&amp;refID=7152772&amp;Result=3","7152772")</f>
        <v>0</v>
      </c>
      <c r="B696" t="s">
        <v>402</v>
      </c>
      <c r="C696" t="s">
        <v>4439</v>
      </c>
      <c r="D696" t="s">
        <v>17982</v>
      </c>
      <c r="E696" t="s">
        <v>18720</v>
      </c>
      <c r="F696" t="s">
        <v>30900</v>
      </c>
      <c r="G696" t="s">
        <v>30907</v>
      </c>
      <c r="H696" t="s">
        <v>30915</v>
      </c>
      <c r="I696" t="s">
        <v>30919</v>
      </c>
      <c r="J696" t="s">
        <v>31391</v>
      </c>
      <c r="K696" t="s">
        <v>40304</v>
      </c>
      <c r="M696" t="s">
        <v>40957</v>
      </c>
      <c r="N696" t="s">
        <v>44759</v>
      </c>
      <c r="O696" t="s">
        <v>44760</v>
      </c>
      <c r="P696">
        <v>0</v>
      </c>
      <c r="Q696">
        <v>0</v>
      </c>
      <c r="R696" t="s">
        <v>44761</v>
      </c>
      <c r="S696" t="s">
        <v>44862</v>
      </c>
      <c r="T696" t="s">
        <v>46375</v>
      </c>
      <c r="U696" t="s">
        <v>47590</v>
      </c>
      <c r="W696" t="s">
        <v>40957</v>
      </c>
      <c r="X696" t="s">
        <v>44762</v>
      </c>
    </row>
    <row r="697" spans="1:24">
      <c r="A697">
        <f>HYPERLINK("https://www.philgeps.gov.ph/GEPSNONPILOT/Tender/SplashBidNoticeAbstractUI.aspx?menuIndex=3&amp;refID=7152768&amp;Result=3","7152768")</f>
        <v>0</v>
      </c>
      <c r="B697" t="s">
        <v>403</v>
      </c>
      <c r="C697" t="s">
        <v>4440</v>
      </c>
      <c r="D697" t="s">
        <v>17982</v>
      </c>
      <c r="E697" t="s">
        <v>18721</v>
      </c>
      <c r="F697" t="s">
        <v>30900</v>
      </c>
      <c r="G697" t="s">
        <v>30909</v>
      </c>
      <c r="H697" t="s">
        <v>30916</v>
      </c>
      <c r="I697" t="s">
        <v>30922</v>
      </c>
      <c r="J697" t="s">
        <v>31608</v>
      </c>
      <c r="K697" t="s">
        <v>40283</v>
      </c>
      <c r="M697" t="s">
        <v>40958</v>
      </c>
      <c r="N697" t="s">
        <v>44759</v>
      </c>
      <c r="O697" t="s">
        <v>44760</v>
      </c>
      <c r="P697">
        <v>0</v>
      </c>
      <c r="Q697">
        <v>0</v>
      </c>
      <c r="R697" t="s">
        <v>44761</v>
      </c>
      <c r="S697" t="s">
        <v>44862</v>
      </c>
      <c r="T697" t="s">
        <v>46357</v>
      </c>
      <c r="U697" t="s">
        <v>47591</v>
      </c>
      <c r="V697" t="s">
        <v>59200</v>
      </c>
      <c r="W697" t="s">
        <v>40958</v>
      </c>
      <c r="X697" t="s">
        <v>44762</v>
      </c>
    </row>
    <row r="698" spans="1:24">
      <c r="A698">
        <f>HYPERLINK("https://www.philgeps.gov.ph/GEPSNONPILOT/Tender/SplashBidNoticeAbstractUI.aspx?menuIndex=3&amp;refID=7152749&amp;Result=3","7152749")</f>
        <v>0</v>
      </c>
      <c r="B698" t="s">
        <v>342</v>
      </c>
      <c r="C698" t="s">
        <v>4441</v>
      </c>
      <c r="D698" t="s">
        <v>18016</v>
      </c>
      <c r="E698" t="s">
        <v>18722</v>
      </c>
      <c r="F698" t="s">
        <v>30900</v>
      </c>
      <c r="G698" t="s">
        <v>30909</v>
      </c>
      <c r="H698" t="s">
        <v>30916</v>
      </c>
      <c r="I698" t="s">
        <v>8123</v>
      </c>
      <c r="J698" t="s">
        <v>31498</v>
      </c>
      <c r="K698" t="s">
        <v>40287</v>
      </c>
      <c r="M698" t="s">
        <v>40895</v>
      </c>
      <c r="N698" t="s">
        <v>44759</v>
      </c>
      <c r="O698" t="s">
        <v>44760</v>
      </c>
      <c r="P698">
        <v>0</v>
      </c>
      <c r="Q698">
        <v>0</v>
      </c>
      <c r="R698" t="s">
        <v>44761</v>
      </c>
      <c r="S698" t="s">
        <v>44862</v>
      </c>
      <c r="T698" t="s">
        <v>46357</v>
      </c>
      <c r="U698" t="s">
        <v>47592</v>
      </c>
      <c r="W698" t="s">
        <v>40895</v>
      </c>
      <c r="X698" t="s">
        <v>44762</v>
      </c>
    </row>
    <row r="699" spans="1:24">
      <c r="A699">
        <f>HYPERLINK("https://www.philgeps.gov.ph/GEPSNONPILOT/Tender/SplashBidNoticeAbstractUI.aspx?menuIndex=3&amp;refID=7152780&amp;Result=3","7152780")</f>
        <v>0</v>
      </c>
      <c r="B699" t="s">
        <v>404</v>
      </c>
      <c r="C699" t="s">
        <v>4442</v>
      </c>
      <c r="D699" t="s">
        <v>17976</v>
      </c>
      <c r="E699" t="s">
        <v>18114</v>
      </c>
      <c r="F699" t="s">
        <v>30900</v>
      </c>
      <c r="G699" t="s">
        <v>30908</v>
      </c>
      <c r="H699" t="s">
        <v>30916</v>
      </c>
      <c r="I699" t="s">
        <v>30960</v>
      </c>
      <c r="J699" t="s">
        <v>31609</v>
      </c>
      <c r="K699" t="s">
        <v>40289</v>
      </c>
      <c r="M699" t="s">
        <v>40959</v>
      </c>
      <c r="N699" t="s">
        <v>44759</v>
      </c>
      <c r="O699" t="s">
        <v>44760</v>
      </c>
      <c r="P699">
        <v>0</v>
      </c>
      <c r="Q699">
        <v>0</v>
      </c>
      <c r="R699" t="s">
        <v>44761</v>
      </c>
      <c r="S699" t="s">
        <v>44862</v>
      </c>
      <c r="T699" t="s">
        <v>46382</v>
      </c>
      <c r="U699" t="s">
        <v>47593</v>
      </c>
      <c r="W699" t="s">
        <v>40959</v>
      </c>
      <c r="X699" t="s">
        <v>44762</v>
      </c>
    </row>
    <row r="700" spans="1:24">
      <c r="A700">
        <f>HYPERLINK("https://www.philgeps.gov.ph/GEPSNONPILOT/Tender/SplashBidNoticeAbstractUI.aspx?menuIndex=3&amp;refID=7152782&amp;Result=3","7152782")</f>
        <v>0</v>
      </c>
      <c r="B700" t="s">
        <v>29</v>
      </c>
      <c r="C700" t="s">
        <v>4443</v>
      </c>
      <c r="D700" t="s">
        <v>17956</v>
      </c>
      <c r="E700" t="s">
        <v>18723</v>
      </c>
      <c r="F700" t="s">
        <v>30900</v>
      </c>
      <c r="G700" t="s">
        <v>30907</v>
      </c>
      <c r="H700" t="s">
        <v>30916</v>
      </c>
      <c r="I700" t="s">
        <v>8123</v>
      </c>
      <c r="J700" t="s">
        <v>31610</v>
      </c>
      <c r="K700" t="s">
        <v>40286</v>
      </c>
      <c r="M700" t="s">
        <v>40575</v>
      </c>
      <c r="N700" t="s">
        <v>44759</v>
      </c>
      <c r="O700" t="s">
        <v>44760</v>
      </c>
      <c r="P700">
        <v>0</v>
      </c>
      <c r="Q700">
        <v>0</v>
      </c>
      <c r="R700" t="s">
        <v>44761</v>
      </c>
      <c r="S700" t="s">
        <v>44862</v>
      </c>
      <c r="T700" t="s">
        <v>46354</v>
      </c>
      <c r="U700" t="s">
        <v>47594</v>
      </c>
      <c r="W700" t="s">
        <v>40575</v>
      </c>
      <c r="X700" t="s">
        <v>44762</v>
      </c>
    </row>
    <row r="701" spans="1:24">
      <c r="A701">
        <f>HYPERLINK("https://www.philgeps.gov.ph/GEPSNONPILOT/Tender/SplashBidNoticeAbstractUI.aspx?menuIndex=3&amp;refID=7152791&amp;Result=3","7152791")</f>
        <v>0</v>
      </c>
      <c r="B701" t="s">
        <v>143</v>
      </c>
      <c r="C701" t="s">
        <v>4444</v>
      </c>
      <c r="D701" t="s">
        <v>17965</v>
      </c>
      <c r="E701" t="s">
        <v>18724</v>
      </c>
      <c r="F701" t="s">
        <v>30900</v>
      </c>
      <c r="G701" t="s">
        <v>30907</v>
      </c>
      <c r="H701" t="s">
        <v>30915</v>
      </c>
      <c r="I701" t="s">
        <v>30919</v>
      </c>
      <c r="J701" t="s">
        <v>31611</v>
      </c>
      <c r="K701" t="s">
        <v>40291</v>
      </c>
      <c r="M701" t="s">
        <v>40854</v>
      </c>
      <c r="N701" t="s">
        <v>44759</v>
      </c>
      <c r="O701" t="s">
        <v>44760</v>
      </c>
      <c r="P701">
        <v>0</v>
      </c>
      <c r="Q701">
        <v>0</v>
      </c>
      <c r="R701" t="s">
        <v>44761</v>
      </c>
      <c r="S701" t="s">
        <v>44862</v>
      </c>
      <c r="T701" t="s">
        <v>46418</v>
      </c>
      <c r="U701" t="s">
        <v>47423</v>
      </c>
      <c r="W701" t="s">
        <v>40854</v>
      </c>
      <c r="X701" t="s">
        <v>44762</v>
      </c>
    </row>
    <row r="702" spans="1:24">
      <c r="A702">
        <f>HYPERLINK("https://www.philgeps.gov.ph/GEPSNONPILOT/Tender/SplashBidNoticeAbstractUI.aspx?menuIndex=3&amp;refID=7152805&amp;Result=3","7152805")</f>
        <v>0</v>
      </c>
      <c r="B702" t="s">
        <v>85</v>
      </c>
      <c r="C702" t="s">
        <v>4445</v>
      </c>
      <c r="D702" t="s">
        <v>17991</v>
      </c>
      <c r="E702" t="s">
        <v>18725</v>
      </c>
      <c r="F702" t="s">
        <v>30900</v>
      </c>
      <c r="G702" t="s">
        <v>30907</v>
      </c>
      <c r="H702" t="s">
        <v>30915</v>
      </c>
      <c r="I702" t="s">
        <v>30919</v>
      </c>
      <c r="J702" t="s">
        <v>31612</v>
      </c>
      <c r="K702" t="s">
        <v>40304</v>
      </c>
      <c r="M702" t="s">
        <v>40960</v>
      </c>
      <c r="N702" t="s">
        <v>44759</v>
      </c>
      <c r="O702" t="s">
        <v>44760</v>
      </c>
      <c r="P702">
        <v>0</v>
      </c>
      <c r="Q702">
        <v>0</v>
      </c>
      <c r="R702" t="s">
        <v>44761</v>
      </c>
      <c r="S702" t="s">
        <v>44862</v>
      </c>
      <c r="T702" t="s">
        <v>46417</v>
      </c>
      <c r="U702" t="s">
        <v>47595</v>
      </c>
      <c r="W702" t="s">
        <v>40960</v>
      </c>
      <c r="X702" t="s">
        <v>44762</v>
      </c>
    </row>
    <row r="703" spans="1:24">
      <c r="A703">
        <f>HYPERLINK("https://www.philgeps.gov.ph/GEPSNONPILOT/Tender/SplashBidNoticeAbstractUI.aspx?menuIndex=3&amp;refID=7152802&amp;Result=3","7152802")</f>
        <v>0</v>
      </c>
      <c r="B703" t="s">
        <v>405</v>
      </c>
      <c r="C703" t="s">
        <v>4446</v>
      </c>
      <c r="D703" t="s">
        <v>17971</v>
      </c>
      <c r="E703" t="s">
        <v>18726</v>
      </c>
      <c r="F703" t="s">
        <v>30900</v>
      </c>
      <c r="G703" t="s">
        <v>30907</v>
      </c>
      <c r="H703" t="s">
        <v>30916</v>
      </c>
      <c r="I703" t="s">
        <v>6396</v>
      </c>
      <c r="J703" t="s">
        <v>31613</v>
      </c>
      <c r="K703" t="s">
        <v>40284</v>
      </c>
      <c r="M703" t="s">
        <v>40961</v>
      </c>
      <c r="N703" t="s">
        <v>44759</v>
      </c>
      <c r="O703" t="s">
        <v>44760</v>
      </c>
      <c r="P703">
        <v>0</v>
      </c>
      <c r="Q703">
        <v>0</v>
      </c>
      <c r="R703" t="s">
        <v>44761</v>
      </c>
      <c r="S703" t="s">
        <v>44862</v>
      </c>
      <c r="T703" t="s">
        <v>46418</v>
      </c>
      <c r="U703" t="s">
        <v>47596</v>
      </c>
      <c r="V703" t="s">
        <v>59201</v>
      </c>
      <c r="W703" t="s">
        <v>40961</v>
      </c>
      <c r="X703" t="s">
        <v>44762</v>
      </c>
    </row>
    <row r="704" spans="1:24">
      <c r="A704">
        <f>HYPERLINK("https://www.philgeps.gov.ph/GEPSNONPILOT/Tender/SplashBidNoticeAbstractUI.aspx?menuIndex=3&amp;refID=7152801&amp;Result=3","7152801")</f>
        <v>0</v>
      </c>
      <c r="B704" t="s">
        <v>406</v>
      </c>
      <c r="C704" t="s">
        <v>4447</v>
      </c>
      <c r="D704" t="s">
        <v>18010</v>
      </c>
      <c r="E704" t="s">
        <v>18727</v>
      </c>
      <c r="F704" t="s">
        <v>30900</v>
      </c>
      <c r="G704" t="s">
        <v>30908</v>
      </c>
      <c r="H704" t="s">
        <v>30916</v>
      </c>
      <c r="I704" t="s">
        <v>7708</v>
      </c>
      <c r="J704" t="s">
        <v>31614</v>
      </c>
      <c r="K704" t="s">
        <v>40283</v>
      </c>
      <c r="M704" t="s">
        <v>40962</v>
      </c>
      <c r="N704" t="s">
        <v>44759</v>
      </c>
      <c r="O704" t="s">
        <v>44760</v>
      </c>
      <c r="P704">
        <v>0</v>
      </c>
      <c r="Q704">
        <v>0</v>
      </c>
      <c r="R704" t="s">
        <v>44761</v>
      </c>
      <c r="S704" t="s">
        <v>44862</v>
      </c>
      <c r="T704" t="s">
        <v>46389</v>
      </c>
      <c r="U704" t="s">
        <v>47597</v>
      </c>
      <c r="W704" t="s">
        <v>40962</v>
      </c>
      <c r="X704" t="s">
        <v>44762</v>
      </c>
    </row>
    <row r="705" spans="1:24">
      <c r="A705">
        <f>HYPERLINK("https://www.philgeps.gov.ph/GEPSNONPILOT/Tender/SplashBidNoticeAbstractUI.aspx?menuIndex=3&amp;refID=7152800&amp;Result=3","7152800")</f>
        <v>0</v>
      </c>
      <c r="B705" t="s">
        <v>404</v>
      </c>
      <c r="C705" t="s">
        <v>4448</v>
      </c>
      <c r="D705" t="s">
        <v>17976</v>
      </c>
      <c r="E705" t="s">
        <v>18728</v>
      </c>
      <c r="F705" t="s">
        <v>30900</v>
      </c>
      <c r="G705" t="s">
        <v>30908</v>
      </c>
      <c r="H705" t="s">
        <v>30916</v>
      </c>
      <c r="I705" t="s">
        <v>6408</v>
      </c>
      <c r="J705" t="s">
        <v>31615</v>
      </c>
      <c r="K705" t="s">
        <v>40289</v>
      </c>
      <c r="M705" t="s">
        <v>40959</v>
      </c>
      <c r="N705" t="s">
        <v>44759</v>
      </c>
      <c r="O705" t="s">
        <v>44760</v>
      </c>
      <c r="P705">
        <v>0</v>
      </c>
      <c r="Q705">
        <v>0</v>
      </c>
      <c r="R705" t="s">
        <v>44761</v>
      </c>
      <c r="S705" t="s">
        <v>44862</v>
      </c>
      <c r="T705" t="s">
        <v>46382</v>
      </c>
      <c r="U705" t="s">
        <v>47598</v>
      </c>
      <c r="W705" t="s">
        <v>40959</v>
      </c>
      <c r="X705" t="s">
        <v>44762</v>
      </c>
    </row>
    <row r="706" spans="1:24">
      <c r="A706">
        <f>HYPERLINK("https://www.philgeps.gov.ph/GEPSNONPILOT/Tender/SplashBidNoticeAbstractUI.aspx?menuIndex=3&amp;refID=7152799&amp;Result=3","7152799")</f>
        <v>0</v>
      </c>
      <c r="B706" t="s">
        <v>237</v>
      </c>
      <c r="C706" t="s">
        <v>4449</v>
      </c>
      <c r="D706" t="s">
        <v>17977</v>
      </c>
      <c r="E706" t="s">
        <v>4449</v>
      </c>
      <c r="F706" t="s">
        <v>30900</v>
      </c>
      <c r="G706" t="s">
        <v>30908</v>
      </c>
      <c r="H706" t="s">
        <v>30916</v>
      </c>
      <c r="I706" t="s">
        <v>4545</v>
      </c>
      <c r="J706" t="s">
        <v>31616</v>
      </c>
      <c r="K706" t="s">
        <v>40289</v>
      </c>
      <c r="M706" t="s">
        <v>40784</v>
      </c>
      <c r="N706" t="s">
        <v>44759</v>
      </c>
      <c r="O706" t="s">
        <v>44760</v>
      </c>
      <c r="P706">
        <v>0</v>
      </c>
      <c r="Q706">
        <v>0</v>
      </c>
      <c r="R706" t="s">
        <v>44761</v>
      </c>
      <c r="S706" t="s">
        <v>44862</v>
      </c>
      <c r="T706" t="s">
        <v>46393</v>
      </c>
      <c r="U706" t="s">
        <v>47599</v>
      </c>
      <c r="W706" t="s">
        <v>40784</v>
      </c>
      <c r="X706" t="s">
        <v>44762</v>
      </c>
    </row>
    <row r="707" spans="1:24">
      <c r="A707">
        <f>HYPERLINK("https://www.philgeps.gov.ph/GEPSNONPILOT/Tender/SplashBidNoticeAbstractUI.aspx?menuIndex=3&amp;refID=7152798&amp;Result=3","7152798")</f>
        <v>0</v>
      </c>
      <c r="B707" t="s">
        <v>177</v>
      </c>
      <c r="C707" t="s">
        <v>4450</v>
      </c>
      <c r="D707" t="s">
        <v>17999</v>
      </c>
      <c r="E707" t="s">
        <v>18729</v>
      </c>
      <c r="F707" t="s">
        <v>30900</v>
      </c>
      <c r="G707" t="s">
        <v>30908</v>
      </c>
      <c r="H707" t="s">
        <v>30916</v>
      </c>
      <c r="I707" t="s">
        <v>10879</v>
      </c>
      <c r="J707" t="s">
        <v>31049</v>
      </c>
      <c r="K707" t="s">
        <v>40286</v>
      </c>
      <c r="M707" t="s">
        <v>40724</v>
      </c>
      <c r="N707" t="s">
        <v>44759</v>
      </c>
      <c r="O707" t="s">
        <v>44760</v>
      </c>
      <c r="P707">
        <v>0</v>
      </c>
      <c r="Q707">
        <v>0</v>
      </c>
      <c r="R707" t="s">
        <v>44761</v>
      </c>
      <c r="S707" t="s">
        <v>44862</v>
      </c>
      <c r="T707" t="s">
        <v>46430</v>
      </c>
      <c r="U707" t="s">
        <v>47600</v>
      </c>
      <c r="W707" t="s">
        <v>40724</v>
      </c>
      <c r="X707" t="s">
        <v>44762</v>
      </c>
    </row>
    <row r="708" spans="1:24">
      <c r="A708">
        <f>HYPERLINK("https://www.philgeps.gov.ph/GEPSNONPILOT/Tender/SplashBidNoticeAbstractUI.aspx?menuIndex=3&amp;refID=7152797&amp;Result=3","7152797")</f>
        <v>0</v>
      </c>
      <c r="B708" t="s">
        <v>393</v>
      </c>
      <c r="C708" t="s">
        <v>4451</v>
      </c>
      <c r="E708" t="s">
        <v>18730</v>
      </c>
      <c r="F708" t="s">
        <v>30900</v>
      </c>
      <c r="G708" t="s">
        <v>30909</v>
      </c>
      <c r="H708" t="s">
        <v>30916</v>
      </c>
      <c r="I708" t="s">
        <v>30939</v>
      </c>
      <c r="J708" t="s">
        <v>31617</v>
      </c>
      <c r="K708" t="s">
        <v>40289</v>
      </c>
      <c r="M708" t="s">
        <v>40948</v>
      </c>
      <c r="N708" t="s">
        <v>44759</v>
      </c>
      <c r="O708" t="s">
        <v>44760</v>
      </c>
      <c r="P708">
        <v>0</v>
      </c>
      <c r="Q708">
        <v>0</v>
      </c>
      <c r="R708" t="s">
        <v>44761</v>
      </c>
      <c r="S708" t="s">
        <v>44862</v>
      </c>
      <c r="T708" t="s">
        <v>46362</v>
      </c>
      <c r="U708" t="s">
        <v>47601</v>
      </c>
      <c r="V708" t="s">
        <v>59195</v>
      </c>
      <c r="W708" t="s">
        <v>40948</v>
      </c>
      <c r="X708" t="s">
        <v>44762</v>
      </c>
    </row>
    <row r="709" spans="1:24">
      <c r="A709">
        <f>HYPERLINK("https://www.philgeps.gov.ph/GEPSNONPILOT/Tender/SplashBidNoticeAbstractUI.aspx?menuIndex=3&amp;refID=7152792&amp;Result=3","7152792")</f>
        <v>0</v>
      </c>
      <c r="B709" t="s">
        <v>407</v>
      </c>
      <c r="C709" t="s">
        <v>4452</v>
      </c>
      <c r="D709" t="s">
        <v>18018</v>
      </c>
      <c r="E709" t="s">
        <v>18731</v>
      </c>
      <c r="F709" t="s">
        <v>30900</v>
      </c>
      <c r="G709" t="s">
        <v>30908</v>
      </c>
      <c r="H709" t="s">
        <v>30916</v>
      </c>
      <c r="I709" t="s">
        <v>8044</v>
      </c>
      <c r="J709" t="s">
        <v>31618</v>
      </c>
      <c r="K709" t="s">
        <v>40285</v>
      </c>
      <c r="M709" t="s">
        <v>40963</v>
      </c>
      <c r="N709" t="s">
        <v>44759</v>
      </c>
      <c r="O709" t="s">
        <v>44760</v>
      </c>
      <c r="P709">
        <v>0</v>
      </c>
      <c r="Q709">
        <v>0</v>
      </c>
      <c r="R709" t="s">
        <v>44761</v>
      </c>
      <c r="S709" t="s">
        <v>44862</v>
      </c>
      <c r="T709" t="s">
        <v>46390</v>
      </c>
      <c r="U709" t="s">
        <v>47602</v>
      </c>
      <c r="W709" t="s">
        <v>40963</v>
      </c>
      <c r="X709" t="s">
        <v>44762</v>
      </c>
    </row>
    <row r="710" spans="1:24">
      <c r="A710">
        <f>HYPERLINK("https://www.philgeps.gov.ph/GEPSNONPILOT/Tender/SplashBidNoticeAbstractUI.aspx?menuIndex=3&amp;refID=7152795&amp;Result=3","7152795")</f>
        <v>0</v>
      </c>
      <c r="B710" t="s">
        <v>292</v>
      </c>
      <c r="C710" t="s">
        <v>4453</v>
      </c>
      <c r="D710" t="s">
        <v>17963</v>
      </c>
      <c r="E710" t="s">
        <v>18732</v>
      </c>
      <c r="F710" t="s">
        <v>30900</v>
      </c>
      <c r="G710" t="s">
        <v>30908</v>
      </c>
      <c r="H710" t="s">
        <v>30916</v>
      </c>
      <c r="I710" t="s">
        <v>30927</v>
      </c>
      <c r="J710" t="s">
        <v>31619</v>
      </c>
      <c r="K710" t="s">
        <v>40289</v>
      </c>
      <c r="M710" t="s">
        <v>40840</v>
      </c>
      <c r="N710" t="s">
        <v>44759</v>
      </c>
      <c r="O710" t="s">
        <v>44760</v>
      </c>
      <c r="P710">
        <v>0</v>
      </c>
      <c r="Q710">
        <v>0</v>
      </c>
      <c r="R710" t="s">
        <v>44761</v>
      </c>
      <c r="S710" t="s">
        <v>44862</v>
      </c>
      <c r="T710" t="s">
        <v>46376</v>
      </c>
      <c r="U710" t="s">
        <v>47603</v>
      </c>
      <c r="W710" t="s">
        <v>40840</v>
      </c>
      <c r="X710" t="s">
        <v>44762</v>
      </c>
    </row>
    <row r="711" spans="1:24">
      <c r="A711">
        <f>HYPERLINK("https://www.philgeps.gov.ph/GEPSNONPILOT/Tender/SplashBidNoticeAbstractUI.aspx?menuIndex=3&amp;refID=7152794&amp;Result=3","7152794")</f>
        <v>0</v>
      </c>
      <c r="B711" t="s">
        <v>408</v>
      </c>
      <c r="C711" t="s">
        <v>4454</v>
      </c>
      <c r="E711" t="s">
        <v>18733</v>
      </c>
      <c r="F711" t="s">
        <v>30900</v>
      </c>
      <c r="G711" t="s">
        <v>30907</v>
      </c>
      <c r="H711" t="s">
        <v>30916</v>
      </c>
      <c r="I711" t="s">
        <v>4454</v>
      </c>
      <c r="J711" t="s">
        <v>31620</v>
      </c>
      <c r="K711" t="s">
        <v>40289</v>
      </c>
      <c r="M711" t="s">
        <v>40964</v>
      </c>
      <c r="N711" t="s">
        <v>44759</v>
      </c>
      <c r="O711" t="s">
        <v>44760</v>
      </c>
      <c r="P711">
        <v>0</v>
      </c>
      <c r="Q711">
        <v>0</v>
      </c>
      <c r="R711" t="s">
        <v>44761</v>
      </c>
      <c r="S711" t="s">
        <v>44862</v>
      </c>
      <c r="T711" t="s">
        <v>46480</v>
      </c>
      <c r="U711" t="s">
        <v>47604</v>
      </c>
      <c r="W711" t="s">
        <v>40964</v>
      </c>
      <c r="X711" t="s">
        <v>44762</v>
      </c>
    </row>
    <row r="712" spans="1:24">
      <c r="A712">
        <f>HYPERLINK("https://www.philgeps.gov.ph/GEPSNONPILOT/Tender/SplashBidNoticeAbstractUI.aspx?menuIndex=3&amp;refID=7152779&amp;Result=3","7152779")</f>
        <v>0</v>
      </c>
      <c r="B712" t="s">
        <v>409</v>
      </c>
      <c r="C712" t="s">
        <v>4455</v>
      </c>
      <c r="D712" t="s">
        <v>17999</v>
      </c>
      <c r="E712" t="s">
        <v>18734</v>
      </c>
      <c r="F712" t="s">
        <v>30900</v>
      </c>
      <c r="G712" t="s">
        <v>30908</v>
      </c>
      <c r="H712" t="s">
        <v>30916</v>
      </c>
      <c r="I712" t="s">
        <v>6746</v>
      </c>
      <c r="J712" t="s">
        <v>31621</v>
      </c>
      <c r="K712" t="s">
        <v>40287</v>
      </c>
      <c r="M712" t="s">
        <v>40965</v>
      </c>
      <c r="N712" t="s">
        <v>44759</v>
      </c>
      <c r="O712" t="s">
        <v>44760</v>
      </c>
      <c r="P712">
        <v>0</v>
      </c>
      <c r="Q712">
        <v>0</v>
      </c>
      <c r="R712" t="s">
        <v>44761</v>
      </c>
      <c r="S712" t="s">
        <v>44862</v>
      </c>
      <c r="T712" t="s">
        <v>46357</v>
      </c>
      <c r="U712" t="s">
        <v>47605</v>
      </c>
      <c r="W712" t="s">
        <v>40965</v>
      </c>
      <c r="X712" t="s">
        <v>44762</v>
      </c>
    </row>
    <row r="713" spans="1:24">
      <c r="A713">
        <f>HYPERLINK("https://www.philgeps.gov.ph/GEPSNONPILOT/Tender/SplashBidNoticeAbstractUI.aspx?menuIndex=3&amp;refID=7152811&amp;Result=3","7152811")</f>
        <v>0</v>
      </c>
      <c r="B713" t="s">
        <v>396</v>
      </c>
      <c r="C713" t="s">
        <v>4456</v>
      </c>
      <c r="D713" t="s">
        <v>17984</v>
      </c>
      <c r="E713" t="s">
        <v>18735</v>
      </c>
      <c r="F713" t="s">
        <v>30900</v>
      </c>
      <c r="G713" t="s">
        <v>30908</v>
      </c>
      <c r="H713" t="s">
        <v>30916</v>
      </c>
      <c r="I713" t="s">
        <v>4108</v>
      </c>
      <c r="J713" t="s">
        <v>31622</v>
      </c>
      <c r="K713" t="s">
        <v>40283</v>
      </c>
      <c r="M713" t="s">
        <v>40951</v>
      </c>
      <c r="N713" t="s">
        <v>44759</v>
      </c>
      <c r="O713" t="s">
        <v>44760</v>
      </c>
      <c r="P713">
        <v>0</v>
      </c>
      <c r="Q713">
        <v>0</v>
      </c>
      <c r="R713" t="s">
        <v>44761</v>
      </c>
      <c r="S713" t="s">
        <v>44862</v>
      </c>
      <c r="T713" t="s">
        <v>46376</v>
      </c>
      <c r="U713" t="s">
        <v>47582</v>
      </c>
      <c r="W713" t="s">
        <v>40951</v>
      </c>
      <c r="X713" t="s">
        <v>44762</v>
      </c>
    </row>
    <row r="714" spans="1:24">
      <c r="A714">
        <f>HYPERLINK("https://www.philgeps.gov.ph/GEPSNONPILOT/Tender/SplashBidNoticeAbstractUI.aspx?menuIndex=3&amp;refID=7152810&amp;Result=3","7152810")</f>
        <v>0</v>
      </c>
      <c r="B714" t="s">
        <v>410</v>
      </c>
      <c r="C714" t="s">
        <v>4457</v>
      </c>
      <c r="D714" t="s">
        <v>17961</v>
      </c>
      <c r="E714" t="s">
        <v>18736</v>
      </c>
      <c r="F714" t="s">
        <v>30900</v>
      </c>
      <c r="G714" t="s">
        <v>30908</v>
      </c>
      <c r="H714" t="s">
        <v>30916</v>
      </c>
      <c r="I714" t="s">
        <v>8365</v>
      </c>
      <c r="J714" t="s">
        <v>31623</v>
      </c>
      <c r="K714" t="s">
        <v>40288</v>
      </c>
      <c r="M714" t="s">
        <v>40966</v>
      </c>
      <c r="N714" t="s">
        <v>44759</v>
      </c>
      <c r="O714" t="s">
        <v>44760</v>
      </c>
      <c r="P714">
        <v>0</v>
      </c>
      <c r="Q714">
        <v>0</v>
      </c>
      <c r="R714" t="s">
        <v>44761</v>
      </c>
      <c r="S714" t="s">
        <v>44862</v>
      </c>
      <c r="T714" t="s">
        <v>46356</v>
      </c>
      <c r="U714" t="s">
        <v>47606</v>
      </c>
      <c r="W714" t="s">
        <v>40966</v>
      </c>
      <c r="X714" t="s">
        <v>44762</v>
      </c>
    </row>
    <row r="715" spans="1:24">
      <c r="A715">
        <f>HYPERLINK("https://www.philgeps.gov.ph/GEPSNONPILOT/Tender/SplashBidNoticeAbstractUI.aspx?menuIndex=3&amp;refID=7152808&amp;Result=3","7152808")</f>
        <v>0</v>
      </c>
      <c r="B715" t="s">
        <v>386</v>
      </c>
      <c r="C715" t="s">
        <v>4458</v>
      </c>
      <c r="D715" t="s">
        <v>17987</v>
      </c>
      <c r="E715" t="s">
        <v>18737</v>
      </c>
      <c r="F715" t="s">
        <v>30900</v>
      </c>
      <c r="G715" t="s">
        <v>30907</v>
      </c>
      <c r="H715" t="s">
        <v>30916</v>
      </c>
      <c r="I715" t="s">
        <v>8123</v>
      </c>
      <c r="J715" t="s">
        <v>31624</v>
      </c>
      <c r="K715" t="s">
        <v>40286</v>
      </c>
      <c r="M715" t="s">
        <v>40941</v>
      </c>
      <c r="N715" t="s">
        <v>44759</v>
      </c>
      <c r="O715" t="s">
        <v>44760</v>
      </c>
      <c r="P715">
        <v>0</v>
      </c>
      <c r="Q715">
        <v>0</v>
      </c>
      <c r="R715" t="s">
        <v>44761</v>
      </c>
      <c r="S715" t="s">
        <v>44862</v>
      </c>
      <c r="T715" t="s">
        <v>46439</v>
      </c>
      <c r="U715" t="s">
        <v>47607</v>
      </c>
      <c r="V715" t="s">
        <v>59202</v>
      </c>
      <c r="W715" t="s">
        <v>40941</v>
      </c>
      <c r="X715" t="s">
        <v>44762</v>
      </c>
    </row>
    <row r="716" spans="1:24">
      <c r="A716">
        <f>HYPERLINK("https://www.philgeps.gov.ph/GEPSNONPILOT/Tender/SplashBidNoticeAbstractUI.aspx?menuIndex=3&amp;refID=7152793&amp;Result=3","7152793")</f>
        <v>0</v>
      </c>
      <c r="B716" t="s">
        <v>98</v>
      </c>
      <c r="C716" t="s">
        <v>4459</v>
      </c>
      <c r="D716" t="s">
        <v>17994</v>
      </c>
      <c r="E716" t="s">
        <v>18738</v>
      </c>
      <c r="F716" t="s">
        <v>30900</v>
      </c>
      <c r="G716" t="s">
        <v>30908</v>
      </c>
      <c r="H716" t="s">
        <v>30916</v>
      </c>
      <c r="I716" t="s">
        <v>8123</v>
      </c>
      <c r="J716" t="s">
        <v>31625</v>
      </c>
      <c r="K716" t="s">
        <v>40289</v>
      </c>
      <c r="M716" t="s">
        <v>40645</v>
      </c>
      <c r="N716" t="s">
        <v>44759</v>
      </c>
      <c r="O716" t="s">
        <v>44760</v>
      </c>
      <c r="P716">
        <v>0</v>
      </c>
      <c r="Q716">
        <v>0</v>
      </c>
      <c r="R716" t="s">
        <v>44761</v>
      </c>
      <c r="S716" t="s">
        <v>44862</v>
      </c>
      <c r="T716" t="s">
        <v>46399</v>
      </c>
      <c r="U716" t="s">
        <v>47608</v>
      </c>
      <c r="V716" t="s">
        <v>59119</v>
      </c>
      <c r="W716" t="s">
        <v>40645</v>
      </c>
      <c r="X716" t="s">
        <v>44762</v>
      </c>
    </row>
    <row r="717" spans="1:24">
      <c r="A717">
        <f>HYPERLINK("https://www.philgeps.gov.ph/GEPSNONPILOT/Tender/SplashBidNoticeAbstractUI.aspx?menuIndex=3&amp;refID=7152804&amp;Result=3","7152804")</f>
        <v>0</v>
      </c>
      <c r="B717" t="s">
        <v>411</v>
      </c>
      <c r="C717" t="s">
        <v>4460</v>
      </c>
      <c r="D717" t="s">
        <v>17959</v>
      </c>
      <c r="E717" t="s">
        <v>18739</v>
      </c>
      <c r="F717" t="s">
        <v>30900</v>
      </c>
      <c r="G717" t="s">
        <v>30910</v>
      </c>
      <c r="H717" t="s">
        <v>30916</v>
      </c>
      <c r="I717" t="s">
        <v>30934</v>
      </c>
      <c r="J717" t="s">
        <v>31247</v>
      </c>
      <c r="K717" t="s">
        <v>40283</v>
      </c>
      <c r="M717" t="s">
        <v>40967</v>
      </c>
      <c r="N717" t="s">
        <v>44759</v>
      </c>
      <c r="O717" t="s">
        <v>44760</v>
      </c>
      <c r="P717">
        <v>0</v>
      </c>
      <c r="Q717">
        <v>0</v>
      </c>
      <c r="R717" t="s">
        <v>44761</v>
      </c>
      <c r="S717" t="s">
        <v>44862</v>
      </c>
      <c r="T717" t="s">
        <v>46467</v>
      </c>
      <c r="U717" t="s">
        <v>47609</v>
      </c>
      <c r="V717" t="s">
        <v>59203</v>
      </c>
      <c r="W717" t="s">
        <v>40967</v>
      </c>
      <c r="X717" t="s">
        <v>44762</v>
      </c>
    </row>
    <row r="718" spans="1:24">
      <c r="A718">
        <f>HYPERLINK("https://www.philgeps.gov.ph/GEPSNONPILOT/Tender/SplashBidNoticeAbstractUI.aspx?menuIndex=3&amp;refID=7152809&amp;Result=3","7152809")</f>
        <v>0</v>
      </c>
      <c r="B718" t="s">
        <v>412</v>
      </c>
      <c r="C718" t="s">
        <v>4461</v>
      </c>
      <c r="D718" t="s">
        <v>18015</v>
      </c>
      <c r="E718" t="s">
        <v>18740</v>
      </c>
      <c r="F718" t="s">
        <v>30900</v>
      </c>
      <c r="G718" t="s">
        <v>30906</v>
      </c>
      <c r="H718" t="s">
        <v>30916</v>
      </c>
      <c r="I718" t="s">
        <v>10847</v>
      </c>
      <c r="J718" t="s">
        <v>31626</v>
      </c>
      <c r="K718" t="s">
        <v>40283</v>
      </c>
      <c r="M718" t="s">
        <v>40968</v>
      </c>
      <c r="N718" t="s">
        <v>44759</v>
      </c>
      <c r="O718" t="s">
        <v>44760</v>
      </c>
      <c r="P718">
        <v>0</v>
      </c>
      <c r="Q718">
        <v>0</v>
      </c>
      <c r="R718" t="s">
        <v>44761</v>
      </c>
      <c r="S718" t="s">
        <v>44862</v>
      </c>
      <c r="T718" t="s">
        <v>46412</v>
      </c>
      <c r="U718" t="s">
        <v>47610</v>
      </c>
      <c r="W718" t="s">
        <v>40968</v>
      </c>
      <c r="X718" t="s">
        <v>44762</v>
      </c>
    </row>
    <row r="719" spans="1:24">
      <c r="A719">
        <f>HYPERLINK("https://www.philgeps.gov.ph/GEPSNONPILOT/Tender/SplashBidNoticeAbstractUI.aspx?menuIndex=3&amp;refID=7152806&amp;Result=3","7152806")</f>
        <v>0</v>
      </c>
      <c r="B719" t="s">
        <v>413</v>
      </c>
      <c r="C719" t="s">
        <v>4462</v>
      </c>
      <c r="D719" t="s">
        <v>17993</v>
      </c>
      <c r="E719" t="s">
        <v>18595</v>
      </c>
      <c r="F719" t="s">
        <v>30900</v>
      </c>
      <c r="G719" t="s">
        <v>30908</v>
      </c>
      <c r="H719" t="s">
        <v>30915</v>
      </c>
      <c r="I719" t="s">
        <v>30919</v>
      </c>
      <c r="J719" t="s">
        <v>31627</v>
      </c>
      <c r="K719" t="s">
        <v>40289</v>
      </c>
      <c r="M719" t="s">
        <v>40969</v>
      </c>
      <c r="N719" t="s">
        <v>44759</v>
      </c>
      <c r="O719" t="s">
        <v>44760</v>
      </c>
      <c r="P719">
        <v>0</v>
      </c>
      <c r="Q719">
        <v>0</v>
      </c>
      <c r="R719" t="s">
        <v>44761</v>
      </c>
      <c r="S719" t="s">
        <v>44862</v>
      </c>
      <c r="T719" t="s">
        <v>46357</v>
      </c>
      <c r="U719" t="s">
        <v>47611</v>
      </c>
      <c r="W719" t="s">
        <v>40969</v>
      </c>
      <c r="X719" t="s">
        <v>44762</v>
      </c>
    </row>
    <row r="720" spans="1:24">
      <c r="A720">
        <f>HYPERLINK("https://www.philgeps.gov.ph/GEPSNONPILOT/Tender/SplashBidNoticeAbstractUI.aspx?menuIndex=3&amp;refID=7152829&amp;Result=3","7152829")</f>
        <v>0</v>
      </c>
      <c r="B720" t="s">
        <v>352</v>
      </c>
      <c r="C720" t="s">
        <v>4463</v>
      </c>
      <c r="D720" t="s">
        <v>17993</v>
      </c>
      <c r="E720" t="s">
        <v>18741</v>
      </c>
      <c r="F720" t="s">
        <v>30900</v>
      </c>
      <c r="G720" t="s">
        <v>30908</v>
      </c>
      <c r="H720" t="s">
        <v>30916</v>
      </c>
      <c r="I720" t="s">
        <v>30957</v>
      </c>
      <c r="J720" t="s">
        <v>31152</v>
      </c>
      <c r="K720" t="s">
        <v>40286</v>
      </c>
      <c r="M720" t="s">
        <v>40905</v>
      </c>
      <c r="N720" t="s">
        <v>44759</v>
      </c>
      <c r="O720" t="s">
        <v>44760</v>
      </c>
      <c r="P720">
        <v>0</v>
      </c>
      <c r="Q720">
        <v>0</v>
      </c>
      <c r="R720" t="s">
        <v>44761</v>
      </c>
      <c r="S720" t="s">
        <v>44862</v>
      </c>
      <c r="T720" t="s">
        <v>46399</v>
      </c>
      <c r="U720" t="s">
        <v>47612</v>
      </c>
      <c r="W720" t="s">
        <v>40905</v>
      </c>
      <c r="X720" t="s">
        <v>44762</v>
      </c>
    </row>
    <row r="721" spans="1:24">
      <c r="A721">
        <f>HYPERLINK("https://www.philgeps.gov.ph/GEPSNONPILOT/Tender/SplashBidNoticeAbstractUI.aspx?menuIndex=3&amp;refID=7152814&amp;Result=3","7152814")</f>
        <v>0</v>
      </c>
      <c r="B721" t="s">
        <v>414</v>
      </c>
      <c r="C721" t="s">
        <v>4464</v>
      </c>
      <c r="D721" t="s">
        <v>18002</v>
      </c>
      <c r="E721" t="s">
        <v>18742</v>
      </c>
      <c r="F721" t="s">
        <v>30900</v>
      </c>
      <c r="G721" t="s">
        <v>30909</v>
      </c>
      <c r="H721" t="s">
        <v>30916</v>
      </c>
      <c r="I721" t="s">
        <v>8365</v>
      </c>
      <c r="J721" t="s">
        <v>31628</v>
      </c>
      <c r="K721" t="s">
        <v>40289</v>
      </c>
      <c r="M721" t="s">
        <v>40970</v>
      </c>
      <c r="N721" t="s">
        <v>44759</v>
      </c>
      <c r="O721" t="s">
        <v>44760</v>
      </c>
      <c r="P721">
        <v>0</v>
      </c>
      <c r="Q721">
        <v>0</v>
      </c>
      <c r="R721" t="s">
        <v>44761</v>
      </c>
      <c r="S721" t="s">
        <v>44862</v>
      </c>
      <c r="T721" t="s">
        <v>46398</v>
      </c>
      <c r="U721" t="s">
        <v>47613</v>
      </c>
      <c r="W721" t="s">
        <v>40970</v>
      </c>
      <c r="X721" t="s">
        <v>44762</v>
      </c>
    </row>
    <row r="722" spans="1:24">
      <c r="A722">
        <f>HYPERLINK("https://www.philgeps.gov.ph/GEPSNONPILOT/Tender/SplashBidNoticeAbstractUI.aspx?menuIndex=3&amp;refID=7152827&amp;Result=3","7152827")</f>
        <v>0</v>
      </c>
      <c r="B722" t="s">
        <v>403</v>
      </c>
      <c r="C722" t="s">
        <v>4465</v>
      </c>
      <c r="D722" t="s">
        <v>17982</v>
      </c>
      <c r="E722" t="s">
        <v>18743</v>
      </c>
      <c r="F722" t="s">
        <v>30900</v>
      </c>
      <c r="G722" t="s">
        <v>30909</v>
      </c>
      <c r="H722" t="s">
        <v>30916</v>
      </c>
      <c r="I722" t="s">
        <v>30922</v>
      </c>
      <c r="J722" t="s">
        <v>31629</v>
      </c>
      <c r="K722" t="s">
        <v>40283</v>
      </c>
      <c r="M722" t="s">
        <v>40958</v>
      </c>
      <c r="N722" t="s">
        <v>44759</v>
      </c>
      <c r="O722" t="s">
        <v>44760</v>
      </c>
      <c r="P722">
        <v>0</v>
      </c>
      <c r="Q722">
        <v>0</v>
      </c>
      <c r="R722" t="s">
        <v>44761</v>
      </c>
      <c r="S722" t="s">
        <v>44862</v>
      </c>
      <c r="T722" t="s">
        <v>46357</v>
      </c>
      <c r="U722" t="s">
        <v>47591</v>
      </c>
      <c r="V722" t="s">
        <v>59200</v>
      </c>
      <c r="W722" t="s">
        <v>40958</v>
      </c>
      <c r="X722" t="s">
        <v>44762</v>
      </c>
    </row>
    <row r="723" spans="1:24">
      <c r="A723">
        <f>HYPERLINK("https://www.philgeps.gov.ph/GEPSNONPILOT/Tender/SplashBidNoticeAbstractUI.aspx?menuIndex=3&amp;refID=7152826&amp;Result=3","7152826")</f>
        <v>0</v>
      </c>
      <c r="B723" t="s">
        <v>415</v>
      </c>
      <c r="C723" t="s">
        <v>4466</v>
      </c>
      <c r="D723" t="s">
        <v>17959</v>
      </c>
      <c r="E723" t="s">
        <v>18744</v>
      </c>
      <c r="F723" t="s">
        <v>30900</v>
      </c>
      <c r="G723" t="s">
        <v>30908</v>
      </c>
      <c r="H723" t="s">
        <v>30916</v>
      </c>
      <c r="I723" t="s">
        <v>10834</v>
      </c>
      <c r="J723" t="s">
        <v>31630</v>
      </c>
      <c r="K723" t="s">
        <v>40280</v>
      </c>
      <c r="M723" t="s">
        <v>40971</v>
      </c>
      <c r="N723" t="s">
        <v>44759</v>
      </c>
      <c r="O723" t="s">
        <v>44760</v>
      </c>
      <c r="P723">
        <v>0</v>
      </c>
      <c r="Q723">
        <v>0</v>
      </c>
      <c r="R723" t="s">
        <v>44761</v>
      </c>
      <c r="S723" t="s">
        <v>44862</v>
      </c>
      <c r="T723" t="s">
        <v>46412</v>
      </c>
      <c r="U723" t="s">
        <v>47614</v>
      </c>
      <c r="W723" t="s">
        <v>40971</v>
      </c>
      <c r="X723" t="s">
        <v>44762</v>
      </c>
    </row>
    <row r="724" spans="1:24">
      <c r="A724">
        <f>HYPERLINK("https://www.philgeps.gov.ph/GEPSNONPILOT/Tender/SplashBidNoticeAbstractUI.aspx?menuIndex=3&amp;refID=7152825&amp;Result=3","7152825")</f>
        <v>0</v>
      </c>
      <c r="B724" t="s">
        <v>337</v>
      </c>
      <c r="C724" t="s">
        <v>4467</v>
      </c>
      <c r="D724" t="s">
        <v>18013</v>
      </c>
      <c r="E724" t="s">
        <v>18745</v>
      </c>
      <c r="F724" t="s">
        <v>30900</v>
      </c>
      <c r="G724" t="s">
        <v>30909</v>
      </c>
      <c r="H724" t="s">
        <v>30916</v>
      </c>
      <c r="I724" t="s">
        <v>4142</v>
      </c>
      <c r="J724" t="s">
        <v>31631</v>
      </c>
      <c r="K724" t="s">
        <v>40285</v>
      </c>
      <c r="M724" t="s">
        <v>40889</v>
      </c>
      <c r="N724" t="s">
        <v>44759</v>
      </c>
      <c r="O724" t="s">
        <v>44760</v>
      </c>
      <c r="P724">
        <v>0</v>
      </c>
      <c r="Q724">
        <v>0</v>
      </c>
      <c r="R724" t="s">
        <v>44761</v>
      </c>
      <c r="S724" t="s">
        <v>44862</v>
      </c>
      <c r="T724" t="s">
        <v>46376</v>
      </c>
      <c r="U724" t="s">
        <v>47615</v>
      </c>
      <c r="W724" t="s">
        <v>40889</v>
      </c>
      <c r="X724" t="s">
        <v>44762</v>
      </c>
    </row>
    <row r="725" spans="1:24">
      <c r="A725">
        <f>HYPERLINK("https://www.philgeps.gov.ph/GEPSNONPILOT/Tender/SplashBidNoticeAbstractUI.aspx?menuIndex=3&amp;refID=7152807&amp;Result=3","7152807")</f>
        <v>0</v>
      </c>
      <c r="B725" t="s">
        <v>221</v>
      </c>
      <c r="C725" t="s">
        <v>4468</v>
      </c>
      <c r="D725" t="s">
        <v>17972</v>
      </c>
      <c r="E725" t="s">
        <v>18746</v>
      </c>
      <c r="F725" t="s">
        <v>30900</v>
      </c>
      <c r="G725" t="s">
        <v>30908</v>
      </c>
      <c r="H725" t="s">
        <v>30916</v>
      </c>
      <c r="I725" t="s">
        <v>4108</v>
      </c>
      <c r="J725" t="s">
        <v>31288</v>
      </c>
      <c r="K725" t="s">
        <v>40287</v>
      </c>
      <c r="M725" t="s">
        <v>40768</v>
      </c>
      <c r="N725" t="s">
        <v>44759</v>
      </c>
      <c r="O725" t="s">
        <v>44760</v>
      </c>
      <c r="P725">
        <v>0</v>
      </c>
      <c r="Q725">
        <v>0</v>
      </c>
      <c r="R725" t="s">
        <v>44761</v>
      </c>
      <c r="S725" t="s">
        <v>44862</v>
      </c>
      <c r="T725" t="s">
        <v>46444</v>
      </c>
      <c r="U725" t="s">
        <v>47282</v>
      </c>
      <c r="W725" t="s">
        <v>40768</v>
      </c>
      <c r="X725" t="s">
        <v>44762</v>
      </c>
    </row>
    <row r="726" spans="1:24">
      <c r="A726">
        <f>HYPERLINK("https://www.philgeps.gov.ph/GEPSNONPILOT/Tender/SplashBidNoticeAbstractUI.aspx?menuIndex=3&amp;refID=7152823&amp;Result=3","7152823")</f>
        <v>0</v>
      </c>
      <c r="B726" t="s">
        <v>416</v>
      </c>
      <c r="C726" t="s">
        <v>4469</v>
      </c>
      <c r="D726" t="s">
        <v>17976</v>
      </c>
      <c r="E726" t="s">
        <v>18747</v>
      </c>
      <c r="F726" t="s">
        <v>30900</v>
      </c>
      <c r="G726" t="s">
        <v>30907</v>
      </c>
      <c r="H726" t="s">
        <v>30916</v>
      </c>
      <c r="I726" t="s">
        <v>30955</v>
      </c>
      <c r="J726" t="s">
        <v>31632</v>
      </c>
      <c r="K726" t="s">
        <v>40283</v>
      </c>
      <c r="M726" t="s">
        <v>40972</v>
      </c>
      <c r="N726" t="s">
        <v>44759</v>
      </c>
      <c r="O726" t="s">
        <v>44760</v>
      </c>
      <c r="P726">
        <v>0</v>
      </c>
      <c r="Q726">
        <v>0</v>
      </c>
      <c r="R726" t="s">
        <v>44761</v>
      </c>
      <c r="S726" t="s">
        <v>44862</v>
      </c>
      <c r="T726" t="s">
        <v>46439</v>
      </c>
      <c r="U726" t="s">
        <v>47616</v>
      </c>
      <c r="W726" t="s">
        <v>40972</v>
      </c>
      <c r="X726" t="s">
        <v>44762</v>
      </c>
    </row>
    <row r="727" spans="1:24">
      <c r="A727">
        <f>HYPERLINK("https://www.philgeps.gov.ph/GEPSNONPILOT/Tender/SplashBidNoticeAbstractUI.aspx?menuIndex=3&amp;refID=7152822&amp;Result=3","7152822")</f>
        <v>0</v>
      </c>
      <c r="B727" t="s">
        <v>404</v>
      </c>
      <c r="C727" t="s">
        <v>4470</v>
      </c>
      <c r="D727" t="s">
        <v>17976</v>
      </c>
      <c r="E727" t="s">
        <v>18748</v>
      </c>
      <c r="F727" t="s">
        <v>30900</v>
      </c>
      <c r="G727" t="s">
        <v>30908</v>
      </c>
      <c r="H727" t="s">
        <v>30916</v>
      </c>
      <c r="I727" t="s">
        <v>4017</v>
      </c>
      <c r="J727" t="s">
        <v>31633</v>
      </c>
      <c r="K727" t="s">
        <v>40289</v>
      </c>
      <c r="M727" t="s">
        <v>40959</v>
      </c>
      <c r="N727" t="s">
        <v>44759</v>
      </c>
      <c r="O727" t="s">
        <v>44760</v>
      </c>
      <c r="P727">
        <v>0</v>
      </c>
      <c r="Q727">
        <v>0</v>
      </c>
      <c r="R727" t="s">
        <v>44761</v>
      </c>
      <c r="S727" t="s">
        <v>44862</v>
      </c>
      <c r="T727" t="s">
        <v>46382</v>
      </c>
      <c r="U727" t="s">
        <v>47617</v>
      </c>
      <c r="W727" t="s">
        <v>40959</v>
      </c>
      <c r="X727" t="s">
        <v>44762</v>
      </c>
    </row>
    <row r="728" spans="1:24">
      <c r="A728">
        <f>HYPERLINK("https://www.philgeps.gov.ph/GEPSNONPILOT/Tender/SplashBidNoticeAbstractUI.aspx?menuIndex=3&amp;refID=7152817&amp;Result=3","7152817")</f>
        <v>0</v>
      </c>
      <c r="B728" t="s">
        <v>115</v>
      </c>
      <c r="C728" t="s">
        <v>4471</v>
      </c>
      <c r="D728" t="s">
        <v>17960</v>
      </c>
      <c r="E728" t="s">
        <v>18749</v>
      </c>
      <c r="F728" t="s">
        <v>30900</v>
      </c>
      <c r="G728" t="s">
        <v>30908</v>
      </c>
      <c r="H728" t="s">
        <v>30916</v>
      </c>
      <c r="I728" t="s">
        <v>5501</v>
      </c>
      <c r="J728" t="s">
        <v>31634</v>
      </c>
      <c r="K728" t="s">
        <v>40286</v>
      </c>
      <c r="M728" t="s">
        <v>40662</v>
      </c>
      <c r="N728" t="s">
        <v>44759</v>
      </c>
      <c r="O728" t="s">
        <v>44760</v>
      </c>
      <c r="P728">
        <v>0</v>
      </c>
      <c r="Q728">
        <v>0</v>
      </c>
      <c r="R728" t="s">
        <v>44761</v>
      </c>
      <c r="S728" t="s">
        <v>44862</v>
      </c>
      <c r="T728" t="s">
        <v>46357</v>
      </c>
      <c r="U728" t="s">
        <v>47618</v>
      </c>
      <c r="V728" t="s">
        <v>59204</v>
      </c>
      <c r="W728" t="s">
        <v>40662</v>
      </c>
      <c r="X728" t="s">
        <v>44762</v>
      </c>
    </row>
    <row r="729" spans="1:24">
      <c r="A729">
        <f>HYPERLINK("https://www.philgeps.gov.ph/GEPSNONPILOT/Tender/SplashBidNoticeAbstractUI.aspx?menuIndex=3&amp;refID=7152813&amp;Result=3","7152813")</f>
        <v>0</v>
      </c>
      <c r="B729" t="s">
        <v>417</v>
      </c>
      <c r="C729" t="s">
        <v>4472</v>
      </c>
      <c r="D729" t="s">
        <v>17966</v>
      </c>
      <c r="E729" t="s">
        <v>18750</v>
      </c>
      <c r="F729" t="s">
        <v>30900</v>
      </c>
      <c r="G729" t="s">
        <v>30908</v>
      </c>
      <c r="H729" t="s">
        <v>30916</v>
      </c>
      <c r="I729" t="s">
        <v>4545</v>
      </c>
      <c r="J729" t="s">
        <v>31049</v>
      </c>
      <c r="K729" t="s">
        <v>40283</v>
      </c>
      <c r="M729" t="s">
        <v>40973</v>
      </c>
      <c r="N729" t="s">
        <v>44759</v>
      </c>
      <c r="O729" t="s">
        <v>44760</v>
      </c>
      <c r="P729">
        <v>0</v>
      </c>
      <c r="Q729">
        <v>0</v>
      </c>
      <c r="R729" t="s">
        <v>44761</v>
      </c>
      <c r="S729" t="s">
        <v>44862</v>
      </c>
      <c r="T729" t="s">
        <v>46399</v>
      </c>
      <c r="U729" t="s">
        <v>47619</v>
      </c>
      <c r="V729" t="s">
        <v>59205</v>
      </c>
      <c r="W729" t="s">
        <v>40973</v>
      </c>
      <c r="X729" t="s">
        <v>44762</v>
      </c>
    </row>
    <row r="730" spans="1:24">
      <c r="A730">
        <f>HYPERLINK("https://www.philgeps.gov.ph/GEPSNONPILOT/Tender/SplashBidNoticeAbstractUI.aspx?menuIndex=3&amp;refID=7152828&amp;Result=3","7152828")</f>
        <v>0</v>
      </c>
      <c r="B730" t="s">
        <v>418</v>
      </c>
      <c r="C730" t="s">
        <v>4473</v>
      </c>
      <c r="D730" t="s">
        <v>17959</v>
      </c>
      <c r="E730" t="s">
        <v>4473</v>
      </c>
      <c r="F730" t="s">
        <v>30900</v>
      </c>
      <c r="G730" t="s">
        <v>30908</v>
      </c>
      <c r="H730" t="s">
        <v>30916</v>
      </c>
      <c r="I730" t="s">
        <v>4142</v>
      </c>
      <c r="J730" t="s">
        <v>31635</v>
      </c>
      <c r="K730" t="s">
        <v>40283</v>
      </c>
      <c r="M730" t="s">
        <v>40974</v>
      </c>
      <c r="N730" t="s">
        <v>44759</v>
      </c>
      <c r="O730" t="s">
        <v>44760</v>
      </c>
      <c r="P730">
        <v>0</v>
      </c>
      <c r="Q730">
        <v>0</v>
      </c>
      <c r="R730" t="s">
        <v>44761</v>
      </c>
      <c r="S730" t="s">
        <v>44862</v>
      </c>
      <c r="T730" t="s">
        <v>46356</v>
      </c>
      <c r="U730" t="s">
        <v>47620</v>
      </c>
      <c r="W730" t="s">
        <v>40974</v>
      </c>
      <c r="X730" t="s">
        <v>44762</v>
      </c>
    </row>
    <row r="731" spans="1:24">
      <c r="A731">
        <f>HYPERLINK("https://www.philgeps.gov.ph/GEPSNONPILOT/Tender/SplashBidNoticeAbstractUI.aspx?menuIndex=3&amp;refID=7152836&amp;Result=3","7152836")</f>
        <v>0</v>
      </c>
      <c r="B731" t="s">
        <v>419</v>
      </c>
      <c r="C731" t="s">
        <v>4474</v>
      </c>
      <c r="D731" t="s">
        <v>18012</v>
      </c>
      <c r="E731" t="s">
        <v>18751</v>
      </c>
      <c r="F731" t="s">
        <v>30900</v>
      </c>
      <c r="G731" t="s">
        <v>30906</v>
      </c>
      <c r="H731" t="s">
        <v>30916</v>
      </c>
      <c r="I731" t="s">
        <v>6746</v>
      </c>
      <c r="J731" t="s">
        <v>31636</v>
      </c>
      <c r="K731" t="s">
        <v>40284</v>
      </c>
      <c r="M731" t="s">
        <v>40975</v>
      </c>
      <c r="N731" t="s">
        <v>44759</v>
      </c>
      <c r="O731" t="s">
        <v>44760</v>
      </c>
      <c r="P731">
        <v>0</v>
      </c>
      <c r="Q731">
        <v>0</v>
      </c>
      <c r="R731" t="s">
        <v>44761</v>
      </c>
      <c r="S731" t="s">
        <v>44862</v>
      </c>
      <c r="T731" t="s">
        <v>46390</v>
      </c>
      <c r="U731" t="s">
        <v>47621</v>
      </c>
      <c r="V731" t="s">
        <v>59206</v>
      </c>
      <c r="W731" t="s">
        <v>40975</v>
      </c>
      <c r="X731" t="s">
        <v>44762</v>
      </c>
    </row>
    <row r="732" spans="1:24">
      <c r="A732">
        <f>HYPERLINK("https://www.philgeps.gov.ph/GEPSNONPILOT/Tender/SplashBidNoticeAbstractUI.aspx?menuIndex=3&amp;refID=7152835&amp;Result=3","7152835")</f>
        <v>0</v>
      </c>
      <c r="B732" t="s">
        <v>420</v>
      </c>
      <c r="C732" t="s">
        <v>4475</v>
      </c>
      <c r="D732" t="s">
        <v>17961</v>
      </c>
      <c r="E732" t="s">
        <v>18752</v>
      </c>
      <c r="F732" t="s">
        <v>30900</v>
      </c>
      <c r="G732" t="s">
        <v>30909</v>
      </c>
      <c r="H732" t="s">
        <v>30916</v>
      </c>
      <c r="I732" t="s">
        <v>8365</v>
      </c>
      <c r="J732" t="s">
        <v>31341</v>
      </c>
      <c r="K732" t="s">
        <v>40285</v>
      </c>
      <c r="M732" t="s">
        <v>40976</v>
      </c>
      <c r="N732" t="s">
        <v>44759</v>
      </c>
      <c r="O732" t="s">
        <v>44760</v>
      </c>
      <c r="P732">
        <v>0</v>
      </c>
      <c r="Q732">
        <v>0</v>
      </c>
      <c r="R732" t="s">
        <v>44761</v>
      </c>
      <c r="S732" t="s">
        <v>44862</v>
      </c>
      <c r="T732" t="s">
        <v>46383</v>
      </c>
      <c r="U732" t="s">
        <v>47622</v>
      </c>
      <c r="W732" t="s">
        <v>40976</v>
      </c>
      <c r="X732" t="s">
        <v>44762</v>
      </c>
    </row>
    <row r="733" spans="1:24">
      <c r="A733">
        <f>HYPERLINK("https://www.philgeps.gov.ph/GEPSNONPILOT/Tender/SplashBidNoticeAbstractUI.aspx?menuIndex=3&amp;refID=7152834&amp;Result=3","7152834")</f>
        <v>0</v>
      </c>
      <c r="B733" t="s">
        <v>237</v>
      </c>
      <c r="C733" t="s">
        <v>4476</v>
      </c>
      <c r="D733" t="s">
        <v>17977</v>
      </c>
      <c r="E733" t="s">
        <v>18753</v>
      </c>
      <c r="F733" t="s">
        <v>30900</v>
      </c>
      <c r="G733" t="s">
        <v>30908</v>
      </c>
      <c r="H733" t="s">
        <v>30916</v>
      </c>
      <c r="I733" t="s">
        <v>6396</v>
      </c>
      <c r="J733" t="s">
        <v>31637</v>
      </c>
      <c r="K733" t="s">
        <v>40289</v>
      </c>
      <c r="M733" t="s">
        <v>40784</v>
      </c>
      <c r="N733" t="s">
        <v>44759</v>
      </c>
      <c r="O733" t="s">
        <v>44760</v>
      </c>
      <c r="P733">
        <v>0</v>
      </c>
      <c r="Q733">
        <v>0</v>
      </c>
      <c r="R733" t="s">
        <v>44761</v>
      </c>
      <c r="S733" t="s">
        <v>44862</v>
      </c>
      <c r="T733" t="s">
        <v>46393</v>
      </c>
      <c r="U733" t="s">
        <v>47623</v>
      </c>
      <c r="W733" t="s">
        <v>40784</v>
      </c>
      <c r="X733" t="s">
        <v>44762</v>
      </c>
    </row>
    <row r="734" spans="1:24">
      <c r="A734">
        <f>HYPERLINK("https://www.philgeps.gov.ph/GEPSNONPILOT/Tender/SplashBidNoticeAbstractUI.aspx?menuIndex=3&amp;refID=7152833&amp;Result=3","7152833")</f>
        <v>0</v>
      </c>
      <c r="B734" t="s">
        <v>421</v>
      </c>
      <c r="C734" t="s">
        <v>4477</v>
      </c>
      <c r="D734" t="s">
        <v>18012</v>
      </c>
      <c r="E734" t="s">
        <v>18754</v>
      </c>
      <c r="F734" t="s">
        <v>30900</v>
      </c>
      <c r="G734" t="s">
        <v>30906</v>
      </c>
      <c r="H734" t="s">
        <v>30916</v>
      </c>
      <c r="I734" t="s">
        <v>4545</v>
      </c>
      <c r="J734" t="s">
        <v>31638</v>
      </c>
      <c r="K734" t="s">
        <v>40283</v>
      </c>
      <c r="M734" t="s">
        <v>40977</v>
      </c>
      <c r="N734" t="s">
        <v>44759</v>
      </c>
      <c r="O734" t="s">
        <v>44760</v>
      </c>
      <c r="P734">
        <v>0</v>
      </c>
      <c r="Q734">
        <v>0</v>
      </c>
      <c r="R734" t="s">
        <v>44761</v>
      </c>
      <c r="S734" t="s">
        <v>44862</v>
      </c>
      <c r="T734" t="s">
        <v>46418</v>
      </c>
      <c r="U734" t="s">
        <v>47624</v>
      </c>
      <c r="V734" t="s">
        <v>59207</v>
      </c>
      <c r="W734" t="s">
        <v>40977</v>
      </c>
      <c r="X734" t="s">
        <v>44762</v>
      </c>
    </row>
    <row r="735" spans="1:24">
      <c r="A735">
        <f>HYPERLINK("https://www.philgeps.gov.ph/GEPSNONPILOT/Tender/SplashBidNoticeAbstractUI.aspx?menuIndex=3&amp;refID=7152820&amp;Result=3","7152820")</f>
        <v>0</v>
      </c>
      <c r="B735" t="s">
        <v>402</v>
      </c>
      <c r="C735" t="s">
        <v>4478</v>
      </c>
      <c r="D735" t="s">
        <v>17982</v>
      </c>
      <c r="E735" t="s">
        <v>18755</v>
      </c>
      <c r="F735" t="s">
        <v>30900</v>
      </c>
      <c r="G735" t="s">
        <v>30907</v>
      </c>
      <c r="H735" t="s">
        <v>30915</v>
      </c>
      <c r="I735" t="s">
        <v>30919</v>
      </c>
      <c r="J735" t="s">
        <v>31391</v>
      </c>
      <c r="K735" t="s">
        <v>40304</v>
      </c>
      <c r="M735" t="s">
        <v>40957</v>
      </c>
      <c r="N735" t="s">
        <v>44759</v>
      </c>
      <c r="O735" t="s">
        <v>44760</v>
      </c>
      <c r="P735">
        <v>0</v>
      </c>
      <c r="Q735">
        <v>0</v>
      </c>
      <c r="R735" t="s">
        <v>44761</v>
      </c>
      <c r="S735" t="s">
        <v>44862</v>
      </c>
      <c r="T735" t="s">
        <v>46375</v>
      </c>
      <c r="U735" t="s">
        <v>47590</v>
      </c>
      <c r="W735" t="s">
        <v>40957</v>
      </c>
      <c r="X735" t="s">
        <v>44762</v>
      </c>
    </row>
    <row r="736" spans="1:24">
      <c r="A736">
        <f>HYPERLINK("https://www.philgeps.gov.ph/GEPSNONPILOT/Tender/SplashBidNoticeAbstractUI.aspx?menuIndex=3&amp;refID=7152812&amp;Result=3","7152812")</f>
        <v>0</v>
      </c>
      <c r="B736" t="s">
        <v>422</v>
      </c>
      <c r="C736" t="s">
        <v>4479</v>
      </c>
      <c r="D736" t="s">
        <v>17963</v>
      </c>
      <c r="E736" t="s">
        <v>18756</v>
      </c>
      <c r="F736" t="s">
        <v>30900</v>
      </c>
      <c r="G736" t="s">
        <v>30907</v>
      </c>
      <c r="H736" t="s">
        <v>30915</v>
      </c>
      <c r="I736" t="s">
        <v>30919</v>
      </c>
      <c r="J736" t="s">
        <v>31341</v>
      </c>
      <c r="K736" t="s">
        <v>40286</v>
      </c>
      <c r="M736" t="s">
        <v>40978</v>
      </c>
      <c r="N736" t="s">
        <v>44759</v>
      </c>
      <c r="O736" t="s">
        <v>44760</v>
      </c>
      <c r="P736">
        <v>0</v>
      </c>
      <c r="Q736">
        <v>0</v>
      </c>
      <c r="R736" t="s">
        <v>44761</v>
      </c>
      <c r="S736" t="s">
        <v>44862</v>
      </c>
      <c r="T736" t="s">
        <v>46373</v>
      </c>
      <c r="U736" t="s">
        <v>47625</v>
      </c>
      <c r="W736" t="s">
        <v>40978</v>
      </c>
      <c r="X736" t="s">
        <v>44762</v>
      </c>
    </row>
    <row r="737" spans="1:24">
      <c r="A737">
        <f>HYPERLINK("https://www.philgeps.gov.ph/GEPSNONPILOT/Tender/SplashBidNoticeAbstractUI.aspx?menuIndex=3&amp;refID=7152816&amp;Result=3","7152816")</f>
        <v>0</v>
      </c>
      <c r="B737" t="s">
        <v>217</v>
      </c>
      <c r="C737" t="s">
        <v>4480</v>
      </c>
      <c r="D737" t="s">
        <v>17966</v>
      </c>
      <c r="E737" t="s">
        <v>18757</v>
      </c>
      <c r="F737" t="s">
        <v>30900</v>
      </c>
      <c r="G737" t="s">
        <v>30908</v>
      </c>
      <c r="H737" t="s">
        <v>30916</v>
      </c>
      <c r="I737" t="s">
        <v>30923</v>
      </c>
      <c r="J737" t="s">
        <v>31639</v>
      </c>
      <c r="K737" t="s">
        <v>40284</v>
      </c>
      <c r="M737" t="s">
        <v>40979</v>
      </c>
      <c r="N737" t="s">
        <v>44759</v>
      </c>
      <c r="O737" t="s">
        <v>44760</v>
      </c>
      <c r="P737">
        <v>0</v>
      </c>
      <c r="Q737">
        <v>0</v>
      </c>
      <c r="R737" t="s">
        <v>44761</v>
      </c>
      <c r="S737" t="s">
        <v>44862</v>
      </c>
      <c r="T737" t="s">
        <v>46352</v>
      </c>
      <c r="U737" t="s">
        <v>47626</v>
      </c>
      <c r="W737" t="s">
        <v>40979</v>
      </c>
      <c r="X737" t="s">
        <v>44762</v>
      </c>
    </row>
    <row r="738" spans="1:24">
      <c r="A738">
        <f>HYPERLINK("https://www.philgeps.gov.ph/GEPSNONPILOT/Tender/SplashBidNoticeAbstractUI.aspx?menuIndex=3&amp;refID=7152831&amp;Result=3","7152831")</f>
        <v>0</v>
      </c>
      <c r="B738" t="s">
        <v>423</v>
      </c>
      <c r="C738" t="s">
        <v>4481</v>
      </c>
      <c r="D738" t="s">
        <v>17978</v>
      </c>
      <c r="E738" t="s">
        <v>18758</v>
      </c>
      <c r="F738" t="s">
        <v>30900</v>
      </c>
      <c r="G738" t="s">
        <v>30907</v>
      </c>
      <c r="H738" t="s">
        <v>30915</v>
      </c>
      <c r="I738" t="s">
        <v>30919</v>
      </c>
      <c r="J738" t="s">
        <v>31152</v>
      </c>
      <c r="K738" t="s">
        <v>40280</v>
      </c>
      <c r="M738" t="s">
        <v>40980</v>
      </c>
      <c r="N738" t="s">
        <v>44759</v>
      </c>
      <c r="O738" t="s">
        <v>44760</v>
      </c>
      <c r="P738">
        <v>0</v>
      </c>
      <c r="Q738">
        <v>0</v>
      </c>
      <c r="R738" t="s">
        <v>44761</v>
      </c>
      <c r="S738" t="s">
        <v>44862</v>
      </c>
      <c r="T738" t="s">
        <v>46481</v>
      </c>
      <c r="U738" t="s">
        <v>47627</v>
      </c>
      <c r="W738" t="s">
        <v>40980</v>
      </c>
      <c r="X738" t="s">
        <v>44762</v>
      </c>
    </row>
    <row r="739" spans="1:24">
      <c r="A739">
        <f>HYPERLINK("https://www.philgeps.gov.ph/GEPSNONPILOT/Tender/SplashBidNoticeAbstractUI.aspx?menuIndex=3&amp;refID=7152830&amp;Result=3","7152830")</f>
        <v>0</v>
      </c>
      <c r="B739" t="s">
        <v>79</v>
      </c>
      <c r="C739" t="s">
        <v>4482</v>
      </c>
      <c r="D739" t="s">
        <v>17988</v>
      </c>
      <c r="E739" t="s">
        <v>18740</v>
      </c>
      <c r="F739" t="s">
        <v>30900</v>
      </c>
      <c r="G739" t="s">
        <v>30907</v>
      </c>
      <c r="H739" t="s">
        <v>30916</v>
      </c>
      <c r="I739" t="s">
        <v>30939</v>
      </c>
      <c r="J739" t="s">
        <v>31640</v>
      </c>
      <c r="K739" t="s">
        <v>40334</v>
      </c>
      <c r="M739" t="s">
        <v>40626</v>
      </c>
      <c r="N739" t="s">
        <v>44759</v>
      </c>
      <c r="O739" t="s">
        <v>44760</v>
      </c>
      <c r="P739">
        <v>0</v>
      </c>
      <c r="Q739">
        <v>0</v>
      </c>
      <c r="R739" t="s">
        <v>44761</v>
      </c>
      <c r="S739" t="s">
        <v>44862</v>
      </c>
      <c r="T739" t="s">
        <v>46482</v>
      </c>
      <c r="U739" t="s">
        <v>47628</v>
      </c>
      <c r="V739" t="s">
        <v>59208</v>
      </c>
      <c r="W739" t="s">
        <v>40626</v>
      </c>
      <c r="X739" t="s">
        <v>44762</v>
      </c>
    </row>
    <row r="740" spans="1:24">
      <c r="A740">
        <f>HYPERLINK("https://www.philgeps.gov.ph/GEPSNONPILOT/Tender/SplashBidNoticeAbstractUI.aspx?menuIndex=3&amp;refID=7152815&amp;Result=3","7152815")</f>
        <v>0</v>
      </c>
      <c r="B740" t="s">
        <v>424</v>
      </c>
      <c r="C740" t="s">
        <v>4483</v>
      </c>
      <c r="D740" t="s">
        <v>17955</v>
      </c>
      <c r="E740" t="s">
        <v>18759</v>
      </c>
      <c r="F740" t="s">
        <v>30900</v>
      </c>
      <c r="G740" t="s">
        <v>30907</v>
      </c>
      <c r="H740" t="s">
        <v>30915</v>
      </c>
      <c r="I740" t="s">
        <v>30919</v>
      </c>
      <c r="J740" t="s">
        <v>31641</v>
      </c>
      <c r="K740" t="s">
        <v>40286</v>
      </c>
      <c r="M740" t="s">
        <v>40981</v>
      </c>
      <c r="N740" t="s">
        <v>44759</v>
      </c>
      <c r="O740" t="s">
        <v>44760</v>
      </c>
      <c r="P740">
        <v>0</v>
      </c>
      <c r="Q740">
        <v>0</v>
      </c>
      <c r="R740" t="s">
        <v>44761</v>
      </c>
      <c r="S740" t="s">
        <v>44862</v>
      </c>
      <c r="T740" t="s">
        <v>46375</v>
      </c>
      <c r="U740" t="s">
        <v>47629</v>
      </c>
      <c r="W740" t="s">
        <v>40981</v>
      </c>
      <c r="X740" t="s">
        <v>44762</v>
      </c>
    </row>
    <row r="741" spans="1:24">
      <c r="A741">
        <f>HYPERLINK("https://www.philgeps.gov.ph/GEPSNONPILOT/Tender/SplashBidNoticeAbstractUI.aspx?menuIndex=3&amp;refID=7152855&amp;Result=3","7152855")</f>
        <v>0</v>
      </c>
      <c r="B741" t="s">
        <v>348</v>
      </c>
      <c r="C741" t="s">
        <v>4484</v>
      </c>
      <c r="D741" t="s">
        <v>17957</v>
      </c>
      <c r="E741" t="s">
        <v>18760</v>
      </c>
      <c r="F741" t="s">
        <v>30900</v>
      </c>
      <c r="G741" t="s">
        <v>30908</v>
      </c>
      <c r="H741" t="s">
        <v>30917</v>
      </c>
      <c r="I741" t="s">
        <v>30929</v>
      </c>
      <c r="J741" t="s">
        <v>31589</v>
      </c>
      <c r="K741" t="s">
        <v>40284</v>
      </c>
      <c r="M741" t="s">
        <v>40901</v>
      </c>
      <c r="N741" t="s">
        <v>44759</v>
      </c>
      <c r="O741" t="s">
        <v>44760</v>
      </c>
      <c r="P741">
        <v>0</v>
      </c>
      <c r="Q741">
        <v>0</v>
      </c>
      <c r="R741" t="s">
        <v>44761</v>
      </c>
      <c r="S741" t="s">
        <v>44862</v>
      </c>
      <c r="T741" t="s">
        <v>46382</v>
      </c>
      <c r="U741" t="s">
        <v>47630</v>
      </c>
      <c r="W741" t="s">
        <v>40901</v>
      </c>
      <c r="X741" t="s">
        <v>44762</v>
      </c>
    </row>
    <row r="742" spans="1:24">
      <c r="A742">
        <f>HYPERLINK("https://www.philgeps.gov.ph/GEPSNONPILOT/Tender/SplashBidNoticeAbstractUI.aspx?menuIndex=3&amp;refID=7152840&amp;Result=3","7152840")</f>
        <v>0</v>
      </c>
      <c r="B742" t="s">
        <v>406</v>
      </c>
      <c r="C742" t="s">
        <v>4485</v>
      </c>
      <c r="E742" t="s">
        <v>18605</v>
      </c>
      <c r="F742" t="s">
        <v>30900</v>
      </c>
      <c r="G742" t="s">
        <v>30908</v>
      </c>
      <c r="H742" t="s">
        <v>30916</v>
      </c>
      <c r="I742" t="s">
        <v>30939</v>
      </c>
      <c r="J742" t="s">
        <v>31642</v>
      </c>
      <c r="K742" t="s">
        <v>40283</v>
      </c>
      <c r="M742" t="s">
        <v>40962</v>
      </c>
      <c r="N742" t="s">
        <v>44759</v>
      </c>
      <c r="O742" t="s">
        <v>44760</v>
      </c>
      <c r="P742">
        <v>0</v>
      </c>
      <c r="Q742">
        <v>0</v>
      </c>
      <c r="R742" t="s">
        <v>44761</v>
      </c>
      <c r="S742" t="s">
        <v>44862</v>
      </c>
      <c r="T742" t="s">
        <v>46389</v>
      </c>
      <c r="U742" t="s">
        <v>47631</v>
      </c>
      <c r="W742" t="s">
        <v>40962</v>
      </c>
      <c r="X742" t="s">
        <v>44762</v>
      </c>
    </row>
    <row r="743" spans="1:24">
      <c r="A743">
        <f>HYPERLINK("https://www.philgeps.gov.ph/GEPSNONPILOT/Tender/SplashBidNoticeAbstractUI.aspx?menuIndex=3&amp;refID=7152852&amp;Result=3","7152852")</f>
        <v>0</v>
      </c>
      <c r="B743" t="s">
        <v>425</v>
      </c>
      <c r="C743" t="s">
        <v>4486</v>
      </c>
      <c r="D743" t="s">
        <v>17953</v>
      </c>
      <c r="E743" t="s">
        <v>4486</v>
      </c>
      <c r="F743" t="s">
        <v>30900</v>
      </c>
      <c r="G743" t="s">
        <v>30908</v>
      </c>
      <c r="H743" t="s">
        <v>30916</v>
      </c>
      <c r="I743" t="s">
        <v>4545</v>
      </c>
      <c r="J743" t="s">
        <v>31643</v>
      </c>
      <c r="K743" t="s">
        <v>40283</v>
      </c>
      <c r="M743" t="s">
        <v>40982</v>
      </c>
      <c r="N743" t="s">
        <v>44759</v>
      </c>
      <c r="O743" t="s">
        <v>44760</v>
      </c>
      <c r="P743">
        <v>0</v>
      </c>
      <c r="Q743">
        <v>0</v>
      </c>
      <c r="R743" t="s">
        <v>44761</v>
      </c>
      <c r="S743" t="s">
        <v>44862</v>
      </c>
      <c r="T743" t="s">
        <v>46376</v>
      </c>
      <c r="U743" t="s">
        <v>47632</v>
      </c>
      <c r="W743" t="s">
        <v>40982</v>
      </c>
      <c r="X743" t="s">
        <v>44762</v>
      </c>
    </row>
    <row r="744" spans="1:24">
      <c r="A744">
        <f>HYPERLINK("https://www.philgeps.gov.ph/GEPSNONPILOT/Tender/SplashBidNoticeAbstractUI.aspx?menuIndex=3&amp;refID=7152850&amp;Result=3","7152850")</f>
        <v>0</v>
      </c>
      <c r="B744" t="s">
        <v>426</v>
      </c>
      <c r="C744" t="s">
        <v>4487</v>
      </c>
      <c r="D744" t="s">
        <v>17959</v>
      </c>
      <c r="E744" t="s">
        <v>18761</v>
      </c>
      <c r="F744" t="s">
        <v>30900</v>
      </c>
      <c r="G744" t="s">
        <v>30908</v>
      </c>
      <c r="H744" t="s">
        <v>30916</v>
      </c>
      <c r="I744" t="s">
        <v>30960</v>
      </c>
      <c r="J744" t="s">
        <v>31644</v>
      </c>
      <c r="K744" t="s">
        <v>40287</v>
      </c>
      <c r="M744" t="s">
        <v>40983</v>
      </c>
      <c r="N744" t="s">
        <v>44759</v>
      </c>
      <c r="O744" t="s">
        <v>44760</v>
      </c>
      <c r="P744">
        <v>0</v>
      </c>
      <c r="Q744">
        <v>0</v>
      </c>
      <c r="R744" t="s">
        <v>44761</v>
      </c>
      <c r="S744" t="s">
        <v>44862</v>
      </c>
      <c r="T744" t="s">
        <v>46483</v>
      </c>
      <c r="U744" t="s">
        <v>47633</v>
      </c>
      <c r="W744" t="s">
        <v>40983</v>
      </c>
      <c r="X744" t="s">
        <v>44762</v>
      </c>
    </row>
    <row r="745" spans="1:24">
      <c r="A745">
        <f>HYPERLINK("https://www.philgeps.gov.ph/GEPSNONPILOT/Tender/SplashBidNoticeAbstractUI.aspx?menuIndex=3&amp;refID=7152803&amp;Result=3","7152803")</f>
        <v>0</v>
      </c>
      <c r="B745" t="s">
        <v>130</v>
      </c>
      <c r="C745" t="s">
        <v>4488</v>
      </c>
      <c r="D745" t="s">
        <v>17979</v>
      </c>
      <c r="E745" t="s">
        <v>18762</v>
      </c>
      <c r="F745" t="s">
        <v>30900</v>
      </c>
      <c r="G745" t="s">
        <v>30908</v>
      </c>
      <c r="H745" t="s">
        <v>30916</v>
      </c>
      <c r="I745" t="s">
        <v>10602</v>
      </c>
      <c r="J745" t="s">
        <v>31575</v>
      </c>
      <c r="K745" t="s">
        <v>40315</v>
      </c>
      <c r="M745" t="s">
        <v>40677</v>
      </c>
      <c r="N745" t="s">
        <v>44759</v>
      </c>
      <c r="O745" t="s">
        <v>44760</v>
      </c>
      <c r="P745">
        <v>0</v>
      </c>
      <c r="Q745">
        <v>0</v>
      </c>
      <c r="R745" t="s">
        <v>44761</v>
      </c>
      <c r="S745" t="s">
        <v>44862</v>
      </c>
      <c r="T745" t="s">
        <v>46376</v>
      </c>
      <c r="U745" t="s">
        <v>47634</v>
      </c>
      <c r="W745" t="s">
        <v>40677</v>
      </c>
      <c r="X745" t="s">
        <v>44762</v>
      </c>
    </row>
    <row r="746" spans="1:24">
      <c r="A746">
        <f>HYPERLINK("https://www.philgeps.gov.ph/GEPSNONPILOT/Tender/SplashBidNoticeAbstractUI.aspx?menuIndex=3&amp;refID=7152846&amp;Result=3","7152846")</f>
        <v>0</v>
      </c>
      <c r="B746" t="s">
        <v>408</v>
      </c>
      <c r="C746" t="s">
        <v>4489</v>
      </c>
      <c r="E746" t="s">
        <v>18763</v>
      </c>
      <c r="F746" t="s">
        <v>30900</v>
      </c>
      <c r="G746" t="s">
        <v>30906</v>
      </c>
      <c r="H746" t="s">
        <v>30916</v>
      </c>
      <c r="I746" t="s">
        <v>30939</v>
      </c>
      <c r="J746" t="s">
        <v>31645</v>
      </c>
      <c r="K746" t="s">
        <v>40289</v>
      </c>
      <c r="M746" t="s">
        <v>40964</v>
      </c>
      <c r="N746" t="s">
        <v>44759</v>
      </c>
      <c r="O746" t="s">
        <v>44760</v>
      </c>
      <c r="P746">
        <v>0</v>
      </c>
      <c r="Q746">
        <v>0</v>
      </c>
      <c r="R746" t="s">
        <v>44761</v>
      </c>
      <c r="S746" t="s">
        <v>44862</v>
      </c>
      <c r="T746" t="s">
        <v>46484</v>
      </c>
      <c r="U746" t="s">
        <v>47635</v>
      </c>
      <c r="W746" t="s">
        <v>40964</v>
      </c>
      <c r="X746" t="s">
        <v>44762</v>
      </c>
    </row>
    <row r="747" spans="1:24">
      <c r="A747">
        <f>HYPERLINK("https://www.philgeps.gov.ph/GEPSNONPILOT/Tender/SplashBidNoticeAbstractUI.aspx?menuIndex=3&amp;refID=7152845&amp;Result=3","7152845")</f>
        <v>0</v>
      </c>
      <c r="B747" t="s">
        <v>427</v>
      </c>
      <c r="C747" t="s">
        <v>4490</v>
      </c>
      <c r="D747" t="s">
        <v>17986</v>
      </c>
      <c r="E747" t="s">
        <v>18764</v>
      </c>
      <c r="F747" t="s">
        <v>30900</v>
      </c>
      <c r="G747" t="s">
        <v>30909</v>
      </c>
      <c r="H747" t="s">
        <v>30916</v>
      </c>
      <c r="I747" t="s">
        <v>5501</v>
      </c>
      <c r="J747" t="s">
        <v>31646</v>
      </c>
      <c r="K747" t="s">
        <v>40289</v>
      </c>
      <c r="M747" t="s">
        <v>40984</v>
      </c>
      <c r="N747" t="s">
        <v>44759</v>
      </c>
      <c r="O747" t="s">
        <v>44760</v>
      </c>
      <c r="P747">
        <v>0</v>
      </c>
      <c r="Q747">
        <v>0</v>
      </c>
      <c r="R747" t="s">
        <v>44761</v>
      </c>
      <c r="S747" t="s">
        <v>44862</v>
      </c>
      <c r="T747" t="s">
        <v>46424</v>
      </c>
      <c r="U747" t="s">
        <v>47636</v>
      </c>
      <c r="V747" t="s">
        <v>59209</v>
      </c>
      <c r="W747" t="s">
        <v>40984</v>
      </c>
      <c r="X747" t="s">
        <v>44762</v>
      </c>
    </row>
    <row r="748" spans="1:24">
      <c r="A748">
        <f>HYPERLINK("https://www.philgeps.gov.ph/GEPSNONPILOT/Tender/SplashBidNoticeAbstractUI.aspx?menuIndex=3&amp;refID=7152843&amp;Result=3","7152843")</f>
        <v>0</v>
      </c>
      <c r="B748" t="s">
        <v>380</v>
      </c>
      <c r="C748" t="s">
        <v>4491</v>
      </c>
      <c r="D748" t="s">
        <v>18003</v>
      </c>
      <c r="E748" t="s">
        <v>18765</v>
      </c>
      <c r="F748" t="s">
        <v>30900</v>
      </c>
      <c r="G748" t="s">
        <v>30908</v>
      </c>
      <c r="H748" t="s">
        <v>30916</v>
      </c>
      <c r="I748" t="s">
        <v>30942</v>
      </c>
      <c r="J748" t="s">
        <v>31647</v>
      </c>
      <c r="K748" t="s">
        <v>40287</v>
      </c>
      <c r="M748" t="s">
        <v>40934</v>
      </c>
      <c r="N748" t="s">
        <v>44759</v>
      </c>
      <c r="O748" t="s">
        <v>44760</v>
      </c>
      <c r="P748">
        <v>0</v>
      </c>
      <c r="Q748">
        <v>0</v>
      </c>
      <c r="R748" t="s">
        <v>44761</v>
      </c>
      <c r="S748" t="s">
        <v>44862</v>
      </c>
      <c r="T748" t="s">
        <v>46373</v>
      </c>
      <c r="U748" t="s">
        <v>47553</v>
      </c>
      <c r="W748" t="s">
        <v>40934</v>
      </c>
      <c r="X748" t="s">
        <v>44762</v>
      </c>
    </row>
    <row r="749" spans="1:24">
      <c r="A749">
        <f>HYPERLINK("https://www.philgeps.gov.ph/GEPSNONPILOT/Tender/SplashBidNoticeAbstractUI.aspx?menuIndex=3&amp;refID=7152865&amp;Result=3","7152865")</f>
        <v>0</v>
      </c>
      <c r="B749" t="s">
        <v>428</v>
      </c>
      <c r="C749" t="s">
        <v>4492</v>
      </c>
      <c r="D749" t="s">
        <v>18025</v>
      </c>
      <c r="E749" t="s">
        <v>18766</v>
      </c>
      <c r="F749" t="s">
        <v>30900</v>
      </c>
      <c r="G749" t="s">
        <v>30908</v>
      </c>
      <c r="H749" t="s">
        <v>30916</v>
      </c>
      <c r="I749" t="s">
        <v>5830</v>
      </c>
      <c r="J749" t="s">
        <v>31648</v>
      </c>
      <c r="K749" t="s">
        <v>40289</v>
      </c>
      <c r="M749" t="s">
        <v>40985</v>
      </c>
      <c r="N749" t="s">
        <v>44759</v>
      </c>
      <c r="O749" t="s">
        <v>44760</v>
      </c>
      <c r="P749">
        <v>0</v>
      </c>
      <c r="Q749">
        <v>0</v>
      </c>
      <c r="R749" t="s">
        <v>44761</v>
      </c>
      <c r="S749" t="s">
        <v>44862</v>
      </c>
      <c r="T749" t="s">
        <v>46420</v>
      </c>
      <c r="U749" t="s">
        <v>47637</v>
      </c>
      <c r="W749" t="s">
        <v>40985</v>
      </c>
      <c r="X749" t="s">
        <v>44762</v>
      </c>
    </row>
    <row r="750" spans="1:24">
      <c r="A750">
        <f>HYPERLINK("https://www.philgeps.gov.ph/GEPSNONPILOT/Tender/SplashBidNoticeAbstractUI.aspx?menuIndex=3&amp;refID=7152864&amp;Result=3","7152864")</f>
        <v>0</v>
      </c>
      <c r="B750" t="s">
        <v>429</v>
      </c>
      <c r="C750" t="s">
        <v>4493</v>
      </c>
      <c r="D750" t="s">
        <v>17957</v>
      </c>
      <c r="E750" t="s">
        <v>18094</v>
      </c>
      <c r="F750" t="s">
        <v>30904</v>
      </c>
      <c r="G750" t="s">
        <v>30909</v>
      </c>
      <c r="H750" t="s">
        <v>30916</v>
      </c>
      <c r="I750" t="s">
        <v>6396</v>
      </c>
      <c r="J750" t="s">
        <v>31649</v>
      </c>
      <c r="K750" t="s">
        <v>40289</v>
      </c>
      <c r="M750" t="s">
        <v>40986</v>
      </c>
      <c r="N750" t="s">
        <v>44759</v>
      </c>
      <c r="O750" t="s">
        <v>44760</v>
      </c>
      <c r="P750">
        <v>0</v>
      </c>
      <c r="Q750">
        <v>0</v>
      </c>
      <c r="R750" t="s">
        <v>44761</v>
      </c>
      <c r="S750" t="s">
        <v>44862</v>
      </c>
      <c r="T750" t="s">
        <v>46457</v>
      </c>
      <c r="U750" t="s">
        <v>47638</v>
      </c>
      <c r="W750" t="s">
        <v>40986</v>
      </c>
      <c r="X750" t="s">
        <v>44762</v>
      </c>
    </row>
    <row r="751" spans="1:24">
      <c r="A751">
        <f>HYPERLINK("https://www.philgeps.gov.ph/GEPSNONPILOT/Tender/SplashBidNoticeAbstractUI.aspx?menuIndex=3&amp;refID=7152863&amp;Result=3","7152863")</f>
        <v>0</v>
      </c>
      <c r="B751" t="s">
        <v>352</v>
      </c>
      <c r="C751" t="s">
        <v>4494</v>
      </c>
      <c r="D751" t="s">
        <v>17993</v>
      </c>
      <c r="E751" t="s">
        <v>18767</v>
      </c>
      <c r="F751" t="s">
        <v>30900</v>
      </c>
      <c r="G751" t="s">
        <v>30908</v>
      </c>
      <c r="H751" t="s">
        <v>30916</v>
      </c>
      <c r="I751" t="s">
        <v>11785</v>
      </c>
      <c r="J751" t="s">
        <v>31650</v>
      </c>
      <c r="K751" t="s">
        <v>40283</v>
      </c>
      <c r="M751" t="s">
        <v>40905</v>
      </c>
      <c r="N751" t="s">
        <v>44759</v>
      </c>
      <c r="O751" t="s">
        <v>44760</v>
      </c>
      <c r="P751">
        <v>0</v>
      </c>
      <c r="Q751">
        <v>0</v>
      </c>
      <c r="R751" t="s">
        <v>44761</v>
      </c>
      <c r="S751" t="s">
        <v>44862</v>
      </c>
      <c r="T751" t="s">
        <v>46399</v>
      </c>
      <c r="U751" t="s">
        <v>47639</v>
      </c>
      <c r="W751" t="s">
        <v>40905</v>
      </c>
      <c r="X751" t="s">
        <v>44762</v>
      </c>
    </row>
    <row r="752" spans="1:24">
      <c r="A752">
        <f>HYPERLINK("https://www.philgeps.gov.ph/GEPSNONPILOT/Tender/SplashBidNoticeAbstractUI.aspx?menuIndex=3&amp;refID=7152851&amp;Result=3","7152851")</f>
        <v>0</v>
      </c>
      <c r="B752" t="s">
        <v>430</v>
      </c>
      <c r="C752" t="s">
        <v>4289</v>
      </c>
      <c r="D752" t="s">
        <v>18000</v>
      </c>
      <c r="E752" t="s">
        <v>18768</v>
      </c>
      <c r="F752" t="s">
        <v>30899</v>
      </c>
      <c r="G752" t="s">
        <v>30908</v>
      </c>
      <c r="H752" t="s">
        <v>30916</v>
      </c>
      <c r="I752" t="s">
        <v>30921</v>
      </c>
      <c r="J752" t="s">
        <v>31651</v>
      </c>
      <c r="K752" t="s">
        <v>40287</v>
      </c>
      <c r="M752" t="s">
        <v>40987</v>
      </c>
      <c r="N752" t="s">
        <v>44759</v>
      </c>
      <c r="O752" t="s">
        <v>44760</v>
      </c>
      <c r="P752">
        <v>0</v>
      </c>
      <c r="Q752">
        <v>0</v>
      </c>
      <c r="R752" t="s">
        <v>44761</v>
      </c>
      <c r="S752" t="s">
        <v>44862</v>
      </c>
      <c r="T752" t="s">
        <v>46353</v>
      </c>
      <c r="U752" t="s">
        <v>47640</v>
      </c>
      <c r="V752" t="s">
        <v>59210</v>
      </c>
      <c r="W752" t="s">
        <v>40987</v>
      </c>
      <c r="X752" t="s">
        <v>44762</v>
      </c>
    </row>
    <row r="753" spans="1:24">
      <c r="A753">
        <f>HYPERLINK("https://www.philgeps.gov.ph/GEPSNONPILOT/Tender/SplashBidNoticeAbstractUI.aspx?menuIndex=3&amp;refID=7152861&amp;Result=3","7152861")</f>
        <v>0</v>
      </c>
      <c r="B753" t="s">
        <v>396</v>
      </c>
      <c r="C753" t="s">
        <v>4495</v>
      </c>
      <c r="D753" t="s">
        <v>17984</v>
      </c>
      <c r="E753" t="s">
        <v>18769</v>
      </c>
      <c r="F753" t="s">
        <v>30900</v>
      </c>
      <c r="G753" t="s">
        <v>30908</v>
      </c>
      <c r="H753" t="s">
        <v>30916</v>
      </c>
      <c r="I753" t="s">
        <v>4108</v>
      </c>
      <c r="J753" t="s">
        <v>31652</v>
      </c>
      <c r="K753" t="s">
        <v>40283</v>
      </c>
      <c r="M753" t="s">
        <v>40951</v>
      </c>
      <c r="N753" t="s">
        <v>44759</v>
      </c>
      <c r="O753" t="s">
        <v>44760</v>
      </c>
      <c r="P753">
        <v>0</v>
      </c>
      <c r="Q753">
        <v>0</v>
      </c>
      <c r="R753" t="s">
        <v>44761</v>
      </c>
      <c r="S753" t="s">
        <v>44862</v>
      </c>
      <c r="T753" t="s">
        <v>46376</v>
      </c>
      <c r="U753" t="s">
        <v>47582</v>
      </c>
      <c r="W753" t="s">
        <v>40951</v>
      </c>
      <c r="X753" t="s">
        <v>44762</v>
      </c>
    </row>
    <row r="754" spans="1:24">
      <c r="A754">
        <f>HYPERLINK("https://www.philgeps.gov.ph/GEPSNONPILOT/Tender/SplashBidNoticeAbstractUI.aspx?menuIndex=3&amp;refID=7152841&amp;Result=3","7152841")</f>
        <v>0</v>
      </c>
      <c r="B754" t="s">
        <v>402</v>
      </c>
      <c r="C754" t="s">
        <v>4496</v>
      </c>
      <c r="D754" t="s">
        <v>17982</v>
      </c>
      <c r="E754" t="s">
        <v>18770</v>
      </c>
      <c r="F754" t="s">
        <v>30900</v>
      </c>
      <c r="G754" t="s">
        <v>30907</v>
      </c>
      <c r="H754" t="s">
        <v>30915</v>
      </c>
      <c r="I754" t="s">
        <v>30919</v>
      </c>
      <c r="J754" t="s">
        <v>31653</v>
      </c>
      <c r="K754" t="s">
        <v>40304</v>
      </c>
      <c r="M754" t="s">
        <v>40957</v>
      </c>
      <c r="N754" t="s">
        <v>44759</v>
      </c>
      <c r="O754" t="s">
        <v>44760</v>
      </c>
      <c r="P754">
        <v>0</v>
      </c>
      <c r="Q754">
        <v>0</v>
      </c>
      <c r="R754" t="s">
        <v>44761</v>
      </c>
      <c r="S754" t="s">
        <v>44862</v>
      </c>
      <c r="T754" t="s">
        <v>46375</v>
      </c>
      <c r="U754" t="s">
        <v>47590</v>
      </c>
      <c r="W754" t="s">
        <v>40957</v>
      </c>
      <c r="X754" t="s">
        <v>44762</v>
      </c>
    </row>
    <row r="755" spans="1:24">
      <c r="A755">
        <f>HYPERLINK("https://www.philgeps.gov.ph/GEPSNONPILOT/Tender/SplashBidNoticeAbstractUI.aspx?menuIndex=3&amp;refID=7152842&amp;Result=3","7152842")</f>
        <v>0</v>
      </c>
      <c r="B755" t="s">
        <v>431</v>
      </c>
      <c r="C755" t="s">
        <v>4497</v>
      </c>
      <c r="D755" t="s">
        <v>17952</v>
      </c>
      <c r="E755" t="s">
        <v>18771</v>
      </c>
      <c r="F755" t="s">
        <v>30900</v>
      </c>
      <c r="G755" t="s">
        <v>30907</v>
      </c>
      <c r="H755" t="s">
        <v>30916</v>
      </c>
      <c r="I755" t="s">
        <v>30919</v>
      </c>
      <c r="J755" t="s">
        <v>31066</v>
      </c>
      <c r="K755" t="s">
        <v>40286</v>
      </c>
      <c r="M755" t="s">
        <v>40988</v>
      </c>
      <c r="N755" t="s">
        <v>44759</v>
      </c>
      <c r="O755" t="s">
        <v>44760</v>
      </c>
      <c r="P755">
        <v>0</v>
      </c>
      <c r="Q755">
        <v>0</v>
      </c>
      <c r="R755" t="s">
        <v>44761</v>
      </c>
      <c r="S755" t="s">
        <v>44862</v>
      </c>
      <c r="T755" t="s">
        <v>46352</v>
      </c>
      <c r="U755" t="s">
        <v>47641</v>
      </c>
      <c r="V755" t="s">
        <v>59211</v>
      </c>
      <c r="W755" t="s">
        <v>40988</v>
      </c>
      <c r="X755" t="s">
        <v>44762</v>
      </c>
    </row>
    <row r="756" spans="1:24">
      <c r="A756">
        <f>HYPERLINK("https://www.philgeps.gov.ph/GEPSNONPILOT/Tender/SplashBidNoticeAbstractUI.aspx?menuIndex=3&amp;refID=7152867&amp;Result=3","7152867")</f>
        <v>0</v>
      </c>
      <c r="B756" t="s">
        <v>143</v>
      </c>
      <c r="C756" t="s">
        <v>4498</v>
      </c>
      <c r="D756" t="s">
        <v>17965</v>
      </c>
      <c r="E756" t="s">
        <v>18772</v>
      </c>
      <c r="F756" t="s">
        <v>30900</v>
      </c>
      <c r="G756" t="s">
        <v>30907</v>
      </c>
      <c r="H756" t="s">
        <v>30915</v>
      </c>
      <c r="I756" t="s">
        <v>30919</v>
      </c>
      <c r="J756" t="s">
        <v>31654</v>
      </c>
      <c r="K756" t="s">
        <v>40284</v>
      </c>
      <c r="M756" t="s">
        <v>40854</v>
      </c>
      <c r="N756" t="s">
        <v>44759</v>
      </c>
      <c r="O756" t="s">
        <v>44760</v>
      </c>
      <c r="P756">
        <v>0</v>
      </c>
      <c r="Q756">
        <v>0</v>
      </c>
      <c r="R756" t="s">
        <v>44761</v>
      </c>
      <c r="S756" t="s">
        <v>44862</v>
      </c>
      <c r="T756" t="s">
        <v>46418</v>
      </c>
      <c r="U756" t="s">
        <v>47423</v>
      </c>
      <c r="W756" t="s">
        <v>40854</v>
      </c>
      <c r="X756" t="s">
        <v>44762</v>
      </c>
    </row>
    <row r="757" spans="1:24">
      <c r="A757">
        <f>HYPERLINK("https://www.philgeps.gov.ph/GEPSNONPILOT/Tender/SplashBidNoticeAbstractUI.aspx?menuIndex=3&amp;refID=7152838&amp;Result=3","7152838")</f>
        <v>0</v>
      </c>
      <c r="B757" t="s">
        <v>143</v>
      </c>
      <c r="C757" t="s">
        <v>4499</v>
      </c>
      <c r="D757" t="s">
        <v>17965</v>
      </c>
      <c r="E757" t="s">
        <v>18773</v>
      </c>
      <c r="F757" t="s">
        <v>30900</v>
      </c>
      <c r="G757" t="s">
        <v>30907</v>
      </c>
      <c r="H757" t="s">
        <v>30915</v>
      </c>
      <c r="I757" t="s">
        <v>30919</v>
      </c>
      <c r="J757" t="s">
        <v>31655</v>
      </c>
      <c r="K757" t="s">
        <v>40291</v>
      </c>
      <c r="M757" t="s">
        <v>40854</v>
      </c>
      <c r="N757" t="s">
        <v>44759</v>
      </c>
      <c r="O757" t="s">
        <v>44760</v>
      </c>
      <c r="P757">
        <v>0</v>
      </c>
      <c r="Q757">
        <v>0</v>
      </c>
      <c r="R757" t="s">
        <v>44761</v>
      </c>
      <c r="S757" t="s">
        <v>44862</v>
      </c>
      <c r="T757" t="s">
        <v>46418</v>
      </c>
      <c r="U757" t="s">
        <v>47423</v>
      </c>
      <c r="W757" t="s">
        <v>40854</v>
      </c>
      <c r="X757" t="s">
        <v>44762</v>
      </c>
    </row>
    <row r="758" spans="1:24">
      <c r="A758">
        <f>HYPERLINK("https://www.philgeps.gov.ph/GEPSNONPILOT/Tender/SplashBidNoticeAbstractUI.aspx?menuIndex=3&amp;refID=7152884&amp;Result=3","7152884")</f>
        <v>0</v>
      </c>
      <c r="B758" t="s">
        <v>432</v>
      </c>
      <c r="C758" t="s">
        <v>4500</v>
      </c>
      <c r="D758" t="s">
        <v>17955</v>
      </c>
      <c r="E758" t="s">
        <v>18774</v>
      </c>
      <c r="F758" t="s">
        <v>30900</v>
      </c>
      <c r="G758" t="s">
        <v>30907</v>
      </c>
      <c r="H758" t="s">
        <v>30916</v>
      </c>
      <c r="I758" t="s">
        <v>8365</v>
      </c>
      <c r="J758" t="s">
        <v>31656</v>
      </c>
      <c r="K758" t="s">
        <v>40283</v>
      </c>
      <c r="M758" t="s">
        <v>40989</v>
      </c>
      <c r="N758" t="s">
        <v>44759</v>
      </c>
      <c r="O758" t="s">
        <v>44760</v>
      </c>
      <c r="P758">
        <v>0</v>
      </c>
      <c r="Q758">
        <v>0</v>
      </c>
      <c r="R758" t="s">
        <v>44761</v>
      </c>
      <c r="S758" t="s">
        <v>44862</v>
      </c>
      <c r="T758" t="s">
        <v>46377</v>
      </c>
      <c r="U758" t="s">
        <v>47642</v>
      </c>
      <c r="V758" t="s">
        <v>59212</v>
      </c>
      <c r="W758" t="s">
        <v>40989</v>
      </c>
      <c r="X758" t="s">
        <v>44762</v>
      </c>
    </row>
    <row r="759" spans="1:24">
      <c r="A759">
        <f>HYPERLINK("https://www.philgeps.gov.ph/GEPSNONPILOT/Tender/SplashBidNoticeAbstractUI.aspx?menuIndex=3&amp;refID=7152883&amp;Result=3","7152883")</f>
        <v>0</v>
      </c>
      <c r="B759" t="s">
        <v>334</v>
      </c>
      <c r="C759" t="s">
        <v>4501</v>
      </c>
      <c r="D759" t="s">
        <v>17957</v>
      </c>
      <c r="E759" t="s">
        <v>18775</v>
      </c>
      <c r="F759" t="s">
        <v>30900</v>
      </c>
      <c r="G759" t="s">
        <v>30908</v>
      </c>
      <c r="H759" t="s">
        <v>30916</v>
      </c>
      <c r="I759" t="s">
        <v>6408</v>
      </c>
      <c r="J759" t="s">
        <v>31657</v>
      </c>
      <c r="K759" t="s">
        <v>40291</v>
      </c>
      <c r="M759" t="s">
        <v>40885</v>
      </c>
      <c r="N759" t="s">
        <v>44759</v>
      </c>
      <c r="O759" t="s">
        <v>44760</v>
      </c>
      <c r="P759">
        <v>0</v>
      </c>
      <c r="Q759">
        <v>0</v>
      </c>
      <c r="R759" t="s">
        <v>44761</v>
      </c>
      <c r="S759" t="s">
        <v>44862</v>
      </c>
      <c r="T759" t="s">
        <v>46362</v>
      </c>
      <c r="U759" t="s">
        <v>47475</v>
      </c>
      <c r="W759" t="s">
        <v>40885</v>
      </c>
      <c r="X759" t="s">
        <v>44762</v>
      </c>
    </row>
    <row r="760" spans="1:24">
      <c r="A760">
        <f>HYPERLINK("https://www.philgeps.gov.ph/GEPSNONPILOT/Tender/SplashBidNoticeAbstractUI.aspx?menuIndex=3&amp;refID=7152858&amp;Result=3","7152858")</f>
        <v>0</v>
      </c>
      <c r="B760" t="s">
        <v>433</v>
      </c>
      <c r="C760" t="s">
        <v>4502</v>
      </c>
      <c r="D760" t="s">
        <v>17977</v>
      </c>
      <c r="E760" t="s">
        <v>18776</v>
      </c>
      <c r="F760" t="s">
        <v>30900</v>
      </c>
      <c r="G760" t="s">
        <v>30908</v>
      </c>
      <c r="H760" t="s">
        <v>30916</v>
      </c>
      <c r="I760" t="s">
        <v>30941</v>
      </c>
      <c r="J760" t="s">
        <v>31211</v>
      </c>
      <c r="K760" t="s">
        <v>40287</v>
      </c>
      <c r="M760" t="s">
        <v>40990</v>
      </c>
      <c r="N760" t="s">
        <v>44759</v>
      </c>
      <c r="O760" t="s">
        <v>44760</v>
      </c>
      <c r="P760">
        <v>0</v>
      </c>
      <c r="Q760">
        <v>0</v>
      </c>
      <c r="R760" t="s">
        <v>44761</v>
      </c>
      <c r="S760" t="s">
        <v>44862</v>
      </c>
      <c r="T760" t="s">
        <v>46356</v>
      </c>
      <c r="U760" t="s">
        <v>47643</v>
      </c>
      <c r="W760" t="s">
        <v>40990</v>
      </c>
      <c r="X760" t="s">
        <v>44762</v>
      </c>
    </row>
    <row r="761" spans="1:24">
      <c r="A761">
        <f>HYPERLINK("https://www.philgeps.gov.ph/GEPSNONPILOT/Tender/SplashBidNoticeAbstractUI.aspx?menuIndex=3&amp;refID=7152880&amp;Result=3","7152880")</f>
        <v>0</v>
      </c>
      <c r="B761" t="s">
        <v>380</v>
      </c>
      <c r="C761" t="s">
        <v>4503</v>
      </c>
      <c r="D761" t="s">
        <v>18003</v>
      </c>
      <c r="E761" t="s">
        <v>18777</v>
      </c>
      <c r="F761" t="s">
        <v>30900</v>
      </c>
      <c r="G761" t="s">
        <v>30908</v>
      </c>
      <c r="H761" t="s">
        <v>30916</v>
      </c>
      <c r="I761" t="s">
        <v>5830</v>
      </c>
      <c r="J761" t="s">
        <v>31658</v>
      </c>
      <c r="K761" t="s">
        <v>40287</v>
      </c>
      <c r="M761" t="s">
        <v>40934</v>
      </c>
      <c r="N761" t="s">
        <v>44759</v>
      </c>
      <c r="O761" t="s">
        <v>44760</v>
      </c>
      <c r="P761">
        <v>0</v>
      </c>
      <c r="Q761">
        <v>0</v>
      </c>
      <c r="R761" t="s">
        <v>44761</v>
      </c>
      <c r="S761" t="s">
        <v>44862</v>
      </c>
      <c r="T761" t="s">
        <v>46373</v>
      </c>
      <c r="U761" t="s">
        <v>47553</v>
      </c>
      <c r="W761" t="s">
        <v>40934</v>
      </c>
      <c r="X761" t="s">
        <v>44762</v>
      </c>
    </row>
    <row r="762" spans="1:24">
      <c r="A762">
        <f>HYPERLINK("https://www.philgeps.gov.ph/GEPSNONPILOT/Tender/SplashBidNoticeAbstractUI.aspx?menuIndex=3&amp;refID=7152868&amp;Result=3","7152868")</f>
        <v>0</v>
      </c>
      <c r="B762" t="s">
        <v>434</v>
      </c>
      <c r="C762" t="s">
        <v>4504</v>
      </c>
      <c r="D762" t="s">
        <v>17978</v>
      </c>
      <c r="E762" t="s">
        <v>18778</v>
      </c>
      <c r="F762" t="s">
        <v>30900</v>
      </c>
      <c r="G762" t="s">
        <v>30908</v>
      </c>
      <c r="H762" t="s">
        <v>30916</v>
      </c>
      <c r="I762" t="s">
        <v>6953</v>
      </c>
      <c r="J762" t="s">
        <v>31659</v>
      </c>
      <c r="K762" t="s">
        <v>40289</v>
      </c>
      <c r="M762" t="s">
        <v>40991</v>
      </c>
      <c r="N762" t="s">
        <v>44759</v>
      </c>
      <c r="O762" t="s">
        <v>44760</v>
      </c>
      <c r="P762">
        <v>0</v>
      </c>
      <c r="Q762">
        <v>0</v>
      </c>
      <c r="R762" t="s">
        <v>44761</v>
      </c>
      <c r="S762" t="s">
        <v>44862</v>
      </c>
      <c r="T762" t="s">
        <v>46399</v>
      </c>
      <c r="U762" t="s">
        <v>47644</v>
      </c>
      <c r="W762" t="s">
        <v>40991</v>
      </c>
      <c r="X762" t="s">
        <v>44762</v>
      </c>
    </row>
    <row r="763" spans="1:24">
      <c r="A763">
        <f>HYPERLINK("https://www.philgeps.gov.ph/GEPSNONPILOT/Tender/SplashBidNoticeAbstractUI.aspx?menuIndex=3&amp;refID=7152853&amp;Result=3","7152853")</f>
        <v>0</v>
      </c>
      <c r="B763" t="s">
        <v>404</v>
      </c>
      <c r="C763" t="s">
        <v>4505</v>
      </c>
      <c r="D763" t="s">
        <v>17976</v>
      </c>
      <c r="E763" t="s">
        <v>18387</v>
      </c>
      <c r="F763" t="s">
        <v>30900</v>
      </c>
      <c r="G763" t="s">
        <v>30908</v>
      </c>
      <c r="H763" t="s">
        <v>30916</v>
      </c>
      <c r="I763" t="s">
        <v>30974</v>
      </c>
      <c r="J763" t="s">
        <v>31660</v>
      </c>
      <c r="K763" t="s">
        <v>40289</v>
      </c>
      <c r="M763" t="s">
        <v>40959</v>
      </c>
      <c r="N763" t="s">
        <v>44759</v>
      </c>
      <c r="O763" t="s">
        <v>44760</v>
      </c>
      <c r="P763">
        <v>0</v>
      </c>
      <c r="Q763">
        <v>0</v>
      </c>
      <c r="R763" t="s">
        <v>44761</v>
      </c>
      <c r="S763" t="s">
        <v>44862</v>
      </c>
      <c r="T763" t="s">
        <v>46382</v>
      </c>
      <c r="U763" t="s">
        <v>47645</v>
      </c>
      <c r="W763" t="s">
        <v>40959</v>
      </c>
      <c r="X763" t="s">
        <v>44762</v>
      </c>
    </row>
    <row r="764" spans="1:24">
      <c r="A764">
        <f>HYPERLINK("https://www.philgeps.gov.ph/GEPSNONPILOT/Tender/SplashBidNoticeAbstractUI.aspx?menuIndex=3&amp;refID=7152891&amp;Result=3","7152891")</f>
        <v>0</v>
      </c>
      <c r="B764" t="s">
        <v>370</v>
      </c>
      <c r="C764" t="s">
        <v>4506</v>
      </c>
      <c r="D764" t="s">
        <v>17981</v>
      </c>
      <c r="E764" t="s">
        <v>18779</v>
      </c>
      <c r="F764" t="s">
        <v>30900</v>
      </c>
      <c r="G764" t="s">
        <v>30908</v>
      </c>
      <c r="H764" t="s">
        <v>30916</v>
      </c>
      <c r="I764" t="s">
        <v>6746</v>
      </c>
      <c r="J764" t="s">
        <v>31661</v>
      </c>
      <c r="K764" t="s">
        <v>40289</v>
      </c>
      <c r="M764" t="s">
        <v>40924</v>
      </c>
      <c r="N764" t="s">
        <v>44759</v>
      </c>
      <c r="O764" t="s">
        <v>44760</v>
      </c>
      <c r="P764">
        <v>0</v>
      </c>
      <c r="Q764">
        <v>0</v>
      </c>
      <c r="R764" t="s">
        <v>44761</v>
      </c>
      <c r="S764" t="s">
        <v>44862</v>
      </c>
      <c r="T764" t="s">
        <v>46399</v>
      </c>
      <c r="U764" t="s">
        <v>47534</v>
      </c>
      <c r="W764" t="s">
        <v>40924</v>
      </c>
      <c r="X764" t="s">
        <v>44762</v>
      </c>
    </row>
    <row r="765" spans="1:24">
      <c r="A765">
        <f>HYPERLINK("https://www.philgeps.gov.ph/GEPSNONPILOT/Tender/SplashBidNoticeAbstractUI.aspx?menuIndex=3&amp;refID=7152881&amp;Result=3","7152881")</f>
        <v>0</v>
      </c>
      <c r="B765" t="s">
        <v>292</v>
      </c>
      <c r="C765" t="s">
        <v>4507</v>
      </c>
      <c r="D765" t="s">
        <v>17963</v>
      </c>
      <c r="E765" t="s">
        <v>18780</v>
      </c>
      <c r="F765" t="s">
        <v>30900</v>
      </c>
      <c r="G765" t="s">
        <v>30910</v>
      </c>
      <c r="H765" t="s">
        <v>30916</v>
      </c>
      <c r="I765" t="s">
        <v>30924</v>
      </c>
      <c r="J765" t="s">
        <v>31662</v>
      </c>
      <c r="K765" t="s">
        <v>40289</v>
      </c>
      <c r="M765" t="s">
        <v>40840</v>
      </c>
      <c r="N765" t="s">
        <v>44759</v>
      </c>
      <c r="O765" t="s">
        <v>44760</v>
      </c>
      <c r="P765">
        <v>0</v>
      </c>
      <c r="Q765">
        <v>0</v>
      </c>
      <c r="R765" t="s">
        <v>44761</v>
      </c>
      <c r="S765" t="s">
        <v>44862</v>
      </c>
      <c r="T765" t="s">
        <v>46376</v>
      </c>
      <c r="U765" t="s">
        <v>47646</v>
      </c>
      <c r="W765" t="s">
        <v>40840</v>
      </c>
      <c r="X765" t="s">
        <v>44762</v>
      </c>
    </row>
    <row r="766" spans="1:24">
      <c r="A766">
        <f>HYPERLINK("https://www.philgeps.gov.ph/GEPSNONPILOT/Tender/SplashBidNoticeAbstractUI.aspx?menuIndex=3&amp;refID=7152890&amp;Result=3","7152890")</f>
        <v>0</v>
      </c>
      <c r="B766" t="s">
        <v>435</v>
      </c>
      <c r="C766" t="s">
        <v>4508</v>
      </c>
      <c r="D766" t="s">
        <v>18002</v>
      </c>
      <c r="E766" t="s">
        <v>18304</v>
      </c>
      <c r="F766" t="s">
        <v>30900</v>
      </c>
      <c r="G766" t="s">
        <v>30908</v>
      </c>
      <c r="H766" t="s">
        <v>30916</v>
      </c>
      <c r="I766" t="s">
        <v>10847</v>
      </c>
      <c r="J766" t="s">
        <v>31663</v>
      </c>
      <c r="K766" t="s">
        <v>40281</v>
      </c>
      <c r="M766" t="s">
        <v>40992</v>
      </c>
      <c r="N766" t="s">
        <v>44759</v>
      </c>
      <c r="O766" t="s">
        <v>44760</v>
      </c>
      <c r="P766">
        <v>0</v>
      </c>
      <c r="Q766">
        <v>0</v>
      </c>
      <c r="R766" t="s">
        <v>44761</v>
      </c>
      <c r="S766" t="s">
        <v>44862</v>
      </c>
      <c r="T766" t="s">
        <v>46485</v>
      </c>
      <c r="U766" t="s">
        <v>47647</v>
      </c>
      <c r="W766" t="s">
        <v>40992</v>
      </c>
      <c r="X766" t="s">
        <v>44762</v>
      </c>
    </row>
    <row r="767" spans="1:24">
      <c r="A767">
        <f>HYPERLINK("https://www.philgeps.gov.ph/GEPSNONPILOT/Tender/SplashBidNoticeAbstractUI.aspx?menuIndex=3&amp;refID=7152887&amp;Result=3","7152887")</f>
        <v>0</v>
      </c>
      <c r="B767" t="s">
        <v>436</v>
      </c>
      <c r="C767" t="s">
        <v>4509</v>
      </c>
      <c r="D767" t="s">
        <v>17952</v>
      </c>
      <c r="E767" t="s">
        <v>18781</v>
      </c>
      <c r="F767" t="s">
        <v>30900</v>
      </c>
      <c r="G767" t="s">
        <v>30907</v>
      </c>
      <c r="H767" t="s">
        <v>30916</v>
      </c>
      <c r="I767" t="s">
        <v>6834</v>
      </c>
      <c r="J767" t="s">
        <v>31664</v>
      </c>
      <c r="K767" t="s">
        <v>40286</v>
      </c>
      <c r="M767" t="s">
        <v>40993</v>
      </c>
      <c r="N767" t="s">
        <v>44759</v>
      </c>
      <c r="O767" t="s">
        <v>44760</v>
      </c>
      <c r="P767">
        <v>0</v>
      </c>
      <c r="Q767">
        <v>0</v>
      </c>
      <c r="R767" t="s">
        <v>44761</v>
      </c>
      <c r="S767" t="s">
        <v>44862</v>
      </c>
      <c r="T767" t="s">
        <v>46353</v>
      </c>
      <c r="U767" t="s">
        <v>47648</v>
      </c>
      <c r="V767" t="s">
        <v>59213</v>
      </c>
      <c r="W767" t="s">
        <v>40993</v>
      </c>
      <c r="X767" t="s">
        <v>44762</v>
      </c>
    </row>
    <row r="768" spans="1:24">
      <c r="A768">
        <f>HYPERLINK("https://www.philgeps.gov.ph/GEPSNONPILOT/Tender/SplashBidNoticeAbstractUI.aspx?menuIndex=3&amp;refID=7152878&amp;Result=3","7152878")</f>
        <v>0</v>
      </c>
      <c r="B768" t="s">
        <v>437</v>
      </c>
      <c r="C768" t="s">
        <v>4510</v>
      </c>
      <c r="D768" t="s">
        <v>17961</v>
      </c>
      <c r="E768" t="s">
        <v>18782</v>
      </c>
      <c r="F768" t="s">
        <v>30900</v>
      </c>
      <c r="G768" t="s">
        <v>30908</v>
      </c>
      <c r="H768" t="s">
        <v>30916</v>
      </c>
      <c r="I768" t="s">
        <v>8123</v>
      </c>
      <c r="J768" t="s">
        <v>31665</v>
      </c>
      <c r="K768" t="s">
        <v>40285</v>
      </c>
      <c r="M768" t="s">
        <v>40994</v>
      </c>
      <c r="N768" t="s">
        <v>44759</v>
      </c>
      <c r="O768" t="s">
        <v>44760</v>
      </c>
      <c r="P768">
        <v>0</v>
      </c>
      <c r="Q768">
        <v>0</v>
      </c>
      <c r="R768" t="s">
        <v>44761</v>
      </c>
      <c r="S768" t="s">
        <v>44862</v>
      </c>
      <c r="T768" t="s">
        <v>46376</v>
      </c>
      <c r="U768" t="s">
        <v>47649</v>
      </c>
      <c r="W768" t="s">
        <v>40994</v>
      </c>
      <c r="X768" t="s">
        <v>44762</v>
      </c>
    </row>
    <row r="769" spans="1:24">
      <c r="A769">
        <f>HYPERLINK("https://www.philgeps.gov.ph/GEPSNONPILOT/Tender/SplashBidNoticeAbstractUI.aspx?menuIndex=3&amp;refID=7152885&amp;Result=3","7152885")</f>
        <v>0</v>
      </c>
      <c r="B769" t="s">
        <v>408</v>
      </c>
      <c r="C769" t="s">
        <v>4511</v>
      </c>
      <c r="E769" t="s">
        <v>18783</v>
      </c>
      <c r="F769" t="s">
        <v>30900</v>
      </c>
      <c r="G769" t="s">
        <v>30906</v>
      </c>
      <c r="H769" t="s">
        <v>30916</v>
      </c>
      <c r="I769" t="s">
        <v>6953</v>
      </c>
      <c r="J769" t="s">
        <v>31666</v>
      </c>
      <c r="K769" t="s">
        <v>40289</v>
      </c>
      <c r="M769" t="s">
        <v>40964</v>
      </c>
      <c r="N769" t="s">
        <v>44759</v>
      </c>
      <c r="O769" t="s">
        <v>44760</v>
      </c>
      <c r="P769">
        <v>0</v>
      </c>
      <c r="Q769">
        <v>0</v>
      </c>
      <c r="R769" t="s">
        <v>44761</v>
      </c>
      <c r="S769" t="s">
        <v>44862</v>
      </c>
      <c r="T769" t="s">
        <v>46484</v>
      </c>
      <c r="U769" t="s">
        <v>47650</v>
      </c>
      <c r="W769" t="s">
        <v>40964</v>
      </c>
      <c r="X769" t="s">
        <v>44762</v>
      </c>
    </row>
    <row r="770" spans="1:24">
      <c r="A770">
        <f>HYPERLINK("https://www.philgeps.gov.ph/GEPSNONPILOT/Tender/SplashBidNoticeAbstractUI.aspx?menuIndex=3&amp;refID=7152874&amp;Result=3","7152874")</f>
        <v>0</v>
      </c>
      <c r="B770" t="s">
        <v>438</v>
      </c>
      <c r="C770" t="s">
        <v>4512</v>
      </c>
      <c r="D770" t="s">
        <v>18027</v>
      </c>
      <c r="E770" t="s">
        <v>18784</v>
      </c>
      <c r="F770" t="s">
        <v>30900</v>
      </c>
      <c r="G770" t="s">
        <v>30907</v>
      </c>
      <c r="H770" t="s">
        <v>30916</v>
      </c>
      <c r="I770" t="s">
        <v>30949</v>
      </c>
      <c r="J770" t="s">
        <v>31398</v>
      </c>
      <c r="K770" t="s">
        <v>40287</v>
      </c>
      <c r="M770" t="s">
        <v>40995</v>
      </c>
      <c r="N770" t="s">
        <v>44759</v>
      </c>
      <c r="O770" t="s">
        <v>44760</v>
      </c>
      <c r="P770">
        <v>0</v>
      </c>
      <c r="Q770">
        <v>0</v>
      </c>
      <c r="R770" t="s">
        <v>44761</v>
      </c>
      <c r="S770" t="s">
        <v>44862</v>
      </c>
      <c r="T770" t="s">
        <v>46486</v>
      </c>
      <c r="U770" t="s">
        <v>47651</v>
      </c>
      <c r="W770" t="s">
        <v>40995</v>
      </c>
      <c r="X770" t="s">
        <v>44762</v>
      </c>
    </row>
    <row r="771" spans="1:24">
      <c r="A771">
        <f>HYPERLINK("https://www.philgeps.gov.ph/GEPSNONPILOT/Tender/SplashBidNoticeAbstractUI.aspx?menuIndex=3&amp;refID=7152844&amp;Result=3","7152844")</f>
        <v>0</v>
      </c>
      <c r="B771" t="s">
        <v>439</v>
      </c>
      <c r="C771" t="s">
        <v>4513</v>
      </c>
      <c r="D771" t="s">
        <v>18019</v>
      </c>
      <c r="E771" t="s">
        <v>18785</v>
      </c>
      <c r="F771" t="s">
        <v>30900</v>
      </c>
      <c r="G771" t="s">
        <v>30908</v>
      </c>
      <c r="H771" t="s">
        <v>30916</v>
      </c>
      <c r="I771" t="s">
        <v>30923</v>
      </c>
      <c r="J771" t="s">
        <v>31667</v>
      </c>
      <c r="K771" t="s">
        <v>40289</v>
      </c>
      <c r="M771" t="s">
        <v>40996</v>
      </c>
      <c r="N771" t="s">
        <v>44759</v>
      </c>
      <c r="O771" t="s">
        <v>44760</v>
      </c>
      <c r="P771">
        <v>0</v>
      </c>
      <c r="Q771">
        <v>0</v>
      </c>
      <c r="R771" t="s">
        <v>44761</v>
      </c>
      <c r="S771" t="s">
        <v>44862</v>
      </c>
      <c r="T771" t="s">
        <v>46400</v>
      </c>
      <c r="U771" t="s">
        <v>47652</v>
      </c>
      <c r="V771" t="s">
        <v>59200</v>
      </c>
      <c r="W771" t="s">
        <v>40996</v>
      </c>
      <c r="X771" t="s">
        <v>44762</v>
      </c>
    </row>
    <row r="772" spans="1:24">
      <c r="A772">
        <f>HYPERLINK("https://www.philgeps.gov.ph/GEPSNONPILOT/Tender/SplashBidNoticeAbstractUI.aspx?menuIndex=3&amp;refID=7152872&amp;Result=3","7152872")</f>
        <v>0</v>
      </c>
      <c r="B772" t="s">
        <v>404</v>
      </c>
      <c r="C772" t="s">
        <v>4514</v>
      </c>
      <c r="D772" t="s">
        <v>17976</v>
      </c>
      <c r="E772" t="s">
        <v>18786</v>
      </c>
      <c r="F772" t="s">
        <v>30900</v>
      </c>
      <c r="G772" t="s">
        <v>30908</v>
      </c>
      <c r="H772" t="s">
        <v>30916</v>
      </c>
      <c r="I772" t="s">
        <v>30975</v>
      </c>
      <c r="J772" t="s">
        <v>31058</v>
      </c>
      <c r="K772" t="s">
        <v>40289</v>
      </c>
      <c r="M772" t="s">
        <v>40959</v>
      </c>
      <c r="N772" t="s">
        <v>44759</v>
      </c>
      <c r="O772" t="s">
        <v>44760</v>
      </c>
      <c r="P772">
        <v>0</v>
      </c>
      <c r="Q772">
        <v>0</v>
      </c>
      <c r="R772" t="s">
        <v>44761</v>
      </c>
      <c r="S772" t="s">
        <v>44862</v>
      </c>
      <c r="T772" t="s">
        <v>46382</v>
      </c>
      <c r="U772" t="s">
        <v>47653</v>
      </c>
      <c r="W772" t="s">
        <v>40959</v>
      </c>
      <c r="X772" t="s">
        <v>44762</v>
      </c>
    </row>
    <row r="773" spans="1:24">
      <c r="A773">
        <f>HYPERLINK("https://www.philgeps.gov.ph/GEPSNONPILOT/Tender/SplashBidNoticeAbstractUI.aspx?menuIndex=3&amp;refID=7152879&amp;Result=3","7152879")</f>
        <v>0</v>
      </c>
      <c r="B773" t="s">
        <v>440</v>
      </c>
      <c r="C773" t="s">
        <v>4515</v>
      </c>
      <c r="D773" t="s">
        <v>17974</v>
      </c>
      <c r="E773" t="s">
        <v>18405</v>
      </c>
      <c r="F773" t="s">
        <v>30900</v>
      </c>
      <c r="G773" t="s">
        <v>30910</v>
      </c>
      <c r="H773" t="s">
        <v>30916</v>
      </c>
      <c r="I773" t="s">
        <v>6396</v>
      </c>
      <c r="J773" t="s">
        <v>31668</v>
      </c>
      <c r="K773" t="s">
        <v>40289</v>
      </c>
      <c r="M773" t="s">
        <v>40997</v>
      </c>
      <c r="N773" t="s">
        <v>44759</v>
      </c>
      <c r="O773" t="s">
        <v>44760</v>
      </c>
      <c r="P773">
        <v>0</v>
      </c>
      <c r="Q773">
        <v>0</v>
      </c>
      <c r="R773" t="s">
        <v>44761</v>
      </c>
      <c r="S773" t="s">
        <v>44862</v>
      </c>
      <c r="T773" t="s">
        <v>46390</v>
      </c>
      <c r="U773" t="s">
        <v>47654</v>
      </c>
      <c r="W773" t="s">
        <v>40997</v>
      </c>
      <c r="X773" t="s">
        <v>44762</v>
      </c>
    </row>
    <row r="774" spans="1:24">
      <c r="A774">
        <f>HYPERLINK("https://www.philgeps.gov.ph/GEPSNONPILOT/Tender/SplashBidNoticeAbstractUI.aspx?menuIndex=3&amp;refID=7152888&amp;Result=3","7152888")</f>
        <v>0</v>
      </c>
      <c r="B774" t="s">
        <v>441</v>
      </c>
      <c r="C774" t="s">
        <v>4516</v>
      </c>
      <c r="D774" t="s">
        <v>17970</v>
      </c>
      <c r="E774" t="s">
        <v>18787</v>
      </c>
      <c r="F774" t="s">
        <v>30900</v>
      </c>
      <c r="G774" t="s">
        <v>30907</v>
      </c>
      <c r="H774" t="s">
        <v>30916</v>
      </c>
      <c r="I774" t="s">
        <v>6834</v>
      </c>
      <c r="J774" t="s">
        <v>31105</v>
      </c>
      <c r="K774" t="s">
        <v>40283</v>
      </c>
      <c r="M774" t="s">
        <v>40998</v>
      </c>
      <c r="N774" t="s">
        <v>44759</v>
      </c>
      <c r="O774" t="s">
        <v>44760</v>
      </c>
      <c r="P774">
        <v>0</v>
      </c>
      <c r="Q774">
        <v>0</v>
      </c>
      <c r="R774" t="s">
        <v>44761</v>
      </c>
      <c r="S774" t="s">
        <v>44862</v>
      </c>
      <c r="T774" t="s">
        <v>46350</v>
      </c>
      <c r="U774" t="s">
        <v>47655</v>
      </c>
      <c r="W774" t="s">
        <v>40998</v>
      </c>
      <c r="X774" t="s">
        <v>44762</v>
      </c>
    </row>
    <row r="775" spans="1:24">
      <c r="A775">
        <f>HYPERLINK("https://www.philgeps.gov.ph/GEPSNONPILOT/Tender/SplashBidNoticeAbstractUI.aspx?menuIndex=3&amp;refID=7152876&amp;Result=3","7152876")</f>
        <v>0</v>
      </c>
      <c r="B775" t="s">
        <v>442</v>
      </c>
      <c r="C775" t="s">
        <v>4517</v>
      </c>
      <c r="D775" t="s">
        <v>17994</v>
      </c>
      <c r="E775" t="s">
        <v>18788</v>
      </c>
      <c r="F775" t="s">
        <v>30900</v>
      </c>
      <c r="G775" t="s">
        <v>30909</v>
      </c>
      <c r="H775" t="s">
        <v>30916</v>
      </c>
      <c r="I775" t="s">
        <v>9385</v>
      </c>
      <c r="J775" t="s">
        <v>31669</v>
      </c>
      <c r="K775" t="s">
        <v>40286</v>
      </c>
      <c r="M775" t="s">
        <v>40999</v>
      </c>
      <c r="N775" t="s">
        <v>44759</v>
      </c>
      <c r="O775" t="s">
        <v>44760</v>
      </c>
      <c r="P775">
        <v>0</v>
      </c>
      <c r="Q775">
        <v>1</v>
      </c>
      <c r="R775" t="s">
        <v>44761</v>
      </c>
      <c r="S775" t="s">
        <v>44862</v>
      </c>
      <c r="T775" t="s">
        <v>46393</v>
      </c>
      <c r="U775" t="s">
        <v>47656</v>
      </c>
      <c r="W775" t="s">
        <v>40999</v>
      </c>
      <c r="X775" t="s">
        <v>44762</v>
      </c>
    </row>
    <row r="776" spans="1:24">
      <c r="A776">
        <f>HYPERLINK("https://www.philgeps.gov.ph/GEPSNONPILOT/Tender/SplashBidNoticeAbstractUI.aspx?menuIndex=3&amp;refID=7152873&amp;Result=3","7152873")</f>
        <v>0</v>
      </c>
      <c r="B776" t="s">
        <v>443</v>
      </c>
      <c r="C776" t="s">
        <v>4518</v>
      </c>
      <c r="D776" t="s">
        <v>17984</v>
      </c>
      <c r="E776" t="s">
        <v>18789</v>
      </c>
      <c r="F776" t="s">
        <v>30900</v>
      </c>
      <c r="G776" t="s">
        <v>30907</v>
      </c>
      <c r="H776" t="s">
        <v>30915</v>
      </c>
      <c r="I776" t="s">
        <v>30919</v>
      </c>
      <c r="J776" t="s">
        <v>31096</v>
      </c>
      <c r="K776" t="s">
        <v>40294</v>
      </c>
      <c r="L776" t="s">
        <v>443</v>
      </c>
      <c r="M776" t="s">
        <v>41000</v>
      </c>
      <c r="N776" t="s">
        <v>44759</v>
      </c>
      <c r="O776" t="s">
        <v>44760</v>
      </c>
      <c r="P776">
        <v>0</v>
      </c>
      <c r="Q776">
        <v>0</v>
      </c>
      <c r="R776" t="s">
        <v>44761</v>
      </c>
      <c r="S776" t="s">
        <v>44862</v>
      </c>
      <c r="T776" t="s">
        <v>46417</v>
      </c>
      <c r="U776" t="s">
        <v>47657</v>
      </c>
      <c r="W776" t="s">
        <v>41000</v>
      </c>
      <c r="X776" t="s">
        <v>44762</v>
      </c>
    </row>
    <row r="777" spans="1:24">
      <c r="A777">
        <f>HYPERLINK("https://www.philgeps.gov.ph/GEPSNONPILOT/Tender/SplashBidNoticeAbstractUI.aspx?menuIndex=3&amp;refID=7152856&amp;Result=3","7152856")</f>
        <v>0</v>
      </c>
      <c r="B777" t="s">
        <v>444</v>
      </c>
      <c r="C777" t="s">
        <v>4519</v>
      </c>
      <c r="D777" t="s">
        <v>17953</v>
      </c>
      <c r="E777" t="s">
        <v>18790</v>
      </c>
      <c r="F777" t="s">
        <v>30900</v>
      </c>
      <c r="G777" t="s">
        <v>30908</v>
      </c>
      <c r="H777" t="s">
        <v>30916</v>
      </c>
      <c r="I777" t="s">
        <v>8123</v>
      </c>
      <c r="J777" t="s">
        <v>31206</v>
      </c>
      <c r="K777" t="s">
        <v>40286</v>
      </c>
      <c r="M777" t="s">
        <v>41001</v>
      </c>
      <c r="N777" t="s">
        <v>44759</v>
      </c>
      <c r="O777" t="s">
        <v>44760</v>
      </c>
      <c r="P777">
        <v>0</v>
      </c>
      <c r="Q777">
        <v>0</v>
      </c>
      <c r="R777" t="s">
        <v>44761</v>
      </c>
      <c r="S777" t="s">
        <v>44862</v>
      </c>
      <c r="T777" t="s">
        <v>46376</v>
      </c>
      <c r="U777" t="s">
        <v>47658</v>
      </c>
      <c r="W777" t="s">
        <v>41001</v>
      </c>
      <c r="X777" t="s">
        <v>44762</v>
      </c>
    </row>
    <row r="778" spans="1:24">
      <c r="A778">
        <f>HYPERLINK("https://www.philgeps.gov.ph/GEPSNONPILOT/Tender/SplashBidNoticeAbstractUI.aspx?menuIndex=3&amp;refID=7152892&amp;Result=3","7152892")</f>
        <v>0</v>
      </c>
      <c r="B778" t="s">
        <v>445</v>
      </c>
      <c r="C778" t="s">
        <v>4520</v>
      </c>
      <c r="E778" t="s">
        <v>18791</v>
      </c>
      <c r="F778" t="s">
        <v>30900</v>
      </c>
      <c r="G778" t="s">
        <v>30909</v>
      </c>
      <c r="H778" t="s">
        <v>30916</v>
      </c>
      <c r="I778" t="s">
        <v>4108</v>
      </c>
      <c r="J778" t="s">
        <v>31423</v>
      </c>
      <c r="K778" t="s">
        <v>40286</v>
      </c>
      <c r="M778" t="s">
        <v>41002</v>
      </c>
      <c r="N778" t="s">
        <v>44759</v>
      </c>
      <c r="O778" t="s">
        <v>44760</v>
      </c>
      <c r="P778">
        <v>0</v>
      </c>
      <c r="Q778">
        <v>0</v>
      </c>
      <c r="R778" t="s">
        <v>44761</v>
      </c>
      <c r="S778" t="s">
        <v>44862</v>
      </c>
      <c r="T778" t="s">
        <v>46410</v>
      </c>
      <c r="U778" t="s">
        <v>47659</v>
      </c>
      <c r="W778" t="s">
        <v>41002</v>
      </c>
      <c r="X778" t="s">
        <v>44762</v>
      </c>
    </row>
    <row r="779" spans="1:24">
      <c r="A779">
        <f>HYPERLINK("https://www.philgeps.gov.ph/GEPSNONPILOT/Tender/SplashBidNoticeAbstractUI.aspx?menuIndex=3&amp;refID=7152870&amp;Result=3","7152870")</f>
        <v>0</v>
      </c>
      <c r="B779" t="s">
        <v>237</v>
      </c>
      <c r="C779" t="s">
        <v>4521</v>
      </c>
      <c r="D779" t="s">
        <v>17977</v>
      </c>
      <c r="E779" t="s">
        <v>18792</v>
      </c>
      <c r="F779" t="s">
        <v>30900</v>
      </c>
      <c r="G779" t="s">
        <v>30908</v>
      </c>
      <c r="H779" t="s">
        <v>30916</v>
      </c>
      <c r="I779" t="s">
        <v>10879</v>
      </c>
      <c r="J779" t="s">
        <v>31048</v>
      </c>
      <c r="K779" t="s">
        <v>40289</v>
      </c>
      <c r="M779" t="s">
        <v>40784</v>
      </c>
      <c r="N779" t="s">
        <v>44759</v>
      </c>
      <c r="O779" t="s">
        <v>44760</v>
      </c>
      <c r="P779">
        <v>0</v>
      </c>
      <c r="Q779">
        <v>0</v>
      </c>
      <c r="R779" t="s">
        <v>44761</v>
      </c>
      <c r="S779" t="s">
        <v>44862</v>
      </c>
      <c r="T779" t="s">
        <v>46393</v>
      </c>
      <c r="U779" t="s">
        <v>47660</v>
      </c>
      <c r="W779" t="s">
        <v>40784</v>
      </c>
      <c r="X779" t="s">
        <v>44762</v>
      </c>
    </row>
    <row r="780" spans="1:24">
      <c r="A780">
        <f>HYPERLINK("https://www.philgeps.gov.ph/GEPSNONPILOT/Tender/SplashBidNoticeAbstractUI.aspx?menuIndex=3&amp;refID=7152910&amp;Result=3","7152910")</f>
        <v>0</v>
      </c>
      <c r="B780" t="s">
        <v>29</v>
      </c>
      <c r="C780" t="s">
        <v>4522</v>
      </c>
      <c r="D780" t="s">
        <v>17956</v>
      </c>
      <c r="E780" t="s">
        <v>18793</v>
      </c>
      <c r="F780" t="s">
        <v>30900</v>
      </c>
      <c r="G780" t="s">
        <v>30907</v>
      </c>
      <c r="H780" t="s">
        <v>30917</v>
      </c>
      <c r="I780" t="s">
        <v>4965</v>
      </c>
      <c r="J780" t="s">
        <v>31670</v>
      </c>
      <c r="K780" t="s">
        <v>40283</v>
      </c>
      <c r="M780" t="s">
        <v>40575</v>
      </c>
      <c r="N780" t="s">
        <v>44759</v>
      </c>
      <c r="O780" t="s">
        <v>44760</v>
      </c>
      <c r="P780">
        <v>0</v>
      </c>
      <c r="Q780">
        <v>0</v>
      </c>
      <c r="R780" t="s">
        <v>44761</v>
      </c>
      <c r="S780" t="s">
        <v>44862</v>
      </c>
      <c r="T780" t="s">
        <v>46354</v>
      </c>
      <c r="U780" t="s">
        <v>47594</v>
      </c>
      <c r="W780" t="s">
        <v>40575</v>
      </c>
      <c r="X780" t="s">
        <v>44762</v>
      </c>
    </row>
    <row r="781" spans="1:24">
      <c r="A781">
        <f>HYPERLINK("https://www.philgeps.gov.ph/GEPSNONPILOT/Tender/SplashBidNoticeAbstractUI.aspx?menuIndex=3&amp;refID=7152909&amp;Result=3","7152909")</f>
        <v>0</v>
      </c>
      <c r="B781" t="s">
        <v>380</v>
      </c>
      <c r="C781" t="s">
        <v>4523</v>
      </c>
      <c r="D781" t="s">
        <v>18003</v>
      </c>
      <c r="E781" t="s">
        <v>18794</v>
      </c>
      <c r="F781" t="s">
        <v>30900</v>
      </c>
      <c r="G781" t="s">
        <v>30908</v>
      </c>
      <c r="H781" t="s">
        <v>30916</v>
      </c>
      <c r="I781" t="s">
        <v>30939</v>
      </c>
      <c r="J781" t="s">
        <v>31671</v>
      </c>
      <c r="K781" t="s">
        <v>40287</v>
      </c>
      <c r="M781" t="s">
        <v>40934</v>
      </c>
      <c r="N781" t="s">
        <v>44759</v>
      </c>
      <c r="O781" t="s">
        <v>44760</v>
      </c>
      <c r="P781">
        <v>0</v>
      </c>
      <c r="Q781">
        <v>0</v>
      </c>
      <c r="R781" t="s">
        <v>44761</v>
      </c>
      <c r="S781" t="s">
        <v>44862</v>
      </c>
      <c r="T781" t="s">
        <v>46373</v>
      </c>
      <c r="U781" t="s">
        <v>47661</v>
      </c>
      <c r="W781" t="s">
        <v>40934</v>
      </c>
      <c r="X781" t="s">
        <v>44762</v>
      </c>
    </row>
    <row r="782" spans="1:24">
      <c r="A782">
        <f>HYPERLINK("https://www.philgeps.gov.ph/GEPSNONPILOT/Tender/SplashBidNoticeAbstractUI.aspx?menuIndex=3&amp;refID=7152905&amp;Result=3","7152905")</f>
        <v>0</v>
      </c>
      <c r="B782" t="s">
        <v>334</v>
      </c>
      <c r="C782" t="s">
        <v>4524</v>
      </c>
      <c r="D782" t="s">
        <v>17957</v>
      </c>
      <c r="E782" t="s">
        <v>18308</v>
      </c>
      <c r="F782" t="s">
        <v>30900</v>
      </c>
      <c r="G782" t="s">
        <v>30908</v>
      </c>
      <c r="H782" t="s">
        <v>30916</v>
      </c>
      <c r="I782" t="s">
        <v>4545</v>
      </c>
      <c r="J782" t="s">
        <v>31202</v>
      </c>
      <c r="K782" t="s">
        <v>40291</v>
      </c>
      <c r="M782" t="s">
        <v>40885</v>
      </c>
      <c r="N782" t="s">
        <v>44759</v>
      </c>
      <c r="O782" t="s">
        <v>44760</v>
      </c>
      <c r="P782">
        <v>0</v>
      </c>
      <c r="Q782">
        <v>0</v>
      </c>
      <c r="R782" t="s">
        <v>44761</v>
      </c>
      <c r="S782" t="s">
        <v>44862</v>
      </c>
      <c r="T782" t="s">
        <v>46362</v>
      </c>
      <c r="U782" t="s">
        <v>47475</v>
      </c>
      <c r="W782" t="s">
        <v>40885</v>
      </c>
      <c r="X782" t="s">
        <v>44762</v>
      </c>
    </row>
    <row r="783" spans="1:24">
      <c r="A783">
        <f>HYPERLINK("https://www.philgeps.gov.ph/GEPSNONPILOT/Tender/SplashBidNoticeAbstractUI.aspx?menuIndex=3&amp;refID=7152904&amp;Result=3","7152904")</f>
        <v>0</v>
      </c>
      <c r="B783" t="s">
        <v>446</v>
      </c>
      <c r="C783" t="s">
        <v>4525</v>
      </c>
      <c r="D783" t="s">
        <v>17952</v>
      </c>
      <c r="E783" t="s">
        <v>18795</v>
      </c>
      <c r="F783" t="s">
        <v>30900</v>
      </c>
      <c r="G783" t="s">
        <v>30907</v>
      </c>
      <c r="H783" t="s">
        <v>30916</v>
      </c>
      <c r="I783" t="s">
        <v>8123</v>
      </c>
      <c r="J783" t="s">
        <v>31672</v>
      </c>
      <c r="K783" t="s">
        <v>40288</v>
      </c>
      <c r="M783" t="s">
        <v>41003</v>
      </c>
      <c r="N783" t="s">
        <v>44759</v>
      </c>
      <c r="O783" t="s">
        <v>44760</v>
      </c>
      <c r="P783">
        <v>0</v>
      </c>
      <c r="Q783">
        <v>0</v>
      </c>
      <c r="R783" t="s">
        <v>44761</v>
      </c>
      <c r="S783" t="s">
        <v>44862</v>
      </c>
      <c r="T783" t="s">
        <v>46428</v>
      </c>
      <c r="U783" t="s">
        <v>47662</v>
      </c>
      <c r="W783" t="s">
        <v>41003</v>
      </c>
      <c r="X783" t="s">
        <v>44762</v>
      </c>
    </row>
    <row r="784" spans="1:24">
      <c r="A784">
        <f>HYPERLINK("https://www.philgeps.gov.ph/GEPSNONPILOT/Tender/SplashBidNoticeAbstractUI.aspx?menuIndex=3&amp;refID=7152903&amp;Result=3","7152903")</f>
        <v>0</v>
      </c>
      <c r="B784" t="s">
        <v>408</v>
      </c>
      <c r="C784" t="s">
        <v>4526</v>
      </c>
      <c r="E784" t="s">
        <v>18796</v>
      </c>
      <c r="F784" t="s">
        <v>30900</v>
      </c>
      <c r="G784" t="s">
        <v>30906</v>
      </c>
      <c r="H784" t="s">
        <v>30916</v>
      </c>
      <c r="I784" t="s">
        <v>30961</v>
      </c>
      <c r="J784" t="s">
        <v>31043</v>
      </c>
      <c r="K784" t="s">
        <v>40289</v>
      </c>
      <c r="M784" t="s">
        <v>40964</v>
      </c>
      <c r="N784" t="s">
        <v>44759</v>
      </c>
      <c r="O784" t="s">
        <v>44760</v>
      </c>
      <c r="P784">
        <v>0</v>
      </c>
      <c r="Q784">
        <v>0</v>
      </c>
      <c r="R784" t="s">
        <v>44761</v>
      </c>
      <c r="S784" t="s">
        <v>44862</v>
      </c>
      <c r="T784" t="s">
        <v>46484</v>
      </c>
      <c r="U784" t="s">
        <v>47663</v>
      </c>
      <c r="W784" t="s">
        <v>40964</v>
      </c>
      <c r="X784" t="s">
        <v>44762</v>
      </c>
    </row>
    <row r="785" spans="1:24">
      <c r="A785">
        <f>HYPERLINK("https://www.philgeps.gov.ph/GEPSNONPILOT/Tender/SplashBidNoticeAbstractUI.aspx?menuIndex=3&amp;refID=7152902&amp;Result=3","7152902")</f>
        <v>0</v>
      </c>
      <c r="B785" t="s">
        <v>253</v>
      </c>
      <c r="C785" t="s">
        <v>4527</v>
      </c>
      <c r="D785" t="s">
        <v>17977</v>
      </c>
      <c r="E785" t="s">
        <v>18797</v>
      </c>
      <c r="F785" t="s">
        <v>30900</v>
      </c>
      <c r="G785" t="s">
        <v>30909</v>
      </c>
      <c r="H785" t="s">
        <v>30916</v>
      </c>
      <c r="I785" t="s">
        <v>8123</v>
      </c>
      <c r="J785" t="s">
        <v>31673</v>
      </c>
      <c r="K785" t="s">
        <v>40289</v>
      </c>
      <c r="M785" t="s">
        <v>40800</v>
      </c>
      <c r="N785" t="s">
        <v>44759</v>
      </c>
      <c r="O785" t="s">
        <v>44760</v>
      </c>
      <c r="P785">
        <v>0</v>
      </c>
      <c r="Q785">
        <v>0</v>
      </c>
      <c r="R785" t="s">
        <v>44761</v>
      </c>
      <c r="S785" t="s">
        <v>44862</v>
      </c>
      <c r="T785" t="s">
        <v>46376</v>
      </c>
      <c r="U785" t="s">
        <v>47664</v>
      </c>
      <c r="W785" t="s">
        <v>40800</v>
      </c>
      <c r="X785" t="s">
        <v>44762</v>
      </c>
    </row>
    <row r="786" spans="1:24">
      <c r="A786">
        <f>HYPERLINK("https://www.philgeps.gov.ph/GEPSNONPILOT/Tender/SplashBidNoticeAbstractUI.aspx?menuIndex=3&amp;refID=7152901&amp;Result=3","7152901")</f>
        <v>0</v>
      </c>
      <c r="B786" t="s">
        <v>447</v>
      </c>
      <c r="C786" t="s">
        <v>4528</v>
      </c>
      <c r="D786" t="s">
        <v>17978</v>
      </c>
      <c r="E786" t="s">
        <v>18798</v>
      </c>
      <c r="F786" t="s">
        <v>30900</v>
      </c>
      <c r="G786" t="s">
        <v>30908</v>
      </c>
      <c r="H786" t="s">
        <v>30916</v>
      </c>
      <c r="I786" t="s">
        <v>30923</v>
      </c>
      <c r="J786" t="s">
        <v>31674</v>
      </c>
      <c r="K786" t="s">
        <v>40281</v>
      </c>
      <c r="M786" t="s">
        <v>41004</v>
      </c>
      <c r="N786" t="s">
        <v>44759</v>
      </c>
      <c r="O786" t="s">
        <v>44760</v>
      </c>
      <c r="P786">
        <v>0</v>
      </c>
      <c r="Q786">
        <v>0</v>
      </c>
      <c r="R786" t="s">
        <v>44761</v>
      </c>
      <c r="S786" t="s">
        <v>44862</v>
      </c>
      <c r="T786" t="s">
        <v>46399</v>
      </c>
      <c r="U786" t="s">
        <v>47665</v>
      </c>
      <c r="W786" t="s">
        <v>41004</v>
      </c>
      <c r="X786" t="s">
        <v>44762</v>
      </c>
    </row>
    <row r="787" spans="1:24">
      <c r="A787">
        <f>HYPERLINK("https://www.philgeps.gov.ph/GEPSNONPILOT/Tender/SplashBidNoticeAbstractUI.aspx?menuIndex=3&amp;refID=7152893&amp;Result=3","7152893")</f>
        <v>0</v>
      </c>
      <c r="B787" t="s">
        <v>325</v>
      </c>
      <c r="C787" t="s">
        <v>4529</v>
      </c>
      <c r="D787" t="s">
        <v>17995</v>
      </c>
      <c r="E787" t="s">
        <v>18799</v>
      </c>
      <c r="F787" t="s">
        <v>30900</v>
      </c>
      <c r="G787" t="s">
        <v>30909</v>
      </c>
      <c r="H787" t="s">
        <v>30916</v>
      </c>
      <c r="I787" t="s">
        <v>30976</v>
      </c>
      <c r="J787" t="s">
        <v>31049</v>
      </c>
      <c r="K787" t="s">
        <v>40287</v>
      </c>
      <c r="L787" t="s">
        <v>325</v>
      </c>
      <c r="M787" t="s">
        <v>40876</v>
      </c>
      <c r="N787" t="s">
        <v>44759</v>
      </c>
      <c r="O787" t="s">
        <v>44760</v>
      </c>
      <c r="P787">
        <v>0</v>
      </c>
      <c r="Q787">
        <v>0</v>
      </c>
      <c r="R787" t="s">
        <v>44761</v>
      </c>
      <c r="S787" t="s">
        <v>44862</v>
      </c>
      <c r="T787" t="s">
        <v>46470</v>
      </c>
      <c r="U787" t="s">
        <v>47666</v>
      </c>
      <c r="V787" t="s">
        <v>59173</v>
      </c>
      <c r="W787" t="s">
        <v>40876</v>
      </c>
      <c r="X787" t="s">
        <v>44762</v>
      </c>
    </row>
    <row r="788" spans="1:24">
      <c r="A788">
        <f>HYPERLINK("https://www.philgeps.gov.ph/GEPSNONPILOT/Tender/SplashBidNoticeAbstractUI.aspx?menuIndex=3&amp;refID=7152911&amp;Result=3","7152911")</f>
        <v>0</v>
      </c>
      <c r="B788" t="s">
        <v>448</v>
      </c>
      <c r="C788" t="s">
        <v>4530</v>
      </c>
      <c r="D788" t="s">
        <v>17987</v>
      </c>
      <c r="E788" t="s">
        <v>18800</v>
      </c>
      <c r="F788" t="s">
        <v>30900</v>
      </c>
      <c r="G788" t="s">
        <v>30908</v>
      </c>
      <c r="H788" t="s">
        <v>30916</v>
      </c>
      <c r="I788" t="s">
        <v>4142</v>
      </c>
      <c r="J788" t="s">
        <v>31675</v>
      </c>
      <c r="K788" t="s">
        <v>40287</v>
      </c>
      <c r="M788" t="s">
        <v>41005</v>
      </c>
      <c r="N788" t="s">
        <v>44759</v>
      </c>
      <c r="O788" t="s">
        <v>44760</v>
      </c>
      <c r="P788">
        <v>0</v>
      </c>
      <c r="Q788">
        <v>0</v>
      </c>
      <c r="R788" t="s">
        <v>44761</v>
      </c>
      <c r="S788" t="s">
        <v>44862</v>
      </c>
      <c r="T788" t="s">
        <v>46487</v>
      </c>
      <c r="U788" t="s">
        <v>47667</v>
      </c>
      <c r="V788" t="s">
        <v>59214</v>
      </c>
      <c r="W788" t="s">
        <v>41005</v>
      </c>
      <c r="X788" t="s">
        <v>44762</v>
      </c>
    </row>
    <row r="789" spans="1:24">
      <c r="A789">
        <f>HYPERLINK("https://www.philgeps.gov.ph/GEPSNONPILOT/Tender/SplashBidNoticeAbstractUI.aspx?menuIndex=3&amp;refID=7152915&amp;Result=3","7152915")</f>
        <v>0</v>
      </c>
      <c r="B789" t="s">
        <v>416</v>
      </c>
      <c r="C789" t="s">
        <v>4531</v>
      </c>
      <c r="D789" t="s">
        <v>17976</v>
      </c>
      <c r="E789" t="s">
        <v>18801</v>
      </c>
      <c r="F789" t="s">
        <v>30900</v>
      </c>
      <c r="G789" t="s">
        <v>30907</v>
      </c>
      <c r="H789" t="s">
        <v>30916</v>
      </c>
      <c r="I789" t="s">
        <v>30939</v>
      </c>
      <c r="J789" t="s">
        <v>31676</v>
      </c>
      <c r="K789" t="s">
        <v>40283</v>
      </c>
      <c r="M789" t="s">
        <v>40972</v>
      </c>
      <c r="N789" t="s">
        <v>44759</v>
      </c>
      <c r="O789" t="s">
        <v>44760</v>
      </c>
      <c r="P789">
        <v>0</v>
      </c>
      <c r="Q789">
        <v>0</v>
      </c>
      <c r="R789" t="s">
        <v>44761</v>
      </c>
      <c r="S789" t="s">
        <v>44862</v>
      </c>
      <c r="T789" t="s">
        <v>46439</v>
      </c>
      <c r="U789" t="s">
        <v>47668</v>
      </c>
      <c r="W789" t="s">
        <v>40972</v>
      </c>
      <c r="X789" t="s">
        <v>44762</v>
      </c>
    </row>
    <row r="790" spans="1:24">
      <c r="A790">
        <f>HYPERLINK("https://www.philgeps.gov.ph/GEPSNONPILOT/Tender/SplashBidNoticeAbstractUI.aspx?menuIndex=3&amp;refID=7152908&amp;Result=3","7152908")</f>
        <v>0</v>
      </c>
      <c r="B790" t="s">
        <v>284</v>
      </c>
      <c r="C790" t="s">
        <v>4532</v>
      </c>
      <c r="D790" t="s">
        <v>18009</v>
      </c>
      <c r="E790" t="s">
        <v>18802</v>
      </c>
      <c r="F790" t="s">
        <v>30900</v>
      </c>
      <c r="G790" t="s">
        <v>30908</v>
      </c>
      <c r="H790" t="s">
        <v>30916</v>
      </c>
      <c r="I790" t="s">
        <v>4142</v>
      </c>
      <c r="J790" t="s">
        <v>31677</v>
      </c>
      <c r="K790" t="s">
        <v>40287</v>
      </c>
      <c r="M790" t="s">
        <v>40832</v>
      </c>
      <c r="N790" t="s">
        <v>44759</v>
      </c>
      <c r="O790" t="s">
        <v>44760</v>
      </c>
      <c r="P790">
        <v>0</v>
      </c>
      <c r="Q790">
        <v>0</v>
      </c>
      <c r="R790" t="s">
        <v>44761</v>
      </c>
      <c r="S790" t="s">
        <v>44862</v>
      </c>
      <c r="T790" t="s">
        <v>46389</v>
      </c>
      <c r="U790" t="s">
        <v>47669</v>
      </c>
      <c r="W790" t="s">
        <v>40832</v>
      </c>
      <c r="X790" t="s">
        <v>44762</v>
      </c>
    </row>
    <row r="791" spans="1:24">
      <c r="A791">
        <f>HYPERLINK("https://www.philgeps.gov.ph/GEPSNONPILOT/Tender/SplashBidNoticeAbstractUI.aspx?menuIndex=3&amp;refID=7152914&amp;Result=3","7152914")</f>
        <v>0</v>
      </c>
      <c r="B791" t="s">
        <v>421</v>
      </c>
      <c r="C791" t="s">
        <v>4533</v>
      </c>
      <c r="D791" t="s">
        <v>18012</v>
      </c>
      <c r="E791" t="s">
        <v>18803</v>
      </c>
      <c r="F791" t="s">
        <v>30900</v>
      </c>
      <c r="G791" t="s">
        <v>30907</v>
      </c>
      <c r="H791" t="s">
        <v>30916</v>
      </c>
      <c r="I791" t="s">
        <v>4545</v>
      </c>
      <c r="J791" t="s">
        <v>31049</v>
      </c>
      <c r="K791" t="s">
        <v>40283</v>
      </c>
      <c r="M791" t="s">
        <v>40977</v>
      </c>
      <c r="N791" t="s">
        <v>44759</v>
      </c>
      <c r="O791" t="s">
        <v>44760</v>
      </c>
      <c r="P791">
        <v>0</v>
      </c>
      <c r="Q791">
        <v>0</v>
      </c>
      <c r="R791" t="s">
        <v>44761</v>
      </c>
      <c r="S791" t="s">
        <v>44862</v>
      </c>
      <c r="T791" t="s">
        <v>46418</v>
      </c>
      <c r="U791" t="s">
        <v>47670</v>
      </c>
      <c r="V791" t="s">
        <v>59207</v>
      </c>
      <c r="W791" t="s">
        <v>40977</v>
      </c>
      <c r="X791" t="s">
        <v>44762</v>
      </c>
    </row>
    <row r="792" spans="1:24">
      <c r="A792">
        <f>HYPERLINK("https://www.philgeps.gov.ph/GEPSNONPILOT/Tender/SplashBidNoticeAbstractUI.aspx?menuIndex=3&amp;refID=7152912&amp;Result=3","7152912")</f>
        <v>0</v>
      </c>
      <c r="B792" t="s">
        <v>49</v>
      </c>
      <c r="C792" t="s">
        <v>4534</v>
      </c>
      <c r="D792" t="s">
        <v>17961</v>
      </c>
      <c r="E792" t="s">
        <v>18804</v>
      </c>
      <c r="F792" t="s">
        <v>30900</v>
      </c>
      <c r="G792" t="s">
        <v>30908</v>
      </c>
      <c r="H792" t="s">
        <v>30916</v>
      </c>
      <c r="I792" t="s">
        <v>4142</v>
      </c>
      <c r="J792" t="s">
        <v>31678</v>
      </c>
      <c r="K792" t="s">
        <v>40283</v>
      </c>
      <c r="M792" t="s">
        <v>40595</v>
      </c>
      <c r="N792" t="s">
        <v>44759</v>
      </c>
      <c r="O792" t="s">
        <v>44760</v>
      </c>
      <c r="P792">
        <v>0</v>
      </c>
      <c r="Q792">
        <v>0</v>
      </c>
      <c r="R792" t="s">
        <v>44761</v>
      </c>
      <c r="S792" t="s">
        <v>44862</v>
      </c>
      <c r="T792" t="s">
        <v>46404</v>
      </c>
      <c r="U792" t="s">
        <v>47588</v>
      </c>
      <c r="V792" t="s">
        <v>59215</v>
      </c>
      <c r="W792" t="s">
        <v>40595</v>
      </c>
      <c r="X792" t="s">
        <v>44762</v>
      </c>
    </row>
    <row r="793" spans="1:24">
      <c r="A793">
        <f>HYPERLINK("https://www.philgeps.gov.ph/GEPSNONPILOT/Tender/SplashBidNoticeAbstractUI.aspx?menuIndex=3&amp;refID=7152898&amp;Result=3","7152898")</f>
        <v>0</v>
      </c>
      <c r="B793" t="s">
        <v>449</v>
      </c>
      <c r="C793" t="s">
        <v>4535</v>
      </c>
      <c r="D793" t="s">
        <v>17982</v>
      </c>
      <c r="E793" t="s">
        <v>18805</v>
      </c>
      <c r="F793" t="s">
        <v>30900</v>
      </c>
      <c r="G793" t="s">
        <v>30907</v>
      </c>
      <c r="H793" t="s">
        <v>30916</v>
      </c>
      <c r="I793" t="s">
        <v>30940</v>
      </c>
      <c r="J793" t="s">
        <v>31297</v>
      </c>
      <c r="K793" t="s">
        <v>40286</v>
      </c>
      <c r="M793" t="s">
        <v>41006</v>
      </c>
      <c r="N793" t="s">
        <v>44759</v>
      </c>
      <c r="O793" t="s">
        <v>44760</v>
      </c>
      <c r="P793">
        <v>0</v>
      </c>
      <c r="Q793">
        <v>0</v>
      </c>
      <c r="R793" t="s">
        <v>44761</v>
      </c>
      <c r="S793" t="s">
        <v>44862</v>
      </c>
      <c r="T793" t="s">
        <v>46452</v>
      </c>
      <c r="U793" t="s">
        <v>47671</v>
      </c>
      <c r="W793" t="s">
        <v>41006</v>
      </c>
      <c r="X793" t="s">
        <v>44762</v>
      </c>
    </row>
    <row r="794" spans="1:24">
      <c r="A794">
        <f>HYPERLINK("https://www.philgeps.gov.ph/GEPSNONPILOT/Tender/SplashBidNoticeAbstractUI.aspx?menuIndex=3&amp;refID=7152899&amp;Result=3","7152899")</f>
        <v>0</v>
      </c>
      <c r="B794" t="s">
        <v>143</v>
      </c>
      <c r="C794" t="s">
        <v>4536</v>
      </c>
      <c r="D794" t="s">
        <v>17965</v>
      </c>
      <c r="E794" t="s">
        <v>18806</v>
      </c>
      <c r="F794" t="s">
        <v>30900</v>
      </c>
      <c r="G794" t="s">
        <v>30907</v>
      </c>
      <c r="H794" t="s">
        <v>30915</v>
      </c>
      <c r="I794" t="s">
        <v>30919</v>
      </c>
      <c r="J794" t="s">
        <v>31679</v>
      </c>
      <c r="K794" t="s">
        <v>40291</v>
      </c>
      <c r="M794" t="s">
        <v>40854</v>
      </c>
      <c r="N794" t="s">
        <v>44759</v>
      </c>
      <c r="O794" t="s">
        <v>44760</v>
      </c>
      <c r="P794">
        <v>0</v>
      </c>
      <c r="Q794">
        <v>0</v>
      </c>
      <c r="R794" t="s">
        <v>44761</v>
      </c>
      <c r="S794" t="s">
        <v>44862</v>
      </c>
      <c r="T794" t="s">
        <v>46418</v>
      </c>
      <c r="U794" t="s">
        <v>47423</v>
      </c>
      <c r="W794" t="s">
        <v>40854</v>
      </c>
      <c r="X794" t="s">
        <v>44762</v>
      </c>
    </row>
    <row r="795" spans="1:24">
      <c r="A795">
        <f>HYPERLINK("https://www.philgeps.gov.ph/GEPSNONPILOT/Tender/SplashBidNoticeAbstractUI.aspx?menuIndex=3&amp;refID=7152869&amp;Result=3","7152869")</f>
        <v>0</v>
      </c>
      <c r="B795" t="s">
        <v>73</v>
      </c>
      <c r="C795" t="s">
        <v>4537</v>
      </c>
      <c r="D795" t="s">
        <v>17983</v>
      </c>
      <c r="E795" t="s">
        <v>18807</v>
      </c>
      <c r="F795" t="s">
        <v>30900</v>
      </c>
      <c r="G795" t="s">
        <v>30907</v>
      </c>
      <c r="H795" t="s">
        <v>30916</v>
      </c>
      <c r="I795" t="s">
        <v>4017</v>
      </c>
      <c r="J795" t="s">
        <v>31070</v>
      </c>
      <c r="K795" t="s">
        <v>40293</v>
      </c>
      <c r="M795" t="s">
        <v>40620</v>
      </c>
      <c r="N795" t="s">
        <v>44759</v>
      </c>
      <c r="O795" t="s">
        <v>44760</v>
      </c>
      <c r="P795">
        <v>0</v>
      </c>
      <c r="Q795">
        <v>0</v>
      </c>
      <c r="R795" t="s">
        <v>44761</v>
      </c>
      <c r="S795" t="s">
        <v>44862</v>
      </c>
      <c r="T795" t="s">
        <v>46369</v>
      </c>
      <c r="U795" t="s">
        <v>47672</v>
      </c>
      <c r="W795" t="s">
        <v>40620</v>
      </c>
      <c r="X795" t="s">
        <v>44762</v>
      </c>
    </row>
    <row r="796" spans="1:24">
      <c r="A796">
        <f>HYPERLINK("https://www.philgeps.gov.ph/GEPSNONPILOT/Tender/SplashBidNoticeAbstractUI.aspx?menuIndex=3&amp;refID=7152913&amp;Result=3","7152913")</f>
        <v>0</v>
      </c>
      <c r="B796" t="s">
        <v>450</v>
      </c>
      <c r="C796" t="s">
        <v>4538</v>
      </c>
      <c r="D796" t="s">
        <v>17952</v>
      </c>
      <c r="E796" t="s">
        <v>18808</v>
      </c>
      <c r="F796" t="s">
        <v>30900</v>
      </c>
      <c r="G796" t="s">
        <v>30908</v>
      </c>
      <c r="H796" t="s">
        <v>30916</v>
      </c>
      <c r="I796" t="s">
        <v>30977</v>
      </c>
      <c r="J796" t="s">
        <v>31680</v>
      </c>
      <c r="K796" t="s">
        <v>40281</v>
      </c>
      <c r="M796" t="s">
        <v>41007</v>
      </c>
      <c r="N796" t="s">
        <v>44759</v>
      </c>
      <c r="O796" t="s">
        <v>44760</v>
      </c>
      <c r="P796">
        <v>0</v>
      </c>
      <c r="Q796">
        <v>0</v>
      </c>
      <c r="R796" t="s">
        <v>44761</v>
      </c>
      <c r="S796" t="s">
        <v>44862</v>
      </c>
      <c r="T796" t="s">
        <v>46376</v>
      </c>
      <c r="U796" t="s">
        <v>47673</v>
      </c>
      <c r="V796" t="s">
        <v>59216</v>
      </c>
      <c r="W796" t="s">
        <v>60827</v>
      </c>
      <c r="X796" t="s">
        <v>44762</v>
      </c>
    </row>
    <row r="797" spans="1:24">
      <c r="A797">
        <f>HYPERLINK("https://www.philgeps.gov.ph/GEPSNONPILOT/Tender/SplashBidNoticeAbstractUI.aspx?menuIndex=3&amp;refID=7152896&amp;Result=3","7152896")</f>
        <v>0</v>
      </c>
      <c r="B797" t="s">
        <v>372</v>
      </c>
      <c r="C797" t="s">
        <v>4539</v>
      </c>
      <c r="D797" t="s">
        <v>17968</v>
      </c>
      <c r="E797" t="s">
        <v>18809</v>
      </c>
      <c r="F797" t="s">
        <v>30900</v>
      </c>
      <c r="G797" t="s">
        <v>30908</v>
      </c>
      <c r="H797" t="s">
        <v>30916</v>
      </c>
      <c r="I797" t="s">
        <v>4108</v>
      </c>
      <c r="J797" t="s">
        <v>31043</v>
      </c>
      <c r="K797" t="s">
        <v>40284</v>
      </c>
      <c r="M797" t="s">
        <v>40926</v>
      </c>
      <c r="N797" t="s">
        <v>44759</v>
      </c>
      <c r="O797" t="s">
        <v>44760</v>
      </c>
      <c r="P797">
        <v>0</v>
      </c>
      <c r="Q797">
        <v>0</v>
      </c>
      <c r="R797" t="s">
        <v>44761</v>
      </c>
      <c r="S797" t="s">
        <v>44862</v>
      </c>
      <c r="T797" t="s">
        <v>46357</v>
      </c>
      <c r="U797" t="s">
        <v>47674</v>
      </c>
      <c r="W797" t="s">
        <v>40926</v>
      </c>
      <c r="X797" t="s">
        <v>44762</v>
      </c>
    </row>
    <row r="798" spans="1:24">
      <c r="A798">
        <f>HYPERLINK("https://www.philgeps.gov.ph/GEPSNONPILOT/Tender/SplashBidNoticeAbstractUI.aspx?menuIndex=3&amp;refID=7152857&amp;Result=3","7152857")</f>
        <v>0</v>
      </c>
      <c r="B798" t="s">
        <v>372</v>
      </c>
      <c r="C798" t="s">
        <v>4540</v>
      </c>
      <c r="D798" t="s">
        <v>17968</v>
      </c>
      <c r="E798" t="s">
        <v>18810</v>
      </c>
      <c r="F798" t="s">
        <v>30900</v>
      </c>
      <c r="G798" t="s">
        <v>30908</v>
      </c>
      <c r="H798" t="s">
        <v>30916</v>
      </c>
      <c r="I798" t="s">
        <v>10602</v>
      </c>
      <c r="J798" t="s">
        <v>31681</v>
      </c>
      <c r="K798" t="s">
        <v>40284</v>
      </c>
      <c r="M798" t="s">
        <v>40926</v>
      </c>
      <c r="N798" t="s">
        <v>44759</v>
      </c>
      <c r="O798" t="s">
        <v>44760</v>
      </c>
      <c r="P798">
        <v>0</v>
      </c>
      <c r="Q798">
        <v>0</v>
      </c>
      <c r="R798" t="s">
        <v>44761</v>
      </c>
      <c r="S798" t="s">
        <v>44862</v>
      </c>
      <c r="T798" t="s">
        <v>46357</v>
      </c>
      <c r="U798" t="s">
        <v>47675</v>
      </c>
      <c r="W798" t="s">
        <v>40926</v>
      </c>
      <c r="X798" t="s">
        <v>44762</v>
      </c>
    </row>
    <row r="799" spans="1:24">
      <c r="A799">
        <f>HYPERLINK("https://www.philgeps.gov.ph/GEPSNONPILOT/Tender/SplashBidNoticeAbstractUI.aspx?menuIndex=3&amp;refID=7152895&amp;Result=3","7152895")</f>
        <v>0</v>
      </c>
      <c r="B799" t="s">
        <v>451</v>
      </c>
      <c r="C799" t="s">
        <v>4541</v>
      </c>
      <c r="D799" t="s">
        <v>17980</v>
      </c>
      <c r="E799" t="s">
        <v>18811</v>
      </c>
      <c r="F799" t="s">
        <v>30900</v>
      </c>
      <c r="G799" t="s">
        <v>30908</v>
      </c>
      <c r="H799" t="s">
        <v>30916</v>
      </c>
      <c r="I799" t="s">
        <v>8123</v>
      </c>
      <c r="J799" t="s">
        <v>31142</v>
      </c>
      <c r="K799" t="s">
        <v>40283</v>
      </c>
      <c r="M799" t="s">
        <v>41008</v>
      </c>
      <c r="N799" t="s">
        <v>44759</v>
      </c>
      <c r="O799" t="s">
        <v>44760</v>
      </c>
      <c r="P799">
        <v>0</v>
      </c>
      <c r="Q799">
        <v>0</v>
      </c>
      <c r="R799" t="s">
        <v>44761</v>
      </c>
      <c r="S799" t="s">
        <v>44862</v>
      </c>
      <c r="T799" t="s">
        <v>46399</v>
      </c>
      <c r="U799" t="s">
        <v>47278</v>
      </c>
      <c r="W799" t="s">
        <v>41008</v>
      </c>
      <c r="X799" t="s">
        <v>44762</v>
      </c>
    </row>
    <row r="800" spans="1:24">
      <c r="A800">
        <f>HYPERLINK("https://www.philgeps.gov.ph/GEPSNONPILOT/Tender/SplashBidNoticeAbstractUI.aspx?menuIndex=3&amp;refID=7152936&amp;Result=3","7152936")</f>
        <v>0</v>
      </c>
      <c r="B800" t="s">
        <v>452</v>
      </c>
      <c r="C800" t="s">
        <v>4542</v>
      </c>
      <c r="D800" t="s">
        <v>17975</v>
      </c>
      <c r="E800" t="s">
        <v>18812</v>
      </c>
      <c r="F800" t="s">
        <v>30899</v>
      </c>
      <c r="G800" t="s">
        <v>30910</v>
      </c>
      <c r="H800" t="s">
        <v>30916</v>
      </c>
      <c r="I800" t="s">
        <v>4545</v>
      </c>
      <c r="J800" t="s">
        <v>31049</v>
      </c>
      <c r="K800" t="s">
        <v>40283</v>
      </c>
      <c r="L800" t="s">
        <v>452</v>
      </c>
      <c r="M800" t="s">
        <v>41009</v>
      </c>
      <c r="N800" t="s">
        <v>44759</v>
      </c>
      <c r="O800" t="s">
        <v>44760</v>
      </c>
      <c r="P800">
        <v>0</v>
      </c>
      <c r="Q800">
        <v>0</v>
      </c>
      <c r="R800" t="s">
        <v>44761</v>
      </c>
      <c r="S800" t="s">
        <v>44862</v>
      </c>
      <c r="T800" t="s">
        <v>46373</v>
      </c>
      <c r="U800" t="s">
        <v>47676</v>
      </c>
      <c r="V800" t="s">
        <v>59217</v>
      </c>
      <c r="W800" t="s">
        <v>41009</v>
      </c>
      <c r="X800" t="s">
        <v>44762</v>
      </c>
    </row>
    <row r="801" spans="1:24">
      <c r="A801">
        <f>HYPERLINK("https://www.philgeps.gov.ph/GEPSNONPILOT/Tender/SplashBidNoticeAbstractUI.aspx?menuIndex=3&amp;refID=7152920&amp;Result=3","7152920")</f>
        <v>0</v>
      </c>
      <c r="B801" t="s">
        <v>366</v>
      </c>
      <c r="C801" t="s">
        <v>4543</v>
      </c>
      <c r="D801" t="s">
        <v>17977</v>
      </c>
      <c r="E801" t="s">
        <v>18813</v>
      </c>
      <c r="F801" t="s">
        <v>30900</v>
      </c>
      <c r="G801" t="s">
        <v>30908</v>
      </c>
      <c r="H801" t="s">
        <v>30917</v>
      </c>
      <c r="I801" t="s">
        <v>10602</v>
      </c>
      <c r="J801" t="s">
        <v>31682</v>
      </c>
      <c r="K801" t="s">
        <v>40335</v>
      </c>
      <c r="M801" t="s">
        <v>40920</v>
      </c>
      <c r="N801" t="s">
        <v>44759</v>
      </c>
      <c r="O801" t="s">
        <v>44760</v>
      </c>
      <c r="P801">
        <v>0</v>
      </c>
      <c r="Q801">
        <v>0</v>
      </c>
      <c r="R801" t="s">
        <v>44761</v>
      </c>
      <c r="S801" t="s">
        <v>44862</v>
      </c>
      <c r="T801" t="s">
        <v>46412</v>
      </c>
      <c r="U801" t="s">
        <v>47677</v>
      </c>
      <c r="V801" t="s">
        <v>59218</v>
      </c>
      <c r="W801" t="s">
        <v>40920</v>
      </c>
      <c r="X801" t="s">
        <v>44762</v>
      </c>
    </row>
    <row r="802" spans="1:24">
      <c r="A802">
        <f>HYPERLINK("https://www.philgeps.gov.ph/GEPSNONPILOT/Tender/SplashBidNoticeAbstractUI.aspx?menuIndex=3&amp;refID=7152935&amp;Result=3","7152935")</f>
        <v>0</v>
      </c>
      <c r="B802" t="s">
        <v>417</v>
      </c>
      <c r="C802" t="s">
        <v>4544</v>
      </c>
      <c r="D802" t="s">
        <v>17966</v>
      </c>
      <c r="E802" t="s">
        <v>18814</v>
      </c>
      <c r="F802" t="s">
        <v>30900</v>
      </c>
      <c r="G802" t="s">
        <v>30910</v>
      </c>
      <c r="H802" t="s">
        <v>30916</v>
      </c>
      <c r="I802" t="s">
        <v>4545</v>
      </c>
      <c r="J802" t="s">
        <v>31683</v>
      </c>
      <c r="K802" t="s">
        <v>40283</v>
      </c>
      <c r="M802" t="s">
        <v>40973</v>
      </c>
      <c r="N802" t="s">
        <v>44759</v>
      </c>
      <c r="O802" t="s">
        <v>44760</v>
      </c>
      <c r="P802">
        <v>0</v>
      </c>
      <c r="Q802">
        <v>0</v>
      </c>
      <c r="R802" t="s">
        <v>44761</v>
      </c>
      <c r="S802" t="s">
        <v>44862</v>
      </c>
      <c r="T802" t="s">
        <v>46399</v>
      </c>
      <c r="U802" t="s">
        <v>47619</v>
      </c>
      <c r="V802" t="s">
        <v>59219</v>
      </c>
      <c r="W802" t="s">
        <v>40973</v>
      </c>
      <c r="X802" t="s">
        <v>44762</v>
      </c>
    </row>
    <row r="803" spans="1:24">
      <c r="A803">
        <f>HYPERLINK("https://www.philgeps.gov.ph/GEPSNONPILOT/Tender/SplashBidNoticeAbstractUI.aspx?menuIndex=3&amp;refID=7152934&amp;Result=3","7152934")</f>
        <v>0</v>
      </c>
      <c r="B803" t="s">
        <v>408</v>
      </c>
      <c r="C803" t="s">
        <v>4545</v>
      </c>
      <c r="E803" t="s">
        <v>18815</v>
      </c>
      <c r="F803" t="s">
        <v>30900</v>
      </c>
      <c r="G803" t="s">
        <v>30906</v>
      </c>
      <c r="H803" t="s">
        <v>30916</v>
      </c>
      <c r="I803" t="s">
        <v>4545</v>
      </c>
      <c r="J803" t="s">
        <v>31684</v>
      </c>
      <c r="K803" t="s">
        <v>40289</v>
      </c>
      <c r="M803" t="s">
        <v>40964</v>
      </c>
      <c r="N803" t="s">
        <v>44759</v>
      </c>
      <c r="O803" t="s">
        <v>44760</v>
      </c>
      <c r="P803">
        <v>0</v>
      </c>
      <c r="Q803">
        <v>0</v>
      </c>
      <c r="R803" t="s">
        <v>44761</v>
      </c>
      <c r="S803" t="s">
        <v>44862</v>
      </c>
      <c r="T803" t="s">
        <v>46484</v>
      </c>
      <c r="U803" t="s">
        <v>47678</v>
      </c>
      <c r="W803" t="s">
        <v>40964</v>
      </c>
      <c r="X803" t="s">
        <v>44762</v>
      </c>
    </row>
    <row r="804" spans="1:24">
      <c r="A804">
        <f>HYPERLINK("https://www.philgeps.gov.ph/GEPSNONPILOT/Tender/SplashBidNoticeAbstractUI.aspx?menuIndex=3&amp;refID=7152933&amp;Result=3","7152933")</f>
        <v>0</v>
      </c>
      <c r="B804" t="s">
        <v>404</v>
      </c>
      <c r="C804" t="s">
        <v>4546</v>
      </c>
      <c r="D804" t="s">
        <v>17976</v>
      </c>
      <c r="E804" t="s">
        <v>18816</v>
      </c>
      <c r="F804" t="s">
        <v>30900</v>
      </c>
      <c r="G804" t="s">
        <v>30908</v>
      </c>
      <c r="H804" t="s">
        <v>30916</v>
      </c>
      <c r="I804" t="s">
        <v>4108</v>
      </c>
      <c r="J804" t="s">
        <v>31685</v>
      </c>
      <c r="K804" t="s">
        <v>40289</v>
      </c>
      <c r="M804" t="s">
        <v>40959</v>
      </c>
      <c r="N804" t="s">
        <v>44759</v>
      </c>
      <c r="O804" t="s">
        <v>44760</v>
      </c>
      <c r="P804">
        <v>0</v>
      </c>
      <c r="Q804">
        <v>0</v>
      </c>
      <c r="R804" t="s">
        <v>44761</v>
      </c>
      <c r="S804" t="s">
        <v>44862</v>
      </c>
      <c r="T804" t="s">
        <v>46382</v>
      </c>
      <c r="U804" t="s">
        <v>47679</v>
      </c>
      <c r="W804" t="s">
        <v>40959</v>
      </c>
      <c r="X804" t="s">
        <v>44762</v>
      </c>
    </row>
    <row r="805" spans="1:24">
      <c r="A805">
        <f>HYPERLINK("https://www.philgeps.gov.ph/GEPSNONPILOT/Tender/SplashBidNoticeAbstractUI.aspx?menuIndex=3&amp;refID=7152932&amp;Result=3","7152932")</f>
        <v>0</v>
      </c>
      <c r="B805" t="s">
        <v>453</v>
      </c>
      <c r="C805" t="s">
        <v>4547</v>
      </c>
      <c r="E805" t="s">
        <v>18817</v>
      </c>
      <c r="F805" t="s">
        <v>30900</v>
      </c>
      <c r="G805" t="s">
        <v>30908</v>
      </c>
      <c r="H805" t="s">
        <v>30916</v>
      </c>
      <c r="I805" t="s">
        <v>10602</v>
      </c>
      <c r="J805" t="s">
        <v>31686</v>
      </c>
      <c r="K805" t="s">
        <v>40289</v>
      </c>
      <c r="M805" t="s">
        <v>41010</v>
      </c>
      <c r="N805" t="s">
        <v>44759</v>
      </c>
      <c r="O805" t="s">
        <v>44760</v>
      </c>
      <c r="P805">
        <v>0</v>
      </c>
      <c r="Q805">
        <v>0</v>
      </c>
      <c r="R805" t="s">
        <v>44761</v>
      </c>
      <c r="S805" t="s">
        <v>44862</v>
      </c>
      <c r="T805" t="s">
        <v>46376</v>
      </c>
      <c r="U805" t="s">
        <v>47680</v>
      </c>
      <c r="W805" t="s">
        <v>41010</v>
      </c>
      <c r="X805" t="s">
        <v>44762</v>
      </c>
    </row>
    <row r="806" spans="1:24">
      <c r="A806">
        <f>HYPERLINK("https://www.philgeps.gov.ph/GEPSNONPILOT/Tender/SplashBidNoticeAbstractUI.aspx?menuIndex=3&amp;refID=7152930&amp;Result=3","7152930")</f>
        <v>0</v>
      </c>
      <c r="B806" t="s">
        <v>447</v>
      </c>
      <c r="C806" t="s">
        <v>4548</v>
      </c>
      <c r="D806" t="s">
        <v>17978</v>
      </c>
      <c r="E806" t="s">
        <v>18818</v>
      </c>
      <c r="F806" t="s">
        <v>30900</v>
      </c>
      <c r="G806" t="s">
        <v>30908</v>
      </c>
      <c r="H806" t="s">
        <v>30916</v>
      </c>
      <c r="I806" t="s">
        <v>10847</v>
      </c>
      <c r="J806" t="s">
        <v>31043</v>
      </c>
      <c r="K806" t="s">
        <v>40285</v>
      </c>
      <c r="M806" t="s">
        <v>41004</v>
      </c>
      <c r="N806" t="s">
        <v>44759</v>
      </c>
      <c r="O806" t="s">
        <v>44760</v>
      </c>
      <c r="P806">
        <v>0</v>
      </c>
      <c r="Q806">
        <v>0</v>
      </c>
      <c r="R806" t="s">
        <v>44761</v>
      </c>
      <c r="S806" t="s">
        <v>44862</v>
      </c>
      <c r="T806" t="s">
        <v>46399</v>
      </c>
      <c r="U806" t="s">
        <v>47665</v>
      </c>
      <c r="W806" t="s">
        <v>41004</v>
      </c>
      <c r="X806" t="s">
        <v>44762</v>
      </c>
    </row>
    <row r="807" spans="1:24">
      <c r="A807">
        <f>HYPERLINK("https://www.philgeps.gov.ph/GEPSNONPILOT/Tender/SplashBidNoticeAbstractUI.aspx?menuIndex=3&amp;refID=7152929&amp;Result=3","7152929")</f>
        <v>0</v>
      </c>
      <c r="B807" t="s">
        <v>438</v>
      </c>
      <c r="C807" t="s">
        <v>4549</v>
      </c>
      <c r="D807" t="s">
        <v>18027</v>
      </c>
      <c r="E807" t="s">
        <v>18819</v>
      </c>
      <c r="F807" t="s">
        <v>30900</v>
      </c>
      <c r="G807" t="s">
        <v>30907</v>
      </c>
      <c r="H807" t="s">
        <v>30916</v>
      </c>
      <c r="I807" t="s">
        <v>30949</v>
      </c>
      <c r="J807" t="s">
        <v>31687</v>
      </c>
      <c r="K807" t="s">
        <v>40287</v>
      </c>
      <c r="M807" t="s">
        <v>40995</v>
      </c>
      <c r="N807" t="s">
        <v>44759</v>
      </c>
      <c r="O807" t="s">
        <v>44760</v>
      </c>
      <c r="P807">
        <v>0</v>
      </c>
      <c r="Q807">
        <v>0</v>
      </c>
      <c r="R807" t="s">
        <v>44761</v>
      </c>
      <c r="S807" t="s">
        <v>44862</v>
      </c>
      <c r="T807" t="s">
        <v>46486</v>
      </c>
      <c r="U807" t="s">
        <v>47681</v>
      </c>
      <c r="W807" t="s">
        <v>40995</v>
      </c>
      <c r="X807" t="s">
        <v>44762</v>
      </c>
    </row>
    <row r="808" spans="1:24">
      <c r="A808">
        <f>HYPERLINK("https://www.philgeps.gov.ph/GEPSNONPILOT/Tender/SplashBidNoticeAbstractUI.aspx?menuIndex=3&amp;refID=7152927&amp;Result=3","7152927")</f>
        <v>0</v>
      </c>
      <c r="B808" t="s">
        <v>419</v>
      </c>
      <c r="C808" t="s">
        <v>4550</v>
      </c>
      <c r="D808" t="s">
        <v>18012</v>
      </c>
      <c r="E808" t="s">
        <v>18820</v>
      </c>
      <c r="F808" t="s">
        <v>30900</v>
      </c>
      <c r="G808" t="s">
        <v>30907</v>
      </c>
      <c r="H808" t="s">
        <v>30916</v>
      </c>
      <c r="I808" t="s">
        <v>30927</v>
      </c>
      <c r="J808" t="s">
        <v>31688</v>
      </c>
      <c r="K808" t="s">
        <v>40291</v>
      </c>
      <c r="M808" t="s">
        <v>40975</v>
      </c>
      <c r="N808" t="s">
        <v>44759</v>
      </c>
      <c r="O808" t="s">
        <v>44760</v>
      </c>
      <c r="P808">
        <v>0</v>
      </c>
      <c r="Q808">
        <v>0</v>
      </c>
      <c r="R808" t="s">
        <v>44761</v>
      </c>
      <c r="S808" t="s">
        <v>44862</v>
      </c>
      <c r="T808" t="s">
        <v>46350</v>
      </c>
      <c r="U808" t="s">
        <v>47682</v>
      </c>
      <c r="V808" t="s">
        <v>59206</v>
      </c>
      <c r="W808" t="s">
        <v>40975</v>
      </c>
      <c r="X808" t="s">
        <v>44762</v>
      </c>
    </row>
    <row r="809" spans="1:24">
      <c r="A809">
        <f>HYPERLINK("https://www.philgeps.gov.ph/GEPSNONPILOT/Tender/SplashBidNoticeAbstractUI.aspx?menuIndex=3&amp;refID=7152941&amp;Result=3","7152941")</f>
        <v>0</v>
      </c>
      <c r="B809" t="s">
        <v>146</v>
      </c>
      <c r="C809" t="s">
        <v>4551</v>
      </c>
      <c r="D809" t="s">
        <v>18004</v>
      </c>
      <c r="E809" t="s">
        <v>18821</v>
      </c>
      <c r="F809" t="s">
        <v>30900</v>
      </c>
      <c r="G809" t="s">
        <v>30907</v>
      </c>
      <c r="H809" t="s">
        <v>30915</v>
      </c>
      <c r="I809" t="s">
        <v>30919</v>
      </c>
      <c r="J809" t="s">
        <v>31689</v>
      </c>
      <c r="K809" t="s">
        <v>40336</v>
      </c>
      <c r="M809" t="s">
        <v>40693</v>
      </c>
      <c r="N809" t="s">
        <v>44759</v>
      </c>
      <c r="O809" t="s">
        <v>44760</v>
      </c>
      <c r="P809">
        <v>0</v>
      </c>
      <c r="Q809">
        <v>0</v>
      </c>
      <c r="R809" t="s">
        <v>44761</v>
      </c>
      <c r="S809" t="s">
        <v>44862</v>
      </c>
      <c r="T809" t="s">
        <v>46352</v>
      </c>
      <c r="U809" t="s">
        <v>47160</v>
      </c>
      <c r="V809" t="s">
        <v>59220</v>
      </c>
      <c r="W809" t="s">
        <v>40693</v>
      </c>
      <c r="X809" t="s">
        <v>44762</v>
      </c>
    </row>
    <row r="810" spans="1:24">
      <c r="A810">
        <f>HYPERLINK("https://www.philgeps.gov.ph/GEPSNONPILOT/Tender/SplashBidNoticeAbstractUI.aspx?menuIndex=3&amp;refID=7152940&amp;Result=3","7152940")</f>
        <v>0</v>
      </c>
      <c r="B810" t="s">
        <v>421</v>
      </c>
      <c r="C810" t="s">
        <v>4552</v>
      </c>
      <c r="D810" t="s">
        <v>18012</v>
      </c>
      <c r="E810" t="s">
        <v>18822</v>
      </c>
      <c r="F810" t="s">
        <v>30900</v>
      </c>
      <c r="G810" t="s">
        <v>30907</v>
      </c>
      <c r="H810" t="s">
        <v>30916</v>
      </c>
      <c r="I810" t="s">
        <v>4545</v>
      </c>
      <c r="J810" t="s">
        <v>31690</v>
      </c>
      <c r="K810" t="s">
        <v>40283</v>
      </c>
      <c r="M810" t="s">
        <v>40977</v>
      </c>
      <c r="N810" t="s">
        <v>44759</v>
      </c>
      <c r="O810" t="s">
        <v>44760</v>
      </c>
      <c r="P810">
        <v>0</v>
      </c>
      <c r="Q810">
        <v>0</v>
      </c>
      <c r="R810" t="s">
        <v>44761</v>
      </c>
      <c r="S810" t="s">
        <v>44862</v>
      </c>
      <c r="T810" t="s">
        <v>46418</v>
      </c>
      <c r="U810" t="s">
        <v>47624</v>
      </c>
      <c r="V810" t="s">
        <v>59207</v>
      </c>
      <c r="W810" t="s">
        <v>40977</v>
      </c>
      <c r="X810" t="s">
        <v>44762</v>
      </c>
    </row>
    <row r="811" spans="1:24">
      <c r="A811">
        <f>HYPERLINK("https://www.philgeps.gov.ph/GEPSNONPILOT/Tender/SplashBidNoticeAbstractUI.aspx?menuIndex=3&amp;refID=7152939&amp;Result=3","7152939")</f>
        <v>0</v>
      </c>
      <c r="B811" t="s">
        <v>454</v>
      </c>
      <c r="C811" t="s">
        <v>4553</v>
      </c>
      <c r="D811" t="s">
        <v>17955</v>
      </c>
      <c r="E811" t="s">
        <v>18823</v>
      </c>
      <c r="F811" t="s">
        <v>30900</v>
      </c>
      <c r="G811" t="s">
        <v>30908</v>
      </c>
      <c r="H811" t="s">
        <v>30916</v>
      </c>
      <c r="I811" t="s">
        <v>6746</v>
      </c>
      <c r="J811" t="s">
        <v>31691</v>
      </c>
      <c r="K811" t="s">
        <v>40283</v>
      </c>
      <c r="M811" t="s">
        <v>41011</v>
      </c>
      <c r="N811" t="s">
        <v>44759</v>
      </c>
      <c r="O811" t="s">
        <v>44760</v>
      </c>
      <c r="P811">
        <v>0</v>
      </c>
      <c r="Q811">
        <v>0</v>
      </c>
      <c r="R811" t="s">
        <v>44761</v>
      </c>
      <c r="S811" t="s">
        <v>44862</v>
      </c>
      <c r="T811" t="s">
        <v>46412</v>
      </c>
      <c r="U811" t="s">
        <v>47683</v>
      </c>
      <c r="W811" t="s">
        <v>41011</v>
      </c>
      <c r="X811" t="s">
        <v>44762</v>
      </c>
    </row>
    <row r="812" spans="1:24">
      <c r="A812">
        <f>HYPERLINK("https://www.philgeps.gov.ph/GEPSNONPILOT/Tender/SplashBidNoticeAbstractUI.aspx?menuIndex=3&amp;refID=7152919&amp;Result=3","7152919")</f>
        <v>0</v>
      </c>
      <c r="B812" t="s">
        <v>105</v>
      </c>
      <c r="C812" t="s">
        <v>4554</v>
      </c>
      <c r="D812" t="s">
        <v>17952</v>
      </c>
      <c r="E812" t="s">
        <v>18824</v>
      </c>
      <c r="F812" t="s">
        <v>30900</v>
      </c>
      <c r="G812" t="s">
        <v>30907</v>
      </c>
      <c r="H812" t="s">
        <v>30915</v>
      </c>
      <c r="I812" t="s">
        <v>30919</v>
      </c>
      <c r="J812" t="s">
        <v>31692</v>
      </c>
      <c r="K812" t="s">
        <v>40308</v>
      </c>
      <c r="M812" t="s">
        <v>41012</v>
      </c>
      <c r="N812" t="s">
        <v>44759</v>
      </c>
      <c r="O812" t="s">
        <v>44760</v>
      </c>
      <c r="P812">
        <v>0</v>
      </c>
      <c r="Q812">
        <v>0</v>
      </c>
      <c r="R812" t="s">
        <v>44761</v>
      </c>
      <c r="S812" t="s">
        <v>44862</v>
      </c>
      <c r="T812" t="s">
        <v>46488</v>
      </c>
      <c r="U812" t="s">
        <v>47684</v>
      </c>
      <c r="W812" t="s">
        <v>41012</v>
      </c>
      <c r="X812" t="s">
        <v>44762</v>
      </c>
    </row>
    <row r="813" spans="1:24">
      <c r="A813">
        <f>HYPERLINK("https://www.philgeps.gov.ph/GEPSNONPILOT/Tender/SplashBidNoticeAbstractUI.aspx?menuIndex=3&amp;refID=7152924&amp;Result=3","7152924")</f>
        <v>0</v>
      </c>
      <c r="B813" t="s">
        <v>455</v>
      </c>
      <c r="C813" t="s">
        <v>4555</v>
      </c>
      <c r="D813" t="s">
        <v>17995</v>
      </c>
      <c r="E813" t="s">
        <v>18825</v>
      </c>
      <c r="F813" t="s">
        <v>30900</v>
      </c>
      <c r="G813" t="s">
        <v>30908</v>
      </c>
      <c r="H813" t="s">
        <v>30916</v>
      </c>
      <c r="I813" t="s">
        <v>30921</v>
      </c>
      <c r="J813" t="s">
        <v>31693</v>
      </c>
      <c r="K813" t="s">
        <v>40283</v>
      </c>
      <c r="M813" t="s">
        <v>41013</v>
      </c>
      <c r="N813" t="s">
        <v>44759</v>
      </c>
      <c r="O813" t="s">
        <v>44760</v>
      </c>
      <c r="P813">
        <v>0</v>
      </c>
      <c r="Q813">
        <v>0</v>
      </c>
      <c r="R813" t="s">
        <v>44761</v>
      </c>
      <c r="S813" t="s">
        <v>44862</v>
      </c>
      <c r="T813" t="s">
        <v>46357</v>
      </c>
      <c r="U813" t="s">
        <v>47685</v>
      </c>
      <c r="W813" t="s">
        <v>41013</v>
      </c>
      <c r="X813" t="s">
        <v>44762</v>
      </c>
    </row>
    <row r="814" spans="1:24">
      <c r="A814">
        <f>HYPERLINK("https://www.philgeps.gov.ph/GEPSNONPILOT/Tender/SplashBidNoticeAbstractUI.aspx?menuIndex=3&amp;refID=7152894&amp;Result=3","7152894")</f>
        <v>0</v>
      </c>
      <c r="B814" t="s">
        <v>147</v>
      </c>
      <c r="C814" t="s">
        <v>4556</v>
      </c>
      <c r="D814" t="s">
        <v>17970</v>
      </c>
      <c r="E814" t="s">
        <v>18826</v>
      </c>
      <c r="F814" t="s">
        <v>30900</v>
      </c>
      <c r="G814" t="s">
        <v>30908</v>
      </c>
      <c r="H814" t="s">
        <v>30916</v>
      </c>
      <c r="I814" t="s">
        <v>30978</v>
      </c>
      <c r="J814" t="s">
        <v>31694</v>
      </c>
      <c r="K814" t="s">
        <v>40286</v>
      </c>
      <c r="M814" t="s">
        <v>40694</v>
      </c>
      <c r="N814" t="s">
        <v>44759</v>
      </c>
      <c r="O814" t="s">
        <v>44760</v>
      </c>
      <c r="P814">
        <v>0</v>
      </c>
      <c r="Q814">
        <v>0</v>
      </c>
      <c r="R814" t="s">
        <v>44761</v>
      </c>
      <c r="S814" t="s">
        <v>44862</v>
      </c>
      <c r="T814" t="s">
        <v>46421</v>
      </c>
      <c r="U814" t="s">
        <v>47686</v>
      </c>
      <c r="W814" t="s">
        <v>40694</v>
      </c>
      <c r="X814" t="s">
        <v>44762</v>
      </c>
    </row>
    <row r="815" spans="1:24">
      <c r="A815">
        <f>HYPERLINK("https://www.philgeps.gov.ph/GEPSNONPILOT/Tender/SplashBidNoticeAbstractUI.aspx?menuIndex=3&amp;refID=7152922&amp;Result=3","7152922")</f>
        <v>0</v>
      </c>
      <c r="B815" t="s">
        <v>446</v>
      </c>
      <c r="C815" t="s">
        <v>4557</v>
      </c>
      <c r="D815" t="s">
        <v>17952</v>
      </c>
      <c r="E815" t="s">
        <v>18827</v>
      </c>
      <c r="F815" t="s">
        <v>30900</v>
      </c>
      <c r="G815" t="s">
        <v>30907</v>
      </c>
      <c r="H815" t="s">
        <v>30915</v>
      </c>
      <c r="I815" t="s">
        <v>30948</v>
      </c>
      <c r="J815" t="s">
        <v>31243</v>
      </c>
      <c r="K815" t="s">
        <v>40292</v>
      </c>
      <c r="M815" t="s">
        <v>41003</v>
      </c>
      <c r="N815" t="s">
        <v>44759</v>
      </c>
      <c r="O815" t="s">
        <v>44760</v>
      </c>
      <c r="P815">
        <v>0</v>
      </c>
      <c r="Q815">
        <v>0</v>
      </c>
      <c r="R815" t="s">
        <v>44761</v>
      </c>
      <c r="S815" t="s">
        <v>44862</v>
      </c>
      <c r="T815" t="s">
        <v>46411</v>
      </c>
      <c r="U815" t="s">
        <v>47687</v>
      </c>
      <c r="W815" t="s">
        <v>41003</v>
      </c>
      <c r="X815" t="s">
        <v>44762</v>
      </c>
    </row>
    <row r="816" spans="1:24">
      <c r="A816">
        <f>HYPERLINK("https://www.philgeps.gov.ph/GEPSNONPILOT/Tender/SplashBidNoticeAbstractUI.aspx?menuIndex=3&amp;refID=7152931&amp;Result=3","7152931")</f>
        <v>0</v>
      </c>
      <c r="B816" t="s">
        <v>456</v>
      </c>
      <c r="C816" t="s">
        <v>4558</v>
      </c>
      <c r="D816" t="s">
        <v>18027</v>
      </c>
      <c r="E816" t="s">
        <v>18828</v>
      </c>
      <c r="F816" t="s">
        <v>30900</v>
      </c>
      <c r="G816" t="s">
        <v>30907</v>
      </c>
      <c r="H816" t="s">
        <v>30915</v>
      </c>
      <c r="I816" t="s">
        <v>30964</v>
      </c>
      <c r="J816" t="s">
        <v>31407</v>
      </c>
      <c r="K816" t="s">
        <v>40288</v>
      </c>
      <c r="M816" t="s">
        <v>41014</v>
      </c>
      <c r="N816" t="s">
        <v>44759</v>
      </c>
      <c r="O816" t="s">
        <v>44760</v>
      </c>
      <c r="P816">
        <v>0</v>
      </c>
      <c r="Q816">
        <v>0</v>
      </c>
      <c r="R816" t="s">
        <v>44761</v>
      </c>
      <c r="S816" t="s">
        <v>44862</v>
      </c>
      <c r="T816" t="s">
        <v>46382</v>
      </c>
      <c r="U816" t="s">
        <v>47688</v>
      </c>
      <c r="W816" t="s">
        <v>41014</v>
      </c>
      <c r="X816" t="s">
        <v>44762</v>
      </c>
    </row>
    <row r="817" spans="1:24">
      <c r="A817">
        <f>HYPERLINK("https://www.philgeps.gov.ph/GEPSNONPILOT/Tender/SplashBidNoticeAbstractUI.aspx?menuIndex=3&amp;refID=7152921&amp;Result=3","7152921")</f>
        <v>0</v>
      </c>
      <c r="B817" t="s">
        <v>212</v>
      </c>
      <c r="C817" t="s">
        <v>4532</v>
      </c>
      <c r="D817" t="s">
        <v>17962</v>
      </c>
      <c r="E817" t="s">
        <v>18829</v>
      </c>
      <c r="F817" t="s">
        <v>30900</v>
      </c>
      <c r="G817" t="s">
        <v>30907</v>
      </c>
      <c r="H817" t="s">
        <v>30916</v>
      </c>
      <c r="I817" t="s">
        <v>6396</v>
      </c>
      <c r="J817" t="s">
        <v>31695</v>
      </c>
      <c r="K817" t="s">
        <v>40291</v>
      </c>
      <c r="M817" t="s">
        <v>40759</v>
      </c>
      <c r="N817" t="s">
        <v>44759</v>
      </c>
      <c r="O817" t="s">
        <v>44760</v>
      </c>
      <c r="P817">
        <v>0</v>
      </c>
      <c r="Q817">
        <v>0</v>
      </c>
      <c r="R817" t="s">
        <v>44761</v>
      </c>
      <c r="S817" t="s">
        <v>44862</v>
      </c>
      <c r="T817" t="s">
        <v>46489</v>
      </c>
      <c r="U817" t="s">
        <v>47689</v>
      </c>
      <c r="W817" t="s">
        <v>40759</v>
      </c>
      <c r="X817" t="s">
        <v>44762</v>
      </c>
    </row>
    <row r="818" spans="1:24">
      <c r="A818">
        <f>HYPERLINK("https://www.philgeps.gov.ph/GEPSNONPILOT/Tender/SplashBidNoticeAbstractUI.aspx?menuIndex=3&amp;refID=7152917&amp;Result=3","7152917")</f>
        <v>0</v>
      </c>
      <c r="B818" t="s">
        <v>130</v>
      </c>
      <c r="C818" t="s">
        <v>4559</v>
      </c>
      <c r="D818" t="s">
        <v>17979</v>
      </c>
      <c r="E818" t="s">
        <v>18830</v>
      </c>
      <c r="F818" t="s">
        <v>30900</v>
      </c>
      <c r="G818" t="s">
        <v>30908</v>
      </c>
      <c r="H818" t="s">
        <v>30916</v>
      </c>
      <c r="I818" t="s">
        <v>10602</v>
      </c>
      <c r="J818" t="s">
        <v>31696</v>
      </c>
      <c r="K818" t="s">
        <v>40282</v>
      </c>
      <c r="M818" t="s">
        <v>40677</v>
      </c>
      <c r="N818" t="s">
        <v>44759</v>
      </c>
      <c r="O818" t="s">
        <v>44760</v>
      </c>
      <c r="P818">
        <v>0</v>
      </c>
      <c r="Q818">
        <v>0</v>
      </c>
      <c r="R818" t="s">
        <v>44761</v>
      </c>
      <c r="S818" t="s">
        <v>44862</v>
      </c>
      <c r="T818" t="s">
        <v>46376</v>
      </c>
      <c r="U818" t="s">
        <v>47690</v>
      </c>
      <c r="W818" t="s">
        <v>40677</v>
      </c>
      <c r="X818" t="s">
        <v>44762</v>
      </c>
    </row>
    <row r="819" spans="1:24">
      <c r="A819">
        <f>HYPERLINK("https://www.philgeps.gov.ph/GEPSNONPILOT/Tender/SplashBidNoticeAbstractUI.aspx?menuIndex=3&amp;refID=7152937&amp;Result=3","7152937")</f>
        <v>0</v>
      </c>
      <c r="B819" t="s">
        <v>143</v>
      </c>
      <c r="C819" t="s">
        <v>4560</v>
      </c>
      <c r="D819" t="s">
        <v>17965</v>
      </c>
      <c r="E819" t="s">
        <v>18831</v>
      </c>
      <c r="F819" t="s">
        <v>30900</v>
      </c>
      <c r="G819" t="s">
        <v>30907</v>
      </c>
      <c r="H819" t="s">
        <v>30915</v>
      </c>
      <c r="I819" t="s">
        <v>30919</v>
      </c>
      <c r="J819" t="s">
        <v>31697</v>
      </c>
      <c r="K819" t="s">
        <v>40337</v>
      </c>
      <c r="M819" t="s">
        <v>40854</v>
      </c>
      <c r="N819" t="s">
        <v>44759</v>
      </c>
      <c r="O819" t="s">
        <v>44760</v>
      </c>
      <c r="P819">
        <v>0</v>
      </c>
      <c r="Q819">
        <v>0</v>
      </c>
      <c r="R819" t="s">
        <v>44761</v>
      </c>
      <c r="S819" t="s">
        <v>44862</v>
      </c>
      <c r="T819" t="s">
        <v>46418</v>
      </c>
      <c r="U819" t="s">
        <v>47423</v>
      </c>
      <c r="W819" t="s">
        <v>40854</v>
      </c>
      <c r="X819" t="s">
        <v>44762</v>
      </c>
    </row>
    <row r="820" spans="1:24">
      <c r="A820">
        <f>HYPERLINK("https://www.philgeps.gov.ph/GEPSNONPILOT/Tender/SplashBidNoticeAbstractUI.aspx?menuIndex=3&amp;refID=7152923&amp;Result=3","7152923")</f>
        <v>0</v>
      </c>
      <c r="B820" t="s">
        <v>457</v>
      </c>
      <c r="C820" t="s">
        <v>4561</v>
      </c>
      <c r="E820" t="s">
        <v>18832</v>
      </c>
      <c r="F820" t="s">
        <v>30900</v>
      </c>
      <c r="G820" t="s">
        <v>30907</v>
      </c>
      <c r="H820" t="s">
        <v>30916</v>
      </c>
      <c r="I820" t="s">
        <v>4061</v>
      </c>
      <c r="J820" t="s">
        <v>31698</v>
      </c>
      <c r="K820" t="s">
        <v>40289</v>
      </c>
      <c r="M820" t="s">
        <v>41015</v>
      </c>
      <c r="N820" t="s">
        <v>44759</v>
      </c>
      <c r="O820" t="s">
        <v>44760</v>
      </c>
      <c r="P820">
        <v>0</v>
      </c>
      <c r="Q820">
        <v>0</v>
      </c>
      <c r="R820" t="s">
        <v>44761</v>
      </c>
      <c r="S820" t="s">
        <v>44862</v>
      </c>
      <c r="T820" t="s">
        <v>46445</v>
      </c>
      <c r="U820" t="s">
        <v>47691</v>
      </c>
      <c r="W820" t="s">
        <v>41015</v>
      </c>
      <c r="X820" t="s">
        <v>44762</v>
      </c>
    </row>
    <row r="821" spans="1:24">
      <c r="A821">
        <f>HYPERLINK("https://www.philgeps.gov.ph/GEPSNONPILOT/Tender/SplashBidNoticeAbstractUI.aspx?menuIndex=3&amp;refID=7152942&amp;Result=3","7152942")</f>
        <v>0</v>
      </c>
      <c r="B821" t="s">
        <v>292</v>
      </c>
      <c r="C821" t="s">
        <v>4562</v>
      </c>
      <c r="D821" t="s">
        <v>17963</v>
      </c>
      <c r="E821" t="s">
        <v>18833</v>
      </c>
      <c r="F821" t="s">
        <v>30900</v>
      </c>
      <c r="G821" t="s">
        <v>30910</v>
      </c>
      <c r="H821" t="s">
        <v>30916</v>
      </c>
      <c r="I821" t="s">
        <v>4142</v>
      </c>
      <c r="J821" t="s">
        <v>31699</v>
      </c>
      <c r="K821" t="s">
        <v>40289</v>
      </c>
      <c r="M821" t="s">
        <v>40840</v>
      </c>
      <c r="N821" t="s">
        <v>44759</v>
      </c>
      <c r="O821" t="s">
        <v>44760</v>
      </c>
      <c r="P821">
        <v>0</v>
      </c>
      <c r="Q821">
        <v>0</v>
      </c>
      <c r="R821" t="s">
        <v>44761</v>
      </c>
      <c r="S821" t="s">
        <v>44862</v>
      </c>
      <c r="T821" t="s">
        <v>46376</v>
      </c>
      <c r="U821" t="s">
        <v>47692</v>
      </c>
      <c r="W821" t="s">
        <v>40840</v>
      </c>
      <c r="X821" t="s">
        <v>44762</v>
      </c>
    </row>
    <row r="822" spans="1:24">
      <c r="A822">
        <f>HYPERLINK("https://www.philgeps.gov.ph/GEPSNONPILOT/Tender/SplashBidNoticeAbstractUI.aspx?menuIndex=3&amp;refID=7152951&amp;Result=3","7152951")</f>
        <v>0</v>
      </c>
      <c r="B822" t="s">
        <v>455</v>
      </c>
      <c r="C822" t="s">
        <v>4563</v>
      </c>
      <c r="D822" t="s">
        <v>17995</v>
      </c>
      <c r="E822" t="s">
        <v>18834</v>
      </c>
      <c r="F822" t="s">
        <v>30900</v>
      </c>
      <c r="G822" t="s">
        <v>30908</v>
      </c>
      <c r="H822" t="s">
        <v>30916</v>
      </c>
      <c r="I822" t="s">
        <v>30921</v>
      </c>
      <c r="J822" t="s">
        <v>31700</v>
      </c>
      <c r="K822" t="s">
        <v>40283</v>
      </c>
      <c r="M822" t="s">
        <v>41013</v>
      </c>
      <c r="N822" t="s">
        <v>44759</v>
      </c>
      <c r="O822" t="s">
        <v>44760</v>
      </c>
      <c r="P822">
        <v>0</v>
      </c>
      <c r="Q822">
        <v>0</v>
      </c>
      <c r="R822" t="s">
        <v>44761</v>
      </c>
      <c r="S822" t="s">
        <v>44862</v>
      </c>
      <c r="T822" t="s">
        <v>46357</v>
      </c>
      <c r="U822" t="s">
        <v>47693</v>
      </c>
      <c r="W822" t="s">
        <v>41013</v>
      </c>
      <c r="X822" t="s">
        <v>44762</v>
      </c>
    </row>
    <row r="823" spans="1:24">
      <c r="A823">
        <f>HYPERLINK("https://www.philgeps.gov.ph/GEPSNONPILOT/Tender/SplashBidNoticeAbstractUI.aspx?menuIndex=3&amp;refID=7152947&amp;Result=3","7152947")</f>
        <v>0</v>
      </c>
      <c r="B823" t="s">
        <v>293</v>
      </c>
      <c r="C823" t="s">
        <v>4564</v>
      </c>
      <c r="D823" t="s">
        <v>18023</v>
      </c>
      <c r="E823" t="s">
        <v>18835</v>
      </c>
      <c r="F823" t="s">
        <v>30900</v>
      </c>
      <c r="G823" t="s">
        <v>30907</v>
      </c>
      <c r="H823" t="s">
        <v>30916</v>
      </c>
      <c r="I823" t="s">
        <v>30918</v>
      </c>
      <c r="J823" t="s">
        <v>31701</v>
      </c>
      <c r="K823" t="s">
        <v>40283</v>
      </c>
      <c r="M823" t="s">
        <v>40841</v>
      </c>
      <c r="N823" t="s">
        <v>44759</v>
      </c>
      <c r="O823" t="s">
        <v>44760</v>
      </c>
      <c r="P823">
        <v>0</v>
      </c>
      <c r="Q823">
        <v>0</v>
      </c>
      <c r="R823" t="s">
        <v>44761</v>
      </c>
      <c r="S823" t="s">
        <v>44862</v>
      </c>
      <c r="T823" t="s">
        <v>46375</v>
      </c>
      <c r="U823" t="s">
        <v>47694</v>
      </c>
      <c r="W823" t="s">
        <v>40841</v>
      </c>
      <c r="X823" t="s">
        <v>44762</v>
      </c>
    </row>
    <row r="824" spans="1:24">
      <c r="A824">
        <f>HYPERLINK("https://www.philgeps.gov.ph/GEPSNONPILOT/Tender/SplashBidNoticeAbstractUI.aspx?menuIndex=3&amp;refID=7152871&amp;Result=3","7152871")</f>
        <v>0</v>
      </c>
      <c r="B824" t="s">
        <v>402</v>
      </c>
      <c r="C824" t="s">
        <v>4565</v>
      </c>
      <c r="D824" t="s">
        <v>17982</v>
      </c>
      <c r="E824" t="s">
        <v>18836</v>
      </c>
      <c r="F824" t="s">
        <v>30900</v>
      </c>
      <c r="G824" t="s">
        <v>30907</v>
      </c>
      <c r="H824" t="s">
        <v>30915</v>
      </c>
      <c r="I824" t="s">
        <v>30919</v>
      </c>
      <c r="J824" t="s">
        <v>31152</v>
      </c>
      <c r="K824" t="s">
        <v>40304</v>
      </c>
      <c r="M824" t="s">
        <v>40957</v>
      </c>
      <c r="N824" t="s">
        <v>44759</v>
      </c>
      <c r="O824" t="s">
        <v>44760</v>
      </c>
      <c r="P824">
        <v>0</v>
      </c>
      <c r="Q824">
        <v>0</v>
      </c>
      <c r="R824" t="s">
        <v>44761</v>
      </c>
      <c r="S824" t="s">
        <v>44862</v>
      </c>
      <c r="T824" t="s">
        <v>46375</v>
      </c>
      <c r="U824" t="s">
        <v>47590</v>
      </c>
      <c r="W824" t="s">
        <v>40957</v>
      </c>
      <c r="X824" t="s">
        <v>44762</v>
      </c>
    </row>
    <row r="825" spans="1:24">
      <c r="A825">
        <f>HYPERLINK("https://www.philgeps.gov.ph/GEPSNONPILOT/Tender/SplashBidNoticeAbstractUI.aspx?menuIndex=3&amp;refID=7152946&amp;Result=3","7152946")</f>
        <v>0</v>
      </c>
      <c r="B825" t="s">
        <v>130</v>
      </c>
      <c r="C825" t="s">
        <v>4566</v>
      </c>
      <c r="D825" t="s">
        <v>17979</v>
      </c>
      <c r="E825" t="s">
        <v>18837</v>
      </c>
      <c r="F825" t="s">
        <v>30900</v>
      </c>
      <c r="G825" t="s">
        <v>30908</v>
      </c>
      <c r="H825" t="s">
        <v>30916</v>
      </c>
      <c r="I825" t="s">
        <v>10602</v>
      </c>
      <c r="J825" t="s">
        <v>31702</v>
      </c>
      <c r="K825" t="s">
        <v>40315</v>
      </c>
      <c r="M825" t="s">
        <v>40677</v>
      </c>
      <c r="N825" t="s">
        <v>44759</v>
      </c>
      <c r="O825" t="s">
        <v>44760</v>
      </c>
      <c r="P825">
        <v>0</v>
      </c>
      <c r="Q825">
        <v>0</v>
      </c>
      <c r="R825" t="s">
        <v>44761</v>
      </c>
      <c r="S825" t="s">
        <v>44862</v>
      </c>
      <c r="T825" t="s">
        <v>46376</v>
      </c>
      <c r="U825" t="s">
        <v>47695</v>
      </c>
      <c r="W825" t="s">
        <v>40677</v>
      </c>
      <c r="X825" t="s">
        <v>44762</v>
      </c>
    </row>
    <row r="826" spans="1:24">
      <c r="A826">
        <f>HYPERLINK("https://www.philgeps.gov.ph/GEPSNONPILOT/Tender/SplashBidNoticeAbstractUI.aspx?menuIndex=3&amp;refID=7152944&amp;Result=3","7152944")</f>
        <v>0</v>
      </c>
      <c r="B826" t="s">
        <v>458</v>
      </c>
      <c r="C826" t="s">
        <v>4567</v>
      </c>
      <c r="D826" t="s">
        <v>17951</v>
      </c>
      <c r="E826" t="s">
        <v>18234</v>
      </c>
      <c r="F826" t="s">
        <v>30900</v>
      </c>
      <c r="G826" t="s">
        <v>30907</v>
      </c>
      <c r="H826" t="s">
        <v>30916</v>
      </c>
      <c r="I826" t="s">
        <v>30922</v>
      </c>
      <c r="J826" t="s">
        <v>31703</v>
      </c>
      <c r="K826" t="s">
        <v>40283</v>
      </c>
      <c r="M826" t="s">
        <v>41016</v>
      </c>
      <c r="N826" t="s">
        <v>44759</v>
      </c>
      <c r="O826" t="s">
        <v>44760</v>
      </c>
      <c r="P826">
        <v>0</v>
      </c>
      <c r="Q826">
        <v>0</v>
      </c>
      <c r="R826" t="s">
        <v>44761</v>
      </c>
      <c r="S826" t="s">
        <v>44862</v>
      </c>
      <c r="T826" t="s">
        <v>46490</v>
      </c>
      <c r="U826" t="s">
        <v>47696</v>
      </c>
      <c r="V826" t="s">
        <v>59221</v>
      </c>
      <c r="W826" t="s">
        <v>41016</v>
      </c>
      <c r="X826" t="s">
        <v>44762</v>
      </c>
    </row>
    <row r="827" spans="1:24">
      <c r="A827">
        <f>HYPERLINK("https://www.philgeps.gov.ph/GEPSNONPILOT/Tender/SplashBidNoticeAbstractUI.aspx?menuIndex=3&amp;refID=7152943&amp;Result=3","7152943")</f>
        <v>0</v>
      </c>
      <c r="B827" t="s">
        <v>237</v>
      </c>
      <c r="C827" t="s">
        <v>4568</v>
      </c>
      <c r="D827" t="s">
        <v>17977</v>
      </c>
      <c r="E827" t="s">
        <v>18838</v>
      </c>
      <c r="F827" t="s">
        <v>30900</v>
      </c>
      <c r="G827" t="s">
        <v>30908</v>
      </c>
      <c r="H827" t="s">
        <v>30916</v>
      </c>
      <c r="I827" t="s">
        <v>8123</v>
      </c>
      <c r="J827" t="s">
        <v>31625</v>
      </c>
      <c r="K827" t="s">
        <v>40289</v>
      </c>
      <c r="M827" t="s">
        <v>40784</v>
      </c>
      <c r="N827" t="s">
        <v>44759</v>
      </c>
      <c r="O827" t="s">
        <v>44760</v>
      </c>
      <c r="P827">
        <v>0</v>
      </c>
      <c r="Q827">
        <v>0</v>
      </c>
      <c r="R827" t="s">
        <v>44761</v>
      </c>
      <c r="S827" t="s">
        <v>44862</v>
      </c>
      <c r="T827" t="s">
        <v>46393</v>
      </c>
      <c r="U827" t="s">
        <v>47697</v>
      </c>
      <c r="W827" t="s">
        <v>40784</v>
      </c>
      <c r="X827" t="s">
        <v>44762</v>
      </c>
    </row>
    <row r="828" spans="1:24">
      <c r="A828">
        <f>HYPERLINK("https://www.philgeps.gov.ph/GEPSNONPILOT/Tender/SplashBidNoticeAbstractUI.aspx?menuIndex=3&amp;refID=7152964&amp;Result=3","7152964")</f>
        <v>0</v>
      </c>
      <c r="B828" t="s">
        <v>143</v>
      </c>
      <c r="C828" t="s">
        <v>4569</v>
      </c>
      <c r="D828" t="s">
        <v>17965</v>
      </c>
      <c r="E828" t="s">
        <v>18839</v>
      </c>
      <c r="F828" t="s">
        <v>30900</v>
      </c>
      <c r="G828" t="s">
        <v>30907</v>
      </c>
      <c r="H828" t="s">
        <v>30915</v>
      </c>
      <c r="I828" t="s">
        <v>30919</v>
      </c>
      <c r="J828" t="s">
        <v>31704</v>
      </c>
      <c r="K828" t="s">
        <v>40283</v>
      </c>
      <c r="M828" t="s">
        <v>40854</v>
      </c>
      <c r="N828" t="s">
        <v>44759</v>
      </c>
      <c r="O828" t="s">
        <v>44760</v>
      </c>
      <c r="P828">
        <v>0</v>
      </c>
      <c r="Q828">
        <v>0</v>
      </c>
      <c r="R828" t="s">
        <v>44761</v>
      </c>
      <c r="S828" t="s">
        <v>44862</v>
      </c>
      <c r="T828" t="s">
        <v>46418</v>
      </c>
      <c r="U828" t="s">
        <v>47423</v>
      </c>
      <c r="W828" t="s">
        <v>40854</v>
      </c>
      <c r="X828" t="s">
        <v>44762</v>
      </c>
    </row>
    <row r="829" spans="1:24">
      <c r="A829">
        <f>HYPERLINK("https://www.philgeps.gov.ph/GEPSNONPILOT/Tender/SplashBidNoticeAbstractUI.aspx?menuIndex=3&amp;refID=7152952&amp;Result=3","7152952")</f>
        <v>0</v>
      </c>
      <c r="B829" t="s">
        <v>106</v>
      </c>
      <c r="C829" t="s">
        <v>4570</v>
      </c>
      <c r="D829" t="s">
        <v>17961</v>
      </c>
      <c r="E829" t="s">
        <v>18840</v>
      </c>
      <c r="F829" t="s">
        <v>30900</v>
      </c>
      <c r="G829" t="s">
        <v>30908</v>
      </c>
      <c r="H829" t="s">
        <v>30916</v>
      </c>
      <c r="I829" t="s">
        <v>10847</v>
      </c>
      <c r="J829" t="s">
        <v>31135</v>
      </c>
      <c r="K829" t="s">
        <v>40289</v>
      </c>
      <c r="M829" t="s">
        <v>40653</v>
      </c>
      <c r="N829" t="s">
        <v>44759</v>
      </c>
      <c r="O829" t="s">
        <v>44760</v>
      </c>
      <c r="P829">
        <v>0</v>
      </c>
      <c r="Q829">
        <v>0</v>
      </c>
      <c r="R829" t="s">
        <v>44761</v>
      </c>
      <c r="S829" t="s">
        <v>44862</v>
      </c>
      <c r="T829" t="s">
        <v>46376</v>
      </c>
      <c r="U829" t="s">
        <v>47698</v>
      </c>
      <c r="V829" t="s">
        <v>59168</v>
      </c>
      <c r="W829" t="s">
        <v>40653</v>
      </c>
      <c r="X829" t="s">
        <v>44762</v>
      </c>
    </row>
    <row r="830" spans="1:24">
      <c r="A830">
        <f>HYPERLINK("https://www.philgeps.gov.ph/GEPSNONPILOT/Tender/SplashBidNoticeAbstractUI.aspx?menuIndex=3&amp;refID=7152963&amp;Result=3","7152963")</f>
        <v>0</v>
      </c>
      <c r="B830" t="s">
        <v>459</v>
      </c>
      <c r="C830" t="s">
        <v>4571</v>
      </c>
      <c r="D830" t="s">
        <v>17978</v>
      </c>
      <c r="E830" t="s">
        <v>18841</v>
      </c>
      <c r="F830" t="s">
        <v>30900</v>
      </c>
      <c r="G830" t="s">
        <v>30910</v>
      </c>
      <c r="H830" t="s">
        <v>30916</v>
      </c>
      <c r="I830" t="s">
        <v>6396</v>
      </c>
      <c r="J830" t="s">
        <v>31705</v>
      </c>
      <c r="K830" t="s">
        <v>40288</v>
      </c>
      <c r="M830" t="s">
        <v>41017</v>
      </c>
      <c r="N830" t="s">
        <v>44759</v>
      </c>
      <c r="O830" t="s">
        <v>44760</v>
      </c>
      <c r="P830">
        <v>0</v>
      </c>
      <c r="Q830">
        <v>0</v>
      </c>
      <c r="R830" t="s">
        <v>44761</v>
      </c>
      <c r="S830" t="s">
        <v>44862</v>
      </c>
      <c r="T830" t="s">
        <v>46445</v>
      </c>
      <c r="U830" t="s">
        <v>47699</v>
      </c>
      <c r="W830" t="s">
        <v>41017</v>
      </c>
      <c r="X830" t="s">
        <v>44762</v>
      </c>
    </row>
    <row r="831" spans="1:24">
      <c r="A831">
        <f>HYPERLINK("https://www.philgeps.gov.ph/GEPSNONPILOT/Tender/SplashBidNoticeAbstractUI.aspx?menuIndex=3&amp;refID=7152961&amp;Result=3","7152961")</f>
        <v>0</v>
      </c>
      <c r="B831" t="s">
        <v>212</v>
      </c>
      <c r="C831" t="s">
        <v>4572</v>
      </c>
      <c r="D831" t="s">
        <v>17962</v>
      </c>
      <c r="E831" t="s">
        <v>18842</v>
      </c>
      <c r="F831" t="s">
        <v>30900</v>
      </c>
      <c r="G831" t="s">
        <v>30907</v>
      </c>
      <c r="H831" t="s">
        <v>30916</v>
      </c>
      <c r="I831" t="s">
        <v>6746</v>
      </c>
      <c r="J831" t="s">
        <v>31706</v>
      </c>
      <c r="K831" t="s">
        <v>40291</v>
      </c>
      <c r="M831" t="s">
        <v>40759</v>
      </c>
      <c r="N831" t="s">
        <v>44759</v>
      </c>
      <c r="O831" t="s">
        <v>44760</v>
      </c>
      <c r="P831">
        <v>0</v>
      </c>
      <c r="Q831">
        <v>0</v>
      </c>
      <c r="R831" t="s">
        <v>44761</v>
      </c>
      <c r="S831" t="s">
        <v>44862</v>
      </c>
      <c r="T831" t="s">
        <v>46489</v>
      </c>
      <c r="U831" t="s">
        <v>47689</v>
      </c>
      <c r="W831" t="s">
        <v>40759</v>
      </c>
      <c r="X831" t="s">
        <v>44762</v>
      </c>
    </row>
    <row r="832" spans="1:24">
      <c r="A832">
        <f>HYPERLINK("https://www.philgeps.gov.ph/GEPSNONPILOT/Tender/SplashBidNoticeAbstractUI.aspx?menuIndex=3&amp;refID=7152959&amp;Result=3","7152959")</f>
        <v>0</v>
      </c>
      <c r="B832" t="s">
        <v>460</v>
      </c>
      <c r="C832" t="s">
        <v>4573</v>
      </c>
      <c r="D832" t="s">
        <v>17968</v>
      </c>
      <c r="E832" t="s">
        <v>18843</v>
      </c>
      <c r="F832" t="s">
        <v>30900</v>
      </c>
      <c r="G832" t="s">
        <v>30908</v>
      </c>
      <c r="H832" t="s">
        <v>30916</v>
      </c>
      <c r="I832" t="s">
        <v>8123</v>
      </c>
      <c r="J832" t="s">
        <v>31707</v>
      </c>
      <c r="K832" t="s">
        <v>40283</v>
      </c>
      <c r="M832" t="s">
        <v>41018</v>
      </c>
      <c r="N832" t="s">
        <v>44759</v>
      </c>
      <c r="O832" t="s">
        <v>44760</v>
      </c>
      <c r="P832">
        <v>0</v>
      </c>
      <c r="Q832">
        <v>0</v>
      </c>
      <c r="R832" t="s">
        <v>44761</v>
      </c>
      <c r="S832" t="s">
        <v>44862</v>
      </c>
      <c r="T832" t="s">
        <v>46357</v>
      </c>
      <c r="U832" t="s">
        <v>47700</v>
      </c>
      <c r="V832" t="s">
        <v>59222</v>
      </c>
      <c r="W832" t="s">
        <v>41018</v>
      </c>
      <c r="X832" t="s">
        <v>44762</v>
      </c>
    </row>
    <row r="833" spans="1:24">
      <c r="A833">
        <f>HYPERLINK("https://www.philgeps.gov.ph/GEPSNONPILOT/Tender/SplashBidNoticeAbstractUI.aspx?menuIndex=3&amp;refID=7152957&amp;Result=3","7152957")</f>
        <v>0</v>
      </c>
      <c r="B833" t="s">
        <v>408</v>
      </c>
      <c r="C833" t="s">
        <v>4574</v>
      </c>
      <c r="E833" t="s">
        <v>18844</v>
      </c>
      <c r="F833" t="s">
        <v>30900</v>
      </c>
      <c r="G833" t="s">
        <v>30906</v>
      </c>
      <c r="H833" t="s">
        <v>30916</v>
      </c>
      <c r="I833" t="s">
        <v>30941</v>
      </c>
      <c r="J833" t="s">
        <v>31708</v>
      </c>
      <c r="K833" t="s">
        <v>40289</v>
      </c>
      <c r="M833" t="s">
        <v>40964</v>
      </c>
      <c r="N833" t="s">
        <v>44759</v>
      </c>
      <c r="O833" t="s">
        <v>44760</v>
      </c>
      <c r="P833">
        <v>0</v>
      </c>
      <c r="Q833">
        <v>0</v>
      </c>
      <c r="R833" t="s">
        <v>44761</v>
      </c>
      <c r="S833" t="s">
        <v>44862</v>
      </c>
      <c r="T833" t="s">
        <v>46484</v>
      </c>
      <c r="U833" t="s">
        <v>47701</v>
      </c>
      <c r="W833" t="s">
        <v>40964</v>
      </c>
      <c r="X833" t="s">
        <v>44762</v>
      </c>
    </row>
    <row r="834" spans="1:24">
      <c r="A834">
        <f>HYPERLINK("https://www.philgeps.gov.ph/GEPSNONPILOT/Tender/SplashBidNoticeAbstractUI.aspx?menuIndex=3&amp;refID=7152955&amp;Result=3","7152955")</f>
        <v>0</v>
      </c>
      <c r="B834" t="s">
        <v>461</v>
      </c>
      <c r="C834" t="s">
        <v>4575</v>
      </c>
      <c r="D834" t="s">
        <v>17977</v>
      </c>
      <c r="E834" t="s">
        <v>18845</v>
      </c>
      <c r="F834" t="s">
        <v>30900</v>
      </c>
      <c r="G834" t="s">
        <v>30908</v>
      </c>
      <c r="H834" t="s">
        <v>30916</v>
      </c>
      <c r="I834" t="s">
        <v>5830</v>
      </c>
      <c r="J834" t="s">
        <v>31709</v>
      </c>
      <c r="K834" t="s">
        <v>40289</v>
      </c>
      <c r="M834" t="s">
        <v>41019</v>
      </c>
      <c r="N834" t="s">
        <v>44759</v>
      </c>
      <c r="O834" t="s">
        <v>44760</v>
      </c>
      <c r="P834">
        <v>0</v>
      </c>
      <c r="Q834">
        <v>0</v>
      </c>
      <c r="R834" t="s">
        <v>44761</v>
      </c>
      <c r="S834" t="s">
        <v>44862</v>
      </c>
      <c r="T834" t="s">
        <v>46404</v>
      </c>
      <c r="U834" t="s">
        <v>47702</v>
      </c>
      <c r="W834" t="s">
        <v>41019</v>
      </c>
      <c r="X834" t="s">
        <v>44762</v>
      </c>
    </row>
    <row r="835" spans="1:24">
      <c r="A835">
        <f>HYPERLINK("https://www.philgeps.gov.ph/GEPSNONPILOT/Tender/SplashBidNoticeAbstractUI.aspx?menuIndex=3&amp;refID=7152954&amp;Result=3","7152954")</f>
        <v>0</v>
      </c>
      <c r="B835" t="s">
        <v>441</v>
      </c>
      <c r="C835" t="s">
        <v>4576</v>
      </c>
      <c r="D835" t="s">
        <v>17970</v>
      </c>
      <c r="E835" t="s">
        <v>18846</v>
      </c>
      <c r="F835" t="s">
        <v>30900</v>
      </c>
      <c r="G835" t="s">
        <v>30907</v>
      </c>
      <c r="H835" t="s">
        <v>30915</v>
      </c>
      <c r="I835" t="s">
        <v>30932</v>
      </c>
      <c r="J835" t="s">
        <v>31710</v>
      </c>
      <c r="K835" t="s">
        <v>40286</v>
      </c>
      <c r="M835" t="s">
        <v>40998</v>
      </c>
      <c r="N835" t="s">
        <v>44759</v>
      </c>
      <c r="O835" t="s">
        <v>44760</v>
      </c>
      <c r="P835">
        <v>0</v>
      </c>
      <c r="Q835">
        <v>0</v>
      </c>
      <c r="R835" t="s">
        <v>44761</v>
      </c>
      <c r="S835" t="s">
        <v>44862</v>
      </c>
      <c r="T835" t="s">
        <v>46350</v>
      </c>
      <c r="U835" t="s">
        <v>47703</v>
      </c>
      <c r="W835" t="s">
        <v>40998</v>
      </c>
      <c r="X835" t="s">
        <v>44762</v>
      </c>
    </row>
    <row r="836" spans="1:24">
      <c r="A836">
        <f>HYPERLINK("https://www.philgeps.gov.ph/GEPSNONPILOT/Tender/SplashBidNoticeAbstractUI.aspx?menuIndex=3&amp;refID=7152962&amp;Result=3","7152962")</f>
        <v>0</v>
      </c>
      <c r="B836" t="s">
        <v>462</v>
      </c>
      <c r="C836" t="s">
        <v>4577</v>
      </c>
      <c r="D836" t="s">
        <v>17980</v>
      </c>
      <c r="E836" t="s">
        <v>18847</v>
      </c>
      <c r="F836" t="s">
        <v>30900</v>
      </c>
      <c r="G836" t="s">
        <v>30907</v>
      </c>
      <c r="H836" t="s">
        <v>30916</v>
      </c>
      <c r="I836" t="s">
        <v>30939</v>
      </c>
      <c r="J836" t="s">
        <v>31711</v>
      </c>
      <c r="K836" t="s">
        <v>40286</v>
      </c>
      <c r="M836" t="s">
        <v>41020</v>
      </c>
      <c r="N836" t="s">
        <v>44759</v>
      </c>
      <c r="O836" t="s">
        <v>44760</v>
      </c>
      <c r="P836">
        <v>0</v>
      </c>
      <c r="Q836">
        <v>0</v>
      </c>
      <c r="R836" t="s">
        <v>44761</v>
      </c>
      <c r="S836" t="s">
        <v>44862</v>
      </c>
      <c r="T836" t="s">
        <v>46491</v>
      </c>
      <c r="U836" t="s">
        <v>47704</v>
      </c>
      <c r="W836" t="s">
        <v>41020</v>
      </c>
      <c r="X836" t="s">
        <v>44762</v>
      </c>
    </row>
    <row r="837" spans="1:24">
      <c r="A837">
        <f>HYPERLINK("https://www.philgeps.gov.ph/GEPSNONPILOT/Tender/SplashBidNoticeAbstractUI.aspx?menuIndex=3&amp;refID=7152945&amp;Result=3","7152945")</f>
        <v>0</v>
      </c>
      <c r="B837" t="s">
        <v>463</v>
      </c>
      <c r="C837" t="s">
        <v>4578</v>
      </c>
      <c r="D837" t="s">
        <v>18028</v>
      </c>
      <c r="E837" t="s">
        <v>18848</v>
      </c>
      <c r="F837" t="s">
        <v>30900</v>
      </c>
      <c r="G837" t="s">
        <v>30907</v>
      </c>
      <c r="H837" t="s">
        <v>30916</v>
      </c>
      <c r="I837" t="s">
        <v>8123</v>
      </c>
      <c r="J837" t="s">
        <v>31712</v>
      </c>
      <c r="K837" t="s">
        <v>40294</v>
      </c>
      <c r="L837" t="s">
        <v>463</v>
      </c>
      <c r="M837" t="s">
        <v>41021</v>
      </c>
      <c r="N837" t="s">
        <v>44759</v>
      </c>
      <c r="O837" t="s">
        <v>44760</v>
      </c>
      <c r="P837">
        <v>0</v>
      </c>
      <c r="Q837">
        <v>0</v>
      </c>
      <c r="R837" t="s">
        <v>44761</v>
      </c>
      <c r="S837" t="s">
        <v>44862</v>
      </c>
      <c r="T837" t="s">
        <v>46465</v>
      </c>
      <c r="U837" t="s">
        <v>47705</v>
      </c>
      <c r="V837" t="s">
        <v>59223</v>
      </c>
      <c r="W837" t="s">
        <v>41021</v>
      </c>
      <c r="X837" t="s">
        <v>44762</v>
      </c>
    </row>
    <row r="838" spans="1:24">
      <c r="A838">
        <f>HYPERLINK("https://www.philgeps.gov.ph/GEPSNONPILOT/Tender/SplashBidNoticeAbstractUI.aspx?menuIndex=3&amp;refID=7152965&amp;Result=3","7152965")</f>
        <v>0</v>
      </c>
      <c r="B838" t="s">
        <v>438</v>
      </c>
      <c r="C838" t="s">
        <v>4579</v>
      </c>
      <c r="D838" t="s">
        <v>18027</v>
      </c>
      <c r="E838" t="s">
        <v>18849</v>
      </c>
      <c r="F838" t="s">
        <v>30900</v>
      </c>
      <c r="G838" t="s">
        <v>30907</v>
      </c>
      <c r="H838" t="s">
        <v>30916</v>
      </c>
      <c r="I838" t="s">
        <v>30949</v>
      </c>
      <c r="J838" t="s">
        <v>31713</v>
      </c>
      <c r="K838" t="s">
        <v>40287</v>
      </c>
      <c r="M838" t="s">
        <v>40995</v>
      </c>
      <c r="N838" t="s">
        <v>44759</v>
      </c>
      <c r="O838" t="s">
        <v>44760</v>
      </c>
      <c r="P838">
        <v>0</v>
      </c>
      <c r="Q838">
        <v>0</v>
      </c>
      <c r="R838" t="s">
        <v>44761</v>
      </c>
      <c r="S838" t="s">
        <v>44862</v>
      </c>
      <c r="T838" t="s">
        <v>46486</v>
      </c>
      <c r="U838" t="s">
        <v>47706</v>
      </c>
      <c r="W838" t="s">
        <v>40995</v>
      </c>
      <c r="X838" t="s">
        <v>44762</v>
      </c>
    </row>
    <row r="839" spans="1:24">
      <c r="A839">
        <f>HYPERLINK("https://www.philgeps.gov.ph/GEPSNONPILOT/Tender/SplashBidNoticeAbstractUI.aspx?menuIndex=3&amp;refID=7152949&amp;Result=3","7152949")</f>
        <v>0</v>
      </c>
      <c r="B839" t="s">
        <v>464</v>
      </c>
      <c r="C839" t="s">
        <v>4580</v>
      </c>
      <c r="D839" t="s">
        <v>17984</v>
      </c>
      <c r="E839" t="s">
        <v>18850</v>
      </c>
      <c r="F839" t="s">
        <v>30900</v>
      </c>
      <c r="G839" t="s">
        <v>30907</v>
      </c>
      <c r="H839" t="s">
        <v>7411</v>
      </c>
      <c r="I839" t="s">
        <v>30919</v>
      </c>
      <c r="J839" t="s">
        <v>31714</v>
      </c>
      <c r="K839" t="s">
        <v>40338</v>
      </c>
      <c r="M839" t="s">
        <v>41022</v>
      </c>
      <c r="N839" t="s">
        <v>44759</v>
      </c>
      <c r="O839" t="s">
        <v>44760</v>
      </c>
      <c r="P839">
        <v>0</v>
      </c>
      <c r="Q839">
        <v>0</v>
      </c>
      <c r="R839" t="s">
        <v>44761</v>
      </c>
      <c r="S839" t="s">
        <v>44862</v>
      </c>
      <c r="T839" t="s">
        <v>46377</v>
      </c>
      <c r="U839" t="s">
        <v>47707</v>
      </c>
      <c r="W839" t="s">
        <v>41022</v>
      </c>
      <c r="X839" t="s">
        <v>44762</v>
      </c>
    </row>
    <row r="840" spans="1:24">
      <c r="A840">
        <f>HYPERLINK("https://www.philgeps.gov.ph/GEPSNONPILOT/Tender/SplashBidNoticeAbstractUI.aspx?menuIndex=3&amp;refID=7152977&amp;Result=3","7152977")</f>
        <v>0</v>
      </c>
      <c r="B840" t="s">
        <v>464</v>
      </c>
      <c r="C840" t="s">
        <v>4581</v>
      </c>
      <c r="D840" t="s">
        <v>17984</v>
      </c>
      <c r="E840" t="s">
        <v>18851</v>
      </c>
      <c r="F840" t="s">
        <v>30900</v>
      </c>
      <c r="G840" t="s">
        <v>30907</v>
      </c>
      <c r="H840" t="s">
        <v>30916</v>
      </c>
      <c r="I840" t="s">
        <v>30933</v>
      </c>
      <c r="J840" t="s">
        <v>31152</v>
      </c>
      <c r="K840" t="s">
        <v>40333</v>
      </c>
      <c r="M840" t="s">
        <v>41022</v>
      </c>
      <c r="N840" t="s">
        <v>44759</v>
      </c>
      <c r="O840" t="s">
        <v>44760</v>
      </c>
      <c r="P840">
        <v>0</v>
      </c>
      <c r="Q840">
        <v>1</v>
      </c>
      <c r="R840" t="s">
        <v>44761</v>
      </c>
      <c r="S840" t="s">
        <v>44862</v>
      </c>
      <c r="T840" t="s">
        <v>46377</v>
      </c>
      <c r="U840" t="s">
        <v>47708</v>
      </c>
      <c r="W840" t="s">
        <v>41022</v>
      </c>
      <c r="X840" t="s">
        <v>44762</v>
      </c>
    </row>
    <row r="841" spans="1:24">
      <c r="A841">
        <f>HYPERLINK("https://www.philgeps.gov.ph/GEPSNONPILOT/Tender/SplashBidNoticeAbstractUI.aspx?menuIndex=3&amp;refID=7152973&amp;Result=3","7152973")</f>
        <v>0</v>
      </c>
      <c r="B841" t="s">
        <v>465</v>
      </c>
      <c r="C841" t="s">
        <v>4582</v>
      </c>
      <c r="D841" t="s">
        <v>17974</v>
      </c>
      <c r="E841" t="s">
        <v>18852</v>
      </c>
      <c r="F841" t="s">
        <v>30900</v>
      </c>
      <c r="G841" t="s">
        <v>30908</v>
      </c>
      <c r="H841" t="s">
        <v>30916</v>
      </c>
      <c r="I841" t="s">
        <v>30924</v>
      </c>
      <c r="J841" t="s">
        <v>31715</v>
      </c>
      <c r="K841" t="s">
        <v>40287</v>
      </c>
      <c r="M841" t="s">
        <v>41023</v>
      </c>
      <c r="N841" t="s">
        <v>44759</v>
      </c>
      <c r="O841" t="s">
        <v>44760</v>
      </c>
      <c r="P841">
        <v>0</v>
      </c>
      <c r="Q841">
        <v>0</v>
      </c>
      <c r="R841" t="s">
        <v>44761</v>
      </c>
      <c r="S841" t="s">
        <v>44862</v>
      </c>
      <c r="T841" t="s">
        <v>46412</v>
      </c>
      <c r="U841" t="s">
        <v>47709</v>
      </c>
      <c r="V841" t="s">
        <v>59224</v>
      </c>
      <c r="W841" t="s">
        <v>41023</v>
      </c>
      <c r="X841" t="s">
        <v>44762</v>
      </c>
    </row>
    <row r="842" spans="1:24">
      <c r="A842">
        <f>HYPERLINK("https://www.philgeps.gov.ph/GEPSNONPILOT/Tender/SplashBidNoticeAbstractUI.aspx?menuIndex=3&amp;refID=7152971&amp;Result=3","7152971")</f>
        <v>0</v>
      </c>
      <c r="B842" t="s">
        <v>466</v>
      </c>
      <c r="C842" t="s">
        <v>4583</v>
      </c>
      <c r="E842" t="s">
        <v>18853</v>
      </c>
      <c r="F842" t="s">
        <v>30900</v>
      </c>
      <c r="G842" t="s">
        <v>30909</v>
      </c>
      <c r="H842" t="s">
        <v>30916</v>
      </c>
      <c r="I842" t="s">
        <v>11785</v>
      </c>
      <c r="J842" t="s">
        <v>31716</v>
      </c>
      <c r="K842" t="s">
        <v>40289</v>
      </c>
      <c r="M842" t="s">
        <v>41024</v>
      </c>
      <c r="N842" t="s">
        <v>44759</v>
      </c>
      <c r="O842" t="s">
        <v>44760</v>
      </c>
      <c r="P842">
        <v>0</v>
      </c>
      <c r="Q842">
        <v>0</v>
      </c>
      <c r="R842" t="s">
        <v>44761</v>
      </c>
      <c r="S842" t="s">
        <v>44862</v>
      </c>
      <c r="T842" t="s">
        <v>46414</v>
      </c>
      <c r="U842" t="s">
        <v>47710</v>
      </c>
      <c r="W842" t="s">
        <v>41024</v>
      </c>
      <c r="X842" t="s">
        <v>44762</v>
      </c>
    </row>
    <row r="843" spans="1:24">
      <c r="A843">
        <f>HYPERLINK("https://www.philgeps.gov.ph/GEPSNONPILOT/Tender/SplashBidNoticeAbstractUI.aspx?menuIndex=3&amp;refID=7152974&amp;Result=3","7152974")</f>
        <v>0</v>
      </c>
      <c r="B843" t="s">
        <v>454</v>
      </c>
      <c r="C843" t="s">
        <v>4584</v>
      </c>
      <c r="D843" t="s">
        <v>17955</v>
      </c>
      <c r="E843" t="s">
        <v>18854</v>
      </c>
      <c r="F843" t="s">
        <v>30900</v>
      </c>
      <c r="G843" t="s">
        <v>30908</v>
      </c>
      <c r="H843" t="s">
        <v>30916</v>
      </c>
      <c r="I843" t="s">
        <v>6746</v>
      </c>
      <c r="J843" t="s">
        <v>31717</v>
      </c>
      <c r="K843" t="s">
        <v>40283</v>
      </c>
      <c r="M843" t="s">
        <v>41011</v>
      </c>
      <c r="N843" t="s">
        <v>44759</v>
      </c>
      <c r="O843" t="s">
        <v>44760</v>
      </c>
      <c r="P843">
        <v>0</v>
      </c>
      <c r="Q843">
        <v>0</v>
      </c>
      <c r="R843" t="s">
        <v>44761</v>
      </c>
      <c r="S843" t="s">
        <v>44862</v>
      </c>
      <c r="T843" t="s">
        <v>46412</v>
      </c>
      <c r="U843" t="s">
        <v>47711</v>
      </c>
      <c r="W843" t="s">
        <v>41011</v>
      </c>
      <c r="X843" t="s">
        <v>44762</v>
      </c>
    </row>
    <row r="844" spans="1:24">
      <c r="A844">
        <f>HYPERLINK("https://www.philgeps.gov.ph/GEPSNONPILOT/Tender/SplashBidNoticeAbstractUI.aspx?menuIndex=3&amp;refID=7152970&amp;Result=3","7152970")</f>
        <v>0</v>
      </c>
      <c r="B844" t="s">
        <v>237</v>
      </c>
      <c r="C844" t="s">
        <v>4585</v>
      </c>
      <c r="D844" t="s">
        <v>17977</v>
      </c>
      <c r="E844" t="s">
        <v>4585</v>
      </c>
      <c r="F844" t="s">
        <v>30900</v>
      </c>
      <c r="G844" t="s">
        <v>30908</v>
      </c>
      <c r="H844" t="s">
        <v>30916</v>
      </c>
      <c r="I844" t="s">
        <v>6746</v>
      </c>
      <c r="J844" t="s">
        <v>31718</v>
      </c>
      <c r="K844" t="s">
        <v>40289</v>
      </c>
      <c r="M844" t="s">
        <v>40784</v>
      </c>
      <c r="N844" t="s">
        <v>44759</v>
      </c>
      <c r="O844" t="s">
        <v>44760</v>
      </c>
      <c r="P844">
        <v>0</v>
      </c>
      <c r="Q844">
        <v>0</v>
      </c>
      <c r="R844" t="s">
        <v>44761</v>
      </c>
      <c r="S844" t="s">
        <v>44862</v>
      </c>
      <c r="T844" t="s">
        <v>46393</v>
      </c>
      <c r="U844" t="s">
        <v>47712</v>
      </c>
      <c r="W844" t="s">
        <v>40784</v>
      </c>
      <c r="X844" t="s">
        <v>44762</v>
      </c>
    </row>
    <row r="845" spans="1:24">
      <c r="A845">
        <f>HYPERLINK("https://www.philgeps.gov.ph/GEPSNONPILOT/Tender/SplashBidNoticeAbstractUI.aspx?menuIndex=3&amp;refID=7152950&amp;Result=3","7152950")</f>
        <v>0</v>
      </c>
      <c r="B845" t="s">
        <v>467</v>
      </c>
      <c r="C845" t="s">
        <v>4586</v>
      </c>
      <c r="D845" t="s">
        <v>17993</v>
      </c>
      <c r="E845" t="s">
        <v>18855</v>
      </c>
      <c r="F845" t="s">
        <v>30900</v>
      </c>
      <c r="G845" t="s">
        <v>30908</v>
      </c>
      <c r="H845" t="s">
        <v>30916</v>
      </c>
      <c r="I845" t="s">
        <v>30923</v>
      </c>
      <c r="J845" t="s">
        <v>31719</v>
      </c>
      <c r="K845" t="s">
        <v>40287</v>
      </c>
      <c r="M845" t="s">
        <v>41025</v>
      </c>
      <c r="N845" t="s">
        <v>44759</v>
      </c>
      <c r="O845" t="s">
        <v>44760</v>
      </c>
      <c r="P845">
        <v>0</v>
      </c>
      <c r="Q845">
        <v>1</v>
      </c>
      <c r="R845" t="s">
        <v>44761</v>
      </c>
      <c r="S845" t="s">
        <v>44862</v>
      </c>
      <c r="T845" t="s">
        <v>46412</v>
      </c>
      <c r="U845" t="s">
        <v>47713</v>
      </c>
      <c r="W845" t="s">
        <v>41025</v>
      </c>
      <c r="X845" t="s">
        <v>44762</v>
      </c>
    </row>
    <row r="846" spans="1:24">
      <c r="A846">
        <f>HYPERLINK("https://www.philgeps.gov.ph/GEPSNONPILOT/Tender/SplashBidNoticeAbstractUI.aspx?menuIndex=3&amp;refID=7152967&amp;Result=3","7152967")</f>
        <v>0</v>
      </c>
      <c r="B846" t="s">
        <v>417</v>
      </c>
      <c r="C846" t="s">
        <v>4587</v>
      </c>
      <c r="D846" t="s">
        <v>17966</v>
      </c>
      <c r="E846" t="s">
        <v>18856</v>
      </c>
      <c r="F846" t="s">
        <v>30900</v>
      </c>
      <c r="G846" t="s">
        <v>30910</v>
      </c>
      <c r="H846" t="s">
        <v>30916</v>
      </c>
      <c r="I846" t="s">
        <v>4545</v>
      </c>
      <c r="J846" t="s">
        <v>31720</v>
      </c>
      <c r="K846" t="s">
        <v>40283</v>
      </c>
      <c r="M846" t="s">
        <v>40973</v>
      </c>
      <c r="N846" t="s">
        <v>44759</v>
      </c>
      <c r="O846" t="s">
        <v>44760</v>
      </c>
      <c r="P846">
        <v>0</v>
      </c>
      <c r="Q846">
        <v>0</v>
      </c>
      <c r="R846" t="s">
        <v>44761</v>
      </c>
      <c r="S846" t="s">
        <v>44862</v>
      </c>
      <c r="T846" t="s">
        <v>46399</v>
      </c>
      <c r="U846" t="s">
        <v>47619</v>
      </c>
      <c r="V846" t="s">
        <v>59225</v>
      </c>
      <c r="W846" t="s">
        <v>40973</v>
      </c>
      <c r="X846" t="s">
        <v>44762</v>
      </c>
    </row>
    <row r="847" spans="1:24">
      <c r="A847">
        <f>HYPERLINK("https://www.philgeps.gov.ph/GEPSNONPILOT/Tender/SplashBidNoticeAbstractUI.aspx?menuIndex=3&amp;refID=7152969&amp;Result=3","7152969")</f>
        <v>0</v>
      </c>
      <c r="B847" t="s">
        <v>468</v>
      </c>
      <c r="C847" t="s">
        <v>4588</v>
      </c>
      <c r="E847" t="s">
        <v>18857</v>
      </c>
      <c r="F847" t="s">
        <v>30900</v>
      </c>
      <c r="G847" t="s">
        <v>30907</v>
      </c>
      <c r="H847" t="s">
        <v>30916</v>
      </c>
      <c r="I847" t="s">
        <v>30932</v>
      </c>
      <c r="J847" t="s">
        <v>31721</v>
      </c>
      <c r="K847" t="s">
        <v>40289</v>
      </c>
      <c r="M847" t="s">
        <v>41026</v>
      </c>
      <c r="N847" t="s">
        <v>44759</v>
      </c>
      <c r="O847" t="s">
        <v>44760</v>
      </c>
      <c r="P847">
        <v>0</v>
      </c>
      <c r="Q847">
        <v>0</v>
      </c>
      <c r="R847" t="s">
        <v>44761</v>
      </c>
      <c r="S847" t="s">
        <v>44862</v>
      </c>
      <c r="T847" t="s">
        <v>46371</v>
      </c>
      <c r="U847" t="s">
        <v>47714</v>
      </c>
      <c r="V847" t="s">
        <v>59226</v>
      </c>
      <c r="W847" t="s">
        <v>41026</v>
      </c>
      <c r="X847" t="s">
        <v>44762</v>
      </c>
    </row>
    <row r="848" spans="1:24">
      <c r="A848">
        <f>HYPERLINK("https://www.philgeps.gov.ph/GEPSNONPILOT/Tender/SplashBidNoticeAbstractUI.aspx?menuIndex=3&amp;refID=7152972&amp;Result=3","7152972")</f>
        <v>0</v>
      </c>
      <c r="B848" t="s">
        <v>453</v>
      </c>
      <c r="C848" t="s">
        <v>4589</v>
      </c>
      <c r="E848" t="s">
        <v>18858</v>
      </c>
      <c r="F848" t="s">
        <v>30900</v>
      </c>
      <c r="G848" t="s">
        <v>30908</v>
      </c>
      <c r="H848" t="s">
        <v>30916</v>
      </c>
      <c r="I848" t="s">
        <v>10602</v>
      </c>
      <c r="J848" t="s">
        <v>31686</v>
      </c>
      <c r="K848" t="s">
        <v>40289</v>
      </c>
      <c r="M848" t="s">
        <v>41010</v>
      </c>
      <c r="N848" t="s">
        <v>44759</v>
      </c>
      <c r="O848" t="s">
        <v>44760</v>
      </c>
      <c r="P848">
        <v>0</v>
      </c>
      <c r="Q848">
        <v>0</v>
      </c>
      <c r="R848" t="s">
        <v>44761</v>
      </c>
      <c r="S848" t="s">
        <v>44862</v>
      </c>
      <c r="T848" t="s">
        <v>46376</v>
      </c>
      <c r="U848" t="s">
        <v>47715</v>
      </c>
      <c r="W848" t="s">
        <v>41010</v>
      </c>
      <c r="X848" t="s">
        <v>44762</v>
      </c>
    </row>
    <row r="849" spans="1:24">
      <c r="A849">
        <f>HYPERLINK("https://www.philgeps.gov.ph/GEPSNONPILOT/Tender/SplashBidNoticeAbstractUI.aspx?menuIndex=3&amp;refID=7152986&amp;Result=3","7152986")</f>
        <v>0</v>
      </c>
      <c r="B849" t="s">
        <v>416</v>
      </c>
      <c r="C849" t="s">
        <v>4590</v>
      </c>
      <c r="D849" t="s">
        <v>17976</v>
      </c>
      <c r="E849" t="s">
        <v>18859</v>
      </c>
      <c r="F849" t="s">
        <v>30900</v>
      </c>
      <c r="G849" t="s">
        <v>30907</v>
      </c>
      <c r="H849" t="s">
        <v>30916</v>
      </c>
      <c r="I849" t="s">
        <v>30933</v>
      </c>
      <c r="J849" t="s">
        <v>31066</v>
      </c>
      <c r="K849" t="s">
        <v>40283</v>
      </c>
      <c r="M849" t="s">
        <v>40972</v>
      </c>
      <c r="N849" t="s">
        <v>44759</v>
      </c>
      <c r="O849" t="s">
        <v>44760</v>
      </c>
      <c r="P849">
        <v>0</v>
      </c>
      <c r="Q849">
        <v>0</v>
      </c>
      <c r="R849" t="s">
        <v>44761</v>
      </c>
      <c r="S849" t="s">
        <v>44862</v>
      </c>
      <c r="T849" t="s">
        <v>46439</v>
      </c>
      <c r="U849" t="s">
        <v>47716</v>
      </c>
      <c r="W849" t="s">
        <v>40972</v>
      </c>
      <c r="X849" t="s">
        <v>44762</v>
      </c>
    </row>
    <row r="850" spans="1:24">
      <c r="A850">
        <f>HYPERLINK("https://www.philgeps.gov.ph/GEPSNONPILOT/Tender/SplashBidNoticeAbstractUI.aspx?menuIndex=3&amp;refID=7152985&amp;Result=3","7152985")</f>
        <v>0</v>
      </c>
      <c r="B850" t="s">
        <v>343</v>
      </c>
      <c r="C850" t="s">
        <v>4591</v>
      </c>
      <c r="D850" t="s">
        <v>17994</v>
      </c>
      <c r="E850" t="s">
        <v>18860</v>
      </c>
      <c r="F850" t="s">
        <v>30900</v>
      </c>
      <c r="G850" t="s">
        <v>30908</v>
      </c>
      <c r="H850" t="s">
        <v>30916</v>
      </c>
      <c r="I850" t="s">
        <v>5830</v>
      </c>
      <c r="J850" t="s">
        <v>31070</v>
      </c>
      <c r="K850" t="s">
        <v>40291</v>
      </c>
      <c r="M850" t="s">
        <v>40896</v>
      </c>
      <c r="N850" t="s">
        <v>44759</v>
      </c>
      <c r="O850" t="s">
        <v>44760</v>
      </c>
      <c r="P850">
        <v>0</v>
      </c>
      <c r="Q850">
        <v>0</v>
      </c>
      <c r="R850" t="s">
        <v>44761</v>
      </c>
      <c r="S850" t="s">
        <v>44862</v>
      </c>
      <c r="T850" t="s">
        <v>46409</v>
      </c>
      <c r="U850" t="s">
        <v>47717</v>
      </c>
      <c r="W850" t="s">
        <v>40896</v>
      </c>
      <c r="X850" t="s">
        <v>44762</v>
      </c>
    </row>
    <row r="851" spans="1:24">
      <c r="A851">
        <f>HYPERLINK("https://www.philgeps.gov.ph/GEPSNONPILOT/Tender/SplashBidNoticeAbstractUI.aspx?menuIndex=3&amp;refID=7152975&amp;Result=3","7152975")</f>
        <v>0</v>
      </c>
      <c r="B851" t="s">
        <v>421</v>
      </c>
      <c r="C851" t="s">
        <v>4592</v>
      </c>
      <c r="D851" t="s">
        <v>18012</v>
      </c>
      <c r="E851" t="s">
        <v>18861</v>
      </c>
      <c r="F851" t="s">
        <v>30900</v>
      </c>
      <c r="G851" t="s">
        <v>30907</v>
      </c>
      <c r="H851" t="s">
        <v>30916</v>
      </c>
      <c r="I851" t="s">
        <v>30933</v>
      </c>
      <c r="J851" t="s">
        <v>31105</v>
      </c>
      <c r="K851" t="s">
        <v>40286</v>
      </c>
      <c r="M851" t="s">
        <v>40977</v>
      </c>
      <c r="N851" t="s">
        <v>44759</v>
      </c>
      <c r="O851" t="s">
        <v>44760</v>
      </c>
      <c r="P851">
        <v>0</v>
      </c>
      <c r="Q851">
        <v>0</v>
      </c>
      <c r="R851" t="s">
        <v>44761</v>
      </c>
      <c r="S851" t="s">
        <v>44862</v>
      </c>
      <c r="T851" t="s">
        <v>46418</v>
      </c>
      <c r="U851" t="s">
        <v>47624</v>
      </c>
      <c r="V851" t="s">
        <v>59207</v>
      </c>
      <c r="W851" t="s">
        <v>40977</v>
      </c>
      <c r="X851" t="s">
        <v>44762</v>
      </c>
    </row>
    <row r="852" spans="1:24">
      <c r="A852">
        <f>HYPERLINK("https://www.philgeps.gov.ph/GEPSNONPILOT/Tender/SplashBidNoticeAbstractUI.aspx?menuIndex=3&amp;refID=7152983&amp;Result=3","7152983")</f>
        <v>0</v>
      </c>
      <c r="B852" t="s">
        <v>469</v>
      </c>
      <c r="C852" t="s">
        <v>4593</v>
      </c>
      <c r="D852" t="s">
        <v>17981</v>
      </c>
      <c r="E852" t="s">
        <v>18862</v>
      </c>
      <c r="F852" t="s">
        <v>30900</v>
      </c>
      <c r="G852" t="s">
        <v>30908</v>
      </c>
      <c r="H852" t="s">
        <v>30916</v>
      </c>
      <c r="I852" t="s">
        <v>4004</v>
      </c>
      <c r="J852" t="s">
        <v>31722</v>
      </c>
      <c r="K852" t="s">
        <v>40283</v>
      </c>
      <c r="M852" t="s">
        <v>41027</v>
      </c>
      <c r="N852" t="s">
        <v>44759</v>
      </c>
      <c r="O852" t="s">
        <v>44760</v>
      </c>
      <c r="P852">
        <v>0</v>
      </c>
      <c r="Q852">
        <v>0</v>
      </c>
      <c r="R852" t="s">
        <v>44761</v>
      </c>
      <c r="S852" t="s">
        <v>44862</v>
      </c>
      <c r="T852" t="s">
        <v>46390</v>
      </c>
      <c r="U852" t="s">
        <v>47718</v>
      </c>
      <c r="W852" t="s">
        <v>41027</v>
      </c>
      <c r="X852" t="s">
        <v>44762</v>
      </c>
    </row>
    <row r="853" spans="1:24">
      <c r="A853">
        <f>HYPERLINK("https://www.philgeps.gov.ph/GEPSNONPILOT/Tender/SplashBidNoticeAbstractUI.aspx?menuIndex=3&amp;refID=7152980&amp;Result=3","7152980")</f>
        <v>0</v>
      </c>
      <c r="B853" t="s">
        <v>470</v>
      </c>
      <c r="C853" t="s">
        <v>4594</v>
      </c>
      <c r="D853" t="s">
        <v>17975</v>
      </c>
      <c r="E853" t="s">
        <v>18066</v>
      </c>
      <c r="F853" t="s">
        <v>30900</v>
      </c>
      <c r="G853" t="s">
        <v>30907</v>
      </c>
      <c r="H853" t="s">
        <v>30915</v>
      </c>
      <c r="I853" t="s">
        <v>30919</v>
      </c>
      <c r="J853" t="s">
        <v>31723</v>
      </c>
      <c r="K853" t="s">
        <v>40291</v>
      </c>
      <c r="M853" t="s">
        <v>41028</v>
      </c>
      <c r="N853" t="s">
        <v>44759</v>
      </c>
      <c r="O853" t="s">
        <v>44760</v>
      </c>
      <c r="P853">
        <v>0</v>
      </c>
      <c r="Q853">
        <v>0</v>
      </c>
      <c r="R853" t="s">
        <v>44761</v>
      </c>
      <c r="S853" t="s">
        <v>44862</v>
      </c>
      <c r="T853" t="s">
        <v>46366</v>
      </c>
      <c r="U853" t="s">
        <v>47719</v>
      </c>
      <c r="W853" t="s">
        <v>41028</v>
      </c>
      <c r="X853" t="s">
        <v>44762</v>
      </c>
    </row>
    <row r="854" spans="1:24">
      <c r="A854">
        <f>HYPERLINK("https://www.philgeps.gov.ph/GEPSNONPILOT/Tender/SplashBidNoticeAbstractUI.aspx?menuIndex=3&amp;refID=7152984&amp;Result=3","7152984")</f>
        <v>0</v>
      </c>
      <c r="B854" t="s">
        <v>179</v>
      </c>
      <c r="C854" t="s">
        <v>4595</v>
      </c>
      <c r="D854" t="s">
        <v>17953</v>
      </c>
      <c r="E854" t="s">
        <v>18863</v>
      </c>
      <c r="F854" t="s">
        <v>30900</v>
      </c>
      <c r="G854" t="s">
        <v>30909</v>
      </c>
      <c r="H854" t="s">
        <v>30916</v>
      </c>
      <c r="I854" t="s">
        <v>30939</v>
      </c>
      <c r="J854" t="s">
        <v>31567</v>
      </c>
      <c r="K854" t="s">
        <v>40287</v>
      </c>
      <c r="M854" t="s">
        <v>40726</v>
      </c>
      <c r="N854" t="s">
        <v>44759</v>
      </c>
      <c r="O854" t="s">
        <v>44760</v>
      </c>
      <c r="P854">
        <v>0</v>
      </c>
      <c r="Q854">
        <v>0</v>
      </c>
      <c r="R854" t="s">
        <v>44761</v>
      </c>
      <c r="S854" t="s">
        <v>44862</v>
      </c>
      <c r="T854" t="s">
        <v>46414</v>
      </c>
      <c r="U854" t="s">
        <v>47720</v>
      </c>
      <c r="W854" t="s">
        <v>40726</v>
      </c>
      <c r="X854" t="s">
        <v>44762</v>
      </c>
    </row>
    <row r="855" spans="1:24">
      <c r="A855">
        <f>HYPERLINK("https://www.philgeps.gov.ph/GEPSNONPILOT/Tender/SplashBidNoticeAbstractUI.aspx?menuIndex=3&amp;refID=7152978&amp;Result=3","7152978")</f>
        <v>0</v>
      </c>
      <c r="B855" t="s">
        <v>471</v>
      </c>
      <c r="C855" t="s">
        <v>4596</v>
      </c>
      <c r="D855" t="s">
        <v>17975</v>
      </c>
      <c r="E855" t="s">
        <v>18864</v>
      </c>
      <c r="F855" t="s">
        <v>30900</v>
      </c>
      <c r="G855" t="s">
        <v>30907</v>
      </c>
      <c r="H855" t="s">
        <v>30916</v>
      </c>
      <c r="I855" t="s">
        <v>8123</v>
      </c>
      <c r="J855" t="s">
        <v>31724</v>
      </c>
      <c r="K855" t="s">
        <v>40283</v>
      </c>
      <c r="M855" t="s">
        <v>41029</v>
      </c>
      <c r="N855" t="s">
        <v>44759</v>
      </c>
      <c r="O855" t="s">
        <v>44760</v>
      </c>
      <c r="P855">
        <v>0</v>
      </c>
      <c r="Q855">
        <v>0</v>
      </c>
      <c r="R855" t="s">
        <v>44761</v>
      </c>
      <c r="S855" t="s">
        <v>44862</v>
      </c>
      <c r="T855" t="s">
        <v>46364</v>
      </c>
      <c r="U855" t="s">
        <v>47721</v>
      </c>
      <c r="W855" t="s">
        <v>41029</v>
      </c>
      <c r="X855" t="s">
        <v>44762</v>
      </c>
    </row>
    <row r="856" spans="1:24">
      <c r="A856">
        <f>HYPERLINK("https://www.philgeps.gov.ph/GEPSNONPILOT/Tender/SplashBidNoticeAbstractUI.aspx?menuIndex=3&amp;refID=7152966&amp;Result=3","7152966")</f>
        <v>0</v>
      </c>
      <c r="B856" t="s">
        <v>372</v>
      </c>
      <c r="C856" t="s">
        <v>4597</v>
      </c>
      <c r="D856" t="s">
        <v>17968</v>
      </c>
      <c r="E856" t="s">
        <v>18865</v>
      </c>
      <c r="F856" t="s">
        <v>30900</v>
      </c>
      <c r="G856" t="s">
        <v>30908</v>
      </c>
      <c r="H856" t="s">
        <v>30916</v>
      </c>
      <c r="I856" t="s">
        <v>4108</v>
      </c>
      <c r="J856" t="s">
        <v>31725</v>
      </c>
      <c r="K856" t="s">
        <v>40284</v>
      </c>
      <c r="M856" t="s">
        <v>40926</v>
      </c>
      <c r="N856" t="s">
        <v>44759</v>
      </c>
      <c r="O856" t="s">
        <v>44760</v>
      </c>
      <c r="P856">
        <v>0</v>
      </c>
      <c r="Q856">
        <v>0</v>
      </c>
      <c r="R856" t="s">
        <v>44761</v>
      </c>
      <c r="S856" t="s">
        <v>44862</v>
      </c>
      <c r="T856" t="s">
        <v>46357</v>
      </c>
      <c r="U856" t="s">
        <v>47722</v>
      </c>
      <c r="W856" t="s">
        <v>40926</v>
      </c>
      <c r="X856" t="s">
        <v>44762</v>
      </c>
    </row>
    <row r="857" spans="1:24">
      <c r="A857">
        <f>HYPERLINK("https://www.philgeps.gov.ph/GEPSNONPILOT/Tender/SplashBidNoticeAbstractUI.aspx?menuIndex=3&amp;refID=7152981&amp;Result=3","7152981")</f>
        <v>0</v>
      </c>
      <c r="B857" t="s">
        <v>472</v>
      </c>
      <c r="C857" t="s">
        <v>4598</v>
      </c>
      <c r="D857" t="s">
        <v>17955</v>
      </c>
      <c r="E857" t="s">
        <v>18866</v>
      </c>
      <c r="F857" t="s">
        <v>30900</v>
      </c>
      <c r="G857" t="s">
        <v>30908</v>
      </c>
      <c r="H857" t="s">
        <v>30916</v>
      </c>
      <c r="I857" t="s">
        <v>8365</v>
      </c>
      <c r="J857" t="s">
        <v>31726</v>
      </c>
      <c r="K857" t="s">
        <v>40283</v>
      </c>
      <c r="M857" t="s">
        <v>41030</v>
      </c>
      <c r="N857" t="s">
        <v>44759</v>
      </c>
      <c r="O857" t="s">
        <v>44760</v>
      </c>
      <c r="P857">
        <v>0</v>
      </c>
      <c r="Q857">
        <v>0</v>
      </c>
      <c r="R857" t="s">
        <v>44761</v>
      </c>
      <c r="S857" t="s">
        <v>44862</v>
      </c>
      <c r="T857" t="s">
        <v>46390</v>
      </c>
      <c r="U857" t="s">
        <v>47723</v>
      </c>
      <c r="W857" t="s">
        <v>41030</v>
      </c>
      <c r="X857" t="s">
        <v>44762</v>
      </c>
    </row>
    <row r="858" spans="1:24">
      <c r="A858">
        <f>HYPERLINK("https://www.philgeps.gov.ph/GEPSNONPILOT/Tender/SplashBidNoticeAbstractUI.aspx?menuIndex=3&amp;refID=7152990&amp;Result=3","7152990")</f>
        <v>0</v>
      </c>
      <c r="B858" t="s">
        <v>394</v>
      </c>
      <c r="C858" t="s">
        <v>4599</v>
      </c>
      <c r="D858" t="s">
        <v>17959</v>
      </c>
      <c r="E858" t="s">
        <v>18867</v>
      </c>
      <c r="F858" t="s">
        <v>30900</v>
      </c>
      <c r="G858" t="s">
        <v>30908</v>
      </c>
      <c r="H858" t="s">
        <v>30916</v>
      </c>
      <c r="I858" t="s">
        <v>8044</v>
      </c>
      <c r="J858" t="s">
        <v>31727</v>
      </c>
      <c r="K858" t="s">
        <v>40283</v>
      </c>
      <c r="M858" t="s">
        <v>40949</v>
      </c>
      <c r="N858" t="s">
        <v>44759</v>
      </c>
      <c r="O858" t="s">
        <v>44760</v>
      </c>
      <c r="P858">
        <v>0</v>
      </c>
      <c r="Q858">
        <v>0</v>
      </c>
      <c r="R858" t="s">
        <v>44761</v>
      </c>
      <c r="S858" t="s">
        <v>44862</v>
      </c>
      <c r="T858" t="s">
        <v>46390</v>
      </c>
      <c r="U858" t="s">
        <v>47724</v>
      </c>
      <c r="W858" t="s">
        <v>40949</v>
      </c>
      <c r="X858" t="s">
        <v>44762</v>
      </c>
    </row>
    <row r="859" spans="1:24">
      <c r="A859">
        <f>HYPERLINK("https://www.philgeps.gov.ph/GEPSNONPILOT/Tender/SplashBidNoticeAbstractUI.aspx?menuIndex=3&amp;refID=7152987&amp;Result=3","7152987")</f>
        <v>0</v>
      </c>
      <c r="B859" t="s">
        <v>447</v>
      </c>
      <c r="C859" t="s">
        <v>4600</v>
      </c>
      <c r="D859" t="s">
        <v>17978</v>
      </c>
      <c r="E859" t="s">
        <v>18868</v>
      </c>
      <c r="F859" t="s">
        <v>30900</v>
      </c>
      <c r="G859" t="s">
        <v>30908</v>
      </c>
      <c r="H859" t="s">
        <v>30916</v>
      </c>
      <c r="I859" t="s">
        <v>10847</v>
      </c>
      <c r="J859" t="s">
        <v>31728</v>
      </c>
      <c r="K859" t="s">
        <v>40281</v>
      </c>
      <c r="M859" t="s">
        <v>41004</v>
      </c>
      <c r="N859" t="s">
        <v>44759</v>
      </c>
      <c r="O859" t="s">
        <v>44760</v>
      </c>
      <c r="P859">
        <v>0</v>
      </c>
      <c r="Q859">
        <v>0</v>
      </c>
      <c r="R859" t="s">
        <v>44761</v>
      </c>
      <c r="S859" t="s">
        <v>44862</v>
      </c>
      <c r="T859" t="s">
        <v>46399</v>
      </c>
      <c r="U859" t="s">
        <v>47665</v>
      </c>
      <c r="W859" t="s">
        <v>41004</v>
      </c>
      <c r="X859" t="s">
        <v>44762</v>
      </c>
    </row>
    <row r="860" spans="1:24">
      <c r="A860">
        <f>HYPERLINK("https://www.philgeps.gov.ph/GEPSNONPILOT/Tender/SplashBidNoticeAbstractUI.aspx?menuIndex=3&amp;refID=7153008&amp;Result=3","7153008")</f>
        <v>0</v>
      </c>
      <c r="B860" t="s">
        <v>241</v>
      </c>
      <c r="C860" t="s">
        <v>4601</v>
      </c>
      <c r="D860" t="s">
        <v>17982</v>
      </c>
      <c r="E860" t="s">
        <v>18869</v>
      </c>
      <c r="F860" t="s">
        <v>30900</v>
      </c>
      <c r="G860" t="s">
        <v>30907</v>
      </c>
      <c r="H860" t="s">
        <v>30916</v>
      </c>
      <c r="I860" t="s">
        <v>30922</v>
      </c>
      <c r="J860" t="s">
        <v>31729</v>
      </c>
      <c r="K860" t="s">
        <v>40286</v>
      </c>
      <c r="M860" t="s">
        <v>40788</v>
      </c>
      <c r="N860" t="s">
        <v>44759</v>
      </c>
      <c r="O860" t="s">
        <v>44760</v>
      </c>
      <c r="P860">
        <v>0</v>
      </c>
      <c r="Q860">
        <v>0</v>
      </c>
      <c r="R860" t="s">
        <v>44761</v>
      </c>
      <c r="S860" t="s">
        <v>44862</v>
      </c>
      <c r="T860" t="s">
        <v>46492</v>
      </c>
      <c r="U860" t="s">
        <v>47725</v>
      </c>
      <c r="W860" t="s">
        <v>40788</v>
      </c>
      <c r="X860" t="s">
        <v>44762</v>
      </c>
    </row>
    <row r="861" spans="1:24">
      <c r="A861">
        <f>HYPERLINK("https://www.philgeps.gov.ph/GEPSNONPILOT/Tender/SplashBidNoticeAbstractUI.aspx?menuIndex=3&amp;refID=7153006&amp;Result=3","7153006")</f>
        <v>0</v>
      </c>
      <c r="B861" t="s">
        <v>473</v>
      </c>
      <c r="C861" t="s">
        <v>4602</v>
      </c>
      <c r="D861" t="s">
        <v>17961</v>
      </c>
      <c r="E861" t="s">
        <v>18234</v>
      </c>
      <c r="F861" t="s">
        <v>30900</v>
      </c>
      <c r="G861" t="s">
        <v>30909</v>
      </c>
      <c r="H861" t="s">
        <v>30916</v>
      </c>
      <c r="I861" t="s">
        <v>4142</v>
      </c>
      <c r="J861" t="s">
        <v>31730</v>
      </c>
      <c r="K861" t="s">
        <v>40289</v>
      </c>
      <c r="M861" t="s">
        <v>41031</v>
      </c>
      <c r="N861" t="s">
        <v>44759</v>
      </c>
      <c r="O861" t="s">
        <v>44760</v>
      </c>
      <c r="P861">
        <v>0</v>
      </c>
      <c r="Q861">
        <v>0</v>
      </c>
      <c r="R861" t="s">
        <v>44761</v>
      </c>
      <c r="S861" t="s">
        <v>44862</v>
      </c>
      <c r="T861" t="s">
        <v>46458</v>
      </c>
      <c r="U861" t="s">
        <v>47726</v>
      </c>
      <c r="W861" t="s">
        <v>41031</v>
      </c>
      <c r="X861" t="s">
        <v>44762</v>
      </c>
    </row>
    <row r="862" spans="1:24">
      <c r="A862">
        <f>HYPERLINK("https://www.philgeps.gov.ph/GEPSNONPILOT/Tender/SplashBidNoticeAbstractUI.aspx?menuIndex=3&amp;refID=7153004&amp;Result=3","7153004")</f>
        <v>0</v>
      </c>
      <c r="B862" t="s">
        <v>432</v>
      </c>
      <c r="C862" t="s">
        <v>4603</v>
      </c>
      <c r="D862" t="s">
        <v>17955</v>
      </c>
      <c r="E862" t="s">
        <v>18870</v>
      </c>
      <c r="F862" t="s">
        <v>30900</v>
      </c>
      <c r="G862" t="s">
        <v>30907</v>
      </c>
      <c r="H862" t="s">
        <v>30916</v>
      </c>
      <c r="I862" t="s">
        <v>8365</v>
      </c>
      <c r="J862" t="s">
        <v>31731</v>
      </c>
      <c r="K862" t="s">
        <v>40283</v>
      </c>
      <c r="M862" t="s">
        <v>40989</v>
      </c>
      <c r="N862" t="s">
        <v>44759</v>
      </c>
      <c r="O862" t="s">
        <v>44760</v>
      </c>
      <c r="P862">
        <v>0</v>
      </c>
      <c r="Q862">
        <v>0</v>
      </c>
      <c r="R862" t="s">
        <v>44761</v>
      </c>
      <c r="S862" t="s">
        <v>44862</v>
      </c>
      <c r="T862" t="s">
        <v>46377</v>
      </c>
      <c r="U862" t="s">
        <v>47727</v>
      </c>
      <c r="V862" t="s">
        <v>59212</v>
      </c>
      <c r="W862" t="s">
        <v>40989</v>
      </c>
      <c r="X862" t="s">
        <v>44762</v>
      </c>
    </row>
    <row r="863" spans="1:24">
      <c r="A863">
        <f>HYPERLINK("https://www.philgeps.gov.ph/GEPSNONPILOT/Tender/SplashBidNoticeAbstractUI.aspx?menuIndex=3&amp;refID=7152948&amp;Result=3","7152948")</f>
        <v>0</v>
      </c>
      <c r="B863" t="s">
        <v>474</v>
      </c>
      <c r="C863" t="s">
        <v>4604</v>
      </c>
      <c r="D863" t="s">
        <v>17959</v>
      </c>
      <c r="E863" t="s">
        <v>18871</v>
      </c>
      <c r="F863" t="s">
        <v>30900</v>
      </c>
      <c r="G863" t="s">
        <v>30909</v>
      </c>
      <c r="H863" t="s">
        <v>30916</v>
      </c>
      <c r="I863" t="s">
        <v>5501</v>
      </c>
      <c r="J863" t="s">
        <v>31732</v>
      </c>
      <c r="K863" t="s">
        <v>40288</v>
      </c>
      <c r="M863" t="s">
        <v>41032</v>
      </c>
      <c r="N863" t="s">
        <v>44759</v>
      </c>
      <c r="O863" t="s">
        <v>44760</v>
      </c>
      <c r="P863">
        <v>0</v>
      </c>
      <c r="Q863">
        <v>0</v>
      </c>
      <c r="R863" t="s">
        <v>44761</v>
      </c>
      <c r="S863" t="s">
        <v>44862</v>
      </c>
      <c r="T863" t="s">
        <v>46398</v>
      </c>
      <c r="U863" t="s">
        <v>47728</v>
      </c>
      <c r="W863" t="s">
        <v>41032</v>
      </c>
      <c r="X863" t="s">
        <v>44762</v>
      </c>
    </row>
    <row r="864" spans="1:24">
      <c r="A864">
        <f>HYPERLINK("https://www.philgeps.gov.ph/GEPSNONPILOT/Tender/SplashBidNoticeAbstractUI.aspx?menuIndex=3&amp;refID=7152979&amp;Result=3","7152979")</f>
        <v>0</v>
      </c>
      <c r="B864" t="s">
        <v>475</v>
      </c>
      <c r="C864" t="s">
        <v>4605</v>
      </c>
      <c r="D864" t="s">
        <v>17963</v>
      </c>
      <c r="E864" t="s">
        <v>18731</v>
      </c>
      <c r="F864" t="s">
        <v>30899</v>
      </c>
      <c r="G864" t="s">
        <v>30909</v>
      </c>
      <c r="H864" t="s">
        <v>30916</v>
      </c>
      <c r="I864" t="s">
        <v>4108</v>
      </c>
      <c r="J864" t="s">
        <v>31733</v>
      </c>
      <c r="K864" t="s">
        <v>40281</v>
      </c>
      <c r="M864" t="s">
        <v>41033</v>
      </c>
      <c r="N864" t="s">
        <v>44759</v>
      </c>
      <c r="O864" t="s">
        <v>44760</v>
      </c>
      <c r="P864">
        <v>0</v>
      </c>
      <c r="Q864">
        <v>0</v>
      </c>
      <c r="R864" t="s">
        <v>44761</v>
      </c>
      <c r="S864" t="s">
        <v>44862</v>
      </c>
      <c r="T864" t="s">
        <v>46398</v>
      </c>
      <c r="U864" t="s">
        <v>47729</v>
      </c>
      <c r="W864" t="s">
        <v>41033</v>
      </c>
      <c r="X864" t="s">
        <v>44762</v>
      </c>
    </row>
    <row r="865" spans="1:24">
      <c r="A865">
        <f>HYPERLINK("https://www.philgeps.gov.ph/GEPSNONPILOT/Tender/SplashBidNoticeAbstractUI.aspx?menuIndex=3&amp;refID=7153010&amp;Result=3","7153010")</f>
        <v>0</v>
      </c>
      <c r="B865" t="s">
        <v>476</v>
      </c>
      <c r="C865" t="s">
        <v>4606</v>
      </c>
      <c r="D865" t="s">
        <v>17971</v>
      </c>
      <c r="E865" t="s">
        <v>18872</v>
      </c>
      <c r="F865" t="s">
        <v>30900</v>
      </c>
      <c r="G865" t="s">
        <v>30907</v>
      </c>
      <c r="H865" t="s">
        <v>30916</v>
      </c>
      <c r="I865" t="s">
        <v>11785</v>
      </c>
      <c r="J865" t="s">
        <v>31614</v>
      </c>
      <c r="K865" t="s">
        <v>40287</v>
      </c>
      <c r="M865" t="s">
        <v>41034</v>
      </c>
      <c r="N865" t="s">
        <v>44759</v>
      </c>
      <c r="O865" t="s">
        <v>44760</v>
      </c>
      <c r="P865">
        <v>0</v>
      </c>
      <c r="Q865">
        <v>0</v>
      </c>
      <c r="R865" t="s">
        <v>44761</v>
      </c>
      <c r="S865" t="s">
        <v>44862</v>
      </c>
      <c r="T865" t="s">
        <v>46382</v>
      </c>
      <c r="U865" t="s">
        <v>47730</v>
      </c>
      <c r="W865" t="s">
        <v>41034</v>
      </c>
      <c r="X865" t="s">
        <v>44762</v>
      </c>
    </row>
    <row r="866" spans="1:24">
      <c r="A866">
        <f>HYPERLINK("https://www.philgeps.gov.ph/GEPSNONPILOT/Tender/SplashBidNoticeAbstractUI.aspx?menuIndex=3&amp;refID=7152968&amp;Result=3","7152968")</f>
        <v>0</v>
      </c>
      <c r="B866" t="s">
        <v>130</v>
      </c>
      <c r="C866" t="s">
        <v>4607</v>
      </c>
      <c r="D866" t="s">
        <v>17979</v>
      </c>
      <c r="E866" t="s">
        <v>18873</v>
      </c>
      <c r="F866" t="s">
        <v>30900</v>
      </c>
      <c r="G866" t="s">
        <v>30908</v>
      </c>
      <c r="H866" t="s">
        <v>30916</v>
      </c>
      <c r="I866" t="s">
        <v>10602</v>
      </c>
      <c r="J866" t="s">
        <v>31734</v>
      </c>
      <c r="K866" t="s">
        <v>40315</v>
      </c>
      <c r="M866" t="s">
        <v>40677</v>
      </c>
      <c r="N866" t="s">
        <v>44759</v>
      </c>
      <c r="O866" t="s">
        <v>44760</v>
      </c>
      <c r="P866">
        <v>0</v>
      </c>
      <c r="Q866">
        <v>0</v>
      </c>
      <c r="R866" t="s">
        <v>44761</v>
      </c>
      <c r="S866" t="s">
        <v>44862</v>
      </c>
      <c r="T866" t="s">
        <v>46376</v>
      </c>
      <c r="U866" t="s">
        <v>47731</v>
      </c>
      <c r="W866" t="s">
        <v>40677</v>
      </c>
      <c r="X866" t="s">
        <v>44762</v>
      </c>
    </row>
    <row r="867" spans="1:24">
      <c r="A867">
        <f>HYPERLINK("https://www.philgeps.gov.ph/GEPSNONPILOT/Tender/SplashBidNoticeAbstractUI.aspx?menuIndex=3&amp;refID=7153009&amp;Result=3","7153009")</f>
        <v>0</v>
      </c>
      <c r="B867" t="s">
        <v>477</v>
      </c>
      <c r="C867" t="s">
        <v>4608</v>
      </c>
      <c r="D867" t="s">
        <v>18019</v>
      </c>
      <c r="E867" t="s">
        <v>18874</v>
      </c>
      <c r="F867" t="s">
        <v>30900</v>
      </c>
      <c r="G867" t="s">
        <v>30908</v>
      </c>
      <c r="H867" t="s">
        <v>30916</v>
      </c>
      <c r="I867" t="s">
        <v>5830</v>
      </c>
      <c r="J867" t="s">
        <v>31735</v>
      </c>
      <c r="K867" t="s">
        <v>40289</v>
      </c>
      <c r="M867" t="s">
        <v>41035</v>
      </c>
      <c r="N867" t="s">
        <v>44759</v>
      </c>
      <c r="O867" t="s">
        <v>44760</v>
      </c>
      <c r="P867">
        <v>0</v>
      </c>
      <c r="Q867">
        <v>0</v>
      </c>
      <c r="R867" t="s">
        <v>44761</v>
      </c>
      <c r="S867" t="s">
        <v>44862</v>
      </c>
      <c r="T867" t="s">
        <v>46376</v>
      </c>
      <c r="U867" t="s">
        <v>47732</v>
      </c>
      <c r="W867" t="s">
        <v>41035</v>
      </c>
      <c r="X867" t="s">
        <v>44762</v>
      </c>
    </row>
    <row r="868" spans="1:24">
      <c r="A868">
        <f>HYPERLINK("https://www.philgeps.gov.ph/GEPSNONPILOT/Tender/SplashBidNoticeAbstractUI.aspx?menuIndex=3&amp;refID=7152989&amp;Result=3","7152989")</f>
        <v>0</v>
      </c>
      <c r="B868" t="s">
        <v>478</v>
      </c>
      <c r="C868" t="s">
        <v>4515</v>
      </c>
      <c r="D868" t="s">
        <v>17959</v>
      </c>
      <c r="E868" t="s">
        <v>18875</v>
      </c>
      <c r="F868" t="s">
        <v>30900</v>
      </c>
      <c r="G868" t="s">
        <v>30908</v>
      </c>
      <c r="H868" t="s">
        <v>30916</v>
      </c>
      <c r="I868" t="s">
        <v>4142</v>
      </c>
      <c r="J868" t="s">
        <v>31736</v>
      </c>
      <c r="K868" t="s">
        <v>40287</v>
      </c>
      <c r="M868" t="s">
        <v>41036</v>
      </c>
      <c r="N868" t="s">
        <v>44759</v>
      </c>
      <c r="O868" t="s">
        <v>44760</v>
      </c>
      <c r="P868">
        <v>0</v>
      </c>
      <c r="Q868">
        <v>0</v>
      </c>
      <c r="R868" t="s">
        <v>44761</v>
      </c>
      <c r="S868" t="s">
        <v>44862</v>
      </c>
      <c r="T868" t="s">
        <v>46357</v>
      </c>
      <c r="U868" t="s">
        <v>47733</v>
      </c>
      <c r="W868" t="s">
        <v>41036</v>
      </c>
      <c r="X868" t="s">
        <v>44762</v>
      </c>
    </row>
    <row r="869" spans="1:24">
      <c r="A869">
        <f>HYPERLINK("https://www.philgeps.gov.ph/GEPSNONPILOT/Tender/SplashBidNoticeAbstractUI.aspx?menuIndex=3&amp;refID=7153001&amp;Result=3","7153001")</f>
        <v>0</v>
      </c>
      <c r="B869" t="s">
        <v>479</v>
      </c>
      <c r="C869" t="s">
        <v>4609</v>
      </c>
      <c r="D869" t="s">
        <v>17959</v>
      </c>
      <c r="E869" t="s">
        <v>18876</v>
      </c>
      <c r="F869" t="s">
        <v>30900</v>
      </c>
      <c r="G869" t="s">
        <v>30908</v>
      </c>
      <c r="H869" t="s">
        <v>30916</v>
      </c>
      <c r="I869" t="s">
        <v>6953</v>
      </c>
      <c r="J869" t="s">
        <v>31284</v>
      </c>
      <c r="K869" t="s">
        <v>40283</v>
      </c>
      <c r="M869" t="s">
        <v>41037</v>
      </c>
      <c r="N869" t="s">
        <v>44759</v>
      </c>
      <c r="O869" t="s">
        <v>44760</v>
      </c>
      <c r="P869">
        <v>0</v>
      </c>
      <c r="Q869">
        <v>0</v>
      </c>
      <c r="R869" t="s">
        <v>44761</v>
      </c>
      <c r="S869" t="s">
        <v>44862</v>
      </c>
      <c r="T869" t="s">
        <v>46404</v>
      </c>
      <c r="U869" t="s">
        <v>47734</v>
      </c>
      <c r="W869" t="s">
        <v>41037</v>
      </c>
      <c r="X869" t="s">
        <v>44762</v>
      </c>
    </row>
    <row r="870" spans="1:24">
      <c r="A870">
        <f>HYPERLINK("https://www.philgeps.gov.ph/GEPSNONPILOT/Tender/SplashBidNoticeAbstractUI.aspx?menuIndex=3&amp;refID=7153007&amp;Result=3","7153007")</f>
        <v>0</v>
      </c>
      <c r="B870" t="s">
        <v>254</v>
      </c>
      <c r="C870" t="s">
        <v>4610</v>
      </c>
      <c r="D870" t="s">
        <v>17976</v>
      </c>
      <c r="E870" t="s">
        <v>18877</v>
      </c>
      <c r="F870" t="s">
        <v>30903</v>
      </c>
      <c r="G870" t="s">
        <v>30909</v>
      </c>
      <c r="H870" t="s">
        <v>30916</v>
      </c>
      <c r="I870" t="s">
        <v>30958</v>
      </c>
      <c r="J870" t="s">
        <v>31223</v>
      </c>
      <c r="K870" t="s">
        <v>40288</v>
      </c>
      <c r="M870" t="s">
        <v>40801</v>
      </c>
      <c r="N870" t="s">
        <v>44759</v>
      </c>
      <c r="O870" t="s">
        <v>44760</v>
      </c>
      <c r="P870">
        <v>0</v>
      </c>
      <c r="Q870">
        <v>0</v>
      </c>
      <c r="R870" t="s">
        <v>44761</v>
      </c>
      <c r="S870" t="s">
        <v>44862</v>
      </c>
      <c r="T870" t="s">
        <v>46389</v>
      </c>
      <c r="U870" t="s">
        <v>47735</v>
      </c>
      <c r="W870" t="s">
        <v>40801</v>
      </c>
      <c r="X870" t="s">
        <v>44762</v>
      </c>
    </row>
    <row r="871" spans="1:24">
      <c r="A871">
        <f>HYPERLINK("https://www.philgeps.gov.ph/GEPSNONPILOT/Tender/SplashBidNoticeAbstractUI.aspx?menuIndex=3&amp;refID=7152953&amp;Result=3","7152953")</f>
        <v>0</v>
      </c>
      <c r="B871" t="s">
        <v>480</v>
      </c>
      <c r="C871" t="s">
        <v>4611</v>
      </c>
      <c r="D871" t="s">
        <v>17972</v>
      </c>
      <c r="E871" t="s">
        <v>18878</v>
      </c>
      <c r="F871" t="s">
        <v>30900</v>
      </c>
      <c r="G871" t="s">
        <v>30908</v>
      </c>
      <c r="H871" t="s">
        <v>30916</v>
      </c>
      <c r="I871" t="s">
        <v>30927</v>
      </c>
      <c r="J871" t="s">
        <v>31737</v>
      </c>
      <c r="K871" t="s">
        <v>40284</v>
      </c>
      <c r="M871" t="s">
        <v>41038</v>
      </c>
      <c r="N871" t="s">
        <v>44759</v>
      </c>
      <c r="O871" t="s">
        <v>44760</v>
      </c>
      <c r="P871">
        <v>0</v>
      </c>
      <c r="Q871">
        <v>0</v>
      </c>
      <c r="R871" t="s">
        <v>44761</v>
      </c>
      <c r="S871" t="s">
        <v>44862</v>
      </c>
      <c r="T871" t="s">
        <v>46389</v>
      </c>
      <c r="U871" t="s">
        <v>47736</v>
      </c>
      <c r="W871" t="s">
        <v>41038</v>
      </c>
      <c r="X871" t="s">
        <v>44762</v>
      </c>
    </row>
    <row r="872" spans="1:24">
      <c r="A872">
        <f>HYPERLINK("https://www.philgeps.gov.ph/GEPSNONPILOT/Tender/SplashBidNoticeAbstractUI.aspx?menuIndex=3&amp;refID=7152998&amp;Result=3","7152998")</f>
        <v>0</v>
      </c>
      <c r="B872" t="s">
        <v>421</v>
      </c>
      <c r="C872" t="s">
        <v>4612</v>
      </c>
      <c r="D872" t="s">
        <v>18012</v>
      </c>
      <c r="E872" t="s">
        <v>18879</v>
      </c>
      <c r="F872" t="s">
        <v>30900</v>
      </c>
      <c r="G872" t="s">
        <v>30907</v>
      </c>
      <c r="H872" t="s">
        <v>30916</v>
      </c>
      <c r="I872" t="s">
        <v>30923</v>
      </c>
      <c r="J872" t="s">
        <v>31738</v>
      </c>
      <c r="K872" t="s">
        <v>40283</v>
      </c>
      <c r="M872" t="s">
        <v>40977</v>
      </c>
      <c r="N872" t="s">
        <v>44759</v>
      </c>
      <c r="O872" t="s">
        <v>44760</v>
      </c>
      <c r="P872">
        <v>0</v>
      </c>
      <c r="Q872">
        <v>0</v>
      </c>
      <c r="R872" t="s">
        <v>44761</v>
      </c>
      <c r="S872" t="s">
        <v>44862</v>
      </c>
      <c r="T872" t="s">
        <v>46418</v>
      </c>
      <c r="U872" t="s">
        <v>47624</v>
      </c>
      <c r="V872" t="s">
        <v>59207</v>
      </c>
      <c r="W872" t="s">
        <v>40977</v>
      </c>
      <c r="X872" t="s">
        <v>44762</v>
      </c>
    </row>
    <row r="873" spans="1:24">
      <c r="A873">
        <f>HYPERLINK("https://www.philgeps.gov.ph/GEPSNONPILOT/Tender/SplashBidNoticeAbstractUI.aspx?menuIndex=3&amp;refID=7152997&amp;Result=3","7152997")</f>
        <v>0</v>
      </c>
      <c r="B873" t="s">
        <v>481</v>
      </c>
      <c r="C873" t="s">
        <v>4613</v>
      </c>
      <c r="D873" t="s">
        <v>17981</v>
      </c>
      <c r="E873" t="s">
        <v>18119</v>
      </c>
      <c r="F873" t="s">
        <v>30900</v>
      </c>
      <c r="G873" t="s">
        <v>30909</v>
      </c>
      <c r="H873" t="s">
        <v>30916</v>
      </c>
      <c r="I873" t="s">
        <v>30938</v>
      </c>
      <c r="J873" t="s">
        <v>31739</v>
      </c>
      <c r="K873" t="s">
        <v>40289</v>
      </c>
      <c r="M873" t="s">
        <v>41039</v>
      </c>
      <c r="N873" t="s">
        <v>44759</v>
      </c>
      <c r="O873" t="s">
        <v>44760</v>
      </c>
      <c r="P873">
        <v>0</v>
      </c>
      <c r="Q873">
        <v>0</v>
      </c>
      <c r="R873" t="s">
        <v>44761</v>
      </c>
      <c r="S873" t="s">
        <v>44862</v>
      </c>
      <c r="T873" t="s">
        <v>46399</v>
      </c>
      <c r="U873" t="s">
        <v>47737</v>
      </c>
      <c r="W873" t="s">
        <v>41039</v>
      </c>
      <c r="X873" t="s">
        <v>44762</v>
      </c>
    </row>
    <row r="874" spans="1:24">
      <c r="A874">
        <f>HYPERLINK("https://www.philgeps.gov.ph/GEPSNONPILOT/Tender/SplashBidNoticeAbstractUI.aspx?menuIndex=3&amp;refID=7152996&amp;Result=3","7152996")</f>
        <v>0</v>
      </c>
      <c r="B874" t="s">
        <v>482</v>
      </c>
      <c r="C874" t="s">
        <v>4614</v>
      </c>
      <c r="D874" t="s">
        <v>17953</v>
      </c>
      <c r="E874" t="s">
        <v>18880</v>
      </c>
      <c r="F874" t="s">
        <v>30900</v>
      </c>
      <c r="G874" t="s">
        <v>30908</v>
      </c>
      <c r="H874" t="s">
        <v>30916</v>
      </c>
      <c r="I874" t="s">
        <v>6396</v>
      </c>
      <c r="J874" t="s">
        <v>31066</v>
      </c>
      <c r="K874" t="s">
        <v>40288</v>
      </c>
      <c r="M874" t="s">
        <v>41040</v>
      </c>
      <c r="N874" t="s">
        <v>44759</v>
      </c>
      <c r="O874" t="s">
        <v>44760</v>
      </c>
      <c r="P874">
        <v>0</v>
      </c>
      <c r="Q874">
        <v>0</v>
      </c>
      <c r="R874" t="s">
        <v>44761</v>
      </c>
      <c r="S874" t="s">
        <v>44862</v>
      </c>
      <c r="T874" t="s">
        <v>46443</v>
      </c>
      <c r="U874" t="s">
        <v>47244</v>
      </c>
      <c r="W874" t="s">
        <v>41040</v>
      </c>
      <c r="X874" t="s">
        <v>44762</v>
      </c>
    </row>
    <row r="875" spans="1:24">
      <c r="A875">
        <f>HYPERLINK("https://www.philgeps.gov.ph/GEPSNONPILOT/Tender/SplashBidNoticeAbstractUI.aspx?menuIndex=3&amp;refID=7152992&amp;Result=3","7152992")</f>
        <v>0</v>
      </c>
      <c r="B875" t="s">
        <v>351</v>
      </c>
      <c r="C875" t="s">
        <v>4615</v>
      </c>
      <c r="D875" t="s">
        <v>17994</v>
      </c>
      <c r="E875" t="s">
        <v>18881</v>
      </c>
      <c r="F875" t="s">
        <v>30900</v>
      </c>
      <c r="G875" t="s">
        <v>30909</v>
      </c>
      <c r="H875" t="s">
        <v>30916</v>
      </c>
      <c r="I875" t="s">
        <v>30927</v>
      </c>
      <c r="J875" t="s">
        <v>31740</v>
      </c>
      <c r="K875" t="s">
        <v>40283</v>
      </c>
      <c r="M875" t="s">
        <v>40904</v>
      </c>
      <c r="N875" t="s">
        <v>44759</v>
      </c>
      <c r="O875" t="s">
        <v>44760</v>
      </c>
      <c r="P875">
        <v>0</v>
      </c>
      <c r="Q875">
        <v>0</v>
      </c>
      <c r="R875" t="s">
        <v>44761</v>
      </c>
      <c r="S875" t="s">
        <v>44862</v>
      </c>
      <c r="T875" t="s">
        <v>46398</v>
      </c>
      <c r="U875" t="s">
        <v>47738</v>
      </c>
      <c r="V875" t="s">
        <v>59182</v>
      </c>
      <c r="W875" t="s">
        <v>40904</v>
      </c>
      <c r="X875" t="s">
        <v>44762</v>
      </c>
    </row>
    <row r="876" spans="1:24">
      <c r="A876">
        <f>HYPERLINK("https://www.philgeps.gov.ph/GEPSNONPILOT/Tender/SplashBidNoticeAbstractUI.aspx?menuIndex=3&amp;refID=7153002&amp;Result=3","7153002")</f>
        <v>0</v>
      </c>
      <c r="B876" t="s">
        <v>237</v>
      </c>
      <c r="C876" t="s">
        <v>4616</v>
      </c>
      <c r="D876" t="s">
        <v>17977</v>
      </c>
      <c r="E876" t="s">
        <v>4616</v>
      </c>
      <c r="F876" t="s">
        <v>30900</v>
      </c>
      <c r="G876" t="s">
        <v>30908</v>
      </c>
      <c r="H876" t="s">
        <v>30916</v>
      </c>
      <c r="I876" t="s">
        <v>4545</v>
      </c>
      <c r="J876" t="s">
        <v>31284</v>
      </c>
      <c r="K876" t="s">
        <v>40289</v>
      </c>
      <c r="M876" t="s">
        <v>40784</v>
      </c>
      <c r="N876" t="s">
        <v>44759</v>
      </c>
      <c r="O876" t="s">
        <v>44760</v>
      </c>
      <c r="P876">
        <v>0</v>
      </c>
      <c r="Q876">
        <v>0</v>
      </c>
      <c r="R876" t="s">
        <v>44761</v>
      </c>
      <c r="S876" t="s">
        <v>44862</v>
      </c>
      <c r="T876" t="s">
        <v>46393</v>
      </c>
      <c r="U876" t="s">
        <v>47739</v>
      </c>
      <c r="W876" t="s">
        <v>40784</v>
      </c>
      <c r="X876" t="s">
        <v>44762</v>
      </c>
    </row>
    <row r="877" spans="1:24">
      <c r="A877">
        <f>HYPERLINK("https://www.philgeps.gov.ph/GEPSNONPILOT/Tender/SplashBidNoticeAbstractUI.aspx?menuIndex=3&amp;refID=7152999&amp;Result=3","7152999")</f>
        <v>0</v>
      </c>
      <c r="B877" t="s">
        <v>417</v>
      </c>
      <c r="C877" t="s">
        <v>4617</v>
      </c>
      <c r="D877" t="s">
        <v>17966</v>
      </c>
      <c r="E877" t="s">
        <v>18882</v>
      </c>
      <c r="F877" t="s">
        <v>30900</v>
      </c>
      <c r="G877" t="s">
        <v>30912</v>
      </c>
      <c r="H877" t="s">
        <v>30916</v>
      </c>
      <c r="I877" t="s">
        <v>4965</v>
      </c>
      <c r="J877" t="s">
        <v>31741</v>
      </c>
      <c r="K877" t="s">
        <v>40283</v>
      </c>
      <c r="M877" t="s">
        <v>40973</v>
      </c>
      <c r="N877" t="s">
        <v>44759</v>
      </c>
      <c r="O877" t="s">
        <v>44760</v>
      </c>
      <c r="P877">
        <v>0</v>
      </c>
      <c r="Q877">
        <v>0</v>
      </c>
      <c r="R877" t="s">
        <v>44761</v>
      </c>
      <c r="S877" t="s">
        <v>44862</v>
      </c>
      <c r="T877" t="s">
        <v>46357</v>
      </c>
      <c r="U877" t="s">
        <v>47619</v>
      </c>
      <c r="V877" t="s">
        <v>59227</v>
      </c>
      <c r="W877" t="s">
        <v>40973</v>
      </c>
      <c r="X877" t="s">
        <v>44762</v>
      </c>
    </row>
    <row r="878" spans="1:24">
      <c r="A878">
        <f>HYPERLINK("https://www.philgeps.gov.ph/GEPSNONPILOT/Tender/SplashBidNoticeAbstractUI.aspx?menuIndex=3&amp;refID=7153003&amp;Result=3","7153003")</f>
        <v>0</v>
      </c>
      <c r="B878" t="s">
        <v>483</v>
      </c>
      <c r="C878" t="s">
        <v>4618</v>
      </c>
      <c r="D878" t="s">
        <v>17972</v>
      </c>
      <c r="E878" t="s">
        <v>18883</v>
      </c>
      <c r="F878" t="s">
        <v>30900</v>
      </c>
      <c r="G878" t="s">
        <v>30908</v>
      </c>
      <c r="H878" t="s">
        <v>30916</v>
      </c>
      <c r="I878" t="s">
        <v>4142</v>
      </c>
      <c r="J878" t="s">
        <v>31742</v>
      </c>
      <c r="K878" t="s">
        <v>40286</v>
      </c>
      <c r="M878" t="s">
        <v>41041</v>
      </c>
      <c r="N878" t="s">
        <v>44759</v>
      </c>
      <c r="O878" t="s">
        <v>44760</v>
      </c>
      <c r="P878">
        <v>0</v>
      </c>
      <c r="Q878">
        <v>0</v>
      </c>
      <c r="R878" t="s">
        <v>44761</v>
      </c>
      <c r="S878" t="s">
        <v>44862</v>
      </c>
      <c r="T878" t="s">
        <v>46412</v>
      </c>
      <c r="U878" t="s">
        <v>47740</v>
      </c>
      <c r="W878" t="s">
        <v>41041</v>
      </c>
      <c r="X878" t="s">
        <v>44762</v>
      </c>
    </row>
    <row r="879" spans="1:24">
      <c r="A879">
        <f>HYPERLINK("https://www.philgeps.gov.ph/GEPSNONPILOT/Tender/SplashBidNoticeAbstractUI.aspx?menuIndex=3&amp;refID=7152995&amp;Result=3","7152995")</f>
        <v>0</v>
      </c>
      <c r="B879" t="s">
        <v>484</v>
      </c>
      <c r="C879" t="s">
        <v>4619</v>
      </c>
      <c r="D879" t="s">
        <v>17959</v>
      </c>
      <c r="E879" t="s">
        <v>18884</v>
      </c>
      <c r="F879" t="s">
        <v>30900</v>
      </c>
      <c r="G879" t="s">
        <v>30908</v>
      </c>
      <c r="H879" t="s">
        <v>30916</v>
      </c>
      <c r="I879" t="s">
        <v>4142</v>
      </c>
      <c r="J879" t="s">
        <v>31743</v>
      </c>
      <c r="K879" t="s">
        <v>40289</v>
      </c>
      <c r="M879" t="s">
        <v>41042</v>
      </c>
      <c r="N879" t="s">
        <v>44759</v>
      </c>
      <c r="O879" t="s">
        <v>44760</v>
      </c>
      <c r="P879">
        <v>0</v>
      </c>
      <c r="Q879">
        <v>0</v>
      </c>
      <c r="R879" t="s">
        <v>44761</v>
      </c>
      <c r="S879" t="s">
        <v>44862</v>
      </c>
      <c r="T879" t="s">
        <v>46412</v>
      </c>
      <c r="U879" t="s">
        <v>47741</v>
      </c>
      <c r="W879" t="s">
        <v>41042</v>
      </c>
      <c r="X879" t="s">
        <v>44762</v>
      </c>
    </row>
    <row r="880" spans="1:24">
      <c r="A880">
        <f>HYPERLINK("https://www.philgeps.gov.ph/GEPSNONPILOT/Tender/SplashBidNoticeAbstractUI.aspx?menuIndex=3&amp;refID=7153000&amp;Result=3","7153000")</f>
        <v>0</v>
      </c>
      <c r="B880" t="s">
        <v>269</v>
      </c>
      <c r="C880" t="s">
        <v>4620</v>
      </c>
      <c r="D880" t="s">
        <v>17971</v>
      </c>
      <c r="E880" t="s">
        <v>18885</v>
      </c>
      <c r="F880" t="s">
        <v>30900</v>
      </c>
      <c r="G880" t="s">
        <v>30908</v>
      </c>
      <c r="H880" t="s">
        <v>30916</v>
      </c>
      <c r="I880" t="s">
        <v>30924</v>
      </c>
      <c r="J880" t="s">
        <v>31522</v>
      </c>
      <c r="K880" t="s">
        <v>40289</v>
      </c>
      <c r="M880" t="s">
        <v>40816</v>
      </c>
      <c r="N880" t="s">
        <v>44759</v>
      </c>
      <c r="O880" t="s">
        <v>44760</v>
      </c>
      <c r="P880">
        <v>0</v>
      </c>
      <c r="Q880">
        <v>0</v>
      </c>
      <c r="R880" t="s">
        <v>44761</v>
      </c>
      <c r="S880" t="s">
        <v>44862</v>
      </c>
      <c r="T880" t="s">
        <v>46373</v>
      </c>
      <c r="U880" t="s">
        <v>47742</v>
      </c>
      <c r="W880" t="s">
        <v>40816</v>
      </c>
      <c r="X880" t="s">
        <v>44762</v>
      </c>
    </row>
    <row r="881" spans="1:24">
      <c r="A881">
        <f>HYPERLINK("https://www.philgeps.gov.ph/GEPSNONPILOT/Tender/SplashBidNoticeAbstractUI.aspx?menuIndex=3&amp;refID=7153011&amp;Result=3","7153011")</f>
        <v>0</v>
      </c>
      <c r="B881" t="s">
        <v>130</v>
      </c>
      <c r="C881" t="s">
        <v>4621</v>
      </c>
      <c r="D881" t="s">
        <v>17979</v>
      </c>
      <c r="E881" t="s">
        <v>18886</v>
      </c>
      <c r="F881" t="s">
        <v>30900</v>
      </c>
      <c r="G881" t="s">
        <v>30908</v>
      </c>
      <c r="H881" t="s">
        <v>30916</v>
      </c>
      <c r="I881" t="s">
        <v>10602</v>
      </c>
      <c r="J881" t="s">
        <v>31744</v>
      </c>
      <c r="K881" t="s">
        <v>40329</v>
      </c>
      <c r="M881" t="s">
        <v>40677</v>
      </c>
      <c r="N881" t="s">
        <v>44759</v>
      </c>
      <c r="O881" t="s">
        <v>44760</v>
      </c>
      <c r="P881">
        <v>0</v>
      </c>
      <c r="Q881">
        <v>0</v>
      </c>
      <c r="R881" t="s">
        <v>44761</v>
      </c>
      <c r="S881" t="s">
        <v>44862</v>
      </c>
      <c r="T881" t="s">
        <v>46376</v>
      </c>
      <c r="U881" t="s">
        <v>47743</v>
      </c>
      <c r="W881" t="s">
        <v>40677</v>
      </c>
      <c r="X881" t="s">
        <v>44762</v>
      </c>
    </row>
    <row r="882" spans="1:24">
      <c r="A882">
        <f>HYPERLINK("https://www.philgeps.gov.ph/GEPSNONPILOT/Tender/SplashBidNoticeAbstractUI.aspx?menuIndex=3&amp;refID=7153019&amp;Result=3","7153019")</f>
        <v>0</v>
      </c>
      <c r="B882" t="s">
        <v>438</v>
      </c>
      <c r="C882" t="s">
        <v>4622</v>
      </c>
      <c r="D882" t="s">
        <v>18027</v>
      </c>
      <c r="E882" t="s">
        <v>18887</v>
      </c>
      <c r="F882" t="s">
        <v>30900</v>
      </c>
      <c r="G882" t="s">
        <v>30907</v>
      </c>
      <c r="H882" t="s">
        <v>30916</v>
      </c>
      <c r="I882" t="s">
        <v>30949</v>
      </c>
      <c r="J882" t="s">
        <v>31745</v>
      </c>
      <c r="K882" t="s">
        <v>40287</v>
      </c>
      <c r="M882" t="s">
        <v>40995</v>
      </c>
      <c r="N882" t="s">
        <v>44759</v>
      </c>
      <c r="O882" t="s">
        <v>44760</v>
      </c>
      <c r="P882">
        <v>0</v>
      </c>
      <c r="Q882">
        <v>0</v>
      </c>
      <c r="R882" t="s">
        <v>44761</v>
      </c>
      <c r="S882" t="s">
        <v>44862</v>
      </c>
      <c r="T882" t="s">
        <v>46486</v>
      </c>
      <c r="U882" t="s">
        <v>47744</v>
      </c>
      <c r="W882" t="s">
        <v>40995</v>
      </c>
      <c r="X882" t="s">
        <v>44762</v>
      </c>
    </row>
    <row r="883" spans="1:24">
      <c r="A883">
        <f>HYPERLINK("https://www.philgeps.gov.ph/GEPSNONPILOT/Tender/SplashBidNoticeAbstractUI.aspx?menuIndex=3&amp;refID=7153024&amp;Result=3","7153024")</f>
        <v>0</v>
      </c>
      <c r="B883" t="s">
        <v>416</v>
      </c>
      <c r="C883" t="s">
        <v>4623</v>
      </c>
      <c r="D883" t="s">
        <v>17976</v>
      </c>
      <c r="E883" t="s">
        <v>18888</v>
      </c>
      <c r="F883" t="s">
        <v>30900</v>
      </c>
      <c r="G883" t="s">
        <v>30907</v>
      </c>
      <c r="H883" t="s">
        <v>30916</v>
      </c>
      <c r="I883" t="s">
        <v>5501</v>
      </c>
      <c r="J883" t="s">
        <v>31746</v>
      </c>
      <c r="K883" t="s">
        <v>40283</v>
      </c>
      <c r="M883" t="s">
        <v>40972</v>
      </c>
      <c r="N883" t="s">
        <v>44759</v>
      </c>
      <c r="O883" t="s">
        <v>44760</v>
      </c>
      <c r="P883">
        <v>0</v>
      </c>
      <c r="Q883">
        <v>0</v>
      </c>
      <c r="R883" t="s">
        <v>44761</v>
      </c>
      <c r="S883" t="s">
        <v>44862</v>
      </c>
      <c r="T883" t="s">
        <v>46439</v>
      </c>
      <c r="U883" t="s">
        <v>47745</v>
      </c>
      <c r="W883" t="s">
        <v>40972</v>
      </c>
      <c r="X883" t="s">
        <v>44762</v>
      </c>
    </row>
    <row r="884" spans="1:24">
      <c r="A884">
        <f>HYPERLINK("https://www.philgeps.gov.ph/GEPSNONPILOT/Tender/SplashBidNoticeAbstractUI.aspx?menuIndex=3&amp;refID=7153018&amp;Result=3","7153018")</f>
        <v>0</v>
      </c>
      <c r="B884" t="s">
        <v>143</v>
      </c>
      <c r="C884" t="s">
        <v>4624</v>
      </c>
      <c r="D884" t="s">
        <v>17965</v>
      </c>
      <c r="E884" t="s">
        <v>18889</v>
      </c>
      <c r="F884" t="s">
        <v>30900</v>
      </c>
      <c r="G884" t="s">
        <v>30907</v>
      </c>
      <c r="H884" t="s">
        <v>30915</v>
      </c>
      <c r="I884" t="s">
        <v>30919</v>
      </c>
      <c r="J884" t="s">
        <v>31747</v>
      </c>
      <c r="K884" t="s">
        <v>40284</v>
      </c>
      <c r="M884" t="s">
        <v>40854</v>
      </c>
      <c r="N884" t="s">
        <v>44759</v>
      </c>
      <c r="O884" t="s">
        <v>44760</v>
      </c>
      <c r="P884">
        <v>0</v>
      </c>
      <c r="Q884">
        <v>0</v>
      </c>
      <c r="R884" t="s">
        <v>44761</v>
      </c>
      <c r="S884" t="s">
        <v>44862</v>
      </c>
      <c r="T884" t="s">
        <v>46418</v>
      </c>
      <c r="U884" t="s">
        <v>47423</v>
      </c>
      <c r="W884" t="s">
        <v>40854</v>
      </c>
      <c r="X884" t="s">
        <v>44762</v>
      </c>
    </row>
    <row r="885" spans="1:24">
      <c r="A885">
        <f>HYPERLINK("https://www.philgeps.gov.ph/GEPSNONPILOT/Tender/SplashBidNoticeAbstractUI.aspx?menuIndex=3&amp;refID=7153017&amp;Result=3","7153017")</f>
        <v>0</v>
      </c>
      <c r="B885" t="s">
        <v>485</v>
      </c>
      <c r="C885" t="s">
        <v>4625</v>
      </c>
      <c r="E885" t="s">
        <v>18890</v>
      </c>
      <c r="F885" t="s">
        <v>30900</v>
      </c>
      <c r="G885" t="s">
        <v>30908</v>
      </c>
      <c r="H885" t="s">
        <v>30916</v>
      </c>
      <c r="I885" t="s">
        <v>30923</v>
      </c>
      <c r="J885" t="s">
        <v>31748</v>
      </c>
      <c r="K885" t="s">
        <v>40289</v>
      </c>
      <c r="M885" t="s">
        <v>41043</v>
      </c>
      <c r="N885" t="s">
        <v>44759</v>
      </c>
      <c r="O885" t="s">
        <v>44760</v>
      </c>
      <c r="P885">
        <v>0</v>
      </c>
      <c r="Q885">
        <v>0</v>
      </c>
      <c r="R885" t="s">
        <v>44761</v>
      </c>
      <c r="S885" t="s">
        <v>44862</v>
      </c>
      <c r="T885" t="s">
        <v>46399</v>
      </c>
      <c r="U885" t="s">
        <v>47746</v>
      </c>
      <c r="W885" t="s">
        <v>41043</v>
      </c>
      <c r="X885" t="s">
        <v>44762</v>
      </c>
    </row>
    <row r="886" spans="1:24">
      <c r="A886">
        <f>HYPERLINK("https://www.philgeps.gov.ph/GEPSNONPILOT/Tender/SplashBidNoticeAbstractUI.aspx?menuIndex=3&amp;refID=7153016&amp;Result=3","7153016")</f>
        <v>0</v>
      </c>
      <c r="B886" t="s">
        <v>459</v>
      </c>
      <c r="C886" t="s">
        <v>4626</v>
      </c>
      <c r="D886" t="s">
        <v>17978</v>
      </c>
      <c r="E886" t="s">
        <v>18891</v>
      </c>
      <c r="F886" t="s">
        <v>30900</v>
      </c>
      <c r="G886" t="s">
        <v>30908</v>
      </c>
      <c r="H886" t="s">
        <v>30916</v>
      </c>
      <c r="I886" t="s">
        <v>4545</v>
      </c>
      <c r="J886" t="s">
        <v>31049</v>
      </c>
      <c r="K886" t="s">
        <v>40288</v>
      </c>
      <c r="M886" t="s">
        <v>41017</v>
      </c>
      <c r="N886" t="s">
        <v>44759</v>
      </c>
      <c r="O886" t="s">
        <v>44760</v>
      </c>
      <c r="P886">
        <v>0</v>
      </c>
      <c r="Q886">
        <v>0</v>
      </c>
      <c r="R886" t="s">
        <v>44761</v>
      </c>
      <c r="S886" t="s">
        <v>44862</v>
      </c>
      <c r="T886" t="s">
        <v>46445</v>
      </c>
      <c r="U886" t="s">
        <v>47747</v>
      </c>
      <c r="W886" t="s">
        <v>41017</v>
      </c>
      <c r="X886" t="s">
        <v>44762</v>
      </c>
    </row>
    <row r="887" spans="1:24">
      <c r="A887">
        <f>HYPERLINK("https://www.philgeps.gov.ph/GEPSNONPILOT/Tender/SplashBidNoticeAbstractUI.aspx?menuIndex=3&amp;refID=7153014&amp;Result=3","7153014")</f>
        <v>0</v>
      </c>
      <c r="B887" t="s">
        <v>486</v>
      </c>
      <c r="C887" t="s">
        <v>4627</v>
      </c>
      <c r="D887" t="s">
        <v>17977</v>
      </c>
      <c r="E887" t="s">
        <v>18892</v>
      </c>
      <c r="F887" t="s">
        <v>30900</v>
      </c>
      <c r="G887" t="s">
        <v>30907</v>
      </c>
      <c r="H887" t="s">
        <v>30916</v>
      </c>
      <c r="I887" t="s">
        <v>8123</v>
      </c>
      <c r="J887" t="s">
        <v>31749</v>
      </c>
      <c r="K887" t="s">
        <v>40285</v>
      </c>
      <c r="M887" t="s">
        <v>41044</v>
      </c>
      <c r="N887" t="s">
        <v>44759</v>
      </c>
      <c r="O887" t="s">
        <v>44760</v>
      </c>
      <c r="P887">
        <v>0</v>
      </c>
      <c r="Q887">
        <v>0</v>
      </c>
      <c r="R887" t="s">
        <v>44761</v>
      </c>
      <c r="S887" t="s">
        <v>44862</v>
      </c>
      <c r="T887" t="s">
        <v>46493</v>
      </c>
      <c r="U887" t="s">
        <v>47748</v>
      </c>
      <c r="W887" t="s">
        <v>41044</v>
      </c>
      <c r="X887" t="s">
        <v>44762</v>
      </c>
    </row>
    <row r="888" spans="1:24">
      <c r="A888">
        <f>HYPERLINK("https://www.philgeps.gov.ph/GEPSNONPILOT/Tender/SplashBidNoticeAbstractUI.aspx?menuIndex=3&amp;refID=7153013&amp;Result=3","7153013")</f>
        <v>0</v>
      </c>
      <c r="B888" t="s">
        <v>396</v>
      </c>
      <c r="C888" t="s">
        <v>4628</v>
      </c>
      <c r="D888" t="s">
        <v>17984</v>
      </c>
      <c r="E888" t="s">
        <v>18893</v>
      </c>
      <c r="F888" t="s">
        <v>30900</v>
      </c>
      <c r="G888" t="s">
        <v>30908</v>
      </c>
      <c r="H888" t="s">
        <v>30916</v>
      </c>
      <c r="I888" t="s">
        <v>4108</v>
      </c>
      <c r="J888" t="s">
        <v>31750</v>
      </c>
      <c r="K888" t="s">
        <v>40286</v>
      </c>
      <c r="M888" t="s">
        <v>40951</v>
      </c>
      <c r="N888" t="s">
        <v>44759</v>
      </c>
      <c r="O888" t="s">
        <v>44760</v>
      </c>
      <c r="P888">
        <v>0</v>
      </c>
      <c r="Q888">
        <v>0</v>
      </c>
      <c r="R888" t="s">
        <v>44761</v>
      </c>
      <c r="S888" t="s">
        <v>44862</v>
      </c>
      <c r="T888" t="s">
        <v>46376</v>
      </c>
      <c r="U888" t="s">
        <v>47582</v>
      </c>
      <c r="W888" t="s">
        <v>40951</v>
      </c>
      <c r="X888" t="s">
        <v>44762</v>
      </c>
    </row>
    <row r="889" spans="1:24">
      <c r="A889">
        <f>HYPERLINK("https://www.philgeps.gov.ph/GEPSNONPILOT/Tender/SplashBidNoticeAbstractUI.aspx?menuIndex=3&amp;refID=7153012&amp;Result=3","7153012")</f>
        <v>0</v>
      </c>
      <c r="B889" t="s">
        <v>487</v>
      </c>
      <c r="C889" t="s">
        <v>4629</v>
      </c>
      <c r="D889" t="s">
        <v>17952</v>
      </c>
      <c r="E889" t="s">
        <v>18872</v>
      </c>
      <c r="F889" t="s">
        <v>30900</v>
      </c>
      <c r="G889" t="s">
        <v>30909</v>
      </c>
      <c r="H889" t="s">
        <v>30916</v>
      </c>
      <c r="I889" t="s">
        <v>4545</v>
      </c>
      <c r="J889" t="s">
        <v>31751</v>
      </c>
      <c r="K889" t="s">
        <v>40283</v>
      </c>
      <c r="M889" t="s">
        <v>41045</v>
      </c>
      <c r="N889" t="s">
        <v>44759</v>
      </c>
      <c r="O889" t="s">
        <v>44760</v>
      </c>
      <c r="P889">
        <v>0</v>
      </c>
      <c r="Q889">
        <v>0</v>
      </c>
      <c r="R889" t="s">
        <v>44761</v>
      </c>
      <c r="S889" t="s">
        <v>44862</v>
      </c>
      <c r="T889" t="s">
        <v>46389</v>
      </c>
      <c r="U889" t="s">
        <v>47749</v>
      </c>
      <c r="V889" t="s">
        <v>59228</v>
      </c>
      <c r="W889" t="s">
        <v>41045</v>
      </c>
      <c r="X889" t="s">
        <v>44762</v>
      </c>
    </row>
    <row r="890" spans="1:24">
      <c r="A890">
        <f>HYPERLINK("https://www.philgeps.gov.ph/GEPSNONPILOT/Tender/SplashBidNoticeAbstractUI.aspx?menuIndex=3&amp;refID=7152993&amp;Result=3","7152993")</f>
        <v>0</v>
      </c>
      <c r="B890" t="s">
        <v>334</v>
      </c>
      <c r="C890" t="s">
        <v>4630</v>
      </c>
      <c r="D890" t="s">
        <v>17957</v>
      </c>
      <c r="E890" t="s">
        <v>18300</v>
      </c>
      <c r="F890" t="s">
        <v>30900</v>
      </c>
      <c r="G890" t="s">
        <v>30908</v>
      </c>
      <c r="H890" t="s">
        <v>30916</v>
      </c>
      <c r="I890" t="s">
        <v>30962</v>
      </c>
      <c r="J890" t="s">
        <v>31341</v>
      </c>
      <c r="K890" t="s">
        <v>40291</v>
      </c>
      <c r="M890" t="s">
        <v>40885</v>
      </c>
      <c r="N890" t="s">
        <v>44759</v>
      </c>
      <c r="O890" t="s">
        <v>44760</v>
      </c>
      <c r="P890">
        <v>0</v>
      </c>
      <c r="Q890">
        <v>0</v>
      </c>
      <c r="R890" t="s">
        <v>44761</v>
      </c>
      <c r="S890" t="s">
        <v>44862</v>
      </c>
      <c r="T890" t="s">
        <v>46362</v>
      </c>
      <c r="U890" t="s">
        <v>47475</v>
      </c>
      <c r="W890" t="s">
        <v>40885</v>
      </c>
      <c r="X890" t="s">
        <v>44762</v>
      </c>
    </row>
    <row r="891" spans="1:24">
      <c r="A891">
        <f>HYPERLINK("https://www.philgeps.gov.ph/GEPSNONPILOT/Tender/SplashBidNoticeAbstractUI.aspx?menuIndex=3&amp;refID=7153034&amp;Result=3","7153034")</f>
        <v>0</v>
      </c>
      <c r="B891" t="s">
        <v>143</v>
      </c>
      <c r="C891" t="s">
        <v>4631</v>
      </c>
      <c r="D891" t="s">
        <v>17965</v>
      </c>
      <c r="E891" t="s">
        <v>18894</v>
      </c>
      <c r="F891" t="s">
        <v>30900</v>
      </c>
      <c r="G891" t="s">
        <v>30907</v>
      </c>
      <c r="H891" t="s">
        <v>30915</v>
      </c>
      <c r="I891" t="s">
        <v>30919</v>
      </c>
      <c r="J891" t="s">
        <v>31752</v>
      </c>
      <c r="K891" t="s">
        <v>40314</v>
      </c>
      <c r="M891" t="s">
        <v>40854</v>
      </c>
      <c r="N891" t="s">
        <v>44759</v>
      </c>
      <c r="O891" t="s">
        <v>44760</v>
      </c>
      <c r="P891">
        <v>0</v>
      </c>
      <c r="Q891">
        <v>0</v>
      </c>
      <c r="R891" t="s">
        <v>44761</v>
      </c>
      <c r="S891" t="s">
        <v>44862</v>
      </c>
      <c r="T891" t="s">
        <v>46418</v>
      </c>
      <c r="U891" t="s">
        <v>47423</v>
      </c>
      <c r="W891" t="s">
        <v>40854</v>
      </c>
      <c r="X891" t="s">
        <v>44762</v>
      </c>
    </row>
    <row r="892" spans="1:24">
      <c r="A892">
        <f>HYPERLINK("https://www.philgeps.gov.ph/GEPSNONPILOT/Tender/SplashBidNoticeAbstractUI.aspx?menuIndex=3&amp;refID=7153033&amp;Result=3","7153033")</f>
        <v>0</v>
      </c>
      <c r="B892" t="s">
        <v>394</v>
      </c>
      <c r="C892" t="s">
        <v>4632</v>
      </c>
      <c r="D892" t="s">
        <v>17959</v>
      </c>
      <c r="E892" t="s">
        <v>18895</v>
      </c>
      <c r="F892" t="s">
        <v>30900</v>
      </c>
      <c r="G892" t="s">
        <v>30908</v>
      </c>
      <c r="H892" t="s">
        <v>30916</v>
      </c>
      <c r="I892" t="s">
        <v>30942</v>
      </c>
      <c r="J892" t="s">
        <v>31753</v>
      </c>
      <c r="K892" t="s">
        <v>40283</v>
      </c>
      <c r="M892" t="s">
        <v>40949</v>
      </c>
      <c r="N892" t="s">
        <v>44759</v>
      </c>
      <c r="O892" t="s">
        <v>44760</v>
      </c>
      <c r="P892">
        <v>0</v>
      </c>
      <c r="Q892">
        <v>0</v>
      </c>
      <c r="R892" t="s">
        <v>44761</v>
      </c>
      <c r="S892" t="s">
        <v>44862</v>
      </c>
      <c r="T892" t="s">
        <v>46390</v>
      </c>
      <c r="U892" t="s">
        <v>47750</v>
      </c>
      <c r="W892" t="s">
        <v>40949</v>
      </c>
      <c r="X892" t="s">
        <v>44762</v>
      </c>
    </row>
    <row r="893" spans="1:24">
      <c r="A893">
        <f>HYPERLINK("https://www.philgeps.gov.ph/GEPSNONPILOT/Tender/SplashBidNoticeAbstractUI.aspx?menuIndex=3&amp;refID=7153032&amp;Result=3","7153032")</f>
        <v>0</v>
      </c>
      <c r="B893" t="s">
        <v>433</v>
      </c>
      <c r="C893" t="s">
        <v>4633</v>
      </c>
      <c r="D893" t="s">
        <v>17977</v>
      </c>
      <c r="E893" t="s">
        <v>18896</v>
      </c>
      <c r="F893" t="s">
        <v>30900</v>
      </c>
      <c r="G893" t="s">
        <v>30908</v>
      </c>
      <c r="H893" t="s">
        <v>30916</v>
      </c>
      <c r="I893" t="s">
        <v>30949</v>
      </c>
      <c r="J893" t="s">
        <v>31284</v>
      </c>
      <c r="K893" t="s">
        <v>40287</v>
      </c>
      <c r="M893" t="s">
        <v>40990</v>
      </c>
      <c r="N893" t="s">
        <v>44759</v>
      </c>
      <c r="O893" t="s">
        <v>44760</v>
      </c>
      <c r="P893">
        <v>0</v>
      </c>
      <c r="Q893">
        <v>0</v>
      </c>
      <c r="R893" t="s">
        <v>44761</v>
      </c>
      <c r="S893" t="s">
        <v>44862</v>
      </c>
      <c r="T893" t="s">
        <v>46356</v>
      </c>
      <c r="U893" t="s">
        <v>47751</v>
      </c>
      <c r="W893" t="s">
        <v>40990</v>
      </c>
      <c r="X893" t="s">
        <v>44762</v>
      </c>
    </row>
    <row r="894" spans="1:24">
      <c r="A894">
        <f>HYPERLINK("https://www.philgeps.gov.ph/GEPSNONPILOT/Tender/SplashBidNoticeAbstractUI.aspx?menuIndex=3&amp;refID=7153031&amp;Result=3","7153031")</f>
        <v>0</v>
      </c>
      <c r="B894" t="s">
        <v>179</v>
      </c>
      <c r="C894" t="s">
        <v>4634</v>
      </c>
      <c r="D894" t="s">
        <v>17953</v>
      </c>
      <c r="E894" t="s">
        <v>18897</v>
      </c>
      <c r="F894" t="s">
        <v>30900</v>
      </c>
      <c r="G894" t="s">
        <v>30909</v>
      </c>
      <c r="H894" t="s">
        <v>30915</v>
      </c>
      <c r="I894" t="s">
        <v>30919</v>
      </c>
      <c r="J894" t="s">
        <v>31754</v>
      </c>
      <c r="K894" t="s">
        <v>40287</v>
      </c>
      <c r="M894" t="s">
        <v>40726</v>
      </c>
      <c r="N894" t="s">
        <v>44759</v>
      </c>
      <c r="O894" t="s">
        <v>44760</v>
      </c>
      <c r="P894">
        <v>0</v>
      </c>
      <c r="Q894">
        <v>0</v>
      </c>
      <c r="R894" t="s">
        <v>44761</v>
      </c>
      <c r="S894" t="s">
        <v>44862</v>
      </c>
      <c r="T894" t="s">
        <v>46414</v>
      </c>
      <c r="U894" t="s">
        <v>47752</v>
      </c>
      <c r="W894" t="s">
        <v>40726</v>
      </c>
      <c r="X894" t="s">
        <v>44762</v>
      </c>
    </row>
    <row r="895" spans="1:24">
      <c r="A895">
        <f>HYPERLINK("https://www.philgeps.gov.ph/GEPSNONPILOT/Tender/SplashBidNoticeAbstractUI.aspx?menuIndex=3&amp;refID=7153028&amp;Result=3","7153028")</f>
        <v>0</v>
      </c>
      <c r="B895" t="s">
        <v>488</v>
      </c>
      <c r="C895" t="s">
        <v>4635</v>
      </c>
      <c r="D895" t="s">
        <v>17985</v>
      </c>
      <c r="E895" t="s">
        <v>18898</v>
      </c>
      <c r="F895" t="s">
        <v>30900</v>
      </c>
      <c r="G895" t="s">
        <v>30907</v>
      </c>
      <c r="H895" t="s">
        <v>30916</v>
      </c>
      <c r="I895" t="s">
        <v>4545</v>
      </c>
      <c r="J895" t="s">
        <v>31755</v>
      </c>
      <c r="K895" t="s">
        <v>40286</v>
      </c>
      <c r="M895" t="s">
        <v>41046</v>
      </c>
      <c r="N895" t="s">
        <v>44759</v>
      </c>
      <c r="O895" t="s">
        <v>44760</v>
      </c>
      <c r="P895">
        <v>0</v>
      </c>
      <c r="Q895">
        <v>0</v>
      </c>
      <c r="R895" t="s">
        <v>44761</v>
      </c>
      <c r="S895" t="s">
        <v>44862</v>
      </c>
      <c r="T895" t="s">
        <v>46392</v>
      </c>
      <c r="U895" t="s">
        <v>47753</v>
      </c>
      <c r="W895" t="s">
        <v>41046</v>
      </c>
      <c r="X895" t="s">
        <v>44762</v>
      </c>
    </row>
    <row r="896" spans="1:24">
      <c r="A896">
        <f>HYPERLINK("https://www.philgeps.gov.ph/GEPSNONPILOT/Tender/SplashBidNoticeAbstractUI.aspx?menuIndex=3&amp;refID=7153027&amp;Result=3","7153027")</f>
        <v>0</v>
      </c>
      <c r="B896" t="s">
        <v>489</v>
      </c>
      <c r="C896" t="s">
        <v>4636</v>
      </c>
      <c r="D896" t="s">
        <v>17993</v>
      </c>
      <c r="E896" t="s">
        <v>18899</v>
      </c>
      <c r="F896" t="s">
        <v>30900</v>
      </c>
      <c r="G896" t="s">
        <v>30909</v>
      </c>
      <c r="H896" t="s">
        <v>30916</v>
      </c>
      <c r="I896" t="s">
        <v>30923</v>
      </c>
      <c r="J896" t="s">
        <v>31423</v>
      </c>
      <c r="K896" t="s">
        <v>40289</v>
      </c>
      <c r="M896" t="s">
        <v>41047</v>
      </c>
      <c r="N896" t="s">
        <v>44759</v>
      </c>
      <c r="O896" t="s">
        <v>44760</v>
      </c>
      <c r="P896">
        <v>0</v>
      </c>
      <c r="Q896">
        <v>1</v>
      </c>
      <c r="R896" t="s">
        <v>44761</v>
      </c>
      <c r="S896" t="s">
        <v>44862</v>
      </c>
      <c r="T896" t="s">
        <v>46363</v>
      </c>
      <c r="U896" t="s">
        <v>47754</v>
      </c>
      <c r="W896" t="s">
        <v>41047</v>
      </c>
      <c r="X896" t="s">
        <v>44762</v>
      </c>
    </row>
    <row r="897" spans="1:24">
      <c r="A897">
        <f>HYPERLINK("https://www.philgeps.gov.ph/GEPSNONPILOT/Tender/SplashBidNoticeAbstractUI.aspx?menuIndex=3&amp;refID=7153035&amp;Result=3","7153035")</f>
        <v>0</v>
      </c>
      <c r="B897" t="s">
        <v>417</v>
      </c>
      <c r="C897" t="s">
        <v>4637</v>
      </c>
      <c r="D897" t="s">
        <v>17966</v>
      </c>
      <c r="E897" t="s">
        <v>18900</v>
      </c>
      <c r="F897" t="s">
        <v>30900</v>
      </c>
      <c r="G897" t="s">
        <v>30908</v>
      </c>
      <c r="H897" t="s">
        <v>30916</v>
      </c>
      <c r="I897" t="s">
        <v>4965</v>
      </c>
      <c r="J897" t="s">
        <v>31756</v>
      </c>
      <c r="K897" t="s">
        <v>40283</v>
      </c>
      <c r="M897" t="s">
        <v>40973</v>
      </c>
      <c r="N897" t="s">
        <v>44759</v>
      </c>
      <c r="O897" t="s">
        <v>44760</v>
      </c>
      <c r="P897">
        <v>0</v>
      </c>
      <c r="Q897">
        <v>0</v>
      </c>
      <c r="R897" t="s">
        <v>44761</v>
      </c>
      <c r="S897" t="s">
        <v>44862</v>
      </c>
      <c r="T897" t="s">
        <v>46357</v>
      </c>
      <c r="U897" t="s">
        <v>47619</v>
      </c>
      <c r="V897" t="s">
        <v>59219</v>
      </c>
      <c r="W897" t="s">
        <v>40973</v>
      </c>
      <c r="X897" t="s">
        <v>44762</v>
      </c>
    </row>
    <row r="898" spans="1:24">
      <c r="A898">
        <f>HYPERLINK("https://www.philgeps.gov.ph/GEPSNONPILOT/Tender/SplashBidNoticeAbstractUI.aspx?menuIndex=3&amp;refID=7153026&amp;Result=3","7153026")</f>
        <v>0</v>
      </c>
      <c r="B898" t="s">
        <v>490</v>
      </c>
      <c r="C898" t="s">
        <v>4638</v>
      </c>
      <c r="D898" t="s">
        <v>17953</v>
      </c>
      <c r="E898" t="s">
        <v>18872</v>
      </c>
      <c r="F898" t="s">
        <v>30900</v>
      </c>
      <c r="G898" t="s">
        <v>30907</v>
      </c>
      <c r="H898" t="s">
        <v>30916</v>
      </c>
      <c r="I898" t="s">
        <v>8123</v>
      </c>
      <c r="J898" t="s">
        <v>31757</v>
      </c>
      <c r="K898" t="s">
        <v>40286</v>
      </c>
      <c r="M898" t="s">
        <v>41048</v>
      </c>
      <c r="N898" t="s">
        <v>44759</v>
      </c>
      <c r="O898" t="s">
        <v>44760</v>
      </c>
      <c r="P898">
        <v>0</v>
      </c>
      <c r="Q898">
        <v>0</v>
      </c>
      <c r="R898" t="s">
        <v>44761</v>
      </c>
      <c r="S898" t="s">
        <v>44862</v>
      </c>
      <c r="T898" t="s">
        <v>46352</v>
      </c>
      <c r="U898" t="s">
        <v>47755</v>
      </c>
      <c r="W898" t="s">
        <v>41048</v>
      </c>
      <c r="X898" t="s">
        <v>44762</v>
      </c>
    </row>
    <row r="899" spans="1:24">
      <c r="A899">
        <f>HYPERLINK("https://www.philgeps.gov.ph/GEPSNONPILOT/Tender/SplashBidNoticeAbstractUI.aspx?menuIndex=3&amp;refID=7153030&amp;Result=3","7153030")</f>
        <v>0</v>
      </c>
      <c r="B899" t="s">
        <v>85</v>
      </c>
      <c r="C899" t="s">
        <v>4639</v>
      </c>
      <c r="D899" t="s">
        <v>17991</v>
      </c>
      <c r="E899" t="s">
        <v>18901</v>
      </c>
      <c r="F899" t="s">
        <v>30900</v>
      </c>
      <c r="G899" t="s">
        <v>30907</v>
      </c>
      <c r="H899" t="s">
        <v>30915</v>
      </c>
      <c r="I899" t="s">
        <v>30919</v>
      </c>
      <c r="J899" t="s">
        <v>31758</v>
      </c>
      <c r="K899" t="s">
        <v>40292</v>
      </c>
      <c r="M899" t="s">
        <v>40960</v>
      </c>
      <c r="N899" t="s">
        <v>44759</v>
      </c>
      <c r="O899" t="s">
        <v>44760</v>
      </c>
      <c r="P899">
        <v>0</v>
      </c>
      <c r="Q899">
        <v>0</v>
      </c>
      <c r="R899" t="s">
        <v>44761</v>
      </c>
      <c r="S899" t="s">
        <v>44862</v>
      </c>
      <c r="T899" t="s">
        <v>46417</v>
      </c>
      <c r="U899" t="s">
        <v>47756</v>
      </c>
      <c r="W899" t="s">
        <v>40960</v>
      </c>
      <c r="X899" t="s">
        <v>44762</v>
      </c>
    </row>
    <row r="900" spans="1:24">
      <c r="A900">
        <f>HYPERLINK("https://www.philgeps.gov.ph/GEPSNONPILOT/Tender/SplashBidNoticeAbstractUI.aspx?menuIndex=3&amp;refID=7153051&amp;Result=3","7153051")</f>
        <v>0</v>
      </c>
      <c r="B900" t="s">
        <v>130</v>
      </c>
      <c r="C900" t="s">
        <v>4640</v>
      </c>
      <c r="D900" t="s">
        <v>17979</v>
      </c>
      <c r="E900" t="s">
        <v>18902</v>
      </c>
      <c r="F900" t="s">
        <v>30900</v>
      </c>
      <c r="G900" t="s">
        <v>30908</v>
      </c>
      <c r="H900" t="s">
        <v>30916</v>
      </c>
      <c r="I900" t="s">
        <v>10602</v>
      </c>
      <c r="J900" t="s">
        <v>31759</v>
      </c>
      <c r="K900" t="s">
        <v>40329</v>
      </c>
      <c r="M900" t="s">
        <v>40677</v>
      </c>
      <c r="N900" t="s">
        <v>44759</v>
      </c>
      <c r="O900" t="s">
        <v>44760</v>
      </c>
      <c r="P900">
        <v>0</v>
      </c>
      <c r="Q900">
        <v>0</v>
      </c>
      <c r="R900" t="s">
        <v>44761</v>
      </c>
      <c r="S900" t="s">
        <v>44862</v>
      </c>
      <c r="T900" t="s">
        <v>46376</v>
      </c>
      <c r="U900" t="s">
        <v>47757</v>
      </c>
      <c r="W900" t="s">
        <v>40677</v>
      </c>
      <c r="X900" t="s">
        <v>44762</v>
      </c>
    </row>
    <row r="901" spans="1:24">
      <c r="A901">
        <f>HYPERLINK("https://www.philgeps.gov.ph/GEPSNONPILOT/Tender/SplashBidNoticeAbstractUI.aspx?menuIndex=3&amp;refID=7153050&amp;Result=3","7153050")</f>
        <v>0</v>
      </c>
      <c r="B901" t="s">
        <v>491</v>
      </c>
      <c r="C901" t="s">
        <v>4641</v>
      </c>
      <c r="D901" t="s">
        <v>17951</v>
      </c>
      <c r="E901" t="s">
        <v>18903</v>
      </c>
      <c r="F901" t="s">
        <v>30899</v>
      </c>
      <c r="G901" t="s">
        <v>30909</v>
      </c>
      <c r="H901" t="s">
        <v>30916</v>
      </c>
      <c r="I901" t="s">
        <v>30923</v>
      </c>
      <c r="J901" t="s">
        <v>31760</v>
      </c>
      <c r="K901" t="s">
        <v>40284</v>
      </c>
      <c r="M901" t="s">
        <v>41049</v>
      </c>
      <c r="N901" t="s">
        <v>44759</v>
      </c>
      <c r="O901" t="s">
        <v>44760</v>
      </c>
      <c r="P901">
        <v>0</v>
      </c>
      <c r="Q901">
        <v>0</v>
      </c>
      <c r="R901" t="s">
        <v>44761</v>
      </c>
      <c r="S901" t="s">
        <v>44862</v>
      </c>
      <c r="T901" t="s">
        <v>46428</v>
      </c>
      <c r="U901" t="s">
        <v>47758</v>
      </c>
      <c r="W901" t="s">
        <v>41049</v>
      </c>
      <c r="X901" t="s">
        <v>44762</v>
      </c>
    </row>
    <row r="902" spans="1:24">
      <c r="A902">
        <f>HYPERLINK("https://www.philgeps.gov.ph/GEPSNONPILOT/Tender/SplashBidNoticeAbstractUI.aspx?menuIndex=3&amp;refID=7153047&amp;Result=3","7153047")</f>
        <v>0</v>
      </c>
      <c r="B902" t="s">
        <v>284</v>
      </c>
      <c r="C902" t="s">
        <v>4642</v>
      </c>
      <c r="D902" t="s">
        <v>18009</v>
      </c>
      <c r="E902" t="s">
        <v>18904</v>
      </c>
      <c r="F902" t="s">
        <v>30900</v>
      </c>
      <c r="G902" t="s">
        <v>30908</v>
      </c>
      <c r="H902" t="s">
        <v>30916</v>
      </c>
      <c r="I902" t="s">
        <v>4545</v>
      </c>
      <c r="J902" t="s">
        <v>31761</v>
      </c>
      <c r="K902" t="s">
        <v>40287</v>
      </c>
      <c r="M902" t="s">
        <v>41050</v>
      </c>
      <c r="N902" t="s">
        <v>44759</v>
      </c>
      <c r="O902" t="s">
        <v>44760</v>
      </c>
      <c r="P902">
        <v>0</v>
      </c>
      <c r="Q902">
        <v>0</v>
      </c>
      <c r="R902" t="s">
        <v>44761</v>
      </c>
      <c r="S902" t="s">
        <v>44862</v>
      </c>
      <c r="T902" t="s">
        <v>46389</v>
      </c>
      <c r="U902" t="s">
        <v>47759</v>
      </c>
      <c r="W902" t="s">
        <v>41050</v>
      </c>
      <c r="X902" t="s">
        <v>44762</v>
      </c>
    </row>
    <row r="903" spans="1:24">
      <c r="A903">
        <f>HYPERLINK("https://www.philgeps.gov.ph/GEPSNONPILOT/Tender/SplashBidNoticeAbstractUI.aspx?menuIndex=3&amp;refID=7153046&amp;Result=3","7153046")</f>
        <v>0</v>
      </c>
      <c r="B903" t="s">
        <v>492</v>
      </c>
      <c r="C903" t="s">
        <v>4643</v>
      </c>
      <c r="D903" t="s">
        <v>18018</v>
      </c>
      <c r="E903" t="s">
        <v>18905</v>
      </c>
      <c r="F903" t="s">
        <v>30900</v>
      </c>
      <c r="G903" t="s">
        <v>30908</v>
      </c>
      <c r="H903" t="s">
        <v>30916</v>
      </c>
      <c r="I903" t="s">
        <v>30921</v>
      </c>
      <c r="J903" t="s">
        <v>31388</v>
      </c>
      <c r="K903" t="s">
        <v>40287</v>
      </c>
      <c r="M903" t="s">
        <v>41051</v>
      </c>
      <c r="N903" t="s">
        <v>44759</v>
      </c>
      <c r="O903" t="s">
        <v>44760</v>
      </c>
      <c r="P903">
        <v>0</v>
      </c>
      <c r="Q903">
        <v>0</v>
      </c>
      <c r="R903" t="s">
        <v>44761</v>
      </c>
      <c r="S903" t="s">
        <v>44862</v>
      </c>
      <c r="T903" t="s">
        <v>46487</v>
      </c>
      <c r="U903" t="s">
        <v>47760</v>
      </c>
      <c r="W903" t="s">
        <v>41051</v>
      </c>
      <c r="X903" t="s">
        <v>44762</v>
      </c>
    </row>
    <row r="904" spans="1:24">
      <c r="A904">
        <f>HYPERLINK("https://www.philgeps.gov.ph/GEPSNONPILOT/Tender/SplashBidNoticeAbstractUI.aspx?menuIndex=3&amp;refID=7153045&amp;Result=3","7153045")</f>
        <v>0</v>
      </c>
      <c r="B904" t="s">
        <v>493</v>
      </c>
      <c r="C904" t="s">
        <v>4644</v>
      </c>
      <c r="D904" t="s">
        <v>17975</v>
      </c>
      <c r="E904" t="s">
        <v>18906</v>
      </c>
      <c r="F904" t="s">
        <v>30900</v>
      </c>
      <c r="G904" t="s">
        <v>30908</v>
      </c>
      <c r="H904" t="s">
        <v>30915</v>
      </c>
      <c r="I904" t="s">
        <v>30919</v>
      </c>
      <c r="J904" t="s">
        <v>31101</v>
      </c>
      <c r="K904" t="s">
        <v>40289</v>
      </c>
      <c r="M904" t="s">
        <v>41052</v>
      </c>
      <c r="N904" t="s">
        <v>44759</v>
      </c>
      <c r="O904" t="s">
        <v>44760</v>
      </c>
      <c r="P904">
        <v>0</v>
      </c>
      <c r="Q904">
        <v>0</v>
      </c>
      <c r="R904" t="s">
        <v>44761</v>
      </c>
      <c r="S904" t="s">
        <v>44862</v>
      </c>
      <c r="T904" t="s">
        <v>46399</v>
      </c>
      <c r="U904" t="s">
        <v>47761</v>
      </c>
      <c r="W904" t="s">
        <v>41052</v>
      </c>
      <c r="X904" t="s">
        <v>44762</v>
      </c>
    </row>
    <row r="905" spans="1:24">
      <c r="A905">
        <f>HYPERLINK("https://www.philgeps.gov.ph/GEPSNONPILOT/Tender/SplashBidNoticeAbstractUI.aspx?menuIndex=3&amp;refID=7153036&amp;Result=3","7153036")</f>
        <v>0</v>
      </c>
      <c r="B905" t="s">
        <v>462</v>
      </c>
      <c r="C905" t="s">
        <v>4645</v>
      </c>
      <c r="D905" t="s">
        <v>17980</v>
      </c>
      <c r="E905" t="s">
        <v>18907</v>
      </c>
      <c r="F905" t="s">
        <v>30900</v>
      </c>
      <c r="G905" t="s">
        <v>30907</v>
      </c>
      <c r="H905" t="s">
        <v>30916</v>
      </c>
      <c r="I905" t="s">
        <v>8123</v>
      </c>
      <c r="J905" t="s">
        <v>31762</v>
      </c>
      <c r="K905" t="s">
        <v>40286</v>
      </c>
      <c r="M905" t="s">
        <v>41020</v>
      </c>
      <c r="N905" t="s">
        <v>44759</v>
      </c>
      <c r="O905" t="s">
        <v>44760</v>
      </c>
      <c r="P905">
        <v>0</v>
      </c>
      <c r="Q905">
        <v>0</v>
      </c>
      <c r="R905" t="s">
        <v>44761</v>
      </c>
      <c r="S905" t="s">
        <v>44862</v>
      </c>
      <c r="T905" t="s">
        <v>46491</v>
      </c>
      <c r="U905" t="s">
        <v>47704</v>
      </c>
      <c r="W905" t="s">
        <v>41020</v>
      </c>
      <c r="X905" t="s">
        <v>44762</v>
      </c>
    </row>
    <row r="906" spans="1:24">
      <c r="A906">
        <f>HYPERLINK("https://www.philgeps.gov.ph/GEPSNONPILOT/Tender/SplashBidNoticeAbstractUI.aspx?menuIndex=3&amp;refID=7153053&amp;Result=3","7153053")</f>
        <v>0</v>
      </c>
      <c r="B906" t="s">
        <v>293</v>
      </c>
      <c r="C906" t="s">
        <v>4646</v>
      </c>
      <c r="D906" t="s">
        <v>18023</v>
      </c>
      <c r="E906" t="s">
        <v>18908</v>
      </c>
      <c r="F906" t="s">
        <v>30900</v>
      </c>
      <c r="G906" t="s">
        <v>30907</v>
      </c>
      <c r="H906" t="s">
        <v>30916</v>
      </c>
      <c r="I906" t="s">
        <v>30918</v>
      </c>
      <c r="J906" t="s">
        <v>31763</v>
      </c>
      <c r="K906" t="s">
        <v>40283</v>
      </c>
      <c r="M906" t="s">
        <v>40841</v>
      </c>
      <c r="N906" t="s">
        <v>44759</v>
      </c>
      <c r="O906" t="s">
        <v>44760</v>
      </c>
      <c r="P906">
        <v>0</v>
      </c>
      <c r="Q906">
        <v>0</v>
      </c>
      <c r="R906" t="s">
        <v>44761</v>
      </c>
      <c r="S906" t="s">
        <v>44862</v>
      </c>
      <c r="T906" t="s">
        <v>46375</v>
      </c>
      <c r="U906" t="s">
        <v>47762</v>
      </c>
      <c r="W906" t="s">
        <v>40841</v>
      </c>
      <c r="X906" t="s">
        <v>44762</v>
      </c>
    </row>
    <row r="907" spans="1:24">
      <c r="A907">
        <f>HYPERLINK("https://www.philgeps.gov.ph/GEPSNONPILOT/Tender/SplashBidNoticeAbstractUI.aspx?menuIndex=3&amp;refID=7153042&amp;Result=3","7153042")</f>
        <v>0</v>
      </c>
      <c r="B907" t="s">
        <v>494</v>
      </c>
      <c r="C907" t="s">
        <v>4647</v>
      </c>
      <c r="D907" t="s">
        <v>17961</v>
      </c>
      <c r="E907" t="s">
        <v>18909</v>
      </c>
      <c r="F907" t="s">
        <v>30900</v>
      </c>
      <c r="G907" t="s">
        <v>30907</v>
      </c>
      <c r="H907" t="s">
        <v>30915</v>
      </c>
      <c r="I907" t="s">
        <v>30919</v>
      </c>
      <c r="J907" t="s">
        <v>31764</v>
      </c>
      <c r="K907" t="s">
        <v>40292</v>
      </c>
      <c r="M907" t="s">
        <v>41053</v>
      </c>
      <c r="N907" t="s">
        <v>44759</v>
      </c>
      <c r="O907" t="s">
        <v>44760</v>
      </c>
      <c r="P907">
        <v>0</v>
      </c>
      <c r="Q907">
        <v>0</v>
      </c>
      <c r="R907" t="s">
        <v>44761</v>
      </c>
      <c r="S907" t="s">
        <v>44862</v>
      </c>
      <c r="T907" t="s">
        <v>46476</v>
      </c>
      <c r="U907" t="s">
        <v>47763</v>
      </c>
      <c r="W907" t="s">
        <v>41053</v>
      </c>
      <c r="X907" t="s">
        <v>44762</v>
      </c>
    </row>
    <row r="908" spans="1:24">
      <c r="A908">
        <f>HYPERLINK("https://www.philgeps.gov.ph/GEPSNONPILOT/Tender/SplashBidNoticeAbstractUI.aspx?menuIndex=3&amp;refID=7153060&amp;Result=3","7153060")</f>
        <v>0</v>
      </c>
      <c r="B908" t="s">
        <v>495</v>
      </c>
      <c r="C908" t="s">
        <v>4648</v>
      </c>
      <c r="D908" t="s">
        <v>18013</v>
      </c>
      <c r="E908" t="s">
        <v>18910</v>
      </c>
      <c r="F908" t="s">
        <v>30900</v>
      </c>
      <c r="G908" t="s">
        <v>30908</v>
      </c>
      <c r="H908" t="s">
        <v>30915</v>
      </c>
      <c r="I908" t="s">
        <v>30927</v>
      </c>
      <c r="J908" t="s">
        <v>31765</v>
      </c>
      <c r="K908" t="s">
        <v>40287</v>
      </c>
      <c r="M908" t="s">
        <v>41054</v>
      </c>
      <c r="N908" t="s">
        <v>44759</v>
      </c>
      <c r="O908" t="s">
        <v>44760</v>
      </c>
      <c r="P908">
        <v>0</v>
      </c>
      <c r="Q908">
        <v>0</v>
      </c>
      <c r="R908" t="s">
        <v>44761</v>
      </c>
      <c r="S908" t="s">
        <v>44862</v>
      </c>
      <c r="T908" t="s">
        <v>46494</v>
      </c>
      <c r="U908" t="s">
        <v>47764</v>
      </c>
      <c r="W908" t="s">
        <v>41054</v>
      </c>
      <c r="X908" t="s">
        <v>44762</v>
      </c>
    </row>
    <row r="909" spans="1:24">
      <c r="A909">
        <f>HYPERLINK("https://www.philgeps.gov.ph/GEPSNONPILOT/Tender/SplashBidNoticeAbstractUI.aspx?menuIndex=3&amp;refID=7153059&amp;Result=3","7153059")</f>
        <v>0</v>
      </c>
      <c r="B909" t="s">
        <v>496</v>
      </c>
      <c r="C909" t="s">
        <v>4649</v>
      </c>
      <c r="D909" t="s">
        <v>18019</v>
      </c>
      <c r="E909" t="s">
        <v>18911</v>
      </c>
      <c r="F909" t="s">
        <v>30900</v>
      </c>
      <c r="G909" t="s">
        <v>30907</v>
      </c>
      <c r="H909" t="s">
        <v>30915</v>
      </c>
      <c r="I909" t="s">
        <v>30919</v>
      </c>
      <c r="J909" t="s">
        <v>31766</v>
      </c>
      <c r="K909" t="s">
        <v>40304</v>
      </c>
      <c r="M909" t="s">
        <v>41055</v>
      </c>
      <c r="N909" t="s">
        <v>44759</v>
      </c>
      <c r="O909" t="s">
        <v>44760</v>
      </c>
      <c r="P909">
        <v>0</v>
      </c>
      <c r="Q909">
        <v>0</v>
      </c>
      <c r="R909" t="s">
        <v>44761</v>
      </c>
      <c r="S909" t="s">
        <v>44862</v>
      </c>
      <c r="T909" t="s">
        <v>46375</v>
      </c>
      <c r="U909" t="s">
        <v>47765</v>
      </c>
      <c r="W909" t="s">
        <v>41055</v>
      </c>
      <c r="X909" t="s">
        <v>44762</v>
      </c>
    </row>
    <row r="910" spans="1:24">
      <c r="A910">
        <f>HYPERLINK("https://www.philgeps.gov.ph/GEPSNONPILOT/Tender/SplashBidNoticeAbstractUI.aspx?menuIndex=3&amp;refID=7153055&amp;Result=3","7153055")</f>
        <v>0</v>
      </c>
      <c r="B910" t="s">
        <v>497</v>
      </c>
      <c r="C910" t="s">
        <v>4650</v>
      </c>
      <c r="D910" t="s">
        <v>17951</v>
      </c>
      <c r="E910" t="s">
        <v>18912</v>
      </c>
      <c r="F910" t="s">
        <v>30900</v>
      </c>
      <c r="G910" t="s">
        <v>30908</v>
      </c>
      <c r="H910" t="s">
        <v>30916</v>
      </c>
      <c r="I910" t="s">
        <v>6953</v>
      </c>
      <c r="J910" t="s">
        <v>31767</v>
      </c>
      <c r="K910" t="s">
        <v>40285</v>
      </c>
      <c r="M910" t="s">
        <v>41056</v>
      </c>
      <c r="N910" t="s">
        <v>44759</v>
      </c>
      <c r="O910" t="s">
        <v>44760</v>
      </c>
      <c r="P910">
        <v>0</v>
      </c>
      <c r="Q910">
        <v>0</v>
      </c>
      <c r="R910" t="s">
        <v>44761</v>
      </c>
      <c r="S910" t="s">
        <v>44862</v>
      </c>
      <c r="T910" t="s">
        <v>46357</v>
      </c>
      <c r="U910" t="s">
        <v>47766</v>
      </c>
      <c r="W910" t="s">
        <v>41056</v>
      </c>
      <c r="X910" t="s">
        <v>44762</v>
      </c>
    </row>
    <row r="911" spans="1:24">
      <c r="A911">
        <f>HYPERLINK("https://www.philgeps.gov.ph/GEPSNONPILOT/Tender/SplashBidNoticeAbstractUI.aspx?menuIndex=3&amp;refID=7153054&amp;Result=3","7153054")</f>
        <v>0</v>
      </c>
      <c r="B911" t="s">
        <v>421</v>
      </c>
      <c r="C911" t="s">
        <v>4651</v>
      </c>
      <c r="D911" t="s">
        <v>18012</v>
      </c>
      <c r="E911" t="s">
        <v>18913</v>
      </c>
      <c r="F911" t="s">
        <v>30900</v>
      </c>
      <c r="G911" t="s">
        <v>30907</v>
      </c>
      <c r="H911" t="s">
        <v>30916</v>
      </c>
      <c r="I911" t="s">
        <v>5501</v>
      </c>
      <c r="J911" t="s">
        <v>31768</v>
      </c>
      <c r="K911" t="s">
        <v>40283</v>
      </c>
      <c r="M911" t="s">
        <v>40977</v>
      </c>
      <c r="N911" t="s">
        <v>44759</v>
      </c>
      <c r="O911" t="s">
        <v>44760</v>
      </c>
      <c r="P911">
        <v>0</v>
      </c>
      <c r="Q911">
        <v>0</v>
      </c>
      <c r="R911" t="s">
        <v>44761</v>
      </c>
      <c r="S911" t="s">
        <v>44862</v>
      </c>
      <c r="T911" t="s">
        <v>46418</v>
      </c>
      <c r="U911" t="s">
        <v>47624</v>
      </c>
      <c r="V911" t="s">
        <v>59207</v>
      </c>
      <c r="W911" t="s">
        <v>40977</v>
      </c>
      <c r="X911" t="s">
        <v>44762</v>
      </c>
    </row>
    <row r="912" spans="1:24">
      <c r="A912">
        <f>HYPERLINK("https://www.philgeps.gov.ph/GEPSNONPILOT/Tender/SplashBidNoticeAbstractUI.aspx?menuIndex=3&amp;refID=7153057&amp;Result=3","7153057")</f>
        <v>0</v>
      </c>
      <c r="B912" t="s">
        <v>155</v>
      </c>
      <c r="C912" t="s">
        <v>4652</v>
      </c>
      <c r="D912" t="s">
        <v>17951</v>
      </c>
      <c r="E912" t="s">
        <v>18914</v>
      </c>
      <c r="F912" t="s">
        <v>30900</v>
      </c>
      <c r="G912" t="s">
        <v>30908</v>
      </c>
      <c r="H912" t="s">
        <v>30916</v>
      </c>
      <c r="I912" t="s">
        <v>30949</v>
      </c>
      <c r="J912" t="s">
        <v>31050</v>
      </c>
      <c r="K912" t="s">
        <v>40314</v>
      </c>
      <c r="M912" t="s">
        <v>40702</v>
      </c>
      <c r="N912" t="s">
        <v>44759</v>
      </c>
      <c r="O912" t="s">
        <v>44760</v>
      </c>
      <c r="P912">
        <v>0</v>
      </c>
      <c r="Q912">
        <v>0</v>
      </c>
      <c r="R912" t="s">
        <v>44761</v>
      </c>
      <c r="S912" t="s">
        <v>44862</v>
      </c>
      <c r="T912" t="s">
        <v>46424</v>
      </c>
      <c r="U912" t="s">
        <v>47173</v>
      </c>
      <c r="V912" t="s">
        <v>59132</v>
      </c>
      <c r="W912" t="s">
        <v>40702</v>
      </c>
      <c r="X912" t="s">
        <v>44762</v>
      </c>
    </row>
    <row r="913" spans="1:24">
      <c r="A913">
        <f>HYPERLINK("https://www.philgeps.gov.ph/GEPSNONPILOT/Tender/SplashBidNoticeAbstractUI.aspx?menuIndex=3&amp;refID=7153040&amp;Result=3","7153040")</f>
        <v>0</v>
      </c>
      <c r="B913" t="s">
        <v>98</v>
      </c>
      <c r="C913" t="s">
        <v>4653</v>
      </c>
      <c r="D913" t="s">
        <v>17994</v>
      </c>
      <c r="E913" t="s">
        <v>18915</v>
      </c>
      <c r="F913" t="s">
        <v>30900</v>
      </c>
      <c r="G913" t="s">
        <v>30908</v>
      </c>
      <c r="H913" t="s">
        <v>30916</v>
      </c>
      <c r="I913" t="s">
        <v>8123</v>
      </c>
      <c r="J913" t="s">
        <v>31769</v>
      </c>
      <c r="K913" t="s">
        <v>40289</v>
      </c>
      <c r="M913" t="s">
        <v>40645</v>
      </c>
      <c r="N913" t="s">
        <v>44759</v>
      </c>
      <c r="O913" t="s">
        <v>44760</v>
      </c>
      <c r="P913">
        <v>0</v>
      </c>
      <c r="Q913">
        <v>0</v>
      </c>
      <c r="R913" t="s">
        <v>44761</v>
      </c>
      <c r="S913" t="s">
        <v>44862</v>
      </c>
      <c r="T913" t="s">
        <v>46399</v>
      </c>
      <c r="U913" t="s">
        <v>47767</v>
      </c>
      <c r="V913" t="s">
        <v>59119</v>
      </c>
      <c r="W913" t="s">
        <v>40645</v>
      </c>
      <c r="X913" t="s">
        <v>44762</v>
      </c>
    </row>
    <row r="914" spans="1:24">
      <c r="A914">
        <f>HYPERLINK("https://www.philgeps.gov.ph/GEPSNONPILOT/Tender/SplashBidNoticeAbstractUI.aspx?menuIndex=3&amp;refID=7153039&amp;Result=3","7153039")</f>
        <v>0</v>
      </c>
      <c r="B914" t="s">
        <v>367</v>
      </c>
      <c r="C914" t="s">
        <v>4654</v>
      </c>
      <c r="D914" t="s">
        <v>18002</v>
      </c>
      <c r="E914" t="s">
        <v>18916</v>
      </c>
      <c r="F914" t="s">
        <v>30900</v>
      </c>
      <c r="G914" t="s">
        <v>30908</v>
      </c>
      <c r="H914" t="s">
        <v>30916</v>
      </c>
      <c r="I914" t="s">
        <v>30926</v>
      </c>
      <c r="J914" t="s">
        <v>31770</v>
      </c>
      <c r="K914" t="s">
        <v>40285</v>
      </c>
      <c r="M914" t="s">
        <v>40921</v>
      </c>
      <c r="N914" t="s">
        <v>44759</v>
      </c>
      <c r="O914" t="s">
        <v>44760</v>
      </c>
      <c r="P914">
        <v>0</v>
      </c>
      <c r="Q914">
        <v>0</v>
      </c>
      <c r="R914" t="s">
        <v>44761</v>
      </c>
      <c r="S914" t="s">
        <v>44862</v>
      </c>
      <c r="T914" t="s">
        <v>46393</v>
      </c>
      <c r="U914" t="s">
        <v>47768</v>
      </c>
      <c r="W914" t="s">
        <v>40921</v>
      </c>
      <c r="X914" t="s">
        <v>44762</v>
      </c>
    </row>
    <row r="915" spans="1:24">
      <c r="A915">
        <f>HYPERLINK("https://www.philgeps.gov.ph/GEPSNONPILOT/Tender/SplashBidNoticeAbstractUI.aspx?menuIndex=3&amp;refID=7153037&amp;Result=3","7153037")</f>
        <v>0</v>
      </c>
      <c r="B915" t="s">
        <v>498</v>
      </c>
      <c r="C915" t="s">
        <v>4655</v>
      </c>
      <c r="E915" t="s">
        <v>18917</v>
      </c>
      <c r="F915" t="s">
        <v>30900</v>
      </c>
      <c r="G915" t="s">
        <v>30908</v>
      </c>
      <c r="H915" t="s">
        <v>30916</v>
      </c>
      <c r="I915" t="s">
        <v>30928</v>
      </c>
      <c r="J915" t="s">
        <v>31771</v>
      </c>
      <c r="K915" t="s">
        <v>40289</v>
      </c>
      <c r="M915" t="s">
        <v>41057</v>
      </c>
      <c r="N915" t="s">
        <v>44759</v>
      </c>
      <c r="O915" t="s">
        <v>44760</v>
      </c>
      <c r="P915">
        <v>0</v>
      </c>
      <c r="Q915">
        <v>0</v>
      </c>
      <c r="R915" t="s">
        <v>44761</v>
      </c>
      <c r="S915" t="s">
        <v>44862</v>
      </c>
      <c r="T915" t="s">
        <v>46396</v>
      </c>
      <c r="U915" t="s">
        <v>47769</v>
      </c>
      <c r="W915" t="s">
        <v>41057</v>
      </c>
      <c r="X915" t="s">
        <v>44762</v>
      </c>
    </row>
    <row r="916" spans="1:24">
      <c r="A916">
        <f>HYPERLINK("https://www.philgeps.gov.ph/GEPSNONPILOT/Tender/SplashBidNoticeAbstractUI.aspx?menuIndex=3&amp;refID=7153061&amp;Result=3","7153061")</f>
        <v>0</v>
      </c>
      <c r="B916" t="s">
        <v>499</v>
      </c>
      <c r="C916" t="s">
        <v>4656</v>
      </c>
      <c r="D916" t="s">
        <v>17978</v>
      </c>
      <c r="E916" t="s">
        <v>18918</v>
      </c>
      <c r="F916" t="s">
        <v>30900</v>
      </c>
      <c r="G916" t="s">
        <v>30909</v>
      </c>
      <c r="H916" t="s">
        <v>30916</v>
      </c>
      <c r="I916" t="s">
        <v>4108</v>
      </c>
      <c r="J916" t="s">
        <v>31254</v>
      </c>
      <c r="K916" t="s">
        <v>40283</v>
      </c>
      <c r="M916" t="s">
        <v>41058</v>
      </c>
      <c r="N916" t="s">
        <v>44759</v>
      </c>
      <c r="O916" t="s">
        <v>44760</v>
      </c>
      <c r="P916">
        <v>0</v>
      </c>
      <c r="Q916">
        <v>0</v>
      </c>
      <c r="R916" t="s">
        <v>44761</v>
      </c>
      <c r="S916" t="s">
        <v>44862</v>
      </c>
      <c r="T916" t="s">
        <v>46357</v>
      </c>
      <c r="U916" t="s">
        <v>47770</v>
      </c>
      <c r="W916" t="s">
        <v>41058</v>
      </c>
      <c r="X916" t="s">
        <v>44762</v>
      </c>
    </row>
    <row r="917" spans="1:24">
      <c r="A917">
        <f>HYPERLINK("https://www.philgeps.gov.ph/GEPSNONPILOT/Tender/SplashBidNoticeAbstractUI.aspx?menuIndex=3&amp;refID=7153076&amp;Result=3","7153076")</f>
        <v>0</v>
      </c>
      <c r="B917" t="s">
        <v>486</v>
      </c>
      <c r="C917" t="s">
        <v>4657</v>
      </c>
      <c r="D917" t="s">
        <v>17977</v>
      </c>
      <c r="E917" t="s">
        <v>18919</v>
      </c>
      <c r="F917" t="s">
        <v>30900</v>
      </c>
      <c r="G917" t="s">
        <v>30907</v>
      </c>
      <c r="H917" t="s">
        <v>30916</v>
      </c>
      <c r="I917" t="s">
        <v>8123</v>
      </c>
      <c r="J917" t="s">
        <v>31772</v>
      </c>
      <c r="K917" t="s">
        <v>40285</v>
      </c>
      <c r="M917" t="s">
        <v>41059</v>
      </c>
      <c r="N917" t="s">
        <v>44759</v>
      </c>
      <c r="O917" t="s">
        <v>44760</v>
      </c>
      <c r="P917">
        <v>0</v>
      </c>
      <c r="Q917">
        <v>0</v>
      </c>
      <c r="R917" t="s">
        <v>44761</v>
      </c>
      <c r="S917" t="s">
        <v>44862</v>
      </c>
      <c r="T917" t="s">
        <v>46493</v>
      </c>
      <c r="U917" t="s">
        <v>47748</v>
      </c>
      <c r="W917" t="s">
        <v>41059</v>
      </c>
      <c r="X917" t="s">
        <v>44762</v>
      </c>
    </row>
    <row r="918" spans="1:24">
      <c r="A918">
        <f>HYPERLINK("https://www.philgeps.gov.ph/GEPSNONPILOT/Tender/SplashBidNoticeAbstractUI.aspx?menuIndex=3&amp;refID=7153074&amp;Result=3","7153074")</f>
        <v>0</v>
      </c>
      <c r="B918" t="s">
        <v>500</v>
      </c>
      <c r="C918" t="s">
        <v>4658</v>
      </c>
      <c r="D918" t="s">
        <v>17963</v>
      </c>
      <c r="E918" t="s">
        <v>18920</v>
      </c>
      <c r="F918" t="s">
        <v>30900</v>
      </c>
      <c r="G918" t="s">
        <v>30907</v>
      </c>
      <c r="H918" t="s">
        <v>30915</v>
      </c>
      <c r="I918" t="s">
        <v>30919</v>
      </c>
      <c r="J918" t="s">
        <v>31052</v>
      </c>
      <c r="K918" t="s">
        <v>40329</v>
      </c>
      <c r="M918" t="s">
        <v>41060</v>
      </c>
      <c r="N918" t="s">
        <v>44759</v>
      </c>
      <c r="O918" t="s">
        <v>44760</v>
      </c>
      <c r="P918">
        <v>0</v>
      </c>
      <c r="Q918">
        <v>0</v>
      </c>
      <c r="R918" t="s">
        <v>44761</v>
      </c>
      <c r="S918" t="s">
        <v>44862</v>
      </c>
      <c r="T918" t="s">
        <v>46373</v>
      </c>
      <c r="U918" t="s">
        <v>47771</v>
      </c>
      <c r="W918" t="s">
        <v>41060</v>
      </c>
      <c r="X918" t="s">
        <v>44762</v>
      </c>
    </row>
    <row r="919" spans="1:24">
      <c r="A919">
        <f>HYPERLINK("https://www.philgeps.gov.ph/GEPSNONPILOT/Tender/SplashBidNoticeAbstractUI.aspx?menuIndex=3&amp;refID=7153072&amp;Result=3","7153072")</f>
        <v>0</v>
      </c>
      <c r="B919" t="s">
        <v>501</v>
      </c>
      <c r="C919" t="s">
        <v>4659</v>
      </c>
      <c r="D919" t="s">
        <v>17975</v>
      </c>
      <c r="E919" t="s">
        <v>18921</v>
      </c>
      <c r="F919" t="s">
        <v>30900</v>
      </c>
      <c r="G919" t="s">
        <v>30907</v>
      </c>
      <c r="H919" t="s">
        <v>30915</v>
      </c>
      <c r="I919" t="s">
        <v>30919</v>
      </c>
      <c r="J919" t="s">
        <v>31082</v>
      </c>
      <c r="K919" t="s">
        <v>40291</v>
      </c>
      <c r="M919" t="s">
        <v>41061</v>
      </c>
      <c r="N919" t="s">
        <v>44759</v>
      </c>
      <c r="O919" t="s">
        <v>44760</v>
      </c>
      <c r="P919">
        <v>0</v>
      </c>
      <c r="Q919">
        <v>0</v>
      </c>
      <c r="R919" t="s">
        <v>44761</v>
      </c>
      <c r="S919" t="s">
        <v>44862</v>
      </c>
      <c r="T919" t="s">
        <v>46366</v>
      </c>
      <c r="U919" t="s">
        <v>47772</v>
      </c>
      <c r="W919" t="s">
        <v>41061</v>
      </c>
      <c r="X919" t="s">
        <v>44762</v>
      </c>
    </row>
    <row r="920" spans="1:24">
      <c r="A920">
        <f>HYPERLINK("https://www.philgeps.gov.ph/GEPSNONPILOT/Tender/SplashBidNoticeAbstractUI.aspx?menuIndex=3&amp;refID=7153071&amp;Result=3","7153071")</f>
        <v>0</v>
      </c>
      <c r="B920" t="s">
        <v>502</v>
      </c>
      <c r="C920" t="s">
        <v>4660</v>
      </c>
      <c r="D920" t="s">
        <v>17985</v>
      </c>
      <c r="E920" t="s">
        <v>18922</v>
      </c>
      <c r="F920" t="s">
        <v>30900</v>
      </c>
      <c r="G920" t="s">
        <v>30908</v>
      </c>
      <c r="H920" t="s">
        <v>30916</v>
      </c>
      <c r="I920" t="s">
        <v>30924</v>
      </c>
      <c r="J920" t="s">
        <v>31043</v>
      </c>
      <c r="K920" t="s">
        <v>40289</v>
      </c>
      <c r="M920" t="s">
        <v>41062</v>
      </c>
      <c r="N920" t="s">
        <v>44759</v>
      </c>
      <c r="O920" t="s">
        <v>44760</v>
      </c>
      <c r="P920">
        <v>0</v>
      </c>
      <c r="Q920">
        <v>0</v>
      </c>
      <c r="R920" t="s">
        <v>44761</v>
      </c>
      <c r="S920" t="s">
        <v>44862</v>
      </c>
      <c r="T920" t="s">
        <v>46445</v>
      </c>
      <c r="U920" t="s">
        <v>47773</v>
      </c>
      <c r="W920" t="s">
        <v>41062</v>
      </c>
      <c r="X920" t="s">
        <v>44762</v>
      </c>
    </row>
    <row r="921" spans="1:24">
      <c r="A921">
        <f>HYPERLINK("https://www.philgeps.gov.ph/GEPSNONPILOT/Tender/SplashBidNoticeAbstractUI.aspx?menuIndex=3&amp;refID=7153023&amp;Result=3","7153023")</f>
        <v>0</v>
      </c>
      <c r="B921" t="s">
        <v>105</v>
      </c>
      <c r="C921" t="s">
        <v>4661</v>
      </c>
      <c r="D921" t="s">
        <v>17952</v>
      </c>
      <c r="E921" t="s">
        <v>18923</v>
      </c>
      <c r="F921" t="s">
        <v>30900</v>
      </c>
      <c r="G921" t="s">
        <v>30907</v>
      </c>
      <c r="H921" t="s">
        <v>30916</v>
      </c>
      <c r="I921" t="s">
        <v>30979</v>
      </c>
      <c r="J921" t="s">
        <v>31773</v>
      </c>
      <c r="K921" t="s">
        <v>40283</v>
      </c>
      <c r="M921" t="s">
        <v>40652</v>
      </c>
      <c r="N921" t="s">
        <v>44759</v>
      </c>
      <c r="O921" t="s">
        <v>44760</v>
      </c>
      <c r="P921">
        <v>0</v>
      </c>
      <c r="Q921">
        <v>0</v>
      </c>
      <c r="R921" t="s">
        <v>44761</v>
      </c>
      <c r="S921" t="s">
        <v>44862</v>
      </c>
      <c r="T921" t="s">
        <v>46373</v>
      </c>
      <c r="U921" t="s">
        <v>47774</v>
      </c>
      <c r="W921" t="s">
        <v>40652</v>
      </c>
      <c r="X921" t="s">
        <v>44762</v>
      </c>
    </row>
    <row r="922" spans="1:24">
      <c r="A922">
        <f>HYPERLINK("https://www.philgeps.gov.ph/GEPSNONPILOT/Tender/SplashBidNoticeAbstractUI.aspx?menuIndex=3&amp;refID=7153038&amp;Result=3","7153038")</f>
        <v>0</v>
      </c>
      <c r="B922" t="s">
        <v>503</v>
      </c>
      <c r="C922" t="s">
        <v>4662</v>
      </c>
      <c r="E922" t="s">
        <v>18924</v>
      </c>
      <c r="F922" t="s">
        <v>30900</v>
      </c>
      <c r="G922" t="s">
        <v>30907</v>
      </c>
      <c r="H922" t="s">
        <v>30916</v>
      </c>
      <c r="I922" t="s">
        <v>8123</v>
      </c>
      <c r="J922" t="s">
        <v>31774</v>
      </c>
      <c r="K922" t="s">
        <v>40289</v>
      </c>
      <c r="M922" t="s">
        <v>41063</v>
      </c>
      <c r="N922" t="s">
        <v>44759</v>
      </c>
      <c r="O922" t="s">
        <v>44760</v>
      </c>
      <c r="P922">
        <v>0</v>
      </c>
      <c r="Q922">
        <v>0</v>
      </c>
      <c r="R922" t="s">
        <v>44761</v>
      </c>
      <c r="S922" t="s">
        <v>44862</v>
      </c>
      <c r="T922" t="s">
        <v>46352</v>
      </c>
      <c r="U922" t="s">
        <v>47775</v>
      </c>
      <c r="W922" t="s">
        <v>41063</v>
      </c>
      <c r="X922" t="s">
        <v>44762</v>
      </c>
    </row>
    <row r="923" spans="1:24">
      <c r="A923">
        <f>HYPERLINK("https://www.philgeps.gov.ph/GEPSNONPILOT/Tender/SplashBidNoticeAbstractUI.aspx?menuIndex=3&amp;refID=7153044&amp;Result=3","7153044")</f>
        <v>0</v>
      </c>
      <c r="B923" t="s">
        <v>146</v>
      </c>
      <c r="C923" t="s">
        <v>4663</v>
      </c>
      <c r="D923" t="s">
        <v>18004</v>
      </c>
      <c r="E923" t="s">
        <v>18925</v>
      </c>
      <c r="F923" t="s">
        <v>30900</v>
      </c>
      <c r="G923" t="s">
        <v>30907</v>
      </c>
      <c r="H923" t="s">
        <v>30915</v>
      </c>
      <c r="I923" t="s">
        <v>30919</v>
      </c>
      <c r="J923" t="s">
        <v>31775</v>
      </c>
      <c r="K923" t="s">
        <v>40279</v>
      </c>
      <c r="M923" t="s">
        <v>40693</v>
      </c>
      <c r="N923" t="s">
        <v>44759</v>
      </c>
      <c r="O923" t="s">
        <v>44760</v>
      </c>
      <c r="P923">
        <v>0</v>
      </c>
      <c r="Q923">
        <v>0</v>
      </c>
      <c r="R923" t="s">
        <v>44761</v>
      </c>
      <c r="S923" t="s">
        <v>44862</v>
      </c>
      <c r="T923" t="s">
        <v>46352</v>
      </c>
      <c r="U923" t="s">
        <v>47160</v>
      </c>
      <c r="V923" t="s">
        <v>59131</v>
      </c>
      <c r="W923" t="s">
        <v>40693</v>
      </c>
      <c r="X923" t="s">
        <v>44762</v>
      </c>
    </row>
    <row r="924" spans="1:24">
      <c r="A924">
        <f>HYPERLINK("https://www.philgeps.gov.ph/GEPSNONPILOT/Tender/SplashBidNoticeAbstractUI.aspx?menuIndex=3&amp;refID=7153080&amp;Result=3","7153080")</f>
        <v>0</v>
      </c>
      <c r="B924" t="s">
        <v>293</v>
      </c>
      <c r="C924" t="s">
        <v>4664</v>
      </c>
      <c r="D924" t="s">
        <v>18023</v>
      </c>
      <c r="E924" t="s">
        <v>18926</v>
      </c>
      <c r="F924" t="s">
        <v>30900</v>
      </c>
      <c r="G924" t="s">
        <v>30907</v>
      </c>
      <c r="H924" t="s">
        <v>30916</v>
      </c>
      <c r="I924" t="s">
        <v>30918</v>
      </c>
      <c r="J924" t="s">
        <v>31776</v>
      </c>
      <c r="K924" t="s">
        <v>40283</v>
      </c>
      <c r="M924" t="s">
        <v>40841</v>
      </c>
      <c r="N924" t="s">
        <v>44759</v>
      </c>
      <c r="O924" t="s">
        <v>44760</v>
      </c>
      <c r="P924">
        <v>0</v>
      </c>
      <c r="Q924">
        <v>0</v>
      </c>
      <c r="R924" t="s">
        <v>44761</v>
      </c>
      <c r="S924" t="s">
        <v>44862</v>
      </c>
      <c r="T924" t="s">
        <v>46375</v>
      </c>
      <c r="U924" t="s">
        <v>47776</v>
      </c>
      <c r="W924" t="s">
        <v>40841</v>
      </c>
      <c r="X924" t="s">
        <v>44762</v>
      </c>
    </row>
    <row r="925" spans="1:24">
      <c r="A925">
        <f>HYPERLINK("https://www.philgeps.gov.ph/GEPSNONPILOT/Tender/SplashBidNoticeAbstractUI.aspx?menuIndex=3&amp;refID=7153025&amp;Result=3","7153025")</f>
        <v>0</v>
      </c>
      <c r="B925" t="s">
        <v>452</v>
      </c>
      <c r="C925" t="s">
        <v>4665</v>
      </c>
      <c r="D925" t="s">
        <v>17975</v>
      </c>
      <c r="E925" t="s">
        <v>18927</v>
      </c>
      <c r="F925" t="s">
        <v>30899</v>
      </c>
      <c r="G925" t="s">
        <v>30907</v>
      </c>
      <c r="H925" t="s">
        <v>30915</v>
      </c>
      <c r="I925" t="s">
        <v>30919</v>
      </c>
      <c r="J925" t="s">
        <v>31777</v>
      </c>
      <c r="K925" t="s">
        <v>40329</v>
      </c>
      <c r="L925" t="s">
        <v>452</v>
      </c>
      <c r="M925" t="s">
        <v>41009</v>
      </c>
      <c r="N925" t="s">
        <v>44759</v>
      </c>
      <c r="O925" t="s">
        <v>44760</v>
      </c>
      <c r="P925">
        <v>0</v>
      </c>
      <c r="Q925">
        <v>0</v>
      </c>
      <c r="R925" t="s">
        <v>44761</v>
      </c>
      <c r="S925" t="s">
        <v>44862</v>
      </c>
      <c r="T925" t="s">
        <v>46392</v>
      </c>
      <c r="U925" t="s">
        <v>47777</v>
      </c>
      <c r="V925" t="s">
        <v>59229</v>
      </c>
      <c r="W925" t="s">
        <v>41009</v>
      </c>
      <c r="X925" t="s">
        <v>44762</v>
      </c>
    </row>
    <row r="926" spans="1:24">
      <c r="A926">
        <f>HYPERLINK("https://www.philgeps.gov.ph/GEPSNONPILOT/Tender/SplashBidNoticeAbstractUI.aspx?menuIndex=3&amp;refID=7153077&amp;Result=3","7153077")</f>
        <v>0</v>
      </c>
      <c r="B926" t="s">
        <v>282</v>
      </c>
      <c r="C926" t="s">
        <v>4666</v>
      </c>
      <c r="D926" t="s">
        <v>18022</v>
      </c>
      <c r="E926" t="s">
        <v>18928</v>
      </c>
      <c r="F926" t="s">
        <v>30900</v>
      </c>
      <c r="G926" t="s">
        <v>30908</v>
      </c>
      <c r="H926" t="s">
        <v>30916</v>
      </c>
      <c r="I926" t="s">
        <v>8123</v>
      </c>
      <c r="J926" t="s">
        <v>31778</v>
      </c>
      <c r="K926" t="s">
        <v>40289</v>
      </c>
      <c r="M926" t="s">
        <v>40829</v>
      </c>
      <c r="N926" t="s">
        <v>44759</v>
      </c>
      <c r="O926" t="s">
        <v>44760</v>
      </c>
      <c r="P926">
        <v>0</v>
      </c>
      <c r="Q926">
        <v>0</v>
      </c>
      <c r="R926" t="s">
        <v>44761</v>
      </c>
      <c r="S926" t="s">
        <v>44862</v>
      </c>
      <c r="T926" t="s">
        <v>46421</v>
      </c>
      <c r="U926" t="s">
        <v>47389</v>
      </c>
      <c r="W926" t="s">
        <v>40829</v>
      </c>
      <c r="X926" t="s">
        <v>44762</v>
      </c>
    </row>
    <row r="927" spans="1:24">
      <c r="A927">
        <f>HYPERLINK("https://www.philgeps.gov.ph/GEPSNONPILOT/Tender/SplashBidNoticeAbstractUI.aspx?menuIndex=3&amp;refID=7153082&amp;Result=3","7153082")</f>
        <v>0</v>
      </c>
      <c r="B927" t="s">
        <v>484</v>
      </c>
      <c r="C927" t="s">
        <v>4667</v>
      </c>
      <c r="D927" t="s">
        <v>17959</v>
      </c>
      <c r="E927" t="s">
        <v>18929</v>
      </c>
      <c r="F927" t="s">
        <v>30900</v>
      </c>
      <c r="G927" t="s">
        <v>30908</v>
      </c>
      <c r="H927" t="s">
        <v>30916</v>
      </c>
      <c r="I927" t="s">
        <v>8044</v>
      </c>
      <c r="J927" t="s">
        <v>31779</v>
      </c>
      <c r="K927" t="s">
        <v>40289</v>
      </c>
      <c r="M927" t="s">
        <v>41042</v>
      </c>
      <c r="N927" t="s">
        <v>44759</v>
      </c>
      <c r="O927" t="s">
        <v>44760</v>
      </c>
      <c r="P927">
        <v>0</v>
      </c>
      <c r="Q927">
        <v>0</v>
      </c>
      <c r="R927" t="s">
        <v>44761</v>
      </c>
      <c r="S927" t="s">
        <v>44862</v>
      </c>
      <c r="T927" t="s">
        <v>46412</v>
      </c>
      <c r="U927" t="s">
        <v>47778</v>
      </c>
      <c r="W927" t="s">
        <v>41042</v>
      </c>
      <c r="X927" t="s">
        <v>44762</v>
      </c>
    </row>
    <row r="928" spans="1:24">
      <c r="A928">
        <f>HYPERLINK("https://www.philgeps.gov.ph/GEPSNONPILOT/Tender/SplashBidNoticeAbstractUI.aspx?menuIndex=3&amp;refID=7153049&amp;Result=3","7153049")</f>
        <v>0</v>
      </c>
      <c r="B928" t="s">
        <v>453</v>
      </c>
      <c r="C928" t="s">
        <v>4668</v>
      </c>
      <c r="E928" t="s">
        <v>18930</v>
      </c>
      <c r="F928" t="s">
        <v>30900</v>
      </c>
      <c r="G928" t="s">
        <v>30908</v>
      </c>
      <c r="H928" t="s">
        <v>30916</v>
      </c>
      <c r="I928" t="s">
        <v>10602</v>
      </c>
      <c r="J928" t="s">
        <v>31686</v>
      </c>
      <c r="K928" t="s">
        <v>40289</v>
      </c>
      <c r="M928" t="s">
        <v>41010</v>
      </c>
      <c r="N928" t="s">
        <v>44759</v>
      </c>
      <c r="O928" t="s">
        <v>44760</v>
      </c>
      <c r="P928">
        <v>0</v>
      </c>
      <c r="Q928">
        <v>0</v>
      </c>
      <c r="R928" t="s">
        <v>44761</v>
      </c>
      <c r="S928" t="s">
        <v>44862</v>
      </c>
      <c r="T928" t="s">
        <v>46376</v>
      </c>
      <c r="U928" t="s">
        <v>47680</v>
      </c>
      <c r="W928" t="s">
        <v>41010</v>
      </c>
      <c r="X928" t="s">
        <v>44762</v>
      </c>
    </row>
    <row r="929" spans="1:24">
      <c r="A929">
        <f>HYPERLINK("https://www.philgeps.gov.ph/GEPSNONPILOT/Tender/SplashBidNoticeAbstractUI.aspx?menuIndex=3&amp;refID=7153069&amp;Result=3","7153069")</f>
        <v>0</v>
      </c>
      <c r="B929" t="s">
        <v>504</v>
      </c>
      <c r="C929" t="s">
        <v>4669</v>
      </c>
      <c r="D929" t="s">
        <v>18012</v>
      </c>
      <c r="E929" t="s">
        <v>18931</v>
      </c>
      <c r="F929" t="s">
        <v>30900</v>
      </c>
      <c r="G929" t="s">
        <v>30907</v>
      </c>
      <c r="H929" t="s">
        <v>30916</v>
      </c>
      <c r="I929" t="s">
        <v>30939</v>
      </c>
      <c r="J929" t="s">
        <v>31780</v>
      </c>
      <c r="K929" t="s">
        <v>40289</v>
      </c>
      <c r="M929" t="s">
        <v>41064</v>
      </c>
      <c r="N929" t="s">
        <v>44759</v>
      </c>
      <c r="O929" t="s">
        <v>44760</v>
      </c>
      <c r="P929">
        <v>0</v>
      </c>
      <c r="Q929">
        <v>0</v>
      </c>
      <c r="R929" t="s">
        <v>44761</v>
      </c>
      <c r="S929" t="s">
        <v>44862</v>
      </c>
      <c r="T929" t="s">
        <v>46445</v>
      </c>
      <c r="U929" t="s">
        <v>47779</v>
      </c>
      <c r="W929" t="s">
        <v>41064</v>
      </c>
      <c r="X929" t="s">
        <v>44762</v>
      </c>
    </row>
    <row r="930" spans="1:24">
      <c r="A930">
        <f>HYPERLINK("https://www.philgeps.gov.ph/GEPSNONPILOT/Tender/SplashBidNoticeAbstractUI.aspx?menuIndex=3&amp;refID=7153067&amp;Result=3","7153067")</f>
        <v>0</v>
      </c>
      <c r="B930" t="s">
        <v>185</v>
      </c>
      <c r="C930" t="s">
        <v>4670</v>
      </c>
      <c r="D930" t="s">
        <v>18002</v>
      </c>
      <c r="E930" t="s">
        <v>18932</v>
      </c>
      <c r="F930" t="s">
        <v>30900</v>
      </c>
      <c r="G930" t="s">
        <v>30908</v>
      </c>
      <c r="H930" t="s">
        <v>30917</v>
      </c>
      <c r="I930" t="s">
        <v>30934</v>
      </c>
      <c r="J930" t="s">
        <v>31781</v>
      </c>
      <c r="K930" t="s">
        <v>40292</v>
      </c>
      <c r="M930" t="s">
        <v>40732</v>
      </c>
      <c r="N930" t="s">
        <v>44759</v>
      </c>
      <c r="O930" t="s">
        <v>44760</v>
      </c>
      <c r="P930">
        <v>0</v>
      </c>
      <c r="Q930">
        <v>0</v>
      </c>
      <c r="R930" t="s">
        <v>44761</v>
      </c>
      <c r="S930" t="s">
        <v>44862</v>
      </c>
      <c r="T930" t="s">
        <v>46390</v>
      </c>
      <c r="U930" t="s">
        <v>47780</v>
      </c>
      <c r="W930" t="s">
        <v>60820</v>
      </c>
      <c r="X930" t="s">
        <v>44762</v>
      </c>
    </row>
    <row r="931" spans="1:24">
      <c r="A931">
        <f>HYPERLINK("https://www.philgeps.gov.ph/GEPSNONPILOT/Tender/SplashBidNoticeAbstractUI.aspx?menuIndex=3&amp;refID=7153066&amp;Result=3","7153066")</f>
        <v>0</v>
      </c>
      <c r="B931" t="s">
        <v>505</v>
      </c>
      <c r="C931" t="s">
        <v>4671</v>
      </c>
      <c r="D931" t="s">
        <v>17999</v>
      </c>
      <c r="E931" t="s">
        <v>4671</v>
      </c>
      <c r="F931" t="s">
        <v>30900</v>
      </c>
      <c r="G931" t="s">
        <v>30910</v>
      </c>
      <c r="H931" t="s">
        <v>30916</v>
      </c>
      <c r="I931" t="s">
        <v>4142</v>
      </c>
      <c r="J931" t="s">
        <v>31782</v>
      </c>
      <c r="K931" t="s">
        <v>40288</v>
      </c>
      <c r="M931" t="s">
        <v>41065</v>
      </c>
      <c r="N931" t="s">
        <v>44759</v>
      </c>
      <c r="O931" t="s">
        <v>44760</v>
      </c>
      <c r="P931">
        <v>0</v>
      </c>
      <c r="Q931">
        <v>0</v>
      </c>
      <c r="R931" t="s">
        <v>44761</v>
      </c>
      <c r="S931" t="s">
        <v>44862</v>
      </c>
      <c r="T931" t="s">
        <v>46357</v>
      </c>
      <c r="U931" t="s">
        <v>47781</v>
      </c>
      <c r="W931" t="s">
        <v>41065</v>
      </c>
      <c r="X931" t="s">
        <v>44762</v>
      </c>
    </row>
    <row r="932" spans="1:24">
      <c r="A932">
        <f>HYPERLINK("https://www.philgeps.gov.ph/GEPSNONPILOT/Tender/SplashBidNoticeAbstractUI.aspx?menuIndex=3&amp;refID=7153065&amp;Result=3","7153065")</f>
        <v>0</v>
      </c>
      <c r="B932" t="s">
        <v>506</v>
      </c>
      <c r="C932" t="s">
        <v>4672</v>
      </c>
      <c r="D932" t="s">
        <v>17966</v>
      </c>
      <c r="E932" t="s">
        <v>18933</v>
      </c>
      <c r="F932" t="s">
        <v>30900</v>
      </c>
      <c r="G932" t="s">
        <v>30908</v>
      </c>
      <c r="H932" t="s">
        <v>30916</v>
      </c>
      <c r="I932" t="s">
        <v>4108</v>
      </c>
      <c r="J932" t="s">
        <v>31352</v>
      </c>
      <c r="K932" t="s">
        <v>40286</v>
      </c>
      <c r="M932" t="s">
        <v>41066</v>
      </c>
      <c r="N932" t="s">
        <v>44759</v>
      </c>
      <c r="O932" t="s">
        <v>44760</v>
      </c>
      <c r="P932">
        <v>0</v>
      </c>
      <c r="Q932">
        <v>0</v>
      </c>
      <c r="R932" t="s">
        <v>44761</v>
      </c>
      <c r="S932" t="s">
        <v>44862</v>
      </c>
      <c r="T932" t="s">
        <v>46412</v>
      </c>
      <c r="U932" t="s">
        <v>47782</v>
      </c>
      <c r="W932" t="s">
        <v>41066</v>
      </c>
      <c r="X932" t="s">
        <v>44762</v>
      </c>
    </row>
    <row r="933" spans="1:24">
      <c r="A933">
        <f>HYPERLINK("https://www.philgeps.gov.ph/GEPSNONPILOT/Tender/SplashBidNoticeAbstractUI.aspx?menuIndex=3&amp;refID=7153079&amp;Result=3","7153079")</f>
        <v>0</v>
      </c>
      <c r="B933" t="s">
        <v>507</v>
      </c>
      <c r="C933" t="s">
        <v>4673</v>
      </c>
      <c r="D933" t="s">
        <v>18005</v>
      </c>
      <c r="E933" t="s">
        <v>18934</v>
      </c>
      <c r="F933" t="s">
        <v>30900</v>
      </c>
      <c r="G933" t="s">
        <v>30909</v>
      </c>
      <c r="H933" t="s">
        <v>30916</v>
      </c>
      <c r="I933" t="s">
        <v>6953</v>
      </c>
      <c r="J933" t="s">
        <v>31783</v>
      </c>
      <c r="K933" t="s">
        <v>40289</v>
      </c>
      <c r="M933" t="s">
        <v>41067</v>
      </c>
      <c r="N933" t="s">
        <v>44759</v>
      </c>
      <c r="O933" t="s">
        <v>44760</v>
      </c>
      <c r="P933">
        <v>0</v>
      </c>
      <c r="Q933">
        <v>0</v>
      </c>
      <c r="R933" t="s">
        <v>44761</v>
      </c>
      <c r="S933" t="s">
        <v>44862</v>
      </c>
      <c r="T933" t="s">
        <v>46410</v>
      </c>
      <c r="U933" t="s">
        <v>47783</v>
      </c>
      <c r="V933" t="s">
        <v>59230</v>
      </c>
      <c r="W933" t="s">
        <v>60828</v>
      </c>
      <c r="X933" t="s">
        <v>44762</v>
      </c>
    </row>
    <row r="934" spans="1:24">
      <c r="A934">
        <f>HYPERLINK("https://www.philgeps.gov.ph/GEPSNONPILOT/Tender/SplashBidNoticeAbstractUI.aspx?menuIndex=3&amp;refID=7153063&amp;Result=3","7153063")</f>
        <v>0</v>
      </c>
      <c r="B934" t="s">
        <v>508</v>
      </c>
      <c r="C934" t="s">
        <v>4674</v>
      </c>
      <c r="D934" t="s">
        <v>18025</v>
      </c>
      <c r="E934" t="s">
        <v>18935</v>
      </c>
      <c r="F934" t="s">
        <v>30900</v>
      </c>
      <c r="G934" t="s">
        <v>30908</v>
      </c>
      <c r="H934" t="s">
        <v>30916</v>
      </c>
      <c r="I934" t="s">
        <v>5830</v>
      </c>
      <c r="J934" t="s">
        <v>31784</v>
      </c>
      <c r="K934" t="s">
        <v>40285</v>
      </c>
      <c r="M934" t="s">
        <v>41068</v>
      </c>
      <c r="N934" t="s">
        <v>44759</v>
      </c>
      <c r="O934" t="s">
        <v>44760</v>
      </c>
      <c r="P934">
        <v>0</v>
      </c>
      <c r="Q934">
        <v>0</v>
      </c>
      <c r="R934" t="s">
        <v>44761</v>
      </c>
      <c r="S934" t="s">
        <v>44862</v>
      </c>
      <c r="T934" t="s">
        <v>46390</v>
      </c>
      <c r="U934" t="s">
        <v>47784</v>
      </c>
      <c r="W934" t="s">
        <v>41068</v>
      </c>
      <c r="X934" t="s">
        <v>44762</v>
      </c>
    </row>
    <row r="935" spans="1:24">
      <c r="A935">
        <f>HYPERLINK("https://www.philgeps.gov.ph/GEPSNONPILOT/Tender/SplashBidNoticeAbstractUI.aspx?menuIndex=3&amp;refID=7153081&amp;Result=3","7153081")</f>
        <v>0</v>
      </c>
      <c r="B935" t="s">
        <v>237</v>
      </c>
      <c r="C935" t="s">
        <v>4675</v>
      </c>
      <c r="D935" t="s">
        <v>17977</v>
      </c>
      <c r="E935" t="s">
        <v>18936</v>
      </c>
      <c r="F935" t="s">
        <v>30900</v>
      </c>
      <c r="G935" t="s">
        <v>30908</v>
      </c>
      <c r="H935" t="s">
        <v>30916</v>
      </c>
      <c r="I935" t="s">
        <v>30921</v>
      </c>
      <c r="J935" t="s">
        <v>31785</v>
      </c>
      <c r="K935" t="s">
        <v>40289</v>
      </c>
      <c r="M935" t="s">
        <v>40784</v>
      </c>
      <c r="N935" t="s">
        <v>44759</v>
      </c>
      <c r="O935" t="s">
        <v>44760</v>
      </c>
      <c r="P935">
        <v>0</v>
      </c>
      <c r="Q935">
        <v>0</v>
      </c>
      <c r="R935" t="s">
        <v>44761</v>
      </c>
      <c r="S935" t="s">
        <v>44862</v>
      </c>
      <c r="T935" t="s">
        <v>46393</v>
      </c>
      <c r="U935" t="s">
        <v>47785</v>
      </c>
      <c r="W935" t="s">
        <v>40784</v>
      </c>
      <c r="X935" t="s">
        <v>44762</v>
      </c>
    </row>
    <row r="936" spans="1:24">
      <c r="A936">
        <f>HYPERLINK("https://www.philgeps.gov.ph/GEPSNONPILOT/Tender/SplashBidNoticeAbstractUI.aspx?menuIndex=3&amp;refID=7153070&amp;Result=3","7153070")</f>
        <v>0</v>
      </c>
      <c r="B936" t="s">
        <v>509</v>
      </c>
      <c r="C936" t="s">
        <v>4676</v>
      </c>
      <c r="D936" t="s">
        <v>17951</v>
      </c>
      <c r="E936" t="s">
        <v>18937</v>
      </c>
      <c r="F936" t="s">
        <v>30900</v>
      </c>
      <c r="G936" t="s">
        <v>30907</v>
      </c>
      <c r="H936" t="s">
        <v>30916</v>
      </c>
      <c r="I936" t="s">
        <v>5501</v>
      </c>
      <c r="J936" t="s">
        <v>31786</v>
      </c>
      <c r="K936" t="s">
        <v>40291</v>
      </c>
      <c r="M936" t="s">
        <v>41069</v>
      </c>
      <c r="N936" t="s">
        <v>44759</v>
      </c>
      <c r="O936" t="s">
        <v>44760</v>
      </c>
      <c r="P936">
        <v>0</v>
      </c>
      <c r="Q936">
        <v>0</v>
      </c>
      <c r="R936" t="s">
        <v>44761</v>
      </c>
      <c r="S936" t="s">
        <v>44862</v>
      </c>
      <c r="T936" t="s">
        <v>46369</v>
      </c>
      <c r="U936" t="s">
        <v>47786</v>
      </c>
      <c r="W936" t="s">
        <v>41069</v>
      </c>
      <c r="X936" t="s">
        <v>44762</v>
      </c>
    </row>
    <row r="937" spans="1:24">
      <c r="A937">
        <f>HYPERLINK("https://www.philgeps.gov.ph/GEPSNONPILOT/Tender/SplashBidNoticeAbstractUI.aspx?menuIndex=3&amp;refID=7153109&amp;Result=3","7153109")</f>
        <v>0</v>
      </c>
      <c r="B937" t="s">
        <v>510</v>
      </c>
      <c r="C937" t="s">
        <v>4677</v>
      </c>
      <c r="D937" t="s">
        <v>17985</v>
      </c>
      <c r="E937" t="s">
        <v>18938</v>
      </c>
      <c r="F937" t="s">
        <v>30900</v>
      </c>
      <c r="G937" t="s">
        <v>30909</v>
      </c>
      <c r="H937" t="s">
        <v>30916</v>
      </c>
      <c r="I937" t="s">
        <v>6396</v>
      </c>
      <c r="J937" t="s">
        <v>31787</v>
      </c>
      <c r="K937" t="s">
        <v>40283</v>
      </c>
      <c r="M937" t="s">
        <v>41070</v>
      </c>
      <c r="N937" t="s">
        <v>44759</v>
      </c>
      <c r="O937" t="s">
        <v>44760</v>
      </c>
      <c r="P937">
        <v>0</v>
      </c>
      <c r="Q937">
        <v>0</v>
      </c>
      <c r="R937" t="s">
        <v>44761</v>
      </c>
      <c r="S937" t="s">
        <v>44862</v>
      </c>
      <c r="T937" t="s">
        <v>46400</v>
      </c>
      <c r="U937" t="s">
        <v>47787</v>
      </c>
      <c r="V937" t="s">
        <v>59231</v>
      </c>
      <c r="W937" t="s">
        <v>41070</v>
      </c>
      <c r="X937" t="s">
        <v>44762</v>
      </c>
    </row>
    <row r="938" spans="1:24">
      <c r="A938">
        <f>HYPERLINK("https://www.philgeps.gov.ph/GEPSNONPILOT/Tender/SplashBidNoticeAbstractUI.aspx?menuIndex=3&amp;refID=7153068&amp;Result=3","7153068")</f>
        <v>0</v>
      </c>
      <c r="B938" t="s">
        <v>511</v>
      </c>
      <c r="C938" t="s">
        <v>4678</v>
      </c>
      <c r="D938" t="s">
        <v>17964</v>
      </c>
      <c r="E938" t="s">
        <v>18939</v>
      </c>
      <c r="F938" t="s">
        <v>30900</v>
      </c>
      <c r="G938" t="s">
        <v>30907</v>
      </c>
      <c r="H938" t="s">
        <v>30915</v>
      </c>
      <c r="I938" t="s">
        <v>30919</v>
      </c>
      <c r="J938" t="s">
        <v>31288</v>
      </c>
      <c r="K938" t="s">
        <v>40286</v>
      </c>
      <c r="M938" t="s">
        <v>41071</v>
      </c>
      <c r="N938" t="s">
        <v>44759</v>
      </c>
      <c r="O938" t="s">
        <v>44760</v>
      </c>
      <c r="P938">
        <v>0</v>
      </c>
      <c r="Q938">
        <v>0</v>
      </c>
      <c r="R938" t="s">
        <v>44761</v>
      </c>
      <c r="S938" t="s">
        <v>44862</v>
      </c>
      <c r="T938" t="s">
        <v>46377</v>
      </c>
      <c r="U938" t="s">
        <v>47788</v>
      </c>
      <c r="W938" t="s">
        <v>41071</v>
      </c>
      <c r="X938" t="s">
        <v>44762</v>
      </c>
    </row>
    <row r="939" spans="1:24">
      <c r="A939">
        <f>HYPERLINK("https://www.philgeps.gov.ph/GEPSNONPILOT/Tender/SplashBidNoticeAbstractUI.aspx?menuIndex=3&amp;refID=7153020&amp;Result=3","7153020")</f>
        <v>0</v>
      </c>
      <c r="B939" t="s">
        <v>209</v>
      </c>
      <c r="C939" t="s">
        <v>4679</v>
      </c>
      <c r="D939" t="s">
        <v>17985</v>
      </c>
      <c r="E939" t="s">
        <v>18940</v>
      </c>
      <c r="F939" t="s">
        <v>30900</v>
      </c>
      <c r="G939" t="s">
        <v>30907</v>
      </c>
      <c r="H939" t="s">
        <v>30915</v>
      </c>
      <c r="I939" t="s">
        <v>30919</v>
      </c>
      <c r="J939" t="s">
        <v>31788</v>
      </c>
      <c r="K939" t="s">
        <v>40286</v>
      </c>
      <c r="M939" t="s">
        <v>40756</v>
      </c>
      <c r="N939" t="s">
        <v>44759</v>
      </c>
      <c r="O939" t="s">
        <v>44760</v>
      </c>
      <c r="P939">
        <v>0</v>
      </c>
      <c r="Q939">
        <v>0</v>
      </c>
      <c r="R939" t="s">
        <v>44761</v>
      </c>
      <c r="S939" t="s">
        <v>44862</v>
      </c>
      <c r="T939" t="s">
        <v>46394</v>
      </c>
      <c r="U939" t="s">
        <v>47789</v>
      </c>
      <c r="W939" t="s">
        <v>40756</v>
      </c>
      <c r="X939" t="s">
        <v>44762</v>
      </c>
    </row>
    <row r="940" spans="1:24">
      <c r="A940">
        <f>HYPERLINK("https://www.philgeps.gov.ph/GEPSNONPILOT/Tender/SplashBidNoticeAbstractUI.aspx?menuIndex=3&amp;refID=7153108&amp;Result=3","7153108")</f>
        <v>0</v>
      </c>
      <c r="B940" t="s">
        <v>504</v>
      </c>
      <c r="C940" t="s">
        <v>4680</v>
      </c>
      <c r="D940" t="s">
        <v>18012</v>
      </c>
      <c r="E940" t="s">
        <v>18941</v>
      </c>
      <c r="F940" t="s">
        <v>30900</v>
      </c>
      <c r="G940" t="s">
        <v>30907</v>
      </c>
      <c r="H940" t="s">
        <v>30916</v>
      </c>
      <c r="I940" t="s">
        <v>10847</v>
      </c>
      <c r="J940" t="s">
        <v>31789</v>
      </c>
      <c r="K940" t="s">
        <v>40289</v>
      </c>
      <c r="M940" t="s">
        <v>41064</v>
      </c>
      <c r="N940" t="s">
        <v>44759</v>
      </c>
      <c r="O940" t="s">
        <v>44760</v>
      </c>
      <c r="P940">
        <v>0</v>
      </c>
      <c r="Q940">
        <v>0</v>
      </c>
      <c r="R940" t="s">
        <v>44761</v>
      </c>
      <c r="S940" t="s">
        <v>44862</v>
      </c>
      <c r="T940" t="s">
        <v>46445</v>
      </c>
      <c r="U940" t="s">
        <v>47790</v>
      </c>
      <c r="W940" t="s">
        <v>41064</v>
      </c>
      <c r="X940" t="s">
        <v>44762</v>
      </c>
    </row>
    <row r="941" spans="1:24">
      <c r="A941">
        <f>HYPERLINK("https://www.philgeps.gov.ph/GEPSNONPILOT/Tender/SplashBidNoticeAbstractUI.aspx?menuIndex=3&amp;refID=7153107&amp;Result=3","7153107")</f>
        <v>0</v>
      </c>
      <c r="B941" t="s">
        <v>325</v>
      </c>
      <c r="C941" t="s">
        <v>4681</v>
      </c>
      <c r="D941" t="s">
        <v>17995</v>
      </c>
      <c r="E941" t="s">
        <v>18942</v>
      </c>
      <c r="F941" t="s">
        <v>30900</v>
      </c>
      <c r="G941" t="s">
        <v>30908</v>
      </c>
      <c r="H941" t="s">
        <v>30916</v>
      </c>
      <c r="I941" t="s">
        <v>30923</v>
      </c>
      <c r="J941" t="s">
        <v>31790</v>
      </c>
      <c r="K941" t="s">
        <v>40287</v>
      </c>
      <c r="L941" t="s">
        <v>325</v>
      </c>
      <c r="M941" t="s">
        <v>40876</v>
      </c>
      <c r="N941" t="s">
        <v>44759</v>
      </c>
      <c r="O941" t="s">
        <v>44760</v>
      </c>
      <c r="P941">
        <v>0</v>
      </c>
      <c r="Q941">
        <v>0</v>
      </c>
      <c r="R941" t="s">
        <v>44761</v>
      </c>
      <c r="S941" t="s">
        <v>44862</v>
      </c>
      <c r="T941" t="s">
        <v>46487</v>
      </c>
      <c r="U941" t="s">
        <v>47791</v>
      </c>
      <c r="V941" t="s">
        <v>59173</v>
      </c>
      <c r="W941" t="s">
        <v>40876</v>
      </c>
      <c r="X941" t="s">
        <v>44762</v>
      </c>
    </row>
    <row r="942" spans="1:24">
      <c r="A942">
        <f>HYPERLINK("https://www.philgeps.gov.ph/GEPSNONPILOT/Tender/SplashBidNoticeAbstractUI.aspx?menuIndex=3&amp;refID=7153103&amp;Result=3","7153103")</f>
        <v>0</v>
      </c>
      <c r="B942" t="s">
        <v>452</v>
      </c>
      <c r="C942" t="s">
        <v>4682</v>
      </c>
      <c r="D942" t="s">
        <v>17975</v>
      </c>
      <c r="E942" t="s">
        <v>18943</v>
      </c>
      <c r="F942" t="s">
        <v>30899</v>
      </c>
      <c r="G942" t="s">
        <v>30907</v>
      </c>
      <c r="H942" t="s">
        <v>30915</v>
      </c>
      <c r="I942" t="s">
        <v>30919</v>
      </c>
      <c r="J942" t="s">
        <v>31791</v>
      </c>
      <c r="K942" t="s">
        <v>40339</v>
      </c>
      <c r="L942" t="s">
        <v>452</v>
      </c>
      <c r="M942" t="s">
        <v>41009</v>
      </c>
      <c r="N942" t="s">
        <v>44759</v>
      </c>
      <c r="O942" t="s">
        <v>44760</v>
      </c>
      <c r="P942">
        <v>0</v>
      </c>
      <c r="Q942">
        <v>0</v>
      </c>
      <c r="R942" t="s">
        <v>44761</v>
      </c>
      <c r="S942" t="s">
        <v>44862</v>
      </c>
      <c r="T942" t="s">
        <v>46368</v>
      </c>
      <c r="U942" t="s">
        <v>47792</v>
      </c>
      <c r="V942" t="s">
        <v>59229</v>
      </c>
      <c r="W942" t="s">
        <v>41009</v>
      </c>
      <c r="X942" t="s">
        <v>44762</v>
      </c>
    </row>
    <row r="943" spans="1:24">
      <c r="A943">
        <f>HYPERLINK("https://www.philgeps.gov.ph/GEPSNONPILOT/Tender/SplashBidNoticeAbstractUI.aspx?menuIndex=3&amp;refID=7153102&amp;Result=3","7153102")</f>
        <v>0</v>
      </c>
      <c r="B943" t="s">
        <v>512</v>
      </c>
      <c r="C943" t="s">
        <v>4683</v>
      </c>
      <c r="D943" t="s">
        <v>17955</v>
      </c>
      <c r="E943" t="s">
        <v>18944</v>
      </c>
      <c r="F943" t="s">
        <v>30900</v>
      </c>
      <c r="G943" t="s">
        <v>30907</v>
      </c>
      <c r="H943" t="s">
        <v>30916</v>
      </c>
      <c r="I943" t="s">
        <v>5501</v>
      </c>
      <c r="J943" t="s">
        <v>31341</v>
      </c>
      <c r="K943" t="s">
        <v>40331</v>
      </c>
      <c r="M943" t="s">
        <v>41072</v>
      </c>
      <c r="N943" t="s">
        <v>44759</v>
      </c>
      <c r="O943" t="s">
        <v>44760</v>
      </c>
      <c r="P943">
        <v>0</v>
      </c>
      <c r="Q943">
        <v>0</v>
      </c>
      <c r="R943" t="s">
        <v>44761</v>
      </c>
      <c r="S943" t="s">
        <v>44862</v>
      </c>
      <c r="T943" t="s">
        <v>46361</v>
      </c>
      <c r="U943" t="s">
        <v>47793</v>
      </c>
      <c r="W943" t="s">
        <v>41072</v>
      </c>
      <c r="X943" t="s">
        <v>44762</v>
      </c>
    </row>
    <row r="944" spans="1:24">
      <c r="A944">
        <f>HYPERLINK("https://www.philgeps.gov.ph/GEPSNONPILOT/Tender/SplashBidNoticeAbstractUI.aspx?menuIndex=3&amp;refID=7153101&amp;Result=3","7153101")</f>
        <v>0</v>
      </c>
      <c r="B944" t="s">
        <v>513</v>
      </c>
      <c r="C944" t="s">
        <v>4684</v>
      </c>
      <c r="D944" t="s">
        <v>17972</v>
      </c>
      <c r="E944" t="s">
        <v>18945</v>
      </c>
      <c r="F944" t="s">
        <v>30900</v>
      </c>
      <c r="G944" t="s">
        <v>30907</v>
      </c>
      <c r="H944" t="s">
        <v>30915</v>
      </c>
      <c r="I944" t="s">
        <v>30919</v>
      </c>
      <c r="J944" t="s">
        <v>31792</v>
      </c>
      <c r="K944" t="s">
        <v>40340</v>
      </c>
      <c r="M944" t="s">
        <v>41073</v>
      </c>
      <c r="N944" t="s">
        <v>44759</v>
      </c>
      <c r="O944" t="s">
        <v>44760</v>
      </c>
      <c r="P944">
        <v>0</v>
      </c>
      <c r="Q944">
        <v>0</v>
      </c>
      <c r="R944" t="s">
        <v>44761</v>
      </c>
      <c r="S944" t="s">
        <v>44862</v>
      </c>
      <c r="T944" t="s">
        <v>46392</v>
      </c>
      <c r="U944" t="s">
        <v>47794</v>
      </c>
      <c r="W944" t="s">
        <v>41073</v>
      </c>
      <c r="X944" t="s">
        <v>44762</v>
      </c>
    </row>
    <row r="945" spans="1:24">
      <c r="A945">
        <f>HYPERLINK("https://www.philgeps.gov.ph/GEPSNONPILOT/Tender/SplashBidNoticeAbstractUI.aspx?menuIndex=3&amp;refID=7153104&amp;Result=3","7153104")</f>
        <v>0</v>
      </c>
      <c r="B945" t="s">
        <v>514</v>
      </c>
      <c r="C945" t="s">
        <v>4685</v>
      </c>
      <c r="D945" t="s">
        <v>17975</v>
      </c>
      <c r="E945" t="s">
        <v>18946</v>
      </c>
      <c r="F945" t="s">
        <v>30900</v>
      </c>
      <c r="G945" t="s">
        <v>30908</v>
      </c>
      <c r="H945" t="s">
        <v>30916</v>
      </c>
      <c r="I945" t="s">
        <v>8123</v>
      </c>
      <c r="J945" t="s">
        <v>31793</v>
      </c>
      <c r="K945" t="s">
        <v>40283</v>
      </c>
      <c r="M945" t="s">
        <v>41074</v>
      </c>
      <c r="N945" t="s">
        <v>44759</v>
      </c>
      <c r="O945" t="s">
        <v>44760</v>
      </c>
      <c r="P945">
        <v>0</v>
      </c>
      <c r="Q945">
        <v>0</v>
      </c>
      <c r="R945" t="s">
        <v>44761</v>
      </c>
      <c r="S945" t="s">
        <v>44862</v>
      </c>
      <c r="T945" t="s">
        <v>46412</v>
      </c>
      <c r="U945" t="s">
        <v>47795</v>
      </c>
      <c r="W945" t="s">
        <v>41074</v>
      </c>
      <c r="X945" t="s">
        <v>44762</v>
      </c>
    </row>
    <row r="946" spans="1:24">
      <c r="A946">
        <f>HYPERLINK("https://www.philgeps.gov.ph/GEPSNONPILOT/Tender/SplashBidNoticeAbstractUI.aspx?menuIndex=3&amp;refID=7153100&amp;Result=3","7153100")</f>
        <v>0</v>
      </c>
      <c r="B946" t="s">
        <v>143</v>
      </c>
      <c r="C946" t="s">
        <v>4686</v>
      </c>
      <c r="D946" t="s">
        <v>17965</v>
      </c>
      <c r="E946" t="s">
        <v>18947</v>
      </c>
      <c r="F946" t="s">
        <v>30900</v>
      </c>
      <c r="G946" t="s">
        <v>30907</v>
      </c>
      <c r="H946" t="s">
        <v>30915</v>
      </c>
      <c r="I946" t="s">
        <v>30919</v>
      </c>
      <c r="J946" t="s">
        <v>31794</v>
      </c>
      <c r="K946" t="s">
        <v>40284</v>
      </c>
      <c r="M946" t="s">
        <v>40854</v>
      </c>
      <c r="N946" t="s">
        <v>44759</v>
      </c>
      <c r="O946" t="s">
        <v>44760</v>
      </c>
      <c r="P946">
        <v>0</v>
      </c>
      <c r="Q946">
        <v>0</v>
      </c>
      <c r="R946" t="s">
        <v>44761</v>
      </c>
      <c r="S946" t="s">
        <v>44862</v>
      </c>
      <c r="T946" t="s">
        <v>46418</v>
      </c>
      <c r="U946" t="s">
        <v>47423</v>
      </c>
      <c r="W946" t="s">
        <v>40854</v>
      </c>
      <c r="X946" t="s">
        <v>44762</v>
      </c>
    </row>
    <row r="947" spans="1:24">
      <c r="A947">
        <f>HYPERLINK("https://www.philgeps.gov.ph/GEPSNONPILOT/Tender/SplashBidNoticeAbstractUI.aspx?menuIndex=3&amp;refID=7153062&amp;Result=3","7153062")</f>
        <v>0</v>
      </c>
      <c r="B947" t="s">
        <v>478</v>
      </c>
      <c r="C947" t="s">
        <v>4687</v>
      </c>
      <c r="D947" t="s">
        <v>17959</v>
      </c>
      <c r="E947" t="s">
        <v>18948</v>
      </c>
      <c r="F947" t="s">
        <v>30900</v>
      </c>
      <c r="G947" t="s">
        <v>30908</v>
      </c>
      <c r="H947" t="s">
        <v>30916</v>
      </c>
      <c r="I947" t="s">
        <v>4050</v>
      </c>
      <c r="J947" t="s">
        <v>31728</v>
      </c>
      <c r="K947" t="s">
        <v>40287</v>
      </c>
      <c r="M947" t="s">
        <v>41036</v>
      </c>
      <c r="N947" t="s">
        <v>44759</v>
      </c>
      <c r="O947" t="s">
        <v>44760</v>
      </c>
      <c r="P947">
        <v>0</v>
      </c>
      <c r="Q947">
        <v>0</v>
      </c>
      <c r="R947" t="s">
        <v>44761</v>
      </c>
      <c r="S947" t="s">
        <v>44862</v>
      </c>
      <c r="T947" t="s">
        <v>46357</v>
      </c>
      <c r="U947" t="s">
        <v>47796</v>
      </c>
      <c r="W947" t="s">
        <v>41036</v>
      </c>
      <c r="X947" t="s">
        <v>44762</v>
      </c>
    </row>
    <row r="948" spans="1:24">
      <c r="A948">
        <f>HYPERLINK("https://www.philgeps.gov.ph/GEPSNONPILOT/Tender/SplashBidNoticeAbstractUI.aspx?menuIndex=3&amp;refID=7153096&amp;Result=3","7153096")</f>
        <v>0</v>
      </c>
      <c r="B948" t="s">
        <v>130</v>
      </c>
      <c r="C948" t="s">
        <v>4688</v>
      </c>
      <c r="D948" t="s">
        <v>17979</v>
      </c>
      <c r="E948" t="s">
        <v>18949</v>
      </c>
      <c r="F948" t="s">
        <v>30900</v>
      </c>
      <c r="G948" t="s">
        <v>30908</v>
      </c>
      <c r="H948" t="s">
        <v>30916</v>
      </c>
      <c r="I948" t="s">
        <v>10602</v>
      </c>
      <c r="J948" t="s">
        <v>31795</v>
      </c>
      <c r="K948" t="s">
        <v>40315</v>
      </c>
      <c r="M948" t="s">
        <v>40677</v>
      </c>
      <c r="N948" t="s">
        <v>44759</v>
      </c>
      <c r="O948" t="s">
        <v>44760</v>
      </c>
      <c r="P948">
        <v>0</v>
      </c>
      <c r="Q948">
        <v>0</v>
      </c>
      <c r="R948" t="s">
        <v>44761</v>
      </c>
      <c r="S948" t="s">
        <v>44862</v>
      </c>
      <c r="T948" t="s">
        <v>46376</v>
      </c>
      <c r="U948" t="s">
        <v>47797</v>
      </c>
      <c r="W948" t="s">
        <v>40677</v>
      </c>
      <c r="X948" t="s">
        <v>44762</v>
      </c>
    </row>
    <row r="949" spans="1:24">
      <c r="A949">
        <f>HYPERLINK("https://www.philgeps.gov.ph/GEPSNONPILOT/Tender/SplashBidNoticeAbstractUI.aspx?menuIndex=3&amp;refID=7153093&amp;Result=3","7153093")</f>
        <v>0</v>
      </c>
      <c r="B949" t="s">
        <v>515</v>
      </c>
      <c r="C949" t="s">
        <v>4689</v>
      </c>
      <c r="D949" t="s">
        <v>17966</v>
      </c>
      <c r="E949" t="s">
        <v>18950</v>
      </c>
      <c r="F949" t="s">
        <v>30900</v>
      </c>
      <c r="G949" t="s">
        <v>30908</v>
      </c>
      <c r="H949" t="s">
        <v>30916</v>
      </c>
      <c r="I949" t="s">
        <v>8123</v>
      </c>
      <c r="J949" t="s">
        <v>31796</v>
      </c>
      <c r="K949" t="s">
        <v>40286</v>
      </c>
      <c r="M949" t="s">
        <v>41075</v>
      </c>
      <c r="N949" t="s">
        <v>44759</v>
      </c>
      <c r="O949" t="s">
        <v>44760</v>
      </c>
      <c r="P949">
        <v>0</v>
      </c>
      <c r="Q949">
        <v>0</v>
      </c>
      <c r="R949" t="s">
        <v>44761</v>
      </c>
      <c r="S949" t="s">
        <v>44862</v>
      </c>
      <c r="T949" t="s">
        <v>46357</v>
      </c>
      <c r="U949" t="s">
        <v>47798</v>
      </c>
      <c r="W949" t="s">
        <v>60829</v>
      </c>
      <c r="X949" t="s">
        <v>44762</v>
      </c>
    </row>
    <row r="950" spans="1:24">
      <c r="A950">
        <f>HYPERLINK("https://www.philgeps.gov.ph/GEPSNONPILOT/Tender/SplashBidNoticeAbstractUI.aspx?menuIndex=3&amp;refID=7153064&amp;Result=3","7153064")</f>
        <v>0</v>
      </c>
      <c r="B950" t="s">
        <v>516</v>
      </c>
      <c r="C950" t="s">
        <v>4690</v>
      </c>
      <c r="D950" t="s">
        <v>17982</v>
      </c>
      <c r="E950" t="s">
        <v>18951</v>
      </c>
      <c r="F950" t="s">
        <v>30900</v>
      </c>
      <c r="G950" t="s">
        <v>30907</v>
      </c>
      <c r="H950" t="s">
        <v>30915</v>
      </c>
      <c r="I950" t="s">
        <v>30919</v>
      </c>
      <c r="J950" t="s">
        <v>31797</v>
      </c>
      <c r="K950" t="s">
        <v>40290</v>
      </c>
      <c r="M950" t="s">
        <v>41076</v>
      </c>
      <c r="N950" t="s">
        <v>44759</v>
      </c>
      <c r="O950" t="s">
        <v>44760</v>
      </c>
      <c r="P950">
        <v>0</v>
      </c>
      <c r="Q950">
        <v>0</v>
      </c>
      <c r="R950" t="s">
        <v>44761</v>
      </c>
      <c r="S950" t="s">
        <v>44862</v>
      </c>
      <c r="T950" t="s">
        <v>46495</v>
      </c>
      <c r="U950" t="s">
        <v>47799</v>
      </c>
      <c r="W950" t="s">
        <v>41076</v>
      </c>
      <c r="X950" t="s">
        <v>44762</v>
      </c>
    </row>
    <row r="951" spans="1:24">
      <c r="A951">
        <f>HYPERLINK("https://www.philgeps.gov.ph/GEPSNONPILOT/Tender/SplashBidNoticeAbstractUI.aspx?menuIndex=3&amp;refID=7153110&amp;Result=3","7153110")</f>
        <v>0</v>
      </c>
      <c r="B951" t="s">
        <v>416</v>
      </c>
      <c r="C951" t="s">
        <v>4691</v>
      </c>
      <c r="D951" t="s">
        <v>17976</v>
      </c>
      <c r="E951" t="s">
        <v>18952</v>
      </c>
      <c r="F951" t="s">
        <v>30900</v>
      </c>
      <c r="G951" t="s">
        <v>30907</v>
      </c>
      <c r="H951" t="s">
        <v>30916</v>
      </c>
      <c r="I951" t="s">
        <v>30937</v>
      </c>
      <c r="J951" t="s">
        <v>31798</v>
      </c>
      <c r="K951" t="s">
        <v>40283</v>
      </c>
      <c r="M951" t="s">
        <v>40972</v>
      </c>
      <c r="N951" t="s">
        <v>44759</v>
      </c>
      <c r="O951" t="s">
        <v>44760</v>
      </c>
      <c r="P951">
        <v>0</v>
      </c>
      <c r="Q951">
        <v>0</v>
      </c>
      <c r="R951" t="s">
        <v>44761</v>
      </c>
      <c r="S951" t="s">
        <v>44862</v>
      </c>
      <c r="T951" t="s">
        <v>46439</v>
      </c>
      <c r="U951" t="s">
        <v>47800</v>
      </c>
      <c r="W951" t="s">
        <v>40972</v>
      </c>
      <c r="X951" t="s">
        <v>44762</v>
      </c>
    </row>
    <row r="952" spans="1:24">
      <c r="A952">
        <f>HYPERLINK("https://www.philgeps.gov.ph/GEPSNONPILOT/Tender/SplashBidNoticeAbstractUI.aspx?menuIndex=3&amp;refID=7153098&amp;Result=3","7153098")</f>
        <v>0</v>
      </c>
      <c r="B952" t="s">
        <v>486</v>
      </c>
      <c r="C952" t="s">
        <v>4692</v>
      </c>
      <c r="D952" t="s">
        <v>17977</v>
      </c>
      <c r="E952" t="s">
        <v>18953</v>
      </c>
      <c r="F952" t="s">
        <v>30900</v>
      </c>
      <c r="G952" t="s">
        <v>30907</v>
      </c>
      <c r="H952" t="s">
        <v>30916</v>
      </c>
      <c r="I952" t="s">
        <v>30975</v>
      </c>
      <c r="J952" t="s">
        <v>31183</v>
      </c>
      <c r="K952" t="s">
        <v>40285</v>
      </c>
      <c r="M952" t="s">
        <v>41059</v>
      </c>
      <c r="N952" t="s">
        <v>44759</v>
      </c>
      <c r="O952" t="s">
        <v>44760</v>
      </c>
      <c r="P952">
        <v>0</v>
      </c>
      <c r="Q952">
        <v>0</v>
      </c>
      <c r="R952" t="s">
        <v>44761</v>
      </c>
      <c r="S952" t="s">
        <v>44862</v>
      </c>
      <c r="T952" t="s">
        <v>46493</v>
      </c>
      <c r="U952" t="s">
        <v>47801</v>
      </c>
      <c r="W952" t="s">
        <v>41059</v>
      </c>
      <c r="X952" t="s">
        <v>44762</v>
      </c>
    </row>
    <row r="953" spans="1:24">
      <c r="A953">
        <f>HYPERLINK("https://www.philgeps.gov.ph/GEPSNONPILOT/Tender/SplashBidNoticeAbstractUI.aspx?menuIndex=3&amp;refID=7153124&amp;Result=3","7153124")</f>
        <v>0</v>
      </c>
      <c r="B953" t="s">
        <v>501</v>
      </c>
      <c r="C953" t="s">
        <v>4693</v>
      </c>
      <c r="D953" t="s">
        <v>17975</v>
      </c>
      <c r="E953" t="s">
        <v>18954</v>
      </c>
      <c r="F953" t="s">
        <v>30900</v>
      </c>
      <c r="G953" t="s">
        <v>30907</v>
      </c>
      <c r="H953" t="s">
        <v>30915</v>
      </c>
      <c r="I953" t="s">
        <v>30919</v>
      </c>
      <c r="J953" t="s">
        <v>31799</v>
      </c>
      <c r="K953" t="s">
        <v>40291</v>
      </c>
      <c r="M953" t="s">
        <v>41061</v>
      </c>
      <c r="N953" t="s">
        <v>44759</v>
      </c>
      <c r="O953" t="s">
        <v>44760</v>
      </c>
      <c r="P953">
        <v>0</v>
      </c>
      <c r="Q953">
        <v>0</v>
      </c>
      <c r="R953" t="s">
        <v>44761</v>
      </c>
      <c r="S953" t="s">
        <v>44862</v>
      </c>
      <c r="T953" t="s">
        <v>46406</v>
      </c>
      <c r="U953" t="s">
        <v>47802</v>
      </c>
      <c r="W953" t="s">
        <v>41061</v>
      </c>
      <c r="X953" t="s">
        <v>44762</v>
      </c>
    </row>
    <row r="954" spans="1:24">
      <c r="A954">
        <f>HYPERLINK("https://www.philgeps.gov.ph/GEPSNONPILOT/Tender/SplashBidNoticeAbstractUI.aspx?menuIndex=3&amp;refID=7153133&amp;Result=3","7153133")</f>
        <v>0</v>
      </c>
      <c r="B954" t="s">
        <v>517</v>
      </c>
      <c r="C954" t="s">
        <v>4694</v>
      </c>
      <c r="D954" t="s">
        <v>18017</v>
      </c>
      <c r="E954" t="s">
        <v>18955</v>
      </c>
      <c r="F954" t="s">
        <v>30904</v>
      </c>
      <c r="G954" t="s">
        <v>30907</v>
      </c>
      <c r="H954" t="s">
        <v>30916</v>
      </c>
      <c r="I954" t="s">
        <v>6396</v>
      </c>
      <c r="J954" t="s">
        <v>31800</v>
      </c>
      <c r="K954" t="s">
        <v>40289</v>
      </c>
      <c r="M954" t="s">
        <v>41077</v>
      </c>
      <c r="N954" t="s">
        <v>44759</v>
      </c>
      <c r="O954" t="s">
        <v>44760</v>
      </c>
      <c r="P954">
        <v>0</v>
      </c>
      <c r="Q954">
        <v>0</v>
      </c>
      <c r="R954" t="s">
        <v>44761</v>
      </c>
      <c r="S954" t="s">
        <v>44862</v>
      </c>
      <c r="T954" t="s">
        <v>46496</v>
      </c>
      <c r="U954" t="s">
        <v>47803</v>
      </c>
      <c r="W954" t="s">
        <v>41077</v>
      </c>
      <c r="X954" t="s">
        <v>44762</v>
      </c>
    </row>
    <row r="955" spans="1:24">
      <c r="A955">
        <f>HYPERLINK("https://www.philgeps.gov.ph/GEPSNONPILOT/Tender/SplashBidNoticeAbstractUI.aspx?menuIndex=3&amp;refID=7153130&amp;Result=3","7153130")</f>
        <v>0</v>
      </c>
      <c r="B955" t="s">
        <v>191</v>
      </c>
      <c r="C955" t="s">
        <v>4377</v>
      </c>
      <c r="D955" t="s">
        <v>17998</v>
      </c>
      <c r="E955" t="s">
        <v>18956</v>
      </c>
      <c r="F955" t="s">
        <v>30900</v>
      </c>
      <c r="G955" t="s">
        <v>30907</v>
      </c>
      <c r="H955" t="s">
        <v>30916</v>
      </c>
      <c r="I955" t="s">
        <v>5501</v>
      </c>
      <c r="J955" t="s">
        <v>31801</v>
      </c>
      <c r="K955" t="s">
        <v>40286</v>
      </c>
      <c r="M955" t="s">
        <v>40738</v>
      </c>
      <c r="N955" t="s">
        <v>44759</v>
      </c>
      <c r="O955" t="s">
        <v>44760</v>
      </c>
      <c r="P955">
        <v>0</v>
      </c>
      <c r="Q955">
        <v>0</v>
      </c>
      <c r="R955" t="s">
        <v>44761</v>
      </c>
      <c r="S955" t="s">
        <v>44862</v>
      </c>
      <c r="T955" t="s">
        <v>46460</v>
      </c>
      <c r="U955" t="s">
        <v>47804</v>
      </c>
      <c r="V955" t="s">
        <v>59232</v>
      </c>
      <c r="W955" t="s">
        <v>40738</v>
      </c>
      <c r="X955" t="s">
        <v>44762</v>
      </c>
    </row>
    <row r="956" spans="1:24">
      <c r="A956">
        <f>HYPERLINK("https://www.philgeps.gov.ph/GEPSNONPILOT/Tender/SplashBidNoticeAbstractUI.aspx?menuIndex=3&amp;refID=7153095&amp;Result=3","7153095")</f>
        <v>0</v>
      </c>
      <c r="B956" t="s">
        <v>518</v>
      </c>
      <c r="C956" t="s">
        <v>4695</v>
      </c>
      <c r="D956" t="s">
        <v>17951</v>
      </c>
      <c r="E956" t="s">
        <v>18282</v>
      </c>
      <c r="F956" t="s">
        <v>30900</v>
      </c>
      <c r="G956" t="s">
        <v>30907</v>
      </c>
      <c r="H956" t="s">
        <v>30915</v>
      </c>
      <c r="I956" t="s">
        <v>30919</v>
      </c>
      <c r="J956" t="s">
        <v>31802</v>
      </c>
      <c r="K956" t="s">
        <v>40304</v>
      </c>
      <c r="M956" t="s">
        <v>41078</v>
      </c>
      <c r="N956" t="s">
        <v>44759</v>
      </c>
      <c r="O956" t="s">
        <v>44760</v>
      </c>
      <c r="P956">
        <v>0</v>
      </c>
      <c r="Q956">
        <v>0</v>
      </c>
      <c r="R956" t="s">
        <v>44761</v>
      </c>
      <c r="S956" t="s">
        <v>44862</v>
      </c>
      <c r="T956" t="s">
        <v>46497</v>
      </c>
      <c r="U956" t="s">
        <v>47805</v>
      </c>
      <c r="W956" t="s">
        <v>41078</v>
      </c>
      <c r="X956" t="s">
        <v>44762</v>
      </c>
    </row>
    <row r="957" spans="1:24">
      <c r="A957">
        <f>HYPERLINK("https://www.philgeps.gov.ph/GEPSNONPILOT/Tender/SplashBidNoticeAbstractUI.aspx?menuIndex=3&amp;refID=7153128&amp;Result=3","7153128")</f>
        <v>0</v>
      </c>
      <c r="B957" t="s">
        <v>130</v>
      </c>
      <c r="C957" t="s">
        <v>4696</v>
      </c>
      <c r="D957" t="s">
        <v>17979</v>
      </c>
      <c r="E957" t="s">
        <v>18957</v>
      </c>
      <c r="F957" t="s">
        <v>30900</v>
      </c>
      <c r="G957" t="s">
        <v>30908</v>
      </c>
      <c r="H957" t="s">
        <v>30916</v>
      </c>
      <c r="I957" t="s">
        <v>10602</v>
      </c>
      <c r="J957" t="s">
        <v>31803</v>
      </c>
      <c r="K957" t="s">
        <v>40315</v>
      </c>
      <c r="M957" t="s">
        <v>40677</v>
      </c>
      <c r="N957" t="s">
        <v>44759</v>
      </c>
      <c r="O957" t="s">
        <v>44760</v>
      </c>
      <c r="P957">
        <v>0</v>
      </c>
      <c r="Q957">
        <v>0</v>
      </c>
      <c r="R957" t="s">
        <v>44761</v>
      </c>
      <c r="S957" t="s">
        <v>44862</v>
      </c>
      <c r="T957" t="s">
        <v>46376</v>
      </c>
      <c r="U957" t="s">
        <v>47806</v>
      </c>
      <c r="W957" t="s">
        <v>40677</v>
      </c>
      <c r="X957" t="s">
        <v>44762</v>
      </c>
    </row>
    <row r="958" spans="1:24">
      <c r="A958">
        <f>HYPERLINK("https://www.philgeps.gov.ph/GEPSNONPILOT/Tender/SplashBidNoticeAbstractUI.aspx?menuIndex=3&amp;refID=7153127&amp;Result=3","7153127")</f>
        <v>0</v>
      </c>
      <c r="B958" t="s">
        <v>341</v>
      </c>
      <c r="C958" t="s">
        <v>4697</v>
      </c>
      <c r="D958" t="s">
        <v>17951</v>
      </c>
      <c r="E958" t="s">
        <v>18958</v>
      </c>
      <c r="F958" t="s">
        <v>30900</v>
      </c>
      <c r="G958" t="s">
        <v>30910</v>
      </c>
      <c r="H958" t="s">
        <v>30916</v>
      </c>
      <c r="I958" t="s">
        <v>4545</v>
      </c>
      <c r="J958" t="s">
        <v>31804</v>
      </c>
      <c r="K958" t="s">
        <v>40294</v>
      </c>
      <c r="L958" t="s">
        <v>341</v>
      </c>
      <c r="M958" t="s">
        <v>40894</v>
      </c>
      <c r="N958" t="s">
        <v>44759</v>
      </c>
      <c r="O958" t="s">
        <v>44760</v>
      </c>
      <c r="P958">
        <v>0</v>
      </c>
      <c r="Q958">
        <v>0</v>
      </c>
      <c r="R958" t="s">
        <v>44761</v>
      </c>
      <c r="S958" t="s">
        <v>44862</v>
      </c>
      <c r="T958" t="s">
        <v>46412</v>
      </c>
      <c r="U958" t="s">
        <v>47567</v>
      </c>
      <c r="W958" t="s">
        <v>40894</v>
      </c>
      <c r="X958" t="s">
        <v>44762</v>
      </c>
    </row>
    <row r="959" spans="1:24">
      <c r="A959">
        <f>HYPERLINK("https://www.philgeps.gov.ph/GEPSNONPILOT/Tender/SplashBidNoticeAbstractUI.aspx?menuIndex=3&amp;refID=7153092&amp;Result=3","7153092")</f>
        <v>0</v>
      </c>
      <c r="B959" t="s">
        <v>453</v>
      </c>
      <c r="C959" t="s">
        <v>4698</v>
      </c>
      <c r="E959" t="s">
        <v>18959</v>
      </c>
      <c r="F959" t="s">
        <v>30900</v>
      </c>
      <c r="G959" t="s">
        <v>30908</v>
      </c>
      <c r="H959" t="s">
        <v>30916</v>
      </c>
      <c r="I959" t="s">
        <v>30940</v>
      </c>
      <c r="J959" t="s">
        <v>31082</v>
      </c>
      <c r="K959" t="s">
        <v>40289</v>
      </c>
      <c r="M959" t="s">
        <v>41010</v>
      </c>
      <c r="N959" t="s">
        <v>44759</v>
      </c>
      <c r="O959" t="s">
        <v>44760</v>
      </c>
      <c r="P959">
        <v>0</v>
      </c>
      <c r="Q959">
        <v>0</v>
      </c>
      <c r="R959" t="s">
        <v>44761</v>
      </c>
      <c r="S959" t="s">
        <v>44862</v>
      </c>
      <c r="T959" t="s">
        <v>46376</v>
      </c>
      <c r="U959" t="s">
        <v>47680</v>
      </c>
      <c r="W959" t="s">
        <v>41010</v>
      </c>
      <c r="X959" t="s">
        <v>44762</v>
      </c>
    </row>
    <row r="960" spans="1:24">
      <c r="A960">
        <f>HYPERLINK("https://www.philgeps.gov.ph/GEPSNONPILOT/Tender/SplashBidNoticeAbstractUI.aspx?menuIndex=3&amp;refID=7153126&amp;Result=3","7153126")</f>
        <v>0</v>
      </c>
      <c r="B960" t="s">
        <v>505</v>
      </c>
      <c r="C960" t="s">
        <v>4699</v>
      </c>
      <c r="D960" t="s">
        <v>17999</v>
      </c>
      <c r="E960" t="s">
        <v>4699</v>
      </c>
      <c r="F960" t="s">
        <v>30900</v>
      </c>
      <c r="G960" t="s">
        <v>30908</v>
      </c>
      <c r="H960" t="s">
        <v>30916</v>
      </c>
      <c r="I960" t="s">
        <v>4545</v>
      </c>
      <c r="J960" t="s">
        <v>31805</v>
      </c>
      <c r="K960" t="s">
        <v>40284</v>
      </c>
      <c r="M960" t="s">
        <v>41065</v>
      </c>
      <c r="N960" t="s">
        <v>44759</v>
      </c>
      <c r="O960" t="s">
        <v>44760</v>
      </c>
      <c r="P960">
        <v>0</v>
      </c>
      <c r="Q960">
        <v>0</v>
      </c>
      <c r="R960" t="s">
        <v>44761</v>
      </c>
      <c r="S960" t="s">
        <v>44862</v>
      </c>
      <c r="T960" t="s">
        <v>46357</v>
      </c>
      <c r="U960" t="s">
        <v>47807</v>
      </c>
      <c r="W960" t="s">
        <v>41065</v>
      </c>
      <c r="X960" t="s">
        <v>44762</v>
      </c>
    </row>
    <row r="961" spans="1:24">
      <c r="A961">
        <f>HYPERLINK("https://www.philgeps.gov.ph/GEPSNONPILOT/Tender/SplashBidNoticeAbstractUI.aspx?menuIndex=3&amp;refID=7153123&amp;Result=3","7153123")</f>
        <v>0</v>
      </c>
      <c r="B961" t="s">
        <v>506</v>
      </c>
      <c r="C961" t="s">
        <v>4700</v>
      </c>
      <c r="D961" t="s">
        <v>17966</v>
      </c>
      <c r="E961" t="s">
        <v>18960</v>
      </c>
      <c r="F961" t="s">
        <v>30900</v>
      </c>
      <c r="G961" t="s">
        <v>30908</v>
      </c>
      <c r="H961" t="s">
        <v>30916</v>
      </c>
      <c r="I961" t="s">
        <v>30952</v>
      </c>
      <c r="J961" t="s">
        <v>31806</v>
      </c>
      <c r="K961" t="s">
        <v>40283</v>
      </c>
      <c r="M961" t="s">
        <v>41066</v>
      </c>
      <c r="N961" t="s">
        <v>44759</v>
      </c>
      <c r="O961" t="s">
        <v>44760</v>
      </c>
      <c r="P961">
        <v>0</v>
      </c>
      <c r="Q961">
        <v>0</v>
      </c>
      <c r="R961" t="s">
        <v>44761</v>
      </c>
      <c r="S961" t="s">
        <v>44862</v>
      </c>
      <c r="T961" t="s">
        <v>46412</v>
      </c>
      <c r="U961" t="s">
        <v>47808</v>
      </c>
      <c r="W961" t="s">
        <v>41066</v>
      </c>
      <c r="X961" t="s">
        <v>44762</v>
      </c>
    </row>
    <row r="962" spans="1:24">
      <c r="A962">
        <f>HYPERLINK("https://www.philgeps.gov.ph/GEPSNONPILOT/Tender/SplashBidNoticeAbstractUI.aspx?menuIndex=3&amp;refID=7153099&amp;Result=3","7153099")</f>
        <v>0</v>
      </c>
      <c r="B962" t="s">
        <v>191</v>
      </c>
      <c r="C962" t="s">
        <v>4377</v>
      </c>
      <c r="D962" t="s">
        <v>17998</v>
      </c>
      <c r="E962" t="s">
        <v>18961</v>
      </c>
      <c r="F962" t="s">
        <v>30900</v>
      </c>
      <c r="G962" t="s">
        <v>30907</v>
      </c>
      <c r="H962" t="s">
        <v>30916</v>
      </c>
      <c r="I962" t="s">
        <v>5501</v>
      </c>
      <c r="J962" t="s">
        <v>31807</v>
      </c>
      <c r="K962" t="s">
        <v>40286</v>
      </c>
      <c r="M962" t="s">
        <v>40738</v>
      </c>
      <c r="N962" t="s">
        <v>44759</v>
      </c>
      <c r="O962" t="s">
        <v>44760</v>
      </c>
      <c r="P962">
        <v>0</v>
      </c>
      <c r="Q962">
        <v>0</v>
      </c>
      <c r="R962" t="s">
        <v>44761</v>
      </c>
      <c r="S962" t="s">
        <v>44862</v>
      </c>
      <c r="T962" t="s">
        <v>46453</v>
      </c>
      <c r="U962" t="s">
        <v>47809</v>
      </c>
      <c r="V962" t="s">
        <v>59233</v>
      </c>
      <c r="W962" t="s">
        <v>40738</v>
      </c>
      <c r="X962" t="s">
        <v>44762</v>
      </c>
    </row>
    <row r="963" spans="1:24">
      <c r="A963">
        <f>HYPERLINK("https://www.philgeps.gov.ph/GEPSNONPILOT/Tender/SplashBidNoticeAbstractUI.aspx?menuIndex=3&amp;refID=7153120&amp;Result=3","7153120")</f>
        <v>0</v>
      </c>
      <c r="B963" t="s">
        <v>508</v>
      </c>
      <c r="C963" t="s">
        <v>4701</v>
      </c>
      <c r="E963" t="s">
        <v>18962</v>
      </c>
      <c r="F963" t="s">
        <v>30900</v>
      </c>
      <c r="G963" t="s">
        <v>30908</v>
      </c>
      <c r="H963" t="s">
        <v>30916</v>
      </c>
      <c r="I963" t="s">
        <v>5830</v>
      </c>
      <c r="J963" t="s">
        <v>31808</v>
      </c>
      <c r="K963" t="s">
        <v>40285</v>
      </c>
      <c r="M963" t="s">
        <v>41068</v>
      </c>
      <c r="N963" t="s">
        <v>44759</v>
      </c>
      <c r="O963" t="s">
        <v>44760</v>
      </c>
      <c r="P963">
        <v>0</v>
      </c>
      <c r="Q963">
        <v>0</v>
      </c>
      <c r="R963" t="s">
        <v>44761</v>
      </c>
      <c r="S963" t="s">
        <v>44862</v>
      </c>
      <c r="T963" t="s">
        <v>46376</v>
      </c>
      <c r="U963" t="s">
        <v>47810</v>
      </c>
      <c r="W963" t="s">
        <v>41068</v>
      </c>
      <c r="X963" t="s">
        <v>44762</v>
      </c>
    </row>
    <row r="964" spans="1:24">
      <c r="A964">
        <f>HYPERLINK("https://www.philgeps.gov.ph/GEPSNONPILOT/Tender/SplashBidNoticeAbstractUI.aspx?menuIndex=3&amp;refID=7153122&amp;Result=3","7153122")</f>
        <v>0</v>
      </c>
      <c r="B964" t="s">
        <v>143</v>
      </c>
      <c r="C964" t="s">
        <v>4702</v>
      </c>
      <c r="D964" t="s">
        <v>17965</v>
      </c>
      <c r="E964" t="s">
        <v>18963</v>
      </c>
      <c r="F964" t="s">
        <v>30900</v>
      </c>
      <c r="G964" t="s">
        <v>30907</v>
      </c>
      <c r="H964" t="s">
        <v>30915</v>
      </c>
      <c r="I964" t="s">
        <v>30919</v>
      </c>
      <c r="J964" t="s">
        <v>31809</v>
      </c>
      <c r="K964" t="s">
        <v>40283</v>
      </c>
      <c r="M964" t="s">
        <v>40854</v>
      </c>
      <c r="N964" t="s">
        <v>44759</v>
      </c>
      <c r="O964" t="s">
        <v>44760</v>
      </c>
      <c r="P964">
        <v>0</v>
      </c>
      <c r="Q964">
        <v>0</v>
      </c>
      <c r="R964" t="s">
        <v>44761</v>
      </c>
      <c r="S964" t="s">
        <v>44862</v>
      </c>
      <c r="T964" t="s">
        <v>46418</v>
      </c>
      <c r="U964" t="s">
        <v>47423</v>
      </c>
      <c r="W964" t="s">
        <v>40854</v>
      </c>
      <c r="X964" t="s">
        <v>44762</v>
      </c>
    </row>
    <row r="965" spans="1:24">
      <c r="A965">
        <f>HYPERLINK("https://www.philgeps.gov.ph/GEPSNONPILOT/Tender/SplashBidNoticeAbstractUI.aspx?menuIndex=3&amp;refID=7153117&amp;Result=3","7153117")</f>
        <v>0</v>
      </c>
      <c r="B965" t="s">
        <v>519</v>
      </c>
      <c r="C965" t="s">
        <v>4703</v>
      </c>
      <c r="D965" t="s">
        <v>17985</v>
      </c>
      <c r="E965" t="s">
        <v>18964</v>
      </c>
      <c r="F965" t="s">
        <v>30900</v>
      </c>
      <c r="G965" t="s">
        <v>30910</v>
      </c>
      <c r="H965" t="s">
        <v>30917</v>
      </c>
      <c r="I965" t="s">
        <v>30971</v>
      </c>
      <c r="J965" t="s">
        <v>31810</v>
      </c>
      <c r="K965" t="s">
        <v>40286</v>
      </c>
      <c r="M965" t="s">
        <v>41079</v>
      </c>
      <c r="N965" t="s">
        <v>44759</v>
      </c>
      <c r="O965" t="s">
        <v>44760</v>
      </c>
      <c r="P965">
        <v>0</v>
      </c>
      <c r="Q965">
        <v>0</v>
      </c>
      <c r="R965" t="s">
        <v>44761</v>
      </c>
      <c r="S965" t="s">
        <v>44862</v>
      </c>
      <c r="T965" t="s">
        <v>46400</v>
      </c>
      <c r="U965" t="s">
        <v>47811</v>
      </c>
      <c r="W965" t="s">
        <v>41079</v>
      </c>
      <c r="X965" t="s">
        <v>44762</v>
      </c>
    </row>
    <row r="966" spans="1:24">
      <c r="A966">
        <f>HYPERLINK("https://www.philgeps.gov.ph/GEPSNONPILOT/Tender/SplashBidNoticeAbstractUI.aspx?menuIndex=3&amp;refID=7153131&amp;Result=3","7153131")</f>
        <v>0</v>
      </c>
      <c r="B966" t="s">
        <v>453</v>
      </c>
      <c r="C966" t="s">
        <v>4704</v>
      </c>
      <c r="E966" t="s">
        <v>18965</v>
      </c>
      <c r="F966" t="s">
        <v>30900</v>
      </c>
      <c r="G966" t="s">
        <v>30908</v>
      </c>
      <c r="H966" t="s">
        <v>30916</v>
      </c>
      <c r="I966" t="s">
        <v>6396</v>
      </c>
      <c r="J966" t="s">
        <v>31280</v>
      </c>
      <c r="K966" t="s">
        <v>40289</v>
      </c>
      <c r="M966" t="s">
        <v>41010</v>
      </c>
      <c r="N966" t="s">
        <v>44759</v>
      </c>
      <c r="O966" t="s">
        <v>44760</v>
      </c>
      <c r="P966">
        <v>0</v>
      </c>
      <c r="Q966">
        <v>0</v>
      </c>
      <c r="R966" t="s">
        <v>44761</v>
      </c>
      <c r="S966" t="s">
        <v>44862</v>
      </c>
      <c r="T966" t="s">
        <v>46376</v>
      </c>
      <c r="U966" t="s">
        <v>47812</v>
      </c>
      <c r="W966" t="s">
        <v>41010</v>
      </c>
      <c r="X966" t="s">
        <v>44762</v>
      </c>
    </row>
    <row r="967" spans="1:24">
      <c r="A967">
        <f>HYPERLINK("https://www.philgeps.gov.ph/GEPSNONPILOT/Tender/SplashBidNoticeAbstractUI.aspx?menuIndex=3&amp;refID=7153116&amp;Result=3","7153116")</f>
        <v>0</v>
      </c>
      <c r="B967" t="s">
        <v>453</v>
      </c>
      <c r="C967" t="s">
        <v>4705</v>
      </c>
      <c r="E967" t="s">
        <v>18966</v>
      </c>
      <c r="F967" t="s">
        <v>30900</v>
      </c>
      <c r="G967" t="s">
        <v>30908</v>
      </c>
      <c r="H967" t="s">
        <v>30916</v>
      </c>
      <c r="I967" t="s">
        <v>30921</v>
      </c>
      <c r="J967" t="s">
        <v>31049</v>
      </c>
      <c r="K967" t="s">
        <v>40289</v>
      </c>
      <c r="M967" t="s">
        <v>41010</v>
      </c>
      <c r="N967" t="s">
        <v>44759</v>
      </c>
      <c r="O967" t="s">
        <v>44760</v>
      </c>
      <c r="P967">
        <v>0</v>
      </c>
      <c r="Q967">
        <v>0</v>
      </c>
      <c r="R967" t="s">
        <v>44761</v>
      </c>
      <c r="S967" t="s">
        <v>44862</v>
      </c>
      <c r="T967" t="s">
        <v>46376</v>
      </c>
      <c r="U967" t="s">
        <v>47680</v>
      </c>
      <c r="W967" t="s">
        <v>41010</v>
      </c>
      <c r="X967" t="s">
        <v>44762</v>
      </c>
    </row>
    <row r="968" spans="1:24">
      <c r="A968">
        <f>HYPERLINK("https://www.philgeps.gov.ph/GEPSNONPILOT/Tender/SplashBidNoticeAbstractUI.aspx?menuIndex=3&amp;refID=7153114&amp;Result=3","7153114")</f>
        <v>0</v>
      </c>
      <c r="B968" t="s">
        <v>520</v>
      </c>
      <c r="C968" t="s">
        <v>4706</v>
      </c>
      <c r="D968" t="s">
        <v>18019</v>
      </c>
      <c r="E968" t="s">
        <v>18967</v>
      </c>
      <c r="F968" t="s">
        <v>30900</v>
      </c>
      <c r="G968" t="s">
        <v>30908</v>
      </c>
      <c r="H968" t="s">
        <v>30916</v>
      </c>
      <c r="I968" t="s">
        <v>4108</v>
      </c>
      <c r="J968" t="s">
        <v>31811</v>
      </c>
      <c r="K968" t="s">
        <v>40283</v>
      </c>
      <c r="M968" t="s">
        <v>41080</v>
      </c>
      <c r="N968" t="s">
        <v>44759</v>
      </c>
      <c r="O968" t="s">
        <v>44760</v>
      </c>
      <c r="P968">
        <v>0</v>
      </c>
      <c r="Q968">
        <v>0</v>
      </c>
      <c r="R968" t="s">
        <v>44761</v>
      </c>
      <c r="S968" t="s">
        <v>44862</v>
      </c>
      <c r="T968" t="s">
        <v>46448</v>
      </c>
      <c r="U968" t="s">
        <v>47813</v>
      </c>
      <c r="W968" t="s">
        <v>41080</v>
      </c>
      <c r="X968" t="s">
        <v>44762</v>
      </c>
    </row>
    <row r="969" spans="1:24">
      <c r="A969">
        <f>HYPERLINK("https://www.philgeps.gov.ph/GEPSNONPILOT/Tender/SplashBidNoticeAbstractUI.aspx?menuIndex=3&amp;refID=7153118&amp;Result=3","7153118")</f>
        <v>0</v>
      </c>
      <c r="B969" t="s">
        <v>34</v>
      </c>
      <c r="C969" t="s">
        <v>4707</v>
      </c>
      <c r="D969" t="s">
        <v>17961</v>
      </c>
      <c r="E969" t="s">
        <v>18968</v>
      </c>
      <c r="F969" t="s">
        <v>30900</v>
      </c>
      <c r="G969" t="s">
        <v>30908</v>
      </c>
      <c r="H969" t="s">
        <v>30916</v>
      </c>
      <c r="I969" t="s">
        <v>4545</v>
      </c>
      <c r="J969" t="s">
        <v>31812</v>
      </c>
      <c r="K969" t="s">
        <v>40284</v>
      </c>
      <c r="M969" t="s">
        <v>40580</v>
      </c>
      <c r="N969" t="s">
        <v>44759</v>
      </c>
      <c r="O969" t="s">
        <v>44760</v>
      </c>
      <c r="P969">
        <v>0</v>
      </c>
      <c r="Q969">
        <v>0</v>
      </c>
      <c r="R969" t="s">
        <v>44761</v>
      </c>
      <c r="S969" t="s">
        <v>44862</v>
      </c>
      <c r="T969" t="s">
        <v>46359</v>
      </c>
      <c r="U969" t="s">
        <v>47814</v>
      </c>
      <c r="V969" t="s">
        <v>59234</v>
      </c>
      <c r="W969" t="s">
        <v>40580</v>
      </c>
      <c r="X969" t="s">
        <v>44762</v>
      </c>
    </row>
    <row r="970" spans="1:24">
      <c r="A970">
        <f>HYPERLINK("https://www.philgeps.gov.ph/GEPSNONPILOT/Tender/SplashBidNoticeAbstractUI.aspx?menuIndex=3&amp;refID=7153113&amp;Result=3","7153113")</f>
        <v>0</v>
      </c>
      <c r="B970" t="s">
        <v>521</v>
      </c>
      <c r="C970" t="s">
        <v>4708</v>
      </c>
      <c r="D970" t="s">
        <v>17978</v>
      </c>
      <c r="E970" t="s">
        <v>18969</v>
      </c>
      <c r="F970" t="s">
        <v>30900</v>
      </c>
      <c r="G970" t="s">
        <v>30912</v>
      </c>
      <c r="H970" t="s">
        <v>30916</v>
      </c>
      <c r="I970" t="s">
        <v>6396</v>
      </c>
      <c r="J970" t="s">
        <v>31728</v>
      </c>
      <c r="K970" t="s">
        <v>40284</v>
      </c>
      <c r="M970" t="s">
        <v>41081</v>
      </c>
      <c r="N970" t="s">
        <v>44759</v>
      </c>
      <c r="O970" t="s">
        <v>44760</v>
      </c>
      <c r="P970">
        <v>0</v>
      </c>
      <c r="Q970">
        <v>0</v>
      </c>
      <c r="R970" t="s">
        <v>44761</v>
      </c>
      <c r="S970" t="s">
        <v>44862</v>
      </c>
      <c r="T970" t="s">
        <v>46404</v>
      </c>
      <c r="U970" t="s">
        <v>47815</v>
      </c>
      <c r="W970" t="s">
        <v>41081</v>
      </c>
      <c r="X970" t="s">
        <v>44762</v>
      </c>
    </row>
    <row r="971" spans="1:24">
      <c r="A971">
        <f>HYPERLINK("https://www.philgeps.gov.ph/GEPSNONPILOT/Tender/SplashBidNoticeAbstractUI.aspx?menuIndex=3&amp;refID=7153112&amp;Result=3","7153112")</f>
        <v>0</v>
      </c>
      <c r="B971" t="s">
        <v>522</v>
      </c>
      <c r="C971" t="s">
        <v>4709</v>
      </c>
      <c r="D971" t="s">
        <v>18017</v>
      </c>
      <c r="E971" t="s">
        <v>18970</v>
      </c>
      <c r="F971" t="s">
        <v>30900</v>
      </c>
      <c r="G971" t="s">
        <v>30906</v>
      </c>
      <c r="H971" t="s">
        <v>30916</v>
      </c>
      <c r="I971" t="s">
        <v>6953</v>
      </c>
      <c r="J971" t="s">
        <v>31813</v>
      </c>
      <c r="K971" t="s">
        <v>40287</v>
      </c>
      <c r="M971" t="s">
        <v>41082</v>
      </c>
      <c r="N971" t="s">
        <v>44759</v>
      </c>
      <c r="O971" t="s">
        <v>44760</v>
      </c>
      <c r="P971">
        <v>0</v>
      </c>
      <c r="Q971">
        <v>0</v>
      </c>
      <c r="R971" t="s">
        <v>44761</v>
      </c>
      <c r="S971" t="s">
        <v>44862</v>
      </c>
      <c r="T971" t="s">
        <v>46421</v>
      </c>
      <c r="U971" t="s">
        <v>47816</v>
      </c>
      <c r="W971" t="s">
        <v>41082</v>
      </c>
      <c r="X971" t="s">
        <v>44762</v>
      </c>
    </row>
    <row r="972" spans="1:24">
      <c r="A972">
        <f>HYPERLINK("https://www.philgeps.gov.ph/GEPSNONPILOT/Tender/SplashBidNoticeAbstractUI.aspx?menuIndex=3&amp;refID=7153091&amp;Result=3","7153091")</f>
        <v>0</v>
      </c>
      <c r="B972" t="s">
        <v>523</v>
      </c>
      <c r="C972" t="s">
        <v>4710</v>
      </c>
      <c r="E972" t="s">
        <v>18971</v>
      </c>
      <c r="F972" t="s">
        <v>30900</v>
      </c>
      <c r="G972" t="s">
        <v>30908</v>
      </c>
      <c r="H972" t="s">
        <v>30916</v>
      </c>
      <c r="I972" t="s">
        <v>30980</v>
      </c>
      <c r="J972" t="s">
        <v>31814</v>
      </c>
      <c r="K972" t="s">
        <v>40286</v>
      </c>
      <c r="M972" t="s">
        <v>41083</v>
      </c>
      <c r="N972" t="s">
        <v>44759</v>
      </c>
      <c r="O972" t="s">
        <v>44760</v>
      </c>
      <c r="P972">
        <v>0</v>
      </c>
      <c r="Q972">
        <v>0</v>
      </c>
      <c r="R972" t="s">
        <v>44761</v>
      </c>
      <c r="S972" t="s">
        <v>44862</v>
      </c>
      <c r="T972" t="s">
        <v>46451</v>
      </c>
      <c r="U972" t="s">
        <v>47817</v>
      </c>
      <c r="W972" t="s">
        <v>42805</v>
      </c>
      <c r="X972" t="s">
        <v>44762</v>
      </c>
    </row>
    <row r="973" spans="1:24">
      <c r="A973">
        <f>HYPERLINK("https://www.philgeps.gov.ph/GEPSNONPILOT/Tender/SplashBidNoticeAbstractUI.aspx?menuIndex=3&amp;refID=7153087&amp;Result=3","7153087")</f>
        <v>0</v>
      </c>
      <c r="B973" t="s">
        <v>416</v>
      </c>
      <c r="C973" t="s">
        <v>4711</v>
      </c>
      <c r="E973" t="s">
        <v>18972</v>
      </c>
      <c r="F973" t="s">
        <v>30900</v>
      </c>
      <c r="G973" t="s">
        <v>30907</v>
      </c>
      <c r="H973" t="s">
        <v>30916</v>
      </c>
      <c r="I973" t="s">
        <v>8123</v>
      </c>
      <c r="J973" t="s">
        <v>31815</v>
      </c>
      <c r="K973" t="s">
        <v>40283</v>
      </c>
      <c r="M973" t="s">
        <v>40972</v>
      </c>
      <c r="N973" t="s">
        <v>44759</v>
      </c>
      <c r="O973" t="s">
        <v>44760</v>
      </c>
      <c r="P973">
        <v>0</v>
      </c>
      <c r="Q973">
        <v>0</v>
      </c>
      <c r="R973" t="s">
        <v>44761</v>
      </c>
      <c r="S973" t="s">
        <v>44862</v>
      </c>
      <c r="T973" t="s">
        <v>46439</v>
      </c>
      <c r="U973" t="s">
        <v>47818</v>
      </c>
      <c r="W973" t="s">
        <v>40972</v>
      </c>
      <c r="X973" t="s">
        <v>44762</v>
      </c>
    </row>
    <row r="974" spans="1:24">
      <c r="A974">
        <f>HYPERLINK("https://www.philgeps.gov.ph/GEPSNONPILOT/Tender/SplashBidNoticeAbstractUI.aspx?menuIndex=3&amp;refID=7153085&amp;Result=3","7153085")</f>
        <v>0</v>
      </c>
      <c r="B974" t="s">
        <v>459</v>
      </c>
      <c r="C974" t="s">
        <v>4712</v>
      </c>
      <c r="D974" t="s">
        <v>17978</v>
      </c>
      <c r="E974" t="s">
        <v>18973</v>
      </c>
      <c r="F974" t="s">
        <v>30900</v>
      </c>
      <c r="G974" t="s">
        <v>30908</v>
      </c>
      <c r="H974" t="s">
        <v>30916</v>
      </c>
      <c r="I974" t="s">
        <v>6953</v>
      </c>
      <c r="J974" t="s">
        <v>31816</v>
      </c>
      <c r="K974" t="s">
        <v>40288</v>
      </c>
      <c r="M974" t="s">
        <v>41017</v>
      </c>
      <c r="N974" t="s">
        <v>44759</v>
      </c>
      <c r="O974" t="s">
        <v>44760</v>
      </c>
      <c r="P974">
        <v>0</v>
      </c>
      <c r="Q974">
        <v>0</v>
      </c>
      <c r="R974" t="s">
        <v>44761</v>
      </c>
      <c r="S974" t="s">
        <v>44862</v>
      </c>
      <c r="T974" t="s">
        <v>46445</v>
      </c>
      <c r="U974" t="s">
        <v>47819</v>
      </c>
      <c r="W974" t="s">
        <v>41017</v>
      </c>
      <c r="X974" t="s">
        <v>44762</v>
      </c>
    </row>
    <row r="975" spans="1:24">
      <c r="A975">
        <f>HYPERLINK("https://www.philgeps.gov.ph/GEPSNONPILOT/Tender/SplashBidNoticeAbstractUI.aspx?menuIndex=3&amp;refID=7153134&amp;Result=3","7153134")</f>
        <v>0</v>
      </c>
      <c r="B975" t="s">
        <v>449</v>
      </c>
      <c r="C975" t="s">
        <v>4713</v>
      </c>
      <c r="D975" t="s">
        <v>17982</v>
      </c>
      <c r="E975" t="s">
        <v>18974</v>
      </c>
      <c r="F975" t="s">
        <v>30900</v>
      </c>
      <c r="G975" t="s">
        <v>30907</v>
      </c>
      <c r="H975" t="s">
        <v>30915</v>
      </c>
      <c r="I975" t="s">
        <v>30919</v>
      </c>
      <c r="J975" t="s">
        <v>31817</v>
      </c>
      <c r="K975" t="s">
        <v>40286</v>
      </c>
      <c r="M975" t="s">
        <v>41006</v>
      </c>
      <c r="N975" t="s">
        <v>44759</v>
      </c>
      <c r="O975" t="s">
        <v>44760</v>
      </c>
      <c r="P975">
        <v>0</v>
      </c>
      <c r="Q975">
        <v>0</v>
      </c>
      <c r="R975" t="s">
        <v>44761</v>
      </c>
      <c r="S975" t="s">
        <v>44862</v>
      </c>
      <c r="T975" t="s">
        <v>46458</v>
      </c>
      <c r="U975" t="s">
        <v>47820</v>
      </c>
      <c r="W975" t="s">
        <v>41006</v>
      </c>
      <c r="X975" t="s">
        <v>44762</v>
      </c>
    </row>
    <row r="976" spans="1:24">
      <c r="A976">
        <f>HYPERLINK("https://www.philgeps.gov.ph/GEPSNONPILOT/Tender/SplashBidNoticeAbstractUI.aspx?menuIndex=3&amp;refID=7153121&amp;Result=3","7153121")</f>
        <v>0</v>
      </c>
      <c r="B976" t="s">
        <v>147</v>
      </c>
      <c r="C976" t="s">
        <v>4714</v>
      </c>
      <c r="D976" t="s">
        <v>17970</v>
      </c>
      <c r="E976" t="s">
        <v>18975</v>
      </c>
      <c r="F976" t="s">
        <v>30900</v>
      </c>
      <c r="G976" t="s">
        <v>30908</v>
      </c>
      <c r="H976" t="s">
        <v>30916</v>
      </c>
      <c r="I976" t="s">
        <v>30942</v>
      </c>
      <c r="J976" t="s">
        <v>31818</v>
      </c>
      <c r="K976" t="s">
        <v>40286</v>
      </c>
      <c r="M976" t="s">
        <v>40694</v>
      </c>
      <c r="N976" t="s">
        <v>44759</v>
      </c>
      <c r="O976" t="s">
        <v>44760</v>
      </c>
      <c r="P976">
        <v>0</v>
      </c>
      <c r="Q976">
        <v>0</v>
      </c>
      <c r="R976" t="s">
        <v>44761</v>
      </c>
      <c r="S976" t="s">
        <v>44862</v>
      </c>
      <c r="T976" t="s">
        <v>46421</v>
      </c>
      <c r="U976" t="s">
        <v>47821</v>
      </c>
      <c r="W976" t="s">
        <v>40694</v>
      </c>
      <c r="X976" t="s">
        <v>44762</v>
      </c>
    </row>
    <row r="977" spans="1:24">
      <c r="A977">
        <f>HYPERLINK("https://www.philgeps.gov.ph/GEPSNONPILOT/Tender/SplashBidNoticeAbstractUI.aspx?menuIndex=3&amp;refID=7153115&amp;Result=3","7153115")</f>
        <v>0</v>
      </c>
      <c r="B977" t="s">
        <v>524</v>
      </c>
      <c r="C977" t="s">
        <v>4715</v>
      </c>
      <c r="D977" t="s">
        <v>17959</v>
      </c>
      <c r="E977" t="s">
        <v>18976</v>
      </c>
      <c r="F977" t="s">
        <v>30900</v>
      </c>
      <c r="G977" t="s">
        <v>30906</v>
      </c>
      <c r="H977" t="s">
        <v>30916</v>
      </c>
      <c r="I977" t="s">
        <v>30923</v>
      </c>
      <c r="J977" t="s">
        <v>31819</v>
      </c>
      <c r="K977" t="s">
        <v>40289</v>
      </c>
      <c r="M977" t="s">
        <v>41084</v>
      </c>
      <c r="N977" t="s">
        <v>44759</v>
      </c>
      <c r="O977" t="s">
        <v>44760</v>
      </c>
      <c r="P977">
        <v>0</v>
      </c>
      <c r="Q977">
        <v>1</v>
      </c>
      <c r="R977" t="s">
        <v>44761</v>
      </c>
      <c r="S977" t="s">
        <v>44862</v>
      </c>
      <c r="T977" t="s">
        <v>46357</v>
      </c>
      <c r="U977" t="s">
        <v>47822</v>
      </c>
      <c r="W977" t="s">
        <v>41084</v>
      </c>
      <c r="X977" t="s">
        <v>44762</v>
      </c>
    </row>
    <row r="978" spans="1:24">
      <c r="A978">
        <f>HYPERLINK("https://www.philgeps.gov.ph/GEPSNONPILOT/Tender/SplashBidNoticeAbstractUI.aspx?menuIndex=3&amp;refID=7153157&amp;Result=3","7153157")</f>
        <v>0</v>
      </c>
      <c r="B978" t="s">
        <v>525</v>
      </c>
      <c r="C978" t="s">
        <v>4716</v>
      </c>
      <c r="D978" t="s">
        <v>18013</v>
      </c>
      <c r="E978" t="s">
        <v>18417</v>
      </c>
      <c r="F978" t="s">
        <v>30900</v>
      </c>
      <c r="G978" t="s">
        <v>30909</v>
      </c>
      <c r="H978" t="s">
        <v>30916</v>
      </c>
      <c r="I978" t="s">
        <v>4142</v>
      </c>
      <c r="J978" t="s">
        <v>31820</v>
      </c>
      <c r="K978" t="s">
        <v>40285</v>
      </c>
      <c r="M978" t="s">
        <v>41085</v>
      </c>
      <c r="N978" t="s">
        <v>44759</v>
      </c>
      <c r="O978" t="s">
        <v>44760</v>
      </c>
      <c r="P978">
        <v>0</v>
      </c>
      <c r="Q978">
        <v>0</v>
      </c>
      <c r="R978" t="s">
        <v>44761</v>
      </c>
      <c r="S978" t="s">
        <v>44862</v>
      </c>
      <c r="T978" t="s">
        <v>46398</v>
      </c>
      <c r="U978" t="s">
        <v>47823</v>
      </c>
      <c r="V978" t="s">
        <v>59235</v>
      </c>
      <c r="W978" t="s">
        <v>41085</v>
      </c>
      <c r="X978" t="s">
        <v>44762</v>
      </c>
    </row>
    <row r="979" spans="1:24">
      <c r="A979">
        <f>HYPERLINK("https://www.philgeps.gov.ph/GEPSNONPILOT/Tender/SplashBidNoticeAbstractUI.aspx?menuIndex=3&amp;refID=7153105&amp;Result=3","7153105")</f>
        <v>0</v>
      </c>
      <c r="B979" t="s">
        <v>526</v>
      </c>
      <c r="C979" t="s">
        <v>4717</v>
      </c>
      <c r="D979" t="s">
        <v>17984</v>
      </c>
      <c r="E979" t="s">
        <v>18977</v>
      </c>
      <c r="F979" t="s">
        <v>30900</v>
      </c>
      <c r="G979" t="s">
        <v>30907</v>
      </c>
      <c r="H979" t="s">
        <v>30915</v>
      </c>
      <c r="I979" t="s">
        <v>30919</v>
      </c>
      <c r="J979" t="s">
        <v>31821</v>
      </c>
      <c r="K979" t="s">
        <v>40291</v>
      </c>
      <c r="M979" t="s">
        <v>41086</v>
      </c>
      <c r="N979" t="s">
        <v>44759</v>
      </c>
      <c r="O979" t="s">
        <v>44760</v>
      </c>
      <c r="P979">
        <v>0</v>
      </c>
      <c r="Q979">
        <v>0</v>
      </c>
      <c r="R979" t="s">
        <v>44761</v>
      </c>
      <c r="S979" t="s">
        <v>44862</v>
      </c>
      <c r="T979" t="s">
        <v>46405</v>
      </c>
      <c r="U979" t="s">
        <v>47824</v>
      </c>
      <c r="W979" t="s">
        <v>41086</v>
      </c>
      <c r="X979" t="s">
        <v>44762</v>
      </c>
    </row>
    <row r="980" spans="1:24">
      <c r="A980">
        <f>HYPERLINK("https://www.philgeps.gov.ph/GEPSNONPILOT/Tender/SplashBidNoticeAbstractUI.aspx?menuIndex=3&amp;refID=7153155&amp;Result=3","7153155")</f>
        <v>0</v>
      </c>
      <c r="B980" t="s">
        <v>527</v>
      </c>
      <c r="C980" t="s">
        <v>4718</v>
      </c>
      <c r="D980" t="s">
        <v>17961</v>
      </c>
      <c r="E980" t="s">
        <v>18978</v>
      </c>
      <c r="F980" t="s">
        <v>30900</v>
      </c>
      <c r="G980" t="s">
        <v>30908</v>
      </c>
      <c r="H980" t="s">
        <v>30916</v>
      </c>
      <c r="I980" t="s">
        <v>10602</v>
      </c>
      <c r="J980" t="s">
        <v>31822</v>
      </c>
      <c r="K980" t="s">
        <v>40284</v>
      </c>
      <c r="M980" t="s">
        <v>41087</v>
      </c>
      <c r="N980" t="s">
        <v>44759</v>
      </c>
      <c r="O980" t="s">
        <v>44760</v>
      </c>
      <c r="P980">
        <v>0</v>
      </c>
      <c r="Q980">
        <v>0</v>
      </c>
      <c r="R980" t="s">
        <v>44761</v>
      </c>
      <c r="S980" t="s">
        <v>44862</v>
      </c>
      <c r="T980" t="s">
        <v>46382</v>
      </c>
      <c r="U980" t="s">
        <v>47825</v>
      </c>
      <c r="V980" t="s">
        <v>59236</v>
      </c>
      <c r="W980" t="s">
        <v>41087</v>
      </c>
      <c r="X980" t="s">
        <v>44762</v>
      </c>
    </row>
    <row r="981" spans="1:24">
      <c r="A981">
        <f>HYPERLINK("https://www.philgeps.gov.ph/GEPSNONPILOT/Tender/SplashBidNoticeAbstractUI.aspx?menuIndex=3&amp;refID=7153119&amp;Result=3","7153119")</f>
        <v>0</v>
      </c>
      <c r="B981" t="s">
        <v>462</v>
      </c>
      <c r="C981" t="s">
        <v>4719</v>
      </c>
      <c r="D981" t="s">
        <v>17980</v>
      </c>
      <c r="E981" t="s">
        <v>18979</v>
      </c>
      <c r="F981" t="s">
        <v>30900</v>
      </c>
      <c r="G981" t="s">
        <v>30907</v>
      </c>
      <c r="H981" t="s">
        <v>30916</v>
      </c>
      <c r="I981" t="s">
        <v>30942</v>
      </c>
      <c r="J981" t="s">
        <v>31823</v>
      </c>
      <c r="K981" t="s">
        <v>40292</v>
      </c>
      <c r="M981" t="s">
        <v>41020</v>
      </c>
      <c r="N981" t="s">
        <v>44759</v>
      </c>
      <c r="O981" t="s">
        <v>44760</v>
      </c>
      <c r="P981">
        <v>0</v>
      </c>
      <c r="Q981">
        <v>0</v>
      </c>
      <c r="R981" t="s">
        <v>44761</v>
      </c>
      <c r="S981" t="s">
        <v>44862</v>
      </c>
      <c r="T981" t="s">
        <v>46491</v>
      </c>
      <c r="U981" t="s">
        <v>47704</v>
      </c>
      <c r="W981" t="s">
        <v>41020</v>
      </c>
      <c r="X981" t="s">
        <v>44762</v>
      </c>
    </row>
    <row r="982" spans="1:24">
      <c r="A982">
        <f>HYPERLINK("https://www.philgeps.gov.ph/GEPSNONPILOT/Tender/SplashBidNoticeAbstractUI.aspx?menuIndex=3&amp;refID=7153151&amp;Result=3","7153151")</f>
        <v>0</v>
      </c>
      <c r="B982" t="s">
        <v>528</v>
      </c>
      <c r="C982" t="s">
        <v>4720</v>
      </c>
      <c r="D982" t="s">
        <v>17975</v>
      </c>
      <c r="E982" t="s">
        <v>18980</v>
      </c>
      <c r="F982" t="s">
        <v>30900</v>
      </c>
      <c r="G982" t="s">
        <v>30907</v>
      </c>
      <c r="H982" t="s">
        <v>30916</v>
      </c>
      <c r="I982" t="s">
        <v>4108</v>
      </c>
      <c r="J982" t="s">
        <v>31152</v>
      </c>
      <c r="K982" t="s">
        <v>40287</v>
      </c>
      <c r="M982" t="s">
        <v>41088</v>
      </c>
      <c r="N982" t="s">
        <v>44759</v>
      </c>
      <c r="O982" t="s">
        <v>44760</v>
      </c>
      <c r="P982">
        <v>0</v>
      </c>
      <c r="Q982">
        <v>0</v>
      </c>
      <c r="R982" t="s">
        <v>44761</v>
      </c>
      <c r="S982" t="s">
        <v>44862</v>
      </c>
      <c r="T982" t="s">
        <v>46450</v>
      </c>
      <c r="U982" t="s">
        <v>47826</v>
      </c>
      <c r="W982" t="s">
        <v>41088</v>
      </c>
      <c r="X982" t="s">
        <v>44762</v>
      </c>
    </row>
    <row r="983" spans="1:24">
      <c r="A983">
        <f>HYPERLINK("https://www.philgeps.gov.ph/GEPSNONPILOT/Tender/SplashBidNoticeAbstractUI.aspx?menuIndex=3&amp;refID=7153149&amp;Result=3","7153149")</f>
        <v>0</v>
      </c>
      <c r="B983" t="s">
        <v>529</v>
      </c>
      <c r="C983" t="s">
        <v>4721</v>
      </c>
      <c r="D983" t="s">
        <v>17951</v>
      </c>
      <c r="E983" t="s">
        <v>18758</v>
      </c>
      <c r="F983" t="s">
        <v>30900</v>
      </c>
      <c r="G983" t="s">
        <v>30907</v>
      </c>
      <c r="H983" t="s">
        <v>30916</v>
      </c>
      <c r="I983" t="s">
        <v>8123</v>
      </c>
      <c r="J983" t="s">
        <v>31824</v>
      </c>
      <c r="K983" t="s">
        <v>40287</v>
      </c>
      <c r="L983" t="s">
        <v>529</v>
      </c>
      <c r="M983" t="s">
        <v>41089</v>
      </c>
      <c r="N983" t="s">
        <v>44759</v>
      </c>
      <c r="O983" t="s">
        <v>44760</v>
      </c>
      <c r="P983">
        <v>0</v>
      </c>
      <c r="Q983">
        <v>0</v>
      </c>
      <c r="R983" t="s">
        <v>44761</v>
      </c>
      <c r="S983" t="s">
        <v>44862</v>
      </c>
      <c r="T983" t="s">
        <v>46369</v>
      </c>
      <c r="U983" t="s">
        <v>47827</v>
      </c>
      <c r="W983" t="s">
        <v>41089</v>
      </c>
      <c r="X983" t="s">
        <v>44762</v>
      </c>
    </row>
    <row r="984" spans="1:24">
      <c r="A984">
        <f>HYPERLINK("https://www.philgeps.gov.ph/GEPSNONPILOT/Tender/SplashBidNoticeAbstractUI.aspx?menuIndex=3&amp;refID=7153148&amp;Result=3","7153148")</f>
        <v>0</v>
      </c>
      <c r="B984" t="s">
        <v>323</v>
      </c>
      <c r="C984" t="s">
        <v>4722</v>
      </c>
      <c r="D984" t="s">
        <v>17985</v>
      </c>
      <c r="E984" t="s">
        <v>18981</v>
      </c>
      <c r="F984" t="s">
        <v>30900</v>
      </c>
      <c r="G984" t="s">
        <v>30908</v>
      </c>
      <c r="H984" t="s">
        <v>30916</v>
      </c>
      <c r="I984" t="s">
        <v>5879</v>
      </c>
      <c r="J984" t="s">
        <v>31825</v>
      </c>
      <c r="K984" t="s">
        <v>40286</v>
      </c>
      <c r="M984" t="s">
        <v>40874</v>
      </c>
      <c r="N984" t="s">
        <v>44759</v>
      </c>
      <c r="O984" t="s">
        <v>44760</v>
      </c>
      <c r="P984">
        <v>0</v>
      </c>
      <c r="Q984">
        <v>0</v>
      </c>
      <c r="R984" t="s">
        <v>44761</v>
      </c>
      <c r="S984" t="s">
        <v>44862</v>
      </c>
      <c r="T984" t="s">
        <v>46399</v>
      </c>
      <c r="U984" t="s">
        <v>47828</v>
      </c>
      <c r="W984" t="s">
        <v>40874</v>
      </c>
      <c r="X984" t="s">
        <v>44762</v>
      </c>
    </row>
    <row r="985" spans="1:24">
      <c r="A985">
        <f>HYPERLINK("https://www.philgeps.gov.ph/GEPSNONPILOT/Tender/SplashBidNoticeAbstractUI.aspx?menuIndex=3&amp;refID=7153147&amp;Result=3","7153147")</f>
        <v>0</v>
      </c>
      <c r="B985" t="s">
        <v>530</v>
      </c>
      <c r="C985" t="s">
        <v>4723</v>
      </c>
      <c r="D985" t="s">
        <v>17996</v>
      </c>
      <c r="E985" t="s">
        <v>18982</v>
      </c>
      <c r="F985" t="s">
        <v>30900</v>
      </c>
      <c r="G985" t="s">
        <v>30909</v>
      </c>
      <c r="H985" t="s">
        <v>30916</v>
      </c>
      <c r="I985" t="s">
        <v>30925</v>
      </c>
      <c r="J985" t="s">
        <v>31092</v>
      </c>
      <c r="K985" t="s">
        <v>40287</v>
      </c>
      <c r="M985" t="s">
        <v>41090</v>
      </c>
      <c r="N985" t="s">
        <v>44759</v>
      </c>
      <c r="O985" t="s">
        <v>44760</v>
      </c>
      <c r="P985">
        <v>0</v>
      </c>
      <c r="Q985">
        <v>0</v>
      </c>
      <c r="R985" t="s">
        <v>44761</v>
      </c>
      <c r="S985" t="s">
        <v>44862</v>
      </c>
      <c r="T985" t="s">
        <v>46457</v>
      </c>
      <c r="U985" t="s">
        <v>47829</v>
      </c>
      <c r="W985" t="s">
        <v>41090</v>
      </c>
      <c r="X985" t="s">
        <v>44762</v>
      </c>
    </row>
    <row r="986" spans="1:24">
      <c r="A986">
        <f>HYPERLINK("https://www.philgeps.gov.ph/GEPSNONPILOT/Tender/SplashBidNoticeAbstractUI.aspx?menuIndex=3&amp;refID=7153146&amp;Result=3","7153146")</f>
        <v>0</v>
      </c>
      <c r="B986" t="s">
        <v>531</v>
      </c>
      <c r="C986" t="s">
        <v>4724</v>
      </c>
      <c r="D986" t="s">
        <v>17955</v>
      </c>
      <c r="E986" t="s">
        <v>18983</v>
      </c>
      <c r="F986" t="s">
        <v>30900</v>
      </c>
      <c r="G986" t="s">
        <v>30909</v>
      </c>
      <c r="H986" t="s">
        <v>30916</v>
      </c>
      <c r="I986" t="s">
        <v>30924</v>
      </c>
      <c r="J986" t="s">
        <v>31826</v>
      </c>
      <c r="K986" t="s">
        <v>40285</v>
      </c>
      <c r="M986" t="s">
        <v>41091</v>
      </c>
      <c r="N986" t="s">
        <v>44759</v>
      </c>
      <c r="O986" t="s">
        <v>44760</v>
      </c>
      <c r="P986">
        <v>0</v>
      </c>
      <c r="Q986">
        <v>0</v>
      </c>
      <c r="R986" t="s">
        <v>44761</v>
      </c>
      <c r="S986" t="s">
        <v>44862</v>
      </c>
      <c r="T986" t="s">
        <v>46374</v>
      </c>
      <c r="U986" t="s">
        <v>47259</v>
      </c>
      <c r="W986" t="s">
        <v>41091</v>
      </c>
      <c r="X986" t="s">
        <v>44762</v>
      </c>
    </row>
    <row r="987" spans="1:24">
      <c r="A987">
        <f>HYPERLINK("https://www.philgeps.gov.ph/GEPSNONPILOT/Tender/SplashBidNoticeAbstractUI.aspx?menuIndex=3&amp;refID=7153145&amp;Result=3","7153145")</f>
        <v>0</v>
      </c>
      <c r="B987" t="s">
        <v>379</v>
      </c>
      <c r="C987" t="s">
        <v>4725</v>
      </c>
      <c r="D987" t="s">
        <v>18015</v>
      </c>
      <c r="E987" t="s">
        <v>18984</v>
      </c>
      <c r="F987" t="s">
        <v>30900</v>
      </c>
      <c r="G987" t="s">
        <v>30907</v>
      </c>
      <c r="H987" t="s">
        <v>30916</v>
      </c>
      <c r="I987" t="s">
        <v>4545</v>
      </c>
      <c r="J987" t="s">
        <v>31049</v>
      </c>
      <c r="K987" t="s">
        <v>40283</v>
      </c>
      <c r="M987" t="s">
        <v>40933</v>
      </c>
      <c r="N987" t="s">
        <v>44759</v>
      </c>
      <c r="O987" t="s">
        <v>44760</v>
      </c>
      <c r="P987">
        <v>0</v>
      </c>
      <c r="Q987">
        <v>0</v>
      </c>
      <c r="R987" t="s">
        <v>44761</v>
      </c>
      <c r="S987" t="s">
        <v>44862</v>
      </c>
      <c r="T987" t="s">
        <v>46367</v>
      </c>
      <c r="U987" t="s">
        <v>47830</v>
      </c>
      <c r="W987" t="s">
        <v>40933</v>
      </c>
      <c r="X987" t="s">
        <v>44762</v>
      </c>
    </row>
    <row r="988" spans="1:24">
      <c r="A988">
        <f>HYPERLINK("https://www.philgeps.gov.ph/GEPSNONPILOT/Tender/SplashBidNoticeAbstractUI.aspx?menuIndex=3&amp;refID=7153144&amp;Result=3","7153144")</f>
        <v>0</v>
      </c>
      <c r="B988" t="s">
        <v>98</v>
      </c>
      <c r="C988" t="s">
        <v>4726</v>
      </c>
      <c r="D988" t="s">
        <v>17994</v>
      </c>
      <c r="E988" t="s">
        <v>18985</v>
      </c>
      <c r="F988" t="s">
        <v>30900</v>
      </c>
      <c r="G988" t="s">
        <v>30908</v>
      </c>
      <c r="H988" t="s">
        <v>30916</v>
      </c>
      <c r="I988" t="s">
        <v>4142</v>
      </c>
      <c r="J988" t="s">
        <v>31096</v>
      </c>
      <c r="K988" t="s">
        <v>40289</v>
      </c>
      <c r="M988" t="s">
        <v>40645</v>
      </c>
      <c r="N988" t="s">
        <v>44759</v>
      </c>
      <c r="O988" t="s">
        <v>44760</v>
      </c>
      <c r="P988">
        <v>0</v>
      </c>
      <c r="Q988">
        <v>0</v>
      </c>
      <c r="R988" t="s">
        <v>44761</v>
      </c>
      <c r="S988" t="s">
        <v>44862</v>
      </c>
      <c r="T988" t="s">
        <v>46399</v>
      </c>
      <c r="U988" t="s">
        <v>47831</v>
      </c>
      <c r="V988" t="s">
        <v>59119</v>
      </c>
      <c r="W988" t="s">
        <v>40645</v>
      </c>
      <c r="X988" t="s">
        <v>44762</v>
      </c>
    </row>
    <row r="989" spans="1:24">
      <c r="A989">
        <f>HYPERLINK("https://www.philgeps.gov.ph/GEPSNONPILOT/Tender/SplashBidNoticeAbstractUI.aspx?menuIndex=3&amp;refID=7153152&amp;Result=3","7153152")</f>
        <v>0</v>
      </c>
      <c r="B989" t="s">
        <v>209</v>
      </c>
      <c r="C989" t="s">
        <v>4727</v>
      </c>
      <c r="D989" t="s">
        <v>17985</v>
      </c>
      <c r="E989" t="s">
        <v>18986</v>
      </c>
      <c r="F989" t="s">
        <v>30900</v>
      </c>
      <c r="G989" t="s">
        <v>30909</v>
      </c>
      <c r="H989" t="s">
        <v>30916</v>
      </c>
      <c r="I989" t="s">
        <v>30940</v>
      </c>
      <c r="J989" t="s">
        <v>31423</v>
      </c>
      <c r="K989" t="s">
        <v>40286</v>
      </c>
      <c r="M989" t="s">
        <v>40756</v>
      </c>
      <c r="N989" t="s">
        <v>44759</v>
      </c>
      <c r="O989" t="s">
        <v>44760</v>
      </c>
      <c r="P989">
        <v>0</v>
      </c>
      <c r="Q989">
        <v>0</v>
      </c>
      <c r="R989" t="s">
        <v>44761</v>
      </c>
      <c r="S989" t="s">
        <v>44862</v>
      </c>
      <c r="T989" t="s">
        <v>46409</v>
      </c>
      <c r="U989" t="s">
        <v>47832</v>
      </c>
      <c r="W989" t="s">
        <v>40756</v>
      </c>
      <c r="X989" t="s">
        <v>44762</v>
      </c>
    </row>
    <row r="990" spans="1:24">
      <c r="A990">
        <f>HYPERLINK("https://www.philgeps.gov.ph/GEPSNONPILOT/Tender/SplashBidNoticeAbstractUI.aspx?menuIndex=3&amp;refID=7153142&amp;Result=3","7153142")</f>
        <v>0</v>
      </c>
      <c r="B990" t="s">
        <v>521</v>
      </c>
      <c r="C990" t="s">
        <v>4728</v>
      </c>
      <c r="D990" t="s">
        <v>17978</v>
      </c>
      <c r="E990" t="s">
        <v>18987</v>
      </c>
      <c r="F990" t="s">
        <v>30900</v>
      </c>
      <c r="G990" t="s">
        <v>30912</v>
      </c>
      <c r="H990" t="s">
        <v>30916</v>
      </c>
      <c r="I990" t="s">
        <v>8123</v>
      </c>
      <c r="J990" t="s">
        <v>31281</v>
      </c>
      <c r="K990" t="s">
        <v>40284</v>
      </c>
      <c r="M990" t="s">
        <v>41081</v>
      </c>
      <c r="N990" t="s">
        <v>44759</v>
      </c>
      <c r="O990" t="s">
        <v>44760</v>
      </c>
      <c r="P990">
        <v>0</v>
      </c>
      <c r="Q990">
        <v>0</v>
      </c>
      <c r="R990" t="s">
        <v>44761</v>
      </c>
      <c r="S990" t="s">
        <v>44862</v>
      </c>
      <c r="T990" t="s">
        <v>46404</v>
      </c>
      <c r="U990" t="s">
        <v>47833</v>
      </c>
      <c r="W990" t="s">
        <v>41081</v>
      </c>
      <c r="X990" t="s">
        <v>44762</v>
      </c>
    </row>
    <row r="991" spans="1:24">
      <c r="A991">
        <f>HYPERLINK("https://www.philgeps.gov.ph/GEPSNONPILOT/Tender/SplashBidNoticeAbstractUI.aspx?menuIndex=3&amp;refID=7153141&amp;Result=3","7153141")</f>
        <v>0</v>
      </c>
      <c r="B991" t="s">
        <v>532</v>
      </c>
      <c r="C991" t="s">
        <v>4729</v>
      </c>
      <c r="D991" t="s">
        <v>17966</v>
      </c>
      <c r="E991" t="s">
        <v>18988</v>
      </c>
      <c r="F991" t="s">
        <v>30900</v>
      </c>
      <c r="G991" t="s">
        <v>30910</v>
      </c>
      <c r="H991" t="s">
        <v>30916</v>
      </c>
      <c r="I991" t="s">
        <v>10602</v>
      </c>
      <c r="J991" t="s">
        <v>31827</v>
      </c>
      <c r="K991" t="s">
        <v>40287</v>
      </c>
      <c r="M991" t="s">
        <v>41092</v>
      </c>
      <c r="N991" t="s">
        <v>44759</v>
      </c>
      <c r="O991" t="s">
        <v>44760</v>
      </c>
      <c r="P991">
        <v>0</v>
      </c>
      <c r="Q991">
        <v>0</v>
      </c>
      <c r="R991" t="s">
        <v>44761</v>
      </c>
      <c r="S991" t="s">
        <v>44862</v>
      </c>
      <c r="T991" t="s">
        <v>46412</v>
      </c>
      <c r="U991" t="s">
        <v>47834</v>
      </c>
      <c r="W991" t="s">
        <v>41092</v>
      </c>
      <c r="X991" t="s">
        <v>44762</v>
      </c>
    </row>
    <row r="992" spans="1:24">
      <c r="A992">
        <f>HYPERLINK("https://www.philgeps.gov.ph/GEPSNONPILOT/Tender/SplashBidNoticeAbstractUI.aspx?menuIndex=3&amp;refID=7153186&amp;Result=3","7153186")</f>
        <v>0</v>
      </c>
      <c r="B992" t="s">
        <v>524</v>
      </c>
      <c r="C992" t="s">
        <v>4730</v>
      </c>
      <c r="D992" t="s">
        <v>17959</v>
      </c>
      <c r="E992" t="s">
        <v>18989</v>
      </c>
      <c r="F992" t="s">
        <v>30900</v>
      </c>
      <c r="G992" t="s">
        <v>30907</v>
      </c>
      <c r="H992" t="s">
        <v>30916</v>
      </c>
      <c r="I992" t="s">
        <v>30923</v>
      </c>
      <c r="J992" t="s">
        <v>31828</v>
      </c>
      <c r="K992" t="s">
        <v>40289</v>
      </c>
      <c r="M992" t="s">
        <v>41084</v>
      </c>
      <c r="N992" t="s">
        <v>44759</v>
      </c>
      <c r="O992" t="s">
        <v>44760</v>
      </c>
      <c r="P992">
        <v>0</v>
      </c>
      <c r="Q992">
        <v>0</v>
      </c>
      <c r="R992" t="s">
        <v>44761</v>
      </c>
      <c r="S992" t="s">
        <v>44862</v>
      </c>
      <c r="T992" t="s">
        <v>46456</v>
      </c>
      <c r="U992" t="s">
        <v>47835</v>
      </c>
      <c r="W992" t="s">
        <v>41084</v>
      </c>
      <c r="X992" t="s">
        <v>44762</v>
      </c>
    </row>
    <row r="993" spans="1:24">
      <c r="A993">
        <f>HYPERLINK("https://www.philgeps.gov.ph/GEPSNONPILOT/Tender/SplashBidNoticeAbstractUI.aspx?menuIndex=3&amp;refID=7153185&amp;Result=3","7153185")</f>
        <v>0</v>
      </c>
      <c r="B993" t="s">
        <v>484</v>
      </c>
      <c r="C993" t="s">
        <v>4731</v>
      </c>
      <c r="D993" t="s">
        <v>17959</v>
      </c>
      <c r="E993" t="s">
        <v>18990</v>
      </c>
      <c r="F993" t="s">
        <v>30900</v>
      </c>
      <c r="G993" t="s">
        <v>30908</v>
      </c>
      <c r="H993" t="s">
        <v>30916</v>
      </c>
      <c r="I993" t="s">
        <v>8123</v>
      </c>
      <c r="J993" t="s">
        <v>31829</v>
      </c>
      <c r="K993" t="s">
        <v>40289</v>
      </c>
      <c r="M993" t="s">
        <v>41042</v>
      </c>
      <c r="N993" t="s">
        <v>44759</v>
      </c>
      <c r="O993" t="s">
        <v>44760</v>
      </c>
      <c r="P993">
        <v>0</v>
      </c>
      <c r="Q993">
        <v>0</v>
      </c>
      <c r="R993" t="s">
        <v>44761</v>
      </c>
      <c r="S993" t="s">
        <v>44862</v>
      </c>
      <c r="T993" t="s">
        <v>46412</v>
      </c>
      <c r="U993" t="s">
        <v>47836</v>
      </c>
      <c r="W993" t="s">
        <v>41042</v>
      </c>
      <c r="X993" t="s">
        <v>44762</v>
      </c>
    </row>
    <row r="994" spans="1:24">
      <c r="A994">
        <f>HYPERLINK("https://www.philgeps.gov.ph/GEPSNONPILOT/Tender/SplashBidNoticeAbstractUI.aspx?menuIndex=3&amp;refID=7153184&amp;Result=3","7153184")</f>
        <v>0</v>
      </c>
      <c r="B994" t="s">
        <v>533</v>
      </c>
      <c r="C994" t="s">
        <v>4732</v>
      </c>
      <c r="D994" t="s">
        <v>17976</v>
      </c>
      <c r="E994" t="s">
        <v>18991</v>
      </c>
      <c r="F994" t="s">
        <v>30900</v>
      </c>
      <c r="G994" t="s">
        <v>30908</v>
      </c>
      <c r="H994" t="s">
        <v>30916</v>
      </c>
      <c r="I994" t="s">
        <v>30981</v>
      </c>
      <c r="J994" t="s">
        <v>31105</v>
      </c>
      <c r="K994" t="s">
        <v>40286</v>
      </c>
      <c r="M994" t="s">
        <v>41093</v>
      </c>
      <c r="N994" t="s">
        <v>44759</v>
      </c>
      <c r="O994" t="s">
        <v>44760</v>
      </c>
      <c r="P994">
        <v>0</v>
      </c>
      <c r="Q994">
        <v>0</v>
      </c>
      <c r="R994" t="s">
        <v>44761</v>
      </c>
      <c r="S994" t="s">
        <v>44862</v>
      </c>
      <c r="T994" t="s">
        <v>46390</v>
      </c>
      <c r="U994" t="s">
        <v>47837</v>
      </c>
      <c r="W994" t="s">
        <v>41093</v>
      </c>
      <c r="X994" t="s">
        <v>44762</v>
      </c>
    </row>
    <row r="995" spans="1:24">
      <c r="A995">
        <f>HYPERLINK("https://www.philgeps.gov.ph/GEPSNONPILOT/Tender/SplashBidNoticeAbstractUI.aspx?menuIndex=3&amp;refID=7153183&amp;Result=3","7153183")</f>
        <v>0</v>
      </c>
      <c r="B995" t="s">
        <v>65</v>
      </c>
      <c r="C995" t="s">
        <v>4733</v>
      </c>
      <c r="D995" t="s">
        <v>17955</v>
      </c>
      <c r="E995" t="s">
        <v>18992</v>
      </c>
      <c r="F995" t="s">
        <v>30900</v>
      </c>
      <c r="G995" t="s">
        <v>30908</v>
      </c>
      <c r="H995" t="s">
        <v>30916</v>
      </c>
      <c r="I995" t="s">
        <v>30923</v>
      </c>
      <c r="J995" t="s">
        <v>31830</v>
      </c>
      <c r="K995" t="s">
        <v>40287</v>
      </c>
      <c r="M995" t="s">
        <v>40893</v>
      </c>
      <c r="N995" t="s">
        <v>44759</v>
      </c>
      <c r="O995" t="s">
        <v>44760</v>
      </c>
      <c r="P995">
        <v>0</v>
      </c>
      <c r="Q995">
        <v>0</v>
      </c>
      <c r="R995" t="s">
        <v>44761</v>
      </c>
      <c r="S995" t="s">
        <v>44862</v>
      </c>
      <c r="T995" t="s">
        <v>46412</v>
      </c>
      <c r="U995" t="s">
        <v>47838</v>
      </c>
      <c r="W995" t="s">
        <v>40893</v>
      </c>
      <c r="X995" t="s">
        <v>44762</v>
      </c>
    </row>
    <row r="996" spans="1:24">
      <c r="A996">
        <f>HYPERLINK("https://www.philgeps.gov.ph/GEPSNONPILOT/Tender/SplashBidNoticeAbstractUI.aspx?menuIndex=3&amp;refID=7153181&amp;Result=3","7153181")</f>
        <v>0</v>
      </c>
      <c r="B996" t="s">
        <v>304</v>
      </c>
      <c r="C996" t="s">
        <v>4734</v>
      </c>
      <c r="D996" t="s">
        <v>18000</v>
      </c>
      <c r="E996" t="s">
        <v>18993</v>
      </c>
      <c r="F996" t="s">
        <v>30900</v>
      </c>
      <c r="G996" t="s">
        <v>30907</v>
      </c>
      <c r="H996" t="s">
        <v>30916</v>
      </c>
      <c r="I996" t="s">
        <v>8123</v>
      </c>
      <c r="J996" t="s">
        <v>31831</v>
      </c>
      <c r="K996" t="s">
        <v>40287</v>
      </c>
      <c r="M996" t="s">
        <v>40853</v>
      </c>
      <c r="N996" t="s">
        <v>44759</v>
      </c>
      <c r="O996" t="s">
        <v>44760</v>
      </c>
      <c r="P996">
        <v>0</v>
      </c>
      <c r="Q996">
        <v>0</v>
      </c>
      <c r="R996" t="s">
        <v>44761</v>
      </c>
      <c r="S996" t="s">
        <v>44862</v>
      </c>
      <c r="T996" t="s">
        <v>46418</v>
      </c>
      <c r="U996" t="s">
        <v>47839</v>
      </c>
      <c r="V996" t="s">
        <v>59237</v>
      </c>
      <c r="W996" t="s">
        <v>40853</v>
      </c>
      <c r="X996" t="s">
        <v>44762</v>
      </c>
    </row>
    <row r="997" spans="1:24">
      <c r="A997">
        <f>HYPERLINK("https://www.philgeps.gov.ph/GEPSNONPILOT/Tender/SplashBidNoticeAbstractUI.aspx?menuIndex=3&amp;refID=7153180&amp;Result=3","7153180")</f>
        <v>0</v>
      </c>
      <c r="B997" t="s">
        <v>212</v>
      </c>
      <c r="C997" t="s">
        <v>4735</v>
      </c>
      <c r="D997" t="s">
        <v>17962</v>
      </c>
      <c r="E997" t="s">
        <v>18994</v>
      </c>
      <c r="F997" t="s">
        <v>30900</v>
      </c>
      <c r="G997" t="s">
        <v>30907</v>
      </c>
      <c r="H997" t="s">
        <v>30916</v>
      </c>
      <c r="I997" t="s">
        <v>8123</v>
      </c>
      <c r="J997" t="s">
        <v>31832</v>
      </c>
      <c r="K997" t="s">
        <v>40291</v>
      </c>
      <c r="M997" t="s">
        <v>40759</v>
      </c>
      <c r="N997" t="s">
        <v>44759</v>
      </c>
      <c r="O997" t="s">
        <v>44760</v>
      </c>
      <c r="P997">
        <v>0</v>
      </c>
      <c r="Q997">
        <v>0</v>
      </c>
      <c r="R997" t="s">
        <v>44761</v>
      </c>
      <c r="S997" t="s">
        <v>44862</v>
      </c>
      <c r="T997" t="s">
        <v>46489</v>
      </c>
      <c r="U997" t="s">
        <v>47840</v>
      </c>
      <c r="W997" t="s">
        <v>40759</v>
      </c>
      <c r="X997" t="s">
        <v>44762</v>
      </c>
    </row>
    <row r="998" spans="1:24">
      <c r="A998">
        <f>HYPERLINK("https://www.philgeps.gov.ph/GEPSNONPILOT/Tender/SplashBidNoticeAbstractUI.aspx?menuIndex=3&amp;refID=7153179&amp;Result=3","7153179")</f>
        <v>0</v>
      </c>
      <c r="B998" t="s">
        <v>534</v>
      </c>
      <c r="C998" t="s">
        <v>4736</v>
      </c>
      <c r="D998" t="s">
        <v>17979</v>
      </c>
      <c r="E998" t="s">
        <v>18995</v>
      </c>
      <c r="F998" t="s">
        <v>30900</v>
      </c>
      <c r="G998" t="s">
        <v>30909</v>
      </c>
      <c r="H998" t="s">
        <v>30916</v>
      </c>
      <c r="I998" t="s">
        <v>8365</v>
      </c>
      <c r="J998" t="s">
        <v>31833</v>
      </c>
      <c r="K998" t="s">
        <v>40288</v>
      </c>
      <c r="M998" t="s">
        <v>41094</v>
      </c>
      <c r="N998" t="s">
        <v>44759</v>
      </c>
      <c r="O998" t="s">
        <v>44760</v>
      </c>
      <c r="P998">
        <v>0</v>
      </c>
      <c r="Q998">
        <v>0</v>
      </c>
      <c r="R998" t="s">
        <v>44761</v>
      </c>
      <c r="S998" t="s">
        <v>44862</v>
      </c>
      <c r="T998" t="s">
        <v>46395</v>
      </c>
      <c r="U998" t="s">
        <v>47841</v>
      </c>
      <c r="W998" t="s">
        <v>41094</v>
      </c>
      <c r="X998" t="s">
        <v>44762</v>
      </c>
    </row>
    <row r="999" spans="1:24">
      <c r="A999">
        <f>HYPERLINK("https://www.philgeps.gov.ph/GEPSNONPILOT/Tender/SplashBidNoticeAbstractUI.aspx?menuIndex=3&amp;refID=7153084&amp;Result=3","7153084")</f>
        <v>0</v>
      </c>
      <c r="B999" t="s">
        <v>526</v>
      </c>
      <c r="C999" t="s">
        <v>4737</v>
      </c>
      <c r="D999" t="s">
        <v>17984</v>
      </c>
      <c r="E999" t="s">
        <v>18996</v>
      </c>
      <c r="F999" t="s">
        <v>30900</v>
      </c>
      <c r="G999" t="s">
        <v>30907</v>
      </c>
      <c r="H999" t="s">
        <v>30915</v>
      </c>
      <c r="I999" t="s">
        <v>30919</v>
      </c>
      <c r="J999" t="s">
        <v>31834</v>
      </c>
      <c r="K999" t="s">
        <v>40291</v>
      </c>
      <c r="M999" t="s">
        <v>41086</v>
      </c>
      <c r="N999" t="s">
        <v>44759</v>
      </c>
      <c r="O999" t="s">
        <v>44760</v>
      </c>
      <c r="P999">
        <v>0</v>
      </c>
      <c r="Q999">
        <v>0</v>
      </c>
      <c r="R999" t="s">
        <v>44761</v>
      </c>
      <c r="S999" t="s">
        <v>44862</v>
      </c>
      <c r="T999" t="s">
        <v>46405</v>
      </c>
      <c r="U999" t="s">
        <v>47824</v>
      </c>
      <c r="W999" t="s">
        <v>41086</v>
      </c>
      <c r="X999" t="s">
        <v>44762</v>
      </c>
    </row>
    <row r="1000" spans="1:24">
      <c r="A1000">
        <f>HYPERLINK("https://www.philgeps.gov.ph/GEPSNONPILOT/Tender/SplashBidNoticeAbstractUI.aspx?menuIndex=3&amp;refID=7153177&amp;Result=3","7153177")</f>
        <v>0</v>
      </c>
      <c r="B1000" t="s">
        <v>366</v>
      </c>
      <c r="C1000" t="s">
        <v>4738</v>
      </c>
      <c r="D1000" t="s">
        <v>17977</v>
      </c>
      <c r="E1000" t="s">
        <v>18997</v>
      </c>
      <c r="F1000" t="s">
        <v>30900</v>
      </c>
      <c r="G1000" t="s">
        <v>30908</v>
      </c>
      <c r="H1000" t="s">
        <v>30917</v>
      </c>
      <c r="I1000" t="s">
        <v>30939</v>
      </c>
      <c r="J1000" t="s">
        <v>31835</v>
      </c>
      <c r="K1000" t="s">
        <v>40334</v>
      </c>
      <c r="M1000" t="s">
        <v>40920</v>
      </c>
      <c r="N1000" t="s">
        <v>44759</v>
      </c>
      <c r="O1000" t="s">
        <v>44760</v>
      </c>
      <c r="P1000">
        <v>0</v>
      </c>
      <c r="Q1000">
        <v>0</v>
      </c>
      <c r="R1000" t="s">
        <v>44761</v>
      </c>
      <c r="S1000" t="s">
        <v>44862</v>
      </c>
      <c r="T1000" t="s">
        <v>46412</v>
      </c>
      <c r="U1000" t="s">
        <v>47526</v>
      </c>
      <c r="V1000" t="s">
        <v>59238</v>
      </c>
      <c r="W1000" t="s">
        <v>40920</v>
      </c>
      <c r="X1000" t="s">
        <v>44762</v>
      </c>
    </row>
    <row r="1001" spans="1:24">
      <c r="A1001">
        <f>HYPERLINK("https://www.philgeps.gov.ph/GEPSNONPILOT/Tender/SplashBidNoticeAbstractUI.aspx?menuIndex=3&amp;refID=7153176&amp;Result=3","7153176")</f>
        <v>0</v>
      </c>
      <c r="B1001" t="s">
        <v>535</v>
      </c>
      <c r="C1001" t="s">
        <v>4739</v>
      </c>
      <c r="D1001" t="s">
        <v>17959</v>
      </c>
      <c r="E1001" t="s">
        <v>18998</v>
      </c>
      <c r="F1001" t="s">
        <v>30900</v>
      </c>
      <c r="G1001" t="s">
        <v>30908</v>
      </c>
      <c r="H1001" t="s">
        <v>30916</v>
      </c>
      <c r="I1001" t="s">
        <v>8123</v>
      </c>
      <c r="J1001" t="s">
        <v>31836</v>
      </c>
      <c r="K1001" t="s">
        <v>40283</v>
      </c>
      <c r="M1001" t="s">
        <v>41095</v>
      </c>
      <c r="N1001" t="s">
        <v>44759</v>
      </c>
      <c r="O1001" t="s">
        <v>44760</v>
      </c>
      <c r="P1001">
        <v>0</v>
      </c>
      <c r="Q1001">
        <v>0</v>
      </c>
      <c r="R1001" t="s">
        <v>44761</v>
      </c>
      <c r="S1001" t="s">
        <v>44862</v>
      </c>
      <c r="T1001" t="s">
        <v>46409</v>
      </c>
      <c r="U1001" t="s">
        <v>47842</v>
      </c>
      <c r="W1001" t="s">
        <v>60830</v>
      </c>
      <c r="X1001" t="s">
        <v>44762</v>
      </c>
    </row>
    <row r="1002" spans="1:24">
      <c r="A1002">
        <f>HYPERLINK("https://www.philgeps.gov.ph/GEPSNONPILOT/Tender/SplashBidNoticeAbstractUI.aspx?menuIndex=3&amp;refID=7153174&amp;Result=3","7153174")</f>
        <v>0</v>
      </c>
      <c r="B1002" t="s">
        <v>536</v>
      </c>
      <c r="C1002" t="s">
        <v>4740</v>
      </c>
      <c r="E1002" t="s">
        <v>18999</v>
      </c>
      <c r="F1002" t="s">
        <v>30900</v>
      </c>
      <c r="G1002" t="s">
        <v>30908</v>
      </c>
      <c r="H1002" t="s">
        <v>30916</v>
      </c>
      <c r="I1002" t="s">
        <v>30931</v>
      </c>
      <c r="J1002" t="s">
        <v>31490</v>
      </c>
      <c r="K1002" t="s">
        <v>40289</v>
      </c>
      <c r="M1002" t="s">
        <v>41096</v>
      </c>
      <c r="N1002" t="s">
        <v>44759</v>
      </c>
      <c r="O1002" t="s">
        <v>44760</v>
      </c>
      <c r="P1002">
        <v>0</v>
      </c>
      <c r="Q1002">
        <v>0</v>
      </c>
      <c r="R1002" t="s">
        <v>44761</v>
      </c>
      <c r="S1002" t="s">
        <v>44862</v>
      </c>
      <c r="T1002" t="s">
        <v>46382</v>
      </c>
      <c r="U1002" t="s">
        <v>47843</v>
      </c>
      <c r="W1002" t="s">
        <v>41096</v>
      </c>
      <c r="X1002" t="s">
        <v>44762</v>
      </c>
    </row>
    <row r="1003" spans="1:24">
      <c r="A1003">
        <f>HYPERLINK("https://www.philgeps.gov.ph/GEPSNONPILOT/Tender/SplashBidNoticeAbstractUI.aspx?menuIndex=3&amp;refID=7153171&amp;Result=3","7153171")</f>
        <v>0</v>
      </c>
      <c r="B1003" t="s">
        <v>514</v>
      </c>
      <c r="C1003" t="s">
        <v>4741</v>
      </c>
      <c r="D1003" t="s">
        <v>17975</v>
      </c>
      <c r="E1003" t="s">
        <v>19000</v>
      </c>
      <c r="F1003" t="s">
        <v>30900</v>
      </c>
      <c r="G1003" t="s">
        <v>30908</v>
      </c>
      <c r="H1003" t="s">
        <v>30916</v>
      </c>
      <c r="I1003" t="s">
        <v>30924</v>
      </c>
      <c r="J1003" t="s">
        <v>31096</v>
      </c>
      <c r="K1003" t="s">
        <v>40283</v>
      </c>
      <c r="M1003" t="s">
        <v>41074</v>
      </c>
      <c r="N1003" t="s">
        <v>44759</v>
      </c>
      <c r="O1003" t="s">
        <v>44760</v>
      </c>
      <c r="P1003">
        <v>0</v>
      </c>
      <c r="Q1003">
        <v>0</v>
      </c>
      <c r="R1003" t="s">
        <v>44761</v>
      </c>
      <c r="S1003" t="s">
        <v>44862</v>
      </c>
      <c r="T1003" t="s">
        <v>46376</v>
      </c>
      <c r="U1003" t="s">
        <v>47795</v>
      </c>
      <c r="W1003" t="s">
        <v>41074</v>
      </c>
      <c r="X1003" t="s">
        <v>44762</v>
      </c>
    </row>
    <row r="1004" spans="1:24">
      <c r="A1004">
        <f>HYPERLINK("https://www.philgeps.gov.ph/GEPSNONPILOT/Tender/SplashBidNoticeAbstractUI.aspx?menuIndex=3&amp;refID=7153168&amp;Result=3","7153168")</f>
        <v>0</v>
      </c>
      <c r="B1004" t="s">
        <v>537</v>
      </c>
      <c r="C1004" t="s">
        <v>4742</v>
      </c>
      <c r="D1004" t="s">
        <v>17978</v>
      </c>
      <c r="E1004" t="s">
        <v>19001</v>
      </c>
      <c r="F1004" t="s">
        <v>30900</v>
      </c>
      <c r="G1004" t="s">
        <v>30907</v>
      </c>
      <c r="H1004" t="s">
        <v>30915</v>
      </c>
      <c r="I1004" t="s">
        <v>30919</v>
      </c>
      <c r="J1004" t="s">
        <v>31837</v>
      </c>
      <c r="K1004" t="s">
        <v>40292</v>
      </c>
      <c r="M1004" t="s">
        <v>41097</v>
      </c>
      <c r="N1004" t="s">
        <v>44759</v>
      </c>
      <c r="O1004" t="s">
        <v>44760</v>
      </c>
      <c r="P1004">
        <v>0</v>
      </c>
      <c r="Q1004">
        <v>0</v>
      </c>
      <c r="R1004" t="s">
        <v>44761</v>
      </c>
      <c r="S1004" t="s">
        <v>44862</v>
      </c>
      <c r="T1004" t="s">
        <v>46456</v>
      </c>
      <c r="U1004" t="s">
        <v>47844</v>
      </c>
      <c r="V1004" t="s">
        <v>59239</v>
      </c>
      <c r="W1004" t="s">
        <v>41097</v>
      </c>
      <c r="X1004" t="s">
        <v>44762</v>
      </c>
    </row>
    <row r="1005" spans="1:24">
      <c r="A1005">
        <f>HYPERLINK("https://www.philgeps.gov.ph/GEPSNONPILOT/Tender/SplashBidNoticeAbstractUI.aspx?menuIndex=3&amp;refID=7153167&amp;Result=3","7153167")</f>
        <v>0</v>
      </c>
      <c r="B1005" t="s">
        <v>538</v>
      </c>
      <c r="C1005" t="s">
        <v>4743</v>
      </c>
      <c r="D1005" t="s">
        <v>18002</v>
      </c>
      <c r="E1005" t="s">
        <v>19002</v>
      </c>
      <c r="F1005" t="s">
        <v>30900</v>
      </c>
      <c r="G1005" t="s">
        <v>30909</v>
      </c>
      <c r="H1005" t="s">
        <v>30916</v>
      </c>
      <c r="I1005" t="s">
        <v>30960</v>
      </c>
      <c r="J1005" t="s">
        <v>31838</v>
      </c>
      <c r="K1005" t="s">
        <v>40289</v>
      </c>
      <c r="M1005" t="s">
        <v>41098</v>
      </c>
      <c r="N1005" t="s">
        <v>44759</v>
      </c>
      <c r="O1005" t="s">
        <v>44760</v>
      </c>
      <c r="P1005">
        <v>0</v>
      </c>
      <c r="Q1005">
        <v>0</v>
      </c>
      <c r="R1005" t="s">
        <v>44761</v>
      </c>
      <c r="S1005" t="s">
        <v>44862</v>
      </c>
      <c r="T1005" t="s">
        <v>46498</v>
      </c>
      <c r="U1005" t="s">
        <v>47845</v>
      </c>
      <c r="W1005" t="s">
        <v>41098</v>
      </c>
      <c r="X1005" t="s">
        <v>44762</v>
      </c>
    </row>
    <row r="1006" spans="1:24">
      <c r="A1006">
        <f>HYPERLINK("https://www.philgeps.gov.ph/GEPSNONPILOT/Tender/SplashBidNoticeAbstractUI.aspx?menuIndex=3&amp;refID=7153166&amp;Result=3","7153166")</f>
        <v>0</v>
      </c>
      <c r="B1006" t="s">
        <v>539</v>
      </c>
      <c r="C1006" t="s">
        <v>4744</v>
      </c>
      <c r="D1006" t="s">
        <v>17984</v>
      </c>
      <c r="E1006" t="s">
        <v>19003</v>
      </c>
      <c r="F1006" t="s">
        <v>30900</v>
      </c>
      <c r="G1006" t="s">
        <v>30907</v>
      </c>
      <c r="H1006" t="s">
        <v>30915</v>
      </c>
      <c r="I1006" t="s">
        <v>30919</v>
      </c>
      <c r="J1006" t="s">
        <v>31211</v>
      </c>
      <c r="K1006" t="s">
        <v>40311</v>
      </c>
      <c r="M1006" t="s">
        <v>41099</v>
      </c>
      <c r="N1006" t="s">
        <v>44759</v>
      </c>
      <c r="O1006" t="s">
        <v>44760</v>
      </c>
      <c r="P1006">
        <v>0</v>
      </c>
      <c r="Q1006">
        <v>0</v>
      </c>
      <c r="R1006" t="s">
        <v>44761</v>
      </c>
      <c r="S1006" t="s">
        <v>44862</v>
      </c>
      <c r="T1006" t="s">
        <v>46405</v>
      </c>
      <c r="U1006" t="s">
        <v>47846</v>
      </c>
      <c r="W1006" t="s">
        <v>41099</v>
      </c>
      <c r="X1006" t="s">
        <v>44762</v>
      </c>
    </row>
    <row r="1007" spans="1:24">
      <c r="A1007">
        <f>HYPERLINK("https://www.philgeps.gov.ph/GEPSNONPILOT/Tender/SplashBidNoticeAbstractUI.aspx?menuIndex=3&amp;refID=7153164&amp;Result=3","7153164")</f>
        <v>0</v>
      </c>
      <c r="B1007" t="s">
        <v>261</v>
      </c>
      <c r="C1007" t="s">
        <v>4745</v>
      </c>
      <c r="E1007" t="s">
        <v>19004</v>
      </c>
      <c r="F1007" t="s">
        <v>30900</v>
      </c>
      <c r="G1007" t="s">
        <v>30907</v>
      </c>
      <c r="H1007" t="s">
        <v>30915</v>
      </c>
      <c r="I1007" t="s">
        <v>30919</v>
      </c>
      <c r="J1007" t="s">
        <v>31839</v>
      </c>
      <c r="K1007" t="s">
        <v>40304</v>
      </c>
      <c r="M1007" t="s">
        <v>40808</v>
      </c>
      <c r="N1007" t="s">
        <v>44759</v>
      </c>
      <c r="O1007" t="s">
        <v>44760</v>
      </c>
      <c r="P1007">
        <v>0</v>
      </c>
      <c r="Q1007">
        <v>0</v>
      </c>
      <c r="R1007" t="s">
        <v>44761</v>
      </c>
      <c r="S1007" t="s">
        <v>44862</v>
      </c>
      <c r="T1007" t="s">
        <v>46350</v>
      </c>
      <c r="U1007" t="s">
        <v>47847</v>
      </c>
      <c r="V1007" t="s">
        <v>59157</v>
      </c>
      <c r="W1007" t="s">
        <v>40808</v>
      </c>
      <c r="X1007" t="s">
        <v>44762</v>
      </c>
    </row>
    <row r="1008" spans="1:24">
      <c r="A1008">
        <f>HYPERLINK("https://www.philgeps.gov.ph/GEPSNONPILOT/Tender/SplashBidNoticeAbstractUI.aspx?menuIndex=3&amp;refID=7153078&amp;Result=3","7153078")</f>
        <v>0</v>
      </c>
      <c r="B1008" t="s">
        <v>315</v>
      </c>
      <c r="C1008" t="s">
        <v>4746</v>
      </c>
      <c r="D1008" t="s">
        <v>17977</v>
      </c>
      <c r="E1008" t="s">
        <v>19005</v>
      </c>
      <c r="F1008" t="s">
        <v>30900</v>
      </c>
      <c r="G1008" t="s">
        <v>30908</v>
      </c>
      <c r="H1008" t="s">
        <v>30916</v>
      </c>
      <c r="I1008" t="s">
        <v>30949</v>
      </c>
      <c r="J1008" t="s">
        <v>31101</v>
      </c>
      <c r="K1008" t="s">
        <v>40289</v>
      </c>
      <c r="M1008" t="s">
        <v>40866</v>
      </c>
      <c r="N1008" t="s">
        <v>44759</v>
      </c>
      <c r="O1008" t="s">
        <v>44760</v>
      </c>
      <c r="P1008">
        <v>0</v>
      </c>
      <c r="Q1008">
        <v>0</v>
      </c>
      <c r="R1008" t="s">
        <v>44761</v>
      </c>
      <c r="S1008" t="s">
        <v>44862</v>
      </c>
      <c r="T1008" t="s">
        <v>46357</v>
      </c>
      <c r="U1008" t="s">
        <v>47848</v>
      </c>
      <c r="V1008" t="s">
        <v>59240</v>
      </c>
      <c r="W1008" t="s">
        <v>40866</v>
      </c>
      <c r="X1008" t="s">
        <v>44762</v>
      </c>
    </row>
    <row r="1009" spans="1:24">
      <c r="A1009">
        <f>HYPERLINK("https://www.philgeps.gov.ph/GEPSNONPILOT/Tender/SplashBidNoticeAbstractUI.aspx?menuIndex=3&amp;refID=7153163&amp;Result=3","7153163")</f>
        <v>0</v>
      </c>
      <c r="B1009" t="s">
        <v>376</v>
      </c>
      <c r="C1009" t="s">
        <v>4747</v>
      </c>
      <c r="E1009" t="s">
        <v>19006</v>
      </c>
      <c r="F1009" t="s">
        <v>30900</v>
      </c>
      <c r="G1009" t="s">
        <v>30907</v>
      </c>
      <c r="H1009" t="s">
        <v>30916</v>
      </c>
      <c r="I1009" t="s">
        <v>8365</v>
      </c>
      <c r="J1009" t="s">
        <v>31669</v>
      </c>
      <c r="K1009" t="s">
        <v>40287</v>
      </c>
      <c r="M1009" t="s">
        <v>40930</v>
      </c>
      <c r="N1009" t="s">
        <v>44759</v>
      </c>
      <c r="O1009" t="s">
        <v>44760</v>
      </c>
      <c r="P1009">
        <v>0</v>
      </c>
      <c r="Q1009">
        <v>0</v>
      </c>
      <c r="R1009" t="s">
        <v>44761</v>
      </c>
      <c r="S1009" t="s">
        <v>44862</v>
      </c>
      <c r="T1009" t="s">
        <v>46352</v>
      </c>
      <c r="U1009" t="s">
        <v>47549</v>
      </c>
      <c r="W1009" t="s">
        <v>40930</v>
      </c>
      <c r="X1009" t="s">
        <v>44762</v>
      </c>
    </row>
    <row r="1010" spans="1:24">
      <c r="A1010">
        <f>HYPERLINK("https://www.philgeps.gov.ph/GEPSNONPILOT/Tender/SplashBidNoticeAbstractUI.aspx?menuIndex=3&amp;refID=7153162&amp;Result=3","7153162")</f>
        <v>0</v>
      </c>
      <c r="B1010" t="s">
        <v>507</v>
      </c>
      <c r="C1010" t="s">
        <v>4748</v>
      </c>
      <c r="D1010" t="s">
        <v>18005</v>
      </c>
      <c r="E1010" t="s">
        <v>19007</v>
      </c>
      <c r="F1010" t="s">
        <v>30900</v>
      </c>
      <c r="G1010" t="s">
        <v>30908</v>
      </c>
      <c r="H1010" t="s">
        <v>30916</v>
      </c>
      <c r="I1010" t="s">
        <v>5830</v>
      </c>
      <c r="J1010" t="s">
        <v>31840</v>
      </c>
      <c r="K1010" t="s">
        <v>40289</v>
      </c>
      <c r="M1010" t="s">
        <v>41067</v>
      </c>
      <c r="N1010" t="s">
        <v>44759</v>
      </c>
      <c r="O1010" t="s">
        <v>44760</v>
      </c>
      <c r="P1010">
        <v>0</v>
      </c>
      <c r="Q1010">
        <v>0</v>
      </c>
      <c r="R1010" t="s">
        <v>44761</v>
      </c>
      <c r="S1010" t="s">
        <v>44862</v>
      </c>
      <c r="T1010" t="s">
        <v>46390</v>
      </c>
      <c r="U1010" t="s">
        <v>47849</v>
      </c>
      <c r="V1010" t="s">
        <v>59230</v>
      </c>
      <c r="W1010" t="s">
        <v>60828</v>
      </c>
      <c r="X1010" t="s">
        <v>44762</v>
      </c>
    </row>
    <row r="1011" spans="1:24">
      <c r="A1011">
        <f>HYPERLINK("https://www.philgeps.gov.ph/GEPSNONPILOT/Tender/SplashBidNoticeAbstractUI.aspx?menuIndex=3&amp;refID=7153159&amp;Result=3","7153159")</f>
        <v>0</v>
      </c>
      <c r="B1011" t="s">
        <v>532</v>
      </c>
      <c r="C1011" t="s">
        <v>4749</v>
      </c>
      <c r="D1011" t="s">
        <v>17966</v>
      </c>
      <c r="E1011" t="s">
        <v>19008</v>
      </c>
      <c r="F1011" t="s">
        <v>30900</v>
      </c>
      <c r="G1011" t="s">
        <v>30910</v>
      </c>
      <c r="H1011" t="s">
        <v>30916</v>
      </c>
      <c r="I1011" t="s">
        <v>8123</v>
      </c>
      <c r="J1011" t="s">
        <v>31841</v>
      </c>
      <c r="K1011" t="s">
        <v>40287</v>
      </c>
      <c r="M1011" t="s">
        <v>41092</v>
      </c>
      <c r="N1011" t="s">
        <v>44759</v>
      </c>
      <c r="O1011" t="s">
        <v>44760</v>
      </c>
      <c r="P1011">
        <v>0</v>
      </c>
      <c r="Q1011">
        <v>0</v>
      </c>
      <c r="R1011" t="s">
        <v>44761</v>
      </c>
      <c r="S1011" t="s">
        <v>44862</v>
      </c>
      <c r="T1011" t="s">
        <v>46412</v>
      </c>
      <c r="U1011" t="s">
        <v>47850</v>
      </c>
      <c r="W1011" t="s">
        <v>41092</v>
      </c>
      <c r="X1011" t="s">
        <v>44762</v>
      </c>
    </row>
    <row r="1012" spans="1:24">
      <c r="A1012">
        <f>HYPERLINK("https://www.philgeps.gov.ph/GEPSNONPILOT/Tender/SplashBidNoticeAbstractUI.aspx?menuIndex=3&amp;refID=7153140&amp;Result=3","7153140")</f>
        <v>0</v>
      </c>
      <c r="B1012" t="s">
        <v>540</v>
      </c>
      <c r="C1012" t="s">
        <v>4750</v>
      </c>
      <c r="D1012" t="s">
        <v>17980</v>
      </c>
      <c r="E1012" t="s">
        <v>19009</v>
      </c>
      <c r="F1012" t="s">
        <v>30900</v>
      </c>
      <c r="G1012" t="s">
        <v>30909</v>
      </c>
      <c r="H1012" t="s">
        <v>30916</v>
      </c>
      <c r="I1012" t="s">
        <v>5501</v>
      </c>
      <c r="J1012" t="s">
        <v>31842</v>
      </c>
      <c r="K1012" t="s">
        <v>40289</v>
      </c>
      <c r="M1012" t="s">
        <v>41100</v>
      </c>
      <c r="N1012" t="s">
        <v>44759</v>
      </c>
      <c r="O1012" t="s">
        <v>44760</v>
      </c>
      <c r="P1012">
        <v>0</v>
      </c>
      <c r="Q1012">
        <v>0</v>
      </c>
      <c r="R1012" t="s">
        <v>44761</v>
      </c>
      <c r="S1012" t="s">
        <v>44862</v>
      </c>
      <c r="T1012" t="s">
        <v>46499</v>
      </c>
      <c r="U1012" t="s">
        <v>47851</v>
      </c>
      <c r="W1012" t="s">
        <v>41100</v>
      </c>
      <c r="X1012" t="s">
        <v>44762</v>
      </c>
    </row>
    <row r="1013" spans="1:24">
      <c r="A1013">
        <f>HYPERLINK("https://www.philgeps.gov.ph/GEPSNONPILOT/Tender/SplashBidNoticeAbstractUI.aspx?menuIndex=3&amp;refID=7153138&amp;Result=3","7153138")</f>
        <v>0</v>
      </c>
      <c r="B1013" t="s">
        <v>541</v>
      </c>
      <c r="C1013" t="s">
        <v>4751</v>
      </c>
      <c r="D1013" t="s">
        <v>17977</v>
      </c>
      <c r="E1013" t="s">
        <v>18306</v>
      </c>
      <c r="F1013" t="s">
        <v>30900</v>
      </c>
      <c r="G1013" t="s">
        <v>30907</v>
      </c>
      <c r="H1013" t="s">
        <v>30915</v>
      </c>
      <c r="I1013" t="s">
        <v>30922</v>
      </c>
      <c r="J1013" t="s">
        <v>31552</v>
      </c>
      <c r="K1013" t="s">
        <v>40287</v>
      </c>
      <c r="M1013" t="s">
        <v>41101</v>
      </c>
      <c r="N1013" t="s">
        <v>44759</v>
      </c>
      <c r="O1013" t="s">
        <v>44760</v>
      </c>
      <c r="P1013">
        <v>0</v>
      </c>
      <c r="Q1013">
        <v>0</v>
      </c>
      <c r="R1013" t="s">
        <v>44761</v>
      </c>
      <c r="S1013" t="s">
        <v>44862</v>
      </c>
      <c r="T1013" t="s">
        <v>46445</v>
      </c>
      <c r="U1013" t="s">
        <v>47852</v>
      </c>
      <c r="W1013" t="s">
        <v>41101</v>
      </c>
      <c r="X1013" t="s">
        <v>44762</v>
      </c>
    </row>
    <row r="1014" spans="1:24">
      <c r="A1014">
        <f>HYPERLINK("https://www.philgeps.gov.ph/GEPSNONPILOT/Tender/SplashBidNoticeAbstractUI.aspx?menuIndex=3&amp;refID=7153137&amp;Result=3","7153137")</f>
        <v>0</v>
      </c>
      <c r="B1014" t="s">
        <v>542</v>
      </c>
      <c r="C1014" t="s">
        <v>4752</v>
      </c>
      <c r="D1014" t="s">
        <v>17992</v>
      </c>
      <c r="E1014" t="s">
        <v>19010</v>
      </c>
      <c r="F1014" t="s">
        <v>30900</v>
      </c>
      <c r="G1014" t="s">
        <v>30907</v>
      </c>
      <c r="H1014" t="s">
        <v>30916</v>
      </c>
      <c r="I1014" t="s">
        <v>30960</v>
      </c>
      <c r="J1014" t="s">
        <v>31843</v>
      </c>
      <c r="K1014" t="s">
        <v>40292</v>
      </c>
      <c r="M1014" t="s">
        <v>41102</v>
      </c>
      <c r="N1014" t="s">
        <v>44759</v>
      </c>
      <c r="O1014" t="s">
        <v>44760</v>
      </c>
      <c r="P1014">
        <v>0</v>
      </c>
      <c r="Q1014">
        <v>0</v>
      </c>
      <c r="R1014" t="s">
        <v>44761</v>
      </c>
      <c r="S1014" t="s">
        <v>44862</v>
      </c>
      <c r="T1014" t="s">
        <v>46377</v>
      </c>
      <c r="U1014" t="s">
        <v>47853</v>
      </c>
      <c r="W1014" t="s">
        <v>41102</v>
      </c>
      <c r="X1014" t="s">
        <v>44762</v>
      </c>
    </row>
    <row r="1015" spans="1:24">
      <c r="A1015">
        <f>HYPERLINK("https://www.philgeps.gov.ph/GEPSNONPILOT/Tender/SplashBidNoticeAbstractUI.aspx?menuIndex=3&amp;refID=7153136&amp;Result=3","7153136")</f>
        <v>0</v>
      </c>
      <c r="B1015" t="s">
        <v>223</v>
      </c>
      <c r="C1015" t="s">
        <v>4753</v>
      </c>
      <c r="E1015" t="s">
        <v>19011</v>
      </c>
      <c r="F1015" t="s">
        <v>30900</v>
      </c>
      <c r="G1015" t="s">
        <v>30907</v>
      </c>
      <c r="H1015" t="s">
        <v>30916</v>
      </c>
      <c r="I1015" t="s">
        <v>30960</v>
      </c>
      <c r="J1015" t="s">
        <v>31844</v>
      </c>
      <c r="K1015" t="s">
        <v>40289</v>
      </c>
      <c r="M1015" t="s">
        <v>41103</v>
      </c>
      <c r="N1015" t="s">
        <v>44759</v>
      </c>
      <c r="O1015" t="s">
        <v>44760</v>
      </c>
      <c r="P1015">
        <v>0</v>
      </c>
      <c r="Q1015">
        <v>0</v>
      </c>
      <c r="R1015" t="s">
        <v>44761</v>
      </c>
      <c r="S1015" t="s">
        <v>44862</v>
      </c>
      <c r="T1015" t="s">
        <v>46500</v>
      </c>
      <c r="U1015" t="s">
        <v>47854</v>
      </c>
      <c r="W1015" t="s">
        <v>41103</v>
      </c>
      <c r="X1015" t="s">
        <v>44762</v>
      </c>
    </row>
    <row r="1016" spans="1:24">
      <c r="A1016">
        <f>HYPERLINK("https://www.philgeps.gov.ph/GEPSNONPILOT/Tender/SplashBidNoticeAbstractUI.aspx?menuIndex=3&amp;refID=7153135&amp;Result=3","7153135")</f>
        <v>0</v>
      </c>
      <c r="B1016" t="s">
        <v>524</v>
      </c>
      <c r="C1016" t="s">
        <v>4754</v>
      </c>
      <c r="D1016" t="s">
        <v>17959</v>
      </c>
      <c r="E1016" t="s">
        <v>19012</v>
      </c>
      <c r="F1016" t="s">
        <v>30900</v>
      </c>
      <c r="G1016" t="s">
        <v>30906</v>
      </c>
      <c r="H1016" t="s">
        <v>30916</v>
      </c>
      <c r="I1016" t="s">
        <v>30918</v>
      </c>
      <c r="J1016" t="s">
        <v>31845</v>
      </c>
      <c r="K1016" t="s">
        <v>40289</v>
      </c>
      <c r="M1016" t="s">
        <v>41084</v>
      </c>
      <c r="N1016" t="s">
        <v>44759</v>
      </c>
      <c r="O1016" t="s">
        <v>44760</v>
      </c>
      <c r="P1016">
        <v>0</v>
      </c>
      <c r="Q1016">
        <v>0</v>
      </c>
      <c r="R1016" t="s">
        <v>44761</v>
      </c>
      <c r="S1016" t="s">
        <v>44862</v>
      </c>
      <c r="T1016" t="s">
        <v>46409</v>
      </c>
      <c r="U1016" t="s">
        <v>47835</v>
      </c>
      <c r="W1016" t="s">
        <v>41084</v>
      </c>
      <c r="X1016" t="s">
        <v>44762</v>
      </c>
    </row>
    <row r="1017" spans="1:24">
      <c r="A1017">
        <f>HYPERLINK("https://www.philgeps.gov.ph/GEPSNONPILOT/Tender/SplashBidNoticeAbstractUI.aspx?menuIndex=3&amp;refID=7153158&amp;Result=3","7153158")</f>
        <v>0</v>
      </c>
      <c r="B1017" t="s">
        <v>543</v>
      </c>
      <c r="C1017" t="s">
        <v>4755</v>
      </c>
      <c r="D1017" t="s">
        <v>17978</v>
      </c>
      <c r="E1017" t="s">
        <v>19013</v>
      </c>
      <c r="F1017" t="s">
        <v>30900</v>
      </c>
      <c r="G1017" t="s">
        <v>30908</v>
      </c>
      <c r="H1017" t="s">
        <v>30916</v>
      </c>
      <c r="I1017" t="s">
        <v>30960</v>
      </c>
      <c r="J1017" t="s">
        <v>31846</v>
      </c>
      <c r="K1017" t="s">
        <v>40285</v>
      </c>
      <c r="M1017" t="s">
        <v>41104</v>
      </c>
      <c r="N1017" t="s">
        <v>44759</v>
      </c>
      <c r="O1017" t="s">
        <v>44760</v>
      </c>
      <c r="P1017">
        <v>0</v>
      </c>
      <c r="Q1017">
        <v>0</v>
      </c>
      <c r="R1017" t="s">
        <v>44761</v>
      </c>
      <c r="S1017" t="s">
        <v>44862</v>
      </c>
      <c r="T1017" t="s">
        <v>46483</v>
      </c>
      <c r="U1017" t="s">
        <v>47855</v>
      </c>
      <c r="W1017" t="s">
        <v>41104</v>
      </c>
      <c r="X1017" t="s">
        <v>44762</v>
      </c>
    </row>
    <row r="1018" spans="1:24">
      <c r="A1018">
        <f>HYPERLINK("https://www.philgeps.gov.ph/GEPSNONPILOT/Tender/SplashBidNoticeAbstractUI.aspx?menuIndex=3&amp;refID=7153173&amp;Result=3","7153173")</f>
        <v>0</v>
      </c>
      <c r="B1018" t="s">
        <v>544</v>
      </c>
      <c r="C1018" t="s">
        <v>4355</v>
      </c>
      <c r="D1018" t="s">
        <v>17972</v>
      </c>
      <c r="E1018" t="s">
        <v>18417</v>
      </c>
      <c r="F1018" t="s">
        <v>30900</v>
      </c>
      <c r="G1018" t="s">
        <v>30907</v>
      </c>
      <c r="H1018" t="s">
        <v>30916</v>
      </c>
      <c r="I1018" t="s">
        <v>4545</v>
      </c>
      <c r="J1018" t="s">
        <v>31847</v>
      </c>
      <c r="K1018" t="s">
        <v>40287</v>
      </c>
      <c r="M1018" t="s">
        <v>41105</v>
      </c>
      <c r="N1018" t="s">
        <v>44759</v>
      </c>
      <c r="O1018" t="s">
        <v>44760</v>
      </c>
      <c r="P1018">
        <v>0</v>
      </c>
      <c r="Q1018">
        <v>0</v>
      </c>
      <c r="R1018" t="s">
        <v>44761</v>
      </c>
      <c r="S1018" t="s">
        <v>44862</v>
      </c>
      <c r="T1018" t="s">
        <v>46377</v>
      </c>
      <c r="U1018" t="s">
        <v>47856</v>
      </c>
      <c r="V1018" t="s">
        <v>59241</v>
      </c>
      <c r="W1018" t="s">
        <v>41105</v>
      </c>
      <c r="X1018" t="s">
        <v>44762</v>
      </c>
    </row>
    <row r="1019" spans="1:24">
      <c r="A1019">
        <f>HYPERLINK("https://www.philgeps.gov.ph/GEPSNONPILOT/Tender/SplashBidNoticeAbstractUI.aspx?menuIndex=3&amp;refID=7153204&amp;Result=3","7153204")</f>
        <v>0</v>
      </c>
      <c r="B1019" t="s">
        <v>518</v>
      </c>
      <c r="C1019" t="s">
        <v>4756</v>
      </c>
      <c r="D1019" t="s">
        <v>17951</v>
      </c>
      <c r="E1019" t="s">
        <v>18158</v>
      </c>
      <c r="F1019" t="s">
        <v>30900</v>
      </c>
      <c r="G1019" t="s">
        <v>30907</v>
      </c>
      <c r="H1019" t="s">
        <v>30915</v>
      </c>
      <c r="I1019" t="s">
        <v>30919</v>
      </c>
      <c r="J1019" t="s">
        <v>31848</v>
      </c>
      <c r="K1019" t="s">
        <v>40292</v>
      </c>
      <c r="M1019" t="s">
        <v>41078</v>
      </c>
      <c r="N1019" t="s">
        <v>44759</v>
      </c>
      <c r="O1019" t="s">
        <v>44760</v>
      </c>
      <c r="P1019">
        <v>0</v>
      </c>
      <c r="Q1019">
        <v>0</v>
      </c>
      <c r="R1019" t="s">
        <v>44761</v>
      </c>
      <c r="S1019" t="s">
        <v>44862</v>
      </c>
      <c r="T1019" t="s">
        <v>46497</v>
      </c>
      <c r="U1019" t="s">
        <v>47805</v>
      </c>
      <c r="W1019" t="s">
        <v>41078</v>
      </c>
      <c r="X1019" t="s">
        <v>44762</v>
      </c>
    </row>
    <row r="1020" spans="1:24">
      <c r="A1020">
        <f>HYPERLINK("https://www.philgeps.gov.ph/GEPSNONPILOT/Tender/SplashBidNoticeAbstractUI.aspx?menuIndex=3&amp;refID=7153189&amp;Result=3","7153189")</f>
        <v>0</v>
      </c>
      <c r="B1020" t="s">
        <v>537</v>
      </c>
      <c r="C1020" t="s">
        <v>4757</v>
      </c>
      <c r="D1020" t="s">
        <v>17978</v>
      </c>
      <c r="E1020" t="s">
        <v>19014</v>
      </c>
      <c r="F1020" t="s">
        <v>30900</v>
      </c>
      <c r="G1020" t="s">
        <v>30907</v>
      </c>
      <c r="H1020" t="s">
        <v>30915</v>
      </c>
      <c r="I1020" t="s">
        <v>30922</v>
      </c>
      <c r="J1020" t="s">
        <v>31849</v>
      </c>
      <c r="K1020" t="s">
        <v>40292</v>
      </c>
      <c r="M1020" t="s">
        <v>41097</v>
      </c>
      <c r="N1020" t="s">
        <v>44759</v>
      </c>
      <c r="O1020" t="s">
        <v>44760</v>
      </c>
      <c r="P1020">
        <v>0</v>
      </c>
      <c r="Q1020">
        <v>0</v>
      </c>
      <c r="R1020" t="s">
        <v>44761</v>
      </c>
      <c r="S1020" t="s">
        <v>44862</v>
      </c>
      <c r="T1020" t="s">
        <v>46456</v>
      </c>
      <c r="U1020" t="s">
        <v>47857</v>
      </c>
      <c r="V1020" t="s">
        <v>59239</v>
      </c>
      <c r="W1020" t="s">
        <v>41097</v>
      </c>
      <c r="X1020" t="s">
        <v>44762</v>
      </c>
    </row>
    <row r="1021" spans="1:24">
      <c r="A1021">
        <f>HYPERLINK("https://www.philgeps.gov.ph/GEPSNONPILOT/Tender/SplashBidNoticeAbstractUI.aspx?menuIndex=3&amp;refID=7153203&amp;Result=3","7153203")</f>
        <v>0</v>
      </c>
      <c r="B1021" t="s">
        <v>543</v>
      </c>
      <c r="C1021" t="s">
        <v>4758</v>
      </c>
      <c r="D1021" t="s">
        <v>17978</v>
      </c>
      <c r="E1021" t="s">
        <v>4758</v>
      </c>
      <c r="F1021" t="s">
        <v>30900</v>
      </c>
      <c r="G1021" t="s">
        <v>30908</v>
      </c>
      <c r="H1021" t="s">
        <v>30916</v>
      </c>
      <c r="I1021" t="s">
        <v>8365</v>
      </c>
      <c r="J1021" t="s">
        <v>31850</v>
      </c>
      <c r="K1021" t="s">
        <v>40285</v>
      </c>
      <c r="M1021" t="s">
        <v>41104</v>
      </c>
      <c r="N1021" t="s">
        <v>44759</v>
      </c>
      <c r="O1021" t="s">
        <v>44760</v>
      </c>
      <c r="P1021">
        <v>0</v>
      </c>
      <c r="Q1021">
        <v>0</v>
      </c>
      <c r="R1021" t="s">
        <v>44761</v>
      </c>
      <c r="S1021" t="s">
        <v>44862</v>
      </c>
      <c r="T1021" t="s">
        <v>46483</v>
      </c>
      <c r="U1021" t="s">
        <v>47858</v>
      </c>
      <c r="W1021" t="s">
        <v>41104</v>
      </c>
      <c r="X1021" t="s">
        <v>44762</v>
      </c>
    </row>
    <row r="1022" spans="1:24">
      <c r="A1022">
        <f>HYPERLINK("https://www.philgeps.gov.ph/GEPSNONPILOT/Tender/SplashBidNoticeAbstractUI.aspx?menuIndex=3&amp;refID=7153153&amp;Result=3","7153153")</f>
        <v>0</v>
      </c>
      <c r="B1022" t="s">
        <v>130</v>
      </c>
      <c r="C1022" t="s">
        <v>4759</v>
      </c>
      <c r="D1022" t="s">
        <v>17979</v>
      </c>
      <c r="E1022" t="s">
        <v>19015</v>
      </c>
      <c r="F1022" t="s">
        <v>30900</v>
      </c>
      <c r="G1022" t="s">
        <v>30908</v>
      </c>
      <c r="H1022" t="s">
        <v>30916</v>
      </c>
      <c r="I1022" t="s">
        <v>10602</v>
      </c>
      <c r="J1022" t="s">
        <v>31851</v>
      </c>
      <c r="K1022" t="s">
        <v>40315</v>
      </c>
      <c r="M1022" t="s">
        <v>40677</v>
      </c>
      <c r="N1022" t="s">
        <v>44759</v>
      </c>
      <c r="O1022" t="s">
        <v>44760</v>
      </c>
      <c r="P1022">
        <v>0</v>
      </c>
      <c r="Q1022">
        <v>0</v>
      </c>
      <c r="R1022" t="s">
        <v>44761</v>
      </c>
      <c r="S1022" t="s">
        <v>44862</v>
      </c>
      <c r="T1022" t="s">
        <v>46376</v>
      </c>
      <c r="U1022" t="s">
        <v>47859</v>
      </c>
      <c r="W1022" t="s">
        <v>40677</v>
      </c>
      <c r="X1022" t="s">
        <v>44762</v>
      </c>
    </row>
    <row r="1023" spans="1:24">
      <c r="A1023">
        <f>HYPERLINK("https://www.philgeps.gov.ph/GEPSNONPILOT/Tender/SplashBidNoticeAbstractUI.aspx?menuIndex=3&amp;refID=7153200&amp;Result=3","7153200")</f>
        <v>0</v>
      </c>
      <c r="B1023" t="s">
        <v>523</v>
      </c>
      <c r="C1023" t="s">
        <v>4760</v>
      </c>
      <c r="E1023" t="s">
        <v>19016</v>
      </c>
      <c r="F1023" t="s">
        <v>30900</v>
      </c>
      <c r="G1023" t="s">
        <v>30908</v>
      </c>
      <c r="H1023" t="s">
        <v>30916</v>
      </c>
      <c r="I1023" t="s">
        <v>9385</v>
      </c>
      <c r="J1023" t="s">
        <v>31050</v>
      </c>
      <c r="K1023" t="s">
        <v>40286</v>
      </c>
      <c r="M1023" t="s">
        <v>41083</v>
      </c>
      <c r="N1023" t="s">
        <v>44759</v>
      </c>
      <c r="O1023" t="s">
        <v>44760</v>
      </c>
      <c r="P1023">
        <v>0</v>
      </c>
      <c r="Q1023">
        <v>0</v>
      </c>
      <c r="R1023" t="s">
        <v>44761</v>
      </c>
      <c r="S1023" t="s">
        <v>44862</v>
      </c>
      <c r="T1023" t="s">
        <v>46356</v>
      </c>
      <c r="U1023" t="s">
        <v>47860</v>
      </c>
      <c r="W1023" t="s">
        <v>42805</v>
      </c>
      <c r="X1023" t="s">
        <v>44762</v>
      </c>
    </row>
    <row r="1024" spans="1:24">
      <c r="A1024">
        <f>HYPERLINK("https://www.philgeps.gov.ph/GEPSNONPILOT/Tender/SplashBidNoticeAbstractUI.aspx?menuIndex=3&amp;refID=7153198&amp;Result=3","7153198")</f>
        <v>0</v>
      </c>
      <c r="B1024" t="s">
        <v>261</v>
      </c>
      <c r="C1024" t="s">
        <v>4761</v>
      </c>
      <c r="E1024" t="s">
        <v>19017</v>
      </c>
      <c r="F1024" t="s">
        <v>30900</v>
      </c>
      <c r="G1024" t="s">
        <v>30907</v>
      </c>
      <c r="H1024" t="s">
        <v>30915</v>
      </c>
      <c r="I1024" t="s">
        <v>30919</v>
      </c>
      <c r="J1024" t="s">
        <v>31852</v>
      </c>
      <c r="K1024" t="s">
        <v>40341</v>
      </c>
      <c r="M1024" t="s">
        <v>40808</v>
      </c>
      <c r="N1024" t="s">
        <v>44759</v>
      </c>
      <c r="O1024" t="s">
        <v>44760</v>
      </c>
      <c r="P1024">
        <v>0</v>
      </c>
      <c r="Q1024">
        <v>0</v>
      </c>
      <c r="R1024" t="s">
        <v>44761</v>
      </c>
      <c r="S1024" t="s">
        <v>44862</v>
      </c>
      <c r="T1024" t="s">
        <v>46350</v>
      </c>
      <c r="U1024" t="s">
        <v>47861</v>
      </c>
      <c r="V1024" t="s">
        <v>59157</v>
      </c>
      <c r="W1024" t="s">
        <v>40808</v>
      </c>
      <c r="X1024" t="s">
        <v>44762</v>
      </c>
    </row>
    <row r="1025" spans="1:24">
      <c r="A1025">
        <f>HYPERLINK("https://www.philgeps.gov.ph/GEPSNONPILOT/Tender/SplashBidNoticeAbstractUI.aspx?menuIndex=3&amp;refID=7153196&amp;Result=3","7153196")</f>
        <v>0</v>
      </c>
      <c r="B1025" t="s">
        <v>219</v>
      </c>
      <c r="C1025" t="s">
        <v>4108</v>
      </c>
      <c r="D1025" t="s">
        <v>17955</v>
      </c>
      <c r="E1025" t="s">
        <v>19018</v>
      </c>
      <c r="F1025" t="s">
        <v>30900</v>
      </c>
      <c r="G1025" t="s">
        <v>30908</v>
      </c>
      <c r="H1025" t="s">
        <v>30916</v>
      </c>
      <c r="I1025" t="s">
        <v>4108</v>
      </c>
      <c r="J1025" t="s">
        <v>31853</v>
      </c>
      <c r="K1025" t="s">
        <v>40286</v>
      </c>
      <c r="M1025" t="s">
        <v>40766</v>
      </c>
      <c r="N1025" t="s">
        <v>44759</v>
      </c>
      <c r="O1025" t="s">
        <v>44760</v>
      </c>
      <c r="P1025">
        <v>0</v>
      </c>
      <c r="Q1025">
        <v>0</v>
      </c>
      <c r="R1025" t="s">
        <v>44761</v>
      </c>
      <c r="S1025" t="s">
        <v>44862</v>
      </c>
      <c r="T1025" t="s">
        <v>46412</v>
      </c>
      <c r="U1025" t="s">
        <v>47862</v>
      </c>
      <c r="W1025" t="s">
        <v>40766</v>
      </c>
      <c r="X1025" t="s">
        <v>44762</v>
      </c>
    </row>
    <row r="1026" spans="1:24">
      <c r="A1026">
        <f>HYPERLINK("https://www.philgeps.gov.ph/GEPSNONPILOT/Tender/SplashBidNoticeAbstractUI.aspx?menuIndex=3&amp;refID=7153206&amp;Result=3","7153206")</f>
        <v>0</v>
      </c>
      <c r="B1026" t="s">
        <v>219</v>
      </c>
      <c r="C1026" t="s">
        <v>4108</v>
      </c>
      <c r="D1026" t="s">
        <v>17955</v>
      </c>
      <c r="E1026" t="s">
        <v>19019</v>
      </c>
      <c r="F1026" t="s">
        <v>30900</v>
      </c>
      <c r="G1026" t="s">
        <v>30908</v>
      </c>
      <c r="H1026" t="s">
        <v>30916</v>
      </c>
      <c r="I1026" t="s">
        <v>4108</v>
      </c>
      <c r="J1026" t="s">
        <v>31854</v>
      </c>
      <c r="K1026" t="s">
        <v>40283</v>
      </c>
      <c r="M1026" t="s">
        <v>40766</v>
      </c>
      <c r="N1026" t="s">
        <v>44759</v>
      </c>
      <c r="O1026" t="s">
        <v>44760</v>
      </c>
      <c r="P1026">
        <v>0</v>
      </c>
      <c r="Q1026">
        <v>0</v>
      </c>
      <c r="R1026" t="s">
        <v>44761</v>
      </c>
      <c r="S1026" t="s">
        <v>44862</v>
      </c>
      <c r="T1026" t="s">
        <v>46412</v>
      </c>
      <c r="U1026" t="s">
        <v>47863</v>
      </c>
      <c r="W1026" t="s">
        <v>40766</v>
      </c>
      <c r="X1026" t="s">
        <v>44762</v>
      </c>
    </row>
    <row r="1027" spans="1:24">
      <c r="A1027">
        <f>HYPERLINK("https://www.philgeps.gov.ph/GEPSNONPILOT/Tender/SplashBidNoticeAbstractUI.aspx?menuIndex=3&amp;refID=7153195&amp;Result=3","7153195")</f>
        <v>0</v>
      </c>
      <c r="B1027" t="s">
        <v>545</v>
      </c>
      <c r="C1027" t="s">
        <v>4762</v>
      </c>
      <c r="E1027" t="s">
        <v>19020</v>
      </c>
      <c r="F1027" t="s">
        <v>30900</v>
      </c>
      <c r="G1027" t="s">
        <v>30907</v>
      </c>
      <c r="H1027" t="s">
        <v>30916</v>
      </c>
      <c r="I1027" t="s">
        <v>30924</v>
      </c>
      <c r="J1027" t="s">
        <v>31855</v>
      </c>
      <c r="K1027" t="s">
        <v>40289</v>
      </c>
      <c r="M1027" t="s">
        <v>41106</v>
      </c>
      <c r="N1027" t="s">
        <v>44759</v>
      </c>
      <c r="O1027" t="s">
        <v>44760</v>
      </c>
      <c r="P1027">
        <v>0</v>
      </c>
      <c r="Q1027">
        <v>0</v>
      </c>
      <c r="R1027" t="s">
        <v>44761</v>
      </c>
      <c r="S1027" t="s">
        <v>44862</v>
      </c>
      <c r="T1027" t="s">
        <v>46369</v>
      </c>
      <c r="U1027" t="s">
        <v>47864</v>
      </c>
      <c r="W1027" t="s">
        <v>41106</v>
      </c>
      <c r="X1027" t="s">
        <v>44762</v>
      </c>
    </row>
    <row r="1028" spans="1:24">
      <c r="A1028">
        <f>HYPERLINK("https://www.philgeps.gov.ph/GEPSNONPILOT/Tender/SplashBidNoticeAbstractUI.aspx?menuIndex=3&amp;refID=7153202&amp;Result=3","7153202")</f>
        <v>0</v>
      </c>
      <c r="B1028" t="s">
        <v>191</v>
      </c>
      <c r="C1028" t="s">
        <v>4763</v>
      </c>
      <c r="D1028" t="s">
        <v>17998</v>
      </c>
      <c r="E1028" t="s">
        <v>19021</v>
      </c>
      <c r="F1028" t="s">
        <v>30900</v>
      </c>
      <c r="G1028" t="s">
        <v>30908</v>
      </c>
      <c r="H1028" t="s">
        <v>30917</v>
      </c>
      <c r="I1028" t="s">
        <v>6953</v>
      </c>
      <c r="J1028" t="s">
        <v>31856</v>
      </c>
      <c r="K1028" t="s">
        <v>40287</v>
      </c>
      <c r="M1028" t="s">
        <v>40738</v>
      </c>
      <c r="N1028" t="s">
        <v>44759</v>
      </c>
      <c r="O1028" t="s">
        <v>44760</v>
      </c>
      <c r="P1028">
        <v>0</v>
      </c>
      <c r="Q1028">
        <v>0</v>
      </c>
      <c r="R1028" t="s">
        <v>44761</v>
      </c>
      <c r="S1028" t="s">
        <v>44862</v>
      </c>
      <c r="T1028" t="s">
        <v>46434</v>
      </c>
      <c r="U1028" t="s">
        <v>47865</v>
      </c>
      <c r="V1028" t="s">
        <v>59242</v>
      </c>
      <c r="W1028" t="s">
        <v>40738</v>
      </c>
      <c r="X1028" t="s">
        <v>44762</v>
      </c>
    </row>
    <row r="1029" spans="1:24">
      <c r="A1029">
        <f>HYPERLINK("https://www.philgeps.gov.ph/GEPSNONPILOT/Tender/SplashBidNoticeAbstractUI.aspx?menuIndex=3&amp;refID=7153156&amp;Result=3","7153156")</f>
        <v>0</v>
      </c>
      <c r="B1029" t="s">
        <v>546</v>
      </c>
      <c r="C1029" t="s">
        <v>4764</v>
      </c>
      <c r="D1029" t="s">
        <v>17961</v>
      </c>
      <c r="E1029" t="s">
        <v>19022</v>
      </c>
      <c r="F1029" t="s">
        <v>30900</v>
      </c>
      <c r="G1029" t="s">
        <v>30907</v>
      </c>
      <c r="H1029" t="s">
        <v>30915</v>
      </c>
      <c r="I1029" t="s">
        <v>30919</v>
      </c>
      <c r="J1029" t="s">
        <v>31857</v>
      </c>
      <c r="K1029" t="s">
        <v>40283</v>
      </c>
      <c r="M1029" t="s">
        <v>41107</v>
      </c>
      <c r="N1029" t="s">
        <v>44759</v>
      </c>
      <c r="O1029" t="s">
        <v>44760</v>
      </c>
      <c r="P1029">
        <v>0</v>
      </c>
      <c r="Q1029">
        <v>0</v>
      </c>
      <c r="R1029" t="s">
        <v>44761</v>
      </c>
      <c r="S1029" t="s">
        <v>44862</v>
      </c>
      <c r="T1029" t="s">
        <v>46361</v>
      </c>
      <c r="U1029" t="s">
        <v>47866</v>
      </c>
      <c r="V1029" t="s">
        <v>59243</v>
      </c>
      <c r="W1029" t="s">
        <v>41107</v>
      </c>
      <c r="X1029" t="s">
        <v>44762</v>
      </c>
    </row>
    <row r="1030" spans="1:24">
      <c r="A1030">
        <f>HYPERLINK("https://www.philgeps.gov.ph/GEPSNONPILOT/Tender/SplashBidNoticeAbstractUI.aspx?menuIndex=3&amp;refID=7153212&amp;Result=3","7153212")</f>
        <v>0</v>
      </c>
      <c r="B1030" t="s">
        <v>547</v>
      </c>
      <c r="C1030" t="s">
        <v>4765</v>
      </c>
      <c r="D1030" t="s">
        <v>17952</v>
      </c>
      <c r="E1030" t="s">
        <v>19023</v>
      </c>
      <c r="F1030" t="s">
        <v>30900</v>
      </c>
      <c r="G1030" t="s">
        <v>30907</v>
      </c>
      <c r="H1030" t="s">
        <v>30915</v>
      </c>
      <c r="I1030" t="s">
        <v>30919</v>
      </c>
      <c r="J1030" t="s">
        <v>31858</v>
      </c>
      <c r="K1030" t="s">
        <v>40328</v>
      </c>
      <c r="M1030" t="s">
        <v>41108</v>
      </c>
      <c r="N1030" t="s">
        <v>44759</v>
      </c>
      <c r="O1030" t="s">
        <v>44760</v>
      </c>
      <c r="P1030">
        <v>0</v>
      </c>
      <c r="Q1030">
        <v>0</v>
      </c>
      <c r="R1030" t="s">
        <v>44761</v>
      </c>
      <c r="S1030" t="s">
        <v>44862</v>
      </c>
      <c r="T1030" t="s">
        <v>46495</v>
      </c>
      <c r="U1030" t="s">
        <v>47867</v>
      </c>
      <c r="W1030" t="s">
        <v>41108</v>
      </c>
      <c r="X1030" t="s">
        <v>44762</v>
      </c>
    </row>
    <row r="1031" spans="1:24">
      <c r="A1031">
        <f>HYPERLINK("https://www.philgeps.gov.ph/GEPSNONPILOT/Tender/SplashBidNoticeAbstractUI.aspx?menuIndex=3&amp;refID=7153197&amp;Result=3","7153197")</f>
        <v>0</v>
      </c>
      <c r="B1031" t="s">
        <v>535</v>
      </c>
      <c r="C1031" t="s">
        <v>4766</v>
      </c>
      <c r="D1031" t="s">
        <v>17959</v>
      </c>
      <c r="E1031" t="s">
        <v>19024</v>
      </c>
      <c r="F1031" t="s">
        <v>30900</v>
      </c>
      <c r="G1031" t="s">
        <v>30908</v>
      </c>
      <c r="H1031" t="s">
        <v>30916</v>
      </c>
      <c r="I1031" t="s">
        <v>8123</v>
      </c>
      <c r="J1031" t="s">
        <v>31859</v>
      </c>
      <c r="K1031" t="s">
        <v>40283</v>
      </c>
      <c r="M1031" t="s">
        <v>41095</v>
      </c>
      <c r="N1031" t="s">
        <v>44759</v>
      </c>
      <c r="O1031" t="s">
        <v>44760</v>
      </c>
      <c r="P1031">
        <v>0</v>
      </c>
      <c r="Q1031">
        <v>0</v>
      </c>
      <c r="R1031" t="s">
        <v>44761</v>
      </c>
      <c r="S1031" t="s">
        <v>44862</v>
      </c>
      <c r="T1031" t="s">
        <v>46409</v>
      </c>
      <c r="U1031" t="s">
        <v>47868</v>
      </c>
      <c r="W1031" t="s">
        <v>60830</v>
      </c>
      <c r="X1031" t="s">
        <v>44762</v>
      </c>
    </row>
    <row r="1032" spans="1:24">
      <c r="A1032">
        <f>HYPERLINK("https://www.philgeps.gov.ph/GEPSNONPILOT/Tender/SplashBidNoticeAbstractUI.aspx?menuIndex=3&amp;refID=7153210&amp;Result=3","7153210")</f>
        <v>0</v>
      </c>
      <c r="B1032" t="s">
        <v>548</v>
      </c>
      <c r="C1032" t="s">
        <v>4767</v>
      </c>
      <c r="D1032" t="s">
        <v>17999</v>
      </c>
      <c r="E1032" t="s">
        <v>19025</v>
      </c>
      <c r="F1032" t="s">
        <v>30900</v>
      </c>
      <c r="G1032" t="s">
        <v>30907</v>
      </c>
      <c r="H1032" t="s">
        <v>30915</v>
      </c>
      <c r="I1032" t="s">
        <v>30919</v>
      </c>
      <c r="J1032" t="s">
        <v>31202</v>
      </c>
      <c r="K1032" t="s">
        <v>40294</v>
      </c>
      <c r="M1032" t="s">
        <v>41109</v>
      </c>
      <c r="N1032" t="s">
        <v>44759</v>
      </c>
      <c r="O1032" t="s">
        <v>44760</v>
      </c>
      <c r="P1032">
        <v>0</v>
      </c>
      <c r="Q1032">
        <v>0</v>
      </c>
      <c r="R1032" t="s">
        <v>44761</v>
      </c>
      <c r="S1032" t="s">
        <v>44862</v>
      </c>
      <c r="T1032" t="s">
        <v>46501</v>
      </c>
      <c r="U1032" t="s">
        <v>47869</v>
      </c>
      <c r="W1032" t="s">
        <v>41109</v>
      </c>
      <c r="X1032" t="s">
        <v>44762</v>
      </c>
    </row>
    <row r="1033" spans="1:24">
      <c r="A1033">
        <f>HYPERLINK("https://www.philgeps.gov.ph/GEPSNONPILOT/Tender/SplashBidNoticeAbstractUI.aspx?menuIndex=3&amp;refID=7153207&amp;Result=3","7153207")</f>
        <v>0</v>
      </c>
      <c r="B1033" t="s">
        <v>549</v>
      </c>
      <c r="C1033" t="s">
        <v>4768</v>
      </c>
      <c r="D1033" t="s">
        <v>17963</v>
      </c>
      <c r="E1033" t="s">
        <v>19026</v>
      </c>
      <c r="F1033" t="s">
        <v>30900</v>
      </c>
      <c r="G1033" t="s">
        <v>30909</v>
      </c>
      <c r="H1033" t="s">
        <v>30916</v>
      </c>
      <c r="I1033" t="s">
        <v>8365</v>
      </c>
      <c r="J1033" t="s">
        <v>31860</v>
      </c>
      <c r="K1033" t="s">
        <v>40284</v>
      </c>
      <c r="M1033" t="s">
        <v>41110</v>
      </c>
      <c r="N1033" t="s">
        <v>44759</v>
      </c>
      <c r="O1033" t="s">
        <v>44760</v>
      </c>
      <c r="P1033">
        <v>0</v>
      </c>
      <c r="Q1033">
        <v>0</v>
      </c>
      <c r="R1033" t="s">
        <v>44761</v>
      </c>
      <c r="S1033" t="s">
        <v>44862</v>
      </c>
      <c r="T1033" t="s">
        <v>46379</v>
      </c>
      <c r="U1033" t="s">
        <v>47870</v>
      </c>
      <c r="V1033" t="s">
        <v>59244</v>
      </c>
      <c r="W1033" t="s">
        <v>41110</v>
      </c>
      <c r="X1033" t="s">
        <v>44762</v>
      </c>
    </row>
    <row r="1034" spans="1:24">
      <c r="A1034">
        <f>HYPERLINK("https://www.philgeps.gov.ph/GEPSNONPILOT/Tender/SplashBidNoticeAbstractUI.aspx?menuIndex=3&amp;refID=7153209&amp;Result=3","7153209")</f>
        <v>0</v>
      </c>
      <c r="B1034" t="s">
        <v>544</v>
      </c>
      <c r="C1034" t="s">
        <v>4769</v>
      </c>
      <c r="D1034" t="s">
        <v>17972</v>
      </c>
      <c r="E1034" t="s">
        <v>18872</v>
      </c>
      <c r="F1034" t="s">
        <v>30900</v>
      </c>
      <c r="G1034" t="s">
        <v>30909</v>
      </c>
      <c r="H1034" t="s">
        <v>30916</v>
      </c>
      <c r="I1034" t="s">
        <v>8044</v>
      </c>
      <c r="J1034" t="s">
        <v>31861</v>
      </c>
      <c r="K1034" t="s">
        <v>40287</v>
      </c>
      <c r="M1034" t="s">
        <v>41105</v>
      </c>
      <c r="N1034" t="s">
        <v>44759</v>
      </c>
      <c r="O1034" t="s">
        <v>44760</v>
      </c>
      <c r="P1034">
        <v>0</v>
      </c>
      <c r="Q1034">
        <v>0</v>
      </c>
      <c r="R1034" t="s">
        <v>44761</v>
      </c>
      <c r="S1034" t="s">
        <v>44862</v>
      </c>
      <c r="T1034" t="s">
        <v>46357</v>
      </c>
      <c r="U1034" t="s">
        <v>47871</v>
      </c>
      <c r="W1034" t="s">
        <v>41105</v>
      </c>
      <c r="X1034" t="s">
        <v>44762</v>
      </c>
    </row>
    <row r="1035" spans="1:24">
      <c r="A1035">
        <f>HYPERLINK("https://www.philgeps.gov.ph/GEPSNONPILOT/Tender/SplashBidNoticeAbstractUI.aspx?menuIndex=3&amp;refID=7153191&amp;Result=3","7153191")</f>
        <v>0</v>
      </c>
      <c r="B1035" t="s">
        <v>343</v>
      </c>
      <c r="C1035" t="s">
        <v>4770</v>
      </c>
      <c r="D1035" t="s">
        <v>17994</v>
      </c>
      <c r="E1035" t="s">
        <v>19027</v>
      </c>
      <c r="F1035" t="s">
        <v>30900</v>
      </c>
      <c r="G1035" t="s">
        <v>30909</v>
      </c>
      <c r="H1035" t="s">
        <v>30916</v>
      </c>
      <c r="I1035" t="s">
        <v>6396</v>
      </c>
      <c r="J1035" t="s">
        <v>31238</v>
      </c>
      <c r="K1035" t="s">
        <v>40291</v>
      </c>
      <c r="M1035" t="s">
        <v>40896</v>
      </c>
      <c r="N1035" t="s">
        <v>44759</v>
      </c>
      <c r="O1035" t="s">
        <v>44760</v>
      </c>
      <c r="P1035">
        <v>0</v>
      </c>
      <c r="Q1035">
        <v>0</v>
      </c>
      <c r="R1035" t="s">
        <v>44761</v>
      </c>
      <c r="S1035" t="s">
        <v>44862</v>
      </c>
      <c r="T1035" t="s">
        <v>46409</v>
      </c>
      <c r="U1035" t="s">
        <v>47872</v>
      </c>
      <c r="W1035" t="s">
        <v>40896</v>
      </c>
      <c r="X1035" t="s">
        <v>44762</v>
      </c>
    </row>
    <row r="1036" spans="1:24">
      <c r="A1036">
        <f>HYPERLINK("https://www.philgeps.gov.ph/GEPSNONPILOT/Tender/SplashBidNoticeAbstractUI.aspx?menuIndex=3&amp;refID=7153193&amp;Result=3","7153193")</f>
        <v>0</v>
      </c>
      <c r="B1036" t="s">
        <v>515</v>
      </c>
      <c r="C1036" t="s">
        <v>4771</v>
      </c>
      <c r="D1036" t="s">
        <v>17966</v>
      </c>
      <c r="E1036" t="s">
        <v>19028</v>
      </c>
      <c r="F1036" t="s">
        <v>30900</v>
      </c>
      <c r="G1036" t="s">
        <v>30908</v>
      </c>
      <c r="H1036" t="s">
        <v>30916</v>
      </c>
      <c r="I1036" t="s">
        <v>4545</v>
      </c>
      <c r="J1036" t="s">
        <v>31862</v>
      </c>
      <c r="K1036" t="s">
        <v>40286</v>
      </c>
      <c r="M1036" t="s">
        <v>41075</v>
      </c>
      <c r="N1036" t="s">
        <v>44759</v>
      </c>
      <c r="O1036" t="s">
        <v>44760</v>
      </c>
      <c r="P1036">
        <v>0</v>
      </c>
      <c r="Q1036">
        <v>0</v>
      </c>
      <c r="R1036" t="s">
        <v>44761</v>
      </c>
      <c r="S1036" t="s">
        <v>44862</v>
      </c>
      <c r="T1036" t="s">
        <v>46357</v>
      </c>
      <c r="U1036" t="s">
        <v>47873</v>
      </c>
      <c r="W1036" t="s">
        <v>60829</v>
      </c>
      <c r="X1036" t="s">
        <v>44762</v>
      </c>
    </row>
    <row r="1037" spans="1:24">
      <c r="A1037">
        <f>HYPERLINK("https://www.philgeps.gov.ph/GEPSNONPILOT/Tender/SplashBidNoticeAbstractUI.aspx?menuIndex=3&amp;refID=7153090&amp;Result=3","7153090")</f>
        <v>0</v>
      </c>
      <c r="B1037" t="s">
        <v>550</v>
      </c>
      <c r="C1037" t="s">
        <v>4772</v>
      </c>
      <c r="D1037" t="s">
        <v>17994</v>
      </c>
      <c r="E1037" t="s">
        <v>19029</v>
      </c>
      <c r="F1037" t="s">
        <v>30900</v>
      </c>
      <c r="G1037" t="s">
        <v>30908</v>
      </c>
      <c r="H1037" t="s">
        <v>30916</v>
      </c>
      <c r="I1037" t="s">
        <v>6408</v>
      </c>
      <c r="J1037" t="s">
        <v>31863</v>
      </c>
      <c r="K1037" t="s">
        <v>40287</v>
      </c>
      <c r="M1037" t="s">
        <v>41111</v>
      </c>
      <c r="N1037" t="s">
        <v>44759</v>
      </c>
      <c r="O1037" t="s">
        <v>44760</v>
      </c>
      <c r="P1037">
        <v>0</v>
      </c>
      <c r="Q1037">
        <v>0</v>
      </c>
      <c r="R1037" t="s">
        <v>44761</v>
      </c>
      <c r="S1037" t="s">
        <v>44862</v>
      </c>
      <c r="T1037" t="s">
        <v>46357</v>
      </c>
      <c r="U1037" t="s">
        <v>47874</v>
      </c>
      <c r="V1037" t="s">
        <v>59245</v>
      </c>
      <c r="W1037" t="s">
        <v>41111</v>
      </c>
      <c r="X1037" t="s">
        <v>44762</v>
      </c>
    </row>
    <row r="1038" spans="1:24">
      <c r="A1038">
        <f>HYPERLINK("https://www.philgeps.gov.ph/GEPSNONPILOT/Tender/SplashBidNoticeAbstractUI.aspx?menuIndex=3&amp;refID=7153187&amp;Result=3","7153187")</f>
        <v>0</v>
      </c>
      <c r="B1038" t="s">
        <v>551</v>
      </c>
      <c r="C1038" t="s">
        <v>4773</v>
      </c>
      <c r="D1038" t="s">
        <v>18004</v>
      </c>
      <c r="E1038" t="s">
        <v>19030</v>
      </c>
      <c r="F1038" t="s">
        <v>30900</v>
      </c>
      <c r="G1038" t="s">
        <v>30908</v>
      </c>
      <c r="H1038" t="s">
        <v>30916</v>
      </c>
      <c r="I1038" t="s">
        <v>4545</v>
      </c>
      <c r="J1038" t="s">
        <v>31043</v>
      </c>
      <c r="K1038" t="s">
        <v>40285</v>
      </c>
      <c r="M1038" t="s">
        <v>41112</v>
      </c>
      <c r="N1038" t="s">
        <v>44759</v>
      </c>
      <c r="O1038" t="s">
        <v>44760</v>
      </c>
      <c r="P1038">
        <v>0</v>
      </c>
      <c r="Q1038">
        <v>0</v>
      </c>
      <c r="R1038" t="s">
        <v>44761</v>
      </c>
      <c r="S1038" t="s">
        <v>44862</v>
      </c>
      <c r="T1038" t="s">
        <v>46357</v>
      </c>
      <c r="U1038" t="s">
        <v>47875</v>
      </c>
      <c r="W1038" t="s">
        <v>41112</v>
      </c>
      <c r="X1038" t="s">
        <v>44762</v>
      </c>
    </row>
    <row r="1039" spans="1:24">
      <c r="A1039">
        <f>HYPERLINK("https://www.philgeps.gov.ph/GEPSNONPILOT/Tender/SplashBidNoticeAbstractUI.aspx?menuIndex=3&amp;refID=7153211&amp;Result=3","7153211")</f>
        <v>0</v>
      </c>
      <c r="B1039" t="s">
        <v>552</v>
      </c>
      <c r="C1039" t="s">
        <v>4774</v>
      </c>
      <c r="D1039" t="s">
        <v>18002</v>
      </c>
      <c r="E1039" t="s">
        <v>19031</v>
      </c>
      <c r="F1039" t="s">
        <v>30900</v>
      </c>
      <c r="G1039" t="s">
        <v>30908</v>
      </c>
      <c r="H1039" t="s">
        <v>30915</v>
      </c>
      <c r="I1039" t="s">
        <v>30919</v>
      </c>
      <c r="J1039" t="s">
        <v>31864</v>
      </c>
      <c r="K1039" t="s">
        <v>40283</v>
      </c>
      <c r="M1039" t="s">
        <v>41113</v>
      </c>
      <c r="N1039" t="s">
        <v>44759</v>
      </c>
      <c r="O1039" t="s">
        <v>44760</v>
      </c>
      <c r="P1039">
        <v>0</v>
      </c>
      <c r="Q1039">
        <v>0</v>
      </c>
      <c r="R1039" t="s">
        <v>44761</v>
      </c>
      <c r="S1039" t="s">
        <v>44862</v>
      </c>
      <c r="T1039" t="s">
        <v>46502</v>
      </c>
      <c r="U1039" t="s">
        <v>47876</v>
      </c>
      <c r="W1039" t="s">
        <v>41113</v>
      </c>
      <c r="X1039" t="s">
        <v>44762</v>
      </c>
    </row>
    <row r="1040" spans="1:24">
      <c r="A1040">
        <f>HYPERLINK("https://www.philgeps.gov.ph/GEPSNONPILOT/Tender/SplashBidNoticeAbstractUI.aspx?menuIndex=3&amp;refID=7153208&amp;Result=3","7153208")</f>
        <v>0</v>
      </c>
      <c r="B1040" t="s">
        <v>535</v>
      </c>
      <c r="C1040" t="s">
        <v>4775</v>
      </c>
      <c r="D1040" t="s">
        <v>17959</v>
      </c>
      <c r="E1040" t="s">
        <v>19032</v>
      </c>
      <c r="F1040" t="s">
        <v>30900</v>
      </c>
      <c r="G1040" t="s">
        <v>30908</v>
      </c>
      <c r="H1040" t="s">
        <v>30916</v>
      </c>
      <c r="I1040" t="s">
        <v>8123</v>
      </c>
      <c r="J1040" t="s">
        <v>31865</v>
      </c>
      <c r="K1040" t="s">
        <v>40283</v>
      </c>
      <c r="M1040" t="s">
        <v>41095</v>
      </c>
      <c r="N1040" t="s">
        <v>44759</v>
      </c>
      <c r="O1040" t="s">
        <v>44760</v>
      </c>
      <c r="P1040">
        <v>0</v>
      </c>
      <c r="Q1040">
        <v>0</v>
      </c>
      <c r="R1040" t="s">
        <v>44761</v>
      </c>
      <c r="S1040" t="s">
        <v>44862</v>
      </c>
      <c r="T1040" t="s">
        <v>46409</v>
      </c>
      <c r="U1040" t="s">
        <v>47877</v>
      </c>
      <c r="W1040" t="s">
        <v>60830</v>
      </c>
      <c r="X1040" t="s">
        <v>44762</v>
      </c>
    </row>
    <row r="1041" spans="1:24">
      <c r="A1041">
        <f>HYPERLINK("https://www.philgeps.gov.ph/GEPSNONPILOT/Tender/SplashBidNoticeAbstractUI.aspx?menuIndex=3&amp;refID=7153192&amp;Result=3","7153192")</f>
        <v>0</v>
      </c>
      <c r="B1041" t="s">
        <v>130</v>
      </c>
      <c r="C1041" t="s">
        <v>4776</v>
      </c>
      <c r="D1041" t="s">
        <v>17979</v>
      </c>
      <c r="E1041" t="s">
        <v>19033</v>
      </c>
      <c r="F1041" t="s">
        <v>30900</v>
      </c>
      <c r="G1041" t="s">
        <v>30908</v>
      </c>
      <c r="H1041" t="s">
        <v>30916</v>
      </c>
      <c r="I1041" t="s">
        <v>30982</v>
      </c>
      <c r="J1041" t="s">
        <v>31866</v>
      </c>
      <c r="K1041" t="s">
        <v>40315</v>
      </c>
      <c r="M1041" t="s">
        <v>40677</v>
      </c>
      <c r="N1041" t="s">
        <v>44759</v>
      </c>
      <c r="O1041" t="s">
        <v>44760</v>
      </c>
      <c r="P1041">
        <v>0</v>
      </c>
      <c r="Q1041">
        <v>0</v>
      </c>
      <c r="R1041" t="s">
        <v>44761</v>
      </c>
      <c r="S1041" t="s">
        <v>44862</v>
      </c>
      <c r="T1041" t="s">
        <v>46376</v>
      </c>
      <c r="U1041" t="s">
        <v>47878</v>
      </c>
      <c r="W1041" t="s">
        <v>40677</v>
      </c>
      <c r="X1041" t="s">
        <v>44762</v>
      </c>
    </row>
    <row r="1042" spans="1:24">
      <c r="A1042">
        <f>HYPERLINK("https://www.philgeps.gov.ph/GEPSNONPILOT/Tender/SplashBidNoticeAbstractUI.aspx?menuIndex=3&amp;refID=7153221&amp;Result=3","7153221")</f>
        <v>0</v>
      </c>
      <c r="B1042" t="s">
        <v>553</v>
      </c>
      <c r="C1042" t="s">
        <v>4777</v>
      </c>
      <c r="D1042" t="s">
        <v>17955</v>
      </c>
      <c r="E1042" t="s">
        <v>19034</v>
      </c>
      <c r="F1042" t="s">
        <v>30900</v>
      </c>
      <c r="G1042" t="s">
        <v>30907</v>
      </c>
      <c r="H1042" t="s">
        <v>30916</v>
      </c>
      <c r="I1042" t="s">
        <v>6408</v>
      </c>
      <c r="J1042" t="s">
        <v>31867</v>
      </c>
      <c r="K1042" t="s">
        <v>40286</v>
      </c>
      <c r="M1042" t="s">
        <v>41114</v>
      </c>
      <c r="N1042" t="s">
        <v>44759</v>
      </c>
      <c r="O1042" t="s">
        <v>44760</v>
      </c>
      <c r="P1042">
        <v>0</v>
      </c>
      <c r="Q1042">
        <v>0</v>
      </c>
      <c r="R1042" t="s">
        <v>44761</v>
      </c>
      <c r="S1042" t="s">
        <v>44862</v>
      </c>
      <c r="T1042" t="s">
        <v>46458</v>
      </c>
      <c r="U1042" t="s">
        <v>47879</v>
      </c>
      <c r="W1042" t="s">
        <v>41114</v>
      </c>
      <c r="X1042" t="s">
        <v>44762</v>
      </c>
    </row>
    <row r="1043" spans="1:24">
      <c r="A1043">
        <f>HYPERLINK("https://www.philgeps.gov.ph/GEPSNONPILOT/Tender/SplashBidNoticeAbstractUI.aspx?menuIndex=3&amp;refID=7153213&amp;Result=3","7153213")</f>
        <v>0</v>
      </c>
      <c r="B1043" t="s">
        <v>261</v>
      </c>
      <c r="C1043" t="s">
        <v>4778</v>
      </c>
      <c r="E1043" t="s">
        <v>19035</v>
      </c>
      <c r="F1043" t="s">
        <v>30900</v>
      </c>
      <c r="G1043" t="s">
        <v>30907</v>
      </c>
      <c r="H1043" t="s">
        <v>30915</v>
      </c>
      <c r="I1043" t="s">
        <v>30919</v>
      </c>
      <c r="J1043" t="s">
        <v>31868</v>
      </c>
      <c r="K1043" t="s">
        <v>40342</v>
      </c>
      <c r="M1043" t="s">
        <v>40808</v>
      </c>
      <c r="N1043" t="s">
        <v>44759</v>
      </c>
      <c r="O1043" t="s">
        <v>44760</v>
      </c>
      <c r="P1043">
        <v>0</v>
      </c>
      <c r="Q1043">
        <v>0</v>
      </c>
      <c r="R1043" t="s">
        <v>44761</v>
      </c>
      <c r="S1043" t="s">
        <v>44862</v>
      </c>
      <c r="T1043" t="s">
        <v>46350</v>
      </c>
      <c r="U1043" t="s">
        <v>47880</v>
      </c>
      <c r="V1043" t="s">
        <v>59157</v>
      </c>
      <c r="W1043" t="s">
        <v>40808</v>
      </c>
      <c r="X1043" t="s">
        <v>44762</v>
      </c>
    </row>
    <row r="1044" spans="1:24">
      <c r="A1044">
        <f>HYPERLINK("https://www.philgeps.gov.ph/GEPSNONPILOT/Tender/SplashBidNoticeAbstractUI.aspx?menuIndex=3&amp;refID=7153219&amp;Result=3","7153219")</f>
        <v>0</v>
      </c>
      <c r="B1044" t="s">
        <v>497</v>
      </c>
      <c r="C1044" t="s">
        <v>4779</v>
      </c>
      <c r="D1044" t="s">
        <v>17951</v>
      </c>
      <c r="E1044" t="s">
        <v>18912</v>
      </c>
      <c r="F1044" t="s">
        <v>30900</v>
      </c>
      <c r="G1044" t="s">
        <v>30908</v>
      </c>
      <c r="H1044" t="s">
        <v>30916</v>
      </c>
      <c r="I1044" t="s">
        <v>9385</v>
      </c>
      <c r="J1044" t="s">
        <v>31067</v>
      </c>
      <c r="K1044" t="s">
        <v>40285</v>
      </c>
      <c r="M1044" t="s">
        <v>41056</v>
      </c>
      <c r="N1044" t="s">
        <v>44759</v>
      </c>
      <c r="O1044" t="s">
        <v>44760</v>
      </c>
      <c r="P1044">
        <v>0</v>
      </c>
      <c r="Q1044">
        <v>0</v>
      </c>
      <c r="R1044" t="s">
        <v>44761</v>
      </c>
      <c r="S1044" t="s">
        <v>44862</v>
      </c>
      <c r="T1044" t="s">
        <v>46357</v>
      </c>
      <c r="U1044" t="s">
        <v>47881</v>
      </c>
      <c r="W1044" t="s">
        <v>41056</v>
      </c>
      <c r="X1044" t="s">
        <v>44762</v>
      </c>
    </row>
    <row r="1045" spans="1:24">
      <c r="A1045">
        <f>HYPERLINK("https://www.philgeps.gov.ph/GEPSNONPILOT/Tender/SplashBidNoticeAbstractUI.aspx?menuIndex=3&amp;refID=7153218&amp;Result=3","7153218")</f>
        <v>0</v>
      </c>
      <c r="B1045" t="s">
        <v>554</v>
      </c>
      <c r="C1045" t="s">
        <v>4780</v>
      </c>
      <c r="D1045" t="s">
        <v>18002</v>
      </c>
      <c r="E1045" t="s">
        <v>18649</v>
      </c>
      <c r="F1045" t="s">
        <v>30900</v>
      </c>
      <c r="G1045" t="s">
        <v>30910</v>
      </c>
      <c r="H1045" t="s">
        <v>30917</v>
      </c>
      <c r="I1045" t="s">
        <v>4142</v>
      </c>
      <c r="J1045" t="s">
        <v>31585</v>
      </c>
      <c r="K1045" t="s">
        <v>40283</v>
      </c>
      <c r="M1045" t="s">
        <v>41115</v>
      </c>
      <c r="N1045" t="s">
        <v>44759</v>
      </c>
      <c r="O1045" t="s">
        <v>44760</v>
      </c>
      <c r="P1045">
        <v>0</v>
      </c>
      <c r="Q1045">
        <v>0</v>
      </c>
      <c r="R1045" t="s">
        <v>44761</v>
      </c>
      <c r="S1045" t="s">
        <v>44862</v>
      </c>
      <c r="T1045" t="s">
        <v>46404</v>
      </c>
      <c r="U1045" t="s">
        <v>47882</v>
      </c>
      <c r="W1045" t="s">
        <v>41115</v>
      </c>
      <c r="X1045" t="s">
        <v>44762</v>
      </c>
    </row>
    <row r="1046" spans="1:24">
      <c r="A1046">
        <f>HYPERLINK("https://www.philgeps.gov.ph/GEPSNONPILOT/Tender/SplashBidNoticeAbstractUI.aspx?menuIndex=3&amp;refID=7153217&amp;Result=3","7153217")</f>
        <v>0</v>
      </c>
      <c r="B1046" t="s">
        <v>555</v>
      </c>
      <c r="C1046" t="s">
        <v>4781</v>
      </c>
      <c r="D1046" t="s">
        <v>18028</v>
      </c>
      <c r="E1046" t="s">
        <v>19036</v>
      </c>
      <c r="F1046" t="s">
        <v>30900</v>
      </c>
      <c r="G1046" t="s">
        <v>30907</v>
      </c>
      <c r="H1046" t="s">
        <v>30916</v>
      </c>
      <c r="I1046" t="s">
        <v>30939</v>
      </c>
      <c r="J1046" t="s">
        <v>31869</v>
      </c>
      <c r="K1046" t="s">
        <v>40286</v>
      </c>
      <c r="M1046" t="s">
        <v>41116</v>
      </c>
      <c r="N1046" t="s">
        <v>44759</v>
      </c>
      <c r="O1046" t="s">
        <v>44760</v>
      </c>
      <c r="P1046">
        <v>0</v>
      </c>
      <c r="Q1046">
        <v>0</v>
      </c>
      <c r="R1046" t="s">
        <v>44761</v>
      </c>
      <c r="S1046" t="s">
        <v>44862</v>
      </c>
      <c r="T1046" t="s">
        <v>46422</v>
      </c>
      <c r="U1046" t="s">
        <v>47883</v>
      </c>
      <c r="V1046" t="s">
        <v>59246</v>
      </c>
      <c r="W1046" t="s">
        <v>41116</v>
      </c>
      <c r="X1046" t="s">
        <v>44762</v>
      </c>
    </row>
    <row r="1047" spans="1:24">
      <c r="A1047">
        <f>HYPERLINK("https://www.philgeps.gov.ph/GEPSNONPILOT/Tender/SplashBidNoticeAbstractUI.aspx?menuIndex=3&amp;refID=7153215&amp;Result=3","7153215")</f>
        <v>0</v>
      </c>
      <c r="B1047" t="s">
        <v>556</v>
      </c>
      <c r="C1047" t="s">
        <v>4782</v>
      </c>
      <c r="D1047" t="s">
        <v>17959</v>
      </c>
      <c r="E1047" t="s">
        <v>19037</v>
      </c>
      <c r="F1047" t="s">
        <v>30900</v>
      </c>
      <c r="G1047" t="s">
        <v>30907</v>
      </c>
      <c r="H1047" t="s">
        <v>30916</v>
      </c>
      <c r="I1047" t="s">
        <v>10847</v>
      </c>
      <c r="J1047" t="s">
        <v>31870</v>
      </c>
      <c r="K1047" t="s">
        <v>40286</v>
      </c>
      <c r="M1047" t="s">
        <v>41117</v>
      </c>
      <c r="N1047" t="s">
        <v>44759</v>
      </c>
      <c r="O1047" t="s">
        <v>44760</v>
      </c>
      <c r="P1047">
        <v>0</v>
      </c>
      <c r="Q1047">
        <v>0</v>
      </c>
      <c r="R1047" t="s">
        <v>44761</v>
      </c>
      <c r="S1047" t="s">
        <v>44862</v>
      </c>
      <c r="T1047" t="s">
        <v>46427</v>
      </c>
      <c r="U1047" t="s">
        <v>47884</v>
      </c>
      <c r="W1047" t="s">
        <v>41117</v>
      </c>
      <c r="X1047" t="s">
        <v>44762</v>
      </c>
    </row>
    <row r="1048" spans="1:24">
      <c r="A1048">
        <f>HYPERLINK("https://www.philgeps.gov.ph/GEPSNONPILOT/Tender/SplashBidNoticeAbstractUI.aspx?menuIndex=3&amp;refID=7153224&amp;Result=3","7153224")</f>
        <v>0</v>
      </c>
      <c r="B1048" t="s">
        <v>535</v>
      </c>
      <c r="C1048" t="s">
        <v>4783</v>
      </c>
      <c r="D1048" t="s">
        <v>17959</v>
      </c>
      <c r="E1048" t="s">
        <v>19038</v>
      </c>
      <c r="F1048" t="s">
        <v>30900</v>
      </c>
      <c r="G1048" t="s">
        <v>30908</v>
      </c>
      <c r="H1048" t="s">
        <v>30916</v>
      </c>
      <c r="I1048" t="s">
        <v>8123</v>
      </c>
      <c r="J1048" t="s">
        <v>31096</v>
      </c>
      <c r="K1048" t="s">
        <v>40283</v>
      </c>
      <c r="M1048" t="s">
        <v>41095</v>
      </c>
      <c r="N1048" t="s">
        <v>44759</v>
      </c>
      <c r="O1048" t="s">
        <v>44760</v>
      </c>
      <c r="P1048">
        <v>0</v>
      </c>
      <c r="Q1048">
        <v>0</v>
      </c>
      <c r="R1048" t="s">
        <v>44761</v>
      </c>
      <c r="S1048" t="s">
        <v>44862</v>
      </c>
      <c r="T1048" t="s">
        <v>46409</v>
      </c>
      <c r="U1048" t="s">
        <v>47885</v>
      </c>
      <c r="W1048" t="s">
        <v>60830</v>
      </c>
      <c r="X1048" t="s">
        <v>44762</v>
      </c>
    </row>
    <row r="1049" spans="1:24">
      <c r="A1049">
        <f>HYPERLINK("https://www.philgeps.gov.ph/GEPSNONPILOT/Tender/SplashBidNoticeAbstractUI.aspx?menuIndex=3&amp;refID=7153216&amp;Result=3","7153216")</f>
        <v>0</v>
      </c>
      <c r="B1049" t="s">
        <v>537</v>
      </c>
      <c r="C1049" t="s">
        <v>4784</v>
      </c>
      <c r="D1049" t="s">
        <v>17978</v>
      </c>
      <c r="E1049" t="s">
        <v>19039</v>
      </c>
      <c r="F1049" t="s">
        <v>30900</v>
      </c>
      <c r="G1049" t="s">
        <v>30907</v>
      </c>
      <c r="H1049" t="s">
        <v>30915</v>
      </c>
      <c r="I1049" t="s">
        <v>30919</v>
      </c>
      <c r="J1049" t="s">
        <v>31871</v>
      </c>
      <c r="K1049" t="s">
        <v>40280</v>
      </c>
      <c r="M1049" t="s">
        <v>41097</v>
      </c>
      <c r="N1049" t="s">
        <v>44759</v>
      </c>
      <c r="O1049" t="s">
        <v>44760</v>
      </c>
      <c r="P1049">
        <v>0</v>
      </c>
      <c r="Q1049">
        <v>0</v>
      </c>
      <c r="R1049" t="s">
        <v>44761</v>
      </c>
      <c r="S1049" t="s">
        <v>44862</v>
      </c>
      <c r="T1049" t="s">
        <v>46456</v>
      </c>
      <c r="U1049" t="s">
        <v>47886</v>
      </c>
      <c r="V1049" t="s">
        <v>59239</v>
      </c>
      <c r="W1049" t="s">
        <v>41097</v>
      </c>
      <c r="X1049" t="s">
        <v>44762</v>
      </c>
    </row>
    <row r="1050" spans="1:24">
      <c r="A1050">
        <f>HYPERLINK("https://www.philgeps.gov.ph/GEPSNONPILOT/Tender/SplashBidNoticeAbstractUI.aspx?menuIndex=3&amp;refID=7153233&amp;Result=3","7153233")</f>
        <v>0</v>
      </c>
      <c r="B1050" t="s">
        <v>535</v>
      </c>
      <c r="C1050" t="s">
        <v>4785</v>
      </c>
      <c r="D1050" t="s">
        <v>17959</v>
      </c>
      <c r="E1050" t="s">
        <v>19040</v>
      </c>
      <c r="F1050" t="s">
        <v>30900</v>
      </c>
      <c r="G1050" t="s">
        <v>30908</v>
      </c>
      <c r="H1050" t="s">
        <v>30916</v>
      </c>
      <c r="I1050" t="s">
        <v>8123</v>
      </c>
      <c r="J1050" t="s">
        <v>31872</v>
      </c>
      <c r="K1050" t="s">
        <v>40283</v>
      </c>
      <c r="M1050" t="s">
        <v>41095</v>
      </c>
      <c r="N1050" t="s">
        <v>44759</v>
      </c>
      <c r="O1050" t="s">
        <v>44760</v>
      </c>
      <c r="P1050">
        <v>0</v>
      </c>
      <c r="Q1050">
        <v>0</v>
      </c>
      <c r="R1050" t="s">
        <v>44761</v>
      </c>
      <c r="S1050" t="s">
        <v>44862</v>
      </c>
      <c r="T1050" t="s">
        <v>46389</v>
      </c>
      <c r="U1050" t="s">
        <v>47887</v>
      </c>
      <c r="W1050" t="s">
        <v>60830</v>
      </c>
      <c r="X1050" t="s">
        <v>44762</v>
      </c>
    </row>
    <row r="1051" spans="1:24">
      <c r="A1051">
        <f>HYPERLINK("https://www.philgeps.gov.ph/GEPSNONPILOT/Tender/SplashBidNoticeAbstractUI.aspx?menuIndex=3&amp;refID=7153232&amp;Result=3","7153232")</f>
        <v>0</v>
      </c>
      <c r="B1051" t="s">
        <v>219</v>
      </c>
      <c r="C1051" t="s">
        <v>4108</v>
      </c>
      <c r="D1051" t="s">
        <v>17955</v>
      </c>
      <c r="E1051" t="s">
        <v>19041</v>
      </c>
      <c r="F1051" t="s">
        <v>30900</v>
      </c>
      <c r="G1051" t="s">
        <v>30908</v>
      </c>
      <c r="H1051" t="s">
        <v>30916</v>
      </c>
      <c r="I1051" t="s">
        <v>4108</v>
      </c>
      <c r="J1051" t="s">
        <v>31873</v>
      </c>
      <c r="K1051" t="s">
        <v>40283</v>
      </c>
      <c r="M1051" t="s">
        <v>40766</v>
      </c>
      <c r="N1051" t="s">
        <v>44759</v>
      </c>
      <c r="O1051" t="s">
        <v>44760</v>
      </c>
      <c r="P1051">
        <v>0</v>
      </c>
      <c r="Q1051">
        <v>0</v>
      </c>
      <c r="R1051" t="s">
        <v>44761</v>
      </c>
      <c r="S1051" t="s">
        <v>44862</v>
      </c>
      <c r="T1051" t="s">
        <v>46412</v>
      </c>
      <c r="U1051" t="s">
        <v>47888</v>
      </c>
      <c r="W1051" t="s">
        <v>40766</v>
      </c>
      <c r="X1051" t="s">
        <v>44762</v>
      </c>
    </row>
    <row r="1052" spans="1:24">
      <c r="A1052">
        <f>HYPERLINK("https://www.philgeps.gov.ph/GEPSNONPILOT/Tender/SplashBidNoticeAbstractUI.aspx?menuIndex=3&amp;refID=7153214&amp;Result=3","7153214")</f>
        <v>0</v>
      </c>
      <c r="B1052" t="s">
        <v>557</v>
      </c>
      <c r="C1052" t="s">
        <v>3817</v>
      </c>
      <c r="D1052" t="s">
        <v>17961</v>
      </c>
      <c r="E1052" t="s">
        <v>19042</v>
      </c>
      <c r="F1052" t="s">
        <v>30900</v>
      </c>
      <c r="G1052" t="s">
        <v>30910</v>
      </c>
      <c r="H1052" t="s">
        <v>30916</v>
      </c>
      <c r="I1052" t="s">
        <v>5501</v>
      </c>
      <c r="J1052" t="s">
        <v>31247</v>
      </c>
      <c r="K1052" t="s">
        <v>40285</v>
      </c>
      <c r="M1052" t="s">
        <v>41118</v>
      </c>
      <c r="N1052" t="s">
        <v>44759</v>
      </c>
      <c r="O1052" t="s">
        <v>44760</v>
      </c>
      <c r="P1052">
        <v>0</v>
      </c>
      <c r="Q1052">
        <v>0</v>
      </c>
      <c r="R1052" t="s">
        <v>44761</v>
      </c>
      <c r="S1052" t="s">
        <v>44862</v>
      </c>
      <c r="T1052" t="s">
        <v>46362</v>
      </c>
      <c r="U1052" t="s">
        <v>47889</v>
      </c>
      <c r="W1052" t="s">
        <v>41118</v>
      </c>
      <c r="X1052" t="s">
        <v>44762</v>
      </c>
    </row>
    <row r="1053" spans="1:24">
      <c r="A1053">
        <f>HYPERLINK("https://www.philgeps.gov.ph/GEPSNONPILOT/Tender/SplashBidNoticeAbstractUI.aspx?menuIndex=3&amp;refID=7153231&amp;Result=3","7153231")</f>
        <v>0</v>
      </c>
      <c r="B1053" t="s">
        <v>196</v>
      </c>
      <c r="C1053" t="s">
        <v>4786</v>
      </c>
      <c r="D1053" t="s">
        <v>18002</v>
      </c>
      <c r="E1053" t="s">
        <v>19043</v>
      </c>
      <c r="F1053" t="s">
        <v>30900</v>
      </c>
      <c r="G1053" t="s">
        <v>30908</v>
      </c>
      <c r="H1053" t="s">
        <v>30916</v>
      </c>
      <c r="I1053" t="s">
        <v>30929</v>
      </c>
      <c r="J1053" t="s">
        <v>31096</v>
      </c>
      <c r="K1053" t="s">
        <v>40286</v>
      </c>
      <c r="L1053" t="s">
        <v>196</v>
      </c>
      <c r="M1053" t="s">
        <v>40743</v>
      </c>
      <c r="N1053" t="s">
        <v>44759</v>
      </c>
      <c r="O1053" t="s">
        <v>44760</v>
      </c>
      <c r="P1053">
        <v>0</v>
      </c>
      <c r="Q1053">
        <v>0</v>
      </c>
      <c r="R1053" t="s">
        <v>44761</v>
      </c>
      <c r="S1053" t="s">
        <v>44862</v>
      </c>
      <c r="T1053" t="s">
        <v>46390</v>
      </c>
      <c r="U1053" t="s">
        <v>47890</v>
      </c>
      <c r="W1053" t="s">
        <v>40743</v>
      </c>
      <c r="X1053" t="s">
        <v>44762</v>
      </c>
    </row>
    <row r="1054" spans="1:24">
      <c r="A1054">
        <f>HYPERLINK("https://www.philgeps.gov.ph/GEPSNONPILOT/Tender/SplashBidNoticeAbstractUI.aspx?menuIndex=3&amp;refID=7153222&amp;Result=3","7153222")</f>
        <v>0</v>
      </c>
      <c r="B1054" t="s">
        <v>366</v>
      </c>
      <c r="C1054" t="s">
        <v>4787</v>
      </c>
      <c r="D1054" t="s">
        <v>17977</v>
      </c>
      <c r="E1054" t="s">
        <v>19044</v>
      </c>
      <c r="F1054" t="s">
        <v>30900</v>
      </c>
      <c r="G1054" t="s">
        <v>30908</v>
      </c>
      <c r="H1054" t="s">
        <v>30916</v>
      </c>
      <c r="I1054" t="s">
        <v>4142</v>
      </c>
      <c r="J1054" t="s">
        <v>31874</v>
      </c>
      <c r="K1054" t="s">
        <v>40287</v>
      </c>
      <c r="M1054" t="s">
        <v>40920</v>
      </c>
      <c r="N1054" t="s">
        <v>44759</v>
      </c>
      <c r="O1054" t="s">
        <v>44760</v>
      </c>
      <c r="P1054">
        <v>0</v>
      </c>
      <c r="Q1054">
        <v>0</v>
      </c>
      <c r="R1054" t="s">
        <v>44761</v>
      </c>
      <c r="S1054" t="s">
        <v>44862</v>
      </c>
      <c r="T1054" t="s">
        <v>46412</v>
      </c>
      <c r="U1054" t="s">
        <v>47526</v>
      </c>
      <c r="V1054" t="s">
        <v>59247</v>
      </c>
      <c r="W1054" t="s">
        <v>40920</v>
      </c>
      <c r="X1054" t="s">
        <v>44762</v>
      </c>
    </row>
    <row r="1055" spans="1:24">
      <c r="A1055">
        <f>HYPERLINK("https://www.philgeps.gov.ph/GEPSNONPILOT/Tender/SplashBidNoticeAbstractUI.aspx?menuIndex=3&amp;refID=7153229&amp;Result=3","7153229")</f>
        <v>0</v>
      </c>
      <c r="B1055" t="s">
        <v>133</v>
      </c>
      <c r="C1055" t="s">
        <v>3972</v>
      </c>
      <c r="D1055" t="s">
        <v>17959</v>
      </c>
      <c r="E1055" t="s">
        <v>18264</v>
      </c>
      <c r="F1055" t="s">
        <v>30900</v>
      </c>
      <c r="G1055" t="s">
        <v>30907</v>
      </c>
      <c r="H1055" t="s">
        <v>30916</v>
      </c>
      <c r="I1055" t="s">
        <v>30960</v>
      </c>
      <c r="J1055" t="s">
        <v>31875</v>
      </c>
      <c r="K1055" t="s">
        <v>40286</v>
      </c>
      <c r="M1055" t="s">
        <v>40680</v>
      </c>
      <c r="N1055" t="s">
        <v>44759</v>
      </c>
      <c r="O1055" t="s">
        <v>44760</v>
      </c>
      <c r="P1055">
        <v>0</v>
      </c>
      <c r="Q1055">
        <v>0</v>
      </c>
      <c r="R1055" t="s">
        <v>44761</v>
      </c>
      <c r="S1055" t="s">
        <v>44862</v>
      </c>
      <c r="T1055" t="s">
        <v>46366</v>
      </c>
      <c r="U1055" t="s">
        <v>47891</v>
      </c>
      <c r="W1055" t="s">
        <v>40680</v>
      </c>
      <c r="X1055" t="s">
        <v>44762</v>
      </c>
    </row>
    <row r="1056" spans="1:24">
      <c r="A1056">
        <f>HYPERLINK("https://www.philgeps.gov.ph/GEPSNONPILOT/Tender/SplashBidNoticeAbstractUI.aspx?menuIndex=3&amp;refID=7153228&amp;Result=3","7153228")</f>
        <v>0</v>
      </c>
      <c r="B1056" t="s">
        <v>537</v>
      </c>
      <c r="C1056" t="s">
        <v>4788</v>
      </c>
      <c r="D1056" t="s">
        <v>17978</v>
      </c>
      <c r="E1056" t="s">
        <v>19045</v>
      </c>
      <c r="F1056" t="s">
        <v>30900</v>
      </c>
      <c r="G1056" t="s">
        <v>30907</v>
      </c>
      <c r="H1056" t="s">
        <v>30915</v>
      </c>
      <c r="I1056" t="s">
        <v>30919</v>
      </c>
      <c r="J1056" t="s">
        <v>31876</v>
      </c>
      <c r="K1056" t="s">
        <v>40280</v>
      </c>
      <c r="M1056" t="s">
        <v>41097</v>
      </c>
      <c r="N1056" t="s">
        <v>44759</v>
      </c>
      <c r="O1056" t="s">
        <v>44760</v>
      </c>
      <c r="P1056">
        <v>0</v>
      </c>
      <c r="Q1056">
        <v>0</v>
      </c>
      <c r="R1056" t="s">
        <v>44761</v>
      </c>
      <c r="S1056" t="s">
        <v>44862</v>
      </c>
      <c r="T1056" t="s">
        <v>46456</v>
      </c>
      <c r="U1056" t="s">
        <v>47892</v>
      </c>
      <c r="V1056" t="s">
        <v>59239</v>
      </c>
      <c r="W1056" t="s">
        <v>41097</v>
      </c>
      <c r="X1056" t="s">
        <v>44762</v>
      </c>
    </row>
    <row r="1057" spans="1:24">
      <c r="A1057">
        <f>HYPERLINK("https://www.philgeps.gov.ph/GEPSNONPILOT/Tender/SplashBidNoticeAbstractUI.aspx?menuIndex=3&amp;refID=7153249&amp;Result=3","7153249")</f>
        <v>0</v>
      </c>
      <c r="B1057" t="s">
        <v>535</v>
      </c>
      <c r="C1057" t="s">
        <v>4789</v>
      </c>
      <c r="D1057" t="s">
        <v>17959</v>
      </c>
      <c r="E1057" t="s">
        <v>19046</v>
      </c>
      <c r="F1057" t="s">
        <v>30900</v>
      </c>
      <c r="G1057" t="s">
        <v>30908</v>
      </c>
      <c r="H1057" t="s">
        <v>30916</v>
      </c>
      <c r="I1057" t="s">
        <v>8123</v>
      </c>
      <c r="J1057" t="s">
        <v>31877</v>
      </c>
      <c r="K1057" t="s">
        <v>40283</v>
      </c>
      <c r="M1057" t="s">
        <v>41095</v>
      </c>
      <c r="N1057" t="s">
        <v>44759</v>
      </c>
      <c r="O1057" t="s">
        <v>44760</v>
      </c>
      <c r="P1057">
        <v>0</v>
      </c>
      <c r="Q1057">
        <v>0</v>
      </c>
      <c r="R1057" t="s">
        <v>44761</v>
      </c>
      <c r="S1057" t="s">
        <v>44862</v>
      </c>
      <c r="T1057" t="s">
        <v>46409</v>
      </c>
      <c r="U1057" t="s">
        <v>47893</v>
      </c>
      <c r="W1057" t="s">
        <v>60830</v>
      </c>
      <c r="X1057" t="s">
        <v>44762</v>
      </c>
    </row>
    <row r="1058" spans="1:24">
      <c r="A1058">
        <f>HYPERLINK("https://www.philgeps.gov.ph/GEPSNONPILOT/Tender/SplashBidNoticeAbstractUI.aspx?menuIndex=3&amp;refID=7153235&amp;Result=3","7153235")</f>
        <v>0</v>
      </c>
      <c r="B1058" t="s">
        <v>497</v>
      </c>
      <c r="C1058" t="s">
        <v>4790</v>
      </c>
      <c r="D1058" t="s">
        <v>17951</v>
      </c>
      <c r="E1058" t="s">
        <v>18912</v>
      </c>
      <c r="F1058" t="s">
        <v>30900</v>
      </c>
      <c r="G1058" t="s">
        <v>30908</v>
      </c>
      <c r="H1058" t="s">
        <v>30916</v>
      </c>
      <c r="I1058" t="s">
        <v>8123</v>
      </c>
      <c r="J1058" t="s">
        <v>31878</v>
      </c>
      <c r="K1058" t="s">
        <v>40285</v>
      </c>
      <c r="M1058" t="s">
        <v>41056</v>
      </c>
      <c r="N1058" t="s">
        <v>44759</v>
      </c>
      <c r="O1058" t="s">
        <v>44760</v>
      </c>
      <c r="P1058">
        <v>0</v>
      </c>
      <c r="Q1058">
        <v>0</v>
      </c>
      <c r="R1058" t="s">
        <v>44761</v>
      </c>
      <c r="S1058" t="s">
        <v>44862</v>
      </c>
      <c r="T1058" t="s">
        <v>46357</v>
      </c>
      <c r="U1058" t="s">
        <v>47894</v>
      </c>
      <c r="W1058" t="s">
        <v>41056</v>
      </c>
      <c r="X1058" t="s">
        <v>44762</v>
      </c>
    </row>
    <row r="1059" spans="1:24">
      <c r="A1059">
        <f>HYPERLINK("https://www.philgeps.gov.ph/GEPSNONPILOT/Tender/SplashBidNoticeAbstractUI.aspx?menuIndex=3&amp;refID=7153247&amp;Result=3","7153247")</f>
        <v>0</v>
      </c>
      <c r="B1059" t="s">
        <v>343</v>
      </c>
      <c r="C1059" t="s">
        <v>4791</v>
      </c>
      <c r="D1059" t="s">
        <v>17994</v>
      </c>
      <c r="E1059" t="s">
        <v>19047</v>
      </c>
      <c r="F1059" t="s">
        <v>30900</v>
      </c>
      <c r="G1059" t="s">
        <v>30908</v>
      </c>
      <c r="H1059" t="s">
        <v>30916</v>
      </c>
      <c r="I1059" t="s">
        <v>30967</v>
      </c>
      <c r="J1059" t="s">
        <v>31635</v>
      </c>
      <c r="K1059" t="s">
        <v>40291</v>
      </c>
      <c r="M1059" t="s">
        <v>40896</v>
      </c>
      <c r="N1059" t="s">
        <v>44759</v>
      </c>
      <c r="O1059" t="s">
        <v>44760</v>
      </c>
      <c r="P1059">
        <v>0</v>
      </c>
      <c r="Q1059">
        <v>0</v>
      </c>
      <c r="R1059" t="s">
        <v>44761</v>
      </c>
      <c r="S1059" t="s">
        <v>44862</v>
      </c>
      <c r="T1059" t="s">
        <v>46409</v>
      </c>
      <c r="U1059" t="s">
        <v>47895</v>
      </c>
      <c r="W1059" t="s">
        <v>40896</v>
      </c>
      <c r="X1059" t="s">
        <v>44762</v>
      </c>
    </row>
    <row r="1060" spans="1:24">
      <c r="A1060">
        <f>HYPERLINK("https://www.philgeps.gov.ph/GEPSNONPILOT/Tender/SplashBidNoticeAbstractUI.aspx?menuIndex=3&amp;refID=7153246&amp;Result=3","7153246")</f>
        <v>0</v>
      </c>
      <c r="B1060" t="s">
        <v>558</v>
      </c>
      <c r="C1060" t="s">
        <v>4792</v>
      </c>
      <c r="D1060" t="s">
        <v>17985</v>
      </c>
      <c r="E1060" t="s">
        <v>19048</v>
      </c>
      <c r="F1060" t="s">
        <v>30900</v>
      </c>
      <c r="G1060" t="s">
        <v>30907</v>
      </c>
      <c r="H1060" t="s">
        <v>30915</v>
      </c>
      <c r="I1060" t="s">
        <v>30932</v>
      </c>
      <c r="J1060" t="s">
        <v>31879</v>
      </c>
      <c r="K1060" t="s">
        <v>40286</v>
      </c>
      <c r="M1060" t="s">
        <v>41119</v>
      </c>
      <c r="N1060" t="s">
        <v>44759</v>
      </c>
      <c r="O1060" t="s">
        <v>44760</v>
      </c>
      <c r="P1060">
        <v>0</v>
      </c>
      <c r="Q1060">
        <v>0</v>
      </c>
      <c r="R1060" t="s">
        <v>44761</v>
      </c>
      <c r="S1060" t="s">
        <v>44862</v>
      </c>
      <c r="T1060" t="s">
        <v>46353</v>
      </c>
      <c r="U1060" t="s">
        <v>47896</v>
      </c>
      <c r="W1060" t="s">
        <v>41119</v>
      </c>
      <c r="X1060" t="s">
        <v>44762</v>
      </c>
    </row>
    <row r="1061" spans="1:24">
      <c r="A1061">
        <f>HYPERLINK("https://www.philgeps.gov.ph/GEPSNONPILOT/Tender/SplashBidNoticeAbstractUI.aspx?menuIndex=3&amp;refID=7153244&amp;Result=3","7153244")</f>
        <v>0</v>
      </c>
      <c r="B1061" t="s">
        <v>559</v>
      </c>
      <c r="C1061" t="s">
        <v>4793</v>
      </c>
      <c r="D1061" t="s">
        <v>17990</v>
      </c>
      <c r="E1061" t="s">
        <v>19049</v>
      </c>
      <c r="F1061" t="s">
        <v>30900</v>
      </c>
      <c r="G1061" t="s">
        <v>30909</v>
      </c>
      <c r="H1061" t="s">
        <v>30916</v>
      </c>
      <c r="I1061" t="s">
        <v>4004</v>
      </c>
      <c r="J1061" t="s">
        <v>31880</v>
      </c>
      <c r="K1061" t="s">
        <v>40293</v>
      </c>
      <c r="M1061" t="s">
        <v>41120</v>
      </c>
      <c r="N1061" t="s">
        <v>44759</v>
      </c>
      <c r="O1061" t="s">
        <v>44760</v>
      </c>
      <c r="P1061">
        <v>0</v>
      </c>
      <c r="Q1061">
        <v>0</v>
      </c>
      <c r="R1061" t="s">
        <v>44761</v>
      </c>
      <c r="S1061" t="s">
        <v>44862</v>
      </c>
      <c r="T1061" t="s">
        <v>46424</v>
      </c>
      <c r="U1061" t="s">
        <v>47897</v>
      </c>
      <c r="W1061" t="s">
        <v>41120</v>
      </c>
      <c r="X1061" t="s">
        <v>44762</v>
      </c>
    </row>
    <row r="1062" spans="1:24">
      <c r="A1062">
        <f>HYPERLINK("https://www.philgeps.gov.ph/GEPSNONPILOT/Tender/SplashBidNoticeAbstractUI.aspx?menuIndex=3&amp;refID=7153227&amp;Result=3","7153227")</f>
        <v>0</v>
      </c>
      <c r="B1062" t="s">
        <v>500</v>
      </c>
      <c r="C1062" t="s">
        <v>4794</v>
      </c>
      <c r="D1062" t="s">
        <v>17963</v>
      </c>
      <c r="E1062" t="s">
        <v>18916</v>
      </c>
      <c r="F1062" t="s">
        <v>30900</v>
      </c>
      <c r="G1062" t="s">
        <v>30907</v>
      </c>
      <c r="H1062" t="s">
        <v>30915</v>
      </c>
      <c r="I1062" t="s">
        <v>30919</v>
      </c>
      <c r="J1062" t="s">
        <v>31881</v>
      </c>
      <c r="K1062" t="s">
        <v>40317</v>
      </c>
      <c r="M1062" t="s">
        <v>41060</v>
      </c>
      <c r="N1062" t="s">
        <v>44759</v>
      </c>
      <c r="O1062" t="s">
        <v>44760</v>
      </c>
      <c r="P1062">
        <v>0</v>
      </c>
      <c r="Q1062">
        <v>0</v>
      </c>
      <c r="R1062" t="s">
        <v>44761</v>
      </c>
      <c r="S1062" t="s">
        <v>44862</v>
      </c>
      <c r="T1062" t="s">
        <v>46373</v>
      </c>
      <c r="U1062" t="s">
        <v>47771</v>
      </c>
      <c r="W1062" t="s">
        <v>41060</v>
      </c>
      <c r="X1062" t="s">
        <v>44762</v>
      </c>
    </row>
    <row r="1063" spans="1:24">
      <c r="A1063">
        <f>HYPERLINK("https://www.philgeps.gov.ph/GEPSNONPILOT/Tender/SplashBidNoticeAbstractUI.aspx?menuIndex=3&amp;refID=7153230&amp;Result=3","7153230")</f>
        <v>0</v>
      </c>
      <c r="B1063" t="s">
        <v>560</v>
      </c>
      <c r="C1063" t="s">
        <v>4795</v>
      </c>
      <c r="E1063" t="s">
        <v>19050</v>
      </c>
      <c r="F1063" t="s">
        <v>30900</v>
      </c>
      <c r="G1063" t="s">
        <v>30907</v>
      </c>
      <c r="H1063" t="s">
        <v>30916</v>
      </c>
      <c r="I1063" t="s">
        <v>30933</v>
      </c>
      <c r="J1063" t="s">
        <v>31882</v>
      </c>
      <c r="K1063" t="s">
        <v>40289</v>
      </c>
      <c r="M1063" t="s">
        <v>41121</v>
      </c>
      <c r="N1063" t="s">
        <v>44759</v>
      </c>
      <c r="O1063" t="s">
        <v>44760</v>
      </c>
      <c r="P1063">
        <v>0</v>
      </c>
      <c r="Q1063">
        <v>0</v>
      </c>
      <c r="R1063" t="s">
        <v>44761</v>
      </c>
      <c r="S1063" t="s">
        <v>44862</v>
      </c>
      <c r="T1063" t="s">
        <v>46503</v>
      </c>
      <c r="U1063" t="s">
        <v>47898</v>
      </c>
      <c r="V1063" t="s">
        <v>59248</v>
      </c>
      <c r="W1063" t="s">
        <v>41121</v>
      </c>
      <c r="X1063" t="s">
        <v>44762</v>
      </c>
    </row>
    <row r="1064" spans="1:24">
      <c r="A1064">
        <f>HYPERLINK("https://www.philgeps.gov.ph/GEPSNONPILOT/Tender/SplashBidNoticeAbstractUI.aspx?menuIndex=3&amp;refID=7153243&amp;Result=3","7153243")</f>
        <v>0</v>
      </c>
      <c r="B1064" t="s">
        <v>561</v>
      </c>
      <c r="C1064" t="s">
        <v>4796</v>
      </c>
      <c r="D1064" t="s">
        <v>17975</v>
      </c>
      <c r="E1064" t="s">
        <v>19051</v>
      </c>
      <c r="F1064" t="s">
        <v>30900</v>
      </c>
      <c r="G1064" t="s">
        <v>30909</v>
      </c>
      <c r="H1064" t="s">
        <v>30916</v>
      </c>
      <c r="I1064" t="s">
        <v>30943</v>
      </c>
      <c r="J1064" t="s">
        <v>31247</v>
      </c>
      <c r="K1064" t="s">
        <v>40289</v>
      </c>
      <c r="M1064" t="s">
        <v>41122</v>
      </c>
      <c r="N1064" t="s">
        <v>44759</v>
      </c>
      <c r="O1064" t="s">
        <v>44760</v>
      </c>
      <c r="P1064">
        <v>0</v>
      </c>
      <c r="Q1064">
        <v>0</v>
      </c>
      <c r="R1064" t="s">
        <v>44761</v>
      </c>
      <c r="S1064" t="s">
        <v>44862</v>
      </c>
      <c r="T1064" t="s">
        <v>46383</v>
      </c>
      <c r="U1064" t="s">
        <v>47899</v>
      </c>
      <c r="V1064" t="s">
        <v>59183</v>
      </c>
      <c r="W1064" t="s">
        <v>41122</v>
      </c>
      <c r="X1064" t="s">
        <v>44762</v>
      </c>
    </row>
    <row r="1065" spans="1:24">
      <c r="A1065">
        <f>HYPERLINK("https://www.philgeps.gov.ph/GEPSNONPILOT/Tender/SplashBidNoticeAbstractUI.aspx?menuIndex=3&amp;refID=7153223&amp;Result=3","7153223")</f>
        <v>0</v>
      </c>
      <c r="B1065" t="s">
        <v>219</v>
      </c>
      <c r="C1065" t="s">
        <v>4108</v>
      </c>
      <c r="D1065" t="s">
        <v>17955</v>
      </c>
      <c r="E1065" t="s">
        <v>19052</v>
      </c>
      <c r="F1065" t="s">
        <v>30900</v>
      </c>
      <c r="G1065" t="s">
        <v>30908</v>
      </c>
      <c r="H1065" t="s">
        <v>30916</v>
      </c>
      <c r="I1065" t="s">
        <v>4108</v>
      </c>
      <c r="J1065" t="s">
        <v>31049</v>
      </c>
      <c r="K1065" t="s">
        <v>40283</v>
      </c>
      <c r="M1065" t="s">
        <v>40766</v>
      </c>
      <c r="N1065" t="s">
        <v>44759</v>
      </c>
      <c r="O1065" t="s">
        <v>44760</v>
      </c>
      <c r="P1065">
        <v>0</v>
      </c>
      <c r="Q1065">
        <v>0</v>
      </c>
      <c r="R1065" t="s">
        <v>44761</v>
      </c>
      <c r="S1065" t="s">
        <v>44862</v>
      </c>
      <c r="T1065" t="s">
        <v>46412</v>
      </c>
      <c r="U1065" t="s">
        <v>47900</v>
      </c>
      <c r="W1065" t="s">
        <v>40766</v>
      </c>
      <c r="X1065" t="s">
        <v>44762</v>
      </c>
    </row>
    <row r="1066" spans="1:24">
      <c r="A1066">
        <f>HYPERLINK("https://www.philgeps.gov.ph/GEPSNONPILOT/Tender/SplashBidNoticeAbstractUI.aspx?menuIndex=3&amp;refID=7153255&amp;Result=3","7153255")</f>
        <v>0</v>
      </c>
      <c r="B1066" t="s">
        <v>535</v>
      </c>
      <c r="C1066" t="s">
        <v>4797</v>
      </c>
      <c r="D1066" t="s">
        <v>17959</v>
      </c>
      <c r="E1066" t="s">
        <v>19053</v>
      </c>
      <c r="F1066" t="s">
        <v>30900</v>
      </c>
      <c r="G1066" t="s">
        <v>30908</v>
      </c>
      <c r="H1066" t="s">
        <v>30916</v>
      </c>
      <c r="I1066" t="s">
        <v>4142</v>
      </c>
      <c r="J1066" t="s">
        <v>31883</v>
      </c>
      <c r="K1066" t="s">
        <v>40283</v>
      </c>
      <c r="M1066" t="s">
        <v>41095</v>
      </c>
      <c r="N1066" t="s">
        <v>44759</v>
      </c>
      <c r="O1066" t="s">
        <v>44760</v>
      </c>
      <c r="P1066">
        <v>0</v>
      </c>
      <c r="Q1066">
        <v>0</v>
      </c>
      <c r="R1066" t="s">
        <v>44761</v>
      </c>
      <c r="S1066" t="s">
        <v>44862</v>
      </c>
      <c r="T1066" t="s">
        <v>46409</v>
      </c>
      <c r="U1066" t="s">
        <v>47901</v>
      </c>
      <c r="W1066" t="s">
        <v>60830</v>
      </c>
      <c r="X1066" t="s">
        <v>44762</v>
      </c>
    </row>
    <row r="1067" spans="1:24">
      <c r="A1067">
        <f>HYPERLINK("https://www.philgeps.gov.ph/GEPSNONPILOT/Tender/SplashBidNoticeAbstractUI.aspx?menuIndex=3&amp;refID=7153254&amp;Result=3","7153254")</f>
        <v>0</v>
      </c>
      <c r="B1067" t="s">
        <v>562</v>
      </c>
      <c r="C1067" t="s">
        <v>4798</v>
      </c>
      <c r="D1067" t="s">
        <v>17972</v>
      </c>
      <c r="E1067" t="s">
        <v>19054</v>
      </c>
      <c r="F1067" t="s">
        <v>30900</v>
      </c>
      <c r="G1067" t="s">
        <v>30908</v>
      </c>
      <c r="H1067" t="s">
        <v>30916</v>
      </c>
      <c r="I1067" t="s">
        <v>30926</v>
      </c>
      <c r="J1067" t="s">
        <v>31884</v>
      </c>
      <c r="K1067" t="s">
        <v>40286</v>
      </c>
      <c r="M1067" t="s">
        <v>41123</v>
      </c>
      <c r="N1067" t="s">
        <v>44759</v>
      </c>
      <c r="O1067" t="s">
        <v>44760</v>
      </c>
      <c r="P1067">
        <v>0</v>
      </c>
      <c r="Q1067">
        <v>0</v>
      </c>
      <c r="R1067" t="s">
        <v>44761</v>
      </c>
      <c r="S1067" t="s">
        <v>44862</v>
      </c>
      <c r="T1067" t="s">
        <v>46356</v>
      </c>
      <c r="U1067" t="s">
        <v>47902</v>
      </c>
      <c r="W1067" t="s">
        <v>41123</v>
      </c>
      <c r="X1067" t="s">
        <v>44762</v>
      </c>
    </row>
    <row r="1068" spans="1:24">
      <c r="A1068">
        <f>HYPERLINK("https://www.philgeps.gov.ph/GEPSNONPILOT/Tender/SplashBidNoticeAbstractUI.aspx?menuIndex=3&amp;refID=7153258&amp;Result=3","7153258")</f>
        <v>0</v>
      </c>
      <c r="B1068" t="s">
        <v>563</v>
      </c>
      <c r="C1068" t="s">
        <v>4799</v>
      </c>
      <c r="D1068" t="s">
        <v>17963</v>
      </c>
      <c r="E1068" t="s">
        <v>19055</v>
      </c>
      <c r="F1068" t="s">
        <v>30900</v>
      </c>
      <c r="G1068" t="s">
        <v>30908</v>
      </c>
      <c r="H1068" t="s">
        <v>30916</v>
      </c>
      <c r="I1068" t="s">
        <v>5830</v>
      </c>
      <c r="J1068" t="s">
        <v>31885</v>
      </c>
      <c r="K1068" t="s">
        <v>40288</v>
      </c>
      <c r="M1068" t="s">
        <v>41124</v>
      </c>
      <c r="N1068" t="s">
        <v>44759</v>
      </c>
      <c r="O1068" t="s">
        <v>44760</v>
      </c>
      <c r="P1068">
        <v>0</v>
      </c>
      <c r="Q1068">
        <v>0</v>
      </c>
      <c r="R1068" t="s">
        <v>44761</v>
      </c>
      <c r="S1068" t="s">
        <v>44862</v>
      </c>
      <c r="T1068" t="s">
        <v>46356</v>
      </c>
      <c r="U1068" t="s">
        <v>47903</v>
      </c>
      <c r="V1068" t="s">
        <v>59200</v>
      </c>
      <c r="W1068" t="s">
        <v>41124</v>
      </c>
      <c r="X1068" t="s">
        <v>44762</v>
      </c>
    </row>
    <row r="1069" spans="1:24">
      <c r="A1069">
        <f>HYPERLINK("https://www.philgeps.gov.ph/GEPSNONPILOT/Tender/SplashBidNoticeAbstractUI.aspx?menuIndex=3&amp;refID=7153253&amp;Result=3","7153253")</f>
        <v>0</v>
      </c>
      <c r="B1069" t="s">
        <v>237</v>
      </c>
      <c r="C1069" t="s">
        <v>4800</v>
      </c>
      <c r="D1069" t="s">
        <v>17977</v>
      </c>
      <c r="E1069" t="s">
        <v>4800</v>
      </c>
      <c r="F1069" t="s">
        <v>30900</v>
      </c>
      <c r="G1069" t="s">
        <v>30908</v>
      </c>
      <c r="H1069" t="s">
        <v>30916</v>
      </c>
      <c r="I1069" t="s">
        <v>30936</v>
      </c>
      <c r="J1069" t="s">
        <v>31625</v>
      </c>
      <c r="K1069" t="s">
        <v>40289</v>
      </c>
      <c r="M1069" t="s">
        <v>40784</v>
      </c>
      <c r="N1069" t="s">
        <v>44759</v>
      </c>
      <c r="O1069" t="s">
        <v>44760</v>
      </c>
      <c r="P1069">
        <v>0</v>
      </c>
      <c r="Q1069">
        <v>0</v>
      </c>
      <c r="R1069" t="s">
        <v>44761</v>
      </c>
      <c r="S1069" t="s">
        <v>44862</v>
      </c>
      <c r="T1069" t="s">
        <v>46415</v>
      </c>
      <c r="U1069" t="s">
        <v>47904</v>
      </c>
      <c r="W1069" t="s">
        <v>40784</v>
      </c>
      <c r="X1069" t="s">
        <v>44762</v>
      </c>
    </row>
    <row r="1070" spans="1:24">
      <c r="A1070">
        <f>HYPERLINK("https://www.philgeps.gov.ph/GEPSNONPILOT/Tender/SplashBidNoticeAbstractUI.aspx?menuIndex=3&amp;refID=7153252&amp;Result=3","7153252")</f>
        <v>0</v>
      </c>
      <c r="B1070" t="s">
        <v>564</v>
      </c>
      <c r="C1070" t="s">
        <v>4801</v>
      </c>
      <c r="D1070" t="s">
        <v>17957</v>
      </c>
      <c r="E1070" t="s">
        <v>19056</v>
      </c>
      <c r="F1070" t="s">
        <v>30900</v>
      </c>
      <c r="G1070" t="s">
        <v>30907</v>
      </c>
      <c r="H1070" t="s">
        <v>30915</v>
      </c>
      <c r="I1070" t="s">
        <v>30919</v>
      </c>
      <c r="J1070" t="s">
        <v>31886</v>
      </c>
      <c r="K1070" t="s">
        <v>40341</v>
      </c>
      <c r="L1070" t="s">
        <v>564</v>
      </c>
      <c r="M1070" t="s">
        <v>41125</v>
      </c>
      <c r="N1070" t="s">
        <v>44759</v>
      </c>
      <c r="O1070" t="s">
        <v>44760</v>
      </c>
      <c r="P1070">
        <v>0</v>
      </c>
      <c r="Q1070">
        <v>0</v>
      </c>
      <c r="R1070" t="s">
        <v>44761</v>
      </c>
      <c r="S1070" t="s">
        <v>44862</v>
      </c>
      <c r="T1070" t="s">
        <v>46504</v>
      </c>
      <c r="U1070" t="s">
        <v>47905</v>
      </c>
      <c r="W1070" t="s">
        <v>41125</v>
      </c>
      <c r="X1070" t="s">
        <v>44762</v>
      </c>
    </row>
    <row r="1071" spans="1:24">
      <c r="A1071">
        <f>HYPERLINK("https://www.philgeps.gov.ph/GEPSNONPILOT/Tender/SplashBidNoticeAbstractUI.aspx?menuIndex=3&amp;refID=7153241&amp;Result=3","7153241")</f>
        <v>0</v>
      </c>
      <c r="B1071" t="s">
        <v>366</v>
      </c>
      <c r="C1071" t="s">
        <v>4802</v>
      </c>
      <c r="D1071" t="s">
        <v>17977</v>
      </c>
      <c r="E1071" t="s">
        <v>19057</v>
      </c>
      <c r="F1071" t="s">
        <v>30900</v>
      </c>
      <c r="G1071" t="s">
        <v>30908</v>
      </c>
      <c r="H1071" t="s">
        <v>30916</v>
      </c>
      <c r="I1071" t="s">
        <v>30940</v>
      </c>
      <c r="J1071" t="s">
        <v>31056</v>
      </c>
      <c r="K1071" t="s">
        <v>40287</v>
      </c>
      <c r="M1071" t="s">
        <v>40920</v>
      </c>
      <c r="N1071" t="s">
        <v>44759</v>
      </c>
      <c r="O1071" t="s">
        <v>44760</v>
      </c>
      <c r="P1071">
        <v>0</v>
      </c>
      <c r="Q1071">
        <v>0</v>
      </c>
      <c r="R1071" t="s">
        <v>44761</v>
      </c>
      <c r="S1071" t="s">
        <v>44862</v>
      </c>
      <c r="T1071" t="s">
        <v>46412</v>
      </c>
      <c r="U1071" t="s">
        <v>47526</v>
      </c>
      <c r="V1071" t="s">
        <v>59249</v>
      </c>
      <c r="W1071" t="s">
        <v>40920</v>
      </c>
      <c r="X1071" t="s">
        <v>44762</v>
      </c>
    </row>
    <row r="1072" spans="1:24">
      <c r="A1072">
        <f>HYPERLINK("https://www.philgeps.gov.ph/GEPSNONPILOT/Tender/SplashBidNoticeAbstractUI.aspx?menuIndex=3&amp;refID=7153226&amp;Result=3","7153226")</f>
        <v>0</v>
      </c>
      <c r="B1072" t="s">
        <v>394</v>
      </c>
      <c r="C1072" t="s">
        <v>4803</v>
      </c>
      <c r="D1072" t="s">
        <v>17959</v>
      </c>
      <c r="E1072" t="s">
        <v>19058</v>
      </c>
      <c r="F1072" t="s">
        <v>30900</v>
      </c>
      <c r="G1072" t="s">
        <v>30908</v>
      </c>
      <c r="H1072" t="s">
        <v>30916</v>
      </c>
      <c r="I1072" t="s">
        <v>6746</v>
      </c>
      <c r="J1072" t="s">
        <v>31887</v>
      </c>
      <c r="K1072" t="s">
        <v>40287</v>
      </c>
      <c r="M1072" t="s">
        <v>40949</v>
      </c>
      <c r="N1072" t="s">
        <v>44759</v>
      </c>
      <c r="O1072" t="s">
        <v>44760</v>
      </c>
      <c r="P1072">
        <v>0</v>
      </c>
      <c r="Q1072">
        <v>0</v>
      </c>
      <c r="R1072" t="s">
        <v>44761</v>
      </c>
      <c r="S1072" t="s">
        <v>44862</v>
      </c>
      <c r="T1072" t="s">
        <v>46390</v>
      </c>
      <c r="U1072" t="s">
        <v>47906</v>
      </c>
      <c r="W1072" t="s">
        <v>40949</v>
      </c>
      <c r="X1072" t="s">
        <v>44762</v>
      </c>
    </row>
    <row r="1073" spans="1:24">
      <c r="A1073">
        <f>HYPERLINK("https://www.philgeps.gov.ph/GEPSNONPILOT/Tender/SplashBidNoticeAbstractUI.aspx?menuIndex=3&amp;refID=7153240&amp;Result=3","7153240")</f>
        <v>0</v>
      </c>
      <c r="B1073" t="s">
        <v>565</v>
      </c>
      <c r="C1073" t="s">
        <v>4804</v>
      </c>
      <c r="D1073" t="s">
        <v>18019</v>
      </c>
      <c r="E1073" t="s">
        <v>18271</v>
      </c>
      <c r="F1073" t="s">
        <v>30900</v>
      </c>
      <c r="G1073" t="s">
        <v>30908</v>
      </c>
      <c r="H1073" t="s">
        <v>30916</v>
      </c>
      <c r="I1073" t="s">
        <v>8365</v>
      </c>
      <c r="J1073" t="s">
        <v>31888</v>
      </c>
      <c r="K1073" t="s">
        <v>40289</v>
      </c>
      <c r="M1073" t="s">
        <v>41126</v>
      </c>
      <c r="N1073" t="s">
        <v>44759</v>
      </c>
      <c r="O1073" t="s">
        <v>44760</v>
      </c>
      <c r="P1073">
        <v>0</v>
      </c>
      <c r="Q1073">
        <v>0</v>
      </c>
      <c r="R1073" t="s">
        <v>44761</v>
      </c>
      <c r="S1073" t="s">
        <v>44862</v>
      </c>
      <c r="T1073" t="s">
        <v>46399</v>
      </c>
      <c r="U1073" t="s">
        <v>47907</v>
      </c>
      <c r="W1073" t="s">
        <v>41126</v>
      </c>
      <c r="X1073" t="s">
        <v>44762</v>
      </c>
    </row>
    <row r="1074" spans="1:24">
      <c r="A1074">
        <f>HYPERLINK("https://www.philgeps.gov.ph/GEPSNONPILOT/Tender/SplashBidNoticeAbstractUI.aspx?menuIndex=3&amp;refID=7153257&amp;Result=3","7153257")</f>
        <v>0</v>
      </c>
      <c r="B1074" t="s">
        <v>454</v>
      </c>
      <c r="C1074" t="s">
        <v>4805</v>
      </c>
      <c r="D1074" t="s">
        <v>17955</v>
      </c>
      <c r="E1074" t="s">
        <v>19059</v>
      </c>
      <c r="F1074" t="s">
        <v>30900</v>
      </c>
      <c r="G1074" t="s">
        <v>30908</v>
      </c>
      <c r="H1074" t="s">
        <v>30916</v>
      </c>
      <c r="I1074" t="s">
        <v>6746</v>
      </c>
      <c r="J1074" t="s">
        <v>31223</v>
      </c>
      <c r="K1074" t="s">
        <v>40286</v>
      </c>
      <c r="M1074" t="s">
        <v>41011</v>
      </c>
      <c r="N1074" t="s">
        <v>44759</v>
      </c>
      <c r="O1074" t="s">
        <v>44760</v>
      </c>
      <c r="P1074">
        <v>0</v>
      </c>
      <c r="Q1074">
        <v>0</v>
      </c>
      <c r="R1074" t="s">
        <v>44761</v>
      </c>
      <c r="S1074" t="s">
        <v>44862</v>
      </c>
      <c r="T1074" t="s">
        <v>46390</v>
      </c>
      <c r="U1074" t="s">
        <v>47908</v>
      </c>
      <c r="W1074" t="s">
        <v>41011</v>
      </c>
      <c r="X1074" t="s">
        <v>44762</v>
      </c>
    </row>
    <row r="1075" spans="1:24">
      <c r="A1075">
        <f>HYPERLINK("https://www.philgeps.gov.ph/GEPSNONPILOT/Tender/SplashBidNoticeAbstractUI.aspx?menuIndex=3&amp;refID=7153242&amp;Result=3","7153242")</f>
        <v>0</v>
      </c>
      <c r="B1075" t="s">
        <v>497</v>
      </c>
      <c r="C1075" t="s">
        <v>4806</v>
      </c>
      <c r="D1075" t="s">
        <v>17951</v>
      </c>
      <c r="E1075" t="s">
        <v>18912</v>
      </c>
      <c r="F1075" t="s">
        <v>30900</v>
      </c>
      <c r="G1075" t="s">
        <v>30908</v>
      </c>
      <c r="H1075" t="s">
        <v>30916</v>
      </c>
      <c r="I1075" t="s">
        <v>8123</v>
      </c>
      <c r="J1075" t="s">
        <v>31889</v>
      </c>
      <c r="K1075" t="s">
        <v>40285</v>
      </c>
      <c r="M1075" t="s">
        <v>41056</v>
      </c>
      <c r="N1075" t="s">
        <v>44759</v>
      </c>
      <c r="O1075" t="s">
        <v>44760</v>
      </c>
      <c r="P1075">
        <v>0</v>
      </c>
      <c r="Q1075">
        <v>0</v>
      </c>
      <c r="R1075" t="s">
        <v>44761</v>
      </c>
      <c r="S1075" t="s">
        <v>44862</v>
      </c>
      <c r="T1075" t="s">
        <v>46357</v>
      </c>
      <c r="U1075" t="s">
        <v>47909</v>
      </c>
      <c r="W1075" t="s">
        <v>41056</v>
      </c>
      <c r="X1075" t="s">
        <v>44762</v>
      </c>
    </row>
    <row r="1076" spans="1:24">
      <c r="A1076">
        <f>HYPERLINK("https://www.philgeps.gov.ph/GEPSNONPILOT/Tender/SplashBidNoticeAbstractUI.aspx?menuIndex=3&amp;refID=7153256&amp;Result=3","7153256")</f>
        <v>0</v>
      </c>
      <c r="B1076" t="s">
        <v>331</v>
      </c>
      <c r="C1076" t="s">
        <v>4807</v>
      </c>
      <c r="D1076" t="s">
        <v>18004</v>
      </c>
      <c r="E1076" t="s">
        <v>19060</v>
      </c>
      <c r="F1076" t="s">
        <v>30900</v>
      </c>
      <c r="G1076" t="s">
        <v>30908</v>
      </c>
      <c r="H1076" t="s">
        <v>30916</v>
      </c>
      <c r="I1076" t="s">
        <v>10602</v>
      </c>
      <c r="J1076" t="s">
        <v>31890</v>
      </c>
      <c r="K1076" t="s">
        <v>40292</v>
      </c>
      <c r="M1076" t="s">
        <v>40882</v>
      </c>
      <c r="N1076" t="s">
        <v>44759</v>
      </c>
      <c r="O1076" t="s">
        <v>44760</v>
      </c>
      <c r="P1076">
        <v>0</v>
      </c>
      <c r="Q1076">
        <v>0</v>
      </c>
      <c r="R1076" t="s">
        <v>44761</v>
      </c>
      <c r="S1076" t="s">
        <v>44862</v>
      </c>
      <c r="T1076" t="s">
        <v>46357</v>
      </c>
      <c r="U1076" t="s">
        <v>47469</v>
      </c>
      <c r="W1076" t="s">
        <v>40882</v>
      </c>
      <c r="X1076" t="s">
        <v>44762</v>
      </c>
    </row>
    <row r="1077" spans="1:24">
      <c r="A1077">
        <f>HYPERLINK("https://www.philgeps.gov.ph/GEPSNONPILOT/Tender/SplashBidNoticeAbstractUI.aspx?menuIndex=3&amp;refID=7153261&amp;Result=3","7153261")</f>
        <v>0</v>
      </c>
      <c r="B1077" t="s">
        <v>558</v>
      </c>
      <c r="C1077" t="s">
        <v>4808</v>
      </c>
      <c r="D1077" t="s">
        <v>17985</v>
      </c>
      <c r="E1077" t="s">
        <v>19061</v>
      </c>
      <c r="F1077" t="s">
        <v>30900</v>
      </c>
      <c r="G1077" t="s">
        <v>30907</v>
      </c>
      <c r="H1077" t="s">
        <v>30915</v>
      </c>
      <c r="I1077" t="s">
        <v>30932</v>
      </c>
      <c r="J1077" t="s">
        <v>31879</v>
      </c>
      <c r="K1077" t="s">
        <v>40286</v>
      </c>
      <c r="M1077" t="s">
        <v>41119</v>
      </c>
      <c r="N1077" t="s">
        <v>44759</v>
      </c>
      <c r="O1077" t="s">
        <v>44760</v>
      </c>
      <c r="P1077">
        <v>0</v>
      </c>
      <c r="Q1077">
        <v>0</v>
      </c>
      <c r="R1077" t="s">
        <v>44761</v>
      </c>
      <c r="S1077" t="s">
        <v>44862</v>
      </c>
      <c r="T1077" t="s">
        <v>46353</v>
      </c>
      <c r="U1077" t="s">
        <v>47896</v>
      </c>
      <c r="W1077" t="s">
        <v>41119</v>
      </c>
      <c r="X1077" t="s">
        <v>44762</v>
      </c>
    </row>
    <row r="1078" spans="1:24">
      <c r="A1078">
        <f>HYPERLINK("https://www.philgeps.gov.ph/GEPSNONPILOT/Tender/SplashBidNoticeAbstractUI.aspx?menuIndex=3&amp;refID=7153279&amp;Result=3","7153279")</f>
        <v>0</v>
      </c>
      <c r="B1078" t="s">
        <v>367</v>
      </c>
      <c r="C1078" t="s">
        <v>4654</v>
      </c>
      <c r="D1078" t="s">
        <v>18002</v>
      </c>
      <c r="E1078" t="s">
        <v>18916</v>
      </c>
      <c r="F1078" t="s">
        <v>30900</v>
      </c>
      <c r="G1078" t="s">
        <v>30908</v>
      </c>
      <c r="H1078" t="s">
        <v>30916</v>
      </c>
      <c r="I1078" t="s">
        <v>4545</v>
      </c>
      <c r="J1078" t="s">
        <v>31891</v>
      </c>
      <c r="K1078" t="s">
        <v>40285</v>
      </c>
      <c r="M1078" t="s">
        <v>40921</v>
      </c>
      <c r="N1078" t="s">
        <v>44759</v>
      </c>
      <c r="O1078" t="s">
        <v>44760</v>
      </c>
      <c r="P1078">
        <v>0</v>
      </c>
      <c r="Q1078">
        <v>0</v>
      </c>
      <c r="R1078" t="s">
        <v>44761</v>
      </c>
      <c r="S1078" t="s">
        <v>44862</v>
      </c>
      <c r="T1078" t="s">
        <v>46393</v>
      </c>
      <c r="U1078" t="s">
        <v>47910</v>
      </c>
      <c r="W1078" t="s">
        <v>40921</v>
      </c>
      <c r="X1078" t="s">
        <v>44762</v>
      </c>
    </row>
    <row r="1079" spans="1:24">
      <c r="A1079">
        <f>HYPERLINK("https://www.philgeps.gov.ph/GEPSNONPILOT/Tender/SplashBidNoticeAbstractUI.aspx?menuIndex=3&amp;refID=7153277&amp;Result=3","7153277")</f>
        <v>0</v>
      </c>
      <c r="B1079" t="s">
        <v>522</v>
      </c>
      <c r="C1079" t="s">
        <v>4809</v>
      </c>
      <c r="D1079" t="s">
        <v>18017</v>
      </c>
      <c r="E1079" t="s">
        <v>19062</v>
      </c>
      <c r="F1079" t="s">
        <v>30900</v>
      </c>
      <c r="G1079" t="s">
        <v>30906</v>
      </c>
      <c r="H1079" t="s">
        <v>30916</v>
      </c>
      <c r="I1079" t="s">
        <v>30926</v>
      </c>
      <c r="J1079" t="s">
        <v>31892</v>
      </c>
      <c r="K1079" t="s">
        <v>40287</v>
      </c>
      <c r="M1079" t="s">
        <v>41082</v>
      </c>
      <c r="N1079" t="s">
        <v>44759</v>
      </c>
      <c r="O1079" t="s">
        <v>44760</v>
      </c>
      <c r="P1079">
        <v>0</v>
      </c>
      <c r="Q1079">
        <v>0</v>
      </c>
      <c r="R1079" t="s">
        <v>44761</v>
      </c>
      <c r="S1079" t="s">
        <v>44862</v>
      </c>
      <c r="T1079" t="s">
        <v>46421</v>
      </c>
      <c r="U1079" t="s">
        <v>47911</v>
      </c>
      <c r="W1079" t="s">
        <v>41082</v>
      </c>
      <c r="X1079" t="s">
        <v>44762</v>
      </c>
    </row>
    <row r="1080" spans="1:24">
      <c r="A1080">
        <f>HYPERLINK("https://www.philgeps.gov.ph/GEPSNONPILOT/Tender/SplashBidNoticeAbstractUI.aspx?menuIndex=3&amp;refID=7153283&amp;Result=3","7153283")</f>
        <v>0</v>
      </c>
      <c r="B1080" t="s">
        <v>566</v>
      </c>
      <c r="C1080" t="s">
        <v>4810</v>
      </c>
      <c r="D1080" t="s">
        <v>17993</v>
      </c>
      <c r="E1080" t="s">
        <v>19063</v>
      </c>
      <c r="F1080" t="s">
        <v>30900</v>
      </c>
      <c r="G1080" t="s">
        <v>30908</v>
      </c>
      <c r="H1080" t="s">
        <v>30915</v>
      </c>
      <c r="I1080" t="s">
        <v>30919</v>
      </c>
      <c r="J1080" t="s">
        <v>31049</v>
      </c>
      <c r="K1080" t="s">
        <v>40288</v>
      </c>
      <c r="M1080" t="s">
        <v>41127</v>
      </c>
      <c r="N1080" t="s">
        <v>44759</v>
      </c>
      <c r="O1080" t="s">
        <v>44760</v>
      </c>
      <c r="P1080">
        <v>0</v>
      </c>
      <c r="Q1080">
        <v>0</v>
      </c>
      <c r="R1080" t="s">
        <v>44761</v>
      </c>
      <c r="S1080" t="s">
        <v>44862</v>
      </c>
      <c r="T1080" t="s">
        <v>46399</v>
      </c>
      <c r="U1080" t="s">
        <v>47912</v>
      </c>
      <c r="W1080" t="s">
        <v>41127</v>
      </c>
      <c r="X1080" t="s">
        <v>44762</v>
      </c>
    </row>
    <row r="1081" spans="1:24">
      <c r="A1081">
        <f>HYPERLINK("https://www.philgeps.gov.ph/GEPSNONPILOT/Tender/SplashBidNoticeAbstractUI.aspx?menuIndex=3&amp;refID=7153282&amp;Result=3","7153282")</f>
        <v>0</v>
      </c>
      <c r="B1081" t="s">
        <v>535</v>
      </c>
      <c r="C1081" t="s">
        <v>4811</v>
      </c>
      <c r="D1081" t="s">
        <v>17959</v>
      </c>
      <c r="E1081" t="s">
        <v>19064</v>
      </c>
      <c r="F1081" t="s">
        <v>30900</v>
      </c>
      <c r="G1081" t="s">
        <v>30908</v>
      </c>
      <c r="H1081" t="s">
        <v>30916</v>
      </c>
      <c r="I1081" t="s">
        <v>6953</v>
      </c>
      <c r="J1081" t="s">
        <v>31098</v>
      </c>
      <c r="K1081" t="s">
        <v>40283</v>
      </c>
      <c r="M1081" t="s">
        <v>41095</v>
      </c>
      <c r="N1081" t="s">
        <v>44759</v>
      </c>
      <c r="O1081" t="s">
        <v>44760</v>
      </c>
      <c r="P1081">
        <v>0</v>
      </c>
      <c r="Q1081">
        <v>0</v>
      </c>
      <c r="R1081" t="s">
        <v>44761</v>
      </c>
      <c r="S1081" t="s">
        <v>44862</v>
      </c>
      <c r="T1081" t="s">
        <v>46409</v>
      </c>
      <c r="U1081" t="s">
        <v>47913</v>
      </c>
      <c r="W1081" t="s">
        <v>60830</v>
      </c>
      <c r="X1081" t="s">
        <v>44762</v>
      </c>
    </row>
    <row r="1082" spans="1:24">
      <c r="A1082">
        <f>HYPERLINK("https://www.philgeps.gov.ph/GEPSNONPILOT/Tender/SplashBidNoticeAbstractUI.aspx?menuIndex=3&amp;refID=7153280&amp;Result=3","7153280")</f>
        <v>0</v>
      </c>
      <c r="B1082" t="s">
        <v>567</v>
      </c>
      <c r="C1082" t="s">
        <v>4812</v>
      </c>
      <c r="D1082" t="s">
        <v>17975</v>
      </c>
      <c r="E1082" t="s">
        <v>18608</v>
      </c>
      <c r="F1082" t="s">
        <v>30900</v>
      </c>
      <c r="G1082" t="s">
        <v>30907</v>
      </c>
      <c r="H1082" t="s">
        <v>30915</v>
      </c>
      <c r="I1082" t="s">
        <v>30919</v>
      </c>
      <c r="J1082" t="s">
        <v>31893</v>
      </c>
      <c r="K1082" t="s">
        <v>40291</v>
      </c>
      <c r="M1082" t="s">
        <v>41128</v>
      </c>
      <c r="N1082" t="s">
        <v>44759</v>
      </c>
      <c r="O1082" t="s">
        <v>44760</v>
      </c>
      <c r="P1082">
        <v>0</v>
      </c>
      <c r="Q1082">
        <v>0</v>
      </c>
      <c r="R1082" t="s">
        <v>44761</v>
      </c>
      <c r="S1082" t="s">
        <v>44862</v>
      </c>
      <c r="T1082" t="s">
        <v>46503</v>
      </c>
      <c r="U1082" t="s">
        <v>47914</v>
      </c>
      <c r="W1082" t="s">
        <v>41128</v>
      </c>
      <c r="X1082" t="s">
        <v>44762</v>
      </c>
    </row>
    <row r="1083" spans="1:24">
      <c r="A1083">
        <f>HYPERLINK("https://www.philgeps.gov.ph/GEPSNONPILOT/Tender/SplashBidNoticeAbstractUI.aspx?menuIndex=3&amp;refID=7153250&amp;Result=3","7153250")</f>
        <v>0</v>
      </c>
      <c r="B1083" t="s">
        <v>497</v>
      </c>
      <c r="C1083" t="s">
        <v>4813</v>
      </c>
      <c r="D1083" t="s">
        <v>17951</v>
      </c>
      <c r="E1083" t="s">
        <v>18912</v>
      </c>
      <c r="F1083" t="s">
        <v>30900</v>
      </c>
      <c r="G1083" t="s">
        <v>30908</v>
      </c>
      <c r="H1083" t="s">
        <v>30916</v>
      </c>
      <c r="I1083" t="s">
        <v>8123</v>
      </c>
      <c r="J1083" t="s">
        <v>31894</v>
      </c>
      <c r="K1083" t="s">
        <v>40285</v>
      </c>
      <c r="M1083" t="s">
        <v>41056</v>
      </c>
      <c r="N1083" t="s">
        <v>44759</v>
      </c>
      <c r="O1083" t="s">
        <v>44760</v>
      </c>
      <c r="P1083">
        <v>0</v>
      </c>
      <c r="Q1083">
        <v>0</v>
      </c>
      <c r="R1083" t="s">
        <v>44761</v>
      </c>
      <c r="S1083" t="s">
        <v>44862</v>
      </c>
      <c r="T1083" t="s">
        <v>46357</v>
      </c>
      <c r="U1083" t="s">
        <v>47915</v>
      </c>
      <c r="W1083" t="s">
        <v>41056</v>
      </c>
      <c r="X1083" t="s">
        <v>44762</v>
      </c>
    </row>
    <row r="1084" spans="1:24">
      <c r="A1084">
        <f>HYPERLINK("https://www.philgeps.gov.ph/GEPSNONPILOT/Tender/SplashBidNoticeAbstractUI.aspx?menuIndex=3&amp;refID=7153276&amp;Result=3","7153276")</f>
        <v>0</v>
      </c>
      <c r="B1084" t="s">
        <v>535</v>
      </c>
      <c r="C1084" t="s">
        <v>4814</v>
      </c>
      <c r="D1084" t="s">
        <v>17959</v>
      </c>
      <c r="E1084" t="s">
        <v>19065</v>
      </c>
      <c r="F1084" t="s">
        <v>30900</v>
      </c>
      <c r="G1084" t="s">
        <v>30908</v>
      </c>
      <c r="H1084" t="s">
        <v>30916</v>
      </c>
      <c r="I1084" t="s">
        <v>30950</v>
      </c>
      <c r="J1084" t="s">
        <v>31895</v>
      </c>
      <c r="K1084" t="s">
        <v>40283</v>
      </c>
      <c r="M1084" t="s">
        <v>41095</v>
      </c>
      <c r="N1084" t="s">
        <v>44759</v>
      </c>
      <c r="O1084" t="s">
        <v>44760</v>
      </c>
      <c r="P1084">
        <v>0</v>
      </c>
      <c r="Q1084">
        <v>1</v>
      </c>
      <c r="R1084" t="s">
        <v>44761</v>
      </c>
      <c r="S1084" t="s">
        <v>44862</v>
      </c>
      <c r="T1084" t="s">
        <v>46409</v>
      </c>
      <c r="U1084" t="s">
        <v>47916</v>
      </c>
      <c r="W1084" t="s">
        <v>60830</v>
      </c>
      <c r="X1084" t="s">
        <v>44762</v>
      </c>
    </row>
    <row r="1085" spans="1:24">
      <c r="A1085">
        <f>HYPERLINK("https://www.philgeps.gov.ph/GEPSNONPILOT/Tender/SplashBidNoticeAbstractUI.aspx?menuIndex=3&amp;refID=7153275&amp;Result=3","7153275")</f>
        <v>0</v>
      </c>
      <c r="B1085" t="s">
        <v>558</v>
      </c>
      <c r="C1085" t="s">
        <v>4815</v>
      </c>
      <c r="D1085" t="s">
        <v>17985</v>
      </c>
      <c r="E1085" t="s">
        <v>19066</v>
      </c>
      <c r="F1085" t="s">
        <v>30900</v>
      </c>
      <c r="G1085" t="s">
        <v>30907</v>
      </c>
      <c r="H1085" t="s">
        <v>30915</v>
      </c>
      <c r="I1085" t="s">
        <v>30932</v>
      </c>
      <c r="J1085" t="s">
        <v>31896</v>
      </c>
      <c r="K1085" t="s">
        <v>40286</v>
      </c>
      <c r="M1085" t="s">
        <v>41119</v>
      </c>
      <c r="N1085" t="s">
        <v>44759</v>
      </c>
      <c r="O1085" t="s">
        <v>44760</v>
      </c>
      <c r="P1085">
        <v>0</v>
      </c>
      <c r="Q1085">
        <v>0</v>
      </c>
      <c r="R1085" t="s">
        <v>44761</v>
      </c>
      <c r="S1085" t="s">
        <v>44862</v>
      </c>
      <c r="T1085" t="s">
        <v>46353</v>
      </c>
      <c r="U1085" t="s">
        <v>47896</v>
      </c>
      <c r="W1085" t="s">
        <v>41119</v>
      </c>
      <c r="X1085" t="s">
        <v>44762</v>
      </c>
    </row>
    <row r="1086" spans="1:24">
      <c r="A1086">
        <f>HYPERLINK("https://www.philgeps.gov.ph/GEPSNONPILOT/Tender/SplashBidNoticeAbstractUI.aspx?menuIndex=3&amp;refID=7153274&amp;Result=3","7153274")</f>
        <v>0</v>
      </c>
      <c r="B1086" t="s">
        <v>564</v>
      </c>
      <c r="C1086" t="s">
        <v>4816</v>
      </c>
      <c r="D1086" t="s">
        <v>17957</v>
      </c>
      <c r="E1086" t="s">
        <v>19056</v>
      </c>
      <c r="F1086" t="s">
        <v>30900</v>
      </c>
      <c r="G1086" t="s">
        <v>30907</v>
      </c>
      <c r="H1086" t="s">
        <v>30915</v>
      </c>
      <c r="I1086" t="s">
        <v>30919</v>
      </c>
      <c r="J1086" t="s">
        <v>31897</v>
      </c>
      <c r="K1086" t="s">
        <v>40341</v>
      </c>
      <c r="L1086" t="s">
        <v>564</v>
      </c>
      <c r="M1086" t="s">
        <v>41125</v>
      </c>
      <c r="N1086" t="s">
        <v>44759</v>
      </c>
      <c r="O1086" t="s">
        <v>44760</v>
      </c>
      <c r="P1086">
        <v>0</v>
      </c>
      <c r="Q1086">
        <v>0</v>
      </c>
      <c r="R1086" t="s">
        <v>44761</v>
      </c>
      <c r="S1086" t="s">
        <v>44862</v>
      </c>
      <c r="T1086" t="s">
        <v>46504</v>
      </c>
      <c r="U1086" t="s">
        <v>47917</v>
      </c>
      <c r="W1086" t="s">
        <v>41125</v>
      </c>
      <c r="X1086" t="s">
        <v>44762</v>
      </c>
    </row>
    <row r="1087" spans="1:24">
      <c r="A1087">
        <f>HYPERLINK("https://www.philgeps.gov.ph/GEPSNONPILOT/Tender/SplashBidNoticeAbstractUI.aspx?menuIndex=3&amp;refID=7153273&amp;Result=3","7153273")</f>
        <v>0</v>
      </c>
      <c r="B1087" t="s">
        <v>155</v>
      </c>
      <c r="C1087" t="s">
        <v>4817</v>
      </c>
      <c r="D1087" t="s">
        <v>17951</v>
      </c>
      <c r="E1087" t="s">
        <v>19067</v>
      </c>
      <c r="F1087" t="s">
        <v>30900</v>
      </c>
      <c r="G1087" t="s">
        <v>30908</v>
      </c>
      <c r="H1087" t="s">
        <v>30916</v>
      </c>
      <c r="I1087" t="s">
        <v>30949</v>
      </c>
      <c r="J1087" t="s">
        <v>31898</v>
      </c>
      <c r="K1087" t="s">
        <v>40314</v>
      </c>
      <c r="M1087" t="s">
        <v>40702</v>
      </c>
      <c r="N1087" t="s">
        <v>44759</v>
      </c>
      <c r="O1087" t="s">
        <v>44760</v>
      </c>
      <c r="P1087">
        <v>0</v>
      </c>
      <c r="Q1087">
        <v>0</v>
      </c>
      <c r="R1087" t="s">
        <v>44761</v>
      </c>
      <c r="S1087" t="s">
        <v>44862</v>
      </c>
      <c r="T1087" t="s">
        <v>46424</v>
      </c>
      <c r="U1087" t="s">
        <v>47173</v>
      </c>
      <c r="V1087" t="s">
        <v>59132</v>
      </c>
      <c r="W1087" t="s">
        <v>40702</v>
      </c>
      <c r="X1087" t="s">
        <v>44762</v>
      </c>
    </row>
    <row r="1088" spans="1:24">
      <c r="A1088">
        <f>HYPERLINK("https://www.philgeps.gov.ph/GEPSNONPILOT/Tender/SplashBidNoticeAbstractUI.aspx?menuIndex=3&amp;refID=7153272&amp;Result=3","7153272")</f>
        <v>0</v>
      </c>
      <c r="B1088" t="s">
        <v>533</v>
      </c>
      <c r="C1088" t="s">
        <v>4818</v>
      </c>
      <c r="D1088" t="s">
        <v>17976</v>
      </c>
      <c r="E1088" t="s">
        <v>19068</v>
      </c>
      <c r="F1088" t="s">
        <v>30900</v>
      </c>
      <c r="G1088" t="s">
        <v>30910</v>
      </c>
      <c r="H1088" t="s">
        <v>30916</v>
      </c>
      <c r="I1088" t="s">
        <v>4142</v>
      </c>
      <c r="J1088" t="s">
        <v>31899</v>
      </c>
      <c r="K1088" t="s">
        <v>40286</v>
      </c>
      <c r="M1088" t="s">
        <v>41093</v>
      </c>
      <c r="N1088" t="s">
        <v>44759</v>
      </c>
      <c r="O1088" t="s">
        <v>44760</v>
      </c>
      <c r="P1088">
        <v>0</v>
      </c>
      <c r="Q1088">
        <v>0</v>
      </c>
      <c r="R1088" t="s">
        <v>44761</v>
      </c>
      <c r="S1088" t="s">
        <v>44862</v>
      </c>
      <c r="T1088" t="s">
        <v>46390</v>
      </c>
      <c r="U1088" t="s">
        <v>47918</v>
      </c>
      <c r="W1088" t="s">
        <v>41093</v>
      </c>
      <c r="X1088" t="s">
        <v>44762</v>
      </c>
    </row>
    <row r="1089" spans="1:24">
      <c r="A1089">
        <f>HYPERLINK("https://www.philgeps.gov.ph/GEPSNONPILOT/Tender/SplashBidNoticeAbstractUI.aspx?menuIndex=3&amp;refID=7153271&amp;Result=3","7153271")</f>
        <v>0</v>
      </c>
      <c r="B1089" t="s">
        <v>387</v>
      </c>
      <c r="C1089" t="s">
        <v>4819</v>
      </c>
      <c r="D1089" t="s">
        <v>17977</v>
      </c>
      <c r="E1089" t="s">
        <v>19069</v>
      </c>
      <c r="F1089" t="s">
        <v>30900</v>
      </c>
      <c r="G1089" t="s">
        <v>30907</v>
      </c>
      <c r="H1089" t="s">
        <v>30916</v>
      </c>
      <c r="I1089" t="s">
        <v>8123</v>
      </c>
      <c r="J1089" t="s">
        <v>31900</v>
      </c>
      <c r="K1089" t="s">
        <v>40291</v>
      </c>
      <c r="M1089" t="s">
        <v>40942</v>
      </c>
      <c r="N1089" t="s">
        <v>44759</v>
      </c>
      <c r="O1089" t="s">
        <v>44760</v>
      </c>
      <c r="P1089">
        <v>0</v>
      </c>
      <c r="Q1089">
        <v>0</v>
      </c>
      <c r="R1089" t="s">
        <v>44761</v>
      </c>
      <c r="S1089" t="s">
        <v>44862</v>
      </c>
      <c r="T1089" t="s">
        <v>46418</v>
      </c>
      <c r="U1089" t="s">
        <v>47919</v>
      </c>
      <c r="W1089" t="s">
        <v>40942</v>
      </c>
      <c r="X1089" t="s">
        <v>44762</v>
      </c>
    </row>
    <row r="1090" spans="1:24">
      <c r="A1090">
        <f>HYPERLINK("https://www.philgeps.gov.ph/GEPSNONPILOT/Tender/SplashBidNoticeAbstractUI.aspx?menuIndex=3&amp;refID=7153269&amp;Result=3","7153269")</f>
        <v>0</v>
      </c>
      <c r="B1090" t="s">
        <v>562</v>
      </c>
      <c r="C1090" t="s">
        <v>4820</v>
      </c>
      <c r="D1090" t="s">
        <v>17972</v>
      </c>
      <c r="E1090" t="s">
        <v>19070</v>
      </c>
      <c r="F1090" t="s">
        <v>30900</v>
      </c>
      <c r="G1090" t="s">
        <v>30908</v>
      </c>
      <c r="H1090" t="s">
        <v>30916</v>
      </c>
      <c r="I1090" t="s">
        <v>30926</v>
      </c>
      <c r="J1090" t="s">
        <v>31901</v>
      </c>
      <c r="K1090" t="s">
        <v>40286</v>
      </c>
      <c r="M1090" t="s">
        <v>41123</v>
      </c>
      <c r="N1090" t="s">
        <v>44759</v>
      </c>
      <c r="O1090" t="s">
        <v>44760</v>
      </c>
      <c r="P1090">
        <v>0</v>
      </c>
      <c r="Q1090">
        <v>0</v>
      </c>
      <c r="R1090" t="s">
        <v>44761</v>
      </c>
      <c r="S1090" t="s">
        <v>44862</v>
      </c>
      <c r="T1090" t="s">
        <v>46356</v>
      </c>
      <c r="U1090" t="s">
        <v>47920</v>
      </c>
      <c r="W1090" t="s">
        <v>41123</v>
      </c>
      <c r="X1090" t="s">
        <v>44762</v>
      </c>
    </row>
    <row r="1091" spans="1:24">
      <c r="A1091">
        <f>HYPERLINK("https://www.philgeps.gov.ph/GEPSNONPILOT/Tender/SplashBidNoticeAbstractUI.aspx?menuIndex=3&amp;refID=7153281&amp;Result=3","7153281")</f>
        <v>0</v>
      </c>
      <c r="B1091" t="s">
        <v>568</v>
      </c>
      <c r="C1091" t="s">
        <v>4821</v>
      </c>
      <c r="E1091" t="s">
        <v>19071</v>
      </c>
      <c r="F1091" t="s">
        <v>30900</v>
      </c>
      <c r="G1091" t="s">
        <v>30908</v>
      </c>
      <c r="H1091" t="s">
        <v>30916</v>
      </c>
      <c r="I1091" t="s">
        <v>10847</v>
      </c>
      <c r="J1091" t="s">
        <v>31756</v>
      </c>
      <c r="K1091" t="s">
        <v>40289</v>
      </c>
      <c r="M1091" t="s">
        <v>41129</v>
      </c>
      <c r="N1091" t="s">
        <v>44759</v>
      </c>
      <c r="O1091" t="s">
        <v>44760</v>
      </c>
      <c r="P1091">
        <v>0</v>
      </c>
      <c r="Q1091">
        <v>0</v>
      </c>
      <c r="R1091" t="s">
        <v>44761</v>
      </c>
      <c r="S1091" t="s">
        <v>44862</v>
      </c>
      <c r="T1091" t="s">
        <v>46409</v>
      </c>
      <c r="U1091" t="s">
        <v>47921</v>
      </c>
      <c r="W1091" t="s">
        <v>41129</v>
      </c>
      <c r="X1091" t="s">
        <v>44762</v>
      </c>
    </row>
    <row r="1092" spans="1:24">
      <c r="A1092">
        <f>HYPERLINK("https://www.philgeps.gov.ph/GEPSNONPILOT/Tender/SplashBidNoticeAbstractUI.aspx?menuIndex=3&amp;refID=7153267&amp;Result=3","7153267")</f>
        <v>0</v>
      </c>
      <c r="B1092" t="s">
        <v>569</v>
      </c>
      <c r="C1092" t="s">
        <v>4822</v>
      </c>
      <c r="D1092" t="s">
        <v>17959</v>
      </c>
      <c r="E1092" t="s">
        <v>19072</v>
      </c>
      <c r="F1092" t="s">
        <v>30900</v>
      </c>
      <c r="G1092" t="s">
        <v>30908</v>
      </c>
      <c r="H1092" t="s">
        <v>30916</v>
      </c>
      <c r="I1092" t="s">
        <v>4108</v>
      </c>
      <c r="J1092" t="s">
        <v>31902</v>
      </c>
      <c r="K1092" t="s">
        <v>40287</v>
      </c>
      <c r="M1092" t="s">
        <v>41130</v>
      </c>
      <c r="N1092" t="s">
        <v>44759</v>
      </c>
      <c r="O1092" t="s">
        <v>44760</v>
      </c>
      <c r="P1092">
        <v>0</v>
      </c>
      <c r="Q1092">
        <v>0</v>
      </c>
      <c r="R1092" t="s">
        <v>44761</v>
      </c>
      <c r="S1092" t="s">
        <v>44862</v>
      </c>
      <c r="T1092" t="s">
        <v>46357</v>
      </c>
      <c r="U1092" t="s">
        <v>47922</v>
      </c>
      <c r="W1092" t="s">
        <v>41130</v>
      </c>
      <c r="X1092" t="s">
        <v>44762</v>
      </c>
    </row>
    <row r="1093" spans="1:24">
      <c r="A1093">
        <f>HYPERLINK("https://www.philgeps.gov.ph/GEPSNONPILOT/Tender/SplashBidNoticeAbstractUI.aspx?menuIndex=3&amp;refID=7153266&amp;Result=3","7153266")</f>
        <v>0</v>
      </c>
      <c r="B1093" t="s">
        <v>89</v>
      </c>
      <c r="C1093" t="s">
        <v>4823</v>
      </c>
      <c r="D1093" t="s">
        <v>17971</v>
      </c>
      <c r="E1093" t="s">
        <v>19073</v>
      </c>
      <c r="F1093" t="s">
        <v>30900</v>
      </c>
      <c r="G1093" t="s">
        <v>30907</v>
      </c>
      <c r="H1093" t="s">
        <v>30916</v>
      </c>
      <c r="I1093" t="s">
        <v>8044</v>
      </c>
      <c r="J1093" t="s">
        <v>31903</v>
      </c>
      <c r="K1093" t="s">
        <v>40289</v>
      </c>
      <c r="M1093" t="s">
        <v>40636</v>
      </c>
      <c r="N1093" t="s">
        <v>44759</v>
      </c>
      <c r="O1093" t="s">
        <v>44760</v>
      </c>
      <c r="P1093">
        <v>0</v>
      </c>
      <c r="Q1093">
        <v>0</v>
      </c>
      <c r="R1093" t="s">
        <v>44761</v>
      </c>
      <c r="S1093" t="s">
        <v>44862</v>
      </c>
      <c r="T1093" t="s">
        <v>46475</v>
      </c>
      <c r="U1093" t="s">
        <v>47923</v>
      </c>
      <c r="V1093" t="s">
        <v>59250</v>
      </c>
      <c r="W1093" t="s">
        <v>40636</v>
      </c>
      <c r="X1093" t="s">
        <v>44762</v>
      </c>
    </row>
    <row r="1094" spans="1:24">
      <c r="A1094">
        <f>HYPERLINK("https://www.philgeps.gov.ph/GEPSNONPILOT/Tender/SplashBidNoticeAbstractUI.aspx?menuIndex=3&amp;refID=7153263&amp;Result=3","7153263")</f>
        <v>0</v>
      </c>
      <c r="B1094" t="s">
        <v>514</v>
      </c>
      <c r="C1094" t="s">
        <v>4824</v>
      </c>
      <c r="D1094" t="s">
        <v>17975</v>
      </c>
      <c r="E1094" t="s">
        <v>19074</v>
      </c>
      <c r="F1094" t="s">
        <v>30900</v>
      </c>
      <c r="G1094" t="s">
        <v>30908</v>
      </c>
      <c r="H1094" t="s">
        <v>30916</v>
      </c>
      <c r="I1094" t="s">
        <v>8123</v>
      </c>
      <c r="J1094" t="s">
        <v>31904</v>
      </c>
      <c r="K1094" t="s">
        <v>40283</v>
      </c>
      <c r="M1094" t="s">
        <v>41074</v>
      </c>
      <c r="N1094" t="s">
        <v>44759</v>
      </c>
      <c r="O1094" t="s">
        <v>44760</v>
      </c>
      <c r="P1094">
        <v>0</v>
      </c>
      <c r="Q1094">
        <v>0</v>
      </c>
      <c r="R1094" t="s">
        <v>44761</v>
      </c>
      <c r="S1094" t="s">
        <v>44862</v>
      </c>
      <c r="T1094" t="s">
        <v>46412</v>
      </c>
      <c r="U1094" t="s">
        <v>47795</v>
      </c>
      <c r="W1094" t="s">
        <v>41074</v>
      </c>
      <c r="X1094" t="s">
        <v>44762</v>
      </c>
    </row>
    <row r="1095" spans="1:24">
      <c r="A1095">
        <f>HYPERLINK("https://www.philgeps.gov.ph/GEPSNONPILOT/Tender/SplashBidNoticeAbstractUI.aspx?menuIndex=3&amp;refID=7153262&amp;Result=3","7153262")</f>
        <v>0</v>
      </c>
      <c r="B1095" t="s">
        <v>535</v>
      </c>
      <c r="C1095" t="s">
        <v>4825</v>
      </c>
      <c r="D1095" t="s">
        <v>17959</v>
      </c>
      <c r="E1095" t="s">
        <v>19075</v>
      </c>
      <c r="F1095" t="s">
        <v>30900</v>
      </c>
      <c r="G1095" t="s">
        <v>30908</v>
      </c>
      <c r="H1095" t="s">
        <v>30916</v>
      </c>
      <c r="I1095" t="s">
        <v>30921</v>
      </c>
      <c r="J1095" t="s">
        <v>31905</v>
      </c>
      <c r="K1095" t="s">
        <v>40283</v>
      </c>
      <c r="M1095" t="s">
        <v>41095</v>
      </c>
      <c r="N1095" t="s">
        <v>44759</v>
      </c>
      <c r="O1095" t="s">
        <v>44760</v>
      </c>
      <c r="P1095">
        <v>0</v>
      </c>
      <c r="Q1095">
        <v>0</v>
      </c>
      <c r="R1095" t="s">
        <v>44761</v>
      </c>
      <c r="S1095" t="s">
        <v>44862</v>
      </c>
      <c r="T1095" t="s">
        <v>46409</v>
      </c>
      <c r="U1095" t="s">
        <v>47924</v>
      </c>
      <c r="W1095" t="s">
        <v>60830</v>
      </c>
      <c r="X1095" t="s">
        <v>44762</v>
      </c>
    </row>
    <row r="1096" spans="1:24">
      <c r="A1096">
        <f>HYPERLINK("https://www.philgeps.gov.ph/GEPSNONPILOT/Tender/SplashBidNoticeAbstractUI.aspx?menuIndex=3&amp;refID=7153259&amp;Result=3","7153259")</f>
        <v>0</v>
      </c>
      <c r="B1096" t="s">
        <v>237</v>
      </c>
      <c r="C1096" t="s">
        <v>4826</v>
      </c>
      <c r="D1096" t="s">
        <v>17977</v>
      </c>
      <c r="E1096" t="s">
        <v>4826</v>
      </c>
      <c r="F1096" t="s">
        <v>30900</v>
      </c>
      <c r="G1096" t="s">
        <v>30908</v>
      </c>
      <c r="H1096" t="s">
        <v>30916</v>
      </c>
      <c r="I1096" t="s">
        <v>8123</v>
      </c>
      <c r="J1096" t="s">
        <v>31050</v>
      </c>
      <c r="K1096" t="s">
        <v>40289</v>
      </c>
      <c r="M1096" t="s">
        <v>40784</v>
      </c>
      <c r="N1096" t="s">
        <v>44759</v>
      </c>
      <c r="O1096" t="s">
        <v>44760</v>
      </c>
      <c r="P1096">
        <v>0</v>
      </c>
      <c r="Q1096">
        <v>0</v>
      </c>
      <c r="R1096" t="s">
        <v>44761</v>
      </c>
      <c r="S1096" t="s">
        <v>44862</v>
      </c>
      <c r="T1096" t="s">
        <v>46393</v>
      </c>
      <c r="U1096" t="s">
        <v>47925</v>
      </c>
      <c r="W1096" t="s">
        <v>40784</v>
      </c>
      <c r="X1096" t="s">
        <v>44762</v>
      </c>
    </row>
    <row r="1097" spans="1:24">
      <c r="A1097">
        <f>HYPERLINK("https://www.philgeps.gov.ph/GEPSNONPILOT/Tender/SplashBidNoticeAbstractUI.aspx?menuIndex=3&amp;refID=7153237&amp;Result=3","7153237")</f>
        <v>0</v>
      </c>
      <c r="B1097" t="s">
        <v>537</v>
      </c>
      <c r="C1097" t="s">
        <v>4827</v>
      </c>
      <c r="D1097" t="s">
        <v>17978</v>
      </c>
      <c r="E1097" t="s">
        <v>19076</v>
      </c>
      <c r="F1097" t="s">
        <v>30900</v>
      </c>
      <c r="G1097" t="s">
        <v>30907</v>
      </c>
      <c r="H1097" t="s">
        <v>30915</v>
      </c>
      <c r="I1097" t="s">
        <v>30919</v>
      </c>
      <c r="J1097" t="s">
        <v>31906</v>
      </c>
      <c r="K1097" t="s">
        <v>40292</v>
      </c>
      <c r="M1097" t="s">
        <v>41097</v>
      </c>
      <c r="N1097" t="s">
        <v>44759</v>
      </c>
      <c r="O1097" t="s">
        <v>44760</v>
      </c>
      <c r="P1097">
        <v>0</v>
      </c>
      <c r="Q1097">
        <v>0</v>
      </c>
      <c r="R1097" t="s">
        <v>44761</v>
      </c>
      <c r="S1097" t="s">
        <v>44862</v>
      </c>
      <c r="T1097" t="s">
        <v>46456</v>
      </c>
      <c r="U1097" t="s">
        <v>47892</v>
      </c>
      <c r="V1097" t="s">
        <v>59239</v>
      </c>
      <c r="W1097" t="s">
        <v>41097</v>
      </c>
      <c r="X1097" t="s">
        <v>44762</v>
      </c>
    </row>
    <row r="1098" spans="1:24">
      <c r="A1098">
        <f>HYPERLINK("https://www.philgeps.gov.ph/GEPSNONPILOT/Tender/SplashBidNoticeAbstractUI.aspx?menuIndex=3&amp;refID=7153251&amp;Result=3","7153251")</f>
        <v>0</v>
      </c>
      <c r="B1098" t="s">
        <v>247</v>
      </c>
      <c r="C1098" t="s">
        <v>4165</v>
      </c>
      <c r="D1098" t="s">
        <v>17954</v>
      </c>
      <c r="E1098" t="s">
        <v>19077</v>
      </c>
      <c r="F1098" t="s">
        <v>30900</v>
      </c>
      <c r="G1098" t="s">
        <v>30907</v>
      </c>
      <c r="H1098" t="s">
        <v>30915</v>
      </c>
      <c r="I1098" t="s">
        <v>30919</v>
      </c>
      <c r="J1098" t="s">
        <v>31341</v>
      </c>
      <c r="K1098" t="s">
        <v>40339</v>
      </c>
      <c r="M1098" t="s">
        <v>40794</v>
      </c>
      <c r="N1098" t="s">
        <v>44759</v>
      </c>
      <c r="O1098" t="s">
        <v>44760</v>
      </c>
      <c r="P1098">
        <v>0</v>
      </c>
      <c r="Q1098">
        <v>0</v>
      </c>
      <c r="R1098" t="s">
        <v>44761</v>
      </c>
      <c r="S1098" t="s">
        <v>44862</v>
      </c>
      <c r="T1098" t="s">
        <v>46352</v>
      </c>
      <c r="U1098" t="s">
        <v>47926</v>
      </c>
      <c r="W1098" t="s">
        <v>40794</v>
      </c>
      <c r="X1098" t="s">
        <v>44762</v>
      </c>
    </row>
    <row r="1099" spans="1:24">
      <c r="A1099">
        <f>HYPERLINK("https://www.philgeps.gov.ph/GEPSNONPILOT/Tender/SplashBidNoticeAbstractUI.aspx?menuIndex=3&amp;refID=7153265&amp;Result=3","7153265")</f>
        <v>0</v>
      </c>
      <c r="B1099" t="s">
        <v>570</v>
      </c>
      <c r="C1099" t="s">
        <v>4828</v>
      </c>
      <c r="D1099" t="s">
        <v>17985</v>
      </c>
      <c r="E1099" t="s">
        <v>19078</v>
      </c>
      <c r="F1099" t="s">
        <v>30900</v>
      </c>
      <c r="G1099" t="s">
        <v>30908</v>
      </c>
      <c r="H1099" t="s">
        <v>30916</v>
      </c>
      <c r="I1099" t="s">
        <v>30924</v>
      </c>
      <c r="J1099" t="s">
        <v>31270</v>
      </c>
      <c r="K1099" t="s">
        <v>40289</v>
      </c>
      <c r="M1099" t="s">
        <v>41131</v>
      </c>
      <c r="N1099" t="s">
        <v>44759</v>
      </c>
      <c r="O1099" t="s">
        <v>44760</v>
      </c>
      <c r="P1099">
        <v>0</v>
      </c>
      <c r="Q1099">
        <v>0</v>
      </c>
      <c r="R1099" t="s">
        <v>44761</v>
      </c>
      <c r="S1099" t="s">
        <v>44862</v>
      </c>
      <c r="T1099" t="s">
        <v>46376</v>
      </c>
      <c r="U1099" t="s">
        <v>47927</v>
      </c>
      <c r="W1099" t="s">
        <v>41131</v>
      </c>
      <c r="X1099" t="s">
        <v>44762</v>
      </c>
    </row>
    <row r="1100" spans="1:24">
      <c r="A1100">
        <f>HYPERLINK("https://www.philgeps.gov.ph/GEPSNONPILOT/Tender/SplashBidNoticeAbstractUI.aspx?menuIndex=3&amp;refID=7153284&amp;Result=3","7153284")</f>
        <v>0</v>
      </c>
      <c r="B1100" t="s">
        <v>571</v>
      </c>
      <c r="C1100" t="s">
        <v>4829</v>
      </c>
      <c r="D1100" t="s">
        <v>17963</v>
      </c>
      <c r="E1100" t="s">
        <v>19079</v>
      </c>
      <c r="F1100" t="s">
        <v>30900</v>
      </c>
      <c r="G1100" t="s">
        <v>30907</v>
      </c>
      <c r="H1100" t="s">
        <v>30916</v>
      </c>
      <c r="I1100" t="s">
        <v>5501</v>
      </c>
      <c r="J1100" t="s">
        <v>31907</v>
      </c>
      <c r="K1100" t="s">
        <v>40289</v>
      </c>
      <c r="M1100" t="s">
        <v>41132</v>
      </c>
      <c r="N1100" t="s">
        <v>44759</v>
      </c>
      <c r="O1100" t="s">
        <v>44760</v>
      </c>
      <c r="P1100">
        <v>0</v>
      </c>
      <c r="Q1100">
        <v>0</v>
      </c>
      <c r="R1100" t="s">
        <v>44761</v>
      </c>
      <c r="S1100" t="s">
        <v>44862</v>
      </c>
      <c r="T1100" t="s">
        <v>46352</v>
      </c>
      <c r="U1100" t="s">
        <v>47928</v>
      </c>
      <c r="W1100" t="s">
        <v>41132</v>
      </c>
      <c r="X1100" t="s">
        <v>44762</v>
      </c>
    </row>
    <row r="1101" spans="1:24">
      <c r="A1101">
        <f>HYPERLINK("https://www.philgeps.gov.ph/GEPSNONPILOT/Tender/SplashBidNoticeAbstractUI.aspx?menuIndex=3&amp;refID=7153291&amp;Result=3","7153291")</f>
        <v>0</v>
      </c>
      <c r="B1101" t="s">
        <v>164</v>
      </c>
      <c r="C1101" t="s">
        <v>4830</v>
      </c>
      <c r="D1101" t="s">
        <v>17961</v>
      </c>
      <c r="E1101" t="s">
        <v>19080</v>
      </c>
      <c r="F1101" t="s">
        <v>30900</v>
      </c>
      <c r="G1101" t="s">
        <v>30907</v>
      </c>
      <c r="H1101" t="s">
        <v>30916</v>
      </c>
      <c r="I1101" t="s">
        <v>6396</v>
      </c>
      <c r="J1101" t="s">
        <v>31908</v>
      </c>
      <c r="K1101" t="s">
        <v>40294</v>
      </c>
      <c r="M1101" t="s">
        <v>40711</v>
      </c>
      <c r="N1101" t="s">
        <v>44759</v>
      </c>
      <c r="O1101" t="s">
        <v>44760</v>
      </c>
      <c r="P1101">
        <v>0</v>
      </c>
      <c r="Q1101">
        <v>0</v>
      </c>
      <c r="R1101" t="s">
        <v>44761</v>
      </c>
      <c r="S1101" t="s">
        <v>44862</v>
      </c>
      <c r="T1101" t="s">
        <v>46367</v>
      </c>
      <c r="U1101" t="s">
        <v>47929</v>
      </c>
      <c r="W1101" t="s">
        <v>40711</v>
      </c>
      <c r="X1101" t="s">
        <v>44762</v>
      </c>
    </row>
    <row r="1102" spans="1:24">
      <c r="A1102">
        <f>HYPERLINK("https://www.philgeps.gov.ph/GEPSNONPILOT/Tender/SplashBidNoticeAbstractUI.aspx?menuIndex=3&amp;refID=7153239&amp;Result=3","7153239")</f>
        <v>0</v>
      </c>
      <c r="B1102" t="s">
        <v>541</v>
      </c>
      <c r="C1102" t="s">
        <v>4831</v>
      </c>
      <c r="D1102" t="s">
        <v>17977</v>
      </c>
      <c r="E1102" t="s">
        <v>18366</v>
      </c>
      <c r="F1102" t="s">
        <v>30900</v>
      </c>
      <c r="G1102" t="s">
        <v>30908</v>
      </c>
      <c r="H1102" t="s">
        <v>30916</v>
      </c>
      <c r="I1102" t="s">
        <v>30923</v>
      </c>
      <c r="J1102" t="s">
        <v>31909</v>
      </c>
      <c r="K1102" t="s">
        <v>40287</v>
      </c>
      <c r="M1102" t="s">
        <v>41101</v>
      </c>
      <c r="N1102" t="s">
        <v>44759</v>
      </c>
      <c r="O1102" t="s">
        <v>44760</v>
      </c>
      <c r="P1102">
        <v>0</v>
      </c>
      <c r="Q1102">
        <v>0</v>
      </c>
      <c r="R1102" t="s">
        <v>44761</v>
      </c>
      <c r="S1102" t="s">
        <v>44862</v>
      </c>
      <c r="T1102" t="s">
        <v>46421</v>
      </c>
      <c r="U1102" t="s">
        <v>47930</v>
      </c>
      <c r="W1102" t="s">
        <v>41101</v>
      </c>
      <c r="X1102" t="s">
        <v>44762</v>
      </c>
    </row>
    <row r="1103" spans="1:24">
      <c r="A1103">
        <f>HYPERLINK("https://www.philgeps.gov.ph/GEPSNONPILOT/Tender/SplashBidNoticeAbstractUI.aspx?menuIndex=3&amp;refID=7153288&amp;Result=3","7153288")</f>
        <v>0</v>
      </c>
      <c r="B1103" t="s">
        <v>572</v>
      </c>
      <c r="C1103" t="s">
        <v>4832</v>
      </c>
      <c r="D1103" t="s">
        <v>17953</v>
      </c>
      <c r="E1103" t="s">
        <v>19081</v>
      </c>
      <c r="F1103" t="s">
        <v>30900</v>
      </c>
      <c r="G1103" t="s">
        <v>30907</v>
      </c>
      <c r="H1103" t="s">
        <v>30916</v>
      </c>
      <c r="I1103" t="s">
        <v>8365</v>
      </c>
      <c r="J1103" t="s">
        <v>31826</v>
      </c>
      <c r="K1103" t="s">
        <v>40284</v>
      </c>
      <c r="M1103" t="s">
        <v>41133</v>
      </c>
      <c r="N1103" t="s">
        <v>44759</v>
      </c>
      <c r="O1103" t="s">
        <v>44760</v>
      </c>
      <c r="P1103">
        <v>0</v>
      </c>
      <c r="Q1103">
        <v>0</v>
      </c>
      <c r="R1103" t="s">
        <v>44761</v>
      </c>
      <c r="S1103" t="s">
        <v>44862</v>
      </c>
      <c r="T1103" t="s">
        <v>46405</v>
      </c>
      <c r="U1103" t="s">
        <v>47931</v>
      </c>
      <c r="W1103" t="s">
        <v>41133</v>
      </c>
      <c r="X1103" t="s">
        <v>44762</v>
      </c>
    </row>
    <row r="1104" spans="1:24">
      <c r="A1104">
        <f>HYPERLINK("https://www.philgeps.gov.ph/GEPSNONPILOT/Tender/SplashBidNoticeAbstractUI.aspx?menuIndex=3&amp;refID=7153285&amp;Result=3","7153285")</f>
        <v>0</v>
      </c>
      <c r="B1104" t="s">
        <v>559</v>
      </c>
      <c r="C1104" t="s">
        <v>4833</v>
      </c>
      <c r="D1104" t="s">
        <v>17990</v>
      </c>
      <c r="E1104" t="s">
        <v>19082</v>
      </c>
      <c r="F1104" t="s">
        <v>30900</v>
      </c>
      <c r="G1104" t="s">
        <v>30908</v>
      </c>
      <c r="H1104" t="s">
        <v>30916</v>
      </c>
      <c r="I1104" t="s">
        <v>30924</v>
      </c>
      <c r="J1104" t="s">
        <v>31269</v>
      </c>
      <c r="K1104" t="s">
        <v>40286</v>
      </c>
      <c r="M1104" t="s">
        <v>41120</v>
      </c>
      <c r="N1104" t="s">
        <v>44759</v>
      </c>
      <c r="O1104" t="s">
        <v>44760</v>
      </c>
      <c r="P1104">
        <v>0</v>
      </c>
      <c r="Q1104">
        <v>0</v>
      </c>
      <c r="R1104" t="s">
        <v>44761</v>
      </c>
      <c r="S1104" t="s">
        <v>44862</v>
      </c>
      <c r="T1104" t="s">
        <v>46424</v>
      </c>
      <c r="U1104" t="s">
        <v>47932</v>
      </c>
      <c r="W1104" t="s">
        <v>41120</v>
      </c>
      <c r="X1104" t="s">
        <v>44762</v>
      </c>
    </row>
    <row r="1105" spans="1:24">
      <c r="A1105">
        <f>HYPERLINK("https://www.philgeps.gov.ph/GEPSNONPILOT/Tender/SplashBidNoticeAbstractUI.aspx?menuIndex=3&amp;refID=7153316&amp;Result=3","7153316")</f>
        <v>0</v>
      </c>
      <c r="B1105" t="s">
        <v>451</v>
      </c>
      <c r="C1105" t="s">
        <v>4834</v>
      </c>
      <c r="D1105" t="s">
        <v>17980</v>
      </c>
      <c r="E1105" t="s">
        <v>19083</v>
      </c>
      <c r="F1105" t="s">
        <v>30900</v>
      </c>
      <c r="G1105" t="s">
        <v>30908</v>
      </c>
      <c r="H1105" t="s">
        <v>30916</v>
      </c>
      <c r="I1105" t="s">
        <v>30934</v>
      </c>
      <c r="J1105" t="s">
        <v>31587</v>
      </c>
      <c r="K1105" t="s">
        <v>40283</v>
      </c>
      <c r="M1105" t="s">
        <v>41008</v>
      </c>
      <c r="N1105" t="s">
        <v>44759</v>
      </c>
      <c r="O1105" t="s">
        <v>44760</v>
      </c>
      <c r="P1105">
        <v>0</v>
      </c>
      <c r="Q1105">
        <v>0</v>
      </c>
      <c r="R1105" t="s">
        <v>44761</v>
      </c>
      <c r="S1105" t="s">
        <v>44862</v>
      </c>
      <c r="T1105" t="s">
        <v>46399</v>
      </c>
      <c r="U1105" t="s">
        <v>47278</v>
      </c>
      <c r="W1105" t="s">
        <v>41008</v>
      </c>
      <c r="X1105" t="s">
        <v>44762</v>
      </c>
    </row>
    <row r="1106" spans="1:24">
      <c r="A1106">
        <f>HYPERLINK("https://www.philgeps.gov.ph/GEPSNONPILOT/Tender/SplashBidNoticeAbstractUI.aspx?menuIndex=3&amp;refID=7153313&amp;Result=3","7153313")</f>
        <v>0</v>
      </c>
      <c r="B1106" t="s">
        <v>514</v>
      </c>
      <c r="C1106" t="s">
        <v>4835</v>
      </c>
      <c r="D1106" t="s">
        <v>17975</v>
      </c>
      <c r="E1106" t="s">
        <v>19084</v>
      </c>
      <c r="F1106" t="s">
        <v>30900</v>
      </c>
      <c r="G1106" t="s">
        <v>30908</v>
      </c>
      <c r="H1106" t="s">
        <v>30916</v>
      </c>
      <c r="I1106" t="s">
        <v>6746</v>
      </c>
      <c r="J1106" t="s">
        <v>31204</v>
      </c>
      <c r="K1106" t="s">
        <v>40287</v>
      </c>
      <c r="M1106" t="s">
        <v>41074</v>
      </c>
      <c r="N1106" t="s">
        <v>44759</v>
      </c>
      <c r="O1106" t="s">
        <v>44760</v>
      </c>
      <c r="P1106">
        <v>0</v>
      </c>
      <c r="Q1106">
        <v>0</v>
      </c>
      <c r="R1106" t="s">
        <v>44761</v>
      </c>
      <c r="S1106" t="s">
        <v>44862</v>
      </c>
      <c r="T1106" t="s">
        <v>46412</v>
      </c>
      <c r="U1106" t="s">
        <v>47795</v>
      </c>
      <c r="W1106" t="s">
        <v>41074</v>
      </c>
      <c r="X1106" t="s">
        <v>44762</v>
      </c>
    </row>
    <row r="1107" spans="1:24">
      <c r="A1107">
        <f>HYPERLINK("https://www.philgeps.gov.ph/GEPSNONPILOT/Tender/SplashBidNoticeAbstractUI.aspx?menuIndex=3&amp;refID=7153315&amp;Result=3","7153315")</f>
        <v>0</v>
      </c>
      <c r="B1107" t="s">
        <v>284</v>
      </c>
      <c r="C1107" t="s">
        <v>4836</v>
      </c>
      <c r="D1107" t="s">
        <v>18009</v>
      </c>
      <c r="E1107" t="s">
        <v>19085</v>
      </c>
      <c r="F1107" t="s">
        <v>30900</v>
      </c>
      <c r="G1107" t="s">
        <v>30908</v>
      </c>
      <c r="H1107" t="s">
        <v>30916</v>
      </c>
      <c r="I1107" t="s">
        <v>4108</v>
      </c>
      <c r="J1107" t="s">
        <v>31495</v>
      </c>
      <c r="K1107" t="s">
        <v>40287</v>
      </c>
      <c r="M1107" t="s">
        <v>41050</v>
      </c>
      <c r="N1107" t="s">
        <v>44759</v>
      </c>
      <c r="O1107" t="s">
        <v>44760</v>
      </c>
      <c r="P1107">
        <v>0</v>
      </c>
      <c r="Q1107">
        <v>0</v>
      </c>
      <c r="R1107" t="s">
        <v>44761</v>
      </c>
      <c r="S1107" t="s">
        <v>44862</v>
      </c>
      <c r="T1107" t="s">
        <v>46389</v>
      </c>
      <c r="U1107" t="s">
        <v>47933</v>
      </c>
      <c r="W1107" t="s">
        <v>41050</v>
      </c>
      <c r="X1107" t="s">
        <v>44762</v>
      </c>
    </row>
    <row r="1108" spans="1:24">
      <c r="A1108">
        <f>HYPERLINK("https://www.philgeps.gov.ph/GEPSNONPILOT/Tender/SplashBidNoticeAbstractUI.aspx?menuIndex=3&amp;refID=7153311&amp;Result=3","7153311")</f>
        <v>0</v>
      </c>
      <c r="B1108" t="s">
        <v>302</v>
      </c>
      <c r="C1108" t="s">
        <v>4837</v>
      </c>
      <c r="D1108" t="s">
        <v>17959</v>
      </c>
      <c r="E1108" t="s">
        <v>19086</v>
      </c>
      <c r="F1108" t="s">
        <v>30900</v>
      </c>
      <c r="G1108" t="s">
        <v>30908</v>
      </c>
      <c r="H1108" t="s">
        <v>7411</v>
      </c>
      <c r="I1108" t="s">
        <v>7411</v>
      </c>
      <c r="J1108" t="s">
        <v>31101</v>
      </c>
      <c r="K1108" t="s">
        <v>40283</v>
      </c>
      <c r="M1108" t="s">
        <v>40851</v>
      </c>
      <c r="N1108" t="s">
        <v>44759</v>
      </c>
      <c r="O1108" t="s">
        <v>44760</v>
      </c>
      <c r="P1108">
        <v>0</v>
      </c>
      <c r="Q1108">
        <v>0</v>
      </c>
      <c r="R1108" t="s">
        <v>44761</v>
      </c>
      <c r="S1108" t="s">
        <v>44862</v>
      </c>
      <c r="T1108" t="s">
        <v>46390</v>
      </c>
      <c r="U1108" t="s">
        <v>47934</v>
      </c>
      <c r="W1108" t="s">
        <v>40851</v>
      </c>
      <c r="X1108" t="s">
        <v>44762</v>
      </c>
    </row>
    <row r="1109" spans="1:24">
      <c r="A1109">
        <f>HYPERLINK("https://www.philgeps.gov.ph/GEPSNONPILOT/Tender/SplashBidNoticeAbstractUI.aspx?menuIndex=3&amp;refID=7153287&amp;Result=3","7153287")</f>
        <v>0</v>
      </c>
      <c r="B1109" t="s">
        <v>556</v>
      </c>
      <c r="C1109" t="s">
        <v>4838</v>
      </c>
      <c r="D1109" t="s">
        <v>17959</v>
      </c>
      <c r="E1109" t="s">
        <v>19087</v>
      </c>
      <c r="F1109" t="s">
        <v>30900</v>
      </c>
      <c r="G1109" t="s">
        <v>30907</v>
      </c>
      <c r="H1109" t="s">
        <v>30916</v>
      </c>
      <c r="I1109" t="s">
        <v>30977</v>
      </c>
      <c r="J1109" t="s">
        <v>31910</v>
      </c>
      <c r="K1109" t="s">
        <v>40286</v>
      </c>
      <c r="M1109" t="s">
        <v>41117</v>
      </c>
      <c r="N1109" t="s">
        <v>44759</v>
      </c>
      <c r="O1109" t="s">
        <v>44760</v>
      </c>
      <c r="P1109">
        <v>0</v>
      </c>
      <c r="Q1109">
        <v>0</v>
      </c>
      <c r="R1109" t="s">
        <v>44761</v>
      </c>
      <c r="S1109" t="s">
        <v>44862</v>
      </c>
      <c r="T1109" t="s">
        <v>46448</v>
      </c>
      <c r="U1109" t="s">
        <v>47935</v>
      </c>
      <c r="W1109" t="s">
        <v>41117</v>
      </c>
      <c r="X1109" t="s">
        <v>44762</v>
      </c>
    </row>
    <row r="1110" spans="1:24">
      <c r="A1110">
        <f>HYPERLINK("https://www.philgeps.gov.ph/GEPSNONPILOT/Tender/SplashBidNoticeAbstractUI.aspx?menuIndex=3&amp;refID=7153309&amp;Result=3","7153309")</f>
        <v>0</v>
      </c>
      <c r="B1110" t="s">
        <v>573</v>
      </c>
      <c r="C1110" t="s">
        <v>4839</v>
      </c>
      <c r="D1110" t="s">
        <v>18023</v>
      </c>
      <c r="E1110" t="s">
        <v>19088</v>
      </c>
      <c r="F1110" t="s">
        <v>30900</v>
      </c>
      <c r="G1110" t="s">
        <v>30908</v>
      </c>
      <c r="H1110" t="s">
        <v>30916</v>
      </c>
      <c r="I1110" t="s">
        <v>8044</v>
      </c>
      <c r="J1110" t="s">
        <v>31911</v>
      </c>
      <c r="K1110" t="s">
        <v>40291</v>
      </c>
      <c r="M1110" t="s">
        <v>41134</v>
      </c>
      <c r="N1110" t="s">
        <v>44759</v>
      </c>
      <c r="O1110" t="s">
        <v>44760</v>
      </c>
      <c r="P1110">
        <v>0</v>
      </c>
      <c r="Q1110">
        <v>0</v>
      </c>
      <c r="R1110" t="s">
        <v>44761</v>
      </c>
      <c r="S1110" t="s">
        <v>44862</v>
      </c>
      <c r="T1110" t="s">
        <v>46399</v>
      </c>
      <c r="U1110" t="s">
        <v>47936</v>
      </c>
      <c r="V1110" t="s">
        <v>59251</v>
      </c>
      <c r="W1110" t="s">
        <v>41134</v>
      </c>
      <c r="X1110" t="s">
        <v>44762</v>
      </c>
    </row>
    <row r="1111" spans="1:24">
      <c r="A1111">
        <f>HYPERLINK("https://www.philgeps.gov.ph/GEPSNONPILOT/Tender/SplashBidNoticeAbstractUI.aspx?menuIndex=3&amp;refID=7153308&amp;Result=3","7153308")</f>
        <v>0</v>
      </c>
      <c r="B1111" t="s">
        <v>531</v>
      </c>
      <c r="C1111" t="s">
        <v>4840</v>
      </c>
      <c r="D1111" t="s">
        <v>17955</v>
      </c>
      <c r="E1111" t="s">
        <v>19089</v>
      </c>
      <c r="F1111" t="s">
        <v>30900</v>
      </c>
      <c r="G1111" t="s">
        <v>30909</v>
      </c>
      <c r="H1111" t="s">
        <v>30916</v>
      </c>
      <c r="I1111" t="s">
        <v>5830</v>
      </c>
      <c r="J1111" t="s">
        <v>31912</v>
      </c>
      <c r="K1111" t="s">
        <v>40285</v>
      </c>
      <c r="M1111" t="s">
        <v>41091</v>
      </c>
      <c r="N1111" t="s">
        <v>44759</v>
      </c>
      <c r="O1111" t="s">
        <v>44760</v>
      </c>
      <c r="P1111">
        <v>0</v>
      </c>
      <c r="Q1111">
        <v>0</v>
      </c>
      <c r="R1111" t="s">
        <v>44761</v>
      </c>
      <c r="S1111" t="s">
        <v>44862</v>
      </c>
      <c r="T1111" t="s">
        <v>46398</v>
      </c>
      <c r="U1111" t="s">
        <v>47259</v>
      </c>
      <c r="W1111" t="s">
        <v>41091</v>
      </c>
      <c r="X1111" t="s">
        <v>44762</v>
      </c>
    </row>
    <row r="1112" spans="1:24">
      <c r="A1112">
        <f>HYPERLINK("https://www.philgeps.gov.ph/GEPSNONPILOT/Tender/SplashBidNoticeAbstractUI.aspx?menuIndex=3&amp;refID=7153305&amp;Result=3","7153305")</f>
        <v>0</v>
      </c>
      <c r="B1112" t="s">
        <v>533</v>
      </c>
      <c r="C1112" t="s">
        <v>4841</v>
      </c>
      <c r="D1112" t="s">
        <v>17976</v>
      </c>
      <c r="E1112" t="s">
        <v>19090</v>
      </c>
      <c r="F1112" t="s">
        <v>30900</v>
      </c>
      <c r="G1112" t="s">
        <v>30908</v>
      </c>
      <c r="H1112" t="s">
        <v>30916</v>
      </c>
      <c r="I1112" t="s">
        <v>30934</v>
      </c>
      <c r="J1112" t="s">
        <v>31913</v>
      </c>
      <c r="K1112" t="s">
        <v>40286</v>
      </c>
      <c r="M1112" t="s">
        <v>41093</v>
      </c>
      <c r="N1112" t="s">
        <v>44759</v>
      </c>
      <c r="O1112" t="s">
        <v>44760</v>
      </c>
      <c r="P1112">
        <v>0</v>
      </c>
      <c r="Q1112">
        <v>0</v>
      </c>
      <c r="R1112" t="s">
        <v>44761</v>
      </c>
      <c r="S1112" t="s">
        <v>44862</v>
      </c>
      <c r="T1112" t="s">
        <v>46390</v>
      </c>
      <c r="U1112" t="s">
        <v>47937</v>
      </c>
      <c r="W1112" t="s">
        <v>41093</v>
      </c>
      <c r="X1112" t="s">
        <v>44762</v>
      </c>
    </row>
    <row r="1113" spans="1:24">
      <c r="A1113">
        <f>HYPERLINK("https://www.philgeps.gov.ph/GEPSNONPILOT/Tender/SplashBidNoticeAbstractUI.aspx?menuIndex=3&amp;refID=7153304&amp;Result=3","7153304")</f>
        <v>0</v>
      </c>
      <c r="B1113" t="s">
        <v>574</v>
      </c>
      <c r="C1113" t="s">
        <v>4842</v>
      </c>
      <c r="D1113" t="s">
        <v>17951</v>
      </c>
      <c r="E1113" t="s">
        <v>19091</v>
      </c>
      <c r="F1113" t="s">
        <v>30900</v>
      </c>
      <c r="G1113" t="s">
        <v>30909</v>
      </c>
      <c r="H1113" t="s">
        <v>30916</v>
      </c>
      <c r="I1113" t="s">
        <v>30923</v>
      </c>
      <c r="J1113" t="s">
        <v>31443</v>
      </c>
      <c r="K1113" t="s">
        <v>40284</v>
      </c>
      <c r="M1113" t="s">
        <v>41135</v>
      </c>
      <c r="N1113" t="s">
        <v>44759</v>
      </c>
      <c r="O1113" t="s">
        <v>44760</v>
      </c>
      <c r="P1113">
        <v>0</v>
      </c>
      <c r="Q1113">
        <v>0</v>
      </c>
      <c r="R1113" t="s">
        <v>44761</v>
      </c>
      <c r="S1113" t="s">
        <v>44862</v>
      </c>
      <c r="T1113" t="s">
        <v>46457</v>
      </c>
      <c r="U1113" t="s">
        <v>47938</v>
      </c>
      <c r="W1113" t="s">
        <v>41135</v>
      </c>
      <c r="X1113" t="s">
        <v>44762</v>
      </c>
    </row>
    <row r="1114" spans="1:24">
      <c r="A1114">
        <f>HYPERLINK("https://www.philgeps.gov.ph/GEPSNONPILOT/Tender/SplashBidNoticeAbstractUI.aspx?menuIndex=3&amp;refID=7153303&amp;Result=3","7153303")</f>
        <v>0</v>
      </c>
      <c r="B1114" t="s">
        <v>522</v>
      </c>
      <c r="C1114" t="s">
        <v>4843</v>
      </c>
      <c r="D1114" t="s">
        <v>18017</v>
      </c>
      <c r="E1114" t="s">
        <v>19092</v>
      </c>
      <c r="F1114" t="s">
        <v>30900</v>
      </c>
      <c r="G1114" t="s">
        <v>30906</v>
      </c>
      <c r="H1114" t="s">
        <v>30916</v>
      </c>
      <c r="I1114" t="s">
        <v>10879</v>
      </c>
      <c r="J1114" t="s">
        <v>31574</v>
      </c>
      <c r="K1114" t="s">
        <v>40287</v>
      </c>
      <c r="M1114" t="s">
        <v>41082</v>
      </c>
      <c r="N1114" t="s">
        <v>44759</v>
      </c>
      <c r="O1114" t="s">
        <v>44760</v>
      </c>
      <c r="P1114">
        <v>0</v>
      </c>
      <c r="Q1114">
        <v>0</v>
      </c>
      <c r="R1114" t="s">
        <v>44761</v>
      </c>
      <c r="S1114" t="s">
        <v>44862</v>
      </c>
      <c r="T1114" t="s">
        <v>46421</v>
      </c>
      <c r="U1114" t="s">
        <v>47939</v>
      </c>
      <c r="W1114" t="s">
        <v>41082</v>
      </c>
      <c r="X1114" t="s">
        <v>44762</v>
      </c>
    </row>
    <row r="1115" spans="1:24">
      <c r="A1115">
        <f>HYPERLINK("https://www.philgeps.gov.ph/GEPSNONPILOT/Tender/SplashBidNoticeAbstractUI.aspx?menuIndex=3&amp;refID=7153302&amp;Result=3","7153302")</f>
        <v>0</v>
      </c>
      <c r="B1115" t="s">
        <v>557</v>
      </c>
      <c r="C1115" t="s">
        <v>4844</v>
      </c>
      <c r="D1115" t="s">
        <v>17961</v>
      </c>
      <c r="E1115" t="s">
        <v>19042</v>
      </c>
      <c r="F1115" t="s">
        <v>30900</v>
      </c>
      <c r="G1115" t="s">
        <v>30910</v>
      </c>
      <c r="H1115" t="s">
        <v>30916</v>
      </c>
      <c r="I1115" t="s">
        <v>8123</v>
      </c>
      <c r="J1115" t="s">
        <v>31914</v>
      </c>
      <c r="K1115" t="s">
        <v>40285</v>
      </c>
      <c r="M1115" t="s">
        <v>41118</v>
      </c>
      <c r="N1115" t="s">
        <v>44759</v>
      </c>
      <c r="O1115" t="s">
        <v>44760</v>
      </c>
      <c r="P1115">
        <v>0</v>
      </c>
      <c r="Q1115">
        <v>0</v>
      </c>
      <c r="R1115" t="s">
        <v>44761</v>
      </c>
      <c r="S1115" t="s">
        <v>44862</v>
      </c>
      <c r="T1115" t="s">
        <v>46376</v>
      </c>
      <c r="U1115" t="s">
        <v>47940</v>
      </c>
      <c r="W1115" t="s">
        <v>41118</v>
      </c>
      <c r="X1115" t="s">
        <v>44762</v>
      </c>
    </row>
    <row r="1116" spans="1:24">
      <c r="A1116">
        <f>HYPERLINK("https://www.philgeps.gov.ph/GEPSNONPILOT/Tender/SplashBidNoticeAbstractUI.aspx?menuIndex=3&amp;refID=7153290&amp;Result=3","7153290")</f>
        <v>0</v>
      </c>
      <c r="B1116" t="s">
        <v>558</v>
      </c>
      <c r="C1116" t="s">
        <v>4845</v>
      </c>
      <c r="D1116" t="s">
        <v>17985</v>
      </c>
      <c r="E1116" t="s">
        <v>19093</v>
      </c>
      <c r="F1116" t="s">
        <v>30900</v>
      </c>
      <c r="G1116" t="s">
        <v>30907</v>
      </c>
      <c r="H1116" t="s">
        <v>30916</v>
      </c>
      <c r="I1116" t="s">
        <v>5501</v>
      </c>
      <c r="J1116" t="s">
        <v>31855</v>
      </c>
      <c r="K1116" t="s">
        <v>40286</v>
      </c>
      <c r="M1116" t="s">
        <v>41119</v>
      </c>
      <c r="N1116" t="s">
        <v>44759</v>
      </c>
      <c r="O1116" t="s">
        <v>44760</v>
      </c>
      <c r="P1116">
        <v>0</v>
      </c>
      <c r="Q1116">
        <v>0</v>
      </c>
      <c r="R1116" t="s">
        <v>44761</v>
      </c>
      <c r="S1116" t="s">
        <v>44862</v>
      </c>
      <c r="T1116" t="s">
        <v>46353</v>
      </c>
      <c r="U1116" t="s">
        <v>47896</v>
      </c>
      <c r="W1116" t="s">
        <v>41119</v>
      </c>
      <c r="X1116" t="s">
        <v>44762</v>
      </c>
    </row>
    <row r="1117" spans="1:24">
      <c r="A1117">
        <f>HYPERLINK("https://www.philgeps.gov.ph/GEPSNONPILOT/Tender/SplashBidNoticeAbstractUI.aspx?menuIndex=3&amp;refID=7153320&amp;Result=3","7153320")</f>
        <v>0</v>
      </c>
      <c r="B1117" t="s">
        <v>387</v>
      </c>
      <c r="C1117" t="s">
        <v>4846</v>
      </c>
      <c r="D1117" t="s">
        <v>17977</v>
      </c>
      <c r="E1117" t="s">
        <v>19094</v>
      </c>
      <c r="F1117" t="s">
        <v>30900</v>
      </c>
      <c r="G1117" t="s">
        <v>30907</v>
      </c>
      <c r="H1117" t="s">
        <v>30916</v>
      </c>
      <c r="I1117" t="s">
        <v>8123</v>
      </c>
      <c r="J1117" t="s">
        <v>31915</v>
      </c>
      <c r="K1117" t="s">
        <v>40291</v>
      </c>
      <c r="M1117" t="s">
        <v>40942</v>
      </c>
      <c r="N1117" t="s">
        <v>44759</v>
      </c>
      <c r="O1117" t="s">
        <v>44760</v>
      </c>
      <c r="P1117">
        <v>0</v>
      </c>
      <c r="Q1117">
        <v>0</v>
      </c>
      <c r="R1117" t="s">
        <v>44761</v>
      </c>
      <c r="S1117" t="s">
        <v>44862</v>
      </c>
      <c r="T1117" t="s">
        <v>46418</v>
      </c>
      <c r="U1117" t="s">
        <v>47919</v>
      </c>
      <c r="W1117" t="s">
        <v>40942</v>
      </c>
      <c r="X1117" t="s">
        <v>44762</v>
      </c>
    </row>
    <row r="1118" spans="1:24">
      <c r="A1118">
        <f>HYPERLINK("https://www.philgeps.gov.ph/GEPSNONPILOT/Tender/SplashBidNoticeAbstractUI.aspx?menuIndex=3&amp;refID=7153350&amp;Result=3","7153350")</f>
        <v>0</v>
      </c>
      <c r="B1118" t="s">
        <v>191</v>
      </c>
      <c r="C1118" t="s">
        <v>4847</v>
      </c>
      <c r="D1118" t="s">
        <v>17998</v>
      </c>
      <c r="E1118" t="s">
        <v>19095</v>
      </c>
      <c r="F1118" t="s">
        <v>30900</v>
      </c>
      <c r="G1118" t="s">
        <v>30908</v>
      </c>
      <c r="H1118" t="s">
        <v>30917</v>
      </c>
      <c r="I1118" t="s">
        <v>30957</v>
      </c>
      <c r="J1118" t="s">
        <v>31916</v>
      </c>
      <c r="K1118" t="s">
        <v>40287</v>
      </c>
      <c r="M1118" t="s">
        <v>40738</v>
      </c>
      <c r="N1118" t="s">
        <v>44759</v>
      </c>
      <c r="O1118" t="s">
        <v>44760</v>
      </c>
      <c r="P1118">
        <v>0</v>
      </c>
      <c r="Q1118">
        <v>0</v>
      </c>
      <c r="R1118" t="s">
        <v>44761</v>
      </c>
      <c r="S1118" t="s">
        <v>44862</v>
      </c>
      <c r="T1118" t="s">
        <v>46361</v>
      </c>
      <c r="U1118" t="s">
        <v>47941</v>
      </c>
      <c r="V1118" t="s">
        <v>59252</v>
      </c>
      <c r="W1118" t="s">
        <v>40738</v>
      </c>
      <c r="X1118" t="s">
        <v>44762</v>
      </c>
    </row>
    <row r="1119" spans="1:24">
      <c r="A1119">
        <f>HYPERLINK("https://www.philgeps.gov.ph/GEPSNONPILOT/Tender/SplashBidNoticeAbstractUI.aspx?menuIndex=3&amp;refID=7153348&amp;Result=3","7153348")</f>
        <v>0</v>
      </c>
      <c r="B1119" t="s">
        <v>575</v>
      </c>
      <c r="C1119" t="s">
        <v>4848</v>
      </c>
      <c r="E1119" t="s">
        <v>19096</v>
      </c>
      <c r="F1119" t="s">
        <v>30900</v>
      </c>
      <c r="G1119" t="s">
        <v>30907</v>
      </c>
      <c r="H1119" t="s">
        <v>30916</v>
      </c>
      <c r="I1119" t="s">
        <v>8123</v>
      </c>
      <c r="J1119" t="s">
        <v>31917</v>
      </c>
      <c r="K1119" t="s">
        <v>40289</v>
      </c>
      <c r="M1119" t="s">
        <v>41136</v>
      </c>
      <c r="N1119" t="s">
        <v>44759</v>
      </c>
      <c r="O1119" t="s">
        <v>44760</v>
      </c>
      <c r="P1119">
        <v>0</v>
      </c>
      <c r="Q1119">
        <v>0</v>
      </c>
      <c r="R1119" t="s">
        <v>44761</v>
      </c>
      <c r="S1119" t="s">
        <v>44862</v>
      </c>
      <c r="T1119" t="s">
        <v>46352</v>
      </c>
      <c r="U1119" t="s">
        <v>47942</v>
      </c>
      <c r="W1119" t="s">
        <v>41136</v>
      </c>
      <c r="X1119" t="s">
        <v>44762</v>
      </c>
    </row>
    <row r="1120" spans="1:24">
      <c r="A1120">
        <f>HYPERLINK("https://www.philgeps.gov.ph/GEPSNONPILOT/Tender/SplashBidNoticeAbstractUI.aspx?menuIndex=3&amp;refID=7153306&amp;Result=3","7153306")</f>
        <v>0</v>
      </c>
      <c r="B1120" t="s">
        <v>576</v>
      </c>
      <c r="C1120" t="s">
        <v>4849</v>
      </c>
      <c r="D1120" t="s">
        <v>17980</v>
      </c>
      <c r="E1120" t="s">
        <v>18234</v>
      </c>
      <c r="F1120" t="s">
        <v>30900</v>
      </c>
      <c r="G1120" t="s">
        <v>30907</v>
      </c>
      <c r="H1120" t="s">
        <v>30916</v>
      </c>
      <c r="I1120" t="s">
        <v>8123</v>
      </c>
      <c r="J1120" t="s">
        <v>31918</v>
      </c>
      <c r="K1120" t="s">
        <v>40283</v>
      </c>
      <c r="M1120" t="s">
        <v>41137</v>
      </c>
      <c r="N1120" t="s">
        <v>44759</v>
      </c>
      <c r="O1120" t="s">
        <v>44760</v>
      </c>
      <c r="P1120">
        <v>0</v>
      </c>
      <c r="Q1120">
        <v>0</v>
      </c>
      <c r="R1120" t="s">
        <v>44761</v>
      </c>
      <c r="S1120" t="s">
        <v>44862</v>
      </c>
      <c r="T1120" t="s">
        <v>46452</v>
      </c>
      <c r="U1120" t="s">
        <v>47943</v>
      </c>
      <c r="W1120" t="s">
        <v>41137</v>
      </c>
      <c r="X1120" t="s">
        <v>44762</v>
      </c>
    </row>
    <row r="1121" spans="1:24">
      <c r="A1121">
        <f>HYPERLINK("https://www.philgeps.gov.ph/GEPSNONPILOT/Tender/SplashBidNoticeAbstractUI.aspx?menuIndex=3&amp;refID=7153343&amp;Result=3","7153343")</f>
        <v>0</v>
      </c>
      <c r="B1121" t="s">
        <v>577</v>
      </c>
      <c r="C1121" t="s">
        <v>4850</v>
      </c>
      <c r="D1121" t="s">
        <v>18029</v>
      </c>
      <c r="E1121" t="s">
        <v>19097</v>
      </c>
      <c r="F1121" t="s">
        <v>30900</v>
      </c>
      <c r="G1121" t="s">
        <v>30908</v>
      </c>
      <c r="H1121" t="s">
        <v>30916</v>
      </c>
      <c r="I1121" t="s">
        <v>30939</v>
      </c>
      <c r="J1121" t="s">
        <v>31919</v>
      </c>
      <c r="K1121" t="s">
        <v>40286</v>
      </c>
      <c r="M1121" t="s">
        <v>41138</v>
      </c>
      <c r="N1121" t="s">
        <v>44759</v>
      </c>
      <c r="O1121" t="s">
        <v>44760</v>
      </c>
      <c r="P1121">
        <v>0</v>
      </c>
      <c r="Q1121">
        <v>0</v>
      </c>
      <c r="R1121" t="s">
        <v>44761</v>
      </c>
      <c r="S1121" t="s">
        <v>44862</v>
      </c>
      <c r="T1121" t="s">
        <v>46421</v>
      </c>
      <c r="U1121" t="s">
        <v>47944</v>
      </c>
      <c r="V1121" t="s">
        <v>59253</v>
      </c>
      <c r="W1121" t="s">
        <v>41138</v>
      </c>
      <c r="X1121" t="s">
        <v>44762</v>
      </c>
    </row>
    <row r="1122" spans="1:24">
      <c r="A1122">
        <f>HYPERLINK("https://www.philgeps.gov.ph/GEPSNONPILOT/Tender/SplashBidNoticeAbstractUI.aspx?menuIndex=3&amp;refID=7153300&amp;Result=3","7153300")</f>
        <v>0</v>
      </c>
      <c r="B1122" t="s">
        <v>578</v>
      </c>
      <c r="C1122" t="s">
        <v>4492</v>
      </c>
      <c r="D1122" t="s">
        <v>17959</v>
      </c>
      <c r="E1122" t="s">
        <v>19098</v>
      </c>
      <c r="F1122" t="s">
        <v>30900</v>
      </c>
      <c r="G1122" t="s">
        <v>30908</v>
      </c>
      <c r="H1122" t="s">
        <v>30917</v>
      </c>
      <c r="I1122" t="s">
        <v>5830</v>
      </c>
      <c r="J1122" t="s">
        <v>31278</v>
      </c>
      <c r="K1122" t="s">
        <v>40284</v>
      </c>
      <c r="M1122" t="s">
        <v>41139</v>
      </c>
      <c r="N1122" t="s">
        <v>44759</v>
      </c>
      <c r="O1122" t="s">
        <v>44760</v>
      </c>
      <c r="P1122">
        <v>0</v>
      </c>
      <c r="Q1122">
        <v>0</v>
      </c>
      <c r="R1122" t="s">
        <v>44761</v>
      </c>
      <c r="S1122" t="s">
        <v>44862</v>
      </c>
      <c r="T1122" t="s">
        <v>46390</v>
      </c>
      <c r="U1122" t="s">
        <v>47945</v>
      </c>
      <c r="W1122" t="s">
        <v>41139</v>
      </c>
      <c r="X1122" t="s">
        <v>44762</v>
      </c>
    </row>
    <row r="1123" spans="1:24">
      <c r="A1123">
        <f>HYPERLINK("https://www.philgeps.gov.ph/GEPSNONPILOT/Tender/SplashBidNoticeAbstractUI.aspx?menuIndex=3&amp;refID=7153341&amp;Result=3","7153341")</f>
        <v>0</v>
      </c>
      <c r="B1123" t="s">
        <v>130</v>
      </c>
      <c r="C1123" t="s">
        <v>4851</v>
      </c>
      <c r="E1123" t="s">
        <v>19099</v>
      </c>
      <c r="F1123" t="s">
        <v>30900</v>
      </c>
      <c r="G1123" t="s">
        <v>30908</v>
      </c>
      <c r="H1123" t="s">
        <v>30916</v>
      </c>
      <c r="I1123" t="s">
        <v>10602</v>
      </c>
      <c r="J1123" t="s">
        <v>31920</v>
      </c>
      <c r="K1123" t="s">
        <v>40315</v>
      </c>
      <c r="M1123" t="s">
        <v>40677</v>
      </c>
      <c r="N1123" t="s">
        <v>44759</v>
      </c>
      <c r="O1123" t="s">
        <v>44760</v>
      </c>
      <c r="P1123">
        <v>0</v>
      </c>
      <c r="Q1123">
        <v>0</v>
      </c>
      <c r="R1123" t="s">
        <v>44761</v>
      </c>
      <c r="S1123" t="s">
        <v>44862</v>
      </c>
      <c r="T1123" t="s">
        <v>46376</v>
      </c>
      <c r="U1123" t="s">
        <v>47946</v>
      </c>
      <c r="W1123" t="s">
        <v>40677</v>
      </c>
      <c r="X1123" t="s">
        <v>44762</v>
      </c>
    </row>
    <row r="1124" spans="1:24">
      <c r="A1124">
        <f>HYPERLINK("https://www.philgeps.gov.ph/GEPSNONPILOT/Tender/SplashBidNoticeAbstractUI.aspx?menuIndex=3&amp;refID=7153339&amp;Result=3","7153339")</f>
        <v>0</v>
      </c>
      <c r="B1124" t="s">
        <v>579</v>
      </c>
      <c r="C1124" t="s">
        <v>4852</v>
      </c>
      <c r="D1124" t="s">
        <v>17978</v>
      </c>
      <c r="E1124" t="s">
        <v>19100</v>
      </c>
      <c r="F1124" t="s">
        <v>30900</v>
      </c>
      <c r="G1124" t="s">
        <v>30908</v>
      </c>
      <c r="H1124" t="s">
        <v>30916</v>
      </c>
      <c r="I1124" t="s">
        <v>30949</v>
      </c>
      <c r="J1124" t="s">
        <v>31921</v>
      </c>
      <c r="K1124" t="s">
        <v>40285</v>
      </c>
      <c r="M1124" t="s">
        <v>41140</v>
      </c>
      <c r="N1124" t="s">
        <v>44759</v>
      </c>
      <c r="O1124" t="s">
        <v>44760</v>
      </c>
      <c r="P1124">
        <v>0</v>
      </c>
      <c r="Q1124">
        <v>0</v>
      </c>
      <c r="R1124" t="s">
        <v>44761</v>
      </c>
      <c r="S1124" t="s">
        <v>44862</v>
      </c>
      <c r="T1124" t="s">
        <v>46357</v>
      </c>
      <c r="U1124" t="s">
        <v>47947</v>
      </c>
      <c r="W1124" t="s">
        <v>41140</v>
      </c>
      <c r="X1124" t="s">
        <v>44762</v>
      </c>
    </row>
    <row r="1125" spans="1:24">
      <c r="A1125">
        <f>HYPERLINK("https://www.philgeps.gov.ph/GEPSNONPILOT/Tender/SplashBidNoticeAbstractUI.aspx?menuIndex=3&amp;refID=7153338&amp;Result=3","7153338")</f>
        <v>0</v>
      </c>
      <c r="B1125" t="s">
        <v>573</v>
      </c>
      <c r="C1125" t="s">
        <v>4853</v>
      </c>
      <c r="D1125" t="s">
        <v>18023</v>
      </c>
      <c r="E1125" t="s">
        <v>19101</v>
      </c>
      <c r="F1125" t="s">
        <v>30900</v>
      </c>
      <c r="G1125" t="s">
        <v>30908</v>
      </c>
      <c r="H1125" t="s">
        <v>30916</v>
      </c>
      <c r="I1125" t="s">
        <v>30924</v>
      </c>
      <c r="J1125" t="s">
        <v>31922</v>
      </c>
      <c r="K1125" t="s">
        <v>40291</v>
      </c>
      <c r="M1125" t="s">
        <v>41141</v>
      </c>
      <c r="N1125" t="s">
        <v>44759</v>
      </c>
      <c r="O1125" t="s">
        <v>44760</v>
      </c>
      <c r="P1125">
        <v>0</v>
      </c>
      <c r="Q1125">
        <v>0</v>
      </c>
      <c r="R1125" t="s">
        <v>44761</v>
      </c>
      <c r="S1125" t="s">
        <v>44862</v>
      </c>
      <c r="T1125" t="s">
        <v>46399</v>
      </c>
      <c r="U1125" t="s">
        <v>47948</v>
      </c>
      <c r="V1125" t="s">
        <v>59254</v>
      </c>
      <c r="W1125" t="s">
        <v>41141</v>
      </c>
      <c r="X1125" t="s">
        <v>44762</v>
      </c>
    </row>
    <row r="1126" spans="1:24">
      <c r="A1126">
        <f>HYPERLINK("https://www.philgeps.gov.ph/GEPSNONPILOT/Tender/SplashBidNoticeAbstractUI.aspx?menuIndex=3&amp;refID=7153349&amp;Result=3","7153349")</f>
        <v>0</v>
      </c>
      <c r="B1126" t="s">
        <v>580</v>
      </c>
      <c r="C1126" t="s">
        <v>4854</v>
      </c>
      <c r="D1126" t="s">
        <v>17957</v>
      </c>
      <c r="E1126" t="s">
        <v>19102</v>
      </c>
      <c r="F1126" t="s">
        <v>30900</v>
      </c>
      <c r="G1126" t="s">
        <v>30908</v>
      </c>
      <c r="H1126" t="s">
        <v>30916</v>
      </c>
      <c r="I1126" t="s">
        <v>10602</v>
      </c>
      <c r="J1126" t="s">
        <v>31923</v>
      </c>
      <c r="K1126" t="s">
        <v>40331</v>
      </c>
      <c r="M1126" t="s">
        <v>41142</v>
      </c>
      <c r="N1126" t="s">
        <v>44759</v>
      </c>
      <c r="O1126" t="s">
        <v>44760</v>
      </c>
      <c r="P1126">
        <v>0</v>
      </c>
      <c r="Q1126">
        <v>0</v>
      </c>
      <c r="R1126" t="s">
        <v>44761</v>
      </c>
      <c r="S1126" t="s">
        <v>44862</v>
      </c>
      <c r="T1126" t="s">
        <v>46356</v>
      </c>
      <c r="U1126" t="s">
        <v>47949</v>
      </c>
      <c r="V1126" t="s">
        <v>59255</v>
      </c>
      <c r="W1126" t="s">
        <v>41142</v>
      </c>
      <c r="X1126" t="s">
        <v>44762</v>
      </c>
    </row>
    <row r="1127" spans="1:24">
      <c r="A1127">
        <f>HYPERLINK("https://www.philgeps.gov.ph/GEPSNONPILOT/Tender/SplashBidNoticeAbstractUI.aspx?menuIndex=3&amp;refID=7153337&amp;Result=3","7153337")</f>
        <v>0</v>
      </c>
      <c r="B1127" t="s">
        <v>533</v>
      </c>
      <c r="C1127" t="s">
        <v>4855</v>
      </c>
      <c r="D1127" t="s">
        <v>17976</v>
      </c>
      <c r="E1127" t="s">
        <v>19103</v>
      </c>
      <c r="F1127" t="s">
        <v>30900</v>
      </c>
      <c r="G1127" t="s">
        <v>30908</v>
      </c>
      <c r="H1127" t="s">
        <v>30916</v>
      </c>
      <c r="I1127" t="s">
        <v>30981</v>
      </c>
      <c r="J1127" t="s">
        <v>31282</v>
      </c>
      <c r="K1127" t="s">
        <v>40286</v>
      </c>
      <c r="M1127" t="s">
        <v>41093</v>
      </c>
      <c r="N1127" t="s">
        <v>44759</v>
      </c>
      <c r="O1127" t="s">
        <v>44760</v>
      </c>
      <c r="P1127">
        <v>0</v>
      </c>
      <c r="Q1127">
        <v>0</v>
      </c>
      <c r="R1127" t="s">
        <v>44761</v>
      </c>
      <c r="S1127" t="s">
        <v>44862</v>
      </c>
      <c r="T1127" t="s">
        <v>46390</v>
      </c>
      <c r="U1127" t="s">
        <v>47950</v>
      </c>
      <c r="W1127" t="s">
        <v>41093</v>
      </c>
      <c r="X1127" t="s">
        <v>44762</v>
      </c>
    </row>
    <row r="1128" spans="1:24">
      <c r="A1128">
        <f>HYPERLINK("https://www.philgeps.gov.ph/GEPSNONPILOT/Tender/SplashBidNoticeAbstractUI.aspx?menuIndex=3&amp;refID=7153336&amp;Result=3","7153336")</f>
        <v>0</v>
      </c>
      <c r="B1128" t="s">
        <v>581</v>
      </c>
      <c r="C1128" t="s">
        <v>4856</v>
      </c>
      <c r="D1128" t="s">
        <v>17993</v>
      </c>
      <c r="E1128" t="s">
        <v>19104</v>
      </c>
      <c r="F1128" t="s">
        <v>30899</v>
      </c>
      <c r="G1128" t="s">
        <v>30907</v>
      </c>
      <c r="H1128" t="s">
        <v>30916</v>
      </c>
      <c r="I1128" t="s">
        <v>8123</v>
      </c>
      <c r="J1128" t="s">
        <v>31498</v>
      </c>
      <c r="K1128" t="s">
        <v>40285</v>
      </c>
      <c r="M1128" t="s">
        <v>41143</v>
      </c>
      <c r="N1128" t="s">
        <v>44759</v>
      </c>
      <c r="O1128" t="s">
        <v>44760</v>
      </c>
      <c r="P1128">
        <v>0</v>
      </c>
      <c r="Q1128">
        <v>0</v>
      </c>
      <c r="R1128" t="s">
        <v>44761</v>
      </c>
      <c r="S1128" t="s">
        <v>44862</v>
      </c>
      <c r="T1128" t="s">
        <v>46505</v>
      </c>
      <c r="U1128" t="s">
        <v>47951</v>
      </c>
      <c r="W1128" t="s">
        <v>41143</v>
      </c>
      <c r="X1128" t="s">
        <v>44762</v>
      </c>
    </row>
    <row r="1129" spans="1:24">
      <c r="A1129">
        <f>HYPERLINK("https://www.philgeps.gov.ph/GEPSNONPILOT/Tender/SplashBidNoticeAbstractUI.aspx?menuIndex=3&amp;refID=7153292&amp;Result=3","7153292")</f>
        <v>0</v>
      </c>
      <c r="B1129" t="s">
        <v>574</v>
      </c>
      <c r="C1129" t="s">
        <v>4857</v>
      </c>
      <c r="D1129" t="s">
        <v>17951</v>
      </c>
      <c r="E1129" t="s">
        <v>19105</v>
      </c>
      <c r="F1129" t="s">
        <v>30900</v>
      </c>
      <c r="G1129" t="s">
        <v>30909</v>
      </c>
      <c r="H1129" t="s">
        <v>30916</v>
      </c>
      <c r="I1129" t="s">
        <v>9385</v>
      </c>
      <c r="J1129" t="s">
        <v>31271</v>
      </c>
      <c r="K1129" t="s">
        <v>40284</v>
      </c>
      <c r="M1129" t="s">
        <v>41135</v>
      </c>
      <c r="N1129" t="s">
        <v>44759</v>
      </c>
      <c r="O1129" t="s">
        <v>44760</v>
      </c>
      <c r="P1129">
        <v>0</v>
      </c>
      <c r="Q1129">
        <v>0</v>
      </c>
      <c r="R1129" t="s">
        <v>44761</v>
      </c>
      <c r="S1129" t="s">
        <v>44862</v>
      </c>
      <c r="T1129" t="s">
        <v>46457</v>
      </c>
      <c r="U1129" t="s">
        <v>47952</v>
      </c>
      <c r="W1129" t="s">
        <v>41135</v>
      </c>
      <c r="X1129" t="s">
        <v>44762</v>
      </c>
    </row>
    <row r="1130" spans="1:24">
      <c r="A1130">
        <f>HYPERLINK("https://www.philgeps.gov.ph/GEPSNONPILOT/Tender/SplashBidNoticeAbstractUI.aspx?menuIndex=3&amp;refID=7153352&amp;Result=3","7153352")</f>
        <v>0</v>
      </c>
      <c r="B1130" t="s">
        <v>78</v>
      </c>
      <c r="C1130" t="s">
        <v>4858</v>
      </c>
      <c r="D1130" t="s">
        <v>17987</v>
      </c>
      <c r="E1130" t="s">
        <v>19106</v>
      </c>
      <c r="F1130" t="s">
        <v>30900</v>
      </c>
      <c r="G1130" t="s">
        <v>30908</v>
      </c>
      <c r="H1130" t="s">
        <v>30916</v>
      </c>
      <c r="I1130" t="s">
        <v>30939</v>
      </c>
      <c r="J1130" t="s">
        <v>31924</v>
      </c>
      <c r="K1130" t="s">
        <v>40289</v>
      </c>
      <c r="M1130" t="s">
        <v>40625</v>
      </c>
      <c r="N1130" t="s">
        <v>44759</v>
      </c>
      <c r="O1130" t="s">
        <v>44760</v>
      </c>
      <c r="P1130">
        <v>0</v>
      </c>
      <c r="Q1130">
        <v>0</v>
      </c>
      <c r="R1130" t="s">
        <v>44761</v>
      </c>
      <c r="S1130" t="s">
        <v>44862</v>
      </c>
      <c r="T1130" t="s">
        <v>46387</v>
      </c>
      <c r="U1130" t="s">
        <v>47039</v>
      </c>
      <c r="W1130" t="s">
        <v>40625</v>
      </c>
      <c r="X1130" t="s">
        <v>44762</v>
      </c>
    </row>
    <row r="1131" spans="1:24">
      <c r="A1131">
        <f>HYPERLINK("https://www.philgeps.gov.ph/GEPSNONPILOT/Tender/SplashBidNoticeAbstractUI.aspx?menuIndex=3&amp;refID=7153345&amp;Result=3","7153345")</f>
        <v>0</v>
      </c>
      <c r="B1131" t="s">
        <v>302</v>
      </c>
      <c r="C1131" t="s">
        <v>4859</v>
      </c>
      <c r="D1131" t="s">
        <v>17959</v>
      </c>
      <c r="E1131" t="s">
        <v>19107</v>
      </c>
      <c r="F1131" t="s">
        <v>30900</v>
      </c>
      <c r="G1131" t="s">
        <v>30909</v>
      </c>
      <c r="H1131" t="s">
        <v>30916</v>
      </c>
      <c r="I1131" t="s">
        <v>4017</v>
      </c>
      <c r="J1131" t="s">
        <v>31101</v>
      </c>
      <c r="K1131" t="s">
        <v>40283</v>
      </c>
      <c r="M1131" t="s">
        <v>40851</v>
      </c>
      <c r="N1131" t="s">
        <v>44759</v>
      </c>
      <c r="O1131" t="s">
        <v>44760</v>
      </c>
      <c r="P1131">
        <v>0</v>
      </c>
      <c r="Q1131">
        <v>1</v>
      </c>
      <c r="R1131" t="s">
        <v>44761</v>
      </c>
      <c r="S1131" t="s">
        <v>44862</v>
      </c>
      <c r="T1131" t="s">
        <v>46421</v>
      </c>
      <c r="U1131" t="s">
        <v>47953</v>
      </c>
      <c r="W1131" t="s">
        <v>40851</v>
      </c>
      <c r="X1131" t="s">
        <v>44762</v>
      </c>
    </row>
    <row r="1132" spans="1:24">
      <c r="A1132">
        <f>HYPERLINK("https://www.philgeps.gov.ph/GEPSNONPILOT/Tender/SplashBidNoticeAbstractUI.aspx?menuIndex=3&amp;refID=7153376&amp;Result=3","7153376")</f>
        <v>0</v>
      </c>
      <c r="B1132" t="s">
        <v>582</v>
      </c>
      <c r="C1132" t="s">
        <v>4860</v>
      </c>
      <c r="D1132" t="s">
        <v>18019</v>
      </c>
      <c r="E1132" t="s">
        <v>19108</v>
      </c>
      <c r="F1132" t="s">
        <v>30900</v>
      </c>
      <c r="G1132" t="s">
        <v>30908</v>
      </c>
      <c r="H1132" t="s">
        <v>30916</v>
      </c>
      <c r="I1132" t="s">
        <v>8044</v>
      </c>
      <c r="J1132" t="s">
        <v>31925</v>
      </c>
      <c r="K1132" t="s">
        <v>40283</v>
      </c>
      <c r="M1132" t="s">
        <v>41144</v>
      </c>
      <c r="N1132" t="s">
        <v>44759</v>
      </c>
      <c r="O1132" t="s">
        <v>44760</v>
      </c>
      <c r="P1132">
        <v>0</v>
      </c>
      <c r="Q1132">
        <v>0</v>
      </c>
      <c r="R1132" t="s">
        <v>44761</v>
      </c>
      <c r="S1132" t="s">
        <v>44862</v>
      </c>
      <c r="T1132" t="s">
        <v>46425</v>
      </c>
      <c r="U1132" t="s">
        <v>47954</v>
      </c>
      <c r="W1132" t="s">
        <v>41144</v>
      </c>
      <c r="X1132" t="s">
        <v>44762</v>
      </c>
    </row>
    <row r="1133" spans="1:24">
      <c r="A1133">
        <f>HYPERLINK("https://www.philgeps.gov.ph/GEPSNONPILOT/Tender/SplashBidNoticeAbstractUI.aspx?menuIndex=3&amp;refID=7153374&amp;Result=3","7153374")</f>
        <v>0</v>
      </c>
      <c r="B1133" t="s">
        <v>583</v>
      </c>
      <c r="C1133" t="s">
        <v>4861</v>
      </c>
      <c r="D1133" t="s">
        <v>18020</v>
      </c>
      <c r="E1133" t="s">
        <v>19109</v>
      </c>
      <c r="F1133" t="s">
        <v>30900</v>
      </c>
      <c r="G1133" t="s">
        <v>30908</v>
      </c>
      <c r="H1133" t="s">
        <v>30915</v>
      </c>
      <c r="I1133" t="s">
        <v>30919</v>
      </c>
      <c r="J1133" t="s">
        <v>31926</v>
      </c>
      <c r="K1133" t="s">
        <v>40280</v>
      </c>
      <c r="M1133" t="s">
        <v>41145</v>
      </c>
      <c r="N1133" t="s">
        <v>44759</v>
      </c>
      <c r="O1133" t="s">
        <v>44760</v>
      </c>
      <c r="P1133">
        <v>0</v>
      </c>
      <c r="Q1133">
        <v>0</v>
      </c>
      <c r="R1133" t="s">
        <v>44761</v>
      </c>
      <c r="S1133" t="s">
        <v>44862</v>
      </c>
      <c r="T1133" t="s">
        <v>46396</v>
      </c>
      <c r="U1133" t="s">
        <v>47955</v>
      </c>
      <c r="V1133" t="s">
        <v>59256</v>
      </c>
      <c r="W1133" t="s">
        <v>41145</v>
      </c>
      <c r="X1133" t="s">
        <v>44762</v>
      </c>
    </row>
    <row r="1134" spans="1:24">
      <c r="A1134">
        <f>HYPERLINK("https://www.philgeps.gov.ph/GEPSNONPILOT/Tender/SplashBidNoticeAbstractUI.aspx?menuIndex=3&amp;refID=7153335&amp;Result=3","7153335")</f>
        <v>0</v>
      </c>
      <c r="B1134" t="s">
        <v>577</v>
      </c>
      <c r="C1134" t="s">
        <v>4862</v>
      </c>
      <c r="D1134" t="s">
        <v>18029</v>
      </c>
      <c r="E1134" t="s">
        <v>19110</v>
      </c>
      <c r="F1134" t="s">
        <v>30900</v>
      </c>
      <c r="G1134" t="s">
        <v>30908</v>
      </c>
      <c r="H1134" t="s">
        <v>30916</v>
      </c>
      <c r="I1134" t="s">
        <v>30961</v>
      </c>
      <c r="J1134" t="s">
        <v>31927</v>
      </c>
      <c r="K1134" t="s">
        <v>40286</v>
      </c>
      <c r="M1134" t="s">
        <v>41138</v>
      </c>
      <c r="N1134" t="s">
        <v>44759</v>
      </c>
      <c r="O1134" t="s">
        <v>44760</v>
      </c>
      <c r="P1134">
        <v>0</v>
      </c>
      <c r="Q1134">
        <v>0</v>
      </c>
      <c r="R1134" t="s">
        <v>44761</v>
      </c>
      <c r="S1134" t="s">
        <v>44862</v>
      </c>
      <c r="T1134" t="s">
        <v>46421</v>
      </c>
      <c r="U1134" t="s">
        <v>47663</v>
      </c>
      <c r="V1134" t="s">
        <v>59253</v>
      </c>
      <c r="W1134" t="s">
        <v>41138</v>
      </c>
      <c r="X1134" t="s">
        <v>44762</v>
      </c>
    </row>
    <row r="1135" spans="1:24">
      <c r="A1135">
        <f>HYPERLINK("https://www.philgeps.gov.ph/GEPSNONPILOT/Tender/SplashBidNoticeAbstractUI.aspx?menuIndex=3&amp;refID=7153346&amp;Result=3","7153346")</f>
        <v>0</v>
      </c>
      <c r="B1135" t="s">
        <v>584</v>
      </c>
      <c r="C1135" t="s">
        <v>4863</v>
      </c>
      <c r="D1135" t="s">
        <v>17969</v>
      </c>
      <c r="E1135" t="s">
        <v>19111</v>
      </c>
      <c r="F1135" t="s">
        <v>30900</v>
      </c>
      <c r="G1135" t="s">
        <v>30908</v>
      </c>
      <c r="H1135" t="s">
        <v>30916</v>
      </c>
      <c r="I1135" t="s">
        <v>8123</v>
      </c>
      <c r="J1135" t="s">
        <v>31928</v>
      </c>
      <c r="K1135" t="s">
        <v>40289</v>
      </c>
      <c r="M1135" t="s">
        <v>41146</v>
      </c>
      <c r="N1135" t="s">
        <v>44759</v>
      </c>
      <c r="O1135" t="s">
        <v>44760</v>
      </c>
      <c r="P1135">
        <v>0</v>
      </c>
      <c r="Q1135">
        <v>0</v>
      </c>
      <c r="R1135" t="s">
        <v>44761</v>
      </c>
      <c r="S1135" t="s">
        <v>44862</v>
      </c>
      <c r="T1135" t="s">
        <v>46399</v>
      </c>
      <c r="U1135" t="s">
        <v>47956</v>
      </c>
      <c r="W1135" t="s">
        <v>41146</v>
      </c>
      <c r="X1135" t="s">
        <v>44762</v>
      </c>
    </row>
    <row r="1136" spans="1:24">
      <c r="A1136">
        <f>HYPERLINK("https://www.philgeps.gov.ph/GEPSNONPILOT/Tender/SplashBidNoticeAbstractUI.aspx?menuIndex=3&amp;refID=7153329&amp;Result=3","7153329")</f>
        <v>0</v>
      </c>
      <c r="B1136" t="s">
        <v>201</v>
      </c>
      <c r="C1136" t="s">
        <v>4864</v>
      </c>
      <c r="D1136" t="s">
        <v>17964</v>
      </c>
      <c r="E1136" t="s">
        <v>19112</v>
      </c>
      <c r="F1136" t="s">
        <v>30900</v>
      </c>
      <c r="G1136" t="s">
        <v>30907</v>
      </c>
      <c r="H1136" t="s">
        <v>30915</v>
      </c>
      <c r="I1136" t="s">
        <v>30919</v>
      </c>
      <c r="J1136" t="s">
        <v>31049</v>
      </c>
      <c r="K1136" t="s">
        <v>40291</v>
      </c>
      <c r="M1136" t="s">
        <v>40748</v>
      </c>
      <c r="N1136" t="s">
        <v>44759</v>
      </c>
      <c r="O1136" t="s">
        <v>44760</v>
      </c>
      <c r="P1136">
        <v>0</v>
      </c>
      <c r="Q1136">
        <v>0</v>
      </c>
      <c r="R1136" t="s">
        <v>44761</v>
      </c>
      <c r="S1136" t="s">
        <v>44862</v>
      </c>
      <c r="T1136" t="s">
        <v>46436</v>
      </c>
      <c r="U1136" t="s">
        <v>47957</v>
      </c>
      <c r="V1136" t="s">
        <v>59257</v>
      </c>
      <c r="W1136" t="s">
        <v>40748</v>
      </c>
      <c r="X1136" t="s">
        <v>44762</v>
      </c>
    </row>
    <row r="1137" spans="1:24">
      <c r="A1137">
        <f>HYPERLINK("https://www.philgeps.gov.ph/GEPSNONPILOT/Tender/SplashBidNoticeAbstractUI.aspx?menuIndex=3&amp;refID=7153372&amp;Result=3","7153372")</f>
        <v>0</v>
      </c>
      <c r="B1137" t="s">
        <v>254</v>
      </c>
      <c r="C1137" t="s">
        <v>4865</v>
      </c>
      <c r="D1137" t="s">
        <v>18016</v>
      </c>
      <c r="E1137" t="s">
        <v>19113</v>
      </c>
      <c r="F1137" t="s">
        <v>30903</v>
      </c>
      <c r="G1137" t="s">
        <v>30909</v>
      </c>
      <c r="H1137" t="s">
        <v>30916</v>
      </c>
      <c r="I1137" t="s">
        <v>30958</v>
      </c>
      <c r="J1137" t="s">
        <v>31625</v>
      </c>
      <c r="K1137" t="s">
        <v>40285</v>
      </c>
      <c r="M1137" t="s">
        <v>40801</v>
      </c>
      <c r="N1137" t="s">
        <v>44759</v>
      </c>
      <c r="O1137" t="s">
        <v>44760</v>
      </c>
      <c r="P1137">
        <v>0</v>
      </c>
      <c r="Q1137">
        <v>0</v>
      </c>
      <c r="R1137" t="s">
        <v>44761</v>
      </c>
      <c r="S1137" t="s">
        <v>44862</v>
      </c>
      <c r="T1137" t="s">
        <v>46389</v>
      </c>
      <c r="U1137" t="s">
        <v>47958</v>
      </c>
      <c r="W1137" t="s">
        <v>40801</v>
      </c>
      <c r="X1137" t="s">
        <v>44762</v>
      </c>
    </row>
    <row r="1138" spans="1:24">
      <c r="A1138">
        <f>HYPERLINK("https://www.philgeps.gov.ph/GEPSNONPILOT/Tender/SplashBidNoticeAbstractUI.aspx?menuIndex=3&amp;refID=7153370&amp;Result=3","7153370")</f>
        <v>0</v>
      </c>
      <c r="B1138" t="s">
        <v>585</v>
      </c>
      <c r="C1138" t="s">
        <v>4866</v>
      </c>
      <c r="E1138" t="s">
        <v>19114</v>
      </c>
      <c r="F1138" t="s">
        <v>30900</v>
      </c>
      <c r="G1138" t="s">
        <v>30908</v>
      </c>
      <c r="H1138" t="s">
        <v>30916</v>
      </c>
      <c r="I1138" t="s">
        <v>30947</v>
      </c>
      <c r="J1138" t="s">
        <v>31929</v>
      </c>
      <c r="K1138" t="s">
        <v>40289</v>
      </c>
      <c r="M1138" t="s">
        <v>41147</v>
      </c>
      <c r="N1138" t="s">
        <v>44759</v>
      </c>
      <c r="O1138" t="s">
        <v>44760</v>
      </c>
      <c r="P1138">
        <v>0</v>
      </c>
      <c r="Q1138">
        <v>0</v>
      </c>
      <c r="R1138" t="s">
        <v>44761</v>
      </c>
      <c r="S1138" t="s">
        <v>44862</v>
      </c>
      <c r="T1138" t="s">
        <v>46390</v>
      </c>
      <c r="U1138" t="s">
        <v>47959</v>
      </c>
      <c r="V1138" t="s">
        <v>59258</v>
      </c>
      <c r="W1138" t="s">
        <v>41147</v>
      </c>
      <c r="X1138" t="s">
        <v>44762</v>
      </c>
    </row>
    <row r="1139" spans="1:24">
      <c r="A1139">
        <f>HYPERLINK("https://www.philgeps.gov.ph/GEPSNONPILOT/Tender/SplashBidNoticeAbstractUI.aspx?menuIndex=3&amp;refID=7153369&amp;Result=3","7153369")</f>
        <v>0</v>
      </c>
      <c r="B1139" t="s">
        <v>387</v>
      </c>
      <c r="C1139" t="s">
        <v>4867</v>
      </c>
      <c r="D1139" t="s">
        <v>17977</v>
      </c>
      <c r="E1139" t="s">
        <v>19115</v>
      </c>
      <c r="F1139" t="s">
        <v>30900</v>
      </c>
      <c r="G1139" t="s">
        <v>30908</v>
      </c>
      <c r="H1139" t="s">
        <v>30916</v>
      </c>
      <c r="I1139" t="s">
        <v>10847</v>
      </c>
      <c r="J1139" t="s">
        <v>31449</v>
      </c>
      <c r="K1139" t="s">
        <v>40291</v>
      </c>
      <c r="M1139" t="s">
        <v>40942</v>
      </c>
      <c r="N1139" t="s">
        <v>44759</v>
      </c>
      <c r="O1139" t="s">
        <v>44760</v>
      </c>
      <c r="P1139">
        <v>0</v>
      </c>
      <c r="Q1139">
        <v>0</v>
      </c>
      <c r="R1139" t="s">
        <v>44761</v>
      </c>
      <c r="S1139" t="s">
        <v>44862</v>
      </c>
      <c r="T1139" t="s">
        <v>46404</v>
      </c>
      <c r="U1139" t="s">
        <v>47960</v>
      </c>
      <c r="W1139" t="s">
        <v>40942</v>
      </c>
      <c r="X1139" t="s">
        <v>44762</v>
      </c>
    </row>
    <row r="1140" spans="1:24">
      <c r="A1140">
        <f>HYPERLINK("https://www.philgeps.gov.ph/GEPSNONPILOT/Tender/SplashBidNoticeAbstractUI.aspx?menuIndex=3&amp;refID=7153368&amp;Result=3","7153368")</f>
        <v>0</v>
      </c>
      <c r="B1140" t="s">
        <v>107</v>
      </c>
      <c r="C1140" t="s">
        <v>4868</v>
      </c>
      <c r="D1140" t="s">
        <v>17984</v>
      </c>
      <c r="E1140" t="s">
        <v>19116</v>
      </c>
      <c r="F1140" t="s">
        <v>30900</v>
      </c>
      <c r="G1140" t="s">
        <v>30908</v>
      </c>
      <c r="H1140" t="s">
        <v>30916</v>
      </c>
      <c r="I1140" t="s">
        <v>30947</v>
      </c>
      <c r="J1140" t="s">
        <v>31930</v>
      </c>
      <c r="K1140" t="s">
        <v>40289</v>
      </c>
      <c r="L1140" t="s">
        <v>107</v>
      </c>
      <c r="M1140" t="s">
        <v>40654</v>
      </c>
      <c r="N1140" t="s">
        <v>44759</v>
      </c>
      <c r="O1140" t="s">
        <v>44760</v>
      </c>
      <c r="P1140">
        <v>0</v>
      </c>
      <c r="Q1140">
        <v>0</v>
      </c>
      <c r="R1140" t="s">
        <v>44761</v>
      </c>
      <c r="S1140" t="s">
        <v>44862</v>
      </c>
      <c r="T1140" t="s">
        <v>46389</v>
      </c>
      <c r="U1140" t="s">
        <v>47177</v>
      </c>
      <c r="W1140" t="s">
        <v>40654</v>
      </c>
      <c r="X1140" t="s">
        <v>44762</v>
      </c>
    </row>
    <row r="1141" spans="1:24">
      <c r="A1141">
        <f>HYPERLINK("https://www.philgeps.gov.ph/GEPSNONPILOT/Tender/SplashBidNoticeAbstractUI.aspx?menuIndex=3&amp;refID=7153367&amp;Result=3","7153367")</f>
        <v>0</v>
      </c>
      <c r="B1141" t="s">
        <v>586</v>
      </c>
      <c r="C1141" t="s">
        <v>4869</v>
      </c>
      <c r="D1141" t="s">
        <v>17952</v>
      </c>
      <c r="E1141" t="s">
        <v>19117</v>
      </c>
      <c r="F1141" t="s">
        <v>30900</v>
      </c>
      <c r="G1141" t="s">
        <v>30908</v>
      </c>
      <c r="H1141" t="s">
        <v>30916</v>
      </c>
      <c r="I1141" t="s">
        <v>4108</v>
      </c>
      <c r="J1141" t="s">
        <v>31931</v>
      </c>
      <c r="K1141" t="s">
        <v>40289</v>
      </c>
      <c r="M1141" t="s">
        <v>41148</v>
      </c>
      <c r="N1141" t="s">
        <v>44759</v>
      </c>
      <c r="O1141" t="s">
        <v>44760</v>
      </c>
      <c r="P1141">
        <v>0</v>
      </c>
      <c r="Q1141">
        <v>0</v>
      </c>
      <c r="R1141" t="s">
        <v>44761</v>
      </c>
      <c r="S1141" t="s">
        <v>44862</v>
      </c>
      <c r="T1141" t="s">
        <v>46399</v>
      </c>
      <c r="U1141" t="s">
        <v>47961</v>
      </c>
      <c r="W1141" t="s">
        <v>41148</v>
      </c>
      <c r="X1141" t="s">
        <v>44762</v>
      </c>
    </row>
    <row r="1142" spans="1:24">
      <c r="A1142">
        <f>HYPERLINK("https://www.philgeps.gov.ph/GEPSNONPILOT/Tender/SplashBidNoticeAbstractUI.aspx?menuIndex=3&amp;refID=7153365&amp;Result=3","7153365")</f>
        <v>0</v>
      </c>
      <c r="B1142" t="s">
        <v>587</v>
      </c>
      <c r="C1142" t="s">
        <v>4870</v>
      </c>
      <c r="D1142" t="s">
        <v>17967</v>
      </c>
      <c r="E1142" t="s">
        <v>19118</v>
      </c>
      <c r="F1142" t="s">
        <v>30900</v>
      </c>
      <c r="G1142" t="s">
        <v>30907</v>
      </c>
      <c r="H1142" t="s">
        <v>30916</v>
      </c>
      <c r="I1142" t="s">
        <v>30922</v>
      </c>
      <c r="J1142" t="s">
        <v>31932</v>
      </c>
      <c r="K1142" t="s">
        <v>40284</v>
      </c>
      <c r="M1142" t="s">
        <v>41149</v>
      </c>
      <c r="N1142" t="s">
        <v>44759</v>
      </c>
      <c r="O1142" t="s">
        <v>44760</v>
      </c>
      <c r="P1142">
        <v>0</v>
      </c>
      <c r="Q1142">
        <v>0</v>
      </c>
      <c r="R1142" t="s">
        <v>44761</v>
      </c>
      <c r="S1142" t="s">
        <v>44862</v>
      </c>
      <c r="T1142" t="s">
        <v>46488</v>
      </c>
      <c r="U1142" t="s">
        <v>47962</v>
      </c>
      <c r="W1142" t="s">
        <v>41149</v>
      </c>
      <c r="X1142" t="s">
        <v>44762</v>
      </c>
    </row>
    <row r="1143" spans="1:24">
      <c r="A1143">
        <f>HYPERLINK("https://www.philgeps.gov.ph/GEPSNONPILOT/Tender/SplashBidNoticeAbstractUI.aspx?menuIndex=3&amp;refID=7153366&amp;Result=3","7153366")</f>
        <v>0</v>
      </c>
      <c r="B1143" t="s">
        <v>78</v>
      </c>
      <c r="C1143" t="s">
        <v>4871</v>
      </c>
      <c r="D1143" t="s">
        <v>17987</v>
      </c>
      <c r="E1143" t="s">
        <v>19119</v>
      </c>
      <c r="F1143" t="s">
        <v>30900</v>
      </c>
      <c r="G1143" t="s">
        <v>30908</v>
      </c>
      <c r="H1143" t="s">
        <v>30916</v>
      </c>
      <c r="I1143" t="s">
        <v>30939</v>
      </c>
      <c r="J1143" t="s">
        <v>31933</v>
      </c>
      <c r="K1143" t="s">
        <v>40289</v>
      </c>
      <c r="M1143" t="s">
        <v>40625</v>
      </c>
      <c r="N1143" t="s">
        <v>44759</v>
      </c>
      <c r="O1143" t="s">
        <v>44760</v>
      </c>
      <c r="P1143">
        <v>0</v>
      </c>
      <c r="Q1143">
        <v>0</v>
      </c>
      <c r="R1143" t="s">
        <v>44761</v>
      </c>
      <c r="S1143" t="s">
        <v>44862</v>
      </c>
      <c r="T1143" t="s">
        <v>46387</v>
      </c>
      <c r="U1143" t="s">
        <v>47039</v>
      </c>
      <c r="W1143" t="s">
        <v>40625</v>
      </c>
      <c r="X1143" t="s">
        <v>44762</v>
      </c>
    </row>
    <row r="1144" spans="1:24">
      <c r="A1144">
        <f>HYPERLINK("https://www.philgeps.gov.ph/GEPSNONPILOT/Tender/SplashBidNoticeAbstractUI.aspx?menuIndex=3&amp;refID=7153364&amp;Result=3","7153364")</f>
        <v>0</v>
      </c>
      <c r="B1144" t="s">
        <v>284</v>
      </c>
      <c r="C1144" t="s">
        <v>4269</v>
      </c>
      <c r="D1144" t="s">
        <v>18009</v>
      </c>
      <c r="E1144" t="s">
        <v>19120</v>
      </c>
      <c r="F1144" t="s">
        <v>30900</v>
      </c>
      <c r="G1144" t="s">
        <v>30908</v>
      </c>
      <c r="H1144" t="s">
        <v>30916</v>
      </c>
      <c r="I1144" t="s">
        <v>4545</v>
      </c>
      <c r="J1144" t="s">
        <v>31934</v>
      </c>
      <c r="K1144" t="s">
        <v>40287</v>
      </c>
      <c r="M1144" t="s">
        <v>41050</v>
      </c>
      <c r="N1144" t="s">
        <v>44759</v>
      </c>
      <c r="O1144" t="s">
        <v>44760</v>
      </c>
      <c r="P1144">
        <v>0</v>
      </c>
      <c r="Q1144">
        <v>0</v>
      </c>
      <c r="R1144" t="s">
        <v>44761</v>
      </c>
      <c r="S1144" t="s">
        <v>44862</v>
      </c>
      <c r="T1144" t="s">
        <v>46389</v>
      </c>
      <c r="U1144" t="s">
        <v>47963</v>
      </c>
      <c r="W1144" t="s">
        <v>41050</v>
      </c>
      <c r="X1144" t="s">
        <v>44762</v>
      </c>
    </row>
    <row r="1145" spans="1:24">
      <c r="A1145">
        <f>HYPERLINK("https://www.philgeps.gov.ph/GEPSNONPILOT/Tender/SplashBidNoticeAbstractUI.aspx?menuIndex=3&amp;refID=7153373&amp;Result=3","7153373")</f>
        <v>0</v>
      </c>
      <c r="B1145" t="s">
        <v>522</v>
      </c>
      <c r="C1145" t="s">
        <v>4872</v>
      </c>
      <c r="D1145" t="s">
        <v>18017</v>
      </c>
      <c r="E1145" t="s">
        <v>19121</v>
      </c>
      <c r="F1145" t="s">
        <v>30900</v>
      </c>
      <c r="G1145" t="s">
        <v>30906</v>
      </c>
      <c r="H1145" t="s">
        <v>30916</v>
      </c>
      <c r="I1145" t="s">
        <v>4004</v>
      </c>
      <c r="J1145" t="s">
        <v>31935</v>
      </c>
      <c r="K1145" t="s">
        <v>40287</v>
      </c>
      <c r="M1145" t="s">
        <v>41082</v>
      </c>
      <c r="N1145" t="s">
        <v>44759</v>
      </c>
      <c r="O1145" t="s">
        <v>44760</v>
      </c>
      <c r="P1145">
        <v>0</v>
      </c>
      <c r="Q1145">
        <v>0</v>
      </c>
      <c r="R1145" t="s">
        <v>44761</v>
      </c>
      <c r="S1145" t="s">
        <v>44862</v>
      </c>
      <c r="T1145" t="s">
        <v>46421</v>
      </c>
      <c r="U1145" t="s">
        <v>47964</v>
      </c>
      <c r="W1145" t="s">
        <v>41082</v>
      </c>
      <c r="X1145" t="s">
        <v>44762</v>
      </c>
    </row>
    <row r="1146" spans="1:24">
      <c r="A1146">
        <f>HYPERLINK("https://www.philgeps.gov.ph/GEPSNONPILOT/Tender/SplashBidNoticeAbstractUI.aspx?menuIndex=3&amp;refID=7153363&amp;Result=3","7153363")</f>
        <v>0</v>
      </c>
      <c r="B1146" t="s">
        <v>588</v>
      </c>
      <c r="C1146" t="s">
        <v>4873</v>
      </c>
      <c r="D1146" t="s">
        <v>17993</v>
      </c>
      <c r="E1146" t="s">
        <v>19122</v>
      </c>
      <c r="F1146" t="s">
        <v>30900</v>
      </c>
      <c r="G1146" t="s">
        <v>30907</v>
      </c>
      <c r="H1146" t="s">
        <v>30915</v>
      </c>
      <c r="I1146" t="s">
        <v>30919</v>
      </c>
      <c r="J1146" t="s">
        <v>31936</v>
      </c>
      <c r="K1146" t="s">
        <v>40291</v>
      </c>
      <c r="M1146" t="s">
        <v>41150</v>
      </c>
      <c r="N1146" t="s">
        <v>44759</v>
      </c>
      <c r="O1146" t="s">
        <v>44760</v>
      </c>
      <c r="P1146">
        <v>0</v>
      </c>
      <c r="Q1146">
        <v>0</v>
      </c>
      <c r="R1146" t="s">
        <v>44761</v>
      </c>
      <c r="S1146" t="s">
        <v>44862</v>
      </c>
      <c r="T1146" t="s">
        <v>46506</v>
      </c>
      <c r="U1146" t="s">
        <v>47965</v>
      </c>
      <c r="W1146" t="s">
        <v>41150</v>
      </c>
      <c r="X1146" t="s">
        <v>44762</v>
      </c>
    </row>
    <row r="1147" spans="1:24">
      <c r="A1147">
        <f>HYPERLINK("https://www.philgeps.gov.ph/GEPSNONPILOT/Tender/SplashBidNoticeAbstractUI.aspx?menuIndex=3&amp;refID=7153361&amp;Result=3","7153361")</f>
        <v>0</v>
      </c>
      <c r="B1147" t="s">
        <v>589</v>
      </c>
      <c r="C1147" t="s">
        <v>4874</v>
      </c>
      <c r="D1147" t="s">
        <v>17969</v>
      </c>
      <c r="E1147" t="s">
        <v>19123</v>
      </c>
      <c r="F1147" t="s">
        <v>30900</v>
      </c>
      <c r="G1147" t="s">
        <v>30907</v>
      </c>
      <c r="H1147" t="s">
        <v>30916</v>
      </c>
      <c r="I1147" t="s">
        <v>30933</v>
      </c>
      <c r="J1147" t="s">
        <v>31937</v>
      </c>
      <c r="K1147" t="s">
        <v>40286</v>
      </c>
      <c r="M1147" t="s">
        <v>41151</v>
      </c>
      <c r="N1147" t="s">
        <v>44759</v>
      </c>
      <c r="O1147" t="s">
        <v>44760</v>
      </c>
      <c r="P1147">
        <v>0</v>
      </c>
      <c r="Q1147">
        <v>1</v>
      </c>
      <c r="R1147" t="s">
        <v>44761</v>
      </c>
      <c r="S1147" t="s">
        <v>44862</v>
      </c>
      <c r="T1147" t="s">
        <v>46394</v>
      </c>
      <c r="U1147" t="s">
        <v>47966</v>
      </c>
      <c r="W1147" t="s">
        <v>41151</v>
      </c>
      <c r="X1147" t="s">
        <v>44762</v>
      </c>
    </row>
    <row r="1148" spans="1:24">
      <c r="A1148">
        <f>HYPERLINK("https://www.philgeps.gov.ph/GEPSNONPILOT/Tender/SplashBidNoticeAbstractUI.aspx?menuIndex=3&amp;refID=7153371&amp;Result=3","7153371")</f>
        <v>0</v>
      </c>
      <c r="B1148" t="s">
        <v>533</v>
      </c>
      <c r="C1148" t="s">
        <v>4875</v>
      </c>
      <c r="D1148" t="s">
        <v>17976</v>
      </c>
      <c r="E1148" t="s">
        <v>19124</v>
      </c>
      <c r="F1148" t="s">
        <v>30900</v>
      </c>
      <c r="G1148" t="s">
        <v>30908</v>
      </c>
      <c r="H1148" t="s">
        <v>30916</v>
      </c>
      <c r="I1148" t="s">
        <v>30927</v>
      </c>
      <c r="J1148" t="s">
        <v>31643</v>
      </c>
      <c r="K1148" t="s">
        <v>40286</v>
      </c>
      <c r="M1148" t="s">
        <v>41093</v>
      </c>
      <c r="N1148" t="s">
        <v>44759</v>
      </c>
      <c r="O1148" t="s">
        <v>44760</v>
      </c>
      <c r="P1148">
        <v>0</v>
      </c>
      <c r="Q1148">
        <v>0</v>
      </c>
      <c r="R1148" t="s">
        <v>44761</v>
      </c>
      <c r="S1148" t="s">
        <v>44862</v>
      </c>
      <c r="T1148" t="s">
        <v>46390</v>
      </c>
      <c r="U1148" t="s">
        <v>47967</v>
      </c>
      <c r="W1148" t="s">
        <v>41093</v>
      </c>
      <c r="X1148" t="s">
        <v>44762</v>
      </c>
    </row>
    <row r="1149" spans="1:24">
      <c r="A1149">
        <f>HYPERLINK("https://www.philgeps.gov.ph/GEPSNONPILOT/Tender/SplashBidNoticeAbstractUI.aspx?menuIndex=3&amp;refID=7153357&amp;Result=3","7153357")</f>
        <v>0</v>
      </c>
      <c r="B1149" t="s">
        <v>373</v>
      </c>
      <c r="C1149" t="s">
        <v>4876</v>
      </c>
      <c r="E1149" t="s">
        <v>19125</v>
      </c>
      <c r="F1149" t="s">
        <v>30900</v>
      </c>
      <c r="G1149" t="s">
        <v>30908</v>
      </c>
      <c r="H1149" t="s">
        <v>30916</v>
      </c>
      <c r="I1149" t="s">
        <v>6953</v>
      </c>
      <c r="J1149" t="s">
        <v>31625</v>
      </c>
      <c r="K1149" t="s">
        <v>40283</v>
      </c>
      <c r="M1149" t="s">
        <v>40927</v>
      </c>
      <c r="N1149" t="s">
        <v>44759</v>
      </c>
      <c r="O1149" t="s">
        <v>44760</v>
      </c>
      <c r="P1149">
        <v>0</v>
      </c>
      <c r="Q1149">
        <v>0</v>
      </c>
      <c r="R1149" t="s">
        <v>44761</v>
      </c>
      <c r="S1149" t="s">
        <v>44862</v>
      </c>
      <c r="T1149" t="s">
        <v>46376</v>
      </c>
      <c r="U1149" t="s">
        <v>47968</v>
      </c>
      <c r="W1149" t="s">
        <v>40927</v>
      </c>
      <c r="X1149" t="s">
        <v>44762</v>
      </c>
    </row>
    <row r="1150" spans="1:24">
      <c r="A1150">
        <f>HYPERLINK("https://www.philgeps.gov.ph/GEPSNONPILOT/Tender/SplashBidNoticeAbstractUI.aspx?menuIndex=3&amp;refID=7153293&amp;Result=3","7153293")</f>
        <v>0</v>
      </c>
      <c r="B1150" t="s">
        <v>577</v>
      </c>
      <c r="C1150" t="s">
        <v>4877</v>
      </c>
      <c r="D1150" t="s">
        <v>18029</v>
      </c>
      <c r="E1150" t="s">
        <v>19126</v>
      </c>
      <c r="F1150" t="s">
        <v>30900</v>
      </c>
      <c r="G1150" t="s">
        <v>30908</v>
      </c>
      <c r="H1150" t="s">
        <v>30916</v>
      </c>
      <c r="I1150" t="s">
        <v>30936</v>
      </c>
      <c r="J1150" t="s">
        <v>31907</v>
      </c>
      <c r="K1150" t="s">
        <v>40286</v>
      </c>
      <c r="M1150" t="s">
        <v>41138</v>
      </c>
      <c r="N1150" t="s">
        <v>44759</v>
      </c>
      <c r="O1150" t="s">
        <v>44760</v>
      </c>
      <c r="P1150">
        <v>0</v>
      </c>
      <c r="Q1150">
        <v>0</v>
      </c>
      <c r="R1150" t="s">
        <v>44761</v>
      </c>
      <c r="S1150" t="s">
        <v>44862</v>
      </c>
      <c r="T1150" t="s">
        <v>46421</v>
      </c>
      <c r="U1150" t="s">
        <v>47969</v>
      </c>
      <c r="V1150" t="s">
        <v>59253</v>
      </c>
      <c r="W1150" t="s">
        <v>41138</v>
      </c>
      <c r="X1150" t="s">
        <v>44762</v>
      </c>
    </row>
    <row r="1151" spans="1:24">
      <c r="A1151">
        <f>HYPERLINK("https://www.philgeps.gov.ph/GEPSNONPILOT/Tender/SplashBidNoticeAbstractUI.aspx?menuIndex=3&amp;refID=7153327&amp;Result=3","7153327")</f>
        <v>0</v>
      </c>
      <c r="B1151" t="s">
        <v>590</v>
      </c>
      <c r="C1151" t="s">
        <v>4878</v>
      </c>
      <c r="D1151" t="s">
        <v>18019</v>
      </c>
      <c r="E1151" t="s">
        <v>19127</v>
      </c>
      <c r="F1151" t="s">
        <v>30904</v>
      </c>
      <c r="G1151" t="s">
        <v>30907</v>
      </c>
      <c r="H1151" t="s">
        <v>30917</v>
      </c>
      <c r="I1151" t="s">
        <v>5830</v>
      </c>
      <c r="J1151" t="s">
        <v>31938</v>
      </c>
      <c r="K1151" t="s">
        <v>40285</v>
      </c>
      <c r="M1151" t="s">
        <v>41152</v>
      </c>
      <c r="N1151" t="s">
        <v>44759</v>
      </c>
      <c r="O1151" t="s">
        <v>44760</v>
      </c>
      <c r="P1151">
        <v>0</v>
      </c>
      <c r="Q1151">
        <v>0</v>
      </c>
      <c r="R1151" t="s">
        <v>44761</v>
      </c>
      <c r="S1151" t="s">
        <v>44862</v>
      </c>
      <c r="T1151" t="s">
        <v>46453</v>
      </c>
      <c r="U1151" t="s">
        <v>47970</v>
      </c>
      <c r="W1151" t="s">
        <v>41152</v>
      </c>
      <c r="X1151" t="s">
        <v>44762</v>
      </c>
    </row>
    <row r="1152" spans="1:24">
      <c r="A1152">
        <f>HYPERLINK("https://www.philgeps.gov.ph/GEPSNONPILOT/Tender/SplashBidNoticeAbstractUI.aspx?menuIndex=3&amp;refID=7153332&amp;Result=3","7153332")</f>
        <v>0</v>
      </c>
      <c r="B1152" t="s">
        <v>219</v>
      </c>
      <c r="C1152" t="s">
        <v>4108</v>
      </c>
      <c r="D1152" t="s">
        <v>17955</v>
      </c>
      <c r="E1152" t="s">
        <v>19128</v>
      </c>
      <c r="F1152" t="s">
        <v>30900</v>
      </c>
      <c r="G1152" t="s">
        <v>30908</v>
      </c>
      <c r="H1152" t="s">
        <v>30916</v>
      </c>
      <c r="I1152" t="s">
        <v>4108</v>
      </c>
      <c r="J1152" t="s">
        <v>31939</v>
      </c>
      <c r="K1152" t="s">
        <v>40286</v>
      </c>
      <c r="M1152" t="s">
        <v>40766</v>
      </c>
      <c r="N1152" t="s">
        <v>44759</v>
      </c>
      <c r="O1152" t="s">
        <v>44760</v>
      </c>
      <c r="P1152">
        <v>0</v>
      </c>
      <c r="Q1152">
        <v>0</v>
      </c>
      <c r="R1152" t="s">
        <v>44761</v>
      </c>
      <c r="S1152" t="s">
        <v>44862</v>
      </c>
      <c r="T1152" t="s">
        <v>46412</v>
      </c>
      <c r="U1152" t="s">
        <v>47971</v>
      </c>
      <c r="W1152" t="s">
        <v>40766</v>
      </c>
      <c r="X1152" t="s">
        <v>44762</v>
      </c>
    </row>
    <row r="1153" spans="1:24">
      <c r="A1153">
        <f>HYPERLINK("https://www.philgeps.gov.ph/GEPSNONPILOT/Tender/SplashBidNoticeAbstractUI.aspx?menuIndex=3&amp;refID=7153380&amp;Result=3","7153380")</f>
        <v>0</v>
      </c>
      <c r="B1153" t="s">
        <v>576</v>
      </c>
      <c r="C1153" t="s">
        <v>4879</v>
      </c>
      <c r="D1153" t="s">
        <v>17980</v>
      </c>
      <c r="E1153" t="s">
        <v>19056</v>
      </c>
      <c r="F1153" t="s">
        <v>30900</v>
      </c>
      <c r="G1153" t="s">
        <v>30908</v>
      </c>
      <c r="H1153" t="s">
        <v>30916</v>
      </c>
      <c r="I1153" t="s">
        <v>8123</v>
      </c>
      <c r="J1153" t="s">
        <v>31940</v>
      </c>
      <c r="K1153" t="s">
        <v>40287</v>
      </c>
      <c r="M1153" t="s">
        <v>41137</v>
      </c>
      <c r="N1153" t="s">
        <v>44759</v>
      </c>
      <c r="O1153" t="s">
        <v>44760</v>
      </c>
      <c r="P1153">
        <v>0</v>
      </c>
      <c r="Q1153">
        <v>0</v>
      </c>
      <c r="R1153" t="s">
        <v>44761</v>
      </c>
      <c r="S1153" t="s">
        <v>44862</v>
      </c>
      <c r="T1153" t="s">
        <v>46458</v>
      </c>
      <c r="U1153" t="s">
        <v>47972</v>
      </c>
      <c r="W1153" t="s">
        <v>41137</v>
      </c>
      <c r="X1153" t="s">
        <v>44762</v>
      </c>
    </row>
    <row r="1154" spans="1:24">
      <c r="A1154">
        <f>HYPERLINK("https://www.philgeps.gov.ph/GEPSNONPILOT/Tender/SplashBidNoticeAbstractUI.aspx?menuIndex=3&amp;refID=7153406&amp;Result=3","7153406")</f>
        <v>0</v>
      </c>
      <c r="B1154" t="s">
        <v>430</v>
      </c>
      <c r="C1154" t="s">
        <v>4880</v>
      </c>
      <c r="D1154" t="s">
        <v>18000</v>
      </c>
      <c r="E1154" t="s">
        <v>19129</v>
      </c>
      <c r="F1154" t="s">
        <v>30899</v>
      </c>
      <c r="G1154" t="s">
        <v>30908</v>
      </c>
      <c r="H1154" t="s">
        <v>30916</v>
      </c>
      <c r="I1154" t="s">
        <v>4142</v>
      </c>
      <c r="J1154" t="s">
        <v>31183</v>
      </c>
      <c r="K1154" t="s">
        <v>40287</v>
      </c>
      <c r="M1154" t="s">
        <v>40987</v>
      </c>
      <c r="N1154" t="s">
        <v>44759</v>
      </c>
      <c r="O1154" t="s">
        <v>44760</v>
      </c>
      <c r="P1154">
        <v>0</v>
      </c>
      <c r="Q1154">
        <v>0</v>
      </c>
      <c r="R1154" t="s">
        <v>44761</v>
      </c>
      <c r="S1154" t="s">
        <v>44862</v>
      </c>
      <c r="T1154" t="s">
        <v>46396</v>
      </c>
      <c r="U1154" t="s">
        <v>47973</v>
      </c>
      <c r="V1154" t="s">
        <v>59210</v>
      </c>
      <c r="W1154" t="s">
        <v>40987</v>
      </c>
      <c r="X1154" t="s">
        <v>44762</v>
      </c>
    </row>
    <row r="1155" spans="1:24">
      <c r="A1155">
        <f>HYPERLINK("https://www.philgeps.gov.ph/GEPSNONPILOT/Tender/SplashBidNoticeAbstractUI.aspx?menuIndex=3&amp;refID=7153405&amp;Result=3","7153405")</f>
        <v>0</v>
      </c>
      <c r="B1155" t="s">
        <v>522</v>
      </c>
      <c r="C1155" t="s">
        <v>4881</v>
      </c>
      <c r="D1155" t="s">
        <v>18017</v>
      </c>
      <c r="E1155" t="s">
        <v>19130</v>
      </c>
      <c r="F1155" t="s">
        <v>30900</v>
      </c>
      <c r="G1155" t="s">
        <v>30909</v>
      </c>
      <c r="H1155" t="s">
        <v>30916</v>
      </c>
      <c r="I1155" t="s">
        <v>4108</v>
      </c>
      <c r="J1155" t="s">
        <v>31941</v>
      </c>
      <c r="K1155" t="s">
        <v>40287</v>
      </c>
      <c r="M1155" t="s">
        <v>41082</v>
      </c>
      <c r="N1155" t="s">
        <v>44759</v>
      </c>
      <c r="O1155" t="s">
        <v>44760</v>
      </c>
      <c r="P1155">
        <v>0</v>
      </c>
      <c r="Q1155">
        <v>0</v>
      </c>
      <c r="R1155" t="s">
        <v>44761</v>
      </c>
      <c r="S1155" t="s">
        <v>44862</v>
      </c>
      <c r="T1155" t="s">
        <v>46421</v>
      </c>
      <c r="U1155" t="s">
        <v>47974</v>
      </c>
      <c r="W1155" t="s">
        <v>41082</v>
      </c>
      <c r="X1155" t="s">
        <v>44762</v>
      </c>
    </row>
    <row r="1156" spans="1:24">
      <c r="A1156">
        <f>HYPERLINK("https://www.philgeps.gov.ph/GEPSNONPILOT/Tender/SplashBidNoticeAbstractUI.aspx?menuIndex=3&amp;refID=7153404&amp;Result=3","7153404")</f>
        <v>0</v>
      </c>
      <c r="B1156" t="s">
        <v>591</v>
      </c>
      <c r="C1156" t="s">
        <v>4882</v>
      </c>
      <c r="D1156" t="s">
        <v>17998</v>
      </c>
      <c r="E1156" t="s">
        <v>19131</v>
      </c>
      <c r="F1156" t="s">
        <v>30900</v>
      </c>
      <c r="G1156" t="s">
        <v>30907</v>
      </c>
      <c r="H1156" t="s">
        <v>30916</v>
      </c>
      <c r="I1156" t="s">
        <v>30924</v>
      </c>
      <c r="J1156" t="s">
        <v>31942</v>
      </c>
      <c r="K1156" t="s">
        <v>40286</v>
      </c>
      <c r="M1156" t="s">
        <v>41153</v>
      </c>
      <c r="N1156" t="s">
        <v>44759</v>
      </c>
      <c r="O1156" t="s">
        <v>44760</v>
      </c>
      <c r="P1156">
        <v>0</v>
      </c>
      <c r="Q1156">
        <v>0</v>
      </c>
      <c r="R1156" t="s">
        <v>44761</v>
      </c>
      <c r="S1156" t="s">
        <v>44862</v>
      </c>
      <c r="T1156" t="s">
        <v>46366</v>
      </c>
      <c r="U1156" t="s">
        <v>47975</v>
      </c>
      <c r="V1156" t="s">
        <v>59259</v>
      </c>
      <c r="W1156" t="s">
        <v>41153</v>
      </c>
      <c r="X1156" t="s">
        <v>44762</v>
      </c>
    </row>
    <row r="1157" spans="1:24">
      <c r="A1157">
        <f>HYPERLINK("https://www.philgeps.gov.ph/GEPSNONPILOT/Tender/SplashBidNoticeAbstractUI.aspx?menuIndex=3&amp;refID=7153360&amp;Result=3","7153360")</f>
        <v>0</v>
      </c>
      <c r="B1157" t="s">
        <v>592</v>
      </c>
      <c r="C1157" t="s">
        <v>4883</v>
      </c>
      <c r="D1157" t="s">
        <v>18030</v>
      </c>
      <c r="E1157" t="s">
        <v>19132</v>
      </c>
      <c r="F1157" t="s">
        <v>30900</v>
      </c>
      <c r="G1157" t="s">
        <v>30908</v>
      </c>
      <c r="H1157" t="s">
        <v>30916</v>
      </c>
      <c r="I1157" t="s">
        <v>4142</v>
      </c>
      <c r="J1157" t="s">
        <v>31943</v>
      </c>
      <c r="K1157" t="s">
        <v>40284</v>
      </c>
      <c r="M1157" t="s">
        <v>41154</v>
      </c>
      <c r="N1157" t="s">
        <v>44759</v>
      </c>
      <c r="O1157" t="s">
        <v>44760</v>
      </c>
      <c r="P1157">
        <v>0</v>
      </c>
      <c r="Q1157">
        <v>0</v>
      </c>
      <c r="R1157" t="s">
        <v>44761</v>
      </c>
      <c r="S1157" t="s">
        <v>44862</v>
      </c>
      <c r="T1157" t="s">
        <v>46424</v>
      </c>
      <c r="U1157" t="s">
        <v>47976</v>
      </c>
      <c r="W1157" t="s">
        <v>41154</v>
      </c>
      <c r="X1157" t="s">
        <v>44762</v>
      </c>
    </row>
    <row r="1158" spans="1:24">
      <c r="A1158">
        <f>HYPERLINK("https://www.philgeps.gov.ph/GEPSNONPILOT/Tender/SplashBidNoticeAbstractUI.aspx?menuIndex=3&amp;refID=7153402&amp;Result=3","7153402")</f>
        <v>0</v>
      </c>
      <c r="B1158" t="s">
        <v>318</v>
      </c>
      <c r="C1158" t="s">
        <v>4884</v>
      </c>
      <c r="D1158" t="s">
        <v>17968</v>
      </c>
      <c r="E1158" t="s">
        <v>19133</v>
      </c>
      <c r="F1158" t="s">
        <v>30900</v>
      </c>
      <c r="G1158" t="s">
        <v>30907</v>
      </c>
      <c r="H1158" t="s">
        <v>30916</v>
      </c>
      <c r="I1158" t="s">
        <v>5501</v>
      </c>
      <c r="J1158" t="s">
        <v>31944</v>
      </c>
      <c r="K1158" t="s">
        <v>40287</v>
      </c>
      <c r="M1158" t="s">
        <v>40869</v>
      </c>
      <c r="N1158" t="s">
        <v>44759</v>
      </c>
      <c r="O1158" t="s">
        <v>44760</v>
      </c>
      <c r="P1158">
        <v>0</v>
      </c>
      <c r="Q1158">
        <v>0</v>
      </c>
      <c r="R1158" t="s">
        <v>44761</v>
      </c>
      <c r="S1158" t="s">
        <v>44862</v>
      </c>
      <c r="T1158" t="s">
        <v>46382</v>
      </c>
      <c r="U1158" t="s">
        <v>47977</v>
      </c>
      <c r="V1158" t="s">
        <v>59260</v>
      </c>
      <c r="W1158" t="s">
        <v>40869</v>
      </c>
      <c r="X1158" t="s">
        <v>44762</v>
      </c>
    </row>
    <row r="1159" spans="1:24">
      <c r="A1159">
        <f>HYPERLINK("https://www.philgeps.gov.ph/GEPSNONPILOT/Tender/SplashBidNoticeAbstractUI.aspx?menuIndex=3&amp;refID=7153401&amp;Result=3","7153401")</f>
        <v>0</v>
      </c>
      <c r="B1159" t="s">
        <v>593</v>
      </c>
      <c r="C1159" t="s">
        <v>4885</v>
      </c>
      <c r="D1159" t="s">
        <v>18031</v>
      </c>
      <c r="E1159" t="s">
        <v>19134</v>
      </c>
      <c r="F1159" t="s">
        <v>30900</v>
      </c>
      <c r="G1159" t="s">
        <v>30908</v>
      </c>
      <c r="H1159" t="s">
        <v>30916</v>
      </c>
      <c r="I1159" t="s">
        <v>6746</v>
      </c>
      <c r="J1159" t="s">
        <v>31152</v>
      </c>
      <c r="K1159" t="s">
        <v>40285</v>
      </c>
      <c r="M1159" t="s">
        <v>41155</v>
      </c>
      <c r="N1159" t="s">
        <v>44759</v>
      </c>
      <c r="O1159" t="s">
        <v>44760</v>
      </c>
      <c r="P1159">
        <v>0</v>
      </c>
      <c r="Q1159">
        <v>0</v>
      </c>
      <c r="R1159" t="s">
        <v>44761</v>
      </c>
      <c r="S1159" t="s">
        <v>44862</v>
      </c>
      <c r="T1159" t="s">
        <v>46356</v>
      </c>
      <c r="U1159" t="s">
        <v>47978</v>
      </c>
      <c r="W1159" t="s">
        <v>41155</v>
      </c>
      <c r="X1159" t="s">
        <v>44762</v>
      </c>
    </row>
    <row r="1160" spans="1:24">
      <c r="A1160">
        <f>HYPERLINK("https://www.philgeps.gov.ph/GEPSNONPILOT/Tender/SplashBidNoticeAbstractUI.aspx?menuIndex=3&amp;refID=7153399&amp;Result=3","7153399")</f>
        <v>0</v>
      </c>
      <c r="B1160" t="s">
        <v>582</v>
      </c>
      <c r="C1160" t="s">
        <v>4886</v>
      </c>
      <c r="D1160" t="s">
        <v>18019</v>
      </c>
      <c r="E1160" t="s">
        <v>19135</v>
      </c>
      <c r="F1160" t="s">
        <v>30900</v>
      </c>
      <c r="G1160" t="s">
        <v>30908</v>
      </c>
      <c r="H1160" t="s">
        <v>30916</v>
      </c>
      <c r="I1160" t="s">
        <v>6396</v>
      </c>
      <c r="J1160" t="s">
        <v>31945</v>
      </c>
      <c r="K1160" t="s">
        <v>40283</v>
      </c>
      <c r="M1160" t="s">
        <v>41144</v>
      </c>
      <c r="N1160" t="s">
        <v>44759</v>
      </c>
      <c r="O1160" t="s">
        <v>44760</v>
      </c>
      <c r="P1160">
        <v>0</v>
      </c>
      <c r="Q1160">
        <v>0</v>
      </c>
      <c r="R1160" t="s">
        <v>44761</v>
      </c>
      <c r="S1160" t="s">
        <v>44862</v>
      </c>
      <c r="T1160" t="s">
        <v>46425</v>
      </c>
      <c r="U1160" t="s">
        <v>47979</v>
      </c>
      <c r="W1160" t="s">
        <v>41144</v>
      </c>
      <c r="X1160" t="s">
        <v>44762</v>
      </c>
    </row>
    <row r="1161" spans="1:24">
      <c r="A1161">
        <f>HYPERLINK("https://www.philgeps.gov.ph/GEPSNONPILOT/Tender/SplashBidNoticeAbstractUI.aspx?menuIndex=3&amp;refID=7153355&amp;Result=3","7153355")</f>
        <v>0</v>
      </c>
      <c r="B1161" t="s">
        <v>594</v>
      </c>
      <c r="C1161" t="s">
        <v>4475</v>
      </c>
      <c r="D1161" t="s">
        <v>17961</v>
      </c>
      <c r="E1161" t="s">
        <v>18752</v>
      </c>
      <c r="F1161" t="s">
        <v>30900</v>
      </c>
      <c r="G1161" t="s">
        <v>30909</v>
      </c>
      <c r="H1161" t="s">
        <v>30916</v>
      </c>
      <c r="I1161" t="s">
        <v>8365</v>
      </c>
      <c r="J1161" t="s">
        <v>31183</v>
      </c>
      <c r="K1161" t="s">
        <v>40285</v>
      </c>
      <c r="M1161" t="s">
        <v>41156</v>
      </c>
      <c r="N1161" t="s">
        <v>44759</v>
      </c>
      <c r="O1161" t="s">
        <v>44760</v>
      </c>
      <c r="P1161">
        <v>0</v>
      </c>
      <c r="Q1161">
        <v>0</v>
      </c>
      <c r="R1161" t="s">
        <v>44761</v>
      </c>
      <c r="S1161" t="s">
        <v>44862</v>
      </c>
      <c r="T1161" t="s">
        <v>46414</v>
      </c>
      <c r="U1161" t="s">
        <v>47980</v>
      </c>
      <c r="W1161" t="s">
        <v>41156</v>
      </c>
      <c r="X1161" t="s">
        <v>44762</v>
      </c>
    </row>
    <row r="1162" spans="1:24">
      <c r="A1162">
        <f>HYPERLINK("https://www.philgeps.gov.ph/GEPSNONPILOT/Tender/SplashBidNoticeAbstractUI.aspx?menuIndex=3&amp;refID=7153396&amp;Result=3","7153396")</f>
        <v>0</v>
      </c>
      <c r="B1162" t="s">
        <v>591</v>
      </c>
      <c r="C1162" t="s">
        <v>4887</v>
      </c>
      <c r="D1162" t="s">
        <v>17998</v>
      </c>
      <c r="E1162" t="s">
        <v>19136</v>
      </c>
      <c r="F1162" t="s">
        <v>30900</v>
      </c>
      <c r="G1162" t="s">
        <v>30907</v>
      </c>
      <c r="H1162" t="s">
        <v>30916</v>
      </c>
      <c r="I1162" t="s">
        <v>8123</v>
      </c>
      <c r="J1162" t="s">
        <v>31946</v>
      </c>
      <c r="K1162" t="s">
        <v>40286</v>
      </c>
      <c r="M1162" t="s">
        <v>41153</v>
      </c>
      <c r="N1162" t="s">
        <v>44759</v>
      </c>
      <c r="O1162" t="s">
        <v>44760</v>
      </c>
      <c r="P1162">
        <v>0</v>
      </c>
      <c r="Q1162">
        <v>0</v>
      </c>
      <c r="R1162" t="s">
        <v>44761</v>
      </c>
      <c r="S1162" t="s">
        <v>44862</v>
      </c>
      <c r="T1162" t="s">
        <v>46350</v>
      </c>
      <c r="U1162" t="s">
        <v>47981</v>
      </c>
      <c r="V1162" t="s">
        <v>59259</v>
      </c>
      <c r="W1162" t="s">
        <v>41153</v>
      </c>
      <c r="X1162" t="s">
        <v>44762</v>
      </c>
    </row>
    <row r="1163" spans="1:24">
      <c r="A1163">
        <f>HYPERLINK("https://www.philgeps.gov.ph/GEPSNONPILOT/Tender/SplashBidNoticeAbstractUI.aspx?menuIndex=3&amp;refID=7153393&amp;Result=3","7153393")</f>
        <v>0</v>
      </c>
      <c r="B1163" t="s">
        <v>595</v>
      </c>
      <c r="C1163" t="s">
        <v>4888</v>
      </c>
      <c r="D1163" t="s">
        <v>17953</v>
      </c>
      <c r="E1163" t="s">
        <v>19137</v>
      </c>
      <c r="F1163" t="s">
        <v>30900</v>
      </c>
      <c r="G1163" t="s">
        <v>30908</v>
      </c>
      <c r="H1163" t="s">
        <v>30916</v>
      </c>
      <c r="I1163" t="s">
        <v>8123</v>
      </c>
      <c r="J1163" t="s">
        <v>31947</v>
      </c>
      <c r="K1163" t="s">
        <v>40283</v>
      </c>
      <c r="M1163" t="s">
        <v>41157</v>
      </c>
      <c r="N1163" t="s">
        <v>44759</v>
      </c>
      <c r="O1163" t="s">
        <v>44760</v>
      </c>
      <c r="P1163">
        <v>0</v>
      </c>
      <c r="Q1163">
        <v>0</v>
      </c>
      <c r="R1163" t="s">
        <v>44761</v>
      </c>
      <c r="S1163" t="s">
        <v>44862</v>
      </c>
      <c r="T1163" t="s">
        <v>46507</v>
      </c>
      <c r="U1163" t="s">
        <v>47982</v>
      </c>
      <c r="W1163" t="s">
        <v>41157</v>
      </c>
      <c r="X1163" t="s">
        <v>44762</v>
      </c>
    </row>
    <row r="1164" spans="1:24">
      <c r="A1164">
        <f>HYPERLINK("https://www.philgeps.gov.ph/GEPSNONPILOT/Tender/SplashBidNoticeAbstractUI.aspx?menuIndex=3&amp;refID=7153390&amp;Result=3","7153390")</f>
        <v>0</v>
      </c>
      <c r="B1164" t="s">
        <v>587</v>
      </c>
      <c r="C1164" t="s">
        <v>4889</v>
      </c>
      <c r="D1164" t="s">
        <v>17967</v>
      </c>
      <c r="E1164" t="s">
        <v>19138</v>
      </c>
      <c r="F1164" t="s">
        <v>30900</v>
      </c>
      <c r="G1164" t="s">
        <v>30907</v>
      </c>
      <c r="H1164" t="s">
        <v>30916</v>
      </c>
      <c r="I1164" t="s">
        <v>5830</v>
      </c>
      <c r="J1164" t="s">
        <v>31130</v>
      </c>
      <c r="K1164" t="s">
        <v>40284</v>
      </c>
      <c r="M1164" t="s">
        <v>41149</v>
      </c>
      <c r="N1164" t="s">
        <v>44759</v>
      </c>
      <c r="O1164" t="s">
        <v>44760</v>
      </c>
      <c r="P1164">
        <v>0</v>
      </c>
      <c r="Q1164">
        <v>0</v>
      </c>
      <c r="R1164" t="s">
        <v>44761</v>
      </c>
      <c r="S1164" t="s">
        <v>44862</v>
      </c>
      <c r="T1164" t="s">
        <v>46488</v>
      </c>
      <c r="U1164" t="s">
        <v>47983</v>
      </c>
      <c r="W1164" t="s">
        <v>41149</v>
      </c>
      <c r="X1164" t="s">
        <v>44762</v>
      </c>
    </row>
    <row r="1165" spans="1:24">
      <c r="A1165">
        <f>HYPERLINK("https://www.philgeps.gov.ph/GEPSNONPILOT/Tender/SplashBidNoticeAbstractUI.aspx?menuIndex=3&amp;refID=7153362&amp;Result=3","7153362")</f>
        <v>0</v>
      </c>
      <c r="B1165" t="s">
        <v>596</v>
      </c>
      <c r="C1165" t="s">
        <v>4890</v>
      </c>
      <c r="D1165" t="s">
        <v>17954</v>
      </c>
      <c r="E1165" t="s">
        <v>18396</v>
      </c>
      <c r="F1165" t="s">
        <v>30900</v>
      </c>
      <c r="G1165" t="s">
        <v>30908</v>
      </c>
      <c r="H1165" t="s">
        <v>30916</v>
      </c>
      <c r="I1165" t="s">
        <v>30967</v>
      </c>
      <c r="J1165" t="s">
        <v>31948</v>
      </c>
      <c r="K1165" t="s">
        <v>40281</v>
      </c>
      <c r="M1165" t="s">
        <v>41158</v>
      </c>
      <c r="N1165" t="s">
        <v>44759</v>
      </c>
      <c r="O1165" t="s">
        <v>44760</v>
      </c>
      <c r="P1165">
        <v>0</v>
      </c>
      <c r="Q1165">
        <v>0</v>
      </c>
      <c r="R1165" t="s">
        <v>44761</v>
      </c>
      <c r="S1165" t="s">
        <v>44862</v>
      </c>
      <c r="T1165" t="s">
        <v>46357</v>
      </c>
      <c r="U1165" t="s">
        <v>47984</v>
      </c>
      <c r="W1165" t="s">
        <v>41158</v>
      </c>
      <c r="X1165" t="s">
        <v>44762</v>
      </c>
    </row>
    <row r="1166" spans="1:24">
      <c r="A1166">
        <f>HYPERLINK("https://www.philgeps.gov.ph/GEPSNONPILOT/Tender/SplashBidNoticeAbstractUI.aspx?menuIndex=3&amp;refID=7153236&amp;Result=3","7153236")</f>
        <v>0</v>
      </c>
      <c r="B1166" t="s">
        <v>561</v>
      </c>
      <c r="C1166" t="s">
        <v>4891</v>
      </c>
      <c r="D1166" t="s">
        <v>17975</v>
      </c>
      <c r="E1166" t="s">
        <v>19051</v>
      </c>
      <c r="F1166" t="s">
        <v>30900</v>
      </c>
      <c r="G1166" t="s">
        <v>30909</v>
      </c>
      <c r="H1166" t="s">
        <v>30916</v>
      </c>
      <c r="I1166" t="s">
        <v>4108</v>
      </c>
      <c r="J1166" t="s">
        <v>31728</v>
      </c>
      <c r="K1166" t="s">
        <v>40289</v>
      </c>
      <c r="M1166" t="s">
        <v>41122</v>
      </c>
      <c r="N1166" t="s">
        <v>44759</v>
      </c>
      <c r="O1166" t="s">
        <v>44760</v>
      </c>
      <c r="P1166">
        <v>0</v>
      </c>
      <c r="Q1166">
        <v>0</v>
      </c>
      <c r="R1166" t="s">
        <v>44761</v>
      </c>
      <c r="S1166" t="s">
        <v>44862</v>
      </c>
      <c r="T1166" t="s">
        <v>46383</v>
      </c>
      <c r="U1166" t="s">
        <v>47985</v>
      </c>
      <c r="V1166" t="s">
        <v>59183</v>
      </c>
      <c r="W1166" t="s">
        <v>41122</v>
      </c>
      <c r="X1166" t="s">
        <v>44762</v>
      </c>
    </row>
    <row r="1167" spans="1:24">
      <c r="A1167">
        <f>HYPERLINK("https://www.philgeps.gov.ph/GEPSNONPILOT/Tender/SplashBidNoticeAbstractUI.aspx?menuIndex=3&amp;refID=7153397&amp;Result=3","7153397")</f>
        <v>0</v>
      </c>
      <c r="B1167" t="s">
        <v>237</v>
      </c>
      <c r="C1167" t="s">
        <v>4892</v>
      </c>
      <c r="D1167" t="s">
        <v>17977</v>
      </c>
      <c r="E1167" t="s">
        <v>19139</v>
      </c>
      <c r="F1167" t="s">
        <v>30900</v>
      </c>
      <c r="G1167" t="s">
        <v>30910</v>
      </c>
      <c r="H1167" t="s">
        <v>30916</v>
      </c>
      <c r="I1167" t="s">
        <v>6396</v>
      </c>
      <c r="J1167" t="s">
        <v>31949</v>
      </c>
      <c r="K1167" t="s">
        <v>40289</v>
      </c>
      <c r="M1167" t="s">
        <v>40784</v>
      </c>
      <c r="N1167" t="s">
        <v>44759</v>
      </c>
      <c r="O1167" t="s">
        <v>44760</v>
      </c>
      <c r="P1167">
        <v>0</v>
      </c>
      <c r="Q1167">
        <v>0</v>
      </c>
      <c r="R1167" t="s">
        <v>44761</v>
      </c>
      <c r="S1167" t="s">
        <v>44862</v>
      </c>
      <c r="T1167" t="s">
        <v>46393</v>
      </c>
      <c r="U1167" t="s">
        <v>47986</v>
      </c>
      <c r="W1167" t="s">
        <v>40784</v>
      </c>
      <c r="X1167" t="s">
        <v>44762</v>
      </c>
    </row>
    <row r="1168" spans="1:24">
      <c r="A1168">
        <f>HYPERLINK("https://www.philgeps.gov.ph/GEPSNONPILOT/Tender/SplashBidNoticeAbstractUI.aspx?menuIndex=3&amp;refID=7153386&amp;Result=3","7153386")</f>
        <v>0</v>
      </c>
      <c r="B1168" t="s">
        <v>219</v>
      </c>
      <c r="C1168" t="s">
        <v>4108</v>
      </c>
      <c r="D1168" t="s">
        <v>17955</v>
      </c>
      <c r="E1168" t="s">
        <v>19140</v>
      </c>
      <c r="F1168" t="s">
        <v>30900</v>
      </c>
      <c r="G1168" t="s">
        <v>30908</v>
      </c>
      <c r="H1168" t="s">
        <v>30916</v>
      </c>
      <c r="I1168" t="s">
        <v>4108</v>
      </c>
      <c r="J1168" t="s">
        <v>31950</v>
      </c>
      <c r="K1168" t="s">
        <v>40286</v>
      </c>
      <c r="M1168" t="s">
        <v>40766</v>
      </c>
      <c r="N1168" t="s">
        <v>44759</v>
      </c>
      <c r="O1168" t="s">
        <v>44760</v>
      </c>
      <c r="P1168">
        <v>0</v>
      </c>
      <c r="Q1168">
        <v>0</v>
      </c>
      <c r="R1168" t="s">
        <v>44761</v>
      </c>
      <c r="S1168" t="s">
        <v>44862</v>
      </c>
      <c r="T1168" t="s">
        <v>46412</v>
      </c>
      <c r="U1168" t="s">
        <v>47987</v>
      </c>
      <c r="W1168" t="s">
        <v>40766</v>
      </c>
      <c r="X1168" t="s">
        <v>44762</v>
      </c>
    </row>
    <row r="1169" spans="1:24">
      <c r="A1169">
        <f>HYPERLINK("https://www.philgeps.gov.ph/GEPSNONPILOT/Tender/SplashBidNoticeAbstractUI.aspx?menuIndex=3&amp;refID=7153383&amp;Result=3","7153383")</f>
        <v>0</v>
      </c>
      <c r="B1169" t="s">
        <v>597</v>
      </c>
      <c r="C1169" t="s">
        <v>4893</v>
      </c>
      <c r="D1169" t="s">
        <v>17978</v>
      </c>
      <c r="E1169" t="s">
        <v>19141</v>
      </c>
      <c r="F1169" t="s">
        <v>30900</v>
      </c>
      <c r="G1169" t="s">
        <v>30908</v>
      </c>
      <c r="H1169" t="s">
        <v>30916</v>
      </c>
      <c r="I1169" t="s">
        <v>5830</v>
      </c>
      <c r="J1169" t="s">
        <v>31951</v>
      </c>
      <c r="K1169" t="s">
        <v>40283</v>
      </c>
      <c r="M1169" t="s">
        <v>41159</v>
      </c>
      <c r="N1169" t="s">
        <v>44759</v>
      </c>
      <c r="O1169" t="s">
        <v>44760</v>
      </c>
      <c r="P1169">
        <v>0</v>
      </c>
      <c r="Q1169">
        <v>0</v>
      </c>
      <c r="R1169" t="s">
        <v>44761</v>
      </c>
      <c r="S1169" t="s">
        <v>44862</v>
      </c>
      <c r="T1169" t="s">
        <v>46399</v>
      </c>
      <c r="U1169" t="s">
        <v>47988</v>
      </c>
      <c r="W1169" t="s">
        <v>41159</v>
      </c>
      <c r="X1169" t="s">
        <v>44762</v>
      </c>
    </row>
    <row r="1170" spans="1:24">
      <c r="A1170">
        <f>HYPERLINK("https://www.philgeps.gov.ph/GEPSNONPILOT/Tender/SplashBidNoticeAbstractUI.aspx?menuIndex=3&amp;refID=7153391&amp;Result=3","7153391")</f>
        <v>0</v>
      </c>
      <c r="B1170" t="s">
        <v>598</v>
      </c>
      <c r="C1170" t="s">
        <v>4894</v>
      </c>
      <c r="E1170" t="s">
        <v>19142</v>
      </c>
      <c r="F1170" t="s">
        <v>30899</v>
      </c>
      <c r="G1170" t="s">
        <v>30909</v>
      </c>
      <c r="H1170" t="s">
        <v>30916</v>
      </c>
      <c r="I1170" t="s">
        <v>30925</v>
      </c>
      <c r="J1170" t="s">
        <v>31204</v>
      </c>
      <c r="K1170" t="s">
        <v>40284</v>
      </c>
      <c r="N1170" t="s">
        <v>44759</v>
      </c>
      <c r="O1170" t="s">
        <v>44760</v>
      </c>
      <c r="P1170">
        <v>0</v>
      </c>
      <c r="Q1170">
        <v>0</v>
      </c>
      <c r="R1170" t="s">
        <v>44761</v>
      </c>
      <c r="S1170" t="s">
        <v>44862</v>
      </c>
      <c r="T1170" t="s">
        <v>46458</v>
      </c>
      <c r="U1170" t="s">
        <v>47989</v>
      </c>
      <c r="W1170" t="s">
        <v>60831</v>
      </c>
      <c r="X1170" t="s">
        <v>44762</v>
      </c>
    </row>
    <row r="1171" spans="1:24">
      <c r="A1171">
        <f>HYPERLINK("https://www.philgeps.gov.ph/GEPSNONPILOT/Tender/SplashBidNoticeAbstractUI.aspx?menuIndex=3&amp;refID=7153381&amp;Result=3","7153381")</f>
        <v>0</v>
      </c>
      <c r="B1171" t="s">
        <v>237</v>
      </c>
      <c r="C1171" t="s">
        <v>4895</v>
      </c>
      <c r="D1171" t="s">
        <v>17977</v>
      </c>
      <c r="E1171" t="s">
        <v>19143</v>
      </c>
      <c r="F1171" t="s">
        <v>30900</v>
      </c>
      <c r="G1171" t="s">
        <v>30908</v>
      </c>
      <c r="H1171" t="s">
        <v>30916</v>
      </c>
      <c r="I1171" t="s">
        <v>6408</v>
      </c>
      <c r="J1171" t="s">
        <v>31174</v>
      </c>
      <c r="K1171" t="s">
        <v>40289</v>
      </c>
      <c r="M1171" t="s">
        <v>40784</v>
      </c>
      <c r="N1171" t="s">
        <v>44759</v>
      </c>
      <c r="O1171" t="s">
        <v>44760</v>
      </c>
      <c r="P1171">
        <v>0</v>
      </c>
      <c r="Q1171">
        <v>0</v>
      </c>
      <c r="R1171" t="s">
        <v>44761</v>
      </c>
      <c r="S1171" t="s">
        <v>44862</v>
      </c>
      <c r="T1171" t="s">
        <v>46376</v>
      </c>
      <c r="U1171" t="s">
        <v>47990</v>
      </c>
      <c r="W1171" t="s">
        <v>40784</v>
      </c>
      <c r="X1171" t="s">
        <v>44762</v>
      </c>
    </row>
    <row r="1172" spans="1:24">
      <c r="A1172">
        <f>HYPERLINK("https://www.philgeps.gov.ph/GEPSNONPILOT/Tender/SplashBidNoticeAbstractUI.aspx?menuIndex=3&amp;refID=7153324&amp;Result=3","7153324")</f>
        <v>0</v>
      </c>
      <c r="B1172" t="s">
        <v>219</v>
      </c>
      <c r="C1172" t="s">
        <v>4108</v>
      </c>
      <c r="D1172" t="s">
        <v>17955</v>
      </c>
      <c r="E1172" t="s">
        <v>19144</v>
      </c>
      <c r="F1172" t="s">
        <v>30900</v>
      </c>
      <c r="G1172" t="s">
        <v>30908</v>
      </c>
      <c r="H1172" t="s">
        <v>30916</v>
      </c>
      <c r="I1172" t="s">
        <v>4108</v>
      </c>
      <c r="J1172" t="s">
        <v>31952</v>
      </c>
      <c r="K1172" t="s">
        <v>40293</v>
      </c>
      <c r="M1172" t="s">
        <v>40766</v>
      </c>
      <c r="N1172" t="s">
        <v>44759</v>
      </c>
      <c r="O1172" t="s">
        <v>44760</v>
      </c>
      <c r="P1172">
        <v>0</v>
      </c>
      <c r="Q1172">
        <v>0</v>
      </c>
      <c r="R1172" t="s">
        <v>44761</v>
      </c>
      <c r="S1172" t="s">
        <v>44862</v>
      </c>
      <c r="T1172" t="s">
        <v>46412</v>
      </c>
      <c r="U1172" t="s">
        <v>47991</v>
      </c>
      <c r="W1172" t="s">
        <v>40766</v>
      </c>
      <c r="X1172" t="s">
        <v>44762</v>
      </c>
    </row>
    <row r="1173" spans="1:24">
      <c r="A1173">
        <f>HYPERLINK("https://www.philgeps.gov.ph/GEPSNONPILOT/Tender/SplashBidNoticeAbstractUI.aspx?menuIndex=3&amp;refID=7153384&amp;Result=3","7153384")</f>
        <v>0</v>
      </c>
      <c r="B1173" t="s">
        <v>599</v>
      </c>
      <c r="C1173" t="s">
        <v>4896</v>
      </c>
      <c r="D1173" t="s">
        <v>17985</v>
      </c>
      <c r="E1173" t="s">
        <v>19145</v>
      </c>
      <c r="F1173" t="s">
        <v>30900</v>
      </c>
      <c r="G1173" t="s">
        <v>30907</v>
      </c>
      <c r="H1173" t="s">
        <v>30916</v>
      </c>
      <c r="I1173" t="s">
        <v>30933</v>
      </c>
      <c r="J1173" t="s">
        <v>31953</v>
      </c>
      <c r="K1173" t="s">
        <v>40281</v>
      </c>
      <c r="M1173" t="s">
        <v>41160</v>
      </c>
      <c r="N1173" t="s">
        <v>44759</v>
      </c>
      <c r="O1173" t="s">
        <v>44760</v>
      </c>
      <c r="P1173">
        <v>0</v>
      </c>
      <c r="Q1173">
        <v>1</v>
      </c>
      <c r="R1173" t="s">
        <v>44761</v>
      </c>
      <c r="S1173" t="s">
        <v>44862</v>
      </c>
      <c r="T1173" t="s">
        <v>46352</v>
      </c>
      <c r="U1173" t="s">
        <v>47992</v>
      </c>
      <c r="W1173" t="s">
        <v>41160</v>
      </c>
      <c r="X1173" t="s">
        <v>44762</v>
      </c>
    </row>
    <row r="1174" spans="1:24">
      <c r="A1174">
        <f>HYPERLINK("https://www.philgeps.gov.ph/GEPSNONPILOT/Tender/SplashBidNoticeAbstractUI.aspx?menuIndex=3&amp;refID=7153382&amp;Result=3","7153382")</f>
        <v>0</v>
      </c>
      <c r="B1174" t="s">
        <v>600</v>
      </c>
      <c r="C1174" t="s">
        <v>4897</v>
      </c>
      <c r="D1174" t="s">
        <v>17978</v>
      </c>
      <c r="E1174" t="s">
        <v>19146</v>
      </c>
      <c r="F1174" t="s">
        <v>30900</v>
      </c>
      <c r="G1174" t="s">
        <v>30908</v>
      </c>
      <c r="H1174" t="s">
        <v>30916</v>
      </c>
      <c r="I1174" t="s">
        <v>6396</v>
      </c>
      <c r="J1174" t="s">
        <v>31954</v>
      </c>
      <c r="K1174" t="s">
        <v>40286</v>
      </c>
      <c r="M1174" t="s">
        <v>41161</v>
      </c>
      <c r="N1174" t="s">
        <v>44759</v>
      </c>
      <c r="O1174" t="s">
        <v>44760</v>
      </c>
      <c r="P1174">
        <v>0</v>
      </c>
      <c r="Q1174">
        <v>0</v>
      </c>
      <c r="R1174" t="s">
        <v>44761</v>
      </c>
      <c r="S1174" t="s">
        <v>44862</v>
      </c>
      <c r="T1174" t="s">
        <v>46393</v>
      </c>
      <c r="U1174" t="s">
        <v>47993</v>
      </c>
      <c r="V1174" t="s">
        <v>59261</v>
      </c>
      <c r="W1174" t="s">
        <v>41161</v>
      </c>
      <c r="X1174" t="s">
        <v>44762</v>
      </c>
    </row>
    <row r="1175" spans="1:24">
      <c r="A1175">
        <f>HYPERLINK("https://www.philgeps.gov.ph/GEPSNONPILOT/Tender/SplashBidNoticeAbstractUI.aspx?menuIndex=3&amp;refID=7153319&amp;Result=3","7153319")</f>
        <v>0</v>
      </c>
      <c r="B1175" t="s">
        <v>522</v>
      </c>
      <c r="C1175" t="s">
        <v>4898</v>
      </c>
      <c r="D1175" t="s">
        <v>18017</v>
      </c>
      <c r="E1175" t="s">
        <v>19147</v>
      </c>
      <c r="F1175" t="s">
        <v>30900</v>
      </c>
      <c r="G1175" t="s">
        <v>30906</v>
      </c>
      <c r="H1175" t="s">
        <v>30916</v>
      </c>
      <c r="I1175" t="s">
        <v>4050</v>
      </c>
      <c r="J1175" t="s">
        <v>31955</v>
      </c>
      <c r="K1175" t="s">
        <v>40287</v>
      </c>
      <c r="M1175" t="s">
        <v>41082</v>
      </c>
      <c r="N1175" t="s">
        <v>44759</v>
      </c>
      <c r="O1175" t="s">
        <v>44760</v>
      </c>
      <c r="P1175">
        <v>0</v>
      </c>
      <c r="Q1175">
        <v>0</v>
      </c>
      <c r="R1175" t="s">
        <v>44761</v>
      </c>
      <c r="S1175" t="s">
        <v>44862</v>
      </c>
      <c r="T1175" t="s">
        <v>46421</v>
      </c>
      <c r="U1175" t="s">
        <v>47994</v>
      </c>
      <c r="W1175" t="s">
        <v>41082</v>
      </c>
      <c r="X1175" t="s">
        <v>44762</v>
      </c>
    </row>
    <row r="1176" spans="1:24">
      <c r="A1176">
        <f>HYPERLINK("https://www.philgeps.gov.ph/GEPSNONPILOT/Tender/SplashBidNoticeAbstractUI.aspx?menuIndex=3&amp;refID=7153407&amp;Result=3","7153407")</f>
        <v>0</v>
      </c>
      <c r="B1176" t="s">
        <v>601</v>
      </c>
      <c r="C1176" t="s">
        <v>4899</v>
      </c>
      <c r="D1176" t="s">
        <v>17978</v>
      </c>
      <c r="E1176" t="s">
        <v>19148</v>
      </c>
      <c r="F1176" t="s">
        <v>30900</v>
      </c>
      <c r="G1176" t="s">
        <v>30908</v>
      </c>
      <c r="H1176" t="s">
        <v>30916</v>
      </c>
      <c r="I1176" t="s">
        <v>6396</v>
      </c>
      <c r="J1176" t="s">
        <v>31733</v>
      </c>
      <c r="K1176" t="s">
        <v>40284</v>
      </c>
      <c r="M1176" t="s">
        <v>41162</v>
      </c>
      <c r="N1176" t="s">
        <v>44759</v>
      </c>
      <c r="O1176" t="s">
        <v>44760</v>
      </c>
      <c r="P1176">
        <v>0</v>
      </c>
      <c r="Q1176">
        <v>0</v>
      </c>
      <c r="R1176" t="s">
        <v>44761</v>
      </c>
      <c r="S1176" t="s">
        <v>44862</v>
      </c>
      <c r="T1176" t="s">
        <v>46400</v>
      </c>
      <c r="U1176" t="s">
        <v>47995</v>
      </c>
      <c r="W1176" t="s">
        <v>41162</v>
      </c>
      <c r="X1176" t="s">
        <v>44762</v>
      </c>
    </row>
    <row r="1177" spans="1:24">
      <c r="A1177">
        <f>HYPERLINK("https://www.philgeps.gov.ph/GEPSNONPILOT/Tender/SplashBidNoticeAbstractUI.aspx?menuIndex=3&amp;refID=7153409&amp;Result=3","7153409")</f>
        <v>0</v>
      </c>
      <c r="B1177" t="s">
        <v>587</v>
      </c>
      <c r="C1177" t="s">
        <v>4900</v>
      </c>
      <c r="D1177" t="s">
        <v>17967</v>
      </c>
      <c r="E1177" t="s">
        <v>19149</v>
      </c>
      <c r="F1177" t="s">
        <v>30900</v>
      </c>
      <c r="G1177" t="s">
        <v>30907</v>
      </c>
      <c r="H1177" t="s">
        <v>30916</v>
      </c>
      <c r="I1177" t="s">
        <v>8123</v>
      </c>
      <c r="J1177" t="s">
        <v>31956</v>
      </c>
      <c r="K1177" t="s">
        <v>40284</v>
      </c>
      <c r="M1177" t="s">
        <v>41149</v>
      </c>
      <c r="N1177" t="s">
        <v>44759</v>
      </c>
      <c r="O1177" t="s">
        <v>44760</v>
      </c>
      <c r="P1177">
        <v>0</v>
      </c>
      <c r="Q1177">
        <v>0</v>
      </c>
      <c r="R1177" t="s">
        <v>44761</v>
      </c>
      <c r="S1177" t="s">
        <v>44862</v>
      </c>
      <c r="T1177" t="s">
        <v>46488</v>
      </c>
      <c r="U1177" t="s">
        <v>47996</v>
      </c>
      <c r="W1177" t="s">
        <v>41149</v>
      </c>
      <c r="X1177" t="s">
        <v>44762</v>
      </c>
    </row>
    <row r="1178" spans="1:24">
      <c r="A1178">
        <f>HYPERLINK("https://www.philgeps.gov.ph/GEPSNONPILOT/Tender/SplashBidNoticeAbstractUI.aspx?menuIndex=3&amp;refID=7153429&amp;Result=3","7153429")</f>
        <v>0</v>
      </c>
      <c r="B1178" t="s">
        <v>593</v>
      </c>
      <c r="C1178" t="s">
        <v>4901</v>
      </c>
      <c r="D1178" t="s">
        <v>18031</v>
      </c>
      <c r="E1178" t="s">
        <v>19150</v>
      </c>
      <c r="F1178" t="s">
        <v>30900</v>
      </c>
      <c r="G1178" t="s">
        <v>30908</v>
      </c>
      <c r="H1178" t="s">
        <v>30916</v>
      </c>
      <c r="I1178" t="s">
        <v>6746</v>
      </c>
      <c r="J1178" t="s">
        <v>31152</v>
      </c>
      <c r="K1178" t="s">
        <v>40285</v>
      </c>
      <c r="M1178" t="s">
        <v>41155</v>
      </c>
      <c r="N1178" t="s">
        <v>44759</v>
      </c>
      <c r="O1178" t="s">
        <v>44760</v>
      </c>
      <c r="P1178">
        <v>0</v>
      </c>
      <c r="Q1178">
        <v>0</v>
      </c>
      <c r="R1178" t="s">
        <v>44761</v>
      </c>
      <c r="S1178" t="s">
        <v>44862</v>
      </c>
      <c r="T1178" t="s">
        <v>46356</v>
      </c>
      <c r="U1178" t="s">
        <v>47978</v>
      </c>
      <c r="W1178" t="s">
        <v>41155</v>
      </c>
      <c r="X1178" t="s">
        <v>44762</v>
      </c>
    </row>
    <row r="1179" spans="1:24">
      <c r="A1179">
        <f>HYPERLINK("https://www.philgeps.gov.ph/GEPSNONPILOT/Tender/SplashBidNoticeAbstractUI.aspx?menuIndex=3&amp;refID=7153359&amp;Result=3","7153359")</f>
        <v>0</v>
      </c>
      <c r="B1179" t="s">
        <v>147</v>
      </c>
      <c r="C1179" t="s">
        <v>4902</v>
      </c>
      <c r="D1179" t="s">
        <v>17970</v>
      </c>
      <c r="E1179" t="s">
        <v>19151</v>
      </c>
      <c r="F1179" t="s">
        <v>30900</v>
      </c>
      <c r="G1179" t="s">
        <v>30907</v>
      </c>
      <c r="H1179" t="s">
        <v>30916</v>
      </c>
      <c r="I1179" t="s">
        <v>30923</v>
      </c>
      <c r="J1179" t="s">
        <v>31957</v>
      </c>
      <c r="K1179" t="s">
        <v>40280</v>
      </c>
      <c r="M1179" t="s">
        <v>40694</v>
      </c>
      <c r="N1179" t="s">
        <v>44759</v>
      </c>
      <c r="O1179" t="s">
        <v>44760</v>
      </c>
      <c r="P1179">
        <v>0</v>
      </c>
      <c r="Q1179">
        <v>0</v>
      </c>
      <c r="R1179" t="s">
        <v>44761</v>
      </c>
      <c r="S1179" t="s">
        <v>44862</v>
      </c>
      <c r="T1179" t="s">
        <v>46508</v>
      </c>
      <c r="U1179" t="s">
        <v>47997</v>
      </c>
      <c r="W1179" t="s">
        <v>40694</v>
      </c>
      <c r="X1179" t="s">
        <v>44762</v>
      </c>
    </row>
    <row r="1180" spans="1:24">
      <c r="A1180">
        <f>HYPERLINK("https://www.philgeps.gov.ph/GEPSNONPILOT/Tender/SplashBidNoticeAbstractUI.aspx?menuIndex=3&amp;refID=7153389&amp;Result=3","7153389")</f>
        <v>0</v>
      </c>
      <c r="B1180" t="s">
        <v>602</v>
      </c>
      <c r="C1180" t="s">
        <v>4903</v>
      </c>
      <c r="D1180" t="s">
        <v>17963</v>
      </c>
      <c r="E1180" t="s">
        <v>19152</v>
      </c>
      <c r="F1180" t="s">
        <v>30900</v>
      </c>
      <c r="G1180" t="s">
        <v>30909</v>
      </c>
      <c r="H1180" t="s">
        <v>30916</v>
      </c>
      <c r="I1180" t="s">
        <v>5501</v>
      </c>
      <c r="J1180" t="s">
        <v>31049</v>
      </c>
      <c r="K1180" t="s">
        <v>40281</v>
      </c>
      <c r="M1180" t="s">
        <v>41163</v>
      </c>
      <c r="N1180" t="s">
        <v>44759</v>
      </c>
      <c r="O1180" t="s">
        <v>44760</v>
      </c>
      <c r="P1180">
        <v>0</v>
      </c>
      <c r="Q1180">
        <v>0</v>
      </c>
      <c r="R1180" t="s">
        <v>44761</v>
      </c>
      <c r="S1180" t="s">
        <v>44862</v>
      </c>
      <c r="T1180" t="s">
        <v>46474</v>
      </c>
      <c r="U1180" t="s">
        <v>47998</v>
      </c>
      <c r="W1180" t="s">
        <v>41163</v>
      </c>
      <c r="X1180" t="s">
        <v>44762</v>
      </c>
    </row>
    <row r="1181" spans="1:24">
      <c r="A1181">
        <f>HYPERLINK("https://www.philgeps.gov.ph/GEPSNONPILOT/Tender/SplashBidNoticeAbstractUI.aspx?menuIndex=3&amp;refID=7153322&amp;Result=3","7153322")</f>
        <v>0</v>
      </c>
      <c r="B1181" t="s">
        <v>569</v>
      </c>
      <c r="C1181" t="s">
        <v>4904</v>
      </c>
      <c r="D1181" t="s">
        <v>17959</v>
      </c>
      <c r="E1181" t="s">
        <v>19153</v>
      </c>
      <c r="F1181" t="s">
        <v>30900</v>
      </c>
      <c r="G1181" t="s">
        <v>30908</v>
      </c>
      <c r="H1181" t="s">
        <v>30916</v>
      </c>
      <c r="I1181" t="s">
        <v>5501</v>
      </c>
      <c r="J1181" t="s">
        <v>31352</v>
      </c>
      <c r="K1181" t="s">
        <v>40287</v>
      </c>
      <c r="M1181" t="s">
        <v>41130</v>
      </c>
      <c r="N1181" t="s">
        <v>44759</v>
      </c>
      <c r="O1181" t="s">
        <v>44760</v>
      </c>
      <c r="P1181">
        <v>0</v>
      </c>
      <c r="Q1181">
        <v>0</v>
      </c>
      <c r="R1181" t="s">
        <v>44761</v>
      </c>
      <c r="S1181" t="s">
        <v>44862</v>
      </c>
      <c r="T1181" t="s">
        <v>46357</v>
      </c>
      <c r="U1181" t="s">
        <v>47922</v>
      </c>
      <c r="W1181" t="s">
        <v>41130</v>
      </c>
      <c r="X1181" t="s">
        <v>44762</v>
      </c>
    </row>
    <row r="1182" spans="1:24">
      <c r="A1182">
        <f>HYPERLINK("https://www.philgeps.gov.ph/GEPSNONPILOT/Tender/SplashBidNoticeAbstractUI.aspx?menuIndex=3&amp;refID=7153435&amp;Result=3","7153435")</f>
        <v>0</v>
      </c>
      <c r="B1182" t="s">
        <v>237</v>
      </c>
      <c r="C1182" t="s">
        <v>4905</v>
      </c>
      <c r="D1182" t="s">
        <v>17977</v>
      </c>
      <c r="E1182" t="s">
        <v>19154</v>
      </c>
      <c r="F1182" t="s">
        <v>30900</v>
      </c>
      <c r="G1182" t="s">
        <v>30908</v>
      </c>
      <c r="H1182" t="s">
        <v>30916</v>
      </c>
      <c r="I1182" t="s">
        <v>10879</v>
      </c>
      <c r="J1182" t="s">
        <v>31958</v>
      </c>
      <c r="K1182" t="s">
        <v>40289</v>
      </c>
      <c r="M1182" t="s">
        <v>40784</v>
      </c>
      <c r="N1182" t="s">
        <v>44759</v>
      </c>
      <c r="O1182" t="s">
        <v>44760</v>
      </c>
      <c r="P1182">
        <v>0</v>
      </c>
      <c r="Q1182">
        <v>0</v>
      </c>
      <c r="R1182" t="s">
        <v>44761</v>
      </c>
      <c r="S1182" t="s">
        <v>44862</v>
      </c>
      <c r="T1182" t="s">
        <v>46393</v>
      </c>
      <c r="U1182" t="s">
        <v>47999</v>
      </c>
      <c r="W1182" t="s">
        <v>40784</v>
      </c>
      <c r="X1182" t="s">
        <v>44762</v>
      </c>
    </row>
    <row r="1183" spans="1:24">
      <c r="A1183">
        <f>HYPERLINK("https://www.philgeps.gov.ph/GEPSNONPILOT/Tender/SplashBidNoticeAbstractUI.aspx?menuIndex=3&amp;refID=7153430&amp;Result=3","7153430")</f>
        <v>0</v>
      </c>
      <c r="B1183" t="s">
        <v>603</v>
      </c>
      <c r="C1183" t="s">
        <v>4906</v>
      </c>
      <c r="D1183" t="s">
        <v>17971</v>
      </c>
      <c r="E1183" t="s">
        <v>18234</v>
      </c>
      <c r="F1183" t="s">
        <v>30900</v>
      </c>
      <c r="G1183" t="s">
        <v>30908</v>
      </c>
      <c r="H1183" t="s">
        <v>30916</v>
      </c>
      <c r="I1183" t="s">
        <v>5830</v>
      </c>
      <c r="J1183" t="s">
        <v>31959</v>
      </c>
      <c r="K1183" t="s">
        <v>40286</v>
      </c>
      <c r="M1183" t="s">
        <v>41164</v>
      </c>
      <c r="N1183" t="s">
        <v>44759</v>
      </c>
      <c r="O1183" t="s">
        <v>44760</v>
      </c>
      <c r="P1183">
        <v>0</v>
      </c>
      <c r="Q1183">
        <v>0</v>
      </c>
      <c r="R1183" t="s">
        <v>44761</v>
      </c>
      <c r="S1183" t="s">
        <v>44862</v>
      </c>
      <c r="T1183" t="s">
        <v>46356</v>
      </c>
      <c r="U1183" t="s">
        <v>48000</v>
      </c>
      <c r="W1183" t="s">
        <v>41164</v>
      </c>
      <c r="X1183" t="s">
        <v>44762</v>
      </c>
    </row>
    <row r="1184" spans="1:24">
      <c r="A1184">
        <f>HYPERLINK("https://www.philgeps.gov.ph/GEPSNONPILOT/Tender/SplashBidNoticeAbstractUI.aspx?menuIndex=3&amp;refID=7153433&amp;Result=3","7153433")</f>
        <v>0</v>
      </c>
      <c r="B1184" t="s">
        <v>504</v>
      </c>
      <c r="C1184" t="s">
        <v>4907</v>
      </c>
      <c r="D1184" t="s">
        <v>18012</v>
      </c>
      <c r="E1184" t="s">
        <v>19155</v>
      </c>
      <c r="F1184" t="s">
        <v>30900</v>
      </c>
      <c r="G1184" t="s">
        <v>30907</v>
      </c>
      <c r="H1184" t="s">
        <v>30916</v>
      </c>
      <c r="I1184" t="s">
        <v>10602</v>
      </c>
      <c r="J1184" t="s">
        <v>31960</v>
      </c>
      <c r="K1184" t="s">
        <v>40289</v>
      </c>
      <c r="M1184" t="s">
        <v>41064</v>
      </c>
      <c r="N1184" t="s">
        <v>44759</v>
      </c>
      <c r="O1184" t="s">
        <v>44760</v>
      </c>
      <c r="P1184">
        <v>0</v>
      </c>
      <c r="Q1184">
        <v>0</v>
      </c>
      <c r="R1184" t="s">
        <v>44761</v>
      </c>
      <c r="S1184" t="s">
        <v>44862</v>
      </c>
      <c r="T1184" t="s">
        <v>46445</v>
      </c>
      <c r="U1184" t="s">
        <v>48001</v>
      </c>
      <c r="W1184" t="s">
        <v>41064</v>
      </c>
      <c r="X1184" t="s">
        <v>44762</v>
      </c>
    </row>
    <row r="1185" spans="1:24">
      <c r="A1185">
        <f>HYPERLINK("https://www.philgeps.gov.ph/GEPSNONPILOT/Tender/SplashBidNoticeAbstractUI.aspx?menuIndex=3&amp;refID=7153432&amp;Result=3","7153432")</f>
        <v>0</v>
      </c>
      <c r="B1185" t="s">
        <v>604</v>
      </c>
      <c r="C1185" t="s">
        <v>4908</v>
      </c>
      <c r="D1185" t="s">
        <v>17985</v>
      </c>
      <c r="E1185" t="s">
        <v>19156</v>
      </c>
      <c r="F1185" t="s">
        <v>30900</v>
      </c>
      <c r="G1185" t="s">
        <v>30908</v>
      </c>
      <c r="H1185" t="s">
        <v>30916</v>
      </c>
      <c r="I1185" t="s">
        <v>4142</v>
      </c>
      <c r="J1185" t="s">
        <v>31280</v>
      </c>
      <c r="K1185" t="s">
        <v>40286</v>
      </c>
      <c r="M1185" t="s">
        <v>41165</v>
      </c>
      <c r="N1185" t="s">
        <v>44759</v>
      </c>
      <c r="O1185" t="s">
        <v>44760</v>
      </c>
      <c r="P1185">
        <v>0</v>
      </c>
      <c r="Q1185">
        <v>0</v>
      </c>
      <c r="R1185" t="s">
        <v>44761</v>
      </c>
      <c r="S1185" t="s">
        <v>44862</v>
      </c>
      <c r="T1185" t="s">
        <v>46356</v>
      </c>
      <c r="U1185" t="s">
        <v>48002</v>
      </c>
      <c r="W1185" t="s">
        <v>41165</v>
      </c>
      <c r="X1185" t="s">
        <v>44762</v>
      </c>
    </row>
    <row r="1186" spans="1:24">
      <c r="A1186">
        <f>HYPERLINK("https://www.philgeps.gov.ph/GEPSNONPILOT/Tender/SplashBidNoticeAbstractUI.aspx?menuIndex=3&amp;refID=7153428&amp;Result=3","7153428")</f>
        <v>0</v>
      </c>
      <c r="B1186" t="s">
        <v>605</v>
      </c>
      <c r="C1186" t="s">
        <v>4909</v>
      </c>
      <c r="D1186" t="s">
        <v>18020</v>
      </c>
      <c r="E1186" t="s">
        <v>19157</v>
      </c>
      <c r="F1186" t="s">
        <v>30900</v>
      </c>
      <c r="G1186" t="s">
        <v>30908</v>
      </c>
      <c r="H1186" t="s">
        <v>30917</v>
      </c>
      <c r="I1186" t="s">
        <v>8123</v>
      </c>
      <c r="J1186" t="s">
        <v>31961</v>
      </c>
      <c r="K1186" t="s">
        <v>40287</v>
      </c>
      <c r="M1186" t="s">
        <v>41166</v>
      </c>
      <c r="N1186" t="s">
        <v>44759</v>
      </c>
      <c r="O1186" t="s">
        <v>44760</v>
      </c>
      <c r="P1186">
        <v>0</v>
      </c>
      <c r="Q1186">
        <v>0</v>
      </c>
      <c r="R1186" t="s">
        <v>44761</v>
      </c>
      <c r="S1186" t="s">
        <v>44862</v>
      </c>
      <c r="T1186" t="s">
        <v>46357</v>
      </c>
      <c r="U1186" t="s">
        <v>48003</v>
      </c>
      <c r="W1186" t="s">
        <v>41166</v>
      </c>
      <c r="X1186" t="s">
        <v>44762</v>
      </c>
    </row>
    <row r="1187" spans="1:24">
      <c r="A1187">
        <f>HYPERLINK("https://www.philgeps.gov.ph/GEPSNONPILOT/Tender/SplashBidNoticeAbstractUI.aspx?menuIndex=3&amp;refID=7153426&amp;Result=3","7153426")</f>
        <v>0</v>
      </c>
      <c r="B1187" t="s">
        <v>523</v>
      </c>
      <c r="C1187" t="s">
        <v>4910</v>
      </c>
      <c r="E1187" t="s">
        <v>19158</v>
      </c>
      <c r="F1187" t="s">
        <v>30900</v>
      </c>
      <c r="G1187" t="s">
        <v>30908</v>
      </c>
      <c r="H1187" t="s">
        <v>30916</v>
      </c>
      <c r="I1187" t="s">
        <v>30952</v>
      </c>
      <c r="J1187" t="s">
        <v>31962</v>
      </c>
      <c r="K1187" t="s">
        <v>40286</v>
      </c>
      <c r="M1187" t="s">
        <v>41083</v>
      </c>
      <c r="N1187" t="s">
        <v>44759</v>
      </c>
      <c r="O1187" t="s">
        <v>44760</v>
      </c>
      <c r="P1187">
        <v>0</v>
      </c>
      <c r="Q1187">
        <v>0</v>
      </c>
      <c r="R1187" t="s">
        <v>44761</v>
      </c>
      <c r="S1187" t="s">
        <v>44862</v>
      </c>
      <c r="T1187" t="s">
        <v>46356</v>
      </c>
      <c r="U1187" t="s">
        <v>48004</v>
      </c>
      <c r="W1187" t="s">
        <v>42805</v>
      </c>
      <c r="X1187" t="s">
        <v>44762</v>
      </c>
    </row>
    <row r="1188" spans="1:24">
      <c r="A1188">
        <f>HYPERLINK("https://www.philgeps.gov.ph/GEPSNONPILOT/Tender/SplashBidNoticeAbstractUI.aspx?menuIndex=3&amp;refID=7153423&amp;Result=3","7153423")</f>
        <v>0</v>
      </c>
      <c r="B1188" t="s">
        <v>98</v>
      </c>
      <c r="C1188" t="s">
        <v>4911</v>
      </c>
      <c r="D1188" t="s">
        <v>17994</v>
      </c>
      <c r="E1188" t="s">
        <v>19159</v>
      </c>
      <c r="F1188" t="s">
        <v>30900</v>
      </c>
      <c r="G1188" t="s">
        <v>30908</v>
      </c>
      <c r="H1188" t="s">
        <v>30916</v>
      </c>
      <c r="I1188" t="s">
        <v>4142</v>
      </c>
      <c r="J1188" t="s">
        <v>31963</v>
      </c>
      <c r="K1188" t="s">
        <v>40289</v>
      </c>
      <c r="M1188" t="s">
        <v>40645</v>
      </c>
      <c r="N1188" t="s">
        <v>44759</v>
      </c>
      <c r="O1188" t="s">
        <v>44760</v>
      </c>
      <c r="P1188">
        <v>0</v>
      </c>
      <c r="Q1188">
        <v>0</v>
      </c>
      <c r="R1188" t="s">
        <v>44761</v>
      </c>
      <c r="S1188" t="s">
        <v>44862</v>
      </c>
      <c r="T1188" t="s">
        <v>46399</v>
      </c>
      <c r="U1188" t="s">
        <v>48005</v>
      </c>
      <c r="V1188" t="s">
        <v>59119</v>
      </c>
      <c r="W1188" t="s">
        <v>40645</v>
      </c>
      <c r="X1188" t="s">
        <v>44762</v>
      </c>
    </row>
    <row r="1189" spans="1:24">
      <c r="A1189">
        <f>HYPERLINK("https://www.philgeps.gov.ph/GEPSNONPILOT/Tender/SplashBidNoticeAbstractUI.aspx?menuIndex=3&amp;refID=7153422&amp;Result=3","7153422")</f>
        <v>0</v>
      </c>
      <c r="B1189" t="s">
        <v>606</v>
      </c>
      <c r="C1189" t="s">
        <v>4912</v>
      </c>
      <c r="D1189" t="s">
        <v>17959</v>
      </c>
      <c r="E1189" t="s">
        <v>19160</v>
      </c>
      <c r="F1189" t="s">
        <v>30900</v>
      </c>
      <c r="G1189" t="s">
        <v>30908</v>
      </c>
      <c r="H1189" t="s">
        <v>30916</v>
      </c>
      <c r="I1189" t="s">
        <v>8365</v>
      </c>
      <c r="J1189" t="s">
        <v>31851</v>
      </c>
      <c r="K1189" t="s">
        <v>40287</v>
      </c>
      <c r="M1189" t="s">
        <v>41167</v>
      </c>
      <c r="N1189" t="s">
        <v>44759</v>
      </c>
      <c r="O1189" t="s">
        <v>44760</v>
      </c>
      <c r="P1189">
        <v>0</v>
      </c>
      <c r="Q1189">
        <v>0</v>
      </c>
      <c r="R1189" t="s">
        <v>44761</v>
      </c>
      <c r="S1189" t="s">
        <v>44862</v>
      </c>
      <c r="T1189" t="s">
        <v>46376</v>
      </c>
      <c r="U1189" t="s">
        <v>48006</v>
      </c>
      <c r="W1189" t="s">
        <v>41167</v>
      </c>
      <c r="X1189" t="s">
        <v>44762</v>
      </c>
    </row>
    <row r="1190" spans="1:24">
      <c r="A1190">
        <f>HYPERLINK("https://www.philgeps.gov.ph/GEPSNONPILOT/Tender/SplashBidNoticeAbstractUI.aspx?menuIndex=3&amp;refID=7153419&amp;Result=3","7153419")</f>
        <v>0</v>
      </c>
      <c r="B1190" t="s">
        <v>557</v>
      </c>
      <c r="C1190" t="s">
        <v>4913</v>
      </c>
      <c r="D1190" t="s">
        <v>17961</v>
      </c>
      <c r="E1190" t="s">
        <v>19042</v>
      </c>
      <c r="F1190" t="s">
        <v>30900</v>
      </c>
      <c r="G1190" t="s">
        <v>30910</v>
      </c>
      <c r="H1190" t="s">
        <v>30916</v>
      </c>
      <c r="I1190" t="s">
        <v>6396</v>
      </c>
      <c r="J1190" t="s">
        <v>31204</v>
      </c>
      <c r="K1190" t="s">
        <v>40285</v>
      </c>
      <c r="M1190" t="s">
        <v>41118</v>
      </c>
      <c r="N1190" t="s">
        <v>44759</v>
      </c>
      <c r="O1190" t="s">
        <v>44760</v>
      </c>
      <c r="P1190">
        <v>0</v>
      </c>
      <c r="Q1190">
        <v>0</v>
      </c>
      <c r="R1190" t="s">
        <v>44761</v>
      </c>
      <c r="S1190" t="s">
        <v>44862</v>
      </c>
      <c r="T1190" t="s">
        <v>46356</v>
      </c>
      <c r="U1190" t="s">
        <v>48007</v>
      </c>
      <c r="W1190" t="s">
        <v>41118</v>
      </c>
      <c r="X1190" t="s">
        <v>44762</v>
      </c>
    </row>
    <row r="1191" spans="1:24">
      <c r="A1191">
        <f>HYPERLINK("https://www.philgeps.gov.ph/GEPSNONPILOT/Tender/SplashBidNoticeAbstractUI.aspx?menuIndex=3&amp;refID=7153436&amp;Result=3","7153436")</f>
        <v>0</v>
      </c>
      <c r="B1191" t="s">
        <v>591</v>
      </c>
      <c r="C1191" t="s">
        <v>4914</v>
      </c>
      <c r="D1191" t="s">
        <v>17998</v>
      </c>
      <c r="E1191" t="s">
        <v>19161</v>
      </c>
      <c r="F1191" t="s">
        <v>30900</v>
      </c>
      <c r="G1191" t="s">
        <v>30907</v>
      </c>
      <c r="H1191" t="s">
        <v>30916</v>
      </c>
      <c r="I1191" t="s">
        <v>4142</v>
      </c>
      <c r="J1191" t="s">
        <v>31964</v>
      </c>
      <c r="K1191" t="s">
        <v>40286</v>
      </c>
      <c r="M1191" t="s">
        <v>41153</v>
      </c>
      <c r="N1191" t="s">
        <v>44759</v>
      </c>
      <c r="O1191" t="s">
        <v>44760</v>
      </c>
      <c r="P1191">
        <v>0</v>
      </c>
      <c r="Q1191">
        <v>0</v>
      </c>
      <c r="R1191" t="s">
        <v>44761</v>
      </c>
      <c r="S1191" t="s">
        <v>44862</v>
      </c>
      <c r="T1191" t="s">
        <v>46366</v>
      </c>
      <c r="U1191" t="s">
        <v>47975</v>
      </c>
      <c r="V1191" t="s">
        <v>59259</v>
      </c>
      <c r="W1191" t="s">
        <v>41153</v>
      </c>
      <c r="X1191" t="s">
        <v>44762</v>
      </c>
    </row>
    <row r="1192" spans="1:24">
      <c r="A1192">
        <f>HYPERLINK("https://www.philgeps.gov.ph/GEPSNONPILOT/Tender/SplashBidNoticeAbstractUI.aspx?menuIndex=3&amp;refID=7153431&amp;Result=3","7153431")</f>
        <v>0</v>
      </c>
      <c r="B1192" t="s">
        <v>607</v>
      </c>
      <c r="C1192" t="s">
        <v>4915</v>
      </c>
      <c r="D1192" t="s">
        <v>17984</v>
      </c>
      <c r="E1192" t="s">
        <v>19162</v>
      </c>
      <c r="F1192" t="s">
        <v>30900</v>
      </c>
      <c r="G1192" t="s">
        <v>30907</v>
      </c>
      <c r="H1192" t="s">
        <v>30915</v>
      </c>
      <c r="I1192" t="s">
        <v>30957</v>
      </c>
      <c r="J1192" t="s">
        <v>31965</v>
      </c>
      <c r="K1192" t="s">
        <v>40298</v>
      </c>
      <c r="M1192" t="s">
        <v>41168</v>
      </c>
      <c r="N1192" t="s">
        <v>44759</v>
      </c>
      <c r="O1192" t="s">
        <v>44760</v>
      </c>
      <c r="P1192">
        <v>0</v>
      </c>
      <c r="Q1192">
        <v>0</v>
      </c>
      <c r="R1192" t="s">
        <v>44761</v>
      </c>
      <c r="S1192" t="s">
        <v>44862</v>
      </c>
      <c r="T1192" t="s">
        <v>46375</v>
      </c>
      <c r="U1192" t="s">
        <v>48008</v>
      </c>
      <c r="W1192" t="s">
        <v>41168</v>
      </c>
      <c r="X1192" t="s">
        <v>44762</v>
      </c>
    </row>
    <row r="1193" spans="1:24">
      <c r="A1193">
        <f>HYPERLINK("https://www.philgeps.gov.ph/GEPSNONPILOT/Tender/SplashBidNoticeAbstractUI.aspx?menuIndex=3&amp;refID=7153457&amp;Result=3","7153457")</f>
        <v>0</v>
      </c>
      <c r="B1193" t="s">
        <v>591</v>
      </c>
      <c r="C1193" t="s">
        <v>4916</v>
      </c>
      <c r="D1193" t="s">
        <v>17998</v>
      </c>
      <c r="E1193" t="s">
        <v>19163</v>
      </c>
      <c r="F1193" t="s">
        <v>30900</v>
      </c>
      <c r="G1193" t="s">
        <v>30907</v>
      </c>
      <c r="H1193" t="s">
        <v>30916</v>
      </c>
      <c r="I1193" t="s">
        <v>8044</v>
      </c>
      <c r="J1193" t="s">
        <v>31734</v>
      </c>
      <c r="K1193" t="s">
        <v>40286</v>
      </c>
      <c r="M1193" t="s">
        <v>41153</v>
      </c>
      <c r="N1193" t="s">
        <v>44759</v>
      </c>
      <c r="O1193" t="s">
        <v>44760</v>
      </c>
      <c r="P1193">
        <v>0</v>
      </c>
      <c r="Q1193">
        <v>0</v>
      </c>
      <c r="R1193" t="s">
        <v>44761</v>
      </c>
      <c r="S1193" t="s">
        <v>44862</v>
      </c>
      <c r="T1193" t="s">
        <v>46366</v>
      </c>
      <c r="U1193" t="s">
        <v>47975</v>
      </c>
      <c r="V1193" t="s">
        <v>59259</v>
      </c>
      <c r="W1193" t="s">
        <v>41153</v>
      </c>
      <c r="X1193" t="s">
        <v>44762</v>
      </c>
    </row>
    <row r="1194" spans="1:24">
      <c r="A1194">
        <f>HYPERLINK("https://www.philgeps.gov.ph/GEPSNONPILOT/Tender/SplashBidNoticeAbstractUI.aspx?menuIndex=3&amp;refID=7153427&amp;Result=3","7153427")</f>
        <v>0</v>
      </c>
      <c r="B1194" t="s">
        <v>582</v>
      </c>
      <c r="C1194" t="s">
        <v>4917</v>
      </c>
      <c r="D1194" t="s">
        <v>18019</v>
      </c>
      <c r="E1194" t="s">
        <v>19164</v>
      </c>
      <c r="F1194" t="s">
        <v>30900</v>
      </c>
      <c r="G1194" t="s">
        <v>30908</v>
      </c>
      <c r="H1194" t="s">
        <v>30916</v>
      </c>
      <c r="I1194" t="s">
        <v>6396</v>
      </c>
      <c r="J1194" t="s">
        <v>31966</v>
      </c>
      <c r="K1194" t="s">
        <v>40283</v>
      </c>
      <c r="M1194" t="s">
        <v>41144</v>
      </c>
      <c r="N1194" t="s">
        <v>44759</v>
      </c>
      <c r="O1194" t="s">
        <v>44760</v>
      </c>
      <c r="P1194">
        <v>0</v>
      </c>
      <c r="Q1194">
        <v>0</v>
      </c>
      <c r="R1194" t="s">
        <v>44761</v>
      </c>
      <c r="S1194" t="s">
        <v>44862</v>
      </c>
      <c r="T1194" t="s">
        <v>46425</v>
      </c>
      <c r="U1194" t="s">
        <v>48009</v>
      </c>
      <c r="W1194" t="s">
        <v>41144</v>
      </c>
      <c r="X1194" t="s">
        <v>44762</v>
      </c>
    </row>
    <row r="1195" spans="1:24">
      <c r="A1195">
        <f>HYPERLINK("https://www.philgeps.gov.ph/GEPSNONPILOT/Tender/SplashBidNoticeAbstractUI.aspx?menuIndex=3&amp;refID=7153465&amp;Result=3","7153465")</f>
        <v>0</v>
      </c>
      <c r="B1195" t="s">
        <v>577</v>
      </c>
      <c r="C1195" t="s">
        <v>4918</v>
      </c>
      <c r="D1195" t="s">
        <v>18029</v>
      </c>
      <c r="E1195" t="s">
        <v>19165</v>
      </c>
      <c r="F1195" t="s">
        <v>30900</v>
      </c>
      <c r="G1195" t="s">
        <v>30908</v>
      </c>
      <c r="H1195" t="s">
        <v>30916</v>
      </c>
      <c r="I1195" t="s">
        <v>30924</v>
      </c>
      <c r="J1195" t="s">
        <v>31490</v>
      </c>
      <c r="K1195" t="s">
        <v>40286</v>
      </c>
      <c r="M1195" t="s">
        <v>41138</v>
      </c>
      <c r="N1195" t="s">
        <v>44759</v>
      </c>
      <c r="O1195" t="s">
        <v>44760</v>
      </c>
      <c r="P1195">
        <v>0</v>
      </c>
      <c r="Q1195">
        <v>0</v>
      </c>
      <c r="R1195" t="s">
        <v>44761</v>
      </c>
      <c r="S1195" t="s">
        <v>44862</v>
      </c>
      <c r="T1195" t="s">
        <v>46421</v>
      </c>
      <c r="U1195" t="s">
        <v>48010</v>
      </c>
      <c r="V1195" t="s">
        <v>59253</v>
      </c>
      <c r="W1195" t="s">
        <v>41138</v>
      </c>
      <c r="X1195" t="s">
        <v>44762</v>
      </c>
    </row>
    <row r="1196" spans="1:24">
      <c r="A1196">
        <f>HYPERLINK("https://www.philgeps.gov.ph/GEPSNONPILOT/Tender/SplashBidNoticeAbstractUI.aspx?menuIndex=3&amp;refID=7153424&amp;Result=3","7153424")</f>
        <v>0</v>
      </c>
      <c r="B1196" t="s">
        <v>591</v>
      </c>
      <c r="C1196" t="s">
        <v>4919</v>
      </c>
      <c r="D1196" t="s">
        <v>17998</v>
      </c>
      <c r="E1196" t="s">
        <v>19166</v>
      </c>
      <c r="F1196" t="s">
        <v>30900</v>
      </c>
      <c r="G1196" t="s">
        <v>30907</v>
      </c>
      <c r="H1196" t="s">
        <v>30916</v>
      </c>
      <c r="I1196" t="s">
        <v>4142</v>
      </c>
      <c r="J1196" t="s">
        <v>31967</v>
      </c>
      <c r="K1196" t="s">
        <v>40286</v>
      </c>
      <c r="M1196" t="s">
        <v>41153</v>
      </c>
      <c r="N1196" t="s">
        <v>44759</v>
      </c>
      <c r="O1196" t="s">
        <v>44760</v>
      </c>
      <c r="P1196">
        <v>0</v>
      </c>
      <c r="Q1196">
        <v>0</v>
      </c>
      <c r="R1196" t="s">
        <v>44761</v>
      </c>
      <c r="S1196" t="s">
        <v>44862</v>
      </c>
      <c r="T1196" t="s">
        <v>46366</v>
      </c>
      <c r="U1196" t="s">
        <v>47975</v>
      </c>
      <c r="V1196" t="s">
        <v>59259</v>
      </c>
      <c r="W1196" t="s">
        <v>41153</v>
      </c>
      <c r="X1196" t="s">
        <v>44762</v>
      </c>
    </row>
    <row r="1197" spans="1:24">
      <c r="A1197">
        <f>HYPERLINK("https://www.philgeps.gov.ph/GEPSNONPILOT/Tender/SplashBidNoticeAbstractUI.aspx?menuIndex=3&amp;refID=7153461&amp;Result=3","7153461")</f>
        <v>0</v>
      </c>
      <c r="B1197" t="s">
        <v>608</v>
      </c>
      <c r="C1197" t="s">
        <v>4920</v>
      </c>
      <c r="D1197" t="s">
        <v>17977</v>
      </c>
      <c r="E1197" t="s">
        <v>19167</v>
      </c>
      <c r="F1197" t="s">
        <v>30900</v>
      </c>
      <c r="G1197" t="s">
        <v>30908</v>
      </c>
      <c r="H1197" t="s">
        <v>30916</v>
      </c>
      <c r="I1197" t="s">
        <v>5830</v>
      </c>
      <c r="J1197" t="s">
        <v>31246</v>
      </c>
      <c r="K1197" t="s">
        <v>40289</v>
      </c>
      <c r="M1197" t="s">
        <v>41169</v>
      </c>
      <c r="N1197" t="s">
        <v>44759</v>
      </c>
      <c r="O1197" t="s">
        <v>44760</v>
      </c>
      <c r="P1197">
        <v>0</v>
      </c>
      <c r="Q1197">
        <v>0</v>
      </c>
      <c r="R1197" t="s">
        <v>44761</v>
      </c>
      <c r="S1197" t="s">
        <v>44862</v>
      </c>
      <c r="T1197" t="s">
        <v>46356</v>
      </c>
      <c r="U1197" t="s">
        <v>48011</v>
      </c>
      <c r="W1197" t="s">
        <v>41169</v>
      </c>
      <c r="X1197" t="s">
        <v>44762</v>
      </c>
    </row>
    <row r="1198" spans="1:24">
      <c r="A1198">
        <f>HYPERLINK("https://www.philgeps.gov.ph/GEPSNONPILOT/Tender/SplashBidNoticeAbstractUI.aspx?menuIndex=3&amp;refID=7153459&amp;Result=3","7153459")</f>
        <v>0</v>
      </c>
      <c r="B1198" t="s">
        <v>284</v>
      </c>
      <c r="C1198" t="s">
        <v>4532</v>
      </c>
      <c r="D1198" t="s">
        <v>18009</v>
      </c>
      <c r="E1198" t="s">
        <v>19168</v>
      </c>
      <c r="F1198" t="s">
        <v>30900</v>
      </c>
      <c r="G1198" t="s">
        <v>30908</v>
      </c>
      <c r="H1198" t="s">
        <v>30916</v>
      </c>
      <c r="I1198" t="s">
        <v>4142</v>
      </c>
      <c r="J1198" t="s">
        <v>31968</v>
      </c>
      <c r="K1198" t="s">
        <v>40287</v>
      </c>
      <c r="M1198" t="s">
        <v>40832</v>
      </c>
      <c r="N1198" t="s">
        <v>44759</v>
      </c>
      <c r="O1198" t="s">
        <v>44760</v>
      </c>
      <c r="P1198">
        <v>0</v>
      </c>
      <c r="Q1198">
        <v>0</v>
      </c>
      <c r="R1198" t="s">
        <v>44761</v>
      </c>
      <c r="S1198" t="s">
        <v>44862</v>
      </c>
      <c r="T1198" t="s">
        <v>46389</v>
      </c>
      <c r="U1198" t="s">
        <v>48012</v>
      </c>
      <c r="W1198" t="s">
        <v>40832</v>
      </c>
      <c r="X1198" t="s">
        <v>44762</v>
      </c>
    </row>
    <row r="1199" spans="1:24">
      <c r="A1199">
        <f>HYPERLINK("https://www.philgeps.gov.ph/GEPSNONPILOT/Tender/SplashBidNoticeAbstractUI.aspx?menuIndex=3&amp;refID=7153458&amp;Result=3","7153458")</f>
        <v>0</v>
      </c>
      <c r="B1199" t="s">
        <v>350</v>
      </c>
      <c r="C1199" t="s">
        <v>4921</v>
      </c>
      <c r="D1199" t="s">
        <v>18025</v>
      </c>
      <c r="E1199" t="s">
        <v>19169</v>
      </c>
      <c r="F1199" t="s">
        <v>30900</v>
      </c>
      <c r="G1199" t="s">
        <v>30908</v>
      </c>
      <c r="H1199" t="s">
        <v>30916</v>
      </c>
      <c r="I1199" t="s">
        <v>30933</v>
      </c>
      <c r="J1199" t="s">
        <v>31138</v>
      </c>
      <c r="K1199" t="s">
        <v>40291</v>
      </c>
      <c r="M1199" t="s">
        <v>41170</v>
      </c>
      <c r="N1199" t="s">
        <v>44759</v>
      </c>
      <c r="O1199" t="s">
        <v>44760</v>
      </c>
      <c r="P1199">
        <v>0</v>
      </c>
      <c r="Q1199">
        <v>0</v>
      </c>
      <c r="R1199" t="s">
        <v>44761</v>
      </c>
      <c r="S1199" t="s">
        <v>44862</v>
      </c>
      <c r="T1199" t="s">
        <v>46357</v>
      </c>
      <c r="U1199" t="s">
        <v>47723</v>
      </c>
      <c r="W1199" t="s">
        <v>60832</v>
      </c>
      <c r="X1199" t="s">
        <v>44762</v>
      </c>
    </row>
    <row r="1200" spans="1:24">
      <c r="A1200">
        <f>HYPERLINK("https://www.philgeps.gov.ph/GEPSNONPILOT/Tender/SplashBidNoticeAbstractUI.aspx?menuIndex=3&amp;refID=7153326&amp;Result=3","7153326")</f>
        <v>0</v>
      </c>
      <c r="B1200" t="s">
        <v>609</v>
      </c>
      <c r="C1200" t="s">
        <v>4922</v>
      </c>
      <c r="D1200" t="s">
        <v>17957</v>
      </c>
      <c r="E1200" t="s">
        <v>18207</v>
      </c>
      <c r="F1200" t="s">
        <v>30900</v>
      </c>
      <c r="G1200" t="s">
        <v>30909</v>
      </c>
      <c r="H1200" t="s">
        <v>30916</v>
      </c>
      <c r="I1200" t="s">
        <v>4108</v>
      </c>
      <c r="J1200" t="s">
        <v>31969</v>
      </c>
      <c r="K1200" t="s">
        <v>40281</v>
      </c>
      <c r="M1200" t="s">
        <v>41171</v>
      </c>
      <c r="N1200" t="s">
        <v>44759</v>
      </c>
      <c r="O1200" t="s">
        <v>44760</v>
      </c>
      <c r="P1200">
        <v>0</v>
      </c>
      <c r="Q1200">
        <v>0</v>
      </c>
      <c r="R1200" t="s">
        <v>44761</v>
      </c>
      <c r="S1200" t="s">
        <v>44862</v>
      </c>
      <c r="T1200" t="s">
        <v>46509</v>
      </c>
      <c r="U1200" t="s">
        <v>48013</v>
      </c>
      <c r="V1200" t="s">
        <v>59117</v>
      </c>
      <c r="W1200" t="s">
        <v>41171</v>
      </c>
      <c r="X1200" t="s">
        <v>44762</v>
      </c>
    </row>
    <row r="1201" spans="1:24">
      <c r="A1201">
        <f>HYPERLINK("https://www.philgeps.gov.ph/GEPSNONPILOT/Tender/SplashBidNoticeAbstractUI.aspx?menuIndex=3&amp;refID=7153456&amp;Result=3","7153456")</f>
        <v>0</v>
      </c>
      <c r="B1201" t="s">
        <v>219</v>
      </c>
      <c r="C1201" t="s">
        <v>4108</v>
      </c>
      <c r="D1201" t="s">
        <v>17955</v>
      </c>
      <c r="E1201" t="s">
        <v>19170</v>
      </c>
      <c r="F1201" t="s">
        <v>30900</v>
      </c>
      <c r="G1201" t="s">
        <v>30908</v>
      </c>
      <c r="H1201" t="s">
        <v>30916</v>
      </c>
      <c r="I1201" t="s">
        <v>4108</v>
      </c>
      <c r="J1201" t="s">
        <v>31970</v>
      </c>
      <c r="K1201" t="s">
        <v>40286</v>
      </c>
      <c r="M1201" t="s">
        <v>40766</v>
      </c>
      <c r="N1201" t="s">
        <v>44759</v>
      </c>
      <c r="O1201" t="s">
        <v>44760</v>
      </c>
      <c r="P1201">
        <v>0</v>
      </c>
      <c r="Q1201">
        <v>0</v>
      </c>
      <c r="R1201" t="s">
        <v>44761</v>
      </c>
      <c r="S1201" t="s">
        <v>44862</v>
      </c>
      <c r="T1201" t="s">
        <v>46412</v>
      </c>
      <c r="U1201" t="s">
        <v>48014</v>
      </c>
      <c r="W1201" t="s">
        <v>40766</v>
      </c>
      <c r="X1201" t="s">
        <v>44762</v>
      </c>
    </row>
    <row r="1202" spans="1:24">
      <c r="A1202">
        <f>HYPERLINK("https://www.philgeps.gov.ph/GEPSNONPILOT/Tender/SplashBidNoticeAbstractUI.aspx?menuIndex=3&amp;refID=7153455&amp;Result=3","7153455")</f>
        <v>0</v>
      </c>
      <c r="B1202" t="s">
        <v>237</v>
      </c>
      <c r="C1202" t="s">
        <v>4923</v>
      </c>
      <c r="D1202" t="s">
        <v>17977</v>
      </c>
      <c r="E1202" t="s">
        <v>4923</v>
      </c>
      <c r="F1202" t="s">
        <v>30900</v>
      </c>
      <c r="G1202" t="s">
        <v>30908</v>
      </c>
      <c r="H1202" t="s">
        <v>30916</v>
      </c>
      <c r="I1202" t="s">
        <v>30942</v>
      </c>
      <c r="J1202" t="s">
        <v>31971</v>
      </c>
      <c r="K1202" t="s">
        <v>40289</v>
      </c>
      <c r="M1202" t="s">
        <v>40784</v>
      </c>
      <c r="N1202" t="s">
        <v>44759</v>
      </c>
      <c r="O1202" t="s">
        <v>44760</v>
      </c>
      <c r="P1202">
        <v>0</v>
      </c>
      <c r="Q1202">
        <v>0</v>
      </c>
      <c r="R1202" t="s">
        <v>44761</v>
      </c>
      <c r="S1202" t="s">
        <v>44862</v>
      </c>
      <c r="T1202" t="s">
        <v>46393</v>
      </c>
      <c r="U1202" t="s">
        <v>48015</v>
      </c>
      <c r="W1202" t="s">
        <v>40784</v>
      </c>
      <c r="X1202" t="s">
        <v>44762</v>
      </c>
    </row>
    <row r="1203" spans="1:24">
      <c r="A1203">
        <f>HYPERLINK("https://www.philgeps.gov.ph/GEPSNONPILOT/Tender/SplashBidNoticeAbstractUI.aspx?menuIndex=3&amp;refID=7153451&amp;Result=3","7153451")</f>
        <v>0</v>
      </c>
      <c r="B1203" t="s">
        <v>522</v>
      </c>
      <c r="C1203" t="s">
        <v>4881</v>
      </c>
      <c r="D1203" t="s">
        <v>18017</v>
      </c>
      <c r="E1203" t="s">
        <v>19171</v>
      </c>
      <c r="F1203" t="s">
        <v>30900</v>
      </c>
      <c r="G1203" t="s">
        <v>30909</v>
      </c>
      <c r="H1203" t="s">
        <v>30916</v>
      </c>
      <c r="I1203" t="s">
        <v>8044</v>
      </c>
      <c r="J1203" t="s">
        <v>31247</v>
      </c>
      <c r="K1203" t="s">
        <v>40287</v>
      </c>
      <c r="M1203" t="s">
        <v>41082</v>
      </c>
      <c r="N1203" t="s">
        <v>44759</v>
      </c>
      <c r="O1203" t="s">
        <v>44760</v>
      </c>
      <c r="P1203">
        <v>0</v>
      </c>
      <c r="Q1203">
        <v>0</v>
      </c>
      <c r="R1203" t="s">
        <v>44761</v>
      </c>
      <c r="S1203" t="s">
        <v>44862</v>
      </c>
      <c r="T1203" t="s">
        <v>46421</v>
      </c>
      <c r="U1203" t="s">
        <v>48016</v>
      </c>
      <c r="W1203" t="s">
        <v>41082</v>
      </c>
      <c r="X1203" t="s">
        <v>44762</v>
      </c>
    </row>
    <row r="1204" spans="1:24">
      <c r="A1204">
        <f>HYPERLINK("https://www.philgeps.gov.ph/GEPSNONPILOT/Tender/SplashBidNoticeAbstractUI.aspx?menuIndex=3&amp;refID=7153450&amp;Result=3","7153450")</f>
        <v>0</v>
      </c>
      <c r="B1204" t="s">
        <v>610</v>
      </c>
      <c r="C1204" t="s">
        <v>4924</v>
      </c>
      <c r="D1204" t="s">
        <v>17959</v>
      </c>
      <c r="E1204" t="s">
        <v>19172</v>
      </c>
      <c r="F1204" t="s">
        <v>30900</v>
      </c>
      <c r="G1204" t="s">
        <v>30908</v>
      </c>
      <c r="H1204" t="s">
        <v>30916</v>
      </c>
      <c r="I1204" t="s">
        <v>6746</v>
      </c>
      <c r="J1204" t="s">
        <v>31972</v>
      </c>
      <c r="K1204" t="s">
        <v>40288</v>
      </c>
      <c r="M1204" t="s">
        <v>41172</v>
      </c>
      <c r="N1204" t="s">
        <v>44759</v>
      </c>
      <c r="O1204" t="s">
        <v>44760</v>
      </c>
      <c r="P1204">
        <v>0</v>
      </c>
      <c r="Q1204">
        <v>0</v>
      </c>
      <c r="R1204" t="s">
        <v>44761</v>
      </c>
      <c r="S1204" t="s">
        <v>44862</v>
      </c>
      <c r="T1204" t="s">
        <v>46399</v>
      </c>
      <c r="U1204" t="s">
        <v>48017</v>
      </c>
      <c r="W1204" t="s">
        <v>41172</v>
      </c>
      <c r="X1204" t="s">
        <v>44762</v>
      </c>
    </row>
    <row r="1205" spans="1:24">
      <c r="A1205">
        <f>HYPERLINK("https://www.philgeps.gov.ph/GEPSNONPILOT/Tender/SplashBidNoticeAbstractUI.aspx?menuIndex=3&amp;refID=7153448&amp;Result=3","7153448")</f>
        <v>0</v>
      </c>
      <c r="B1205" t="s">
        <v>611</v>
      </c>
      <c r="C1205" t="s">
        <v>4925</v>
      </c>
      <c r="D1205" t="s">
        <v>17972</v>
      </c>
      <c r="E1205" t="s">
        <v>18234</v>
      </c>
      <c r="F1205" t="s">
        <v>30900</v>
      </c>
      <c r="G1205" t="s">
        <v>30907</v>
      </c>
      <c r="H1205" t="s">
        <v>30916</v>
      </c>
      <c r="I1205" t="s">
        <v>4050</v>
      </c>
      <c r="J1205" t="s">
        <v>31973</v>
      </c>
      <c r="K1205" t="s">
        <v>40284</v>
      </c>
      <c r="L1205" t="s">
        <v>611</v>
      </c>
      <c r="M1205" t="s">
        <v>41173</v>
      </c>
      <c r="N1205" t="s">
        <v>44759</v>
      </c>
      <c r="O1205" t="s">
        <v>44760</v>
      </c>
      <c r="P1205">
        <v>0</v>
      </c>
      <c r="Q1205">
        <v>0</v>
      </c>
      <c r="R1205" t="s">
        <v>44761</v>
      </c>
      <c r="S1205" t="s">
        <v>44862</v>
      </c>
      <c r="T1205" t="s">
        <v>46429</v>
      </c>
      <c r="U1205" t="s">
        <v>48018</v>
      </c>
      <c r="V1205" t="s">
        <v>59262</v>
      </c>
      <c r="W1205" t="s">
        <v>41173</v>
      </c>
      <c r="X1205" t="s">
        <v>44762</v>
      </c>
    </row>
    <row r="1206" spans="1:24">
      <c r="A1206">
        <f>HYPERLINK("https://www.philgeps.gov.ph/GEPSNONPILOT/Tender/SplashBidNoticeAbstractUI.aspx?menuIndex=3&amp;refID=7153447&amp;Result=3","7153447")</f>
        <v>0</v>
      </c>
      <c r="B1206" t="s">
        <v>449</v>
      </c>
      <c r="C1206" t="s">
        <v>4926</v>
      </c>
      <c r="D1206" t="s">
        <v>17982</v>
      </c>
      <c r="E1206" t="s">
        <v>19173</v>
      </c>
      <c r="F1206" t="s">
        <v>30900</v>
      </c>
      <c r="G1206" t="s">
        <v>30907</v>
      </c>
      <c r="H1206" t="s">
        <v>30916</v>
      </c>
      <c r="I1206" t="s">
        <v>5501</v>
      </c>
      <c r="J1206" t="s">
        <v>31974</v>
      </c>
      <c r="K1206" t="s">
        <v>40286</v>
      </c>
      <c r="M1206" t="s">
        <v>41006</v>
      </c>
      <c r="N1206" t="s">
        <v>44759</v>
      </c>
      <c r="O1206" t="s">
        <v>44760</v>
      </c>
      <c r="P1206">
        <v>0</v>
      </c>
      <c r="Q1206">
        <v>0</v>
      </c>
      <c r="R1206" t="s">
        <v>44761</v>
      </c>
      <c r="S1206" t="s">
        <v>44862</v>
      </c>
      <c r="T1206" t="s">
        <v>46458</v>
      </c>
      <c r="U1206" t="s">
        <v>48019</v>
      </c>
      <c r="W1206" t="s">
        <v>41006</v>
      </c>
      <c r="X1206" t="s">
        <v>44762</v>
      </c>
    </row>
    <row r="1207" spans="1:24">
      <c r="A1207">
        <f>HYPERLINK("https://www.philgeps.gov.ph/GEPSNONPILOT/Tender/SplashBidNoticeAbstractUI.aspx?menuIndex=3&amp;refID=7153446&amp;Result=3","7153446")</f>
        <v>0</v>
      </c>
      <c r="B1207" t="s">
        <v>612</v>
      </c>
      <c r="C1207" t="s">
        <v>4927</v>
      </c>
      <c r="D1207" t="s">
        <v>18016</v>
      </c>
      <c r="E1207" t="s">
        <v>19174</v>
      </c>
      <c r="F1207" t="s">
        <v>30900</v>
      </c>
      <c r="G1207" t="s">
        <v>30908</v>
      </c>
      <c r="H1207" t="s">
        <v>30916</v>
      </c>
      <c r="I1207" t="s">
        <v>4545</v>
      </c>
      <c r="J1207" t="s">
        <v>31206</v>
      </c>
      <c r="K1207" t="s">
        <v>40284</v>
      </c>
      <c r="M1207" t="s">
        <v>41174</v>
      </c>
      <c r="N1207" t="s">
        <v>44759</v>
      </c>
      <c r="O1207" t="s">
        <v>44760</v>
      </c>
      <c r="P1207">
        <v>0</v>
      </c>
      <c r="Q1207">
        <v>0</v>
      </c>
      <c r="R1207" t="s">
        <v>44761</v>
      </c>
      <c r="S1207" t="s">
        <v>44862</v>
      </c>
      <c r="T1207" t="s">
        <v>46357</v>
      </c>
      <c r="U1207" t="s">
        <v>48020</v>
      </c>
      <c r="W1207" t="s">
        <v>41174</v>
      </c>
      <c r="X1207" t="s">
        <v>44762</v>
      </c>
    </row>
    <row r="1208" spans="1:24">
      <c r="A1208">
        <f>HYPERLINK("https://www.philgeps.gov.ph/GEPSNONPILOT/Tender/SplashBidNoticeAbstractUI.aspx?menuIndex=3&amp;refID=7153387&amp;Result=3","7153387")</f>
        <v>0</v>
      </c>
      <c r="B1208" t="s">
        <v>613</v>
      </c>
      <c r="C1208" t="s">
        <v>4928</v>
      </c>
      <c r="D1208" t="s">
        <v>18025</v>
      </c>
      <c r="E1208" t="s">
        <v>19175</v>
      </c>
      <c r="F1208" t="s">
        <v>30900</v>
      </c>
      <c r="G1208" t="s">
        <v>30908</v>
      </c>
      <c r="H1208" t="s">
        <v>30916</v>
      </c>
      <c r="I1208" t="s">
        <v>4108</v>
      </c>
      <c r="J1208" t="s">
        <v>31049</v>
      </c>
      <c r="K1208" t="s">
        <v>40288</v>
      </c>
      <c r="M1208" t="s">
        <v>41175</v>
      </c>
      <c r="N1208" t="s">
        <v>44759</v>
      </c>
      <c r="O1208" t="s">
        <v>44760</v>
      </c>
      <c r="P1208">
        <v>0</v>
      </c>
      <c r="Q1208">
        <v>0</v>
      </c>
      <c r="R1208" t="s">
        <v>44761</v>
      </c>
      <c r="S1208" t="s">
        <v>44862</v>
      </c>
      <c r="T1208" t="s">
        <v>46404</v>
      </c>
      <c r="U1208" t="s">
        <v>48021</v>
      </c>
      <c r="W1208" t="s">
        <v>41175</v>
      </c>
      <c r="X1208" t="s">
        <v>44762</v>
      </c>
    </row>
    <row r="1209" spans="1:24">
      <c r="A1209">
        <f>HYPERLINK("https://www.philgeps.gov.ph/GEPSNONPILOT/Tender/SplashBidNoticeAbstractUI.aspx?menuIndex=3&amp;refID=7153445&amp;Result=3","7153445")</f>
        <v>0</v>
      </c>
      <c r="B1209" t="s">
        <v>614</v>
      </c>
      <c r="C1209" t="s">
        <v>4929</v>
      </c>
      <c r="D1209" t="s">
        <v>17996</v>
      </c>
      <c r="E1209" t="s">
        <v>19176</v>
      </c>
      <c r="F1209" t="s">
        <v>30900</v>
      </c>
      <c r="G1209" t="s">
        <v>30908</v>
      </c>
      <c r="H1209" t="s">
        <v>30916</v>
      </c>
      <c r="I1209" t="s">
        <v>5830</v>
      </c>
      <c r="J1209" t="s">
        <v>31975</v>
      </c>
      <c r="K1209" t="s">
        <v>40288</v>
      </c>
      <c r="M1209" t="s">
        <v>41176</v>
      </c>
      <c r="N1209" t="s">
        <v>44759</v>
      </c>
      <c r="O1209" t="s">
        <v>44760</v>
      </c>
      <c r="P1209">
        <v>0</v>
      </c>
      <c r="Q1209">
        <v>0</v>
      </c>
      <c r="R1209" t="s">
        <v>44761</v>
      </c>
      <c r="S1209" t="s">
        <v>44862</v>
      </c>
      <c r="T1209" t="s">
        <v>46399</v>
      </c>
      <c r="U1209" t="s">
        <v>48022</v>
      </c>
      <c r="W1209" t="s">
        <v>41176</v>
      </c>
      <c r="X1209" t="s">
        <v>44762</v>
      </c>
    </row>
    <row r="1210" spans="1:24">
      <c r="A1210">
        <f>HYPERLINK("https://www.philgeps.gov.ph/GEPSNONPILOT/Tender/SplashBidNoticeAbstractUI.aspx?menuIndex=3&amp;refID=7153444&amp;Result=3","7153444")</f>
        <v>0</v>
      </c>
      <c r="B1210" t="s">
        <v>201</v>
      </c>
      <c r="C1210" t="s">
        <v>4930</v>
      </c>
      <c r="D1210" t="s">
        <v>17964</v>
      </c>
      <c r="E1210" t="s">
        <v>19177</v>
      </c>
      <c r="F1210" t="s">
        <v>30900</v>
      </c>
      <c r="G1210" t="s">
        <v>30907</v>
      </c>
      <c r="H1210" t="s">
        <v>30915</v>
      </c>
      <c r="I1210" t="s">
        <v>30919</v>
      </c>
      <c r="J1210" t="s">
        <v>31341</v>
      </c>
      <c r="K1210" t="s">
        <v>40293</v>
      </c>
      <c r="M1210" t="s">
        <v>40748</v>
      </c>
      <c r="N1210" t="s">
        <v>44759</v>
      </c>
      <c r="O1210" t="s">
        <v>44760</v>
      </c>
      <c r="P1210">
        <v>0</v>
      </c>
      <c r="Q1210">
        <v>0</v>
      </c>
      <c r="R1210" t="s">
        <v>44761</v>
      </c>
      <c r="S1210" t="s">
        <v>44862</v>
      </c>
      <c r="T1210" t="s">
        <v>46436</v>
      </c>
      <c r="U1210" t="s">
        <v>48023</v>
      </c>
      <c r="V1210" t="s">
        <v>59257</v>
      </c>
      <c r="W1210" t="s">
        <v>40748</v>
      </c>
      <c r="X1210" t="s">
        <v>44762</v>
      </c>
    </row>
    <row r="1211" spans="1:24">
      <c r="A1211">
        <f>HYPERLINK("https://www.philgeps.gov.ph/GEPSNONPILOT/Tender/SplashBidNoticeAbstractUI.aspx?menuIndex=3&amp;refID=7153443&amp;Result=3","7153443")</f>
        <v>0</v>
      </c>
      <c r="B1211" t="s">
        <v>286</v>
      </c>
      <c r="C1211" t="s">
        <v>4931</v>
      </c>
      <c r="D1211" t="s">
        <v>17977</v>
      </c>
      <c r="E1211" t="s">
        <v>19178</v>
      </c>
      <c r="F1211" t="s">
        <v>30900</v>
      </c>
      <c r="G1211" t="s">
        <v>30908</v>
      </c>
      <c r="H1211" t="s">
        <v>30916</v>
      </c>
      <c r="I1211" t="s">
        <v>8123</v>
      </c>
      <c r="J1211" t="s">
        <v>31976</v>
      </c>
      <c r="K1211" t="s">
        <v>40283</v>
      </c>
      <c r="M1211" t="s">
        <v>40834</v>
      </c>
      <c r="N1211" t="s">
        <v>44759</v>
      </c>
      <c r="O1211" t="s">
        <v>44760</v>
      </c>
      <c r="P1211">
        <v>0</v>
      </c>
      <c r="Q1211">
        <v>0</v>
      </c>
      <c r="R1211" t="s">
        <v>44761</v>
      </c>
      <c r="S1211" t="s">
        <v>44862</v>
      </c>
      <c r="T1211" t="s">
        <v>46352</v>
      </c>
      <c r="U1211" t="s">
        <v>48024</v>
      </c>
      <c r="V1211" t="s">
        <v>59263</v>
      </c>
      <c r="W1211" t="s">
        <v>40834</v>
      </c>
      <c r="X1211" t="s">
        <v>44762</v>
      </c>
    </row>
    <row r="1212" spans="1:24">
      <c r="A1212">
        <f>HYPERLINK("https://www.philgeps.gov.ph/GEPSNONPILOT/Tender/SplashBidNoticeAbstractUI.aspx?menuIndex=3&amp;refID=7153417&amp;Result=3","7153417")</f>
        <v>0</v>
      </c>
      <c r="B1212" t="s">
        <v>593</v>
      </c>
      <c r="C1212" t="s">
        <v>4932</v>
      </c>
      <c r="D1212" t="s">
        <v>18031</v>
      </c>
      <c r="E1212" t="s">
        <v>19179</v>
      </c>
      <c r="F1212" t="s">
        <v>30900</v>
      </c>
      <c r="G1212" t="s">
        <v>30908</v>
      </c>
      <c r="H1212" t="s">
        <v>30916</v>
      </c>
      <c r="I1212" t="s">
        <v>6746</v>
      </c>
      <c r="J1212" t="s">
        <v>31152</v>
      </c>
      <c r="K1212" t="s">
        <v>40285</v>
      </c>
      <c r="M1212" t="s">
        <v>41155</v>
      </c>
      <c r="N1212" t="s">
        <v>44759</v>
      </c>
      <c r="O1212" t="s">
        <v>44760</v>
      </c>
      <c r="P1212">
        <v>0</v>
      </c>
      <c r="Q1212">
        <v>0</v>
      </c>
      <c r="R1212" t="s">
        <v>44761</v>
      </c>
      <c r="S1212" t="s">
        <v>44862</v>
      </c>
      <c r="T1212" t="s">
        <v>46356</v>
      </c>
      <c r="U1212" t="s">
        <v>47978</v>
      </c>
      <c r="W1212" t="s">
        <v>41155</v>
      </c>
      <c r="X1212" t="s">
        <v>44762</v>
      </c>
    </row>
    <row r="1213" spans="1:24">
      <c r="A1213">
        <f>HYPERLINK("https://www.philgeps.gov.ph/GEPSNONPILOT/Tender/SplashBidNoticeAbstractUI.aspx?menuIndex=3&amp;refID=7153418&amp;Result=3","7153418")</f>
        <v>0</v>
      </c>
      <c r="B1213" t="s">
        <v>615</v>
      </c>
      <c r="C1213" t="s">
        <v>4492</v>
      </c>
      <c r="D1213" t="s">
        <v>17959</v>
      </c>
      <c r="E1213" t="s">
        <v>19180</v>
      </c>
      <c r="F1213" t="s">
        <v>30900</v>
      </c>
      <c r="G1213" t="s">
        <v>30908</v>
      </c>
      <c r="H1213" t="s">
        <v>30916</v>
      </c>
      <c r="I1213" t="s">
        <v>5830</v>
      </c>
      <c r="J1213" t="s">
        <v>31977</v>
      </c>
      <c r="K1213" t="s">
        <v>40283</v>
      </c>
      <c r="M1213" t="s">
        <v>41177</v>
      </c>
      <c r="N1213" t="s">
        <v>44759</v>
      </c>
      <c r="O1213" t="s">
        <v>44760</v>
      </c>
      <c r="P1213">
        <v>0</v>
      </c>
      <c r="Q1213">
        <v>0</v>
      </c>
      <c r="R1213" t="s">
        <v>44761</v>
      </c>
      <c r="S1213" t="s">
        <v>44862</v>
      </c>
      <c r="T1213" t="s">
        <v>46510</v>
      </c>
      <c r="U1213" t="s">
        <v>48025</v>
      </c>
      <c r="W1213" t="s">
        <v>41177</v>
      </c>
      <c r="X1213" t="s">
        <v>44762</v>
      </c>
    </row>
    <row r="1214" spans="1:24">
      <c r="A1214">
        <f>HYPERLINK("https://www.philgeps.gov.ph/GEPSNONPILOT/Tender/SplashBidNoticeAbstractUI.aspx?menuIndex=3&amp;refID=7153464&amp;Result=3","7153464")</f>
        <v>0</v>
      </c>
      <c r="B1214" t="s">
        <v>293</v>
      </c>
      <c r="C1214" t="s">
        <v>4933</v>
      </c>
      <c r="D1214" t="s">
        <v>18023</v>
      </c>
      <c r="E1214" t="s">
        <v>19181</v>
      </c>
      <c r="F1214" t="s">
        <v>30900</v>
      </c>
      <c r="G1214" t="s">
        <v>30907</v>
      </c>
      <c r="H1214" t="s">
        <v>30916</v>
      </c>
      <c r="I1214" t="s">
        <v>5501</v>
      </c>
      <c r="J1214" t="s">
        <v>31978</v>
      </c>
      <c r="K1214" t="s">
        <v>40283</v>
      </c>
      <c r="M1214" t="s">
        <v>40841</v>
      </c>
      <c r="N1214" t="s">
        <v>44759</v>
      </c>
      <c r="O1214" t="s">
        <v>44760</v>
      </c>
      <c r="P1214">
        <v>0</v>
      </c>
      <c r="Q1214">
        <v>0</v>
      </c>
      <c r="R1214" t="s">
        <v>44761</v>
      </c>
      <c r="S1214" t="s">
        <v>44862</v>
      </c>
      <c r="T1214" t="s">
        <v>46350</v>
      </c>
      <c r="U1214" t="s">
        <v>48026</v>
      </c>
      <c r="W1214" t="s">
        <v>40841</v>
      </c>
      <c r="X1214" t="s">
        <v>44762</v>
      </c>
    </row>
    <row r="1215" spans="1:24">
      <c r="A1215">
        <f>HYPERLINK("https://www.philgeps.gov.ph/GEPSNONPILOT/Tender/SplashBidNoticeAbstractUI.aspx?menuIndex=3&amp;refID=7153388&amp;Result=3","7153388")</f>
        <v>0</v>
      </c>
      <c r="B1215" t="s">
        <v>307</v>
      </c>
      <c r="C1215" t="s">
        <v>4934</v>
      </c>
      <c r="D1215" t="s">
        <v>17990</v>
      </c>
      <c r="E1215" t="s">
        <v>19182</v>
      </c>
      <c r="F1215" t="s">
        <v>30900</v>
      </c>
      <c r="G1215" t="s">
        <v>30908</v>
      </c>
      <c r="H1215" t="s">
        <v>30916</v>
      </c>
      <c r="I1215" t="s">
        <v>4017</v>
      </c>
      <c r="J1215" t="s">
        <v>31979</v>
      </c>
      <c r="K1215" t="s">
        <v>40286</v>
      </c>
      <c r="M1215" t="s">
        <v>40857</v>
      </c>
      <c r="N1215" t="s">
        <v>44759</v>
      </c>
      <c r="O1215" t="s">
        <v>44760</v>
      </c>
      <c r="P1215">
        <v>0</v>
      </c>
      <c r="Q1215">
        <v>0</v>
      </c>
      <c r="R1215" t="s">
        <v>44761</v>
      </c>
      <c r="S1215" t="s">
        <v>44862</v>
      </c>
      <c r="T1215" t="s">
        <v>46362</v>
      </c>
      <c r="U1215" t="s">
        <v>48027</v>
      </c>
      <c r="W1215" t="s">
        <v>40857</v>
      </c>
      <c r="X1215" t="s">
        <v>44762</v>
      </c>
    </row>
    <row r="1216" spans="1:24">
      <c r="A1216">
        <f>HYPERLINK("https://www.philgeps.gov.ph/GEPSNONPILOT/Tender/SplashBidNoticeAbstractUI.aspx?menuIndex=3&amp;refID=7153415&amp;Result=3","7153415")</f>
        <v>0</v>
      </c>
      <c r="B1216" t="s">
        <v>237</v>
      </c>
      <c r="C1216" t="s">
        <v>4935</v>
      </c>
      <c r="D1216" t="s">
        <v>17977</v>
      </c>
      <c r="E1216" t="s">
        <v>19183</v>
      </c>
      <c r="F1216" t="s">
        <v>30900</v>
      </c>
      <c r="G1216" t="s">
        <v>30908</v>
      </c>
      <c r="H1216" t="s">
        <v>30916</v>
      </c>
      <c r="I1216" t="s">
        <v>6953</v>
      </c>
      <c r="J1216" t="s">
        <v>31980</v>
      </c>
      <c r="K1216" t="s">
        <v>40289</v>
      </c>
      <c r="M1216" t="s">
        <v>40784</v>
      </c>
      <c r="N1216" t="s">
        <v>44759</v>
      </c>
      <c r="O1216" t="s">
        <v>44760</v>
      </c>
      <c r="P1216">
        <v>0</v>
      </c>
      <c r="Q1216">
        <v>0</v>
      </c>
      <c r="R1216" t="s">
        <v>44761</v>
      </c>
      <c r="S1216" t="s">
        <v>44862</v>
      </c>
      <c r="T1216" t="s">
        <v>46393</v>
      </c>
      <c r="U1216" t="s">
        <v>48028</v>
      </c>
      <c r="W1216" t="s">
        <v>40784</v>
      </c>
      <c r="X1216" t="s">
        <v>44762</v>
      </c>
    </row>
    <row r="1217" spans="1:24">
      <c r="A1217">
        <f>HYPERLINK("https://www.philgeps.gov.ph/GEPSNONPILOT/Tender/SplashBidNoticeAbstractUI.aspx?menuIndex=3&amp;refID=7153439&amp;Result=3","7153439")</f>
        <v>0</v>
      </c>
      <c r="B1217" t="s">
        <v>616</v>
      </c>
      <c r="C1217" t="s">
        <v>4936</v>
      </c>
      <c r="D1217" t="s">
        <v>17977</v>
      </c>
      <c r="E1217" t="s">
        <v>19184</v>
      </c>
      <c r="F1217" t="s">
        <v>30900</v>
      </c>
      <c r="G1217" t="s">
        <v>30910</v>
      </c>
      <c r="H1217" t="s">
        <v>30916</v>
      </c>
      <c r="I1217" t="s">
        <v>4142</v>
      </c>
      <c r="J1217" t="s">
        <v>31981</v>
      </c>
      <c r="K1217" t="s">
        <v>40291</v>
      </c>
      <c r="M1217" t="s">
        <v>41178</v>
      </c>
      <c r="N1217" t="s">
        <v>44759</v>
      </c>
      <c r="O1217" t="s">
        <v>44760</v>
      </c>
      <c r="P1217">
        <v>0</v>
      </c>
      <c r="Q1217">
        <v>0</v>
      </c>
      <c r="R1217" t="s">
        <v>44761</v>
      </c>
      <c r="S1217" t="s">
        <v>44862</v>
      </c>
      <c r="T1217" t="s">
        <v>46366</v>
      </c>
      <c r="U1217" t="s">
        <v>48029</v>
      </c>
      <c r="V1217" t="s">
        <v>59264</v>
      </c>
      <c r="W1217" t="s">
        <v>41178</v>
      </c>
      <c r="X1217" t="s">
        <v>44762</v>
      </c>
    </row>
    <row r="1218" spans="1:24">
      <c r="A1218">
        <f>HYPERLINK("https://www.philgeps.gov.ph/GEPSNONPILOT/Tender/SplashBidNoticeAbstractUI.aspx?menuIndex=3&amp;refID=7153416&amp;Result=3","7153416")</f>
        <v>0</v>
      </c>
      <c r="B1218" t="s">
        <v>591</v>
      </c>
      <c r="C1218" t="s">
        <v>4937</v>
      </c>
      <c r="D1218" t="s">
        <v>17998</v>
      </c>
      <c r="E1218" t="s">
        <v>19185</v>
      </c>
      <c r="F1218" t="s">
        <v>30900</v>
      </c>
      <c r="G1218" t="s">
        <v>30907</v>
      </c>
      <c r="H1218" t="s">
        <v>30916</v>
      </c>
      <c r="I1218" t="s">
        <v>30924</v>
      </c>
      <c r="J1218" t="s">
        <v>31982</v>
      </c>
      <c r="K1218" t="s">
        <v>40286</v>
      </c>
      <c r="M1218" t="s">
        <v>41153</v>
      </c>
      <c r="N1218" t="s">
        <v>44759</v>
      </c>
      <c r="O1218" t="s">
        <v>44760</v>
      </c>
      <c r="P1218">
        <v>0</v>
      </c>
      <c r="Q1218">
        <v>0</v>
      </c>
      <c r="R1218" t="s">
        <v>44761</v>
      </c>
      <c r="S1218" t="s">
        <v>44862</v>
      </c>
      <c r="T1218" t="s">
        <v>46366</v>
      </c>
      <c r="U1218" t="s">
        <v>47975</v>
      </c>
      <c r="V1218" t="s">
        <v>59259</v>
      </c>
      <c r="W1218" t="s">
        <v>41153</v>
      </c>
      <c r="X1218" t="s">
        <v>44762</v>
      </c>
    </row>
    <row r="1219" spans="1:24">
      <c r="A1219">
        <f>HYPERLINK("https://www.philgeps.gov.ph/GEPSNONPILOT/Tender/SplashBidNoticeAbstractUI.aspx?menuIndex=3&amp;refID=7153414&amp;Result=3","7153414")</f>
        <v>0</v>
      </c>
      <c r="B1219" t="s">
        <v>617</v>
      </c>
      <c r="C1219" t="s">
        <v>4938</v>
      </c>
      <c r="D1219" t="s">
        <v>17995</v>
      </c>
      <c r="E1219" t="s">
        <v>19186</v>
      </c>
      <c r="F1219" t="s">
        <v>30900</v>
      </c>
      <c r="G1219" t="s">
        <v>30907</v>
      </c>
      <c r="H1219" t="s">
        <v>30916</v>
      </c>
      <c r="I1219" t="s">
        <v>8123</v>
      </c>
      <c r="J1219" t="s">
        <v>31983</v>
      </c>
      <c r="K1219" t="s">
        <v>40284</v>
      </c>
      <c r="M1219" t="s">
        <v>41179</v>
      </c>
      <c r="N1219" t="s">
        <v>44759</v>
      </c>
      <c r="O1219" t="s">
        <v>44760</v>
      </c>
      <c r="P1219">
        <v>0</v>
      </c>
      <c r="Q1219">
        <v>0</v>
      </c>
      <c r="R1219" t="s">
        <v>44761</v>
      </c>
      <c r="S1219" t="s">
        <v>44862</v>
      </c>
      <c r="T1219" t="s">
        <v>46511</v>
      </c>
      <c r="U1219" t="s">
        <v>48030</v>
      </c>
      <c r="V1219" t="s">
        <v>59265</v>
      </c>
      <c r="W1219" t="s">
        <v>41179</v>
      </c>
      <c r="X1219" t="s">
        <v>44762</v>
      </c>
    </row>
    <row r="1220" spans="1:24">
      <c r="A1220">
        <f>HYPERLINK("https://www.philgeps.gov.ph/GEPSNONPILOT/Tender/SplashBidNoticeAbstractUI.aspx?menuIndex=3&amp;refID=7153437&amp;Result=3","7153437")</f>
        <v>0</v>
      </c>
      <c r="B1220" t="s">
        <v>617</v>
      </c>
      <c r="C1220" t="s">
        <v>4939</v>
      </c>
      <c r="D1220" t="s">
        <v>17995</v>
      </c>
      <c r="E1220" t="s">
        <v>19187</v>
      </c>
      <c r="F1220" t="s">
        <v>30900</v>
      </c>
      <c r="G1220" t="s">
        <v>30907</v>
      </c>
      <c r="H1220" t="s">
        <v>30916</v>
      </c>
      <c r="I1220" t="s">
        <v>8123</v>
      </c>
      <c r="J1220" t="s">
        <v>31984</v>
      </c>
      <c r="K1220" t="s">
        <v>40284</v>
      </c>
      <c r="M1220" t="s">
        <v>41179</v>
      </c>
      <c r="N1220" t="s">
        <v>44759</v>
      </c>
      <c r="O1220" t="s">
        <v>44760</v>
      </c>
      <c r="P1220">
        <v>0</v>
      </c>
      <c r="Q1220">
        <v>0</v>
      </c>
      <c r="R1220" t="s">
        <v>44761</v>
      </c>
      <c r="S1220" t="s">
        <v>44862</v>
      </c>
      <c r="T1220" t="s">
        <v>46511</v>
      </c>
      <c r="U1220" t="s">
        <v>48031</v>
      </c>
      <c r="V1220" t="s">
        <v>59265</v>
      </c>
      <c r="W1220" t="s">
        <v>41179</v>
      </c>
      <c r="X1220" t="s">
        <v>44762</v>
      </c>
    </row>
    <row r="1221" spans="1:24">
      <c r="A1221">
        <f>HYPERLINK("https://www.philgeps.gov.ph/GEPSNONPILOT/Tender/SplashBidNoticeAbstractUI.aspx?menuIndex=3&amp;refID=7153466&amp;Result=3","7153466")</f>
        <v>0</v>
      </c>
      <c r="B1221" t="s">
        <v>618</v>
      </c>
      <c r="C1221" t="s">
        <v>4940</v>
      </c>
      <c r="D1221" t="s">
        <v>17959</v>
      </c>
      <c r="E1221" t="s">
        <v>19188</v>
      </c>
      <c r="F1221" t="s">
        <v>30900</v>
      </c>
      <c r="G1221" t="s">
        <v>30908</v>
      </c>
      <c r="H1221" t="s">
        <v>30916</v>
      </c>
      <c r="I1221" t="s">
        <v>5501</v>
      </c>
      <c r="J1221" t="s">
        <v>31985</v>
      </c>
      <c r="K1221" t="s">
        <v>40289</v>
      </c>
      <c r="M1221" t="s">
        <v>41180</v>
      </c>
      <c r="N1221" t="s">
        <v>44759</v>
      </c>
      <c r="O1221" t="s">
        <v>44760</v>
      </c>
      <c r="P1221">
        <v>0</v>
      </c>
      <c r="Q1221">
        <v>0</v>
      </c>
      <c r="R1221" t="s">
        <v>44761</v>
      </c>
      <c r="S1221" t="s">
        <v>44862</v>
      </c>
      <c r="T1221" t="s">
        <v>46399</v>
      </c>
      <c r="U1221" t="s">
        <v>48032</v>
      </c>
      <c r="W1221" t="s">
        <v>41180</v>
      </c>
      <c r="X1221" t="s">
        <v>44762</v>
      </c>
    </row>
    <row r="1222" spans="1:24">
      <c r="A1222">
        <f>HYPERLINK("https://www.philgeps.gov.ph/GEPSNONPILOT/Tender/SplashBidNoticeAbstractUI.aspx?menuIndex=3&amp;refID=7153481&amp;Result=3","7153481")</f>
        <v>0</v>
      </c>
      <c r="B1222" t="s">
        <v>619</v>
      </c>
      <c r="C1222" t="s">
        <v>4941</v>
      </c>
      <c r="D1222" t="s">
        <v>17985</v>
      </c>
      <c r="E1222" t="s">
        <v>18234</v>
      </c>
      <c r="F1222" t="s">
        <v>30899</v>
      </c>
      <c r="G1222" t="s">
        <v>30907</v>
      </c>
      <c r="H1222" t="s">
        <v>30916</v>
      </c>
      <c r="I1222" t="s">
        <v>4108</v>
      </c>
      <c r="J1222" t="s">
        <v>31986</v>
      </c>
      <c r="K1222" t="s">
        <v>40289</v>
      </c>
      <c r="M1222" t="s">
        <v>41181</v>
      </c>
      <c r="N1222" t="s">
        <v>44759</v>
      </c>
      <c r="O1222" t="s">
        <v>44760</v>
      </c>
      <c r="P1222">
        <v>0</v>
      </c>
      <c r="Q1222">
        <v>0</v>
      </c>
      <c r="R1222" t="s">
        <v>44761</v>
      </c>
      <c r="S1222" t="s">
        <v>44862</v>
      </c>
      <c r="T1222" t="s">
        <v>46433</v>
      </c>
      <c r="U1222" t="s">
        <v>48033</v>
      </c>
      <c r="V1222" t="s">
        <v>59266</v>
      </c>
      <c r="W1222" t="s">
        <v>41181</v>
      </c>
      <c r="X1222" t="s">
        <v>44762</v>
      </c>
    </row>
    <row r="1223" spans="1:24">
      <c r="A1223">
        <f>HYPERLINK("https://www.philgeps.gov.ph/GEPSNONPILOT/Tender/SplashBidNoticeAbstractUI.aspx?menuIndex=3&amp;refID=7153474&amp;Result=3","7153474")</f>
        <v>0</v>
      </c>
      <c r="B1223" t="s">
        <v>620</v>
      </c>
      <c r="C1223" t="s">
        <v>4942</v>
      </c>
      <c r="D1223" t="s">
        <v>17980</v>
      </c>
      <c r="E1223" t="s">
        <v>19189</v>
      </c>
      <c r="F1223" t="s">
        <v>30899</v>
      </c>
      <c r="G1223" t="s">
        <v>30908</v>
      </c>
      <c r="H1223" t="s">
        <v>30916</v>
      </c>
      <c r="I1223" t="s">
        <v>8123</v>
      </c>
      <c r="J1223" t="s">
        <v>31987</v>
      </c>
      <c r="K1223" t="s">
        <v>40286</v>
      </c>
      <c r="M1223" t="s">
        <v>41182</v>
      </c>
      <c r="N1223" t="s">
        <v>44759</v>
      </c>
      <c r="O1223" t="s">
        <v>44760</v>
      </c>
      <c r="P1223">
        <v>0</v>
      </c>
      <c r="Q1223">
        <v>0</v>
      </c>
      <c r="R1223" t="s">
        <v>44761</v>
      </c>
      <c r="S1223" t="s">
        <v>44862</v>
      </c>
      <c r="T1223" t="s">
        <v>46512</v>
      </c>
      <c r="U1223" t="s">
        <v>48034</v>
      </c>
      <c r="W1223" t="s">
        <v>41182</v>
      </c>
      <c r="X1223" t="s">
        <v>44762</v>
      </c>
    </row>
    <row r="1224" spans="1:24">
      <c r="A1224">
        <f>HYPERLINK("https://www.philgeps.gov.ph/GEPSNONPILOT/Tender/SplashBidNoticeAbstractUI.aspx?menuIndex=3&amp;refID=7153472&amp;Result=3","7153472")</f>
        <v>0</v>
      </c>
      <c r="B1224" t="s">
        <v>621</v>
      </c>
      <c r="C1224" t="s">
        <v>4943</v>
      </c>
      <c r="D1224" t="s">
        <v>17974</v>
      </c>
      <c r="E1224" t="s">
        <v>19190</v>
      </c>
      <c r="F1224" t="s">
        <v>30900</v>
      </c>
      <c r="G1224" t="s">
        <v>30907</v>
      </c>
      <c r="H1224" t="s">
        <v>30915</v>
      </c>
      <c r="I1224" t="s">
        <v>30919</v>
      </c>
      <c r="J1224" t="s">
        <v>31988</v>
      </c>
      <c r="K1224" t="s">
        <v>40292</v>
      </c>
      <c r="L1224" t="s">
        <v>621</v>
      </c>
      <c r="M1224" t="s">
        <v>41183</v>
      </c>
      <c r="N1224" t="s">
        <v>44759</v>
      </c>
      <c r="O1224" t="s">
        <v>44760</v>
      </c>
      <c r="P1224">
        <v>0</v>
      </c>
      <c r="Q1224">
        <v>0</v>
      </c>
      <c r="R1224" t="s">
        <v>44761</v>
      </c>
      <c r="S1224" t="s">
        <v>44862</v>
      </c>
      <c r="T1224" t="s">
        <v>46513</v>
      </c>
      <c r="U1224" t="s">
        <v>48035</v>
      </c>
      <c r="V1224" t="s">
        <v>59267</v>
      </c>
      <c r="W1224" t="s">
        <v>41183</v>
      </c>
      <c r="X1224" t="s">
        <v>44762</v>
      </c>
    </row>
    <row r="1225" spans="1:24">
      <c r="A1225">
        <f>HYPERLINK("https://www.philgeps.gov.ph/GEPSNONPILOT/Tender/SplashBidNoticeAbstractUI.aspx?menuIndex=3&amp;refID=7153471&amp;Result=3","7153471")</f>
        <v>0</v>
      </c>
      <c r="B1225" t="s">
        <v>622</v>
      </c>
      <c r="C1225" t="s">
        <v>4944</v>
      </c>
      <c r="D1225" t="s">
        <v>17969</v>
      </c>
      <c r="E1225" t="s">
        <v>19191</v>
      </c>
      <c r="F1225" t="s">
        <v>30900</v>
      </c>
      <c r="G1225" t="s">
        <v>30910</v>
      </c>
      <c r="H1225" t="s">
        <v>30916</v>
      </c>
      <c r="I1225" t="s">
        <v>30942</v>
      </c>
      <c r="J1225" t="s">
        <v>31989</v>
      </c>
      <c r="K1225" t="s">
        <v>40286</v>
      </c>
      <c r="M1225" t="s">
        <v>41184</v>
      </c>
      <c r="N1225" t="s">
        <v>44759</v>
      </c>
      <c r="O1225" t="s">
        <v>44760</v>
      </c>
      <c r="P1225">
        <v>0</v>
      </c>
      <c r="Q1225">
        <v>0</v>
      </c>
      <c r="R1225" t="s">
        <v>44761</v>
      </c>
      <c r="S1225" t="s">
        <v>44862</v>
      </c>
      <c r="T1225" t="s">
        <v>46390</v>
      </c>
      <c r="U1225" t="s">
        <v>48036</v>
      </c>
      <c r="W1225" t="s">
        <v>41184</v>
      </c>
      <c r="X1225" t="s">
        <v>44762</v>
      </c>
    </row>
    <row r="1226" spans="1:24">
      <c r="A1226">
        <f>HYPERLINK("https://www.philgeps.gov.ph/GEPSNONPILOT/Tender/SplashBidNoticeAbstractUI.aspx?menuIndex=3&amp;refID=7153470&amp;Result=3","7153470")</f>
        <v>0</v>
      </c>
      <c r="B1226" t="s">
        <v>219</v>
      </c>
      <c r="C1226" t="s">
        <v>4108</v>
      </c>
      <c r="D1226" t="s">
        <v>17955</v>
      </c>
      <c r="E1226" t="s">
        <v>19192</v>
      </c>
      <c r="F1226" t="s">
        <v>30900</v>
      </c>
      <c r="G1226" t="s">
        <v>30908</v>
      </c>
      <c r="H1226" t="s">
        <v>30916</v>
      </c>
      <c r="I1226" t="s">
        <v>4108</v>
      </c>
      <c r="J1226" t="s">
        <v>31522</v>
      </c>
      <c r="K1226" t="s">
        <v>40286</v>
      </c>
      <c r="M1226" t="s">
        <v>40766</v>
      </c>
      <c r="N1226" t="s">
        <v>44759</v>
      </c>
      <c r="O1226" t="s">
        <v>44760</v>
      </c>
      <c r="P1226">
        <v>0</v>
      </c>
      <c r="Q1226">
        <v>0</v>
      </c>
      <c r="R1226" t="s">
        <v>44761</v>
      </c>
      <c r="S1226" t="s">
        <v>44862</v>
      </c>
      <c r="T1226" t="s">
        <v>46412</v>
      </c>
      <c r="U1226" t="s">
        <v>48037</v>
      </c>
      <c r="W1226" t="s">
        <v>40766</v>
      </c>
      <c r="X1226" t="s">
        <v>44762</v>
      </c>
    </row>
    <row r="1227" spans="1:24">
      <c r="A1227">
        <f>HYPERLINK("https://www.philgeps.gov.ph/GEPSNONPILOT/Tender/SplashBidNoticeAbstractUI.aspx?menuIndex=3&amp;refID=7153454&amp;Result=3","7153454")</f>
        <v>0</v>
      </c>
      <c r="B1227" t="s">
        <v>607</v>
      </c>
      <c r="C1227" t="s">
        <v>4945</v>
      </c>
      <c r="D1227" t="s">
        <v>17984</v>
      </c>
      <c r="E1227" t="s">
        <v>19193</v>
      </c>
      <c r="F1227" t="s">
        <v>30900</v>
      </c>
      <c r="G1227" t="s">
        <v>30907</v>
      </c>
      <c r="H1227" t="s">
        <v>30915</v>
      </c>
      <c r="I1227" t="s">
        <v>30957</v>
      </c>
      <c r="J1227" t="s">
        <v>31990</v>
      </c>
      <c r="K1227" t="s">
        <v>40293</v>
      </c>
      <c r="M1227" t="s">
        <v>41168</v>
      </c>
      <c r="N1227" t="s">
        <v>44759</v>
      </c>
      <c r="O1227" t="s">
        <v>44760</v>
      </c>
      <c r="P1227">
        <v>0</v>
      </c>
      <c r="Q1227">
        <v>0</v>
      </c>
      <c r="R1227" t="s">
        <v>44761</v>
      </c>
      <c r="S1227" t="s">
        <v>44862</v>
      </c>
      <c r="T1227" t="s">
        <v>46375</v>
      </c>
      <c r="U1227" t="s">
        <v>48038</v>
      </c>
      <c r="W1227" t="s">
        <v>41168</v>
      </c>
      <c r="X1227" t="s">
        <v>44762</v>
      </c>
    </row>
    <row r="1228" spans="1:24">
      <c r="A1228">
        <f>HYPERLINK("https://www.philgeps.gov.ph/GEPSNONPILOT/Tender/SplashBidNoticeAbstractUI.aspx?menuIndex=3&amp;refID=7153476&amp;Result=3","7153476")</f>
        <v>0</v>
      </c>
      <c r="B1228" t="s">
        <v>591</v>
      </c>
      <c r="C1228" t="s">
        <v>4946</v>
      </c>
      <c r="D1228" t="s">
        <v>17998</v>
      </c>
      <c r="E1228" t="s">
        <v>19194</v>
      </c>
      <c r="F1228" t="s">
        <v>30900</v>
      </c>
      <c r="G1228" t="s">
        <v>30907</v>
      </c>
      <c r="H1228" t="s">
        <v>30916</v>
      </c>
      <c r="I1228" t="s">
        <v>8044</v>
      </c>
      <c r="J1228" t="s">
        <v>31991</v>
      </c>
      <c r="K1228" t="s">
        <v>40286</v>
      </c>
      <c r="M1228" t="s">
        <v>41153</v>
      </c>
      <c r="N1228" t="s">
        <v>44759</v>
      </c>
      <c r="O1228" t="s">
        <v>44760</v>
      </c>
      <c r="P1228">
        <v>0</v>
      </c>
      <c r="Q1228">
        <v>0</v>
      </c>
      <c r="R1228" t="s">
        <v>44761</v>
      </c>
      <c r="S1228" t="s">
        <v>44862</v>
      </c>
      <c r="T1228" t="s">
        <v>46366</v>
      </c>
      <c r="U1228" t="s">
        <v>47975</v>
      </c>
      <c r="V1228" t="s">
        <v>59259</v>
      </c>
      <c r="W1228" t="s">
        <v>41153</v>
      </c>
      <c r="X1228" t="s">
        <v>44762</v>
      </c>
    </row>
    <row r="1229" spans="1:24">
      <c r="A1229">
        <f>HYPERLINK("https://www.philgeps.gov.ph/GEPSNONPILOT/Tender/SplashBidNoticeAbstractUI.aspx?menuIndex=3&amp;refID=7153473&amp;Result=3","7153473")</f>
        <v>0</v>
      </c>
      <c r="B1229" t="s">
        <v>623</v>
      </c>
      <c r="C1229" t="s">
        <v>4355</v>
      </c>
      <c r="D1229" t="s">
        <v>17963</v>
      </c>
      <c r="E1229" t="s">
        <v>18608</v>
      </c>
      <c r="F1229" t="s">
        <v>30900</v>
      </c>
      <c r="G1229" t="s">
        <v>30907</v>
      </c>
      <c r="H1229" t="s">
        <v>30916</v>
      </c>
      <c r="I1229" t="s">
        <v>4545</v>
      </c>
      <c r="J1229" t="s">
        <v>31271</v>
      </c>
      <c r="K1229" t="s">
        <v>40283</v>
      </c>
      <c r="M1229" t="s">
        <v>41185</v>
      </c>
      <c r="N1229" t="s">
        <v>44759</v>
      </c>
      <c r="O1229" t="s">
        <v>44760</v>
      </c>
      <c r="P1229">
        <v>0</v>
      </c>
      <c r="Q1229">
        <v>0</v>
      </c>
      <c r="R1229" t="s">
        <v>44761</v>
      </c>
      <c r="S1229" t="s">
        <v>44862</v>
      </c>
      <c r="T1229" t="s">
        <v>46369</v>
      </c>
      <c r="U1229" t="s">
        <v>48039</v>
      </c>
      <c r="W1229" t="s">
        <v>41185</v>
      </c>
      <c r="X1229" t="s">
        <v>44762</v>
      </c>
    </row>
    <row r="1230" spans="1:24">
      <c r="A1230">
        <f>HYPERLINK("https://www.philgeps.gov.ph/GEPSNONPILOT/Tender/SplashBidNoticeAbstractUI.aspx?menuIndex=3&amp;refID=7153468&amp;Result=3","7153468")</f>
        <v>0</v>
      </c>
      <c r="B1230" t="s">
        <v>624</v>
      </c>
      <c r="C1230" t="s">
        <v>4947</v>
      </c>
      <c r="D1230" t="s">
        <v>17977</v>
      </c>
      <c r="E1230" t="s">
        <v>19195</v>
      </c>
      <c r="F1230" t="s">
        <v>30900</v>
      </c>
      <c r="G1230" t="s">
        <v>30908</v>
      </c>
      <c r="H1230" t="s">
        <v>30916</v>
      </c>
      <c r="I1230" t="s">
        <v>4142</v>
      </c>
      <c r="J1230" t="s">
        <v>31992</v>
      </c>
      <c r="K1230" t="s">
        <v>40289</v>
      </c>
      <c r="M1230" t="s">
        <v>41186</v>
      </c>
      <c r="N1230" t="s">
        <v>44759</v>
      </c>
      <c r="O1230" t="s">
        <v>44760</v>
      </c>
      <c r="P1230">
        <v>0</v>
      </c>
      <c r="Q1230">
        <v>0</v>
      </c>
      <c r="R1230" t="s">
        <v>44761</v>
      </c>
      <c r="S1230" t="s">
        <v>44862</v>
      </c>
      <c r="T1230" t="s">
        <v>46351</v>
      </c>
      <c r="U1230" t="s">
        <v>48040</v>
      </c>
      <c r="W1230" t="s">
        <v>41186</v>
      </c>
      <c r="X1230" t="s">
        <v>44762</v>
      </c>
    </row>
    <row r="1231" spans="1:24">
      <c r="A1231">
        <f>HYPERLINK("https://www.philgeps.gov.ph/GEPSNONPILOT/Tender/SplashBidNoticeAbstractUI.aspx?menuIndex=3&amp;refID=7153486&amp;Result=3","7153486")</f>
        <v>0</v>
      </c>
      <c r="B1231" t="s">
        <v>625</v>
      </c>
      <c r="C1231" t="s">
        <v>4948</v>
      </c>
      <c r="D1231" t="s">
        <v>17984</v>
      </c>
      <c r="E1231" t="s">
        <v>19196</v>
      </c>
      <c r="F1231" t="s">
        <v>30900</v>
      </c>
      <c r="G1231" t="s">
        <v>30907</v>
      </c>
      <c r="H1231" t="s">
        <v>30916</v>
      </c>
      <c r="I1231" t="s">
        <v>8123</v>
      </c>
      <c r="J1231" t="s">
        <v>31096</v>
      </c>
      <c r="K1231" t="s">
        <v>40286</v>
      </c>
      <c r="M1231" t="s">
        <v>41187</v>
      </c>
      <c r="N1231" t="s">
        <v>44759</v>
      </c>
      <c r="O1231" t="s">
        <v>44760</v>
      </c>
      <c r="P1231">
        <v>0</v>
      </c>
      <c r="Q1231">
        <v>0</v>
      </c>
      <c r="R1231" t="s">
        <v>44761</v>
      </c>
      <c r="S1231" t="s">
        <v>44862</v>
      </c>
      <c r="T1231" t="s">
        <v>46441</v>
      </c>
      <c r="U1231" t="s">
        <v>48041</v>
      </c>
      <c r="W1231" t="s">
        <v>41187</v>
      </c>
      <c r="X1231" t="s">
        <v>44762</v>
      </c>
    </row>
    <row r="1232" spans="1:24">
      <c r="A1232">
        <f>HYPERLINK("https://www.philgeps.gov.ph/GEPSNONPILOT/Tender/SplashBidNoticeAbstractUI.aspx?menuIndex=3&amp;refID=7153488&amp;Result=3","7153488")</f>
        <v>0</v>
      </c>
      <c r="B1232" t="s">
        <v>130</v>
      </c>
      <c r="C1232" t="s">
        <v>4949</v>
      </c>
      <c r="D1232" t="s">
        <v>17979</v>
      </c>
      <c r="E1232" t="s">
        <v>19197</v>
      </c>
      <c r="F1232" t="s">
        <v>30900</v>
      </c>
      <c r="G1232" t="s">
        <v>30908</v>
      </c>
      <c r="H1232" t="s">
        <v>30916</v>
      </c>
      <c r="I1232" t="s">
        <v>10602</v>
      </c>
      <c r="J1232" t="s">
        <v>31993</v>
      </c>
      <c r="K1232" t="s">
        <v>40315</v>
      </c>
      <c r="M1232" t="s">
        <v>40677</v>
      </c>
      <c r="N1232" t="s">
        <v>44759</v>
      </c>
      <c r="O1232" t="s">
        <v>44760</v>
      </c>
      <c r="P1232">
        <v>0</v>
      </c>
      <c r="Q1232">
        <v>0</v>
      </c>
      <c r="R1232" t="s">
        <v>44761</v>
      </c>
      <c r="S1232" t="s">
        <v>44862</v>
      </c>
      <c r="T1232" t="s">
        <v>46376</v>
      </c>
      <c r="U1232" t="s">
        <v>48042</v>
      </c>
      <c r="W1232" t="s">
        <v>40677</v>
      </c>
      <c r="X1232" t="s">
        <v>44762</v>
      </c>
    </row>
    <row r="1233" spans="1:24">
      <c r="A1233">
        <f>HYPERLINK("https://www.philgeps.gov.ph/GEPSNONPILOT/Tender/SplashBidNoticeAbstractUI.aspx?menuIndex=3&amp;refID=7153484&amp;Result=3","7153484")</f>
        <v>0</v>
      </c>
      <c r="B1233" t="s">
        <v>591</v>
      </c>
      <c r="C1233" t="s">
        <v>4950</v>
      </c>
      <c r="D1233" t="s">
        <v>17998</v>
      </c>
      <c r="E1233" t="s">
        <v>19198</v>
      </c>
      <c r="F1233" t="s">
        <v>30900</v>
      </c>
      <c r="G1233" t="s">
        <v>30907</v>
      </c>
      <c r="H1233" t="s">
        <v>30916</v>
      </c>
      <c r="I1233" t="s">
        <v>10602</v>
      </c>
      <c r="J1233" t="s">
        <v>31236</v>
      </c>
      <c r="K1233" t="s">
        <v>40281</v>
      </c>
      <c r="M1233" t="s">
        <v>41153</v>
      </c>
      <c r="N1233" t="s">
        <v>44759</v>
      </c>
      <c r="O1233" t="s">
        <v>44760</v>
      </c>
      <c r="P1233">
        <v>0</v>
      </c>
      <c r="Q1233">
        <v>0</v>
      </c>
      <c r="R1233" t="s">
        <v>44761</v>
      </c>
      <c r="S1233" t="s">
        <v>44862</v>
      </c>
      <c r="T1233" t="s">
        <v>46366</v>
      </c>
      <c r="U1233" t="s">
        <v>47975</v>
      </c>
      <c r="V1233" t="s">
        <v>59259</v>
      </c>
      <c r="W1233" t="s">
        <v>41153</v>
      </c>
      <c r="X1233" t="s">
        <v>44762</v>
      </c>
    </row>
    <row r="1234" spans="1:24">
      <c r="A1234">
        <f>HYPERLINK("https://www.philgeps.gov.ph/GEPSNONPILOT/Tender/SplashBidNoticeAbstractUI.aspx?menuIndex=3&amp;refID=7153487&amp;Result=3","7153487")</f>
        <v>0</v>
      </c>
      <c r="B1234" t="s">
        <v>622</v>
      </c>
      <c r="C1234" t="s">
        <v>4951</v>
      </c>
      <c r="D1234" t="s">
        <v>18019</v>
      </c>
      <c r="E1234" t="s">
        <v>19199</v>
      </c>
      <c r="F1234" t="s">
        <v>30900</v>
      </c>
      <c r="G1234" t="s">
        <v>30910</v>
      </c>
      <c r="H1234" t="s">
        <v>30916</v>
      </c>
      <c r="I1234" t="s">
        <v>8123</v>
      </c>
      <c r="J1234" t="s">
        <v>31994</v>
      </c>
      <c r="K1234" t="s">
        <v>40283</v>
      </c>
      <c r="M1234" t="s">
        <v>41184</v>
      </c>
      <c r="N1234" t="s">
        <v>44759</v>
      </c>
      <c r="O1234" t="s">
        <v>44760</v>
      </c>
      <c r="P1234">
        <v>0</v>
      </c>
      <c r="Q1234">
        <v>0</v>
      </c>
      <c r="R1234" t="s">
        <v>44761</v>
      </c>
      <c r="S1234" t="s">
        <v>44862</v>
      </c>
      <c r="T1234" t="s">
        <v>46390</v>
      </c>
      <c r="U1234" t="s">
        <v>47008</v>
      </c>
      <c r="W1234" t="s">
        <v>41184</v>
      </c>
      <c r="X1234" t="s">
        <v>44762</v>
      </c>
    </row>
    <row r="1235" spans="1:24">
      <c r="A1235">
        <f>HYPERLINK("https://www.philgeps.gov.ph/GEPSNONPILOT/Tender/SplashBidNoticeAbstractUI.aspx?menuIndex=3&amp;refID=7153467&amp;Result=3","7153467")</f>
        <v>0</v>
      </c>
      <c r="B1235" t="s">
        <v>591</v>
      </c>
      <c r="C1235" t="s">
        <v>4952</v>
      </c>
      <c r="D1235" t="s">
        <v>17998</v>
      </c>
      <c r="E1235" t="s">
        <v>19200</v>
      </c>
      <c r="F1235" t="s">
        <v>30900</v>
      </c>
      <c r="G1235" t="s">
        <v>30907</v>
      </c>
      <c r="H1235" t="s">
        <v>30916</v>
      </c>
      <c r="I1235" t="s">
        <v>8044</v>
      </c>
      <c r="J1235" t="s">
        <v>31995</v>
      </c>
      <c r="K1235" t="s">
        <v>40286</v>
      </c>
      <c r="M1235" t="s">
        <v>41153</v>
      </c>
      <c r="N1235" t="s">
        <v>44759</v>
      </c>
      <c r="O1235" t="s">
        <v>44760</v>
      </c>
      <c r="P1235">
        <v>0</v>
      </c>
      <c r="Q1235">
        <v>0</v>
      </c>
      <c r="R1235" t="s">
        <v>44761</v>
      </c>
      <c r="S1235" t="s">
        <v>44862</v>
      </c>
      <c r="T1235" t="s">
        <v>46366</v>
      </c>
      <c r="U1235" t="s">
        <v>47975</v>
      </c>
      <c r="V1235" t="s">
        <v>59259</v>
      </c>
      <c r="W1235" t="s">
        <v>41153</v>
      </c>
      <c r="X1235" t="s">
        <v>44762</v>
      </c>
    </row>
    <row r="1236" spans="1:24">
      <c r="A1236">
        <f>HYPERLINK("https://www.philgeps.gov.ph/GEPSNONPILOT/Tender/SplashBidNoticeAbstractUI.aspx?menuIndex=3&amp;refID=7153478&amp;Result=3","7153478")</f>
        <v>0</v>
      </c>
      <c r="B1236" t="s">
        <v>626</v>
      </c>
      <c r="C1236" t="s">
        <v>4953</v>
      </c>
      <c r="E1236" t="s">
        <v>19201</v>
      </c>
      <c r="F1236" t="s">
        <v>30900</v>
      </c>
      <c r="G1236" t="s">
        <v>30908</v>
      </c>
      <c r="H1236" t="s">
        <v>30916</v>
      </c>
      <c r="I1236" t="s">
        <v>30927</v>
      </c>
      <c r="J1236" t="s">
        <v>31996</v>
      </c>
      <c r="K1236" t="s">
        <v>40289</v>
      </c>
      <c r="M1236" t="s">
        <v>41188</v>
      </c>
      <c r="N1236" t="s">
        <v>44759</v>
      </c>
      <c r="O1236" t="s">
        <v>44760</v>
      </c>
      <c r="P1236">
        <v>0</v>
      </c>
      <c r="Q1236">
        <v>0</v>
      </c>
      <c r="R1236" t="s">
        <v>44761</v>
      </c>
      <c r="S1236" t="s">
        <v>44862</v>
      </c>
      <c r="T1236" t="s">
        <v>46357</v>
      </c>
      <c r="U1236" t="s">
        <v>48043</v>
      </c>
      <c r="V1236" t="s">
        <v>59268</v>
      </c>
      <c r="W1236" t="s">
        <v>41188</v>
      </c>
      <c r="X1236" t="s">
        <v>44762</v>
      </c>
    </row>
    <row r="1237" spans="1:24">
      <c r="A1237">
        <f>HYPERLINK("https://www.philgeps.gov.ph/GEPSNONPILOT/Tender/SplashBidNoticeAbstractUI.aspx?menuIndex=3&amp;refID=7153489&amp;Result=3","7153489")</f>
        <v>0</v>
      </c>
      <c r="B1237" t="s">
        <v>522</v>
      </c>
      <c r="C1237" t="s">
        <v>4709</v>
      </c>
      <c r="D1237" t="s">
        <v>18017</v>
      </c>
      <c r="E1237" t="s">
        <v>19202</v>
      </c>
      <c r="F1237" t="s">
        <v>30900</v>
      </c>
      <c r="G1237" t="s">
        <v>30909</v>
      </c>
      <c r="H1237" t="s">
        <v>30916</v>
      </c>
      <c r="I1237" t="s">
        <v>6953</v>
      </c>
      <c r="J1237" t="s">
        <v>31997</v>
      </c>
      <c r="K1237" t="s">
        <v>40287</v>
      </c>
      <c r="M1237" t="s">
        <v>41082</v>
      </c>
      <c r="N1237" t="s">
        <v>44759</v>
      </c>
      <c r="O1237" t="s">
        <v>44760</v>
      </c>
      <c r="P1237">
        <v>0</v>
      </c>
      <c r="Q1237">
        <v>0</v>
      </c>
      <c r="R1237" t="s">
        <v>44761</v>
      </c>
      <c r="S1237" t="s">
        <v>44862</v>
      </c>
      <c r="T1237" t="s">
        <v>46421</v>
      </c>
      <c r="U1237" t="s">
        <v>48044</v>
      </c>
      <c r="W1237" t="s">
        <v>41082</v>
      </c>
      <c r="X1237" t="s">
        <v>44762</v>
      </c>
    </row>
    <row r="1238" spans="1:24">
      <c r="A1238">
        <f>HYPERLINK("https://www.philgeps.gov.ph/GEPSNONPILOT/Tender/SplashBidNoticeAbstractUI.aspx?menuIndex=3&amp;refID=7153506&amp;Result=3","7153506")</f>
        <v>0</v>
      </c>
      <c r="B1238" t="s">
        <v>627</v>
      </c>
      <c r="C1238" t="s">
        <v>4954</v>
      </c>
      <c r="D1238" t="s">
        <v>17952</v>
      </c>
      <c r="E1238" t="s">
        <v>19203</v>
      </c>
      <c r="F1238" t="s">
        <v>30900</v>
      </c>
      <c r="G1238" t="s">
        <v>30907</v>
      </c>
      <c r="H1238" t="s">
        <v>30916</v>
      </c>
      <c r="I1238" t="s">
        <v>6396</v>
      </c>
      <c r="J1238" t="s">
        <v>31998</v>
      </c>
      <c r="K1238" t="s">
        <v>40293</v>
      </c>
      <c r="M1238" t="s">
        <v>41189</v>
      </c>
      <c r="N1238" t="s">
        <v>44759</v>
      </c>
      <c r="O1238" t="s">
        <v>44760</v>
      </c>
      <c r="P1238">
        <v>0</v>
      </c>
      <c r="Q1238">
        <v>0</v>
      </c>
      <c r="R1238" t="s">
        <v>44761</v>
      </c>
      <c r="S1238" t="s">
        <v>44862</v>
      </c>
      <c r="T1238" t="s">
        <v>46377</v>
      </c>
      <c r="U1238" t="s">
        <v>48045</v>
      </c>
      <c r="V1238" t="s">
        <v>59269</v>
      </c>
      <c r="W1238" t="s">
        <v>41189</v>
      </c>
      <c r="X1238" t="s">
        <v>44762</v>
      </c>
    </row>
    <row r="1239" spans="1:24">
      <c r="A1239">
        <f>HYPERLINK("https://www.philgeps.gov.ph/GEPSNONPILOT/Tender/SplashBidNoticeAbstractUI.aspx?menuIndex=3&amp;refID=7153505&amp;Result=3","7153505")</f>
        <v>0</v>
      </c>
      <c r="B1239" t="s">
        <v>628</v>
      </c>
      <c r="C1239" t="s">
        <v>4955</v>
      </c>
      <c r="D1239" t="s">
        <v>18019</v>
      </c>
      <c r="E1239" t="s">
        <v>19204</v>
      </c>
      <c r="F1239" t="s">
        <v>30900</v>
      </c>
      <c r="G1239" t="s">
        <v>30908</v>
      </c>
      <c r="H1239" t="s">
        <v>30916</v>
      </c>
      <c r="I1239" t="s">
        <v>4108</v>
      </c>
      <c r="J1239" t="s">
        <v>31999</v>
      </c>
      <c r="K1239" t="s">
        <v>40286</v>
      </c>
      <c r="M1239" t="s">
        <v>41190</v>
      </c>
      <c r="N1239" t="s">
        <v>44759</v>
      </c>
      <c r="O1239" t="s">
        <v>44760</v>
      </c>
      <c r="P1239">
        <v>0</v>
      </c>
      <c r="Q1239">
        <v>0</v>
      </c>
      <c r="R1239" t="s">
        <v>44761</v>
      </c>
      <c r="S1239" t="s">
        <v>44862</v>
      </c>
      <c r="T1239" t="s">
        <v>46390</v>
      </c>
      <c r="U1239" t="s">
        <v>48046</v>
      </c>
      <c r="V1239" t="s">
        <v>59270</v>
      </c>
      <c r="W1239" t="s">
        <v>41190</v>
      </c>
      <c r="X1239" t="s">
        <v>44762</v>
      </c>
    </row>
    <row r="1240" spans="1:24">
      <c r="A1240">
        <f>HYPERLINK("https://www.philgeps.gov.ph/GEPSNONPILOT/Tender/SplashBidNoticeAbstractUI.aspx?menuIndex=3&amp;refID=7153504&amp;Result=3","7153504")</f>
        <v>0</v>
      </c>
      <c r="B1240" t="s">
        <v>629</v>
      </c>
      <c r="C1240" t="s">
        <v>4956</v>
      </c>
      <c r="D1240" t="s">
        <v>17992</v>
      </c>
      <c r="E1240" t="s">
        <v>19205</v>
      </c>
      <c r="F1240" t="s">
        <v>30900</v>
      </c>
      <c r="G1240" t="s">
        <v>30907</v>
      </c>
      <c r="H1240" t="s">
        <v>30916</v>
      </c>
      <c r="I1240" t="s">
        <v>5501</v>
      </c>
      <c r="J1240" t="s">
        <v>32000</v>
      </c>
      <c r="K1240" t="s">
        <v>40283</v>
      </c>
      <c r="M1240" t="s">
        <v>41191</v>
      </c>
      <c r="N1240" t="s">
        <v>44759</v>
      </c>
      <c r="O1240" t="s">
        <v>44760</v>
      </c>
      <c r="P1240">
        <v>0</v>
      </c>
      <c r="Q1240">
        <v>0</v>
      </c>
      <c r="R1240" t="s">
        <v>44761</v>
      </c>
      <c r="S1240" t="s">
        <v>44862</v>
      </c>
      <c r="T1240" t="s">
        <v>46514</v>
      </c>
      <c r="U1240" t="s">
        <v>48047</v>
      </c>
      <c r="V1240" t="s">
        <v>59226</v>
      </c>
      <c r="W1240" t="s">
        <v>41191</v>
      </c>
      <c r="X1240" t="s">
        <v>44762</v>
      </c>
    </row>
    <row r="1241" spans="1:24">
      <c r="A1241">
        <f>HYPERLINK("https://www.philgeps.gov.ph/GEPSNONPILOT/Tender/SplashBidNoticeAbstractUI.aspx?menuIndex=3&amp;refID=7153483&amp;Result=3","7153483")</f>
        <v>0</v>
      </c>
      <c r="B1241" t="s">
        <v>630</v>
      </c>
      <c r="C1241" t="s">
        <v>4957</v>
      </c>
      <c r="D1241" t="s">
        <v>17973</v>
      </c>
      <c r="E1241" t="s">
        <v>19206</v>
      </c>
      <c r="F1241" t="s">
        <v>30900</v>
      </c>
      <c r="G1241" t="s">
        <v>30908</v>
      </c>
      <c r="H1241" t="s">
        <v>30916</v>
      </c>
      <c r="I1241" t="s">
        <v>30968</v>
      </c>
      <c r="J1241" t="s">
        <v>32001</v>
      </c>
      <c r="K1241" t="s">
        <v>40291</v>
      </c>
      <c r="M1241" t="s">
        <v>41192</v>
      </c>
      <c r="N1241" t="s">
        <v>44759</v>
      </c>
      <c r="O1241" t="s">
        <v>44760</v>
      </c>
      <c r="P1241">
        <v>0</v>
      </c>
      <c r="Q1241">
        <v>0</v>
      </c>
      <c r="R1241" t="s">
        <v>44761</v>
      </c>
      <c r="S1241" t="s">
        <v>44862</v>
      </c>
      <c r="T1241" t="s">
        <v>46418</v>
      </c>
      <c r="U1241" t="s">
        <v>48048</v>
      </c>
      <c r="W1241" t="s">
        <v>41192</v>
      </c>
      <c r="X1241" t="s">
        <v>44762</v>
      </c>
    </row>
    <row r="1242" spans="1:24">
      <c r="A1242">
        <f>HYPERLINK("https://www.philgeps.gov.ph/GEPSNONPILOT/Tender/SplashBidNoticeAbstractUI.aspx?menuIndex=3&amp;refID=7153490&amp;Result=3","7153490")</f>
        <v>0</v>
      </c>
      <c r="B1242" t="s">
        <v>302</v>
      </c>
      <c r="C1242" t="s">
        <v>4958</v>
      </c>
      <c r="D1242" t="s">
        <v>17959</v>
      </c>
      <c r="E1242" t="s">
        <v>19207</v>
      </c>
      <c r="F1242" t="s">
        <v>30900</v>
      </c>
      <c r="G1242" t="s">
        <v>30909</v>
      </c>
      <c r="H1242" t="s">
        <v>30916</v>
      </c>
      <c r="I1242" t="s">
        <v>6396</v>
      </c>
      <c r="J1242" t="s">
        <v>32002</v>
      </c>
      <c r="K1242" t="s">
        <v>40283</v>
      </c>
      <c r="M1242" t="s">
        <v>40851</v>
      </c>
      <c r="N1242" t="s">
        <v>44759</v>
      </c>
      <c r="O1242" t="s">
        <v>44760</v>
      </c>
      <c r="P1242">
        <v>0</v>
      </c>
      <c r="Q1242">
        <v>0</v>
      </c>
      <c r="R1242" t="s">
        <v>44761</v>
      </c>
      <c r="S1242" t="s">
        <v>44862</v>
      </c>
      <c r="T1242" t="s">
        <v>46363</v>
      </c>
      <c r="U1242" t="s">
        <v>48049</v>
      </c>
      <c r="W1242" t="s">
        <v>40851</v>
      </c>
      <c r="X1242" t="s">
        <v>44762</v>
      </c>
    </row>
    <row r="1243" spans="1:24">
      <c r="A1243">
        <f>HYPERLINK("https://www.philgeps.gov.ph/GEPSNONPILOT/Tender/SplashBidNoticeAbstractUI.aspx?menuIndex=3&amp;refID=7153512&amp;Result=3","7153512")</f>
        <v>0</v>
      </c>
      <c r="B1243" t="s">
        <v>631</v>
      </c>
      <c r="C1243" t="s">
        <v>4959</v>
      </c>
      <c r="D1243" t="s">
        <v>17959</v>
      </c>
      <c r="E1243" t="s">
        <v>19208</v>
      </c>
      <c r="F1243" t="s">
        <v>30900</v>
      </c>
      <c r="G1243" t="s">
        <v>30909</v>
      </c>
      <c r="H1243" t="s">
        <v>30916</v>
      </c>
      <c r="I1243" t="s">
        <v>11785</v>
      </c>
      <c r="J1243" t="s">
        <v>31183</v>
      </c>
      <c r="K1243" t="s">
        <v>40287</v>
      </c>
      <c r="M1243" t="s">
        <v>41193</v>
      </c>
      <c r="N1243" t="s">
        <v>44759</v>
      </c>
      <c r="O1243" t="s">
        <v>44760</v>
      </c>
      <c r="P1243">
        <v>0</v>
      </c>
      <c r="Q1243">
        <v>0</v>
      </c>
      <c r="R1243" t="s">
        <v>44761</v>
      </c>
      <c r="S1243" t="s">
        <v>44862</v>
      </c>
      <c r="T1243" t="s">
        <v>46398</v>
      </c>
      <c r="U1243" t="s">
        <v>48050</v>
      </c>
      <c r="W1243" t="s">
        <v>41193</v>
      </c>
      <c r="X1243" t="s">
        <v>44762</v>
      </c>
    </row>
    <row r="1244" spans="1:24">
      <c r="A1244">
        <f>HYPERLINK("https://www.philgeps.gov.ph/GEPSNONPILOT/Tender/SplashBidNoticeAbstractUI.aspx?menuIndex=3&amp;refID=7153485&amp;Result=3","7153485")</f>
        <v>0</v>
      </c>
      <c r="B1244" t="s">
        <v>209</v>
      </c>
      <c r="C1244" t="s">
        <v>4960</v>
      </c>
      <c r="D1244" t="s">
        <v>17985</v>
      </c>
      <c r="E1244" t="s">
        <v>19209</v>
      </c>
      <c r="F1244" t="s">
        <v>30900</v>
      </c>
      <c r="G1244" t="s">
        <v>30909</v>
      </c>
      <c r="H1244" t="s">
        <v>30916</v>
      </c>
      <c r="I1244" t="s">
        <v>4108</v>
      </c>
      <c r="J1244" t="s">
        <v>32003</v>
      </c>
      <c r="K1244" t="s">
        <v>40286</v>
      </c>
      <c r="M1244" t="s">
        <v>40756</v>
      </c>
      <c r="N1244" t="s">
        <v>44759</v>
      </c>
      <c r="O1244" t="s">
        <v>44760</v>
      </c>
      <c r="P1244">
        <v>0</v>
      </c>
      <c r="Q1244">
        <v>0</v>
      </c>
      <c r="R1244" t="s">
        <v>44761</v>
      </c>
      <c r="S1244" t="s">
        <v>44862</v>
      </c>
      <c r="T1244" t="s">
        <v>46409</v>
      </c>
      <c r="U1244" t="s">
        <v>48051</v>
      </c>
      <c r="W1244" t="s">
        <v>40756</v>
      </c>
      <c r="X1244" t="s">
        <v>44762</v>
      </c>
    </row>
    <row r="1245" spans="1:24">
      <c r="A1245">
        <f>HYPERLINK("https://www.philgeps.gov.ph/GEPSNONPILOT/Tender/SplashBidNoticeAbstractUI.aspx?menuIndex=3&amp;refID=7153508&amp;Result=3","7153508")</f>
        <v>0</v>
      </c>
      <c r="B1245" t="s">
        <v>632</v>
      </c>
      <c r="C1245" t="s">
        <v>4961</v>
      </c>
      <c r="D1245" t="s">
        <v>17978</v>
      </c>
      <c r="E1245" t="s">
        <v>19210</v>
      </c>
      <c r="F1245" t="s">
        <v>30900</v>
      </c>
      <c r="G1245" t="s">
        <v>30908</v>
      </c>
      <c r="H1245" t="s">
        <v>30916</v>
      </c>
      <c r="I1245" t="s">
        <v>30947</v>
      </c>
      <c r="J1245" t="s">
        <v>31048</v>
      </c>
      <c r="K1245" t="s">
        <v>40285</v>
      </c>
      <c r="M1245" t="s">
        <v>41194</v>
      </c>
      <c r="N1245" t="s">
        <v>44759</v>
      </c>
      <c r="O1245" t="s">
        <v>44760</v>
      </c>
      <c r="P1245">
        <v>0</v>
      </c>
      <c r="Q1245">
        <v>0</v>
      </c>
      <c r="R1245" t="s">
        <v>44761</v>
      </c>
      <c r="S1245" t="s">
        <v>44862</v>
      </c>
      <c r="T1245" t="s">
        <v>46390</v>
      </c>
      <c r="U1245" t="s">
        <v>47043</v>
      </c>
      <c r="W1245" t="s">
        <v>41194</v>
      </c>
      <c r="X1245" t="s">
        <v>44762</v>
      </c>
    </row>
    <row r="1246" spans="1:24">
      <c r="A1246">
        <f>HYPERLINK("https://www.philgeps.gov.ph/GEPSNONPILOT/Tender/SplashBidNoticeAbstractUI.aspx?menuIndex=3&amp;refID=7153501&amp;Result=3","7153501")</f>
        <v>0</v>
      </c>
      <c r="B1246" t="s">
        <v>237</v>
      </c>
      <c r="C1246" t="s">
        <v>4962</v>
      </c>
      <c r="D1246" t="s">
        <v>17977</v>
      </c>
      <c r="E1246" t="s">
        <v>19211</v>
      </c>
      <c r="F1246" t="s">
        <v>30900</v>
      </c>
      <c r="G1246" t="s">
        <v>30908</v>
      </c>
      <c r="H1246" t="s">
        <v>30916</v>
      </c>
      <c r="I1246" t="s">
        <v>30952</v>
      </c>
      <c r="J1246" t="s">
        <v>31049</v>
      </c>
      <c r="K1246" t="s">
        <v>40289</v>
      </c>
      <c r="M1246" t="s">
        <v>40784</v>
      </c>
      <c r="N1246" t="s">
        <v>44759</v>
      </c>
      <c r="O1246" t="s">
        <v>44760</v>
      </c>
      <c r="P1246">
        <v>0</v>
      </c>
      <c r="Q1246">
        <v>0</v>
      </c>
      <c r="R1246" t="s">
        <v>44761</v>
      </c>
      <c r="S1246" t="s">
        <v>44862</v>
      </c>
      <c r="T1246" t="s">
        <v>46393</v>
      </c>
      <c r="U1246" t="s">
        <v>48052</v>
      </c>
      <c r="W1246" t="s">
        <v>40784</v>
      </c>
      <c r="X1246" t="s">
        <v>44762</v>
      </c>
    </row>
    <row r="1247" spans="1:24">
      <c r="A1247">
        <f>HYPERLINK("https://www.philgeps.gov.ph/GEPSNONPILOT/Tender/SplashBidNoticeAbstractUI.aspx?menuIndex=3&amp;refID=7153500&amp;Result=3","7153500")</f>
        <v>0</v>
      </c>
      <c r="B1247" t="s">
        <v>219</v>
      </c>
      <c r="C1247" t="s">
        <v>4108</v>
      </c>
      <c r="D1247" t="s">
        <v>17955</v>
      </c>
      <c r="E1247" t="s">
        <v>19212</v>
      </c>
      <c r="F1247" t="s">
        <v>30900</v>
      </c>
      <c r="G1247" t="s">
        <v>30908</v>
      </c>
      <c r="H1247" t="s">
        <v>30916</v>
      </c>
      <c r="I1247" t="s">
        <v>4108</v>
      </c>
      <c r="J1247" t="s">
        <v>32004</v>
      </c>
      <c r="K1247" t="s">
        <v>40286</v>
      </c>
      <c r="M1247" t="s">
        <v>40766</v>
      </c>
      <c r="N1247" t="s">
        <v>44759</v>
      </c>
      <c r="O1247" t="s">
        <v>44760</v>
      </c>
      <c r="P1247">
        <v>0</v>
      </c>
      <c r="Q1247">
        <v>0</v>
      </c>
      <c r="R1247" t="s">
        <v>44761</v>
      </c>
      <c r="S1247" t="s">
        <v>44862</v>
      </c>
      <c r="T1247" t="s">
        <v>46412</v>
      </c>
      <c r="U1247" t="s">
        <v>48053</v>
      </c>
      <c r="W1247" t="s">
        <v>40766</v>
      </c>
      <c r="X1247" t="s">
        <v>44762</v>
      </c>
    </row>
    <row r="1248" spans="1:24">
      <c r="A1248">
        <f>HYPERLINK("https://www.philgeps.gov.ph/GEPSNONPILOT/Tender/SplashBidNoticeAbstractUI.aspx?menuIndex=3&amp;refID=7153499&amp;Result=3","7153499")</f>
        <v>0</v>
      </c>
      <c r="B1248" t="s">
        <v>591</v>
      </c>
      <c r="C1248" t="s">
        <v>4963</v>
      </c>
      <c r="D1248" t="s">
        <v>17998</v>
      </c>
      <c r="E1248" t="s">
        <v>19213</v>
      </c>
      <c r="F1248" t="s">
        <v>30900</v>
      </c>
      <c r="G1248" t="s">
        <v>30907</v>
      </c>
      <c r="H1248" t="s">
        <v>30916</v>
      </c>
      <c r="I1248" t="s">
        <v>30936</v>
      </c>
      <c r="J1248" t="s">
        <v>32005</v>
      </c>
      <c r="K1248" t="s">
        <v>40286</v>
      </c>
      <c r="M1248" t="s">
        <v>41153</v>
      </c>
      <c r="N1248" t="s">
        <v>44759</v>
      </c>
      <c r="O1248" t="s">
        <v>44760</v>
      </c>
      <c r="P1248">
        <v>0</v>
      </c>
      <c r="Q1248">
        <v>0</v>
      </c>
      <c r="R1248" t="s">
        <v>44761</v>
      </c>
      <c r="S1248" t="s">
        <v>44862</v>
      </c>
      <c r="T1248" t="s">
        <v>46366</v>
      </c>
      <c r="U1248" t="s">
        <v>47975</v>
      </c>
      <c r="V1248" t="s">
        <v>59259</v>
      </c>
      <c r="W1248" t="s">
        <v>41153</v>
      </c>
      <c r="X1248" t="s">
        <v>44762</v>
      </c>
    </row>
    <row r="1249" spans="1:24">
      <c r="A1249">
        <f>HYPERLINK("https://www.philgeps.gov.ph/GEPSNONPILOT/Tender/SplashBidNoticeAbstractUI.aspx?menuIndex=3&amp;refID=7153479&amp;Result=3","7153479")</f>
        <v>0</v>
      </c>
      <c r="B1249" t="s">
        <v>629</v>
      </c>
      <c r="C1249" t="s">
        <v>4964</v>
      </c>
      <c r="D1249" t="s">
        <v>17992</v>
      </c>
      <c r="E1249" t="s">
        <v>19214</v>
      </c>
      <c r="F1249" t="s">
        <v>30900</v>
      </c>
      <c r="G1249" t="s">
        <v>30907</v>
      </c>
      <c r="H1249" t="s">
        <v>30916</v>
      </c>
      <c r="I1249" t="s">
        <v>30931</v>
      </c>
      <c r="J1249" t="s">
        <v>31669</v>
      </c>
      <c r="K1249" t="s">
        <v>40283</v>
      </c>
      <c r="M1249" t="s">
        <v>41195</v>
      </c>
      <c r="N1249" t="s">
        <v>44759</v>
      </c>
      <c r="O1249" t="s">
        <v>44760</v>
      </c>
      <c r="P1249">
        <v>0</v>
      </c>
      <c r="Q1249">
        <v>0</v>
      </c>
      <c r="R1249" t="s">
        <v>44761</v>
      </c>
      <c r="S1249" t="s">
        <v>44862</v>
      </c>
      <c r="T1249" t="s">
        <v>46514</v>
      </c>
      <c r="U1249" t="s">
        <v>48054</v>
      </c>
      <c r="V1249" t="s">
        <v>59271</v>
      </c>
      <c r="W1249" t="s">
        <v>41195</v>
      </c>
      <c r="X1249" t="s">
        <v>44762</v>
      </c>
    </row>
    <row r="1250" spans="1:24">
      <c r="A1250">
        <f>HYPERLINK("https://www.philgeps.gov.ph/GEPSNONPILOT/Tender/SplashBidNoticeAbstractUI.aspx?menuIndex=3&amp;refID=7153498&amp;Result=3","7153498")</f>
        <v>0</v>
      </c>
      <c r="B1250" t="s">
        <v>633</v>
      </c>
      <c r="C1250" t="s">
        <v>4965</v>
      </c>
      <c r="D1250" t="s">
        <v>18004</v>
      </c>
      <c r="E1250" t="s">
        <v>19215</v>
      </c>
      <c r="F1250" t="s">
        <v>30899</v>
      </c>
      <c r="G1250" t="s">
        <v>30908</v>
      </c>
      <c r="H1250" t="s">
        <v>30916</v>
      </c>
      <c r="I1250" t="s">
        <v>4965</v>
      </c>
      <c r="J1250" t="s">
        <v>32006</v>
      </c>
      <c r="K1250" t="s">
        <v>40283</v>
      </c>
      <c r="M1250" t="s">
        <v>41196</v>
      </c>
      <c r="N1250" t="s">
        <v>44759</v>
      </c>
      <c r="O1250" t="s">
        <v>44760</v>
      </c>
      <c r="P1250">
        <v>0</v>
      </c>
      <c r="Q1250">
        <v>0</v>
      </c>
      <c r="R1250" t="s">
        <v>44761</v>
      </c>
      <c r="S1250" t="s">
        <v>44862</v>
      </c>
      <c r="T1250" t="s">
        <v>46455</v>
      </c>
      <c r="U1250" t="s">
        <v>48055</v>
      </c>
      <c r="W1250" t="s">
        <v>41196</v>
      </c>
      <c r="X1250" t="s">
        <v>44762</v>
      </c>
    </row>
    <row r="1251" spans="1:24">
      <c r="A1251">
        <f>HYPERLINK("https://www.philgeps.gov.ph/GEPSNONPILOT/Tender/SplashBidNoticeAbstractUI.aspx?menuIndex=3&amp;refID=7153497&amp;Result=3","7153497")</f>
        <v>0</v>
      </c>
      <c r="B1251" t="s">
        <v>634</v>
      </c>
      <c r="C1251" t="s">
        <v>4966</v>
      </c>
      <c r="D1251" t="s">
        <v>17999</v>
      </c>
      <c r="E1251" t="s">
        <v>19216</v>
      </c>
      <c r="F1251" t="s">
        <v>30900</v>
      </c>
      <c r="G1251" t="s">
        <v>30908</v>
      </c>
      <c r="H1251" t="s">
        <v>30916</v>
      </c>
      <c r="I1251" t="s">
        <v>8123</v>
      </c>
      <c r="J1251" t="s">
        <v>32007</v>
      </c>
      <c r="K1251" t="s">
        <v>40283</v>
      </c>
      <c r="M1251" t="s">
        <v>41197</v>
      </c>
      <c r="N1251" t="s">
        <v>44759</v>
      </c>
      <c r="O1251" t="s">
        <v>44760</v>
      </c>
      <c r="P1251">
        <v>0</v>
      </c>
      <c r="Q1251">
        <v>0</v>
      </c>
      <c r="R1251" t="s">
        <v>44761</v>
      </c>
      <c r="S1251" t="s">
        <v>44862</v>
      </c>
      <c r="T1251" t="s">
        <v>46390</v>
      </c>
      <c r="U1251" t="s">
        <v>48056</v>
      </c>
      <c r="W1251" t="s">
        <v>41197</v>
      </c>
      <c r="X1251" t="s">
        <v>44762</v>
      </c>
    </row>
    <row r="1252" spans="1:24">
      <c r="A1252">
        <f>HYPERLINK("https://www.philgeps.gov.ph/GEPSNONPILOT/Tender/SplashBidNoticeAbstractUI.aspx?menuIndex=3&amp;refID=7153496&amp;Result=3","7153496")</f>
        <v>0</v>
      </c>
      <c r="B1252" t="s">
        <v>604</v>
      </c>
      <c r="C1252" t="s">
        <v>4967</v>
      </c>
      <c r="D1252" t="s">
        <v>17985</v>
      </c>
      <c r="E1252" t="s">
        <v>19217</v>
      </c>
      <c r="F1252" t="s">
        <v>30900</v>
      </c>
      <c r="G1252" t="s">
        <v>30908</v>
      </c>
      <c r="H1252" t="s">
        <v>30916</v>
      </c>
      <c r="I1252" t="s">
        <v>30927</v>
      </c>
      <c r="J1252" t="s">
        <v>32008</v>
      </c>
      <c r="K1252" t="s">
        <v>40286</v>
      </c>
      <c r="M1252" t="s">
        <v>41165</v>
      </c>
      <c r="N1252" t="s">
        <v>44759</v>
      </c>
      <c r="O1252" t="s">
        <v>44760</v>
      </c>
      <c r="P1252">
        <v>0</v>
      </c>
      <c r="Q1252">
        <v>0</v>
      </c>
      <c r="R1252" t="s">
        <v>44761</v>
      </c>
      <c r="S1252" t="s">
        <v>44862</v>
      </c>
      <c r="T1252" t="s">
        <v>46399</v>
      </c>
      <c r="U1252" t="s">
        <v>48002</v>
      </c>
      <c r="W1252" t="s">
        <v>41165</v>
      </c>
      <c r="X1252" t="s">
        <v>44762</v>
      </c>
    </row>
    <row r="1253" spans="1:24">
      <c r="A1253">
        <f>HYPERLINK("https://www.philgeps.gov.ph/GEPSNONPILOT/Tender/SplashBidNoticeAbstractUI.aspx?menuIndex=3&amp;refID=7153495&amp;Result=3","7153495")</f>
        <v>0</v>
      </c>
      <c r="B1253" t="s">
        <v>635</v>
      </c>
      <c r="C1253" t="s">
        <v>4968</v>
      </c>
      <c r="D1253" t="s">
        <v>18010</v>
      </c>
      <c r="E1253" t="s">
        <v>18282</v>
      </c>
      <c r="F1253" t="s">
        <v>30900</v>
      </c>
      <c r="G1253" t="s">
        <v>30907</v>
      </c>
      <c r="H1253" t="s">
        <v>30915</v>
      </c>
      <c r="I1253" t="s">
        <v>8123</v>
      </c>
      <c r="J1253" t="s">
        <v>32009</v>
      </c>
      <c r="K1253" t="s">
        <v>40283</v>
      </c>
      <c r="M1253" t="s">
        <v>41198</v>
      </c>
      <c r="N1253" t="s">
        <v>44759</v>
      </c>
      <c r="O1253" t="s">
        <v>44760</v>
      </c>
      <c r="P1253">
        <v>0</v>
      </c>
      <c r="Q1253">
        <v>0</v>
      </c>
      <c r="R1253" t="s">
        <v>44761</v>
      </c>
      <c r="S1253" t="s">
        <v>44862</v>
      </c>
      <c r="T1253" t="s">
        <v>46515</v>
      </c>
      <c r="U1253" t="s">
        <v>48057</v>
      </c>
      <c r="W1253" t="s">
        <v>41198</v>
      </c>
      <c r="X1253" t="s">
        <v>44762</v>
      </c>
    </row>
    <row r="1254" spans="1:24">
      <c r="A1254">
        <f>HYPERLINK("https://www.philgeps.gov.ph/GEPSNONPILOT/Tender/SplashBidNoticeAbstractUI.aspx?menuIndex=3&amp;refID=7153494&amp;Result=3","7153494")</f>
        <v>0</v>
      </c>
      <c r="B1254" t="s">
        <v>530</v>
      </c>
      <c r="C1254" t="s">
        <v>4969</v>
      </c>
      <c r="D1254" t="s">
        <v>17996</v>
      </c>
      <c r="E1254" t="s">
        <v>19218</v>
      </c>
      <c r="F1254" t="s">
        <v>30900</v>
      </c>
      <c r="G1254" t="s">
        <v>30909</v>
      </c>
      <c r="H1254" t="s">
        <v>30916</v>
      </c>
      <c r="I1254" t="s">
        <v>30922</v>
      </c>
      <c r="J1254" t="s">
        <v>32010</v>
      </c>
      <c r="K1254" t="s">
        <v>40284</v>
      </c>
      <c r="M1254" t="s">
        <v>41090</v>
      </c>
      <c r="N1254" t="s">
        <v>44759</v>
      </c>
      <c r="O1254" t="s">
        <v>44760</v>
      </c>
      <c r="P1254">
        <v>0</v>
      </c>
      <c r="Q1254">
        <v>0</v>
      </c>
      <c r="R1254" t="s">
        <v>44761</v>
      </c>
      <c r="S1254" t="s">
        <v>44862</v>
      </c>
      <c r="T1254" t="s">
        <v>46457</v>
      </c>
      <c r="U1254" t="s">
        <v>47259</v>
      </c>
      <c r="W1254" t="s">
        <v>41090</v>
      </c>
      <c r="X1254" t="s">
        <v>44762</v>
      </c>
    </row>
    <row r="1255" spans="1:24">
      <c r="A1255">
        <f>HYPERLINK("https://www.philgeps.gov.ph/GEPSNONPILOT/Tender/SplashBidNoticeAbstractUI.aspx?menuIndex=3&amp;refID=7153492&amp;Result=3","7153492")</f>
        <v>0</v>
      </c>
      <c r="B1255" t="s">
        <v>570</v>
      </c>
      <c r="C1255" t="s">
        <v>4970</v>
      </c>
      <c r="D1255" t="s">
        <v>17985</v>
      </c>
      <c r="E1255" t="s">
        <v>19219</v>
      </c>
      <c r="F1255" t="s">
        <v>30900</v>
      </c>
      <c r="G1255" t="s">
        <v>30908</v>
      </c>
      <c r="H1255" t="s">
        <v>30916</v>
      </c>
      <c r="I1255" t="s">
        <v>4545</v>
      </c>
      <c r="J1255" t="s">
        <v>31082</v>
      </c>
      <c r="K1255" t="s">
        <v>40289</v>
      </c>
      <c r="M1255" t="s">
        <v>41131</v>
      </c>
      <c r="N1255" t="s">
        <v>44759</v>
      </c>
      <c r="O1255" t="s">
        <v>44760</v>
      </c>
      <c r="P1255">
        <v>0</v>
      </c>
      <c r="Q1255">
        <v>0</v>
      </c>
      <c r="R1255" t="s">
        <v>44761</v>
      </c>
      <c r="S1255" t="s">
        <v>44862</v>
      </c>
      <c r="T1255" t="s">
        <v>46376</v>
      </c>
      <c r="U1255" t="s">
        <v>48058</v>
      </c>
      <c r="W1255" t="s">
        <v>41131</v>
      </c>
      <c r="X1255" t="s">
        <v>44762</v>
      </c>
    </row>
    <row r="1256" spans="1:24">
      <c r="A1256">
        <f>HYPERLINK("https://www.philgeps.gov.ph/GEPSNONPILOT/Tender/SplashBidNoticeAbstractUI.aspx?menuIndex=3&amp;refID=7153515&amp;Result=3","7153515")</f>
        <v>0</v>
      </c>
      <c r="B1256" t="s">
        <v>591</v>
      </c>
      <c r="C1256" t="s">
        <v>4971</v>
      </c>
      <c r="D1256" t="s">
        <v>17998</v>
      </c>
      <c r="E1256" t="s">
        <v>19220</v>
      </c>
      <c r="F1256" t="s">
        <v>30900</v>
      </c>
      <c r="G1256" t="s">
        <v>30907</v>
      </c>
      <c r="H1256" t="s">
        <v>30916</v>
      </c>
      <c r="I1256" t="s">
        <v>4108</v>
      </c>
      <c r="J1256" t="s">
        <v>32011</v>
      </c>
      <c r="K1256" t="s">
        <v>40286</v>
      </c>
      <c r="M1256" t="s">
        <v>41153</v>
      </c>
      <c r="N1256" t="s">
        <v>44759</v>
      </c>
      <c r="O1256" t="s">
        <v>44760</v>
      </c>
      <c r="P1256">
        <v>0</v>
      </c>
      <c r="Q1256">
        <v>0</v>
      </c>
      <c r="R1256" t="s">
        <v>44761</v>
      </c>
      <c r="S1256" t="s">
        <v>44862</v>
      </c>
      <c r="T1256" t="s">
        <v>46366</v>
      </c>
      <c r="U1256" t="s">
        <v>47975</v>
      </c>
      <c r="V1256" t="s">
        <v>59259</v>
      </c>
      <c r="W1256" t="s">
        <v>41153</v>
      </c>
      <c r="X1256" t="s">
        <v>44762</v>
      </c>
    </row>
    <row r="1257" spans="1:24">
      <c r="A1257">
        <f>HYPERLINK("https://www.philgeps.gov.ph/GEPSNONPILOT/Tender/SplashBidNoticeAbstractUI.aspx?menuIndex=3&amp;refID=7153477&amp;Result=3","7153477")</f>
        <v>0</v>
      </c>
      <c r="B1257" t="s">
        <v>605</v>
      </c>
      <c r="C1257" t="s">
        <v>4972</v>
      </c>
      <c r="D1257" t="s">
        <v>18020</v>
      </c>
      <c r="E1257" t="s">
        <v>19221</v>
      </c>
      <c r="F1257" t="s">
        <v>30900</v>
      </c>
      <c r="G1257" t="s">
        <v>30908</v>
      </c>
      <c r="H1257" t="s">
        <v>30916</v>
      </c>
      <c r="I1257" t="s">
        <v>8123</v>
      </c>
      <c r="J1257" t="s">
        <v>32012</v>
      </c>
      <c r="K1257" t="s">
        <v>40287</v>
      </c>
      <c r="M1257" t="s">
        <v>41166</v>
      </c>
      <c r="N1257" t="s">
        <v>44759</v>
      </c>
      <c r="O1257" t="s">
        <v>44760</v>
      </c>
      <c r="P1257">
        <v>0</v>
      </c>
      <c r="Q1257">
        <v>0</v>
      </c>
      <c r="R1257" t="s">
        <v>44761</v>
      </c>
      <c r="S1257" t="s">
        <v>44862</v>
      </c>
      <c r="T1257" t="s">
        <v>46357</v>
      </c>
      <c r="U1257" t="s">
        <v>48003</v>
      </c>
      <c r="W1257" t="s">
        <v>41166</v>
      </c>
      <c r="X1257" t="s">
        <v>44762</v>
      </c>
    </row>
    <row r="1258" spans="1:24">
      <c r="A1258">
        <f>HYPERLINK("https://www.philgeps.gov.ph/GEPSNONPILOT/Tender/SplashBidNoticeAbstractUI.aspx?menuIndex=3&amp;refID=7153507&amp;Result=3","7153507")</f>
        <v>0</v>
      </c>
      <c r="B1258" t="s">
        <v>591</v>
      </c>
      <c r="C1258" t="s">
        <v>4973</v>
      </c>
      <c r="D1258" t="s">
        <v>17998</v>
      </c>
      <c r="E1258" t="s">
        <v>19222</v>
      </c>
      <c r="F1258" t="s">
        <v>30900</v>
      </c>
      <c r="G1258" t="s">
        <v>30907</v>
      </c>
      <c r="H1258" t="s">
        <v>30916</v>
      </c>
      <c r="I1258" t="s">
        <v>30936</v>
      </c>
      <c r="J1258" t="s">
        <v>32013</v>
      </c>
      <c r="K1258" t="s">
        <v>40286</v>
      </c>
      <c r="M1258" t="s">
        <v>41153</v>
      </c>
      <c r="N1258" t="s">
        <v>44759</v>
      </c>
      <c r="O1258" t="s">
        <v>44760</v>
      </c>
      <c r="P1258">
        <v>0</v>
      </c>
      <c r="Q1258">
        <v>0</v>
      </c>
      <c r="R1258" t="s">
        <v>44761</v>
      </c>
      <c r="S1258" t="s">
        <v>44862</v>
      </c>
      <c r="T1258" t="s">
        <v>46366</v>
      </c>
      <c r="U1258" t="s">
        <v>47975</v>
      </c>
      <c r="V1258" t="s">
        <v>59259</v>
      </c>
      <c r="W1258" t="s">
        <v>41153</v>
      </c>
      <c r="X1258" t="s">
        <v>44762</v>
      </c>
    </row>
    <row r="1259" spans="1:24">
      <c r="A1259">
        <f>HYPERLINK("https://www.philgeps.gov.ph/GEPSNONPILOT/Tender/SplashBidNoticeAbstractUI.aspx?menuIndex=3&amp;refID=7153536&amp;Result=3","7153536")</f>
        <v>0</v>
      </c>
      <c r="B1259" t="s">
        <v>307</v>
      </c>
      <c r="C1259" t="s">
        <v>4974</v>
      </c>
      <c r="D1259" t="s">
        <v>17990</v>
      </c>
      <c r="E1259" t="s">
        <v>19223</v>
      </c>
      <c r="F1259" t="s">
        <v>30900</v>
      </c>
      <c r="G1259" t="s">
        <v>30908</v>
      </c>
      <c r="H1259" t="s">
        <v>30916</v>
      </c>
      <c r="I1259" t="s">
        <v>6746</v>
      </c>
      <c r="J1259" t="s">
        <v>32014</v>
      </c>
      <c r="K1259" t="s">
        <v>40331</v>
      </c>
      <c r="M1259" t="s">
        <v>40857</v>
      </c>
      <c r="N1259" t="s">
        <v>44759</v>
      </c>
      <c r="O1259" t="s">
        <v>44760</v>
      </c>
      <c r="P1259">
        <v>0</v>
      </c>
      <c r="Q1259">
        <v>0</v>
      </c>
      <c r="R1259" t="s">
        <v>44761</v>
      </c>
      <c r="S1259" t="s">
        <v>44862</v>
      </c>
      <c r="T1259" t="s">
        <v>46362</v>
      </c>
      <c r="U1259" t="s">
        <v>48059</v>
      </c>
      <c r="W1259" t="s">
        <v>40857</v>
      </c>
      <c r="X1259" t="s">
        <v>44762</v>
      </c>
    </row>
    <row r="1260" spans="1:24">
      <c r="A1260">
        <f>HYPERLINK("https://www.philgeps.gov.ph/GEPSNONPILOT/Tender/SplashBidNoticeAbstractUI.aspx?menuIndex=3&amp;refID=7153534&amp;Result=3","7153534")</f>
        <v>0</v>
      </c>
      <c r="B1260" t="s">
        <v>219</v>
      </c>
      <c r="C1260" t="s">
        <v>4108</v>
      </c>
      <c r="D1260" t="s">
        <v>17955</v>
      </c>
      <c r="E1260" t="s">
        <v>19224</v>
      </c>
      <c r="F1260" t="s">
        <v>30900</v>
      </c>
      <c r="G1260" t="s">
        <v>30908</v>
      </c>
      <c r="H1260" t="s">
        <v>30916</v>
      </c>
      <c r="I1260" t="s">
        <v>4108</v>
      </c>
      <c r="J1260" t="s">
        <v>32015</v>
      </c>
      <c r="K1260" t="s">
        <v>40286</v>
      </c>
      <c r="M1260" t="s">
        <v>40766</v>
      </c>
      <c r="N1260" t="s">
        <v>44759</v>
      </c>
      <c r="O1260" t="s">
        <v>44760</v>
      </c>
      <c r="P1260">
        <v>0</v>
      </c>
      <c r="Q1260">
        <v>0</v>
      </c>
      <c r="R1260" t="s">
        <v>44761</v>
      </c>
      <c r="S1260" t="s">
        <v>44862</v>
      </c>
      <c r="T1260" t="s">
        <v>46412</v>
      </c>
      <c r="U1260" t="s">
        <v>48060</v>
      </c>
      <c r="W1260" t="s">
        <v>40766</v>
      </c>
      <c r="X1260" t="s">
        <v>44762</v>
      </c>
    </row>
    <row r="1261" spans="1:24">
      <c r="A1261">
        <f>HYPERLINK("https://www.philgeps.gov.ph/GEPSNONPILOT/Tender/SplashBidNoticeAbstractUI.aspx?menuIndex=3&amp;refID=7153533&amp;Result=3","7153533")</f>
        <v>0</v>
      </c>
      <c r="B1261" t="s">
        <v>629</v>
      </c>
      <c r="C1261" t="s">
        <v>4975</v>
      </c>
      <c r="D1261" t="s">
        <v>17992</v>
      </c>
      <c r="E1261" t="s">
        <v>19225</v>
      </c>
      <c r="F1261" t="s">
        <v>30900</v>
      </c>
      <c r="G1261" t="s">
        <v>30907</v>
      </c>
      <c r="H1261" t="s">
        <v>30916</v>
      </c>
      <c r="I1261" t="s">
        <v>5830</v>
      </c>
      <c r="J1261" t="s">
        <v>32016</v>
      </c>
      <c r="K1261" t="s">
        <v>40283</v>
      </c>
      <c r="M1261" t="s">
        <v>41195</v>
      </c>
      <c r="N1261" t="s">
        <v>44759</v>
      </c>
      <c r="O1261" t="s">
        <v>44760</v>
      </c>
      <c r="P1261">
        <v>0</v>
      </c>
      <c r="Q1261">
        <v>0</v>
      </c>
      <c r="R1261" t="s">
        <v>44761</v>
      </c>
      <c r="S1261" t="s">
        <v>44862</v>
      </c>
      <c r="T1261" t="s">
        <v>46514</v>
      </c>
      <c r="U1261" t="s">
        <v>48061</v>
      </c>
      <c r="V1261" t="s">
        <v>59226</v>
      </c>
      <c r="W1261" t="s">
        <v>41195</v>
      </c>
      <c r="X1261" t="s">
        <v>44762</v>
      </c>
    </row>
    <row r="1262" spans="1:24">
      <c r="A1262">
        <f>HYPERLINK("https://www.philgeps.gov.ph/GEPSNONPILOT/Tender/SplashBidNoticeAbstractUI.aspx?menuIndex=3&amp;refID=7153530&amp;Result=3","7153530")</f>
        <v>0</v>
      </c>
      <c r="B1262" t="s">
        <v>130</v>
      </c>
      <c r="C1262" t="s">
        <v>4976</v>
      </c>
      <c r="D1262" t="s">
        <v>17979</v>
      </c>
      <c r="E1262" t="s">
        <v>19226</v>
      </c>
      <c r="F1262" t="s">
        <v>30900</v>
      </c>
      <c r="G1262" t="s">
        <v>30908</v>
      </c>
      <c r="H1262" t="s">
        <v>30916</v>
      </c>
      <c r="I1262" t="s">
        <v>10602</v>
      </c>
      <c r="J1262" t="s">
        <v>32017</v>
      </c>
      <c r="K1262" t="s">
        <v>40315</v>
      </c>
      <c r="M1262" t="s">
        <v>40677</v>
      </c>
      <c r="N1262" t="s">
        <v>44759</v>
      </c>
      <c r="O1262" t="s">
        <v>44760</v>
      </c>
      <c r="P1262">
        <v>0</v>
      </c>
      <c r="Q1262">
        <v>0</v>
      </c>
      <c r="R1262" t="s">
        <v>44761</v>
      </c>
      <c r="S1262" t="s">
        <v>44862</v>
      </c>
      <c r="T1262" t="s">
        <v>46376</v>
      </c>
      <c r="U1262" t="s">
        <v>48062</v>
      </c>
      <c r="W1262" t="s">
        <v>40677</v>
      </c>
      <c r="X1262" t="s">
        <v>44762</v>
      </c>
    </row>
    <row r="1263" spans="1:24">
      <c r="A1263">
        <f>HYPERLINK("https://www.philgeps.gov.ph/GEPSNONPILOT/Tender/SplashBidNoticeAbstractUI.aspx?menuIndex=3&amp;refID=7153529&amp;Result=3","7153529")</f>
        <v>0</v>
      </c>
      <c r="B1263" t="s">
        <v>209</v>
      </c>
      <c r="C1263" t="s">
        <v>4977</v>
      </c>
      <c r="D1263" t="s">
        <v>17985</v>
      </c>
      <c r="E1263" t="s">
        <v>19227</v>
      </c>
      <c r="F1263" t="s">
        <v>30900</v>
      </c>
      <c r="G1263" t="s">
        <v>30909</v>
      </c>
      <c r="H1263" t="s">
        <v>30916</v>
      </c>
      <c r="I1263" t="s">
        <v>8123</v>
      </c>
      <c r="J1263" t="s">
        <v>32018</v>
      </c>
      <c r="K1263" t="s">
        <v>40286</v>
      </c>
      <c r="M1263" t="s">
        <v>40756</v>
      </c>
      <c r="N1263" t="s">
        <v>44759</v>
      </c>
      <c r="O1263" t="s">
        <v>44760</v>
      </c>
      <c r="P1263">
        <v>0</v>
      </c>
      <c r="Q1263">
        <v>0</v>
      </c>
      <c r="R1263" t="s">
        <v>44761</v>
      </c>
      <c r="S1263" t="s">
        <v>44862</v>
      </c>
      <c r="T1263" t="s">
        <v>46409</v>
      </c>
      <c r="U1263" t="s">
        <v>48063</v>
      </c>
      <c r="W1263" t="s">
        <v>40756</v>
      </c>
      <c r="X1263" t="s">
        <v>44762</v>
      </c>
    </row>
    <row r="1264" spans="1:24">
      <c r="A1264">
        <f>HYPERLINK("https://www.philgeps.gov.ph/GEPSNONPILOT/Tender/SplashBidNoticeAbstractUI.aspx?menuIndex=3&amp;refID=7153510&amp;Result=3","7153510")</f>
        <v>0</v>
      </c>
      <c r="B1264" t="s">
        <v>636</v>
      </c>
      <c r="C1264" t="s">
        <v>4978</v>
      </c>
      <c r="D1264" t="s">
        <v>17975</v>
      </c>
      <c r="E1264" t="s">
        <v>19228</v>
      </c>
      <c r="F1264" t="s">
        <v>30900</v>
      </c>
      <c r="G1264" t="s">
        <v>30908</v>
      </c>
      <c r="H1264" t="s">
        <v>30916</v>
      </c>
      <c r="I1264" t="s">
        <v>30942</v>
      </c>
      <c r="J1264" t="s">
        <v>32019</v>
      </c>
      <c r="K1264" t="s">
        <v>40289</v>
      </c>
      <c r="M1264" t="s">
        <v>41199</v>
      </c>
      <c r="N1264" t="s">
        <v>44759</v>
      </c>
      <c r="O1264" t="s">
        <v>44760</v>
      </c>
      <c r="P1264">
        <v>0</v>
      </c>
      <c r="Q1264">
        <v>0</v>
      </c>
      <c r="R1264" t="s">
        <v>44761</v>
      </c>
      <c r="S1264" t="s">
        <v>44862</v>
      </c>
      <c r="T1264" t="s">
        <v>46516</v>
      </c>
      <c r="U1264" t="s">
        <v>48064</v>
      </c>
      <c r="W1264" t="s">
        <v>41199</v>
      </c>
      <c r="X1264" t="s">
        <v>44762</v>
      </c>
    </row>
    <row r="1265" spans="1:24">
      <c r="A1265">
        <f>HYPERLINK("https://www.philgeps.gov.ph/GEPSNONPILOT/Tender/SplashBidNoticeAbstractUI.aspx?menuIndex=3&amp;refID=7153527&amp;Result=3","7153527")</f>
        <v>0</v>
      </c>
      <c r="B1265" t="s">
        <v>637</v>
      </c>
      <c r="C1265" t="s">
        <v>3769</v>
      </c>
      <c r="D1265" t="s">
        <v>17954</v>
      </c>
      <c r="E1265" t="s">
        <v>19229</v>
      </c>
      <c r="F1265" t="s">
        <v>30900</v>
      </c>
      <c r="G1265" t="s">
        <v>30907</v>
      </c>
      <c r="H1265" t="s">
        <v>30915</v>
      </c>
      <c r="I1265" t="s">
        <v>30919</v>
      </c>
      <c r="J1265" t="s">
        <v>31341</v>
      </c>
      <c r="K1265" t="s">
        <v>40343</v>
      </c>
      <c r="M1265" t="s">
        <v>41200</v>
      </c>
      <c r="N1265" t="s">
        <v>44759</v>
      </c>
      <c r="O1265" t="s">
        <v>44760</v>
      </c>
      <c r="P1265">
        <v>0</v>
      </c>
      <c r="Q1265">
        <v>0</v>
      </c>
      <c r="R1265" t="s">
        <v>44761</v>
      </c>
      <c r="S1265" t="s">
        <v>44862</v>
      </c>
      <c r="T1265" t="s">
        <v>46352</v>
      </c>
      <c r="U1265" t="s">
        <v>48065</v>
      </c>
      <c r="W1265" t="s">
        <v>41200</v>
      </c>
      <c r="X1265" t="s">
        <v>44762</v>
      </c>
    </row>
    <row r="1266" spans="1:24">
      <c r="A1266">
        <f>HYPERLINK("https://www.philgeps.gov.ph/GEPSNONPILOT/Tender/SplashBidNoticeAbstractUI.aspx?menuIndex=3&amp;refID=7153524&amp;Result=3","7153524")</f>
        <v>0</v>
      </c>
      <c r="B1266" t="s">
        <v>638</v>
      </c>
      <c r="C1266" t="s">
        <v>4979</v>
      </c>
      <c r="D1266" t="s">
        <v>17951</v>
      </c>
      <c r="E1266" t="s">
        <v>19230</v>
      </c>
      <c r="F1266" t="s">
        <v>30900</v>
      </c>
      <c r="G1266" t="s">
        <v>30908</v>
      </c>
      <c r="H1266" t="s">
        <v>30916</v>
      </c>
      <c r="I1266" t="s">
        <v>30922</v>
      </c>
      <c r="J1266" t="s">
        <v>32020</v>
      </c>
      <c r="K1266" t="s">
        <v>40285</v>
      </c>
      <c r="M1266" t="s">
        <v>41201</v>
      </c>
      <c r="N1266" t="s">
        <v>44759</v>
      </c>
      <c r="O1266" t="s">
        <v>44760</v>
      </c>
      <c r="P1266">
        <v>0</v>
      </c>
      <c r="Q1266">
        <v>0</v>
      </c>
      <c r="R1266" t="s">
        <v>44761</v>
      </c>
      <c r="S1266" t="s">
        <v>44862</v>
      </c>
      <c r="T1266" t="s">
        <v>46399</v>
      </c>
      <c r="U1266" t="s">
        <v>48066</v>
      </c>
      <c r="W1266" t="s">
        <v>41201</v>
      </c>
      <c r="X1266" t="s">
        <v>44762</v>
      </c>
    </row>
    <row r="1267" spans="1:24">
      <c r="A1267">
        <f>HYPERLINK("https://www.philgeps.gov.ph/GEPSNONPILOT/Tender/SplashBidNoticeAbstractUI.aspx?menuIndex=3&amp;refID=7153531&amp;Result=3","7153531")</f>
        <v>0</v>
      </c>
      <c r="B1267" t="s">
        <v>625</v>
      </c>
      <c r="C1267" t="s">
        <v>4980</v>
      </c>
      <c r="D1267" t="s">
        <v>17984</v>
      </c>
      <c r="E1267" t="s">
        <v>19231</v>
      </c>
      <c r="F1267" t="s">
        <v>30900</v>
      </c>
      <c r="G1267" t="s">
        <v>30907</v>
      </c>
      <c r="H1267" t="s">
        <v>30916</v>
      </c>
      <c r="I1267" t="s">
        <v>30938</v>
      </c>
      <c r="J1267" t="s">
        <v>31589</v>
      </c>
      <c r="K1267" t="s">
        <v>40294</v>
      </c>
      <c r="M1267" t="s">
        <v>41187</v>
      </c>
      <c r="N1267" t="s">
        <v>44759</v>
      </c>
      <c r="O1267" t="s">
        <v>44760</v>
      </c>
      <c r="P1267">
        <v>0</v>
      </c>
      <c r="Q1267">
        <v>0</v>
      </c>
      <c r="R1267" t="s">
        <v>44761</v>
      </c>
      <c r="S1267" t="s">
        <v>44862</v>
      </c>
      <c r="T1267" t="s">
        <v>46441</v>
      </c>
      <c r="U1267" t="s">
        <v>48067</v>
      </c>
      <c r="W1267" t="s">
        <v>41187</v>
      </c>
      <c r="X1267" t="s">
        <v>44762</v>
      </c>
    </row>
    <row r="1268" spans="1:24">
      <c r="A1268">
        <f>HYPERLINK("https://www.philgeps.gov.ph/GEPSNONPILOT/Tender/SplashBidNoticeAbstractUI.aspx?menuIndex=3&amp;refID=7153523&amp;Result=3","7153523")</f>
        <v>0</v>
      </c>
      <c r="B1268" t="s">
        <v>639</v>
      </c>
      <c r="C1268" t="s">
        <v>4981</v>
      </c>
      <c r="D1268" t="s">
        <v>18017</v>
      </c>
      <c r="E1268" t="s">
        <v>19232</v>
      </c>
      <c r="F1268" t="s">
        <v>30900</v>
      </c>
      <c r="G1268" t="s">
        <v>30908</v>
      </c>
      <c r="H1268" t="s">
        <v>30916</v>
      </c>
      <c r="I1268" t="s">
        <v>30927</v>
      </c>
      <c r="J1268" t="s">
        <v>31183</v>
      </c>
      <c r="K1268" t="s">
        <v>40283</v>
      </c>
      <c r="M1268" t="s">
        <v>41202</v>
      </c>
      <c r="N1268" t="s">
        <v>44759</v>
      </c>
      <c r="O1268" t="s">
        <v>44760</v>
      </c>
      <c r="P1268">
        <v>0</v>
      </c>
      <c r="Q1268">
        <v>0</v>
      </c>
      <c r="R1268" t="s">
        <v>44761</v>
      </c>
      <c r="S1268" t="s">
        <v>44862</v>
      </c>
      <c r="T1268" t="s">
        <v>46425</v>
      </c>
      <c r="U1268" t="s">
        <v>48068</v>
      </c>
      <c r="W1268" t="s">
        <v>41202</v>
      </c>
      <c r="X1268" t="s">
        <v>44762</v>
      </c>
    </row>
    <row r="1269" spans="1:24">
      <c r="A1269">
        <f>HYPERLINK("https://www.philgeps.gov.ph/GEPSNONPILOT/Tender/SplashBidNoticeAbstractUI.aspx?menuIndex=3&amp;refID=7153521&amp;Result=3","7153521")</f>
        <v>0</v>
      </c>
      <c r="B1269" t="s">
        <v>384</v>
      </c>
      <c r="C1269" t="s">
        <v>4982</v>
      </c>
      <c r="D1269" t="s">
        <v>17987</v>
      </c>
      <c r="E1269" t="s">
        <v>19233</v>
      </c>
      <c r="F1269" t="s">
        <v>30900</v>
      </c>
      <c r="G1269" t="s">
        <v>30909</v>
      </c>
      <c r="H1269" t="s">
        <v>30916</v>
      </c>
      <c r="I1269" t="s">
        <v>6396</v>
      </c>
      <c r="J1269" t="s">
        <v>32021</v>
      </c>
      <c r="K1269" t="s">
        <v>40287</v>
      </c>
      <c r="M1269" t="s">
        <v>40939</v>
      </c>
      <c r="N1269" t="s">
        <v>44759</v>
      </c>
      <c r="O1269" t="s">
        <v>44760</v>
      </c>
      <c r="P1269">
        <v>0</v>
      </c>
      <c r="Q1269">
        <v>0</v>
      </c>
      <c r="R1269" t="s">
        <v>44761</v>
      </c>
      <c r="S1269" t="s">
        <v>44862</v>
      </c>
      <c r="T1269" t="s">
        <v>46409</v>
      </c>
      <c r="U1269" t="s">
        <v>48069</v>
      </c>
      <c r="W1269" t="s">
        <v>40939</v>
      </c>
      <c r="X1269" t="s">
        <v>44762</v>
      </c>
    </row>
    <row r="1270" spans="1:24">
      <c r="A1270">
        <f>HYPERLINK("https://www.philgeps.gov.ph/GEPSNONPILOT/Tender/SplashBidNoticeAbstractUI.aspx?menuIndex=3&amp;refID=7153518&amp;Result=3","7153518")</f>
        <v>0</v>
      </c>
      <c r="B1270" t="s">
        <v>577</v>
      </c>
      <c r="C1270" t="s">
        <v>4918</v>
      </c>
      <c r="D1270" t="s">
        <v>18029</v>
      </c>
      <c r="E1270" t="s">
        <v>19234</v>
      </c>
      <c r="F1270" t="s">
        <v>30900</v>
      </c>
      <c r="G1270" t="s">
        <v>30908</v>
      </c>
      <c r="H1270" t="s">
        <v>30916</v>
      </c>
      <c r="I1270" t="s">
        <v>30924</v>
      </c>
      <c r="J1270" t="s">
        <v>32022</v>
      </c>
      <c r="K1270" t="s">
        <v>40286</v>
      </c>
      <c r="M1270" t="s">
        <v>41138</v>
      </c>
      <c r="N1270" t="s">
        <v>44759</v>
      </c>
      <c r="O1270" t="s">
        <v>44760</v>
      </c>
      <c r="P1270">
        <v>0</v>
      </c>
      <c r="Q1270">
        <v>0</v>
      </c>
      <c r="R1270" t="s">
        <v>44761</v>
      </c>
      <c r="S1270" t="s">
        <v>44862</v>
      </c>
      <c r="T1270" t="s">
        <v>46421</v>
      </c>
      <c r="U1270" t="s">
        <v>48010</v>
      </c>
      <c r="V1270" t="s">
        <v>59253</v>
      </c>
      <c r="W1270" t="s">
        <v>41138</v>
      </c>
      <c r="X1270" t="s">
        <v>44762</v>
      </c>
    </row>
    <row r="1271" spans="1:24">
      <c r="A1271">
        <f>HYPERLINK("https://www.philgeps.gov.ph/GEPSNONPILOT/Tender/SplashBidNoticeAbstractUI.aspx?menuIndex=3&amp;refID=7153539&amp;Result=3","7153539")</f>
        <v>0</v>
      </c>
      <c r="B1271" t="s">
        <v>640</v>
      </c>
      <c r="C1271" t="s">
        <v>4983</v>
      </c>
      <c r="D1271" t="s">
        <v>17982</v>
      </c>
      <c r="E1271" t="s">
        <v>19235</v>
      </c>
      <c r="F1271" t="s">
        <v>30900</v>
      </c>
      <c r="G1271" t="s">
        <v>30907</v>
      </c>
      <c r="H1271" t="s">
        <v>30915</v>
      </c>
      <c r="I1271" t="s">
        <v>30948</v>
      </c>
      <c r="J1271" t="s">
        <v>32023</v>
      </c>
      <c r="K1271" t="s">
        <v>40342</v>
      </c>
      <c r="M1271" t="s">
        <v>41203</v>
      </c>
      <c r="N1271" t="s">
        <v>44759</v>
      </c>
      <c r="O1271" t="s">
        <v>44760</v>
      </c>
      <c r="P1271">
        <v>0</v>
      </c>
      <c r="Q1271">
        <v>0</v>
      </c>
      <c r="R1271" t="s">
        <v>44761</v>
      </c>
      <c r="S1271" t="s">
        <v>44862</v>
      </c>
      <c r="T1271" t="s">
        <v>46367</v>
      </c>
      <c r="U1271" t="s">
        <v>48070</v>
      </c>
      <c r="W1271" t="s">
        <v>41203</v>
      </c>
      <c r="X1271" t="s">
        <v>44762</v>
      </c>
    </row>
    <row r="1272" spans="1:24">
      <c r="A1272">
        <f>HYPERLINK("https://www.philgeps.gov.ph/GEPSNONPILOT/Tender/SplashBidNoticeAbstractUI.aspx?menuIndex=3&amp;refID=7153551&amp;Result=3","7153551")</f>
        <v>0</v>
      </c>
      <c r="B1272" t="s">
        <v>182</v>
      </c>
      <c r="C1272" t="s">
        <v>4984</v>
      </c>
      <c r="D1272" t="s">
        <v>17980</v>
      </c>
      <c r="E1272" t="s">
        <v>19236</v>
      </c>
      <c r="F1272" t="s">
        <v>30900</v>
      </c>
      <c r="G1272" t="s">
        <v>30907</v>
      </c>
      <c r="H1272" t="s">
        <v>30916</v>
      </c>
      <c r="I1272" t="s">
        <v>30983</v>
      </c>
      <c r="J1272" t="s">
        <v>31049</v>
      </c>
      <c r="K1272" t="s">
        <v>40287</v>
      </c>
      <c r="M1272" t="s">
        <v>40729</v>
      </c>
      <c r="N1272" t="s">
        <v>44759</v>
      </c>
      <c r="O1272" t="s">
        <v>44760</v>
      </c>
      <c r="P1272">
        <v>0</v>
      </c>
      <c r="Q1272">
        <v>0</v>
      </c>
      <c r="R1272" t="s">
        <v>44761</v>
      </c>
      <c r="S1272" t="s">
        <v>44862</v>
      </c>
      <c r="T1272" t="s">
        <v>46432</v>
      </c>
      <c r="U1272" t="s">
        <v>48071</v>
      </c>
      <c r="W1272" t="s">
        <v>40729</v>
      </c>
      <c r="X1272" t="s">
        <v>44762</v>
      </c>
    </row>
    <row r="1273" spans="1:24">
      <c r="A1273">
        <f>HYPERLINK("https://www.philgeps.gov.ph/GEPSNONPILOT/Tender/SplashBidNoticeAbstractUI.aspx?menuIndex=3&amp;refID=7153565&amp;Result=3","7153565")</f>
        <v>0</v>
      </c>
      <c r="B1273" t="s">
        <v>591</v>
      </c>
      <c r="C1273" t="s">
        <v>4985</v>
      </c>
      <c r="D1273" t="s">
        <v>17998</v>
      </c>
      <c r="E1273" t="s">
        <v>19237</v>
      </c>
      <c r="F1273" t="s">
        <v>30900</v>
      </c>
      <c r="G1273" t="s">
        <v>30907</v>
      </c>
      <c r="H1273" t="s">
        <v>30916</v>
      </c>
      <c r="I1273" t="s">
        <v>30923</v>
      </c>
      <c r="J1273" t="s">
        <v>32024</v>
      </c>
      <c r="K1273" t="s">
        <v>40286</v>
      </c>
      <c r="M1273" t="s">
        <v>41153</v>
      </c>
      <c r="N1273" t="s">
        <v>44759</v>
      </c>
      <c r="O1273" t="s">
        <v>44760</v>
      </c>
      <c r="P1273">
        <v>0</v>
      </c>
      <c r="Q1273">
        <v>0</v>
      </c>
      <c r="R1273" t="s">
        <v>44761</v>
      </c>
      <c r="S1273" t="s">
        <v>44862</v>
      </c>
      <c r="T1273" t="s">
        <v>46366</v>
      </c>
      <c r="U1273" t="s">
        <v>47975</v>
      </c>
      <c r="V1273" t="s">
        <v>59259</v>
      </c>
      <c r="W1273" t="s">
        <v>41153</v>
      </c>
      <c r="X1273" t="s">
        <v>44762</v>
      </c>
    </row>
    <row r="1274" spans="1:24">
      <c r="A1274">
        <f>HYPERLINK("https://www.philgeps.gov.ph/GEPSNONPILOT/Tender/SplashBidNoticeAbstractUI.aspx?menuIndex=3&amp;refID=7153522&amp;Result=3","7153522")</f>
        <v>0</v>
      </c>
      <c r="B1274" t="s">
        <v>522</v>
      </c>
      <c r="C1274" t="s">
        <v>4843</v>
      </c>
      <c r="D1274" t="s">
        <v>18017</v>
      </c>
      <c r="E1274" t="s">
        <v>19238</v>
      </c>
      <c r="F1274" t="s">
        <v>30900</v>
      </c>
      <c r="G1274" t="s">
        <v>30909</v>
      </c>
      <c r="H1274" t="s">
        <v>30916</v>
      </c>
      <c r="I1274" t="s">
        <v>10879</v>
      </c>
      <c r="J1274" t="s">
        <v>32025</v>
      </c>
      <c r="K1274" t="s">
        <v>40287</v>
      </c>
      <c r="M1274" t="s">
        <v>41082</v>
      </c>
      <c r="N1274" t="s">
        <v>44759</v>
      </c>
      <c r="O1274" t="s">
        <v>44760</v>
      </c>
      <c r="P1274">
        <v>0</v>
      </c>
      <c r="Q1274">
        <v>0</v>
      </c>
      <c r="R1274" t="s">
        <v>44761</v>
      </c>
      <c r="S1274" t="s">
        <v>44862</v>
      </c>
      <c r="T1274" t="s">
        <v>46421</v>
      </c>
      <c r="U1274" t="s">
        <v>48072</v>
      </c>
      <c r="W1274" t="s">
        <v>41082</v>
      </c>
      <c r="X1274" t="s">
        <v>44762</v>
      </c>
    </row>
    <row r="1275" spans="1:24">
      <c r="A1275">
        <f>HYPERLINK("https://www.philgeps.gov.ph/GEPSNONPILOT/Tender/SplashBidNoticeAbstractUI.aspx?menuIndex=3&amp;refID=7153519&amp;Result=3","7153519")</f>
        <v>0</v>
      </c>
      <c r="B1275" t="s">
        <v>641</v>
      </c>
      <c r="C1275" t="s">
        <v>4986</v>
      </c>
      <c r="D1275" t="s">
        <v>18015</v>
      </c>
      <c r="E1275" t="s">
        <v>19239</v>
      </c>
      <c r="F1275" t="s">
        <v>30900</v>
      </c>
      <c r="G1275" t="s">
        <v>30908</v>
      </c>
      <c r="H1275" t="s">
        <v>30916</v>
      </c>
      <c r="I1275" t="s">
        <v>8123</v>
      </c>
      <c r="J1275" t="s">
        <v>32026</v>
      </c>
      <c r="K1275" t="s">
        <v>40285</v>
      </c>
      <c r="M1275" t="s">
        <v>41204</v>
      </c>
      <c r="N1275" t="s">
        <v>44759</v>
      </c>
      <c r="O1275" t="s">
        <v>44760</v>
      </c>
      <c r="P1275">
        <v>0</v>
      </c>
      <c r="Q1275">
        <v>0</v>
      </c>
      <c r="R1275" t="s">
        <v>44761</v>
      </c>
      <c r="S1275" t="s">
        <v>44862</v>
      </c>
      <c r="T1275" t="s">
        <v>46421</v>
      </c>
      <c r="U1275" t="s">
        <v>48073</v>
      </c>
      <c r="W1275" t="s">
        <v>41204</v>
      </c>
      <c r="X1275" t="s">
        <v>44762</v>
      </c>
    </row>
    <row r="1276" spans="1:24">
      <c r="A1276">
        <f>HYPERLINK("https://www.philgeps.gov.ph/GEPSNONPILOT/Tender/SplashBidNoticeAbstractUI.aspx?menuIndex=3&amp;refID=7153560&amp;Result=3","7153560")</f>
        <v>0</v>
      </c>
      <c r="B1276" t="s">
        <v>642</v>
      </c>
      <c r="C1276" t="s">
        <v>4987</v>
      </c>
      <c r="E1276" t="s">
        <v>19240</v>
      </c>
      <c r="F1276" t="s">
        <v>30900</v>
      </c>
      <c r="G1276" t="s">
        <v>30908</v>
      </c>
      <c r="H1276" t="s">
        <v>30916</v>
      </c>
      <c r="I1276" t="s">
        <v>30952</v>
      </c>
      <c r="J1276" t="s">
        <v>31092</v>
      </c>
      <c r="K1276" t="s">
        <v>40289</v>
      </c>
      <c r="M1276" t="s">
        <v>41205</v>
      </c>
      <c r="N1276" t="s">
        <v>44759</v>
      </c>
      <c r="O1276" t="s">
        <v>44760</v>
      </c>
      <c r="P1276">
        <v>0</v>
      </c>
      <c r="Q1276">
        <v>0</v>
      </c>
      <c r="R1276" t="s">
        <v>44761</v>
      </c>
      <c r="S1276" t="s">
        <v>44862</v>
      </c>
      <c r="T1276" t="s">
        <v>46517</v>
      </c>
      <c r="U1276" t="s">
        <v>48074</v>
      </c>
      <c r="W1276" t="s">
        <v>41205</v>
      </c>
      <c r="X1276" t="s">
        <v>44762</v>
      </c>
    </row>
    <row r="1277" spans="1:24">
      <c r="A1277">
        <f>HYPERLINK("https://www.philgeps.gov.ph/GEPSNONPILOT/Tender/SplashBidNoticeAbstractUI.aspx?menuIndex=3&amp;refID=7153559&amp;Result=3","7153559")</f>
        <v>0</v>
      </c>
      <c r="B1277" t="s">
        <v>130</v>
      </c>
      <c r="C1277" t="s">
        <v>4988</v>
      </c>
      <c r="D1277" t="s">
        <v>17979</v>
      </c>
      <c r="E1277" t="s">
        <v>19241</v>
      </c>
      <c r="F1277" t="s">
        <v>30900</v>
      </c>
      <c r="G1277" t="s">
        <v>30908</v>
      </c>
      <c r="H1277" t="s">
        <v>30916</v>
      </c>
      <c r="I1277" t="s">
        <v>10602</v>
      </c>
      <c r="J1277" t="s">
        <v>32027</v>
      </c>
      <c r="K1277" t="s">
        <v>40315</v>
      </c>
      <c r="M1277" t="s">
        <v>40677</v>
      </c>
      <c r="N1277" t="s">
        <v>44759</v>
      </c>
      <c r="O1277" t="s">
        <v>44760</v>
      </c>
      <c r="P1277">
        <v>0</v>
      </c>
      <c r="Q1277">
        <v>0</v>
      </c>
      <c r="R1277" t="s">
        <v>44761</v>
      </c>
      <c r="S1277" t="s">
        <v>44862</v>
      </c>
      <c r="T1277" t="s">
        <v>46376</v>
      </c>
      <c r="U1277" t="s">
        <v>48075</v>
      </c>
      <c r="W1277" t="s">
        <v>40677</v>
      </c>
      <c r="X1277" t="s">
        <v>44762</v>
      </c>
    </row>
    <row r="1278" spans="1:24">
      <c r="A1278">
        <f>HYPERLINK("https://www.philgeps.gov.ph/GEPSNONPILOT/Tender/SplashBidNoticeAbstractUI.aspx?menuIndex=3&amp;refID=7153511&amp;Result=3","7153511")</f>
        <v>0</v>
      </c>
      <c r="B1278" t="s">
        <v>622</v>
      </c>
      <c r="C1278" t="s">
        <v>4989</v>
      </c>
      <c r="D1278" t="s">
        <v>17969</v>
      </c>
      <c r="E1278" t="s">
        <v>19199</v>
      </c>
      <c r="F1278" t="s">
        <v>30900</v>
      </c>
      <c r="G1278" t="s">
        <v>30910</v>
      </c>
      <c r="H1278" t="s">
        <v>30916</v>
      </c>
      <c r="I1278" t="s">
        <v>30967</v>
      </c>
      <c r="J1278" t="s">
        <v>32028</v>
      </c>
      <c r="K1278" t="s">
        <v>40311</v>
      </c>
      <c r="M1278" t="s">
        <v>41184</v>
      </c>
      <c r="N1278" t="s">
        <v>44759</v>
      </c>
      <c r="O1278" t="s">
        <v>44760</v>
      </c>
      <c r="P1278">
        <v>0</v>
      </c>
      <c r="Q1278">
        <v>0</v>
      </c>
      <c r="R1278" t="s">
        <v>44761</v>
      </c>
      <c r="S1278" t="s">
        <v>44862</v>
      </c>
      <c r="T1278" t="s">
        <v>46390</v>
      </c>
      <c r="U1278" t="s">
        <v>48076</v>
      </c>
      <c r="W1278" t="s">
        <v>41184</v>
      </c>
      <c r="X1278" t="s">
        <v>44762</v>
      </c>
    </row>
    <row r="1279" spans="1:24">
      <c r="A1279">
        <f>HYPERLINK("https://www.philgeps.gov.ph/GEPSNONPILOT/Tender/SplashBidNoticeAbstractUI.aspx?menuIndex=3&amp;refID=7153554&amp;Result=3","7153554")</f>
        <v>0</v>
      </c>
      <c r="B1279" t="s">
        <v>219</v>
      </c>
      <c r="C1279" t="s">
        <v>4108</v>
      </c>
      <c r="D1279" t="s">
        <v>17955</v>
      </c>
      <c r="E1279" t="s">
        <v>19242</v>
      </c>
      <c r="F1279" t="s">
        <v>30900</v>
      </c>
      <c r="G1279" t="s">
        <v>30908</v>
      </c>
      <c r="H1279" t="s">
        <v>30916</v>
      </c>
      <c r="I1279" t="s">
        <v>4108</v>
      </c>
      <c r="J1279" t="s">
        <v>32029</v>
      </c>
      <c r="K1279" t="s">
        <v>40286</v>
      </c>
      <c r="M1279" t="s">
        <v>40766</v>
      </c>
      <c r="N1279" t="s">
        <v>44759</v>
      </c>
      <c r="O1279" t="s">
        <v>44760</v>
      </c>
      <c r="P1279">
        <v>0</v>
      </c>
      <c r="Q1279">
        <v>0</v>
      </c>
      <c r="R1279" t="s">
        <v>44761</v>
      </c>
      <c r="S1279" t="s">
        <v>44862</v>
      </c>
      <c r="T1279" t="s">
        <v>46412</v>
      </c>
      <c r="U1279" t="s">
        <v>48077</v>
      </c>
      <c r="W1279" t="s">
        <v>40766</v>
      </c>
      <c r="X1279" t="s">
        <v>44762</v>
      </c>
    </row>
    <row r="1280" spans="1:24">
      <c r="A1280">
        <f>HYPERLINK("https://www.philgeps.gov.ph/GEPSNONPILOT/Tender/SplashBidNoticeAbstractUI.aspx?menuIndex=3&amp;refID=7153525&amp;Result=3","7153525")</f>
        <v>0</v>
      </c>
      <c r="B1280" t="s">
        <v>591</v>
      </c>
      <c r="C1280" t="s">
        <v>4990</v>
      </c>
      <c r="D1280" t="s">
        <v>17998</v>
      </c>
      <c r="E1280" t="s">
        <v>19243</v>
      </c>
      <c r="F1280" t="s">
        <v>30900</v>
      </c>
      <c r="G1280" t="s">
        <v>30907</v>
      </c>
      <c r="H1280" t="s">
        <v>30916</v>
      </c>
      <c r="I1280" t="s">
        <v>30924</v>
      </c>
      <c r="J1280" t="s">
        <v>31048</v>
      </c>
      <c r="K1280" t="s">
        <v>40286</v>
      </c>
      <c r="M1280" t="s">
        <v>41153</v>
      </c>
      <c r="N1280" t="s">
        <v>44759</v>
      </c>
      <c r="O1280" t="s">
        <v>44760</v>
      </c>
      <c r="P1280">
        <v>0</v>
      </c>
      <c r="Q1280">
        <v>0</v>
      </c>
      <c r="R1280" t="s">
        <v>44761</v>
      </c>
      <c r="S1280" t="s">
        <v>44862</v>
      </c>
      <c r="T1280" t="s">
        <v>46366</v>
      </c>
      <c r="U1280" t="s">
        <v>47975</v>
      </c>
      <c r="V1280" t="s">
        <v>59259</v>
      </c>
      <c r="W1280" t="s">
        <v>41153</v>
      </c>
      <c r="X1280" t="s">
        <v>44762</v>
      </c>
    </row>
    <row r="1281" spans="1:24">
      <c r="A1281">
        <f>HYPERLINK("https://www.philgeps.gov.ph/GEPSNONPILOT/Tender/SplashBidNoticeAbstractUI.aspx?menuIndex=3&amp;refID=7153469&amp;Result=3","7153469")</f>
        <v>0</v>
      </c>
      <c r="B1281" t="s">
        <v>254</v>
      </c>
      <c r="C1281" t="s">
        <v>4991</v>
      </c>
      <c r="D1281" t="s">
        <v>17976</v>
      </c>
      <c r="E1281" t="s">
        <v>19113</v>
      </c>
      <c r="F1281" t="s">
        <v>30903</v>
      </c>
      <c r="G1281" t="s">
        <v>30909</v>
      </c>
      <c r="H1281" t="s">
        <v>30916</v>
      </c>
      <c r="I1281" t="s">
        <v>30958</v>
      </c>
      <c r="J1281" t="s">
        <v>31625</v>
      </c>
      <c r="K1281" t="s">
        <v>40285</v>
      </c>
      <c r="M1281" t="s">
        <v>40801</v>
      </c>
      <c r="N1281" t="s">
        <v>44759</v>
      </c>
      <c r="O1281" t="s">
        <v>44760</v>
      </c>
      <c r="P1281">
        <v>0</v>
      </c>
      <c r="Q1281">
        <v>0</v>
      </c>
      <c r="R1281" t="s">
        <v>44761</v>
      </c>
      <c r="S1281" t="s">
        <v>44862</v>
      </c>
      <c r="T1281" t="s">
        <v>46389</v>
      </c>
      <c r="U1281" t="s">
        <v>47958</v>
      </c>
      <c r="W1281" t="s">
        <v>40801</v>
      </c>
      <c r="X1281" t="s">
        <v>44762</v>
      </c>
    </row>
    <row r="1282" spans="1:24">
      <c r="A1282">
        <f>HYPERLINK("https://www.philgeps.gov.ph/GEPSNONPILOT/Tender/SplashBidNoticeAbstractUI.aspx?menuIndex=3&amp;refID=7153549&amp;Result=3","7153549")</f>
        <v>0</v>
      </c>
      <c r="B1282" t="s">
        <v>643</v>
      </c>
      <c r="C1282" t="s">
        <v>4992</v>
      </c>
      <c r="D1282" t="s">
        <v>18001</v>
      </c>
      <c r="E1282" t="s">
        <v>19244</v>
      </c>
      <c r="F1282" t="s">
        <v>30900</v>
      </c>
      <c r="G1282" t="s">
        <v>30908</v>
      </c>
      <c r="H1282" t="s">
        <v>30916</v>
      </c>
      <c r="I1282" t="s">
        <v>30923</v>
      </c>
      <c r="J1282" t="s">
        <v>32030</v>
      </c>
      <c r="K1282" t="s">
        <v>40289</v>
      </c>
      <c r="M1282" t="s">
        <v>41206</v>
      </c>
      <c r="N1282" t="s">
        <v>44759</v>
      </c>
      <c r="O1282" t="s">
        <v>44760</v>
      </c>
      <c r="P1282">
        <v>0</v>
      </c>
      <c r="Q1282">
        <v>1</v>
      </c>
      <c r="R1282" t="s">
        <v>44761</v>
      </c>
      <c r="S1282" t="s">
        <v>44862</v>
      </c>
      <c r="T1282" t="s">
        <v>46357</v>
      </c>
      <c r="U1282" t="s">
        <v>48078</v>
      </c>
      <c r="W1282" t="s">
        <v>41206</v>
      </c>
      <c r="X1282" t="s">
        <v>44762</v>
      </c>
    </row>
    <row r="1283" spans="1:24">
      <c r="A1283">
        <f>HYPERLINK("https://www.philgeps.gov.ph/GEPSNONPILOT/Tender/SplashBidNoticeAbstractUI.aspx?menuIndex=3&amp;refID=7153558&amp;Result=3","7153558")</f>
        <v>0</v>
      </c>
      <c r="B1283" t="s">
        <v>620</v>
      </c>
      <c r="C1283" t="s">
        <v>4993</v>
      </c>
      <c r="D1283" t="s">
        <v>17980</v>
      </c>
      <c r="E1283" t="s">
        <v>19245</v>
      </c>
      <c r="F1283" t="s">
        <v>30899</v>
      </c>
      <c r="G1283" t="s">
        <v>30908</v>
      </c>
      <c r="H1283" t="s">
        <v>30916</v>
      </c>
      <c r="I1283" t="s">
        <v>30984</v>
      </c>
      <c r="J1283" t="s">
        <v>31522</v>
      </c>
      <c r="K1283" t="s">
        <v>40286</v>
      </c>
      <c r="M1283" t="s">
        <v>41182</v>
      </c>
      <c r="N1283" t="s">
        <v>44759</v>
      </c>
      <c r="O1283" t="s">
        <v>44760</v>
      </c>
      <c r="P1283">
        <v>0</v>
      </c>
      <c r="Q1283">
        <v>0</v>
      </c>
      <c r="R1283" t="s">
        <v>44761</v>
      </c>
      <c r="S1283" t="s">
        <v>44862</v>
      </c>
      <c r="T1283" t="s">
        <v>46512</v>
      </c>
      <c r="U1283" t="s">
        <v>48079</v>
      </c>
      <c r="W1283" t="s">
        <v>41182</v>
      </c>
      <c r="X1283" t="s">
        <v>44762</v>
      </c>
    </row>
    <row r="1284" spans="1:24">
      <c r="A1284">
        <f>HYPERLINK("https://www.philgeps.gov.ph/GEPSNONPILOT/Tender/SplashBidNoticeAbstractUI.aspx?menuIndex=3&amp;refID=7153561&amp;Result=3","7153561")</f>
        <v>0</v>
      </c>
      <c r="B1284" t="s">
        <v>522</v>
      </c>
      <c r="C1284" t="s">
        <v>4994</v>
      </c>
      <c r="D1284" t="s">
        <v>18017</v>
      </c>
      <c r="E1284" t="s">
        <v>19246</v>
      </c>
      <c r="F1284" t="s">
        <v>30900</v>
      </c>
      <c r="G1284" t="s">
        <v>30909</v>
      </c>
      <c r="H1284" t="s">
        <v>30916</v>
      </c>
      <c r="I1284" t="s">
        <v>30939</v>
      </c>
      <c r="J1284" t="s">
        <v>32031</v>
      </c>
      <c r="K1284" t="s">
        <v>40287</v>
      </c>
      <c r="M1284" t="s">
        <v>41082</v>
      </c>
      <c r="N1284" t="s">
        <v>44759</v>
      </c>
      <c r="O1284" t="s">
        <v>44760</v>
      </c>
      <c r="P1284">
        <v>0</v>
      </c>
      <c r="Q1284">
        <v>0</v>
      </c>
      <c r="R1284" t="s">
        <v>44761</v>
      </c>
      <c r="S1284" t="s">
        <v>44862</v>
      </c>
      <c r="T1284" t="s">
        <v>46376</v>
      </c>
      <c r="U1284" t="s">
        <v>48080</v>
      </c>
      <c r="W1284" t="s">
        <v>41082</v>
      </c>
      <c r="X1284" t="s">
        <v>44762</v>
      </c>
    </row>
    <row r="1285" spans="1:24">
      <c r="A1285">
        <f>HYPERLINK("https://www.philgeps.gov.ph/GEPSNONPILOT/Tender/SplashBidNoticeAbstractUI.aspx?menuIndex=3&amp;refID=7153546&amp;Result=3","7153546")</f>
        <v>0</v>
      </c>
      <c r="B1285" t="s">
        <v>644</v>
      </c>
      <c r="C1285" t="s">
        <v>4995</v>
      </c>
      <c r="D1285" t="s">
        <v>18013</v>
      </c>
      <c r="E1285" t="s">
        <v>19247</v>
      </c>
      <c r="F1285" t="s">
        <v>30899</v>
      </c>
      <c r="G1285" t="s">
        <v>30908</v>
      </c>
      <c r="H1285" t="s">
        <v>30916</v>
      </c>
      <c r="I1285" t="s">
        <v>30927</v>
      </c>
      <c r="J1285" t="s">
        <v>32032</v>
      </c>
      <c r="K1285" t="s">
        <v>40283</v>
      </c>
      <c r="M1285" t="s">
        <v>41207</v>
      </c>
      <c r="N1285" t="s">
        <v>44759</v>
      </c>
      <c r="O1285" t="s">
        <v>44760</v>
      </c>
      <c r="P1285">
        <v>0</v>
      </c>
      <c r="Q1285">
        <v>0</v>
      </c>
      <c r="R1285" t="s">
        <v>44761</v>
      </c>
      <c r="S1285" t="s">
        <v>44862</v>
      </c>
      <c r="T1285" t="s">
        <v>46361</v>
      </c>
      <c r="U1285" t="s">
        <v>48081</v>
      </c>
      <c r="W1285" t="s">
        <v>41207</v>
      </c>
      <c r="X1285" t="s">
        <v>44762</v>
      </c>
    </row>
    <row r="1286" spans="1:24">
      <c r="A1286">
        <f>HYPERLINK("https://www.philgeps.gov.ph/GEPSNONPILOT/Tender/SplashBidNoticeAbstractUI.aspx?menuIndex=3&amp;refID=7153552&amp;Result=3","7153552")</f>
        <v>0</v>
      </c>
      <c r="B1286" t="s">
        <v>477</v>
      </c>
      <c r="C1286" t="s">
        <v>4996</v>
      </c>
      <c r="D1286" t="s">
        <v>18019</v>
      </c>
      <c r="E1286" t="s">
        <v>19248</v>
      </c>
      <c r="F1286" t="s">
        <v>30900</v>
      </c>
      <c r="G1286" t="s">
        <v>30908</v>
      </c>
      <c r="H1286" t="s">
        <v>30916</v>
      </c>
      <c r="I1286" t="s">
        <v>10602</v>
      </c>
      <c r="J1286" t="s">
        <v>32033</v>
      </c>
      <c r="K1286" t="s">
        <v>40289</v>
      </c>
      <c r="M1286" t="s">
        <v>41035</v>
      </c>
      <c r="N1286" t="s">
        <v>44759</v>
      </c>
      <c r="O1286" t="s">
        <v>44760</v>
      </c>
      <c r="P1286">
        <v>0</v>
      </c>
      <c r="Q1286">
        <v>0</v>
      </c>
      <c r="R1286" t="s">
        <v>44761</v>
      </c>
      <c r="S1286" t="s">
        <v>44862</v>
      </c>
      <c r="T1286" t="s">
        <v>46376</v>
      </c>
      <c r="U1286" t="s">
        <v>48082</v>
      </c>
      <c r="W1286" t="s">
        <v>41035</v>
      </c>
      <c r="X1286" t="s">
        <v>44762</v>
      </c>
    </row>
    <row r="1287" spans="1:24">
      <c r="A1287">
        <f>HYPERLINK("https://www.philgeps.gov.ph/GEPSNONPILOT/Tender/SplashBidNoticeAbstractUI.aspx?menuIndex=3&amp;refID=7153545&amp;Result=3","7153545")</f>
        <v>0</v>
      </c>
      <c r="B1287" t="s">
        <v>645</v>
      </c>
      <c r="C1287" t="s">
        <v>4997</v>
      </c>
      <c r="D1287" t="s">
        <v>17951</v>
      </c>
      <c r="E1287" t="s">
        <v>18545</v>
      </c>
      <c r="F1287" t="s">
        <v>30900</v>
      </c>
      <c r="G1287" t="s">
        <v>30908</v>
      </c>
      <c r="H1287" t="s">
        <v>30916</v>
      </c>
      <c r="I1287" t="s">
        <v>6746</v>
      </c>
      <c r="J1287" t="s">
        <v>32034</v>
      </c>
      <c r="K1287" t="s">
        <v>40283</v>
      </c>
      <c r="M1287" t="s">
        <v>41208</v>
      </c>
      <c r="N1287" t="s">
        <v>44759</v>
      </c>
      <c r="O1287" t="s">
        <v>44760</v>
      </c>
      <c r="P1287">
        <v>0</v>
      </c>
      <c r="Q1287">
        <v>0</v>
      </c>
      <c r="R1287" t="s">
        <v>44761</v>
      </c>
      <c r="S1287" t="s">
        <v>44862</v>
      </c>
      <c r="T1287" t="s">
        <v>46418</v>
      </c>
      <c r="U1287" t="s">
        <v>48083</v>
      </c>
      <c r="W1287" t="s">
        <v>41208</v>
      </c>
      <c r="X1287" t="s">
        <v>44762</v>
      </c>
    </row>
    <row r="1288" spans="1:24">
      <c r="A1288">
        <f>HYPERLINK("https://www.philgeps.gov.ph/GEPSNONPILOT/Tender/SplashBidNoticeAbstractUI.aspx?menuIndex=3&amp;refID=7153550&amp;Result=3","7153550")</f>
        <v>0</v>
      </c>
      <c r="B1288" t="s">
        <v>493</v>
      </c>
      <c r="C1288" t="s">
        <v>4998</v>
      </c>
      <c r="D1288" t="s">
        <v>17975</v>
      </c>
      <c r="E1288" t="s">
        <v>19249</v>
      </c>
      <c r="F1288" t="s">
        <v>30900</v>
      </c>
      <c r="G1288" t="s">
        <v>30908</v>
      </c>
      <c r="H1288" t="s">
        <v>30916</v>
      </c>
      <c r="I1288" t="s">
        <v>30926</v>
      </c>
      <c r="J1288" t="s">
        <v>31101</v>
      </c>
      <c r="K1288" t="s">
        <v>40289</v>
      </c>
      <c r="M1288" t="s">
        <v>41052</v>
      </c>
      <c r="N1288" t="s">
        <v>44759</v>
      </c>
      <c r="O1288" t="s">
        <v>44760</v>
      </c>
      <c r="P1288">
        <v>0</v>
      </c>
      <c r="Q1288">
        <v>0</v>
      </c>
      <c r="R1288" t="s">
        <v>44761</v>
      </c>
      <c r="S1288" t="s">
        <v>44862</v>
      </c>
      <c r="T1288" t="s">
        <v>46399</v>
      </c>
      <c r="U1288" t="s">
        <v>48084</v>
      </c>
      <c r="W1288" t="s">
        <v>41052</v>
      </c>
      <c r="X1288" t="s">
        <v>44762</v>
      </c>
    </row>
    <row r="1289" spans="1:24">
      <c r="A1289">
        <f>HYPERLINK("https://www.philgeps.gov.ph/GEPSNONPILOT/Tender/SplashBidNoticeAbstractUI.aspx?menuIndex=3&amp;refID=7153543&amp;Result=3","7153543")</f>
        <v>0</v>
      </c>
      <c r="B1289" t="s">
        <v>646</v>
      </c>
      <c r="C1289" t="s">
        <v>4999</v>
      </c>
      <c r="D1289" t="s">
        <v>17999</v>
      </c>
      <c r="E1289" t="s">
        <v>19250</v>
      </c>
      <c r="F1289" t="s">
        <v>30900</v>
      </c>
      <c r="G1289" t="s">
        <v>30909</v>
      </c>
      <c r="H1289" t="s">
        <v>30916</v>
      </c>
      <c r="I1289" t="s">
        <v>4108</v>
      </c>
      <c r="J1289" t="s">
        <v>31183</v>
      </c>
      <c r="K1289" t="s">
        <v>40281</v>
      </c>
      <c r="M1289" t="s">
        <v>41209</v>
      </c>
      <c r="N1289" t="s">
        <v>44759</v>
      </c>
      <c r="O1289" t="s">
        <v>44760</v>
      </c>
      <c r="P1289">
        <v>0</v>
      </c>
      <c r="Q1289">
        <v>0</v>
      </c>
      <c r="R1289" t="s">
        <v>44761</v>
      </c>
      <c r="S1289" t="s">
        <v>44862</v>
      </c>
      <c r="T1289" t="s">
        <v>46445</v>
      </c>
      <c r="U1289" t="s">
        <v>48085</v>
      </c>
      <c r="W1289" t="s">
        <v>41209</v>
      </c>
      <c r="X1289" t="s">
        <v>44762</v>
      </c>
    </row>
    <row r="1290" spans="1:24">
      <c r="A1290">
        <f>HYPERLINK("https://www.philgeps.gov.ph/GEPSNONPILOT/Tender/SplashBidNoticeAbstractUI.aspx?menuIndex=3&amp;refID=7153542&amp;Result=3","7153542")</f>
        <v>0</v>
      </c>
      <c r="B1290" t="s">
        <v>647</v>
      </c>
      <c r="C1290" t="s">
        <v>5000</v>
      </c>
      <c r="D1290" t="s">
        <v>17991</v>
      </c>
      <c r="E1290" t="s">
        <v>19251</v>
      </c>
      <c r="F1290" t="s">
        <v>30900</v>
      </c>
      <c r="G1290" t="s">
        <v>30908</v>
      </c>
      <c r="H1290" t="s">
        <v>30916</v>
      </c>
      <c r="I1290" t="s">
        <v>9385</v>
      </c>
      <c r="J1290" t="s">
        <v>32035</v>
      </c>
      <c r="K1290" t="s">
        <v>40286</v>
      </c>
      <c r="M1290" t="s">
        <v>41210</v>
      </c>
      <c r="N1290" t="s">
        <v>44759</v>
      </c>
      <c r="O1290" t="s">
        <v>44760</v>
      </c>
      <c r="P1290">
        <v>0</v>
      </c>
      <c r="Q1290">
        <v>0</v>
      </c>
      <c r="R1290" t="s">
        <v>44761</v>
      </c>
      <c r="S1290" t="s">
        <v>44862</v>
      </c>
      <c r="T1290" t="s">
        <v>46357</v>
      </c>
      <c r="U1290" t="s">
        <v>48086</v>
      </c>
      <c r="W1290" t="s">
        <v>41210</v>
      </c>
      <c r="X1290" t="s">
        <v>44762</v>
      </c>
    </row>
    <row r="1291" spans="1:24">
      <c r="A1291">
        <f>HYPERLINK("https://www.philgeps.gov.ph/GEPSNONPILOT/Tender/SplashBidNoticeAbstractUI.aspx?menuIndex=3&amp;refID=7153538&amp;Result=3","7153538")</f>
        <v>0</v>
      </c>
      <c r="B1291" t="s">
        <v>648</v>
      </c>
      <c r="C1291" t="s">
        <v>5001</v>
      </c>
      <c r="D1291" t="s">
        <v>17973</v>
      </c>
      <c r="E1291" t="s">
        <v>18752</v>
      </c>
      <c r="F1291" t="s">
        <v>30900</v>
      </c>
      <c r="G1291" t="s">
        <v>30909</v>
      </c>
      <c r="H1291" t="s">
        <v>30916</v>
      </c>
      <c r="I1291" t="s">
        <v>4050</v>
      </c>
      <c r="J1291" t="s">
        <v>31090</v>
      </c>
      <c r="K1291" t="s">
        <v>40287</v>
      </c>
      <c r="M1291" t="s">
        <v>41211</v>
      </c>
      <c r="N1291" t="s">
        <v>44759</v>
      </c>
      <c r="O1291" t="s">
        <v>44760</v>
      </c>
      <c r="P1291">
        <v>0</v>
      </c>
      <c r="Q1291">
        <v>0</v>
      </c>
      <c r="R1291" t="s">
        <v>44761</v>
      </c>
      <c r="S1291" t="s">
        <v>44862</v>
      </c>
      <c r="T1291" t="s">
        <v>46403</v>
      </c>
      <c r="U1291" t="s">
        <v>48087</v>
      </c>
      <c r="W1291" t="s">
        <v>41211</v>
      </c>
      <c r="X1291" t="s">
        <v>44762</v>
      </c>
    </row>
    <row r="1292" spans="1:24">
      <c r="A1292">
        <f>HYPERLINK("https://www.philgeps.gov.ph/GEPSNONPILOT/Tender/SplashBidNoticeAbstractUI.aspx?menuIndex=3&amp;refID=7153516&amp;Result=3","7153516")</f>
        <v>0</v>
      </c>
      <c r="B1292" t="s">
        <v>376</v>
      </c>
      <c r="C1292" t="s">
        <v>5002</v>
      </c>
      <c r="D1292" t="s">
        <v>18019</v>
      </c>
      <c r="E1292" t="s">
        <v>19252</v>
      </c>
      <c r="F1292" t="s">
        <v>30900</v>
      </c>
      <c r="G1292" t="s">
        <v>30907</v>
      </c>
      <c r="H1292" t="s">
        <v>30916</v>
      </c>
      <c r="I1292" t="s">
        <v>8123</v>
      </c>
      <c r="J1292" t="s">
        <v>32036</v>
      </c>
      <c r="K1292" t="s">
        <v>40284</v>
      </c>
      <c r="M1292" t="s">
        <v>40930</v>
      </c>
      <c r="N1292" t="s">
        <v>44759</v>
      </c>
      <c r="O1292" t="s">
        <v>44760</v>
      </c>
      <c r="P1292">
        <v>0</v>
      </c>
      <c r="Q1292">
        <v>0</v>
      </c>
      <c r="R1292" t="s">
        <v>44761</v>
      </c>
      <c r="S1292" t="s">
        <v>44862</v>
      </c>
      <c r="T1292" t="s">
        <v>46352</v>
      </c>
      <c r="U1292" t="s">
        <v>47549</v>
      </c>
      <c r="W1292" t="s">
        <v>40930</v>
      </c>
      <c r="X1292" t="s">
        <v>44762</v>
      </c>
    </row>
    <row r="1293" spans="1:24">
      <c r="A1293">
        <f>HYPERLINK("https://www.philgeps.gov.ph/GEPSNONPILOT/Tender/SplashBidNoticeAbstractUI.aspx?menuIndex=3&amp;refID=7153553&amp;Result=3","7153553")</f>
        <v>0</v>
      </c>
      <c r="B1293" t="s">
        <v>649</v>
      </c>
      <c r="C1293" t="s">
        <v>5003</v>
      </c>
      <c r="D1293" t="s">
        <v>17959</v>
      </c>
      <c r="E1293" t="s">
        <v>19253</v>
      </c>
      <c r="F1293" t="s">
        <v>30900</v>
      </c>
      <c r="G1293" t="s">
        <v>30909</v>
      </c>
      <c r="H1293" t="s">
        <v>30916</v>
      </c>
      <c r="I1293" t="s">
        <v>6396</v>
      </c>
      <c r="J1293" t="s">
        <v>31728</v>
      </c>
      <c r="K1293" t="s">
        <v>40287</v>
      </c>
      <c r="M1293" t="s">
        <v>41212</v>
      </c>
      <c r="N1293" t="s">
        <v>44759</v>
      </c>
      <c r="O1293" t="s">
        <v>44760</v>
      </c>
      <c r="P1293">
        <v>0</v>
      </c>
      <c r="Q1293">
        <v>0</v>
      </c>
      <c r="R1293" t="s">
        <v>44761</v>
      </c>
      <c r="S1293" t="s">
        <v>44862</v>
      </c>
      <c r="T1293" t="s">
        <v>46395</v>
      </c>
      <c r="U1293" t="s">
        <v>48088</v>
      </c>
      <c r="V1293" t="s">
        <v>59272</v>
      </c>
      <c r="W1293" t="s">
        <v>41212</v>
      </c>
      <c r="X1293" t="s">
        <v>44762</v>
      </c>
    </row>
    <row r="1294" spans="1:24">
      <c r="A1294">
        <f>HYPERLINK("https://www.philgeps.gov.ph/GEPSNONPILOT/Tender/SplashBidNoticeAbstractUI.aspx?menuIndex=3&amp;refID=7153514&amp;Result=3","7153514")</f>
        <v>0</v>
      </c>
      <c r="B1294" t="s">
        <v>219</v>
      </c>
      <c r="C1294" t="s">
        <v>4108</v>
      </c>
      <c r="D1294" t="s">
        <v>17955</v>
      </c>
      <c r="E1294" t="s">
        <v>19254</v>
      </c>
      <c r="F1294" t="s">
        <v>30900</v>
      </c>
      <c r="G1294" t="s">
        <v>30908</v>
      </c>
      <c r="H1294" t="s">
        <v>30916</v>
      </c>
      <c r="I1294" t="s">
        <v>4108</v>
      </c>
      <c r="J1294" t="s">
        <v>32037</v>
      </c>
      <c r="K1294" t="s">
        <v>40286</v>
      </c>
      <c r="M1294" t="s">
        <v>40766</v>
      </c>
      <c r="N1294" t="s">
        <v>44759</v>
      </c>
      <c r="O1294" t="s">
        <v>44760</v>
      </c>
      <c r="P1294">
        <v>0</v>
      </c>
      <c r="Q1294">
        <v>0</v>
      </c>
      <c r="R1294" t="s">
        <v>44761</v>
      </c>
      <c r="S1294" t="s">
        <v>44862</v>
      </c>
      <c r="T1294" t="s">
        <v>46412</v>
      </c>
      <c r="U1294" t="s">
        <v>48089</v>
      </c>
      <c r="W1294" t="s">
        <v>40766</v>
      </c>
      <c r="X1294" t="s">
        <v>44762</v>
      </c>
    </row>
    <row r="1295" spans="1:24">
      <c r="A1295">
        <f>HYPERLINK("https://www.philgeps.gov.ph/GEPSNONPILOT/Tender/SplashBidNoticeAbstractUI.aspx?menuIndex=3&amp;refID=7153581&amp;Result=3","7153581")</f>
        <v>0</v>
      </c>
      <c r="B1295" t="s">
        <v>650</v>
      </c>
      <c r="C1295" t="s">
        <v>5004</v>
      </c>
      <c r="D1295" t="s">
        <v>17981</v>
      </c>
      <c r="E1295" t="s">
        <v>19255</v>
      </c>
      <c r="F1295" t="s">
        <v>30900</v>
      </c>
      <c r="G1295" t="s">
        <v>30907</v>
      </c>
      <c r="H1295" t="s">
        <v>30916</v>
      </c>
      <c r="I1295" t="s">
        <v>8123</v>
      </c>
      <c r="J1295" t="s">
        <v>31096</v>
      </c>
      <c r="K1295" t="s">
        <v>40284</v>
      </c>
      <c r="L1295" t="s">
        <v>650</v>
      </c>
      <c r="M1295" t="s">
        <v>41213</v>
      </c>
      <c r="N1295" t="s">
        <v>44759</v>
      </c>
      <c r="O1295" t="s">
        <v>44760</v>
      </c>
      <c r="P1295">
        <v>0</v>
      </c>
      <c r="Q1295">
        <v>0</v>
      </c>
      <c r="R1295" t="s">
        <v>44761</v>
      </c>
      <c r="S1295" t="s">
        <v>44862</v>
      </c>
      <c r="T1295" t="s">
        <v>46445</v>
      </c>
      <c r="U1295" t="s">
        <v>48090</v>
      </c>
      <c r="W1295" t="s">
        <v>41213</v>
      </c>
      <c r="X1295" t="s">
        <v>44762</v>
      </c>
    </row>
    <row r="1296" spans="1:24">
      <c r="A1296">
        <f>HYPERLINK("https://www.philgeps.gov.ph/GEPSNONPILOT/Tender/SplashBidNoticeAbstractUI.aspx?menuIndex=3&amp;refID=7153548&amp;Result=3","7153548")</f>
        <v>0</v>
      </c>
      <c r="B1296" t="s">
        <v>651</v>
      </c>
      <c r="C1296" t="s">
        <v>5005</v>
      </c>
      <c r="D1296" t="s">
        <v>18010</v>
      </c>
      <c r="E1296" t="s">
        <v>19256</v>
      </c>
      <c r="F1296" t="s">
        <v>30900</v>
      </c>
      <c r="G1296" t="s">
        <v>30908</v>
      </c>
      <c r="H1296" t="s">
        <v>30916</v>
      </c>
      <c r="I1296" t="s">
        <v>30955</v>
      </c>
      <c r="J1296" t="s">
        <v>32038</v>
      </c>
      <c r="K1296" t="s">
        <v>40284</v>
      </c>
      <c r="M1296" t="s">
        <v>41214</v>
      </c>
      <c r="N1296" t="s">
        <v>44759</v>
      </c>
      <c r="O1296" t="s">
        <v>44760</v>
      </c>
      <c r="P1296">
        <v>0</v>
      </c>
      <c r="Q1296">
        <v>0</v>
      </c>
      <c r="R1296" t="s">
        <v>44761</v>
      </c>
      <c r="S1296" t="s">
        <v>44862</v>
      </c>
      <c r="T1296" t="s">
        <v>46357</v>
      </c>
      <c r="U1296" t="s">
        <v>48091</v>
      </c>
      <c r="W1296" t="s">
        <v>41214</v>
      </c>
      <c r="X1296" t="s">
        <v>44762</v>
      </c>
    </row>
    <row r="1297" spans="1:24">
      <c r="A1297">
        <f>HYPERLINK("https://www.philgeps.gov.ph/GEPSNONPILOT/Tender/SplashBidNoticeAbstractUI.aspx?menuIndex=3&amp;refID=7153589&amp;Result=3","7153589")</f>
        <v>0</v>
      </c>
      <c r="B1297" t="s">
        <v>652</v>
      </c>
      <c r="C1297" t="s">
        <v>5006</v>
      </c>
      <c r="D1297" t="s">
        <v>17981</v>
      </c>
      <c r="E1297" t="s">
        <v>19257</v>
      </c>
      <c r="F1297" t="s">
        <v>30900</v>
      </c>
      <c r="G1297" t="s">
        <v>30908</v>
      </c>
      <c r="H1297" t="s">
        <v>30916</v>
      </c>
      <c r="I1297" t="s">
        <v>5501</v>
      </c>
      <c r="J1297" t="s">
        <v>32039</v>
      </c>
      <c r="K1297" t="s">
        <v>40287</v>
      </c>
      <c r="M1297" t="s">
        <v>41215</v>
      </c>
      <c r="N1297" t="s">
        <v>44759</v>
      </c>
      <c r="O1297" t="s">
        <v>44760</v>
      </c>
      <c r="P1297">
        <v>0</v>
      </c>
      <c r="Q1297">
        <v>0</v>
      </c>
      <c r="R1297" t="s">
        <v>44761</v>
      </c>
      <c r="S1297" t="s">
        <v>44862</v>
      </c>
      <c r="T1297" t="s">
        <v>46399</v>
      </c>
      <c r="U1297" t="s">
        <v>48092</v>
      </c>
      <c r="W1297" t="s">
        <v>41215</v>
      </c>
      <c r="X1297" t="s">
        <v>44762</v>
      </c>
    </row>
    <row r="1298" spans="1:24">
      <c r="A1298">
        <f>HYPERLINK("https://www.philgeps.gov.ph/GEPSNONPILOT/Tender/SplashBidNoticeAbstractUI.aspx?menuIndex=3&amp;refID=7153544&amp;Result=3","7153544")</f>
        <v>0</v>
      </c>
      <c r="B1298" t="s">
        <v>591</v>
      </c>
      <c r="C1298" t="s">
        <v>5007</v>
      </c>
      <c r="D1298" t="s">
        <v>17998</v>
      </c>
      <c r="E1298" t="s">
        <v>19258</v>
      </c>
      <c r="F1298" t="s">
        <v>30900</v>
      </c>
      <c r="G1298" t="s">
        <v>30907</v>
      </c>
      <c r="H1298" t="s">
        <v>30916</v>
      </c>
      <c r="I1298" t="s">
        <v>30934</v>
      </c>
      <c r="J1298" t="s">
        <v>31288</v>
      </c>
      <c r="K1298" t="s">
        <v>40286</v>
      </c>
      <c r="M1298" t="s">
        <v>41153</v>
      </c>
      <c r="N1298" t="s">
        <v>44759</v>
      </c>
      <c r="O1298" t="s">
        <v>44760</v>
      </c>
      <c r="P1298">
        <v>0</v>
      </c>
      <c r="Q1298">
        <v>0</v>
      </c>
      <c r="R1298" t="s">
        <v>44761</v>
      </c>
      <c r="S1298" t="s">
        <v>44862</v>
      </c>
      <c r="T1298" t="s">
        <v>46366</v>
      </c>
      <c r="U1298" t="s">
        <v>47975</v>
      </c>
      <c r="V1298" t="s">
        <v>59259</v>
      </c>
      <c r="W1298" t="s">
        <v>41153</v>
      </c>
      <c r="X1298" t="s">
        <v>44762</v>
      </c>
    </row>
    <row r="1299" spans="1:24">
      <c r="A1299">
        <f>HYPERLINK("https://www.philgeps.gov.ph/GEPSNONPILOT/Tender/SplashBidNoticeAbstractUI.aspx?menuIndex=3&amp;refID=7153585&amp;Result=3","7153585")</f>
        <v>0</v>
      </c>
      <c r="B1299" t="s">
        <v>373</v>
      </c>
      <c r="C1299" t="s">
        <v>5008</v>
      </c>
      <c r="E1299" t="s">
        <v>19259</v>
      </c>
      <c r="F1299" t="s">
        <v>30900</v>
      </c>
      <c r="G1299" t="s">
        <v>30908</v>
      </c>
      <c r="H1299" t="s">
        <v>30916</v>
      </c>
      <c r="I1299" t="s">
        <v>6746</v>
      </c>
      <c r="J1299" t="s">
        <v>32040</v>
      </c>
      <c r="K1299" t="s">
        <v>40283</v>
      </c>
      <c r="M1299" t="s">
        <v>40927</v>
      </c>
      <c r="N1299" t="s">
        <v>44759</v>
      </c>
      <c r="O1299" t="s">
        <v>44760</v>
      </c>
      <c r="P1299">
        <v>0</v>
      </c>
      <c r="Q1299">
        <v>0</v>
      </c>
      <c r="R1299" t="s">
        <v>44761</v>
      </c>
      <c r="S1299" t="s">
        <v>44862</v>
      </c>
      <c r="T1299" t="s">
        <v>46376</v>
      </c>
      <c r="U1299" t="s">
        <v>48093</v>
      </c>
      <c r="W1299" t="s">
        <v>40927</v>
      </c>
      <c r="X1299" t="s">
        <v>44762</v>
      </c>
    </row>
    <row r="1300" spans="1:24">
      <c r="A1300">
        <f>HYPERLINK("https://www.philgeps.gov.ph/GEPSNONPILOT/Tender/SplashBidNoticeAbstractUI.aspx?menuIndex=3&amp;refID=7153580&amp;Result=3","7153580")</f>
        <v>0</v>
      </c>
      <c r="B1300" t="s">
        <v>653</v>
      </c>
      <c r="C1300" t="s">
        <v>5009</v>
      </c>
      <c r="D1300" t="s">
        <v>17977</v>
      </c>
      <c r="E1300" t="s">
        <v>19260</v>
      </c>
      <c r="F1300" t="s">
        <v>30900</v>
      </c>
      <c r="G1300" t="s">
        <v>30908</v>
      </c>
      <c r="H1300" t="s">
        <v>30916</v>
      </c>
      <c r="I1300" t="s">
        <v>10602</v>
      </c>
      <c r="J1300" t="s">
        <v>32041</v>
      </c>
      <c r="K1300" t="s">
        <v>40315</v>
      </c>
      <c r="M1300" t="s">
        <v>41216</v>
      </c>
      <c r="N1300" t="s">
        <v>44759</v>
      </c>
      <c r="O1300" t="s">
        <v>44760</v>
      </c>
      <c r="P1300">
        <v>0</v>
      </c>
      <c r="Q1300">
        <v>0</v>
      </c>
      <c r="R1300" t="s">
        <v>44761</v>
      </c>
      <c r="S1300" t="s">
        <v>44862</v>
      </c>
      <c r="T1300" t="s">
        <v>46376</v>
      </c>
      <c r="U1300" t="s">
        <v>48094</v>
      </c>
      <c r="W1300" t="s">
        <v>41216</v>
      </c>
      <c r="X1300" t="s">
        <v>44762</v>
      </c>
    </row>
    <row r="1301" spans="1:24">
      <c r="A1301">
        <f>HYPERLINK("https://www.philgeps.gov.ph/GEPSNONPILOT/Tender/SplashBidNoticeAbstractUI.aspx?menuIndex=3&amp;refID=7153590&amp;Result=3","7153590")</f>
        <v>0</v>
      </c>
      <c r="B1301" t="s">
        <v>654</v>
      </c>
      <c r="C1301" t="s">
        <v>5010</v>
      </c>
      <c r="D1301" t="s">
        <v>17983</v>
      </c>
      <c r="E1301" t="s">
        <v>19261</v>
      </c>
      <c r="F1301" t="s">
        <v>30900</v>
      </c>
      <c r="G1301" t="s">
        <v>30908</v>
      </c>
      <c r="H1301" t="s">
        <v>30916</v>
      </c>
      <c r="I1301" t="s">
        <v>4108</v>
      </c>
      <c r="J1301" t="s">
        <v>31204</v>
      </c>
      <c r="K1301" t="s">
        <v>40293</v>
      </c>
      <c r="M1301" t="s">
        <v>41217</v>
      </c>
      <c r="N1301" t="s">
        <v>44759</v>
      </c>
      <c r="O1301" t="s">
        <v>44760</v>
      </c>
      <c r="P1301">
        <v>0</v>
      </c>
      <c r="Q1301">
        <v>0</v>
      </c>
      <c r="R1301" t="s">
        <v>44761</v>
      </c>
      <c r="S1301" t="s">
        <v>44862</v>
      </c>
      <c r="T1301" t="s">
        <v>46518</v>
      </c>
      <c r="U1301" t="s">
        <v>48095</v>
      </c>
      <c r="W1301" t="s">
        <v>41217</v>
      </c>
      <c r="X1301" t="s">
        <v>44762</v>
      </c>
    </row>
    <row r="1302" spans="1:24">
      <c r="A1302">
        <f>HYPERLINK("https://www.philgeps.gov.ph/GEPSNONPILOT/Tender/SplashBidNoticeAbstractUI.aspx?menuIndex=3&amp;refID=7153517&amp;Result=3","7153517")</f>
        <v>0</v>
      </c>
      <c r="B1302" t="s">
        <v>420</v>
      </c>
      <c r="C1302" t="s">
        <v>5011</v>
      </c>
      <c r="D1302" t="s">
        <v>17961</v>
      </c>
      <c r="E1302" t="s">
        <v>19262</v>
      </c>
      <c r="F1302" t="s">
        <v>30900</v>
      </c>
      <c r="G1302" t="s">
        <v>30909</v>
      </c>
      <c r="H1302" t="s">
        <v>30916</v>
      </c>
      <c r="I1302" t="s">
        <v>8365</v>
      </c>
      <c r="J1302" t="s">
        <v>31728</v>
      </c>
      <c r="K1302" t="s">
        <v>40285</v>
      </c>
      <c r="M1302" t="s">
        <v>40976</v>
      </c>
      <c r="N1302" t="s">
        <v>44759</v>
      </c>
      <c r="O1302" t="s">
        <v>44760</v>
      </c>
      <c r="P1302">
        <v>0</v>
      </c>
      <c r="Q1302">
        <v>0</v>
      </c>
      <c r="R1302" t="s">
        <v>44761</v>
      </c>
      <c r="S1302" t="s">
        <v>44862</v>
      </c>
      <c r="T1302" t="s">
        <v>46414</v>
      </c>
      <c r="U1302" t="s">
        <v>48096</v>
      </c>
      <c r="W1302" t="s">
        <v>40976</v>
      </c>
      <c r="X1302" t="s">
        <v>44762</v>
      </c>
    </row>
    <row r="1303" spans="1:24">
      <c r="A1303">
        <f>HYPERLINK("https://www.philgeps.gov.ph/GEPSNONPILOT/Tender/SplashBidNoticeAbstractUI.aspx?menuIndex=3&amp;refID=7153587&amp;Result=3","7153587")</f>
        <v>0</v>
      </c>
      <c r="B1303" t="s">
        <v>237</v>
      </c>
      <c r="C1303" t="s">
        <v>5012</v>
      </c>
      <c r="D1303" t="s">
        <v>17977</v>
      </c>
      <c r="E1303" t="s">
        <v>19263</v>
      </c>
      <c r="F1303" t="s">
        <v>30900</v>
      </c>
      <c r="G1303" t="s">
        <v>30908</v>
      </c>
      <c r="H1303" t="s">
        <v>30916</v>
      </c>
      <c r="I1303" t="s">
        <v>30939</v>
      </c>
      <c r="J1303" t="s">
        <v>32042</v>
      </c>
      <c r="K1303" t="s">
        <v>40289</v>
      </c>
      <c r="M1303" t="s">
        <v>40784</v>
      </c>
      <c r="N1303" t="s">
        <v>44759</v>
      </c>
      <c r="O1303" t="s">
        <v>44760</v>
      </c>
      <c r="P1303">
        <v>0</v>
      </c>
      <c r="Q1303">
        <v>0</v>
      </c>
      <c r="R1303" t="s">
        <v>44761</v>
      </c>
      <c r="S1303" t="s">
        <v>44862</v>
      </c>
      <c r="T1303" t="s">
        <v>46393</v>
      </c>
      <c r="U1303" t="s">
        <v>48097</v>
      </c>
      <c r="W1303" t="s">
        <v>40784</v>
      </c>
      <c r="X1303" t="s">
        <v>44762</v>
      </c>
    </row>
    <row r="1304" spans="1:24">
      <c r="A1304">
        <f>HYPERLINK("https://www.philgeps.gov.ph/GEPSNONPILOT/Tender/SplashBidNoticeAbstractUI.aspx?menuIndex=3&amp;refID=7153579&amp;Result=3","7153579")</f>
        <v>0</v>
      </c>
      <c r="B1304" t="s">
        <v>637</v>
      </c>
      <c r="C1304" t="s">
        <v>3769</v>
      </c>
      <c r="D1304" t="s">
        <v>17954</v>
      </c>
      <c r="E1304" t="s">
        <v>19264</v>
      </c>
      <c r="F1304" t="s">
        <v>30900</v>
      </c>
      <c r="G1304" t="s">
        <v>30907</v>
      </c>
      <c r="H1304" t="s">
        <v>30915</v>
      </c>
      <c r="I1304" t="s">
        <v>30919</v>
      </c>
      <c r="J1304" t="s">
        <v>31135</v>
      </c>
      <c r="K1304" t="s">
        <v>40344</v>
      </c>
      <c r="M1304" t="s">
        <v>41200</v>
      </c>
      <c r="N1304" t="s">
        <v>44759</v>
      </c>
      <c r="O1304" t="s">
        <v>44760</v>
      </c>
      <c r="P1304">
        <v>0</v>
      </c>
      <c r="Q1304">
        <v>0</v>
      </c>
      <c r="R1304" t="s">
        <v>44761</v>
      </c>
      <c r="S1304" t="s">
        <v>44862</v>
      </c>
      <c r="T1304" t="s">
        <v>46352</v>
      </c>
      <c r="U1304" t="s">
        <v>48098</v>
      </c>
      <c r="W1304" t="s">
        <v>41200</v>
      </c>
      <c r="X1304" t="s">
        <v>44762</v>
      </c>
    </row>
    <row r="1305" spans="1:24">
      <c r="A1305">
        <f>HYPERLINK("https://www.philgeps.gov.ph/GEPSNONPILOT/Tender/SplashBidNoticeAbstractUI.aspx?menuIndex=3&amp;refID=7153547&amp;Result=3","7153547")</f>
        <v>0</v>
      </c>
      <c r="B1305" t="s">
        <v>570</v>
      </c>
      <c r="C1305" t="s">
        <v>5013</v>
      </c>
      <c r="D1305" t="s">
        <v>17985</v>
      </c>
      <c r="E1305" t="s">
        <v>19265</v>
      </c>
      <c r="F1305" t="s">
        <v>30900</v>
      </c>
      <c r="G1305" t="s">
        <v>30908</v>
      </c>
      <c r="H1305" t="s">
        <v>30916</v>
      </c>
      <c r="I1305" t="s">
        <v>6408</v>
      </c>
      <c r="J1305" t="s">
        <v>31050</v>
      </c>
      <c r="K1305" t="s">
        <v>40289</v>
      </c>
      <c r="M1305" t="s">
        <v>41131</v>
      </c>
      <c r="N1305" t="s">
        <v>44759</v>
      </c>
      <c r="O1305" t="s">
        <v>44760</v>
      </c>
      <c r="P1305">
        <v>0</v>
      </c>
      <c r="Q1305">
        <v>0</v>
      </c>
      <c r="R1305" t="s">
        <v>44761</v>
      </c>
      <c r="S1305" t="s">
        <v>44862</v>
      </c>
      <c r="T1305" t="s">
        <v>46376</v>
      </c>
      <c r="U1305" t="s">
        <v>48099</v>
      </c>
      <c r="W1305" t="s">
        <v>41131</v>
      </c>
      <c r="X1305" t="s">
        <v>44762</v>
      </c>
    </row>
    <row r="1306" spans="1:24">
      <c r="A1306">
        <f>HYPERLINK("https://www.philgeps.gov.ph/GEPSNONPILOT/Tender/SplashBidNoticeAbstractUI.aspx?menuIndex=3&amp;refID=7153576&amp;Result=3","7153576")</f>
        <v>0</v>
      </c>
      <c r="B1306" t="s">
        <v>628</v>
      </c>
      <c r="C1306" t="s">
        <v>5014</v>
      </c>
      <c r="D1306" t="s">
        <v>17961</v>
      </c>
      <c r="E1306" t="s">
        <v>19266</v>
      </c>
      <c r="F1306" t="s">
        <v>30900</v>
      </c>
      <c r="G1306" t="s">
        <v>30908</v>
      </c>
      <c r="H1306" t="s">
        <v>30916</v>
      </c>
      <c r="I1306" t="s">
        <v>30957</v>
      </c>
      <c r="J1306" t="s">
        <v>32043</v>
      </c>
      <c r="K1306" t="s">
        <v>40286</v>
      </c>
      <c r="M1306" t="s">
        <v>41190</v>
      </c>
      <c r="N1306" t="s">
        <v>44759</v>
      </c>
      <c r="O1306" t="s">
        <v>44760</v>
      </c>
      <c r="P1306">
        <v>0</v>
      </c>
      <c r="Q1306">
        <v>0</v>
      </c>
      <c r="R1306" t="s">
        <v>44761</v>
      </c>
      <c r="S1306" t="s">
        <v>44862</v>
      </c>
      <c r="T1306" t="s">
        <v>46390</v>
      </c>
      <c r="U1306" t="s">
        <v>48046</v>
      </c>
      <c r="V1306" t="s">
        <v>59270</v>
      </c>
      <c r="W1306" t="s">
        <v>41190</v>
      </c>
      <c r="X1306" t="s">
        <v>44762</v>
      </c>
    </row>
    <row r="1307" spans="1:24">
      <c r="A1307">
        <f>HYPERLINK("https://www.philgeps.gov.ph/GEPSNONPILOT/Tender/SplashBidNoticeAbstractUI.aspx?menuIndex=3&amp;refID=7153584&amp;Result=3","7153584")</f>
        <v>0</v>
      </c>
      <c r="B1307" t="s">
        <v>634</v>
      </c>
      <c r="C1307" t="s">
        <v>5015</v>
      </c>
      <c r="D1307" t="s">
        <v>17999</v>
      </c>
      <c r="E1307" t="s">
        <v>19267</v>
      </c>
      <c r="F1307" t="s">
        <v>30900</v>
      </c>
      <c r="G1307" t="s">
        <v>30908</v>
      </c>
      <c r="H1307" t="s">
        <v>7411</v>
      </c>
      <c r="I1307" t="s">
        <v>8123</v>
      </c>
      <c r="J1307" t="s">
        <v>32044</v>
      </c>
      <c r="K1307" t="s">
        <v>40283</v>
      </c>
      <c r="M1307" t="s">
        <v>41197</v>
      </c>
      <c r="N1307" t="s">
        <v>44759</v>
      </c>
      <c r="O1307" t="s">
        <v>44760</v>
      </c>
      <c r="P1307">
        <v>0</v>
      </c>
      <c r="Q1307">
        <v>0</v>
      </c>
      <c r="R1307" t="s">
        <v>44761</v>
      </c>
      <c r="S1307" t="s">
        <v>44862</v>
      </c>
      <c r="T1307" t="s">
        <v>46390</v>
      </c>
      <c r="U1307" t="s">
        <v>48100</v>
      </c>
      <c r="W1307" t="s">
        <v>41197</v>
      </c>
      <c r="X1307" t="s">
        <v>44762</v>
      </c>
    </row>
    <row r="1308" spans="1:24">
      <c r="A1308">
        <f>HYPERLINK("https://www.philgeps.gov.ph/GEPSNONPILOT/Tender/SplashBidNoticeAbstractUI.aspx?menuIndex=3&amp;refID=7153535&amp;Result=3","7153535")</f>
        <v>0</v>
      </c>
      <c r="B1308" t="s">
        <v>655</v>
      </c>
      <c r="C1308" t="s">
        <v>5016</v>
      </c>
      <c r="D1308" t="s">
        <v>18001</v>
      </c>
      <c r="E1308" t="s">
        <v>19268</v>
      </c>
      <c r="F1308" t="s">
        <v>30900</v>
      </c>
      <c r="G1308" t="s">
        <v>30909</v>
      </c>
      <c r="H1308" t="s">
        <v>30916</v>
      </c>
      <c r="I1308" t="s">
        <v>8123</v>
      </c>
      <c r="J1308" t="s">
        <v>32045</v>
      </c>
      <c r="K1308" t="s">
        <v>40289</v>
      </c>
      <c r="M1308" t="s">
        <v>41218</v>
      </c>
      <c r="N1308" t="s">
        <v>44759</v>
      </c>
      <c r="O1308" t="s">
        <v>44760</v>
      </c>
      <c r="P1308">
        <v>0</v>
      </c>
      <c r="Q1308">
        <v>0</v>
      </c>
      <c r="R1308" t="s">
        <v>44761</v>
      </c>
      <c r="S1308" t="s">
        <v>44862</v>
      </c>
      <c r="T1308" t="s">
        <v>46363</v>
      </c>
      <c r="U1308" t="s">
        <v>48101</v>
      </c>
      <c r="W1308" t="s">
        <v>41218</v>
      </c>
      <c r="X1308" t="s">
        <v>44762</v>
      </c>
    </row>
    <row r="1309" spans="1:24">
      <c r="A1309">
        <f>HYPERLINK("https://www.philgeps.gov.ph/GEPSNONPILOT/Tender/SplashBidNoticeAbstractUI.aspx?menuIndex=3&amp;refID=7153602&amp;Result=3","7153602")</f>
        <v>0</v>
      </c>
      <c r="B1309" t="s">
        <v>656</v>
      </c>
      <c r="C1309" t="s">
        <v>5017</v>
      </c>
      <c r="D1309" t="s">
        <v>17973</v>
      </c>
      <c r="E1309" t="s">
        <v>18752</v>
      </c>
      <c r="F1309" t="s">
        <v>30900</v>
      </c>
      <c r="G1309" t="s">
        <v>30909</v>
      </c>
      <c r="H1309" t="s">
        <v>30916</v>
      </c>
      <c r="I1309" t="s">
        <v>30985</v>
      </c>
      <c r="J1309" t="s">
        <v>31077</v>
      </c>
      <c r="K1309" t="s">
        <v>40287</v>
      </c>
      <c r="M1309" t="s">
        <v>41219</v>
      </c>
      <c r="N1309" t="s">
        <v>44759</v>
      </c>
      <c r="O1309" t="s">
        <v>44760</v>
      </c>
      <c r="P1309">
        <v>0</v>
      </c>
      <c r="Q1309">
        <v>0</v>
      </c>
      <c r="R1309" t="s">
        <v>44761</v>
      </c>
      <c r="S1309" t="s">
        <v>44862</v>
      </c>
      <c r="T1309" t="s">
        <v>46403</v>
      </c>
      <c r="U1309" t="s">
        <v>48102</v>
      </c>
      <c r="W1309" t="s">
        <v>41219</v>
      </c>
      <c r="X1309" t="s">
        <v>44762</v>
      </c>
    </row>
    <row r="1310" spans="1:24">
      <c r="A1310">
        <f>HYPERLINK("https://www.philgeps.gov.ph/GEPSNONPILOT/Tender/SplashBidNoticeAbstractUI.aspx?menuIndex=3&amp;refID=7153577&amp;Result=3","7153577")</f>
        <v>0</v>
      </c>
      <c r="B1310" t="s">
        <v>629</v>
      </c>
      <c r="C1310" t="s">
        <v>5018</v>
      </c>
      <c r="D1310" t="s">
        <v>17992</v>
      </c>
      <c r="E1310" t="s">
        <v>19269</v>
      </c>
      <c r="F1310" t="s">
        <v>30900</v>
      </c>
      <c r="G1310" t="s">
        <v>30907</v>
      </c>
      <c r="H1310" t="s">
        <v>30916</v>
      </c>
      <c r="I1310" t="s">
        <v>30924</v>
      </c>
      <c r="J1310" t="s">
        <v>31495</v>
      </c>
      <c r="K1310" t="s">
        <v>40283</v>
      </c>
      <c r="M1310" t="s">
        <v>41195</v>
      </c>
      <c r="N1310" t="s">
        <v>44759</v>
      </c>
      <c r="O1310" t="s">
        <v>44760</v>
      </c>
      <c r="P1310">
        <v>0</v>
      </c>
      <c r="Q1310">
        <v>0</v>
      </c>
      <c r="R1310" t="s">
        <v>44761</v>
      </c>
      <c r="S1310" t="s">
        <v>44862</v>
      </c>
      <c r="T1310" t="s">
        <v>46514</v>
      </c>
      <c r="U1310" t="s">
        <v>48103</v>
      </c>
      <c r="V1310" t="s">
        <v>59226</v>
      </c>
      <c r="W1310" t="s">
        <v>41195</v>
      </c>
      <c r="X1310" t="s">
        <v>44762</v>
      </c>
    </row>
    <row r="1311" spans="1:24">
      <c r="A1311">
        <f>HYPERLINK("https://www.philgeps.gov.ph/GEPSNONPILOT/Tender/SplashBidNoticeAbstractUI.aspx?menuIndex=3&amp;refID=7153611&amp;Result=3","7153611")</f>
        <v>0</v>
      </c>
      <c r="B1311" t="s">
        <v>657</v>
      </c>
      <c r="C1311" t="s">
        <v>5019</v>
      </c>
      <c r="D1311" t="s">
        <v>17959</v>
      </c>
      <c r="E1311" t="s">
        <v>19175</v>
      </c>
      <c r="F1311" t="s">
        <v>30900</v>
      </c>
      <c r="G1311" t="s">
        <v>30909</v>
      </c>
      <c r="H1311" t="s">
        <v>30916</v>
      </c>
      <c r="I1311" t="s">
        <v>6396</v>
      </c>
      <c r="J1311" t="s">
        <v>32046</v>
      </c>
      <c r="K1311" t="s">
        <v>40285</v>
      </c>
      <c r="M1311" t="s">
        <v>41220</v>
      </c>
      <c r="N1311" t="s">
        <v>44759</v>
      </c>
      <c r="O1311" t="s">
        <v>44760</v>
      </c>
      <c r="P1311">
        <v>0</v>
      </c>
      <c r="Q1311">
        <v>0</v>
      </c>
      <c r="R1311" t="s">
        <v>44761</v>
      </c>
      <c r="S1311" t="s">
        <v>44862</v>
      </c>
      <c r="T1311" t="s">
        <v>46363</v>
      </c>
      <c r="U1311" t="s">
        <v>48104</v>
      </c>
      <c r="W1311" t="s">
        <v>41220</v>
      </c>
      <c r="X1311" t="s">
        <v>44762</v>
      </c>
    </row>
    <row r="1312" spans="1:24">
      <c r="A1312">
        <f>HYPERLINK("https://www.philgeps.gov.ph/GEPSNONPILOT/Tender/SplashBidNoticeAbstractUI.aspx?menuIndex=3&amp;refID=7153575&amp;Result=3","7153575")</f>
        <v>0</v>
      </c>
      <c r="B1312" t="s">
        <v>379</v>
      </c>
      <c r="C1312" t="s">
        <v>5020</v>
      </c>
      <c r="D1312" t="s">
        <v>18015</v>
      </c>
      <c r="E1312" t="s">
        <v>19270</v>
      </c>
      <c r="F1312" t="s">
        <v>30900</v>
      </c>
      <c r="G1312" t="s">
        <v>30907</v>
      </c>
      <c r="H1312" t="s">
        <v>30916</v>
      </c>
      <c r="I1312" t="s">
        <v>4545</v>
      </c>
      <c r="J1312" t="s">
        <v>31183</v>
      </c>
      <c r="K1312" t="s">
        <v>40283</v>
      </c>
      <c r="M1312" t="s">
        <v>40933</v>
      </c>
      <c r="N1312" t="s">
        <v>44759</v>
      </c>
      <c r="O1312" t="s">
        <v>44760</v>
      </c>
      <c r="P1312">
        <v>0</v>
      </c>
      <c r="Q1312">
        <v>0</v>
      </c>
      <c r="R1312" t="s">
        <v>44761</v>
      </c>
      <c r="S1312" t="s">
        <v>44862</v>
      </c>
      <c r="T1312" t="s">
        <v>46367</v>
      </c>
      <c r="U1312" t="s">
        <v>48105</v>
      </c>
      <c r="W1312" t="s">
        <v>40933</v>
      </c>
      <c r="X1312" t="s">
        <v>44762</v>
      </c>
    </row>
    <row r="1313" spans="1:24">
      <c r="A1313">
        <f>HYPERLINK("https://www.philgeps.gov.ph/GEPSNONPILOT/Tender/SplashBidNoticeAbstractUI.aspx?menuIndex=3&amp;refID=7153582&amp;Result=3","7153582")</f>
        <v>0</v>
      </c>
      <c r="B1313" t="s">
        <v>105</v>
      </c>
      <c r="C1313" t="s">
        <v>5021</v>
      </c>
      <c r="D1313" t="s">
        <v>17952</v>
      </c>
      <c r="E1313" t="s">
        <v>19271</v>
      </c>
      <c r="F1313" t="s">
        <v>30900</v>
      </c>
      <c r="G1313" t="s">
        <v>30907</v>
      </c>
      <c r="H1313" t="s">
        <v>30916</v>
      </c>
      <c r="I1313" t="s">
        <v>8044</v>
      </c>
      <c r="J1313" t="s">
        <v>32047</v>
      </c>
      <c r="K1313" t="s">
        <v>40283</v>
      </c>
      <c r="M1313" t="s">
        <v>40652</v>
      </c>
      <c r="N1313" t="s">
        <v>44759</v>
      </c>
      <c r="O1313" t="s">
        <v>44760</v>
      </c>
      <c r="P1313">
        <v>0</v>
      </c>
      <c r="Q1313">
        <v>0</v>
      </c>
      <c r="R1313" t="s">
        <v>44761</v>
      </c>
      <c r="S1313" t="s">
        <v>44862</v>
      </c>
      <c r="T1313" t="s">
        <v>46373</v>
      </c>
      <c r="U1313" t="s">
        <v>48106</v>
      </c>
      <c r="W1313" t="s">
        <v>40652</v>
      </c>
      <c r="X1313" t="s">
        <v>44762</v>
      </c>
    </row>
    <row r="1314" spans="1:24">
      <c r="A1314">
        <f>HYPERLINK("https://www.philgeps.gov.ph/GEPSNONPILOT/Tender/SplashBidNoticeAbstractUI.aspx?menuIndex=3&amp;refID=7153610&amp;Result=3","7153610")</f>
        <v>0</v>
      </c>
      <c r="B1314" t="s">
        <v>254</v>
      </c>
      <c r="C1314" t="s">
        <v>5022</v>
      </c>
      <c r="D1314" t="s">
        <v>17976</v>
      </c>
      <c r="E1314" t="s">
        <v>19272</v>
      </c>
      <c r="F1314" t="s">
        <v>30903</v>
      </c>
      <c r="G1314" t="s">
        <v>30909</v>
      </c>
      <c r="H1314" t="s">
        <v>30916</v>
      </c>
      <c r="I1314" t="s">
        <v>30958</v>
      </c>
      <c r="J1314" t="s">
        <v>31227</v>
      </c>
      <c r="K1314" t="s">
        <v>40282</v>
      </c>
      <c r="M1314" t="s">
        <v>40801</v>
      </c>
      <c r="N1314" t="s">
        <v>44759</v>
      </c>
      <c r="O1314" t="s">
        <v>44760</v>
      </c>
      <c r="P1314">
        <v>0</v>
      </c>
      <c r="Q1314">
        <v>0</v>
      </c>
      <c r="R1314" t="s">
        <v>44761</v>
      </c>
      <c r="S1314" t="s">
        <v>44862</v>
      </c>
      <c r="T1314" t="s">
        <v>46389</v>
      </c>
      <c r="U1314" t="s">
        <v>47958</v>
      </c>
      <c r="W1314" t="s">
        <v>40801</v>
      </c>
      <c r="X1314" t="s">
        <v>44762</v>
      </c>
    </row>
    <row r="1315" spans="1:24">
      <c r="A1315">
        <f>HYPERLINK("https://www.philgeps.gov.ph/GEPSNONPILOT/Tender/SplashBidNoticeAbstractUI.aspx?menuIndex=3&amp;refID=7153609&amp;Result=3","7153609")</f>
        <v>0</v>
      </c>
      <c r="B1315" t="s">
        <v>628</v>
      </c>
      <c r="C1315" t="s">
        <v>5023</v>
      </c>
      <c r="D1315" t="s">
        <v>17961</v>
      </c>
      <c r="E1315" t="s">
        <v>19273</v>
      </c>
      <c r="F1315" t="s">
        <v>30900</v>
      </c>
      <c r="G1315" t="s">
        <v>30908</v>
      </c>
      <c r="H1315" t="s">
        <v>30917</v>
      </c>
      <c r="I1315" t="s">
        <v>6746</v>
      </c>
      <c r="J1315" t="s">
        <v>31070</v>
      </c>
      <c r="K1315" t="s">
        <v>40308</v>
      </c>
      <c r="M1315" t="s">
        <v>41190</v>
      </c>
      <c r="N1315" t="s">
        <v>44759</v>
      </c>
      <c r="O1315" t="s">
        <v>44760</v>
      </c>
      <c r="P1315">
        <v>0</v>
      </c>
      <c r="Q1315">
        <v>0</v>
      </c>
      <c r="R1315" t="s">
        <v>44761</v>
      </c>
      <c r="S1315" t="s">
        <v>44862</v>
      </c>
      <c r="T1315" t="s">
        <v>46390</v>
      </c>
      <c r="U1315" t="s">
        <v>48046</v>
      </c>
      <c r="V1315" t="s">
        <v>59270</v>
      </c>
      <c r="W1315" t="s">
        <v>41190</v>
      </c>
      <c r="X1315" t="s">
        <v>44762</v>
      </c>
    </row>
    <row r="1316" spans="1:24">
      <c r="A1316">
        <f>HYPERLINK("https://www.philgeps.gov.ph/GEPSNONPILOT/Tender/SplashBidNoticeAbstractUI.aspx?menuIndex=3&amp;refID=7153607&amp;Result=3","7153607")</f>
        <v>0</v>
      </c>
      <c r="B1316" t="s">
        <v>658</v>
      </c>
      <c r="C1316" t="s">
        <v>5024</v>
      </c>
      <c r="E1316" t="s">
        <v>19274</v>
      </c>
      <c r="F1316" t="s">
        <v>30902</v>
      </c>
      <c r="G1316" t="s">
        <v>30907</v>
      </c>
      <c r="H1316" t="s">
        <v>30916</v>
      </c>
      <c r="I1316" t="s">
        <v>8123</v>
      </c>
      <c r="J1316" t="s">
        <v>32048</v>
      </c>
      <c r="K1316" t="s">
        <v>40287</v>
      </c>
      <c r="M1316" t="s">
        <v>41221</v>
      </c>
      <c r="N1316" t="s">
        <v>44759</v>
      </c>
      <c r="O1316" t="s">
        <v>44760</v>
      </c>
      <c r="P1316">
        <v>0</v>
      </c>
      <c r="Q1316">
        <v>0</v>
      </c>
      <c r="R1316" t="s">
        <v>44761</v>
      </c>
      <c r="S1316" t="s">
        <v>44862</v>
      </c>
      <c r="T1316" t="s">
        <v>46453</v>
      </c>
      <c r="U1316" t="s">
        <v>48107</v>
      </c>
      <c r="W1316" t="s">
        <v>41221</v>
      </c>
      <c r="X1316" t="s">
        <v>44762</v>
      </c>
    </row>
    <row r="1317" spans="1:24">
      <c r="A1317">
        <f>HYPERLINK("https://www.philgeps.gov.ph/GEPSNONPILOT/Tender/SplashBidNoticeAbstractUI.aspx?menuIndex=3&amp;refID=7153591&amp;Result=3","7153591")</f>
        <v>0</v>
      </c>
      <c r="B1317" t="s">
        <v>591</v>
      </c>
      <c r="C1317" t="s">
        <v>5025</v>
      </c>
      <c r="D1317" t="s">
        <v>17998</v>
      </c>
      <c r="E1317" t="s">
        <v>19275</v>
      </c>
      <c r="F1317" t="s">
        <v>30900</v>
      </c>
      <c r="G1317" t="s">
        <v>30907</v>
      </c>
      <c r="H1317" t="s">
        <v>30916</v>
      </c>
      <c r="I1317" t="s">
        <v>4108</v>
      </c>
      <c r="J1317" t="s">
        <v>31298</v>
      </c>
      <c r="K1317" t="s">
        <v>40286</v>
      </c>
      <c r="M1317" t="s">
        <v>41153</v>
      </c>
      <c r="N1317" t="s">
        <v>44759</v>
      </c>
      <c r="O1317" t="s">
        <v>44760</v>
      </c>
      <c r="P1317">
        <v>0</v>
      </c>
      <c r="Q1317">
        <v>0</v>
      </c>
      <c r="R1317" t="s">
        <v>44761</v>
      </c>
      <c r="S1317" t="s">
        <v>44862</v>
      </c>
      <c r="T1317" t="s">
        <v>46366</v>
      </c>
      <c r="U1317" t="s">
        <v>47975</v>
      </c>
      <c r="V1317" t="s">
        <v>59259</v>
      </c>
      <c r="W1317" t="s">
        <v>41153</v>
      </c>
      <c r="X1317" t="s">
        <v>44762</v>
      </c>
    </row>
    <row r="1318" spans="1:24">
      <c r="A1318">
        <f>HYPERLINK("https://www.philgeps.gov.ph/GEPSNONPILOT/Tender/SplashBidNoticeAbstractUI.aspx?menuIndex=3&amp;refID=7153606&amp;Result=3","7153606")</f>
        <v>0</v>
      </c>
      <c r="B1318" t="s">
        <v>591</v>
      </c>
      <c r="C1318" t="s">
        <v>5026</v>
      </c>
      <c r="D1318" t="s">
        <v>17998</v>
      </c>
      <c r="E1318" t="s">
        <v>19276</v>
      </c>
      <c r="F1318" t="s">
        <v>30900</v>
      </c>
      <c r="G1318" t="s">
        <v>30907</v>
      </c>
      <c r="H1318" t="s">
        <v>30916</v>
      </c>
      <c r="I1318" t="s">
        <v>30939</v>
      </c>
      <c r="J1318" t="s">
        <v>32049</v>
      </c>
      <c r="K1318" t="s">
        <v>40286</v>
      </c>
      <c r="M1318" t="s">
        <v>41153</v>
      </c>
      <c r="N1318" t="s">
        <v>44759</v>
      </c>
      <c r="O1318" t="s">
        <v>44760</v>
      </c>
      <c r="P1318">
        <v>0</v>
      </c>
      <c r="Q1318">
        <v>0</v>
      </c>
      <c r="R1318" t="s">
        <v>44761</v>
      </c>
      <c r="S1318" t="s">
        <v>44862</v>
      </c>
      <c r="T1318" t="s">
        <v>46366</v>
      </c>
      <c r="U1318" t="s">
        <v>48108</v>
      </c>
      <c r="V1318" t="s">
        <v>59259</v>
      </c>
      <c r="W1318" t="s">
        <v>41153</v>
      </c>
      <c r="X1318" t="s">
        <v>44762</v>
      </c>
    </row>
    <row r="1319" spans="1:24">
      <c r="A1319">
        <f>HYPERLINK("https://www.philgeps.gov.ph/GEPSNONPILOT/Tender/SplashBidNoticeAbstractUI.aspx?menuIndex=3&amp;refID=7153605&amp;Result=3","7153605")</f>
        <v>0</v>
      </c>
      <c r="B1319" t="s">
        <v>659</v>
      </c>
      <c r="C1319" t="s">
        <v>5027</v>
      </c>
      <c r="D1319" t="s">
        <v>17975</v>
      </c>
      <c r="E1319" t="s">
        <v>19277</v>
      </c>
      <c r="F1319" t="s">
        <v>30900</v>
      </c>
      <c r="G1319" t="s">
        <v>30907</v>
      </c>
      <c r="H1319" t="s">
        <v>30916</v>
      </c>
      <c r="I1319" t="s">
        <v>30933</v>
      </c>
      <c r="J1319" t="s">
        <v>32050</v>
      </c>
      <c r="K1319" t="s">
        <v>40280</v>
      </c>
      <c r="M1319" t="s">
        <v>41222</v>
      </c>
      <c r="N1319" t="s">
        <v>44759</v>
      </c>
      <c r="O1319" t="s">
        <v>44760</v>
      </c>
      <c r="P1319">
        <v>0</v>
      </c>
      <c r="Q1319">
        <v>0</v>
      </c>
      <c r="R1319" t="s">
        <v>44761</v>
      </c>
      <c r="S1319" t="s">
        <v>44862</v>
      </c>
      <c r="T1319" t="s">
        <v>46459</v>
      </c>
      <c r="U1319" t="s">
        <v>48109</v>
      </c>
      <c r="W1319" t="s">
        <v>41222</v>
      </c>
      <c r="X1319" t="s">
        <v>44762</v>
      </c>
    </row>
    <row r="1320" spans="1:24">
      <c r="A1320">
        <f>HYPERLINK("https://www.philgeps.gov.ph/GEPSNONPILOT/Tender/SplashBidNoticeAbstractUI.aspx?menuIndex=3&amp;refID=7153603&amp;Result=3","7153603")</f>
        <v>0</v>
      </c>
      <c r="B1320" t="s">
        <v>660</v>
      </c>
      <c r="C1320" t="s">
        <v>5028</v>
      </c>
      <c r="D1320" t="s">
        <v>17964</v>
      </c>
      <c r="E1320" t="s">
        <v>19278</v>
      </c>
      <c r="F1320" t="s">
        <v>30900</v>
      </c>
      <c r="G1320" t="s">
        <v>30909</v>
      </c>
      <c r="H1320" t="s">
        <v>30916</v>
      </c>
      <c r="I1320" t="s">
        <v>8123</v>
      </c>
      <c r="J1320" t="s">
        <v>32051</v>
      </c>
      <c r="K1320" t="s">
        <v>40284</v>
      </c>
      <c r="M1320" t="s">
        <v>41223</v>
      </c>
      <c r="N1320" t="s">
        <v>44759</v>
      </c>
      <c r="O1320" t="s">
        <v>44760</v>
      </c>
      <c r="P1320">
        <v>0</v>
      </c>
      <c r="Q1320">
        <v>0</v>
      </c>
      <c r="R1320" t="s">
        <v>44761</v>
      </c>
      <c r="S1320" t="s">
        <v>44862</v>
      </c>
      <c r="T1320" t="s">
        <v>46424</v>
      </c>
      <c r="U1320" t="s">
        <v>48110</v>
      </c>
      <c r="V1320" t="s">
        <v>59273</v>
      </c>
      <c r="W1320" t="s">
        <v>41223</v>
      </c>
      <c r="X1320" t="s">
        <v>44762</v>
      </c>
    </row>
    <row r="1321" spans="1:24">
      <c r="A1321">
        <f>HYPERLINK("https://www.philgeps.gov.ph/GEPSNONPILOT/Tender/SplashBidNoticeAbstractUI.aspx?menuIndex=3&amp;refID=7153574&amp;Result=3","7153574")</f>
        <v>0</v>
      </c>
      <c r="B1321" t="s">
        <v>661</v>
      </c>
      <c r="C1321" t="s">
        <v>5029</v>
      </c>
      <c r="D1321" t="s">
        <v>17980</v>
      </c>
      <c r="E1321" t="s">
        <v>19279</v>
      </c>
      <c r="F1321" t="s">
        <v>30900</v>
      </c>
      <c r="G1321" t="s">
        <v>30908</v>
      </c>
      <c r="H1321" t="s">
        <v>30916</v>
      </c>
      <c r="I1321" t="s">
        <v>4142</v>
      </c>
      <c r="J1321" t="s">
        <v>32052</v>
      </c>
      <c r="K1321" t="s">
        <v>40281</v>
      </c>
      <c r="M1321" t="s">
        <v>41224</v>
      </c>
      <c r="N1321" t="s">
        <v>44759</v>
      </c>
      <c r="O1321" t="s">
        <v>44760</v>
      </c>
      <c r="P1321">
        <v>0</v>
      </c>
      <c r="Q1321">
        <v>0</v>
      </c>
      <c r="R1321" t="s">
        <v>44761</v>
      </c>
      <c r="S1321" t="s">
        <v>44862</v>
      </c>
      <c r="T1321" t="s">
        <v>46357</v>
      </c>
      <c r="U1321" t="s">
        <v>48111</v>
      </c>
      <c r="W1321" t="s">
        <v>41224</v>
      </c>
      <c r="X1321" t="s">
        <v>44762</v>
      </c>
    </row>
    <row r="1322" spans="1:24">
      <c r="A1322">
        <f>HYPERLINK("https://www.philgeps.gov.ph/GEPSNONPILOT/Tender/SplashBidNoticeAbstractUI.aspx?menuIndex=3&amp;refID=7153583&amp;Result=3","7153583")</f>
        <v>0</v>
      </c>
      <c r="B1322" t="s">
        <v>191</v>
      </c>
      <c r="C1322" t="s">
        <v>5030</v>
      </c>
      <c r="D1322" t="s">
        <v>17998</v>
      </c>
      <c r="E1322" t="s">
        <v>19280</v>
      </c>
      <c r="F1322" t="s">
        <v>30900</v>
      </c>
      <c r="G1322" t="s">
        <v>30908</v>
      </c>
      <c r="H1322" t="s">
        <v>30916</v>
      </c>
      <c r="I1322" t="s">
        <v>30928</v>
      </c>
      <c r="J1322" t="s">
        <v>32053</v>
      </c>
      <c r="K1322" t="s">
        <v>40287</v>
      </c>
      <c r="M1322" t="s">
        <v>40738</v>
      </c>
      <c r="N1322" t="s">
        <v>44759</v>
      </c>
      <c r="O1322" t="s">
        <v>44760</v>
      </c>
      <c r="P1322">
        <v>0</v>
      </c>
      <c r="Q1322">
        <v>0</v>
      </c>
      <c r="R1322" t="s">
        <v>44761</v>
      </c>
      <c r="S1322" t="s">
        <v>44862</v>
      </c>
      <c r="T1322" t="s">
        <v>46434</v>
      </c>
      <c r="U1322" t="s">
        <v>48112</v>
      </c>
      <c r="V1322" t="s">
        <v>59274</v>
      </c>
      <c r="W1322" t="s">
        <v>40738</v>
      </c>
      <c r="X1322" t="s">
        <v>44762</v>
      </c>
    </row>
    <row r="1323" spans="1:24">
      <c r="A1323">
        <f>HYPERLINK("https://www.philgeps.gov.ph/GEPSNONPILOT/Tender/SplashBidNoticeAbstractUI.aspx?menuIndex=3&amp;refID=7153598&amp;Result=3","7153598")</f>
        <v>0</v>
      </c>
      <c r="B1323" t="s">
        <v>662</v>
      </c>
      <c r="C1323" t="s">
        <v>5031</v>
      </c>
      <c r="D1323" t="s">
        <v>18025</v>
      </c>
      <c r="E1323" t="s">
        <v>19281</v>
      </c>
      <c r="F1323" t="s">
        <v>30900</v>
      </c>
      <c r="G1323" t="s">
        <v>30909</v>
      </c>
      <c r="H1323" t="s">
        <v>30916</v>
      </c>
      <c r="I1323" t="s">
        <v>30921</v>
      </c>
      <c r="J1323" t="s">
        <v>31495</v>
      </c>
      <c r="K1323" t="s">
        <v>40291</v>
      </c>
      <c r="M1323" t="s">
        <v>41225</v>
      </c>
      <c r="N1323" t="s">
        <v>44759</v>
      </c>
      <c r="O1323" t="s">
        <v>44760</v>
      </c>
      <c r="P1323">
        <v>0</v>
      </c>
      <c r="Q1323">
        <v>0</v>
      </c>
      <c r="R1323" t="s">
        <v>44761</v>
      </c>
      <c r="S1323" t="s">
        <v>44862</v>
      </c>
      <c r="T1323" t="s">
        <v>46483</v>
      </c>
      <c r="U1323" t="s">
        <v>48113</v>
      </c>
      <c r="W1323" t="s">
        <v>41225</v>
      </c>
      <c r="X1323" t="s">
        <v>44762</v>
      </c>
    </row>
    <row r="1324" spans="1:24">
      <c r="A1324">
        <f>HYPERLINK("https://www.philgeps.gov.ph/GEPSNONPILOT/Tender/SplashBidNoticeAbstractUI.aspx?menuIndex=3&amp;refID=7153599&amp;Result=3","7153599")</f>
        <v>0</v>
      </c>
      <c r="B1324" t="s">
        <v>663</v>
      </c>
      <c r="C1324" t="s">
        <v>5032</v>
      </c>
      <c r="D1324" t="s">
        <v>18021</v>
      </c>
      <c r="E1324" t="s">
        <v>19282</v>
      </c>
      <c r="F1324" t="s">
        <v>30900</v>
      </c>
      <c r="G1324" t="s">
        <v>30907</v>
      </c>
      <c r="H1324" t="s">
        <v>30915</v>
      </c>
      <c r="I1324" t="s">
        <v>30919</v>
      </c>
      <c r="J1324" t="s">
        <v>32054</v>
      </c>
      <c r="K1324" t="s">
        <v>40345</v>
      </c>
      <c r="M1324" t="s">
        <v>41226</v>
      </c>
      <c r="N1324" t="s">
        <v>44759</v>
      </c>
      <c r="O1324" t="s">
        <v>44760</v>
      </c>
      <c r="P1324">
        <v>0</v>
      </c>
      <c r="Q1324">
        <v>0</v>
      </c>
      <c r="R1324" t="s">
        <v>44761</v>
      </c>
      <c r="S1324" t="s">
        <v>44862</v>
      </c>
      <c r="T1324" t="s">
        <v>46380</v>
      </c>
      <c r="U1324" t="s">
        <v>48114</v>
      </c>
      <c r="W1324" t="s">
        <v>41226</v>
      </c>
      <c r="X1324" t="s">
        <v>44762</v>
      </c>
    </row>
    <row r="1325" spans="1:24">
      <c r="A1325">
        <f>HYPERLINK("https://www.philgeps.gov.ph/GEPSNONPILOT/Tender/SplashBidNoticeAbstractUI.aspx?menuIndex=3&amp;refID=7153596&amp;Result=3","7153596")</f>
        <v>0</v>
      </c>
      <c r="B1325" t="s">
        <v>591</v>
      </c>
      <c r="C1325" t="s">
        <v>5033</v>
      </c>
      <c r="D1325" t="s">
        <v>17998</v>
      </c>
      <c r="E1325" t="s">
        <v>19283</v>
      </c>
      <c r="F1325" t="s">
        <v>30900</v>
      </c>
      <c r="G1325" t="s">
        <v>30907</v>
      </c>
      <c r="H1325" t="s">
        <v>30916</v>
      </c>
      <c r="I1325" t="s">
        <v>30939</v>
      </c>
      <c r="J1325" t="s">
        <v>32055</v>
      </c>
      <c r="K1325" t="s">
        <v>40286</v>
      </c>
      <c r="M1325" t="s">
        <v>41153</v>
      </c>
      <c r="N1325" t="s">
        <v>44759</v>
      </c>
      <c r="O1325" t="s">
        <v>44760</v>
      </c>
      <c r="P1325">
        <v>0</v>
      </c>
      <c r="Q1325">
        <v>0</v>
      </c>
      <c r="R1325" t="s">
        <v>44761</v>
      </c>
      <c r="S1325" t="s">
        <v>44862</v>
      </c>
      <c r="T1325" t="s">
        <v>46366</v>
      </c>
      <c r="U1325" t="s">
        <v>48108</v>
      </c>
      <c r="V1325" t="s">
        <v>59259</v>
      </c>
      <c r="W1325" t="s">
        <v>41153</v>
      </c>
      <c r="X1325" t="s">
        <v>44762</v>
      </c>
    </row>
    <row r="1326" spans="1:24">
      <c r="A1326">
        <f>HYPERLINK("https://www.philgeps.gov.ph/GEPSNONPILOT/Tender/SplashBidNoticeAbstractUI.aspx?menuIndex=3&amp;refID=7153604&amp;Result=3","7153604")</f>
        <v>0</v>
      </c>
      <c r="B1326" t="s">
        <v>493</v>
      </c>
      <c r="C1326" t="s">
        <v>5034</v>
      </c>
      <c r="D1326" t="s">
        <v>17975</v>
      </c>
      <c r="E1326" t="s">
        <v>19284</v>
      </c>
      <c r="F1326" t="s">
        <v>30900</v>
      </c>
      <c r="G1326" t="s">
        <v>30908</v>
      </c>
      <c r="H1326" t="s">
        <v>30916</v>
      </c>
      <c r="I1326" t="s">
        <v>30926</v>
      </c>
      <c r="J1326" t="s">
        <v>32056</v>
      </c>
      <c r="K1326" t="s">
        <v>40289</v>
      </c>
      <c r="M1326" t="s">
        <v>41052</v>
      </c>
      <c r="N1326" t="s">
        <v>44759</v>
      </c>
      <c r="O1326" t="s">
        <v>44760</v>
      </c>
      <c r="P1326">
        <v>0</v>
      </c>
      <c r="Q1326">
        <v>0</v>
      </c>
      <c r="R1326" t="s">
        <v>44761</v>
      </c>
      <c r="S1326" t="s">
        <v>44862</v>
      </c>
      <c r="T1326" t="s">
        <v>46399</v>
      </c>
      <c r="U1326" t="s">
        <v>48115</v>
      </c>
      <c r="W1326" t="s">
        <v>41052</v>
      </c>
      <c r="X1326" t="s">
        <v>44762</v>
      </c>
    </row>
    <row r="1327" spans="1:24">
      <c r="A1327">
        <f>HYPERLINK("https://www.philgeps.gov.ph/GEPSNONPILOT/Tender/SplashBidNoticeAbstractUI.aspx?menuIndex=3&amp;refID=7153593&amp;Result=3","7153593")</f>
        <v>0</v>
      </c>
      <c r="B1327" t="s">
        <v>664</v>
      </c>
      <c r="C1327" t="s">
        <v>5035</v>
      </c>
      <c r="D1327" t="s">
        <v>17972</v>
      </c>
      <c r="E1327" t="s">
        <v>19285</v>
      </c>
      <c r="F1327" t="s">
        <v>30900</v>
      </c>
      <c r="G1327" t="s">
        <v>30908</v>
      </c>
      <c r="H1327" t="s">
        <v>30916</v>
      </c>
      <c r="I1327" t="s">
        <v>4545</v>
      </c>
      <c r="J1327" t="s">
        <v>32057</v>
      </c>
      <c r="K1327" t="s">
        <v>40286</v>
      </c>
      <c r="M1327" t="s">
        <v>41227</v>
      </c>
      <c r="N1327" t="s">
        <v>44759</v>
      </c>
      <c r="O1327" t="s">
        <v>44760</v>
      </c>
      <c r="P1327">
        <v>0</v>
      </c>
      <c r="Q1327">
        <v>0</v>
      </c>
      <c r="R1327" t="s">
        <v>44761</v>
      </c>
      <c r="S1327" t="s">
        <v>44862</v>
      </c>
      <c r="T1327" t="s">
        <v>46418</v>
      </c>
      <c r="U1327" t="s">
        <v>48116</v>
      </c>
      <c r="W1327" t="s">
        <v>60833</v>
      </c>
      <c r="X1327" t="s">
        <v>44762</v>
      </c>
    </row>
    <row r="1328" spans="1:24">
      <c r="A1328">
        <f>HYPERLINK("https://www.philgeps.gov.ph/GEPSNONPILOT/Tender/SplashBidNoticeAbstractUI.aspx?menuIndex=3&amp;refID=7153592&amp;Result=3","7153592")</f>
        <v>0</v>
      </c>
      <c r="B1328" t="s">
        <v>665</v>
      </c>
      <c r="C1328" t="s">
        <v>5036</v>
      </c>
      <c r="D1328" t="s">
        <v>17990</v>
      </c>
      <c r="E1328" t="s">
        <v>19286</v>
      </c>
      <c r="F1328" t="s">
        <v>30900</v>
      </c>
      <c r="G1328" t="s">
        <v>30909</v>
      </c>
      <c r="H1328" t="s">
        <v>30916</v>
      </c>
      <c r="I1328" t="s">
        <v>30922</v>
      </c>
      <c r="J1328" t="s">
        <v>32058</v>
      </c>
      <c r="K1328" t="s">
        <v>40287</v>
      </c>
      <c r="M1328" t="s">
        <v>41228</v>
      </c>
      <c r="N1328" t="s">
        <v>44759</v>
      </c>
      <c r="O1328" t="s">
        <v>44760</v>
      </c>
      <c r="P1328">
        <v>0</v>
      </c>
      <c r="Q1328">
        <v>0</v>
      </c>
      <c r="R1328" t="s">
        <v>44761</v>
      </c>
      <c r="S1328" t="s">
        <v>44862</v>
      </c>
      <c r="T1328" t="s">
        <v>46410</v>
      </c>
      <c r="U1328" t="s">
        <v>48117</v>
      </c>
      <c r="W1328" t="s">
        <v>41228</v>
      </c>
      <c r="X1328" t="s">
        <v>44762</v>
      </c>
    </row>
    <row r="1329" spans="1:24">
      <c r="A1329">
        <f>HYPERLINK("https://www.philgeps.gov.ph/GEPSNONPILOT/Tender/SplashBidNoticeAbstractUI.aspx?menuIndex=3&amp;refID=7153600&amp;Result=3","7153600")</f>
        <v>0</v>
      </c>
      <c r="B1329" t="s">
        <v>666</v>
      </c>
      <c r="C1329" t="s">
        <v>5037</v>
      </c>
      <c r="D1329" t="s">
        <v>17973</v>
      </c>
      <c r="E1329" t="s">
        <v>19287</v>
      </c>
      <c r="F1329" t="s">
        <v>30900</v>
      </c>
      <c r="G1329" t="s">
        <v>30908</v>
      </c>
      <c r="H1329" t="s">
        <v>30916</v>
      </c>
      <c r="I1329" t="s">
        <v>30939</v>
      </c>
      <c r="J1329" t="s">
        <v>32059</v>
      </c>
      <c r="K1329" t="s">
        <v>40289</v>
      </c>
      <c r="M1329" t="s">
        <v>41229</v>
      </c>
      <c r="N1329" t="s">
        <v>44759</v>
      </c>
      <c r="O1329" t="s">
        <v>44760</v>
      </c>
      <c r="P1329">
        <v>0</v>
      </c>
      <c r="Q1329">
        <v>0</v>
      </c>
      <c r="R1329" t="s">
        <v>44761</v>
      </c>
      <c r="S1329" t="s">
        <v>44862</v>
      </c>
      <c r="T1329" t="s">
        <v>46390</v>
      </c>
      <c r="U1329" t="s">
        <v>48118</v>
      </c>
      <c r="W1329" t="s">
        <v>41229</v>
      </c>
      <c r="X1329" t="s">
        <v>44762</v>
      </c>
    </row>
    <row r="1330" spans="1:24">
      <c r="A1330">
        <f>HYPERLINK("https://www.philgeps.gov.ph/GEPSNONPILOT/Tender/SplashBidNoticeAbstractUI.aspx?menuIndex=3&amp;refID=7153572&amp;Result=3","7153572")</f>
        <v>0</v>
      </c>
      <c r="B1330" t="s">
        <v>667</v>
      </c>
      <c r="C1330" t="s">
        <v>5038</v>
      </c>
      <c r="D1330" t="s">
        <v>17977</v>
      </c>
      <c r="E1330" t="s">
        <v>19288</v>
      </c>
      <c r="F1330" t="s">
        <v>30900</v>
      </c>
      <c r="G1330" t="s">
        <v>30908</v>
      </c>
      <c r="H1330" t="s">
        <v>30916</v>
      </c>
      <c r="I1330" t="s">
        <v>6953</v>
      </c>
      <c r="J1330" t="s">
        <v>32060</v>
      </c>
      <c r="K1330" t="s">
        <v>40287</v>
      </c>
      <c r="M1330" t="s">
        <v>41230</v>
      </c>
      <c r="N1330" t="s">
        <v>44759</v>
      </c>
      <c r="O1330" t="s">
        <v>44760</v>
      </c>
      <c r="P1330">
        <v>0</v>
      </c>
      <c r="Q1330">
        <v>0</v>
      </c>
      <c r="R1330" t="s">
        <v>44761</v>
      </c>
      <c r="S1330" t="s">
        <v>44862</v>
      </c>
      <c r="T1330" t="s">
        <v>46356</v>
      </c>
      <c r="U1330" t="s">
        <v>48119</v>
      </c>
      <c r="W1330" t="s">
        <v>41230</v>
      </c>
      <c r="X1330" t="s">
        <v>44762</v>
      </c>
    </row>
    <row r="1331" spans="1:24">
      <c r="A1331">
        <f>HYPERLINK("https://www.philgeps.gov.ph/GEPSNONPILOT/Tender/SplashBidNoticeAbstractUI.aspx?menuIndex=3&amp;refID=7153608&amp;Result=3","7153608")</f>
        <v>0</v>
      </c>
      <c r="B1331" t="s">
        <v>143</v>
      </c>
      <c r="C1331" t="s">
        <v>5039</v>
      </c>
      <c r="D1331" t="s">
        <v>17965</v>
      </c>
      <c r="E1331" t="s">
        <v>19289</v>
      </c>
      <c r="F1331" t="s">
        <v>30900</v>
      </c>
      <c r="G1331" t="s">
        <v>30907</v>
      </c>
      <c r="H1331" t="s">
        <v>30915</v>
      </c>
      <c r="I1331" t="s">
        <v>30919</v>
      </c>
      <c r="J1331" t="s">
        <v>32061</v>
      </c>
      <c r="K1331" t="s">
        <v>40317</v>
      </c>
      <c r="M1331" t="s">
        <v>40854</v>
      </c>
      <c r="N1331" t="s">
        <v>44759</v>
      </c>
      <c r="O1331" t="s">
        <v>44760</v>
      </c>
      <c r="P1331">
        <v>0</v>
      </c>
      <c r="Q1331">
        <v>0</v>
      </c>
      <c r="R1331" t="s">
        <v>44761</v>
      </c>
      <c r="S1331" t="s">
        <v>44862</v>
      </c>
      <c r="T1331" t="s">
        <v>46418</v>
      </c>
      <c r="U1331" t="s">
        <v>47423</v>
      </c>
      <c r="W1331" t="s">
        <v>40854</v>
      </c>
      <c r="X1331" t="s">
        <v>44762</v>
      </c>
    </row>
    <row r="1332" spans="1:24">
      <c r="A1332">
        <f>HYPERLINK("https://www.philgeps.gov.ph/GEPSNONPILOT/Tender/SplashBidNoticeAbstractUI.aspx?menuIndex=3&amp;refID=7153568&amp;Result=3","7153568")</f>
        <v>0</v>
      </c>
      <c r="B1332" t="s">
        <v>98</v>
      </c>
      <c r="C1332" t="s">
        <v>5040</v>
      </c>
      <c r="D1332" t="s">
        <v>17994</v>
      </c>
      <c r="E1332" t="s">
        <v>19290</v>
      </c>
      <c r="F1332" t="s">
        <v>30900</v>
      </c>
      <c r="G1332" t="s">
        <v>30908</v>
      </c>
      <c r="H1332" t="s">
        <v>30916</v>
      </c>
      <c r="I1332" t="s">
        <v>4142</v>
      </c>
      <c r="J1332" t="s">
        <v>32062</v>
      </c>
      <c r="K1332" t="s">
        <v>40289</v>
      </c>
      <c r="M1332" t="s">
        <v>40645</v>
      </c>
      <c r="N1332" t="s">
        <v>44759</v>
      </c>
      <c r="O1332" t="s">
        <v>44760</v>
      </c>
      <c r="P1332">
        <v>0</v>
      </c>
      <c r="Q1332">
        <v>0</v>
      </c>
      <c r="R1332" t="s">
        <v>44761</v>
      </c>
      <c r="S1332" t="s">
        <v>44862</v>
      </c>
      <c r="T1332" t="s">
        <v>46399</v>
      </c>
      <c r="U1332" t="s">
        <v>48120</v>
      </c>
      <c r="V1332" t="s">
        <v>59119</v>
      </c>
      <c r="W1332" t="s">
        <v>40645</v>
      </c>
      <c r="X1332" t="s">
        <v>44762</v>
      </c>
    </row>
    <row r="1333" spans="1:24">
      <c r="A1333">
        <f>HYPERLINK("https://www.philgeps.gov.ph/GEPSNONPILOT/Tender/SplashBidNoticeAbstractUI.aspx?menuIndex=3&amp;refID=7153597&amp;Result=3","7153597")</f>
        <v>0</v>
      </c>
      <c r="B1333" t="s">
        <v>667</v>
      </c>
      <c r="C1333" t="s">
        <v>5041</v>
      </c>
      <c r="D1333" t="s">
        <v>17977</v>
      </c>
      <c r="E1333" t="s">
        <v>19291</v>
      </c>
      <c r="F1333" t="s">
        <v>30900</v>
      </c>
      <c r="G1333" t="s">
        <v>30908</v>
      </c>
      <c r="H1333" t="s">
        <v>30916</v>
      </c>
      <c r="I1333" t="s">
        <v>30923</v>
      </c>
      <c r="J1333" t="s">
        <v>31049</v>
      </c>
      <c r="K1333" t="s">
        <v>40287</v>
      </c>
      <c r="M1333" t="s">
        <v>41230</v>
      </c>
      <c r="N1333" t="s">
        <v>44759</v>
      </c>
      <c r="O1333" t="s">
        <v>44760</v>
      </c>
      <c r="P1333">
        <v>0</v>
      </c>
      <c r="Q1333">
        <v>0</v>
      </c>
      <c r="R1333" t="s">
        <v>44761</v>
      </c>
      <c r="S1333" t="s">
        <v>44862</v>
      </c>
      <c r="T1333" t="s">
        <v>46356</v>
      </c>
      <c r="U1333" t="s">
        <v>48119</v>
      </c>
      <c r="W1333" t="s">
        <v>41230</v>
      </c>
      <c r="X1333" t="s">
        <v>44762</v>
      </c>
    </row>
    <row r="1334" spans="1:24">
      <c r="A1334">
        <f>HYPERLINK("https://www.philgeps.gov.ph/GEPSNONPILOT/Tender/SplashBidNoticeAbstractUI.aspx?menuIndex=3&amp;refID=7153566&amp;Result=3","7153566")</f>
        <v>0</v>
      </c>
      <c r="B1334" t="s">
        <v>527</v>
      </c>
      <c r="C1334" t="s">
        <v>5042</v>
      </c>
      <c r="D1334" t="s">
        <v>17961</v>
      </c>
      <c r="E1334" t="s">
        <v>19292</v>
      </c>
      <c r="F1334" t="s">
        <v>30900</v>
      </c>
      <c r="G1334" t="s">
        <v>30907</v>
      </c>
      <c r="H1334" t="s">
        <v>30916</v>
      </c>
      <c r="I1334" t="s">
        <v>30949</v>
      </c>
      <c r="J1334" t="s">
        <v>31098</v>
      </c>
      <c r="K1334" t="s">
        <v>40286</v>
      </c>
      <c r="M1334" t="s">
        <v>41087</v>
      </c>
      <c r="N1334" t="s">
        <v>44759</v>
      </c>
      <c r="O1334" t="s">
        <v>44760</v>
      </c>
      <c r="P1334">
        <v>0</v>
      </c>
      <c r="Q1334">
        <v>0</v>
      </c>
      <c r="R1334" t="s">
        <v>44761</v>
      </c>
      <c r="S1334" t="s">
        <v>44862</v>
      </c>
      <c r="T1334" t="s">
        <v>46519</v>
      </c>
      <c r="U1334" t="s">
        <v>48121</v>
      </c>
      <c r="W1334" t="s">
        <v>41087</v>
      </c>
      <c r="X1334" t="s">
        <v>44762</v>
      </c>
    </row>
    <row r="1335" spans="1:24">
      <c r="A1335">
        <f>HYPERLINK("https://www.philgeps.gov.ph/GEPSNONPILOT/Tender/SplashBidNoticeAbstractUI.aspx?menuIndex=3&amp;refID=7153594&amp;Result=3","7153594")</f>
        <v>0</v>
      </c>
      <c r="B1335" t="s">
        <v>668</v>
      </c>
      <c r="C1335" t="s">
        <v>5043</v>
      </c>
      <c r="D1335" t="s">
        <v>17953</v>
      </c>
      <c r="E1335" t="s">
        <v>19293</v>
      </c>
      <c r="F1335" t="s">
        <v>30900</v>
      </c>
      <c r="G1335" t="s">
        <v>30907</v>
      </c>
      <c r="H1335" t="s">
        <v>30916</v>
      </c>
      <c r="I1335" t="s">
        <v>30933</v>
      </c>
      <c r="J1335" t="s">
        <v>31407</v>
      </c>
      <c r="K1335" t="s">
        <v>40286</v>
      </c>
      <c r="M1335" t="s">
        <v>41231</v>
      </c>
      <c r="N1335" t="s">
        <v>44759</v>
      </c>
      <c r="O1335" t="s">
        <v>44760</v>
      </c>
      <c r="P1335">
        <v>0</v>
      </c>
      <c r="Q1335">
        <v>0</v>
      </c>
      <c r="R1335" t="s">
        <v>44761</v>
      </c>
      <c r="S1335" t="s">
        <v>44862</v>
      </c>
      <c r="T1335" t="s">
        <v>46520</v>
      </c>
      <c r="U1335" t="s">
        <v>48122</v>
      </c>
      <c r="W1335" t="s">
        <v>41231</v>
      </c>
      <c r="X1335" t="s">
        <v>44762</v>
      </c>
    </row>
    <row r="1336" spans="1:24">
      <c r="A1336">
        <f>HYPERLINK("https://www.philgeps.gov.ph/GEPSNONPILOT/Tender/SplashBidNoticeAbstractUI.aspx?menuIndex=3&amp;refID=7153491&amp;Result=3","7153491")</f>
        <v>0</v>
      </c>
      <c r="B1336" t="s">
        <v>645</v>
      </c>
      <c r="C1336" t="s">
        <v>5044</v>
      </c>
      <c r="D1336" t="s">
        <v>17951</v>
      </c>
      <c r="E1336" t="s">
        <v>18141</v>
      </c>
      <c r="F1336" t="s">
        <v>30900</v>
      </c>
      <c r="G1336" t="s">
        <v>30908</v>
      </c>
      <c r="H1336" t="s">
        <v>30916</v>
      </c>
      <c r="I1336" t="s">
        <v>6746</v>
      </c>
      <c r="J1336" t="s">
        <v>32063</v>
      </c>
      <c r="K1336" t="s">
        <v>40283</v>
      </c>
      <c r="M1336" t="s">
        <v>41208</v>
      </c>
      <c r="N1336" t="s">
        <v>44759</v>
      </c>
      <c r="O1336" t="s">
        <v>44760</v>
      </c>
      <c r="P1336">
        <v>0</v>
      </c>
      <c r="Q1336">
        <v>0</v>
      </c>
      <c r="R1336" t="s">
        <v>44761</v>
      </c>
      <c r="S1336" t="s">
        <v>44862</v>
      </c>
      <c r="T1336" t="s">
        <v>46418</v>
      </c>
      <c r="U1336" t="s">
        <v>48083</v>
      </c>
      <c r="W1336" t="s">
        <v>41208</v>
      </c>
      <c r="X1336" t="s">
        <v>44762</v>
      </c>
    </row>
    <row r="1337" spans="1:24">
      <c r="A1337">
        <f>HYPERLINK("https://www.philgeps.gov.ph/GEPSNONPILOT/Tender/SplashBidNoticeAbstractUI.aspx?menuIndex=3&amp;refID=7153601&amp;Result=3","7153601")</f>
        <v>0</v>
      </c>
      <c r="B1337" t="s">
        <v>124</v>
      </c>
      <c r="C1337" t="s">
        <v>5045</v>
      </c>
      <c r="D1337" t="s">
        <v>17982</v>
      </c>
      <c r="E1337" t="s">
        <v>19294</v>
      </c>
      <c r="F1337" t="s">
        <v>30900</v>
      </c>
      <c r="G1337" t="s">
        <v>30907</v>
      </c>
      <c r="H1337" t="s">
        <v>30916</v>
      </c>
      <c r="I1337" t="s">
        <v>8123</v>
      </c>
      <c r="J1337" t="s">
        <v>32064</v>
      </c>
      <c r="K1337" t="s">
        <v>40283</v>
      </c>
      <c r="M1337" t="s">
        <v>40671</v>
      </c>
      <c r="N1337" t="s">
        <v>44759</v>
      </c>
      <c r="O1337" t="s">
        <v>44760</v>
      </c>
      <c r="P1337">
        <v>0</v>
      </c>
      <c r="Q1337">
        <v>0</v>
      </c>
      <c r="R1337" t="s">
        <v>44761</v>
      </c>
      <c r="S1337" t="s">
        <v>44862</v>
      </c>
      <c r="T1337" t="s">
        <v>46380</v>
      </c>
      <c r="U1337" t="s">
        <v>48123</v>
      </c>
      <c r="W1337" t="s">
        <v>40671</v>
      </c>
      <c r="X1337" t="s">
        <v>44762</v>
      </c>
    </row>
    <row r="1338" spans="1:24">
      <c r="A1338">
        <f>HYPERLINK("https://www.philgeps.gov.ph/GEPSNONPILOT/Tender/SplashBidNoticeAbstractUI.aspx?menuIndex=3&amp;refID=7153636&amp;Result=3","7153636")</f>
        <v>0</v>
      </c>
      <c r="B1338" t="s">
        <v>669</v>
      </c>
      <c r="C1338" t="s">
        <v>5046</v>
      </c>
      <c r="D1338" t="s">
        <v>17975</v>
      </c>
      <c r="E1338" t="s">
        <v>19295</v>
      </c>
      <c r="F1338" t="s">
        <v>30900</v>
      </c>
      <c r="G1338" t="s">
        <v>30908</v>
      </c>
      <c r="H1338" t="s">
        <v>30915</v>
      </c>
      <c r="I1338" t="s">
        <v>30919</v>
      </c>
      <c r="J1338" t="s">
        <v>32065</v>
      </c>
      <c r="K1338" t="s">
        <v>40293</v>
      </c>
      <c r="M1338" t="s">
        <v>41232</v>
      </c>
      <c r="N1338" t="s">
        <v>44759</v>
      </c>
      <c r="O1338" t="s">
        <v>44760</v>
      </c>
      <c r="P1338">
        <v>0</v>
      </c>
      <c r="Q1338">
        <v>0</v>
      </c>
      <c r="R1338" t="s">
        <v>44761</v>
      </c>
      <c r="S1338" t="s">
        <v>44862</v>
      </c>
      <c r="T1338" t="s">
        <v>46395</v>
      </c>
      <c r="U1338" t="s">
        <v>48124</v>
      </c>
      <c r="W1338" t="s">
        <v>41232</v>
      </c>
      <c r="X1338" t="s">
        <v>44762</v>
      </c>
    </row>
    <row r="1339" spans="1:24">
      <c r="A1339">
        <f>HYPERLINK("https://www.philgeps.gov.ph/GEPSNONPILOT/Tender/SplashBidNoticeAbstractUI.aspx?menuIndex=3&amp;refID=7153573&amp;Result=3","7153573")</f>
        <v>0</v>
      </c>
      <c r="B1339" t="s">
        <v>237</v>
      </c>
      <c r="C1339" t="s">
        <v>5047</v>
      </c>
      <c r="D1339" t="s">
        <v>17977</v>
      </c>
      <c r="E1339" t="s">
        <v>19296</v>
      </c>
      <c r="F1339" t="s">
        <v>30900</v>
      </c>
      <c r="G1339" t="s">
        <v>30908</v>
      </c>
      <c r="H1339" t="s">
        <v>30916</v>
      </c>
      <c r="I1339" t="s">
        <v>6396</v>
      </c>
      <c r="J1339" t="s">
        <v>32066</v>
      </c>
      <c r="K1339" t="s">
        <v>40289</v>
      </c>
      <c r="M1339" t="s">
        <v>40784</v>
      </c>
      <c r="N1339" t="s">
        <v>44759</v>
      </c>
      <c r="O1339" t="s">
        <v>44760</v>
      </c>
      <c r="P1339">
        <v>0</v>
      </c>
      <c r="Q1339">
        <v>0</v>
      </c>
      <c r="R1339" t="s">
        <v>44761</v>
      </c>
      <c r="S1339" t="s">
        <v>44862</v>
      </c>
      <c r="T1339" t="s">
        <v>46393</v>
      </c>
      <c r="U1339" t="s">
        <v>48125</v>
      </c>
      <c r="W1339" t="s">
        <v>40784</v>
      </c>
      <c r="X1339" t="s">
        <v>44762</v>
      </c>
    </row>
    <row r="1340" spans="1:24">
      <c r="A1340">
        <f>HYPERLINK("https://www.philgeps.gov.ph/GEPSNONPILOT/Tender/SplashBidNoticeAbstractUI.aspx?menuIndex=3&amp;refID=7153569&amp;Result=3","7153569")</f>
        <v>0</v>
      </c>
      <c r="B1340" t="s">
        <v>570</v>
      </c>
      <c r="C1340" t="s">
        <v>5048</v>
      </c>
      <c r="D1340" t="s">
        <v>17985</v>
      </c>
      <c r="E1340" t="s">
        <v>19297</v>
      </c>
      <c r="F1340" t="s">
        <v>30900</v>
      </c>
      <c r="G1340" t="s">
        <v>30908</v>
      </c>
      <c r="H1340" t="s">
        <v>30916</v>
      </c>
      <c r="I1340" t="s">
        <v>30934</v>
      </c>
      <c r="J1340" t="s">
        <v>32067</v>
      </c>
      <c r="K1340" t="s">
        <v>40289</v>
      </c>
      <c r="M1340" t="s">
        <v>41131</v>
      </c>
      <c r="N1340" t="s">
        <v>44759</v>
      </c>
      <c r="O1340" t="s">
        <v>44760</v>
      </c>
      <c r="P1340">
        <v>0</v>
      </c>
      <c r="Q1340">
        <v>0</v>
      </c>
      <c r="R1340" t="s">
        <v>44761</v>
      </c>
      <c r="S1340" t="s">
        <v>44862</v>
      </c>
      <c r="T1340" t="s">
        <v>46376</v>
      </c>
      <c r="U1340" t="s">
        <v>48126</v>
      </c>
      <c r="W1340" t="s">
        <v>41131</v>
      </c>
      <c r="X1340" t="s">
        <v>44762</v>
      </c>
    </row>
    <row r="1341" spans="1:24">
      <c r="A1341">
        <f>HYPERLINK("https://www.philgeps.gov.ph/GEPSNONPILOT/Tender/SplashBidNoticeAbstractUI.aspx?menuIndex=3&amp;refID=7153634&amp;Result=3","7153634")</f>
        <v>0</v>
      </c>
      <c r="B1341" t="s">
        <v>670</v>
      </c>
      <c r="C1341" t="s">
        <v>5049</v>
      </c>
      <c r="D1341" t="s">
        <v>18012</v>
      </c>
      <c r="E1341" t="s">
        <v>19298</v>
      </c>
      <c r="F1341" t="s">
        <v>30900</v>
      </c>
      <c r="G1341" t="s">
        <v>30908</v>
      </c>
      <c r="H1341" t="s">
        <v>30916</v>
      </c>
      <c r="I1341" t="s">
        <v>30923</v>
      </c>
      <c r="J1341" t="s">
        <v>31355</v>
      </c>
      <c r="K1341" t="s">
        <v>40284</v>
      </c>
      <c r="M1341" t="s">
        <v>41233</v>
      </c>
      <c r="N1341" t="s">
        <v>44759</v>
      </c>
      <c r="O1341" t="s">
        <v>44760</v>
      </c>
      <c r="P1341">
        <v>0</v>
      </c>
      <c r="Q1341">
        <v>0</v>
      </c>
      <c r="R1341" t="s">
        <v>44761</v>
      </c>
      <c r="S1341" t="s">
        <v>44862</v>
      </c>
      <c r="T1341" t="s">
        <v>46389</v>
      </c>
      <c r="U1341" t="s">
        <v>48127</v>
      </c>
      <c r="W1341" t="s">
        <v>41233</v>
      </c>
      <c r="X1341" t="s">
        <v>44762</v>
      </c>
    </row>
    <row r="1342" spans="1:24">
      <c r="A1342">
        <f>HYPERLINK("https://www.philgeps.gov.ph/GEPSNONPILOT/Tender/SplashBidNoticeAbstractUI.aspx?menuIndex=3&amp;refID=7153633&amp;Result=3","7153633")</f>
        <v>0</v>
      </c>
      <c r="B1342" t="s">
        <v>671</v>
      </c>
      <c r="C1342" t="s">
        <v>5050</v>
      </c>
      <c r="D1342" t="s">
        <v>17990</v>
      </c>
      <c r="E1342" t="s">
        <v>19299</v>
      </c>
      <c r="F1342" t="s">
        <v>30900</v>
      </c>
      <c r="G1342" t="s">
        <v>30908</v>
      </c>
      <c r="H1342" t="s">
        <v>30916</v>
      </c>
      <c r="I1342" t="s">
        <v>30923</v>
      </c>
      <c r="J1342" t="s">
        <v>32068</v>
      </c>
      <c r="K1342" t="s">
        <v>40283</v>
      </c>
      <c r="M1342" t="s">
        <v>41234</v>
      </c>
      <c r="N1342" t="s">
        <v>44759</v>
      </c>
      <c r="O1342" t="s">
        <v>44760</v>
      </c>
      <c r="P1342">
        <v>0</v>
      </c>
      <c r="Q1342">
        <v>0</v>
      </c>
      <c r="R1342" t="s">
        <v>44761</v>
      </c>
      <c r="S1342" t="s">
        <v>44862</v>
      </c>
      <c r="T1342" t="s">
        <v>46376</v>
      </c>
      <c r="U1342" t="s">
        <v>48128</v>
      </c>
      <c r="W1342" t="s">
        <v>41234</v>
      </c>
      <c r="X1342" t="s">
        <v>44762</v>
      </c>
    </row>
    <row r="1343" spans="1:24">
      <c r="A1343">
        <f>HYPERLINK("https://www.philgeps.gov.ph/GEPSNONPILOT/Tender/SplashBidNoticeAbstractUI.aspx?menuIndex=3&amp;refID=7153629&amp;Result=3","7153629")</f>
        <v>0</v>
      </c>
      <c r="B1343" t="s">
        <v>143</v>
      </c>
      <c r="C1343" t="s">
        <v>5051</v>
      </c>
      <c r="D1343" t="s">
        <v>17965</v>
      </c>
      <c r="E1343" t="s">
        <v>19300</v>
      </c>
      <c r="F1343" t="s">
        <v>30900</v>
      </c>
      <c r="G1343" t="s">
        <v>30907</v>
      </c>
      <c r="H1343" t="s">
        <v>30915</v>
      </c>
      <c r="I1343" t="s">
        <v>30919</v>
      </c>
      <c r="J1343" t="s">
        <v>32069</v>
      </c>
      <c r="K1343" t="s">
        <v>40291</v>
      </c>
      <c r="M1343" t="s">
        <v>40854</v>
      </c>
      <c r="N1343" t="s">
        <v>44759</v>
      </c>
      <c r="O1343" t="s">
        <v>44760</v>
      </c>
      <c r="P1343">
        <v>0</v>
      </c>
      <c r="Q1343">
        <v>0</v>
      </c>
      <c r="R1343" t="s">
        <v>44761</v>
      </c>
      <c r="S1343" t="s">
        <v>44862</v>
      </c>
      <c r="T1343" t="s">
        <v>46418</v>
      </c>
      <c r="U1343" t="s">
        <v>47423</v>
      </c>
      <c r="W1343" t="s">
        <v>40854</v>
      </c>
      <c r="X1343" t="s">
        <v>44762</v>
      </c>
    </row>
    <row r="1344" spans="1:24">
      <c r="A1344">
        <f>HYPERLINK("https://www.philgeps.gov.ph/GEPSNONPILOT/Tender/SplashBidNoticeAbstractUI.aspx?menuIndex=3&amp;refID=7153628&amp;Result=3","7153628")</f>
        <v>0</v>
      </c>
      <c r="B1344" t="s">
        <v>672</v>
      </c>
      <c r="C1344" t="s">
        <v>5052</v>
      </c>
      <c r="D1344" t="s">
        <v>17981</v>
      </c>
      <c r="E1344" t="s">
        <v>19301</v>
      </c>
      <c r="F1344" t="s">
        <v>30900</v>
      </c>
      <c r="G1344" t="s">
        <v>30912</v>
      </c>
      <c r="H1344" t="s">
        <v>30916</v>
      </c>
      <c r="I1344" t="s">
        <v>30942</v>
      </c>
      <c r="J1344" t="s">
        <v>32070</v>
      </c>
      <c r="K1344" t="s">
        <v>40344</v>
      </c>
      <c r="M1344" t="s">
        <v>41235</v>
      </c>
      <c r="N1344" t="s">
        <v>44759</v>
      </c>
      <c r="O1344" t="s">
        <v>44760</v>
      </c>
      <c r="P1344">
        <v>0</v>
      </c>
      <c r="Q1344">
        <v>0</v>
      </c>
      <c r="R1344" t="s">
        <v>44761</v>
      </c>
      <c r="S1344" t="s">
        <v>44862</v>
      </c>
      <c r="T1344" t="s">
        <v>46352</v>
      </c>
      <c r="U1344" t="s">
        <v>48129</v>
      </c>
      <c r="W1344" t="s">
        <v>41235</v>
      </c>
      <c r="X1344" t="s">
        <v>44762</v>
      </c>
    </row>
    <row r="1345" spans="1:24">
      <c r="A1345">
        <f>HYPERLINK("https://www.philgeps.gov.ph/GEPSNONPILOT/Tender/SplashBidNoticeAbstractUI.aspx?menuIndex=3&amp;refID=7153627&amp;Result=3","7153627")</f>
        <v>0</v>
      </c>
      <c r="B1345" t="s">
        <v>673</v>
      </c>
      <c r="C1345" t="s">
        <v>5053</v>
      </c>
      <c r="D1345" t="s">
        <v>17952</v>
      </c>
      <c r="E1345" t="s">
        <v>19302</v>
      </c>
      <c r="F1345" t="s">
        <v>30900</v>
      </c>
      <c r="G1345" t="s">
        <v>30909</v>
      </c>
      <c r="H1345" t="s">
        <v>30916</v>
      </c>
      <c r="I1345" t="s">
        <v>30923</v>
      </c>
      <c r="J1345" t="s">
        <v>32071</v>
      </c>
      <c r="K1345" t="s">
        <v>40285</v>
      </c>
      <c r="M1345" t="s">
        <v>41236</v>
      </c>
      <c r="N1345" t="s">
        <v>44759</v>
      </c>
      <c r="O1345" t="s">
        <v>44760</v>
      </c>
      <c r="P1345">
        <v>0</v>
      </c>
      <c r="Q1345">
        <v>0</v>
      </c>
      <c r="R1345" t="s">
        <v>44761</v>
      </c>
      <c r="S1345" t="s">
        <v>44862</v>
      </c>
      <c r="T1345" t="s">
        <v>46410</v>
      </c>
      <c r="U1345" t="s">
        <v>48130</v>
      </c>
      <c r="W1345" t="s">
        <v>41236</v>
      </c>
      <c r="X1345" t="s">
        <v>44762</v>
      </c>
    </row>
    <row r="1346" spans="1:24">
      <c r="A1346">
        <f>HYPERLINK("https://www.philgeps.gov.ph/GEPSNONPILOT/Tender/SplashBidNoticeAbstractUI.aspx?menuIndex=3&amp;refID=7153513&amp;Result=3","7153513")</f>
        <v>0</v>
      </c>
      <c r="B1346" t="s">
        <v>105</v>
      </c>
      <c r="C1346" t="s">
        <v>5054</v>
      </c>
      <c r="D1346" t="s">
        <v>17952</v>
      </c>
      <c r="E1346" t="s">
        <v>19303</v>
      </c>
      <c r="F1346" t="s">
        <v>30900</v>
      </c>
      <c r="G1346" t="s">
        <v>30907</v>
      </c>
      <c r="H1346" t="s">
        <v>30916</v>
      </c>
      <c r="I1346" t="s">
        <v>4454</v>
      </c>
      <c r="J1346" t="s">
        <v>32072</v>
      </c>
      <c r="K1346" t="s">
        <v>40283</v>
      </c>
      <c r="M1346" t="s">
        <v>40652</v>
      </c>
      <c r="N1346" t="s">
        <v>44759</v>
      </c>
      <c r="O1346" t="s">
        <v>44760</v>
      </c>
      <c r="P1346">
        <v>0</v>
      </c>
      <c r="Q1346">
        <v>0</v>
      </c>
      <c r="R1346" t="s">
        <v>44761</v>
      </c>
      <c r="S1346" t="s">
        <v>44862</v>
      </c>
      <c r="T1346" t="s">
        <v>46373</v>
      </c>
      <c r="U1346" t="s">
        <v>48131</v>
      </c>
      <c r="W1346" t="s">
        <v>40652</v>
      </c>
      <c r="X1346" t="s">
        <v>44762</v>
      </c>
    </row>
    <row r="1347" spans="1:24">
      <c r="A1347">
        <f>HYPERLINK("https://www.philgeps.gov.ph/GEPSNONPILOT/Tender/SplashBidNoticeAbstractUI.aspx?menuIndex=3&amp;refID=7153625&amp;Result=3","7153625")</f>
        <v>0</v>
      </c>
      <c r="B1347" t="s">
        <v>674</v>
      </c>
      <c r="C1347" t="s">
        <v>5055</v>
      </c>
      <c r="D1347" t="s">
        <v>17953</v>
      </c>
      <c r="E1347" t="s">
        <v>19293</v>
      </c>
      <c r="F1347" t="s">
        <v>30900</v>
      </c>
      <c r="G1347" t="s">
        <v>30907</v>
      </c>
      <c r="H1347" t="s">
        <v>30916</v>
      </c>
      <c r="I1347" t="s">
        <v>30933</v>
      </c>
      <c r="J1347" t="s">
        <v>32049</v>
      </c>
      <c r="K1347" t="s">
        <v>40286</v>
      </c>
      <c r="M1347" t="s">
        <v>41237</v>
      </c>
      <c r="N1347" t="s">
        <v>44759</v>
      </c>
      <c r="O1347" t="s">
        <v>44760</v>
      </c>
      <c r="P1347">
        <v>0</v>
      </c>
      <c r="Q1347">
        <v>0</v>
      </c>
      <c r="R1347" t="s">
        <v>44761</v>
      </c>
      <c r="S1347" t="s">
        <v>44862</v>
      </c>
      <c r="T1347" t="s">
        <v>46521</v>
      </c>
      <c r="U1347" t="s">
        <v>48132</v>
      </c>
      <c r="W1347" t="s">
        <v>41237</v>
      </c>
      <c r="X1347" t="s">
        <v>44762</v>
      </c>
    </row>
    <row r="1348" spans="1:24">
      <c r="A1348">
        <f>HYPERLINK("https://www.philgeps.gov.ph/GEPSNONPILOT/Tender/SplashBidNoticeAbstractUI.aspx?menuIndex=3&amp;refID=7153623&amp;Result=3","7153623")</f>
        <v>0</v>
      </c>
      <c r="B1348" t="s">
        <v>652</v>
      </c>
      <c r="C1348" t="s">
        <v>5006</v>
      </c>
      <c r="D1348" t="s">
        <v>17981</v>
      </c>
      <c r="E1348" t="s">
        <v>19304</v>
      </c>
      <c r="F1348" t="s">
        <v>30900</v>
      </c>
      <c r="G1348" t="s">
        <v>30908</v>
      </c>
      <c r="H1348" t="s">
        <v>30916</v>
      </c>
      <c r="I1348" t="s">
        <v>5501</v>
      </c>
      <c r="J1348" t="s">
        <v>32073</v>
      </c>
      <c r="K1348" t="s">
        <v>40287</v>
      </c>
      <c r="M1348" t="s">
        <v>41215</v>
      </c>
      <c r="N1348" t="s">
        <v>44759</v>
      </c>
      <c r="O1348" t="s">
        <v>44760</v>
      </c>
      <c r="P1348">
        <v>0</v>
      </c>
      <c r="Q1348">
        <v>0</v>
      </c>
      <c r="R1348" t="s">
        <v>44761</v>
      </c>
      <c r="S1348" t="s">
        <v>44862</v>
      </c>
      <c r="T1348" t="s">
        <v>46522</v>
      </c>
      <c r="U1348" t="s">
        <v>48092</v>
      </c>
      <c r="W1348" t="s">
        <v>41215</v>
      </c>
      <c r="X1348" t="s">
        <v>44762</v>
      </c>
    </row>
    <row r="1349" spans="1:24">
      <c r="A1349">
        <f>HYPERLINK("https://www.philgeps.gov.ph/GEPSNONPILOT/Tender/SplashBidNoticeAbstractUI.aspx?menuIndex=3&amp;refID=7153621&amp;Result=3","7153621")</f>
        <v>0</v>
      </c>
      <c r="B1349" t="s">
        <v>629</v>
      </c>
      <c r="C1349" t="s">
        <v>5056</v>
      </c>
      <c r="D1349" t="s">
        <v>17992</v>
      </c>
      <c r="E1349" t="s">
        <v>19305</v>
      </c>
      <c r="F1349" t="s">
        <v>30900</v>
      </c>
      <c r="G1349" t="s">
        <v>30907</v>
      </c>
      <c r="H1349" t="s">
        <v>30916</v>
      </c>
      <c r="I1349" t="s">
        <v>30918</v>
      </c>
      <c r="J1349" t="s">
        <v>32074</v>
      </c>
      <c r="K1349" t="s">
        <v>40280</v>
      </c>
      <c r="M1349" t="s">
        <v>41191</v>
      </c>
      <c r="N1349" t="s">
        <v>44759</v>
      </c>
      <c r="O1349" t="s">
        <v>44760</v>
      </c>
      <c r="P1349">
        <v>0</v>
      </c>
      <c r="Q1349">
        <v>0</v>
      </c>
      <c r="R1349" t="s">
        <v>44761</v>
      </c>
      <c r="S1349" t="s">
        <v>44862</v>
      </c>
      <c r="T1349" t="s">
        <v>46514</v>
      </c>
      <c r="U1349" t="s">
        <v>48133</v>
      </c>
      <c r="V1349" t="s">
        <v>59226</v>
      </c>
      <c r="W1349" t="s">
        <v>41191</v>
      </c>
      <c r="X1349" t="s">
        <v>44762</v>
      </c>
    </row>
    <row r="1350" spans="1:24">
      <c r="A1350">
        <f>HYPERLINK("https://www.philgeps.gov.ph/GEPSNONPILOT/Tender/SplashBidNoticeAbstractUI.aspx?menuIndex=3&amp;refID=7153612&amp;Result=3","7153612")</f>
        <v>0</v>
      </c>
      <c r="B1350" t="s">
        <v>55</v>
      </c>
      <c r="C1350" t="s">
        <v>5057</v>
      </c>
      <c r="D1350" t="s">
        <v>17975</v>
      </c>
      <c r="E1350" t="s">
        <v>19306</v>
      </c>
      <c r="F1350" t="s">
        <v>30900</v>
      </c>
      <c r="G1350" t="s">
        <v>30910</v>
      </c>
      <c r="H1350" t="s">
        <v>30916</v>
      </c>
      <c r="I1350" t="s">
        <v>6396</v>
      </c>
      <c r="J1350" t="s">
        <v>32075</v>
      </c>
      <c r="K1350" t="s">
        <v>40287</v>
      </c>
      <c r="M1350" t="s">
        <v>40601</v>
      </c>
      <c r="N1350" t="s">
        <v>44759</v>
      </c>
      <c r="O1350" t="s">
        <v>44760</v>
      </c>
      <c r="P1350">
        <v>0</v>
      </c>
      <c r="Q1350">
        <v>0</v>
      </c>
      <c r="R1350" t="s">
        <v>44761</v>
      </c>
      <c r="S1350" t="s">
        <v>44862</v>
      </c>
      <c r="T1350" t="s">
        <v>46429</v>
      </c>
      <c r="U1350" t="s">
        <v>48134</v>
      </c>
      <c r="W1350" t="s">
        <v>40601</v>
      </c>
      <c r="X1350" t="s">
        <v>44762</v>
      </c>
    </row>
    <row r="1351" spans="1:24">
      <c r="A1351">
        <f>HYPERLINK("https://www.philgeps.gov.ph/GEPSNONPILOT/Tender/SplashBidNoticeAbstractUI.aspx?menuIndex=3&amp;refID=7153618&amp;Result=3","7153618")</f>
        <v>0</v>
      </c>
      <c r="B1351" t="s">
        <v>675</v>
      </c>
      <c r="C1351" t="s">
        <v>5058</v>
      </c>
      <c r="D1351" t="s">
        <v>17980</v>
      </c>
      <c r="E1351" t="s">
        <v>19307</v>
      </c>
      <c r="F1351" t="s">
        <v>30900</v>
      </c>
      <c r="G1351" t="s">
        <v>30909</v>
      </c>
      <c r="H1351" t="s">
        <v>30916</v>
      </c>
      <c r="I1351" t="s">
        <v>8123</v>
      </c>
      <c r="J1351" t="s">
        <v>32017</v>
      </c>
      <c r="K1351" t="s">
        <v>40287</v>
      </c>
      <c r="M1351" t="s">
        <v>41238</v>
      </c>
      <c r="N1351" t="s">
        <v>44759</v>
      </c>
      <c r="O1351" t="s">
        <v>44760</v>
      </c>
      <c r="P1351">
        <v>0</v>
      </c>
      <c r="Q1351">
        <v>0</v>
      </c>
      <c r="R1351" t="s">
        <v>44761</v>
      </c>
      <c r="S1351" t="s">
        <v>44862</v>
      </c>
      <c r="T1351" t="s">
        <v>46352</v>
      </c>
      <c r="U1351" t="s">
        <v>48135</v>
      </c>
      <c r="W1351" t="s">
        <v>41238</v>
      </c>
      <c r="X1351" t="s">
        <v>44762</v>
      </c>
    </row>
    <row r="1352" spans="1:24">
      <c r="A1352">
        <f>HYPERLINK("https://www.philgeps.gov.ph/GEPSNONPILOT/Tender/SplashBidNoticeAbstractUI.aspx?menuIndex=3&amp;refID=7153622&amp;Result=3","7153622")</f>
        <v>0</v>
      </c>
      <c r="B1352" t="s">
        <v>591</v>
      </c>
      <c r="C1352" t="s">
        <v>5059</v>
      </c>
      <c r="D1352" t="s">
        <v>17998</v>
      </c>
      <c r="E1352" t="s">
        <v>19308</v>
      </c>
      <c r="F1352" t="s">
        <v>30900</v>
      </c>
      <c r="G1352" t="s">
        <v>30907</v>
      </c>
      <c r="H1352" t="s">
        <v>30916</v>
      </c>
      <c r="I1352" t="s">
        <v>6953</v>
      </c>
      <c r="J1352" t="s">
        <v>31355</v>
      </c>
      <c r="K1352" t="s">
        <v>40286</v>
      </c>
      <c r="M1352" t="s">
        <v>41153</v>
      </c>
      <c r="N1352" t="s">
        <v>44759</v>
      </c>
      <c r="O1352" t="s">
        <v>44760</v>
      </c>
      <c r="P1352">
        <v>0</v>
      </c>
      <c r="Q1352">
        <v>0</v>
      </c>
      <c r="R1352" t="s">
        <v>44761</v>
      </c>
      <c r="S1352" t="s">
        <v>44862</v>
      </c>
      <c r="T1352" t="s">
        <v>46366</v>
      </c>
      <c r="U1352" t="s">
        <v>47975</v>
      </c>
      <c r="V1352" t="s">
        <v>59259</v>
      </c>
      <c r="W1352" t="s">
        <v>41153</v>
      </c>
      <c r="X1352" t="s">
        <v>44762</v>
      </c>
    </row>
    <row r="1353" spans="1:24">
      <c r="A1353">
        <f>HYPERLINK("https://www.philgeps.gov.ph/GEPSNONPILOT/Tender/SplashBidNoticeAbstractUI.aspx?menuIndex=3&amp;refID=7153617&amp;Result=3","7153617")</f>
        <v>0</v>
      </c>
      <c r="B1353" t="s">
        <v>255</v>
      </c>
      <c r="C1353" t="s">
        <v>5060</v>
      </c>
      <c r="D1353" t="s">
        <v>17980</v>
      </c>
      <c r="E1353" t="s">
        <v>19309</v>
      </c>
      <c r="F1353" t="s">
        <v>30900</v>
      </c>
      <c r="G1353" t="s">
        <v>30908</v>
      </c>
      <c r="H1353" t="s">
        <v>30916</v>
      </c>
      <c r="I1353" t="s">
        <v>30949</v>
      </c>
      <c r="J1353" t="s">
        <v>32076</v>
      </c>
      <c r="K1353" t="s">
        <v>40283</v>
      </c>
      <c r="M1353" t="s">
        <v>40802</v>
      </c>
      <c r="N1353" t="s">
        <v>44759</v>
      </c>
      <c r="O1353" t="s">
        <v>44760</v>
      </c>
      <c r="P1353">
        <v>0</v>
      </c>
      <c r="Q1353">
        <v>0</v>
      </c>
      <c r="R1353" t="s">
        <v>44761</v>
      </c>
      <c r="S1353" t="s">
        <v>44862</v>
      </c>
      <c r="T1353" t="s">
        <v>46409</v>
      </c>
      <c r="U1353" t="s">
        <v>47342</v>
      </c>
      <c r="W1353" t="s">
        <v>40802</v>
      </c>
      <c r="X1353" t="s">
        <v>44762</v>
      </c>
    </row>
    <row r="1354" spans="1:24">
      <c r="A1354">
        <f>HYPERLINK("https://www.philgeps.gov.ph/GEPSNONPILOT/Tender/SplashBidNoticeAbstractUI.aspx?menuIndex=3&amp;refID=7153619&amp;Result=3","7153619")</f>
        <v>0</v>
      </c>
      <c r="B1354" t="s">
        <v>676</v>
      </c>
      <c r="C1354" t="s">
        <v>5061</v>
      </c>
      <c r="D1354" t="s">
        <v>17952</v>
      </c>
      <c r="E1354" t="s">
        <v>19310</v>
      </c>
      <c r="F1354" t="s">
        <v>30900</v>
      </c>
      <c r="G1354" t="s">
        <v>30908</v>
      </c>
      <c r="H1354" t="s">
        <v>30916</v>
      </c>
      <c r="I1354" t="s">
        <v>30984</v>
      </c>
      <c r="J1354" t="s">
        <v>32077</v>
      </c>
      <c r="K1354" t="s">
        <v>40283</v>
      </c>
      <c r="M1354" t="s">
        <v>41239</v>
      </c>
      <c r="N1354" t="s">
        <v>44759</v>
      </c>
      <c r="O1354" t="s">
        <v>44760</v>
      </c>
      <c r="P1354">
        <v>0</v>
      </c>
      <c r="Q1354">
        <v>0</v>
      </c>
      <c r="R1354" t="s">
        <v>44761</v>
      </c>
      <c r="S1354" t="s">
        <v>44862</v>
      </c>
      <c r="T1354" t="s">
        <v>46399</v>
      </c>
      <c r="U1354" t="s">
        <v>48136</v>
      </c>
      <c r="W1354" t="s">
        <v>41239</v>
      </c>
      <c r="X1354" t="s">
        <v>44762</v>
      </c>
    </row>
    <row r="1355" spans="1:24">
      <c r="A1355">
        <f>HYPERLINK("https://www.philgeps.gov.ph/GEPSNONPILOT/Tender/SplashBidNoticeAbstractUI.aspx?menuIndex=3&amp;refID=7153614&amp;Result=3","7153614")</f>
        <v>0</v>
      </c>
      <c r="B1355" t="s">
        <v>649</v>
      </c>
      <c r="C1355" t="s">
        <v>5062</v>
      </c>
      <c r="D1355" t="s">
        <v>17959</v>
      </c>
      <c r="E1355" t="s">
        <v>19253</v>
      </c>
      <c r="F1355" t="s">
        <v>30900</v>
      </c>
      <c r="G1355" t="s">
        <v>30908</v>
      </c>
      <c r="H1355" t="s">
        <v>30916</v>
      </c>
      <c r="I1355" t="s">
        <v>30924</v>
      </c>
      <c r="J1355" t="s">
        <v>31581</v>
      </c>
      <c r="K1355" t="s">
        <v>40287</v>
      </c>
      <c r="M1355" t="s">
        <v>41212</v>
      </c>
      <c r="N1355" t="s">
        <v>44759</v>
      </c>
      <c r="O1355" t="s">
        <v>44760</v>
      </c>
      <c r="P1355">
        <v>0</v>
      </c>
      <c r="Q1355">
        <v>0</v>
      </c>
      <c r="R1355" t="s">
        <v>44761</v>
      </c>
      <c r="S1355" t="s">
        <v>44862</v>
      </c>
      <c r="T1355" t="s">
        <v>46395</v>
      </c>
      <c r="U1355" t="s">
        <v>48137</v>
      </c>
      <c r="V1355" t="s">
        <v>59272</v>
      </c>
      <c r="W1355" t="s">
        <v>41212</v>
      </c>
      <c r="X1355" t="s">
        <v>44762</v>
      </c>
    </row>
    <row r="1356" spans="1:24">
      <c r="A1356">
        <f>HYPERLINK("https://www.philgeps.gov.ph/GEPSNONPILOT/Tender/SplashBidNoticeAbstractUI.aspx?menuIndex=3&amp;refID=7153626&amp;Result=3","7153626")</f>
        <v>0</v>
      </c>
      <c r="B1356" t="s">
        <v>677</v>
      </c>
      <c r="C1356" t="s">
        <v>5063</v>
      </c>
      <c r="D1356" t="s">
        <v>17987</v>
      </c>
      <c r="E1356" t="s">
        <v>19311</v>
      </c>
      <c r="F1356" t="s">
        <v>30900</v>
      </c>
      <c r="G1356" t="s">
        <v>30909</v>
      </c>
      <c r="H1356" t="s">
        <v>30916</v>
      </c>
      <c r="I1356" t="s">
        <v>6396</v>
      </c>
      <c r="J1356" t="s">
        <v>32078</v>
      </c>
      <c r="K1356" t="s">
        <v>40285</v>
      </c>
      <c r="M1356" t="s">
        <v>41240</v>
      </c>
      <c r="N1356" t="s">
        <v>44759</v>
      </c>
      <c r="O1356" t="s">
        <v>44760</v>
      </c>
      <c r="P1356">
        <v>0</v>
      </c>
      <c r="Q1356">
        <v>0</v>
      </c>
      <c r="R1356" t="s">
        <v>44761</v>
      </c>
      <c r="S1356" t="s">
        <v>44862</v>
      </c>
      <c r="T1356" t="s">
        <v>46410</v>
      </c>
      <c r="U1356" t="s">
        <v>48138</v>
      </c>
      <c r="W1356" t="s">
        <v>41240</v>
      </c>
      <c r="X1356" t="s">
        <v>44762</v>
      </c>
    </row>
    <row r="1357" spans="1:24">
      <c r="A1357">
        <f>HYPERLINK("https://www.philgeps.gov.ph/GEPSNONPILOT/Tender/SplashBidNoticeAbstractUI.aspx?menuIndex=3&amp;refID=7153613&amp;Result=3","7153613")</f>
        <v>0</v>
      </c>
      <c r="B1357" t="s">
        <v>591</v>
      </c>
      <c r="C1357" t="s">
        <v>5064</v>
      </c>
      <c r="D1357" t="s">
        <v>17998</v>
      </c>
      <c r="E1357" t="s">
        <v>19312</v>
      </c>
      <c r="F1357" t="s">
        <v>30900</v>
      </c>
      <c r="G1357" t="s">
        <v>30907</v>
      </c>
      <c r="H1357" t="s">
        <v>30916</v>
      </c>
      <c r="I1357" t="s">
        <v>7708</v>
      </c>
      <c r="J1357" t="s">
        <v>32079</v>
      </c>
      <c r="K1357" t="s">
        <v>40286</v>
      </c>
      <c r="M1357" t="s">
        <v>41153</v>
      </c>
      <c r="N1357" t="s">
        <v>44759</v>
      </c>
      <c r="O1357" t="s">
        <v>44760</v>
      </c>
      <c r="P1357">
        <v>0</v>
      </c>
      <c r="Q1357">
        <v>0</v>
      </c>
      <c r="R1357" t="s">
        <v>44761</v>
      </c>
      <c r="S1357" t="s">
        <v>44862</v>
      </c>
      <c r="T1357" t="s">
        <v>46366</v>
      </c>
      <c r="U1357" t="s">
        <v>47975</v>
      </c>
      <c r="V1357" t="s">
        <v>59259</v>
      </c>
      <c r="W1357" t="s">
        <v>41153</v>
      </c>
      <c r="X1357" t="s">
        <v>44762</v>
      </c>
    </row>
    <row r="1358" spans="1:24">
      <c r="A1358">
        <f>HYPERLINK("https://www.philgeps.gov.ph/GEPSNONPILOT/Tender/SplashBidNoticeAbstractUI.aspx?menuIndex=3&amp;refID=7153638&amp;Result=3","7153638")</f>
        <v>0</v>
      </c>
      <c r="B1358" t="s">
        <v>678</v>
      </c>
      <c r="C1358" t="s">
        <v>5065</v>
      </c>
      <c r="D1358" t="s">
        <v>18003</v>
      </c>
      <c r="E1358" t="s">
        <v>18306</v>
      </c>
      <c r="F1358" t="s">
        <v>30900</v>
      </c>
      <c r="G1358" t="s">
        <v>30907</v>
      </c>
      <c r="H1358" t="s">
        <v>30916</v>
      </c>
      <c r="I1358" t="s">
        <v>30964</v>
      </c>
      <c r="J1358" t="s">
        <v>31049</v>
      </c>
      <c r="K1358" t="s">
        <v>40286</v>
      </c>
      <c r="M1358" t="s">
        <v>41241</v>
      </c>
      <c r="N1358" t="s">
        <v>44759</v>
      </c>
      <c r="O1358" t="s">
        <v>44760</v>
      </c>
      <c r="P1358">
        <v>0</v>
      </c>
      <c r="Q1358">
        <v>0</v>
      </c>
      <c r="R1358" t="s">
        <v>44761</v>
      </c>
      <c r="S1358" t="s">
        <v>44862</v>
      </c>
      <c r="T1358" t="s">
        <v>46373</v>
      </c>
      <c r="U1358" t="s">
        <v>48139</v>
      </c>
      <c r="W1358" t="s">
        <v>41241</v>
      </c>
      <c r="X1358" t="s">
        <v>44762</v>
      </c>
    </row>
    <row r="1359" spans="1:24">
      <c r="A1359">
        <f>HYPERLINK("https://www.philgeps.gov.ph/GEPSNONPILOT/Tender/SplashBidNoticeAbstractUI.aspx?menuIndex=3&amp;refID=7153656&amp;Result=3","7153656")</f>
        <v>0</v>
      </c>
      <c r="B1359" t="s">
        <v>143</v>
      </c>
      <c r="C1359" t="s">
        <v>5066</v>
      </c>
      <c r="D1359" t="s">
        <v>17965</v>
      </c>
      <c r="E1359" t="s">
        <v>19313</v>
      </c>
      <c r="F1359" t="s">
        <v>30900</v>
      </c>
      <c r="G1359" t="s">
        <v>30907</v>
      </c>
      <c r="H1359" t="s">
        <v>30915</v>
      </c>
      <c r="I1359" t="s">
        <v>30919</v>
      </c>
      <c r="J1359" t="s">
        <v>32080</v>
      </c>
      <c r="K1359" t="s">
        <v>40279</v>
      </c>
      <c r="M1359" t="s">
        <v>40854</v>
      </c>
      <c r="N1359" t="s">
        <v>44759</v>
      </c>
      <c r="O1359" t="s">
        <v>44760</v>
      </c>
      <c r="P1359">
        <v>0</v>
      </c>
      <c r="Q1359">
        <v>0</v>
      </c>
      <c r="R1359" t="s">
        <v>44761</v>
      </c>
      <c r="S1359" t="s">
        <v>44862</v>
      </c>
      <c r="T1359" t="s">
        <v>46418</v>
      </c>
      <c r="U1359" t="s">
        <v>47423</v>
      </c>
      <c r="W1359" t="s">
        <v>40854</v>
      </c>
      <c r="X1359" t="s">
        <v>44762</v>
      </c>
    </row>
    <row r="1360" spans="1:24">
      <c r="A1360">
        <f>HYPERLINK("https://www.philgeps.gov.ph/GEPSNONPILOT/Tender/SplashBidNoticeAbstractUI.aspx?menuIndex=3&amp;refID=7153655&amp;Result=3","7153655")</f>
        <v>0</v>
      </c>
      <c r="B1360" t="s">
        <v>679</v>
      </c>
      <c r="C1360" t="s">
        <v>5067</v>
      </c>
      <c r="D1360" t="s">
        <v>17993</v>
      </c>
      <c r="E1360" t="s">
        <v>18194</v>
      </c>
      <c r="F1360" t="s">
        <v>30900</v>
      </c>
      <c r="G1360" t="s">
        <v>30908</v>
      </c>
      <c r="H1360" t="s">
        <v>30916</v>
      </c>
      <c r="I1360" t="s">
        <v>30923</v>
      </c>
      <c r="J1360" t="s">
        <v>31049</v>
      </c>
      <c r="K1360" t="s">
        <v>40283</v>
      </c>
      <c r="M1360" t="s">
        <v>41242</v>
      </c>
      <c r="N1360" t="s">
        <v>44759</v>
      </c>
      <c r="O1360" t="s">
        <v>44760</v>
      </c>
      <c r="P1360">
        <v>0</v>
      </c>
      <c r="Q1360">
        <v>0</v>
      </c>
      <c r="R1360" t="s">
        <v>44761</v>
      </c>
      <c r="S1360" t="s">
        <v>44862</v>
      </c>
      <c r="T1360" t="s">
        <v>46376</v>
      </c>
      <c r="U1360" t="s">
        <v>48140</v>
      </c>
      <c r="W1360" t="s">
        <v>41242</v>
      </c>
      <c r="X1360" t="s">
        <v>44762</v>
      </c>
    </row>
    <row r="1361" spans="1:24">
      <c r="A1361">
        <f>HYPERLINK("https://www.philgeps.gov.ph/GEPSNONPILOT/Tender/SplashBidNoticeAbstractUI.aspx?menuIndex=3&amp;refID=7153653&amp;Result=3","7153653")</f>
        <v>0</v>
      </c>
      <c r="B1361" t="s">
        <v>680</v>
      </c>
      <c r="C1361" t="s">
        <v>4355</v>
      </c>
      <c r="D1361" t="s">
        <v>18019</v>
      </c>
      <c r="E1361" t="s">
        <v>19314</v>
      </c>
      <c r="F1361" t="s">
        <v>30900</v>
      </c>
      <c r="G1361" t="s">
        <v>30908</v>
      </c>
      <c r="H1361" t="s">
        <v>30916</v>
      </c>
      <c r="I1361" t="s">
        <v>4545</v>
      </c>
      <c r="J1361" t="s">
        <v>32081</v>
      </c>
      <c r="K1361" t="s">
        <v>40285</v>
      </c>
      <c r="M1361" t="s">
        <v>41243</v>
      </c>
      <c r="N1361" t="s">
        <v>44759</v>
      </c>
      <c r="O1361" t="s">
        <v>44760</v>
      </c>
      <c r="P1361">
        <v>0</v>
      </c>
      <c r="Q1361">
        <v>0</v>
      </c>
      <c r="R1361" t="s">
        <v>44761</v>
      </c>
      <c r="S1361" t="s">
        <v>44862</v>
      </c>
      <c r="T1361" t="s">
        <v>46399</v>
      </c>
      <c r="U1361" t="s">
        <v>48141</v>
      </c>
      <c r="V1361" t="s">
        <v>59275</v>
      </c>
      <c r="W1361" t="s">
        <v>41243</v>
      </c>
      <c r="X1361" t="s">
        <v>44762</v>
      </c>
    </row>
    <row r="1362" spans="1:24">
      <c r="A1362">
        <f>HYPERLINK("https://www.philgeps.gov.ph/GEPSNONPILOT/Tender/SplashBidNoticeAbstractUI.aspx?menuIndex=3&amp;refID=7153620&amp;Result=3","7153620")</f>
        <v>0</v>
      </c>
      <c r="B1362" t="s">
        <v>105</v>
      </c>
      <c r="C1362" t="s">
        <v>5068</v>
      </c>
      <c r="D1362" t="s">
        <v>17952</v>
      </c>
      <c r="E1362" t="s">
        <v>19315</v>
      </c>
      <c r="F1362" t="s">
        <v>30900</v>
      </c>
      <c r="G1362" t="s">
        <v>30907</v>
      </c>
      <c r="H1362" t="s">
        <v>30916</v>
      </c>
      <c r="I1362" t="s">
        <v>6746</v>
      </c>
      <c r="J1362" t="s">
        <v>32082</v>
      </c>
      <c r="K1362" t="s">
        <v>40283</v>
      </c>
      <c r="M1362" t="s">
        <v>40652</v>
      </c>
      <c r="N1362" t="s">
        <v>44759</v>
      </c>
      <c r="O1362" t="s">
        <v>44760</v>
      </c>
      <c r="P1362">
        <v>0</v>
      </c>
      <c r="Q1362">
        <v>0</v>
      </c>
      <c r="R1362" t="s">
        <v>44761</v>
      </c>
      <c r="S1362" t="s">
        <v>44862</v>
      </c>
      <c r="T1362" t="s">
        <v>46373</v>
      </c>
      <c r="U1362" t="s">
        <v>48142</v>
      </c>
      <c r="W1362" t="s">
        <v>40652</v>
      </c>
      <c r="X1362" t="s">
        <v>44762</v>
      </c>
    </row>
    <row r="1363" spans="1:24">
      <c r="A1363">
        <f>HYPERLINK("https://www.philgeps.gov.ph/GEPSNONPILOT/Tender/SplashBidNoticeAbstractUI.aspx?menuIndex=3&amp;refID=7153652&amp;Result=3","7153652")</f>
        <v>0</v>
      </c>
      <c r="B1363" t="s">
        <v>681</v>
      </c>
      <c r="C1363" t="s">
        <v>5069</v>
      </c>
      <c r="D1363" t="s">
        <v>17982</v>
      </c>
      <c r="E1363" t="s">
        <v>19316</v>
      </c>
      <c r="F1363" t="s">
        <v>30900</v>
      </c>
      <c r="G1363" t="s">
        <v>30907</v>
      </c>
      <c r="H1363" t="s">
        <v>30916</v>
      </c>
      <c r="I1363" t="s">
        <v>8123</v>
      </c>
      <c r="J1363" t="s">
        <v>32083</v>
      </c>
      <c r="K1363" t="s">
        <v>40286</v>
      </c>
      <c r="M1363" t="s">
        <v>41244</v>
      </c>
      <c r="N1363" t="s">
        <v>44759</v>
      </c>
      <c r="O1363" t="s">
        <v>44760</v>
      </c>
      <c r="P1363">
        <v>0</v>
      </c>
      <c r="Q1363">
        <v>0</v>
      </c>
      <c r="R1363" t="s">
        <v>44761</v>
      </c>
      <c r="S1363" t="s">
        <v>44862</v>
      </c>
      <c r="T1363" t="s">
        <v>46455</v>
      </c>
      <c r="U1363" t="s">
        <v>48143</v>
      </c>
      <c r="W1363" t="s">
        <v>41244</v>
      </c>
      <c r="X1363" t="s">
        <v>44762</v>
      </c>
    </row>
    <row r="1364" spans="1:24">
      <c r="A1364">
        <f>HYPERLINK("https://www.philgeps.gov.ph/GEPSNONPILOT/Tender/SplashBidNoticeAbstractUI.aspx?menuIndex=3&amp;refID=7153615&amp;Result=3","7153615")</f>
        <v>0</v>
      </c>
      <c r="B1364" t="s">
        <v>130</v>
      </c>
      <c r="C1364" t="s">
        <v>5070</v>
      </c>
      <c r="D1364" t="s">
        <v>17979</v>
      </c>
      <c r="E1364" t="s">
        <v>19317</v>
      </c>
      <c r="F1364" t="s">
        <v>30900</v>
      </c>
      <c r="G1364" t="s">
        <v>30908</v>
      </c>
      <c r="H1364" t="s">
        <v>30916</v>
      </c>
      <c r="I1364" t="s">
        <v>10602</v>
      </c>
      <c r="J1364" t="s">
        <v>32084</v>
      </c>
      <c r="K1364" t="s">
        <v>40315</v>
      </c>
      <c r="M1364" t="s">
        <v>40677</v>
      </c>
      <c r="N1364" t="s">
        <v>44759</v>
      </c>
      <c r="O1364" t="s">
        <v>44760</v>
      </c>
      <c r="P1364">
        <v>0</v>
      </c>
      <c r="Q1364">
        <v>0</v>
      </c>
      <c r="R1364" t="s">
        <v>44761</v>
      </c>
      <c r="S1364" t="s">
        <v>44862</v>
      </c>
      <c r="T1364" t="s">
        <v>46376</v>
      </c>
      <c r="U1364" t="s">
        <v>48144</v>
      </c>
      <c r="W1364" t="s">
        <v>40677</v>
      </c>
      <c r="X1364" t="s">
        <v>44762</v>
      </c>
    </row>
    <row r="1365" spans="1:24">
      <c r="A1365">
        <f>HYPERLINK("https://www.philgeps.gov.ph/GEPSNONPILOT/Tender/SplashBidNoticeAbstractUI.aspx?menuIndex=3&amp;refID=7153661&amp;Result=3","7153661")</f>
        <v>0</v>
      </c>
      <c r="B1365" t="s">
        <v>682</v>
      </c>
      <c r="C1365" t="s">
        <v>5071</v>
      </c>
      <c r="D1365" t="s">
        <v>17959</v>
      </c>
      <c r="E1365" t="s">
        <v>19318</v>
      </c>
      <c r="F1365" t="s">
        <v>30899</v>
      </c>
      <c r="G1365" t="s">
        <v>30907</v>
      </c>
      <c r="H1365" t="s">
        <v>30915</v>
      </c>
      <c r="I1365" t="s">
        <v>8123</v>
      </c>
      <c r="J1365" t="s">
        <v>31800</v>
      </c>
      <c r="K1365" t="s">
        <v>40289</v>
      </c>
      <c r="M1365" t="s">
        <v>41245</v>
      </c>
      <c r="N1365" t="s">
        <v>44759</v>
      </c>
      <c r="O1365" t="s">
        <v>44760</v>
      </c>
      <c r="P1365">
        <v>0</v>
      </c>
      <c r="Q1365">
        <v>0</v>
      </c>
      <c r="R1365" t="s">
        <v>44761</v>
      </c>
      <c r="S1365" t="s">
        <v>44862</v>
      </c>
      <c r="T1365" t="s">
        <v>46523</v>
      </c>
      <c r="U1365" t="s">
        <v>48145</v>
      </c>
      <c r="W1365" t="s">
        <v>41245</v>
      </c>
      <c r="X1365" t="s">
        <v>44762</v>
      </c>
    </row>
    <row r="1366" spans="1:24">
      <c r="A1366">
        <f>HYPERLINK("https://www.philgeps.gov.ph/GEPSNONPILOT/Tender/SplashBidNoticeAbstractUI.aspx?menuIndex=3&amp;refID=7153588&amp;Result=3","7153588")</f>
        <v>0</v>
      </c>
      <c r="B1366" t="s">
        <v>667</v>
      </c>
      <c r="C1366" t="s">
        <v>5072</v>
      </c>
      <c r="D1366" t="s">
        <v>17977</v>
      </c>
      <c r="E1366" t="s">
        <v>19319</v>
      </c>
      <c r="F1366" t="s">
        <v>30900</v>
      </c>
      <c r="G1366" t="s">
        <v>30908</v>
      </c>
      <c r="H1366" t="s">
        <v>30916</v>
      </c>
      <c r="I1366" t="s">
        <v>6953</v>
      </c>
      <c r="J1366" t="s">
        <v>32085</v>
      </c>
      <c r="K1366" t="s">
        <v>40287</v>
      </c>
      <c r="M1366" t="s">
        <v>41230</v>
      </c>
      <c r="N1366" t="s">
        <v>44759</v>
      </c>
      <c r="O1366" t="s">
        <v>44760</v>
      </c>
      <c r="P1366">
        <v>0</v>
      </c>
      <c r="Q1366">
        <v>0</v>
      </c>
      <c r="R1366" t="s">
        <v>44761</v>
      </c>
      <c r="S1366" t="s">
        <v>44862</v>
      </c>
      <c r="T1366" t="s">
        <v>46376</v>
      </c>
      <c r="U1366" t="s">
        <v>48119</v>
      </c>
      <c r="W1366" t="s">
        <v>41230</v>
      </c>
      <c r="X1366" t="s">
        <v>44762</v>
      </c>
    </row>
    <row r="1367" spans="1:24">
      <c r="A1367">
        <f>HYPERLINK("https://www.philgeps.gov.ph/GEPSNONPILOT/Tender/SplashBidNoticeAbstractUI.aspx?menuIndex=3&amp;refID=7153660&amp;Result=3","7153660")</f>
        <v>0</v>
      </c>
      <c r="B1367" t="s">
        <v>683</v>
      </c>
      <c r="C1367" t="s">
        <v>5073</v>
      </c>
      <c r="D1367" t="s">
        <v>18028</v>
      </c>
      <c r="E1367" t="s">
        <v>19320</v>
      </c>
      <c r="F1367" t="s">
        <v>30900</v>
      </c>
      <c r="G1367" t="s">
        <v>30909</v>
      </c>
      <c r="H1367" t="s">
        <v>30916</v>
      </c>
      <c r="I1367" t="s">
        <v>8123</v>
      </c>
      <c r="J1367" t="s">
        <v>32086</v>
      </c>
      <c r="K1367" t="s">
        <v>40283</v>
      </c>
      <c r="M1367" t="s">
        <v>41246</v>
      </c>
      <c r="N1367" t="s">
        <v>44759</v>
      </c>
      <c r="O1367" t="s">
        <v>44760</v>
      </c>
      <c r="P1367">
        <v>0</v>
      </c>
      <c r="Q1367">
        <v>0</v>
      </c>
      <c r="R1367" t="s">
        <v>44761</v>
      </c>
      <c r="S1367" t="s">
        <v>44862</v>
      </c>
      <c r="T1367" t="s">
        <v>46352</v>
      </c>
      <c r="U1367" t="s">
        <v>48146</v>
      </c>
      <c r="V1367" t="s">
        <v>59276</v>
      </c>
      <c r="W1367" t="s">
        <v>41246</v>
      </c>
      <c r="X1367" t="s">
        <v>44762</v>
      </c>
    </row>
    <row r="1368" spans="1:24">
      <c r="A1368">
        <f>HYPERLINK("https://www.philgeps.gov.ph/GEPSNONPILOT/Tender/SplashBidNoticeAbstractUI.aspx?menuIndex=3&amp;refID=7153659&amp;Result=3","7153659")</f>
        <v>0</v>
      </c>
      <c r="B1368" t="s">
        <v>595</v>
      </c>
      <c r="C1368" t="s">
        <v>5074</v>
      </c>
      <c r="D1368" t="s">
        <v>17953</v>
      </c>
      <c r="E1368" t="s">
        <v>19321</v>
      </c>
      <c r="F1368" t="s">
        <v>30900</v>
      </c>
      <c r="G1368" t="s">
        <v>30908</v>
      </c>
      <c r="H1368" t="s">
        <v>30916</v>
      </c>
      <c r="I1368" t="s">
        <v>30950</v>
      </c>
      <c r="J1368" t="s">
        <v>32087</v>
      </c>
      <c r="K1368" t="s">
        <v>40283</v>
      </c>
      <c r="M1368" t="s">
        <v>41157</v>
      </c>
      <c r="N1368" t="s">
        <v>44759</v>
      </c>
      <c r="O1368" t="s">
        <v>44760</v>
      </c>
      <c r="P1368">
        <v>0</v>
      </c>
      <c r="Q1368">
        <v>0</v>
      </c>
      <c r="R1368" t="s">
        <v>44761</v>
      </c>
      <c r="S1368" t="s">
        <v>44862</v>
      </c>
      <c r="T1368" t="s">
        <v>46507</v>
      </c>
      <c r="U1368" t="s">
        <v>47982</v>
      </c>
      <c r="W1368" t="s">
        <v>41157</v>
      </c>
      <c r="X1368" t="s">
        <v>44762</v>
      </c>
    </row>
    <row r="1369" spans="1:24">
      <c r="A1369">
        <f>HYPERLINK("https://www.philgeps.gov.ph/GEPSNONPILOT/Tender/SplashBidNoticeAbstractUI.aspx?menuIndex=3&amp;refID=7153639&amp;Result=3","7153639")</f>
        <v>0</v>
      </c>
      <c r="B1369" t="s">
        <v>683</v>
      </c>
      <c r="C1369" t="s">
        <v>5075</v>
      </c>
      <c r="D1369" t="s">
        <v>18028</v>
      </c>
      <c r="E1369" t="s">
        <v>19322</v>
      </c>
      <c r="F1369" t="s">
        <v>30900</v>
      </c>
      <c r="G1369" t="s">
        <v>30907</v>
      </c>
      <c r="H1369" t="s">
        <v>30916</v>
      </c>
      <c r="I1369" t="s">
        <v>30939</v>
      </c>
      <c r="J1369" t="s">
        <v>32088</v>
      </c>
      <c r="K1369" t="s">
        <v>40283</v>
      </c>
      <c r="M1369" t="s">
        <v>41246</v>
      </c>
      <c r="N1369" t="s">
        <v>44759</v>
      </c>
      <c r="O1369" t="s">
        <v>44760</v>
      </c>
      <c r="P1369">
        <v>0</v>
      </c>
      <c r="Q1369">
        <v>0</v>
      </c>
      <c r="R1369" t="s">
        <v>44761</v>
      </c>
      <c r="S1369" t="s">
        <v>44862</v>
      </c>
      <c r="T1369" t="s">
        <v>46352</v>
      </c>
      <c r="U1369" t="s">
        <v>48147</v>
      </c>
      <c r="V1369" t="s">
        <v>59277</v>
      </c>
      <c r="W1369" t="s">
        <v>41246</v>
      </c>
      <c r="X1369" t="s">
        <v>44762</v>
      </c>
    </row>
    <row r="1370" spans="1:24">
      <c r="A1370">
        <f>HYPERLINK("https://www.philgeps.gov.ph/GEPSNONPILOT/Tender/SplashBidNoticeAbstractUI.aspx?menuIndex=3&amp;refID=7153641&amp;Result=3","7153641")</f>
        <v>0</v>
      </c>
      <c r="B1370" t="s">
        <v>55</v>
      </c>
      <c r="C1370" t="s">
        <v>5076</v>
      </c>
      <c r="D1370" t="s">
        <v>17975</v>
      </c>
      <c r="E1370" t="s">
        <v>19323</v>
      </c>
      <c r="F1370" t="s">
        <v>30900</v>
      </c>
      <c r="G1370" t="s">
        <v>30908</v>
      </c>
      <c r="H1370" t="s">
        <v>30916</v>
      </c>
      <c r="I1370" t="s">
        <v>8123</v>
      </c>
      <c r="J1370" t="s">
        <v>32089</v>
      </c>
      <c r="K1370" t="s">
        <v>40283</v>
      </c>
      <c r="M1370" t="s">
        <v>40601</v>
      </c>
      <c r="N1370" t="s">
        <v>44759</v>
      </c>
      <c r="O1370" t="s">
        <v>44760</v>
      </c>
      <c r="P1370">
        <v>0</v>
      </c>
      <c r="Q1370">
        <v>0</v>
      </c>
      <c r="R1370" t="s">
        <v>44761</v>
      </c>
      <c r="S1370" t="s">
        <v>44862</v>
      </c>
      <c r="T1370" t="s">
        <v>46357</v>
      </c>
      <c r="U1370" t="s">
        <v>48041</v>
      </c>
      <c r="W1370" t="s">
        <v>40601</v>
      </c>
      <c r="X1370" t="s">
        <v>44762</v>
      </c>
    </row>
    <row r="1371" spans="1:24">
      <c r="A1371">
        <f>HYPERLINK("https://www.philgeps.gov.ph/GEPSNONPILOT/Tender/SplashBidNoticeAbstractUI.aspx?menuIndex=3&amp;refID=7153658&amp;Result=3","7153658")</f>
        <v>0</v>
      </c>
      <c r="B1371" t="s">
        <v>591</v>
      </c>
      <c r="C1371" t="s">
        <v>5077</v>
      </c>
      <c r="D1371" t="s">
        <v>17998</v>
      </c>
      <c r="E1371" t="s">
        <v>19324</v>
      </c>
      <c r="F1371" t="s">
        <v>30900</v>
      </c>
      <c r="G1371" t="s">
        <v>30907</v>
      </c>
      <c r="H1371" t="s">
        <v>30916</v>
      </c>
      <c r="I1371" t="s">
        <v>30927</v>
      </c>
      <c r="J1371" t="s">
        <v>32090</v>
      </c>
      <c r="K1371" t="s">
        <v>40286</v>
      </c>
      <c r="M1371" t="s">
        <v>41247</v>
      </c>
      <c r="N1371" t="s">
        <v>44759</v>
      </c>
      <c r="O1371" t="s">
        <v>44760</v>
      </c>
      <c r="P1371">
        <v>0</v>
      </c>
      <c r="Q1371">
        <v>0</v>
      </c>
      <c r="R1371" t="s">
        <v>44761</v>
      </c>
      <c r="S1371" t="s">
        <v>44862</v>
      </c>
      <c r="T1371" t="s">
        <v>46366</v>
      </c>
      <c r="U1371" t="s">
        <v>47975</v>
      </c>
      <c r="V1371" t="s">
        <v>59259</v>
      </c>
      <c r="W1371" t="s">
        <v>41247</v>
      </c>
      <c r="X1371" t="s">
        <v>44762</v>
      </c>
    </row>
    <row r="1372" spans="1:24">
      <c r="A1372">
        <f>HYPERLINK("https://www.philgeps.gov.ph/GEPSNONPILOT/Tender/SplashBidNoticeAbstractUI.aspx?menuIndex=3&amp;refID=7153646&amp;Result=3","7153646")</f>
        <v>0</v>
      </c>
      <c r="B1372" t="s">
        <v>684</v>
      </c>
      <c r="C1372" t="s">
        <v>5078</v>
      </c>
      <c r="D1372" t="s">
        <v>17959</v>
      </c>
      <c r="E1372" t="s">
        <v>19325</v>
      </c>
      <c r="F1372" t="s">
        <v>30900</v>
      </c>
      <c r="G1372" t="s">
        <v>30907</v>
      </c>
      <c r="H1372" t="s">
        <v>30916</v>
      </c>
      <c r="I1372" t="s">
        <v>10602</v>
      </c>
      <c r="J1372" t="s">
        <v>32091</v>
      </c>
      <c r="K1372" t="s">
        <v>40289</v>
      </c>
      <c r="M1372" t="s">
        <v>41248</v>
      </c>
      <c r="N1372" t="s">
        <v>44759</v>
      </c>
      <c r="O1372" t="s">
        <v>44760</v>
      </c>
      <c r="P1372">
        <v>0</v>
      </c>
      <c r="Q1372">
        <v>0</v>
      </c>
      <c r="R1372" t="s">
        <v>44761</v>
      </c>
      <c r="S1372" t="s">
        <v>44862</v>
      </c>
      <c r="T1372" t="s">
        <v>46524</v>
      </c>
      <c r="U1372" t="s">
        <v>48148</v>
      </c>
      <c r="W1372" t="s">
        <v>41248</v>
      </c>
      <c r="X1372" t="s">
        <v>44762</v>
      </c>
    </row>
    <row r="1373" spans="1:24">
      <c r="A1373">
        <f>HYPERLINK("https://www.philgeps.gov.ph/GEPSNONPILOT/Tender/SplashBidNoticeAbstractUI.aspx?menuIndex=3&amp;refID=7153650&amp;Result=3","7153650")</f>
        <v>0</v>
      </c>
      <c r="B1373" t="s">
        <v>192</v>
      </c>
      <c r="C1373" t="s">
        <v>4064</v>
      </c>
      <c r="D1373" t="s">
        <v>17975</v>
      </c>
      <c r="E1373" t="s">
        <v>19326</v>
      </c>
      <c r="F1373" t="s">
        <v>30900</v>
      </c>
      <c r="G1373" t="s">
        <v>30908</v>
      </c>
      <c r="H1373" t="s">
        <v>30916</v>
      </c>
      <c r="I1373" t="s">
        <v>8123</v>
      </c>
      <c r="J1373" t="s">
        <v>32092</v>
      </c>
      <c r="K1373" t="s">
        <v>40283</v>
      </c>
      <c r="M1373" t="s">
        <v>40739</v>
      </c>
      <c r="N1373" t="s">
        <v>44759</v>
      </c>
      <c r="O1373" t="s">
        <v>44760</v>
      </c>
      <c r="P1373">
        <v>0</v>
      </c>
      <c r="Q1373">
        <v>0</v>
      </c>
      <c r="R1373" t="s">
        <v>44761</v>
      </c>
      <c r="S1373" t="s">
        <v>44862</v>
      </c>
      <c r="T1373" t="s">
        <v>46357</v>
      </c>
      <c r="U1373" t="s">
        <v>48149</v>
      </c>
      <c r="V1373" t="s">
        <v>59278</v>
      </c>
      <c r="W1373" t="s">
        <v>40739</v>
      </c>
      <c r="X1373" t="s">
        <v>44762</v>
      </c>
    </row>
    <row r="1374" spans="1:24">
      <c r="A1374">
        <f>HYPERLINK("https://www.philgeps.gov.ph/GEPSNONPILOT/Tender/SplashBidNoticeAbstractUI.aspx?menuIndex=3&amp;refID=7153648&amp;Result=3","7153648")</f>
        <v>0</v>
      </c>
      <c r="B1374" t="s">
        <v>659</v>
      </c>
      <c r="C1374" t="s">
        <v>5079</v>
      </c>
      <c r="D1374" t="s">
        <v>17975</v>
      </c>
      <c r="E1374" t="s">
        <v>19327</v>
      </c>
      <c r="F1374" t="s">
        <v>30900</v>
      </c>
      <c r="G1374" t="s">
        <v>30907</v>
      </c>
      <c r="H1374" t="s">
        <v>30916</v>
      </c>
      <c r="I1374" t="s">
        <v>4142</v>
      </c>
      <c r="J1374" t="s">
        <v>32093</v>
      </c>
      <c r="K1374" t="s">
        <v>40286</v>
      </c>
      <c r="M1374" t="s">
        <v>41222</v>
      </c>
      <c r="N1374" t="s">
        <v>44759</v>
      </c>
      <c r="O1374" t="s">
        <v>44760</v>
      </c>
      <c r="P1374">
        <v>0</v>
      </c>
      <c r="Q1374">
        <v>0</v>
      </c>
      <c r="R1374" t="s">
        <v>44761</v>
      </c>
      <c r="S1374" t="s">
        <v>44862</v>
      </c>
      <c r="T1374" t="s">
        <v>46459</v>
      </c>
      <c r="U1374" t="s">
        <v>48109</v>
      </c>
      <c r="W1374" t="s">
        <v>41222</v>
      </c>
      <c r="X1374" t="s">
        <v>44762</v>
      </c>
    </row>
    <row r="1375" spans="1:24">
      <c r="A1375">
        <f>HYPERLINK("https://www.philgeps.gov.ph/GEPSNONPILOT/Tender/SplashBidNoticeAbstractUI.aspx?menuIndex=3&amp;refID=7153644&amp;Result=3","7153644")</f>
        <v>0</v>
      </c>
      <c r="B1375" t="s">
        <v>663</v>
      </c>
      <c r="C1375" t="s">
        <v>5080</v>
      </c>
      <c r="D1375" t="s">
        <v>18021</v>
      </c>
      <c r="E1375" t="s">
        <v>19328</v>
      </c>
      <c r="F1375" t="s">
        <v>30900</v>
      </c>
      <c r="G1375" t="s">
        <v>30907</v>
      </c>
      <c r="H1375" t="s">
        <v>30915</v>
      </c>
      <c r="I1375" t="s">
        <v>30919</v>
      </c>
      <c r="J1375" t="s">
        <v>32094</v>
      </c>
      <c r="K1375" t="s">
        <v>40280</v>
      </c>
      <c r="M1375" t="s">
        <v>41226</v>
      </c>
      <c r="N1375" t="s">
        <v>44759</v>
      </c>
      <c r="O1375" t="s">
        <v>44760</v>
      </c>
      <c r="P1375">
        <v>0</v>
      </c>
      <c r="Q1375">
        <v>0</v>
      </c>
      <c r="R1375" t="s">
        <v>44761</v>
      </c>
      <c r="S1375" t="s">
        <v>44862</v>
      </c>
      <c r="T1375" t="s">
        <v>46380</v>
      </c>
      <c r="U1375" t="s">
        <v>48150</v>
      </c>
      <c r="W1375" t="s">
        <v>41226</v>
      </c>
      <c r="X1375" t="s">
        <v>44762</v>
      </c>
    </row>
    <row r="1376" spans="1:24">
      <c r="A1376">
        <f>HYPERLINK("https://www.philgeps.gov.ph/GEPSNONPILOT/Tender/SplashBidNoticeAbstractUI.aspx?menuIndex=3&amp;refID=7153643&amp;Result=3","7153643")</f>
        <v>0</v>
      </c>
      <c r="B1376" t="s">
        <v>677</v>
      </c>
      <c r="C1376" t="s">
        <v>5081</v>
      </c>
      <c r="D1376" t="s">
        <v>17987</v>
      </c>
      <c r="E1376" t="s">
        <v>19329</v>
      </c>
      <c r="F1376" t="s">
        <v>30900</v>
      </c>
      <c r="G1376" t="s">
        <v>30909</v>
      </c>
      <c r="H1376" t="s">
        <v>30916</v>
      </c>
      <c r="I1376" t="s">
        <v>4004</v>
      </c>
      <c r="J1376" t="s">
        <v>32095</v>
      </c>
      <c r="K1376" t="s">
        <v>40285</v>
      </c>
      <c r="M1376" t="s">
        <v>41240</v>
      </c>
      <c r="N1376" t="s">
        <v>44759</v>
      </c>
      <c r="O1376" t="s">
        <v>44760</v>
      </c>
      <c r="P1376">
        <v>0</v>
      </c>
      <c r="Q1376">
        <v>0</v>
      </c>
      <c r="R1376" t="s">
        <v>44761</v>
      </c>
      <c r="S1376" t="s">
        <v>44862</v>
      </c>
      <c r="T1376" t="s">
        <v>46410</v>
      </c>
      <c r="U1376" t="s">
        <v>48151</v>
      </c>
      <c r="W1376" t="s">
        <v>41240</v>
      </c>
      <c r="X1376" t="s">
        <v>44762</v>
      </c>
    </row>
    <row r="1377" spans="1:24">
      <c r="A1377">
        <f>HYPERLINK("https://www.philgeps.gov.ph/GEPSNONPILOT/Tender/SplashBidNoticeAbstractUI.aspx?menuIndex=3&amp;refID=7153665&amp;Result=3","7153665")</f>
        <v>0</v>
      </c>
      <c r="B1377" t="s">
        <v>532</v>
      </c>
      <c r="C1377" t="s">
        <v>4749</v>
      </c>
      <c r="D1377" t="s">
        <v>17966</v>
      </c>
      <c r="E1377" t="s">
        <v>19330</v>
      </c>
      <c r="F1377" t="s">
        <v>30900</v>
      </c>
      <c r="G1377" t="s">
        <v>30910</v>
      </c>
      <c r="H1377" t="s">
        <v>30916</v>
      </c>
      <c r="I1377" t="s">
        <v>8123</v>
      </c>
      <c r="J1377" t="s">
        <v>32096</v>
      </c>
      <c r="K1377" t="s">
        <v>40287</v>
      </c>
      <c r="M1377" t="s">
        <v>41092</v>
      </c>
      <c r="N1377" t="s">
        <v>44759</v>
      </c>
      <c r="O1377" t="s">
        <v>44760</v>
      </c>
      <c r="P1377">
        <v>0</v>
      </c>
      <c r="Q1377">
        <v>0</v>
      </c>
      <c r="R1377" t="s">
        <v>44761</v>
      </c>
      <c r="S1377" t="s">
        <v>44862</v>
      </c>
      <c r="T1377" t="s">
        <v>46412</v>
      </c>
      <c r="U1377" t="s">
        <v>48152</v>
      </c>
      <c r="W1377" t="s">
        <v>41092</v>
      </c>
      <c r="X1377" t="s">
        <v>44762</v>
      </c>
    </row>
    <row r="1378" spans="1:24">
      <c r="A1378">
        <f>HYPERLINK("https://www.philgeps.gov.ph/GEPSNONPILOT/Tender/SplashBidNoticeAbstractUI.aspx?menuIndex=3&amp;refID=7153681&amp;Result=3","7153681")</f>
        <v>0</v>
      </c>
      <c r="B1378" t="s">
        <v>143</v>
      </c>
      <c r="C1378" t="s">
        <v>5082</v>
      </c>
      <c r="D1378" t="s">
        <v>17965</v>
      </c>
      <c r="E1378" t="s">
        <v>19331</v>
      </c>
      <c r="F1378" t="s">
        <v>30900</v>
      </c>
      <c r="G1378" t="s">
        <v>30907</v>
      </c>
      <c r="H1378" t="s">
        <v>30915</v>
      </c>
      <c r="I1378" t="s">
        <v>30919</v>
      </c>
      <c r="J1378" t="s">
        <v>32097</v>
      </c>
      <c r="K1378" t="s">
        <v>40283</v>
      </c>
      <c r="M1378" t="s">
        <v>40854</v>
      </c>
      <c r="N1378" t="s">
        <v>44759</v>
      </c>
      <c r="O1378" t="s">
        <v>44760</v>
      </c>
      <c r="P1378">
        <v>0</v>
      </c>
      <c r="Q1378">
        <v>0</v>
      </c>
      <c r="R1378" t="s">
        <v>44761</v>
      </c>
      <c r="S1378" t="s">
        <v>44862</v>
      </c>
      <c r="T1378" t="s">
        <v>46418</v>
      </c>
      <c r="U1378" t="s">
        <v>47423</v>
      </c>
      <c r="W1378" t="s">
        <v>40854</v>
      </c>
      <c r="X1378" t="s">
        <v>44762</v>
      </c>
    </row>
    <row r="1379" spans="1:24">
      <c r="A1379">
        <f>HYPERLINK("https://www.philgeps.gov.ph/GEPSNONPILOT/Tender/SplashBidNoticeAbstractUI.aspx?menuIndex=3&amp;refID=7153680&amp;Result=3","7153680")</f>
        <v>0</v>
      </c>
      <c r="B1379" t="s">
        <v>677</v>
      </c>
      <c r="C1379" t="s">
        <v>5083</v>
      </c>
      <c r="D1379" t="s">
        <v>17987</v>
      </c>
      <c r="E1379" t="s">
        <v>19332</v>
      </c>
      <c r="F1379" t="s">
        <v>30900</v>
      </c>
      <c r="G1379" t="s">
        <v>30909</v>
      </c>
      <c r="H1379" t="s">
        <v>30916</v>
      </c>
      <c r="I1379" t="s">
        <v>30921</v>
      </c>
      <c r="J1379" t="s">
        <v>32098</v>
      </c>
      <c r="K1379" t="s">
        <v>40285</v>
      </c>
      <c r="M1379" t="s">
        <v>41240</v>
      </c>
      <c r="N1379" t="s">
        <v>44759</v>
      </c>
      <c r="O1379" t="s">
        <v>44760</v>
      </c>
      <c r="P1379">
        <v>0</v>
      </c>
      <c r="Q1379">
        <v>0</v>
      </c>
      <c r="R1379" t="s">
        <v>44761</v>
      </c>
      <c r="S1379" t="s">
        <v>44862</v>
      </c>
      <c r="T1379" t="s">
        <v>46410</v>
      </c>
      <c r="U1379" t="s">
        <v>48153</v>
      </c>
      <c r="W1379" t="s">
        <v>41240</v>
      </c>
      <c r="X1379" t="s">
        <v>44762</v>
      </c>
    </row>
    <row r="1380" spans="1:24">
      <c r="A1380">
        <f>HYPERLINK("https://www.philgeps.gov.ph/GEPSNONPILOT/Tender/SplashBidNoticeAbstractUI.aspx?menuIndex=3&amp;refID=7153679&amp;Result=3","7153679")</f>
        <v>0</v>
      </c>
      <c r="B1380" t="s">
        <v>207</v>
      </c>
      <c r="C1380" t="s">
        <v>4013</v>
      </c>
      <c r="D1380" t="s">
        <v>17985</v>
      </c>
      <c r="E1380" t="s">
        <v>19333</v>
      </c>
      <c r="F1380" t="s">
        <v>30900</v>
      </c>
      <c r="G1380" t="s">
        <v>30910</v>
      </c>
      <c r="H1380" t="s">
        <v>30916</v>
      </c>
      <c r="I1380" t="s">
        <v>4545</v>
      </c>
      <c r="J1380" t="s">
        <v>32099</v>
      </c>
      <c r="K1380" t="s">
        <v>40287</v>
      </c>
      <c r="M1380" t="s">
        <v>40754</v>
      </c>
      <c r="N1380" t="s">
        <v>44759</v>
      </c>
      <c r="O1380" t="s">
        <v>44760</v>
      </c>
      <c r="P1380">
        <v>0</v>
      </c>
      <c r="Q1380">
        <v>0</v>
      </c>
      <c r="R1380" t="s">
        <v>44761</v>
      </c>
      <c r="S1380" t="s">
        <v>44862</v>
      </c>
      <c r="T1380" t="s">
        <v>46525</v>
      </c>
      <c r="U1380" t="s">
        <v>48154</v>
      </c>
      <c r="V1380" t="s">
        <v>59279</v>
      </c>
      <c r="W1380" t="s">
        <v>40754</v>
      </c>
      <c r="X1380" t="s">
        <v>44762</v>
      </c>
    </row>
    <row r="1381" spans="1:24">
      <c r="A1381">
        <f>HYPERLINK("https://www.philgeps.gov.ph/GEPSNONPILOT/Tender/SplashBidNoticeAbstractUI.aspx?menuIndex=3&amp;refID=7153687&amp;Result=3","7153687")</f>
        <v>0</v>
      </c>
      <c r="B1381" t="s">
        <v>573</v>
      </c>
      <c r="C1381" t="s">
        <v>5084</v>
      </c>
      <c r="D1381" t="s">
        <v>18023</v>
      </c>
      <c r="E1381" t="s">
        <v>19334</v>
      </c>
      <c r="F1381" t="s">
        <v>30900</v>
      </c>
      <c r="G1381" t="s">
        <v>30908</v>
      </c>
      <c r="H1381" t="s">
        <v>30916</v>
      </c>
      <c r="I1381" t="s">
        <v>4108</v>
      </c>
      <c r="J1381" t="s">
        <v>32100</v>
      </c>
      <c r="K1381" t="s">
        <v>40283</v>
      </c>
      <c r="M1381" t="s">
        <v>41141</v>
      </c>
      <c r="N1381" t="s">
        <v>44759</v>
      </c>
      <c r="O1381" t="s">
        <v>44760</v>
      </c>
      <c r="P1381">
        <v>0</v>
      </c>
      <c r="Q1381">
        <v>0</v>
      </c>
      <c r="R1381" t="s">
        <v>44761</v>
      </c>
      <c r="S1381" t="s">
        <v>44862</v>
      </c>
      <c r="T1381" t="s">
        <v>46399</v>
      </c>
      <c r="U1381" t="s">
        <v>48155</v>
      </c>
      <c r="V1381" t="s">
        <v>59280</v>
      </c>
      <c r="W1381" t="s">
        <v>41141</v>
      </c>
      <c r="X1381" t="s">
        <v>44762</v>
      </c>
    </row>
    <row r="1382" spans="1:24">
      <c r="A1382">
        <f>HYPERLINK("https://www.philgeps.gov.ph/GEPSNONPILOT/Tender/SplashBidNoticeAbstractUI.aspx?menuIndex=3&amp;refID=7153649&amp;Result=3","7153649")</f>
        <v>0</v>
      </c>
      <c r="B1382" t="s">
        <v>685</v>
      </c>
      <c r="C1382" t="s">
        <v>5085</v>
      </c>
      <c r="D1382" t="s">
        <v>17973</v>
      </c>
      <c r="E1382" t="s">
        <v>18752</v>
      </c>
      <c r="F1382" t="s">
        <v>30900</v>
      </c>
      <c r="G1382" t="s">
        <v>30909</v>
      </c>
      <c r="H1382" t="s">
        <v>30916</v>
      </c>
      <c r="I1382" t="s">
        <v>4108</v>
      </c>
      <c r="J1382" t="s">
        <v>31092</v>
      </c>
      <c r="K1382" t="s">
        <v>40287</v>
      </c>
      <c r="M1382" t="s">
        <v>41249</v>
      </c>
      <c r="N1382" t="s">
        <v>44759</v>
      </c>
      <c r="O1382" t="s">
        <v>44760</v>
      </c>
      <c r="P1382">
        <v>0</v>
      </c>
      <c r="Q1382">
        <v>0</v>
      </c>
      <c r="R1382" t="s">
        <v>44761</v>
      </c>
      <c r="S1382" t="s">
        <v>44862</v>
      </c>
      <c r="T1382" t="s">
        <v>46403</v>
      </c>
      <c r="U1382" t="s">
        <v>48156</v>
      </c>
      <c r="W1382" t="s">
        <v>41249</v>
      </c>
      <c r="X1382" t="s">
        <v>44762</v>
      </c>
    </row>
    <row r="1383" spans="1:24">
      <c r="A1383">
        <f>HYPERLINK("https://www.philgeps.gov.ph/GEPSNONPILOT/Tender/SplashBidNoticeAbstractUI.aspx?menuIndex=3&amp;refID=7153685&amp;Result=3","7153685")</f>
        <v>0</v>
      </c>
      <c r="B1383" t="s">
        <v>223</v>
      </c>
      <c r="C1383" t="s">
        <v>5086</v>
      </c>
      <c r="E1383" t="s">
        <v>19335</v>
      </c>
      <c r="F1383" t="s">
        <v>30900</v>
      </c>
      <c r="G1383" t="s">
        <v>30907</v>
      </c>
      <c r="H1383" t="s">
        <v>30916</v>
      </c>
      <c r="I1383" t="s">
        <v>30942</v>
      </c>
      <c r="J1383" t="s">
        <v>32101</v>
      </c>
      <c r="K1383" t="s">
        <v>40289</v>
      </c>
      <c r="M1383" t="s">
        <v>41103</v>
      </c>
      <c r="N1383" t="s">
        <v>44759</v>
      </c>
      <c r="O1383" t="s">
        <v>44760</v>
      </c>
      <c r="P1383">
        <v>0</v>
      </c>
      <c r="Q1383">
        <v>0</v>
      </c>
      <c r="R1383" t="s">
        <v>44761</v>
      </c>
      <c r="S1383" t="s">
        <v>44862</v>
      </c>
      <c r="T1383" t="s">
        <v>46526</v>
      </c>
      <c r="U1383" t="s">
        <v>48157</v>
      </c>
      <c r="W1383" t="s">
        <v>41103</v>
      </c>
      <c r="X1383" t="s">
        <v>44762</v>
      </c>
    </row>
    <row r="1384" spans="1:24">
      <c r="A1384">
        <f>HYPERLINK("https://www.philgeps.gov.ph/GEPSNONPILOT/Tender/SplashBidNoticeAbstractUI.aspx?menuIndex=3&amp;refID=7153642&amp;Result=3","7153642")</f>
        <v>0</v>
      </c>
      <c r="B1384" t="s">
        <v>686</v>
      </c>
      <c r="C1384" t="s">
        <v>5087</v>
      </c>
      <c r="D1384" t="s">
        <v>17959</v>
      </c>
      <c r="E1384" t="s">
        <v>18234</v>
      </c>
      <c r="F1384" t="s">
        <v>30900</v>
      </c>
      <c r="G1384" t="s">
        <v>30909</v>
      </c>
      <c r="H1384" t="s">
        <v>30915</v>
      </c>
      <c r="I1384" t="s">
        <v>30919</v>
      </c>
      <c r="J1384" t="s">
        <v>31067</v>
      </c>
      <c r="K1384" t="s">
        <v>40283</v>
      </c>
      <c r="M1384" t="s">
        <v>41250</v>
      </c>
      <c r="N1384" t="s">
        <v>44759</v>
      </c>
      <c r="O1384" t="s">
        <v>44760</v>
      </c>
      <c r="P1384">
        <v>0</v>
      </c>
      <c r="Q1384">
        <v>0</v>
      </c>
      <c r="R1384" t="s">
        <v>44761</v>
      </c>
      <c r="S1384" t="s">
        <v>44862</v>
      </c>
      <c r="T1384" t="s">
        <v>46457</v>
      </c>
      <c r="U1384" t="s">
        <v>48158</v>
      </c>
      <c r="W1384" t="s">
        <v>41250</v>
      </c>
      <c r="X1384" t="s">
        <v>44762</v>
      </c>
    </row>
    <row r="1385" spans="1:24">
      <c r="A1385">
        <f>HYPERLINK("https://www.philgeps.gov.ph/GEPSNONPILOT/Tender/SplashBidNoticeAbstractUI.aspx?menuIndex=3&amp;refID=7153684&amp;Result=3","7153684")</f>
        <v>0</v>
      </c>
      <c r="B1385" t="s">
        <v>687</v>
      </c>
      <c r="C1385" t="s">
        <v>5088</v>
      </c>
      <c r="D1385" t="s">
        <v>17973</v>
      </c>
      <c r="E1385" t="s">
        <v>18752</v>
      </c>
      <c r="F1385" t="s">
        <v>30900</v>
      </c>
      <c r="G1385" t="s">
        <v>30909</v>
      </c>
      <c r="H1385" t="s">
        <v>30916</v>
      </c>
      <c r="I1385" t="s">
        <v>8123</v>
      </c>
      <c r="J1385" t="s">
        <v>32102</v>
      </c>
      <c r="K1385" t="s">
        <v>40287</v>
      </c>
      <c r="M1385" t="s">
        <v>41251</v>
      </c>
      <c r="N1385" t="s">
        <v>44759</v>
      </c>
      <c r="O1385" t="s">
        <v>44760</v>
      </c>
      <c r="P1385">
        <v>0</v>
      </c>
      <c r="Q1385">
        <v>0</v>
      </c>
      <c r="R1385" t="s">
        <v>44761</v>
      </c>
      <c r="S1385" t="s">
        <v>44862</v>
      </c>
      <c r="T1385" t="s">
        <v>46403</v>
      </c>
      <c r="U1385" t="s">
        <v>48159</v>
      </c>
      <c r="W1385" t="s">
        <v>41251</v>
      </c>
      <c r="X1385" t="s">
        <v>44762</v>
      </c>
    </row>
    <row r="1386" spans="1:24">
      <c r="A1386">
        <f>HYPERLINK("https://www.philgeps.gov.ph/GEPSNONPILOT/Tender/SplashBidNoticeAbstractUI.aspx?menuIndex=3&amp;refID=7153677&amp;Result=3","7153677")</f>
        <v>0</v>
      </c>
      <c r="B1386" t="s">
        <v>570</v>
      </c>
      <c r="C1386" t="s">
        <v>5089</v>
      </c>
      <c r="D1386" t="s">
        <v>17985</v>
      </c>
      <c r="E1386" t="s">
        <v>19336</v>
      </c>
      <c r="F1386" t="s">
        <v>30900</v>
      </c>
      <c r="G1386" t="s">
        <v>30908</v>
      </c>
      <c r="H1386" t="s">
        <v>30916</v>
      </c>
      <c r="I1386" t="s">
        <v>30927</v>
      </c>
      <c r="J1386" t="s">
        <v>32103</v>
      </c>
      <c r="K1386" t="s">
        <v>40289</v>
      </c>
      <c r="M1386" t="s">
        <v>41131</v>
      </c>
      <c r="N1386" t="s">
        <v>44759</v>
      </c>
      <c r="O1386" t="s">
        <v>44760</v>
      </c>
      <c r="P1386">
        <v>0</v>
      </c>
      <c r="Q1386">
        <v>0</v>
      </c>
      <c r="R1386" t="s">
        <v>44761</v>
      </c>
      <c r="S1386" t="s">
        <v>44862</v>
      </c>
      <c r="T1386" t="s">
        <v>46376</v>
      </c>
      <c r="U1386" t="s">
        <v>48160</v>
      </c>
      <c r="W1386" t="s">
        <v>41131</v>
      </c>
      <c r="X1386" t="s">
        <v>44762</v>
      </c>
    </row>
    <row r="1387" spans="1:24">
      <c r="A1387">
        <f>HYPERLINK("https://www.philgeps.gov.ph/GEPSNONPILOT/Tender/SplashBidNoticeAbstractUI.aspx?menuIndex=3&amp;refID=7153647&amp;Result=3","7153647")</f>
        <v>0</v>
      </c>
      <c r="B1387" t="s">
        <v>532</v>
      </c>
      <c r="C1387" t="s">
        <v>4749</v>
      </c>
      <c r="D1387" t="s">
        <v>17966</v>
      </c>
      <c r="E1387" t="s">
        <v>19337</v>
      </c>
      <c r="F1387" t="s">
        <v>30900</v>
      </c>
      <c r="G1387" t="s">
        <v>30910</v>
      </c>
      <c r="H1387" t="s">
        <v>30916</v>
      </c>
      <c r="I1387" t="s">
        <v>8123</v>
      </c>
      <c r="J1387" t="s">
        <v>32104</v>
      </c>
      <c r="K1387" t="s">
        <v>40287</v>
      </c>
      <c r="M1387" t="s">
        <v>41092</v>
      </c>
      <c r="N1387" t="s">
        <v>44759</v>
      </c>
      <c r="O1387" t="s">
        <v>44760</v>
      </c>
      <c r="P1387">
        <v>0</v>
      </c>
      <c r="Q1387">
        <v>0</v>
      </c>
      <c r="R1387" t="s">
        <v>44761</v>
      </c>
      <c r="S1387" t="s">
        <v>44862</v>
      </c>
      <c r="T1387" t="s">
        <v>46412</v>
      </c>
      <c r="U1387" t="s">
        <v>47850</v>
      </c>
      <c r="W1387" t="s">
        <v>41092</v>
      </c>
      <c r="X1387" t="s">
        <v>44762</v>
      </c>
    </row>
    <row r="1388" spans="1:24">
      <c r="A1388">
        <f>HYPERLINK("https://www.philgeps.gov.ph/GEPSNONPILOT/Tender/SplashBidNoticeAbstractUI.aspx?menuIndex=3&amp;refID=7153676&amp;Result=3","7153676")</f>
        <v>0</v>
      </c>
      <c r="B1388" t="s">
        <v>532</v>
      </c>
      <c r="C1388" t="s">
        <v>4749</v>
      </c>
      <c r="E1388" t="s">
        <v>19338</v>
      </c>
      <c r="F1388" t="s">
        <v>30900</v>
      </c>
      <c r="G1388" t="s">
        <v>30910</v>
      </c>
      <c r="H1388" t="s">
        <v>30916</v>
      </c>
      <c r="I1388" t="s">
        <v>8123</v>
      </c>
      <c r="J1388" t="s">
        <v>32105</v>
      </c>
      <c r="K1388" t="s">
        <v>40287</v>
      </c>
      <c r="M1388" t="s">
        <v>41092</v>
      </c>
      <c r="N1388" t="s">
        <v>44759</v>
      </c>
      <c r="O1388" t="s">
        <v>44760</v>
      </c>
      <c r="P1388">
        <v>0</v>
      </c>
      <c r="Q1388">
        <v>0</v>
      </c>
      <c r="R1388" t="s">
        <v>44761</v>
      </c>
      <c r="S1388" t="s">
        <v>44862</v>
      </c>
      <c r="T1388" t="s">
        <v>46376</v>
      </c>
      <c r="U1388" t="s">
        <v>47850</v>
      </c>
      <c r="W1388" t="s">
        <v>41092</v>
      </c>
      <c r="X1388" t="s">
        <v>44762</v>
      </c>
    </row>
    <row r="1389" spans="1:24">
      <c r="A1389">
        <f>HYPERLINK("https://www.philgeps.gov.ph/GEPSNONPILOT/Tender/SplashBidNoticeAbstractUI.aspx?menuIndex=3&amp;refID=7153631&amp;Result=3","7153631")</f>
        <v>0</v>
      </c>
      <c r="B1389" t="s">
        <v>620</v>
      </c>
      <c r="C1389" t="s">
        <v>5090</v>
      </c>
      <c r="D1389" t="s">
        <v>17980</v>
      </c>
      <c r="E1389" t="s">
        <v>19339</v>
      </c>
      <c r="F1389" t="s">
        <v>30899</v>
      </c>
      <c r="G1389" t="s">
        <v>30907</v>
      </c>
      <c r="H1389" t="s">
        <v>30916</v>
      </c>
      <c r="I1389" t="s">
        <v>6953</v>
      </c>
      <c r="J1389" t="s">
        <v>32106</v>
      </c>
      <c r="K1389" t="s">
        <v>40293</v>
      </c>
      <c r="M1389" t="s">
        <v>41182</v>
      </c>
      <c r="N1389" t="s">
        <v>44759</v>
      </c>
      <c r="O1389" t="s">
        <v>44760</v>
      </c>
      <c r="P1389">
        <v>0</v>
      </c>
      <c r="Q1389">
        <v>0</v>
      </c>
      <c r="R1389" t="s">
        <v>44761</v>
      </c>
      <c r="S1389" t="s">
        <v>44862</v>
      </c>
      <c r="T1389" t="s">
        <v>46512</v>
      </c>
      <c r="U1389" t="s">
        <v>48161</v>
      </c>
      <c r="W1389" t="s">
        <v>41182</v>
      </c>
      <c r="X1389" t="s">
        <v>44762</v>
      </c>
    </row>
    <row r="1390" spans="1:24">
      <c r="A1390">
        <f>HYPERLINK("https://www.philgeps.gov.ph/GEPSNONPILOT/Tender/SplashBidNoticeAbstractUI.aspx?menuIndex=3&amp;refID=7153672&amp;Result=3","7153672")</f>
        <v>0</v>
      </c>
      <c r="B1390" t="s">
        <v>684</v>
      </c>
      <c r="C1390" t="s">
        <v>5091</v>
      </c>
      <c r="D1390" t="s">
        <v>17959</v>
      </c>
      <c r="E1390" t="s">
        <v>19340</v>
      </c>
      <c r="F1390" t="s">
        <v>30900</v>
      </c>
      <c r="G1390" t="s">
        <v>30907</v>
      </c>
      <c r="H1390" t="s">
        <v>30915</v>
      </c>
      <c r="I1390" t="s">
        <v>30919</v>
      </c>
      <c r="J1390" t="s">
        <v>32107</v>
      </c>
      <c r="K1390" t="s">
        <v>40289</v>
      </c>
      <c r="M1390" t="s">
        <v>41248</v>
      </c>
      <c r="N1390" t="s">
        <v>44759</v>
      </c>
      <c r="O1390" t="s">
        <v>44760</v>
      </c>
      <c r="P1390">
        <v>0</v>
      </c>
      <c r="Q1390">
        <v>0</v>
      </c>
      <c r="R1390" t="s">
        <v>44761</v>
      </c>
      <c r="S1390" t="s">
        <v>44862</v>
      </c>
      <c r="T1390" t="s">
        <v>46524</v>
      </c>
      <c r="U1390" t="s">
        <v>48162</v>
      </c>
      <c r="W1390" t="s">
        <v>41248</v>
      </c>
      <c r="X1390" t="s">
        <v>44762</v>
      </c>
    </row>
    <row r="1391" spans="1:24">
      <c r="A1391">
        <f>HYPERLINK("https://www.philgeps.gov.ph/GEPSNONPILOT/Tender/SplashBidNoticeAbstractUI.aspx?menuIndex=3&amp;refID=7153683&amp;Result=3","7153683")</f>
        <v>0</v>
      </c>
      <c r="B1391" t="s">
        <v>683</v>
      </c>
      <c r="C1391" t="s">
        <v>5092</v>
      </c>
      <c r="D1391" t="s">
        <v>18028</v>
      </c>
      <c r="E1391" t="s">
        <v>19341</v>
      </c>
      <c r="F1391" t="s">
        <v>30900</v>
      </c>
      <c r="G1391" t="s">
        <v>30909</v>
      </c>
      <c r="H1391" t="s">
        <v>30916</v>
      </c>
      <c r="I1391" t="s">
        <v>6953</v>
      </c>
      <c r="J1391" t="s">
        <v>32108</v>
      </c>
      <c r="K1391" t="s">
        <v>40283</v>
      </c>
      <c r="M1391" t="s">
        <v>41246</v>
      </c>
      <c r="N1391" t="s">
        <v>44759</v>
      </c>
      <c r="O1391" t="s">
        <v>44760</v>
      </c>
      <c r="P1391">
        <v>0</v>
      </c>
      <c r="Q1391">
        <v>0</v>
      </c>
      <c r="R1391" t="s">
        <v>44761</v>
      </c>
      <c r="S1391" t="s">
        <v>44862</v>
      </c>
      <c r="T1391" t="s">
        <v>46352</v>
      </c>
      <c r="U1391" t="s">
        <v>48146</v>
      </c>
      <c r="V1391" t="s">
        <v>59281</v>
      </c>
      <c r="W1391" t="s">
        <v>41246</v>
      </c>
      <c r="X1391" t="s">
        <v>44762</v>
      </c>
    </row>
    <row r="1392" spans="1:24">
      <c r="A1392">
        <f>HYPERLINK("https://www.philgeps.gov.ph/GEPSNONPILOT/Tender/SplashBidNoticeAbstractUI.aspx?menuIndex=3&amp;refID=7153651&amp;Result=3","7153651")</f>
        <v>0</v>
      </c>
      <c r="B1392" t="s">
        <v>130</v>
      </c>
      <c r="C1392" t="s">
        <v>5093</v>
      </c>
      <c r="D1392" t="s">
        <v>17979</v>
      </c>
      <c r="E1392" t="s">
        <v>19342</v>
      </c>
      <c r="F1392" t="s">
        <v>30900</v>
      </c>
      <c r="G1392" t="s">
        <v>30908</v>
      </c>
      <c r="H1392" t="s">
        <v>30916</v>
      </c>
      <c r="I1392" t="s">
        <v>10602</v>
      </c>
      <c r="J1392" t="s">
        <v>32017</v>
      </c>
      <c r="K1392" t="s">
        <v>40315</v>
      </c>
      <c r="M1392" t="s">
        <v>40677</v>
      </c>
      <c r="N1392" t="s">
        <v>44759</v>
      </c>
      <c r="O1392" t="s">
        <v>44760</v>
      </c>
      <c r="P1392">
        <v>0</v>
      </c>
      <c r="Q1392">
        <v>0</v>
      </c>
      <c r="R1392" t="s">
        <v>44761</v>
      </c>
      <c r="S1392" t="s">
        <v>44862</v>
      </c>
      <c r="T1392" t="s">
        <v>46376</v>
      </c>
      <c r="U1392" t="s">
        <v>48163</v>
      </c>
      <c r="W1392" t="s">
        <v>40677</v>
      </c>
      <c r="X1392" t="s">
        <v>44762</v>
      </c>
    </row>
    <row r="1393" spans="1:24">
      <c r="A1393">
        <f>HYPERLINK("https://www.philgeps.gov.ph/GEPSNONPILOT/Tender/SplashBidNoticeAbstractUI.aspx?menuIndex=3&amp;refID=7153669&amp;Result=3","7153669")</f>
        <v>0</v>
      </c>
      <c r="B1393" t="s">
        <v>688</v>
      </c>
      <c r="C1393" t="s">
        <v>3886</v>
      </c>
      <c r="D1393" t="s">
        <v>17957</v>
      </c>
      <c r="E1393" t="s">
        <v>18207</v>
      </c>
      <c r="F1393" t="s">
        <v>30900</v>
      </c>
      <c r="G1393" t="s">
        <v>30909</v>
      </c>
      <c r="H1393" t="s">
        <v>30916</v>
      </c>
      <c r="I1393" t="s">
        <v>4108</v>
      </c>
      <c r="J1393" t="s">
        <v>32109</v>
      </c>
      <c r="K1393" t="s">
        <v>40281</v>
      </c>
      <c r="M1393" t="s">
        <v>41252</v>
      </c>
      <c r="N1393" t="s">
        <v>44759</v>
      </c>
      <c r="O1393" t="s">
        <v>44760</v>
      </c>
      <c r="P1393">
        <v>0</v>
      </c>
      <c r="Q1393">
        <v>0</v>
      </c>
      <c r="R1393" t="s">
        <v>44761</v>
      </c>
      <c r="S1393" t="s">
        <v>44862</v>
      </c>
      <c r="T1393" t="s">
        <v>46383</v>
      </c>
      <c r="U1393" t="s">
        <v>48164</v>
      </c>
      <c r="V1393" t="s">
        <v>59117</v>
      </c>
      <c r="W1393" t="s">
        <v>41252</v>
      </c>
      <c r="X1393" t="s">
        <v>44762</v>
      </c>
    </row>
    <row r="1394" spans="1:24">
      <c r="A1394">
        <f>HYPERLINK("https://www.philgeps.gov.ph/GEPSNONPILOT/Tender/SplashBidNoticeAbstractUI.aspx?menuIndex=3&amp;refID=7153662&amp;Result=3","7153662")</f>
        <v>0</v>
      </c>
      <c r="B1394" t="s">
        <v>689</v>
      </c>
      <c r="C1394" t="s">
        <v>5094</v>
      </c>
      <c r="D1394" t="s">
        <v>17978</v>
      </c>
      <c r="E1394" t="s">
        <v>19343</v>
      </c>
      <c r="F1394" t="s">
        <v>30900</v>
      </c>
      <c r="G1394" t="s">
        <v>30909</v>
      </c>
      <c r="H1394" t="s">
        <v>30916</v>
      </c>
      <c r="I1394" t="s">
        <v>10834</v>
      </c>
      <c r="J1394" t="s">
        <v>31043</v>
      </c>
      <c r="K1394" t="s">
        <v>40285</v>
      </c>
      <c r="M1394" t="s">
        <v>41253</v>
      </c>
      <c r="N1394" t="s">
        <v>44759</v>
      </c>
      <c r="O1394" t="s">
        <v>44760</v>
      </c>
      <c r="P1394">
        <v>0</v>
      </c>
      <c r="Q1394">
        <v>0</v>
      </c>
      <c r="R1394" t="s">
        <v>44761</v>
      </c>
      <c r="S1394" t="s">
        <v>44862</v>
      </c>
      <c r="T1394" t="s">
        <v>46398</v>
      </c>
      <c r="U1394" t="s">
        <v>48165</v>
      </c>
      <c r="W1394" t="s">
        <v>41253</v>
      </c>
      <c r="X1394" t="s">
        <v>44762</v>
      </c>
    </row>
    <row r="1395" spans="1:24">
      <c r="A1395">
        <f>HYPERLINK("https://www.philgeps.gov.ph/GEPSNONPILOT/Tender/SplashBidNoticeAbstractUI.aspx?menuIndex=3&amp;refID=7153667&amp;Result=3","7153667")</f>
        <v>0</v>
      </c>
      <c r="B1395" t="s">
        <v>591</v>
      </c>
      <c r="C1395" t="s">
        <v>5095</v>
      </c>
      <c r="D1395" t="s">
        <v>17998</v>
      </c>
      <c r="E1395" t="s">
        <v>19344</v>
      </c>
      <c r="F1395" t="s">
        <v>30900</v>
      </c>
      <c r="G1395" t="s">
        <v>30907</v>
      </c>
      <c r="H1395" t="s">
        <v>30916</v>
      </c>
      <c r="I1395" t="s">
        <v>30927</v>
      </c>
      <c r="J1395" t="s">
        <v>32040</v>
      </c>
      <c r="K1395" t="s">
        <v>40286</v>
      </c>
      <c r="M1395" t="s">
        <v>41247</v>
      </c>
      <c r="N1395" t="s">
        <v>44759</v>
      </c>
      <c r="O1395" t="s">
        <v>44760</v>
      </c>
      <c r="P1395">
        <v>0</v>
      </c>
      <c r="Q1395">
        <v>0</v>
      </c>
      <c r="R1395" t="s">
        <v>44761</v>
      </c>
      <c r="S1395" t="s">
        <v>44862</v>
      </c>
      <c r="T1395" t="s">
        <v>46366</v>
      </c>
      <c r="U1395" t="s">
        <v>47975</v>
      </c>
      <c r="V1395" t="s">
        <v>59259</v>
      </c>
      <c r="W1395" t="s">
        <v>41247</v>
      </c>
      <c r="X1395" t="s">
        <v>44762</v>
      </c>
    </row>
    <row r="1396" spans="1:24">
      <c r="A1396">
        <f>HYPERLINK("https://www.philgeps.gov.ph/GEPSNONPILOT/Tender/SplashBidNoticeAbstractUI.aspx?menuIndex=3&amp;refID=7153666&amp;Result=3","7153666")</f>
        <v>0</v>
      </c>
      <c r="B1396" t="s">
        <v>690</v>
      </c>
      <c r="C1396" t="s">
        <v>5096</v>
      </c>
      <c r="D1396" t="s">
        <v>18016</v>
      </c>
      <c r="E1396" t="s">
        <v>5096</v>
      </c>
      <c r="F1396" t="s">
        <v>30900</v>
      </c>
      <c r="G1396" t="s">
        <v>30907</v>
      </c>
      <c r="H1396" t="s">
        <v>30916</v>
      </c>
      <c r="I1396" t="s">
        <v>30985</v>
      </c>
      <c r="J1396" t="s">
        <v>32110</v>
      </c>
      <c r="K1396" t="s">
        <v>40280</v>
      </c>
      <c r="M1396" t="s">
        <v>41254</v>
      </c>
      <c r="N1396" t="s">
        <v>44759</v>
      </c>
      <c r="O1396" t="s">
        <v>44760</v>
      </c>
      <c r="P1396">
        <v>0</v>
      </c>
      <c r="Q1396">
        <v>1</v>
      </c>
      <c r="R1396" t="s">
        <v>44761</v>
      </c>
      <c r="S1396" t="s">
        <v>44862</v>
      </c>
      <c r="T1396" t="s">
        <v>46350</v>
      </c>
      <c r="U1396" t="s">
        <v>48166</v>
      </c>
      <c r="W1396" t="s">
        <v>41254</v>
      </c>
      <c r="X1396" t="s">
        <v>44762</v>
      </c>
    </row>
    <row r="1397" spans="1:24">
      <c r="A1397">
        <f>HYPERLINK("https://www.philgeps.gov.ph/GEPSNONPILOT/Tender/SplashBidNoticeAbstractUI.aspx?menuIndex=3&amp;refID=7153686&amp;Result=3","7153686")</f>
        <v>0</v>
      </c>
      <c r="B1397" t="s">
        <v>591</v>
      </c>
      <c r="C1397" t="s">
        <v>5097</v>
      </c>
      <c r="D1397" t="s">
        <v>17998</v>
      </c>
      <c r="E1397" t="s">
        <v>19345</v>
      </c>
      <c r="F1397" t="s">
        <v>30900</v>
      </c>
      <c r="G1397" t="s">
        <v>30907</v>
      </c>
      <c r="H1397" t="s">
        <v>30916</v>
      </c>
      <c r="I1397" t="s">
        <v>30927</v>
      </c>
      <c r="J1397" t="s">
        <v>32111</v>
      </c>
      <c r="K1397" t="s">
        <v>40286</v>
      </c>
      <c r="M1397" t="s">
        <v>41247</v>
      </c>
      <c r="N1397" t="s">
        <v>44759</v>
      </c>
      <c r="O1397" t="s">
        <v>44760</v>
      </c>
      <c r="P1397">
        <v>0</v>
      </c>
      <c r="Q1397">
        <v>0</v>
      </c>
      <c r="R1397" t="s">
        <v>44761</v>
      </c>
      <c r="S1397" t="s">
        <v>44862</v>
      </c>
      <c r="T1397" t="s">
        <v>46366</v>
      </c>
      <c r="U1397" t="s">
        <v>47975</v>
      </c>
      <c r="V1397" t="s">
        <v>59259</v>
      </c>
      <c r="W1397" t="s">
        <v>41247</v>
      </c>
      <c r="X1397" t="s">
        <v>44762</v>
      </c>
    </row>
    <row r="1398" spans="1:24">
      <c r="A1398">
        <f>HYPERLINK("https://www.philgeps.gov.ph/GEPSNONPILOT/Tender/SplashBidNoticeAbstractUI.aspx?menuIndex=3&amp;refID=7153670&amp;Result=3","7153670")</f>
        <v>0</v>
      </c>
      <c r="B1398" t="s">
        <v>390</v>
      </c>
      <c r="C1398" t="s">
        <v>5098</v>
      </c>
      <c r="D1398" t="s">
        <v>17953</v>
      </c>
      <c r="E1398" t="s">
        <v>19346</v>
      </c>
      <c r="F1398" t="s">
        <v>30900</v>
      </c>
      <c r="G1398" t="s">
        <v>30908</v>
      </c>
      <c r="H1398" t="s">
        <v>30916</v>
      </c>
      <c r="I1398" t="s">
        <v>5501</v>
      </c>
      <c r="J1398" t="s">
        <v>32112</v>
      </c>
      <c r="K1398" t="s">
        <v>40289</v>
      </c>
      <c r="M1398" t="s">
        <v>40945</v>
      </c>
      <c r="N1398" t="s">
        <v>44759</v>
      </c>
      <c r="O1398" t="s">
        <v>44760</v>
      </c>
      <c r="P1398">
        <v>0</v>
      </c>
      <c r="Q1398">
        <v>0</v>
      </c>
      <c r="R1398" t="s">
        <v>44761</v>
      </c>
      <c r="S1398" t="s">
        <v>44862</v>
      </c>
      <c r="T1398" t="s">
        <v>46366</v>
      </c>
      <c r="U1398" t="s">
        <v>48167</v>
      </c>
      <c r="W1398" t="s">
        <v>40945</v>
      </c>
      <c r="X1398" t="s">
        <v>44762</v>
      </c>
    </row>
    <row r="1399" spans="1:24">
      <c r="A1399">
        <f>HYPERLINK("https://www.philgeps.gov.ph/GEPSNONPILOT/Tender/SplashBidNoticeAbstractUI.aspx?menuIndex=3&amp;refID=7153675&amp;Result=3","7153675")</f>
        <v>0</v>
      </c>
      <c r="B1399" t="s">
        <v>55</v>
      </c>
      <c r="C1399" t="s">
        <v>5099</v>
      </c>
      <c r="D1399" t="s">
        <v>17975</v>
      </c>
      <c r="E1399" t="s">
        <v>19347</v>
      </c>
      <c r="F1399" t="s">
        <v>30900</v>
      </c>
      <c r="G1399" t="s">
        <v>30908</v>
      </c>
      <c r="H1399" t="s">
        <v>30916</v>
      </c>
      <c r="I1399" t="s">
        <v>8123</v>
      </c>
      <c r="J1399" t="s">
        <v>32113</v>
      </c>
      <c r="K1399" t="s">
        <v>40343</v>
      </c>
      <c r="M1399" t="s">
        <v>40601</v>
      </c>
      <c r="N1399" t="s">
        <v>44759</v>
      </c>
      <c r="O1399" t="s">
        <v>44760</v>
      </c>
      <c r="P1399">
        <v>0</v>
      </c>
      <c r="Q1399">
        <v>0</v>
      </c>
      <c r="R1399" t="s">
        <v>44761</v>
      </c>
      <c r="S1399" t="s">
        <v>44862</v>
      </c>
      <c r="T1399" t="s">
        <v>46376</v>
      </c>
      <c r="U1399" t="s">
        <v>48168</v>
      </c>
      <c r="W1399" t="s">
        <v>40601</v>
      </c>
      <c r="X1399" t="s">
        <v>44762</v>
      </c>
    </row>
    <row r="1400" spans="1:24">
      <c r="A1400">
        <f>HYPERLINK("https://www.philgeps.gov.ph/GEPSNONPILOT/Tender/SplashBidNoticeAbstractUI.aspx?menuIndex=3&amp;refID=7153668&amp;Result=3","7153668")</f>
        <v>0</v>
      </c>
      <c r="B1400" t="s">
        <v>683</v>
      </c>
      <c r="C1400" t="s">
        <v>5100</v>
      </c>
      <c r="D1400" t="s">
        <v>18028</v>
      </c>
      <c r="E1400" t="s">
        <v>19348</v>
      </c>
      <c r="F1400" t="s">
        <v>30900</v>
      </c>
      <c r="G1400" t="s">
        <v>30909</v>
      </c>
      <c r="H1400" t="s">
        <v>30916</v>
      </c>
      <c r="I1400" t="s">
        <v>4017</v>
      </c>
      <c r="J1400" t="s">
        <v>32114</v>
      </c>
      <c r="K1400" t="s">
        <v>40283</v>
      </c>
      <c r="M1400" t="s">
        <v>41246</v>
      </c>
      <c r="N1400" t="s">
        <v>44759</v>
      </c>
      <c r="O1400" t="s">
        <v>44760</v>
      </c>
      <c r="P1400">
        <v>0</v>
      </c>
      <c r="Q1400">
        <v>0</v>
      </c>
      <c r="R1400" t="s">
        <v>44761</v>
      </c>
      <c r="S1400" t="s">
        <v>44862</v>
      </c>
      <c r="T1400" t="s">
        <v>46352</v>
      </c>
      <c r="U1400" t="s">
        <v>48146</v>
      </c>
      <c r="V1400" t="s">
        <v>59282</v>
      </c>
      <c r="W1400" t="s">
        <v>41246</v>
      </c>
      <c r="X1400" t="s">
        <v>44762</v>
      </c>
    </row>
    <row r="1401" spans="1:24">
      <c r="A1401">
        <f>HYPERLINK("https://www.philgeps.gov.ph/GEPSNONPILOT/Tender/SplashBidNoticeAbstractUI.aspx?menuIndex=3&amp;refID=7153671&amp;Result=3","7153671")</f>
        <v>0</v>
      </c>
      <c r="B1401" t="s">
        <v>301</v>
      </c>
      <c r="C1401" t="s">
        <v>5101</v>
      </c>
      <c r="E1401" t="s">
        <v>19349</v>
      </c>
      <c r="F1401" t="s">
        <v>30900</v>
      </c>
      <c r="G1401" t="s">
        <v>30909</v>
      </c>
      <c r="H1401" t="s">
        <v>30916</v>
      </c>
      <c r="I1401" t="s">
        <v>30965</v>
      </c>
      <c r="J1401" t="s">
        <v>32115</v>
      </c>
      <c r="K1401" t="s">
        <v>40284</v>
      </c>
      <c r="M1401" t="s">
        <v>40850</v>
      </c>
      <c r="N1401" t="s">
        <v>44759</v>
      </c>
      <c r="O1401" t="s">
        <v>44760</v>
      </c>
      <c r="P1401">
        <v>0</v>
      </c>
      <c r="Q1401">
        <v>0</v>
      </c>
      <c r="R1401" t="s">
        <v>44761</v>
      </c>
      <c r="S1401" t="s">
        <v>44862</v>
      </c>
      <c r="T1401" t="s">
        <v>46527</v>
      </c>
      <c r="U1401" t="s">
        <v>47419</v>
      </c>
      <c r="W1401" t="s">
        <v>40850</v>
      </c>
      <c r="X1401" t="s">
        <v>44762</v>
      </c>
    </row>
    <row r="1402" spans="1:24">
      <c r="A1402">
        <f>HYPERLINK("https://www.philgeps.gov.ph/GEPSNONPILOT/Tender/SplashBidNoticeAbstractUI.aspx?menuIndex=3&amp;refID=7153688&amp;Result=3","7153688")</f>
        <v>0</v>
      </c>
      <c r="B1402" t="s">
        <v>691</v>
      </c>
      <c r="C1402" t="s">
        <v>5102</v>
      </c>
      <c r="D1402" t="s">
        <v>17953</v>
      </c>
      <c r="E1402" t="s">
        <v>19350</v>
      </c>
      <c r="F1402" t="s">
        <v>30900</v>
      </c>
      <c r="G1402" t="s">
        <v>30908</v>
      </c>
      <c r="H1402" t="s">
        <v>30916</v>
      </c>
      <c r="I1402" t="s">
        <v>30933</v>
      </c>
      <c r="J1402" t="s">
        <v>32116</v>
      </c>
      <c r="K1402" t="s">
        <v>40283</v>
      </c>
      <c r="M1402" t="s">
        <v>41255</v>
      </c>
      <c r="N1402" t="s">
        <v>44759</v>
      </c>
      <c r="O1402" t="s">
        <v>44760</v>
      </c>
      <c r="P1402">
        <v>0</v>
      </c>
      <c r="Q1402">
        <v>0</v>
      </c>
      <c r="R1402" t="s">
        <v>44761</v>
      </c>
      <c r="S1402" t="s">
        <v>44862</v>
      </c>
      <c r="T1402" t="s">
        <v>46400</v>
      </c>
      <c r="U1402" t="s">
        <v>48169</v>
      </c>
      <c r="W1402" t="s">
        <v>41255</v>
      </c>
      <c r="X1402" t="s">
        <v>44762</v>
      </c>
    </row>
    <row r="1403" spans="1:24">
      <c r="A1403">
        <f>HYPERLINK("https://www.philgeps.gov.ph/GEPSNONPILOT/Tender/SplashBidNoticeAbstractUI.aspx?menuIndex=3&amp;refID=7153698&amp;Result=3","7153698")</f>
        <v>0</v>
      </c>
      <c r="B1403" t="s">
        <v>448</v>
      </c>
      <c r="C1403" t="s">
        <v>5103</v>
      </c>
      <c r="D1403" t="s">
        <v>17987</v>
      </c>
      <c r="E1403" t="s">
        <v>18207</v>
      </c>
      <c r="F1403" t="s">
        <v>30900</v>
      </c>
      <c r="G1403" t="s">
        <v>30907</v>
      </c>
      <c r="H1403" t="s">
        <v>30915</v>
      </c>
      <c r="I1403" t="s">
        <v>30919</v>
      </c>
      <c r="J1403" t="s">
        <v>32117</v>
      </c>
      <c r="K1403" t="s">
        <v>40342</v>
      </c>
      <c r="M1403" t="s">
        <v>41005</v>
      </c>
      <c r="N1403" t="s">
        <v>44759</v>
      </c>
      <c r="O1403" t="s">
        <v>44760</v>
      </c>
      <c r="P1403">
        <v>0</v>
      </c>
      <c r="Q1403">
        <v>0</v>
      </c>
      <c r="R1403" t="s">
        <v>44761</v>
      </c>
      <c r="S1403" t="s">
        <v>44862</v>
      </c>
      <c r="T1403" t="s">
        <v>46417</v>
      </c>
      <c r="U1403" t="s">
        <v>48170</v>
      </c>
      <c r="W1403" t="s">
        <v>41005</v>
      </c>
      <c r="X1403" t="s">
        <v>44762</v>
      </c>
    </row>
    <row r="1404" spans="1:24">
      <c r="A1404">
        <f>HYPERLINK("https://www.philgeps.gov.ph/GEPSNONPILOT/Tender/SplashBidNoticeAbstractUI.aspx?menuIndex=3&amp;refID=7153691&amp;Result=3","7153691")</f>
        <v>0</v>
      </c>
      <c r="B1404" t="s">
        <v>675</v>
      </c>
      <c r="C1404" t="s">
        <v>5104</v>
      </c>
      <c r="D1404" t="s">
        <v>17980</v>
      </c>
      <c r="E1404" t="s">
        <v>19307</v>
      </c>
      <c r="F1404" t="s">
        <v>30900</v>
      </c>
      <c r="G1404" t="s">
        <v>30909</v>
      </c>
      <c r="H1404" t="s">
        <v>30916</v>
      </c>
      <c r="I1404" t="s">
        <v>8123</v>
      </c>
      <c r="J1404" t="s">
        <v>32118</v>
      </c>
      <c r="K1404" t="s">
        <v>40287</v>
      </c>
      <c r="M1404" t="s">
        <v>41238</v>
      </c>
      <c r="N1404" t="s">
        <v>44759</v>
      </c>
      <c r="O1404" t="s">
        <v>44760</v>
      </c>
      <c r="P1404">
        <v>0</v>
      </c>
      <c r="Q1404">
        <v>0</v>
      </c>
      <c r="R1404" t="s">
        <v>44761</v>
      </c>
      <c r="S1404" t="s">
        <v>44862</v>
      </c>
      <c r="T1404" t="s">
        <v>46352</v>
      </c>
      <c r="U1404" t="s">
        <v>48171</v>
      </c>
      <c r="W1404" t="s">
        <v>41238</v>
      </c>
      <c r="X1404" t="s">
        <v>44762</v>
      </c>
    </row>
    <row r="1405" spans="1:24">
      <c r="A1405">
        <f>HYPERLINK("https://www.philgeps.gov.ph/GEPSNONPILOT/Tender/SplashBidNoticeAbstractUI.aspx?menuIndex=3&amp;refID=7153689&amp;Result=3","7153689")</f>
        <v>0</v>
      </c>
      <c r="B1405" t="s">
        <v>692</v>
      </c>
      <c r="C1405" t="s">
        <v>5105</v>
      </c>
      <c r="E1405" t="s">
        <v>18605</v>
      </c>
      <c r="F1405" t="s">
        <v>30900</v>
      </c>
      <c r="G1405" t="s">
        <v>30907</v>
      </c>
      <c r="H1405" t="s">
        <v>30915</v>
      </c>
      <c r="I1405" t="s">
        <v>30931</v>
      </c>
      <c r="J1405" t="s">
        <v>32119</v>
      </c>
      <c r="K1405" t="s">
        <v>40289</v>
      </c>
      <c r="M1405" t="s">
        <v>41256</v>
      </c>
      <c r="N1405" t="s">
        <v>44759</v>
      </c>
      <c r="O1405" t="s">
        <v>44760</v>
      </c>
      <c r="P1405">
        <v>0</v>
      </c>
      <c r="Q1405">
        <v>0</v>
      </c>
      <c r="R1405" t="s">
        <v>44761</v>
      </c>
      <c r="S1405" t="s">
        <v>44862</v>
      </c>
      <c r="T1405" t="s">
        <v>46375</v>
      </c>
      <c r="U1405" t="s">
        <v>48172</v>
      </c>
      <c r="W1405" t="s">
        <v>41256</v>
      </c>
      <c r="X1405" t="s">
        <v>44762</v>
      </c>
    </row>
    <row r="1406" spans="1:24">
      <c r="A1406">
        <f>HYPERLINK("https://www.philgeps.gov.ph/GEPSNONPILOT/Tender/SplashBidNoticeAbstractUI.aspx?menuIndex=3&amp;refID=7153690&amp;Result=3","7153690")</f>
        <v>0</v>
      </c>
      <c r="B1406" t="s">
        <v>693</v>
      </c>
      <c r="C1406" t="s">
        <v>5106</v>
      </c>
      <c r="D1406" t="s">
        <v>17996</v>
      </c>
      <c r="E1406" t="s">
        <v>18306</v>
      </c>
      <c r="F1406" t="s">
        <v>30900</v>
      </c>
      <c r="G1406" t="s">
        <v>30908</v>
      </c>
      <c r="H1406" t="s">
        <v>30916</v>
      </c>
      <c r="I1406" t="s">
        <v>30977</v>
      </c>
      <c r="J1406" t="s">
        <v>31522</v>
      </c>
      <c r="K1406" t="s">
        <v>40284</v>
      </c>
      <c r="M1406" t="s">
        <v>41257</v>
      </c>
      <c r="N1406" t="s">
        <v>44759</v>
      </c>
      <c r="O1406" t="s">
        <v>44760</v>
      </c>
      <c r="P1406">
        <v>0</v>
      </c>
      <c r="Q1406">
        <v>0</v>
      </c>
      <c r="R1406" t="s">
        <v>44761</v>
      </c>
      <c r="S1406" t="s">
        <v>44862</v>
      </c>
      <c r="T1406" t="s">
        <v>46389</v>
      </c>
      <c r="U1406" t="s">
        <v>48173</v>
      </c>
      <c r="W1406" t="s">
        <v>41257</v>
      </c>
      <c r="X1406" t="s">
        <v>44762</v>
      </c>
    </row>
    <row r="1407" spans="1:24">
      <c r="A1407">
        <f>HYPERLINK("https://www.philgeps.gov.ph/GEPSNONPILOT/Tender/SplashBidNoticeAbstractUI.aspx?menuIndex=3&amp;refID=7153708&amp;Result=3","7153708")</f>
        <v>0</v>
      </c>
      <c r="B1407" t="s">
        <v>55</v>
      </c>
      <c r="C1407" t="s">
        <v>5107</v>
      </c>
      <c r="D1407" t="s">
        <v>17975</v>
      </c>
      <c r="E1407" t="s">
        <v>19351</v>
      </c>
      <c r="F1407" t="s">
        <v>30900</v>
      </c>
      <c r="G1407" t="s">
        <v>30908</v>
      </c>
      <c r="H1407" t="s">
        <v>30916</v>
      </c>
      <c r="I1407" t="s">
        <v>8123</v>
      </c>
      <c r="J1407" t="s">
        <v>32120</v>
      </c>
      <c r="K1407" t="s">
        <v>40346</v>
      </c>
      <c r="M1407" t="s">
        <v>40601</v>
      </c>
      <c r="N1407" t="s">
        <v>44759</v>
      </c>
      <c r="O1407" t="s">
        <v>44760</v>
      </c>
      <c r="P1407">
        <v>0</v>
      </c>
      <c r="Q1407">
        <v>0</v>
      </c>
      <c r="R1407" t="s">
        <v>44761</v>
      </c>
      <c r="S1407" t="s">
        <v>44862</v>
      </c>
      <c r="T1407" t="s">
        <v>46357</v>
      </c>
      <c r="U1407" t="s">
        <v>48168</v>
      </c>
      <c r="W1407" t="s">
        <v>40601</v>
      </c>
      <c r="X1407" t="s">
        <v>44762</v>
      </c>
    </row>
    <row r="1408" spans="1:24">
      <c r="A1408">
        <f>HYPERLINK("https://www.philgeps.gov.ph/GEPSNONPILOT/Tender/SplashBidNoticeAbstractUI.aspx?menuIndex=3&amp;refID=7153692&amp;Result=3","7153692")</f>
        <v>0</v>
      </c>
      <c r="B1408" t="s">
        <v>694</v>
      </c>
      <c r="C1408" t="s">
        <v>5108</v>
      </c>
      <c r="D1408" t="s">
        <v>17978</v>
      </c>
      <c r="E1408" t="s">
        <v>19352</v>
      </c>
      <c r="F1408" t="s">
        <v>30900</v>
      </c>
      <c r="G1408" t="s">
        <v>30908</v>
      </c>
      <c r="H1408" t="s">
        <v>30916</v>
      </c>
      <c r="I1408" t="s">
        <v>30919</v>
      </c>
      <c r="J1408" t="s">
        <v>31049</v>
      </c>
      <c r="K1408" t="s">
        <v>40287</v>
      </c>
      <c r="M1408" t="s">
        <v>41258</v>
      </c>
      <c r="N1408" t="s">
        <v>44759</v>
      </c>
      <c r="O1408" t="s">
        <v>44760</v>
      </c>
      <c r="P1408">
        <v>0</v>
      </c>
      <c r="Q1408">
        <v>0</v>
      </c>
      <c r="R1408" t="s">
        <v>44761</v>
      </c>
      <c r="S1408" t="s">
        <v>44862</v>
      </c>
      <c r="T1408" t="s">
        <v>46399</v>
      </c>
      <c r="U1408" t="s">
        <v>47043</v>
      </c>
      <c r="W1408" t="s">
        <v>41258</v>
      </c>
      <c r="X1408" t="s">
        <v>44762</v>
      </c>
    </row>
    <row r="1409" spans="1:24">
      <c r="A1409">
        <f>HYPERLINK("https://www.philgeps.gov.ph/GEPSNONPILOT/Tender/SplashBidNoticeAbstractUI.aspx?menuIndex=3&amp;refID=7153706&amp;Result=3","7153706")</f>
        <v>0</v>
      </c>
      <c r="B1409" t="s">
        <v>695</v>
      </c>
      <c r="C1409" t="s">
        <v>5109</v>
      </c>
      <c r="D1409" t="s">
        <v>17958</v>
      </c>
      <c r="E1409" t="s">
        <v>19353</v>
      </c>
      <c r="F1409" t="s">
        <v>30900</v>
      </c>
      <c r="G1409" t="s">
        <v>30908</v>
      </c>
      <c r="H1409" t="s">
        <v>30916</v>
      </c>
      <c r="I1409" t="s">
        <v>30986</v>
      </c>
      <c r="J1409" t="s">
        <v>32121</v>
      </c>
      <c r="K1409" t="s">
        <v>40286</v>
      </c>
      <c r="M1409" t="s">
        <v>41259</v>
      </c>
      <c r="N1409" t="s">
        <v>44759</v>
      </c>
      <c r="O1409" t="s">
        <v>44760</v>
      </c>
      <c r="P1409">
        <v>0</v>
      </c>
      <c r="Q1409">
        <v>0</v>
      </c>
      <c r="R1409" t="s">
        <v>44761</v>
      </c>
      <c r="S1409" t="s">
        <v>44862</v>
      </c>
      <c r="T1409" t="s">
        <v>46393</v>
      </c>
      <c r="U1409" t="s">
        <v>48174</v>
      </c>
      <c r="W1409" t="s">
        <v>60834</v>
      </c>
      <c r="X1409" t="s">
        <v>44762</v>
      </c>
    </row>
    <row r="1410" spans="1:24">
      <c r="A1410">
        <f>HYPERLINK("https://www.philgeps.gov.ph/GEPSNONPILOT/Tender/SplashBidNoticeAbstractUI.aspx?menuIndex=3&amp;refID=7153705&amp;Result=3","7153705")</f>
        <v>0</v>
      </c>
      <c r="B1410" t="s">
        <v>696</v>
      </c>
      <c r="C1410" t="s">
        <v>5110</v>
      </c>
      <c r="D1410" t="s">
        <v>17952</v>
      </c>
      <c r="E1410" t="s">
        <v>19354</v>
      </c>
      <c r="F1410" t="s">
        <v>30900</v>
      </c>
      <c r="G1410" t="s">
        <v>30909</v>
      </c>
      <c r="H1410" t="s">
        <v>30916</v>
      </c>
      <c r="I1410" t="s">
        <v>4142</v>
      </c>
      <c r="J1410" t="s">
        <v>32122</v>
      </c>
      <c r="K1410" t="s">
        <v>40288</v>
      </c>
      <c r="M1410" t="s">
        <v>41260</v>
      </c>
      <c r="N1410" t="s">
        <v>44759</v>
      </c>
      <c r="O1410" t="s">
        <v>44760</v>
      </c>
      <c r="P1410">
        <v>0</v>
      </c>
      <c r="Q1410">
        <v>0</v>
      </c>
      <c r="R1410" t="s">
        <v>44761</v>
      </c>
      <c r="S1410" t="s">
        <v>44862</v>
      </c>
      <c r="T1410" t="s">
        <v>46395</v>
      </c>
      <c r="U1410" t="s">
        <v>48175</v>
      </c>
      <c r="W1410" t="s">
        <v>41260</v>
      </c>
      <c r="X1410" t="s">
        <v>44762</v>
      </c>
    </row>
    <row r="1411" spans="1:24">
      <c r="A1411">
        <f>HYPERLINK("https://www.philgeps.gov.ph/GEPSNONPILOT/Tender/SplashBidNoticeAbstractUI.aspx?menuIndex=3&amp;refID=7153709&amp;Result=3","7153709")</f>
        <v>0</v>
      </c>
      <c r="B1411" t="s">
        <v>697</v>
      </c>
      <c r="C1411" t="s">
        <v>5111</v>
      </c>
      <c r="D1411" t="s">
        <v>18025</v>
      </c>
      <c r="E1411" t="s">
        <v>19355</v>
      </c>
      <c r="F1411" t="s">
        <v>30900</v>
      </c>
      <c r="G1411" t="s">
        <v>30909</v>
      </c>
      <c r="H1411" t="s">
        <v>30916</v>
      </c>
      <c r="I1411" t="s">
        <v>30963</v>
      </c>
      <c r="J1411" t="s">
        <v>31497</v>
      </c>
      <c r="K1411" t="s">
        <v>40283</v>
      </c>
      <c r="M1411" t="s">
        <v>41261</v>
      </c>
      <c r="N1411" t="s">
        <v>44759</v>
      </c>
      <c r="O1411" t="s">
        <v>44760</v>
      </c>
      <c r="P1411">
        <v>0</v>
      </c>
      <c r="Q1411">
        <v>0</v>
      </c>
      <c r="R1411" t="s">
        <v>44761</v>
      </c>
      <c r="S1411" t="s">
        <v>44862</v>
      </c>
      <c r="T1411" t="s">
        <v>46418</v>
      </c>
      <c r="U1411" t="s">
        <v>48176</v>
      </c>
      <c r="W1411" t="s">
        <v>41261</v>
      </c>
      <c r="X1411" t="s">
        <v>44762</v>
      </c>
    </row>
    <row r="1412" spans="1:24">
      <c r="A1412">
        <f>HYPERLINK("https://www.philgeps.gov.ph/GEPSNONPILOT/Tender/SplashBidNoticeAbstractUI.aspx?menuIndex=3&amp;refID=7153702&amp;Result=3","7153702")</f>
        <v>0</v>
      </c>
      <c r="B1412" t="s">
        <v>698</v>
      </c>
      <c r="C1412" t="s">
        <v>5112</v>
      </c>
      <c r="D1412" t="s">
        <v>17959</v>
      </c>
      <c r="E1412" t="s">
        <v>19356</v>
      </c>
      <c r="F1412" t="s">
        <v>30900</v>
      </c>
      <c r="G1412" t="s">
        <v>30908</v>
      </c>
      <c r="H1412" t="s">
        <v>30917</v>
      </c>
      <c r="I1412" t="s">
        <v>30987</v>
      </c>
      <c r="J1412" t="s">
        <v>32123</v>
      </c>
      <c r="K1412" t="s">
        <v>40347</v>
      </c>
      <c r="M1412" t="s">
        <v>41262</v>
      </c>
      <c r="N1412" t="s">
        <v>44759</v>
      </c>
      <c r="O1412" t="s">
        <v>44760</v>
      </c>
      <c r="P1412">
        <v>0</v>
      </c>
      <c r="Q1412">
        <v>0</v>
      </c>
      <c r="R1412" t="s">
        <v>44761</v>
      </c>
      <c r="S1412" t="s">
        <v>44862</v>
      </c>
      <c r="T1412" t="s">
        <v>46395</v>
      </c>
      <c r="U1412" t="s">
        <v>48177</v>
      </c>
      <c r="W1412" t="s">
        <v>41262</v>
      </c>
      <c r="X1412" t="s">
        <v>44762</v>
      </c>
    </row>
    <row r="1413" spans="1:24">
      <c r="A1413">
        <f>HYPERLINK("https://www.philgeps.gov.ph/GEPSNONPILOT/Tender/SplashBidNoticeAbstractUI.aspx?menuIndex=3&amp;refID=7153697&amp;Result=3","7153697")</f>
        <v>0</v>
      </c>
      <c r="B1413" t="s">
        <v>699</v>
      </c>
      <c r="C1413" t="s">
        <v>5113</v>
      </c>
      <c r="D1413" t="s">
        <v>18013</v>
      </c>
      <c r="E1413" t="s">
        <v>19357</v>
      </c>
      <c r="F1413" t="s">
        <v>30900</v>
      </c>
      <c r="G1413" t="s">
        <v>30910</v>
      </c>
      <c r="H1413" t="s">
        <v>30916</v>
      </c>
      <c r="I1413" t="s">
        <v>4545</v>
      </c>
      <c r="J1413" t="s">
        <v>31243</v>
      </c>
      <c r="K1413" t="s">
        <v>40289</v>
      </c>
      <c r="M1413" t="s">
        <v>41263</v>
      </c>
      <c r="N1413" t="s">
        <v>44759</v>
      </c>
      <c r="O1413" t="s">
        <v>44760</v>
      </c>
      <c r="P1413">
        <v>0</v>
      </c>
      <c r="Q1413">
        <v>0</v>
      </c>
      <c r="R1413" t="s">
        <v>44761</v>
      </c>
      <c r="S1413" t="s">
        <v>44862</v>
      </c>
      <c r="T1413" t="s">
        <v>46528</v>
      </c>
      <c r="U1413" t="s">
        <v>48178</v>
      </c>
      <c r="W1413" t="s">
        <v>41263</v>
      </c>
      <c r="X1413" t="s">
        <v>44762</v>
      </c>
    </row>
    <row r="1414" spans="1:24">
      <c r="A1414">
        <f>HYPERLINK("https://www.philgeps.gov.ph/GEPSNONPILOT/Tender/SplashBidNoticeAbstractUI.aspx?menuIndex=3&amp;refID=7153700&amp;Result=3","7153700")</f>
        <v>0</v>
      </c>
      <c r="B1414" t="s">
        <v>700</v>
      </c>
      <c r="C1414" t="s">
        <v>5114</v>
      </c>
      <c r="D1414" t="s">
        <v>17961</v>
      </c>
      <c r="E1414" t="s">
        <v>19358</v>
      </c>
      <c r="F1414" t="s">
        <v>30900</v>
      </c>
      <c r="G1414" t="s">
        <v>30908</v>
      </c>
      <c r="H1414" t="s">
        <v>30916</v>
      </c>
      <c r="I1414" t="s">
        <v>4004</v>
      </c>
      <c r="J1414" t="s">
        <v>32124</v>
      </c>
      <c r="K1414" t="s">
        <v>40291</v>
      </c>
      <c r="M1414" t="s">
        <v>41264</v>
      </c>
      <c r="N1414" t="s">
        <v>44759</v>
      </c>
      <c r="O1414" t="s">
        <v>44760</v>
      </c>
      <c r="P1414">
        <v>0</v>
      </c>
      <c r="Q1414">
        <v>0</v>
      </c>
      <c r="R1414" t="s">
        <v>44761</v>
      </c>
      <c r="S1414" t="s">
        <v>44862</v>
      </c>
      <c r="T1414" t="s">
        <v>46421</v>
      </c>
      <c r="U1414" t="s">
        <v>48179</v>
      </c>
      <c r="V1414" t="s">
        <v>59283</v>
      </c>
      <c r="W1414" t="s">
        <v>41264</v>
      </c>
      <c r="X1414" t="s">
        <v>44762</v>
      </c>
    </row>
    <row r="1415" spans="1:24">
      <c r="A1415">
        <f>HYPERLINK("https://www.philgeps.gov.ph/GEPSNONPILOT/Tender/SplashBidNoticeAbstractUI.aspx?menuIndex=3&amp;refID=7153707&amp;Result=3","7153707")</f>
        <v>0</v>
      </c>
      <c r="B1415" t="s">
        <v>629</v>
      </c>
      <c r="C1415" t="s">
        <v>5115</v>
      </c>
      <c r="D1415" t="s">
        <v>17992</v>
      </c>
      <c r="E1415" t="s">
        <v>19359</v>
      </c>
      <c r="F1415" t="s">
        <v>30900</v>
      </c>
      <c r="G1415" t="s">
        <v>30907</v>
      </c>
      <c r="H1415" t="s">
        <v>30916</v>
      </c>
      <c r="I1415" t="s">
        <v>30918</v>
      </c>
      <c r="J1415" t="s">
        <v>32125</v>
      </c>
      <c r="K1415" t="s">
        <v>40280</v>
      </c>
      <c r="M1415" t="s">
        <v>41191</v>
      </c>
      <c r="N1415" t="s">
        <v>44759</v>
      </c>
      <c r="O1415" t="s">
        <v>44760</v>
      </c>
      <c r="P1415">
        <v>0</v>
      </c>
      <c r="Q1415">
        <v>0</v>
      </c>
      <c r="R1415" t="s">
        <v>44761</v>
      </c>
      <c r="S1415" t="s">
        <v>44862</v>
      </c>
      <c r="T1415" t="s">
        <v>46514</v>
      </c>
      <c r="U1415" t="s">
        <v>48180</v>
      </c>
      <c r="V1415" t="s">
        <v>59226</v>
      </c>
      <c r="W1415" t="s">
        <v>41191</v>
      </c>
      <c r="X1415" t="s">
        <v>44762</v>
      </c>
    </row>
    <row r="1416" spans="1:24">
      <c r="A1416">
        <f>HYPERLINK("https://www.philgeps.gov.ph/GEPSNONPILOT/Tender/SplashBidNoticeAbstractUI.aspx?menuIndex=3&amp;refID=7153699&amp;Result=3","7153699")</f>
        <v>0</v>
      </c>
      <c r="B1416" t="s">
        <v>532</v>
      </c>
      <c r="C1416" t="s">
        <v>4729</v>
      </c>
      <c r="D1416" t="s">
        <v>17966</v>
      </c>
      <c r="E1416" t="s">
        <v>19360</v>
      </c>
      <c r="F1416" t="s">
        <v>30900</v>
      </c>
      <c r="G1416" t="s">
        <v>30910</v>
      </c>
      <c r="H1416" t="s">
        <v>30916</v>
      </c>
      <c r="I1416" t="s">
        <v>10602</v>
      </c>
      <c r="J1416" t="s">
        <v>32126</v>
      </c>
      <c r="K1416" t="s">
        <v>40287</v>
      </c>
      <c r="M1416" t="s">
        <v>41092</v>
      </c>
      <c r="N1416" t="s">
        <v>44759</v>
      </c>
      <c r="O1416" t="s">
        <v>44760</v>
      </c>
      <c r="P1416">
        <v>0</v>
      </c>
      <c r="Q1416">
        <v>0</v>
      </c>
      <c r="R1416" t="s">
        <v>44761</v>
      </c>
      <c r="S1416" t="s">
        <v>44862</v>
      </c>
      <c r="T1416" t="s">
        <v>46412</v>
      </c>
      <c r="U1416" t="s">
        <v>47834</v>
      </c>
      <c r="W1416" t="s">
        <v>41092</v>
      </c>
      <c r="X1416" t="s">
        <v>44762</v>
      </c>
    </row>
    <row r="1417" spans="1:24">
      <c r="A1417">
        <f>HYPERLINK("https://www.philgeps.gov.ph/GEPSNONPILOT/Tender/SplashBidNoticeAbstractUI.aspx?menuIndex=3&amp;refID=7153713&amp;Result=3","7153713")</f>
        <v>0</v>
      </c>
      <c r="B1417" t="s">
        <v>701</v>
      </c>
      <c r="C1417" t="s">
        <v>5116</v>
      </c>
      <c r="E1417" t="s">
        <v>19361</v>
      </c>
      <c r="F1417" t="s">
        <v>30900</v>
      </c>
      <c r="G1417" t="s">
        <v>30908</v>
      </c>
      <c r="H1417" t="s">
        <v>30916</v>
      </c>
      <c r="I1417" t="s">
        <v>6396</v>
      </c>
      <c r="J1417" t="s">
        <v>32127</v>
      </c>
      <c r="K1417" t="s">
        <v>40287</v>
      </c>
      <c r="M1417" t="s">
        <v>41265</v>
      </c>
      <c r="N1417" t="s">
        <v>44759</v>
      </c>
      <c r="O1417" t="s">
        <v>44760</v>
      </c>
      <c r="P1417">
        <v>0</v>
      </c>
      <c r="Q1417">
        <v>0</v>
      </c>
      <c r="R1417" t="s">
        <v>44761</v>
      </c>
      <c r="S1417" t="s">
        <v>44862</v>
      </c>
      <c r="T1417" t="s">
        <v>46376</v>
      </c>
      <c r="U1417" t="s">
        <v>48181</v>
      </c>
      <c r="W1417" t="s">
        <v>41265</v>
      </c>
      <c r="X1417" t="s">
        <v>44762</v>
      </c>
    </row>
    <row r="1418" spans="1:24">
      <c r="A1418">
        <f>HYPERLINK("https://www.philgeps.gov.ph/GEPSNONPILOT/Tender/SplashBidNoticeAbstractUI.aspx?menuIndex=3&amp;refID=7153723&amp;Result=3","7153723")</f>
        <v>0</v>
      </c>
      <c r="B1418" t="s">
        <v>226</v>
      </c>
      <c r="C1418" t="s">
        <v>5117</v>
      </c>
      <c r="D1418" t="s">
        <v>17987</v>
      </c>
      <c r="E1418" t="s">
        <v>19362</v>
      </c>
      <c r="F1418" t="s">
        <v>30900</v>
      </c>
      <c r="G1418" t="s">
        <v>30910</v>
      </c>
      <c r="H1418" t="s">
        <v>30916</v>
      </c>
      <c r="I1418" t="s">
        <v>4142</v>
      </c>
      <c r="J1418" t="s">
        <v>32128</v>
      </c>
      <c r="K1418" t="s">
        <v>40284</v>
      </c>
      <c r="M1418" t="s">
        <v>40773</v>
      </c>
      <c r="N1418" t="s">
        <v>44759</v>
      </c>
      <c r="O1418" t="s">
        <v>44760</v>
      </c>
      <c r="P1418">
        <v>0</v>
      </c>
      <c r="Q1418">
        <v>0</v>
      </c>
      <c r="R1418" t="s">
        <v>44761</v>
      </c>
      <c r="S1418" t="s">
        <v>44862</v>
      </c>
      <c r="T1418" t="s">
        <v>46352</v>
      </c>
      <c r="U1418" t="s">
        <v>48182</v>
      </c>
      <c r="W1418" t="s">
        <v>40773</v>
      </c>
      <c r="X1418" t="s">
        <v>44762</v>
      </c>
    </row>
    <row r="1419" spans="1:24">
      <c r="A1419">
        <f>HYPERLINK("https://www.philgeps.gov.ph/GEPSNONPILOT/Tender/SplashBidNoticeAbstractUI.aspx?menuIndex=3&amp;refID=7153703&amp;Result=3","7153703")</f>
        <v>0</v>
      </c>
      <c r="B1419" t="s">
        <v>702</v>
      </c>
      <c r="C1419" t="s">
        <v>5118</v>
      </c>
      <c r="D1419" t="s">
        <v>17952</v>
      </c>
      <c r="E1419" t="s">
        <v>19363</v>
      </c>
      <c r="F1419" t="s">
        <v>30900</v>
      </c>
      <c r="G1419" t="s">
        <v>30908</v>
      </c>
      <c r="H1419" t="s">
        <v>30916</v>
      </c>
      <c r="I1419" t="s">
        <v>4142</v>
      </c>
      <c r="J1419" t="s">
        <v>31092</v>
      </c>
      <c r="K1419" t="s">
        <v>40283</v>
      </c>
      <c r="M1419" t="s">
        <v>41266</v>
      </c>
      <c r="N1419" t="s">
        <v>44759</v>
      </c>
      <c r="O1419" t="s">
        <v>44760</v>
      </c>
      <c r="P1419">
        <v>0</v>
      </c>
      <c r="Q1419">
        <v>0</v>
      </c>
      <c r="R1419" t="s">
        <v>44761</v>
      </c>
      <c r="S1419" t="s">
        <v>44862</v>
      </c>
      <c r="T1419" t="s">
        <v>46369</v>
      </c>
      <c r="U1419" t="s">
        <v>48183</v>
      </c>
      <c r="W1419" t="s">
        <v>41266</v>
      </c>
      <c r="X1419" t="s">
        <v>44762</v>
      </c>
    </row>
    <row r="1420" spans="1:24">
      <c r="A1420">
        <f>HYPERLINK("https://www.philgeps.gov.ph/GEPSNONPILOT/Tender/SplashBidNoticeAbstractUI.aspx?menuIndex=3&amp;refID=7153701&amp;Result=3","7153701")</f>
        <v>0</v>
      </c>
      <c r="B1420" t="s">
        <v>570</v>
      </c>
      <c r="C1420" t="s">
        <v>5119</v>
      </c>
      <c r="D1420" t="s">
        <v>17985</v>
      </c>
      <c r="E1420" t="s">
        <v>19364</v>
      </c>
      <c r="F1420" t="s">
        <v>30900</v>
      </c>
      <c r="G1420" t="s">
        <v>30908</v>
      </c>
      <c r="H1420" t="s">
        <v>30916</v>
      </c>
      <c r="I1420" t="s">
        <v>30927</v>
      </c>
      <c r="J1420" t="s">
        <v>32129</v>
      </c>
      <c r="K1420" t="s">
        <v>40289</v>
      </c>
      <c r="M1420" t="s">
        <v>41131</v>
      </c>
      <c r="N1420" t="s">
        <v>44759</v>
      </c>
      <c r="O1420" t="s">
        <v>44760</v>
      </c>
      <c r="P1420">
        <v>0</v>
      </c>
      <c r="Q1420">
        <v>0</v>
      </c>
      <c r="R1420" t="s">
        <v>44761</v>
      </c>
      <c r="S1420" t="s">
        <v>44862</v>
      </c>
      <c r="T1420" t="s">
        <v>46376</v>
      </c>
      <c r="U1420" t="s">
        <v>48184</v>
      </c>
      <c r="W1420" t="s">
        <v>41131</v>
      </c>
      <c r="X1420" t="s">
        <v>44762</v>
      </c>
    </row>
    <row r="1421" spans="1:24">
      <c r="A1421">
        <f>HYPERLINK("https://www.philgeps.gov.ph/GEPSNONPILOT/Tender/SplashBidNoticeAbstractUI.aspx?menuIndex=3&amp;refID=7153731&amp;Result=3","7153731")</f>
        <v>0</v>
      </c>
      <c r="B1421" t="s">
        <v>178</v>
      </c>
      <c r="C1421" t="s">
        <v>5120</v>
      </c>
      <c r="D1421" t="s">
        <v>17985</v>
      </c>
      <c r="E1421" t="s">
        <v>19365</v>
      </c>
      <c r="F1421" t="s">
        <v>30900</v>
      </c>
      <c r="G1421" t="s">
        <v>30908</v>
      </c>
      <c r="H1421" t="s">
        <v>30916</v>
      </c>
      <c r="I1421" t="s">
        <v>30919</v>
      </c>
      <c r="J1421" t="s">
        <v>31341</v>
      </c>
      <c r="K1421" t="s">
        <v>40304</v>
      </c>
      <c r="M1421" t="s">
        <v>40725</v>
      </c>
      <c r="N1421" t="s">
        <v>44759</v>
      </c>
      <c r="O1421" t="s">
        <v>44760</v>
      </c>
      <c r="P1421">
        <v>0</v>
      </c>
      <c r="Q1421">
        <v>0</v>
      </c>
      <c r="R1421" t="s">
        <v>44761</v>
      </c>
      <c r="S1421" t="s">
        <v>44862</v>
      </c>
      <c r="T1421" t="s">
        <v>46429</v>
      </c>
      <c r="U1421" t="s">
        <v>48185</v>
      </c>
      <c r="W1421" t="s">
        <v>40725</v>
      </c>
      <c r="X1421" t="s">
        <v>44762</v>
      </c>
    </row>
    <row r="1422" spans="1:24">
      <c r="A1422">
        <f>HYPERLINK("https://www.philgeps.gov.ph/GEPSNONPILOT/Tender/SplashBidNoticeAbstractUI.aspx?menuIndex=3&amp;refID=7153710&amp;Result=3","7153710")</f>
        <v>0</v>
      </c>
      <c r="B1422" t="s">
        <v>703</v>
      </c>
      <c r="C1422" t="s">
        <v>5121</v>
      </c>
      <c r="D1422" t="s">
        <v>17993</v>
      </c>
      <c r="E1422" t="s">
        <v>19366</v>
      </c>
      <c r="F1422" t="s">
        <v>30900</v>
      </c>
      <c r="G1422" t="s">
        <v>30907</v>
      </c>
      <c r="H1422" t="s">
        <v>30916</v>
      </c>
      <c r="I1422" t="s">
        <v>30938</v>
      </c>
      <c r="J1422" t="s">
        <v>32130</v>
      </c>
      <c r="K1422" t="s">
        <v>40288</v>
      </c>
      <c r="M1422" t="s">
        <v>41267</v>
      </c>
      <c r="N1422" t="s">
        <v>44759</v>
      </c>
      <c r="O1422" t="s">
        <v>44760</v>
      </c>
      <c r="P1422">
        <v>0</v>
      </c>
      <c r="Q1422">
        <v>0</v>
      </c>
      <c r="R1422" t="s">
        <v>44761</v>
      </c>
      <c r="S1422" t="s">
        <v>44862</v>
      </c>
      <c r="T1422" t="s">
        <v>46418</v>
      </c>
      <c r="U1422" t="s">
        <v>48186</v>
      </c>
      <c r="W1422" t="s">
        <v>41267</v>
      </c>
      <c r="X1422" t="s">
        <v>44762</v>
      </c>
    </row>
    <row r="1423" spans="1:24">
      <c r="A1423">
        <f>HYPERLINK("https://www.philgeps.gov.ph/GEPSNONPILOT/Tender/SplashBidNoticeAbstractUI.aspx?menuIndex=3&amp;refID=7153729&amp;Result=3","7153729")</f>
        <v>0</v>
      </c>
      <c r="B1423" t="s">
        <v>679</v>
      </c>
      <c r="C1423" t="s">
        <v>5122</v>
      </c>
      <c r="D1423" t="s">
        <v>17993</v>
      </c>
      <c r="E1423" t="s">
        <v>19367</v>
      </c>
      <c r="F1423" t="s">
        <v>30900</v>
      </c>
      <c r="G1423" t="s">
        <v>30908</v>
      </c>
      <c r="H1423" t="s">
        <v>30916</v>
      </c>
      <c r="I1423" t="s">
        <v>30923</v>
      </c>
      <c r="J1423" t="s">
        <v>31049</v>
      </c>
      <c r="K1423" t="s">
        <v>40283</v>
      </c>
      <c r="M1423" t="s">
        <v>41242</v>
      </c>
      <c r="N1423" t="s">
        <v>44759</v>
      </c>
      <c r="O1423" t="s">
        <v>44760</v>
      </c>
      <c r="P1423">
        <v>0</v>
      </c>
      <c r="Q1423">
        <v>0</v>
      </c>
      <c r="R1423" t="s">
        <v>44761</v>
      </c>
      <c r="S1423" t="s">
        <v>44862</v>
      </c>
      <c r="T1423" t="s">
        <v>46376</v>
      </c>
      <c r="U1423" t="s">
        <v>48187</v>
      </c>
      <c r="W1423" t="s">
        <v>41242</v>
      </c>
      <c r="X1423" t="s">
        <v>44762</v>
      </c>
    </row>
    <row r="1424" spans="1:24">
      <c r="A1424">
        <f>HYPERLINK("https://www.philgeps.gov.ph/GEPSNONPILOT/Tender/SplashBidNoticeAbstractUI.aspx?menuIndex=3&amp;refID=7153722&amp;Result=3","7153722")</f>
        <v>0</v>
      </c>
      <c r="B1424" t="s">
        <v>704</v>
      </c>
      <c r="C1424" t="s">
        <v>5123</v>
      </c>
      <c r="D1424" t="s">
        <v>17987</v>
      </c>
      <c r="E1424" t="s">
        <v>19368</v>
      </c>
      <c r="F1424" t="s">
        <v>30900</v>
      </c>
      <c r="G1424" t="s">
        <v>30907</v>
      </c>
      <c r="H1424" t="s">
        <v>30916</v>
      </c>
      <c r="I1424" t="s">
        <v>4142</v>
      </c>
      <c r="J1424" t="s">
        <v>32131</v>
      </c>
      <c r="K1424" t="s">
        <v>40283</v>
      </c>
      <c r="M1424" t="s">
        <v>41268</v>
      </c>
      <c r="N1424" t="s">
        <v>44759</v>
      </c>
      <c r="O1424" t="s">
        <v>44760</v>
      </c>
      <c r="P1424">
        <v>0</v>
      </c>
      <c r="Q1424">
        <v>0</v>
      </c>
      <c r="R1424" t="s">
        <v>44761</v>
      </c>
      <c r="S1424" t="s">
        <v>44862</v>
      </c>
      <c r="T1424" t="s">
        <v>46445</v>
      </c>
      <c r="U1424" t="s">
        <v>48188</v>
      </c>
      <c r="W1424" t="s">
        <v>41268</v>
      </c>
      <c r="X1424" t="s">
        <v>44762</v>
      </c>
    </row>
    <row r="1425" spans="1:24">
      <c r="A1425">
        <f>HYPERLINK("https://www.philgeps.gov.ph/GEPSNONPILOT/Tender/SplashBidNoticeAbstractUI.aspx?menuIndex=3&amp;refID=7153732&amp;Result=3","7153732")</f>
        <v>0</v>
      </c>
      <c r="B1425" t="s">
        <v>624</v>
      </c>
      <c r="C1425" t="s">
        <v>5124</v>
      </c>
      <c r="D1425" t="s">
        <v>17977</v>
      </c>
      <c r="E1425" t="s">
        <v>19369</v>
      </c>
      <c r="F1425" t="s">
        <v>30900</v>
      </c>
      <c r="G1425" t="s">
        <v>30908</v>
      </c>
      <c r="H1425" t="s">
        <v>30916</v>
      </c>
      <c r="I1425" t="s">
        <v>4142</v>
      </c>
      <c r="J1425" t="s">
        <v>32132</v>
      </c>
      <c r="K1425" t="s">
        <v>40289</v>
      </c>
      <c r="M1425" t="s">
        <v>41186</v>
      </c>
      <c r="N1425" t="s">
        <v>44759</v>
      </c>
      <c r="O1425" t="s">
        <v>44760</v>
      </c>
      <c r="P1425">
        <v>0</v>
      </c>
      <c r="Q1425">
        <v>0</v>
      </c>
      <c r="R1425" t="s">
        <v>44761</v>
      </c>
      <c r="S1425" t="s">
        <v>44862</v>
      </c>
      <c r="T1425" t="s">
        <v>46351</v>
      </c>
      <c r="U1425" t="s">
        <v>48040</v>
      </c>
      <c r="W1425" t="s">
        <v>41186</v>
      </c>
      <c r="X1425" t="s">
        <v>44762</v>
      </c>
    </row>
    <row r="1426" spans="1:24">
      <c r="A1426">
        <f>HYPERLINK("https://www.philgeps.gov.ph/GEPSNONPILOT/Tender/SplashBidNoticeAbstractUI.aspx?menuIndex=3&amp;refID=7153725&amp;Result=3","7153725")</f>
        <v>0</v>
      </c>
      <c r="B1426" t="s">
        <v>278</v>
      </c>
      <c r="C1426" t="s">
        <v>5125</v>
      </c>
      <c r="D1426" t="s">
        <v>17995</v>
      </c>
      <c r="E1426" t="s">
        <v>19370</v>
      </c>
      <c r="F1426" t="s">
        <v>30900</v>
      </c>
      <c r="G1426" t="s">
        <v>30907</v>
      </c>
      <c r="H1426" t="s">
        <v>30916</v>
      </c>
      <c r="I1426" t="s">
        <v>30924</v>
      </c>
      <c r="J1426" t="s">
        <v>31094</v>
      </c>
      <c r="K1426" t="s">
        <v>40289</v>
      </c>
      <c r="M1426" t="s">
        <v>40887</v>
      </c>
      <c r="N1426" t="s">
        <v>44759</v>
      </c>
      <c r="O1426" t="s">
        <v>44760</v>
      </c>
      <c r="P1426">
        <v>0</v>
      </c>
      <c r="Q1426">
        <v>0</v>
      </c>
      <c r="R1426" t="s">
        <v>44761</v>
      </c>
      <c r="S1426" t="s">
        <v>44862</v>
      </c>
      <c r="T1426" t="s">
        <v>46456</v>
      </c>
      <c r="U1426" t="s">
        <v>48189</v>
      </c>
      <c r="W1426" t="s">
        <v>60825</v>
      </c>
      <c r="X1426" t="s">
        <v>44762</v>
      </c>
    </row>
    <row r="1427" spans="1:24">
      <c r="A1427">
        <f>HYPERLINK("https://www.philgeps.gov.ph/GEPSNONPILOT/Tender/SplashBidNoticeAbstractUI.aspx?menuIndex=3&amp;refID=7153730&amp;Result=3","7153730")</f>
        <v>0</v>
      </c>
      <c r="B1427" t="s">
        <v>705</v>
      </c>
      <c r="C1427" t="s">
        <v>5126</v>
      </c>
      <c r="D1427" t="s">
        <v>17961</v>
      </c>
      <c r="E1427" t="s">
        <v>19371</v>
      </c>
      <c r="F1427" t="s">
        <v>30900</v>
      </c>
      <c r="G1427" t="s">
        <v>30908</v>
      </c>
      <c r="H1427" t="s">
        <v>30916</v>
      </c>
      <c r="I1427" t="s">
        <v>30939</v>
      </c>
      <c r="J1427" t="s">
        <v>32133</v>
      </c>
      <c r="K1427" t="s">
        <v>40284</v>
      </c>
      <c r="M1427" t="s">
        <v>41269</v>
      </c>
      <c r="N1427" t="s">
        <v>44759</v>
      </c>
      <c r="O1427" t="s">
        <v>44760</v>
      </c>
      <c r="P1427">
        <v>0</v>
      </c>
      <c r="Q1427">
        <v>0</v>
      </c>
      <c r="R1427" t="s">
        <v>44761</v>
      </c>
      <c r="S1427" t="s">
        <v>44862</v>
      </c>
      <c r="T1427" t="s">
        <v>46352</v>
      </c>
      <c r="U1427" t="s">
        <v>48190</v>
      </c>
      <c r="W1427" t="s">
        <v>41269</v>
      </c>
      <c r="X1427" t="s">
        <v>44762</v>
      </c>
    </row>
    <row r="1428" spans="1:24">
      <c r="A1428">
        <f>HYPERLINK("https://www.philgeps.gov.ph/GEPSNONPILOT/Tender/SplashBidNoticeAbstractUI.aspx?menuIndex=3&amp;refID=7153724&amp;Result=3","7153724")</f>
        <v>0</v>
      </c>
      <c r="B1428" t="s">
        <v>706</v>
      </c>
      <c r="C1428" t="s">
        <v>5127</v>
      </c>
      <c r="D1428" t="s">
        <v>17982</v>
      </c>
      <c r="E1428" t="s">
        <v>19372</v>
      </c>
      <c r="F1428" t="s">
        <v>30900</v>
      </c>
      <c r="G1428" t="s">
        <v>30907</v>
      </c>
      <c r="H1428" t="s">
        <v>30915</v>
      </c>
      <c r="I1428" t="s">
        <v>30919</v>
      </c>
      <c r="J1428" t="s">
        <v>31066</v>
      </c>
      <c r="K1428" t="s">
        <v>40286</v>
      </c>
      <c r="L1428" t="s">
        <v>706</v>
      </c>
      <c r="M1428" t="s">
        <v>41270</v>
      </c>
      <c r="N1428" t="s">
        <v>44759</v>
      </c>
      <c r="O1428" t="s">
        <v>44760</v>
      </c>
      <c r="P1428">
        <v>0</v>
      </c>
      <c r="Q1428">
        <v>0</v>
      </c>
      <c r="R1428" t="s">
        <v>44761</v>
      </c>
      <c r="S1428" t="s">
        <v>44862</v>
      </c>
      <c r="T1428" t="s">
        <v>46352</v>
      </c>
      <c r="U1428" t="s">
        <v>48191</v>
      </c>
      <c r="W1428" t="s">
        <v>41270</v>
      </c>
      <c r="X1428" t="s">
        <v>44762</v>
      </c>
    </row>
    <row r="1429" spans="1:24">
      <c r="A1429">
        <f>HYPERLINK("https://www.philgeps.gov.ph/GEPSNONPILOT/Tender/SplashBidNoticeAbstractUI.aspx?menuIndex=3&amp;refID=7153721&amp;Result=3","7153721")</f>
        <v>0</v>
      </c>
      <c r="B1429" t="s">
        <v>532</v>
      </c>
      <c r="C1429" t="s">
        <v>4729</v>
      </c>
      <c r="D1429" t="s">
        <v>17966</v>
      </c>
      <c r="E1429" t="s">
        <v>19373</v>
      </c>
      <c r="F1429" t="s">
        <v>30900</v>
      </c>
      <c r="G1429" t="s">
        <v>30910</v>
      </c>
      <c r="H1429" t="s">
        <v>30916</v>
      </c>
      <c r="I1429" t="s">
        <v>10602</v>
      </c>
      <c r="J1429" t="s">
        <v>32134</v>
      </c>
      <c r="K1429" t="s">
        <v>40287</v>
      </c>
      <c r="M1429" t="s">
        <v>41092</v>
      </c>
      <c r="N1429" t="s">
        <v>44759</v>
      </c>
      <c r="O1429" t="s">
        <v>44760</v>
      </c>
      <c r="P1429">
        <v>0</v>
      </c>
      <c r="Q1429">
        <v>0</v>
      </c>
      <c r="R1429" t="s">
        <v>44761</v>
      </c>
      <c r="S1429" t="s">
        <v>44862</v>
      </c>
      <c r="T1429" t="s">
        <v>46412</v>
      </c>
      <c r="U1429" t="s">
        <v>48192</v>
      </c>
      <c r="W1429" t="s">
        <v>41092</v>
      </c>
      <c r="X1429" t="s">
        <v>44762</v>
      </c>
    </row>
    <row r="1430" spans="1:24">
      <c r="A1430">
        <f>HYPERLINK("https://www.philgeps.gov.ph/GEPSNONPILOT/Tender/SplashBidNoticeAbstractUI.aspx?menuIndex=3&amp;refID=7153727&amp;Result=3","7153727")</f>
        <v>0</v>
      </c>
      <c r="B1430" t="s">
        <v>707</v>
      </c>
      <c r="C1430" t="s">
        <v>5128</v>
      </c>
      <c r="D1430" t="s">
        <v>17976</v>
      </c>
      <c r="E1430" t="s">
        <v>19374</v>
      </c>
      <c r="F1430" t="s">
        <v>30900</v>
      </c>
      <c r="G1430" t="s">
        <v>30908</v>
      </c>
      <c r="H1430" t="s">
        <v>30916</v>
      </c>
      <c r="I1430" t="s">
        <v>30921</v>
      </c>
      <c r="J1430" t="s">
        <v>31490</v>
      </c>
      <c r="K1430" t="s">
        <v>40289</v>
      </c>
      <c r="M1430" t="s">
        <v>41271</v>
      </c>
      <c r="N1430" t="s">
        <v>44759</v>
      </c>
      <c r="O1430" t="s">
        <v>44760</v>
      </c>
      <c r="P1430">
        <v>0</v>
      </c>
      <c r="Q1430">
        <v>0</v>
      </c>
      <c r="R1430" t="s">
        <v>44761</v>
      </c>
      <c r="S1430" t="s">
        <v>44862</v>
      </c>
      <c r="T1430" t="s">
        <v>46454</v>
      </c>
      <c r="U1430" t="s">
        <v>48193</v>
      </c>
      <c r="W1430" t="s">
        <v>41271</v>
      </c>
      <c r="X1430" t="s">
        <v>44762</v>
      </c>
    </row>
    <row r="1431" spans="1:24">
      <c r="A1431">
        <f>HYPERLINK("https://www.philgeps.gov.ph/GEPSNONPILOT/Tender/SplashBidNoticeAbstractUI.aspx?menuIndex=3&amp;refID=7150788&amp;Result=3","7150788")</f>
        <v>0</v>
      </c>
      <c r="B1431" t="s">
        <v>708</v>
      </c>
      <c r="C1431" t="s">
        <v>5129</v>
      </c>
      <c r="E1431" t="s">
        <v>19375</v>
      </c>
      <c r="F1431" t="s">
        <v>30900</v>
      </c>
      <c r="G1431" t="s">
        <v>30907</v>
      </c>
      <c r="H1431" t="s">
        <v>30915</v>
      </c>
      <c r="I1431" t="s">
        <v>30919</v>
      </c>
      <c r="J1431" t="s">
        <v>32135</v>
      </c>
      <c r="K1431" t="s">
        <v>40289</v>
      </c>
      <c r="M1431" t="s">
        <v>41272</v>
      </c>
      <c r="N1431" t="s">
        <v>44759</v>
      </c>
      <c r="O1431" t="s">
        <v>44760</v>
      </c>
      <c r="P1431">
        <v>0</v>
      </c>
      <c r="Q1431">
        <v>0</v>
      </c>
      <c r="R1431" t="s">
        <v>44762</v>
      </c>
      <c r="S1431" t="s">
        <v>44863</v>
      </c>
      <c r="T1431" t="s">
        <v>46529</v>
      </c>
      <c r="U1431" t="s">
        <v>48194</v>
      </c>
      <c r="W1431" t="s">
        <v>41272</v>
      </c>
      <c r="X1431" t="s">
        <v>44763</v>
      </c>
    </row>
    <row r="1432" spans="1:24">
      <c r="A1432">
        <f>HYPERLINK("https://www.philgeps.gov.ph/GEPSNONPILOT/Tender/SplashBidNoticeAbstractUI.aspx?menuIndex=3&amp;refID=7150812&amp;Result=3","7150812")</f>
        <v>0</v>
      </c>
      <c r="B1432" t="s">
        <v>709</v>
      </c>
      <c r="C1432" t="s">
        <v>5130</v>
      </c>
      <c r="D1432" t="s">
        <v>18021</v>
      </c>
      <c r="E1432" t="s">
        <v>19376</v>
      </c>
      <c r="F1432" t="s">
        <v>30900</v>
      </c>
      <c r="G1432" t="s">
        <v>30909</v>
      </c>
      <c r="H1432" t="s">
        <v>30916</v>
      </c>
      <c r="I1432" t="s">
        <v>4142</v>
      </c>
      <c r="J1432" t="s">
        <v>32136</v>
      </c>
      <c r="K1432" t="s">
        <v>40288</v>
      </c>
      <c r="M1432" t="s">
        <v>41273</v>
      </c>
      <c r="N1432" t="s">
        <v>44759</v>
      </c>
      <c r="O1432" t="s">
        <v>44760</v>
      </c>
      <c r="P1432">
        <v>0</v>
      </c>
      <c r="Q1432">
        <v>0</v>
      </c>
      <c r="R1432" t="s">
        <v>44762</v>
      </c>
      <c r="S1432" t="s">
        <v>44863</v>
      </c>
      <c r="T1432" t="s">
        <v>46391</v>
      </c>
      <c r="U1432" t="s">
        <v>48195</v>
      </c>
      <c r="W1432" t="s">
        <v>41273</v>
      </c>
      <c r="X1432" t="s">
        <v>44763</v>
      </c>
    </row>
    <row r="1433" spans="1:24">
      <c r="A1433">
        <f>HYPERLINK("https://www.philgeps.gov.ph/GEPSNONPILOT/Tender/SplashBidNoticeAbstractUI.aspx?menuIndex=3&amp;refID=7153696&amp;Result=3","7153696")</f>
        <v>0</v>
      </c>
      <c r="B1433" t="s">
        <v>683</v>
      </c>
      <c r="C1433" t="s">
        <v>5131</v>
      </c>
      <c r="D1433" t="s">
        <v>18028</v>
      </c>
      <c r="E1433" t="s">
        <v>19377</v>
      </c>
      <c r="F1433" t="s">
        <v>30900</v>
      </c>
      <c r="G1433" t="s">
        <v>30909</v>
      </c>
      <c r="H1433" t="s">
        <v>30916</v>
      </c>
      <c r="I1433" t="s">
        <v>30943</v>
      </c>
      <c r="J1433" t="s">
        <v>32050</v>
      </c>
      <c r="K1433" t="s">
        <v>40283</v>
      </c>
      <c r="M1433" t="s">
        <v>41246</v>
      </c>
      <c r="N1433" t="s">
        <v>44759</v>
      </c>
      <c r="O1433" t="s">
        <v>44760</v>
      </c>
      <c r="P1433">
        <v>0</v>
      </c>
      <c r="Q1433">
        <v>0</v>
      </c>
      <c r="R1433" t="s">
        <v>44761</v>
      </c>
      <c r="S1433" t="s">
        <v>44862</v>
      </c>
      <c r="T1433" t="s">
        <v>46352</v>
      </c>
      <c r="U1433" t="s">
        <v>48146</v>
      </c>
      <c r="V1433" t="s">
        <v>59284</v>
      </c>
      <c r="W1433" t="s">
        <v>41246</v>
      </c>
      <c r="X1433" t="s">
        <v>44762</v>
      </c>
    </row>
    <row r="1434" spans="1:24">
      <c r="A1434">
        <f>HYPERLINK("https://www.philgeps.gov.ph/GEPSNONPILOT/Tender/SplashBidNoticeAbstractUI.aspx?menuIndex=3&amp;refID=7150811&amp;Result=3","7150811")</f>
        <v>0</v>
      </c>
      <c r="B1434" t="s">
        <v>710</v>
      </c>
      <c r="C1434" t="s">
        <v>5132</v>
      </c>
      <c r="E1434" t="s">
        <v>19378</v>
      </c>
      <c r="F1434" t="s">
        <v>30900</v>
      </c>
      <c r="G1434" t="s">
        <v>30908</v>
      </c>
      <c r="H1434" t="s">
        <v>30916</v>
      </c>
      <c r="I1434" t="s">
        <v>10602</v>
      </c>
      <c r="J1434" t="s">
        <v>31223</v>
      </c>
      <c r="K1434" t="s">
        <v>40289</v>
      </c>
      <c r="M1434" t="s">
        <v>41274</v>
      </c>
      <c r="N1434" t="s">
        <v>44759</v>
      </c>
      <c r="O1434" t="s">
        <v>44760</v>
      </c>
      <c r="P1434">
        <v>0</v>
      </c>
      <c r="Q1434">
        <v>0</v>
      </c>
      <c r="R1434" t="s">
        <v>44762</v>
      </c>
      <c r="S1434" t="s">
        <v>44863</v>
      </c>
      <c r="T1434" t="s">
        <v>46390</v>
      </c>
      <c r="U1434" t="s">
        <v>48196</v>
      </c>
      <c r="W1434" t="s">
        <v>41274</v>
      </c>
      <c r="X1434" t="s">
        <v>44763</v>
      </c>
    </row>
    <row r="1435" spans="1:24">
      <c r="A1435">
        <f>HYPERLINK("https://www.philgeps.gov.ph/GEPSNONPILOT/Tender/SplashBidNoticeAbstractUI.aspx?menuIndex=3&amp;refID=7153728&amp;Result=3","7153728")</f>
        <v>0</v>
      </c>
      <c r="B1435" t="s">
        <v>384</v>
      </c>
      <c r="C1435" t="s">
        <v>3996</v>
      </c>
      <c r="D1435" t="s">
        <v>17987</v>
      </c>
      <c r="E1435" t="s">
        <v>19379</v>
      </c>
      <c r="F1435" t="s">
        <v>30900</v>
      </c>
      <c r="G1435" t="s">
        <v>30909</v>
      </c>
      <c r="H1435" t="s">
        <v>30916</v>
      </c>
      <c r="I1435" t="s">
        <v>4142</v>
      </c>
      <c r="J1435" t="s">
        <v>31257</v>
      </c>
      <c r="K1435" t="s">
        <v>40287</v>
      </c>
      <c r="M1435" t="s">
        <v>40939</v>
      </c>
      <c r="N1435" t="s">
        <v>44759</v>
      </c>
      <c r="O1435" t="s">
        <v>44760</v>
      </c>
      <c r="P1435">
        <v>0</v>
      </c>
      <c r="Q1435">
        <v>0</v>
      </c>
      <c r="R1435" t="s">
        <v>44761</v>
      </c>
      <c r="S1435" t="s">
        <v>44862</v>
      </c>
      <c r="T1435" t="s">
        <v>46409</v>
      </c>
      <c r="U1435" t="s">
        <v>48197</v>
      </c>
      <c r="W1435" t="s">
        <v>40939</v>
      </c>
      <c r="X1435" t="s">
        <v>44762</v>
      </c>
    </row>
    <row r="1436" spans="1:24">
      <c r="A1436">
        <f>HYPERLINK("https://www.philgeps.gov.ph/GEPSNONPILOT/Tender/SplashBidNoticeAbstractUI.aspx?menuIndex=3&amp;refID=7150808&amp;Result=3","7150808")</f>
        <v>0</v>
      </c>
      <c r="B1436" t="s">
        <v>544</v>
      </c>
      <c r="C1436" t="s">
        <v>5133</v>
      </c>
      <c r="D1436" t="s">
        <v>17972</v>
      </c>
      <c r="E1436" t="s">
        <v>18746</v>
      </c>
      <c r="F1436" t="s">
        <v>30900</v>
      </c>
      <c r="G1436" t="s">
        <v>30907</v>
      </c>
      <c r="H1436" t="s">
        <v>30916</v>
      </c>
      <c r="I1436" t="s">
        <v>8123</v>
      </c>
      <c r="J1436" t="s">
        <v>32137</v>
      </c>
      <c r="K1436" t="s">
        <v>40287</v>
      </c>
      <c r="M1436" t="s">
        <v>41105</v>
      </c>
      <c r="N1436" t="s">
        <v>44759</v>
      </c>
      <c r="O1436" t="s">
        <v>44760</v>
      </c>
      <c r="P1436">
        <v>0</v>
      </c>
      <c r="Q1436">
        <v>0</v>
      </c>
      <c r="R1436" t="s">
        <v>44762</v>
      </c>
      <c r="S1436" t="s">
        <v>44863</v>
      </c>
      <c r="T1436" t="s">
        <v>46377</v>
      </c>
      <c r="U1436" t="s">
        <v>48198</v>
      </c>
      <c r="V1436" t="s">
        <v>59285</v>
      </c>
      <c r="W1436" t="s">
        <v>41105</v>
      </c>
      <c r="X1436" t="s">
        <v>44763</v>
      </c>
    </row>
    <row r="1437" spans="1:24">
      <c r="A1437">
        <f>HYPERLINK("https://www.philgeps.gov.ph/GEPSNONPILOT/Tender/SplashBidNoticeAbstractUI.aspx?menuIndex=3&amp;refID=7153720&amp;Result=3","7153720")</f>
        <v>0</v>
      </c>
      <c r="B1437" t="s">
        <v>643</v>
      </c>
      <c r="C1437" t="s">
        <v>5134</v>
      </c>
      <c r="D1437" t="s">
        <v>18001</v>
      </c>
      <c r="E1437" t="s">
        <v>19380</v>
      </c>
      <c r="F1437" t="s">
        <v>30900</v>
      </c>
      <c r="G1437" t="s">
        <v>30908</v>
      </c>
      <c r="H1437" t="s">
        <v>30916</v>
      </c>
      <c r="I1437" t="s">
        <v>30923</v>
      </c>
      <c r="J1437" t="s">
        <v>32138</v>
      </c>
      <c r="K1437" t="s">
        <v>40289</v>
      </c>
      <c r="M1437" t="s">
        <v>41206</v>
      </c>
      <c r="N1437" t="s">
        <v>44759</v>
      </c>
      <c r="O1437" t="s">
        <v>44760</v>
      </c>
      <c r="P1437">
        <v>0</v>
      </c>
      <c r="Q1437">
        <v>1</v>
      </c>
      <c r="R1437" t="s">
        <v>44761</v>
      </c>
      <c r="S1437" t="s">
        <v>44862</v>
      </c>
      <c r="T1437" t="s">
        <v>46357</v>
      </c>
      <c r="U1437" t="s">
        <v>48199</v>
      </c>
      <c r="W1437" t="s">
        <v>41206</v>
      </c>
      <c r="X1437" t="s">
        <v>44762</v>
      </c>
    </row>
    <row r="1438" spans="1:24">
      <c r="A1438">
        <f>HYPERLINK("https://www.philgeps.gov.ph/GEPSNONPILOT/Tender/SplashBidNoticeAbstractUI.aspx?menuIndex=3&amp;refID=7150806&amp;Result=3","7150806")</f>
        <v>0</v>
      </c>
      <c r="B1438" t="s">
        <v>711</v>
      </c>
      <c r="C1438" t="s">
        <v>5135</v>
      </c>
      <c r="D1438" t="s">
        <v>17953</v>
      </c>
      <c r="E1438" t="s">
        <v>19381</v>
      </c>
      <c r="F1438" t="s">
        <v>30900</v>
      </c>
      <c r="G1438" t="s">
        <v>30908</v>
      </c>
      <c r="H1438" t="s">
        <v>30916</v>
      </c>
      <c r="I1438" t="s">
        <v>30927</v>
      </c>
      <c r="J1438" t="s">
        <v>32139</v>
      </c>
      <c r="K1438" t="s">
        <v>40286</v>
      </c>
      <c r="M1438" t="s">
        <v>41275</v>
      </c>
      <c r="N1438" t="s">
        <v>44759</v>
      </c>
      <c r="O1438" t="s">
        <v>44760</v>
      </c>
      <c r="P1438">
        <v>0</v>
      </c>
      <c r="Q1438">
        <v>0</v>
      </c>
      <c r="R1438" t="s">
        <v>44762</v>
      </c>
      <c r="S1438" t="s">
        <v>44863</v>
      </c>
      <c r="T1438" t="s">
        <v>46414</v>
      </c>
      <c r="U1438" t="s">
        <v>48200</v>
      </c>
      <c r="V1438" t="s">
        <v>59286</v>
      </c>
      <c r="W1438" t="s">
        <v>41275</v>
      </c>
      <c r="X1438" t="s">
        <v>44763</v>
      </c>
    </row>
    <row r="1439" spans="1:24">
      <c r="A1439">
        <f>HYPERLINK("https://www.philgeps.gov.ph/GEPSNONPILOT/Tender/SplashBidNoticeAbstractUI.aspx?menuIndex=3&amp;refID=7150803&amp;Result=3","7150803")</f>
        <v>0</v>
      </c>
      <c r="B1439" t="s">
        <v>712</v>
      </c>
      <c r="C1439" t="s">
        <v>5136</v>
      </c>
      <c r="D1439" t="s">
        <v>18027</v>
      </c>
      <c r="E1439" t="s">
        <v>19382</v>
      </c>
      <c r="F1439" t="s">
        <v>30900</v>
      </c>
      <c r="G1439" t="s">
        <v>30907</v>
      </c>
      <c r="H1439" t="s">
        <v>30916</v>
      </c>
      <c r="I1439" t="s">
        <v>4545</v>
      </c>
      <c r="J1439" t="s">
        <v>32140</v>
      </c>
      <c r="K1439" t="s">
        <v>40287</v>
      </c>
      <c r="M1439" t="s">
        <v>41276</v>
      </c>
      <c r="N1439" t="s">
        <v>44759</v>
      </c>
      <c r="O1439" t="s">
        <v>44760</v>
      </c>
      <c r="P1439">
        <v>0</v>
      </c>
      <c r="Q1439">
        <v>1</v>
      </c>
      <c r="R1439" t="s">
        <v>44762</v>
      </c>
      <c r="S1439" t="s">
        <v>44863</v>
      </c>
      <c r="T1439" t="s">
        <v>46382</v>
      </c>
      <c r="U1439" t="s">
        <v>48201</v>
      </c>
      <c r="V1439" t="s">
        <v>59287</v>
      </c>
      <c r="W1439" t="s">
        <v>41276</v>
      </c>
      <c r="X1439" t="s">
        <v>44763</v>
      </c>
    </row>
    <row r="1440" spans="1:24">
      <c r="A1440">
        <f>HYPERLINK("https://www.philgeps.gov.ph/GEPSNONPILOT/Tender/SplashBidNoticeAbstractUI.aspx?menuIndex=3&amp;refID=7153693&amp;Result=3","7153693")</f>
        <v>0</v>
      </c>
      <c r="B1440" t="s">
        <v>713</v>
      </c>
      <c r="C1440" t="s">
        <v>5137</v>
      </c>
      <c r="D1440" t="s">
        <v>17953</v>
      </c>
      <c r="E1440" t="s">
        <v>19383</v>
      </c>
      <c r="F1440" t="s">
        <v>30900</v>
      </c>
      <c r="G1440" t="s">
        <v>30907</v>
      </c>
      <c r="H1440" t="s">
        <v>30916</v>
      </c>
      <c r="I1440" t="s">
        <v>8123</v>
      </c>
      <c r="J1440" t="s">
        <v>32141</v>
      </c>
      <c r="K1440" t="s">
        <v>40289</v>
      </c>
      <c r="M1440" t="s">
        <v>41277</v>
      </c>
      <c r="N1440" t="s">
        <v>44759</v>
      </c>
      <c r="O1440" t="s">
        <v>44760</v>
      </c>
      <c r="P1440">
        <v>0</v>
      </c>
      <c r="Q1440">
        <v>0</v>
      </c>
      <c r="R1440" t="s">
        <v>44761</v>
      </c>
      <c r="S1440" t="s">
        <v>44862</v>
      </c>
      <c r="T1440" t="s">
        <v>46530</v>
      </c>
      <c r="U1440" t="s">
        <v>48202</v>
      </c>
      <c r="W1440" t="s">
        <v>41277</v>
      </c>
      <c r="X1440" t="s">
        <v>44762</v>
      </c>
    </row>
    <row r="1441" spans="1:24">
      <c r="A1441">
        <f>HYPERLINK("https://www.philgeps.gov.ph/GEPSNONPILOT/Tender/SplashBidNoticeAbstractUI.aspx?menuIndex=3&amp;refID=7150801&amp;Result=3","7150801")</f>
        <v>0</v>
      </c>
      <c r="B1441" t="s">
        <v>714</v>
      </c>
      <c r="C1441" t="s">
        <v>5138</v>
      </c>
      <c r="E1441" t="s">
        <v>19384</v>
      </c>
      <c r="F1441" t="s">
        <v>30900</v>
      </c>
      <c r="G1441" t="s">
        <v>30908</v>
      </c>
      <c r="H1441" t="s">
        <v>30916</v>
      </c>
      <c r="I1441" t="s">
        <v>30970</v>
      </c>
      <c r="J1441" t="s">
        <v>32142</v>
      </c>
      <c r="K1441" t="s">
        <v>40289</v>
      </c>
      <c r="M1441" t="s">
        <v>41278</v>
      </c>
      <c r="N1441" t="s">
        <v>44759</v>
      </c>
      <c r="O1441" t="s">
        <v>44760</v>
      </c>
      <c r="P1441">
        <v>0</v>
      </c>
      <c r="Q1441">
        <v>1</v>
      </c>
      <c r="R1441" t="s">
        <v>44762</v>
      </c>
      <c r="S1441" t="s">
        <v>44863</v>
      </c>
      <c r="T1441" t="s">
        <v>46363</v>
      </c>
      <c r="U1441" t="s">
        <v>47009</v>
      </c>
      <c r="W1441" t="s">
        <v>41278</v>
      </c>
      <c r="X1441" t="s">
        <v>44763</v>
      </c>
    </row>
    <row r="1442" spans="1:24">
      <c r="A1442">
        <f>HYPERLINK("https://www.philgeps.gov.ph/GEPSNONPILOT/Tender/SplashBidNoticeAbstractUI.aspx?menuIndex=3&amp;refID=7150800&amp;Result=3","7150800")</f>
        <v>0</v>
      </c>
      <c r="B1442" t="s">
        <v>715</v>
      </c>
      <c r="C1442" t="s">
        <v>5139</v>
      </c>
      <c r="D1442" t="s">
        <v>17975</v>
      </c>
      <c r="E1442" t="s">
        <v>19385</v>
      </c>
      <c r="F1442" t="s">
        <v>30900</v>
      </c>
      <c r="G1442" t="s">
        <v>30907</v>
      </c>
      <c r="H1442" t="s">
        <v>30915</v>
      </c>
      <c r="I1442" t="s">
        <v>30919</v>
      </c>
      <c r="J1442" t="s">
        <v>32143</v>
      </c>
      <c r="K1442" t="s">
        <v>40289</v>
      </c>
      <c r="M1442" t="s">
        <v>41279</v>
      </c>
      <c r="N1442" t="s">
        <v>44759</v>
      </c>
      <c r="O1442" t="s">
        <v>44760</v>
      </c>
      <c r="P1442">
        <v>0</v>
      </c>
      <c r="Q1442">
        <v>0</v>
      </c>
      <c r="R1442" t="s">
        <v>44762</v>
      </c>
      <c r="S1442" t="s">
        <v>44863</v>
      </c>
      <c r="T1442" t="s">
        <v>46405</v>
      </c>
      <c r="U1442" t="s">
        <v>48203</v>
      </c>
      <c r="W1442" t="s">
        <v>41279</v>
      </c>
      <c r="X1442" t="s">
        <v>44763</v>
      </c>
    </row>
    <row r="1443" spans="1:24">
      <c r="A1443">
        <f>HYPERLINK("https://www.philgeps.gov.ph/GEPSNONPILOT/Tender/SplashBidNoticeAbstractUI.aspx?menuIndex=3&amp;refID=7153712&amp;Result=3","7153712")</f>
        <v>0</v>
      </c>
      <c r="B1443" t="s">
        <v>591</v>
      </c>
      <c r="C1443" t="s">
        <v>5140</v>
      </c>
      <c r="D1443" t="s">
        <v>17998</v>
      </c>
      <c r="E1443" t="s">
        <v>19386</v>
      </c>
      <c r="F1443" t="s">
        <v>30900</v>
      </c>
      <c r="G1443" t="s">
        <v>30907</v>
      </c>
      <c r="H1443" t="s">
        <v>30916</v>
      </c>
      <c r="I1443" t="s">
        <v>30927</v>
      </c>
      <c r="J1443" t="s">
        <v>32144</v>
      </c>
      <c r="K1443" t="s">
        <v>40286</v>
      </c>
      <c r="M1443" t="s">
        <v>41247</v>
      </c>
      <c r="N1443" t="s">
        <v>44759</v>
      </c>
      <c r="O1443" t="s">
        <v>44760</v>
      </c>
      <c r="P1443">
        <v>0</v>
      </c>
      <c r="Q1443">
        <v>0</v>
      </c>
      <c r="R1443" t="s">
        <v>44761</v>
      </c>
      <c r="S1443" t="s">
        <v>44862</v>
      </c>
      <c r="T1443" t="s">
        <v>46366</v>
      </c>
      <c r="U1443" t="s">
        <v>47975</v>
      </c>
      <c r="V1443" t="s">
        <v>59259</v>
      </c>
      <c r="W1443" t="s">
        <v>41247</v>
      </c>
      <c r="X1443" t="s">
        <v>44762</v>
      </c>
    </row>
    <row r="1444" spans="1:24">
      <c r="A1444">
        <f>HYPERLINK("https://www.philgeps.gov.ph/GEPSNONPILOT/Tender/SplashBidNoticeAbstractUI.aspx?menuIndex=3&amp;refID=7150810&amp;Result=3","7150810")</f>
        <v>0</v>
      </c>
      <c r="B1444" t="s">
        <v>716</v>
      </c>
      <c r="C1444" t="s">
        <v>5141</v>
      </c>
      <c r="D1444" t="s">
        <v>17952</v>
      </c>
      <c r="E1444" t="s">
        <v>19387</v>
      </c>
      <c r="F1444" t="s">
        <v>30900</v>
      </c>
      <c r="G1444" t="s">
        <v>30909</v>
      </c>
      <c r="H1444" t="s">
        <v>30916</v>
      </c>
      <c r="I1444" t="s">
        <v>30943</v>
      </c>
      <c r="J1444" t="s">
        <v>32145</v>
      </c>
      <c r="K1444" t="s">
        <v>40288</v>
      </c>
      <c r="M1444" t="s">
        <v>41280</v>
      </c>
      <c r="N1444" t="s">
        <v>44759</v>
      </c>
      <c r="O1444" t="s">
        <v>44760</v>
      </c>
      <c r="P1444">
        <v>0</v>
      </c>
      <c r="Q1444">
        <v>6</v>
      </c>
      <c r="R1444" t="s">
        <v>44762</v>
      </c>
      <c r="S1444" t="s">
        <v>44863</v>
      </c>
      <c r="T1444" t="s">
        <v>46390</v>
      </c>
      <c r="U1444" t="s">
        <v>48204</v>
      </c>
      <c r="W1444" t="s">
        <v>41280</v>
      </c>
      <c r="X1444" t="s">
        <v>44763</v>
      </c>
    </row>
    <row r="1445" spans="1:24">
      <c r="A1445">
        <f>HYPERLINK("https://www.philgeps.gov.ph/GEPSNONPILOT/Tender/SplashBidNoticeAbstractUI.aspx?menuIndex=3&amp;refID=7150799&amp;Result=3","7150799")</f>
        <v>0</v>
      </c>
      <c r="B1445" t="s">
        <v>717</v>
      </c>
      <c r="C1445" t="s">
        <v>5142</v>
      </c>
      <c r="D1445" t="s">
        <v>18019</v>
      </c>
      <c r="E1445" t="s">
        <v>19388</v>
      </c>
      <c r="F1445" t="s">
        <v>30900</v>
      </c>
      <c r="G1445" t="s">
        <v>30908</v>
      </c>
      <c r="H1445" t="s">
        <v>30917</v>
      </c>
      <c r="I1445" t="s">
        <v>30988</v>
      </c>
      <c r="J1445" t="s">
        <v>32146</v>
      </c>
      <c r="K1445" t="s">
        <v>40284</v>
      </c>
      <c r="M1445" t="s">
        <v>41281</v>
      </c>
      <c r="N1445" t="s">
        <v>44759</v>
      </c>
      <c r="O1445" t="s">
        <v>44760</v>
      </c>
      <c r="P1445">
        <v>0</v>
      </c>
      <c r="Q1445">
        <v>0</v>
      </c>
      <c r="R1445" t="s">
        <v>44762</v>
      </c>
      <c r="S1445" t="s">
        <v>44863</v>
      </c>
      <c r="T1445" t="s">
        <v>46421</v>
      </c>
      <c r="U1445" t="s">
        <v>48205</v>
      </c>
      <c r="W1445" t="s">
        <v>60835</v>
      </c>
      <c r="X1445" t="s">
        <v>44763</v>
      </c>
    </row>
    <row r="1446" spans="1:24">
      <c r="A1446">
        <f>HYPERLINK("https://www.philgeps.gov.ph/GEPSNONPILOT/Tender/SplashBidNoticeAbstractUI.aspx?menuIndex=3&amp;refID=7150796&amp;Result=3","7150796")</f>
        <v>0</v>
      </c>
      <c r="B1446" t="s">
        <v>718</v>
      </c>
      <c r="C1446" t="s">
        <v>5143</v>
      </c>
      <c r="D1446" t="s">
        <v>17980</v>
      </c>
      <c r="E1446" t="s">
        <v>19389</v>
      </c>
      <c r="F1446" t="s">
        <v>30900</v>
      </c>
      <c r="G1446" t="s">
        <v>30907</v>
      </c>
      <c r="H1446" t="s">
        <v>30916</v>
      </c>
      <c r="I1446" t="s">
        <v>4108</v>
      </c>
      <c r="J1446" t="s">
        <v>32147</v>
      </c>
      <c r="K1446" t="s">
        <v>40286</v>
      </c>
      <c r="M1446" t="s">
        <v>41282</v>
      </c>
      <c r="N1446" t="s">
        <v>44759</v>
      </c>
      <c r="O1446" t="s">
        <v>44760</v>
      </c>
      <c r="P1446">
        <v>0</v>
      </c>
      <c r="Q1446">
        <v>0</v>
      </c>
      <c r="R1446" t="s">
        <v>44762</v>
      </c>
      <c r="S1446" t="s">
        <v>44863</v>
      </c>
      <c r="T1446" t="s">
        <v>46362</v>
      </c>
      <c r="U1446" t="s">
        <v>48206</v>
      </c>
      <c r="V1446" t="s">
        <v>59288</v>
      </c>
      <c r="W1446" t="s">
        <v>41282</v>
      </c>
      <c r="X1446" t="s">
        <v>44763</v>
      </c>
    </row>
    <row r="1447" spans="1:24">
      <c r="A1447">
        <f>HYPERLINK("https://www.philgeps.gov.ph/GEPSNONPILOT/Tender/SplashBidNoticeAbstractUI.aspx?menuIndex=3&amp;refID=7150804&amp;Result=3","7150804")</f>
        <v>0</v>
      </c>
      <c r="B1447" t="s">
        <v>307</v>
      </c>
      <c r="C1447" t="s">
        <v>5144</v>
      </c>
      <c r="D1447" t="s">
        <v>17990</v>
      </c>
      <c r="E1447" t="s">
        <v>19390</v>
      </c>
      <c r="F1447" t="s">
        <v>30900</v>
      </c>
      <c r="G1447" t="s">
        <v>30908</v>
      </c>
      <c r="H1447" t="s">
        <v>30916</v>
      </c>
      <c r="I1447" t="s">
        <v>30965</v>
      </c>
      <c r="J1447" t="s">
        <v>32148</v>
      </c>
      <c r="K1447" t="s">
        <v>40286</v>
      </c>
      <c r="M1447" t="s">
        <v>40857</v>
      </c>
      <c r="N1447" t="s">
        <v>44759</v>
      </c>
      <c r="O1447" t="s">
        <v>44760</v>
      </c>
      <c r="P1447">
        <v>0</v>
      </c>
      <c r="Q1447">
        <v>0</v>
      </c>
      <c r="R1447" t="s">
        <v>44762</v>
      </c>
      <c r="S1447" t="s">
        <v>44863</v>
      </c>
      <c r="T1447" t="s">
        <v>46379</v>
      </c>
      <c r="U1447" t="s">
        <v>48207</v>
      </c>
      <c r="W1447" t="s">
        <v>40857</v>
      </c>
      <c r="X1447" t="s">
        <v>44763</v>
      </c>
    </row>
    <row r="1448" spans="1:24">
      <c r="A1448">
        <f>HYPERLINK("https://www.philgeps.gov.ph/GEPSNONPILOT/Tender/SplashBidNoticeAbstractUI.aspx?menuIndex=3&amp;refID=7150795&amp;Result=3","7150795")</f>
        <v>0</v>
      </c>
      <c r="B1448" t="s">
        <v>719</v>
      </c>
      <c r="C1448" t="s">
        <v>5145</v>
      </c>
      <c r="D1448" t="s">
        <v>17966</v>
      </c>
      <c r="E1448" t="s">
        <v>19391</v>
      </c>
      <c r="F1448" t="s">
        <v>30900</v>
      </c>
      <c r="G1448" t="s">
        <v>30909</v>
      </c>
      <c r="H1448" t="s">
        <v>30916</v>
      </c>
      <c r="I1448" t="s">
        <v>30939</v>
      </c>
      <c r="J1448" t="s">
        <v>32149</v>
      </c>
      <c r="K1448" t="s">
        <v>40291</v>
      </c>
      <c r="M1448" t="s">
        <v>41283</v>
      </c>
      <c r="N1448" t="s">
        <v>44759</v>
      </c>
      <c r="O1448" t="s">
        <v>44760</v>
      </c>
      <c r="P1448">
        <v>0</v>
      </c>
      <c r="Q1448">
        <v>0</v>
      </c>
      <c r="R1448" t="s">
        <v>44762</v>
      </c>
      <c r="S1448" t="s">
        <v>44863</v>
      </c>
      <c r="T1448" t="s">
        <v>46531</v>
      </c>
      <c r="U1448" t="s">
        <v>48208</v>
      </c>
      <c r="W1448" t="s">
        <v>41283</v>
      </c>
      <c r="X1448" t="s">
        <v>44763</v>
      </c>
    </row>
    <row r="1449" spans="1:24">
      <c r="A1449">
        <f>HYPERLINK("https://www.philgeps.gov.ph/GEPSNONPILOT/Tender/SplashBidNoticeAbstractUI.aspx?menuIndex=3&amp;refID=7153694&amp;Result=3","7153694")</f>
        <v>0</v>
      </c>
      <c r="B1449" t="s">
        <v>130</v>
      </c>
      <c r="C1449" t="s">
        <v>5146</v>
      </c>
      <c r="D1449" t="s">
        <v>17979</v>
      </c>
      <c r="E1449" t="s">
        <v>19392</v>
      </c>
      <c r="F1449" t="s">
        <v>30900</v>
      </c>
      <c r="G1449" t="s">
        <v>30908</v>
      </c>
      <c r="H1449" t="s">
        <v>30916</v>
      </c>
      <c r="I1449" t="s">
        <v>10602</v>
      </c>
      <c r="J1449" t="s">
        <v>32150</v>
      </c>
      <c r="K1449" t="s">
        <v>40329</v>
      </c>
      <c r="M1449" t="s">
        <v>40677</v>
      </c>
      <c r="N1449" t="s">
        <v>44759</v>
      </c>
      <c r="O1449" t="s">
        <v>44760</v>
      </c>
      <c r="P1449">
        <v>0</v>
      </c>
      <c r="Q1449">
        <v>0</v>
      </c>
      <c r="R1449" t="s">
        <v>44761</v>
      </c>
      <c r="S1449" t="s">
        <v>44862</v>
      </c>
      <c r="T1449" t="s">
        <v>46376</v>
      </c>
      <c r="U1449" t="s">
        <v>48209</v>
      </c>
      <c r="W1449" t="s">
        <v>40677</v>
      </c>
      <c r="X1449" t="s">
        <v>44762</v>
      </c>
    </row>
    <row r="1450" spans="1:24">
      <c r="A1450">
        <f>HYPERLINK("https://www.philgeps.gov.ph/GEPSNONPILOT/Tender/SplashBidNoticeAbstractUI.aspx?menuIndex=3&amp;refID=7150791&amp;Result=3","7150791")</f>
        <v>0</v>
      </c>
      <c r="B1450" t="s">
        <v>720</v>
      </c>
      <c r="C1450" t="s">
        <v>5147</v>
      </c>
      <c r="D1450" t="s">
        <v>18019</v>
      </c>
      <c r="E1450" t="s">
        <v>19393</v>
      </c>
      <c r="F1450" t="s">
        <v>30900</v>
      </c>
      <c r="G1450" t="s">
        <v>30908</v>
      </c>
      <c r="H1450" t="s">
        <v>30916</v>
      </c>
      <c r="I1450" t="s">
        <v>30978</v>
      </c>
      <c r="J1450" t="s">
        <v>32151</v>
      </c>
      <c r="K1450" t="s">
        <v>40284</v>
      </c>
      <c r="M1450" t="s">
        <v>41284</v>
      </c>
      <c r="N1450" t="s">
        <v>44759</v>
      </c>
      <c r="O1450" t="s">
        <v>44760</v>
      </c>
      <c r="P1450">
        <v>0</v>
      </c>
      <c r="Q1450">
        <v>0</v>
      </c>
      <c r="R1450" t="s">
        <v>44762</v>
      </c>
      <c r="S1450" t="s">
        <v>44863</v>
      </c>
      <c r="T1450" t="s">
        <v>46398</v>
      </c>
      <c r="U1450" t="s">
        <v>48210</v>
      </c>
      <c r="V1450" t="s">
        <v>59289</v>
      </c>
      <c r="W1450" t="s">
        <v>41284</v>
      </c>
      <c r="X1450" t="s">
        <v>44763</v>
      </c>
    </row>
    <row r="1451" spans="1:24">
      <c r="A1451">
        <f>HYPERLINK("https://www.philgeps.gov.ph/GEPSNONPILOT/Tender/SplashBidNoticeAbstractUI.aspx?menuIndex=3&amp;refID=7150802&amp;Result=3","7150802")</f>
        <v>0</v>
      </c>
      <c r="B1451" t="s">
        <v>721</v>
      </c>
      <c r="C1451" t="s">
        <v>5148</v>
      </c>
      <c r="D1451" t="s">
        <v>17973</v>
      </c>
      <c r="E1451" t="s">
        <v>19394</v>
      </c>
      <c r="F1451" t="s">
        <v>30900</v>
      </c>
      <c r="G1451" t="s">
        <v>30908</v>
      </c>
      <c r="H1451" t="s">
        <v>30916</v>
      </c>
      <c r="I1451" t="s">
        <v>30947</v>
      </c>
      <c r="J1451" t="s">
        <v>32152</v>
      </c>
      <c r="K1451" t="s">
        <v>40287</v>
      </c>
      <c r="M1451" t="s">
        <v>41285</v>
      </c>
      <c r="N1451" t="s">
        <v>44759</v>
      </c>
      <c r="O1451" t="s">
        <v>44760</v>
      </c>
      <c r="P1451">
        <v>0</v>
      </c>
      <c r="Q1451">
        <v>1</v>
      </c>
      <c r="R1451" t="s">
        <v>44762</v>
      </c>
      <c r="S1451" t="s">
        <v>44863</v>
      </c>
      <c r="T1451" t="s">
        <v>46410</v>
      </c>
      <c r="U1451" t="s">
        <v>48211</v>
      </c>
      <c r="W1451" t="s">
        <v>41285</v>
      </c>
      <c r="X1451" t="s">
        <v>44763</v>
      </c>
    </row>
    <row r="1452" spans="1:24">
      <c r="A1452">
        <f>HYPERLINK("https://www.philgeps.gov.ph/GEPSNONPILOT/Tender/SplashBidNoticeAbstractUI.aspx?menuIndex=3&amp;refID=7153718&amp;Result=3","7153718")</f>
        <v>0</v>
      </c>
      <c r="B1452" t="s">
        <v>570</v>
      </c>
      <c r="C1452" t="s">
        <v>5149</v>
      </c>
      <c r="D1452" t="s">
        <v>17985</v>
      </c>
      <c r="E1452" t="s">
        <v>19395</v>
      </c>
      <c r="F1452" t="s">
        <v>30900</v>
      </c>
      <c r="G1452" t="s">
        <v>30908</v>
      </c>
      <c r="H1452" t="s">
        <v>30916</v>
      </c>
      <c r="I1452" t="s">
        <v>30918</v>
      </c>
      <c r="J1452" t="s">
        <v>31270</v>
      </c>
      <c r="K1452" t="s">
        <v>40289</v>
      </c>
      <c r="M1452" t="s">
        <v>41131</v>
      </c>
      <c r="N1452" t="s">
        <v>44759</v>
      </c>
      <c r="O1452" t="s">
        <v>44760</v>
      </c>
      <c r="P1452">
        <v>0</v>
      </c>
      <c r="Q1452">
        <v>0</v>
      </c>
      <c r="R1452" t="s">
        <v>44761</v>
      </c>
      <c r="S1452" t="s">
        <v>44862</v>
      </c>
      <c r="T1452" t="s">
        <v>46376</v>
      </c>
      <c r="U1452" t="s">
        <v>48212</v>
      </c>
      <c r="W1452" t="s">
        <v>41131</v>
      </c>
      <c r="X1452" t="s">
        <v>44762</v>
      </c>
    </row>
    <row r="1453" spans="1:24">
      <c r="A1453">
        <f>HYPERLINK("https://www.philgeps.gov.ph/GEPSNONPILOT/Tender/SplashBidNoticeAbstractUI.aspx?menuIndex=3&amp;refID=7153717&amp;Result=3","7153717")</f>
        <v>0</v>
      </c>
      <c r="B1453" t="s">
        <v>722</v>
      </c>
      <c r="C1453" t="s">
        <v>5150</v>
      </c>
      <c r="D1453" t="s">
        <v>18002</v>
      </c>
      <c r="E1453" t="s">
        <v>19396</v>
      </c>
      <c r="F1453" t="s">
        <v>30900</v>
      </c>
      <c r="G1453" t="s">
        <v>30909</v>
      </c>
      <c r="H1453" t="s">
        <v>30916</v>
      </c>
      <c r="I1453" t="s">
        <v>4050</v>
      </c>
      <c r="J1453" t="s">
        <v>32153</v>
      </c>
      <c r="K1453" t="s">
        <v>40287</v>
      </c>
      <c r="M1453" t="s">
        <v>41286</v>
      </c>
      <c r="N1453" t="s">
        <v>44759</v>
      </c>
      <c r="O1453" t="s">
        <v>44760</v>
      </c>
      <c r="P1453">
        <v>0</v>
      </c>
      <c r="Q1453">
        <v>0</v>
      </c>
      <c r="R1453" t="s">
        <v>44761</v>
      </c>
      <c r="S1453" t="s">
        <v>44862</v>
      </c>
      <c r="T1453" t="s">
        <v>46390</v>
      </c>
      <c r="U1453" t="s">
        <v>48213</v>
      </c>
      <c r="W1453" t="s">
        <v>41286</v>
      </c>
      <c r="X1453" t="s">
        <v>44762</v>
      </c>
    </row>
    <row r="1454" spans="1:24">
      <c r="A1454">
        <f>HYPERLINK("https://www.philgeps.gov.ph/GEPSNONPILOT/Tender/SplashBidNoticeAbstractUI.aspx?menuIndex=3&amp;refID=7150797&amp;Result=3","7150797")</f>
        <v>0</v>
      </c>
      <c r="B1454" t="s">
        <v>723</v>
      </c>
      <c r="C1454" t="s">
        <v>5151</v>
      </c>
      <c r="D1454" t="s">
        <v>17951</v>
      </c>
      <c r="E1454" t="s">
        <v>19397</v>
      </c>
      <c r="F1454" t="s">
        <v>30900</v>
      </c>
      <c r="G1454" t="s">
        <v>30908</v>
      </c>
      <c r="H1454" t="s">
        <v>30916</v>
      </c>
      <c r="I1454" t="s">
        <v>6396</v>
      </c>
      <c r="J1454" t="s">
        <v>32154</v>
      </c>
      <c r="K1454" t="s">
        <v>40285</v>
      </c>
      <c r="M1454" t="s">
        <v>41287</v>
      </c>
      <c r="N1454" t="s">
        <v>44759</v>
      </c>
      <c r="O1454" t="s">
        <v>44760</v>
      </c>
      <c r="P1454">
        <v>0</v>
      </c>
      <c r="Q1454">
        <v>2</v>
      </c>
      <c r="R1454" t="s">
        <v>44762</v>
      </c>
      <c r="S1454" t="s">
        <v>44863</v>
      </c>
      <c r="T1454" t="s">
        <v>46414</v>
      </c>
      <c r="U1454" t="s">
        <v>48214</v>
      </c>
      <c r="W1454" t="s">
        <v>41287</v>
      </c>
      <c r="X1454" t="s">
        <v>44763</v>
      </c>
    </row>
    <row r="1455" spans="1:24">
      <c r="A1455">
        <f>HYPERLINK("https://www.philgeps.gov.ph/GEPSNONPILOT/Tender/SplashBidNoticeAbstractUI.aspx?menuIndex=3&amp;refID=7150814&amp;Result=3","7150814")</f>
        <v>0</v>
      </c>
      <c r="B1455" t="s">
        <v>724</v>
      </c>
      <c r="C1455" t="s">
        <v>5152</v>
      </c>
      <c r="D1455" t="s">
        <v>17972</v>
      </c>
      <c r="E1455" t="s">
        <v>19398</v>
      </c>
      <c r="F1455" t="s">
        <v>30900</v>
      </c>
      <c r="G1455" t="s">
        <v>30909</v>
      </c>
      <c r="H1455" t="s">
        <v>30916</v>
      </c>
      <c r="I1455" t="s">
        <v>4142</v>
      </c>
      <c r="J1455" t="s">
        <v>31686</v>
      </c>
      <c r="K1455" t="s">
        <v>40283</v>
      </c>
      <c r="M1455" t="s">
        <v>41288</v>
      </c>
      <c r="N1455" t="s">
        <v>44759</v>
      </c>
      <c r="O1455" t="s">
        <v>44760</v>
      </c>
      <c r="P1455">
        <v>0</v>
      </c>
      <c r="Q1455">
        <v>1</v>
      </c>
      <c r="R1455" t="s">
        <v>44762</v>
      </c>
      <c r="S1455" t="s">
        <v>44863</v>
      </c>
      <c r="T1455" t="s">
        <v>46398</v>
      </c>
      <c r="U1455" t="s">
        <v>48215</v>
      </c>
      <c r="W1455" t="s">
        <v>41288</v>
      </c>
      <c r="X1455" t="s">
        <v>44763</v>
      </c>
    </row>
    <row r="1456" spans="1:24">
      <c r="A1456">
        <f>HYPERLINK("https://www.philgeps.gov.ph/GEPSNONPILOT/Tender/SplashBidNoticeAbstractUI.aspx?menuIndex=3&amp;refID=7150793&amp;Result=3","7150793")</f>
        <v>0</v>
      </c>
      <c r="B1456" t="s">
        <v>725</v>
      </c>
      <c r="C1456" t="s">
        <v>5153</v>
      </c>
      <c r="D1456" t="s">
        <v>18004</v>
      </c>
      <c r="E1456" t="s">
        <v>19399</v>
      </c>
      <c r="F1456" t="s">
        <v>30900</v>
      </c>
      <c r="G1456" t="s">
        <v>30907</v>
      </c>
      <c r="H1456" t="s">
        <v>30916</v>
      </c>
      <c r="I1456" t="s">
        <v>30942</v>
      </c>
      <c r="J1456" t="s">
        <v>31142</v>
      </c>
      <c r="K1456" t="s">
        <v>40284</v>
      </c>
      <c r="M1456" t="s">
        <v>41289</v>
      </c>
      <c r="N1456" t="s">
        <v>44759</v>
      </c>
      <c r="O1456" t="s">
        <v>44760</v>
      </c>
      <c r="P1456">
        <v>0</v>
      </c>
      <c r="Q1456">
        <v>0</v>
      </c>
      <c r="R1456" t="s">
        <v>44762</v>
      </c>
      <c r="S1456" t="s">
        <v>44863</v>
      </c>
      <c r="T1456" t="s">
        <v>46532</v>
      </c>
      <c r="U1456" t="s">
        <v>48216</v>
      </c>
      <c r="W1456" t="s">
        <v>41289</v>
      </c>
      <c r="X1456" t="s">
        <v>44763</v>
      </c>
    </row>
    <row r="1457" spans="1:24">
      <c r="A1457">
        <f>HYPERLINK("https://www.philgeps.gov.ph/GEPSNONPILOT/Tender/SplashBidNoticeAbstractUI.aspx?menuIndex=3&amp;refID=7150834&amp;Result=3","7150834")</f>
        <v>0</v>
      </c>
      <c r="B1457" t="s">
        <v>719</v>
      </c>
      <c r="C1457" t="s">
        <v>5154</v>
      </c>
      <c r="D1457" t="s">
        <v>17966</v>
      </c>
      <c r="E1457" t="s">
        <v>19400</v>
      </c>
      <c r="F1457" t="s">
        <v>30900</v>
      </c>
      <c r="G1457" t="s">
        <v>30909</v>
      </c>
      <c r="H1457" t="s">
        <v>30916</v>
      </c>
      <c r="I1457" t="s">
        <v>30939</v>
      </c>
      <c r="J1457" t="s">
        <v>32155</v>
      </c>
      <c r="K1457" t="s">
        <v>40291</v>
      </c>
      <c r="M1457" t="s">
        <v>41283</v>
      </c>
      <c r="N1457" t="s">
        <v>44759</v>
      </c>
      <c r="O1457" t="s">
        <v>44760</v>
      </c>
      <c r="P1457">
        <v>0</v>
      </c>
      <c r="Q1457">
        <v>0</v>
      </c>
      <c r="R1457" t="s">
        <v>44762</v>
      </c>
      <c r="S1457" t="s">
        <v>44863</v>
      </c>
      <c r="T1457" t="s">
        <v>46531</v>
      </c>
      <c r="U1457" t="s">
        <v>48217</v>
      </c>
      <c r="W1457" t="s">
        <v>41283</v>
      </c>
      <c r="X1457" t="s">
        <v>44763</v>
      </c>
    </row>
    <row r="1458" spans="1:24">
      <c r="A1458">
        <f>HYPERLINK("https://www.philgeps.gov.ph/GEPSNONPILOT/Tender/SplashBidNoticeAbstractUI.aspx?menuIndex=3&amp;refID=7150833&amp;Result=3","7150833")</f>
        <v>0</v>
      </c>
      <c r="B1458" t="s">
        <v>419</v>
      </c>
      <c r="C1458" t="s">
        <v>5155</v>
      </c>
      <c r="D1458" t="s">
        <v>18012</v>
      </c>
      <c r="E1458" t="s">
        <v>19401</v>
      </c>
      <c r="F1458" t="s">
        <v>30900</v>
      </c>
      <c r="G1458" t="s">
        <v>30907</v>
      </c>
      <c r="H1458" t="s">
        <v>30916</v>
      </c>
      <c r="I1458" t="s">
        <v>30927</v>
      </c>
      <c r="J1458" t="s">
        <v>32156</v>
      </c>
      <c r="K1458" t="s">
        <v>40284</v>
      </c>
      <c r="M1458" t="s">
        <v>40975</v>
      </c>
      <c r="N1458" t="s">
        <v>44759</v>
      </c>
      <c r="O1458" t="s">
        <v>44760</v>
      </c>
      <c r="P1458">
        <v>0</v>
      </c>
      <c r="Q1458">
        <v>0</v>
      </c>
      <c r="R1458" t="s">
        <v>44762</v>
      </c>
      <c r="S1458" t="s">
        <v>44863</v>
      </c>
      <c r="T1458" t="s">
        <v>46395</v>
      </c>
      <c r="U1458" t="s">
        <v>48218</v>
      </c>
      <c r="V1458" t="s">
        <v>59206</v>
      </c>
      <c r="W1458" t="s">
        <v>40975</v>
      </c>
      <c r="X1458" t="s">
        <v>44763</v>
      </c>
    </row>
    <row r="1459" spans="1:24">
      <c r="A1459">
        <f>HYPERLINK("https://www.philgeps.gov.ph/GEPSNONPILOT/Tender/SplashBidNoticeAbstractUI.aspx?menuIndex=3&amp;refID=7150832&amp;Result=3","7150832")</f>
        <v>0</v>
      </c>
      <c r="B1459" t="s">
        <v>198</v>
      </c>
      <c r="C1459" t="s">
        <v>5156</v>
      </c>
      <c r="D1459" t="s">
        <v>17962</v>
      </c>
      <c r="E1459" t="s">
        <v>18306</v>
      </c>
      <c r="F1459" t="s">
        <v>30900</v>
      </c>
      <c r="G1459" t="s">
        <v>30908</v>
      </c>
      <c r="H1459" t="s">
        <v>30916</v>
      </c>
      <c r="I1459" t="s">
        <v>30923</v>
      </c>
      <c r="J1459" t="s">
        <v>31082</v>
      </c>
      <c r="K1459" t="s">
        <v>40285</v>
      </c>
      <c r="M1459" t="s">
        <v>40745</v>
      </c>
      <c r="N1459" t="s">
        <v>44759</v>
      </c>
      <c r="O1459" t="s">
        <v>44760</v>
      </c>
      <c r="P1459">
        <v>0</v>
      </c>
      <c r="Q1459">
        <v>4</v>
      </c>
      <c r="R1459" t="s">
        <v>44762</v>
      </c>
      <c r="S1459" t="s">
        <v>44863</v>
      </c>
      <c r="T1459" t="s">
        <v>46410</v>
      </c>
      <c r="U1459" t="s">
        <v>48219</v>
      </c>
      <c r="W1459" t="s">
        <v>40745</v>
      </c>
      <c r="X1459" t="s">
        <v>44763</v>
      </c>
    </row>
    <row r="1460" spans="1:24">
      <c r="A1460">
        <f>HYPERLINK("https://www.philgeps.gov.ph/GEPSNONPILOT/Tender/SplashBidNoticeAbstractUI.aspx?menuIndex=3&amp;refID=7150831&amp;Result=3","7150831")</f>
        <v>0</v>
      </c>
      <c r="B1460" t="s">
        <v>716</v>
      </c>
      <c r="C1460" t="s">
        <v>5157</v>
      </c>
      <c r="D1460" t="s">
        <v>17952</v>
      </c>
      <c r="E1460" t="s">
        <v>19402</v>
      </c>
      <c r="F1460" t="s">
        <v>30900</v>
      </c>
      <c r="G1460" t="s">
        <v>30909</v>
      </c>
      <c r="H1460" t="s">
        <v>30916</v>
      </c>
      <c r="I1460" t="s">
        <v>30923</v>
      </c>
      <c r="J1460" t="s">
        <v>32157</v>
      </c>
      <c r="K1460" t="s">
        <v>40288</v>
      </c>
      <c r="M1460" t="s">
        <v>41280</v>
      </c>
      <c r="N1460" t="s">
        <v>44759</v>
      </c>
      <c r="O1460" t="s">
        <v>44760</v>
      </c>
      <c r="P1460">
        <v>0</v>
      </c>
      <c r="Q1460">
        <v>2</v>
      </c>
      <c r="R1460" t="s">
        <v>44762</v>
      </c>
      <c r="S1460" t="s">
        <v>44863</v>
      </c>
      <c r="T1460" t="s">
        <v>46390</v>
      </c>
      <c r="U1460" t="s">
        <v>48220</v>
      </c>
      <c r="W1460" t="s">
        <v>41280</v>
      </c>
      <c r="X1460" t="s">
        <v>44763</v>
      </c>
    </row>
    <row r="1461" spans="1:24">
      <c r="A1461">
        <f>HYPERLINK("https://www.philgeps.gov.ph/GEPSNONPILOT/Tender/SplashBidNoticeAbstractUI.aspx?menuIndex=3&amp;refID=7150828&amp;Result=3","7150828")</f>
        <v>0</v>
      </c>
      <c r="B1461" t="s">
        <v>726</v>
      </c>
      <c r="C1461" t="s">
        <v>4085</v>
      </c>
      <c r="D1461" t="s">
        <v>18016</v>
      </c>
      <c r="E1461" t="s">
        <v>19403</v>
      </c>
      <c r="F1461" t="s">
        <v>30900</v>
      </c>
      <c r="G1461" t="s">
        <v>30907</v>
      </c>
      <c r="H1461" t="s">
        <v>30916</v>
      </c>
      <c r="I1461" t="s">
        <v>8123</v>
      </c>
      <c r="J1461" t="s">
        <v>32158</v>
      </c>
      <c r="K1461" t="s">
        <v>40286</v>
      </c>
      <c r="M1461" t="s">
        <v>41290</v>
      </c>
      <c r="N1461" t="s">
        <v>44759</v>
      </c>
      <c r="O1461" t="s">
        <v>44760</v>
      </c>
      <c r="P1461">
        <v>0</v>
      </c>
      <c r="Q1461">
        <v>0</v>
      </c>
      <c r="R1461" t="s">
        <v>44762</v>
      </c>
      <c r="S1461" t="s">
        <v>44863</v>
      </c>
      <c r="T1461" t="s">
        <v>46389</v>
      </c>
      <c r="U1461" t="s">
        <v>48221</v>
      </c>
      <c r="W1461" t="s">
        <v>41290</v>
      </c>
      <c r="X1461" t="s">
        <v>44763</v>
      </c>
    </row>
    <row r="1462" spans="1:24">
      <c r="A1462">
        <f>HYPERLINK("https://www.philgeps.gov.ph/GEPSNONPILOT/Tender/SplashBidNoticeAbstractUI.aspx?menuIndex=3&amp;refID=7150805&amp;Result=3","7150805")</f>
        <v>0</v>
      </c>
      <c r="B1462" t="s">
        <v>708</v>
      </c>
      <c r="C1462" t="s">
        <v>5158</v>
      </c>
      <c r="E1462" t="s">
        <v>19404</v>
      </c>
      <c r="F1462" t="s">
        <v>30900</v>
      </c>
      <c r="G1462" t="s">
        <v>30907</v>
      </c>
      <c r="H1462" t="s">
        <v>30915</v>
      </c>
      <c r="I1462" t="s">
        <v>30919</v>
      </c>
      <c r="J1462" t="s">
        <v>32159</v>
      </c>
      <c r="K1462" t="s">
        <v>40289</v>
      </c>
      <c r="M1462" t="s">
        <v>41272</v>
      </c>
      <c r="N1462" t="s">
        <v>44759</v>
      </c>
      <c r="O1462" t="s">
        <v>44760</v>
      </c>
      <c r="P1462">
        <v>0</v>
      </c>
      <c r="Q1462">
        <v>0</v>
      </c>
      <c r="R1462" t="s">
        <v>44762</v>
      </c>
      <c r="S1462" t="s">
        <v>44863</v>
      </c>
      <c r="T1462" t="s">
        <v>46529</v>
      </c>
      <c r="U1462" t="s">
        <v>48222</v>
      </c>
      <c r="W1462" t="s">
        <v>41272</v>
      </c>
      <c r="X1462" t="s">
        <v>44763</v>
      </c>
    </row>
    <row r="1463" spans="1:24">
      <c r="A1463">
        <f>HYPERLINK("https://www.philgeps.gov.ph/GEPSNONPILOT/Tender/SplashBidNoticeAbstractUI.aspx?menuIndex=3&amp;refID=7153715&amp;Result=3","7153715")</f>
        <v>0</v>
      </c>
      <c r="B1463" t="s">
        <v>727</v>
      </c>
      <c r="C1463" t="s">
        <v>5159</v>
      </c>
      <c r="D1463" t="s">
        <v>17959</v>
      </c>
      <c r="E1463" t="s">
        <v>18306</v>
      </c>
      <c r="F1463" t="s">
        <v>30900</v>
      </c>
      <c r="G1463" t="s">
        <v>30908</v>
      </c>
      <c r="H1463" t="s">
        <v>30916</v>
      </c>
      <c r="I1463" t="s">
        <v>9385</v>
      </c>
      <c r="J1463" t="s">
        <v>31204</v>
      </c>
      <c r="K1463" t="s">
        <v>40286</v>
      </c>
      <c r="M1463" t="s">
        <v>41291</v>
      </c>
      <c r="N1463" t="s">
        <v>44759</v>
      </c>
      <c r="O1463" t="s">
        <v>44760</v>
      </c>
      <c r="P1463">
        <v>0</v>
      </c>
      <c r="Q1463">
        <v>0</v>
      </c>
      <c r="R1463" t="s">
        <v>44761</v>
      </c>
      <c r="S1463" t="s">
        <v>44862</v>
      </c>
      <c r="T1463" t="s">
        <v>46376</v>
      </c>
      <c r="U1463" t="s">
        <v>48223</v>
      </c>
      <c r="W1463" t="s">
        <v>41291</v>
      </c>
      <c r="X1463" t="s">
        <v>44762</v>
      </c>
    </row>
    <row r="1464" spans="1:24">
      <c r="A1464">
        <f>HYPERLINK("https://www.philgeps.gov.ph/GEPSNONPILOT/Tender/SplashBidNoticeAbstractUI.aspx?menuIndex=3&amp;refID=7150826&amp;Result=3","7150826")</f>
        <v>0</v>
      </c>
      <c r="B1464" t="s">
        <v>728</v>
      </c>
      <c r="C1464" t="s">
        <v>3886</v>
      </c>
      <c r="D1464" t="s">
        <v>17957</v>
      </c>
      <c r="E1464" t="s">
        <v>19405</v>
      </c>
      <c r="F1464" t="s">
        <v>30900</v>
      </c>
      <c r="G1464" t="s">
        <v>30909</v>
      </c>
      <c r="H1464" t="s">
        <v>30916</v>
      </c>
      <c r="I1464" t="s">
        <v>4108</v>
      </c>
      <c r="J1464" t="s">
        <v>32160</v>
      </c>
      <c r="K1464" t="s">
        <v>40281</v>
      </c>
      <c r="M1464" t="s">
        <v>41292</v>
      </c>
      <c r="N1464" t="s">
        <v>44759</v>
      </c>
      <c r="O1464" t="s">
        <v>44760</v>
      </c>
      <c r="P1464">
        <v>0</v>
      </c>
      <c r="Q1464">
        <v>0</v>
      </c>
      <c r="R1464" t="s">
        <v>44762</v>
      </c>
      <c r="S1464" t="s">
        <v>44863</v>
      </c>
      <c r="T1464" t="s">
        <v>46374</v>
      </c>
      <c r="U1464" t="s">
        <v>48224</v>
      </c>
      <c r="V1464" t="s">
        <v>59117</v>
      </c>
      <c r="W1464" t="s">
        <v>41292</v>
      </c>
      <c r="X1464" t="s">
        <v>44763</v>
      </c>
    </row>
    <row r="1465" spans="1:24">
      <c r="A1465">
        <f>HYPERLINK("https://www.philgeps.gov.ph/GEPSNONPILOT/Tender/SplashBidNoticeAbstractUI.aspx?menuIndex=3&amp;refID=7150825&amp;Result=3","7150825")</f>
        <v>0</v>
      </c>
      <c r="B1465" t="s">
        <v>729</v>
      </c>
      <c r="C1465" t="s">
        <v>5160</v>
      </c>
      <c r="D1465" t="s">
        <v>18018</v>
      </c>
      <c r="E1465" t="s">
        <v>19406</v>
      </c>
      <c r="F1465" t="s">
        <v>30900</v>
      </c>
      <c r="G1465" t="s">
        <v>30909</v>
      </c>
      <c r="H1465" t="s">
        <v>30916</v>
      </c>
      <c r="I1465" t="s">
        <v>30924</v>
      </c>
      <c r="J1465" t="s">
        <v>32161</v>
      </c>
      <c r="K1465" t="s">
        <v>40289</v>
      </c>
      <c r="M1465" t="s">
        <v>41293</v>
      </c>
      <c r="N1465" t="s">
        <v>44759</v>
      </c>
      <c r="O1465" t="s">
        <v>44760</v>
      </c>
      <c r="P1465">
        <v>0</v>
      </c>
      <c r="Q1465">
        <v>0</v>
      </c>
      <c r="R1465" t="s">
        <v>44762</v>
      </c>
      <c r="S1465" t="s">
        <v>44863</v>
      </c>
      <c r="T1465" t="s">
        <v>46533</v>
      </c>
      <c r="U1465" t="s">
        <v>48225</v>
      </c>
      <c r="W1465" t="s">
        <v>41293</v>
      </c>
      <c r="X1465" t="s">
        <v>44763</v>
      </c>
    </row>
    <row r="1466" spans="1:24">
      <c r="A1466">
        <f>HYPERLINK("https://www.philgeps.gov.ph/GEPSNONPILOT/Tender/SplashBidNoticeAbstractUI.aspx?menuIndex=3&amp;refID=7150824&amp;Result=3","7150824")</f>
        <v>0</v>
      </c>
      <c r="B1466" t="s">
        <v>553</v>
      </c>
      <c r="C1466" t="s">
        <v>5161</v>
      </c>
      <c r="D1466" t="s">
        <v>17955</v>
      </c>
      <c r="E1466" t="s">
        <v>19407</v>
      </c>
      <c r="F1466" t="s">
        <v>30900</v>
      </c>
      <c r="G1466" t="s">
        <v>30908</v>
      </c>
      <c r="H1466" t="s">
        <v>30916</v>
      </c>
      <c r="I1466" t="s">
        <v>5830</v>
      </c>
      <c r="J1466" t="s">
        <v>31341</v>
      </c>
      <c r="K1466" t="s">
        <v>40286</v>
      </c>
      <c r="M1466" t="s">
        <v>41114</v>
      </c>
      <c r="N1466" t="s">
        <v>44759</v>
      </c>
      <c r="O1466" t="s">
        <v>44760</v>
      </c>
      <c r="P1466">
        <v>0</v>
      </c>
      <c r="Q1466">
        <v>1</v>
      </c>
      <c r="R1466" t="s">
        <v>44762</v>
      </c>
      <c r="S1466" t="s">
        <v>44863</v>
      </c>
      <c r="T1466" t="s">
        <v>46398</v>
      </c>
      <c r="U1466" t="s">
        <v>48226</v>
      </c>
      <c r="W1466" t="s">
        <v>41114</v>
      </c>
      <c r="X1466" t="s">
        <v>44763</v>
      </c>
    </row>
    <row r="1467" spans="1:24">
      <c r="A1467">
        <f>HYPERLINK("https://www.philgeps.gov.ph/GEPSNONPILOT/Tender/SplashBidNoticeAbstractUI.aspx?menuIndex=3&amp;refID=7153719&amp;Result=3","7153719")</f>
        <v>0</v>
      </c>
      <c r="B1467" t="s">
        <v>730</v>
      </c>
      <c r="C1467" t="s">
        <v>5162</v>
      </c>
      <c r="D1467" t="s">
        <v>17993</v>
      </c>
      <c r="E1467" t="s">
        <v>19408</v>
      </c>
      <c r="F1467" t="s">
        <v>30900</v>
      </c>
      <c r="G1467" t="s">
        <v>30908</v>
      </c>
      <c r="H1467" t="s">
        <v>30916</v>
      </c>
      <c r="I1467" t="s">
        <v>8123</v>
      </c>
      <c r="J1467" t="s">
        <v>31635</v>
      </c>
      <c r="K1467" t="s">
        <v>40285</v>
      </c>
      <c r="M1467" t="s">
        <v>41294</v>
      </c>
      <c r="N1467" t="s">
        <v>44759</v>
      </c>
      <c r="O1467" t="s">
        <v>44760</v>
      </c>
      <c r="P1467">
        <v>0</v>
      </c>
      <c r="Q1467">
        <v>0</v>
      </c>
      <c r="R1467" t="s">
        <v>44761</v>
      </c>
      <c r="S1467" t="s">
        <v>44862</v>
      </c>
      <c r="T1467" t="s">
        <v>46356</v>
      </c>
      <c r="U1467" t="s">
        <v>48227</v>
      </c>
      <c r="W1467" t="s">
        <v>41294</v>
      </c>
      <c r="X1467" t="s">
        <v>44762</v>
      </c>
    </row>
    <row r="1468" spans="1:24">
      <c r="A1468">
        <f>HYPERLINK("https://www.philgeps.gov.ph/GEPSNONPILOT/Tender/SplashBidNoticeAbstractUI.aspx?menuIndex=3&amp;refID=7150821&amp;Result=3","7150821")</f>
        <v>0</v>
      </c>
      <c r="B1468" t="s">
        <v>708</v>
      </c>
      <c r="C1468" t="s">
        <v>5163</v>
      </c>
      <c r="E1468" t="s">
        <v>19409</v>
      </c>
      <c r="F1468" t="s">
        <v>30900</v>
      </c>
      <c r="G1468" t="s">
        <v>30907</v>
      </c>
      <c r="H1468" t="s">
        <v>30915</v>
      </c>
      <c r="I1468" t="s">
        <v>30919</v>
      </c>
      <c r="J1468" t="s">
        <v>31152</v>
      </c>
      <c r="K1468" t="s">
        <v>40289</v>
      </c>
      <c r="M1468" t="s">
        <v>41272</v>
      </c>
      <c r="N1468" t="s">
        <v>44759</v>
      </c>
      <c r="O1468" t="s">
        <v>44760</v>
      </c>
      <c r="P1468">
        <v>0</v>
      </c>
      <c r="Q1468">
        <v>0</v>
      </c>
      <c r="R1468" t="s">
        <v>44762</v>
      </c>
      <c r="S1468" t="s">
        <v>44863</v>
      </c>
      <c r="T1468" t="s">
        <v>46529</v>
      </c>
      <c r="U1468" t="s">
        <v>48228</v>
      </c>
      <c r="W1468" t="s">
        <v>41272</v>
      </c>
      <c r="X1468" t="s">
        <v>44763</v>
      </c>
    </row>
    <row r="1469" spans="1:24">
      <c r="A1469">
        <f>HYPERLINK("https://www.philgeps.gov.ph/GEPSNONPILOT/Tender/SplashBidNoticeAbstractUI.aspx?menuIndex=3&amp;refID=7150819&amp;Result=3","7150819")</f>
        <v>0</v>
      </c>
      <c r="B1469" t="s">
        <v>715</v>
      </c>
      <c r="C1469" t="s">
        <v>5164</v>
      </c>
      <c r="D1469" t="s">
        <v>17975</v>
      </c>
      <c r="E1469" t="s">
        <v>19410</v>
      </c>
      <c r="F1469" t="s">
        <v>30900</v>
      </c>
      <c r="G1469" t="s">
        <v>30907</v>
      </c>
      <c r="H1469" t="s">
        <v>30915</v>
      </c>
      <c r="I1469" t="s">
        <v>30919</v>
      </c>
      <c r="J1469" t="s">
        <v>32162</v>
      </c>
      <c r="K1469" t="s">
        <v>40289</v>
      </c>
      <c r="M1469" t="s">
        <v>41279</v>
      </c>
      <c r="N1469" t="s">
        <v>44759</v>
      </c>
      <c r="O1469" t="s">
        <v>44760</v>
      </c>
      <c r="P1469">
        <v>0</v>
      </c>
      <c r="Q1469">
        <v>0</v>
      </c>
      <c r="R1469" t="s">
        <v>44762</v>
      </c>
      <c r="S1469" t="s">
        <v>44863</v>
      </c>
      <c r="T1469" t="s">
        <v>46405</v>
      </c>
      <c r="U1469" t="s">
        <v>48203</v>
      </c>
      <c r="W1469" t="s">
        <v>41279</v>
      </c>
      <c r="X1469" t="s">
        <v>44763</v>
      </c>
    </row>
    <row r="1470" spans="1:24">
      <c r="A1470">
        <f>HYPERLINK("https://www.philgeps.gov.ph/GEPSNONPILOT/Tender/SplashBidNoticeAbstractUI.aspx?menuIndex=3&amp;refID=7150830&amp;Result=3","7150830")</f>
        <v>0</v>
      </c>
      <c r="B1470" t="s">
        <v>731</v>
      </c>
      <c r="C1470" t="s">
        <v>5165</v>
      </c>
      <c r="D1470" t="s">
        <v>18003</v>
      </c>
      <c r="E1470" t="s">
        <v>5165</v>
      </c>
      <c r="F1470" t="s">
        <v>30900</v>
      </c>
      <c r="G1470" t="s">
        <v>30908</v>
      </c>
      <c r="H1470" t="s">
        <v>30916</v>
      </c>
      <c r="I1470" t="s">
        <v>30934</v>
      </c>
      <c r="J1470" t="s">
        <v>32163</v>
      </c>
      <c r="K1470" t="s">
        <v>40286</v>
      </c>
      <c r="M1470" t="s">
        <v>41295</v>
      </c>
      <c r="N1470" t="s">
        <v>44759</v>
      </c>
      <c r="O1470" t="s">
        <v>44760</v>
      </c>
      <c r="P1470">
        <v>0</v>
      </c>
      <c r="Q1470">
        <v>1</v>
      </c>
      <c r="R1470" t="s">
        <v>44762</v>
      </c>
      <c r="S1470" t="s">
        <v>44863</v>
      </c>
      <c r="T1470" t="s">
        <v>46414</v>
      </c>
      <c r="U1470" t="s">
        <v>48229</v>
      </c>
      <c r="W1470" t="s">
        <v>41295</v>
      </c>
      <c r="X1470" t="s">
        <v>44763</v>
      </c>
    </row>
    <row r="1471" spans="1:24">
      <c r="A1471">
        <f>HYPERLINK("https://www.philgeps.gov.ph/GEPSNONPILOT/Tender/SplashBidNoticeAbstractUI.aspx?menuIndex=3&amp;refID=7150818&amp;Result=3","7150818")</f>
        <v>0</v>
      </c>
      <c r="B1471" t="s">
        <v>732</v>
      </c>
      <c r="C1471" t="s">
        <v>5166</v>
      </c>
      <c r="D1471" t="s">
        <v>17963</v>
      </c>
      <c r="E1471" t="s">
        <v>19411</v>
      </c>
      <c r="F1471" t="s">
        <v>30900</v>
      </c>
      <c r="G1471" t="s">
        <v>30908</v>
      </c>
      <c r="H1471" t="s">
        <v>30916</v>
      </c>
      <c r="I1471" t="s">
        <v>6746</v>
      </c>
      <c r="J1471" t="s">
        <v>32164</v>
      </c>
      <c r="K1471" t="s">
        <v>40289</v>
      </c>
      <c r="M1471" t="s">
        <v>41296</v>
      </c>
      <c r="N1471" t="s">
        <v>44759</v>
      </c>
      <c r="O1471" t="s">
        <v>44760</v>
      </c>
      <c r="P1471">
        <v>0</v>
      </c>
      <c r="Q1471">
        <v>0</v>
      </c>
      <c r="R1471" t="s">
        <v>44762</v>
      </c>
      <c r="S1471" t="s">
        <v>44863</v>
      </c>
      <c r="T1471" t="s">
        <v>46379</v>
      </c>
      <c r="U1471" t="s">
        <v>48230</v>
      </c>
      <c r="W1471" t="s">
        <v>41296</v>
      </c>
      <c r="X1471" t="s">
        <v>44763</v>
      </c>
    </row>
    <row r="1472" spans="1:24">
      <c r="A1472">
        <f>HYPERLINK("https://www.philgeps.gov.ph/GEPSNONPILOT/Tender/SplashBidNoticeAbstractUI.aspx?menuIndex=3&amp;refID=7150816&amp;Result=3","7150816")</f>
        <v>0</v>
      </c>
      <c r="B1472" t="s">
        <v>497</v>
      </c>
      <c r="C1472" t="s">
        <v>5167</v>
      </c>
      <c r="D1472" t="s">
        <v>17951</v>
      </c>
      <c r="E1472" t="s">
        <v>18912</v>
      </c>
      <c r="F1472" t="s">
        <v>30900</v>
      </c>
      <c r="G1472" t="s">
        <v>30908</v>
      </c>
      <c r="H1472" t="s">
        <v>30916</v>
      </c>
      <c r="I1472" t="s">
        <v>10602</v>
      </c>
      <c r="J1472" t="s">
        <v>32165</v>
      </c>
      <c r="K1472" t="s">
        <v>40285</v>
      </c>
      <c r="M1472" t="s">
        <v>41056</v>
      </c>
      <c r="N1472" t="s">
        <v>44759</v>
      </c>
      <c r="O1472" t="s">
        <v>44760</v>
      </c>
      <c r="P1472">
        <v>0</v>
      </c>
      <c r="Q1472">
        <v>0</v>
      </c>
      <c r="R1472" t="s">
        <v>44762</v>
      </c>
      <c r="S1472" t="s">
        <v>44863</v>
      </c>
      <c r="T1472" t="s">
        <v>46414</v>
      </c>
      <c r="U1472" t="s">
        <v>48231</v>
      </c>
      <c r="W1472" t="s">
        <v>41056</v>
      </c>
      <c r="X1472" t="s">
        <v>44763</v>
      </c>
    </row>
    <row r="1473" spans="1:24">
      <c r="A1473">
        <f>HYPERLINK("https://www.philgeps.gov.ph/GEPSNONPILOT/Tender/SplashBidNoticeAbstractUI.aspx?menuIndex=3&amp;refID=7150827&amp;Result=3","7150827")</f>
        <v>0</v>
      </c>
      <c r="B1473" t="s">
        <v>733</v>
      </c>
      <c r="C1473" t="s">
        <v>5168</v>
      </c>
      <c r="D1473" t="s">
        <v>17962</v>
      </c>
      <c r="E1473" t="s">
        <v>18366</v>
      </c>
      <c r="F1473" t="s">
        <v>30900</v>
      </c>
      <c r="G1473" t="s">
        <v>30908</v>
      </c>
      <c r="H1473" t="s">
        <v>30916</v>
      </c>
      <c r="I1473" t="s">
        <v>8123</v>
      </c>
      <c r="J1473" t="s">
        <v>32166</v>
      </c>
      <c r="K1473" t="s">
        <v>40287</v>
      </c>
      <c r="M1473" t="s">
        <v>41297</v>
      </c>
      <c r="N1473" t="s">
        <v>44759</v>
      </c>
      <c r="O1473" t="s">
        <v>44760</v>
      </c>
      <c r="P1473">
        <v>0</v>
      </c>
      <c r="Q1473">
        <v>0</v>
      </c>
      <c r="R1473" t="s">
        <v>44762</v>
      </c>
      <c r="S1473" t="s">
        <v>44863</v>
      </c>
      <c r="T1473" t="s">
        <v>46351</v>
      </c>
      <c r="U1473" t="s">
        <v>48232</v>
      </c>
      <c r="W1473" t="s">
        <v>41297</v>
      </c>
      <c r="X1473" t="s">
        <v>44763</v>
      </c>
    </row>
    <row r="1474" spans="1:24">
      <c r="A1474">
        <f>HYPERLINK("https://www.philgeps.gov.ph/GEPSNONPILOT/Tender/SplashBidNoticeAbstractUI.aspx?menuIndex=3&amp;refID=7150823&amp;Result=3","7150823")</f>
        <v>0</v>
      </c>
      <c r="B1474" t="s">
        <v>734</v>
      </c>
      <c r="C1474" t="s">
        <v>5169</v>
      </c>
      <c r="E1474" t="s">
        <v>19412</v>
      </c>
      <c r="F1474" t="s">
        <v>30900</v>
      </c>
      <c r="G1474" t="s">
        <v>30908</v>
      </c>
      <c r="H1474" t="s">
        <v>30916</v>
      </c>
      <c r="I1474" t="s">
        <v>6746</v>
      </c>
      <c r="J1474" t="s">
        <v>32167</v>
      </c>
      <c r="K1474" t="s">
        <v>40287</v>
      </c>
      <c r="M1474" t="s">
        <v>41298</v>
      </c>
      <c r="N1474" t="s">
        <v>44759</v>
      </c>
      <c r="O1474" t="s">
        <v>44760</v>
      </c>
      <c r="P1474">
        <v>0</v>
      </c>
      <c r="Q1474">
        <v>0</v>
      </c>
      <c r="R1474" t="s">
        <v>44762</v>
      </c>
      <c r="S1474" t="s">
        <v>44863</v>
      </c>
      <c r="T1474" t="s">
        <v>46379</v>
      </c>
      <c r="U1474" t="s">
        <v>48233</v>
      </c>
      <c r="W1474" t="s">
        <v>41298</v>
      </c>
      <c r="X1474" t="s">
        <v>44763</v>
      </c>
    </row>
    <row r="1475" spans="1:24">
      <c r="A1475">
        <f>HYPERLINK("https://www.philgeps.gov.ph/GEPSNONPILOT/Tender/SplashBidNoticeAbstractUI.aspx?menuIndex=3&amp;refID=7150815&amp;Result=3","7150815")</f>
        <v>0</v>
      </c>
      <c r="B1475" t="s">
        <v>735</v>
      </c>
      <c r="C1475" t="s">
        <v>4545</v>
      </c>
      <c r="D1475" t="s">
        <v>17998</v>
      </c>
      <c r="E1475" t="s">
        <v>19413</v>
      </c>
      <c r="F1475" t="s">
        <v>30900</v>
      </c>
      <c r="G1475" t="s">
        <v>30908</v>
      </c>
      <c r="H1475" t="s">
        <v>30916</v>
      </c>
      <c r="I1475" t="s">
        <v>4545</v>
      </c>
      <c r="J1475" t="s">
        <v>32168</v>
      </c>
      <c r="K1475" t="s">
        <v>40285</v>
      </c>
      <c r="M1475" t="s">
        <v>41299</v>
      </c>
      <c r="N1475" t="s">
        <v>44759</v>
      </c>
      <c r="O1475" t="s">
        <v>44760</v>
      </c>
      <c r="P1475">
        <v>0</v>
      </c>
      <c r="Q1475">
        <v>1</v>
      </c>
      <c r="R1475" t="s">
        <v>44762</v>
      </c>
      <c r="S1475" t="s">
        <v>44863</v>
      </c>
      <c r="T1475" t="s">
        <v>46457</v>
      </c>
      <c r="U1475" t="s">
        <v>48234</v>
      </c>
      <c r="W1475" t="s">
        <v>41299</v>
      </c>
      <c r="X1475" t="s">
        <v>44763</v>
      </c>
    </row>
    <row r="1476" spans="1:24">
      <c r="A1476">
        <f>HYPERLINK("https://www.philgeps.gov.ph/GEPSNONPILOT/Tender/SplashBidNoticeAbstractUI.aspx?menuIndex=3&amp;refID=7150786&amp;Result=3","7150786")</f>
        <v>0</v>
      </c>
      <c r="B1476" t="s">
        <v>736</v>
      </c>
      <c r="C1476" t="s">
        <v>5170</v>
      </c>
      <c r="D1476" t="s">
        <v>18013</v>
      </c>
      <c r="E1476" t="s">
        <v>19414</v>
      </c>
      <c r="F1476" t="s">
        <v>30900</v>
      </c>
      <c r="G1476" t="s">
        <v>30907</v>
      </c>
      <c r="H1476" t="s">
        <v>30915</v>
      </c>
      <c r="I1476" t="s">
        <v>30919</v>
      </c>
      <c r="J1476" t="s">
        <v>32169</v>
      </c>
      <c r="K1476" t="s">
        <v>40348</v>
      </c>
      <c r="M1476" t="s">
        <v>41300</v>
      </c>
      <c r="N1476" t="s">
        <v>44759</v>
      </c>
      <c r="O1476" t="s">
        <v>44760</v>
      </c>
      <c r="P1476">
        <v>0</v>
      </c>
      <c r="Q1476">
        <v>0</v>
      </c>
      <c r="R1476" t="s">
        <v>44762</v>
      </c>
      <c r="S1476" t="s">
        <v>44863</v>
      </c>
      <c r="T1476" t="s">
        <v>46394</v>
      </c>
      <c r="U1476" t="s">
        <v>48235</v>
      </c>
      <c r="W1476" t="s">
        <v>41300</v>
      </c>
      <c r="X1476" t="s">
        <v>44763</v>
      </c>
    </row>
    <row r="1477" spans="1:24">
      <c r="A1477">
        <f>HYPERLINK("https://www.philgeps.gov.ph/GEPSNONPILOT/Tender/SplashBidNoticeAbstractUI.aspx?menuIndex=3&amp;refID=7153714&amp;Result=3","7153714")</f>
        <v>0</v>
      </c>
      <c r="B1477" t="s">
        <v>737</v>
      </c>
      <c r="C1477" t="s">
        <v>5171</v>
      </c>
      <c r="D1477" t="s">
        <v>18006</v>
      </c>
      <c r="E1477" t="s">
        <v>19415</v>
      </c>
      <c r="F1477" t="s">
        <v>30900</v>
      </c>
      <c r="G1477" t="s">
        <v>30907</v>
      </c>
      <c r="H1477" t="s">
        <v>30915</v>
      </c>
      <c r="I1477" t="s">
        <v>30919</v>
      </c>
      <c r="J1477" t="s">
        <v>31407</v>
      </c>
      <c r="K1477" t="s">
        <v>40286</v>
      </c>
      <c r="M1477" t="s">
        <v>41301</v>
      </c>
      <c r="N1477" t="s">
        <v>44759</v>
      </c>
      <c r="O1477" t="s">
        <v>44760</v>
      </c>
      <c r="P1477">
        <v>0</v>
      </c>
      <c r="Q1477">
        <v>0</v>
      </c>
      <c r="R1477" t="s">
        <v>44761</v>
      </c>
      <c r="S1477" t="s">
        <v>44862</v>
      </c>
      <c r="T1477" t="s">
        <v>46382</v>
      </c>
      <c r="U1477" t="s">
        <v>48236</v>
      </c>
      <c r="W1477" t="s">
        <v>41301</v>
      </c>
      <c r="X1477" t="s">
        <v>44762</v>
      </c>
    </row>
    <row r="1478" spans="1:24">
      <c r="A1478">
        <f>HYPERLINK("https://www.philgeps.gov.ph/GEPSNONPILOT/Tender/SplashBidNoticeAbstractUI.aspx?menuIndex=3&amp;refID=7150820&amp;Result=3","7150820")</f>
        <v>0</v>
      </c>
      <c r="B1478" t="s">
        <v>738</v>
      </c>
      <c r="C1478" t="s">
        <v>5172</v>
      </c>
      <c r="D1478" t="s">
        <v>17959</v>
      </c>
      <c r="E1478" t="s">
        <v>19416</v>
      </c>
      <c r="F1478" t="s">
        <v>30900</v>
      </c>
      <c r="G1478" t="s">
        <v>30908</v>
      </c>
      <c r="H1478" t="s">
        <v>30916</v>
      </c>
      <c r="I1478" t="s">
        <v>30924</v>
      </c>
      <c r="J1478" t="s">
        <v>31043</v>
      </c>
      <c r="K1478" t="s">
        <v>40289</v>
      </c>
      <c r="M1478" t="s">
        <v>41302</v>
      </c>
      <c r="N1478" t="s">
        <v>44759</v>
      </c>
      <c r="O1478" t="s">
        <v>44760</v>
      </c>
      <c r="P1478">
        <v>0</v>
      </c>
      <c r="Q1478">
        <v>7</v>
      </c>
      <c r="R1478" t="s">
        <v>44762</v>
      </c>
      <c r="S1478" t="s">
        <v>44863</v>
      </c>
      <c r="T1478" t="s">
        <v>46383</v>
      </c>
      <c r="U1478" t="s">
        <v>48237</v>
      </c>
      <c r="V1478" t="s">
        <v>59290</v>
      </c>
      <c r="W1478" t="s">
        <v>41302</v>
      </c>
      <c r="X1478" t="s">
        <v>44763</v>
      </c>
    </row>
    <row r="1479" spans="1:24">
      <c r="A1479">
        <f>HYPERLINK("https://www.philgeps.gov.ph/GEPSNONPILOT/Tender/SplashBidNoticeAbstractUI.aspx?menuIndex=3&amp;refID=7150854&amp;Result=3","7150854")</f>
        <v>0</v>
      </c>
      <c r="B1479" t="s">
        <v>739</v>
      </c>
      <c r="C1479" t="s">
        <v>5173</v>
      </c>
      <c r="D1479" t="s">
        <v>17972</v>
      </c>
      <c r="E1479" t="s">
        <v>19417</v>
      </c>
      <c r="F1479" t="s">
        <v>30900</v>
      </c>
      <c r="G1479" t="s">
        <v>30909</v>
      </c>
      <c r="H1479" t="s">
        <v>30916</v>
      </c>
      <c r="I1479" t="s">
        <v>4108</v>
      </c>
      <c r="J1479" t="s">
        <v>32170</v>
      </c>
      <c r="K1479" t="s">
        <v>40286</v>
      </c>
      <c r="L1479" t="s">
        <v>739</v>
      </c>
      <c r="M1479" t="s">
        <v>41303</v>
      </c>
      <c r="N1479" t="s">
        <v>44759</v>
      </c>
      <c r="O1479" t="s">
        <v>44760</v>
      </c>
      <c r="P1479">
        <v>0</v>
      </c>
      <c r="Q1479">
        <v>1</v>
      </c>
      <c r="R1479" t="s">
        <v>44762</v>
      </c>
      <c r="S1479" t="s">
        <v>44863</v>
      </c>
      <c r="T1479" t="s">
        <v>46534</v>
      </c>
      <c r="U1479" t="s">
        <v>48238</v>
      </c>
      <c r="V1479" t="s">
        <v>59291</v>
      </c>
      <c r="W1479" t="s">
        <v>41303</v>
      </c>
      <c r="X1479" t="s">
        <v>44763</v>
      </c>
    </row>
    <row r="1480" spans="1:24">
      <c r="A1480">
        <f>HYPERLINK("https://www.philgeps.gov.ph/GEPSNONPILOT/Tender/SplashBidNoticeAbstractUI.aspx?menuIndex=3&amp;refID=7150836&amp;Result=3","7150836")</f>
        <v>0</v>
      </c>
      <c r="B1480" t="s">
        <v>740</v>
      </c>
      <c r="C1480" t="s">
        <v>5174</v>
      </c>
      <c r="D1480" t="s">
        <v>17974</v>
      </c>
      <c r="E1480" t="s">
        <v>19418</v>
      </c>
      <c r="F1480" t="s">
        <v>30900</v>
      </c>
      <c r="G1480" t="s">
        <v>30907</v>
      </c>
      <c r="H1480" t="s">
        <v>30916</v>
      </c>
      <c r="I1480" t="s">
        <v>30933</v>
      </c>
      <c r="J1480" t="s">
        <v>32110</v>
      </c>
      <c r="K1480" t="s">
        <v>40286</v>
      </c>
      <c r="M1480" t="s">
        <v>41304</v>
      </c>
      <c r="N1480" t="s">
        <v>44759</v>
      </c>
      <c r="O1480" t="s">
        <v>44760</v>
      </c>
      <c r="P1480">
        <v>0</v>
      </c>
      <c r="Q1480">
        <v>3</v>
      </c>
      <c r="R1480" t="s">
        <v>44762</v>
      </c>
      <c r="S1480" t="s">
        <v>44863</v>
      </c>
      <c r="T1480" t="s">
        <v>46350</v>
      </c>
      <c r="U1480" t="s">
        <v>48239</v>
      </c>
      <c r="W1480" t="s">
        <v>41304</v>
      </c>
      <c r="X1480" t="s">
        <v>44763</v>
      </c>
    </row>
    <row r="1481" spans="1:24">
      <c r="A1481">
        <f>HYPERLINK("https://www.philgeps.gov.ph/GEPSNONPILOT/Tender/SplashBidNoticeAbstractUI.aspx?menuIndex=3&amp;refID=7150853&amp;Result=3","7150853")</f>
        <v>0</v>
      </c>
      <c r="B1481" t="s">
        <v>741</v>
      </c>
      <c r="C1481" t="s">
        <v>5175</v>
      </c>
      <c r="D1481" t="s">
        <v>17994</v>
      </c>
      <c r="E1481" t="s">
        <v>19419</v>
      </c>
      <c r="F1481" t="s">
        <v>30900</v>
      </c>
      <c r="G1481" t="s">
        <v>30908</v>
      </c>
      <c r="H1481" t="s">
        <v>30916</v>
      </c>
      <c r="I1481" t="s">
        <v>6834</v>
      </c>
      <c r="J1481" t="s">
        <v>31522</v>
      </c>
      <c r="K1481" t="s">
        <v>40287</v>
      </c>
      <c r="M1481" t="s">
        <v>41305</v>
      </c>
      <c r="N1481" t="s">
        <v>44759</v>
      </c>
      <c r="O1481" t="s">
        <v>44760</v>
      </c>
      <c r="P1481">
        <v>0</v>
      </c>
      <c r="Q1481">
        <v>1</v>
      </c>
      <c r="R1481" t="s">
        <v>44762</v>
      </c>
      <c r="S1481" t="s">
        <v>44863</v>
      </c>
      <c r="T1481" t="s">
        <v>46440</v>
      </c>
      <c r="U1481" t="s">
        <v>48240</v>
      </c>
      <c r="V1481" t="s">
        <v>59200</v>
      </c>
      <c r="W1481" t="s">
        <v>41305</v>
      </c>
      <c r="X1481" t="s">
        <v>44763</v>
      </c>
    </row>
    <row r="1482" spans="1:24">
      <c r="A1482">
        <f>HYPERLINK("https://www.philgeps.gov.ph/GEPSNONPILOT/Tender/SplashBidNoticeAbstractUI.aspx?menuIndex=3&amp;refID=7150852&amp;Result=3","7150852")</f>
        <v>0</v>
      </c>
      <c r="B1482" t="s">
        <v>732</v>
      </c>
      <c r="C1482" t="s">
        <v>5176</v>
      </c>
      <c r="D1482" t="s">
        <v>17963</v>
      </c>
      <c r="E1482" t="s">
        <v>19420</v>
      </c>
      <c r="F1482" t="s">
        <v>30900</v>
      </c>
      <c r="G1482" t="s">
        <v>30908</v>
      </c>
      <c r="H1482" t="s">
        <v>30916</v>
      </c>
      <c r="I1482" t="s">
        <v>30921</v>
      </c>
      <c r="J1482" t="s">
        <v>32171</v>
      </c>
      <c r="K1482" t="s">
        <v>40289</v>
      </c>
      <c r="M1482" t="s">
        <v>41296</v>
      </c>
      <c r="N1482" t="s">
        <v>44759</v>
      </c>
      <c r="O1482" t="s">
        <v>44760</v>
      </c>
      <c r="P1482">
        <v>0</v>
      </c>
      <c r="Q1482">
        <v>0</v>
      </c>
      <c r="R1482" t="s">
        <v>44762</v>
      </c>
      <c r="S1482" t="s">
        <v>44863</v>
      </c>
      <c r="T1482" t="s">
        <v>46379</v>
      </c>
      <c r="U1482" t="s">
        <v>48241</v>
      </c>
      <c r="W1482" t="s">
        <v>41296</v>
      </c>
      <c r="X1482" t="s">
        <v>44763</v>
      </c>
    </row>
    <row r="1483" spans="1:24">
      <c r="A1483">
        <f>HYPERLINK("https://www.philgeps.gov.ph/GEPSNONPILOT/Tender/SplashBidNoticeAbstractUI.aspx?menuIndex=3&amp;refID=7150847&amp;Result=3","7150847")</f>
        <v>0</v>
      </c>
      <c r="B1483" t="s">
        <v>742</v>
      </c>
      <c r="C1483" t="s">
        <v>5177</v>
      </c>
      <c r="D1483" t="s">
        <v>18023</v>
      </c>
      <c r="E1483" t="s">
        <v>19421</v>
      </c>
      <c r="F1483" t="s">
        <v>30900</v>
      </c>
      <c r="G1483" t="s">
        <v>30909</v>
      </c>
      <c r="H1483" t="s">
        <v>30916</v>
      </c>
      <c r="I1483" t="s">
        <v>6396</v>
      </c>
      <c r="J1483" t="s">
        <v>31441</v>
      </c>
      <c r="K1483" t="s">
        <v>40285</v>
      </c>
      <c r="L1483" t="s">
        <v>742</v>
      </c>
      <c r="M1483" t="s">
        <v>41306</v>
      </c>
      <c r="N1483" t="s">
        <v>44759</v>
      </c>
      <c r="O1483" t="s">
        <v>44760</v>
      </c>
      <c r="P1483">
        <v>0</v>
      </c>
      <c r="Q1483">
        <v>2</v>
      </c>
      <c r="R1483" t="s">
        <v>44762</v>
      </c>
      <c r="S1483" t="s">
        <v>44863</v>
      </c>
      <c r="T1483" t="s">
        <v>46414</v>
      </c>
      <c r="U1483" t="s">
        <v>48242</v>
      </c>
      <c r="W1483" t="s">
        <v>41306</v>
      </c>
      <c r="X1483" t="s">
        <v>44763</v>
      </c>
    </row>
    <row r="1484" spans="1:24">
      <c r="A1484">
        <f>HYPERLINK("https://www.philgeps.gov.ph/GEPSNONPILOT/Tender/SplashBidNoticeAbstractUI.aspx?menuIndex=3&amp;refID=7150787&amp;Result=3","7150787")</f>
        <v>0</v>
      </c>
      <c r="B1484" t="s">
        <v>743</v>
      </c>
      <c r="C1484" t="s">
        <v>5178</v>
      </c>
      <c r="D1484" t="s">
        <v>18013</v>
      </c>
      <c r="E1484" t="s">
        <v>19422</v>
      </c>
      <c r="F1484" t="s">
        <v>30900</v>
      </c>
      <c r="G1484" t="s">
        <v>30907</v>
      </c>
      <c r="H1484" t="s">
        <v>30916</v>
      </c>
      <c r="I1484" t="s">
        <v>8123</v>
      </c>
      <c r="J1484" t="s">
        <v>32172</v>
      </c>
      <c r="K1484" t="s">
        <v>40286</v>
      </c>
      <c r="M1484" t="s">
        <v>41307</v>
      </c>
      <c r="N1484" t="s">
        <v>44759</v>
      </c>
      <c r="O1484" t="s">
        <v>44760</v>
      </c>
      <c r="P1484">
        <v>0</v>
      </c>
      <c r="Q1484">
        <v>0</v>
      </c>
      <c r="R1484" t="s">
        <v>44762</v>
      </c>
      <c r="S1484" t="s">
        <v>44863</v>
      </c>
      <c r="T1484" t="s">
        <v>46495</v>
      </c>
      <c r="U1484" t="s">
        <v>48243</v>
      </c>
      <c r="W1484" t="s">
        <v>41307</v>
      </c>
      <c r="X1484" t="s">
        <v>44763</v>
      </c>
    </row>
    <row r="1485" spans="1:24">
      <c r="A1485">
        <f>HYPERLINK("https://www.philgeps.gov.ph/GEPSNONPILOT/Tender/SplashBidNoticeAbstractUI.aspx?menuIndex=3&amp;refID=7150813&amp;Result=3","7150813")</f>
        <v>0</v>
      </c>
      <c r="B1485" t="s">
        <v>744</v>
      </c>
      <c r="C1485" t="s">
        <v>5179</v>
      </c>
      <c r="D1485" t="s">
        <v>18006</v>
      </c>
      <c r="E1485" t="s">
        <v>19423</v>
      </c>
      <c r="F1485" t="s">
        <v>30900</v>
      </c>
      <c r="G1485" t="s">
        <v>30909</v>
      </c>
      <c r="H1485" t="s">
        <v>30916</v>
      </c>
      <c r="I1485" t="s">
        <v>6746</v>
      </c>
      <c r="J1485" t="s">
        <v>32173</v>
      </c>
      <c r="K1485" t="s">
        <v>40281</v>
      </c>
      <c r="M1485" t="s">
        <v>41308</v>
      </c>
      <c r="N1485" t="s">
        <v>44759</v>
      </c>
      <c r="O1485" t="s">
        <v>44760</v>
      </c>
      <c r="P1485">
        <v>0</v>
      </c>
      <c r="Q1485">
        <v>0</v>
      </c>
      <c r="R1485" t="s">
        <v>44762</v>
      </c>
      <c r="S1485" t="s">
        <v>44863</v>
      </c>
      <c r="T1485" t="s">
        <v>46390</v>
      </c>
      <c r="U1485" t="s">
        <v>48244</v>
      </c>
      <c r="W1485" t="s">
        <v>41308</v>
      </c>
      <c r="X1485" t="s">
        <v>44763</v>
      </c>
    </row>
    <row r="1486" spans="1:24">
      <c r="A1486">
        <f>HYPERLINK("https://www.philgeps.gov.ph/GEPSNONPILOT/Tender/SplashBidNoticeAbstractUI.aspx?menuIndex=3&amp;refID=7150859&amp;Result=3","7150859")</f>
        <v>0</v>
      </c>
      <c r="B1486" t="s">
        <v>745</v>
      </c>
      <c r="C1486" t="s">
        <v>5180</v>
      </c>
      <c r="D1486" t="s">
        <v>17970</v>
      </c>
      <c r="E1486" t="s">
        <v>19424</v>
      </c>
      <c r="F1486" t="s">
        <v>30900</v>
      </c>
      <c r="G1486" t="s">
        <v>30907</v>
      </c>
      <c r="H1486" t="s">
        <v>30916</v>
      </c>
      <c r="I1486" t="s">
        <v>4142</v>
      </c>
      <c r="J1486" t="s">
        <v>32174</v>
      </c>
      <c r="K1486" t="s">
        <v>40289</v>
      </c>
      <c r="M1486" t="s">
        <v>41309</v>
      </c>
      <c r="N1486" t="s">
        <v>44759</v>
      </c>
      <c r="O1486" t="s">
        <v>44760</v>
      </c>
      <c r="P1486">
        <v>0</v>
      </c>
      <c r="Q1486">
        <v>1</v>
      </c>
      <c r="R1486" t="s">
        <v>44762</v>
      </c>
      <c r="S1486" t="s">
        <v>44863</v>
      </c>
      <c r="T1486" t="s">
        <v>46389</v>
      </c>
      <c r="U1486" t="s">
        <v>48245</v>
      </c>
      <c r="W1486" t="s">
        <v>41309</v>
      </c>
      <c r="X1486" t="s">
        <v>44763</v>
      </c>
    </row>
    <row r="1487" spans="1:24">
      <c r="A1487">
        <f>HYPERLINK("https://www.philgeps.gov.ph/GEPSNONPILOT/Tender/SplashBidNoticeAbstractUI.aspx?menuIndex=3&amp;refID=7150858&amp;Result=3","7150858")</f>
        <v>0</v>
      </c>
      <c r="B1487" t="s">
        <v>746</v>
      </c>
      <c r="C1487" t="s">
        <v>5181</v>
      </c>
      <c r="D1487" t="s">
        <v>17959</v>
      </c>
      <c r="E1487" t="s">
        <v>18544</v>
      </c>
      <c r="F1487" t="s">
        <v>30900</v>
      </c>
      <c r="G1487" t="s">
        <v>30909</v>
      </c>
      <c r="H1487" t="s">
        <v>30916</v>
      </c>
      <c r="I1487" t="s">
        <v>30977</v>
      </c>
      <c r="J1487" t="s">
        <v>32175</v>
      </c>
      <c r="K1487" t="s">
        <v>40289</v>
      </c>
      <c r="M1487" t="s">
        <v>41310</v>
      </c>
      <c r="N1487" t="s">
        <v>44759</v>
      </c>
      <c r="O1487" t="s">
        <v>44760</v>
      </c>
      <c r="P1487">
        <v>0</v>
      </c>
      <c r="Q1487">
        <v>3</v>
      </c>
      <c r="R1487" t="s">
        <v>44762</v>
      </c>
      <c r="S1487" t="s">
        <v>44863</v>
      </c>
      <c r="T1487" t="s">
        <v>46376</v>
      </c>
      <c r="U1487" t="s">
        <v>48246</v>
      </c>
      <c r="W1487" t="s">
        <v>41310</v>
      </c>
      <c r="X1487" t="s">
        <v>44763</v>
      </c>
    </row>
    <row r="1488" spans="1:24">
      <c r="A1488">
        <f>HYPERLINK("https://www.philgeps.gov.ph/GEPSNONPILOT/Tender/SplashBidNoticeAbstractUI.aspx?menuIndex=3&amp;refID=7150856&amp;Result=3","7150856")</f>
        <v>0</v>
      </c>
      <c r="B1488" t="s">
        <v>747</v>
      </c>
      <c r="C1488" t="s">
        <v>5182</v>
      </c>
      <c r="D1488" t="s">
        <v>18021</v>
      </c>
      <c r="E1488" t="s">
        <v>19425</v>
      </c>
      <c r="F1488" t="s">
        <v>30900</v>
      </c>
      <c r="G1488" t="s">
        <v>30907</v>
      </c>
      <c r="H1488" t="s">
        <v>30915</v>
      </c>
      <c r="I1488" t="s">
        <v>30919</v>
      </c>
      <c r="J1488" t="s">
        <v>31243</v>
      </c>
      <c r="K1488" t="s">
        <v>40302</v>
      </c>
      <c r="M1488" t="s">
        <v>41311</v>
      </c>
      <c r="N1488" t="s">
        <v>44759</v>
      </c>
      <c r="O1488" t="s">
        <v>44760</v>
      </c>
      <c r="P1488">
        <v>0</v>
      </c>
      <c r="Q1488">
        <v>0</v>
      </c>
      <c r="R1488" t="s">
        <v>44762</v>
      </c>
      <c r="S1488" t="s">
        <v>44863</v>
      </c>
      <c r="T1488" t="s">
        <v>46349</v>
      </c>
      <c r="U1488" t="s">
        <v>48247</v>
      </c>
      <c r="V1488" t="s">
        <v>59292</v>
      </c>
      <c r="W1488" t="s">
        <v>41311</v>
      </c>
      <c r="X1488" t="s">
        <v>44763</v>
      </c>
    </row>
    <row r="1489" spans="1:24">
      <c r="A1489">
        <f>HYPERLINK("https://www.philgeps.gov.ph/GEPSNONPILOT/Tender/SplashBidNoticeAbstractUI.aspx?menuIndex=3&amp;refID=7150845&amp;Result=3","7150845")</f>
        <v>0</v>
      </c>
      <c r="B1489" t="s">
        <v>748</v>
      </c>
      <c r="C1489" t="s">
        <v>5183</v>
      </c>
      <c r="D1489" t="s">
        <v>18019</v>
      </c>
      <c r="E1489" t="s">
        <v>19426</v>
      </c>
      <c r="F1489" t="s">
        <v>30900</v>
      </c>
      <c r="G1489" t="s">
        <v>30908</v>
      </c>
      <c r="H1489" t="s">
        <v>30916</v>
      </c>
      <c r="I1489" t="s">
        <v>4545</v>
      </c>
      <c r="J1489" t="s">
        <v>32176</v>
      </c>
      <c r="K1489" t="s">
        <v>40283</v>
      </c>
      <c r="M1489" t="s">
        <v>41312</v>
      </c>
      <c r="N1489" t="s">
        <v>44759</v>
      </c>
      <c r="O1489" t="s">
        <v>44760</v>
      </c>
      <c r="P1489">
        <v>0</v>
      </c>
      <c r="Q1489">
        <v>1</v>
      </c>
      <c r="R1489" t="s">
        <v>44762</v>
      </c>
      <c r="S1489" t="s">
        <v>44863</v>
      </c>
      <c r="T1489" t="s">
        <v>46535</v>
      </c>
      <c r="U1489" t="s">
        <v>48248</v>
      </c>
      <c r="W1489" t="s">
        <v>41312</v>
      </c>
      <c r="X1489" t="s">
        <v>44763</v>
      </c>
    </row>
    <row r="1490" spans="1:24">
      <c r="A1490">
        <f>HYPERLINK("https://www.philgeps.gov.ph/GEPSNONPILOT/Tender/SplashBidNoticeAbstractUI.aspx?menuIndex=3&amp;refID=7150843&amp;Result=3","7150843")</f>
        <v>0</v>
      </c>
      <c r="B1490" t="s">
        <v>725</v>
      </c>
      <c r="C1490" t="s">
        <v>5184</v>
      </c>
      <c r="D1490" t="s">
        <v>18004</v>
      </c>
      <c r="E1490" t="s">
        <v>19427</v>
      </c>
      <c r="F1490" t="s">
        <v>30900</v>
      </c>
      <c r="G1490" t="s">
        <v>30907</v>
      </c>
      <c r="H1490" t="s">
        <v>30916</v>
      </c>
      <c r="I1490" t="s">
        <v>30921</v>
      </c>
      <c r="J1490" t="s">
        <v>32177</v>
      </c>
      <c r="K1490" t="s">
        <v>40284</v>
      </c>
      <c r="M1490" t="s">
        <v>41289</v>
      </c>
      <c r="N1490" t="s">
        <v>44759</v>
      </c>
      <c r="O1490" t="s">
        <v>44760</v>
      </c>
      <c r="P1490">
        <v>0</v>
      </c>
      <c r="Q1490">
        <v>0</v>
      </c>
      <c r="R1490" t="s">
        <v>44762</v>
      </c>
      <c r="S1490" t="s">
        <v>44863</v>
      </c>
      <c r="T1490" t="s">
        <v>46532</v>
      </c>
      <c r="U1490" t="s">
        <v>48010</v>
      </c>
      <c r="W1490" t="s">
        <v>41289</v>
      </c>
      <c r="X1490" t="s">
        <v>44763</v>
      </c>
    </row>
    <row r="1491" spans="1:24">
      <c r="A1491">
        <f>HYPERLINK("https://www.philgeps.gov.ph/GEPSNONPILOT/Tender/SplashBidNoticeAbstractUI.aspx?menuIndex=3&amp;refID=7150849&amp;Result=3","7150849")</f>
        <v>0</v>
      </c>
      <c r="B1491" t="s">
        <v>710</v>
      </c>
      <c r="C1491" t="s">
        <v>5185</v>
      </c>
      <c r="E1491" t="s">
        <v>19428</v>
      </c>
      <c r="F1491" t="s">
        <v>30900</v>
      </c>
      <c r="G1491" t="s">
        <v>30908</v>
      </c>
      <c r="H1491" t="s">
        <v>30916</v>
      </c>
      <c r="I1491" t="s">
        <v>4142</v>
      </c>
      <c r="J1491" t="s">
        <v>32178</v>
      </c>
      <c r="K1491" t="s">
        <v>40289</v>
      </c>
      <c r="M1491" t="s">
        <v>41274</v>
      </c>
      <c r="N1491" t="s">
        <v>44759</v>
      </c>
      <c r="O1491" t="s">
        <v>44760</v>
      </c>
      <c r="P1491">
        <v>0</v>
      </c>
      <c r="Q1491">
        <v>1</v>
      </c>
      <c r="R1491" t="s">
        <v>44762</v>
      </c>
      <c r="S1491" t="s">
        <v>44863</v>
      </c>
      <c r="T1491" t="s">
        <v>46390</v>
      </c>
      <c r="U1491" t="s">
        <v>48249</v>
      </c>
      <c r="W1491" t="s">
        <v>41274</v>
      </c>
      <c r="X1491" t="s">
        <v>44763</v>
      </c>
    </row>
    <row r="1492" spans="1:24">
      <c r="A1492">
        <f>HYPERLINK("https://www.philgeps.gov.ph/GEPSNONPILOT/Tender/SplashBidNoticeAbstractUI.aspx?menuIndex=3&amp;refID=7150842&amp;Result=3","7150842")</f>
        <v>0</v>
      </c>
      <c r="B1492" t="s">
        <v>544</v>
      </c>
      <c r="C1492" t="s">
        <v>5186</v>
      </c>
      <c r="D1492" t="s">
        <v>17972</v>
      </c>
      <c r="E1492" t="s">
        <v>19056</v>
      </c>
      <c r="F1492" t="s">
        <v>30900</v>
      </c>
      <c r="G1492" t="s">
        <v>30907</v>
      </c>
      <c r="H1492" t="s">
        <v>30916</v>
      </c>
      <c r="I1492" t="s">
        <v>8123</v>
      </c>
      <c r="J1492" t="s">
        <v>32179</v>
      </c>
      <c r="K1492" t="s">
        <v>40287</v>
      </c>
      <c r="M1492" t="s">
        <v>41105</v>
      </c>
      <c r="N1492" t="s">
        <v>44759</v>
      </c>
      <c r="O1492" t="s">
        <v>44760</v>
      </c>
      <c r="P1492">
        <v>0</v>
      </c>
      <c r="Q1492">
        <v>0</v>
      </c>
      <c r="R1492" t="s">
        <v>44762</v>
      </c>
      <c r="S1492" t="s">
        <v>44863</v>
      </c>
      <c r="T1492" t="s">
        <v>46349</v>
      </c>
      <c r="U1492" t="s">
        <v>48250</v>
      </c>
      <c r="V1492" t="s">
        <v>59293</v>
      </c>
      <c r="W1492" t="s">
        <v>41105</v>
      </c>
      <c r="X1492" t="s">
        <v>44763</v>
      </c>
    </row>
    <row r="1493" spans="1:24">
      <c r="A1493">
        <f>HYPERLINK("https://www.philgeps.gov.ph/GEPSNONPILOT/Tender/SplashBidNoticeAbstractUI.aspx?menuIndex=3&amp;refID=7150840&amp;Result=3","7150840")</f>
        <v>0</v>
      </c>
      <c r="B1493" t="s">
        <v>715</v>
      </c>
      <c r="C1493" t="s">
        <v>5187</v>
      </c>
      <c r="D1493" t="s">
        <v>17975</v>
      </c>
      <c r="E1493" t="s">
        <v>19429</v>
      </c>
      <c r="F1493" t="s">
        <v>30900</v>
      </c>
      <c r="G1493" t="s">
        <v>30906</v>
      </c>
      <c r="H1493" t="s">
        <v>30915</v>
      </c>
      <c r="I1493" t="s">
        <v>30919</v>
      </c>
      <c r="J1493" t="s">
        <v>32180</v>
      </c>
      <c r="K1493" t="s">
        <v>40289</v>
      </c>
      <c r="M1493" t="s">
        <v>41279</v>
      </c>
      <c r="N1493" t="s">
        <v>44759</v>
      </c>
      <c r="O1493" t="s">
        <v>44760</v>
      </c>
      <c r="P1493">
        <v>0</v>
      </c>
      <c r="Q1493">
        <v>0</v>
      </c>
      <c r="R1493" t="s">
        <v>44762</v>
      </c>
      <c r="S1493" t="s">
        <v>44863</v>
      </c>
      <c r="T1493" t="s">
        <v>46418</v>
      </c>
      <c r="U1493" t="s">
        <v>48203</v>
      </c>
      <c r="W1493" t="s">
        <v>41279</v>
      </c>
      <c r="X1493" t="s">
        <v>44763</v>
      </c>
    </row>
    <row r="1494" spans="1:24">
      <c r="A1494">
        <f>HYPERLINK("https://www.philgeps.gov.ph/GEPSNONPILOT/Tender/SplashBidNoticeAbstractUI.aspx?menuIndex=3&amp;refID=7150860&amp;Result=3","7150860")</f>
        <v>0</v>
      </c>
      <c r="B1494" t="s">
        <v>749</v>
      </c>
      <c r="C1494" t="s">
        <v>5188</v>
      </c>
      <c r="D1494" t="s">
        <v>17952</v>
      </c>
      <c r="E1494" t="s">
        <v>19430</v>
      </c>
      <c r="F1494" t="s">
        <v>30900</v>
      </c>
      <c r="G1494" t="s">
        <v>30909</v>
      </c>
      <c r="H1494" t="s">
        <v>30916</v>
      </c>
      <c r="I1494" t="s">
        <v>6408</v>
      </c>
      <c r="J1494" t="s">
        <v>32148</v>
      </c>
      <c r="K1494" t="s">
        <v>40288</v>
      </c>
      <c r="M1494" t="s">
        <v>41313</v>
      </c>
      <c r="N1494" t="s">
        <v>44759</v>
      </c>
      <c r="O1494" t="s">
        <v>44760</v>
      </c>
      <c r="P1494">
        <v>0</v>
      </c>
      <c r="Q1494">
        <v>0</v>
      </c>
      <c r="R1494" t="s">
        <v>44762</v>
      </c>
      <c r="S1494" t="s">
        <v>44863</v>
      </c>
      <c r="T1494" t="s">
        <v>46390</v>
      </c>
      <c r="U1494" t="s">
        <v>48251</v>
      </c>
      <c r="W1494" t="s">
        <v>41313</v>
      </c>
      <c r="X1494" t="s">
        <v>44763</v>
      </c>
    </row>
    <row r="1495" spans="1:24">
      <c r="A1495">
        <f>HYPERLINK("https://www.philgeps.gov.ph/GEPSNONPILOT/Tender/SplashBidNoticeAbstractUI.aspx?menuIndex=3&amp;refID=7150839&amp;Result=3","7150839")</f>
        <v>0</v>
      </c>
      <c r="B1495" t="s">
        <v>750</v>
      </c>
      <c r="C1495" t="s">
        <v>5189</v>
      </c>
      <c r="D1495" t="s">
        <v>18019</v>
      </c>
      <c r="E1495" t="s">
        <v>19431</v>
      </c>
      <c r="F1495" t="s">
        <v>30900</v>
      </c>
      <c r="G1495" t="s">
        <v>30908</v>
      </c>
      <c r="H1495" t="s">
        <v>30916</v>
      </c>
      <c r="I1495" t="s">
        <v>4545</v>
      </c>
      <c r="J1495" t="s">
        <v>32181</v>
      </c>
      <c r="K1495" t="s">
        <v>40286</v>
      </c>
      <c r="M1495" t="s">
        <v>41314</v>
      </c>
      <c r="N1495" t="s">
        <v>44759</v>
      </c>
      <c r="O1495" t="s">
        <v>44760</v>
      </c>
      <c r="P1495">
        <v>0</v>
      </c>
      <c r="Q1495">
        <v>2</v>
      </c>
      <c r="R1495" t="s">
        <v>44762</v>
      </c>
      <c r="S1495" t="s">
        <v>44863</v>
      </c>
      <c r="T1495" t="s">
        <v>46536</v>
      </c>
      <c r="U1495" t="s">
        <v>48252</v>
      </c>
      <c r="W1495" t="s">
        <v>41314</v>
      </c>
      <c r="X1495" t="s">
        <v>44763</v>
      </c>
    </row>
    <row r="1496" spans="1:24">
      <c r="A1496">
        <f>HYPERLINK("https://www.philgeps.gov.ph/GEPSNONPILOT/Tender/SplashBidNoticeAbstractUI.aspx?menuIndex=3&amp;refID=7150837&amp;Result=3","7150837")</f>
        <v>0</v>
      </c>
      <c r="B1496" t="s">
        <v>736</v>
      </c>
      <c r="C1496" t="s">
        <v>5190</v>
      </c>
      <c r="D1496" t="s">
        <v>18013</v>
      </c>
      <c r="E1496" t="s">
        <v>19432</v>
      </c>
      <c r="F1496" t="s">
        <v>30900</v>
      </c>
      <c r="G1496" t="s">
        <v>30907</v>
      </c>
      <c r="H1496" t="s">
        <v>30915</v>
      </c>
      <c r="I1496" t="s">
        <v>30919</v>
      </c>
      <c r="J1496" t="s">
        <v>32169</v>
      </c>
      <c r="K1496" t="s">
        <v>40348</v>
      </c>
      <c r="M1496" t="s">
        <v>41300</v>
      </c>
      <c r="N1496" t="s">
        <v>44759</v>
      </c>
      <c r="O1496" t="s">
        <v>44760</v>
      </c>
      <c r="P1496">
        <v>0</v>
      </c>
      <c r="Q1496">
        <v>0</v>
      </c>
      <c r="R1496" t="s">
        <v>44762</v>
      </c>
      <c r="S1496" t="s">
        <v>44863</v>
      </c>
      <c r="T1496" t="s">
        <v>46394</v>
      </c>
      <c r="U1496" t="s">
        <v>48253</v>
      </c>
      <c r="W1496" t="s">
        <v>41300</v>
      </c>
      <c r="X1496" t="s">
        <v>44763</v>
      </c>
    </row>
    <row r="1497" spans="1:24">
      <c r="A1497">
        <f>HYPERLINK("https://www.philgeps.gov.ph/GEPSNONPILOT/Tender/SplashBidNoticeAbstractUI.aspx?menuIndex=3&amp;refID=7150862&amp;Result=3","7150862")</f>
        <v>0</v>
      </c>
      <c r="B1497" t="s">
        <v>736</v>
      </c>
      <c r="C1497" t="s">
        <v>5191</v>
      </c>
      <c r="D1497" t="s">
        <v>18013</v>
      </c>
      <c r="E1497" t="s">
        <v>19433</v>
      </c>
      <c r="F1497" t="s">
        <v>30900</v>
      </c>
      <c r="G1497" t="s">
        <v>30907</v>
      </c>
      <c r="H1497" t="s">
        <v>30915</v>
      </c>
      <c r="I1497" t="s">
        <v>30919</v>
      </c>
      <c r="J1497" t="s">
        <v>32169</v>
      </c>
      <c r="K1497" t="s">
        <v>40348</v>
      </c>
      <c r="M1497" t="s">
        <v>41300</v>
      </c>
      <c r="N1497" t="s">
        <v>44759</v>
      </c>
      <c r="O1497" t="s">
        <v>44760</v>
      </c>
      <c r="P1497">
        <v>0</v>
      </c>
      <c r="Q1497">
        <v>0</v>
      </c>
      <c r="R1497" t="s">
        <v>44762</v>
      </c>
      <c r="S1497" t="s">
        <v>44863</v>
      </c>
      <c r="T1497" t="s">
        <v>46394</v>
      </c>
      <c r="U1497" t="s">
        <v>48254</v>
      </c>
      <c r="W1497" t="s">
        <v>41300</v>
      </c>
      <c r="X1497" t="s">
        <v>44763</v>
      </c>
    </row>
    <row r="1498" spans="1:24">
      <c r="A1498">
        <f>HYPERLINK("https://www.philgeps.gov.ph/GEPSNONPILOT/Tender/SplashBidNoticeAbstractUI.aspx?menuIndex=3&amp;refID=7150844&amp;Result=3","7150844")</f>
        <v>0</v>
      </c>
      <c r="B1498" t="s">
        <v>744</v>
      </c>
      <c r="C1498" t="s">
        <v>5192</v>
      </c>
      <c r="D1498" t="s">
        <v>18006</v>
      </c>
      <c r="E1498" t="s">
        <v>19434</v>
      </c>
      <c r="F1498" t="s">
        <v>30900</v>
      </c>
      <c r="G1498" t="s">
        <v>30909</v>
      </c>
      <c r="H1498" t="s">
        <v>30916</v>
      </c>
      <c r="I1498" t="s">
        <v>4108</v>
      </c>
      <c r="J1498" t="s">
        <v>31440</v>
      </c>
      <c r="K1498" t="s">
        <v>40281</v>
      </c>
      <c r="M1498" t="s">
        <v>41308</v>
      </c>
      <c r="N1498" t="s">
        <v>44759</v>
      </c>
      <c r="O1498" t="s">
        <v>44760</v>
      </c>
      <c r="P1498">
        <v>0</v>
      </c>
      <c r="Q1498">
        <v>1</v>
      </c>
      <c r="R1498" t="s">
        <v>44762</v>
      </c>
      <c r="S1498" t="s">
        <v>44863</v>
      </c>
      <c r="T1498" t="s">
        <v>46390</v>
      </c>
      <c r="U1498" t="s">
        <v>48255</v>
      </c>
      <c r="W1498" t="s">
        <v>41308</v>
      </c>
      <c r="X1498" t="s">
        <v>44763</v>
      </c>
    </row>
    <row r="1499" spans="1:24">
      <c r="A1499">
        <f>HYPERLINK("https://www.philgeps.gov.ph/GEPSNONPILOT/Tender/SplashBidNoticeAbstractUI.aspx?menuIndex=3&amp;refID=7150817&amp;Result=3","7150817")</f>
        <v>0</v>
      </c>
      <c r="B1499" t="s">
        <v>751</v>
      </c>
      <c r="C1499" t="s">
        <v>5193</v>
      </c>
      <c r="D1499" t="s">
        <v>18005</v>
      </c>
      <c r="E1499" t="s">
        <v>19435</v>
      </c>
      <c r="F1499" t="s">
        <v>30900</v>
      </c>
      <c r="G1499" t="s">
        <v>30907</v>
      </c>
      <c r="H1499" t="s">
        <v>30915</v>
      </c>
      <c r="I1499" t="s">
        <v>30919</v>
      </c>
      <c r="J1499" t="s">
        <v>32182</v>
      </c>
      <c r="K1499" t="s">
        <v>40292</v>
      </c>
      <c r="M1499" t="s">
        <v>41315</v>
      </c>
      <c r="N1499" t="s">
        <v>44759</v>
      </c>
      <c r="O1499" t="s">
        <v>44760</v>
      </c>
      <c r="P1499">
        <v>0</v>
      </c>
      <c r="Q1499">
        <v>0</v>
      </c>
      <c r="R1499" t="s">
        <v>44762</v>
      </c>
      <c r="S1499" t="s">
        <v>44863</v>
      </c>
      <c r="T1499" t="s">
        <v>46377</v>
      </c>
      <c r="U1499" t="s">
        <v>48256</v>
      </c>
      <c r="V1499" t="s">
        <v>59294</v>
      </c>
      <c r="W1499" t="s">
        <v>60836</v>
      </c>
      <c r="X1499" t="s">
        <v>44763</v>
      </c>
    </row>
    <row r="1500" spans="1:24">
      <c r="A1500">
        <f>HYPERLINK("https://www.philgeps.gov.ph/GEPSNONPILOT/Tender/SplashBidNoticeAbstractUI.aspx?menuIndex=3&amp;refID=7150883&amp;Result=3","7150883")</f>
        <v>0</v>
      </c>
      <c r="B1500" t="s">
        <v>752</v>
      </c>
      <c r="C1500" t="s">
        <v>5194</v>
      </c>
      <c r="D1500" t="s">
        <v>17980</v>
      </c>
      <c r="E1500" t="s">
        <v>19436</v>
      </c>
      <c r="F1500" t="s">
        <v>30900</v>
      </c>
      <c r="G1500" t="s">
        <v>30908</v>
      </c>
      <c r="H1500" t="s">
        <v>30916</v>
      </c>
      <c r="I1500" t="s">
        <v>30924</v>
      </c>
      <c r="J1500" t="s">
        <v>31049</v>
      </c>
      <c r="K1500" t="s">
        <v>40287</v>
      </c>
      <c r="M1500" t="s">
        <v>41316</v>
      </c>
      <c r="N1500" t="s">
        <v>44759</v>
      </c>
      <c r="O1500" t="s">
        <v>44760</v>
      </c>
      <c r="P1500">
        <v>0</v>
      </c>
      <c r="Q1500">
        <v>0</v>
      </c>
      <c r="R1500" t="s">
        <v>44762</v>
      </c>
      <c r="S1500" t="s">
        <v>44863</v>
      </c>
      <c r="T1500" t="s">
        <v>46457</v>
      </c>
      <c r="U1500" t="s">
        <v>48257</v>
      </c>
      <c r="W1500" t="s">
        <v>41316</v>
      </c>
      <c r="X1500" t="s">
        <v>44763</v>
      </c>
    </row>
    <row r="1501" spans="1:24">
      <c r="A1501">
        <f>HYPERLINK("https://www.philgeps.gov.ph/GEPSNONPILOT/Tender/SplashBidNoticeAbstractUI.aspx?menuIndex=3&amp;refID=7150881&amp;Result=3","7150881")</f>
        <v>0</v>
      </c>
      <c r="B1501" t="s">
        <v>110</v>
      </c>
      <c r="C1501" t="s">
        <v>5195</v>
      </c>
      <c r="D1501" t="s">
        <v>17996</v>
      </c>
      <c r="E1501" t="s">
        <v>19437</v>
      </c>
      <c r="F1501" t="s">
        <v>30900</v>
      </c>
      <c r="G1501" t="s">
        <v>30907</v>
      </c>
      <c r="H1501" t="s">
        <v>30916</v>
      </c>
      <c r="I1501" t="s">
        <v>30924</v>
      </c>
      <c r="J1501" t="s">
        <v>32183</v>
      </c>
      <c r="K1501" t="s">
        <v>40286</v>
      </c>
      <c r="M1501" t="s">
        <v>40657</v>
      </c>
      <c r="N1501" t="s">
        <v>44759</v>
      </c>
      <c r="O1501" t="s">
        <v>44760</v>
      </c>
      <c r="P1501">
        <v>0</v>
      </c>
      <c r="Q1501">
        <v>6</v>
      </c>
      <c r="R1501" t="s">
        <v>44762</v>
      </c>
      <c r="S1501" t="s">
        <v>44863</v>
      </c>
      <c r="T1501" t="s">
        <v>46537</v>
      </c>
      <c r="U1501" t="s">
        <v>48258</v>
      </c>
      <c r="W1501" t="s">
        <v>40657</v>
      </c>
      <c r="X1501" t="s">
        <v>44763</v>
      </c>
    </row>
    <row r="1502" spans="1:24">
      <c r="A1502">
        <f>HYPERLINK("https://www.philgeps.gov.ph/GEPSNONPILOT/Tender/SplashBidNoticeAbstractUI.aspx?menuIndex=3&amp;refID=7150841&amp;Result=3","7150841")</f>
        <v>0</v>
      </c>
      <c r="B1502" t="s">
        <v>753</v>
      </c>
      <c r="C1502" t="s">
        <v>5196</v>
      </c>
      <c r="D1502" t="s">
        <v>17976</v>
      </c>
      <c r="E1502" t="s">
        <v>19438</v>
      </c>
      <c r="F1502" t="s">
        <v>30900</v>
      </c>
      <c r="G1502" t="s">
        <v>30907</v>
      </c>
      <c r="H1502" t="s">
        <v>30916</v>
      </c>
      <c r="I1502" t="s">
        <v>30921</v>
      </c>
      <c r="J1502" t="s">
        <v>31355</v>
      </c>
      <c r="K1502" t="s">
        <v>40286</v>
      </c>
      <c r="L1502" t="s">
        <v>753</v>
      </c>
      <c r="M1502" t="s">
        <v>41317</v>
      </c>
      <c r="N1502" t="s">
        <v>44759</v>
      </c>
      <c r="O1502" t="s">
        <v>44760</v>
      </c>
      <c r="P1502">
        <v>0</v>
      </c>
      <c r="Q1502">
        <v>1</v>
      </c>
      <c r="R1502" t="s">
        <v>44762</v>
      </c>
      <c r="S1502" t="s">
        <v>44863</v>
      </c>
      <c r="T1502" t="s">
        <v>46389</v>
      </c>
      <c r="U1502" t="s">
        <v>48259</v>
      </c>
      <c r="V1502" t="s">
        <v>59295</v>
      </c>
      <c r="W1502" t="s">
        <v>41317</v>
      </c>
      <c r="X1502" t="s">
        <v>44763</v>
      </c>
    </row>
    <row r="1503" spans="1:24">
      <c r="A1503">
        <f>HYPERLINK("https://www.philgeps.gov.ph/GEPSNONPILOT/Tender/SplashBidNoticeAbstractUI.aspx?menuIndex=3&amp;refID=7150879&amp;Result=3","7150879")</f>
        <v>0</v>
      </c>
      <c r="B1503" t="s">
        <v>754</v>
      </c>
      <c r="C1503" t="s">
        <v>5197</v>
      </c>
      <c r="D1503" t="s">
        <v>17961</v>
      </c>
      <c r="E1503" t="s">
        <v>19439</v>
      </c>
      <c r="F1503" t="s">
        <v>30900</v>
      </c>
      <c r="G1503" t="s">
        <v>30908</v>
      </c>
      <c r="H1503" t="s">
        <v>30916</v>
      </c>
      <c r="I1503" t="s">
        <v>4017</v>
      </c>
      <c r="J1503" t="s">
        <v>32184</v>
      </c>
      <c r="K1503" t="s">
        <v>40289</v>
      </c>
      <c r="M1503" t="s">
        <v>41318</v>
      </c>
      <c r="N1503" t="s">
        <v>44759</v>
      </c>
      <c r="O1503" t="s">
        <v>44760</v>
      </c>
      <c r="P1503">
        <v>0</v>
      </c>
      <c r="Q1503">
        <v>2</v>
      </c>
      <c r="R1503" t="s">
        <v>44762</v>
      </c>
      <c r="S1503" t="s">
        <v>44863</v>
      </c>
      <c r="T1503" t="s">
        <v>46538</v>
      </c>
      <c r="U1503" t="s">
        <v>48260</v>
      </c>
      <c r="W1503" t="s">
        <v>41318</v>
      </c>
      <c r="X1503" t="s">
        <v>44763</v>
      </c>
    </row>
    <row r="1504" spans="1:24">
      <c r="A1504">
        <f>HYPERLINK("https://www.philgeps.gov.ph/GEPSNONPILOT/Tender/SplashBidNoticeAbstractUI.aspx?menuIndex=3&amp;refID=7150878&amp;Result=3","7150878")</f>
        <v>0</v>
      </c>
      <c r="B1504" t="s">
        <v>755</v>
      </c>
      <c r="C1504" t="s">
        <v>5198</v>
      </c>
      <c r="D1504" t="s">
        <v>17964</v>
      </c>
      <c r="E1504" t="s">
        <v>19440</v>
      </c>
      <c r="F1504" t="s">
        <v>30900</v>
      </c>
      <c r="G1504" t="s">
        <v>30908</v>
      </c>
      <c r="H1504" t="s">
        <v>30916</v>
      </c>
      <c r="I1504" t="s">
        <v>10847</v>
      </c>
      <c r="J1504" t="s">
        <v>31048</v>
      </c>
      <c r="K1504" t="s">
        <v>40287</v>
      </c>
      <c r="M1504" t="s">
        <v>41319</v>
      </c>
      <c r="N1504" t="s">
        <v>44759</v>
      </c>
      <c r="O1504" t="s">
        <v>44760</v>
      </c>
      <c r="P1504">
        <v>0</v>
      </c>
      <c r="Q1504">
        <v>0</v>
      </c>
      <c r="R1504" t="s">
        <v>44762</v>
      </c>
      <c r="S1504" t="s">
        <v>44863</v>
      </c>
      <c r="T1504" t="s">
        <v>46369</v>
      </c>
      <c r="U1504" t="s">
        <v>48261</v>
      </c>
      <c r="W1504" t="s">
        <v>41319</v>
      </c>
      <c r="X1504" t="s">
        <v>44763</v>
      </c>
    </row>
    <row r="1505" spans="1:24">
      <c r="A1505">
        <f>HYPERLINK("https://www.philgeps.gov.ph/GEPSNONPILOT/Tender/SplashBidNoticeAbstractUI.aspx?menuIndex=3&amp;refID=7150876&amp;Result=3","7150876")</f>
        <v>0</v>
      </c>
      <c r="B1505" t="s">
        <v>194</v>
      </c>
      <c r="C1505" t="s">
        <v>5199</v>
      </c>
      <c r="D1505" t="s">
        <v>17959</v>
      </c>
      <c r="E1505" t="s">
        <v>19441</v>
      </c>
      <c r="F1505" t="s">
        <v>30900</v>
      </c>
      <c r="G1505" t="s">
        <v>30908</v>
      </c>
      <c r="H1505" t="s">
        <v>30916</v>
      </c>
      <c r="I1505" t="s">
        <v>30921</v>
      </c>
      <c r="J1505" t="s">
        <v>32185</v>
      </c>
      <c r="K1505" t="s">
        <v>40293</v>
      </c>
      <c r="M1505" t="s">
        <v>41320</v>
      </c>
      <c r="N1505" t="s">
        <v>44759</v>
      </c>
      <c r="O1505" t="s">
        <v>44760</v>
      </c>
      <c r="P1505">
        <v>0</v>
      </c>
      <c r="Q1505">
        <v>4</v>
      </c>
      <c r="R1505" t="s">
        <v>44762</v>
      </c>
      <c r="S1505" t="s">
        <v>44863</v>
      </c>
      <c r="T1505" t="s">
        <v>46363</v>
      </c>
      <c r="U1505" t="s">
        <v>48262</v>
      </c>
      <c r="W1505" t="s">
        <v>41320</v>
      </c>
      <c r="X1505" t="s">
        <v>44763</v>
      </c>
    </row>
    <row r="1506" spans="1:24">
      <c r="A1506">
        <f>HYPERLINK("https://www.philgeps.gov.ph/GEPSNONPILOT/Tender/SplashBidNoticeAbstractUI.aspx?menuIndex=3&amp;refID=7150861&amp;Result=3","7150861")</f>
        <v>0</v>
      </c>
      <c r="B1506" t="s">
        <v>725</v>
      </c>
      <c r="C1506" t="s">
        <v>5200</v>
      </c>
      <c r="D1506" t="s">
        <v>18004</v>
      </c>
      <c r="E1506" t="s">
        <v>19442</v>
      </c>
      <c r="F1506" t="s">
        <v>30900</v>
      </c>
      <c r="G1506" t="s">
        <v>30907</v>
      </c>
      <c r="H1506" t="s">
        <v>30916</v>
      </c>
      <c r="I1506" t="s">
        <v>4142</v>
      </c>
      <c r="J1506" t="s">
        <v>32186</v>
      </c>
      <c r="K1506" t="s">
        <v>40284</v>
      </c>
      <c r="M1506" t="s">
        <v>41289</v>
      </c>
      <c r="N1506" t="s">
        <v>44759</v>
      </c>
      <c r="O1506" t="s">
        <v>44760</v>
      </c>
      <c r="P1506">
        <v>0</v>
      </c>
      <c r="Q1506">
        <v>0</v>
      </c>
      <c r="R1506" t="s">
        <v>44762</v>
      </c>
      <c r="S1506" t="s">
        <v>44863</v>
      </c>
      <c r="T1506" t="s">
        <v>46532</v>
      </c>
      <c r="U1506" t="s">
        <v>48263</v>
      </c>
      <c r="W1506" t="s">
        <v>41289</v>
      </c>
      <c r="X1506" t="s">
        <v>44763</v>
      </c>
    </row>
    <row r="1507" spans="1:24">
      <c r="A1507">
        <f>HYPERLINK("https://www.philgeps.gov.ph/GEPSNONPILOT/Tender/SplashBidNoticeAbstractUI.aspx?menuIndex=3&amp;refID=7150875&amp;Result=3","7150875")</f>
        <v>0</v>
      </c>
      <c r="B1507" t="s">
        <v>718</v>
      </c>
      <c r="C1507" t="s">
        <v>5201</v>
      </c>
      <c r="D1507" t="s">
        <v>17980</v>
      </c>
      <c r="E1507" t="s">
        <v>19443</v>
      </c>
      <c r="F1507" t="s">
        <v>30900</v>
      </c>
      <c r="G1507" t="s">
        <v>30907</v>
      </c>
      <c r="H1507" t="s">
        <v>30916</v>
      </c>
      <c r="I1507" t="s">
        <v>30981</v>
      </c>
      <c r="J1507" t="s">
        <v>31096</v>
      </c>
      <c r="K1507" t="s">
        <v>40286</v>
      </c>
      <c r="M1507" t="s">
        <v>41282</v>
      </c>
      <c r="N1507" t="s">
        <v>44759</v>
      </c>
      <c r="O1507" t="s">
        <v>44760</v>
      </c>
      <c r="P1507">
        <v>0</v>
      </c>
      <c r="Q1507">
        <v>0</v>
      </c>
      <c r="R1507" t="s">
        <v>44762</v>
      </c>
      <c r="S1507" t="s">
        <v>44863</v>
      </c>
      <c r="T1507" t="s">
        <v>46362</v>
      </c>
      <c r="U1507" t="s">
        <v>48206</v>
      </c>
      <c r="V1507" t="s">
        <v>59288</v>
      </c>
      <c r="W1507" t="s">
        <v>41282</v>
      </c>
      <c r="X1507" t="s">
        <v>44763</v>
      </c>
    </row>
    <row r="1508" spans="1:24">
      <c r="A1508">
        <f>HYPERLINK("https://www.philgeps.gov.ph/GEPSNONPILOT/Tender/SplashBidNoticeAbstractUI.aspx?menuIndex=3&amp;refID=7150880&amp;Result=3","7150880")</f>
        <v>0</v>
      </c>
      <c r="B1508" t="s">
        <v>756</v>
      </c>
      <c r="C1508" t="s">
        <v>5202</v>
      </c>
      <c r="D1508" t="s">
        <v>17959</v>
      </c>
      <c r="E1508" t="s">
        <v>19444</v>
      </c>
      <c r="F1508" t="s">
        <v>30900</v>
      </c>
      <c r="G1508" t="s">
        <v>30908</v>
      </c>
      <c r="H1508" t="s">
        <v>30917</v>
      </c>
      <c r="I1508" t="s">
        <v>30973</v>
      </c>
      <c r="J1508" t="s">
        <v>31341</v>
      </c>
      <c r="K1508" t="s">
        <v>40349</v>
      </c>
      <c r="M1508" t="s">
        <v>41321</v>
      </c>
      <c r="N1508" t="s">
        <v>44759</v>
      </c>
      <c r="O1508" t="s">
        <v>44760</v>
      </c>
      <c r="P1508">
        <v>0</v>
      </c>
      <c r="Q1508">
        <v>3</v>
      </c>
      <c r="R1508" t="s">
        <v>44762</v>
      </c>
      <c r="S1508" t="s">
        <v>44863</v>
      </c>
      <c r="T1508" t="s">
        <v>46440</v>
      </c>
      <c r="U1508" t="s">
        <v>48264</v>
      </c>
      <c r="V1508" t="s">
        <v>59296</v>
      </c>
      <c r="W1508" t="s">
        <v>41321</v>
      </c>
      <c r="X1508" t="s">
        <v>44763</v>
      </c>
    </row>
    <row r="1509" spans="1:24">
      <c r="A1509">
        <f>HYPERLINK("https://www.philgeps.gov.ph/GEPSNONPILOT/Tender/SplashBidNoticeAbstractUI.aspx?menuIndex=3&amp;refID=7150873&amp;Result=3","7150873")</f>
        <v>0</v>
      </c>
      <c r="B1509" t="s">
        <v>710</v>
      </c>
      <c r="C1509" t="s">
        <v>5203</v>
      </c>
      <c r="E1509" t="s">
        <v>19445</v>
      </c>
      <c r="F1509" t="s">
        <v>30900</v>
      </c>
      <c r="G1509" t="s">
        <v>30908</v>
      </c>
      <c r="H1509" t="s">
        <v>30916</v>
      </c>
      <c r="I1509" t="s">
        <v>30960</v>
      </c>
      <c r="J1509" t="s">
        <v>32187</v>
      </c>
      <c r="K1509" t="s">
        <v>40289</v>
      </c>
      <c r="M1509" t="s">
        <v>41274</v>
      </c>
      <c r="N1509" t="s">
        <v>44759</v>
      </c>
      <c r="O1509" t="s">
        <v>44760</v>
      </c>
      <c r="P1509">
        <v>0</v>
      </c>
      <c r="Q1509">
        <v>0</v>
      </c>
      <c r="R1509" t="s">
        <v>44762</v>
      </c>
      <c r="S1509" t="s">
        <v>44863</v>
      </c>
      <c r="T1509" t="s">
        <v>46390</v>
      </c>
      <c r="U1509" t="s">
        <v>48265</v>
      </c>
      <c r="W1509" t="s">
        <v>41274</v>
      </c>
      <c r="X1509" t="s">
        <v>44763</v>
      </c>
    </row>
    <row r="1510" spans="1:24">
      <c r="A1510">
        <f>HYPERLINK("https://www.philgeps.gov.ph/GEPSNONPILOT/Tender/SplashBidNoticeAbstractUI.aspx?menuIndex=3&amp;refID=7150886&amp;Result=3","7150886")</f>
        <v>0</v>
      </c>
      <c r="B1510" t="s">
        <v>757</v>
      </c>
      <c r="C1510" t="s">
        <v>5204</v>
      </c>
      <c r="D1510" t="s">
        <v>18028</v>
      </c>
      <c r="E1510" t="s">
        <v>19446</v>
      </c>
      <c r="F1510" t="s">
        <v>30900</v>
      </c>
      <c r="G1510" t="s">
        <v>30907</v>
      </c>
      <c r="H1510" t="s">
        <v>30916</v>
      </c>
      <c r="I1510" t="s">
        <v>30951</v>
      </c>
      <c r="J1510" t="s">
        <v>32188</v>
      </c>
      <c r="K1510" t="s">
        <v>40284</v>
      </c>
      <c r="M1510" t="s">
        <v>41322</v>
      </c>
      <c r="N1510" t="s">
        <v>44759</v>
      </c>
      <c r="O1510" t="s">
        <v>44760</v>
      </c>
      <c r="P1510">
        <v>0</v>
      </c>
      <c r="Q1510">
        <v>0</v>
      </c>
      <c r="R1510" t="s">
        <v>44762</v>
      </c>
      <c r="S1510" t="s">
        <v>44863</v>
      </c>
      <c r="T1510" t="s">
        <v>46395</v>
      </c>
      <c r="U1510" t="s">
        <v>48266</v>
      </c>
      <c r="W1510" t="s">
        <v>41322</v>
      </c>
      <c r="X1510" t="s">
        <v>44763</v>
      </c>
    </row>
    <row r="1511" spans="1:24">
      <c r="A1511">
        <f>HYPERLINK("https://www.philgeps.gov.ph/GEPSNONPILOT/Tender/SplashBidNoticeAbstractUI.aspx?menuIndex=3&amp;refID=7150906&amp;Result=3","7150906")</f>
        <v>0</v>
      </c>
      <c r="B1511" t="s">
        <v>758</v>
      </c>
      <c r="C1511" t="s">
        <v>5205</v>
      </c>
      <c r="D1511" t="s">
        <v>17998</v>
      </c>
      <c r="E1511" t="s">
        <v>19447</v>
      </c>
      <c r="F1511" t="s">
        <v>30900</v>
      </c>
      <c r="G1511" t="s">
        <v>30908</v>
      </c>
      <c r="H1511" t="s">
        <v>30916</v>
      </c>
      <c r="I1511" t="s">
        <v>30940</v>
      </c>
      <c r="J1511" t="s">
        <v>32189</v>
      </c>
      <c r="K1511" t="s">
        <v>40289</v>
      </c>
      <c r="M1511" t="s">
        <v>41323</v>
      </c>
      <c r="N1511" t="s">
        <v>44759</v>
      </c>
      <c r="O1511" t="s">
        <v>44760</v>
      </c>
      <c r="P1511">
        <v>0</v>
      </c>
      <c r="Q1511">
        <v>0</v>
      </c>
      <c r="R1511" t="s">
        <v>44762</v>
      </c>
      <c r="S1511" t="s">
        <v>44863</v>
      </c>
      <c r="T1511" t="s">
        <v>46400</v>
      </c>
      <c r="U1511" t="s">
        <v>48267</v>
      </c>
      <c r="W1511" t="s">
        <v>41323</v>
      </c>
      <c r="X1511" t="s">
        <v>44763</v>
      </c>
    </row>
    <row r="1512" spans="1:24">
      <c r="A1512">
        <f>HYPERLINK("https://www.philgeps.gov.ph/GEPSNONPILOT/Tender/SplashBidNoticeAbstractUI.aspx?menuIndex=3&amp;refID=7150905&amp;Result=3","7150905")</f>
        <v>0</v>
      </c>
      <c r="B1512" t="s">
        <v>725</v>
      </c>
      <c r="C1512" t="s">
        <v>5206</v>
      </c>
      <c r="D1512" t="s">
        <v>18004</v>
      </c>
      <c r="E1512" t="s">
        <v>19448</v>
      </c>
      <c r="F1512" t="s">
        <v>30900</v>
      </c>
      <c r="G1512" t="s">
        <v>30907</v>
      </c>
      <c r="H1512" t="s">
        <v>30916</v>
      </c>
      <c r="I1512" t="s">
        <v>5830</v>
      </c>
      <c r="J1512" t="s">
        <v>32190</v>
      </c>
      <c r="K1512" t="s">
        <v>40284</v>
      </c>
      <c r="M1512" t="s">
        <v>41289</v>
      </c>
      <c r="N1512" t="s">
        <v>44759</v>
      </c>
      <c r="O1512" t="s">
        <v>44760</v>
      </c>
      <c r="P1512">
        <v>0</v>
      </c>
      <c r="Q1512">
        <v>0</v>
      </c>
      <c r="R1512" t="s">
        <v>44762</v>
      </c>
      <c r="S1512" t="s">
        <v>44863</v>
      </c>
      <c r="T1512" t="s">
        <v>46532</v>
      </c>
      <c r="U1512" t="s">
        <v>48268</v>
      </c>
      <c r="W1512" t="s">
        <v>41289</v>
      </c>
      <c r="X1512" t="s">
        <v>44763</v>
      </c>
    </row>
    <row r="1513" spans="1:24">
      <c r="A1513">
        <f>HYPERLINK("https://www.philgeps.gov.ph/GEPSNONPILOT/Tender/SplashBidNoticeAbstractUI.aspx?menuIndex=3&amp;refID=7150904&amp;Result=3","7150904")</f>
        <v>0</v>
      </c>
      <c r="B1513" t="s">
        <v>544</v>
      </c>
      <c r="C1513" t="s">
        <v>5207</v>
      </c>
      <c r="D1513" t="s">
        <v>17972</v>
      </c>
      <c r="E1513" t="s">
        <v>19449</v>
      </c>
      <c r="F1513" t="s">
        <v>30900</v>
      </c>
      <c r="G1513" t="s">
        <v>30907</v>
      </c>
      <c r="H1513" t="s">
        <v>30916</v>
      </c>
      <c r="I1513" t="s">
        <v>30923</v>
      </c>
      <c r="J1513" t="s">
        <v>32191</v>
      </c>
      <c r="K1513" t="s">
        <v>40287</v>
      </c>
      <c r="M1513" t="s">
        <v>41105</v>
      </c>
      <c r="N1513" t="s">
        <v>44759</v>
      </c>
      <c r="O1513" t="s">
        <v>44760</v>
      </c>
      <c r="P1513">
        <v>0</v>
      </c>
      <c r="Q1513">
        <v>0</v>
      </c>
      <c r="R1513" t="s">
        <v>44762</v>
      </c>
      <c r="S1513" t="s">
        <v>44863</v>
      </c>
      <c r="T1513" t="s">
        <v>46377</v>
      </c>
      <c r="U1513" t="s">
        <v>48269</v>
      </c>
      <c r="V1513" t="s">
        <v>59297</v>
      </c>
      <c r="W1513" t="s">
        <v>41105</v>
      </c>
      <c r="X1513" t="s">
        <v>44763</v>
      </c>
    </row>
    <row r="1514" spans="1:24">
      <c r="A1514">
        <f>HYPERLINK("https://www.philgeps.gov.ph/GEPSNONPILOT/Tender/SplashBidNoticeAbstractUI.aspx?menuIndex=3&amp;refID=7150903&amp;Result=3","7150903")</f>
        <v>0</v>
      </c>
      <c r="B1514" t="s">
        <v>753</v>
      </c>
      <c r="C1514" t="s">
        <v>5208</v>
      </c>
      <c r="D1514" t="s">
        <v>17976</v>
      </c>
      <c r="E1514" t="s">
        <v>19450</v>
      </c>
      <c r="F1514" t="s">
        <v>30900</v>
      </c>
      <c r="G1514" t="s">
        <v>30906</v>
      </c>
      <c r="H1514" t="s">
        <v>30916</v>
      </c>
      <c r="I1514" t="s">
        <v>30989</v>
      </c>
      <c r="J1514" t="s">
        <v>31589</v>
      </c>
      <c r="K1514" t="s">
        <v>40284</v>
      </c>
      <c r="L1514" t="s">
        <v>753</v>
      </c>
      <c r="M1514" t="s">
        <v>41317</v>
      </c>
      <c r="N1514" t="s">
        <v>44759</v>
      </c>
      <c r="O1514" t="s">
        <v>44760</v>
      </c>
      <c r="P1514">
        <v>0</v>
      </c>
      <c r="Q1514">
        <v>0</v>
      </c>
      <c r="R1514" t="s">
        <v>44762</v>
      </c>
      <c r="S1514" t="s">
        <v>44863</v>
      </c>
      <c r="T1514" t="s">
        <v>46389</v>
      </c>
      <c r="U1514" t="s">
        <v>48270</v>
      </c>
      <c r="V1514" t="s">
        <v>59295</v>
      </c>
      <c r="W1514" t="s">
        <v>41317</v>
      </c>
      <c r="X1514" t="s">
        <v>44763</v>
      </c>
    </row>
    <row r="1515" spans="1:24">
      <c r="A1515">
        <f>HYPERLINK("https://www.philgeps.gov.ph/GEPSNONPILOT/Tender/SplashBidNoticeAbstractUI.aspx?menuIndex=3&amp;refID=7150874&amp;Result=3","7150874")</f>
        <v>0</v>
      </c>
      <c r="B1515" t="s">
        <v>759</v>
      </c>
      <c r="C1515" t="s">
        <v>5209</v>
      </c>
      <c r="D1515" t="s">
        <v>17978</v>
      </c>
      <c r="E1515" t="s">
        <v>19451</v>
      </c>
      <c r="F1515" t="s">
        <v>30900</v>
      </c>
      <c r="G1515" t="s">
        <v>30909</v>
      </c>
      <c r="H1515" t="s">
        <v>7411</v>
      </c>
      <c r="I1515" t="s">
        <v>30990</v>
      </c>
      <c r="J1515" t="s">
        <v>32192</v>
      </c>
      <c r="K1515" t="s">
        <v>40287</v>
      </c>
      <c r="M1515" t="s">
        <v>41324</v>
      </c>
      <c r="N1515" t="s">
        <v>44759</v>
      </c>
      <c r="O1515" t="s">
        <v>44760</v>
      </c>
      <c r="P1515">
        <v>0</v>
      </c>
      <c r="Q1515">
        <v>0</v>
      </c>
      <c r="R1515" t="s">
        <v>44762</v>
      </c>
      <c r="S1515" t="s">
        <v>44863</v>
      </c>
      <c r="T1515" t="s">
        <v>46519</v>
      </c>
      <c r="U1515" t="s">
        <v>48271</v>
      </c>
      <c r="W1515" t="s">
        <v>41324</v>
      </c>
      <c r="X1515" t="s">
        <v>44763</v>
      </c>
    </row>
    <row r="1516" spans="1:24">
      <c r="A1516">
        <f>HYPERLINK("https://www.philgeps.gov.ph/GEPSNONPILOT/Tender/SplashBidNoticeAbstractUI.aspx?menuIndex=3&amp;refID=7150902&amp;Result=3","7150902")</f>
        <v>0</v>
      </c>
      <c r="B1516" t="s">
        <v>157</v>
      </c>
      <c r="C1516" t="s">
        <v>5210</v>
      </c>
      <c r="D1516" t="s">
        <v>17978</v>
      </c>
      <c r="E1516" t="s">
        <v>19452</v>
      </c>
      <c r="F1516" t="s">
        <v>30900</v>
      </c>
      <c r="G1516" t="s">
        <v>30907</v>
      </c>
      <c r="H1516" t="s">
        <v>30916</v>
      </c>
      <c r="I1516" t="s">
        <v>30933</v>
      </c>
      <c r="J1516" t="s">
        <v>32193</v>
      </c>
      <c r="K1516" t="s">
        <v>40286</v>
      </c>
      <c r="M1516" t="s">
        <v>41325</v>
      </c>
      <c r="N1516" t="s">
        <v>44759</v>
      </c>
      <c r="O1516" t="s">
        <v>44760</v>
      </c>
      <c r="P1516">
        <v>0</v>
      </c>
      <c r="Q1516">
        <v>1</v>
      </c>
      <c r="R1516" t="s">
        <v>44762</v>
      </c>
      <c r="S1516" t="s">
        <v>44863</v>
      </c>
      <c r="T1516" t="s">
        <v>46375</v>
      </c>
      <c r="U1516" t="s">
        <v>48272</v>
      </c>
      <c r="W1516" t="s">
        <v>41325</v>
      </c>
      <c r="X1516" t="s">
        <v>44763</v>
      </c>
    </row>
    <row r="1517" spans="1:24">
      <c r="A1517">
        <f>HYPERLINK("https://www.philgeps.gov.ph/GEPSNONPILOT/Tender/SplashBidNoticeAbstractUI.aspx?menuIndex=3&amp;refID=7150901&amp;Result=3","7150901")</f>
        <v>0</v>
      </c>
      <c r="B1517" t="s">
        <v>760</v>
      </c>
      <c r="C1517" t="s">
        <v>5211</v>
      </c>
      <c r="D1517" t="s">
        <v>18009</v>
      </c>
      <c r="E1517" t="s">
        <v>5211</v>
      </c>
      <c r="F1517" t="s">
        <v>30900</v>
      </c>
      <c r="G1517" t="s">
        <v>30907</v>
      </c>
      <c r="H1517" t="s">
        <v>30915</v>
      </c>
      <c r="I1517" t="s">
        <v>30919</v>
      </c>
      <c r="J1517" t="s">
        <v>32194</v>
      </c>
      <c r="K1517" t="s">
        <v>40314</v>
      </c>
      <c r="L1517" t="s">
        <v>760</v>
      </c>
      <c r="M1517" t="s">
        <v>41326</v>
      </c>
      <c r="N1517" t="s">
        <v>44759</v>
      </c>
      <c r="O1517" t="s">
        <v>44760</v>
      </c>
      <c r="P1517">
        <v>0</v>
      </c>
      <c r="Q1517">
        <v>0</v>
      </c>
      <c r="R1517" t="s">
        <v>44762</v>
      </c>
      <c r="S1517" t="s">
        <v>44863</v>
      </c>
      <c r="T1517" t="s">
        <v>46539</v>
      </c>
      <c r="U1517" t="s">
        <v>48273</v>
      </c>
      <c r="W1517" t="s">
        <v>41326</v>
      </c>
      <c r="X1517" t="s">
        <v>44763</v>
      </c>
    </row>
    <row r="1518" spans="1:24">
      <c r="A1518">
        <f>HYPERLINK("https://www.philgeps.gov.ph/GEPSNONPILOT/Tender/SplashBidNoticeAbstractUI.aspx?menuIndex=3&amp;refID=7150899&amp;Result=3","7150899")</f>
        <v>0</v>
      </c>
      <c r="B1518" t="s">
        <v>761</v>
      </c>
      <c r="C1518" t="s">
        <v>4515</v>
      </c>
      <c r="D1518" t="s">
        <v>17974</v>
      </c>
      <c r="E1518" t="s">
        <v>18234</v>
      </c>
      <c r="F1518" t="s">
        <v>30900</v>
      </c>
      <c r="G1518" t="s">
        <v>30910</v>
      </c>
      <c r="H1518" t="s">
        <v>30916</v>
      </c>
      <c r="I1518" t="s">
        <v>6396</v>
      </c>
      <c r="J1518" t="s">
        <v>32195</v>
      </c>
      <c r="K1518" t="s">
        <v>40289</v>
      </c>
      <c r="M1518" t="s">
        <v>41327</v>
      </c>
      <c r="N1518" t="s">
        <v>44759</v>
      </c>
      <c r="O1518" t="s">
        <v>44760</v>
      </c>
      <c r="P1518">
        <v>0</v>
      </c>
      <c r="Q1518">
        <v>0</v>
      </c>
      <c r="R1518" t="s">
        <v>44762</v>
      </c>
      <c r="S1518" t="s">
        <v>44863</v>
      </c>
      <c r="T1518" t="s">
        <v>46410</v>
      </c>
      <c r="U1518" t="s">
        <v>47654</v>
      </c>
      <c r="W1518" t="s">
        <v>41327</v>
      </c>
      <c r="X1518" t="s">
        <v>44763</v>
      </c>
    </row>
    <row r="1519" spans="1:24">
      <c r="A1519">
        <f>HYPERLINK("https://www.philgeps.gov.ph/GEPSNONPILOT/Tender/SplashBidNoticeAbstractUI.aspx?menuIndex=3&amp;refID=7150896&amp;Result=3","7150896")</f>
        <v>0</v>
      </c>
      <c r="B1519" t="s">
        <v>762</v>
      </c>
      <c r="C1519" t="s">
        <v>5212</v>
      </c>
      <c r="D1519" t="s">
        <v>18013</v>
      </c>
      <c r="E1519" t="s">
        <v>19453</v>
      </c>
      <c r="F1519" t="s">
        <v>30900</v>
      </c>
      <c r="G1519" t="s">
        <v>30908</v>
      </c>
      <c r="H1519" t="s">
        <v>30916</v>
      </c>
      <c r="I1519" t="s">
        <v>30924</v>
      </c>
      <c r="J1519" t="s">
        <v>32196</v>
      </c>
      <c r="K1519" t="s">
        <v>40286</v>
      </c>
      <c r="M1519" t="s">
        <v>41328</v>
      </c>
      <c r="N1519" t="s">
        <v>44759</v>
      </c>
      <c r="O1519" t="s">
        <v>44760</v>
      </c>
      <c r="P1519">
        <v>0</v>
      </c>
      <c r="Q1519">
        <v>4</v>
      </c>
      <c r="R1519" t="s">
        <v>44762</v>
      </c>
      <c r="S1519" t="s">
        <v>44863</v>
      </c>
      <c r="T1519" t="s">
        <v>46414</v>
      </c>
      <c r="U1519" t="s">
        <v>48274</v>
      </c>
      <c r="W1519" t="s">
        <v>41328</v>
      </c>
      <c r="X1519" t="s">
        <v>44763</v>
      </c>
    </row>
    <row r="1520" spans="1:24">
      <c r="A1520">
        <f>HYPERLINK("https://www.philgeps.gov.ph/GEPSNONPILOT/Tender/SplashBidNoticeAbstractUI.aspx?menuIndex=3&amp;refID=7150900&amp;Result=3","7150900")</f>
        <v>0</v>
      </c>
      <c r="B1520" t="s">
        <v>302</v>
      </c>
      <c r="C1520" t="s">
        <v>5213</v>
      </c>
      <c r="D1520" t="s">
        <v>17959</v>
      </c>
      <c r="E1520" t="s">
        <v>19454</v>
      </c>
      <c r="F1520" t="s">
        <v>30900</v>
      </c>
      <c r="G1520" t="s">
        <v>30908</v>
      </c>
      <c r="H1520" t="s">
        <v>30916</v>
      </c>
      <c r="I1520" t="s">
        <v>30991</v>
      </c>
      <c r="J1520" t="s">
        <v>31183</v>
      </c>
      <c r="K1520" t="s">
        <v>40283</v>
      </c>
      <c r="M1520" t="s">
        <v>40851</v>
      </c>
      <c r="N1520" t="s">
        <v>44759</v>
      </c>
      <c r="O1520" t="s">
        <v>44760</v>
      </c>
      <c r="P1520">
        <v>0</v>
      </c>
      <c r="Q1520">
        <v>0</v>
      </c>
      <c r="R1520" t="s">
        <v>44762</v>
      </c>
      <c r="S1520" t="s">
        <v>44863</v>
      </c>
      <c r="T1520" t="s">
        <v>46535</v>
      </c>
      <c r="U1520" t="s">
        <v>48275</v>
      </c>
      <c r="W1520" t="s">
        <v>40851</v>
      </c>
      <c r="X1520" t="s">
        <v>44763</v>
      </c>
    </row>
    <row r="1521" spans="1:24">
      <c r="A1521">
        <f>HYPERLINK("https://www.philgeps.gov.ph/GEPSNONPILOT/Tender/SplashBidNoticeAbstractUI.aspx?menuIndex=3&amp;refID=7150895&amp;Result=3","7150895")</f>
        <v>0</v>
      </c>
      <c r="B1521" t="s">
        <v>763</v>
      </c>
      <c r="C1521" t="s">
        <v>5214</v>
      </c>
      <c r="D1521" t="s">
        <v>18013</v>
      </c>
      <c r="E1521" t="s">
        <v>19424</v>
      </c>
      <c r="F1521" t="s">
        <v>30900</v>
      </c>
      <c r="G1521" t="s">
        <v>30908</v>
      </c>
      <c r="H1521" t="s">
        <v>30916</v>
      </c>
      <c r="I1521" t="s">
        <v>30922</v>
      </c>
      <c r="J1521" t="s">
        <v>32197</v>
      </c>
      <c r="K1521" t="s">
        <v>40283</v>
      </c>
      <c r="M1521" t="s">
        <v>41329</v>
      </c>
      <c r="N1521" t="s">
        <v>44759</v>
      </c>
      <c r="O1521" t="s">
        <v>44760</v>
      </c>
      <c r="P1521">
        <v>0</v>
      </c>
      <c r="Q1521">
        <v>0</v>
      </c>
      <c r="R1521" t="s">
        <v>44762</v>
      </c>
      <c r="S1521" t="s">
        <v>44863</v>
      </c>
      <c r="T1521" t="s">
        <v>46383</v>
      </c>
      <c r="U1521" t="s">
        <v>48276</v>
      </c>
      <c r="W1521" t="s">
        <v>41329</v>
      </c>
      <c r="X1521" t="s">
        <v>44763</v>
      </c>
    </row>
    <row r="1522" spans="1:24">
      <c r="A1522">
        <f>HYPERLINK("https://www.philgeps.gov.ph/GEPSNONPILOT/Tender/SplashBidNoticeAbstractUI.aspx?menuIndex=3&amp;refID=7150891&amp;Result=3","7150891")</f>
        <v>0</v>
      </c>
      <c r="B1522" t="s">
        <v>764</v>
      </c>
      <c r="C1522" t="s">
        <v>5215</v>
      </c>
      <c r="D1522" t="s">
        <v>17998</v>
      </c>
      <c r="E1522" t="s">
        <v>19455</v>
      </c>
      <c r="F1522" t="s">
        <v>30900</v>
      </c>
      <c r="G1522" t="s">
        <v>30907</v>
      </c>
      <c r="H1522" t="s">
        <v>30916</v>
      </c>
      <c r="I1522" t="s">
        <v>6953</v>
      </c>
      <c r="J1522" t="s">
        <v>32198</v>
      </c>
      <c r="K1522" t="s">
        <v>40286</v>
      </c>
      <c r="M1522" t="s">
        <v>41330</v>
      </c>
      <c r="N1522" t="s">
        <v>44759</v>
      </c>
      <c r="O1522" t="s">
        <v>44760</v>
      </c>
      <c r="P1522">
        <v>0</v>
      </c>
      <c r="Q1522">
        <v>0</v>
      </c>
      <c r="R1522" t="s">
        <v>44762</v>
      </c>
      <c r="S1522" t="s">
        <v>44863</v>
      </c>
      <c r="T1522" t="s">
        <v>46425</v>
      </c>
      <c r="U1522" t="s">
        <v>48277</v>
      </c>
      <c r="W1522" t="s">
        <v>41330</v>
      </c>
      <c r="X1522" t="s">
        <v>44763</v>
      </c>
    </row>
    <row r="1523" spans="1:24">
      <c r="A1523">
        <f>HYPERLINK("https://www.philgeps.gov.ph/GEPSNONPILOT/Tender/SplashBidNoticeAbstractUI.aspx?menuIndex=3&amp;refID=7150882&amp;Result=3","7150882")</f>
        <v>0</v>
      </c>
      <c r="B1523" t="s">
        <v>765</v>
      </c>
      <c r="C1523" t="s">
        <v>5216</v>
      </c>
      <c r="D1523" t="s">
        <v>17985</v>
      </c>
      <c r="E1523" t="s">
        <v>19456</v>
      </c>
      <c r="F1523" t="s">
        <v>30900</v>
      </c>
      <c r="G1523" t="s">
        <v>30907</v>
      </c>
      <c r="H1523" t="s">
        <v>30916</v>
      </c>
      <c r="I1523" t="s">
        <v>4108</v>
      </c>
      <c r="J1523" t="s">
        <v>32199</v>
      </c>
      <c r="K1523" t="s">
        <v>40289</v>
      </c>
      <c r="M1523" t="s">
        <v>41331</v>
      </c>
      <c r="N1523" t="s">
        <v>44759</v>
      </c>
      <c r="O1523" t="s">
        <v>44760</v>
      </c>
      <c r="P1523">
        <v>0</v>
      </c>
      <c r="Q1523">
        <v>0</v>
      </c>
      <c r="R1523" t="s">
        <v>44762</v>
      </c>
      <c r="S1523" t="s">
        <v>44863</v>
      </c>
      <c r="T1523" t="s">
        <v>46352</v>
      </c>
      <c r="U1523" t="s">
        <v>48278</v>
      </c>
      <c r="W1523" t="s">
        <v>41331</v>
      </c>
      <c r="X1523" t="s">
        <v>44763</v>
      </c>
    </row>
    <row r="1524" spans="1:24">
      <c r="A1524">
        <f>HYPERLINK("https://www.philgeps.gov.ph/GEPSNONPILOT/Tender/SplashBidNoticeAbstractUI.aspx?menuIndex=3&amp;refID=7150910&amp;Result=3","7150910")</f>
        <v>0</v>
      </c>
      <c r="B1524" t="s">
        <v>766</v>
      </c>
      <c r="C1524" t="s">
        <v>5217</v>
      </c>
      <c r="D1524" t="s">
        <v>17959</v>
      </c>
      <c r="E1524" t="s">
        <v>19457</v>
      </c>
      <c r="F1524" t="s">
        <v>30900</v>
      </c>
      <c r="G1524" t="s">
        <v>30910</v>
      </c>
      <c r="H1524" t="s">
        <v>30916</v>
      </c>
      <c r="I1524" t="s">
        <v>4454</v>
      </c>
      <c r="J1524" t="s">
        <v>32200</v>
      </c>
      <c r="K1524" t="s">
        <v>40287</v>
      </c>
      <c r="M1524" t="s">
        <v>41332</v>
      </c>
      <c r="N1524" t="s">
        <v>44759</v>
      </c>
      <c r="O1524" t="s">
        <v>44760</v>
      </c>
      <c r="P1524">
        <v>0</v>
      </c>
      <c r="Q1524">
        <v>0</v>
      </c>
      <c r="R1524" t="s">
        <v>44762</v>
      </c>
      <c r="S1524" t="s">
        <v>44863</v>
      </c>
      <c r="T1524" t="s">
        <v>46421</v>
      </c>
      <c r="U1524" t="s">
        <v>48279</v>
      </c>
      <c r="V1524" t="s">
        <v>59298</v>
      </c>
      <c r="W1524" t="s">
        <v>41332</v>
      </c>
      <c r="X1524" t="s">
        <v>44763</v>
      </c>
    </row>
    <row r="1525" spans="1:24">
      <c r="A1525">
        <f>HYPERLINK("https://www.philgeps.gov.ph/GEPSNONPILOT/Tender/SplashBidNoticeAbstractUI.aspx?menuIndex=3&amp;refID=7150863&amp;Result=3","7150863")</f>
        <v>0</v>
      </c>
      <c r="B1525" t="s">
        <v>671</v>
      </c>
      <c r="C1525" t="s">
        <v>5218</v>
      </c>
      <c r="D1525" t="s">
        <v>17990</v>
      </c>
      <c r="E1525" t="s">
        <v>19458</v>
      </c>
      <c r="F1525" t="s">
        <v>30900</v>
      </c>
      <c r="G1525" t="s">
        <v>30908</v>
      </c>
      <c r="H1525" t="s">
        <v>30916</v>
      </c>
      <c r="I1525" t="s">
        <v>8123</v>
      </c>
      <c r="J1525" t="s">
        <v>31174</v>
      </c>
      <c r="K1525" t="s">
        <v>40283</v>
      </c>
      <c r="M1525" t="s">
        <v>41234</v>
      </c>
      <c r="N1525" t="s">
        <v>44759</v>
      </c>
      <c r="O1525" t="s">
        <v>44760</v>
      </c>
      <c r="P1525">
        <v>0</v>
      </c>
      <c r="Q1525">
        <v>0</v>
      </c>
      <c r="R1525" t="s">
        <v>44762</v>
      </c>
      <c r="S1525" t="s">
        <v>44863</v>
      </c>
      <c r="T1525" t="s">
        <v>46398</v>
      </c>
      <c r="U1525" t="s">
        <v>48280</v>
      </c>
      <c r="W1525" t="s">
        <v>41234</v>
      </c>
      <c r="X1525" t="s">
        <v>44763</v>
      </c>
    </row>
    <row r="1526" spans="1:24">
      <c r="A1526">
        <f>HYPERLINK("https://www.philgeps.gov.ph/GEPSNONPILOT/Tender/SplashBidNoticeAbstractUI.aspx?menuIndex=3&amp;refID=7150877&amp;Result=3","7150877")</f>
        <v>0</v>
      </c>
      <c r="B1526" t="s">
        <v>729</v>
      </c>
      <c r="C1526" t="s">
        <v>5219</v>
      </c>
      <c r="D1526" t="s">
        <v>18018</v>
      </c>
      <c r="E1526" t="s">
        <v>19459</v>
      </c>
      <c r="F1526" t="s">
        <v>30900</v>
      </c>
      <c r="G1526" t="s">
        <v>30908</v>
      </c>
      <c r="H1526" t="s">
        <v>30916</v>
      </c>
      <c r="I1526" t="s">
        <v>4017</v>
      </c>
      <c r="J1526" t="s">
        <v>32201</v>
      </c>
      <c r="K1526" t="s">
        <v>40289</v>
      </c>
      <c r="M1526" t="s">
        <v>41293</v>
      </c>
      <c r="N1526" t="s">
        <v>44759</v>
      </c>
      <c r="O1526" t="s">
        <v>44760</v>
      </c>
      <c r="P1526">
        <v>0</v>
      </c>
      <c r="Q1526">
        <v>2</v>
      </c>
      <c r="R1526" t="s">
        <v>44762</v>
      </c>
      <c r="S1526" t="s">
        <v>44863</v>
      </c>
      <c r="T1526" t="s">
        <v>46357</v>
      </c>
      <c r="U1526" t="s">
        <v>48281</v>
      </c>
      <c r="W1526" t="s">
        <v>41293</v>
      </c>
      <c r="X1526" t="s">
        <v>44763</v>
      </c>
    </row>
    <row r="1527" spans="1:24">
      <c r="A1527">
        <f>HYPERLINK("https://www.philgeps.gov.ph/GEPSNONPILOT/Tender/SplashBidNoticeAbstractUI.aspx?menuIndex=3&amp;refID=7150927&amp;Result=3","7150927")</f>
        <v>0</v>
      </c>
      <c r="B1527" t="s">
        <v>736</v>
      </c>
      <c r="C1527" t="s">
        <v>5220</v>
      </c>
      <c r="D1527" t="s">
        <v>18013</v>
      </c>
      <c r="E1527" t="s">
        <v>19460</v>
      </c>
      <c r="F1527" t="s">
        <v>30900</v>
      </c>
      <c r="G1527" t="s">
        <v>30907</v>
      </c>
      <c r="H1527" t="s">
        <v>30915</v>
      </c>
      <c r="I1527" t="s">
        <v>30919</v>
      </c>
      <c r="J1527" t="s">
        <v>32202</v>
      </c>
      <c r="K1527" t="s">
        <v>40308</v>
      </c>
      <c r="M1527" t="s">
        <v>41300</v>
      </c>
      <c r="N1527" t="s">
        <v>44759</v>
      </c>
      <c r="O1527" t="s">
        <v>44760</v>
      </c>
      <c r="P1527">
        <v>0</v>
      </c>
      <c r="Q1527">
        <v>1</v>
      </c>
      <c r="R1527" t="s">
        <v>44762</v>
      </c>
      <c r="S1527" t="s">
        <v>44863</v>
      </c>
      <c r="T1527" t="s">
        <v>46394</v>
      </c>
      <c r="U1527" t="s">
        <v>48282</v>
      </c>
      <c r="W1527" t="s">
        <v>41300</v>
      </c>
      <c r="X1527" t="s">
        <v>44763</v>
      </c>
    </row>
    <row r="1528" spans="1:24">
      <c r="A1528">
        <f>HYPERLINK("https://www.philgeps.gov.ph/GEPSNONPILOT/Tender/SplashBidNoticeAbstractUI.aspx?menuIndex=3&amp;refID=7150926&amp;Result=3","7150926")</f>
        <v>0</v>
      </c>
      <c r="B1528" t="s">
        <v>194</v>
      </c>
      <c r="C1528" t="s">
        <v>5221</v>
      </c>
      <c r="D1528" t="s">
        <v>17959</v>
      </c>
      <c r="E1528" t="s">
        <v>19461</v>
      </c>
      <c r="F1528" t="s">
        <v>30900</v>
      </c>
      <c r="G1528" t="s">
        <v>30908</v>
      </c>
      <c r="H1528" t="s">
        <v>30916</v>
      </c>
      <c r="I1528" t="s">
        <v>30923</v>
      </c>
      <c r="J1528" t="s">
        <v>31043</v>
      </c>
      <c r="K1528" t="s">
        <v>40283</v>
      </c>
      <c r="M1528" t="s">
        <v>41320</v>
      </c>
      <c r="N1528" t="s">
        <v>44759</v>
      </c>
      <c r="O1528" t="s">
        <v>44760</v>
      </c>
      <c r="P1528">
        <v>0</v>
      </c>
      <c r="Q1528">
        <v>1</v>
      </c>
      <c r="R1528" t="s">
        <v>44762</v>
      </c>
      <c r="S1528" t="s">
        <v>44863</v>
      </c>
      <c r="T1528" t="s">
        <v>46363</v>
      </c>
      <c r="U1528" t="s">
        <v>48262</v>
      </c>
      <c r="W1528" t="s">
        <v>41320</v>
      </c>
      <c r="X1528" t="s">
        <v>44763</v>
      </c>
    </row>
    <row r="1529" spans="1:24">
      <c r="A1529">
        <f>HYPERLINK("https://www.philgeps.gov.ph/GEPSNONPILOT/Tender/SplashBidNoticeAbstractUI.aspx?menuIndex=3&amp;refID=7150924&amp;Result=3","7150924")</f>
        <v>0</v>
      </c>
      <c r="B1529" t="s">
        <v>767</v>
      </c>
      <c r="C1529" t="s">
        <v>5222</v>
      </c>
      <c r="D1529" t="s">
        <v>18020</v>
      </c>
      <c r="E1529" t="s">
        <v>19462</v>
      </c>
      <c r="F1529" t="s">
        <v>30900</v>
      </c>
      <c r="G1529" t="s">
        <v>30908</v>
      </c>
      <c r="H1529" t="s">
        <v>30916</v>
      </c>
      <c r="I1529" t="s">
        <v>4004</v>
      </c>
      <c r="J1529" t="s">
        <v>32203</v>
      </c>
      <c r="K1529" t="s">
        <v>40289</v>
      </c>
      <c r="M1529" t="s">
        <v>41333</v>
      </c>
      <c r="N1529" t="s">
        <v>44759</v>
      </c>
      <c r="O1529" t="s">
        <v>44760</v>
      </c>
      <c r="P1529">
        <v>0</v>
      </c>
      <c r="Q1529">
        <v>3</v>
      </c>
      <c r="R1529" t="s">
        <v>44762</v>
      </c>
      <c r="S1529" t="s">
        <v>44863</v>
      </c>
      <c r="T1529" t="s">
        <v>46410</v>
      </c>
      <c r="U1529" t="s">
        <v>48283</v>
      </c>
      <c r="V1529" t="s">
        <v>59299</v>
      </c>
      <c r="W1529" t="s">
        <v>41333</v>
      </c>
      <c r="X1529" t="s">
        <v>44763</v>
      </c>
    </row>
    <row r="1530" spans="1:24">
      <c r="A1530">
        <f>HYPERLINK("https://www.philgeps.gov.ph/GEPSNONPILOT/Tender/SplashBidNoticeAbstractUI.aspx?menuIndex=3&amp;refID=7150892&amp;Result=3","7150892")</f>
        <v>0</v>
      </c>
      <c r="B1530" t="s">
        <v>768</v>
      </c>
      <c r="C1530" t="s">
        <v>5223</v>
      </c>
      <c r="D1530" t="s">
        <v>17979</v>
      </c>
      <c r="E1530" t="s">
        <v>19463</v>
      </c>
      <c r="F1530" t="s">
        <v>30900</v>
      </c>
      <c r="G1530" t="s">
        <v>30908</v>
      </c>
      <c r="H1530" t="s">
        <v>30916</v>
      </c>
      <c r="I1530" t="s">
        <v>11785</v>
      </c>
      <c r="J1530" t="s">
        <v>32204</v>
      </c>
      <c r="K1530" t="s">
        <v>40286</v>
      </c>
      <c r="M1530" t="s">
        <v>41334</v>
      </c>
      <c r="N1530" t="s">
        <v>44759</v>
      </c>
      <c r="O1530" t="s">
        <v>44760</v>
      </c>
      <c r="P1530">
        <v>0</v>
      </c>
      <c r="Q1530">
        <v>2</v>
      </c>
      <c r="R1530" t="s">
        <v>44762</v>
      </c>
      <c r="S1530" t="s">
        <v>44863</v>
      </c>
      <c r="T1530" t="s">
        <v>46393</v>
      </c>
      <c r="U1530" t="s">
        <v>48284</v>
      </c>
      <c r="W1530" t="s">
        <v>41334</v>
      </c>
      <c r="X1530" t="s">
        <v>44763</v>
      </c>
    </row>
    <row r="1531" spans="1:24">
      <c r="A1531">
        <f>HYPERLINK("https://www.philgeps.gov.ph/GEPSNONPILOT/Tender/SplashBidNoticeAbstractUI.aspx?menuIndex=3&amp;refID=7150923&amp;Result=3","7150923")</f>
        <v>0</v>
      </c>
      <c r="B1531" t="s">
        <v>768</v>
      </c>
      <c r="C1531" t="s">
        <v>5224</v>
      </c>
      <c r="D1531" t="s">
        <v>17979</v>
      </c>
      <c r="E1531" t="s">
        <v>19464</v>
      </c>
      <c r="F1531" t="s">
        <v>30900</v>
      </c>
      <c r="G1531" t="s">
        <v>30908</v>
      </c>
      <c r="H1531" t="s">
        <v>30916</v>
      </c>
      <c r="I1531" t="s">
        <v>11785</v>
      </c>
      <c r="J1531" t="s">
        <v>31341</v>
      </c>
      <c r="K1531" t="s">
        <v>40286</v>
      </c>
      <c r="M1531" t="s">
        <v>41334</v>
      </c>
      <c r="N1531" t="s">
        <v>44759</v>
      </c>
      <c r="O1531" t="s">
        <v>44760</v>
      </c>
      <c r="P1531">
        <v>0</v>
      </c>
      <c r="Q1531">
        <v>2</v>
      </c>
      <c r="R1531" t="s">
        <v>44762</v>
      </c>
      <c r="S1531" t="s">
        <v>44863</v>
      </c>
      <c r="T1531" t="s">
        <v>46393</v>
      </c>
      <c r="U1531" t="s">
        <v>48285</v>
      </c>
      <c r="W1531" t="s">
        <v>41334</v>
      </c>
      <c r="X1531" t="s">
        <v>44763</v>
      </c>
    </row>
    <row r="1532" spans="1:24">
      <c r="A1532">
        <f>HYPERLINK("https://www.philgeps.gov.ph/GEPSNONPILOT/Tender/SplashBidNoticeAbstractUI.aspx?menuIndex=3&amp;refID=7150922&amp;Result=3","7150922")</f>
        <v>0</v>
      </c>
      <c r="B1532" t="s">
        <v>769</v>
      </c>
      <c r="C1532" t="s">
        <v>5225</v>
      </c>
      <c r="D1532" t="s">
        <v>18014</v>
      </c>
      <c r="E1532" t="s">
        <v>19465</v>
      </c>
      <c r="F1532" t="s">
        <v>30900</v>
      </c>
      <c r="G1532" t="s">
        <v>30908</v>
      </c>
      <c r="H1532" t="s">
        <v>30916</v>
      </c>
      <c r="I1532" t="s">
        <v>30923</v>
      </c>
      <c r="J1532" t="s">
        <v>31288</v>
      </c>
      <c r="K1532" t="s">
        <v>40283</v>
      </c>
      <c r="M1532" t="s">
        <v>41335</v>
      </c>
      <c r="N1532" t="s">
        <v>44759</v>
      </c>
      <c r="O1532" t="s">
        <v>44760</v>
      </c>
      <c r="P1532">
        <v>0</v>
      </c>
      <c r="Q1532">
        <v>2</v>
      </c>
      <c r="R1532" t="s">
        <v>44762</v>
      </c>
      <c r="S1532" t="s">
        <v>44863</v>
      </c>
      <c r="T1532" t="s">
        <v>46410</v>
      </c>
      <c r="U1532" t="s">
        <v>48286</v>
      </c>
      <c r="W1532" t="s">
        <v>60837</v>
      </c>
      <c r="X1532" t="s">
        <v>44763</v>
      </c>
    </row>
    <row r="1533" spans="1:24">
      <c r="A1533">
        <f>HYPERLINK("https://www.philgeps.gov.ph/GEPSNONPILOT/Tender/SplashBidNoticeAbstractUI.aspx?menuIndex=3&amp;refID=7150920&amp;Result=3","7150920")</f>
        <v>0</v>
      </c>
      <c r="B1533" t="s">
        <v>765</v>
      </c>
      <c r="C1533" t="s">
        <v>5226</v>
      </c>
      <c r="D1533" t="s">
        <v>17985</v>
      </c>
      <c r="E1533" t="s">
        <v>19466</v>
      </c>
      <c r="F1533" t="s">
        <v>30900</v>
      </c>
      <c r="G1533" t="s">
        <v>30907</v>
      </c>
      <c r="H1533" t="s">
        <v>30915</v>
      </c>
      <c r="I1533" t="s">
        <v>30919</v>
      </c>
      <c r="J1533" t="s">
        <v>32205</v>
      </c>
      <c r="K1533" t="s">
        <v>40317</v>
      </c>
      <c r="M1533" t="s">
        <v>41331</v>
      </c>
      <c r="N1533" t="s">
        <v>44759</v>
      </c>
      <c r="O1533" t="s">
        <v>44760</v>
      </c>
      <c r="P1533">
        <v>0</v>
      </c>
      <c r="Q1533">
        <v>0</v>
      </c>
      <c r="R1533" t="s">
        <v>44762</v>
      </c>
      <c r="S1533" t="s">
        <v>44863</v>
      </c>
      <c r="T1533" t="s">
        <v>46352</v>
      </c>
      <c r="U1533" t="s">
        <v>48287</v>
      </c>
      <c r="W1533" t="s">
        <v>41331</v>
      </c>
      <c r="X1533" t="s">
        <v>44763</v>
      </c>
    </row>
    <row r="1534" spans="1:24">
      <c r="A1534">
        <f>HYPERLINK("https://www.philgeps.gov.ph/GEPSNONPILOT/Tender/SplashBidNoticeAbstractUI.aspx?menuIndex=3&amp;refID=7150919&amp;Result=3","7150919")</f>
        <v>0</v>
      </c>
      <c r="B1534" t="s">
        <v>770</v>
      </c>
      <c r="C1534" t="s">
        <v>5227</v>
      </c>
      <c r="D1534" t="s">
        <v>17981</v>
      </c>
      <c r="E1534" t="s">
        <v>19467</v>
      </c>
      <c r="F1534" t="s">
        <v>30900</v>
      </c>
      <c r="G1534" t="s">
        <v>30909</v>
      </c>
      <c r="H1534" t="s">
        <v>30916</v>
      </c>
      <c r="I1534" t="s">
        <v>6396</v>
      </c>
      <c r="J1534" t="s">
        <v>32206</v>
      </c>
      <c r="K1534" t="s">
        <v>40281</v>
      </c>
      <c r="M1534" t="s">
        <v>41336</v>
      </c>
      <c r="N1534" t="s">
        <v>44759</v>
      </c>
      <c r="O1534" t="s">
        <v>44760</v>
      </c>
      <c r="P1534">
        <v>0</v>
      </c>
      <c r="Q1534">
        <v>1</v>
      </c>
      <c r="R1534" t="s">
        <v>44762</v>
      </c>
      <c r="S1534" t="s">
        <v>44863</v>
      </c>
      <c r="T1534" t="s">
        <v>46391</v>
      </c>
      <c r="U1534" t="s">
        <v>48288</v>
      </c>
      <c r="W1534" t="s">
        <v>41336</v>
      </c>
      <c r="X1534" t="s">
        <v>44763</v>
      </c>
    </row>
    <row r="1535" spans="1:24">
      <c r="A1535">
        <f>HYPERLINK("https://www.philgeps.gov.ph/GEPSNONPILOT/Tender/SplashBidNoticeAbstractUI.aspx?menuIndex=3&amp;refID=7150918&amp;Result=3","7150918")</f>
        <v>0</v>
      </c>
      <c r="B1535" t="s">
        <v>771</v>
      </c>
      <c r="C1535" t="s">
        <v>5228</v>
      </c>
      <c r="D1535" t="s">
        <v>17981</v>
      </c>
      <c r="E1535" t="s">
        <v>19468</v>
      </c>
      <c r="F1535" t="s">
        <v>30900</v>
      </c>
      <c r="G1535" t="s">
        <v>30908</v>
      </c>
      <c r="H1535" t="s">
        <v>30915</v>
      </c>
      <c r="I1535" t="s">
        <v>30919</v>
      </c>
      <c r="J1535" t="s">
        <v>32207</v>
      </c>
      <c r="K1535" t="s">
        <v>40289</v>
      </c>
      <c r="M1535" t="s">
        <v>41337</v>
      </c>
      <c r="N1535" t="s">
        <v>44759</v>
      </c>
      <c r="O1535" t="s">
        <v>44760</v>
      </c>
      <c r="P1535">
        <v>0</v>
      </c>
      <c r="Q1535">
        <v>0</v>
      </c>
      <c r="R1535" t="s">
        <v>44762</v>
      </c>
      <c r="S1535" t="s">
        <v>44863</v>
      </c>
      <c r="T1535" t="s">
        <v>46383</v>
      </c>
      <c r="U1535" t="s">
        <v>48289</v>
      </c>
      <c r="W1535" t="s">
        <v>41337</v>
      </c>
      <c r="X1535" t="s">
        <v>44763</v>
      </c>
    </row>
    <row r="1536" spans="1:24">
      <c r="A1536">
        <f>HYPERLINK("https://www.philgeps.gov.ph/GEPSNONPILOT/Tender/SplashBidNoticeAbstractUI.aspx?menuIndex=3&amp;refID=7150917&amp;Result=3","7150917")</f>
        <v>0</v>
      </c>
      <c r="B1536" t="s">
        <v>719</v>
      </c>
      <c r="C1536" t="s">
        <v>5229</v>
      </c>
      <c r="D1536" t="s">
        <v>17966</v>
      </c>
      <c r="E1536" t="s">
        <v>19469</v>
      </c>
      <c r="F1536" t="s">
        <v>30900</v>
      </c>
      <c r="G1536" t="s">
        <v>30909</v>
      </c>
      <c r="H1536" t="s">
        <v>30916</v>
      </c>
      <c r="I1536" t="s">
        <v>4142</v>
      </c>
      <c r="J1536" t="s">
        <v>31423</v>
      </c>
      <c r="K1536" t="s">
        <v>40288</v>
      </c>
      <c r="M1536" t="s">
        <v>41283</v>
      </c>
      <c r="N1536" t="s">
        <v>44759</v>
      </c>
      <c r="O1536" t="s">
        <v>44760</v>
      </c>
      <c r="P1536">
        <v>0</v>
      </c>
      <c r="Q1536">
        <v>0</v>
      </c>
      <c r="R1536" t="s">
        <v>44762</v>
      </c>
      <c r="S1536" t="s">
        <v>44863</v>
      </c>
      <c r="T1536" t="s">
        <v>46531</v>
      </c>
      <c r="U1536" t="s">
        <v>48290</v>
      </c>
      <c r="W1536" t="s">
        <v>41283</v>
      </c>
      <c r="X1536" t="s">
        <v>44763</v>
      </c>
    </row>
    <row r="1537" spans="1:24">
      <c r="A1537">
        <f>HYPERLINK("https://www.philgeps.gov.ph/GEPSNONPILOT/Tender/SplashBidNoticeAbstractUI.aspx?menuIndex=3&amp;refID=7150914&amp;Result=3","7150914")</f>
        <v>0</v>
      </c>
      <c r="B1537" t="s">
        <v>311</v>
      </c>
      <c r="C1537" t="s">
        <v>5230</v>
      </c>
      <c r="E1537" t="s">
        <v>19470</v>
      </c>
      <c r="F1537" t="s">
        <v>30900</v>
      </c>
      <c r="G1537" t="s">
        <v>30908</v>
      </c>
      <c r="H1537" t="s">
        <v>30916</v>
      </c>
      <c r="I1537" t="s">
        <v>10602</v>
      </c>
      <c r="J1537" t="s">
        <v>31243</v>
      </c>
      <c r="K1537" t="s">
        <v>40289</v>
      </c>
      <c r="M1537" t="s">
        <v>40861</v>
      </c>
      <c r="N1537" t="s">
        <v>44759</v>
      </c>
      <c r="O1537" t="s">
        <v>44760</v>
      </c>
      <c r="P1537">
        <v>0</v>
      </c>
      <c r="Q1537">
        <v>1</v>
      </c>
      <c r="R1537" t="s">
        <v>44762</v>
      </c>
      <c r="S1537" t="s">
        <v>44863</v>
      </c>
      <c r="T1537" t="s">
        <v>46383</v>
      </c>
      <c r="U1537" t="s">
        <v>48291</v>
      </c>
      <c r="W1537" t="s">
        <v>40861</v>
      </c>
      <c r="X1537" t="s">
        <v>44763</v>
      </c>
    </row>
    <row r="1538" spans="1:24">
      <c r="A1538">
        <f>HYPERLINK("https://www.philgeps.gov.ph/GEPSNONPILOT/Tender/SplashBidNoticeAbstractUI.aspx?menuIndex=3&amp;refID=7150925&amp;Result=3","7150925")</f>
        <v>0</v>
      </c>
      <c r="B1538" t="s">
        <v>267</v>
      </c>
      <c r="C1538" t="s">
        <v>5231</v>
      </c>
      <c r="D1538" t="s">
        <v>17959</v>
      </c>
      <c r="E1538" t="s">
        <v>19471</v>
      </c>
      <c r="F1538" t="s">
        <v>30900</v>
      </c>
      <c r="G1538" t="s">
        <v>30908</v>
      </c>
      <c r="H1538" t="s">
        <v>30916</v>
      </c>
      <c r="I1538" t="s">
        <v>8123</v>
      </c>
      <c r="J1538" t="s">
        <v>32208</v>
      </c>
      <c r="K1538" t="s">
        <v>40288</v>
      </c>
      <c r="M1538" t="s">
        <v>41338</v>
      </c>
      <c r="N1538" t="s">
        <v>44759</v>
      </c>
      <c r="O1538" t="s">
        <v>44760</v>
      </c>
      <c r="P1538">
        <v>0</v>
      </c>
      <c r="Q1538">
        <v>0</v>
      </c>
      <c r="R1538" t="s">
        <v>44762</v>
      </c>
      <c r="S1538" t="s">
        <v>44863</v>
      </c>
      <c r="T1538" t="s">
        <v>46414</v>
      </c>
      <c r="U1538" t="s">
        <v>48292</v>
      </c>
      <c r="W1538" t="s">
        <v>41338</v>
      </c>
      <c r="X1538" t="s">
        <v>44763</v>
      </c>
    </row>
    <row r="1539" spans="1:24">
      <c r="A1539">
        <f>HYPERLINK("https://www.philgeps.gov.ph/GEPSNONPILOT/Tender/SplashBidNoticeAbstractUI.aspx?menuIndex=3&amp;refID=7150921&amp;Result=3","7150921")</f>
        <v>0</v>
      </c>
      <c r="B1539" t="s">
        <v>772</v>
      </c>
      <c r="C1539" t="s">
        <v>5232</v>
      </c>
      <c r="D1539" t="s">
        <v>17962</v>
      </c>
      <c r="E1539" t="s">
        <v>19472</v>
      </c>
      <c r="F1539" t="s">
        <v>30900</v>
      </c>
      <c r="G1539" t="s">
        <v>30910</v>
      </c>
      <c r="H1539" t="s">
        <v>30916</v>
      </c>
      <c r="I1539" t="s">
        <v>30992</v>
      </c>
      <c r="J1539" t="s">
        <v>32209</v>
      </c>
      <c r="K1539" t="s">
        <v>40280</v>
      </c>
      <c r="M1539" t="s">
        <v>41339</v>
      </c>
      <c r="N1539" t="s">
        <v>44759</v>
      </c>
      <c r="O1539" t="s">
        <v>44760</v>
      </c>
      <c r="P1539">
        <v>0</v>
      </c>
      <c r="Q1539">
        <v>4</v>
      </c>
      <c r="R1539" t="s">
        <v>44762</v>
      </c>
      <c r="S1539" t="s">
        <v>44863</v>
      </c>
      <c r="T1539" t="s">
        <v>46414</v>
      </c>
      <c r="U1539" t="s">
        <v>48293</v>
      </c>
      <c r="W1539" t="s">
        <v>41339</v>
      </c>
      <c r="X1539" t="s">
        <v>44763</v>
      </c>
    </row>
    <row r="1540" spans="1:24">
      <c r="A1540">
        <f>HYPERLINK("https://www.philgeps.gov.ph/GEPSNONPILOT/Tender/SplashBidNoticeAbstractUI.aspx?menuIndex=3&amp;refID=7150912&amp;Result=3","7150912")</f>
        <v>0</v>
      </c>
      <c r="B1540" t="s">
        <v>411</v>
      </c>
      <c r="C1540" t="s">
        <v>5233</v>
      </c>
      <c r="D1540" t="s">
        <v>17959</v>
      </c>
      <c r="E1540" t="s">
        <v>19473</v>
      </c>
      <c r="F1540" t="s">
        <v>30900</v>
      </c>
      <c r="G1540" t="s">
        <v>30910</v>
      </c>
      <c r="H1540" t="s">
        <v>30916</v>
      </c>
      <c r="I1540" t="s">
        <v>30921</v>
      </c>
      <c r="J1540" t="s">
        <v>31105</v>
      </c>
      <c r="K1540" t="s">
        <v>40283</v>
      </c>
      <c r="M1540" t="s">
        <v>40967</v>
      </c>
      <c r="N1540" t="s">
        <v>44759</v>
      </c>
      <c r="O1540" t="s">
        <v>44760</v>
      </c>
      <c r="P1540">
        <v>0</v>
      </c>
      <c r="Q1540">
        <v>6</v>
      </c>
      <c r="R1540" t="s">
        <v>44762</v>
      </c>
      <c r="S1540" t="s">
        <v>44863</v>
      </c>
      <c r="T1540" t="s">
        <v>46424</v>
      </c>
      <c r="U1540" t="s">
        <v>48294</v>
      </c>
      <c r="V1540" t="s">
        <v>59300</v>
      </c>
      <c r="W1540" t="s">
        <v>40967</v>
      </c>
      <c r="X1540" t="s">
        <v>44763</v>
      </c>
    </row>
    <row r="1541" spans="1:24">
      <c r="A1541">
        <f>HYPERLINK("https://www.philgeps.gov.ph/GEPSNONPILOT/Tender/SplashBidNoticeAbstractUI.aspx?menuIndex=3&amp;refID=7150835&amp;Result=3","7150835")</f>
        <v>0</v>
      </c>
      <c r="B1541" t="s">
        <v>762</v>
      </c>
      <c r="C1541" t="s">
        <v>5234</v>
      </c>
      <c r="D1541" t="s">
        <v>18013</v>
      </c>
      <c r="E1541" t="s">
        <v>19374</v>
      </c>
      <c r="F1541" t="s">
        <v>30900</v>
      </c>
      <c r="G1541" t="s">
        <v>30908</v>
      </c>
      <c r="H1541" t="s">
        <v>30916</v>
      </c>
      <c r="I1541" t="s">
        <v>30976</v>
      </c>
      <c r="J1541" t="s">
        <v>32210</v>
      </c>
      <c r="K1541" t="s">
        <v>40286</v>
      </c>
      <c r="M1541" t="s">
        <v>41328</v>
      </c>
      <c r="N1541" t="s">
        <v>44759</v>
      </c>
      <c r="O1541" t="s">
        <v>44760</v>
      </c>
      <c r="P1541">
        <v>0</v>
      </c>
      <c r="Q1541">
        <v>2</v>
      </c>
      <c r="R1541" t="s">
        <v>44762</v>
      </c>
      <c r="S1541" t="s">
        <v>44863</v>
      </c>
      <c r="T1541" t="s">
        <v>46414</v>
      </c>
      <c r="U1541" t="s">
        <v>48274</v>
      </c>
      <c r="W1541" t="s">
        <v>41328</v>
      </c>
      <c r="X1541" t="s">
        <v>44763</v>
      </c>
    </row>
    <row r="1542" spans="1:24">
      <c r="A1542">
        <f>HYPERLINK("https://www.philgeps.gov.ph/GEPSNONPILOT/Tender/SplashBidNoticeAbstractUI.aspx?menuIndex=3&amp;refID=7150951&amp;Result=3","7150951")</f>
        <v>0</v>
      </c>
      <c r="B1542" t="s">
        <v>725</v>
      </c>
      <c r="C1542" t="s">
        <v>5235</v>
      </c>
      <c r="D1542" t="s">
        <v>18004</v>
      </c>
      <c r="E1542" t="s">
        <v>19474</v>
      </c>
      <c r="F1542" t="s">
        <v>30900</v>
      </c>
      <c r="G1542" t="s">
        <v>30907</v>
      </c>
      <c r="H1542" t="s">
        <v>30916</v>
      </c>
      <c r="I1542" t="s">
        <v>8044</v>
      </c>
      <c r="J1542" t="s">
        <v>32211</v>
      </c>
      <c r="K1542" t="s">
        <v>40284</v>
      </c>
      <c r="M1542" t="s">
        <v>41289</v>
      </c>
      <c r="N1542" t="s">
        <v>44759</v>
      </c>
      <c r="O1542" t="s">
        <v>44760</v>
      </c>
      <c r="P1542">
        <v>0</v>
      </c>
      <c r="Q1542">
        <v>0</v>
      </c>
      <c r="R1542" t="s">
        <v>44762</v>
      </c>
      <c r="S1542" t="s">
        <v>44863</v>
      </c>
      <c r="T1542" t="s">
        <v>46532</v>
      </c>
      <c r="U1542" t="s">
        <v>48295</v>
      </c>
      <c r="W1542" t="s">
        <v>41289</v>
      </c>
      <c r="X1542" t="s">
        <v>44763</v>
      </c>
    </row>
    <row r="1543" spans="1:24">
      <c r="A1543">
        <f>HYPERLINK("https://www.philgeps.gov.ph/GEPSNONPILOT/Tender/SplashBidNoticeAbstractUI.aspx?menuIndex=3&amp;refID=7150928&amp;Result=3","7150928")</f>
        <v>0</v>
      </c>
      <c r="B1543" t="s">
        <v>725</v>
      </c>
      <c r="C1543" t="s">
        <v>5235</v>
      </c>
      <c r="D1543" t="s">
        <v>18004</v>
      </c>
      <c r="E1543" t="s">
        <v>19475</v>
      </c>
      <c r="F1543" t="s">
        <v>30900</v>
      </c>
      <c r="G1543" t="s">
        <v>30907</v>
      </c>
      <c r="H1543" t="s">
        <v>30916</v>
      </c>
      <c r="I1543" t="s">
        <v>8044</v>
      </c>
      <c r="J1543" t="s">
        <v>32212</v>
      </c>
      <c r="K1543" t="s">
        <v>40284</v>
      </c>
      <c r="M1543" t="s">
        <v>41289</v>
      </c>
      <c r="N1543" t="s">
        <v>44759</v>
      </c>
      <c r="O1543" t="s">
        <v>44760</v>
      </c>
      <c r="P1543">
        <v>0</v>
      </c>
      <c r="Q1543">
        <v>0</v>
      </c>
      <c r="R1543" t="s">
        <v>44762</v>
      </c>
      <c r="S1543" t="s">
        <v>44863</v>
      </c>
      <c r="T1543" t="s">
        <v>46532</v>
      </c>
      <c r="U1543" t="s">
        <v>48295</v>
      </c>
      <c r="W1543" t="s">
        <v>41289</v>
      </c>
      <c r="X1543" t="s">
        <v>44763</v>
      </c>
    </row>
    <row r="1544" spans="1:24">
      <c r="A1544">
        <f>HYPERLINK("https://www.philgeps.gov.ph/GEPSNONPILOT/Tender/SplashBidNoticeAbstractUI.aspx?menuIndex=3&amp;refID=7150893&amp;Result=3","7150893")</f>
        <v>0</v>
      </c>
      <c r="B1544" t="s">
        <v>591</v>
      </c>
      <c r="C1544" t="s">
        <v>5236</v>
      </c>
      <c r="D1544" t="s">
        <v>17998</v>
      </c>
      <c r="E1544" t="s">
        <v>19476</v>
      </c>
      <c r="F1544" t="s">
        <v>30900</v>
      </c>
      <c r="G1544" t="s">
        <v>30908</v>
      </c>
      <c r="H1544" t="s">
        <v>30916</v>
      </c>
      <c r="I1544" t="s">
        <v>10847</v>
      </c>
      <c r="J1544" t="s">
        <v>32213</v>
      </c>
      <c r="K1544" t="s">
        <v>40286</v>
      </c>
      <c r="M1544" t="s">
        <v>41340</v>
      </c>
      <c r="N1544" t="s">
        <v>44759</v>
      </c>
      <c r="O1544" t="s">
        <v>44760</v>
      </c>
      <c r="P1544">
        <v>0</v>
      </c>
      <c r="Q1544">
        <v>0</v>
      </c>
      <c r="R1544" t="s">
        <v>44762</v>
      </c>
      <c r="S1544" t="s">
        <v>44863</v>
      </c>
      <c r="T1544" t="s">
        <v>46389</v>
      </c>
      <c r="U1544" t="s">
        <v>48296</v>
      </c>
      <c r="W1544" t="s">
        <v>41340</v>
      </c>
      <c r="X1544" t="s">
        <v>44763</v>
      </c>
    </row>
    <row r="1545" spans="1:24">
      <c r="A1545">
        <f>HYPERLINK("https://www.philgeps.gov.ph/GEPSNONPILOT/Tender/SplashBidNoticeAbstractUI.aspx?menuIndex=3&amp;refID=7150947&amp;Result=3","7150947")</f>
        <v>0</v>
      </c>
      <c r="B1545" t="s">
        <v>773</v>
      </c>
      <c r="C1545" t="s">
        <v>5237</v>
      </c>
      <c r="D1545" t="s">
        <v>17988</v>
      </c>
      <c r="E1545" t="s">
        <v>19477</v>
      </c>
      <c r="F1545" t="s">
        <v>30900</v>
      </c>
      <c r="G1545" t="s">
        <v>30909</v>
      </c>
      <c r="H1545" t="s">
        <v>30916</v>
      </c>
      <c r="I1545" t="s">
        <v>4004</v>
      </c>
      <c r="J1545" t="s">
        <v>31183</v>
      </c>
      <c r="K1545" t="s">
        <v>40289</v>
      </c>
      <c r="M1545" t="s">
        <v>41341</v>
      </c>
      <c r="N1545" t="s">
        <v>44759</v>
      </c>
      <c r="O1545" t="s">
        <v>44760</v>
      </c>
      <c r="P1545">
        <v>0</v>
      </c>
      <c r="Q1545">
        <v>0</v>
      </c>
      <c r="R1545" t="s">
        <v>44762</v>
      </c>
      <c r="S1545" t="s">
        <v>44863</v>
      </c>
      <c r="T1545" t="s">
        <v>46374</v>
      </c>
      <c r="U1545" t="s">
        <v>48297</v>
      </c>
      <c r="W1545" t="s">
        <v>41341</v>
      </c>
      <c r="X1545" t="s">
        <v>44763</v>
      </c>
    </row>
    <row r="1546" spans="1:24">
      <c r="A1546">
        <f>HYPERLINK("https://www.philgeps.gov.ph/GEPSNONPILOT/Tender/SplashBidNoticeAbstractUI.aspx?menuIndex=3&amp;refID=7150945&amp;Result=3","7150945")</f>
        <v>0</v>
      </c>
      <c r="B1546" t="s">
        <v>749</v>
      </c>
      <c r="C1546" t="s">
        <v>5238</v>
      </c>
      <c r="D1546" t="s">
        <v>17952</v>
      </c>
      <c r="E1546" t="s">
        <v>19478</v>
      </c>
      <c r="F1546" t="s">
        <v>30900</v>
      </c>
      <c r="G1546" t="s">
        <v>30909</v>
      </c>
      <c r="H1546" t="s">
        <v>30916</v>
      </c>
      <c r="I1546" t="s">
        <v>8123</v>
      </c>
      <c r="J1546" t="s">
        <v>32214</v>
      </c>
      <c r="K1546" t="s">
        <v>40288</v>
      </c>
      <c r="M1546" t="s">
        <v>41313</v>
      </c>
      <c r="N1546" t="s">
        <v>44759</v>
      </c>
      <c r="O1546" t="s">
        <v>44760</v>
      </c>
      <c r="P1546">
        <v>0</v>
      </c>
      <c r="Q1546">
        <v>0</v>
      </c>
      <c r="R1546" t="s">
        <v>44762</v>
      </c>
      <c r="S1546" t="s">
        <v>44863</v>
      </c>
      <c r="T1546" t="s">
        <v>46390</v>
      </c>
      <c r="U1546" t="s">
        <v>48298</v>
      </c>
      <c r="W1546" t="s">
        <v>41313</v>
      </c>
      <c r="X1546" t="s">
        <v>44763</v>
      </c>
    </row>
    <row r="1547" spans="1:24">
      <c r="A1547">
        <f>HYPERLINK("https://www.philgeps.gov.ph/GEPSNONPILOT/Tender/SplashBidNoticeAbstractUI.aspx?menuIndex=3&amp;refID=7150943&amp;Result=3","7150943")</f>
        <v>0</v>
      </c>
      <c r="B1547" t="s">
        <v>765</v>
      </c>
      <c r="C1547" t="s">
        <v>5239</v>
      </c>
      <c r="D1547" t="s">
        <v>17985</v>
      </c>
      <c r="E1547" t="s">
        <v>19479</v>
      </c>
      <c r="F1547" t="s">
        <v>30900</v>
      </c>
      <c r="G1547" t="s">
        <v>30908</v>
      </c>
      <c r="H1547" t="s">
        <v>30916</v>
      </c>
      <c r="I1547" t="s">
        <v>6746</v>
      </c>
      <c r="J1547" t="s">
        <v>32215</v>
      </c>
      <c r="K1547" t="s">
        <v>40289</v>
      </c>
      <c r="M1547" t="s">
        <v>41331</v>
      </c>
      <c r="N1547" t="s">
        <v>44759</v>
      </c>
      <c r="O1547" t="s">
        <v>44760</v>
      </c>
      <c r="P1547">
        <v>0</v>
      </c>
      <c r="Q1547">
        <v>0</v>
      </c>
      <c r="R1547" t="s">
        <v>44762</v>
      </c>
      <c r="S1547" t="s">
        <v>44863</v>
      </c>
      <c r="T1547" t="s">
        <v>46414</v>
      </c>
      <c r="U1547" t="s">
        <v>48299</v>
      </c>
      <c r="W1547" t="s">
        <v>41331</v>
      </c>
      <c r="X1547" t="s">
        <v>44763</v>
      </c>
    </row>
    <row r="1548" spans="1:24">
      <c r="A1548">
        <f>HYPERLINK("https://www.philgeps.gov.ph/GEPSNONPILOT/Tender/SplashBidNoticeAbstractUI.aspx?menuIndex=3&amp;refID=7150950&amp;Result=3","7150950")</f>
        <v>0</v>
      </c>
      <c r="B1548" t="s">
        <v>545</v>
      </c>
      <c r="C1548" t="s">
        <v>5240</v>
      </c>
      <c r="E1548" t="s">
        <v>19020</v>
      </c>
      <c r="F1548" t="s">
        <v>30900</v>
      </c>
      <c r="G1548" t="s">
        <v>30908</v>
      </c>
      <c r="H1548" t="s">
        <v>30916</v>
      </c>
      <c r="I1548" t="s">
        <v>30935</v>
      </c>
      <c r="J1548" t="s">
        <v>31043</v>
      </c>
      <c r="K1548" t="s">
        <v>40289</v>
      </c>
      <c r="M1548" t="s">
        <v>41106</v>
      </c>
      <c r="N1548" t="s">
        <v>44759</v>
      </c>
      <c r="O1548" t="s">
        <v>44760</v>
      </c>
      <c r="P1548">
        <v>0</v>
      </c>
      <c r="Q1548">
        <v>0</v>
      </c>
      <c r="R1548" t="s">
        <v>44762</v>
      </c>
      <c r="S1548" t="s">
        <v>44863</v>
      </c>
      <c r="T1548" t="s">
        <v>46398</v>
      </c>
      <c r="U1548" t="s">
        <v>48300</v>
      </c>
      <c r="W1548" t="s">
        <v>41106</v>
      </c>
      <c r="X1548" t="s">
        <v>44763</v>
      </c>
    </row>
    <row r="1549" spans="1:24">
      <c r="A1549">
        <f>HYPERLINK("https://www.philgeps.gov.ph/GEPSNONPILOT/Tender/SplashBidNoticeAbstractUI.aspx?menuIndex=3&amp;refID=7150942&amp;Result=3","7150942")</f>
        <v>0</v>
      </c>
      <c r="B1549" t="s">
        <v>732</v>
      </c>
      <c r="C1549" t="s">
        <v>5241</v>
      </c>
      <c r="D1549" t="s">
        <v>17963</v>
      </c>
      <c r="E1549" t="s">
        <v>19480</v>
      </c>
      <c r="F1549" t="s">
        <v>30900</v>
      </c>
      <c r="G1549" t="s">
        <v>30908</v>
      </c>
      <c r="H1549" t="s">
        <v>30916</v>
      </c>
      <c r="I1549" t="s">
        <v>30921</v>
      </c>
      <c r="J1549" t="s">
        <v>32216</v>
      </c>
      <c r="K1549" t="s">
        <v>40289</v>
      </c>
      <c r="M1549" t="s">
        <v>41296</v>
      </c>
      <c r="N1549" t="s">
        <v>44759</v>
      </c>
      <c r="O1549" t="s">
        <v>44760</v>
      </c>
      <c r="P1549">
        <v>0</v>
      </c>
      <c r="Q1549">
        <v>0</v>
      </c>
      <c r="R1549" t="s">
        <v>44762</v>
      </c>
      <c r="S1549" t="s">
        <v>44863</v>
      </c>
      <c r="T1549" t="s">
        <v>46379</v>
      </c>
      <c r="U1549" t="s">
        <v>48301</v>
      </c>
      <c r="W1549" t="s">
        <v>41296</v>
      </c>
      <c r="X1549" t="s">
        <v>44763</v>
      </c>
    </row>
    <row r="1550" spans="1:24">
      <c r="A1550">
        <f>HYPERLINK("https://www.philgeps.gov.ph/GEPSNONPILOT/Tender/SplashBidNoticeAbstractUI.aspx?menuIndex=3&amp;refID=7150948&amp;Result=3","7150948")</f>
        <v>0</v>
      </c>
      <c r="B1550" t="s">
        <v>764</v>
      </c>
      <c r="C1550" t="s">
        <v>5242</v>
      </c>
      <c r="D1550" t="s">
        <v>17998</v>
      </c>
      <c r="E1550" t="s">
        <v>19481</v>
      </c>
      <c r="F1550" t="s">
        <v>30900</v>
      </c>
      <c r="G1550" t="s">
        <v>30907</v>
      </c>
      <c r="H1550" t="s">
        <v>30916</v>
      </c>
      <c r="I1550" t="s">
        <v>30927</v>
      </c>
      <c r="J1550" t="s">
        <v>32217</v>
      </c>
      <c r="K1550" t="s">
        <v>40286</v>
      </c>
      <c r="M1550" t="s">
        <v>41330</v>
      </c>
      <c r="N1550" t="s">
        <v>44759</v>
      </c>
      <c r="O1550" t="s">
        <v>44760</v>
      </c>
      <c r="P1550">
        <v>0</v>
      </c>
      <c r="Q1550">
        <v>0</v>
      </c>
      <c r="R1550" t="s">
        <v>44762</v>
      </c>
      <c r="S1550" t="s">
        <v>44863</v>
      </c>
      <c r="T1550" t="s">
        <v>46425</v>
      </c>
      <c r="U1550" t="s">
        <v>48302</v>
      </c>
      <c r="W1550" t="s">
        <v>41330</v>
      </c>
      <c r="X1550" t="s">
        <v>44763</v>
      </c>
    </row>
    <row r="1551" spans="1:24">
      <c r="A1551">
        <f>HYPERLINK("https://www.philgeps.gov.ph/GEPSNONPILOT/Tender/SplashBidNoticeAbstractUI.aspx?menuIndex=3&amp;refID=7150913&amp;Result=3","7150913")</f>
        <v>0</v>
      </c>
      <c r="B1551" t="s">
        <v>773</v>
      </c>
      <c r="C1551" t="s">
        <v>5243</v>
      </c>
      <c r="D1551" t="s">
        <v>17988</v>
      </c>
      <c r="E1551" t="s">
        <v>19482</v>
      </c>
      <c r="F1551" t="s">
        <v>30900</v>
      </c>
      <c r="G1551" t="s">
        <v>30909</v>
      </c>
      <c r="H1551" t="s">
        <v>30916</v>
      </c>
      <c r="I1551" t="s">
        <v>4454</v>
      </c>
      <c r="J1551" t="s">
        <v>31204</v>
      </c>
      <c r="K1551" t="s">
        <v>40289</v>
      </c>
      <c r="M1551" t="s">
        <v>41341</v>
      </c>
      <c r="N1551" t="s">
        <v>44759</v>
      </c>
      <c r="O1551" t="s">
        <v>44760</v>
      </c>
      <c r="P1551">
        <v>0</v>
      </c>
      <c r="Q1551">
        <v>1</v>
      </c>
      <c r="R1551" t="s">
        <v>44762</v>
      </c>
      <c r="S1551" t="s">
        <v>44863</v>
      </c>
      <c r="T1551" t="s">
        <v>46374</v>
      </c>
      <c r="U1551" t="s">
        <v>48303</v>
      </c>
      <c r="W1551" t="s">
        <v>41341</v>
      </c>
      <c r="X1551" t="s">
        <v>44763</v>
      </c>
    </row>
    <row r="1552" spans="1:24">
      <c r="A1552">
        <f>HYPERLINK("https://www.philgeps.gov.ph/GEPSNONPILOT/Tender/SplashBidNoticeAbstractUI.aspx?menuIndex=3&amp;refID=7150944&amp;Result=3","7150944")</f>
        <v>0</v>
      </c>
      <c r="B1552" t="s">
        <v>774</v>
      </c>
      <c r="C1552" t="s">
        <v>5244</v>
      </c>
      <c r="D1552" t="s">
        <v>17993</v>
      </c>
      <c r="E1552" t="s">
        <v>19483</v>
      </c>
      <c r="F1552" t="s">
        <v>30900</v>
      </c>
      <c r="G1552" t="s">
        <v>30909</v>
      </c>
      <c r="H1552" t="s">
        <v>30916</v>
      </c>
      <c r="I1552" t="s">
        <v>4004</v>
      </c>
      <c r="J1552" t="s">
        <v>31049</v>
      </c>
      <c r="K1552" t="s">
        <v>40331</v>
      </c>
      <c r="M1552" t="s">
        <v>41342</v>
      </c>
      <c r="N1552" t="s">
        <v>44759</v>
      </c>
      <c r="O1552" t="s">
        <v>44760</v>
      </c>
      <c r="P1552">
        <v>0</v>
      </c>
      <c r="Q1552">
        <v>2</v>
      </c>
      <c r="R1552" t="s">
        <v>44762</v>
      </c>
      <c r="S1552" t="s">
        <v>44863</v>
      </c>
      <c r="T1552" t="s">
        <v>46399</v>
      </c>
      <c r="U1552" t="s">
        <v>48304</v>
      </c>
      <c r="W1552" t="s">
        <v>41342</v>
      </c>
      <c r="X1552" t="s">
        <v>44763</v>
      </c>
    </row>
    <row r="1553" spans="1:24">
      <c r="A1553">
        <f>HYPERLINK("https://www.philgeps.gov.ph/GEPSNONPILOT/Tender/SplashBidNoticeAbstractUI.aspx?menuIndex=3&amp;refID=7150938&amp;Result=3","7150938")</f>
        <v>0</v>
      </c>
      <c r="B1553" t="s">
        <v>710</v>
      </c>
      <c r="C1553" t="s">
        <v>5245</v>
      </c>
      <c r="E1553" t="s">
        <v>19484</v>
      </c>
      <c r="F1553" t="s">
        <v>30900</v>
      </c>
      <c r="G1553" t="s">
        <v>30908</v>
      </c>
      <c r="H1553" t="s">
        <v>30916</v>
      </c>
      <c r="I1553" t="s">
        <v>4050</v>
      </c>
      <c r="J1553" t="s">
        <v>32218</v>
      </c>
      <c r="K1553" t="s">
        <v>40289</v>
      </c>
      <c r="M1553" t="s">
        <v>41274</v>
      </c>
      <c r="N1553" t="s">
        <v>44759</v>
      </c>
      <c r="O1553" t="s">
        <v>44760</v>
      </c>
      <c r="P1553">
        <v>0</v>
      </c>
      <c r="Q1553">
        <v>0</v>
      </c>
      <c r="R1553" t="s">
        <v>44762</v>
      </c>
      <c r="S1553" t="s">
        <v>44863</v>
      </c>
      <c r="T1553" t="s">
        <v>46390</v>
      </c>
      <c r="U1553" t="s">
        <v>48305</v>
      </c>
      <c r="W1553" t="s">
        <v>41274</v>
      </c>
      <c r="X1553" t="s">
        <v>44763</v>
      </c>
    </row>
    <row r="1554" spans="1:24">
      <c r="A1554">
        <f>HYPERLINK("https://www.philgeps.gov.ph/GEPSNONPILOT/Tender/SplashBidNoticeAbstractUI.aspx?menuIndex=3&amp;refID=7150941&amp;Result=3","7150941")</f>
        <v>0</v>
      </c>
      <c r="B1554" t="s">
        <v>775</v>
      </c>
      <c r="C1554" t="s">
        <v>5246</v>
      </c>
      <c r="D1554" t="s">
        <v>17959</v>
      </c>
      <c r="E1554" t="s">
        <v>19485</v>
      </c>
      <c r="F1554" t="s">
        <v>30900</v>
      </c>
      <c r="G1554" t="s">
        <v>30909</v>
      </c>
      <c r="H1554" t="s">
        <v>30916</v>
      </c>
      <c r="I1554" t="s">
        <v>30934</v>
      </c>
      <c r="J1554" t="s">
        <v>32219</v>
      </c>
      <c r="K1554" t="s">
        <v>40283</v>
      </c>
      <c r="M1554" t="s">
        <v>41343</v>
      </c>
      <c r="N1554" t="s">
        <v>44759</v>
      </c>
      <c r="O1554" t="s">
        <v>44760</v>
      </c>
      <c r="P1554">
        <v>0</v>
      </c>
      <c r="Q1554">
        <v>4</v>
      </c>
      <c r="R1554" t="s">
        <v>44762</v>
      </c>
      <c r="S1554" t="s">
        <v>44863</v>
      </c>
      <c r="T1554" t="s">
        <v>46424</v>
      </c>
      <c r="U1554" t="s">
        <v>48306</v>
      </c>
      <c r="W1554" t="s">
        <v>41343</v>
      </c>
      <c r="X1554" t="s">
        <v>44763</v>
      </c>
    </row>
    <row r="1555" spans="1:24">
      <c r="A1555">
        <f>HYPERLINK("https://www.philgeps.gov.ph/GEPSNONPILOT/Tender/SplashBidNoticeAbstractUI.aspx?menuIndex=3&amp;refID=7150915&amp;Result=3","7150915")</f>
        <v>0</v>
      </c>
      <c r="B1555" t="s">
        <v>718</v>
      </c>
      <c r="C1555" t="s">
        <v>5247</v>
      </c>
      <c r="D1555" t="s">
        <v>17980</v>
      </c>
      <c r="E1555" t="s">
        <v>19486</v>
      </c>
      <c r="F1555" t="s">
        <v>30900</v>
      </c>
      <c r="G1555" t="s">
        <v>30907</v>
      </c>
      <c r="H1555" t="s">
        <v>30916</v>
      </c>
      <c r="I1555" t="s">
        <v>30923</v>
      </c>
      <c r="J1555" t="s">
        <v>32220</v>
      </c>
      <c r="K1555" t="s">
        <v>40286</v>
      </c>
      <c r="M1555" t="s">
        <v>41282</v>
      </c>
      <c r="N1555" t="s">
        <v>44759</v>
      </c>
      <c r="O1555" t="s">
        <v>44760</v>
      </c>
      <c r="P1555">
        <v>0</v>
      </c>
      <c r="Q1555">
        <v>5</v>
      </c>
      <c r="R1555" t="s">
        <v>44762</v>
      </c>
      <c r="S1555" t="s">
        <v>44863</v>
      </c>
      <c r="T1555" t="s">
        <v>46400</v>
      </c>
      <c r="U1555" t="s">
        <v>48206</v>
      </c>
      <c r="V1555" t="s">
        <v>59288</v>
      </c>
      <c r="W1555" t="s">
        <v>41282</v>
      </c>
      <c r="X1555" t="s">
        <v>44763</v>
      </c>
    </row>
    <row r="1556" spans="1:24">
      <c r="A1556">
        <f>HYPERLINK("https://www.philgeps.gov.ph/GEPSNONPILOT/Tender/SplashBidNoticeAbstractUI.aspx?menuIndex=3&amp;refID=7150935&amp;Result=3","7150935")</f>
        <v>0</v>
      </c>
      <c r="B1556" t="s">
        <v>754</v>
      </c>
      <c r="C1556" t="s">
        <v>5248</v>
      </c>
      <c r="D1556" t="s">
        <v>17961</v>
      </c>
      <c r="E1556" t="s">
        <v>19487</v>
      </c>
      <c r="F1556" t="s">
        <v>30900</v>
      </c>
      <c r="G1556" t="s">
        <v>30908</v>
      </c>
      <c r="H1556" t="s">
        <v>30916</v>
      </c>
      <c r="I1556" t="s">
        <v>4017</v>
      </c>
      <c r="J1556" t="s">
        <v>32221</v>
      </c>
      <c r="K1556" t="s">
        <v>40289</v>
      </c>
      <c r="M1556" t="s">
        <v>41318</v>
      </c>
      <c r="N1556" t="s">
        <v>44759</v>
      </c>
      <c r="O1556" t="s">
        <v>44760</v>
      </c>
      <c r="P1556">
        <v>0</v>
      </c>
      <c r="Q1556">
        <v>2</v>
      </c>
      <c r="R1556" t="s">
        <v>44762</v>
      </c>
      <c r="S1556" t="s">
        <v>44863</v>
      </c>
      <c r="T1556" t="s">
        <v>46538</v>
      </c>
      <c r="U1556" t="s">
        <v>48307</v>
      </c>
      <c r="W1556" t="s">
        <v>41318</v>
      </c>
      <c r="X1556" t="s">
        <v>44763</v>
      </c>
    </row>
    <row r="1557" spans="1:24">
      <c r="A1557">
        <f>HYPERLINK("https://www.philgeps.gov.ph/GEPSNONPILOT/Tender/SplashBidNoticeAbstractUI.aspx?menuIndex=3&amp;refID=7150939&amp;Result=3","7150939")</f>
        <v>0</v>
      </c>
      <c r="B1557" t="s">
        <v>384</v>
      </c>
      <c r="C1557" t="s">
        <v>3996</v>
      </c>
      <c r="D1557" t="s">
        <v>17987</v>
      </c>
      <c r="E1557" t="s">
        <v>19488</v>
      </c>
      <c r="F1557" t="s">
        <v>30900</v>
      </c>
      <c r="G1557" t="s">
        <v>30909</v>
      </c>
      <c r="H1557" t="s">
        <v>30916</v>
      </c>
      <c r="I1557" t="s">
        <v>4142</v>
      </c>
      <c r="J1557" t="s">
        <v>32200</v>
      </c>
      <c r="K1557" t="s">
        <v>40287</v>
      </c>
      <c r="M1557" t="s">
        <v>40939</v>
      </c>
      <c r="N1557" t="s">
        <v>44759</v>
      </c>
      <c r="O1557" t="s">
        <v>44760</v>
      </c>
      <c r="P1557">
        <v>0</v>
      </c>
      <c r="Q1557">
        <v>0</v>
      </c>
      <c r="R1557" t="s">
        <v>44762</v>
      </c>
      <c r="S1557" t="s">
        <v>44863</v>
      </c>
      <c r="T1557" t="s">
        <v>46409</v>
      </c>
      <c r="U1557" t="s">
        <v>48308</v>
      </c>
      <c r="W1557" t="s">
        <v>40939</v>
      </c>
      <c r="X1557" t="s">
        <v>44763</v>
      </c>
    </row>
    <row r="1558" spans="1:24">
      <c r="A1558">
        <f>HYPERLINK("https://www.philgeps.gov.ph/GEPSNONPILOT/Tender/SplashBidNoticeAbstractUI.aspx?menuIndex=3&amp;refID=7150977&amp;Result=3","7150977")</f>
        <v>0</v>
      </c>
      <c r="B1558" t="s">
        <v>776</v>
      </c>
      <c r="C1558" t="s">
        <v>5249</v>
      </c>
      <c r="D1558" t="s">
        <v>17952</v>
      </c>
      <c r="E1558" t="s">
        <v>19262</v>
      </c>
      <c r="F1558" t="s">
        <v>30900</v>
      </c>
      <c r="G1558" t="s">
        <v>30907</v>
      </c>
      <c r="H1558" t="s">
        <v>30916</v>
      </c>
      <c r="I1558" t="s">
        <v>30948</v>
      </c>
      <c r="J1558" t="s">
        <v>31522</v>
      </c>
      <c r="K1558" t="s">
        <v>40289</v>
      </c>
      <c r="M1558" t="s">
        <v>41344</v>
      </c>
      <c r="N1558" t="s">
        <v>44759</v>
      </c>
      <c r="O1558" t="s">
        <v>44760</v>
      </c>
      <c r="P1558">
        <v>0</v>
      </c>
      <c r="Q1558">
        <v>1</v>
      </c>
      <c r="R1558" t="s">
        <v>44762</v>
      </c>
      <c r="S1558" t="s">
        <v>44863</v>
      </c>
      <c r="T1558" t="s">
        <v>46467</v>
      </c>
      <c r="U1558" t="s">
        <v>48309</v>
      </c>
      <c r="W1558" t="s">
        <v>41344</v>
      </c>
      <c r="X1558" t="s">
        <v>44763</v>
      </c>
    </row>
    <row r="1559" spans="1:24">
      <c r="A1559">
        <f>HYPERLINK("https://www.philgeps.gov.ph/GEPSNONPILOT/Tender/SplashBidNoticeAbstractUI.aspx?menuIndex=3&amp;refID=7150975&amp;Result=3","7150975")</f>
        <v>0</v>
      </c>
      <c r="B1559" t="s">
        <v>777</v>
      </c>
      <c r="C1559" t="s">
        <v>5250</v>
      </c>
      <c r="D1559" t="s">
        <v>17961</v>
      </c>
      <c r="E1559" t="s">
        <v>19489</v>
      </c>
      <c r="F1559" t="s">
        <v>30900</v>
      </c>
      <c r="G1559" t="s">
        <v>30908</v>
      </c>
      <c r="H1559" t="s">
        <v>30916</v>
      </c>
      <c r="I1559" t="s">
        <v>5830</v>
      </c>
      <c r="J1559" t="s">
        <v>32222</v>
      </c>
      <c r="K1559" t="s">
        <v>40280</v>
      </c>
      <c r="M1559" t="s">
        <v>41345</v>
      </c>
      <c r="N1559" t="s">
        <v>44759</v>
      </c>
      <c r="O1559" t="s">
        <v>44760</v>
      </c>
      <c r="P1559">
        <v>0</v>
      </c>
      <c r="Q1559">
        <v>0</v>
      </c>
      <c r="R1559" t="s">
        <v>44762</v>
      </c>
      <c r="S1559" t="s">
        <v>44863</v>
      </c>
      <c r="T1559" t="s">
        <v>46395</v>
      </c>
      <c r="U1559" t="s">
        <v>48310</v>
      </c>
      <c r="V1559" t="s">
        <v>59301</v>
      </c>
      <c r="W1559" t="s">
        <v>41345</v>
      </c>
      <c r="X1559" t="s">
        <v>44763</v>
      </c>
    </row>
    <row r="1560" spans="1:24">
      <c r="A1560">
        <f>HYPERLINK("https://www.philgeps.gov.ph/GEPSNONPILOT/Tender/SplashBidNoticeAbstractUI.aspx?menuIndex=3&amp;refID=7150937&amp;Result=3","7150937")</f>
        <v>0</v>
      </c>
      <c r="B1560" t="s">
        <v>81</v>
      </c>
      <c r="C1560" t="s">
        <v>5251</v>
      </c>
      <c r="D1560" t="s">
        <v>17959</v>
      </c>
      <c r="E1560" t="s">
        <v>19490</v>
      </c>
      <c r="F1560" t="s">
        <v>30900</v>
      </c>
      <c r="G1560" t="s">
        <v>30907</v>
      </c>
      <c r="H1560" t="s">
        <v>30916</v>
      </c>
      <c r="I1560" t="s">
        <v>30923</v>
      </c>
      <c r="J1560" t="s">
        <v>32223</v>
      </c>
      <c r="K1560" t="s">
        <v>40289</v>
      </c>
      <c r="M1560" t="s">
        <v>41346</v>
      </c>
      <c r="N1560" t="s">
        <v>44759</v>
      </c>
      <c r="O1560" t="s">
        <v>44760</v>
      </c>
      <c r="P1560">
        <v>0</v>
      </c>
      <c r="Q1560">
        <v>8</v>
      </c>
      <c r="R1560" t="s">
        <v>44762</v>
      </c>
      <c r="S1560" t="s">
        <v>44863</v>
      </c>
      <c r="T1560" t="s">
        <v>46405</v>
      </c>
      <c r="U1560" t="s">
        <v>48311</v>
      </c>
      <c r="W1560" t="s">
        <v>41346</v>
      </c>
      <c r="X1560" t="s">
        <v>44763</v>
      </c>
    </row>
    <row r="1561" spans="1:24">
      <c r="A1561">
        <f>HYPERLINK("https://www.philgeps.gov.ph/GEPSNONPILOT/Tender/SplashBidNoticeAbstractUI.aspx?menuIndex=3&amp;refID=7150974&amp;Result=3","7150974")</f>
        <v>0</v>
      </c>
      <c r="B1561" t="s">
        <v>778</v>
      </c>
      <c r="C1561" t="s">
        <v>5252</v>
      </c>
      <c r="D1561" t="s">
        <v>17993</v>
      </c>
      <c r="E1561" t="s">
        <v>19491</v>
      </c>
      <c r="F1561" t="s">
        <v>30900</v>
      </c>
      <c r="G1561" t="s">
        <v>30907</v>
      </c>
      <c r="H1561" t="s">
        <v>30916</v>
      </c>
      <c r="I1561" t="s">
        <v>30919</v>
      </c>
      <c r="J1561" t="s">
        <v>32224</v>
      </c>
      <c r="K1561" t="s">
        <v>40304</v>
      </c>
      <c r="M1561" t="s">
        <v>41347</v>
      </c>
      <c r="N1561" t="s">
        <v>44759</v>
      </c>
      <c r="O1561" t="s">
        <v>44760</v>
      </c>
      <c r="Q1561">
        <v>1</v>
      </c>
      <c r="R1561" t="s">
        <v>44762</v>
      </c>
      <c r="S1561" t="s">
        <v>44864</v>
      </c>
      <c r="T1561" t="s">
        <v>46349</v>
      </c>
      <c r="U1561" t="s">
        <v>48312</v>
      </c>
      <c r="V1561" t="s">
        <v>59302</v>
      </c>
      <c r="W1561" t="s">
        <v>41347</v>
      </c>
      <c r="X1561" t="s">
        <v>44763</v>
      </c>
    </row>
    <row r="1562" spans="1:24">
      <c r="A1562">
        <f>HYPERLINK("https://www.philgeps.gov.ph/GEPSNONPILOT/Tender/SplashBidNoticeAbstractUI.aspx?menuIndex=3&amp;refID=7150972&amp;Result=3","7150972")</f>
        <v>0</v>
      </c>
      <c r="B1562" t="s">
        <v>711</v>
      </c>
      <c r="C1562" t="s">
        <v>5253</v>
      </c>
      <c r="D1562" t="s">
        <v>17953</v>
      </c>
      <c r="E1562" t="s">
        <v>19492</v>
      </c>
      <c r="F1562" t="s">
        <v>30900</v>
      </c>
      <c r="G1562" t="s">
        <v>30908</v>
      </c>
      <c r="H1562" t="s">
        <v>30916</v>
      </c>
      <c r="I1562" t="s">
        <v>30929</v>
      </c>
      <c r="J1562" t="s">
        <v>31130</v>
      </c>
      <c r="K1562" t="s">
        <v>40286</v>
      </c>
      <c r="M1562" t="s">
        <v>41275</v>
      </c>
      <c r="N1562" t="s">
        <v>44759</v>
      </c>
      <c r="O1562" t="s">
        <v>44760</v>
      </c>
      <c r="P1562">
        <v>0</v>
      </c>
      <c r="Q1562">
        <v>2</v>
      </c>
      <c r="R1562" t="s">
        <v>44762</v>
      </c>
      <c r="S1562" t="s">
        <v>44863</v>
      </c>
      <c r="T1562" t="s">
        <v>46414</v>
      </c>
      <c r="U1562" t="s">
        <v>48200</v>
      </c>
      <c r="V1562" t="s">
        <v>59286</v>
      </c>
      <c r="W1562" t="s">
        <v>41275</v>
      </c>
      <c r="X1562" t="s">
        <v>44763</v>
      </c>
    </row>
    <row r="1563" spans="1:24">
      <c r="A1563">
        <f>HYPERLINK("https://www.philgeps.gov.ph/GEPSNONPILOT/Tender/SplashBidNoticeAbstractUI.aspx?menuIndex=3&amp;refID=7150940&amp;Result=3","7150940")</f>
        <v>0</v>
      </c>
      <c r="B1563" t="s">
        <v>779</v>
      </c>
      <c r="C1563" t="s">
        <v>5254</v>
      </c>
      <c r="D1563" t="s">
        <v>17951</v>
      </c>
      <c r="E1563" t="s">
        <v>19493</v>
      </c>
      <c r="F1563" t="s">
        <v>30900</v>
      </c>
      <c r="G1563" t="s">
        <v>30908</v>
      </c>
      <c r="H1563" t="s">
        <v>30916</v>
      </c>
      <c r="I1563" t="s">
        <v>30923</v>
      </c>
      <c r="J1563" t="s">
        <v>32225</v>
      </c>
      <c r="K1563" t="s">
        <v>40284</v>
      </c>
      <c r="M1563" t="s">
        <v>41348</v>
      </c>
      <c r="N1563" t="s">
        <v>44759</v>
      </c>
      <c r="O1563" t="s">
        <v>44760</v>
      </c>
      <c r="P1563">
        <v>0</v>
      </c>
      <c r="Q1563">
        <v>1</v>
      </c>
      <c r="R1563" t="s">
        <v>44762</v>
      </c>
      <c r="S1563" t="s">
        <v>44863</v>
      </c>
      <c r="T1563" t="s">
        <v>46398</v>
      </c>
      <c r="U1563" t="s">
        <v>48313</v>
      </c>
      <c r="W1563" t="s">
        <v>41348</v>
      </c>
      <c r="X1563" t="s">
        <v>44763</v>
      </c>
    </row>
    <row r="1564" spans="1:24">
      <c r="A1564">
        <f>HYPERLINK("https://www.philgeps.gov.ph/GEPSNONPILOT/Tender/SplashBidNoticeAbstractUI.aspx?menuIndex=3&amp;refID=7150969&amp;Result=3","7150969")</f>
        <v>0</v>
      </c>
      <c r="B1564" t="s">
        <v>780</v>
      </c>
      <c r="C1564" t="s">
        <v>5255</v>
      </c>
      <c r="D1564" t="s">
        <v>18032</v>
      </c>
      <c r="E1564" t="s">
        <v>19494</v>
      </c>
      <c r="F1564" t="s">
        <v>30900</v>
      </c>
      <c r="G1564" t="s">
        <v>30908</v>
      </c>
      <c r="H1564" t="s">
        <v>30916</v>
      </c>
      <c r="I1564" t="s">
        <v>30963</v>
      </c>
      <c r="J1564" t="s">
        <v>32226</v>
      </c>
      <c r="K1564" t="s">
        <v>40286</v>
      </c>
      <c r="M1564" t="s">
        <v>41349</v>
      </c>
      <c r="N1564" t="s">
        <v>44759</v>
      </c>
      <c r="O1564" t="s">
        <v>44760</v>
      </c>
      <c r="P1564">
        <v>0</v>
      </c>
      <c r="Q1564">
        <v>3</v>
      </c>
      <c r="R1564" t="s">
        <v>44762</v>
      </c>
      <c r="S1564" t="s">
        <v>44863</v>
      </c>
      <c r="T1564" t="s">
        <v>46425</v>
      </c>
      <c r="U1564" t="s">
        <v>48314</v>
      </c>
      <c r="W1564" t="s">
        <v>41349</v>
      </c>
      <c r="X1564" t="s">
        <v>44763</v>
      </c>
    </row>
    <row r="1565" spans="1:24">
      <c r="A1565">
        <f>HYPERLINK("https://www.philgeps.gov.ph/GEPSNONPILOT/Tender/SplashBidNoticeAbstractUI.aspx?menuIndex=3&amp;refID=7150968&amp;Result=3","7150968")</f>
        <v>0</v>
      </c>
      <c r="B1565" t="s">
        <v>781</v>
      </c>
      <c r="C1565" t="s">
        <v>5256</v>
      </c>
      <c r="D1565" t="s">
        <v>17959</v>
      </c>
      <c r="E1565" t="s">
        <v>19495</v>
      </c>
      <c r="F1565" t="s">
        <v>30900</v>
      </c>
      <c r="G1565" t="s">
        <v>30909</v>
      </c>
      <c r="H1565" t="s">
        <v>30916</v>
      </c>
      <c r="I1565" t="s">
        <v>30923</v>
      </c>
      <c r="J1565" t="s">
        <v>32227</v>
      </c>
      <c r="K1565" t="s">
        <v>40284</v>
      </c>
      <c r="M1565" t="s">
        <v>41350</v>
      </c>
      <c r="N1565" t="s">
        <v>44759</v>
      </c>
      <c r="O1565" t="s">
        <v>44760</v>
      </c>
      <c r="P1565">
        <v>0</v>
      </c>
      <c r="Q1565">
        <v>6</v>
      </c>
      <c r="R1565" t="s">
        <v>44762</v>
      </c>
      <c r="S1565" t="s">
        <v>44863</v>
      </c>
      <c r="T1565" t="s">
        <v>46391</v>
      </c>
      <c r="U1565" t="s">
        <v>48315</v>
      </c>
      <c r="W1565" t="s">
        <v>41350</v>
      </c>
      <c r="X1565" t="s">
        <v>44763</v>
      </c>
    </row>
    <row r="1566" spans="1:24">
      <c r="A1566">
        <f>HYPERLINK("https://www.philgeps.gov.ph/GEPSNONPILOT/Tender/SplashBidNoticeAbstractUI.aspx?menuIndex=3&amp;refID=7150966&amp;Result=3","7150966")</f>
        <v>0</v>
      </c>
      <c r="B1566" t="s">
        <v>754</v>
      </c>
      <c r="C1566" t="s">
        <v>5257</v>
      </c>
      <c r="D1566" t="s">
        <v>17961</v>
      </c>
      <c r="E1566" t="s">
        <v>19496</v>
      </c>
      <c r="F1566" t="s">
        <v>30900</v>
      </c>
      <c r="G1566" t="s">
        <v>30908</v>
      </c>
      <c r="H1566" t="s">
        <v>30916</v>
      </c>
      <c r="I1566" t="s">
        <v>4017</v>
      </c>
      <c r="J1566" t="s">
        <v>32228</v>
      </c>
      <c r="K1566" t="s">
        <v>40289</v>
      </c>
      <c r="M1566" t="s">
        <v>41318</v>
      </c>
      <c r="N1566" t="s">
        <v>44759</v>
      </c>
      <c r="O1566" t="s">
        <v>44760</v>
      </c>
      <c r="P1566">
        <v>0</v>
      </c>
      <c r="Q1566">
        <v>2</v>
      </c>
      <c r="R1566" t="s">
        <v>44762</v>
      </c>
      <c r="S1566" t="s">
        <v>44863</v>
      </c>
      <c r="T1566" t="s">
        <v>46538</v>
      </c>
      <c r="U1566" t="s">
        <v>48316</v>
      </c>
      <c r="W1566" t="s">
        <v>41318</v>
      </c>
      <c r="X1566" t="s">
        <v>44763</v>
      </c>
    </row>
    <row r="1567" spans="1:24">
      <c r="A1567">
        <f>HYPERLINK("https://www.philgeps.gov.ph/GEPSNONPILOT/Tender/SplashBidNoticeAbstractUI.aspx?menuIndex=3&amp;refID=7150964&amp;Result=3","7150964")</f>
        <v>0</v>
      </c>
      <c r="B1567" t="s">
        <v>782</v>
      </c>
      <c r="C1567" t="s">
        <v>5258</v>
      </c>
      <c r="D1567" t="s">
        <v>17951</v>
      </c>
      <c r="E1567" t="s">
        <v>19497</v>
      </c>
      <c r="F1567" t="s">
        <v>30900</v>
      </c>
      <c r="G1567" t="s">
        <v>30907</v>
      </c>
      <c r="H1567" t="s">
        <v>30916</v>
      </c>
      <c r="I1567" t="s">
        <v>30922</v>
      </c>
      <c r="J1567" t="s">
        <v>32229</v>
      </c>
      <c r="K1567" t="s">
        <v>40286</v>
      </c>
      <c r="M1567" t="s">
        <v>41351</v>
      </c>
      <c r="N1567" t="s">
        <v>44759</v>
      </c>
      <c r="O1567" t="s">
        <v>44760</v>
      </c>
      <c r="P1567">
        <v>0</v>
      </c>
      <c r="Q1567">
        <v>2</v>
      </c>
      <c r="R1567" t="s">
        <v>44762</v>
      </c>
      <c r="S1567" t="s">
        <v>44863</v>
      </c>
      <c r="T1567" t="s">
        <v>46401</v>
      </c>
      <c r="U1567" t="s">
        <v>48317</v>
      </c>
      <c r="W1567" t="s">
        <v>41351</v>
      </c>
      <c r="X1567" t="s">
        <v>44763</v>
      </c>
    </row>
    <row r="1568" spans="1:24">
      <c r="A1568">
        <f>HYPERLINK("https://www.philgeps.gov.ph/GEPSNONPILOT/Tender/SplashBidNoticeAbstractUI.aspx?menuIndex=3&amp;refID=7150936&amp;Result=3","7150936")</f>
        <v>0</v>
      </c>
      <c r="B1568" t="s">
        <v>783</v>
      </c>
      <c r="C1568" t="s">
        <v>5259</v>
      </c>
      <c r="D1568" t="s">
        <v>17959</v>
      </c>
      <c r="E1568" t="s">
        <v>19498</v>
      </c>
      <c r="F1568" t="s">
        <v>30900</v>
      </c>
      <c r="G1568" t="s">
        <v>30908</v>
      </c>
      <c r="H1568" t="s">
        <v>30916</v>
      </c>
      <c r="I1568" t="s">
        <v>30923</v>
      </c>
      <c r="J1568" t="s">
        <v>32230</v>
      </c>
      <c r="K1568" t="s">
        <v>40287</v>
      </c>
      <c r="M1568" t="s">
        <v>41352</v>
      </c>
      <c r="N1568" t="s">
        <v>44759</v>
      </c>
      <c r="O1568" t="s">
        <v>44760</v>
      </c>
      <c r="P1568">
        <v>0</v>
      </c>
      <c r="Q1568">
        <v>9</v>
      </c>
      <c r="R1568" t="s">
        <v>44762</v>
      </c>
      <c r="S1568" t="s">
        <v>44863</v>
      </c>
      <c r="T1568" t="s">
        <v>46414</v>
      </c>
      <c r="U1568" t="s">
        <v>48318</v>
      </c>
      <c r="V1568" t="s">
        <v>59303</v>
      </c>
      <c r="W1568" t="s">
        <v>41352</v>
      </c>
      <c r="X1568" t="s">
        <v>44763</v>
      </c>
    </row>
    <row r="1569" spans="1:24">
      <c r="A1569">
        <f>HYPERLINK("https://www.philgeps.gov.ph/GEPSNONPILOT/Tender/SplashBidNoticeAbstractUI.aspx?menuIndex=3&amp;refID=7150962&amp;Result=3","7150962")</f>
        <v>0</v>
      </c>
      <c r="B1569" t="s">
        <v>718</v>
      </c>
      <c r="C1569" t="s">
        <v>5260</v>
      </c>
      <c r="D1569" t="s">
        <v>17980</v>
      </c>
      <c r="E1569" t="s">
        <v>19499</v>
      </c>
      <c r="F1569" t="s">
        <v>30900</v>
      </c>
      <c r="G1569" t="s">
        <v>30907</v>
      </c>
      <c r="H1569" t="s">
        <v>30915</v>
      </c>
      <c r="I1569" t="s">
        <v>30919</v>
      </c>
      <c r="J1569" t="s">
        <v>32231</v>
      </c>
      <c r="K1569" t="s">
        <v>40286</v>
      </c>
      <c r="M1569" t="s">
        <v>41282</v>
      </c>
      <c r="N1569" t="s">
        <v>44759</v>
      </c>
      <c r="O1569" t="s">
        <v>44760</v>
      </c>
      <c r="P1569">
        <v>0</v>
      </c>
      <c r="Q1569">
        <v>0</v>
      </c>
      <c r="R1569" t="s">
        <v>44762</v>
      </c>
      <c r="S1569" t="s">
        <v>44863</v>
      </c>
      <c r="T1569" t="s">
        <v>46540</v>
      </c>
      <c r="U1569" t="s">
        <v>48206</v>
      </c>
      <c r="V1569" t="s">
        <v>59288</v>
      </c>
      <c r="W1569" t="s">
        <v>41282</v>
      </c>
      <c r="X1569" t="s">
        <v>44763</v>
      </c>
    </row>
    <row r="1570" spans="1:24">
      <c r="A1570">
        <f>HYPERLINK("https://www.philgeps.gov.ph/GEPSNONPILOT/Tender/SplashBidNoticeAbstractUI.aspx?menuIndex=3&amp;refID=7150970&amp;Result=3","7150970")</f>
        <v>0</v>
      </c>
      <c r="B1570" t="s">
        <v>757</v>
      </c>
      <c r="C1570" t="s">
        <v>5261</v>
      </c>
      <c r="D1570" t="s">
        <v>18028</v>
      </c>
      <c r="E1570" t="s">
        <v>19500</v>
      </c>
      <c r="F1570" t="s">
        <v>30900</v>
      </c>
      <c r="G1570" t="s">
        <v>30907</v>
      </c>
      <c r="H1570" t="s">
        <v>30916</v>
      </c>
      <c r="I1570" t="s">
        <v>30993</v>
      </c>
      <c r="J1570" t="s">
        <v>31043</v>
      </c>
      <c r="K1570" t="s">
        <v>40284</v>
      </c>
      <c r="M1570" t="s">
        <v>41322</v>
      </c>
      <c r="N1570" t="s">
        <v>44759</v>
      </c>
      <c r="O1570" t="s">
        <v>44760</v>
      </c>
      <c r="P1570">
        <v>0</v>
      </c>
      <c r="Q1570">
        <v>1</v>
      </c>
      <c r="R1570" t="s">
        <v>44762</v>
      </c>
      <c r="S1570" t="s">
        <v>44863</v>
      </c>
      <c r="T1570" t="s">
        <v>46395</v>
      </c>
      <c r="U1570" t="s">
        <v>48319</v>
      </c>
      <c r="W1570" t="s">
        <v>41322</v>
      </c>
      <c r="X1570" t="s">
        <v>44763</v>
      </c>
    </row>
    <row r="1571" spans="1:24">
      <c r="A1571">
        <f>HYPERLINK("https://www.philgeps.gov.ph/GEPSNONPILOT/Tender/SplashBidNoticeAbstractUI.aspx?menuIndex=3&amp;refID=7150855&amp;Result=3","7150855")</f>
        <v>0</v>
      </c>
      <c r="B1571" t="s">
        <v>784</v>
      </c>
      <c r="C1571" t="s">
        <v>5262</v>
      </c>
      <c r="D1571" t="s">
        <v>17971</v>
      </c>
      <c r="E1571" t="s">
        <v>19501</v>
      </c>
      <c r="F1571" t="s">
        <v>30900</v>
      </c>
      <c r="G1571" t="s">
        <v>30907</v>
      </c>
      <c r="H1571" t="s">
        <v>30915</v>
      </c>
      <c r="I1571" t="s">
        <v>30919</v>
      </c>
      <c r="J1571" t="s">
        <v>32232</v>
      </c>
      <c r="K1571" t="s">
        <v>40280</v>
      </c>
      <c r="M1571" t="s">
        <v>41353</v>
      </c>
      <c r="N1571" t="s">
        <v>44759</v>
      </c>
      <c r="O1571" t="s">
        <v>44760</v>
      </c>
      <c r="Q1571">
        <v>22</v>
      </c>
      <c r="R1571" t="s">
        <v>44762</v>
      </c>
      <c r="S1571" t="s">
        <v>44865</v>
      </c>
      <c r="T1571" t="s">
        <v>46389</v>
      </c>
      <c r="U1571" t="s">
        <v>48320</v>
      </c>
      <c r="V1571" t="s">
        <v>59304</v>
      </c>
      <c r="W1571" t="s">
        <v>41353</v>
      </c>
      <c r="X1571" t="s">
        <v>44763</v>
      </c>
    </row>
    <row r="1572" spans="1:24">
      <c r="A1572">
        <f>HYPERLINK("https://www.philgeps.gov.ph/GEPSNONPILOT/Tender/SplashBidNoticeAbstractUI.aspx?menuIndex=3&amp;refID=7150993&amp;Result=3","7150993")</f>
        <v>0</v>
      </c>
      <c r="B1572" t="s">
        <v>194</v>
      </c>
      <c r="C1572" t="s">
        <v>5263</v>
      </c>
      <c r="D1572" t="s">
        <v>17959</v>
      </c>
      <c r="E1572" t="s">
        <v>19502</v>
      </c>
      <c r="F1572" t="s">
        <v>30900</v>
      </c>
      <c r="G1572" t="s">
        <v>30908</v>
      </c>
      <c r="H1572" t="s">
        <v>30916</v>
      </c>
      <c r="I1572" t="s">
        <v>4108</v>
      </c>
      <c r="J1572" t="s">
        <v>32233</v>
      </c>
      <c r="K1572" t="s">
        <v>40293</v>
      </c>
      <c r="M1572" t="s">
        <v>41320</v>
      </c>
      <c r="N1572" t="s">
        <v>44759</v>
      </c>
      <c r="O1572" t="s">
        <v>44760</v>
      </c>
      <c r="P1572">
        <v>0</v>
      </c>
      <c r="Q1572">
        <v>0</v>
      </c>
      <c r="R1572" t="s">
        <v>44762</v>
      </c>
      <c r="S1572" t="s">
        <v>44863</v>
      </c>
      <c r="T1572" t="s">
        <v>46363</v>
      </c>
      <c r="U1572" t="s">
        <v>48262</v>
      </c>
      <c r="W1572" t="s">
        <v>41320</v>
      </c>
      <c r="X1572" t="s">
        <v>44763</v>
      </c>
    </row>
    <row r="1573" spans="1:24">
      <c r="A1573">
        <f>HYPERLINK("https://www.philgeps.gov.ph/GEPSNONPILOT/Tender/SplashBidNoticeAbstractUI.aspx?menuIndex=3&amp;refID=7150976&amp;Result=3","7150976")</f>
        <v>0</v>
      </c>
      <c r="B1573" t="s">
        <v>741</v>
      </c>
      <c r="C1573" t="s">
        <v>5264</v>
      </c>
      <c r="D1573" t="s">
        <v>17994</v>
      </c>
      <c r="E1573" t="s">
        <v>19503</v>
      </c>
      <c r="F1573" t="s">
        <v>30900</v>
      </c>
      <c r="G1573" t="s">
        <v>30908</v>
      </c>
      <c r="H1573" t="s">
        <v>30916</v>
      </c>
      <c r="I1573" t="s">
        <v>30922</v>
      </c>
      <c r="J1573" t="s">
        <v>32234</v>
      </c>
      <c r="K1573" t="s">
        <v>40287</v>
      </c>
      <c r="M1573" t="s">
        <v>41305</v>
      </c>
      <c r="N1573" t="s">
        <v>44759</v>
      </c>
      <c r="O1573" t="s">
        <v>44760</v>
      </c>
      <c r="P1573">
        <v>0</v>
      </c>
      <c r="Q1573">
        <v>2</v>
      </c>
      <c r="R1573" t="s">
        <v>44762</v>
      </c>
      <c r="S1573" t="s">
        <v>44863</v>
      </c>
      <c r="T1573" t="s">
        <v>46440</v>
      </c>
      <c r="U1573" t="s">
        <v>48321</v>
      </c>
      <c r="V1573" t="s">
        <v>59200</v>
      </c>
      <c r="W1573" t="s">
        <v>41305</v>
      </c>
      <c r="X1573" t="s">
        <v>44763</v>
      </c>
    </row>
    <row r="1574" spans="1:24">
      <c r="A1574">
        <f>HYPERLINK("https://www.philgeps.gov.ph/GEPSNONPILOT/Tender/SplashBidNoticeAbstractUI.aspx?menuIndex=3&amp;refID=7150967&amp;Result=3","7150967")</f>
        <v>0</v>
      </c>
      <c r="B1574" t="s">
        <v>784</v>
      </c>
      <c r="C1574" t="s">
        <v>5265</v>
      </c>
      <c r="D1574" t="s">
        <v>17971</v>
      </c>
      <c r="E1574" t="s">
        <v>19504</v>
      </c>
      <c r="F1574" t="s">
        <v>30900</v>
      </c>
      <c r="G1574" t="s">
        <v>30907</v>
      </c>
      <c r="H1574" t="s">
        <v>30915</v>
      </c>
      <c r="I1574" t="s">
        <v>30919</v>
      </c>
      <c r="J1574" t="s">
        <v>31152</v>
      </c>
      <c r="K1574" t="s">
        <v>40293</v>
      </c>
      <c r="M1574" t="s">
        <v>41353</v>
      </c>
      <c r="N1574" t="s">
        <v>44759</v>
      </c>
      <c r="O1574" t="s">
        <v>44760</v>
      </c>
      <c r="Q1574">
        <v>22</v>
      </c>
      <c r="R1574" t="s">
        <v>44762</v>
      </c>
      <c r="S1574" t="s">
        <v>44866</v>
      </c>
      <c r="T1574" t="s">
        <v>46389</v>
      </c>
      <c r="U1574" t="s">
        <v>48322</v>
      </c>
      <c r="V1574" t="s">
        <v>59305</v>
      </c>
      <c r="W1574" t="s">
        <v>41353</v>
      </c>
      <c r="X1574" t="s">
        <v>44763</v>
      </c>
    </row>
    <row r="1575" spans="1:24">
      <c r="A1575">
        <f>HYPERLINK("https://www.philgeps.gov.ph/GEPSNONPILOT/Tender/SplashBidNoticeAbstractUI.aspx?menuIndex=3&amp;refID=7150949&amp;Result=3","7150949")</f>
        <v>0</v>
      </c>
      <c r="B1575" t="s">
        <v>785</v>
      </c>
      <c r="C1575" t="s">
        <v>5266</v>
      </c>
      <c r="D1575" t="s">
        <v>17984</v>
      </c>
      <c r="E1575" t="s">
        <v>19505</v>
      </c>
      <c r="F1575" t="s">
        <v>30900</v>
      </c>
      <c r="G1575" t="s">
        <v>30908</v>
      </c>
      <c r="H1575" t="s">
        <v>30916</v>
      </c>
      <c r="I1575" t="s">
        <v>30947</v>
      </c>
      <c r="J1575" t="s">
        <v>32235</v>
      </c>
      <c r="K1575" t="s">
        <v>40287</v>
      </c>
      <c r="M1575" t="s">
        <v>41354</v>
      </c>
      <c r="N1575" t="s">
        <v>44759</v>
      </c>
      <c r="O1575" t="s">
        <v>44760</v>
      </c>
      <c r="P1575">
        <v>0</v>
      </c>
      <c r="Q1575">
        <v>1</v>
      </c>
      <c r="R1575" t="s">
        <v>44762</v>
      </c>
      <c r="S1575" t="s">
        <v>44863</v>
      </c>
      <c r="T1575" t="s">
        <v>46457</v>
      </c>
      <c r="U1575" t="s">
        <v>48323</v>
      </c>
      <c r="W1575" t="s">
        <v>41354</v>
      </c>
      <c r="X1575" t="s">
        <v>44763</v>
      </c>
    </row>
    <row r="1576" spans="1:24">
      <c r="A1576">
        <f>HYPERLINK("https://www.philgeps.gov.ph/GEPSNONPILOT/Tender/SplashBidNoticeAbstractUI.aspx?menuIndex=3&amp;refID=7150965&amp;Result=3","7150965")</f>
        <v>0</v>
      </c>
      <c r="B1576" t="s">
        <v>732</v>
      </c>
      <c r="C1576" t="s">
        <v>5267</v>
      </c>
      <c r="D1576" t="s">
        <v>17963</v>
      </c>
      <c r="E1576" t="s">
        <v>19506</v>
      </c>
      <c r="F1576" t="s">
        <v>30900</v>
      </c>
      <c r="G1576" t="s">
        <v>30908</v>
      </c>
      <c r="H1576" t="s">
        <v>30916</v>
      </c>
      <c r="I1576" t="s">
        <v>30927</v>
      </c>
      <c r="J1576" t="s">
        <v>32236</v>
      </c>
      <c r="K1576" t="s">
        <v>40289</v>
      </c>
      <c r="M1576" t="s">
        <v>41296</v>
      </c>
      <c r="N1576" t="s">
        <v>44759</v>
      </c>
      <c r="O1576" t="s">
        <v>44760</v>
      </c>
      <c r="P1576">
        <v>0</v>
      </c>
      <c r="Q1576">
        <v>0</v>
      </c>
      <c r="R1576" t="s">
        <v>44762</v>
      </c>
      <c r="S1576" t="s">
        <v>44863</v>
      </c>
      <c r="T1576" t="s">
        <v>46379</v>
      </c>
      <c r="U1576" t="s">
        <v>48324</v>
      </c>
      <c r="W1576" t="s">
        <v>41296</v>
      </c>
      <c r="X1576" t="s">
        <v>44763</v>
      </c>
    </row>
    <row r="1577" spans="1:24">
      <c r="A1577">
        <f>HYPERLINK("https://www.philgeps.gov.ph/GEPSNONPILOT/Tender/SplashBidNoticeAbstractUI.aspx?menuIndex=3&amp;refID=7150998&amp;Result=3","7150998")</f>
        <v>0</v>
      </c>
      <c r="B1577" t="s">
        <v>765</v>
      </c>
      <c r="C1577" t="s">
        <v>5268</v>
      </c>
      <c r="D1577" t="s">
        <v>17985</v>
      </c>
      <c r="E1577" t="s">
        <v>19010</v>
      </c>
      <c r="F1577" t="s">
        <v>30900</v>
      </c>
      <c r="G1577" t="s">
        <v>30907</v>
      </c>
      <c r="H1577" t="s">
        <v>30915</v>
      </c>
      <c r="I1577" t="s">
        <v>30919</v>
      </c>
      <c r="J1577" t="s">
        <v>32237</v>
      </c>
      <c r="K1577" t="s">
        <v>40301</v>
      </c>
      <c r="M1577" t="s">
        <v>41331</v>
      </c>
      <c r="N1577" t="s">
        <v>44759</v>
      </c>
      <c r="O1577" t="s">
        <v>44760</v>
      </c>
      <c r="P1577">
        <v>0</v>
      </c>
      <c r="Q1577">
        <v>1</v>
      </c>
      <c r="R1577" t="s">
        <v>44762</v>
      </c>
      <c r="S1577" t="s">
        <v>44863</v>
      </c>
      <c r="T1577" t="s">
        <v>46456</v>
      </c>
      <c r="U1577" t="s">
        <v>48325</v>
      </c>
      <c r="W1577" t="s">
        <v>41331</v>
      </c>
      <c r="X1577" t="s">
        <v>44763</v>
      </c>
    </row>
    <row r="1578" spans="1:24">
      <c r="A1578">
        <f>HYPERLINK("https://www.philgeps.gov.ph/GEPSNONPILOT/Tender/SplashBidNoticeAbstractUI.aspx?menuIndex=3&amp;refID=7150997&amp;Result=3","7150997")</f>
        <v>0</v>
      </c>
      <c r="B1578" t="s">
        <v>786</v>
      </c>
      <c r="C1578" t="s">
        <v>5269</v>
      </c>
      <c r="D1578" t="s">
        <v>18002</v>
      </c>
      <c r="E1578" t="s">
        <v>19507</v>
      </c>
      <c r="F1578" t="s">
        <v>30900</v>
      </c>
      <c r="G1578" t="s">
        <v>30910</v>
      </c>
      <c r="H1578" t="s">
        <v>30916</v>
      </c>
      <c r="I1578" t="s">
        <v>4108</v>
      </c>
      <c r="J1578" t="s">
        <v>32238</v>
      </c>
      <c r="K1578" t="s">
        <v>40287</v>
      </c>
      <c r="M1578" t="s">
        <v>41355</v>
      </c>
      <c r="N1578" t="s">
        <v>44759</v>
      </c>
      <c r="O1578" t="s">
        <v>44760</v>
      </c>
      <c r="P1578">
        <v>0</v>
      </c>
      <c r="Q1578">
        <v>4</v>
      </c>
      <c r="R1578" t="s">
        <v>44762</v>
      </c>
      <c r="S1578" t="s">
        <v>44863</v>
      </c>
      <c r="T1578" t="s">
        <v>46414</v>
      </c>
      <c r="U1578" t="s">
        <v>47043</v>
      </c>
      <c r="W1578" t="s">
        <v>41355</v>
      </c>
      <c r="X1578" t="s">
        <v>44763</v>
      </c>
    </row>
    <row r="1579" spans="1:24">
      <c r="A1579">
        <f>HYPERLINK("https://www.philgeps.gov.ph/GEPSNONPILOT/Tender/SplashBidNoticeAbstractUI.aspx?menuIndex=3&amp;refID=7150990&amp;Result=3","7150990")</f>
        <v>0</v>
      </c>
      <c r="B1579" t="s">
        <v>787</v>
      </c>
      <c r="C1579" t="s">
        <v>5270</v>
      </c>
      <c r="D1579" t="s">
        <v>17987</v>
      </c>
      <c r="E1579" t="s">
        <v>19508</v>
      </c>
      <c r="F1579" t="s">
        <v>30900</v>
      </c>
      <c r="G1579" t="s">
        <v>30909</v>
      </c>
      <c r="H1579" t="s">
        <v>30916</v>
      </c>
      <c r="I1579" t="s">
        <v>5501</v>
      </c>
      <c r="J1579" t="s">
        <v>32239</v>
      </c>
      <c r="K1579" t="s">
        <v>40289</v>
      </c>
      <c r="M1579" t="s">
        <v>41356</v>
      </c>
      <c r="N1579" t="s">
        <v>44759</v>
      </c>
      <c r="O1579" t="s">
        <v>44760</v>
      </c>
      <c r="P1579">
        <v>0</v>
      </c>
      <c r="Q1579">
        <v>0</v>
      </c>
      <c r="R1579" t="s">
        <v>44762</v>
      </c>
      <c r="S1579" t="s">
        <v>44863</v>
      </c>
      <c r="T1579" t="s">
        <v>46409</v>
      </c>
      <c r="U1579" t="s">
        <v>48326</v>
      </c>
      <c r="W1579" t="s">
        <v>41356</v>
      </c>
      <c r="X1579" t="s">
        <v>44763</v>
      </c>
    </row>
    <row r="1580" spans="1:24">
      <c r="A1580">
        <f>HYPERLINK("https://www.philgeps.gov.ph/GEPSNONPILOT/Tender/SplashBidNoticeAbstractUI.aspx?menuIndex=3&amp;refID=7150991&amp;Result=3","7150991")</f>
        <v>0</v>
      </c>
      <c r="B1580" t="s">
        <v>788</v>
      </c>
      <c r="C1580" t="s">
        <v>5271</v>
      </c>
      <c r="E1580" t="s">
        <v>19509</v>
      </c>
      <c r="F1580" t="s">
        <v>30900</v>
      </c>
      <c r="G1580" t="s">
        <v>30908</v>
      </c>
      <c r="H1580" t="s">
        <v>30916</v>
      </c>
      <c r="I1580" t="s">
        <v>10961</v>
      </c>
      <c r="J1580" t="s">
        <v>31282</v>
      </c>
      <c r="K1580" t="s">
        <v>40289</v>
      </c>
      <c r="M1580" t="s">
        <v>41357</v>
      </c>
      <c r="N1580" t="s">
        <v>44759</v>
      </c>
      <c r="O1580" t="s">
        <v>44760</v>
      </c>
      <c r="P1580">
        <v>0</v>
      </c>
      <c r="Q1580">
        <v>11</v>
      </c>
      <c r="R1580" t="s">
        <v>44762</v>
      </c>
      <c r="S1580" t="s">
        <v>44863</v>
      </c>
      <c r="T1580" t="s">
        <v>46393</v>
      </c>
      <c r="U1580" t="s">
        <v>48327</v>
      </c>
      <c r="V1580" t="s">
        <v>59306</v>
      </c>
      <c r="W1580" t="s">
        <v>41357</v>
      </c>
      <c r="X1580" t="s">
        <v>44763</v>
      </c>
    </row>
    <row r="1581" spans="1:24">
      <c r="A1581">
        <f>HYPERLINK("https://www.philgeps.gov.ph/GEPSNONPILOT/Tender/SplashBidNoticeAbstractUI.aspx?menuIndex=3&amp;refID=7150960&amp;Result=3","7150960")</f>
        <v>0</v>
      </c>
      <c r="B1581" t="s">
        <v>766</v>
      </c>
      <c r="C1581" t="s">
        <v>5272</v>
      </c>
      <c r="D1581" t="s">
        <v>17959</v>
      </c>
      <c r="E1581" t="s">
        <v>19510</v>
      </c>
      <c r="F1581" t="s">
        <v>30900</v>
      </c>
      <c r="G1581" t="s">
        <v>30910</v>
      </c>
      <c r="H1581" t="s">
        <v>30916</v>
      </c>
      <c r="I1581" t="s">
        <v>4017</v>
      </c>
      <c r="J1581" t="s">
        <v>32240</v>
      </c>
      <c r="K1581" t="s">
        <v>40287</v>
      </c>
      <c r="M1581" t="s">
        <v>41332</v>
      </c>
      <c r="N1581" t="s">
        <v>44759</v>
      </c>
      <c r="O1581" t="s">
        <v>44760</v>
      </c>
      <c r="P1581">
        <v>0</v>
      </c>
      <c r="Q1581">
        <v>5</v>
      </c>
      <c r="R1581" t="s">
        <v>44762</v>
      </c>
      <c r="S1581" t="s">
        <v>44863</v>
      </c>
      <c r="T1581" t="s">
        <v>46421</v>
      </c>
      <c r="U1581" t="s">
        <v>48328</v>
      </c>
      <c r="V1581" t="s">
        <v>59298</v>
      </c>
      <c r="W1581" t="s">
        <v>41332</v>
      </c>
      <c r="X1581" t="s">
        <v>44763</v>
      </c>
    </row>
    <row r="1582" spans="1:24">
      <c r="A1582">
        <f>HYPERLINK("https://www.philgeps.gov.ph/GEPSNONPILOT/Tender/SplashBidNoticeAbstractUI.aspx?menuIndex=3&amp;refID=7150995&amp;Result=3","7150995")</f>
        <v>0</v>
      </c>
      <c r="B1582" t="s">
        <v>789</v>
      </c>
      <c r="C1582" t="s">
        <v>5273</v>
      </c>
      <c r="D1582" t="s">
        <v>17959</v>
      </c>
      <c r="E1582" t="s">
        <v>19511</v>
      </c>
      <c r="F1582" t="s">
        <v>30900</v>
      </c>
      <c r="G1582" t="s">
        <v>30908</v>
      </c>
      <c r="H1582" t="s">
        <v>30917</v>
      </c>
      <c r="I1582" t="s">
        <v>30994</v>
      </c>
      <c r="J1582" t="s">
        <v>32241</v>
      </c>
      <c r="K1582" t="s">
        <v>40333</v>
      </c>
      <c r="M1582" t="s">
        <v>41358</v>
      </c>
      <c r="N1582" t="s">
        <v>44759</v>
      </c>
      <c r="O1582" t="s">
        <v>44760</v>
      </c>
      <c r="P1582">
        <v>0</v>
      </c>
      <c r="Q1582">
        <v>1</v>
      </c>
      <c r="R1582" t="s">
        <v>44762</v>
      </c>
      <c r="S1582" t="s">
        <v>44863</v>
      </c>
      <c r="T1582" t="s">
        <v>46498</v>
      </c>
      <c r="U1582" t="s">
        <v>48329</v>
      </c>
      <c r="W1582" t="s">
        <v>41358</v>
      </c>
      <c r="X1582" t="s">
        <v>44763</v>
      </c>
    </row>
    <row r="1583" spans="1:24">
      <c r="A1583">
        <f>HYPERLINK("https://www.philgeps.gov.ph/GEPSNONPILOT/Tender/SplashBidNoticeAbstractUI.aspx?menuIndex=3&amp;refID=7150986&amp;Result=3","7150986")</f>
        <v>0</v>
      </c>
      <c r="B1583" t="s">
        <v>595</v>
      </c>
      <c r="C1583" t="s">
        <v>5274</v>
      </c>
      <c r="D1583" t="s">
        <v>17953</v>
      </c>
      <c r="E1583" t="s">
        <v>19512</v>
      </c>
      <c r="F1583" t="s">
        <v>30900</v>
      </c>
      <c r="G1583" t="s">
        <v>30907</v>
      </c>
      <c r="H1583" t="s">
        <v>30916</v>
      </c>
      <c r="I1583" t="s">
        <v>8123</v>
      </c>
      <c r="J1583" t="s">
        <v>32242</v>
      </c>
      <c r="K1583" t="s">
        <v>40283</v>
      </c>
      <c r="M1583" t="s">
        <v>41157</v>
      </c>
      <c r="N1583" t="s">
        <v>44759</v>
      </c>
      <c r="O1583" t="s">
        <v>44760</v>
      </c>
      <c r="P1583">
        <v>0</v>
      </c>
      <c r="Q1583">
        <v>4</v>
      </c>
      <c r="R1583" t="s">
        <v>44762</v>
      </c>
      <c r="S1583" t="s">
        <v>44863</v>
      </c>
      <c r="T1583" t="s">
        <v>46492</v>
      </c>
      <c r="U1583" t="s">
        <v>48330</v>
      </c>
      <c r="W1583" t="s">
        <v>41157</v>
      </c>
      <c r="X1583" t="s">
        <v>44763</v>
      </c>
    </row>
    <row r="1584" spans="1:24">
      <c r="A1584">
        <f>HYPERLINK("https://www.philgeps.gov.ph/GEPSNONPILOT/Tender/SplashBidNoticeAbstractUI.aspx?menuIndex=3&amp;refID=7150959&amp;Result=3","7150959")</f>
        <v>0</v>
      </c>
      <c r="B1584" t="s">
        <v>790</v>
      </c>
      <c r="C1584" t="s">
        <v>5275</v>
      </c>
      <c r="D1584" t="s">
        <v>17988</v>
      </c>
      <c r="E1584" t="s">
        <v>19513</v>
      </c>
      <c r="F1584" t="s">
        <v>30900</v>
      </c>
      <c r="G1584" t="s">
        <v>30907</v>
      </c>
      <c r="H1584" t="s">
        <v>30915</v>
      </c>
      <c r="I1584" t="s">
        <v>30919</v>
      </c>
      <c r="J1584" t="s">
        <v>32243</v>
      </c>
      <c r="K1584" t="s">
        <v>40292</v>
      </c>
      <c r="M1584" t="s">
        <v>41359</v>
      </c>
      <c r="N1584" t="s">
        <v>44759</v>
      </c>
      <c r="O1584" t="s">
        <v>44760</v>
      </c>
      <c r="P1584">
        <v>0</v>
      </c>
      <c r="Q1584">
        <v>1</v>
      </c>
      <c r="R1584" t="s">
        <v>44762</v>
      </c>
      <c r="S1584" t="s">
        <v>44863</v>
      </c>
      <c r="T1584" t="s">
        <v>46465</v>
      </c>
      <c r="U1584" t="s">
        <v>48331</v>
      </c>
      <c r="W1584" t="s">
        <v>41359</v>
      </c>
      <c r="X1584" t="s">
        <v>44763</v>
      </c>
    </row>
    <row r="1585" spans="1:24">
      <c r="A1585">
        <f>HYPERLINK("https://www.philgeps.gov.ph/GEPSNONPILOT/Tender/SplashBidNoticeAbstractUI.aspx?menuIndex=3&amp;refID=7150988&amp;Result=3","7150988")</f>
        <v>0</v>
      </c>
      <c r="B1585" t="s">
        <v>791</v>
      </c>
      <c r="C1585" t="s">
        <v>5276</v>
      </c>
      <c r="D1585" t="s">
        <v>17974</v>
      </c>
      <c r="E1585" t="s">
        <v>18234</v>
      </c>
      <c r="F1585" t="s">
        <v>30900</v>
      </c>
      <c r="G1585" t="s">
        <v>30908</v>
      </c>
      <c r="H1585" t="s">
        <v>30916</v>
      </c>
      <c r="I1585" t="s">
        <v>10879</v>
      </c>
      <c r="J1585" t="s">
        <v>31247</v>
      </c>
      <c r="K1585" t="s">
        <v>40289</v>
      </c>
      <c r="M1585" t="s">
        <v>41360</v>
      </c>
      <c r="N1585" t="s">
        <v>44759</v>
      </c>
      <c r="O1585" t="s">
        <v>44760</v>
      </c>
      <c r="P1585">
        <v>0</v>
      </c>
      <c r="Q1585">
        <v>0</v>
      </c>
      <c r="R1585" t="s">
        <v>44762</v>
      </c>
      <c r="S1585" t="s">
        <v>44863</v>
      </c>
      <c r="T1585" t="s">
        <v>46410</v>
      </c>
      <c r="U1585" t="s">
        <v>47654</v>
      </c>
      <c r="W1585" t="s">
        <v>41360</v>
      </c>
      <c r="X1585" t="s">
        <v>44763</v>
      </c>
    </row>
    <row r="1586" spans="1:24">
      <c r="A1586">
        <f>HYPERLINK("https://www.philgeps.gov.ph/GEPSNONPILOT/Tender/SplashBidNoticeAbstractUI.aspx?menuIndex=3&amp;refID=7150984&amp;Result=3","7150984")</f>
        <v>0</v>
      </c>
      <c r="B1586" t="s">
        <v>792</v>
      </c>
      <c r="C1586" t="s">
        <v>5277</v>
      </c>
      <c r="D1586" t="s">
        <v>18002</v>
      </c>
      <c r="E1586" t="s">
        <v>19514</v>
      </c>
      <c r="F1586" t="s">
        <v>30900</v>
      </c>
      <c r="G1586" t="s">
        <v>30908</v>
      </c>
      <c r="H1586" t="s">
        <v>30916</v>
      </c>
      <c r="I1586" t="s">
        <v>11785</v>
      </c>
      <c r="J1586" t="s">
        <v>32244</v>
      </c>
      <c r="K1586" t="s">
        <v>40285</v>
      </c>
      <c r="M1586" t="s">
        <v>41361</v>
      </c>
      <c r="N1586" t="s">
        <v>44759</v>
      </c>
      <c r="O1586" t="s">
        <v>44760</v>
      </c>
      <c r="P1586">
        <v>0</v>
      </c>
      <c r="Q1586">
        <v>2</v>
      </c>
      <c r="R1586" t="s">
        <v>44762</v>
      </c>
      <c r="S1586" t="s">
        <v>44863</v>
      </c>
      <c r="T1586" t="s">
        <v>46398</v>
      </c>
      <c r="U1586" t="s">
        <v>48332</v>
      </c>
      <c r="W1586" t="s">
        <v>41361</v>
      </c>
      <c r="X1586" t="s">
        <v>44763</v>
      </c>
    </row>
    <row r="1587" spans="1:24">
      <c r="A1587">
        <f>HYPERLINK("https://www.philgeps.gov.ph/GEPSNONPILOT/Tender/SplashBidNoticeAbstractUI.aspx?menuIndex=3&amp;refID=7150982&amp;Result=3","7150982")</f>
        <v>0</v>
      </c>
      <c r="B1587" t="s">
        <v>773</v>
      </c>
      <c r="C1587" t="s">
        <v>5278</v>
      </c>
      <c r="D1587" t="s">
        <v>17988</v>
      </c>
      <c r="E1587" t="s">
        <v>19515</v>
      </c>
      <c r="F1587" t="s">
        <v>30900</v>
      </c>
      <c r="G1587" t="s">
        <v>30909</v>
      </c>
      <c r="H1587" t="s">
        <v>30916</v>
      </c>
      <c r="I1587" t="s">
        <v>6746</v>
      </c>
      <c r="J1587" t="s">
        <v>31830</v>
      </c>
      <c r="K1587" t="s">
        <v>40289</v>
      </c>
      <c r="M1587" t="s">
        <v>41341</v>
      </c>
      <c r="N1587" t="s">
        <v>44759</v>
      </c>
      <c r="O1587" t="s">
        <v>44760</v>
      </c>
      <c r="P1587">
        <v>0</v>
      </c>
      <c r="Q1587">
        <v>0</v>
      </c>
      <c r="R1587" t="s">
        <v>44762</v>
      </c>
      <c r="S1587" t="s">
        <v>44863</v>
      </c>
      <c r="T1587" t="s">
        <v>46374</v>
      </c>
      <c r="U1587" t="s">
        <v>48333</v>
      </c>
      <c r="W1587" t="s">
        <v>41341</v>
      </c>
      <c r="X1587" t="s">
        <v>44763</v>
      </c>
    </row>
    <row r="1588" spans="1:24">
      <c r="A1588">
        <f>HYPERLINK("https://www.philgeps.gov.ph/GEPSNONPILOT/Tender/SplashBidNoticeAbstractUI.aspx?menuIndex=3&amp;refID=7150981&amp;Result=3","7150981")</f>
        <v>0</v>
      </c>
      <c r="B1588" t="s">
        <v>774</v>
      </c>
      <c r="C1588" t="s">
        <v>5279</v>
      </c>
      <c r="D1588" t="s">
        <v>17993</v>
      </c>
      <c r="E1588" t="s">
        <v>19516</v>
      </c>
      <c r="F1588" t="s">
        <v>30900</v>
      </c>
      <c r="G1588" t="s">
        <v>30908</v>
      </c>
      <c r="H1588" t="s">
        <v>30916</v>
      </c>
      <c r="I1588" t="s">
        <v>4004</v>
      </c>
      <c r="J1588" t="s">
        <v>31049</v>
      </c>
      <c r="K1588" t="s">
        <v>40288</v>
      </c>
      <c r="M1588" t="s">
        <v>41342</v>
      </c>
      <c r="N1588" t="s">
        <v>44759</v>
      </c>
      <c r="O1588" t="s">
        <v>44760</v>
      </c>
      <c r="P1588">
        <v>0</v>
      </c>
      <c r="Q1588">
        <v>0</v>
      </c>
      <c r="R1588" t="s">
        <v>44762</v>
      </c>
      <c r="S1588" t="s">
        <v>44863</v>
      </c>
      <c r="T1588" t="s">
        <v>46399</v>
      </c>
      <c r="U1588" t="s">
        <v>48334</v>
      </c>
      <c r="W1588" t="s">
        <v>41342</v>
      </c>
      <c r="X1588" t="s">
        <v>44763</v>
      </c>
    </row>
    <row r="1589" spans="1:24">
      <c r="A1589">
        <f>HYPERLINK("https://www.philgeps.gov.ph/GEPSNONPILOT/Tender/SplashBidNoticeAbstractUI.aspx?menuIndex=3&amp;refID=7150980&amp;Result=3","7150980")</f>
        <v>0</v>
      </c>
      <c r="B1589" t="s">
        <v>763</v>
      </c>
      <c r="C1589" t="s">
        <v>5280</v>
      </c>
      <c r="D1589" t="s">
        <v>18013</v>
      </c>
      <c r="E1589" t="s">
        <v>19517</v>
      </c>
      <c r="F1589" t="s">
        <v>30900</v>
      </c>
      <c r="G1589" t="s">
        <v>30908</v>
      </c>
      <c r="H1589" t="s">
        <v>30916</v>
      </c>
      <c r="I1589" t="s">
        <v>4142</v>
      </c>
      <c r="J1589" t="s">
        <v>31585</v>
      </c>
      <c r="K1589" t="s">
        <v>40283</v>
      </c>
      <c r="M1589" t="s">
        <v>41329</v>
      </c>
      <c r="N1589" t="s">
        <v>44759</v>
      </c>
      <c r="O1589" t="s">
        <v>44760</v>
      </c>
      <c r="P1589">
        <v>0</v>
      </c>
      <c r="Q1589">
        <v>0</v>
      </c>
      <c r="R1589" t="s">
        <v>44762</v>
      </c>
      <c r="S1589" t="s">
        <v>44863</v>
      </c>
      <c r="T1589" t="s">
        <v>46383</v>
      </c>
      <c r="U1589" t="s">
        <v>48335</v>
      </c>
      <c r="W1589" t="s">
        <v>41329</v>
      </c>
      <c r="X1589" t="s">
        <v>44763</v>
      </c>
    </row>
    <row r="1590" spans="1:24">
      <c r="A1590">
        <f>HYPERLINK("https://www.philgeps.gov.ph/GEPSNONPILOT/Tender/SplashBidNoticeAbstractUI.aspx?menuIndex=3&amp;refID=7150994&amp;Result=3","7150994")</f>
        <v>0</v>
      </c>
      <c r="B1590" t="s">
        <v>773</v>
      </c>
      <c r="C1590" t="s">
        <v>5281</v>
      </c>
      <c r="D1590" t="s">
        <v>17988</v>
      </c>
      <c r="E1590" t="s">
        <v>19518</v>
      </c>
      <c r="F1590" t="s">
        <v>30900</v>
      </c>
      <c r="G1590" t="s">
        <v>30909</v>
      </c>
      <c r="H1590" t="s">
        <v>30916</v>
      </c>
      <c r="I1590" t="s">
        <v>6396</v>
      </c>
      <c r="J1590" t="s">
        <v>32245</v>
      </c>
      <c r="K1590" t="s">
        <v>40289</v>
      </c>
      <c r="M1590" t="s">
        <v>41341</v>
      </c>
      <c r="N1590" t="s">
        <v>44759</v>
      </c>
      <c r="O1590" t="s">
        <v>44760</v>
      </c>
      <c r="P1590">
        <v>0</v>
      </c>
      <c r="Q1590">
        <v>0</v>
      </c>
      <c r="R1590" t="s">
        <v>44762</v>
      </c>
      <c r="S1590" t="s">
        <v>44863</v>
      </c>
      <c r="T1590" t="s">
        <v>46374</v>
      </c>
      <c r="U1590" t="s">
        <v>48336</v>
      </c>
      <c r="W1590" t="s">
        <v>41341</v>
      </c>
      <c r="X1590" t="s">
        <v>44763</v>
      </c>
    </row>
    <row r="1591" spans="1:24">
      <c r="A1591">
        <f>HYPERLINK("https://www.philgeps.gov.ph/GEPSNONPILOT/Tender/SplashBidNoticeAbstractUI.aspx?menuIndex=3&amp;refID=7150987&amp;Result=3","7150987")</f>
        <v>0</v>
      </c>
      <c r="B1591" t="s">
        <v>390</v>
      </c>
      <c r="C1591" t="s">
        <v>5282</v>
      </c>
      <c r="D1591" t="s">
        <v>17953</v>
      </c>
      <c r="E1591" t="s">
        <v>19519</v>
      </c>
      <c r="F1591" t="s">
        <v>30900</v>
      </c>
      <c r="G1591" t="s">
        <v>30908</v>
      </c>
      <c r="H1591" t="s">
        <v>30916</v>
      </c>
      <c r="I1591" t="s">
        <v>30942</v>
      </c>
      <c r="J1591" t="s">
        <v>32246</v>
      </c>
      <c r="K1591" t="s">
        <v>40289</v>
      </c>
      <c r="M1591" t="s">
        <v>40945</v>
      </c>
      <c r="N1591" t="s">
        <v>44759</v>
      </c>
      <c r="O1591" t="s">
        <v>44760</v>
      </c>
      <c r="P1591">
        <v>0</v>
      </c>
      <c r="Q1591">
        <v>0</v>
      </c>
      <c r="R1591" t="s">
        <v>44762</v>
      </c>
      <c r="S1591" t="s">
        <v>44863</v>
      </c>
      <c r="T1591" t="s">
        <v>46352</v>
      </c>
      <c r="U1591" t="s">
        <v>48337</v>
      </c>
      <c r="W1591" t="s">
        <v>40945</v>
      </c>
      <c r="X1591" t="s">
        <v>44763</v>
      </c>
    </row>
    <row r="1592" spans="1:24">
      <c r="A1592">
        <f>HYPERLINK("https://www.philgeps.gov.ph/GEPSNONPILOT/Tender/SplashBidNoticeAbstractUI.aspx?menuIndex=3&amp;refID=7151020&amp;Result=3","7151020")</f>
        <v>0</v>
      </c>
      <c r="B1592" t="s">
        <v>725</v>
      </c>
      <c r="C1592" t="s">
        <v>5283</v>
      </c>
      <c r="D1592" t="s">
        <v>18004</v>
      </c>
      <c r="E1592" t="s">
        <v>19520</v>
      </c>
      <c r="F1592" t="s">
        <v>30900</v>
      </c>
      <c r="G1592" t="s">
        <v>30907</v>
      </c>
      <c r="H1592" t="s">
        <v>30916</v>
      </c>
      <c r="I1592" t="s">
        <v>30942</v>
      </c>
      <c r="J1592" t="s">
        <v>31863</v>
      </c>
      <c r="K1592" t="s">
        <v>40284</v>
      </c>
      <c r="M1592" t="s">
        <v>41289</v>
      </c>
      <c r="N1592" t="s">
        <v>44759</v>
      </c>
      <c r="O1592" t="s">
        <v>44760</v>
      </c>
      <c r="P1592">
        <v>0</v>
      </c>
      <c r="Q1592">
        <v>0</v>
      </c>
      <c r="R1592" t="s">
        <v>44762</v>
      </c>
      <c r="S1592" t="s">
        <v>44863</v>
      </c>
      <c r="T1592" t="s">
        <v>46532</v>
      </c>
      <c r="U1592" t="s">
        <v>48338</v>
      </c>
      <c r="W1592" t="s">
        <v>41289</v>
      </c>
      <c r="X1592" t="s">
        <v>44763</v>
      </c>
    </row>
    <row r="1593" spans="1:24">
      <c r="A1593">
        <f>HYPERLINK("https://www.philgeps.gov.ph/GEPSNONPILOT/Tender/SplashBidNoticeAbstractUI.aspx?menuIndex=3&amp;refID=7151016&amp;Result=3","7151016")</f>
        <v>0</v>
      </c>
      <c r="B1593" t="s">
        <v>773</v>
      </c>
      <c r="C1593" t="s">
        <v>5284</v>
      </c>
      <c r="D1593" t="s">
        <v>17988</v>
      </c>
      <c r="E1593" t="s">
        <v>19521</v>
      </c>
      <c r="F1593" t="s">
        <v>30900</v>
      </c>
      <c r="G1593" t="s">
        <v>30909</v>
      </c>
      <c r="H1593" t="s">
        <v>30916</v>
      </c>
      <c r="I1593" t="s">
        <v>30933</v>
      </c>
      <c r="J1593" t="s">
        <v>31096</v>
      </c>
      <c r="K1593" t="s">
        <v>40289</v>
      </c>
      <c r="M1593" t="s">
        <v>41341</v>
      </c>
      <c r="N1593" t="s">
        <v>44759</v>
      </c>
      <c r="O1593" t="s">
        <v>44760</v>
      </c>
      <c r="P1593">
        <v>0</v>
      </c>
      <c r="Q1593">
        <v>0</v>
      </c>
      <c r="R1593" t="s">
        <v>44762</v>
      </c>
      <c r="S1593" t="s">
        <v>44863</v>
      </c>
      <c r="T1593" t="s">
        <v>46374</v>
      </c>
      <c r="U1593" t="s">
        <v>48339</v>
      </c>
      <c r="W1593" t="s">
        <v>41341</v>
      </c>
      <c r="X1593" t="s">
        <v>44763</v>
      </c>
    </row>
    <row r="1594" spans="1:24">
      <c r="A1594">
        <f>HYPERLINK("https://www.philgeps.gov.ph/GEPSNONPILOT/Tender/SplashBidNoticeAbstractUI.aspx?menuIndex=3&amp;refID=7150985&amp;Result=3","7150985")</f>
        <v>0</v>
      </c>
      <c r="B1594" t="s">
        <v>793</v>
      </c>
      <c r="C1594" t="s">
        <v>5285</v>
      </c>
      <c r="D1594" t="s">
        <v>18017</v>
      </c>
      <c r="E1594" t="s">
        <v>19522</v>
      </c>
      <c r="F1594" t="s">
        <v>30900</v>
      </c>
      <c r="G1594" t="s">
        <v>30907</v>
      </c>
      <c r="H1594" t="s">
        <v>30916</v>
      </c>
      <c r="I1594" t="s">
        <v>6396</v>
      </c>
      <c r="J1594" t="s">
        <v>32247</v>
      </c>
      <c r="K1594" t="s">
        <v>40286</v>
      </c>
      <c r="M1594" t="s">
        <v>41362</v>
      </c>
      <c r="N1594" t="s">
        <v>44759</v>
      </c>
      <c r="O1594" t="s">
        <v>44760</v>
      </c>
      <c r="P1594">
        <v>0</v>
      </c>
      <c r="Q1594">
        <v>2</v>
      </c>
      <c r="R1594" t="s">
        <v>44762</v>
      </c>
      <c r="S1594" t="s">
        <v>44863</v>
      </c>
      <c r="T1594" t="s">
        <v>46405</v>
      </c>
      <c r="U1594" t="s">
        <v>48340</v>
      </c>
      <c r="W1594" t="s">
        <v>41362</v>
      </c>
      <c r="X1594" t="s">
        <v>44763</v>
      </c>
    </row>
    <row r="1595" spans="1:24">
      <c r="A1595">
        <f>HYPERLINK("https://www.philgeps.gov.ph/GEPSNONPILOT/Tender/SplashBidNoticeAbstractUI.aspx?menuIndex=3&amp;refID=7150989&amp;Result=3","7150989")</f>
        <v>0</v>
      </c>
      <c r="B1595" t="s">
        <v>775</v>
      </c>
      <c r="C1595" t="s">
        <v>5286</v>
      </c>
      <c r="D1595" t="s">
        <v>17959</v>
      </c>
      <c r="E1595" t="s">
        <v>19523</v>
      </c>
      <c r="F1595" t="s">
        <v>30900</v>
      </c>
      <c r="G1595" t="s">
        <v>30907</v>
      </c>
      <c r="H1595" t="s">
        <v>30916</v>
      </c>
      <c r="I1595" t="s">
        <v>30924</v>
      </c>
      <c r="J1595" t="s">
        <v>32248</v>
      </c>
      <c r="K1595" t="s">
        <v>40293</v>
      </c>
      <c r="M1595" t="s">
        <v>41363</v>
      </c>
      <c r="N1595" t="s">
        <v>44759</v>
      </c>
      <c r="O1595" t="s">
        <v>44760</v>
      </c>
      <c r="P1595">
        <v>0</v>
      </c>
      <c r="Q1595">
        <v>5</v>
      </c>
      <c r="R1595" t="s">
        <v>44762</v>
      </c>
      <c r="S1595" t="s">
        <v>44863</v>
      </c>
      <c r="T1595" t="s">
        <v>46465</v>
      </c>
      <c r="U1595" t="s">
        <v>48341</v>
      </c>
      <c r="W1595" t="s">
        <v>41363</v>
      </c>
      <c r="X1595" t="s">
        <v>44763</v>
      </c>
    </row>
    <row r="1596" spans="1:24">
      <c r="A1596">
        <f>HYPERLINK("https://www.philgeps.gov.ph/GEPSNONPILOT/Tender/SplashBidNoticeAbstractUI.aspx?menuIndex=3&amp;refID=7150983&amp;Result=3","7150983")</f>
        <v>0</v>
      </c>
      <c r="B1596" t="s">
        <v>794</v>
      </c>
      <c r="C1596" t="s">
        <v>5287</v>
      </c>
      <c r="D1596" t="s">
        <v>17977</v>
      </c>
      <c r="E1596" t="s">
        <v>19524</v>
      </c>
      <c r="F1596" t="s">
        <v>30900</v>
      </c>
      <c r="G1596" t="s">
        <v>30909</v>
      </c>
      <c r="H1596" t="s">
        <v>30916</v>
      </c>
      <c r="I1596" t="s">
        <v>4545</v>
      </c>
      <c r="J1596" t="s">
        <v>31050</v>
      </c>
      <c r="K1596" t="s">
        <v>40289</v>
      </c>
      <c r="M1596" t="s">
        <v>41364</v>
      </c>
      <c r="N1596" t="s">
        <v>44759</v>
      </c>
      <c r="O1596" t="s">
        <v>44760</v>
      </c>
      <c r="P1596">
        <v>0</v>
      </c>
      <c r="Q1596">
        <v>1</v>
      </c>
      <c r="R1596" t="s">
        <v>44762</v>
      </c>
      <c r="S1596" t="s">
        <v>44863</v>
      </c>
      <c r="T1596" t="s">
        <v>46391</v>
      </c>
      <c r="U1596" t="s">
        <v>48342</v>
      </c>
      <c r="W1596" t="s">
        <v>41364</v>
      </c>
      <c r="X1596" t="s">
        <v>44763</v>
      </c>
    </row>
    <row r="1597" spans="1:24">
      <c r="A1597">
        <f>HYPERLINK("https://www.philgeps.gov.ph/GEPSNONPILOT/Tender/SplashBidNoticeAbstractUI.aspx?menuIndex=3&amp;refID=7151015&amp;Result=3","7151015")</f>
        <v>0</v>
      </c>
      <c r="B1597" t="s">
        <v>795</v>
      </c>
      <c r="C1597" t="s">
        <v>5288</v>
      </c>
      <c r="D1597" t="s">
        <v>17967</v>
      </c>
      <c r="E1597" t="s">
        <v>19525</v>
      </c>
      <c r="F1597" t="s">
        <v>30900</v>
      </c>
      <c r="G1597" t="s">
        <v>30908</v>
      </c>
      <c r="H1597" t="s">
        <v>30916</v>
      </c>
      <c r="I1597" t="s">
        <v>5830</v>
      </c>
      <c r="J1597" t="s">
        <v>31092</v>
      </c>
      <c r="K1597" t="s">
        <v>40291</v>
      </c>
      <c r="M1597" t="s">
        <v>41365</v>
      </c>
      <c r="N1597" t="s">
        <v>44759</v>
      </c>
      <c r="O1597" t="s">
        <v>44760</v>
      </c>
      <c r="P1597">
        <v>0</v>
      </c>
      <c r="Q1597">
        <v>2</v>
      </c>
      <c r="R1597" t="s">
        <v>44762</v>
      </c>
      <c r="S1597" t="s">
        <v>44863</v>
      </c>
      <c r="T1597" t="s">
        <v>46414</v>
      </c>
      <c r="U1597" t="s">
        <v>48343</v>
      </c>
      <c r="W1597" t="s">
        <v>41365</v>
      </c>
      <c r="X1597" t="s">
        <v>44763</v>
      </c>
    </row>
    <row r="1598" spans="1:24">
      <c r="A1598">
        <f>HYPERLINK("https://www.philgeps.gov.ph/GEPSNONPILOT/Tender/SplashBidNoticeAbstractUI.aspx?menuIndex=3&amp;refID=7151012&amp;Result=3","7151012")</f>
        <v>0</v>
      </c>
      <c r="B1598" t="s">
        <v>384</v>
      </c>
      <c r="C1598" t="s">
        <v>5289</v>
      </c>
      <c r="D1598" t="s">
        <v>17987</v>
      </c>
      <c r="E1598" t="s">
        <v>19526</v>
      </c>
      <c r="F1598" t="s">
        <v>30900</v>
      </c>
      <c r="G1598" t="s">
        <v>30909</v>
      </c>
      <c r="H1598" t="s">
        <v>30916</v>
      </c>
      <c r="I1598" t="s">
        <v>30942</v>
      </c>
      <c r="J1598" t="s">
        <v>31863</v>
      </c>
      <c r="K1598" t="s">
        <v>40287</v>
      </c>
      <c r="M1598" t="s">
        <v>40939</v>
      </c>
      <c r="N1598" t="s">
        <v>44759</v>
      </c>
      <c r="O1598" t="s">
        <v>44760</v>
      </c>
      <c r="P1598">
        <v>0</v>
      </c>
      <c r="Q1598">
        <v>0</v>
      </c>
      <c r="R1598" t="s">
        <v>44762</v>
      </c>
      <c r="S1598" t="s">
        <v>44863</v>
      </c>
      <c r="T1598" t="s">
        <v>46409</v>
      </c>
      <c r="U1598" t="s">
        <v>48344</v>
      </c>
      <c r="W1598" t="s">
        <v>40939</v>
      </c>
      <c r="X1598" t="s">
        <v>44763</v>
      </c>
    </row>
    <row r="1599" spans="1:24">
      <c r="A1599">
        <f>HYPERLINK("https://www.philgeps.gov.ph/GEPSNONPILOT/Tender/SplashBidNoticeAbstractUI.aspx?menuIndex=3&amp;refID=7151011&amp;Result=3","7151011")</f>
        <v>0</v>
      </c>
      <c r="B1599" t="s">
        <v>787</v>
      </c>
      <c r="C1599" t="s">
        <v>5290</v>
      </c>
      <c r="D1599" t="s">
        <v>17987</v>
      </c>
      <c r="E1599" t="s">
        <v>19527</v>
      </c>
      <c r="F1599" t="s">
        <v>30900</v>
      </c>
      <c r="G1599" t="s">
        <v>30908</v>
      </c>
      <c r="H1599" t="s">
        <v>30916</v>
      </c>
      <c r="I1599" t="s">
        <v>30924</v>
      </c>
      <c r="J1599" t="s">
        <v>32249</v>
      </c>
      <c r="K1599" t="s">
        <v>40289</v>
      </c>
      <c r="M1599" t="s">
        <v>41356</v>
      </c>
      <c r="N1599" t="s">
        <v>44759</v>
      </c>
      <c r="O1599" t="s">
        <v>44760</v>
      </c>
      <c r="P1599">
        <v>0</v>
      </c>
      <c r="Q1599">
        <v>2</v>
      </c>
      <c r="R1599" t="s">
        <v>44762</v>
      </c>
      <c r="S1599" t="s">
        <v>44863</v>
      </c>
      <c r="T1599" t="s">
        <v>46409</v>
      </c>
      <c r="U1599" t="s">
        <v>48345</v>
      </c>
      <c r="W1599" t="s">
        <v>41356</v>
      </c>
      <c r="X1599" t="s">
        <v>44763</v>
      </c>
    </row>
    <row r="1600" spans="1:24">
      <c r="A1600">
        <f>HYPERLINK("https://www.philgeps.gov.ph/GEPSNONPILOT/Tender/SplashBidNoticeAbstractUI.aspx?menuIndex=3&amp;refID=7150996&amp;Result=3","7150996")</f>
        <v>0</v>
      </c>
      <c r="B1600" t="s">
        <v>796</v>
      </c>
      <c r="C1600" t="s">
        <v>5291</v>
      </c>
      <c r="D1600" t="s">
        <v>18033</v>
      </c>
      <c r="E1600" t="s">
        <v>19528</v>
      </c>
      <c r="F1600" t="s">
        <v>30900</v>
      </c>
      <c r="G1600" t="s">
        <v>30908</v>
      </c>
      <c r="H1600" t="s">
        <v>30916</v>
      </c>
      <c r="I1600" t="s">
        <v>30967</v>
      </c>
      <c r="J1600" t="s">
        <v>32250</v>
      </c>
      <c r="K1600" t="s">
        <v>40287</v>
      </c>
      <c r="M1600" t="s">
        <v>41366</v>
      </c>
      <c r="N1600" t="s">
        <v>44759</v>
      </c>
      <c r="O1600" t="s">
        <v>44760</v>
      </c>
      <c r="P1600">
        <v>0</v>
      </c>
      <c r="Q1600">
        <v>0</v>
      </c>
      <c r="R1600" t="s">
        <v>44762</v>
      </c>
      <c r="S1600" t="s">
        <v>44863</v>
      </c>
      <c r="T1600" t="s">
        <v>46357</v>
      </c>
      <c r="U1600" t="s">
        <v>48346</v>
      </c>
      <c r="W1600" t="s">
        <v>41366</v>
      </c>
      <c r="X1600" t="s">
        <v>44763</v>
      </c>
    </row>
    <row r="1601" spans="1:24">
      <c r="A1601">
        <f>HYPERLINK("https://www.philgeps.gov.ph/GEPSNONPILOT/Tender/SplashBidNoticeAbstractUI.aspx?menuIndex=3&amp;refID=7151010&amp;Result=3","7151010")</f>
        <v>0</v>
      </c>
      <c r="B1601" t="s">
        <v>164</v>
      </c>
      <c r="C1601" t="s">
        <v>5292</v>
      </c>
      <c r="D1601" t="s">
        <v>17961</v>
      </c>
      <c r="E1601" t="s">
        <v>19529</v>
      </c>
      <c r="F1601" t="s">
        <v>30900</v>
      </c>
      <c r="G1601" t="s">
        <v>30907</v>
      </c>
      <c r="H1601" t="s">
        <v>30916</v>
      </c>
      <c r="I1601" t="s">
        <v>30933</v>
      </c>
      <c r="J1601" t="s">
        <v>32251</v>
      </c>
      <c r="K1601" t="s">
        <v>40286</v>
      </c>
      <c r="M1601" t="s">
        <v>40711</v>
      </c>
      <c r="N1601" t="s">
        <v>44759</v>
      </c>
      <c r="O1601" t="s">
        <v>44760</v>
      </c>
      <c r="P1601">
        <v>0</v>
      </c>
      <c r="Q1601">
        <v>2</v>
      </c>
      <c r="R1601" t="s">
        <v>44762</v>
      </c>
      <c r="S1601" t="s">
        <v>44863</v>
      </c>
      <c r="T1601" t="s">
        <v>46367</v>
      </c>
      <c r="U1601" t="s">
        <v>48347</v>
      </c>
      <c r="W1601" t="s">
        <v>40711</v>
      </c>
      <c r="X1601" t="s">
        <v>44763</v>
      </c>
    </row>
    <row r="1602" spans="1:24">
      <c r="A1602">
        <f>HYPERLINK("https://www.philgeps.gov.ph/GEPSNONPILOT/Tender/SplashBidNoticeAbstractUI.aspx?menuIndex=3&amp;refID=7151007&amp;Result=3","7151007")</f>
        <v>0</v>
      </c>
      <c r="B1602" t="s">
        <v>797</v>
      </c>
      <c r="C1602" t="s">
        <v>5293</v>
      </c>
      <c r="D1602" t="s">
        <v>17981</v>
      </c>
      <c r="E1602" t="s">
        <v>19530</v>
      </c>
      <c r="F1602" t="s">
        <v>30900</v>
      </c>
      <c r="G1602" t="s">
        <v>30908</v>
      </c>
      <c r="H1602" t="s">
        <v>30916</v>
      </c>
      <c r="I1602" t="s">
        <v>30919</v>
      </c>
      <c r="J1602" t="s">
        <v>32252</v>
      </c>
      <c r="K1602" t="s">
        <v>40293</v>
      </c>
      <c r="M1602" t="s">
        <v>41367</v>
      </c>
      <c r="N1602" t="s">
        <v>44759</v>
      </c>
      <c r="O1602" t="s">
        <v>44760</v>
      </c>
      <c r="P1602">
        <v>0</v>
      </c>
      <c r="Q1602">
        <v>0</v>
      </c>
      <c r="R1602" t="s">
        <v>44762</v>
      </c>
      <c r="S1602" t="s">
        <v>44863</v>
      </c>
      <c r="T1602" t="s">
        <v>46457</v>
      </c>
      <c r="U1602" t="s">
        <v>48348</v>
      </c>
      <c r="W1602" t="s">
        <v>41367</v>
      </c>
      <c r="X1602" t="s">
        <v>44763</v>
      </c>
    </row>
    <row r="1603" spans="1:24">
      <c r="A1603">
        <f>HYPERLINK("https://www.philgeps.gov.ph/GEPSNONPILOT/Tender/SplashBidNoticeAbstractUI.aspx?menuIndex=3&amp;refID=7151017&amp;Result=3","7151017")</f>
        <v>0</v>
      </c>
      <c r="B1603" t="s">
        <v>711</v>
      </c>
      <c r="C1603" t="s">
        <v>5294</v>
      </c>
      <c r="D1603" t="s">
        <v>17953</v>
      </c>
      <c r="E1603" t="s">
        <v>19531</v>
      </c>
      <c r="F1603" t="s">
        <v>30900</v>
      </c>
      <c r="G1603" t="s">
        <v>30908</v>
      </c>
      <c r="H1603" t="s">
        <v>30916</v>
      </c>
      <c r="I1603" t="s">
        <v>8123</v>
      </c>
      <c r="J1603" t="s">
        <v>32253</v>
      </c>
      <c r="K1603" t="s">
        <v>40286</v>
      </c>
      <c r="M1603" t="s">
        <v>41275</v>
      </c>
      <c r="N1603" t="s">
        <v>44759</v>
      </c>
      <c r="O1603" t="s">
        <v>44760</v>
      </c>
      <c r="P1603">
        <v>0</v>
      </c>
      <c r="Q1603">
        <v>0</v>
      </c>
      <c r="R1603" t="s">
        <v>44762</v>
      </c>
      <c r="S1603" t="s">
        <v>44863</v>
      </c>
      <c r="T1603" t="s">
        <v>46414</v>
      </c>
      <c r="U1603" t="s">
        <v>48200</v>
      </c>
      <c r="V1603" t="s">
        <v>59286</v>
      </c>
      <c r="W1603" t="s">
        <v>41275</v>
      </c>
      <c r="X1603" t="s">
        <v>44763</v>
      </c>
    </row>
    <row r="1604" spans="1:24">
      <c r="A1604">
        <f>HYPERLINK("https://www.philgeps.gov.ph/GEPSNONPILOT/Tender/SplashBidNoticeAbstractUI.aspx?menuIndex=3&amp;refID=7151006&amp;Result=3","7151006")</f>
        <v>0</v>
      </c>
      <c r="B1604" t="s">
        <v>798</v>
      </c>
      <c r="C1604" t="s">
        <v>5295</v>
      </c>
      <c r="D1604" t="s">
        <v>17993</v>
      </c>
      <c r="E1604" t="s">
        <v>19532</v>
      </c>
      <c r="F1604" t="s">
        <v>30900</v>
      </c>
      <c r="G1604" t="s">
        <v>30909</v>
      </c>
      <c r="H1604" t="s">
        <v>30916</v>
      </c>
      <c r="I1604" t="s">
        <v>30919</v>
      </c>
      <c r="J1604" t="s">
        <v>32254</v>
      </c>
      <c r="K1604" t="s">
        <v>40291</v>
      </c>
      <c r="M1604" t="s">
        <v>41368</v>
      </c>
      <c r="N1604" t="s">
        <v>44759</v>
      </c>
      <c r="O1604" t="s">
        <v>44760</v>
      </c>
      <c r="P1604">
        <v>0</v>
      </c>
      <c r="Q1604">
        <v>0</v>
      </c>
      <c r="R1604" t="s">
        <v>44762</v>
      </c>
      <c r="S1604" t="s">
        <v>44863</v>
      </c>
      <c r="T1604" t="s">
        <v>46541</v>
      </c>
      <c r="U1604" t="s">
        <v>48349</v>
      </c>
      <c r="W1604" t="s">
        <v>60838</v>
      </c>
      <c r="X1604" t="s">
        <v>44763</v>
      </c>
    </row>
    <row r="1605" spans="1:24">
      <c r="A1605">
        <f>HYPERLINK("https://www.philgeps.gov.ph/GEPSNONPILOT/Tender/SplashBidNoticeAbstractUI.aspx?menuIndex=3&amp;refID=7151004&amp;Result=3","7151004")</f>
        <v>0</v>
      </c>
      <c r="B1605" t="s">
        <v>799</v>
      </c>
      <c r="C1605" t="s">
        <v>5296</v>
      </c>
      <c r="D1605" t="s">
        <v>17985</v>
      </c>
      <c r="E1605" t="s">
        <v>19533</v>
      </c>
      <c r="F1605" t="s">
        <v>30900</v>
      </c>
      <c r="G1605" t="s">
        <v>30908</v>
      </c>
      <c r="H1605" t="s">
        <v>30916</v>
      </c>
      <c r="I1605" t="s">
        <v>30922</v>
      </c>
      <c r="J1605" t="s">
        <v>32255</v>
      </c>
      <c r="K1605" t="s">
        <v>40288</v>
      </c>
      <c r="M1605" t="s">
        <v>41369</v>
      </c>
      <c r="N1605" t="s">
        <v>44759</v>
      </c>
      <c r="O1605" t="s">
        <v>44760</v>
      </c>
      <c r="P1605">
        <v>0</v>
      </c>
      <c r="Q1605">
        <v>0</v>
      </c>
      <c r="R1605" t="s">
        <v>44762</v>
      </c>
      <c r="S1605" t="s">
        <v>44863</v>
      </c>
      <c r="T1605" t="s">
        <v>46414</v>
      </c>
      <c r="U1605" t="s">
        <v>48350</v>
      </c>
      <c r="V1605" t="s">
        <v>59307</v>
      </c>
      <c r="W1605" t="s">
        <v>41369</v>
      </c>
      <c r="X1605" t="s">
        <v>44763</v>
      </c>
    </row>
    <row r="1606" spans="1:24">
      <c r="A1606">
        <f>HYPERLINK("https://www.philgeps.gov.ph/GEPSNONPILOT/Tender/SplashBidNoticeAbstractUI.aspx?menuIndex=3&amp;refID=7151014&amp;Result=3","7151014")</f>
        <v>0</v>
      </c>
      <c r="B1606" t="s">
        <v>757</v>
      </c>
      <c r="C1606" t="s">
        <v>5297</v>
      </c>
      <c r="D1606" t="s">
        <v>18028</v>
      </c>
      <c r="E1606" t="s">
        <v>19534</v>
      </c>
      <c r="F1606" t="s">
        <v>30900</v>
      </c>
      <c r="G1606" t="s">
        <v>30907</v>
      </c>
      <c r="H1606" t="s">
        <v>30916</v>
      </c>
      <c r="I1606" t="s">
        <v>6953</v>
      </c>
      <c r="J1606" t="s">
        <v>32256</v>
      </c>
      <c r="K1606" t="s">
        <v>40284</v>
      </c>
      <c r="M1606" t="s">
        <v>41322</v>
      </c>
      <c r="N1606" t="s">
        <v>44759</v>
      </c>
      <c r="O1606" t="s">
        <v>44760</v>
      </c>
      <c r="P1606">
        <v>0</v>
      </c>
      <c r="Q1606">
        <v>0</v>
      </c>
      <c r="R1606" t="s">
        <v>44762</v>
      </c>
      <c r="S1606" t="s">
        <v>44863</v>
      </c>
      <c r="T1606" t="s">
        <v>46395</v>
      </c>
      <c r="U1606" t="s">
        <v>48351</v>
      </c>
      <c r="W1606" t="s">
        <v>41322</v>
      </c>
      <c r="X1606" t="s">
        <v>44763</v>
      </c>
    </row>
    <row r="1607" spans="1:24">
      <c r="A1607">
        <f>HYPERLINK("https://www.philgeps.gov.ph/GEPSNONPILOT/Tender/SplashBidNoticeAbstractUI.aspx?menuIndex=3&amp;refID=7151002&amp;Result=3","7151002")</f>
        <v>0</v>
      </c>
      <c r="B1607" t="s">
        <v>787</v>
      </c>
      <c r="C1607" t="s">
        <v>5298</v>
      </c>
      <c r="D1607" t="s">
        <v>17987</v>
      </c>
      <c r="E1607" t="s">
        <v>19535</v>
      </c>
      <c r="F1607" t="s">
        <v>30900</v>
      </c>
      <c r="G1607" t="s">
        <v>30908</v>
      </c>
      <c r="H1607" t="s">
        <v>30916</v>
      </c>
      <c r="I1607" t="s">
        <v>30939</v>
      </c>
      <c r="J1607" t="s">
        <v>32257</v>
      </c>
      <c r="K1607" t="s">
        <v>40289</v>
      </c>
      <c r="M1607" t="s">
        <v>41356</v>
      </c>
      <c r="N1607" t="s">
        <v>44759</v>
      </c>
      <c r="O1607" t="s">
        <v>44760</v>
      </c>
      <c r="P1607">
        <v>0</v>
      </c>
      <c r="Q1607">
        <v>0</v>
      </c>
      <c r="R1607" t="s">
        <v>44762</v>
      </c>
      <c r="S1607" t="s">
        <v>44863</v>
      </c>
      <c r="T1607" t="s">
        <v>46409</v>
      </c>
      <c r="U1607" t="s">
        <v>48352</v>
      </c>
      <c r="W1607" t="s">
        <v>41356</v>
      </c>
      <c r="X1607" t="s">
        <v>44763</v>
      </c>
    </row>
    <row r="1608" spans="1:24">
      <c r="A1608">
        <f>HYPERLINK("https://www.philgeps.gov.ph/GEPSNONPILOT/Tender/SplashBidNoticeAbstractUI.aspx?menuIndex=3&amp;refID=7151000&amp;Result=3","7151000")</f>
        <v>0</v>
      </c>
      <c r="B1608" t="s">
        <v>766</v>
      </c>
      <c r="C1608" t="s">
        <v>5299</v>
      </c>
      <c r="D1608" t="s">
        <v>17959</v>
      </c>
      <c r="E1608" t="s">
        <v>19536</v>
      </c>
      <c r="F1608" t="s">
        <v>30900</v>
      </c>
      <c r="G1608" t="s">
        <v>30910</v>
      </c>
      <c r="H1608" t="s">
        <v>30916</v>
      </c>
      <c r="I1608" t="s">
        <v>8123</v>
      </c>
      <c r="J1608" t="s">
        <v>32258</v>
      </c>
      <c r="K1608" t="s">
        <v>40287</v>
      </c>
      <c r="M1608" t="s">
        <v>41332</v>
      </c>
      <c r="N1608" t="s">
        <v>44759</v>
      </c>
      <c r="O1608" t="s">
        <v>44760</v>
      </c>
      <c r="P1608">
        <v>0</v>
      </c>
      <c r="Q1608">
        <v>0</v>
      </c>
      <c r="R1608" t="s">
        <v>44762</v>
      </c>
      <c r="S1608" t="s">
        <v>44863</v>
      </c>
      <c r="T1608" t="s">
        <v>46421</v>
      </c>
      <c r="U1608" t="s">
        <v>48353</v>
      </c>
      <c r="V1608" t="s">
        <v>59298</v>
      </c>
      <c r="W1608" t="s">
        <v>41332</v>
      </c>
      <c r="X1608" t="s">
        <v>44763</v>
      </c>
    </row>
    <row r="1609" spans="1:24">
      <c r="A1609">
        <f>HYPERLINK("https://www.philgeps.gov.ph/GEPSNONPILOT/Tender/SplashBidNoticeAbstractUI.aspx?menuIndex=3&amp;refID=7151009&amp;Result=3","7151009")</f>
        <v>0</v>
      </c>
      <c r="B1609" t="s">
        <v>419</v>
      </c>
      <c r="C1609" t="s">
        <v>5300</v>
      </c>
      <c r="D1609" t="s">
        <v>18012</v>
      </c>
      <c r="E1609" t="s">
        <v>19537</v>
      </c>
      <c r="F1609" t="s">
        <v>30900</v>
      </c>
      <c r="G1609" t="s">
        <v>30907</v>
      </c>
      <c r="H1609" t="s">
        <v>30916</v>
      </c>
      <c r="I1609" t="s">
        <v>8123</v>
      </c>
      <c r="J1609" t="s">
        <v>31139</v>
      </c>
      <c r="K1609" t="s">
        <v>40283</v>
      </c>
      <c r="M1609" t="s">
        <v>40975</v>
      </c>
      <c r="N1609" t="s">
        <v>44759</v>
      </c>
      <c r="O1609" t="s">
        <v>44760</v>
      </c>
      <c r="P1609">
        <v>0</v>
      </c>
      <c r="Q1609">
        <v>0</v>
      </c>
      <c r="R1609" t="s">
        <v>44762</v>
      </c>
      <c r="S1609" t="s">
        <v>44863</v>
      </c>
      <c r="T1609" t="s">
        <v>46395</v>
      </c>
      <c r="U1609" t="s">
        <v>48354</v>
      </c>
      <c r="V1609" t="s">
        <v>59206</v>
      </c>
      <c r="W1609" t="s">
        <v>40975</v>
      </c>
      <c r="X1609" t="s">
        <v>44763</v>
      </c>
    </row>
    <row r="1610" spans="1:24">
      <c r="A1610">
        <f>HYPERLINK("https://www.philgeps.gov.ph/GEPSNONPILOT/Tender/SplashBidNoticeAbstractUI.aspx?menuIndex=3&amp;refID=7150999&amp;Result=3","7150999")</f>
        <v>0</v>
      </c>
      <c r="B1610" t="s">
        <v>800</v>
      </c>
      <c r="C1610" t="s">
        <v>5301</v>
      </c>
      <c r="D1610" t="s">
        <v>17996</v>
      </c>
      <c r="E1610" t="s">
        <v>19538</v>
      </c>
      <c r="F1610" t="s">
        <v>30900</v>
      </c>
      <c r="G1610" t="s">
        <v>30907</v>
      </c>
      <c r="H1610" t="s">
        <v>30916</v>
      </c>
      <c r="I1610" t="s">
        <v>30949</v>
      </c>
      <c r="J1610" t="s">
        <v>31653</v>
      </c>
      <c r="K1610" t="s">
        <v>40289</v>
      </c>
      <c r="M1610" t="s">
        <v>41370</v>
      </c>
      <c r="N1610" t="s">
        <v>44759</v>
      </c>
      <c r="O1610" t="s">
        <v>44760</v>
      </c>
      <c r="P1610">
        <v>0</v>
      </c>
      <c r="Q1610">
        <v>1</v>
      </c>
      <c r="R1610" t="s">
        <v>44762</v>
      </c>
      <c r="S1610" t="s">
        <v>44863</v>
      </c>
      <c r="T1610" t="s">
        <v>46389</v>
      </c>
      <c r="U1610" t="s">
        <v>48355</v>
      </c>
      <c r="W1610" t="s">
        <v>41370</v>
      </c>
      <c r="X1610" t="s">
        <v>44763</v>
      </c>
    </row>
    <row r="1611" spans="1:24">
      <c r="A1611">
        <f>HYPERLINK("https://www.philgeps.gov.ph/GEPSNONPILOT/Tender/SplashBidNoticeAbstractUI.aspx?menuIndex=3&amp;refID=7151005&amp;Result=3","7151005")</f>
        <v>0</v>
      </c>
      <c r="B1611" t="s">
        <v>801</v>
      </c>
      <c r="C1611" t="s">
        <v>5302</v>
      </c>
      <c r="D1611" t="s">
        <v>17984</v>
      </c>
      <c r="E1611" t="s">
        <v>19539</v>
      </c>
      <c r="F1611" t="s">
        <v>30900</v>
      </c>
      <c r="G1611" t="s">
        <v>30908</v>
      </c>
      <c r="H1611" t="s">
        <v>30916</v>
      </c>
      <c r="I1611" t="s">
        <v>8123</v>
      </c>
      <c r="J1611" t="s">
        <v>32259</v>
      </c>
      <c r="K1611" t="s">
        <v>40285</v>
      </c>
      <c r="M1611" t="s">
        <v>41371</v>
      </c>
      <c r="N1611" t="s">
        <v>44759</v>
      </c>
      <c r="O1611" t="s">
        <v>44760</v>
      </c>
      <c r="P1611">
        <v>0</v>
      </c>
      <c r="Q1611">
        <v>0</v>
      </c>
      <c r="R1611" t="s">
        <v>44762</v>
      </c>
      <c r="S1611" t="s">
        <v>44863</v>
      </c>
      <c r="T1611" t="s">
        <v>46363</v>
      </c>
      <c r="U1611" t="s">
        <v>48356</v>
      </c>
      <c r="W1611" t="s">
        <v>41371</v>
      </c>
      <c r="X1611" t="s">
        <v>44763</v>
      </c>
    </row>
    <row r="1612" spans="1:24">
      <c r="A1612">
        <f>HYPERLINK("https://www.philgeps.gov.ph/GEPSNONPILOT/Tender/SplashBidNoticeAbstractUI.aspx?menuIndex=3&amp;refID=7150978&amp;Result=3","7150978")</f>
        <v>0</v>
      </c>
      <c r="B1612" t="s">
        <v>217</v>
      </c>
      <c r="C1612" t="s">
        <v>5303</v>
      </c>
      <c r="D1612" t="s">
        <v>17966</v>
      </c>
      <c r="E1612" t="s">
        <v>19540</v>
      </c>
      <c r="F1612" t="s">
        <v>30900</v>
      </c>
      <c r="G1612" t="s">
        <v>30908</v>
      </c>
      <c r="H1612" t="s">
        <v>30916</v>
      </c>
      <c r="I1612" t="s">
        <v>4050</v>
      </c>
      <c r="J1612" t="s">
        <v>31430</v>
      </c>
      <c r="K1612" t="s">
        <v>40284</v>
      </c>
      <c r="M1612" t="s">
        <v>40764</v>
      </c>
      <c r="N1612" t="s">
        <v>44759</v>
      </c>
      <c r="O1612" t="s">
        <v>44760</v>
      </c>
      <c r="P1612">
        <v>0</v>
      </c>
      <c r="Q1612">
        <v>0</v>
      </c>
      <c r="R1612" t="s">
        <v>44762</v>
      </c>
      <c r="S1612" t="s">
        <v>44863</v>
      </c>
      <c r="T1612" t="s">
        <v>46352</v>
      </c>
      <c r="U1612" t="s">
        <v>48357</v>
      </c>
      <c r="W1612" t="s">
        <v>40764</v>
      </c>
      <c r="X1612" t="s">
        <v>44763</v>
      </c>
    </row>
    <row r="1613" spans="1:24">
      <c r="A1613">
        <f>HYPERLINK("https://www.philgeps.gov.ph/GEPSNONPILOT/Tender/SplashBidNoticeAbstractUI.aspx?menuIndex=3&amp;refID=7151003&amp;Result=3","7151003")</f>
        <v>0</v>
      </c>
      <c r="B1613" t="s">
        <v>725</v>
      </c>
      <c r="C1613" t="s">
        <v>5304</v>
      </c>
      <c r="D1613" t="s">
        <v>18004</v>
      </c>
      <c r="E1613" t="s">
        <v>19541</v>
      </c>
      <c r="F1613" t="s">
        <v>30900</v>
      </c>
      <c r="G1613" t="s">
        <v>30907</v>
      </c>
      <c r="H1613" t="s">
        <v>30916</v>
      </c>
      <c r="I1613" t="s">
        <v>30983</v>
      </c>
      <c r="J1613" t="s">
        <v>32260</v>
      </c>
      <c r="K1613" t="s">
        <v>40284</v>
      </c>
      <c r="M1613" t="s">
        <v>41289</v>
      </c>
      <c r="N1613" t="s">
        <v>44759</v>
      </c>
      <c r="O1613" t="s">
        <v>44760</v>
      </c>
      <c r="P1613">
        <v>0</v>
      </c>
      <c r="Q1613">
        <v>1</v>
      </c>
      <c r="R1613" t="s">
        <v>44762</v>
      </c>
      <c r="S1613" t="s">
        <v>44863</v>
      </c>
      <c r="T1613" t="s">
        <v>46532</v>
      </c>
      <c r="U1613" t="s">
        <v>48358</v>
      </c>
      <c r="W1613" t="s">
        <v>41289</v>
      </c>
      <c r="X1613" t="s">
        <v>44763</v>
      </c>
    </row>
    <row r="1614" spans="1:24">
      <c r="A1614">
        <f>HYPERLINK("https://www.philgeps.gov.ph/GEPSNONPILOT/Tender/SplashBidNoticeAbstractUI.aspx?menuIndex=3&amp;refID=7151001&amp;Result=3","7151001")</f>
        <v>0</v>
      </c>
      <c r="B1614" t="s">
        <v>774</v>
      </c>
      <c r="C1614" t="s">
        <v>5305</v>
      </c>
      <c r="D1614" t="s">
        <v>17993</v>
      </c>
      <c r="E1614" t="s">
        <v>19542</v>
      </c>
      <c r="F1614" t="s">
        <v>30900</v>
      </c>
      <c r="G1614" t="s">
        <v>30909</v>
      </c>
      <c r="H1614" t="s">
        <v>30916</v>
      </c>
      <c r="I1614" t="s">
        <v>4142</v>
      </c>
      <c r="J1614" t="s">
        <v>31096</v>
      </c>
      <c r="K1614" t="s">
        <v>40331</v>
      </c>
      <c r="M1614" t="s">
        <v>41342</v>
      </c>
      <c r="N1614" t="s">
        <v>44759</v>
      </c>
      <c r="O1614" t="s">
        <v>44760</v>
      </c>
      <c r="P1614">
        <v>0</v>
      </c>
      <c r="Q1614">
        <v>1</v>
      </c>
      <c r="R1614" t="s">
        <v>44762</v>
      </c>
      <c r="S1614" t="s">
        <v>44863</v>
      </c>
      <c r="T1614" t="s">
        <v>46399</v>
      </c>
      <c r="U1614" t="s">
        <v>48359</v>
      </c>
      <c r="W1614" t="s">
        <v>41342</v>
      </c>
      <c r="X1614" t="s">
        <v>44763</v>
      </c>
    </row>
    <row r="1615" spans="1:24">
      <c r="A1615">
        <f>HYPERLINK("https://www.philgeps.gov.ph/GEPSNONPILOT/Tender/SplashBidNoticeAbstractUI.aspx?menuIndex=3&amp;refID=7150979&amp;Result=3","7150979")</f>
        <v>0</v>
      </c>
      <c r="B1615" t="s">
        <v>802</v>
      </c>
      <c r="C1615" t="s">
        <v>5306</v>
      </c>
      <c r="D1615" t="s">
        <v>17991</v>
      </c>
      <c r="E1615" t="s">
        <v>19543</v>
      </c>
      <c r="F1615" t="s">
        <v>30900</v>
      </c>
      <c r="G1615" t="s">
        <v>30908</v>
      </c>
      <c r="H1615" t="s">
        <v>30916</v>
      </c>
      <c r="I1615" t="s">
        <v>4545</v>
      </c>
      <c r="J1615" t="s">
        <v>31717</v>
      </c>
      <c r="K1615" t="s">
        <v>40284</v>
      </c>
      <c r="M1615" t="s">
        <v>41372</v>
      </c>
      <c r="N1615" t="s">
        <v>44759</v>
      </c>
      <c r="O1615" t="s">
        <v>44760</v>
      </c>
      <c r="P1615">
        <v>0</v>
      </c>
      <c r="Q1615">
        <v>3</v>
      </c>
      <c r="R1615" t="s">
        <v>44762</v>
      </c>
      <c r="S1615" t="s">
        <v>44863</v>
      </c>
      <c r="T1615" t="s">
        <v>46470</v>
      </c>
      <c r="U1615" t="s">
        <v>48360</v>
      </c>
      <c r="W1615" t="s">
        <v>41372</v>
      </c>
      <c r="X1615" t="s">
        <v>44763</v>
      </c>
    </row>
    <row r="1616" spans="1:24">
      <c r="A1616">
        <f>HYPERLINK("https://www.philgeps.gov.ph/GEPSNONPILOT/Tender/SplashBidNoticeAbstractUI.aspx?menuIndex=3&amp;refID=7150954&amp;Result=3","7150954")</f>
        <v>0</v>
      </c>
      <c r="B1616" t="s">
        <v>803</v>
      </c>
      <c r="C1616" t="s">
        <v>5307</v>
      </c>
      <c r="D1616" t="s">
        <v>17952</v>
      </c>
      <c r="E1616" t="s">
        <v>19544</v>
      </c>
      <c r="F1616" t="s">
        <v>30900</v>
      </c>
      <c r="G1616" t="s">
        <v>30908</v>
      </c>
      <c r="H1616" t="s">
        <v>30916</v>
      </c>
      <c r="I1616" t="s">
        <v>30941</v>
      </c>
      <c r="J1616" t="s">
        <v>32261</v>
      </c>
      <c r="K1616" t="s">
        <v>40286</v>
      </c>
      <c r="M1616" t="s">
        <v>41373</v>
      </c>
      <c r="N1616" t="s">
        <v>44759</v>
      </c>
      <c r="O1616" t="s">
        <v>44760</v>
      </c>
      <c r="P1616">
        <v>0</v>
      </c>
      <c r="Q1616">
        <v>0</v>
      </c>
      <c r="R1616" t="s">
        <v>44762</v>
      </c>
      <c r="S1616" t="s">
        <v>44863</v>
      </c>
      <c r="T1616" t="s">
        <v>46410</v>
      </c>
      <c r="U1616" t="s">
        <v>48361</v>
      </c>
      <c r="W1616" t="s">
        <v>41627</v>
      </c>
      <c r="X1616" t="s">
        <v>44763</v>
      </c>
    </row>
    <row r="1617" spans="1:24">
      <c r="A1617">
        <f>HYPERLINK("https://www.philgeps.gov.ph/GEPSNONPILOT/Tender/SplashBidNoticeAbstractUI.aspx?menuIndex=3&amp;refID=7151013&amp;Result=3","7151013")</f>
        <v>0</v>
      </c>
      <c r="B1617" t="s">
        <v>723</v>
      </c>
      <c r="C1617" t="s">
        <v>5151</v>
      </c>
      <c r="D1617" t="s">
        <v>17951</v>
      </c>
      <c r="E1617" t="s">
        <v>19545</v>
      </c>
      <c r="F1617" t="s">
        <v>30900</v>
      </c>
      <c r="G1617" t="s">
        <v>30908</v>
      </c>
      <c r="H1617" t="s">
        <v>30916</v>
      </c>
      <c r="I1617" t="s">
        <v>6396</v>
      </c>
      <c r="J1617" t="s">
        <v>32262</v>
      </c>
      <c r="K1617" t="s">
        <v>40285</v>
      </c>
      <c r="M1617" t="s">
        <v>41287</v>
      </c>
      <c r="N1617" t="s">
        <v>44759</v>
      </c>
      <c r="O1617" t="s">
        <v>44760</v>
      </c>
      <c r="P1617">
        <v>0</v>
      </c>
      <c r="Q1617">
        <v>1</v>
      </c>
      <c r="R1617" t="s">
        <v>44762</v>
      </c>
      <c r="S1617" t="s">
        <v>44863</v>
      </c>
      <c r="T1617" t="s">
        <v>46414</v>
      </c>
      <c r="U1617" t="s">
        <v>48214</v>
      </c>
      <c r="W1617" t="s">
        <v>41287</v>
      </c>
      <c r="X1617" t="s">
        <v>44763</v>
      </c>
    </row>
    <row r="1618" spans="1:24">
      <c r="A1618">
        <f>HYPERLINK("https://www.philgeps.gov.ph/GEPSNONPILOT/Tender/SplashBidNoticeAbstractUI.aspx?menuIndex=3&amp;refID=7150957&amp;Result=3","7150957")</f>
        <v>0</v>
      </c>
      <c r="B1618" t="s">
        <v>763</v>
      </c>
      <c r="C1618" t="s">
        <v>5308</v>
      </c>
      <c r="D1618" t="s">
        <v>18013</v>
      </c>
      <c r="E1618" t="s">
        <v>19546</v>
      </c>
      <c r="F1618" t="s">
        <v>30900</v>
      </c>
      <c r="G1618" t="s">
        <v>30908</v>
      </c>
      <c r="H1618" t="s">
        <v>30916</v>
      </c>
      <c r="I1618" t="s">
        <v>30941</v>
      </c>
      <c r="J1618" t="s">
        <v>32263</v>
      </c>
      <c r="K1618" t="s">
        <v>40283</v>
      </c>
      <c r="M1618" t="s">
        <v>41329</v>
      </c>
      <c r="N1618" t="s">
        <v>44759</v>
      </c>
      <c r="O1618" t="s">
        <v>44760</v>
      </c>
      <c r="P1618">
        <v>0</v>
      </c>
      <c r="Q1618">
        <v>0</v>
      </c>
      <c r="R1618" t="s">
        <v>44762</v>
      </c>
      <c r="S1618" t="s">
        <v>44863</v>
      </c>
      <c r="T1618" t="s">
        <v>46414</v>
      </c>
      <c r="U1618" t="s">
        <v>48362</v>
      </c>
      <c r="W1618" t="s">
        <v>41329</v>
      </c>
      <c r="X1618" t="s">
        <v>44763</v>
      </c>
    </row>
    <row r="1619" spans="1:24">
      <c r="A1619">
        <f>HYPERLINK("https://www.philgeps.gov.ph/GEPSNONPILOT/Tender/SplashBidNoticeAbstractUI.aspx?menuIndex=3&amp;refID=7150934&amp;Result=3","7150934")</f>
        <v>0</v>
      </c>
      <c r="B1619" t="s">
        <v>424</v>
      </c>
      <c r="C1619" t="s">
        <v>5309</v>
      </c>
      <c r="D1619" t="s">
        <v>17955</v>
      </c>
      <c r="E1619" t="s">
        <v>19547</v>
      </c>
      <c r="F1619" t="s">
        <v>30900</v>
      </c>
      <c r="G1619" t="s">
        <v>30907</v>
      </c>
      <c r="H1619" t="s">
        <v>30916</v>
      </c>
      <c r="I1619" t="s">
        <v>30933</v>
      </c>
      <c r="J1619" t="s">
        <v>32264</v>
      </c>
      <c r="K1619" t="s">
        <v>40289</v>
      </c>
      <c r="M1619" t="s">
        <v>40981</v>
      </c>
      <c r="N1619" t="s">
        <v>44759</v>
      </c>
      <c r="O1619" t="s">
        <v>44760</v>
      </c>
      <c r="P1619">
        <v>0</v>
      </c>
      <c r="Q1619">
        <v>1</v>
      </c>
      <c r="R1619" t="s">
        <v>44762</v>
      </c>
      <c r="S1619" t="s">
        <v>44863</v>
      </c>
      <c r="T1619" t="s">
        <v>46445</v>
      </c>
      <c r="U1619" t="s">
        <v>48363</v>
      </c>
      <c r="W1619" t="s">
        <v>40981</v>
      </c>
      <c r="X1619" t="s">
        <v>44763</v>
      </c>
    </row>
    <row r="1620" spans="1:24">
      <c r="A1620">
        <f>HYPERLINK("https://www.philgeps.gov.ph/GEPSNONPILOT/Tender/SplashBidNoticeAbstractUI.aspx?menuIndex=3&amp;refID=7150956&amp;Result=3","7150956")</f>
        <v>0</v>
      </c>
      <c r="B1620" t="s">
        <v>544</v>
      </c>
      <c r="C1620" t="s">
        <v>5310</v>
      </c>
      <c r="D1620" t="s">
        <v>17972</v>
      </c>
      <c r="E1620" t="s">
        <v>18255</v>
      </c>
      <c r="F1620" t="s">
        <v>30900</v>
      </c>
      <c r="G1620" t="s">
        <v>30907</v>
      </c>
      <c r="H1620" t="s">
        <v>30916</v>
      </c>
      <c r="I1620" t="s">
        <v>8123</v>
      </c>
      <c r="J1620" t="s">
        <v>32265</v>
      </c>
      <c r="K1620" t="s">
        <v>40287</v>
      </c>
      <c r="M1620" t="s">
        <v>41105</v>
      </c>
      <c r="N1620" t="s">
        <v>44759</v>
      </c>
      <c r="O1620" t="s">
        <v>44760</v>
      </c>
      <c r="P1620">
        <v>0</v>
      </c>
      <c r="Q1620">
        <v>0</v>
      </c>
      <c r="R1620" t="s">
        <v>44762</v>
      </c>
      <c r="S1620" t="s">
        <v>44863</v>
      </c>
      <c r="T1620" t="s">
        <v>46377</v>
      </c>
      <c r="U1620" t="s">
        <v>48364</v>
      </c>
      <c r="V1620" t="s">
        <v>59308</v>
      </c>
      <c r="W1620" t="s">
        <v>41105</v>
      </c>
      <c r="X1620" t="s">
        <v>44763</v>
      </c>
    </row>
    <row r="1621" spans="1:24">
      <c r="A1621">
        <f>HYPERLINK("https://www.philgeps.gov.ph/GEPSNONPILOT/Tender/SplashBidNoticeAbstractUI.aspx?menuIndex=3&amp;refID=7150929&amp;Result=3","7150929")</f>
        <v>0</v>
      </c>
      <c r="B1621" t="s">
        <v>796</v>
      </c>
      <c r="C1621" t="s">
        <v>5311</v>
      </c>
      <c r="D1621" t="s">
        <v>18033</v>
      </c>
      <c r="E1621" t="s">
        <v>19548</v>
      </c>
      <c r="F1621" t="s">
        <v>30900</v>
      </c>
      <c r="G1621" t="s">
        <v>30913</v>
      </c>
      <c r="H1621" t="s">
        <v>30916</v>
      </c>
      <c r="I1621" t="s">
        <v>30926</v>
      </c>
      <c r="J1621" t="s">
        <v>32266</v>
      </c>
      <c r="K1621" t="s">
        <v>40283</v>
      </c>
      <c r="M1621" t="s">
        <v>41366</v>
      </c>
      <c r="N1621" t="s">
        <v>44759</v>
      </c>
      <c r="O1621" t="s">
        <v>44760</v>
      </c>
      <c r="P1621">
        <v>0</v>
      </c>
      <c r="Q1621">
        <v>0</v>
      </c>
      <c r="R1621" t="s">
        <v>44762</v>
      </c>
      <c r="S1621" t="s">
        <v>44863</v>
      </c>
      <c r="T1621" t="s">
        <v>46377</v>
      </c>
      <c r="U1621" t="s">
        <v>48365</v>
      </c>
      <c r="W1621" t="s">
        <v>41366</v>
      </c>
      <c r="X1621" t="s">
        <v>44763</v>
      </c>
    </row>
    <row r="1622" spans="1:24">
      <c r="A1622">
        <f>HYPERLINK("https://www.philgeps.gov.ph/GEPSNONPILOT/Tender/SplashBidNoticeAbstractUI.aspx?menuIndex=3&amp;refID=7150955&amp;Result=3","7150955")</f>
        <v>0</v>
      </c>
      <c r="B1622" t="s">
        <v>194</v>
      </c>
      <c r="C1622" t="s">
        <v>5312</v>
      </c>
      <c r="D1622" t="s">
        <v>17959</v>
      </c>
      <c r="E1622" t="s">
        <v>19549</v>
      </c>
      <c r="F1622" t="s">
        <v>30900</v>
      </c>
      <c r="G1622" t="s">
        <v>30909</v>
      </c>
      <c r="H1622" t="s">
        <v>30916</v>
      </c>
      <c r="I1622" t="s">
        <v>4017</v>
      </c>
      <c r="J1622" t="s">
        <v>32267</v>
      </c>
      <c r="K1622" t="s">
        <v>40287</v>
      </c>
      <c r="M1622" t="s">
        <v>41320</v>
      </c>
      <c r="N1622" t="s">
        <v>44759</v>
      </c>
      <c r="O1622" t="s">
        <v>44760</v>
      </c>
      <c r="P1622">
        <v>0</v>
      </c>
      <c r="Q1622">
        <v>4</v>
      </c>
      <c r="R1622" t="s">
        <v>44762</v>
      </c>
      <c r="S1622" t="s">
        <v>44863</v>
      </c>
      <c r="T1622" t="s">
        <v>46535</v>
      </c>
      <c r="U1622" t="s">
        <v>48262</v>
      </c>
      <c r="W1622" t="s">
        <v>41320</v>
      </c>
      <c r="X1622" t="s">
        <v>44763</v>
      </c>
    </row>
    <row r="1623" spans="1:24">
      <c r="A1623">
        <f>HYPERLINK("https://www.philgeps.gov.ph/GEPSNONPILOT/Tender/SplashBidNoticeAbstractUI.aspx?menuIndex=3&amp;refID=7150909&amp;Result=3","7150909")</f>
        <v>0</v>
      </c>
      <c r="B1623" t="s">
        <v>765</v>
      </c>
      <c r="C1623" t="s">
        <v>5313</v>
      </c>
      <c r="D1623" t="s">
        <v>17985</v>
      </c>
      <c r="E1623" t="s">
        <v>19550</v>
      </c>
      <c r="F1623" t="s">
        <v>30900</v>
      </c>
      <c r="G1623" t="s">
        <v>30907</v>
      </c>
      <c r="H1623" t="s">
        <v>30916</v>
      </c>
      <c r="I1623" t="s">
        <v>4108</v>
      </c>
      <c r="J1623" t="s">
        <v>32268</v>
      </c>
      <c r="K1623" t="s">
        <v>40289</v>
      </c>
      <c r="M1623" t="s">
        <v>41331</v>
      </c>
      <c r="N1623" t="s">
        <v>44759</v>
      </c>
      <c r="O1623" t="s">
        <v>44760</v>
      </c>
      <c r="P1623">
        <v>0</v>
      </c>
      <c r="Q1623">
        <v>1</v>
      </c>
      <c r="R1623" t="s">
        <v>44762</v>
      </c>
      <c r="S1623" t="s">
        <v>44863</v>
      </c>
      <c r="T1623" t="s">
        <v>46352</v>
      </c>
      <c r="U1623" t="s">
        <v>48366</v>
      </c>
      <c r="W1623" t="s">
        <v>41331</v>
      </c>
      <c r="X1623" t="s">
        <v>44763</v>
      </c>
    </row>
    <row r="1624" spans="1:24">
      <c r="A1624">
        <f>HYPERLINK("https://www.philgeps.gov.ph/GEPSNONPILOT/Tender/SplashBidNoticeAbstractUI.aspx?menuIndex=3&amp;refID=7150952&amp;Result=3","7150952")</f>
        <v>0</v>
      </c>
      <c r="B1624" t="s">
        <v>793</v>
      </c>
      <c r="C1624" t="s">
        <v>5314</v>
      </c>
      <c r="D1624" t="s">
        <v>18017</v>
      </c>
      <c r="E1624" t="s">
        <v>19551</v>
      </c>
      <c r="F1624" t="s">
        <v>30900</v>
      </c>
      <c r="G1624" t="s">
        <v>30907</v>
      </c>
      <c r="H1624" t="s">
        <v>30916</v>
      </c>
      <c r="I1624" t="s">
        <v>6396</v>
      </c>
      <c r="J1624" t="s">
        <v>31713</v>
      </c>
      <c r="K1624" t="s">
        <v>40286</v>
      </c>
      <c r="M1624" t="s">
        <v>41362</v>
      </c>
      <c r="N1624" t="s">
        <v>44759</v>
      </c>
      <c r="O1624" t="s">
        <v>44760</v>
      </c>
      <c r="P1624">
        <v>0</v>
      </c>
      <c r="Q1624">
        <v>2</v>
      </c>
      <c r="R1624" t="s">
        <v>44762</v>
      </c>
      <c r="S1624" t="s">
        <v>44863</v>
      </c>
      <c r="T1624" t="s">
        <v>46405</v>
      </c>
      <c r="U1624" t="s">
        <v>48340</v>
      </c>
      <c r="W1624" t="s">
        <v>41362</v>
      </c>
      <c r="X1624" t="s">
        <v>44763</v>
      </c>
    </row>
    <row r="1625" spans="1:24">
      <c r="A1625">
        <f>HYPERLINK("https://www.philgeps.gov.ph/GEPSNONPILOT/Tender/SplashBidNoticeAbstractUI.aspx?menuIndex=3&amp;refID=7150890&amp;Result=3","7150890")</f>
        <v>0</v>
      </c>
      <c r="B1625" t="s">
        <v>804</v>
      </c>
      <c r="C1625" t="s">
        <v>5315</v>
      </c>
      <c r="D1625" t="s">
        <v>17952</v>
      </c>
      <c r="E1625" t="s">
        <v>5315</v>
      </c>
      <c r="F1625" t="s">
        <v>30900</v>
      </c>
      <c r="G1625" t="s">
        <v>30909</v>
      </c>
      <c r="H1625" t="s">
        <v>30916</v>
      </c>
      <c r="I1625" t="s">
        <v>6396</v>
      </c>
      <c r="J1625" t="s">
        <v>32269</v>
      </c>
      <c r="K1625" t="s">
        <v>40289</v>
      </c>
      <c r="M1625" t="s">
        <v>41374</v>
      </c>
      <c r="N1625" t="s">
        <v>44759</v>
      </c>
      <c r="O1625" t="s">
        <v>44760</v>
      </c>
      <c r="P1625">
        <v>0</v>
      </c>
      <c r="Q1625">
        <v>8</v>
      </c>
      <c r="R1625" t="s">
        <v>44762</v>
      </c>
      <c r="S1625" t="s">
        <v>44863</v>
      </c>
      <c r="T1625" t="s">
        <v>46399</v>
      </c>
      <c r="U1625" t="s">
        <v>48367</v>
      </c>
      <c r="W1625" t="s">
        <v>41374</v>
      </c>
      <c r="X1625" t="s">
        <v>44763</v>
      </c>
    </row>
    <row r="1626" spans="1:24">
      <c r="A1626">
        <f>HYPERLINK("https://www.philgeps.gov.ph/GEPSNONPILOT/Tender/SplashBidNoticeAbstractUI.aspx?menuIndex=3&amp;refID=7150888&amp;Result=3","7150888")</f>
        <v>0</v>
      </c>
      <c r="B1626" t="s">
        <v>750</v>
      </c>
      <c r="C1626" t="s">
        <v>5316</v>
      </c>
      <c r="D1626" t="s">
        <v>18019</v>
      </c>
      <c r="E1626" t="s">
        <v>19552</v>
      </c>
      <c r="F1626" t="s">
        <v>30900</v>
      </c>
      <c r="G1626" t="s">
        <v>30908</v>
      </c>
      <c r="H1626" t="s">
        <v>30916</v>
      </c>
      <c r="I1626" t="s">
        <v>30927</v>
      </c>
      <c r="J1626" t="s">
        <v>32270</v>
      </c>
      <c r="K1626" t="s">
        <v>40286</v>
      </c>
      <c r="M1626" t="s">
        <v>41314</v>
      </c>
      <c r="N1626" t="s">
        <v>44759</v>
      </c>
      <c r="O1626" t="s">
        <v>44760</v>
      </c>
      <c r="P1626">
        <v>0</v>
      </c>
      <c r="Q1626">
        <v>0</v>
      </c>
      <c r="R1626" t="s">
        <v>44762</v>
      </c>
      <c r="S1626" t="s">
        <v>44863</v>
      </c>
      <c r="T1626" t="s">
        <v>46536</v>
      </c>
      <c r="U1626" t="s">
        <v>48252</v>
      </c>
      <c r="W1626" t="s">
        <v>41314</v>
      </c>
      <c r="X1626" t="s">
        <v>44763</v>
      </c>
    </row>
    <row r="1627" spans="1:24">
      <c r="A1627">
        <f>HYPERLINK("https://www.philgeps.gov.ph/GEPSNONPILOT/Tender/SplashBidNoticeAbstractUI.aspx?menuIndex=3&amp;refID=7150931&amp;Result=3","7150931")</f>
        <v>0</v>
      </c>
      <c r="B1627" t="s">
        <v>773</v>
      </c>
      <c r="C1627" t="s">
        <v>5317</v>
      </c>
      <c r="D1627" t="s">
        <v>17988</v>
      </c>
      <c r="E1627" t="s">
        <v>19553</v>
      </c>
      <c r="F1627" t="s">
        <v>30900</v>
      </c>
      <c r="G1627" t="s">
        <v>30909</v>
      </c>
      <c r="H1627" t="s">
        <v>30916</v>
      </c>
      <c r="I1627" t="s">
        <v>4545</v>
      </c>
      <c r="J1627" t="s">
        <v>31043</v>
      </c>
      <c r="K1627" t="s">
        <v>40289</v>
      </c>
      <c r="M1627" t="s">
        <v>41341</v>
      </c>
      <c r="N1627" t="s">
        <v>44759</v>
      </c>
      <c r="O1627" t="s">
        <v>44760</v>
      </c>
      <c r="P1627">
        <v>0</v>
      </c>
      <c r="Q1627">
        <v>0</v>
      </c>
      <c r="R1627" t="s">
        <v>44762</v>
      </c>
      <c r="S1627" t="s">
        <v>44863</v>
      </c>
      <c r="T1627" t="s">
        <v>46374</v>
      </c>
      <c r="U1627" t="s">
        <v>48368</v>
      </c>
      <c r="W1627" t="s">
        <v>41341</v>
      </c>
      <c r="X1627" t="s">
        <v>44763</v>
      </c>
    </row>
    <row r="1628" spans="1:24">
      <c r="A1628">
        <f>HYPERLINK("https://www.philgeps.gov.ph/GEPSNONPILOT/Tender/SplashBidNoticeAbstractUI.aspx?menuIndex=3&amp;refID=7151019&amp;Result=3","7151019")</f>
        <v>0</v>
      </c>
      <c r="B1628" t="s">
        <v>805</v>
      </c>
      <c r="C1628" t="s">
        <v>5318</v>
      </c>
      <c r="D1628" t="s">
        <v>18006</v>
      </c>
      <c r="E1628" t="s">
        <v>19554</v>
      </c>
      <c r="F1628" t="s">
        <v>30900</v>
      </c>
      <c r="G1628" t="s">
        <v>30907</v>
      </c>
      <c r="H1628" t="s">
        <v>30916</v>
      </c>
      <c r="I1628" t="s">
        <v>8123</v>
      </c>
      <c r="J1628" t="s">
        <v>32271</v>
      </c>
      <c r="K1628" t="s">
        <v>40293</v>
      </c>
      <c r="M1628" t="s">
        <v>41375</v>
      </c>
      <c r="N1628" t="s">
        <v>44759</v>
      </c>
      <c r="O1628" t="s">
        <v>44760</v>
      </c>
      <c r="P1628">
        <v>0</v>
      </c>
      <c r="Q1628">
        <v>1</v>
      </c>
      <c r="R1628" t="s">
        <v>44762</v>
      </c>
      <c r="S1628" t="s">
        <v>44863</v>
      </c>
      <c r="T1628" t="s">
        <v>46377</v>
      </c>
      <c r="U1628" t="s">
        <v>48369</v>
      </c>
      <c r="W1628" t="s">
        <v>41375</v>
      </c>
      <c r="X1628" t="s">
        <v>44763</v>
      </c>
    </row>
    <row r="1629" spans="1:24">
      <c r="A1629">
        <f>HYPERLINK("https://www.philgeps.gov.ph/GEPSNONPILOT/Tender/SplashBidNoticeAbstractUI.aspx?menuIndex=3&amp;refID=7150930&amp;Result=3","7150930")</f>
        <v>0</v>
      </c>
      <c r="B1629" t="s">
        <v>803</v>
      </c>
      <c r="C1629" t="s">
        <v>5319</v>
      </c>
      <c r="D1629" t="s">
        <v>17952</v>
      </c>
      <c r="E1629" t="s">
        <v>19555</v>
      </c>
      <c r="F1629" t="s">
        <v>30900</v>
      </c>
      <c r="G1629" t="s">
        <v>30908</v>
      </c>
      <c r="H1629" t="s">
        <v>30916</v>
      </c>
      <c r="I1629" t="s">
        <v>30947</v>
      </c>
      <c r="J1629" t="s">
        <v>32272</v>
      </c>
      <c r="K1629" t="s">
        <v>40286</v>
      </c>
      <c r="M1629" t="s">
        <v>41373</v>
      </c>
      <c r="N1629" t="s">
        <v>44759</v>
      </c>
      <c r="O1629" t="s">
        <v>44760</v>
      </c>
      <c r="P1629">
        <v>0</v>
      </c>
      <c r="Q1629">
        <v>2</v>
      </c>
      <c r="R1629" t="s">
        <v>44762</v>
      </c>
      <c r="S1629" t="s">
        <v>44863</v>
      </c>
      <c r="T1629" t="s">
        <v>46410</v>
      </c>
      <c r="U1629" t="s">
        <v>48370</v>
      </c>
      <c r="W1629" t="s">
        <v>41627</v>
      </c>
      <c r="X1629" t="s">
        <v>44763</v>
      </c>
    </row>
    <row r="1630" spans="1:24">
      <c r="A1630">
        <f>HYPERLINK("https://www.philgeps.gov.ph/GEPSNONPILOT/Tender/SplashBidNoticeAbstractUI.aspx?menuIndex=3&amp;refID=7150911&amp;Result=3","7150911")</f>
        <v>0</v>
      </c>
      <c r="B1630" t="s">
        <v>806</v>
      </c>
      <c r="C1630" t="s">
        <v>5320</v>
      </c>
      <c r="D1630" t="s">
        <v>18029</v>
      </c>
      <c r="E1630" t="s">
        <v>19556</v>
      </c>
      <c r="F1630" t="s">
        <v>30900</v>
      </c>
      <c r="G1630" t="s">
        <v>30910</v>
      </c>
      <c r="H1630" t="s">
        <v>30916</v>
      </c>
      <c r="I1630" t="s">
        <v>4142</v>
      </c>
      <c r="J1630" t="s">
        <v>32273</v>
      </c>
      <c r="K1630" t="s">
        <v>40283</v>
      </c>
      <c r="M1630" t="s">
        <v>41376</v>
      </c>
      <c r="N1630" t="s">
        <v>44759</v>
      </c>
      <c r="O1630" t="s">
        <v>44760</v>
      </c>
      <c r="P1630">
        <v>0</v>
      </c>
      <c r="Q1630">
        <v>2</v>
      </c>
      <c r="R1630" t="s">
        <v>44762</v>
      </c>
      <c r="S1630" t="s">
        <v>44863</v>
      </c>
      <c r="T1630" t="s">
        <v>46542</v>
      </c>
      <c r="U1630" t="s">
        <v>48371</v>
      </c>
      <c r="W1630" t="s">
        <v>41376</v>
      </c>
      <c r="X1630" t="s">
        <v>44763</v>
      </c>
    </row>
    <row r="1631" spans="1:24">
      <c r="A1631">
        <f>HYPERLINK("https://www.philgeps.gov.ph/GEPSNONPILOT/Tender/SplashBidNoticeAbstractUI.aspx?menuIndex=3&amp;refID=7151042&amp;Result=3","7151042")</f>
        <v>0</v>
      </c>
      <c r="B1631" t="s">
        <v>807</v>
      </c>
      <c r="C1631" t="s">
        <v>5321</v>
      </c>
      <c r="D1631" t="s">
        <v>18015</v>
      </c>
      <c r="E1631" t="s">
        <v>19557</v>
      </c>
      <c r="F1631" t="s">
        <v>30900</v>
      </c>
      <c r="G1631" t="s">
        <v>30909</v>
      </c>
      <c r="H1631" t="s">
        <v>30916</v>
      </c>
      <c r="I1631" t="s">
        <v>8044</v>
      </c>
      <c r="J1631" t="s">
        <v>32274</v>
      </c>
      <c r="K1631" t="s">
        <v>40283</v>
      </c>
      <c r="M1631" t="s">
        <v>41377</v>
      </c>
      <c r="N1631" t="s">
        <v>44759</v>
      </c>
      <c r="O1631" t="s">
        <v>44760</v>
      </c>
      <c r="P1631">
        <v>0</v>
      </c>
      <c r="Q1631">
        <v>0</v>
      </c>
      <c r="R1631" t="s">
        <v>44762</v>
      </c>
      <c r="S1631" t="s">
        <v>44863</v>
      </c>
      <c r="T1631" t="s">
        <v>46414</v>
      </c>
      <c r="U1631" t="s">
        <v>48372</v>
      </c>
      <c r="W1631" t="s">
        <v>41377</v>
      </c>
      <c r="X1631" t="s">
        <v>44763</v>
      </c>
    </row>
    <row r="1632" spans="1:24">
      <c r="A1632">
        <f>HYPERLINK("https://www.philgeps.gov.ph/GEPSNONPILOT/Tender/SplashBidNoticeAbstractUI.aspx?menuIndex=3&amp;refID=7151038&amp;Result=3","7151038")</f>
        <v>0</v>
      </c>
      <c r="B1632" t="s">
        <v>808</v>
      </c>
      <c r="C1632" t="s">
        <v>5322</v>
      </c>
      <c r="D1632" t="s">
        <v>18010</v>
      </c>
      <c r="E1632" t="s">
        <v>19558</v>
      </c>
      <c r="F1632" t="s">
        <v>30900</v>
      </c>
      <c r="G1632" t="s">
        <v>30908</v>
      </c>
      <c r="H1632" t="s">
        <v>30916</v>
      </c>
      <c r="I1632" t="s">
        <v>6396</v>
      </c>
      <c r="J1632" t="s">
        <v>31136</v>
      </c>
      <c r="K1632" t="s">
        <v>40283</v>
      </c>
      <c r="M1632" t="s">
        <v>41378</v>
      </c>
      <c r="N1632" t="s">
        <v>44759</v>
      </c>
      <c r="O1632" t="s">
        <v>44760</v>
      </c>
      <c r="P1632">
        <v>0</v>
      </c>
      <c r="Q1632">
        <v>1</v>
      </c>
      <c r="R1632" t="s">
        <v>44762</v>
      </c>
      <c r="S1632" t="s">
        <v>44863</v>
      </c>
      <c r="T1632" t="s">
        <v>46376</v>
      </c>
      <c r="U1632" t="s">
        <v>48373</v>
      </c>
      <c r="V1632" t="s">
        <v>59309</v>
      </c>
      <c r="W1632" t="s">
        <v>41378</v>
      </c>
      <c r="X1632" t="s">
        <v>44763</v>
      </c>
    </row>
    <row r="1633" spans="1:24">
      <c r="A1633">
        <f>HYPERLINK("https://www.philgeps.gov.ph/GEPSNONPILOT/Tender/SplashBidNoticeAbstractUI.aspx?menuIndex=3&amp;refID=7151036&amp;Result=3","7151036")</f>
        <v>0</v>
      </c>
      <c r="B1633" t="s">
        <v>809</v>
      </c>
      <c r="C1633" t="s">
        <v>5323</v>
      </c>
      <c r="D1633" t="s">
        <v>17951</v>
      </c>
      <c r="E1633" t="s">
        <v>18218</v>
      </c>
      <c r="F1633" t="s">
        <v>30900</v>
      </c>
      <c r="G1633" t="s">
        <v>30908</v>
      </c>
      <c r="H1633" t="s">
        <v>30916</v>
      </c>
      <c r="I1633" t="s">
        <v>4142</v>
      </c>
      <c r="J1633" t="s">
        <v>31070</v>
      </c>
      <c r="K1633" t="s">
        <v>40287</v>
      </c>
      <c r="L1633" t="s">
        <v>809</v>
      </c>
      <c r="M1633" t="s">
        <v>41379</v>
      </c>
      <c r="N1633" t="s">
        <v>44759</v>
      </c>
      <c r="O1633" t="s">
        <v>44760</v>
      </c>
      <c r="P1633">
        <v>0</v>
      </c>
      <c r="Q1633">
        <v>0</v>
      </c>
      <c r="R1633" t="s">
        <v>44762</v>
      </c>
      <c r="S1633" t="s">
        <v>44863</v>
      </c>
      <c r="T1633" t="s">
        <v>46410</v>
      </c>
      <c r="U1633" t="s">
        <v>48374</v>
      </c>
      <c r="W1633" t="s">
        <v>41379</v>
      </c>
      <c r="X1633" t="s">
        <v>44763</v>
      </c>
    </row>
    <row r="1634" spans="1:24">
      <c r="A1634">
        <f>HYPERLINK("https://www.philgeps.gov.ph/GEPSNONPILOT/Tender/SplashBidNoticeAbstractUI.aspx?menuIndex=3&amp;refID=7151035&amp;Result=3","7151035")</f>
        <v>0</v>
      </c>
      <c r="B1634" t="s">
        <v>718</v>
      </c>
      <c r="C1634" t="s">
        <v>5324</v>
      </c>
      <c r="D1634" t="s">
        <v>17980</v>
      </c>
      <c r="E1634" t="s">
        <v>19559</v>
      </c>
      <c r="F1634" t="s">
        <v>30900</v>
      </c>
      <c r="G1634" t="s">
        <v>30907</v>
      </c>
      <c r="H1634" t="s">
        <v>30915</v>
      </c>
      <c r="I1634" t="s">
        <v>30919</v>
      </c>
      <c r="J1634" t="s">
        <v>31288</v>
      </c>
      <c r="K1634" t="s">
        <v>40286</v>
      </c>
      <c r="M1634" t="s">
        <v>41282</v>
      </c>
      <c r="N1634" t="s">
        <v>44759</v>
      </c>
      <c r="O1634" t="s">
        <v>44760</v>
      </c>
      <c r="P1634">
        <v>0</v>
      </c>
      <c r="Q1634">
        <v>0</v>
      </c>
      <c r="R1634" t="s">
        <v>44762</v>
      </c>
      <c r="S1634" t="s">
        <v>44863</v>
      </c>
      <c r="T1634" t="s">
        <v>46362</v>
      </c>
      <c r="U1634" t="s">
        <v>48375</v>
      </c>
      <c r="V1634" t="s">
        <v>59288</v>
      </c>
      <c r="W1634" t="s">
        <v>41282</v>
      </c>
      <c r="X1634" t="s">
        <v>44763</v>
      </c>
    </row>
    <row r="1635" spans="1:24">
      <c r="A1635">
        <f>HYPERLINK("https://www.philgeps.gov.ph/GEPSNONPILOT/Tender/SplashBidNoticeAbstractUI.aspx?menuIndex=3&amp;refID=7151044&amp;Result=3","7151044")</f>
        <v>0</v>
      </c>
      <c r="B1635" t="s">
        <v>773</v>
      </c>
      <c r="C1635" t="s">
        <v>5325</v>
      </c>
      <c r="D1635" t="s">
        <v>17988</v>
      </c>
      <c r="E1635" t="s">
        <v>19560</v>
      </c>
      <c r="F1635" t="s">
        <v>30900</v>
      </c>
      <c r="G1635" t="s">
        <v>30909</v>
      </c>
      <c r="H1635" t="s">
        <v>30916</v>
      </c>
      <c r="I1635" t="s">
        <v>6396</v>
      </c>
      <c r="J1635" t="s">
        <v>32275</v>
      </c>
      <c r="K1635" t="s">
        <v>40289</v>
      </c>
      <c r="M1635" t="s">
        <v>41341</v>
      </c>
      <c r="N1635" t="s">
        <v>44759</v>
      </c>
      <c r="O1635" t="s">
        <v>44760</v>
      </c>
      <c r="P1635">
        <v>0</v>
      </c>
      <c r="Q1635">
        <v>0</v>
      </c>
      <c r="R1635" t="s">
        <v>44762</v>
      </c>
      <c r="S1635" t="s">
        <v>44863</v>
      </c>
      <c r="T1635" t="s">
        <v>46374</v>
      </c>
      <c r="U1635" t="s">
        <v>48376</v>
      </c>
      <c r="W1635" t="s">
        <v>41341</v>
      </c>
      <c r="X1635" t="s">
        <v>44763</v>
      </c>
    </row>
    <row r="1636" spans="1:24">
      <c r="A1636">
        <f>HYPERLINK("https://www.philgeps.gov.ph/GEPSNONPILOT/Tender/SplashBidNoticeAbstractUI.aspx?menuIndex=3&amp;refID=7151043&amp;Result=3","7151043")</f>
        <v>0</v>
      </c>
      <c r="B1636" t="s">
        <v>396</v>
      </c>
      <c r="C1636" t="s">
        <v>5326</v>
      </c>
      <c r="D1636" t="s">
        <v>17984</v>
      </c>
      <c r="E1636" t="s">
        <v>19561</v>
      </c>
      <c r="F1636" t="s">
        <v>30900</v>
      </c>
      <c r="G1636" t="s">
        <v>30907</v>
      </c>
      <c r="H1636" t="s">
        <v>30915</v>
      </c>
      <c r="I1636" t="s">
        <v>30919</v>
      </c>
      <c r="J1636" t="s">
        <v>32276</v>
      </c>
      <c r="K1636" t="s">
        <v>40350</v>
      </c>
      <c r="M1636" t="s">
        <v>40951</v>
      </c>
      <c r="N1636" t="s">
        <v>44759</v>
      </c>
      <c r="O1636" t="s">
        <v>44760</v>
      </c>
      <c r="P1636">
        <v>0</v>
      </c>
      <c r="Q1636">
        <v>0</v>
      </c>
      <c r="R1636" t="s">
        <v>44762</v>
      </c>
      <c r="S1636" t="s">
        <v>44863</v>
      </c>
      <c r="T1636" t="s">
        <v>46349</v>
      </c>
      <c r="U1636" t="s">
        <v>48377</v>
      </c>
      <c r="W1636" t="s">
        <v>40951</v>
      </c>
      <c r="X1636" t="s">
        <v>44763</v>
      </c>
    </row>
    <row r="1637" spans="1:24">
      <c r="A1637">
        <f>HYPERLINK("https://www.philgeps.gov.ph/GEPSNONPILOT/Tender/SplashBidNoticeAbstractUI.aspx?menuIndex=3&amp;refID=7151033&amp;Result=3","7151033")</f>
        <v>0</v>
      </c>
      <c r="B1637" t="s">
        <v>796</v>
      </c>
      <c r="C1637" t="s">
        <v>5327</v>
      </c>
      <c r="D1637" t="s">
        <v>18033</v>
      </c>
      <c r="E1637" t="s">
        <v>19562</v>
      </c>
      <c r="F1637" t="s">
        <v>30900</v>
      </c>
      <c r="G1637" t="s">
        <v>30908</v>
      </c>
      <c r="H1637" t="s">
        <v>30916</v>
      </c>
      <c r="I1637" t="s">
        <v>10847</v>
      </c>
      <c r="J1637" t="s">
        <v>32277</v>
      </c>
      <c r="K1637" t="s">
        <v>40287</v>
      </c>
      <c r="M1637" t="s">
        <v>41366</v>
      </c>
      <c r="N1637" t="s">
        <v>44759</v>
      </c>
      <c r="O1637" t="s">
        <v>44760</v>
      </c>
      <c r="P1637">
        <v>0</v>
      </c>
      <c r="Q1637">
        <v>0</v>
      </c>
      <c r="R1637" t="s">
        <v>44762</v>
      </c>
      <c r="S1637" t="s">
        <v>44863</v>
      </c>
      <c r="T1637" t="s">
        <v>46357</v>
      </c>
      <c r="U1637" t="s">
        <v>48346</v>
      </c>
      <c r="W1637" t="s">
        <v>41366</v>
      </c>
      <c r="X1637" t="s">
        <v>44763</v>
      </c>
    </row>
    <row r="1638" spans="1:24">
      <c r="A1638">
        <f>HYPERLINK("https://www.philgeps.gov.ph/GEPSNONPILOT/Tender/SplashBidNoticeAbstractUI.aspx?menuIndex=3&amp;refID=7151041&amp;Result=3","7151041")</f>
        <v>0</v>
      </c>
      <c r="B1638" t="s">
        <v>388</v>
      </c>
      <c r="C1638" t="s">
        <v>5328</v>
      </c>
      <c r="E1638" t="s">
        <v>19563</v>
      </c>
      <c r="F1638" t="s">
        <v>30900</v>
      </c>
      <c r="G1638" t="s">
        <v>30908</v>
      </c>
      <c r="H1638" t="s">
        <v>30916</v>
      </c>
      <c r="I1638" t="s">
        <v>30923</v>
      </c>
      <c r="J1638" t="s">
        <v>32278</v>
      </c>
      <c r="K1638" t="s">
        <v>40289</v>
      </c>
      <c r="M1638" t="s">
        <v>41380</v>
      </c>
      <c r="N1638" t="s">
        <v>44759</v>
      </c>
      <c r="O1638" t="s">
        <v>44760</v>
      </c>
      <c r="P1638">
        <v>0</v>
      </c>
      <c r="Q1638">
        <v>1</v>
      </c>
      <c r="R1638" t="s">
        <v>44762</v>
      </c>
      <c r="S1638" t="s">
        <v>44863</v>
      </c>
      <c r="T1638" t="s">
        <v>46543</v>
      </c>
      <c r="U1638" t="s">
        <v>48378</v>
      </c>
      <c r="W1638" t="s">
        <v>60839</v>
      </c>
      <c r="X1638" t="s">
        <v>44763</v>
      </c>
    </row>
    <row r="1639" spans="1:24">
      <c r="A1639">
        <f>HYPERLINK("https://www.philgeps.gov.ph/GEPSNONPILOT/Tender/SplashBidNoticeAbstractUI.aspx?menuIndex=3&amp;refID=7151031&amp;Result=3","7151031")</f>
        <v>0</v>
      </c>
      <c r="B1639" t="s">
        <v>740</v>
      </c>
      <c r="C1639" t="s">
        <v>5329</v>
      </c>
      <c r="D1639" t="s">
        <v>17974</v>
      </c>
      <c r="E1639" t="s">
        <v>19564</v>
      </c>
      <c r="F1639" t="s">
        <v>30900</v>
      </c>
      <c r="G1639" t="s">
        <v>30907</v>
      </c>
      <c r="H1639" t="s">
        <v>30916</v>
      </c>
      <c r="I1639" t="s">
        <v>5501</v>
      </c>
      <c r="J1639" t="s">
        <v>32279</v>
      </c>
      <c r="K1639" t="s">
        <v>40283</v>
      </c>
      <c r="M1639" t="s">
        <v>41304</v>
      </c>
      <c r="N1639" t="s">
        <v>44759</v>
      </c>
      <c r="O1639" t="s">
        <v>44760</v>
      </c>
      <c r="P1639">
        <v>0</v>
      </c>
      <c r="Q1639">
        <v>0</v>
      </c>
      <c r="R1639" t="s">
        <v>44762</v>
      </c>
      <c r="S1639" t="s">
        <v>44863</v>
      </c>
      <c r="T1639" t="s">
        <v>46350</v>
      </c>
      <c r="U1639" t="s">
        <v>48379</v>
      </c>
      <c r="W1639" t="s">
        <v>41304</v>
      </c>
      <c r="X1639" t="s">
        <v>44763</v>
      </c>
    </row>
    <row r="1640" spans="1:24">
      <c r="A1640">
        <f>HYPERLINK("https://www.philgeps.gov.ph/GEPSNONPILOT/Tender/SplashBidNoticeAbstractUI.aspx?menuIndex=3&amp;refID=7150907&amp;Result=3","7150907")</f>
        <v>0</v>
      </c>
      <c r="B1640" t="s">
        <v>711</v>
      </c>
      <c r="C1640" t="s">
        <v>5330</v>
      </c>
      <c r="D1640" t="s">
        <v>17953</v>
      </c>
      <c r="E1640" t="s">
        <v>19565</v>
      </c>
      <c r="F1640" t="s">
        <v>30900</v>
      </c>
      <c r="G1640" t="s">
        <v>30908</v>
      </c>
      <c r="H1640" t="s">
        <v>30916</v>
      </c>
      <c r="I1640" t="s">
        <v>30923</v>
      </c>
      <c r="J1640" t="s">
        <v>31105</v>
      </c>
      <c r="K1640" t="s">
        <v>40286</v>
      </c>
      <c r="M1640" t="s">
        <v>41275</v>
      </c>
      <c r="N1640" t="s">
        <v>44759</v>
      </c>
      <c r="O1640" t="s">
        <v>44760</v>
      </c>
      <c r="P1640">
        <v>0</v>
      </c>
      <c r="Q1640">
        <v>4</v>
      </c>
      <c r="R1640" t="s">
        <v>44762</v>
      </c>
      <c r="S1640" t="s">
        <v>44863</v>
      </c>
      <c r="T1640" t="s">
        <v>46414</v>
      </c>
      <c r="U1640" t="s">
        <v>48200</v>
      </c>
      <c r="V1640" t="s">
        <v>59286</v>
      </c>
      <c r="W1640" t="s">
        <v>41275</v>
      </c>
      <c r="X1640" t="s">
        <v>44763</v>
      </c>
    </row>
    <row r="1641" spans="1:24">
      <c r="A1641">
        <f>HYPERLINK("https://www.philgeps.gov.ph/GEPSNONPILOT/Tender/SplashBidNoticeAbstractUI.aspx?menuIndex=3&amp;refID=7151037&amp;Result=3","7151037")</f>
        <v>0</v>
      </c>
      <c r="B1641" t="s">
        <v>781</v>
      </c>
      <c r="C1641" t="s">
        <v>5331</v>
      </c>
      <c r="D1641" t="s">
        <v>17959</v>
      </c>
      <c r="E1641" t="s">
        <v>19566</v>
      </c>
      <c r="F1641" t="s">
        <v>30900</v>
      </c>
      <c r="G1641" t="s">
        <v>30909</v>
      </c>
      <c r="H1641" t="s">
        <v>30916</v>
      </c>
      <c r="I1641" t="s">
        <v>30923</v>
      </c>
      <c r="J1641" t="s">
        <v>32280</v>
      </c>
      <c r="K1641" t="s">
        <v>40284</v>
      </c>
      <c r="M1641" t="s">
        <v>41350</v>
      </c>
      <c r="N1641" t="s">
        <v>44759</v>
      </c>
      <c r="O1641" t="s">
        <v>44760</v>
      </c>
      <c r="P1641">
        <v>0</v>
      </c>
      <c r="Q1641">
        <v>1</v>
      </c>
      <c r="R1641" t="s">
        <v>44762</v>
      </c>
      <c r="S1641" t="s">
        <v>44863</v>
      </c>
      <c r="T1641" t="s">
        <v>46391</v>
      </c>
      <c r="U1641" t="s">
        <v>48380</v>
      </c>
      <c r="W1641" t="s">
        <v>41350</v>
      </c>
      <c r="X1641" t="s">
        <v>44763</v>
      </c>
    </row>
    <row r="1642" spans="1:24">
      <c r="A1642">
        <f>HYPERLINK("https://www.philgeps.gov.ph/GEPSNONPILOT/Tender/SplashBidNoticeAbstractUI.aspx?menuIndex=3&amp;refID=7150889&amp;Result=3","7150889")</f>
        <v>0</v>
      </c>
      <c r="B1642" t="s">
        <v>749</v>
      </c>
      <c r="C1642" t="s">
        <v>5332</v>
      </c>
      <c r="D1642" t="s">
        <v>17952</v>
      </c>
      <c r="E1642" t="s">
        <v>19567</v>
      </c>
      <c r="F1642" t="s">
        <v>30900</v>
      </c>
      <c r="G1642" t="s">
        <v>30909</v>
      </c>
      <c r="H1642" t="s">
        <v>30916</v>
      </c>
      <c r="I1642" t="s">
        <v>8123</v>
      </c>
      <c r="J1642" t="s">
        <v>32281</v>
      </c>
      <c r="K1642" t="s">
        <v>40288</v>
      </c>
      <c r="M1642" t="s">
        <v>41313</v>
      </c>
      <c r="N1642" t="s">
        <v>44759</v>
      </c>
      <c r="O1642" t="s">
        <v>44760</v>
      </c>
      <c r="P1642">
        <v>0</v>
      </c>
      <c r="Q1642">
        <v>0</v>
      </c>
      <c r="R1642" t="s">
        <v>44762</v>
      </c>
      <c r="S1642" t="s">
        <v>44863</v>
      </c>
      <c r="T1642" t="s">
        <v>46390</v>
      </c>
      <c r="U1642" t="s">
        <v>48381</v>
      </c>
      <c r="W1642" t="s">
        <v>41313</v>
      </c>
      <c r="X1642" t="s">
        <v>44763</v>
      </c>
    </row>
    <row r="1643" spans="1:24">
      <c r="A1643">
        <f>HYPERLINK("https://www.philgeps.gov.ph/GEPSNONPILOT/Tender/SplashBidNoticeAbstractUI.aspx?menuIndex=3&amp;refID=7151060&amp;Result=3","7151060")</f>
        <v>0</v>
      </c>
      <c r="B1643" t="s">
        <v>793</v>
      </c>
      <c r="C1643" t="s">
        <v>5333</v>
      </c>
      <c r="D1643" t="s">
        <v>18017</v>
      </c>
      <c r="E1643" t="s">
        <v>19568</v>
      </c>
      <c r="F1643" t="s">
        <v>30900</v>
      </c>
      <c r="G1643" t="s">
        <v>30907</v>
      </c>
      <c r="H1643" t="s">
        <v>30916</v>
      </c>
      <c r="I1643" t="s">
        <v>6396</v>
      </c>
      <c r="J1643" t="s">
        <v>32247</v>
      </c>
      <c r="K1643" t="s">
        <v>40286</v>
      </c>
      <c r="M1643" t="s">
        <v>41362</v>
      </c>
      <c r="N1643" t="s">
        <v>44759</v>
      </c>
      <c r="O1643" t="s">
        <v>44760</v>
      </c>
      <c r="P1643">
        <v>0</v>
      </c>
      <c r="Q1643">
        <v>1</v>
      </c>
      <c r="R1643" t="s">
        <v>44762</v>
      </c>
      <c r="S1643" t="s">
        <v>44863</v>
      </c>
      <c r="T1643" t="s">
        <v>46405</v>
      </c>
      <c r="U1643" t="s">
        <v>48340</v>
      </c>
      <c r="W1643" t="s">
        <v>41362</v>
      </c>
      <c r="X1643" t="s">
        <v>44763</v>
      </c>
    </row>
    <row r="1644" spans="1:24">
      <c r="A1644">
        <f>HYPERLINK("https://www.philgeps.gov.ph/GEPSNONPILOT/Tender/SplashBidNoticeAbstractUI.aspx?menuIndex=3&amp;refID=7151034&amp;Result=3","7151034")</f>
        <v>0</v>
      </c>
      <c r="B1644" t="s">
        <v>810</v>
      </c>
      <c r="C1644" t="s">
        <v>5334</v>
      </c>
      <c r="D1644" t="s">
        <v>18017</v>
      </c>
      <c r="E1644" t="s">
        <v>19569</v>
      </c>
      <c r="F1644" t="s">
        <v>30900</v>
      </c>
      <c r="G1644" t="s">
        <v>30908</v>
      </c>
      <c r="H1644" t="s">
        <v>30916</v>
      </c>
      <c r="I1644" t="s">
        <v>10602</v>
      </c>
      <c r="J1644" t="s">
        <v>32282</v>
      </c>
      <c r="K1644" t="s">
        <v>40286</v>
      </c>
      <c r="M1644" t="s">
        <v>41381</v>
      </c>
      <c r="N1644" t="s">
        <v>44759</v>
      </c>
      <c r="O1644" t="s">
        <v>44760</v>
      </c>
      <c r="P1644">
        <v>0</v>
      </c>
      <c r="Q1644">
        <v>0</v>
      </c>
      <c r="R1644" t="s">
        <v>44762</v>
      </c>
      <c r="S1644" t="s">
        <v>44863</v>
      </c>
      <c r="T1644" t="s">
        <v>46383</v>
      </c>
      <c r="U1644" t="s">
        <v>48382</v>
      </c>
      <c r="W1644" t="s">
        <v>41381</v>
      </c>
      <c r="X1644" t="s">
        <v>44763</v>
      </c>
    </row>
    <row r="1645" spans="1:24">
      <c r="A1645">
        <f>HYPERLINK("https://www.philgeps.gov.ph/GEPSNONPILOT/Tender/SplashBidNoticeAbstractUI.aspx?menuIndex=3&amp;refID=7151065&amp;Result=3","7151065")</f>
        <v>0</v>
      </c>
      <c r="B1645" t="s">
        <v>811</v>
      </c>
      <c r="C1645" t="s">
        <v>5335</v>
      </c>
      <c r="D1645" t="s">
        <v>18000</v>
      </c>
      <c r="E1645" t="s">
        <v>19570</v>
      </c>
      <c r="F1645" t="s">
        <v>30900</v>
      </c>
      <c r="G1645" t="s">
        <v>30907</v>
      </c>
      <c r="H1645" t="s">
        <v>30916</v>
      </c>
      <c r="I1645" t="s">
        <v>30947</v>
      </c>
      <c r="J1645" t="s">
        <v>31518</v>
      </c>
      <c r="K1645" t="s">
        <v>40286</v>
      </c>
      <c r="M1645" t="s">
        <v>41382</v>
      </c>
      <c r="N1645" t="s">
        <v>44759</v>
      </c>
      <c r="O1645" t="s">
        <v>44760</v>
      </c>
      <c r="P1645">
        <v>0</v>
      </c>
      <c r="Q1645">
        <v>2</v>
      </c>
      <c r="R1645" t="s">
        <v>44762</v>
      </c>
      <c r="S1645" t="s">
        <v>44863</v>
      </c>
      <c r="T1645" t="s">
        <v>46418</v>
      </c>
      <c r="U1645" t="s">
        <v>48383</v>
      </c>
      <c r="W1645" t="s">
        <v>41382</v>
      </c>
      <c r="X1645" t="s">
        <v>44763</v>
      </c>
    </row>
    <row r="1646" spans="1:24">
      <c r="A1646">
        <f>HYPERLINK("https://www.philgeps.gov.ph/GEPSNONPILOT/Tender/SplashBidNoticeAbstractUI.aspx?menuIndex=3&amp;refID=7151064&amp;Result=3","7151064")</f>
        <v>0</v>
      </c>
      <c r="B1646" t="s">
        <v>769</v>
      </c>
      <c r="C1646" t="s">
        <v>5336</v>
      </c>
      <c r="D1646" t="s">
        <v>18014</v>
      </c>
      <c r="E1646" t="s">
        <v>19571</v>
      </c>
      <c r="F1646" t="s">
        <v>30900</v>
      </c>
      <c r="G1646" t="s">
        <v>30908</v>
      </c>
      <c r="H1646" t="s">
        <v>30916</v>
      </c>
      <c r="I1646" t="s">
        <v>30923</v>
      </c>
      <c r="J1646" t="s">
        <v>32283</v>
      </c>
      <c r="K1646" t="s">
        <v>40283</v>
      </c>
      <c r="M1646" t="s">
        <v>41335</v>
      </c>
      <c r="N1646" t="s">
        <v>44759</v>
      </c>
      <c r="O1646" t="s">
        <v>44760</v>
      </c>
      <c r="P1646">
        <v>0</v>
      </c>
      <c r="Q1646">
        <v>3</v>
      </c>
      <c r="R1646" t="s">
        <v>44762</v>
      </c>
      <c r="S1646" t="s">
        <v>44863</v>
      </c>
      <c r="T1646" t="s">
        <v>46410</v>
      </c>
      <c r="U1646" t="s">
        <v>48384</v>
      </c>
      <c r="W1646" t="s">
        <v>60837</v>
      </c>
      <c r="X1646" t="s">
        <v>44763</v>
      </c>
    </row>
    <row r="1647" spans="1:24">
      <c r="A1647">
        <f>HYPERLINK("https://www.philgeps.gov.ph/GEPSNONPILOT/Tender/SplashBidNoticeAbstractUI.aspx?menuIndex=3&amp;refID=7151059&amp;Result=3","7151059")</f>
        <v>0</v>
      </c>
      <c r="B1647" t="s">
        <v>781</v>
      </c>
      <c r="C1647" t="s">
        <v>5337</v>
      </c>
      <c r="D1647" t="s">
        <v>17959</v>
      </c>
      <c r="E1647" t="s">
        <v>19572</v>
      </c>
      <c r="F1647" t="s">
        <v>30900</v>
      </c>
      <c r="G1647" t="s">
        <v>30909</v>
      </c>
      <c r="H1647" t="s">
        <v>30916</v>
      </c>
      <c r="I1647" t="s">
        <v>30923</v>
      </c>
      <c r="J1647" t="s">
        <v>32284</v>
      </c>
      <c r="K1647" t="s">
        <v>40284</v>
      </c>
      <c r="M1647" t="s">
        <v>41350</v>
      </c>
      <c r="N1647" t="s">
        <v>44759</v>
      </c>
      <c r="O1647" t="s">
        <v>44760</v>
      </c>
      <c r="P1647">
        <v>0</v>
      </c>
      <c r="Q1647">
        <v>1</v>
      </c>
      <c r="R1647" t="s">
        <v>44762</v>
      </c>
      <c r="S1647" t="s">
        <v>44863</v>
      </c>
      <c r="T1647" t="s">
        <v>46391</v>
      </c>
      <c r="U1647" t="s">
        <v>48385</v>
      </c>
      <c r="W1647" t="s">
        <v>41350</v>
      </c>
      <c r="X1647" t="s">
        <v>44763</v>
      </c>
    </row>
    <row r="1648" spans="1:24">
      <c r="A1648">
        <f>HYPERLINK("https://www.philgeps.gov.ph/GEPSNONPILOT/Tender/SplashBidNoticeAbstractUI.aspx?menuIndex=3&amp;refID=7151063&amp;Result=3","7151063")</f>
        <v>0</v>
      </c>
      <c r="B1648" t="s">
        <v>47</v>
      </c>
      <c r="C1648" t="s">
        <v>5338</v>
      </c>
      <c r="D1648" t="s">
        <v>17970</v>
      </c>
      <c r="E1648" t="s">
        <v>19573</v>
      </c>
      <c r="F1648" t="s">
        <v>30900</v>
      </c>
      <c r="G1648" t="s">
        <v>30907</v>
      </c>
      <c r="H1648" t="s">
        <v>30915</v>
      </c>
      <c r="I1648" t="s">
        <v>30919</v>
      </c>
      <c r="J1648" t="s">
        <v>32285</v>
      </c>
      <c r="K1648" t="s">
        <v>40292</v>
      </c>
      <c r="L1648" t="s">
        <v>47</v>
      </c>
      <c r="M1648" t="s">
        <v>40593</v>
      </c>
      <c r="N1648" t="s">
        <v>44759</v>
      </c>
      <c r="O1648" t="s">
        <v>44760</v>
      </c>
      <c r="P1648">
        <v>0</v>
      </c>
      <c r="Q1648">
        <v>0</v>
      </c>
      <c r="R1648" t="s">
        <v>44762</v>
      </c>
      <c r="S1648" t="s">
        <v>44863</v>
      </c>
      <c r="T1648" t="s">
        <v>46371</v>
      </c>
      <c r="U1648" t="s">
        <v>48386</v>
      </c>
      <c r="V1648" t="s">
        <v>59310</v>
      </c>
      <c r="W1648" t="s">
        <v>40593</v>
      </c>
      <c r="X1648" t="s">
        <v>44763</v>
      </c>
    </row>
    <row r="1649" spans="1:24">
      <c r="A1649">
        <f>HYPERLINK("https://www.philgeps.gov.ph/GEPSNONPILOT/Tender/SplashBidNoticeAbstractUI.aspx?menuIndex=3&amp;refID=7151026&amp;Result=3","7151026")</f>
        <v>0</v>
      </c>
      <c r="B1649" t="s">
        <v>812</v>
      </c>
      <c r="C1649" t="s">
        <v>5339</v>
      </c>
      <c r="D1649" t="s">
        <v>18028</v>
      </c>
      <c r="E1649" t="s">
        <v>19574</v>
      </c>
      <c r="F1649" t="s">
        <v>30900</v>
      </c>
      <c r="G1649" t="s">
        <v>30907</v>
      </c>
      <c r="H1649" t="s">
        <v>30916</v>
      </c>
      <c r="I1649" t="s">
        <v>30923</v>
      </c>
      <c r="J1649" t="s">
        <v>32286</v>
      </c>
      <c r="K1649" t="s">
        <v>40283</v>
      </c>
      <c r="M1649" t="s">
        <v>41383</v>
      </c>
      <c r="N1649" t="s">
        <v>44759</v>
      </c>
      <c r="O1649" t="s">
        <v>44760</v>
      </c>
      <c r="P1649">
        <v>0</v>
      </c>
      <c r="Q1649">
        <v>3</v>
      </c>
      <c r="R1649" t="s">
        <v>44762</v>
      </c>
      <c r="S1649" t="s">
        <v>44863</v>
      </c>
      <c r="T1649" t="s">
        <v>46350</v>
      </c>
      <c r="U1649" t="s">
        <v>48387</v>
      </c>
      <c r="W1649" t="s">
        <v>41383</v>
      </c>
      <c r="X1649" t="s">
        <v>44763</v>
      </c>
    </row>
    <row r="1650" spans="1:24">
      <c r="A1650">
        <f>HYPERLINK("https://www.philgeps.gov.ph/GEPSNONPILOT/Tender/SplashBidNoticeAbstractUI.aspx?menuIndex=3&amp;refID=7151058&amp;Result=3","7151058")</f>
        <v>0</v>
      </c>
      <c r="B1650" t="s">
        <v>813</v>
      </c>
      <c r="C1650" t="s">
        <v>5340</v>
      </c>
      <c r="D1650" t="s">
        <v>17981</v>
      </c>
      <c r="E1650" t="s">
        <v>19575</v>
      </c>
      <c r="F1650" t="s">
        <v>30900</v>
      </c>
      <c r="G1650" t="s">
        <v>30907</v>
      </c>
      <c r="H1650" t="s">
        <v>30916</v>
      </c>
      <c r="I1650" t="s">
        <v>8123</v>
      </c>
      <c r="J1650" t="s">
        <v>32287</v>
      </c>
      <c r="K1650" t="s">
        <v>40294</v>
      </c>
      <c r="M1650" t="s">
        <v>41384</v>
      </c>
      <c r="N1650" t="s">
        <v>44759</v>
      </c>
      <c r="O1650" t="s">
        <v>44760</v>
      </c>
      <c r="P1650">
        <v>0</v>
      </c>
      <c r="Q1650">
        <v>1</v>
      </c>
      <c r="R1650" t="s">
        <v>44762</v>
      </c>
      <c r="S1650" t="s">
        <v>44863</v>
      </c>
      <c r="T1650" t="s">
        <v>46400</v>
      </c>
      <c r="U1650" t="s">
        <v>48388</v>
      </c>
      <c r="W1650" t="s">
        <v>41384</v>
      </c>
      <c r="X1650" t="s">
        <v>44763</v>
      </c>
    </row>
    <row r="1651" spans="1:24">
      <c r="A1651">
        <f>HYPERLINK("https://www.philgeps.gov.ph/GEPSNONPILOT/Tender/SplashBidNoticeAbstractUI.aspx?menuIndex=3&amp;refID=7151057&amp;Result=3","7151057")</f>
        <v>0</v>
      </c>
      <c r="B1651" t="s">
        <v>773</v>
      </c>
      <c r="C1651" t="s">
        <v>5341</v>
      </c>
      <c r="D1651" t="s">
        <v>17988</v>
      </c>
      <c r="E1651" t="s">
        <v>19576</v>
      </c>
      <c r="F1651" t="s">
        <v>30900</v>
      </c>
      <c r="G1651" t="s">
        <v>30909</v>
      </c>
      <c r="H1651" t="s">
        <v>30916</v>
      </c>
      <c r="I1651" t="s">
        <v>4004</v>
      </c>
      <c r="J1651" t="s">
        <v>32275</v>
      </c>
      <c r="K1651" t="s">
        <v>40289</v>
      </c>
      <c r="M1651" t="s">
        <v>41341</v>
      </c>
      <c r="N1651" t="s">
        <v>44759</v>
      </c>
      <c r="O1651" t="s">
        <v>44760</v>
      </c>
      <c r="P1651">
        <v>0</v>
      </c>
      <c r="Q1651">
        <v>2</v>
      </c>
      <c r="R1651" t="s">
        <v>44762</v>
      </c>
      <c r="S1651" t="s">
        <v>44863</v>
      </c>
      <c r="T1651" t="s">
        <v>46374</v>
      </c>
      <c r="U1651" t="s">
        <v>48389</v>
      </c>
      <c r="W1651" t="s">
        <v>41341</v>
      </c>
      <c r="X1651" t="s">
        <v>44763</v>
      </c>
    </row>
    <row r="1652" spans="1:24">
      <c r="A1652">
        <f>HYPERLINK("https://www.philgeps.gov.ph/GEPSNONPILOT/Tender/SplashBidNoticeAbstractUI.aspx?menuIndex=3&amp;refID=7151062&amp;Result=3","7151062")</f>
        <v>0</v>
      </c>
      <c r="B1652" t="s">
        <v>665</v>
      </c>
      <c r="C1652" t="s">
        <v>5342</v>
      </c>
      <c r="D1652" t="s">
        <v>17990</v>
      </c>
      <c r="E1652" t="s">
        <v>19577</v>
      </c>
      <c r="F1652" t="s">
        <v>30900</v>
      </c>
      <c r="G1652" t="s">
        <v>30908</v>
      </c>
      <c r="H1652" t="s">
        <v>30916</v>
      </c>
      <c r="I1652" t="s">
        <v>30963</v>
      </c>
      <c r="J1652" t="s">
        <v>32288</v>
      </c>
      <c r="K1652" t="s">
        <v>40287</v>
      </c>
      <c r="M1652" t="s">
        <v>41228</v>
      </c>
      <c r="N1652" t="s">
        <v>44759</v>
      </c>
      <c r="O1652" t="s">
        <v>44760</v>
      </c>
      <c r="P1652">
        <v>0</v>
      </c>
      <c r="Q1652">
        <v>4</v>
      </c>
      <c r="R1652" t="s">
        <v>44762</v>
      </c>
      <c r="S1652" t="s">
        <v>44863</v>
      </c>
      <c r="T1652" t="s">
        <v>46410</v>
      </c>
      <c r="U1652" t="s">
        <v>48390</v>
      </c>
      <c r="W1652" t="s">
        <v>41228</v>
      </c>
      <c r="X1652" t="s">
        <v>44763</v>
      </c>
    </row>
    <row r="1653" spans="1:24">
      <c r="A1653">
        <f>HYPERLINK("https://www.philgeps.gov.ph/GEPSNONPILOT/Tender/SplashBidNoticeAbstractUI.aspx?menuIndex=3&amp;refID=7151028&amp;Result=3","7151028")</f>
        <v>0</v>
      </c>
      <c r="B1653" t="s">
        <v>773</v>
      </c>
      <c r="C1653" t="s">
        <v>5343</v>
      </c>
      <c r="D1653" t="s">
        <v>17988</v>
      </c>
      <c r="E1653" t="s">
        <v>19578</v>
      </c>
      <c r="F1653" t="s">
        <v>30900</v>
      </c>
      <c r="G1653" t="s">
        <v>30909</v>
      </c>
      <c r="H1653" t="s">
        <v>30916</v>
      </c>
      <c r="I1653" t="s">
        <v>4454</v>
      </c>
      <c r="J1653" t="s">
        <v>31098</v>
      </c>
      <c r="K1653" t="s">
        <v>40289</v>
      </c>
      <c r="M1653" t="s">
        <v>41341</v>
      </c>
      <c r="N1653" t="s">
        <v>44759</v>
      </c>
      <c r="O1653" t="s">
        <v>44760</v>
      </c>
      <c r="P1653">
        <v>0</v>
      </c>
      <c r="Q1653">
        <v>0</v>
      </c>
      <c r="R1653" t="s">
        <v>44762</v>
      </c>
      <c r="S1653" t="s">
        <v>44863</v>
      </c>
      <c r="T1653" t="s">
        <v>46374</v>
      </c>
      <c r="U1653" t="s">
        <v>48391</v>
      </c>
      <c r="W1653" t="s">
        <v>41341</v>
      </c>
      <c r="X1653" t="s">
        <v>44763</v>
      </c>
    </row>
    <row r="1654" spans="1:24">
      <c r="A1654">
        <f>HYPERLINK("https://www.philgeps.gov.ph/GEPSNONPILOT/Tender/SplashBidNoticeAbstractUI.aspx?menuIndex=3&amp;refID=7151053&amp;Result=3","7151053")</f>
        <v>0</v>
      </c>
      <c r="B1654" t="s">
        <v>711</v>
      </c>
      <c r="C1654" t="s">
        <v>5344</v>
      </c>
      <c r="D1654" t="s">
        <v>17953</v>
      </c>
      <c r="E1654" t="s">
        <v>19579</v>
      </c>
      <c r="F1654" t="s">
        <v>30900</v>
      </c>
      <c r="G1654" t="s">
        <v>30908</v>
      </c>
      <c r="H1654" t="s">
        <v>30916</v>
      </c>
      <c r="I1654" t="s">
        <v>30927</v>
      </c>
      <c r="J1654" t="s">
        <v>32289</v>
      </c>
      <c r="K1654" t="s">
        <v>40286</v>
      </c>
      <c r="M1654" t="s">
        <v>41275</v>
      </c>
      <c r="N1654" t="s">
        <v>44759</v>
      </c>
      <c r="O1654" t="s">
        <v>44760</v>
      </c>
      <c r="P1654">
        <v>0</v>
      </c>
      <c r="Q1654">
        <v>0</v>
      </c>
      <c r="R1654" t="s">
        <v>44762</v>
      </c>
      <c r="S1654" t="s">
        <v>44863</v>
      </c>
      <c r="T1654" t="s">
        <v>46414</v>
      </c>
      <c r="U1654" t="s">
        <v>48200</v>
      </c>
      <c r="V1654" t="s">
        <v>59286</v>
      </c>
      <c r="W1654" t="s">
        <v>41275</v>
      </c>
      <c r="X1654" t="s">
        <v>44763</v>
      </c>
    </row>
    <row r="1655" spans="1:24">
      <c r="A1655">
        <f>HYPERLINK("https://www.philgeps.gov.ph/GEPSNONPILOT/Tender/SplashBidNoticeAbstractUI.aspx?menuIndex=3&amp;refID=7151052&amp;Result=3","7151052")</f>
        <v>0</v>
      </c>
      <c r="B1655" t="s">
        <v>814</v>
      </c>
      <c r="C1655" t="s">
        <v>5345</v>
      </c>
      <c r="D1655" t="s">
        <v>18019</v>
      </c>
      <c r="E1655" t="s">
        <v>19580</v>
      </c>
      <c r="F1655" t="s">
        <v>30899</v>
      </c>
      <c r="G1655" t="s">
        <v>30909</v>
      </c>
      <c r="H1655" t="s">
        <v>30916</v>
      </c>
      <c r="I1655" t="s">
        <v>30922</v>
      </c>
      <c r="J1655" t="s">
        <v>31070</v>
      </c>
      <c r="K1655" t="s">
        <v>40284</v>
      </c>
      <c r="M1655" t="s">
        <v>41385</v>
      </c>
      <c r="N1655" t="s">
        <v>44759</v>
      </c>
      <c r="O1655" t="s">
        <v>44760</v>
      </c>
      <c r="P1655">
        <v>0</v>
      </c>
      <c r="Q1655">
        <v>7</v>
      </c>
      <c r="R1655" t="s">
        <v>44762</v>
      </c>
      <c r="S1655" t="s">
        <v>44863</v>
      </c>
      <c r="T1655" t="s">
        <v>46374</v>
      </c>
      <c r="U1655" t="s">
        <v>48392</v>
      </c>
      <c r="V1655" t="s">
        <v>59311</v>
      </c>
      <c r="W1655" t="s">
        <v>41385</v>
      </c>
      <c r="X1655" t="s">
        <v>44763</v>
      </c>
    </row>
    <row r="1656" spans="1:24">
      <c r="A1656">
        <f>HYPERLINK("https://www.philgeps.gov.ph/GEPSNONPILOT/Tender/SplashBidNoticeAbstractUI.aspx?menuIndex=3&amp;refID=7151051&amp;Result=3","7151051")</f>
        <v>0</v>
      </c>
      <c r="B1656" t="s">
        <v>309</v>
      </c>
      <c r="C1656" t="s">
        <v>5346</v>
      </c>
      <c r="D1656" t="s">
        <v>17995</v>
      </c>
      <c r="E1656" t="s">
        <v>19581</v>
      </c>
      <c r="F1656" t="s">
        <v>30900</v>
      </c>
      <c r="G1656" t="s">
        <v>30907</v>
      </c>
      <c r="H1656" t="s">
        <v>30916</v>
      </c>
      <c r="I1656" t="s">
        <v>30927</v>
      </c>
      <c r="J1656" t="s">
        <v>32290</v>
      </c>
      <c r="K1656" t="s">
        <v>40283</v>
      </c>
      <c r="M1656" t="s">
        <v>40859</v>
      </c>
      <c r="N1656" t="s">
        <v>44759</v>
      </c>
      <c r="O1656" t="s">
        <v>44760</v>
      </c>
      <c r="P1656">
        <v>0</v>
      </c>
      <c r="Q1656">
        <v>0</v>
      </c>
      <c r="R1656" t="s">
        <v>44762</v>
      </c>
      <c r="S1656" t="s">
        <v>44863</v>
      </c>
      <c r="T1656" t="s">
        <v>46544</v>
      </c>
      <c r="U1656" t="s">
        <v>48393</v>
      </c>
      <c r="W1656" t="s">
        <v>40859</v>
      </c>
      <c r="X1656" t="s">
        <v>44763</v>
      </c>
    </row>
    <row r="1657" spans="1:24">
      <c r="A1657">
        <f>HYPERLINK("https://www.philgeps.gov.ph/GEPSNONPILOT/Tender/SplashBidNoticeAbstractUI.aspx?menuIndex=3&amp;refID=7151056&amp;Result=3","7151056")</f>
        <v>0</v>
      </c>
      <c r="B1657" t="s">
        <v>461</v>
      </c>
      <c r="C1657" t="s">
        <v>5347</v>
      </c>
      <c r="D1657" t="s">
        <v>17977</v>
      </c>
      <c r="E1657" t="s">
        <v>19582</v>
      </c>
      <c r="F1657" t="s">
        <v>30900</v>
      </c>
      <c r="G1657" t="s">
        <v>30906</v>
      </c>
      <c r="H1657" t="s">
        <v>30916</v>
      </c>
      <c r="I1657" t="s">
        <v>30923</v>
      </c>
      <c r="J1657" t="s">
        <v>32291</v>
      </c>
      <c r="K1657" t="s">
        <v>40289</v>
      </c>
      <c r="M1657" t="s">
        <v>41019</v>
      </c>
      <c r="N1657" t="s">
        <v>44759</v>
      </c>
      <c r="O1657" t="s">
        <v>44760</v>
      </c>
      <c r="P1657">
        <v>0</v>
      </c>
      <c r="Q1657">
        <v>1</v>
      </c>
      <c r="R1657" t="s">
        <v>44762</v>
      </c>
      <c r="S1657" t="s">
        <v>44863</v>
      </c>
      <c r="T1657" t="s">
        <v>46404</v>
      </c>
      <c r="U1657" t="s">
        <v>48394</v>
      </c>
      <c r="W1657" t="s">
        <v>41019</v>
      </c>
      <c r="X1657" t="s">
        <v>44763</v>
      </c>
    </row>
    <row r="1658" spans="1:24">
      <c r="A1658">
        <f>HYPERLINK("https://www.philgeps.gov.ph/GEPSNONPILOT/Tender/SplashBidNoticeAbstractUI.aspx?menuIndex=3&amp;refID=7151083&amp;Result=3","7151083")</f>
        <v>0</v>
      </c>
      <c r="B1658" t="s">
        <v>741</v>
      </c>
      <c r="C1658" t="s">
        <v>5348</v>
      </c>
      <c r="D1658" t="s">
        <v>17994</v>
      </c>
      <c r="E1658" t="s">
        <v>19583</v>
      </c>
      <c r="F1658" t="s">
        <v>30900</v>
      </c>
      <c r="G1658" t="s">
        <v>30908</v>
      </c>
      <c r="H1658" t="s">
        <v>30916</v>
      </c>
      <c r="I1658" t="s">
        <v>30934</v>
      </c>
      <c r="J1658" t="s">
        <v>31101</v>
      </c>
      <c r="K1658" t="s">
        <v>40287</v>
      </c>
      <c r="M1658" t="s">
        <v>41305</v>
      </c>
      <c r="N1658" t="s">
        <v>44759</v>
      </c>
      <c r="O1658" t="s">
        <v>44760</v>
      </c>
      <c r="P1658">
        <v>0</v>
      </c>
      <c r="Q1658">
        <v>1</v>
      </c>
      <c r="R1658" t="s">
        <v>44762</v>
      </c>
      <c r="S1658" t="s">
        <v>44863</v>
      </c>
      <c r="T1658" t="s">
        <v>46440</v>
      </c>
      <c r="U1658" t="s">
        <v>48395</v>
      </c>
      <c r="V1658" t="s">
        <v>59200</v>
      </c>
      <c r="W1658" t="s">
        <v>41305</v>
      </c>
      <c r="X1658" t="s">
        <v>44763</v>
      </c>
    </row>
    <row r="1659" spans="1:24">
      <c r="A1659">
        <f>HYPERLINK("https://www.philgeps.gov.ph/GEPSNONPILOT/Tender/SplashBidNoticeAbstractUI.aspx?menuIndex=3&amp;refID=7151032&amp;Result=3","7151032")</f>
        <v>0</v>
      </c>
      <c r="B1659" t="s">
        <v>764</v>
      </c>
      <c r="C1659" t="s">
        <v>5349</v>
      </c>
      <c r="D1659" t="s">
        <v>17998</v>
      </c>
      <c r="E1659" t="s">
        <v>19584</v>
      </c>
      <c r="F1659" t="s">
        <v>30900</v>
      </c>
      <c r="G1659" t="s">
        <v>30907</v>
      </c>
      <c r="H1659" t="s">
        <v>30916</v>
      </c>
      <c r="I1659" t="s">
        <v>30939</v>
      </c>
      <c r="J1659" t="s">
        <v>32292</v>
      </c>
      <c r="K1659" t="s">
        <v>40286</v>
      </c>
      <c r="M1659" t="s">
        <v>41330</v>
      </c>
      <c r="N1659" t="s">
        <v>44759</v>
      </c>
      <c r="O1659" t="s">
        <v>44760</v>
      </c>
      <c r="P1659">
        <v>0</v>
      </c>
      <c r="Q1659">
        <v>0</v>
      </c>
      <c r="R1659" t="s">
        <v>44762</v>
      </c>
      <c r="S1659" t="s">
        <v>44863</v>
      </c>
      <c r="T1659" t="s">
        <v>46425</v>
      </c>
      <c r="U1659" t="s">
        <v>48396</v>
      </c>
      <c r="W1659" t="s">
        <v>41330</v>
      </c>
      <c r="X1659" t="s">
        <v>44763</v>
      </c>
    </row>
    <row r="1660" spans="1:24">
      <c r="A1660">
        <f>HYPERLINK("https://www.philgeps.gov.ph/GEPSNONPILOT/Tender/SplashBidNoticeAbstractUI.aspx?menuIndex=3&amp;refID=7151054&amp;Result=3","7151054")</f>
        <v>0</v>
      </c>
      <c r="B1660" t="s">
        <v>35</v>
      </c>
      <c r="C1660" t="s">
        <v>5350</v>
      </c>
      <c r="D1660" t="s">
        <v>17962</v>
      </c>
      <c r="E1660" t="s">
        <v>19585</v>
      </c>
      <c r="F1660" t="s">
        <v>30900</v>
      </c>
      <c r="G1660" t="s">
        <v>30908</v>
      </c>
      <c r="H1660" t="s">
        <v>30916</v>
      </c>
      <c r="I1660" t="s">
        <v>30943</v>
      </c>
      <c r="J1660" t="s">
        <v>31441</v>
      </c>
      <c r="K1660" t="s">
        <v>40283</v>
      </c>
      <c r="M1660" t="s">
        <v>40581</v>
      </c>
      <c r="N1660" t="s">
        <v>44759</v>
      </c>
      <c r="O1660" t="s">
        <v>44760</v>
      </c>
      <c r="P1660">
        <v>0</v>
      </c>
      <c r="Q1660">
        <v>2</v>
      </c>
      <c r="R1660" t="s">
        <v>44762</v>
      </c>
      <c r="S1660" t="s">
        <v>44863</v>
      </c>
      <c r="T1660" t="s">
        <v>46545</v>
      </c>
      <c r="U1660" t="s">
        <v>48397</v>
      </c>
      <c r="V1660" t="s">
        <v>59312</v>
      </c>
      <c r="W1660" t="s">
        <v>40581</v>
      </c>
      <c r="X1660" t="s">
        <v>44763</v>
      </c>
    </row>
    <row r="1661" spans="1:24">
      <c r="A1661">
        <f>HYPERLINK("https://www.philgeps.gov.ph/GEPSNONPILOT/Tender/SplashBidNoticeAbstractUI.aspx?menuIndex=3&amp;refID=7151088&amp;Result=3","7151088")</f>
        <v>0</v>
      </c>
      <c r="B1661" t="s">
        <v>107</v>
      </c>
      <c r="C1661" t="s">
        <v>5351</v>
      </c>
      <c r="D1661" t="s">
        <v>17984</v>
      </c>
      <c r="E1661" t="s">
        <v>19586</v>
      </c>
      <c r="F1661" t="s">
        <v>30900</v>
      </c>
      <c r="G1661" t="s">
        <v>30909</v>
      </c>
      <c r="H1661" t="s">
        <v>30916</v>
      </c>
      <c r="I1661" t="s">
        <v>4454</v>
      </c>
      <c r="J1661" t="s">
        <v>32293</v>
      </c>
      <c r="K1661" t="s">
        <v>40289</v>
      </c>
      <c r="L1661" t="s">
        <v>107</v>
      </c>
      <c r="M1661" t="s">
        <v>40654</v>
      </c>
      <c r="N1661" t="s">
        <v>44759</v>
      </c>
      <c r="O1661" t="s">
        <v>44760</v>
      </c>
      <c r="P1661">
        <v>0</v>
      </c>
      <c r="Q1661">
        <v>3</v>
      </c>
      <c r="R1661" t="s">
        <v>44762</v>
      </c>
      <c r="S1661" t="s">
        <v>44863</v>
      </c>
      <c r="T1661" t="s">
        <v>46399</v>
      </c>
      <c r="U1661" t="s">
        <v>47177</v>
      </c>
      <c r="W1661" t="s">
        <v>40654</v>
      </c>
      <c r="X1661" t="s">
        <v>44763</v>
      </c>
    </row>
    <row r="1662" spans="1:24">
      <c r="A1662">
        <f>HYPERLINK("https://www.philgeps.gov.ph/GEPSNONPILOT/Tender/SplashBidNoticeAbstractUI.aspx?menuIndex=3&amp;refID=7151087&amp;Result=3","7151087")</f>
        <v>0</v>
      </c>
      <c r="B1662" t="s">
        <v>815</v>
      </c>
      <c r="C1662" t="s">
        <v>5352</v>
      </c>
      <c r="D1662" t="s">
        <v>17975</v>
      </c>
      <c r="E1662" t="s">
        <v>19587</v>
      </c>
      <c r="F1662" t="s">
        <v>30900</v>
      </c>
      <c r="G1662" t="s">
        <v>30908</v>
      </c>
      <c r="H1662" t="s">
        <v>30916</v>
      </c>
      <c r="I1662" t="s">
        <v>5830</v>
      </c>
      <c r="J1662" t="s">
        <v>32294</v>
      </c>
      <c r="K1662" t="s">
        <v>40291</v>
      </c>
      <c r="M1662" t="s">
        <v>41386</v>
      </c>
      <c r="N1662" t="s">
        <v>44759</v>
      </c>
      <c r="O1662" t="s">
        <v>44760</v>
      </c>
      <c r="P1662">
        <v>0</v>
      </c>
      <c r="Q1662">
        <v>1</v>
      </c>
      <c r="R1662" t="s">
        <v>44762</v>
      </c>
      <c r="S1662" t="s">
        <v>44863</v>
      </c>
      <c r="T1662" t="s">
        <v>46459</v>
      </c>
      <c r="U1662" t="s">
        <v>48398</v>
      </c>
      <c r="W1662" t="s">
        <v>41386</v>
      </c>
      <c r="X1662" t="s">
        <v>44763</v>
      </c>
    </row>
    <row r="1663" spans="1:24">
      <c r="A1663">
        <f>HYPERLINK("https://www.philgeps.gov.ph/GEPSNONPILOT/Tender/SplashBidNoticeAbstractUI.aspx?menuIndex=3&amp;refID=7151086&amp;Result=3","7151086")</f>
        <v>0</v>
      </c>
      <c r="B1663" t="s">
        <v>816</v>
      </c>
      <c r="C1663" t="s">
        <v>5353</v>
      </c>
      <c r="D1663" t="s">
        <v>17981</v>
      </c>
      <c r="E1663" t="s">
        <v>19588</v>
      </c>
      <c r="F1663" t="s">
        <v>30900</v>
      </c>
      <c r="G1663" t="s">
        <v>30907</v>
      </c>
      <c r="H1663" t="s">
        <v>30916</v>
      </c>
      <c r="I1663" t="s">
        <v>8123</v>
      </c>
      <c r="J1663" t="s">
        <v>32295</v>
      </c>
      <c r="K1663" t="s">
        <v>40294</v>
      </c>
      <c r="M1663" t="s">
        <v>41387</v>
      </c>
      <c r="N1663" t="s">
        <v>44759</v>
      </c>
      <c r="O1663" t="s">
        <v>44760</v>
      </c>
      <c r="P1663">
        <v>0</v>
      </c>
      <c r="Q1663">
        <v>1</v>
      </c>
      <c r="R1663" t="s">
        <v>44762</v>
      </c>
      <c r="S1663" t="s">
        <v>44863</v>
      </c>
      <c r="T1663" t="s">
        <v>46400</v>
      </c>
      <c r="U1663" t="s">
        <v>48399</v>
      </c>
      <c r="W1663" t="s">
        <v>41387</v>
      </c>
      <c r="X1663" t="s">
        <v>44763</v>
      </c>
    </row>
    <row r="1664" spans="1:24">
      <c r="A1664">
        <f>HYPERLINK("https://www.philgeps.gov.ph/GEPSNONPILOT/Tender/SplashBidNoticeAbstractUI.aspx?menuIndex=3&amp;refID=7151085&amp;Result=3","7151085")</f>
        <v>0</v>
      </c>
      <c r="B1664" t="s">
        <v>817</v>
      </c>
      <c r="C1664" t="s">
        <v>5354</v>
      </c>
      <c r="D1664" t="s">
        <v>18025</v>
      </c>
      <c r="E1664" t="s">
        <v>19589</v>
      </c>
      <c r="F1664" t="s">
        <v>30900</v>
      </c>
      <c r="G1664" t="s">
        <v>30906</v>
      </c>
      <c r="H1664" t="s">
        <v>30916</v>
      </c>
      <c r="I1664" t="s">
        <v>30924</v>
      </c>
      <c r="J1664" t="s">
        <v>32296</v>
      </c>
      <c r="K1664" t="s">
        <v>40286</v>
      </c>
      <c r="M1664" t="s">
        <v>41388</v>
      </c>
      <c r="N1664" t="s">
        <v>44759</v>
      </c>
      <c r="O1664" t="s">
        <v>44760</v>
      </c>
      <c r="P1664">
        <v>0</v>
      </c>
      <c r="Q1664">
        <v>6</v>
      </c>
      <c r="R1664" t="s">
        <v>44762</v>
      </c>
      <c r="S1664" t="s">
        <v>44863</v>
      </c>
      <c r="T1664" t="s">
        <v>46414</v>
      </c>
      <c r="U1664" t="s">
        <v>48400</v>
      </c>
      <c r="W1664" t="s">
        <v>41388</v>
      </c>
      <c r="X1664" t="s">
        <v>44763</v>
      </c>
    </row>
    <row r="1665" spans="1:24">
      <c r="A1665">
        <f>HYPERLINK("https://www.philgeps.gov.ph/GEPSNONPILOT/Tender/SplashBidNoticeAbstractUI.aspx?menuIndex=3&amp;refID=7151084&amp;Result=3","7151084")</f>
        <v>0</v>
      </c>
      <c r="B1665" t="s">
        <v>818</v>
      </c>
      <c r="C1665" t="s">
        <v>5355</v>
      </c>
      <c r="D1665" t="s">
        <v>17959</v>
      </c>
      <c r="E1665" t="s">
        <v>18226</v>
      </c>
      <c r="F1665" t="s">
        <v>30900</v>
      </c>
      <c r="G1665" t="s">
        <v>30908</v>
      </c>
      <c r="H1665" t="s">
        <v>30916</v>
      </c>
      <c r="I1665" t="s">
        <v>30924</v>
      </c>
      <c r="J1665" t="s">
        <v>31096</v>
      </c>
      <c r="K1665" t="s">
        <v>40288</v>
      </c>
      <c r="M1665" t="s">
        <v>41389</v>
      </c>
      <c r="N1665" t="s">
        <v>44759</v>
      </c>
      <c r="O1665" t="s">
        <v>44760</v>
      </c>
      <c r="P1665">
        <v>0</v>
      </c>
      <c r="Q1665">
        <v>5</v>
      </c>
      <c r="R1665" t="s">
        <v>44762</v>
      </c>
      <c r="S1665" t="s">
        <v>44863</v>
      </c>
      <c r="T1665" t="s">
        <v>46499</v>
      </c>
      <c r="U1665" t="s">
        <v>48401</v>
      </c>
      <c r="W1665" t="s">
        <v>41389</v>
      </c>
      <c r="X1665" t="s">
        <v>44763</v>
      </c>
    </row>
    <row r="1666" spans="1:24">
      <c r="A1666">
        <f>HYPERLINK("https://www.philgeps.gov.ph/GEPSNONPILOT/Tender/SplashBidNoticeAbstractUI.aspx?menuIndex=3&amp;refID=7151070&amp;Result=3","7151070")</f>
        <v>0</v>
      </c>
      <c r="B1666" t="s">
        <v>809</v>
      </c>
      <c r="C1666" t="s">
        <v>5356</v>
      </c>
      <c r="D1666" t="s">
        <v>17951</v>
      </c>
      <c r="E1666" t="s">
        <v>18214</v>
      </c>
      <c r="F1666" t="s">
        <v>30900</v>
      </c>
      <c r="G1666" t="s">
        <v>30908</v>
      </c>
      <c r="H1666" t="s">
        <v>30916</v>
      </c>
      <c r="I1666" t="s">
        <v>4142</v>
      </c>
      <c r="J1666" t="s">
        <v>31461</v>
      </c>
      <c r="K1666" t="s">
        <v>40287</v>
      </c>
      <c r="L1666" t="s">
        <v>809</v>
      </c>
      <c r="M1666" t="s">
        <v>41379</v>
      </c>
      <c r="N1666" t="s">
        <v>44759</v>
      </c>
      <c r="O1666" t="s">
        <v>44760</v>
      </c>
      <c r="P1666">
        <v>0</v>
      </c>
      <c r="Q1666">
        <v>0</v>
      </c>
      <c r="R1666" t="s">
        <v>44762</v>
      </c>
      <c r="S1666" t="s">
        <v>44863</v>
      </c>
      <c r="T1666" t="s">
        <v>46410</v>
      </c>
      <c r="U1666" t="s">
        <v>48402</v>
      </c>
      <c r="W1666" t="s">
        <v>41379</v>
      </c>
      <c r="X1666" t="s">
        <v>44763</v>
      </c>
    </row>
    <row r="1667" spans="1:24">
      <c r="A1667">
        <f>HYPERLINK("https://www.philgeps.gov.ph/GEPSNONPILOT/Tender/SplashBidNoticeAbstractUI.aspx?menuIndex=3&amp;refID=7151081&amp;Result=3","7151081")</f>
        <v>0</v>
      </c>
      <c r="B1667" t="s">
        <v>595</v>
      </c>
      <c r="C1667" t="s">
        <v>5357</v>
      </c>
      <c r="D1667" t="s">
        <v>17953</v>
      </c>
      <c r="E1667" t="s">
        <v>19590</v>
      </c>
      <c r="F1667" t="s">
        <v>30900</v>
      </c>
      <c r="G1667" t="s">
        <v>30907</v>
      </c>
      <c r="H1667" t="s">
        <v>30916</v>
      </c>
      <c r="I1667" t="s">
        <v>8123</v>
      </c>
      <c r="J1667" t="s">
        <v>32297</v>
      </c>
      <c r="K1667" t="s">
        <v>40283</v>
      </c>
      <c r="M1667" t="s">
        <v>41157</v>
      </c>
      <c r="N1667" t="s">
        <v>44759</v>
      </c>
      <c r="O1667" t="s">
        <v>44760</v>
      </c>
      <c r="P1667">
        <v>0</v>
      </c>
      <c r="Q1667">
        <v>4</v>
      </c>
      <c r="R1667" t="s">
        <v>44762</v>
      </c>
      <c r="S1667" t="s">
        <v>44863</v>
      </c>
      <c r="T1667" t="s">
        <v>46492</v>
      </c>
      <c r="U1667" t="s">
        <v>48403</v>
      </c>
      <c r="W1667" t="s">
        <v>41157</v>
      </c>
      <c r="X1667" t="s">
        <v>44763</v>
      </c>
    </row>
    <row r="1668" spans="1:24">
      <c r="A1668">
        <f>HYPERLINK("https://www.philgeps.gov.ph/GEPSNONPILOT/Tender/SplashBidNoticeAbstractUI.aspx?menuIndex=3&amp;refID=7151080&amp;Result=3","7151080")</f>
        <v>0</v>
      </c>
      <c r="B1668" t="s">
        <v>819</v>
      </c>
      <c r="C1668" t="s">
        <v>5358</v>
      </c>
      <c r="D1668" t="s">
        <v>18025</v>
      </c>
      <c r="E1668" t="s">
        <v>19591</v>
      </c>
      <c r="F1668" t="s">
        <v>30900</v>
      </c>
      <c r="G1668" t="s">
        <v>30909</v>
      </c>
      <c r="H1668" t="s">
        <v>30916</v>
      </c>
      <c r="I1668" t="s">
        <v>30921</v>
      </c>
      <c r="J1668" t="s">
        <v>31049</v>
      </c>
      <c r="K1668" t="s">
        <v>40289</v>
      </c>
      <c r="M1668" t="s">
        <v>41390</v>
      </c>
      <c r="N1668" t="s">
        <v>44759</v>
      </c>
      <c r="O1668" t="s">
        <v>44760</v>
      </c>
      <c r="P1668">
        <v>0</v>
      </c>
      <c r="Q1668">
        <v>2</v>
      </c>
      <c r="R1668" t="s">
        <v>44762</v>
      </c>
      <c r="S1668" t="s">
        <v>44863</v>
      </c>
      <c r="T1668" t="s">
        <v>46383</v>
      </c>
      <c r="U1668" t="s">
        <v>48404</v>
      </c>
      <c r="W1668" t="s">
        <v>41390</v>
      </c>
      <c r="X1668" t="s">
        <v>44763</v>
      </c>
    </row>
    <row r="1669" spans="1:24">
      <c r="A1669">
        <f>HYPERLINK("https://www.philgeps.gov.ph/GEPSNONPILOT/Tender/SplashBidNoticeAbstractUI.aspx?menuIndex=3&amp;refID=7151079&amp;Result=3","7151079")</f>
        <v>0</v>
      </c>
      <c r="B1669" t="s">
        <v>725</v>
      </c>
      <c r="C1669" t="s">
        <v>5359</v>
      </c>
      <c r="D1669" t="s">
        <v>18004</v>
      </c>
      <c r="E1669" t="s">
        <v>19592</v>
      </c>
      <c r="F1669" t="s">
        <v>30900</v>
      </c>
      <c r="G1669" t="s">
        <v>30907</v>
      </c>
      <c r="H1669" t="s">
        <v>30916</v>
      </c>
      <c r="I1669" t="s">
        <v>10602</v>
      </c>
      <c r="J1669" t="s">
        <v>32298</v>
      </c>
      <c r="K1669" t="s">
        <v>40284</v>
      </c>
      <c r="M1669" t="s">
        <v>41289</v>
      </c>
      <c r="N1669" t="s">
        <v>44759</v>
      </c>
      <c r="O1669" t="s">
        <v>44760</v>
      </c>
      <c r="P1669">
        <v>0</v>
      </c>
      <c r="Q1669">
        <v>0</v>
      </c>
      <c r="R1669" t="s">
        <v>44762</v>
      </c>
      <c r="S1669" t="s">
        <v>44863</v>
      </c>
      <c r="T1669" t="s">
        <v>46532</v>
      </c>
      <c r="U1669" t="s">
        <v>48405</v>
      </c>
      <c r="W1669" t="s">
        <v>41289</v>
      </c>
      <c r="X1669" t="s">
        <v>44763</v>
      </c>
    </row>
    <row r="1670" spans="1:24">
      <c r="A1670">
        <f>HYPERLINK("https://www.philgeps.gov.ph/GEPSNONPILOT/Tender/SplashBidNoticeAbstractUI.aspx?menuIndex=3&amp;refID=7151078&amp;Result=3","7151078")</f>
        <v>0</v>
      </c>
      <c r="B1670" t="s">
        <v>194</v>
      </c>
      <c r="C1670" t="s">
        <v>5360</v>
      </c>
      <c r="D1670" t="s">
        <v>17959</v>
      </c>
      <c r="E1670" t="s">
        <v>19593</v>
      </c>
      <c r="F1670" t="s">
        <v>30900</v>
      </c>
      <c r="G1670" t="s">
        <v>30908</v>
      </c>
      <c r="H1670" t="s">
        <v>30916</v>
      </c>
      <c r="I1670" t="s">
        <v>30921</v>
      </c>
      <c r="J1670" t="s">
        <v>32299</v>
      </c>
      <c r="K1670" t="s">
        <v>40286</v>
      </c>
      <c r="M1670" t="s">
        <v>41391</v>
      </c>
      <c r="N1670" t="s">
        <v>44759</v>
      </c>
      <c r="O1670" t="s">
        <v>44760</v>
      </c>
      <c r="P1670">
        <v>0</v>
      </c>
      <c r="Q1670">
        <v>0</v>
      </c>
      <c r="R1670" t="s">
        <v>44762</v>
      </c>
      <c r="S1670" t="s">
        <v>44863</v>
      </c>
      <c r="T1670" t="s">
        <v>46398</v>
      </c>
      <c r="U1670" t="s">
        <v>48406</v>
      </c>
      <c r="W1670" t="s">
        <v>41391</v>
      </c>
      <c r="X1670" t="s">
        <v>44763</v>
      </c>
    </row>
    <row r="1671" spans="1:24">
      <c r="A1671">
        <f>HYPERLINK("https://www.philgeps.gov.ph/GEPSNONPILOT/Tender/SplashBidNoticeAbstractUI.aspx?menuIndex=3&amp;refID=7151076&amp;Result=3","7151076")</f>
        <v>0</v>
      </c>
      <c r="B1671" t="s">
        <v>480</v>
      </c>
      <c r="C1671" t="s">
        <v>5361</v>
      </c>
      <c r="D1671" t="s">
        <v>17972</v>
      </c>
      <c r="E1671" t="s">
        <v>19594</v>
      </c>
      <c r="F1671" t="s">
        <v>30900</v>
      </c>
      <c r="G1671" t="s">
        <v>30907</v>
      </c>
      <c r="H1671" t="s">
        <v>30916</v>
      </c>
      <c r="I1671" t="s">
        <v>30927</v>
      </c>
      <c r="J1671" t="s">
        <v>32300</v>
      </c>
      <c r="K1671" t="s">
        <v>40293</v>
      </c>
      <c r="M1671" t="s">
        <v>41038</v>
      </c>
      <c r="N1671" t="s">
        <v>44759</v>
      </c>
      <c r="O1671" t="s">
        <v>44760</v>
      </c>
      <c r="P1671">
        <v>0</v>
      </c>
      <c r="Q1671">
        <v>0</v>
      </c>
      <c r="R1671" t="s">
        <v>44762</v>
      </c>
      <c r="S1671" t="s">
        <v>44863</v>
      </c>
      <c r="T1671" t="s">
        <v>46384</v>
      </c>
      <c r="U1671" t="s">
        <v>48407</v>
      </c>
      <c r="W1671" t="s">
        <v>41038</v>
      </c>
      <c r="X1671" t="s">
        <v>44763</v>
      </c>
    </row>
    <row r="1672" spans="1:24">
      <c r="A1672">
        <f>HYPERLINK("https://www.philgeps.gov.ph/GEPSNONPILOT/Tender/SplashBidNoticeAbstractUI.aspx?menuIndex=3&amp;refID=7151075&amp;Result=3","7151075")</f>
        <v>0</v>
      </c>
      <c r="B1672" t="s">
        <v>388</v>
      </c>
      <c r="C1672" t="s">
        <v>5362</v>
      </c>
      <c r="E1672" t="s">
        <v>19595</v>
      </c>
      <c r="F1672" t="s">
        <v>30900</v>
      </c>
      <c r="G1672" t="s">
        <v>30908</v>
      </c>
      <c r="H1672" t="s">
        <v>30916</v>
      </c>
      <c r="I1672" t="s">
        <v>30923</v>
      </c>
      <c r="J1672" t="s">
        <v>32301</v>
      </c>
      <c r="K1672" t="s">
        <v>40289</v>
      </c>
      <c r="M1672" t="s">
        <v>41380</v>
      </c>
      <c r="N1672" t="s">
        <v>44759</v>
      </c>
      <c r="O1672" t="s">
        <v>44760</v>
      </c>
      <c r="P1672">
        <v>0</v>
      </c>
      <c r="Q1672">
        <v>0</v>
      </c>
      <c r="R1672" t="s">
        <v>44762</v>
      </c>
      <c r="S1672" t="s">
        <v>44863</v>
      </c>
      <c r="T1672" t="s">
        <v>46543</v>
      </c>
      <c r="U1672" t="s">
        <v>48408</v>
      </c>
      <c r="W1672" t="s">
        <v>60839</v>
      </c>
      <c r="X1672" t="s">
        <v>44763</v>
      </c>
    </row>
    <row r="1673" spans="1:24">
      <c r="A1673">
        <f>HYPERLINK("https://www.philgeps.gov.ph/GEPSNONPILOT/Tender/SplashBidNoticeAbstractUI.aspx?menuIndex=3&amp;refID=7151082&amp;Result=3","7151082")</f>
        <v>0</v>
      </c>
      <c r="B1673" t="s">
        <v>820</v>
      </c>
      <c r="C1673" t="s">
        <v>5363</v>
      </c>
      <c r="E1673" t="s">
        <v>19596</v>
      </c>
      <c r="F1673" t="s">
        <v>30900</v>
      </c>
      <c r="G1673" t="s">
        <v>30907</v>
      </c>
      <c r="H1673" t="s">
        <v>30916</v>
      </c>
      <c r="I1673" t="s">
        <v>30947</v>
      </c>
      <c r="J1673" t="s">
        <v>32302</v>
      </c>
      <c r="K1673" t="s">
        <v>40289</v>
      </c>
      <c r="M1673" t="s">
        <v>41392</v>
      </c>
      <c r="N1673" t="s">
        <v>44759</v>
      </c>
      <c r="O1673" t="s">
        <v>44760</v>
      </c>
      <c r="P1673">
        <v>0</v>
      </c>
      <c r="Q1673">
        <v>1</v>
      </c>
      <c r="R1673" t="s">
        <v>44762</v>
      </c>
      <c r="S1673" t="s">
        <v>44863</v>
      </c>
      <c r="T1673" t="s">
        <v>46375</v>
      </c>
      <c r="U1673" t="s">
        <v>48409</v>
      </c>
      <c r="W1673" t="s">
        <v>41392</v>
      </c>
      <c r="X1673" t="s">
        <v>44763</v>
      </c>
    </row>
    <row r="1674" spans="1:24">
      <c r="A1674">
        <f>HYPERLINK("https://www.philgeps.gov.ph/GEPSNONPILOT/Tender/SplashBidNoticeAbstractUI.aspx?menuIndex=3&amp;refID=7151072&amp;Result=3","7151072")</f>
        <v>0</v>
      </c>
      <c r="B1674" t="s">
        <v>757</v>
      </c>
      <c r="C1674" t="s">
        <v>5364</v>
      </c>
      <c r="E1674" t="s">
        <v>19597</v>
      </c>
      <c r="F1674" t="s">
        <v>30900</v>
      </c>
      <c r="G1674" t="s">
        <v>30909</v>
      </c>
      <c r="H1674" t="s">
        <v>30916</v>
      </c>
      <c r="I1674" t="s">
        <v>4108</v>
      </c>
      <c r="J1674" t="s">
        <v>32303</v>
      </c>
      <c r="K1674" t="s">
        <v>40284</v>
      </c>
      <c r="M1674" t="s">
        <v>41322</v>
      </c>
      <c r="N1674" t="s">
        <v>44759</v>
      </c>
      <c r="O1674" t="s">
        <v>44760</v>
      </c>
      <c r="P1674">
        <v>0</v>
      </c>
      <c r="Q1674">
        <v>0</v>
      </c>
      <c r="R1674" t="s">
        <v>44762</v>
      </c>
      <c r="S1674" t="s">
        <v>44863</v>
      </c>
      <c r="T1674" t="s">
        <v>46395</v>
      </c>
      <c r="U1674" t="s">
        <v>48410</v>
      </c>
      <c r="W1674" t="s">
        <v>41322</v>
      </c>
      <c r="X1674" t="s">
        <v>44763</v>
      </c>
    </row>
    <row r="1675" spans="1:24">
      <c r="A1675">
        <f>HYPERLINK("https://www.philgeps.gov.ph/GEPSNONPILOT/Tender/SplashBidNoticeAbstractUI.aspx?menuIndex=3&amp;refID=7151069&amp;Result=3","7151069")</f>
        <v>0</v>
      </c>
      <c r="B1675" t="s">
        <v>466</v>
      </c>
      <c r="C1675" t="s">
        <v>5365</v>
      </c>
      <c r="E1675" t="s">
        <v>19598</v>
      </c>
      <c r="F1675" t="s">
        <v>30900</v>
      </c>
      <c r="G1675" t="s">
        <v>30908</v>
      </c>
      <c r="H1675" t="s">
        <v>7411</v>
      </c>
      <c r="I1675" t="s">
        <v>30995</v>
      </c>
      <c r="J1675" t="s">
        <v>31669</v>
      </c>
      <c r="K1675" t="s">
        <v>40289</v>
      </c>
      <c r="M1675" t="s">
        <v>41024</v>
      </c>
      <c r="N1675" t="s">
        <v>44759</v>
      </c>
      <c r="O1675" t="s">
        <v>44760</v>
      </c>
      <c r="P1675">
        <v>0</v>
      </c>
      <c r="Q1675">
        <v>9</v>
      </c>
      <c r="R1675" t="s">
        <v>44762</v>
      </c>
      <c r="S1675" t="s">
        <v>44863</v>
      </c>
      <c r="T1675" t="s">
        <v>46414</v>
      </c>
      <c r="U1675" t="s">
        <v>48411</v>
      </c>
      <c r="W1675" t="s">
        <v>41024</v>
      </c>
      <c r="X1675" t="s">
        <v>44763</v>
      </c>
    </row>
    <row r="1676" spans="1:24">
      <c r="A1676">
        <f>HYPERLINK("https://www.philgeps.gov.ph/GEPSNONPILOT/Tender/SplashBidNoticeAbstractUI.aspx?menuIndex=3&amp;refID=7151030&amp;Result=3","7151030")</f>
        <v>0</v>
      </c>
      <c r="B1676" t="s">
        <v>595</v>
      </c>
      <c r="C1676" t="s">
        <v>5366</v>
      </c>
      <c r="D1676" t="s">
        <v>17953</v>
      </c>
      <c r="E1676" t="s">
        <v>19599</v>
      </c>
      <c r="F1676" t="s">
        <v>30900</v>
      </c>
      <c r="G1676" t="s">
        <v>30907</v>
      </c>
      <c r="H1676" t="s">
        <v>30916</v>
      </c>
      <c r="I1676" t="s">
        <v>30939</v>
      </c>
      <c r="J1676" t="s">
        <v>32304</v>
      </c>
      <c r="K1676" t="s">
        <v>40283</v>
      </c>
      <c r="M1676" t="s">
        <v>41157</v>
      </c>
      <c r="N1676" t="s">
        <v>44759</v>
      </c>
      <c r="O1676" t="s">
        <v>44760</v>
      </c>
      <c r="P1676">
        <v>0</v>
      </c>
      <c r="Q1676">
        <v>0</v>
      </c>
      <c r="R1676" t="s">
        <v>44762</v>
      </c>
      <c r="S1676" t="s">
        <v>44863</v>
      </c>
      <c r="T1676" t="s">
        <v>46492</v>
      </c>
      <c r="U1676" t="s">
        <v>48403</v>
      </c>
      <c r="W1676" t="s">
        <v>41157</v>
      </c>
      <c r="X1676" t="s">
        <v>44763</v>
      </c>
    </row>
    <row r="1677" spans="1:24">
      <c r="A1677">
        <f>HYPERLINK("https://www.philgeps.gov.ph/GEPSNONPILOT/Tender/SplashBidNoticeAbstractUI.aspx?menuIndex=3&amp;refID=7151050&amp;Result=3","7151050")</f>
        <v>0</v>
      </c>
      <c r="B1677" t="s">
        <v>821</v>
      </c>
      <c r="C1677" t="s">
        <v>5367</v>
      </c>
      <c r="D1677" t="s">
        <v>18009</v>
      </c>
      <c r="E1677" t="s">
        <v>19600</v>
      </c>
      <c r="F1677" t="s">
        <v>30900</v>
      </c>
      <c r="G1677" t="s">
        <v>30908</v>
      </c>
      <c r="H1677" t="s">
        <v>30916</v>
      </c>
      <c r="I1677" t="s">
        <v>4454</v>
      </c>
      <c r="J1677" t="s">
        <v>32305</v>
      </c>
      <c r="K1677" t="s">
        <v>40289</v>
      </c>
      <c r="M1677" t="s">
        <v>41393</v>
      </c>
      <c r="N1677" t="s">
        <v>44759</v>
      </c>
      <c r="O1677" t="s">
        <v>44760</v>
      </c>
      <c r="P1677">
        <v>0</v>
      </c>
      <c r="Q1677">
        <v>0</v>
      </c>
      <c r="R1677" t="s">
        <v>44762</v>
      </c>
      <c r="S1677" t="s">
        <v>44863</v>
      </c>
      <c r="T1677" t="s">
        <v>46379</v>
      </c>
      <c r="U1677" t="s">
        <v>48412</v>
      </c>
      <c r="W1677" t="s">
        <v>41393</v>
      </c>
      <c r="X1677" t="s">
        <v>44763</v>
      </c>
    </row>
    <row r="1678" spans="1:24">
      <c r="A1678">
        <f>HYPERLINK("https://www.philgeps.gov.ph/GEPSNONPILOT/Tender/SplashBidNoticeAbstractUI.aspx?menuIndex=3&amp;refID=7151055&amp;Result=3","7151055")</f>
        <v>0</v>
      </c>
      <c r="B1678" t="s">
        <v>741</v>
      </c>
      <c r="C1678" t="s">
        <v>5368</v>
      </c>
      <c r="D1678" t="s">
        <v>17994</v>
      </c>
      <c r="E1678" t="s">
        <v>19601</v>
      </c>
      <c r="F1678" t="s">
        <v>30900</v>
      </c>
      <c r="G1678" t="s">
        <v>30908</v>
      </c>
      <c r="H1678" t="s">
        <v>30916</v>
      </c>
      <c r="I1678" t="s">
        <v>30949</v>
      </c>
      <c r="J1678" t="s">
        <v>32306</v>
      </c>
      <c r="K1678" t="s">
        <v>40287</v>
      </c>
      <c r="M1678" t="s">
        <v>41305</v>
      </c>
      <c r="N1678" t="s">
        <v>44759</v>
      </c>
      <c r="O1678" t="s">
        <v>44760</v>
      </c>
      <c r="P1678">
        <v>0</v>
      </c>
      <c r="Q1678">
        <v>1</v>
      </c>
      <c r="R1678" t="s">
        <v>44762</v>
      </c>
      <c r="S1678" t="s">
        <v>44863</v>
      </c>
      <c r="T1678" t="s">
        <v>46440</v>
      </c>
      <c r="U1678" t="s">
        <v>48413</v>
      </c>
      <c r="V1678" t="s">
        <v>59200</v>
      </c>
      <c r="W1678" t="s">
        <v>41305</v>
      </c>
      <c r="X1678" t="s">
        <v>44763</v>
      </c>
    </row>
    <row r="1679" spans="1:24">
      <c r="A1679">
        <f>HYPERLINK("https://www.philgeps.gov.ph/GEPSNONPILOT/Tender/SplashBidNoticeAbstractUI.aspx?menuIndex=3&amp;refID=7151049&amp;Result=3","7151049")</f>
        <v>0</v>
      </c>
      <c r="B1679" t="s">
        <v>822</v>
      </c>
      <c r="C1679" t="s">
        <v>5369</v>
      </c>
      <c r="D1679" t="s">
        <v>17953</v>
      </c>
      <c r="E1679" t="s">
        <v>19602</v>
      </c>
      <c r="F1679" t="s">
        <v>30900</v>
      </c>
      <c r="G1679" t="s">
        <v>30907</v>
      </c>
      <c r="H1679" t="s">
        <v>30916</v>
      </c>
      <c r="I1679" t="s">
        <v>30922</v>
      </c>
      <c r="J1679" t="s">
        <v>32307</v>
      </c>
      <c r="K1679" t="s">
        <v>40289</v>
      </c>
      <c r="M1679" t="s">
        <v>41394</v>
      </c>
      <c r="N1679" t="s">
        <v>44759</v>
      </c>
      <c r="O1679" t="s">
        <v>44760</v>
      </c>
      <c r="P1679">
        <v>0</v>
      </c>
      <c r="Q1679">
        <v>0</v>
      </c>
      <c r="R1679" t="s">
        <v>44762</v>
      </c>
      <c r="S1679" t="s">
        <v>44863</v>
      </c>
      <c r="T1679" t="s">
        <v>46405</v>
      </c>
      <c r="U1679" t="s">
        <v>48414</v>
      </c>
      <c r="W1679" t="s">
        <v>41394</v>
      </c>
      <c r="X1679" t="s">
        <v>44763</v>
      </c>
    </row>
    <row r="1680" spans="1:24">
      <c r="A1680">
        <f>HYPERLINK("https://www.philgeps.gov.ph/GEPSNONPILOT/Tender/SplashBidNoticeAbstractUI.aspx?menuIndex=3&amp;refID=7151047&amp;Result=3","7151047")</f>
        <v>0</v>
      </c>
      <c r="B1680" t="s">
        <v>823</v>
      </c>
      <c r="C1680" t="s">
        <v>5370</v>
      </c>
      <c r="D1680" t="s">
        <v>17959</v>
      </c>
      <c r="E1680" t="s">
        <v>19603</v>
      </c>
      <c r="F1680" t="s">
        <v>30900</v>
      </c>
      <c r="G1680" t="s">
        <v>30909</v>
      </c>
      <c r="H1680" t="s">
        <v>30916</v>
      </c>
      <c r="I1680" t="s">
        <v>4545</v>
      </c>
      <c r="J1680" t="s">
        <v>32308</v>
      </c>
      <c r="K1680" t="s">
        <v>40284</v>
      </c>
      <c r="M1680" t="s">
        <v>41395</v>
      </c>
      <c r="N1680" t="s">
        <v>44759</v>
      </c>
      <c r="O1680" t="s">
        <v>44760</v>
      </c>
      <c r="P1680">
        <v>0</v>
      </c>
      <c r="Q1680">
        <v>4</v>
      </c>
      <c r="R1680" t="s">
        <v>44762</v>
      </c>
      <c r="S1680" t="s">
        <v>44863</v>
      </c>
      <c r="T1680" t="s">
        <v>46414</v>
      </c>
      <c r="U1680" t="s">
        <v>48415</v>
      </c>
      <c r="W1680" t="s">
        <v>41395</v>
      </c>
      <c r="X1680" t="s">
        <v>44763</v>
      </c>
    </row>
    <row r="1681" spans="1:24">
      <c r="A1681">
        <f>HYPERLINK("https://www.philgeps.gov.ph/GEPSNONPILOT/Tender/SplashBidNoticeAbstractUI.aspx?menuIndex=3&amp;refID=7151046&amp;Result=3","7151046")</f>
        <v>0</v>
      </c>
      <c r="B1681" t="s">
        <v>318</v>
      </c>
      <c r="C1681" t="s">
        <v>5371</v>
      </c>
      <c r="D1681" t="s">
        <v>17968</v>
      </c>
      <c r="E1681" t="s">
        <v>19604</v>
      </c>
      <c r="F1681" t="s">
        <v>30900</v>
      </c>
      <c r="G1681" t="s">
        <v>30907</v>
      </c>
      <c r="H1681" t="s">
        <v>30915</v>
      </c>
      <c r="I1681" t="s">
        <v>30919</v>
      </c>
      <c r="J1681" t="s">
        <v>32309</v>
      </c>
      <c r="K1681" t="s">
        <v>40342</v>
      </c>
      <c r="M1681" t="s">
        <v>40869</v>
      </c>
      <c r="N1681" t="s">
        <v>44759</v>
      </c>
      <c r="O1681" t="s">
        <v>44760</v>
      </c>
      <c r="P1681">
        <v>0</v>
      </c>
      <c r="Q1681">
        <v>0</v>
      </c>
      <c r="R1681" t="s">
        <v>44762</v>
      </c>
      <c r="S1681" t="s">
        <v>44863</v>
      </c>
      <c r="T1681" t="s">
        <v>46395</v>
      </c>
      <c r="U1681" t="s">
        <v>48416</v>
      </c>
      <c r="V1681" t="s">
        <v>59260</v>
      </c>
      <c r="W1681" t="s">
        <v>40869</v>
      </c>
      <c r="X1681" t="s">
        <v>44763</v>
      </c>
    </row>
    <row r="1682" spans="1:24">
      <c r="A1682">
        <f>HYPERLINK("https://www.philgeps.gov.ph/GEPSNONPILOT/Tender/SplashBidNoticeAbstractUI.aspx?menuIndex=3&amp;refID=7151073&amp;Result=3","7151073")</f>
        <v>0</v>
      </c>
      <c r="B1682" t="s">
        <v>773</v>
      </c>
      <c r="C1682" t="s">
        <v>5372</v>
      </c>
      <c r="D1682" t="s">
        <v>17988</v>
      </c>
      <c r="E1682" t="s">
        <v>19605</v>
      </c>
      <c r="F1682" t="s">
        <v>30900</v>
      </c>
      <c r="G1682" t="s">
        <v>30909</v>
      </c>
      <c r="H1682" t="s">
        <v>30916</v>
      </c>
      <c r="I1682" t="s">
        <v>4004</v>
      </c>
      <c r="J1682" t="s">
        <v>32310</v>
      </c>
      <c r="K1682" t="s">
        <v>40289</v>
      </c>
      <c r="M1682" t="s">
        <v>41341</v>
      </c>
      <c r="N1682" t="s">
        <v>44759</v>
      </c>
      <c r="O1682" t="s">
        <v>44760</v>
      </c>
      <c r="P1682">
        <v>0</v>
      </c>
      <c r="Q1682">
        <v>3</v>
      </c>
      <c r="R1682" t="s">
        <v>44762</v>
      </c>
      <c r="S1682" t="s">
        <v>44863</v>
      </c>
      <c r="T1682" t="s">
        <v>46374</v>
      </c>
      <c r="U1682" t="s">
        <v>48417</v>
      </c>
      <c r="W1682" t="s">
        <v>41341</v>
      </c>
      <c r="X1682" t="s">
        <v>44763</v>
      </c>
    </row>
    <row r="1683" spans="1:24">
      <c r="A1683">
        <f>HYPERLINK("https://www.philgeps.gov.ph/GEPSNONPILOT/Tender/SplashBidNoticeAbstractUI.aspx?menuIndex=3&amp;refID=7151045&amp;Result=3","7151045")</f>
        <v>0</v>
      </c>
      <c r="B1683" t="s">
        <v>824</v>
      </c>
      <c r="C1683" t="s">
        <v>5373</v>
      </c>
      <c r="D1683" t="s">
        <v>17962</v>
      </c>
      <c r="E1683" t="s">
        <v>19606</v>
      </c>
      <c r="F1683" t="s">
        <v>30900</v>
      </c>
      <c r="G1683" t="s">
        <v>30908</v>
      </c>
      <c r="H1683" t="s">
        <v>30917</v>
      </c>
      <c r="I1683" t="s">
        <v>5830</v>
      </c>
      <c r="J1683" t="s">
        <v>32033</v>
      </c>
      <c r="K1683" t="s">
        <v>40286</v>
      </c>
      <c r="M1683" t="s">
        <v>41396</v>
      </c>
      <c r="N1683" t="s">
        <v>44759</v>
      </c>
      <c r="O1683" t="s">
        <v>44760</v>
      </c>
      <c r="P1683">
        <v>0</v>
      </c>
      <c r="Q1683">
        <v>1</v>
      </c>
      <c r="R1683" t="s">
        <v>44762</v>
      </c>
      <c r="S1683" t="s">
        <v>44863</v>
      </c>
      <c r="T1683" t="s">
        <v>46363</v>
      </c>
      <c r="U1683" t="s">
        <v>48418</v>
      </c>
      <c r="W1683" t="s">
        <v>41396</v>
      </c>
      <c r="X1683" t="s">
        <v>44763</v>
      </c>
    </row>
    <row r="1684" spans="1:24">
      <c r="A1684">
        <f>HYPERLINK("https://www.philgeps.gov.ph/GEPSNONPILOT/Tender/SplashBidNoticeAbstractUI.aspx?menuIndex=3&amp;refID=7151071&amp;Result=3","7151071")</f>
        <v>0</v>
      </c>
      <c r="B1684" t="s">
        <v>825</v>
      </c>
      <c r="C1684" t="s">
        <v>5374</v>
      </c>
      <c r="D1684" t="s">
        <v>17987</v>
      </c>
      <c r="E1684" t="s">
        <v>19607</v>
      </c>
      <c r="F1684" t="s">
        <v>30900</v>
      </c>
      <c r="G1684" t="s">
        <v>30907</v>
      </c>
      <c r="H1684" t="s">
        <v>30916</v>
      </c>
      <c r="I1684" t="s">
        <v>30933</v>
      </c>
      <c r="J1684" t="s">
        <v>32311</v>
      </c>
      <c r="K1684" t="s">
        <v>40286</v>
      </c>
      <c r="M1684" t="s">
        <v>41397</v>
      </c>
      <c r="N1684" t="s">
        <v>44759</v>
      </c>
      <c r="O1684" t="s">
        <v>44760</v>
      </c>
      <c r="P1684">
        <v>0</v>
      </c>
      <c r="Q1684">
        <v>2</v>
      </c>
      <c r="R1684" t="s">
        <v>44762</v>
      </c>
      <c r="S1684" t="s">
        <v>44863</v>
      </c>
      <c r="T1684" t="s">
        <v>46495</v>
      </c>
      <c r="U1684" t="s">
        <v>48419</v>
      </c>
      <c r="W1684" t="s">
        <v>41397</v>
      </c>
      <c r="X1684" t="s">
        <v>44763</v>
      </c>
    </row>
    <row r="1685" spans="1:24">
      <c r="A1685">
        <f>HYPERLINK("https://www.philgeps.gov.ph/GEPSNONPILOT/Tender/SplashBidNoticeAbstractUI.aspx?menuIndex=3&amp;refID=7151068&amp;Result=3","7151068")</f>
        <v>0</v>
      </c>
      <c r="B1685" t="s">
        <v>826</v>
      </c>
      <c r="C1685" t="s">
        <v>5375</v>
      </c>
      <c r="D1685" t="s">
        <v>17963</v>
      </c>
      <c r="E1685" t="s">
        <v>19608</v>
      </c>
      <c r="F1685" t="s">
        <v>30900</v>
      </c>
      <c r="G1685" t="s">
        <v>30907</v>
      </c>
      <c r="H1685" t="s">
        <v>30915</v>
      </c>
      <c r="I1685" t="s">
        <v>30919</v>
      </c>
      <c r="J1685" t="s">
        <v>31243</v>
      </c>
      <c r="K1685" t="s">
        <v>40291</v>
      </c>
      <c r="M1685" t="s">
        <v>41398</v>
      </c>
      <c r="N1685" t="s">
        <v>44759</v>
      </c>
      <c r="O1685" t="s">
        <v>44760</v>
      </c>
      <c r="P1685">
        <v>0</v>
      </c>
      <c r="Q1685">
        <v>0</v>
      </c>
      <c r="R1685" t="s">
        <v>44762</v>
      </c>
      <c r="S1685" t="s">
        <v>44863</v>
      </c>
      <c r="T1685" t="s">
        <v>46404</v>
      </c>
      <c r="U1685" t="s">
        <v>48420</v>
      </c>
      <c r="W1685" t="s">
        <v>41398</v>
      </c>
      <c r="X1685" t="s">
        <v>44763</v>
      </c>
    </row>
    <row r="1686" spans="1:24">
      <c r="A1686">
        <f>HYPERLINK("https://www.philgeps.gov.ph/GEPSNONPILOT/Tender/SplashBidNoticeAbstractUI.aspx?menuIndex=3&amp;refID=7151077&amp;Result=3","7151077")</f>
        <v>0</v>
      </c>
      <c r="B1686" t="s">
        <v>538</v>
      </c>
      <c r="C1686" t="s">
        <v>5376</v>
      </c>
      <c r="D1686" t="s">
        <v>18002</v>
      </c>
      <c r="E1686" t="s">
        <v>19609</v>
      </c>
      <c r="F1686" t="s">
        <v>30900</v>
      </c>
      <c r="G1686" t="s">
        <v>30909</v>
      </c>
      <c r="H1686" t="s">
        <v>30916</v>
      </c>
      <c r="I1686" t="s">
        <v>6953</v>
      </c>
      <c r="J1686" t="s">
        <v>32312</v>
      </c>
      <c r="K1686" t="s">
        <v>40289</v>
      </c>
      <c r="M1686" t="s">
        <v>41098</v>
      </c>
      <c r="N1686" t="s">
        <v>44759</v>
      </c>
      <c r="O1686" t="s">
        <v>44760</v>
      </c>
      <c r="P1686">
        <v>0</v>
      </c>
      <c r="Q1686">
        <v>0</v>
      </c>
      <c r="R1686" t="s">
        <v>44762</v>
      </c>
      <c r="S1686" t="s">
        <v>44863</v>
      </c>
      <c r="T1686" t="s">
        <v>46443</v>
      </c>
      <c r="U1686" t="s">
        <v>48421</v>
      </c>
      <c r="W1686" t="s">
        <v>41098</v>
      </c>
      <c r="X1686" t="s">
        <v>44763</v>
      </c>
    </row>
    <row r="1687" spans="1:24">
      <c r="A1687">
        <f>HYPERLINK("https://www.philgeps.gov.ph/GEPSNONPILOT/Tender/SplashBidNoticeAbstractUI.aspx?menuIndex=3&amp;refID=7151107&amp;Result=3","7151107")</f>
        <v>0</v>
      </c>
      <c r="B1687" t="s">
        <v>811</v>
      </c>
      <c r="C1687" t="s">
        <v>5377</v>
      </c>
      <c r="D1687" t="s">
        <v>18000</v>
      </c>
      <c r="E1687" t="s">
        <v>19610</v>
      </c>
      <c r="F1687" t="s">
        <v>30900</v>
      </c>
      <c r="G1687" t="s">
        <v>30910</v>
      </c>
      <c r="H1687" t="s">
        <v>30916</v>
      </c>
      <c r="I1687" t="s">
        <v>4142</v>
      </c>
      <c r="J1687" t="s">
        <v>32313</v>
      </c>
      <c r="K1687" t="s">
        <v>40286</v>
      </c>
      <c r="M1687" t="s">
        <v>41382</v>
      </c>
      <c r="N1687" t="s">
        <v>44759</v>
      </c>
      <c r="O1687" t="s">
        <v>44760</v>
      </c>
      <c r="P1687">
        <v>0</v>
      </c>
      <c r="Q1687">
        <v>1</v>
      </c>
      <c r="R1687" t="s">
        <v>44762</v>
      </c>
      <c r="S1687" t="s">
        <v>44863</v>
      </c>
      <c r="T1687" t="s">
        <v>46383</v>
      </c>
      <c r="U1687" t="s">
        <v>48422</v>
      </c>
      <c r="W1687" t="s">
        <v>41382</v>
      </c>
      <c r="X1687" t="s">
        <v>44763</v>
      </c>
    </row>
    <row r="1688" spans="1:24">
      <c r="A1688">
        <f>HYPERLINK("https://www.philgeps.gov.ph/GEPSNONPILOT/Tender/SplashBidNoticeAbstractUI.aspx?menuIndex=3&amp;refID=7151111&amp;Result=3","7151111")</f>
        <v>0</v>
      </c>
      <c r="B1688" t="s">
        <v>827</v>
      </c>
      <c r="C1688" t="s">
        <v>5378</v>
      </c>
      <c r="D1688" t="s">
        <v>17979</v>
      </c>
      <c r="E1688" t="s">
        <v>19611</v>
      </c>
      <c r="F1688" t="s">
        <v>30900</v>
      </c>
      <c r="G1688" t="s">
        <v>30907</v>
      </c>
      <c r="H1688" t="s">
        <v>30916</v>
      </c>
      <c r="I1688" t="s">
        <v>30926</v>
      </c>
      <c r="J1688" t="s">
        <v>32314</v>
      </c>
      <c r="K1688" t="s">
        <v>40287</v>
      </c>
      <c r="M1688" t="s">
        <v>41399</v>
      </c>
      <c r="N1688" t="s">
        <v>44759</v>
      </c>
      <c r="O1688" t="s">
        <v>44760</v>
      </c>
      <c r="P1688">
        <v>0</v>
      </c>
      <c r="Q1688">
        <v>0</v>
      </c>
      <c r="R1688" t="s">
        <v>44762</v>
      </c>
      <c r="S1688" t="s">
        <v>44863</v>
      </c>
      <c r="T1688" t="s">
        <v>46405</v>
      </c>
      <c r="U1688" t="s">
        <v>48423</v>
      </c>
      <c r="W1688" t="s">
        <v>41399</v>
      </c>
      <c r="X1688" t="s">
        <v>44763</v>
      </c>
    </row>
    <row r="1689" spans="1:24">
      <c r="A1689">
        <f>HYPERLINK("https://www.philgeps.gov.ph/GEPSNONPILOT/Tender/SplashBidNoticeAbstractUI.aspx?menuIndex=3&amp;refID=7151110&amp;Result=3","7151110")</f>
        <v>0</v>
      </c>
      <c r="B1689" t="s">
        <v>828</v>
      </c>
      <c r="C1689" t="s">
        <v>5379</v>
      </c>
      <c r="D1689" t="s">
        <v>17962</v>
      </c>
      <c r="E1689" t="s">
        <v>19612</v>
      </c>
      <c r="F1689" t="s">
        <v>30900</v>
      </c>
      <c r="G1689" t="s">
        <v>30908</v>
      </c>
      <c r="H1689" t="s">
        <v>30916</v>
      </c>
      <c r="I1689" t="s">
        <v>30996</v>
      </c>
      <c r="J1689" t="s">
        <v>32315</v>
      </c>
      <c r="K1689" t="s">
        <v>40283</v>
      </c>
      <c r="M1689" t="s">
        <v>41400</v>
      </c>
      <c r="N1689" t="s">
        <v>44759</v>
      </c>
      <c r="O1689" t="s">
        <v>44760</v>
      </c>
      <c r="P1689">
        <v>0</v>
      </c>
      <c r="Q1689">
        <v>2</v>
      </c>
      <c r="R1689" t="s">
        <v>44762</v>
      </c>
      <c r="S1689" t="s">
        <v>44863</v>
      </c>
      <c r="T1689" t="s">
        <v>46546</v>
      </c>
      <c r="U1689" t="s">
        <v>48424</v>
      </c>
      <c r="W1689" t="s">
        <v>41400</v>
      </c>
      <c r="X1689" t="s">
        <v>44763</v>
      </c>
    </row>
    <row r="1690" spans="1:24">
      <c r="A1690">
        <f>HYPERLINK("https://www.philgeps.gov.ph/GEPSNONPILOT/Tender/SplashBidNoticeAbstractUI.aspx?menuIndex=3&amp;refID=7151109&amp;Result=3","7151109")</f>
        <v>0</v>
      </c>
      <c r="B1690" t="s">
        <v>81</v>
      </c>
      <c r="C1690" t="s">
        <v>5380</v>
      </c>
      <c r="D1690" t="s">
        <v>17959</v>
      </c>
      <c r="E1690" t="s">
        <v>19613</v>
      </c>
      <c r="F1690" t="s">
        <v>30900</v>
      </c>
      <c r="G1690" t="s">
        <v>30908</v>
      </c>
      <c r="H1690" t="s">
        <v>30916</v>
      </c>
      <c r="I1690" t="s">
        <v>4108</v>
      </c>
      <c r="J1690" t="s">
        <v>32316</v>
      </c>
      <c r="K1690" t="s">
        <v>40289</v>
      </c>
      <c r="M1690" t="s">
        <v>41401</v>
      </c>
      <c r="N1690" t="s">
        <v>44759</v>
      </c>
      <c r="O1690" t="s">
        <v>44760</v>
      </c>
      <c r="P1690">
        <v>0</v>
      </c>
      <c r="Q1690">
        <v>1</v>
      </c>
      <c r="R1690" t="s">
        <v>44762</v>
      </c>
      <c r="S1690" t="s">
        <v>44863</v>
      </c>
      <c r="T1690" t="s">
        <v>46389</v>
      </c>
      <c r="U1690" t="s">
        <v>48425</v>
      </c>
      <c r="V1690" t="s">
        <v>59313</v>
      </c>
      <c r="W1690" t="s">
        <v>41401</v>
      </c>
      <c r="X1690" t="s">
        <v>44763</v>
      </c>
    </row>
    <row r="1691" spans="1:24">
      <c r="A1691">
        <f>HYPERLINK("https://www.philgeps.gov.ph/GEPSNONPILOT/Tender/SplashBidNoticeAbstractUI.aspx?menuIndex=3&amp;refID=7151106&amp;Result=3","7151106")</f>
        <v>0</v>
      </c>
      <c r="B1691" t="s">
        <v>764</v>
      </c>
      <c r="C1691" t="s">
        <v>5381</v>
      </c>
      <c r="D1691" t="s">
        <v>17998</v>
      </c>
      <c r="E1691" t="s">
        <v>19614</v>
      </c>
      <c r="F1691" t="s">
        <v>30900</v>
      </c>
      <c r="G1691" t="s">
        <v>30907</v>
      </c>
      <c r="H1691" t="s">
        <v>30916</v>
      </c>
      <c r="I1691" t="s">
        <v>30947</v>
      </c>
      <c r="J1691" t="s">
        <v>31096</v>
      </c>
      <c r="K1691" t="s">
        <v>40286</v>
      </c>
      <c r="M1691" t="s">
        <v>41330</v>
      </c>
      <c r="N1691" t="s">
        <v>44759</v>
      </c>
      <c r="O1691" t="s">
        <v>44760</v>
      </c>
      <c r="P1691">
        <v>0</v>
      </c>
      <c r="Q1691">
        <v>1</v>
      </c>
      <c r="R1691" t="s">
        <v>44762</v>
      </c>
      <c r="S1691" t="s">
        <v>44863</v>
      </c>
      <c r="T1691" t="s">
        <v>46425</v>
      </c>
      <c r="U1691" t="s">
        <v>48426</v>
      </c>
      <c r="W1691" t="s">
        <v>41330</v>
      </c>
      <c r="X1691" t="s">
        <v>44763</v>
      </c>
    </row>
    <row r="1692" spans="1:24">
      <c r="A1692">
        <f>HYPERLINK("https://www.philgeps.gov.ph/GEPSNONPILOT/Tender/SplashBidNoticeAbstractUI.aspx?menuIndex=3&amp;refID=7151105&amp;Result=3","7151105")</f>
        <v>0</v>
      </c>
      <c r="B1692" t="s">
        <v>829</v>
      </c>
      <c r="C1692" t="s">
        <v>5382</v>
      </c>
      <c r="E1692" t="s">
        <v>19615</v>
      </c>
      <c r="F1692" t="s">
        <v>30900</v>
      </c>
      <c r="G1692" t="s">
        <v>30908</v>
      </c>
      <c r="H1692" t="s">
        <v>30916</v>
      </c>
      <c r="I1692" t="s">
        <v>30924</v>
      </c>
      <c r="J1692" t="s">
        <v>31341</v>
      </c>
      <c r="K1692" t="s">
        <v>40311</v>
      </c>
      <c r="M1692" t="s">
        <v>41402</v>
      </c>
      <c r="N1692" t="s">
        <v>44759</v>
      </c>
      <c r="O1692" t="s">
        <v>44760</v>
      </c>
      <c r="P1692">
        <v>0</v>
      </c>
      <c r="Q1692">
        <v>10</v>
      </c>
      <c r="R1692" t="s">
        <v>44762</v>
      </c>
      <c r="S1692" t="s">
        <v>44863</v>
      </c>
      <c r="T1692" t="s">
        <v>46410</v>
      </c>
      <c r="U1692" t="s">
        <v>48427</v>
      </c>
      <c r="V1692" t="s">
        <v>59314</v>
      </c>
      <c r="W1692" t="s">
        <v>41402</v>
      </c>
      <c r="X1692" t="s">
        <v>44763</v>
      </c>
    </row>
    <row r="1693" spans="1:24">
      <c r="A1693">
        <f>HYPERLINK("https://www.philgeps.gov.ph/GEPSNONPILOT/Tender/SplashBidNoticeAbstractUI.aspx?menuIndex=3&amp;refID=7151112&amp;Result=3","7151112")</f>
        <v>0</v>
      </c>
      <c r="B1693" t="s">
        <v>830</v>
      </c>
      <c r="C1693" t="s">
        <v>5383</v>
      </c>
      <c r="D1693" t="s">
        <v>18027</v>
      </c>
      <c r="E1693" t="s">
        <v>19616</v>
      </c>
      <c r="F1693" t="s">
        <v>30900</v>
      </c>
      <c r="G1693" t="s">
        <v>30910</v>
      </c>
      <c r="H1693" t="s">
        <v>30916</v>
      </c>
      <c r="I1693" t="s">
        <v>6396</v>
      </c>
      <c r="J1693" t="s">
        <v>32317</v>
      </c>
      <c r="K1693" t="s">
        <v>40286</v>
      </c>
      <c r="M1693" t="s">
        <v>41403</v>
      </c>
      <c r="N1693" t="s">
        <v>44759</v>
      </c>
      <c r="O1693" t="s">
        <v>44760</v>
      </c>
      <c r="P1693">
        <v>0</v>
      </c>
      <c r="Q1693">
        <v>0</v>
      </c>
      <c r="R1693" t="s">
        <v>44762</v>
      </c>
      <c r="S1693" t="s">
        <v>44863</v>
      </c>
      <c r="T1693" t="s">
        <v>46425</v>
      </c>
      <c r="U1693" t="s">
        <v>48428</v>
      </c>
      <c r="W1693" t="s">
        <v>41403</v>
      </c>
      <c r="X1693" t="s">
        <v>44763</v>
      </c>
    </row>
    <row r="1694" spans="1:24">
      <c r="A1694">
        <f>HYPERLINK("https://www.philgeps.gov.ph/GEPSNONPILOT/Tender/SplashBidNoticeAbstractUI.aspx?menuIndex=3&amp;refID=7151029&amp;Result=3","7151029")</f>
        <v>0</v>
      </c>
      <c r="B1694" t="s">
        <v>624</v>
      </c>
      <c r="C1694" t="s">
        <v>5384</v>
      </c>
      <c r="D1694" t="s">
        <v>17977</v>
      </c>
      <c r="E1694" t="s">
        <v>5384</v>
      </c>
      <c r="F1694" t="s">
        <v>30900</v>
      </c>
      <c r="G1694" t="s">
        <v>30908</v>
      </c>
      <c r="H1694" t="s">
        <v>30916</v>
      </c>
      <c r="I1694" t="s">
        <v>30923</v>
      </c>
      <c r="J1694" t="s">
        <v>32318</v>
      </c>
      <c r="K1694" t="s">
        <v>40289</v>
      </c>
      <c r="M1694" t="s">
        <v>41186</v>
      </c>
      <c r="N1694" t="s">
        <v>44759</v>
      </c>
      <c r="O1694" t="s">
        <v>44760</v>
      </c>
      <c r="P1694">
        <v>0</v>
      </c>
      <c r="Q1694">
        <v>0</v>
      </c>
      <c r="R1694" t="s">
        <v>44762</v>
      </c>
      <c r="S1694" t="s">
        <v>44863</v>
      </c>
      <c r="T1694" t="s">
        <v>46351</v>
      </c>
      <c r="U1694" t="s">
        <v>48040</v>
      </c>
      <c r="W1694" t="s">
        <v>41186</v>
      </c>
      <c r="X1694" t="s">
        <v>44763</v>
      </c>
    </row>
    <row r="1695" spans="1:24">
      <c r="A1695">
        <f>HYPERLINK("https://www.philgeps.gov.ph/GEPSNONPILOT/Tender/SplashBidNoticeAbstractUI.aspx?menuIndex=3&amp;refID=7151102&amp;Result=3","7151102")</f>
        <v>0</v>
      </c>
      <c r="B1695" t="s">
        <v>113</v>
      </c>
      <c r="C1695" t="s">
        <v>5385</v>
      </c>
      <c r="D1695" t="s">
        <v>17998</v>
      </c>
      <c r="E1695" t="s">
        <v>19617</v>
      </c>
      <c r="F1695" t="s">
        <v>30900</v>
      </c>
      <c r="G1695" t="s">
        <v>30908</v>
      </c>
      <c r="H1695" t="s">
        <v>30916</v>
      </c>
      <c r="I1695" t="s">
        <v>4142</v>
      </c>
      <c r="J1695" t="s">
        <v>31223</v>
      </c>
      <c r="K1695" t="s">
        <v>40284</v>
      </c>
      <c r="M1695" t="s">
        <v>40660</v>
      </c>
      <c r="N1695" t="s">
        <v>44759</v>
      </c>
      <c r="O1695" t="s">
        <v>44760</v>
      </c>
      <c r="P1695">
        <v>0</v>
      </c>
      <c r="Q1695">
        <v>1</v>
      </c>
      <c r="R1695" t="s">
        <v>44762</v>
      </c>
      <c r="S1695" t="s">
        <v>44863</v>
      </c>
      <c r="T1695" t="s">
        <v>46398</v>
      </c>
      <c r="U1695" t="s">
        <v>48429</v>
      </c>
      <c r="W1695" t="s">
        <v>40660</v>
      </c>
      <c r="X1695" t="s">
        <v>44763</v>
      </c>
    </row>
    <row r="1696" spans="1:24">
      <c r="A1696">
        <f>HYPERLINK("https://www.philgeps.gov.ph/GEPSNONPILOT/Tender/SplashBidNoticeAbstractUI.aspx?menuIndex=3&amp;refID=7151023&amp;Result=3","7151023")</f>
        <v>0</v>
      </c>
      <c r="B1696" t="s">
        <v>777</v>
      </c>
      <c r="C1696" t="s">
        <v>5386</v>
      </c>
      <c r="D1696" t="s">
        <v>17961</v>
      </c>
      <c r="E1696" t="s">
        <v>19618</v>
      </c>
      <c r="F1696" t="s">
        <v>30900</v>
      </c>
      <c r="G1696" t="s">
        <v>30908</v>
      </c>
      <c r="H1696" t="s">
        <v>30916</v>
      </c>
      <c r="I1696" t="s">
        <v>30922</v>
      </c>
      <c r="J1696" t="s">
        <v>32319</v>
      </c>
      <c r="K1696" t="s">
        <v>40284</v>
      </c>
      <c r="M1696" t="s">
        <v>41345</v>
      </c>
      <c r="N1696" t="s">
        <v>44759</v>
      </c>
      <c r="O1696" t="s">
        <v>44760</v>
      </c>
      <c r="P1696">
        <v>0</v>
      </c>
      <c r="Q1696">
        <v>7</v>
      </c>
      <c r="R1696" t="s">
        <v>44762</v>
      </c>
      <c r="S1696" t="s">
        <v>44863</v>
      </c>
      <c r="T1696" t="s">
        <v>46395</v>
      </c>
      <c r="U1696" t="s">
        <v>48430</v>
      </c>
      <c r="V1696" t="s">
        <v>59301</v>
      </c>
      <c r="W1696" t="s">
        <v>41345</v>
      </c>
      <c r="X1696" t="s">
        <v>44763</v>
      </c>
    </row>
    <row r="1697" spans="1:24">
      <c r="A1697">
        <f>HYPERLINK("https://www.philgeps.gov.ph/GEPSNONPILOT/Tender/SplashBidNoticeAbstractUI.aspx?menuIndex=3&amp;refID=7151100&amp;Result=3","7151100")</f>
        <v>0</v>
      </c>
      <c r="B1697" t="s">
        <v>831</v>
      </c>
      <c r="C1697" t="s">
        <v>5387</v>
      </c>
      <c r="D1697" t="s">
        <v>17971</v>
      </c>
      <c r="E1697" t="s">
        <v>19619</v>
      </c>
      <c r="F1697" t="s">
        <v>30900</v>
      </c>
      <c r="G1697" t="s">
        <v>30908</v>
      </c>
      <c r="H1697" t="s">
        <v>30916</v>
      </c>
      <c r="I1697" t="s">
        <v>30927</v>
      </c>
      <c r="J1697" t="s">
        <v>32320</v>
      </c>
      <c r="K1697" t="s">
        <v>40286</v>
      </c>
      <c r="M1697" t="s">
        <v>41404</v>
      </c>
      <c r="N1697" t="s">
        <v>44759</v>
      </c>
      <c r="O1697" t="s">
        <v>44760</v>
      </c>
      <c r="P1697">
        <v>0</v>
      </c>
      <c r="Q1697">
        <v>0</v>
      </c>
      <c r="R1697" t="s">
        <v>44762</v>
      </c>
      <c r="S1697" t="s">
        <v>44863</v>
      </c>
      <c r="T1697" t="s">
        <v>46547</v>
      </c>
      <c r="U1697" t="s">
        <v>48431</v>
      </c>
      <c r="W1697" t="s">
        <v>60840</v>
      </c>
      <c r="X1697" t="s">
        <v>44763</v>
      </c>
    </row>
    <row r="1698" spans="1:24">
      <c r="A1698">
        <f>HYPERLINK("https://www.philgeps.gov.ph/GEPSNONPILOT/Tender/SplashBidNoticeAbstractUI.aspx?menuIndex=3&amp;refID=7151101&amp;Result=3","7151101")</f>
        <v>0</v>
      </c>
      <c r="B1698" t="s">
        <v>832</v>
      </c>
      <c r="C1698" t="s">
        <v>5388</v>
      </c>
      <c r="D1698" t="s">
        <v>18025</v>
      </c>
      <c r="E1698" t="s">
        <v>19620</v>
      </c>
      <c r="F1698" t="s">
        <v>30900</v>
      </c>
      <c r="G1698" t="s">
        <v>30908</v>
      </c>
      <c r="H1698" t="s">
        <v>30916</v>
      </c>
      <c r="I1698" t="s">
        <v>4108</v>
      </c>
      <c r="J1698" t="s">
        <v>32321</v>
      </c>
      <c r="K1698" t="s">
        <v>40286</v>
      </c>
      <c r="M1698" t="s">
        <v>41405</v>
      </c>
      <c r="N1698" t="s">
        <v>44759</v>
      </c>
      <c r="O1698" t="s">
        <v>44760</v>
      </c>
      <c r="P1698">
        <v>0</v>
      </c>
      <c r="Q1698">
        <v>0</v>
      </c>
      <c r="R1698" t="s">
        <v>44762</v>
      </c>
      <c r="S1698" t="s">
        <v>44863</v>
      </c>
      <c r="T1698" t="s">
        <v>46383</v>
      </c>
      <c r="U1698" t="s">
        <v>48432</v>
      </c>
      <c r="V1698" t="s">
        <v>59315</v>
      </c>
      <c r="W1698" t="s">
        <v>41405</v>
      </c>
      <c r="X1698" t="s">
        <v>44763</v>
      </c>
    </row>
    <row r="1699" spans="1:24">
      <c r="A1699">
        <f>HYPERLINK("https://www.philgeps.gov.ph/GEPSNONPILOT/Tender/SplashBidNoticeAbstractUI.aspx?menuIndex=3&amp;refID=7151098&amp;Result=3","7151098")</f>
        <v>0</v>
      </c>
      <c r="B1699" t="s">
        <v>833</v>
      </c>
      <c r="C1699" t="s">
        <v>5389</v>
      </c>
      <c r="D1699" t="s">
        <v>17990</v>
      </c>
      <c r="E1699" t="s">
        <v>19621</v>
      </c>
      <c r="F1699" t="s">
        <v>30900</v>
      </c>
      <c r="G1699" t="s">
        <v>30908</v>
      </c>
      <c r="H1699" t="s">
        <v>30916</v>
      </c>
      <c r="I1699" t="s">
        <v>8123</v>
      </c>
      <c r="J1699" t="s">
        <v>32322</v>
      </c>
      <c r="K1699" t="s">
        <v>40283</v>
      </c>
      <c r="M1699" t="s">
        <v>41406</v>
      </c>
      <c r="N1699" t="s">
        <v>44759</v>
      </c>
      <c r="O1699" t="s">
        <v>44760</v>
      </c>
      <c r="P1699">
        <v>0</v>
      </c>
      <c r="Q1699">
        <v>0</v>
      </c>
      <c r="R1699" t="s">
        <v>44762</v>
      </c>
      <c r="S1699" t="s">
        <v>44863</v>
      </c>
      <c r="T1699" t="s">
        <v>46398</v>
      </c>
      <c r="U1699" t="s">
        <v>48433</v>
      </c>
      <c r="W1699" t="s">
        <v>60841</v>
      </c>
      <c r="X1699" t="s">
        <v>44763</v>
      </c>
    </row>
    <row r="1700" spans="1:24">
      <c r="A1700">
        <f>HYPERLINK("https://www.philgeps.gov.ph/GEPSNONPILOT/Tender/SplashBidNoticeAbstractUI.aspx?menuIndex=3&amp;refID=7151022&amp;Result=3","7151022")</f>
        <v>0</v>
      </c>
      <c r="B1700" t="s">
        <v>774</v>
      </c>
      <c r="C1700" t="s">
        <v>5390</v>
      </c>
      <c r="D1700" t="s">
        <v>17993</v>
      </c>
      <c r="E1700" t="s">
        <v>19622</v>
      </c>
      <c r="F1700" t="s">
        <v>30900</v>
      </c>
      <c r="G1700" t="s">
        <v>30908</v>
      </c>
      <c r="H1700" t="s">
        <v>30915</v>
      </c>
      <c r="I1700" t="s">
        <v>30919</v>
      </c>
      <c r="J1700" t="s">
        <v>31096</v>
      </c>
      <c r="K1700" t="s">
        <v>40283</v>
      </c>
      <c r="M1700" t="s">
        <v>41342</v>
      </c>
      <c r="N1700" t="s">
        <v>44759</v>
      </c>
      <c r="O1700" t="s">
        <v>44760</v>
      </c>
      <c r="P1700">
        <v>0</v>
      </c>
      <c r="Q1700">
        <v>0</v>
      </c>
      <c r="R1700" t="s">
        <v>44762</v>
      </c>
      <c r="S1700" t="s">
        <v>44863</v>
      </c>
      <c r="T1700" t="s">
        <v>46399</v>
      </c>
      <c r="U1700" t="s">
        <v>48434</v>
      </c>
      <c r="W1700" t="s">
        <v>41342</v>
      </c>
      <c r="X1700" t="s">
        <v>44763</v>
      </c>
    </row>
    <row r="1701" spans="1:24">
      <c r="A1701">
        <f>HYPERLINK("https://www.philgeps.gov.ph/GEPSNONPILOT/Tender/SplashBidNoticeAbstractUI.aspx?menuIndex=3&amp;refID=7151126&amp;Result=3","7151126")</f>
        <v>0</v>
      </c>
      <c r="B1701" t="s">
        <v>711</v>
      </c>
      <c r="C1701" t="s">
        <v>5391</v>
      </c>
      <c r="D1701" t="s">
        <v>17953</v>
      </c>
      <c r="E1701" t="s">
        <v>19623</v>
      </c>
      <c r="F1701" t="s">
        <v>30900</v>
      </c>
      <c r="G1701" t="s">
        <v>30908</v>
      </c>
      <c r="H1701" t="s">
        <v>30916</v>
      </c>
      <c r="I1701" t="s">
        <v>30929</v>
      </c>
      <c r="J1701" t="s">
        <v>31223</v>
      </c>
      <c r="K1701" t="s">
        <v>40286</v>
      </c>
      <c r="M1701" t="s">
        <v>41275</v>
      </c>
      <c r="N1701" t="s">
        <v>44759</v>
      </c>
      <c r="O1701" t="s">
        <v>44760</v>
      </c>
      <c r="P1701">
        <v>0</v>
      </c>
      <c r="Q1701">
        <v>2</v>
      </c>
      <c r="R1701" t="s">
        <v>44762</v>
      </c>
      <c r="S1701" t="s">
        <v>44863</v>
      </c>
      <c r="T1701" t="s">
        <v>46414</v>
      </c>
      <c r="U1701" t="s">
        <v>48200</v>
      </c>
      <c r="V1701" t="s">
        <v>59286</v>
      </c>
      <c r="W1701" t="s">
        <v>41275</v>
      </c>
      <c r="X1701" t="s">
        <v>44763</v>
      </c>
    </row>
    <row r="1702" spans="1:24">
      <c r="A1702">
        <f>HYPERLINK("https://www.philgeps.gov.ph/GEPSNONPILOT/Tender/SplashBidNoticeAbstractUI.aspx?menuIndex=3&amp;refID=7151025&amp;Result=3","7151025")</f>
        <v>0</v>
      </c>
      <c r="B1702" t="s">
        <v>834</v>
      </c>
      <c r="C1702" t="s">
        <v>5392</v>
      </c>
      <c r="D1702" t="s">
        <v>17977</v>
      </c>
      <c r="E1702" t="s">
        <v>19624</v>
      </c>
      <c r="F1702" t="s">
        <v>30900</v>
      </c>
      <c r="G1702" t="s">
        <v>30907</v>
      </c>
      <c r="H1702" t="s">
        <v>30916</v>
      </c>
      <c r="I1702" t="s">
        <v>30924</v>
      </c>
      <c r="J1702" t="s">
        <v>31052</v>
      </c>
      <c r="K1702" t="s">
        <v>40283</v>
      </c>
      <c r="M1702" t="s">
        <v>41407</v>
      </c>
      <c r="N1702" t="s">
        <v>44759</v>
      </c>
      <c r="O1702" t="s">
        <v>44760</v>
      </c>
      <c r="P1702">
        <v>0</v>
      </c>
      <c r="Q1702">
        <v>1</v>
      </c>
      <c r="R1702" t="s">
        <v>44762</v>
      </c>
      <c r="S1702" t="s">
        <v>44863</v>
      </c>
      <c r="T1702" t="s">
        <v>46389</v>
      </c>
      <c r="U1702" t="s">
        <v>48435</v>
      </c>
      <c r="V1702" t="s">
        <v>59316</v>
      </c>
      <c r="W1702" t="s">
        <v>41407</v>
      </c>
      <c r="X1702" t="s">
        <v>44763</v>
      </c>
    </row>
    <row r="1703" spans="1:24">
      <c r="A1703">
        <f>HYPERLINK("https://www.philgeps.gov.ph/GEPSNONPILOT/Tender/SplashBidNoticeAbstractUI.aspx?menuIndex=3&amp;refID=7151137&amp;Result=3","7151137")</f>
        <v>0</v>
      </c>
      <c r="B1703" t="s">
        <v>795</v>
      </c>
      <c r="C1703" t="s">
        <v>5393</v>
      </c>
      <c r="D1703" t="s">
        <v>17967</v>
      </c>
      <c r="E1703" t="s">
        <v>19625</v>
      </c>
      <c r="F1703" t="s">
        <v>30900</v>
      </c>
      <c r="G1703" t="s">
        <v>30906</v>
      </c>
      <c r="H1703" t="s">
        <v>30916</v>
      </c>
      <c r="I1703" t="s">
        <v>30924</v>
      </c>
      <c r="J1703" t="s">
        <v>32323</v>
      </c>
      <c r="K1703" t="s">
        <v>40308</v>
      </c>
      <c r="M1703" t="s">
        <v>41365</v>
      </c>
      <c r="N1703" t="s">
        <v>44759</v>
      </c>
      <c r="O1703" t="s">
        <v>44760</v>
      </c>
      <c r="P1703">
        <v>0</v>
      </c>
      <c r="Q1703">
        <v>1</v>
      </c>
      <c r="R1703" t="s">
        <v>44762</v>
      </c>
      <c r="S1703" t="s">
        <v>44863</v>
      </c>
      <c r="T1703" t="s">
        <v>46414</v>
      </c>
      <c r="U1703" t="s">
        <v>48436</v>
      </c>
      <c r="W1703" t="s">
        <v>41365</v>
      </c>
      <c r="X1703" t="s">
        <v>44763</v>
      </c>
    </row>
    <row r="1704" spans="1:24">
      <c r="A1704">
        <f>HYPERLINK("https://www.philgeps.gov.ph/GEPSNONPILOT/Tender/SplashBidNoticeAbstractUI.aspx?menuIndex=3&amp;refID=7151135&amp;Result=3","7151135")</f>
        <v>0</v>
      </c>
      <c r="B1704" t="s">
        <v>835</v>
      </c>
      <c r="C1704" t="s">
        <v>5394</v>
      </c>
      <c r="D1704" t="s">
        <v>18029</v>
      </c>
      <c r="E1704" t="s">
        <v>19626</v>
      </c>
      <c r="F1704" t="s">
        <v>30900</v>
      </c>
      <c r="G1704" t="s">
        <v>30907</v>
      </c>
      <c r="H1704" t="s">
        <v>30916</v>
      </c>
      <c r="I1704" t="s">
        <v>8123</v>
      </c>
      <c r="J1704" t="s">
        <v>32324</v>
      </c>
      <c r="K1704" t="s">
        <v>40289</v>
      </c>
      <c r="M1704" t="s">
        <v>41408</v>
      </c>
      <c r="N1704" t="s">
        <v>44759</v>
      </c>
      <c r="O1704" t="s">
        <v>44760</v>
      </c>
      <c r="P1704">
        <v>0</v>
      </c>
      <c r="Q1704">
        <v>0</v>
      </c>
      <c r="R1704" t="s">
        <v>44762</v>
      </c>
      <c r="S1704" t="s">
        <v>44863</v>
      </c>
      <c r="T1704" t="s">
        <v>46400</v>
      </c>
      <c r="U1704" t="s">
        <v>48437</v>
      </c>
      <c r="W1704" t="s">
        <v>41408</v>
      </c>
      <c r="X1704" t="s">
        <v>44763</v>
      </c>
    </row>
    <row r="1705" spans="1:24">
      <c r="A1705">
        <f>HYPERLINK("https://www.philgeps.gov.ph/GEPSNONPILOT/Tender/SplashBidNoticeAbstractUI.aspx?menuIndex=3&amp;refID=7151099&amp;Result=3","7151099")</f>
        <v>0</v>
      </c>
      <c r="B1705" t="s">
        <v>836</v>
      </c>
      <c r="C1705" t="s">
        <v>5395</v>
      </c>
      <c r="D1705" t="s">
        <v>17952</v>
      </c>
      <c r="E1705" t="s">
        <v>19627</v>
      </c>
      <c r="F1705" t="s">
        <v>30900</v>
      </c>
      <c r="G1705" t="s">
        <v>30908</v>
      </c>
      <c r="H1705" t="s">
        <v>30916</v>
      </c>
      <c r="I1705" t="s">
        <v>30924</v>
      </c>
      <c r="J1705" t="s">
        <v>32325</v>
      </c>
      <c r="K1705" t="s">
        <v>40286</v>
      </c>
      <c r="M1705" t="s">
        <v>41409</v>
      </c>
      <c r="N1705" t="s">
        <v>44759</v>
      </c>
      <c r="O1705" t="s">
        <v>44760</v>
      </c>
      <c r="P1705">
        <v>0</v>
      </c>
      <c r="Q1705">
        <v>0</v>
      </c>
      <c r="R1705" t="s">
        <v>44762</v>
      </c>
      <c r="S1705" t="s">
        <v>44863</v>
      </c>
      <c r="T1705" t="s">
        <v>46547</v>
      </c>
      <c r="U1705" t="s">
        <v>48438</v>
      </c>
      <c r="W1705" t="s">
        <v>41409</v>
      </c>
      <c r="X1705" t="s">
        <v>44763</v>
      </c>
    </row>
    <row r="1706" spans="1:24">
      <c r="A1706">
        <f>HYPERLINK("https://www.philgeps.gov.ph/GEPSNONPILOT/Tender/SplashBidNoticeAbstractUI.aspx?menuIndex=3&amp;refID=7151104&amp;Result=3","7151104")</f>
        <v>0</v>
      </c>
      <c r="B1706" t="s">
        <v>837</v>
      </c>
      <c r="C1706" t="s">
        <v>5396</v>
      </c>
      <c r="D1706" t="s">
        <v>17983</v>
      </c>
      <c r="E1706" t="s">
        <v>19628</v>
      </c>
      <c r="F1706" t="s">
        <v>30900</v>
      </c>
      <c r="G1706" t="s">
        <v>30907</v>
      </c>
      <c r="H1706" t="s">
        <v>30916</v>
      </c>
      <c r="I1706" t="s">
        <v>4142</v>
      </c>
      <c r="J1706" t="s">
        <v>32326</v>
      </c>
      <c r="K1706" t="s">
        <v>40293</v>
      </c>
      <c r="M1706" t="s">
        <v>41410</v>
      </c>
      <c r="N1706" t="s">
        <v>44759</v>
      </c>
      <c r="O1706" t="s">
        <v>44760</v>
      </c>
      <c r="P1706">
        <v>0</v>
      </c>
      <c r="Q1706">
        <v>1</v>
      </c>
      <c r="R1706" t="s">
        <v>44762</v>
      </c>
      <c r="S1706" t="s">
        <v>44863</v>
      </c>
      <c r="T1706" t="s">
        <v>46400</v>
      </c>
      <c r="U1706" t="s">
        <v>48439</v>
      </c>
      <c r="V1706" t="s">
        <v>59317</v>
      </c>
      <c r="W1706" t="s">
        <v>41410</v>
      </c>
      <c r="X1706" t="s">
        <v>44763</v>
      </c>
    </row>
    <row r="1707" spans="1:24">
      <c r="A1707">
        <f>HYPERLINK("https://www.philgeps.gov.ph/GEPSNONPILOT/Tender/SplashBidNoticeAbstractUI.aspx?menuIndex=3&amp;refID=7151134&amp;Result=3","7151134")</f>
        <v>0</v>
      </c>
      <c r="B1707" t="s">
        <v>838</v>
      </c>
      <c r="C1707" t="s">
        <v>5397</v>
      </c>
      <c r="D1707" t="s">
        <v>17975</v>
      </c>
      <c r="E1707" t="s">
        <v>19629</v>
      </c>
      <c r="F1707" t="s">
        <v>30900</v>
      </c>
      <c r="G1707" t="s">
        <v>30908</v>
      </c>
      <c r="H1707" t="s">
        <v>30915</v>
      </c>
      <c r="I1707" t="s">
        <v>30919</v>
      </c>
      <c r="J1707" t="s">
        <v>31101</v>
      </c>
      <c r="K1707" t="s">
        <v>40286</v>
      </c>
      <c r="M1707" t="s">
        <v>41411</v>
      </c>
      <c r="N1707" t="s">
        <v>44759</v>
      </c>
      <c r="O1707" t="s">
        <v>44760</v>
      </c>
      <c r="P1707">
        <v>0</v>
      </c>
      <c r="Q1707">
        <v>0</v>
      </c>
      <c r="R1707" t="s">
        <v>44762</v>
      </c>
      <c r="S1707" t="s">
        <v>44863</v>
      </c>
      <c r="T1707" t="s">
        <v>46414</v>
      </c>
      <c r="U1707" t="s">
        <v>48440</v>
      </c>
      <c r="W1707" t="s">
        <v>41411</v>
      </c>
      <c r="X1707" t="s">
        <v>44763</v>
      </c>
    </row>
    <row r="1708" spans="1:24">
      <c r="A1708">
        <f>HYPERLINK("https://www.philgeps.gov.ph/GEPSNONPILOT/Tender/SplashBidNoticeAbstractUI.aspx?menuIndex=3&amp;refID=7151097&amp;Result=3","7151097")</f>
        <v>0</v>
      </c>
      <c r="B1708" t="s">
        <v>839</v>
      </c>
      <c r="C1708" t="s">
        <v>5398</v>
      </c>
      <c r="E1708" t="s">
        <v>19630</v>
      </c>
      <c r="F1708" t="s">
        <v>30900</v>
      </c>
      <c r="G1708" t="s">
        <v>30907</v>
      </c>
      <c r="H1708" t="s">
        <v>30916</v>
      </c>
      <c r="I1708" t="s">
        <v>5501</v>
      </c>
      <c r="J1708" t="s">
        <v>32327</v>
      </c>
      <c r="K1708" t="s">
        <v>40289</v>
      </c>
      <c r="M1708" t="s">
        <v>41412</v>
      </c>
      <c r="N1708" t="s">
        <v>44759</v>
      </c>
      <c r="O1708" t="s">
        <v>44760</v>
      </c>
      <c r="P1708">
        <v>0</v>
      </c>
      <c r="Q1708">
        <v>3</v>
      </c>
      <c r="R1708" t="s">
        <v>44762</v>
      </c>
      <c r="S1708" t="s">
        <v>44863</v>
      </c>
      <c r="T1708" t="s">
        <v>46375</v>
      </c>
      <c r="U1708" t="s">
        <v>48441</v>
      </c>
      <c r="W1708" t="s">
        <v>41412</v>
      </c>
      <c r="X1708" t="s">
        <v>44763</v>
      </c>
    </row>
    <row r="1709" spans="1:24">
      <c r="A1709">
        <f>HYPERLINK("https://www.philgeps.gov.ph/GEPSNONPILOT/Tender/SplashBidNoticeAbstractUI.aspx?menuIndex=3&amp;refID=7151133&amp;Result=3","7151133")</f>
        <v>0</v>
      </c>
      <c r="B1709" t="s">
        <v>781</v>
      </c>
      <c r="C1709" t="s">
        <v>5399</v>
      </c>
      <c r="D1709" t="s">
        <v>17959</v>
      </c>
      <c r="E1709" t="s">
        <v>19631</v>
      </c>
      <c r="F1709" t="s">
        <v>30900</v>
      </c>
      <c r="G1709" t="s">
        <v>30909</v>
      </c>
      <c r="H1709" t="s">
        <v>30916</v>
      </c>
      <c r="I1709" t="s">
        <v>30923</v>
      </c>
      <c r="J1709" t="s">
        <v>32328</v>
      </c>
      <c r="K1709" t="s">
        <v>40284</v>
      </c>
      <c r="M1709" t="s">
        <v>41350</v>
      </c>
      <c r="N1709" t="s">
        <v>44759</v>
      </c>
      <c r="O1709" t="s">
        <v>44760</v>
      </c>
      <c r="P1709">
        <v>0</v>
      </c>
      <c r="Q1709">
        <v>4</v>
      </c>
      <c r="R1709" t="s">
        <v>44762</v>
      </c>
      <c r="S1709" t="s">
        <v>44863</v>
      </c>
      <c r="T1709" t="s">
        <v>46391</v>
      </c>
      <c r="U1709" t="s">
        <v>48442</v>
      </c>
      <c r="W1709" t="s">
        <v>41350</v>
      </c>
      <c r="X1709" t="s">
        <v>44763</v>
      </c>
    </row>
    <row r="1710" spans="1:24">
      <c r="A1710">
        <f>HYPERLINK("https://www.philgeps.gov.ph/GEPSNONPILOT/Tender/SplashBidNoticeAbstractUI.aspx?menuIndex=3&amp;refID=7151130&amp;Result=3","7151130")</f>
        <v>0</v>
      </c>
      <c r="B1710" t="s">
        <v>840</v>
      </c>
      <c r="C1710" t="s">
        <v>5400</v>
      </c>
      <c r="D1710" t="s">
        <v>17954</v>
      </c>
      <c r="E1710" t="s">
        <v>19632</v>
      </c>
      <c r="F1710" t="s">
        <v>30900</v>
      </c>
      <c r="G1710" t="s">
        <v>30907</v>
      </c>
      <c r="H1710" t="s">
        <v>30916</v>
      </c>
      <c r="I1710" t="s">
        <v>30923</v>
      </c>
      <c r="J1710" t="s">
        <v>32329</v>
      </c>
      <c r="K1710" t="s">
        <v>40283</v>
      </c>
      <c r="M1710" t="s">
        <v>41413</v>
      </c>
      <c r="N1710" t="s">
        <v>44759</v>
      </c>
      <c r="O1710" t="s">
        <v>44760</v>
      </c>
      <c r="P1710">
        <v>0</v>
      </c>
      <c r="Q1710">
        <v>3</v>
      </c>
      <c r="R1710" t="s">
        <v>44762</v>
      </c>
      <c r="S1710" t="s">
        <v>44863</v>
      </c>
      <c r="T1710" t="s">
        <v>46380</v>
      </c>
      <c r="U1710" t="s">
        <v>48443</v>
      </c>
      <c r="W1710" t="s">
        <v>41413</v>
      </c>
      <c r="X1710" t="s">
        <v>44763</v>
      </c>
    </row>
    <row r="1711" spans="1:24">
      <c r="A1711">
        <f>HYPERLINK("https://www.philgeps.gov.ph/GEPSNONPILOT/Tender/SplashBidNoticeAbstractUI.aspx?menuIndex=3&amp;refID=7151128&amp;Result=3","7151128")</f>
        <v>0</v>
      </c>
      <c r="B1711" t="s">
        <v>461</v>
      </c>
      <c r="C1711" t="s">
        <v>5401</v>
      </c>
      <c r="D1711" t="s">
        <v>17977</v>
      </c>
      <c r="E1711" t="s">
        <v>19633</v>
      </c>
      <c r="F1711" t="s">
        <v>30900</v>
      </c>
      <c r="G1711" t="s">
        <v>30906</v>
      </c>
      <c r="H1711" t="s">
        <v>30916</v>
      </c>
      <c r="I1711" t="s">
        <v>8123</v>
      </c>
      <c r="J1711" t="s">
        <v>32330</v>
      </c>
      <c r="K1711" t="s">
        <v>40289</v>
      </c>
      <c r="M1711" t="s">
        <v>41019</v>
      </c>
      <c r="N1711" t="s">
        <v>44759</v>
      </c>
      <c r="O1711" t="s">
        <v>44760</v>
      </c>
      <c r="P1711">
        <v>0</v>
      </c>
      <c r="Q1711">
        <v>0</v>
      </c>
      <c r="R1711" t="s">
        <v>44762</v>
      </c>
      <c r="S1711" t="s">
        <v>44863</v>
      </c>
      <c r="T1711" t="s">
        <v>46404</v>
      </c>
      <c r="U1711" t="s">
        <v>48444</v>
      </c>
      <c r="W1711" t="s">
        <v>41019</v>
      </c>
      <c r="X1711" t="s">
        <v>44763</v>
      </c>
    </row>
    <row r="1712" spans="1:24">
      <c r="A1712">
        <f>HYPERLINK("https://www.philgeps.gov.ph/GEPSNONPILOT/Tender/SplashBidNoticeAbstractUI.aspx?menuIndex=3&amp;refID=7151136&amp;Result=3","7151136")</f>
        <v>0</v>
      </c>
      <c r="B1712" t="s">
        <v>841</v>
      </c>
      <c r="C1712" t="s">
        <v>5402</v>
      </c>
      <c r="D1712" t="s">
        <v>17978</v>
      </c>
      <c r="E1712" t="s">
        <v>19634</v>
      </c>
      <c r="F1712" t="s">
        <v>30900</v>
      </c>
      <c r="G1712" t="s">
        <v>30910</v>
      </c>
      <c r="H1712" t="s">
        <v>30916</v>
      </c>
      <c r="I1712" t="s">
        <v>30927</v>
      </c>
      <c r="J1712" t="s">
        <v>32331</v>
      </c>
      <c r="K1712" t="s">
        <v>40284</v>
      </c>
      <c r="M1712" t="s">
        <v>41414</v>
      </c>
      <c r="N1712" t="s">
        <v>44759</v>
      </c>
      <c r="O1712" t="s">
        <v>44760</v>
      </c>
      <c r="P1712">
        <v>0</v>
      </c>
      <c r="Q1712">
        <v>0</v>
      </c>
      <c r="R1712" t="s">
        <v>44762</v>
      </c>
      <c r="S1712" t="s">
        <v>44863</v>
      </c>
      <c r="T1712" t="s">
        <v>46400</v>
      </c>
      <c r="U1712" t="s">
        <v>48445</v>
      </c>
      <c r="W1712" t="s">
        <v>41414</v>
      </c>
      <c r="X1712" t="s">
        <v>44763</v>
      </c>
    </row>
    <row r="1713" spans="1:24">
      <c r="A1713">
        <f>HYPERLINK("https://www.philgeps.gov.ph/GEPSNONPILOT/Tender/SplashBidNoticeAbstractUI.aspx?menuIndex=3&amp;refID=7151123&amp;Result=3","7151123")</f>
        <v>0</v>
      </c>
      <c r="B1713" t="s">
        <v>217</v>
      </c>
      <c r="C1713" t="s">
        <v>5403</v>
      </c>
      <c r="D1713" t="s">
        <v>17966</v>
      </c>
      <c r="E1713" t="s">
        <v>19635</v>
      </c>
      <c r="F1713" t="s">
        <v>30900</v>
      </c>
      <c r="G1713" t="s">
        <v>30908</v>
      </c>
      <c r="H1713" t="s">
        <v>30916</v>
      </c>
      <c r="I1713" t="s">
        <v>4454</v>
      </c>
      <c r="J1713" t="s">
        <v>32332</v>
      </c>
      <c r="K1713" t="s">
        <v>40284</v>
      </c>
      <c r="M1713" t="s">
        <v>40764</v>
      </c>
      <c r="N1713" t="s">
        <v>44759</v>
      </c>
      <c r="O1713" t="s">
        <v>44760</v>
      </c>
      <c r="P1713">
        <v>0</v>
      </c>
      <c r="Q1713">
        <v>1</v>
      </c>
      <c r="R1713" t="s">
        <v>44762</v>
      </c>
      <c r="S1713" t="s">
        <v>44863</v>
      </c>
      <c r="T1713" t="s">
        <v>46352</v>
      </c>
      <c r="U1713" t="s">
        <v>48446</v>
      </c>
      <c r="W1713" t="s">
        <v>40764</v>
      </c>
      <c r="X1713" t="s">
        <v>44763</v>
      </c>
    </row>
    <row r="1714" spans="1:24">
      <c r="A1714">
        <f>HYPERLINK("https://www.philgeps.gov.ph/GEPSNONPILOT/Tender/SplashBidNoticeAbstractUI.aspx?menuIndex=3&amp;refID=7151048&amp;Result=3","7151048")</f>
        <v>0</v>
      </c>
      <c r="B1714" t="s">
        <v>842</v>
      </c>
      <c r="C1714" t="s">
        <v>5404</v>
      </c>
      <c r="D1714" t="s">
        <v>17957</v>
      </c>
      <c r="E1714" t="s">
        <v>19636</v>
      </c>
      <c r="F1714" t="s">
        <v>30900</v>
      </c>
      <c r="G1714" t="s">
        <v>30909</v>
      </c>
      <c r="H1714" t="s">
        <v>30915</v>
      </c>
      <c r="I1714" t="s">
        <v>8123</v>
      </c>
      <c r="J1714" t="s">
        <v>32333</v>
      </c>
      <c r="K1714" t="s">
        <v>40288</v>
      </c>
      <c r="M1714" t="s">
        <v>41415</v>
      </c>
      <c r="N1714" t="s">
        <v>44759</v>
      </c>
      <c r="O1714" t="s">
        <v>44760</v>
      </c>
      <c r="P1714">
        <v>0</v>
      </c>
      <c r="Q1714">
        <v>0</v>
      </c>
      <c r="R1714" t="s">
        <v>44762</v>
      </c>
      <c r="S1714" t="s">
        <v>44863</v>
      </c>
      <c r="T1714" t="s">
        <v>46548</v>
      </c>
      <c r="U1714" t="s">
        <v>48447</v>
      </c>
      <c r="W1714" t="s">
        <v>41415</v>
      </c>
      <c r="X1714" t="s">
        <v>44763</v>
      </c>
    </row>
    <row r="1715" spans="1:24">
      <c r="A1715">
        <f>HYPERLINK("https://www.philgeps.gov.ph/GEPSNONPILOT/Tender/SplashBidNoticeAbstractUI.aspx?menuIndex=3&amp;refID=7151103&amp;Result=3","7151103")</f>
        <v>0</v>
      </c>
      <c r="B1715" t="s">
        <v>843</v>
      </c>
      <c r="C1715" t="s">
        <v>5405</v>
      </c>
      <c r="D1715" t="s">
        <v>17961</v>
      </c>
      <c r="E1715" t="s">
        <v>19637</v>
      </c>
      <c r="F1715" t="s">
        <v>30900</v>
      </c>
      <c r="G1715" t="s">
        <v>30910</v>
      </c>
      <c r="H1715" t="s">
        <v>30916</v>
      </c>
      <c r="I1715" t="s">
        <v>8365</v>
      </c>
      <c r="J1715" t="s">
        <v>32334</v>
      </c>
      <c r="K1715" t="s">
        <v>40289</v>
      </c>
      <c r="M1715" t="s">
        <v>41416</v>
      </c>
      <c r="N1715" t="s">
        <v>44759</v>
      </c>
      <c r="O1715" t="s">
        <v>44760</v>
      </c>
      <c r="P1715">
        <v>0</v>
      </c>
      <c r="Q1715">
        <v>0</v>
      </c>
      <c r="R1715" t="s">
        <v>44762</v>
      </c>
      <c r="S1715" t="s">
        <v>44863</v>
      </c>
      <c r="T1715" t="s">
        <v>46398</v>
      </c>
      <c r="U1715" t="s">
        <v>48448</v>
      </c>
      <c r="W1715" t="s">
        <v>41416</v>
      </c>
      <c r="X1715" t="s">
        <v>44763</v>
      </c>
    </row>
    <row r="1716" spans="1:24">
      <c r="A1716">
        <f>HYPERLINK("https://www.philgeps.gov.ph/GEPSNONPILOT/Tender/SplashBidNoticeAbstractUI.aspx?menuIndex=3&amp;refID=7151132&amp;Result=3","7151132")</f>
        <v>0</v>
      </c>
      <c r="B1716" t="s">
        <v>247</v>
      </c>
      <c r="C1716" t="s">
        <v>4165</v>
      </c>
      <c r="D1716" t="s">
        <v>17954</v>
      </c>
      <c r="E1716" t="s">
        <v>19638</v>
      </c>
      <c r="F1716" t="s">
        <v>30900</v>
      </c>
      <c r="G1716" t="s">
        <v>30907</v>
      </c>
      <c r="H1716" t="s">
        <v>30915</v>
      </c>
      <c r="I1716" t="s">
        <v>30919</v>
      </c>
      <c r="J1716" t="s">
        <v>32332</v>
      </c>
      <c r="K1716" t="s">
        <v>40282</v>
      </c>
      <c r="M1716" t="s">
        <v>40794</v>
      </c>
      <c r="N1716" t="s">
        <v>44759</v>
      </c>
      <c r="O1716" t="s">
        <v>44760</v>
      </c>
      <c r="P1716">
        <v>0</v>
      </c>
      <c r="Q1716">
        <v>0</v>
      </c>
      <c r="R1716" t="s">
        <v>44762</v>
      </c>
      <c r="S1716" t="s">
        <v>44863</v>
      </c>
      <c r="T1716" t="s">
        <v>46409</v>
      </c>
      <c r="U1716" t="s">
        <v>48449</v>
      </c>
      <c r="W1716" t="s">
        <v>40794</v>
      </c>
      <c r="X1716" t="s">
        <v>44763</v>
      </c>
    </row>
    <row r="1717" spans="1:24">
      <c r="A1717">
        <f>HYPERLINK("https://www.philgeps.gov.ph/GEPSNONPILOT/Tender/SplashBidNoticeAbstractUI.aspx?menuIndex=3&amp;refID=7151129&amp;Result=3","7151129")</f>
        <v>0</v>
      </c>
      <c r="B1717" t="s">
        <v>773</v>
      </c>
      <c r="C1717" t="s">
        <v>5406</v>
      </c>
      <c r="D1717" t="s">
        <v>17988</v>
      </c>
      <c r="E1717" t="s">
        <v>19639</v>
      </c>
      <c r="F1717" t="s">
        <v>30900</v>
      </c>
      <c r="G1717" t="s">
        <v>30909</v>
      </c>
      <c r="H1717" t="s">
        <v>30916</v>
      </c>
      <c r="I1717" t="s">
        <v>4142</v>
      </c>
      <c r="J1717" t="s">
        <v>32087</v>
      </c>
      <c r="K1717" t="s">
        <v>40289</v>
      </c>
      <c r="M1717" t="s">
        <v>41341</v>
      </c>
      <c r="N1717" t="s">
        <v>44759</v>
      </c>
      <c r="O1717" t="s">
        <v>44760</v>
      </c>
      <c r="P1717">
        <v>0</v>
      </c>
      <c r="Q1717">
        <v>0</v>
      </c>
      <c r="R1717" t="s">
        <v>44762</v>
      </c>
      <c r="S1717" t="s">
        <v>44863</v>
      </c>
      <c r="T1717" t="s">
        <v>46374</v>
      </c>
      <c r="U1717" t="s">
        <v>48450</v>
      </c>
      <c r="W1717" t="s">
        <v>41341</v>
      </c>
      <c r="X1717" t="s">
        <v>44763</v>
      </c>
    </row>
    <row r="1718" spans="1:24">
      <c r="A1718">
        <f>HYPERLINK("https://www.philgeps.gov.ph/GEPSNONPILOT/Tender/SplashBidNoticeAbstractUI.aspx?menuIndex=3&amp;refID=7151118&amp;Result=3","7151118")</f>
        <v>0</v>
      </c>
      <c r="B1718" t="s">
        <v>844</v>
      </c>
      <c r="C1718" t="s">
        <v>5407</v>
      </c>
      <c r="D1718" t="s">
        <v>17971</v>
      </c>
      <c r="E1718" t="s">
        <v>19640</v>
      </c>
      <c r="F1718" t="s">
        <v>30900</v>
      </c>
      <c r="G1718" t="s">
        <v>30908</v>
      </c>
      <c r="H1718" t="s">
        <v>30916</v>
      </c>
      <c r="I1718" t="s">
        <v>4050</v>
      </c>
      <c r="J1718" t="s">
        <v>32335</v>
      </c>
      <c r="K1718" t="s">
        <v>40283</v>
      </c>
      <c r="M1718" t="s">
        <v>41417</v>
      </c>
      <c r="N1718" t="s">
        <v>44759</v>
      </c>
      <c r="O1718" t="s">
        <v>44760</v>
      </c>
      <c r="P1718">
        <v>0</v>
      </c>
      <c r="Q1718">
        <v>1</v>
      </c>
      <c r="R1718" t="s">
        <v>44762</v>
      </c>
      <c r="S1718" t="s">
        <v>44863</v>
      </c>
      <c r="T1718" t="s">
        <v>46398</v>
      </c>
      <c r="U1718" t="s">
        <v>48451</v>
      </c>
      <c r="W1718" t="s">
        <v>41417</v>
      </c>
      <c r="X1718" t="s">
        <v>44763</v>
      </c>
    </row>
    <row r="1719" spans="1:24">
      <c r="A1719">
        <f>HYPERLINK("https://www.philgeps.gov.ph/GEPSNONPILOT/Tender/SplashBidNoticeAbstractUI.aspx?menuIndex=3&amp;refID=7151127&amp;Result=3","7151127")</f>
        <v>0</v>
      </c>
      <c r="B1719" t="s">
        <v>845</v>
      </c>
      <c r="C1719" t="s">
        <v>5408</v>
      </c>
      <c r="D1719" t="s">
        <v>17975</v>
      </c>
      <c r="E1719" t="s">
        <v>19641</v>
      </c>
      <c r="F1719" t="s">
        <v>30900</v>
      </c>
      <c r="G1719" t="s">
        <v>30907</v>
      </c>
      <c r="H1719" t="s">
        <v>30915</v>
      </c>
      <c r="I1719" t="s">
        <v>30919</v>
      </c>
      <c r="J1719" t="s">
        <v>32336</v>
      </c>
      <c r="K1719" t="s">
        <v>40286</v>
      </c>
      <c r="M1719" t="s">
        <v>41418</v>
      </c>
      <c r="N1719" t="s">
        <v>44759</v>
      </c>
      <c r="O1719" t="s">
        <v>44760</v>
      </c>
      <c r="P1719">
        <v>0</v>
      </c>
      <c r="Q1719">
        <v>0</v>
      </c>
      <c r="R1719" t="s">
        <v>44762</v>
      </c>
      <c r="S1719" t="s">
        <v>44863</v>
      </c>
      <c r="T1719" t="s">
        <v>46549</v>
      </c>
      <c r="U1719" t="s">
        <v>48452</v>
      </c>
      <c r="W1719" t="s">
        <v>41418</v>
      </c>
      <c r="X1719" t="s">
        <v>44763</v>
      </c>
    </row>
    <row r="1720" spans="1:24">
      <c r="A1720">
        <f>HYPERLINK("https://www.philgeps.gov.ph/GEPSNONPILOT/Tender/SplashBidNoticeAbstractUI.aspx?menuIndex=3&amp;refID=7151115&amp;Result=3","7151115")</f>
        <v>0</v>
      </c>
      <c r="B1720" t="s">
        <v>107</v>
      </c>
      <c r="C1720" t="s">
        <v>5409</v>
      </c>
      <c r="D1720" t="s">
        <v>17984</v>
      </c>
      <c r="E1720" t="s">
        <v>19642</v>
      </c>
      <c r="F1720" t="s">
        <v>30900</v>
      </c>
      <c r="G1720" t="s">
        <v>30909</v>
      </c>
      <c r="H1720" t="s">
        <v>30916</v>
      </c>
      <c r="I1720" t="s">
        <v>4108</v>
      </c>
      <c r="J1720" t="s">
        <v>32337</v>
      </c>
      <c r="K1720" t="s">
        <v>40289</v>
      </c>
      <c r="L1720" t="s">
        <v>107</v>
      </c>
      <c r="M1720" t="s">
        <v>40654</v>
      </c>
      <c r="N1720" t="s">
        <v>44759</v>
      </c>
      <c r="O1720" t="s">
        <v>44760</v>
      </c>
      <c r="P1720">
        <v>0</v>
      </c>
      <c r="Q1720">
        <v>2</v>
      </c>
      <c r="R1720" t="s">
        <v>44762</v>
      </c>
      <c r="S1720" t="s">
        <v>44863</v>
      </c>
      <c r="T1720" t="s">
        <v>46399</v>
      </c>
      <c r="U1720" t="s">
        <v>47177</v>
      </c>
      <c r="W1720" t="s">
        <v>40654</v>
      </c>
      <c r="X1720" t="s">
        <v>44763</v>
      </c>
    </row>
    <row r="1721" spans="1:24">
      <c r="A1721">
        <f>HYPERLINK("https://www.philgeps.gov.ph/GEPSNONPILOT/Tender/SplashBidNoticeAbstractUI.aspx?menuIndex=3&amp;refID=7151124&amp;Result=3","7151124")</f>
        <v>0</v>
      </c>
      <c r="B1721" t="s">
        <v>846</v>
      </c>
      <c r="C1721" t="s">
        <v>5410</v>
      </c>
      <c r="D1721" t="s">
        <v>17998</v>
      </c>
      <c r="E1721" t="s">
        <v>19643</v>
      </c>
      <c r="F1721" t="s">
        <v>30900</v>
      </c>
      <c r="G1721" t="s">
        <v>30908</v>
      </c>
      <c r="H1721" t="s">
        <v>30916</v>
      </c>
      <c r="I1721" t="s">
        <v>30970</v>
      </c>
      <c r="J1721" t="s">
        <v>31096</v>
      </c>
      <c r="K1721" t="s">
        <v>40283</v>
      </c>
      <c r="M1721" t="s">
        <v>41419</v>
      </c>
      <c r="N1721" t="s">
        <v>44759</v>
      </c>
      <c r="O1721" t="s">
        <v>44760</v>
      </c>
      <c r="P1721">
        <v>0</v>
      </c>
      <c r="Q1721">
        <v>1</v>
      </c>
      <c r="R1721" t="s">
        <v>44762</v>
      </c>
      <c r="S1721" t="s">
        <v>44863</v>
      </c>
      <c r="T1721" t="s">
        <v>46550</v>
      </c>
      <c r="U1721" t="s">
        <v>48453</v>
      </c>
      <c r="W1721" t="s">
        <v>41419</v>
      </c>
      <c r="X1721" t="s">
        <v>44763</v>
      </c>
    </row>
    <row r="1722" spans="1:24">
      <c r="A1722">
        <f>HYPERLINK("https://www.philgeps.gov.ph/GEPSNONPILOT/Tender/SplashBidNoticeAbstractUI.aspx?menuIndex=3&amp;refID=7151163&amp;Result=3","7151163")</f>
        <v>0</v>
      </c>
      <c r="B1722" t="s">
        <v>840</v>
      </c>
      <c r="C1722" t="s">
        <v>5411</v>
      </c>
      <c r="D1722" t="s">
        <v>17954</v>
      </c>
      <c r="E1722" t="s">
        <v>19644</v>
      </c>
      <c r="F1722" t="s">
        <v>30900</v>
      </c>
      <c r="G1722" t="s">
        <v>30907</v>
      </c>
      <c r="H1722" t="s">
        <v>30915</v>
      </c>
      <c r="I1722" t="s">
        <v>30919</v>
      </c>
      <c r="J1722" t="s">
        <v>31152</v>
      </c>
      <c r="K1722" t="s">
        <v>40292</v>
      </c>
      <c r="M1722" t="s">
        <v>41413</v>
      </c>
      <c r="N1722" t="s">
        <v>44759</v>
      </c>
      <c r="O1722" t="s">
        <v>44760</v>
      </c>
      <c r="P1722">
        <v>0</v>
      </c>
      <c r="Q1722">
        <v>4</v>
      </c>
      <c r="R1722" t="s">
        <v>44762</v>
      </c>
      <c r="S1722" t="s">
        <v>44863</v>
      </c>
      <c r="T1722" t="s">
        <v>46380</v>
      </c>
      <c r="U1722" t="s">
        <v>48443</v>
      </c>
      <c r="W1722" t="s">
        <v>41413</v>
      </c>
      <c r="X1722" t="s">
        <v>44763</v>
      </c>
    </row>
    <row r="1723" spans="1:24">
      <c r="A1723">
        <f>HYPERLINK("https://www.philgeps.gov.ph/GEPSNONPILOT/Tender/SplashBidNoticeAbstractUI.aspx?menuIndex=3&amp;refID=7151161&amp;Result=3","7151161")</f>
        <v>0</v>
      </c>
      <c r="B1723" t="s">
        <v>838</v>
      </c>
      <c r="C1723" t="s">
        <v>5412</v>
      </c>
      <c r="D1723" t="s">
        <v>17975</v>
      </c>
      <c r="E1723" t="s">
        <v>18306</v>
      </c>
      <c r="F1723" t="s">
        <v>30900</v>
      </c>
      <c r="G1723" t="s">
        <v>30910</v>
      </c>
      <c r="H1723" t="s">
        <v>30917</v>
      </c>
      <c r="I1723" t="s">
        <v>4545</v>
      </c>
      <c r="J1723" t="s">
        <v>31204</v>
      </c>
      <c r="K1723" t="s">
        <v>40284</v>
      </c>
      <c r="M1723" t="s">
        <v>41411</v>
      </c>
      <c r="N1723" t="s">
        <v>44759</v>
      </c>
      <c r="O1723" t="s">
        <v>44760</v>
      </c>
      <c r="P1723">
        <v>0</v>
      </c>
      <c r="Q1723">
        <v>0</v>
      </c>
      <c r="R1723" t="s">
        <v>44762</v>
      </c>
      <c r="S1723" t="s">
        <v>44863</v>
      </c>
      <c r="T1723" t="s">
        <v>46357</v>
      </c>
      <c r="U1723" t="s">
        <v>48454</v>
      </c>
      <c r="W1723" t="s">
        <v>41411</v>
      </c>
      <c r="X1723" t="s">
        <v>44763</v>
      </c>
    </row>
    <row r="1724" spans="1:24">
      <c r="A1724">
        <f>HYPERLINK("https://www.philgeps.gov.ph/GEPSNONPILOT/Tender/SplashBidNoticeAbstractUI.aspx?menuIndex=3&amp;refID=7151120&amp;Result=3","7151120")</f>
        <v>0</v>
      </c>
      <c r="B1724" t="s">
        <v>847</v>
      </c>
      <c r="C1724" t="s">
        <v>5413</v>
      </c>
      <c r="D1724" t="s">
        <v>17963</v>
      </c>
      <c r="E1724" t="s">
        <v>19645</v>
      </c>
      <c r="F1724" t="s">
        <v>30900</v>
      </c>
      <c r="G1724" t="s">
        <v>30908</v>
      </c>
      <c r="H1724" t="s">
        <v>30916</v>
      </c>
      <c r="I1724" t="s">
        <v>6746</v>
      </c>
      <c r="J1724" t="s">
        <v>32338</v>
      </c>
      <c r="K1724" t="s">
        <v>40289</v>
      </c>
      <c r="M1724" t="s">
        <v>41420</v>
      </c>
      <c r="N1724" t="s">
        <v>44759</v>
      </c>
      <c r="O1724" t="s">
        <v>44760</v>
      </c>
      <c r="P1724">
        <v>0</v>
      </c>
      <c r="Q1724">
        <v>0</v>
      </c>
      <c r="R1724" t="s">
        <v>44762</v>
      </c>
      <c r="S1724" t="s">
        <v>44863</v>
      </c>
      <c r="T1724" t="s">
        <v>46440</v>
      </c>
      <c r="U1724" t="s">
        <v>48455</v>
      </c>
      <c r="W1724" t="s">
        <v>41420</v>
      </c>
      <c r="X1724" t="s">
        <v>44763</v>
      </c>
    </row>
    <row r="1725" spans="1:24">
      <c r="A1725">
        <f>HYPERLINK("https://www.philgeps.gov.ph/GEPSNONPILOT/Tender/SplashBidNoticeAbstractUI.aspx?menuIndex=3&amp;refID=7151158&amp;Result=3","7151158")</f>
        <v>0</v>
      </c>
      <c r="B1725" t="s">
        <v>848</v>
      </c>
      <c r="C1725" t="s">
        <v>5414</v>
      </c>
      <c r="D1725" t="s">
        <v>17959</v>
      </c>
      <c r="E1725" t="s">
        <v>19646</v>
      </c>
      <c r="F1725" t="s">
        <v>30900</v>
      </c>
      <c r="G1725" t="s">
        <v>30908</v>
      </c>
      <c r="H1725" t="s">
        <v>30916</v>
      </c>
      <c r="I1725" t="s">
        <v>5830</v>
      </c>
      <c r="J1725" t="s">
        <v>32339</v>
      </c>
      <c r="K1725" t="s">
        <v>40283</v>
      </c>
      <c r="M1725" t="s">
        <v>41421</v>
      </c>
      <c r="N1725" t="s">
        <v>44759</v>
      </c>
      <c r="O1725" t="s">
        <v>44760</v>
      </c>
      <c r="P1725">
        <v>0</v>
      </c>
      <c r="Q1725">
        <v>3</v>
      </c>
      <c r="R1725" t="s">
        <v>44762</v>
      </c>
      <c r="S1725" t="s">
        <v>44863</v>
      </c>
      <c r="T1725" t="s">
        <v>46414</v>
      </c>
      <c r="U1725" t="s">
        <v>48456</v>
      </c>
      <c r="V1725" t="s">
        <v>59318</v>
      </c>
      <c r="W1725" t="s">
        <v>41421</v>
      </c>
      <c r="X1725" t="s">
        <v>44763</v>
      </c>
    </row>
    <row r="1726" spans="1:24">
      <c r="A1726">
        <f>HYPERLINK("https://www.philgeps.gov.ph/GEPSNONPILOT/Tender/SplashBidNoticeAbstractUI.aspx?menuIndex=3&amp;refID=7151157&amp;Result=3","7151157")</f>
        <v>0</v>
      </c>
      <c r="B1726" t="s">
        <v>455</v>
      </c>
      <c r="C1726" t="s">
        <v>5415</v>
      </c>
      <c r="D1726" t="s">
        <v>17995</v>
      </c>
      <c r="E1726" t="s">
        <v>19647</v>
      </c>
      <c r="F1726" t="s">
        <v>30900</v>
      </c>
      <c r="G1726" t="s">
        <v>30908</v>
      </c>
      <c r="H1726" t="s">
        <v>30916</v>
      </c>
      <c r="I1726" t="s">
        <v>30921</v>
      </c>
      <c r="J1726" t="s">
        <v>32340</v>
      </c>
      <c r="K1726" t="s">
        <v>40283</v>
      </c>
      <c r="M1726" t="s">
        <v>41013</v>
      </c>
      <c r="N1726" t="s">
        <v>44759</v>
      </c>
      <c r="O1726" t="s">
        <v>44760</v>
      </c>
      <c r="P1726">
        <v>0</v>
      </c>
      <c r="Q1726">
        <v>4</v>
      </c>
      <c r="R1726" t="s">
        <v>44762</v>
      </c>
      <c r="S1726" t="s">
        <v>44863</v>
      </c>
      <c r="T1726" t="s">
        <v>46414</v>
      </c>
      <c r="U1726" t="s">
        <v>48457</v>
      </c>
      <c r="W1726" t="s">
        <v>41013</v>
      </c>
      <c r="X1726" t="s">
        <v>44763</v>
      </c>
    </row>
    <row r="1727" spans="1:24">
      <c r="A1727">
        <f>HYPERLINK("https://www.philgeps.gov.ph/GEPSNONPILOT/Tender/SplashBidNoticeAbstractUI.aspx?menuIndex=3&amp;refID=7151116&amp;Result=3","7151116")</f>
        <v>0</v>
      </c>
      <c r="B1727" t="s">
        <v>849</v>
      </c>
      <c r="C1727" t="s">
        <v>5416</v>
      </c>
      <c r="D1727" t="s">
        <v>17956</v>
      </c>
      <c r="E1727" t="s">
        <v>19648</v>
      </c>
      <c r="F1727" t="s">
        <v>30900</v>
      </c>
      <c r="G1727" t="s">
        <v>30908</v>
      </c>
      <c r="H1727" t="s">
        <v>30916</v>
      </c>
      <c r="I1727" t="s">
        <v>30923</v>
      </c>
      <c r="J1727" t="s">
        <v>32341</v>
      </c>
      <c r="K1727" t="s">
        <v>40284</v>
      </c>
      <c r="M1727" t="s">
        <v>41422</v>
      </c>
      <c r="N1727" t="s">
        <v>44759</v>
      </c>
      <c r="O1727" t="s">
        <v>44760</v>
      </c>
      <c r="P1727">
        <v>0</v>
      </c>
      <c r="Q1727">
        <v>0</v>
      </c>
      <c r="R1727" t="s">
        <v>44762</v>
      </c>
      <c r="S1727" t="s">
        <v>44863</v>
      </c>
      <c r="T1727" t="s">
        <v>46376</v>
      </c>
      <c r="U1727" t="s">
        <v>48458</v>
      </c>
      <c r="W1727" t="s">
        <v>41422</v>
      </c>
      <c r="X1727" t="s">
        <v>44763</v>
      </c>
    </row>
    <row r="1728" spans="1:24">
      <c r="A1728">
        <f>HYPERLINK("https://www.philgeps.gov.ph/GEPSNONPILOT/Tender/SplashBidNoticeAbstractUI.aspx?menuIndex=3&amp;refID=7151155&amp;Result=3","7151155")</f>
        <v>0</v>
      </c>
      <c r="B1728" t="s">
        <v>769</v>
      </c>
      <c r="C1728" t="s">
        <v>5417</v>
      </c>
      <c r="D1728" t="s">
        <v>18014</v>
      </c>
      <c r="E1728" t="s">
        <v>19649</v>
      </c>
      <c r="F1728" t="s">
        <v>30900</v>
      </c>
      <c r="G1728" t="s">
        <v>30908</v>
      </c>
      <c r="H1728" t="s">
        <v>30916</v>
      </c>
      <c r="I1728" t="s">
        <v>30923</v>
      </c>
      <c r="J1728" t="s">
        <v>31282</v>
      </c>
      <c r="K1728" t="s">
        <v>40283</v>
      </c>
      <c r="M1728" t="s">
        <v>41335</v>
      </c>
      <c r="N1728" t="s">
        <v>44759</v>
      </c>
      <c r="O1728" t="s">
        <v>44760</v>
      </c>
      <c r="P1728">
        <v>0</v>
      </c>
      <c r="Q1728">
        <v>5</v>
      </c>
      <c r="R1728" t="s">
        <v>44762</v>
      </c>
      <c r="S1728" t="s">
        <v>44863</v>
      </c>
      <c r="T1728" t="s">
        <v>46410</v>
      </c>
      <c r="U1728" t="s">
        <v>48459</v>
      </c>
      <c r="W1728" t="s">
        <v>60837</v>
      </c>
      <c r="X1728" t="s">
        <v>44763</v>
      </c>
    </row>
    <row r="1729" spans="1:24">
      <c r="A1729">
        <f>HYPERLINK("https://www.philgeps.gov.ph/GEPSNONPILOT/Tender/SplashBidNoticeAbstractUI.aspx?menuIndex=3&amp;refID=7151159&amp;Result=3","7151159")</f>
        <v>0</v>
      </c>
      <c r="B1729" t="s">
        <v>850</v>
      </c>
      <c r="C1729" t="s">
        <v>5418</v>
      </c>
      <c r="D1729" t="s">
        <v>17996</v>
      </c>
      <c r="E1729" t="s">
        <v>19650</v>
      </c>
      <c r="F1729" t="s">
        <v>30900</v>
      </c>
      <c r="G1729" t="s">
        <v>30908</v>
      </c>
      <c r="H1729" t="s">
        <v>30916</v>
      </c>
      <c r="I1729" t="s">
        <v>30923</v>
      </c>
      <c r="J1729" t="s">
        <v>32342</v>
      </c>
      <c r="K1729" t="s">
        <v>40284</v>
      </c>
      <c r="M1729" t="s">
        <v>41423</v>
      </c>
      <c r="N1729" t="s">
        <v>44759</v>
      </c>
      <c r="O1729" t="s">
        <v>44760</v>
      </c>
      <c r="P1729">
        <v>0</v>
      </c>
      <c r="Q1729">
        <v>1</v>
      </c>
      <c r="R1729" t="s">
        <v>44762</v>
      </c>
      <c r="S1729" t="s">
        <v>44863</v>
      </c>
      <c r="T1729" t="s">
        <v>46398</v>
      </c>
      <c r="U1729" t="s">
        <v>48460</v>
      </c>
      <c r="W1729" t="s">
        <v>41423</v>
      </c>
      <c r="X1729" t="s">
        <v>44763</v>
      </c>
    </row>
    <row r="1730" spans="1:24">
      <c r="A1730">
        <f>HYPERLINK("https://www.philgeps.gov.ph/GEPSNONPILOT/Tender/SplashBidNoticeAbstractUI.aspx?menuIndex=3&amp;refID=7151156&amp;Result=3","7151156")</f>
        <v>0</v>
      </c>
      <c r="B1730" t="s">
        <v>851</v>
      </c>
      <c r="C1730" t="s">
        <v>5419</v>
      </c>
      <c r="D1730" t="s">
        <v>17959</v>
      </c>
      <c r="E1730" t="s">
        <v>19424</v>
      </c>
      <c r="F1730" t="s">
        <v>30900</v>
      </c>
      <c r="G1730" t="s">
        <v>30908</v>
      </c>
      <c r="H1730" t="s">
        <v>30915</v>
      </c>
      <c r="I1730" t="s">
        <v>4004</v>
      </c>
      <c r="J1730" t="s">
        <v>32343</v>
      </c>
      <c r="K1730" t="s">
        <v>40289</v>
      </c>
      <c r="M1730" t="s">
        <v>41424</v>
      </c>
      <c r="N1730" t="s">
        <v>44759</v>
      </c>
      <c r="O1730" t="s">
        <v>44760</v>
      </c>
      <c r="P1730">
        <v>0</v>
      </c>
      <c r="Q1730">
        <v>6</v>
      </c>
      <c r="R1730" t="s">
        <v>44762</v>
      </c>
      <c r="S1730" t="s">
        <v>44863</v>
      </c>
      <c r="T1730" t="s">
        <v>46412</v>
      </c>
      <c r="U1730" t="s">
        <v>48461</v>
      </c>
      <c r="W1730" t="s">
        <v>41424</v>
      </c>
      <c r="X1730" t="s">
        <v>44763</v>
      </c>
    </row>
    <row r="1731" spans="1:24">
      <c r="A1731">
        <f>HYPERLINK("https://www.philgeps.gov.ph/GEPSNONPILOT/Tender/SplashBidNoticeAbstractUI.aspx?menuIndex=3&amp;refID=7151152&amp;Result=3","7151152")</f>
        <v>0</v>
      </c>
      <c r="B1731" t="s">
        <v>741</v>
      </c>
      <c r="C1731" t="s">
        <v>5420</v>
      </c>
      <c r="D1731" t="s">
        <v>17994</v>
      </c>
      <c r="E1731" t="s">
        <v>19651</v>
      </c>
      <c r="F1731" t="s">
        <v>30900</v>
      </c>
      <c r="G1731" t="s">
        <v>30908</v>
      </c>
      <c r="H1731" t="s">
        <v>30916</v>
      </c>
      <c r="I1731" t="s">
        <v>30953</v>
      </c>
      <c r="J1731" t="s">
        <v>31066</v>
      </c>
      <c r="K1731" t="s">
        <v>40314</v>
      </c>
      <c r="M1731" t="s">
        <v>41305</v>
      </c>
      <c r="N1731" t="s">
        <v>44759</v>
      </c>
      <c r="O1731" t="s">
        <v>44760</v>
      </c>
      <c r="P1731">
        <v>0</v>
      </c>
      <c r="Q1731">
        <v>0</v>
      </c>
      <c r="R1731" t="s">
        <v>44762</v>
      </c>
      <c r="S1731" t="s">
        <v>44863</v>
      </c>
      <c r="T1731" t="s">
        <v>46440</v>
      </c>
      <c r="U1731" t="s">
        <v>48462</v>
      </c>
      <c r="V1731" t="s">
        <v>59200</v>
      </c>
      <c r="W1731" t="s">
        <v>41305</v>
      </c>
      <c r="X1731" t="s">
        <v>44763</v>
      </c>
    </row>
    <row r="1732" spans="1:24">
      <c r="A1732">
        <f>HYPERLINK("https://www.philgeps.gov.ph/GEPSNONPILOT/Tender/SplashBidNoticeAbstractUI.aspx?menuIndex=3&amp;refID=7151121&amp;Result=3","7151121")</f>
        <v>0</v>
      </c>
      <c r="B1732" t="s">
        <v>852</v>
      </c>
      <c r="C1732" t="s">
        <v>3886</v>
      </c>
      <c r="D1732" t="s">
        <v>17957</v>
      </c>
      <c r="E1732" t="s">
        <v>19405</v>
      </c>
      <c r="F1732" t="s">
        <v>30900</v>
      </c>
      <c r="G1732" t="s">
        <v>30909</v>
      </c>
      <c r="H1732" t="s">
        <v>30916</v>
      </c>
      <c r="I1732" t="s">
        <v>4108</v>
      </c>
      <c r="J1732" t="s">
        <v>32344</v>
      </c>
      <c r="K1732" t="s">
        <v>40281</v>
      </c>
      <c r="M1732" t="s">
        <v>41425</v>
      </c>
      <c r="N1732" t="s">
        <v>44759</v>
      </c>
      <c r="O1732" t="s">
        <v>44760</v>
      </c>
      <c r="P1732">
        <v>0</v>
      </c>
      <c r="Q1732">
        <v>0</v>
      </c>
      <c r="R1732" t="s">
        <v>44762</v>
      </c>
      <c r="S1732" t="s">
        <v>44863</v>
      </c>
      <c r="T1732" t="s">
        <v>46383</v>
      </c>
      <c r="U1732" t="s">
        <v>48463</v>
      </c>
      <c r="V1732" t="s">
        <v>59117</v>
      </c>
      <c r="W1732" t="s">
        <v>41425</v>
      </c>
      <c r="X1732" t="s">
        <v>44763</v>
      </c>
    </row>
    <row r="1733" spans="1:24">
      <c r="A1733">
        <f>HYPERLINK("https://www.philgeps.gov.ph/GEPSNONPILOT/Tender/SplashBidNoticeAbstractUI.aspx?menuIndex=3&amp;refID=7151154&amp;Result=3","7151154")</f>
        <v>0</v>
      </c>
      <c r="B1733" t="s">
        <v>785</v>
      </c>
      <c r="C1733" t="s">
        <v>5421</v>
      </c>
      <c r="D1733" t="s">
        <v>17984</v>
      </c>
      <c r="E1733" t="s">
        <v>19652</v>
      </c>
      <c r="F1733" t="s">
        <v>30900</v>
      </c>
      <c r="G1733" t="s">
        <v>30908</v>
      </c>
      <c r="H1733" t="s">
        <v>30916</v>
      </c>
      <c r="I1733" t="s">
        <v>8044</v>
      </c>
      <c r="J1733" t="s">
        <v>32345</v>
      </c>
      <c r="K1733" t="s">
        <v>40287</v>
      </c>
      <c r="M1733" t="s">
        <v>41354</v>
      </c>
      <c r="N1733" t="s">
        <v>44759</v>
      </c>
      <c r="O1733" t="s">
        <v>44760</v>
      </c>
      <c r="P1733">
        <v>0</v>
      </c>
      <c r="Q1733">
        <v>0</v>
      </c>
      <c r="R1733" t="s">
        <v>44762</v>
      </c>
      <c r="S1733" t="s">
        <v>44863</v>
      </c>
      <c r="T1733" t="s">
        <v>46457</v>
      </c>
      <c r="U1733" t="s">
        <v>48464</v>
      </c>
      <c r="W1733" t="s">
        <v>41354</v>
      </c>
      <c r="X1733" t="s">
        <v>44763</v>
      </c>
    </row>
    <row r="1734" spans="1:24">
      <c r="A1734">
        <f>HYPERLINK("https://www.philgeps.gov.ph/GEPSNONPILOT/Tender/SplashBidNoticeAbstractUI.aspx?menuIndex=3&amp;refID=7151144&amp;Result=3","7151144")</f>
        <v>0</v>
      </c>
      <c r="B1734" t="s">
        <v>791</v>
      </c>
      <c r="C1734" t="s">
        <v>4515</v>
      </c>
      <c r="D1734" t="s">
        <v>17974</v>
      </c>
      <c r="E1734" t="s">
        <v>18405</v>
      </c>
      <c r="F1734" t="s">
        <v>30900</v>
      </c>
      <c r="G1734" t="s">
        <v>30910</v>
      </c>
      <c r="H1734" t="s">
        <v>30916</v>
      </c>
      <c r="I1734" t="s">
        <v>6396</v>
      </c>
      <c r="J1734" t="s">
        <v>31583</v>
      </c>
      <c r="K1734" t="s">
        <v>40289</v>
      </c>
      <c r="M1734" t="s">
        <v>41360</v>
      </c>
      <c r="N1734" t="s">
        <v>44759</v>
      </c>
      <c r="O1734" t="s">
        <v>44760</v>
      </c>
      <c r="P1734">
        <v>0</v>
      </c>
      <c r="Q1734">
        <v>0</v>
      </c>
      <c r="R1734" t="s">
        <v>44762</v>
      </c>
      <c r="S1734" t="s">
        <v>44863</v>
      </c>
      <c r="T1734" t="s">
        <v>46410</v>
      </c>
      <c r="U1734" t="s">
        <v>47654</v>
      </c>
      <c r="W1734" t="s">
        <v>41360</v>
      </c>
      <c r="X1734" t="s">
        <v>44763</v>
      </c>
    </row>
    <row r="1735" spans="1:24">
      <c r="A1735">
        <f>HYPERLINK("https://www.philgeps.gov.ph/GEPSNONPILOT/Tender/SplashBidNoticeAbstractUI.aspx?menuIndex=3&amp;refID=7151162&amp;Result=3","7151162")</f>
        <v>0</v>
      </c>
      <c r="B1735" t="s">
        <v>853</v>
      </c>
      <c r="C1735" t="s">
        <v>5422</v>
      </c>
      <c r="D1735" t="s">
        <v>18018</v>
      </c>
      <c r="E1735" t="s">
        <v>19653</v>
      </c>
      <c r="F1735" t="s">
        <v>30900</v>
      </c>
      <c r="G1735" t="s">
        <v>30908</v>
      </c>
      <c r="H1735" t="s">
        <v>30915</v>
      </c>
      <c r="I1735" t="s">
        <v>30919</v>
      </c>
      <c r="J1735" t="s">
        <v>32346</v>
      </c>
      <c r="K1735" t="s">
        <v>40351</v>
      </c>
      <c r="M1735" t="s">
        <v>41426</v>
      </c>
      <c r="N1735" t="s">
        <v>44759</v>
      </c>
      <c r="O1735" t="s">
        <v>44760</v>
      </c>
      <c r="P1735">
        <v>0</v>
      </c>
      <c r="Q1735">
        <v>0</v>
      </c>
      <c r="R1735" t="s">
        <v>44762</v>
      </c>
      <c r="S1735" t="s">
        <v>44863</v>
      </c>
      <c r="T1735" t="s">
        <v>46404</v>
      </c>
      <c r="U1735" t="s">
        <v>48465</v>
      </c>
      <c r="W1735" t="s">
        <v>41426</v>
      </c>
      <c r="X1735" t="s">
        <v>44763</v>
      </c>
    </row>
    <row r="1736" spans="1:24">
      <c r="A1736">
        <f>HYPERLINK("https://www.philgeps.gov.ph/GEPSNONPILOT/Tender/SplashBidNoticeAbstractUI.aspx?menuIndex=3&amp;refID=7151142&amp;Result=3","7151142")</f>
        <v>0</v>
      </c>
      <c r="B1736" t="s">
        <v>267</v>
      </c>
      <c r="C1736" t="s">
        <v>5423</v>
      </c>
      <c r="D1736" t="s">
        <v>17959</v>
      </c>
      <c r="E1736" t="s">
        <v>19654</v>
      </c>
      <c r="F1736" t="s">
        <v>30900</v>
      </c>
      <c r="G1736" t="s">
        <v>30908</v>
      </c>
      <c r="H1736" t="s">
        <v>30916</v>
      </c>
      <c r="I1736" t="s">
        <v>4108</v>
      </c>
      <c r="J1736" t="s">
        <v>32347</v>
      </c>
      <c r="K1736" t="s">
        <v>40288</v>
      </c>
      <c r="M1736" t="s">
        <v>41338</v>
      </c>
      <c r="N1736" t="s">
        <v>44759</v>
      </c>
      <c r="O1736" t="s">
        <v>44760</v>
      </c>
      <c r="P1736">
        <v>0</v>
      </c>
      <c r="Q1736">
        <v>0</v>
      </c>
      <c r="R1736" t="s">
        <v>44762</v>
      </c>
      <c r="S1736" t="s">
        <v>44863</v>
      </c>
      <c r="T1736" t="s">
        <v>46414</v>
      </c>
      <c r="U1736" t="s">
        <v>48466</v>
      </c>
      <c r="W1736" t="s">
        <v>41338</v>
      </c>
      <c r="X1736" t="s">
        <v>44763</v>
      </c>
    </row>
    <row r="1737" spans="1:24">
      <c r="A1737">
        <f>HYPERLINK("https://www.philgeps.gov.ph/GEPSNONPILOT/Tender/SplashBidNoticeAbstractUI.aspx?menuIndex=3&amp;refID=7151141&amp;Result=3","7151141")</f>
        <v>0</v>
      </c>
      <c r="B1737" t="s">
        <v>824</v>
      </c>
      <c r="C1737" t="s">
        <v>5424</v>
      </c>
      <c r="D1737" t="s">
        <v>17962</v>
      </c>
      <c r="E1737" t="s">
        <v>19606</v>
      </c>
      <c r="F1737" t="s">
        <v>30900</v>
      </c>
      <c r="G1737" t="s">
        <v>30908</v>
      </c>
      <c r="H1737" t="s">
        <v>30916</v>
      </c>
      <c r="I1737" t="s">
        <v>30923</v>
      </c>
      <c r="J1737" t="s">
        <v>32348</v>
      </c>
      <c r="K1737" t="s">
        <v>40314</v>
      </c>
      <c r="M1737" t="s">
        <v>41396</v>
      </c>
      <c r="N1737" t="s">
        <v>44759</v>
      </c>
      <c r="O1737" t="s">
        <v>44760</v>
      </c>
      <c r="P1737">
        <v>0</v>
      </c>
      <c r="Q1737">
        <v>3</v>
      </c>
      <c r="R1737" t="s">
        <v>44762</v>
      </c>
      <c r="S1737" t="s">
        <v>44863</v>
      </c>
      <c r="T1737" t="s">
        <v>46363</v>
      </c>
      <c r="U1737" t="s">
        <v>48418</v>
      </c>
      <c r="W1737" t="s">
        <v>41396</v>
      </c>
      <c r="X1737" t="s">
        <v>44763</v>
      </c>
    </row>
    <row r="1738" spans="1:24">
      <c r="A1738">
        <f>HYPERLINK("https://www.philgeps.gov.ph/GEPSNONPILOT/Tender/SplashBidNoticeAbstractUI.aspx?menuIndex=3&amp;refID=7151122&amp;Result=3","7151122")</f>
        <v>0</v>
      </c>
      <c r="B1738" t="s">
        <v>854</v>
      </c>
      <c r="C1738" t="s">
        <v>5425</v>
      </c>
      <c r="D1738" t="s">
        <v>17963</v>
      </c>
      <c r="E1738" t="s">
        <v>19655</v>
      </c>
      <c r="F1738" t="s">
        <v>30900</v>
      </c>
      <c r="G1738" t="s">
        <v>30908</v>
      </c>
      <c r="H1738" t="s">
        <v>30916</v>
      </c>
      <c r="I1738" t="s">
        <v>6746</v>
      </c>
      <c r="J1738" t="s">
        <v>32056</v>
      </c>
      <c r="K1738" t="s">
        <v>40287</v>
      </c>
      <c r="M1738" t="s">
        <v>41427</v>
      </c>
      <c r="N1738" t="s">
        <v>44759</v>
      </c>
      <c r="O1738" t="s">
        <v>44760</v>
      </c>
      <c r="P1738">
        <v>0</v>
      </c>
      <c r="Q1738">
        <v>3</v>
      </c>
      <c r="R1738" t="s">
        <v>44762</v>
      </c>
      <c r="S1738" t="s">
        <v>44863</v>
      </c>
      <c r="T1738" t="s">
        <v>46538</v>
      </c>
      <c r="U1738" t="s">
        <v>48467</v>
      </c>
      <c r="V1738" t="s">
        <v>59319</v>
      </c>
      <c r="W1738" t="s">
        <v>41427</v>
      </c>
      <c r="X1738" t="s">
        <v>44763</v>
      </c>
    </row>
    <row r="1739" spans="1:24">
      <c r="A1739">
        <f>HYPERLINK("https://www.philgeps.gov.ph/GEPSNONPILOT/Tender/SplashBidNoticeAbstractUI.aspx?menuIndex=3&amp;refID=7151149&amp;Result=3","7151149")</f>
        <v>0</v>
      </c>
      <c r="B1739" t="s">
        <v>773</v>
      </c>
      <c r="C1739" t="s">
        <v>5426</v>
      </c>
      <c r="D1739" t="s">
        <v>17988</v>
      </c>
      <c r="E1739" t="s">
        <v>19656</v>
      </c>
      <c r="F1739" t="s">
        <v>30900</v>
      </c>
      <c r="G1739" t="s">
        <v>30909</v>
      </c>
      <c r="H1739" t="s">
        <v>30916</v>
      </c>
      <c r="I1739" t="s">
        <v>4142</v>
      </c>
      <c r="J1739" t="s">
        <v>31070</v>
      </c>
      <c r="K1739" t="s">
        <v>40289</v>
      </c>
      <c r="M1739" t="s">
        <v>41341</v>
      </c>
      <c r="N1739" t="s">
        <v>44759</v>
      </c>
      <c r="O1739" t="s">
        <v>44760</v>
      </c>
      <c r="P1739">
        <v>0</v>
      </c>
      <c r="Q1739">
        <v>0</v>
      </c>
      <c r="R1739" t="s">
        <v>44762</v>
      </c>
      <c r="S1739" t="s">
        <v>44863</v>
      </c>
      <c r="T1739" t="s">
        <v>46374</v>
      </c>
      <c r="U1739" t="s">
        <v>48468</v>
      </c>
      <c r="W1739" t="s">
        <v>41341</v>
      </c>
      <c r="X1739" t="s">
        <v>44763</v>
      </c>
    </row>
    <row r="1740" spans="1:24">
      <c r="A1740">
        <f>HYPERLINK("https://www.philgeps.gov.ph/GEPSNONPILOT/Tender/SplashBidNoticeAbstractUI.aspx?menuIndex=3&amp;refID=7151113&amp;Result=3","7151113")</f>
        <v>0</v>
      </c>
      <c r="B1740" t="s">
        <v>741</v>
      </c>
      <c r="C1740" t="s">
        <v>5427</v>
      </c>
      <c r="D1740" t="s">
        <v>17994</v>
      </c>
      <c r="E1740" t="s">
        <v>19657</v>
      </c>
      <c r="F1740" t="s">
        <v>30900</v>
      </c>
      <c r="G1740" t="s">
        <v>30908</v>
      </c>
      <c r="H1740" t="s">
        <v>30916</v>
      </c>
      <c r="I1740" t="s">
        <v>30947</v>
      </c>
      <c r="J1740" t="s">
        <v>31522</v>
      </c>
      <c r="K1740" t="s">
        <v>40287</v>
      </c>
      <c r="M1740" t="s">
        <v>41305</v>
      </c>
      <c r="N1740" t="s">
        <v>44759</v>
      </c>
      <c r="O1740" t="s">
        <v>44760</v>
      </c>
      <c r="P1740">
        <v>0</v>
      </c>
      <c r="Q1740">
        <v>1</v>
      </c>
      <c r="R1740" t="s">
        <v>44762</v>
      </c>
      <c r="S1740" t="s">
        <v>44863</v>
      </c>
      <c r="T1740" t="s">
        <v>46440</v>
      </c>
      <c r="U1740" t="s">
        <v>48469</v>
      </c>
      <c r="V1740" t="s">
        <v>59200</v>
      </c>
      <c r="W1740" t="s">
        <v>41305</v>
      </c>
      <c r="X1740" t="s">
        <v>44763</v>
      </c>
    </row>
    <row r="1741" spans="1:24">
      <c r="A1741">
        <f>HYPERLINK("https://www.philgeps.gov.ph/GEPSNONPILOT/Tender/SplashBidNoticeAbstractUI.aspx?menuIndex=3&amp;refID=7151096&amp;Result=3","7151096")</f>
        <v>0</v>
      </c>
      <c r="B1741" t="s">
        <v>743</v>
      </c>
      <c r="C1741" t="s">
        <v>5428</v>
      </c>
      <c r="D1741" t="s">
        <v>18013</v>
      </c>
      <c r="E1741" t="s">
        <v>19658</v>
      </c>
      <c r="F1741" t="s">
        <v>30900</v>
      </c>
      <c r="G1741" t="s">
        <v>30907</v>
      </c>
      <c r="H1741" t="s">
        <v>30916</v>
      </c>
      <c r="I1741" t="s">
        <v>30939</v>
      </c>
      <c r="J1741" t="s">
        <v>32349</v>
      </c>
      <c r="K1741" t="s">
        <v>40286</v>
      </c>
      <c r="M1741" t="s">
        <v>41307</v>
      </c>
      <c r="N1741" t="s">
        <v>44759</v>
      </c>
      <c r="O1741" t="s">
        <v>44760</v>
      </c>
      <c r="P1741">
        <v>0</v>
      </c>
      <c r="Q1741">
        <v>1</v>
      </c>
      <c r="R1741" t="s">
        <v>44762</v>
      </c>
      <c r="S1741" t="s">
        <v>44863</v>
      </c>
      <c r="T1741" t="s">
        <v>46495</v>
      </c>
      <c r="U1741" t="s">
        <v>48470</v>
      </c>
      <c r="W1741" t="s">
        <v>41307</v>
      </c>
      <c r="X1741" t="s">
        <v>44763</v>
      </c>
    </row>
    <row r="1742" spans="1:24">
      <c r="A1742">
        <f>HYPERLINK("https://www.philgeps.gov.ph/GEPSNONPILOT/Tender/SplashBidNoticeAbstractUI.aspx?menuIndex=3&amp;refID=7151153&amp;Result=3","7151153")</f>
        <v>0</v>
      </c>
      <c r="B1742" t="s">
        <v>725</v>
      </c>
      <c r="C1742" t="s">
        <v>5429</v>
      </c>
      <c r="D1742" t="s">
        <v>18004</v>
      </c>
      <c r="E1742" t="s">
        <v>19659</v>
      </c>
      <c r="F1742" t="s">
        <v>30900</v>
      </c>
      <c r="G1742" t="s">
        <v>30907</v>
      </c>
      <c r="H1742" t="s">
        <v>30916</v>
      </c>
      <c r="I1742" t="s">
        <v>30936</v>
      </c>
      <c r="J1742" t="s">
        <v>31096</v>
      </c>
      <c r="K1742" t="s">
        <v>40284</v>
      </c>
      <c r="M1742" t="s">
        <v>41289</v>
      </c>
      <c r="N1742" t="s">
        <v>44759</v>
      </c>
      <c r="O1742" t="s">
        <v>44760</v>
      </c>
      <c r="P1742">
        <v>0</v>
      </c>
      <c r="Q1742">
        <v>0</v>
      </c>
      <c r="R1742" t="s">
        <v>44762</v>
      </c>
      <c r="S1742" t="s">
        <v>44863</v>
      </c>
      <c r="T1742" t="s">
        <v>46532</v>
      </c>
      <c r="U1742" t="s">
        <v>48471</v>
      </c>
      <c r="W1742" t="s">
        <v>41289</v>
      </c>
      <c r="X1742" t="s">
        <v>44763</v>
      </c>
    </row>
    <row r="1743" spans="1:24">
      <c r="A1743">
        <f>HYPERLINK("https://www.philgeps.gov.ph/GEPSNONPILOT/Tender/SplashBidNoticeAbstractUI.aspx?menuIndex=3&amp;refID=7151183&amp;Result=3","7151183")</f>
        <v>0</v>
      </c>
      <c r="B1743" t="s">
        <v>803</v>
      </c>
      <c r="C1743" t="s">
        <v>5430</v>
      </c>
      <c r="D1743" t="s">
        <v>17952</v>
      </c>
      <c r="E1743" t="s">
        <v>19660</v>
      </c>
      <c r="F1743" t="s">
        <v>30900</v>
      </c>
      <c r="G1743" t="s">
        <v>30908</v>
      </c>
      <c r="H1743" t="s">
        <v>30916</v>
      </c>
      <c r="I1743" t="s">
        <v>8123</v>
      </c>
      <c r="J1743" t="s">
        <v>32350</v>
      </c>
      <c r="K1743" t="s">
        <v>40286</v>
      </c>
      <c r="M1743" t="s">
        <v>41373</v>
      </c>
      <c r="N1743" t="s">
        <v>44759</v>
      </c>
      <c r="O1743" t="s">
        <v>44760</v>
      </c>
      <c r="P1743">
        <v>0</v>
      </c>
      <c r="Q1743">
        <v>0</v>
      </c>
      <c r="R1743" t="s">
        <v>44762</v>
      </c>
      <c r="S1743" t="s">
        <v>44863</v>
      </c>
      <c r="T1743" t="s">
        <v>46410</v>
      </c>
      <c r="U1743" t="s">
        <v>48472</v>
      </c>
      <c r="W1743" t="s">
        <v>41627</v>
      </c>
      <c r="X1743" t="s">
        <v>44763</v>
      </c>
    </row>
    <row r="1744" spans="1:24">
      <c r="A1744">
        <f>HYPERLINK("https://www.philgeps.gov.ph/GEPSNONPILOT/Tender/SplashBidNoticeAbstractUI.aspx?menuIndex=3&amp;refID=7151189&amp;Result=3","7151189")</f>
        <v>0</v>
      </c>
      <c r="B1744" t="s">
        <v>840</v>
      </c>
      <c r="C1744" t="s">
        <v>5431</v>
      </c>
      <c r="D1744" t="s">
        <v>17954</v>
      </c>
      <c r="E1744" t="s">
        <v>19661</v>
      </c>
      <c r="F1744" t="s">
        <v>30900</v>
      </c>
      <c r="G1744" t="s">
        <v>30907</v>
      </c>
      <c r="H1744" t="s">
        <v>30915</v>
      </c>
      <c r="I1744" t="s">
        <v>30919</v>
      </c>
      <c r="J1744" t="s">
        <v>32125</v>
      </c>
      <c r="K1744" t="s">
        <v>40352</v>
      </c>
      <c r="M1744" t="s">
        <v>41413</v>
      </c>
      <c r="N1744" t="s">
        <v>44759</v>
      </c>
      <c r="O1744" t="s">
        <v>44760</v>
      </c>
      <c r="P1744">
        <v>0</v>
      </c>
      <c r="Q1744">
        <v>5</v>
      </c>
      <c r="R1744" t="s">
        <v>44762</v>
      </c>
      <c r="S1744" t="s">
        <v>44863</v>
      </c>
      <c r="T1744" t="s">
        <v>46380</v>
      </c>
      <c r="U1744" t="s">
        <v>48443</v>
      </c>
      <c r="W1744" t="s">
        <v>41413</v>
      </c>
      <c r="X1744" t="s">
        <v>44763</v>
      </c>
    </row>
    <row r="1745" spans="1:24">
      <c r="A1745">
        <f>HYPERLINK("https://www.philgeps.gov.ph/GEPSNONPILOT/Tender/SplashBidNoticeAbstractUI.aspx?menuIndex=3&amp;refID=7151187&amp;Result=3","7151187")</f>
        <v>0</v>
      </c>
      <c r="B1745" t="s">
        <v>781</v>
      </c>
      <c r="C1745" t="s">
        <v>5432</v>
      </c>
      <c r="D1745" t="s">
        <v>17959</v>
      </c>
      <c r="E1745" t="s">
        <v>19662</v>
      </c>
      <c r="F1745" t="s">
        <v>30900</v>
      </c>
      <c r="G1745" t="s">
        <v>30909</v>
      </c>
      <c r="H1745" t="s">
        <v>30916</v>
      </c>
      <c r="I1745" t="s">
        <v>30929</v>
      </c>
      <c r="J1745" t="s">
        <v>32351</v>
      </c>
      <c r="K1745" t="s">
        <v>40284</v>
      </c>
      <c r="M1745" t="s">
        <v>41350</v>
      </c>
      <c r="N1745" t="s">
        <v>44759</v>
      </c>
      <c r="O1745" t="s">
        <v>44760</v>
      </c>
      <c r="P1745">
        <v>0</v>
      </c>
      <c r="Q1745">
        <v>2</v>
      </c>
      <c r="R1745" t="s">
        <v>44762</v>
      </c>
      <c r="S1745" t="s">
        <v>44863</v>
      </c>
      <c r="T1745" t="s">
        <v>46391</v>
      </c>
      <c r="U1745" t="s">
        <v>48473</v>
      </c>
      <c r="W1745" t="s">
        <v>41350</v>
      </c>
      <c r="X1745" t="s">
        <v>44763</v>
      </c>
    </row>
    <row r="1746" spans="1:24">
      <c r="A1746">
        <f>HYPERLINK("https://www.philgeps.gov.ph/GEPSNONPILOT/Tender/SplashBidNoticeAbstractUI.aspx?menuIndex=3&amp;refID=7151185&amp;Result=3","7151185")</f>
        <v>0</v>
      </c>
      <c r="B1746" t="s">
        <v>855</v>
      </c>
      <c r="C1746" t="s">
        <v>5433</v>
      </c>
      <c r="D1746" t="s">
        <v>17975</v>
      </c>
      <c r="E1746" t="s">
        <v>19663</v>
      </c>
      <c r="F1746" t="s">
        <v>30900</v>
      </c>
      <c r="G1746" t="s">
        <v>30908</v>
      </c>
      <c r="H1746" t="s">
        <v>30916</v>
      </c>
      <c r="I1746" t="s">
        <v>30927</v>
      </c>
      <c r="J1746" t="s">
        <v>32352</v>
      </c>
      <c r="K1746" t="s">
        <v>40287</v>
      </c>
      <c r="M1746" t="s">
        <v>41428</v>
      </c>
      <c r="N1746" t="s">
        <v>44759</v>
      </c>
      <c r="O1746" t="s">
        <v>44760</v>
      </c>
      <c r="P1746">
        <v>0</v>
      </c>
      <c r="Q1746">
        <v>0</v>
      </c>
      <c r="R1746" t="s">
        <v>44762</v>
      </c>
      <c r="S1746" t="s">
        <v>44863</v>
      </c>
      <c r="T1746" t="s">
        <v>46414</v>
      </c>
      <c r="U1746" t="s">
        <v>48474</v>
      </c>
      <c r="W1746" t="s">
        <v>41428</v>
      </c>
      <c r="X1746" t="s">
        <v>44763</v>
      </c>
    </row>
    <row r="1747" spans="1:24">
      <c r="A1747">
        <f>HYPERLINK("https://www.philgeps.gov.ph/GEPSNONPILOT/Tender/SplashBidNoticeAbstractUI.aspx?menuIndex=3&amp;refID=7151140&amp;Result=3","7151140")</f>
        <v>0</v>
      </c>
      <c r="B1747" t="s">
        <v>292</v>
      </c>
      <c r="C1747" t="s">
        <v>5434</v>
      </c>
      <c r="E1747" t="s">
        <v>19664</v>
      </c>
      <c r="F1747" t="s">
        <v>30900</v>
      </c>
      <c r="G1747" t="s">
        <v>30908</v>
      </c>
      <c r="H1747" t="s">
        <v>30916</v>
      </c>
      <c r="I1747" t="s">
        <v>30960</v>
      </c>
      <c r="J1747" t="s">
        <v>31767</v>
      </c>
      <c r="K1747" t="s">
        <v>40289</v>
      </c>
      <c r="M1747" t="s">
        <v>40840</v>
      </c>
      <c r="N1747" t="s">
        <v>44759</v>
      </c>
      <c r="O1747" t="s">
        <v>44760</v>
      </c>
      <c r="P1747">
        <v>0</v>
      </c>
      <c r="Q1747">
        <v>0</v>
      </c>
      <c r="R1747" t="s">
        <v>44762</v>
      </c>
      <c r="S1747" t="s">
        <v>44863</v>
      </c>
      <c r="T1747" t="s">
        <v>46398</v>
      </c>
      <c r="U1747" t="s">
        <v>48475</v>
      </c>
      <c r="W1747" t="s">
        <v>40840</v>
      </c>
      <c r="X1747" t="s">
        <v>44763</v>
      </c>
    </row>
    <row r="1748" spans="1:24">
      <c r="A1748">
        <f>HYPERLINK("https://www.philgeps.gov.ph/GEPSNONPILOT/Tender/SplashBidNoticeAbstractUI.aspx?menuIndex=3&amp;refID=7151184&amp;Result=3","7151184")</f>
        <v>0</v>
      </c>
      <c r="B1748" t="s">
        <v>626</v>
      </c>
      <c r="C1748" t="s">
        <v>5435</v>
      </c>
      <c r="E1748" t="s">
        <v>19665</v>
      </c>
      <c r="F1748" t="s">
        <v>30900</v>
      </c>
      <c r="G1748" t="s">
        <v>30908</v>
      </c>
      <c r="H1748" t="s">
        <v>30916</v>
      </c>
      <c r="I1748" t="s">
        <v>30939</v>
      </c>
      <c r="J1748" t="s">
        <v>32353</v>
      </c>
      <c r="K1748" t="s">
        <v>40289</v>
      </c>
      <c r="M1748" t="s">
        <v>41188</v>
      </c>
      <c r="N1748" t="s">
        <v>44759</v>
      </c>
      <c r="O1748" t="s">
        <v>44760</v>
      </c>
      <c r="P1748">
        <v>0</v>
      </c>
      <c r="Q1748">
        <v>0</v>
      </c>
      <c r="R1748" t="s">
        <v>44762</v>
      </c>
      <c r="S1748" t="s">
        <v>44863</v>
      </c>
      <c r="T1748" t="s">
        <v>46414</v>
      </c>
      <c r="U1748" t="s">
        <v>48476</v>
      </c>
      <c r="V1748" t="s">
        <v>59268</v>
      </c>
      <c r="W1748" t="s">
        <v>41188</v>
      </c>
      <c r="X1748" t="s">
        <v>44763</v>
      </c>
    </row>
    <row r="1749" spans="1:24">
      <c r="A1749">
        <f>HYPERLINK("https://www.philgeps.gov.ph/GEPSNONPILOT/Tender/SplashBidNoticeAbstractUI.aspx?menuIndex=3&amp;refID=7151138&amp;Result=3","7151138")</f>
        <v>0</v>
      </c>
      <c r="B1749" t="s">
        <v>384</v>
      </c>
      <c r="C1749" t="s">
        <v>3996</v>
      </c>
      <c r="D1749" t="s">
        <v>17987</v>
      </c>
      <c r="E1749" t="s">
        <v>19666</v>
      </c>
      <c r="F1749" t="s">
        <v>30900</v>
      </c>
      <c r="G1749" t="s">
        <v>30909</v>
      </c>
      <c r="H1749" t="s">
        <v>30916</v>
      </c>
      <c r="I1749" t="s">
        <v>4142</v>
      </c>
      <c r="J1749" t="s">
        <v>32354</v>
      </c>
      <c r="K1749" t="s">
        <v>40287</v>
      </c>
      <c r="M1749" t="s">
        <v>40939</v>
      </c>
      <c r="N1749" t="s">
        <v>44759</v>
      </c>
      <c r="O1749" t="s">
        <v>44760</v>
      </c>
      <c r="P1749">
        <v>0</v>
      </c>
      <c r="Q1749">
        <v>0</v>
      </c>
      <c r="R1749" t="s">
        <v>44762</v>
      </c>
      <c r="S1749" t="s">
        <v>44863</v>
      </c>
      <c r="T1749" t="s">
        <v>46409</v>
      </c>
      <c r="U1749" t="s">
        <v>48477</v>
      </c>
      <c r="W1749" t="s">
        <v>40939</v>
      </c>
      <c r="X1749" t="s">
        <v>44763</v>
      </c>
    </row>
    <row r="1750" spans="1:24">
      <c r="A1750">
        <f>HYPERLINK("https://www.philgeps.gov.ph/GEPSNONPILOT/Tender/SplashBidNoticeAbstractUI.aspx?menuIndex=3&amp;refID=7151181&amp;Result=3","7151181")</f>
        <v>0</v>
      </c>
      <c r="B1750" t="s">
        <v>773</v>
      </c>
      <c r="C1750" t="s">
        <v>5436</v>
      </c>
      <c r="D1750" t="s">
        <v>17988</v>
      </c>
      <c r="E1750" t="s">
        <v>19667</v>
      </c>
      <c r="F1750" t="s">
        <v>30900</v>
      </c>
      <c r="G1750" t="s">
        <v>30909</v>
      </c>
      <c r="H1750" t="s">
        <v>30916</v>
      </c>
      <c r="I1750" t="s">
        <v>30977</v>
      </c>
      <c r="J1750" t="s">
        <v>31271</v>
      </c>
      <c r="K1750" t="s">
        <v>40289</v>
      </c>
      <c r="M1750" t="s">
        <v>41341</v>
      </c>
      <c r="N1750" t="s">
        <v>44759</v>
      </c>
      <c r="O1750" t="s">
        <v>44760</v>
      </c>
      <c r="P1750">
        <v>0</v>
      </c>
      <c r="Q1750">
        <v>0</v>
      </c>
      <c r="R1750" t="s">
        <v>44762</v>
      </c>
      <c r="S1750" t="s">
        <v>44863</v>
      </c>
      <c r="T1750" t="s">
        <v>46374</v>
      </c>
      <c r="U1750" t="s">
        <v>48478</v>
      </c>
      <c r="W1750" t="s">
        <v>41341</v>
      </c>
      <c r="X1750" t="s">
        <v>44763</v>
      </c>
    </row>
    <row r="1751" spans="1:24">
      <c r="A1751">
        <f>HYPERLINK("https://www.philgeps.gov.ph/GEPSNONPILOT/Tender/SplashBidNoticeAbstractUI.aspx?menuIndex=3&amp;refID=7151178&amp;Result=3","7151178")</f>
        <v>0</v>
      </c>
      <c r="B1751" t="s">
        <v>615</v>
      </c>
      <c r="C1751" t="s">
        <v>5437</v>
      </c>
      <c r="D1751" t="s">
        <v>17959</v>
      </c>
      <c r="E1751" t="s">
        <v>19668</v>
      </c>
      <c r="F1751" t="s">
        <v>30900</v>
      </c>
      <c r="G1751" t="s">
        <v>30908</v>
      </c>
      <c r="H1751" t="s">
        <v>30916</v>
      </c>
      <c r="I1751" t="s">
        <v>30923</v>
      </c>
      <c r="J1751" t="s">
        <v>32355</v>
      </c>
      <c r="K1751" t="s">
        <v>40283</v>
      </c>
      <c r="M1751" t="s">
        <v>41177</v>
      </c>
      <c r="N1751" t="s">
        <v>44759</v>
      </c>
      <c r="O1751" t="s">
        <v>44760</v>
      </c>
      <c r="P1751">
        <v>0</v>
      </c>
      <c r="Q1751">
        <v>8</v>
      </c>
      <c r="R1751" t="s">
        <v>44762</v>
      </c>
      <c r="S1751" t="s">
        <v>44863</v>
      </c>
      <c r="T1751" t="s">
        <v>46551</v>
      </c>
      <c r="U1751" t="s">
        <v>48479</v>
      </c>
      <c r="W1751" t="s">
        <v>41177</v>
      </c>
      <c r="X1751" t="s">
        <v>44763</v>
      </c>
    </row>
    <row r="1752" spans="1:24">
      <c r="A1752">
        <f>HYPERLINK("https://www.philgeps.gov.ph/GEPSNONPILOT/Tender/SplashBidNoticeAbstractUI.aspx?menuIndex=3&amp;refID=7151176&amp;Result=3","7151176")</f>
        <v>0</v>
      </c>
      <c r="B1752" t="s">
        <v>856</v>
      </c>
      <c r="C1752" t="s">
        <v>5438</v>
      </c>
      <c r="D1752" t="s">
        <v>17971</v>
      </c>
      <c r="E1752" t="s">
        <v>19669</v>
      </c>
      <c r="F1752" t="s">
        <v>30900</v>
      </c>
      <c r="G1752" t="s">
        <v>30908</v>
      </c>
      <c r="H1752" t="s">
        <v>30916</v>
      </c>
      <c r="I1752" t="s">
        <v>4454</v>
      </c>
      <c r="J1752" t="s">
        <v>31082</v>
      </c>
      <c r="K1752" t="s">
        <v>40283</v>
      </c>
      <c r="M1752" t="s">
        <v>41429</v>
      </c>
      <c r="N1752" t="s">
        <v>44759</v>
      </c>
      <c r="O1752" t="s">
        <v>44760</v>
      </c>
      <c r="P1752">
        <v>0</v>
      </c>
      <c r="Q1752">
        <v>1</v>
      </c>
      <c r="R1752" t="s">
        <v>44762</v>
      </c>
      <c r="S1752" t="s">
        <v>44863</v>
      </c>
      <c r="T1752" t="s">
        <v>46552</v>
      </c>
      <c r="U1752" t="s">
        <v>48480</v>
      </c>
      <c r="W1752" t="s">
        <v>41429</v>
      </c>
      <c r="X1752" t="s">
        <v>44763</v>
      </c>
    </row>
    <row r="1753" spans="1:24">
      <c r="A1753">
        <f>HYPERLINK("https://www.philgeps.gov.ph/GEPSNONPILOT/Tender/SplashBidNoticeAbstractUI.aspx?menuIndex=3&amp;refID=7151175&amp;Result=3","7151175")</f>
        <v>0</v>
      </c>
      <c r="B1753" t="s">
        <v>857</v>
      </c>
      <c r="C1753" t="s">
        <v>5439</v>
      </c>
      <c r="D1753" t="s">
        <v>17984</v>
      </c>
      <c r="E1753" t="s">
        <v>19670</v>
      </c>
      <c r="F1753" t="s">
        <v>30900</v>
      </c>
      <c r="G1753" t="s">
        <v>30907</v>
      </c>
      <c r="H1753" t="s">
        <v>30916</v>
      </c>
      <c r="I1753" t="s">
        <v>30928</v>
      </c>
      <c r="J1753" t="s">
        <v>32356</v>
      </c>
      <c r="K1753" t="s">
        <v>40283</v>
      </c>
      <c r="M1753" t="s">
        <v>41430</v>
      </c>
      <c r="N1753" t="s">
        <v>44759</v>
      </c>
      <c r="O1753" t="s">
        <v>44760</v>
      </c>
      <c r="P1753">
        <v>0</v>
      </c>
      <c r="Q1753">
        <v>3</v>
      </c>
      <c r="R1753" t="s">
        <v>44762</v>
      </c>
      <c r="S1753" t="s">
        <v>44863</v>
      </c>
      <c r="T1753" t="s">
        <v>46405</v>
      </c>
      <c r="U1753" t="s">
        <v>48481</v>
      </c>
      <c r="W1753" t="s">
        <v>41430</v>
      </c>
      <c r="X1753" t="s">
        <v>44763</v>
      </c>
    </row>
    <row r="1754" spans="1:24">
      <c r="A1754">
        <f>HYPERLINK("https://www.philgeps.gov.ph/GEPSNONPILOT/Tender/SplashBidNoticeAbstractUI.aspx?menuIndex=3&amp;refID=7151150&amp;Result=3","7151150")</f>
        <v>0</v>
      </c>
      <c r="B1754" t="s">
        <v>318</v>
      </c>
      <c r="C1754" t="s">
        <v>5440</v>
      </c>
      <c r="D1754" t="s">
        <v>17968</v>
      </c>
      <c r="E1754" t="s">
        <v>19671</v>
      </c>
      <c r="F1754" t="s">
        <v>30900</v>
      </c>
      <c r="G1754" t="s">
        <v>30907</v>
      </c>
      <c r="H1754" t="s">
        <v>30916</v>
      </c>
      <c r="I1754" t="s">
        <v>5501</v>
      </c>
      <c r="J1754" t="s">
        <v>32357</v>
      </c>
      <c r="K1754" t="s">
        <v>40287</v>
      </c>
      <c r="M1754" t="s">
        <v>40869</v>
      </c>
      <c r="N1754" t="s">
        <v>44759</v>
      </c>
      <c r="O1754" t="s">
        <v>44760</v>
      </c>
      <c r="P1754">
        <v>0</v>
      </c>
      <c r="Q1754">
        <v>2</v>
      </c>
      <c r="R1754" t="s">
        <v>44762</v>
      </c>
      <c r="S1754" t="s">
        <v>44863</v>
      </c>
      <c r="T1754" t="s">
        <v>46395</v>
      </c>
      <c r="U1754" t="s">
        <v>48482</v>
      </c>
      <c r="V1754" t="s">
        <v>59260</v>
      </c>
      <c r="W1754" t="s">
        <v>40869</v>
      </c>
      <c r="X1754" t="s">
        <v>44763</v>
      </c>
    </row>
    <row r="1755" spans="1:24">
      <c r="A1755">
        <f>HYPERLINK("https://www.philgeps.gov.ph/GEPSNONPILOT/Tender/SplashBidNoticeAbstractUI.aspx?menuIndex=3&amp;refID=7151171&amp;Result=3","7151171")</f>
        <v>0</v>
      </c>
      <c r="B1755" t="s">
        <v>844</v>
      </c>
      <c r="C1755" t="s">
        <v>5441</v>
      </c>
      <c r="D1755" t="s">
        <v>17971</v>
      </c>
      <c r="E1755" t="s">
        <v>19672</v>
      </c>
      <c r="F1755" t="s">
        <v>30900</v>
      </c>
      <c r="G1755" t="s">
        <v>30908</v>
      </c>
      <c r="H1755" t="s">
        <v>30916</v>
      </c>
      <c r="I1755" t="s">
        <v>30947</v>
      </c>
      <c r="J1755" t="s">
        <v>32358</v>
      </c>
      <c r="K1755" t="s">
        <v>40283</v>
      </c>
      <c r="M1755" t="s">
        <v>41417</v>
      </c>
      <c r="N1755" t="s">
        <v>44759</v>
      </c>
      <c r="O1755" t="s">
        <v>44760</v>
      </c>
      <c r="P1755">
        <v>0</v>
      </c>
      <c r="Q1755">
        <v>1</v>
      </c>
      <c r="R1755" t="s">
        <v>44762</v>
      </c>
      <c r="S1755" t="s">
        <v>44863</v>
      </c>
      <c r="T1755" t="s">
        <v>46398</v>
      </c>
      <c r="U1755" t="s">
        <v>48483</v>
      </c>
      <c r="W1755" t="s">
        <v>41417</v>
      </c>
      <c r="X1755" t="s">
        <v>44763</v>
      </c>
    </row>
    <row r="1756" spans="1:24">
      <c r="A1756">
        <f>HYPERLINK("https://www.philgeps.gov.ph/GEPSNONPILOT/Tender/SplashBidNoticeAbstractUI.aspx?menuIndex=3&amp;refID=7151148&amp;Result=3","7151148")</f>
        <v>0</v>
      </c>
      <c r="B1756" t="s">
        <v>858</v>
      </c>
      <c r="C1756" t="s">
        <v>5442</v>
      </c>
      <c r="D1756" t="s">
        <v>17977</v>
      </c>
      <c r="E1756" t="s">
        <v>19673</v>
      </c>
      <c r="F1756" t="s">
        <v>30900</v>
      </c>
      <c r="G1756" t="s">
        <v>30908</v>
      </c>
      <c r="H1756" t="s">
        <v>30916</v>
      </c>
      <c r="I1756" t="s">
        <v>6953</v>
      </c>
      <c r="J1756" t="s">
        <v>32359</v>
      </c>
      <c r="K1756" t="s">
        <v>40289</v>
      </c>
      <c r="M1756" t="s">
        <v>41431</v>
      </c>
      <c r="N1756" t="s">
        <v>44759</v>
      </c>
      <c r="O1756" t="s">
        <v>44760</v>
      </c>
      <c r="P1756">
        <v>0</v>
      </c>
      <c r="Q1756">
        <v>0</v>
      </c>
      <c r="R1756" t="s">
        <v>44762</v>
      </c>
      <c r="S1756" t="s">
        <v>44863</v>
      </c>
      <c r="T1756" t="s">
        <v>46410</v>
      </c>
      <c r="U1756" t="s">
        <v>48484</v>
      </c>
      <c r="W1756" t="s">
        <v>41431</v>
      </c>
      <c r="X1756" t="s">
        <v>44763</v>
      </c>
    </row>
    <row r="1757" spans="1:24">
      <c r="A1757">
        <f>HYPERLINK("https://www.philgeps.gov.ph/GEPSNONPILOT/Tender/SplashBidNoticeAbstractUI.aspx?menuIndex=3&amp;refID=7151177&amp;Result=3","7151177")</f>
        <v>0</v>
      </c>
      <c r="B1757" t="s">
        <v>831</v>
      </c>
      <c r="C1757" t="s">
        <v>5443</v>
      </c>
      <c r="D1757" t="s">
        <v>17971</v>
      </c>
      <c r="E1757" t="s">
        <v>19674</v>
      </c>
      <c r="F1757" t="s">
        <v>30900</v>
      </c>
      <c r="G1757" t="s">
        <v>30908</v>
      </c>
      <c r="H1757" t="s">
        <v>30916</v>
      </c>
      <c r="I1757" t="s">
        <v>30927</v>
      </c>
      <c r="J1757" t="s">
        <v>32360</v>
      </c>
      <c r="K1757" t="s">
        <v>40286</v>
      </c>
      <c r="M1757" t="s">
        <v>41404</v>
      </c>
      <c r="N1757" t="s">
        <v>44759</v>
      </c>
      <c r="O1757" t="s">
        <v>44760</v>
      </c>
      <c r="P1757">
        <v>0</v>
      </c>
      <c r="Q1757">
        <v>0</v>
      </c>
      <c r="R1757" t="s">
        <v>44762</v>
      </c>
      <c r="S1757" t="s">
        <v>44863</v>
      </c>
      <c r="T1757" t="s">
        <v>46547</v>
      </c>
      <c r="U1757" t="s">
        <v>48431</v>
      </c>
      <c r="W1757" t="s">
        <v>60840</v>
      </c>
      <c r="X1757" t="s">
        <v>44763</v>
      </c>
    </row>
    <row r="1758" spans="1:24">
      <c r="A1758">
        <f>HYPERLINK("https://www.philgeps.gov.ph/GEPSNONPILOT/Tender/SplashBidNoticeAbstractUI.aspx?menuIndex=3&amp;refID=7151169&amp;Result=3","7151169")</f>
        <v>0</v>
      </c>
      <c r="B1758" t="s">
        <v>172</v>
      </c>
      <c r="C1758" t="s">
        <v>5444</v>
      </c>
      <c r="D1758" t="s">
        <v>17975</v>
      </c>
      <c r="E1758" t="s">
        <v>19675</v>
      </c>
      <c r="F1758" t="s">
        <v>30900</v>
      </c>
      <c r="G1758" t="s">
        <v>30910</v>
      </c>
      <c r="H1758" t="s">
        <v>30916</v>
      </c>
      <c r="I1758" t="s">
        <v>8123</v>
      </c>
      <c r="J1758" t="s">
        <v>32361</v>
      </c>
      <c r="K1758" t="s">
        <v>40286</v>
      </c>
      <c r="M1758" t="s">
        <v>40719</v>
      </c>
      <c r="N1758" t="s">
        <v>44759</v>
      </c>
      <c r="O1758" t="s">
        <v>44760</v>
      </c>
      <c r="P1758">
        <v>0</v>
      </c>
      <c r="Q1758">
        <v>1</v>
      </c>
      <c r="R1758" t="s">
        <v>44762</v>
      </c>
      <c r="S1758" t="s">
        <v>44863</v>
      </c>
      <c r="T1758" t="s">
        <v>46553</v>
      </c>
      <c r="U1758" t="s">
        <v>47201</v>
      </c>
      <c r="W1758" t="s">
        <v>40719</v>
      </c>
      <c r="X1758" t="s">
        <v>44763</v>
      </c>
    </row>
    <row r="1759" spans="1:24">
      <c r="A1759">
        <f>HYPERLINK("https://www.philgeps.gov.ph/GEPSNONPILOT/Tender/SplashBidNoticeAbstractUI.aspx?menuIndex=3&amp;refID=7151146&amp;Result=3","7151146")</f>
        <v>0</v>
      </c>
      <c r="B1759" t="s">
        <v>520</v>
      </c>
      <c r="C1759" t="s">
        <v>5445</v>
      </c>
      <c r="D1759" t="s">
        <v>18019</v>
      </c>
      <c r="E1759" t="s">
        <v>19676</v>
      </c>
      <c r="F1759" t="s">
        <v>30900</v>
      </c>
      <c r="G1759" t="s">
        <v>30907</v>
      </c>
      <c r="H1759" t="s">
        <v>30916</v>
      </c>
      <c r="I1759" t="s">
        <v>30960</v>
      </c>
      <c r="J1759" t="s">
        <v>32362</v>
      </c>
      <c r="K1759" t="s">
        <v>40283</v>
      </c>
      <c r="M1759" t="s">
        <v>41080</v>
      </c>
      <c r="N1759" t="s">
        <v>44759</v>
      </c>
      <c r="O1759" t="s">
        <v>44760</v>
      </c>
      <c r="P1759">
        <v>0</v>
      </c>
      <c r="Q1759">
        <v>3</v>
      </c>
      <c r="R1759" t="s">
        <v>44762</v>
      </c>
      <c r="S1759" t="s">
        <v>44863</v>
      </c>
      <c r="T1759" t="s">
        <v>46366</v>
      </c>
      <c r="U1759" t="s">
        <v>48485</v>
      </c>
      <c r="W1759" t="s">
        <v>41080</v>
      </c>
      <c r="X1759" t="s">
        <v>44763</v>
      </c>
    </row>
    <row r="1760" spans="1:24">
      <c r="A1760">
        <f>HYPERLINK("https://www.philgeps.gov.ph/GEPSNONPILOT/Tender/SplashBidNoticeAbstractUI.aspx?menuIndex=3&amp;refID=7151166&amp;Result=3","7151166")</f>
        <v>0</v>
      </c>
      <c r="B1760" t="s">
        <v>757</v>
      </c>
      <c r="C1760" t="s">
        <v>5446</v>
      </c>
      <c r="D1760" t="s">
        <v>18028</v>
      </c>
      <c r="E1760" t="s">
        <v>19677</v>
      </c>
      <c r="F1760" t="s">
        <v>30900</v>
      </c>
      <c r="G1760" t="s">
        <v>30907</v>
      </c>
      <c r="H1760" t="s">
        <v>30916</v>
      </c>
      <c r="I1760" t="s">
        <v>30997</v>
      </c>
      <c r="J1760" t="s">
        <v>31139</v>
      </c>
      <c r="K1760" t="s">
        <v>40284</v>
      </c>
      <c r="M1760" t="s">
        <v>41322</v>
      </c>
      <c r="N1760" t="s">
        <v>44759</v>
      </c>
      <c r="O1760" t="s">
        <v>44760</v>
      </c>
      <c r="P1760">
        <v>0</v>
      </c>
      <c r="Q1760">
        <v>1</v>
      </c>
      <c r="R1760" t="s">
        <v>44762</v>
      </c>
      <c r="S1760" t="s">
        <v>44863</v>
      </c>
      <c r="T1760" t="s">
        <v>46395</v>
      </c>
      <c r="U1760" t="s">
        <v>48486</v>
      </c>
      <c r="W1760" t="s">
        <v>41322</v>
      </c>
      <c r="X1760" t="s">
        <v>44763</v>
      </c>
    </row>
    <row r="1761" spans="1:24">
      <c r="A1761">
        <f>HYPERLINK("https://www.philgeps.gov.ph/GEPSNONPILOT/Tender/SplashBidNoticeAbstractUI.aspx?menuIndex=3&amp;refID=7151173&amp;Result=3","7151173")</f>
        <v>0</v>
      </c>
      <c r="B1761" t="s">
        <v>859</v>
      </c>
      <c r="C1761" t="s">
        <v>5447</v>
      </c>
      <c r="D1761" t="s">
        <v>17969</v>
      </c>
      <c r="E1761" t="s">
        <v>19678</v>
      </c>
      <c r="F1761" t="s">
        <v>30900</v>
      </c>
      <c r="G1761" t="s">
        <v>30908</v>
      </c>
      <c r="H1761" t="s">
        <v>30916</v>
      </c>
      <c r="I1761" t="s">
        <v>9385</v>
      </c>
      <c r="J1761" t="s">
        <v>32363</v>
      </c>
      <c r="K1761" t="s">
        <v>40286</v>
      </c>
      <c r="M1761" t="s">
        <v>41432</v>
      </c>
      <c r="N1761" t="s">
        <v>44759</v>
      </c>
      <c r="O1761" t="s">
        <v>44760</v>
      </c>
      <c r="P1761">
        <v>0</v>
      </c>
      <c r="Q1761">
        <v>7</v>
      </c>
      <c r="R1761" t="s">
        <v>44762</v>
      </c>
      <c r="S1761" t="s">
        <v>44863</v>
      </c>
      <c r="T1761" t="s">
        <v>46363</v>
      </c>
      <c r="U1761" t="s">
        <v>48487</v>
      </c>
      <c r="W1761" t="s">
        <v>41432</v>
      </c>
      <c r="X1761" t="s">
        <v>44763</v>
      </c>
    </row>
    <row r="1762" spans="1:24">
      <c r="A1762">
        <f>HYPERLINK("https://www.philgeps.gov.ph/GEPSNONPILOT/Tender/SplashBidNoticeAbstractUI.aspx?menuIndex=3&amp;refID=7151165&amp;Result=3","7151165")</f>
        <v>0</v>
      </c>
      <c r="B1762" t="s">
        <v>773</v>
      </c>
      <c r="C1762" t="s">
        <v>5448</v>
      </c>
      <c r="D1762" t="s">
        <v>17988</v>
      </c>
      <c r="E1762" t="s">
        <v>19679</v>
      </c>
      <c r="F1762" t="s">
        <v>30900</v>
      </c>
      <c r="G1762" t="s">
        <v>30909</v>
      </c>
      <c r="H1762" t="s">
        <v>30916</v>
      </c>
      <c r="I1762" t="s">
        <v>30949</v>
      </c>
      <c r="J1762" t="s">
        <v>32364</v>
      </c>
      <c r="K1762" t="s">
        <v>40289</v>
      </c>
      <c r="M1762" t="s">
        <v>41341</v>
      </c>
      <c r="N1762" t="s">
        <v>44759</v>
      </c>
      <c r="O1762" t="s">
        <v>44760</v>
      </c>
      <c r="P1762">
        <v>0</v>
      </c>
      <c r="Q1762">
        <v>2</v>
      </c>
      <c r="R1762" t="s">
        <v>44762</v>
      </c>
      <c r="S1762" t="s">
        <v>44863</v>
      </c>
      <c r="T1762" t="s">
        <v>46374</v>
      </c>
      <c r="U1762" t="s">
        <v>48488</v>
      </c>
      <c r="W1762" t="s">
        <v>41341</v>
      </c>
      <c r="X1762" t="s">
        <v>44763</v>
      </c>
    </row>
    <row r="1763" spans="1:24">
      <c r="A1763">
        <f>HYPERLINK("https://www.philgeps.gov.ph/GEPSNONPILOT/Tender/SplashBidNoticeAbstractUI.aspx?menuIndex=3&amp;refID=7151164&amp;Result=3","7151164")</f>
        <v>0</v>
      </c>
      <c r="B1763" t="s">
        <v>860</v>
      </c>
      <c r="C1763" t="s">
        <v>5449</v>
      </c>
      <c r="D1763" t="s">
        <v>17959</v>
      </c>
      <c r="E1763" t="s">
        <v>19680</v>
      </c>
      <c r="F1763" t="s">
        <v>30900</v>
      </c>
      <c r="G1763" t="s">
        <v>30907</v>
      </c>
      <c r="H1763" t="s">
        <v>30916</v>
      </c>
      <c r="I1763" t="s">
        <v>30924</v>
      </c>
      <c r="J1763" t="s">
        <v>32365</v>
      </c>
      <c r="K1763" t="s">
        <v>40289</v>
      </c>
      <c r="M1763" t="s">
        <v>41433</v>
      </c>
      <c r="N1763" t="s">
        <v>44759</v>
      </c>
      <c r="O1763" t="s">
        <v>44760</v>
      </c>
      <c r="P1763">
        <v>0</v>
      </c>
      <c r="Q1763">
        <v>13</v>
      </c>
      <c r="R1763" t="s">
        <v>44762</v>
      </c>
      <c r="S1763" t="s">
        <v>44863</v>
      </c>
      <c r="T1763" t="s">
        <v>46554</v>
      </c>
      <c r="U1763" t="s">
        <v>48489</v>
      </c>
      <c r="W1763" t="s">
        <v>41433</v>
      </c>
      <c r="X1763" t="s">
        <v>44763</v>
      </c>
    </row>
    <row r="1764" spans="1:24">
      <c r="A1764">
        <f>HYPERLINK("https://www.philgeps.gov.ph/GEPSNONPILOT/Tender/SplashBidNoticeAbstractUI.aspx?menuIndex=3&amp;refID=7151094&amp;Result=3","7151094")</f>
        <v>0</v>
      </c>
      <c r="B1764" t="s">
        <v>773</v>
      </c>
      <c r="C1764" t="s">
        <v>5406</v>
      </c>
      <c r="D1764" t="s">
        <v>17988</v>
      </c>
      <c r="E1764" t="s">
        <v>19681</v>
      </c>
      <c r="F1764" t="s">
        <v>30900</v>
      </c>
      <c r="G1764" t="s">
        <v>30909</v>
      </c>
      <c r="H1764" t="s">
        <v>30916</v>
      </c>
      <c r="I1764" t="s">
        <v>4142</v>
      </c>
      <c r="J1764" t="s">
        <v>31043</v>
      </c>
      <c r="K1764" t="s">
        <v>40289</v>
      </c>
      <c r="M1764" t="s">
        <v>41341</v>
      </c>
      <c r="N1764" t="s">
        <v>44759</v>
      </c>
      <c r="O1764" t="s">
        <v>44760</v>
      </c>
      <c r="P1764">
        <v>0</v>
      </c>
      <c r="Q1764">
        <v>0</v>
      </c>
      <c r="R1764" t="s">
        <v>44762</v>
      </c>
      <c r="S1764" t="s">
        <v>44863</v>
      </c>
      <c r="T1764" t="s">
        <v>46374</v>
      </c>
      <c r="U1764" t="s">
        <v>48490</v>
      </c>
      <c r="W1764" t="s">
        <v>41341</v>
      </c>
      <c r="X1764" t="s">
        <v>44763</v>
      </c>
    </row>
    <row r="1765" spans="1:24">
      <c r="A1765">
        <f>HYPERLINK("https://www.philgeps.gov.ph/GEPSNONPILOT/Tender/SplashBidNoticeAbstractUI.aspx?menuIndex=3&amp;refID=7151089&amp;Result=3","7151089")</f>
        <v>0</v>
      </c>
      <c r="B1765" t="s">
        <v>861</v>
      </c>
      <c r="C1765" t="s">
        <v>5450</v>
      </c>
      <c r="D1765" t="s">
        <v>18034</v>
      </c>
      <c r="E1765" t="s">
        <v>19682</v>
      </c>
      <c r="F1765" t="s">
        <v>30900</v>
      </c>
      <c r="G1765" t="s">
        <v>30908</v>
      </c>
      <c r="H1765" t="s">
        <v>30916</v>
      </c>
      <c r="I1765" t="s">
        <v>6396</v>
      </c>
      <c r="J1765" t="s">
        <v>32366</v>
      </c>
      <c r="K1765" t="s">
        <v>40285</v>
      </c>
      <c r="M1765" t="s">
        <v>41434</v>
      </c>
      <c r="N1765" t="s">
        <v>44759</v>
      </c>
      <c r="O1765" t="s">
        <v>44760</v>
      </c>
      <c r="P1765">
        <v>0</v>
      </c>
      <c r="Q1765">
        <v>4</v>
      </c>
      <c r="R1765" t="s">
        <v>44762</v>
      </c>
      <c r="S1765" t="s">
        <v>44863</v>
      </c>
      <c r="T1765" t="s">
        <v>46398</v>
      </c>
      <c r="U1765" t="s">
        <v>48491</v>
      </c>
      <c r="W1765" t="s">
        <v>41434</v>
      </c>
      <c r="X1765" t="s">
        <v>44763</v>
      </c>
    </row>
    <row r="1766" spans="1:24">
      <c r="A1766">
        <f>HYPERLINK("https://www.philgeps.gov.ph/GEPSNONPILOT/Tender/SplashBidNoticeAbstractUI.aspx?menuIndex=3&amp;refID=7150887&amp;Result=3","7150887")</f>
        <v>0</v>
      </c>
      <c r="B1766" t="s">
        <v>862</v>
      </c>
      <c r="C1766" t="s">
        <v>4454</v>
      </c>
      <c r="D1766" t="s">
        <v>17953</v>
      </c>
      <c r="E1766" t="s">
        <v>19683</v>
      </c>
      <c r="F1766" t="s">
        <v>30900</v>
      </c>
      <c r="G1766" t="s">
        <v>30908</v>
      </c>
      <c r="H1766" t="s">
        <v>30916</v>
      </c>
      <c r="I1766" t="s">
        <v>4454</v>
      </c>
      <c r="J1766" t="s">
        <v>32367</v>
      </c>
      <c r="K1766" t="s">
        <v>40281</v>
      </c>
      <c r="M1766" t="s">
        <v>41435</v>
      </c>
      <c r="N1766" t="s">
        <v>44759</v>
      </c>
      <c r="O1766" t="s">
        <v>44760</v>
      </c>
      <c r="P1766">
        <v>0</v>
      </c>
      <c r="Q1766">
        <v>0</v>
      </c>
      <c r="R1766" t="s">
        <v>44762</v>
      </c>
      <c r="S1766" t="s">
        <v>44863</v>
      </c>
      <c r="T1766" t="s">
        <v>46414</v>
      </c>
      <c r="U1766" t="s">
        <v>48492</v>
      </c>
      <c r="W1766" t="s">
        <v>41435</v>
      </c>
      <c r="X1766" t="s">
        <v>44763</v>
      </c>
    </row>
    <row r="1767" spans="1:24">
      <c r="A1767">
        <f>HYPERLINK("https://www.philgeps.gov.ph/GEPSNONPILOT/Tender/SplashBidNoticeAbstractUI.aspx?menuIndex=3&amp;refID=7151170&amp;Result=3","7151170")</f>
        <v>0</v>
      </c>
      <c r="B1767" t="s">
        <v>854</v>
      </c>
      <c r="C1767" t="s">
        <v>5451</v>
      </c>
      <c r="D1767" t="s">
        <v>17963</v>
      </c>
      <c r="E1767" t="s">
        <v>19684</v>
      </c>
      <c r="F1767" t="s">
        <v>30900</v>
      </c>
      <c r="G1767" t="s">
        <v>30908</v>
      </c>
      <c r="H1767" t="s">
        <v>30916</v>
      </c>
      <c r="I1767" t="s">
        <v>6746</v>
      </c>
      <c r="J1767" t="s">
        <v>32368</v>
      </c>
      <c r="K1767" t="s">
        <v>40287</v>
      </c>
      <c r="M1767" t="s">
        <v>41427</v>
      </c>
      <c r="N1767" t="s">
        <v>44759</v>
      </c>
      <c r="O1767" t="s">
        <v>44760</v>
      </c>
      <c r="P1767">
        <v>0</v>
      </c>
      <c r="Q1767">
        <v>3</v>
      </c>
      <c r="R1767" t="s">
        <v>44762</v>
      </c>
      <c r="S1767" t="s">
        <v>44863</v>
      </c>
      <c r="T1767" t="s">
        <v>46410</v>
      </c>
      <c r="U1767" t="s">
        <v>48493</v>
      </c>
      <c r="V1767" t="s">
        <v>59319</v>
      </c>
      <c r="W1767" t="s">
        <v>41427</v>
      </c>
      <c r="X1767" t="s">
        <v>44763</v>
      </c>
    </row>
    <row r="1768" spans="1:24">
      <c r="A1768">
        <f>HYPERLINK("https://www.philgeps.gov.ph/GEPSNONPILOT/Tender/SplashBidNoticeAbstractUI.aspx?menuIndex=3&amp;refID=7150885&amp;Result=3","7150885")</f>
        <v>0</v>
      </c>
      <c r="B1768" t="s">
        <v>726</v>
      </c>
      <c r="C1768" t="s">
        <v>5452</v>
      </c>
      <c r="D1768" t="s">
        <v>18016</v>
      </c>
      <c r="E1768" t="s">
        <v>19685</v>
      </c>
      <c r="F1768" t="s">
        <v>30900</v>
      </c>
      <c r="G1768" t="s">
        <v>30907</v>
      </c>
      <c r="H1768" t="s">
        <v>30916</v>
      </c>
      <c r="I1768" t="s">
        <v>30919</v>
      </c>
      <c r="J1768" t="s">
        <v>32369</v>
      </c>
      <c r="K1768" t="s">
        <v>40286</v>
      </c>
      <c r="M1768" t="s">
        <v>41290</v>
      </c>
      <c r="N1768" t="s">
        <v>44759</v>
      </c>
      <c r="O1768" t="s">
        <v>44760</v>
      </c>
      <c r="P1768">
        <v>0</v>
      </c>
      <c r="Q1768">
        <v>0</v>
      </c>
      <c r="R1768" t="s">
        <v>44762</v>
      </c>
      <c r="S1768" t="s">
        <v>44863</v>
      </c>
      <c r="T1768" t="s">
        <v>46389</v>
      </c>
      <c r="U1768" t="s">
        <v>48494</v>
      </c>
      <c r="W1768" t="s">
        <v>41290</v>
      </c>
      <c r="X1768" t="s">
        <v>44763</v>
      </c>
    </row>
    <row r="1769" spans="1:24">
      <c r="A1769">
        <f>HYPERLINK("https://www.philgeps.gov.ph/GEPSNONPILOT/Tender/SplashBidNoticeAbstractUI.aspx?menuIndex=3&amp;refID=7151167&amp;Result=3","7151167")</f>
        <v>0</v>
      </c>
      <c r="B1769" t="s">
        <v>863</v>
      </c>
      <c r="C1769" t="s">
        <v>5453</v>
      </c>
      <c r="D1769" t="s">
        <v>18025</v>
      </c>
      <c r="E1769" t="s">
        <v>18615</v>
      </c>
      <c r="F1769" t="s">
        <v>30900</v>
      </c>
      <c r="G1769" t="s">
        <v>30909</v>
      </c>
      <c r="H1769" t="s">
        <v>30916</v>
      </c>
      <c r="I1769" t="s">
        <v>30938</v>
      </c>
      <c r="J1769" t="s">
        <v>31066</v>
      </c>
      <c r="K1769" t="s">
        <v>40294</v>
      </c>
      <c r="M1769" t="s">
        <v>41436</v>
      </c>
      <c r="N1769" t="s">
        <v>44759</v>
      </c>
      <c r="O1769" t="s">
        <v>44760</v>
      </c>
      <c r="P1769">
        <v>0</v>
      </c>
      <c r="Q1769">
        <v>1</v>
      </c>
      <c r="R1769" t="s">
        <v>44762</v>
      </c>
      <c r="S1769" t="s">
        <v>44863</v>
      </c>
      <c r="T1769" t="s">
        <v>46398</v>
      </c>
      <c r="U1769" t="s">
        <v>48495</v>
      </c>
      <c r="V1769" t="s">
        <v>59320</v>
      </c>
      <c r="W1769" t="s">
        <v>41436</v>
      </c>
      <c r="X1769" t="s">
        <v>44763</v>
      </c>
    </row>
    <row r="1770" spans="1:24">
      <c r="A1770">
        <f>HYPERLINK("https://www.philgeps.gov.ph/GEPSNONPILOT/Tender/SplashBidNoticeAbstractUI.aspx?menuIndex=3&amp;refID=7151172&amp;Result=3","7151172")</f>
        <v>0</v>
      </c>
      <c r="B1770" t="s">
        <v>764</v>
      </c>
      <c r="C1770" t="s">
        <v>5454</v>
      </c>
      <c r="D1770" t="s">
        <v>17998</v>
      </c>
      <c r="E1770" t="s">
        <v>19686</v>
      </c>
      <c r="F1770" t="s">
        <v>30900</v>
      </c>
      <c r="G1770" t="s">
        <v>30907</v>
      </c>
      <c r="H1770" t="s">
        <v>30916</v>
      </c>
      <c r="I1770" t="s">
        <v>8044</v>
      </c>
      <c r="J1770" t="s">
        <v>32370</v>
      </c>
      <c r="K1770" t="s">
        <v>40286</v>
      </c>
      <c r="M1770" t="s">
        <v>41330</v>
      </c>
      <c r="N1770" t="s">
        <v>44759</v>
      </c>
      <c r="O1770" t="s">
        <v>44760</v>
      </c>
      <c r="P1770">
        <v>0</v>
      </c>
      <c r="Q1770">
        <v>0</v>
      </c>
      <c r="R1770" t="s">
        <v>44762</v>
      </c>
      <c r="S1770" t="s">
        <v>44863</v>
      </c>
      <c r="T1770" t="s">
        <v>46425</v>
      </c>
      <c r="U1770" t="s">
        <v>48496</v>
      </c>
      <c r="W1770" t="s">
        <v>41330</v>
      </c>
      <c r="X1770" t="s">
        <v>44763</v>
      </c>
    </row>
    <row r="1771" spans="1:24">
      <c r="A1771">
        <f>HYPERLINK("https://www.philgeps.gov.ph/GEPSNONPILOT/Tender/SplashBidNoticeAbstractUI.aspx?menuIndex=3&amp;refID=7150871&amp;Result=3","7150871")</f>
        <v>0</v>
      </c>
      <c r="B1771" t="s">
        <v>864</v>
      </c>
      <c r="C1771" t="s">
        <v>5455</v>
      </c>
      <c r="D1771" t="s">
        <v>18025</v>
      </c>
      <c r="E1771" t="s">
        <v>19687</v>
      </c>
      <c r="F1771" t="s">
        <v>30900</v>
      </c>
      <c r="G1771" t="s">
        <v>30906</v>
      </c>
      <c r="H1771" t="s">
        <v>30916</v>
      </c>
      <c r="I1771" t="s">
        <v>30924</v>
      </c>
      <c r="J1771" t="s">
        <v>32371</v>
      </c>
      <c r="K1771" t="s">
        <v>40280</v>
      </c>
      <c r="M1771" t="s">
        <v>41437</v>
      </c>
      <c r="N1771" t="s">
        <v>44759</v>
      </c>
      <c r="O1771" t="s">
        <v>44760</v>
      </c>
      <c r="P1771">
        <v>0</v>
      </c>
      <c r="Q1771">
        <v>6</v>
      </c>
      <c r="R1771" t="s">
        <v>44762</v>
      </c>
      <c r="S1771" t="s">
        <v>44863</v>
      </c>
      <c r="T1771" t="s">
        <v>46410</v>
      </c>
      <c r="U1771" t="s">
        <v>48497</v>
      </c>
      <c r="V1771" t="s">
        <v>59321</v>
      </c>
      <c r="W1771" t="s">
        <v>41437</v>
      </c>
      <c r="X1771" t="s">
        <v>44763</v>
      </c>
    </row>
    <row r="1772" spans="1:24">
      <c r="A1772">
        <f>HYPERLINK("https://www.philgeps.gov.ph/GEPSNONPILOT/Tender/SplashBidNoticeAbstractUI.aspx?menuIndex=3&amp;refID=7150869&amp;Result=3","7150869")</f>
        <v>0</v>
      </c>
      <c r="B1772" t="s">
        <v>865</v>
      </c>
      <c r="C1772" t="s">
        <v>5456</v>
      </c>
      <c r="D1772" t="s">
        <v>18012</v>
      </c>
      <c r="E1772" t="s">
        <v>19688</v>
      </c>
      <c r="F1772" t="s">
        <v>30900</v>
      </c>
      <c r="G1772" t="s">
        <v>30907</v>
      </c>
      <c r="H1772" t="s">
        <v>30916</v>
      </c>
      <c r="I1772" t="s">
        <v>10961</v>
      </c>
      <c r="J1772" t="s">
        <v>31243</v>
      </c>
      <c r="K1772" t="s">
        <v>40284</v>
      </c>
      <c r="M1772" t="s">
        <v>41438</v>
      </c>
      <c r="N1772" t="s">
        <v>44759</v>
      </c>
      <c r="O1772" t="s">
        <v>44760</v>
      </c>
      <c r="P1772">
        <v>0</v>
      </c>
      <c r="Q1772">
        <v>1</v>
      </c>
      <c r="R1772" t="s">
        <v>44762</v>
      </c>
      <c r="S1772" t="s">
        <v>44863</v>
      </c>
      <c r="T1772" t="s">
        <v>46409</v>
      </c>
      <c r="U1772" t="s">
        <v>48498</v>
      </c>
      <c r="V1772" t="s">
        <v>59322</v>
      </c>
      <c r="W1772" t="s">
        <v>41438</v>
      </c>
      <c r="X1772" t="s">
        <v>44763</v>
      </c>
    </row>
    <row r="1773" spans="1:24">
      <c r="A1773">
        <f>HYPERLINK("https://www.philgeps.gov.ph/GEPSNONPILOT/Tender/SplashBidNoticeAbstractUI.aspx?menuIndex=3&amp;refID=7150868&amp;Result=3","7150868")</f>
        <v>0</v>
      </c>
      <c r="B1773" t="s">
        <v>866</v>
      </c>
      <c r="C1773" t="s">
        <v>5457</v>
      </c>
      <c r="D1773" t="s">
        <v>17981</v>
      </c>
      <c r="E1773" t="s">
        <v>19689</v>
      </c>
      <c r="F1773" t="s">
        <v>30900</v>
      </c>
      <c r="G1773" t="s">
        <v>30907</v>
      </c>
      <c r="H1773" t="s">
        <v>30915</v>
      </c>
      <c r="I1773" t="s">
        <v>30919</v>
      </c>
      <c r="J1773" t="s">
        <v>32372</v>
      </c>
      <c r="K1773" t="s">
        <v>40353</v>
      </c>
      <c r="M1773" t="s">
        <v>41439</v>
      </c>
      <c r="N1773" t="s">
        <v>44759</v>
      </c>
      <c r="O1773" t="s">
        <v>44760</v>
      </c>
      <c r="P1773">
        <v>0</v>
      </c>
      <c r="Q1773">
        <v>7</v>
      </c>
      <c r="R1773" t="s">
        <v>44762</v>
      </c>
      <c r="S1773" t="s">
        <v>44863</v>
      </c>
      <c r="T1773" t="s">
        <v>46377</v>
      </c>
      <c r="U1773" t="s">
        <v>48499</v>
      </c>
      <c r="V1773" t="s">
        <v>59323</v>
      </c>
      <c r="W1773" t="s">
        <v>41439</v>
      </c>
      <c r="X1773" t="s">
        <v>44763</v>
      </c>
    </row>
    <row r="1774" spans="1:24">
      <c r="A1774">
        <f>HYPERLINK("https://www.philgeps.gov.ph/GEPSNONPILOT/Tender/SplashBidNoticeAbstractUI.aspx?menuIndex=3&amp;refID=7151191&amp;Result=3","7151191")</f>
        <v>0</v>
      </c>
      <c r="B1774" t="s">
        <v>867</v>
      </c>
      <c r="C1774" t="s">
        <v>5458</v>
      </c>
      <c r="D1774" t="s">
        <v>17973</v>
      </c>
      <c r="E1774" t="s">
        <v>19690</v>
      </c>
      <c r="F1774" t="s">
        <v>30900</v>
      </c>
      <c r="G1774" t="s">
        <v>30907</v>
      </c>
      <c r="H1774" t="s">
        <v>30915</v>
      </c>
      <c r="I1774" t="s">
        <v>30919</v>
      </c>
      <c r="J1774" t="s">
        <v>32373</v>
      </c>
      <c r="K1774" t="s">
        <v>40283</v>
      </c>
      <c r="M1774" t="s">
        <v>41440</v>
      </c>
      <c r="N1774" t="s">
        <v>44759</v>
      </c>
      <c r="O1774" t="s">
        <v>44760</v>
      </c>
      <c r="P1774">
        <v>0</v>
      </c>
      <c r="Q1774">
        <v>0</v>
      </c>
      <c r="R1774" t="s">
        <v>44762</v>
      </c>
      <c r="S1774" t="s">
        <v>44863</v>
      </c>
      <c r="T1774" t="s">
        <v>46377</v>
      </c>
      <c r="U1774" t="s">
        <v>48500</v>
      </c>
      <c r="W1774" t="s">
        <v>41440</v>
      </c>
      <c r="X1774" t="s">
        <v>44763</v>
      </c>
    </row>
    <row r="1775" spans="1:24">
      <c r="A1775">
        <f>HYPERLINK("https://www.philgeps.gov.ph/GEPSNONPILOT/Tender/SplashBidNoticeAbstractUI.aspx?menuIndex=3&amp;refID=7150884&amp;Result=3","7150884")</f>
        <v>0</v>
      </c>
      <c r="B1775" t="s">
        <v>732</v>
      </c>
      <c r="C1775" t="s">
        <v>5459</v>
      </c>
      <c r="D1775" t="s">
        <v>17963</v>
      </c>
      <c r="E1775" t="s">
        <v>19691</v>
      </c>
      <c r="F1775" t="s">
        <v>30900</v>
      </c>
      <c r="G1775" t="s">
        <v>30908</v>
      </c>
      <c r="H1775" t="s">
        <v>30916</v>
      </c>
      <c r="I1775" t="s">
        <v>4545</v>
      </c>
      <c r="J1775" t="s">
        <v>32374</v>
      </c>
      <c r="K1775" t="s">
        <v>40289</v>
      </c>
      <c r="M1775" t="s">
        <v>41296</v>
      </c>
      <c r="N1775" t="s">
        <v>44759</v>
      </c>
      <c r="O1775" t="s">
        <v>44760</v>
      </c>
      <c r="P1775">
        <v>0</v>
      </c>
      <c r="Q1775">
        <v>1</v>
      </c>
      <c r="R1775" t="s">
        <v>44762</v>
      </c>
      <c r="S1775" t="s">
        <v>44863</v>
      </c>
      <c r="T1775" t="s">
        <v>46379</v>
      </c>
      <c r="U1775" t="s">
        <v>48501</v>
      </c>
      <c r="W1775" t="s">
        <v>41296</v>
      </c>
      <c r="X1775" t="s">
        <v>44763</v>
      </c>
    </row>
    <row r="1776" spans="1:24">
      <c r="A1776">
        <f>HYPERLINK("https://www.philgeps.gov.ph/GEPSNONPILOT/Tender/SplashBidNoticeAbstractUI.aspx?menuIndex=3&amp;refID=7151213&amp;Result=3","7151213")</f>
        <v>0</v>
      </c>
      <c r="B1776" t="s">
        <v>741</v>
      </c>
      <c r="C1776" t="s">
        <v>5460</v>
      </c>
      <c r="D1776" t="s">
        <v>17994</v>
      </c>
      <c r="E1776" t="s">
        <v>19692</v>
      </c>
      <c r="F1776" t="s">
        <v>30900</v>
      </c>
      <c r="G1776" t="s">
        <v>30908</v>
      </c>
      <c r="H1776" t="s">
        <v>30916</v>
      </c>
      <c r="I1776" t="s">
        <v>30947</v>
      </c>
      <c r="J1776" t="s">
        <v>32375</v>
      </c>
      <c r="K1776" t="s">
        <v>40287</v>
      </c>
      <c r="M1776" t="s">
        <v>41305</v>
      </c>
      <c r="N1776" t="s">
        <v>44759</v>
      </c>
      <c r="O1776" t="s">
        <v>44760</v>
      </c>
      <c r="P1776">
        <v>0</v>
      </c>
      <c r="Q1776">
        <v>2</v>
      </c>
      <c r="R1776" t="s">
        <v>44762</v>
      </c>
      <c r="S1776" t="s">
        <v>44863</v>
      </c>
      <c r="T1776" t="s">
        <v>46440</v>
      </c>
      <c r="U1776" t="s">
        <v>48502</v>
      </c>
      <c r="V1776" t="s">
        <v>59200</v>
      </c>
      <c r="W1776" t="s">
        <v>41305</v>
      </c>
      <c r="X1776" t="s">
        <v>44763</v>
      </c>
    </row>
    <row r="1777" spans="1:24">
      <c r="A1777">
        <f>HYPERLINK("https://www.philgeps.gov.ph/GEPSNONPILOT/Tender/SplashBidNoticeAbstractUI.aspx?menuIndex=3&amp;refID=7150870&amp;Result=3","7150870")</f>
        <v>0</v>
      </c>
      <c r="B1777" t="s">
        <v>744</v>
      </c>
      <c r="C1777" t="s">
        <v>5461</v>
      </c>
      <c r="D1777" t="s">
        <v>18006</v>
      </c>
      <c r="E1777" t="s">
        <v>19693</v>
      </c>
      <c r="F1777" t="s">
        <v>30900</v>
      </c>
      <c r="G1777" t="s">
        <v>30909</v>
      </c>
      <c r="H1777" t="s">
        <v>30916</v>
      </c>
      <c r="I1777" t="s">
        <v>30924</v>
      </c>
      <c r="J1777" t="s">
        <v>31183</v>
      </c>
      <c r="K1777" t="s">
        <v>40281</v>
      </c>
      <c r="M1777" t="s">
        <v>41308</v>
      </c>
      <c r="N1777" t="s">
        <v>44759</v>
      </c>
      <c r="O1777" t="s">
        <v>44760</v>
      </c>
      <c r="P1777">
        <v>0</v>
      </c>
      <c r="Q1777">
        <v>0</v>
      </c>
      <c r="R1777" t="s">
        <v>44762</v>
      </c>
      <c r="S1777" t="s">
        <v>44863</v>
      </c>
      <c r="T1777" t="s">
        <v>46390</v>
      </c>
      <c r="U1777" t="s">
        <v>48503</v>
      </c>
      <c r="W1777" t="s">
        <v>41308</v>
      </c>
      <c r="X1777" t="s">
        <v>44763</v>
      </c>
    </row>
    <row r="1778" spans="1:24">
      <c r="A1778">
        <f>HYPERLINK("https://www.philgeps.gov.ph/GEPSNONPILOT/Tender/SplashBidNoticeAbstractUI.aspx?menuIndex=3&amp;refID=7151211&amp;Result=3","7151211")</f>
        <v>0</v>
      </c>
      <c r="B1778" t="s">
        <v>172</v>
      </c>
      <c r="C1778" t="s">
        <v>5462</v>
      </c>
      <c r="D1778" t="s">
        <v>17975</v>
      </c>
      <c r="E1778" t="s">
        <v>19694</v>
      </c>
      <c r="F1778" t="s">
        <v>30900</v>
      </c>
      <c r="G1778" t="s">
        <v>30908</v>
      </c>
      <c r="H1778" t="s">
        <v>30916</v>
      </c>
      <c r="I1778" t="s">
        <v>30964</v>
      </c>
      <c r="J1778" t="s">
        <v>32376</v>
      </c>
      <c r="K1778" t="s">
        <v>40286</v>
      </c>
      <c r="M1778" t="s">
        <v>40719</v>
      </c>
      <c r="N1778" t="s">
        <v>44759</v>
      </c>
      <c r="O1778" t="s">
        <v>44760</v>
      </c>
      <c r="P1778">
        <v>0</v>
      </c>
      <c r="Q1778">
        <v>0</v>
      </c>
      <c r="R1778" t="s">
        <v>44762</v>
      </c>
      <c r="S1778" t="s">
        <v>44863</v>
      </c>
      <c r="T1778" t="s">
        <v>46553</v>
      </c>
      <c r="U1778" t="s">
        <v>47201</v>
      </c>
      <c r="W1778" t="s">
        <v>40719</v>
      </c>
      <c r="X1778" t="s">
        <v>44763</v>
      </c>
    </row>
    <row r="1779" spans="1:24">
      <c r="A1779">
        <f>HYPERLINK("https://www.philgeps.gov.ph/GEPSNONPILOT/Tender/SplashBidNoticeAbstractUI.aspx?menuIndex=3&amp;refID=7151021&amp;Result=3","7151021")</f>
        <v>0</v>
      </c>
      <c r="B1779" t="s">
        <v>194</v>
      </c>
      <c r="C1779" t="s">
        <v>5463</v>
      </c>
      <c r="D1779" t="s">
        <v>17959</v>
      </c>
      <c r="E1779" t="s">
        <v>19593</v>
      </c>
      <c r="F1779" t="s">
        <v>30900</v>
      </c>
      <c r="G1779" t="s">
        <v>30908</v>
      </c>
      <c r="H1779" t="s">
        <v>30916</v>
      </c>
      <c r="I1779" t="s">
        <v>30921</v>
      </c>
      <c r="J1779" t="s">
        <v>32377</v>
      </c>
      <c r="K1779" t="s">
        <v>40286</v>
      </c>
      <c r="M1779" t="s">
        <v>41391</v>
      </c>
      <c r="N1779" t="s">
        <v>44759</v>
      </c>
      <c r="O1779" t="s">
        <v>44760</v>
      </c>
      <c r="P1779">
        <v>0</v>
      </c>
      <c r="Q1779">
        <v>1</v>
      </c>
      <c r="R1779" t="s">
        <v>44762</v>
      </c>
      <c r="S1779" t="s">
        <v>44863</v>
      </c>
      <c r="T1779" t="s">
        <v>46363</v>
      </c>
      <c r="U1779" t="s">
        <v>48504</v>
      </c>
      <c r="W1779" t="s">
        <v>41391</v>
      </c>
      <c r="X1779" t="s">
        <v>44763</v>
      </c>
    </row>
    <row r="1780" spans="1:24">
      <c r="A1780">
        <f>HYPERLINK("https://www.philgeps.gov.ph/GEPSNONPILOT/Tender/SplashBidNoticeAbstractUI.aspx?menuIndex=3&amp;refID=7151209&amp;Result=3","7151209")</f>
        <v>0</v>
      </c>
      <c r="B1780" t="s">
        <v>868</v>
      </c>
      <c r="C1780" t="s">
        <v>5464</v>
      </c>
      <c r="D1780" t="s">
        <v>17953</v>
      </c>
      <c r="E1780" t="s">
        <v>19695</v>
      </c>
      <c r="F1780" t="s">
        <v>30900</v>
      </c>
      <c r="G1780" t="s">
        <v>30908</v>
      </c>
      <c r="H1780" t="s">
        <v>30916</v>
      </c>
      <c r="I1780" t="s">
        <v>4142</v>
      </c>
      <c r="J1780" t="s">
        <v>32378</v>
      </c>
      <c r="K1780" t="s">
        <v>40284</v>
      </c>
      <c r="M1780" t="s">
        <v>41441</v>
      </c>
      <c r="N1780" t="s">
        <v>44759</v>
      </c>
      <c r="O1780" t="s">
        <v>44760</v>
      </c>
      <c r="P1780">
        <v>0</v>
      </c>
      <c r="Q1780">
        <v>1</v>
      </c>
      <c r="R1780" t="s">
        <v>44762</v>
      </c>
      <c r="S1780" t="s">
        <v>44863</v>
      </c>
      <c r="T1780" t="s">
        <v>46555</v>
      </c>
      <c r="U1780" t="s">
        <v>48505</v>
      </c>
      <c r="V1780" t="s">
        <v>59324</v>
      </c>
      <c r="W1780" t="s">
        <v>41441</v>
      </c>
      <c r="X1780" t="s">
        <v>44763</v>
      </c>
    </row>
    <row r="1781" spans="1:24">
      <c r="A1781">
        <f>HYPERLINK("https://www.philgeps.gov.ph/GEPSNONPILOT/Tender/SplashBidNoticeAbstractUI.aspx?menuIndex=3&amp;refID=7151208&amp;Result=3","7151208")</f>
        <v>0</v>
      </c>
      <c r="B1781" t="s">
        <v>824</v>
      </c>
      <c r="C1781" t="s">
        <v>5465</v>
      </c>
      <c r="D1781" t="s">
        <v>17962</v>
      </c>
      <c r="E1781" t="s">
        <v>19606</v>
      </c>
      <c r="F1781" t="s">
        <v>30900</v>
      </c>
      <c r="G1781" t="s">
        <v>30910</v>
      </c>
      <c r="H1781" t="s">
        <v>30916</v>
      </c>
      <c r="I1781" t="s">
        <v>4142</v>
      </c>
      <c r="J1781" t="s">
        <v>32379</v>
      </c>
      <c r="K1781" t="s">
        <v>40314</v>
      </c>
      <c r="M1781" t="s">
        <v>41396</v>
      </c>
      <c r="N1781" t="s">
        <v>44759</v>
      </c>
      <c r="O1781" t="s">
        <v>44760</v>
      </c>
      <c r="P1781">
        <v>0</v>
      </c>
      <c r="Q1781">
        <v>0</v>
      </c>
      <c r="R1781" t="s">
        <v>44762</v>
      </c>
      <c r="S1781" t="s">
        <v>44863</v>
      </c>
      <c r="T1781" t="s">
        <v>46363</v>
      </c>
      <c r="U1781" t="s">
        <v>48418</v>
      </c>
      <c r="W1781" t="s">
        <v>41396</v>
      </c>
      <c r="X1781" t="s">
        <v>44763</v>
      </c>
    </row>
    <row r="1782" spans="1:24">
      <c r="A1782">
        <f>HYPERLINK("https://www.philgeps.gov.ph/GEPSNONPILOT/Tender/SplashBidNoticeAbstractUI.aspx?menuIndex=3&amp;refID=7151215&amp;Result=3","7151215")</f>
        <v>0</v>
      </c>
      <c r="B1782" t="s">
        <v>832</v>
      </c>
      <c r="C1782" t="s">
        <v>5388</v>
      </c>
      <c r="D1782" t="s">
        <v>18025</v>
      </c>
      <c r="E1782" t="s">
        <v>19696</v>
      </c>
      <c r="F1782" t="s">
        <v>30900</v>
      </c>
      <c r="G1782" t="s">
        <v>30908</v>
      </c>
      <c r="H1782" t="s">
        <v>30916</v>
      </c>
      <c r="I1782" t="s">
        <v>30927</v>
      </c>
      <c r="J1782" t="s">
        <v>32106</v>
      </c>
      <c r="K1782" t="s">
        <v>40286</v>
      </c>
      <c r="M1782" t="s">
        <v>41405</v>
      </c>
      <c r="N1782" t="s">
        <v>44759</v>
      </c>
      <c r="O1782" t="s">
        <v>44760</v>
      </c>
      <c r="P1782">
        <v>0</v>
      </c>
      <c r="Q1782">
        <v>0</v>
      </c>
      <c r="R1782" t="s">
        <v>44762</v>
      </c>
      <c r="S1782" t="s">
        <v>44863</v>
      </c>
      <c r="T1782" t="s">
        <v>46383</v>
      </c>
      <c r="U1782" t="s">
        <v>48506</v>
      </c>
      <c r="V1782" t="s">
        <v>59315</v>
      </c>
      <c r="W1782" t="s">
        <v>41405</v>
      </c>
      <c r="X1782" t="s">
        <v>44763</v>
      </c>
    </row>
    <row r="1783" spans="1:24">
      <c r="A1783">
        <f>HYPERLINK("https://www.philgeps.gov.ph/GEPSNONPILOT/Tender/SplashBidNoticeAbstractUI.aspx?menuIndex=3&amp;refID=7151207&amp;Result=3","7151207")</f>
        <v>0</v>
      </c>
      <c r="B1783" t="s">
        <v>838</v>
      </c>
      <c r="C1783" t="s">
        <v>5466</v>
      </c>
      <c r="D1783" t="s">
        <v>17975</v>
      </c>
      <c r="E1783" t="s">
        <v>18366</v>
      </c>
      <c r="F1783" t="s">
        <v>30900</v>
      </c>
      <c r="G1783" t="s">
        <v>30907</v>
      </c>
      <c r="H1783" t="s">
        <v>30917</v>
      </c>
      <c r="I1783" t="s">
        <v>4142</v>
      </c>
      <c r="J1783" t="s">
        <v>31243</v>
      </c>
      <c r="K1783" t="s">
        <v>40284</v>
      </c>
      <c r="M1783" t="s">
        <v>41411</v>
      </c>
      <c r="N1783" t="s">
        <v>44759</v>
      </c>
      <c r="O1783" t="s">
        <v>44760</v>
      </c>
      <c r="P1783">
        <v>0</v>
      </c>
      <c r="Q1783">
        <v>1</v>
      </c>
      <c r="R1783" t="s">
        <v>44762</v>
      </c>
      <c r="S1783" t="s">
        <v>44863</v>
      </c>
      <c r="T1783" t="s">
        <v>46377</v>
      </c>
      <c r="U1783" t="s">
        <v>48507</v>
      </c>
      <c r="W1783" t="s">
        <v>41411</v>
      </c>
      <c r="X1783" t="s">
        <v>44763</v>
      </c>
    </row>
    <row r="1784" spans="1:24">
      <c r="A1784">
        <f>HYPERLINK("https://www.philgeps.gov.ph/GEPSNONPILOT/Tender/SplashBidNoticeAbstractUI.aspx?menuIndex=3&amp;refID=7151205&amp;Result=3","7151205")</f>
        <v>0</v>
      </c>
      <c r="B1784" t="s">
        <v>869</v>
      </c>
      <c r="C1784" t="s">
        <v>5467</v>
      </c>
      <c r="D1784" t="s">
        <v>17988</v>
      </c>
      <c r="E1784" t="s">
        <v>19697</v>
      </c>
      <c r="F1784" t="s">
        <v>30900</v>
      </c>
      <c r="G1784" t="s">
        <v>30907</v>
      </c>
      <c r="H1784" t="s">
        <v>30916</v>
      </c>
      <c r="I1784" t="s">
        <v>8123</v>
      </c>
      <c r="J1784" t="s">
        <v>32380</v>
      </c>
      <c r="K1784" t="s">
        <v>40283</v>
      </c>
      <c r="M1784" t="s">
        <v>41442</v>
      </c>
      <c r="N1784" t="s">
        <v>44759</v>
      </c>
      <c r="O1784" t="s">
        <v>44760</v>
      </c>
      <c r="P1784">
        <v>0</v>
      </c>
      <c r="Q1784">
        <v>0</v>
      </c>
      <c r="R1784" t="s">
        <v>44762</v>
      </c>
      <c r="S1784" t="s">
        <v>44863</v>
      </c>
      <c r="T1784" t="s">
        <v>46418</v>
      </c>
      <c r="U1784" t="s">
        <v>48508</v>
      </c>
      <c r="W1784" t="s">
        <v>41442</v>
      </c>
      <c r="X1784" t="s">
        <v>44763</v>
      </c>
    </row>
    <row r="1785" spans="1:24">
      <c r="A1785">
        <f>HYPERLINK("https://www.philgeps.gov.ph/GEPSNONPILOT/Tender/SplashBidNoticeAbstractUI.aspx?menuIndex=3&amp;refID=7151092&amp;Result=3","7151092")</f>
        <v>0</v>
      </c>
      <c r="B1785" t="s">
        <v>824</v>
      </c>
      <c r="C1785" t="s">
        <v>5468</v>
      </c>
      <c r="D1785" t="s">
        <v>17962</v>
      </c>
      <c r="E1785" t="s">
        <v>19606</v>
      </c>
      <c r="F1785" t="s">
        <v>30900</v>
      </c>
      <c r="G1785" t="s">
        <v>30908</v>
      </c>
      <c r="H1785" t="s">
        <v>30916</v>
      </c>
      <c r="I1785" t="s">
        <v>30961</v>
      </c>
      <c r="J1785" t="s">
        <v>32381</v>
      </c>
      <c r="K1785" t="s">
        <v>40286</v>
      </c>
      <c r="M1785" t="s">
        <v>41396</v>
      </c>
      <c r="N1785" t="s">
        <v>44759</v>
      </c>
      <c r="O1785" t="s">
        <v>44760</v>
      </c>
      <c r="P1785">
        <v>0</v>
      </c>
      <c r="Q1785">
        <v>6</v>
      </c>
      <c r="R1785" t="s">
        <v>44762</v>
      </c>
      <c r="S1785" t="s">
        <v>44863</v>
      </c>
      <c r="T1785" t="s">
        <v>46363</v>
      </c>
      <c r="U1785" t="s">
        <v>48418</v>
      </c>
      <c r="W1785" t="s">
        <v>41396</v>
      </c>
      <c r="X1785" t="s">
        <v>44763</v>
      </c>
    </row>
    <row r="1786" spans="1:24">
      <c r="A1786">
        <f>HYPERLINK("https://www.philgeps.gov.ph/GEPSNONPILOT/Tender/SplashBidNoticeAbstractUI.aspx?menuIndex=3&amp;refID=7151204&amp;Result=3","7151204")</f>
        <v>0</v>
      </c>
      <c r="B1786" t="s">
        <v>831</v>
      </c>
      <c r="C1786" t="s">
        <v>5469</v>
      </c>
      <c r="D1786" t="s">
        <v>17971</v>
      </c>
      <c r="E1786" t="s">
        <v>19698</v>
      </c>
      <c r="F1786" t="s">
        <v>30900</v>
      </c>
      <c r="G1786" t="s">
        <v>30908</v>
      </c>
      <c r="H1786" t="s">
        <v>30916</v>
      </c>
      <c r="I1786" t="s">
        <v>30921</v>
      </c>
      <c r="J1786" t="s">
        <v>31335</v>
      </c>
      <c r="K1786" t="s">
        <v>40286</v>
      </c>
      <c r="M1786" t="s">
        <v>41404</v>
      </c>
      <c r="N1786" t="s">
        <v>44759</v>
      </c>
      <c r="O1786" t="s">
        <v>44760</v>
      </c>
      <c r="P1786">
        <v>0</v>
      </c>
      <c r="Q1786">
        <v>0</v>
      </c>
      <c r="R1786" t="s">
        <v>44762</v>
      </c>
      <c r="S1786" t="s">
        <v>44863</v>
      </c>
      <c r="T1786" t="s">
        <v>46547</v>
      </c>
      <c r="U1786" t="s">
        <v>48431</v>
      </c>
      <c r="W1786" t="s">
        <v>60840</v>
      </c>
      <c r="X1786" t="s">
        <v>44763</v>
      </c>
    </row>
    <row r="1787" spans="1:24">
      <c r="A1787">
        <f>HYPERLINK("https://www.philgeps.gov.ph/GEPSNONPILOT/Tender/SplashBidNoticeAbstractUI.aspx?menuIndex=3&amp;refID=7151212&amp;Result=3","7151212")</f>
        <v>0</v>
      </c>
      <c r="B1787" t="s">
        <v>836</v>
      </c>
      <c r="C1787" t="s">
        <v>5470</v>
      </c>
      <c r="D1787" t="s">
        <v>17952</v>
      </c>
      <c r="E1787" t="s">
        <v>19699</v>
      </c>
      <c r="F1787" t="s">
        <v>30900</v>
      </c>
      <c r="G1787" t="s">
        <v>30908</v>
      </c>
      <c r="H1787" t="s">
        <v>30916</v>
      </c>
      <c r="I1787" t="s">
        <v>4545</v>
      </c>
      <c r="J1787" t="s">
        <v>31263</v>
      </c>
      <c r="K1787" t="s">
        <v>40286</v>
      </c>
      <c r="M1787" t="s">
        <v>41409</v>
      </c>
      <c r="N1787" t="s">
        <v>44759</v>
      </c>
      <c r="O1787" t="s">
        <v>44760</v>
      </c>
      <c r="P1787">
        <v>0</v>
      </c>
      <c r="Q1787">
        <v>5</v>
      </c>
      <c r="R1787" t="s">
        <v>44762</v>
      </c>
      <c r="S1787" t="s">
        <v>44863</v>
      </c>
      <c r="T1787" t="s">
        <v>46547</v>
      </c>
      <c r="U1787" t="s">
        <v>48509</v>
      </c>
      <c r="W1787" t="s">
        <v>41409</v>
      </c>
      <c r="X1787" t="s">
        <v>44763</v>
      </c>
    </row>
    <row r="1788" spans="1:24">
      <c r="A1788">
        <f>HYPERLINK("https://www.philgeps.gov.ph/GEPSNONPILOT/Tender/SplashBidNoticeAbstractUI.aspx?menuIndex=3&amp;refID=7151200&amp;Result=3","7151200")</f>
        <v>0</v>
      </c>
      <c r="B1788" t="s">
        <v>870</v>
      </c>
      <c r="C1788" t="s">
        <v>5471</v>
      </c>
      <c r="D1788" t="s">
        <v>17968</v>
      </c>
      <c r="E1788" t="s">
        <v>18993</v>
      </c>
      <c r="F1788" t="s">
        <v>30900</v>
      </c>
      <c r="G1788" t="s">
        <v>30908</v>
      </c>
      <c r="H1788" t="s">
        <v>30916</v>
      </c>
      <c r="I1788" t="s">
        <v>8365</v>
      </c>
      <c r="J1788" t="s">
        <v>32382</v>
      </c>
      <c r="K1788" t="s">
        <v>40287</v>
      </c>
      <c r="M1788" t="s">
        <v>41443</v>
      </c>
      <c r="N1788" t="s">
        <v>44759</v>
      </c>
      <c r="O1788" t="s">
        <v>44760</v>
      </c>
      <c r="P1788">
        <v>0</v>
      </c>
      <c r="Q1788">
        <v>2</v>
      </c>
      <c r="R1788" t="s">
        <v>44762</v>
      </c>
      <c r="S1788" t="s">
        <v>44863</v>
      </c>
      <c r="T1788" t="s">
        <v>46379</v>
      </c>
      <c r="U1788" t="s">
        <v>48510</v>
      </c>
      <c r="W1788" t="s">
        <v>41443</v>
      </c>
      <c r="X1788" t="s">
        <v>44763</v>
      </c>
    </row>
    <row r="1789" spans="1:24">
      <c r="A1789">
        <f>HYPERLINK("https://www.philgeps.gov.ph/GEPSNONPILOT/Tender/SplashBidNoticeAbstractUI.aspx?menuIndex=3&amp;refID=7151210&amp;Result=3","7151210")</f>
        <v>0</v>
      </c>
      <c r="B1789" t="s">
        <v>871</v>
      </c>
      <c r="C1789" t="s">
        <v>5472</v>
      </c>
      <c r="D1789" t="s">
        <v>18017</v>
      </c>
      <c r="E1789" t="s">
        <v>19700</v>
      </c>
      <c r="F1789" t="s">
        <v>30899</v>
      </c>
      <c r="G1789" t="s">
        <v>30908</v>
      </c>
      <c r="H1789" t="s">
        <v>30916</v>
      </c>
      <c r="I1789" t="s">
        <v>4545</v>
      </c>
      <c r="J1789" t="s">
        <v>32383</v>
      </c>
      <c r="K1789" t="s">
        <v>40286</v>
      </c>
      <c r="M1789" t="s">
        <v>41444</v>
      </c>
      <c r="N1789" t="s">
        <v>44759</v>
      </c>
      <c r="O1789" t="s">
        <v>44760</v>
      </c>
      <c r="P1789">
        <v>0</v>
      </c>
      <c r="Q1789">
        <v>4</v>
      </c>
      <c r="R1789" t="s">
        <v>44762</v>
      </c>
      <c r="S1789" t="s">
        <v>44863</v>
      </c>
      <c r="T1789" t="s">
        <v>46483</v>
      </c>
      <c r="U1789" t="s">
        <v>48511</v>
      </c>
      <c r="W1789" t="s">
        <v>41444</v>
      </c>
      <c r="X1789" t="s">
        <v>44763</v>
      </c>
    </row>
    <row r="1790" spans="1:24">
      <c r="A1790">
        <f>HYPERLINK("https://www.philgeps.gov.ph/GEPSNONPILOT/Tender/SplashBidNoticeAbstractUI.aspx?menuIndex=3&amp;refID=7151240&amp;Result=3","7151240")</f>
        <v>0</v>
      </c>
      <c r="B1790" t="s">
        <v>872</v>
      </c>
      <c r="C1790" t="s">
        <v>5473</v>
      </c>
      <c r="D1790" t="s">
        <v>17959</v>
      </c>
      <c r="E1790" t="s">
        <v>19701</v>
      </c>
      <c r="F1790" t="s">
        <v>30900</v>
      </c>
      <c r="G1790" t="s">
        <v>30908</v>
      </c>
      <c r="H1790" t="s">
        <v>30916</v>
      </c>
      <c r="I1790" t="s">
        <v>4108</v>
      </c>
      <c r="J1790" t="s">
        <v>32384</v>
      </c>
      <c r="K1790" t="s">
        <v>40283</v>
      </c>
      <c r="M1790" t="s">
        <v>41445</v>
      </c>
      <c r="N1790" t="s">
        <v>44759</v>
      </c>
      <c r="O1790" t="s">
        <v>44760</v>
      </c>
      <c r="P1790">
        <v>0</v>
      </c>
      <c r="Q1790">
        <v>6</v>
      </c>
      <c r="R1790" t="s">
        <v>44762</v>
      </c>
      <c r="S1790" t="s">
        <v>44863</v>
      </c>
      <c r="T1790" t="s">
        <v>46556</v>
      </c>
      <c r="U1790" t="s">
        <v>48512</v>
      </c>
      <c r="W1790" t="s">
        <v>41445</v>
      </c>
      <c r="X1790" t="s">
        <v>44763</v>
      </c>
    </row>
    <row r="1791" spans="1:24">
      <c r="A1791">
        <f>HYPERLINK("https://www.philgeps.gov.ph/GEPSNONPILOT/Tender/SplashBidNoticeAbstractUI.aspx?menuIndex=3&amp;refID=7151237&amp;Result=3","7151237")</f>
        <v>0</v>
      </c>
      <c r="B1791" t="s">
        <v>873</v>
      </c>
      <c r="C1791" t="s">
        <v>5474</v>
      </c>
      <c r="D1791" t="s">
        <v>17990</v>
      </c>
      <c r="E1791" t="s">
        <v>19702</v>
      </c>
      <c r="F1791" t="s">
        <v>30900</v>
      </c>
      <c r="G1791" t="s">
        <v>30908</v>
      </c>
      <c r="H1791" t="s">
        <v>30916</v>
      </c>
      <c r="I1791" t="s">
        <v>30942</v>
      </c>
      <c r="J1791" t="s">
        <v>32385</v>
      </c>
      <c r="K1791" t="s">
        <v>40286</v>
      </c>
      <c r="M1791" t="s">
        <v>41446</v>
      </c>
      <c r="N1791" t="s">
        <v>44759</v>
      </c>
      <c r="O1791" t="s">
        <v>44760</v>
      </c>
      <c r="P1791">
        <v>0</v>
      </c>
      <c r="Q1791">
        <v>0</v>
      </c>
      <c r="R1791" t="s">
        <v>44762</v>
      </c>
      <c r="S1791" t="s">
        <v>44863</v>
      </c>
      <c r="T1791" t="s">
        <v>46398</v>
      </c>
      <c r="U1791" t="s">
        <v>48513</v>
      </c>
      <c r="W1791" t="s">
        <v>60842</v>
      </c>
      <c r="X1791" t="s">
        <v>44763</v>
      </c>
    </row>
    <row r="1792" spans="1:24">
      <c r="A1792">
        <f>HYPERLINK("https://www.philgeps.gov.ph/GEPSNONPILOT/Tender/SplashBidNoticeAbstractUI.aspx?menuIndex=3&amp;refID=7151206&amp;Result=3","7151206")</f>
        <v>0</v>
      </c>
      <c r="B1792" t="s">
        <v>874</v>
      </c>
      <c r="C1792" t="s">
        <v>5475</v>
      </c>
      <c r="D1792" t="s">
        <v>17991</v>
      </c>
      <c r="E1792" t="s">
        <v>19703</v>
      </c>
      <c r="F1792" t="s">
        <v>30900</v>
      </c>
      <c r="G1792" t="s">
        <v>30907</v>
      </c>
      <c r="H1792" t="s">
        <v>30916</v>
      </c>
      <c r="I1792" t="s">
        <v>10834</v>
      </c>
      <c r="J1792" t="s">
        <v>31206</v>
      </c>
      <c r="K1792" t="s">
        <v>40283</v>
      </c>
      <c r="M1792" t="s">
        <v>41447</v>
      </c>
      <c r="N1792" t="s">
        <v>44759</v>
      </c>
      <c r="O1792" t="s">
        <v>44760</v>
      </c>
      <c r="P1792">
        <v>0</v>
      </c>
      <c r="Q1792">
        <v>0</v>
      </c>
      <c r="R1792" t="s">
        <v>44762</v>
      </c>
      <c r="S1792" t="s">
        <v>44863</v>
      </c>
      <c r="T1792" t="s">
        <v>46362</v>
      </c>
      <c r="U1792" t="s">
        <v>48514</v>
      </c>
      <c r="W1792" t="s">
        <v>41447</v>
      </c>
      <c r="X1792" t="s">
        <v>44763</v>
      </c>
    </row>
    <row r="1793" spans="1:24">
      <c r="A1793">
        <f>HYPERLINK("https://www.philgeps.gov.ph/GEPSNONPILOT/Tender/SplashBidNoticeAbstractUI.aspx?menuIndex=3&amp;refID=7151235&amp;Result=3","7151235")</f>
        <v>0</v>
      </c>
      <c r="B1793" t="s">
        <v>875</v>
      </c>
      <c r="C1793" t="s">
        <v>5476</v>
      </c>
      <c r="D1793" t="s">
        <v>17985</v>
      </c>
      <c r="E1793" t="s">
        <v>18194</v>
      </c>
      <c r="F1793" t="s">
        <v>30900</v>
      </c>
      <c r="G1793" t="s">
        <v>30908</v>
      </c>
      <c r="H1793" t="s">
        <v>30916</v>
      </c>
      <c r="I1793" t="s">
        <v>30923</v>
      </c>
      <c r="J1793" t="s">
        <v>32386</v>
      </c>
      <c r="K1793" t="s">
        <v>40284</v>
      </c>
      <c r="M1793" t="s">
        <v>41448</v>
      </c>
      <c r="N1793" t="s">
        <v>44759</v>
      </c>
      <c r="O1793" t="s">
        <v>44760</v>
      </c>
      <c r="P1793">
        <v>0</v>
      </c>
      <c r="Q1793">
        <v>0</v>
      </c>
      <c r="R1793" t="s">
        <v>44762</v>
      </c>
      <c r="S1793" t="s">
        <v>44863</v>
      </c>
      <c r="T1793" t="s">
        <v>46395</v>
      </c>
      <c r="U1793" t="s">
        <v>48515</v>
      </c>
      <c r="W1793" t="s">
        <v>41448</v>
      </c>
      <c r="X1793" t="s">
        <v>44763</v>
      </c>
    </row>
    <row r="1794" spans="1:24">
      <c r="A1794">
        <f>HYPERLINK("https://www.philgeps.gov.ph/GEPSNONPILOT/Tender/SplashBidNoticeAbstractUI.aspx?menuIndex=3&amp;refID=7151234&amp;Result=3","7151234")</f>
        <v>0</v>
      </c>
      <c r="B1794" t="s">
        <v>741</v>
      </c>
      <c r="C1794" t="s">
        <v>5477</v>
      </c>
      <c r="D1794" t="s">
        <v>17994</v>
      </c>
      <c r="E1794" t="s">
        <v>19704</v>
      </c>
      <c r="F1794" t="s">
        <v>30900</v>
      </c>
      <c r="G1794" t="s">
        <v>30908</v>
      </c>
      <c r="H1794" t="s">
        <v>30916</v>
      </c>
      <c r="I1794" t="s">
        <v>30932</v>
      </c>
      <c r="J1794" t="s">
        <v>32387</v>
      </c>
      <c r="K1794" t="s">
        <v>40285</v>
      </c>
      <c r="M1794" t="s">
        <v>41305</v>
      </c>
      <c r="N1794" t="s">
        <v>44759</v>
      </c>
      <c r="O1794" t="s">
        <v>44760</v>
      </c>
      <c r="P1794">
        <v>0</v>
      </c>
      <c r="Q1794">
        <v>0</v>
      </c>
      <c r="R1794" t="s">
        <v>44762</v>
      </c>
      <c r="S1794" t="s">
        <v>44863</v>
      </c>
      <c r="T1794" t="s">
        <v>46440</v>
      </c>
      <c r="U1794" t="s">
        <v>48516</v>
      </c>
      <c r="V1794" t="s">
        <v>59200</v>
      </c>
      <c r="W1794" t="s">
        <v>41305</v>
      </c>
      <c r="X1794" t="s">
        <v>44763</v>
      </c>
    </row>
    <row r="1795" spans="1:24">
      <c r="A1795">
        <f>HYPERLINK("https://www.philgeps.gov.ph/GEPSNONPILOT/Tender/SplashBidNoticeAbstractUI.aspx?menuIndex=3&amp;refID=7151232&amp;Result=3","7151232")</f>
        <v>0</v>
      </c>
      <c r="B1795" t="s">
        <v>858</v>
      </c>
      <c r="C1795" t="s">
        <v>5478</v>
      </c>
      <c r="D1795" t="s">
        <v>17977</v>
      </c>
      <c r="E1795" t="s">
        <v>19705</v>
      </c>
      <c r="F1795" t="s">
        <v>30900</v>
      </c>
      <c r="G1795" t="s">
        <v>30908</v>
      </c>
      <c r="H1795" t="s">
        <v>30916</v>
      </c>
      <c r="I1795" t="s">
        <v>5501</v>
      </c>
      <c r="J1795" t="s">
        <v>32388</v>
      </c>
      <c r="K1795" t="s">
        <v>40289</v>
      </c>
      <c r="M1795" t="s">
        <v>41431</v>
      </c>
      <c r="N1795" t="s">
        <v>44759</v>
      </c>
      <c r="O1795" t="s">
        <v>44760</v>
      </c>
      <c r="P1795">
        <v>0</v>
      </c>
      <c r="Q1795">
        <v>2</v>
      </c>
      <c r="R1795" t="s">
        <v>44762</v>
      </c>
      <c r="S1795" t="s">
        <v>44863</v>
      </c>
      <c r="T1795" t="s">
        <v>46410</v>
      </c>
      <c r="U1795" t="s">
        <v>48484</v>
      </c>
      <c r="W1795" t="s">
        <v>41431</v>
      </c>
      <c r="X1795" t="s">
        <v>44763</v>
      </c>
    </row>
    <row r="1796" spans="1:24">
      <c r="A1796">
        <f>HYPERLINK("https://www.philgeps.gov.ph/GEPSNONPILOT/Tender/SplashBidNoticeAbstractUI.aspx?menuIndex=3&amp;refID=7151202&amp;Result=3","7151202")</f>
        <v>0</v>
      </c>
      <c r="B1796" t="s">
        <v>858</v>
      </c>
      <c r="C1796" t="s">
        <v>5479</v>
      </c>
      <c r="D1796" t="s">
        <v>17977</v>
      </c>
      <c r="E1796" t="s">
        <v>19706</v>
      </c>
      <c r="F1796" t="s">
        <v>30900</v>
      </c>
      <c r="G1796" t="s">
        <v>30908</v>
      </c>
      <c r="H1796" t="s">
        <v>30916</v>
      </c>
      <c r="I1796" t="s">
        <v>10847</v>
      </c>
      <c r="J1796" t="s">
        <v>32389</v>
      </c>
      <c r="K1796" t="s">
        <v>40289</v>
      </c>
      <c r="M1796" t="s">
        <v>41431</v>
      </c>
      <c r="N1796" t="s">
        <v>44759</v>
      </c>
      <c r="O1796" t="s">
        <v>44760</v>
      </c>
      <c r="P1796">
        <v>0</v>
      </c>
      <c r="Q1796">
        <v>1</v>
      </c>
      <c r="R1796" t="s">
        <v>44762</v>
      </c>
      <c r="S1796" t="s">
        <v>44863</v>
      </c>
      <c r="T1796" t="s">
        <v>46410</v>
      </c>
      <c r="U1796" t="s">
        <v>48484</v>
      </c>
      <c r="W1796" t="s">
        <v>41431</v>
      </c>
      <c r="X1796" t="s">
        <v>44763</v>
      </c>
    </row>
    <row r="1797" spans="1:24">
      <c r="A1797">
        <f>HYPERLINK("https://www.philgeps.gov.ph/GEPSNONPILOT/Tender/SplashBidNoticeAbstractUI.aspx?menuIndex=3&amp;refID=7151239&amp;Result=3","7151239")</f>
        <v>0</v>
      </c>
      <c r="B1797" t="s">
        <v>876</v>
      </c>
      <c r="C1797" t="s">
        <v>5480</v>
      </c>
      <c r="D1797" t="s">
        <v>17981</v>
      </c>
      <c r="E1797" t="s">
        <v>19089</v>
      </c>
      <c r="F1797" t="s">
        <v>30900</v>
      </c>
      <c r="G1797" t="s">
        <v>30910</v>
      </c>
      <c r="H1797" t="s">
        <v>30916</v>
      </c>
      <c r="I1797" t="s">
        <v>4545</v>
      </c>
      <c r="J1797" t="s">
        <v>31355</v>
      </c>
      <c r="K1797" t="s">
        <v>40285</v>
      </c>
      <c r="M1797" t="s">
        <v>41449</v>
      </c>
      <c r="N1797" t="s">
        <v>44759</v>
      </c>
      <c r="O1797" t="s">
        <v>44760</v>
      </c>
      <c r="P1797">
        <v>0</v>
      </c>
      <c r="Q1797">
        <v>2</v>
      </c>
      <c r="R1797" t="s">
        <v>44762</v>
      </c>
      <c r="S1797" t="s">
        <v>44863</v>
      </c>
      <c r="T1797" t="s">
        <v>46414</v>
      </c>
      <c r="U1797" t="s">
        <v>48517</v>
      </c>
      <c r="V1797" t="s">
        <v>59325</v>
      </c>
      <c r="W1797" t="s">
        <v>41449</v>
      </c>
      <c r="X1797" t="s">
        <v>44763</v>
      </c>
    </row>
    <row r="1798" spans="1:24">
      <c r="A1798">
        <f>HYPERLINK("https://www.philgeps.gov.ph/GEPSNONPILOT/Tender/SplashBidNoticeAbstractUI.aspx?menuIndex=3&amp;refID=7151238&amp;Result=3","7151238")</f>
        <v>0</v>
      </c>
      <c r="B1798" t="s">
        <v>877</v>
      </c>
      <c r="C1798" t="s">
        <v>5481</v>
      </c>
      <c r="D1798" t="s">
        <v>18023</v>
      </c>
      <c r="E1798" t="s">
        <v>19707</v>
      </c>
      <c r="F1798" t="s">
        <v>30900</v>
      </c>
      <c r="G1798" t="s">
        <v>30908</v>
      </c>
      <c r="H1798" t="s">
        <v>30916</v>
      </c>
      <c r="I1798" t="s">
        <v>4545</v>
      </c>
      <c r="J1798" t="s">
        <v>32390</v>
      </c>
      <c r="K1798" t="s">
        <v>40286</v>
      </c>
      <c r="M1798" t="s">
        <v>41450</v>
      </c>
      <c r="N1798" t="s">
        <v>44759</v>
      </c>
      <c r="O1798" t="s">
        <v>44760</v>
      </c>
      <c r="P1798">
        <v>0</v>
      </c>
      <c r="Q1798">
        <v>0</v>
      </c>
      <c r="R1798" t="s">
        <v>44762</v>
      </c>
      <c r="S1798" t="s">
        <v>44863</v>
      </c>
      <c r="T1798" t="s">
        <v>46414</v>
      </c>
      <c r="U1798" t="s">
        <v>48518</v>
      </c>
      <c r="W1798" t="s">
        <v>41450</v>
      </c>
      <c r="X1798" t="s">
        <v>44763</v>
      </c>
    </row>
    <row r="1799" spans="1:24">
      <c r="A1799">
        <f>HYPERLINK("https://www.philgeps.gov.ph/GEPSNONPILOT/Tender/SplashBidNoticeAbstractUI.aspx?menuIndex=3&amp;refID=7151227&amp;Result=3","7151227")</f>
        <v>0</v>
      </c>
      <c r="B1799" t="s">
        <v>840</v>
      </c>
      <c r="C1799" t="s">
        <v>5482</v>
      </c>
      <c r="D1799" t="s">
        <v>17954</v>
      </c>
      <c r="E1799" t="s">
        <v>19708</v>
      </c>
      <c r="F1799" t="s">
        <v>30900</v>
      </c>
      <c r="G1799" t="s">
        <v>30907</v>
      </c>
      <c r="H1799" t="s">
        <v>30915</v>
      </c>
      <c r="I1799" t="s">
        <v>30919</v>
      </c>
      <c r="J1799" t="s">
        <v>32391</v>
      </c>
      <c r="K1799" t="s">
        <v>40354</v>
      </c>
      <c r="M1799" t="s">
        <v>41413</v>
      </c>
      <c r="N1799" t="s">
        <v>44759</v>
      </c>
      <c r="O1799" t="s">
        <v>44760</v>
      </c>
      <c r="P1799">
        <v>0</v>
      </c>
      <c r="Q1799">
        <v>4</v>
      </c>
      <c r="R1799" t="s">
        <v>44762</v>
      </c>
      <c r="S1799" t="s">
        <v>44863</v>
      </c>
      <c r="T1799" t="s">
        <v>46380</v>
      </c>
      <c r="U1799" t="s">
        <v>48443</v>
      </c>
      <c r="W1799" t="s">
        <v>41413</v>
      </c>
      <c r="X1799" t="s">
        <v>44763</v>
      </c>
    </row>
    <row r="1800" spans="1:24">
      <c r="A1800">
        <f>HYPERLINK("https://www.philgeps.gov.ph/GEPSNONPILOT/Tender/SplashBidNoticeAbstractUI.aspx?menuIndex=3&amp;refID=7151180&amp;Result=3","7151180")</f>
        <v>0</v>
      </c>
      <c r="B1800" t="s">
        <v>858</v>
      </c>
      <c r="C1800" t="s">
        <v>5483</v>
      </c>
      <c r="D1800" t="s">
        <v>17977</v>
      </c>
      <c r="E1800" t="s">
        <v>19709</v>
      </c>
      <c r="F1800" t="s">
        <v>30900</v>
      </c>
      <c r="G1800" t="s">
        <v>30908</v>
      </c>
      <c r="H1800" t="s">
        <v>30916</v>
      </c>
      <c r="I1800" t="s">
        <v>10847</v>
      </c>
      <c r="J1800" t="s">
        <v>32392</v>
      </c>
      <c r="K1800" t="s">
        <v>40289</v>
      </c>
      <c r="M1800" t="s">
        <v>41431</v>
      </c>
      <c r="N1800" t="s">
        <v>44759</v>
      </c>
      <c r="O1800" t="s">
        <v>44760</v>
      </c>
      <c r="P1800">
        <v>0</v>
      </c>
      <c r="Q1800">
        <v>1</v>
      </c>
      <c r="R1800" t="s">
        <v>44762</v>
      </c>
      <c r="S1800" t="s">
        <v>44863</v>
      </c>
      <c r="T1800" t="s">
        <v>46410</v>
      </c>
      <c r="U1800" t="s">
        <v>48484</v>
      </c>
      <c r="W1800" t="s">
        <v>41431</v>
      </c>
      <c r="X1800" t="s">
        <v>44763</v>
      </c>
    </row>
    <row r="1801" spans="1:24">
      <c r="A1801">
        <f>HYPERLINK("https://www.philgeps.gov.ph/GEPSNONPILOT/Tender/SplashBidNoticeAbstractUI.aspx?menuIndex=3&amp;refID=7151225&amp;Result=3","7151225")</f>
        <v>0</v>
      </c>
      <c r="B1801" t="s">
        <v>878</v>
      </c>
      <c r="C1801" t="s">
        <v>5484</v>
      </c>
      <c r="D1801" t="s">
        <v>17978</v>
      </c>
      <c r="E1801" t="s">
        <v>19710</v>
      </c>
      <c r="F1801" t="s">
        <v>30900</v>
      </c>
      <c r="G1801" t="s">
        <v>30909</v>
      </c>
      <c r="H1801" t="s">
        <v>30916</v>
      </c>
      <c r="I1801" t="s">
        <v>4142</v>
      </c>
      <c r="J1801" t="s">
        <v>32393</v>
      </c>
      <c r="K1801" t="s">
        <v>40286</v>
      </c>
      <c r="M1801" t="s">
        <v>41451</v>
      </c>
      <c r="N1801" t="s">
        <v>44759</v>
      </c>
      <c r="O1801" t="s">
        <v>44760</v>
      </c>
      <c r="P1801">
        <v>0</v>
      </c>
      <c r="Q1801">
        <v>1</v>
      </c>
      <c r="R1801" t="s">
        <v>44762</v>
      </c>
      <c r="S1801" t="s">
        <v>44863</v>
      </c>
      <c r="T1801" t="s">
        <v>46383</v>
      </c>
      <c r="U1801" t="s">
        <v>47412</v>
      </c>
      <c r="W1801" t="s">
        <v>41451</v>
      </c>
      <c r="X1801" t="s">
        <v>44763</v>
      </c>
    </row>
    <row r="1802" spans="1:24">
      <c r="A1802">
        <f>HYPERLINK("https://www.philgeps.gov.ph/GEPSNONPILOT/Tender/SplashBidNoticeAbstractUI.aspx?menuIndex=3&amp;refID=7151243&amp;Result=3","7151243")</f>
        <v>0</v>
      </c>
      <c r="B1802" t="s">
        <v>740</v>
      </c>
      <c r="C1802" t="s">
        <v>5485</v>
      </c>
      <c r="D1802" t="s">
        <v>17974</v>
      </c>
      <c r="E1802" t="s">
        <v>19711</v>
      </c>
      <c r="F1802" t="s">
        <v>30900</v>
      </c>
      <c r="G1802" t="s">
        <v>30907</v>
      </c>
      <c r="H1802" t="s">
        <v>30916</v>
      </c>
      <c r="I1802" t="s">
        <v>30949</v>
      </c>
      <c r="J1802" t="s">
        <v>31105</v>
      </c>
      <c r="K1802" t="s">
        <v>40286</v>
      </c>
      <c r="M1802" t="s">
        <v>41304</v>
      </c>
      <c r="N1802" t="s">
        <v>44759</v>
      </c>
      <c r="O1802" t="s">
        <v>44760</v>
      </c>
      <c r="P1802">
        <v>0</v>
      </c>
      <c r="Q1802">
        <v>0</v>
      </c>
      <c r="R1802" t="s">
        <v>44762</v>
      </c>
      <c r="S1802" t="s">
        <v>44863</v>
      </c>
      <c r="T1802" t="s">
        <v>46350</v>
      </c>
      <c r="U1802" t="s">
        <v>48519</v>
      </c>
      <c r="W1802" t="s">
        <v>41304</v>
      </c>
      <c r="X1802" t="s">
        <v>44763</v>
      </c>
    </row>
    <row r="1803" spans="1:24">
      <c r="A1803">
        <f>HYPERLINK("https://www.philgeps.gov.ph/GEPSNONPILOT/Tender/SplashBidNoticeAbstractUI.aspx?menuIndex=3&amp;refID=7151230&amp;Result=3","7151230")</f>
        <v>0</v>
      </c>
      <c r="B1803" t="s">
        <v>461</v>
      </c>
      <c r="C1803" t="s">
        <v>5486</v>
      </c>
      <c r="D1803" t="s">
        <v>17977</v>
      </c>
      <c r="E1803" t="s">
        <v>19712</v>
      </c>
      <c r="F1803" t="s">
        <v>30900</v>
      </c>
      <c r="G1803" t="s">
        <v>30908</v>
      </c>
      <c r="H1803" t="s">
        <v>30916</v>
      </c>
      <c r="I1803" t="s">
        <v>30944</v>
      </c>
      <c r="J1803" t="s">
        <v>32394</v>
      </c>
      <c r="K1803" t="s">
        <v>40289</v>
      </c>
      <c r="M1803" t="s">
        <v>41019</v>
      </c>
      <c r="N1803" t="s">
        <v>44759</v>
      </c>
      <c r="O1803" t="s">
        <v>44760</v>
      </c>
      <c r="P1803">
        <v>0</v>
      </c>
      <c r="Q1803">
        <v>0</v>
      </c>
      <c r="R1803" t="s">
        <v>44762</v>
      </c>
      <c r="S1803" t="s">
        <v>44863</v>
      </c>
      <c r="T1803" t="s">
        <v>46404</v>
      </c>
      <c r="U1803" t="s">
        <v>48520</v>
      </c>
      <c r="W1803" t="s">
        <v>41019</v>
      </c>
      <c r="X1803" t="s">
        <v>44763</v>
      </c>
    </row>
    <row r="1804" spans="1:24">
      <c r="A1804">
        <f>HYPERLINK("https://www.philgeps.gov.ph/GEPSNONPILOT/Tender/SplashBidNoticeAbstractUI.aspx?menuIndex=3&amp;refID=7151228&amp;Result=3","7151228")</f>
        <v>0</v>
      </c>
      <c r="B1804" t="s">
        <v>879</v>
      </c>
      <c r="C1804" t="s">
        <v>5487</v>
      </c>
      <c r="D1804" t="s">
        <v>18003</v>
      </c>
      <c r="E1804" t="s">
        <v>19713</v>
      </c>
      <c r="F1804" t="s">
        <v>30900</v>
      </c>
      <c r="G1804" t="s">
        <v>30908</v>
      </c>
      <c r="H1804" t="s">
        <v>30916</v>
      </c>
      <c r="I1804" t="s">
        <v>30921</v>
      </c>
      <c r="J1804" t="s">
        <v>31284</v>
      </c>
      <c r="K1804" t="s">
        <v>40294</v>
      </c>
      <c r="M1804" t="s">
        <v>41452</v>
      </c>
      <c r="N1804" t="s">
        <v>44759</v>
      </c>
      <c r="O1804" t="s">
        <v>44760</v>
      </c>
      <c r="P1804">
        <v>0</v>
      </c>
      <c r="Q1804">
        <v>0</v>
      </c>
      <c r="R1804" t="s">
        <v>44762</v>
      </c>
      <c r="S1804" t="s">
        <v>44863</v>
      </c>
      <c r="T1804" t="s">
        <v>46383</v>
      </c>
      <c r="U1804" t="s">
        <v>48521</v>
      </c>
      <c r="W1804" t="s">
        <v>41452</v>
      </c>
      <c r="X1804" t="s">
        <v>44763</v>
      </c>
    </row>
    <row r="1805" spans="1:24">
      <c r="A1805">
        <f>HYPERLINK("https://www.philgeps.gov.ph/GEPSNONPILOT/Tender/SplashBidNoticeAbstractUI.aspx?menuIndex=3&amp;refID=7151265&amp;Result=3","7151265")</f>
        <v>0</v>
      </c>
      <c r="B1805" t="s">
        <v>781</v>
      </c>
      <c r="C1805" t="s">
        <v>5488</v>
      </c>
      <c r="D1805" t="s">
        <v>17959</v>
      </c>
      <c r="E1805" t="s">
        <v>19714</v>
      </c>
      <c r="F1805" t="s">
        <v>30900</v>
      </c>
      <c r="G1805" t="s">
        <v>30909</v>
      </c>
      <c r="H1805" t="s">
        <v>30916</v>
      </c>
      <c r="I1805" t="s">
        <v>30923</v>
      </c>
      <c r="J1805" t="s">
        <v>32395</v>
      </c>
      <c r="K1805" t="s">
        <v>40284</v>
      </c>
      <c r="M1805" t="s">
        <v>41350</v>
      </c>
      <c r="N1805" t="s">
        <v>44759</v>
      </c>
      <c r="O1805" t="s">
        <v>44760</v>
      </c>
      <c r="P1805">
        <v>0</v>
      </c>
      <c r="Q1805">
        <v>1</v>
      </c>
      <c r="R1805" t="s">
        <v>44762</v>
      </c>
      <c r="S1805" t="s">
        <v>44863</v>
      </c>
      <c r="T1805" t="s">
        <v>46391</v>
      </c>
      <c r="U1805" t="s">
        <v>48522</v>
      </c>
      <c r="W1805" t="s">
        <v>41350</v>
      </c>
      <c r="X1805" t="s">
        <v>44763</v>
      </c>
    </row>
    <row r="1806" spans="1:24">
      <c r="A1806">
        <f>HYPERLINK("https://www.philgeps.gov.ph/GEPSNONPILOT/Tender/SplashBidNoticeAbstractUI.aspx?menuIndex=3&amp;refID=7151091&amp;Result=3","7151091")</f>
        <v>0</v>
      </c>
      <c r="B1806" t="s">
        <v>781</v>
      </c>
      <c r="C1806" t="s">
        <v>5489</v>
      </c>
      <c r="D1806" t="s">
        <v>17959</v>
      </c>
      <c r="E1806" t="s">
        <v>19715</v>
      </c>
      <c r="F1806" t="s">
        <v>30900</v>
      </c>
      <c r="G1806" t="s">
        <v>30909</v>
      </c>
      <c r="H1806" t="s">
        <v>30916</v>
      </c>
      <c r="I1806" t="s">
        <v>30923</v>
      </c>
      <c r="J1806" t="s">
        <v>32396</v>
      </c>
      <c r="K1806" t="s">
        <v>40284</v>
      </c>
      <c r="M1806" t="s">
        <v>41350</v>
      </c>
      <c r="N1806" t="s">
        <v>44759</v>
      </c>
      <c r="O1806" t="s">
        <v>44760</v>
      </c>
      <c r="P1806">
        <v>0</v>
      </c>
      <c r="Q1806">
        <v>1</v>
      </c>
      <c r="R1806" t="s">
        <v>44762</v>
      </c>
      <c r="S1806" t="s">
        <v>44863</v>
      </c>
      <c r="T1806" t="s">
        <v>46516</v>
      </c>
      <c r="U1806" t="s">
        <v>48523</v>
      </c>
      <c r="W1806" t="s">
        <v>41350</v>
      </c>
      <c r="X1806" t="s">
        <v>44763</v>
      </c>
    </row>
    <row r="1807" spans="1:24">
      <c r="A1807">
        <f>HYPERLINK("https://www.philgeps.gov.ph/GEPSNONPILOT/Tender/SplashBidNoticeAbstractUI.aspx?menuIndex=3&amp;refID=7151264&amp;Result=3","7151264")</f>
        <v>0</v>
      </c>
      <c r="B1807" t="s">
        <v>880</v>
      </c>
      <c r="C1807" t="s">
        <v>5490</v>
      </c>
      <c r="D1807" t="s">
        <v>17959</v>
      </c>
      <c r="E1807" t="s">
        <v>19716</v>
      </c>
      <c r="F1807" t="s">
        <v>30900</v>
      </c>
      <c r="G1807" t="s">
        <v>30908</v>
      </c>
      <c r="H1807" t="s">
        <v>30916</v>
      </c>
      <c r="I1807" t="s">
        <v>30924</v>
      </c>
      <c r="J1807" t="s">
        <v>32397</v>
      </c>
      <c r="K1807" t="s">
        <v>40287</v>
      </c>
      <c r="M1807" t="s">
        <v>41453</v>
      </c>
      <c r="N1807" t="s">
        <v>44759</v>
      </c>
      <c r="O1807" t="s">
        <v>44760</v>
      </c>
      <c r="P1807">
        <v>0</v>
      </c>
      <c r="Q1807">
        <v>8</v>
      </c>
      <c r="R1807" t="s">
        <v>44762</v>
      </c>
      <c r="S1807" t="s">
        <v>44863</v>
      </c>
      <c r="T1807" t="s">
        <v>46424</v>
      </c>
      <c r="U1807" t="s">
        <v>48524</v>
      </c>
      <c r="W1807" t="s">
        <v>41453</v>
      </c>
      <c r="X1807" t="s">
        <v>44763</v>
      </c>
    </row>
    <row r="1808" spans="1:24">
      <c r="A1808">
        <f>HYPERLINK("https://www.philgeps.gov.ph/GEPSNONPILOT/Tender/SplashBidNoticeAbstractUI.aspx?menuIndex=3&amp;refID=7151260&amp;Result=3","7151260")</f>
        <v>0</v>
      </c>
      <c r="B1808" t="s">
        <v>793</v>
      </c>
      <c r="C1808" t="s">
        <v>5491</v>
      </c>
      <c r="D1808" t="s">
        <v>18017</v>
      </c>
      <c r="E1808" t="s">
        <v>19717</v>
      </c>
      <c r="F1808" t="s">
        <v>30900</v>
      </c>
      <c r="G1808" t="s">
        <v>30907</v>
      </c>
      <c r="H1808" t="s">
        <v>30916</v>
      </c>
      <c r="I1808" t="s">
        <v>6396</v>
      </c>
      <c r="J1808" t="s">
        <v>32398</v>
      </c>
      <c r="K1808" t="s">
        <v>40286</v>
      </c>
      <c r="M1808" t="s">
        <v>41362</v>
      </c>
      <c r="N1808" t="s">
        <v>44759</v>
      </c>
      <c r="O1808" t="s">
        <v>44760</v>
      </c>
      <c r="P1808">
        <v>0</v>
      </c>
      <c r="Q1808">
        <v>1</v>
      </c>
      <c r="R1808" t="s">
        <v>44762</v>
      </c>
      <c r="S1808" t="s">
        <v>44863</v>
      </c>
      <c r="T1808" t="s">
        <v>46405</v>
      </c>
      <c r="U1808" t="s">
        <v>48340</v>
      </c>
      <c r="W1808" t="s">
        <v>41362</v>
      </c>
      <c r="X1808" t="s">
        <v>44763</v>
      </c>
    </row>
    <row r="1809" spans="1:24">
      <c r="A1809">
        <f>HYPERLINK("https://www.philgeps.gov.ph/GEPSNONPILOT/Tender/SplashBidNoticeAbstractUI.aspx?menuIndex=3&amp;refID=7151224&amp;Result=3","7151224")</f>
        <v>0</v>
      </c>
      <c r="B1809" t="s">
        <v>881</v>
      </c>
      <c r="C1809" t="s">
        <v>5492</v>
      </c>
      <c r="D1809" t="s">
        <v>17993</v>
      </c>
      <c r="E1809" t="s">
        <v>19718</v>
      </c>
      <c r="F1809" t="s">
        <v>30900</v>
      </c>
      <c r="G1809" t="s">
        <v>30909</v>
      </c>
      <c r="H1809" t="s">
        <v>30916</v>
      </c>
      <c r="I1809" t="s">
        <v>30943</v>
      </c>
      <c r="J1809" t="s">
        <v>32399</v>
      </c>
      <c r="K1809" t="s">
        <v>40287</v>
      </c>
      <c r="M1809" t="s">
        <v>41454</v>
      </c>
      <c r="N1809" t="s">
        <v>44759</v>
      </c>
      <c r="O1809" t="s">
        <v>44760</v>
      </c>
      <c r="P1809">
        <v>0</v>
      </c>
      <c r="Q1809">
        <v>1</v>
      </c>
      <c r="R1809" t="s">
        <v>44762</v>
      </c>
      <c r="S1809" t="s">
        <v>44863</v>
      </c>
      <c r="T1809" t="s">
        <v>46410</v>
      </c>
      <c r="U1809" t="s">
        <v>48525</v>
      </c>
      <c r="W1809" t="s">
        <v>41454</v>
      </c>
      <c r="X1809" t="s">
        <v>44763</v>
      </c>
    </row>
    <row r="1810" spans="1:24">
      <c r="A1810">
        <f>HYPERLINK("https://www.philgeps.gov.ph/GEPSNONPILOT/Tender/SplashBidNoticeAbstractUI.aspx?menuIndex=3&amp;refID=7151259&amp;Result=3","7151259")</f>
        <v>0</v>
      </c>
      <c r="B1810" t="s">
        <v>882</v>
      </c>
      <c r="C1810" t="s">
        <v>5493</v>
      </c>
      <c r="D1810" t="s">
        <v>18001</v>
      </c>
      <c r="E1810" t="s">
        <v>19719</v>
      </c>
      <c r="F1810" t="s">
        <v>30900</v>
      </c>
      <c r="G1810" t="s">
        <v>30908</v>
      </c>
      <c r="H1810" t="s">
        <v>30916</v>
      </c>
      <c r="I1810" t="s">
        <v>4108</v>
      </c>
      <c r="J1810" t="s">
        <v>32028</v>
      </c>
      <c r="K1810" t="s">
        <v>40284</v>
      </c>
      <c r="M1810" t="s">
        <v>41455</v>
      </c>
      <c r="N1810" t="s">
        <v>44759</v>
      </c>
      <c r="O1810" t="s">
        <v>44760</v>
      </c>
      <c r="P1810">
        <v>0</v>
      </c>
      <c r="Q1810">
        <v>4</v>
      </c>
      <c r="R1810" t="s">
        <v>44762</v>
      </c>
      <c r="S1810" t="s">
        <v>44863</v>
      </c>
      <c r="T1810" t="s">
        <v>46410</v>
      </c>
      <c r="U1810" t="s">
        <v>48526</v>
      </c>
      <c r="W1810" t="s">
        <v>41455</v>
      </c>
      <c r="X1810" t="s">
        <v>44763</v>
      </c>
    </row>
    <row r="1811" spans="1:24">
      <c r="A1811">
        <f>HYPERLINK("https://www.philgeps.gov.ph/GEPSNONPILOT/Tender/SplashBidNoticeAbstractUI.aspx?menuIndex=3&amp;refID=7151229&amp;Result=3","7151229")</f>
        <v>0</v>
      </c>
      <c r="B1811" t="s">
        <v>781</v>
      </c>
      <c r="C1811" t="s">
        <v>5494</v>
      </c>
      <c r="D1811" t="s">
        <v>17959</v>
      </c>
      <c r="E1811" t="s">
        <v>19720</v>
      </c>
      <c r="F1811" t="s">
        <v>30900</v>
      </c>
      <c r="G1811" t="s">
        <v>30909</v>
      </c>
      <c r="H1811" t="s">
        <v>30916</v>
      </c>
      <c r="I1811" t="s">
        <v>30923</v>
      </c>
      <c r="J1811" t="s">
        <v>32400</v>
      </c>
      <c r="K1811" t="s">
        <v>40284</v>
      </c>
      <c r="M1811" t="s">
        <v>41350</v>
      </c>
      <c r="N1811" t="s">
        <v>44759</v>
      </c>
      <c r="O1811" t="s">
        <v>44760</v>
      </c>
      <c r="P1811">
        <v>0</v>
      </c>
      <c r="Q1811">
        <v>5</v>
      </c>
      <c r="R1811" t="s">
        <v>44762</v>
      </c>
      <c r="S1811" t="s">
        <v>44863</v>
      </c>
      <c r="T1811" t="s">
        <v>46391</v>
      </c>
      <c r="U1811" t="s">
        <v>48527</v>
      </c>
      <c r="W1811" t="s">
        <v>41350</v>
      </c>
      <c r="X1811" t="s">
        <v>44763</v>
      </c>
    </row>
    <row r="1812" spans="1:24">
      <c r="A1812">
        <f>HYPERLINK("https://www.philgeps.gov.ph/GEPSNONPILOT/Tender/SplashBidNoticeAbstractUI.aspx?menuIndex=3&amp;refID=7151254&amp;Result=3","7151254")</f>
        <v>0</v>
      </c>
      <c r="B1812" t="s">
        <v>883</v>
      </c>
      <c r="C1812" t="s">
        <v>5495</v>
      </c>
      <c r="D1812" t="s">
        <v>17951</v>
      </c>
      <c r="E1812" t="s">
        <v>19721</v>
      </c>
      <c r="F1812" t="s">
        <v>30900</v>
      </c>
      <c r="G1812" t="s">
        <v>30909</v>
      </c>
      <c r="H1812" t="s">
        <v>30916</v>
      </c>
      <c r="I1812" t="s">
        <v>4545</v>
      </c>
      <c r="J1812" t="s">
        <v>32401</v>
      </c>
      <c r="K1812" t="s">
        <v>40286</v>
      </c>
      <c r="M1812" t="s">
        <v>41456</v>
      </c>
      <c r="N1812" t="s">
        <v>44759</v>
      </c>
      <c r="O1812" t="s">
        <v>44760</v>
      </c>
      <c r="P1812">
        <v>0</v>
      </c>
      <c r="Q1812">
        <v>0</v>
      </c>
      <c r="R1812" t="s">
        <v>44762</v>
      </c>
      <c r="S1812" t="s">
        <v>44863</v>
      </c>
      <c r="T1812" t="s">
        <v>46363</v>
      </c>
      <c r="U1812" t="s">
        <v>48528</v>
      </c>
      <c r="W1812" t="s">
        <v>41456</v>
      </c>
      <c r="X1812" t="s">
        <v>44763</v>
      </c>
    </row>
    <row r="1813" spans="1:24">
      <c r="A1813">
        <f>HYPERLINK("https://www.philgeps.gov.ph/GEPSNONPILOT/Tender/SplashBidNoticeAbstractUI.aspx?menuIndex=3&amp;refID=7151253&amp;Result=3","7151253")</f>
        <v>0</v>
      </c>
      <c r="B1813" t="s">
        <v>884</v>
      </c>
      <c r="C1813" t="s">
        <v>5496</v>
      </c>
      <c r="D1813" t="s">
        <v>17957</v>
      </c>
      <c r="E1813" t="s">
        <v>19722</v>
      </c>
      <c r="F1813" t="s">
        <v>30900</v>
      </c>
      <c r="G1813" t="s">
        <v>30907</v>
      </c>
      <c r="H1813" t="s">
        <v>30915</v>
      </c>
      <c r="I1813" t="s">
        <v>30971</v>
      </c>
      <c r="J1813" t="s">
        <v>32402</v>
      </c>
      <c r="K1813" t="s">
        <v>40342</v>
      </c>
      <c r="M1813" t="s">
        <v>41457</v>
      </c>
      <c r="N1813" t="s">
        <v>44759</v>
      </c>
      <c r="O1813" t="s">
        <v>44760</v>
      </c>
      <c r="P1813">
        <v>0</v>
      </c>
      <c r="Q1813">
        <v>0</v>
      </c>
      <c r="R1813" t="s">
        <v>44762</v>
      </c>
      <c r="S1813" t="s">
        <v>44863</v>
      </c>
      <c r="T1813" t="s">
        <v>46405</v>
      </c>
      <c r="U1813" t="s">
        <v>48529</v>
      </c>
      <c r="W1813" t="s">
        <v>41457</v>
      </c>
      <c r="X1813" t="s">
        <v>44763</v>
      </c>
    </row>
    <row r="1814" spans="1:24">
      <c r="A1814">
        <f>HYPERLINK("https://www.philgeps.gov.ph/GEPSNONPILOT/Tender/SplashBidNoticeAbstractUI.aspx?menuIndex=3&amp;refID=7151252&amp;Result=3","7151252")</f>
        <v>0</v>
      </c>
      <c r="B1814" t="s">
        <v>409</v>
      </c>
      <c r="C1814" t="s">
        <v>5497</v>
      </c>
      <c r="D1814" t="s">
        <v>17999</v>
      </c>
      <c r="E1814" t="s">
        <v>19723</v>
      </c>
      <c r="F1814" t="s">
        <v>30900</v>
      </c>
      <c r="G1814" t="s">
        <v>30908</v>
      </c>
      <c r="H1814" t="s">
        <v>30916</v>
      </c>
      <c r="I1814" t="s">
        <v>4108</v>
      </c>
      <c r="J1814" t="s">
        <v>32403</v>
      </c>
      <c r="K1814" t="s">
        <v>40287</v>
      </c>
      <c r="M1814" t="s">
        <v>40965</v>
      </c>
      <c r="N1814" t="s">
        <v>44759</v>
      </c>
      <c r="O1814" t="s">
        <v>44760</v>
      </c>
      <c r="P1814">
        <v>0</v>
      </c>
      <c r="Q1814">
        <v>0</v>
      </c>
      <c r="R1814" t="s">
        <v>44762</v>
      </c>
      <c r="S1814" t="s">
        <v>44863</v>
      </c>
      <c r="T1814" t="s">
        <v>46414</v>
      </c>
      <c r="U1814" t="s">
        <v>48530</v>
      </c>
      <c r="W1814" t="s">
        <v>40965</v>
      </c>
      <c r="X1814" t="s">
        <v>44763</v>
      </c>
    </row>
    <row r="1815" spans="1:24">
      <c r="A1815">
        <f>HYPERLINK("https://www.philgeps.gov.ph/GEPSNONPILOT/Tender/SplashBidNoticeAbstractUI.aspx?menuIndex=3&amp;refID=7151248&amp;Result=3","7151248")</f>
        <v>0</v>
      </c>
      <c r="B1815" t="s">
        <v>309</v>
      </c>
      <c r="C1815" t="s">
        <v>5498</v>
      </c>
      <c r="D1815" t="s">
        <v>17995</v>
      </c>
      <c r="E1815" t="s">
        <v>19724</v>
      </c>
      <c r="F1815" t="s">
        <v>30900</v>
      </c>
      <c r="G1815" t="s">
        <v>30907</v>
      </c>
      <c r="H1815" t="s">
        <v>30915</v>
      </c>
      <c r="I1815" t="s">
        <v>30919</v>
      </c>
      <c r="J1815" t="s">
        <v>31391</v>
      </c>
      <c r="K1815" t="s">
        <v>40313</v>
      </c>
      <c r="M1815" t="s">
        <v>40859</v>
      </c>
      <c r="N1815" t="s">
        <v>44759</v>
      </c>
      <c r="O1815" t="s">
        <v>44760</v>
      </c>
      <c r="P1815">
        <v>0</v>
      </c>
      <c r="Q1815">
        <v>0</v>
      </c>
      <c r="R1815" t="s">
        <v>44762</v>
      </c>
      <c r="S1815" t="s">
        <v>44863</v>
      </c>
      <c r="T1815" t="s">
        <v>46465</v>
      </c>
      <c r="U1815" t="s">
        <v>48531</v>
      </c>
      <c r="W1815" t="s">
        <v>40859</v>
      </c>
      <c r="X1815" t="s">
        <v>44763</v>
      </c>
    </row>
    <row r="1816" spans="1:24">
      <c r="A1816">
        <f>HYPERLINK("https://www.philgeps.gov.ph/GEPSNONPILOT/Tender/SplashBidNoticeAbstractUI.aspx?menuIndex=3&amp;refID=7151261&amp;Result=3","7151261")</f>
        <v>0</v>
      </c>
      <c r="B1816" t="s">
        <v>858</v>
      </c>
      <c r="C1816" t="s">
        <v>5499</v>
      </c>
      <c r="D1816" t="s">
        <v>17977</v>
      </c>
      <c r="E1816" t="s">
        <v>19725</v>
      </c>
      <c r="F1816" t="s">
        <v>30900</v>
      </c>
      <c r="G1816" t="s">
        <v>30908</v>
      </c>
      <c r="H1816" t="s">
        <v>30916</v>
      </c>
      <c r="I1816" t="s">
        <v>30923</v>
      </c>
      <c r="J1816" t="s">
        <v>32404</v>
      </c>
      <c r="K1816" t="s">
        <v>40289</v>
      </c>
      <c r="M1816" t="s">
        <v>41431</v>
      </c>
      <c r="N1816" t="s">
        <v>44759</v>
      </c>
      <c r="O1816" t="s">
        <v>44760</v>
      </c>
      <c r="P1816">
        <v>0</v>
      </c>
      <c r="Q1816">
        <v>4</v>
      </c>
      <c r="R1816" t="s">
        <v>44762</v>
      </c>
      <c r="S1816" t="s">
        <v>44863</v>
      </c>
      <c r="T1816" t="s">
        <v>46410</v>
      </c>
      <c r="U1816" t="s">
        <v>48484</v>
      </c>
      <c r="W1816" t="s">
        <v>41431</v>
      </c>
      <c r="X1816" t="s">
        <v>44763</v>
      </c>
    </row>
    <row r="1817" spans="1:24">
      <c r="A1817">
        <f>HYPERLINK("https://www.philgeps.gov.ph/GEPSNONPILOT/Tender/SplashBidNoticeAbstractUI.aspx?menuIndex=3&amp;refID=7151247&amp;Result=3","7151247")</f>
        <v>0</v>
      </c>
      <c r="B1817" t="s">
        <v>858</v>
      </c>
      <c r="C1817" t="s">
        <v>5500</v>
      </c>
      <c r="D1817" t="s">
        <v>17977</v>
      </c>
      <c r="E1817" t="s">
        <v>19726</v>
      </c>
      <c r="F1817" t="s">
        <v>30900</v>
      </c>
      <c r="G1817" t="s">
        <v>30908</v>
      </c>
      <c r="H1817" t="s">
        <v>30916</v>
      </c>
      <c r="I1817" t="s">
        <v>30922</v>
      </c>
      <c r="J1817" t="s">
        <v>32405</v>
      </c>
      <c r="K1817" t="s">
        <v>40289</v>
      </c>
      <c r="M1817" t="s">
        <v>41431</v>
      </c>
      <c r="N1817" t="s">
        <v>44759</v>
      </c>
      <c r="O1817" t="s">
        <v>44760</v>
      </c>
      <c r="P1817">
        <v>0</v>
      </c>
      <c r="Q1817">
        <v>0</v>
      </c>
      <c r="R1817" t="s">
        <v>44762</v>
      </c>
      <c r="S1817" t="s">
        <v>44863</v>
      </c>
      <c r="T1817" t="s">
        <v>46410</v>
      </c>
      <c r="U1817" t="s">
        <v>48484</v>
      </c>
      <c r="W1817" t="s">
        <v>41431</v>
      </c>
      <c r="X1817" t="s">
        <v>44763</v>
      </c>
    </row>
    <row r="1818" spans="1:24">
      <c r="A1818">
        <f>HYPERLINK("https://www.philgeps.gov.ph/GEPSNONPILOT/Tender/SplashBidNoticeAbstractUI.aspx?menuIndex=3&amp;refID=7151246&amp;Result=3","7151246")</f>
        <v>0</v>
      </c>
      <c r="B1818" t="s">
        <v>885</v>
      </c>
      <c r="C1818" t="s">
        <v>5501</v>
      </c>
      <c r="D1818" t="s">
        <v>18035</v>
      </c>
      <c r="E1818" t="s">
        <v>19727</v>
      </c>
      <c r="F1818" t="s">
        <v>30900</v>
      </c>
      <c r="G1818" t="s">
        <v>30909</v>
      </c>
      <c r="H1818" t="s">
        <v>30916</v>
      </c>
      <c r="I1818" t="s">
        <v>5501</v>
      </c>
      <c r="J1818" t="s">
        <v>31254</v>
      </c>
      <c r="K1818" t="s">
        <v>40289</v>
      </c>
      <c r="M1818" t="s">
        <v>41458</v>
      </c>
      <c r="N1818" t="s">
        <v>44759</v>
      </c>
      <c r="O1818" t="s">
        <v>44760</v>
      </c>
      <c r="P1818">
        <v>0</v>
      </c>
      <c r="Q1818">
        <v>1</v>
      </c>
      <c r="R1818" t="s">
        <v>44762</v>
      </c>
      <c r="S1818" t="s">
        <v>44863</v>
      </c>
      <c r="T1818" t="s">
        <v>46391</v>
      </c>
      <c r="U1818" t="s">
        <v>48532</v>
      </c>
      <c r="W1818" t="s">
        <v>41458</v>
      </c>
      <c r="X1818" t="s">
        <v>44763</v>
      </c>
    </row>
    <row r="1819" spans="1:24">
      <c r="A1819">
        <f>HYPERLINK("https://www.philgeps.gov.ph/GEPSNONPILOT/Tender/SplashBidNoticeAbstractUI.aspx?menuIndex=3&amp;refID=7151255&amp;Result=3","7151255")</f>
        <v>0</v>
      </c>
      <c r="B1819" t="s">
        <v>217</v>
      </c>
      <c r="C1819" t="s">
        <v>4480</v>
      </c>
      <c r="D1819" t="s">
        <v>17966</v>
      </c>
      <c r="E1819" t="s">
        <v>19728</v>
      </c>
      <c r="F1819" t="s">
        <v>30900</v>
      </c>
      <c r="G1819" t="s">
        <v>30908</v>
      </c>
      <c r="H1819" t="s">
        <v>30916</v>
      </c>
      <c r="I1819" t="s">
        <v>30923</v>
      </c>
      <c r="J1819" t="s">
        <v>31082</v>
      </c>
      <c r="K1819" t="s">
        <v>40284</v>
      </c>
      <c r="M1819" t="s">
        <v>40979</v>
      </c>
      <c r="N1819" t="s">
        <v>44759</v>
      </c>
      <c r="O1819" t="s">
        <v>44760</v>
      </c>
      <c r="P1819">
        <v>0</v>
      </c>
      <c r="Q1819">
        <v>3</v>
      </c>
      <c r="R1819" t="s">
        <v>44762</v>
      </c>
      <c r="S1819" t="s">
        <v>44863</v>
      </c>
      <c r="T1819" t="s">
        <v>46352</v>
      </c>
      <c r="U1819" t="s">
        <v>48533</v>
      </c>
      <c r="W1819" t="s">
        <v>40979</v>
      </c>
      <c r="X1819" t="s">
        <v>44763</v>
      </c>
    </row>
    <row r="1820" spans="1:24">
      <c r="A1820">
        <f>HYPERLINK("https://www.philgeps.gov.ph/GEPSNONPILOT/Tender/SplashBidNoticeAbstractUI.aspx?menuIndex=3&amp;refID=7151245&amp;Result=3","7151245")</f>
        <v>0</v>
      </c>
      <c r="B1820" t="s">
        <v>856</v>
      </c>
      <c r="C1820" t="s">
        <v>5502</v>
      </c>
      <c r="D1820" t="s">
        <v>17971</v>
      </c>
      <c r="E1820" t="s">
        <v>19729</v>
      </c>
      <c r="F1820" t="s">
        <v>30900</v>
      </c>
      <c r="G1820" t="s">
        <v>30908</v>
      </c>
      <c r="H1820" t="s">
        <v>30916</v>
      </c>
      <c r="I1820" t="s">
        <v>4017</v>
      </c>
      <c r="J1820" t="s">
        <v>31204</v>
      </c>
      <c r="K1820" t="s">
        <v>40283</v>
      </c>
      <c r="M1820" t="s">
        <v>41429</v>
      </c>
      <c r="N1820" t="s">
        <v>44759</v>
      </c>
      <c r="O1820" t="s">
        <v>44760</v>
      </c>
      <c r="P1820">
        <v>0</v>
      </c>
      <c r="Q1820">
        <v>1</v>
      </c>
      <c r="R1820" t="s">
        <v>44762</v>
      </c>
      <c r="S1820" t="s">
        <v>44863</v>
      </c>
      <c r="T1820" t="s">
        <v>46552</v>
      </c>
      <c r="U1820" t="s">
        <v>48534</v>
      </c>
      <c r="W1820" t="s">
        <v>41429</v>
      </c>
      <c r="X1820" t="s">
        <v>44763</v>
      </c>
    </row>
    <row r="1821" spans="1:24">
      <c r="A1821">
        <f>HYPERLINK("https://www.philgeps.gov.ph/GEPSNONPILOT/Tender/SplashBidNoticeAbstractUI.aspx?menuIndex=3&amp;refID=7151242&amp;Result=3","7151242")</f>
        <v>0</v>
      </c>
      <c r="B1821" t="s">
        <v>886</v>
      </c>
      <c r="C1821" t="s">
        <v>5503</v>
      </c>
      <c r="D1821" t="s">
        <v>17972</v>
      </c>
      <c r="E1821" t="s">
        <v>19730</v>
      </c>
      <c r="F1821" t="s">
        <v>30900</v>
      </c>
      <c r="G1821" t="s">
        <v>30907</v>
      </c>
      <c r="H1821" t="s">
        <v>30915</v>
      </c>
      <c r="I1821" t="s">
        <v>30919</v>
      </c>
      <c r="J1821" t="s">
        <v>32406</v>
      </c>
      <c r="K1821" t="s">
        <v>40355</v>
      </c>
      <c r="M1821" t="s">
        <v>41459</v>
      </c>
      <c r="N1821" t="s">
        <v>44759</v>
      </c>
      <c r="O1821" t="s">
        <v>44760</v>
      </c>
      <c r="P1821">
        <v>0</v>
      </c>
      <c r="Q1821">
        <v>0</v>
      </c>
      <c r="R1821" t="s">
        <v>44762</v>
      </c>
      <c r="S1821" t="s">
        <v>44863</v>
      </c>
      <c r="T1821" t="s">
        <v>46557</v>
      </c>
      <c r="U1821" t="s">
        <v>48535</v>
      </c>
      <c r="W1821" t="s">
        <v>41459</v>
      </c>
      <c r="X1821" t="s">
        <v>44763</v>
      </c>
    </row>
    <row r="1822" spans="1:24">
      <c r="A1822">
        <f>HYPERLINK("https://www.philgeps.gov.ph/GEPSNONPILOT/Tender/SplashBidNoticeAbstractUI.aspx?menuIndex=3&amp;refID=7151250&amp;Result=3","7151250")</f>
        <v>0</v>
      </c>
      <c r="B1822" t="s">
        <v>836</v>
      </c>
      <c r="C1822" t="s">
        <v>5504</v>
      </c>
      <c r="D1822" t="s">
        <v>17952</v>
      </c>
      <c r="E1822" t="s">
        <v>19731</v>
      </c>
      <c r="F1822" t="s">
        <v>30900</v>
      </c>
      <c r="G1822" t="s">
        <v>30908</v>
      </c>
      <c r="H1822" t="s">
        <v>30916</v>
      </c>
      <c r="I1822" t="s">
        <v>30943</v>
      </c>
      <c r="J1822" t="s">
        <v>31101</v>
      </c>
      <c r="K1822" t="s">
        <v>40286</v>
      </c>
      <c r="M1822" t="s">
        <v>41409</v>
      </c>
      <c r="N1822" t="s">
        <v>44759</v>
      </c>
      <c r="O1822" t="s">
        <v>44760</v>
      </c>
      <c r="P1822">
        <v>0</v>
      </c>
      <c r="Q1822">
        <v>5</v>
      </c>
      <c r="R1822" t="s">
        <v>44762</v>
      </c>
      <c r="S1822" t="s">
        <v>44863</v>
      </c>
      <c r="T1822" t="s">
        <v>46547</v>
      </c>
      <c r="U1822" t="s">
        <v>48536</v>
      </c>
      <c r="W1822" t="s">
        <v>41409</v>
      </c>
      <c r="X1822" t="s">
        <v>44763</v>
      </c>
    </row>
    <row r="1823" spans="1:24">
      <c r="A1823">
        <f>HYPERLINK("https://www.philgeps.gov.ph/GEPSNONPILOT/Tender/SplashBidNoticeAbstractUI.aspx?menuIndex=3&amp;refID=7151222&amp;Result=3","7151222")</f>
        <v>0</v>
      </c>
      <c r="B1823" t="s">
        <v>859</v>
      </c>
      <c r="C1823" t="s">
        <v>5505</v>
      </c>
      <c r="D1823" t="s">
        <v>17969</v>
      </c>
      <c r="E1823" t="s">
        <v>19732</v>
      </c>
      <c r="F1823" t="s">
        <v>30900</v>
      </c>
      <c r="G1823" t="s">
        <v>30908</v>
      </c>
      <c r="H1823" t="s">
        <v>30916</v>
      </c>
      <c r="I1823" t="s">
        <v>9385</v>
      </c>
      <c r="J1823" t="s">
        <v>31070</v>
      </c>
      <c r="K1823" t="s">
        <v>40286</v>
      </c>
      <c r="M1823" t="s">
        <v>41432</v>
      </c>
      <c r="N1823" t="s">
        <v>44759</v>
      </c>
      <c r="O1823" t="s">
        <v>44760</v>
      </c>
      <c r="P1823">
        <v>0</v>
      </c>
      <c r="Q1823">
        <v>4</v>
      </c>
      <c r="R1823" t="s">
        <v>44762</v>
      </c>
      <c r="S1823" t="s">
        <v>44863</v>
      </c>
      <c r="T1823" t="s">
        <v>46363</v>
      </c>
      <c r="U1823" t="s">
        <v>48537</v>
      </c>
      <c r="W1823" t="s">
        <v>41432</v>
      </c>
      <c r="X1823" t="s">
        <v>44763</v>
      </c>
    </row>
    <row r="1824" spans="1:24">
      <c r="A1824">
        <f>HYPERLINK("https://www.philgeps.gov.ph/GEPSNONPILOT/Tender/SplashBidNoticeAbstractUI.aspx?menuIndex=3&amp;refID=7151220&amp;Result=3","7151220")</f>
        <v>0</v>
      </c>
      <c r="B1824" t="s">
        <v>844</v>
      </c>
      <c r="C1824" t="s">
        <v>5506</v>
      </c>
      <c r="D1824" t="s">
        <v>17971</v>
      </c>
      <c r="E1824" t="s">
        <v>19733</v>
      </c>
      <c r="F1824" t="s">
        <v>30900</v>
      </c>
      <c r="G1824" t="s">
        <v>30908</v>
      </c>
      <c r="H1824" t="s">
        <v>30916</v>
      </c>
      <c r="I1824" t="s">
        <v>30946</v>
      </c>
      <c r="J1824" t="s">
        <v>32407</v>
      </c>
      <c r="K1824" t="s">
        <v>40283</v>
      </c>
      <c r="M1824" t="s">
        <v>41417</v>
      </c>
      <c r="N1824" t="s">
        <v>44759</v>
      </c>
      <c r="O1824" t="s">
        <v>44760</v>
      </c>
      <c r="P1824">
        <v>0</v>
      </c>
      <c r="Q1824">
        <v>0</v>
      </c>
      <c r="R1824" t="s">
        <v>44762</v>
      </c>
      <c r="S1824" t="s">
        <v>44863</v>
      </c>
      <c r="T1824" t="s">
        <v>46398</v>
      </c>
      <c r="U1824" t="s">
        <v>48538</v>
      </c>
      <c r="W1824" t="s">
        <v>41417</v>
      </c>
      <c r="X1824" t="s">
        <v>44763</v>
      </c>
    </row>
    <row r="1825" spans="1:24">
      <c r="A1825">
        <f>HYPERLINK("https://www.philgeps.gov.ph/GEPSNONPILOT/Tender/SplashBidNoticeAbstractUI.aspx?menuIndex=3&amp;refID=7151258&amp;Result=3","7151258")</f>
        <v>0</v>
      </c>
      <c r="B1825" t="s">
        <v>879</v>
      </c>
      <c r="C1825" t="s">
        <v>5507</v>
      </c>
      <c r="D1825" t="s">
        <v>18003</v>
      </c>
      <c r="E1825" t="s">
        <v>19734</v>
      </c>
      <c r="F1825" t="s">
        <v>30900</v>
      </c>
      <c r="G1825" t="s">
        <v>30908</v>
      </c>
      <c r="H1825" t="s">
        <v>30916</v>
      </c>
      <c r="I1825" t="s">
        <v>10961</v>
      </c>
      <c r="J1825" t="s">
        <v>31050</v>
      </c>
      <c r="K1825" t="s">
        <v>40294</v>
      </c>
      <c r="M1825" t="s">
        <v>41452</v>
      </c>
      <c r="N1825" t="s">
        <v>44759</v>
      </c>
      <c r="O1825" t="s">
        <v>44760</v>
      </c>
      <c r="P1825">
        <v>0</v>
      </c>
      <c r="Q1825">
        <v>4</v>
      </c>
      <c r="R1825" t="s">
        <v>44762</v>
      </c>
      <c r="S1825" t="s">
        <v>44863</v>
      </c>
      <c r="T1825" t="s">
        <v>46383</v>
      </c>
      <c r="U1825" t="s">
        <v>48539</v>
      </c>
      <c r="W1825" t="s">
        <v>41452</v>
      </c>
      <c r="X1825" t="s">
        <v>44763</v>
      </c>
    </row>
    <row r="1826" spans="1:24">
      <c r="A1826">
        <f>HYPERLINK("https://www.philgeps.gov.ph/GEPSNONPILOT/Tender/SplashBidNoticeAbstractUI.aspx?menuIndex=3&amp;refID=7151270&amp;Result=3","7151270")</f>
        <v>0</v>
      </c>
      <c r="B1826" t="s">
        <v>267</v>
      </c>
      <c r="C1826" t="s">
        <v>5508</v>
      </c>
      <c r="D1826" t="s">
        <v>17959</v>
      </c>
      <c r="E1826" t="s">
        <v>19735</v>
      </c>
      <c r="F1826" t="s">
        <v>30900</v>
      </c>
      <c r="G1826" t="s">
        <v>30908</v>
      </c>
      <c r="H1826" t="s">
        <v>30916</v>
      </c>
      <c r="I1826" t="s">
        <v>6746</v>
      </c>
      <c r="J1826" t="s">
        <v>32408</v>
      </c>
      <c r="K1826" t="s">
        <v>40288</v>
      </c>
      <c r="M1826" t="s">
        <v>41338</v>
      </c>
      <c r="N1826" t="s">
        <v>44759</v>
      </c>
      <c r="O1826" t="s">
        <v>44760</v>
      </c>
      <c r="P1826">
        <v>0</v>
      </c>
      <c r="Q1826">
        <v>1</v>
      </c>
      <c r="R1826" t="s">
        <v>44762</v>
      </c>
      <c r="S1826" t="s">
        <v>44863</v>
      </c>
      <c r="T1826" t="s">
        <v>46414</v>
      </c>
      <c r="U1826" t="s">
        <v>48540</v>
      </c>
      <c r="W1826" t="s">
        <v>41338</v>
      </c>
      <c r="X1826" t="s">
        <v>44763</v>
      </c>
    </row>
    <row r="1827" spans="1:24">
      <c r="A1827">
        <f>HYPERLINK("https://www.philgeps.gov.ph/GEPSNONPILOT/Tender/SplashBidNoticeAbstractUI.aspx?menuIndex=3&amp;refID=7151269&amp;Result=3","7151269")</f>
        <v>0</v>
      </c>
      <c r="B1827" t="s">
        <v>887</v>
      </c>
      <c r="C1827" t="s">
        <v>5509</v>
      </c>
      <c r="D1827" t="s">
        <v>17960</v>
      </c>
      <c r="E1827" t="s">
        <v>19736</v>
      </c>
      <c r="F1827" t="s">
        <v>30900</v>
      </c>
      <c r="G1827" t="s">
        <v>30909</v>
      </c>
      <c r="H1827" t="s">
        <v>30916</v>
      </c>
      <c r="I1827" t="s">
        <v>30995</v>
      </c>
      <c r="J1827" t="s">
        <v>31443</v>
      </c>
      <c r="K1827" t="s">
        <v>40285</v>
      </c>
      <c r="M1827" t="s">
        <v>41460</v>
      </c>
      <c r="N1827" t="s">
        <v>44759</v>
      </c>
      <c r="O1827" t="s">
        <v>44760</v>
      </c>
      <c r="P1827">
        <v>0</v>
      </c>
      <c r="Q1827">
        <v>0</v>
      </c>
      <c r="R1827" t="s">
        <v>44762</v>
      </c>
      <c r="S1827" t="s">
        <v>44863</v>
      </c>
      <c r="T1827" t="s">
        <v>46374</v>
      </c>
      <c r="U1827" t="s">
        <v>48541</v>
      </c>
      <c r="W1827" t="s">
        <v>41460</v>
      </c>
      <c r="X1827" t="s">
        <v>44763</v>
      </c>
    </row>
    <row r="1828" spans="1:24">
      <c r="A1828">
        <f>HYPERLINK("https://www.philgeps.gov.ph/GEPSNONPILOT/Tender/SplashBidNoticeAbstractUI.aspx?menuIndex=3&amp;refID=7151223&amp;Result=3","7151223")</f>
        <v>0</v>
      </c>
      <c r="B1828" t="s">
        <v>888</v>
      </c>
      <c r="C1828" t="s">
        <v>5510</v>
      </c>
      <c r="D1828" t="s">
        <v>17951</v>
      </c>
      <c r="E1828" t="s">
        <v>19737</v>
      </c>
      <c r="F1828" t="s">
        <v>30900</v>
      </c>
      <c r="G1828" t="s">
        <v>30906</v>
      </c>
      <c r="H1828" t="s">
        <v>30916</v>
      </c>
      <c r="I1828" t="s">
        <v>10961</v>
      </c>
      <c r="J1828" t="s">
        <v>32409</v>
      </c>
      <c r="K1828" t="s">
        <v>40308</v>
      </c>
      <c r="M1828" t="s">
        <v>41461</v>
      </c>
      <c r="N1828" t="s">
        <v>44759</v>
      </c>
      <c r="O1828" t="s">
        <v>44760</v>
      </c>
      <c r="P1828">
        <v>0</v>
      </c>
      <c r="Q1828">
        <v>7</v>
      </c>
      <c r="R1828" t="s">
        <v>44762</v>
      </c>
      <c r="S1828" t="s">
        <v>44863</v>
      </c>
      <c r="T1828" t="s">
        <v>46558</v>
      </c>
      <c r="U1828" t="s">
        <v>48542</v>
      </c>
      <c r="W1828" t="s">
        <v>41461</v>
      </c>
      <c r="X1828" t="s">
        <v>44763</v>
      </c>
    </row>
    <row r="1829" spans="1:24">
      <c r="A1829">
        <f>HYPERLINK("https://www.philgeps.gov.ph/GEPSNONPILOT/Tender/SplashBidNoticeAbstractUI.aspx?menuIndex=3&amp;refID=7151236&amp;Result=3","7151236")</f>
        <v>0</v>
      </c>
      <c r="B1829" t="s">
        <v>857</v>
      </c>
      <c r="C1829" t="s">
        <v>5511</v>
      </c>
      <c r="D1829" t="s">
        <v>17984</v>
      </c>
      <c r="E1829" t="s">
        <v>19738</v>
      </c>
      <c r="F1829" t="s">
        <v>30900</v>
      </c>
      <c r="G1829" t="s">
        <v>30907</v>
      </c>
      <c r="H1829" t="s">
        <v>30916</v>
      </c>
      <c r="I1829" t="s">
        <v>30931</v>
      </c>
      <c r="J1829" t="s">
        <v>31243</v>
      </c>
      <c r="K1829" t="s">
        <v>40283</v>
      </c>
      <c r="M1829" t="s">
        <v>41430</v>
      </c>
      <c r="N1829" t="s">
        <v>44759</v>
      </c>
      <c r="O1829" t="s">
        <v>44760</v>
      </c>
      <c r="P1829">
        <v>0</v>
      </c>
      <c r="Q1829">
        <v>3</v>
      </c>
      <c r="R1829" t="s">
        <v>44762</v>
      </c>
      <c r="S1829" t="s">
        <v>44863</v>
      </c>
      <c r="T1829" t="s">
        <v>46405</v>
      </c>
      <c r="U1829" t="s">
        <v>48543</v>
      </c>
      <c r="W1829" t="s">
        <v>41430</v>
      </c>
      <c r="X1829" t="s">
        <v>44763</v>
      </c>
    </row>
    <row r="1830" spans="1:24">
      <c r="A1830">
        <f>HYPERLINK("https://www.philgeps.gov.ph/GEPSNONPILOT/Tender/SplashBidNoticeAbstractUI.aspx?menuIndex=3&amp;refID=7151219&amp;Result=3","7151219")</f>
        <v>0</v>
      </c>
      <c r="B1830" t="s">
        <v>388</v>
      </c>
      <c r="C1830" t="s">
        <v>5512</v>
      </c>
      <c r="E1830" t="s">
        <v>19739</v>
      </c>
      <c r="F1830" t="s">
        <v>30900</v>
      </c>
      <c r="G1830" t="s">
        <v>30908</v>
      </c>
      <c r="H1830" t="s">
        <v>30916</v>
      </c>
      <c r="I1830" t="s">
        <v>30923</v>
      </c>
      <c r="J1830" t="s">
        <v>32410</v>
      </c>
      <c r="K1830" t="s">
        <v>40289</v>
      </c>
      <c r="M1830" t="s">
        <v>41380</v>
      </c>
      <c r="N1830" t="s">
        <v>44759</v>
      </c>
      <c r="O1830" t="s">
        <v>44760</v>
      </c>
      <c r="P1830">
        <v>0</v>
      </c>
      <c r="Q1830">
        <v>1</v>
      </c>
      <c r="R1830" t="s">
        <v>44762</v>
      </c>
      <c r="S1830" t="s">
        <v>44863</v>
      </c>
      <c r="T1830" t="s">
        <v>46543</v>
      </c>
      <c r="U1830" t="s">
        <v>48544</v>
      </c>
      <c r="W1830" t="s">
        <v>60839</v>
      </c>
      <c r="X1830" t="s">
        <v>44763</v>
      </c>
    </row>
    <row r="1831" spans="1:24">
      <c r="A1831">
        <f>HYPERLINK("https://www.philgeps.gov.ph/GEPSNONPILOT/Tender/SplashBidNoticeAbstractUI.aspx?menuIndex=3&amp;refID=7151286&amp;Result=3","7151286")</f>
        <v>0</v>
      </c>
      <c r="B1831" t="s">
        <v>889</v>
      </c>
      <c r="C1831" t="s">
        <v>5259</v>
      </c>
      <c r="D1831" t="s">
        <v>17991</v>
      </c>
      <c r="E1831" t="s">
        <v>19740</v>
      </c>
      <c r="F1831" t="s">
        <v>30900</v>
      </c>
      <c r="G1831" t="s">
        <v>30907</v>
      </c>
      <c r="H1831" t="s">
        <v>30916</v>
      </c>
      <c r="I1831" t="s">
        <v>30923</v>
      </c>
      <c r="J1831" t="s">
        <v>32411</v>
      </c>
      <c r="K1831" t="s">
        <v>40294</v>
      </c>
      <c r="M1831" t="s">
        <v>41462</v>
      </c>
      <c r="N1831" t="s">
        <v>44759</v>
      </c>
      <c r="O1831" t="s">
        <v>44760</v>
      </c>
      <c r="P1831">
        <v>0</v>
      </c>
      <c r="Q1831">
        <v>1</v>
      </c>
      <c r="R1831" t="s">
        <v>44762</v>
      </c>
      <c r="S1831" t="s">
        <v>44863</v>
      </c>
      <c r="T1831" t="s">
        <v>46515</v>
      </c>
      <c r="U1831" t="s">
        <v>48545</v>
      </c>
      <c r="W1831" t="s">
        <v>41462</v>
      </c>
      <c r="X1831" t="s">
        <v>44763</v>
      </c>
    </row>
    <row r="1832" spans="1:24">
      <c r="A1832">
        <f>HYPERLINK("https://www.philgeps.gov.ph/GEPSNONPILOT/Tender/SplashBidNoticeAbstractUI.aspx?menuIndex=3&amp;refID=7151284&amp;Result=3","7151284")</f>
        <v>0</v>
      </c>
      <c r="B1832" t="s">
        <v>520</v>
      </c>
      <c r="C1832" t="s">
        <v>5513</v>
      </c>
      <c r="D1832" t="s">
        <v>18019</v>
      </c>
      <c r="E1832" t="s">
        <v>19741</v>
      </c>
      <c r="F1832" t="s">
        <v>30900</v>
      </c>
      <c r="G1832" t="s">
        <v>30908</v>
      </c>
      <c r="H1832" t="s">
        <v>30916</v>
      </c>
      <c r="I1832" t="s">
        <v>4545</v>
      </c>
      <c r="J1832" t="s">
        <v>31284</v>
      </c>
      <c r="K1832" t="s">
        <v>40283</v>
      </c>
      <c r="M1832" t="s">
        <v>41080</v>
      </c>
      <c r="N1832" t="s">
        <v>44759</v>
      </c>
      <c r="O1832" t="s">
        <v>44760</v>
      </c>
      <c r="P1832">
        <v>0</v>
      </c>
      <c r="Q1832">
        <v>4</v>
      </c>
      <c r="R1832" t="s">
        <v>44762</v>
      </c>
      <c r="S1832" t="s">
        <v>44863</v>
      </c>
      <c r="T1832" t="s">
        <v>46379</v>
      </c>
      <c r="U1832" t="s">
        <v>48546</v>
      </c>
      <c r="W1832" t="s">
        <v>41080</v>
      </c>
      <c r="X1832" t="s">
        <v>44763</v>
      </c>
    </row>
    <row r="1833" spans="1:24">
      <c r="A1833">
        <f>HYPERLINK("https://www.philgeps.gov.ph/GEPSNONPILOT/Tender/SplashBidNoticeAbstractUI.aspx?menuIndex=3&amp;refID=7151244&amp;Result=3","7151244")</f>
        <v>0</v>
      </c>
      <c r="B1833" t="s">
        <v>817</v>
      </c>
      <c r="C1833" t="s">
        <v>5514</v>
      </c>
      <c r="D1833" t="s">
        <v>18025</v>
      </c>
      <c r="E1833" t="s">
        <v>19742</v>
      </c>
      <c r="F1833" t="s">
        <v>30900</v>
      </c>
      <c r="G1833" t="s">
        <v>30908</v>
      </c>
      <c r="H1833" t="s">
        <v>30916</v>
      </c>
      <c r="I1833" t="s">
        <v>30965</v>
      </c>
      <c r="J1833" t="s">
        <v>31669</v>
      </c>
      <c r="K1833" t="s">
        <v>40286</v>
      </c>
      <c r="M1833" t="s">
        <v>41388</v>
      </c>
      <c r="N1833" t="s">
        <v>44759</v>
      </c>
      <c r="O1833" t="s">
        <v>44760</v>
      </c>
      <c r="P1833">
        <v>0</v>
      </c>
      <c r="Q1833">
        <v>5</v>
      </c>
      <c r="R1833" t="s">
        <v>44762</v>
      </c>
      <c r="S1833" t="s">
        <v>44863</v>
      </c>
      <c r="T1833" t="s">
        <v>46379</v>
      </c>
      <c r="U1833" t="s">
        <v>48547</v>
      </c>
      <c r="W1833" t="s">
        <v>41388</v>
      </c>
      <c r="X1833" t="s">
        <v>44763</v>
      </c>
    </row>
    <row r="1834" spans="1:24">
      <c r="A1834">
        <f>HYPERLINK("https://www.philgeps.gov.ph/GEPSNONPILOT/Tender/SplashBidNoticeAbstractUI.aspx?menuIndex=3&amp;refID=7151283&amp;Result=3","7151283")</f>
        <v>0</v>
      </c>
      <c r="B1834" t="s">
        <v>890</v>
      </c>
      <c r="C1834" t="s">
        <v>5515</v>
      </c>
      <c r="D1834" t="s">
        <v>18016</v>
      </c>
      <c r="E1834" t="s">
        <v>19743</v>
      </c>
      <c r="F1834" t="s">
        <v>30900</v>
      </c>
      <c r="G1834" t="s">
        <v>30909</v>
      </c>
      <c r="H1834" t="s">
        <v>30916</v>
      </c>
      <c r="I1834" t="s">
        <v>30922</v>
      </c>
      <c r="J1834" t="s">
        <v>32412</v>
      </c>
      <c r="K1834" t="s">
        <v>40287</v>
      </c>
      <c r="M1834" t="s">
        <v>41463</v>
      </c>
      <c r="N1834" t="s">
        <v>44759</v>
      </c>
      <c r="O1834" t="s">
        <v>44760</v>
      </c>
      <c r="P1834">
        <v>0</v>
      </c>
      <c r="Q1834">
        <v>4</v>
      </c>
      <c r="R1834" t="s">
        <v>44762</v>
      </c>
      <c r="S1834" t="s">
        <v>44863</v>
      </c>
      <c r="T1834" t="s">
        <v>46534</v>
      </c>
      <c r="U1834" t="s">
        <v>48548</v>
      </c>
      <c r="W1834" t="s">
        <v>41463</v>
      </c>
      <c r="X1834" t="s">
        <v>44763</v>
      </c>
    </row>
    <row r="1835" spans="1:24">
      <c r="A1835">
        <f>HYPERLINK("https://www.philgeps.gov.ph/GEPSNONPILOT/Tender/SplashBidNoticeAbstractUI.aspx?menuIndex=3&amp;refID=7151282&amp;Result=3","7151282")</f>
        <v>0</v>
      </c>
      <c r="B1835" t="s">
        <v>891</v>
      </c>
      <c r="C1835" t="s">
        <v>5516</v>
      </c>
      <c r="D1835" t="s">
        <v>18025</v>
      </c>
      <c r="E1835" t="s">
        <v>19744</v>
      </c>
      <c r="F1835" t="s">
        <v>30903</v>
      </c>
      <c r="G1835" t="s">
        <v>30909</v>
      </c>
      <c r="H1835" t="s">
        <v>30916</v>
      </c>
      <c r="I1835" t="s">
        <v>6396</v>
      </c>
      <c r="J1835" t="s">
        <v>32413</v>
      </c>
      <c r="K1835" t="s">
        <v>40289</v>
      </c>
      <c r="M1835" t="s">
        <v>41464</v>
      </c>
      <c r="N1835" t="s">
        <v>44759</v>
      </c>
      <c r="O1835" t="s">
        <v>44760</v>
      </c>
      <c r="P1835">
        <v>0</v>
      </c>
      <c r="Q1835">
        <v>2</v>
      </c>
      <c r="R1835" t="s">
        <v>44762</v>
      </c>
      <c r="S1835" t="s">
        <v>44863</v>
      </c>
      <c r="T1835" t="s">
        <v>46414</v>
      </c>
      <c r="U1835" t="s">
        <v>48549</v>
      </c>
      <c r="W1835" t="s">
        <v>41464</v>
      </c>
      <c r="X1835" t="s">
        <v>44763</v>
      </c>
    </row>
    <row r="1836" spans="1:24">
      <c r="A1836">
        <f>HYPERLINK("https://www.philgeps.gov.ph/GEPSNONPILOT/Tender/SplashBidNoticeAbstractUI.aspx?menuIndex=3&amp;refID=7151281&amp;Result=3","7151281")</f>
        <v>0</v>
      </c>
      <c r="B1836" t="s">
        <v>350</v>
      </c>
      <c r="C1836" t="s">
        <v>5517</v>
      </c>
      <c r="D1836" t="s">
        <v>18025</v>
      </c>
      <c r="E1836" t="s">
        <v>19745</v>
      </c>
      <c r="F1836" t="s">
        <v>30900</v>
      </c>
      <c r="G1836" t="s">
        <v>30907</v>
      </c>
      <c r="H1836" t="s">
        <v>30915</v>
      </c>
      <c r="I1836" t="s">
        <v>30919</v>
      </c>
      <c r="J1836" t="s">
        <v>31069</v>
      </c>
      <c r="K1836" t="s">
        <v>40335</v>
      </c>
      <c r="M1836" t="s">
        <v>41465</v>
      </c>
      <c r="N1836" t="s">
        <v>44759</v>
      </c>
      <c r="O1836" t="s">
        <v>44760</v>
      </c>
      <c r="P1836">
        <v>0</v>
      </c>
      <c r="Q1836">
        <v>1</v>
      </c>
      <c r="R1836" t="s">
        <v>44762</v>
      </c>
      <c r="S1836" t="s">
        <v>44863</v>
      </c>
      <c r="T1836" t="s">
        <v>46433</v>
      </c>
      <c r="U1836" t="s">
        <v>47499</v>
      </c>
      <c r="V1836" t="s">
        <v>59326</v>
      </c>
      <c r="W1836" t="s">
        <v>60826</v>
      </c>
      <c r="X1836" t="s">
        <v>44763</v>
      </c>
    </row>
    <row r="1837" spans="1:24">
      <c r="A1837">
        <f>HYPERLINK("https://www.philgeps.gov.ph/GEPSNONPILOT/Tender/SplashBidNoticeAbstractUI.aspx?menuIndex=3&amp;refID=7151279&amp;Result=3","7151279")</f>
        <v>0</v>
      </c>
      <c r="B1837" t="s">
        <v>892</v>
      </c>
      <c r="C1837" t="s">
        <v>5383</v>
      </c>
      <c r="D1837" t="s">
        <v>17978</v>
      </c>
      <c r="E1837" t="s">
        <v>19746</v>
      </c>
      <c r="F1837" t="s">
        <v>30900</v>
      </c>
      <c r="G1837" t="s">
        <v>30907</v>
      </c>
      <c r="H1837" t="s">
        <v>30916</v>
      </c>
      <c r="I1837" t="s">
        <v>4142</v>
      </c>
      <c r="J1837" t="s">
        <v>32414</v>
      </c>
      <c r="K1837" t="s">
        <v>40284</v>
      </c>
      <c r="M1837" t="s">
        <v>41466</v>
      </c>
      <c r="N1837" t="s">
        <v>44759</v>
      </c>
      <c r="O1837" t="s">
        <v>44760</v>
      </c>
      <c r="P1837">
        <v>0</v>
      </c>
      <c r="Q1837">
        <v>0</v>
      </c>
      <c r="R1837" t="s">
        <v>44762</v>
      </c>
      <c r="S1837" t="s">
        <v>44863</v>
      </c>
      <c r="T1837" t="s">
        <v>46465</v>
      </c>
      <c r="U1837" t="s">
        <v>48550</v>
      </c>
      <c r="W1837" t="s">
        <v>41466</v>
      </c>
      <c r="X1837" t="s">
        <v>44763</v>
      </c>
    </row>
    <row r="1838" spans="1:24">
      <c r="A1838">
        <f>HYPERLINK("https://www.philgeps.gov.ph/GEPSNONPILOT/Tender/SplashBidNoticeAbstractUI.aspx?menuIndex=3&amp;refID=7151278&amp;Result=3","7151278")</f>
        <v>0</v>
      </c>
      <c r="B1838" t="s">
        <v>893</v>
      </c>
      <c r="C1838" t="s">
        <v>5518</v>
      </c>
      <c r="D1838" t="s">
        <v>17979</v>
      </c>
      <c r="E1838" t="s">
        <v>19747</v>
      </c>
      <c r="F1838" t="s">
        <v>30900</v>
      </c>
      <c r="G1838" t="s">
        <v>30907</v>
      </c>
      <c r="H1838" t="s">
        <v>30916</v>
      </c>
      <c r="I1838" t="s">
        <v>30922</v>
      </c>
      <c r="J1838" t="s">
        <v>32415</v>
      </c>
      <c r="K1838" t="s">
        <v>40283</v>
      </c>
      <c r="M1838" t="s">
        <v>41467</v>
      </c>
      <c r="N1838" t="s">
        <v>44759</v>
      </c>
      <c r="O1838" t="s">
        <v>44760</v>
      </c>
      <c r="P1838">
        <v>0</v>
      </c>
      <c r="Q1838">
        <v>7</v>
      </c>
      <c r="R1838" t="s">
        <v>44762</v>
      </c>
      <c r="S1838" t="s">
        <v>44863</v>
      </c>
      <c r="T1838" t="s">
        <v>46402</v>
      </c>
      <c r="U1838" t="s">
        <v>48551</v>
      </c>
      <c r="W1838" t="s">
        <v>41467</v>
      </c>
      <c r="X1838" t="s">
        <v>44763</v>
      </c>
    </row>
    <row r="1839" spans="1:24">
      <c r="A1839">
        <f>HYPERLINK("https://www.philgeps.gov.ph/GEPSNONPILOT/Tender/SplashBidNoticeAbstractUI.aspx?menuIndex=3&amp;refID=7151276&amp;Result=3","7151276")</f>
        <v>0</v>
      </c>
      <c r="B1839" t="s">
        <v>894</v>
      </c>
      <c r="C1839" t="s">
        <v>5519</v>
      </c>
      <c r="D1839" t="s">
        <v>18011</v>
      </c>
      <c r="E1839" t="s">
        <v>19748</v>
      </c>
      <c r="F1839" t="s">
        <v>30900</v>
      </c>
      <c r="G1839" t="s">
        <v>30910</v>
      </c>
      <c r="H1839" t="s">
        <v>30916</v>
      </c>
      <c r="I1839" t="s">
        <v>30924</v>
      </c>
      <c r="J1839" t="s">
        <v>32342</v>
      </c>
      <c r="K1839" t="s">
        <v>40283</v>
      </c>
      <c r="M1839" t="s">
        <v>41468</v>
      </c>
      <c r="N1839" t="s">
        <v>44759</v>
      </c>
      <c r="O1839" t="s">
        <v>44760</v>
      </c>
      <c r="P1839">
        <v>0</v>
      </c>
      <c r="Q1839">
        <v>1</v>
      </c>
      <c r="R1839" t="s">
        <v>44762</v>
      </c>
      <c r="S1839" t="s">
        <v>44863</v>
      </c>
      <c r="T1839" t="s">
        <v>46363</v>
      </c>
      <c r="U1839" t="s">
        <v>48552</v>
      </c>
      <c r="W1839" t="s">
        <v>41468</v>
      </c>
      <c r="X1839" t="s">
        <v>44763</v>
      </c>
    </row>
    <row r="1840" spans="1:24">
      <c r="A1840">
        <f>HYPERLINK("https://www.philgeps.gov.ph/GEPSNONPILOT/Tender/SplashBidNoticeAbstractUI.aspx?menuIndex=3&amp;refID=7151275&amp;Result=3","7151275")</f>
        <v>0</v>
      </c>
      <c r="B1840" t="s">
        <v>562</v>
      </c>
      <c r="C1840" t="s">
        <v>5520</v>
      </c>
      <c r="D1840" t="s">
        <v>17972</v>
      </c>
      <c r="E1840" t="s">
        <v>19749</v>
      </c>
      <c r="F1840" t="s">
        <v>30900</v>
      </c>
      <c r="G1840" t="s">
        <v>30906</v>
      </c>
      <c r="H1840" t="s">
        <v>30916</v>
      </c>
      <c r="I1840" t="s">
        <v>5501</v>
      </c>
      <c r="J1840" t="s">
        <v>32416</v>
      </c>
      <c r="K1840" t="s">
        <v>40283</v>
      </c>
      <c r="M1840" t="s">
        <v>41123</v>
      </c>
      <c r="N1840" t="s">
        <v>44759</v>
      </c>
      <c r="O1840" t="s">
        <v>44760</v>
      </c>
      <c r="P1840">
        <v>0</v>
      </c>
      <c r="Q1840">
        <v>0</v>
      </c>
      <c r="R1840" t="s">
        <v>44762</v>
      </c>
      <c r="S1840" t="s">
        <v>44863</v>
      </c>
      <c r="T1840" t="s">
        <v>46379</v>
      </c>
      <c r="U1840" t="s">
        <v>48553</v>
      </c>
      <c r="W1840" t="s">
        <v>41123</v>
      </c>
      <c r="X1840" t="s">
        <v>44763</v>
      </c>
    </row>
    <row r="1841" spans="1:24">
      <c r="A1841">
        <f>HYPERLINK("https://www.philgeps.gov.ph/GEPSNONPILOT/Tender/SplashBidNoticeAbstractUI.aspx?menuIndex=3&amp;refID=7151306&amp;Result=3","7151306")</f>
        <v>0</v>
      </c>
      <c r="B1841" t="s">
        <v>781</v>
      </c>
      <c r="C1841" t="s">
        <v>5521</v>
      </c>
      <c r="D1841" t="s">
        <v>17959</v>
      </c>
      <c r="E1841" t="s">
        <v>19750</v>
      </c>
      <c r="F1841" t="s">
        <v>30900</v>
      </c>
      <c r="G1841" t="s">
        <v>30909</v>
      </c>
      <c r="H1841" t="s">
        <v>30916</v>
      </c>
      <c r="I1841" t="s">
        <v>30923</v>
      </c>
      <c r="J1841" t="s">
        <v>32417</v>
      </c>
      <c r="K1841" t="s">
        <v>40284</v>
      </c>
      <c r="M1841" t="s">
        <v>41350</v>
      </c>
      <c r="N1841" t="s">
        <v>44759</v>
      </c>
      <c r="O1841" t="s">
        <v>44760</v>
      </c>
      <c r="P1841">
        <v>0</v>
      </c>
      <c r="Q1841">
        <v>4</v>
      </c>
      <c r="R1841" t="s">
        <v>44762</v>
      </c>
      <c r="S1841" t="s">
        <v>44863</v>
      </c>
      <c r="T1841" t="s">
        <v>46391</v>
      </c>
      <c r="U1841" t="s">
        <v>48554</v>
      </c>
      <c r="W1841" t="s">
        <v>41350</v>
      </c>
      <c r="X1841" t="s">
        <v>44763</v>
      </c>
    </row>
    <row r="1842" spans="1:24">
      <c r="A1842">
        <f>HYPERLINK("https://www.philgeps.gov.ph/GEPSNONPILOT/Tender/SplashBidNoticeAbstractUI.aspx?menuIndex=3&amp;refID=7151285&amp;Result=3","7151285")</f>
        <v>0</v>
      </c>
      <c r="B1842" t="s">
        <v>217</v>
      </c>
      <c r="C1842" t="s">
        <v>4480</v>
      </c>
      <c r="D1842" t="s">
        <v>17966</v>
      </c>
      <c r="E1842" t="s">
        <v>19751</v>
      </c>
      <c r="F1842" t="s">
        <v>30900</v>
      </c>
      <c r="G1842" t="s">
        <v>30908</v>
      </c>
      <c r="H1842" t="s">
        <v>30916</v>
      </c>
      <c r="I1842" t="s">
        <v>30923</v>
      </c>
      <c r="J1842" t="s">
        <v>31098</v>
      </c>
      <c r="K1842" t="s">
        <v>40284</v>
      </c>
      <c r="M1842" t="s">
        <v>40979</v>
      </c>
      <c r="N1842" t="s">
        <v>44759</v>
      </c>
      <c r="O1842" t="s">
        <v>44760</v>
      </c>
      <c r="P1842">
        <v>0</v>
      </c>
      <c r="Q1842">
        <v>4</v>
      </c>
      <c r="R1842" t="s">
        <v>44762</v>
      </c>
      <c r="S1842" t="s">
        <v>44863</v>
      </c>
      <c r="T1842" t="s">
        <v>46352</v>
      </c>
      <c r="U1842" t="s">
        <v>48555</v>
      </c>
      <c r="W1842" t="s">
        <v>40979</v>
      </c>
      <c r="X1842" t="s">
        <v>44763</v>
      </c>
    </row>
    <row r="1843" spans="1:24">
      <c r="A1843">
        <f>HYPERLINK("https://www.philgeps.gov.ph/GEPSNONPILOT/Tender/SplashBidNoticeAbstractUI.aspx?menuIndex=3&amp;refID=7151313&amp;Result=3","7151313")</f>
        <v>0</v>
      </c>
      <c r="B1843" t="s">
        <v>895</v>
      </c>
      <c r="C1843" t="s">
        <v>5522</v>
      </c>
      <c r="D1843" t="s">
        <v>18009</v>
      </c>
      <c r="E1843" t="s">
        <v>19752</v>
      </c>
      <c r="F1843" t="s">
        <v>30900</v>
      </c>
      <c r="G1843" t="s">
        <v>30908</v>
      </c>
      <c r="H1843" t="s">
        <v>30916</v>
      </c>
      <c r="I1843" t="s">
        <v>6396</v>
      </c>
      <c r="J1843" t="s">
        <v>32418</v>
      </c>
      <c r="K1843" t="s">
        <v>40287</v>
      </c>
      <c r="M1843" t="s">
        <v>41469</v>
      </c>
      <c r="N1843" t="s">
        <v>44759</v>
      </c>
      <c r="O1843" t="s">
        <v>44760</v>
      </c>
      <c r="P1843">
        <v>0</v>
      </c>
      <c r="Q1843">
        <v>0</v>
      </c>
      <c r="R1843" t="s">
        <v>44762</v>
      </c>
      <c r="S1843" t="s">
        <v>44863</v>
      </c>
      <c r="T1843" t="s">
        <v>46357</v>
      </c>
      <c r="U1843" t="s">
        <v>48556</v>
      </c>
      <c r="W1843" t="s">
        <v>41469</v>
      </c>
      <c r="X1843" t="s">
        <v>44763</v>
      </c>
    </row>
    <row r="1844" spans="1:24">
      <c r="A1844">
        <f>HYPERLINK("https://www.philgeps.gov.ph/GEPSNONPILOT/Tender/SplashBidNoticeAbstractUI.aspx?menuIndex=3&amp;refID=7151288&amp;Result=3","7151288")</f>
        <v>0</v>
      </c>
      <c r="B1844" t="s">
        <v>323</v>
      </c>
      <c r="C1844" t="s">
        <v>5523</v>
      </c>
      <c r="D1844" t="s">
        <v>17985</v>
      </c>
      <c r="E1844" t="s">
        <v>19753</v>
      </c>
      <c r="F1844" t="s">
        <v>30900</v>
      </c>
      <c r="G1844" t="s">
        <v>30908</v>
      </c>
      <c r="H1844" t="s">
        <v>30916</v>
      </c>
      <c r="I1844" t="s">
        <v>8123</v>
      </c>
      <c r="J1844" t="s">
        <v>32419</v>
      </c>
      <c r="K1844" t="s">
        <v>40286</v>
      </c>
      <c r="M1844" t="s">
        <v>40874</v>
      </c>
      <c r="N1844" t="s">
        <v>44759</v>
      </c>
      <c r="O1844" t="s">
        <v>44760</v>
      </c>
      <c r="P1844">
        <v>0</v>
      </c>
      <c r="Q1844">
        <v>0</v>
      </c>
      <c r="R1844" t="s">
        <v>44762</v>
      </c>
      <c r="S1844" t="s">
        <v>44863</v>
      </c>
      <c r="T1844" t="s">
        <v>46383</v>
      </c>
      <c r="U1844" t="s">
        <v>48557</v>
      </c>
      <c r="W1844" t="s">
        <v>40874</v>
      </c>
      <c r="X1844" t="s">
        <v>44763</v>
      </c>
    </row>
    <row r="1845" spans="1:24">
      <c r="A1845">
        <f>HYPERLINK("https://www.philgeps.gov.ph/GEPSNONPILOT/Tender/SplashBidNoticeAbstractUI.aspx?menuIndex=3&amp;refID=7151312&amp;Result=3","7151312")</f>
        <v>0</v>
      </c>
      <c r="B1845" t="s">
        <v>896</v>
      </c>
      <c r="C1845" t="s">
        <v>5524</v>
      </c>
      <c r="D1845" t="s">
        <v>17959</v>
      </c>
      <c r="E1845" t="s">
        <v>19754</v>
      </c>
      <c r="F1845" t="s">
        <v>30900</v>
      </c>
      <c r="G1845" t="s">
        <v>30908</v>
      </c>
      <c r="H1845" t="s">
        <v>30916</v>
      </c>
      <c r="I1845" t="s">
        <v>30957</v>
      </c>
      <c r="J1845" t="s">
        <v>31522</v>
      </c>
      <c r="K1845" t="s">
        <v>40286</v>
      </c>
      <c r="M1845" t="s">
        <v>41470</v>
      </c>
      <c r="N1845" t="s">
        <v>44759</v>
      </c>
      <c r="O1845" t="s">
        <v>44760</v>
      </c>
      <c r="P1845">
        <v>0</v>
      </c>
      <c r="Q1845">
        <v>0</v>
      </c>
      <c r="R1845" t="s">
        <v>44762</v>
      </c>
      <c r="S1845" t="s">
        <v>44863</v>
      </c>
      <c r="T1845" t="s">
        <v>46357</v>
      </c>
      <c r="U1845" t="s">
        <v>48558</v>
      </c>
      <c r="W1845" t="s">
        <v>41470</v>
      </c>
      <c r="X1845" t="s">
        <v>44763</v>
      </c>
    </row>
    <row r="1846" spans="1:24">
      <c r="A1846">
        <f>HYPERLINK("https://www.philgeps.gov.ph/GEPSNONPILOT/Tender/SplashBidNoticeAbstractUI.aspx?menuIndex=3&amp;refID=7151310&amp;Result=3","7151310")</f>
        <v>0</v>
      </c>
      <c r="B1846" t="s">
        <v>897</v>
      </c>
      <c r="C1846" t="s">
        <v>5525</v>
      </c>
      <c r="D1846" t="s">
        <v>17957</v>
      </c>
      <c r="E1846" t="s">
        <v>19755</v>
      </c>
      <c r="F1846" t="s">
        <v>30900</v>
      </c>
      <c r="G1846" t="s">
        <v>30907</v>
      </c>
      <c r="H1846" t="s">
        <v>30915</v>
      </c>
      <c r="I1846" t="s">
        <v>30919</v>
      </c>
      <c r="J1846" t="s">
        <v>32420</v>
      </c>
      <c r="K1846" t="s">
        <v>40292</v>
      </c>
      <c r="M1846" t="s">
        <v>41471</v>
      </c>
      <c r="N1846" t="s">
        <v>44759</v>
      </c>
      <c r="O1846" t="s">
        <v>44760</v>
      </c>
      <c r="P1846">
        <v>0</v>
      </c>
      <c r="Q1846">
        <v>0</v>
      </c>
      <c r="R1846" t="s">
        <v>44762</v>
      </c>
      <c r="S1846" t="s">
        <v>44863</v>
      </c>
      <c r="T1846" t="s">
        <v>46375</v>
      </c>
      <c r="U1846" t="s">
        <v>48559</v>
      </c>
      <c r="V1846" t="s">
        <v>59327</v>
      </c>
      <c r="W1846" t="s">
        <v>41471</v>
      </c>
      <c r="X1846" t="s">
        <v>44763</v>
      </c>
    </row>
    <row r="1847" spans="1:24">
      <c r="A1847">
        <f>HYPERLINK("https://www.philgeps.gov.ph/GEPSNONPILOT/Tender/SplashBidNoticeAbstractUI.aspx?menuIndex=3&amp;refID=7151287&amp;Result=3","7151287")</f>
        <v>0</v>
      </c>
      <c r="B1847" t="s">
        <v>858</v>
      </c>
      <c r="C1847" t="s">
        <v>5526</v>
      </c>
      <c r="D1847" t="s">
        <v>17977</v>
      </c>
      <c r="E1847" t="s">
        <v>19756</v>
      </c>
      <c r="F1847" t="s">
        <v>30900</v>
      </c>
      <c r="G1847" t="s">
        <v>30908</v>
      </c>
      <c r="H1847" t="s">
        <v>30916</v>
      </c>
      <c r="I1847" t="s">
        <v>5501</v>
      </c>
      <c r="J1847" t="s">
        <v>32421</v>
      </c>
      <c r="K1847" t="s">
        <v>40289</v>
      </c>
      <c r="M1847" t="s">
        <v>41431</v>
      </c>
      <c r="N1847" t="s">
        <v>44759</v>
      </c>
      <c r="O1847" t="s">
        <v>44760</v>
      </c>
      <c r="P1847">
        <v>0</v>
      </c>
      <c r="Q1847">
        <v>2</v>
      </c>
      <c r="R1847" t="s">
        <v>44762</v>
      </c>
      <c r="S1847" t="s">
        <v>44863</v>
      </c>
      <c r="T1847" t="s">
        <v>46410</v>
      </c>
      <c r="U1847" t="s">
        <v>48484</v>
      </c>
      <c r="W1847" t="s">
        <v>41431</v>
      </c>
      <c r="X1847" t="s">
        <v>44763</v>
      </c>
    </row>
    <row r="1848" spans="1:24">
      <c r="A1848">
        <f>HYPERLINK("https://www.philgeps.gov.ph/GEPSNONPILOT/Tender/SplashBidNoticeAbstractUI.aspx?menuIndex=3&amp;refID=7151307&amp;Result=3","7151307")</f>
        <v>0</v>
      </c>
      <c r="B1848" t="s">
        <v>898</v>
      </c>
      <c r="C1848" t="s">
        <v>5527</v>
      </c>
      <c r="D1848" t="s">
        <v>17959</v>
      </c>
      <c r="E1848" t="s">
        <v>19757</v>
      </c>
      <c r="F1848" t="s">
        <v>30900</v>
      </c>
      <c r="G1848" t="s">
        <v>30907</v>
      </c>
      <c r="H1848" t="s">
        <v>30916</v>
      </c>
      <c r="I1848" t="s">
        <v>4108</v>
      </c>
      <c r="J1848" t="s">
        <v>31049</v>
      </c>
      <c r="K1848" t="s">
        <v>40287</v>
      </c>
      <c r="M1848" t="s">
        <v>41472</v>
      </c>
      <c r="N1848" t="s">
        <v>44759</v>
      </c>
      <c r="O1848" t="s">
        <v>44760</v>
      </c>
      <c r="P1848">
        <v>0</v>
      </c>
      <c r="Q1848">
        <v>1</v>
      </c>
      <c r="R1848" t="s">
        <v>44762</v>
      </c>
      <c r="S1848" t="s">
        <v>44863</v>
      </c>
      <c r="T1848" t="s">
        <v>46409</v>
      </c>
      <c r="U1848" t="s">
        <v>48560</v>
      </c>
      <c r="W1848" t="s">
        <v>41472</v>
      </c>
      <c r="X1848" t="s">
        <v>44763</v>
      </c>
    </row>
    <row r="1849" spans="1:24">
      <c r="A1849">
        <f>HYPERLINK("https://www.philgeps.gov.ph/GEPSNONPILOT/Tender/SplashBidNoticeAbstractUI.aspx?menuIndex=3&amp;refID=7151303&amp;Result=3","7151303")</f>
        <v>0</v>
      </c>
      <c r="B1849" t="s">
        <v>899</v>
      </c>
      <c r="C1849" t="s">
        <v>5528</v>
      </c>
      <c r="E1849" t="s">
        <v>19758</v>
      </c>
      <c r="F1849" t="s">
        <v>30900</v>
      </c>
      <c r="G1849" t="s">
        <v>30907</v>
      </c>
      <c r="H1849" t="s">
        <v>30916</v>
      </c>
      <c r="I1849" t="s">
        <v>30929</v>
      </c>
      <c r="J1849" t="s">
        <v>32422</v>
      </c>
      <c r="K1849" t="s">
        <v>40289</v>
      </c>
      <c r="M1849" t="s">
        <v>41473</v>
      </c>
      <c r="N1849" t="s">
        <v>44759</v>
      </c>
      <c r="O1849" t="s">
        <v>44760</v>
      </c>
      <c r="P1849">
        <v>0</v>
      </c>
      <c r="Q1849">
        <v>12</v>
      </c>
      <c r="R1849" t="s">
        <v>44762</v>
      </c>
      <c r="S1849" t="s">
        <v>44863</v>
      </c>
      <c r="T1849" t="s">
        <v>46456</v>
      </c>
      <c r="U1849" t="s">
        <v>48561</v>
      </c>
      <c r="W1849" t="s">
        <v>41473</v>
      </c>
      <c r="X1849" t="s">
        <v>44763</v>
      </c>
    </row>
    <row r="1850" spans="1:24">
      <c r="A1850">
        <f>HYPERLINK("https://www.philgeps.gov.ph/GEPSNONPILOT/Tender/SplashBidNoticeAbstractUI.aspx?menuIndex=3&amp;refID=7151241&amp;Result=3","7151241")</f>
        <v>0</v>
      </c>
      <c r="B1850" t="s">
        <v>416</v>
      </c>
      <c r="C1850" t="s">
        <v>5529</v>
      </c>
      <c r="D1850" t="s">
        <v>17976</v>
      </c>
      <c r="E1850" t="s">
        <v>19759</v>
      </c>
      <c r="F1850" t="s">
        <v>30900</v>
      </c>
      <c r="G1850" t="s">
        <v>30906</v>
      </c>
      <c r="H1850" t="s">
        <v>30916</v>
      </c>
      <c r="I1850" t="s">
        <v>6408</v>
      </c>
      <c r="J1850" t="s">
        <v>31355</v>
      </c>
      <c r="K1850" t="s">
        <v>40283</v>
      </c>
      <c r="M1850" t="s">
        <v>40972</v>
      </c>
      <c r="N1850" t="s">
        <v>44759</v>
      </c>
      <c r="O1850" t="s">
        <v>44760</v>
      </c>
      <c r="P1850">
        <v>0</v>
      </c>
      <c r="Q1850">
        <v>0</v>
      </c>
      <c r="R1850" t="s">
        <v>44762</v>
      </c>
      <c r="S1850" t="s">
        <v>44863</v>
      </c>
      <c r="T1850" t="s">
        <v>46369</v>
      </c>
      <c r="U1850" t="s">
        <v>48562</v>
      </c>
      <c r="W1850" t="s">
        <v>40972</v>
      </c>
      <c r="X1850" t="s">
        <v>44763</v>
      </c>
    </row>
    <row r="1851" spans="1:24">
      <c r="A1851">
        <f>HYPERLINK("https://www.philgeps.gov.ph/GEPSNONPILOT/Tender/SplashBidNoticeAbstractUI.aspx?menuIndex=3&amp;refID=7151280&amp;Result=3","7151280")</f>
        <v>0</v>
      </c>
      <c r="B1851" t="s">
        <v>462</v>
      </c>
      <c r="C1851" t="s">
        <v>5530</v>
      </c>
      <c r="D1851" t="s">
        <v>17980</v>
      </c>
      <c r="E1851" t="s">
        <v>19760</v>
      </c>
      <c r="F1851" t="s">
        <v>30900</v>
      </c>
      <c r="G1851" t="s">
        <v>30908</v>
      </c>
      <c r="H1851" t="s">
        <v>30916</v>
      </c>
      <c r="I1851" t="s">
        <v>8123</v>
      </c>
      <c r="J1851" t="s">
        <v>32423</v>
      </c>
      <c r="K1851" t="s">
        <v>40285</v>
      </c>
      <c r="M1851" t="s">
        <v>41020</v>
      </c>
      <c r="N1851" t="s">
        <v>44759</v>
      </c>
      <c r="O1851" t="s">
        <v>44760</v>
      </c>
      <c r="P1851">
        <v>0</v>
      </c>
      <c r="Q1851">
        <v>0</v>
      </c>
      <c r="R1851" t="s">
        <v>44762</v>
      </c>
      <c r="S1851" t="s">
        <v>44863</v>
      </c>
      <c r="T1851" t="s">
        <v>46414</v>
      </c>
      <c r="U1851" t="s">
        <v>48563</v>
      </c>
      <c r="W1851" t="s">
        <v>41020</v>
      </c>
      <c r="X1851" t="s">
        <v>44763</v>
      </c>
    </row>
    <row r="1852" spans="1:24">
      <c r="A1852">
        <f>HYPERLINK("https://www.philgeps.gov.ph/GEPSNONPILOT/Tender/SplashBidNoticeAbstractUI.aspx?menuIndex=3&amp;refID=7151311&amp;Result=3","7151311")</f>
        <v>0</v>
      </c>
      <c r="B1852" t="s">
        <v>900</v>
      </c>
      <c r="C1852" t="s">
        <v>5531</v>
      </c>
      <c r="D1852" t="s">
        <v>17963</v>
      </c>
      <c r="E1852" t="s">
        <v>19177</v>
      </c>
      <c r="F1852" t="s">
        <v>30900</v>
      </c>
      <c r="G1852" t="s">
        <v>30908</v>
      </c>
      <c r="H1852" t="s">
        <v>30917</v>
      </c>
      <c r="I1852" t="s">
        <v>30994</v>
      </c>
      <c r="J1852" t="s">
        <v>31374</v>
      </c>
      <c r="K1852" t="s">
        <v>40287</v>
      </c>
      <c r="M1852" t="s">
        <v>41474</v>
      </c>
      <c r="N1852" t="s">
        <v>44759</v>
      </c>
      <c r="O1852" t="s">
        <v>44760</v>
      </c>
      <c r="P1852">
        <v>0</v>
      </c>
      <c r="Q1852">
        <v>2</v>
      </c>
      <c r="R1852" t="s">
        <v>44762</v>
      </c>
      <c r="S1852" t="s">
        <v>44863</v>
      </c>
      <c r="T1852" t="s">
        <v>46410</v>
      </c>
      <c r="U1852" t="s">
        <v>48564</v>
      </c>
      <c r="W1852" t="s">
        <v>41474</v>
      </c>
      <c r="X1852" t="s">
        <v>44763</v>
      </c>
    </row>
    <row r="1853" spans="1:24">
      <c r="A1853">
        <f>HYPERLINK("https://www.philgeps.gov.ph/GEPSNONPILOT/Tender/SplashBidNoticeAbstractUI.aspx?menuIndex=3&amp;refID=7151299&amp;Result=3","7151299")</f>
        <v>0</v>
      </c>
      <c r="B1853" t="s">
        <v>836</v>
      </c>
      <c r="C1853" t="s">
        <v>5532</v>
      </c>
      <c r="D1853" t="s">
        <v>17952</v>
      </c>
      <c r="E1853" t="s">
        <v>19761</v>
      </c>
      <c r="F1853" t="s">
        <v>30900</v>
      </c>
      <c r="G1853" t="s">
        <v>30908</v>
      </c>
      <c r="H1853" t="s">
        <v>30916</v>
      </c>
      <c r="I1853" t="s">
        <v>30998</v>
      </c>
      <c r="J1853" t="s">
        <v>31183</v>
      </c>
      <c r="K1853" t="s">
        <v>40286</v>
      </c>
      <c r="M1853" t="s">
        <v>41409</v>
      </c>
      <c r="N1853" t="s">
        <v>44759</v>
      </c>
      <c r="O1853" t="s">
        <v>44760</v>
      </c>
      <c r="P1853">
        <v>0</v>
      </c>
      <c r="Q1853">
        <v>1</v>
      </c>
      <c r="R1853" t="s">
        <v>44762</v>
      </c>
      <c r="S1853" t="s">
        <v>44863</v>
      </c>
      <c r="T1853" t="s">
        <v>46547</v>
      </c>
      <c r="U1853" t="s">
        <v>48565</v>
      </c>
      <c r="W1853" t="s">
        <v>41409</v>
      </c>
      <c r="X1853" t="s">
        <v>44763</v>
      </c>
    </row>
    <row r="1854" spans="1:24">
      <c r="A1854">
        <f>HYPERLINK("https://www.philgeps.gov.ph/GEPSNONPILOT/Tender/SplashBidNoticeAbstractUI.aspx?menuIndex=3&amp;refID=7151298&amp;Result=3","7151298")</f>
        <v>0</v>
      </c>
      <c r="B1854" t="s">
        <v>901</v>
      </c>
      <c r="C1854" t="s">
        <v>5533</v>
      </c>
      <c r="D1854" t="s">
        <v>18000</v>
      </c>
      <c r="E1854" t="s">
        <v>19762</v>
      </c>
      <c r="F1854" t="s">
        <v>30900</v>
      </c>
      <c r="G1854" t="s">
        <v>30908</v>
      </c>
      <c r="H1854" t="s">
        <v>30916</v>
      </c>
      <c r="I1854" t="s">
        <v>4142</v>
      </c>
      <c r="J1854" t="s">
        <v>32424</v>
      </c>
      <c r="K1854" t="s">
        <v>40283</v>
      </c>
      <c r="M1854" t="s">
        <v>41475</v>
      </c>
      <c r="N1854" t="s">
        <v>44759</v>
      </c>
      <c r="O1854" t="s">
        <v>44760</v>
      </c>
      <c r="P1854">
        <v>0</v>
      </c>
      <c r="Q1854">
        <v>1</v>
      </c>
      <c r="R1854" t="s">
        <v>44762</v>
      </c>
      <c r="S1854" t="s">
        <v>44863</v>
      </c>
      <c r="T1854" t="s">
        <v>46383</v>
      </c>
      <c r="U1854" t="s">
        <v>48566</v>
      </c>
      <c r="W1854" t="s">
        <v>41475</v>
      </c>
      <c r="X1854" t="s">
        <v>44763</v>
      </c>
    </row>
    <row r="1855" spans="1:24">
      <c r="A1855">
        <f>HYPERLINK("https://www.philgeps.gov.ph/GEPSNONPILOT/Tender/SplashBidNoticeAbstractUI.aspx?menuIndex=3&amp;refID=7151297&amp;Result=3","7151297")</f>
        <v>0</v>
      </c>
      <c r="B1855" t="s">
        <v>875</v>
      </c>
      <c r="C1855" t="s">
        <v>5534</v>
      </c>
      <c r="D1855" t="s">
        <v>17985</v>
      </c>
      <c r="E1855" t="s">
        <v>19763</v>
      </c>
      <c r="F1855" t="s">
        <v>30900</v>
      </c>
      <c r="G1855" t="s">
        <v>30908</v>
      </c>
      <c r="H1855" t="s">
        <v>30916</v>
      </c>
      <c r="I1855" t="s">
        <v>4545</v>
      </c>
      <c r="J1855" t="s">
        <v>31686</v>
      </c>
      <c r="K1855" t="s">
        <v>40284</v>
      </c>
      <c r="M1855" t="s">
        <v>41448</v>
      </c>
      <c r="N1855" t="s">
        <v>44759</v>
      </c>
      <c r="O1855" t="s">
        <v>44760</v>
      </c>
      <c r="P1855">
        <v>0</v>
      </c>
      <c r="Q1855">
        <v>0</v>
      </c>
      <c r="R1855" t="s">
        <v>44762</v>
      </c>
      <c r="S1855" t="s">
        <v>44863</v>
      </c>
      <c r="T1855" t="s">
        <v>46395</v>
      </c>
      <c r="U1855" t="s">
        <v>48567</v>
      </c>
      <c r="W1855" t="s">
        <v>41448</v>
      </c>
      <c r="X1855" t="s">
        <v>44763</v>
      </c>
    </row>
    <row r="1856" spans="1:24">
      <c r="A1856">
        <f>HYPERLINK("https://www.philgeps.gov.ph/GEPSNONPILOT/Tender/SplashBidNoticeAbstractUI.aspx?menuIndex=3&amp;refID=7151295&amp;Result=3","7151295")</f>
        <v>0</v>
      </c>
      <c r="B1856" t="s">
        <v>838</v>
      </c>
      <c r="C1856" t="s">
        <v>5535</v>
      </c>
      <c r="D1856" t="s">
        <v>17975</v>
      </c>
      <c r="E1856" t="s">
        <v>18595</v>
      </c>
      <c r="F1856" t="s">
        <v>30900</v>
      </c>
      <c r="G1856" t="s">
        <v>30908</v>
      </c>
      <c r="H1856" t="s">
        <v>30915</v>
      </c>
      <c r="I1856" t="s">
        <v>30919</v>
      </c>
      <c r="J1856" t="s">
        <v>31204</v>
      </c>
      <c r="K1856" t="s">
        <v>40286</v>
      </c>
      <c r="M1856" t="s">
        <v>41411</v>
      </c>
      <c r="N1856" t="s">
        <v>44759</v>
      </c>
      <c r="O1856" t="s">
        <v>44760</v>
      </c>
      <c r="P1856">
        <v>0</v>
      </c>
      <c r="Q1856">
        <v>0</v>
      </c>
      <c r="R1856" t="s">
        <v>44762</v>
      </c>
      <c r="S1856" t="s">
        <v>44863</v>
      </c>
      <c r="T1856" t="s">
        <v>46414</v>
      </c>
      <c r="U1856" t="s">
        <v>48568</v>
      </c>
      <c r="W1856" t="s">
        <v>41411</v>
      </c>
      <c r="X1856" t="s">
        <v>44763</v>
      </c>
    </row>
    <row r="1857" spans="1:24">
      <c r="A1857">
        <f>HYPERLINK("https://www.philgeps.gov.ph/GEPSNONPILOT/Tender/SplashBidNoticeAbstractUI.aspx?menuIndex=3&amp;refID=7151326&amp;Result=3","7151326")</f>
        <v>0</v>
      </c>
      <c r="B1857" t="s">
        <v>350</v>
      </c>
      <c r="C1857" t="s">
        <v>5536</v>
      </c>
      <c r="D1857" t="s">
        <v>18025</v>
      </c>
      <c r="E1857" t="s">
        <v>19764</v>
      </c>
      <c r="F1857" t="s">
        <v>30900</v>
      </c>
      <c r="G1857" t="s">
        <v>30907</v>
      </c>
      <c r="H1857" t="s">
        <v>30915</v>
      </c>
      <c r="I1857" t="s">
        <v>30919</v>
      </c>
      <c r="J1857" t="s">
        <v>31153</v>
      </c>
      <c r="K1857" t="s">
        <v>40280</v>
      </c>
      <c r="M1857" t="s">
        <v>41170</v>
      </c>
      <c r="N1857" t="s">
        <v>44759</v>
      </c>
      <c r="O1857" t="s">
        <v>44760</v>
      </c>
      <c r="P1857">
        <v>0</v>
      </c>
      <c r="Q1857">
        <v>1</v>
      </c>
      <c r="R1857" t="s">
        <v>44762</v>
      </c>
      <c r="S1857" t="s">
        <v>44863</v>
      </c>
      <c r="T1857" t="s">
        <v>46433</v>
      </c>
      <c r="U1857" t="s">
        <v>47499</v>
      </c>
      <c r="V1857" t="s">
        <v>59326</v>
      </c>
      <c r="W1857" t="s">
        <v>60826</v>
      </c>
      <c r="X1857" t="s">
        <v>44763</v>
      </c>
    </row>
    <row r="1858" spans="1:24">
      <c r="A1858">
        <f>HYPERLINK("https://www.philgeps.gov.ph/GEPSNONPILOT/Tender/SplashBidNoticeAbstractUI.aspx?menuIndex=3&amp;refID=7151301&amp;Result=3","7151301")</f>
        <v>0</v>
      </c>
      <c r="B1858" t="s">
        <v>902</v>
      </c>
      <c r="C1858" t="s">
        <v>5537</v>
      </c>
      <c r="D1858" t="s">
        <v>18025</v>
      </c>
      <c r="E1858" t="s">
        <v>19765</v>
      </c>
      <c r="F1858" t="s">
        <v>30900</v>
      </c>
      <c r="G1858" t="s">
        <v>30908</v>
      </c>
      <c r="H1858" t="s">
        <v>30916</v>
      </c>
      <c r="I1858" t="s">
        <v>30923</v>
      </c>
      <c r="J1858" t="s">
        <v>32425</v>
      </c>
      <c r="K1858" t="s">
        <v>40289</v>
      </c>
      <c r="M1858" t="s">
        <v>41476</v>
      </c>
      <c r="N1858" t="s">
        <v>44759</v>
      </c>
      <c r="O1858" t="s">
        <v>44760</v>
      </c>
      <c r="P1858">
        <v>0</v>
      </c>
      <c r="Q1858">
        <v>13</v>
      </c>
      <c r="R1858" t="s">
        <v>44762</v>
      </c>
      <c r="S1858" t="s">
        <v>44863</v>
      </c>
      <c r="T1858" t="s">
        <v>46457</v>
      </c>
      <c r="U1858" t="s">
        <v>48569</v>
      </c>
      <c r="W1858" t="s">
        <v>60843</v>
      </c>
      <c r="X1858" t="s">
        <v>44763</v>
      </c>
    </row>
    <row r="1859" spans="1:24">
      <c r="A1859">
        <f>HYPERLINK("https://www.philgeps.gov.ph/GEPSNONPILOT/Tender/SplashBidNoticeAbstractUI.aspx?menuIndex=3&amp;refID=7151308&amp;Result=3","7151308")</f>
        <v>0</v>
      </c>
      <c r="B1859" t="s">
        <v>350</v>
      </c>
      <c r="C1859" t="s">
        <v>5538</v>
      </c>
      <c r="D1859" t="s">
        <v>18025</v>
      </c>
      <c r="E1859" t="s">
        <v>19766</v>
      </c>
      <c r="F1859" t="s">
        <v>30900</v>
      </c>
      <c r="G1859" t="s">
        <v>30907</v>
      </c>
      <c r="H1859" t="s">
        <v>30915</v>
      </c>
      <c r="I1859" t="s">
        <v>30919</v>
      </c>
      <c r="J1859" t="s">
        <v>31391</v>
      </c>
      <c r="K1859" t="s">
        <v>40293</v>
      </c>
      <c r="M1859" t="s">
        <v>41477</v>
      </c>
      <c r="N1859" t="s">
        <v>44759</v>
      </c>
      <c r="O1859" t="s">
        <v>44760</v>
      </c>
      <c r="P1859">
        <v>0</v>
      </c>
      <c r="Q1859">
        <v>1</v>
      </c>
      <c r="R1859" t="s">
        <v>44762</v>
      </c>
      <c r="S1859" t="s">
        <v>44863</v>
      </c>
      <c r="T1859" t="s">
        <v>46433</v>
      </c>
      <c r="U1859" t="s">
        <v>47499</v>
      </c>
      <c r="V1859" t="s">
        <v>59326</v>
      </c>
      <c r="W1859" t="s">
        <v>60826</v>
      </c>
      <c r="X1859" t="s">
        <v>44763</v>
      </c>
    </row>
    <row r="1860" spans="1:24">
      <c r="A1860">
        <f>HYPERLINK("https://www.philgeps.gov.ph/GEPSNONPILOT/Tender/SplashBidNoticeAbstractUI.aspx?menuIndex=3&amp;refID=7151305&amp;Result=3","7151305")</f>
        <v>0</v>
      </c>
      <c r="B1860" t="s">
        <v>877</v>
      </c>
      <c r="C1860" t="s">
        <v>5539</v>
      </c>
      <c r="D1860" t="s">
        <v>18023</v>
      </c>
      <c r="E1860" t="s">
        <v>19767</v>
      </c>
      <c r="F1860" t="s">
        <v>30900</v>
      </c>
      <c r="G1860" t="s">
        <v>30909</v>
      </c>
      <c r="H1860" t="s">
        <v>30916</v>
      </c>
      <c r="I1860" t="s">
        <v>4142</v>
      </c>
      <c r="J1860" t="s">
        <v>32426</v>
      </c>
      <c r="K1860" t="s">
        <v>40286</v>
      </c>
      <c r="M1860" t="s">
        <v>41450</v>
      </c>
      <c r="N1860" t="s">
        <v>44759</v>
      </c>
      <c r="O1860" t="s">
        <v>44760</v>
      </c>
      <c r="P1860">
        <v>0</v>
      </c>
      <c r="Q1860">
        <v>0</v>
      </c>
      <c r="R1860" t="s">
        <v>44762</v>
      </c>
      <c r="S1860" t="s">
        <v>44863</v>
      </c>
      <c r="T1860" t="s">
        <v>46414</v>
      </c>
      <c r="U1860" t="s">
        <v>48570</v>
      </c>
      <c r="W1860" t="s">
        <v>41450</v>
      </c>
      <c r="X1860" t="s">
        <v>44763</v>
      </c>
    </row>
    <row r="1861" spans="1:24">
      <c r="A1861">
        <f>HYPERLINK("https://www.philgeps.gov.ph/GEPSNONPILOT/Tender/SplashBidNoticeAbstractUI.aspx?menuIndex=3&amp;refID=7151304&amp;Result=3","7151304")</f>
        <v>0</v>
      </c>
      <c r="B1861" t="s">
        <v>870</v>
      </c>
      <c r="C1861" t="s">
        <v>5540</v>
      </c>
      <c r="D1861" t="s">
        <v>17968</v>
      </c>
      <c r="E1861" t="s">
        <v>19768</v>
      </c>
      <c r="F1861" t="s">
        <v>30900</v>
      </c>
      <c r="G1861" t="s">
        <v>30908</v>
      </c>
      <c r="H1861" t="s">
        <v>30916</v>
      </c>
      <c r="I1861" t="s">
        <v>4142</v>
      </c>
      <c r="J1861" t="s">
        <v>31370</v>
      </c>
      <c r="K1861" t="s">
        <v>40287</v>
      </c>
      <c r="M1861" t="s">
        <v>41443</v>
      </c>
      <c r="N1861" t="s">
        <v>44759</v>
      </c>
      <c r="O1861" t="s">
        <v>44760</v>
      </c>
      <c r="P1861">
        <v>0</v>
      </c>
      <c r="Q1861">
        <v>1</v>
      </c>
      <c r="R1861" t="s">
        <v>44762</v>
      </c>
      <c r="S1861" t="s">
        <v>44863</v>
      </c>
      <c r="T1861" t="s">
        <v>46379</v>
      </c>
      <c r="U1861" t="s">
        <v>48571</v>
      </c>
      <c r="W1861" t="s">
        <v>41443</v>
      </c>
      <c r="X1861" t="s">
        <v>44763</v>
      </c>
    </row>
    <row r="1862" spans="1:24">
      <c r="A1862">
        <f>HYPERLINK("https://www.philgeps.gov.ph/GEPSNONPILOT/Tender/SplashBidNoticeAbstractUI.aspx?menuIndex=3&amp;refID=7151334&amp;Result=3","7151334")</f>
        <v>0</v>
      </c>
      <c r="B1862" t="s">
        <v>903</v>
      </c>
      <c r="C1862" t="s">
        <v>5541</v>
      </c>
      <c r="D1862" t="s">
        <v>17962</v>
      </c>
      <c r="E1862" t="s">
        <v>19769</v>
      </c>
      <c r="F1862" t="s">
        <v>30900</v>
      </c>
      <c r="G1862" t="s">
        <v>30907</v>
      </c>
      <c r="H1862" t="s">
        <v>30916</v>
      </c>
      <c r="I1862" t="s">
        <v>4061</v>
      </c>
      <c r="J1862" t="s">
        <v>31391</v>
      </c>
      <c r="K1862" t="s">
        <v>40283</v>
      </c>
      <c r="M1862" t="s">
        <v>41478</v>
      </c>
      <c r="N1862" t="s">
        <v>44759</v>
      </c>
      <c r="O1862" t="s">
        <v>44760</v>
      </c>
      <c r="P1862">
        <v>0</v>
      </c>
      <c r="Q1862">
        <v>1</v>
      </c>
      <c r="R1862" t="s">
        <v>44762</v>
      </c>
      <c r="S1862" t="s">
        <v>44863</v>
      </c>
      <c r="T1862" t="s">
        <v>46558</v>
      </c>
      <c r="U1862" t="s">
        <v>48572</v>
      </c>
      <c r="V1862" t="s">
        <v>59328</v>
      </c>
      <c r="W1862" t="s">
        <v>41478</v>
      </c>
      <c r="X1862" t="s">
        <v>44763</v>
      </c>
    </row>
    <row r="1863" spans="1:24">
      <c r="A1863">
        <f>HYPERLINK("https://www.philgeps.gov.ph/GEPSNONPILOT/Tender/SplashBidNoticeAbstractUI.aspx?menuIndex=3&amp;refID=7151332&amp;Result=3","7151332")</f>
        <v>0</v>
      </c>
      <c r="B1863" t="s">
        <v>904</v>
      </c>
      <c r="C1863" t="s">
        <v>5542</v>
      </c>
      <c r="D1863" t="s">
        <v>17993</v>
      </c>
      <c r="E1863" t="s">
        <v>19770</v>
      </c>
      <c r="F1863" t="s">
        <v>30900</v>
      </c>
      <c r="G1863" t="s">
        <v>30908</v>
      </c>
      <c r="H1863" t="s">
        <v>30916</v>
      </c>
      <c r="I1863" t="s">
        <v>30923</v>
      </c>
      <c r="J1863" t="s">
        <v>32427</v>
      </c>
      <c r="K1863" t="s">
        <v>40288</v>
      </c>
      <c r="M1863" t="s">
        <v>41479</v>
      </c>
      <c r="N1863" t="s">
        <v>44759</v>
      </c>
      <c r="O1863" t="s">
        <v>44760</v>
      </c>
      <c r="P1863">
        <v>0</v>
      </c>
      <c r="Q1863">
        <v>2</v>
      </c>
      <c r="R1863" t="s">
        <v>44762</v>
      </c>
      <c r="S1863" t="s">
        <v>44863</v>
      </c>
      <c r="T1863" t="s">
        <v>46410</v>
      </c>
      <c r="U1863" t="s">
        <v>48573</v>
      </c>
      <c r="W1863" t="s">
        <v>41479</v>
      </c>
      <c r="X1863" t="s">
        <v>44763</v>
      </c>
    </row>
    <row r="1864" spans="1:24">
      <c r="A1864">
        <f>HYPERLINK("https://www.philgeps.gov.ph/GEPSNONPILOT/Tender/SplashBidNoticeAbstractUI.aspx?menuIndex=3&amp;refID=7151331&amp;Result=3","7151331")</f>
        <v>0</v>
      </c>
      <c r="B1864" t="s">
        <v>905</v>
      </c>
      <c r="C1864" t="s">
        <v>5543</v>
      </c>
      <c r="D1864" t="s">
        <v>18015</v>
      </c>
      <c r="E1864" t="s">
        <v>18758</v>
      </c>
      <c r="F1864" t="s">
        <v>30900</v>
      </c>
      <c r="G1864" t="s">
        <v>30907</v>
      </c>
      <c r="H1864" t="s">
        <v>30915</v>
      </c>
      <c r="I1864" t="s">
        <v>30919</v>
      </c>
      <c r="J1864" t="s">
        <v>32428</v>
      </c>
      <c r="K1864" t="s">
        <v>40295</v>
      </c>
      <c r="L1864" t="s">
        <v>905</v>
      </c>
      <c r="M1864" t="s">
        <v>41480</v>
      </c>
      <c r="N1864" t="s">
        <v>44759</v>
      </c>
      <c r="O1864" t="s">
        <v>44760</v>
      </c>
      <c r="P1864">
        <v>0</v>
      </c>
      <c r="Q1864">
        <v>0</v>
      </c>
      <c r="R1864" t="s">
        <v>44762</v>
      </c>
      <c r="S1864" t="s">
        <v>44863</v>
      </c>
      <c r="T1864" t="s">
        <v>46380</v>
      </c>
      <c r="U1864" t="s">
        <v>48574</v>
      </c>
      <c r="W1864" t="s">
        <v>41480</v>
      </c>
      <c r="X1864" t="s">
        <v>44763</v>
      </c>
    </row>
    <row r="1865" spans="1:24">
      <c r="A1865">
        <f>HYPERLINK("https://www.philgeps.gov.ph/GEPSNONPILOT/Tender/SplashBidNoticeAbstractUI.aspx?menuIndex=3&amp;refID=7151300&amp;Result=3","7151300")</f>
        <v>0</v>
      </c>
      <c r="B1865" t="s">
        <v>725</v>
      </c>
      <c r="C1865" t="s">
        <v>5544</v>
      </c>
      <c r="D1865" t="s">
        <v>18004</v>
      </c>
      <c r="E1865" t="s">
        <v>19111</v>
      </c>
      <c r="F1865" t="s">
        <v>30900</v>
      </c>
      <c r="G1865" t="s">
        <v>30907</v>
      </c>
      <c r="H1865" t="s">
        <v>30916</v>
      </c>
      <c r="I1865" t="s">
        <v>30947</v>
      </c>
      <c r="J1865" t="s">
        <v>31101</v>
      </c>
      <c r="K1865" t="s">
        <v>40284</v>
      </c>
      <c r="M1865" t="s">
        <v>41289</v>
      </c>
      <c r="N1865" t="s">
        <v>44759</v>
      </c>
      <c r="O1865" t="s">
        <v>44760</v>
      </c>
      <c r="P1865">
        <v>0</v>
      </c>
      <c r="Q1865">
        <v>0</v>
      </c>
      <c r="R1865" t="s">
        <v>44762</v>
      </c>
      <c r="S1865" t="s">
        <v>44863</v>
      </c>
      <c r="T1865" t="s">
        <v>46353</v>
      </c>
      <c r="U1865" t="s">
        <v>48575</v>
      </c>
      <c r="W1865" t="s">
        <v>41289</v>
      </c>
      <c r="X1865" t="s">
        <v>44763</v>
      </c>
    </row>
    <row r="1866" spans="1:24">
      <c r="A1866">
        <f>HYPERLINK("https://www.philgeps.gov.ph/GEPSNONPILOT/Tender/SplashBidNoticeAbstractUI.aspx?menuIndex=3&amp;refID=7151329&amp;Result=3","7151329")</f>
        <v>0</v>
      </c>
      <c r="B1866" t="s">
        <v>901</v>
      </c>
      <c r="C1866" t="s">
        <v>5545</v>
      </c>
      <c r="D1866" t="s">
        <v>18000</v>
      </c>
      <c r="E1866" t="s">
        <v>19771</v>
      </c>
      <c r="F1866" t="s">
        <v>30900</v>
      </c>
      <c r="G1866" t="s">
        <v>30907</v>
      </c>
      <c r="H1866" t="s">
        <v>30916</v>
      </c>
      <c r="I1866" t="s">
        <v>30921</v>
      </c>
      <c r="J1866" t="s">
        <v>32429</v>
      </c>
      <c r="K1866" t="s">
        <v>40283</v>
      </c>
      <c r="M1866" t="s">
        <v>41475</v>
      </c>
      <c r="N1866" t="s">
        <v>44759</v>
      </c>
      <c r="O1866" t="s">
        <v>44760</v>
      </c>
      <c r="P1866">
        <v>0</v>
      </c>
      <c r="Q1866">
        <v>4</v>
      </c>
      <c r="R1866" t="s">
        <v>44762</v>
      </c>
      <c r="S1866" t="s">
        <v>44863</v>
      </c>
      <c r="T1866" t="s">
        <v>46389</v>
      </c>
      <c r="U1866" t="s">
        <v>48576</v>
      </c>
      <c r="W1866" t="s">
        <v>41475</v>
      </c>
      <c r="X1866" t="s">
        <v>44763</v>
      </c>
    </row>
    <row r="1867" spans="1:24">
      <c r="A1867">
        <f>HYPERLINK("https://www.philgeps.gov.ph/GEPSNONPILOT/Tender/SplashBidNoticeAbstractUI.aspx?menuIndex=3&amp;refID=7151337&amp;Result=3","7151337")</f>
        <v>0</v>
      </c>
      <c r="B1867" t="s">
        <v>906</v>
      </c>
      <c r="C1867" t="s">
        <v>5546</v>
      </c>
      <c r="D1867" t="s">
        <v>17959</v>
      </c>
      <c r="E1867" t="s">
        <v>19772</v>
      </c>
      <c r="F1867" t="s">
        <v>30900</v>
      </c>
      <c r="G1867" t="s">
        <v>30908</v>
      </c>
      <c r="H1867" t="s">
        <v>30916</v>
      </c>
      <c r="I1867" t="s">
        <v>30923</v>
      </c>
      <c r="J1867" t="s">
        <v>31183</v>
      </c>
      <c r="K1867" t="s">
        <v>40284</v>
      </c>
      <c r="M1867" t="s">
        <v>41481</v>
      </c>
      <c r="N1867" t="s">
        <v>44759</v>
      </c>
      <c r="O1867" t="s">
        <v>44760</v>
      </c>
      <c r="P1867">
        <v>0</v>
      </c>
      <c r="Q1867">
        <v>2</v>
      </c>
      <c r="R1867" t="s">
        <v>44762</v>
      </c>
      <c r="S1867" t="s">
        <v>44863</v>
      </c>
      <c r="T1867" t="s">
        <v>46377</v>
      </c>
      <c r="U1867" t="s">
        <v>48577</v>
      </c>
      <c r="W1867" t="s">
        <v>41481</v>
      </c>
      <c r="X1867" t="s">
        <v>44763</v>
      </c>
    </row>
    <row r="1868" spans="1:24">
      <c r="A1868">
        <f>HYPERLINK("https://www.philgeps.gov.ph/GEPSNONPILOT/Tender/SplashBidNoticeAbstractUI.aspx?menuIndex=3&amp;refID=7151325&amp;Result=3","7151325")</f>
        <v>0</v>
      </c>
      <c r="B1868" t="s">
        <v>907</v>
      </c>
      <c r="C1868" t="s">
        <v>5547</v>
      </c>
      <c r="D1868" t="s">
        <v>17959</v>
      </c>
      <c r="E1868" t="s">
        <v>19773</v>
      </c>
      <c r="F1868" t="s">
        <v>30900</v>
      </c>
      <c r="G1868" t="s">
        <v>30908</v>
      </c>
      <c r="H1868" t="s">
        <v>30917</v>
      </c>
      <c r="I1868" t="s">
        <v>30942</v>
      </c>
      <c r="J1868" t="s">
        <v>32430</v>
      </c>
      <c r="K1868" t="s">
        <v>40332</v>
      </c>
      <c r="M1868" t="s">
        <v>41482</v>
      </c>
      <c r="N1868" t="s">
        <v>44759</v>
      </c>
      <c r="O1868" t="s">
        <v>44760</v>
      </c>
      <c r="P1868">
        <v>0</v>
      </c>
      <c r="Q1868">
        <v>2</v>
      </c>
      <c r="R1868" t="s">
        <v>44762</v>
      </c>
      <c r="S1868" t="s">
        <v>44863</v>
      </c>
      <c r="T1868" t="s">
        <v>46399</v>
      </c>
      <c r="U1868" t="s">
        <v>48578</v>
      </c>
      <c r="W1868" t="s">
        <v>41482</v>
      </c>
      <c r="X1868" t="s">
        <v>44763</v>
      </c>
    </row>
    <row r="1869" spans="1:24">
      <c r="A1869">
        <f>HYPERLINK("https://www.philgeps.gov.ph/GEPSNONPILOT/Tender/SplashBidNoticeAbstractUI.aspx?menuIndex=3&amp;refID=7151323&amp;Result=3","7151323")</f>
        <v>0</v>
      </c>
      <c r="B1869" t="s">
        <v>416</v>
      </c>
      <c r="C1869" t="s">
        <v>5548</v>
      </c>
      <c r="D1869" t="s">
        <v>17976</v>
      </c>
      <c r="E1869" t="s">
        <v>19774</v>
      </c>
      <c r="F1869" t="s">
        <v>30900</v>
      </c>
      <c r="G1869" t="s">
        <v>30907</v>
      </c>
      <c r="H1869" t="s">
        <v>30916</v>
      </c>
      <c r="I1869" t="s">
        <v>30949</v>
      </c>
      <c r="J1869" t="s">
        <v>31138</v>
      </c>
      <c r="K1869" t="s">
        <v>40283</v>
      </c>
      <c r="M1869" t="s">
        <v>40972</v>
      </c>
      <c r="N1869" t="s">
        <v>44759</v>
      </c>
      <c r="O1869" t="s">
        <v>44760</v>
      </c>
      <c r="P1869">
        <v>0</v>
      </c>
      <c r="Q1869">
        <v>2</v>
      </c>
      <c r="R1869" t="s">
        <v>44762</v>
      </c>
      <c r="S1869" t="s">
        <v>44863</v>
      </c>
      <c r="T1869" t="s">
        <v>46369</v>
      </c>
      <c r="U1869" t="s">
        <v>48579</v>
      </c>
      <c r="W1869" t="s">
        <v>40972</v>
      </c>
      <c r="X1869" t="s">
        <v>44763</v>
      </c>
    </row>
    <row r="1870" spans="1:24">
      <c r="A1870">
        <f>HYPERLINK("https://www.philgeps.gov.ph/GEPSNONPILOT/Tender/SplashBidNoticeAbstractUI.aspx?menuIndex=3&amp;refID=7151321&amp;Result=3","7151321")</f>
        <v>0</v>
      </c>
      <c r="B1870" t="s">
        <v>856</v>
      </c>
      <c r="C1870" t="s">
        <v>5549</v>
      </c>
      <c r="D1870" t="s">
        <v>17971</v>
      </c>
      <c r="E1870" t="s">
        <v>19775</v>
      </c>
      <c r="F1870" t="s">
        <v>30900</v>
      </c>
      <c r="G1870" t="s">
        <v>30908</v>
      </c>
      <c r="H1870" t="s">
        <v>30915</v>
      </c>
      <c r="I1870" t="s">
        <v>30919</v>
      </c>
      <c r="J1870" t="s">
        <v>32431</v>
      </c>
      <c r="K1870" t="s">
        <v>40314</v>
      </c>
      <c r="M1870" t="s">
        <v>41429</v>
      </c>
      <c r="N1870" t="s">
        <v>44759</v>
      </c>
      <c r="O1870" t="s">
        <v>44760</v>
      </c>
      <c r="P1870">
        <v>0</v>
      </c>
      <c r="Q1870">
        <v>0</v>
      </c>
      <c r="R1870" t="s">
        <v>44762</v>
      </c>
      <c r="S1870" t="s">
        <v>44863</v>
      </c>
      <c r="T1870" t="s">
        <v>46552</v>
      </c>
      <c r="U1870" t="s">
        <v>48580</v>
      </c>
      <c r="W1870" t="s">
        <v>41429</v>
      </c>
      <c r="X1870" t="s">
        <v>44763</v>
      </c>
    </row>
    <row r="1871" spans="1:24">
      <c r="A1871">
        <f>HYPERLINK("https://www.philgeps.gov.ph/GEPSNONPILOT/Tender/SplashBidNoticeAbstractUI.aspx?menuIndex=3&amp;refID=7151341&amp;Result=3","7151341")</f>
        <v>0</v>
      </c>
      <c r="B1871" t="s">
        <v>767</v>
      </c>
      <c r="C1871" t="s">
        <v>5550</v>
      </c>
      <c r="D1871" t="s">
        <v>18020</v>
      </c>
      <c r="E1871" t="s">
        <v>19776</v>
      </c>
      <c r="F1871" t="s">
        <v>30900</v>
      </c>
      <c r="G1871" t="s">
        <v>30907</v>
      </c>
      <c r="H1871" t="s">
        <v>30916</v>
      </c>
      <c r="I1871" t="s">
        <v>30924</v>
      </c>
      <c r="J1871" t="s">
        <v>32432</v>
      </c>
      <c r="K1871" t="s">
        <v>40304</v>
      </c>
      <c r="M1871" t="s">
        <v>41333</v>
      </c>
      <c r="N1871" t="s">
        <v>44759</v>
      </c>
      <c r="O1871" t="s">
        <v>44760</v>
      </c>
      <c r="P1871">
        <v>0</v>
      </c>
      <c r="Q1871">
        <v>6</v>
      </c>
      <c r="R1871" t="s">
        <v>44762</v>
      </c>
      <c r="S1871" t="s">
        <v>44863</v>
      </c>
      <c r="T1871" t="s">
        <v>46465</v>
      </c>
      <c r="U1871" t="s">
        <v>48581</v>
      </c>
      <c r="V1871" t="s">
        <v>59329</v>
      </c>
      <c r="W1871" t="s">
        <v>41333</v>
      </c>
      <c r="X1871" t="s">
        <v>44763</v>
      </c>
    </row>
    <row r="1872" spans="1:24">
      <c r="A1872">
        <f>HYPERLINK("https://www.philgeps.gov.ph/GEPSNONPILOT/Tender/SplashBidNoticeAbstractUI.aspx?menuIndex=3&amp;refID=7151357&amp;Result=3","7151357")</f>
        <v>0</v>
      </c>
      <c r="B1872" t="s">
        <v>445</v>
      </c>
      <c r="C1872" t="s">
        <v>5551</v>
      </c>
      <c r="E1872" t="s">
        <v>19777</v>
      </c>
      <c r="F1872" t="s">
        <v>30900</v>
      </c>
      <c r="G1872" t="s">
        <v>30909</v>
      </c>
      <c r="H1872" t="s">
        <v>30916</v>
      </c>
      <c r="I1872" t="s">
        <v>6953</v>
      </c>
      <c r="J1872" t="s">
        <v>31447</v>
      </c>
      <c r="K1872" t="s">
        <v>40286</v>
      </c>
      <c r="M1872" t="s">
        <v>41002</v>
      </c>
      <c r="N1872" t="s">
        <v>44759</v>
      </c>
      <c r="O1872" t="s">
        <v>44760</v>
      </c>
      <c r="P1872">
        <v>0</v>
      </c>
      <c r="Q1872">
        <v>3</v>
      </c>
      <c r="R1872" t="s">
        <v>44762</v>
      </c>
      <c r="S1872" t="s">
        <v>44863</v>
      </c>
      <c r="T1872" t="s">
        <v>46391</v>
      </c>
      <c r="U1872" t="s">
        <v>48582</v>
      </c>
      <c r="W1872" t="s">
        <v>41002</v>
      </c>
      <c r="X1872" t="s">
        <v>44763</v>
      </c>
    </row>
    <row r="1873" spans="1:24">
      <c r="A1873">
        <f>HYPERLINK("https://www.philgeps.gov.ph/GEPSNONPILOT/Tender/SplashBidNoticeAbstractUI.aspx?menuIndex=3&amp;refID=7151330&amp;Result=3","7151330")</f>
        <v>0</v>
      </c>
      <c r="B1873" t="s">
        <v>444</v>
      </c>
      <c r="C1873" t="s">
        <v>5552</v>
      </c>
      <c r="D1873" t="s">
        <v>17953</v>
      </c>
      <c r="E1873" t="s">
        <v>19778</v>
      </c>
      <c r="F1873" t="s">
        <v>30900</v>
      </c>
      <c r="G1873" t="s">
        <v>30908</v>
      </c>
      <c r="H1873" t="s">
        <v>30916</v>
      </c>
      <c r="I1873" t="s">
        <v>10602</v>
      </c>
      <c r="J1873" t="s">
        <v>32433</v>
      </c>
      <c r="K1873" t="s">
        <v>40286</v>
      </c>
      <c r="M1873" t="s">
        <v>41001</v>
      </c>
      <c r="N1873" t="s">
        <v>44759</v>
      </c>
      <c r="O1873" t="s">
        <v>44760</v>
      </c>
      <c r="P1873">
        <v>0</v>
      </c>
      <c r="Q1873">
        <v>0</v>
      </c>
      <c r="R1873" t="s">
        <v>44762</v>
      </c>
      <c r="S1873" t="s">
        <v>44863</v>
      </c>
      <c r="T1873" t="s">
        <v>46398</v>
      </c>
      <c r="U1873" t="s">
        <v>48583</v>
      </c>
      <c r="W1873" t="s">
        <v>41001</v>
      </c>
      <c r="X1873" t="s">
        <v>44763</v>
      </c>
    </row>
    <row r="1874" spans="1:24">
      <c r="A1874">
        <f>HYPERLINK("https://www.philgeps.gov.ph/GEPSNONPILOT/Tender/SplashBidNoticeAbstractUI.aspx?menuIndex=3&amp;refID=7151363&amp;Result=3","7151363")</f>
        <v>0</v>
      </c>
      <c r="B1874" t="s">
        <v>312</v>
      </c>
      <c r="C1874" t="s">
        <v>5553</v>
      </c>
      <c r="D1874" t="s">
        <v>17968</v>
      </c>
      <c r="E1874" t="s">
        <v>19779</v>
      </c>
      <c r="F1874" t="s">
        <v>30900</v>
      </c>
      <c r="G1874" t="s">
        <v>30907</v>
      </c>
      <c r="H1874" t="s">
        <v>30916</v>
      </c>
      <c r="I1874" t="s">
        <v>30927</v>
      </c>
      <c r="J1874" t="s">
        <v>32434</v>
      </c>
      <c r="K1874" t="s">
        <v>40289</v>
      </c>
      <c r="M1874" t="s">
        <v>40862</v>
      </c>
      <c r="N1874" t="s">
        <v>44759</v>
      </c>
      <c r="O1874" t="s">
        <v>44760</v>
      </c>
      <c r="P1874">
        <v>0</v>
      </c>
      <c r="Q1874">
        <v>0</v>
      </c>
      <c r="R1874" t="s">
        <v>44762</v>
      </c>
      <c r="S1874" t="s">
        <v>44863</v>
      </c>
      <c r="T1874" t="s">
        <v>46405</v>
      </c>
      <c r="U1874" t="s">
        <v>48584</v>
      </c>
      <c r="W1874" t="s">
        <v>40862</v>
      </c>
      <c r="X1874" t="s">
        <v>44763</v>
      </c>
    </row>
    <row r="1875" spans="1:24">
      <c r="A1875">
        <f>HYPERLINK("https://www.philgeps.gov.ph/GEPSNONPILOT/Tender/SplashBidNoticeAbstractUI.aspx?menuIndex=3&amp;refID=7151335&amp;Result=3","7151335")</f>
        <v>0</v>
      </c>
      <c r="B1875" t="s">
        <v>908</v>
      </c>
      <c r="C1875" t="s">
        <v>5554</v>
      </c>
      <c r="D1875" t="s">
        <v>17952</v>
      </c>
      <c r="E1875" t="s">
        <v>19780</v>
      </c>
      <c r="F1875" t="s">
        <v>30900</v>
      </c>
      <c r="G1875" t="s">
        <v>30908</v>
      </c>
      <c r="H1875" t="s">
        <v>30916</v>
      </c>
      <c r="I1875" t="s">
        <v>30939</v>
      </c>
      <c r="J1875" t="s">
        <v>32435</v>
      </c>
      <c r="K1875" t="s">
        <v>40286</v>
      </c>
      <c r="M1875" t="s">
        <v>41483</v>
      </c>
      <c r="N1875" t="s">
        <v>44759</v>
      </c>
      <c r="O1875" t="s">
        <v>44760</v>
      </c>
      <c r="P1875">
        <v>0</v>
      </c>
      <c r="Q1875">
        <v>0</v>
      </c>
      <c r="R1875" t="s">
        <v>44762</v>
      </c>
      <c r="S1875" t="s">
        <v>44863</v>
      </c>
      <c r="T1875" t="s">
        <v>46363</v>
      </c>
      <c r="U1875" t="s">
        <v>48585</v>
      </c>
      <c r="W1875" t="s">
        <v>41483</v>
      </c>
      <c r="X1875" t="s">
        <v>44763</v>
      </c>
    </row>
    <row r="1876" spans="1:24">
      <c r="A1876">
        <f>HYPERLINK("https://www.philgeps.gov.ph/GEPSNONPILOT/Tender/SplashBidNoticeAbstractUI.aspx?menuIndex=3&amp;refID=7151362&amp;Result=3","7151362")</f>
        <v>0</v>
      </c>
      <c r="B1876" t="s">
        <v>350</v>
      </c>
      <c r="C1876" t="s">
        <v>5555</v>
      </c>
      <c r="D1876" t="s">
        <v>18025</v>
      </c>
      <c r="E1876" t="s">
        <v>19781</v>
      </c>
      <c r="F1876" t="s">
        <v>30900</v>
      </c>
      <c r="G1876" t="s">
        <v>30907</v>
      </c>
      <c r="H1876" t="s">
        <v>30915</v>
      </c>
      <c r="I1876" t="s">
        <v>30919</v>
      </c>
      <c r="J1876" t="s">
        <v>31391</v>
      </c>
      <c r="K1876" t="s">
        <v>40280</v>
      </c>
      <c r="M1876" t="s">
        <v>41484</v>
      </c>
      <c r="N1876" t="s">
        <v>44759</v>
      </c>
      <c r="O1876" t="s">
        <v>44760</v>
      </c>
      <c r="P1876">
        <v>0</v>
      </c>
      <c r="Q1876">
        <v>1</v>
      </c>
      <c r="R1876" t="s">
        <v>44762</v>
      </c>
      <c r="S1876" t="s">
        <v>44863</v>
      </c>
      <c r="T1876" t="s">
        <v>46433</v>
      </c>
      <c r="U1876" t="s">
        <v>47499</v>
      </c>
      <c r="V1876" t="s">
        <v>59326</v>
      </c>
      <c r="W1876" t="s">
        <v>60826</v>
      </c>
      <c r="X1876" t="s">
        <v>44763</v>
      </c>
    </row>
    <row r="1877" spans="1:24">
      <c r="A1877">
        <f>HYPERLINK("https://www.philgeps.gov.ph/GEPSNONPILOT/Tender/SplashBidNoticeAbstractUI.aspx?menuIndex=3&amp;refID=7151327&amp;Result=3","7151327")</f>
        <v>0</v>
      </c>
      <c r="B1877" t="s">
        <v>899</v>
      </c>
      <c r="C1877" t="s">
        <v>5556</v>
      </c>
      <c r="E1877" t="s">
        <v>19782</v>
      </c>
      <c r="F1877" t="s">
        <v>30900</v>
      </c>
      <c r="G1877" t="s">
        <v>30907</v>
      </c>
      <c r="H1877" t="s">
        <v>30916</v>
      </c>
      <c r="I1877" t="s">
        <v>30929</v>
      </c>
      <c r="J1877" t="s">
        <v>32436</v>
      </c>
      <c r="K1877" t="s">
        <v>40289</v>
      </c>
      <c r="M1877" t="s">
        <v>41473</v>
      </c>
      <c r="N1877" t="s">
        <v>44759</v>
      </c>
      <c r="O1877" t="s">
        <v>44760</v>
      </c>
      <c r="P1877">
        <v>0</v>
      </c>
      <c r="Q1877">
        <v>13</v>
      </c>
      <c r="R1877" t="s">
        <v>44762</v>
      </c>
      <c r="S1877" t="s">
        <v>44863</v>
      </c>
      <c r="T1877" t="s">
        <v>46456</v>
      </c>
      <c r="U1877" t="s">
        <v>48561</v>
      </c>
      <c r="W1877" t="s">
        <v>41473</v>
      </c>
      <c r="X1877" t="s">
        <v>44763</v>
      </c>
    </row>
    <row r="1878" spans="1:24">
      <c r="A1878">
        <f>HYPERLINK("https://www.philgeps.gov.ph/GEPSNONPILOT/Tender/SplashBidNoticeAbstractUI.aspx?menuIndex=3&amp;refID=7151361&amp;Result=3","7151361")</f>
        <v>0</v>
      </c>
      <c r="B1878" t="s">
        <v>323</v>
      </c>
      <c r="C1878" t="s">
        <v>5557</v>
      </c>
      <c r="D1878" t="s">
        <v>17985</v>
      </c>
      <c r="E1878" t="s">
        <v>19783</v>
      </c>
      <c r="F1878" t="s">
        <v>30900</v>
      </c>
      <c r="G1878" t="s">
        <v>30908</v>
      </c>
      <c r="H1878" t="s">
        <v>30916</v>
      </c>
      <c r="I1878" t="s">
        <v>5879</v>
      </c>
      <c r="J1878" t="s">
        <v>32437</v>
      </c>
      <c r="K1878" t="s">
        <v>40286</v>
      </c>
      <c r="M1878" t="s">
        <v>40874</v>
      </c>
      <c r="N1878" t="s">
        <v>44759</v>
      </c>
      <c r="O1878" t="s">
        <v>44760</v>
      </c>
      <c r="P1878">
        <v>0</v>
      </c>
      <c r="Q1878">
        <v>0</v>
      </c>
      <c r="R1878" t="s">
        <v>44762</v>
      </c>
      <c r="S1878" t="s">
        <v>44863</v>
      </c>
      <c r="T1878" t="s">
        <v>46383</v>
      </c>
      <c r="U1878" t="s">
        <v>48586</v>
      </c>
      <c r="W1878" t="s">
        <v>40874</v>
      </c>
      <c r="X1878" t="s">
        <v>44763</v>
      </c>
    </row>
    <row r="1879" spans="1:24">
      <c r="A1879">
        <f>HYPERLINK("https://www.philgeps.gov.ph/GEPSNONPILOT/Tender/SplashBidNoticeAbstractUI.aspx?menuIndex=3&amp;refID=7151356&amp;Result=3","7151356")</f>
        <v>0</v>
      </c>
      <c r="B1879" t="s">
        <v>856</v>
      </c>
      <c r="C1879" t="s">
        <v>5558</v>
      </c>
      <c r="D1879" t="s">
        <v>17971</v>
      </c>
      <c r="E1879" t="s">
        <v>19784</v>
      </c>
      <c r="F1879" t="s">
        <v>30900</v>
      </c>
      <c r="G1879" t="s">
        <v>30908</v>
      </c>
      <c r="H1879" t="s">
        <v>30916</v>
      </c>
      <c r="I1879" t="s">
        <v>30923</v>
      </c>
      <c r="J1879" t="s">
        <v>32438</v>
      </c>
      <c r="K1879" t="s">
        <v>40283</v>
      </c>
      <c r="M1879" t="s">
        <v>41429</v>
      </c>
      <c r="N1879" t="s">
        <v>44759</v>
      </c>
      <c r="O1879" t="s">
        <v>44760</v>
      </c>
      <c r="P1879">
        <v>0</v>
      </c>
      <c r="Q1879">
        <v>4</v>
      </c>
      <c r="R1879" t="s">
        <v>44762</v>
      </c>
      <c r="S1879" t="s">
        <v>44863</v>
      </c>
      <c r="T1879" t="s">
        <v>46552</v>
      </c>
      <c r="U1879" t="s">
        <v>48587</v>
      </c>
      <c r="W1879" t="s">
        <v>41429</v>
      </c>
      <c r="X1879" t="s">
        <v>44763</v>
      </c>
    </row>
    <row r="1880" spans="1:24">
      <c r="A1880">
        <f>HYPERLINK("https://www.philgeps.gov.ph/GEPSNONPILOT/Tender/SplashBidNoticeAbstractUI.aspx?menuIndex=3&amp;refID=7151355&amp;Result=3","7151355")</f>
        <v>0</v>
      </c>
      <c r="B1880" t="s">
        <v>629</v>
      </c>
      <c r="C1880" t="s">
        <v>5559</v>
      </c>
      <c r="D1880" t="s">
        <v>17992</v>
      </c>
      <c r="E1880" t="s">
        <v>19785</v>
      </c>
      <c r="F1880" t="s">
        <v>30900</v>
      </c>
      <c r="G1880" t="s">
        <v>30908</v>
      </c>
      <c r="H1880" t="s">
        <v>30916</v>
      </c>
      <c r="I1880" t="s">
        <v>6953</v>
      </c>
      <c r="J1880" t="s">
        <v>32439</v>
      </c>
      <c r="K1880" t="s">
        <v>40283</v>
      </c>
      <c r="M1880" t="s">
        <v>41485</v>
      </c>
      <c r="N1880" t="s">
        <v>44759</v>
      </c>
      <c r="O1880" t="s">
        <v>44760</v>
      </c>
      <c r="P1880">
        <v>0</v>
      </c>
      <c r="Q1880">
        <v>0</v>
      </c>
      <c r="R1880" t="s">
        <v>44762</v>
      </c>
      <c r="S1880" t="s">
        <v>44863</v>
      </c>
      <c r="T1880" t="s">
        <v>46559</v>
      </c>
      <c r="U1880" t="s">
        <v>48588</v>
      </c>
      <c r="W1880" t="s">
        <v>41485</v>
      </c>
      <c r="X1880" t="s">
        <v>44763</v>
      </c>
    </row>
    <row r="1881" spans="1:24">
      <c r="A1881">
        <f>HYPERLINK("https://www.philgeps.gov.ph/GEPSNONPILOT/Tender/SplashBidNoticeAbstractUI.aspx?menuIndex=3&amp;refID=7151353&amp;Result=3","7151353")</f>
        <v>0</v>
      </c>
      <c r="B1881" t="s">
        <v>909</v>
      </c>
      <c r="C1881" t="s">
        <v>5560</v>
      </c>
      <c r="E1881" t="s">
        <v>19786</v>
      </c>
      <c r="F1881" t="s">
        <v>30900</v>
      </c>
      <c r="G1881" t="s">
        <v>30907</v>
      </c>
      <c r="H1881" t="s">
        <v>30915</v>
      </c>
      <c r="I1881" t="s">
        <v>30919</v>
      </c>
      <c r="J1881" t="s">
        <v>32440</v>
      </c>
      <c r="K1881" t="s">
        <v>40289</v>
      </c>
      <c r="M1881" t="s">
        <v>41486</v>
      </c>
      <c r="N1881" t="s">
        <v>44759</v>
      </c>
      <c r="O1881" t="s">
        <v>44760</v>
      </c>
      <c r="P1881">
        <v>0</v>
      </c>
      <c r="Q1881">
        <v>2</v>
      </c>
      <c r="R1881" t="s">
        <v>44762</v>
      </c>
      <c r="S1881" t="s">
        <v>44863</v>
      </c>
      <c r="T1881" t="s">
        <v>46349</v>
      </c>
      <c r="U1881" t="s">
        <v>48589</v>
      </c>
      <c r="W1881" t="s">
        <v>60844</v>
      </c>
      <c r="X1881" t="s">
        <v>44763</v>
      </c>
    </row>
    <row r="1882" spans="1:24">
      <c r="A1882">
        <f>HYPERLINK("https://www.philgeps.gov.ph/GEPSNONPILOT/Tender/SplashBidNoticeAbstractUI.aspx?menuIndex=3&amp;refID=7151351&amp;Result=3","7151351")</f>
        <v>0</v>
      </c>
      <c r="B1882" t="s">
        <v>904</v>
      </c>
      <c r="C1882" t="s">
        <v>5561</v>
      </c>
      <c r="D1882" t="s">
        <v>17993</v>
      </c>
      <c r="E1882" t="s">
        <v>19787</v>
      </c>
      <c r="F1882" t="s">
        <v>30900</v>
      </c>
      <c r="G1882" t="s">
        <v>30908</v>
      </c>
      <c r="H1882" t="s">
        <v>30916</v>
      </c>
      <c r="I1882" t="s">
        <v>30924</v>
      </c>
      <c r="J1882" t="s">
        <v>32028</v>
      </c>
      <c r="K1882" t="s">
        <v>40288</v>
      </c>
      <c r="M1882" t="s">
        <v>41479</v>
      </c>
      <c r="N1882" t="s">
        <v>44759</v>
      </c>
      <c r="O1882" t="s">
        <v>44760</v>
      </c>
      <c r="P1882">
        <v>0</v>
      </c>
      <c r="Q1882">
        <v>3</v>
      </c>
      <c r="R1882" t="s">
        <v>44762</v>
      </c>
      <c r="S1882" t="s">
        <v>44863</v>
      </c>
      <c r="T1882" t="s">
        <v>46410</v>
      </c>
      <c r="U1882" t="s">
        <v>48590</v>
      </c>
      <c r="W1882" t="s">
        <v>41479</v>
      </c>
      <c r="X1882" t="s">
        <v>44763</v>
      </c>
    </row>
    <row r="1883" spans="1:24">
      <c r="A1883">
        <f>HYPERLINK("https://www.philgeps.gov.ph/GEPSNONPILOT/Tender/SplashBidNoticeAbstractUI.aspx?menuIndex=3&amp;refID=7151328&amp;Result=3","7151328")</f>
        <v>0</v>
      </c>
      <c r="B1883" t="s">
        <v>836</v>
      </c>
      <c r="C1883" t="s">
        <v>5562</v>
      </c>
      <c r="D1883" t="s">
        <v>17952</v>
      </c>
      <c r="E1883" t="s">
        <v>19788</v>
      </c>
      <c r="F1883" t="s">
        <v>30900</v>
      </c>
      <c r="G1883" t="s">
        <v>30908</v>
      </c>
      <c r="H1883" t="s">
        <v>30916</v>
      </c>
      <c r="I1883" t="s">
        <v>30943</v>
      </c>
      <c r="J1883" t="s">
        <v>31966</v>
      </c>
      <c r="K1883" t="s">
        <v>40286</v>
      </c>
      <c r="M1883" t="s">
        <v>41409</v>
      </c>
      <c r="N1883" t="s">
        <v>44759</v>
      </c>
      <c r="O1883" t="s">
        <v>44760</v>
      </c>
      <c r="P1883">
        <v>0</v>
      </c>
      <c r="Q1883">
        <v>3</v>
      </c>
      <c r="R1883" t="s">
        <v>44762</v>
      </c>
      <c r="S1883" t="s">
        <v>44863</v>
      </c>
      <c r="T1883" t="s">
        <v>46547</v>
      </c>
      <c r="U1883" t="s">
        <v>48591</v>
      </c>
      <c r="W1883" t="s">
        <v>41409</v>
      </c>
      <c r="X1883" t="s">
        <v>44763</v>
      </c>
    </row>
    <row r="1884" spans="1:24">
      <c r="A1884">
        <f>HYPERLINK("https://www.philgeps.gov.ph/GEPSNONPILOT/Tender/SplashBidNoticeAbstractUI.aspx?menuIndex=3&amp;refID=7151350&amp;Result=3","7151350")</f>
        <v>0</v>
      </c>
      <c r="B1884" t="s">
        <v>878</v>
      </c>
      <c r="C1884" t="s">
        <v>5563</v>
      </c>
      <c r="D1884" t="s">
        <v>17978</v>
      </c>
      <c r="E1884" t="s">
        <v>19789</v>
      </c>
      <c r="F1884" t="s">
        <v>30900</v>
      </c>
      <c r="G1884" t="s">
        <v>30909</v>
      </c>
      <c r="H1884" t="s">
        <v>30916</v>
      </c>
      <c r="I1884" t="s">
        <v>6396</v>
      </c>
      <c r="J1884" t="s">
        <v>32441</v>
      </c>
      <c r="K1884" t="s">
        <v>40286</v>
      </c>
      <c r="M1884" t="s">
        <v>41487</v>
      </c>
      <c r="N1884" t="s">
        <v>44759</v>
      </c>
      <c r="O1884" t="s">
        <v>44760</v>
      </c>
      <c r="P1884">
        <v>0</v>
      </c>
      <c r="Q1884">
        <v>4</v>
      </c>
      <c r="R1884" t="s">
        <v>44762</v>
      </c>
      <c r="S1884" t="s">
        <v>44863</v>
      </c>
      <c r="T1884" t="s">
        <v>46383</v>
      </c>
      <c r="U1884" t="s">
        <v>47412</v>
      </c>
      <c r="W1884" t="s">
        <v>41487</v>
      </c>
      <c r="X1884" t="s">
        <v>44763</v>
      </c>
    </row>
    <row r="1885" spans="1:24">
      <c r="A1885">
        <f>HYPERLINK("https://www.philgeps.gov.ph/GEPSNONPILOT/Tender/SplashBidNoticeAbstractUI.aspx?menuIndex=3&amp;refID=7151263&amp;Result=3","7151263")</f>
        <v>0</v>
      </c>
      <c r="B1885" t="s">
        <v>788</v>
      </c>
      <c r="C1885" t="s">
        <v>5564</v>
      </c>
      <c r="D1885" t="s">
        <v>17959</v>
      </c>
      <c r="E1885" t="s">
        <v>19790</v>
      </c>
      <c r="F1885" t="s">
        <v>30900</v>
      </c>
      <c r="G1885" t="s">
        <v>30907</v>
      </c>
      <c r="H1885" t="s">
        <v>30916</v>
      </c>
      <c r="I1885" t="s">
        <v>10834</v>
      </c>
      <c r="J1885" t="s">
        <v>32442</v>
      </c>
      <c r="K1885" t="s">
        <v>40289</v>
      </c>
      <c r="M1885" t="s">
        <v>41488</v>
      </c>
      <c r="N1885" t="s">
        <v>44759</v>
      </c>
      <c r="O1885" t="s">
        <v>44760</v>
      </c>
      <c r="P1885">
        <v>0</v>
      </c>
      <c r="Q1885">
        <v>4</v>
      </c>
      <c r="R1885" t="s">
        <v>44762</v>
      </c>
      <c r="S1885" t="s">
        <v>44863</v>
      </c>
      <c r="T1885" t="s">
        <v>46378</v>
      </c>
      <c r="U1885" t="s">
        <v>48592</v>
      </c>
      <c r="V1885" t="s">
        <v>59330</v>
      </c>
      <c r="W1885" t="s">
        <v>41488</v>
      </c>
      <c r="X1885" t="s">
        <v>44763</v>
      </c>
    </row>
    <row r="1886" spans="1:24">
      <c r="A1886">
        <f>HYPERLINK("https://www.philgeps.gov.ph/GEPSNONPILOT/Tender/SplashBidNoticeAbstractUI.aspx?menuIndex=3&amp;refID=7151358&amp;Result=3","7151358")</f>
        <v>0</v>
      </c>
      <c r="B1886" t="s">
        <v>836</v>
      </c>
      <c r="C1886" t="s">
        <v>5565</v>
      </c>
      <c r="D1886" t="s">
        <v>17952</v>
      </c>
      <c r="E1886" t="s">
        <v>19791</v>
      </c>
      <c r="F1886" t="s">
        <v>30900</v>
      </c>
      <c r="G1886" t="s">
        <v>30908</v>
      </c>
      <c r="H1886" t="s">
        <v>30916</v>
      </c>
      <c r="I1886" t="s">
        <v>30919</v>
      </c>
      <c r="J1886" t="s">
        <v>32443</v>
      </c>
      <c r="K1886" t="s">
        <v>40280</v>
      </c>
      <c r="M1886" t="s">
        <v>41409</v>
      </c>
      <c r="N1886" t="s">
        <v>44759</v>
      </c>
      <c r="O1886" t="s">
        <v>44760</v>
      </c>
      <c r="P1886">
        <v>0</v>
      </c>
      <c r="Q1886">
        <v>1</v>
      </c>
      <c r="R1886" t="s">
        <v>44762</v>
      </c>
      <c r="S1886" t="s">
        <v>44863</v>
      </c>
      <c r="T1886" t="s">
        <v>46547</v>
      </c>
      <c r="U1886" t="s">
        <v>48593</v>
      </c>
      <c r="W1886" t="s">
        <v>41409</v>
      </c>
      <c r="X1886" t="s">
        <v>44763</v>
      </c>
    </row>
    <row r="1887" spans="1:24">
      <c r="A1887">
        <f>HYPERLINK("https://www.philgeps.gov.ph/GEPSNONPILOT/Tender/SplashBidNoticeAbstractUI.aspx?menuIndex=3&amp;refID=7151345&amp;Result=3","7151345")</f>
        <v>0</v>
      </c>
      <c r="B1887" t="s">
        <v>81</v>
      </c>
      <c r="C1887" t="s">
        <v>5566</v>
      </c>
      <c r="D1887" t="s">
        <v>17959</v>
      </c>
      <c r="E1887" t="s">
        <v>19792</v>
      </c>
      <c r="F1887" t="s">
        <v>30900</v>
      </c>
      <c r="G1887" t="s">
        <v>30908</v>
      </c>
      <c r="H1887" t="s">
        <v>30916</v>
      </c>
      <c r="I1887" t="s">
        <v>8044</v>
      </c>
      <c r="J1887" t="s">
        <v>32444</v>
      </c>
      <c r="K1887" t="s">
        <v>40289</v>
      </c>
      <c r="M1887" t="s">
        <v>41401</v>
      </c>
      <c r="N1887" t="s">
        <v>44759</v>
      </c>
      <c r="O1887" t="s">
        <v>44760</v>
      </c>
      <c r="P1887">
        <v>0</v>
      </c>
      <c r="Q1887">
        <v>2</v>
      </c>
      <c r="R1887" t="s">
        <v>44762</v>
      </c>
      <c r="S1887" t="s">
        <v>44863</v>
      </c>
      <c r="T1887" t="s">
        <v>46389</v>
      </c>
      <c r="U1887" t="s">
        <v>48594</v>
      </c>
      <c r="V1887" t="s">
        <v>59313</v>
      </c>
      <c r="W1887" t="s">
        <v>41401</v>
      </c>
      <c r="X1887" t="s">
        <v>44763</v>
      </c>
    </row>
    <row r="1888" spans="1:24">
      <c r="A1888">
        <f>HYPERLINK("https://www.philgeps.gov.ph/GEPSNONPILOT/Tender/SplashBidNoticeAbstractUI.aspx?menuIndex=3&amp;refID=7151354&amp;Result=3","7151354")</f>
        <v>0</v>
      </c>
      <c r="B1888" t="s">
        <v>889</v>
      </c>
      <c r="C1888" t="s">
        <v>5567</v>
      </c>
      <c r="D1888" t="s">
        <v>17991</v>
      </c>
      <c r="E1888" t="s">
        <v>19793</v>
      </c>
      <c r="F1888" t="s">
        <v>30900</v>
      </c>
      <c r="G1888" t="s">
        <v>30907</v>
      </c>
      <c r="H1888" t="s">
        <v>30916</v>
      </c>
      <c r="I1888" t="s">
        <v>30921</v>
      </c>
      <c r="J1888" t="s">
        <v>32175</v>
      </c>
      <c r="K1888" t="s">
        <v>40294</v>
      </c>
      <c r="M1888" t="s">
        <v>41462</v>
      </c>
      <c r="N1888" t="s">
        <v>44759</v>
      </c>
      <c r="O1888" t="s">
        <v>44760</v>
      </c>
      <c r="P1888">
        <v>0</v>
      </c>
      <c r="Q1888">
        <v>0</v>
      </c>
      <c r="R1888" t="s">
        <v>44762</v>
      </c>
      <c r="S1888" t="s">
        <v>44863</v>
      </c>
      <c r="T1888" t="s">
        <v>46515</v>
      </c>
      <c r="U1888" t="s">
        <v>48595</v>
      </c>
      <c r="W1888" t="s">
        <v>41462</v>
      </c>
      <c r="X1888" t="s">
        <v>44763</v>
      </c>
    </row>
    <row r="1889" spans="1:24">
      <c r="A1889">
        <f>HYPERLINK("https://www.philgeps.gov.ph/GEPSNONPILOT/Tender/SplashBidNoticeAbstractUI.aspx?menuIndex=3&amp;refID=7151342&amp;Result=3","7151342")</f>
        <v>0</v>
      </c>
      <c r="B1889" t="s">
        <v>899</v>
      </c>
      <c r="C1889" t="s">
        <v>5568</v>
      </c>
      <c r="E1889" t="s">
        <v>19794</v>
      </c>
      <c r="F1889" t="s">
        <v>30900</v>
      </c>
      <c r="G1889" t="s">
        <v>30907</v>
      </c>
      <c r="H1889" t="s">
        <v>30916</v>
      </c>
      <c r="I1889" t="s">
        <v>30929</v>
      </c>
      <c r="J1889" t="s">
        <v>32445</v>
      </c>
      <c r="K1889" t="s">
        <v>40289</v>
      </c>
      <c r="M1889" t="s">
        <v>41473</v>
      </c>
      <c r="N1889" t="s">
        <v>44759</v>
      </c>
      <c r="O1889" t="s">
        <v>44760</v>
      </c>
      <c r="P1889">
        <v>0</v>
      </c>
      <c r="Q1889">
        <v>16</v>
      </c>
      <c r="R1889" t="s">
        <v>44762</v>
      </c>
      <c r="S1889" t="s">
        <v>44863</v>
      </c>
      <c r="T1889" t="s">
        <v>46456</v>
      </c>
      <c r="U1889" t="s">
        <v>48561</v>
      </c>
      <c r="W1889" t="s">
        <v>41473</v>
      </c>
      <c r="X1889" t="s">
        <v>44763</v>
      </c>
    </row>
    <row r="1890" spans="1:24">
      <c r="A1890">
        <f>HYPERLINK("https://www.philgeps.gov.ph/GEPSNONPILOT/Tender/SplashBidNoticeAbstractUI.aspx?menuIndex=3&amp;refID=7151352&amp;Result=3","7151352")</f>
        <v>0</v>
      </c>
      <c r="B1890" t="s">
        <v>899</v>
      </c>
      <c r="C1890" t="s">
        <v>5569</v>
      </c>
      <c r="E1890" t="s">
        <v>19795</v>
      </c>
      <c r="F1890" t="s">
        <v>30900</v>
      </c>
      <c r="G1890" t="s">
        <v>30907</v>
      </c>
      <c r="H1890" t="s">
        <v>30916</v>
      </c>
      <c r="I1890" t="s">
        <v>30929</v>
      </c>
      <c r="J1890" t="s">
        <v>32446</v>
      </c>
      <c r="K1890" t="s">
        <v>40289</v>
      </c>
      <c r="M1890" t="s">
        <v>41473</v>
      </c>
      <c r="N1890" t="s">
        <v>44759</v>
      </c>
      <c r="O1890" t="s">
        <v>44760</v>
      </c>
      <c r="P1890">
        <v>0</v>
      </c>
      <c r="Q1890">
        <v>17</v>
      </c>
      <c r="R1890" t="s">
        <v>44762</v>
      </c>
      <c r="S1890" t="s">
        <v>44863</v>
      </c>
      <c r="T1890" t="s">
        <v>46456</v>
      </c>
      <c r="U1890" t="s">
        <v>48561</v>
      </c>
      <c r="W1890" t="s">
        <v>41473</v>
      </c>
      <c r="X1890" t="s">
        <v>44763</v>
      </c>
    </row>
    <row r="1891" spans="1:24">
      <c r="A1891">
        <f>HYPERLINK("https://www.philgeps.gov.ph/GEPSNONPILOT/Tender/SplashBidNoticeAbstractUI.aspx?menuIndex=3&amp;refID=7151390&amp;Result=3","7151390")</f>
        <v>0</v>
      </c>
      <c r="B1891" t="s">
        <v>767</v>
      </c>
      <c r="C1891" t="s">
        <v>5570</v>
      </c>
      <c r="D1891" t="s">
        <v>18020</v>
      </c>
      <c r="E1891" t="s">
        <v>18905</v>
      </c>
      <c r="F1891" t="s">
        <v>30900</v>
      </c>
      <c r="G1891" t="s">
        <v>30909</v>
      </c>
      <c r="H1891" t="s">
        <v>30916</v>
      </c>
      <c r="I1891" t="s">
        <v>30927</v>
      </c>
      <c r="J1891" t="s">
        <v>32447</v>
      </c>
      <c r="K1891" t="s">
        <v>40289</v>
      </c>
      <c r="M1891" t="s">
        <v>41333</v>
      </c>
      <c r="N1891" t="s">
        <v>44759</v>
      </c>
      <c r="O1891" t="s">
        <v>44760</v>
      </c>
      <c r="P1891">
        <v>0</v>
      </c>
      <c r="Q1891">
        <v>0</v>
      </c>
      <c r="R1891" t="s">
        <v>44762</v>
      </c>
      <c r="S1891" t="s">
        <v>44863</v>
      </c>
      <c r="T1891" t="s">
        <v>46410</v>
      </c>
      <c r="U1891" t="s">
        <v>48596</v>
      </c>
      <c r="V1891" t="s">
        <v>59299</v>
      </c>
      <c r="W1891" t="s">
        <v>41333</v>
      </c>
      <c r="X1891" t="s">
        <v>44763</v>
      </c>
    </row>
    <row r="1892" spans="1:24">
      <c r="A1892">
        <f>HYPERLINK("https://www.philgeps.gov.ph/GEPSNONPILOT/Tender/SplashBidNoticeAbstractUI.aspx?menuIndex=3&amp;refID=7151387&amp;Result=3","7151387")</f>
        <v>0</v>
      </c>
      <c r="B1892" t="s">
        <v>629</v>
      </c>
      <c r="C1892" t="s">
        <v>5571</v>
      </c>
      <c r="D1892" t="s">
        <v>17992</v>
      </c>
      <c r="E1892" t="s">
        <v>19796</v>
      </c>
      <c r="F1892" t="s">
        <v>30900</v>
      </c>
      <c r="G1892" t="s">
        <v>30908</v>
      </c>
      <c r="H1892" t="s">
        <v>30916</v>
      </c>
      <c r="I1892" t="s">
        <v>6953</v>
      </c>
      <c r="J1892" t="s">
        <v>32448</v>
      </c>
      <c r="K1892" t="s">
        <v>40283</v>
      </c>
      <c r="M1892" t="s">
        <v>41485</v>
      </c>
      <c r="N1892" t="s">
        <v>44759</v>
      </c>
      <c r="O1892" t="s">
        <v>44760</v>
      </c>
      <c r="P1892">
        <v>0</v>
      </c>
      <c r="Q1892">
        <v>0</v>
      </c>
      <c r="R1892" t="s">
        <v>44762</v>
      </c>
      <c r="S1892" t="s">
        <v>44863</v>
      </c>
      <c r="T1892" t="s">
        <v>46559</v>
      </c>
      <c r="U1892" t="s">
        <v>48597</v>
      </c>
      <c r="W1892" t="s">
        <v>41485</v>
      </c>
      <c r="X1892" t="s">
        <v>44763</v>
      </c>
    </row>
    <row r="1893" spans="1:24">
      <c r="A1893">
        <f>HYPERLINK("https://www.philgeps.gov.ph/GEPSNONPILOT/Tender/SplashBidNoticeAbstractUI.aspx?menuIndex=3&amp;refID=7151344&amp;Result=3","7151344")</f>
        <v>0</v>
      </c>
      <c r="B1893" t="s">
        <v>900</v>
      </c>
      <c r="C1893" t="s">
        <v>5572</v>
      </c>
      <c r="D1893" t="s">
        <v>17963</v>
      </c>
      <c r="E1893" t="s">
        <v>19797</v>
      </c>
      <c r="F1893" t="s">
        <v>30900</v>
      </c>
      <c r="G1893" t="s">
        <v>30908</v>
      </c>
      <c r="H1893" t="s">
        <v>30917</v>
      </c>
      <c r="I1893" t="s">
        <v>6396</v>
      </c>
      <c r="J1893" t="s">
        <v>32449</v>
      </c>
      <c r="K1893" t="s">
        <v>40286</v>
      </c>
      <c r="M1893" t="s">
        <v>41474</v>
      </c>
      <c r="N1893" t="s">
        <v>44759</v>
      </c>
      <c r="O1893" t="s">
        <v>44760</v>
      </c>
      <c r="P1893">
        <v>0</v>
      </c>
      <c r="Q1893">
        <v>0</v>
      </c>
      <c r="R1893" t="s">
        <v>44762</v>
      </c>
      <c r="S1893" t="s">
        <v>44863</v>
      </c>
      <c r="T1893" t="s">
        <v>46410</v>
      </c>
      <c r="U1893" t="s">
        <v>48598</v>
      </c>
      <c r="W1893" t="s">
        <v>41474</v>
      </c>
      <c r="X1893" t="s">
        <v>44763</v>
      </c>
    </row>
    <row r="1894" spans="1:24">
      <c r="A1894">
        <f>HYPERLINK("https://www.philgeps.gov.ph/GEPSNONPILOT/Tender/SplashBidNoticeAbstractUI.aspx?menuIndex=3&amp;refID=7151340&amp;Result=3","7151340")</f>
        <v>0</v>
      </c>
      <c r="B1894" t="s">
        <v>910</v>
      </c>
      <c r="C1894" t="s">
        <v>5573</v>
      </c>
      <c r="D1894" t="s">
        <v>18001</v>
      </c>
      <c r="E1894" t="s">
        <v>19798</v>
      </c>
      <c r="F1894" t="s">
        <v>30900</v>
      </c>
      <c r="G1894" t="s">
        <v>30908</v>
      </c>
      <c r="H1894" t="s">
        <v>30916</v>
      </c>
      <c r="I1894" t="s">
        <v>30934</v>
      </c>
      <c r="J1894" t="s">
        <v>31896</v>
      </c>
      <c r="K1894" t="s">
        <v>40289</v>
      </c>
      <c r="M1894" t="s">
        <v>41489</v>
      </c>
      <c r="N1894" t="s">
        <v>44759</v>
      </c>
      <c r="O1894" t="s">
        <v>44760</v>
      </c>
      <c r="P1894">
        <v>0</v>
      </c>
      <c r="Q1894">
        <v>4</v>
      </c>
      <c r="R1894" t="s">
        <v>44762</v>
      </c>
      <c r="S1894" t="s">
        <v>44863</v>
      </c>
      <c r="T1894" t="s">
        <v>46383</v>
      </c>
      <c r="U1894" t="s">
        <v>48599</v>
      </c>
      <c r="W1894" t="s">
        <v>41489</v>
      </c>
      <c r="X1894" t="s">
        <v>44763</v>
      </c>
    </row>
    <row r="1895" spans="1:24">
      <c r="A1895">
        <f>HYPERLINK("https://www.philgeps.gov.ph/GEPSNONPILOT/Tender/SplashBidNoticeAbstractUI.aspx?menuIndex=3&amp;refID=7151385&amp;Result=3","7151385")</f>
        <v>0</v>
      </c>
      <c r="B1895" t="s">
        <v>911</v>
      </c>
      <c r="C1895" t="s">
        <v>5574</v>
      </c>
      <c r="D1895" t="s">
        <v>17961</v>
      </c>
      <c r="E1895" t="s">
        <v>19799</v>
      </c>
      <c r="F1895" t="s">
        <v>30900</v>
      </c>
      <c r="G1895" t="s">
        <v>30911</v>
      </c>
      <c r="H1895" t="s">
        <v>30915</v>
      </c>
      <c r="I1895" t="s">
        <v>30973</v>
      </c>
      <c r="J1895" t="s">
        <v>32450</v>
      </c>
      <c r="K1895" t="s">
        <v>40286</v>
      </c>
      <c r="M1895" t="s">
        <v>41490</v>
      </c>
      <c r="N1895" t="s">
        <v>44759</v>
      </c>
      <c r="O1895" t="s">
        <v>44760</v>
      </c>
      <c r="P1895">
        <v>0</v>
      </c>
      <c r="Q1895">
        <v>3</v>
      </c>
      <c r="R1895" t="s">
        <v>44762</v>
      </c>
      <c r="S1895" t="s">
        <v>44863</v>
      </c>
      <c r="T1895" t="s">
        <v>46560</v>
      </c>
      <c r="U1895" t="s">
        <v>48600</v>
      </c>
      <c r="W1895" t="s">
        <v>41490</v>
      </c>
      <c r="X1895" t="s">
        <v>44763</v>
      </c>
    </row>
    <row r="1896" spans="1:24">
      <c r="A1896">
        <f>HYPERLINK("https://www.philgeps.gov.ph/GEPSNONPILOT/Tender/SplashBidNoticeAbstractUI.aspx?menuIndex=3&amp;refID=7151383&amp;Result=3","7151383")</f>
        <v>0</v>
      </c>
      <c r="B1896" t="s">
        <v>725</v>
      </c>
      <c r="C1896" t="s">
        <v>5153</v>
      </c>
      <c r="D1896" t="s">
        <v>18004</v>
      </c>
      <c r="E1896" t="s">
        <v>19800</v>
      </c>
      <c r="F1896" t="s">
        <v>30900</v>
      </c>
      <c r="G1896" t="s">
        <v>30907</v>
      </c>
      <c r="H1896" t="s">
        <v>30916</v>
      </c>
      <c r="I1896" t="s">
        <v>30942</v>
      </c>
      <c r="J1896" t="s">
        <v>32451</v>
      </c>
      <c r="K1896" t="s">
        <v>40284</v>
      </c>
      <c r="M1896" t="s">
        <v>41289</v>
      </c>
      <c r="N1896" t="s">
        <v>44759</v>
      </c>
      <c r="O1896" t="s">
        <v>44760</v>
      </c>
      <c r="P1896">
        <v>0</v>
      </c>
      <c r="Q1896">
        <v>0</v>
      </c>
      <c r="R1896" t="s">
        <v>44762</v>
      </c>
      <c r="S1896" t="s">
        <v>44863</v>
      </c>
      <c r="T1896" t="s">
        <v>46532</v>
      </c>
      <c r="U1896" t="s">
        <v>48216</v>
      </c>
      <c r="W1896" t="s">
        <v>41289</v>
      </c>
      <c r="X1896" t="s">
        <v>44763</v>
      </c>
    </row>
    <row r="1897" spans="1:24">
      <c r="A1897">
        <f>HYPERLINK("https://www.philgeps.gov.ph/GEPSNONPILOT/Tender/SplashBidNoticeAbstractUI.aspx?menuIndex=3&amp;refID=7151379&amp;Result=3","7151379")</f>
        <v>0</v>
      </c>
      <c r="B1897" t="s">
        <v>899</v>
      </c>
      <c r="C1897" t="s">
        <v>5575</v>
      </c>
      <c r="E1897" t="s">
        <v>19801</v>
      </c>
      <c r="F1897" t="s">
        <v>30900</v>
      </c>
      <c r="G1897" t="s">
        <v>30907</v>
      </c>
      <c r="H1897" t="s">
        <v>30916</v>
      </c>
      <c r="I1897" t="s">
        <v>30929</v>
      </c>
      <c r="J1897" t="s">
        <v>32452</v>
      </c>
      <c r="K1897" t="s">
        <v>40289</v>
      </c>
      <c r="M1897" t="s">
        <v>41473</v>
      </c>
      <c r="N1897" t="s">
        <v>44759</v>
      </c>
      <c r="O1897" t="s">
        <v>44760</v>
      </c>
      <c r="P1897">
        <v>0</v>
      </c>
      <c r="Q1897">
        <v>17</v>
      </c>
      <c r="R1897" t="s">
        <v>44762</v>
      </c>
      <c r="S1897" t="s">
        <v>44863</v>
      </c>
      <c r="T1897" t="s">
        <v>46456</v>
      </c>
      <c r="U1897" t="s">
        <v>48561</v>
      </c>
      <c r="W1897" t="s">
        <v>41473</v>
      </c>
      <c r="X1897" t="s">
        <v>44763</v>
      </c>
    </row>
    <row r="1898" spans="1:24">
      <c r="A1898">
        <f>HYPERLINK("https://www.philgeps.gov.ph/GEPSNONPILOT/Tender/SplashBidNoticeAbstractUI.aspx?menuIndex=3&amp;refID=7151348&amp;Result=3","7151348")</f>
        <v>0</v>
      </c>
      <c r="B1898" t="s">
        <v>912</v>
      </c>
      <c r="C1898" t="s">
        <v>5576</v>
      </c>
      <c r="D1898" t="s">
        <v>18025</v>
      </c>
      <c r="E1898" t="s">
        <v>19802</v>
      </c>
      <c r="F1898" t="s">
        <v>30900</v>
      </c>
      <c r="G1898" t="s">
        <v>30909</v>
      </c>
      <c r="H1898" t="s">
        <v>7411</v>
      </c>
      <c r="I1898" t="s">
        <v>7411</v>
      </c>
      <c r="J1898" t="s">
        <v>31355</v>
      </c>
      <c r="K1898" t="s">
        <v>40286</v>
      </c>
      <c r="M1898" t="s">
        <v>41491</v>
      </c>
      <c r="N1898" t="s">
        <v>44759</v>
      </c>
      <c r="O1898" t="s">
        <v>44760</v>
      </c>
      <c r="P1898">
        <v>0</v>
      </c>
      <c r="Q1898">
        <v>0</v>
      </c>
      <c r="R1898" t="s">
        <v>44762</v>
      </c>
      <c r="S1898" t="s">
        <v>44863</v>
      </c>
      <c r="T1898" t="s">
        <v>46531</v>
      </c>
      <c r="U1898" t="s">
        <v>48601</v>
      </c>
      <c r="W1898" t="s">
        <v>41491</v>
      </c>
      <c r="X1898" t="s">
        <v>44763</v>
      </c>
    </row>
    <row r="1899" spans="1:24">
      <c r="A1899">
        <f>HYPERLINK("https://www.philgeps.gov.ph/GEPSNONPILOT/Tender/SplashBidNoticeAbstractUI.aspx?menuIndex=3&amp;refID=7151378&amp;Result=3","7151378")</f>
        <v>0</v>
      </c>
      <c r="B1899" t="s">
        <v>416</v>
      </c>
      <c r="C1899" t="s">
        <v>5577</v>
      </c>
      <c r="D1899" t="s">
        <v>17976</v>
      </c>
      <c r="E1899" t="s">
        <v>19803</v>
      </c>
      <c r="F1899" t="s">
        <v>30900</v>
      </c>
      <c r="G1899" t="s">
        <v>30907</v>
      </c>
      <c r="H1899" t="s">
        <v>30916</v>
      </c>
      <c r="I1899" t="s">
        <v>8123</v>
      </c>
      <c r="J1899" t="s">
        <v>32453</v>
      </c>
      <c r="K1899" t="s">
        <v>40283</v>
      </c>
      <c r="M1899" t="s">
        <v>40972</v>
      </c>
      <c r="N1899" t="s">
        <v>44759</v>
      </c>
      <c r="O1899" t="s">
        <v>44760</v>
      </c>
      <c r="P1899">
        <v>0</v>
      </c>
      <c r="Q1899">
        <v>0</v>
      </c>
      <c r="R1899" t="s">
        <v>44762</v>
      </c>
      <c r="S1899" t="s">
        <v>44863</v>
      </c>
      <c r="T1899" t="s">
        <v>46369</v>
      </c>
      <c r="U1899" t="s">
        <v>48602</v>
      </c>
      <c r="W1899" t="s">
        <v>40972</v>
      </c>
      <c r="X1899" t="s">
        <v>44763</v>
      </c>
    </row>
    <row r="1900" spans="1:24">
      <c r="A1900">
        <f>HYPERLINK("https://www.philgeps.gov.ph/GEPSNONPILOT/Tender/SplashBidNoticeAbstractUI.aspx?menuIndex=3&amp;refID=7151386&amp;Result=3","7151386")</f>
        <v>0</v>
      </c>
      <c r="B1900" t="s">
        <v>864</v>
      </c>
      <c r="C1900" t="s">
        <v>5578</v>
      </c>
      <c r="D1900" t="s">
        <v>18025</v>
      </c>
      <c r="E1900" t="s">
        <v>19804</v>
      </c>
      <c r="F1900" t="s">
        <v>30900</v>
      </c>
      <c r="G1900" t="s">
        <v>30908</v>
      </c>
      <c r="H1900" t="s">
        <v>30917</v>
      </c>
      <c r="I1900" t="s">
        <v>30924</v>
      </c>
      <c r="J1900" t="s">
        <v>32454</v>
      </c>
      <c r="K1900" t="s">
        <v>40332</v>
      </c>
      <c r="M1900" t="s">
        <v>41437</v>
      </c>
      <c r="N1900" t="s">
        <v>44759</v>
      </c>
      <c r="O1900" t="s">
        <v>44760</v>
      </c>
      <c r="P1900">
        <v>0</v>
      </c>
      <c r="Q1900">
        <v>6</v>
      </c>
      <c r="R1900" t="s">
        <v>44762</v>
      </c>
      <c r="S1900" t="s">
        <v>44863</v>
      </c>
      <c r="T1900" t="s">
        <v>46410</v>
      </c>
      <c r="U1900" t="s">
        <v>48603</v>
      </c>
      <c r="V1900" t="s">
        <v>59321</v>
      </c>
      <c r="W1900" t="s">
        <v>41437</v>
      </c>
      <c r="X1900" t="s">
        <v>44763</v>
      </c>
    </row>
    <row r="1901" spans="1:24">
      <c r="A1901">
        <f>HYPERLINK("https://www.philgeps.gov.ph/GEPSNONPILOT/Tender/SplashBidNoticeAbstractUI.aspx?menuIndex=3&amp;refID=7151376&amp;Result=3","7151376")</f>
        <v>0</v>
      </c>
      <c r="B1901" t="s">
        <v>780</v>
      </c>
      <c r="C1901" t="s">
        <v>5579</v>
      </c>
      <c r="D1901" t="s">
        <v>18032</v>
      </c>
      <c r="E1901" t="s">
        <v>19805</v>
      </c>
      <c r="F1901" t="s">
        <v>30900</v>
      </c>
      <c r="G1901" t="s">
        <v>30908</v>
      </c>
      <c r="H1901" t="s">
        <v>30915</v>
      </c>
      <c r="I1901" t="s">
        <v>30948</v>
      </c>
      <c r="J1901" t="s">
        <v>31183</v>
      </c>
      <c r="K1901" t="s">
        <v>40286</v>
      </c>
      <c r="M1901" t="s">
        <v>41349</v>
      </c>
      <c r="N1901" t="s">
        <v>44759</v>
      </c>
      <c r="O1901" t="s">
        <v>44760</v>
      </c>
      <c r="P1901">
        <v>0</v>
      </c>
      <c r="Q1901">
        <v>0</v>
      </c>
      <c r="R1901" t="s">
        <v>44762</v>
      </c>
      <c r="S1901" t="s">
        <v>44863</v>
      </c>
      <c r="T1901" t="s">
        <v>46425</v>
      </c>
      <c r="U1901" t="s">
        <v>48604</v>
      </c>
      <c r="W1901" t="s">
        <v>41349</v>
      </c>
      <c r="X1901" t="s">
        <v>44763</v>
      </c>
    </row>
    <row r="1902" spans="1:24">
      <c r="A1902">
        <f>HYPERLINK("https://www.philgeps.gov.ph/GEPSNONPILOT/Tender/SplashBidNoticeAbstractUI.aspx?menuIndex=3&amp;refID=7151375&amp;Result=3","7151375")</f>
        <v>0</v>
      </c>
      <c r="B1902" t="s">
        <v>913</v>
      </c>
      <c r="C1902" t="s">
        <v>5580</v>
      </c>
      <c r="D1902" t="s">
        <v>17960</v>
      </c>
      <c r="E1902" t="s">
        <v>19806</v>
      </c>
      <c r="F1902" t="s">
        <v>30900</v>
      </c>
      <c r="G1902" t="s">
        <v>30907</v>
      </c>
      <c r="H1902" t="s">
        <v>30916</v>
      </c>
      <c r="I1902" t="s">
        <v>30939</v>
      </c>
      <c r="J1902" t="s">
        <v>32455</v>
      </c>
      <c r="K1902" t="s">
        <v>40283</v>
      </c>
      <c r="M1902" t="s">
        <v>41492</v>
      </c>
      <c r="N1902" t="s">
        <v>44759</v>
      </c>
      <c r="O1902" t="s">
        <v>44760</v>
      </c>
      <c r="P1902">
        <v>0</v>
      </c>
      <c r="Q1902">
        <v>0</v>
      </c>
      <c r="R1902" t="s">
        <v>44762</v>
      </c>
      <c r="S1902" t="s">
        <v>44863</v>
      </c>
      <c r="T1902" t="s">
        <v>46411</v>
      </c>
      <c r="U1902" t="s">
        <v>48605</v>
      </c>
      <c r="W1902" t="s">
        <v>41492</v>
      </c>
      <c r="X1902" t="s">
        <v>44763</v>
      </c>
    </row>
    <row r="1903" spans="1:24">
      <c r="A1903">
        <f>HYPERLINK("https://www.philgeps.gov.ph/GEPSNONPILOT/Tender/SplashBidNoticeAbstractUI.aspx?menuIndex=3&amp;refID=7151380&amp;Result=3","7151380")</f>
        <v>0</v>
      </c>
      <c r="B1903" t="s">
        <v>914</v>
      </c>
      <c r="C1903" t="s">
        <v>5581</v>
      </c>
      <c r="D1903" t="s">
        <v>17995</v>
      </c>
      <c r="E1903" t="s">
        <v>19807</v>
      </c>
      <c r="F1903" t="s">
        <v>30900</v>
      </c>
      <c r="G1903" t="s">
        <v>30908</v>
      </c>
      <c r="H1903" t="s">
        <v>30916</v>
      </c>
      <c r="I1903" t="s">
        <v>4108</v>
      </c>
      <c r="J1903" t="s">
        <v>32456</v>
      </c>
      <c r="K1903" t="s">
        <v>40286</v>
      </c>
      <c r="M1903" t="s">
        <v>41493</v>
      </c>
      <c r="N1903" t="s">
        <v>44759</v>
      </c>
      <c r="O1903" t="s">
        <v>44760</v>
      </c>
      <c r="P1903">
        <v>0</v>
      </c>
      <c r="Q1903">
        <v>3</v>
      </c>
      <c r="R1903" t="s">
        <v>44762</v>
      </c>
      <c r="S1903" t="s">
        <v>44863</v>
      </c>
      <c r="T1903" t="s">
        <v>46414</v>
      </c>
      <c r="U1903" t="s">
        <v>48606</v>
      </c>
      <c r="W1903" t="s">
        <v>41493</v>
      </c>
      <c r="X1903" t="s">
        <v>44763</v>
      </c>
    </row>
    <row r="1904" spans="1:24">
      <c r="A1904">
        <f>HYPERLINK("https://www.philgeps.gov.ph/GEPSNONPILOT/Tender/SplashBidNoticeAbstractUI.aspx?menuIndex=3&amp;refID=7151388&amp;Result=3","7151388")</f>
        <v>0</v>
      </c>
      <c r="B1904" t="s">
        <v>899</v>
      </c>
      <c r="C1904" t="s">
        <v>5582</v>
      </c>
      <c r="E1904" t="s">
        <v>19808</v>
      </c>
      <c r="F1904" t="s">
        <v>30900</v>
      </c>
      <c r="G1904" t="s">
        <v>30907</v>
      </c>
      <c r="H1904" t="s">
        <v>30916</v>
      </c>
      <c r="I1904" t="s">
        <v>30929</v>
      </c>
      <c r="J1904" t="s">
        <v>32457</v>
      </c>
      <c r="K1904" t="s">
        <v>40289</v>
      </c>
      <c r="M1904" t="s">
        <v>41473</v>
      </c>
      <c r="N1904" t="s">
        <v>44759</v>
      </c>
      <c r="O1904" t="s">
        <v>44760</v>
      </c>
      <c r="P1904">
        <v>0</v>
      </c>
      <c r="Q1904">
        <v>17</v>
      </c>
      <c r="R1904" t="s">
        <v>44762</v>
      </c>
      <c r="S1904" t="s">
        <v>44863</v>
      </c>
      <c r="T1904" t="s">
        <v>46456</v>
      </c>
      <c r="U1904" t="s">
        <v>48561</v>
      </c>
      <c r="W1904" t="s">
        <v>41473</v>
      </c>
      <c r="X1904" t="s">
        <v>44763</v>
      </c>
    </row>
    <row r="1905" spans="1:24">
      <c r="A1905">
        <f>HYPERLINK("https://www.philgeps.gov.ph/GEPSNONPILOT/Tender/SplashBidNoticeAbstractUI.aspx?menuIndex=3&amp;refID=7151377&amp;Result=3","7151377")</f>
        <v>0</v>
      </c>
      <c r="B1905" t="s">
        <v>908</v>
      </c>
      <c r="C1905" t="s">
        <v>5583</v>
      </c>
      <c r="D1905" t="s">
        <v>17952</v>
      </c>
      <c r="E1905" t="s">
        <v>19809</v>
      </c>
      <c r="F1905" t="s">
        <v>30900</v>
      </c>
      <c r="G1905" t="s">
        <v>30908</v>
      </c>
      <c r="H1905" t="s">
        <v>30916</v>
      </c>
      <c r="I1905" t="s">
        <v>30939</v>
      </c>
      <c r="J1905" t="s">
        <v>32458</v>
      </c>
      <c r="K1905" t="s">
        <v>40286</v>
      </c>
      <c r="M1905" t="s">
        <v>41483</v>
      </c>
      <c r="N1905" t="s">
        <v>44759</v>
      </c>
      <c r="O1905" t="s">
        <v>44760</v>
      </c>
      <c r="P1905">
        <v>0</v>
      </c>
      <c r="Q1905">
        <v>0</v>
      </c>
      <c r="R1905" t="s">
        <v>44762</v>
      </c>
      <c r="S1905" t="s">
        <v>44863</v>
      </c>
      <c r="T1905" t="s">
        <v>46363</v>
      </c>
      <c r="U1905" t="s">
        <v>48607</v>
      </c>
      <c r="W1905" t="s">
        <v>41483</v>
      </c>
      <c r="X1905" t="s">
        <v>44763</v>
      </c>
    </row>
    <row r="1906" spans="1:24">
      <c r="A1906">
        <f>HYPERLINK("https://www.philgeps.gov.ph/GEPSNONPILOT/Tender/SplashBidNoticeAbstractUI.aspx?menuIndex=3&amp;refID=7151412&amp;Result=3","7151412")</f>
        <v>0</v>
      </c>
      <c r="B1906" t="s">
        <v>915</v>
      </c>
      <c r="C1906" t="s">
        <v>5584</v>
      </c>
      <c r="D1906" t="s">
        <v>17959</v>
      </c>
      <c r="E1906" t="s">
        <v>19810</v>
      </c>
      <c r="F1906" t="s">
        <v>30900</v>
      </c>
      <c r="G1906" t="s">
        <v>30909</v>
      </c>
      <c r="H1906" t="s">
        <v>30915</v>
      </c>
      <c r="I1906" t="s">
        <v>30919</v>
      </c>
      <c r="J1906" t="s">
        <v>31043</v>
      </c>
      <c r="K1906" t="s">
        <v>40284</v>
      </c>
      <c r="M1906" t="s">
        <v>41494</v>
      </c>
      <c r="N1906" t="s">
        <v>44759</v>
      </c>
      <c r="O1906" t="s">
        <v>44760</v>
      </c>
      <c r="P1906">
        <v>0</v>
      </c>
      <c r="Q1906">
        <v>0</v>
      </c>
      <c r="R1906" t="s">
        <v>44762</v>
      </c>
      <c r="S1906" t="s">
        <v>44863</v>
      </c>
      <c r="T1906" t="s">
        <v>46548</v>
      </c>
      <c r="U1906" t="s">
        <v>48608</v>
      </c>
      <c r="W1906" t="s">
        <v>41494</v>
      </c>
      <c r="X1906" t="s">
        <v>44763</v>
      </c>
    </row>
    <row r="1907" spans="1:24">
      <c r="A1907">
        <f>HYPERLINK("https://www.philgeps.gov.ph/GEPSNONPILOT/Tender/SplashBidNoticeAbstractUI.aspx?menuIndex=3&amp;refID=7151411&amp;Result=3","7151411")</f>
        <v>0</v>
      </c>
      <c r="B1907" t="s">
        <v>824</v>
      </c>
      <c r="C1907" t="s">
        <v>5585</v>
      </c>
      <c r="D1907" t="s">
        <v>17962</v>
      </c>
      <c r="E1907" t="s">
        <v>19811</v>
      </c>
      <c r="F1907" t="s">
        <v>30900</v>
      </c>
      <c r="G1907" t="s">
        <v>30908</v>
      </c>
      <c r="H1907" t="s">
        <v>30916</v>
      </c>
      <c r="I1907" t="s">
        <v>30926</v>
      </c>
      <c r="J1907" t="s">
        <v>32459</v>
      </c>
      <c r="K1907" t="s">
        <v>40286</v>
      </c>
      <c r="M1907" t="s">
        <v>41396</v>
      </c>
      <c r="N1907" t="s">
        <v>44759</v>
      </c>
      <c r="O1907" t="s">
        <v>44760</v>
      </c>
      <c r="P1907">
        <v>0</v>
      </c>
      <c r="Q1907">
        <v>0</v>
      </c>
      <c r="R1907" t="s">
        <v>44762</v>
      </c>
      <c r="S1907" t="s">
        <v>44863</v>
      </c>
      <c r="T1907" t="s">
        <v>46363</v>
      </c>
      <c r="U1907" t="s">
        <v>48418</v>
      </c>
      <c r="W1907" t="s">
        <v>41396</v>
      </c>
      <c r="X1907" t="s">
        <v>44763</v>
      </c>
    </row>
    <row r="1908" spans="1:24">
      <c r="A1908">
        <f>HYPERLINK("https://www.philgeps.gov.ph/GEPSNONPILOT/Tender/SplashBidNoticeAbstractUI.aspx?menuIndex=3&amp;refID=7151409&amp;Result=3","7151409")</f>
        <v>0</v>
      </c>
      <c r="B1908" t="s">
        <v>916</v>
      </c>
      <c r="C1908" t="s">
        <v>5586</v>
      </c>
      <c r="D1908" t="s">
        <v>17952</v>
      </c>
      <c r="E1908" t="s">
        <v>19812</v>
      </c>
      <c r="F1908" t="s">
        <v>30900</v>
      </c>
      <c r="G1908" t="s">
        <v>30909</v>
      </c>
      <c r="H1908" t="s">
        <v>30916</v>
      </c>
      <c r="I1908" t="s">
        <v>5501</v>
      </c>
      <c r="J1908" t="s">
        <v>32460</v>
      </c>
      <c r="K1908" t="s">
        <v>40285</v>
      </c>
      <c r="M1908" t="s">
        <v>41495</v>
      </c>
      <c r="N1908" t="s">
        <v>44759</v>
      </c>
      <c r="O1908" t="s">
        <v>44760</v>
      </c>
      <c r="P1908">
        <v>0</v>
      </c>
      <c r="Q1908">
        <v>0</v>
      </c>
      <c r="R1908" t="s">
        <v>44762</v>
      </c>
      <c r="S1908" t="s">
        <v>44863</v>
      </c>
      <c r="T1908" t="s">
        <v>46374</v>
      </c>
      <c r="U1908" t="s">
        <v>48609</v>
      </c>
      <c r="W1908" t="s">
        <v>41495</v>
      </c>
      <c r="X1908" t="s">
        <v>44763</v>
      </c>
    </row>
    <row r="1909" spans="1:24">
      <c r="A1909">
        <f>HYPERLINK("https://www.philgeps.gov.ph/GEPSNONPILOT/Tender/SplashBidNoticeAbstractUI.aspx?menuIndex=3&amp;refID=7151374&amp;Result=3","7151374")</f>
        <v>0</v>
      </c>
      <c r="B1909" t="s">
        <v>917</v>
      </c>
      <c r="C1909" t="s">
        <v>5587</v>
      </c>
      <c r="D1909" t="s">
        <v>18011</v>
      </c>
      <c r="E1909" t="s">
        <v>19813</v>
      </c>
      <c r="F1909" t="s">
        <v>30900</v>
      </c>
      <c r="G1909" t="s">
        <v>30907</v>
      </c>
      <c r="H1909" t="s">
        <v>30916</v>
      </c>
      <c r="I1909" t="s">
        <v>30923</v>
      </c>
      <c r="J1909" t="s">
        <v>32461</v>
      </c>
      <c r="K1909" t="s">
        <v>40286</v>
      </c>
      <c r="M1909" t="s">
        <v>41496</v>
      </c>
      <c r="N1909" t="s">
        <v>44759</v>
      </c>
      <c r="O1909" t="s">
        <v>44760</v>
      </c>
      <c r="P1909">
        <v>0</v>
      </c>
      <c r="Q1909">
        <v>0</v>
      </c>
      <c r="R1909" t="s">
        <v>44762</v>
      </c>
      <c r="S1909" t="s">
        <v>44863</v>
      </c>
      <c r="T1909" t="s">
        <v>46405</v>
      </c>
      <c r="U1909" t="s">
        <v>48610</v>
      </c>
      <c r="W1909" t="s">
        <v>41496</v>
      </c>
      <c r="X1909" t="s">
        <v>44763</v>
      </c>
    </row>
    <row r="1910" spans="1:24">
      <c r="A1910">
        <f>HYPERLINK("https://www.philgeps.gov.ph/GEPSNONPILOT/Tender/SplashBidNoticeAbstractUI.aspx?menuIndex=3&amp;refID=7151382&amp;Result=3","7151382")</f>
        <v>0</v>
      </c>
      <c r="B1910" t="s">
        <v>918</v>
      </c>
      <c r="C1910" t="s">
        <v>5588</v>
      </c>
      <c r="D1910" t="s">
        <v>17959</v>
      </c>
      <c r="E1910" t="s">
        <v>19814</v>
      </c>
      <c r="F1910" t="s">
        <v>30900</v>
      </c>
      <c r="G1910" t="s">
        <v>30910</v>
      </c>
      <c r="H1910" t="s">
        <v>30916</v>
      </c>
      <c r="I1910" t="s">
        <v>10879</v>
      </c>
      <c r="J1910" t="s">
        <v>32462</v>
      </c>
      <c r="K1910" t="s">
        <v>40283</v>
      </c>
      <c r="M1910" t="s">
        <v>41497</v>
      </c>
      <c r="N1910" t="s">
        <v>44759</v>
      </c>
      <c r="O1910" t="s">
        <v>44760</v>
      </c>
      <c r="P1910">
        <v>0</v>
      </c>
      <c r="Q1910">
        <v>2</v>
      </c>
      <c r="R1910" t="s">
        <v>44762</v>
      </c>
      <c r="S1910" t="s">
        <v>44863</v>
      </c>
      <c r="T1910" t="s">
        <v>46414</v>
      </c>
      <c r="U1910" t="s">
        <v>48611</v>
      </c>
      <c r="W1910" t="s">
        <v>41497</v>
      </c>
      <c r="X1910" t="s">
        <v>44763</v>
      </c>
    </row>
    <row r="1911" spans="1:24">
      <c r="A1911">
        <f>HYPERLINK("https://www.philgeps.gov.ph/GEPSNONPILOT/Tender/SplashBidNoticeAbstractUI.aspx?menuIndex=3&amp;refID=7151400&amp;Result=3","7151400")</f>
        <v>0</v>
      </c>
      <c r="B1911" t="s">
        <v>676</v>
      </c>
      <c r="C1911" t="s">
        <v>5589</v>
      </c>
      <c r="D1911" t="s">
        <v>17952</v>
      </c>
      <c r="E1911" t="s">
        <v>19815</v>
      </c>
      <c r="F1911" t="s">
        <v>30900</v>
      </c>
      <c r="G1911" t="s">
        <v>30908</v>
      </c>
      <c r="H1911" t="s">
        <v>30916</v>
      </c>
      <c r="I1911" t="s">
        <v>4545</v>
      </c>
      <c r="J1911" t="s">
        <v>31139</v>
      </c>
      <c r="K1911" t="s">
        <v>40283</v>
      </c>
      <c r="M1911" t="s">
        <v>41239</v>
      </c>
      <c r="N1911" t="s">
        <v>44759</v>
      </c>
      <c r="O1911" t="s">
        <v>44760</v>
      </c>
      <c r="P1911">
        <v>0</v>
      </c>
      <c r="Q1911">
        <v>2</v>
      </c>
      <c r="R1911" t="s">
        <v>44762</v>
      </c>
      <c r="S1911" t="s">
        <v>44863</v>
      </c>
      <c r="T1911" t="s">
        <v>46383</v>
      </c>
      <c r="U1911" t="s">
        <v>48612</v>
      </c>
      <c r="W1911" t="s">
        <v>41239</v>
      </c>
      <c r="X1911" t="s">
        <v>44763</v>
      </c>
    </row>
    <row r="1912" spans="1:24">
      <c r="A1912">
        <f>HYPERLINK("https://www.philgeps.gov.ph/GEPSNONPILOT/Tender/SplashBidNoticeAbstractUI.aspx?menuIndex=3&amp;refID=7151406&amp;Result=3","7151406")</f>
        <v>0</v>
      </c>
      <c r="B1912" t="s">
        <v>889</v>
      </c>
      <c r="C1912" t="s">
        <v>5590</v>
      </c>
      <c r="D1912" t="s">
        <v>17991</v>
      </c>
      <c r="E1912" t="s">
        <v>19816</v>
      </c>
      <c r="F1912" t="s">
        <v>30900</v>
      </c>
      <c r="G1912" t="s">
        <v>30907</v>
      </c>
      <c r="H1912" t="s">
        <v>30916</v>
      </c>
      <c r="I1912" t="s">
        <v>30929</v>
      </c>
      <c r="J1912" t="s">
        <v>32463</v>
      </c>
      <c r="K1912" t="s">
        <v>40294</v>
      </c>
      <c r="M1912" t="s">
        <v>41462</v>
      </c>
      <c r="N1912" t="s">
        <v>44759</v>
      </c>
      <c r="O1912" t="s">
        <v>44760</v>
      </c>
      <c r="P1912">
        <v>0</v>
      </c>
      <c r="Q1912">
        <v>2</v>
      </c>
      <c r="R1912" t="s">
        <v>44762</v>
      </c>
      <c r="S1912" t="s">
        <v>44863</v>
      </c>
      <c r="T1912" t="s">
        <v>46515</v>
      </c>
      <c r="U1912" t="s">
        <v>48613</v>
      </c>
      <c r="W1912" t="s">
        <v>41462</v>
      </c>
      <c r="X1912" t="s">
        <v>44763</v>
      </c>
    </row>
    <row r="1913" spans="1:24">
      <c r="A1913">
        <f>HYPERLINK("https://www.philgeps.gov.ph/GEPSNONPILOT/Tender/SplashBidNoticeAbstractUI.aspx?menuIndex=3&amp;refID=7151405&amp;Result=3","7151405")</f>
        <v>0</v>
      </c>
      <c r="B1913" t="s">
        <v>899</v>
      </c>
      <c r="C1913" t="s">
        <v>5591</v>
      </c>
      <c r="E1913" t="s">
        <v>19817</v>
      </c>
      <c r="F1913" t="s">
        <v>30900</v>
      </c>
      <c r="G1913" t="s">
        <v>30907</v>
      </c>
      <c r="H1913" t="s">
        <v>30916</v>
      </c>
      <c r="I1913" t="s">
        <v>30929</v>
      </c>
      <c r="J1913" t="s">
        <v>32464</v>
      </c>
      <c r="K1913" t="s">
        <v>40289</v>
      </c>
      <c r="M1913" t="s">
        <v>41473</v>
      </c>
      <c r="N1913" t="s">
        <v>44759</v>
      </c>
      <c r="O1913" t="s">
        <v>44760</v>
      </c>
      <c r="P1913">
        <v>0</v>
      </c>
      <c r="Q1913">
        <v>24</v>
      </c>
      <c r="R1913" t="s">
        <v>44762</v>
      </c>
      <c r="S1913" t="s">
        <v>44863</v>
      </c>
      <c r="T1913" t="s">
        <v>46456</v>
      </c>
      <c r="U1913" t="s">
        <v>48561</v>
      </c>
      <c r="W1913" t="s">
        <v>41473</v>
      </c>
      <c r="X1913" t="s">
        <v>44763</v>
      </c>
    </row>
    <row r="1914" spans="1:24">
      <c r="A1914">
        <f>HYPERLINK("https://www.philgeps.gov.ph/GEPSNONPILOT/Tender/SplashBidNoticeAbstractUI.aspx?menuIndex=3&amp;refID=7151404&amp;Result=3","7151404")</f>
        <v>0</v>
      </c>
      <c r="B1914" t="s">
        <v>918</v>
      </c>
      <c r="C1914" t="s">
        <v>5592</v>
      </c>
      <c r="D1914" t="s">
        <v>17959</v>
      </c>
      <c r="E1914" t="s">
        <v>19818</v>
      </c>
      <c r="F1914" t="s">
        <v>30900</v>
      </c>
      <c r="G1914" t="s">
        <v>30910</v>
      </c>
      <c r="H1914" t="s">
        <v>30916</v>
      </c>
      <c r="I1914" t="s">
        <v>6953</v>
      </c>
      <c r="J1914" t="s">
        <v>32465</v>
      </c>
      <c r="K1914" t="s">
        <v>40286</v>
      </c>
      <c r="M1914" t="s">
        <v>41498</v>
      </c>
      <c r="N1914" t="s">
        <v>44759</v>
      </c>
      <c r="O1914" t="s">
        <v>44760</v>
      </c>
      <c r="P1914">
        <v>0</v>
      </c>
      <c r="Q1914">
        <v>2</v>
      </c>
      <c r="R1914" t="s">
        <v>44762</v>
      </c>
      <c r="S1914" t="s">
        <v>44863</v>
      </c>
      <c r="T1914" t="s">
        <v>46414</v>
      </c>
      <c r="U1914" t="s">
        <v>48611</v>
      </c>
      <c r="W1914" t="s">
        <v>41498</v>
      </c>
      <c r="X1914" t="s">
        <v>44763</v>
      </c>
    </row>
    <row r="1915" spans="1:24">
      <c r="A1915">
        <f>HYPERLINK("https://www.philgeps.gov.ph/GEPSNONPILOT/Tender/SplashBidNoticeAbstractUI.aspx?menuIndex=3&amp;refID=7151401&amp;Result=3","7151401")</f>
        <v>0</v>
      </c>
      <c r="B1915" t="s">
        <v>841</v>
      </c>
      <c r="C1915" t="s">
        <v>5593</v>
      </c>
      <c r="D1915" t="s">
        <v>17978</v>
      </c>
      <c r="E1915" t="s">
        <v>19819</v>
      </c>
      <c r="F1915" t="s">
        <v>30900</v>
      </c>
      <c r="G1915" t="s">
        <v>30910</v>
      </c>
      <c r="H1915" t="s">
        <v>30916</v>
      </c>
      <c r="I1915" t="s">
        <v>4108</v>
      </c>
      <c r="J1915" t="s">
        <v>32466</v>
      </c>
      <c r="K1915" t="s">
        <v>40284</v>
      </c>
      <c r="M1915" t="s">
        <v>41414</v>
      </c>
      <c r="N1915" t="s">
        <v>44759</v>
      </c>
      <c r="O1915" t="s">
        <v>44760</v>
      </c>
      <c r="P1915">
        <v>0</v>
      </c>
      <c r="Q1915">
        <v>0</v>
      </c>
      <c r="R1915" t="s">
        <v>44762</v>
      </c>
      <c r="S1915" t="s">
        <v>44863</v>
      </c>
      <c r="T1915" t="s">
        <v>46400</v>
      </c>
      <c r="U1915" t="s">
        <v>48614</v>
      </c>
      <c r="W1915" t="s">
        <v>41414</v>
      </c>
      <c r="X1915" t="s">
        <v>44763</v>
      </c>
    </row>
    <row r="1916" spans="1:24">
      <c r="A1916">
        <f>HYPERLINK("https://www.philgeps.gov.ph/GEPSNONPILOT/Tender/SplashBidNoticeAbstractUI.aspx?menuIndex=3&amp;refID=7151410&amp;Result=3","7151410")</f>
        <v>0</v>
      </c>
      <c r="B1916" t="s">
        <v>919</v>
      </c>
      <c r="C1916" t="s">
        <v>5594</v>
      </c>
      <c r="D1916" t="s">
        <v>17962</v>
      </c>
      <c r="E1916" t="s">
        <v>19570</v>
      </c>
      <c r="F1916" t="s">
        <v>30900</v>
      </c>
      <c r="G1916" t="s">
        <v>30906</v>
      </c>
      <c r="H1916" t="s">
        <v>30916</v>
      </c>
      <c r="I1916" t="s">
        <v>30999</v>
      </c>
      <c r="J1916" t="s">
        <v>32467</v>
      </c>
      <c r="K1916" t="s">
        <v>40283</v>
      </c>
      <c r="M1916" t="s">
        <v>41499</v>
      </c>
      <c r="N1916" t="s">
        <v>44759</v>
      </c>
      <c r="O1916" t="s">
        <v>44760</v>
      </c>
      <c r="P1916">
        <v>0</v>
      </c>
      <c r="Q1916">
        <v>1</v>
      </c>
      <c r="R1916" t="s">
        <v>44762</v>
      </c>
      <c r="S1916" t="s">
        <v>44863</v>
      </c>
      <c r="T1916" t="s">
        <v>46409</v>
      </c>
      <c r="U1916" t="s">
        <v>48615</v>
      </c>
      <c r="W1916" t="s">
        <v>41499</v>
      </c>
      <c r="X1916" t="s">
        <v>44763</v>
      </c>
    </row>
    <row r="1917" spans="1:24">
      <c r="A1917">
        <f>HYPERLINK("https://www.philgeps.gov.ph/GEPSNONPILOT/Tender/SplashBidNoticeAbstractUI.aspx?menuIndex=3&amp;refID=7151398&amp;Result=3","7151398")</f>
        <v>0</v>
      </c>
      <c r="B1917" t="s">
        <v>920</v>
      </c>
      <c r="C1917" t="s">
        <v>5595</v>
      </c>
      <c r="D1917" t="s">
        <v>17959</v>
      </c>
      <c r="E1917" t="s">
        <v>19820</v>
      </c>
      <c r="F1917" t="s">
        <v>30900</v>
      </c>
      <c r="G1917" t="s">
        <v>30908</v>
      </c>
      <c r="H1917" t="s">
        <v>30916</v>
      </c>
      <c r="I1917" t="s">
        <v>4142</v>
      </c>
      <c r="J1917" t="s">
        <v>31522</v>
      </c>
      <c r="K1917" t="s">
        <v>40289</v>
      </c>
      <c r="M1917" t="s">
        <v>41500</v>
      </c>
      <c r="N1917" t="s">
        <v>44759</v>
      </c>
      <c r="O1917" t="s">
        <v>44760</v>
      </c>
      <c r="P1917">
        <v>0</v>
      </c>
      <c r="Q1917">
        <v>2</v>
      </c>
      <c r="R1917" t="s">
        <v>44762</v>
      </c>
      <c r="S1917" t="s">
        <v>44863</v>
      </c>
      <c r="T1917" t="s">
        <v>46440</v>
      </c>
      <c r="U1917" t="s">
        <v>48616</v>
      </c>
      <c r="W1917" t="s">
        <v>41500</v>
      </c>
      <c r="X1917" t="s">
        <v>44763</v>
      </c>
    </row>
    <row r="1918" spans="1:24">
      <c r="A1918">
        <f>HYPERLINK("https://www.philgeps.gov.ph/GEPSNONPILOT/Tender/SplashBidNoticeAbstractUI.aspx?menuIndex=3&amp;refID=7151395&amp;Result=3","7151395")</f>
        <v>0</v>
      </c>
      <c r="B1918" t="s">
        <v>872</v>
      </c>
      <c r="C1918" t="s">
        <v>5596</v>
      </c>
      <c r="D1918" t="s">
        <v>17959</v>
      </c>
      <c r="E1918" t="s">
        <v>19821</v>
      </c>
      <c r="F1918" t="s">
        <v>30900</v>
      </c>
      <c r="G1918" t="s">
        <v>30908</v>
      </c>
      <c r="H1918" t="s">
        <v>30916</v>
      </c>
      <c r="I1918" t="s">
        <v>4108</v>
      </c>
      <c r="J1918" t="s">
        <v>32468</v>
      </c>
      <c r="K1918" t="s">
        <v>40283</v>
      </c>
      <c r="M1918" t="s">
        <v>41445</v>
      </c>
      <c r="N1918" t="s">
        <v>44759</v>
      </c>
      <c r="O1918" t="s">
        <v>44760</v>
      </c>
      <c r="P1918">
        <v>0</v>
      </c>
      <c r="Q1918">
        <v>7</v>
      </c>
      <c r="R1918" t="s">
        <v>44762</v>
      </c>
      <c r="S1918" t="s">
        <v>44863</v>
      </c>
      <c r="T1918" t="s">
        <v>46556</v>
      </c>
      <c r="U1918" t="s">
        <v>48617</v>
      </c>
      <c r="W1918" t="s">
        <v>41445</v>
      </c>
      <c r="X1918" t="s">
        <v>44763</v>
      </c>
    </row>
    <row r="1919" spans="1:24">
      <c r="A1919">
        <f>HYPERLINK("https://www.philgeps.gov.ph/GEPSNONPILOT/Tender/SplashBidNoticeAbstractUI.aspx?menuIndex=3&amp;refID=7151407&amp;Result=3","7151407")</f>
        <v>0</v>
      </c>
      <c r="B1919" t="s">
        <v>921</v>
      </c>
      <c r="C1919" t="s">
        <v>5597</v>
      </c>
      <c r="D1919" t="s">
        <v>17975</v>
      </c>
      <c r="E1919" t="s">
        <v>19822</v>
      </c>
      <c r="F1919" t="s">
        <v>30900</v>
      </c>
      <c r="G1919" t="s">
        <v>30908</v>
      </c>
      <c r="H1919" t="s">
        <v>30916</v>
      </c>
      <c r="I1919" t="s">
        <v>4545</v>
      </c>
      <c r="J1919" t="s">
        <v>31355</v>
      </c>
      <c r="K1919" t="s">
        <v>40283</v>
      </c>
      <c r="M1919" t="s">
        <v>41501</v>
      </c>
      <c r="N1919" t="s">
        <v>44759</v>
      </c>
      <c r="O1919" t="s">
        <v>44760</v>
      </c>
      <c r="Q1919">
        <v>3</v>
      </c>
      <c r="R1919" t="s">
        <v>44762</v>
      </c>
      <c r="S1919" t="s">
        <v>44867</v>
      </c>
      <c r="T1919" t="s">
        <v>46470</v>
      </c>
      <c r="U1919" t="s">
        <v>48618</v>
      </c>
      <c r="W1919" t="s">
        <v>41501</v>
      </c>
      <c r="X1919" t="s">
        <v>44763</v>
      </c>
    </row>
    <row r="1920" spans="1:24">
      <c r="A1920">
        <f>HYPERLINK("https://www.philgeps.gov.ph/GEPSNONPILOT/Tender/SplashBidNoticeAbstractUI.aspx?menuIndex=3&amp;refID=7151393&amp;Result=3","7151393")</f>
        <v>0</v>
      </c>
      <c r="B1920" t="s">
        <v>922</v>
      </c>
      <c r="C1920" t="s">
        <v>5598</v>
      </c>
      <c r="D1920" t="s">
        <v>17985</v>
      </c>
      <c r="E1920" t="s">
        <v>19823</v>
      </c>
      <c r="F1920" t="s">
        <v>30900</v>
      </c>
      <c r="G1920" t="s">
        <v>30908</v>
      </c>
      <c r="H1920" t="s">
        <v>30916</v>
      </c>
      <c r="I1920" t="s">
        <v>4142</v>
      </c>
      <c r="J1920" t="s">
        <v>31521</v>
      </c>
      <c r="K1920" t="s">
        <v>40285</v>
      </c>
      <c r="M1920" t="s">
        <v>41502</v>
      </c>
      <c r="N1920" t="s">
        <v>44759</v>
      </c>
      <c r="O1920" t="s">
        <v>44760</v>
      </c>
      <c r="P1920">
        <v>0</v>
      </c>
      <c r="Q1920">
        <v>2</v>
      </c>
      <c r="R1920" t="s">
        <v>44762</v>
      </c>
      <c r="S1920" t="s">
        <v>44863</v>
      </c>
      <c r="T1920" t="s">
        <v>46457</v>
      </c>
      <c r="U1920" t="s">
        <v>48619</v>
      </c>
      <c r="W1920" t="s">
        <v>41502</v>
      </c>
      <c r="X1920" t="s">
        <v>44763</v>
      </c>
    </row>
    <row r="1921" spans="1:24">
      <c r="A1921">
        <f>HYPERLINK("https://www.philgeps.gov.ph/GEPSNONPILOT/Tender/SplashBidNoticeAbstractUI.aspx?menuIndex=3&amp;refID=7151402&amp;Result=3","7151402")</f>
        <v>0</v>
      </c>
      <c r="B1921" t="s">
        <v>923</v>
      </c>
      <c r="C1921" t="s">
        <v>5599</v>
      </c>
      <c r="D1921" t="s">
        <v>17955</v>
      </c>
      <c r="E1921" t="s">
        <v>18234</v>
      </c>
      <c r="F1921" t="s">
        <v>30900</v>
      </c>
      <c r="G1921" t="s">
        <v>30907</v>
      </c>
      <c r="H1921" t="s">
        <v>30916</v>
      </c>
      <c r="I1921" t="s">
        <v>30933</v>
      </c>
      <c r="J1921" t="s">
        <v>32469</v>
      </c>
      <c r="K1921" t="s">
        <v>40287</v>
      </c>
      <c r="M1921" t="s">
        <v>41503</v>
      </c>
      <c r="N1921" t="s">
        <v>44759</v>
      </c>
      <c r="O1921" t="s">
        <v>44760</v>
      </c>
      <c r="P1921">
        <v>0</v>
      </c>
      <c r="Q1921">
        <v>1</v>
      </c>
      <c r="R1921" t="s">
        <v>44762</v>
      </c>
      <c r="S1921" t="s">
        <v>44863</v>
      </c>
      <c r="T1921" t="s">
        <v>46409</v>
      </c>
      <c r="U1921" t="s">
        <v>48620</v>
      </c>
      <c r="W1921" t="s">
        <v>41503</v>
      </c>
      <c r="X1921" t="s">
        <v>44763</v>
      </c>
    </row>
    <row r="1922" spans="1:24">
      <c r="A1922">
        <f>HYPERLINK("https://www.philgeps.gov.ph/GEPSNONPILOT/Tender/SplashBidNoticeAbstractUI.aspx?menuIndex=3&amp;refID=7151392&amp;Result=3","7151392")</f>
        <v>0</v>
      </c>
      <c r="B1922" t="s">
        <v>924</v>
      </c>
      <c r="C1922" t="s">
        <v>5600</v>
      </c>
      <c r="D1922" t="s">
        <v>18017</v>
      </c>
      <c r="E1922" t="s">
        <v>19824</v>
      </c>
      <c r="F1922" t="s">
        <v>30900</v>
      </c>
      <c r="G1922" t="s">
        <v>30907</v>
      </c>
      <c r="H1922" t="s">
        <v>30915</v>
      </c>
      <c r="I1922" t="s">
        <v>30919</v>
      </c>
      <c r="J1922" t="s">
        <v>32470</v>
      </c>
      <c r="K1922" t="s">
        <v>40356</v>
      </c>
      <c r="M1922" t="s">
        <v>41504</v>
      </c>
      <c r="N1922" t="s">
        <v>44759</v>
      </c>
      <c r="O1922" t="s">
        <v>44760</v>
      </c>
      <c r="P1922">
        <v>0</v>
      </c>
      <c r="Q1922">
        <v>0</v>
      </c>
      <c r="R1922" t="s">
        <v>44762</v>
      </c>
      <c r="S1922" t="s">
        <v>44863</v>
      </c>
      <c r="T1922" t="s">
        <v>46561</v>
      </c>
      <c r="U1922" t="s">
        <v>48621</v>
      </c>
      <c r="V1922" t="s">
        <v>59331</v>
      </c>
      <c r="W1922" t="s">
        <v>41504</v>
      </c>
      <c r="X1922" t="s">
        <v>44763</v>
      </c>
    </row>
    <row r="1923" spans="1:24">
      <c r="A1923">
        <f>HYPERLINK("https://www.philgeps.gov.ph/GEPSNONPILOT/Tender/SplashBidNoticeAbstractUI.aspx?menuIndex=3&amp;refID=7151373&amp;Result=3","7151373")</f>
        <v>0</v>
      </c>
      <c r="B1923" t="s">
        <v>925</v>
      </c>
      <c r="C1923" t="s">
        <v>5601</v>
      </c>
      <c r="D1923" t="s">
        <v>17959</v>
      </c>
      <c r="E1923" t="s">
        <v>19825</v>
      </c>
      <c r="F1923" t="s">
        <v>30899</v>
      </c>
      <c r="G1923" t="s">
        <v>30907</v>
      </c>
      <c r="H1923" t="s">
        <v>30916</v>
      </c>
      <c r="I1923" t="s">
        <v>4108</v>
      </c>
      <c r="J1923" t="s">
        <v>31341</v>
      </c>
      <c r="K1923" t="s">
        <v>40286</v>
      </c>
      <c r="M1923" t="s">
        <v>41505</v>
      </c>
      <c r="N1923" t="s">
        <v>44759</v>
      </c>
      <c r="O1923" t="s">
        <v>44760</v>
      </c>
      <c r="P1923">
        <v>0</v>
      </c>
      <c r="Q1923">
        <v>0</v>
      </c>
      <c r="R1923" t="s">
        <v>44762</v>
      </c>
      <c r="S1923" t="s">
        <v>44863</v>
      </c>
      <c r="T1923" t="s">
        <v>46515</v>
      </c>
      <c r="U1923" t="s">
        <v>48622</v>
      </c>
      <c r="V1923" t="s">
        <v>59332</v>
      </c>
      <c r="W1923" t="s">
        <v>41505</v>
      </c>
      <c r="X1923" t="s">
        <v>44763</v>
      </c>
    </row>
    <row r="1924" spans="1:24">
      <c r="A1924">
        <f>HYPERLINK("https://www.philgeps.gov.ph/GEPSNONPILOT/Tender/SplashBidNoticeAbstractUI.aspx?menuIndex=3&amp;refID=7151360&amp;Result=3","7151360")</f>
        <v>0</v>
      </c>
      <c r="B1924" t="s">
        <v>926</v>
      </c>
      <c r="C1924" t="s">
        <v>5602</v>
      </c>
      <c r="D1924" t="s">
        <v>17999</v>
      </c>
      <c r="E1924" t="s">
        <v>19826</v>
      </c>
      <c r="F1924" t="s">
        <v>30900</v>
      </c>
      <c r="G1924" t="s">
        <v>30907</v>
      </c>
      <c r="H1924" t="s">
        <v>30915</v>
      </c>
      <c r="I1924" t="s">
        <v>30919</v>
      </c>
      <c r="J1924" t="s">
        <v>32471</v>
      </c>
      <c r="K1924" t="s">
        <v>40357</v>
      </c>
      <c r="M1924" t="s">
        <v>41506</v>
      </c>
      <c r="N1924" t="s">
        <v>44759</v>
      </c>
      <c r="O1924" t="s">
        <v>44760</v>
      </c>
      <c r="P1924">
        <v>0</v>
      </c>
      <c r="Q1924">
        <v>1</v>
      </c>
      <c r="R1924" t="s">
        <v>44762</v>
      </c>
      <c r="S1924" t="s">
        <v>44863</v>
      </c>
      <c r="T1924" t="s">
        <v>46375</v>
      </c>
      <c r="U1924" t="s">
        <v>48623</v>
      </c>
      <c r="W1924" t="s">
        <v>41506</v>
      </c>
      <c r="X1924" t="s">
        <v>44763</v>
      </c>
    </row>
    <row r="1925" spans="1:24">
      <c r="A1925">
        <f>HYPERLINK("https://www.philgeps.gov.ph/GEPSNONPILOT/Tender/SplashBidNoticeAbstractUI.aspx?menuIndex=3&amp;refID=7151396&amp;Result=3","7151396")</f>
        <v>0</v>
      </c>
      <c r="B1925" t="s">
        <v>918</v>
      </c>
      <c r="C1925" t="s">
        <v>5603</v>
      </c>
      <c r="D1925" t="s">
        <v>17959</v>
      </c>
      <c r="E1925" t="s">
        <v>19827</v>
      </c>
      <c r="F1925" t="s">
        <v>30900</v>
      </c>
      <c r="G1925" t="s">
        <v>30910</v>
      </c>
      <c r="H1925" t="s">
        <v>30916</v>
      </c>
      <c r="I1925" t="s">
        <v>4142</v>
      </c>
      <c r="J1925" t="s">
        <v>32153</v>
      </c>
      <c r="K1925" t="s">
        <v>40283</v>
      </c>
      <c r="M1925" t="s">
        <v>41507</v>
      </c>
      <c r="N1925" t="s">
        <v>44759</v>
      </c>
      <c r="O1925" t="s">
        <v>44760</v>
      </c>
      <c r="P1925">
        <v>0</v>
      </c>
      <c r="Q1925">
        <v>10</v>
      </c>
      <c r="R1925" t="s">
        <v>44762</v>
      </c>
      <c r="S1925" t="s">
        <v>44863</v>
      </c>
      <c r="T1925" t="s">
        <v>46414</v>
      </c>
      <c r="U1925" t="s">
        <v>48611</v>
      </c>
      <c r="W1925" t="s">
        <v>41507</v>
      </c>
      <c r="X1925" t="s">
        <v>44763</v>
      </c>
    </row>
    <row r="1926" spans="1:24">
      <c r="A1926">
        <f>HYPERLINK("https://www.philgeps.gov.ph/GEPSNONPILOT/Tender/SplashBidNoticeAbstractUI.aspx?menuIndex=3&amp;refID=7151371&amp;Result=3","7151371")</f>
        <v>0</v>
      </c>
      <c r="B1926" t="s">
        <v>747</v>
      </c>
      <c r="C1926" t="s">
        <v>5604</v>
      </c>
      <c r="D1926" t="s">
        <v>18021</v>
      </c>
      <c r="E1926" t="s">
        <v>19828</v>
      </c>
      <c r="F1926" t="s">
        <v>30900</v>
      </c>
      <c r="G1926" t="s">
        <v>30907</v>
      </c>
      <c r="H1926" t="s">
        <v>30915</v>
      </c>
      <c r="I1926" t="s">
        <v>30919</v>
      </c>
      <c r="J1926" t="s">
        <v>32472</v>
      </c>
      <c r="K1926" t="s">
        <v>40280</v>
      </c>
      <c r="M1926" t="s">
        <v>41311</v>
      </c>
      <c r="N1926" t="s">
        <v>44759</v>
      </c>
      <c r="O1926" t="s">
        <v>44760</v>
      </c>
      <c r="P1926">
        <v>0</v>
      </c>
      <c r="Q1926">
        <v>1</v>
      </c>
      <c r="R1926" t="s">
        <v>44762</v>
      </c>
      <c r="S1926" t="s">
        <v>44863</v>
      </c>
      <c r="T1926" t="s">
        <v>46465</v>
      </c>
      <c r="U1926" t="s">
        <v>48624</v>
      </c>
      <c r="V1926" t="s">
        <v>59333</v>
      </c>
      <c r="W1926" t="s">
        <v>41311</v>
      </c>
      <c r="X1926" t="s">
        <v>44763</v>
      </c>
    </row>
    <row r="1927" spans="1:24">
      <c r="A1927">
        <f>HYPERLINK("https://www.philgeps.gov.ph/GEPSNONPILOT/Tender/SplashBidNoticeAbstractUI.aspx?menuIndex=3&amp;refID=7151394&amp;Result=3","7151394")</f>
        <v>0</v>
      </c>
      <c r="B1927" t="s">
        <v>927</v>
      </c>
      <c r="C1927" t="s">
        <v>5605</v>
      </c>
      <c r="D1927" t="s">
        <v>18002</v>
      </c>
      <c r="E1927" t="s">
        <v>19829</v>
      </c>
      <c r="F1927" t="s">
        <v>30900</v>
      </c>
      <c r="G1927" t="s">
        <v>30908</v>
      </c>
      <c r="H1927" t="s">
        <v>30916</v>
      </c>
      <c r="I1927" t="s">
        <v>31000</v>
      </c>
      <c r="J1927" t="s">
        <v>31497</v>
      </c>
      <c r="K1927" t="s">
        <v>40281</v>
      </c>
      <c r="M1927" t="s">
        <v>41508</v>
      </c>
      <c r="N1927" t="s">
        <v>44759</v>
      </c>
      <c r="O1927" t="s">
        <v>44760</v>
      </c>
      <c r="P1927">
        <v>0</v>
      </c>
      <c r="Q1927">
        <v>0</v>
      </c>
      <c r="R1927" t="s">
        <v>44762</v>
      </c>
      <c r="S1927" t="s">
        <v>44863</v>
      </c>
      <c r="T1927" t="s">
        <v>46414</v>
      </c>
      <c r="U1927" t="s">
        <v>48625</v>
      </c>
      <c r="W1927" t="s">
        <v>41508</v>
      </c>
      <c r="X1927" t="s">
        <v>44763</v>
      </c>
    </row>
    <row r="1928" spans="1:24">
      <c r="A1928">
        <f>HYPERLINK("https://www.philgeps.gov.ph/GEPSNONPILOT/Tender/SplashBidNoticeAbstractUI.aspx?menuIndex=3&amp;refID=7151369&amp;Result=3","7151369")</f>
        <v>0</v>
      </c>
      <c r="B1928" t="s">
        <v>899</v>
      </c>
      <c r="C1928" t="s">
        <v>5606</v>
      </c>
      <c r="E1928" t="s">
        <v>19830</v>
      </c>
      <c r="F1928" t="s">
        <v>30900</v>
      </c>
      <c r="G1928" t="s">
        <v>30907</v>
      </c>
      <c r="H1928" t="s">
        <v>30916</v>
      </c>
      <c r="I1928" t="s">
        <v>30929</v>
      </c>
      <c r="J1928" t="s">
        <v>32473</v>
      </c>
      <c r="K1928" t="s">
        <v>40289</v>
      </c>
      <c r="M1928" t="s">
        <v>41473</v>
      </c>
      <c r="N1928" t="s">
        <v>44759</v>
      </c>
      <c r="O1928" t="s">
        <v>44760</v>
      </c>
      <c r="P1928">
        <v>0</v>
      </c>
      <c r="Q1928">
        <v>24</v>
      </c>
      <c r="R1928" t="s">
        <v>44762</v>
      </c>
      <c r="S1928" t="s">
        <v>44863</v>
      </c>
      <c r="T1928" t="s">
        <v>46456</v>
      </c>
      <c r="U1928" t="s">
        <v>48561</v>
      </c>
      <c r="W1928" t="s">
        <v>41473</v>
      </c>
      <c r="X1928" t="s">
        <v>44763</v>
      </c>
    </row>
    <row r="1929" spans="1:24">
      <c r="A1929">
        <f>HYPERLINK("https://www.philgeps.gov.ph/GEPSNONPILOT/Tender/SplashBidNoticeAbstractUI.aspx?menuIndex=3&amp;refID=7151399&amp;Result=3","7151399")</f>
        <v>0</v>
      </c>
      <c r="B1929" t="s">
        <v>898</v>
      </c>
      <c r="C1929" t="s">
        <v>5607</v>
      </c>
      <c r="D1929" t="s">
        <v>17959</v>
      </c>
      <c r="E1929" t="s">
        <v>19831</v>
      </c>
      <c r="F1929" t="s">
        <v>30900</v>
      </c>
      <c r="G1929" t="s">
        <v>30908</v>
      </c>
      <c r="H1929" t="s">
        <v>30916</v>
      </c>
      <c r="I1929" t="s">
        <v>4108</v>
      </c>
      <c r="J1929" t="s">
        <v>31183</v>
      </c>
      <c r="K1929" t="s">
        <v>40287</v>
      </c>
      <c r="M1929" t="s">
        <v>41472</v>
      </c>
      <c r="N1929" t="s">
        <v>44759</v>
      </c>
      <c r="O1929" t="s">
        <v>44760</v>
      </c>
      <c r="P1929">
        <v>0</v>
      </c>
      <c r="Q1929">
        <v>0</v>
      </c>
      <c r="R1929" t="s">
        <v>44762</v>
      </c>
      <c r="S1929" t="s">
        <v>44863</v>
      </c>
      <c r="T1929" t="s">
        <v>46409</v>
      </c>
      <c r="U1929" t="s">
        <v>48626</v>
      </c>
      <c r="W1929" t="s">
        <v>41472</v>
      </c>
      <c r="X1929" t="s">
        <v>44763</v>
      </c>
    </row>
    <row r="1930" spans="1:24">
      <c r="A1930">
        <f>HYPERLINK("https://www.philgeps.gov.ph/GEPSNONPILOT/Tender/SplashBidNoticeAbstractUI.aspx?menuIndex=3&amp;refID=7151391&amp;Result=3","7151391")</f>
        <v>0</v>
      </c>
      <c r="B1930" t="s">
        <v>418</v>
      </c>
      <c r="C1930" t="s">
        <v>5608</v>
      </c>
      <c r="D1930" t="s">
        <v>17959</v>
      </c>
      <c r="E1930" t="s">
        <v>5608</v>
      </c>
      <c r="F1930" t="s">
        <v>30900</v>
      </c>
      <c r="G1930" t="s">
        <v>30908</v>
      </c>
      <c r="H1930" t="s">
        <v>30916</v>
      </c>
      <c r="I1930" t="s">
        <v>6396</v>
      </c>
      <c r="J1930" t="s">
        <v>32474</v>
      </c>
      <c r="K1930" t="s">
        <v>40289</v>
      </c>
      <c r="M1930" t="s">
        <v>41509</v>
      </c>
      <c r="N1930" t="s">
        <v>44759</v>
      </c>
      <c r="O1930" t="s">
        <v>44760</v>
      </c>
      <c r="P1930">
        <v>0</v>
      </c>
      <c r="Q1930">
        <v>5</v>
      </c>
      <c r="R1930" t="s">
        <v>44762</v>
      </c>
      <c r="S1930" t="s">
        <v>44863</v>
      </c>
      <c r="T1930" t="s">
        <v>46562</v>
      </c>
      <c r="U1930" t="s">
        <v>48627</v>
      </c>
      <c r="W1930" t="s">
        <v>41509</v>
      </c>
      <c r="X1930" t="s">
        <v>44763</v>
      </c>
    </row>
    <row r="1931" spans="1:24">
      <c r="A1931">
        <f>HYPERLINK("https://www.philgeps.gov.ph/GEPSNONPILOT/Tender/SplashBidNoticeAbstractUI.aspx?menuIndex=3&amp;refID=7151338&amp;Result=3","7151338")</f>
        <v>0</v>
      </c>
      <c r="B1931" t="s">
        <v>462</v>
      </c>
      <c r="C1931" t="s">
        <v>5609</v>
      </c>
      <c r="D1931" t="s">
        <v>17980</v>
      </c>
      <c r="E1931" t="s">
        <v>19832</v>
      </c>
      <c r="F1931" t="s">
        <v>30900</v>
      </c>
      <c r="G1931" t="s">
        <v>30908</v>
      </c>
      <c r="H1931" t="s">
        <v>30916</v>
      </c>
      <c r="I1931" t="s">
        <v>10602</v>
      </c>
      <c r="J1931" t="s">
        <v>31058</v>
      </c>
      <c r="K1931" t="s">
        <v>40285</v>
      </c>
      <c r="M1931" t="s">
        <v>41020</v>
      </c>
      <c r="N1931" t="s">
        <v>44759</v>
      </c>
      <c r="O1931" t="s">
        <v>44760</v>
      </c>
      <c r="P1931">
        <v>0</v>
      </c>
      <c r="Q1931">
        <v>0</v>
      </c>
      <c r="R1931" t="s">
        <v>44762</v>
      </c>
      <c r="S1931" t="s">
        <v>44863</v>
      </c>
      <c r="T1931" t="s">
        <v>46414</v>
      </c>
      <c r="U1931" t="s">
        <v>48563</v>
      </c>
      <c r="W1931" t="s">
        <v>41020</v>
      </c>
      <c r="X1931" t="s">
        <v>44763</v>
      </c>
    </row>
    <row r="1932" spans="1:24">
      <c r="A1932">
        <f>HYPERLINK("https://www.philgeps.gov.ph/GEPSNONPILOT/Tender/SplashBidNoticeAbstractUI.aspx?menuIndex=3&amp;refID=7151437&amp;Result=3","7151437")</f>
        <v>0</v>
      </c>
      <c r="B1932" t="s">
        <v>928</v>
      </c>
      <c r="C1932" t="s">
        <v>5610</v>
      </c>
      <c r="D1932" t="s">
        <v>17972</v>
      </c>
      <c r="E1932" t="s">
        <v>19833</v>
      </c>
      <c r="F1932" t="s">
        <v>30900</v>
      </c>
      <c r="G1932" t="s">
        <v>30908</v>
      </c>
      <c r="H1932" t="s">
        <v>30916</v>
      </c>
      <c r="I1932" t="s">
        <v>30924</v>
      </c>
      <c r="J1932" t="s">
        <v>31288</v>
      </c>
      <c r="K1932" t="s">
        <v>40289</v>
      </c>
      <c r="M1932" t="s">
        <v>41510</v>
      </c>
      <c r="N1932" t="s">
        <v>44759</v>
      </c>
      <c r="O1932" t="s">
        <v>44760</v>
      </c>
      <c r="P1932">
        <v>0</v>
      </c>
      <c r="Q1932">
        <v>6</v>
      </c>
      <c r="R1932" t="s">
        <v>44762</v>
      </c>
      <c r="S1932" t="s">
        <v>44863</v>
      </c>
      <c r="T1932" t="s">
        <v>46379</v>
      </c>
      <c r="U1932" t="s">
        <v>48628</v>
      </c>
      <c r="W1932" t="s">
        <v>41510</v>
      </c>
      <c r="X1932" t="s">
        <v>44763</v>
      </c>
    </row>
    <row r="1933" spans="1:24">
      <c r="A1933">
        <f>HYPERLINK("https://www.philgeps.gov.ph/GEPSNONPILOT/Tender/SplashBidNoticeAbstractUI.aspx?menuIndex=3&amp;refID=7151397&amp;Result=3","7151397")</f>
        <v>0</v>
      </c>
      <c r="B1933" t="s">
        <v>929</v>
      </c>
      <c r="C1933" t="s">
        <v>5611</v>
      </c>
      <c r="D1933" t="s">
        <v>17993</v>
      </c>
      <c r="E1933" t="s">
        <v>19834</v>
      </c>
      <c r="F1933" t="s">
        <v>30900</v>
      </c>
      <c r="G1933" t="s">
        <v>30908</v>
      </c>
      <c r="H1933" t="s">
        <v>30916</v>
      </c>
      <c r="I1933" t="s">
        <v>5501</v>
      </c>
      <c r="J1933" t="s">
        <v>32475</v>
      </c>
      <c r="K1933" t="s">
        <v>40281</v>
      </c>
      <c r="M1933" t="s">
        <v>41511</v>
      </c>
      <c r="N1933" t="s">
        <v>44759</v>
      </c>
      <c r="O1933" t="s">
        <v>44760</v>
      </c>
      <c r="P1933">
        <v>0</v>
      </c>
      <c r="Q1933">
        <v>0</v>
      </c>
      <c r="R1933" t="s">
        <v>44762</v>
      </c>
      <c r="S1933" t="s">
        <v>44863</v>
      </c>
      <c r="T1933" t="s">
        <v>46398</v>
      </c>
      <c r="U1933" t="s">
        <v>48629</v>
      </c>
      <c r="W1933" t="s">
        <v>41511</v>
      </c>
      <c r="X1933" t="s">
        <v>44763</v>
      </c>
    </row>
    <row r="1934" spans="1:24">
      <c r="A1934">
        <f>HYPERLINK("https://www.philgeps.gov.ph/GEPSNONPILOT/Tender/SplashBidNoticeAbstractUI.aspx?menuIndex=3&amp;refID=7151370&amp;Result=3","7151370")</f>
        <v>0</v>
      </c>
      <c r="B1934" t="s">
        <v>824</v>
      </c>
      <c r="C1934" t="s">
        <v>5612</v>
      </c>
      <c r="D1934" t="s">
        <v>17962</v>
      </c>
      <c r="E1934" t="s">
        <v>19811</v>
      </c>
      <c r="F1934" t="s">
        <v>30900</v>
      </c>
      <c r="G1934" t="s">
        <v>30908</v>
      </c>
      <c r="H1934" t="s">
        <v>30916</v>
      </c>
      <c r="I1934" t="s">
        <v>31001</v>
      </c>
      <c r="J1934" t="s">
        <v>32476</v>
      </c>
      <c r="K1934" t="s">
        <v>40308</v>
      </c>
      <c r="M1934" t="s">
        <v>41396</v>
      </c>
      <c r="N1934" t="s">
        <v>44759</v>
      </c>
      <c r="O1934" t="s">
        <v>44760</v>
      </c>
      <c r="P1934">
        <v>0</v>
      </c>
      <c r="Q1934">
        <v>1</v>
      </c>
      <c r="R1934" t="s">
        <v>44762</v>
      </c>
      <c r="S1934" t="s">
        <v>44863</v>
      </c>
      <c r="T1934" t="s">
        <v>46363</v>
      </c>
      <c r="U1934" t="s">
        <v>48418</v>
      </c>
      <c r="W1934" t="s">
        <v>41396</v>
      </c>
      <c r="X1934" t="s">
        <v>44763</v>
      </c>
    </row>
    <row r="1935" spans="1:24">
      <c r="A1935">
        <f>HYPERLINK("https://www.philgeps.gov.ph/GEPSNONPILOT/Tender/SplashBidNoticeAbstractUI.aspx?menuIndex=3&amp;refID=7151435&amp;Result=3","7151435")</f>
        <v>0</v>
      </c>
      <c r="B1935" t="s">
        <v>61</v>
      </c>
      <c r="C1935" t="s">
        <v>5613</v>
      </c>
      <c r="D1935" t="s">
        <v>17974</v>
      </c>
      <c r="E1935" t="s">
        <v>19835</v>
      </c>
      <c r="F1935" t="s">
        <v>30900</v>
      </c>
      <c r="G1935" t="s">
        <v>30907</v>
      </c>
      <c r="H1935" t="s">
        <v>30916</v>
      </c>
      <c r="I1935" t="s">
        <v>5501</v>
      </c>
      <c r="J1935" t="s">
        <v>32477</v>
      </c>
      <c r="K1935" t="s">
        <v>40289</v>
      </c>
      <c r="M1935" t="s">
        <v>40607</v>
      </c>
      <c r="N1935" t="s">
        <v>44759</v>
      </c>
      <c r="O1935" t="s">
        <v>44760</v>
      </c>
      <c r="P1935">
        <v>0</v>
      </c>
      <c r="Q1935">
        <v>0</v>
      </c>
      <c r="R1935" t="s">
        <v>44762</v>
      </c>
      <c r="S1935" t="s">
        <v>44863</v>
      </c>
      <c r="T1935" t="s">
        <v>46377</v>
      </c>
      <c r="U1935" t="s">
        <v>48630</v>
      </c>
      <c r="W1935" t="s">
        <v>40607</v>
      </c>
      <c r="X1935" t="s">
        <v>44763</v>
      </c>
    </row>
    <row r="1936" spans="1:24">
      <c r="A1936">
        <f>HYPERLINK("https://www.philgeps.gov.ph/GEPSNONPILOT/Tender/SplashBidNoticeAbstractUI.aspx?menuIndex=3&amp;refID=7151415&amp;Result=3","7151415")</f>
        <v>0</v>
      </c>
      <c r="B1936" t="s">
        <v>462</v>
      </c>
      <c r="C1936" t="s">
        <v>5614</v>
      </c>
      <c r="D1936" t="s">
        <v>17980</v>
      </c>
      <c r="E1936" t="s">
        <v>19836</v>
      </c>
      <c r="F1936" t="s">
        <v>30900</v>
      </c>
      <c r="G1936" t="s">
        <v>30908</v>
      </c>
      <c r="H1936" t="s">
        <v>30916</v>
      </c>
      <c r="I1936" t="s">
        <v>4545</v>
      </c>
      <c r="J1936" t="s">
        <v>31284</v>
      </c>
      <c r="K1936" t="s">
        <v>40285</v>
      </c>
      <c r="M1936" t="s">
        <v>41020</v>
      </c>
      <c r="N1936" t="s">
        <v>44759</v>
      </c>
      <c r="O1936" t="s">
        <v>44760</v>
      </c>
      <c r="P1936">
        <v>0</v>
      </c>
      <c r="Q1936">
        <v>4</v>
      </c>
      <c r="R1936" t="s">
        <v>44762</v>
      </c>
      <c r="S1936" t="s">
        <v>44863</v>
      </c>
      <c r="T1936" t="s">
        <v>46414</v>
      </c>
      <c r="U1936" t="s">
        <v>48563</v>
      </c>
      <c r="W1936" t="s">
        <v>41020</v>
      </c>
      <c r="X1936" t="s">
        <v>44763</v>
      </c>
    </row>
    <row r="1937" spans="1:24">
      <c r="A1937">
        <f>HYPERLINK("https://www.philgeps.gov.ph/GEPSNONPILOT/Tender/SplashBidNoticeAbstractUI.aspx?menuIndex=3&amp;refID=7151431&amp;Result=3","7151431")</f>
        <v>0</v>
      </c>
      <c r="B1937" t="s">
        <v>930</v>
      </c>
      <c r="C1937" t="s">
        <v>5615</v>
      </c>
      <c r="D1937" t="s">
        <v>17993</v>
      </c>
      <c r="E1937" t="s">
        <v>19837</v>
      </c>
      <c r="F1937" t="s">
        <v>30900</v>
      </c>
      <c r="G1937" t="s">
        <v>30907</v>
      </c>
      <c r="H1937" t="s">
        <v>30915</v>
      </c>
      <c r="I1937" t="s">
        <v>30919</v>
      </c>
      <c r="J1937" t="s">
        <v>31101</v>
      </c>
      <c r="K1937" t="s">
        <v>40327</v>
      </c>
      <c r="M1937" t="s">
        <v>41512</v>
      </c>
      <c r="N1937" t="s">
        <v>44759</v>
      </c>
      <c r="O1937" t="s">
        <v>44760</v>
      </c>
      <c r="P1937">
        <v>0</v>
      </c>
      <c r="Q1937">
        <v>0</v>
      </c>
      <c r="R1937" t="s">
        <v>44762</v>
      </c>
      <c r="S1937" t="s">
        <v>44863</v>
      </c>
      <c r="T1937" t="s">
        <v>46352</v>
      </c>
      <c r="U1937" t="s">
        <v>48631</v>
      </c>
      <c r="W1937" t="s">
        <v>41512</v>
      </c>
      <c r="X1937" t="s">
        <v>44763</v>
      </c>
    </row>
    <row r="1938" spans="1:24">
      <c r="A1938">
        <f>HYPERLINK("https://www.philgeps.gov.ph/GEPSNONPILOT/Tender/SplashBidNoticeAbstractUI.aspx?menuIndex=3&amp;refID=7151430&amp;Result=3","7151430")</f>
        <v>0</v>
      </c>
      <c r="B1938" t="s">
        <v>864</v>
      </c>
      <c r="C1938" t="s">
        <v>5616</v>
      </c>
      <c r="D1938" t="s">
        <v>18025</v>
      </c>
      <c r="E1938" t="s">
        <v>19838</v>
      </c>
      <c r="F1938" t="s">
        <v>30900</v>
      </c>
      <c r="G1938" t="s">
        <v>30908</v>
      </c>
      <c r="H1938" t="s">
        <v>30917</v>
      </c>
      <c r="I1938" t="s">
        <v>30924</v>
      </c>
      <c r="J1938" t="s">
        <v>31614</v>
      </c>
      <c r="K1938" t="s">
        <v>40287</v>
      </c>
      <c r="M1938" t="s">
        <v>41437</v>
      </c>
      <c r="N1938" t="s">
        <v>44759</v>
      </c>
      <c r="O1938" t="s">
        <v>44760</v>
      </c>
      <c r="P1938">
        <v>0</v>
      </c>
      <c r="Q1938">
        <v>4</v>
      </c>
      <c r="R1938" t="s">
        <v>44762</v>
      </c>
      <c r="S1938" t="s">
        <v>44863</v>
      </c>
      <c r="T1938" t="s">
        <v>46410</v>
      </c>
      <c r="U1938" t="s">
        <v>48632</v>
      </c>
      <c r="V1938" t="s">
        <v>59321</v>
      </c>
      <c r="W1938" t="s">
        <v>41437</v>
      </c>
      <c r="X1938" t="s">
        <v>44763</v>
      </c>
    </row>
    <row r="1939" spans="1:24">
      <c r="A1939">
        <f>HYPERLINK("https://www.philgeps.gov.ph/GEPSNONPILOT/Tender/SplashBidNoticeAbstractUI.aspx?menuIndex=3&amp;refID=7151441&amp;Result=3","7151441")</f>
        <v>0</v>
      </c>
      <c r="B1939" t="s">
        <v>824</v>
      </c>
      <c r="C1939" t="s">
        <v>5612</v>
      </c>
      <c r="D1939" t="s">
        <v>17962</v>
      </c>
      <c r="E1939" t="s">
        <v>19811</v>
      </c>
      <c r="F1939" t="s">
        <v>30900</v>
      </c>
      <c r="G1939" t="s">
        <v>30908</v>
      </c>
      <c r="H1939" t="s">
        <v>30916</v>
      </c>
      <c r="I1939" t="s">
        <v>4108</v>
      </c>
      <c r="J1939" t="s">
        <v>32478</v>
      </c>
      <c r="K1939" t="s">
        <v>40314</v>
      </c>
      <c r="M1939" t="s">
        <v>41396</v>
      </c>
      <c r="N1939" t="s">
        <v>44759</v>
      </c>
      <c r="O1939" t="s">
        <v>44760</v>
      </c>
      <c r="P1939">
        <v>0</v>
      </c>
      <c r="Q1939">
        <v>0</v>
      </c>
      <c r="R1939" t="s">
        <v>44762</v>
      </c>
      <c r="S1939" t="s">
        <v>44863</v>
      </c>
      <c r="T1939" t="s">
        <v>46363</v>
      </c>
      <c r="U1939" t="s">
        <v>48418</v>
      </c>
      <c r="W1939" t="s">
        <v>41396</v>
      </c>
      <c r="X1939" t="s">
        <v>44763</v>
      </c>
    </row>
    <row r="1940" spans="1:24">
      <c r="A1940">
        <f>HYPERLINK("https://www.philgeps.gov.ph/GEPSNONPILOT/Tender/SplashBidNoticeAbstractUI.aspx?menuIndex=3&amp;refID=7151427&amp;Result=3","7151427")</f>
        <v>0</v>
      </c>
      <c r="B1940" t="s">
        <v>931</v>
      </c>
      <c r="C1940" t="s">
        <v>5617</v>
      </c>
      <c r="D1940" t="s">
        <v>18000</v>
      </c>
      <c r="E1940" t="s">
        <v>18234</v>
      </c>
      <c r="F1940" t="s">
        <v>30900</v>
      </c>
      <c r="G1940" t="s">
        <v>30907</v>
      </c>
      <c r="H1940" t="s">
        <v>30916</v>
      </c>
      <c r="I1940" t="s">
        <v>8123</v>
      </c>
      <c r="J1940" t="s">
        <v>31067</v>
      </c>
      <c r="K1940" t="s">
        <v>40283</v>
      </c>
      <c r="M1940" t="s">
        <v>41513</v>
      </c>
      <c r="N1940" t="s">
        <v>44759</v>
      </c>
      <c r="O1940" t="s">
        <v>44760</v>
      </c>
      <c r="P1940">
        <v>0</v>
      </c>
      <c r="Q1940">
        <v>1</v>
      </c>
      <c r="R1940" t="s">
        <v>44762</v>
      </c>
      <c r="S1940" t="s">
        <v>44863</v>
      </c>
      <c r="T1940" t="s">
        <v>46404</v>
      </c>
      <c r="U1940" t="s">
        <v>48633</v>
      </c>
      <c r="W1940" t="s">
        <v>41513</v>
      </c>
      <c r="X1940" t="s">
        <v>44763</v>
      </c>
    </row>
    <row r="1941" spans="1:24">
      <c r="A1941">
        <f>HYPERLINK("https://www.philgeps.gov.ph/GEPSNONPILOT/Tender/SplashBidNoticeAbstractUI.aspx?menuIndex=3&amp;refID=7151439&amp;Result=3","7151439")</f>
        <v>0</v>
      </c>
      <c r="B1941" t="s">
        <v>780</v>
      </c>
      <c r="C1941" t="s">
        <v>5618</v>
      </c>
      <c r="D1941" t="s">
        <v>18032</v>
      </c>
      <c r="E1941" t="s">
        <v>19839</v>
      </c>
      <c r="F1941" t="s">
        <v>30900</v>
      </c>
      <c r="G1941" t="s">
        <v>30910</v>
      </c>
      <c r="H1941" t="s">
        <v>30916</v>
      </c>
      <c r="I1941" t="s">
        <v>30925</v>
      </c>
      <c r="J1941" t="s">
        <v>32479</v>
      </c>
      <c r="K1941" t="s">
        <v>40286</v>
      </c>
      <c r="M1941" t="s">
        <v>41349</v>
      </c>
      <c r="N1941" t="s">
        <v>44759</v>
      </c>
      <c r="O1941" t="s">
        <v>44760</v>
      </c>
      <c r="P1941">
        <v>0</v>
      </c>
      <c r="Q1941">
        <v>2</v>
      </c>
      <c r="R1941" t="s">
        <v>44762</v>
      </c>
      <c r="S1941" t="s">
        <v>44863</v>
      </c>
      <c r="T1941" t="s">
        <v>46425</v>
      </c>
      <c r="U1941" t="s">
        <v>48634</v>
      </c>
      <c r="W1941" t="s">
        <v>41349</v>
      </c>
      <c r="X1941" t="s">
        <v>44763</v>
      </c>
    </row>
    <row r="1942" spans="1:24">
      <c r="A1942">
        <f>HYPERLINK("https://www.philgeps.gov.ph/GEPSNONPILOT/Tender/SplashBidNoticeAbstractUI.aspx?menuIndex=3&amp;refID=7151424&amp;Result=3","7151424")</f>
        <v>0</v>
      </c>
      <c r="B1942" t="s">
        <v>908</v>
      </c>
      <c r="C1942" t="s">
        <v>5619</v>
      </c>
      <c r="D1942" t="s">
        <v>17952</v>
      </c>
      <c r="E1942" t="s">
        <v>19840</v>
      </c>
      <c r="F1942" t="s">
        <v>30900</v>
      </c>
      <c r="G1942" t="s">
        <v>30908</v>
      </c>
      <c r="H1942" t="s">
        <v>30916</v>
      </c>
      <c r="I1942" t="s">
        <v>30939</v>
      </c>
      <c r="J1942" t="s">
        <v>32480</v>
      </c>
      <c r="K1942" t="s">
        <v>40286</v>
      </c>
      <c r="M1942" t="s">
        <v>41483</v>
      </c>
      <c r="N1942" t="s">
        <v>44759</v>
      </c>
      <c r="O1942" t="s">
        <v>44760</v>
      </c>
      <c r="P1942">
        <v>0</v>
      </c>
      <c r="Q1942">
        <v>0</v>
      </c>
      <c r="R1942" t="s">
        <v>44762</v>
      </c>
      <c r="S1942" t="s">
        <v>44863</v>
      </c>
      <c r="T1942" t="s">
        <v>46363</v>
      </c>
      <c r="U1942" t="s">
        <v>48635</v>
      </c>
      <c r="W1942" t="s">
        <v>41483</v>
      </c>
      <c r="X1942" t="s">
        <v>44763</v>
      </c>
    </row>
    <row r="1943" spans="1:24">
      <c r="A1943">
        <f>HYPERLINK("https://www.philgeps.gov.ph/GEPSNONPILOT/Tender/SplashBidNoticeAbstractUI.aspx?menuIndex=3&amp;refID=7151434&amp;Result=3","7151434")</f>
        <v>0</v>
      </c>
      <c r="B1943" t="s">
        <v>932</v>
      </c>
      <c r="C1943" t="s">
        <v>5620</v>
      </c>
      <c r="D1943" t="s">
        <v>17959</v>
      </c>
      <c r="E1943" t="s">
        <v>19841</v>
      </c>
      <c r="F1943" t="s">
        <v>30900</v>
      </c>
      <c r="G1943" t="s">
        <v>30907</v>
      </c>
      <c r="H1943" t="s">
        <v>30916</v>
      </c>
      <c r="I1943" t="s">
        <v>4142</v>
      </c>
      <c r="J1943" t="s">
        <v>32481</v>
      </c>
      <c r="K1943" t="s">
        <v>40283</v>
      </c>
      <c r="M1943" t="s">
        <v>41514</v>
      </c>
      <c r="N1943" t="s">
        <v>44759</v>
      </c>
      <c r="O1943" t="s">
        <v>44760</v>
      </c>
      <c r="P1943">
        <v>0</v>
      </c>
      <c r="Q1943">
        <v>0</v>
      </c>
      <c r="R1943" t="s">
        <v>44762</v>
      </c>
      <c r="S1943" t="s">
        <v>44863</v>
      </c>
      <c r="T1943" t="s">
        <v>46350</v>
      </c>
      <c r="U1943" t="s">
        <v>48263</v>
      </c>
      <c r="W1943" t="s">
        <v>41514</v>
      </c>
      <c r="X1943" t="s">
        <v>44763</v>
      </c>
    </row>
    <row r="1944" spans="1:24">
      <c r="A1944">
        <f>HYPERLINK("https://www.philgeps.gov.ph/GEPSNONPILOT/Tender/SplashBidNoticeAbstractUI.aspx?menuIndex=3&amp;refID=7151432&amp;Result=3","7151432")</f>
        <v>0</v>
      </c>
      <c r="B1944" t="s">
        <v>440</v>
      </c>
      <c r="C1944" t="s">
        <v>5621</v>
      </c>
      <c r="D1944" t="s">
        <v>17974</v>
      </c>
      <c r="E1944" t="s">
        <v>18746</v>
      </c>
      <c r="F1944" t="s">
        <v>30900</v>
      </c>
      <c r="G1944" t="s">
        <v>30910</v>
      </c>
      <c r="H1944" t="s">
        <v>30916</v>
      </c>
      <c r="I1944" t="s">
        <v>6396</v>
      </c>
      <c r="J1944" t="s">
        <v>32482</v>
      </c>
      <c r="K1944" t="s">
        <v>40289</v>
      </c>
      <c r="M1944" t="s">
        <v>40997</v>
      </c>
      <c r="N1944" t="s">
        <v>44759</v>
      </c>
      <c r="O1944" t="s">
        <v>44760</v>
      </c>
      <c r="P1944">
        <v>0</v>
      </c>
      <c r="Q1944">
        <v>0</v>
      </c>
      <c r="R1944" t="s">
        <v>44762</v>
      </c>
      <c r="S1944" t="s">
        <v>44863</v>
      </c>
      <c r="T1944" t="s">
        <v>46410</v>
      </c>
      <c r="U1944" t="s">
        <v>47654</v>
      </c>
      <c r="W1944" t="s">
        <v>40997</v>
      </c>
      <c r="X1944" t="s">
        <v>44763</v>
      </c>
    </row>
    <row r="1945" spans="1:24">
      <c r="A1945">
        <f>HYPERLINK("https://www.philgeps.gov.ph/GEPSNONPILOT/Tender/SplashBidNoticeAbstractUI.aspx?menuIndex=3&amp;refID=7151422&amp;Result=3","7151422")</f>
        <v>0</v>
      </c>
      <c r="B1945" t="s">
        <v>824</v>
      </c>
      <c r="C1945" t="s">
        <v>5622</v>
      </c>
      <c r="D1945" t="s">
        <v>17962</v>
      </c>
      <c r="E1945" t="s">
        <v>19842</v>
      </c>
      <c r="F1945" t="s">
        <v>30900</v>
      </c>
      <c r="G1945" t="s">
        <v>30908</v>
      </c>
      <c r="H1945" t="s">
        <v>30916</v>
      </c>
      <c r="I1945" t="s">
        <v>30926</v>
      </c>
      <c r="J1945" t="s">
        <v>31341</v>
      </c>
      <c r="K1945" t="s">
        <v>40286</v>
      </c>
      <c r="M1945" t="s">
        <v>41515</v>
      </c>
      <c r="N1945" t="s">
        <v>44759</v>
      </c>
      <c r="O1945" t="s">
        <v>44760</v>
      </c>
      <c r="P1945">
        <v>0</v>
      </c>
      <c r="Q1945">
        <v>0</v>
      </c>
      <c r="R1945" t="s">
        <v>44762</v>
      </c>
      <c r="S1945" t="s">
        <v>44863</v>
      </c>
      <c r="T1945" t="s">
        <v>46363</v>
      </c>
      <c r="U1945" t="s">
        <v>48636</v>
      </c>
      <c r="W1945" t="s">
        <v>41515</v>
      </c>
      <c r="X1945" t="s">
        <v>44763</v>
      </c>
    </row>
    <row r="1946" spans="1:24">
      <c r="A1946">
        <f>HYPERLINK("https://www.philgeps.gov.ph/GEPSNONPILOT/Tender/SplashBidNoticeAbstractUI.aspx?menuIndex=3&amp;refID=7151420&amp;Result=3","7151420")</f>
        <v>0</v>
      </c>
      <c r="B1946" t="s">
        <v>933</v>
      </c>
      <c r="C1946" t="s">
        <v>5623</v>
      </c>
      <c r="D1946" t="s">
        <v>17952</v>
      </c>
      <c r="E1946" t="s">
        <v>19843</v>
      </c>
      <c r="F1946" t="s">
        <v>30903</v>
      </c>
      <c r="G1946" t="s">
        <v>30909</v>
      </c>
      <c r="H1946" t="s">
        <v>30916</v>
      </c>
      <c r="I1946" t="s">
        <v>4142</v>
      </c>
      <c r="J1946" t="s">
        <v>31522</v>
      </c>
      <c r="K1946" t="s">
        <v>40286</v>
      </c>
      <c r="M1946" t="s">
        <v>41516</v>
      </c>
      <c r="N1946" t="s">
        <v>44759</v>
      </c>
      <c r="O1946" t="s">
        <v>44760</v>
      </c>
      <c r="P1946">
        <v>0</v>
      </c>
      <c r="Q1946">
        <v>0</v>
      </c>
      <c r="R1946" t="s">
        <v>44762</v>
      </c>
      <c r="S1946" t="s">
        <v>44863</v>
      </c>
      <c r="T1946" t="s">
        <v>46395</v>
      </c>
      <c r="U1946" t="s">
        <v>48637</v>
      </c>
      <c r="V1946" t="s">
        <v>59334</v>
      </c>
      <c r="W1946" t="s">
        <v>41516</v>
      </c>
      <c r="X1946" t="s">
        <v>44763</v>
      </c>
    </row>
    <row r="1947" spans="1:24">
      <c r="A1947">
        <f>HYPERLINK("https://www.philgeps.gov.ph/GEPSNONPILOT/Tender/SplashBidNoticeAbstractUI.aspx?menuIndex=3&amp;refID=7151428&amp;Result=3","7151428")</f>
        <v>0</v>
      </c>
      <c r="B1947" t="s">
        <v>899</v>
      </c>
      <c r="C1947" t="s">
        <v>5624</v>
      </c>
      <c r="E1947" t="s">
        <v>19844</v>
      </c>
      <c r="F1947" t="s">
        <v>30900</v>
      </c>
      <c r="G1947" t="s">
        <v>30907</v>
      </c>
      <c r="H1947" t="s">
        <v>30916</v>
      </c>
      <c r="I1947" t="s">
        <v>30929</v>
      </c>
      <c r="J1947" t="s">
        <v>32483</v>
      </c>
      <c r="K1947" t="s">
        <v>40289</v>
      </c>
      <c r="M1947" t="s">
        <v>41473</v>
      </c>
      <c r="N1947" t="s">
        <v>44759</v>
      </c>
      <c r="O1947" t="s">
        <v>44760</v>
      </c>
      <c r="P1947">
        <v>0</v>
      </c>
      <c r="Q1947">
        <v>21</v>
      </c>
      <c r="R1947" t="s">
        <v>44762</v>
      </c>
      <c r="S1947" t="s">
        <v>44863</v>
      </c>
      <c r="T1947" t="s">
        <v>46456</v>
      </c>
      <c r="U1947" t="s">
        <v>48561</v>
      </c>
      <c r="W1947" t="s">
        <v>41473</v>
      </c>
      <c r="X1947" t="s">
        <v>44763</v>
      </c>
    </row>
    <row r="1948" spans="1:24">
      <c r="A1948">
        <f>HYPERLINK("https://www.philgeps.gov.ph/GEPSNONPILOT/Tender/SplashBidNoticeAbstractUI.aspx?menuIndex=3&amp;refID=7151418&amp;Result=3","7151418")</f>
        <v>0</v>
      </c>
      <c r="B1948" t="s">
        <v>629</v>
      </c>
      <c r="C1948" t="s">
        <v>5625</v>
      </c>
      <c r="D1948" t="s">
        <v>17992</v>
      </c>
      <c r="E1948" t="s">
        <v>19845</v>
      </c>
      <c r="F1948" t="s">
        <v>30900</v>
      </c>
      <c r="G1948" t="s">
        <v>30910</v>
      </c>
      <c r="H1948" t="s">
        <v>30916</v>
      </c>
      <c r="I1948" t="s">
        <v>6396</v>
      </c>
      <c r="J1948" t="s">
        <v>32484</v>
      </c>
      <c r="K1948" t="s">
        <v>40283</v>
      </c>
      <c r="M1948" t="s">
        <v>41485</v>
      </c>
      <c r="N1948" t="s">
        <v>44759</v>
      </c>
      <c r="O1948" t="s">
        <v>44760</v>
      </c>
      <c r="P1948">
        <v>0</v>
      </c>
      <c r="Q1948">
        <v>2</v>
      </c>
      <c r="R1948" t="s">
        <v>44762</v>
      </c>
      <c r="S1948" t="s">
        <v>44863</v>
      </c>
      <c r="T1948" t="s">
        <v>46559</v>
      </c>
      <c r="U1948" t="s">
        <v>48638</v>
      </c>
      <c r="W1948" t="s">
        <v>41485</v>
      </c>
      <c r="X1948" t="s">
        <v>44763</v>
      </c>
    </row>
    <row r="1949" spans="1:24">
      <c r="A1949">
        <f>HYPERLINK("https://www.philgeps.gov.ph/GEPSNONPILOT/Tender/SplashBidNoticeAbstractUI.aspx?menuIndex=3&amp;refID=7151425&amp;Result=3","7151425")</f>
        <v>0</v>
      </c>
      <c r="B1949" t="s">
        <v>725</v>
      </c>
      <c r="C1949" t="s">
        <v>5626</v>
      </c>
      <c r="D1949" t="s">
        <v>18004</v>
      </c>
      <c r="E1949" t="s">
        <v>19846</v>
      </c>
      <c r="F1949" t="s">
        <v>30900</v>
      </c>
      <c r="G1949" t="s">
        <v>30907</v>
      </c>
      <c r="H1949" t="s">
        <v>30916</v>
      </c>
      <c r="I1949" t="s">
        <v>4142</v>
      </c>
      <c r="J1949" t="s">
        <v>32485</v>
      </c>
      <c r="K1949" t="s">
        <v>40284</v>
      </c>
      <c r="M1949" t="s">
        <v>41289</v>
      </c>
      <c r="N1949" t="s">
        <v>44759</v>
      </c>
      <c r="O1949" t="s">
        <v>44760</v>
      </c>
      <c r="P1949">
        <v>0</v>
      </c>
      <c r="Q1949">
        <v>0</v>
      </c>
      <c r="R1949" t="s">
        <v>44762</v>
      </c>
      <c r="S1949" t="s">
        <v>44863</v>
      </c>
      <c r="T1949" t="s">
        <v>46532</v>
      </c>
      <c r="U1949" t="s">
        <v>48263</v>
      </c>
      <c r="W1949" t="s">
        <v>41289</v>
      </c>
      <c r="X1949" t="s">
        <v>44763</v>
      </c>
    </row>
    <row r="1950" spans="1:24">
      <c r="A1950">
        <f>HYPERLINK("https://www.philgeps.gov.ph/GEPSNONPILOT/Tender/SplashBidNoticeAbstractUI.aspx?menuIndex=3&amp;refID=7151367&amp;Result=3","7151367")</f>
        <v>0</v>
      </c>
      <c r="B1950" t="s">
        <v>934</v>
      </c>
      <c r="C1950" t="s">
        <v>5627</v>
      </c>
      <c r="D1950" t="s">
        <v>17984</v>
      </c>
      <c r="E1950" t="s">
        <v>18405</v>
      </c>
      <c r="F1950" t="s">
        <v>30900</v>
      </c>
      <c r="G1950" t="s">
        <v>30908</v>
      </c>
      <c r="H1950" t="s">
        <v>30916</v>
      </c>
      <c r="I1950" t="s">
        <v>4142</v>
      </c>
      <c r="J1950" t="s">
        <v>32486</v>
      </c>
      <c r="K1950" t="s">
        <v>40287</v>
      </c>
      <c r="M1950" t="s">
        <v>41517</v>
      </c>
      <c r="N1950" t="s">
        <v>44759</v>
      </c>
      <c r="O1950" t="s">
        <v>44760</v>
      </c>
      <c r="P1950">
        <v>0</v>
      </c>
      <c r="Q1950">
        <v>0</v>
      </c>
      <c r="R1950" t="s">
        <v>44762</v>
      </c>
      <c r="S1950" t="s">
        <v>44863</v>
      </c>
      <c r="T1950" t="s">
        <v>46410</v>
      </c>
      <c r="U1950" t="s">
        <v>48639</v>
      </c>
      <c r="W1950" t="s">
        <v>41517</v>
      </c>
      <c r="X1950" t="s">
        <v>44763</v>
      </c>
    </row>
    <row r="1951" spans="1:24">
      <c r="A1951">
        <f>HYPERLINK("https://www.philgeps.gov.ph/GEPSNONPILOT/Tender/SplashBidNoticeAbstractUI.aspx?menuIndex=3&amp;refID=7151320&amp;Result=3","7151320")</f>
        <v>0</v>
      </c>
      <c r="B1951" t="s">
        <v>588</v>
      </c>
      <c r="C1951" t="s">
        <v>5628</v>
      </c>
      <c r="D1951" t="s">
        <v>17993</v>
      </c>
      <c r="E1951" t="s">
        <v>19847</v>
      </c>
      <c r="F1951" t="s">
        <v>30900</v>
      </c>
      <c r="G1951" t="s">
        <v>30907</v>
      </c>
      <c r="H1951" t="s">
        <v>30915</v>
      </c>
      <c r="I1951" t="s">
        <v>30919</v>
      </c>
      <c r="J1951" t="s">
        <v>32487</v>
      </c>
      <c r="K1951" t="s">
        <v>40293</v>
      </c>
      <c r="M1951" t="s">
        <v>41150</v>
      </c>
      <c r="N1951" t="s">
        <v>44759</v>
      </c>
      <c r="O1951" t="s">
        <v>44760</v>
      </c>
      <c r="P1951">
        <v>0</v>
      </c>
      <c r="Q1951">
        <v>0</v>
      </c>
      <c r="R1951" t="s">
        <v>44762</v>
      </c>
      <c r="S1951" t="s">
        <v>44863</v>
      </c>
      <c r="T1951" t="s">
        <v>46563</v>
      </c>
      <c r="U1951" t="s">
        <v>48640</v>
      </c>
      <c r="W1951" t="s">
        <v>41150</v>
      </c>
      <c r="X1951" t="s">
        <v>44763</v>
      </c>
    </row>
    <row r="1952" spans="1:24">
      <c r="A1952">
        <f>HYPERLINK("https://www.philgeps.gov.ph/GEPSNONPILOT/Tender/SplashBidNoticeAbstractUI.aspx?menuIndex=3&amp;refID=7151423&amp;Result=3","7151423")</f>
        <v>0</v>
      </c>
      <c r="B1952" t="s">
        <v>935</v>
      </c>
      <c r="C1952" t="s">
        <v>5629</v>
      </c>
      <c r="D1952" t="s">
        <v>17971</v>
      </c>
      <c r="E1952" t="s">
        <v>19848</v>
      </c>
      <c r="F1952" t="s">
        <v>30900</v>
      </c>
      <c r="G1952" t="s">
        <v>30908</v>
      </c>
      <c r="H1952" t="s">
        <v>30916</v>
      </c>
      <c r="I1952" t="s">
        <v>4108</v>
      </c>
      <c r="J1952" t="s">
        <v>31898</v>
      </c>
      <c r="K1952" t="s">
        <v>40287</v>
      </c>
      <c r="M1952" t="s">
        <v>41518</v>
      </c>
      <c r="N1952" t="s">
        <v>44759</v>
      </c>
      <c r="O1952" t="s">
        <v>44760</v>
      </c>
      <c r="P1952">
        <v>0</v>
      </c>
      <c r="Q1952">
        <v>0</v>
      </c>
      <c r="R1952" t="s">
        <v>44762</v>
      </c>
      <c r="S1952" t="s">
        <v>44863</v>
      </c>
      <c r="T1952" t="s">
        <v>46564</v>
      </c>
      <c r="U1952" t="s">
        <v>48641</v>
      </c>
      <c r="V1952" t="s">
        <v>59335</v>
      </c>
      <c r="W1952" t="s">
        <v>41518</v>
      </c>
      <c r="X1952" t="s">
        <v>44763</v>
      </c>
    </row>
    <row r="1953" spans="1:24">
      <c r="A1953">
        <f>HYPERLINK("https://www.philgeps.gov.ph/GEPSNONPILOT/Tender/SplashBidNoticeAbstractUI.aspx?menuIndex=3&amp;refID=7151319&amp;Result=3","7151319")</f>
        <v>0</v>
      </c>
      <c r="B1953" t="s">
        <v>936</v>
      </c>
      <c r="C1953" t="s">
        <v>5630</v>
      </c>
      <c r="D1953" t="s">
        <v>17986</v>
      </c>
      <c r="E1953" t="s">
        <v>19849</v>
      </c>
      <c r="F1953" t="s">
        <v>30900</v>
      </c>
      <c r="G1953" t="s">
        <v>30909</v>
      </c>
      <c r="H1953" t="s">
        <v>30916</v>
      </c>
      <c r="I1953" t="s">
        <v>30924</v>
      </c>
      <c r="J1953" t="s">
        <v>32488</v>
      </c>
      <c r="K1953" t="s">
        <v>40289</v>
      </c>
      <c r="M1953" t="s">
        <v>41519</v>
      </c>
      <c r="N1953" t="s">
        <v>44759</v>
      </c>
      <c r="O1953" t="s">
        <v>44760</v>
      </c>
      <c r="P1953">
        <v>0</v>
      </c>
      <c r="Q1953">
        <v>0</v>
      </c>
      <c r="R1953" t="s">
        <v>44762</v>
      </c>
      <c r="S1953" t="s">
        <v>44863</v>
      </c>
      <c r="T1953" t="s">
        <v>46398</v>
      </c>
      <c r="U1953" t="s">
        <v>48642</v>
      </c>
      <c r="W1953" t="s">
        <v>41519</v>
      </c>
      <c r="X1953" t="s">
        <v>44763</v>
      </c>
    </row>
    <row r="1954" spans="1:24">
      <c r="A1954">
        <f>HYPERLINK("https://www.philgeps.gov.ph/GEPSNONPILOT/Tender/SplashBidNoticeAbstractUI.aspx?menuIndex=3&amp;refID=7151318&amp;Result=3","7151318")</f>
        <v>0</v>
      </c>
      <c r="B1954" t="s">
        <v>937</v>
      </c>
      <c r="C1954" t="s">
        <v>5631</v>
      </c>
      <c r="D1954" t="s">
        <v>17998</v>
      </c>
      <c r="E1954" t="s">
        <v>19850</v>
      </c>
      <c r="F1954" t="s">
        <v>30900</v>
      </c>
      <c r="G1954" t="s">
        <v>30908</v>
      </c>
      <c r="H1954" t="s">
        <v>30916</v>
      </c>
      <c r="I1954" t="s">
        <v>4108</v>
      </c>
      <c r="J1954" t="s">
        <v>31257</v>
      </c>
      <c r="K1954" t="s">
        <v>40289</v>
      </c>
      <c r="M1954" t="s">
        <v>41520</v>
      </c>
      <c r="N1954" t="s">
        <v>44759</v>
      </c>
      <c r="O1954" t="s">
        <v>44760</v>
      </c>
      <c r="P1954">
        <v>0</v>
      </c>
      <c r="Q1954">
        <v>0</v>
      </c>
      <c r="R1954" t="s">
        <v>44762</v>
      </c>
      <c r="S1954" t="s">
        <v>44863</v>
      </c>
      <c r="T1954" t="s">
        <v>46387</v>
      </c>
      <c r="U1954" t="s">
        <v>48643</v>
      </c>
      <c r="W1954" t="s">
        <v>41520</v>
      </c>
      <c r="X1954" t="s">
        <v>44763</v>
      </c>
    </row>
    <row r="1955" spans="1:24">
      <c r="A1955">
        <f>HYPERLINK("https://www.philgeps.gov.ph/GEPSNONPILOT/Tender/SplashBidNoticeAbstractUI.aspx?menuIndex=3&amp;refID=7151419&amp;Result=3","7151419")</f>
        <v>0</v>
      </c>
      <c r="B1955" t="s">
        <v>455</v>
      </c>
      <c r="C1955" t="s">
        <v>5632</v>
      </c>
      <c r="D1955" t="s">
        <v>17995</v>
      </c>
      <c r="E1955" t="s">
        <v>19851</v>
      </c>
      <c r="F1955" t="s">
        <v>30900</v>
      </c>
      <c r="G1955" t="s">
        <v>30908</v>
      </c>
      <c r="H1955" t="s">
        <v>30916</v>
      </c>
      <c r="I1955" t="s">
        <v>30924</v>
      </c>
      <c r="J1955" t="s">
        <v>31495</v>
      </c>
      <c r="K1955" t="s">
        <v>40283</v>
      </c>
      <c r="M1955" t="s">
        <v>41013</v>
      </c>
      <c r="N1955" t="s">
        <v>44759</v>
      </c>
      <c r="O1955" t="s">
        <v>44760</v>
      </c>
      <c r="P1955">
        <v>0</v>
      </c>
      <c r="Q1955">
        <v>4</v>
      </c>
      <c r="R1955" t="s">
        <v>44762</v>
      </c>
      <c r="S1955" t="s">
        <v>44863</v>
      </c>
      <c r="T1955" t="s">
        <v>46414</v>
      </c>
      <c r="U1955" t="s">
        <v>48644</v>
      </c>
      <c r="W1955" t="s">
        <v>41013</v>
      </c>
      <c r="X1955" t="s">
        <v>44763</v>
      </c>
    </row>
    <row r="1956" spans="1:24">
      <c r="A1956">
        <f>HYPERLINK("https://www.philgeps.gov.ph/GEPSNONPILOT/Tender/SplashBidNoticeAbstractUI.aspx?menuIndex=3&amp;refID=7151413&amp;Result=3","7151413")</f>
        <v>0</v>
      </c>
      <c r="B1956" t="s">
        <v>938</v>
      </c>
      <c r="C1956" t="s">
        <v>5633</v>
      </c>
      <c r="D1956" t="s">
        <v>17959</v>
      </c>
      <c r="E1956" t="s">
        <v>19852</v>
      </c>
      <c r="F1956" t="s">
        <v>30900</v>
      </c>
      <c r="G1956" t="s">
        <v>30908</v>
      </c>
      <c r="H1956" t="s">
        <v>30916</v>
      </c>
      <c r="I1956" t="s">
        <v>9385</v>
      </c>
      <c r="J1956" t="s">
        <v>31669</v>
      </c>
      <c r="K1956" t="s">
        <v>40287</v>
      </c>
      <c r="M1956" t="s">
        <v>41521</v>
      </c>
      <c r="N1956" t="s">
        <v>44759</v>
      </c>
      <c r="O1956" t="s">
        <v>44760</v>
      </c>
      <c r="P1956">
        <v>0</v>
      </c>
      <c r="Q1956">
        <v>9</v>
      </c>
      <c r="R1956" t="s">
        <v>44762</v>
      </c>
      <c r="S1956" t="s">
        <v>44863</v>
      </c>
      <c r="T1956" t="s">
        <v>46457</v>
      </c>
      <c r="U1956" t="s">
        <v>48645</v>
      </c>
      <c r="V1956" t="s">
        <v>59336</v>
      </c>
      <c r="W1956" t="s">
        <v>41521</v>
      </c>
      <c r="X1956" t="s">
        <v>44763</v>
      </c>
    </row>
    <row r="1957" spans="1:24">
      <c r="A1957">
        <f>HYPERLINK("https://www.philgeps.gov.ph/GEPSNONPILOT/Tender/SplashBidNoticeAbstractUI.aspx?menuIndex=3&amp;refID=7151314&amp;Result=3","7151314")</f>
        <v>0</v>
      </c>
      <c r="B1957" t="s">
        <v>168</v>
      </c>
      <c r="C1957" t="s">
        <v>5634</v>
      </c>
      <c r="D1957" t="s">
        <v>18007</v>
      </c>
      <c r="E1957" t="s">
        <v>19853</v>
      </c>
      <c r="F1957" t="s">
        <v>30900</v>
      </c>
      <c r="G1957" t="s">
        <v>30907</v>
      </c>
      <c r="H1957" t="s">
        <v>30917</v>
      </c>
      <c r="I1957" t="s">
        <v>30942</v>
      </c>
      <c r="J1957" t="s">
        <v>32489</v>
      </c>
      <c r="K1957" t="s">
        <v>40283</v>
      </c>
      <c r="M1957" t="s">
        <v>40715</v>
      </c>
      <c r="N1957" t="s">
        <v>44759</v>
      </c>
      <c r="O1957" t="s">
        <v>44760</v>
      </c>
      <c r="P1957">
        <v>0</v>
      </c>
      <c r="Q1957">
        <v>0</v>
      </c>
      <c r="R1957" t="s">
        <v>44762</v>
      </c>
      <c r="S1957" t="s">
        <v>44863</v>
      </c>
      <c r="T1957" t="s">
        <v>46360</v>
      </c>
      <c r="U1957" t="s">
        <v>48646</v>
      </c>
      <c r="W1957" t="s">
        <v>40715</v>
      </c>
      <c r="X1957" t="s">
        <v>44763</v>
      </c>
    </row>
    <row r="1958" spans="1:24">
      <c r="A1958">
        <f>HYPERLINK("https://www.philgeps.gov.ph/GEPSNONPILOT/Tender/SplashBidNoticeAbstractUI.aspx?menuIndex=3&amp;refID=7151436&amp;Result=3","7151436")</f>
        <v>0</v>
      </c>
      <c r="B1958" t="s">
        <v>562</v>
      </c>
      <c r="C1958" t="s">
        <v>5635</v>
      </c>
      <c r="D1958" t="s">
        <v>17972</v>
      </c>
      <c r="E1958" t="s">
        <v>19854</v>
      </c>
      <c r="F1958" t="s">
        <v>30900</v>
      </c>
      <c r="G1958" t="s">
        <v>30908</v>
      </c>
      <c r="H1958" t="s">
        <v>30916</v>
      </c>
      <c r="I1958" t="s">
        <v>6396</v>
      </c>
      <c r="J1958" t="s">
        <v>31769</v>
      </c>
      <c r="K1958" t="s">
        <v>40283</v>
      </c>
      <c r="M1958" t="s">
        <v>41123</v>
      </c>
      <c r="N1958" t="s">
        <v>44759</v>
      </c>
      <c r="O1958" t="s">
        <v>44760</v>
      </c>
      <c r="P1958">
        <v>0</v>
      </c>
      <c r="Q1958">
        <v>0</v>
      </c>
      <c r="R1958" t="s">
        <v>44762</v>
      </c>
      <c r="S1958" t="s">
        <v>44863</v>
      </c>
      <c r="T1958" t="s">
        <v>46379</v>
      </c>
      <c r="U1958" t="s">
        <v>48647</v>
      </c>
      <c r="W1958" t="s">
        <v>41123</v>
      </c>
      <c r="X1958" t="s">
        <v>44763</v>
      </c>
    </row>
    <row r="1959" spans="1:24">
      <c r="A1959">
        <f>HYPERLINK("https://www.philgeps.gov.ph/GEPSNONPILOT/Tender/SplashBidNoticeAbstractUI.aspx?menuIndex=3&amp;refID=7151293&amp;Result=3","7151293")</f>
        <v>0</v>
      </c>
      <c r="B1959" t="s">
        <v>939</v>
      </c>
      <c r="C1959" t="s">
        <v>5636</v>
      </c>
      <c r="D1959" t="s">
        <v>17959</v>
      </c>
      <c r="E1959" t="s">
        <v>19855</v>
      </c>
      <c r="F1959" t="s">
        <v>30900</v>
      </c>
      <c r="G1959" t="s">
        <v>30907</v>
      </c>
      <c r="H1959" t="s">
        <v>30916</v>
      </c>
      <c r="I1959" t="s">
        <v>30929</v>
      </c>
      <c r="J1959" t="s">
        <v>32490</v>
      </c>
      <c r="K1959" t="s">
        <v>40289</v>
      </c>
      <c r="M1959" t="s">
        <v>41522</v>
      </c>
      <c r="N1959" t="s">
        <v>44759</v>
      </c>
      <c r="O1959" t="s">
        <v>44760</v>
      </c>
      <c r="P1959">
        <v>0</v>
      </c>
      <c r="Q1959">
        <v>17</v>
      </c>
      <c r="R1959" t="s">
        <v>44762</v>
      </c>
      <c r="S1959" t="s">
        <v>44863</v>
      </c>
      <c r="T1959" t="s">
        <v>46433</v>
      </c>
      <c r="U1959" t="s">
        <v>48648</v>
      </c>
      <c r="W1959" t="s">
        <v>41522</v>
      </c>
      <c r="X1959" t="s">
        <v>44763</v>
      </c>
    </row>
    <row r="1960" spans="1:24">
      <c r="A1960">
        <f>HYPERLINK("https://www.philgeps.gov.ph/GEPSNONPILOT/Tender/SplashBidNoticeAbstractUI.aspx?menuIndex=3&amp;refID=7151364&amp;Result=3","7151364")</f>
        <v>0</v>
      </c>
      <c r="B1960" t="s">
        <v>940</v>
      </c>
      <c r="C1960" t="s">
        <v>5637</v>
      </c>
      <c r="D1960" t="s">
        <v>17977</v>
      </c>
      <c r="E1960" t="s">
        <v>19856</v>
      </c>
      <c r="F1960" t="s">
        <v>30900</v>
      </c>
      <c r="G1960" t="s">
        <v>30908</v>
      </c>
      <c r="H1960" t="s">
        <v>30916</v>
      </c>
      <c r="I1960" t="s">
        <v>4017</v>
      </c>
      <c r="J1960" t="s">
        <v>32491</v>
      </c>
      <c r="K1960" t="s">
        <v>40288</v>
      </c>
      <c r="M1960" t="s">
        <v>41523</v>
      </c>
      <c r="N1960" t="s">
        <v>44759</v>
      </c>
      <c r="O1960" t="s">
        <v>44760</v>
      </c>
      <c r="P1960">
        <v>0</v>
      </c>
      <c r="Q1960">
        <v>2</v>
      </c>
      <c r="R1960" t="s">
        <v>44762</v>
      </c>
      <c r="S1960" t="s">
        <v>44863</v>
      </c>
      <c r="T1960" t="s">
        <v>46400</v>
      </c>
      <c r="U1960" t="s">
        <v>48649</v>
      </c>
      <c r="W1960" t="s">
        <v>41523</v>
      </c>
      <c r="X1960" t="s">
        <v>44763</v>
      </c>
    </row>
    <row r="1961" spans="1:24">
      <c r="A1961">
        <f>HYPERLINK("https://www.philgeps.gov.ph/GEPSNONPILOT/Tender/SplashBidNoticeAbstractUI.aspx?menuIndex=3&amp;refID=7151292&amp;Result=3","7151292")</f>
        <v>0</v>
      </c>
      <c r="B1961" t="s">
        <v>553</v>
      </c>
      <c r="C1961" t="s">
        <v>5638</v>
      </c>
      <c r="D1961" t="s">
        <v>17955</v>
      </c>
      <c r="E1961" t="s">
        <v>19857</v>
      </c>
      <c r="F1961" t="s">
        <v>30900</v>
      </c>
      <c r="G1961" t="s">
        <v>30908</v>
      </c>
      <c r="H1961" t="s">
        <v>30916</v>
      </c>
      <c r="I1961" t="s">
        <v>4545</v>
      </c>
      <c r="J1961" t="s">
        <v>32163</v>
      </c>
      <c r="K1961" t="s">
        <v>40286</v>
      </c>
      <c r="M1961" t="s">
        <v>41114</v>
      </c>
      <c r="N1961" t="s">
        <v>44759</v>
      </c>
      <c r="O1961" t="s">
        <v>44760</v>
      </c>
      <c r="P1961">
        <v>0</v>
      </c>
      <c r="Q1961">
        <v>0</v>
      </c>
      <c r="R1961" t="s">
        <v>44762</v>
      </c>
      <c r="S1961" t="s">
        <v>44863</v>
      </c>
      <c r="T1961" t="s">
        <v>46398</v>
      </c>
      <c r="U1961" t="s">
        <v>48650</v>
      </c>
      <c r="W1961" t="s">
        <v>41114</v>
      </c>
      <c r="X1961" t="s">
        <v>44763</v>
      </c>
    </row>
    <row r="1962" spans="1:24">
      <c r="A1962">
        <f>HYPERLINK("https://www.philgeps.gov.ph/GEPSNONPILOT/Tender/SplashBidNoticeAbstractUI.aspx?menuIndex=3&amp;refID=7151289&amp;Result=3","7151289")</f>
        <v>0</v>
      </c>
      <c r="B1962" t="s">
        <v>409</v>
      </c>
      <c r="C1962" t="s">
        <v>5639</v>
      </c>
      <c r="D1962" t="s">
        <v>17999</v>
      </c>
      <c r="E1962" t="s">
        <v>19858</v>
      </c>
      <c r="F1962" t="s">
        <v>30900</v>
      </c>
      <c r="G1962" t="s">
        <v>30908</v>
      </c>
      <c r="H1962" t="s">
        <v>30916</v>
      </c>
      <c r="I1962" t="s">
        <v>8123</v>
      </c>
      <c r="J1962" t="s">
        <v>32492</v>
      </c>
      <c r="K1962" t="s">
        <v>40287</v>
      </c>
      <c r="M1962" t="s">
        <v>40965</v>
      </c>
      <c r="N1962" t="s">
        <v>44759</v>
      </c>
      <c r="O1962" t="s">
        <v>44760</v>
      </c>
      <c r="P1962">
        <v>0</v>
      </c>
      <c r="Q1962">
        <v>0</v>
      </c>
      <c r="R1962" t="s">
        <v>44762</v>
      </c>
      <c r="S1962" t="s">
        <v>44863</v>
      </c>
      <c r="T1962" t="s">
        <v>46398</v>
      </c>
      <c r="U1962" t="s">
        <v>48651</v>
      </c>
      <c r="W1962" t="s">
        <v>40965</v>
      </c>
      <c r="X1962" t="s">
        <v>44763</v>
      </c>
    </row>
    <row r="1963" spans="1:24">
      <c r="A1963">
        <f>HYPERLINK("https://www.philgeps.gov.ph/GEPSNONPILOT/Tender/SplashBidNoticeAbstractUI.aspx?menuIndex=3&amp;refID=7151274&amp;Result=3","7151274")</f>
        <v>0</v>
      </c>
      <c r="B1963" t="s">
        <v>416</v>
      </c>
      <c r="C1963" t="s">
        <v>5640</v>
      </c>
      <c r="D1963" t="s">
        <v>17976</v>
      </c>
      <c r="E1963" t="s">
        <v>19859</v>
      </c>
      <c r="F1963" t="s">
        <v>30900</v>
      </c>
      <c r="G1963" t="s">
        <v>30908</v>
      </c>
      <c r="H1963" t="s">
        <v>30916</v>
      </c>
      <c r="I1963" t="s">
        <v>4108</v>
      </c>
      <c r="J1963" t="s">
        <v>32493</v>
      </c>
      <c r="K1963" t="s">
        <v>40283</v>
      </c>
      <c r="M1963" t="s">
        <v>41524</v>
      </c>
      <c r="N1963" t="s">
        <v>44759</v>
      </c>
      <c r="O1963" t="s">
        <v>44760</v>
      </c>
      <c r="P1963">
        <v>0</v>
      </c>
      <c r="Q1963">
        <v>0</v>
      </c>
      <c r="R1963" t="s">
        <v>44762</v>
      </c>
      <c r="S1963" t="s">
        <v>44863</v>
      </c>
      <c r="T1963" t="s">
        <v>46363</v>
      </c>
      <c r="U1963" t="s">
        <v>48652</v>
      </c>
      <c r="W1963" t="s">
        <v>41524</v>
      </c>
      <c r="X1963" t="s">
        <v>44763</v>
      </c>
    </row>
    <row r="1964" spans="1:24">
      <c r="A1964">
        <f>HYPERLINK("https://www.philgeps.gov.ph/GEPSNONPILOT/Tender/SplashBidNoticeAbstractUI.aspx?menuIndex=3&amp;refID=7151444&amp;Result=3","7151444")</f>
        <v>0</v>
      </c>
      <c r="B1964" t="s">
        <v>941</v>
      </c>
      <c r="C1964" t="s">
        <v>5641</v>
      </c>
      <c r="D1964" t="s">
        <v>17963</v>
      </c>
      <c r="E1964" t="s">
        <v>18282</v>
      </c>
      <c r="F1964" t="s">
        <v>30900</v>
      </c>
      <c r="G1964" t="s">
        <v>30907</v>
      </c>
      <c r="H1964" t="s">
        <v>30916</v>
      </c>
      <c r="I1964" t="s">
        <v>4142</v>
      </c>
      <c r="J1964" t="s">
        <v>31552</v>
      </c>
      <c r="K1964" t="s">
        <v>40289</v>
      </c>
      <c r="M1964" t="s">
        <v>41525</v>
      </c>
      <c r="N1964" t="s">
        <v>44759</v>
      </c>
      <c r="O1964" t="s">
        <v>44760</v>
      </c>
      <c r="P1964">
        <v>0</v>
      </c>
      <c r="Q1964">
        <v>0</v>
      </c>
      <c r="R1964" t="s">
        <v>44762</v>
      </c>
      <c r="S1964" t="s">
        <v>44863</v>
      </c>
      <c r="T1964" t="s">
        <v>46409</v>
      </c>
      <c r="U1964" t="s">
        <v>48653</v>
      </c>
      <c r="W1964" t="s">
        <v>41525</v>
      </c>
      <c r="X1964" t="s">
        <v>44763</v>
      </c>
    </row>
    <row r="1965" spans="1:24">
      <c r="A1965">
        <f>HYPERLINK("https://www.philgeps.gov.ph/GEPSNONPILOT/Tender/SplashBidNoticeAbstractUI.aspx?menuIndex=3&amp;refID=7151468&amp;Result=3","7151468")</f>
        <v>0</v>
      </c>
      <c r="B1965" t="s">
        <v>780</v>
      </c>
      <c r="C1965" t="s">
        <v>5642</v>
      </c>
      <c r="D1965" t="s">
        <v>18032</v>
      </c>
      <c r="E1965" t="s">
        <v>19860</v>
      </c>
      <c r="F1965" t="s">
        <v>30900</v>
      </c>
      <c r="G1965" t="s">
        <v>30910</v>
      </c>
      <c r="H1965" t="s">
        <v>30916</v>
      </c>
      <c r="I1965" t="s">
        <v>30925</v>
      </c>
      <c r="J1965" t="s">
        <v>31568</v>
      </c>
      <c r="K1965" t="s">
        <v>40286</v>
      </c>
      <c r="M1965" t="s">
        <v>41349</v>
      </c>
      <c r="N1965" t="s">
        <v>44759</v>
      </c>
      <c r="O1965" t="s">
        <v>44760</v>
      </c>
      <c r="P1965">
        <v>0</v>
      </c>
      <c r="Q1965">
        <v>3</v>
      </c>
      <c r="R1965" t="s">
        <v>44762</v>
      </c>
      <c r="S1965" t="s">
        <v>44863</v>
      </c>
      <c r="T1965" t="s">
        <v>46425</v>
      </c>
      <c r="U1965" t="s">
        <v>48654</v>
      </c>
      <c r="W1965" t="s">
        <v>41349</v>
      </c>
      <c r="X1965" t="s">
        <v>44763</v>
      </c>
    </row>
    <row r="1966" spans="1:24">
      <c r="A1966">
        <f>HYPERLINK("https://www.philgeps.gov.ph/GEPSNONPILOT/Tender/SplashBidNoticeAbstractUI.aspx?menuIndex=3&amp;refID=7151316&amp;Result=3","7151316")</f>
        <v>0</v>
      </c>
      <c r="B1966" t="s">
        <v>461</v>
      </c>
      <c r="C1966" t="s">
        <v>5643</v>
      </c>
      <c r="D1966" t="s">
        <v>17977</v>
      </c>
      <c r="E1966" t="s">
        <v>19861</v>
      </c>
      <c r="F1966" t="s">
        <v>30900</v>
      </c>
      <c r="G1966" t="s">
        <v>30908</v>
      </c>
      <c r="H1966" t="s">
        <v>30916</v>
      </c>
      <c r="I1966" t="s">
        <v>4142</v>
      </c>
      <c r="J1966" t="s">
        <v>32494</v>
      </c>
      <c r="K1966" t="s">
        <v>40289</v>
      </c>
      <c r="M1966" t="s">
        <v>41019</v>
      </c>
      <c r="N1966" t="s">
        <v>44759</v>
      </c>
      <c r="O1966" t="s">
        <v>44760</v>
      </c>
      <c r="P1966">
        <v>0</v>
      </c>
      <c r="Q1966">
        <v>4</v>
      </c>
      <c r="R1966" t="s">
        <v>44762</v>
      </c>
      <c r="S1966" t="s">
        <v>44863</v>
      </c>
      <c r="T1966" t="s">
        <v>46404</v>
      </c>
      <c r="U1966" t="s">
        <v>48655</v>
      </c>
      <c r="W1966" t="s">
        <v>41019</v>
      </c>
      <c r="X1966" t="s">
        <v>44763</v>
      </c>
    </row>
    <row r="1967" spans="1:24">
      <c r="A1967">
        <f>HYPERLINK("https://www.philgeps.gov.ph/GEPSNONPILOT/Tender/SplashBidNoticeAbstractUI.aspx?menuIndex=3&amp;refID=7151467&amp;Result=3","7151467")</f>
        <v>0</v>
      </c>
      <c r="B1967" t="s">
        <v>942</v>
      </c>
      <c r="C1967" t="s">
        <v>5644</v>
      </c>
      <c r="D1967" t="s">
        <v>18009</v>
      </c>
      <c r="E1967" t="s">
        <v>19862</v>
      </c>
      <c r="F1967" t="s">
        <v>30900</v>
      </c>
      <c r="G1967" t="s">
        <v>30907</v>
      </c>
      <c r="H1967" t="s">
        <v>30916</v>
      </c>
      <c r="I1967" t="s">
        <v>6396</v>
      </c>
      <c r="J1967" t="s">
        <v>32495</v>
      </c>
      <c r="K1967" t="s">
        <v>40286</v>
      </c>
      <c r="M1967" t="s">
        <v>41526</v>
      </c>
      <c r="N1967" t="s">
        <v>44759</v>
      </c>
      <c r="O1967" t="s">
        <v>44760</v>
      </c>
      <c r="P1967">
        <v>0</v>
      </c>
      <c r="Q1967">
        <v>4</v>
      </c>
      <c r="R1967" t="s">
        <v>44762</v>
      </c>
      <c r="S1967" t="s">
        <v>44863</v>
      </c>
      <c r="T1967" t="s">
        <v>46375</v>
      </c>
      <c r="U1967" t="s">
        <v>48656</v>
      </c>
      <c r="W1967" t="s">
        <v>41526</v>
      </c>
      <c r="X1967" t="s">
        <v>44763</v>
      </c>
    </row>
    <row r="1968" spans="1:24">
      <c r="A1968">
        <f>HYPERLINK("https://www.philgeps.gov.ph/GEPSNONPILOT/Tender/SplashBidNoticeAbstractUI.aspx?menuIndex=3&amp;refID=7151466&amp;Result=3","7151466")</f>
        <v>0</v>
      </c>
      <c r="B1968" t="s">
        <v>943</v>
      </c>
      <c r="C1968" t="s">
        <v>5645</v>
      </c>
      <c r="D1968" t="s">
        <v>17957</v>
      </c>
      <c r="E1968" t="s">
        <v>19863</v>
      </c>
      <c r="F1968" t="s">
        <v>30900</v>
      </c>
      <c r="G1968" t="s">
        <v>30908</v>
      </c>
      <c r="H1968" t="s">
        <v>30916</v>
      </c>
      <c r="I1968" t="s">
        <v>8123</v>
      </c>
      <c r="J1968" t="s">
        <v>31521</v>
      </c>
      <c r="K1968" t="s">
        <v>40283</v>
      </c>
      <c r="M1968" t="s">
        <v>41527</v>
      </c>
      <c r="N1968" t="s">
        <v>44759</v>
      </c>
      <c r="O1968" t="s">
        <v>44760</v>
      </c>
      <c r="P1968">
        <v>0</v>
      </c>
      <c r="Q1968">
        <v>0</v>
      </c>
      <c r="R1968" t="s">
        <v>44762</v>
      </c>
      <c r="S1968" t="s">
        <v>44863</v>
      </c>
      <c r="T1968" t="s">
        <v>46410</v>
      </c>
      <c r="U1968" t="s">
        <v>48657</v>
      </c>
      <c r="W1968" t="s">
        <v>41527</v>
      </c>
      <c r="X1968" t="s">
        <v>44763</v>
      </c>
    </row>
    <row r="1969" spans="1:24">
      <c r="A1969">
        <f>HYPERLINK("https://www.philgeps.gov.ph/GEPSNONPILOT/Tender/SplashBidNoticeAbstractUI.aspx?menuIndex=3&amp;refID=7151463&amp;Result=3","7151463")</f>
        <v>0</v>
      </c>
      <c r="B1969" t="s">
        <v>629</v>
      </c>
      <c r="C1969" t="s">
        <v>5646</v>
      </c>
      <c r="D1969" t="s">
        <v>17992</v>
      </c>
      <c r="E1969" t="s">
        <v>19864</v>
      </c>
      <c r="F1969" t="s">
        <v>30900</v>
      </c>
      <c r="G1969" t="s">
        <v>30910</v>
      </c>
      <c r="H1969" t="s">
        <v>30916</v>
      </c>
      <c r="I1969" t="s">
        <v>6396</v>
      </c>
      <c r="J1969" t="s">
        <v>32496</v>
      </c>
      <c r="K1969" t="s">
        <v>40283</v>
      </c>
      <c r="M1969" t="s">
        <v>41485</v>
      </c>
      <c r="N1969" t="s">
        <v>44759</v>
      </c>
      <c r="O1969" t="s">
        <v>44760</v>
      </c>
      <c r="P1969">
        <v>0</v>
      </c>
      <c r="Q1969">
        <v>1</v>
      </c>
      <c r="R1969" t="s">
        <v>44762</v>
      </c>
      <c r="S1969" t="s">
        <v>44863</v>
      </c>
      <c r="T1969" t="s">
        <v>46559</v>
      </c>
      <c r="U1969" t="s">
        <v>48658</v>
      </c>
      <c r="W1969" t="s">
        <v>41485</v>
      </c>
      <c r="X1969" t="s">
        <v>44763</v>
      </c>
    </row>
    <row r="1970" spans="1:24">
      <c r="A1970">
        <f>HYPERLINK("https://www.philgeps.gov.ph/GEPSNONPILOT/Tender/SplashBidNoticeAbstractUI.aspx?menuIndex=3&amp;refID=7151461&amp;Result=3","7151461")</f>
        <v>0</v>
      </c>
      <c r="B1970" t="s">
        <v>944</v>
      </c>
      <c r="C1970" t="s">
        <v>5647</v>
      </c>
      <c r="D1970" t="s">
        <v>18007</v>
      </c>
      <c r="E1970" t="s">
        <v>19865</v>
      </c>
      <c r="F1970" t="s">
        <v>30900</v>
      </c>
      <c r="G1970" t="s">
        <v>30907</v>
      </c>
      <c r="H1970" t="s">
        <v>30916</v>
      </c>
      <c r="I1970" t="s">
        <v>30919</v>
      </c>
      <c r="J1970" t="s">
        <v>32497</v>
      </c>
      <c r="K1970" t="s">
        <v>40283</v>
      </c>
      <c r="M1970" t="s">
        <v>41528</v>
      </c>
      <c r="N1970" t="s">
        <v>44759</v>
      </c>
      <c r="O1970" t="s">
        <v>44760</v>
      </c>
      <c r="P1970">
        <v>0</v>
      </c>
      <c r="Q1970">
        <v>1</v>
      </c>
      <c r="R1970" t="s">
        <v>44762</v>
      </c>
      <c r="S1970" t="s">
        <v>44863</v>
      </c>
      <c r="T1970" t="s">
        <v>46409</v>
      </c>
      <c r="U1970" t="s">
        <v>48659</v>
      </c>
      <c r="W1970" t="s">
        <v>41528</v>
      </c>
      <c r="X1970" t="s">
        <v>44763</v>
      </c>
    </row>
    <row r="1971" spans="1:24">
      <c r="A1971">
        <f>HYPERLINK("https://www.philgeps.gov.ph/GEPSNONPILOT/Tender/SplashBidNoticeAbstractUI.aspx?menuIndex=3&amp;refID=7151459&amp;Result=3","7151459")</f>
        <v>0</v>
      </c>
      <c r="B1971" t="s">
        <v>945</v>
      </c>
      <c r="C1971" t="s">
        <v>5648</v>
      </c>
      <c r="D1971" t="s">
        <v>17962</v>
      </c>
      <c r="E1971" t="s">
        <v>19866</v>
      </c>
      <c r="F1971" t="s">
        <v>30900</v>
      </c>
      <c r="G1971" t="s">
        <v>30908</v>
      </c>
      <c r="H1971" t="s">
        <v>30916</v>
      </c>
      <c r="I1971" t="s">
        <v>30965</v>
      </c>
      <c r="J1971" t="s">
        <v>32498</v>
      </c>
      <c r="K1971" t="s">
        <v>40286</v>
      </c>
      <c r="M1971" t="s">
        <v>41529</v>
      </c>
      <c r="N1971" t="s">
        <v>44759</v>
      </c>
      <c r="O1971" t="s">
        <v>44760</v>
      </c>
      <c r="P1971">
        <v>0</v>
      </c>
      <c r="Q1971">
        <v>3</v>
      </c>
      <c r="R1971" t="s">
        <v>44762</v>
      </c>
      <c r="S1971" t="s">
        <v>44863</v>
      </c>
      <c r="T1971" t="s">
        <v>46457</v>
      </c>
      <c r="U1971" t="s">
        <v>48660</v>
      </c>
      <c r="W1971" t="s">
        <v>41529</v>
      </c>
      <c r="X1971" t="s">
        <v>44763</v>
      </c>
    </row>
    <row r="1972" spans="1:24">
      <c r="A1972">
        <f>HYPERLINK("https://www.philgeps.gov.ph/GEPSNONPILOT/Tender/SplashBidNoticeAbstractUI.aspx?menuIndex=3&amp;refID=7151290&amp;Result=3","7151290")</f>
        <v>0</v>
      </c>
      <c r="B1972" t="s">
        <v>416</v>
      </c>
      <c r="C1972" t="s">
        <v>5649</v>
      </c>
      <c r="D1972" t="s">
        <v>17976</v>
      </c>
      <c r="E1972" t="s">
        <v>19867</v>
      </c>
      <c r="F1972" t="s">
        <v>30900</v>
      </c>
      <c r="G1972" t="s">
        <v>30906</v>
      </c>
      <c r="H1972" t="s">
        <v>30916</v>
      </c>
      <c r="I1972" t="s">
        <v>6746</v>
      </c>
      <c r="J1972" t="s">
        <v>31101</v>
      </c>
      <c r="K1972" t="s">
        <v>40283</v>
      </c>
      <c r="M1972" t="s">
        <v>40972</v>
      </c>
      <c r="N1972" t="s">
        <v>44759</v>
      </c>
      <c r="O1972" t="s">
        <v>44760</v>
      </c>
      <c r="P1972">
        <v>0</v>
      </c>
      <c r="Q1972">
        <v>0</v>
      </c>
      <c r="R1972" t="s">
        <v>44762</v>
      </c>
      <c r="S1972" t="s">
        <v>44863</v>
      </c>
      <c r="T1972" t="s">
        <v>46369</v>
      </c>
      <c r="U1972" t="s">
        <v>48562</v>
      </c>
      <c r="W1972" t="s">
        <v>40972</v>
      </c>
      <c r="X1972" t="s">
        <v>44763</v>
      </c>
    </row>
    <row r="1973" spans="1:24">
      <c r="A1973">
        <f>HYPERLINK("https://www.philgeps.gov.ph/GEPSNONPILOT/Tender/SplashBidNoticeAbstractUI.aspx?menuIndex=3&amp;refID=7151454&amp;Result=3","7151454")</f>
        <v>0</v>
      </c>
      <c r="B1973" t="s">
        <v>934</v>
      </c>
      <c r="C1973" t="s">
        <v>5650</v>
      </c>
      <c r="D1973" t="s">
        <v>17984</v>
      </c>
      <c r="E1973" t="s">
        <v>18746</v>
      </c>
      <c r="F1973" t="s">
        <v>30900</v>
      </c>
      <c r="G1973" t="s">
        <v>30908</v>
      </c>
      <c r="H1973" t="s">
        <v>30916</v>
      </c>
      <c r="I1973" t="s">
        <v>30922</v>
      </c>
      <c r="J1973" t="s">
        <v>32499</v>
      </c>
      <c r="K1973" t="s">
        <v>40287</v>
      </c>
      <c r="M1973" t="s">
        <v>41517</v>
      </c>
      <c r="N1973" t="s">
        <v>44759</v>
      </c>
      <c r="O1973" t="s">
        <v>44760</v>
      </c>
      <c r="P1973">
        <v>0</v>
      </c>
      <c r="Q1973">
        <v>0</v>
      </c>
      <c r="R1973" t="s">
        <v>44762</v>
      </c>
      <c r="S1973" t="s">
        <v>44863</v>
      </c>
      <c r="T1973" t="s">
        <v>46410</v>
      </c>
      <c r="U1973" t="s">
        <v>48661</v>
      </c>
      <c r="W1973" t="s">
        <v>41517</v>
      </c>
      <c r="X1973" t="s">
        <v>44763</v>
      </c>
    </row>
    <row r="1974" spans="1:24">
      <c r="A1974">
        <f>HYPERLINK("https://www.philgeps.gov.ph/GEPSNONPILOT/Tender/SplashBidNoticeAbstractUI.aspx?menuIndex=3&amp;refID=7151442&amp;Result=3","7151442")</f>
        <v>0</v>
      </c>
      <c r="B1974" t="s">
        <v>845</v>
      </c>
      <c r="C1974" t="s">
        <v>5651</v>
      </c>
      <c r="D1974" t="s">
        <v>17975</v>
      </c>
      <c r="E1974" t="s">
        <v>19868</v>
      </c>
      <c r="F1974" t="s">
        <v>30900</v>
      </c>
      <c r="G1974" t="s">
        <v>30907</v>
      </c>
      <c r="H1974" t="s">
        <v>30916</v>
      </c>
      <c r="I1974" t="s">
        <v>6396</v>
      </c>
      <c r="J1974" t="s">
        <v>32500</v>
      </c>
      <c r="K1974" t="s">
        <v>40283</v>
      </c>
      <c r="M1974" t="s">
        <v>41418</v>
      </c>
      <c r="N1974" t="s">
        <v>44759</v>
      </c>
      <c r="O1974" t="s">
        <v>44760</v>
      </c>
      <c r="Q1974">
        <v>1</v>
      </c>
      <c r="R1974" t="s">
        <v>44762</v>
      </c>
      <c r="S1974" t="s">
        <v>44868</v>
      </c>
      <c r="T1974" t="s">
        <v>46565</v>
      </c>
      <c r="U1974" t="s">
        <v>48662</v>
      </c>
      <c r="W1974" t="s">
        <v>41418</v>
      </c>
      <c r="X1974" t="s">
        <v>44763</v>
      </c>
    </row>
    <row r="1975" spans="1:24">
      <c r="A1975">
        <f>HYPERLINK("https://www.philgeps.gov.ph/GEPSNONPILOT/Tender/SplashBidNoticeAbstractUI.aspx?menuIndex=3&amp;refID=7151317&amp;Result=3","7151317")</f>
        <v>0</v>
      </c>
      <c r="B1975" t="s">
        <v>326</v>
      </c>
      <c r="C1975" t="s">
        <v>5652</v>
      </c>
      <c r="E1975" t="s">
        <v>19869</v>
      </c>
      <c r="F1975" t="s">
        <v>30900</v>
      </c>
      <c r="G1975" t="s">
        <v>30908</v>
      </c>
      <c r="H1975" t="s">
        <v>30916</v>
      </c>
      <c r="I1975" t="s">
        <v>30939</v>
      </c>
      <c r="J1975" t="s">
        <v>31522</v>
      </c>
      <c r="K1975" t="s">
        <v>40289</v>
      </c>
      <c r="M1975" t="s">
        <v>41530</v>
      </c>
      <c r="N1975" t="s">
        <v>44759</v>
      </c>
      <c r="O1975" t="s">
        <v>44760</v>
      </c>
      <c r="P1975">
        <v>0</v>
      </c>
      <c r="Q1975">
        <v>0</v>
      </c>
      <c r="R1975" t="s">
        <v>44762</v>
      </c>
      <c r="S1975" t="s">
        <v>44863</v>
      </c>
      <c r="T1975" t="s">
        <v>46398</v>
      </c>
      <c r="U1975" t="s">
        <v>48663</v>
      </c>
      <c r="W1975" t="s">
        <v>41530</v>
      </c>
      <c r="X1975" t="s">
        <v>44763</v>
      </c>
    </row>
    <row r="1976" spans="1:24">
      <c r="A1976">
        <f>HYPERLINK("https://www.philgeps.gov.ph/GEPSNONPILOT/Tender/SplashBidNoticeAbstractUI.aspx?menuIndex=3&amp;refID=7151453&amp;Result=3","7151453")</f>
        <v>0</v>
      </c>
      <c r="B1976" t="s">
        <v>946</v>
      </c>
      <c r="C1976" t="s">
        <v>5653</v>
      </c>
      <c r="D1976" t="s">
        <v>18033</v>
      </c>
      <c r="E1976" t="s">
        <v>19870</v>
      </c>
      <c r="F1976" t="s">
        <v>30900</v>
      </c>
      <c r="G1976" t="s">
        <v>30907</v>
      </c>
      <c r="H1976" t="s">
        <v>30916</v>
      </c>
      <c r="I1976" t="s">
        <v>30923</v>
      </c>
      <c r="J1976" t="s">
        <v>31105</v>
      </c>
      <c r="K1976" t="s">
        <v>40286</v>
      </c>
      <c r="M1976" t="s">
        <v>41531</v>
      </c>
      <c r="N1976" t="s">
        <v>44759</v>
      </c>
      <c r="O1976" t="s">
        <v>44760</v>
      </c>
      <c r="P1976">
        <v>0</v>
      </c>
      <c r="Q1976">
        <v>2</v>
      </c>
      <c r="R1976" t="s">
        <v>44762</v>
      </c>
      <c r="S1976" t="s">
        <v>44863</v>
      </c>
      <c r="T1976" t="s">
        <v>46483</v>
      </c>
      <c r="U1976" t="s">
        <v>48664</v>
      </c>
      <c r="W1976" t="s">
        <v>41531</v>
      </c>
      <c r="X1976" t="s">
        <v>44763</v>
      </c>
    </row>
    <row r="1977" spans="1:24">
      <c r="A1977">
        <f>HYPERLINK("https://www.philgeps.gov.ph/GEPSNONPILOT/Tender/SplashBidNoticeAbstractUI.aspx?menuIndex=3&amp;refID=7151450&amp;Result=3","7151450")</f>
        <v>0</v>
      </c>
      <c r="B1977" t="s">
        <v>129</v>
      </c>
      <c r="C1977" t="s">
        <v>5654</v>
      </c>
      <c r="D1977" t="s">
        <v>17974</v>
      </c>
      <c r="E1977" t="s">
        <v>19871</v>
      </c>
      <c r="F1977" t="s">
        <v>30900</v>
      </c>
      <c r="G1977" t="s">
        <v>30908</v>
      </c>
      <c r="H1977" t="s">
        <v>30916</v>
      </c>
      <c r="I1977" t="s">
        <v>8123</v>
      </c>
      <c r="J1977" t="s">
        <v>32501</v>
      </c>
      <c r="K1977" t="s">
        <v>40283</v>
      </c>
      <c r="M1977" t="s">
        <v>40676</v>
      </c>
      <c r="N1977" t="s">
        <v>44759</v>
      </c>
      <c r="O1977" t="s">
        <v>44760</v>
      </c>
      <c r="P1977">
        <v>0</v>
      </c>
      <c r="Q1977">
        <v>0</v>
      </c>
      <c r="R1977" t="s">
        <v>44762</v>
      </c>
      <c r="S1977" t="s">
        <v>44863</v>
      </c>
      <c r="T1977" t="s">
        <v>46410</v>
      </c>
      <c r="U1977" t="s">
        <v>48665</v>
      </c>
      <c r="V1977" t="s">
        <v>59129</v>
      </c>
      <c r="W1977" t="s">
        <v>40676</v>
      </c>
      <c r="X1977" t="s">
        <v>44763</v>
      </c>
    </row>
    <row r="1978" spans="1:24">
      <c r="A1978">
        <f>HYPERLINK("https://www.philgeps.gov.ph/GEPSNONPILOT/Tender/SplashBidNoticeAbstractUI.aspx?menuIndex=3&amp;refID=7151449&amp;Result=3","7151449")</f>
        <v>0</v>
      </c>
      <c r="B1978" t="s">
        <v>947</v>
      </c>
      <c r="C1978" t="s">
        <v>5655</v>
      </c>
      <c r="D1978" t="s">
        <v>17959</v>
      </c>
      <c r="E1978" t="s">
        <v>19872</v>
      </c>
      <c r="F1978" t="s">
        <v>30900</v>
      </c>
      <c r="G1978" t="s">
        <v>30908</v>
      </c>
      <c r="H1978" t="s">
        <v>30916</v>
      </c>
      <c r="I1978" t="s">
        <v>8365</v>
      </c>
      <c r="J1978" t="s">
        <v>32502</v>
      </c>
      <c r="K1978" t="s">
        <v>40284</v>
      </c>
      <c r="M1978" t="s">
        <v>41532</v>
      </c>
      <c r="N1978" t="s">
        <v>44759</v>
      </c>
      <c r="O1978" t="s">
        <v>44760</v>
      </c>
      <c r="P1978">
        <v>0</v>
      </c>
      <c r="Q1978">
        <v>3</v>
      </c>
      <c r="R1978" t="s">
        <v>44762</v>
      </c>
      <c r="S1978" t="s">
        <v>44863</v>
      </c>
      <c r="T1978" t="s">
        <v>46390</v>
      </c>
      <c r="U1978" t="s">
        <v>48666</v>
      </c>
      <c r="W1978" t="s">
        <v>41532</v>
      </c>
      <c r="X1978" t="s">
        <v>44763</v>
      </c>
    </row>
    <row r="1979" spans="1:24">
      <c r="A1979">
        <f>HYPERLINK("https://www.philgeps.gov.ph/GEPSNONPILOT/Tender/SplashBidNoticeAbstractUI.aspx?menuIndex=3&amp;refID=7151448&amp;Result=3","7151448")</f>
        <v>0</v>
      </c>
      <c r="B1979" t="s">
        <v>544</v>
      </c>
      <c r="C1979" t="s">
        <v>5656</v>
      </c>
      <c r="D1979" t="s">
        <v>18036</v>
      </c>
      <c r="E1979" t="s">
        <v>18872</v>
      </c>
      <c r="F1979" t="s">
        <v>30900</v>
      </c>
      <c r="G1979" t="s">
        <v>30907</v>
      </c>
      <c r="H1979" t="s">
        <v>30916</v>
      </c>
      <c r="I1979" t="s">
        <v>4142</v>
      </c>
      <c r="J1979" t="s">
        <v>32503</v>
      </c>
      <c r="K1979" t="s">
        <v>40287</v>
      </c>
      <c r="M1979" t="s">
        <v>41105</v>
      </c>
      <c r="N1979" t="s">
        <v>44759</v>
      </c>
      <c r="O1979" t="s">
        <v>44760</v>
      </c>
      <c r="P1979">
        <v>0</v>
      </c>
      <c r="Q1979">
        <v>2</v>
      </c>
      <c r="R1979" t="s">
        <v>44762</v>
      </c>
      <c r="S1979" t="s">
        <v>44863</v>
      </c>
      <c r="T1979" t="s">
        <v>46377</v>
      </c>
      <c r="U1979" t="s">
        <v>48667</v>
      </c>
      <c r="V1979" t="s">
        <v>59285</v>
      </c>
      <c r="W1979" t="s">
        <v>41105</v>
      </c>
      <c r="X1979" t="s">
        <v>44763</v>
      </c>
    </row>
    <row r="1980" spans="1:24">
      <c r="A1980">
        <f>HYPERLINK("https://www.philgeps.gov.ph/GEPSNONPILOT/Tender/SplashBidNoticeAbstractUI.aspx?menuIndex=3&amp;refID=7151447&amp;Result=3","7151447")</f>
        <v>0</v>
      </c>
      <c r="B1980" t="s">
        <v>948</v>
      </c>
      <c r="C1980" t="s">
        <v>5657</v>
      </c>
      <c r="D1980" t="s">
        <v>17953</v>
      </c>
      <c r="E1980" t="s">
        <v>19873</v>
      </c>
      <c r="F1980" t="s">
        <v>30900</v>
      </c>
      <c r="G1980" t="s">
        <v>30907</v>
      </c>
      <c r="H1980" t="s">
        <v>30915</v>
      </c>
      <c r="I1980" t="s">
        <v>30919</v>
      </c>
      <c r="J1980" t="s">
        <v>32504</v>
      </c>
      <c r="K1980" t="s">
        <v>40289</v>
      </c>
      <c r="M1980" t="s">
        <v>41533</v>
      </c>
      <c r="N1980" t="s">
        <v>44759</v>
      </c>
      <c r="O1980" t="s">
        <v>44760</v>
      </c>
      <c r="P1980">
        <v>0</v>
      </c>
      <c r="Q1980">
        <v>1</v>
      </c>
      <c r="R1980" t="s">
        <v>44762</v>
      </c>
      <c r="S1980" t="s">
        <v>44863</v>
      </c>
      <c r="T1980" t="s">
        <v>46465</v>
      </c>
      <c r="U1980" t="s">
        <v>48668</v>
      </c>
      <c r="W1980" t="s">
        <v>41533</v>
      </c>
      <c r="X1980" t="s">
        <v>44763</v>
      </c>
    </row>
    <row r="1981" spans="1:24">
      <c r="A1981">
        <f>HYPERLINK("https://www.philgeps.gov.ph/GEPSNONPILOT/Tender/SplashBidNoticeAbstractUI.aspx?menuIndex=3&amp;refID=7151457&amp;Result=3","7151457")</f>
        <v>0</v>
      </c>
      <c r="B1981" t="s">
        <v>931</v>
      </c>
      <c r="C1981" t="s">
        <v>5658</v>
      </c>
      <c r="D1981" t="s">
        <v>18000</v>
      </c>
      <c r="E1981" t="s">
        <v>18405</v>
      </c>
      <c r="F1981" t="s">
        <v>30900</v>
      </c>
      <c r="G1981" t="s">
        <v>30907</v>
      </c>
      <c r="H1981" t="s">
        <v>30916</v>
      </c>
      <c r="I1981" t="s">
        <v>8123</v>
      </c>
      <c r="J1981" t="s">
        <v>32505</v>
      </c>
      <c r="K1981" t="s">
        <v>40283</v>
      </c>
      <c r="M1981" t="s">
        <v>41513</v>
      </c>
      <c r="N1981" t="s">
        <v>44759</v>
      </c>
      <c r="O1981" t="s">
        <v>44760</v>
      </c>
      <c r="P1981">
        <v>0</v>
      </c>
      <c r="Q1981">
        <v>1</v>
      </c>
      <c r="R1981" t="s">
        <v>44762</v>
      </c>
      <c r="S1981" t="s">
        <v>44863</v>
      </c>
      <c r="T1981" t="s">
        <v>46425</v>
      </c>
      <c r="U1981" t="s">
        <v>48669</v>
      </c>
      <c r="W1981" t="s">
        <v>41513</v>
      </c>
      <c r="X1981" t="s">
        <v>44763</v>
      </c>
    </row>
    <row r="1982" spans="1:24">
      <c r="A1982">
        <f>HYPERLINK("https://www.philgeps.gov.ph/GEPSNONPILOT/Tender/SplashBidNoticeAbstractUI.aspx?menuIndex=3&amp;refID=7151486&amp;Result=3","7151486")</f>
        <v>0</v>
      </c>
      <c r="B1982" t="s">
        <v>898</v>
      </c>
      <c r="C1982" t="s">
        <v>5659</v>
      </c>
      <c r="D1982" t="s">
        <v>17959</v>
      </c>
      <c r="E1982" t="s">
        <v>19874</v>
      </c>
      <c r="F1982" t="s">
        <v>30900</v>
      </c>
      <c r="G1982" t="s">
        <v>30908</v>
      </c>
      <c r="H1982" t="s">
        <v>30916</v>
      </c>
      <c r="I1982" t="s">
        <v>4108</v>
      </c>
      <c r="J1982" t="s">
        <v>31183</v>
      </c>
      <c r="K1982" t="s">
        <v>40287</v>
      </c>
      <c r="M1982" t="s">
        <v>41472</v>
      </c>
      <c r="N1982" t="s">
        <v>44759</v>
      </c>
      <c r="O1982" t="s">
        <v>44760</v>
      </c>
      <c r="P1982">
        <v>0</v>
      </c>
      <c r="Q1982">
        <v>0</v>
      </c>
      <c r="R1982" t="s">
        <v>44762</v>
      </c>
      <c r="S1982" t="s">
        <v>44863</v>
      </c>
      <c r="T1982" t="s">
        <v>46409</v>
      </c>
      <c r="U1982" t="s">
        <v>48626</v>
      </c>
      <c r="W1982" t="s">
        <v>41472</v>
      </c>
      <c r="X1982" t="s">
        <v>44763</v>
      </c>
    </row>
    <row r="1983" spans="1:24">
      <c r="A1983">
        <f>HYPERLINK("https://www.philgeps.gov.ph/GEPSNONPILOT/Tender/SplashBidNoticeAbstractUI.aspx?menuIndex=3&amp;refID=7151455&amp;Result=3","7151455")</f>
        <v>0</v>
      </c>
      <c r="B1983" t="s">
        <v>248</v>
      </c>
      <c r="C1983" t="s">
        <v>5660</v>
      </c>
      <c r="D1983" t="s">
        <v>17966</v>
      </c>
      <c r="E1983" t="s">
        <v>19875</v>
      </c>
      <c r="F1983" t="s">
        <v>30900</v>
      </c>
      <c r="G1983" t="s">
        <v>30907</v>
      </c>
      <c r="H1983" t="s">
        <v>30916</v>
      </c>
      <c r="I1983" t="s">
        <v>30933</v>
      </c>
      <c r="J1983" t="s">
        <v>31518</v>
      </c>
      <c r="K1983" t="s">
        <v>40286</v>
      </c>
      <c r="M1983" t="s">
        <v>40795</v>
      </c>
      <c r="N1983" t="s">
        <v>44759</v>
      </c>
      <c r="O1983" t="s">
        <v>44760</v>
      </c>
      <c r="P1983">
        <v>0</v>
      </c>
      <c r="Q1983">
        <v>0</v>
      </c>
      <c r="R1983" t="s">
        <v>44762</v>
      </c>
      <c r="S1983" t="s">
        <v>44863</v>
      </c>
      <c r="T1983" t="s">
        <v>46380</v>
      </c>
      <c r="U1983" t="s">
        <v>48670</v>
      </c>
      <c r="W1983" t="s">
        <v>40795</v>
      </c>
      <c r="X1983" t="s">
        <v>44763</v>
      </c>
    </row>
    <row r="1984" spans="1:24">
      <c r="A1984">
        <f>HYPERLINK("https://www.philgeps.gov.ph/GEPSNONPILOT/Tender/SplashBidNoticeAbstractUI.aspx?menuIndex=3&amp;refID=7151451&amp;Result=3","7151451")</f>
        <v>0</v>
      </c>
      <c r="B1984" t="s">
        <v>949</v>
      </c>
      <c r="C1984" t="s">
        <v>5661</v>
      </c>
      <c r="D1984" t="s">
        <v>18007</v>
      </c>
      <c r="E1984" t="s">
        <v>19876</v>
      </c>
      <c r="F1984" t="s">
        <v>30900</v>
      </c>
      <c r="G1984" t="s">
        <v>30908</v>
      </c>
      <c r="H1984" t="s">
        <v>30916</v>
      </c>
      <c r="I1984" t="s">
        <v>4142</v>
      </c>
      <c r="J1984" t="s">
        <v>32341</v>
      </c>
      <c r="K1984" t="s">
        <v>40283</v>
      </c>
      <c r="M1984" t="s">
        <v>41534</v>
      </c>
      <c r="N1984" t="s">
        <v>44759</v>
      </c>
      <c r="O1984" t="s">
        <v>44760</v>
      </c>
      <c r="P1984">
        <v>0</v>
      </c>
      <c r="Q1984">
        <v>0</v>
      </c>
      <c r="R1984" t="s">
        <v>44762</v>
      </c>
      <c r="S1984" t="s">
        <v>44863</v>
      </c>
      <c r="T1984" t="s">
        <v>46410</v>
      </c>
      <c r="U1984" t="s">
        <v>48671</v>
      </c>
      <c r="W1984" t="s">
        <v>41534</v>
      </c>
      <c r="X1984" t="s">
        <v>44763</v>
      </c>
    </row>
    <row r="1985" spans="1:24">
      <c r="A1985">
        <f>HYPERLINK("https://www.philgeps.gov.ph/GEPSNONPILOT/Tender/SplashBidNoticeAbstractUI.aspx?menuIndex=3&amp;refID=7151464&amp;Result=3","7151464")</f>
        <v>0</v>
      </c>
      <c r="B1985" t="s">
        <v>932</v>
      </c>
      <c r="C1985" t="s">
        <v>5662</v>
      </c>
      <c r="D1985" t="s">
        <v>17959</v>
      </c>
      <c r="E1985" t="s">
        <v>19877</v>
      </c>
      <c r="F1985" t="s">
        <v>30900</v>
      </c>
      <c r="G1985" t="s">
        <v>30907</v>
      </c>
      <c r="H1985" t="s">
        <v>30916</v>
      </c>
      <c r="I1985" t="s">
        <v>4142</v>
      </c>
      <c r="J1985" t="s">
        <v>32506</v>
      </c>
      <c r="K1985" t="s">
        <v>40283</v>
      </c>
      <c r="M1985" t="s">
        <v>41514</v>
      </c>
      <c r="N1985" t="s">
        <v>44759</v>
      </c>
      <c r="O1985" t="s">
        <v>44760</v>
      </c>
      <c r="P1985">
        <v>0</v>
      </c>
      <c r="Q1985">
        <v>1</v>
      </c>
      <c r="R1985" t="s">
        <v>44762</v>
      </c>
      <c r="S1985" t="s">
        <v>44863</v>
      </c>
      <c r="T1985" t="s">
        <v>46350</v>
      </c>
      <c r="U1985" t="s">
        <v>48263</v>
      </c>
      <c r="W1985" t="s">
        <v>41514</v>
      </c>
      <c r="X1985" t="s">
        <v>44763</v>
      </c>
    </row>
    <row r="1986" spans="1:24">
      <c r="A1986">
        <f>HYPERLINK("https://www.philgeps.gov.ph/GEPSNONPILOT/Tender/SplashBidNoticeAbstractUI.aspx?menuIndex=3&amp;refID=7151488&amp;Result=3","7151488")</f>
        <v>0</v>
      </c>
      <c r="B1986" t="s">
        <v>913</v>
      </c>
      <c r="C1986" t="s">
        <v>5663</v>
      </c>
      <c r="D1986" t="s">
        <v>17960</v>
      </c>
      <c r="E1986" t="s">
        <v>19878</v>
      </c>
      <c r="F1986" t="s">
        <v>30900</v>
      </c>
      <c r="G1986" t="s">
        <v>30907</v>
      </c>
      <c r="H1986" t="s">
        <v>30916</v>
      </c>
      <c r="I1986" t="s">
        <v>30939</v>
      </c>
      <c r="J1986" t="s">
        <v>32507</v>
      </c>
      <c r="K1986" t="s">
        <v>40283</v>
      </c>
      <c r="M1986" t="s">
        <v>41492</v>
      </c>
      <c r="N1986" t="s">
        <v>44759</v>
      </c>
      <c r="O1986" t="s">
        <v>44760</v>
      </c>
      <c r="P1986">
        <v>0</v>
      </c>
      <c r="Q1986">
        <v>0</v>
      </c>
      <c r="R1986" t="s">
        <v>44762</v>
      </c>
      <c r="S1986" t="s">
        <v>44863</v>
      </c>
      <c r="T1986" t="s">
        <v>46411</v>
      </c>
      <c r="U1986" t="s">
        <v>48672</v>
      </c>
      <c r="W1986" t="s">
        <v>41492</v>
      </c>
      <c r="X1986" t="s">
        <v>44763</v>
      </c>
    </row>
    <row r="1987" spans="1:24">
      <c r="A1987">
        <f>HYPERLINK("https://www.philgeps.gov.ph/GEPSNONPILOT/Tender/SplashBidNoticeAbstractUI.aspx?menuIndex=3&amp;refID=7151339&amp;Result=3","7151339")</f>
        <v>0</v>
      </c>
      <c r="B1987" t="s">
        <v>898</v>
      </c>
      <c r="C1987" t="s">
        <v>5664</v>
      </c>
      <c r="D1987" t="s">
        <v>17959</v>
      </c>
      <c r="E1987" t="s">
        <v>19879</v>
      </c>
      <c r="F1987" t="s">
        <v>30900</v>
      </c>
      <c r="G1987" t="s">
        <v>30908</v>
      </c>
      <c r="H1987" t="s">
        <v>30916</v>
      </c>
      <c r="I1987" t="s">
        <v>4108</v>
      </c>
      <c r="J1987" t="s">
        <v>31183</v>
      </c>
      <c r="K1987" t="s">
        <v>40287</v>
      </c>
      <c r="M1987" t="s">
        <v>41472</v>
      </c>
      <c r="N1987" t="s">
        <v>44759</v>
      </c>
      <c r="O1987" t="s">
        <v>44760</v>
      </c>
      <c r="P1987">
        <v>0</v>
      </c>
      <c r="Q1987">
        <v>1</v>
      </c>
      <c r="R1987" t="s">
        <v>44762</v>
      </c>
      <c r="S1987" t="s">
        <v>44863</v>
      </c>
      <c r="T1987" t="s">
        <v>46409</v>
      </c>
      <c r="U1987" t="s">
        <v>48626</v>
      </c>
      <c r="W1987" t="s">
        <v>41472</v>
      </c>
      <c r="X1987" t="s">
        <v>44763</v>
      </c>
    </row>
    <row r="1988" spans="1:24">
      <c r="A1988">
        <f>HYPERLINK("https://www.philgeps.gov.ph/GEPSNONPILOT/Tender/SplashBidNoticeAbstractUI.aspx?menuIndex=3&amp;refID=7151485&amp;Result=3","7151485")</f>
        <v>0</v>
      </c>
      <c r="B1988" t="s">
        <v>946</v>
      </c>
      <c r="C1988" t="s">
        <v>5665</v>
      </c>
      <c r="D1988" t="s">
        <v>18033</v>
      </c>
      <c r="E1988" t="s">
        <v>19880</v>
      </c>
      <c r="F1988" t="s">
        <v>30900</v>
      </c>
      <c r="G1988" t="s">
        <v>30907</v>
      </c>
      <c r="H1988" t="s">
        <v>30916</v>
      </c>
      <c r="I1988" t="s">
        <v>4108</v>
      </c>
      <c r="J1988" t="s">
        <v>31066</v>
      </c>
      <c r="K1988" t="s">
        <v>40286</v>
      </c>
      <c r="M1988" t="s">
        <v>41531</v>
      </c>
      <c r="N1988" t="s">
        <v>44759</v>
      </c>
      <c r="O1988" t="s">
        <v>44760</v>
      </c>
      <c r="P1988">
        <v>0</v>
      </c>
      <c r="Q1988">
        <v>0</v>
      </c>
      <c r="R1988" t="s">
        <v>44762</v>
      </c>
      <c r="S1988" t="s">
        <v>44863</v>
      </c>
      <c r="T1988" t="s">
        <v>46483</v>
      </c>
      <c r="U1988" t="s">
        <v>48673</v>
      </c>
      <c r="W1988" t="s">
        <v>41531</v>
      </c>
      <c r="X1988" t="s">
        <v>44763</v>
      </c>
    </row>
    <row r="1989" spans="1:24">
      <c r="A1989">
        <f>HYPERLINK("https://www.philgeps.gov.ph/GEPSNONPILOT/Tender/SplashBidNoticeAbstractUI.aspx?menuIndex=3&amp;refID=7151470&amp;Result=3","7151470")</f>
        <v>0</v>
      </c>
      <c r="B1989" t="s">
        <v>725</v>
      </c>
      <c r="C1989" t="s">
        <v>5666</v>
      </c>
      <c r="D1989" t="s">
        <v>18004</v>
      </c>
      <c r="E1989" t="s">
        <v>19881</v>
      </c>
      <c r="F1989" t="s">
        <v>30900</v>
      </c>
      <c r="G1989" t="s">
        <v>30907</v>
      </c>
      <c r="H1989" t="s">
        <v>30916</v>
      </c>
      <c r="I1989" t="s">
        <v>8044</v>
      </c>
      <c r="J1989" t="s">
        <v>32508</v>
      </c>
      <c r="K1989" t="s">
        <v>40284</v>
      </c>
      <c r="M1989" t="s">
        <v>41289</v>
      </c>
      <c r="N1989" t="s">
        <v>44759</v>
      </c>
      <c r="O1989" t="s">
        <v>44760</v>
      </c>
      <c r="P1989">
        <v>0</v>
      </c>
      <c r="Q1989">
        <v>0</v>
      </c>
      <c r="R1989" t="s">
        <v>44762</v>
      </c>
      <c r="S1989" t="s">
        <v>44863</v>
      </c>
      <c r="T1989" t="s">
        <v>46532</v>
      </c>
      <c r="U1989" t="s">
        <v>48295</v>
      </c>
      <c r="W1989" t="s">
        <v>41289</v>
      </c>
      <c r="X1989" t="s">
        <v>44763</v>
      </c>
    </row>
    <row r="1990" spans="1:24">
      <c r="A1990">
        <f>HYPERLINK("https://www.philgeps.gov.ph/GEPSNONPILOT/Tender/SplashBidNoticeAbstractUI.aspx?menuIndex=3&amp;refID=7151482&amp;Result=3","7151482")</f>
        <v>0</v>
      </c>
      <c r="B1990" t="s">
        <v>860</v>
      </c>
      <c r="C1990" t="s">
        <v>5667</v>
      </c>
      <c r="D1990" t="s">
        <v>17959</v>
      </c>
      <c r="E1990" t="s">
        <v>19882</v>
      </c>
      <c r="F1990" t="s">
        <v>30900</v>
      </c>
      <c r="G1990" t="s">
        <v>30907</v>
      </c>
      <c r="H1990" t="s">
        <v>30916</v>
      </c>
      <c r="I1990" t="s">
        <v>5830</v>
      </c>
      <c r="J1990" t="s">
        <v>32509</v>
      </c>
      <c r="K1990" t="s">
        <v>40289</v>
      </c>
      <c r="M1990" t="s">
        <v>41433</v>
      </c>
      <c r="N1990" t="s">
        <v>44759</v>
      </c>
      <c r="O1990" t="s">
        <v>44760</v>
      </c>
      <c r="P1990">
        <v>0</v>
      </c>
      <c r="Q1990">
        <v>5</v>
      </c>
      <c r="R1990" t="s">
        <v>44762</v>
      </c>
      <c r="S1990" t="s">
        <v>44863</v>
      </c>
      <c r="T1990" t="s">
        <v>46554</v>
      </c>
      <c r="U1990" t="s">
        <v>48674</v>
      </c>
      <c r="W1990" t="s">
        <v>41433</v>
      </c>
      <c r="X1990" t="s">
        <v>44763</v>
      </c>
    </row>
    <row r="1991" spans="1:24">
      <c r="A1991">
        <f>HYPERLINK("https://www.philgeps.gov.ph/GEPSNONPILOT/Tender/SplashBidNoticeAbstractUI.aspx?menuIndex=3&amp;refID=7151489&amp;Result=3","7151489")</f>
        <v>0</v>
      </c>
      <c r="B1991" t="s">
        <v>950</v>
      </c>
      <c r="C1991" t="s">
        <v>5668</v>
      </c>
      <c r="D1991" t="s">
        <v>17993</v>
      </c>
      <c r="E1991" t="s">
        <v>19883</v>
      </c>
      <c r="F1991" t="s">
        <v>30900</v>
      </c>
      <c r="G1991" t="s">
        <v>30908</v>
      </c>
      <c r="H1991" t="s">
        <v>30915</v>
      </c>
      <c r="I1991" t="s">
        <v>30919</v>
      </c>
      <c r="J1991" t="s">
        <v>31495</v>
      </c>
      <c r="K1991" t="s">
        <v>40344</v>
      </c>
      <c r="M1991" t="s">
        <v>41535</v>
      </c>
      <c r="N1991" t="s">
        <v>44759</v>
      </c>
      <c r="O1991" t="s">
        <v>44760</v>
      </c>
      <c r="P1991">
        <v>0</v>
      </c>
      <c r="Q1991">
        <v>0</v>
      </c>
      <c r="R1991" t="s">
        <v>44762</v>
      </c>
      <c r="S1991" t="s">
        <v>44863</v>
      </c>
      <c r="T1991" t="s">
        <v>46410</v>
      </c>
      <c r="U1991" t="s">
        <v>48675</v>
      </c>
      <c r="W1991" t="s">
        <v>41535</v>
      </c>
      <c r="X1991" t="s">
        <v>44763</v>
      </c>
    </row>
    <row r="1992" spans="1:24">
      <c r="A1992">
        <f>HYPERLINK("https://www.philgeps.gov.ph/GEPSNONPILOT/Tender/SplashBidNoticeAbstractUI.aspx?menuIndex=3&amp;refID=7151480&amp;Result=3","7151480")</f>
        <v>0</v>
      </c>
      <c r="B1992" t="s">
        <v>951</v>
      </c>
      <c r="C1992" t="s">
        <v>5669</v>
      </c>
      <c r="E1992" t="s">
        <v>19884</v>
      </c>
      <c r="F1992" t="s">
        <v>30900</v>
      </c>
      <c r="G1992" t="s">
        <v>30907</v>
      </c>
      <c r="H1992" t="s">
        <v>30916</v>
      </c>
      <c r="I1992" t="s">
        <v>4061</v>
      </c>
      <c r="J1992" t="s">
        <v>32510</v>
      </c>
      <c r="K1992" t="s">
        <v>40286</v>
      </c>
      <c r="M1992" t="s">
        <v>41536</v>
      </c>
      <c r="N1992" t="s">
        <v>44759</v>
      </c>
      <c r="O1992" t="s">
        <v>44760</v>
      </c>
      <c r="P1992">
        <v>0</v>
      </c>
      <c r="Q1992">
        <v>1</v>
      </c>
      <c r="R1992" t="s">
        <v>44762</v>
      </c>
      <c r="S1992" t="s">
        <v>44863</v>
      </c>
      <c r="T1992" t="s">
        <v>46566</v>
      </c>
      <c r="U1992" t="s">
        <v>48676</v>
      </c>
      <c r="V1992" t="s">
        <v>59337</v>
      </c>
      <c r="W1992" t="s">
        <v>41536</v>
      </c>
      <c r="X1992" t="s">
        <v>44763</v>
      </c>
    </row>
    <row r="1993" spans="1:24">
      <c r="A1993">
        <f>HYPERLINK("https://www.philgeps.gov.ph/GEPSNONPILOT/Tender/SplashBidNoticeAbstractUI.aspx?menuIndex=3&amp;refID=7151479&amp;Result=3","7151479")</f>
        <v>0</v>
      </c>
      <c r="B1993" t="s">
        <v>952</v>
      </c>
      <c r="C1993" t="s">
        <v>5670</v>
      </c>
      <c r="D1993" t="s">
        <v>17985</v>
      </c>
      <c r="E1993" t="s">
        <v>19885</v>
      </c>
      <c r="F1993" t="s">
        <v>30900</v>
      </c>
      <c r="G1993" t="s">
        <v>30909</v>
      </c>
      <c r="H1993" t="s">
        <v>30916</v>
      </c>
      <c r="I1993" t="s">
        <v>4108</v>
      </c>
      <c r="J1993" t="s">
        <v>32511</v>
      </c>
      <c r="K1993" t="s">
        <v>40289</v>
      </c>
      <c r="M1993" t="s">
        <v>41537</v>
      </c>
      <c r="N1993" t="s">
        <v>44759</v>
      </c>
      <c r="O1993" t="s">
        <v>44760</v>
      </c>
      <c r="P1993">
        <v>0</v>
      </c>
      <c r="Q1993">
        <v>1</v>
      </c>
      <c r="R1993" t="s">
        <v>44762</v>
      </c>
      <c r="S1993" t="s">
        <v>44863</v>
      </c>
      <c r="T1993" t="s">
        <v>46363</v>
      </c>
      <c r="U1993" t="s">
        <v>48677</v>
      </c>
      <c r="W1993" t="s">
        <v>41537</v>
      </c>
      <c r="X1993" t="s">
        <v>44763</v>
      </c>
    </row>
    <row r="1994" spans="1:24">
      <c r="A1994">
        <f>HYPERLINK("https://www.philgeps.gov.ph/GEPSNONPILOT/Tender/SplashBidNoticeAbstractUI.aspx?menuIndex=3&amp;refID=7151478&amp;Result=3","7151478")</f>
        <v>0</v>
      </c>
      <c r="B1994" t="s">
        <v>334</v>
      </c>
      <c r="C1994" t="s">
        <v>5671</v>
      </c>
      <c r="D1994" t="s">
        <v>17957</v>
      </c>
      <c r="E1994" t="s">
        <v>19886</v>
      </c>
      <c r="F1994" t="s">
        <v>30900</v>
      </c>
      <c r="G1994" t="s">
        <v>30908</v>
      </c>
      <c r="H1994" t="s">
        <v>30916</v>
      </c>
      <c r="I1994" t="s">
        <v>30927</v>
      </c>
      <c r="J1994" t="s">
        <v>32512</v>
      </c>
      <c r="K1994" t="s">
        <v>40291</v>
      </c>
      <c r="M1994" t="s">
        <v>40885</v>
      </c>
      <c r="N1994" t="s">
        <v>44759</v>
      </c>
      <c r="O1994" t="s">
        <v>44760</v>
      </c>
      <c r="P1994">
        <v>0</v>
      </c>
      <c r="Q1994">
        <v>0</v>
      </c>
      <c r="R1994" t="s">
        <v>44762</v>
      </c>
      <c r="S1994" t="s">
        <v>44863</v>
      </c>
      <c r="T1994" t="s">
        <v>46383</v>
      </c>
      <c r="U1994" t="s">
        <v>47475</v>
      </c>
      <c r="W1994" t="s">
        <v>40885</v>
      </c>
      <c r="X1994" t="s">
        <v>44763</v>
      </c>
    </row>
    <row r="1995" spans="1:24">
      <c r="A1995">
        <f>HYPERLINK("https://www.philgeps.gov.ph/GEPSNONPILOT/Tender/SplashBidNoticeAbstractUI.aspx?menuIndex=3&amp;refID=7151487&amp;Result=3","7151487")</f>
        <v>0</v>
      </c>
      <c r="B1995" t="s">
        <v>323</v>
      </c>
      <c r="C1995" t="s">
        <v>5672</v>
      </c>
      <c r="D1995" t="s">
        <v>17985</v>
      </c>
      <c r="E1995" t="s">
        <v>19887</v>
      </c>
      <c r="F1995" t="s">
        <v>30900</v>
      </c>
      <c r="G1995" t="s">
        <v>30908</v>
      </c>
      <c r="H1995" t="s">
        <v>30916</v>
      </c>
      <c r="I1995" t="s">
        <v>5879</v>
      </c>
      <c r="J1995" t="s">
        <v>32513</v>
      </c>
      <c r="K1995" t="s">
        <v>40286</v>
      </c>
      <c r="M1995" t="s">
        <v>40874</v>
      </c>
      <c r="N1995" t="s">
        <v>44759</v>
      </c>
      <c r="O1995" t="s">
        <v>44760</v>
      </c>
      <c r="P1995">
        <v>0</v>
      </c>
      <c r="Q1995">
        <v>0</v>
      </c>
      <c r="R1995" t="s">
        <v>44762</v>
      </c>
      <c r="S1995" t="s">
        <v>44863</v>
      </c>
      <c r="T1995" t="s">
        <v>46383</v>
      </c>
      <c r="U1995" t="s">
        <v>48678</v>
      </c>
      <c r="W1995" t="s">
        <v>40874</v>
      </c>
      <c r="X1995" t="s">
        <v>44763</v>
      </c>
    </row>
    <row r="1996" spans="1:24">
      <c r="A1996">
        <f>HYPERLINK("https://www.philgeps.gov.ph/GEPSNONPILOT/Tender/SplashBidNoticeAbstractUI.aspx?menuIndex=3&amp;refID=7151476&amp;Result=3","7151476")</f>
        <v>0</v>
      </c>
      <c r="B1996" t="s">
        <v>953</v>
      </c>
      <c r="C1996" t="s">
        <v>5673</v>
      </c>
      <c r="D1996" t="s">
        <v>17993</v>
      </c>
      <c r="E1996" t="s">
        <v>19888</v>
      </c>
      <c r="F1996" t="s">
        <v>30900</v>
      </c>
      <c r="G1996" t="s">
        <v>30908</v>
      </c>
      <c r="H1996" t="s">
        <v>30916</v>
      </c>
      <c r="I1996" t="s">
        <v>30941</v>
      </c>
      <c r="J1996" t="s">
        <v>32514</v>
      </c>
      <c r="K1996" t="s">
        <v>40289</v>
      </c>
      <c r="M1996" t="s">
        <v>41538</v>
      </c>
      <c r="N1996" t="s">
        <v>44759</v>
      </c>
      <c r="O1996" t="s">
        <v>44760</v>
      </c>
      <c r="P1996">
        <v>0</v>
      </c>
      <c r="Q1996">
        <v>2</v>
      </c>
      <c r="R1996" t="s">
        <v>44762</v>
      </c>
      <c r="S1996" t="s">
        <v>44863</v>
      </c>
      <c r="T1996" t="s">
        <v>46362</v>
      </c>
      <c r="U1996" t="s">
        <v>48679</v>
      </c>
      <c r="W1996" t="s">
        <v>41538</v>
      </c>
      <c r="X1996" t="s">
        <v>44763</v>
      </c>
    </row>
    <row r="1997" spans="1:24">
      <c r="A1997">
        <f>HYPERLINK("https://www.philgeps.gov.ph/GEPSNONPILOT/Tender/SplashBidNoticeAbstractUI.aspx?menuIndex=3&amp;refID=7151474&amp;Result=3","7151474")</f>
        <v>0</v>
      </c>
      <c r="B1997" t="s">
        <v>824</v>
      </c>
      <c r="C1997" t="s">
        <v>5674</v>
      </c>
      <c r="D1997" t="s">
        <v>17962</v>
      </c>
      <c r="E1997" t="s">
        <v>19842</v>
      </c>
      <c r="F1997" t="s">
        <v>30900</v>
      </c>
      <c r="G1997" t="s">
        <v>30908</v>
      </c>
      <c r="H1997" t="s">
        <v>30916</v>
      </c>
      <c r="I1997" t="s">
        <v>10834</v>
      </c>
      <c r="J1997" t="s">
        <v>31096</v>
      </c>
      <c r="K1997" t="s">
        <v>40286</v>
      </c>
      <c r="M1997" t="s">
        <v>41515</v>
      </c>
      <c r="N1997" t="s">
        <v>44759</v>
      </c>
      <c r="O1997" t="s">
        <v>44760</v>
      </c>
      <c r="P1997">
        <v>0</v>
      </c>
      <c r="Q1997">
        <v>0</v>
      </c>
      <c r="R1997" t="s">
        <v>44762</v>
      </c>
      <c r="S1997" t="s">
        <v>44863</v>
      </c>
      <c r="T1997" t="s">
        <v>46363</v>
      </c>
      <c r="U1997" t="s">
        <v>48680</v>
      </c>
      <c r="W1997" t="s">
        <v>41515</v>
      </c>
      <c r="X1997" t="s">
        <v>44763</v>
      </c>
    </row>
    <row r="1998" spans="1:24">
      <c r="A1998">
        <f>HYPERLINK("https://www.philgeps.gov.ph/GEPSNONPILOT/Tender/SplashBidNoticeAbstractUI.aspx?menuIndex=3&amp;refID=7151483&amp;Result=3","7151483")</f>
        <v>0</v>
      </c>
      <c r="B1998" t="s">
        <v>699</v>
      </c>
      <c r="C1998" t="s">
        <v>5675</v>
      </c>
      <c r="D1998" t="s">
        <v>18013</v>
      </c>
      <c r="E1998" t="s">
        <v>19889</v>
      </c>
      <c r="F1998" t="s">
        <v>30900</v>
      </c>
      <c r="G1998" t="s">
        <v>30909</v>
      </c>
      <c r="H1998" t="s">
        <v>30916</v>
      </c>
      <c r="I1998" t="s">
        <v>30921</v>
      </c>
      <c r="J1998" t="s">
        <v>32515</v>
      </c>
      <c r="K1998" t="s">
        <v>40289</v>
      </c>
      <c r="M1998" t="s">
        <v>41263</v>
      </c>
      <c r="N1998" t="s">
        <v>44759</v>
      </c>
      <c r="O1998" t="s">
        <v>44760</v>
      </c>
      <c r="P1998">
        <v>0</v>
      </c>
      <c r="Q1998">
        <v>5</v>
      </c>
      <c r="R1998" t="s">
        <v>44762</v>
      </c>
      <c r="S1998" t="s">
        <v>44863</v>
      </c>
      <c r="T1998" t="s">
        <v>46410</v>
      </c>
      <c r="U1998" t="s">
        <v>48681</v>
      </c>
      <c r="W1998" t="s">
        <v>41263</v>
      </c>
      <c r="X1998" t="s">
        <v>44763</v>
      </c>
    </row>
    <row r="1999" spans="1:24">
      <c r="A1999">
        <f>HYPERLINK("https://www.philgeps.gov.ph/GEPSNONPILOT/Tender/SplashBidNoticeAbstractUI.aspx?menuIndex=3&amp;refID=7151473&amp;Result=3","7151473")</f>
        <v>0</v>
      </c>
      <c r="B1999" t="s">
        <v>954</v>
      </c>
      <c r="C1999" t="s">
        <v>5676</v>
      </c>
      <c r="D1999" t="s">
        <v>17953</v>
      </c>
      <c r="E1999" t="s">
        <v>19890</v>
      </c>
      <c r="F1999" t="s">
        <v>30900</v>
      </c>
      <c r="G1999" t="s">
        <v>30909</v>
      </c>
      <c r="H1999" t="s">
        <v>30916</v>
      </c>
      <c r="I1999" t="s">
        <v>30938</v>
      </c>
      <c r="J1999" t="s">
        <v>32516</v>
      </c>
      <c r="K1999" t="s">
        <v>40285</v>
      </c>
      <c r="L1999" t="s">
        <v>954</v>
      </c>
      <c r="M1999" t="s">
        <v>41539</v>
      </c>
      <c r="N1999" t="s">
        <v>44759</v>
      </c>
      <c r="O1999" t="s">
        <v>44760</v>
      </c>
      <c r="P1999">
        <v>0</v>
      </c>
      <c r="Q1999">
        <v>0</v>
      </c>
      <c r="R1999" t="s">
        <v>44762</v>
      </c>
      <c r="S1999" t="s">
        <v>44863</v>
      </c>
      <c r="T1999" t="s">
        <v>46534</v>
      </c>
      <c r="U1999" t="s">
        <v>48682</v>
      </c>
      <c r="V1999" t="s">
        <v>59338</v>
      </c>
      <c r="W1999" t="s">
        <v>41539</v>
      </c>
      <c r="X1999" t="s">
        <v>44763</v>
      </c>
    </row>
    <row r="2000" spans="1:24">
      <c r="A2000">
        <f>HYPERLINK("https://www.philgeps.gov.ph/GEPSNONPILOT/Tender/SplashBidNoticeAbstractUI.aspx?menuIndex=3&amp;refID=7151472&amp;Result=3","7151472")</f>
        <v>0</v>
      </c>
      <c r="B2000" t="s">
        <v>918</v>
      </c>
      <c r="C2000" t="s">
        <v>5677</v>
      </c>
      <c r="D2000" t="s">
        <v>17959</v>
      </c>
      <c r="E2000" t="s">
        <v>19891</v>
      </c>
      <c r="F2000" t="s">
        <v>30900</v>
      </c>
      <c r="G2000" t="s">
        <v>30910</v>
      </c>
      <c r="H2000" t="s">
        <v>30916</v>
      </c>
      <c r="I2000" t="s">
        <v>4545</v>
      </c>
      <c r="J2000" t="s">
        <v>31112</v>
      </c>
      <c r="K2000" t="s">
        <v>40283</v>
      </c>
      <c r="M2000" t="s">
        <v>41507</v>
      </c>
      <c r="N2000" t="s">
        <v>44759</v>
      </c>
      <c r="O2000" t="s">
        <v>44760</v>
      </c>
      <c r="P2000">
        <v>0</v>
      </c>
      <c r="Q2000">
        <v>5</v>
      </c>
      <c r="R2000" t="s">
        <v>44762</v>
      </c>
      <c r="S2000" t="s">
        <v>44863</v>
      </c>
      <c r="T2000" t="s">
        <v>46414</v>
      </c>
      <c r="U2000" t="s">
        <v>48611</v>
      </c>
      <c r="W2000" t="s">
        <v>41507</v>
      </c>
      <c r="X2000" t="s">
        <v>44763</v>
      </c>
    </row>
    <row r="2001" spans="1:24">
      <c r="A2001">
        <f>HYPERLINK("https://www.philgeps.gov.ph/GEPSNONPILOT/Tender/SplashBidNoticeAbstractUI.aspx?menuIndex=3&amp;refID=7151481&amp;Result=3","7151481")</f>
        <v>0</v>
      </c>
      <c r="B2001" t="s">
        <v>955</v>
      </c>
      <c r="C2001" t="s">
        <v>5678</v>
      </c>
      <c r="D2001" t="s">
        <v>17990</v>
      </c>
      <c r="E2001" t="s">
        <v>19892</v>
      </c>
      <c r="F2001" t="s">
        <v>30900</v>
      </c>
      <c r="G2001" t="s">
        <v>30908</v>
      </c>
      <c r="H2001" t="s">
        <v>30916</v>
      </c>
      <c r="I2001" t="s">
        <v>4108</v>
      </c>
      <c r="J2001" t="s">
        <v>31518</v>
      </c>
      <c r="K2001" t="s">
        <v>40286</v>
      </c>
      <c r="M2001" t="s">
        <v>41540</v>
      </c>
      <c r="N2001" t="s">
        <v>44759</v>
      </c>
      <c r="O2001" t="s">
        <v>44760</v>
      </c>
      <c r="P2001">
        <v>0</v>
      </c>
      <c r="Q2001">
        <v>2</v>
      </c>
      <c r="R2001" t="s">
        <v>44762</v>
      </c>
      <c r="S2001" t="s">
        <v>44863</v>
      </c>
      <c r="T2001" t="s">
        <v>46404</v>
      </c>
      <c r="U2001" t="s">
        <v>48683</v>
      </c>
      <c r="W2001" t="s">
        <v>41540</v>
      </c>
      <c r="X2001" t="s">
        <v>44763</v>
      </c>
    </row>
    <row r="2002" spans="1:24">
      <c r="A2002">
        <f>HYPERLINK("https://www.philgeps.gov.ph/GEPSNONPILOT/Tender/SplashBidNoticeAbstractUI.aspx?menuIndex=3&amp;refID=7151445&amp;Result=3","7151445")</f>
        <v>0</v>
      </c>
      <c r="B2002" t="s">
        <v>932</v>
      </c>
      <c r="C2002" t="s">
        <v>5679</v>
      </c>
      <c r="D2002" t="s">
        <v>17959</v>
      </c>
      <c r="E2002" t="s">
        <v>19893</v>
      </c>
      <c r="F2002" t="s">
        <v>30900</v>
      </c>
      <c r="G2002" t="s">
        <v>30907</v>
      </c>
      <c r="H2002" t="s">
        <v>30916</v>
      </c>
      <c r="I2002" t="s">
        <v>4142</v>
      </c>
      <c r="J2002" t="s">
        <v>32517</v>
      </c>
      <c r="K2002" t="s">
        <v>40283</v>
      </c>
      <c r="M2002" t="s">
        <v>41514</v>
      </c>
      <c r="N2002" t="s">
        <v>44759</v>
      </c>
      <c r="O2002" t="s">
        <v>44760</v>
      </c>
      <c r="P2002">
        <v>0</v>
      </c>
      <c r="Q2002">
        <v>0</v>
      </c>
      <c r="R2002" t="s">
        <v>44762</v>
      </c>
      <c r="S2002" t="s">
        <v>44863</v>
      </c>
      <c r="T2002" t="s">
        <v>46350</v>
      </c>
      <c r="U2002" t="s">
        <v>48263</v>
      </c>
      <c r="W2002" t="s">
        <v>41514</v>
      </c>
      <c r="X2002" t="s">
        <v>44763</v>
      </c>
    </row>
    <row r="2003" spans="1:24">
      <c r="A2003">
        <f>HYPERLINK("https://www.philgeps.gov.ph/GEPSNONPILOT/Tender/SplashBidNoticeAbstractUI.aspx?menuIndex=3&amp;refID=7151273&amp;Result=3","7151273")</f>
        <v>0</v>
      </c>
      <c r="B2003" t="s">
        <v>858</v>
      </c>
      <c r="C2003" t="s">
        <v>5680</v>
      </c>
      <c r="D2003" t="s">
        <v>17977</v>
      </c>
      <c r="E2003" t="s">
        <v>19894</v>
      </c>
      <c r="F2003" t="s">
        <v>30900</v>
      </c>
      <c r="G2003" t="s">
        <v>30908</v>
      </c>
      <c r="H2003" t="s">
        <v>30916</v>
      </c>
      <c r="I2003" t="s">
        <v>4108</v>
      </c>
      <c r="J2003" t="s">
        <v>32204</v>
      </c>
      <c r="K2003" t="s">
        <v>40289</v>
      </c>
      <c r="M2003" t="s">
        <v>41431</v>
      </c>
      <c r="N2003" t="s">
        <v>44759</v>
      </c>
      <c r="O2003" t="s">
        <v>44760</v>
      </c>
      <c r="P2003">
        <v>0</v>
      </c>
      <c r="Q2003">
        <v>0</v>
      </c>
      <c r="R2003" t="s">
        <v>44762</v>
      </c>
      <c r="S2003" t="s">
        <v>44863</v>
      </c>
      <c r="T2003" t="s">
        <v>46410</v>
      </c>
      <c r="U2003" t="s">
        <v>48484</v>
      </c>
      <c r="W2003" t="s">
        <v>41431</v>
      </c>
      <c r="X2003" t="s">
        <v>44763</v>
      </c>
    </row>
    <row r="2004" spans="1:24">
      <c r="A2004">
        <f>HYPERLINK("https://www.philgeps.gov.ph/GEPSNONPILOT/Tender/SplashBidNoticeAbstractUI.aspx?menuIndex=3&amp;refID=7151271&amp;Result=3","7151271")</f>
        <v>0</v>
      </c>
      <c r="B2004" t="s">
        <v>568</v>
      </c>
      <c r="C2004" t="s">
        <v>5681</v>
      </c>
      <c r="D2004" t="s">
        <v>17981</v>
      </c>
      <c r="E2004" t="s">
        <v>19895</v>
      </c>
      <c r="F2004" t="s">
        <v>30900</v>
      </c>
      <c r="G2004" t="s">
        <v>30908</v>
      </c>
      <c r="H2004" t="s">
        <v>30916</v>
      </c>
      <c r="I2004" t="s">
        <v>30927</v>
      </c>
      <c r="J2004" t="s">
        <v>32518</v>
      </c>
      <c r="K2004" t="s">
        <v>40289</v>
      </c>
      <c r="M2004" t="s">
        <v>41129</v>
      </c>
      <c r="N2004" t="s">
        <v>44759</v>
      </c>
      <c r="O2004" t="s">
        <v>44760</v>
      </c>
      <c r="P2004">
        <v>0</v>
      </c>
      <c r="Q2004">
        <v>0</v>
      </c>
      <c r="R2004" t="s">
        <v>44762</v>
      </c>
      <c r="S2004" t="s">
        <v>44863</v>
      </c>
      <c r="T2004" t="s">
        <v>46357</v>
      </c>
      <c r="U2004" t="s">
        <v>48684</v>
      </c>
      <c r="W2004" t="s">
        <v>41129</v>
      </c>
      <c r="X2004" t="s">
        <v>44763</v>
      </c>
    </row>
    <row r="2005" spans="1:24">
      <c r="A2005">
        <f>HYPERLINK("https://www.philgeps.gov.ph/GEPSNONPILOT/Tender/SplashBidNoticeAbstractUI.aspx?menuIndex=3&amp;refID=7151460&amp;Result=3","7151460")</f>
        <v>0</v>
      </c>
      <c r="B2005" t="s">
        <v>839</v>
      </c>
      <c r="C2005" t="s">
        <v>5682</v>
      </c>
      <c r="E2005" t="s">
        <v>19896</v>
      </c>
      <c r="F2005" t="s">
        <v>30900</v>
      </c>
      <c r="G2005" t="s">
        <v>30907</v>
      </c>
      <c r="H2005" t="s">
        <v>30916</v>
      </c>
      <c r="I2005" t="s">
        <v>10847</v>
      </c>
      <c r="J2005" t="s">
        <v>32519</v>
      </c>
      <c r="K2005" t="s">
        <v>40289</v>
      </c>
      <c r="M2005" t="s">
        <v>41541</v>
      </c>
      <c r="N2005" t="s">
        <v>44759</v>
      </c>
      <c r="O2005" t="s">
        <v>44760</v>
      </c>
      <c r="P2005">
        <v>0</v>
      </c>
      <c r="Q2005">
        <v>1</v>
      </c>
      <c r="R2005" t="s">
        <v>44762</v>
      </c>
      <c r="S2005" t="s">
        <v>44863</v>
      </c>
      <c r="T2005" t="s">
        <v>46405</v>
      </c>
      <c r="U2005" t="s">
        <v>48685</v>
      </c>
      <c r="W2005" t="s">
        <v>41541</v>
      </c>
      <c r="X2005" t="s">
        <v>44763</v>
      </c>
    </row>
    <row r="2006" spans="1:24">
      <c r="A2006">
        <f>HYPERLINK("https://www.philgeps.gov.ph/GEPSNONPILOT/Tender/SplashBidNoticeAbstractUI.aspx?menuIndex=3&amp;refID=7151218&amp;Result=3","7151218")</f>
        <v>0</v>
      </c>
      <c r="B2006" t="s">
        <v>725</v>
      </c>
      <c r="C2006" t="s">
        <v>5683</v>
      </c>
      <c r="D2006" t="s">
        <v>18004</v>
      </c>
      <c r="E2006" t="s">
        <v>19897</v>
      </c>
      <c r="F2006" t="s">
        <v>30900</v>
      </c>
      <c r="G2006" t="s">
        <v>30907</v>
      </c>
      <c r="H2006" t="s">
        <v>30916</v>
      </c>
      <c r="I2006" t="s">
        <v>30936</v>
      </c>
      <c r="J2006" t="s">
        <v>31211</v>
      </c>
      <c r="K2006" t="s">
        <v>40284</v>
      </c>
      <c r="M2006" t="s">
        <v>41289</v>
      </c>
      <c r="N2006" t="s">
        <v>44759</v>
      </c>
      <c r="O2006" t="s">
        <v>44760</v>
      </c>
      <c r="P2006">
        <v>0</v>
      </c>
      <c r="Q2006">
        <v>0</v>
      </c>
      <c r="R2006" t="s">
        <v>44762</v>
      </c>
      <c r="S2006" t="s">
        <v>44863</v>
      </c>
      <c r="T2006" t="s">
        <v>46532</v>
      </c>
      <c r="U2006" t="s">
        <v>48686</v>
      </c>
      <c r="W2006" t="s">
        <v>41289</v>
      </c>
      <c r="X2006" t="s">
        <v>44763</v>
      </c>
    </row>
    <row r="2007" spans="1:24">
      <c r="A2007">
        <f>HYPERLINK("https://www.philgeps.gov.ph/GEPSNONPILOT/Tender/SplashBidNoticeAbstractUI.aspx?menuIndex=3&amp;refID=7151475&amp;Result=3","7151475")</f>
        <v>0</v>
      </c>
      <c r="B2007" t="s">
        <v>149</v>
      </c>
      <c r="C2007" t="s">
        <v>5684</v>
      </c>
      <c r="D2007" t="s">
        <v>18005</v>
      </c>
      <c r="E2007" t="s">
        <v>19898</v>
      </c>
      <c r="F2007" t="s">
        <v>30900</v>
      </c>
      <c r="G2007" t="s">
        <v>30907</v>
      </c>
      <c r="H2007" t="s">
        <v>30915</v>
      </c>
      <c r="I2007" t="s">
        <v>30919</v>
      </c>
      <c r="J2007" t="s">
        <v>32520</v>
      </c>
      <c r="K2007" t="s">
        <v>40300</v>
      </c>
      <c r="M2007" t="s">
        <v>40696</v>
      </c>
      <c r="N2007" t="s">
        <v>44759</v>
      </c>
      <c r="O2007" t="s">
        <v>44760</v>
      </c>
      <c r="P2007">
        <v>0</v>
      </c>
      <c r="Q2007">
        <v>0</v>
      </c>
      <c r="R2007" t="s">
        <v>44762</v>
      </c>
      <c r="S2007" t="s">
        <v>44863</v>
      </c>
      <c r="T2007" t="s">
        <v>46395</v>
      </c>
      <c r="U2007" t="s">
        <v>48687</v>
      </c>
      <c r="W2007" t="s">
        <v>40696</v>
      </c>
      <c r="X2007" t="s">
        <v>44763</v>
      </c>
    </row>
    <row r="2008" spans="1:24">
      <c r="A2008">
        <f>HYPERLINK("https://www.philgeps.gov.ph/GEPSNONPILOT/Tender/SplashBidNoticeAbstractUI.aspx?menuIndex=3&amp;refID=7151491&amp;Result=3","7151491")</f>
        <v>0</v>
      </c>
      <c r="B2008" t="s">
        <v>956</v>
      </c>
      <c r="C2008" t="s">
        <v>5405</v>
      </c>
      <c r="D2008" t="s">
        <v>17961</v>
      </c>
      <c r="F2008" t="s">
        <v>30900</v>
      </c>
      <c r="G2008" t="s">
        <v>30909</v>
      </c>
      <c r="H2008" t="s">
        <v>30916</v>
      </c>
      <c r="I2008" t="s">
        <v>6396</v>
      </c>
      <c r="J2008" t="s">
        <v>31135</v>
      </c>
      <c r="K2008" t="s">
        <v>40285</v>
      </c>
      <c r="M2008" t="s">
        <v>41542</v>
      </c>
      <c r="N2008" t="s">
        <v>44759</v>
      </c>
      <c r="O2008" t="s">
        <v>44760</v>
      </c>
      <c r="P2008">
        <v>0</v>
      </c>
      <c r="Q2008">
        <v>0</v>
      </c>
      <c r="R2008" t="s">
        <v>44762</v>
      </c>
      <c r="S2008" t="s">
        <v>44863</v>
      </c>
      <c r="T2008" t="s">
        <v>46398</v>
      </c>
      <c r="U2008" t="s">
        <v>48688</v>
      </c>
      <c r="W2008" t="s">
        <v>41542</v>
      </c>
      <c r="X2008" t="s">
        <v>44763</v>
      </c>
    </row>
    <row r="2009" spans="1:24">
      <c r="A2009">
        <f>HYPERLINK("https://www.philgeps.gov.ph/GEPSNONPILOT/Tender/SplashBidNoticeAbstractUI.aspx?menuIndex=3&amp;refID=7151494&amp;Result=3","7151494")</f>
        <v>0</v>
      </c>
      <c r="B2009" t="s">
        <v>957</v>
      </c>
      <c r="C2009" t="s">
        <v>5685</v>
      </c>
      <c r="D2009" t="s">
        <v>17959</v>
      </c>
      <c r="E2009" t="s">
        <v>19899</v>
      </c>
      <c r="F2009" t="s">
        <v>30900</v>
      </c>
      <c r="G2009" t="s">
        <v>30908</v>
      </c>
      <c r="H2009" t="s">
        <v>30916</v>
      </c>
      <c r="I2009" t="s">
        <v>30995</v>
      </c>
      <c r="J2009" t="s">
        <v>32521</v>
      </c>
      <c r="K2009" t="s">
        <v>40283</v>
      </c>
      <c r="M2009" t="s">
        <v>41543</v>
      </c>
      <c r="N2009" t="s">
        <v>44759</v>
      </c>
      <c r="O2009" t="s">
        <v>44760</v>
      </c>
      <c r="P2009">
        <v>0</v>
      </c>
      <c r="Q2009">
        <v>2</v>
      </c>
      <c r="R2009" t="s">
        <v>44762</v>
      </c>
      <c r="S2009" t="s">
        <v>44863</v>
      </c>
      <c r="T2009" t="s">
        <v>46363</v>
      </c>
      <c r="U2009" t="s">
        <v>48689</v>
      </c>
      <c r="V2009" t="s">
        <v>59339</v>
      </c>
      <c r="W2009" t="s">
        <v>41543</v>
      </c>
      <c r="X2009" t="s">
        <v>44763</v>
      </c>
    </row>
    <row r="2010" spans="1:24">
      <c r="A2010">
        <f>HYPERLINK("https://www.philgeps.gov.ph/GEPSNONPILOT/Tender/SplashBidNoticeAbstractUI.aspx?menuIndex=3&amp;refID=7151471&amp;Result=3","7151471")</f>
        <v>0</v>
      </c>
      <c r="B2010" t="s">
        <v>958</v>
      </c>
      <c r="C2010" t="s">
        <v>5686</v>
      </c>
      <c r="D2010" t="s">
        <v>17980</v>
      </c>
      <c r="E2010" t="s">
        <v>19900</v>
      </c>
      <c r="F2010" t="s">
        <v>30900</v>
      </c>
      <c r="G2010" t="s">
        <v>30907</v>
      </c>
      <c r="H2010" t="s">
        <v>30916</v>
      </c>
      <c r="I2010" t="s">
        <v>6746</v>
      </c>
      <c r="J2010" t="s">
        <v>32522</v>
      </c>
      <c r="K2010" t="s">
        <v>40289</v>
      </c>
      <c r="M2010" t="s">
        <v>41544</v>
      </c>
      <c r="N2010" t="s">
        <v>44759</v>
      </c>
      <c r="O2010" t="s">
        <v>44760</v>
      </c>
      <c r="P2010">
        <v>0</v>
      </c>
      <c r="Q2010">
        <v>0</v>
      </c>
      <c r="R2010" t="s">
        <v>44762</v>
      </c>
      <c r="S2010" t="s">
        <v>44863</v>
      </c>
      <c r="T2010" t="s">
        <v>46404</v>
      </c>
      <c r="U2010" t="s">
        <v>48690</v>
      </c>
      <c r="W2010" t="s">
        <v>41544</v>
      </c>
      <c r="X2010" t="s">
        <v>44763</v>
      </c>
    </row>
    <row r="2011" spans="1:24">
      <c r="A2011">
        <f>HYPERLINK("https://www.philgeps.gov.ph/GEPSNONPILOT/Tender/SplashBidNoticeAbstractUI.aspx?menuIndex=3&amp;refID=7151508&amp;Result=3","7151508")</f>
        <v>0</v>
      </c>
      <c r="B2011" t="s">
        <v>959</v>
      </c>
      <c r="C2011" t="s">
        <v>5687</v>
      </c>
      <c r="D2011" t="s">
        <v>17975</v>
      </c>
      <c r="E2011" t="s">
        <v>19901</v>
      </c>
      <c r="F2011" t="s">
        <v>30899</v>
      </c>
      <c r="G2011" t="s">
        <v>30907</v>
      </c>
      <c r="H2011" t="s">
        <v>30915</v>
      </c>
      <c r="I2011" t="s">
        <v>30919</v>
      </c>
      <c r="J2011" t="s">
        <v>32523</v>
      </c>
      <c r="K2011" t="s">
        <v>40312</v>
      </c>
      <c r="M2011" t="s">
        <v>41545</v>
      </c>
      <c r="N2011" t="s">
        <v>44759</v>
      </c>
      <c r="O2011" t="s">
        <v>44760</v>
      </c>
      <c r="P2011">
        <v>0</v>
      </c>
      <c r="Q2011">
        <v>2</v>
      </c>
      <c r="R2011" t="s">
        <v>44762</v>
      </c>
      <c r="S2011" t="s">
        <v>44863</v>
      </c>
      <c r="T2011" t="s">
        <v>46405</v>
      </c>
      <c r="U2011" t="s">
        <v>48691</v>
      </c>
      <c r="V2011" t="s">
        <v>59340</v>
      </c>
      <c r="W2011" t="s">
        <v>41545</v>
      </c>
      <c r="X2011" t="s">
        <v>44763</v>
      </c>
    </row>
    <row r="2012" spans="1:24">
      <c r="A2012">
        <f>HYPERLINK("https://www.philgeps.gov.ph/GEPSNONPILOT/Tender/SplashBidNoticeAbstractUI.aspx?menuIndex=3&amp;refID=7151515&amp;Result=3","7151515")</f>
        <v>0</v>
      </c>
      <c r="B2012" t="s">
        <v>960</v>
      </c>
      <c r="C2012" t="s">
        <v>5688</v>
      </c>
      <c r="D2012" t="s">
        <v>17963</v>
      </c>
      <c r="E2012" t="s">
        <v>18282</v>
      </c>
      <c r="F2012" t="s">
        <v>30900</v>
      </c>
      <c r="G2012" t="s">
        <v>30909</v>
      </c>
      <c r="H2012" t="s">
        <v>30916</v>
      </c>
      <c r="I2012" t="s">
        <v>30935</v>
      </c>
      <c r="J2012" t="s">
        <v>31183</v>
      </c>
      <c r="K2012" t="s">
        <v>40289</v>
      </c>
      <c r="M2012" t="s">
        <v>41546</v>
      </c>
      <c r="N2012" t="s">
        <v>44759</v>
      </c>
      <c r="O2012" t="s">
        <v>44760</v>
      </c>
      <c r="P2012">
        <v>0</v>
      </c>
      <c r="Q2012">
        <v>1</v>
      </c>
      <c r="R2012" t="s">
        <v>44762</v>
      </c>
      <c r="S2012" t="s">
        <v>44863</v>
      </c>
      <c r="T2012" t="s">
        <v>46414</v>
      </c>
      <c r="U2012" t="s">
        <v>48692</v>
      </c>
      <c r="W2012" t="s">
        <v>41546</v>
      </c>
      <c r="X2012" t="s">
        <v>44763</v>
      </c>
    </row>
    <row r="2013" spans="1:24">
      <c r="A2013">
        <f>HYPERLINK("https://www.philgeps.gov.ph/GEPSNONPILOT/Tender/SplashBidNoticeAbstractUI.aspx?menuIndex=3&amp;refID=7151272&amp;Result=3","7151272")</f>
        <v>0</v>
      </c>
      <c r="B2013" t="s">
        <v>838</v>
      </c>
      <c r="C2013" t="s">
        <v>5689</v>
      </c>
      <c r="D2013" t="s">
        <v>17975</v>
      </c>
      <c r="E2013" t="s">
        <v>18420</v>
      </c>
      <c r="F2013" t="s">
        <v>30900</v>
      </c>
      <c r="G2013" t="s">
        <v>30908</v>
      </c>
      <c r="H2013" t="s">
        <v>30915</v>
      </c>
      <c r="I2013" t="s">
        <v>30919</v>
      </c>
      <c r="J2013" t="s">
        <v>31310</v>
      </c>
      <c r="K2013" t="s">
        <v>40286</v>
      </c>
      <c r="M2013" t="s">
        <v>41411</v>
      </c>
      <c r="N2013" t="s">
        <v>44759</v>
      </c>
      <c r="O2013" t="s">
        <v>44760</v>
      </c>
      <c r="P2013">
        <v>0</v>
      </c>
      <c r="Q2013">
        <v>0</v>
      </c>
      <c r="R2013" t="s">
        <v>44762</v>
      </c>
      <c r="S2013" t="s">
        <v>44863</v>
      </c>
      <c r="T2013" t="s">
        <v>46414</v>
      </c>
      <c r="U2013" t="s">
        <v>48693</v>
      </c>
      <c r="W2013" t="s">
        <v>41411</v>
      </c>
      <c r="X2013" t="s">
        <v>44763</v>
      </c>
    </row>
    <row r="2014" spans="1:24">
      <c r="A2014">
        <f>HYPERLINK("https://www.philgeps.gov.ph/GEPSNONPILOT/Tender/SplashBidNoticeAbstractUI.aspx?menuIndex=3&amp;refID=7151512&amp;Result=3","7151512")</f>
        <v>0</v>
      </c>
      <c r="B2014" t="s">
        <v>958</v>
      </c>
      <c r="C2014" t="s">
        <v>5690</v>
      </c>
      <c r="D2014" t="s">
        <v>17980</v>
      </c>
      <c r="E2014" t="s">
        <v>19902</v>
      </c>
      <c r="F2014" t="s">
        <v>30900</v>
      </c>
      <c r="G2014" t="s">
        <v>30907</v>
      </c>
      <c r="H2014" t="s">
        <v>30916</v>
      </c>
      <c r="I2014" t="s">
        <v>30922</v>
      </c>
      <c r="J2014" t="s">
        <v>32524</v>
      </c>
      <c r="K2014" t="s">
        <v>40289</v>
      </c>
      <c r="M2014" t="s">
        <v>41544</v>
      </c>
      <c r="N2014" t="s">
        <v>44759</v>
      </c>
      <c r="O2014" t="s">
        <v>44760</v>
      </c>
      <c r="P2014">
        <v>0</v>
      </c>
      <c r="Q2014">
        <v>0</v>
      </c>
      <c r="R2014" t="s">
        <v>44762</v>
      </c>
      <c r="S2014" t="s">
        <v>44863</v>
      </c>
      <c r="T2014" t="s">
        <v>46404</v>
      </c>
      <c r="U2014" t="s">
        <v>48694</v>
      </c>
      <c r="W2014" t="s">
        <v>41544</v>
      </c>
      <c r="X2014" t="s">
        <v>44763</v>
      </c>
    </row>
    <row r="2015" spans="1:24">
      <c r="A2015">
        <f>HYPERLINK("https://www.philgeps.gov.ph/GEPSNONPILOT/Tender/SplashBidNoticeAbstractUI.aspx?menuIndex=3&amp;refID=7151511&amp;Result=3","7151511")</f>
        <v>0</v>
      </c>
      <c r="B2015" t="s">
        <v>836</v>
      </c>
      <c r="C2015" t="s">
        <v>5691</v>
      </c>
      <c r="D2015" t="s">
        <v>17952</v>
      </c>
      <c r="E2015" t="s">
        <v>19903</v>
      </c>
      <c r="F2015" t="s">
        <v>30900</v>
      </c>
      <c r="G2015" t="s">
        <v>30908</v>
      </c>
      <c r="H2015" t="s">
        <v>30916</v>
      </c>
      <c r="I2015" t="s">
        <v>30919</v>
      </c>
      <c r="J2015" t="s">
        <v>32525</v>
      </c>
      <c r="K2015" t="s">
        <v>40280</v>
      </c>
      <c r="M2015" t="s">
        <v>41409</v>
      </c>
      <c r="N2015" t="s">
        <v>44759</v>
      </c>
      <c r="O2015" t="s">
        <v>44760</v>
      </c>
      <c r="P2015">
        <v>0</v>
      </c>
      <c r="Q2015">
        <v>1</v>
      </c>
      <c r="R2015" t="s">
        <v>44762</v>
      </c>
      <c r="S2015" t="s">
        <v>44863</v>
      </c>
      <c r="T2015" t="s">
        <v>46547</v>
      </c>
      <c r="U2015" t="s">
        <v>48695</v>
      </c>
      <c r="W2015" t="s">
        <v>41409</v>
      </c>
      <c r="X2015" t="s">
        <v>44763</v>
      </c>
    </row>
    <row r="2016" spans="1:24">
      <c r="A2016">
        <f>HYPERLINK("https://www.philgeps.gov.ph/GEPSNONPILOT/Tender/SplashBidNoticeAbstractUI.aspx?menuIndex=3&amp;refID=7151510&amp;Result=3","7151510")</f>
        <v>0</v>
      </c>
      <c r="B2016" t="s">
        <v>918</v>
      </c>
      <c r="C2016" t="s">
        <v>5692</v>
      </c>
      <c r="D2016" t="s">
        <v>17959</v>
      </c>
      <c r="E2016" t="s">
        <v>19904</v>
      </c>
      <c r="F2016" t="s">
        <v>30900</v>
      </c>
      <c r="G2016" t="s">
        <v>30910</v>
      </c>
      <c r="H2016" t="s">
        <v>30916</v>
      </c>
      <c r="I2016" t="s">
        <v>6396</v>
      </c>
      <c r="J2016" t="s">
        <v>32526</v>
      </c>
      <c r="K2016" t="s">
        <v>40286</v>
      </c>
      <c r="M2016" t="s">
        <v>41507</v>
      </c>
      <c r="N2016" t="s">
        <v>44759</v>
      </c>
      <c r="O2016" t="s">
        <v>44760</v>
      </c>
      <c r="P2016">
        <v>0</v>
      </c>
      <c r="Q2016">
        <v>2</v>
      </c>
      <c r="R2016" t="s">
        <v>44762</v>
      </c>
      <c r="S2016" t="s">
        <v>44863</v>
      </c>
      <c r="T2016" t="s">
        <v>46414</v>
      </c>
      <c r="U2016" t="s">
        <v>48611</v>
      </c>
      <c r="W2016" t="s">
        <v>41507</v>
      </c>
      <c r="X2016" t="s">
        <v>44763</v>
      </c>
    </row>
    <row r="2017" spans="1:24">
      <c r="A2017">
        <f>HYPERLINK("https://www.philgeps.gov.ph/GEPSNONPILOT/Tender/SplashBidNoticeAbstractUI.aspx?menuIndex=3&amp;refID=7151509&amp;Result=3","7151509")</f>
        <v>0</v>
      </c>
      <c r="B2017" t="s">
        <v>248</v>
      </c>
      <c r="C2017" t="s">
        <v>5693</v>
      </c>
      <c r="D2017" t="s">
        <v>17966</v>
      </c>
      <c r="E2017" t="s">
        <v>19905</v>
      </c>
      <c r="F2017" t="s">
        <v>30900</v>
      </c>
      <c r="G2017" t="s">
        <v>30907</v>
      </c>
      <c r="H2017" t="s">
        <v>30916</v>
      </c>
      <c r="I2017" t="s">
        <v>5830</v>
      </c>
      <c r="J2017" t="s">
        <v>32527</v>
      </c>
      <c r="K2017" t="s">
        <v>40286</v>
      </c>
      <c r="M2017" t="s">
        <v>40795</v>
      </c>
      <c r="N2017" t="s">
        <v>44759</v>
      </c>
      <c r="O2017" t="s">
        <v>44760</v>
      </c>
      <c r="P2017">
        <v>0</v>
      </c>
      <c r="Q2017">
        <v>2</v>
      </c>
      <c r="R2017" t="s">
        <v>44762</v>
      </c>
      <c r="S2017" t="s">
        <v>44863</v>
      </c>
      <c r="T2017" t="s">
        <v>46380</v>
      </c>
      <c r="U2017" t="s">
        <v>48696</v>
      </c>
      <c r="W2017" t="s">
        <v>40795</v>
      </c>
      <c r="X2017" t="s">
        <v>44763</v>
      </c>
    </row>
    <row r="2018" spans="1:24">
      <c r="A2018">
        <f>HYPERLINK("https://www.philgeps.gov.ph/GEPSNONPILOT/Tender/SplashBidNoticeAbstractUI.aspx?menuIndex=3&amp;refID=7151506&amp;Result=3","7151506")</f>
        <v>0</v>
      </c>
      <c r="B2018" t="s">
        <v>780</v>
      </c>
      <c r="C2018" t="s">
        <v>5694</v>
      </c>
      <c r="D2018" t="s">
        <v>18032</v>
      </c>
      <c r="E2018" t="s">
        <v>19906</v>
      </c>
      <c r="F2018" t="s">
        <v>30900</v>
      </c>
      <c r="G2018" t="s">
        <v>30910</v>
      </c>
      <c r="H2018" t="s">
        <v>30916</v>
      </c>
      <c r="I2018" t="s">
        <v>30922</v>
      </c>
      <c r="J2018" t="s">
        <v>32528</v>
      </c>
      <c r="K2018" t="s">
        <v>40286</v>
      </c>
      <c r="M2018" t="s">
        <v>41349</v>
      </c>
      <c r="N2018" t="s">
        <v>44759</v>
      </c>
      <c r="O2018" t="s">
        <v>44760</v>
      </c>
      <c r="P2018">
        <v>0</v>
      </c>
      <c r="Q2018">
        <v>7</v>
      </c>
      <c r="R2018" t="s">
        <v>44762</v>
      </c>
      <c r="S2018" t="s">
        <v>44863</v>
      </c>
      <c r="T2018" t="s">
        <v>46425</v>
      </c>
      <c r="U2018" t="s">
        <v>48697</v>
      </c>
      <c r="W2018" t="s">
        <v>41349</v>
      </c>
      <c r="X2018" t="s">
        <v>44763</v>
      </c>
    </row>
    <row r="2019" spans="1:24">
      <c r="A2019">
        <f>HYPERLINK("https://www.philgeps.gov.ph/GEPSNONPILOT/Tender/SplashBidNoticeAbstractUI.aspx?menuIndex=3&amp;refID=7151217&amp;Result=3","7151217")</f>
        <v>0</v>
      </c>
      <c r="B2019" t="s">
        <v>773</v>
      </c>
      <c r="C2019" t="s">
        <v>5695</v>
      </c>
      <c r="D2019" t="s">
        <v>17988</v>
      </c>
      <c r="E2019" t="s">
        <v>19907</v>
      </c>
      <c r="F2019" t="s">
        <v>30900</v>
      </c>
      <c r="G2019" t="s">
        <v>30909</v>
      </c>
      <c r="H2019" t="s">
        <v>30916</v>
      </c>
      <c r="I2019" t="s">
        <v>30933</v>
      </c>
      <c r="J2019" t="s">
        <v>31635</v>
      </c>
      <c r="K2019" t="s">
        <v>40289</v>
      </c>
      <c r="M2019" t="s">
        <v>41341</v>
      </c>
      <c r="N2019" t="s">
        <v>44759</v>
      </c>
      <c r="O2019" t="s">
        <v>44760</v>
      </c>
      <c r="P2019">
        <v>0</v>
      </c>
      <c r="Q2019">
        <v>0</v>
      </c>
      <c r="R2019" t="s">
        <v>44762</v>
      </c>
      <c r="S2019" t="s">
        <v>44863</v>
      </c>
      <c r="T2019" t="s">
        <v>46374</v>
      </c>
      <c r="U2019" t="s">
        <v>48698</v>
      </c>
      <c r="W2019" t="s">
        <v>41341</v>
      </c>
      <c r="X2019" t="s">
        <v>44763</v>
      </c>
    </row>
    <row r="2020" spans="1:24">
      <c r="A2020">
        <f>HYPERLINK("https://www.philgeps.gov.ph/GEPSNONPILOT/Tender/SplashBidNoticeAbstractUI.aspx?menuIndex=3&amp;refID=7151505&amp;Result=3","7151505")</f>
        <v>0</v>
      </c>
      <c r="B2020" t="s">
        <v>681</v>
      </c>
      <c r="C2020" t="s">
        <v>5696</v>
      </c>
      <c r="D2020" t="s">
        <v>17982</v>
      </c>
      <c r="E2020" t="s">
        <v>18935</v>
      </c>
      <c r="F2020" t="s">
        <v>30900</v>
      </c>
      <c r="G2020" t="s">
        <v>30907</v>
      </c>
      <c r="H2020" t="s">
        <v>30916</v>
      </c>
      <c r="I2020" t="s">
        <v>8123</v>
      </c>
      <c r="J2020" t="s">
        <v>32529</v>
      </c>
      <c r="K2020" t="s">
        <v>40286</v>
      </c>
      <c r="M2020" t="s">
        <v>41244</v>
      </c>
      <c r="N2020" t="s">
        <v>44759</v>
      </c>
      <c r="O2020" t="s">
        <v>44760</v>
      </c>
      <c r="P2020">
        <v>0</v>
      </c>
      <c r="Q2020">
        <v>0</v>
      </c>
      <c r="R2020" t="s">
        <v>44762</v>
      </c>
      <c r="S2020" t="s">
        <v>44863</v>
      </c>
      <c r="T2020" t="s">
        <v>46455</v>
      </c>
      <c r="U2020" t="s">
        <v>48699</v>
      </c>
      <c r="V2020" t="s">
        <v>59341</v>
      </c>
      <c r="W2020" t="s">
        <v>41244</v>
      </c>
      <c r="X2020" t="s">
        <v>44763</v>
      </c>
    </row>
    <row r="2021" spans="1:24">
      <c r="A2021">
        <f>HYPERLINK("https://www.philgeps.gov.ph/GEPSNONPILOT/Tender/SplashBidNoticeAbstractUI.aspx?menuIndex=3&amp;refID=7151198&amp;Result=3","7151198")</f>
        <v>0</v>
      </c>
      <c r="B2021" t="s">
        <v>773</v>
      </c>
      <c r="C2021" t="s">
        <v>5697</v>
      </c>
      <c r="D2021" t="s">
        <v>17988</v>
      </c>
      <c r="E2021" t="s">
        <v>19908</v>
      </c>
      <c r="F2021" t="s">
        <v>30900</v>
      </c>
      <c r="G2021" t="s">
        <v>30909</v>
      </c>
      <c r="H2021" t="s">
        <v>30916</v>
      </c>
      <c r="I2021" t="s">
        <v>30928</v>
      </c>
      <c r="J2021" t="s">
        <v>32530</v>
      </c>
      <c r="K2021" t="s">
        <v>40289</v>
      </c>
      <c r="M2021" t="s">
        <v>41341</v>
      </c>
      <c r="N2021" t="s">
        <v>44759</v>
      </c>
      <c r="O2021" t="s">
        <v>44760</v>
      </c>
      <c r="P2021">
        <v>0</v>
      </c>
      <c r="Q2021">
        <v>1</v>
      </c>
      <c r="R2021" t="s">
        <v>44762</v>
      </c>
      <c r="S2021" t="s">
        <v>44863</v>
      </c>
      <c r="T2021" t="s">
        <v>46374</v>
      </c>
      <c r="U2021" t="s">
        <v>48700</v>
      </c>
      <c r="W2021" t="s">
        <v>41341</v>
      </c>
      <c r="X2021" t="s">
        <v>44763</v>
      </c>
    </row>
    <row r="2022" spans="1:24">
      <c r="A2022">
        <f>HYPERLINK("https://www.philgeps.gov.ph/GEPSNONPILOT/Tender/SplashBidNoticeAbstractUI.aspx?menuIndex=3&amp;refID=7151504&amp;Result=3","7151504")</f>
        <v>0</v>
      </c>
      <c r="B2022" t="s">
        <v>961</v>
      </c>
      <c r="C2022" t="s">
        <v>5698</v>
      </c>
      <c r="D2022" t="s">
        <v>17952</v>
      </c>
      <c r="E2022" t="s">
        <v>19909</v>
      </c>
      <c r="F2022" t="s">
        <v>30900</v>
      </c>
      <c r="G2022" t="s">
        <v>30908</v>
      </c>
      <c r="H2022" t="s">
        <v>30916</v>
      </c>
      <c r="I2022" t="s">
        <v>4108</v>
      </c>
      <c r="J2022" t="s">
        <v>31297</v>
      </c>
      <c r="K2022" t="s">
        <v>40289</v>
      </c>
      <c r="M2022" t="s">
        <v>41547</v>
      </c>
      <c r="N2022" t="s">
        <v>44759</v>
      </c>
      <c r="O2022" t="s">
        <v>44760</v>
      </c>
      <c r="P2022">
        <v>0</v>
      </c>
      <c r="Q2022">
        <v>1</v>
      </c>
      <c r="R2022" t="s">
        <v>44762</v>
      </c>
      <c r="S2022" t="s">
        <v>44863</v>
      </c>
      <c r="T2022" t="s">
        <v>46390</v>
      </c>
      <c r="U2022" t="s">
        <v>48701</v>
      </c>
      <c r="W2022" t="s">
        <v>41547</v>
      </c>
      <c r="X2022" t="s">
        <v>44763</v>
      </c>
    </row>
    <row r="2023" spans="1:24">
      <c r="A2023">
        <f>HYPERLINK("https://www.philgeps.gov.ph/GEPSNONPILOT/Tender/SplashBidNoticeAbstractUI.aspx?menuIndex=3&amp;refID=7151503&amp;Result=3","7151503")</f>
        <v>0</v>
      </c>
      <c r="B2023" t="s">
        <v>953</v>
      </c>
      <c r="C2023" t="s">
        <v>5699</v>
      </c>
      <c r="E2023" t="s">
        <v>19910</v>
      </c>
      <c r="F2023" t="s">
        <v>30900</v>
      </c>
      <c r="G2023" t="s">
        <v>30908</v>
      </c>
      <c r="H2023" t="s">
        <v>30917</v>
      </c>
      <c r="I2023" t="s">
        <v>30957</v>
      </c>
      <c r="J2023" t="s">
        <v>31495</v>
      </c>
      <c r="K2023" t="s">
        <v>40291</v>
      </c>
      <c r="M2023" t="s">
        <v>41538</v>
      </c>
      <c r="N2023" t="s">
        <v>44759</v>
      </c>
      <c r="O2023" t="s">
        <v>44760</v>
      </c>
      <c r="P2023">
        <v>0</v>
      </c>
      <c r="Q2023">
        <v>1</v>
      </c>
      <c r="R2023" t="s">
        <v>44762</v>
      </c>
      <c r="S2023" t="s">
        <v>44863</v>
      </c>
      <c r="T2023" t="s">
        <v>46362</v>
      </c>
      <c r="U2023" t="s">
        <v>48679</v>
      </c>
      <c r="W2023" t="s">
        <v>41538</v>
      </c>
      <c r="X2023" t="s">
        <v>44763</v>
      </c>
    </row>
    <row r="2024" spans="1:24">
      <c r="A2024">
        <f>HYPERLINK("https://www.philgeps.gov.ph/GEPSNONPILOT/Tender/SplashBidNoticeAbstractUI.aspx?menuIndex=3&amp;refID=7151501&amp;Result=3","7151501")</f>
        <v>0</v>
      </c>
      <c r="B2024" t="s">
        <v>952</v>
      </c>
      <c r="C2024" t="s">
        <v>5700</v>
      </c>
      <c r="D2024" t="s">
        <v>17985</v>
      </c>
      <c r="E2024" t="s">
        <v>19911</v>
      </c>
      <c r="F2024" t="s">
        <v>30900</v>
      </c>
      <c r="G2024" t="s">
        <v>30909</v>
      </c>
      <c r="H2024" t="s">
        <v>30916</v>
      </c>
      <c r="I2024" t="s">
        <v>8123</v>
      </c>
      <c r="J2024" t="s">
        <v>32531</v>
      </c>
      <c r="K2024" t="s">
        <v>40289</v>
      </c>
      <c r="M2024" t="s">
        <v>41537</v>
      </c>
      <c r="N2024" t="s">
        <v>44759</v>
      </c>
      <c r="O2024" t="s">
        <v>44760</v>
      </c>
      <c r="P2024">
        <v>0</v>
      </c>
      <c r="Q2024">
        <v>0</v>
      </c>
      <c r="R2024" t="s">
        <v>44762</v>
      </c>
      <c r="S2024" t="s">
        <v>44863</v>
      </c>
      <c r="T2024" t="s">
        <v>46363</v>
      </c>
      <c r="U2024" t="s">
        <v>48702</v>
      </c>
      <c r="W2024" t="s">
        <v>41537</v>
      </c>
      <c r="X2024" t="s">
        <v>44763</v>
      </c>
    </row>
    <row r="2025" spans="1:24">
      <c r="A2025">
        <f>HYPERLINK("https://www.philgeps.gov.ph/GEPSNONPILOT/Tender/SplashBidNoticeAbstractUI.aspx?menuIndex=3&amp;refID=7151500&amp;Result=3","7151500")</f>
        <v>0</v>
      </c>
      <c r="B2025" t="s">
        <v>918</v>
      </c>
      <c r="C2025" t="s">
        <v>5701</v>
      </c>
      <c r="D2025" t="s">
        <v>17959</v>
      </c>
      <c r="E2025" t="s">
        <v>19912</v>
      </c>
      <c r="F2025" t="s">
        <v>30900</v>
      </c>
      <c r="G2025" t="s">
        <v>30908</v>
      </c>
      <c r="H2025" t="s">
        <v>30916</v>
      </c>
      <c r="I2025" t="s">
        <v>4545</v>
      </c>
      <c r="J2025" t="s">
        <v>32532</v>
      </c>
      <c r="K2025" t="s">
        <v>40286</v>
      </c>
      <c r="M2025" t="s">
        <v>41497</v>
      </c>
      <c r="N2025" t="s">
        <v>44759</v>
      </c>
      <c r="O2025" t="s">
        <v>44760</v>
      </c>
      <c r="P2025">
        <v>0</v>
      </c>
      <c r="Q2025">
        <v>3</v>
      </c>
      <c r="R2025" t="s">
        <v>44762</v>
      </c>
      <c r="S2025" t="s">
        <v>44863</v>
      </c>
      <c r="T2025" t="s">
        <v>46414</v>
      </c>
      <c r="U2025" t="s">
        <v>48703</v>
      </c>
      <c r="W2025" t="s">
        <v>41497</v>
      </c>
      <c r="X2025" t="s">
        <v>44763</v>
      </c>
    </row>
    <row r="2026" spans="1:24">
      <c r="A2026">
        <f>HYPERLINK("https://www.philgeps.gov.ph/GEPSNONPILOT/Tender/SplashBidNoticeAbstractUI.aspx?menuIndex=3&amp;refID=7151499&amp;Result=3","7151499")</f>
        <v>0</v>
      </c>
      <c r="B2026" t="s">
        <v>166</v>
      </c>
      <c r="C2026" t="s">
        <v>5702</v>
      </c>
      <c r="D2026" t="s">
        <v>17981</v>
      </c>
      <c r="E2026" t="s">
        <v>19913</v>
      </c>
      <c r="F2026" t="s">
        <v>30900</v>
      </c>
      <c r="G2026" t="s">
        <v>30908</v>
      </c>
      <c r="H2026" t="s">
        <v>30916</v>
      </c>
      <c r="I2026" t="s">
        <v>30955</v>
      </c>
      <c r="J2026" t="s">
        <v>31082</v>
      </c>
      <c r="K2026" t="s">
        <v>40289</v>
      </c>
      <c r="M2026" t="s">
        <v>40713</v>
      </c>
      <c r="N2026" t="s">
        <v>44759</v>
      </c>
      <c r="O2026" t="s">
        <v>44760</v>
      </c>
      <c r="P2026">
        <v>0</v>
      </c>
      <c r="Q2026">
        <v>3</v>
      </c>
      <c r="R2026" t="s">
        <v>44762</v>
      </c>
      <c r="S2026" t="s">
        <v>44863</v>
      </c>
      <c r="T2026" t="s">
        <v>46383</v>
      </c>
      <c r="U2026" t="s">
        <v>48704</v>
      </c>
      <c r="W2026" t="s">
        <v>40713</v>
      </c>
      <c r="X2026" t="s">
        <v>44763</v>
      </c>
    </row>
    <row r="2027" spans="1:24">
      <c r="A2027">
        <f>HYPERLINK("https://www.philgeps.gov.ph/GEPSNONPILOT/Tender/SplashBidNoticeAbstractUI.aspx?menuIndex=3&amp;refID=7151498&amp;Result=3","7151498")</f>
        <v>0</v>
      </c>
      <c r="B2027" t="s">
        <v>832</v>
      </c>
      <c r="C2027" t="s">
        <v>5388</v>
      </c>
      <c r="D2027" t="s">
        <v>18025</v>
      </c>
      <c r="E2027" t="s">
        <v>19914</v>
      </c>
      <c r="F2027" t="s">
        <v>30900</v>
      </c>
      <c r="G2027" t="s">
        <v>30908</v>
      </c>
      <c r="H2027" t="s">
        <v>30916</v>
      </c>
      <c r="I2027" t="s">
        <v>30927</v>
      </c>
      <c r="J2027" t="s">
        <v>31048</v>
      </c>
      <c r="K2027" t="s">
        <v>40287</v>
      </c>
      <c r="M2027" t="s">
        <v>41405</v>
      </c>
      <c r="N2027" t="s">
        <v>44759</v>
      </c>
      <c r="O2027" t="s">
        <v>44760</v>
      </c>
      <c r="P2027">
        <v>0</v>
      </c>
      <c r="Q2027">
        <v>0</v>
      </c>
      <c r="R2027" t="s">
        <v>44762</v>
      </c>
      <c r="S2027" t="s">
        <v>44863</v>
      </c>
      <c r="T2027" t="s">
        <v>46383</v>
      </c>
      <c r="U2027" t="s">
        <v>48705</v>
      </c>
      <c r="V2027" t="s">
        <v>59315</v>
      </c>
      <c r="W2027" t="s">
        <v>41405</v>
      </c>
      <c r="X2027" t="s">
        <v>44763</v>
      </c>
    </row>
    <row r="2028" spans="1:24">
      <c r="A2028">
        <f>HYPERLINK("https://www.philgeps.gov.ph/GEPSNONPILOT/Tender/SplashBidNoticeAbstractUI.aspx?menuIndex=3&amp;refID=7151497&amp;Result=3","7151497")</f>
        <v>0</v>
      </c>
      <c r="B2028" t="s">
        <v>878</v>
      </c>
      <c r="C2028" t="s">
        <v>5703</v>
      </c>
      <c r="D2028" t="s">
        <v>17978</v>
      </c>
      <c r="E2028" t="s">
        <v>19915</v>
      </c>
      <c r="F2028" t="s">
        <v>30900</v>
      </c>
      <c r="G2028" t="s">
        <v>30910</v>
      </c>
      <c r="H2028" t="s">
        <v>30916</v>
      </c>
      <c r="I2028" t="s">
        <v>6396</v>
      </c>
      <c r="J2028" t="s">
        <v>32533</v>
      </c>
      <c r="K2028" t="s">
        <v>40292</v>
      </c>
      <c r="M2028" t="s">
        <v>41487</v>
      </c>
      <c r="N2028" t="s">
        <v>44759</v>
      </c>
      <c r="O2028" t="s">
        <v>44760</v>
      </c>
      <c r="P2028">
        <v>0</v>
      </c>
      <c r="Q2028">
        <v>5</v>
      </c>
      <c r="R2028" t="s">
        <v>44762</v>
      </c>
      <c r="S2028" t="s">
        <v>44863</v>
      </c>
      <c r="T2028" t="s">
        <v>46399</v>
      </c>
      <c r="U2028" t="s">
        <v>47412</v>
      </c>
      <c r="W2028" t="s">
        <v>41487</v>
      </c>
      <c r="X2028" t="s">
        <v>44763</v>
      </c>
    </row>
    <row r="2029" spans="1:24">
      <c r="A2029">
        <f>HYPERLINK("https://www.philgeps.gov.ph/GEPSNONPILOT/Tender/SplashBidNoticeAbstractUI.aspx?menuIndex=3&amp;refID=7151495&amp;Result=3","7151495")</f>
        <v>0</v>
      </c>
      <c r="B2029" t="s">
        <v>622</v>
      </c>
      <c r="C2029" t="s">
        <v>5704</v>
      </c>
      <c r="D2029" t="s">
        <v>18019</v>
      </c>
      <c r="E2029" t="s">
        <v>19916</v>
      </c>
      <c r="F2029" t="s">
        <v>30900</v>
      </c>
      <c r="G2029" t="s">
        <v>30907</v>
      </c>
      <c r="H2029" t="s">
        <v>30915</v>
      </c>
      <c r="I2029" t="s">
        <v>30919</v>
      </c>
      <c r="J2029" t="s">
        <v>32534</v>
      </c>
      <c r="K2029" t="s">
        <v>40292</v>
      </c>
      <c r="M2029" t="s">
        <v>41184</v>
      </c>
      <c r="N2029" t="s">
        <v>44759</v>
      </c>
      <c r="O2029" t="s">
        <v>44760</v>
      </c>
      <c r="P2029">
        <v>0</v>
      </c>
      <c r="Q2029">
        <v>2</v>
      </c>
      <c r="R2029" t="s">
        <v>44762</v>
      </c>
      <c r="S2029" t="s">
        <v>44863</v>
      </c>
      <c r="T2029" t="s">
        <v>46567</v>
      </c>
      <c r="U2029" t="s">
        <v>48706</v>
      </c>
      <c r="W2029" t="s">
        <v>41184</v>
      </c>
      <c r="X2029" t="s">
        <v>44763</v>
      </c>
    </row>
    <row r="2030" spans="1:24">
      <c r="A2030">
        <f>HYPERLINK("https://www.philgeps.gov.ph/GEPSNONPILOT/Tender/SplashBidNoticeAbstractUI.aspx?menuIndex=3&amp;refID=7151492&amp;Result=3","7151492")</f>
        <v>0</v>
      </c>
      <c r="B2030" t="s">
        <v>781</v>
      </c>
      <c r="C2030" t="s">
        <v>5705</v>
      </c>
      <c r="D2030" t="s">
        <v>17959</v>
      </c>
      <c r="E2030" t="s">
        <v>19917</v>
      </c>
      <c r="F2030" t="s">
        <v>30900</v>
      </c>
      <c r="G2030" t="s">
        <v>30909</v>
      </c>
      <c r="H2030" t="s">
        <v>30916</v>
      </c>
      <c r="I2030" t="s">
        <v>4108</v>
      </c>
      <c r="J2030" t="s">
        <v>32157</v>
      </c>
      <c r="K2030" t="s">
        <v>40284</v>
      </c>
      <c r="M2030" t="s">
        <v>41548</v>
      </c>
      <c r="N2030" t="s">
        <v>44759</v>
      </c>
      <c r="O2030" t="s">
        <v>44760</v>
      </c>
      <c r="P2030">
        <v>0</v>
      </c>
      <c r="Q2030">
        <v>0</v>
      </c>
      <c r="R2030" t="s">
        <v>44762</v>
      </c>
      <c r="S2030" t="s">
        <v>44863</v>
      </c>
      <c r="T2030" t="s">
        <v>46568</v>
      </c>
      <c r="U2030" t="s">
        <v>48707</v>
      </c>
      <c r="V2030" t="s">
        <v>59342</v>
      </c>
      <c r="W2030" t="s">
        <v>41548</v>
      </c>
      <c r="X2030" t="s">
        <v>44763</v>
      </c>
    </row>
    <row r="2031" spans="1:24">
      <c r="A2031">
        <f>HYPERLINK("https://www.philgeps.gov.ph/GEPSNONPILOT/Tender/SplashBidNoticeAbstractUI.aspx?menuIndex=3&amp;refID=7151195&amp;Result=3","7151195")</f>
        <v>0</v>
      </c>
      <c r="B2031" t="s">
        <v>860</v>
      </c>
      <c r="C2031" t="s">
        <v>5706</v>
      </c>
      <c r="D2031" t="s">
        <v>17959</v>
      </c>
      <c r="E2031" t="s">
        <v>19918</v>
      </c>
      <c r="F2031" t="s">
        <v>30900</v>
      </c>
      <c r="G2031" t="s">
        <v>30907</v>
      </c>
      <c r="H2031" t="s">
        <v>30915</v>
      </c>
      <c r="I2031" t="s">
        <v>30919</v>
      </c>
      <c r="J2031" t="s">
        <v>32535</v>
      </c>
      <c r="K2031" t="s">
        <v>40289</v>
      </c>
      <c r="M2031" t="s">
        <v>41433</v>
      </c>
      <c r="N2031" t="s">
        <v>44759</v>
      </c>
      <c r="O2031" t="s">
        <v>44760</v>
      </c>
      <c r="P2031">
        <v>0</v>
      </c>
      <c r="Q2031">
        <v>0</v>
      </c>
      <c r="R2031" t="s">
        <v>44762</v>
      </c>
      <c r="S2031" t="s">
        <v>44863</v>
      </c>
      <c r="T2031" t="s">
        <v>46554</v>
      </c>
      <c r="U2031" t="s">
        <v>48708</v>
      </c>
      <c r="W2031" t="s">
        <v>41433</v>
      </c>
      <c r="X2031" t="s">
        <v>44763</v>
      </c>
    </row>
    <row r="2032" spans="1:24">
      <c r="A2032">
        <f>HYPERLINK("https://www.philgeps.gov.ph/GEPSNONPILOT/Tender/SplashBidNoticeAbstractUI.aspx?menuIndex=3&amp;refID=7151194&amp;Result=3","7151194")</f>
        <v>0</v>
      </c>
      <c r="B2032" t="s">
        <v>323</v>
      </c>
      <c r="C2032" t="s">
        <v>5707</v>
      </c>
      <c r="D2032" t="s">
        <v>17985</v>
      </c>
      <c r="E2032" t="s">
        <v>19919</v>
      </c>
      <c r="F2032" t="s">
        <v>30900</v>
      </c>
      <c r="G2032" t="s">
        <v>30908</v>
      </c>
      <c r="H2032" t="s">
        <v>30916</v>
      </c>
      <c r="I2032" t="s">
        <v>30929</v>
      </c>
      <c r="J2032" t="s">
        <v>32536</v>
      </c>
      <c r="K2032" t="s">
        <v>40286</v>
      </c>
      <c r="M2032" t="s">
        <v>40874</v>
      </c>
      <c r="N2032" t="s">
        <v>44759</v>
      </c>
      <c r="O2032" t="s">
        <v>44760</v>
      </c>
      <c r="P2032">
        <v>0</v>
      </c>
      <c r="Q2032">
        <v>1</v>
      </c>
      <c r="R2032" t="s">
        <v>44762</v>
      </c>
      <c r="S2032" t="s">
        <v>44863</v>
      </c>
      <c r="T2032" t="s">
        <v>46383</v>
      </c>
      <c r="U2032" t="s">
        <v>48709</v>
      </c>
      <c r="W2032" t="s">
        <v>40874</v>
      </c>
      <c r="X2032" t="s">
        <v>44763</v>
      </c>
    </row>
    <row r="2033" spans="1:24">
      <c r="A2033">
        <f>HYPERLINK("https://www.philgeps.gov.ph/GEPSNONPILOT/Tender/SplashBidNoticeAbstractUI.aspx?menuIndex=3&amp;refID=7151193&amp;Result=3","7151193")</f>
        <v>0</v>
      </c>
      <c r="B2033" t="s">
        <v>879</v>
      </c>
      <c r="C2033" t="s">
        <v>5708</v>
      </c>
      <c r="D2033" t="s">
        <v>18003</v>
      </c>
      <c r="E2033" t="s">
        <v>19920</v>
      </c>
      <c r="F2033" t="s">
        <v>30900</v>
      </c>
      <c r="G2033" t="s">
        <v>30908</v>
      </c>
      <c r="H2033" t="s">
        <v>30916</v>
      </c>
      <c r="I2033" t="s">
        <v>10602</v>
      </c>
      <c r="J2033" t="s">
        <v>32537</v>
      </c>
      <c r="K2033" t="s">
        <v>40333</v>
      </c>
      <c r="M2033" t="s">
        <v>41452</v>
      </c>
      <c r="N2033" t="s">
        <v>44759</v>
      </c>
      <c r="O2033" t="s">
        <v>44760</v>
      </c>
      <c r="P2033">
        <v>0</v>
      </c>
      <c r="Q2033">
        <v>0</v>
      </c>
      <c r="R2033" t="s">
        <v>44762</v>
      </c>
      <c r="S2033" t="s">
        <v>44863</v>
      </c>
      <c r="T2033" t="s">
        <v>46383</v>
      </c>
      <c r="U2033" t="s">
        <v>48710</v>
      </c>
      <c r="W2033" t="s">
        <v>41452</v>
      </c>
      <c r="X2033" t="s">
        <v>44763</v>
      </c>
    </row>
    <row r="2034" spans="1:24">
      <c r="A2034">
        <f>HYPERLINK("https://www.philgeps.gov.ph/GEPSNONPILOT/Tender/SplashBidNoticeAbstractUI.aspx?menuIndex=3&amp;refID=7151469&amp;Result=3","7151469")</f>
        <v>0</v>
      </c>
      <c r="B2034" t="s">
        <v>455</v>
      </c>
      <c r="C2034" t="s">
        <v>5709</v>
      </c>
      <c r="D2034" t="s">
        <v>17995</v>
      </c>
      <c r="E2034" t="s">
        <v>19921</v>
      </c>
      <c r="F2034" t="s">
        <v>30900</v>
      </c>
      <c r="G2034" t="s">
        <v>30908</v>
      </c>
      <c r="H2034" t="s">
        <v>30916</v>
      </c>
      <c r="I2034" t="s">
        <v>8123</v>
      </c>
      <c r="J2034" t="s">
        <v>32538</v>
      </c>
      <c r="K2034" t="s">
        <v>40283</v>
      </c>
      <c r="M2034" t="s">
        <v>41013</v>
      </c>
      <c r="N2034" t="s">
        <v>44759</v>
      </c>
      <c r="O2034" t="s">
        <v>44760</v>
      </c>
      <c r="P2034">
        <v>0</v>
      </c>
      <c r="Q2034">
        <v>0</v>
      </c>
      <c r="R2034" t="s">
        <v>44762</v>
      </c>
      <c r="S2034" t="s">
        <v>44863</v>
      </c>
      <c r="T2034" t="s">
        <v>46414</v>
      </c>
      <c r="U2034" t="s">
        <v>48711</v>
      </c>
      <c r="W2034" t="s">
        <v>41013</v>
      </c>
      <c r="X2034" t="s">
        <v>44763</v>
      </c>
    </row>
    <row r="2035" spans="1:24">
      <c r="A2035">
        <f>HYPERLINK("https://www.philgeps.gov.ph/GEPSNONPILOT/Tender/SplashBidNoticeAbstractUI.aspx?menuIndex=3&amp;refID=7151192&amp;Result=3","7151192")</f>
        <v>0</v>
      </c>
      <c r="B2035" t="s">
        <v>741</v>
      </c>
      <c r="C2035" t="s">
        <v>5710</v>
      </c>
      <c r="D2035" t="s">
        <v>17994</v>
      </c>
      <c r="E2035" t="s">
        <v>19922</v>
      </c>
      <c r="F2035" t="s">
        <v>30900</v>
      </c>
      <c r="G2035" t="s">
        <v>30908</v>
      </c>
      <c r="H2035" t="s">
        <v>30916</v>
      </c>
      <c r="I2035" t="s">
        <v>30932</v>
      </c>
      <c r="J2035" t="s">
        <v>32539</v>
      </c>
      <c r="K2035" t="s">
        <v>40287</v>
      </c>
      <c r="M2035" t="s">
        <v>41305</v>
      </c>
      <c r="N2035" t="s">
        <v>44759</v>
      </c>
      <c r="O2035" t="s">
        <v>44760</v>
      </c>
      <c r="P2035">
        <v>0</v>
      </c>
      <c r="Q2035">
        <v>0</v>
      </c>
      <c r="R2035" t="s">
        <v>44762</v>
      </c>
      <c r="S2035" t="s">
        <v>44863</v>
      </c>
      <c r="T2035" t="s">
        <v>46440</v>
      </c>
      <c r="U2035" t="s">
        <v>48712</v>
      </c>
      <c r="V2035" t="s">
        <v>59200</v>
      </c>
      <c r="W2035" t="s">
        <v>41305</v>
      </c>
      <c r="X2035" t="s">
        <v>44763</v>
      </c>
    </row>
    <row r="2036" spans="1:24">
      <c r="A2036">
        <f>HYPERLINK("https://www.philgeps.gov.ph/GEPSNONPILOT/Tender/SplashBidNoticeAbstractUI.aspx?menuIndex=3&amp;refID=7150867&amp;Result=3","7150867")</f>
        <v>0</v>
      </c>
      <c r="B2036" t="s">
        <v>399</v>
      </c>
      <c r="C2036" t="s">
        <v>5711</v>
      </c>
      <c r="D2036" t="s">
        <v>17977</v>
      </c>
      <c r="E2036" t="s">
        <v>19923</v>
      </c>
      <c r="F2036" t="s">
        <v>30900</v>
      </c>
      <c r="G2036" t="s">
        <v>30908</v>
      </c>
      <c r="H2036" t="s">
        <v>30916</v>
      </c>
      <c r="I2036" t="s">
        <v>30939</v>
      </c>
      <c r="J2036" t="s">
        <v>32540</v>
      </c>
      <c r="K2036" t="s">
        <v>40283</v>
      </c>
      <c r="M2036" t="s">
        <v>40954</v>
      </c>
      <c r="N2036" t="s">
        <v>44759</v>
      </c>
      <c r="O2036" t="s">
        <v>44760</v>
      </c>
      <c r="P2036">
        <v>0</v>
      </c>
      <c r="Q2036">
        <v>0</v>
      </c>
      <c r="R2036" t="s">
        <v>44762</v>
      </c>
      <c r="S2036" t="s">
        <v>44863</v>
      </c>
      <c r="T2036" t="s">
        <v>46351</v>
      </c>
      <c r="U2036" t="s">
        <v>47585</v>
      </c>
      <c r="W2036" t="s">
        <v>40954</v>
      </c>
      <c r="X2036" t="s">
        <v>44763</v>
      </c>
    </row>
    <row r="2037" spans="1:24">
      <c r="A2037">
        <f>HYPERLINK("https://www.philgeps.gov.ph/GEPSNONPILOT/Tender/SplashBidNoticeAbstractUI.aspx?menuIndex=3&amp;refID=7151502&amp;Result=3","7151502")</f>
        <v>0</v>
      </c>
      <c r="B2037" t="s">
        <v>962</v>
      </c>
      <c r="C2037" t="s">
        <v>5712</v>
      </c>
      <c r="D2037" t="s">
        <v>18019</v>
      </c>
      <c r="E2037" t="s">
        <v>19924</v>
      </c>
      <c r="F2037" t="s">
        <v>30900</v>
      </c>
      <c r="G2037" t="s">
        <v>30908</v>
      </c>
      <c r="H2037" t="s">
        <v>30916</v>
      </c>
      <c r="I2037" t="s">
        <v>4108</v>
      </c>
      <c r="J2037" t="s">
        <v>31070</v>
      </c>
      <c r="K2037" t="s">
        <v>40284</v>
      </c>
      <c r="M2037" t="s">
        <v>41549</v>
      </c>
      <c r="N2037" t="s">
        <v>44759</v>
      </c>
      <c r="O2037" t="s">
        <v>44760</v>
      </c>
      <c r="P2037">
        <v>0</v>
      </c>
      <c r="Q2037">
        <v>0</v>
      </c>
      <c r="R2037" t="s">
        <v>44762</v>
      </c>
      <c r="S2037" t="s">
        <v>44863</v>
      </c>
      <c r="T2037" t="s">
        <v>46410</v>
      </c>
      <c r="U2037" t="s">
        <v>48713</v>
      </c>
      <c r="V2037" t="s">
        <v>59343</v>
      </c>
      <c r="W2037" t="s">
        <v>41549</v>
      </c>
      <c r="X2037" t="s">
        <v>44763</v>
      </c>
    </row>
    <row r="2038" spans="1:24">
      <c r="A2038">
        <f>HYPERLINK("https://www.philgeps.gov.ph/GEPSNONPILOT/Tender/SplashBidNoticeAbstractUI.aspx?menuIndex=3&amp;refID=7151266&amp;Result=3","7151266")</f>
        <v>0</v>
      </c>
      <c r="B2038" t="s">
        <v>963</v>
      </c>
      <c r="C2038" t="s">
        <v>5713</v>
      </c>
      <c r="D2038" t="s">
        <v>17973</v>
      </c>
      <c r="E2038" t="s">
        <v>18169</v>
      </c>
      <c r="F2038" t="s">
        <v>30900</v>
      </c>
      <c r="G2038" t="s">
        <v>30908</v>
      </c>
      <c r="H2038" t="s">
        <v>30916</v>
      </c>
      <c r="I2038" t="s">
        <v>30922</v>
      </c>
      <c r="J2038" t="s">
        <v>32541</v>
      </c>
      <c r="K2038" t="s">
        <v>40291</v>
      </c>
      <c r="M2038" t="s">
        <v>41550</v>
      </c>
      <c r="N2038" t="s">
        <v>44759</v>
      </c>
      <c r="O2038" t="s">
        <v>44760</v>
      </c>
      <c r="P2038">
        <v>0</v>
      </c>
      <c r="Q2038">
        <v>13</v>
      </c>
      <c r="R2038" t="s">
        <v>44762</v>
      </c>
      <c r="S2038" t="s">
        <v>44863</v>
      </c>
      <c r="T2038" t="s">
        <v>46457</v>
      </c>
      <c r="U2038" t="s">
        <v>48714</v>
      </c>
      <c r="W2038" t="s">
        <v>41550</v>
      </c>
      <c r="X2038" t="s">
        <v>44763</v>
      </c>
    </row>
    <row r="2039" spans="1:24">
      <c r="A2039">
        <f>HYPERLINK("https://www.philgeps.gov.ph/GEPSNONPILOT/Tender/SplashBidNoticeAbstractUI.aspx?menuIndex=3&amp;refID=7151507&amp;Result=3","7151507")</f>
        <v>0</v>
      </c>
      <c r="B2039" t="s">
        <v>964</v>
      </c>
      <c r="C2039" t="s">
        <v>5714</v>
      </c>
      <c r="D2039" t="s">
        <v>17979</v>
      </c>
      <c r="E2039" t="s">
        <v>18444</v>
      </c>
      <c r="F2039" t="s">
        <v>30900</v>
      </c>
      <c r="G2039" t="s">
        <v>30909</v>
      </c>
      <c r="H2039" t="s">
        <v>30916</v>
      </c>
      <c r="I2039" t="s">
        <v>4108</v>
      </c>
      <c r="J2039" t="s">
        <v>32542</v>
      </c>
      <c r="K2039" t="s">
        <v>40287</v>
      </c>
      <c r="M2039" t="s">
        <v>41551</v>
      </c>
      <c r="N2039" t="s">
        <v>44759</v>
      </c>
      <c r="O2039" t="s">
        <v>44760</v>
      </c>
      <c r="P2039">
        <v>0</v>
      </c>
      <c r="Q2039">
        <v>2</v>
      </c>
      <c r="R2039" t="s">
        <v>44762</v>
      </c>
      <c r="S2039" t="s">
        <v>44863</v>
      </c>
      <c r="T2039" t="s">
        <v>46390</v>
      </c>
      <c r="U2039" t="s">
        <v>48715</v>
      </c>
      <c r="W2039" t="s">
        <v>41551</v>
      </c>
      <c r="X2039" t="s">
        <v>44763</v>
      </c>
    </row>
    <row r="2040" spans="1:24">
      <c r="A2040">
        <f>HYPERLINK("https://www.philgeps.gov.ph/GEPSNONPILOT/Tender/SplashBidNoticeAbstractUI.aspx?menuIndex=3&amp;refID=7151190&amp;Result=3","7151190")</f>
        <v>0</v>
      </c>
      <c r="B2040" t="s">
        <v>292</v>
      </c>
      <c r="C2040" t="s">
        <v>5715</v>
      </c>
      <c r="E2040" t="s">
        <v>19925</v>
      </c>
      <c r="F2040" t="s">
        <v>30900</v>
      </c>
      <c r="G2040" t="s">
        <v>30908</v>
      </c>
      <c r="H2040" t="s">
        <v>30916</v>
      </c>
      <c r="I2040" t="s">
        <v>30923</v>
      </c>
      <c r="J2040" t="s">
        <v>32543</v>
      </c>
      <c r="K2040" t="s">
        <v>40289</v>
      </c>
      <c r="M2040" t="s">
        <v>40840</v>
      </c>
      <c r="N2040" t="s">
        <v>44759</v>
      </c>
      <c r="O2040" t="s">
        <v>44760</v>
      </c>
      <c r="P2040">
        <v>0</v>
      </c>
      <c r="Q2040">
        <v>1</v>
      </c>
      <c r="R2040" t="s">
        <v>44762</v>
      </c>
      <c r="S2040" t="s">
        <v>44863</v>
      </c>
      <c r="T2040" t="s">
        <v>46398</v>
      </c>
      <c r="U2040" t="s">
        <v>48716</v>
      </c>
      <c r="W2040" t="s">
        <v>40840</v>
      </c>
      <c r="X2040" t="s">
        <v>44763</v>
      </c>
    </row>
    <row r="2041" spans="1:24">
      <c r="A2041">
        <f>HYPERLINK("https://www.philgeps.gov.ph/GEPSNONPILOT/Tender/SplashBidNoticeAbstractUI.aspx?menuIndex=3&amp;refID=7150866&amp;Result=3","7150866")</f>
        <v>0</v>
      </c>
      <c r="B2041" t="s">
        <v>965</v>
      </c>
      <c r="C2041" t="s">
        <v>5716</v>
      </c>
      <c r="D2041" t="s">
        <v>18010</v>
      </c>
      <c r="E2041" t="s">
        <v>19926</v>
      </c>
      <c r="F2041" t="s">
        <v>30900</v>
      </c>
      <c r="G2041" t="s">
        <v>30908</v>
      </c>
      <c r="H2041" t="s">
        <v>30916</v>
      </c>
      <c r="I2041" t="s">
        <v>8123</v>
      </c>
      <c r="J2041" t="s">
        <v>32544</v>
      </c>
      <c r="K2041" t="s">
        <v>40283</v>
      </c>
      <c r="M2041" t="s">
        <v>41552</v>
      </c>
      <c r="N2041" t="s">
        <v>44759</v>
      </c>
      <c r="O2041" t="s">
        <v>44760</v>
      </c>
      <c r="P2041">
        <v>0</v>
      </c>
      <c r="Q2041">
        <v>0</v>
      </c>
      <c r="R2041" t="s">
        <v>44762</v>
      </c>
      <c r="S2041" t="s">
        <v>44863</v>
      </c>
      <c r="T2041" t="s">
        <v>46376</v>
      </c>
      <c r="U2041" t="s">
        <v>48717</v>
      </c>
      <c r="V2041" t="s">
        <v>59344</v>
      </c>
      <c r="W2041" t="s">
        <v>41552</v>
      </c>
      <c r="X2041" t="s">
        <v>44763</v>
      </c>
    </row>
    <row r="2042" spans="1:24">
      <c r="A2042">
        <f>HYPERLINK("https://www.philgeps.gov.ph/GEPSNONPILOT/Tender/SplashBidNoticeAbstractUI.aspx?menuIndex=3&amp;refID=7151517&amp;Result=3","7151517")</f>
        <v>0</v>
      </c>
      <c r="B2042" t="s">
        <v>932</v>
      </c>
      <c r="C2042" t="s">
        <v>5717</v>
      </c>
      <c r="D2042" t="s">
        <v>17959</v>
      </c>
      <c r="E2042" t="s">
        <v>19927</v>
      </c>
      <c r="F2042" t="s">
        <v>30900</v>
      </c>
      <c r="G2042" t="s">
        <v>30907</v>
      </c>
      <c r="H2042" t="s">
        <v>30916</v>
      </c>
      <c r="I2042" t="s">
        <v>10847</v>
      </c>
      <c r="J2042" t="s">
        <v>32545</v>
      </c>
      <c r="K2042" t="s">
        <v>40283</v>
      </c>
      <c r="M2042" t="s">
        <v>41514</v>
      </c>
      <c r="N2042" t="s">
        <v>44759</v>
      </c>
      <c r="O2042" t="s">
        <v>44760</v>
      </c>
      <c r="P2042">
        <v>0</v>
      </c>
      <c r="Q2042">
        <v>0</v>
      </c>
      <c r="R2042" t="s">
        <v>44762</v>
      </c>
      <c r="S2042" t="s">
        <v>44863</v>
      </c>
      <c r="T2042" t="s">
        <v>46350</v>
      </c>
      <c r="U2042" t="s">
        <v>48718</v>
      </c>
      <c r="W2042" t="s">
        <v>41514</v>
      </c>
      <c r="X2042" t="s">
        <v>44763</v>
      </c>
    </row>
    <row r="2043" spans="1:24">
      <c r="A2043">
        <f>HYPERLINK("https://www.philgeps.gov.ph/GEPSNONPILOT/Tender/SplashBidNoticeAbstractUI.aspx?menuIndex=3&amp;refID=7151527&amp;Result=3","7151527")</f>
        <v>0</v>
      </c>
      <c r="B2043" t="s">
        <v>966</v>
      </c>
      <c r="C2043" t="s">
        <v>5718</v>
      </c>
      <c r="D2043" t="s">
        <v>18004</v>
      </c>
      <c r="E2043" t="s">
        <v>19928</v>
      </c>
      <c r="F2043" t="s">
        <v>30900</v>
      </c>
      <c r="G2043" t="s">
        <v>30908</v>
      </c>
      <c r="H2043" t="s">
        <v>30916</v>
      </c>
      <c r="I2043" t="s">
        <v>30942</v>
      </c>
      <c r="J2043" t="s">
        <v>32546</v>
      </c>
      <c r="K2043" t="s">
        <v>40293</v>
      </c>
      <c r="M2043" t="s">
        <v>41553</v>
      </c>
      <c r="N2043" t="s">
        <v>44759</v>
      </c>
      <c r="O2043" t="s">
        <v>44760</v>
      </c>
      <c r="P2043">
        <v>0</v>
      </c>
      <c r="Q2043">
        <v>0</v>
      </c>
      <c r="R2043" t="s">
        <v>44762</v>
      </c>
      <c r="S2043" t="s">
        <v>44863</v>
      </c>
      <c r="T2043" t="s">
        <v>46363</v>
      </c>
      <c r="U2043" t="s">
        <v>48719</v>
      </c>
      <c r="W2043" t="s">
        <v>41553</v>
      </c>
      <c r="X2043" t="s">
        <v>44763</v>
      </c>
    </row>
    <row r="2044" spans="1:24">
      <c r="A2044">
        <f>HYPERLINK("https://www.philgeps.gov.ph/GEPSNONPILOT/Tender/SplashBidNoticeAbstractUI.aspx?menuIndex=3&amp;refID=7151531&amp;Result=3","7151531")</f>
        <v>0</v>
      </c>
      <c r="B2044" t="s">
        <v>781</v>
      </c>
      <c r="C2044" t="s">
        <v>5719</v>
      </c>
      <c r="D2044" t="s">
        <v>17959</v>
      </c>
      <c r="E2044" t="s">
        <v>19929</v>
      </c>
      <c r="F2044" t="s">
        <v>30900</v>
      </c>
      <c r="G2044" t="s">
        <v>30909</v>
      </c>
      <c r="H2044" t="s">
        <v>30916</v>
      </c>
      <c r="I2044" t="s">
        <v>4108</v>
      </c>
      <c r="J2044" t="s">
        <v>31223</v>
      </c>
      <c r="K2044" t="s">
        <v>40284</v>
      </c>
      <c r="M2044" t="s">
        <v>41548</v>
      </c>
      <c r="N2044" t="s">
        <v>44759</v>
      </c>
      <c r="O2044" t="s">
        <v>44760</v>
      </c>
      <c r="P2044">
        <v>0</v>
      </c>
      <c r="Q2044">
        <v>0</v>
      </c>
      <c r="R2044" t="s">
        <v>44762</v>
      </c>
      <c r="S2044" t="s">
        <v>44863</v>
      </c>
      <c r="T2044" t="s">
        <v>46568</v>
      </c>
      <c r="U2044" t="s">
        <v>48720</v>
      </c>
      <c r="V2044" t="s">
        <v>59342</v>
      </c>
      <c r="W2044" t="s">
        <v>41548</v>
      </c>
      <c r="X2044" t="s">
        <v>44763</v>
      </c>
    </row>
    <row r="2045" spans="1:24">
      <c r="A2045">
        <f>HYPERLINK("https://www.philgeps.gov.ph/GEPSNONPILOT/Tender/SplashBidNoticeAbstractUI.aspx?menuIndex=3&amp;refID=7151526&amp;Result=3","7151526")</f>
        <v>0</v>
      </c>
      <c r="B2045" t="s">
        <v>967</v>
      </c>
      <c r="C2045" t="s">
        <v>5720</v>
      </c>
      <c r="D2045" t="s">
        <v>18014</v>
      </c>
      <c r="E2045" t="s">
        <v>19930</v>
      </c>
      <c r="F2045" t="s">
        <v>30900</v>
      </c>
      <c r="G2045" t="s">
        <v>30908</v>
      </c>
      <c r="H2045" t="s">
        <v>30916</v>
      </c>
      <c r="I2045" t="s">
        <v>30944</v>
      </c>
      <c r="J2045" t="s">
        <v>31211</v>
      </c>
      <c r="K2045" t="s">
        <v>40289</v>
      </c>
      <c r="M2045" t="s">
        <v>41554</v>
      </c>
      <c r="N2045" t="s">
        <v>44759</v>
      </c>
      <c r="O2045" t="s">
        <v>44760</v>
      </c>
      <c r="P2045">
        <v>0</v>
      </c>
      <c r="Q2045">
        <v>3</v>
      </c>
      <c r="R2045" t="s">
        <v>44762</v>
      </c>
      <c r="S2045" t="s">
        <v>44863</v>
      </c>
      <c r="T2045" t="s">
        <v>46376</v>
      </c>
      <c r="U2045" t="s">
        <v>48721</v>
      </c>
      <c r="W2045" t="s">
        <v>41554</v>
      </c>
      <c r="X2045" t="s">
        <v>44763</v>
      </c>
    </row>
    <row r="2046" spans="1:24">
      <c r="A2046">
        <f>HYPERLINK("https://www.philgeps.gov.ph/GEPSNONPILOT/Tender/SplashBidNoticeAbstractUI.aspx?menuIndex=3&amp;refID=7151524&amp;Result=3","7151524")</f>
        <v>0</v>
      </c>
      <c r="B2046" t="s">
        <v>968</v>
      </c>
      <c r="C2046" t="s">
        <v>5721</v>
      </c>
      <c r="D2046" t="s">
        <v>18002</v>
      </c>
      <c r="E2046" t="s">
        <v>19424</v>
      </c>
      <c r="F2046" t="s">
        <v>30900</v>
      </c>
      <c r="G2046" t="s">
        <v>30907</v>
      </c>
      <c r="H2046" t="s">
        <v>30915</v>
      </c>
      <c r="I2046" t="s">
        <v>30919</v>
      </c>
      <c r="J2046" t="s">
        <v>32547</v>
      </c>
      <c r="K2046" t="s">
        <v>40280</v>
      </c>
      <c r="M2046" t="s">
        <v>41555</v>
      </c>
      <c r="N2046" t="s">
        <v>44759</v>
      </c>
      <c r="O2046" t="s">
        <v>44760</v>
      </c>
      <c r="P2046">
        <v>0</v>
      </c>
      <c r="Q2046">
        <v>3</v>
      </c>
      <c r="R2046" t="s">
        <v>44762</v>
      </c>
      <c r="S2046" t="s">
        <v>44863</v>
      </c>
      <c r="T2046" t="s">
        <v>46511</v>
      </c>
      <c r="U2046" t="s">
        <v>48722</v>
      </c>
      <c r="W2046" t="s">
        <v>41555</v>
      </c>
      <c r="X2046" t="s">
        <v>44763</v>
      </c>
    </row>
    <row r="2047" spans="1:24">
      <c r="A2047">
        <f>HYPERLINK("https://www.philgeps.gov.ph/GEPSNONPILOT/Tender/SplashBidNoticeAbstractUI.aspx?menuIndex=3&amp;refID=7151522&amp;Result=3","7151522")</f>
        <v>0</v>
      </c>
      <c r="B2047" t="s">
        <v>969</v>
      </c>
      <c r="C2047" t="s">
        <v>5722</v>
      </c>
      <c r="D2047" t="s">
        <v>17981</v>
      </c>
      <c r="E2047" t="s">
        <v>18563</v>
      </c>
      <c r="F2047" t="s">
        <v>30900</v>
      </c>
      <c r="G2047" t="s">
        <v>30907</v>
      </c>
      <c r="H2047" t="s">
        <v>30916</v>
      </c>
      <c r="I2047" t="s">
        <v>30927</v>
      </c>
      <c r="J2047" t="s">
        <v>32548</v>
      </c>
      <c r="K2047" t="s">
        <v>40289</v>
      </c>
      <c r="M2047" t="s">
        <v>41556</v>
      </c>
      <c r="N2047" t="s">
        <v>44759</v>
      </c>
      <c r="O2047" t="s">
        <v>44760</v>
      </c>
      <c r="P2047">
        <v>0</v>
      </c>
      <c r="Q2047">
        <v>0</v>
      </c>
      <c r="R2047" t="s">
        <v>44762</v>
      </c>
      <c r="S2047" t="s">
        <v>44863</v>
      </c>
      <c r="T2047" t="s">
        <v>46395</v>
      </c>
      <c r="U2047" t="s">
        <v>48723</v>
      </c>
      <c r="W2047" t="s">
        <v>41556</v>
      </c>
      <c r="X2047" t="s">
        <v>44763</v>
      </c>
    </row>
    <row r="2048" spans="1:24">
      <c r="A2048">
        <f>HYPERLINK("https://www.philgeps.gov.ph/GEPSNONPILOT/Tender/SplashBidNoticeAbstractUI.aspx?menuIndex=3&amp;refID=7151521&amp;Result=3","7151521")</f>
        <v>0</v>
      </c>
      <c r="B2048" t="s">
        <v>970</v>
      </c>
      <c r="C2048" t="s">
        <v>5723</v>
      </c>
      <c r="D2048" t="s">
        <v>17993</v>
      </c>
      <c r="E2048" t="s">
        <v>19931</v>
      </c>
      <c r="F2048" t="s">
        <v>30900</v>
      </c>
      <c r="G2048" t="s">
        <v>30908</v>
      </c>
      <c r="H2048" t="s">
        <v>30916</v>
      </c>
      <c r="I2048" t="s">
        <v>30936</v>
      </c>
      <c r="J2048" t="s">
        <v>32549</v>
      </c>
      <c r="K2048" t="s">
        <v>40289</v>
      </c>
      <c r="M2048" t="s">
        <v>41557</v>
      </c>
      <c r="N2048" t="s">
        <v>44759</v>
      </c>
      <c r="O2048" t="s">
        <v>44760</v>
      </c>
      <c r="P2048">
        <v>0</v>
      </c>
      <c r="Q2048">
        <v>0</v>
      </c>
      <c r="R2048" t="s">
        <v>44762</v>
      </c>
      <c r="S2048" t="s">
        <v>44863</v>
      </c>
      <c r="T2048" t="s">
        <v>46398</v>
      </c>
      <c r="U2048" t="s">
        <v>48724</v>
      </c>
      <c r="W2048" t="s">
        <v>41557</v>
      </c>
      <c r="X2048" t="s">
        <v>44763</v>
      </c>
    </row>
    <row r="2049" spans="1:24">
      <c r="A2049">
        <f>HYPERLINK("https://www.philgeps.gov.ph/GEPSNONPILOT/Tender/SplashBidNoticeAbstractUI.aspx?menuIndex=3&amp;refID=7151520&amp;Result=3","7151520")</f>
        <v>0</v>
      </c>
      <c r="B2049" t="s">
        <v>744</v>
      </c>
      <c r="C2049" t="s">
        <v>5724</v>
      </c>
      <c r="D2049" t="s">
        <v>18006</v>
      </c>
      <c r="E2049" t="s">
        <v>19932</v>
      </c>
      <c r="F2049" t="s">
        <v>30900</v>
      </c>
      <c r="G2049" t="s">
        <v>30907</v>
      </c>
      <c r="H2049" t="s">
        <v>30916</v>
      </c>
      <c r="I2049" t="s">
        <v>30933</v>
      </c>
      <c r="J2049" t="s">
        <v>32130</v>
      </c>
      <c r="K2049" t="s">
        <v>40281</v>
      </c>
      <c r="M2049" t="s">
        <v>41308</v>
      </c>
      <c r="N2049" t="s">
        <v>44759</v>
      </c>
      <c r="O2049" t="s">
        <v>44760</v>
      </c>
      <c r="P2049">
        <v>0</v>
      </c>
      <c r="Q2049">
        <v>4</v>
      </c>
      <c r="R2049" t="s">
        <v>44762</v>
      </c>
      <c r="S2049" t="s">
        <v>44863</v>
      </c>
      <c r="T2049" t="s">
        <v>46446</v>
      </c>
      <c r="U2049" t="s">
        <v>48725</v>
      </c>
      <c r="W2049" t="s">
        <v>41308</v>
      </c>
      <c r="X2049" t="s">
        <v>44763</v>
      </c>
    </row>
    <row r="2050" spans="1:24">
      <c r="A2050">
        <f>HYPERLINK("https://www.philgeps.gov.ph/GEPSNONPILOT/Tender/SplashBidNoticeAbstractUI.aspx?menuIndex=3&amp;refID=7151539&amp;Result=3","7151539")</f>
        <v>0</v>
      </c>
      <c r="B2050" t="s">
        <v>323</v>
      </c>
      <c r="C2050" t="s">
        <v>5725</v>
      </c>
      <c r="D2050" t="s">
        <v>17985</v>
      </c>
      <c r="E2050" t="s">
        <v>19933</v>
      </c>
      <c r="F2050" t="s">
        <v>30900</v>
      </c>
      <c r="G2050" t="s">
        <v>30908</v>
      </c>
      <c r="H2050" t="s">
        <v>30916</v>
      </c>
      <c r="I2050" t="s">
        <v>5879</v>
      </c>
      <c r="J2050" t="s">
        <v>32550</v>
      </c>
      <c r="K2050" t="s">
        <v>40286</v>
      </c>
      <c r="M2050" t="s">
        <v>40874</v>
      </c>
      <c r="N2050" t="s">
        <v>44759</v>
      </c>
      <c r="O2050" t="s">
        <v>44760</v>
      </c>
      <c r="P2050">
        <v>0</v>
      </c>
      <c r="Q2050">
        <v>0</v>
      </c>
      <c r="R2050" t="s">
        <v>44762</v>
      </c>
      <c r="S2050" t="s">
        <v>44863</v>
      </c>
      <c r="T2050" t="s">
        <v>46383</v>
      </c>
      <c r="U2050" t="s">
        <v>48726</v>
      </c>
      <c r="W2050" t="s">
        <v>40874</v>
      </c>
      <c r="X2050" t="s">
        <v>44763</v>
      </c>
    </row>
    <row r="2051" spans="1:24">
      <c r="A2051">
        <f>HYPERLINK("https://www.philgeps.gov.ph/GEPSNONPILOT/Tender/SplashBidNoticeAbstractUI.aspx?menuIndex=3&amp;refID=7151538&amp;Result=3","7151538")</f>
        <v>0</v>
      </c>
      <c r="B2051" t="s">
        <v>179</v>
      </c>
      <c r="C2051" t="s">
        <v>5726</v>
      </c>
      <c r="D2051" t="s">
        <v>17953</v>
      </c>
      <c r="E2051" t="s">
        <v>19934</v>
      </c>
      <c r="F2051" t="s">
        <v>30900</v>
      </c>
      <c r="G2051" t="s">
        <v>30907</v>
      </c>
      <c r="H2051" t="s">
        <v>30916</v>
      </c>
      <c r="I2051" t="s">
        <v>4545</v>
      </c>
      <c r="J2051" t="s">
        <v>32551</v>
      </c>
      <c r="K2051" t="s">
        <v>40286</v>
      </c>
      <c r="M2051" t="s">
        <v>40726</v>
      </c>
      <c r="N2051" t="s">
        <v>44759</v>
      </c>
      <c r="O2051" t="s">
        <v>44760</v>
      </c>
      <c r="P2051">
        <v>0</v>
      </c>
      <c r="Q2051">
        <v>3</v>
      </c>
      <c r="R2051" t="s">
        <v>44762</v>
      </c>
      <c r="S2051" t="s">
        <v>44863</v>
      </c>
      <c r="T2051" t="s">
        <v>46428</v>
      </c>
      <c r="U2051" t="s">
        <v>48727</v>
      </c>
      <c r="W2051" t="s">
        <v>40726</v>
      </c>
      <c r="X2051" t="s">
        <v>44763</v>
      </c>
    </row>
    <row r="2052" spans="1:24">
      <c r="A2052">
        <f>HYPERLINK("https://www.philgeps.gov.ph/GEPSNONPILOT/Tender/SplashBidNoticeAbstractUI.aspx?menuIndex=3&amp;refID=7151536&amp;Result=3","7151536")</f>
        <v>0</v>
      </c>
      <c r="B2052" t="s">
        <v>971</v>
      </c>
      <c r="C2052" t="s">
        <v>4108</v>
      </c>
      <c r="D2052" t="s">
        <v>18017</v>
      </c>
      <c r="E2052" t="s">
        <v>19935</v>
      </c>
      <c r="F2052" t="s">
        <v>30900</v>
      </c>
      <c r="G2052" t="s">
        <v>30909</v>
      </c>
      <c r="H2052" t="s">
        <v>30916</v>
      </c>
      <c r="I2052" t="s">
        <v>4108</v>
      </c>
      <c r="J2052" t="s">
        <v>32552</v>
      </c>
      <c r="K2052" t="s">
        <v>40285</v>
      </c>
      <c r="M2052" t="s">
        <v>41558</v>
      </c>
      <c r="N2052" t="s">
        <v>44759</v>
      </c>
      <c r="O2052" t="s">
        <v>44760</v>
      </c>
      <c r="P2052">
        <v>0</v>
      </c>
      <c r="Q2052">
        <v>0</v>
      </c>
      <c r="R2052" t="s">
        <v>44762</v>
      </c>
      <c r="S2052" t="s">
        <v>44863</v>
      </c>
      <c r="T2052" t="s">
        <v>46383</v>
      </c>
      <c r="U2052" t="s">
        <v>48728</v>
      </c>
      <c r="V2052" t="s">
        <v>59345</v>
      </c>
      <c r="W2052" t="s">
        <v>41558</v>
      </c>
      <c r="X2052" t="s">
        <v>44763</v>
      </c>
    </row>
    <row r="2053" spans="1:24">
      <c r="A2053">
        <f>HYPERLINK("https://www.philgeps.gov.ph/GEPSNONPILOT/Tender/SplashBidNoticeAbstractUI.aspx?menuIndex=3&amp;refID=7151535&amp;Result=3","7151535")</f>
        <v>0</v>
      </c>
      <c r="B2053" t="s">
        <v>972</v>
      </c>
      <c r="C2053" t="s">
        <v>5727</v>
      </c>
      <c r="D2053" t="s">
        <v>17978</v>
      </c>
      <c r="E2053" t="s">
        <v>19936</v>
      </c>
      <c r="F2053" t="s">
        <v>30900</v>
      </c>
      <c r="G2053" t="s">
        <v>30907</v>
      </c>
      <c r="H2053" t="s">
        <v>30916</v>
      </c>
      <c r="I2053" t="s">
        <v>30932</v>
      </c>
      <c r="J2053" t="s">
        <v>31096</v>
      </c>
      <c r="K2053" t="s">
        <v>40358</v>
      </c>
      <c r="M2053" t="s">
        <v>41559</v>
      </c>
      <c r="N2053" t="s">
        <v>44759</v>
      </c>
      <c r="O2053" t="s">
        <v>44760</v>
      </c>
      <c r="P2053">
        <v>0</v>
      </c>
      <c r="Q2053">
        <v>0</v>
      </c>
      <c r="R2053" t="s">
        <v>44762</v>
      </c>
      <c r="S2053" t="s">
        <v>44863</v>
      </c>
      <c r="T2053" t="s">
        <v>46495</v>
      </c>
      <c r="U2053" t="s">
        <v>48729</v>
      </c>
      <c r="W2053" t="s">
        <v>41559</v>
      </c>
      <c r="X2053" t="s">
        <v>44763</v>
      </c>
    </row>
    <row r="2054" spans="1:24">
      <c r="A2054">
        <f>HYPERLINK("https://www.philgeps.gov.ph/GEPSNONPILOT/Tender/SplashBidNoticeAbstractUI.aspx?menuIndex=3&amp;refID=7151533&amp;Result=3","7151533")</f>
        <v>0</v>
      </c>
      <c r="B2054" t="s">
        <v>930</v>
      </c>
      <c r="C2054" t="s">
        <v>5728</v>
      </c>
      <c r="D2054" t="s">
        <v>17993</v>
      </c>
      <c r="E2054" t="s">
        <v>19937</v>
      </c>
      <c r="F2054" t="s">
        <v>30900</v>
      </c>
      <c r="G2054" t="s">
        <v>30907</v>
      </c>
      <c r="H2054" t="s">
        <v>30915</v>
      </c>
      <c r="I2054" t="s">
        <v>30919</v>
      </c>
      <c r="J2054" t="s">
        <v>32049</v>
      </c>
      <c r="K2054" t="s">
        <v>40359</v>
      </c>
      <c r="M2054" t="s">
        <v>41512</v>
      </c>
      <c r="N2054" t="s">
        <v>44759</v>
      </c>
      <c r="O2054" t="s">
        <v>44760</v>
      </c>
      <c r="P2054">
        <v>0</v>
      </c>
      <c r="Q2054">
        <v>0</v>
      </c>
      <c r="R2054" t="s">
        <v>44762</v>
      </c>
      <c r="S2054" t="s">
        <v>44863</v>
      </c>
      <c r="T2054" t="s">
        <v>46442</v>
      </c>
      <c r="U2054" t="s">
        <v>48730</v>
      </c>
      <c r="W2054" t="s">
        <v>41512</v>
      </c>
      <c r="X2054" t="s">
        <v>44763</v>
      </c>
    </row>
    <row r="2055" spans="1:24">
      <c r="A2055">
        <f>HYPERLINK("https://www.philgeps.gov.ph/GEPSNONPILOT/Tender/SplashBidNoticeAbstractUI.aspx?menuIndex=3&amp;refID=7151542&amp;Result=3","7151542")</f>
        <v>0</v>
      </c>
      <c r="B2055" t="s">
        <v>932</v>
      </c>
      <c r="C2055" t="s">
        <v>5729</v>
      </c>
      <c r="D2055" t="s">
        <v>17959</v>
      </c>
      <c r="E2055" t="s">
        <v>19938</v>
      </c>
      <c r="F2055" t="s">
        <v>30900</v>
      </c>
      <c r="G2055" t="s">
        <v>30907</v>
      </c>
      <c r="H2055" t="s">
        <v>30916</v>
      </c>
      <c r="I2055" t="s">
        <v>10847</v>
      </c>
      <c r="J2055" t="s">
        <v>32553</v>
      </c>
      <c r="K2055" t="s">
        <v>40283</v>
      </c>
      <c r="M2055" t="s">
        <v>41514</v>
      </c>
      <c r="N2055" t="s">
        <v>44759</v>
      </c>
      <c r="O2055" t="s">
        <v>44760</v>
      </c>
      <c r="P2055">
        <v>0</v>
      </c>
      <c r="Q2055">
        <v>0</v>
      </c>
      <c r="R2055" t="s">
        <v>44762</v>
      </c>
      <c r="S2055" t="s">
        <v>44863</v>
      </c>
      <c r="T2055" t="s">
        <v>46350</v>
      </c>
      <c r="U2055" t="s">
        <v>48718</v>
      </c>
      <c r="W2055" t="s">
        <v>41514</v>
      </c>
      <c r="X2055" t="s">
        <v>44763</v>
      </c>
    </row>
    <row r="2056" spans="1:24">
      <c r="A2056">
        <f>HYPERLINK("https://www.philgeps.gov.ph/GEPSNONPILOT/Tender/SplashBidNoticeAbstractUI.aspx?menuIndex=3&amp;refID=7151541&amp;Result=3","7151541")</f>
        <v>0</v>
      </c>
      <c r="B2056" t="s">
        <v>973</v>
      </c>
      <c r="C2056" t="s">
        <v>5730</v>
      </c>
      <c r="D2056" t="s">
        <v>18025</v>
      </c>
      <c r="E2056" t="s">
        <v>19939</v>
      </c>
      <c r="F2056" t="s">
        <v>30900</v>
      </c>
      <c r="G2056" t="s">
        <v>30908</v>
      </c>
      <c r="H2056" t="s">
        <v>30916</v>
      </c>
      <c r="I2056" t="s">
        <v>4142</v>
      </c>
      <c r="J2056" t="s">
        <v>31105</v>
      </c>
      <c r="K2056" t="s">
        <v>40283</v>
      </c>
      <c r="M2056" t="s">
        <v>41560</v>
      </c>
      <c r="N2056" t="s">
        <v>44759</v>
      </c>
      <c r="O2056" t="s">
        <v>44760</v>
      </c>
      <c r="P2056">
        <v>0</v>
      </c>
      <c r="Q2056">
        <v>1</v>
      </c>
      <c r="R2056" t="s">
        <v>44762</v>
      </c>
      <c r="S2056" t="s">
        <v>44863</v>
      </c>
      <c r="T2056" t="s">
        <v>46399</v>
      </c>
      <c r="U2056" t="s">
        <v>48731</v>
      </c>
      <c r="W2056" t="s">
        <v>41560</v>
      </c>
      <c r="X2056" t="s">
        <v>44763</v>
      </c>
    </row>
    <row r="2057" spans="1:24">
      <c r="A2057">
        <f>HYPERLINK("https://www.philgeps.gov.ph/GEPSNONPILOT/Tender/SplashBidNoticeAbstractUI.aspx?menuIndex=3&amp;refID=7151540&amp;Result=3","7151540")</f>
        <v>0</v>
      </c>
      <c r="B2057" t="s">
        <v>904</v>
      </c>
      <c r="C2057" t="s">
        <v>5731</v>
      </c>
      <c r="D2057" t="s">
        <v>17993</v>
      </c>
      <c r="E2057" t="s">
        <v>19940</v>
      </c>
      <c r="F2057" t="s">
        <v>30900</v>
      </c>
      <c r="G2057" t="s">
        <v>30908</v>
      </c>
      <c r="H2057" t="s">
        <v>30916</v>
      </c>
      <c r="I2057" t="s">
        <v>30924</v>
      </c>
      <c r="J2057" t="s">
        <v>31043</v>
      </c>
      <c r="K2057" t="s">
        <v>40288</v>
      </c>
      <c r="M2057" t="s">
        <v>41479</v>
      </c>
      <c r="N2057" t="s">
        <v>44759</v>
      </c>
      <c r="O2057" t="s">
        <v>44760</v>
      </c>
      <c r="P2057">
        <v>0</v>
      </c>
      <c r="Q2057">
        <v>2</v>
      </c>
      <c r="R2057" t="s">
        <v>44762</v>
      </c>
      <c r="S2057" t="s">
        <v>44863</v>
      </c>
      <c r="T2057" t="s">
        <v>46410</v>
      </c>
      <c r="U2057" t="s">
        <v>48732</v>
      </c>
      <c r="W2057" t="s">
        <v>41479</v>
      </c>
      <c r="X2057" t="s">
        <v>44763</v>
      </c>
    </row>
    <row r="2058" spans="1:24">
      <c r="A2058">
        <f>HYPERLINK("https://www.philgeps.gov.ph/GEPSNONPILOT/Tender/SplashBidNoticeAbstractUI.aspx?menuIndex=3&amp;refID=7151534&amp;Result=3","7151534")</f>
        <v>0</v>
      </c>
      <c r="B2058" t="s">
        <v>721</v>
      </c>
      <c r="C2058" t="s">
        <v>5732</v>
      </c>
      <c r="D2058" t="s">
        <v>17973</v>
      </c>
      <c r="E2058" t="s">
        <v>19941</v>
      </c>
      <c r="F2058" t="s">
        <v>30900</v>
      </c>
      <c r="G2058" t="s">
        <v>30908</v>
      </c>
      <c r="H2058" t="s">
        <v>30916</v>
      </c>
      <c r="I2058" t="s">
        <v>4108</v>
      </c>
      <c r="J2058" t="s">
        <v>32554</v>
      </c>
      <c r="K2058" t="s">
        <v>40287</v>
      </c>
      <c r="M2058" t="s">
        <v>41285</v>
      </c>
      <c r="N2058" t="s">
        <v>44759</v>
      </c>
      <c r="O2058" t="s">
        <v>44760</v>
      </c>
      <c r="P2058">
        <v>0</v>
      </c>
      <c r="Q2058">
        <v>2</v>
      </c>
      <c r="R2058" t="s">
        <v>44762</v>
      </c>
      <c r="S2058" t="s">
        <v>44863</v>
      </c>
      <c r="T2058" t="s">
        <v>46410</v>
      </c>
      <c r="U2058" t="s">
        <v>48211</v>
      </c>
      <c r="W2058" t="s">
        <v>41285</v>
      </c>
      <c r="X2058" t="s">
        <v>44763</v>
      </c>
    </row>
    <row r="2059" spans="1:24">
      <c r="A2059">
        <f>HYPERLINK("https://www.philgeps.gov.ph/GEPSNONPILOT/Tender/SplashBidNoticeAbstractUI.aspx?menuIndex=3&amp;refID=7151554&amp;Result=3","7151554")</f>
        <v>0</v>
      </c>
      <c r="B2059" t="s">
        <v>488</v>
      </c>
      <c r="C2059" t="s">
        <v>5733</v>
      </c>
      <c r="D2059" t="s">
        <v>17985</v>
      </c>
      <c r="E2059" t="s">
        <v>19942</v>
      </c>
      <c r="F2059" t="s">
        <v>30900</v>
      </c>
      <c r="G2059" t="s">
        <v>30907</v>
      </c>
      <c r="H2059" t="s">
        <v>30916</v>
      </c>
      <c r="I2059" t="s">
        <v>6953</v>
      </c>
      <c r="J2059" t="s">
        <v>32555</v>
      </c>
      <c r="K2059" t="s">
        <v>40286</v>
      </c>
      <c r="M2059" t="s">
        <v>41046</v>
      </c>
      <c r="N2059" t="s">
        <v>44759</v>
      </c>
      <c r="O2059" t="s">
        <v>44760</v>
      </c>
      <c r="P2059">
        <v>0</v>
      </c>
      <c r="Q2059">
        <v>0</v>
      </c>
      <c r="R2059" t="s">
        <v>44762</v>
      </c>
      <c r="S2059" t="s">
        <v>44863</v>
      </c>
      <c r="T2059" t="s">
        <v>46498</v>
      </c>
      <c r="U2059" t="s">
        <v>48733</v>
      </c>
      <c r="W2059" t="s">
        <v>41046</v>
      </c>
      <c r="X2059" t="s">
        <v>44763</v>
      </c>
    </row>
    <row r="2060" spans="1:24">
      <c r="A2060">
        <f>HYPERLINK("https://www.philgeps.gov.ph/GEPSNONPILOT/Tender/SplashBidNoticeAbstractUI.aspx?menuIndex=3&amp;refID=7151516&amp;Result=3","7151516")</f>
        <v>0</v>
      </c>
      <c r="B2060" t="s">
        <v>562</v>
      </c>
      <c r="C2060" t="s">
        <v>5734</v>
      </c>
      <c r="D2060" t="s">
        <v>17972</v>
      </c>
      <c r="E2060" t="s">
        <v>19943</v>
      </c>
      <c r="F2060" t="s">
        <v>30900</v>
      </c>
      <c r="G2060" t="s">
        <v>30908</v>
      </c>
      <c r="H2060" t="s">
        <v>30916</v>
      </c>
      <c r="I2060" t="s">
        <v>8123</v>
      </c>
      <c r="J2060" t="s">
        <v>32556</v>
      </c>
      <c r="K2060" t="s">
        <v>40286</v>
      </c>
      <c r="M2060" t="s">
        <v>41123</v>
      </c>
      <c r="N2060" t="s">
        <v>44759</v>
      </c>
      <c r="O2060" t="s">
        <v>44760</v>
      </c>
      <c r="P2060">
        <v>0</v>
      </c>
      <c r="Q2060">
        <v>0</v>
      </c>
      <c r="R2060" t="s">
        <v>44762</v>
      </c>
      <c r="S2060" t="s">
        <v>44863</v>
      </c>
      <c r="T2060" t="s">
        <v>46379</v>
      </c>
      <c r="U2060" t="s">
        <v>48734</v>
      </c>
      <c r="W2060" t="s">
        <v>41123</v>
      </c>
      <c r="X2060" t="s">
        <v>44763</v>
      </c>
    </row>
    <row r="2061" spans="1:24">
      <c r="A2061">
        <f>HYPERLINK("https://www.philgeps.gov.ph/GEPSNONPILOT/Tender/SplashBidNoticeAbstractUI.aspx?menuIndex=3&amp;refID=7151553&amp;Result=3","7151553")</f>
        <v>0</v>
      </c>
      <c r="B2061" t="s">
        <v>531</v>
      </c>
      <c r="C2061" t="s">
        <v>5735</v>
      </c>
      <c r="D2061" t="s">
        <v>17955</v>
      </c>
      <c r="E2061" t="s">
        <v>19944</v>
      </c>
      <c r="F2061" t="s">
        <v>30900</v>
      </c>
      <c r="G2061" t="s">
        <v>30910</v>
      </c>
      <c r="H2061" t="s">
        <v>30916</v>
      </c>
      <c r="I2061" t="s">
        <v>6396</v>
      </c>
      <c r="J2061" t="s">
        <v>32557</v>
      </c>
      <c r="K2061" t="s">
        <v>40285</v>
      </c>
      <c r="M2061" t="s">
        <v>41561</v>
      </c>
      <c r="N2061" t="s">
        <v>44759</v>
      </c>
      <c r="O2061" t="s">
        <v>44760</v>
      </c>
      <c r="P2061">
        <v>0</v>
      </c>
      <c r="Q2061">
        <v>2</v>
      </c>
      <c r="R2061" t="s">
        <v>44762</v>
      </c>
      <c r="S2061" t="s">
        <v>44863</v>
      </c>
      <c r="T2061" t="s">
        <v>46398</v>
      </c>
      <c r="U2061" t="s">
        <v>48735</v>
      </c>
      <c r="W2061" t="s">
        <v>41561</v>
      </c>
      <c r="X2061" t="s">
        <v>44763</v>
      </c>
    </row>
    <row r="2062" spans="1:24">
      <c r="A2062">
        <f>HYPERLINK("https://www.philgeps.gov.ph/GEPSNONPILOT/Tender/SplashBidNoticeAbstractUI.aspx?menuIndex=3&amp;refID=7151552&amp;Result=3","7151552")</f>
        <v>0</v>
      </c>
      <c r="B2062" t="s">
        <v>959</v>
      </c>
      <c r="C2062" t="s">
        <v>5736</v>
      </c>
      <c r="D2062" t="s">
        <v>17975</v>
      </c>
      <c r="E2062" t="s">
        <v>19945</v>
      </c>
      <c r="F2062" t="s">
        <v>30899</v>
      </c>
      <c r="G2062" t="s">
        <v>30907</v>
      </c>
      <c r="H2062" t="s">
        <v>30915</v>
      </c>
      <c r="I2062" t="s">
        <v>30919</v>
      </c>
      <c r="J2062" t="s">
        <v>32558</v>
      </c>
      <c r="K2062" t="s">
        <v>40312</v>
      </c>
      <c r="M2062" t="s">
        <v>41545</v>
      </c>
      <c r="N2062" t="s">
        <v>44759</v>
      </c>
      <c r="O2062" t="s">
        <v>44760</v>
      </c>
      <c r="P2062">
        <v>0</v>
      </c>
      <c r="Q2062">
        <v>2</v>
      </c>
      <c r="R2062" t="s">
        <v>44762</v>
      </c>
      <c r="S2062" t="s">
        <v>44863</v>
      </c>
      <c r="T2062" t="s">
        <v>46405</v>
      </c>
      <c r="U2062" t="s">
        <v>48691</v>
      </c>
      <c r="V2062" t="s">
        <v>59346</v>
      </c>
      <c r="W2062" t="s">
        <v>41545</v>
      </c>
      <c r="X2062" t="s">
        <v>44763</v>
      </c>
    </row>
    <row r="2063" spans="1:24">
      <c r="A2063">
        <f>HYPERLINK("https://www.philgeps.gov.ph/GEPSNONPILOT/Tender/SplashBidNoticeAbstractUI.aspx?menuIndex=3&amp;refID=7151537&amp;Result=3","7151537")</f>
        <v>0</v>
      </c>
      <c r="B2063" t="s">
        <v>248</v>
      </c>
      <c r="C2063" t="s">
        <v>5737</v>
      </c>
      <c r="D2063" t="s">
        <v>17966</v>
      </c>
      <c r="E2063" t="s">
        <v>19946</v>
      </c>
      <c r="F2063" t="s">
        <v>30900</v>
      </c>
      <c r="G2063" t="s">
        <v>30907</v>
      </c>
      <c r="H2063" t="s">
        <v>30916</v>
      </c>
      <c r="I2063" t="s">
        <v>30970</v>
      </c>
      <c r="J2063" t="s">
        <v>32559</v>
      </c>
      <c r="K2063" t="s">
        <v>40286</v>
      </c>
      <c r="M2063" t="s">
        <v>40795</v>
      </c>
      <c r="N2063" t="s">
        <v>44759</v>
      </c>
      <c r="O2063" t="s">
        <v>44760</v>
      </c>
      <c r="P2063">
        <v>0</v>
      </c>
      <c r="Q2063">
        <v>0</v>
      </c>
      <c r="R2063" t="s">
        <v>44762</v>
      </c>
      <c r="S2063" t="s">
        <v>44863</v>
      </c>
      <c r="T2063" t="s">
        <v>46380</v>
      </c>
      <c r="U2063" t="s">
        <v>48736</v>
      </c>
      <c r="W2063" t="s">
        <v>40795</v>
      </c>
      <c r="X2063" t="s">
        <v>44763</v>
      </c>
    </row>
    <row r="2064" spans="1:24">
      <c r="A2064">
        <f>HYPERLINK("https://www.philgeps.gov.ph/GEPSNONPILOT/Tender/SplashBidNoticeAbstractUI.aspx?menuIndex=3&amp;refID=7151551&amp;Result=3","7151551")</f>
        <v>0</v>
      </c>
      <c r="B2064" t="s">
        <v>507</v>
      </c>
      <c r="C2064" t="s">
        <v>5738</v>
      </c>
      <c r="D2064" t="s">
        <v>18005</v>
      </c>
      <c r="E2064" t="s">
        <v>19947</v>
      </c>
      <c r="F2064" t="s">
        <v>30900</v>
      </c>
      <c r="G2064" t="s">
        <v>30907</v>
      </c>
      <c r="H2064" t="s">
        <v>30916</v>
      </c>
      <c r="I2064" t="s">
        <v>4965</v>
      </c>
      <c r="J2064" t="s">
        <v>32560</v>
      </c>
      <c r="K2064" t="s">
        <v>40286</v>
      </c>
      <c r="M2064" t="s">
        <v>41067</v>
      </c>
      <c r="N2064" t="s">
        <v>44759</v>
      </c>
      <c r="O2064" t="s">
        <v>44760</v>
      </c>
      <c r="P2064">
        <v>0</v>
      </c>
      <c r="Q2064">
        <v>1</v>
      </c>
      <c r="R2064" t="s">
        <v>44762</v>
      </c>
      <c r="S2064" t="s">
        <v>44863</v>
      </c>
      <c r="T2064" t="s">
        <v>46569</v>
      </c>
      <c r="U2064" t="s">
        <v>48737</v>
      </c>
      <c r="V2064" t="s">
        <v>59347</v>
      </c>
      <c r="W2064" t="s">
        <v>60845</v>
      </c>
      <c r="X2064" t="s">
        <v>44763</v>
      </c>
    </row>
    <row r="2065" spans="1:24">
      <c r="A2065">
        <f>HYPERLINK("https://www.philgeps.gov.ph/GEPSNONPILOT/Tender/SplashBidNoticeAbstractUI.aspx?menuIndex=3&amp;refID=7151560&amp;Result=3","7151560")</f>
        <v>0</v>
      </c>
      <c r="B2065" t="s">
        <v>767</v>
      </c>
      <c r="C2065" t="s">
        <v>5739</v>
      </c>
      <c r="D2065" t="s">
        <v>18020</v>
      </c>
      <c r="E2065" t="s">
        <v>19948</v>
      </c>
      <c r="F2065" t="s">
        <v>30900</v>
      </c>
      <c r="G2065" t="s">
        <v>30908</v>
      </c>
      <c r="H2065" t="s">
        <v>30916</v>
      </c>
      <c r="I2065" t="s">
        <v>30956</v>
      </c>
      <c r="J2065" t="s">
        <v>32561</v>
      </c>
      <c r="K2065" t="s">
        <v>40289</v>
      </c>
      <c r="M2065" t="s">
        <v>41333</v>
      </c>
      <c r="N2065" t="s">
        <v>44759</v>
      </c>
      <c r="O2065" t="s">
        <v>44760</v>
      </c>
      <c r="P2065">
        <v>0</v>
      </c>
      <c r="Q2065">
        <v>3</v>
      </c>
      <c r="R2065" t="s">
        <v>44762</v>
      </c>
      <c r="S2065" t="s">
        <v>44863</v>
      </c>
      <c r="T2065" t="s">
        <v>46410</v>
      </c>
      <c r="U2065" t="s">
        <v>48738</v>
      </c>
      <c r="V2065" t="s">
        <v>59299</v>
      </c>
      <c r="W2065" t="s">
        <v>41333</v>
      </c>
      <c r="X2065" t="s">
        <v>44763</v>
      </c>
    </row>
    <row r="2066" spans="1:24">
      <c r="A2066">
        <f>HYPERLINK("https://www.philgeps.gov.ph/GEPSNONPILOT/Tender/SplashBidNoticeAbstractUI.aspx?menuIndex=3&amp;refID=7151559&amp;Result=3","7151559")</f>
        <v>0</v>
      </c>
      <c r="B2066" t="s">
        <v>934</v>
      </c>
      <c r="C2066" t="s">
        <v>5740</v>
      </c>
      <c r="D2066" t="s">
        <v>17984</v>
      </c>
      <c r="E2066" t="s">
        <v>19056</v>
      </c>
      <c r="F2066" t="s">
        <v>30900</v>
      </c>
      <c r="G2066" t="s">
        <v>30908</v>
      </c>
      <c r="H2066" t="s">
        <v>30916</v>
      </c>
      <c r="I2066" t="s">
        <v>4108</v>
      </c>
      <c r="J2066" t="s">
        <v>32204</v>
      </c>
      <c r="K2066" t="s">
        <v>40287</v>
      </c>
      <c r="M2066" t="s">
        <v>41517</v>
      </c>
      <c r="N2066" t="s">
        <v>44759</v>
      </c>
      <c r="O2066" t="s">
        <v>44760</v>
      </c>
      <c r="P2066">
        <v>0</v>
      </c>
      <c r="Q2066">
        <v>0</v>
      </c>
      <c r="R2066" t="s">
        <v>44762</v>
      </c>
      <c r="S2066" t="s">
        <v>44863</v>
      </c>
      <c r="T2066" t="s">
        <v>46410</v>
      </c>
      <c r="U2066" t="s">
        <v>48739</v>
      </c>
      <c r="W2066" t="s">
        <v>41517</v>
      </c>
      <c r="X2066" t="s">
        <v>44763</v>
      </c>
    </row>
    <row r="2067" spans="1:24">
      <c r="A2067">
        <f>HYPERLINK("https://www.philgeps.gov.ph/GEPSNONPILOT/Tender/SplashBidNoticeAbstractUI.aspx?menuIndex=3&amp;refID=7151558&amp;Result=3","7151558")</f>
        <v>0</v>
      </c>
      <c r="B2067" t="s">
        <v>951</v>
      </c>
      <c r="C2067" t="s">
        <v>5741</v>
      </c>
      <c r="E2067" t="s">
        <v>19949</v>
      </c>
      <c r="F2067" t="s">
        <v>30900</v>
      </c>
      <c r="G2067" t="s">
        <v>30907</v>
      </c>
      <c r="H2067" t="s">
        <v>30916</v>
      </c>
      <c r="I2067" t="s">
        <v>4061</v>
      </c>
      <c r="J2067" t="s">
        <v>32562</v>
      </c>
      <c r="K2067" t="s">
        <v>40286</v>
      </c>
      <c r="M2067" t="s">
        <v>41536</v>
      </c>
      <c r="N2067" t="s">
        <v>44759</v>
      </c>
      <c r="O2067" t="s">
        <v>44760</v>
      </c>
      <c r="P2067">
        <v>0</v>
      </c>
      <c r="Q2067">
        <v>2</v>
      </c>
      <c r="R2067" t="s">
        <v>44762</v>
      </c>
      <c r="S2067" t="s">
        <v>44863</v>
      </c>
      <c r="T2067" t="s">
        <v>46570</v>
      </c>
      <c r="U2067" t="s">
        <v>48740</v>
      </c>
      <c r="V2067" t="s">
        <v>59337</v>
      </c>
      <c r="W2067" t="s">
        <v>41536</v>
      </c>
      <c r="X2067" t="s">
        <v>44763</v>
      </c>
    </row>
    <row r="2068" spans="1:24">
      <c r="A2068">
        <f>HYPERLINK("https://www.philgeps.gov.ph/GEPSNONPILOT/Tender/SplashBidNoticeAbstractUI.aspx?menuIndex=3&amp;refID=7151557&amp;Result=3","7151557")</f>
        <v>0</v>
      </c>
      <c r="B2068" t="s">
        <v>960</v>
      </c>
      <c r="C2068" t="s">
        <v>5742</v>
      </c>
      <c r="D2068" t="s">
        <v>17963</v>
      </c>
      <c r="E2068" t="s">
        <v>18158</v>
      </c>
      <c r="F2068" t="s">
        <v>30900</v>
      </c>
      <c r="G2068" t="s">
        <v>30909</v>
      </c>
      <c r="H2068" t="s">
        <v>30916</v>
      </c>
      <c r="I2068" t="s">
        <v>30924</v>
      </c>
      <c r="J2068" t="s">
        <v>31077</v>
      </c>
      <c r="K2068" t="s">
        <v>40289</v>
      </c>
      <c r="M2068" t="s">
        <v>41546</v>
      </c>
      <c r="N2068" t="s">
        <v>44759</v>
      </c>
      <c r="O2068" t="s">
        <v>44760</v>
      </c>
      <c r="P2068">
        <v>0</v>
      </c>
      <c r="Q2068">
        <v>0</v>
      </c>
      <c r="R2068" t="s">
        <v>44762</v>
      </c>
      <c r="S2068" t="s">
        <v>44863</v>
      </c>
      <c r="T2068" t="s">
        <v>46414</v>
      </c>
      <c r="U2068" t="s">
        <v>48741</v>
      </c>
      <c r="W2068" t="s">
        <v>41546</v>
      </c>
      <c r="X2068" t="s">
        <v>44763</v>
      </c>
    </row>
    <row r="2069" spans="1:24">
      <c r="A2069">
        <f>HYPERLINK("https://www.philgeps.gov.ph/GEPSNONPILOT/Tender/SplashBidNoticeAbstractUI.aspx?menuIndex=3&amp;refID=7151556&amp;Result=3","7151556")</f>
        <v>0</v>
      </c>
      <c r="B2069" t="s">
        <v>462</v>
      </c>
      <c r="C2069" t="s">
        <v>5743</v>
      </c>
      <c r="D2069" t="s">
        <v>17980</v>
      </c>
      <c r="E2069" t="s">
        <v>19950</v>
      </c>
      <c r="F2069" t="s">
        <v>30900</v>
      </c>
      <c r="G2069" t="s">
        <v>30908</v>
      </c>
      <c r="H2069" t="s">
        <v>30916</v>
      </c>
      <c r="I2069" t="s">
        <v>30939</v>
      </c>
      <c r="J2069" t="s">
        <v>32563</v>
      </c>
      <c r="K2069" t="s">
        <v>40285</v>
      </c>
      <c r="M2069" t="s">
        <v>41020</v>
      </c>
      <c r="N2069" t="s">
        <v>44759</v>
      </c>
      <c r="O2069" t="s">
        <v>44760</v>
      </c>
      <c r="P2069">
        <v>0</v>
      </c>
      <c r="Q2069">
        <v>0</v>
      </c>
      <c r="R2069" t="s">
        <v>44762</v>
      </c>
      <c r="S2069" t="s">
        <v>44863</v>
      </c>
      <c r="T2069" t="s">
        <v>46414</v>
      </c>
      <c r="U2069" t="s">
        <v>48563</v>
      </c>
      <c r="W2069" t="s">
        <v>41020</v>
      </c>
      <c r="X2069" t="s">
        <v>44763</v>
      </c>
    </row>
    <row r="2070" spans="1:24">
      <c r="A2070">
        <f>HYPERLINK("https://www.philgeps.gov.ph/GEPSNONPILOT/Tender/SplashBidNoticeAbstractUI.aspx?menuIndex=3&amp;refID=7151550&amp;Result=3","7151550")</f>
        <v>0</v>
      </c>
      <c r="B2070" t="s">
        <v>974</v>
      </c>
      <c r="C2070" t="s">
        <v>5744</v>
      </c>
      <c r="D2070" t="s">
        <v>18028</v>
      </c>
      <c r="E2070" t="s">
        <v>18306</v>
      </c>
      <c r="F2070" t="s">
        <v>30900</v>
      </c>
      <c r="G2070" t="s">
        <v>30907</v>
      </c>
      <c r="H2070" t="s">
        <v>30915</v>
      </c>
      <c r="I2070" t="s">
        <v>30919</v>
      </c>
      <c r="J2070" t="s">
        <v>31341</v>
      </c>
      <c r="K2070" t="s">
        <v>40308</v>
      </c>
      <c r="M2070" t="s">
        <v>41562</v>
      </c>
      <c r="N2070" t="s">
        <v>44759</v>
      </c>
      <c r="O2070" t="s">
        <v>44760</v>
      </c>
      <c r="P2070">
        <v>0</v>
      </c>
      <c r="Q2070">
        <v>0</v>
      </c>
      <c r="R2070" t="s">
        <v>44762</v>
      </c>
      <c r="S2070" t="s">
        <v>44863</v>
      </c>
      <c r="T2070" t="s">
        <v>46396</v>
      </c>
      <c r="U2070" t="s">
        <v>48742</v>
      </c>
      <c r="W2070" t="s">
        <v>41562</v>
      </c>
      <c r="X2070" t="s">
        <v>44763</v>
      </c>
    </row>
    <row r="2071" spans="1:24">
      <c r="A2071">
        <f>HYPERLINK("https://www.philgeps.gov.ph/GEPSNONPILOT/Tender/SplashBidNoticeAbstractUI.aspx?menuIndex=3&amp;refID=7151528&amp;Result=3","7151528")</f>
        <v>0</v>
      </c>
      <c r="B2071" t="s">
        <v>709</v>
      </c>
      <c r="C2071" t="s">
        <v>5745</v>
      </c>
      <c r="D2071" t="s">
        <v>18021</v>
      </c>
      <c r="E2071" t="s">
        <v>19951</v>
      </c>
      <c r="F2071" t="s">
        <v>30900</v>
      </c>
      <c r="G2071" t="s">
        <v>30909</v>
      </c>
      <c r="H2071" t="s">
        <v>30916</v>
      </c>
      <c r="I2071" t="s">
        <v>10602</v>
      </c>
      <c r="J2071" t="s">
        <v>31413</v>
      </c>
      <c r="K2071" t="s">
        <v>40285</v>
      </c>
      <c r="M2071" t="s">
        <v>41273</v>
      </c>
      <c r="N2071" t="s">
        <v>44759</v>
      </c>
      <c r="O2071" t="s">
        <v>44760</v>
      </c>
      <c r="P2071">
        <v>0</v>
      </c>
      <c r="Q2071">
        <v>0</v>
      </c>
      <c r="R2071" t="s">
        <v>44762</v>
      </c>
      <c r="S2071" t="s">
        <v>44863</v>
      </c>
      <c r="T2071" t="s">
        <v>46391</v>
      </c>
      <c r="U2071" t="s">
        <v>48743</v>
      </c>
      <c r="W2071" t="s">
        <v>41273</v>
      </c>
      <c r="X2071" t="s">
        <v>44763</v>
      </c>
    </row>
    <row r="2072" spans="1:24">
      <c r="A2072">
        <f>HYPERLINK("https://www.philgeps.gov.ph/GEPSNONPILOT/Tender/SplashBidNoticeAbstractUI.aspx?menuIndex=3&amp;refID=7151548&amp;Result=3","7151548")</f>
        <v>0</v>
      </c>
      <c r="B2072" t="s">
        <v>975</v>
      </c>
      <c r="C2072" t="s">
        <v>5746</v>
      </c>
      <c r="D2072" t="s">
        <v>17961</v>
      </c>
      <c r="E2072" t="s">
        <v>18160</v>
      </c>
      <c r="F2072" t="s">
        <v>30900</v>
      </c>
      <c r="G2072" t="s">
        <v>30909</v>
      </c>
      <c r="H2072" t="s">
        <v>30917</v>
      </c>
      <c r="I2072" t="s">
        <v>30984</v>
      </c>
      <c r="J2072" t="s">
        <v>31305</v>
      </c>
      <c r="K2072" t="s">
        <v>40285</v>
      </c>
      <c r="M2072" t="s">
        <v>41563</v>
      </c>
      <c r="N2072" t="s">
        <v>44759</v>
      </c>
      <c r="O2072" t="s">
        <v>44760</v>
      </c>
      <c r="P2072">
        <v>0</v>
      </c>
      <c r="Q2072">
        <v>2</v>
      </c>
      <c r="R2072" t="s">
        <v>44762</v>
      </c>
      <c r="S2072" t="s">
        <v>44863</v>
      </c>
      <c r="T2072" t="s">
        <v>46533</v>
      </c>
      <c r="U2072" t="s">
        <v>48744</v>
      </c>
      <c r="V2072" t="s">
        <v>59348</v>
      </c>
      <c r="W2072" t="s">
        <v>41563</v>
      </c>
      <c r="X2072" t="s">
        <v>44763</v>
      </c>
    </row>
    <row r="2073" spans="1:24">
      <c r="A2073">
        <f>HYPERLINK("https://www.philgeps.gov.ph/GEPSNONPILOT/Tender/SplashBidNoticeAbstractUI.aspx?menuIndex=3&amp;refID=7151545&amp;Result=3","7151545")</f>
        <v>0</v>
      </c>
      <c r="B2073" t="s">
        <v>976</v>
      </c>
      <c r="C2073" t="s">
        <v>5747</v>
      </c>
      <c r="D2073" t="s">
        <v>17978</v>
      </c>
      <c r="E2073" t="s">
        <v>19952</v>
      </c>
      <c r="F2073" t="s">
        <v>30900</v>
      </c>
      <c r="G2073" t="s">
        <v>30907</v>
      </c>
      <c r="H2073" t="s">
        <v>30915</v>
      </c>
      <c r="I2073" t="s">
        <v>30919</v>
      </c>
      <c r="J2073" t="s">
        <v>31101</v>
      </c>
      <c r="K2073" t="s">
        <v>40294</v>
      </c>
      <c r="M2073" t="s">
        <v>41564</v>
      </c>
      <c r="N2073" t="s">
        <v>44759</v>
      </c>
      <c r="O2073" t="s">
        <v>44760</v>
      </c>
      <c r="P2073">
        <v>0</v>
      </c>
      <c r="Q2073">
        <v>0</v>
      </c>
      <c r="R2073" t="s">
        <v>44762</v>
      </c>
      <c r="S2073" t="s">
        <v>44863</v>
      </c>
      <c r="T2073" t="s">
        <v>46375</v>
      </c>
      <c r="U2073" t="s">
        <v>48745</v>
      </c>
      <c r="V2073" t="s">
        <v>59349</v>
      </c>
      <c r="W2073" t="s">
        <v>41564</v>
      </c>
      <c r="X2073" t="s">
        <v>44763</v>
      </c>
    </row>
    <row r="2074" spans="1:24">
      <c r="A2074">
        <f>HYPERLINK("https://www.philgeps.gov.ph/GEPSNONPILOT/Tender/SplashBidNoticeAbstractUI.aspx?menuIndex=3&amp;refID=7151544&amp;Result=3","7151544")</f>
        <v>0</v>
      </c>
      <c r="B2074" t="s">
        <v>977</v>
      </c>
      <c r="C2074" t="s">
        <v>5748</v>
      </c>
      <c r="D2074" t="s">
        <v>17961</v>
      </c>
      <c r="E2074" t="s">
        <v>18935</v>
      </c>
      <c r="F2074" t="s">
        <v>30900</v>
      </c>
      <c r="G2074" t="s">
        <v>30909</v>
      </c>
      <c r="H2074" t="s">
        <v>30916</v>
      </c>
      <c r="I2074" t="s">
        <v>8365</v>
      </c>
      <c r="J2074" t="s">
        <v>32564</v>
      </c>
      <c r="K2074" t="s">
        <v>40285</v>
      </c>
      <c r="M2074" t="s">
        <v>41565</v>
      </c>
      <c r="N2074" t="s">
        <v>44759</v>
      </c>
      <c r="O2074" t="s">
        <v>44760</v>
      </c>
      <c r="P2074">
        <v>0</v>
      </c>
      <c r="Q2074">
        <v>0</v>
      </c>
      <c r="R2074" t="s">
        <v>44762</v>
      </c>
      <c r="S2074" t="s">
        <v>44863</v>
      </c>
      <c r="T2074" t="s">
        <v>46374</v>
      </c>
      <c r="U2074" t="s">
        <v>48746</v>
      </c>
      <c r="V2074" t="s">
        <v>59350</v>
      </c>
      <c r="W2074" t="s">
        <v>41565</v>
      </c>
      <c r="X2074" t="s">
        <v>44763</v>
      </c>
    </row>
    <row r="2075" spans="1:24">
      <c r="A2075">
        <f>HYPERLINK("https://www.philgeps.gov.ph/GEPSNONPILOT/Tender/SplashBidNoticeAbstractUI.aspx?menuIndex=3&amp;refID=7151543&amp;Result=3","7151543")</f>
        <v>0</v>
      </c>
      <c r="B2075" t="s">
        <v>978</v>
      </c>
      <c r="C2075" t="s">
        <v>5749</v>
      </c>
      <c r="D2075" t="s">
        <v>18002</v>
      </c>
      <c r="E2075" t="s">
        <v>18304</v>
      </c>
      <c r="F2075" t="s">
        <v>30900</v>
      </c>
      <c r="G2075" t="s">
        <v>30909</v>
      </c>
      <c r="H2075" t="s">
        <v>30916</v>
      </c>
      <c r="I2075" t="s">
        <v>10847</v>
      </c>
      <c r="J2075" t="s">
        <v>32565</v>
      </c>
      <c r="K2075" t="s">
        <v>40281</v>
      </c>
      <c r="M2075" t="s">
        <v>41566</v>
      </c>
      <c r="N2075" t="s">
        <v>44759</v>
      </c>
      <c r="O2075" t="s">
        <v>44760</v>
      </c>
      <c r="P2075">
        <v>0</v>
      </c>
      <c r="Q2075">
        <v>0</v>
      </c>
      <c r="R2075" t="s">
        <v>44762</v>
      </c>
      <c r="S2075" t="s">
        <v>44863</v>
      </c>
      <c r="T2075" t="s">
        <v>46571</v>
      </c>
      <c r="U2075" t="s">
        <v>48747</v>
      </c>
      <c r="W2075" t="s">
        <v>41566</v>
      </c>
      <c r="X2075" t="s">
        <v>44763</v>
      </c>
    </row>
    <row r="2076" spans="1:24">
      <c r="A2076">
        <f>HYPERLINK("https://www.philgeps.gov.ph/GEPSNONPILOT/Tender/SplashBidNoticeAbstractUI.aspx?menuIndex=3&amp;refID=7151565&amp;Result=3","7151565")</f>
        <v>0</v>
      </c>
      <c r="B2076" t="s">
        <v>979</v>
      </c>
      <c r="C2076" t="s">
        <v>5750</v>
      </c>
      <c r="D2076" t="s">
        <v>17986</v>
      </c>
      <c r="E2076" t="s">
        <v>19953</v>
      </c>
      <c r="F2076" t="s">
        <v>30900</v>
      </c>
      <c r="G2076" t="s">
        <v>30908</v>
      </c>
      <c r="H2076" t="s">
        <v>30916</v>
      </c>
      <c r="I2076" t="s">
        <v>8123</v>
      </c>
      <c r="J2076" t="s">
        <v>32566</v>
      </c>
      <c r="K2076" t="s">
        <v>40291</v>
      </c>
      <c r="M2076" t="s">
        <v>41567</v>
      </c>
      <c r="N2076" t="s">
        <v>44759</v>
      </c>
      <c r="O2076" t="s">
        <v>44760</v>
      </c>
      <c r="P2076">
        <v>0</v>
      </c>
      <c r="Q2076">
        <v>0</v>
      </c>
      <c r="R2076" t="s">
        <v>44762</v>
      </c>
      <c r="S2076" t="s">
        <v>44863</v>
      </c>
      <c r="T2076" t="s">
        <v>46545</v>
      </c>
      <c r="U2076" t="s">
        <v>48748</v>
      </c>
      <c r="W2076" t="s">
        <v>41567</v>
      </c>
      <c r="X2076" t="s">
        <v>44763</v>
      </c>
    </row>
    <row r="2077" spans="1:24">
      <c r="A2077">
        <f>HYPERLINK("https://www.philgeps.gov.ph/GEPSNONPILOT/Tender/SplashBidNoticeAbstractUI.aspx?menuIndex=3&amp;refID=7151564&amp;Result=3","7151564")</f>
        <v>0</v>
      </c>
      <c r="B2077" t="s">
        <v>444</v>
      </c>
      <c r="C2077" t="s">
        <v>5751</v>
      </c>
      <c r="D2077" t="s">
        <v>17953</v>
      </c>
      <c r="E2077" t="s">
        <v>19954</v>
      </c>
      <c r="F2077" t="s">
        <v>30900</v>
      </c>
      <c r="G2077" t="s">
        <v>30908</v>
      </c>
      <c r="H2077" t="s">
        <v>30916</v>
      </c>
      <c r="I2077" t="s">
        <v>30924</v>
      </c>
      <c r="J2077" t="s">
        <v>31461</v>
      </c>
      <c r="K2077" t="s">
        <v>40286</v>
      </c>
      <c r="M2077" t="s">
        <v>41001</v>
      </c>
      <c r="N2077" t="s">
        <v>44759</v>
      </c>
      <c r="O2077" t="s">
        <v>44760</v>
      </c>
      <c r="P2077">
        <v>0</v>
      </c>
      <c r="Q2077">
        <v>2</v>
      </c>
      <c r="R2077" t="s">
        <v>44762</v>
      </c>
      <c r="S2077" t="s">
        <v>44863</v>
      </c>
      <c r="T2077" t="s">
        <v>46398</v>
      </c>
      <c r="U2077" t="s">
        <v>48749</v>
      </c>
      <c r="W2077" t="s">
        <v>41001</v>
      </c>
      <c r="X2077" t="s">
        <v>44763</v>
      </c>
    </row>
    <row r="2078" spans="1:24">
      <c r="A2078">
        <f>HYPERLINK("https://www.philgeps.gov.ph/GEPSNONPILOT/Tender/SplashBidNoticeAbstractUI.aspx?menuIndex=3&amp;refID=7151563&amp;Result=3","7151563")</f>
        <v>0</v>
      </c>
      <c r="B2078" t="s">
        <v>980</v>
      </c>
      <c r="C2078" t="s">
        <v>5752</v>
      </c>
      <c r="D2078" t="s">
        <v>17952</v>
      </c>
      <c r="E2078" t="s">
        <v>19955</v>
      </c>
      <c r="F2078" t="s">
        <v>30900</v>
      </c>
      <c r="G2078" t="s">
        <v>30908</v>
      </c>
      <c r="H2078" t="s">
        <v>30916</v>
      </c>
      <c r="I2078" t="s">
        <v>30934</v>
      </c>
      <c r="J2078" t="s">
        <v>32567</v>
      </c>
      <c r="K2078" t="s">
        <v>40289</v>
      </c>
      <c r="M2078" t="s">
        <v>41568</v>
      </c>
      <c r="N2078" t="s">
        <v>44759</v>
      </c>
      <c r="O2078" t="s">
        <v>44760</v>
      </c>
      <c r="P2078">
        <v>0</v>
      </c>
      <c r="Q2078">
        <v>0</v>
      </c>
      <c r="R2078" t="s">
        <v>44762</v>
      </c>
      <c r="S2078" t="s">
        <v>44863</v>
      </c>
      <c r="T2078" t="s">
        <v>46414</v>
      </c>
      <c r="U2078" t="s">
        <v>48750</v>
      </c>
      <c r="W2078" t="s">
        <v>41568</v>
      </c>
      <c r="X2078" t="s">
        <v>44763</v>
      </c>
    </row>
    <row r="2079" spans="1:24">
      <c r="A2079">
        <f>HYPERLINK("https://www.philgeps.gov.ph/GEPSNONPILOT/Tender/SplashBidNoticeAbstractUI.aspx?menuIndex=3&amp;refID=7151529&amp;Result=3","7151529")</f>
        <v>0</v>
      </c>
      <c r="B2079" t="s">
        <v>573</v>
      </c>
      <c r="C2079" t="s">
        <v>5753</v>
      </c>
      <c r="D2079" t="s">
        <v>18023</v>
      </c>
      <c r="E2079" t="s">
        <v>19956</v>
      </c>
      <c r="F2079" t="s">
        <v>30900</v>
      </c>
      <c r="G2079" t="s">
        <v>30910</v>
      </c>
      <c r="H2079" t="s">
        <v>30916</v>
      </c>
      <c r="I2079" t="s">
        <v>4142</v>
      </c>
      <c r="J2079" t="s">
        <v>32568</v>
      </c>
      <c r="K2079" t="s">
        <v>40291</v>
      </c>
      <c r="M2079" t="s">
        <v>41134</v>
      </c>
      <c r="N2079" t="s">
        <v>44759</v>
      </c>
      <c r="O2079" t="s">
        <v>44760</v>
      </c>
      <c r="P2079">
        <v>0</v>
      </c>
      <c r="Q2079">
        <v>0</v>
      </c>
      <c r="R2079" t="s">
        <v>44762</v>
      </c>
      <c r="S2079" t="s">
        <v>44863</v>
      </c>
      <c r="T2079" t="s">
        <v>46383</v>
      </c>
      <c r="U2079" t="s">
        <v>48751</v>
      </c>
      <c r="V2079" t="s">
        <v>59351</v>
      </c>
      <c r="W2079" t="s">
        <v>41134</v>
      </c>
      <c r="X2079" t="s">
        <v>44763</v>
      </c>
    </row>
    <row r="2080" spans="1:24">
      <c r="A2080">
        <f>HYPERLINK("https://www.philgeps.gov.ph/GEPSNONPILOT/Tender/SplashBidNoticeAbstractUI.aspx?menuIndex=3&amp;refID=7151562&amp;Result=3","7151562")</f>
        <v>0</v>
      </c>
      <c r="B2080" t="s">
        <v>781</v>
      </c>
      <c r="C2080" t="s">
        <v>5754</v>
      </c>
      <c r="D2080" t="s">
        <v>17959</v>
      </c>
      <c r="E2080" t="s">
        <v>19957</v>
      </c>
      <c r="F2080" t="s">
        <v>30900</v>
      </c>
      <c r="G2080" t="s">
        <v>30909</v>
      </c>
      <c r="H2080" t="s">
        <v>30916</v>
      </c>
      <c r="I2080" t="s">
        <v>4108</v>
      </c>
      <c r="J2080" t="s">
        <v>32569</v>
      </c>
      <c r="K2080" t="s">
        <v>40284</v>
      </c>
      <c r="M2080" t="s">
        <v>41548</v>
      </c>
      <c r="N2080" t="s">
        <v>44759</v>
      </c>
      <c r="O2080" t="s">
        <v>44760</v>
      </c>
      <c r="P2080">
        <v>0</v>
      </c>
      <c r="Q2080">
        <v>0</v>
      </c>
      <c r="R2080" t="s">
        <v>44762</v>
      </c>
      <c r="S2080" t="s">
        <v>44863</v>
      </c>
      <c r="T2080" t="s">
        <v>46568</v>
      </c>
      <c r="U2080" t="s">
        <v>48752</v>
      </c>
      <c r="V2080" t="s">
        <v>59342</v>
      </c>
      <c r="W2080" t="s">
        <v>41548</v>
      </c>
      <c r="X2080" t="s">
        <v>44763</v>
      </c>
    </row>
    <row r="2081" spans="1:24">
      <c r="A2081">
        <f>HYPERLINK("https://www.philgeps.gov.ph/GEPSNONPILOT/Tender/SplashBidNoticeAbstractUI.aspx?menuIndex=3&amp;refID=7151546&amp;Result=3","7151546")</f>
        <v>0</v>
      </c>
      <c r="B2081" t="s">
        <v>981</v>
      </c>
      <c r="C2081" t="s">
        <v>5755</v>
      </c>
      <c r="D2081" t="s">
        <v>17993</v>
      </c>
      <c r="E2081" t="s">
        <v>19958</v>
      </c>
      <c r="F2081" t="s">
        <v>30900</v>
      </c>
      <c r="G2081" t="s">
        <v>30908</v>
      </c>
      <c r="H2081" t="s">
        <v>30916</v>
      </c>
      <c r="I2081" t="s">
        <v>4142</v>
      </c>
      <c r="J2081" t="s">
        <v>32570</v>
      </c>
      <c r="K2081" t="s">
        <v>40283</v>
      </c>
      <c r="M2081" t="s">
        <v>41569</v>
      </c>
      <c r="N2081" t="s">
        <v>44759</v>
      </c>
      <c r="O2081" t="s">
        <v>44760</v>
      </c>
      <c r="P2081">
        <v>0</v>
      </c>
      <c r="Q2081">
        <v>0</v>
      </c>
      <c r="R2081" t="s">
        <v>44762</v>
      </c>
      <c r="S2081" t="s">
        <v>44863</v>
      </c>
      <c r="T2081" t="s">
        <v>46572</v>
      </c>
      <c r="U2081" t="s">
        <v>48753</v>
      </c>
      <c r="W2081" t="s">
        <v>41569</v>
      </c>
      <c r="X2081" t="s">
        <v>44763</v>
      </c>
    </row>
    <row r="2082" spans="1:24">
      <c r="A2082">
        <f>HYPERLINK("https://www.philgeps.gov.ph/GEPSNONPILOT/Tender/SplashBidNoticeAbstractUI.aspx?menuIndex=3&amp;refID=7151584&amp;Result=3","7151584")</f>
        <v>0</v>
      </c>
      <c r="B2082" t="s">
        <v>982</v>
      </c>
      <c r="C2082" t="s">
        <v>5756</v>
      </c>
      <c r="D2082" t="s">
        <v>18019</v>
      </c>
      <c r="E2082" t="s">
        <v>19959</v>
      </c>
      <c r="F2082" t="s">
        <v>30900</v>
      </c>
      <c r="G2082" t="s">
        <v>30908</v>
      </c>
      <c r="H2082" t="s">
        <v>30916</v>
      </c>
      <c r="I2082" t="s">
        <v>6953</v>
      </c>
      <c r="J2082" t="s">
        <v>32467</v>
      </c>
      <c r="K2082" t="s">
        <v>40287</v>
      </c>
      <c r="M2082" t="s">
        <v>41570</v>
      </c>
      <c r="N2082" t="s">
        <v>44759</v>
      </c>
      <c r="O2082" t="s">
        <v>44760</v>
      </c>
      <c r="P2082">
        <v>0</v>
      </c>
      <c r="Q2082">
        <v>0</v>
      </c>
      <c r="R2082" t="s">
        <v>44762</v>
      </c>
      <c r="S2082" t="s">
        <v>44863</v>
      </c>
      <c r="T2082" t="s">
        <v>46573</v>
      </c>
      <c r="U2082" t="s">
        <v>48754</v>
      </c>
      <c r="W2082" t="s">
        <v>41570</v>
      </c>
      <c r="X2082" t="s">
        <v>44763</v>
      </c>
    </row>
    <row r="2083" spans="1:24">
      <c r="A2083">
        <f>HYPERLINK("https://www.philgeps.gov.ph/GEPSNONPILOT/Tender/SplashBidNoticeAbstractUI.aspx?menuIndex=3&amp;refID=7151582&amp;Result=3","7151582")</f>
        <v>0</v>
      </c>
      <c r="B2083" t="s">
        <v>960</v>
      </c>
      <c r="C2083" t="s">
        <v>5757</v>
      </c>
      <c r="D2083" t="s">
        <v>17963</v>
      </c>
      <c r="E2083" t="s">
        <v>18169</v>
      </c>
      <c r="F2083" t="s">
        <v>30900</v>
      </c>
      <c r="G2083" t="s">
        <v>30909</v>
      </c>
      <c r="H2083" t="s">
        <v>30916</v>
      </c>
      <c r="I2083" t="s">
        <v>30943</v>
      </c>
      <c r="J2083" t="s">
        <v>31767</v>
      </c>
      <c r="K2083" t="s">
        <v>40289</v>
      </c>
      <c r="M2083" t="s">
        <v>41546</v>
      </c>
      <c r="N2083" t="s">
        <v>44759</v>
      </c>
      <c r="O2083" t="s">
        <v>44760</v>
      </c>
      <c r="P2083">
        <v>0</v>
      </c>
      <c r="Q2083">
        <v>1</v>
      </c>
      <c r="R2083" t="s">
        <v>44762</v>
      </c>
      <c r="S2083" t="s">
        <v>44863</v>
      </c>
      <c r="T2083" t="s">
        <v>46414</v>
      </c>
      <c r="U2083" t="s">
        <v>48755</v>
      </c>
      <c r="W2083" t="s">
        <v>41546</v>
      </c>
      <c r="X2083" t="s">
        <v>44763</v>
      </c>
    </row>
    <row r="2084" spans="1:24">
      <c r="A2084">
        <f>HYPERLINK("https://www.philgeps.gov.ph/GEPSNONPILOT/Tender/SplashBidNoticeAbstractUI.aspx?menuIndex=3&amp;refID=7151555&amp;Result=3","7151555")</f>
        <v>0</v>
      </c>
      <c r="B2084" t="s">
        <v>983</v>
      </c>
      <c r="C2084" t="s">
        <v>5758</v>
      </c>
      <c r="D2084" t="s">
        <v>18005</v>
      </c>
      <c r="E2084" t="s">
        <v>19960</v>
      </c>
      <c r="F2084" t="s">
        <v>30900</v>
      </c>
      <c r="G2084" t="s">
        <v>30908</v>
      </c>
      <c r="H2084" t="s">
        <v>30916</v>
      </c>
      <c r="I2084" t="s">
        <v>30952</v>
      </c>
      <c r="J2084" t="s">
        <v>32571</v>
      </c>
      <c r="K2084" t="s">
        <v>40284</v>
      </c>
      <c r="M2084" t="s">
        <v>41571</v>
      </c>
      <c r="N2084" t="s">
        <v>44759</v>
      </c>
      <c r="O2084" t="s">
        <v>44760</v>
      </c>
      <c r="P2084">
        <v>0</v>
      </c>
      <c r="Q2084">
        <v>2</v>
      </c>
      <c r="R2084" t="s">
        <v>44762</v>
      </c>
      <c r="S2084" t="s">
        <v>44863</v>
      </c>
      <c r="T2084" t="s">
        <v>46410</v>
      </c>
      <c r="U2084" t="s">
        <v>48756</v>
      </c>
      <c r="W2084" t="s">
        <v>41571</v>
      </c>
      <c r="X2084" t="s">
        <v>44763</v>
      </c>
    </row>
    <row r="2085" spans="1:24">
      <c r="A2085">
        <f>HYPERLINK("https://www.philgeps.gov.ph/GEPSNONPILOT/Tender/SplashBidNoticeAbstractUI.aspx?menuIndex=3&amp;refID=7151580&amp;Result=3","7151580")</f>
        <v>0</v>
      </c>
      <c r="B2085" t="s">
        <v>573</v>
      </c>
      <c r="C2085" t="s">
        <v>5759</v>
      </c>
      <c r="D2085" t="s">
        <v>18023</v>
      </c>
      <c r="E2085" t="s">
        <v>19961</v>
      </c>
      <c r="F2085" t="s">
        <v>30900</v>
      </c>
      <c r="G2085" t="s">
        <v>30908</v>
      </c>
      <c r="H2085" t="s">
        <v>30916</v>
      </c>
      <c r="I2085" t="s">
        <v>30923</v>
      </c>
      <c r="J2085" t="s">
        <v>32572</v>
      </c>
      <c r="K2085" t="s">
        <v>40284</v>
      </c>
      <c r="M2085" t="s">
        <v>41141</v>
      </c>
      <c r="N2085" t="s">
        <v>44759</v>
      </c>
      <c r="O2085" t="s">
        <v>44760</v>
      </c>
      <c r="P2085">
        <v>0</v>
      </c>
      <c r="Q2085">
        <v>1</v>
      </c>
      <c r="R2085" t="s">
        <v>44762</v>
      </c>
      <c r="S2085" t="s">
        <v>44863</v>
      </c>
      <c r="T2085" t="s">
        <v>46383</v>
      </c>
      <c r="U2085" t="s">
        <v>48757</v>
      </c>
      <c r="V2085" t="s">
        <v>59352</v>
      </c>
      <c r="W2085" t="s">
        <v>41141</v>
      </c>
      <c r="X2085" t="s">
        <v>44763</v>
      </c>
    </row>
    <row r="2086" spans="1:24">
      <c r="A2086">
        <f>HYPERLINK("https://www.philgeps.gov.ph/GEPSNONPILOT/Tender/SplashBidNoticeAbstractUI.aspx?menuIndex=3&amp;refID=7151532&amp;Result=3","7151532")</f>
        <v>0</v>
      </c>
      <c r="B2086" t="s">
        <v>984</v>
      </c>
      <c r="C2086" t="s">
        <v>5760</v>
      </c>
      <c r="D2086" t="s">
        <v>18016</v>
      </c>
      <c r="E2086" t="s">
        <v>19962</v>
      </c>
      <c r="F2086" t="s">
        <v>30900</v>
      </c>
      <c r="G2086" t="s">
        <v>30908</v>
      </c>
      <c r="H2086" t="s">
        <v>30916</v>
      </c>
      <c r="I2086" t="s">
        <v>30949</v>
      </c>
      <c r="J2086" t="s">
        <v>32573</v>
      </c>
      <c r="K2086" t="s">
        <v>40286</v>
      </c>
      <c r="M2086" t="s">
        <v>41572</v>
      </c>
      <c r="N2086" t="s">
        <v>44759</v>
      </c>
      <c r="O2086" t="s">
        <v>44760</v>
      </c>
      <c r="P2086">
        <v>0</v>
      </c>
      <c r="Q2086">
        <v>2</v>
      </c>
      <c r="R2086" t="s">
        <v>44762</v>
      </c>
      <c r="S2086" t="s">
        <v>44863</v>
      </c>
      <c r="T2086" t="s">
        <v>46414</v>
      </c>
      <c r="U2086" t="s">
        <v>48758</v>
      </c>
      <c r="V2086" t="s">
        <v>59353</v>
      </c>
      <c r="W2086" t="s">
        <v>41572</v>
      </c>
      <c r="X2086" t="s">
        <v>44763</v>
      </c>
    </row>
    <row r="2087" spans="1:24">
      <c r="A2087">
        <f>HYPERLINK("https://www.philgeps.gov.ph/GEPSNONPILOT/Tender/SplashBidNoticeAbstractUI.aspx?menuIndex=3&amp;refID=7151549&amp;Result=3","7151549")</f>
        <v>0</v>
      </c>
      <c r="B2087" t="s">
        <v>985</v>
      </c>
      <c r="C2087" t="s">
        <v>5761</v>
      </c>
      <c r="D2087" t="s">
        <v>18018</v>
      </c>
      <c r="E2087" t="s">
        <v>19963</v>
      </c>
      <c r="F2087" t="s">
        <v>30900</v>
      </c>
      <c r="G2087" t="s">
        <v>30908</v>
      </c>
      <c r="H2087" t="s">
        <v>30917</v>
      </c>
      <c r="I2087" t="s">
        <v>30957</v>
      </c>
      <c r="J2087" t="s">
        <v>32574</v>
      </c>
      <c r="K2087" t="s">
        <v>40360</v>
      </c>
      <c r="M2087" t="s">
        <v>41573</v>
      </c>
      <c r="N2087" t="s">
        <v>44759</v>
      </c>
      <c r="O2087" t="s">
        <v>44760</v>
      </c>
      <c r="P2087">
        <v>0</v>
      </c>
      <c r="Q2087">
        <v>3</v>
      </c>
      <c r="R2087" t="s">
        <v>44762</v>
      </c>
      <c r="S2087" t="s">
        <v>44863</v>
      </c>
      <c r="T2087" t="s">
        <v>46398</v>
      </c>
      <c r="U2087" t="s">
        <v>48759</v>
      </c>
      <c r="V2087" t="s">
        <v>59354</v>
      </c>
      <c r="W2087" t="s">
        <v>41573</v>
      </c>
      <c r="X2087" t="s">
        <v>44763</v>
      </c>
    </row>
    <row r="2088" spans="1:24">
      <c r="A2088">
        <f>HYPERLINK("https://www.philgeps.gov.ph/GEPSNONPILOT/Tender/SplashBidNoticeAbstractUI.aspx?menuIndex=3&amp;refID=7151578&amp;Result=3","7151578")</f>
        <v>0</v>
      </c>
      <c r="B2088" t="s">
        <v>986</v>
      </c>
      <c r="C2088" t="s">
        <v>5762</v>
      </c>
      <c r="D2088" t="s">
        <v>17985</v>
      </c>
      <c r="E2088" t="s">
        <v>19964</v>
      </c>
      <c r="F2088" t="s">
        <v>30900</v>
      </c>
      <c r="G2088" t="s">
        <v>30908</v>
      </c>
      <c r="H2088" t="s">
        <v>30916</v>
      </c>
      <c r="I2088" t="s">
        <v>30923</v>
      </c>
      <c r="J2088" t="s">
        <v>32575</v>
      </c>
      <c r="K2088" t="s">
        <v>40283</v>
      </c>
      <c r="M2088" t="s">
        <v>41574</v>
      </c>
      <c r="N2088" t="s">
        <v>44759</v>
      </c>
      <c r="O2088" t="s">
        <v>44760</v>
      </c>
      <c r="P2088">
        <v>0</v>
      </c>
      <c r="Q2088">
        <v>0</v>
      </c>
      <c r="R2088" t="s">
        <v>44762</v>
      </c>
      <c r="S2088" t="s">
        <v>44863</v>
      </c>
      <c r="T2088" t="s">
        <v>46559</v>
      </c>
      <c r="U2088" t="s">
        <v>48760</v>
      </c>
      <c r="W2088" t="s">
        <v>41574</v>
      </c>
      <c r="X2088" t="s">
        <v>44763</v>
      </c>
    </row>
    <row r="2089" spans="1:24">
      <c r="A2089">
        <f>HYPERLINK("https://www.philgeps.gov.ph/GEPSNONPILOT/Tender/SplashBidNoticeAbstractUI.aspx?menuIndex=3&amp;refID=7151576&amp;Result=3","7151576")</f>
        <v>0</v>
      </c>
      <c r="B2089" t="s">
        <v>987</v>
      </c>
      <c r="C2089" t="s">
        <v>5763</v>
      </c>
      <c r="E2089" t="s">
        <v>19965</v>
      </c>
      <c r="F2089" t="s">
        <v>30900</v>
      </c>
      <c r="G2089" t="s">
        <v>30908</v>
      </c>
      <c r="H2089" t="s">
        <v>30916</v>
      </c>
      <c r="I2089" t="s">
        <v>5830</v>
      </c>
      <c r="J2089" t="s">
        <v>32576</v>
      </c>
      <c r="K2089" t="s">
        <v>40289</v>
      </c>
      <c r="M2089" t="s">
        <v>41575</v>
      </c>
      <c r="N2089" t="s">
        <v>44759</v>
      </c>
      <c r="O2089" t="s">
        <v>44760</v>
      </c>
      <c r="P2089">
        <v>0</v>
      </c>
      <c r="Q2089">
        <v>1</v>
      </c>
      <c r="R2089" t="s">
        <v>44762</v>
      </c>
      <c r="S2089" t="s">
        <v>44863</v>
      </c>
      <c r="T2089" t="s">
        <v>46574</v>
      </c>
      <c r="U2089" t="s">
        <v>48761</v>
      </c>
      <c r="W2089" t="s">
        <v>41575</v>
      </c>
      <c r="X2089" t="s">
        <v>44763</v>
      </c>
    </row>
    <row r="2090" spans="1:24">
      <c r="A2090">
        <f>HYPERLINK("https://www.philgeps.gov.ph/GEPSNONPILOT/Tender/SplashBidNoticeAbstractUI.aspx?menuIndex=3&amp;refID=7151575&amp;Result=3","7151575")</f>
        <v>0</v>
      </c>
      <c r="B2090" t="s">
        <v>988</v>
      </c>
      <c r="C2090" t="s">
        <v>5764</v>
      </c>
      <c r="D2090" t="s">
        <v>17953</v>
      </c>
      <c r="E2090" t="s">
        <v>19966</v>
      </c>
      <c r="F2090" t="s">
        <v>30900</v>
      </c>
      <c r="G2090" t="s">
        <v>30906</v>
      </c>
      <c r="H2090" t="s">
        <v>30916</v>
      </c>
      <c r="I2090" t="s">
        <v>6396</v>
      </c>
      <c r="J2090" t="s">
        <v>32577</v>
      </c>
      <c r="K2090" t="s">
        <v>40289</v>
      </c>
      <c r="M2090" t="s">
        <v>41576</v>
      </c>
      <c r="N2090" t="s">
        <v>44759</v>
      </c>
      <c r="O2090" t="s">
        <v>44760</v>
      </c>
      <c r="P2090">
        <v>0</v>
      </c>
      <c r="Q2090">
        <v>1</v>
      </c>
      <c r="R2090" t="s">
        <v>44762</v>
      </c>
      <c r="S2090" t="s">
        <v>44863</v>
      </c>
      <c r="T2090" t="s">
        <v>46363</v>
      </c>
      <c r="U2090" t="s">
        <v>48762</v>
      </c>
      <c r="W2090" t="s">
        <v>41576</v>
      </c>
      <c r="X2090" t="s">
        <v>44763</v>
      </c>
    </row>
    <row r="2091" spans="1:24">
      <c r="A2091">
        <f>HYPERLINK("https://www.philgeps.gov.ph/GEPSNONPILOT/Tender/SplashBidNoticeAbstractUI.aspx?menuIndex=3&amp;refID=7151574&amp;Result=3","7151574")</f>
        <v>0</v>
      </c>
      <c r="B2091" t="s">
        <v>932</v>
      </c>
      <c r="C2091" t="s">
        <v>5765</v>
      </c>
      <c r="D2091" t="s">
        <v>17959</v>
      </c>
      <c r="E2091" t="s">
        <v>19967</v>
      </c>
      <c r="F2091" t="s">
        <v>30900</v>
      </c>
      <c r="G2091" t="s">
        <v>30907</v>
      </c>
      <c r="H2091" t="s">
        <v>30916</v>
      </c>
      <c r="I2091" t="s">
        <v>4108</v>
      </c>
      <c r="J2091" t="s">
        <v>32578</v>
      </c>
      <c r="K2091" t="s">
        <v>40283</v>
      </c>
      <c r="M2091" t="s">
        <v>41514</v>
      </c>
      <c r="N2091" t="s">
        <v>44759</v>
      </c>
      <c r="O2091" t="s">
        <v>44760</v>
      </c>
      <c r="P2091">
        <v>0</v>
      </c>
      <c r="Q2091">
        <v>0</v>
      </c>
      <c r="R2091" t="s">
        <v>44762</v>
      </c>
      <c r="S2091" t="s">
        <v>44863</v>
      </c>
      <c r="T2091" t="s">
        <v>46350</v>
      </c>
      <c r="U2091" t="s">
        <v>48763</v>
      </c>
      <c r="W2091" t="s">
        <v>41514</v>
      </c>
      <c r="X2091" t="s">
        <v>44763</v>
      </c>
    </row>
    <row r="2092" spans="1:24">
      <c r="A2092">
        <f>HYPERLINK("https://www.philgeps.gov.ph/GEPSNONPILOT/Tender/SplashBidNoticeAbstractUI.aspx?menuIndex=3&amp;refID=7151572&amp;Result=3","7151572")</f>
        <v>0</v>
      </c>
      <c r="B2092" t="s">
        <v>220</v>
      </c>
      <c r="C2092" t="s">
        <v>5766</v>
      </c>
      <c r="D2092" t="s">
        <v>17993</v>
      </c>
      <c r="E2092" t="s">
        <v>19968</v>
      </c>
      <c r="F2092" t="s">
        <v>30900</v>
      </c>
      <c r="G2092" t="s">
        <v>30908</v>
      </c>
      <c r="H2092" t="s">
        <v>30916</v>
      </c>
      <c r="I2092" t="s">
        <v>30933</v>
      </c>
      <c r="J2092" t="s">
        <v>31043</v>
      </c>
      <c r="K2092" t="s">
        <v>40287</v>
      </c>
      <c r="M2092" t="s">
        <v>40767</v>
      </c>
      <c r="N2092" t="s">
        <v>44759</v>
      </c>
      <c r="O2092" t="s">
        <v>44760</v>
      </c>
      <c r="P2092">
        <v>0</v>
      </c>
      <c r="Q2092">
        <v>0</v>
      </c>
      <c r="R2092" t="s">
        <v>44762</v>
      </c>
      <c r="S2092" t="s">
        <v>44863</v>
      </c>
      <c r="T2092" t="s">
        <v>46410</v>
      </c>
      <c r="U2092" t="s">
        <v>48764</v>
      </c>
      <c r="V2092" t="s">
        <v>59355</v>
      </c>
      <c r="W2092" t="s">
        <v>40767</v>
      </c>
      <c r="X2092" t="s">
        <v>44763</v>
      </c>
    </row>
    <row r="2093" spans="1:24">
      <c r="A2093">
        <f>HYPERLINK("https://www.philgeps.gov.ph/GEPSNONPILOT/Tender/SplashBidNoticeAbstractUI.aspx?menuIndex=3&amp;refID=7151583&amp;Result=3","7151583")</f>
        <v>0</v>
      </c>
      <c r="B2093" t="s">
        <v>989</v>
      </c>
      <c r="C2093" t="s">
        <v>5767</v>
      </c>
      <c r="D2093" t="s">
        <v>18025</v>
      </c>
      <c r="E2093" t="s">
        <v>19969</v>
      </c>
      <c r="F2093" t="s">
        <v>30900</v>
      </c>
      <c r="G2093" t="s">
        <v>30909</v>
      </c>
      <c r="H2093" t="s">
        <v>30916</v>
      </c>
      <c r="I2093" t="s">
        <v>4108</v>
      </c>
      <c r="J2093" t="s">
        <v>32579</v>
      </c>
      <c r="K2093" t="s">
        <v>40288</v>
      </c>
      <c r="M2093" t="s">
        <v>41577</v>
      </c>
      <c r="N2093" t="s">
        <v>44759</v>
      </c>
      <c r="O2093" t="s">
        <v>44760</v>
      </c>
      <c r="P2093">
        <v>0</v>
      </c>
      <c r="Q2093">
        <v>3</v>
      </c>
      <c r="R2093" t="s">
        <v>44762</v>
      </c>
      <c r="S2093" t="s">
        <v>44863</v>
      </c>
      <c r="T2093" t="s">
        <v>46403</v>
      </c>
      <c r="U2093" t="s">
        <v>48765</v>
      </c>
      <c r="W2093" t="s">
        <v>41577</v>
      </c>
      <c r="X2093" t="s">
        <v>44763</v>
      </c>
    </row>
    <row r="2094" spans="1:24">
      <c r="A2094">
        <f>HYPERLINK("https://www.philgeps.gov.ph/GEPSNONPILOT/Tender/SplashBidNoticeAbstractUI.aspx?menuIndex=3&amp;refID=7151571&amp;Result=3","7151571")</f>
        <v>0</v>
      </c>
      <c r="B2094" t="s">
        <v>562</v>
      </c>
      <c r="C2094" t="s">
        <v>5768</v>
      </c>
      <c r="D2094" t="s">
        <v>17972</v>
      </c>
      <c r="E2094" t="s">
        <v>19970</v>
      </c>
      <c r="F2094" t="s">
        <v>30900</v>
      </c>
      <c r="G2094" t="s">
        <v>30908</v>
      </c>
      <c r="H2094" t="s">
        <v>30916</v>
      </c>
      <c r="I2094" t="s">
        <v>8123</v>
      </c>
      <c r="J2094" t="s">
        <v>32580</v>
      </c>
      <c r="K2094" t="s">
        <v>40286</v>
      </c>
      <c r="M2094" t="s">
        <v>41123</v>
      </c>
      <c r="N2094" t="s">
        <v>44759</v>
      </c>
      <c r="O2094" t="s">
        <v>44760</v>
      </c>
      <c r="P2094">
        <v>0</v>
      </c>
      <c r="Q2094">
        <v>0</v>
      </c>
      <c r="R2094" t="s">
        <v>44762</v>
      </c>
      <c r="S2094" t="s">
        <v>44863</v>
      </c>
      <c r="T2094" t="s">
        <v>46379</v>
      </c>
      <c r="U2094" t="s">
        <v>48766</v>
      </c>
      <c r="W2094" t="s">
        <v>41123</v>
      </c>
      <c r="X2094" t="s">
        <v>44763</v>
      </c>
    </row>
    <row r="2095" spans="1:24">
      <c r="A2095">
        <f>HYPERLINK("https://www.philgeps.gov.ph/GEPSNONPILOT/Tender/SplashBidNoticeAbstractUI.aspx?menuIndex=3&amp;refID=7151530&amp;Result=3","7151530")</f>
        <v>0</v>
      </c>
      <c r="B2095" t="s">
        <v>338</v>
      </c>
      <c r="C2095" t="s">
        <v>5769</v>
      </c>
      <c r="D2095" t="s">
        <v>18019</v>
      </c>
      <c r="E2095" t="s">
        <v>18727</v>
      </c>
      <c r="F2095" t="s">
        <v>30900</v>
      </c>
      <c r="G2095" t="s">
        <v>30908</v>
      </c>
      <c r="H2095" t="s">
        <v>30916</v>
      </c>
      <c r="I2095" t="s">
        <v>10602</v>
      </c>
      <c r="J2095" t="s">
        <v>32581</v>
      </c>
      <c r="K2095" t="s">
        <v>40285</v>
      </c>
      <c r="M2095" t="s">
        <v>40890</v>
      </c>
      <c r="N2095" t="s">
        <v>44759</v>
      </c>
      <c r="O2095" t="s">
        <v>44760</v>
      </c>
      <c r="P2095">
        <v>0</v>
      </c>
      <c r="Q2095">
        <v>0</v>
      </c>
      <c r="R2095" t="s">
        <v>44762</v>
      </c>
      <c r="S2095" t="s">
        <v>44863</v>
      </c>
      <c r="T2095" t="s">
        <v>46379</v>
      </c>
      <c r="U2095" t="s">
        <v>48767</v>
      </c>
      <c r="W2095" t="s">
        <v>40890</v>
      </c>
      <c r="X2095" t="s">
        <v>44763</v>
      </c>
    </row>
    <row r="2096" spans="1:24">
      <c r="A2096">
        <f>HYPERLINK("https://www.philgeps.gov.ph/GEPSNONPILOT/Tender/SplashBidNoticeAbstractUI.aspx?menuIndex=3&amp;refID=7151570&amp;Result=3","7151570")</f>
        <v>0</v>
      </c>
      <c r="B2096" t="s">
        <v>248</v>
      </c>
      <c r="C2096" t="s">
        <v>5770</v>
      </c>
      <c r="D2096" t="s">
        <v>17966</v>
      </c>
      <c r="E2096" t="s">
        <v>19971</v>
      </c>
      <c r="F2096" t="s">
        <v>30900</v>
      </c>
      <c r="G2096" t="s">
        <v>30907</v>
      </c>
      <c r="H2096" t="s">
        <v>30915</v>
      </c>
      <c r="I2096" t="s">
        <v>30919</v>
      </c>
      <c r="J2096" t="s">
        <v>32582</v>
      </c>
      <c r="K2096" t="s">
        <v>40292</v>
      </c>
      <c r="M2096" t="s">
        <v>40795</v>
      </c>
      <c r="N2096" t="s">
        <v>44759</v>
      </c>
      <c r="O2096" t="s">
        <v>44760</v>
      </c>
      <c r="P2096">
        <v>0</v>
      </c>
      <c r="Q2096">
        <v>0</v>
      </c>
      <c r="R2096" t="s">
        <v>44762</v>
      </c>
      <c r="S2096" t="s">
        <v>44863</v>
      </c>
      <c r="T2096" t="s">
        <v>46380</v>
      </c>
      <c r="U2096" t="s">
        <v>48768</v>
      </c>
      <c r="W2096" t="s">
        <v>40795</v>
      </c>
      <c r="X2096" t="s">
        <v>44763</v>
      </c>
    </row>
    <row r="2097" spans="1:24">
      <c r="A2097">
        <f>HYPERLINK("https://www.philgeps.gov.ph/GEPSNONPILOT/Tender/SplashBidNoticeAbstractUI.aspx?menuIndex=3&amp;refID=7151566&amp;Result=3","7151566")</f>
        <v>0</v>
      </c>
      <c r="B2097" t="s">
        <v>990</v>
      </c>
      <c r="C2097" t="s">
        <v>5771</v>
      </c>
      <c r="D2097" t="s">
        <v>17963</v>
      </c>
      <c r="E2097" t="s">
        <v>19972</v>
      </c>
      <c r="F2097" t="s">
        <v>30900</v>
      </c>
      <c r="G2097" t="s">
        <v>30907</v>
      </c>
      <c r="H2097" t="s">
        <v>30917</v>
      </c>
      <c r="I2097" t="s">
        <v>30942</v>
      </c>
      <c r="J2097" t="s">
        <v>32583</v>
      </c>
      <c r="K2097" t="s">
        <v>40334</v>
      </c>
      <c r="M2097" t="s">
        <v>41578</v>
      </c>
      <c r="N2097" t="s">
        <v>44759</v>
      </c>
      <c r="O2097" t="s">
        <v>44760</v>
      </c>
      <c r="P2097">
        <v>0</v>
      </c>
      <c r="Q2097">
        <v>0</v>
      </c>
      <c r="R2097" t="s">
        <v>44762</v>
      </c>
      <c r="S2097" t="s">
        <v>44863</v>
      </c>
      <c r="T2097" t="s">
        <v>46377</v>
      </c>
      <c r="U2097" t="s">
        <v>48769</v>
      </c>
      <c r="W2097" t="s">
        <v>41578</v>
      </c>
      <c r="X2097" t="s">
        <v>44763</v>
      </c>
    </row>
    <row r="2098" spans="1:24">
      <c r="A2098">
        <f>HYPERLINK("https://www.philgeps.gov.ph/GEPSNONPILOT/Tender/SplashBidNoticeAbstractUI.aspx?menuIndex=3&amp;refID=7151577&amp;Result=3","7151577")</f>
        <v>0</v>
      </c>
      <c r="B2098" t="s">
        <v>975</v>
      </c>
      <c r="C2098" t="s">
        <v>4561</v>
      </c>
      <c r="D2098" t="s">
        <v>17961</v>
      </c>
      <c r="E2098" t="s">
        <v>19973</v>
      </c>
      <c r="F2098" t="s">
        <v>30900</v>
      </c>
      <c r="G2098" t="s">
        <v>30909</v>
      </c>
      <c r="H2098" t="s">
        <v>30916</v>
      </c>
      <c r="I2098" t="s">
        <v>4061</v>
      </c>
      <c r="J2098" t="s">
        <v>32584</v>
      </c>
      <c r="K2098" t="s">
        <v>40285</v>
      </c>
      <c r="M2098" t="s">
        <v>41563</v>
      </c>
      <c r="N2098" t="s">
        <v>44759</v>
      </c>
      <c r="O2098" t="s">
        <v>44760</v>
      </c>
      <c r="P2098">
        <v>0</v>
      </c>
      <c r="Q2098">
        <v>0</v>
      </c>
      <c r="R2098" t="s">
        <v>44762</v>
      </c>
      <c r="S2098" t="s">
        <v>44863</v>
      </c>
      <c r="T2098" t="s">
        <v>46533</v>
      </c>
      <c r="U2098" t="s">
        <v>48770</v>
      </c>
      <c r="V2098" t="s">
        <v>59348</v>
      </c>
      <c r="W2098" t="s">
        <v>41563</v>
      </c>
      <c r="X2098" t="s">
        <v>44763</v>
      </c>
    </row>
    <row r="2099" spans="1:24">
      <c r="A2099">
        <f>HYPERLINK("https://www.philgeps.gov.ph/GEPSNONPILOT/Tender/SplashBidNoticeAbstractUI.aspx?menuIndex=3&amp;refID=7151581&amp;Result=3","7151581")</f>
        <v>0</v>
      </c>
      <c r="B2099" t="s">
        <v>924</v>
      </c>
      <c r="C2099" t="s">
        <v>5772</v>
      </c>
      <c r="D2099" t="s">
        <v>18017</v>
      </c>
      <c r="E2099" t="s">
        <v>19974</v>
      </c>
      <c r="F2099" t="s">
        <v>30900</v>
      </c>
      <c r="G2099" t="s">
        <v>30907</v>
      </c>
      <c r="H2099" t="s">
        <v>30916</v>
      </c>
      <c r="I2099" t="s">
        <v>4108</v>
      </c>
      <c r="J2099" t="s">
        <v>32585</v>
      </c>
      <c r="K2099" t="s">
        <v>40291</v>
      </c>
      <c r="M2099" t="s">
        <v>41504</v>
      </c>
      <c r="N2099" t="s">
        <v>44759</v>
      </c>
      <c r="O2099" t="s">
        <v>44760</v>
      </c>
      <c r="P2099">
        <v>0</v>
      </c>
      <c r="Q2099">
        <v>0</v>
      </c>
      <c r="R2099" t="s">
        <v>44762</v>
      </c>
      <c r="S2099" t="s">
        <v>44863</v>
      </c>
      <c r="T2099" t="s">
        <v>46370</v>
      </c>
      <c r="U2099" t="s">
        <v>48771</v>
      </c>
      <c r="V2099" t="s">
        <v>59331</v>
      </c>
      <c r="W2099" t="s">
        <v>41504</v>
      </c>
      <c r="X2099" t="s">
        <v>44763</v>
      </c>
    </row>
    <row r="2100" spans="1:24">
      <c r="A2100">
        <f>HYPERLINK("https://www.philgeps.gov.ph/GEPSNONPILOT/Tender/SplashBidNoticeAbstractUI.aspx?menuIndex=3&amp;refID=7151573&amp;Result=3","7151573")</f>
        <v>0</v>
      </c>
      <c r="B2100" t="s">
        <v>982</v>
      </c>
      <c r="C2100" t="s">
        <v>5773</v>
      </c>
      <c r="D2100" t="s">
        <v>18019</v>
      </c>
      <c r="E2100" t="s">
        <v>19975</v>
      </c>
      <c r="F2100" t="s">
        <v>30900</v>
      </c>
      <c r="G2100" t="s">
        <v>30908</v>
      </c>
      <c r="H2100" t="s">
        <v>30916</v>
      </c>
      <c r="I2100" t="s">
        <v>4108</v>
      </c>
      <c r="J2100" t="s">
        <v>31583</v>
      </c>
      <c r="K2100" t="s">
        <v>40287</v>
      </c>
      <c r="M2100" t="s">
        <v>41570</v>
      </c>
      <c r="N2100" t="s">
        <v>44759</v>
      </c>
      <c r="O2100" t="s">
        <v>44760</v>
      </c>
      <c r="P2100">
        <v>0</v>
      </c>
      <c r="Q2100">
        <v>0</v>
      </c>
      <c r="R2100" t="s">
        <v>44762</v>
      </c>
      <c r="S2100" t="s">
        <v>44863</v>
      </c>
      <c r="T2100" t="s">
        <v>46379</v>
      </c>
      <c r="U2100" t="s">
        <v>48754</v>
      </c>
      <c r="W2100" t="s">
        <v>41570</v>
      </c>
      <c r="X2100" t="s">
        <v>44763</v>
      </c>
    </row>
    <row r="2101" spans="1:24">
      <c r="A2101">
        <f>HYPERLINK("https://www.philgeps.gov.ph/GEPSNONPILOT/Tender/SplashBidNoticeAbstractUI.aspx?menuIndex=3&amp;refID=7151569&amp;Result=3","7151569")</f>
        <v>0</v>
      </c>
      <c r="B2101" t="s">
        <v>991</v>
      </c>
      <c r="C2101" t="s">
        <v>5774</v>
      </c>
      <c r="D2101" t="s">
        <v>17986</v>
      </c>
      <c r="E2101" t="s">
        <v>19976</v>
      </c>
      <c r="F2101" t="s">
        <v>30900</v>
      </c>
      <c r="G2101" t="s">
        <v>30907</v>
      </c>
      <c r="H2101" t="s">
        <v>30915</v>
      </c>
      <c r="I2101" t="s">
        <v>30919</v>
      </c>
      <c r="J2101" t="s">
        <v>32586</v>
      </c>
      <c r="K2101" t="s">
        <v>40286</v>
      </c>
      <c r="M2101" t="s">
        <v>41579</v>
      </c>
      <c r="N2101" t="s">
        <v>44759</v>
      </c>
      <c r="O2101" t="s">
        <v>44760</v>
      </c>
      <c r="P2101">
        <v>0</v>
      </c>
      <c r="Q2101">
        <v>0</v>
      </c>
      <c r="R2101" t="s">
        <v>44762</v>
      </c>
      <c r="S2101" t="s">
        <v>44863</v>
      </c>
      <c r="T2101" t="s">
        <v>46409</v>
      </c>
      <c r="U2101" t="s">
        <v>48772</v>
      </c>
      <c r="W2101" t="s">
        <v>41579</v>
      </c>
      <c r="X2101" t="s">
        <v>44763</v>
      </c>
    </row>
    <row r="2102" spans="1:24">
      <c r="A2102">
        <f>HYPERLINK("https://www.philgeps.gov.ph/GEPSNONPILOT/Tender/SplashBidNoticeAbstractUI.aspx?menuIndex=3&amp;refID=7151587&amp;Result=3","7151587")</f>
        <v>0</v>
      </c>
      <c r="B2102" t="s">
        <v>992</v>
      </c>
      <c r="C2102" t="s">
        <v>5775</v>
      </c>
      <c r="D2102" t="s">
        <v>18009</v>
      </c>
      <c r="E2102" t="s">
        <v>19977</v>
      </c>
      <c r="F2102" t="s">
        <v>30900</v>
      </c>
      <c r="G2102" t="s">
        <v>30908</v>
      </c>
      <c r="H2102" t="s">
        <v>30916</v>
      </c>
      <c r="I2102" t="s">
        <v>6834</v>
      </c>
      <c r="J2102" t="s">
        <v>31130</v>
      </c>
      <c r="K2102" t="s">
        <v>40286</v>
      </c>
      <c r="M2102" t="s">
        <v>41580</v>
      </c>
      <c r="N2102" t="s">
        <v>44759</v>
      </c>
      <c r="O2102" t="s">
        <v>44760</v>
      </c>
      <c r="P2102">
        <v>0</v>
      </c>
      <c r="Q2102">
        <v>3</v>
      </c>
      <c r="R2102" t="s">
        <v>44762</v>
      </c>
      <c r="S2102" t="s">
        <v>44863</v>
      </c>
      <c r="T2102" t="s">
        <v>46379</v>
      </c>
      <c r="U2102" t="s">
        <v>48773</v>
      </c>
      <c r="W2102" t="s">
        <v>41580</v>
      </c>
      <c r="X2102" t="s">
        <v>44763</v>
      </c>
    </row>
    <row r="2103" spans="1:24">
      <c r="A2103">
        <f>HYPERLINK("https://www.philgeps.gov.ph/GEPSNONPILOT/Tender/SplashBidNoticeAbstractUI.aspx?menuIndex=3&amp;refID=7151594&amp;Result=3","7151594")</f>
        <v>0</v>
      </c>
      <c r="B2103" t="s">
        <v>975</v>
      </c>
      <c r="C2103" t="s">
        <v>5776</v>
      </c>
      <c r="D2103" t="s">
        <v>17961</v>
      </c>
      <c r="E2103" t="s">
        <v>19978</v>
      </c>
      <c r="F2103" t="s">
        <v>30900</v>
      </c>
      <c r="G2103" t="s">
        <v>30909</v>
      </c>
      <c r="H2103" t="s">
        <v>30917</v>
      </c>
      <c r="I2103" t="s">
        <v>6746</v>
      </c>
      <c r="J2103" t="s">
        <v>32587</v>
      </c>
      <c r="K2103" t="s">
        <v>40285</v>
      </c>
      <c r="M2103" t="s">
        <v>41563</v>
      </c>
      <c r="N2103" t="s">
        <v>44759</v>
      </c>
      <c r="O2103" t="s">
        <v>44760</v>
      </c>
      <c r="P2103">
        <v>0</v>
      </c>
      <c r="Q2103">
        <v>0</v>
      </c>
      <c r="R2103" t="s">
        <v>44762</v>
      </c>
      <c r="S2103" t="s">
        <v>44863</v>
      </c>
      <c r="T2103" t="s">
        <v>46533</v>
      </c>
      <c r="U2103" t="s">
        <v>48774</v>
      </c>
      <c r="V2103" t="s">
        <v>59348</v>
      </c>
      <c r="W2103" t="s">
        <v>41563</v>
      </c>
      <c r="X2103" t="s">
        <v>44763</v>
      </c>
    </row>
    <row r="2104" spans="1:24">
      <c r="A2104">
        <f>HYPERLINK("https://www.philgeps.gov.ph/GEPSNONPILOT/Tender/SplashBidNoticeAbstractUI.aspx?menuIndex=3&amp;refID=7151593&amp;Result=3","7151593")</f>
        <v>0</v>
      </c>
      <c r="B2104" t="s">
        <v>323</v>
      </c>
      <c r="C2104" t="s">
        <v>5777</v>
      </c>
      <c r="D2104" t="s">
        <v>17985</v>
      </c>
      <c r="E2104" t="s">
        <v>19979</v>
      </c>
      <c r="F2104" t="s">
        <v>30900</v>
      </c>
      <c r="G2104" t="s">
        <v>30908</v>
      </c>
      <c r="H2104" t="s">
        <v>30916</v>
      </c>
      <c r="I2104" t="s">
        <v>5879</v>
      </c>
      <c r="J2104" t="s">
        <v>32588</v>
      </c>
      <c r="K2104" t="s">
        <v>40286</v>
      </c>
      <c r="M2104" t="s">
        <v>40874</v>
      </c>
      <c r="N2104" t="s">
        <v>44759</v>
      </c>
      <c r="O2104" t="s">
        <v>44760</v>
      </c>
      <c r="P2104">
        <v>0</v>
      </c>
      <c r="Q2104">
        <v>0</v>
      </c>
      <c r="R2104" t="s">
        <v>44762</v>
      </c>
      <c r="S2104" t="s">
        <v>44863</v>
      </c>
      <c r="T2104" t="s">
        <v>46383</v>
      </c>
      <c r="U2104" t="s">
        <v>48775</v>
      </c>
      <c r="W2104" t="s">
        <v>40874</v>
      </c>
      <c r="X2104" t="s">
        <v>44763</v>
      </c>
    </row>
    <row r="2105" spans="1:24">
      <c r="A2105">
        <f>HYPERLINK("https://www.philgeps.gov.ph/GEPSNONPILOT/Tender/SplashBidNoticeAbstractUI.aspx?menuIndex=3&amp;refID=7151591&amp;Result=3","7151591")</f>
        <v>0</v>
      </c>
      <c r="B2105" t="s">
        <v>747</v>
      </c>
      <c r="C2105" t="s">
        <v>5778</v>
      </c>
      <c r="D2105" t="s">
        <v>18021</v>
      </c>
      <c r="E2105" t="s">
        <v>19980</v>
      </c>
      <c r="F2105" t="s">
        <v>30900</v>
      </c>
      <c r="G2105" t="s">
        <v>30907</v>
      </c>
      <c r="H2105" t="s">
        <v>30915</v>
      </c>
      <c r="I2105" t="s">
        <v>30919</v>
      </c>
      <c r="J2105" t="s">
        <v>32589</v>
      </c>
      <c r="K2105" t="s">
        <v>40314</v>
      </c>
      <c r="M2105" t="s">
        <v>41311</v>
      </c>
      <c r="N2105" t="s">
        <v>44759</v>
      </c>
      <c r="O2105" t="s">
        <v>44760</v>
      </c>
      <c r="P2105">
        <v>0</v>
      </c>
      <c r="Q2105">
        <v>0</v>
      </c>
      <c r="R2105" t="s">
        <v>44762</v>
      </c>
      <c r="S2105" t="s">
        <v>44863</v>
      </c>
      <c r="T2105" t="s">
        <v>46465</v>
      </c>
      <c r="U2105" t="s">
        <v>48776</v>
      </c>
      <c r="V2105" t="s">
        <v>59356</v>
      </c>
      <c r="W2105" t="s">
        <v>41311</v>
      </c>
      <c r="X2105" t="s">
        <v>44763</v>
      </c>
    </row>
    <row r="2106" spans="1:24">
      <c r="A2106">
        <f>HYPERLINK("https://www.philgeps.gov.ph/GEPSNONPILOT/Tender/SplashBidNoticeAbstractUI.aspx?menuIndex=3&amp;refID=7151585&amp;Result=3","7151585")</f>
        <v>0</v>
      </c>
      <c r="B2106" t="s">
        <v>993</v>
      </c>
      <c r="C2106" t="s">
        <v>5779</v>
      </c>
      <c r="D2106" t="s">
        <v>17977</v>
      </c>
      <c r="E2106" t="s">
        <v>19981</v>
      </c>
      <c r="F2106" t="s">
        <v>30900</v>
      </c>
      <c r="G2106" t="s">
        <v>30908</v>
      </c>
      <c r="H2106" t="s">
        <v>30917</v>
      </c>
      <c r="I2106" t="s">
        <v>30948</v>
      </c>
      <c r="J2106" t="s">
        <v>31067</v>
      </c>
      <c r="K2106" t="s">
        <v>40286</v>
      </c>
      <c r="M2106" t="s">
        <v>41581</v>
      </c>
      <c r="N2106" t="s">
        <v>44759</v>
      </c>
      <c r="O2106" t="s">
        <v>44760</v>
      </c>
      <c r="P2106">
        <v>0</v>
      </c>
      <c r="Q2106">
        <v>0</v>
      </c>
      <c r="R2106" t="s">
        <v>44762</v>
      </c>
      <c r="S2106" t="s">
        <v>44863</v>
      </c>
      <c r="T2106" t="s">
        <v>46398</v>
      </c>
      <c r="U2106" t="s">
        <v>48777</v>
      </c>
      <c r="W2106" t="s">
        <v>41581</v>
      </c>
      <c r="X2106" t="s">
        <v>44763</v>
      </c>
    </row>
    <row r="2107" spans="1:24">
      <c r="A2107">
        <f>HYPERLINK("https://www.philgeps.gov.ph/GEPSNONPILOT/Tender/SplashBidNoticeAbstractUI.aspx?menuIndex=3&amp;refID=7151592&amp;Result=3","7151592")</f>
        <v>0</v>
      </c>
      <c r="B2107" t="s">
        <v>918</v>
      </c>
      <c r="C2107" t="s">
        <v>5780</v>
      </c>
      <c r="D2107" t="s">
        <v>17959</v>
      </c>
      <c r="E2107" t="s">
        <v>19982</v>
      </c>
      <c r="F2107" t="s">
        <v>30900</v>
      </c>
      <c r="G2107" t="s">
        <v>30910</v>
      </c>
      <c r="H2107" t="s">
        <v>30916</v>
      </c>
      <c r="I2107" t="s">
        <v>4545</v>
      </c>
      <c r="J2107" t="s">
        <v>32590</v>
      </c>
      <c r="K2107" t="s">
        <v>40286</v>
      </c>
      <c r="M2107" t="s">
        <v>41582</v>
      </c>
      <c r="N2107" t="s">
        <v>44759</v>
      </c>
      <c r="O2107" t="s">
        <v>44760</v>
      </c>
      <c r="P2107">
        <v>0</v>
      </c>
      <c r="Q2107">
        <v>7</v>
      </c>
      <c r="R2107" t="s">
        <v>44762</v>
      </c>
      <c r="S2107" t="s">
        <v>44863</v>
      </c>
      <c r="T2107" t="s">
        <v>46414</v>
      </c>
      <c r="U2107" t="s">
        <v>48611</v>
      </c>
      <c r="W2107" t="s">
        <v>41582</v>
      </c>
      <c r="X2107" t="s">
        <v>44763</v>
      </c>
    </row>
    <row r="2108" spans="1:24">
      <c r="A2108">
        <f>HYPERLINK("https://www.philgeps.gov.ph/GEPSNONPILOT/Tender/SplashBidNoticeAbstractUI.aspx?menuIndex=3&amp;refID=7151595&amp;Result=3","7151595")</f>
        <v>0</v>
      </c>
      <c r="B2108" t="s">
        <v>991</v>
      </c>
      <c r="C2108" t="s">
        <v>5781</v>
      </c>
      <c r="D2108" t="s">
        <v>17986</v>
      </c>
      <c r="E2108" t="s">
        <v>19983</v>
      </c>
      <c r="F2108" t="s">
        <v>30900</v>
      </c>
      <c r="G2108" t="s">
        <v>30907</v>
      </c>
      <c r="H2108" t="s">
        <v>30915</v>
      </c>
      <c r="I2108" t="s">
        <v>30919</v>
      </c>
      <c r="J2108" t="s">
        <v>31288</v>
      </c>
      <c r="K2108" t="s">
        <v>40283</v>
      </c>
      <c r="M2108" t="s">
        <v>41579</v>
      </c>
      <c r="N2108" t="s">
        <v>44759</v>
      </c>
      <c r="O2108" t="s">
        <v>44760</v>
      </c>
      <c r="P2108">
        <v>0</v>
      </c>
      <c r="Q2108">
        <v>0</v>
      </c>
      <c r="R2108" t="s">
        <v>44762</v>
      </c>
      <c r="S2108" t="s">
        <v>44863</v>
      </c>
      <c r="T2108" t="s">
        <v>46409</v>
      </c>
      <c r="U2108" t="s">
        <v>48778</v>
      </c>
      <c r="W2108" t="s">
        <v>41579</v>
      </c>
      <c r="X2108" t="s">
        <v>44763</v>
      </c>
    </row>
    <row r="2109" spans="1:24">
      <c r="A2109">
        <f>HYPERLINK("https://www.philgeps.gov.ph/GEPSNONPILOT/Tender/SplashBidNoticeAbstractUI.aspx?menuIndex=3&amp;refID=7151589&amp;Result=3","7151589")</f>
        <v>0</v>
      </c>
      <c r="B2109" t="s">
        <v>444</v>
      </c>
      <c r="C2109" t="s">
        <v>5782</v>
      </c>
      <c r="D2109" t="s">
        <v>17953</v>
      </c>
      <c r="E2109" t="s">
        <v>19984</v>
      </c>
      <c r="F2109" t="s">
        <v>30900</v>
      </c>
      <c r="G2109" t="s">
        <v>30908</v>
      </c>
      <c r="H2109" t="s">
        <v>30916</v>
      </c>
      <c r="I2109" t="s">
        <v>30924</v>
      </c>
      <c r="J2109" t="s">
        <v>32591</v>
      </c>
      <c r="K2109" t="s">
        <v>40286</v>
      </c>
      <c r="M2109" t="s">
        <v>41001</v>
      </c>
      <c r="N2109" t="s">
        <v>44759</v>
      </c>
      <c r="O2109" t="s">
        <v>44760</v>
      </c>
      <c r="P2109">
        <v>0</v>
      </c>
      <c r="Q2109">
        <v>2</v>
      </c>
      <c r="R2109" t="s">
        <v>44762</v>
      </c>
      <c r="S2109" t="s">
        <v>44863</v>
      </c>
      <c r="T2109" t="s">
        <v>46398</v>
      </c>
      <c r="U2109" t="s">
        <v>48779</v>
      </c>
      <c r="W2109" t="s">
        <v>41001</v>
      </c>
      <c r="X2109" t="s">
        <v>44763</v>
      </c>
    </row>
    <row r="2110" spans="1:24">
      <c r="A2110">
        <f>HYPERLINK("https://www.philgeps.gov.ph/GEPSNONPILOT/Tender/SplashBidNoticeAbstractUI.aspx?menuIndex=3&amp;refID=7151588&amp;Result=3","7151588")</f>
        <v>0</v>
      </c>
      <c r="B2110" t="s">
        <v>979</v>
      </c>
      <c r="C2110" t="s">
        <v>5783</v>
      </c>
      <c r="D2110" t="s">
        <v>17986</v>
      </c>
      <c r="E2110" t="s">
        <v>19985</v>
      </c>
      <c r="F2110" t="s">
        <v>30900</v>
      </c>
      <c r="G2110" t="s">
        <v>30908</v>
      </c>
      <c r="H2110" t="s">
        <v>30916</v>
      </c>
      <c r="I2110" t="s">
        <v>8123</v>
      </c>
      <c r="J2110" t="s">
        <v>32592</v>
      </c>
      <c r="K2110" t="s">
        <v>40291</v>
      </c>
      <c r="M2110" t="s">
        <v>41567</v>
      </c>
      <c r="N2110" t="s">
        <v>44759</v>
      </c>
      <c r="O2110" t="s">
        <v>44760</v>
      </c>
      <c r="P2110">
        <v>0</v>
      </c>
      <c r="Q2110">
        <v>0</v>
      </c>
      <c r="R2110" t="s">
        <v>44762</v>
      </c>
      <c r="S2110" t="s">
        <v>44863</v>
      </c>
      <c r="T2110" t="s">
        <v>46545</v>
      </c>
      <c r="U2110" t="s">
        <v>48780</v>
      </c>
      <c r="W2110" t="s">
        <v>41567</v>
      </c>
      <c r="X2110" t="s">
        <v>44763</v>
      </c>
    </row>
    <row r="2111" spans="1:24">
      <c r="A2111">
        <f>HYPERLINK("https://www.philgeps.gov.ph/GEPSNONPILOT/Tender/SplashBidNoticeAbstractUI.aspx?menuIndex=3&amp;refID=7151607&amp;Result=3","7151607")</f>
        <v>0</v>
      </c>
      <c r="B2111" t="s">
        <v>994</v>
      </c>
      <c r="C2111" t="s">
        <v>5784</v>
      </c>
      <c r="D2111" t="s">
        <v>17959</v>
      </c>
      <c r="E2111" t="s">
        <v>19986</v>
      </c>
      <c r="F2111" t="s">
        <v>30900</v>
      </c>
      <c r="G2111" t="s">
        <v>30907</v>
      </c>
      <c r="H2111" t="s">
        <v>30916</v>
      </c>
      <c r="I2111" t="s">
        <v>11785</v>
      </c>
      <c r="J2111" t="s">
        <v>32593</v>
      </c>
      <c r="K2111" t="s">
        <v>40283</v>
      </c>
      <c r="M2111" t="s">
        <v>41583</v>
      </c>
      <c r="N2111" t="s">
        <v>44759</v>
      </c>
      <c r="O2111" t="s">
        <v>44760</v>
      </c>
      <c r="P2111">
        <v>0</v>
      </c>
      <c r="Q2111">
        <v>0</v>
      </c>
      <c r="R2111" t="s">
        <v>44762</v>
      </c>
      <c r="S2111" t="s">
        <v>44863</v>
      </c>
      <c r="T2111" t="s">
        <v>46465</v>
      </c>
      <c r="U2111" t="s">
        <v>48781</v>
      </c>
      <c r="W2111" t="s">
        <v>41583</v>
      </c>
      <c r="X2111" t="s">
        <v>44763</v>
      </c>
    </row>
    <row r="2112" spans="1:24">
      <c r="A2112">
        <f>HYPERLINK("https://www.philgeps.gov.ph/GEPSNONPILOT/Tender/SplashBidNoticeAbstractUI.aspx?menuIndex=3&amp;refID=7151606&amp;Result=3","7151606")</f>
        <v>0</v>
      </c>
      <c r="B2112" t="s">
        <v>982</v>
      </c>
      <c r="C2112" t="s">
        <v>5773</v>
      </c>
      <c r="D2112" t="s">
        <v>18019</v>
      </c>
      <c r="E2112" t="s">
        <v>19987</v>
      </c>
      <c r="F2112" t="s">
        <v>30900</v>
      </c>
      <c r="G2112" t="s">
        <v>30908</v>
      </c>
      <c r="H2112" t="s">
        <v>30916</v>
      </c>
      <c r="I2112" t="s">
        <v>4108</v>
      </c>
      <c r="J2112" t="s">
        <v>31270</v>
      </c>
      <c r="K2112" t="s">
        <v>40287</v>
      </c>
      <c r="M2112" t="s">
        <v>41570</v>
      </c>
      <c r="N2112" t="s">
        <v>44759</v>
      </c>
      <c r="O2112" t="s">
        <v>44760</v>
      </c>
      <c r="P2112">
        <v>0</v>
      </c>
      <c r="Q2112">
        <v>0</v>
      </c>
      <c r="R2112" t="s">
        <v>44762</v>
      </c>
      <c r="S2112" t="s">
        <v>44863</v>
      </c>
      <c r="T2112" t="s">
        <v>46575</v>
      </c>
      <c r="U2112" t="s">
        <v>48754</v>
      </c>
      <c r="W2112" t="s">
        <v>41570</v>
      </c>
      <c r="X2112" t="s">
        <v>44763</v>
      </c>
    </row>
    <row r="2113" spans="1:24">
      <c r="A2113">
        <f>HYPERLINK("https://www.philgeps.gov.ph/GEPSNONPILOT/Tender/SplashBidNoticeAbstractUI.aspx?menuIndex=3&amp;refID=7151605&amp;Result=3","7151605")</f>
        <v>0</v>
      </c>
      <c r="B2113" t="s">
        <v>988</v>
      </c>
      <c r="C2113" t="s">
        <v>5785</v>
      </c>
      <c r="D2113" t="s">
        <v>17953</v>
      </c>
      <c r="E2113" t="s">
        <v>19988</v>
      </c>
      <c r="F2113" t="s">
        <v>30900</v>
      </c>
      <c r="G2113" t="s">
        <v>30906</v>
      </c>
      <c r="H2113" t="s">
        <v>30916</v>
      </c>
      <c r="I2113" t="s">
        <v>30927</v>
      </c>
      <c r="J2113" t="s">
        <v>32594</v>
      </c>
      <c r="K2113" t="s">
        <v>40289</v>
      </c>
      <c r="M2113" t="s">
        <v>41576</v>
      </c>
      <c r="N2113" t="s">
        <v>44759</v>
      </c>
      <c r="O2113" t="s">
        <v>44760</v>
      </c>
      <c r="P2113">
        <v>0</v>
      </c>
      <c r="Q2113">
        <v>0</v>
      </c>
      <c r="R2113" t="s">
        <v>44762</v>
      </c>
      <c r="S2113" t="s">
        <v>44863</v>
      </c>
      <c r="T2113" t="s">
        <v>46363</v>
      </c>
      <c r="U2113" t="s">
        <v>48782</v>
      </c>
      <c r="W2113" t="s">
        <v>41576</v>
      </c>
      <c r="X2113" t="s">
        <v>44763</v>
      </c>
    </row>
    <row r="2114" spans="1:24">
      <c r="A2114">
        <f>HYPERLINK("https://www.philgeps.gov.ph/GEPSNONPILOT/Tender/SplashBidNoticeAbstractUI.aspx?menuIndex=3&amp;refID=7151602&amp;Result=3","7151602")</f>
        <v>0</v>
      </c>
      <c r="B2114" t="s">
        <v>974</v>
      </c>
      <c r="C2114" t="s">
        <v>5786</v>
      </c>
      <c r="D2114" t="s">
        <v>18028</v>
      </c>
      <c r="E2114" t="s">
        <v>18366</v>
      </c>
      <c r="F2114" t="s">
        <v>30900</v>
      </c>
      <c r="G2114" t="s">
        <v>30907</v>
      </c>
      <c r="H2114" t="s">
        <v>30915</v>
      </c>
      <c r="I2114" t="s">
        <v>30919</v>
      </c>
      <c r="J2114" t="s">
        <v>31101</v>
      </c>
      <c r="K2114" t="s">
        <v>40302</v>
      </c>
      <c r="M2114" t="s">
        <v>41562</v>
      </c>
      <c r="N2114" t="s">
        <v>44759</v>
      </c>
      <c r="O2114" t="s">
        <v>44760</v>
      </c>
      <c r="P2114">
        <v>0</v>
      </c>
      <c r="Q2114">
        <v>0</v>
      </c>
      <c r="R2114" t="s">
        <v>44762</v>
      </c>
      <c r="S2114" t="s">
        <v>44863</v>
      </c>
      <c r="T2114" t="s">
        <v>46418</v>
      </c>
      <c r="U2114" t="s">
        <v>48783</v>
      </c>
      <c r="W2114" t="s">
        <v>41562</v>
      </c>
      <c r="X2114" t="s">
        <v>44763</v>
      </c>
    </row>
    <row r="2115" spans="1:24">
      <c r="A2115">
        <f>HYPERLINK("https://www.philgeps.gov.ph/GEPSNONPILOT/Tender/SplashBidNoticeAbstractUI.aspx?menuIndex=3&amp;refID=7151601&amp;Result=3","7151601")</f>
        <v>0</v>
      </c>
      <c r="B2115" t="s">
        <v>995</v>
      </c>
      <c r="C2115" t="s">
        <v>5787</v>
      </c>
      <c r="D2115" t="s">
        <v>18002</v>
      </c>
      <c r="E2115" t="s">
        <v>19256</v>
      </c>
      <c r="F2115" t="s">
        <v>30900</v>
      </c>
      <c r="G2115" t="s">
        <v>30908</v>
      </c>
      <c r="H2115" t="s">
        <v>30916</v>
      </c>
      <c r="I2115" t="s">
        <v>8123</v>
      </c>
      <c r="J2115" t="s">
        <v>32595</v>
      </c>
      <c r="K2115" t="s">
        <v>40288</v>
      </c>
      <c r="M2115" t="s">
        <v>41584</v>
      </c>
      <c r="N2115" t="s">
        <v>44759</v>
      </c>
      <c r="O2115" t="s">
        <v>44760</v>
      </c>
      <c r="P2115">
        <v>0</v>
      </c>
      <c r="Q2115">
        <v>1</v>
      </c>
      <c r="R2115" t="s">
        <v>44762</v>
      </c>
      <c r="S2115" t="s">
        <v>44863</v>
      </c>
      <c r="T2115" t="s">
        <v>46379</v>
      </c>
      <c r="U2115" t="s">
        <v>48784</v>
      </c>
      <c r="W2115" t="s">
        <v>41584</v>
      </c>
      <c r="X2115" t="s">
        <v>44763</v>
      </c>
    </row>
    <row r="2116" spans="1:24">
      <c r="A2116">
        <f>HYPERLINK("https://www.philgeps.gov.ph/GEPSNONPILOT/Tender/SplashBidNoticeAbstractUI.aspx?menuIndex=3&amp;refID=7151586&amp;Result=3","7151586")</f>
        <v>0</v>
      </c>
      <c r="B2116" t="s">
        <v>947</v>
      </c>
      <c r="C2116" t="s">
        <v>5788</v>
      </c>
      <c r="D2116" t="s">
        <v>17959</v>
      </c>
      <c r="E2116" t="s">
        <v>19989</v>
      </c>
      <c r="F2116" t="s">
        <v>30900</v>
      </c>
      <c r="G2116" t="s">
        <v>30908</v>
      </c>
      <c r="H2116" t="s">
        <v>30916</v>
      </c>
      <c r="I2116" t="s">
        <v>8365</v>
      </c>
      <c r="J2116" t="s">
        <v>32596</v>
      </c>
      <c r="K2116" t="s">
        <v>40288</v>
      </c>
      <c r="M2116" t="s">
        <v>41532</v>
      </c>
      <c r="N2116" t="s">
        <v>44759</v>
      </c>
      <c r="O2116" t="s">
        <v>44760</v>
      </c>
      <c r="P2116">
        <v>0</v>
      </c>
      <c r="Q2116">
        <v>2</v>
      </c>
      <c r="R2116" t="s">
        <v>44762</v>
      </c>
      <c r="S2116" t="s">
        <v>44863</v>
      </c>
      <c r="T2116" t="s">
        <v>46390</v>
      </c>
      <c r="U2116" t="s">
        <v>48785</v>
      </c>
      <c r="W2116" t="s">
        <v>41532</v>
      </c>
      <c r="X2116" t="s">
        <v>44763</v>
      </c>
    </row>
    <row r="2117" spans="1:24">
      <c r="A2117">
        <f>HYPERLINK("https://www.philgeps.gov.ph/GEPSNONPILOT/Tender/SplashBidNoticeAbstractUI.aspx?menuIndex=3&amp;refID=7151599&amp;Result=3","7151599")</f>
        <v>0</v>
      </c>
      <c r="B2117" t="s">
        <v>966</v>
      </c>
      <c r="C2117" t="s">
        <v>5789</v>
      </c>
      <c r="D2117" t="s">
        <v>18004</v>
      </c>
      <c r="E2117" t="s">
        <v>19990</v>
      </c>
      <c r="F2117" t="s">
        <v>30900</v>
      </c>
      <c r="G2117" t="s">
        <v>30908</v>
      </c>
      <c r="H2117" t="s">
        <v>30916</v>
      </c>
      <c r="I2117" t="s">
        <v>30942</v>
      </c>
      <c r="J2117" t="s">
        <v>32597</v>
      </c>
      <c r="K2117" t="s">
        <v>40316</v>
      </c>
      <c r="M2117" t="s">
        <v>41553</v>
      </c>
      <c r="N2117" t="s">
        <v>44759</v>
      </c>
      <c r="O2117" t="s">
        <v>44760</v>
      </c>
      <c r="P2117">
        <v>0</v>
      </c>
      <c r="Q2117">
        <v>0</v>
      </c>
      <c r="R2117" t="s">
        <v>44762</v>
      </c>
      <c r="S2117" t="s">
        <v>44863</v>
      </c>
      <c r="T2117" t="s">
        <v>46363</v>
      </c>
      <c r="U2117" t="s">
        <v>48786</v>
      </c>
      <c r="W2117" t="s">
        <v>41553</v>
      </c>
      <c r="X2117" t="s">
        <v>44763</v>
      </c>
    </row>
    <row r="2118" spans="1:24">
      <c r="A2118">
        <f>HYPERLINK("https://www.philgeps.gov.ph/GEPSNONPILOT/Tender/SplashBidNoticeAbstractUI.aspx?menuIndex=3&amp;refID=7151590&amp;Result=3","7151590")</f>
        <v>0</v>
      </c>
      <c r="B2118" t="s">
        <v>987</v>
      </c>
      <c r="C2118" t="s">
        <v>5790</v>
      </c>
      <c r="E2118" t="s">
        <v>19991</v>
      </c>
      <c r="F2118" t="s">
        <v>30900</v>
      </c>
      <c r="G2118" t="s">
        <v>30908</v>
      </c>
      <c r="H2118" t="s">
        <v>30916</v>
      </c>
      <c r="I2118" t="s">
        <v>30923</v>
      </c>
      <c r="J2118" t="s">
        <v>32554</v>
      </c>
      <c r="K2118" t="s">
        <v>40289</v>
      </c>
      <c r="M2118" t="s">
        <v>41575</v>
      </c>
      <c r="N2118" t="s">
        <v>44759</v>
      </c>
      <c r="O2118" t="s">
        <v>44760</v>
      </c>
      <c r="P2118">
        <v>0</v>
      </c>
      <c r="Q2118">
        <v>9</v>
      </c>
      <c r="R2118" t="s">
        <v>44762</v>
      </c>
      <c r="S2118" t="s">
        <v>44863</v>
      </c>
      <c r="T2118" t="s">
        <v>46574</v>
      </c>
      <c r="U2118" t="s">
        <v>48761</v>
      </c>
      <c r="W2118" t="s">
        <v>41575</v>
      </c>
      <c r="X2118" t="s">
        <v>44763</v>
      </c>
    </row>
    <row r="2119" spans="1:24">
      <c r="A2119">
        <f>HYPERLINK("https://www.philgeps.gov.ph/GEPSNONPILOT/Tender/SplashBidNoticeAbstractUI.aspx?menuIndex=3&amp;refID=7151597&amp;Result=3","7151597")</f>
        <v>0</v>
      </c>
      <c r="B2119" t="s">
        <v>838</v>
      </c>
      <c r="C2119" t="s">
        <v>5791</v>
      </c>
      <c r="D2119" t="s">
        <v>17975</v>
      </c>
      <c r="E2119" t="s">
        <v>18682</v>
      </c>
      <c r="F2119" t="s">
        <v>30900</v>
      </c>
      <c r="G2119" t="s">
        <v>30910</v>
      </c>
      <c r="H2119" t="s">
        <v>30917</v>
      </c>
      <c r="I2119" t="s">
        <v>6953</v>
      </c>
      <c r="J2119" t="s">
        <v>32598</v>
      </c>
      <c r="K2119" t="s">
        <v>40284</v>
      </c>
      <c r="M2119" t="s">
        <v>41411</v>
      </c>
      <c r="N2119" t="s">
        <v>44759</v>
      </c>
      <c r="O2119" t="s">
        <v>44760</v>
      </c>
      <c r="P2119">
        <v>0</v>
      </c>
      <c r="Q2119">
        <v>0</v>
      </c>
      <c r="R2119" t="s">
        <v>44762</v>
      </c>
      <c r="S2119" t="s">
        <v>44863</v>
      </c>
      <c r="T2119" t="s">
        <v>46357</v>
      </c>
      <c r="U2119" t="s">
        <v>48787</v>
      </c>
      <c r="W2119" t="s">
        <v>41411</v>
      </c>
      <c r="X2119" t="s">
        <v>44763</v>
      </c>
    </row>
    <row r="2120" spans="1:24">
      <c r="A2120">
        <f>HYPERLINK("https://www.philgeps.gov.ph/GEPSNONPILOT/Tender/SplashBidNoticeAbstractUI.aspx?menuIndex=3&amp;refID=7151626&amp;Result=3","7151626")</f>
        <v>0</v>
      </c>
      <c r="B2120" t="s">
        <v>988</v>
      </c>
      <c r="C2120" t="s">
        <v>5792</v>
      </c>
      <c r="D2120" t="s">
        <v>17953</v>
      </c>
      <c r="E2120" t="s">
        <v>19992</v>
      </c>
      <c r="F2120" t="s">
        <v>30900</v>
      </c>
      <c r="G2120" t="s">
        <v>30906</v>
      </c>
      <c r="H2120" t="s">
        <v>30916</v>
      </c>
      <c r="I2120" t="s">
        <v>30927</v>
      </c>
      <c r="J2120" t="s">
        <v>32599</v>
      </c>
      <c r="K2120" t="s">
        <v>40289</v>
      </c>
      <c r="M2120" t="s">
        <v>41576</v>
      </c>
      <c r="N2120" t="s">
        <v>44759</v>
      </c>
      <c r="O2120" t="s">
        <v>44760</v>
      </c>
      <c r="P2120">
        <v>0</v>
      </c>
      <c r="Q2120">
        <v>0</v>
      </c>
      <c r="R2120" t="s">
        <v>44762</v>
      </c>
      <c r="S2120" t="s">
        <v>44863</v>
      </c>
      <c r="T2120" t="s">
        <v>46363</v>
      </c>
      <c r="U2120" t="s">
        <v>48788</v>
      </c>
      <c r="W2120" t="s">
        <v>41576</v>
      </c>
      <c r="X2120" t="s">
        <v>44763</v>
      </c>
    </row>
    <row r="2121" spans="1:24">
      <c r="A2121">
        <f>HYPERLINK("https://www.philgeps.gov.ph/GEPSNONPILOT/Tender/SplashBidNoticeAbstractUI.aspx?menuIndex=3&amp;refID=7151625&amp;Result=3","7151625")</f>
        <v>0</v>
      </c>
      <c r="B2121" t="s">
        <v>859</v>
      </c>
      <c r="C2121" t="s">
        <v>5793</v>
      </c>
      <c r="D2121" t="s">
        <v>17969</v>
      </c>
      <c r="E2121" t="s">
        <v>19993</v>
      </c>
      <c r="F2121" t="s">
        <v>30900</v>
      </c>
      <c r="G2121" t="s">
        <v>30908</v>
      </c>
      <c r="H2121" t="s">
        <v>30916</v>
      </c>
      <c r="I2121" t="s">
        <v>9385</v>
      </c>
      <c r="J2121" t="s">
        <v>32600</v>
      </c>
      <c r="K2121" t="s">
        <v>40286</v>
      </c>
      <c r="M2121" t="s">
        <v>41432</v>
      </c>
      <c r="N2121" t="s">
        <v>44759</v>
      </c>
      <c r="O2121" t="s">
        <v>44760</v>
      </c>
      <c r="P2121">
        <v>0</v>
      </c>
      <c r="Q2121">
        <v>4</v>
      </c>
      <c r="R2121" t="s">
        <v>44762</v>
      </c>
      <c r="S2121" t="s">
        <v>44863</v>
      </c>
      <c r="T2121" t="s">
        <v>46363</v>
      </c>
      <c r="U2121" t="s">
        <v>48789</v>
      </c>
      <c r="W2121" t="s">
        <v>41432</v>
      </c>
      <c r="X2121" t="s">
        <v>44763</v>
      </c>
    </row>
    <row r="2122" spans="1:24">
      <c r="A2122">
        <f>HYPERLINK("https://www.philgeps.gov.ph/GEPSNONPILOT/Tender/SplashBidNoticeAbstractUI.aspx?menuIndex=3&amp;refID=7151623&amp;Result=3","7151623")</f>
        <v>0</v>
      </c>
      <c r="B2122" t="s">
        <v>58</v>
      </c>
      <c r="C2122" t="s">
        <v>5794</v>
      </c>
      <c r="D2122" t="s">
        <v>17977</v>
      </c>
      <c r="E2122" t="s">
        <v>19994</v>
      </c>
      <c r="F2122" t="s">
        <v>30900</v>
      </c>
      <c r="G2122" t="s">
        <v>30910</v>
      </c>
      <c r="H2122" t="s">
        <v>30916</v>
      </c>
      <c r="I2122" t="s">
        <v>4545</v>
      </c>
      <c r="J2122" t="s">
        <v>31293</v>
      </c>
      <c r="K2122" t="s">
        <v>40287</v>
      </c>
      <c r="M2122" t="s">
        <v>40604</v>
      </c>
      <c r="N2122" t="s">
        <v>44759</v>
      </c>
      <c r="O2122" t="s">
        <v>44760</v>
      </c>
      <c r="P2122">
        <v>0</v>
      </c>
      <c r="Q2122">
        <v>1</v>
      </c>
      <c r="R2122" t="s">
        <v>44762</v>
      </c>
      <c r="S2122" t="s">
        <v>44863</v>
      </c>
      <c r="T2122" t="s">
        <v>46414</v>
      </c>
      <c r="U2122" t="s">
        <v>48790</v>
      </c>
      <c r="V2122" t="s">
        <v>59357</v>
      </c>
      <c r="W2122" t="s">
        <v>60815</v>
      </c>
      <c r="X2122" t="s">
        <v>44763</v>
      </c>
    </row>
    <row r="2123" spans="1:24">
      <c r="A2123">
        <f>HYPERLINK("https://www.philgeps.gov.ph/GEPSNONPILOT/Tender/SplashBidNoticeAbstractUI.aspx?menuIndex=3&amp;refID=7151622&amp;Result=3","7151622")</f>
        <v>0</v>
      </c>
      <c r="B2123" t="s">
        <v>119</v>
      </c>
      <c r="C2123" t="s">
        <v>5795</v>
      </c>
      <c r="D2123" t="s">
        <v>17951</v>
      </c>
      <c r="E2123" t="s">
        <v>18239</v>
      </c>
      <c r="F2123" t="s">
        <v>30900</v>
      </c>
      <c r="G2123" t="s">
        <v>30908</v>
      </c>
      <c r="H2123" t="s">
        <v>30916</v>
      </c>
      <c r="I2123" t="s">
        <v>10961</v>
      </c>
      <c r="J2123" t="s">
        <v>31447</v>
      </c>
      <c r="K2123" t="s">
        <v>40284</v>
      </c>
      <c r="M2123" t="s">
        <v>40666</v>
      </c>
      <c r="N2123" t="s">
        <v>44759</v>
      </c>
      <c r="O2123" t="s">
        <v>44760</v>
      </c>
      <c r="P2123">
        <v>0</v>
      </c>
      <c r="Q2123">
        <v>0</v>
      </c>
      <c r="R2123" t="s">
        <v>44762</v>
      </c>
      <c r="S2123" t="s">
        <v>44863</v>
      </c>
      <c r="T2123" t="s">
        <v>46357</v>
      </c>
      <c r="U2123" t="s">
        <v>48791</v>
      </c>
      <c r="W2123" t="s">
        <v>40666</v>
      </c>
      <c r="X2123" t="s">
        <v>44763</v>
      </c>
    </row>
    <row r="2124" spans="1:24">
      <c r="A2124">
        <f>HYPERLINK("https://www.philgeps.gov.ph/GEPSNONPILOT/Tender/SplashBidNoticeAbstractUI.aspx?menuIndex=3&amp;refID=7151620&amp;Result=3","7151620")</f>
        <v>0</v>
      </c>
      <c r="B2124" t="s">
        <v>996</v>
      </c>
      <c r="C2124" t="s">
        <v>5796</v>
      </c>
      <c r="D2124" t="s">
        <v>17975</v>
      </c>
      <c r="E2124" t="s">
        <v>19995</v>
      </c>
      <c r="F2124" t="s">
        <v>30900</v>
      </c>
      <c r="G2124" t="s">
        <v>30909</v>
      </c>
      <c r="H2124" t="s">
        <v>30916</v>
      </c>
      <c r="I2124" t="s">
        <v>30922</v>
      </c>
      <c r="J2124" t="s">
        <v>31206</v>
      </c>
      <c r="K2124" t="s">
        <v>40284</v>
      </c>
      <c r="M2124" t="s">
        <v>41585</v>
      </c>
      <c r="N2124" t="s">
        <v>44759</v>
      </c>
      <c r="O2124" t="s">
        <v>44760</v>
      </c>
      <c r="P2124">
        <v>0</v>
      </c>
      <c r="Q2124">
        <v>9</v>
      </c>
      <c r="R2124" t="s">
        <v>44762</v>
      </c>
      <c r="S2124" t="s">
        <v>44863</v>
      </c>
      <c r="T2124" t="s">
        <v>46390</v>
      </c>
      <c r="U2124" t="s">
        <v>48792</v>
      </c>
      <c r="W2124" t="s">
        <v>41585</v>
      </c>
      <c r="X2124" t="s">
        <v>44763</v>
      </c>
    </row>
    <row r="2125" spans="1:24">
      <c r="A2125">
        <f>HYPERLINK("https://www.philgeps.gov.ph/GEPSNONPILOT/Tender/SplashBidNoticeAbstractUI.aspx?menuIndex=3&amp;refID=7151611&amp;Result=3","7151611")</f>
        <v>0</v>
      </c>
      <c r="B2125" t="s">
        <v>997</v>
      </c>
      <c r="C2125" t="s">
        <v>5797</v>
      </c>
      <c r="D2125" t="s">
        <v>17959</v>
      </c>
      <c r="E2125" t="s">
        <v>19996</v>
      </c>
      <c r="F2125" t="s">
        <v>30900</v>
      </c>
      <c r="G2125" t="s">
        <v>30907</v>
      </c>
      <c r="H2125" t="s">
        <v>30915</v>
      </c>
      <c r="I2125" t="s">
        <v>30919</v>
      </c>
      <c r="J2125" t="s">
        <v>32601</v>
      </c>
      <c r="K2125" t="s">
        <v>40304</v>
      </c>
      <c r="M2125" t="s">
        <v>41586</v>
      </c>
      <c r="N2125" t="s">
        <v>44759</v>
      </c>
      <c r="O2125" t="s">
        <v>44760</v>
      </c>
      <c r="P2125">
        <v>0</v>
      </c>
      <c r="Q2125">
        <v>2</v>
      </c>
      <c r="R2125" t="s">
        <v>44762</v>
      </c>
      <c r="S2125" t="s">
        <v>44863</v>
      </c>
      <c r="T2125" t="s">
        <v>46394</v>
      </c>
      <c r="U2125" t="s">
        <v>48793</v>
      </c>
      <c r="W2125" t="s">
        <v>41586</v>
      </c>
      <c r="X2125" t="s">
        <v>44763</v>
      </c>
    </row>
    <row r="2126" spans="1:24">
      <c r="A2126">
        <f>HYPERLINK("https://www.philgeps.gov.ph/GEPSNONPILOT/Tender/SplashBidNoticeAbstractUI.aspx?menuIndex=3&amp;refID=7151618&amp;Result=3","7151618")</f>
        <v>0</v>
      </c>
      <c r="B2126" t="s">
        <v>998</v>
      </c>
      <c r="C2126" t="s">
        <v>5798</v>
      </c>
      <c r="D2126" t="s">
        <v>17952</v>
      </c>
      <c r="E2126" t="s">
        <v>19997</v>
      </c>
      <c r="F2126" t="s">
        <v>30900</v>
      </c>
      <c r="G2126" t="s">
        <v>30909</v>
      </c>
      <c r="H2126" t="s">
        <v>30916</v>
      </c>
      <c r="I2126" t="s">
        <v>30935</v>
      </c>
      <c r="J2126" t="s">
        <v>32602</v>
      </c>
      <c r="K2126" t="s">
        <v>40286</v>
      </c>
      <c r="M2126" t="s">
        <v>41587</v>
      </c>
      <c r="N2126" t="s">
        <v>44759</v>
      </c>
      <c r="O2126" t="s">
        <v>44760</v>
      </c>
      <c r="P2126">
        <v>0</v>
      </c>
      <c r="Q2126">
        <v>0</v>
      </c>
      <c r="R2126" t="s">
        <v>44762</v>
      </c>
      <c r="S2126" t="s">
        <v>44863</v>
      </c>
      <c r="T2126" t="s">
        <v>46409</v>
      </c>
      <c r="U2126" t="s">
        <v>48794</v>
      </c>
      <c r="V2126" t="s">
        <v>59358</v>
      </c>
      <c r="W2126" t="s">
        <v>41587</v>
      </c>
      <c r="X2126" t="s">
        <v>44763</v>
      </c>
    </row>
    <row r="2127" spans="1:24">
      <c r="A2127">
        <f>HYPERLINK("https://www.philgeps.gov.ph/GEPSNONPILOT/Tender/SplashBidNoticeAbstractUI.aspx?menuIndex=3&amp;refID=7151617&amp;Result=3","7151617")</f>
        <v>0</v>
      </c>
      <c r="B2127" t="s">
        <v>767</v>
      </c>
      <c r="C2127" t="s">
        <v>5799</v>
      </c>
      <c r="D2127" t="s">
        <v>18020</v>
      </c>
      <c r="E2127" t="s">
        <v>19998</v>
      </c>
      <c r="F2127" t="s">
        <v>30900</v>
      </c>
      <c r="G2127" t="s">
        <v>30910</v>
      </c>
      <c r="H2127" t="s">
        <v>30916</v>
      </c>
      <c r="I2127" t="s">
        <v>30924</v>
      </c>
      <c r="J2127" t="s">
        <v>32603</v>
      </c>
      <c r="K2127" t="s">
        <v>40289</v>
      </c>
      <c r="M2127" t="s">
        <v>41333</v>
      </c>
      <c r="N2127" t="s">
        <v>44759</v>
      </c>
      <c r="O2127" t="s">
        <v>44760</v>
      </c>
      <c r="P2127">
        <v>0</v>
      </c>
      <c r="Q2127">
        <v>3</v>
      </c>
      <c r="R2127" t="s">
        <v>44762</v>
      </c>
      <c r="S2127" t="s">
        <v>44863</v>
      </c>
      <c r="T2127" t="s">
        <v>46410</v>
      </c>
      <c r="U2127" t="s">
        <v>48795</v>
      </c>
      <c r="V2127" t="s">
        <v>59299</v>
      </c>
      <c r="W2127" t="s">
        <v>41333</v>
      </c>
      <c r="X2127" t="s">
        <v>44763</v>
      </c>
    </row>
    <row r="2128" spans="1:24">
      <c r="A2128">
        <f>HYPERLINK("https://www.philgeps.gov.ph/GEPSNONPILOT/Tender/SplashBidNoticeAbstractUI.aspx?menuIndex=3&amp;refID=7151596&amp;Result=3","7151596")</f>
        <v>0</v>
      </c>
      <c r="B2128" t="s">
        <v>999</v>
      </c>
      <c r="C2128" t="s">
        <v>5800</v>
      </c>
      <c r="D2128" t="s">
        <v>17998</v>
      </c>
      <c r="E2128" t="s">
        <v>19999</v>
      </c>
      <c r="F2128" t="s">
        <v>30900</v>
      </c>
      <c r="G2128" t="s">
        <v>30909</v>
      </c>
      <c r="H2128" t="s">
        <v>30916</v>
      </c>
      <c r="I2128" t="s">
        <v>5830</v>
      </c>
      <c r="J2128" t="s">
        <v>32604</v>
      </c>
      <c r="K2128" t="s">
        <v>40331</v>
      </c>
      <c r="M2128" t="s">
        <v>41588</v>
      </c>
      <c r="N2128" t="s">
        <v>44759</v>
      </c>
      <c r="O2128" t="s">
        <v>44760</v>
      </c>
      <c r="P2128">
        <v>0</v>
      </c>
      <c r="Q2128">
        <v>0</v>
      </c>
      <c r="R2128" t="s">
        <v>44762</v>
      </c>
      <c r="S2128" t="s">
        <v>44863</v>
      </c>
      <c r="T2128" t="s">
        <v>46412</v>
      </c>
      <c r="U2128" t="s">
        <v>48796</v>
      </c>
      <c r="W2128" t="s">
        <v>41588</v>
      </c>
      <c r="X2128" t="s">
        <v>44763</v>
      </c>
    </row>
    <row r="2129" spans="1:24">
      <c r="A2129">
        <f>HYPERLINK("https://www.philgeps.gov.ph/GEPSNONPILOT/Tender/SplashBidNoticeAbstractUI.aspx?menuIndex=3&amp;refID=7151629&amp;Result=3","7151629")</f>
        <v>0</v>
      </c>
      <c r="B2129" t="s">
        <v>739</v>
      </c>
      <c r="C2129" t="s">
        <v>5801</v>
      </c>
      <c r="D2129" t="s">
        <v>17972</v>
      </c>
      <c r="E2129" t="s">
        <v>20000</v>
      </c>
      <c r="F2129" t="s">
        <v>30900</v>
      </c>
      <c r="G2129" t="s">
        <v>30909</v>
      </c>
      <c r="H2129" t="s">
        <v>30916</v>
      </c>
      <c r="I2129" t="s">
        <v>4108</v>
      </c>
      <c r="J2129" t="s">
        <v>32605</v>
      </c>
      <c r="K2129" t="s">
        <v>40286</v>
      </c>
      <c r="L2129" t="s">
        <v>739</v>
      </c>
      <c r="M2129" t="s">
        <v>41303</v>
      </c>
      <c r="N2129" t="s">
        <v>44759</v>
      </c>
      <c r="O2129" t="s">
        <v>44760</v>
      </c>
      <c r="P2129">
        <v>0</v>
      </c>
      <c r="Q2129">
        <v>1</v>
      </c>
      <c r="R2129" t="s">
        <v>44762</v>
      </c>
      <c r="S2129" t="s">
        <v>44863</v>
      </c>
      <c r="T2129" t="s">
        <v>46534</v>
      </c>
      <c r="U2129" t="s">
        <v>48797</v>
      </c>
      <c r="V2129" t="s">
        <v>59359</v>
      </c>
      <c r="W2129" t="s">
        <v>41303</v>
      </c>
      <c r="X2129" t="s">
        <v>44763</v>
      </c>
    </row>
    <row r="2130" spans="1:24">
      <c r="A2130">
        <f>HYPERLINK("https://www.philgeps.gov.ph/GEPSNONPILOT/Tender/SplashBidNoticeAbstractUI.aspx?menuIndex=3&amp;refID=7151627&amp;Result=3","7151627")</f>
        <v>0</v>
      </c>
      <c r="B2130" t="s">
        <v>853</v>
      </c>
      <c r="C2130" t="s">
        <v>5802</v>
      </c>
      <c r="D2130" t="s">
        <v>18018</v>
      </c>
      <c r="E2130" t="s">
        <v>20001</v>
      </c>
      <c r="F2130" t="s">
        <v>30900</v>
      </c>
      <c r="G2130" t="s">
        <v>30907</v>
      </c>
      <c r="H2130" t="s">
        <v>30915</v>
      </c>
      <c r="I2130" t="s">
        <v>30919</v>
      </c>
      <c r="J2130" t="s">
        <v>32606</v>
      </c>
      <c r="K2130" t="s">
        <v>40297</v>
      </c>
      <c r="M2130" t="s">
        <v>41426</v>
      </c>
      <c r="N2130" t="s">
        <v>44759</v>
      </c>
      <c r="O2130" t="s">
        <v>44760</v>
      </c>
      <c r="P2130">
        <v>0</v>
      </c>
      <c r="Q2130">
        <v>0</v>
      </c>
      <c r="R2130" t="s">
        <v>44762</v>
      </c>
      <c r="S2130" t="s">
        <v>44863</v>
      </c>
      <c r="T2130" t="s">
        <v>46433</v>
      </c>
      <c r="U2130" t="s">
        <v>48798</v>
      </c>
      <c r="W2130" t="s">
        <v>41426</v>
      </c>
      <c r="X2130" t="s">
        <v>44763</v>
      </c>
    </row>
    <row r="2131" spans="1:24">
      <c r="A2131">
        <f>HYPERLINK("https://www.philgeps.gov.ph/GEPSNONPILOT/Tender/SplashBidNoticeAbstractUI.aspx?menuIndex=3&amp;refID=7151616&amp;Result=3","7151616")</f>
        <v>0</v>
      </c>
      <c r="B2131" t="s">
        <v>982</v>
      </c>
      <c r="C2131" t="s">
        <v>5803</v>
      </c>
      <c r="D2131" t="s">
        <v>18019</v>
      </c>
      <c r="E2131" t="s">
        <v>20002</v>
      </c>
      <c r="F2131" t="s">
        <v>30900</v>
      </c>
      <c r="G2131" t="s">
        <v>30908</v>
      </c>
      <c r="H2131" t="s">
        <v>30916</v>
      </c>
      <c r="I2131" t="s">
        <v>8123</v>
      </c>
      <c r="J2131" t="s">
        <v>32607</v>
      </c>
      <c r="K2131" t="s">
        <v>40287</v>
      </c>
      <c r="M2131" t="s">
        <v>41570</v>
      </c>
      <c r="N2131" t="s">
        <v>44759</v>
      </c>
      <c r="O2131" t="s">
        <v>44760</v>
      </c>
      <c r="P2131">
        <v>0</v>
      </c>
      <c r="Q2131">
        <v>0</v>
      </c>
      <c r="R2131" t="s">
        <v>44762</v>
      </c>
      <c r="S2131" t="s">
        <v>44863</v>
      </c>
      <c r="T2131" t="s">
        <v>46576</v>
      </c>
      <c r="U2131" t="s">
        <v>48754</v>
      </c>
      <c r="W2131" t="s">
        <v>41570</v>
      </c>
      <c r="X2131" t="s">
        <v>44763</v>
      </c>
    </row>
    <row r="2132" spans="1:24">
      <c r="A2132">
        <f>HYPERLINK("https://www.philgeps.gov.ph/GEPSNONPILOT/Tender/SplashBidNoticeAbstractUI.aspx?menuIndex=3&amp;refID=7151615&amp;Result=3","7151615")</f>
        <v>0</v>
      </c>
      <c r="B2132" t="s">
        <v>1000</v>
      </c>
      <c r="C2132" t="s">
        <v>5804</v>
      </c>
      <c r="D2132" t="s">
        <v>18001</v>
      </c>
      <c r="E2132" t="s">
        <v>20003</v>
      </c>
      <c r="F2132" t="s">
        <v>30900</v>
      </c>
      <c r="G2132" t="s">
        <v>30908</v>
      </c>
      <c r="H2132" t="s">
        <v>30916</v>
      </c>
      <c r="I2132" t="s">
        <v>30952</v>
      </c>
      <c r="J2132" t="s">
        <v>32608</v>
      </c>
      <c r="K2132" t="s">
        <v>40286</v>
      </c>
      <c r="M2132" t="s">
        <v>41589</v>
      </c>
      <c r="N2132" t="s">
        <v>44759</v>
      </c>
      <c r="O2132" t="s">
        <v>44760</v>
      </c>
      <c r="P2132">
        <v>0</v>
      </c>
      <c r="Q2132">
        <v>5</v>
      </c>
      <c r="R2132" t="s">
        <v>44762</v>
      </c>
      <c r="S2132" t="s">
        <v>44863</v>
      </c>
      <c r="T2132" t="s">
        <v>46487</v>
      </c>
      <c r="U2132" t="s">
        <v>48799</v>
      </c>
      <c r="W2132" t="s">
        <v>41589</v>
      </c>
      <c r="X2132" t="s">
        <v>44763</v>
      </c>
    </row>
    <row r="2133" spans="1:24">
      <c r="A2133">
        <f>HYPERLINK("https://www.philgeps.gov.ph/GEPSNONPILOT/Tender/SplashBidNoticeAbstractUI.aspx?menuIndex=3&amp;refID=7151598&amp;Result=3","7151598")</f>
        <v>0</v>
      </c>
      <c r="B2133" t="s">
        <v>767</v>
      </c>
      <c r="C2133" t="s">
        <v>5805</v>
      </c>
      <c r="D2133" t="s">
        <v>18020</v>
      </c>
      <c r="E2133" t="s">
        <v>20004</v>
      </c>
      <c r="F2133" t="s">
        <v>30900</v>
      </c>
      <c r="G2133" t="s">
        <v>30909</v>
      </c>
      <c r="H2133" t="s">
        <v>30916</v>
      </c>
      <c r="I2133" t="s">
        <v>4108</v>
      </c>
      <c r="J2133" t="s">
        <v>32609</v>
      </c>
      <c r="K2133" t="s">
        <v>40289</v>
      </c>
      <c r="M2133" t="s">
        <v>41333</v>
      </c>
      <c r="N2133" t="s">
        <v>44759</v>
      </c>
      <c r="O2133" t="s">
        <v>44760</v>
      </c>
      <c r="P2133">
        <v>0</v>
      </c>
      <c r="Q2133">
        <v>3</v>
      </c>
      <c r="R2133" t="s">
        <v>44762</v>
      </c>
      <c r="S2133" t="s">
        <v>44863</v>
      </c>
      <c r="T2133" t="s">
        <v>46410</v>
      </c>
      <c r="U2133" t="s">
        <v>48800</v>
      </c>
      <c r="V2133" t="s">
        <v>59299</v>
      </c>
      <c r="W2133" t="s">
        <v>41333</v>
      </c>
      <c r="X2133" t="s">
        <v>44763</v>
      </c>
    </row>
    <row r="2134" spans="1:24">
      <c r="A2134">
        <f>HYPERLINK("https://www.philgeps.gov.ph/GEPSNONPILOT/Tender/SplashBidNoticeAbstractUI.aspx?menuIndex=3&amp;refID=7151614&amp;Result=3","7151614")</f>
        <v>0</v>
      </c>
      <c r="B2134" t="s">
        <v>930</v>
      </c>
      <c r="C2134" t="s">
        <v>5806</v>
      </c>
      <c r="D2134" t="s">
        <v>17993</v>
      </c>
      <c r="E2134" t="s">
        <v>20005</v>
      </c>
      <c r="F2134" t="s">
        <v>30900</v>
      </c>
      <c r="G2134" t="s">
        <v>30907</v>
      </c>
      <c r="H2134" t="s">
        <v>30915</v>
      </c>
      <c r="I2134" t="s">
        <v>30919</v>
      </c>
      <c r="J2134" t="s">
        <v>31243</v>
      </c>
      <c r="K2134" t="s">
        <v>40303</v>
      </c>
      <c r="M2134" t="s">
        <v>41512</v>
      </c>
      <c r="N2134" t="s">
        <v>44759</v>
      </c>
      <c r="O2134" t="s">
        <v>44760</v>
      </c>
      <c r="P2134">
        <v>0</v>
      </c>
      <c r="Q2134">
        <v>0</v>
      </c>
      <c r="R2134" t="s">
        <v>44762</v>
      </c>
      <c r="S2134" t="s">
        <v>44863</v>
      </c>
      <c r="T2134" t="s">
        <v>46369</v>
      </c>
      <c r="U2134" t="s">
        <v>48801</v>
      </c>
      <c r="W2134" t="s">
        <v>41512</v>
      </c>
      <c r="X2134" t="s">
        <v>44763</v>
      </c>
    </row>
    <row r="2135" spans="1:24">
      <c r="A2135">
        <f>HYPERLINK("https://www.philgeps.gov.ph/GEPSNONPILOT/Tender/SplashBidNoticeAbstractUI.aspx?menuIndex=3&amp;refID=7151613&amp;Result=3","7151613")</f>
        <v>0</v>
      </c>
      <c r="B2135" t="s">
        <v>1001</v>
      </c>
      <c r="C2135" t="s">
        <v>5807</v>
      </c>
      <c r="D2135" t="s">
        <v>17973</v>
      </c>
      <c r="E2135" t="s">
        <v>20006</v>
      </c>
      <c r="F2135" t="s">
        <v>30900</v>
      </c>
      <c r="G2135" t="s">
        <v>30908</v>
      </c>
      <c r="H2135" t="s">
        <v>30915</v>
      </c>
      <c r="I2135" t="s">
        <v>30919</v>
      </c>
      <c r="J2135" t="s">
        <v>31101</v>
      </c>
      <c r="K2135" t="s">
        <v>40284</v>
      </c>
      <c r="M2135" t="s">
        <v>41590</v>
      </c>
      <c r="N2135" t="s">
        <v>44759</v>
      </c>
      <c r="O2135" t="s">
        <v>44760</v>
      </c>
      <c r="P2135">
        <v>0</v>
      </c>
      <c r="Q2135">
        <v>0</v>
      </c>
      <c r="R2135" t="s">
        <v>44762</v>
      </c>
      <c r="S2135" t="s">
        <v>44863</v>
      </c>
      <c r="T2135" t="s">
        <v>46577</v>
      </c>
      <c r="U2135" t="s">
        <v>48802</v>
      </c>
      <c r="W2135" t="s">
        <v>41590</v>
      </c>
      <c r="X2135" t="s">
        <v>44763</v>
      </c>
    </row>
    <row r="2136" spans="1:24">
      <c r="A2136">
        <f>HYPERLINK("https://www.philgeps.gov.ph/GEPSNONPILOT/Tender/SplashBidNoticeAbstractUI.aspx?menuIndex=3&amp;refID=7151612&amp;Result=3","7151612")</f>
        <v>0</v>
      </c>
      <c r="B2136" t="s">
        <v>979</v>
      </c>
      <c r="C2136" t="s">
        <v>5808</v>
      </c>
      <c r="D2136" t="s">
        <v>17986</v>
      </c>
      <c r="E2136" t="s">
        <v>20007</v>
      </c>
      <c r="F2136" t="s">
        <v>30900</v>
      </c>
      <c r="G2136" t="s">
        <v>30908</v>
      </c>
      <c r="H2136" t="s">
        <v>30916</v>
      </c>
      <c r="I2136" t="s">
        <v>8123</v>
      </c>
      <c r="J2136" t="s">
        <v>32610</v>
      </c>
      <c r="K2136" t="s">
        <v>40291</v>
      </c>
      <c r="M2136" t="s">
        <v>41567</v>
      </c>
      <c r="N2136" t="s">
        <v>44759</v>
      </c>
      <c r="O2136" t="s">
        <v>44760</v>
      </c>
      <c r="P2136">
        <v>0</v>
      </c>
      <c r="Q2136">
        <v>0</v>
      </c>
      <c r="R2136" t="s">
        <v>44762</v>
      </c>
      <c r="S2136" t="s">
        <v>44863</v>
      </c>
      <c r="T2136" t="s">
        <v>46545</v>
      </c>
      <c r="U2136" t="s">
        <v>48803</v>
      </c>
      <c r="W2136" t="s">
        <v>41567</v>
      </c>
      <c r="X2136" t="s">
        <v>44763</v>
      </c>
    </row>
    <row r="2137" spans="1:24">
      <c r="A2137">
        <f>HYPERLINK("https://www.philgeps.gov.ph/GEPSNONPILOT/Tender/SplashBidNoticeAbstractUI.aspx?menuIndex=3&amp;refID=7151631&amp;Result=3","7151631")</f>
        <v>0</v>
      </c>
      <c r="B2137" t="s">
        <v>932</v>
      </c>
      <c r="C2137" t="s">
        <v>5809</v>
      </c>
      <c r="D2137" t="s">
        <v>17959</v>
      </c>
      <c r="E2137" t="s">
        <v>20008</v>
      </c>
      <c r="F2137" t="s">
        <v>30900</v>
      </c>
      <c r="G2137" t="s">
        <v>30907</v>
      </c>
      <c r="H2137" t="s">
        <v>30916</v>
      </c>
      <c r="I2137" t="s">
        <v>4108</v>
      </c>
      <c r="J2137" t="s">
        <v>32611</v>
      </c>
      <c r="K2137" t="s">
        <v>40283</v>
      </c>
      <c r="M2137" t="s">
        <v>41514</v>
      </c>
      <c r="N2137" t="s">
        <v>44759</v>
      </c>
      <c r="O2137" t="s">
        <v>44760</v>
      </c>
      <c r="P2137">
        <v>0</v>
      </c>
      <c r="Q2137">
        <v>0</v>
      </c>
      <c r="R2137" t="s">
        <v>44762</v>
      </c>
      <c r="S2137" t="s">
        <v>44863</v>
      </c>
      <c r="T2137" t="s">
        <v>46350</v>
      </c>
      <c r="U2137" t="s">
        <v>48763</v>
      </c>
      <c r="W2137" t="s">
        <v>41514</v>
      </c>
      <c r="X2137" t="s">
        <v>44763</v>
      </c>
    </row>
    <row r="2138" spans="1:24">
      <c r="A2138">
        <f>HYPERLINK("https://www.philgeps.gov.ph/GEPSNONPILOT/Tender/SplashBidNoticeAbstractUI.aspx?menuIndex=3&amp;refID=7151630&amp;Result=3","7151630")</f>
        <v>0</v>
      </c>
      <c r="B2138" t="s">
        <v>982</v>
      </c>
      <c r="C2138" t="s">
        <v>5773</v>
      </c>
      <c r="D2138" t="s">
        <v>18019</v>
      </c>
      <c r="E2138" t="s">
        <v>20009</v>
      </c>
      <c r="F2138" t="s">
        <v>30900</v>
      </c>
      <c r="G2138" t="s">
        <v>30908</v>
      </c>
      <c r="H2138" t="s">
        <v>30916</v>
      </c>
      <c r="I2138" t="s">
        <v>4108</v>
      </c>
      <c r="J2138" t="s">
        <v>32612</v>
      </c>
      <c r="K2138" t="s">
        <v>40287</v>
      </c>
      <c r="M2138" t="s">
        <v>41570</v>
      </c>
      <c r="N2138" t="s">
        <v>44759</v>
      </c>
      <c r="O2138" t="s">
        <v>44760</v>
      </c>
      <c r="P2138">
        <v>0</v>
      </c>
      <c r="Q2138">
        <v>0</v>
      </c>
      <c r="R2138" t="s">
        <v>44762</v>
      </c>
      <c r="S2138" t="s">
        <v>44863</v>
      </c>
      <c r="T2138" t="s">
        <v>46578</v>
      </c>
      <c r="U2138" t="s">
        <v>48754</v>
      </c>
      <c r="W2138" t="s">
        <v>41570</v>
      </c>
      <c r="X2138" t="s">
        <v>44763</v>
      </c>
    </row>
    <row r="2139" spans="1:24">
      <c r="A2139">
        <f>HYPERLINK("https://www.philgeps.gov.ph/GEPSNONPILOT/Tender/SplashBidNoticeAbstractUI.aspx?menuIndex=3&amp;refID=7151646&amp;Result=3","7151646")</f>
        <v>0</v>
      </c>
      <c r="B2139" t="s">
        <v>930</v>
      </c>
      <c r="C2139" t="s">
        <v>5810</v>
      </c>
      <c r="D2139" t="s">
        <v>17993</v>
      </c>
      <c r="E2139" t="s">
        <v>20010</v>
      </c>
      <c r="F2139" t="s">
        <v>30900</v>
      </c>
      <c r="G2139" t="s">
        <v>30907</v>
      </c>
      <c r="H2139" t="s">
        <v>30916</v>
      </c>
      <c r="I2139" t="s">
        <v>4545</v>
      </c>
      <c r="J2139" t="s">
        <v>31413</v>
      </c>
      <c r="K2139" t="s">
        <v>40287</v>
      </c>
      <c r="M2139" t="s">
        <v>41512</v>
      </c>
      <c r="N2139" t="s">
        <v>44759</v>
      </c>
      <c r="O2139" t="s">
        <v>44760</v>
      </c>
      <c r="P2139">
        <v>0</v>
      </c>
      <c r="Q2139">
        <v>1</v>
      </c>
      <c r="R2139" t="s">
        <v>44762</v>
      </c>
      <c r="S2139" t="s">
        <v>44863</v>
      </c>
      <c r="T2139" t="s">
        <v>46427</v>
      </c>
      <c r="U2139" t="s">
        <v>48804</v>
      </c>
      <c r="W2139" t="s">
        <v>41512</v>
      </c>
      <c r="X2139" t="s">
        <v>44763</v>
      </c>
    </row>
    <row r="2140" spans="1:24">
      <c r="A2140">
        <f>HYPERLINK("https://www.philgeps.gov.ph/GEPSNONPILOT/Tender/SplashBidNoticeAbstractUI.aspx?menuIndex=3&amp;refID=7151645&amp;Result=3","7151645")</f>
        <v>0</v>
      </c>
      <c r="B2140" t="s">
        <v>854</v>
      </c>
      <c r="C2140" t="s">
        <v>5811</v>
      </c>
      <c r="D2140" t="s">
        <v>17963</v>
      </c>
      <c r="E2140" t="s">
        <v>20011</v>
      </c>
      <c r="F2140" t="s">
        <v>30900</v>
      </c>
      <c r="G2140" t="s">
        <v>30907</v>
      </c>
      <c r="H2140" t="s">
        <v>30916</v>
      </c>
      <c r="I2140" t="s">
        <v>30923</v>
      </c>
      <c r="J2140" t="s">
        <v>31313</v>
      </c>
      <c r="K2140" t="s">
        <v>40287</v>
      </c>
      <c r="M2140" t="s">
        <v>41427</v>
      </c>
      <c r="N2140" t="s">
        <v>44759</v>
      </c>
      <c r="O2140" t="s">
        <v>44760</v>
      </c>
      <c r="P2140">
        <v>0</v>
      </c>
      <c r="Q2140">
        <v>4</v>
      </c>
      <c r="R2140" t="s">
        <v>44762</v>
      </c>
      <c r="S2140" t="s">
        <v>44863</v>
      </c>
      <c r="T2140" t="s">
        <v>46409</v>
      </c>
      <c r="U2140" t="s">
        <v>48805</v>
      </c>
      <c r="V2140" t="s">
        <v>59319</v>
      </c>
      <c r="W2140" t="s">
        <v>41427</v>
      </c>
      <c r="X2140" t="s">
        <v>44763</v>
      </c>
    </row>
    <row r="2141" spans="1:24">
      <c r="A2141">
        <f>HYPERLINK("https://www.philgeps.gov.ph/GEPSNONPILOT/Tender/SplashBidNoticeAbstractUI.aspx?menuIndex=3&amp;refID=7151642&amp;Result=3","7151642")</f>
        <v>0</v>
      </c>
      <c r="B2141" t="s">
        <v>989</v>
      </c>
      <c r="C2141" t="s">
        <v>5812</v>
      </c>
      <c r="D2141" t="s">
        <v>18025</v>
      </c>
      <c r="E2141" t="s">
        <v>20012</v>
      </c>
      <c r="F2141" t="s">
        <v>30900</v>
      </c>
      <c r="G2141" t="s">
        <v>30909</v>
      </c>
      <c r="H2141" t="s">
        <v>30916</v>
      </c>
      <c r="I2141" t="s">
        <v>4142</v>
      </c>
      <c r="J2141" t="s">
        <v>32613</v>
      </c>
      <c r="K2141" t="s">
        <v>40288</v>
      </c>
      <c r="M2141" t="s">
        <v>41577</v>
      </c>
      <c r="N2141" t="s">
        <v>44759</v>
      </c>
      <c r="O2141" t="s">
        <v>44760</v>
      </c>
      <c r="P2141">
        <v>0</v>
      </c>
      <c r="Q2141">
        <v>3</v>
      </c>
      <c r="R2141" t="s">
        <v>44762</v>
      </c>
      <c r="S2141" t="s">
        <v>44863</v>
      </c>
      <c r="T2141" t="s">
        <v>46403</v>
      </c>
      <c r="U2141" t="s">
        <v>48806</v>
      </c>
      <c r="W2141" t="s">
        <v>41577</v>
      </c>
      <c r="X2141" t="s">
        <v>44763</v>
      </c>
    </row>
    <row r="2142" spans="1:24">
      <c r="A2142">
        <f>HYPERLINK("https://www.philgeps.gov.ph/GEPSNONPILOT/Tender/SplashBidNoticeAbstractUI.aspx?menuIndex=3&amp;refID=7151640&amp;Result=3","7151640")</f>
        <v>0</v>
      </c>
      <c r="B2142" t="s">
        <v>859</v>
      </c>
      <c r="C2142" t="s">
        <v>5813</v>
      </c>
      <c r="D2142" t="s">
        <v>17969</v>
      </c>
      <c r="E2142" t="s">
        <v>20013</v>
      </c>
      <c r="F2142" t="s">
        <v>30900</v>
      </c>
      <c r="G2142" t="s">
        <v>30908</v>
      </c>
      <c r="H2142" t="s">
        <v>30916</v>
      </c>
      <c r="I2142" t="s">
        <v>9385</v>
      </c>
      <c r="J2142" t="s">
        <v>32614</v>
      </c>
      <c r="K2142" t="s">
        <v>40286</v>
      </c>
      <c r="M2142" t="s">
        <v>41432</v>
      </c>
      <c r="N2142" t="s">
        <v>44759</v>
      </c>
      <c r="O2142" t="s">
        <v>44760</v>
      </c>
      <c r="P2142">
        <v>0</v>
      </c>
      <c r="Q2142">
        <v>4</v>
      </c>
      <c r="R2142" t="s">
        <v>44762</v>
      </c>
      <c r="S2142" t="s">
        <v>44863</v>
      </c>
      <c r="T2142" t="s">
        <v>46363</v>
      </c>
      <c r="U2142" t="s">
        <v>48807</v>
      </c>
      <c r="W2142" t="s">
        <v>41432</v>
      </c>
      <c r="X2142" t="s">
        <v>44763</v>
      </c>
    </row>
    <row r="2143" spans="1:24">
      <c r="A2143">
        <f>HYPERLINK("https://www.philgeps.gov.ph/GEPSNONPILOT/Tender/SplashBidNoticeAbstractUI.aspx?menuIndex=3&amp;refID=7151639&amp;Result=3","7151639")</f>
        <v>0</v>
      </c>
      <c r="B2143" t="s">
        <v>982</v>
      </c>
      <c r="C2143" t="s">
        <v>5803</v>
      </c>
      <c r="D2143" t="s">
        <v>18019</v>
      </c>
      <c r="E2143" t="s">
        <v>20014</v>
      </c>
      <c r="F2143" t="s">
        <v>30900</v>
      </c>
      <c r="G2143" t="s">
        <v>30908</v>
      </c>
      <c r="H2143" t="s">
        <v>30916</v>
      </c>
      <c r="I2143" t="s">
        <v>8123</v>
      </c>
      <c r="J2143" t="s">
        <v>31101</v>
      </c>
      <c r="K2143" t="s">
        <v>40287</v>
      </c>
      <c r="M2143" t="s">
        <v>41570</v>
      </c>
      <c r="N2143" t="s">
        <v>44759</v>
      </c>
      <c r="O2143" t="s">
        <v>44760</v>
      </c>
      <c r="P2143">
        <v>0</v>
      </c>
      <c r="Q2143">
        <v>0</v>
      </c>
      <c r="R2143" t="s">
        <v>44762</v>
      </c>
      <c r="S2143" t="s">
        <v>44863</v>
      </c>
      <c r="T2143" t="s">
        <v>46579</v>
      </c>
      <c r="U2143" t="s">
        <v>48754</v>
      </c>
      <c r="W2143" t="s">
        <v>41570</v>
      </c>
      <c r="X2143" t="s">
        <v>44763</v>
      </c>
    </row>
    <row r="2144" spans="1:24">
      <c r="A2144">
        <f>HYPERLINK("https://www.philgeps.gov.ph/GEPSNONPILOT/Tender/SplashBidNoticeAbstractUI.aspx?menuIndex=3&amp;refID=7151657&amp;Result=3","7151657")</f>
        <v>0</v>
      </c>
      <c r="B2144" t="s">
        <v>1002</v>
      </c>
      <c r="C2144" t="s">
        <v>5814</v>
      </c>
      <c r="D2144" t="s">
        <v>18037</v>
      </c>
      <c r="E2144" t="s">
        <v>20015</v>
      </c>
      <c r="F2144" t="s">
        <v>30900</v>
      </c>
      <c r="G2144" t="s">
        <v>30909</v>
      </c>
      <c r="H2144" t="s">
        <v>30916</v>
      </c>
      <c r="I2144" t="s">
        <v>6396</v>
      </c>
      <c r="J2144" t="s">
        <v>31614</v>
      </c>
      <c r="K2144" t="s">
        <v>40288</v>
      </c>
      <c r="M2144" t="s">
        <v>41591</v>
      </c>
      <c r="N2144" t="s">
        <v>44759</v>
      </c>
      <c r="O2144" t="s">
        <v>44760</v>
      </c>
      <c r="P2144">
        <v>0</v>
      </c>
      <c r="Q2144">
        <v>2</v>
      </c>
      <c r="R2144" t="s">
        <v>44762</v>
      </c>
      <c r="S2144" t="s">
        <v>44863</v>
      </c>
      <c r="T2144" t="s">
        <v>46398</v>
      </c>
      <c r="U2144" t="s">
        <v>48808</v>
      </c>
      <c r="W2144" t="s">
        <v>41591</v>
      </c>
      <c r="X2144" t="s">
        <v>44763</v>
      </c>
    </row>
    <row r="2145" spans="1:24">
      <c r="A2145">
        <f>HYPERLINK("https://www.philgeps.gov.ph/GEPSNONPILOT/Tender/SplashBidNoticeAbstractUI.aspx?menuIndex=3&amp;refID=7151654&amp;Result=3","7151654")</f>
        <v>0</v>
      </c>
      <c r="B2145" t="s">
        <v>917</v>
      </c>
      <c r="C2145" t="s">
        <v>5815</v>
      </c>
      <c r="D2145" t="s">
        <v>18011</v>
      </c>
      <c r="E2145" t="s">
        <v>20016</v>
      </c>
      <c r="F2145" t="s">
        <v>30900</v>
      </c>
      <c r="G2145" t="s">
        <v>30907</v>
      </c>
      <c r="H2145" t="s">
        <v>30916</v>
      </c>
      <c r="I2145" t="s">
        <v>30918</v>
      </c>
      <c r="J2145" t="s">
        <v>32615</v>
      </c>
      <c r="K2145" t="s">
        <v>40286</v>
      </c>
      <c r="M2145" t="s">
        <v>41496</v>
      </c>
      <c r="N2145" t="s">
        <v>44759</v>
      </c>
      <c r="O2145" t="s">
        <v>44760</v>
      </c>
      <c r="P2145">
        <v>0</v>
      </c>
      <c r="Q2145">
        <v>11</v>
      </c>
      <c r="R2145" t="s">
        <v>44762</v>
      </c>
      <c r="S2145" t="s">
        <v>44863</v>
      </c>
      <c r="T2145" t="s">
        <v>46350</v>
      </c>
      <c r="U2145" t="s">
        <v>48809</v>
      </c>
      <c r="W2145" t="s">
        <v>41496</v>
      </c>
      <c r="X2145" t="s">
        <v>44763</v>
      </c>
    </row>
    <row r="2146" spans="1:24">
      <c r="A2146">
        <f>HYPERLINK("https://www.philgeps.gov.ph/GEPSNONPILOT/Tender/SplashBidNoticeAbstractUI.aspx?menuIndex=3&amp;refID=7151647&amp;Result=3","7151647")</f>
        <v>0</v>
      </c>
      <c r="B2146" t="s">
        <v>1003</v>
      </c>
      <c r="C2146" t="s">
        <v>5816</v>
      </c>
      <c r="D2146" t="s">
        <v>17987</v>
      </c>
      <c r="E2146" t="s">
        <v>20017</v>
      </c>
      <c r="F2146" t="s">
        <v>30900</v>
      </c>
      <c r="G2146" t="s">
        <v>30907</v>
      </c>
      <c r="H2146" t="s">
        <v>30916</v>
      </c>
      <c r="I2146" t="s">
        <v>30933</v>
      </c>
      <c r="J2146" t="s">
        <v>32616</v>
      </c>
      <c r="K2146" t="s">
        <v>40280</v>
      </c>
      <c r="M2146" t="s">
        <v>41592</v>
      </c>
      <c r="N2146" t="s">
        <v>44759</v>
      </c>
      <c r="O2146" t="s">
        <v>44760</v>
      </c>
      <c r="P2146">
        <v>0</v>
      </c>
      <c r="Q2146">
        <v>5</v>
      </c>
      <c r="R2146" t="s">
        <v>44762</v>
      </c>
      <c r="S2146" t="s">
        <v>44863</v>
      </c>
      <c r="T2146" t="s">
        <v>46417</v>
      </c>
      <c r="U2146" t="s">
        <v>48810</v>
      </c>
      <c r="W2146" t="s">
        <v>41592</v>
      </c>
      <c r="X2146" t="s">
        <v>44763</v>
      </c>
    </row>
    <row r="2147" spans="1:24">
      <c r="A2147">
        <f>HYPERLINK("https://www.philgeps.gov.ph/GEPSNONPILOT/Tender/SplashBidNoticeAbstractUI.aspx?menuIndex=3&amp;refID=7151652&amp;Result=3","7151652")</f>
        <v>0</v>
      </c>
      <c r="B2147" t="s">
        <v>853</v>
      </c>
      <c r="C2147" t="s">
        <v>5817</v>
      </c>
      <c r="D2147" t="s">
        <v>18018</v>
      </c>
      <c r="E2147" t="s">
        <v>20018</v>
      </c>
      <c r="F2147" t="s">
        <v>30900</v>
      </c>
      <c r="G2147" t="s">
        <v>30907</v>
      </c>
      <c r="H2147" t="s">
        <v>30915</v>
      </c>
      <c r="I2147" t="s">
        <v>30919</v>
      </c>
      <c r="J2147" t="s">
        <v>32617</v>
      </c>
      <c r="K2147" t="s">
        <v>40361</v>
      </c>
      <c r="M2147" t="s">
        <v>41426</v>
      </c>
      <c r="N2147" t="s">
        <v>44759</v>
      </c>
      <c r="O2147" t="s">
        <v>44760</v>
      </c>
      <c r="P2147">
        <v>0</v>
      </c>
      <c r="Q2147">
        <v>0</v>
      </c>
      <c r="R2147" t="s">
        <v>44762</v>
      </c>
      <c r="S2147" t="s">
        <v>44863</v>
      </c>
      <c r="T2147" t="s">
        <v>46433</v>
      </c>
      <c r="U2147" t="s">
        <v>48798</v>
      </c>
      <c r="W2147" t="s">
        <v>41426</v>
      </c>
      <c r="X2147" t="s">
        <v>44763</v>
      </c>
    </row>
    <row r="2148" spans="1:24">
      <c r="A2148">
        <f>HYPERLINK("https://www.philgeps.gov.ph/GEPSNONPILOT/Tender/SplashBidNoticeAbstractUI.aspx?menuIndex=3&amp;refID=7151651&amp;Result=3","7151651")</f>
        <v>0</v>
      </c>
      <c r="B2148" t="s">
        <v>281</v>
      </c>
      <c r="C2148" t="s">
        <v>5818</v>
      </c>
      <c r="D2148" t="s">
        <v>17953</v>
      </c>
      <c r="E2148" t="s">
        <v>20019</v>
      </c>
      <c r="F2148" t="s">
        <v>30900</v>
      </c>
      <c r="G2148" t="s">
        <v>30908</v>
      </c>
      <c r="H2148" t="s">
        <v>30916</v>
      </c>
      <c r="I2148" t="s">
        <v>30947</v>
      </c>
      <c r="J2148" t="s">
        <v>32618</v>
      </c>
      <c r="K2148" t="s">
        <v>40283</v>
      </c>
      <c r="M2148" t="s">
        <v>40828</v>
      </c>
      <c r="N2148" t="s">
        <v>44759</v>
      </c>
      <c r="O2148" t="s">
        <v>44760</v>
      </c>
      <c r="P2148">
        <v>0</v>
      </c>
      <c r="Q2148">
        <v>0</v>
      </c>
      <c r="R2148" t="s">
        <v>44762</v>
      </c>
      <c r="S2148" t="s">
        <v>44863</v>
      </c>
      <c r="T2148" t="s">
        <v>46483</v>
      </c>
      <c r="U2148" t="s">
        <v>48811</v>
      </c>
      <c r="W2148" t="s">
        <v>40828</v>
      </c>
      <c r="X2148" t="s">
        <v>44763</v>
      </c>
    </row>
    <row r="2149" spans="1:24">
      <c r="A2149">
        <f>HYPERLINK("https://www.philgeps.gov.ph/GEPSNONPILOT/Tender/SplashBidNoticeAbstractUI.aspx?menuIndex=3&amp;refID=7151650&amp;Result=3","7151650")</f>
        <v>0</v>
      </c>
      <c r="B2149" t="s">
        <v>974</v>
      </c>
      <c r="C2149" t="s">
        <v>5744</v>
      </c>
      <c r="D2149" t="s">
        <v>18028</v>
      </c>
      <c r="E2149" t="s">
        <v>19629</v>
      </c>
      <c r="F2149" t="s">
        <v>30900</v>
      </c>
      <c r="G2149" t="s">
        <v>30907</v>
      </c>
      <c r="H2149" t="s">
        <v>30915</v>
      </c>
      <c r="I2149" t="s">
        <v>30919</v>
      </c>
      <c r="J2149" t="s">
        <v>32619</v>
      </c>
      <c r="K2149" t="s">
        <v>40291</v>
      </c>
      <c r="M2149" t="s">
        <v>41562</v>
      </c>
      <c r="N2149" t="s">
        <v>44759</v>
      </c>
      <c r="O2149" t="s">
        <v>44760</v>
      </c>
      <c r="P2149">
        <v>0</v>
      </c>
      <c r="Q2149">
        <v>0</v>
      </c>
      <c r="R2149" t="s">
        <v>44762</v>
      </c>
      <c r="S2149" t="s">
        <v>44863</v>
      </c>
      <c r="T2149" t="s">
        <v>46352</v>
      </c>
      <c r="U2149" t="s">
        <v>48812</v>
      </c>
      <c r="W2149" t="s">
        <v>41562</v>
      </c>
      <c r="X2149" t="s">
        <v>44763</v>
      </c>
    </row>
    <row r="2150" spans="1:24">
      <c r="A2150">
        <f>HYPERLINK("https://www.philgeps.gov.ph/GEPSNONPILOT/Tender/SplashBidNoticeAbstractUI.aspx?menuIndex=3&amp;refID=7151649&amp;Result=3","7151649")</f>
        <v>0</v>
      </c>
      <c r="B2150" t="s">
        <v>988</v>
      </c>
      <c r="C2150" t="s">
        <v>5819</v>
      </c>
      <c r="D2150" t="s">
        <v>17953</v>
      </c>
      <c r="E2150" t="s">
        <v>20020</v>
      </c>
      <c r="F2150" t="s">
        <v>30900</v>
      </c>
      <c r="G2150" t="s">
        <v>30906</v>
      </c>
      <c r="H2150" t="s">
        <v>30916</v>
      </c>
      <c r="I2150" t="s">
        <v>30927</v>
      </c>
      <c r="J2150" t="s">
        <v>32620</v>
      </c>
      <c r="K2150" t="s">
        <v>40289</v>
      </c>
      <c r="M2150" t="s">
        <v>41576</v>
      </c>
      <c r="N2150" t="s">
        <v>44759</v>
      </c>
      <c r="O2150" t="s">
        <v>44760</v>
      </c>
      <c r="P2150">
        <v>0</v>
      </c>
      <c r="Q2150">
        <v>0</v>
      </c>
      <c r="R2150" t="s">
        <v>44762</v>
      </c>
      <c r="S2150" t="s">
        <v>44863</v>
      </c>
      <c r="T2150" t="s">
        <v>46363</v>
      </c>
      <c r="U2150" t="s">
        <v>48813</v>
      </c>
      <c r="W2150" t="s">
        <v>41576</v>
      </c>
      <c r="X2150" t="s">
        <v>44763</v>
      </c>
    </row>
    <row r="2151" spans="1:24">
      <c r="A2151">
        <f>HYPERLINK("https://www.philgeps.gov.ph/GEPSNONPILOT/Tender/SplashBidNoticeAbstractUI.aspx?menuIndex=3&amp;refID=7151638&amp;Result=3","7151638")</f>
        <v>0</v>
      </c>
      <c r="B2151" t="s">
        <v>996</v>
      </c>
      <c r="C2151" t="s">
        <v>5820</v>
      </c>
      <c r="D2151" t="s">
        <v>17975</v>
      </c>
      <c r="E2151" t="s">
        <v>20021</v>
      </c>
      <c r="F2151" t="s">
        <v>30900</v>
      </c>
      <c r="G2151" t="s">
        <v>30909</v>
      </c>
      <c r="H2151" t="s">
        <v>30916</v>
      </c>
      <c r="I2151" t="s">
        <v>30922</v>
      </c>
      <c r="J2151" t="s">
        <v>32621</v>
      </c>
      <c r="K2151" t="s">
        <v>40284</v>
      </c>
      <c r="M2151" t="s">
        <v>41585</v>
      </c>
      <c r="N2151" t="s">
        <v>44759</v>
      </c>
      <c r="O2151" t="s">
        <v>44760</v>
      </c>
      <c r="P2151">
        <v>0</v>
      </c>
      <c r="Q2151">
        <v>10</v>
      </c>
      <c r="R2151" t="s">
        <v>44762</v>
      </c>
      <c r="S2151" t="s">
        <v>44863</v>
      </c>
      <c r="T2151" t="s">
        <v>46390</v>
      </c>
      <c r="U2151" t="s">
        <v>48814</v>
      </c>
      <c r="W2151" t="s">
        <v>41585</v>
      </c>
      <c r="X2151" t="s">
        <v>44763</v>
      </c>
    </row>
    <row r="2152" spans="1:24">
      <c r="A2152">
        <f>HYPERLINK("https://www.philgeps.gov.ph/GEPSNONPILOT/Tender/SplashBidNoticeAbstractUI.aspx?menuIndex=3&amp;refID=7151637&amp;Result=3","7151637")</f>
        <v>0</v>
      </c>
      <c r="B2152" t="s">
        <v>994</v>
      </c>
      <c r="C2152" t="s">
        <v>5821</v>
      </c>
      <c r="D2152" t="s">
        <v>17959</v>
      </c>
      <c r="E2152" t="s">
        <v>20022</v>
      </c>
      <c r="F2152" t="s">
        <v>30900</v>
      </c>
      <c r="G2152" t="s">
        <v>30907</v>
      </c>
      <c r="H2152" t="s">
        <v>30916</v>
      </c>
      <c r="I2152" t="s">
        <v>30923</v>
      </c>
      <c r="J2152" t="s">
        <v>31152</v>
      </c>
      <c r="K2152" t="s">
        <v>40283</v>
      </c>
      <c r="M2152" t="s">
        <v>41583</v>
      </c>
      <c r="N2152" t="s">
        <v>44759</v>
      </c>
      <c r="O2152" t="s">
        <v>44760</v>
      </c>
      <c r="P2152">
        <v>0</v>
      </c>
      <c r="Q2152">
        <v>4</v>
      </c>
      <c r="R2152" t="s">
        <v>44762</v>
      </c>
      <c r="S2152" t="s">
        <v>44863</v>
      </c>
      <c r="T2152" t="s">
        <v>46465</v>
      </c>
      <c r="U2152" t="s">
        <v>48815</v>
      </c>
      <c r="W2152" t="s">
        <v>41583</v>
      </c>
      <c r="X2152" t="s">
        <v>44763</v>
      </c>
    </row>
    <row r="2153" spans="1:24">
      <c r="A2153">
        <f>HYPERLINK("https://www.philgeps.gov.ph/GEPSNONPILOT/Tender/SplashBidNoticeAbstractUI.aspx?menuIndex=3&amp;refID=7151635&amp;Result=3","7151635")</f>
        <v>0</v>
      </c>
      <c r="B2153" t="s">
        <v>1004</v>
      </c>
      <c r="C2153" t="s">
        <v>5822</v>
      </c>
      <c r="D2153" t="s">
        <v>17959</v>
      </c>
      <c r="E2153" t="s">
        <v>20023</v>
      </c>
      <c r="F2153" t="s">
        <v>30900</v>
      </c>
      <c r="G2153" t="s">
        <v>30910</v>
      </c>
      <c r="H2153" t="s">
        <v>30916</v>
      </c>
      <c r="I2153" t="s">
        <v>30935</v>
      </c>
      <c r="J2153" t="s">
        <v>32153</v>
      </c>
      <c r="K2153" t="s">
        <v>40283</v>
      </c>
      <c r="M2153" t="s">
        <v>41593</v>
      </c>
      <c r="N2153" t="s">
        <v>44759</v>
      </c>
      <c r="O2153" t="s">
        <v>44760</v>
      </c>
      <c r="P2153">
        <v>0</v>
      </c>
      <c r="Q2153">
        <v>2</v>
      </c>
      <c r="R2153" t="s">
        <v>44762</v>
      </c>
      <c r="S2153" t="s">
        <v>44863</v>
      </c>
      <c r="T2153" t="s">
        <v>46414</v>
      </c>
      <c r="U2153" t="s">
        <v>48816</v>
      </c>
      <c r="W2153" t="s">
        <v>41593</v>
      </c>
      <c r="X2153" t="s">
        <v>44763</v>
      </c>
    </row>
    <row r="2154" spans="1:24">
      <c r="A2154">
        <f>HYPERLINK("https://www.philgeps.gov.ph/GEPSNONPILOT/Tender/SplashBidNoticeAbstractUI.aspx?menuIndex=3&amp;refID=7151633&amp;Result=3","7151633")</f>
        <v>0</v>
      </c>
      <c r="B2154" t="s">
        <v>323</v>
      </c>
      <c r="C2154" t="s">
        <v>5823</v>
      </c>
      <c r="D2154" t="s">
        <v>17985</v>
      </c>
      <c r="E2154" t="s">
        <v>20024</v>
      </c>
      <c r="F2154" t="s">
        <v>30900</v>
      </c>
      <c r="G2154" t="s">
        <v>30908</v>
      </c>
      <c r="H2154" t="s">
        <v>30916</v>
      </c>
      <c r="I2154" t="s">
        <v>5879</v>
      </c>
      <c r="J2154" t="s">
        <v>32622</v>
      </c>
      <c r="K2154" t="s">
        <v>40286</v>
      </c>
      <c r="M2154" t="s">
        <v>40874</v>
      </c>
      <c r="N2154" t="s">
        <v>44759</v>
      </c>
      <c r="O2154" t="s">
        <v>44760</v>
      </c>
      <c r="P2154">
        <v>0</v>
      </c>
      <c r="Q2154">
        <v>0</v>
      </c>
      <c r="R2154" t="s">
        <v>44762</v>
      </c>
      <c r="S2154" t="s">
        <v>44863</v>
      </c>
      <c r="T2154" t="s">
        <v>46383</v>
      </c>
      <c r="U2154" t="s">
        <v>48817</v>
      </c>
      <c r="W2154" t="s">
        <v>40874</v>
      </c>
      <c r="X2154" t="s">
        <v>44763</v>
      </c>
    </row>
    <row r="2155" spans="1:24">
      <c r="A2155">
        <f>HYPERLINK("https://www.philgeps.gov.ph/GEPSNONPILOT/Tender/SplashBidNoticeAbstractUI.aspx?menuIndex=3&amp;refID=7151628&amp;Result=3","7151628")</f>
        <v>0</v>
      </c>
      <c r="B2155" t="s">
        <v>1005</v>
      </c>
      <c r="C2155" t="s">
        <v>5824</v>
      </c>
      <c r="D2155" t="s">
        <v>17974</v>
      </c>
      <c r="E2155" t="s">
        <v>20025</v>
      </c>
      <c r="F2155" t="s">
        <v>30900</v>
      </c>
      <c r="G2155" t="s">
        <v>30907</v>
      </c>
      <c r="H2155" t="s">
        <v>7411</v>
      </c>
      <c r="I2155" t="s">
        <v>7411</v>
      </c>
      <c r="J2155" t="s">
        <v>32623</v>
      </c>
      <c r="K2155" t="s">
        <v>40309</v>
      </c>
      <c r="M2155" t="s">
        <v>41594</v>
      </c>
      <c r="N2155" t="s">
        <v>44759</v>
      </c>
      <c r="O2155" t="s">
        <v>44760</v>
      </c>
      <c r="Q2155">
        <v>1</v>
      </c>
      <c r="R2155" t="s">
        <v>44762</v>
      </c>
      <c r="S2155" t="s">
        <v>44869</v>
      </c>
      <c r="T2155" t="s">
        <v>46377</v>
      </c>
      <c r="U2155" t="s">
        <v>48818</v>
      </c>
      <c r="V2155" t="s">
        <v>59360</v>
      </c>
      <c r="W2155" t="s">
        <v>41594</v>
      </c>
      <c r="X2155" t="s">
        <v>44763</v>
      </c>
    </row>
    <row r="2156" spans="1:24">
      <c r="A2156">
        <f>HYPERLINK("https://www.philgeps.gov.ph/GEPSNONPILOT/Tender/SplashBidNoticeAbstractUI.aspx?menuIndex=3&amp;refID=7151660&amp;Result=3","7151660")</f>
        <v>0</v>
      </c>
      <c r="B2156" t="s">
        <v>1006</v>
      </c>
      <c r="C2156" t="s">
        <v>5825</v>
      </c>
      <c r="D2156" t="s">
        <v>17977</v>
      </c>
      <c r="E2156" t="s">
        <v>20026</v>
      </c>
      <c r="F2156" t="s">
        <v>30900</v>
      </c>
      <c r="G2156" t="s">
        <v>30908</v>
      </c>
      <c r="H2156" t="s">
        <v>30916</v>
      </c>
      <c r="I2156" t="s">
        <v>10602</v>
      </c>
      <c r="J2156" t="s">
        <v>32624</v>
      </c>
      <c r="K2156" t="s">
        <v>40283</v>
      </c>
      <c r="M2156" t="s">
        <v>41595</v>
      </c>
      <c r="N2156" t="s">
        <v>44759</v>
      </c>
      <c r="O2156" t="s">
        <v>44760</v>
      </c>
      <c r="P2156">
        <v>0</v>
      </c>
      <c r="Q2156">
        <v>0</v>
      </c>
      <c r="R2156" t="s">
        <v>44762</v>
      </c>
      <c r="S2156" t="s">
        <v>44863</v>
      </c>
      <c r="T2156" t="s">
        <v>46383</v>
      </c>
      <c r="U2156" t="s">
        <v>48819</v>
      </c>
      <c r="W2156" t="s">
        <v>41595</v>
      </c>
      <c r="X2156" t="s">
        <v>44763</v>
      </c>
    </row>
    <row r="2157" spans="1:24">
      <c r="A2157">
        <f>HYPERLINK("https://www.philgeps.gov.ph/GEPSNONPILOT/Tender/SplashBidNoticeAbstractUI.aspx?menuIndex=3&amp;refID=7151682&amp;Result=3","7151682")</f>
        <v>0</v>
      </c>
      <c r="B2157" t="s">
        <v>1007</v>
      </c>
      <c r="C2157" t="s">
        <v>5826</v>
      </c>
      <c r="D2157" t="s">
        <v>18031</v>
      </c>
      <c r="E2157" t="s">
        <v>20027</v>
      </c>
      <c r="F2157" t="s">
        <v>30900</v>
      </c>
      <c r="G2157" t="s">
        <v>30907</v>
      </c>
      <c r="H2157" t="s">
        <v>30916</v>
      </c>
      <c r="I2157" t="s">
        <v>30933</v>
      </c>
      <c r="J2157" t="s">
        <v>32625</v>
      </c>
      <c r="K2157" t="s">
        <v>40314</v>
      </c>
      <c r="M2157" t="s">
        <v>41596</v>
      </c>
      <c r="N2157" t="s">
        <v>44759</v>
      </c>
      <c r="O2157" t="s">
        <v>44760</v>
      </c>
      <c r="P2157">
        <v>0</v>
      </c>
      <c r="Q2157">
        <v>2</v>
      </c>
      <c r="R2157" t="s">
        <v>44762</v>
      </c>
      <c r="S2157" t="s">
        <v>44863</v>
      </c>
      <c r="T2157" t="s">
        <v>46353</v>
      </c>
      <c r="U2157" t="s">
        <v>48820</v>
      </c>
      <c r="W2157" t="s">
        <v>41596</v>
      </c>
      <c r="X2157" t="s">
        <v>44763</v>
      </c>
    </row>
    <row r="2158" spans="1:24">
      <c r="A2158">
        <f>HYPERLINK("https://www.philgeps.gov.ph/GEPSNONPILOT/Tender/SplashBidNoticeAbstractUI.aspx?menuIndex=3&amp;refID=7151680&amp;Result=3","7151680")</f>
        <v>0</v>
      </c>
      <c r="B2158" t="s">
        <v>1008</v>
      </c>
      <c r="C2158" t="s">
        <v>5827</v>
      </c>
      <c r="D2158" t="s">
        <v>17993</v>
      </c>
      <c r="E2158" t="s">
        <v>20028</v>
      </c>
      <c r="F2158" t="s">
        <v>30900</v>
      </c>
      <c r="G2158" t="s">
        <v>30907</v>
      </c>
      <c r="H2158" t="s">
        <v>30916</v>
      </c>
      <c r="I2158" t="s">
        <v>30929</v>
      </c>
      <c r="J2158" t="s">
        <v>32626</v>
      </c>
      <c r="K2158" t="s">
        <v>40286</v>
      </c>
      <c r="M2158" t="s">
        <v>41597</v>
      </c>
      <c r="N2158" t="s">
        <v>44759</v>
      </c>
      <c r="O2158" t="s">
        <v>44760</v>
      </c>
      <c r="P2158">
        <v>0</v>
      </c>
      <c r="Q2158">
        <v>12</v>
      </c>
      <c r="R2158" t="s">
        <v>44762</v>
      </c>
      <c r="S2158" t="s">
        <v>44863</v>
      </c>
      <c r="T2158" t="s">
        <v>46486</v>
      </c>
      <c r="U2158" t="s">
        <v>48821</v>
      </c>
      <c r="W2158" t="s">
        <v>41597</v>
      </c>
      <c r="X2158" t="s">
        <v>44763</v>
      </c>
    </row>
    <row r="2159" spans="1:24">
      <c r="A2159">
        <f>HYPERLINK("https://www.philgeps.gov.ph/GEPSNONPILOT/Tender/SplashBidNoticeAbstractUI.aspx?menuIndex=3&amp;refID=7151679&amp;Result=3","7151679")</f>
        <v>0</v>
      </c>
      <c r="B2159" t="s">
        <v>155</v>
      </c>
      <c r="C2159" t="s">
        <v>5828</v>
      </c>
      <c r="D2159" t="s">
        <v>17951</v>
      </c>
      <c r="E2159" t="s">
        <v>20029</v>
      </c>
      <c r="F2159" t="s">
        <v>30900</v>
      </c>
      <c r="G2159" t="s">
        <v>30908</v>
      </c>
      <c r="H2159" t="s">
        <v>30916</v>
      </c>
      <c r="I2159" t="s">
        <v>30941</v>
      </c>
      <c r="J2159" t="s">
        <v>32627</v>
      </c>
      <c r="K2159" t="s">
        <v>40286</v>
      </c>
      <c r="M2159" t="s">
        <v>40702</v>
      </c>
      <c r="N2159" t="s">
        <v>44759</v>
      </c>
      <c r="O2159" t="s">
        <v>44760</v>
      </c>
      <c r="P2159">
        <v>0</v>
      </c>
      <c r="Q2159">
        <v>1</v>
      </c>
      <c r="R2159" t="s">
        <v>44762</v>
      </c>
      <c r="S2159" t="s">
        <v>44863</v>
      </c>
      <c r="T2159" t="s">
        <v>46538</v>
      </c>
      <c r="U2159" t="s">
        <v>47173</v>
      </c>
      <c r="V2159" t="s">
        <v>59132</v>
      </c>
      <c r="W2159" t="s">
        <v>40702</v>
      </c>
      <c r="X2159" t="s">
        <v>44763</v>
      </c>
    </row>
    <row r="2160" spans="1:24">
      <c r="A2160">
        <f>HYPERLINK("https://www.philgeps.gov.ph/GEPSNONPILOT/Tender/SplashBidNoticeAbstractUI.aspx?menuIndex=3&amp;refID=7151636&amp;Result=3","7151636")</f>
        <v>0</v>
      </c>
      <c r="B2160" t="s">
        <v>1009</v>
      </c>
      <c r="C2160" t="s">
        <v>5829</v>
      </c>
      <c r="D2160" t="s">
        <v>17980</v>
      </c>
      <c r="E2160" t="s">
        <v>20030</v>
      </c>
      <c r="F2160" t="s">
        <v>30900</v>
      </c>
      <c r="G2160" t="s">
        <v>30907</v>
      </c>
      <c r="H2160" t="s">
        <v>30916</v>
      </c>
      <c r="I2160" t="s">
        <v>30929</v>
      </c>
      <c r="J2160" t="s">
        <v>32628</v>
      </c>
      <c r="K2160" t="s">
        <v>40292</v>
      </c>
      <c r="M2160" t="s">
        <v>41598</v>
      </c>
      <c r="N2160" t="s">
        <v>44759</v>
      </c>
      <c r="O2160" t="s">
        <v>44760</v>
      </c>
      <c r="P2160">
        <v>0</v>
      </c>
      <c r="Q2160">
        <v>9</v>
      </c>
      <c r="R2160" t="s">
        <v>44762</v>
      </c>
      <c r="S2160" t="s">
        <v>44863</v>
      </c>
      <c r="T2160" t="s">
        <v>46377</v>
      </c>
      <c r="U2160" t="s">
        <v>48822</v>
      </c>
      <c r="W2160" t="s">
        <v>41598</v>
      </c>
      <c r="X2160" t="s">
        <v>44763</v>
      </c>
    </row>
    <row r="2161" spans="1:24">
      <c r="A2161">
        <f>HYPERLINK("https://www.philgeps.gov.ph/GEPSNONPILOT/Tender/SplashBidNoticeAbstractUI.aspx?menuIndex=3&amp;refID=7151677&amp;Result=3","7151677")</f>
        <v>0</v>
      </c>
      <c r="B2161" t="s">
        <v>1010</v>
      </c>
      <c r="C2161" t="s">
        <v>5830</v>
      </c>
      <c r="D2161" t="s">
        <v>18025</v>
      </c>
      <c r="E2161" t="s">
        <v>20031</v>
      </c>
      <c r="F2161" t="s">
        <v>30900</v>
      </c>
      <c r="G2161" t="s">
        <v>30910</v>
      </c>
      <c r="H2161" t="s">
        <v>30916</v>
      </c>
      <c r="I2161" t="s">
        <v>5830</v>
      </c>
      <c r="J2161" t="s">
        <v>32629</v>
      </c>
      <c r="K2161" t="s">
        <v>40285</v>
      </c>
      <c r="M2161" t="s">
        <v>41599</v>
      </c>
      <c r="N2161" t="s">
        <v>44759</v>
      </c>
      <c r="O2161" t="s">
        <v>44760</v>
      </c>
      <c r="P2161">
        <v>0</v>
      </c>
      <c r="Q2161">
        <v>2</v>
      </c>
      <c r="R2161" t="s">
        <v>44762</v>
      </c>
      <c r="S2161" t="s">
        <v>44863</v>
      </c>
      <c r="T2161" t="s">
        <v>46393</v>
      </c>
      <c r="U2161" t="s">
        <v>48823</v>
      </c>
      <c r="W2161" t="s">
        <v>41599</v>
      </c>
      <c r="X2161" t="s">
        <v>44763</v>
      </c>
    </row>
    <row r="2162" spans="1:24">
      <c r="A2162">
        <f>HYPERLINK("https://www.philgeps.gov.ph/GEPSNONPILOT/Tender/SplashBidNoticeAbstractUI.aspx?menuIndex=3&amp;refID=7151675&amp;Result=3","7151675")</f>
        <v>0</v>
      </c>
      <c r="B2162" t="s">
        <v>1011</v>
      </c>
      <c r="C2162" t="s">
        <v>5831</v>
      </c>
      <c r="D2162" t="s">
        <v>17997</v>
      </c>
      <c r="E2162" t="s">
        <v>20032</v>
      </c>
      <c r="F2162" t="s">
        <v>30900</v>
      </c>
      <c r="G2162" t="s">
        <v>30908</v>
      </c>
      <c r="H2162" t="s">
        <v>30916</v>
      </c>
      <c r="I2162" t="s">
        <v>4108</v>
      </c>
      <c r="J2162" t="s">
        <v>31767</v>
      </c>
      <c r="K2162" t="s">
        <v>40286</v>
      </c>
      <c r="M2162" t="s">
        <v>41600</v>
      </c>
      <c r="N2162" t="s">
        <v>44759</v>
      </c>
      <c r="O2162" t="s">
        <v>44760</v>
      </c>
      <c r="P2162">
        <v>0</v>
      </c>
      <c r="Q2162">
        <v>0</v>
      </c>
      <c r="R2162" t="s">
        <v>44762</v>
      </c>
      <c r="S2162" t="s">
        <v>44863</v>
      </c>
      <c r="T2162" t="s">
        <v>46414</v>
      </c>
      <c r="U2162" t="s">
        <v>48824</v>
      </c>
      <c r="W2162" t="s">
        <v>41600</v>
      </c>
      <c r="X2162" t="s">
        <v>44763</v>
      </c>
    </row>
    <row r="2163" spans="1:24">
      <c r="A2163">
        <f>HYPERLINK("https://www.philgeps.gov.ph/GEPSNONPILOT/Tender/SplashBidNoticeAbstractUI.aspx?menuIndex=3&amp;refID=7151621&amp;Result=3","7151621")</f>
        <v>0</v>
      </c>
      <c r="B2163" t="s">
        <v>994</v>
      </c>
      <c r="C2163" t="s">
        <v>5832</v>
      </c>
      <c r="D2163" t="s">
        <v>17959</v>
      </c>
      <c r="E2163" t="s">
        <v>20033</v>
      </c>
      <c r="F2163" t="s">
        <v>30900</v>
      </c>
      <c r="G2163" t="s">
        <v>30907</v>
      </c>
      <c r="H2163" t="s">
        <v>30916</v>
      </c>
      <c r="I2163" t="s">
        <v>5501</v>
      </c>
      <c r="J2163" t="s">
        <v>32630</v>
      </c>
      <c r="K2163" t="s">
        <v>40283</v>
      </c>
      <c r="M2163" t="s">
        <v>41583</v>
      </c>
      <c r="N2163" t="s">
        <v>44759</v>
      </c>
      <c r="O2163" t="s">
        <v>44760</v>
      </c>
      <c r="P2163">
        <v>0</v>
      </c>
      <c r="Q2163">
        <v>2</v>
      </c>
      <c r="R2163" t="s">
        <v>44762</v>
      </c>
      <c r="S2163" t="s">
        <v>44863</v>
      </c>
      <c r="T2163" t="s">
        <v>46465</v>
      </c>
      <c r="U2163" t="s">
        <v>48825</v>
      </c>
      <c r="W2163" t="s">
        <v>41583</v>
      </c>
      <c r="X2163" t="s">
        <v>44763</v>
      </c>
    </row>
    <row r="2164" spans="1:24">
      <c r="A2164">
        <f>HYPERLINK("https://www.philgeps.gov.ph/GEPSNONPILOT/Tender/SplashBidNoticeAbstractUI.aspx?menuIndex=3&amp;refID=7151674&amp;Result=3","7151674")</f>
        <v>0</v>
      </c>
      <c r="B2164" t="s">
        <v>1012</v>
      </c>
      <c r="C2164" t="s">
        <v>5833</v>
      </c>
      <c r="D2164" t="s">
        <v>17980</v>
      </c>
      <c r="E2164" t="s">
        <v>20034</v>
      </c>
      <c r="F2164" t="s">
        <v>30900</v>
      </c>
      <c r="G2164" t="s">
        <v>30908</v>
      </c>
      <c r="H2164" t="s">
        <v>30916</v>
      </c>
      <c r="I2164" t="s">
        <v>30924</v>
      </c>
      <c r="J2164" t="s">
        <v>32631</v>
      </c>
      <c r="K2164" t="s">
        <v>40286</v>
      </c>
      <c r="M2164" t="s">
        <v>41601</v>
      </c>
      <c r="N2164" t="s">
        <v>44759</v>
      </c>
      <c r="O2164" t="s">
        <v>44760</v>
      </c>
      <c r="P2164">
        <v>0</v>
      </c>
      <c r="Q2164">
        <v>1</v>
      </c>
      <c r="R2164" t="s">
        <v>44762</v>
      </c>
      <c r="S2164" t="s">
        <v>44863</v>
      </c>
      <c r="T2164" t="s">
        <v>46445</v>
      </c>
      <c r="U2164" t="s">
        <v>48826</v>
      </c>
      <c r="W2164" t="s">
        <v>41601</v>
      </c>
      <c r="X2164" t="s">
        <v>44763</v>
      </c>
    </row>
    <row r="2165" spans="1:24">
      <c r="A2165">
        <f>HYPERLINK("https://www.philgeps.gov.ph/GEPSNONPILOT/Tender/SplashBidNoticeAbstractUI.aspx?menuIndex=3&amp;refID=7151672&amp;Result=3","7151672")</f>
        <v>0</v>
      </c>
      <c r="B2165" t="s">
        <v>741</v>
      </c>
      <c r="C2165" t="s">
        <v>5834</v>
      </c>
      <c r="D2165" t="s">
        <v>17994</v>
      </c>
      <c r="E2165" t="s">
        <v>20035</v>
      </c>
      <c r="F2165" t="s">
        <v>30900</v>
      </c>
      <c r="G2165" t="s">
        <v>30908</v>
      </c>
      <c r="H2165" t="s">
        <v>30916</v>
      </c>
      <c r="I2165" t="s">
        <v>30927</v>
      </c>
      <c r="J2165" t="s">
        <v>32632</v>
      </c>
      <c r="K2165" t="s">
        <v>40287</v>
      </c>
      <c r="M2165" t="s">
        <v>41305</v>
      </c>
      <c r="N2165" t="s">
        <v>44759</v>
      </c>
      <c r="O2165" t="s">
        <v>44760</v>
      </c>
      <c r="P2165">
        <v>0</v>
      </c>
      <c r="Q2165">
        <v>0</v>
      </c>
      <c r="R2165" t="s">
        <v>44762</v>
      </c>
      <c r="S2165" t="s">
        <v>44863</v>
      </c>
      <c r="T2165" t="s">
        <v>46440</v>
      </c>
      <c r="U2165" t="s">
        <v>48827</v>
      </c>
      <c r="V2165" t="s">
        <v>59200</v>
      </c>
      <c r="W2165" t="s">
        <v>41305</v>
      </c>
      <c r="X2165" t="s">
        <v>44763</v>
      </c>
    </row>
    <row r="2166" spans="1:24">
      <c r="A2166">
        <f>HYPERLINK("https://www.philgeps.gov.ph/GEPSNONPILOT/Tender/SplashBidNoticeAbstractUI.aspx?menuIndex=3&amp;refID=7151670&amp;Result=3","7151670")</f>
        <v>0</v>
      </c>
      <c r="B2166" t="s">
        <v>1013</v>
      </c>
      <c r="C2166" t="s">
        <v>5835</v>
      </c>
      <c r="D2166" t="s">
        <v>17971</v>
      </c>
      <c r="E2166" t="s">
        <v>18249</v>
      </c>
      <c r="F2166" t="s">
        <v>30900</v>
      </c>
      <c r="G2166" t="s">
        <v>30907</v>
      </c>
      <c r="H2166" t="s">
        <v>30916</v>
      </c>
      <c r="I2166" t="s">
        <v>8123</v>
      </c>
      <c r="J2166" t="s">
        <v>31557</v>
      </c>
      <c r="K2166" t="s">
        <v>40289</v>
      </c>
      <c r="M2166" t="s">
        <v>41602</v>
      </c>
      <c r="N2166" t="s">
        <v>44759</v>
      </c>
      <c r="O2166" t="s">
        <v>44760</v>
      </c>
      <c r="P2166">
        <v>0</v>
      </c>
      <c r="Q2166">
        <v>0</v>
      </c>
      <c r="R2166" t="s">
        <v>44762</v>
      </c>
      <c r="S2166" t="s">
        <v>44863</v>
      </c>
      <c r="T2166" t="s">
        <v>46425</v>
      </c>
      <c r="U2166" t="s">
        <v>48828</v>
      </c>
      <c r="W2166" t="s">
        <v>41602</v>
      </c>
      <c r="X2166" t="s">
        <v>44763</v>
      </c>
    </row>
    <row r="2167" spans="1:24">
      <c r="A2167">
        <f>HYPERLINK("https://www.philgeps.gov.ph/GEPSNONPILOT/Tender/SplashBidNoticeAbstractUI.aspx?menuIndex=3&amp;refID=7151669&amp;Result=3","7151669")</f>
        <v>0</v>
      </c>
      <c r="B2167" t="s">
        <v>1003</v>
      </c>
      <c r="C2167" t="s">
        <v>5836</v>
      </c>
      <c r="D2167" t="s">
        <v>17987</v>
      </c>
      <c r="E2167" t="s">
        <v>20036</v>
      </c>
      <c r="F2167" t="s">
        <v>30900</v>
      </c>
      <c r="G2167" t="s">
        <v>30907</v>
      </c>
      <c r="H2167" t="s">
        <v>30916</v>
      </c>
      <c r="I2167" t="s">
        <v>30933</v>
      </c>
      <c r="J2167" t="s">
        <v>31412</v>
      </c>
      <c r="K2167" t="s">
        <v>40280</v>
      </c>
      <c r="M2167" t="s">
        <v>41592</v>
      </c>
      <c r="N2167" t="s">
        <v>44759</v>
      </c>
      <c r="O2167" t="s">
        <v>44760</v>
      </c>
      <c r="P2167">
        <v>0</v>
      </c>
      <c r="Q2167">
        <v>3</v>
      </c>
      <c r="R2167" t="s">
        <v>44762</v>
      </c>
      <c r="S2167" t="s">
        <v>44863</v>
      </c>
      <c r="T2167" t="s">
        <v>46417</v>
      </c>
      <c r="U2167" t="s">
        <v>48829</v>
      </c>
      <c r="W2167" t="s">
        <v>41592</v>
      </c>
      <c r="X2167" t="s">
        <v>44763</v>
      </c>
    </row>
    <row r="2168" spans="1:24">
      <c r="A2168">
        <f>HYPERLINK("https://www.philgeps.gov.ph/GEPSNONPILOT/Tender/SplashBidNoticeAbstractUI.aspx?menuIndex=3&amp;refID=7151678&amp;Result=3","7151678")</f>
        <v>0</v>
      </c>
      <c r="B2168" t="s">
        <v>741</v>
      </c>
      <c r="C2168" t="s">
        <v>5837</v>
      </c>
      <c r="D2168" t="s">
        <v>17994</v>
      </c>
      <c r="E2168" t="s">
        <v>20037</v>
      </c>
      <c r="F2168" t="s">
        <v>30900</v>
      </c>
      <c r="G2168" t="s">
        <v>30908</v>
      </c>
      <c r="H2168" t="s">
        <v>30916</v>
      </c>
      <c r="I2168" t="s">
        <v>30923</v>
      </c>
      <c r="J2168" t="s">
        <v>32633</v>
      </c>
      <c r="K2168" t="s">
        <v>40287</v>
      </c>
      <c r="M2168" t="s">
        <v>41305</v>
      </c>
      <c r="N2168" t="s">
        <v>44759</v>
      </c>
      <c r="O2168" t="s">
        <v>44760</v>
      </c>
      <c r="P2168">
        <v>0</v>
      </c>
      <c r="Q2168">
        <v>2</v>
      </c>
      <c r="R2168" t="s">
        <v>44762</v>
      </c>
      <c r="S2168" t="s">
        <v>44863</v>
      </c>
      <c r="T2168" t="s">
        <v>46440</v>
      </c>
      <c r="U2168" t="s">
        <v>48830</v>
      </c>
      <c r="V2168" t="s">
        <v>59200</v>
      </c>
      <c r="W2168" t="s">
        <v>41305</v>
      </c>
      <c r="X2168" t="s">
        <v>44763</v>
      </c>
    </row>
    <row r="2169" spans="1:24">
      <c r="A2169">
        <f>HYPERLINK("https://www.philgeps.gov.ph/GEPSNONPILOT/Tender/SplashBidNoticeAbstractUI.aspx?menuIndex=3&amp;refID=7151664&amp;Result=3","7151664")</f>
        <v>0</v>
      </c>
      <c r="B2169" t="s">
        <v>988</v>
      </c>
      <c r="C2169" t="s">
        <v>5838</v>
      </c>
      <c r="D2169" t="s">
        <v>17953</v>
      </c>
      <c r="E2169" t="s">
        <v>20038</v>
      </c>
      <c r="F2169" t="s">
        <v>30900</v>
      </c>
      <c r="G2169" t="s">
        <v>30906</v>
      </c>
      <c r="H2169" t="s">
        <v>30916</v>
      </c>
      <c r="I2169" t="s">
        <v>30952</v>
      </c>
      <c r="J2169" t="s">
        <v>31204</v>
      </c>
      <c r="K2169" t="s">
        <v>40289</v>
      </c>
      <c r="M2169" t="s">
        <v>41576</v>
      </c>
      <c r="N2169" t="s">
        <v>44759</v>
      </c>
      <c r="O2169" t="s">
        <v>44760</v>
      </c>
      <c r="P2169">
        <v>0</v>
      </c>
      <c r="Q2169">
        <v>0</v>
      </c>
      <c r="R2169" t="s">
        <v>44762</v>
      </c>
      <c r="S2169" t="s">
        <v>44863</v>
      </c>
      <c r="T2169" t="s">
        <v>46363</v>
      </c>
      <c r="U2169" t="s">
        <v>48831</v>
      </c>
      <c r="W2169" t="s">
        <v>41576</v>
      </c>
      <c r="X2169" t="s">
        <v>44763</v>
      </c>
    </row>
    <row r="2170" spans="1:24">
      <c r="A2170">
        <f>HYPERLINK("https://www.philgeps.gov.ph/GEPSNONPILOT/Tender/SplashBidNoticeAbstractUI.aspx?menuIndex=3&amp;refID=7151610&amp;Result=3","7151610")</f>
        <v>0</v>
      </c>
      <c r="B2170" t="s">
        <v>859</v>
      </c>
      <c r="C2170" t="s">
        <v>5839</v>
      </c>
      <c r="D2170" t="s">
        <v>17969</v>
      </c>
      <c r="E2170" t="s">
        <v>20039</v>
      </c>
      <c r="F2170" t="s">
        <v>30900</v>
      </c>
      <c r="G2170" t="s">
        <v>30908</v>
      </c>
      <c r="H2170" t="s">
        <v>30916</v>
      </c>
      <c r="I2170" t="s">
        <v>9385</v>
      </c>
      <c r="J2170" t="s">
        <v>32634</v>
      </c>
      <c r="K2170" t="s">
        <v>40286</v>
      </c>
      <c r="M2170" t="s">
        <v>41432</v>
      </c>
      <c r="N2170" t="s">
        <v>44759</v>
      </c>
      <c r="O2170" t="s">
        <v>44760</v>
      </c>
      <c r="P2170">
        <v>0</v>
      </c>
      <c r="Q2170">
        <v>5</v>
      </c>
      <c r="R2170" t="s">
        <v>44762</v>
      </c>
      <c r="S2170" t="s">
        <v>44863</v>
      </c>
      <c r="T2170" t="s">
        <v>46363</v>
      </c>
      <c r="U2170" t="s">
        <v>48832</v>
      </c>
      <c r="W2170" t="s">
        <v>41432</v>
      </c>
      <c r="X2170" t="s">
        <v>44763</v>
      </c>
    </row>
    <row r="2171" spans="1:24">
      <c r="A2171">
        <f>HYPERLINK("https://www.philgeps.gov.ph/GEPSNONPILOT/Tender/SplashBidNoticeAbstractUI.aspx?menuIndex=3&amp;refID=7151687&amp;Result=3","7151687")</f>
        <v>0</v>
      </c>
      <c r="B2171" t="s">
        <v>1014</v>
      </c>
      <c r="C2171" t="s">
        <v>5840</v>
      </c>
      <c r="D2171" t="s">
        <v>17959</v>
      </c>
      <c r="E2171" t="s">
        <v>20040</v>
      </c>
      <c r="F2171" t="s">
        <v>30900</v>
      </c>
      <c r="G2171" t="s">
        <v>30907</v>
      </c>
      <c r="H2171" t="s">
        <v>30916</v>
      </c>
      <c r="I2171" t="s">
        <v>30924</v>
      </c>
      <c r="J2171" t="s">
        <v>32635</v>
      </c>
      <c r="K2171" t="s">
        <v>40362</v>
      </c>
      <c r="M2171" t="s">
        <v>41603</v>
      </c>
      <c r="N2171" t="s">
        <v>44759</v>
      </c>
      <c r="O2171" t="s">
        <v>44760</v>
      </c>
      <c r="P2171">
        <v>0</v>
      </c>
      <c r="Q2171">
        <v>13</v>
      </c>
      <c r="R2171" t="s">
        <v>44762</v>
      </c>
      <c r="S2171" t="s">
        <v>44863</v>
      </c>
      <c r="T2171" t="s">
        <v>46380</v>
      </c>
      <c r="U2171" t="s">
        <v>48833</v>
      </c>
      <c r="W2171" t="s">
        <v>41603</v>
      </c>
      <c r="X2171" t="s">
        <v>44763</v>
      </c>
    </row>
    <row r="2172" spans="1:24">
      <c r="A2172">
        <f>HYPERLINK("https://www.philgeps.gov.ph/GEPSNONPILOT/Tender/SplashBidNoticeAbstractUI.aspx?menuIndex=3&amp;refID=7151705&amp;Result=3","7151705")</f>
        <v>0</v>
      </c>
      <c r="B2172" t="s">
        <v>1015</v>
      </c>
      <c r="C2172" t="s">
        <v>5841</v>
      </c>
      <c r="D2172" t="s">
        <v>18034</v>
      </c>
      <c r="E2172" t="s">
        <v>18141</v>
      </c>
      <c r="F2172" t="s">
        <v>30900</v>
      </c>
      <c r="G2172" t="s">
        <v>30907</v>
      </c>
      <c r="H2172" t="s">
        <v>30916</v>
      </c>
      <c r="I2172" t="s">
        <v>30933</v>
      </c>
      <c r="J2172" t="s">
        <v>32636</v>
      </c>
      <c r="K2172" t="s">
        <v>40286</v>
      </c>
      <c r="M2172" t="s">
        <v>41604</v>
      </c>
      <c r="N2172" t="s">
        <v>44759</v>
      </c>
      <c r="O2172" t="s">
        <v>44760</v>
      </c>
      <c r="P2172">
        <v>0</v>
      </c>
      <c r="Q2172">
        <v>0</v>
      </c>
      <c r="R2172" t="s">
        <v>44762</v>
      </c>
      <c r="S2172" t="s">
        <v>44863</v>
      </c>
      <c r="T2172" t="s">
        <v>46580</v>
      </c>
      <c r="U2172" t="s">
        <v>48834</v>
      </c>
      <c r="W2172" t="s">
        <v>41604</v>
      </c>
      <c r="X2172" t="s">
        <v>44763</v>
      </c>
    </row>
    <row r="2173" spans="1:24">
      <c r="A2173">
        <f>HYPERLINK("https://www.philgeps.gov.ph/GEPSNONPILOT/Tender/SplashBidNoticeAbstractUI.aspx?menuIndex=3&amp;refID=7151704&amp;Result=3","7151704")</f>
        <v>0</v>
      </c>
      <c r="B2173" t="s">
        <v>1016</v>
      </c>
      <c r="C2173" t="s">
        <v>5842</v>
      </c>
      <c r="E2173" t="s">
        <v>20041</v>
      </c>
      <c r="F2173" t="s">
        <v>30900</v>
      </c>
      <c r="G2173" t="s">
        <v>30908</v>
      </c>
      <c r="H2173" t="s">
        <v>30916</v>
      </c>
      <c r="I2173" t="s">
        <v>4050</v>
      </c>
      <c r="J2173" t="s">
        <v>32637</v>
      </c>
      <c r="K2173" t="s">
        <v>40344</v>
      </c>
      <c r="M2173" t="s">
        <v>41605</v>
      </c>
      <c r="N2173" t="s">
        <v>44759</v>
      </c>
      <c r="O2173" t="s">
        <v>44760</v>
      </c>
      <c r="P2173">
        <v>0</v>
      </c>
      <c r="Q2173">
        <v>1</v>
      </c>
      <c r="R2173" t="s">
        <v>44762</v>
      </c>
      <c r="S2173" t="s">
        <v>44863</v>
      </c>
      <c r="T2173" t="s">
        <v>46383</v>
      </c>
      <c r="U2173" t="s">
        <v>48835</v>
      </c>
      <c r="W2173" t="s">
        <v>41605</v>
      </c>
      <c r="X2173" t="s">
        <v>44763</v>
      </c>
    </row>
    <row r="2174" spans="1:24">
      <c r="A2174">
        <f>HYPERLINK("https://www.philgeps.gov.ph/GEPSNONPILOT/Tender/SplashBidNoticeAbstractUI.aspx?menuIndex=3&amp;refID=7151673&amp;Result=3","7151673")</f>
        <v>0</v>
      </c>
      <c r="B2174" t="s">
        <v>747</v>
      </c>
      <c r="C2174" t="s">
        <v>5843</v>
      </c>
      <c r="D2174" t="s">
        <v>18021</v>
      </c>
      <c r="E2174" t="s">
        <v>20042</v>
      </c>
      <c r="F2174" t="s">
        <v>30900</v>
      </c>
      <c r="G2174" t="s">
        <v>30907</v>
      </c>
      <c r="H2174" t="s">
        <v>30915</v>
      </c>
      <c r="I2174" t="s">
        <v>30919</v>
      </c>
      <c r="J2174" t="s">
        <v>32638</v>
      </c>
      <c r="K2174" t="s">
        <v>40291</v>
      </c>
      <c r="M2174" t="s">
        <v>41311</v>
      </c>
      <c r="N2174" t="s">
        <v>44759</v>
      </c>
      <c r="O2174" t="s">
        <v>44760</v>
      </c>
      <c r="P2174">
        <v>0</v>
      </c>
      <c r="Q2174">
        <v>0</v>
      </c>
      <c r="R2174" t="s">
        <v>44762</v>
      </c>
      <c r="S2174" t="s">
        <v>44863</v>
      </c>
      <c r="T2174" t="s">
        <v>46465</v>
      </c>
      <c r="U2174" t="s">
        <v>48836</v>
      </c>
      <c r="W2174" t="s">
        <v>41311</v>
      </c>
      <c r="X2174" t="s">
        <v>44763</v>
      </c>
    </row>
    <row r="2175" spans="1:24">
      <c r="A2175">
        <f>HYPERLINK("https://www.philgeps.gov.ph/GEPSNONPILOT/Tender/SplashBidNoticeAbstractUI.aspx?menuIndex=3&amp;refID=7151703&amp;Result=3","7151703")</f>
        <v>0</v>
      </c>
      <c r="B2175" t="s">
        <v>741</v>
      </c>
      <c r="C2175" t="s">
        <v>5844</v>
      </c>
      <c r="D2175" t="s">
        <v>17994</v>
      </c>
      <c r="E2175" t="s">
        <v>20043</v>
      </c>
      <c r="F2175" t="s">
        <v>30900</v>
      </c>
      <c r="G2175" t="s">
        <v>30908</v>
      </c>
      <c r="H2175" t="s">
        <v>30916</v>
      </c>
      <c r="I2175" t="s">
        <v>30963</v>
      </c>
      <c r="J2175" t="s">
        <v>31049</v>
      </c>
      <c r="K2175" t="s">
        <v>40287</v>
      </c>
      <c r="M2175" t="s">
        <v>41305</v>
      </c>
      <c r="N2175" t="s">
        <v>44759</v>
      </c>
      <c r="O2175" t="s">
        <v>44760</v>
      </c>
      <c r="P2175">
        <v>0</v>
      </c>
      <c r="Q2175">
        <v>0</v>
      </c>
      <c r="R2175" t="s">
        <v>44762</v>
      </c>
      <c r="S2175" t="s">
        <v>44863</v>
      </c>
      <c r="T2175" t="s">
        <v>46440</v>
      </c>
      <c r="U2175" t="s">
        <v>48837</v>
      </c>
      <c r="V2175" t="s">
        <v>59200</v>
      </c>
      <c r="W2175" t="s">
        <v>41305</v>
      </c>
      <c r="X2175" t="s">
        <v>44763</v>
      </c>
    </row>
    <row r="2176" spans="1:24">
      <c r="A2176">
        <f>HYPERLINK("https://www.philgeps.gov.ph/GEPSNONPILOT/Tender/SplashBidNoticeAbstractUI.aspx?menuIndex=3&amp;refID=7151702&amp;Result=3","7151702")</f>
        <v>0</v>
      </c>
      <c r="B2176" t="s">
        <v>1002</v>
      </c>
      <c r="C2176" t="s">
        <v>5814</v>
      </c>
      <c r="D2176" t="s">
        <v>17959</v>
      </c>
      <c r="E2176" t="s">
        <v>20044</v>
      </c>
      <c r="F2176" t="s">
        <v>30900</v>
      </c>
      <c r="G2176" t="s">
        <v>30909</v>
      </c>
      <c r="H2176" t="s">
        <v>30917</v>
      </c>
      <c r="I2176" t="s">
        <v>6396</v>
      </c>
      <c r="J2176" t="s">
        <v>31388</v>
      </c>
      <c r="K2176" t="s">
        <v>40288</v>
      </c>
      <c r="M2176" t="s">
        <v>41591</v>
      </c>
      <c r="N2176" t="s">
        <v>44759</v>
      </c>
      <c r="O2176" t="s">
        <v>44760</v>
      </c>
      <c r="P2176">
        <v>0</v>
      </c>
      <c r="Q2176">
        <v>3</v>
      </c>
      <c r="R2176" t="s">
        <v>44762</v>
      </c>
      <c r="S2176" t="s">
        <v>44863</v>
      </c>
      <c r="T2176" t="s">
        <v>46398</v>
      </c>
      <c r="U2176" t="s">
        <v>48838</v>
      </c>
      <c r="W2176" t="s">
        <v>41591</v>
      </c>
      <c r="X2176" t="s">
        <v>44763</v>
      </c>
    </row>
    <row r="2177" spans="1:24">
      <c r="A2177">
        <f>HYPERLINK("https://www.philgeps.gov.ph/GEPSNONPILOT/Tender/SplashBidNoticeAbstractUI.aspx?menuIndex=3&amp;refID=7151668&amp;Result=3","7151668")</f>
        <v>0</v>
      </c>
      <c r="B2177" t="s">
        <v>1017</v>
      </c>
      <c r="C2177" t="s">
        <v>5845</v>
      </c>
      <c r="D2177" t="s">
        <v>17985</v>
      </c>
      <c r="E2177" t="s">
        <v>18282</v>
      </c>
      <c r="F2177" t="s">
        <v>30900</v>
      </c>
      <c r="G2177" t="s">
        <v>30907</v>
      </c>
      <c r="H2177" t="s">
        <v>30917</v>
      </c>
      <c r="I2177" t="s">
        <v>30919</v>
      </c>
      <c r="J2177" t="s">
        <v>32639</v>
      </c>
      <c r="K2177" t="s">
        <v>40291</v>
      </c>
      <c r="L2177" t="s">
        <v>1017</v>
      </c>
      <c r="M2177" t="s">
        <v>41606</v>
      </c>
      <c r="N2177" t="s">
        <v>44759</v>
      </c>
      <c r="O2177" t="s">
        <v>44760</v>
      </c>
      <c r="P2177">
        <v>0</v>
      </c>
      <c r="Q2177">
        <v>0</v>
      </c>
      <c r="R2177" t="s">
        <v>44762</v>
      </c>
      <c r="S2177" t="s">
        <v>44863</v>
      </c>
      <c r="T2177" t="s">
        <v>46404</v>
      </c>
      <c r="U2177" t="s">
        <v>48839</v>
      </c>
      <c r="W2177" t="s">
        <v>41606</v>
      </c>
      <c r="X2177" t="s">
        <v>44763</v>
      </c>
    </row>
    <row r="2178" spans="1:24">
      <c r="A2178">
        <f>HYPERLINK("https://www.philgeps.gov.ph/GEPSNONPILOT/Tender/SplashBidNoticeAbstractUI.aspx?menuIndex=3&amp;refID=7151699&amp;Result=3","7151699")</f>
        <v>0</v>
      </c>
      <c r="B2178" t="s">
        <v>1018</v>
      </c>
      <c r="C2178" t="s">
        <v>5846</v>
      </c>
      <c r="D2178" t="s">
        <v>17968</v>
      </c>
      <c r="E2178" t="s">
        <v>18493</v>
      </c>
      <c r="F2178" t="s">
        <v>30900</v>
      </c>
      <c r="G2178" t="s">
        <v>30906</v>
      </c>
      <c r="H2178" t="s">
        <v>30916</v>
      </c>
      <c r="I2178" t="s">
        <v>30931</v>
      </c>
      <c r="J2178" t="s">
        <v>31105</v>
      </c>
      <c r="K2178" t="s">
        <v>40294</v>
      </c>
      <c r="M2178" t="s">
        <v>41607</v>
      </c>
      <c r="N2178" t="s">
        <v>44759</v>
      </c>
      <c r="O2178" t="s">
        <v>44760</v>
      </c>
      <c r="P2178">
        <v>0</v>
      </c>
      <c r="Q2178">
        <v>1</v>
      </c>
      <c r="R2178" t="s">
        <v>44762</v>
      </c>
      <c r="S2178" t="s">
        <v>44863</v>
      </c>
      <c r="T2178" t="s">
        <v>46389</v>
      </c>
      <c r="U2178" t="s">
        <v>48840</v>
      </c>
      <c r="W2178" t="s">
        <v>41607</v>
      </c>
      <c r="X2178" t="s">
        <v>44763</v>
      </c>
    </row>
    <row r="2179" spans="1:24">
      <c r="A2179">
        <f>HYPERLINK("https://www.philgeps.gov.ph/GEPSNONPILOT/Tender/SplashBidNoticeAbstractUI.aspx?menuIndex=3&amp;refID=7151609&amp;Result=3","7151609")</f>
        <v>0</v>
      </c>
      <c r="B2179" t="s">
        <v>939</v>
      </c>
      <c r="C2179" t="s">
        <v>5847</v>
      </c>
      <c r="D2179" t="s">
        <v>17959</v>
      </c>
      <c r="E2179" t="s">
        <v>20045</v>
      </c>
      <c r="F2179" t="s">
        <v>30900</v>
      </c>
      <c r="G2179" t="s">
        <v>30907</v>
      </c>
      <c r="H2179" t="s">
        <v>30916</v>
      </c>
      <c r="I2179" t="s">
        <v>30924</v>
      </c>
      <c r="J2179" t="s">
        <v>32640</v>
      </c>
      <c r="K2179" t="s">
        <v>40286</v>
      </c>
      <c r="M2179" t="s">
        <v>41522</v>
      </c>
      <c r="N2179" t="s">
        <v>44759</v>
      </c>
      <c r="O2179" t="s">
        <v>44760</v>
      </c>
      <c r="P2179">
        <v>0</v>
      </c>
      <c r="Q2179">
        <v>10</v>
      </c>
      <c r="R2179" t="s">
        <v>44762</v>
      </c>
      <c r="S2179" t="s">
        <v>44863</v>
      </c>
      <c r="T2179" t="s">
        <v>46433</v>
      </c>
      <c r="U2179" t="s">
        <v>48648</v>
      </c>
      <c r="W2179" t="s">
        <v>41522</v>
      </c>
      <c r="X2179" t="s">
        <v>44763</v>
      </c>
    </row>
    <row r="2180" spans="1:24">
      <c r="A2180">
        <f>HYPERLINK("https://www.philgeps.gov.ph/GEPSNONPILOT/Tender/SplashBidNoticeAbstractUI.aspx?menuIndex=3&amp;refID=7151698&amp;Result=3","7151698")</f>
        <v>0</v>
      </c>
      <c r="B2180" t="s">
        <v>1019</v>
      </c>
      <c r="C2180" t="s">
        <v>5848</v>
      </c>
      <c r="D2180" t="s">
        <v>17964</v>
      </c>
      <c r="E2180" t="s">
        <v>20046</v>
      </c>
      <c r="F2180" t="s">
        <v>30900</v>
      </c>
      <c r="G2180" t="s">
        <v>30908</v>
      </c>
      <c r="H2180" t="s">
        <v>30916</v>
      </c>
      <c r="I2180" t="s">
        <v>6396</v>
      </c>
      <c r="J2180" t="s">
        <v>32641</v>
      </c>
      <c r="K2180" t="s">
        <v>40283</v>
      </c>
      <c r="M2180" t="s">
        <v>41608</v>
      </c>
      <c r="N2180" t="s">
        <v>44759</v>
      </c>
      <c r="O2180" t="s">
        <v>44760</v>
      </c>
      <c r="P2180">
        <v>0</v>
      </c>
      <c r="Q2180">
        <v>1</v>
      </c>
      <c r="R2180" t="s">
        <v>44762</v>
      </c>
      <c r="S2180" t="s">
        <v>44863</v>
      </c>
      <c r="T2180" t="s">
        <v>46562</v>
      </c>
      <c r="U2180" t="s">
        <v>48841</v>
      </c>
      <c r="V2180" t="s">
        <v>59361</v>
      </c>
      <c r="W2180" t="s">
        <v>41608</v>
      </c>
      <c r="X2180" t="s">
        <v>44763</v>
      </c>
    </row>
    <row r="2181" spans="1:24">
      <c r="A2181">
        <f>HYPERLINK("https://www.philgeps.gov.ph/GEPSNONPILOT/Tender/SplashBidNoticeAbstractUI.aspx?menuIndex=3&amp;refID=7151697&amp;Result=3","7151697")</f>
        <v>0</v>
      </c>
      <c r="B2181" t="s">
        <v>958</v>
      </c>
      <c r="C2181" t="s">
        <v>5849</v>
      </c>
      <c r="D2181" t="s">
        <v>17980</v>
      </c>
      <c r="E2181" t="s">
        <v>20047</v>
      </c>
      <c r="F2181" t="s">
        <v>30900</v>
      </c>
      <c r="G2181" t="s">
        <v>30907</v>
      </c>
      <c r="H2181" t="s">
        <v>30915</v>
      </c>
      <c r="I2181" t="s">
        <v>30919</v>
      </c>
      <c r="J2181" t="s">
        <v>31391</v>
      </c>
      <c r="K2181" t="s">
        <v>40280</v>
      </c>
      <c r="M2181" t="s">
        <v>41544</v>
      </c>
      <c r="N2181" t="s">
        <v>44759</v>
      </c>
      <c r="O2181" t="s">
        <v>44760</v>
      </c>
      <c r="P2181">
        <v>0</v>
      </c>
      <c r="Q2181">
        <v>1</v>
      </c>
      <c r="R2181" t="s">
        <v>44762</v>
      </c>
      <c r="S2181" t="s">
        <v>44863</v>
      </c>
      <c r="T2181" t="s">
        <v>46394</v>
      </c>
      <c r="U2181" t="s">
        <v>48842</v>
      </c>
      <c r="W2181" t="s">
        <v>41544</v>
      </c>
      <c r="X2181" t="s">
        <v>44763</v>
      </c>
    </row>
    <row r="2182" spans="1:24">
      <c r="A2182">
        <f>HYPERLINK("https://www.philgeps.gov.ph/GEPSNONPILOT/Tender/SplashBidNoticeAbstractUI.aspx?menuIndex=3&amp;refID=7151696&amp;Result=3","7151696")</f>
        <v>0</v>
      </c>
      <c r="B2182" t="s">
        <v>1020</v>
      </c>
      <c r="C2182" t="s">
        <v>5850</v>
      </c>
      <c r="D2182" t="s">
        <v>17983</v>
      </c>
      <c r="E2182" t="s">
        <v>20048</v>
      </c>
      <c r="F2182" t="s">
        <v>30900</v>
      </c>
      <c r="G2182" t="s">
        <v>30908</v>
      </c>
      <c r="H2182" t="s">
        <v>30916</v>
      </c>
      <c r="I2182" t="s">
        <v>30949</v>
      </c>
      <c r="J2182" t="s">
        <v>32642</v>
      </c>
      <c r="K2182" t="s">
        <v>40291</v>
      </c>
      <c r="M2182" t="s">
        <v>41609</v>
      </c>
      <c r="N2182" t="s">
        <v>44759</v>
      </c>
      <c r="O2182" t="s">
        <v>44760</v>
      </c>
      <c r="P2182">
        <v>0</v>
      </c>
      <c r="Q2182">
        <v>3</v>
      </c>
      <c r="R2182" t="s">
        <v>44762</v>
      </c>
      <c r="S2182" t="s">
        <v>44863</v>
      </c>
      <c r="T2182" t="s">
        <v>46559</v>
      </c>
      <c r="U2182" t="s">
        <v>48843</v>
      </c>
      <c r="W2182" t="s">
        <v>41609</v>
      </c>
      <c r="X2182" t="s">
        <v>44763</v>
      </c>
    </row>
    <row r="2183" spans="1:24">
      <c r="A2183">
        <f>HYPERLINK("https://www.philgeps.gov.ph/GEPSNONPILOT/Tender/SplashBidNoticeAbstractUI.aspx?menuIndex=3&amp;refID=7151694&amp;Result=3","7151694")</f>
        <v>0</v>
      </c>
      <c r="B2183" t="s">
        <v>1021</v>
      </c>
      <c r="C2183" t="s">
        <v>5851</v>
      </c>
      <c r="D2183" t="s">
        <v>17986</v>
      </c>
      <c r="E2183" t="s">
        <v>20049</v>
      </c>
      <c r="F2183" t="s">
        <v>30900</v>
      </c>
      <c r="G2183" t="s">
        <v>30908</v>
      </c>
      <c r="H2183" t="s">
        <v>30916</v>
      </c>
      <c r="I2183" t="s">
        <v>10602</v>
      </c>
      <c r="J2183" t="s">
        <v>32643</v>
      </c>
      <c r="K2183" t="s">
        <v>40287</v>
      </c>
      <c r="M2183" t="s">
        <v>41610</v>
      </c>
      <c r="N2183" t="s">
        <v>44759</v>
      </c>
      <c r="O2183" t="s">
        <v>44760</v>
      </c>
      <c r="P2183">
        <v>0</v>
      </c>
      <c r="Q2183">
        <v>0</v>
      </c>
      <c r="R2183" t="s">
        <v>44762</v>
      </c>
      <c r="S2183" t="s">
        <v>44863</v>
      </c>
      <c r="T2183" t="s">
        <v>46577</v>
      </c>
      <c r="U2183" t="s">
        <v>48844</v>
      </c>
      <c r="W2183" t="s">
        <v>60846</v>
      </c>
      <c r="X2183" t="s">
        <v>44763</v>
      </c>
    </row>
    <row r="2184" spans="1:24">
      <c r="A2184">
        <f>HYPERLINK("https://www.philgeps.gov.ph/GEPSNONPILOT/Tender/SplashBidNoticeAbstractUI.aspx?menuIndex=3&amp;refID=7151692&amp;Result=3","7151692")</f>
        <v>0</v>
      </c>
      <c r="B2184" t="s">
        <v>1015</v>
      </c>
      <c r="C2184" t="s">
        <v>5852</v>
      </c>
      <c r="D2184" t="s">
        <v>18034</v>
      </c>
      <c r="E2184" t="s">
        <v>20050</v>
      </c>
      <c r="F2184" t="s">
        <v>30900</v>
      </c>
      <c r="G2184" t="s">
        <v>30907</v>
      </c>
      <c r="H2184" t="s">
        <v>30916</v>
      </c>
      <c r="I2184" t="s">
        <v>30933</v>
      </c>
      <c r="J2184" t="s">
        <v>31066</v>
      </c>
      <c r="K2184" t="s">
        <v>40286</v>
      </c>
      <c r="M2184" t="s">
        <v>41604</v>
      </c>
      <c r="N2184" t="s">
        <v>44759</v>
      </c>
      <c r="O2184" t="s">
        <v>44760</v>
      </c>
      <c r="P2184">
        <v>0</v>
      </c>
      <c r="Q2184">
        <v>0</v>
      </c>
      <c r="R2184" t="s">
        <v>44762</v>
      </c>
      <c r="S2184" t="s">
        <v>44863</v>
      </c>
      <c r="T2184" t="s">
        <v>46580</v>
      </c>
      <c r="U2184" t="s">
        <v>48834</v>
      </c>
      <c r="W2184" t="s">
        <v>41604</v>
      </c>
      <c r="X2184" t="s">
        <v>44763</v>
      </c>
    </row>
    <row r="2185" spans="1:24">
      <c r="A2185">
        <f>HYPERLINK("https://www.philgeps.gov.ph/GEPSNONPILOT/Tender/SplashBidNoticeAbstractUI.aspx?menuIndex=3&amp;refID=7151608&amp;Result=3","7151608")</f>
        <v>0</v>
      </c>
      <c r="B2185" t="s">
        <v>932</v>
      </c>
      <c r="C2185" t="s">
        <v>5853</v>
      </c>
      <c r="D2185" t="s">
        <v>17959</v>
      </c>
      <c r="E2185" t="s">
        <v>20051</v>
      </c>
      <c r="F2185" t="s">
        <v>30900</v>
      </c>
      <c r="G2185" t="s">
        <v>30907</v>
      </c>
      <c r="H2185" t="s">
        <v>30916</v>
      </c>
      <c r="I2185" t="s">
        <v>4108</v>
      </c>
      <c r="J2185" t="s">
        <v>32644</v>
      </c>
      <c r="K2185" t="s">
        <v>40283</v>
      </c>
      <c r="M2185" t="s">
        <v>41514</v>
      </c>
      <c r="N2185" t="s">
        <v>44759</v>
      </c>
      <c r="O2185" t="s">
        <v>44760</v>
      </c>
      <c r="P2185">
        <v>0</v>
      </c>
      <c r="Q2185">
        <v>0</v>
      </c>
      <c r="R2185" t="s">
        <v>44762</v>
      </c>
      <c r="S2185" t="s">
        <v>44863</v>
      </c>
      <c r="T2185" t="s">
        <v>46350</v>
      </c>
      <c r="U2185" t="s">
        <v>48763</v>
      </c>
      <c r="W2185" t="s">
        <v>41514</v>
      </c>
      <c r="X2185" t="s">
        <v>44763</v>
      </c>
    </row>
    <row r="2186" spans="1:24">
      <c r="A2186">
        <f>HYPERLINK("https://www.philgeps.gov.ph/GEPSNONPILOT/Tender/SplashBidNoticeAbstractUI.aspx?menuIndex=3&amp;refID=7151689&amp;Result=3","7151689")</f>
        <v>0</v>
      </c>
      <c r="B2186" t="s">
        <v>255</v>
      </c>
      <c r="C2186" t="s">
        <v>5854</v>
      </c>
      <c r="D2186" t="s">
        <v>17980</v>
      </c>
      <c r="E2186" t="s">
        <v>20052</v>
      </c>
      <c r="F2186" t="s">
        <v>30900</v>
      </c>
      <c r="G2186" t="s">
        <v>30908</v>
      </c>
      <c r="H2186" t="s">
        <v>30916</v>
      </c>
      <c r="I2186" t="s">
        <v>10602</v>
      </c>
      <c r="J2186" t="s">
        <v>32645</v>
      </c>
      <c r="K2186" t="s">
        <v>40283</v>
      </c>
      <c r="M2186" t="s">
        <v>40802</v>
      </c>
      <c r="N2186" t="s">
        <v>44759</v>
      </c>
      <c r="O2186" t="s">
        <v>44760</v>
      </c>
      <c r="P2186">
        <v>0</v>
      </c>
      <c r="Q2186">
        <v>0</v>
      </c>
      <c r="R2186" t="s">
        <v>44762</v>
      </c>
      <c r="S2186" t="s">
        <v>44863</v>
      </c>
      <c r="T2186" t="s">
        <v>46414</v>
      </c>
      <c r="U2186" t="s">
        <v>47342</v>
      </c>
      <c r="W2186" t="s">
        <v>40802</v>
      </c>
      <c r="X2186" t="s">
        <v>44763</v>
      </c>
    </row>
    <row r="2187" spans="1:24">
      <c r="A2187">
        <f>HYPERLINK("https://www.philgeps.gov.ph/GEPSNONPILOT/Tender/SplashBidNoticeAbstractUI.aspx?menuIndex=3&amp;refID=7151688&amp;Result=3","7151688")</f>
        <v>0</v>
      </c>
      <c r="B2187" t="s">
        <v>1022</v>
      </c>
      <c r="C2187" t="s">
        <v>5855</v>
      </c>
      <c r="D2187" t="s">
        <v>17963</v>
      </c>
      <c r="E2187" t="s">
        <v>20053</v>
      </c>
      <c r="F2187" t="s">
        <v>30900</v>
      </c>
      <c r="G2187" t="s">
        <v>30908</v>
      </c>
      <c r="H2187" t="s">
        <v>30916</v>
      </c>
      <c r="I2187" t="s">
        <v>31002</v>
      </c>
      <c r="J2187" t="s">
        <v>32646</v>
      </c>
      <c r="K2187" t="s">
        <v>40293</v>
      </c>
      <c r="M2187" t="s">
        <v>41611</v>
      </c>
      <c r="N2187" t="s">
        <v>44759</v>
      </c>
      <c r="O2187" t="s">
        <v>44760</v>
      </c>
      <c r="P2187">
        <v>0</v>
      </c>
      <c r="Q2187">
        <v>1</v>
      </c>
      <c r="R2187" t="s">
        <v>44762</v>
      </c>
      <c r="S2187" t="s">
        <v>44863</v>
      </c>
      <c r="T2187" t="s">
        <v>46414</v>
      </c>
      <c r="U2187" t="s">
        <v>48845</v>
      </c>
      <c r="V2187" t="s">
        <v>59362</v>
      </c>
      <c r="W2187" t="s">
        <v>41611</v>
      </c>
      <c r="X2187" t="s">
        <v>44763</v>
      </c>
    </row>
    <row r="2188" spans="1:24">
      <c r="A2188">
        <f>HYPERLINK("https://www.philgeps.gov.ph/GEPSNONPILOT/Tender/SplashBidNoticeAbstractUI.aspx?menuIndex=3&amp;refID=7151686&amp;Result=3","7151686")</f>
        <v>0</v>
      </c>
      <c r="B2188" t="s">
        <v>918</v>
      </c>
      <c r="C2188" t="s">
        <v>5856</v>
      </c>
      <c r="D2188" t="s">
        <v>17959</v>
      </c>
      <c r="E2188" t="s">
        <v>20054</v>
      </c>
      <c r="F2188" t="s">
        <v>30900</v>
      </c>
      <c r="G2188" t="s">
        <v>30910</v>
      </c>
      <c r="H2188" t="s">
        <v>30916</v>
      </c>
      <c r="I2188" t="s">
        <v>30928</v>
      </c>
      <c r="J2188" t="s">
        <v>32647</v>
      </c>
      <c r="K2188" t="s">
        <v>40286</v>
      </c>
      <c r="M2188" t="s">
        <v>41612</v>
      </c>
      <c r="N2188" t="s">
        <v>44759</v>
      </c>
      <c r="O2188" t="s">
        <v>44760</v>
      </c>
      <c r="P2188">
        <v>0</v>
      </c>
      <c r="Q2188">
        <v>7</v>
      </c>
      <c r="R2188" t="s">
        <v>44762</v>
      </c>
      <c r="S2188" t="s">
        <v>44863</v>
      </c>
      <c r="T2188" t="s">
        <v>46414</v>
      </c>
      <c r="U2188" t="s">
        <v>48846</v>
      </c>
      <c r="W2188" t="s">
        <v>41612</v>
      </c>
      <c r="X2188" t="s">
        <v>44763</v>
      </c>
    </row>
    <row r="2189" spans="1:24">
      <c r="A2189">
        <f>HYPERLINK("https://www.philgeps.gov.ph/GEPSNONPILOT/Tender/SplashBidNoticeAbstractUI.aspx?menuIndex=3&amp;refID=7151685&amp;Result=3","7151685")</f>
        <v>0</v>
      </c>
      <c r="B2189" t="s">
        <v>741</v>
      </c>
      <c r="C2189" t="s">
        <v>5857</v>
      </c>
      <c r="D2189" t="s">
        <v>17994</v>
      </c>
      <c r="E2189" t="s">
        <v>20055</v>
      </c>
      <c r="F2189" t="s">
        <v>30900</v>
      </c>
      <c r="G2189" t="s">
        <v>30908</v>
      </c>
      <c r="H2189" t="s">
        <v>30916</v>
      </c>
      <c r="I2189" t="s">
        <v>30923</v>
      </c>
      <c r="J2189" t="s">
        <v>32648</v>
      </c>
      <c r="K2189" t="s">
        <v>40287</v>
      </c>
      <c r="M2189" t="s">
        <v>41305</v>
      </c>
      <c r="N2189" t="s">
        <v>44759</v>
      </c>
      <c r="O2189" t="s">
        <v>44760</v>
      </c>
      <c r="P2189">
        <v>0</v>
      </c>
      <c r="Q2189">
        <v>3</v>
      </c>
      <c r="R2189" t="s">
        <v>44762</v>
      </c>
      <c r="S2189" t="s">
        <v>44863</v>
      </c>
      <c r="T2189" t="s">
        <v>46440</v>
      </c>
      <c r="U2189" t="s">
        <v>48847</v>
      </c>
      <c r="V2189" t="s">
        <v>59200</v>
      </c>
      <c r="W2189" t="s">
        <v>41305</v>
      </c>
      <c r="X2189" t="s">
        <v>44763</v>
      </c>
    </row>
    <row r="2190" spans="1:24">
      <c r="A2190">
        <f>HYPERLINK("https://www.philgeps.gov.ph/GEPSNONPILOT/Tender/SplashBidNoticeAbstractUI.aspx?menuIndex=3&amp;refID=7151695&amp;Result=3","7151695")</f>
        <v>0</v>
      </c>
      <c r="B2190" t="s">
        <v>1023</v>
      </c>
      <c r="C2190" t="s">
        <v>5858</v>
      </c>
      <c r="D2190" t="s">
        <v>17978</v>
      </c>
      <c r="E2190" t="s">
        <v>20056</v>
      </c>
      <c r="F2190" t="s">
        <v>30900</v>
      </c>
      <c r="G2190" t="s">
        <v>30910</v>
      </c>
      <c r="H2190" t="s">
        <v>30916</v>
      </c>
      <c r="I2190" t="s">
        <v>4142</v>
      </c>
      <c r="J2190" t="s">
        <v>32649</v>
      </c>
      <c r="K2190" t="s">
        <v>40284</v>
      </c>
      <c r="M2190" t="s">
        <v>41613</v>
      </c>
      <c r="N2190" t="s">
        <v>44759</v>
      </c>
      <c r="O2190" t="s">
        <v>44760</v>
      </c>
      <c r="P2190">
        <v>0</v>
      </c>
      <c r="Q2190">
        <v>1</v>
      </c>
      <c r="R2190" t="s">
        <v>44762</v>
      </c>
      <c r="S2190" t="s">
        <v>44863</v>
      </c>
      <c r="T2190" t="s">
        <v>46414</v>
      </c>
      <c r="U2190" t="s">
        <v>48848</v>
      </c>
      <c r="W2190" t="s">
        <v>41613</v>
      </c>
      <c r="X2190" t="s">
        <v>44763</v>
      </c>
    </row>
    <row r="2191" spans="1:24">
      <c r="A2191">
        <f>HYPERLINK("https://www.philgeps.gov.ph/GEPSNONPILOT/Tender/SplashBidNoticeAbstractUI.aspx?menuIndex=3&amp;refID=7151684&amp;Result=3","7151684")</f>
        <v>0</v>
      </c>
      <c r="B2191" t="s">
        <v>918</v>
      </c>
      <c r="C2191" t="s">
        <v>5859</v>
      </c>
      <c r="D2191" t="s">
        <v>17959</v>
      </c>
      <c r="E2191" t="s">
        <v>20057</v>
      </c>
      <c r="F2191" t="s">
        <v>30900</v>
      </c>
      <c r="G2191" t="s">
        <v>30910</v>
      </c>
      <c r="H2191" t="s">
        <v>30916</v>
      </c>
      <c r="I2191" t="s">
        <v>4017</v>
      </c>
      <c r="J2191" t="s">
        <v>32650</v>
      </c>
      <c r="K2191" t="s">
        <v>40286</v>
      </c>
      <c r="M2191" t="s">
        <v>41582</v>
      </c>
      <c r="N2191" t="s">
        <v>44759</v>
      </c>
      <c r="O2191" t="s">
        <v>44760</v>
      </c>
      <c r="P2191">
        <v>0</v>
      </c>
      <c r="Q2191">
        <v>8</v>
      </c>
      <c r="R2191" t="s">
        <v>44762</v>
      </c>
      <c r="S2191" t="s">
        <v>44863</v>
      </c>
      <c r="T2191" t="s">
        <v>46414</v>
      </c>
      <c r="U2191" t="s">
        <v>48611</v>
      </c>
      <c r="W2191" t="s">
        <v>41582</v>
      </c>
      <c r="X2191" t="s">
        <v>44763</v>
      </c>
    </row>
    <row r="2192" spans="1:24">
      <c r="A2192">
        <f>HYPERLINK("https://www.philgeps.gov.ph/GEPSNONPILOT/Tender/SplashBidNoticeAbstractUI.aspx?menuIndex=3&amp;refID=7151663&amp;Result=3","7151663")</f>
        <v>0</v>
      </c>
      <c r="B2192" t="s">
        <v>1018</v>
      </c>
      <c r="C2192" t="s">
        <v>5860</v>
      </c>
      <c r="D2192" t="s">
        <v>17968</v>
      </c>
      <c r="E2192" t="s">
        <v>20058</v>
      </c>
      <c r="F2192" t="s">
        <v>30900</v>
      </c>
      <c r="G2192" t="s">
        <v>30906</v>
      </c>
      <c r="H2192" t="s">
        <v>30916</v>
      </c>
      <c r="I2192" t="s">
        <v>4142</v>
      </c>
      <c r="J2192" t="s">
        <v>32651</v>
      </c>
      <c r="K2192" t="s">
        <v>40294</v>
      </c>
      <c r="M2192" t="s">
        <v>41607</v>
      </c>
      <c r="N2192" t="s">
        <v>44759</v>
      </c>
      <c r="O2192" t="s">
        <v>44760</v>
      </c>
      <c r="P2192">
        <v>0</v>
      </c>
      <c r="Q2192">
        <v>1</v>
      </c>
      <c r="R2192" t="s">
        <v>44762</v>
      </c>
      <c r="S2192" t="s">
        <v>44863</v>
      </c>
      <c r="T2192" t="s">
        <v>46389</v>
      </c>
      <c r="U2192" t="s">
        <v>48840</v>
      </c>
      <c r="W2192" t="s">
        <v>41607</v>
      </c>
      <c r="X2192" t="s">
        <v>44763</v>
      </c>
    </row>
    <row r="2193" spans="1:24">
      <c r="A2193">
        <f>HYPERLINK("https://www.philgeps.gov.ph/GEPSNONPILOT/Tender/SplashBidNoticeAbstractUI.aspx?menuIndex=3&amp;refID=7151662&amp;Result=3","7151662")</f>
        <v>0</v>
      </c>
      <c r="B2193" t="s">
        <v>853</v>
      </c>
      <c r="C2193" t="s">
        <v>5861</v>
      </c>
      <c r="D2193" t="s">
        <v>18018</v>
      </c>
      <c r="E2193" t="s">
        <v>20059</v>
      </c>
      <c r="F2193" t="s">
        <v>30900</v>
      </c>
      <c r="G2193" t="s">
        <v>30907</v>
      </c>
      <c r="H2193" t="s">
        <v>30915</v>
      </c>
      <c r="I2193" t="s">
        <v>30919</v>
      </c>
      <c r="J2193" t="s">
        <v>32652</v>
      </c>
      <c r="K2193" t="s">
        <v>40363</v>
      </c>
      <c r="M2193" t="s">
        <v>41426</v>
      </c>
      <c r="N2193" t="s">
        <v>44759</v>
      </c>
      <c r="O2193" t="s">
        <v>44760</v>
      </c>
      <c r="P2193">
        <v>0</v>
      </c>
      <c r="Q2193">
        <v>0</v>
      </c>
      <c r="R2193" t="s">
        <v>44762</v>
      </c>
      <c r="S2193" t="s">
        <v>44863</v>
      </c>
      <c r="T2193" t="s">
        <v>46433</v>
      </c>
      <c r="U2193" t="s">
        <v>48798</v>
      </c>
      <c r="W2193" t="s">
        <v>41426</v>
      </c>
      <c r="X2193" t="s">
        <v>44763</v>
      </c>
    </row>
    <row r="2194" spans="1:24">
      <c r="A2194">
        <f>HYPERLINK("https://www.philgeps.gov.ph/GEPSNONPILOT/Tender/SplashBidNoticeAbstractUI.aspx?menuIndex=3&amp;refID=7151659&amp;Result=3","7151659")</f>
        <v>0</v>
      </c>
      <c r="B2194" t="s">
        <v>1024</v>
      </c>
      <c r="C2194" t="s">
        <v>5862</v>
      </c>
      <c r="D2194" t="s">
        <v>17999</v>
      </c>
      <c r="E2194" t="s">
        <v>20060</v>
      </c>
      <c r="F2194" t="s">
        <v>30900</v>
      </c>
      <c r="G2194" t="s">
        <v>30909</v>
      </c>
      <c r="H2194" t="s">
        <v>30916</v>
      </c>
      <c r="I2194" t="s">
        <v>6746</v>
      </c>
      <c r="J2194" t="s">
        <v>32653</v>
      </c>
      <c r="K2194" t="s">
        <v>40284</v>
      </c>
      <c r="M2194" t="s">
        <v>41614</v>
      </c>
      <c r="N2194" t="s">
        <v>44759</v>
      </c>
      <c r="O2194" t="s">
        <v>44760</v>
      </c>
      <c r="P2194">
        <v>0</v>
      </c>
      <c r="Q2194">
        <v>0</v>
      </c>
      <c r="R2194" t="s">
        <v>44762</v>
      </c>
      <c r="S2194" t="s">
        <v>44863</v>
      </c>
      <c r="T2194" t="s">
        <v>46581</v>
      </c>
      <c r="U2194" t="s">
        <v>48849</v>
      </c>
      <c r="W2194" t="s">
        <v>41614</v>
      </c>
      <c r="X2194" t="s">
        <v>44763</v>
      </c>
    </row>
    <row r="2195" spans="1:24">
      <c r="A2195">
        <f>HYPERLINK("https://www.philgeps.gov.ph/GEPSNONPILOT/Tender/SplashBidNoticeAbstractUI.aspx?menuIndex=3&amp;refID=7151658&amp;Result=3","7151658")</f>
        <v>0</v>
      </c>
      <c r="B2195" t="s">
        <v>1025</v>
      </c>
      <c r="C2195" t="s">
        <v>5863</v>
      </c>
      <c r="D2195" t="s">
        <v>17978</v>
      </c>
      <c r="E2195" t="s">
        <v>20061</v>
      </c>
      <c r="F2195" t="s">
        <v>30900</v>
      </c>
      <c r="G2195" t="s">
        <v>30908</v>
      </c>
      <c r="H2195" t="s">
        <v>30916</v>
      </c>
      <c r="I2195" t="s">
        <v>8123</v>
      </c>
      <c r="J2195" t="s">
        <v>32654</v>
      </c>
      <c r="K2195" t="s">
        <v>40285</v>
      </c>
      <c r="M2195" t="s">
        <v>41615</v>
      </c>
      <c r="N2195" t="s">
        <v>44759</v>
      </c>
      <c r="O2195" t="s">
        <v>44760</v>
      </c>
      <c r="P2195">
        <v>0</v>
      </c>
      <c r="Q2195">
        <v>0</v>
      </c>
      <c r="R2195" t="s">
        <v>44762</v>
      </c>
      <c r="S2195" t="s">
        <v>44863</v>
      </c>
      <c r="T2195" t="s">
        <v>46361</v>
      </c>
      <c r="U2195" t="s">
        <v>48850</v>
      </c>
      <c r="W2195" t="s">
        <v>41615</v>
      </c>
      <c r="X2195" t="s">
        <v>44763</v>
      </c>
    </row>
    <row r="2196" spans="1:24">
      <c r="A2196">
        <f>HYPERLINK("https://www.philgeps.gov.ph/GEPSNONPILOT/Tender/SplashBidNoticeAbstractUI.aspx?menuIndex=3&amp;refID=7151710&amp;Result=3","7151710")</f>
        <v>0</v>
      </c>
      <c r="B2196" t="s">
        <v>1026</v>
      </c>
      <c r="C2196" t="s">
        <v>5864</v>
      </c>
      <c r="D2196" t="s">
        <v>17952</v>
      </c>
      <c r="E2196" t="s">
        <v>20062</v>
      </c>
      <c r="F2196" t="s">
        <v>30900</v>
      </c>
      <c r="G2196" t="s">
        <v>30907</v>
      </c>
      <c r="H2196" t="s">
        <v>30916</v>
      </c>
      <c r="I2196" t="s">
        <v>30924</v>
      </c>
      <c r="J2196" t="s">
        <v>32549</v>
      </c>
      <c r="K2196" t="s">
        <v>40284</v>
      </c>
      <c r="M2196" t="s">
        <v>41616</v>
      </c>
      <c r="N2196" t="s">
        <v>44759</v>
      </c>
      <c r="O2196" t="s">
        <v>44760</v>
      </c>
      <c r="P2196">
        <v>0</v>
      </c>
      <c r="Q2196">
        <v>4</v>
      </c>
      <c r="R2196" t="s">
        <v>44762</v>
      </c>
      <c r="S2196" t="s">
        <v>44863</v>
      </c>
      <c r="T2196" t="s">
        <v>46425</v>
      </c>
      <c r="U2196" t="s">
        <v>48851</v>
      </c>
      <c r="W2196" t="s">
        <v>41616</v>
      </c>
      <c r="X2196" t="s">
        <v>44763</v>
      </c>
    </row>
    <row r="2197" spans="1:24">
      <c r="A2197">
        <f>HYPERLINK("https://www.philgeps.gov.ph/GEPSNONPILOT/Tender/SplashBidNoticeAbstractUI.aspx?menuIndex=3&amp;refID=7151661&amp;Result=3","7151661")</f>
        <v>0</v>
      </c>
      <c r="B2197" t="s">
        <v>918</v>
      </c>
      <c r="C2197" t="s">
        <v>5865</v>
      </c>
      <c r="D2197" t="s">
        <v>17959</v>
      </c>
      <c r="E2197" t="s">
        <v>20063</v>
      </c>
      <c r="F2197" t="s">
        <v>30900</v>
      </c>
      <c r="G2197" t="s">
        <v>30910</v>
      </c>
      <c r="H2197" t="s">
        <v>30916</v>
      </c>
      <c r="I2197" t="s">
        <v>6396</v>
      </c>
      <c r="J2197" t="s">
        <v>32655</v>
      </c>
      <c r="K2197" t="s">
        <v>40283</v>
      </c>
      <c r="M2197" t="s">
        <v>41617</v>
      </c>
      <c r="N2197" t="s">
        <v>44759</v>
      </c>
      <c r="O2197" t="s">
        <v>44760</v>
      </c>
      <c r="P2197">
        <v>0</v>
      </c>
      <c r="Q2197">
        <v>10</v>
      </c>
      <c r="R2197" t="s">
        <v>44762</v>
      </c>
      <c r="S2197" t="s">
        <v>44863</v>
      </c>
      <c r="T2197" t="s">
        <v>46414</v>
      </c>
      <c r="U2197" t="s">
        <v>48611</v>
      </c>
      <c r="W2197" t="s">
        <v>41617</v>
      </c>
      <c r="X2197" t="s">
        <v>44763</v>
      </c>
    </row>
    <row r="2198" spans="1:24">
      <c r="A2198">
        <f>HYPERLINK("https://www.philgeps.gov.ph/GEPSNONPILOT/Tender/SplashBidNoticeAbstractUI.aspx?menuIndex=3&amp;refID=7151691&amp;Result=3","7151691")</f>
        <v>0</v>
      </c>
      <c r="B2198" t="s">
        <v>918</v>
      </c>
      <c r="C2198" t="s">
        <v>5866</v>
      </c>
      <c r="D2198" t="s">
        <v>17959</v>
      </c>
      <c r="E2198" t="s">
        <v>20064</v>
      </c>
      <c r="F2198" t="s">
        <v>30900</v>
      </c>
      <c r="G2198" t="s">
        <v>30908</v>
      </c>
      <c r="H2198" t="s">
        <v>30916</v>
      </c>
      <c r="I2198" t="s">
        <v>5830</v>
      </c>
      <c r="J2198" t="s">
        <v>32656</v>
      </c>
      <c r="K2198" t="s">
        <v>40286</v>
      </c>
      <c r="M2198" t="s">
        <v>41617</v>
      </c>
      <c r="N2198" t="s">
        <v>44759</v>
      </c>
      <c r="O2198" t="s">
        <v>44760</v>
      </c>
      <c r="P2198">
        <v>0</v>
      </c>
      <c r="Q2198">
        <v>5</v>
      </c>
      <c r="R2198" t="s">
        <v>44762</v>
      </c>
      <c r="S2198" t="s">
        <v>44863</v>
      </c>
      <c r="T2198" t="s">
        <v>46414</v>
      </c>
      <c r="U2198" t="s">
        <v>48703</v>
      </c>
      <c r="W2198" t="s">
        <v>41617</v>
      </c>
      <c r="X2198" t="s">
        <v>44763</v>
      </c>
    </row>
    <row r="2199" spans="1:24">
      <c r="A2199">
        <f>HYPERLINK("https://www.philgeps.gov.ph/GEPSNONPILOT/Tender/SplashBidNoticeAbstractUI.aspx?menuIndex=3&amp;refID=7151725&amp;Result=3","7151725")</f>
        <v>0</v>
      </c>
      <c r="B2199" t="s">
        <v>1027</v>
      </c>
      <c r="C2199" t="s">
        <v>5867</v>
      </c>
      <c r="D2199" t="s">
        <v>17973</v>
      </c>
      <c r="E2199" t="s">
        <v>20065</v>
      </c>
      <c r="F2199" t="s">
        <v>30900</v>
      </c>
      <c r="G2199" t="s">
        <v>30907</v>
      </c>
      <c r="H2199" t="s">
        <v>30916</v>
      </c>
      <c r="I2199" t="s">
        <v>30919</v>
      </c>
      <c r="J2199" t="s">
        <v>32657</v>
      </c>
      <c r="K2199" t="s">
        <v>40364</v>
      </c>
      <c r="M2199" t="s">
        <v>41618</v>
      </c>
      <c r="N2199" t="s">
        <v>44759</v>
      </c>
      <c r="O2199" t="s">
        <v>44760</v>
      </c>
      <c r="P2199">
        <v>0</v>
      </c>
      <c r="Q2199">
        <v>1</v>
      </c>
      <c r="R2199" t="s">
        <v>44762</v>
      </c>
      <c r="S2199" t="s">
        <v>44863</v>
      </c>
      <c r="T2199" t="s">
        <v>46569</v>
      </c>
      <c r="U2199" t="s">
        <v>48852</v>
      </c>
      <c r="V2199" t="s">
        <v>59363</v>
      </c>
      <c r="W2199" t="s">
        <v>41618</v>
      </c>
      <c r="X2199" t="s">
        <v>44763</v>
      </c>
    </row>
    <row r="2200" spans="1:24">
      <c r="A2200">
        <f>HYPERLINK("https://www.philgeps.gov.ph/GEPSNONPILOT/Tender/SplashBidNoticeAbstractUI.aspx?menuIndex=3&amp;refID=7151632&amp;Result=3","7151632")</f>
        <v>0</v>
      </c>
      <c r="B2200" t="s">
        <v>1028</v>
      </c>
      <c r="C2200" t="s">
        <v>5868</v>
      </c>
      <c r="D2200" t="s">
        <v>18033</v>
      </c>
      <c r="E2200" t="s">
        <v>20066</v>
      </c>
      <c r="F2200" t="s">
        <v>30900</v>
      </c>
      <c r="G2200" t="s">
        <v>30908</v>
      </c>
      <c r="H2200" t="s">
        <v>30916</v>
      </c>
      <c r="I2200" t="s">
        <v>30934</v>
      </c>
      <c r="J2200" t="s">
        <v>32658</v>
      </c>
      <c r="K2200" t="s">
        <v>40291</v>
      </c>
      <c r="M2200" t="s">
        <v>41619</v>
      </c>
      <c r="N2200" t="s">
        <v>44759</v>
      </c>
      <c r="O2200" t="s">
        <v>44760</v>
      </c>
      <c r="P2200">
        <v>0</v>
      </c>
      <c r="Q2200">
        <v>0</v>
      </c>
      <c r="R2200" t="s">
        <v>44762</v>
      </c>
      <c r="S2200" t="s">
        <v>44863</v>
      </c>
      <c r="T2200" t="s">
        <v>46440</v>
      </c>
      <c r="U2200" t="s">
        <v>48853</v>
      </c>
      <c r="V2200" t="s">
        <v>59364</v>
      </c>
      <c r="W2200" t="s">
        <v>41619</v>
      </c>
      <c r="X2200" t="s">
        <v>44763</v>
      </c>
    </row>
    <row r="2201" spans="1:24">
      <c r="A2201">
        <f>HYPERLINK("https://www.philgeps.gov.ph/GEPSNONPILOT/Tender/SplashBidNoticeAbstractUI.aspx?menuIndex=3&amp;refID=7151723&amp;Result=3","7151723")</f>
        <v>0</v>
      </c>
      <c r="B2201" t="s">
        <v>1015</v>
      </c>
      <c r="C2201" t="s">
        <v>5869</v>
      </c>
      <c r="D2201" t="s">
        <v>18034</v>
      </c>
      <c r="E2201" t="s">
        <v>18545</v>
      </c>
      <c r="F2201" t="s">
        <v>30900</v>
      </c>
      <c r="G2201" t="s">
        <v>30907</v>
      </c>
      <c r="H2201" t="s">
        <v>30916</v>
      </c>
      <c r="I2201" t="s">
        <v>4142</v>
      </c>
      <c r="J2201" t="s">
        <v>32659</v>
      </c>
      <c r="K2201" t="s">
        <v>40286</v>
      </c>
      <c r="M2201" t="s">
        <v>41604</v>
      </c>
      <c r="N2201" t="s">
        <v>44759</v>
      </c>
      <c r="O2201" t="s">
        <v>44760</v>
      </c>
      <c r="P2201">
        <v>0</v>
      </c>
      <c r="Q2201">
        <v>2</v>
      </c>
      <c r="R2201" t="s">
        <v>44762</v>
      </c>
      <c r="S2201" t="s">
        <v>44863</v>
      </c>
      <c r="T2201" t="s">
        <v>46580</v>
      </c>
      <c r="U2201" t="s">
        <v>48834</v>
      </c>
      <c r="W2201" t="s">
        <v>41604</v>
      </c>
      <c r="X2201" t="s">
        <v>44763</v>
      </c>
    </row>
    <row r="2202" spans="1:24">
      <c r="A2202">
        <f>HYPERLINK("https://www.philgeps.gov.ph/GEPSNONPILOT/Tender/SplashBidNoticeAbstractUI.aspx?menuIndex=3&amp;refID=7151709&amp;Result=3","7151709")</f>
        <v>0</v>
      </c>
      <c r="B2202" t="s">
        <v>741</v>
      </c>
      <c r="C2202" t="s">
        <v>5870</v>
      </c>
      <c r="D2202" t="s">
        <v>17994</v>
      </c>
      <c r="E2202" t="s">
        <v>20067</v>
      </c>
      <c r="F2202" t="s">
        <v>30900</v>
      </c>
      <c r="G2202" t="s">
        <v>30908</v>
      </c>
      <c r="H2202" t="s">
        <v>30916</v>
      </c>
      <c r="I2202" t="s">
        <v>10961</v>
      </c>
      <c r="J2202" t="s">
        <v>31049</v>
      </c>
      <c r="K2202" t="s">
        <v>40283</v>
      </c>
      <c r="M2202" t="s">
        <v>41305</v>
      </c>
      <c r="N2202" t="s">
        <v>44759</v>
      </c>
      <c r="O2202" t="s">
        <v>44760</v>
      </c>
      <c r="P2202">
        <v>0</v>
      </c>
      <c r="Q2202">
        <v>0</v>
      </c>
      <c r="R2202" t="s">
        <v>44762</v>
      </c>
      <c r="S2202" t="s">
        <v>44863</v>
      </c>
      <c r="T2202" t="s">
        <v>46440</v>
      </c>
      <c r="U2202" t="s">
        <v>48854</v>
      </c>
      <c r="V2202" t="s">
        <v>59200</v>
      </c>
      <c r="W2202" t="s">
        <v>41305</v>
      </c>
      <c r="X2202" t="s">
        <v>44763</v>
      </c>
    </row>
    <row r="2203" spans="1:24">
      <c r="A2203">
        <f>HYPERLINK("https://www.philgeps.gov.ph/GEPSNONPILOT/Tender/SplashBidNoticeAbstractUI.aspx?menuIndex=3&amp;refID=7151720&amp;Result=3","7151720")</f>
        <v>0</v>
      </c>
      <c r="B2203" t="s">
        <v>747</v>
      </c>
      <c r="C2203" t="s">
        <v>5871</v>
      </c>
      <c r="D2203" t="s">
        <v>18021</v>
      </c>
      <c r="E2203" t="s">
        <v>20068</v>
      </c>
      <c r="F2203" t="s">
        <v>30900</v>
      </c>
      <c r="G2203" t="s">
        <v>30907</v>
      </c>
      <c r="H2203" t="s">
        <v>30916</v>
      </c>
      <c r="I2203" t="s">
        <v>6396</v>
      </c>
      <c r="J2203" t="s">
        <v>32660</v>
      </c>
      <c r="K2203" t="s">
        <v>40286</v>
      </c>
      <c r="M2203" t="s">
        <v>41311</v>
      </c>
      <c r="N2203" t="s">
        <v>44759</v>
      </c>
      <c r="O2203" t="s">
        <v>44760</v>
      </c>
      <c r="P2203">
        <v>0</v>
      </c>
      <c r="Q2203">
        <v>0</v>
      </c>
      <c r="R2203" t="s">
        <v>44762</v>
      </c>
      <c r="S2203" t="s">
        <v>44863</v>
      </c>
      <c r="T2203" t="s">
        <v>46465</v>
      </c>
      <c r="U2203" t="s">
        <v>48855</v>
      </c>
      <c r="V2203" t="s">
        <v>59365</v>
      </c>
      <c r="W2203" t="s">
        <v>41311</v>
      </c>
      <c r="X2203" t="s">
        <v>44763</v>
      </c>
    </row>
    <row r="2204" spans="1:24">
      <c r="A2204">
        <f>HYPERLINK("https://www.philgeps.gov.ph/GEPSNONPILOT/Tender/SplashBidNoticeAbstractUI.aspx?menuIndex=3&amp;refID=7151707&amp;Result=3","7151707")</f>
        <v>0</v>
      </c>
      <c r="B2204" t="s">
        <v>1029</v>
      </c>
      <c r="C2204" t="s">
        <v>5872</v>
      </c>
      <c r="D2204" t="s">
        <v>17973</v>
      </c>
      <c r="E2204" t="s">
        <v>19424</v>
      </c>
      <c r="F2204" t="s">
        <v>30900</v>
      </c>
      <c r="G2204" t="s">
        <v>30908</v>
      </c>
      <c r="H2204" t="s">
        <v>30916</v>
      </c>
      <c r="I2204" t="s">
        <v>10847</v>
      </c>
      <c r="J2204" t="s">
        <v>31585</v>
      </c>
      <c r="K2204" t="s">
        <v>40289</v>
      </c>
      <c r="M2204" t="s">
        <v>41620</v>
      </c>
      <c r="N2204" t="s">
        <v>44759</v>
      </c>
      <c r="O2204" t="s">
        <v>44760</v>
      </c>
      <c r="P2204">
        <v>0</v>
      </c>
      <c r="Q2204">
        <v>0</v>
      </c>
      <c r="R2204" t="s">
        <v>44762</v>
      </c>
      <c r="S2204" t="s">
        <v>44863</v>
      </c>
      <c r="T2204" t="s">
        <v>46457</v>
      </c>
      <c r="U2204" t="s">
        <v>48856</v>
      </c>
      <c r="W2204" t="s">
        <v>41620</v>
      </c>
      <c r="X2204" t="s">
        <v>44763</v>
      </c>
    </row>
    <row r="2205" spans="1:24">
      <c r="A2205">
        <f>HYPERLINK("https://www.philgeps.gov.ph/GEPSNONPILOT/Tender/SplashBidNoticeAbstractUI.aspx?menuIndex=3&amp;refID=7151700&amp;Result=3","7151700")</f>
        <v>0</v>
      </c>
      <c r="B2205" t="s">
        <v>951</v>
      </c>
      <c r="C2205" t="s">
        <v>5873</v>
      </c>
      <c r="E2205" t="s">
        <v>20069</v>
      </c>
      <c r="F2205" t="s">
        <v>30900</v>
      </c>
      <c r="G2205" t="s">
        <v>30907</v>
      </c>
      <c r="H2205" t="s">
        <v>30916</v>
      </c>
      <c r="I2205" t="s">
        <v>30936</v>
      </c>
      <c r="J2205" t="s">
        <v>32661</v>
      </c>
      <c r="K2205" t="s">
        <v>40292</v>
      </c>
      <c r="M2205" t="s">
        <v>41536</v>
      </c>
      <c r="N2205" t="s">
        <v>44759</v>
      </c>
      <c r="O2205" t="s">
        <v>44760</v>
      </c>
      <c r="P2205">
        <v>0</v>
      </c>
      <c r="Q2205">
        <v>2</v>
      </c>
      <c r="R2205" t="s">
        <v>44762</v>
      </c>
      <c r="S2205" t="s">
        <v>44863</v>
      </c>
      <c r="T2205" t="s">
        <v>46582</v>
      </c>
      <c r="U2205" t="s">
        <v>48857</v>
      </c>
      <c r="V2205" t="s">
        <v>59337</v>
      </c>
      <c r="W2205" t="s">
        <v>41536</v>
      </c>
      <c r="X2205" t="s">
        <v>44763</v>
      </c>
    </row>
    <row r="2206" spans="1:24">
      <c r="A2206">
        <f>HYPERLINK("https://www.philgeps.gov.ph/GEPSNONPILOT/Tender/SplashBidNoticeAbstractUI.aspx?menuIndex=3&amp;refID=7151719&amp;Result=3","7151719")</f>
        <v>0</v>
      </c>
      <c r="B2206" t="s">
        <v>1002</v>
      </c>
      <c r="C2206" t="s">
        <v>5814</v>
      </c>
      <c r="D2206" t="s">
        <v>17959</v>
      </c>
      <c r="E2206" t="s">
        <v>20070</v>
      </c>
      <c r="F2206" t="s">
        <v>30900</v>
      </c>
      <c r="G2206" t="s">
        <v>30909</v>
      </c>
      <c r="H2206" t="s">
        <v>30917</v>
      </c>
      <c r="I2206" t="s">
        <v>6396</v>
      </c>
      <c r="J2206" t="s">
        <v>31070</v>
      </c>
      <c r="K2206" t="s">
        <v>40288</v>
      </c>
      <c r="M2206" t="s">
        <v>41591</v>
      </c>
      <c r="N2206" t="s">
        <v>44759</v>
      </c>
      <c r="O2206" t="s">
        <v>44760</v>
      </c>
      <c r="P2206">
        <v>0</v>
      </c>
      <c r="Q2206">
        <v>2</v>
      </c>
      <c r="R2206" t="s">
        <v>44762</v>
      </c>
      <c r="S2206" t="s">
        <v>44863</v>
      </c>
      <c r="T2206" t="s">
        <v>46398</v>
      </c>
      <c r="U2206" t="s">
        <v>48858</v>
      </c>
      <c r="W2206" t="s">
        <v>41591</v>
      </c>
      <c r="X2206" t="s">
        <v>44763</v>
      </c>
    </row>
    <row r="2207" spans="1:24">
      <c r="A2207">
        <f>HYPERLINK("https://www.philgeps.gov.ph/GEPSNONPILOT/Tender/SplashBidNoticeAbstractUI.aspx?menuIndex=3&amp;refID=7151729&amp;Result=3","7151729")</f>
        <v>0</v>
      </c>
      <c r="B2207" t="s">
        <v>1030</v>
      </c>
      <c r="C2207" t="s">
        <v>5874</v>
      </c>
      <c r="D2207" t="s">
        <v>17996</v>
      </c>
      <c r="E2207" t="s">
        <v>20071</v>
      </c>
      <c r="F2207" t="s">
        <v>30900</v>
      </c>
      <c r="G2207" t="s">
        <v>30907</v>
      </c>
      <c r="H2207" t="s">
        <v>30916</v>
      </c>
      <c r="I2207" t="s">
        <v>30933</v>
      </c>
      <c r="J2207" t="s">
        <v>31069</v>
      </c>
      <c r="K2207" t="s">
        <v>40289</v>
      </c>
      <c r="M2207" t="s">
        <v>41621</v>
      </c>
      <c r="N2207" t="s">
        <v>44759</v>
      </c>
      <c r="O2207" t="s">
        <v>44760</v>
      </c>
      <c r="P2207">
        <v>0</v>
      </c>
      <c r="Q2207">
        <v>2</v>
      </c>
      <c r="R2207" t="s">
        <v>44762</v>
      </c>
      <c r="S2207" t="s">
        <v>44863</v>
      </c>
      <c r="T2207" t="s">
        <v>46486</v>
      </c>
      <c r="U2207" t="s">
        <v>48859</v>
      </c>
      <c r="W2207" t="s">
        <v>41621</v>
      </c>
      <c r="X2207" t="s">
        <v>44763</v>
      </c>
    </row>
    <row r="2208" spans="1:24">
      <c r="A2208">
        <f>HYPERLINK("https://www.philgeps.gov.ph/GEPSNONPILOT/Tender/SplashBidNoticeAbstractUI.aspx?menuIndex=3&amp;refID=7151706&amp;Result=3","7151706")</f>
        <v>0</v>
      </c>
      <c r="B2208" t="s">
        <v>1031</v>
      </c>
      <c r="C2208" t="s">
        <v>5875</v>
      </c>
      <c r="D2208" t="s">
        <v>17960</v>
      </c>
      <c r="E2208" t="s">
        <v>20072</v>
      </c>
      <c r="F2208" t="s">
        <v>30900</v>
      </c>
      <c r="G2208" t="s">
        <v>30907</v>
      </c>
      <c r="H2208" t="s">
        <v>30915</v>
      </c>
      <c r="I2208" t="s">
        <v>30919</v>
      </c>
      <c r="J2208" t="s">
        <v>32662</v>
      </c>
      <c r="K2208" t="s">
        <v>40292</v>
      </c>
      <c r="M2208" t="s">
        <v>41622</v>
      </c>
      <c r="N2208" t="s">
        <v>44759</v>
      </c>
      <c r="O2208" t="s">
        <v>44760</v>
      </c>
      <c r="P2208">
        <v>0</v>
      </c>
      <c r="Q2208">
        <v>0</v>
      </c>
      <c r="R2208" t="s">
        <v>44762</v>
      </c>
      <c r="S2208" t="s">
        <v>44863</v>
      </c>
      <c r="T2208" t="s">
        <v>46583</v>
      </c>
      <c r="U2208" t="s">
        <v>48860</v>
      </c>
      <c r="V2208" t="s">
        <v>59366</v>
      </c>
      <c r="W2208" t="s">
        <v>41622</v>
      </c>
      <c r="X2208" t="s">
        <v>44763</v>
      </c>
    </row>
    <row r="2209" spans="1:24">
      <c r="A2209">
        <f>HYPERLINK("https://www.philgeps.gov.ph/GEPSNONPILOT/Tender/SplashBidNoticeAbstractUI.aspx?menuIndex=3&amp;refID=7151728&amp;Result=3","7151728")</f>
        <v>0</v>
      </c>
      <c r="B2209" t="s">
        <v>788</v>
      </c>
      <c r="C2209" t="s">
        <v>5876</v>
      </c>
      <c r="D2209" t="s">
        <v>17959</v>
      </c>
      <c r="E2209" t="s">
        <v>20073</v>
      </c>
      <c r="F2209" t="s">
        <v>30900</v>
      </c>
      <c r="G2209" t="s">
        <v>30906</v>
      </c>
      <c r="H2209" t="s">
        <v>30915</v>
      </c>
      <c r="I2209" t="s">
        <v>30919</v>
      </c>
      <c r="J2209" t="s">
        <v>32663</v>
      </c>
      <c r="K2209" t="s">
        <v>40289</v>
      </c>
      <c r="M2209" t="s">
        <v>41488</v>
      </c>
      <c r="N2209" t="s">
        <v>44759</v>
      </c>
      <c r="O2209" t="s">
        <v>44760</v>
      </c>
      <c r="P2209">
        <v>0</v>
      </c>
      <c r="Q2209">
        <v>3</v>
      </c>
      <c r="R2209" t="s">
        <v>44762</v>
      </c>
      <c r="S2209" t="s">
        <v>44863</v>
      </c>
      <c r="T2209" t="s">
        <v>46418</v>
      </c>
      <c r="U2209" t="s">
        <v>48861</v>
      </c>
      <c r="V2209" t="s">
        <v>59367</v>
      </c>
      <c r="W2209" t="s">
        <v>41488</v>
      </c>
      <c r="X2209" t="s">
        <v>44763</v>
      </c>
    </row>
    <row r="2210" spans="1:24">
      <c r="A2210">
        <f>HYPERLINK("https://www.philgeps.gov.ph/GEPSNONPILOT/Tender/SplashBidNoticeAbstractUI.aspx?menuIndex=3&amp;refID=7151717&amp;Result=3","7151717")</f>
        <v>0</v>
      </c>
      <c r="B2210" t="s">
        <v>1032</v>
      </c>
      <c r="C2210" t="s">
        <v>5877</v>
      </c>
      <c r="D2210" t="s">
        <v>17999</v>
      </c>
      <c r="E2210" t="s">
        <v>20074</v>
      </c>
      <c r="F2210" t="s">
        <v>30900</v>
      </c>
      <c r="G2210" t="s">
        <v>30907</v>
      </c>
      <c r="H2210" t="s">
        <v>30916</v>
      </c>
      <c r="I2210" t="s">
        <v>30947</v>
      </c>
      <c r="J2210" t="s">
        <v>32664</v>
      </c>
      <c r="K2210" t="s">
        <v>40287</v>
      </c>
      <c r="M2210" t="s">
        <v>41623</v>
      </c>
      <c r="N2210" t="s">
        <v>44759</v>
      </c>
      <c r="O2210" t="s">
        <v>44760</v>
      </c>
      <c r="P2210">
        <v>0</v>
      </c>
      <c r="Q2210">
        <v>1</v>
      </c>
      <c r="R2210" t="s">
        <v>44762</v>
      </c>
      <c r="S2210" t="s">
        <v>44863</v>
      </c>
      <c r="T2210" t="s">
        <v>46418</v>
      </c>
      <c r="U2210" t="s">
        <v>48862</v>
      </c>
      <c r="V2210" t="s">
        <v>59368</v>
      </c>
      <c r="W2210" t="s">
        <v>41623</v>
      </c>
      <c r="X2210" t="s">
        <v>44763</v>
      </c>
    </row>
    <row r="2211" spans="1:24">
      <c r="A2211">
        <f>HYPERLINK("https://www.philgeps.gov.ph/GEPSNONPILOT/Tender/SplashBidNoticeAbstractUI.aspx?menuIndex=3&amp;refID=7151701&amp;Result=3","7151701")</f>
        <v>0</v>
      </c>
      <c r="B2211" t="s">
        <v>932</v>
      </c>
      <c r="C2211" t="s">
        <v>5878</v>
      </c>
      <c r="D2211" t="s">
        <v>17959</v>
      </c>
      <c r="E2211" t="s">
        <v>20075</v>
      </c>
      <c r="F2211" t="s">
        <v>30900</v>
      </c>
      <c r="G2211" t="s">
        <v>30907</v>
      </c>
      <c r="H2211" t="s">
        <v>30916</v>
      </c>
      <c r="I2211" t="s">
        <v>4108</v>
      </c>
      <c r="J2211" t="s">
        <v>32665</v>
      </c>
      <c r="K2211" t="s">
        <v>40283</v>
      </c>
      <c r="M2211" t="s">
        <v>41514</v>
      </c>
      <c r="N2211" t="s">
        <v>44759</v>
      </c>
      <c r="O2211" t="s">
        <v>44760</v>
      </c>
      <c r="P2211">
        <v>0</v>
      </c>
      <c r="Q2211">
        <v>0</v>
      </c>
      <c r="R2211" t="s">
        <v>44762</v>
      </c>
      <c r="S2211" t="s">
        <v>44863</v>
      </c>
      <c r="T2211" t="s">
        <v>46350</v>
      </c>
      <c r="U2211" t="s">
        <v>48763</v>
      </c>
      <c r="W2211" t="s">
        <v>41514</v>
      </c>
      <c r="X2211" t="s">
        <v>44763</v>
      </c>
    </row>
    <row r="2212" spans="1:24">
      <c r="A2212">
        <f>HYPERLINK("https://www.philgeps.gov.ph/GEPSNONPILOT/Tender/SplashBidNoticeAbstractUI.aspx?menuIndex=3&amp;refID=7151715&amp;Result=3","7151715")</f>
        <v>0</v>
      </c>
      <c r="B2212" t="s">
        <v>1022</v>
      </c>
      <c r="C2212" t="s">
        <v>5879</v>
      </c>
      <c r="D2212" t="s">
        <v>17963</v>
      </c>
      <c r="E2212" t="s">
        <v>20053</v>
      </c>
      <c r="F2212" t="s">
        <v>30900</v>
      </c>
      <c r="G2212" t="s">
        <v>30908</v>
      </c>
      <c r="H2212" t="s">
        <v>30916</v>
      </c>
      <c r="I2212" t="s">
        <v>5879</v>
      </c>
      <c r="J2212" t="s">
        <v>32666</v>
      </c>
      <c r="K2212" t="s">
        <v>40293</v>
      </c>
      <c r="M2212" t="s">
        <v>41611</v>
      </c>
      <c r="N2212" t="s">
        <v>44759</v>
      </c>
      <c r="O2212" t="s">
        <v>44760</v>
      </c>
      <c r="P2212">
        <v>0</v>
      </c>
      <c r="Q2212">
        <v>1</v>
      </c>
      <c r="R2212" t="s">
        <v>44762</v>
      </c>
      <c r="S2212" t="s">
        <v>44863</v>
      </c>
      <c r="T2212" t="s">
        <v>46414</v>
      </c>
      <c r="U2212" t="s">
        <v>48863</v>
      </c>
      <c r="V2212" t="s">
        <v>59369</v>
      </c>
      <c r="W2212" t="s">
        <v>41611</v>
      </c>
      <c r="X2212" t="s">
        <v>44763</v>
      </c>
    </row>
    <row r="2213" spans="1:24">
      <c r="A2213">
        <f>HYPERLINK("https://www.philgeps.gov.ph/GEPSNONPILOT/Tender/SplashBidNoticeAbstractUI.aspx?menuIndex=3&amp;refID=7151714&amp;Result=3","7151714")</f>
        <v>0</v>
      </c>
      <c r="B2213" t="s">
        <v>1033</v>
      </c>
      <c r="C2213" t="s">
        <v>5880</v>
      </c>
      <c r="D2213" t="s">
        <v>17981</v>
      </c>
      <c r="E2213" t="s">
        <v>18993</v>
      </c>
      <c r="F2213" t="s">
        <v>30900</v>
      </c>
      <c r="G2213" t="s">
        <v>30908</v>
      </c>
      <c r="H2213" t="s">
        <v>30916</v>
      </c>
      <c r="I2213" t="s">
        <v>30921</v>
      </c>
      <c r="J2213" t="s">
        <v>31713</v>
      </c>
      <c r="K2213" t="s">
        <v>40287</v>
      </c>
      <c r="M2213" t="s">
        <v>41624</v>
      </c>
      <c r="N2213" t="s">
        <v>44759</v>
      </c>
      <c r="O2213" t="s">
        <v>44760</v>
      </c>
      <c r="P2213">
        <v>0</v>
      </c>
      <c r="Q2213">
        <v>1</v>
      </c>
      <c r="R2213" t="s">
        <v>44762</v>
      </c>
      <c r="S2213" t="s">
        <v>44863</v>
      </c>
      <c r="T2213" t="s">
        <v>46457</v>
      </c>
      <c r="U2213" t="s">
        <v>48864</v>
      </c>
      <c r="W2213" t="s">
        <v>41624</v>
      </c>
      <c r="X2213" t="s">
        <v>44763</v>
      </c>
    </row>
    <row r="2214" spans="1:24">
      <c r="A2214">
        <f>HYPERLINK("https://www.philgeps.gov.ph/GEPSNONPILOT/Tender/SplashBidNoticeAbstractUI.aspx?menuIndex=3&amp;refID=7151713&amp;Result=3","7151713")</f>
        <v>0</v>
      </c>
      <c r="B2214" t="s">
        <v>1034</v>
      </c>
      <c r="C2214" t="s">
        <v>5881</v>
      </c>
      <c r="D2214" t="s">
        <v>17979</v>
      </c>
      <c r="E2214" t="s">
        <v>20076</v>
      </c>
      <c r="F2214" t="s">
        <v>30900</v>
      </c>
      <c r="G2214" t="s">
        <v>30908</v>
      </c>
      <c r="H2214" t="s">
        <v>30917</v>
      </c>
      <c r="I2214" t="s">
        <v>30938</v>
      </c>
      <c r="J2214" t="s">
        <v>32667</v>
      </c>
      <c r="K2214" t="s">
        <v>40287</v>
      </c>
      <c r="M2214" t="s">
        <v>41625</v>
      </c>
      <c r="N2214" t="s">
        <v>44759</v>
      </c>
      <c r="O2214" t="s">
        <v>44760</v>
      </c>
      <c r="P2214">
        <v>0</v>
      </c>
      <c r="Q2214">
        <v>3</v>
      </c>
      <c r="R2214" t="s">
        <v>44762</v>
      </c>
      <c r="S2214" t="s">
        <v>44863</v>
      </c>
      <c r="T2214" t="s">
        <v>46390</v>
      </c>
      <c r="U2214" t="s">
        <v>47002</v>
      </c>
      <c r="W2214" t="s">
        <v>41625</v>
      </c>
      <c r="X2214" t="s">
        <v>44763</v>
      </c>
    </row>
    <row r="2215" spans="1:24">
      <c r="A2215">
        <f>HYPERLINK("https://www.philgeps.gov.ph/GEPSNONPILOT/Tender/SplashBidNoticeAbstractUI.aspx?menuIndex=3&amp;refID=7151716&amp;Result=3","7151716")</f>
        <v>0</v>
      </c>
      <c r="B2215" t="s">
        <v>918</v>
      </c>
      <c r="C2215" t="s">
        <v>5882</v>
      </c>
      <c r="D2215" t="s">
        <v>17959</v>
      </c>
      <c r="E2215" t="s">
        <v>20077</v>
      </c>
      <c r="F2215" t="s">
        <v>30900</v>
      </c>
      <c r="G2215" t="s">
        <v>30910</v>
      </c>
      <c r="H2215" t="s">
        <v>30916</v>
      </c>
      <c r="I2215" t="s">
        <v>4017</v>
      </c>
      <c r="J2215" t="s">
        <v>32668</v>
      </c>
      <c r="K2215" t="s">
        <v>40286</v>
      </c>
      <c r="M2215" t="s">
        <v>41617</v>
      </c>
      <c r="N2215" t="s">
        <v>44759</v>
      </c>
      <c r="O2215" t="s">
        <v>44760</v>
      </c>
      <c r="P2215">
        <v>0</v>
      </c>
      <c r="Q2215">
        <v>10</v>
      </c>
      <c r="R2215" t="s">
        <v>44762</v>
      </c>
      <c r="S2215" t="s">
        <v>44863</v>
      </c>
      <c r="T2215" t="s">
        <v>46414</v>
      </c>
      <c r="U2215" t="s">
        <v>48611</v>
      </c>
      <c r="W2215" t="s">
        <v>41617</v>
      </c>
      <c r="X2215" t="s">
        <v>44763</v>
      </c>
    </row>
    <row r="2216" spans="1:24">
      <c r="A2216">
        <f>HYPERLINK("https://www.philgeps.gov.ph/GEPSNONPILOT/Tender/SplashBidNoticeAbstractUI.aspx?menuIndex=3&amp;refID=7151711&amp;Result=3","7151711")</f>
        <v>0</v>
      </c>
      <c r="B2216" t="s">
        <v>1035</v>
      </c>
      <c r="C2216" t="s">
        <v>5883</v>
      </c>
      <c r="D2216" t="s">
        <v>18006</v>
      </c>
      <c r="E2216" t="s">
        <v>20078</v>
      </c>
      <c r="F2216" t="s">
        <v>30900</v>
      </c>
      <c r="G2216" t="s">
        <v>30908</v>
      </c>
      <c r="H2216" t="s">
        <v>30916</v>
      </c>
      <c r="I2216" t="s">
        <v>30927</v>
      </c>
      <c r="J2216" t="s">
        <v>32669</v>
      </c>
      <c r="K2216" t="s">
        <v>40288</v>
      </c>
      <c r="M2216" t="s">
        <v>41626</v>
      </c>
      <c r="N2216" t="s">
        <v>44759</v>
      </c>
      <c r="O2216" t="s">
        <v>44760</v>
      </c>
      <c r="P2216">
        <v>0</v>
      </c>
      <c r="Q2216">
        <v>1</v>
      </c>
      <c r="R2216" t="s">
        <v>44762</v>
      </c>
      <c r="S2216" t="s">
        <v>44863</v>
      </c>
      <c r="T2216" t="s">
        <v>46398</v>
      </c>
      <c r="U2216" t="s">
        <v>48865</v>
      </c>
      <c r="W2216" t="s">
        <v>41626</v>
      </c>
      <c r="X2216" t="s">
        <v>44763</v>
      </c>
    </row>
    <row r="2217" spans="1:24">
      <c r="A2217">
        <f>HYPERLINK("https://www.philgeps.gov.ph/GEPSNONPILOT/Tender/SplashBidNoticeAbstractUI.aspx?menuIndex=3&amp;refID=7151726&amp;Result=3","7151726")</f>
        <v>0</v>
      </c>
      <c r="B2217" t="s">
        <v>803</v>
      </c>
      <c r="C2217" t="s">
        <v>5884</v>
      </c>
      <c r="D2217" t="s">
        <v>17952</v>
      </c>
      <c r="E2217" t="s">
        <v>20079</v>
      </c>
      <c r="F2217" t="s">
        <v>30900</v>
      </c>
      <c r="G2217" t="s">
        <v>30908</v>
      </c>
      <c r="H2217" t="s">
        <v>30916</v>
      </c>
      <c r="I2217" t="s">
        <v>30924</v>
      </c>
      <c r="J2217" t="s">
        <v>32670</v>
      </c>
      <c r="K2217" t="s">
        <v>40283</v>
      </c>
      <c r="M2217" t="s">
        <v>41627</v>
      </c>
      <c r="N2217" t="s">
        <v>44759</v>
      </c>
      <c r="O2217" t="s">
        <v>44760</v>
      </c>
      <c r="P2217">
        <v>0</v>
      </c>
      <c r="Q2217">
        <v>6</v>
      </c>
      <c r="R2217" t="s">
        <v>44762</v>
      </c>
      <c r="S2217" t="s">
        <v>44863</v>
      </c>
      <c r="T2217" t="s">
        <v>46410</v>
      </c>
      <c r="U2217" t="s">
        <v>48866</v>
      </c>
      <c r="W2217" t="s">
        <v>41627</v>
      </c>
      <c r="X2217" t="s">
        <v>44763</v>
      </c>
    </row>
    <row r="2218" spans="1:24">
      <c r="A2218">
        <f>HYPERLINK("https://www.philgeps.gov.ph/GEPSNONPILOT/Tender/SplashBidNoticeAbstractUI.aspx?menuIndex=3&amp;refID=7151722&amp;Result=3","7151722")</f>
        <v>0</v>
      </c>
      <c r="B2218" t="s">
        <v>741</v>
      </c>
      <c r="C2218" t="s">
        <v>5885</v>
      </c>
      <c r="D2218" t="s">
        <v>17994</v>
      </c>
      <c r="E2218" t="s">
        <v>20080</v>
      </c>
      <c r="F2218" t="s">
        <v>30900</v>
      </c>
      <c r="G2218" t="s">
        <v>30908</v>
      </c>
      <c r="H2218" t="s">
        <v>30916</v>
      </c>
      <c r="I2218" t="s">
        <v>30934</v>
      </c>
      <c r="J2218" t="s">
        <v>31135</v>
      </c>
      <c r="K2218" t="s">
        <v>40314</v>
      </c>
      <c r="M2218" t="s">
        <v>41305</v>
      </c>
      <c r="N2218" t="s">
        <v>44759</v>
      </c>
      <c r="O2218" t="s">
        <v>44760</v>
      </c>
      <c r="P2218">
        <v>0</v>
      </c>
      <c r="Q2218">
        <v>1</v>
      </c>
      <c r="R2218" t="s">
        <v>44762</v>
      </c>
      <c r="S2218" t="s">
        <v>44863</v>
      </c>
      <c r="T2218" t="s">
        <v>46440</v>
      </c>
      <c r="U2218" t="s">
        <v>48867</v>
      </c>
      <c r="V2218" t="s">
        <v>59200</v>
      </c>
      <c r="W2218" t="s">
        <v>41305</v>
      </c>
      <c r="X2218" t="s">
        <v>44763</v>
      </c>
    </row>
    <row r="2219" spans="1:24">
      <c r="A2219">
        <f>HYPERLINK("https://www.philgeps.gov.ph/GEPSNONPILOT/Tender/SplashBidNoticeAbstractUI.aspx?menuIndex=3&amp;refID=7151721&amp;Result=3","7151721")</f>
        <v>0</v>
      </c>
      <c r="B2219" t="s">
        <v>1023</v>
      </c>
      <c r="C2219" t="s">
        <v>5886</v>
      </c>
      <c r="D2219" t="s">
        <v>17978</v>
      </c>
      <c r="E2219" t="s">
        <v>20081</v>
      </c>
      <c r="F2219" t="s">
        <v>30900</v>
      </c>
      <c r="G2219" t="s">
        <v>30908</v>
      </c>
      <c r="H2219" t="s">
        <v>30916</v>
      </c>
      <c r="I2219" t="s">
        <v>31003</v>
      </c>
      <c r="J2219" t="s">
        <v>31355</v>
      </c>
      <c r="K2219" t="s">
        <v>40314</v>
      </c>
      <c r="M2219" t="s">
        <v>41613</v>
      </c>
      <c r="N2219" t="s">
        <v>44759</v>
      </c>
      <c r="O2219" t="s">
        <v>44760</v>
      </c>
      <c r="P2219">
        <v>0</v>
      </c>
      <c r="Q2219">
        <v>0</v>
      </c>
      <c r="R2219" t="s">
        <v>44762</v>
      </c>
      <c r="S2219" t="s">
        <v>44863</v>
      </c>
      <c r="T2219" t="s">
        <v>46357</v>
      </c>
      <c r="U2219" t="s">
        <v>48868</v>
      </c>
      <c r="W2219" t="s">
        <v>41613</v>
      </c>
      <c r="X2219" t="s">
        <v>44763</v>
      </c>
    </row>
    <row r="2220" spans="1:24">
      <c r="A2220">
        <f>HYPERLINK("https://www.philgeps.gov.ph/GEPSNONPILOT/Tender/SplashBidNoticeAbstractUI.aspx?menuIndex=3&amp;refID=7151727&amp;Result=3","7151727")</f>
        <v>0</v>
      </c>
      <c r="B2220" t="s">
        <v>741</v>
      </c>
      <c r="C2220" t="s">
        <v>5887</v>
      </c>
      <c r="D2220" t="s">
        <v>17994</v>
      </c>
      <c r="E2220" t="s">
        <v>20082</v>
      </c>
      <c r="F2220" t="s">
        <v>30900</v>
      </c>
      <c r="G2220" t="s">
        <v>30908</v>
      </c>
      <c r="H2220" t="s">
        <v>30916</v>
      </c>
      <c r="I2220" t="s">
        <v>5830</v>
      </c>
      <c r="J2220" t="s">
        <v>31898</v>
      </c>
      <c r="K2220" t="s">
        <v>40287</v>
      </c>
      <c r="M2220" t="s">
        <v>41305</v>
      </c>
      <c r="N2220" t="s">
        <v>44759</v>
      </c>
      <c r="O2220" t="s">
        <v>44760</v>
      </c>
      <c r="P2220">
        <v>0</v>
      </c>
      <c r="Q2220">
        <v>3</v>
      </c>
      <c r="R2220" t="s">
        <v>44762</v>
      </c>
      <c r="S2220" t="s">
        <v>44863</v>
      </c>
      <c r="T2220" t="s">
        <v>46440</v>
      </c>
      <c r="U2220" t="s">
        <v>48869</v>
      </c>
      <c r="V2220" t="s">
        <v>59200</v>
      </c>
      <c r="W2220" t="s">
        <v>41305</v>
      </c>
      <c r="X2220" t="s">
        <v>44763</v>
      </c>
    </row>
    <row r="2221" spans="1:24">
      <c r="A2221">
        <f>HYPERLINK("https://www.philgeps.gov.ph/GEPSNONPILOT/Tender/SplashBidNoticeAbstractUI.aspx?menuIndex=3&amp;refID=7151681&amp;Result=3","7151681")</f>
        <v>0</v>
      </c>
      <c r="B2221" t="s">
        <v>932</v>
      </c>
      <c r="C2221" t="s">
        <v>5888</v>
      </c>
      <c r="D2221" t="s">
        <v>17959</v>
      </c>
      <c r="E2221" t="s">
        <v>20083</v>
      </c>
      <c r="F2221" t="s">
        <v>30900</v>
      </c>
      <c r="G2221" t="s">
        <v>30907</v>
      </c>
      <c r="H2221" t="s">
        <v>30916</v>
      </c>
      <c r="I2221" t="s">
        <v>4108</v>
      </c>
      <c r="J2221" t="s">
        <v>32671</v>
      </c>
      <c r="K2221" t="s">
        <v>40283</v>
      </c>
      <c r="M2221" t="s">
        <v>41514</v>
      </c>
      <c r="N2221" t="s">
        <v>44759</v>
      </c>
      <c r="O2221" t="s">
        <v>44760</v>
      </c>
      <c r="P2221">
        <v>0</v>
      </c>
      <c r="Q2221">
        <v>1</v>
      </c>
      <c r="R2221" t="s">
        <v>44762</v>
      </c>
      <c r="S2221" t="s">
        <v>44863</v>
      </c>
      <c r="T2221" t="s">
        <v>46350</v>
      </c>
      <c r="U2221" t="s">
        <v>48763</v>
      </c>
      <c r="W2221" t="s">
        <v>41514</v>
      </c>
      <c r="X2221" t="s">
        <v>44763</v>
      </c>
    </row>
    <row r="2222" spans="1:24">
      <c r="A2222">
        <f>HYPERLINK("https://www.philgeps.gov.ph/GEPSNONPILOT/Tender/SplashBidNoticeAbstractUI.aspx?menuIndex=3&amp;refID=7151730&amp;Result=3","7151730")</f>
        <v>0</v>
      </c>
      <c r="B2222" t="s">
        <v>1013</v>
      </c>
      <c r="C2222" t="s">
        <v>5889</v>
      </c>
      <c r="D2222" t="s">
        <v>17971</v>
      </c>
      <c r="E2222" t="s">
        <v>20084</v>
      </c>
      <c r="F2222" t="s">
        <v>30900</v>
      </c>
      <c r="G2222" t="s">
        <v>30907</v>
      </c>
      <c r="H2222" t="s">
        <v>30916</v>
      </c>
      <c r="I2222" t="s">
        <v>8123</v>
      </c>
      <c r="J2222" t="s">
        <v>32672</v>
      </c>
      <c r="K2222" t="s">
        <v>40289</v>
      </c>
      <c r="M2222" t="s">
        <v>41602</v>
      </c>
      <c r="N2222" t="s">
        <v>44759</v>
      </c>
      <c r="O2222" t="s">
        <v>44760</v>
      </c>
      <c r="P2222">
        <v>0</v>
      </c>
      <c r="Q2222">
        <v>0</v>
      </c>
      <c r="R2222" t="s">
        <v>44762</v>
      </c>
      <c r="S2222" t="s">
        <v>44863</v>
      </c>
      <c r="T2222" t="s">
        <v>46400</v>
      </c>
      <c r="U2222" t="s">
        <v>48870</v>
      </c>
      <c r="W2222" t="s">
        <v>41602</v>
      </c>
      <c r="X2222" t="s">
        <v>44763</v>
      </c>
    </row>
    <row r="2223" spans="1:24">
      <c r="A2223">
        <f>HYPERLINK("https://www.philgeps.gov.ph/GEPSNONPILOT/Tender/SplashBidNoticeAbstractUI.aspx?menuIndex=3&amp;refID=7151748&amp;Result=3","7151748")</f>
        <v>0</v>
      </c>
      <c r="B2223" t="s">
        <v>803</v>
      </c>
      <c r="C2223" t="s">
        <v>5890</v>
      </c>
      <c r="D2223" t="s">
        <v>17952</v>
      </c>
      <c r="E2223" t="s">
        <v>20085</v>
      </c>
      <c r="F2223" t="s">
        <v>30900</v>
      </c>
      <c r="G2223" t="s">
        <v>30908</v>
      </c>
      <c r="H2223" t="s">
        <v>30916</v>
      </c>
      <c r="I2223" t="s">
        <v>4545</v>
      </c>
      <c r="J2223" t="s">
        <v>32658</v>
      </c>
      <c r="K2223" t="s">
        <v>40283</v>
      </c>
      <c r="M2223" t="s">
        <v>41627</v>
      </c>
      <c r="N2223" t="s">
        <v>44759</v>
      </c>
      <c r="O2223" t="s">
        <v>44760</v>
      </c>
      <c r="P2223">
        <v>0</v>
      </c>
      <c r="Q2223">
        <v>2</v>
      </c>
      <c r="R2223" t="s">
        <v>44762</v>
      </c>
      <c r="S2223" t="s">
        <v>44863</v>
      </c>
      <c r="T2223" t="s">
        <v>46410</v>
      </c>
      <c r="U2223" t="s">
        <v>48871</v>
      </c>
      <c r="W2223" t="s">
        <v>41627</v>
      </c>
      <c r="X2223" t="s">
        <v>44763</v>
      </c>
    </row>
    <row r="2224" spans="1:24">
      <c r="A2224">
        <f>HYPERLINK("https://www.philgeps.gov.ph/GEPSNONPILOT/Tender/SplashBidNoticeAbstractUI.aspx?menuIndex=3&amp;refID=7151739&amp;Result=3","7151739")</f>
        <v>0</v>
      </c>
      <c r="B2224" t="s">
        <v>1036</v>
      </c>
      <c r="C2224" t="s">
        <v>5891</v>
      </c>
      <c r="D2224" t="s">
        <v>17952</v>
      </c>
      <c r="E2224" t="s">
        <v>20086</v>
      </c>
      <c r="F2224" t="s">
        <v>30900</v>
      </c>
      <c r="G2224" t="s">
        <v>30907</v>
      </c>
      <c r="H2224" t="s">
        <v>30915</v>
      </c>
      <c r="I2224" t="s">
        <v>30919</v>
      </c>
      <c r="J2224" t="s">
        <v>31241</v>
      </c>
      <c r="K2224" t="s">
        <v>40354</v>
      </c>
      <c r="M2224" t="s">
        <v>41628</v>
      </c>
      <c r="N2224" t="s">
        <v>44759</v>
      </c>
      <c r="O2224" t="s">
        <v>44760</v>
      </c>
      <c r="P2224">
        <v>0</v>
      </c>
      <c r="Q2224">
        <v>2</v>
      </c>
      <c r="R2224" t="s">
        <v>44762</v>
      </c>
      <c r="S2224" t="s">
        <v>44863</v>
      </c>
      <c r="T2224" t="s">
        <v>46380</v>
      </c>
      <c r="U2224" t="s">
        <v>48872</v>
      </c>
      <c r="W2224" t="s">
        <v>41628</v>
      </c>
      <c r="X2224" t="s">
        <v>44763</v>
      </c>
    </row>
    <row r="2225" spans="1:24">
      <c r="A2225">
        <f>HYPERLINK("https://www.philgeps.gov.ph/GEPSNONPILOT/Tender/SplashBidNoticeAbstractUI.aspx?menuIndex=3&amp;refID=7151738&amp;Result=3","7151738")</f>
        <v>0</v>
      </c>
      <c r="B2225" t="s">
        <v>741</v>
      </c>
      <c r="C2225" t="s">
        <v>5892</v>
      </c>
      <c r="D2225" t="s">
        <v>17994</v>
      </c>
      <c r="E2225" t="s">
        <v>20087</v>
      </c>
      <c r="F2225" t="s">
        <v>30900</v>
      </c>
      <c r="G2225" t="s">
        <v>30908</v>
      </c>
      <c r="H2225" t="s">
        <v>30916</v>
      </c>
      <c r="I2225" t="s">
        <v>5830</v>
      </c>
      <c r="J2225" t="s">
        <v>32673</v>
      </c>
      <c r="K2225" t="s">
        <v>40314</v>
      </c>
      <c r="M2225" t="s">
        <v>41305</v>
      </c>
      <c r="N2225" t="s">
        <v>44759</v>
      </c>
      <c r="O2225" t="s">
        <v>44760</v>
      </c>
      <c r="P2225">
        <v>0</v>
      </c>
      <c r="Q2225">
        <v>5</v>
      </c>
      <c r="R2225" t="s">
        <v>44762</v>
      </c>
      <c r="S2225" t="s">
        <v>44863</v>
      </c>
      <c r="T2225" t="s">
        <v>46440</v>
      </c>
      <c r="U2225" t="s">
        <v>48873</v>
      </c>
      <c r="V2225" t="s">
        <v>59200</v>
      </c>
      <c r="W2225" t="s">
        <v>41305</v>
      </c>
      <c r="X2225" t="s">
        <v>44763</v>
      </c>
    </row>
    <row r="2226" spans="1:24">
      <c r="A2226">
        <f>HYPERLINK("https://www.philgeps.gov.ph/GEPSNONPILOT/Tender/SplashBidNoticeAbstractUI.aspx?menuIndex=3&amp;refID=7151736&amp;Result=3","7151736")</f>
        <v>0</v>
      </c>
      <c r="B2226" t="s">
        <v>1026</v>
      </c>
      <c r="C2226" t="s">
        <v>5893</v>
      </c>
      <c r="D2226" t="s">
        <v>17952</v>
      </c>
      <c r="E2226" t="s">
        <v>20088</v>
      </c>
      <c r="F2226" t="s">
        <v>30900</v>
      </c>
      <c r="G2226" t="s">
        <v>30907</v>
      </c>
      <c r="H2226" t="s">
        <v>30915</v>
      </c>
      <c r="I2226" t="s">
        <v>30919</v>
      </c>
      <c r="J2226" t="s">
        <v>31101</v>
      </c>
      <c r="K2226" t="s">
        <v>40293</v>
      </c>
      <c r="M2226" t="s">
        <v>41616</v>
      </c>
      <c r="N2226" t="s">
        <v>44759</v>
      </c>
      <c r="O2226" t="s">
        <v>44760</v>
      </c>
      <c r="P2226">
        <v>0</v>
      </c>
      <c r="Q2226">
        <v>0</v>
      </c>
      <c r="R2226" t="s">
        <v>44762</v>
      </c>
      <c r="S2226" t="s">
        <v>44863</v>
      </c>
      <c r="T2226" t="s">
        <v>46425</v>
      </c>
      <c r="U2226" t="s">
        <v>48874</v>
      </c>
      <c r="W2226" t="s">
        <v>41616</v>
      </c>
      <c r="X2226" t="s">
        <v>44763</v>
      </c>
    </row>
    <row r="2227" spans="1:24">
      <c r="A2227">
        <f>HYPERLINK("https://www.philgeps.gov.ph/GEPSNONPILOT/Tender/SplashBidNoticeAbstractUI.aspx?menuIndex=3&amp;refID=7151731&amp;Result=3","7151731")</f>
        <v>0</v>
      </c>
      <c r="B2227" t="s">
        <v>1037</v>
      </c>
      <c r="C2227" t="s">
        <v>5894</v>
      </c>
      <c r="D2227" t="s">
        <v>17981</v>
      </c>
      <c r="E2227" t="s">
        <v>5894</v>
      </c>
      <c r="F2227" t="s">
        <v>30900</v>
      </c>
      <c r="G2227" t="s">
        <v>30909</v>
      </c>
      <c r="H2227" t="s">
        <v>30916</v>
      </c>
      <c r="I2227" t="s">
        <v>6396</v>
      </c>
      <c r="J2227" t="s">
        <v>32674</v>
      </c>
      <c r="K2227" t="s">
        <v>40288</v>
      </c>
      <c r="M2227" t="s">
        <v>41629</v>
      </c>
      <c r="N2227" t="s">
        <v>44759</v>
      </c>
      <c r="O2227" t="s">
        <v>44760</v>
      </c>
      <c r="P2227">
        <v>0</v>
      </c>
      <c r="Q2227">
        <v>0</v>
      </c>
      <c r="R2227" t="s">
        <v>44762</v>
      </c>
      <c r="S2227" t="s">
        <v>44863</v>
      </c>
      <c r="T2227" t="s">
        <v>46363</v>
      </c>
      <c r="U2227" t="s">
        <v>48875</v>
      </c>
      <c r="W2227" t="s">
        <v>41629</v>
      </c>
      <c r="X2227" t="s">
        <v>44763</v>
      </c>
    </row>
    <row r="2228" spans="1:24">
      <c r="A2228">
        <f>HYPERLINK("https://www.philgeps.gov.ph/GEPSNONPILOT/Tender/SplashBidNoticeAbstractUI.aspx?menuIndex=3&amp;refID=7151735&amp;Result=3","7151735")</f>
        <v>0</v>
      </c>
      <c r="B2228" t="s">
        <v>918</v>
      </c>
      <c r="C2228" t="s">
        <v>5895</v>
      </c>
      <c r="D2228" t="s">
        <v>17959</v>
      </c>
      <c r="E2228" t="s">
        <v>20089</v>
      </c>
      <c r="F2228" t="s">
        <v>30900</v>
      </c>
      <c r="G2228" t="s">
        <v>30910</v>
      </c>
      <c r="H2228" t="s">
        <v>30916</v>
      </c>
      <c r="I2228" t="s">
        <v>6396</v>
      </c>
      <c r="J2228" t="s">
        <v>32675</v>
      </c>
      <c r="K2228" t="s">
        <v>40283</v>
      </c>
      <c r="M2228" t="s">
        <v>41612</v>
      </c>
      <c r="N2228" t="s">
        <v>44759</v>
      </c>
      <c r="O2228" t="s">
        <v>44760</v>
      </c>
      <c r="P2228">
        <v>0</v>
      </c>
      <c r="Q2228">
        <v>9</v>
      </c>
      <c r="R2228" t="s">
        <v>44762</v>
      </c>
      <c r="S2228" t="s">
        <v>44863</v>
      </c>
      <c r="T2228" t="s">
        <v>46414</v>
      </c>
      <c r="U2228" t="s">
        <v>48876</v>
      </c>
      <c r="W2228" t="s">
        <v>41612</v>
      </c>
      <c r="X2228" t="s">
        <v>44763</v>
      </c>
    </row>
    <row r="2229" spans="1:24">
      <c r="A2229">
        <f>HYPERLINK("https://www.philgeps.gov.ph/GEPSNONPILOT/Tender/SplashBidNoticeAbstractUI.aspx?menuIndex=3&amp;refID=7151742&amp;Result=3","7151742")</f>
        <v>0</v>
      </c>
      <c r="B2229" t="s">
        <v>1030</v>
      </c>
      <c r="C2229" t="s">
        <v>5896</v>
      </c>
      <c r="D2229" t="s">
        <v>17996</v>
      </c>
      <c r="E2229" t="s">
        <v>20090</v>
      </c>
      <c r="F2229" t="s">
        <v>30900</v>
      </c>
      <c r="G2229" t="s">
        <v>30907</v>
      </c>
      <c r="H2229" t="s">
        <v>30916</v>
      </c>
      <c r="I2229" t="s">
        <v>30933</v>
      </c>
      <c r="J2229" t="s">
        <v>31069</v>
      </c>
      <c r="K2229" t="s">
        <v>40289</v>
      </c>
      <c r="M2229" t="s">
        <v>41621</v>
      </c>
      <c r="N2229" t="s">
        <v>44759</v>
      </c>
      <c r="O2229" t="s">
        <v>44760</v>
      </c>
      <c r="P2229">
        <v>0</v>
      </c>
      <c r="Q2229">
        <v>4</v>
      </c>
      <c r="R2229" t="s">
        <v>44762</v>
      </c>
      <c r="S2229" t="s">
        <v>44863</v>
      </c>
      <c r="T2229" t="s">
        <v>46486</v>
      </c>
      <c r="U2229" t="s">
        <v>48877</v>
      </c>
      <c r="W2229" t="s">
        <v>41621</v>
      </c>
      <c r="X2229" t="s">
        <v>44763</v>
      </c>
    </row>
    <row r="2230" spans="1:24">
      <c r="A2230">
        <f>HYPERLINK("https://www.philgeps.gov.ph/GEPSNONPILOT/Tender/SplashBidNoticeAbstractUI.aspx?menuIndex=3&amp;refID=7151733&amp;Result=3","7151733")</f>
        <v>0</v>
      </c>
      <c r="B2230" t="s">
        <v>918</v>
      </c>
      <c r="C2230" t="s">
        <v>5897</v>
      </c>
      <c r="D2230" t="s">
        <v>17959</v>
      </c>
      <c r="E2230" t="s">
        <v>20091</v>
      </c>
      <c r="F2230" t="s">
        <v>30900</v>
      </c>
      <c r="G2230" t="s">
        <v>30910</v>
      </c>
      <c r="H2230" t="s">
        <v>30916</v>
      </c>
      <c r="I2230" t="s">
        <v>6953</v>
      </c>
      <c r="J2230" t="s">
        <v>32676</v>
      </c>
      <c r="K2230" t="s">
        <v>40286</v>
      </c>
      <c r="M2230" t="s">
        <v>41617</v>
      </c>
      <c r="N2230" t="s">
        <v>44759</v>
      </c>
      <c r="O2230" t="s">
        <v>44760</v>
      </c>
      <c r="P2230">
        <v>0</v>
      </c>
      <c r="Q2230">
        <v>4</v>
      </c>
      <c r="R2230" t="s">
        <v>44762</v>
      </c>
      <c r="S2230" t="s">
        <v>44863</v>
      </c>
      <c r="T2230" t="s">
        <v>46414</v>
      </c>
      <c r="U2230" t="s">
        <v>48878</v>
      </c>
      <c r="W2230" t="s">
        <v>41617</v>
      </c>
      <c r="X2230" t="s">
        <v>44763</v>
      </c>
    </row>
    <row r="2231" spans="1:24">
      <c r="A2231">
        <f>HYPERLINK("https://www.philgeps.gov.ph/GEPSNONPILOT/Tender/SplashBidNoticeAbstractUI.aspx?menuIndex=3&amp;refID=7151755&amp;Result=3","7151755")</f>
        <v>0</v>
      </c>
      <c r="B2231" t="s">
        <v>1038</v>
      </c>
      <c r="C2231" t="s">
        <v>5898</v>
      </c>
      <c r="D2231" t="s">
        <v>18002</v>
      </c>
      <c r="E2231" t="s">
        <v>20092</v>
      </c>
      <c r="F2231" t="s">
        <v>30900</v>
      </c>
      <c r="G2231" t="s">
        <v>30907</v>
      </c>
      <c r="H2231" t="s">
        <v>30916</v>
      </c>
      <c r="I2231" t="s">
        <v>30924</v>
      </c>
      <c r="J2231" t="s">
        <v>32677</v>
      </c>
      <c r="K2231" t="s">
        <v>40286</v>
      </c>
      <c r="M2231" t="s">
        <v>41630</v>
      </c>
      <c r="N2231" t="s">
        <v>44759</v>
      </c>
      <c r="O2231" t="s">
        <v>44760</v>
      </c>
      <c r="P2231">
        <v>0</v>
      </c>
      <c r="Q2231">
        <v>8</v>
      </c>
      <c r="R2231" t="s">
        <v>44762</v>
      </c>
      <c r="S2231" t="s">
        <v>44863</v>
      </c>
      <c r="T2231" t="s">
        <v>46405</v>
      </c>
      <c r="U2231" t="s">
        <v>48879</v>
      </c>
      <c r="W2231" t="s">
        <v>41630</v>
      </c>
      <c r="X2231" t="s">
        <v>44763</v>
      </c>
    </row>
    <row r="2232" spans="1:24">
      <c r="A2232">
        <f>HYPERLINK("https://www.philgeps.gov.ph/GEPSNONPILOT/Tender/SplashBidNoticeAbstractUI.aspx?menuIndex=3&amp;refID=7151754&amp;Result=3","7151754")</f>
        <v>0</v>
      </c>
      <c r="B2232" t="s">
        <v>1039</v>
      </c>
      <c r="C2232" t="s">
        <v>5899</v>
      </c>
      <c r="D2232" t="s">
        <v>17954</v>
      </c>
      <c r="E2232" t="s">
        <v>20093</v>
      </c>
      <c r="F2232" t="s">
        <v>30900</v>
      </c>
      <c r="G2232" t="s">
        <v>30908</v>
      </c>
      <c r="H2232" t="s">
        <v>30915</v>
      </c>
      <c r="I2232" t="s">
        <v>30919</v>
      </c>
      <c r="J2232" t="s">
        <v>32678</v>
      </c>
      <c r="K2232" t="s">
        <v>40280</v>
      </c>
      <c r="M2232" t="s">
        <v>41631</v>
      </c>
      <c r="N2232" t="s">
        <v>44759</v>
      </c>
      <c r="O2232" t="s">
        <v>44760</v>
      </c>
      <c r="P2232">
        <v>0</v>
      </c>
      <c r="Q2232">
        <v>7</v>
      </c>
      <c r="R2232" t="s">
        <v>44762</v>
      </c>
      <c r="S2232" t="s">
        <v>44863</v>
      </c>
      <c r="T2232" t="s">
        <v>46414</v>
      </c>
      <c r="U2232" t="s">
        <v>48880</v>
      </c>
      <c r="W2232" t="s">
        <v>41631</v>
      </c>
      <c r="X2232" t="s">
        <v>44763</v>
      </c>
    </row>
    <row r="2233" spans="1:24">
      <c r="A2233">
        <f>HYPERLINK("https://www.philgeps.gov.ph/GEPSNONPILOT/Tender/SplashBidNoticeAbstractUI.aspx?menuIndex=3&amp;refID=7151753&amp;Result=3","7151753")</f>
        <v>0</v>
      </c>
      <c r="B2233" t="s">
        <v>1040</v>
      </c>
      <c r="C2233" t="s">
        <v>5900</v>
      </c>
      <c r="D2233" t="s">
        <v>17978</v>
      </c>
      <c r="E2233" t="s">
        <v>20094</v>
      </c>
      <c r="F2233" t="s">
        <v>30900</v>
      </c>
      <c r="G2233" t="s">
        <v>30908</v>
      </c>
      <c r="H2233" t="s">
        <v>30916</v>
      </c>
      <c r="I2233" t="s">
        <v>6953</v>
      </c>
      <c r="J2233" t="s">
        <v>32679</v>
      </c>
      <c r="K2233" t="s">
        <v>40284</v>
      </c>
      <c r="M2233" t="s">
        <v>41632</v>
      </c>
      <c r="N2233" t="s">
        <v>44759</v>
      </c>
      <c r="O2233" t="s">
        <v>44760</v>
      </c>
      <c r="P2233">
        <v>0</v>
      </c>
      <c r="Q2233">
        <v>0</v>
      </c>
      <c r="R2233" t="s">
        <v>44762</v>
      </c>
      <c r="S2233" t="s">
        <v>44863</v>
      </c>
      <c r="T2233" t="s">
        <v>46363</v>
      </c>
      <c r="U2233" t="s">
        <v>48881</v>
      </c>
      <c r="W2233" t="s">
        <v>41632</v>
      </c>
      <c r="X2233" t="s">
        <v>44763</v>
      </c>
    </row>
    <row r="2234" spans="1:24">
      <c r="A2234">
        <f>HYPERLINK("https://www.philgeps.gov.ph/GEPSNONPILOT/Tender/SplashBidNoticeAbstractUI.aspx?menuIndex=3&amp;refID=7151752&amp;Result=3","7151752")</f>
        <v>0</v>
      </c>
      <c r="B2234" t="s">
        <v>1015</v>
      </c>
      <c r="C2234" t="s">
        <v>5901</v>
      </c>
      <c r="D2234" t="s">
        <v>18034</v>
      </c>
      <c r="E2234" t="s">
        <v>20095</v>
      </c>
      <c r="F2234" t="s">
        <v>30900</v>
      </c>
      <c r="G2234" t="s">
        <v>30907</v>
      </c>
      <c r="H2234" t="s">
        <v>30916</v>
      </c>
      <c r="I2234" t="s">
        <v>4545</v>
      </c>
      <c r="J2234" t="s">
        <v>31352</v>
      </c>
      <c r="K2234" t="s">
        <v>40286</v>
      </c>
      <c r="M2234" t="s">
        <v>41604</v>
      </c>
      <c r="N2234" t="s">
        <v>44759</v>
      </c>
      <c r="O2234" t="s">
        <v>44760</v>
      </c>
      <c r="P2234">
        <v>0</v>
      </c>
      <c r="Q2234">
        <v>3</v>
      </c>
      <c r="R2234" t="s">
        <v>44762</v>
      </c>
      <c r="S2234" t="s">
        <v>44863</v>
      </c>
      <c r="T2234" t="s">
        <v>46580</v>
      </c>
      <c r="U2234" t="s">
        <v>48834</v>
      </c>
      <c r="W2234" t="s">
        <v>41604</v>
      </c>
      <c r="X2234" t="s">
        <v>44763</v>
      </c>
    </row>
    <row r="2235" spans="1:24">
      <c r="A2235">
        <f>HYPERLINK("https://www.philgeps.gov.ph/GEPSNONPILOT/Tender/SplashBidNoticeAbstractUI.aspx?menuIndex=3&amp;refID=7151732&amp;Result=3","7151732")</f>
        <v>0</v>
      </c>
      <c r="B2235" t="s">
        <v>1035</v>
      </c>
      <c r="C2235" t="s">
        <v>5902</v>
      </c>
      <c r="D2235" t="s">
        <v>18006</v>
      </c>
      <c r="E2235" t="s">
        <v>20096</v>
      </c>
      <c r="F2235" t="s">
        <v>30900</v>
      </c>
      <c r="G2235" t="s">
        <v>30908</v>
      </c>
      <c r="H2235" t="s">
        <v>30916</v>
      </c>
      <c r="I2235" t="s">
        <v>4050</v>
      </c>
      <c r="J2235" t="s">
        <v>32680</v>
      </c>
      <c r="K2235" t="s">
        <v>40288</v>
      </c>
      <c r="M2235" t="s">
        <v>41626</v>
      </c>
      <c r="N2235" t="s">
        <v>44759</v>
      </c>
      <c r="O2235" t="s">
        <v>44760</v>
      </c>
      <c r="P2235">
        <v>0</v>
      </c>
      <c r="Q2235">
        <v>2</v>
      </c>
      <c r="R2235" t="s">
        <v>44762</v>
      </c>
      <c r="S2235" t="s">
        <v>44863</v>
      </c>
      <c r="T2235" t="s">
        <v>46398</v>
      </c>
      <c r="U2235" t="s">
        <v>48882</v>
      </c>
      <c r="W2235" t="s">
        <v>41626</v>
      </c>
      <c r="X2235" t="s">
        <v>44763</v>
      </c>
    </row>
    <row r="2236" spans="1:24">
      <c r="A2236">
        <f>HYPERLINK("https://www.philgeps.gov.ph/GEPSNONPILOT/Tender/SplashBidNoticeAbstractUI.aspx?menuIndex=3&amp;refID=7151737&amp;Result=3","7151737")</f>
        <v>0</v>
      </c>
      <c r="B2236" t="s">
        <v>1015</v>
      </c>
      <c r="C2236" t="s">
        <v>5903</v>
      </c>
      <c r="D2236" t="s">
        <v>18034</v>
      </c>
      <c r="E2236" t="s">
        <v>18740</v>
      </c>
      <c r="F2236" t="s">
        <v>30900</v>
      </c>
      <c r="G2236" t="s">
        <v>30907</v>
      </c>
      <c r="H2236" t="s">
        <v>30916</v>
      </c>
      <c r="I2236" t="s">
        <v>4545</v>
      </c>
      <c r="J2236" t="s">
        <v>32681</v>
      </c>
      <c r="K2236" t="s">
        <v>40286</v>
      </c>
      <c r="M2236" t="s">
        <v>41604</v>
      </c>
      <c r="N2236" t="s">
        <v>44759</v>
      </c>
      <c r="O2236" t="s">
        <v>44760</v>
      </c>
      <c r="P2236">
        <v>0</v>
      </c>
      <c r="Q2236">
        <v>1</v>
      </c>
      <c r="R2236" t="s">
        <v>44762</v>
      </c>
      <c r="S2236" t="s">
        <v>44863</v>
      </c>
      <c r="T2236" t="s">
        <v>46580</v>
      </c>
      <c r="U2236" t="s">
        <v>48834</v>
      </c>
      <c r="W2236" t="s">
        <v>41604</v>
      </c>
      <c r="X2236" t="s">
        <v>44763</v>
      </c>
    </row>
    <row r="2237" spans="1:24">
      <c r="A2237">
        <f>HYPERLINK("https://www.philgeps.gov.ph/GEPSNONPILOT/Tender/SplashBidNoticeAbstractUI.aspx?menuIndex=3&amp;refID=7151743&amp;Result=3","7151743")</f>
        <v>0</v>
      </c>
      <c r="B2237" t="s">
        <v>1034</v>
      </c>
      <c r="C2237" t="s">
        <v>5904</v>
      </c>
      <c r="D2237" t="s">
        <v>17979</v>
      </c>
      <c r="E2237" t="s">
        <v>20097</v>
      </c>
      <c r="F2237" t="s">
        <v>30900</v>
      </c>
      <c r="G2237" t="s">
        <v>30908</v>
      </c>
      <c r="H2237" t="s">
        <v>30917</v>
      </c>
      <c r="I2237" t="s">
        <v>30938</v>
      </c>
      <c r="J2237" t="s">
        <v>32682</v>
      </c>
      <c r="K2237" t="s">
        <v>40287</v>
      </c>
      <c r="M2237" t="s">
        <v>41625</v>
      </c>
      <c r="N2237" t="s">
        <v>44759</v>
      </c>
      <c r="O2237" t="s">
        <v>44760</v>
      </c>
      <c r="P2237">
        <v>0</v>
      </c>
      <c r="Q2237">
        <v>2</v>
      </c>
      <c r="R2237" t="s">
        <v>44762</v>
      </c>
      <c r="S2237" t="s">
        <v>44863</v>
      </c>
      <c r="T2237" t="s">
        <v>46390</v>
      </c>
      <c r="U2237" t="s">
        <v>47002</v>
      </c>
      <c r="W2237" t="s">
        <v>41625</v>
      </c>
      <c r="X2237" t="s">
        <v>44763</v>
      </c>
    </row>
    <row r="2238" spans="1:24">
      <c r="A2238">
        <f>HYPERLINK("https://www.philgeps.gov.ph/GEPSNONPILOT/Tender/SplashBidNoticeAbstractUI.aspx?menuIndex=3&amp;refID=7151751&amp;Result=3","7151751")</f>
        <v>0</v>
      </c>
      <c r="B2238" t="s">
        <v>1030</v>
      </c>
      <c r="C2238" t="s">
        <v>5905</v>
      </c>
      <c r="D2238" t="s">
        <v>17996</v>
      </c>
      <c r="E2238" t="s">
        <v>20098</v>
      </c>
      <c r="F2238" t="s">
        <v>30900</v>
      </c>
      <c r="G2238" t="s">
        <v>30907</v>
      </c>
      <c r="H2238" t="s">
        <v>30916</v>
      </c>
      <c r="I2238" t="s">
        <v>30923</v>
      </c>
      <c r="J2238" t="s">
        <v>32683</v>
      </c>
      <c r="K2238" t="s">
        <v>40289</v>
      </c>
      <c r="M2238" t="s">
        <v>41621</v>
      </c>
      <c r="N2238" t="s">
        <v>44759</v>
      </c>
      <c r="O2238" t="s">
        <v>44760</v>
      </c>
      <c r="P2238">
        <v>0</v>
      </c>
      <c r="Q2238">
        <v>2</v>
      </c>
      <c r="R2238" t="s">
        <v>44762</v>
      </c>
      <c r="S2238" t="s">
        <v>44863</v>
      </c>
      <c r="T2238" t="s">
        <v>46422</v>
      </c>
      <c r="U2238" t="s">
        <v>48883</v>
      </c>
      <c r="W2238" t="s">
        <v>41621</v>
      </c>
      <c r="X2238" t="s">
        <v>44763</v>
      </c>
    </row>
    <row r="2239" spans="1:24">
      <c r="A2239">
        <f>HYPERLINK("https://www.philgeps.gov.ph/GEPSNONPILOT/Tender/SplashBidNoticeAbstractUI.aspx?menuIndex=3&amp;refID=7151757&amp;Result=3","7151757")</f>
        <v>0</v>
      </c>
      <c r="B2239" t="s">
        <v>1026</v>
      </c>
      <c r="C2239" t="s">
        <v>5906</v>
      </c>
      <c r="D2239" t="s">
        <v>17952</v>
      </c>
      <c r="E2239" t="s">
        <v>20099</v>
      </c>
      <c r="F2239" t="s">
        <v>30900</v>
      </c>
      <c r="G2239" t="s">
        <v>30907</v>
      </c>
      <c r="H2239" t="s">
        <v>30916</v>
      </c>
      <c r="I2239" t="s">
        <v>30924</v>
      </c>
      <c r="J2239" t="s">
        <v>32684</v>
      </c>
      <c r="K2239" t="s">
        <v>40284</v>
      </c>
      <c r="M2239" t="s">
        <v>41616</v>
      </c>
      <c r="N2239" t="s">
        <v>44759</v>
      </c>
      <c r="O2239" t="s">
        <v>44760</v>
      </c>
      <c r="P2239">
        <v>0</v>
      </c>
      <c r="Q2239">
        <v>4</v>
      </c>
      <c r="R2239" t="s">
        <v>44762</v>
      </c>
      <c r="S2239" t="s">
        <v>44863</v>
      </c>
      <c r="T2239" t="s">
        <v>46425</v>
      </c>
      <c r="U2239" t="s">
        <v>48884</v>
      </c>
      <c r="W2239" t="s">
        <v>41616</v>
      </c>
      <c r="X2239" t="s">
        <v>44763</v>
      </c>
    </row>
    <row r="2240" spans="1:24">
      <c r="A2240">
        <f>HYPERLINK("https://www.philgeps.gov.ph/GEPSNONPILOT/Tender/SplashBidNoticeAbstractUI.aspx?menuIndex=3&amp;refID=7151772&amp;Result=3","7151772")</f>
        <v>0</v>
      </c>
      <c r="B2240" t="s">
        <v>1036</v>
      </c>
      <c r="C2240" t="s">
        <v>5907</v>
      </c>
      <c r="D2240" t="s">
        <v>17952</v>
      </c>
      <c r="E2240" t="s">
        <v>20100</v>
      </c>
      <c r="F2240" t="s">
        <v>30900</v>
      </c>
      <c r="G2240" t="s">
        <v>30906</v>
      </c>
      <c r="H2240" t="s">
        <v>30915</v>
      </c>
      <c r="I2240" t="s">
        <v>30949</v>
      </c>
      <c r="J2240" t="s">
        <v>32685</v>
      </c>
      <c r="K2240" t="s">
        <v>40291</v>
      </c>
      <c r="M2240" t="s">
        <v>41628</v>
      </c>
      <c r="N2240" t="s">
        <v>44759</v>
      </c>
      <c r="O2240" t="s">
        <v>44760</v>
      </c>
      <c r="P2240">
        <v>0</v>
      </c>
      <c r="Q2240">
        <v>0</v>
      </c>
      <c r="R2240" t="s">
        <v>44762</v>
      </c>
      <c r="S2240" t="s">
        <v>44863</v>
      </c>
      <c r="T2240" t="s">
        <v>46414</v>
      </c>
      <c r="U2240" t="s">
        <v>48885</v>
      </c>
      <c r="W2240" t="s">
        <v>41628</v>
      </c>
      <c r="X2240" t="s">
        <v>44763</v>
      </c>
    </row>
    <row r="2241" spans="1:24">
      <c r="A2241">
        <f>HYPERLINK("https://www.philgeps.gov.ph/GEPSNONPILOT/Tender/SplashBidNoticeAbstractUI.aspx?menuIndex=3&amp;refID=7151771&amp;Result=3","7151771")</f>
        <v>0</v>
      </c>
      <c r="B2241" t="s">
        <v>1037</v>
      </c>
      <c r="C2241" t="s">
        <v>5908</v>
      </c>
      <c r="D2241" t="s">
        <v>17981</v>
      </c>
      <c r="E2241" t="s">
        <v>5908</v>
      </c>
      <c r="F2241" t="s">
        <v>30900</v>
      </c>
      <c r="G2241" t="s">
        <v>30909</v>
      </c>
      <c r="H2241" t="s">
        <v>30916</v>
      </c>
      <c r="I2241" t="s">
        <v>4454</v>
      </c>
      <c r="J2241" t="s">
        <v>32686</v>
      </c>
      <c r="K2241" t="s">
        <v>40288</v>
      </c>
      <c r="M2241" t="s">
        <v>41629</v>
      </c>
      <c r="N2241" t="s">
        <v>44759</v>
      </c>
      <c r="O2241" t="s">
        <v>44760</v>
      </c>
      <c r="P2241">
        <v>0</v>
      </c>
      <c r="Q2241">
        <v>1</v>
      </c>
      <c r="R2241" t="s">
        <v>44762</v>
      </c>
      <c r="S2241" t="s">
        <v>44863</v>
      </c>
      <c r="T2241" t="s">
        <v>46363</v>
      </c>
      <c r="U2241" t="s">
        <v>48875</v>
      </c>
      <c r="W2241" t="s">
        <v>41629</v>
      </c>
      <c r="X2241" t="s">
        <v>44763</v>
      </c>
    </row>
    <row r="2242" spans="1:24">
      <c r="A2242">
        <f>HYPERLINK("https://www.philgeps.gov.ph/GEPSNONPILOT/Tender/SplashBidNoticeAbstractUI.aspx?menuIndex=3&amp;refID=7151770&amp;Result=3","7151770")</f>
        <v>0</v>
      </c>
      <c r="B2242" t="s">
        <v>402</v>
      </c>
      <c r="C2242" t="s">
        <v>5909</v>
      </c>
      <c r="D2242" t="s">
        <v>17982</v>
      </c>
      <c r="E2242" t="s">
        <v>20101</v>
      </c>
      <c r="F2242" t="s">
        <v>30900</v>
      </c>
      <c r="G2242" t="s">
        <v>30908</v>
      </c>
      <c r="H2242" t="s">
        <v>30916</v>
      </c>
      <c r="I2242" t="s">
        <v>30924</v>
      </c>
      <c r="J2242" t="s">
        <v>32687</v>
      </c>
      <c r="K2242" t="s">
        <v>40289</v>
      </c>
      <c r="M2242" t="s">
        <v>40957</v>
      </c>
      <c r="N2242" t="s">
        <v>44759</v>
      </c>
      <c r="O2242" t="s">
        <v>44760</v>
      </c>
      <c r="P2242">
        <v>0</v>
      </c>
      <c r="Q2242">
        <v>1</v>
      </c>
      <c r="R2242" t="s">
        <v>44762</v>
      </c>
      <c r="S2242" t="s">
        <v>44863</v>
      </c>
      <c r="T2242" t="s">
        <v>46383</v>
      </c>
      <c r="U2242" t="s">
        <v>48886</v>
      </c>
      <c r="W2242" t="s">
        <v>40957</v>
      </c>
      <c r="X2242" t="s">
        <v>44763</v>
      </c>
    </row>
    <row r="2243" spans="1:24">
      <c r="A2243">
        <f>HYPERLINK("https://www.philgeps.gov.ph/GEPSNONPILOT/Tender/SplashBidNoticeAbstractUI.aspx?menuIndex=3&amp;refID=7151750&amp;Result=3","7151750")</f>
        <v>0</v>
      </c>
      <c r="B2243" t="s">
        <v>741</v>
      </c>
      <c r="C2243" t="s">
        <v>5910</v>
      </c>
      <c r="D2243" t="s">
        <v>17994</v>
      </c>
      <c r="E2243" t="s">
        <v>20102</v>
      </c>
      <c r="F2243" t="s">
        <v>30900</v>
      </c>
      <c r="G2243" t="s">
        <v>30908</v>
      </c>
      <c r="H2243" t="s">
        <v>30916</v>
      </c>
      <c r="I2243" t="s">
        <v>30927</v>
      </c>
      <c r="J2243" t="s">
        <v>32688</v>
      </c>
      <c r="K2243" t="s">
        <v>40283</v>
      </c>
      <c r="M2243" t="s">
        <v>41305</v>
      </c>
      <c r="N2243" t="s">
        <v>44759</v>
      </c>
      <c r="O2243" t="s">
        <v>44760</v>
      </c>
      <c r="P2243">
        <v>0</v>
      </c>
      <c r="Q2243">
        <v>0</v>
      </c>
      <c r="R2243" t="s">
        <v>44762</v>
      </c>
      <c r="S2243" t="s">
        <v>44863</v>
      </c>
      <c r="T2243" t="s">
        <v>46440</v>
      </c>
      <c r="U2243" t="s">
        <v>48887</v>
      </c>
      <c r="V2243" t="s">
        <v>59200</v>
      </c>
      <c r="W2243" t="s">
        <v>41305</v>
      </c>
      <c r="X2243" t="s">
        <v>44763</v>
      </c>
    </row>
    <row r="2244" spans="1:24">
      <c r="A2244">
        <f>HYPERLINK("https://www.philgeps.gov.ph/GEPSNONPILOT/Tender/SplashBidNoticeAbstractUI.aspx?menuIndex=3&amp;refID=7151769&amp;Result=3","7151769")</f>
        <v>0</v>
      </c>
      <c r="B2244" t="s">
        <v>1029</v>
      </c>
      <c r="C2244" t="s">
        <v>5911</v>
      </c>
      <c r="D2244" t="s">
        <v>17973</v>
      </c>
      <c r="E2244" t="s">
        <v>19424</v>
      </c>
      <c r="F2244" t="s">
        <v>30900</v>
      </c>
      <c r="G2244" t="s">
        <v>30907</v>
      </c>
      <c r="H2244" t="s">
        <v>30915</v>
      </c>
      <c r="I2244" t="s">
        <v>30919</v>
      </c>
      <c r="J2244" t="s">
        <v>32689</v>
      </c>
      <c r="K2244" t="s">
        <v>40280</v>
      </c>
      <c r="M2244" t="s">
        <v>41620</v>
      </c>
      <c r="N2244" t="s">
        <v>44759</v>
      </c>
      <c r="O2244" t="s">
        <v>44760</v>
      </c>
      <c r="P2244">
        <v>0</v>
      </c>
      <c r="Q2244">
        <v>0</v>
      </c>
      <c r="R2244" t="s">
        <v>44762</v>
      </c>
      <c r="S2244" t="s">
        <v>44863</v>
      </c>
      <c r="T2244" t="s">
        <v>46467</v>
      </c>
      <c r="U2244" t="s">
        <v>48888</v>
      </c>
      <c r="W2244" t="s">
        <v>41620</v>
      </c>
      <c r="X2244" t="s">
        <v>44763</v>
      </c>
    </row>
    <row r="2245" spans="1:24">
      <c r="A2245">
        <f>HYPERLINK("https://www.philgeps.gov.ph/GEPSNONPILOT/Tender/SplashBidNoticeAbstractUI.aspx?menuIndex=3&amp;refID=7151768&amp;Result=3","7151768")</f>
        <v>0</v>
      </c>
      <c r="B2245" t="s">
        <v>1041</v>
      </c>
      <c r="C2245" t="s">
        <v>5912</v>
      </c>
      <c r="D2245" t="s">
        <v>17959</v>
      </c>
      <c r="E2245" t="s">
        <v>18623</v>
      </c>
      <c r="F2245" t="s">
        <v>30900</v>
      </c>
      <c r="G2245" t="s">
        <v>30908</v>
      </c>
      <c r="H2245" t="s">
        <v>30916</v>
      </c>
      <c r="I2245" t="s">
        <v>30934</v>
      </c>
      <c r="J2245" t="s">
        <v>31830</v>
      </c>
      <c r="K2245" t="s">
        <v>40286</v>
      </c>
      <c r="M2245" t="s">
        <v>41633</v>
      </c>
      <c r="N2245" t="s">
        <v>44759</v>
      </c>
      <c r="O2245" t="s">
        <v>44760</v>
      </c>
      <c r="P2245">
        <v>0</v>
      </c>
      <c r="Q2245">
        <v>1</v>
      </c>
      <c r="R2245" t="s">
        <v>44762</v>
      </c>
      <c r="S2245" t="s">
        <v>44863</v>
      </c>
      <c r="T2245" t="s">
        <v>46383</v>
      </c>
      <c r="U2245" t="s">
        <v>47244</v>
      </c>
      <c r="W2245" t="s">
        <v>41633</v>
      </c>
      <c r="X2245" t="s">
        <v>44763</v>
      </c>
    </row>
    <row r="2246" spans="1:24">
      <c r="A2246">
        <f>HYPERLINK("https://www.philgeps.gov.ph/GEPSNONPILOT/Tender/SplashBidNoticeAbstractUI.aspx?menuIndex=3&amp;refID=7151767&amp;Result=3","7151767")</f>
        <v>0</v>
      </c>
      <c r="B2246" t="s">
        <v>1018</v>
      </c>
      <c r="C2246" t="s">
        <v>5913</v>
      </c>
      <c r="D2246" t="s">
        <v>17968</v>
      </c>
      <c r="E2246" t="s">
        <v>18852</v>
      </c>
      <c r="F2246" t="s">
        <v>30900</v>
      </c>
      <c r="G2246" t="s">
        <v>30907</v>
      </c>
      <c r="H2246" t="s">
        <v>30916</v>
      </c>
      <c r="I2246" t="s">
        <v>4142</v>
      </c>
      <c r="J2246" t="s">
        <v>32690</v>
      </c>
      <c r="K2246" t="s">
        <v>40294</v>
      </c>
      <c r="M2246" t="s">
        <v>41607</v>
      </c>
      <c r="N2246" t="s">
        <v>44759</v>
      </c>
      <c r="O2246" t="s">
        <v>44760</v>
      </c>
      <c r="P2246">
        <v>0</v>
      </c>
      <c r="Q2246">
        <v>0</v>
      </c>
      <c r="R2246" t="s">
        <v>44762</v>
      </c>
      <c r="S2246" t="s">
        <v>44863</v>
      </c>
      <c r="T2246" t="s">
        <v>46389</v>
      </c>
      <c r="U2246" t="s">
        <v>48840</v>
      </c>
      <c r="W2246" t="s">
        <v>41607</v>
      </c>
      <c r="X2246" t="s">
        <v>44763</v>
      </c>
    </row>
    <row r="2247" spans="1:24">
      <c r="A2247">
        <f>HYPERLINK("https://www.philgeps.gov.ph/GEPSNONPILOT/Tender/SplashBidNoticeAbstractUI.aspx?menuIndex=3&amp;refID=7151766&amp;Result=3","7151766")</f>
        <v>0</v>
      </c>
      <c r="B2247" t="s">
        <v>1036</v>
      </c>
      <c r="C2247" t="s">
        <v>5914</v>
      </c>
      <c r="D2247" t="s">
        <v>17952</v>
      </c>
      <c r="E2247" t="s">
        <v>20103</v>
      </c>
      <c r="F2247" t="s">
        <v>30900</v>
      </c>
      <c r="G2247" t="s">
        <v>30906</v>
      </c>
      <c r="H2247" t="s">
        <v>30916</v>
      </c>
      <c r="I2247" t="s">
        <v>4545</v>
      </c>
      <c r="J2247" t="s">
        <v>32691</v>
      </c>
      <c r="K2247" t="s">
        <v>40283</v>
      </c>
      <c r="M2247" t="s">
        <v>41628</v>
      </c>
      <c r="N2247" t="s">
        <v>44759</v>
      </c>
      <c r="O2247" t="s">
        <v>44760</v>
      </c>
      <c r="P2247">
        <v>0</v>
      </c>
      <c r="Q2247">
        <v>0</v>
      </c>
      <c r="R2247" t="s">
        <v>44762</v>
      </c>
      <c r="S2247" t="s">
        <v>44863</v>
      </c>
      <c r="T2247" t="s">
        <v>46414</v>
      </c>
      <c r="U2247" t="s">
        <v>48889</v>
      </c>
      <c r="W2247" t="s">
        <v>41628</v>
      </c>
      <c r="X2247" t="s">
        <v>44763</v>
      </c>
    </row>
    <row r="2248" spans="1:24">
      <c r="A2248">
        <f>HYPERLINK("https://www.philgeps.gov.ph/GEPSNONPILOT/Tender/SplashBidNoticeAbstractUI.aspx?menuIndex=3&amp;refID=7151764&amp;Result=3","7151764")</f>
        <v>0</v>
      </c>
      <c r="B2248" t="s">
        <v>1042</v>
      </c>
      <c r="C2248" t="s">
        <v>5915</v>
      </c>
      <c r="D2248" t="s">
        <v>17984</v>
      </c>
      <c r="E2248" t="s">
        <v>20104</v>
      </c>
      <c r="F2248" t="s">
        <v>30900</v>
      </c>
      <c r="G2248" t="s">
        <v>30907</v>
      </c>
      <c r="H2248" t="s">
        <v>30915</v>
      </c>
      <c r="I2248" t="s">
        <v>30972</v>
      </c>
      <c r="J2248" t="s">
        <v>32692</v>
      </c>
      <c r="K2248" t="s">
        <v>40342</v>
      </c>
      <c r="M2248" t="s">
        <v>41634</v>
      </c>
      <c r="N2248" t="s">
        <v>44759</v>
      </c>
      <c r="O2248" t="s">
        <v>44760</v>
      </c>
      <c r="P2248">
        <v>0</v>
      </c>
      <c r="Q2248">
        <v>1</v>
      </c>
      <c r="R2248" t="s">
        <v>44762</v>
      </c>
      <c r="S2248" t="s">
        <v>44863</v>
      </c>
      <c r="T2248" t="s">
        <v>46584</v>
      </c>
      <c r="U2248" t="s">
        <v>48890</v>
      </c>
      <c r="W2248" t="s">
        <v>41634</v>
      </c>
      <c r="X2248" t="s">
        <v>44763</v>
      </c>
    </row>
    <row r="2249" spans="1:24">
      <c r="A2249">
        <f>HYPERLINK("https://www.philgeps.gov.ph/GEPSNONPILOT/Tender/SplashBidNoticeAbstractUI.aspx?menuIndex=3&amp;refID=7151777&amp;Result=3","7151777")</f>
        <v>0</v>
      </c>
      <c r="B2249" t="s">
        <v>1043</v>
      </c>
      <c r="C2249" t="s">
        <v>5916</v>
      </c>
      <c r="D2249" t="s">
        <v>18000</v>
      </c>
      <c r="E2249" t="s">
        <v>20105</v>
      </c>
      <c r="F2249" t="s">
        <v>30900</v>
      </c>
      <c r="G2249" t="s">
        <v>30907</v>
      </c>
      <c r="H2249" t="s">
        <v>30915</v>
      </c>
      <c r="I2249" t="s">
        <v>30919</v>
      </c>
      <c r="J2249" t="s">
        <v>32693</v>
      </c>
      <c r="K2249" t="s">
        <v>40289</v>
      </c>
      <c r="M2249" t="s">
        <v>41635</v>
      </c>
      <c r="N2249" t="s">
        <v>44759</v>
      </c>
      <c r="O2249" t="s">
        <v>44760</v>
      </c>
      <c r="P2249">
        <v>0</v>
      </c>
      <c r="Q2249">
        <v>0</v>
      </c>
      <c r="R2249" t="s">
        <v>44762</v>
      </c>
      <c r="S2249" t="s">
        <v>44863</v>
      </c>
      <c r="T2249" t="s">
        <v>46425</v>
      </c>
      <c r="U2249" t="s">
        <v>48891</v>
      </c>
      <c r="W2249" t="s">
        <v>41635</v>
      </c>
      <c r="X2249" t="s">
        <v>44763</v>
      </c>
    </row>
    <row r="2250" spans="1:24">
      <c r="A2250">
        <f>HYPERLINK("https://www.philgeps.gov.ph/GEPSNONPILOT/Tender/SplashBidNoticeAbstractUI.aspx?menuIndex=3&amp;refID=7151775&amp;Result=3","7151775")</f>
        <v>0</v>
      </c>
      <c r="B2250" t="s">
        <v>932</v>
      </c>
      <c r="C2250" t="s">
        <v>5917</v>
      </c>
      <c r="D2250" t="s">
        <v>17959</v>
      </c>
      <c r="E2250" t="s">
        <v>20106</v>
      </c>
      <c r="F2250" t="s">
        <v>30900</v>
      </c>
      <c r="G2250" t="s">
        <v>30907</v>
      </c>
      <c r="H2250" t="s">
        <v>30916</v>
      </c>
      <c r="I2250" t="s">
        <v>4142</v>
      </c>
      <c r="J2250" t="s">
        <v>32694</v>
      </c>
      <c r="K2250" t="s">
        <v>40283</v>
      </c>
      <c r="M2250" t="s">
        <v>41636</v>
      </c>
      <c r="N2250" t="s">
        <v>44759</v>
      </c>
      <c r="O2250" t="s">
        <v>44760</v>
      </c>
      <c r="P2250">
        <v>0</v>
      </c>
      <c r="Q2250">
        <v>2</v>
      </c>
      <c r="R2250" t="s">
        <v>44762</v>
      </c>
      <c r="S2250" t="s">
        <v>44863</v>
      </c>
      <c r="T2250" t="s">
        <v>46350</v>
      </c>
      <c r="U2250" t="s">
        <v>48263</v>
      </c>
      <c r="W2250" t="s">
        <v>41636</v>
      </c>
      <c r="X2250" t="s">
        <v>44763</v>
      </c>
    </row>
    <row r="2251" spans="1:24">
      <c r="A2251">
        <f>HYPERLINK("https://www.philgeps.gov.ph/GEPSNONPILOT/Tender/SplashBidNoticeAbstractUI.aspx?menuIndex=3&amp;refID=7151744&amp;Result=3","7151744")</f>
        <v>0</v>
      </c>
      <c r="B2251" t="s">
        <v>1044</v>
      </c>
      <c r="C2251" t="s">
        <v>5918</v>
      </c>
      <c r="E2251" t="s">
        <v>18282</v>
      </c>
      <c r="F2251" t="s">
        <v>30900</v>
      </c>
      <c r="G2251" t="s">
        <v>30909</v>
      </c>
      <c r="H2251" t="s">
        <v>30916</v>
      </c>
      <c r="I2251" t="s">
        <v>8365</v>
      </c>
      <c r="J2251" t="s">
        <v>32695</v>
      </c>
      <c r="K2251" t="s">
        <v>40289</v>
      </c>
      <c r="M2251" t="s">
        <v>41637</v>
      </c>
      <c r="N2251" t="s">
        <v>44759</v>
      </c>
      <c r="O2251" t="s">
        <v>44760</v>
      </c>
      <c r="P2251">
        <v>0</v>
      </c>
      <c r="Q2251">
        <v>0</v>
      </c>
      <c r="R2251" t="s">
        <v>44762</v>
      </c>
      <c r="S2251" t="s">
        <v>44863</v>
      </c>
      <c r="T2251" t="s">
        <v>46585</v>
      </c>
      <c r="U2251" t="s">
        <v>48892</v>
      </c>
      <c r="W2251" t="s">
        <v>41637</v>
      </c>
      <c r="X2251" t="s">
        <v>44763</v>
      </c>
    </row>
    <row r="2252" spans="1:24">
      <c r="A2252">
        <f>HYPERLINK("https://www.philgeps.gov.ph/GEPSNONPILOT/Tender/SplashBidNoticeAbstractUI.aspx?menuIndex=3&amp;refID=7151763&amp;Result=3","7151763")</f>
        <v>0</v>
      </c>
      <c r="B2252" t="s">
        <v>1030</v>
      </c>
      <c r="C2252" t="s">
        <v>5919</v>
      </c>
      <c r="D2252" t="s">
        <v>17996</v>
      </c>
      <c r="E2252" t="s">
        <v>20107</v>
      </c>
      <c r="F2252" t="s">
        <v>30900</v>
      </c>
      <c r="G2252" t="s">
        <v>30907</v>
      </c>
      <c r="H2252" t="s">
        <v>30916</v>
      </c>
      <c r="I2252" t="s">
        <v>30923</v>
      </c>
      <c r="J2252" t="s">
        <v>31073</v>
      </c>
      <c r="K2252" t="s">
        <v>40289</v>
      </c>
      <c r="M2252" t="s">
        <v>41621</v>
      </c>
      <c r="N2252" t="s">
        <v>44759</v>
      </c>
      <c r="O2252" t="s">
        <v>44760</v>
      </c>
      <c r="P2252">
        <v>0</v>
      </c>
      <c r="Q2252">
        <v>9</v>
      </c>
      <c r="R2252" t="s">
        <v>44762</v>
      </c>
      <c r="S2252" t="s">
        <v>44863</v>
      </c>
      <c r="T2252" t="s">
        <v>46422</v>
      </c>
      <c r="U2252" t="s">
        <v>48893</v>
      </c>
      <c r="W2252" t="s">
        <v>41621</v>
      </c>
      <c r="X2252" t="s">
        <v>44763</v>
      </c>
    </row>
    <row r="2253" spans="1:24">
      <c r="A2253">
        <f>HYPERLINK("https://www.philgeps.gov.ph/GEPSNONPILOT/Tender/SplashBidNoticeAbstractUI.aspx?menuIndex=3&amp;refID=7151761&amp;Result=3","7151761")</f>
        <v>0</v>
      </c>
      <c r="B2253" t="s">
        <v>1037</v>
      </c>
      <c r="C2253" t="s">
        <v>5920</v>
      </c>
      <c r="D2253" t="s">
        <v>17981</v>
      </c>
      <c r="E2253" t="s">
        <v>5920</v>
      </c>
      <c r="F2253" t="s">
        <v>30900</v>
      </c>
      <c r="G2253" t="s">
        <v>30909</v>
      </c>
      <c r="H2253" t="s">
        <v>30916</v>
      </c>
      <c r="I2253" t="s">
        <v>6396</v>
      </c>
      <c r="J2253" t="s">
        <v>31728</v>
      </c>
      <c r="K2253" t="s">
        <v>40288</v>
      </c>
      <c r="M2253" t="s">
        <v>41629</v>
      </c>
      <c r="N2253" t="s">
        <v>44759</v>
      </c>
      <c r="O2253" t="s">
        <v>44760</v>
      </c>
      <c r="P2253">
        <v>0</v>
      </c>
      <c r="Q2253">
        <v>1</v>
      </c>
      <c r="R2253" t="s">
        <v>44762</v>
      </c>
      <c r="S2253" t="s">
        <v>44863</v>
      </c>
      <c r="T2253" t="s">
        <v>46363</v>
      </c>
      <c r="U2253" t="s">
        <v>48875</v>
      </c>
      <c r="W2253" t="s">
        <v>41629</v>
      </c>
      <c r="X2253" t="s">
        <v>44763</v>
      </c>
    </row>
    <row r="2254" spans="1:24">
      <c r="A2254">
        <f>HYPERLINK("https://www.philgeps.gov.ph/GEPSNONPILOT/Tender/SplashBidNoticeAbstractUI.aspx?menuIndex=3&amp;refID=7151773&amp;Result=3","7151773")</f>
        <v>0</v>
      </c>
      <c r="B2254" t="s">
        <v>402</v>
      </c>
      <c r="C2254" t="s">
        <v>5921</v>
      </c>
      <c r="D2254" t="s">
        <v>17982</v>
      </c>
      <c r="E2254" t="s">
        <v>20108</v>
      </c>
      <c r="F2254" t="s">
        <v>30900</v>
      </c>
      <c r="G2254" t="s">
        <v>30908</v>
      </c>
      <c r="H2254" t="s">
        <v>30916</v>
      </c>
      <c r="I2254" t="s">
        <v>6408</v>
      </c>
      <c r="J2254" t="s">
        <v>32696</v>
      </c>
      <c r="K2254" t="s">
        <v>40289</v>
      </c>
      <c r="M2254" t="s">
        <v>40957</v>
      </c>
      <c r="N2254" t="s">
        <v>44759</v>
      </c>
      <c r="O2254" t="s">
        <v>44760</v>
      </c>
      <c r="P2254">
        <v>0</v>
      </c>
      <c r="Q2254">
        <v>0</v>
      </c>
      <c r="R2254" t="s">
        <v>44762</v>
      </c>
      <c r="S2254" t="s">
        <v>44863</v>
      </c>
      <c r="T2254" t="s">
        <v>46383</v>
      </c>
      <c r="U2254" t="s">
        <v>48894</v>
      </c>
      <c r="W2254" t="s">
        <v>40957</v>
      </c>
      <c r="X2254" t="s">
        <v>44763</v>
      </c>
    </row>
    <row r="2255" spans="1:24">
      <c r="A2255">
        <f>HYPERLINK("https://www.philgeps.gov.ph/GEPSNONPILOT/Tender/SplashBidNoticeAbstractUI.aspx?menuIndex=3&amp;refID=7151760&amp;Result=3","7151760")</f>
        <v>0</v>
      </c>
      <c r="B2255" t="s">
        <v>402</v>
      </c>
      <c r="C2255" t="s">
        <v>5922</v>
      </c>
      <c r="D2255" t="s">
        <v>17982</v>
      </c>
      <c r="E2255" t="s">
        <v>20109</v>
      </c>
      <c r="F2255" t="s">
        <v>30900</v>
      </c>
      <c r="G2255" t="s">
        <v>30908</v>
      </c>
      <c r="H2255" t="s">
        <v>30916</v>
      </c>
      <c r="I2255" t="s">
        <v>4545</v>
      </c>
      <c r="J2255" t="s">
        <v>32697</v>
      </c>
      <c r="K2255" t="s">
        <v>40289</v>
      </c>
      <c r="M2255" t="s">
        <v>40957</v>
      </c>
      <c r="N2255" t="s">
        <v>44759</v>
      </c>
      <c r="O2255" t="s">
        <v>44760</v>
      </c>
      <c r="P2255">
        <v>0</v>
      </c>
      <c r="Q2255">
        <v>1</v>
      </c>
      <c r="R2255" t="s">
        <v>44762</v>
      </c>
      <c r="S2255" t="s">
        <v>44863</v>
      </c>
      <c r="T2255" t="s">
        <v>46414</v>
      </c>
      <c r="U2255" t="s">
        <v>48895</v>
      </c>
      <c r="W2255" t="s">
        <v>40957</v>
      </c>
      <c r="X2255" t="s">
        <v>44763</v>
      </c>
    </row>
    <row r="2256" spans="1:24">
      <c r="A2256">
        <f>HYPERLINK("https://www.philgeps.gov.ph/GEPSNONPILOT/Tender/SplashBidNoticeAbstractUI.aspx?menuIndex=3&amp;refID=7151779&amp;Result=3","7151779")</f>
        <v>0</v>
      </c>
      <c r="B2256" t="s">
        <v>402</v>
      </c>
      <c r="C2256" t="s">
        <v>5923</v>
      </c>
      <c r="D2256" t="s">
        <v>17982</v>
      </c>
      <c r="E2256" t="s">
        <v>20110</v>
      </c>
      <c r="F2256" t="s">
        <v>30900</v>
      </c>
      <c r="G2256" t="s">
        <v>30908</v>
      </c>
      <c r="H2256" t="s">
        <v>30916</v>
      </c>
      <c r="I2256" t="s">
        <v>6408</v>
      </c>
      <c r="J2256" t="s">
        <v>32698</v>
      </c>
      <c r="K2256" t="s">
        <v>40289</v>
      </c>
      <c r="M2256" t="s">
        <v>40957</v>
      </c>
      <c r="N2256" t="s">
        <v>44759</v>
      </c>
      <c r="O2256" t="s">
        <v>44760</v>
      </c>
      <c r="P2256">
        <v>0</v>
      </c>
      <c r="Q2256">
        <v>0</v>
      </c>
      <c r="R2256" t="s">
        <v>44762</v>
      </c>
      <c r="S2256" t="s">
        <v>44863</v>
      </c>
      <c r="T2256" t="s">
        <v>46383</v>
      </c>
      <c r="U2256" t="s">
        <v>48896</v>
      </c>
      <c r="W2256" t="s">
        <v>40957</v>
      </c>
      <c r="X2256" t="s">
        <v>44763</v>
      </c>
    </row>
    <row r="2257" spans="1:24">
      <c r="A2257">
        <f>HYPERLINK("https://www.philgeps.gov.ph/GEPSNONPILOT/Tender/SplashBidNoticeAbstractUI.aspx?menuIndex=3&amp;refID=7151776&amp;Result=3","7151776")</f>
        <v>0</v>
      </c>
      <c r="B2257" t="s">
        <v>1025</v>
      </c>
      <c r="C2257" t="s">
        <v>5924</v>
      </c>
      <c r="D2257" t="s">
        <v>17978</v>
      </c>
      <c r="E2257" t="s">
        <v>20111</v>
      </c>
      <c r="F2257" t="s">
        <v>30900</v>
      </c>
      <c r="G2257" t="s">
        <v>30908</v>
      </c>
      <c r="H2257" t="s">
        <v>30916</v>
      </c>
      <c r="I2257" t="s">
        <v>8123</v>
      </c>
      <c r="J2257" t="s">
        <v>32699</v>
      </c>
      <c r="K2257" t="s">
        <v>40287</v>
      </c>
      <c r="M2257" t="s">
        <v>41615</v>
      </c>
      <c r="N2257" t="s">
        <v>44759</v>
      </c>
      <c r="O2257" t="s">
        <v>44760</v>
      </c>
      <c r="P2257">
        <v>0</v>
      </c>
      <c r="Q2257">
        <v>0</v>
      </c>
      <c r="R2257" t="s">
        <v>44762</v>
      </c>
      <c r="S2257" t="s">
        <v>44863</v>
      </c>
      <c r="T2257" t="s">
        <v>46361</v>
      </c>
      <c r="U2257" t="s">
        <v>48897</v>
      </c>
      <c r="W2257" t="s">
        <v>41615</v>
      </c>
      <c r="X2257" t="s">
        <v>44763</v>
      </c>
    </row>
    <row r="2258" spans="1:24">
      <c r="A2258">
        <f>HYPERLINK("https://www.philgeps.gov.ph/GEPSNONPILOT/Tender/SplashBidNoticeAbstractUI.aspx?menuIndex=3&amp;refID=7151778&amp;Result=3","7151778")</f>
        <v>0</v>
      </c>
      <c r="B2258" t="s">
        <v>1045</v>
      </c>
      <c r="C2258" t="s">
        <v>5925</v>
      </c>
      <c r="D2258" t="s">
        <v>17959</v>
      </c>
      <c r="E2258" t="s">
        <v>20112</v>
      </c>
      <c r="F2258" t="s">
        <v>30899</v>
      </c>
      <c r="G2258" t="s">
        <v>30907</v>
      </c>
      <c r="H2258" t="s">
        <v>30916</v>
      </c>
      <c r="I2258" t="s">
        <v>4108</v>
      </c>
      <c r="J2258" t="s">
        <v>32700</v>
      </c>
      <c r="K2258" t="s">
        <v>40286</v>
      </c>
      <c r="L2258" t="s">
        <v>1045</v>
      </c>
      <c r="M2258" t="s">
        <v>41638</v>
      </c>
      <c r="N2258" t="s">
        <v>44759</v>
      </c>
      <c r="O2258" t="s">
        <v>44760</v>
      </c>
      <c r="P2258">
        <v>0</v>
      </c>
      <c r="Q2258">
        <v>0</v>
      </c>
      <c r="R2258" t="s">
        <v>44762</v>
      </c>
      <c r="S2258" t="s">
        <v>44863</v>
      </c>
      <c r="T2258" t="s">
        <v>46586</v>
      </c>
      <c r="U2258" t="s">
        <v>48898</v>
      </c>
      <c r="W2258" t="s">
        <v>41638</v>
      </c>
      <c r="X2258" t="s">
        <v>44763</v>
      </c>
    </row>
    <row r="2259" spans="1:24">
      <c r="A2259">
        <f>HYPERLINK("https://www.philgeps.gov.ph/GEPSNONPILOT/Tender/SplashBidNoticeAbstractUI.aspx?menuIndex=3&amp;refID=7151792&amp;Result=3","7151792")</f>
        <v>0</v>
      </c>
      <c r="B2259" t="s">
        <v>1046</v>
      </c>
      <c r="C2259" t="s">
        <v>5926</v>
      </c>
      <c r="D2259" t="s">
        <v>17959</v>
      </c>
      <c r="E2259" t="s">
        <v>20113</v>
      </c>
      <c r="F2259" t="s">
        <v>30900</v>
      </c>
      <c r="G2259" t="s">
        <v>30907</v>
      </c>
      <c r="H2259" t="s">
        <v>30916</v>
      </c>
      <c r="I2259" t="s">
        <v>30921</v>
      </c>
      <c r="J2259" t="s">
        <v>32701</v>
      </c>
      <c r="K2259" t="s">
        <v>40280</v>
      </c>
      <c r="M2259" t="s">
        <v>41639</v>
      </c>
      <c r="N2259" t="s">
        <v>44759</v>
      </c>
      <c r="O2259" t="s">
        <v>44760</v>
      </c>
      <c r="Q2259">
        <v>15</v>
      </c>
      <c r="R2259" t="s">
        <v>44762</v>
      </c>
      <c r="S2259" t="s">
        <v>44870</v>
      </c>
      <c r="T2259" t="s">
        <v>46465</v>
      </c>
      <c r="U2259" t="s">
        <v>48899</v>
      </c>
      <c r="W2259" t="s">
        <v>41639</v>
      </c>
      <c r="X2259" t="s">
        <v>44763</v>
      </c>
    </row>
    <row r="2260" spans="1:24">
      <c r="A2260">
        <f>HYPERLINK("https://www.philgeps.gov.ph/GEPSNONPILOT/Tender/SplashBidNoticeAbstractUI.aspx?menuIndex=3&amp;refID=7151790&amp;Result=3","7151790")</f>
        <v>0</v>
      </c>
      <c r="B2260" t="s">
        <v>918</v>
      </c>
      <c r="C2260" t="s">
        <v>5927</v>
      </c>
      <c r="D2260" t="s">
        <v>17959</v>
      </c>
      <c r="E2260" t="s">
        <v>20114</v>
      </c>
      <c r="F2260" t="s">
        <v>30900</v>
      </c>
      <c r="G2260" t="s">
        <v>30910</v>
      </c>
      <c r="H2260" t="s">
        <v>30916</v>
      </c>
      <c r="I2260" t="s">
        <v>4017</v>
      </c>
      <c r="J2260" t="s">
        <v>32702</v>
      </c>
      <c r="K2260" t="s">
        <v>40286</v>
      </c>
      <c r="M2260" t="s">
        <v>41640</v>
      </c>
      <c r="N2260" t="s">
        <v>44759</v>
      </c>
      <c r="O2260" t="s">
        <v>44760</v>
      </c>
      <c r="P2260">
        <v>0</v>
      </c>
      <c r="Q2260">
        <v>11</v>
      </c>
      <c r="R2260" t="s">
        <v>44762</v>
      </c>
      <c r="S2260" t="s">
        <v>44863</v>
      </c>
      <c r="T2260" t="s">
        <v>46414</v>
      </c>
      <c r="U2260" t="s">
        <v>48900</v>
      </c>
      <c r="W2260" t="s">
        <v>41640</v>
      </c>
      <c r="X2260" t="s">
        <v>44763</v>
      </c>
    </row>
    <row r="2261" spans="1:24">
      <c r="A2261">
        <f>HYPERLINK("https://www.philgeps.gov.ph/GEPSNONPILOT/Tender/SplashBidNoticeAbstractUI.aspx?menuIndex=3&amp;refID=7151774&amp;Result=3","7151774")</f>
        <v>0</v>
      </c>
      <c r="B2261" t="s">
        <v>1034</v>
      </c>
      <c r="C2261" t="s">
        <v>5928</v>
      </c>
      <c r="D2261" t="s">
        <v>17979</v>
      </c>
      <c r="E2261" t="s">
        <v>20115</v>
      </c>
      <c r="F2261" t="s">
        <v>30900</v>
      </c>
      <c r="G2261" t="s">
        <v>30908</v>
      </c>
      <c r="H2261" t="s">
        <v>30917</v>
      </c>
      <c r="I2261" t="s">
        <v>30938</v>
      </c>
      <c r="J2261" t="s">
        <v>31632</v>
      </c>
      <c r="K2261" t="s">
        <v>40287</v>
      </c>
      <c r="M2261" t="s">
        <v>41625</v>
      </c>
      <c r="N2261" t="s">
        <v>44759</v>
      </c>
      <c r="O2261" t="s">
        <v>44760</v>
      </c>
      <c r="P2261">
        <v>0</v>
      </c>
      <c r="Q2261">
        <v>3</v>
      </c>
      <c r="R2261" t="s">
        <v>44762</v>
      </c>
      <c r="S2261" t="s">
        <v>44863</v>
      </c>
      <c r="T2261" t="s">
        <v>46390</v>
      </c>
      <c r="U2261" t="s">
        <v>47002</v>
      </c>
      <c r="W2261" t="s">
        <v>41625</v>
      </c>
      <c r="X2261" t="s">
        <v>44763</v>
      </c>
    </row>
    <row r="2262" spans="1:24">
      <c r="A2262">
        <f>HYPERLINK("https://www.philgeps.gov.ph/GEPSNONPILOT/Tender/SplashBidNoticeAbstractUI.aspx?menuIndex=3&amp;refID=7151789&amp;Result=3","7151789")</f>
        <v>0</v>
      </c>
      <c r="B2262" t="s">
        <v>829</v>
      </c>
      <c r="C2262" t="s">
        <v>5929</v>
      </c>
      <c r="D2262" t="s">
        <v>17959</v>
      </c>
      <c r="E2262" t="s">
        <v>20116</v>
      </c>
      <c r="F2262" t="s">
        <v>30900</v>
      </c>
      <c r="G2262" t="s">
        <v>30908</v>
      </c>
      <c r="H2262" t="s">
        <v>30916</v>
      </c>
      <c r="I2262" t="s">
        <v>9385</v>
      </c>
      <c r="J2262" t="s">
        <v>31043</v>
      </c>
      <c r="K2262" t="s">
        <v>40311</v>
      </c>
      <c r="M2262" t="s">
        <v>41402</v>
      </c>
      <c r="N2262" t="s">
        <v>44759</v>
      </c>
      <c r="O2262" t="s">
        <v>44760</v>
      </c>
      <c r="P2262">
        <v>0</v>
      </c>
      <c r="Q2262">
        <v>8</v>
      </c>
      <c r="R2262" t="s">
        <v>44762</v>
      </c>
      <c r="S2262" t="s">
        <v>44863</v>
      </c>
      <c r="T2262" t="s">
        <v>46410</v>
      </c>
      <c r="U2262" t="s">
        <v>48901</v>
      </c>
      <c r="W2262" t="s">
        <v>41402</v>
      </c>
      <c r="X2262" t="s">
        <v>44763</v>
      </c>
    </row>
    <row r="2263" spans="1:24">
      <c r="A2263">
        <f>HYPERLINK("https://www.philgeps.gov.ph/GEPSNONPILOT/Tender/SplashBidNoticeAbstractUI.aspx?menuIndex=3&amp;refID=7151788&amp;Result=3","7151788")</f>
        <v>0</v>
      </c>
      <c r="B2263" t="s">
        <v>1047</v>
      </c>
      <c r="C2263" t="s">
        <v>5930</v>
      </c>
      <c r="D2263" t="s">
        <v>18010</v>
      </c>
      <c r="E2263" t="s">
        <v>20117</v>
      </c>
      <c r="F2263" t="s">
        <v>30900</v>
      </c>
      <c r="G2263" t="s">
        <v>30908</v>
      </c>
      <c r="H2263" t="s">
        <v>30916</v>
      </c>
      <c r="I2263" t="s">
        <v>10602</v>
      </c>
      <c r="J2263" t="s">
        <v>31855</v>
      </c>
      <c r="K2263" t="s">
        <v>40311</v>
      </c>
      <c r="M2263" t="s">
        <v>41641</v>
      </c>
      <c r="N2263" t="s">
        <v>44759</v>
      </c>
      <c r="O2263" t="s">
        <v>44760</v>
      </c>
      <c r="P2263">
        <v>0</v>
      </c>
      <c r="Q2263">
        <v>0</v>
      </c>
      <c r="R2263" t="s">
        <v>44762</v>
      </c>
      <c r="S2263" t="s">
        <v>44863</v>
      </c>
      <c r="T2263" t="s">
        <v>46379</v>
      </c>
      <c r="U2263" t="s">
        <v>48902</v>
      </c>
      <c r="W2263" t="s">
        <v>41641</v>
      </c>
      <c r="X2263" t="s">
        <v>44763</v>
      </c>
    </row>
    <row r="2264" spans="1:24">
      <c r="A2264">
        <f>HYPERLINK("https://www.philgeps.gov.ph/GEPSNONPILOT/Tender/SplashBidNoticeAbstractUI.aspx?menuIndex=3&amp;refID=7151759&amp;Result=3","7151759")</f>
        <v>0</v>
      </c>
      <c r="B2264" t="s">
        <v>932</v>
      </c>
      <c r="C2264" t="s">
        <v>5931</v>
      </c>
      <c r="D2264" t="s">
        <v>17959</v>
      </c>
      <c r="E2264" t="s">
        <v>20118</v>
      </c>
      <c r="F2264" t="s">
        <v>30900</v>
      </c>
      <c r="G2264" t="s">
        <v>30907</v>
      </c>
      <c r="H2264" t="s">
        <v>30916</v>
      </c>
      <c r="I2264" t="s">
        <v>4108</v>
      </c>
      <c r="J2264" t="s">
        <v>32703</v>
      </c>
      <c r="K2264" t="s">
        <v>40283</v>
      </c>
      <c r="M2264" t="s">
        <v>41636</v>
      </c>
      <c r="N2264" t="s">
        <v>44759</v>
      </c>
      <c r="O2264" t="s">
        <v>44760</v>
      </c>
      <c r="P2264">
        <v>0</v>
      </c>
      <c r="Q2264">
        <v>0</v>
      </c>
      <c r="R2264" t="s">
        <v>44762</v>
      </c>
      <c r="S2264" t="s">
        <v>44863</v>
      </c>
      <c r="T2264" t="s">
        <v>46350</v>
      </c>
      <c r="U2264" t="s">
        <v>48903</v>
      </c>
      <c r="W2264" t="s">
        <v>41636</v>
      </c>
      <c r="X2264" t="s">
        <v>44763</v>
      </c>
    </row>
    <row r="2265" spans="1:24">
      <c r="A2265">
        <f>HYPERLINK("https://www.philgeps.gov.ph/GEPSNONPILOT/Tender/SplashBidNoticeAbstractUI.aspx?menuIndex=3&amp;refID=7151797&amp;Result=3","7151797")</f>
        <v>0</v>
      </c>
      <c r="B2265" t="s">
        <v>1043</v>
      </c>
      <c r="C2265" t="s">
        <v>5932</v>
      </c>
      <c r="D2265" t="s">
        <v>18000</v>
      </c>
      <c r="E2265" t="s">
        <v>20119</v>
      </c>
      <c r="F2265" t="s">
        <v>30900</v>
      </c>
      <c r="G2265" t="s">
        <v>30907</v>
      </c>
      <c r="H2265" t="s">
        <v>30916</v>
      </c>
      <c r="I2265" t="s">
        <v>5501</v>
      </c>
      <c r="J2265" t="s">
        <v>32704</v>
      </c>
      <c r="K2265" t="s">
        <v>40289</v>
      </c>
      <c r="M2265" t="s">
        <v>41642</v>
      </c>
      <c r="N2265" t="s">
        <v>44759</v>
      </c>
      <c r="O2265" t="s">
        <v>44760</v>
      </c>
      <c r="P2265">
        <v>0</v>
      </c>
      <c r="Q2265">
        <v>2</v>
      </c>
      <c r="R2265" t="s">
        <v>44762</v>
      </c>
      <c r="S2265" t="s">
        <v>44863</v>
      </c>
      <c r="T2265" t="s">
        <v>46425</v>
      </c>
      <c r="U2265" t="s">
        <v>48904</v>
      </c>
      <c r="W2265" t="s">
        <v>41642</v>
      </c>
      <c r="X2265" t="s">
        <v>44763</v>
      </c>
    </row>
    <row r="2266" spans="1:24">
      <c r="A2266">
        <f>HYPERLINK("https://www.philgeps.gov.ph/GEPSNONPILOT/Tender/SplashBidNoticeAbstractUI.aspx?menuIndex=3&amp;refID=7151796&amp;Result=3","7151796")</f>
        <v>0</v>
      </c>
      <c r="B2266" t="s">
        <v>402</v>
      </c>
      <c r="C2266" t="s">
        <v>5933</v>
      </c>
      <c r="D2266" t="s">
        <v>17982</v>
      </c>
      <c r="E2266" t="s">
        <v>20120</v>
      </c>
      <c r="F2266" t="s">
        <v>30900</v>
      </c>
      <c r="G2266" t="s">
        <v>30908</v>
      </c>
      <c r="H2266" t="s">
        <v>30916</v>
      </c>
      <c r="I2266" t="s">
        <v>6408</v>
      </c>
      <c r="J2266" t="s">
        <v>31221</v>
      </c>
      <c r="K2266" t="s">
        <v>40289</v>
      </c>
      <c r="M2266" t="s">
        <v>40957</v>
      </c>
      <c r="N2266" t="s">
        <v>44759</v>
      </c>
      <c r="O2266" t="s">
        <v>44760</v>
      </c>
      <c r="P2266">
        <v>0</v>
      </c>
      <c r="Q2266">
        <v>0</v>
      </c>
      <c r="R2266" t="s">
        <v>44762</v>
      </c>
      <c r="S2266" t="s">
        <v>44863</v>
      </c>
      <c r="T2266" t="s">
        <v>46383</v>
      </c>
      <c r="U2266" t="s">
        <v>48905</v>
      </c>
      <c r="W2266" t="s">
        <v>40957</v>
      </c>
      <c r="X2266" t="s">
        <v>44763</v>
      </c>
    </row>
    <row r="2267" spans="1:24">
      <c r="A2267">
        <f>HYPERLINK("https://www.philgeps.gov.ph/GEPSNONPILOT/Tender/SplashBidNoticeAbstractUI.aspx?menuIndex=3&amp;refID=7151795&amp;Result=3","7151795")</f>
        <v>0</v>
      </c>
      <c r="B2267" t="s">
        <v>1043</v>
      </c>
      <c r="C2267" t="s">
        <v>5934</v>
      </c>
      <c r="D2267" t="s">
        <v>18000</v>
      </c>
      <c r="E2267" t="s">
        <v>20121</v>
      </c>
      <c r="F2267" t="s">
        <v>30900</v>
      </c>
      <c r="G2267" t="s">
        <v>30907</v>
      </c>
      <c r="H2267" t="s">
        <v>30916</v>
      </c>
      <c r="I2267" t="s">
        <v>5501</v>
      </c>
      <c r="J2267" t="s">
        <v>32705</v>
      </c>
      <c r="K2267" t="s">
        <v>40289</v>
      </c>
      <c r="M2267" t="s">
        <v>41642</v>
      </c>
      <c r="N2267" t="s">
        <v>44759</v>
      </c>
      <c r="O2267" t="s">
        <v>44760</v>
      </c>
      <c r="P2267">
        <v>0</v>
      </c>
      <c r="Q2267">
        <v>3</v>
      </c>
      <c r="R2267" t="s">
        <v>44762</v>
      </c>
      <c r="S2267" t="s">
        <v>44863</v>
      </c>
      <c r="T2267" t="s">
        <v>46425</v>
      </c>
      <c r="U2267" t="s">
        <v>48904</v>
      </c>
      <c r="W2267" t="s">
        <v>41642</v>
      </c>
      <c r="X2267" t="s">
        <v>44763</v>
      </c>
    </row>
    <row r="2268" spans="1:24">
      <c r="A2268">
        <f>HYPERLINK("https://www.philgeps.gov.ph/GEPSNONPILOT/Tender/SplashBidNoticeAbstractUI.aspx?menuIndex=3&amp;refID=7151794&amp;Result=3","7151794")</f>
        <v>0</v>
      </c>
      <c r="B2268" t="s">
        <v>402</v>
      </c>
      <c r="C2268" t="s">
        <v>5935</v>
      </c>
      <c r="D2268" t="s">
        <v>17982</v>
      </c>
      <c r="E2268" t="s">
        <v>20122</v>
      </c>
      <c r="F2268" t="s">
        <v>30900</v>
      </c>
      <c r="G2268" t="s">
        <v>30908</v>
      </c>
      <c r="H2268" t="s">
        <v>30916</v>
      </c>
      <c r="I2268" t="s">
        <v>6408</v>
      </c>
      <c r="J2268" t="s">
        <v>32706</v>
      </c>
      <c r="K2268" t="s">
        <v>40289</v>
      </c>
      <c r="M2268" t="s">
        <v>40957</v>
      </c>
      <c r="N2268" t="s">
        <v>44759</v>
      </c>
      <c r="O2268" t="s">
        <v>44760</v>
      </c>
      <c r="P2268">
        <v>0</v>
      </c>
      <c r="Q2268">
        <v>0</v>
      </c>
      <c r="R2268" t="s">
        <v>44762</v>
      </c>
      <c r="S2268" t="s">
        <v>44863</v>
      </c>
      <c r="T2268" t="s">
        <v>46383</v>
      </c>
      <c r="U2268" t="s">
        <v>48906</v>
      </c>
      <c r="W2268" t="s">
        <v>40957</v>
      </c>
      <c r="X2268" t="s">
        <v>44763</v>
      </c>
    </row>
    <row r="2269" spans="1:24">
      <c r="A2269">
        <f>HYPERLINK("https://www.philgeps.gov.ph/GEPSNONPILOT/Tender/SplashBidNoticeAbstractUI.aspx?menuIndex=3&amp;refID=7151793&amp;Result=3","7151793")</f>
        <v>0</v>
      </c>
      <c r="B2269" t="s">
        <v>1045</v>
      </c>
      <c r="C2269" t="s">
        <v>5936</v>
      </c>
      <c r="D2269" t="s">
        <v>17959</v>
      </c>
      <c r="E2269" t="s">
        <v>20112</v>
      </c>
      <c r="F2269" t="s">
        <v>30899</v>
      </c>
      <c r="G2269" t="s">
        <v>30907</v>
      </c>
      <c r="H2269" t="s">
        <v>30916</v>
      </c>
      <c r="I2269" t="s">
        <v>30957</v>
      </c>
      <c r="J2269" t="s">
        <v>32707</v>
      </c>
      <c r="K2269" t="s">
        <v>40286</v>
      </c>
      <c r="L2269" t="s">
        <v>1045</v>
      </c>
      <c r="M2269" t="s">
        <v>41638</v>
      </c>
      <c r="N2269" t="s">
        <v>44759</v>
      </c>
      <c r="O2269" t="s">
        <v>44760</v>
      </c>
      <c r="P2269">
        <v>0</v>
      </c>
      <c r="Q2269">
        <v>0</v>
      </c>
      <c r="R2269" t="s">
        <v>44762</v>
      </c>
      <c r="S2269" t="s">
        <v>44863</v>
      </c>
      <c r="T2269" t="s">
        <v>46587</v>
      </c>
      <c r="U2269" t="s">
        <v>48907</v>
      </c>
      <c r="W2269" t="s">
        <v>41638</v>
      </c>
      <c r="X2269" t="s">
        <v>44763</v>
      </c>
    </row>
    <row r="2270" spans="1:24">
      <c r="A2270">
        <f>HYPERLINK("https://www.philgeps.gov.ph/GEPSNONPILOT/Tender/SplashBidNoticeAbstractUI.aspx?menuIndex=3&amp;refID=7151787&amp;Result=3","7151787")</f>
        <v>0</v>
      </c>
      <c r="B2270" t="s">
        <v>958</v>
      </c>
      <c r="C2270" t="s">
        <v>5937</v>
      </c>
      <c r="D2270" t="s">
        <v>17980</v>
      </c>
      <c r="E2270" t="s">
        <v>20123</v>
      </c>
      <c r="F2270" t="s">
        <v>30900</v>
      </c>
      <c r="G2270" t="s">
        <v>30907</v>
      </c>
      <c r="H2270" t="s">
        <v>30915</v>
      </c>
      <c r="I2270" t="s">
        <v>30919</v>
      </c>
      <c r="J2270" t="s">
        <v>32708</v>
      </c>
      <c r="K2270" t="s">
        <v>40354</v>
      </c>
      <c r="M2270" t="s">
        <v>41643</v>
      </c>
      <c r="N2270" t="s">
        <v>44759</v>
      </c>
      <c r="O2270" t="s">
        <v>44760</v>
      </c>
      <c r="P2270">
        <v>0</v>
      </c>
      <c r="Q2270">
        <v>0</v>
      </c>
      <c r="R2270" t="s">
        <v>44762</v>
      </c>
      <c r="S2270" t="s">
        <v>44863</v>
      </c>
      <c r="T2270" t="s">
        <v>46404</v>
      </c>
      <c r="U2270" t="s">
        <v>48908</v>
      </c>
      <c r="W2270" t="s">
        <v>41643</v>
      </c>
      <c r="X2270" t="s">
        <v>44763</v>
      </c>
    </row>
    <row r="2271" spans="1:24">
      <c r="A2271">
        <f>HYPERLINK("https://www.philgeps.gov.ph/GEPSNONPILOT/Tender/SplashBidNoticeAbstractUI.aspx?menuIndex=3&amp;refID=7151786&amp;Result=3","7151786")</f>
        <v>0</v>
      </c>
      <c r="B2271" t="s">
        <v>402</v>
      </c>
      <c r="C2271" t="s">
        <v>5938</v>
      </c>
      <c r="D2271" t="s">
        <v>17982</v>
      </c>
      <c r="E2271" t="s">
        <v>20124</v>
      </c>
      <c r="F2271" t="s">
        <v>30900</v>
      </c>
      <c r="G2271" t="s">
        <v>30908</v>
      </c>
      <c r="H2271" t="s">
        <v>30916</v>
      </c>
      <c r="I2271" t="s">
        <v>6408</v>
      </c>
      <c r="J2271" t="s">
        <v>32709</v>
      </c>
      <c r="K2271" t="s">
        <v>40289</v>
      </c>
      <c r="M2271" t="s">
        <v>40957</v>
      </c>
      <c r="N2271" t="s">
        <v>44759</v>
      </c>
      <c r="O2271" t="s">
        <v>44760</v>
      </c>
      <c r="P2271">
        <v>0</v>
      </c>
      <c r="Q2271">
        <v>0</v>
      </c>
      <c r="R2271" t="s">
        <v>44762</v>
      </c>
      <c r="S2271" t="s">
        <v>44863</v>
      </c>
      <c r="T2271" t="s">
        <v>46383</v>
      </c>
      <c r="U2271" t="s">
        <v>48909</v>
      </c>
      <c r="W2271" t="s">
        <v>40957</v>
      </c>
      <c r="X2271" t="s">
        <v>44763</v>
      </c>
    </row>
    <row r="2272" spans="1:24">
      <c r="A2272">
        <f>HYPERLINK("https://www.philgeps.gov.ph/GEPSNONPILOT/Tender/SplashBidNoticeAbstractUI.aspx?menuIndex=3&amp;refID=7151785&amp;Result=3","7151785")</f>
        <v>0</v>
      </c>
      <c r="B2272" t="s">
        <v>1043</v>
      </c>
      <c r="C2272" t="s">
        <v>5939</v>
      </c>
      <c r="D2272" t="s">
        <v>18000</v>
      </c>
      <c r="E2272" t="s">
        <v>20125</v>
      </c>
      <c r="F2272" t="s">
        <v>30900</v>
      </c>
      <c r="G2272" t="s">
        <v>30907</v>
      </c>
      <c r="H2272" t="s">
        <v>30915</v>
      </c>
      <c r="I2272" t="s">
        <v>30919</v>
      </c>
      <c r="J2272" t="s">
        <v>32710</v>
      </c>
      <c r="K2272" t="s">
        <v>40289</v>
      </c>
      <c r="M2272" t="s">
        <v>41635</v>
      </c>
      <c r="N2272" t="s">
        <v>44759</v>
      </c>
      <c r="O2272" t="s">
        <v>44760</v>
      </c>
      <c r="P2272">
        <v>0</v>
      </c>
      <c r="Q2272">
        <v>0</v>
      </c>
      <c r="R2272" t="s">
        <v>44762</v>
      </c>
      <c r="S2272" t="s">
        <v>44863</v>
      </c>
      <c r="T2272" t="s">
        <v>46425</v>
      </c>
      <c r="U2272" t="s">
        <v>48910</v>
      </c>
      <c r="W2272" t="s">
        <v>41635</v>
      </c>
      <c r="X2272" t="s">
        <v>44763</v>
      </c>
    </row>
    <row r="2273" spans="1:24">
      <c r="A2273">
        <f>HYPERLINK("https://www.philgeps.gov.ph/GEPSNONPILOT/Tender/SplashBidNoticeAbstractUI.aspx?menuIndex=3&amp;refID=7151783&amp;Result=3","7151783")</f>
        <v>0</v>
      </c>
      <c r="B2273" t="s">
        <v>1046</v>
      </c>
      <c r="C2273" t="s">
        <v>5940</v>
      </c>
      <c r="D2273" t="s">
        <v>17959</v>
      </c>
      <c r="E2273" t="s">
        <v>20126</v>
      </c>
      <c r="F2273" t="s">
        <v>30900</v>
      </c>
      <c r="G2273" t="s">
        <v>30907</v>
      </c>
      <c r="H2273" t="s">
        <v>30916</v>
      </c>
      <c r="I2273" t="s">
        <v>30921</v>
      </c>
      <c r="J2273" t="s">
        <v>32711</v>
      </c>
      <c r="K2273" t="s">
        <v>40280</v>
      </c>
      <c r="M2273" t="s">
        <v>41639</v>
      </c>
      <c r="N2273" t="s">
        <v>44759</v>
      </c>
      <c r="O2273" t="s">
        <v>44760</v>
      </c>
      <c r="Q2273">
        <v>16</v>
      </c>
      <c r="R2273" t="s">
        <v>44762</v>
      </c>
      <c r="S2273" t="s">
        <v>44871</v>
      </c>
      <c r="T2273" t="s">
        <v>46465</v>
      </c>
      <c r="U2273" t="s">
        <v>48911</v>
      </c>
      <c r="W2273" t="s">
        <v>41639</v>
      </c>
      <c r="X2273" t="s">
        <v>44763</v>
      </c>
    </row>
    <row r="2274" spans="1:24">
      <c r="A2274">
        <f>HYPERLINK("https://www.philgeps.gov.ph/GEPSNONPILOT/Tender/SplashBidNoticeAbstractUI.aspx?menuIndex=3&amp;refID=7151741&amp;Result=3","7151741")</f>
        <v>0</v>
      </c>
      <c r="B2274" t="s">
        <v>1048</v>
      </c>
      <c r="C2274" t="s">
        <v>5941</v>
      </c>
      <c r="D2274" t="s">
        <v>17981</v>
      </c>
      <c r="E2274" t="s">
        <v>20127</v>
      </c>
      <c r="F2274" t="s">
        <v>30900</v>
      </c>
      <c r="G2274" t="s">
        <v>30907</v>
      </c>
      <c r="H2274" t="s">
        <v>30916</v>
      </c>
      <c r="I2274" t="s">
        <v>8123</v>
      </c>
      <c r="J2274" t="s">
        <v>31101</v>
      </c>
      <c r="K2274" t="s">
        <v>40287</v>
      </c>
      <c r="M2274" t="s">
        <v>41644</v>
      </c>
      <c r="N2274" t="s">
        <v>44759</v>
      </c>
      <c r="O2274" t="s">
        <v>44760</v>
      </c>
      <c r="P2274">
        <v>0</v>
      </c>
      <c r="Q2274">
        <v>3</v>
      </c>
      <c r="R2274" t="s">
        <v>44762</v>
      </c>
      <c r="S2274" t="s">
        <v>44863</v>
      </c>
      <c r="T2274" t="s">
        <v>46404</v>
      </c>
      <c r="U2274" t="s">
        <v>48152</v>
      </c>
      <c r="W2274" t="s">
        <v>41644</v>
      </c>
      <c r="X2274" t="s">
        <v>44763</v>
      </c>
    </row>
    <row r="2275" spans="1:24">
      <c r="A2275">
        <f>HYPERLINK("https://www.philgeps.gov.ph/GEPSNONPILOT/Tender/SplashBidNoticeAbstractUI.aspx?menuIndex=3&amp;refID=7151780&amp;Result=3","7151780")</f>
        <v>0</v>
      </c>
      <c r="B2275" t="s">
        <v>1036</v>
      </c>
      <c r="C2275" t="s">
        <v>5942</v>
      </c>
      <c r="D2275" t="s">
        <v>17952</v>
      </c>
      <c r="E2275" t="s">
        <v>20128</v>
      </c>
      <c r="F2275" t="s">
        <v>30900</v>
      </c>
      <c r="G2275" t="s">
        <v>30906</v>
      </c>
      <c r="H2275" t="s">
        <v>30916</v>
      </c>
      <c r="I2275" t="s">
        <v>8123</v>
      </c>
      <c r="J2275" t="s">
        <v>32712</v>
      </c>
      <c r="K2275" t="s">
        <v>40284</v>
      </c>
      <c r="M2275" t="s">
        <v>41628</v>
      </c>
      <c r="N2275" t="s">
        <v>44759</v>
      </c>
      <c r="O2275" t="s">
        <v>44760</v>
      </c>
      <c r="P2275">
        <v>0</v>
      </c>
      <c r="Q2275">
        <v>0</v>
      </c>
      <c r="R2275" t="s">
        <v>44762</v>
      </c>
      <c r="S2275" t="s">
        <v>44863</v>
      </c>
      <c r="T2275" t="s">
        <v>46414</v>
      </c>
      <c r="U2275" t="s">
        <v>48912</v>
      </c>
      <c r="W2275" t="s">
        <v>41628</v>
      </c>
      <c r="X2275" t="s">
        <v>44763</v>
      </c>
    </row>
    <row r="2276" spans="1:24">
      <c r="A2276">
        <f>HYPERLINK("https://www.philgeps.gov.ph/GEPSNONPILOT/Tender/SplashBidNoticeAbstractUI.aspx?menuIndex=3&amp;refID=7151791&amp;Result=3","7151791")</f>
        <v>0</v>
      </c>
      <c r="B2276" t="s">
        <v>402</v>
      </c>
      <c r="C2276" t="s">
        <v>5943</v>
      </c>
      <c r="D2276" t="s">
        <v>17982</v>
      </c>
      <c r="E2276" t="s">
        <v>20129</v>
      </c>
      <c r="F2276" t="s">
        <v>30900</v>
      </c>
      <c r="G2276" t="s">
        <v>30908</v>
      </c>
      <c r="H2276" t="s">
        <v>30916</v>
      </c>
      <c r="I2276" t="s">
        <v>4545</v>
      </c>
      <c r="J2276" t="s">
        <v>32713</v>
      </c>
      <c r="K2276" t="s">
        <v>40289</v>
      </c>
      <c r="M2276" t="s">
        <v>40957</v>
      </c>
      <c r="N2276" t="s">
        <v>44759</v>
      </c>
      <c r="O2276" t="s">
        <v>44760</v>
      </c>
      <c r="P2276">
        <v>0</v>
      </c>
      <c r="Q2276">
        <v>2</v>
      </c>
      <c r="R2276" t="s">
        <v>44762</v>
      </c>
      <c r="S2276" t="s">
        <v>44863</v>
      </c>
      <c r="T2276" t="s">
        <v>46383</v>
      </c>
      <c r="U2276" t="s">
        <v>48886</v>
      </c>
      <c r="W2276" t="s">
        <v>40957</v>
      </c>
      <c r="X2276" t="s">
        <v>44763</v>
      </c>
    </row>
    <row r="2277" spans="1:24">
      <c r="A2277">
        <f>HYPERLINK("https://www.philgeps.gov.ph/GEPSNONPILOT/Tender/SplashBidNoticeAbstractUI.aspx?menuIndex=3&amp;refID=7151784&amp;Result=3","7151784")</f>
        <v>0</v>
      </c>
      <c r="B2277" t="s">
        <v>1049</v>
      </c>
      <c r="C2277" t="s">
        <v>5944</v>
      </c>
      <c r="D2277" t="s">
        <v>18002</v>
      </c>
      <c r="E2277" t="s">
        <v>18282</v>
      </c>
      <c r="F2277" t="s">
        <v>30900</v>
      </c>
      <c r="G2277" t="s">
        <v>30907</v>
      </c>
      <c r="H2277" t="s">
        <v>30916</v>
      </c>
      <c r="I2277" t="s">
        <v>4108</v>
      </c>
      <c r="J2277" t="s">
        <v>32714</v>
      </c>
      <c r="K2277" t="s">
        <v>40287</v>
      </c>
      <c r="M2277" t="s">
        <v>41645</v>
      </c>
      <c r="N2277" t="s">
        <v>44759</v>
      </c>
      <c r="O2277" t="s">
        <v>44760</v>
      </c>
      <c r="P2277">
        <v>0</v>
      </c>
      <c r="Q2277">
        <v>0</v>
      </c>
      <c r="R2277" t="s">
        <v>44762</v>
      </c>
      <c r="S2277" t="s">
        <v>44863</v>
      </c>
      <c r="T2277" t="s">
        <v>46362</v>
      </c>
      <c r="U2277" t="s">
        <v>48913</v>
      </c>
      <c r="W2277" t="s">
        <v>41645</v>
      </c>
      <c r="X2277" t="s">
        <v>44763</v>
      </c>
    </row>
    <row r="2278" spans="1:24">
      <c r="A2278">
        <f>HYPERLINK("https://www.philgeps.gov.ph/GEPSNONPILOT/Tender/SplashBidNoticeAbstractUI.aspx?menuIndex=3&amp;refID=7151756&amp;Result=3","7151756")</f>
        <v>0</v>
      </c>
      <c r="B2278" t="s">
        <v>803</v>
      </c>
      <c r="C2278" t="s">
        <v>5945</v>
      </c>
      <c r="D2278" t="s">
        <v>17952</v>
      </c>
      <c r="E2278" t="s">
        <v>20130</v>
      </c>
      <c r="F2278" t="s">
        <v>30900</v>
      </c>
      <c r="G2278" t="s">
        <v>30908</v>
      </c>
      <c r="H2278" t="s">
        <v>30916</v>
      </c>
      <c r="I2278" t="s">
        <v>4017</v>
      </c>
      <c r="J2278" t="s">
        <v>31490</v>
      </c>
      <c r="K2278" t="s">
        <v>40283</v>
      </c>
      <c r="M2278" t="s">
        <v>41627</v>
      </c>
      <c r="N2278" t="s">
        <v>44759</v>
      </c>
      <c r="O2278" t="s">
        <v>44760</v>
      </c>
      <c r="P2278">
        <v>0</v>
      </c>
      <c r="Q2278">
        <v>2</v>
      </c>
      <c r="R2278" t="s">
        <v>44762</v>
      </c>
      <c r="S2278" t="s">
        <v>44863</v>
      </c>
      <c r="T2278" t="s">
        <v>46410</v>
      </c>
      <c r="U2278" t="s">
        <v>48914</v>
      </c>
      <c r="W2278" t="s">
        <v>41627</v>
      </c>
      <c r="X2278" t="s">
        <v>44763</v>
      </c>
    </row>
    <row r="2279" spans="1:24">
      <c r="A2279">
        <f>HYPERLINK("https://www.philgeps.gov.ph/GEPSNONPILOT/Tender/SplashBidNoticeAbstractUI.aspx?menuIndex=3&amp;refID=7151782&amp;Result=3","7151782")</f>
        <v>0</v>
      </c>
      <c r="B2279" t="s">
        <v>932</v>
      </c>
      <c r="C2279" t="s">
        <v>5946</v>
      </c>
      <c r="D2279" t="s">
        <v>17959</v>
      </c>
      <c r="E2279" t="s">
        <v>20131</v>
      </c>
      <c r="F2279" t="s">
        <v>30900</v>
      </c>
      <c r="G2279" t="s">
        <v>30907</v>
      </c>
      <c r="H2279" t="s">
        <v>30916</v>
      </c>
      <c r="I2279" t="s">
        <v>10961</v>
      </c>
      <c r="J2279" t="s">
        <v>32715</v>
      </c>
      <c r="K2279" t="s">
        <v>40283</v>
      </c>
      <c r="M2279" t="s">
        <v>41636</v>
      </c>
      <c r="N2279" t="s">
        <v>44759</v>
      </c>
      <c r="O2279" t="s">
        <v>44760</v>
      </c>
      <c r="P2279">
        <v>0</v>
      </c>
      <c r="Q2279">
        <v>5</v>
      </c>
      <c r="R2279" t="s">
        <v>44762</v>
      </c>
      <c r="S2279" t="s">
        <v>44863</v>
      </c>
      <c r="T2279" t="s">
        <v>46350</v>
      </c>
      <c r="U2279" t="s">
        <v>48915</v>
      </c>
      <c r="W2279" t="s">
        <v>41636</v>
      </c>
      <c r="X2279" t="s">
        <v>44763</v>
      </c>
    </row>
    <row r="2280" spans="1:24">
      <c r="A2280">
        <f>HYPERLINK("https://www.philgeps.gov.ph/GEPSNONPILOT/Tender/SplashBidNoticeAbstractUI.aspx?menuIndex=3&amp;refID=7151781&amp;Result=3","7151781")</f>
        <v>0</v>
      </c>
      <c r="B2280" t="s">
        <v>918</v>
      </c>
      <c r="C2280" t="s">
        <v>5947</v>
      </c>
      <c r="D2280" t="s">
        <v>17959</v>
      </c>
      <c r="E2280" t="s">
        <v>20132</v>
      </c>
      <c r="F2280" t="s">
        <v>30900</v>
      </c>
      <c r="G2280" t="s">
        <v>30910</v>
      </c>
      <c r="H2280" t="s">
        <v>30916</v>
      </c>
      <c r="I2280" t="s">
        <v>4017</v>
      </c>
      <c r="J2280" t="s">
        <v>32716</v>
      </c>
      <c r="K2280" t="s">
        <v>40286</v>
      </c>
      <c r="M2280" t="s">
        <v>41640</v>
      </c>
      <c r="N2280" t="s">
        <v>44759</v>
      </c>
      <c r="O2280" t="s">
        <v>44760</v>
      </c>
      <c r="P2280">
        <v>0</v>
      </c>
      <c r="Q2280">
        <v>8</v>
      </c>
      <c r="R2280" t="s">
        <v>44762</v>
      </c>
      <c r="S2280" t="s">
        <v>44863</v>
      </c>
      <c r="T2280" t="s">
        <v>46414</v>
      </c>
      <c r="U2280" t="s">
        <v>48916</v>
      </c>
      <c r="W2280" t="s">
        <v>41640</v>
      </c>
      <c r="X2280" t="s">
        <v>44763</v>
      </c>
    </row>
    <row r="2281" spans="1:24">
      <c r="A2281">
        <f>HYPERLINK("https://www.philgeps.gov.ph/GEPSNONPILOT/Tender/SplashBidNoticeAbstractUI.aspx?menuIndex=3&amp;refID=7151813&amp;Result=3","7151813")</f>
        <v>0</v>
      </c>
      <c r="B2281" t="s">
        <v>820</v>
      </c>
      <c r="C2281" t="s">
        <v>3773</v>
      </c>
      <c r="E2281" t="s">
        <v>20133</v>
      </c>
      <c r="F2281" t="s">
        <v>30900</v>
      </c>
      <c r="G2281" t="s">
        <v>30909</v>
      </c>
      <c r="H2281" t="s">
        <v>30916</v>
      </c>
      <c r="I2281" t="s">
        <v>4142</v>
      </c>
      <c r="J2281" t="s">
        <v>31661</v>
      </c>
      <c r="K2281" t="s">
        <v>40289</v>
      </c>
      <c r="M2281" t="s">
        <v>41392</v>
      </c>
      <c r="N2281" t="s">
        <v>44759</v>
      </c>
      <c r="O2281" t="s">
        <v>44760</v>
      </c>
      <c r="P2281">
        <v>0</v>
      </c>
      <c r="Q2281">
        <v>0</v>
      </c>
      <c r="R2281" t="s">
        <v>44762</v>
      </c>
      <c r="S2281" t="s">
        <v>44863</v>
      </c>
      <c r="T2281" t="s">
        <v>46531</v>
      </c>
      <c r="U2281" t="s">
        <v>48917</v>
      </c>
      <c r="W2281" t="s">
        <v>41392</v>
      </c>
      <c r="X2281" t="s">
        <v>44763</v>
      </c>
    </row>
    <row r="2282" spans="1:24">
      <c r="A2282">
        <f>HYPERLINK("https://www.philgeps.gov.ph/GEPSNONPILOT/Tender/SplashBidNoticeAbstractUI.aspx?menuIndex=3&amp;refID=7151800&amp;Result=3","7151800")</f>
        <v>0</v>
      </c>
      <c r="B2282" t="s">
        <v>1046</v>
      </c>
      <c r="C2282" t="s">
        <v>5948</v>
      </c>
      <c r="D2282" t="s">
        <v>17959</v>
      </c>
      <c r="E2282" t="s">
        <v>20134</v>
      </c>
      <c r="F2282" t="s">
        <v>30900</v>
      </c>
      <c r="G2282" t="s">
        <v>30907</v>
      </c>
      <c r="H2282" t="s">
        <v>30916</v>
      </c>
      <c r="I2282" t="s">
        <v>30921</v>
      </c>
      <c r="J2282" t="s">
        <v>32717</v>
      </c>
      <c r="K2282" t="s">
        <v>40293</v>
      </c>
      <c r="M2282" t="s">
        <v>41639</v>
      </c>
      <c r="N2282" t="s">
        <v>44759</v>
      </c>
      <c r="O2282" t="s">
        <v>44760</v>
      </c>
      <c r="Q2282">
        <v>9</v>
      </c>
      <c r="R2282" t="s">
        <v>44762</v>
      </c>
      <c r="S2282" t="s">
        <v>44872</v>
      </c>
      <c r="T2282" t="s">
        <v>46465</v>
      </c>
      <c r="U2282" t="s">
        <v>48899</v>
      </c>
      <c r="W2282" t="s">
        <v>41639</v>
      </c>
      <c r="X2282" t="s">
        <v>44763</v>
      </c>
    </row>
    <row r="2283" spans="1:24">
      <c r="A2283">
        <f>HYPERLINK("https://www.philgeps.gov.ph/GEPSNONPILOT/Tender/SplashBidNoticeAbstractUI.aspx?menuIndex=3&amp;refID=7151812&amp;Result=3","7151812")</f>
        <v>0</v>
      </c>
      <c r="B2283" t="s">
        <v>1050</v>
      </c>
      <c r="C2283" t="s">
        <v>5949</v>
      </c>
      <c r="D2283" t="s">
        <v>17981</v>
      </c>
      <c r="E2283" t="s">
        <v>20135</v>
      </c>
      <c r="F2283" t="s">
        <v>30900</v>
      </c>
      <c r="G2283" t="s">
        <v>30907</v>
      </c>
      <c r="H2283" t="s">
        <v>30916</v>
      </c>
      <c r="I2283" t="s">
        <v>30927</v>
      </c>
      <c r="J2283" t="s">
        <v>32718</v>
      </c>
      <c r="K2283" t="s">
        <v>40287</v>
      </c>
      <c r="M2283" t="s">
        <v>41646</v>
      </c>
      <c r="N2283" t="s">
        <v>44759</v>
      </c>
      <c r="O2283" t="s">
        <v>44760</v>
      </c>
      <c r="P2283">
        <v>0</v>
      </c>
      <c r="Q2283">
        <v>0</v>
      </c>
      <c r="R2283" t="s">
        <v>44762</v>
      </c>
      <c r="S2283" t="s">
        <v>44863</v>
      </c>
      <c r="T2283" t="s">
        <v>46389</v>
      </c>
      <c r="U2283" t="s">
        <v>48918</v>
      </c>
      <c r="W2283" t="s">
        <v>41646</v>
      </c>
      <c r="X2283" t="s">
        <v>44763</v>
      </c>
    </row>
    <row r="2284" spans="1:24">
      <c r="A2284">
        <f>HYPERLINK("https://www.philgeps.gov.ph/GEPSNONPILOT/Tender/SplashBidNoticeAbstractUI.aspx?menuIndex=3&amp;refID=7151811&amp;Result=3","7151811")</f>
        <v>0</v>
      </c>
      <c r="B2284" t="s">
        <v>829</v>
      </c>
      <c r="C2284" t="s">
        <v>5950</v>
      </c>
      <c r="D2284" t="s">
        <v>17959</v>
      </c>
      <c r="E2284" t="s">
        <v>20136</v>
      </c>
      <c r="F2284" t="s">
        <v>30900</v>
      </c>
      <c r="G2284" t="s">
        <v>30908</v>
      </c>
      <c r="H2284" t="s">
        <v>30916</v>
      </c>
      <c r="I2284" t="s">
        <v>9385</v>
      </c>
      <c r="J2284" t="s">
        <v>32719</v>
      </c>
      <c r="K2284" t="s">
        <v>40311</v>
      </c>
      <c r="M2284" t="s">
        <v>41402</v>
      </c>
      <c r="N2284" t="s">
        <v>44759</v>
      </c>
      <c r="O2284" t="s">
        <v>44760</v>
      </c>
      <c r="P2284">
        <v>0</v>
      </c>
      <c r="Q2284">
        <v>5</v>
      </c>
      <c r="R2284" t="s">
        <v>44762</v>
      </c>
      <c r="S2284" t="s">
        <v>44863</v>
      </c>
      <c r="T2284" t="s">
        <v>46410</v>
      </c>
      <c r="U2284" t="s">
        <v>48901</v>
      </c>
      <c r="W2284" t="s">
        <v>41402</v>
      </c>
      <c r="X2284" t="s">
        <v>44763</v>
      </c>
    </row>
    <row r="2285" spans="1:24">
      <c r="A2285">
        <f>HYPERLINK("https://www.philgeps.gov.ph/GEPSNONPILOT/Tender/SplashBidNoticeAbstractUI.aspx?menuIndex=3&amp;refID=7151810&amp;Result=3","7151810")</f>
        <v>0</v>
      </c>
      <c r="B2285" t="s">
        <v>402</v>
      </c>
      <c r="C2285" t="s">
        <v>5951</v>
      </c>
      <c r="D2285" t="s">
        <v>17982</v>
      </c>
      <c r="E2285" t="s">
        <v>20137</v>
      </c>
      <c r="F2285" t="s">
        <v>30900</v>
      </c>
      <c r="G2285" t="s">
        <v>30908</v>
      </c>
      <c r="H2285" t="s">
        <v>30916</v>
      </c>
      <c r="I2285" t="s">
        <v>4545</v>
      </c>
      <c r="J2285" t="s">
        <v>32720</v>
      </c>
      <c r="K2285" t="s">
        <v>40289</v>
      </c>
      <c r="M2285" t="s">
        <v>40957</v>
      </c>
      <c r="N2285" t="s">
        <v>44759</v>
      </c>
      <c r="O2285" t="s">
        <v>44760</v>
      </c>
      <c r="P2285">
        <v>0</v>
      </c>
      <c r="Q2285">
        <v>0</v>
      </c>
      <c r="R2285" t="s">
        <v>44762</v>
      </c>
      <c r="S2285" t="s">
        <v>44863</v>
      </c>
      <c r="T2285" t="s">
        <v>46383</v>
      </c>
      <c r="U2285" t="s">
        <v>48919</v>
      </c>
      <c r="W2285" t="s">
        <v>40957</v>
      </c>
      <c r="X2285" t="s">
        <v>44763</v>
      </c>
    </row>
    <row r="2286" spans="1:24">
      <c r="A2286">
        <f>HYPERLINK("https://www.philgeps.gov.ph/GEPSNONPILOT/Tender/SplashBidNoticeAbstractUI.aspx?menuIndex=3&amp;refID=7151807&amp;Result=3","7151807")</f>
        <v>0</v>
      </c>
      <c r="B2286" t="s">
        <v>1045</v>
      </c>
      <c r="C2286" t="s">
        <v>5952</v>
      </c>
      <c r="D2286" t="s">
        <v>17959</v>
      </c>
      <c r="E2286" t="s">
        <v>20112</v>
      </c>
      <c r="F2286" t="s">
        <v>30899</v>
      </c>
      <c r="G2286" t="s">
        <v>30907</v>
      </c>
      <c r="H2286" t="s">
        <v>30916</v>
      </c>
      <c r="I2286" t="s">
        <v>4108</v>
      </c>
      <c r="J2286" t="s">
        <v>31621</v>
      </c>
      <c r="K2286" t="s">
        <v>40286</v>
      </c>
      <c r="L2286" t="s">
        <v>1045</v>
      </c>
      <c r="M2286" t="s">
        <v>41638</v>
      </c>
      <c r="N2286" t="s">
        <v>44759</v>
      </c>
      <c r="O2286" t="s">
        <v>44760</v>
      </c>
      <c r="P2286">
        <v>0</v>
      </c>
      <c r="Q2286">
        <v>1</v>
      </c>
      <c r="R2286" t="s">
        <v>44762</v>
      </c>
      <c r="S2286" t="s">
        <v>44863</v>
      </c>
      <c r="T2286" t="s">
        <v>46588</v>
      </c>
      <c r="U2286" t="s">
        <v>48920</v>
      </c>
      <c r="W2286" t="s">
        <v>41638</v>
      </c>
      <c r="X2286" t="s">
        <v>44763</v>
      </c>
    </row>
    <row r="2287" spans="1:24">
      <c r="A2287">
        <f>HYPERLINK("https://www.philgeps.gov.ph/GEPSNONPILOT/Tender/SplashBidNoticeAbstractUI.aspx?menuIndex=3&amp;refID=7151806&amp;Result=3","7151806")</f>
        <v>0</v>
      </c>
      <c r="B2287" t="s">
        <v>402</v>
      </c>
      <c r="C2287" t="s">
        <v>5953</v>
      </c>
      <c r="D2287" t="s">
        <v>17982</v>
      </c>
      <c r="E2287" t="s">
        <v>20138</v>
      </c>
      <c r="F2287" t="s">
        <v>30900</v>
      </c>
      <c r="G2287" t="s">
        <v>30908</v>
      </c>
      <c r="H2287" t="s">
        <v>30916</v>
      </c>
      <c r="I2287" t="s">
        <v>30924</v>
      </c>
      <c r="J2287" t="s">
        <v>32721</v>
      </c>
      <c r="K2287" t="s">
        <v>40289</v>
      </c>
      <c r="M2287" t="s">
        <v>40957</v>
      </c>
      <c r="N2287" t="s">
        <v>44759</v>
      </c>
      <c r="O2287" t="s">
        <v>44760</v>
      </c>
      <c r="P2287">
        <v>0</v>
      </c>
      <c r="Q2287">
        <v>0</v>
      </c>
      <c r="R2287" t="s">
        <v>44762</v>
      </c>
      <c r="S2287" t="s">
        <v>44863</v>
      </c>
      <c r="T2287" t="s">
        <v>46383</v>
      </c>
      <c r="U2287" t="s">
        <v>48921</v>
      </c>
      <c r="W2287" t="s">
        <v>40957</v>
      </c>
      <c r="X2287" t="s">
        <v>44763</v>
      </c>
    </row>
    <row r="2288" spans="1:24">
      <c r="A2288">
        <f>HYPERLINK("https://www.philgeps.gov.ph/GEPSNONPILOT/Tender/SplashBidNoticeAbstractUI.aspx?menuIndex=3&amp;refID=7151805&amp;Result=3","7151805")</f>
        <v>0</v>
      </c>
      <c r="B2288" t="s">
        <v>1029</v>
      </c>
      <c r="C2288" t="s">
        <v>5954</v>
      </c>
      <c r="D2288" t="s">
        <v>17973</v>
      </c>
      <c r="E2288" t="s">
        <v>19424</v>
      </c>
      <c r="F2288" t="s">
        <v>30900</v>
      </c>
      <c r="G2288" t="s">
        <v>30907</v>
      </c>
      <c r="H2288" t="s">
        <v>30915</v>
      </c>
      <c r="I2288" t="s">
        <v>30919</v>
      </c>
      <c r="J2288" t="s">
        <v>32722</v>
      </c>
      <c r="K2288" t="s">
        <v>40280</v>
      </c>
      <c r="M2288" t="s">
        <v>41620</v>
      </c>
      <c r="N2288" t="s">
        <v>44759</v>
      </c>
      <c r="O2288" t="s">
        <v>44760</v>
      </c>
      <c r="P2288">
        <v>0</v>
      </c>
      <c r="Q2288">
        <v>0</v>
      </c>
      <c r="R2288" t="s">
        <v>44762</v>
      </c>
      <c r="S2288" t="s">
        <v>44863</v>
      </c>
      <c r="T2288" t="s">
        <v>46467</v>
      </c>
      <c r="U2288" t="s">
        <v>48922</v>
      </c>
      <c r="W2288" t="s">
        <v>41620</v>
      </c>
      <c r="X2288" t="s">
        <v>44763</v>
      </c>
    </row>
    <row r="2289" spans="1:24">
      <c r="A2289">
        <f>HYPERLINK("https://www.philgeps.gov.ph/GEPSNONPILOT/Tender/SplashBidNoticeAbstractUI.aspx?menuIndex=3&amp;refID=7151799&amp;Result=3","7151799")</f>
        <v>0</v>
      </c>
      <c r="B2289" t="s">
        <v>1043</v>
      </c>
      <c r="C2289" t="s">
        <v>5955</v>
      </c>
      <c r="D2289" t="s">
        <v>18000</v>
      </c>
      <c r="E2289" t="s">
        <v>20139</v>
      </c>
      <c r="F2289" t="s">
        <v>30900</v>
      </c>
      <c r="G2289" t="s">
        <v>30907</v>
      </c>
      <c r="H2289" t="s">
        <v>30916</v>
      </c>
      <c r="I2289" t="s">
        <v>30934</v>
      </c>
      <c r="J2289" t="s">
        <v>32723</v>
      </c>
      <c r="K2289" t="s">
        <v>40289</v>
      </c>
      <c r="M2289" t="s">
        <v>41642</v>
      </c>
      <c r="N2289" t="s">
        <v>44759</v>
      </c>
      <c r="O2289" t="s">
        <v>44760</v>
      </c>
      <c r="P2289">
        <v>0</v>
      </c>
      <c r="Q2289">
        <v>1</v>
      </c>
      <c r="R2289" t="s">
        <v>44762</v>
      </c>
      <c r="S2289" t="s">
        <v>44863</v>
      </c>
      <c r="T2289" t="s">
        <v>46425</v>
      </c>
      <c r="U2289" t="s">
        <v>48904</v>
      </c>
      <c r="W2289" t="s">
        <v>41642</v>
      </c>
      <c r="X2289" t="s">
        <v>44763</v>
      </c>
    </row>
    <row r="2290" spans="1:24">
      <c r="A2290">
        <f>HYPERLINK("https://www.philgeps.gov.ph/GEPSNONPILOT/Tender/SplashBidNoticeAbstractUI.aspx?menuIndex=3&amp;refID=7151815&amp;Result=3","7151815")</f>
        <v>0</v>
      </c>
      <c r="B2290" t="s">
        <v>402</v>
      </c>
      <c r="C2290" t="s">
        <v>5956</v>
      </c>
      <c r="D2290" t="s">
        <v>17982</v>
      </c>
      <c r="E2290" t="s">
        <v>20140</v>
      </c>
      <c r="F2290" t="s">
        <v>30900</v>
      </c>
      <c r="G2290" t="s">
        <v>30908</v>
      </c>
      <c r="H2290" t="s">
        <v>30916</v>
      </c>
      <c r="I2290" t="s">
        <v>4545</v>
      </c>
      <c r="J2290" t="s">
        <v>32724</v>
      </c>
      <c r="K2290" t="s">
        <v>40289</v>
      </c>
      <c r="M2290" t="s">
        <v>40957</v>
      </c>
      <c r="N2290" t="s">
        <v>44759</v>
      </c>
      <c r="O2290" t="s">
        <v>44760</v>
      </c>
      <c r="P2290">
        <v>0</v>
      </c>
      <c r="Q2290">
        <v>0</v>
      </c>
      <c r="R2290" t="s">
        <v>44762</v>
      </c>
      <c r="S2290" t="s">
        <v>44863</v>
      </c>
      <c r="T2290" t="s">
        <v>46383</v>
      </c>
      <c r="U2290" t="s">
        <v>48923</v>
      </c>
      <c r="W2290" t="s">
        <v>40957</v>
      </c>
      <c r="X2290" t="s">
        <v>44763</v>
      </c>
    </row>
    <row r="2291" spans="1:24">
      <c r="A2291">
        <f>HYPERLINK("https://www.philgeps.gov.ph/GEPSNONPILOT/Tender/SplashBidNoticeAbstractUI.aspx?menuIndex=3&amp;refID=7151818&amp;Result=3","7151818")</f>
        <v>0</v>
      </c>
      <c r="B2291" t="s">
        <v>1050</v>
      </c>
      <c r="C2291" t="s">
        <v>5957</v>
      </c>
      <c r="D2291" t="s">
        <v>17981</v>
      </c>
      <c r="E2291" t="s">
        <v>20141</v>
      </c>
      <c r="F2291" t="s">
        <v>30900</v>
      </c>
      <c r="G2291" t="s">
        <v>30907</v>
      </c>
      <c r="H2291" t="s">
        <v>30916</v>
      </c>
      <c r="I2291" t="s">
        <v>30942</v>
      </c>
      <c r="J2291" t="s">
        <v>32725</v>
      </c>
      <c r="K2291" t="s">
        <v>40287</v>
      </c>
      <c r="M2291" t="s">
        <v>41646</v>
      </c>
      <c r="N2291" t="s">
        <v>44759</v>
      </c>
      <c r="O2291" t="s">
        <v>44760</v>
      </c>
      <c r="P2291">
        <v>0</v>
      </c>
      <c r="Q2291">
        <v>0</v>
      </c>
      <c r="R2291" t="s">
        <v>44762</v>
      </c>
      <c r="S2291" t="s">
        <v>44863</v>
      </c>
      <c r="T2291" t="s">
        <v>46409</v>
      </c>
      <c r="U2291" t="s">
        <v>48918</v>
      </c>
      <c r="W2291" t="s">
        <v>41646</v>
      </c>
      <c r="X2291" t="s">
        <v>44763</v>
      </c>
    </row>
    <row r="2292" spans="1:24">
      <c r="A2292">
        <f>HYPERLINK("https://www.philgeps.gov.ph/GEPSNONPILOT/Tender/SplashBidNoticeAbstractUI.aspx?menuIndex=3&amp;refID=7151817&amp;Result=3","7151817")</f>
        <v>0</v>
      </c>
      <c r="B2292" t="s">
        <v>1051</v>
      </c>
      <c r="C2292" t="s">
        <v>5958</v>
      </c>
      <c r="D2292" t="s">
        <v>17953</v>
      </c>
      <c r="E2292" t="s">
        <v>20142</v>
      </c>
      <c r="F2292" t="s">
        <v>30900</v>
      </c>
      <c r="G2292" t="s">
        <v>30907</v>
      </c>
      <c r="H2292" t="s">
        <v>30916</v>
      </c>
      <c r="I2292" t="s">
        <v>6396</v>
      </c>
      <c r="J2292" t="s">
        <v>32726</v>
      </c>
      <c r="K2292" t="s">
        <v>40289</v>
      </c>
      <c r="M2292" t="s">
        <v>41647</v>
      </c>
      <c r="N2292" t="s">
        <v>44759</v>
      </c>
      <c r="O2292" t="s">
        <v>44760</v>
      </c>
      <c r="P2292">
        <v>0</v>
      </c>
      <c r="Q2292">
        <v>1</v>
      </c>
      <c r="R2292" t="s">
        <v>44762</v>
      </c>
      <c r="S2292" t="s">
        <v>44863</v>
      </c>
      <c r="T2292" t="s">
        <v>46362</v>
      </c>
      <c r="U2292" t="s">
        <v>48924</v>
      </c>
      <c r="W2292" t="s">
        <v>41647</v>
      </c>
      <c r="X2292" t="s">
        <v>44763</v>
      </c>
    </row>
    <row r="2293" spans="1:24">
      <c r="A2293">
        <f>HYPERLINK("https://www.philgeps.gov.ph/GEPSNONPILOT/Tender/SplashBidNoticeAbstractUI.aspx?menuIndex=3&amp;refID=7151803&amp;Result=3","7151803")</f>
        <v>0</v>
      </c>
      <c r="B2293" t="s">
        <v>1002</v>
      </c>
      <c r="C2293" t="s">
        <v>5814</v>
      </c>
      <c r="D2293" t="s">
        <v>17959</v>
      </c>
      <c r="E2293" t="s">
        <v>20143</v>
      </c>
      <c r="F2293" t="s">
        <v>30900</v>
      </c>
      <c r="G2293" t="s">
        <v>30909</v>
      </c>
      <c r="H2293" t="s">
        <v>30917</v>
      </c>
      <c r="I2293" t="s">
        <v>6396</v>
      </c>
      <c r="J2293" t="s">
        <v>32727</v>
      </c>
      <c r="K2293" t="s">
        <v>40288</v>
      </c>
      <c r="M2293" t="s">
        <v>41591</v>
      </c>
      <c r="N2293" t="s">
        <v>44759</v>
      </c>
      <c r="O2293" t="s">
        <v>44760</v>
      </c>
      <c r="P2293">
        <v>0</v>
      </c>
      <c r="Q2293">
        <v>1</v>
      </c>
      <c r="R2293" t="s">
        <v>44762</v>
      </c>
      <c r="S2293" t="s">
        <v>44863</v>
      </c>
      <c r="T2293" t="s">
        <v>46398</v>
      </c>
      <c r="U2293" t="s">
        <v>48925</v>
      </c>
      <c r="W2293" t="s">
        <v>41591</v>
      </c>
      <c r="X2293" t="s">
        <v>44763</v>
      </c>
    </row>
    <row r="2294" spans="1:24">
      <c r="A2294">
        <f>HYPERLINK("https://www.philgeps.gov.ph/GEPSNONPILOT/Tender/SplashBidNoticeAbstractUI.aspx?menuIndex=3&amp;refID=7151802&amp;Result=3","7151802")</f>
        <v>0</v>
      </c>
      <c r="B2294" t="s">
        <v>402</v>
      </c>
      <c r="C2294" t="s">
        <v>5959</v>
      </c>
      <c r="D2294" t="s">
        <v>17982</v>
      </c>
      <c r="E2294" t="s">
        <v>20144</v>
      </c>
      <c r="F2294" t="s">
        <v>30900</v>
      </c>
      <c r="G2294" t="s">
        <v>30908</v>
      </c>
      <c r="H2294" t="s">
        <v>30916</v>
      </c>
      <c r="I2294" t="s">
        <v>30924</v>
      </c>
      <c r="J2294" t="s">
        <v>32728</v>
      </c>
      <c r="K2294" t="s">
        <v>40289</v>
      </c>
      <c r="M2294" t="s">
        <v>40957</v>
      </c>
      <c r="N2294" t="s">
        <v>44759</v>
      </c>
      <c r="O2294" t="s">
        <v>44760</v>
      </c>
      <c r="P2294">
        <v>0</v>
      </c>
      <c r="Q2294">
        <v>1</v>
      </c>
      <c r="R2294" t="s">
        <v>44762</v>
      </c>
      <c r="S2294" t="s">
        <v>44863</v>
      </c>
      <c r="T2294" t="s">
        <v>46383</v>
      </c>
      <c r="U2294" t="s">
        <v>48926</v>
      </c>
      <c r="W2294" t="s">
        <v>40957</v>
      </c>
      <c r="X2294" t="s">
        <v>44763</v>
      </c>
    </row>
    <row r="2295" spans="1:24">
      <c r="A2295">
        <f>HYPERLINK("https://www.philgeps.gov.ph/GEPSNONPILOT/Tender/SplashBidNoticeAbstractUI.aspx?menuIndex=3&amp;refID=7151801&amp;Result=3","7151801")</f>
        <v>0</v>
      </c>
      <c r="B2295" t="s">
        <v>1052</v>
      </c>
      <c r="C2295" t="s">
        <v>5960</v>
      </c>
      <c r="D2295" t="s">
        <v>17953</v>
      </c>
      <c r="E2295" t="s">
        <v>20145</v>
      </c>
      <c r="F2295" t="s">
        <v>30900</v>
      </c>
      <c r="G2295" t="s">
        <v>30908</v>
      </c>
      <c r="H2295" t="s">
        <v>30916</v>
      </c>
      <c r="I2295" t="s">
        <v>30940</v>
      </c>
      <c r="J2295" t="s">
        <v>31625</v>
      </c>
      <c r="K2295" t="s">
        <v>40283</v>
      </c>
      <c r="M2295" t="s">
        <v>41648</v>
      </c>
      <c r="N2295" t="s">
        <v>44759</v>
      </c>
      <c r="O2295" t="s">
        <v>44760</v>
      </c>
      <c r="P2295">
        <v>0</v>
      </c>
      <c r="Q2295">
        <v>0</v>
      </c>
      <c r="R2295" t="s">
        <v>44762</v>
      </c>
      <c r="S2295" t="s">
        <v>44863</v>
      </c>
      <c r="T2295" t="s">
        <v>46547</v>
      </c>
      <c r="U2295" t="s">
        <v>48927</v>
      </c>
      <c r="W2295" t="s">
        <v>41648</v>
      </c>
      <c r="X2295" t="s">
        <v>44763</v>
      </c>
    </row>
    <row r="2296" spans="1:24">
      <c r="A2296">
        <f>HYPERLINK("https://www.philgeps.gov.ph/GEPSNONPILOT/Tender/SplashBidNoticeAbstractUI.aspx?menuIndex=3&amp;refID=7151823&amp;Result=3","7151823")</f>
        <v>0</v>
      </c>
      <c r="B2296" t="s">
        <v>1053</v>
      </c>
      <c r="C2296" t="s">
        <v>5961</v>
      </c>
      <c r="D2296" t="s">
        <v>17982</v>
      </c>
      <c r="E2296" t="s">
        <v>20146</v>
      </c>
      <c r="F2296" t="s">
        <v>30900</v>
      </c>
      <c r="G2296" t="s">
        <v>30908</v>
      </c>
      <c r="H2296" t="s">
        <v>30916</v>
      </c>
      <c r="I2296" t="s">
        <v>4545</v>
      </c>
      <c r="J2296" t="s">
        <v>32729</v>
      </c>
      <c r="K2296" t="s">
        <v>40283</v>
      </c>
      <c r="M2296" t="s">
        <v>41649</v>
      </c>
      <c r="N2296" t="s">
        <v>44759</v>
      </c>
      <c r="O2296" t="s">
        <v>44760</v>
      </c>
      <c r="P2296">
        <v>0</v>
      </c>
      <c r="Q2296">
        <v>2</v>
      </c>
      <c r="R2296" t="s">
        <v>44762</v>
      </c>
      <c r="S2296" t="s">
        <v>44863</v>
      </c>
      <c r="T2296" t="s">
        <v>46376</v>
      </c>
      <c r="U2296" t="s">
        <v>48928</v>
      </c>
      <c r="W2296" t="s">
        <v>41649</v>
      </c>
      <c r="X2296" t="s">
        <v>44763</v>
      </c>
    </row>
    <row r="2297" spans="1:24">
      <c r="A2297">
        <f>HYPERLINK("https://www.philgeps.gov.ph/GEPSNONPILOT/Tender/SplashBidNoticeAbstractUI.aspx?menuIndex=3&amp;refID=7151822&amp;Result=3","7151822")</f>
        <v>0</v>
      </c>
      <c r="B2297" t="s">
        <v>402</v>
      </c>
      <c r="C2297" t="s">
        <v>5962</v>
      </c>
      <c r="D2297" t="s">
        <v>17982</v>
      </c>
      <c r="E2297" t="s">
        <v>20147</v>
      </c>
      <c r="F2297" t="s">
        <v>30900</v>
      </c>
      <c r="G2297" t="s">
        <v>30908</v>
      </c>
      <c r="H2297" t="s">
        <v>30916</v>
      </c>
      <c r="I2297" t="s">
        <v>6408</v>
      </c>
      <c r="J2297" t="s">
        <v>32730</v>
      </c>
      <c r="K2297" t="s">
        <v>40289</v>
      </c>
      <c r="M2297" t="s">
        <v>40957</v>
      </c>
      <c r="N2297" t="s">
        <v>44759</v>
      </c>
      <c r="O2297" t="s">
        <v>44760</v>
      </c>
      <c r="P2297">
        <v>0</v>
      </c>
      <c r="Q2297">
        <v>0</v>
      </c>
      <c r="R2297" t="s">
        <v>44762</v>
      </c>
      <c r="S2297" t="s">
        <v>44863</v>
      </c>
      <c r="T2297" t="s">
        <v>46383</v>
      </c>
      <c r="U2297" t="s">
        <v>48929</v>
      </c>
      <c r="W2297" t="s">
        <v>40957</v>
      </c>
      <c r="X2297" t="s">
        <v>44763</v>
      </c>
    </row>
    <row r="2298" spans="1:24">
      <c r="A2298">
        <f>HYPERLINK("https://www.philgeps.gov.ph/GEPSNONPILOT/Tender/SplashBidNoticeAbstractUI.aspx?menuIndex=3&amp;refID=7151819&amp;Result=3","7151819")</f>
        <v>0</v>
      </c>
      <c r="B2298" t="s">
        <v>402</v>
      </c>
      <c r="C2298" t="s">
        <v>5963</v>
      </c>
      <c r="D2298" t="s">
        <v>17982</v>
      </c>
      <c r="E2298" t="s">
        <v>20148</v>
      </c>
      <c r="F2298" t="s">
        <v>30900</v>
      </c>
      <c r="G2298" t="s">
        <v>30908</v>
      </c>
      <c r="H2298" t="s">
        <v>30916</v>
      </c>
      <c r="I2298" t="s">
        <v>6408</v>
      </c>
      <c r="J2298" t="s">
        <v>32731</v>
      </c>
      <c r="K2298" t="s">
        <v>40289</v>
      </c>
      <c r="M2298" t="s">
        <v>40957</v>
      </c>
      <c r="N2298" t="s">
        <v>44759</v>
      </c>
      <c r="O2298" t="s">
        <v>44760</v>
      </c>
      <c r="P2298">
        <v>0</v>
      </c>
      <c r="Q2298">
        <v>0</v>
      </c>
      <c r="R2298" t="s">
        <v>44762</v>
      </c>
      <c r="S2298" t="s">
        <v>44863</v>
      </c>
      <c r="T2298" t="s">
        <v>46383</v>
      </c>
      <c r="U2298" t="s">
        <v>48930</v>
      </c>
      <c r="W2298" t="s">
        <v>40957</v>
      </c>
      <c r="X2298" t="s">
        <v>44763</v>
      </c>
    </row>
    <row r="2299" spans="1:24">
      <c r="A2299">
        <f>HYPERLINK("https://www.philgeps.gov.ph/GEPSNONPILOT/Tender/SplashBidNoticeAbstractUI.aspx?menuIndex=3&amp;refID=7151821&amp;Result=3","7151821")</f>
        <v>0</v>
      </c>
      <c r="B2299" t="s">
        <v>1002</v>
      </c>
      <c r="C2299" t="s">
        <v>5814</v>
      </c>
      <c r="D2299" t="s">
        <v>17959</v>
      </c>
      <c r="E2299" t="s">
        <v>20149</v>
      </c>
      <c r="F2299" t="s">
        <v>30900</v>
      </c>
      <c r="G2299" t="s">
        <v>30909</v>
      </c>
      <c r="H2299" t="s">
        <v>30917</v>
      </c>
      <c r="I2299" t="s">
        <v>6396</v>
      </c>
      <c r="J2299" t="s">
        <v>32288</v>
      </c>
      <c r="K2299" t="s">
        <v>40288</v>
      </c>
      <c r="M2299" t="s">
        <v>41591</v>
      </c>
      <c r="N2299" t="s">
        <v>44759</v>
      </c>
      <c r="O2299" t="s">
        <v>44760</v>
      </c>
      <c r="P2299">
        <v>0</v>
      </c>
      <c r="Q2299">
        <v>1</v>
      </c>
      <c r="R2299" t="s">
        <v>44762</v>
      </c>
      <c r="S2299" t="s">
        <v>44863</v>
      </c>
      <c r="T2299" t="s">
        <v>46374</v>
      </c>
      <c r="U2299" t="s">
        <v>48931</v>
      </c>
      <c r="W2299" t="s">
        <v>41591</v>
      </c>
      <c r="X2299" t="s">
        <v>44763</v>
      </c>
    </row>
    <row r="2300" spans="1:24">
      <c r="A2300">
        <f>HYPERLINK("https://www.philgeps.gov.ph/GEPSNONPILOT/Tender/SplashBidNoticeAbstractUI.aspx?menuIndex=3&amp;refID=7151835&amp;Result=3","7151835")</f>
        <v>0</v>
      </c>
      <c r="B2300" t="s">
        <v>918</v>
      </c>
      <c r="C2300" t="s">
        <v>5964</v>
      </c>
      <c r="E2300" t="s">
        <v>20150</v>
      </c>
      <c r="F2300" t="s">
        <v>30900</v>
      </c>
      <c r="G2300" t="s">
        <v>30908</v>
      </c>
      <c r="H2300" t="s">
        <v>30916</v>
      </c>
      <c r="I2300" t="s">
        <v>4545</v>
      </c>
      <c r="J2300" t="s">
        <v>32006</v>
      </c>
      <c r="K2300" t="s">
        <v>40286</v>
      </c>
      <c r="M2300" t="s">
        <v>41650</v>
      </c>
      <c r="N2300" t="s">
        <v>44759</v>
      </c>
      <c r="O2300" t="s">
        <v>44760</v>
      </c>
      <c r="P2300">
        <v>0</v>
      </c>
      <c r="Q2300">
        <v>2</v>
      </c>
      <c r="R2300" t="s">
        <v>44762</v>
      </c>
      <c r="S2300" t="s">
        <v>44863</v>
      </c>
      <c r="T2300" t="s">
        <v>46414</v>
      </c>
      <c r="U2300" t="s">
        <v>48703</v>
      </c>
      <c r="W2300" t="s">
        <v>41650</v>
      </c>
      <c r="X2300" t="s">
        <v>44763</v>
      </c>
    </row>
    <row r="2301" spans="1:24">
      <c r="A2301">
        <f>HYPERLINK("https://www.philgeps.gov.ph/GEPSNONPILOT/Tender/SplashBidNoticeAbstractUI.aspx?menuIndex=3&amp;refID=7151808&amp;Result=3","7151808")</f>
        <v>0</v>
      </c>
      <c r="B2301" t="s">
        <v>1043</v>
      </c>
      <c r="C2301" t="s">
        <v>5965</v>
      </c>
      <c r="D2301" t="s">
        <v>18000</v>
      </c>
      <c r="E2301" t="s">
        <v>20151</v>
      </c>
      <c r="F2301" t="s">
        <v>30900</v>
      </c>
      <c r="G2301" t="s">
        <v>30907</v>
      </c>
      <c r="H2301" t="s">
        <v>30916</v>
      </c>
      <c r="I2301" t="s">
        <v>4545</v>
      </c>
      <c r="J2301" t="s">
        <v>32732</v>
      </c>
      <c r="K2301" t="s">
        <v>40289</v>
      </c>
      <c r="M2301" t="s">
        <v>41642</v>
      </c>
      <c r="N2301" t="s">
        <v>44759</v>
      </c>
      <c r="O2301" t="s">
        <v>44760</v>
      </c>
      <c r="P2301">
        <v>0</v>
      </c>
      <c r="Q2301">
        <v>3</v>
      </c>
      <c r="R2301" t="s">
        <v>44762</v>
      </c>
      <c r="S2301" t="s">
        <v>44863</v>
      </c>
      <c r="T2301" t="s">
        <v>46425</v>
      </c>
      <c r="U2301" t="s">
        <v>48904</v>
      </c>
      <c r="W2301" t="s">
        <v>41642</v>
      </c>
      <c r="X2301" t="s">
        <v>44763</v>
      </c>
    </row>
    <row r="2302" spans="1:24">
      <c r="A2302">
        <f>HYPERLINK("https://www.philgeps.gov.ph/GEPSNONPILOT/Tender/SplashBidNoticeAbstractUI.aspx?menuIndex=3&amp;refID=7151833&amp;Result=3","7151833")</f>
        <v>0</v>
      </c>
      <c r="B2302" t="s">
        <v>402</v>
      </c>
      <c r="C2302" t="s">
        <v>5966</v>
      </c>
      <c r="D2302" t="s">
        <v>17982</v>
      </c>
      <c r="E2302" t="s">
        <v>20152</v>
      </c>
      <c r="F2302" t="s">
        <v>30900</v>
      </c>
      <c r="G2302" t="s">
        <v>30908</v>
      </c>
      <c r="H2302" t="s">
        <v>30916</v>
      </c>
      <c r="I2302" t="s">
        <v>6408</v>
      </c>
      <c r="J2302" t="s">
        <v>32733</v>
      </c>
      <c r="K2302" t="s">
        <v>40289</v>
      </c>
      <c r="M2302" t="s">
        <v>40957</v>
      </c>
      <c r="N2302" t="s">
        <v>44759</v>
      </c>
      <c r="O2302" t="s">
        <v>44760</v>
      </c>
      <c r="P2302">
        <v>0</v>
      </c>
      <c r="Q2302">
        <v>0</v>
      </c>
      <c r="R2302" t="s">
        <v>44762</v>
      </c>
      <c r="S2302" t="s">
        <v>44863</v>
      </c>
      <c r="T2302" t="s">
        <v>46383</v>
      </c>
      <c r="U2302" t="s">
        <v>48932</v>
      </c>
      <c r="W2302" t="s">
        <v>40957</v>
      </c>
      <c r="X2302" t="s">
        <v>44763</v>
      </c>
    </row>
    <row r="2303" spans="1:24">
      <c r="A2303">
        <f>HYPERLINK("https://www.philgeps.gov.ph/GEPSNONPILOT/Tender/SplashBidNoticeAbstractUI.aspx?menuIndex=3&amp;refID=7151816&amp;Result=3","7151816")</f>
        <v>0</v>
      </c>
      <c r="B2303" t="s">
        <v>1002</v>
      </c>
      <c r="C2303" t="s">
        <v>5814</v>
      </c>
      <c r="D2303" t="s">
        <v>17959</v>
      </c>
      <c r="E2303" t="s">
        <v>20153</v>
      </c>
      <c r="F2303" t="s">
        <v>30900</v>
      </c>
      <c r="G2303" t="s">
        <v>30909</v>
      </c>
      <c r="H2303" t="s">
        <v>30917</v>
      </c>
      <c r="I2303" t="s">
        <v>6396</v>
      </c>
      <c r="J2303" t="s">
        <v>31105</v>
      </c>
      <c r="K2303" t="s">
        <v>40288</v>
      </c>
      <c r="M2303" t="s">
        <v>41591</v>
      </c>
      <c r="N2303" t="s">
        <v>44759</v>
      </c>
      <c r="O2303" t="s">
        <v>44760</v>
      </c>
      <c r="P2303">
        <v>0</v>
      </c>
      <c r="Q2303">
        <v>3</v>
      </c>
      <c r="R2303" t="s">
        <v>44762</v>
      </c>
      <c r="S2303" t="s">
        <v>44863</v>
      </c>
      <c r="T2303" t="s">
        <v>46398</v>
      </c>
      <c r="U2303" t="s">
        <v>48933</v>
      </c>
      <c r="W2303" t="s">
        <v>41591</v>
      </c>
      <c r="X2303" t="s">
        <v>44763</v>
      </c>
    </row>
    <row r="2304" spans="1:24">
      <c r="A2304">
        <f>HYPERLINK("https://www.philgeps.gov.ph/GEPSNONPILOT/Tender/SplashBidNoticeAbstractUI.aspx?menuIndex=3&amp;refID=7151841&amp;Result=3","7151841")</f>
        <v>0</v>
      </c>
      <c r="B2304" t="s">
        <v>1054</v>
      </c>
      <c r="C2304" t="s">
        <v>5967</v>
      </c>
      <c r="E2304" t="s">
        <v>20154</v>
      </c>
      <c r="F2304" t="s">
        <v>30900</v>
      </c>
      <c r="G2304" t="s">
        <v>30909</v>
      </c>
      <c r="H2304" t="s">
        <v>30916</v>
      </c>
      <c r="I2304" t="s">
        <v>4108</v>
      </c>
      <c r="J2304" t="s">
        <v>32734</v>
      </c>
      <c r="K2304" t="s">
        <v>40289</v>
      </c>
      <c r="M2304" t="s">
        <v>41651</v>
      </c>
      <c r="N2304" t="s">
        <v>44759</v>
      </c>
      <c r="O2304" t="s">
        <v>44760</v>
      </c>
      <c r="P2304">
        <v>0</v>
      </c>
      <c r="Q2304">
        <v>4</v>
      </c>
      <c r="R2304" t="s">
        <v>44762</v>
      </c>
      <c r="S2304" t="s">
        <v>44863</v>
      </c>
      <c r="T2304" t="s">
        <v>46410</v>
      </c>
      <c r="U2304" t="s">
        <v>48934</v>
      </c>
      <c r="V2304" t="s">
        <v>59370</v>
      </c>
      <c r="W2304" t="s">
        <v>41651</v>
      </c>
      <c r="X2304" t="s">
        <v>44763</v>
      </c>
    </row>
    <row r="2305" spans="1:24">
      <c r="A2305">
        <f>HYPERLINK("https://www.philgeps.gov.ph/GEPSNONPILOT/Tender/SplashBidNoticeAbstractUI.aspx?menuIndex=3&amp;refID=7151840&amp;Result=3","7151840")</f>
        <v>0</v>
      </c>
      <c r="B2305" t="s">
        <v>1055</v>
      </c>
      <c r="C2305" t="s">
        <v>5968</v>
      </c>
      <c r="D2305" t="s">
        <v>18022</v>
      </c>
      <c r="E2305" t="s">
        <v>20155</v>
      </c>
      <c r="F2305" t="s">
        <v>30900</v>
      </c>
      <c r="G2305" t="s">
        <v>30908</v>
      </c>
      <c r="H2305" t="s">
        <v>30916</v>
      </c>
      <c r="I2305" t="s">
        <v>10602</v>
      </c>
      <c r="J2305" t="s">
        <v>32735</v>
      </c>
      <c r="K2305" t="s">
        <v>40329</v>
      </c>
      <c r="L2305" t="s">
        <v>1055</v>
      </c>
      <c r="M2305" t="s">
        <v>41652</v>
      </c>
      <c r="N2305" t="s">
        <v>44759</v>
      </c>
      <c r="O2305" t="s">
        <v>44760</v>
      </c>
      <c r="P2305">
        <v>0</v>
      </c>
      <c r="Q2305">
        <v>0</v>
      </c>
      <c r="R2305" t="s">
        <v>44762</v>
      </c>
      <c r="S2305" t="s">
        <v>44863</v>
      </c>
      <c r="T2305" t="s">
        <v>46440</v>
      </c>
      <c r="U2305" t="s">
        <v>48935</v>
      </c>
      <c r="W2305" t="s">
        <v>41652</v>
      </c>
      <c r="X2305" t="s">
        <v>44763</v>
      </c>
    </row>
    <row r="2306" spans="1:24">
      <c r="A2306">
        <f>HYPERLINK("https://www.philgeps.gov.ph/GEPSNONPILOT/Tender/SplashBidNoticeAbstractUI.aspx?menuIndex=3&amp;refID=7151836&amp;Result=3","7151836")</f>
        <v>0</v>
      </c>
      <c r="B2306" t="s">
        <v>805</v>
      </c>
      <c r="C2306" t="s">
        <v>5969</v>
      </c>
      <c r="D2306" t="s">
        <v>18006</v>
      </c>
      <c r="E2306" t="s">
        <v>20156</v>
      </c>
      <c r="F2306" t="s">
        <v>30900</v>
      </c>
      <c r="G2306" t="s">
        <v>30909</v>
      </c>
      <c r="H2306" t="s">
        <v>30916</v>
      </c>
      <c r="I2306" t="s">
        <v>6953</v>
      </c>
      <c r="J2306" t="s">
        <v>32736</v>
      </c>
      <c r="K2306" t="s">
        <v>40283</v>
      </c>
      <c r="M2306" t="s">
        <v>41375</v>
      </c>
      <c r="N2306" t="s">
        <v>44759</v>
      </c>
      <c r="O2306" t="s">
        <v>44760</v>
      </c>
      <c r="P2306">
        <v>0</v>
      </c>
      <c r="Q2306">
        <v>1</v>
      </c>
      <c r="R2306" t="s">
        <v>44762</v>
      </c>
      <c r="S2306" t="s">
        <v>44863</v>
      </c>
      <c r="T2306" t="s">
        <v>46411</v>
      </c>
      <c r="U2306" t="s">
        <v>48936</v>
      </c>
      <c r="W2306" t="s">
        <v>41375</v>
      </c>
      <c r="X2306" t="s">
        <v>44763</v>
      </c>
    </row>
    <row r="2307" spans="1:24">
      <c r="A2307">
        <f>HYPERLINK("https://www.philgeps.gov.ph/GEPSNONPILOT/Tender/SplashBidNoticeAbstractUI.aspx?menuIndex=3&amp;refID=7151834&amp;Result=3","7151834")</f>
        <v>0</v>
      </c>
      <c r="B2307" t="s">
        <v>1025</v>
      </c>
      <c r="C2307" t="s">
        <v>5970</v>
      </c>
      <c r="D2307" t="s">
        <v>17978</v>
      </c>
      <c r="E2307" t="s">
        <v>20157</v>
      </c>
      <c r="F2307" t="s">
        <v>30900</v>
      </c>
      <c r="G2307" t="s">
        <v>30907</v>
      </c>
      <c r="H2307" t="s">
        <v>30915</v>
      </c>
      <c r="I2307" t="s">
        <v>4050</v>
      </c>
      <c r="J2307" t="s">
        <v>32737</v>
      </c>
      <c r="K2307" t="s">
        <v>40284</v>
      </c>
      <c r="M2307" t="s">
        <v>41615</v>
      </c>
      <c r="N2307" t="s">
        <v>44759</v>
      </c>
      <c r="O2307" t="s">
        <v>44760</v>
      </c>
      <c r="P2307">
        <v>0</v>
      </c>
      <c r="Q2307">
        <v>0</v>
      </c>
      <c r="R2307" t="s">
        <v>44762</v>
      </c>
      <c r="S2307" t="s">
        <v>44863</v>
      </c>
      <c r="T2307" t="s">
        <v>46380</v>
      </c>
      <c r="U2307" t="s">
        <v>48897</v>
      </c>
      <c r="W2307" t="s">
        <v>41615</v>
      </c>
      <c r="X2307" t="s">
        <v>44763</v>
      </c>
    </row>
    <row r="2308" spans="1:24">
      <c r="A2308">
        <f>HYPERLINK("https://www.philgeps.gov.ph/GEPSNONPILOT/Tender/SplashBidNoticeAbstractUI.aspx?menuIndex=3&amp;refID=7151837&amp;Result=3","7151837")</f>
        <v>0</v>
      </c>
      <c r="B2308" t="s">
        <v>1056</v>
      </c>
      <c r="C2308" t="s">
        <v>5971</v>
      </c>
      <c r="D2308" t="s">
        <v>18002</v>
      </c>
      <c r="E2308" t="s">
        <v>20158</v>
      </c>
      <c r="F2308" t="s">
        <v>30900</v>
      </c>
      <c r="G2308" t="s">
        <v>30908</v>
      </c>
      <c r="H2308" t="s">
        <v>30917</v>
      </c>
      <c r="I2308" t="s">
        <v>30973</v>
      </c>
      <c r="J2308" t="s">
        <v>31501</v>
      </c>
      <c r="K2308" t="s">
        <v>40285</v>
      </c>
      <c r="M2308" t="s">
        <v>41653</v>
      </c>
      <c r="N2308" t="s">
        <v>44759</v>
      </c>
      <c r="O2308" t="s">
        <v>44760</v>
      </c>
      <c r="P2308">
        <v>0</v>
      </c>
      <c r="Q2308">
        <v>0</v>
      </c>
      <c r="R2308" t="s">
        <v>44762</v>
      </c>
      <c r="S2308" t="s">
        <v>44863</v>
      </c>
      <c r="T2308" t="s">
        <v>46589</v>
      </c>
      <c r="U2308" t="s">
        <v>48937</v>
      </c>
      <c r="W2308" t="s">
        <v>41653</v>
      </c>
      <c r="X2308" t="s">
        <v>44763</v>
      </c>
    </row>
    <row r="2309" spans="1:24">
      <c r="A2309">
        <f>HYPERLINK("https://www.philgeps.gov.ph/GEPSNONPILOT/Tender/SplashBidNoticeAbstractUI.aspx?menuIndex=3&amp;refID=7151832&amp;Result=3","7151832")</f>
        <v>0</v>
      </c>
      <c r="B2309" t="s">
        <v>1043</v>
      </c>
      <c r="C2309" t="s">
        <v>5972</v>
      </c>
      <c r="D2309" t="s">
        <v>18000</v>
      </c>
      <c r="E2309" t="s">
        <v>20159</v>
      </c>
      <c r="F2309" t="s">
        <v>30900</v>
      </c>
      <c r="G2309" t="s">
        <v>30907</v>
      </c>
      <c r="H2309" t="s">
        <v>30916</v>
      </c>
      <c r="I2309" t="s">
        <v>30936</v>
      </c>
      <c r="J2309" t="s">
        <v>32738</v>
      </c>
      <c r="K2309" t="s">
        <v>40289</v>
      </c>
      <c r="M2309" t="s">
        <v>41642</v>
      </c>
      <c r="N2309" t="s">
        <v>44759</v>
      </c>
      <c r="O2309" t="s">
        <v>44760</v>
      </c>
      <c r="P2309">
        <v>0</v>
      </c>
      <c r="Q2309">
        <v>0</v>
      </c>
      <c r="R2309" t="s">
        <v>44762</v>
      </c>
      <c r="S2309" t="s">
        <v>44863</v>
      </c>
      <c r="T2309" t="s">
        <v>46425</v>
      </c>
      <c r="U2309" t="s">
        <v>48904</v>
      </c>
      <c r="W2309" t="s">
        <v>41642</v>
      </c>
      <c r="X2309" t="s">
        <v>44763</v>
      </c>
    </row>
    <row r="2310" spans="1:24">
      <c r="A2310">
        <f>HYPERLINK("https://www.philgeps.gov.ph/GEPSNONPILOT/Tender/SplashBidNoticeAbstractUI.aspx?menuIndex=3&amp;refID=7151830&amp;Result=3","7151830")</f>
        <v>0</v>
      </c>
      <c r="B2310" t="s">
        <v>402</v>
      </c>
      <c r="C2310" t="s">
        <v>5973</v>
      </c>
      <c r="D2310" t="s">
        <v>17982</v>
      </c>
      <c r="E2310" t="s">
        <v>20160</v>
      </c>
      <c r="F2310" t="s">
        <v>30900</v>
      </c>
      <c r="G2310" t="s">
        <v>30908</v>
      </c>
      <c r="H2310" t="s">
        <v>30916</v>
      </c>
      <c r="I2310" t="s">
        <v>6408</v>
      </c>
      <c r="J2310" t="s">
        <v>32739</v>
      </c>
      <c r="K2310" t="s">
        <v>40289</v>
      </c>
      <c r="M2310" t="s">
        <v>40957</v>
      </c>
      <c r="N2310" t="s">
        <v>44759</v>
      </c>
      <c r="O2310" t="s">
        <v>44760</v>
      </c>
      <c r="P2310">
        <v>0</v>
      </c>
      <c r="Q2310">
        <v>0</v>
      </c>
      <c r="R2310" t="s">
        <v>44762</v>
      </c>
      <c r="S2310" t="s">
        <v>44863</v>
      </c>
      <c r="T2310" t="s">
        <v>46383</v>
      </c>
      <c r="U2310" t="s">
        <v>48938</v>
      </c>
      <c r="W2310" t="s">
        <v>40957</v>
      </c>
      <c r="X2310" t="s">
        <v>44763</v>
      </c>
    </row>
    <row r="2311" spans="1:24">
      <c r="A2311">
        <f>HYPERLINK("https://www.philgeps.gov.ph/GEPSNONPILOT/Tender/SplashBidNoticeAbstractUI.aspx?menuIndex=3&amp;refID=7151829&amp;Result=3","7151829")</f>
        <v>0</v>
      </c>
      <c r="B2311" t="s">
        <v>1057</v>
      </c>
      <c r="C2311" t="s">
        <v>5974</v>
      </c>
      <c r="D2311" t="s">
        <v>17989</v>
      </c>
      <c r="E2311" t="s">
        <v>20161</v>
      </c>
      <c r="F2311" t="s">
        <v>30900</v>
      </c>
      <c r="G2311" t="s">
        <v>30908</v>
      </c>
      <c r="H2311" t="s">
        <v>30915</v>
      </c>
      <c r="I2311" t="s">
        <v>30957</v>
      </c>
      <c r="J2311" t="s">
        <v>31049</v>
      </c>
      <c r="K2311" t="s">
        <v>40286</v>
      </c>
      <c r="M2311" t="s">
        <v>41654</v>
      </c>
      <c r="N2311" t="s">
        <v>44759</v>
      </c>
      <c r="O2311" t="s">
        <v>44760</v>
      </c>
      <c r="P2311">
        <v>0</v>
      </c>
      <c r="Q2311">
        <v>0</v>
      </c>
      <c r="R2311" t="s">
        <v>44762</v>
      </c>
      <c r="S2311" t="s">
        <v>44863</v>
      </c>
      <c r="T2311" t="s">
        <v>46410</v>
      </c>
      <c r="U2311" t="s">
        <v>48939</v>
      </c>
      <c r="W2311" t="s">
        <v>41654</v>
      </c>
      <c r="X2311" t="s">
        <v>44763</v>
      </c>
    </row>
    <row r="2312" spans="1:24">
      <c r="A2312">
        <f>HYPERLINK("https://www.philgeps.gov.ph/GEPSNONPILOT/Tender/SplashBidNoticeAbstractUI.aspx?menuIndex=3&amp;refID=7151814&amp;Result=3","7151814")</f>
        <v>0</v>
      </c>
      <c r="B2312" t="s">
        <v>1043</v>
      </c>
      <c r="C2312" t="s">
        <v>5975</v>
      </c>
      <c r="D2312" t="s">
        <v>18000</v>
      </c>
      <c r="E2312" t="s">
        <v>20162</v>
      </c>
      <c r="F2312" t="s">
        <v>30900</v>
      </c>
      <c r="G2312" t="s">
        <v>30907</v>
      </c>
      <c r="H2312" t="s">
        <v>30916</v>
      </c>
      <c r="I2312" t="s">
        <v>4545</v>
      </c>
      <c r="J2312" t="s">
        <v>32404</v>
      </c>
      <c r="K2312" t="s">
        <v>40289</v>
      </c>
      <c r="M2312" t="s">
        <v>41642</v>
      </c>
      <c r="N2312" t="s">
        <v>44759</v>
      </c>
      <c r="O2312" t="s">
        <v>44760</v>
      </c>
      <c r="P2312">
        <v>0</v>
      </c>
      <c r="Q2312">
        <v>2</v>
      </c>
      <c r="R2312" t="s">
        <v>44762</v>
      </c>
      <c r="S2312" t="s">
        <v>44863</v>
      </c>
      <c r="T2312" t="s">
        <v>46425</v>
      </c>
      <c r="U2312" t="s">
        <v>48904</v>
      </c>
      <c r="W2312" t="s">
        <v>41642</v>
      </c>
      <c r="X2312" t="s">
        <v>44763</v>
      </c>
    </row>
    <row r="2313" spans="1:24">
      <c r="A2313">
        <f>HYPERLINK("https://www.philgeps.gov.ph/GEPSNONPILOT/Tender/SplashBidNoticeAbstractUI.aspx?menuIndex=3&amp;refID=7151826&amp;Result=3","7151826")</f>
        <v>0</v>
      </c>
      <c r="B2313" t="s">
        <v>402</v>
      </c>
      <c r="C2313" t="s">
        <v>5976</v>
      </c>
      <c r="D2313" t="s">
        <v>17982</v>
      </c>
      <c r="E2313" t="s">
        <v>20163</v>
      </c>
      <c r="F2313" t="s">
        <v>30900</v>
      </c>
      <c r="G2313" t="s">
        <v>30908</v>
      </c>
      <c r="H2313" t="s">
        <v>30916</v>
      </c>
      <c r="I2313" t="s">
        <v>6408</v>
      </c>
      <c r="J2313" t="s">
        <v>32740</v>
      </c>
      <c r="K2313" t="s">
        <v>40289</v>
      </c>
      <c r="M2313" t="s">
        <v>40957</v>
      </c>
      <c r="N2313" t="s">
        <v>44759</v>
      </c>
      <c r="O2313" t="s">
        <v>44760</v>
      </c>
      <c r="P2313">
        <v>0</v>
      </c>
      <c r="Q2313">
        <v>0</v>
      </c>
      <c r="R2313" t="s">
        <v>44762</v>
      </c>
      <c r="S2313" t="s">
        <v>44863</v>
      </c>
      <c r="T2313" t="s">
        <v>46383</v>
      </c>
      <c r="U2313" t="s">
        <v>48940</v>
      </c>
      <c r="W2313" t="s">
        <v>40957</v>
      </c>
      <c r="X2313" t="s">
        <v>44763</v>
      </c>
    </row>
    <row r="2314" spans="1:24">
      <c r="A2314">
        <f>HYPERLINK("https://www.philgeps.gov.ph/GEPSNONPILOT/Tender/SplashBidNoticeAbstractUI.aspx?menuIndex=3&amp;refID=7151809&amp;Result=3","7151809")</f>
        <v>0</v>
      </c>
      <c r="B2314" t="s">
        <v>1058</v>
      </c>
      <c r="C2314" t="s">
        <v>5977</v>
      </c>
      <c r="D2314" t="s">
        <v>18002</v>
      </c>
      <c r="E2314" t="s">
        <v>18282</v>
      </c>
      <c r="F2314" t="s">
        <v>30900</v>
      </c>
      <c r="G2314" t="s">
        <v>30907</v>
      </c>
      <c r="H2314" t="s">
        <v>30916</v>
      </c>
      <c r="I2314" t="s">
        <v>30923</v>
      </c>
      <c r="J2314" t="s">
        <v>31101</v>
      </c>
      <c r="K2314" t="s">
        <v>40287</v>
      </c>
      <c r="M2314" t="s">
        <v>41655</v>
      </c>
      <c r="N2314" t="s">
        <v>44759</v>
      </c>
      <c r="O2314" t="s">
        <v>44760</v>
      </c>
      <c r="P2314">
        <v>0</v>
      </c>
      <c r="Q2314">
        <v>1</v>
      </c>
      <c r="R2314" t="s">
        <v>44762</v>
      </c>
      <c r="S2314" t="s">
        <v>44863</v>
      </c>
      <c r="T2314" t="s">
        <v>46362</v>
      </c>
      <c r="U2314" t="s">
        <v>48941</v>
      </c>
      <c r="W2314" t="s">
        <v>41655</v>
      </c>
      <c r="X2314" t="s">
        <v>44763</v>
      </c>
    </row>
    <row r="2315" spans="1:24">
      <c r="A2315">
        <f>HYPERLINK("https://www.philgeps.gov.ph/GEPSNONPILOT/Tender/SplashBidNoticeAbstractUI.aspx?menuIndex=3&amp;refID=7151839&amp;Result=3","7151839")</f>
        <v>0</v>
      </c>
      <c r="B2315" t="s">
        <v>402</v>
      </c>
      <c r="C2315" t="s">
        <v>5978</v>
      </c>
      <c r="D2315" t="s">
        <v>17982</v>
      </c>
      <c r="E2315" t="s">
        <v>20164</v>
      </c>
      <c r="F2315" t="s">
        <v>30900</v>
      </c>
      <c r="G2315" t="s">
        <v>30908</v>
      </c>
      <c r="H2315" t="s">
        <v>30916</v>
      </c>
      <c r="I2315" t="s">
        <v>6408</v>
      </c>
      <c r="J2315" t="s">
        <v>32741</v>
      </c>
      <c r="K2315" t="s">
        <v>40289</v>
      </c>
      <c r="M2315" t="s">
        <v>40957</v>
      </c>
      <c r="N2315" t="s">
        <v>44759</v>
      </c>
      <c r="O2315" t="s">
        <v>44760</v>
      </c>
      <c r="P2315">
        <v>0</v>
      </c>
      <c r="Q2315">
        <v>0</v>
      </c>
      <c r="R2315" t="s">
        <v>44762</v>
      </c>
      <c r="S2315" t="s">
        <v>44863</v>
      </c>
      <c r="T2315" t="s">
        <v>46383</v>
      </c>
      <c r="U2315" t="s">
        <v>48942</v>
      </c>
      <c r="W2315" t="s">
        <v>40957</v>
      </c>
      <c r="X2315" t="s">
        <v>44763</v>
      </c>
    </row>
    <row r="2316" spans="1:24">
      <c r="A2316">
        <f>HYPERLINK("https://www.philgeps.gov.ph/GEPSNONPILOT/Tender/SplashBidNoticeAbstractUI.aspx?menuIndex=3&amp;refID=7151825&amp;Result=3","7151825")</f>
        <v>0</v>
      </c>
      <c r="B2316" t="s">
        <v>1043</v>
      </c>
      <c r="C2316" t="s">
        <v>5979</v>
      </c>
      <c r="D2316" t="s">
        <v>18000</v>
      </c>
      <c r="E2316" t="s">
        <v>20165</v>
      </c>
      <c r="F2316" t="s">
        <v>30900</v>
      </c>
      <c r="G2316" t="s">
        <v>30907</v>
      </c>
      <c r="H2316" t="s">
        <v>30916</v>
      </c>
      <c r="I2316" t="s">
        <v>30940</v>
      </c>
      <c r="J2316" t="s">
        <v>32742</v>
      </c>
      <c r="K2316" t="s">
        <v>40289</v>
      </c>
      <c r="M2316" t="s">
        <v>41642</v>
      </c>
      <c r="N2316" t="s">
        <v>44759</v>
      </c>
      <c r="O2316" t="s">
        <v>44760</v>
      </c>
      <c r="P2316">
        <v>0</v>
      </c>
      <c r="Q2316">
        <v>0</v>
      </c>
      <c r="R2316" t="s">
        <v>44762</v>
      </c>
      <c r="S2316" t="s">
        <v>44863</v>
      </c>
      <c r="T2316" t="s">
        <v>46425</v>
      </c>
      <c r="U2316" t="s">
        <v>48904</v>
      </c>
      <c r="W2316" t="s">
        <v>41642</v>
      </c>
      <c r="X2316" t="s">
        <v>44763</v>
      </c>
    </row>
    <row r="2317" spans="1:24">
      <c r="A2317">
        <f>HYPERLINK("https://www.philgeps.gov.ph/GEPSNONPILOT/Tender/SplashBidNoticeAbstractUI.aspx?menuIndex=3&amp;refID=7151824&amp;Result=3","7151824")</f>
        <v>0</v>
      </c>
      <c r="B2317" t="s">
        <v>520</v>
      </c>
      <c r="C2317" t="s">
        <v>5980</v>
      </c>
      <c r="D2317" t="s">
        <v>18019</v>
      </c>
      <c r="E2317" t="s">
        <v>20166</v>
      </c>
      <c r="F2317" t="s">
        <v>30900</v>
      </c>
      <c r="G2317" t="s">
        <v>30907</v>
      </c>
      <c r="H2317" t="s">
        <v>30915</v>
      </c>
      <c r="I2317" t="s">
        <v>30919</v>
      </c>
      <c r="J2317" t="s">
        <v>32743</v>
      </c>
      <c r="K2317" t="s">
        <v>40292</v>
      </c>
      <c r="M2317" t="s">
        <v>41080</v>
      </c>
      <c r="N2317" t="s">
        <v>44759</v>
      </c>
      <c r="O2317" t="s">
        <v>44760</v>
      </c>
      <c r="P2317">
        <v>0</v>
      </c>
      <c r="Q2317">
        <v>0</v>
      </c>
      <c r="R2317" t="s">
        <v>44762</v>
      </c>
      <c r="S2317" t="s">
        <v>44863</v>
      </c>
      <c r="T2317" t="s">
        <v>46365</v>
      </c>
      <c r="U2317" t="s">
        <v>48943</v>
      </c>
      <c r="W2317" t="s">
        <v>41080</v>
      </c>
      <c r="X2317" t="s">
        <v>44763</v>
      </c>
    </row>
    <row r="2318" spans="1:24">
      <c r="A2318">
        <f>HYPERLINK("https://www.philgeps.gov.ph/GEPSNONPILOT/Tender/SplashBidNoticeAbstractUI.aspx?menuIndex=3&amp;refID=7151843&amp;Result=3","7151843")</f>
        <v>0</v>
      </c>
      <c r="B2318" t="s">
        <v>1059</v>
      </c>
      <c r="C2318" t="s">
        <v>5981</v>
      </c>
      <c r="D2318" t="s">
        <v>18019</v>
      </c>
      <c r="E2318" t="s">
        <v>20167</v>
      </c>
      <c r="F2318" t="s">
        <v>30900</v>
      </c>
      <c r="G2318" t="s">
        <v>30908</v>
      </c>
      <c r="H2318" t="s">
        <v>30916</v>
      </c>
      <c r="I2318" t="s">
        <v>30967</v>
      </c>
      <c r="J2318" t="s">
        <v>32744</v>
      </c>
      <c r="K2318" t="s">
        <v>40288</v>
      </c>
      <c r="M2318" t="s">
        <v>41656</v>
      </c>
      <c r="N2318" t="s">
        <v>44759</v>
      </c>
      <c r="O2318" t="s">
        <v>44760</v>
      </c>
      <c r="P2318">
        <v>0</v>
      </c>
      <c r="Q2318">
        <v>0</v>
      </c>
      <c r="R2318" t="s">
        <v>44762</v>
      </c>
      <c r="S2318" t="s">
        <v>44863</v>
      </c>
      <c r="T2318" t="s">
        <v>46395</v>
      </c>
      <c r="U2318" t="s">
        <v>48944</v>
      </c>
      <c r="V2318" t="s">
        <v>59371</v>
      </c>
      <c r="W2318" t="s">
        <v>41656</v>
      </c>
      <c r="X2318" t="s">
        <v>44763</v>
      </c>
    </row>
    <row r="2319" spans="1:24">
      <c r="A2319">
        <f>HYPERLINK("https://www.philgeps.gov.ph/GEPSNONPILOT/Tender/SplashBidNoticeAbstractUI.aspx?menuIndex=3&amp;refID=7151857&amp;Result=3","7151857")</f>
        <v>0</v>
      </c>
      <c r="B2319" t="s">
        <v>135</v>
      </c>
      <c r="C2319" t="s">
        <v>3974</v>
      </c>
      <c r="D2319" t="s">
        <v>17961</v>
      </c>
      <c r="E2319" t="s">
        <v>20168</v>
      </c>
      <c r="F2319" t="s">
        <v>30900</v>
      </c>
      <c r="G2319" t="s">
        <v>30910</v>
      </c>
      <c r="H2319" t="s">
        <v>30916</v>
      </c>
      <c r="I2319" t="s">
        <v>30940</v>
      </c>
      <c r="J2319" t="s">
        <v>31237</v>
      </c>
      <c r="K2319" t="s">
        <v>40287</v>
      </c>
      <c r="M2319" t="s">
        <v>40682</v>
      </c>
      <c r="N2319" t="s">
        <v>44759</v>
      </c>
      <c r="O2319" t="s">
        <v>44760</v>
      </c>
      <c r="P2319">
        <v>0</v>
      </c>
      <c r="Q2319">
        <v>1</v>
      </c>
      <c r="R2319" t="s">
        <v>44762</v>
      </c>
      <c r="S2319" t="s">
        <v>44863</v>
      </c>
      <c r="T2319" t="s">
        <v>46398</v>
      </c>
      <c r="U2319" t="s">
        <v>47147</v>
      </c>
      <c r="W2319" t="s">
        <v>40682</v>
      </c>
      <c r="X2319" t="s">
        <v>44763</v>
      </c>
    </row>
    <row r="2320" spans="1:24">
      <c r="A2320">
        <f>HYPERLINK("https://www.philgeps.gov.ph/GEPSNONPILOT/Tender/SplashBidNoticeAbstractUI.aspx?menuIndex=3&amp;refID=7151828&amp;Result=3","7151828")</f>
        <v>0</v>
      </c>
      <c r="B2320" t="s">
        <v>1060</v>
      </c>
      <c r="C2320" t="s">
        <v>5982</v>
      </c>
      <c r="D2320" t="s">
        <v>17975</v>
      </c>
      <c r="E2320" t="s">
        <v>20169</v>
      </c>
      <c r="F2320" t="s">
        <v>30900</v>
      </c>
      <c r="G2320" t="s">
        <v>30908</v>
      </c>
      <c r="H2320" t="s">
        <v>30916</v>
      </c>
      <c r="I2320" t="s">
        <v>30925</v>
      </c>
      <c r="J2320" t="s">
        <v>32745</v>
      </c>
      <c r="K2320" t="s">
        <v>40283</v>
      </c>
      <c r="M2320" t="s">
        <v>41657</v>
      </c>
      <c r="N2320" t="s">
        <v>44759</v>
      </c>
      <c r="O2320" t="s">
        <v>44760</v>
      </c>
      <c r="P2320">
        <v>0</v>
      </c>
      <c r="Q2320">
        <v>2</v>
      </c>
      <c r="R2320" t="s">
        <v>44762</v>
      </c>
      <c r="S2320" t="s">
        <v>44863</v>
      </c>
      <c r="T2320" t="s">
        <v>46393</v>
      </c>
      <c r="U2320" t="s">
        <v>48945</v>
      </c>
      <c r="W2320" t="s">
        <v>41657</v>
      </c>
      <c r="X2320" t="s">
        <v>44763</v>
      </c>
    </row>
    <row r="2321" spans="1:24">
      <c r="A2321">
        <f>HYPERLINK("https://www.philgeps.gov.ph/GEPSNONPILOT/Tender/SplashBidNoticeAbstractUI.aspx?menuIndex=3&amp;refID=7151827&amp;Result=3","7151827")</f>
        <v>0</v>
      </c>
      <c r="B2321" t="s">
        <v>805</v>
      </c>
      <c r="C2321" t="s">
        <v>5983</v>
      </c>
      <c r="D2321" t="s">
        <v>18006</v>
      </c>
      <c r="E2321" t="s">
        <v>20170</v>
      </c>
      <c r="F2321" t="s">
        <v>30900</v>
      </c>
      <c r="G2321" t="s">
        <v>30909</v>
      </c>
      <c r="H2321" t="s">
        <v>30916</v>
      </c>
      <c r="I2321" t="s">
        <v>4142</v>
      </c>
      <c r="J2321" t="s">
        <v>32746</v>
      </c>
      <c r="K2321" t="s">
        <v>40283</v>
      </c>
      <c r="M2321" t="s">
        <v>41375</v>
      </c>
      <c r="N2321" t="s">
        <v>44759</v>
      </c>
      <c r="O2321" t="s">
        <v>44760</v>
      </c>
      <c r="P2321">
        <v>0</v>
      </c>
      <c r="Q2321">
        <v>0</v>
      </c>
      <c r="R2321" t="s">
        <v>44762</v>
      </c>
      <c r="S2321" t="s">
        <v>44863</v>
      </c>
      <c r="T2321" t="s">
        <v>46411</v>
      </c>
      <c r="U2321" t="s">
        <v>48946</v>
      </c>
      <c r="W2321" t="s">
        <v>41375</v>
      </c>
      <c r="X2321" t="s">
        <v>44763</v>
      </c>
    </row>
    <row r="2322" spans="1:24">
      <c r="A2322">
        <f>HYPERLINK("https://www.philgeps.gov.ph/GEPSNONPILOT/Tender/SplashBidNoticeAbstractUI.aspx?menuIndex=3&amp;refID=7151853&amp;Result=3","7151853")</f>
        <v>0</v>
      </c>
      <c r="B2322" t="s">
        <v>1043</v>
      </c>
      <c r="C2322" t="s">
        <v>5984</v>
      </c>
      <c r="D2322" t="s">
        <v>18000</v>
      </c>
      <c r="E2322" t="s">
        <v>20171</v>
      </c>
      <c r="F2322" t="s">
        <v>30900</v>
      </c>
      <c r="G2322" t="s">
        <v>30908</v>
      </c>
      <c r="H2322" t="s">
        <v>30916</v>
      </c>
      <c r="I2322" t="s">
        <v>10602</v>
      </c>
      <c r="J2322" t="s">
        <v>31183</v>
      </c>
      <c r="K2322" t="s">
        <v>40289</v>
      </c>
      <c r="M2322" t="s">
        <v>41642</v>
      </c>
      <c r="N2322" t="s">
        <v>44759</v>
      </c>
      <c r="O2322" t="s">
        <v>44760</v>
      </c>
      <c r="P2322">
        <v>0</v>
      </c>
      <c r="Q2322">
        <v>0</v>
      </c>
      <c r="R2322" t="s">
        <v>44762</v>
      </c>
      <c r="S2322" t="s">
        <v>44863</v>
      </c>
      <c r="T2322" t="s">
        <v>46425</v>
      </c>
      <c r="U2322" t="s">
        <v>48904</v>
      </c>
      <c r="W2322" t="s">
        <v>41642</v>
      </c>
      <c r="X2322" t="s">
        <v>44763</v>
      </c>
    </row>
    <row r="2323" spans="1:24">
      <c r="A2323">
        <f>HYPERLINK("https://www.philgeps.gov.ph/GEPSNONPILOT/Tender/SplashBidNoticeAbstractUI.aspx?menuIndex=3&amp;refID=7151838&amp;Result=3","7151838")</f>
        <v>0</v>
      </c>
      <c r="B2323" t="s">
        <v>1043</v>
      </c>
      <c r="C2323" t="s">
        <v>5985</v>
      </c>
      <c r="D2323" t="s">
        <v>18000</v>
      </c>
      <c r="E2323" t="s">
        <v>20172</v>
      </c>
      <c r="F2323" t="s">
        <v>30900</v>
      </c>
      <c r="G2323" t="s">
        <v>30907</v>
      </c>
      <c r="H2323" t="s">
        <v>30916</v>
      </c>
      <c r="I2323" t="s">
        <v>4545</v>
      </c>
      <c r="J2323" t="s">
        <v>32747</v>
      </c>
      <c r="K2323" t="s">
        <v>40289</v>
      </c>
      <c r="M2323" t="s">
        <v>41642</v>
      </c>
      <c r="N2323" t="s">
        <v>44759</v>
      </c>
      <c r="O2323" t="s">
        <v>44760</v>
      </c>
      <c r="P2323">
        <v>0</v>
      </c>
      <c r="Q2323">
        <v>0</v>
      </c>
      <c r="R2323" t="s">
        <v>44762</v>
      </c>
      <c r="S2323" t="s">
        <v>44863</v>
      </c>
      <c r="T2323" t="s">
        <v>46425</v>
      </c>
      <c r="U2323" t="s">
        <v>48904</v>
      </c>
      <c r="W2323" t="s">
        <v>41642</v>
      </c>
      <c r="X2323" t="s">
        <v>44763</v>
      </c>
    </row>
    <row r="2324" spans="1:24">
      <c r="A2324">
        <f>HYPERLINK("https://www.philgeps.gov.ph/GEPSNONPILOT/Tender/SplashBidNoticeAbstractUI.aspx?menuIndex=3&amp;refID=7151851&amp;Result=3","7151851")</f>
        <v>0</v>
      </c>
      <c r="B2324" t="s">
        <v>520</v>
      </c>
      <c r="C2324" t="s">
        <v>5986</v>
      </c>
      <c r="D2324" t="s">
        <v>18019</v>
      </c>
      <c r="E2324" t="s">
        <v>20173</v>
      </c>
      <c r="F2324" t="s">
        <v>30900</v>
      </c>
      <c r="G2324" t="s">
        <v>30907</v>
      </c>
      <c r="H2324" t="s">
        <v>30915</v>
      </c>
      <c r="I2324" t="s">
        <v>30971</v>
      </c>
      <c r="J2324" t="s">
        <v>32748</v>
      </c>
      <c r="K2324" t="s">
        <v>40280</v>
      </c>
      <c r="M2324" t="s">
        <v>41080</v>
      </c>
      <c r="N2324" t="s">
        <v>44759</v>
      </c>
      <c r="O2324" t="s">
        <v>44760</v>
      </c>
      <c r="P2324">
        <v>0</v>
      </c>
      <c r="Q2324">
        <v>2</v>
      </c>
      <c r="R2324" t="s">
        <v>44762</v>
      </c>
      <c r="S2324" t="s">
        <v>44863</v>
      </c>
      <c r="T2324" t="s">
        <v>46365</v>
      </c>
      <c r="U2324" t="s">
        <v>48947</v>
      </c>
      <c r="W2324" t="s">
        <v>41080</v>
      </c>
      <c r="X2324" t="s">
        <v>44763</v>
      </c>
    </row>
    <row r="2325" spans="1:24">
      <c r="A2325">
        <f>HYPERLINK("https://www.philgeps.gov.ph/GEPSNONPILOT/Tender/SplashBidNoticeAbstractUI.aspx?menuIndex=3&amp;refID=7151842&amp;Result=3","7151842")</f>
        <v>0</v>
      </c>
      <c r="B2325" t="s">
        <v>402</v>
      </c>
      <c r="C2325" t="s">
        <v>5987</v>
      </c>
      <c r="D2325" t="s">
        <v>17982</v>
      </c>
      <c r="E2325" t="s">
        <v>20174</v>
      </c>
      <c r="F2325" t="s">
        <v>30900</v>
      </c>
      <c r="G2325" t="s">
        <v>30908</v>
      </c>
      <c r="H2325" t="s">
        <v>30916</v>
      </c>
      <c r="I2325" t="s">
        <v>30924</v>
      </c>
      <c r="J2325" t="s">
        <v>32749</v>
      </c>
      <c r="K2325" t="s">
        <v>40289</v>
      </c>
      <c r="M2325" t="s">
        <v>40957</v>
      </c>
      <c r="N2325" t="s">
        <v>44759</v>
      </c>
      <c r="O2325" t="s">
        <v>44760</v>
      </c>
      <c r="P2325">
        <v>0</v>
      </c>
      <c r="Q2325">
        <v>0</v>
      </c>
      <c r="R2325" t="s">
        <v>44762</v>
      </c>
      <c r="S2325" t="s">
        <v>44863</v>
      </c>
      <c r="T2325" t="s">
        <v>46383</v>
      </c>
      <c r="U2325" t="s">
        <v>48948</v>
      </c>
      <c r="W2325" t="s">
        <v>40957</v>
      </c>
      <c r="X2325" t="s">
        <v>44763</v>
      </c>
    </row>
    <row r="2326" spans="1:24">
      <c r="A2326">
        <f>HYPERLINK("https://www.philgeps.gov.ph/GEPSNONPILOT/Tender/SplashBidNoticeAbstractUI.aspx?menuIndex=3&amp;refID=7151850&amp;Result=3","7151850")</f>
        <v>0</v>
      </c>
      <c r="B2326" t="s">
        <v>1061</v>
      </c>
      <c r="C2326" t="s">
        <v>5988</v>
      </c>
      <c r="D2326" t="s">
        <v>17993</v>
      </c>
      <c r="E2326" t="s">
        <v>18158</v>
      </c>
      <c r="F2326" t="s">
        <v>30900</v>
      </c>
      <c r="G2326" t="s">
        <v>30907</v>
      </c>
      <c r="H2326" t="s">
        <v>30916</v>
      </c>
      <c r="I2326" t="s">
        <v>30924</v>
      </c>
      <c r="J2326" t="s">
        <v>31049</v>
      </c>
      <c r="K2326" t="s">
        <v>40286</v>
      </c>
      <c r="M2326" t="s">
        <v>41658</v>
      </c>
      <c r="N2326" t="s">
        <v>44759</v>
      </c>
      <c r="O2326" t="s">
        <v>44760</v>
      </c>
      <c r="P2326">
        <v>0</v>
      </c>
      <c r="Q2326">
        <v>1</v>
      </c>
      <c r="R2326" t="s">
        <v>44762</v>
      </c>
      <c r="S2326" t="s">
        <v>44863</v>
      </c>
      <c r="T2326" t="s">
        <v>46389</v>
      </c>
      <c r="U2326" t="s">
        <v>48949</v>
      </c>
      <c r="V2326" t="s">
        <v>59372</v>
      </c>
      <c r="W2326" t="s">
        <v>41658</v>
      </c>
      <c r="X2326" t="s">
        <v>44763</v>
      </c>
    </row>
    <row r="2327" spans="1:24">
      <c r="A2327">
        <f>HYPERLINK("https://www.philgeps.gov.ph/GEPSNONPILOT/Tender/SplashBidNoticeAbstractUI.aspx?menuIndex=3&amp;refID=7151856&amp;Result=3","7151856")</f>
        <v>0</v>
      </c>
      <c r="B2327" t="s">
        <v>1062</v>
      </c>
      <c r="C2327" t="s">
        <v>5989</v>
      </c>
      <c r="D2327" t="s">
        <v>17954</v>
      </c>
      <c r="E2327" t="s">
        <v>18746</v>
      </c>
      <c r="F2327" t="s">
        <v>30900</v>
      </c>
      <c r="G2327" t="s">
        <v>30907</v>
      </c>
      <c r="H2327" t="s">
        <v>30916</v>
      </c>
      <c r="I2327" t="s">
        <v>10847</v>
      </c>
      <c r="J2327" t="s">
        <v>32750</v>
      </c>
      <c r="K2327" t="s">
        <v>40281</v>
      </c>
      <c r="M2327" t="s">
        <v>41659</v>
      </c>
      <c r="N2327" t="s">
        <v>44759</v>
      </c>
      <c r="O2327" t="s">
        <v>44760</v>
      </c>
      <c r="P2327">
        <v>0</v>
      </c>
      <c r="Q2327">
        <v>0</v>
      </c>
      <c r="R2327" t="s">
        <v>44762</v>
      </c>
      <c r="S2327" t="s">
        <v>44863</v>
      </c>
      <c r="T2327" t="s">
        <v>46472</v>
      </c>
      <c r="U2327" t="s">
        <v>48950</v>
      </c>
      <c r="W2327" t="s">
        <v>41659</v>
      </c>
      <c r="X2327" t="s">
        <v>44763</v>
      </c>
    </row>
    <row r="2328" spans="1:24">
      <c r="A2328">
        <f>HYPERLINK("https://www.philgeps.gov.ph/GEPSNONPILOT/Tender/SplashBidNoticeAbstractUI.aspx?menuIndex=3&amp;refID=7151864&amp;Result=3","7151864")</f>
        <v>0</v>
      </c>
      <c r="B2328" t="s">
        <v>1062</v>
      </c>
      <c r="C2328" t="s">
        <v>5990</v>
      </c>
      <c r="D2328" t="s">
        <v>17954</v>
      </c>
      <c r="E2328" t="s">
        <v>19056</v>
      </c>
      <c r="F2328" t="s">
        <v>30900</v>
      </c>
      <c r="G2328" t="s">
        <v>30907</v>
      </c>
      <c r="H2328" t="s">
        <v>30915</v>
      </c>
      <c r="I2328" t="s">
        <v>30919</v>
      </c>
      <c r="J2328" t="s">
        <v>31096</v>
      </c>
      <c r="K2328" t="s">
        <v>40283</v>
      </c>
      <c r="M2328" t="s">
        <v>41659</v>
      </c>
      <c r="N2328" t="s">
        <v>44759</v>
      </c>
      <c r="O2328" t="s">
        <v>44760</v>
      </c>
      <c r="P2328">
        <v>0</v>
      </c>
      <c r="Q2328">
        <v>0</v>
      </c>
      <c r="R2328" t="s">
        <v>44762</v>
      </c>
      <c r="S2328" t="s">
        <v>44863</v>
      </c>
      <c r="T2328" t="s">
        <v>46389</v>
      </c>
      <c r="U2328" t="s">
        <v>48951</v>
      </c>
      <c r="W2328" t="s">
        <v>41659</v>
      </c>
      <c r="X2328" t="s">
        <v>44763</v>
      </c>
    </row>
    <row r="2329" spans="1:24">
      <c r="A2329">
        <f>HYPERLINK("https://www.philgeps.gov.ph/GEPSNONPILOT/Tender/SplashBidNoticeAbstractUI.aspx?menuIndex=3&amp;refID=7151863&amp;Result=3","7151863")</f>
        <v>0</v>
      </c>
      <c r="B2329" t="s">
        <v>1063</v>
      </c>
      <c r="C2329" t="s">
        <v>5991</v>
      </c>
      <c r="D2329" t="s">
        <v>17959</v>
      </c>
      <c r="E2329" t="s">
        <v>18664</v>
      </c>
      <c r="F2329" t="s">
        <v>30900</v>
      </c>
      <c r="G2329" t="s">
        <v>30909</v>
      </c>
      <c r="H2329" t="s">
        <v>30916</v>
      </c>
      <c r="I2329" t="s">
        <v>8044</v>
      </c>
      <c r="J2329" t="s">
        <v>32751</v>
      </c>
      <c r="K2329" t="s">
        <v>40287</v>
      </c>
      <c r="M2329" t="s">
        <v>41660</v>
      </c>
      <c r="N2329" t="s">
        <v>44759</v>
      </c>
      <c r="O2329" t="s">
        <v>44760</v>
      </c>
      <c r="P2329">
        <v>0</v>
      </c>
      <c r="Q2329">
        <v>3</v>
      </c>
      <c r="R2329" t="s">
        <v>44762</v>
      </c>
      <c r="S2329" t="s">
        <v>44863</v>
      </c>
      <c r="T2329" t="s">
        <v>46590</v>
      </c>
      <c r="U2329" t="s">
        <v>48952</v>
      </c>
      <c r="W2329" t="s">
        <v>41660</v>
      </c>
      <c r="X2329" t="s">
        <v>44763</v>
      </c>
    </row>
    <row r="2330" spans="1:24">
      <c r="A2330">
        <f>HYPERLINK("https://www.philgeps.gov.ph/GEPSNONPILOT/Tender/SplashBidNoticeAbstractUI.aspx?menuIndex=3&amp;refID=7151844&amp;Result=3","7151844")</f>
        <v>0</v>
      </c>
      <c r="B2330" t="s">
        <v>1064</v>
      </c>
      <c r="C2330" t="s">
        <v>5992</v>
      </c>
      <c r="D2330" t="s">
        <v>17963</v>
      </c>
      <c r="E2330" t="s">
        <v>20175</v>
      </c>
      <c r="F2330" t="s">
        <v>30900</v>
      </c>
      <c r="G2330" t="s">
        <v>30907</v>
      </c>
      <c r="H2330" t="s">
        <v>30915</v>
      </c>
      <c r="I2330" t="s">
        <v>30919</v>
      </c>
      <c r="J2330" t="s">
        <v>32752</v>
      </c>
      <c r="K2330" t="s">
        <v>40291</v>
      </c>
      <c r="M2330" t="s">
        <v>41661</v>
      </c>
      <c r="N2330" t="s">
        <v>44759</v>
      </c>
      <c r="O2330" t="s">
        <v>44760</v>
      </c>
      <c r="P2330">
        <v>0</v>
      </c>
      <c r="Q2330">
        <v>0</v>
      </c>
      <c r="R2330" t="s">
        <v>44762</v>
      </c>
      <c r="S2330" t="s">
        <v>44863</v>
      </c>
      <c r="T2330" t="s">
        <v>46375</v>
      </c>
      <c r="U2330" t="s">
        <v>48953</v>
      </c>
      <c r="W2330" t="s">
        <v>41661</v>
      </c>
      <c r="X2330" t="s">
        <v>44763</v>
      </c>
    </row>
    <row r="2331" spans="1:24">
      <c r="A2331">
        <f>HYPERLINK("https://www.philgeps.gov.ph/GEPSNONPILOT/Tender/SplashBidNoticeAbstractUI.aspx?menuIndex=3&amp;refID=7151862&amp;Result=3","7151862")</f>
        <v>0</v>
      </c>
      <c r="B2331" t="s">
        <v>248</v>
      </c>
      <c r="C2331" t="s">
        <v>5993</v>
      </c>
      <c r="D2331" t="s">
        <v>17966</v>
      </c>
      <c r="E2331" t="s">
        <v>20176</v>
      </c>
      <c r="F2331" t="s">
        <v>30900</v>
      </c>
      <c r="G2331" t="s">
        <v>30907</v>
      </c>
      <c r="H2331" t="s">
        <v>30916</v>
      </c>
      <c r="I2331" t="s">
        <v>30932</v>
      </c>
      <c r="J2331" t="s">
        <v>32753</v>
      </c>
      <c r="K2331" t="s">
        <v>40280</v>
      </c>
      <c r="M2331" t="s">
        <v>40795</v>
      </c>
      <c r="N2331" t="s">
        <v>44759</v>
      </c>
      <c r="O2331" t="s">
        <v>44760</v>
      </c>
      <c r="P2331">
        <v>0</v>
      </c>
      <c r="Q2331">
        <v>2</v>
      </c>
      <c r="R2331" t="s">
        <v>44762</v>
      </c>
      <c r="S2331" t="s">
        <v>44863</v>
      </c>
      <c r="T2331" t="s">
        <v>46380</v>
      </c>
      <c r="U2331" t="s">
        <v>48954</v>
      </c>
      <c r="W2331" t="s">
        <v>40795</v>
      </c>
      <c r="X2331" t="s">
        <v>44763</v>
      </c>
    </row>
    <row r="2332" spans="1:24">
      <c r="A2332">
        <f>HYPERLINK("https://www.philgeps.gov.ph/GEPSNONPILOT/Tender/SplashBidNoticeAbstractUI.aspx?menuIndex=3&amp;refID=7151852&amp;Result=3","7151852")</f>
        <v>0</v>
      </c>
      <c r="B2332" t="s">
        <v>248</v>
      </c>
      <c r="C2332" t="s">
        <v>5994</v>
      </c>
      <c r="D2332" t="s">
        <v>17966</v>
      </c>
      <c r="E2332" t="s">
        <v>20177</v>
      </c>
      <c r="F2332" t="s">
        <v>30900</v>
      </c>
      <c r="G2332" t="s">
        <v>30907</v>
      </c>
      <c r="H2332" t="s">
        <v>30916</v>
      </c>
      <c r="I2332" t="s">
        <v>30924</v>
      </c>
      <c r="J2332" t="s">
        <v>32754</v>
      </c>
      <c r="K2332" t="s">
        <v>40286</v>
      </c>
      <c r="M2332" t="s">
        <v>40795</v>
      </c>
      <c r="N2332" t="s">
        <v>44759</v>
      </c>
      <c r="O2332" t="s">
        <v>44760</v>
      </c>
      <c r="P2332">
        <v>0</v>
      </c>
      <c r="Q2332">
        <v>2</v>
      </c>
      <c r="R2332" t="s">
        <v>44762</v>
      </c>
      <c r="S2332" t="s">
        <v>44863</v>
      </c>
      <c r="T2332" t="s">
        <v>46380</v>
      </c>
      <c r="U2332" t="s">
        <v>48955</v>
      </c>
      <c r="W2332" t="s">
        <v>40795</v>
      </c>
      <c r="X2332" t="s">
        <v>44763</v>
      </c>
    </row>
    <row r="2333" spans="1:24">
      <c r="A2333">
        <f>HYPERLINK("https://www.philgeps.gov.ph/GEPSNONPILOT/Tender/SplashBidNoticeAbstractUI.aspx?menuIndex=3&amp;refID=7151860&amp;Result=3","7151860")</f>
        <v>0</v>
      </c>
      <c r="B2333" t="s">
        <v>1065</v>
      </c>
      <c r="C2333" t="s">
        <v>5995</v>
      </c>
      <c r="D2333" t="s">
        <v>17953</v>
      </c>
      <c r="E2333" t="s">
        <v>20178</v>
      </c>
      <c r="F2333" t="s">
        <v>30900</v>
      </c>
      <c r="G2333" t="s">
        <v>30908</v>
      </c>
      <c r="H2333" t="s">
        <v>30916</v>
      </c>
      <c r="I2333" t="s">
        <v>4142</v>
      </c>
      <c r="J2333" t="s">
        <v>32755</v>
      </c>
      <c r="K2333" t="s">
        <v>40284</v>
      </c>
      <c r="M2333" t="s">
        <v>41662</v>
      </c>
      <c r="N2333" t="s">
        <v>44759</v>
      </c>
      <c r="O2333" t="s">
        <v>44760</v>
      </c>
      <c r="P2333">
        <v>0</v>
      </c>
      <c r="Q2333">
        <v>2</v>
      </c>
      <c r="R2333" t="s">
        <v>44762</v>
      </c>
      <c r="S2333" t="s">
        <v>44863</v>
      </c>
      <c r="T2333" t="s">
        <v>46398</v>
      </c>
      <c r="U2333" t="s">
        <v>48956</v>
      </c>
      <c r="W2333" t="s">
        <v>41662</v>
      </c>
      <c r="X2333" t="s">
        <v>44763</v>
      </c>
    </row>
    <row r="2334" spans="1:24">
      <c r="A2334">
        <f>HYPERLINK("https://www.philgeps.gov.ph/GEPSNONPILOT/Tender/SplashBidNoticeAbstractUI.aspx?menuIndex=3&amp;refID=7151858&amp;Result=3","7151858")</f>
        <v>0</v>
      </c>
      <c r="B2334" t="s">
        <v>1066</v>
      </c>
      <c r="C2334" t="s">
        <v>5996</v>
      </c>
      <c r="D2334" t="s">
        <v>17970</v>
      </c>
      <c r="E2334" t="s">
        <v>20179</v>
      </c>
      <c r="F2334" t="s">
        <v>30900</v>
      </c>
      <c r="G2334" t="s">
        <v>30907</v>
      </c>
      <c r="H2334" t="s">
        <v>30916</v>
      </c>
      <c r="I2334" t="s">
        <v>8123</v>
      </c>
      <c r="J2334" t="s">
        <v>32756</v>
      </c>
      <c r="K2334" t="s">
        <v>40286</v>
      </c>
      <c r="M2334" t="s">
        <v>41663</v>
      </c>
      <c r="N2334" t="s">
        <v>44759</v>
      </c>
      <c r="O2334" t="s">
        <v>44760</v>
      </c>
      <c r="P2334">
        <v>0</v>
      </c>
      <c r="Q2334">
        <v>0</v>
      </c>
      <c r="R2334" t="s">
        <v>44762</v>
      </c>
      <c r="S2334" t="s">
        <v>44863</v>
      </c>
      <c r="T2334" t="s">
        <v>46377</v>
      </c>
      <c r="U2334" t="s">
        <v>48957</v>
      </c>
      <c r="V2334" t="s">
        <v>59373</v>
      </c>
      <c r="W2334" t="s">
        <v>41663</v>
      </c>
      <c r="X2334" t="s">
        <v>44763</v>
      </c>
    </row>
    <row r="2335" spans="1:24">
      <c r="A2335">
        <f>HYPERLINK("https://www.philgeps.gov.ph/GEPSNONPILOT/Tender/SplashBidNoticeAbstractUI.aspx?menuIndex=3&amp;refID=7151762&amp;Result=3","7151762")</f>
        <v>0</v>
      </c>
      <c r="B2335" t="s">
        <v>1067</v>
      </c>
      <c r="C2335" t="s">
        <v>5997</v>
      </c>
      <c r="E2335" t="s">
        <v>20180</v>
      </c>
      <c r="F2335" t="s">
        <v>30900</v>
      </c>
      <c r="G2335" t="s">
        <v>30907</v>
      </c>
      <c r="H2335" t="s">
        <v>30916</v>
      </c>
      <c r="I2335" t="s">
        <v>5830</v>
      </c>
      <c r="J2335" t="s">
        <v>32757</v>
      </c>
      <c r="K2335" t="s">
        <v>40286</v>
      </c>
      <c r="M2335" t="s">
        <v>41664</v>
      </c>
      <c r="N2335" t="s">
        <v>44759</v>
      </c>
      <c r="O2335" t="s">
        <v>44760</v>
      </c>
      <c r="P2335">
        <v>0</v>
      </c>
      <c r="Q2335">
        <v>7</v>
      </c>
      <c r="R2335" t="s">
        <v>44762</v>
      </c>
      <c r="S2335" t="s">
        <v>44863</v>
      </c>
      <c r="T2335" t="s">
        <v>46405</v>
      </c>
      <c r="U2335" t="s">
        <v>48958</v>
      </c>
      <c r="W2335" t="s">
        <v>60847</v>
      </c>
      <c r="X2335" t="s">
        <v>44763</v>
      </c>
    </row>
    <row r="2336" spans="1:24">
      <c r="A2336">
        <f>HYPERLINK("https://www.philgeps.gov.ph/GEPSNONPILOT/Tender/SplashBidNoticeAbstractUI.aspx?menuIndex=3&amp;refID=7151846&amp;Result=3","7151846")</f>
        <v>0</v>
      </c>
      <c r="B2336" t="s">
        <v>248</v>
      </c>
      <c r="C2336" t="s">
        <v>5998</v>
      </c>
      <c r="D2336" t="s">
        <v>17966</v>
      </c>
      <c r="E2336" t="s">
        <v>20181</v>
      </c>
      <c r="F2336" t="s">
        <v>30900</v>
      </c>
      <c r="G2336" t="s">
        <v>30907</v>
      </c>
      <c r="H2336" t="s">
        <v>30916</v>
      </c>
      <c r="I2336" t="s">
        <v>30924</v>
      </c>
      <c r="J2336" t="s">
        <v>32314</v>
      </c>
      <c r="K2336" t="s">
        <v>40286</v>
      </c>
      <c r="M2336" t="s">
        <v>40795</v>
      </c>
      <c r="N2336" t="s">
        <v>44759</v>
      </c>
      <c r="O2336" t="s">
        <v>44760</v>
      </c>
      <c r="P2336">
        <v>0</v>
      </c>
      <c r="Q2336">
        <v>2</v>
      </c>
      <c r="R2336" t="s">
        <v>44762</v>
      </c>
      <c r="S2336" t="s">
        <v>44863</v>
      </c>
      <c r="T2336" t="s">
        <v>46380</v>
      </c>
      <c r="U2336" t="s">
        <v>48959</v>
      </c>
      <c r="W2336" t="s">
        <v>40795</v>
      </c>
      <c r="X2336" t="s">
        <v>44763</v>
      </c>
    </row>
    <row r="2337" spans="1:24">
      <c r="A2337">
        <f>HYPERLINK("https://www.philgeps.gov.ph/GEPSNONPILOT/Tender/SplashBidNoticeAbstractUI.aspx?menuIndex=3&amp;refID=7151845&amp;Result=3","7151845")</f>
        <v>0</v>
      </c>
      <c r="B2337" t="s">
        <v>1043</v>
      </c>
      <c r="C2337" t="s">
        <v>5999</v>
      </c>
      <c r="D2337" t="s">
        <v>18000</v>
      </c>
      <c r="E2337" t="s">
        <v>20182</v>
      </c>
      <c r="F2337" t="s">
        <v>30900</v>
      </c>
      <c r="G2337" t="s">
        <v>30907</v>
      </c>
      <c r="H2337" t="s">
        <v>30916</v>
      </c>
      <c r="I2337" t="s">
        <v>31004</v>
      </c>
      <c r="J2337" t="s">
        <v>31139</v>
      </c>
      <c r="K2337" t="s">
        <v>40289</v>
      </c>
      <c r="M2337" t="s">
        <v>41642</v>
      </c>
      <c r="N2337" t="s">
        <v>44759</v>
      </c>
      <c r="O2337" t="s">
        <v>44760</v>
      </c>
      <c r="P2337">
        <v>0</v>
      </c>
      <c r="Q2337">
        <v>1</v>
      </c>
      <c r="R2337" t="s">
        <v>44762</v>
      </c>
      <c r="S2337" t="s">
        <v>44863</v>
      </c>
      <c r="T2337" t="s">
        <v>46425</v>
      </c>
      <c r="U2337" t="s">
        <v>48904</v>
      </c>
      <c r="W2337" t="s">
        <v>41642</v>
      </c>
      <c r="X2337" t="s">
        <v>44763</v>
      </c>
    </row>
    <row r="2338" spans="1:24">
      <c r="A2338">
        <f>HYPERLINK("https://www.philgeps.gov.ph/GEPSNONPILOT/Tender/SplashBidNoticeAbstractUI.aspx?menuIndex=3&amp;refID=7151849&amp;Result=3","7151849")</f>
        <v>0</v>
      </c>
      <c r="B2338" t="s">
        <v>1043</v>
      </c>
      <c r="C2338" t="s">
        <v>6000</v>
      </c>
      <c r="D2338" t="s">
        <v>18000</v>
      </c>
      <c r="E2338" t="s">
        <v>20183</v>
      </c>
      <c r="F2338" t="s">
        <v>30900</v>
      </c>
      <c r="G2338" t="s">
        <v>30907</v>
      </c>
      <c r="H2338" t="s">
        <v>30916</v>
      </c>
      <c r="I2338" t="s">
        <v>10602</v>
      </c>
      <c r="J2338" t="s">
        <v>32758</v>
      </c>
      <c r="K2338" t="s">
        <v>40289</v>
      </c>
      <c r="M2338" t="s">
        <v>41642</v>
      </c>
      <c r="N2338" t="s">
        <v>44759</v>
      </c>
      <c r="O2338" t="s">
        <v>44760</v>
      </c>
      <c r="P2338">
        <v>0</v>
      </c>
      <c r="Q2338">
        <v>0</v>
      </c>
      <c r="R2338" t="s">
        <v>44762</v>
      </c>
      <c r="S2338" t="s">
        <v>44863</v>
      </c>
      <c r="T2338" t="s">
        <v>46425</v>
      </c>
      <c r="U2338" t="s">
        <v>48904</v>
      </c>
      <c r="W2338" t="s">
        <v>41642</v>
      </c>
      <c r="X2338" t="s">
        <v>44763</v>
      </c>
    </row>
    <row r="2339" spans="1:24">
      <c r="A2339">
        <f>HYPERLINK("https://www.philgeps.gov.ph/GEPSNONPILOT/Tender/SplashBidNoticeAbstractUI.aspx?menuIndex=3&amp;refID=7151865&amp;Result=3","7151865")</f>
        <v>0</v>
      </c>
      <c r="B2339" t="s">
        <v>1064</v>
      </c>
      <c r="C2339" t="s">
        <v>6001</v>
      </c>
      <c r="D2339" t="s">
        <v>17963</v>
      </c>
      <c r="E2339" t="s">
        <v>20175</v>
      </c>
      <c r="F2339" t="s">
        <v>30900</v>
      </c>
      <c r="G2339" t="s">
        <v>30907</v>
      </c>
      <c r="H2339" t="s">
        <v>30915</v>
      </c>
      <c r="I2339" t="s">
        <v>30919</v>
      </c>
      <c r="J2339" t="s">
        <v>32752</v>
      </c>
      <c r="K2339" t="s">
        <v>40291</v>
      </c>
      <c r="M2339" t="s">
        <v>41661</v>
      </c>
      <c r="N2339" t="s">
        <v>44759</v>
      </c>
      <c r="O2339" t="s">
        <v>44760</v>
      </c>
      <c r="P2339">
        <v>0</v>
      </c>
      <c r="Q2339">
        <v>0</v>
      </c>
      <c r="R2339" t="s">
        <v>44762</v>
      </c>
      <c r="S2339" t="s">
        <v>44863</v>
      </c>
      <c r="T2339" t="s">
        <v>46375</v>
      </c>
      <c r="U2339" t="s">
        <v>48960</v>
      </c>
      <c r="W2339" t="s">
        <v>41661</v>
      </c>
      <c r="X2339" t="s">
        <v>44763</v>
      </c>
    </row>
    <row r="2340" spans="1:24">
      <c r="A2340">
        <f>HYPERLINK("https://www.philgeps.gov.ph/GEPSNONPILOT/Tender/SplashBidNoticeAbstractUI.aspx?menuIndex=3&amp;refID=7151877&amp;Result=3","7151877")</f>
        <v>0</v>
      </c>
      <c r="B2340" t="s">
        <v>820</v>
      </c>
      <c r="C2340" t="s">
        <v>6002</v>
      </c>
      <c r="E2340" t="s">
        <v>20184</v>
      </c>
      <c r="F2340" t="s">
        <v>30900</v>
      </c>
      <c r="G2340" t="s">
        <v>30908</v>
      </c>
      <c r="H2340" t="s">
        <v>30916</v>
      </c>
      <c r="I2340" t="s">
        <v>30939</v>
      </c>
      <c r="J2340" t="s">
        <v>32759</v>
      </c>
      <c r="K2340" t="s">
        <v>40289</v>
      </c>
      <c r="M2340" t="s">
        <v>41392</v>
      </c>
      <c r="N2340" t="s">
        <v>44759</v>
      </c>
      <c r="O2340" t="s">
        <v>44760</v>
      </c>
      <c r="P2340">
        <v>0</v>
      </c>
      <c r="Q2340">
        <v>0</v>
      </c>
      <c r="R2340" t="s">
        <v>44762</v>
      </c>
      <c r="S2340" t="s">
        <v>44863</v>
      </c>
      <c r="T2340" t="s">
        <v>46425</v>
      </c>
      <c r="U2340" t="s">
        <v>48961</v>
      </c>
      <c r="W2340" t="s">
        <v>41392</v>
      </c>
      <c r="X2340" t="s">
        <v>44763</v>
      </c>
    </row>
    <row r="2341" spans="1:24">
      <c r="A2341">
        <f>HYPERLINK("https://www.philgeps.gov.ph/GEPSNONPILOT/Tender/SplashBidNoticeAbstractUI.aspx?menuIndex=3&amp;refID=7151876&amp;Result=3","7151876")</f>
        <v>0</v>
      </c>
      <c r="B2341" t="s">
        <v>478</v>
      </c>
      <c r="C2341" t="s">
        <v>6003</v>
      </c>
      <c r="D2341" t="s">
        <v>17959</v>
      </c>
      <c r="E2341" t="s">
        <v>20185</v>
      </c>
      <c r="F2341" t="s">
        <v>30900</v>
      </c>
      <c r="G2341" t="s">
        <v>30908</v>
      </c>
      <c r="H2341" t="s">
        <v>30916</v>
      </c>
      <c r="I2341" t="s">
        <v>8123</v>
      </c>
      <c r="J2341" t="s">
        <v>32760</v>
      </c>
      <c r="K2341" t="s">
        <v>40287</v>
      </c>
      <c r="M2341" t="s">
        <v>41036</v>
      </c>
      <c r="N2341" t="s">
        <v>44759</v>
      </c>
      <c r="O2341" t="s">
        <v>44760</v>
      </c>
      <c r="P2341">
        <v>0</v>
      </c>
      <c r="Q2341">
        <v>1</v>
      </c>
      <c r="R2341" t="s">
        <v>44762</v>
      </c>
      <c r="S2341" t="s">
        <v>44863</v>
      </c>
      <c r="T2341" t="s">
        <v>46414</v>
      </c>
      <c r="U2341" t="s">
        <v>48962</v>
      </c>
      <c r="W2341" t="s">
        <v>41036</v>
      </c>
      <c r="X2341" t="s">
        <v>44763</v>
      </c>
    </row>
    <row r="2342" spans="1:24">
      <c r="A2342">
        <f>HYPERLINK("https://www.philgeps.gov.ph/GEPSNONPILOT/Tender/SplashBidNoticeAbstractUI.aspx?menuIndex=3&amp;refID=7151854&amp;Result=3","7151854")</f>
        <v>0</v>
      </c>
      <c r="B2342" t="s">
        <v>1064</v>
      </c>
      <c r="C2342" t="s">
        <v>6004</v>
      </c>
      <c r="D2342" t="s">
        <v>17963</v>
      </c>
      <c r="E2342" t="s">
        <v>20175</v>
      </c>
      <c r="F2342" t="s">
        <v>30900</v>
      </c>
      <c r="G2342" t="s">
        <v>30907</v>
      </c>
      <c r="H2342" t="s">
        <v>30915</v>
      </c>
      <c r="I2342" t="s">
        <v>30919</v>
      </c>
      <c r="J2342" t="s">
        <v>32761</v>
      </c>
      <c r="K2342" t="s">
        <v>40291</v>
      </c>
      <c r="M2342" t="s">
        <v>41661</v>
      </c>
      <c r="N2342" t="s">
        <v>44759</v>
      </c>
      <c r="O2342" t="s">
        <v>44760</v>
      </c>
      <c r="P2342">
        <v>0</v>
      </c>
      <c r="Q2342">
        <v>0</v>
      </c>
      <c r="R2342" t="s">
        <v>44762</v>
      </c>
      <c r="S2342" t="s">
        <v>44863</v>
      </c>
      <c r="T2342" t="s">
        <v>46375</v>
      </c>
      <c r="U2342" t="s">
        <v>48963</v>
      </c>
      <c r="W2342" t="s">
        <v>41661</v>
      </c>
      <c r="X2342" t="s">
        <v>44763</v>
      </c>
    </row>
    <row r="2343" spans="1:24">
      <c r="A2343">
        <f>HYPERLINK("https://www.philgeps.gov.ph/GEPSNONPILOT/Tender/SplashBidNoticeAbstractUI.aspx?menuIndex=3&amp;refID=7151875&amp;Result=3","7151875")</f>
        <v>0</v>
      </c>
      <c r="B2343" t="s">
        <v>248</v>
      </c>
      <c r="C2343" t="s">
        <v>6005</v>
      </c>
      <c r="D2343" t="s">
        <v>17966</v>
      </c>
      <c r="E2343" t="s">
        <v>20186</v>
      </c>
      <c r="F2343" t="s">
        <v>30900</v>
      </c>
      <c r="G2343" t="s">
        <v>30907</v>
      </c>
      <c r="H2343" t="s">
        <v>30915</v>
      </c>
      <c r="I2343" t="s">
        <v>30919</v>
      </c>
      <c r="J2343" t="s">
        <v>32762</v>
      </c>
      <c r="K2343" t="s">
        <v>40280</v>
      </c>
      <c r="M2343" t="s">
        <v>40795</v>
      </c>
      <c r="N2343" t="s">
        <v>44759</v>
      </c>
      <c r="O2343" t="s">
        <v>44760</v>
      </c>
      <c r="P2343">
        <v>0</v>
      </c>
      <c r="Q2343">
        <v>0</v>
      </c>
      <c r="R2343" t="s">
        <v>44762</v>
      </c>
      <c r="S2343" t="s">
        <v>44863</v>
      </c>
      <c r="T2343" t="s">
        <v>46380</v>
      </c>
      <c r="U2343" t="s">
        <v>48964</v>
      </c>
      <c r="W2343" t="s">
        <v>40795</v>
      </c>
      <c r="X2343" t="s">
        <v>44763</v>
      </c>
    </row>
    <row r="2344" spans="1:24">
      <c r="A2344">
        <f>HYPERLINK("https://www.philgeps.gov.ph/GEPSNONPILOT/Tender/SplashBidNoticeAbstractUI.aspx?menuIndex=3&amp;refID=7151874&amp;Result=3","7151874")</f>
        <v>0</v>
      </c>
      <c r="B2344" t="s">
        <v>531</v>
      </c>
      <c r="C2344" t="s">
        <v>6006</v>
      </c>
      <c r="D2344" t="s">
        <v>17955</v>
      </c>
      <c r="E2344" t="s">
        <v>20187</v>
      </c>
      <c r="F2344" t="s">
        <v>30900</v>
      </c>
      <c r="G2344" t="s">
        <v>30909</v>
      </c>
      <c r="H2344" t="s">
        <v>30916</v>
      </c>
      <c r="I2344" t="s">
        <v>30927</v>
      </c>
      <c r="J2344" t="s">
        <v>32734</v>
      </c>
      <c r="K2344" t="s">
        <v>40287</v>
      </c>
      <c r="M2344" t="s">
        <v>41665</v>
      </c>
      <c r="N2344" t="s">
        <v>44759</v>
      </c>
      <c r="O2344" t="s">
        <v>44760</v>
      </c>
      <c r="P2344">
        <v>0</v>
      </c>
      <c r="Q2344">
        <v>0</v>
      </c>
      <c r="R2344" t="s">
        <v>44762</v>
      </c>
      <c r="S2344" t="s">
        <v>44863</v>
      </c>
      <c r="T2344" t="s">
        <v>46374</v>
      </c>
      <c r="U2344" t="s">
        <v>48965</v>
      </c>
      <c r="W2344" t="s">
        <v>41665</v>
      </c>
      <c r="X2344" t="s">
        <v>44763</v>
      </c>
    </row>
    <row r="2345" spans="1:24">
      <c r="A2345">
        <f>HYPERLINK("https://www.philgeps.gov.ph/GEPSNONPILOT/Tender/SplashBidNoticeAbstractUI.aspx?menuIndex=3&amp;refID=7151873&amp;Result=3","7151873")</f>
        <v>0</v>
      </c>
      <c r="B2345" t="s">
        <v>135</v>
      </c>
      <c r="C2345" t="s">
        <v>3974</v>
      </c>
      <c r="D2345" t="s">
        <v>17961</v>
      </c>
      <c r="E2345" t="s">
        <v>20188</v>
      </c>
      <c r="F2345" t="s">
        <v>30900</v>
      </c>
      <c r="G2345" t="s">
        <v>30910</v>
      </c>
      <c r="H2345" t="s">
        <v>30916</v>
      </c>
      <c r="I2345" t="s">
        <v>6408</v>
      </c>
      <c r="J2345" t="s">
        <v>31236</v>
      </c>
      <c r="K2345" t="s">
        <v>40287</v>
      </c>
      <c r="M2345" t="s">
        <v>40682</v>
      </c>
      <c r="N2345" t="s">
        <v>44759</v>
      </c>
      <c r="O2345" t="s">
        <v>44760</v>
      </c>
      <c r="P2345">
        <v>0</v>
      </c>
      <c r="Q2345">
        <v>0</v>
      </c>
      <c r="R2345" t="s">
        <v>44762</v>
      </c>
      <c r="S2345" t="s">
        <v>44863</v>
      </c>
      <c r="T2345" t="s">
        <v>46577</v>
      </c>
      <c r="U2345" t="s">
        <v>47146</v>
      </c>
      <c r="W2345" t="s">
        <v>40682</v>
      </c>
      <c r="X2345" t="s">
        <v>44763</v>
      </c>
    </row>
    <row r="2346" spans="1:24">
      <c r="A2346">
        <f>HYPERLINK("https://www.philgeps.gov.ph/GEPSNONPILOT/Tender/SplashBidNoticeAbstractUI.aspx?menuIndex=3&amp;refID=7151872&amp;Result=3","7151872")</f>
        <v>0</v>
      </c>
      <c r="B2346" t="s">
        <v>820</v>
      </c>
      <c r="C2346" t="s">
        <v>6007</v>
      </c>
      <c r="E2346" t="s">
        <v>20189</v>
      </c>
      <c r="F2346" t="s">
        <v>30900</v>
      </c>
      <c r="G2346" t="s">
        <v>30909</v>
      </c>
      <c r="H2346" t="s">
        <v>30916</v>
      </c>
      <c r="I2346" t="s">
        <v>30943</v>
      </c>
      <c r="J2346" t="s">
        <v>31687</v>
      </c>
      <c r="K2346" t="s">
        <v>40289</v>
      </c>
      <c r="M2346" t="s">
        <v>41392</v>
      </c>
      <c r="N2346" t="s">
        <v>44759</v>
      </c>
      <c r="O2346" t="s">
        <v>44760</v>
      </c>
      <c r="P2346">
        <v>0</v>
      </c>
      <c r="Q2346">
        <v>1</v>
      </c>
      <c r="R2346" t="s">
        <v>44762</v>
      </c>
      <c r="S2346" t="s">
        <v>44863</v>
      </c>
      <c r="T2346" t="s">
        <v>46531</v>
      </c>
      <c r="U2346" t="s">
        <v>48966</v>
      </c>
      <c r="W2346" t="s">
        <v>41392</v>
      </c>
      <c r="X2346" t="s">
        <v>44763</v>
      </c>
    </row>
    <row r="2347" spans="1:24">
      <c r="A2347">
        <f>HYPERLINK("https://www.philgeps.gov.ph/GEPSNONPILOT/Tender/SplashBidNoticeAbstractUI.aspx?menuIndex=3&amp;refID=7151869&amp;Result=3","7151869")</f>
        <v>0</v>
      </c>
      <c r="B2347" t="s">
        <v>1068</v>
      </c>
      <c r="C2347" t="s">
        <v>6008</v>
      </c>
      <c r="E2347" t="s">
        <v>18306</v>
      </c>
      <c r="F2347" t="s">
        <v>30900</v>
      </c>
      <c r="G2347" t="s">
        <v>30907</v>
      </c>
      <c r="H2347" t="s">
        <v>30916</v>
      </c>
      <c r="I2347" t="s">
        <v>4142</v>
      </c>
      <c r="J2347" t="s">
        <v>32763</v>
      </c>
      <c r="K2347" t="s">
        <v>40289</v>
      </c>
      <c r="M2347" t="s">
        <v>41666</v>
      </c>
      <c r="N2347" t="s">
        <v>44759</v>
      </c>
      <c r="O2347" t="s">
        <v>44760</v>
      </c>
      <c r="P2347">
        <v>0</v>
      </c>
      <c r="Q2347">
        <v>3</v>
      </c>
      <c r="R2347" t="s">
        <v>44762</v>
      </c>
      <c r="S2347" t="s">
        <v>44863</v>
      </c>
      <c r="T2347" t="s">
        <v>46350</v>
      </c>
      <c r="U2347" t="s">
        <v>48967</v>
      </c>
      <c r="W2347" t="s">
        <v>60848</v>
      </c>
      <c r="X2347" t="s">
        <v>44763</v>
      </c>
    </row>
    <row r="2348" spans="1:24">
      <c r="A2348">
        <f>HYPERLINK("https://www.philgeps.gov.ph/GEPSNONPILOT/Tender/SplashBidNoticeAbstractUI.aspx?menuIndex=3&amp;refID=7151868&amp;Result=3","7151868")</f>
        <v>0</v>
      </c>
      <c r="B2348" t="s">
        <v>248</v>
      </c>
      <c r="C2348" t="s">
        <v>6009</v>
      </c>
      <c r="D2348" t="s">
        <v>17966</v>
      </c>
      <c r="E2348" t="s">
        <v>20190</v>
      </c>
      <c r="F2348" t="s">
        <v>30900</v>
      </c>
      <c r="G2348" t="s">
        <v>30907</v>
      </c>
      <c r="H2348" t="s">
        <v>30915</v>
      </c>
      <c r="I2348" t="s">
        <v>30919</v>
      </c>
      <c r="J2348" t="s">
        <v>32764</v>
      </c>
      <c r="K2348" t="s">
        <v>40280</v>
      </c>
      <c r="M2348" t="s">
        <v>40795</v>
      </c>
      <c r="N2348" t="s">
        <v>44759</v>
      </c>
      <c r="O2348" t="s">
        <v>44760</v>
      </c>
      <c r="P2348">
        <v>0</v>
      </c>
      <c r="Q2348">
        <v>0</v>
      </c>
      <c r="R2348" t="s">
        <v>44762</v>
      </c>
      <c r="S2348" t="s">
        <v>44863</v>
      </c>
      <c r="T2348" t="s">
        <v>46380</v>
      </c>
      <c r="U2348" t="s">
        <v>48968</v>
      </c>
      <c r="W2348" t="s">
        <v>40795</v>
      </c>
      <c r="X2348" t="s">
        <v>44763</v>
      </c>
    </row>
    <row r="2349" spans="1:24">
      <c r="A2349">
        <f>HYPERLINK("https://www.philgeps.gov.ph/GEPSNONPILOT/Tender/SplashBidNoticeAbstractUI.aspx?menuIndex=3&amp;refID=7151886&amp;Result=3","7151886")</f>
        <v>0</v>
      </c>
      <c r="B2349" t="s">
        <v>1069</v>
      </c>
      <c r="C2349" t="s">
        <v>6010</v>
      </c>
      <c r="D2349" t="s">
        <v>17975</v>
      </c>
      <c r="E2349" t="s">
        <v>20191</v>
      </c>
      <c r="F2349" t="s">
        <v>30900</v>
      </c>
      <c r="G2349" t="s">
        <v>30908</v>
      </c>
      <c r="H2349" t="s">
        <v>30916</v>
      </c>
      <c r="I2349" t="s">
        <v>8123</v>
      </c>
      <c r="J2349" t="s">
        <v>32765</v>
      </c>
      <c r="K2349" t="s">
        <v>40289</v>
      </c>
      <c r="M2349" t="s">
        <v>41667</v>
      </c>
      <c r="N2349" t="s">
        <v>44759</v>
      </c>
      <c r="O2349" t="s">
        <v>44760</v>
      </c>
      <c r="P2349">
        <v>0</v>
      </c>
      <c r="Q2349">
        <v>0</v>
      </c>
      <c r="R2349" t="s">
        <v>44762</v>
      </c>
      <c r="S2349" t="s">
        <v>44863</v>
      </c>
      <c r="T2349" t="s">
        <v>46398</v>
      </c>
      <c r="U2349" t="s">
        <v>47043</v>
      </c>
      <c r="W2349" t="s">
        <v>41667</v>
      </c>
      <c r="X2349" t="s">
        <v>44763</v>
      </c>
    </row>
    <row r="2350" spans="1:24">
      <c r="A2350">
        <f>HYPERLINK("https://www.philgeps.gov.ph/GEPSNONPILOT/Tender/SplashBidNoticeAbstractUI.aspx?menuIndex=3&amp;refID=7151866&amp;Result=3","7151866")</f>
        <v>0</v>
      </c>
      <c r="B2350" t="s">
        <v>1043</v>
      </c>
      <c r="C2350" t="s">
        <v>6011</v>
      </c>
      <c r="D2350" t="s">
        <v>18000</v>
      </c>
      <c r="E2350" t="s">
        <v>20192</v>
      </c>
      <c r="F2350" t="s">
        <v>30900</v>
      </c>
      <c r="G2350" t="s">
        <v>30908</v>
      </c>
      <c r="H2350" t="s">
        <v>30916</v>
      </c>
      <c r="I2350" t="s">
        <v>10602</v>
      </c>
      <c r="J2350" t="s">
        <v>32766</v>
      </c>
      <c r="K2350" t="s">
        <v>40289</v>
      </c>
      <c r="M2350" t="s">
        <v>41642</v>
      </c>
      <c r="N2350" t="s">
        <v>44759</v>
      </c>
      <c r="O2350" t="s">
        <v>44760</v>
      </c>
      <c r="P2350">
        <v>0</v>
      </c>
      <c r="Q2350">
        <v>0</v>
      </c>
      <c r="R2350" t="s">
        <v>44762</v>
      </c>
      <c r="S2350" t="s">
        <v>44863</v>
      </c>
      <c r="T2350" t="s">
        <v>46425</v>
      </c>
      <c r="U2350" t="s">
        <v>48904</v>
      </c>
      <c r="W2350" t="s">
        <v>41642</v>
      </c>
      <c r="X2350" t="s">
        <v>44763</v>
      </c>
    </row>
    <row r="2351" spans="1:24">
      <c r="A2351">
        <f>HYPERLINK("https://www.philgeps.gov.ph/GEPSNONPILOT/Tender/SplashBidNoticeAbstractUI.aspx?menuIndex=3&amp;refID=7151883&amp;Result=3","7151883")</f>
        <v>0</v>
      </c>
      <c r="B2351" t="s">
        <v>1070</v>
      </c>
      <c r="C2351" t="s">
        <v>6012</v>
      </c>
      <c r="D2351" t="s">
        <v>18017</v>
      </c>
      <c r="E2351" t="s">
        <v>20193</v>
      </c>
      <c r="F2351" t="s">
        <v>30900</v>
      </c>
      <c r="G2351" t="s">
        <v>30907</v>
      </c>
      <c r="H2351" t="s">
        <v>30916</v>
      </c>
      <c r="I2351" t="s">
        <v>4108</v>
      </c>
      <c r="J2351" t="s">
        <v>32767</v>
      </c>
      <c r="K2351" t="s">
        <v>40294</v>
      </c>
      <c r="M2351" t="s">
        <v>41668</v>
      </c>
      <c r="N2351" t="s">
        <v>44759</v>
      </c>
      <c r="O2351" t="s">
        <v>44760</v>
      </c>
      <c r="P2351">
        <v>0</v>
      </c>
      <c r="Q2351">
        <v>6</v>
      </c>
      <c r="R2351" t="s">
        <v>44762</v>
      </c>
      <c r="S2351" t="s">
        <v>44863</v>
      </c>
      <c r="T2351" t="s">
        <v>46456</v>
      </c>
      <c r="U2351" t="s">
        <v>48969</v>
      </c>
      <c r="V2351" t="s">
        <v>59374</v>
      </c>
      <c r="W2351" t="s">
        <v>41668</v>
      </c>
      <c r="X2351" t="s">
        <v>44763</v>
      </c>
    </row>
    <row r="2352" spans="1:24">
      <c r="A2352">
        <f>HYPERLINK("https://www.philgeps.gov.ph/GEPSNONPILOT/Tender/SplashBidNoticeAbstractUI.aspx?menuIndex=3&amp;refID=7151871&amp;Result=3","7151871")</f>
        <v>0</v>
      </c>
      <c r="B2352" t="s">
        <v>1043</v>
      </c>
      <c r="C2352" t="s">
        <v>6013</v>
      </c>
      <c r="D2352" t="s">
        <v>18000</v>
      </c>
      <c r="E2352" t="s">
        <v>20194</v>
      </c>
      <c r="F2352" t="s">
        <v>30900</v>
      </c>
      <c r="G2352" t="s">
        <v>30908</v>
      </c>
      <c r="H2352" t="s">
        <v>30916</v>
      </c>
      <c r="I2352" t="s">
        <v>10602</v>
      </c>
      <c r="J2352" t="s">
        <v>32306</v>
      </c>
      <c r="K2352" t="s">
        <v>40289</v>
      </c>
      <c r="M2352" t="s">
        <v>41642</v>
      </c>
      <c r="N2352" t="s">
        <v>44759</v>
      </c>
      <c r="O2352" t="s">
        <v>44760</v>
      </c>
      <c r="P2352">
        <v>0</v>
      </c>
      <c r="Q2352">
        <v>0</v>
      </c>
      <c r="R2352" t="s">
        <v>44762</v>
      </c>
      <c r="S2352" t="s">
        <v>44863</v>
      </c>
      <c r="T2352" t="s">
        <v>46425</v>
      </c>
      <c r="U2352" t="s">
        <v>48904</v>
      </c>
      <c r="W2352" t="s">
        <v>41642</v>
      </c>
      <c r="X2352" t="s">
        <v>44763</v>
      </c>
    </row>
    <row r="2353" spans="1:24">
      <c r="A2353">
        <f>HYPERLINK("https://www.philgeps.gov.ph/GEPSNONPILOT/Tender/SplashBidNoticeAbstractUI.aspx?menuIndex=3&amp;refID=7151880&amp;Result=3","7151880")</f>
        <v>0</v>
      </c>
      <c r="B2353" t="s">
        <v>1071</v>
      </c>
      <c r="C2353" t="s">
        <v>6014</v>
      </c>
      <c r="D2353" t="s">
        <v>17971</v>
      </c>
      <c r="E2353" t="s">
        <v>20195</v>
      </c>
      <c r="F2353" t="s">
        <v>30900</v>
      </c>
      <c r="G2353" t="s">
        <v>30907</v>
      </c>
      <c r="H2353" t="s">
        <v>30916</v>
      </c>
      <c r="I2353" t="s">
        <v>10847</v>
      </c>
      <c r="J2353" t="s">
        <v>32768</v>
      </c>
      <c r="K2353" t="s">
        <v>40283</v>
      </c>
      <c r="M2353" t="s">
        <v>41669</v>
      </c>
      <c r="N2353" t="s">
        <v>44759</v>
      </c>
      <c r="O2353" t="s">
        <v>44760</v>
      </c>
      <c r="P2353">
        <v>0</v>
      </c>
      <c r="Q2353">
        <v>1</v>
      </c>
      <c r="R2353" t="s">
        <v>44762</v>
      </c>
      <c r="S2353" t="s">
        <v>44863</v>
      </c>
      <c r="T2353" t="s">
        <v>46405</v>
      </c>
      <c r="U2353" t="s">
        <v>48970</v>
      </c>
      <c r="W2353" t="s">
        <v>41669</v>
      </c>
      <c r="X2353" t="s">
        <v>44763</v>
      </c>
    </row>
    <row r="2354" spans="1:24">
      <c r="A2354">
        <f>HYPERLINK("https://www.philgeps.gov.ph/GEPSNONPILOT/Tender/SplashBidNoticeAbstractUI.aspx?menuIndex=3&amp;refID=7151879&amp;Result=3","7151879")</f>
        <v>0</v>
      </c>
      <c r="B2354" t="s">
        <v>1069</v>
      </c>
      <c r="C2354" t="s">
        <v>6015</v>
      </c>
      <c r="D2354" t="s">
        <v>17975</v>
      </c>
      <c r="E2354" t="s">
        <v>20196</v>
      </c>
      <c r="F2354" t="s">
        <v>30900</v>
      </c>
      <c r="G2354" t="s">
        <v>30908</v>
      </c>
      <c r="H2354" t="s">
        <v>30916</v>
      </c>
      <c r="I2354" t="s">
        <v>30940</v>
      </c>
      <c r="J2354" t="s">
        <v>31625</v>
      </c>
      <c r="K2354" t="s">
        <v>40289</v>
      </c>
      <c r="M2354" t="s">
        <v>41667</v>
      </c>
      <c r="N2354" t="s">
        <v>44759</v>
      </c>
      <c r="O2354" t="s">
        <v>44760</v>
      </c>
      <c r="P2354">
        <v>0</v>
      </c>
      <c r="Q2354">
        <v>0</v>
      </c>
      <c r="R2354" t="s">
        <v>44762</v>
      </c>
      <c r="S2354" t="s">
        <v>44863</v>
      </c>
      <c r="T2354" t="s">
        <v>46398</v>
      </c>
      <c r="U2354" t="s">
        <v>47043</v>
      </c>
      <c r="W2354" t="s">
        <v>41667</v>
      </c>
      <c r="X2354" t="s">
        <v>44763</v>
      </c>
    </row>
    <row r="2355" spans="1:24">
      <c r="A2355">
        <f>HYPERLINK("https://www.philgeps.gov.ph/GEPSNONPILOT/Tender/SplashBidNoticeAbstractUI.aspx?menuIndex=3&amp;refID=7151855&amp;Result=3","7151855")</f>
        <v>0</v>
      </c>
      <c r="B2355" t="s">
        <v>918</v>
      </c>
      <c r="C2355" t="s">
        <v>6016</v>
      </c>
      <c r="D2355" t="s">
        <v>17959</v>
      </c>
      <c r="E2355" t="s">
        <v>20197</v>
      </c>
      <c r="F2355" t="s">
        <v>30900</v>
      </c>
      <c r="G2355" t="s">
        <v>30908</v>
      </c>
      <c r="H2355" t="s">
        <v>30916</v>
      </c>
      <c r="I2355" t="s">
        <v>30942</v>
      </c>
      <c r="J2355" t="s">
        <v>32769</v>
      </c>
      <c r="K2355" t="s">
        <v>40287</v>
      </c>
      <c r="M2355" t="s">
        <v>41650</v>
      </c>
      <c r="N2355" t="s">
        <v>44759</v>
      </c>
      <c r="O2355" t="s">
        <v>44760</v>
      </c>
      <c r="P2355">
        <v>0</v>
      </c>
      <c r="Q2355">
        <v>0</v>
      </c>
      <c r="R2355" t="s">
        <v>44762</v>
      </c>
      <c r="S2355" t="s">
        <v>44863</v>
      </c>
      <c r="T2355" t="s">
        <v>46414</v>
      </c>
      <c r="U2355" t="s">
        <v>48703</v>
      </c>
      <c r="W2355" t="s">
        <v>41650</v>
      </c>
      <c r="X2355" t="s">
        <v>44763</v>
      </c>
    </row>
    <row r="2356" spans="1:24">
      <c r="A2356">
        <f>HYPERLINK("https://www.philgeps.gov.ph/GEPSNONPILOT/Tender/SplashBidNoticeAbstractUI.aspx?menuIndex=3&amp;refID=7151885&amp;Result=3","7151885")</f>
        <v>0</v>
      </c>
      <c r="B2356" t="s">
        <v>1072</v>
      </c>
      <c r="C2356" t="s">
        <v>6017</v>
      </c>
      <c r="D2356" t="s">
        <v>17963</v>
      </c>
      <c r="E2356" t="s">
        <v>20198</v>
      </c>
      <c r="F2356" t="s">
        <v>30900</v>
      </c>
      <c r="G2356" t="s">
        <v>30907</v>
      </c>
      <c r="H2356" t="s">
        <v>30916</v>
      </c>
      <c r="I2356" t="s">
        <v>6396</v>
      </c>
      <c r="J2356" t="s">
        <v>32770</v>
      </c>
      <c r="K2356" t="s">
        <v>40283</v>
      </c>
      <c r="M2356" t="s">
        <v>41670</v>
      </c>
      <c r="N2356" t="s">
        <v>44759</v>
      </c>
      <c r="O2356" t="s">
        <v>44760</v>
      </c>
      <c r="P2356">
        <v>0</v>
      </c>
      <c r="Q2356">
        <v>0</v>
      </c>
      <c r="R2356" t="s">
        <v>44762</v>
      </c>
      <c r="S2356" t="s">
        <v>44863</v>
      </c>
      <c r="T2356" t="s">
        <v>46425</v>
      </c>
      <c r="U2356" t="s">
        <v>48971</v>
      </c>
      <c r="W2356" t="s">
        <v>41670</v>
      </c>
      <c r="X2356" t="s">
        <v>44763</v>
      </c>
    </row>
    <row r="2357" spans="1:24">
      <c r="A2357">
        <f>HYPERLINK("https://www.philgeps.gov.ph/GEPSNONPILOT/Tender/SplashBidNoticeAbstractUI.aspx?menuIndex=3&amp;refID=7151888&amp;Result=3","7151888")</f>
        <v>0</v>
      </c>
      <c r="B2357" t="s">
        <v>820</v>
      </c>
      <c r="C2357" t="s">
        <v>6018</v>
      </c>
      <c r="E2357" t="s">
        <v>20199</v>
      </c>
      <c r="F2357" t="s">
        <v>30900</v>
      </c>
      <c r="G2357" t="s">
        <v>30908</v>
      </c>
      <c r="H2357" t="s">
        <v>30916</v>
      </c>
      <c r="I2357" t="s">
        <v>30961</v>
      </c>
      <c r="J2357" t="s">
        <v>32771</v>
      </c>
      <c r="K2357" t="s">
        <v>40289</v>
      </c>
      <c r="M2357" t="s">
        <v>41392</v>
      </c>
      <c r="N2357" t="s">
        <v>44759</v>
      </c>
      <c r="O2357" t="s">
        <v>44760</v>
      </c>
      <c r="P2357">
        <v>0</v>
      </c>
      <c r="Q2357">
        <v>2</v>
      </c>
      <c r="R2357" t="s">
        <v>44762</v>
      </c>
      <c r="S2357" t="s">
        <v>44863</v>
      </c>
      <c r="T2357" t="s">
        <v>46425</v>
      </c>
      <c r="U2357" t="s">
        <v>48972</v>
      </c>
      <c r="W2357" t="s">
        <v>41392</v>
      </c>
      <c r="X2357" t="s">
        <v>44763</v>
      </c>
    </row>
    <row r="2358" spans="1:24">
      <c r="A2358">
        <f>HYPERLINK("https://www.philgeps.gov.ph/GEPSNONPILOT/Tender/SplashBidNoticeAbstractUI.aspx?menuIndex=3&amp;refID=7151884&amp;Result=3","7151884")</f>
        <v>0</v>
      </c>
      <c r="B2358" t="s">
        <v>135</v>
      </c>
      <c r="C2358" t="s">
        <v>3974</v>
      </c>
      <c r="D2358" t="s">
        <v>17961</v>
      </c>
      <c r="E2358" t="s">
        <v>20200</v>
      </c>
      <c r="F2358" t="s">
        <v>30900</v>
      </c>
      <c r="G2358" t="s">
        <v>30910</v>
      </c>
      <c r="H2358" t="s">
        <v>30916</v>
      </c>
      <c r="I2358" t="s">
        <v>30923</v>
      </c>
      <c r="J2358" t="s">
        <v>31235</v>
      </c>
      <c r="K2358" t="s">
        <v>40287</v>
      </c>
      <c r="M2358" t="s">
        <v>40682</v>
      </c>
      <c r="N2358" t="s">
        <v>44759</v>
      </c>
      <c r="O2358" t="s">
        <v>44760</v>
      </c>
      <c r="P2358">
        <v>0</v>
      </c>
      <c r="Q2358">
        <v>1</v>
      </c>
      <c r="R2358" t="s">
        <v>44762</v>
      </c>
      <c r="S2358" t="s">
        <v>44863</v>
      </c>
      <c r="T2358" t="s">
        <v>46577</v>
      </c>
      <c r="U2358" t="s">
        <v>48973</v>
      </c>
      <c r="W2358" t="s">
        <v>40682</v>
      </c>
      <c r="X2358" t="s">
        <v>44763</v>
      </c>
    </row>
    <row r="2359" spans="1:24">
      <c r="A2359">
        <f>HYPERLINK("https://www.philgeps.gov.ph/GEPSNONPILOT/Tender/SplashBidNoticeAbstractUI.aspx?menuIndex=3&amp;refID=7151898&amp;Result=3","7151898")</f>
        <v>0</v>
      </c>
      <c r="B2359" t="s">
        <v>820</v>
      </c>
      <c r="C2359" t="s">
        <v>6019</v>
      </c>
      <c r="E2359" t="s">
        <v>20201</v>
      </c>
      <c r="F2359" t="s">
        <v>30900</v>
      </c>
      <c r="G2359" t="s">
        <v>30908</v>
      </c>
      <c r="H2359" t="s">
        <v>30916</v>
      </c>
      <c r="I2359" t="s">
        <v>31003</v>
      </c>
      <c r="J2359" t="s">
        <v>31139</v>
      </c>
      <c r="K2359" t="s">
        <v>40289</v>
      </c>
      <c r="M2359" t="s">
        <v>41392</v>
      </c>
      <c r="N2359" t="s">
        <v>44759</v>
      </c>
      <c r="O2359" t="s">
        <v>44760</v>
      </c>
      <c r="P2359">
        <v>0</v>
      </c>
      <c r="Q2359">
        <v>2</v>
      </c>
      <c r="R2359" t="s">
        <v>44762</v>
      </c>
      <c r="S2359" t="s">
        <v>44863</v>
      </c>
      <c r="T2359" t="s">
        <v>46425</v>
      </c>
      <c r="U2359" t="s">
        <v>48974</v>
      </c>
      <c r="W2359" t="s">
        <v>41392</v>
      </c>
      <c r="X2359" t="s">
        <v>44763</v>
      </c>
    </row>
    <row r="2360" spans="1:24">
      <c r="A2360">
        <f>HYPERLINK("https://www.philgeps.gov.ph/GEPSNONPILOT/Tender/SplashBidNoticeAbstractUI.aspx?menuIndex=3&amp;refID=7151897&amp;Result=3","7151897")</f>
        <v>0</v>
      </c>
      <c r="B2360" t="s">
        <v>1073</v>
      </c>
      <c r="C2360" t="s">
        <v>6020</v>
      </c>
      <c r="D2360" t="s">
        <v>17959</v>
      </c>
      <c r="E2360" t="s">
        <v>20202</v>
      </c>
      <c r="F2360" t="s">
        <v>30900</v>
      </c>
      <c r="G2360" t="s">
        <v>30907</v>
      </c>
      <c r="H2360" t="s">
        <v>30916</v>
      </c>
      <c r="I2360" t="s">
        <v>4108</v>
      </c>
      <c r="J2360" t="s">
        <v>31269</v>
      </c>
      <c r="K2360" t="s">
        <v>40285</v>
      </c>
      <c r="M2360" t="s">
        <v>41671</v>
      </c>
      <c r="N2360" t="s">
        <v>44759</v>
      </c>
      <c r="O2360" t="s">
        <v>44760</v>
      </c>
      <c r="P2360">
        <v>0</v>
      </c>
      <c r="Q2360">
        <v>1</v>
      </c>
      <c r="R2360" t="s">
        <v>44762</v>
      </c>
      <c r="S2360" t="s">
        <v>44863</v>
      </c>
      <c r="T2360" t="s">
        <v>46350</v>
      </c>
      <c r="U2360" t="s">
        <v>48975</v>
      </c>
      <c r="W2360" t="s">
        <v>41671</v>
      </c>
      <c r="X2360" t="s">
        <v>44763</v>
      </c>
    </row>
    <row r="2361" spans="1:24">
      <c r="A2361">
        <f>HYPERLINK("https://www.philgeps.gov.ph/GEPSNONPILOT/Tender/SplashBidNoticeAbstractUI.aspx?menuIndex=3&amp;refID=7151896&amp;Result=3","7151896")</f>
        <v>0</v>
      </c>
      <c r="B2361" t="s">
        <v>1074</v>
      </c>
      <c r="C2361" t="s">
        <v>6021</v>
      </c>
      <c r="D2361" t="s">
        <v>17971</v>
      </c>
      <c r="E2361" t="s">
        <v>20203</v>
      </c>
      <c r="F2361" t="s">
        <v>30900</v>
      </c>
      <c r="G2361" t="s">
        <v>30907</v>
      </c>
      <c r="H2361" t="s">
        <v>30916</v>
      </c>
      <c r="I2361" t="s">
        <v>4142</v>
      </c>
      <c r="J2361" t="s">
        <v>32772</v>
      </c>
      <c r="K2361" t="s">
        <v>40287</v>
      </c>
      <c r="M2361" t="s">
        <v>41672</v>
      </c>
      <c r="N2361" t="s">
        <v>44759</v>
      </c>
      <c r="O2361" t="s">
        <v>44760</v>
      </c>
      <c r="P2361">
        <v>0</v>
      </c>
      <c r="Q2361">
        <v>3</v>
      </c>
      <c r="R2361" t="s">
        <v>44762</v>
      </c>
      <c r="S2361" t="s">
        <v>44863</v>
      </c>
      <c r="T2361" t="s">
        <v>46395</v>
      </c>
      <c r="U2361" t="s">
        <v>48976</v>
      </c>
      <c r="V2361" t="s">
        <v>59375</v>
      </c>
      <c r="W2361" t="s">
        <v>41672</v>
      </c>
      <c r="X2361" t="s">
        <v>44763</v>
      </c>
    </row>
    <row r="2362" spans="1:24">
      <c r="A2362">
        <f>HYPERLINK("https://www.philgeps.gov.ph/GEPSNONPILOT/Tender/SplashBidNoticeAbstractUI.aspx?menuIndex=3&amp;refID=7151895&amp;Result=3","7151895")</f>
        <v>0</v>
      </c>
      <c r="B2362" t="s">
        <v>1069</v>
      </c>
      <c r="C2362" t="s">
        <v>6022</v>
      </c>
      <c r="D2362" t="s">
        <v>17975</v>
      </c>
      <c r="E2362" t="s">
        <v>20204</v>
      </c>
      <c r="F2362" t="s">
        <v>30900</v>
      </c>
      <c r="G2362" t="s">
        <v>30908</v>
      </c>
      <c r="H2362" t="s">
        <v>30916</v>
      </c>
      <c r="I2362" t="s">
        <v>30933</v>
      </c>
      <c r="J2362" t="s">
        <v>31049</v>
      </c>
      <c r="K2362" t="s">
        <v>40289</v>
      </c>
      <c r="M2362" t="s">
        <v>41667</v>
      </c>
      <c r="N2362" t="s">
        <v>44759</v>
      </c>
      <c r="O2362" t="s">
        <v>44760</v>
      </c>
      <c r="P2362">
        <v>0</v>
      </c>
      <c r="Q2362">
        <v>0</v>
      </c>
      <c r="R2362" t="s">
        <v>44762</v>
      </c>
      <c r="S2362" t="s">
        <v>44863</v>
      </c>
      <c r="T2362" t="s">
        <v>46398</v>
      </c>
      <c r="U2362" t="s">
        <v>47043</v>
      </c>
      <c r="W2362" t="s">
        <v>41667</v>
      </c>
      <c r="X2362" t="s">
        <v>44763</v>
      </c>
    </row>
    <row r="2363" spans="1:24">
      <c r="A2363">
        <f>HYPERLINK("https://www.philgeps.gov.ph/GEPSNONPILOT/Tender/SplashBidNoticeAbstractUI.aspx?menuIndex=3&amp;refID=7151909&amp;Result=3","7151909")</f>
        <v>0</v>
      </c>
      <c r="B2363" t="s">
        <v>992</v>
      </c>
      <c r="C2363" t="s">
        <v>6023</v>
      </c>
      <c r="D2363" t="s">
        <v>17985</v>
      </c>
      <c r="E2363" t="s">
        <v>20205</v>
      </c>
      <c r="F2363" t="s">
        <v>30900</v>
      </c>
      <c r="G2363" t="s">
        <v>30907</v>
      </c>
      <c r="H2363" t="s">
        <v>30916</v>
      </c>
      <c r="I2363" t="s">
        <v>30921</v>
      </c>
      <c r="J2363" t="s">
        <v>32773</v>
      </c>
      <c r="K2363" t="s">
        <v>40332</v>
      </c>
      <c r="M2363" t="s">
        <v>41673</v>
      </c>
      <c r="N2363" t="s">
        <v>44759</v>
      </c>
      <c r="O2363" t="s">
        <v>44760</v>
      </c>
      <c r="P2363">
        <v>0</v>
      </c>
      <c r="Q2363">
        <v>5</v>
      </c>
      <c r="R2363" t="s">
        <v>44762</v>
      </c>
      <c r="S2363" t="s">
        <v>44863</v>
      </c>
      <c r="T2363" t="s">
        <v>46465</v>
      </c>
      <c r="U2363" t="s">
        <v>48977</v>
      </c>
      <c r="W2363" t="s">
        <v>41673</v>
      </c>
      <c r="X2363" t="s">
        <v>44763</v>
      </c>
    </row>
    <row r="2364" spans="1:24">
      <c r="A2364">
        <f>HYPERLINK("https://www.philgeps.gov.ph/GEPSNONPILOT/Tender/SplashBidNoticeAbstractUI.aspx?menuIndex=3&amp;refID=7151908&amp;Result=3","7151908")</f>
        <v>0</v>
      </c>
      <c r="B2364" t="s">
        <v>1073</v>
      </c>
      <c r="C2364" t="s">
        <v>6024</v>
      </c>
      <c r="D2364" t="s">
        <v>17959</v>
      </c>
      <c r="E2364" t="s">
        <v>20206</v>
      </c>
      <c r="F2364" t="s">
        <v>30900</v>
      </c>
      <c r="G2364" t="s">
        <v>30907</v>
      </c>
      <c r="H2364" t="s">
        <v>30916</v>
      </c>
      <c r="I2364" t="s">
        <v>4108</v>
      </c>
      <c r="J2364" t="s">
        <v>32449</v>
      </c>
      <c r="K2364" t="s">
        <v>40285</v>
      </c>
      <c r="M2364" t="s">
        <v>41671</v>
      </c>
      <c r="N2364" t="s">
        <v>44759</v>
      </c>
      <c r="O2364" t="s">
        <v>44760</v>
      </c>
      <c r="P2364">
        <v>0</v>
      </c>
      <c r="Q2364">
        <v>0</v>
      </c>
      <c r="R2364" t="s">
        <v>44762</v>
      </c>
      <c r="S2364" t="s">
        <v>44863</v>
      </c>
      <c r="T2364" t="s">
        <v>46350</v>
      </c>
      <c r="U2364" t="s">
        <v>48975</v>
      </c>
      <c r="W2364" t="s">
        <v>41671</v>
      </c>
      <c r="X2364" t="s">
        <v>44763</v>
      </c>
    </row>
    <row r="2365" spans="1:24">
      <c r="A2365">
        <f>HYPERLINK("https://www.philgeps.gov.ph/GEPSNONPILOT/Tender/SplashBidNoticeAbstractUI.aspx?menuIndex=3&amp;refID=7151907&amp;Result=3","7151907")</f>
        <v>0</v>
      </c>
      <c r="B2365" t="s">
        <v>1075</v>
      </c>
      <c r="C2365" t="s">
        <v>6025</v>
      </c>
      <c r="D2365" t="s">
        <v>17963</v>
      </c>
      <c r="E2365" t="s">
        <v>20207</v>
      </c>
      <c r="F2365" t="s">
        <v>30900</v>
      </c>
      <c r="G2365" t="s">
        <v>30913</v>
      </c>
      <c r="H2365" t="s">
        <v>30916</v>
      </c>
      <c r="I2365" t="s">
        <v>30924</v>
      </c>
      <c r="J2365" t="s">
        <v>32774</v>
      </c>
      <c r="K2365" t="s">
        <v>40286</v>
      </c>
      <c r="M2365" t="s">
        <v>41674</v>
      </c>
      <c r="N2365" t="s">
        <v>44759</v>
      </c>
      <c r="O2365" t="s">
        <v>44760</v>
      </c>
      <c r="P2365">
        <v>0</v>
      </c>
      <c r="Q2365">
        <v>5</v>
      </c>
      <c r="R2365" t="s">
        <v>44762</v>
      </c>
      <c r="S2365" t="s">
        <v>44863</v>
      </c>
      <c r="T2365" t="s">
        <v>46402</v>
      </c>
      <c r="U2365" t="s">
        <v>48978</v>
      </c>
      <c r="W2365" t="s">
        <v>41674</v>
      </c>
      <c r="X2365" t="s">
        <v>44763</v>
      </c>
    </row>
    <row r="2366" spans="1:24">
      <c r="A2366">
        <f>HYPERLINK("https://www.philgeps.gov.ph/GEPSNONPILOT/Tender/SplashBidNoticeAbstractUI.aspx?menuIndex=3&amp;refID=7151867&amp;Result=3","7151867")</f>
        <v>0</v>
      </c>
      <c r="B2366" t="s">
        <v>1062</v>
      </c>
      <c r="C2366" t="s">
        <v>6026</v>
      </c>
      <c r="D2366" t="s">
        <v>17954</v>
      </c>
      <c r="E2366" t="s">
        <v>19449</v>
      </c>
      <c r="F2366" t="s">
        <v>30900</v>
      </c>
      <c r="G2366" t="s">
        <v>30907</v>
      </c>
      <c r="H2366" t="s">
        <v>30915</v>
      </c>
      <c r="I2366" t="s">
        <v>30919</v>
      </c>
      <c r="J2366" t="s">
        <v>31096</v>
      </c>
      <c r="K2366" t="s">
        <v>40283</v>
      </c>
      <c r="M2366" t="s">
        <v>41659</v>
      </c>
      <c r="N2366" t="s">
        <v>44759</v>
      </c>
      <c r="O2366" t="s">
        <v>44760</v>
      </c>
      <c r="P2366">
        <v>0</v>
      </c>
      <c r="Q2366">
        <v>0</v>
      </c>
      <c r="R2366" t="s">
        <v>44762</v>
      </c>
      <c r="S2366" t="s">
        <v>44863</v>
      </c>
      <c r="T2366" t="s">
        <v>46389</v>
      </c>
      <c r="U2366" t="s">
        <v>48951</v>
      </c>
      <c r="W2366" t="s">
        <v>41659</v>
      </c>
      <c r="X2366" t="s">
        <v>44763</v>
      </c>
    </row>
    <row r="2367" spans="1:24">
      <c r="A2367">
        <f>HYPERLINK("https://www.philgeps.gov.ph/GEPSNONPILOT/Tender/SplashBidNoticeAbstractUI.aspx?menuIndex=3&amp;refID=7151906&amp;Result=3","7151906")</f>
        <v>0</v>
      </c>
      <c r="B2367" t="s">
        <v>1073</v>
      </c>
      <c r="C2367" t="s">
        <v>6027</v>
      </c>
      <c r="D2367" t="s">
        <v>17959</v>
      </c>
      <c r="E2367" t="s">
        <v>20208</v>
      </c>
      <c r="F2367" t="s">
        <v>30900</v>
      </c>
      <c r="G2367" t="s">
        <v>30907</v>
      </c>
      <c r="H2367" t="s">
        <v>30916</v>
      </c>
      <c r="I2367" t="s">
        <v>4108</v>
      </c>
      <c r="J2367" t="s">
        <v>32775</v>
      </c>
      <c r="K2367" t="s">
        <v>40285</v>
      </c>
      <c r="M2367" t="s">
        <v>41671</v>
      </c>
      <c r="N2367" t="s">
        <v>44759</v>
      </c>
      <c r="O2367" t="s">
        <v>44760</v>
      </c>
      <c r="P2367">
        <v>0</v>
      </c>
      <c r="Q2367">
        <v>1</v>
      </c>
      <c r="R2367" t="s">
        <v>44762</v>
      </c>
      <c r="S2367" t="s">
        <v>44863</v>
      </c>
      <c r="T2367" t="s">
        <v>46350</v>
      </c>
      <c r="U2367" t="s">
        <v>48975</v>
      </c>
      <c r="W2367" t="s">
        <v>41671</v>
      </c>
      <c r="X2367" t="s">
        <v>44763</v>
      </c>
    </row>
    <row r="2368" spans="1:24">
      <c r="A2368">
        <f>HYPERLINK("https://www.philgeps.gov.ph/GEPSNONPILOT/Tender/SplashBidNoticeAbstractUI.aspx?menuIndex=3&amp;refID=7151905&amp;Result=3","7151905")</f>
        <v>0</v>
      </c>
      <c r="B2368" t="s">
        <v>1076</v>
      </c>
      <c r="C2368" t="s">
        <v>6028</v>
      </c>
      <c r="E2368" t="s">
        <v>18872</v>
      </c>
      <c r="F2368" t="s">
        <v>30900</v>
      </c>
      <c r="G2368" t="s">
        <v>30907</v>
      </c>
      <c r="H2368" t="s">
        <v>30916</v>
      </c>
      <c r="I2368" t="s">
        <v>8123</v>
      </c>
      <c r="J2368" t="s">
        <v>32776</v>
      </c>
      <c r="K2368" t="s">
        <v>40289</v>
      </c>
      <c r="M2368" t="s">
        <v>41675</v>
      </c>
      <c r="N2368" t="s">
        <v>44759</v>
      </c>
      <c r="O2368" t="s">
        <v>44760</v>
      </c>
      <c r="P2368">
        <v>0</v>
      </c>
      <c r="Q2368">
        <v>0</v>
      </c>
      <c r="R2368" t="s">
        <v>44762</v>
      </c>
      <c r="S2368" t="s">
        <v>44863</v>
      </c>
      <c r="T2368" t="s">
        <v>46404</v>
      </c>
      <c r="U2368" t="s">
        <v>48979</v>
      </c>
      <c r="W2368" t="s">
        <v>41675</v>
      </c>
      <c r="X2368" t="s">
        <v>44763</v>
      </c>
    </row>
    <row r="2369" spans="1:24">
      <c r="A2369">
        <f>HYPERLINK("https://www.philgeps.gov.ph/GEPSNONPILOT/Tender/SplashBidNoticeAbstractUI.aspx?menuIndex=3&amp;refID=7151904&amp;Result=3","7151904")</f>
        <v>0</v>
      </c>
      <c r="B2369" t="s">
        <v>820</v>
      </c>
      <c r="C2369" t="s">
        <v>3773</v>
      </c>
      <c r="E2369" t="s">
        <v>20209</v>
      </c>
      <c r="F2369" t="s">
        <v>30900</v>
      </c>
      <c r="G2369" t="s">
        <v>30909</v>
      </c>
      <c r="H2369" t="s">
        <v>30916</v>
      </c>
      <c r="I2369" t="s">
        <v>4142</v>
      </c>
      <c r="J2369" t="s">
        <v>32777</v>
      </c>
      <c r="K2369" t="s">
        <v>40289</v>
      </c>
      <c r="M2369" t="s">
        <v>41392</v>
      </c>
      <c r="N2369" t="s">
        <v>44759</v>
      </c>
      <c r="O2369" t="s">
        <v>44760</v>
      </c>
      <c r="P2369">
        <v>0</v>
      </c>
      <c r="Q2369">
        <v>0</v>
      </c>
      <c r="R2369" t="s">
        <v>44762</v>
      </c>
      <c r="S2369" t="s">
        <v>44863</v>
      </c>
      <c r="T2369" t="s">
        <v>46425</v>
      </c>
      <c r="U2369" t="s">
        <v>48980</v>
      </c>
      <c r="W2369" t="s">
        <v>41392</v>
      </c>
      <c r="X2369" t="s">
        <v>44763</v>
      </c>
    </row>
    <row r="2370" spans="1:24">
      <c r="A2370">
        <f>HYPERLINK("https://www.philgeps.gov.ph/GEPSNONPILOT/Tender/SplashBidNoticeAbstractUI.aspx?menuIndex=3&amp;refID=7151878&amp;Result=3","7151878")</f>
        <v>0</v>
      </c>
      <c r="B2370" t="s">
        <v>820</v>
      </c>
      <c r="C2370" t="s">
        <v>6029</v>
      </c>
      <c r="E2370" t="s">
        <v>20210</v>
      </c>
      <c r="F2370" t="s">
        <v>30900</v>
      </c>
      <c r="G2370" t="s">
        <v>30908</v>
      </c>
      <c r="H2370" t="s">
        <v>30916</v>
      </c>
      <c r="I2370" t="s">
        <v>30939</v>
      </c>
      <c r="J2370" t="s">
        <v>32778</v>
      </c>
      <c r="K2370" t="s">
        <v>40289</v>
      </c>
      <c r="M2370" t="s">
        <v>41392</v>
      </c>
      <c r="N2370" t="s">
        <v>44759</v>
      </c>
      <c r="O2370" t="s">
        <v>44760</v>
      </c>
      <c r="P2370">
        <v>0</v>
      </c>
      <c r="Q2370">
        <v>0</v>
      </c>
      <c r="R2370" t="s">
        <v>44762</v>
      </c>
      <c r="S2370" t="s">
        <v>44863</v>
      </c>
      <c r="T2370" t="s">
        <v>46425</v>
      </c>
      <c r="U2370" t="s">
        <v>48981</v>
      </c>
      <c r="W2370" t="s">
        <v>41392</v>
      </c>
      <c r="X2370" t="s">
        <v>44763</v>
      </c>
    </row>
    <row r="2371" spans="1:24">
      <c r="A2371">
        <f>HYPERLINK("https://www.philgeps.gov.ph/GEPSNONPILOT/Tender/SplashBidNoticeAbstractUI.aspx?menuIndex=3&amp;refID=7151893&amp;Result=3","7151893")</f>
        <v>0</v>
      </c>
      <c r="B2371" t="s">
        <v>1077</v>
      </c>
      <c r="C2371" t="s">
        <v>6030</v>
      </c>
      <c r="D2371" t="s">
        <v>18003</v>
      </c>
      <c r="E2371" t="s">
        <v>20211</v>
      </c>
      <c r="F2371" t="s">
        <v>30900</v>
      </c>
      <c r="G2371" t="s">
        <v>30907</v>
      </c>
      <c r="H2371" t="s">
        <v>30916</v>
      </c>
      <c r="I2371" t="s">
        <v>4142</v>
      </c>
      <c r="J2371" t="s">
        <v>32779</v>
      </c>
      <c r="K2371" t="s">
        <v>40284</v>
      </c>
      <c r="M2371" t="s">
        <v>41676</v>
      </c>
      <c r="N2371" t="s">
        <v>44759</v>
      </c>
      <c r="O2371" t="s">
        <v>44760</v>
      </c>
      <c r="P2371">
        <v>0</v>
      </c>
      <c r="Q2371">
        <v>2</v>
      </c>
      <c r="R2371" t="s">
        <v>44762</v>
      </c>
      <c r="S2371" t="s">
        <v>44863</v>
      </c>
      <c r="T2371" t="s">
        <v>46465</v>
      </c>
      <c r="U2371" t="s">
        <v>48982</v>
      </c>
      <c r="W2371" t="s">
        <v>60849</v>
      </c>
      <c r="X2371" t="s">
        <v>44763</v>
      </c>
    </row>
    <row r="2372" spans="1:24">
      <c r="A2372">
        <f>HYPERLINK("https://www.philgeps.gov.ph/GEPSNONPILOT/Tender/SplashBidNoticeAbstractUI.aspx?menuIndex=3&amp;refID=7151894&amp;Result=3","7151894")</f>
        <v>0</v>
      </c>
      <c r="B2372" t="s">
        <v>1069</v>
      </c>
      <c r="C2372" t="s">
        <v>6031</v>
      </c>
      <c r="D2372" t="s">
        <v>17975</v>
      </c>
      <c r="E2372" t="s">
        <v>20212</v>
      </c>
      <c r="F2372" t="s">
        <v>30900</v>
      </c>
      <c r="G2372" t="s">
        <v>30908</v>
      </c>
      <c r="H2372" t="s">
        <v>30916</v>
      </c>
      <c r="I2372" t="s">
        <v>4108</v>
      </c>
      <c r="J2372" t="s">
        <v>32780</v>
      </c>
      <c r="K2372" t="s">
        <v>40289</v>
      </c>
      <c r="M2372" t="s">
        <v>41667</v>
      </c>
      <c r="N2372" t="s">
        <v>44759</v>
      </c>
      <c r="O2372" t="s">
        <v>44760</v>
      </c>
      <c r="P2372">
        <v>0</v>
      </c>
      <c r="Q2372">
        <v>0</v>
      </c>
      <c r="R2372" t="s">
        <v>44762</v>
      </c>
      <c r="S2372" t="s">
        <v>44863</v>
      </c>
      <c r="T2372" t="s">
        <v>46398</v>
      </c>
      <c r="U2372" t="s">
        <v>47043</v>
      </c>
      <c r="W2372" t="s">
        <v>41667</v>
      </c>
      <c r="X2372" t="s">
        <v>44763</v>
      </c>
    </row>
    <row r="2373" spans="1:24">
      <c r="A2373">
        <f>HYPERLINK("https://www.philgeps.gov.ph/GEPSNONPILOT/Tender/SplashBidNoticeAbstractUI.aspx?menuIndex=3&amp;refID=7151881&amp;Result=3","7151881")</f>
        <v>0</v>
      </c>
      <c r="B2373" t="s">
        <v>820</v>
      </c>
      <c r="C2373" t="s">
        <v>6032</v>
      </c>
      <c r="E2373" t="s">
        <v>20213</v>
      </c>
      <c r="F2373" t="s">
        <v>30900</v>
      </c>
      <c r="G2373" t="s">
        <v>30908</v>
      </c>
      <c r="H2373" t="s">
        <v>30916</v>
      </c>
      <c r="I2373" t="s">
        <v>9385</v>
      </c>
      <c r="J2373" t="s">
        <v>32204</v>
      </c>
      <c r="K2373" t="s">
        <v>40289</v>
      </c>
      <c r="M2373" t="s">
        <v>41392</v>
      </c>
      <c r="N2373" t="s">
        <v>44759</v>
      </c>
      <c r="O2373" t="s">
        <v>44760</v>
      </c>
      <c r="P2373">
        <v>0</v>
      </c>
      <c r="Q2373">
        <v>1</v>
      </c>
      <c r="R2373" t="s">
        <v>44762</v>
      </c>
      <c r="S2373" t="s">
        <v>44863</v>
      </c>
      <c r="T2373" t="s">
        <v>46425</v>
      </c>
      <c r="U2373" t="s">
        <v>48983</v>
      </c>
      <c r="W2373" t="s">
        <v>41392</v>
      </c>
      <c r="X2373" t="s">
        <v>44763</v>
      </c>
    </row>
    <row r="2374" spans="1:24">
      <c r="A2374">
        <f>HYPERLINK("https://www.philgeps.gov.ph/GEPSNONPILOT/Tender/SplashBidNoticeAbstractUI.aspx?menuIndex=3&amp;refID=7151848&amp;Result=3","7151848")</f>
        <v>0</v>
      </c>
      <c r="B2374" t="s">
        <v>1070</v>
      </c>
      <c r="C2374" t="s">
        <v>6033</v>
      </c>
      <c r="D2374" t="s">
        <v>18017</v>
      </c>
      <c r="E2374" t="s">
        <v>20214</v>
      </c>
      <c r="F2374" t="s">
        <v>30900</v>
      </c>
      <c r="G2374" t="s">
        <v>30907</v>
      </c>
      <c r="H2374" t="s">
        <v>30916</v>
      </c>
      <c r="I2374" t="s">
        <v>4108</v>
      </c>
      <c r="J2374" t="s">
        <v>32781</v>
      </c>
      <c r="K2374" t="s">
        <v>40294</v>
      </c>
      <c r="M2374" t="s">
        <v>41668</v>
      </c>
      <c r="N2374" t="s">
        <v>44759</v>
      </c>
      <c r="O2374" t="s">
        <v>44760</v>
      </c>
      <c r="P2374">
        <v>0</v>
      </c>
      <c r="Q2374">
        <v>0</v>
      </c>
      <c r="R2374" t="s">
        <v>44762</v>
      </c>
      <c r="S2374" t="s">
        <v>44863</v>
      </c>
      <c r="T2374" t="s">
        <v>46352</v>
      </c>
      <c r="U2374" t="s">
        <v>48984</v>
      </c>
      <c r="V2374" t="s">
        <v>59374</v>
      </c>
      <c r="W2374" t="s">
        <v>41668</v>
      </c>
      <c r="X2374" t="s">
        <v>44763</v>
      </c>
    </row>
    <row r="2375" spans="1:24">
      <c r="A2375">
        <f>HYPERLINK("https://www.philgeps.gov.ph/GEPSNONPILOT/Tender/SplashBidNoticeAbstractUI.aspx?menuIndex=3&amp;refID=7151889&amp;Result=3","7151889")</f>
        <v>0</v>
      </c>
      <c r="B2375" t="s">
        <v>1078</v>
      </c>
      <c r="C2375" t="s">
        <v>6034</v>
      </c>
      <c r="D2375" t="s">
        <v>17972</v>
      </c>
      <c r="E2375" t="s">
        <v>18282</v>
      </c>
      <c r="F2375" t="s">
        <v>30900</v>
      </c>
      <c r="G2375" t="s">
        <v>30907</v>
      </c>
      <c r="H2375" t="s">
        <v>30916</v>
      </c>
      <c r="I2375" t="s">
        <v>30939</v>
      </c>
      <c r="J2375" t="s">
        <v>32782</v>
      </c>
      <c r="K2375" t="s">
        <v>40286</v>
      </c>
      <c r="M2375" t="s">
        <v>41677</v>
      </c>
      <c r="N2375" t="s">
        <v>44759</v>
      </c>
      <c r="O2375" t="s">
        <v>44760</v>
      </c>
      <c r="P2375">
        <v>0</v>
      </c>
      <c r="Q2375">
        <v>0</v>
      </c>
      <c r="R2375" t="s">
        <v>44762</v>
      </c>
      <c r="S2375" t="s">
        <v>44863</v>
      </c>
      <c r="T2375" t="s">
        <v>46411</v>
      </c>
      <c r="U2375" t="s">
        <v>48985</v>
      </c>
      <c r="W2375" t="s">
        <v>41677</v>
      </c>
      <c r="X2375" t="s">
        <v>44763</v>
      </c>
    </row>
    <row r="2376" spans="1:24">
      <c r="A2376">
        <f>HYPERLINK("https://www.philgeps.gov.ph/GEPSNONPILOT/Tender/SplashBidNoticeAbstractUI.aspx?menuIndex=3&amp;refID=7151902&amp;Result=3","7151902")</f>
        <v>0</v>
      </c>
      <c r="B2376" t="s">
        <v>1073</v>
      </c>
      <c r="C2376" t="s">
        <v>6035</v>
      </c>
      <c r="D2376" t="s">
        <v>17959</v>
      </c>
      <c r="E2376" t="s">
        <v>18345</v>
      </c>
      <c r="F2376" t="s">
        <v>30900</v>
      </c>
      <c r="G2376" t="s">
        <v>30907</v>
      </c>
      <c r="H2376" t="s">
        <v>30916</v>
      </c>
      <c r="I2376" t="s">
        <v>4108</v>
      </c>
      <c r="J2376" t="s">
        <v>31352</v>
      </c>
      <c r="K2376" t="s">
        <v>40285</v>
      </c>
      <c r="M2376" t="s">
        <v>41671</v>
      </c>
      <c r="N2376" t="s">
        <v>44759</v>
      </c>
      <c r="O2376" t="s">
        <v>44760</v>
      </c>
      <c r="P2376">
        <v>0</v>
      </c>
      <c r="Q2376">
        <v>1</v>
      </c>
      <c r="R2376" t="s">
        <v>44762</v>
      </c>
      <c r="S2376" t="s">
        <v>44863</v>
      </c>
      <c r="T2376" t="s">
        <v>46350</v>
      </c>
      <c r="U2376" t="s">
        <v>48975</v>
      </c>
      <c r="W2376" t="s">
        <v>41671</v>
      </c>
      <c r="X2376" t="s">
        <v>44763</v>
      </c>
    </row>
    <row r="2377" spans="1:24">
      <c r="A2377">
        <f>HYPERLINK("https://www.philgeps.gov.ph/GEPSNONPILOT/Tender/SplashBidNoticeAbstractUI.aspx?menuIndex=3&amp;refID=7151900&amp;Result=3","7151900")</f>
        <v>0</v>
      </c>
      <c r="B2377" t="s">
        <v>1069</v>
      </c>
      <c r="C2377" t="s">
        <v>6036</v>
      </c>
      <c r="D2377" t="s">
        <v>17975</v>
      </c>
      <c r="E2377" t="s">
        <v>20215</v>
      </c>
      <c r="F2377" t="s">
        <v>30900</v>
      </c>
      <c r="G2377" t="s">
        <v>30908</v>
      </c>
      <c r="H2377" t="s">
        <v>30916</v>
      </c>
      <c r="I2377" t="s">
        <v>6746</v>
      </c>
      <c r="J2377" t="s">
        <v>32783</v>
      </c>
      <c r="K2377" t="s">
        <v>40289</v>
      </c>
      <c r="M2377" t="s">
        <v>41667</v>
      </c>
      <c r="N2377" t="s">
        <v>44759</v>
      </c>
      <c r="O2377" t="s">
        <v>44760</v>
      </c>
      <c r="P2377">
        <v>0</v>
      </c>
      <c r="Q2377">
        <v>0</v>
      </c>
      <c r="R2377" t="s">
        <v>44762</v>
      </c>
      <c r="S2377" t="s">
        <v>44863</v>
      </c>
      <c r="T2377" t="s">
        <v>46398</v>
      </c>
      <c r="U2377" t="s">
        <v>47043</v>
      </c>
      <c r="W2377" t="s">
        <v>41667</v>
      </c>
      <c r="X2377" t="s">
        <v>44763</v>
      </c>
    </row>
    <row r="2378" spans="1:24">
      <c r="A2378">
        <f>HYPERLINK("https://www.philgeps.gov.ph/GEPSNONPILOT/Tender/SplashBidNoticeAbstractUI.aspx?menuIndex=3&amp;refID=7151912&amp;Result=3","7151912")</f>
        <v>0</v>
      </c>
      <c r="B2378" t="s">
        <v>1079</v>
      </c>
      <c r="C2378" t="s">
        <v>6037</v>
      </c>
      <c r="D2378" t="s">
        <v>17971</v>
      </c>
      <c r="E2378" t="s">
        <v>20216</v>
      </c>
      <c r="F2378" t="s">
        <v>30900</v>
      </c>
      <c r="G2378" t="s">
        <v>30907</v>
      </c>
      <c r="H2378" t="s">
        <v>30915</v>
      </c>
      <c r="I2378" t="s">
        <v>30932</v>
      </c>
      <c r="J2378" t="s">
        <v>31049</v>
      </c>
      <c r="K2378" t="s">
        <v>40289</v>
      </c>
      <c r="M2378" t="s">
        <v>41678</v>
      </c>
      <c r="N2378" t="s">
        <v>44759</v>
      </c>
      <c r="O2378" t="s">
        <v>44760</v>
      </c>
      <c r="P2378">
        <v>0</v>
      </c>
      <c r="Q2378">
        <v>0</v>
      </c>
      <c r="R2378" t="s">
        <v>44762</v>
      </c>
      <c r="S2378" t="s">
        <v>44863</v>
      </c>
      <c r="T2378" t="s">
        <v>46498</v>
      </c>
      <c r="U2378" t="s">
        <v>48986</v>
      </c>
      <c r="V2378" t="s">
        <v>59376</v>
      </c>
      <c r="W2378" t="s">
        <v>41678</v>
      </c>
      <c r="X2378" t="s">
        <v>44763</v>
      </c>
    </row>
    <row r="2379" spans="1:24">
      <c r="A2379">
        <f>HYPERLINK("https://www.philgeps.gov.ph/GEPSNONPILOT/Tender/SplashBidNoticeAbstractUI.aspx?menuIndex=3&amp;refID=7151911&amp;Result=3","7151911")</f>
        <v>0</v>
      </c>
      <c r="B2379" t="s">
        <v>1080</v>
      </c>
      <c r="C2379" t="s">
        <v>6038</v>
      </c>
      <c r="E2379" t="s">
        <v>20217</v>
      </c>
      <c r="F2379" t="s">
        <v>30900</v>
      </c>
      <c r="G2379" t="s">
        <v>30907</v>
      </c>
      <c r="H2379" t="s">
        <v>30916</v>
      </c>
      <c r="I2379" t="s">
        <v>30920</v>
      </c>
      <c r="J2379" t="s">
        <v>32784</v>
      </c>
      <c r="K2379" t="s">
        <v>40289</v>
      </c>
      <c r="M2379" t="s">
        <v>41679</v>
      </c>
      <c r="N2379" t="s">
        <v>44759</v>
      </c>
      <c r="O2379" t="s">
        <v>44760</v>
      </c>
      <c r="P2379">
        <v>0</v>
      </c>
      <c r="Q2379">
        <v>0</v>
      </c>
      <c r="R2379" t="s">
        <v>44762</v>
      </c>
      <c r="S2379" t="s">
        <v>44863</v>
      </c>
      <c r="T2379" t="s">
        <v>46409</v>
      </c>
      <c r="U2379" t="s">
        <v>48987</v>
      </c>
      <c r="V2379" t="s">
        <v>59377</v>
      </c>
      <c r="W2379" t="s">
        <v>41679</v>
      </c>
      <c r="X2379" t="s">
        <v>44763</v>
      </c>
    </row>
    <row r="2380" spans="1:24">
      <c r="A2380">
        <f>HYPERLINK("https://www.philgeps.gov.ph/GEPSNONPILOT/Tender/SplashBidNoticeAbstractUI.aspx?menuIndex=3&amp;refID=7151929&amp;Result=3","7151929")</f>
        <v>0</v>
      </c>
      <c r="B2380" t="s">
        <v>134</v>
      </c>
      <c r="C2380" t="s">
        <v>4545</v>
      </c>
      <c r="E2380" t="s">
        <v>20218</v>
      </c>
      <c r="F2380" t="s">
        <v>30900</v>
      </c>
      <c r="G2380" t="s">
        <v>30908</v>
      </c>
      <c r="H2380" t="s">
        <v>30916</v>
      </c>
      <c r="I2380" t="s">
        <v>4545</v>
      </c>
      <c r="J2380" t="s">
        <v>32321</v>
      </c>
      <c r="K2380" t="s">
        <v>40286</v>
      </c>
      <c r="M2380" t="s">
        <v>40681</v>
      </c>
      <c r="N2380" t="s">
        <v>44759</v>
      </c>
      <c r="O2380" t="s">
        <v>44760</v>
      </c>
      <c r="P2380">
        <v>0</v>
      </c>
      <c r="Q2380">
        <v>0</v>
      </c>
      <c r="R2380" t="s">
        <v>44762</v>
      </c>
      <c r="S2380" t="s">
        <v>44863</v>
      </c>
      <c r="T2380" t="s">
        <v>46399</v>
      </c>
      <c r="U2380" t="s">
        <v>48988</v>
      </c>
      <c r="W2380" t="s">
        <v>40681</v>
      </c>
      <c r="X2380" t="s">
        <v>44763</v>
      </c>
    </row>
    <row r="2381" spans="1:24">
      <c r="A2381">
        <f>HYPERLINK("https://www.philgeps.gov.ph/GEPSNONPILOT/Tender/SplashBidNoticeAbstractUI.aspx?menuIndex=3&amp;refID=7151890&amp;Result=3","7151890")</f>
        <v>0</v>
      </c>
      <c r="B2381" t="s">
        <v>1073</v>
      </c>
      <c r="C2381" t="s">
        <v>6039</v>
      </c>
      <c r="D2381" t="s">
        <v>17959</v>
      </c>
      <c r="E2381" t="s">
        <v>18846</v>
      </c>
      <c r="F2381" t="s">
        <v>30900</v>
      </c>
      <c r="G2381" t="s">
        <v>30907</v>
      </c>
      <c r="H2381" t="s">
        <v>30916</v>
      </c>
      <c r="I2381" t="s">
        <v>4108</v>
      </c>
      <c r="J2381" t="s">
        <v>31243</v>
      </c>
      <c r="K2381" t="s">
        <v>40285</v>
      </c>
      <c r="M2381" t="s">
        <v>41671</v>
      </c>
      <c r="N2381" t="s">
        <v>44759</v>
      </c>
      <c r="O2381" t="s">
        <v>44760</v>
      </c>
      <c r="P2381">
        <v>0</v>
      </c>
      <c r="Q2381">
        <v>0</v>
      </c>
      <c r="R2381" t="s">
        <v>44762</v>
      </c>
      <c r="S2381" t="s">
        <v>44863</v>
      </c>
      <c r="T2381" t="s">
        <v>46350</v>
      </c>
      <c r="U2381" t="s">
        <v>48975</v>
      </c>
      <c r="W2381" t="s">
        <v>41671</v>
      </c>
      <c r="X2381" t="s">
        <v>44763</v>
      </c>
    </row>
    <row r="2382" spans="1:24">
      <c r="A2382">
        <f>HYPERLINK("https://www.philgeps.gov.ph/GEPSNONPILOT/Tender/SplashBidNoticeAbstractUI.aspx?menuIndex=3&amp;refID=7151926&amp;Result=3","7151926")</f>
        <v>0</v>
      </c>
      <c r="B2382" t="s">
        <v>1073</v>
      </c>
      <c r="C2382" t="s">
        <v>6040</v>
      </c>
      <c r="D2382" t="s">
        <v>17959</v>
      </c>
      <c r="E2382" t="s">
        <v>20219</v>
      </c>
      <c r="F2382" t="s">
        <v>30899</v>
      </c>
      <c r="G2382" t="s">
        <v>30907</v>
      </c>
      <c r="H2382" t="s">
        <v>30916</v>
      </c>
      <c r="I2382" t="s">
        <v>4108</v>
      </c>
      <c r="J2382" t="s">
        <v>31269</v>
      </c>
      <c r="K2382" t="s">
        <v>40285</v>
      </c>
      <c r="M2382" t="s">
        <v>41671</v>
      </c>
      <c r="N2382" t="s">
        <v>44759</v>
      </c>
      <c r="O2382" t="s">
        <v>44760</v>
      </c>
      <c r="P2382">
        <v>0</v>
      </c>
      <c r="Q2382">
        <v>0</v>
      </c>
      <c r="R2382" t="s">
        <v>44762</v>
      </c>
      <c r="S2382" t="s">
        <v>44863</v>
      </c>
      <c r="T2382" t="s">
        <v>46350</v>
      </c>
      <c r="U2382" t="s">
        <v>48975</v>
      </c>
      <c r="W2382" t="s">
        <v>41671</v>
      </c>
      <c r="X2382" t="s">
        <v>44763</v>
      </c>
    </row>
    <row r="2383" spans="1:24">
      <c r="A2383">
        <f>HYPERLINK("https://www.philgeps.gov.ph/GEPSNONPILOT/Tender/SplashBidNoticeAbstractUI.aspx?menuIndex=3&amp;refID=7151924&amp;Result=3","7151924")</f>
        <v>0</v>
      </c>
      <c r="B2383" t="s">
        <v>1079</v>
      </c>
      <c r="C2383" t="s">
        <v>6041</v>
      </c>
      <c r="E2383" t="s">
        <v>20220</v>
      </c>
      <c r="F2383" t="s">
        <v>30900</v>
      </c>
      <c r="G2383" t="s">
        <v>30907</v>
      </c>
      <c r="H2383" t="s">
        <v>30916</v>
      </c>
      <c r="I2383" t="s">
        <v>8123</v>
      </c>
      <c r="J2383" t="s">
        <v>32785</v>
      </c>
      <c r="K2383" t="s">
        <v>40289</v>
      </c>
      <c r="M2383" t="s">
        <v>41678</v>
      </c>
      <c r="N2383" t="s">
        <v>44759</v>
      </c>
      <c r="O2383" t="s">
        <v>44760</v>
      </c>
      <c r="P2383">
        <v>0</v>
      </c>
      <c r="Q2383">
        <v>0</v>
      </c>
      <c r="R2383" t="s">
        <v>44762</v>
      </c>
      <c r="S2383" t="s">
        <v>44863</v>
      </c>
      <c r="T2383" t="s">
        <v>46389</v>
      </c>
      <c r="U2383" t="s">
        <v>48989</v>
      </c>
      <c r="V2383" t="s">
        <v>59376</v>
      </c>
      <c r="W2383" t="s">
        <v>41678</v>
      </c>
      <c r="X2383" t="s">
        <v>44763</v>
      </c>
    </row>
    <row r="2384" spans="1:24">
      <c r="A2384">
        <f>HYPERLINK("https://www.philgeps.gov.ph/GEPSNONPILOT/Tender/SplashBidNoticeAbstractUI.aspx?menuIndex=3&amp;refID=7151920&amp;Result=3","7151920")</f>
        <v>0</v>
      </c>
      <c r="B2384" t="s">
        <v>1081</v>
      </c>
      <c r="C2384" t="s">
        <v>6042</v>
      </c>
      <c r="D2384" t="s">
        <v>17953</v>
      </c>
      <c r="E2384" t="s">
        <v>20221</v>
      </c>
      <c r="F2384" t="s">
        <v>30900</v>
      </c>
      <c r="G2384" t="s">
        <v>30908</v>
      </c>
      <c r="H2384" t="s">
        <v>30916</v>
      </c>
      <c r="I2384" t="s">
        <v>6396</v>
      </c>
      <c r="J2384" t="s">
        <v>31522</v>
      </c>
      <c r="K2384" t="s">
        <v>40286</v>
      </c>
      <c r="M2384" t="s">
        <v>41680</v>
      </c>
      <c r="N2384" t="s">
        <v>44759</v>
      </c>
      <c r="O2384" t="s">
        <v>44760</v>
      </c>
      <c r="P2384">
        <v>0</v>
      </c>
      <c r="Q2384">
        <v>1</v>
      </c>
      <c r="R2384" t="s">
        <v>44762</v>
      </c>
      <c r="S2384" t="s">
        <v>44863</v>
      </c>
      <c r="T2384" t="s">
        <v>46536</v>
      </c>
      <c r="U2384" t="s">
        <v>48990</v>
      </c>
      <c r="V2384" t="s">
        <v>59378</v>
      </c>
      <c r="W2384" t="s">
        <v>41680</v>
      </c>
      <c r="X2384" t="s">
        <v>44763</v>
      </c>
    </row>
    <row r="2385" spans="1:24">
      <c r="A2385">
        <f>HYPERLINK("https://www.philgeps.gov.ph/GEPSNONPILOT/Tender/SplashBidNoticeAbstractUI.aspx?menuIndex=3&amp;refID=7151913&amp;Result=3","7151913")</f>
        <v>0</v>
      </c>
      <c r="B2385" t="s">
        <v>1074</v>
      </c>
      <c r="C2385" t="s">
        <v>6043</v>
      </c>
      <c r="D2385" t="s">
        <v>17971</v>
      </c>
      <c r="E2385" t="s">
        <v>20222</v>
      </c>
      <c r="F2385" t="s">
        <v>30900</v>
      </c>
      <c r="G2385" t="s">
        <v>30907</v>
      </c>
      <c r="H2385" t="s">
        <v>30916</v>
      </c>
      <c r="I2385" t="s">
        <v>4142</v>
      </c>
      <c r="J2385" t="s">
        <v>32786</v>
      </c>
      <c r="K2385" t="s">
        <v>40287</v>
      </c>
      <c r="M2385" t="s">
        <v>41672</v>
      </c>
      <c r="N2385" t="s">
        <v>44759</v>
      </c>
      <c r="O2385" t="s">
        <v>44760</v>
      </c>
      <c r="P2385">
        <v>0</v>
      </c>
      <c r="Q2385">
        <v>1</v>
      </c>
      <c r="R2385" t="s">
        <v>44762</v>
      </c>
      <c r="S2385" t="s">
        <v>44863</v>
      </c>
      <c r="T2385" t="s">
        <v>46395</v>
      </c>
      <c r="U2385" t="s">
        <v>48991</v>
      </c>
      <c r="V2385" t="s">
        <v>59379</v>
      </c>
      <c r="W2385" t="s">
        <v>41672</v>
      </c>
      <c r="X2385" t="s">
        <v>44763</v>
      </c>
    </row>
    <row r="2386" spans="1:24">
      <c r="A2386">
        <f>HYPERLINK("https://www.philgeps.gov.ph/GEPSNONPILOT/Tender/SplashBidNoticeAbstractUI.aspx?menuIndex=3&amp;refID=7151928&amp;Result=3","7151928")</f>
        <v>0</v>
      </c>
      <c r="B2386" t="s">
        <v>1082</v>
      </c>
      <c r="C2386" t="s">
        <v>6044</v>
      </c>
      <c r="D2386" t="s">
        <v>18002</v>
      </c>
      <c r="E2386" t="s">
        <v>20223</v>
      </c>
      <c r="F2386" t="s">
        <v>30900</v>
      </c>
      <c r="G2386" t="s">
        <v>30907</v>
      </c>
      <c r="H2386" t="s">
        <v>30916</v>
      </c>
      <c r="I2386" t="s">
        <v>4545</v>
      </c>
      <c r="J2386" t="s">
        <v>31105</v>
      </c>
      <c r="K2386" t="s">
        <v>40289</v>
      </c>
      <c r="M2386" t="s">
        <v>41681</v>
      </c>
      <c r="N2386" t="s">
        <v>44759</v>
      </c>
      <c r="O2386" t="s">
        <v>44760</v>
      </c>
      <c r="P2386">
        <v>0</v>
      </c>
      <c r="Q2386">
        <v>1</v>
      </c>
      <c r="R2386" t="s">
        <v>44762</v>
      </c>
      <c r="S2386" t="s">
        <v>44863</v>
      </c>
      <c r="T2386" t="s">
        <v>46389</v>
      </c>
      <c r="U2386" t="s">
        <v>48992</v>
      </c>
      <c r="W2386" t="s">
        <v>41681</v>
      </c>
      <c r="X2386" t="s">
        <v>44763</v>
      </c>
    </row>
    <row r="2387" spans="1:24">
      <c r="A2387">
        <f>HYPERLINK("https://www.philgeps.gov.ph/GEPSNONPILOT/Tender/SplashBidNoticeAbstractUI.aspx?menuIndex=3&amp;refID=7151934&amp;Result=3","7151934")</f>
        <v>0</v>
      </c>
      <c r="B2387" t="s">
        <v>1083</v>
      </c>
      <c r="C2387" t="s">
        <v>6045</v>
      </c>
      <c r="D2387" t="s">
        <v>17999</v>
      </c>
      <c r="E2387" t="s">
        <v>20224</v>
      </c>
      <c r="F2387" t="s">
        <v>30900</v>
      </c>
      <c r="G2387" t="s">
        <v>30909</v>
      </c>
      <c r="H2387" t="s">
        <v>30916</v>
      </c>
      <c r="I2387" t="s">
        <v>30936</v>
      </c>
      <c r="J2387" t="s">
        <v>32787</v>
      </c>
      <c r="K2387" t="s">
        <v>40289</v>
      </c>
      <c r="M2387" t="s">
        <v>41682</v>
      </c>
      <c r="N2387" t="s">
        <v>44759</v>
      </c>
      <c r="O2387" t="s">
        <v>44760</v>
      </c>
      <c r="P2387">
        <v>0</v>
      </c>
      <c r="Q2387">
        <v>0</v>
      </c>
      <c r="R2387" t="s">
        <v>44762</v>
      </c>
      <c r="S2387" t="s">
        <v>44863</v>
      </c>
      <c r="T2387" t="s">
        <v>46548</v>
      </c>
      <c r="U2387" t="s">
        <v>48993</v>
      </c>
      <c r="V2387" t="s">
        <v>59380</v>
      </c>
      <c r="W2387" t="s">
        <v>41682</v>
      </c>
      <c r="X2387" t="s">
        <v>44763</v>
      </c>
    </row>
    <row r="2388" spans="1:24">
      <c r="A2388">
        <f>HYPERLINK("https://www.philgeps.gov.ph/GEPSNONPILOT/Tender/SplashBidNoticeAbstractUI.aspx?menuIndex=3&amp;refID=7151925&amp;Result=3","7151925")</f>
        <v>0</v>
      </c>
      <c r="B2388" t="s">
        <v>1073</v>
      </c>
      <c r="C2388" t="s">
        <v>6046</v>
      </c>
      <c r="D2388" t="s">
        <v>17959</v>
      </c>
      <c r="E2388" t="s">
        <v>20225</v>
      </c>
      <c r="F2388" t="s">
        <v>30900</v>
      </c>
      <c r="G2388" t="s">
        <v>30907</v>
      </c>
      <c r="H2388" t="s">
        <v>30916</v>
      </c>
      <c r="I2388" t="s">
        <v>4108</v>
      </c>
      <c r="J2388" t="s">
        <v>31243</v>
      </c>
      <c r="K2388" t="s">
        <v>40285</v>
      </c>
      <c r="M2388" t="s">
        <v>41671</v>
      </c>
      <c r="N2388" t="s">
        <v>44759</v>
      </c>
      <c r="O2388" t="s">
        <v>44760</v>
      </c>
      <c r="P2388">
        <v>0</v>
      </c>
      <c r="Q2388">
        <v>0</v>
      </c>
      <c r="R2388" t="s">
        <v>44762</v>
      </c>
      <c r="S2388" t="s">
        <v>44863</v>
      </c>
      <c r="T2388" t="s">
        <v>46350</v>
      </c>
      <c r="U2388" t="s">
        <v>48975</v>
      </c>
      <c r="W2388" t="s">
        <v>41671</v>
      </c>
      <c r="X2388" t="s">
        <v>44763</v>
      </c>
    </row>
    <row r="2389" spans="1:24">
      <c r="A2389">
        <f>HYPERLINK("https://www.philgeps.gov.ph/GEPSNONPILOT/Tender/SplashBidNoticeAbstractUI.aspx?menuIndex=3&amp;refID=7151922&amp;Result=3","7151922")</f>
        <v>0</v>
      </c>
      <c r="B2389" t="s">
        <v>1073</v>
      </c>
      <c r="C2389" t="s">
        <v>6047</v>
      </c>
      <c r="D2389" t="s">
        <v>17959</v>
      </c>
      <c r="E2389" t="s">
        <v>20226</v>
      </c>
      <c r="F2389" t="s">
        <v>30900</v>
      </c>
      <c r="G2389" t="s">
        <v>30907</v>
      </c>
      <c r="H2389" t="s">
        <v>30916</v>
      </c>
      <c r="I2389" t="s">
        <v>4108</v>
      </c>
      <c r="J2389" t="s">
        <v>31278</v>
      </c>
      <c r="K2389" t="s">
        <v>40285</v>
      </c>
      <c r="M2389" t="s">
        <v>41671</v>
      </c>
      <c r="N2389" t="s">
        <v>44759</v>
      </c>
      <c r="O2389" t="s">
        <v>44760</v>
      </c>
      <c r="P2389">
        <v>0</v>
      </c>
      <c r="Q2389">
        <v>0</v>
      </c>
      <c r="R2389" t="s">
        <v>44762</v>
      </c>
      <c r="S2389" t="s">
        <v>44863</v>
      </c>
      <c r="T2389" t="s">
        <v>46350</v>
      </c>
      <c r="U2389" t="s">
        <v>48975</v>
      </c>
      <c r="W2389" t="s">
        <v>41671</v>
      </c>
      <c r="X2389" t="s">
        <v>44763</v>
      </c>
    </row>
    <row r="2390" spans="1:24">
      <c r="A2390">
        <f>HYPERLINK("https://www.philgeps.gov.ph/GEPSNONPILOT/Tender/SplashBidNoticeAbstractUI.aspx?menuIndex=3&amp;refID=7151931&amp;Result=3","7151931")</f>
        <v>0</v>
      </c>
      <c r="B2390" t="s">
        <v>1084</v>
      </c>
      <c r="C2390" t="s">
        <v>6048</v>
      </c>
      <c r="D2390" t="s">
        <v>17969</v>
      </c>
      <c r="E2390" t="s">
        <v>20227</v>
      </c>
      <c r="F2390" t="s">
        <v>30900</v>
      </c>
      <c r="G2390" t="s">
        <v>30907</v>
      </c>
      <c r="H2390" t="s">
        <v>30916</v>
      </c>
      <c r="I2390" t="s">
        <v>11785</v>
      </c>
      <c r="J2390" t="s">
        <v>32788</v>
      </c>
      <c r="K2390" t="s">
        <v>40286</v>
      </c>
      <c r="M2390" t="s">
        <v>41683</v>
      </c>
      <c r="N2390" t="s">
        <v>44759</v>
      </c>
      <c r="O2390" t="s">
        <v>44760</v>
      </c>
      <c r="P2390">
        <v>0</v>
      </c>
      <c r="Q2390">
        <v>1</v>
      </c>
      <c r="R2390" t="s">
        <v>44762</v>
      </c>
      <c r="S2390" t="s">
        <v>44863</v>
      </c>
      <c r="T2390" t="s">
        <v>46377</v>
      </c>
      <c r="U2390" t="s">
        <v>48994</v>
      </c>
      <c r="W2390" t="s">
        <v>41683</v>
      </c>
      <c r="X2390" t="s">
        <v>44763</v>
      </c>
    </row>
    <row r="2391" spans="1:24">
      <c r="A2391">
        <f>HYPERLINK("https://www.philgeps.gov.ph/GEPSNONPILOT/Tender/SplashBidNoticeAbstractUI.aspx?menuIndex=3&amp;refID=7151930&amp;Result=3","7151930")</f>
        <v>0</v>
      </c>
      <c r="B2391" t="s">
        <v>1073</v>
      </c>
      <c r="C2391" t="s">
        <v>6049</v>
      </c>
      <c r="D2391" t="s">
        <v>17959</v>
      </c>
      <c r="E2391" t="s">
        <v>20228</v>
      </c>
      <c r="F2391" t="s">
        <v>30900</v>
      </c>
      <c r="G2391" t="s">
        <v>30907</v>
      </c>
      <c r="H2391" t="s">
        <v>30916</v>
      </c>
      <c r="I2391" t="s">
        <v>4108</v>
      </c>
      <c r="J2391" t="s">
        <v>31243</v>
      </c>
      <c r="K2391" t="s">
        <v>40285</v>
      </c>
      <c r="M2391" t="s">
        <v>41671</v>
      </c>
      <c r="N2391" t="s">
        <v>44759</v>
      </c>
      <c r="O2391" t="s">
        <v>44760</v>
      </c>
      <c r="P2391">
        <v>0</v>
      </c>
      <c r="Q2391">
        <v>0</v>
      </c>
      <c r="R2391" t="s">
        <v>44762</v>
      </c>
      <c r="S2391" t="s">
        <v>44863</v>
      </c>
      <c r="T2391" t="s">
        <v>46350</v>
      </c>
      <c r="U2391" t="s">
        <v>48975</v>
      </c>
      <c r="W2391" t="s">
        <v>41671</v>
      </c>
      <c r="X2391" t="s">
        <v>44763</v>
      </c>
    </row>
    <row r="2392" spans="1:24">
      <c r="A2392">
        <f>HYPERLINK("https://www.philgeps.gov.ph/GEPSNONPILOT/Tender/SplashBidNoticeAbstractUI.aspx?menuIndex=3&amp;refID=7151919&amp;Result=3","7151919")</f>
        <v>0</v>
      </c>
      <c r="B2392" t="s">
        <v>1073</v>
      </c>
      <c r="C2392" t="s">
        <v>6050</v>
      </c>
      <c r="D2392" t="s">
        <v>17959</v>
      </c>
      <c r="E2392" t="s">
        <v>20229</v>
      </c>
      <c r="F2392" t="s">
        <v>30900</v>
      </c>
      <c r="G2392" t="s">
        <v>30907</v>
      </c>
      <c r="H2392" t="s">
        <v>30916</v>
      </c>
      <c r="I2392" t="s">
        <v>4108</v>
      </c>
      <c r="J2392" t="s">
        <v>31105</v>
      </c>
      <c r="K2392" t="s">
        <v>40285</v>
      </c>
      <c r="M2392" t="s">
        <v>41671</v>
      </c>
      <c r="N2392" t="s">
        <v>44759</v>
      </c>
      <c r="O2392" t="s">
        <v>44760</v>
      </c>
      <c r="P2392">
        <v>0</v>
      </c>
      <c r="Q2392">
        <v>0</v>
      </c>
      <c r="R2392" t="s">
        <v>44762</v>
      </c>
      <c r="S2392" t="s">
        <v>44863</v>
      </c>
      <c r="T2392" t="s">
        <v>46350</v>
      </c>
      <c r="U2392" t="s">
        <v>48975</v>
      </c>
      <c r="W2392" t="s">
        <v>41671</v>
      </c>
      <c r="X2392" t="s">
        <v>44763</v>
      </c>
    </row>
    <row r="2393" spans="1:24">
      <c r="A2393">
        <f>HYPERLINK("https://www.philgeps.gov.ph/GEPSNONPILOT/Tender/SplashBidNoticeAbstractUI.aspx?menuIndex=3&amp;refID=7151918&amp;Result=3","7151918")</f>
        <v>0</v>
      </c>
      <c r="B2393" t="s">
        <v>805</v>
      </c>
      <c r="C2393" t="s">
        <v>6051</v>
      </c>
      <c r="D2393" t="s">
        <v>18006</v>
      </c>
      <c r="E2393" t="s">
        <v>20230</v>
      </c>
      <c r="F2393" t="s">
        <v>30900</v>
      </c>
      <c r="G2393" t="s">
        <v>30909</v>
      </c>
      <c r="H2393" t="s">
        <v>30916</v>
      </c>
      <c r="I2393" t="s">
        <v>9385</v>
      </c>
      <c r="J2393" t="s">
        <v>31337</v>
      </c>
      <c r="K2393" t="s">
        <v>40283</v>
      </c>
      <c r="M2393" t="s">
        <v>41375</v>
      </c>
      <c r="N2393" t="s">
        <v>44759</v>
      </c>
      <c r="O2393" t="s">
        <v>44760</v>
      </c>
      <c r="P2393">
        <v>0</v>
      </c>
      <c r="Q2393">
        <v>4</v>
      </c>
      <c r="R2393" t="s">
        <v>44762</v>
      </c>
      <c r="S2393" t="s">
        <v>44863</v>
      </c>
      <c r="T2393" t="s">
        <v>46411</v>
      </c>
      <c r="U2393" t="s">
        <v>48995</v>
      </c>
      <c r="W2393" t="s">
        <v>41375</v>
      </c>
      <c r="X2393" t="s">
        <v>44763</v>
      </c>
    </row>
    <row r="2394" spans="1:24">
      <c r="A2394">
        <f>HYPERLINK("https://www.philgeps.gov.ph/GEPSNONPILOT/Tender/SplashBidNoticeAbstractUI.aspx?menuIndex=3&amp;refID=7151917&amp;Result=3","7151917")</f>
        <v>0</v>
      </c>
      <c r="B2394" t="s">
        <v>1073</v>
      </c>
      <c r="C2394" t="s">
        <v>6052</v>
      </c>
      <c r="D2394" t="s">
        <v>17959</v>
      </c>
      <c r="E2394" t="s">
        <v>20231</v>
      </c>
      <c r="F2394" t="s">
        <v>30900</v>
      </c>
      <c r="G2394" t="s">
        <v>30907</v>
      </c>
      <c r="H2394" t="s">
        <v>30916</v>
      </c>
      <c r="I2394" t="s">
        <v>4108</v>
      </c>
      <c r="J2394" t="s">
        <v>31243</v>
      </c>
      <c r="K2394" t="s">
        <v>40285</v>
      </c>
      <c r="M2394" t="s">
        <v>41671</v>
      </c>
      <c r="N2394" t="s">
        <v>44759</v>
      </c>
      <c r="O2394" t="s">
        <v>44760</v>
      </c>
      <c r="P2394">
        <v>0</v>
      </c>
      <c r="Q2394">
        <v>0</v>
      </c>
      <c r="R2394" t="s">
        <v>44762</v>
      </c>
      <c r="S2394" t="s">
        <v>44863</v>
      </c>
      <c r="T2394" t="s">
        <v>46350</v>
      </c>
      <c r="U2394" t="s">
        <v>48975</v>
      </c>
      <c r="W2394" t="s">
        <v>41671</v>
      </c>
      <c r="X2394" t="s">
        <v>44763</v>
      </c>
    </row>
    <row r="2395" spans="1:24">
      <c r="A2395">
        <f>HYPERLINK("https://www.philgeps.gov.ph/GEPSNONPILOT/Tender/SplashBidNoticeAbstractUI.aspx?menuIndex=3&amp;refID=7151892&amp;Result=3","7151892")</f>
        <v>0</v>
      </c>
      <c r="B2395" t="s">
        <v>368</v>
      </c>
      <c r="C2395" t="s">
        <v>6053</v>
      </c>
      <c r="D2395" t="s">
        <v>17954</v>
      </c>
      <c r="E2395" t="s">
        <v>6053</v>
      </c>
      <c r="F2395" t="s">
        <v>30900</v>
      </c>
      <c r="G2395" t="s">
        <v>30908</v>
      </c>
      <c r="H2395" t="s">
        <v>30916</v>
      </c>
      <c r="I2395" t="s">
        <v>30923</v>
      </c>
      <c r="J2395" t="s">
        <v>32789</v>
      </c>
      <c r="K2395" t="s">
        <v>40289</v>
      </c>
      <c r="M2395" t="s">
        <v>40922</v>
      </c>
      <c r="N2395" t="s">
        <v>44759</v>
      </c>
      <c r="O2395" t="s">
        <v>44760</v>
      </c>
      <c r="P2395">
        <v>0</v>
      </c>
      <c r="Q2395">
        <v>0</v>
      </c>
      <c r="R2395" t="s">
        <v>44762</v>
      </c>
      <c r="S2395" t="s">
        <v>44863</v>
      </c>
      <c r="T2395" t="s">
        <v>46383</v>
      </c>
      <c r="U2395" t="s">
        <v>48996</v>
      </c>
      <c r="W2395" t="s">
        <v>40922</v>
      </c>
      <c r="X2395" t="s">
        <v>44763</v>
      </c>
    </row>
    <row r="2396" spans="1:24">
      <c r="A2396">
        <f>HYPERLINK("https://www.philgeps.gov.ph/GEPSNONPILOT/Tender/SplashBidNoticeAbstractUI.aspx?menuIndex=3&amp;refID=7151915&amp;Result=3","7151915")</f>
        <v>0</v>
      </c>
      <c r="B2396" t="s">
        <v>514</v>
      </c>
      <c r="C2396" t="s">
        <v>6054</v>
      </c>
      <c r="D2396" t="s">
        <v>17975</v>
      </c>
      <c r="E2396" t="s">
        <v>20232</v>
      </c>
      <c r="F2396" t="s">
        <v>30900</v>
      </c>
      <c r="G2396" t="s">
        <v>30908</v>
      </c>
      <c r="H2396" t="s">
        <v>30916</v>
      </c>
      <c r="I2396" t="s">
        <v>8123</v>
      </c>
      <c r="J2396" t="s">
        <v>32777</v>
      </c>
      <c r="K2396" t="s">
        <v>40283</v>
      </c>
      <c r="M2396" t="s">
        <v>41074</v>
      </c>
      <c r="N2396" t="s">
        <v>44759</v>
      </c>
      <c r="O2396" t="s">
        <v>44760</v>
      </c>
      <c r="P2396">
        <v>0</v>
      </c>
      <c r="Q2396">
        <v>0</v>
      </c>
      <c r="R2396" t="s">
        <v>44762</v>
      </c>
      <c r="S2396" t="s">
        <v>44863</v>
      </c>
      <c r="T2396" t="s">
        <v>46414</v>
      </c>
      <c r="U2396" t="s">
        <v>48997</v>
      </c>
      <c r="W2396" t="s">
        <v>41074</v>
      </c>
      <c r="X2396" t="s">
        <v>44763</v>
      </c>
    </row>
    <row r="2397" spans="1:24">
      <c r="A2397">
        <f>HYPERLINK("https://www.philgeps.gov.ph/GEPSNONPILOT/Tender/SplashBidNoticeAbstractUI.aspx?menuIndex=3&amp;refID=7151914&amp;Result=3","7151914")</f>
        <v>0</v>
      </c>
      <c r="B2397" t="s">
        <v>1073</v>
      </c>
      <c r="C2397" t="s">
        <v>6055</v>
      </c>
      <c r="D2397" t="s">
        <v>17959</v>
      </c>
      <c r="E2397" t="s">
        <v>20233</v>
      </c>
      <c r="F2397" t="s">
        <v>30900</v>
      </c>
      <c r="G2397" t="s">
        <v>30907</v>
      </c>
      <c r="H2397" t="s">
        <v>30916</v>
      </c>
      <c r="I2397" t="s">
        <v>4108</v>
      </c>
      <c r="J2397" t="s">
        <v>31108</v>
      </c>
      <c r="K2397" t="s">
        <v>40285</v>
      </c>
      <c r="M2397" t="s">
        <v>41671</v>
      </c>
      <c r="N2397" t="s">
        <v>44759</v>
      </c>
      <c r="O2397" t="s">
        <v>44760</v>
      </c>
      <c r="P2397">
        <v>0</v>
      </c>
      <c r="Q2397">
        <v>0</v>
      </c>
      <c r="R2397" t="s">
        <v>44762</v>
      </c>
      <c r="S2397" t="s">
        <v>44863</v>
      </c>
      <c r="T2397" t="s">
        <v>46350</v>
      </c>
      <c r="U2397" t="s">
        <v>48975</v>
      </c>
      <c r="W2397" t="s">
        <v>41671</v>
      </c>
      <c r="X2397" t="s">
        <v>44763</v>
      </c>
    </row>
    <row r="2398" spans="1:24">
      <c r="A2398">
        <f>HYPERLINK("https://www.philgeps.gov.ph/GEPSNONPILOT/Tender/SplashBidNoticeAbstractUI.aspx?menuIndex=3&amp;refID=7151891&amp;Result=3","7151891")</f>
        <v>0</v>
      </c>
      <c r="B2398" t="s">
        <v>1085</v>
      </c>
      <c r="C2398" t="s">
        <v>6056</v>
      </c>
      <c r="D2398" t="s">
        <v>17959</v>
      </c>
      <c r="E2398" t="s">
        <v>20234</v>
      </c>
      <c r="F2398" t="s">
        <v>30900</v>
      </c>
      <c r="G2398" t="s">
        <v>30909</v>
      </c>
      <c r="H2398" t="s">
        <v>30916</v>
      </c>
      <c r="I2398" t="s">
        <v>5830</v>
      </c>
      <c r="J2398" t="s">
        <v>31049</v>
      </c>
      <c r="K2398" t="s">
        <v>40288</v>
      </c>
      <c r="M2398" t="s">
        <v>41684</v>
      </c>
      <c r="N2398" t="s">
        <v>44759</v>
      </c>
      <c r="O2398" t="s">
        <v>44760</v>
      </c>
      <c r="P2398">
        <v>0</v>
      </c>
      <c r="Q2398">
        <v>0</v>
      </c>
      <c r="R2398" t="s">
        <v>44762</v>
      </c>
      <c r="S2398" t="s">
        <v>44863</v>
      </c>
      <c r="T2398" t="s">
        <v>46591</v>
      </c>
      <c r="U2398" t="s">
        <v>48998</v>
      </c>
      <c r="W2398" t="s">
        <v>41684</v>
      </c>
      <c r="X2398" t="s">
        <v>44763</v>
      </c>
    </row>
    <row r="2399" spans="1:24">
      <c r="A2399">
        <f>HYPERLINK("https://www.philgeps.gov.ph/GEPSNONPILOT/Tender/SplashBidNoticeAbstractUI.aspx?menuIndex=3&amp;refID=7151932&amp;Result=3","7151932")</f>
        <v>0</v>
      </c>
      <c r="B2399" t="s">
        <v>1073</v>
      </c>
      <c r="C2399" t="s">
        <v>6057</v>
      </c>
      <c r="D2399" t="s">
        <v>17959</v>
      </c>
      <c r="E2399" t="s">
        <v>20235</v>
      </c>
      <c r="F2399" t="s">
        <v>30900</v>
      </c>
      <c r="G2399" t="s">
        <v>30907</v>
      </c>
      <c r="H2399" t="s">
        <v>30916</v>
      </c>
      <c r="I2399" t="s">
        <v>4108</v>
      </c>
      <c r="J2399" t="s">
        <v>31130</v>
      </c>
      <c r="K2399" t="s">
        <v>40285</v>
      </c>
      <c r="M2399" t="s">
        <v>41671</v>
      </c>
      <c r="N2399" t="s">
        <v>44759</v>
      </c>
      <c r="O2399" t="s">
        <v>44760</v>
      </c>
      <c r="P2399">
        <v>0</v>
      </c>
      <c r="Q2399">
        <v>0</v>
      </c>
      <c r="R2399" t="s">
        <v>44762</v>
      </c>
      <c r="S2399" t="s">
        <v>44863</v>
      </c>
      <c r="T2399" t="s">
        <v>46350</v>
      </c>
      <c r="U2399" t="s">
        <v>48975</v>
      </c>
      <c r="W2399" t="s">
        <v>41671</v>
      </c>
      <c r="X2399" t="s">
        <v>44763</v>
      </c>
    </row>
    <row r="2400" spans="1:24">
      <c r="A2400">
        <f>HYPERLINK("https://www.philgeps.gov.ph/GEPSNONPILOT/Tender/SplashBidNoticeAbstractUI.aspx?menuIndex=3&amp;refID=7151903&amp;Result=3","7151903")</f>
        <v>0</v>
      </c>
      <c r="B2400" t="s">
        <v>1079</v>
      </c>
      <c r="C2400" t="s">
        <v>6058</v>
      </c>
      <c r="E2400" t="s">
        <v>20236</v>
      </c>
      <c r="F2400" t="s">
        <v>30900</v>
      </c>
      <c r="G2400" t="s">
        <v>30907</v>
      </c>
      <c r="H2400" t="s">
        <v>30915</v>
      </c>
      <c r="I2400" t="s">
        <v>30919</v>
      </c>
      <c r="J2400" t="s">
        <v>32790</v>
      </c>
      <c r="K2400" t="s">
        <v>40289</v>
      </c>
      <c r="M2400" t="s">
        <v>41678</v>
      </c>
      <c r="N2400" t="s">
        <v>44759</v>
      </c>
      <c r="O2400" t="s">
        <v>44760</v>
      </c>
      <c r="P2400">
        <v>0</v>
      </c>
      <c r="Q2400">
        <v>0</v>
      </c>
      <c r="R2400" t="s">
        <v>44762</v>
      </c>
      <c r="S2400" t="s">
        <v>44863</v>
      </c>
      <c r="T2400" t="s">
        <v>46409</v>
      </c>
      <c r="U2400" t="s">
        <v>48986</v>
      </c>
      <c r="V2400" t="s">
        <v>59381</v>
      </c>
      <c r="W2400" t="s">
        <v>41678</v>
      </c>
      <c r="X2400" t="s">
        <v>44763</v>
      </c>
    </row>
    <row r="2401" spans="1:24">
      <c r="A2401">
        <f>HYPERLINK("https://www.philgeps.gov.ph/GEPSNONPILOT/Tender/SplashBidNoticeAbstractUI.aspx?menuIndex=3&amp;refID=7151933&amp;Result=3","7151933")</f>
        <v>0</v>
      </c>
      <c r="B2401" t="s">
        <v>1086</v>
      </c>
      <c r="C2401" t="s">
        <v>6059</v>
      </c>
      <c r="D2401" t="s">
        <v>17994</v>
      </c>
      <c r="E2401" t="s">
        <v>20058</v>
      </c>
      <c r="F2401" t="s">
        <v>30900</v>
      </c>
      <c r="G2401" t="s">
        <v>30907</v>
      </c>
      <c r="H2401" t="s">
        <v>30916</v>
      </c>
      <c r="I2401" t="s">
        <v>4050</v>
      </c>
      <c r="J2401" t="s">
        <v>32791</v>
      </c>
      <c r="K2401" t="s">
        <v>40283</v>
      </c>
      <c r="M2401" t="s">
        <v>41685</v>
      </c>
      <c r="N2401" t="s">
        <v>44759</v>
      </c>
      <c r="O2401" t="s">
        <v>44760</v>
      </c>
      <c r="P2401">
        <v>0</v>
      </c>
      <c r="Q2401">
        <v>1</v>
      </c>
      <c r="R2401" t="s">
        <v>44762</v>
      </c>
      <c r="S2401" t="s">
        <v>44863</v>
      </c>
      <c r="T2401" t="s">
        <v>46592</v>
      </c>
      <c r="U2401" t="s">
        <v>48999</v>
      </c>
      <c r="W2401" t="s">
        <v>41685</v>
      </c>
      <c r="X2401" t="s">
        <v>44763</v>
      </c>
    </row>
    <row r="2402" spans="1:24">
      <c r="A2402">
        <f>HYPERLINK("https://www.philgeps.gov.ph/GEPSNONPILOT/Tender/SplashBidNoticeAbstractUI.aspx?menuIndex=3&amp;refID=7151952&amp;Result=3","7151952")</f>
        <v>0</v>
      </c>
      <c r="B2402" t="s">
        <v>134</v>
      </c>
      <c r="C2402" t="s">
        <v>6060</v>
      </c>
      <c r="E2402" t="s">
        <v>20237</v>
      </c>
      <c r="F2402" t="s">
        <v>30900</v>
      </c>
      <c r="G2402" t="s">
        <v>30908</v>
      </c>
      <c r="H2402" t="s">
        <v>30916</v>
      </c>
      <c r="I2402" t="s">
        <v>8123</v>
      </c>
      <c r="J2402" t="s">
        <v>32792</v>
      </c>
      <c r="K2402" t="s">
        <v>40331</v>
      </c>
      <c r="M2402" t="s">
        <v>40681</v>
      </c>
      <c r="N2402" t="s">
        <v>44759</v>
      </c>
      <c r="O2402" t="s">
        <v>44760</v>
      </c>
      <c r="P2402">
        <v>0</v>
      </c>
      <c r="Q2402">
        <v>0</v>
      </c>
      <c r="R2402" t="s">
        <v>44762</v>
      </c>
      <c r="S2402" t="s">
        <v>44863</v>
      </c>
      <c r="T2402" t="s">
        <v>46399</v>
      </c>
      <c r="U2402" t="s">
        <v>49000</v>
      </c>
      <c r="W2402" t="s">
        <v>40681</v>
      </c>
      <c r="X2402" t="s">
        <v>44763</v>
      </c>
    </row>
    <row r="2403" spans="1:24">
      <c r="A2403">
        <f>HYPERLINK("https://www.philgeps.gov.ph/GEPSNONPILOT/Tender/SplashBidNoticeAbstractUI.aspx?menuIndex=3&amp;refID=7151936&amp;Result=3","7151936")</f>
        <v>0</v>
      </c>
      <c r="B2403" t="s">
        <v>938</v>
      </c>
      <c r="C2403" t="s">
        <v>6061</v>
      </c>
      <c r="D2403" t="s">
        <v>18038</v>
      </c>
      <c r="E2403" t="s">
        <v>20231</v>
      </c>
      <c r="F2403" t="s">
        <v>30900</v>
      </c>
      <c r="G2403" t="s">
        <v>30907</v>
      </c>
      <c r="H2403" t="s">
        <v>30916</v>
      </c>
      <c r="I2403" t="s">
        <v>30936</v>
      </c>
      <c r="J2403" t="s">
        <v>31069</v>
      </c>
      <c r="K2403" t="s">
        <v>40292</v>
      </c>
      <c r="M2403" t="s">
        <v>41686</v>
      </c>
      <c r="N2403" t="s">
        <v>44759</v>
      </c>
      <c r="O2403" t="s">
        <v>44760</v>
      </c>
      <c r="P2403">
        <v>0</v>
      </c>
      <c r="Q2403">
        <v>1</v>
      </c>
      <c r="R2403" t="s">
        <v>44762</v>
      </c>
      <c r="S2403" t="s">
        <v>44863</v>
      </c>
      <c r="T2403" t="s">
        <v>46486</v>
      </c>
      <c r="U2403" t="s">
        <v>49001</v>
      </c>
      <c r="W2403" t="s">
        <v>41686</v>
      </c>
      <c r="X2403" t="s">
        <v>44763</v>
      </c>
    </row>
    <row r="2404" spans="1:24">
      <c r="A2404">
        <f>HYPERLINK("https://www.philgeps.gov.ph/GEPSNONPILOT/Tender/SplashBidNoticeAbstractUI.aspx?menuIndex=3&amp;refID=7151946&amp;Result=3","7151946")</f>
        <v>0</v>
      </c>
      <c r="B2404" t="s">
        <v>1073</v>
      </c>
      <c r="C2404" t="s">
        <v>6062</v>
      </c>
      <c r="D2404" t="s">
        <v>17959</v>
      </c>
      <c r="E2404" t="s">
        <v>19555</v>
      </c>
      <c r="F2404" t="s">
        <v>30900</v>
      </c>
      <c r="G2404" t="s">
        <v>30907</v>
      </c>
      <c r="H2404" t="s">
        <v>30916</v>
      </c>
      <c r="I2404" t="s">
        <v>4108</v>
      </c>
      <c r="J2404" t="s">
        <v>31243</v>
      </c>
      <c r="K2404" t="s">
        <v>40285</v>
      </c>
      <c r="M2404" t="s">
        <v>41671</v>
      </c>
      <c r="N2404" t="s">
        <v>44759</v>
      </c>
      <c r="O2404" t="s">
        <v>44760</v>
      </c>
      <c r="P2404">
        <v>0</v>
      </c>
      <c r="Q2404">
        <v>0</v>
      </c>
      <c r="R2404" t="s">
        <v>44762</v>
      </c>
      <c r="S2404" t="s">
        <v>44863</v>
      </c>
      <c r="T2404" t="s">
        <v>46350</v>
      </c>
      <c r="U2404" t="s">
        <v>48975</v>
      </c>
      <c r="W2404" t="s">
        <v>41671</v>
      </c>
      <c r="X2404" t="s">
        <v>44763</v>
      </c>
    </row>
    <row r="2405" spans="1:24">
      <c r="A2405">
        <f>HYPERLINK("https://www.philgeps.gov.ph/GEPSNONPILOT/Tender/SplashBidNoticeAbstractUI.aspx?menuIndex=3&amp;refID=7151945&amp;Result=3","7151945")</f>
        <v>0</v>
      </c>
      <c r="B2405" t="s">
        <v>1087</v>
      </c>
      <c r="C2405" t="s">
        <v>6063</v>
      </c>
      <c r="D2405" t="s">
        <v>17972</v>
      </c>
      <c r="E2405" t="s">
        <v>20238</v>
      </c>
      <c r="F2405" t="s">
        <v>30900</v>
      </c>
      <c r="G2405" t="s">
        <v>30908</v>
      </c>
      <c r="H2405" t="s">
        <v>30916</v>
      </c>
      <c r="I2405" t="s">
        <v>4142</v>
      </c>
      <c r="J2405" t="s">
        <v>32793</v>
      </c>
      <c r="K2405" t="s">
        <v>40285</v>
      </c>
      <c r="M2405" t="s">
        <v>41687</v>
      </c>
      <c r="N2405" t="s">
        <v>44759</v>
      </c>
      <c r="O2405" t="s">
        <v>44760</v>
      </c>
      <c r="P2405">
        <v>0</v>
      </c>
      <c r="Q2405">
        <v>2</v>
      </c>
      <c r="R2405" t="s">
        <v>44762</v>
      </c>
      <c r="S2405" t="s">
        <v>44863</v>
      </c>
      <c r="T2405" t="s">
        <v>46410</v>
      </c>
      <c r="U2405" t="s">
        <v>49002</v>
      </c>
      <c r="W2405" t="s">
        <v>41687</v>
      </c>
      <c r="X2405" t="s">
        <v>44763</v>
      </c>
    </row>
    <row r="2406" spans="1:24">
      <c r="A2406">
        <f>HYPERLINK("https://www.philgeps.gov.ph/GEPSNONPILOT/Tender/SplashBidNoticeAbstractUI.aspx?menuIndex=3&amp;refID=7151944&amp;Result=3","7151944")</f>
        <v>0</v>
      </c>
      <c r="B2406" t="s">
        <v>134</v>
      </c>
      <c r="C2406" t="s">
        <v>6064</v>
      </c>
      <c r="E2406" t="s">
        <v>20239</v>
      </c>
      <c r="F2406" t="s">
        <v>30900</v>
      </c>
      <c r="G2406" t="s">
        <v>30908</v>
      </c>
      <c r="H2406" t="s">
        <v>30916</v>
      </c>
      <c r="I2406" t="s">
        <v>30929</v>
      </c>
      <c r="J2406" t="s">
        <v>32794</v>
      </c>
      <c r="K2406" t="s">
        <v>40284</v>
      </c>
      <c r="M2406" t="s">
        <v>40681</v>
      </c>
      <c r="N2406" t="s">
        <v>44759</v>
      </c>
      <c r="O2406" t="s">
        <v>44760</v>
      </c>
      <c r="P2406">
        <v>0</v>
      </c>
      <c r="Q2406">
        <v>2</v>
      </c>
      <c r="R2406" t="s">
        <v>44762</v>
      </c>
      <c r="S2406" t="s">
        <v>44863</v>
      </c>
      <c r="T2406" t="s">
        <v>46399</v>
      </c>
      <c r="U2406" t="s">
        <v>49003</v>
      </c>
      <c r="W2406" t="s">
        <v>40681</v>
      </c>
      <c r="X2406" t="s">
        <v>44763</v>
      </c>
    </row>
    <row r="2407" spans="1:24">
      <c r="A2407">
        <f>HYPERLINK("https://www.philgeps.gov.ph/GEPSNONPILOT/Tender/SplashBidNoticeAbstractUI.aspx?menuIndex=3&amp;refID=7151937&amp;Result=3","7151937")</f>
        <v>0</v>
      </c>
      <c r="B2407" t="s">
        <v>1088</v>
      </c>
      <c r="C2407" t="s">
        <v>6065</v>
      </c>
      <c r="D2407" t="s">
        <v>17959</v>
      </c>
      <c r="E2407" t="s">
        <v>20240</v>
      </c>
      <c r="F2407" t="s">
        <v>30900</v>
      </c>
      <c r="G2407" t="s">
        <v>30907</v>
      </c>
      <c r="H2407" t="s">
        <v>30916</v>
      </c>
      <c r="I2407" t="s">
        <v>4108</v>
      </c>
      <c r="J2407" t="s">
        <v>31069</v>
      </c>
      <c r="K2407" t="s">
        <v>40293</v>
      </c>
      <c r="M2407" t="s">
        <v>41688</v>
      </c>
      <c r="N2407" t="s">
        <v>44759</v>
      </c>
      <c r="O2407" t="s">
        <v>44760</v>
      </c>
      <c r="P2407">
        <v>0</v>
      </c>
      <c r="Q2407">
        <v>10</v>
      </c>
      <c r="R2407" t="s">
        <v>44762</v>
      </c>
      <c r="S2407" t="s">
        <v>44863</v>
      </c>
      <c r="T2407" t="s">
        <v>46378</v>
      </c>
      <c r="U2407" t="s">
        <v>49004</v>
      </c>
      <c r="W2407" t="s">
        <v>41688</v>
      </c>
      <c r="X2407" t="s">
        <v>44763</v>
      </c>
    </row>
    <row r="2408" spans="1:24">
      <c r="A2408">
        <f>HYPERLINK("https://www.philgeps.gov.ph/GEPSNONPILOT/Tender/SplashBidNoticeAbstractUI.aspx?menuIndex=3&amp;refID=7151948&amp;Result=3","7151948")</f>
        <v>0</v>
      </c>
      <c r="B2408" t="s">
        <v>134</v>
      </c>
      <c r="C2408" t="s">
        <v>6066</v>
      </c>
      <c r="E2408" t="s">
        <v>20241</v>
      </c>
      <c r="F2408" t="s">
        <v>30900</v>
      </c>
      <c r="G2408" t="s">
        <v>30908</v>
      </c>
      <c r="H2408" t="s">
        <v>30916</v>
      </c>
      <c r="I2408" t="s">
        <v>30947</v>
      </c>
      <c r="J2408" t="s">
        <v>32795</v>
      </c>
      <c r="K2408" t="s">
        <v>40283</v>
      </c>
      <c r="M2408" t="s">
        <v>40681</v>
      </c>
      <c r="N2408" t="s">
        <v>44759</v>
      </c>
      <c r="O2408" t="s">
        <v>44760</v>
      </c>
      <c r="P2408">
        <v>0</v>
      </c>
      <c r="Q2408">
        <v>0</v>
      </c>
      <c r="R2408" t="s">
        <v>44762</v>
      </c>
      <c r="S2408" t="s">
        <v>44863</v>
      </c>
      <c r="T2408" t="s">
        <v>46399</v>
      </c>
      <c r="U2408" t="s">
        <v>49005</v>
      </c>
      <c r="W2408" t="s">
        <v>40681</v>
      </c>
      <c r="X2408" t="s">
        <v>44763</v>
      </c>
    </row>
    <row r="2409" spans="1:24">
      <c r="A2409">
        <f>HYPERLINK("https://www.philgeps.gov.ph/GEPSNONPILOT/Tender/SplashBidNoticeAbstractUI.aspx?menuIndex=3&amp;refID=7151943&amp;Result=3","7151943")</f>
        <v>0</v>
      </c>
      <c r="B2409" t="s">
        <v>1073</v>
      </c>
      <c r="C2409" t="s">
        <v>4010</v>
      </c>
      <c r="D2409" t="s">
        <v>17959</v>
      </c>
      <c r="E2409" t="s">
        <v>20242</v>
      </c>
      <c r="F2409" t="s">
        <v>30900</v>
      </c>
      <c r="G2409" t="s">
        <v>30907</v>
      </c>
      <c r="H2409" t="s">
        <v>30916</v>
      </c>
      <c r="I2409" t="s">
        <v>4108</v>
      </c>
      <c r="J2409" t="s">
        <v>31243</v>
      </c>
      <c r="K2409" t="s">
        <v>40285</v>
      </c>
      <c r="M2409" t="s">
        <v>41671</v>
      </c>
      <c r="N2409" t="s">
        <v>44759</v>
      </c>
      <c r="O2409" t="s">
        <v>44760</v>
      </c>
      <c r="P2409">
        <v>0</v>
      </c>
      <c r="Q2409">
        <v>1</v>
      </c>
      <c r="R2409" t="s">
        <v>44762</v>
      </c>
      <c r="S2409" t="s">
        <v>44863</v>
      </c>
      <c r="T2409" t="s">
        <v>46350</v>
      </c>
      <c r="U2409" t="s">
        <v>48975</v>
      </c>
      <c r="W2409" t="s">
        <v>41671</v>
      </c>
      <c r="X2409" t="s">
        <v>44763</v>
      </c>
    </row>
    <row r="2410" spans="1:24">
      <c r="A2410">
        <f>HYPERLINK("https://www.philgeps.gov.ph/GEPSNONPILOT/Tender/SplashBidNoticeAbstractUI.aspx?menuIndex=3&amp;refID=7151942&amp;Result=3","7151942")</f>
        <v>0</v>
      </c>
      <c r="B2410" t="s">
        <v>1089</v>
      </c>
      <c r="C2410" t="s">
        <v>6067</v>
      </c>
      <c r="D2410" t="s">
        <v>17959</v>
      </c>
      <c r="E2410" t="s">
        <v>20243</v>
      </c>
      <c r="F2410" t="s">
        <v>30900</v>
      </c>
      <c r="G2410" t="s">
        <v>30910</v>
      </c>
      <c r="H2410" t="s">
        <v>30916</v>
      </c>
      <c r="I2410" t="s">
        <v>30921</v>
      </c>
      <c r="J2410" t="s">
        <v>32796</v>
      </c>
      <c r="K2410" t="s">
        <v>40291</v>
      </c>
      <c r="M2410" t="s">
        <v>41689</v>
      </c>
      <c r="N2410" t="s">
        <v>44759</v>
      </c>
      <c r="O2410" t="s">
        <v>44760</v>
      </c>
      <c r="P2410">
        <v>0</v>
      </c>
      <c r="Q2410">
        <v>5</v>
      </c>
      <c r="R2410" t="s">
        <v>44762</v>
      </c>
      <c r="S2410" t="s">
        <v>44863</v>
      </c>
      <c r="T2410" t="s">
        <v>46400</v>
      </c>
      <c r="U2410" t="s">
        <v>49006</v>
      </c>
      <c r="W2410" t="s">
        <v>41689</v>
      </c>
      <c r="X2410" t="s">
        <v>44763</v>
      </c>
    </row>
    <row r="2411" spans="1:24">
      <c r="A2411">
        <f>HYPERLINK("https://www.philgeps.gov.ph/GEPSNONPILOT/Tender/SplashBidNoticeAbstractUI.aspx?menuIndex=3&amp;refID=7151940&amp;Result=3","7151940")</f>
        <v>0</v>
      </c>
      <c r="B2411" t="s">
        <v>514</v>
      </c>
      <c r="C2411" t="s">
        <v>6068</v>
      </c>
      <c r="D2411" t="s">
        <v>17975</v>
      </c>
      <c r="E2411" t="s">
        <v>20244</v>
      </c>
      <c r="F2411" t="s">
        <v>30900</v>
      </c>
      <c r="G2411" t="s">
        <v>30908</v>
      </c>
      <c r="H2411" t="s">
        <v>30916</v>
      </c>
      <c r="I2411" t="s">
        <v>4050</v>
      </c>
      <c r="J2411" t="s">
        <v>32797</v>
      </c>
      <c r="K2411" t="s">
        <v>40283</v>
      </c>
      <c r="M2411" t="s">
        <v>41074</v>
      </c>
      <c r="N2411" t="s">
        <v>44759</v>
      </c>
      <c r="O2411" t="s">
        <v>44760</v>
      </c>
      <c r="P2411">
        <v>0</v>
      </c>
      <c r="Q2411">
        <v>0</v>
      </c>
      <c r="R2411" t="s">
        <v>44762</v>
      </c>
      <c r="S2411" t="s">
        <v>44863</v>
      </c>
      <c r="T2411" t="s">
        <v>46414</v>
      </c>
      <c r="U2411" t="s">
        <v>49007</v>
      </c>
      <c r="W2411" t="s">
        <v>41074</v>
      </c>
      <c r="X2411" t="s">
        <v>44763</v>
      </c>
    </row>
    <row r="2412" spans="1:24">
      <c r="A2412">
        <f>HYPERLINK("https://www.philgeps.gov.ph/GEPSNONPILOT/Tender/SplashBidNoticeAbstractUI.aspx?menuIndex=3&amp;refID=7151956&amp;Result=3","7151956")</f>
        <v>0</v>
      </c>
      <c r="B2412" t="s">
        <v>1073</v>
      </c>
      <c r="C2412" t="s">
        <v>6069</v>
      </c>
      <c r="D2412" t="s">
        <v>17959</v>
      </c>
      <c r="E2412" t="s">
        <v>20245</v>
      </c>
      <c r="F2412" t="s">
        <v>30900</v>
      </c>
      <c r="G2412" t="s">
        <v>30907</v>
      </c>
      <c r="H2412" t="s">
        <v>30916</v>
      </c>
      <c r="I2412" t="s">
        <v>4108</v>
      </c>
      <c r="J2412" t="s">
        <v>31243</v>
      </c>
      <c r="K2412" t="s">
        <v>40285</v>
      </c>
      <c r="M2412" t="s">
        <v>41671</v>
      </c>
      <c r="N2412" t="s">
        <v>44759</v>
      </c>
      <c r="O2412" t="s">
        <v>44760</v>
      </c>
      <c r="P2412">
        <v>0</v>
      </c>
      <c r="Q2412">
        <v>0</v>
      </c>
      <c r="R2412" t="s">
        <v>44762</v>
      </c>
      <c r="S2412" t="s">
        <v>44863</v>
      </c>
      <c r="T2412" t="s">
        <v>46350</v>
      </c>
      <c r="U2412" t="s">
        <v>48975</v>
      </c>
      <c r="W2412" t="s">
        <v>41671</v>
      </c>
      <c r="X2412" t="s">
        <v>44763</v>
      </c>
    </row>
    <row r="2413" spans="1:24">
      <c r="A2413">
        <f>HYPERLINK("https://www.philgeps.gov.ph/GEPSNONPILOT/Tender/SplashBidNoticeAbstractUI.aspx?menuIndex=3&amp;refID=7151935&amp;Result=3","7151935")</f>
        <v>0</v>
      </c>
      <c r="B2413" t="s">
        <v>1090</v>
      </c>
      <c r="C2413" t="s">
        <v>6070</v>
      </c>
      <c r="D2413" t="s">
        <v>18019</v>
      </c>
      <c r="E2413" t="s">
        <v>19690</v>
      </c>
      <c r="F2413" t="s">
        <v>30900</v>
      </c>
      <c r="G2413" t="s">
        <v>30907</v>
      </c>
      <c r="H2413" t="s">
        <v>30916</v>
      </c>
      <c r="I2413" t="s">
        <v>30938</v>
      </c>
      <c r="J2413" t="s">
        <v>32798</v>
      </c>
      <c r="K2413" t="s">
        <v>40311</v>
      </c>
      <c r="M2413" t="s">
        <v>41690</v>
      </c>
      <c r="N2413" t="s">
        <v>44759</v>
      </c>
      <c r="O2413" t="s">
        <v>44760</v>
      </c>
      <c r="P2413">
        <v>0</v>
      </c>
      <c r="Q2413">
        <v>1</v>
      </c>
      <c r="R2413" t="s">
        <v>44762</v>
      </c>
      <c r="S2413" t="s">
        <v>44863</v>
      </c>
      <c r="T2413" t="s">
        <v>46353</v>
      </c>
      <c r="U2413" t="s">
        <v>49008</v>
      </c>
      <c r="W2413" t="s">
        <v>41690</v>
      </c>
      <c r="X2413" t="s">
        <v>44763</v>
      </c>
    </row>
    <row r="2414" spans="1:24">
      <c r="A2414">
        <f>HYPERLINK("https://www.philgeps.gov.ph/GEPSNONPILOT/Tender/SplashBidNoticeAbstractUI.aspx?menuIndex=3&amp;refID=7151955&amp;Result=3","7151955")</f>
        <v>0</v>
      </c>
      <c r="B2414" t="s">
        <v>514</v>
      </c>
      <c r="C2414" t="s">
        <v>6071</v>
      </c>
      <c r="D2414" t="s">
        <v>17975</v>
      </c>
      <c r="E2414" t="s">
        <v>20246</v>
      </c>
      <c r="F2414" t="s">
        <v>30900</v>
      </c>
      <c r="G2414" t="s">
        <v>30908</v>
      </c>
      <c r="H2414" t="s">
        <v>30916</v>
      </c>
      <c r="I2414" t="s">
        <v>6746</v>
      </c>
      <c r="J2414" t="s">
        <v>32799</v>
      </c>
      <c r="K2414" t="s">
        <v>40287</v>
      </c>
      <c r="M2414" t="s">
        <v>41074</v>
      </c>
      <c r="N2414" t="s">
        <v>44759</v>
      </c>
      <c r="O2414" t="s">
        <v>44760</v>
      </c>
      <c r="P2414">
        <v>0</v>
      </c>
      <c r="Q2414">
        <v>0</v>
      </c>
      <c r="R2414" t="s">
        <v>44762</v>
      </c>
      <c r="S2414" t="s">
        <v>44863</v>
      </c>
      <c r="T2414" t="s">
        <v>46414</v>
      </c>
      <c r="U2414" t="s">
        <v>49009</v>
      </c>
      <c r="W2414" t="s">
        <v>41074</v>
      </c>
      <c r="X2414" t="s">
        <v>44763</v>
      </c>
    </row>
    <row r="2415" spans="1:24">
      <c r="A2415">
        <f>HYPERLINK("https://www.philgeps.gov.ph/GEPSNONPILOT/Tender/SplashBidNoticeAbstractUI.aspx?menuIndex=3&amp;refID=7151954&amp;Result=3","7151954")</f>
        <v>0</v>
      </c>
      <c r="B2415" t="s">
        <v>1073</v>
      </c>
      <c r="C2415" t="s">
        <v>6072</v>
      </c>
      <c r="D2415" t="s">
        <v>17959</v>
      </c>
      <c r="E2415" t="s">
        <v>20040</v>
      </c>
      <c r="F2415" t="s">
        <v>30900</v>
      </c>
      <c r="G2415" t="s">
        <v>30907</v>
      </c>
      <c r="H2415" t="s">
        <v>30916</v>
      </c>
      <c r="I2415" t="s">
        <v>4108</v>
      </c>
      <c r="J2415" t="s">
        <v>31243</v>
      </c>
      <c r="K2415" t="s">
        <v>40285</v>
      </c>
      <c r="M2415" t="s">
        <v>41671</v>
      </c>
      <c r="N2415" t="s">
        <v>44759</v>
      </c>
      <c r="O2415" t="s">
        <v>44760</v>
      </c>
      <c r="P2415">
        <v>0</v>
      </c>
      <c r="Q2415">
        <v>0</v>
      </c>
      <c r="R2415" t="s">
        <v>44762</v>
      </c>
      <c r="S2415" t="s">
        <v>44863</v>
      </c>
      <c r="T2415" t="s">
        <v>46350</v>
      </c>
      <c r="U2415" t="s">
        <v>48975</v>
      </c>
      <c r="W2415" t="s">
        <v>41671</v>
      </c>
      <c r="X2415" t="s">
        <v>44763</v>
      </c>
    </row>
    <row r="2416" spans="1:24">
      <c r="A2416">
        <f>HYPERLINK("https://www.philgeps.gov.ph/GEPSNONPILOT/Tender/SplashBidNoticeAbstractUI.aspx?menuIndex=3&amp;refID=7151947&amp;Result=3","7151947")</f>
        <v>0</v>
      </c>
      <c r="B2416" t="s">
        <v>1091</v>
      </c>
      <c r="C2416" t="s">
        <v>6073</v>
      </c>
      <c r="D2416" t="s">
        <v>17955</v>
      </c>
      <c r="E2416" t="s">
        <v>19963</v>
      </c>
      <c r="F2416" t="s">
        <v>30900</v>
      </c>
      <c r="G2416" t="s">
        <v>30908</v>
      </c>
      <c r="H2416" t="s">
        <v>30916</v>
      </c>
      <c r="I2416" t="s">
        <v>4050</v>
      </c>
      <c r="J2416" t="s">
        <v>32800</v>
      </c>
      <c r="K2416" t="s">
        <v>40285</v>
      </c>
      <c r="M2416" t="s">
        <v>41691</v>
      </c>
      <c r="N2416" t="s">
        <v>44759</v>
      </c>
      <c r="O2416" t="s">
        <v>44760</v>
      </c>
      <c r="P2416">
        <v>0</v>
      </c>
      <c r="Q2416">
        <v>1</v>
      </c>
      <c r="R2416" t="s">
        <v>44762</v>
      </c>
      <c r="S2416" t="s">
        <v>44863</v>
      </c>
      <c r="T2416" t="s">
        <v>46379</v>
      </c>
      <c r="U2416" t="s">
        <v>49010</v>
      </c>
      <c r="W2416" t="s">
        <v>41691</v>
      </c>
      <c r="X2416" t="s">
        <v>44763</v>
      </c>
    </row>
    <row r="2417" spans="1:24">
      <c r="A2417">
        <f>HYPERLINK("https://www.philgeps.gov.ph/GEPSNONPILOT/Tender/SplashBidNoticeAbstractUI.aspx?menuIndex=3&amp;refID=7151941&amp;Result=3","7151941")</f>
        <v>0</v>
      </c>
      <c r="B2417" t="s">
        <v>1073</v>
      </c>
      <c r="C2417" t="s">
        <v>6074</v>
      </c>
      <c r="D2417" t="s">
        <v>17959</v>
      </c>
      <c r="E2417" t="s">
        <v>20247</v>
      </c>
      <c r="F2417" t="s">
        <v>30900</v>
      </c>
      <c r="G2417" t="s">
        <v>30907</v>
      </c>
      <c r="H2417" t="s">
        <v>30916</v>
      </c>
      <c r="I2417" t="s">
        <v>4108</v>
      </c>
      <c r="J2417" t="s">
        <v>32801</v>
      </c>
      <c r="K2417" t="s">
        <v>40285</v>
      </c>
      <c r="M2417" t="s">
        <v>41671</v>
      </c>
      <c r="N2417" t="s">
        <v>44759</v>
      </c>
      <c r="O2417" t="s">
        <v>44760</v>
      </c>
      <c r="P2417">
        <v>0</v>
      </c>
      <c r="Q2417">
        <v>1</v>
      </c>
      <c r="R2417" t="s">
        <v>44762</v>
      </c>
      <c r="S2417" t="s">
        <v>44863</v>
      </c>
      <c r="T2417" t="s">
        <v>46350</v>
      </c>
      <c r="U2417" t="s">
        <v>48975</v>
      </c>
      <c r="W2417" t="s">
        <v>41671</v>
      </c>
      <c r="X2417" t="s">
        <v>44763</v>
      </c>
    </row>
    <row r="2418" spans="1:24">
      <c r="A2418">
        <f>HYPERLINK("https://www.philgeps.gov.ph/GEPSNONPILOT/Tender/SplashBidNoticeAbstractUI.aspx?menuIndex=3&amp;refID=7151953&amp;Result=3","7151953")</f>
        <v>0</v>
      </c>
      <c r="B2418" t="s">
        <v>1092</v>
      </c>
      <c r="C2418" t="s">
        <v>6075</v>
      </c>
      <c r="D2418" t="s">
        <v>17957</v>
      </c>
      <c r="E2418" t="s">
        <v>20248</v>
      </c>
      <c r="F2418" t="s">
        <v>30900</v>
      </c>
      <c r="G2418" t="s">
        <v>30907</v>
      </c>
      <c r="H2418" t="s">
        <v>30915</v>
      </c>
      <c r="I2418" t="s">
        <v>30919</v>
      </c>
      <c r="J2418" t="s">
        <v>32802</v>
      </c>
      <c r="K2418" t="s">
        <v>40286</v>
      </c>
      <c r="M2418" t="s">
        <v>41692</v>
      </c>
      <c r="N2418" t="s">
        <v>44759</v>
      </c>
      <c r="O2418" t="s">
        <v>44760</v>
      </c>
      <c r="P2418">
        <v>0</v>
      </c>
      <c r="Q2418">
        <v>0</v>
      </c>
      <c r="R2418" t="s">
        <v>44762</v>
      </c>
      <c r="S2418" t="s">
        <v>44863</v>
      </c>
      <c r="T2418" t="s">
        <v>46405</v>
      </c>
      <c r="U2418" t="s">
        <v>49011</v>
      </c>
      <c r="W2418" t="s">
        <v>41692</v>
      </c>
      <c r="X2418" t="s">
        <v>44763</v>
      </c>
    </row>
    <row r="2419" spans="1:24">
      <c r="A2419">
        <f>HYPERLINK("https://www.philgeps.gov.ph/GEPSNONPILOT/Tender/SplashBidNoticeAbstractUI.aspx?menuIndex=3&amp;refID=7151973&amp;Result=3","7151973")</f>
        <v>0</v>
      </c>
      <c r="B2419" t="s">
        <v>1073</v>
      </c>
      <c r="C2419" t="s">
        <v>6076</v>
      </c>
      <c r="D2419" t="s">
        <v>17959</v>
      </c>
      <c r="E2419" t="s">
        <v>20249</v>
      </c>
      <c r="F2419" t="s">
        <v>30900</v>
      </c>
      <c r="G2419" t="s">
        <v>30907</v>
      </c>
      <c r="H2419" t="s">
        <v>30916</v>
      </c>
      <c r="I2419" t="s">
        <v>4108</v>
      </c>
      <c r="J2419" t="s">
        <v>31391</v>
      </c>
      <c r="K2419" t="s">
        <v>40285</v>
      </c>
      <c r="M2419" t="s">
        <v>41671</v>
      </c>
      <c r="N2419" t="s">
        <v>44759</v>
      </c>
      <c r="O2419" t="s">
        <v>44760</v>
      </c>
      <c r="P2419">
        <v>0</v>
      </c>
      <c r="Q2419">
        <v>0</v>
      </c>
      <c r="R2419" t="s">
        <v>44762</v>
      </c>
      <c r="S2419" t="s">
        <v>44863</v>
      </c>
      <c r="T2419" t="s">
        <v>46350</v>
      </c>
      <c r="U2419" t="s">
        <v>48975</v>
      </c>
      <c r="W2419" t="s">
        <v>41671</v>
      </c>
      <c r="X2419" t="s">
        <v>44763</v>
      </c>
    </row>
    <row r="2420" spans="1:24">
      <c r="A2420">
        <f>HYPERLINK("https://www.philgeps.gov.ph/GEPSNONPILOT/Tender/SplashBidNoticeAbstractUI.aspx?menuIndex=3&amp;refID=7151957&amp;Result=3","7151957")</f>
        <v>0</v>
      </c>
      <c r="B2420" t="s">
        <v>1092</v>
      </c>
      <c r="C2420" t="s">
        <v>6077</v>
      </c>
      <c r="D2420" t="s">
        <v>17957</v>
      </c>
      <c r="E2420" t="s">
        <v>20250</v>
      </c>
      <c r="F2420" t="s">
        <v>30900</v>
      </c>
      <c r="G2420" t="s">
        <v>30907</v>
      </c>
      <c r="H2420" t="s">
        <v>30915</v>
      </c>
      <c r="I2420" t="s">
        <v>30919</v>
      </c>
      <c r="J2420" t="s">
        <v>32803</v>
      </c>
      <c r="K2420" t="s">
        <v>40292</v>
      </c>
      <c r="M2420" t="s">
        <v>41692</v>
      </c>
      <c r="N2420" t="s">
        <v>44759</v>
      </c>
      <c r="O2420" t="s">
        <v>44760</v>
      </c>
      <c r="P2420">
        <v>0</v>
      </c>
      <c r="Q2420">
        <v>0</v>
      </c>
      <c r="R2420" t="s">
        <v>44762</v>
      </c>
      <c r="S2420" t="s">
        <v>44863</v>
      </c>
      <c r="T2420" t="s">
        <v>46405</v>
      </c>
      <c r="U2420" t="s">
        <v>49012</v>
      </c>
      <c r="W2420" t="s">
        <v>41692</v>
      </c>
      <c r="X2420" t="s">
        <v>44763</v>
      </c>
    </row>
    <row r="2421" spans="1:24">
      <c r="A2421">
        <f>HYPERLINK("https://www.philgeps.gov.ph/GEPSNONPILOT/Tender/SplashBidNoticeAbstractUI.aspx?menuIndex=3&amp;refID=7151971&amp;Result=3","7151971")</f>
        <v>0</v>
      </c>
      <c r="B2421" t="s">
        <v>134</v>
      </c>
      <c r="C2421" t="s">
        <v>6078</v>
      </c>
      <c r="E2421" t="s">
        <v>20251</v>
      </c>
      <c r="F2421" t="s">
        <v>30900</v>
      </c>
      <c r="G2421" t="s">
        <v>30908</v>
      </c>
      <c r="H2421" t="s">
        <v>30915</v>
      </c>
      <c r="I2421" t="s">
        <v>30919</v>
      </c>
      <c r="J2421" t="s">
        <v>32804</v>
      </c>
      <c r="K2421" t="s">
        <v>40329</v>
      </c>
      <c r="M2421" t="s">
        <v>40681</v>
      </c>
      <c r="N2421" t="s">
        <v>44759</v>
      </c>
      <c r="O2421" t="s">
        <v>44760</v>
      </c>
      <c r="P2421">
        <v>0</v>
      </c>
      <c r="Q2421">
        <v>0</v>
      </c>
      <c r="R2421" t="s">
        <v>44762</v>
      </c>
      <c r="S2421" t="s">
        <v>44863</v>
      </c>
      <c r="T2421" t="s">
        <v>46399</v>
      </c>
      <c r="U2421" t="s">
        <v>49013</v>
      </c>
      <c r="W2421" t="s">
        <v>40681</v>
      </c>
      <c r="X2421" t="s">
        <v>44763</v>
      </c>
    </row>
    <row r="2422" spans="1:24">
      <c r="A2422">
        <f>HYPERLINK("https://www.philgeps.gov.ph/GEPSNONPILOT/Tender/SplashBidNoticeAbstractUI.aspx?menuIndex=3&amp;refID=7151970&amp;Result=3","7151970")</f>
        <v>0</v>
      </c>
      <c r="B2422" t="s">
        <v>1093</v>
      </c>
      <c r="C2422" t="s">
        <v>6079</v>
      </c>
      <c r="D2422" t="s">
        <v>18033</v>
      </c>
      <c r="E2422" t="s">
        <v>20252</v>
      </c>
      <c r="F2422" t="s">
        <v>30900</v>
      </c>
      <c r="G2422" t="s">
        <v>30910</v>
      </c>
      <c r="H2422" t="s">
        <v>30916</v>
      </c>
      <c r="I2422" t="s">
        <v>4108</v>
      </c>
      <c r="J2422" t="s">
        <v>32805</v>
      </c>
      <c r="K2422" t="s">
        <v>40283</v>
      </c>
      <c r="M2422" t="s">
        <v>41693</v>
      </c>
      <c r="N2422" t="s">
        <v>44759</v>
      </c>
      <c r="O2422" t="s">
        <v>44760</v>
      </c>
      <c r="P2422">
        <v>0</v>
      </c>
      <c r="Q2422">
        <v>0</v>
      </c>
      <c r="R2422" t="s">
        <v>44762</v>
      </c>
      <c r="S2422" t="s">
        <v>44863</v>
      </c>
      <c r="T2422" t="s">
        <v>46457</v>
      </c>
      <c r="U2422" t="s">
        <v>49014</v>
      </c>
      <c r="W2422" t="s">
        <v>41693</v>
      </c>
      <c r="X2422" t="s">
        <v>44763</v>
      </c>
    </row>
    <row r="2423" spans="1:24">
      <c r="A2423">
        <f>HYPERLINK("https://www.philgeps.gov.ph/GEPSNONPILOT/Tender/SplashBidNoticeAbstractUI.aspx?menuIndex=3&amp;refID=7151969&amp;Result=3","7151969")</f>
        <v>0</v>
      </c>
      <c r="B2423" t="s">
        <v>1073</v>
      </c>
      <c r="C2423" t="s">
        <v>6080</v>
      </c>
      <c r="D2423" t="s">
        <v>17959</v>
      </c>
      <c r="E2423" t="s">
        <v>20253</v>
      </c>
      <c r="F2423" t="s">
        <v>30900</v>
      </c>
      <c r="G2423" t="s">
        <v>30907</v>
      </c>
      <c r="H2423" t="s">
        <v>30916</v>
      </c>
      <c r="I2423" t="s">
        <v>4108</v>
      </c>
      <c r="J2423" t="s">
        <v>31152</v>
      </c>
      <c r="K2423" t="s">
        <v>40285</v>
      </c>
      <c r="M2423" t="s">
        <v>41671</v>
      </c>
      <c r="N2423" t="s">
        <v>44759</v>
      </c>
      <c r="O2423" t="s">
        <v>44760</v>
      </c>
      <c r="P2423">
        <v>0</v>
      </c>
      <c r="Q2423">
        <v>1</v>
      </c>
      <c r="R2423" t="s">
        <v>44762</v>
      </c>
      <c r="S2423" t="s">
        <v>44863</v>
      </c>
      <c r="T2423" t="s">
        <v>46350</v>
      </c>
      <c r="U2423" t="s">
        <v>48975</v>
      </c>
      <c r="W2423" t="s">
        <v>41671</v>
      </c>
      <c r="X2423" t="s">
        <v>44763</v>
      </c>
    </row>
    <row r="2424" spans="1:24">
      <c r="A2424">
        <f>HYPERLINK("https://www.philgeps.gov.ph/GEPSNONPILOT/Tender/SplashBidNoticeAbstractUI.aspx?menuIndex=3&amp;refID=7151959&amp;Result=3","7151959")</f>
        <v>0</v>
      </c>
      <c r="B2424" t="s">
        <v>1073</v>
      </c>
      <c r="C2424" t="s">
        <v>6081</v>
      </c>
      <c r="D2424" t="s">
        <v>17959</v>
      </c>
      <c r="E2424" t="s">
        <v>19703</v>
      </c>
      <c r="F2424" t="s">
        <v>30900</v>
      </c>
      <c r="G2424" t="s">
        <v>30907</v>
      </c>
      <c r="H2424" t="s">
        <v>30916</v>
      </c>
      <c r="I2424" t="s">
        <v>4108</v>
      </c>
      <c r="J2424" t="s">
        <v>31243</v>
      </c>
      <c r="K2424" t="s">
        <v>40285</v>
      </c>
      <c r="M2424" t="s">
        <v>41671</v>
      </c>
      <c r="N2424" t="s">
        <v>44759</v>
      </c>
      <c r="O2424" t="s">
        <v>44760</v>
      </c>
      <c r="P2424">
        <v>0</v>
      </c>
      <c r="Q2424">
        <v>0</v>
      </c>
      <c r="R2424" t="s">
        <v>44762</v>
      </c>
      <c r="S2424" t="s">
        <v>44863</v>
      </c>
      <c r="T2424" t="s">
        <v>46350</v>
      </c>
      <c r="U2424" t="s">
        <v>48975</v>
      </c>
      <c r="W2424" t="s">
        <v>41671</v>
      </c>
      <c r="X2424" t="s">
        <v>44763</v>
      </c>
    </row>
    <row r="2425" spans="1:24">
      <c r="A2425">
        <f>HYPERLINK("https://www.philgeps.gov.ph/GEPSNONPILOT/Tender/SplashBidNoticeAbstractUI.aspx?menuIndex=3&amp;refID=7151974&amp;Result=3","7151974")</f>
        <v>0</v>
      </c>
      <c r="B2425" t="s">
        <v>1093</v>
      </c>
      <c r="C2425" t="s">
        <v>6082</v>
      </c>
      <c r="D2425" t="s">
        <v>18033</v>
      </c>
      <c r="E2425" t="s">
        <v>20254</v>
      </c>
      <c r="F2425" t="s">
        <v>30900</v>
      </c>
      <c r="G2425" t="s">
        <v>30910</v>
      </c>
      <c r="H2425" t="s">
        <v>30916</v>
      </c>
      <c r="I2425" t="s">
        <v>8044</v>
      </c>
      <c r="J2425" t="s">
        <v>31204</v>
      </c>
      <c r="K2425" t="s">
        <v>40283</v>
      </c>
      <c r="M2425" t="s">
        <v>41693</v>
      </c>
      <c r="N2425" t="s">
        <v>44759</v>
      </c>
      <c r="O2425" t="s">
        <v>44760</v>
      </c>
      <c r="P2425">
        <v>0</v>
      </c>
      <c r="Q2425">
        <v>0</v>
      </c>
      <c r="R2425" t="s">
        <v>44762</v>
      </c>
      <c r="S2425" t="s">
        <v>44863</v>
      </c>
      <c r="T2425" t="s">
        <v>46457</v>
      </c>
      <c r="U2425" t="s">
        <v>49015</v>
      </c>
      <c r="W2425" t="s">
        <v>41693</v>
      </c>
      <c r="X2425" t="s">
        <v>44763</v>
      </c>
    </row>
    <row r="2426" spans="1:24">
      <c r="A2426">
        <f>HYPERLINK("https://www.philgeps.gov.ph/GEPSNONPILOT/Tender/SplashBidNoticeAbstractUI.aspx?menuIndex=3&amp;refID=7151949&amp;Result=3","7151949")</f>
        <v>0</v>
      </c>
      <c r="B2426" t="s">
        <v>1073</v>
      </c>
      <c r="C2426" t="s">
        <v>6083</v>
      </c>
      <c r="D2426" t="s">
        <v>17959</v>
      </c>
      <c r="E2426" t="s">
        <v>20255</v>
      </c>
      <c r="F2426" t="s">
        <v>30900</v>
      </c>
      <c r="G2426" t="s">
        <v>30907</v>
      </c>
      <c r="H2426" t="s">
        <v>30916</v>
      </c>
      <c r="I2426" t="s">
        <v>4108</v>
      </c>
      <c r="J2426" t="s">
        <v>31243</v>
      </c>
      <c r="K2426" t="s">
        <v>40285</v>
      </c>
      <c r="M2426" t="s">
        <v>41671</v>
      </c>
      <c r="N2426" t="s">
        <v>44759</v>
      </c>
      <c r="O2426" t="s">
        <v>44760</v>
      </c>
      <c r="P2426">
        <v>0</v>
      </c>
      <c r="Q2426">
        <v>0</v>
      </c>
      <c r="R2426" t="s">
        <v>44762</v>
      </c>
      <c r="S2426" t="s">
        <v>44863</v>
      </c>
      <c r="T2426" t="s">
        <v>46350</v>
      </c>
      <c r="U2426" t="s">
        <v>48975</v>
      </c>
      <c r="W2426" t="s">
        <v>41671</v>
      </c>
      <c r="X2426" t="s">
        <v>44763</v>
      </c>
    </row>
    <row r="2427" spans="1:24">
      <c r="A2427">
        <f>HYPERLINK("https://www.philgeps.gov.ph/GEPSNONPILOT/Tender/SplashBidNoticeAbstractUI.aspx?menuIndex=3&amp;refID=7151966&amp;Result=3","7151966")</f>
        <v>0</v>
      </c>
      <c r="B2427" t="s">
        <v>1073</v>
      </c>
      <c r="C2427" t="s">
        <v>6084</v>
      </c>
      <c r="D2427" t="s">
        <v>17959</v>
      </c>
      <c r="E2427" t="s">
        <v>20256</v>
      </c>
      <c r="F2427" t="s">
        <v>30900</v>
      </c>
      <c r="G2427" t="s">
        <v>30907</v>
      </c>
      <c r="H2427" t="s">
        <v>30916</v>
      </c>
      <c r="I2427" t="s">
        <v>4108</v>
      </c>
      <c r="J2427" t="s">
        <v>32806</v>
      </c>
      <c r="K2427" t="s">
        <v>40285</v>
      </c>
      <c r="M2427" t="s">
        <v>41671</v>
      </c>
      <c r="N2427" t="s">
        <v>44759</v>
      </c>
      <c r="O2427" t="s">
        <v>44760</v>
      </c>
      <c r="P2427">
        <v>0</v>
      </c>
      <c r="Q2427">
        <v>1</v>
      </c>
      <c r="R2427" t="s">
        <v>44762</v>
      </c>
      <c r="S2427" t="s">
        <v>44863</v>
      </c>
      <c r="T2427" t="s">
        <v>46350</v>
      </c>
      <c r="U2427" t="s">
        <v>48975</v>
      </c>
      <c r="W2427" t="s">
        <v>41671</v>
      </c>
      <c r="X2427" t="s">
        <v>44763</v>
      </c>
    </row>
    <row r="2428" spans="1:24">
      <c r="A2428">
        <f>HYPERLINK("https://www.philgeps.gov.ph/GEPSNONPILOT/Tender/SplashBidNoticeAbstractUI.aspx?menuIndex=3&amp;refID=7151965&amp;Result=3","7151965")</f>
        <v>0</v>
      </c>
      <c r="B2428" t="s">
        <v>1079</v>
      </c>
      <c r="C2428" t="s">
        <v>6085</v>
      </c>
      <c r="D2428" t="s">
        <v>17971</v>
      </c>
      <c r="E2428" t="s">
        <v>20257</v>
      </c>
      <c r="F2428" t="s">
        <v>30900</v>
      </c>
      <c r="G2428" t="s">
        <v>30907</v>
      </c>
      <c r="H2428" t="s">
        <v>30916</v>
      </c>
      <c r="I2428" t="s">
        <v>8123</v>
      </c>
      <c r="J2428" t="s">
        <v>32807</v>
      </c>
      <c r="K2428" t="s">
        <v>40289</v>
      </c>
      <c r="M2428" t="s">
        <v>41678</v>
      </c>
      <c r="N2428" t="s">
        <v>44759</v>
      </c>
      <c r="O2428" t="s">
        <v>44760</v>
      </c>
      <c r="P2428">
        <v>0</v>
      </c>
      <c r="Q2428">
        <v>4</v>
      </c>
      <c r="R2428" t="s">
        <v>44762</v>
      </c>
      <c r="S2428" t="s">
        <v>44863</v>
      </c>
      <c r="T2428" t="s">
        <v>46593</v>
      </c>
      <c r="U2428" t="s">
        <v>49016</v>
      </c>
      <c r="V2428" t="s">
        <v>59382</v>
      </c>
      <c r="W2428" t="s">
        <v>41678</v>
      </c>
      <c r="X2428" t="s">
        <v>44763</v>
      </c>
    </row>
    <row r="2429" spans="1:24">
      <c r="A2429">
        <f>HYPERLINK("https://www.philgeps.gov.ph/GEPSNONPILOT/Tender/SplashBidNoticeAbstractUI.aspx?menuIndex=3&amp;refID=7151964&amp;Result=3","7151964")</f>
        <v>0</v>
      </c>
      <c r="B2429" t="s">
        <v>1092</v>
      </c>
      <c r="C2429" t="s">
        <v>6086</v>
      </c>
      <c r="D2429" t="s">
        <v>17957</v>
      </c>
      <c r="E2429" t="s">
        <v>20258</v>
      </c>
      <c r="F2429" t="s">
        <v>30900</v>
      </c>
      <c r="G2429" t="s">
        <v>30907</v>
      </c>
      <c r="H2429" t="s">
        <v>30915</v>
      </c>
      <c r="I2429" t="s">
        <v>30919</v>
      </c>
      <c r="J2429" t="s">
        <v>32808</v>
      </c>
      <c r="K2429" t="s">
        <v>40365</v>
      </c>
      <c r="M2429" t="s">
        <v>41692</v>
      </c>
      <c r="N2429" t="s">
        <v>44759</v>
      </c>
      <c r="O2429" t="s">
        <v>44760</v>
      </c>
      <c r="P2429">
        <v>0</v>
      </c>
      <c r="Q2429">
        <v>0</v>
      </c>
      <c r="R2429" t="s">
        <v>44762</v>
      </c>
      <c r="S2429" t="s">
        <v>44863</v>
      </c>
      <c r="T2429" t="s">
        <v>46405</v>
      </c>
      <c r="U2429" t="s">
        <v>49017</v>
      </c>
      <c r="W2429" t="s">
        <v>41692</v>
      </c>
      <c r="X2429" t="s">
        <v>44763</v>
      </c>
    </row>
    <row r="2430" spans="1:24">
      <c r="A2430">
        <f>HYPERLINK("https://www.philgeps.gov.ph/GEPSNONPILOT/Tender/SplashBidNoticeAbstractUI.aspx?menuIndex=3&amp;refID=7151978&amp;Result=3","7151978")</f>
        <v>0</v>
      </c>
      <c r="B2430" t="s">
        <v>1094</v>
      </c>
      <c r="C2430" t="s">
        <v>6087</v>
      </c>
      <c r="D2430" t="s">
        <v>17959</v>
      </c>
      <c r="E2430" t="s">
        <v>20259</v>
      </c>
      <c r="F2430" t="s">
        <v>30900</v>
      </c>
      <c r="G2430" t="s">
        <v>30908</v>
      </c>
      <c r="H2430" t="s">
        <v>30916</v>
      </c>
      <c r="I2430" t="s">
        <v>30942</v>
      </c>
      <c r="J2430" t="s">
        <v>31101</v>
      </c>
      <c r="K2430" t="s">
        <v>40289</v>
      </c>
      <c r="M2430" t="s">
        <v>41694</v>
      </c>
      <c r="N2430" t="s">
        <v>44759</v>
      </c>
      <c r="O2430" t="s">
        <v>44760</v>
      </c>
      <c r="P2430">
        <v>0</v>
      </c>
      <c r="Q2430">
        <v>3</v>
      </c>
      <c r="R2430" t="s">
        <v>44762</v>
      </c>
      <c r="S2430" t="s">
        <v>44863</v>
      </c>
      <c r="T2430" t="s">
        <v>46383</v>
      </c>
      <c r="U2430" t="s">
        <v>49018</v>
      </c>
      <c r="W2430" t="s">
        <v>41694</v>
      </c>
      <c r="X2430" t="s">
        <v>44763</v>
      </c>
    </row>
    <row r="2431" spans="1:24">
      <c r="A2431">
        <f>HYPERLINK("https://www.philgeps.gov.ph/GEPSNONPILOT/Tender/SplashBidNoticeAbstractUI.aspx?menuIndex=3&amp;refID=7151977&amp;Result=3","7151977")</f>
        <v>0</v>
      </c>
      <c r="B2431" t="s">
        <v>1095</v>
      </c>
      <c r="C2431" t="s">
        <v>6088</v>
      </c>
      <c r="D2431" t="s">
        <v>17975</v>
      </c>
      <c r="E2431" t="s">
        <v>18615</v>
      </c>
      <c r="F2431" t="s">
        <v>30900</v>
      </c>
      <c r="G2431" t="s">
        <v>30907</v>
      </c>
      <c r="H2431" t="s">
        <v>30916</v>
      </c>
      <c r="I2431" t="s">
        <v>8123</v>
      </c>
      <c r="J2431" t="s">
        <v>32809</v>
      </c>
      <c r="K2431" t="s">
        <v>40284</v>
      </c>
      <c r="M2431" t="s">
        <v>41695</v>
      </c>
      <c r="N2431" t="s">
        <v>44759</v>
      </c>
      <c r="O2431" t="s">
        <v>44760</v>
      </c>
      <c r="P2431">
        <v>0</v>
      </c>
      <c r="Q2431">
        <v>0</v>
      </c>
      <c r="R2431" t="s">
        <v>44762</v>
      </c>
      <c r="S2431" t="s">
        <v>44863</v>
      </c>
      <c r="T2431" t="s">
        <v>46373</v>
      </c>
      <c r="U2431" t="s">
        <v>49019</v>
      </c>
      <c r="W2431" t="s">
        <v>41695</v>
      </c>
      <c r="X2431" t="s">
        <v>44763</v>
      </c>
    </row>
    <row r="2432" spans="1:24">
      <c r="A2432">
        <f>HYPERLINK("https://www.philgeps.gov.ph/GEPSNONPILOT/Tender/SplashBidNoticeAbstractUI.aspx?menuIndex=3&amp;refID=7151975&amp;Result=3","7151975")</f>
        <v>0</v>
      </c>
      <c r="B2432" t="s">
        <v>1096</v>
      </c>
      <c r="C2432" t="s">
        <v>6089</v>
      </c>
      <c r="D2432" t="s">
        <v>17977</v>
      </c>
      <c r="E2432" t="s">
        <v>20260</v>
      </c>
      <c r="F2432" t="s">
        <v>30903</v>
      </c>
      <c r="G2432" t="s">
        <v>30909</v>
      </c>
      <c r="H2432" t="s">
        <v>30916</v>
      </c>
      <c r="I2432" t="s">
        <v>30939</v>
      </c>
      <c r="J2432" t="s">
        <v>32810</v>
      </c>
      <c r="K2432" t="s">
        <v>40289</v>
      </c>
      <c r="M2432" t="s">
        <v>41696</v>
      </c>
      <c r="N2432" t="s">
        <v>44759</v>
      </c>
      <c r="O2432" t="s">
        <v>44760</v>
      </c>
      <c r="P2432">
        <v>0</v>
      </c>
      <c r="Q2432">
        <v>0</v>
      </c>
      <c r="R2432" t="s">
        <v>44762</v>
      </c>
      <c r="S2432" t="s">
        <v>44863</v>
      </c>
      <c r="T2432" t="s">
        <v>46400</v>
      </c>
      <c r="U2432" t="s">
        <v>49020</v>
      </c>
      <c r="W2432" t="s">
        <v>42955</v>
      </c>
      <c r="X2432" t="s">
        <v>44763</v>
      </c>
    </row>
    <row r="2433" spans="1:24">
      <c r="A2433">
        <f>HYPERLINK("https://www.philgeps.gov.ph/GEPSNONPILOT/Tender/SplashBidNoticeAbstractUI.aspx?menuIndex=3&amp;refID=7151963&amp;Result=3","7151963")</f>
        <v>0</v>
      </c>
      <c r="B2433" t="s">
        <v>1073</v>
      </c>
      <c r="C2433" t="s">
        <v>6090</v>
      </c>
      <c r="D2433" t="s">
        <v>17959</v>
      </c>
      <c r="E2433" t="s">
        <v>20261</v>
      </c>
      <c r="F2433" t="s">
        <v>30900</v>
      </c>
      <c r="G2433" t="s">
        <v>30907</v>
      </c>
      <c r="H2433" t="s">
        <v>30916</v>
      </c>
      <c r="I2433" t="s">
        <v>4108</v>
      </c>
      <c r="J2433" t="s">
        <v>31243</v>
      </c>
      <c r="K2433" t="s">
        <v>40285</v>
      </c>
      <c r="M2433" t="s">
        <v>41671</v>
      </c>
      <c r="N2433" t="s">
        <v>44759</v>
      </c>
      <c r="O2433" t="s">
        <v>44760</v>
      </c>
      <c r="P2433">
        <v>0</v>
      </c>
      <c r="Q2433">
        <v>1</v>
      </c>
      <c r="R2433" t="s">
        <v>44762</v>
      </c>
      <c r="S2433" t="s">
        <v>44863</v>
      </c>
      <c r="T2433" t="s">
        <v>46350</v>
      </c>
      <c r="U2433" t="s">
        <v>48975</v>
      </c>
      <c r="W2433" t="s">
        <v>41671</v>
      </c>
      <c r="X2433" t="s">
        <v>44763</v>
      </c>
    </row>
    <row r="2434" spans="1:24">
      <c r="A2434">
        <f>HYPERLINK("https://www.philgeps.gov.ph/GEPSNONPILOT/Tender/SplashBidNoticeAbstractUI.aspx?menuIndex=3&amp;refID=7151961&amp;Result=3","7151961")</f>
        <v>0</v>
      </c>
      <c r="B2434" t="s">
        <v>1079</v>
      </c>
      <c r="C2434" t="s">
        <v>6091</v>
      </c>
      <c r="D2434" t="s">
        <v>17971</v>
      </c>
      <c r="E2434" t="s">
        <v>20262</v>
      </c>
      <c r="F2434" t="s">
        <v>30900</v>
      </c>
      <c r="G2434" t="s">
        <v>30907</v>
      </c>
      <c r="H2434" t="s">
        <v>30915</v>
      </c>
      <c r="I2434" t="s">
        <v>30919</v>
      </c>
      <c r="J2434" t="s">
        <v>32811</v>
      </c>
      <c r="K2434" t="s">
        <v>40289</v>
      </c>
      <c r="M2434" t="s">
        <v>41678</v>
      </c>
      <c r="N2434" t="s">
        <v>44759</v>
      </c>
      <c r="O2434" t="s">
        <v>44760</v>
      </c>
      <c r="P2434">
        <v>0</v>
      </c>
      <c r="Q2434">
        <v>4</v>
      </c>
      <c r="R2434" t="s">
        <v>44762</v>
      </c>
      <c r="S2434" t="s">
        <v>44863</v>
      </c>
      <c r="T2434" t="s">
        <v>46593</v>
      </c>
      <c r="U2434" t="s">
        <v>49016</v>
      </c>
      <c r="V2434" t="s">
        <v>59382</v>
      </c>
      <c r="W2434" t="s">
        <v>41678</v>
      </c>
      <c r="X2434" t="s">
        <v>44763</v>
      </c>
    </row>
    <row r="2435" spans="1:24">
      <c r="A2435">
        <f>HYPERLINK("https://www.philgeps.gov.ph/GEPSNONPILOT/Tender/SplashBidNoticeAbstractUI.aspx?menuIndex=3&amp;refID=7151950&amp;Result=3","7151950")</f>
        <v>0</v>
      </c>
      <c r="B2435" t="s">
        <v>1086</v>
      </c>
      <c r="C2435" t="s">
        <v>6092</v>
      </c>
      <c r="D2435" t="s">
        <v>17994</v>
      </c>
      <c r="E2435" t="s">
        <v>19215</v>
      </c>
      <c r="F2435" t="s">
        <v>30900</v>
      </c>
      <c r="G2435" t="s">
        <v>30907</v>
      </c>
      <c r="H2435" t="s">
        <v>30916</v>
      </c>
      <c r="I2435" t="s">
        <v>30932</v>
      </c>
      <c r="J2435" t="s">
        <v>32812</v>
      </c>
      <c r="K2435" t="s">
        <v>40283</v>
      </c>
      <c r="M2435" t="s">
        <v>41685</v>
      </c>
      <c r="N2435" t="s">
        <v>44759</v>
      </c>
      <c r="O2435" t="s">
        <v>44760</v>
      </c>
      <c r="P2435">
        <v>0</v>
      </c>
      <c r="Q2435">
        <v>1</v>
      </c>
      <c r="R2435" t="s">
        <v>44762</v>
      </c>
      <c r="S2435" t="s">
        <v>44863</v>
      </c>
      <c r="T2435" t="s">
        <v>46592</v>
      </c>
      <c r="U2435" t="s">
        <v>48999</v>
      </c>
      <c r="W2435" t="s">
        <v>41685</v>
      </c>
      <c r="X2435" t="s">
        <v>44763</v>
      </c>
    </row>
    <row r="2436" spans="1:24">
      <c r="A2436">
        <f>HYPERLINK("https://www.philgeps.gov.ph/GEPSNONPILOT/Tender/SplashBidNoticeAbstractUI.aspx?menuIndex=3&amp;refID=7151960&amp;Result=3","7151960")</f>
        <v>0</v>
      </c>
      <c r="B2436" t="s">
        <v>1097</v>
      </c>
      <c r="C2436" t="s">
        <v>5458</v>
      </c>
      <c r="D2436" t="s">
        <v>18033</v>
      </c>
      <c r="E2436" t="s">
        <v>18282</v>
      </c>
      <c r="F2436" t="s">
        <v>30900</v>
      </c>
      <c r="G2436" t="s">
        <v>30907</v>
      </c>
      <c r="H2436" t="s">
        <v>30916</v>
      </c>
      <c r="I2436" t="s">
        <v>8123</v>
      </c>
      <c r="J2436" t="s">
        <v>32813</v>
      </c>
      <c r="K2436" t="s">
        <v>40286</v>
      </c>
      <c r="M2436" t="s">
        <v>41697</v>
      </c>
      <c r="N2436" t="s">
        <v>44759</v>
      </c>
      <c r="O2436" t="s">
        <v>44760</v>
      </c>
      <c r="P2436">
        <v>0</v>
      </c>
      <c r="Q2436">
        <v>0</v>
      </c>
      <c r="R2436" t="s">
        <v>44762</v>
      </c>
      <c r="S2436" t="s">
        <v>44863</v>
      </c>
      <c r="T2436" t="s">
        <v>46495</v>
      </c>
      <c r="U2436" t="s">
        <v>49021</v>
      </c>
      <c r="W2436" t="s">
        <v>41697</v>
      </c>
      <c r="X2436" t="s">
        <v>44763</v>
      </c>
    </row>
    <row r="2437" spans="1:24">
      <c r="A2437">
        <f>HYPERLINK("https://www.philgeps.gov.ph/GEPSNONPILOT/Tender/SplashBidNoticeAbstractUI.aspx?menuIndex=3&amp;refID=7151983&amp;Result=3","7151983")</f>
        <v>0</v>
      </c>
      <c r="B2437" t="s">
        <v>1093</v>
      </c>
      <c r="C2437" t="s">
        <v>6093</v>
      </c>
      <c r="D2437" t="s">
        <v>18033</v>
      </c>
      <c r="E2437" t="s">
        <v>20263</v>
      </c>
      <c r="F2437" t="s">
        <v>30900</v>
      </c>
      <c r="G2437" t="s">
        <v>30908</v>
      </c>
      <c r="H2437" t="s">
        <v>30916</v>
      </c>
      <c r="I2437" t="s">
        <v>30926</v>
      </c>
      <c r="J2437" t="s">
        <v>32814</v>
      </c>
      <c r="K2437" t="s">
        <v>40283</v>
      </c>
      <c r="M2437" t="s">
        <v>41693</v>
      </c>
      <c r="N2437" t="s">
        <v>44759</v>
      </c>
      <c r="O2437" t="s">
        <v>44760</v>
      </c>
      <c r="P2437">
        <v>0</v>
      </c>
      <c r="Q2437">
        <v>0</v>
      </c>
      <c r="R2437" t="s">
        <v>44762</v>
      </c>
      <c r="S2437" t="s">
        <v>44863</v>
      </c>
      <c r="T2437" t="s">
        <v>46457</v>
      </c>
      <c r="U2437" t="s">
        <v>49022</v>
      </c>
      <c r="W2437" t="s">
        <v>41693</v>
      </c>
      <c r="X2437" t="s">
        <v>44763</v>
      </c>
    </row>
    <row r="2438" spans="1:24">
      <c r="A2438">
        <f>HYPERLINK("https://www.philgeps.gov.ph/GEPSNONPILOT/Tender/SplashBidNoticeAbstractUI.aspx?menuIndex=3&amp;refID=7151981&amp;Result=3","7151981")</f>
        <v>0</v>
      </c>
      <c r="B2438" t="s">
        <v>1093</v>
      </c>
      <c r="C2438" t="s">
        <v>6094</v>
      </c>
      <c r="D2438" t="s">
        <v>18033</v>
      </c>
      <c r="E2438" t="s">
        <v>20264</v>
      </c>
      <c r="F2438" t="s">
        <v>30900</v>
      </c>
      <c r="G2438" t="s">
        <v>30908</v>
      </c>
      <c r="H2438" t="s">
        <v>30916</v>
      </c>
      <c r="I2438" t="s">
        <v>6953</v>
      </c>
      <c r="J2438" t="s">
        <v>32815</v>
      </c>
      <c r="K2438" t="s">
        <v>40283</v>
      </c>
      <c r="M2438" t="s">
        <v>41693</v>
      </c>
      <c r="N2438" t="s">
        <v>44759</v>
      </c>
      <c r="O2438" t="s">
        <v>44760</v>
      </c>
      <c r="P2438">
        <v>0</v>
      </c>
      <c r="Q2438">
        <v>0</v>
      </c>
      <c r="R2438" t="s">
        <v>44762</v>
      </c>
      <c r="S2438" t="s">
        <v>44863</v>
      </c>
      <c r="T2438" t="s">
        <v>46457</v>
      </c>
      <c r="U2438" t="s">
        <v>49023</v>
      </c>
      <c r="W2438" t="s">
        <v>41693</v>
      </c>
      <c r="X2438" t="s">
        <v>44763</v>
      </c>
    </row>
    <row r="2439" spans="1:24">
      <c r="A2439">
        <f>HYPERLINK("https://www.philgeps.gov.ph/GEPSNONPILOT/Tender/SplashBidNoticeAbstractUI.aspx?menuIndex=3&amp;refID=7151979&amp;Result=3","7151979")</f>
        <v>0</v>
      </c>
      <c r="B2439" t="s">
        <v>347</v>
      </c>
      <c r="C2439" t="s">
        <v>6095</v>
      </c>
      <c r="D2439" t="s">
        <v>18025</v>
      </c>
      <c r="E2439" t="s">
        <v>20265</v>
      </c>
      <c r="F2439" t="s">
        <v>30900</v>
      </c>
      <c r="G2439" t="s">
        <v>30909</v>
      </c>
      <c r="H2439" t="s">
        <v>30916</v>
      </c>
      <c r="I2439" t="s">
        <v>6396</v>
      </c>
      <c r="J2439" t="s">
        <v>32816</v>
      </c>
      <c r="K2439" t="s">
        <v>40286</v>
      </c>
      <c r="M2439" t="s">
        <v>40900</v>
      </c>
      <c r="N2439" t="s">
        <v>44759</v>
      </c>
      <c r="O2439" t="s">
        <v>44760</v>
      </c>
      <c r="P2439">
        <v>0</v>
      </c>
      <c r="Q2439">
        <v>2</v>
      </c>
      <c r="R2439" t="s">
        <v>44762</v>
      </c>
      <c r="S2439" t="s">
        <v>44863</v>
      </c>
      <c r="T2439" t="s">
        <v>46421</v>
      </c>
      <c r="U2439" t="s">
        <v>49024</v>
      </c>
      <c r="V2439" t="s">
        <v>59383</v>
      </c>
      <c r="W2439" t="s">
        <v>40900</v>
      </c>
      <c r="X2439" t="s">
        <v>44763</v>
      </c>
    </row>
    <row r="2440" spans="1:24">
      <c r="A2440">
        <f>HYPERLINK("https://www.philgeps.gov.ph/GEPSNONPILOT/Tender/SplashBidNoticeAbstractUI.aspx?menuIndex=3&amp;refID=7151968&amp;Result=3","7151968")</f>
        <v>0</v>
      </c>
      <c r="B2440" t="s">
        <v>503</v>
      </c>
      <c r="C2440" t="s">
        <v>6096</v>
      </c>
      <c r="E2440" t="s">
        <v>20266</v>
      </c>
      <c r="F2440" t="s">
        <v>30900</v>
      </c>
      <c r="G2440" t="s">
        <v>30907</v>
      </c>
      <c r="H2440" t="s">
        <v>30916</v>
      </c>
      <c r="I2440" t="s">
        <v>30919</v>
      </c>
      <c r="J2440" t="s">
        <v>31049</v>
      </c>
      <c r="K2440" t="s">
        <v>40289</v>
      </c>
      <c r="M2440" t="s">
        <v>41063</v>
      </c>
      <c r="N2440" t="s">
        <v>44759</v>
      </c>
      <c r="O2440" t="s">
        <v>44760</v>
      </c>
      <c r="P2440">
        <v>0</v>
      </c>
      <c r="Q2440">
        <v>0</v>
      </c>
      <c r="R2440" t="s">
        <v>44762</v>
      </c>
      <c r="S2440" t="s">
        <v>44863</v>
      </c>
      <c r="T2440" t="s">
        <v>46352</v>
      </c>
      <c r="U2440" t="s">
        <v>49025</v>
      </c>
      <c r="W2440" t="s">
        <v>41063</v>
      </c>
      <c r="X2440" t="s">
        <v>44763</v>
      </c>
    </row>
    <row r="2441" spans="1:24">
      <c r="A2441">
        <f>HYPERLINK("https://www.philgeps.gov.ph/GEPSNONPILOT/Tender/SplashBidNoticeAbstractUI.aspx?menuIndex=3&amp;refID=7151998&amp;Result=3","7151998")</f>
        <v>0</v>
      </c>
      <c r="B2441" t="s">
        <v>1053</v>
      </c>
      <c r="C2441" t="s">
        <v>6097</v>
      </c>
      <c r="D2441" t="s">
        <v>17982</v>
      </c>
      <c r="E2441" t="s">
        <v>20267</v>
      </c>
      <c r="F2441" t="s">
        <v>30900</v>
      </c>
      <c r="G2441" t="s">
        <v>30907</v>
      </c>
      <c r="H2441" t="s">
        <v>30916</v>
      </c>
      <c r="I2441" t="s">
        <v>30921</v>
      </c>
      <c r="J2441" t="s">
        <v>32817</v>
      </c>
      <c r="K2441" t="s">
        <v>40293</v>
      </c>
      <c r="M2441" t="s">
        <v>41649</v>
      </c>
      <c r="N2441" t="s">
        <v>44759</v>
      </c>
      <c r="O2441" t="s">
        <v>44760</v>
      </c>
      <c r="P2441">
        <v>0</v>
      </c>
      <c r="Q2441">
        <v>3</v>
      </c>
      <c r="R2441" t="s">
        <v>44762</v>
      </c>
      <c r="S2441" t="s">
        <v>44863</v>
      </c>
      <c r="T2441" t="s">
        <v>46402</v>
      </c>
      <c r="U2441" t="s">
        <v>49026</v>
      </c>
      <c r="V2441" t="s">
        <v>59384</v>
      </c>
      <c r="W2441" t="s">
        <v>41649</v>
      </c>
      <c r="X2441" t="s">
        <v>44763</v>
      </c>
    </row>
    <row r="2442" spans="1:24">
      <c r="A2442">
        <f>HYPERLINK("https://www.philgeps.gov.ph/GEPSNONPILOT/Tender/SplashBidNoticeAbstractUI.aspx?menuIndex=3&amp;refID=7151976&amp;Result=3","7151976")</f>
        <v>0</v>
      </c>
      <c r="B2442" t="s">
        <v>1093</v>
      </c>
      <c r="C2442" t="s">
        <v>6098</v>
      </c>
      <c r="D2442" t="s">
        <v>18033</v>
      </c>
      <c r="E2442" t="s">
        <v>20268</v>
      </c>
      <c r="F2442" t="s">
        <v>30900</v>
      </c>
      <c r="G2442" t="s">
        <v>30908</v>
      </c>
      <c r="H2442" t="s">
        <v>30916</v>
      </c>
      <c r="I2442" t="s">
        <v>6953</v>
      </c>
      <c r="J2442" t="s">
        <v>32818</v>
      </c>
      <c r="K2442" t="s">
        <v>40283</v>
      </c>
      <c r="M2442" t="s">
        <v>41693</v>
      </c>
      <c r="N2442" t="s">
        <v>44759</v>
      </c>
      <c r="O2442" t="s">
        <v>44760</v>
      </c>
      <c r="P2442">
        <v>0</v>
      </c>
      <c r="Q2442">
        <v>1</v>
      </c>
      <c r="R2442" t="s">
        <v>44762</v>
      </c>
      <c r="S2442" t="s">
        <v>44863</v>
      </c>
      <c r="T2442" t="s">
        <v>46457</v>
      </c>
      <c r="U2442" t="s">
        <v>49027</v>
      </c>
      <c r="W2442" t="s">
        <v>41693</v>
      </c>
      <c r="X2442" t="s">
        <v>44763</v>
      </c>
    </row>
    <row r="2443" spans="1:24">
      <c r="A2443">
        <f>HYPERLINK("https://www.philgeps.gov.ph/GEPSNONPILOT/Tender/SplashBidNoticeAbstractUI.aspx?menuIndex=3&amp;refID=7151997&amp;Result=3","7151997")</f>
        <v>0</v>
      </c>
      <c r="B2443" t="s">
        <v>347</v>
      </c>
      <c r="C2443" t="s">
        <v>6099</v>
      </c>
      <c r="D2443" t="s">
        <v>18025</v>
      </c>
      <c r="E2443" t="s">
        <v>20269</v>
      </c>
      <c r="F2443" t="s">
        <v>30900</v>
      </c>
      <c r="G2443" t="s">
        <v>30909</v>
      </c>
      <c r="H2443" t="s">
        <v>30916</v>
      </c>
      <c r="I2443" t="s">
        <v>6396</v>
      </c>
      <c r="J2443" t="s">
        <v>32819</v>
      </c>
      <c r="K2443" t="s">
        <v>40283</v>
      </c>
      <c r="M2443" t="s">
        <v>40900</v>
      </c>
      <c r="N2443" t="s">
        <v>44759</v>
      </c>
      <c r="O2443" t="s">
        <v>44760</v>
      </c>
      <c r="P2443">
        <v>0</v>
      </c>
      <c r="Q2443">
        <v>2</v>
      </c>
      <c r="R2443" t="s">
        <v>44762</v>
      </c>
      <c r="S2443" t="s">
        <v>44863</v>
      </c>
      <c r="T2443" t="s">
        <v>46421</v>
      </c>
      <c r="U2443" t="s">
        <v>49028</v>
      </c>
      <c r="V2443" t="s">
        <v>59383</v>
      </c>
      <c r="W2443" t="s">
        <v>40900</v>
      </c>
      <c r="X2443" t="s">
        <v>44763</v>
      </c>
    </row>
    <row r="2444" spans="1:24">
      <c r="A2444">
        <f>HYPERLINK("https://www.philgeps.gov.ph/GEPSNONPILOT/Tender/SplashBidNoticeAbstractUI.aspx?menuIndex=3&amp;refID=7151996&amp;Result=3","7151996")</f>
        <v>0</v>
      </c>
      <c r="B2444" t="s">
        <v>1098</v>
      </c>
      <c r="C2444" t="s">
        <v>6100</v>
      </c>
      <c r="D2444" t="s">
        <v>17952</v>
      </c>
      <c r="E2444" t="s">
        <v>18752</v>
      </c>
      <c r="F2444" t="s">
        <v>30900</v>
      </c>
      <c r="G2444" t="s">
        <v>30907</v>
      </c>
      <c r="H2444" t="s">
        <v>30916</v>
      </c>
      <c r="I2444" t="s">
        <v>8123</v>
      </c>
      <c r="J2444" t="s">
        <v>32820</v>
      </c>
      <c r="K2444" t="s">
        <v>40284</v>
      </c>
      <c r="M2444" t="s">
        <v>41698</v>
      </c>
      <c r="N2444" t="s">
        <v>44759</v>
      </c>
      <c r="O2444" t="s">
        <v>44760</v>
      </c>
      <c r="P2444">
        <v>0</v>
      </c>
      <c r="Q2444">
        <v>0</v>
      </c>
      <c r="R2444" t="s">
        <v>44762</v>
      </c>
      <c r="S2444" t="s">
        <v>44863</v>
      </c>
      <c r="T2444" t="s">
        <v>46594</v>
      </c>
      <c r="U2444" t="s">
        <v>49029</v>
      </c>
      <c r="V2444" t="s">
        <v>59385</v>
      </c>
      <c r="W2444" t="s">
        <v>41698</v>
      </c>
      <c r="X2444" t="s">
        <v>44763</v>
      </c>
    </row>
    <row r="2445" spans="1:24">
      <c r="A2445">
        <f>HYPERLINK("https://www.philgeps.gov.ph/GEPSNONPILOT/Tender/SplashBidNoticeAbstractUI.aspx?menuIndex=3&amp;refID=7151994&amp;Result=3","7151994")</f>
        <v>0</v>
      </c>
      <c r="B2445" t="s">
        <v>1099</v>
      </c>
      <c r="C2445" t="s">
        <v>6101</v>
      </c>
      <c r="D2445" t="s">
        <v>17985</v>
      </c>
      <c r="E2445" t="s">
        <v>20270</v>
      </c>
      <c r="F2445" t="s">
        <v>30900</v>
      </c>
      <c r="G2445" t="s">
        <v>30907</v>
      </c>
      <c r="H2445" t="s">
        <v>30916</v>
      </c>
      <c r="I2445" t="s">
        <v>5501</v>
      </c>
      <c r="J2445" t="s">
        <v>32821</v>
      </c>
      <c r="K2445" t="s">
        <v>40283</v>
      </c>
      <c r="M2445" t="s">
        <v>41699</v>
      </c>
      <c r="N2445" t="s">
        <v>44759</v>
      </c>
      <c r="O2445" t="s">
        <v>44760</v>
      </c>
      <c r="P2445">
        <v>0</v>
      </c>
      <c r="Q2445">
        <v>4</v>
      </c>
      <c r="R2445" t="s">
        <v>44762</v>
      </c>
      <c r="S2445" t="s">
        <v>44863</v>
      </c>
      <c r="T2445" t="s">
        <v>46465</v>
      </c>
      <c r="U2445" t="s">
        <v>49030</v>
      </c>
      <c r="V2445" t="s">
        <v>59386</v>
      </c>
      <c r="W2445" t="s">
        <v>41699</v>
      </c>
      <c r="X2445" t="s">
        <v>44763</v>
      </c>
    </row>
    <row r="2446" spans="1:24">
      <c r="A2446">
        <f>HYPERLINK("https://www.philgeps.gov.ph/GEPSNONPILOT/Tender/SplashBidNoticeAbstractUI.aspx?menuIndex=3&amp;refID=7152001&amp;Result=3","7152001")</f>
        <v>0</v>
      </c>
      <c r="B2446" t="s">
        <v>1099</v>
      </c>
      <c r="C2446" t="s">
        <v>6102</v>
      </c>
      <c r="D2446" t="s">
        <v>17985</v>
      </c>
      <c r="E2446" t="s">
        <v>20271</v>
      </c>
      <c r="F2446" t="s">
        <v>30900</v>
      </c>
      <c r="G2446" t="s">
        <v>30907</v>
      </c>
      <c r="H2446" t="s">
        <v>30916</v>
      </c>
      <c r="I2446" t="s">
        <v>30923</v>
      </c>
      <c r="J2446" t="s">
        <v>32822</v>
      </c>
      <c r="K2446" t="s">
        <v>40283</v>
      </c>
      <c r="M2446" t="s">
        <v>41699</v>
      </c>
      <c r="N2446" t="s">
        <v>44759</v>
      </c>
      <c r="O2446" t="s">
        <v>44760</v>
      </c>
      <c r="P2446">
        <v>0</v>
      </c>
      <c r="Q2446">
        <v>5</v>
      </c>
      <c r="R2446" t="s">
        <v>44762</v>
      </c>
      <c r="S2446" t="s">
        <v>44863</v>
      </c>
      <c r="T2446" t="s">
        <v>46465</v>
      </c>
      <c r="U2446" t="s">
        <v>49030</v>
      </c>
      <c r="V2446" t="s">
        <v>59386</v>
      </c>
      <c r="W2446" t="s">
        <v>41699</v>
      </c>
      <c r="X2446" t="s">
        <v>44763</v>
      </c>
    </row>
    <row r="2447" spans="1:24">
      <c r="A2447">
        <f>HYPERLINK("https://www.philgeps.gov.ph/GEPSNONPILOT/Tender/SplashBidNoticeAbstractUI.aspx?menuIndex=3&amp;refID=7152000&amp;Result=3","7152000")</f>
        <v>0</v>
      </c>
      <c r="B2447" t="s">
        <v>1100</v>
      </c>
      <c r="C2447" t="s">
        <v>6103</v>
      </c>
      <c r="D2447" t="s">
        <v>18039</v>
      </c>
      <c r="E2447" t="s">
        <v>20272</v>
      </c>
      <c r="F2447" t="s">
        <v>30900</v>
      </c>
      <c r="G2447" t="s">
        <v>30907</v>
      </c>
      <c r="H2447" t="s">
        <v>30916</v>
      </c>
      <c r="I2447" t="s">
        <v>10847</v>
      </c>
      <c r="J2447" t="s">
        <v>32823</v>
      </c>
      <c r="K2447" t="s">
        <v>40289</v>
      </c>
      <c r="M2447" t="s">
        <v>41700</v>
      </c>
      <c r="N2447" t="s">
        <v>44759</v>
      </c>
      <c r="O2447" t="s">
        <v>44760</v>
      </c>
      <c r="P2447">
        <v>0</v>
      </c>
      <c r="Q2447">
        <v>2</v>
      </c>
      <c r="R2447" t="s">
        <v>44762</v>
      </c>
      <c r="S2447" t="s">
        <v>44863</v>
      </c>
      <c r="T2447" t="s">
        <v>46540</v>
      </c>
      <c r="U2447" t="s">
        <v>49031</v>
      </c>
      <c r="W2447" t="s">
        <v>41700</v>
      </c>
      <c r="X2447" t="s">
        <v>44763</v>
      </c>
    </row>
    <row r="2448" spans="1:24">
      <c r="A2448">
        <f>HYPERLINK("https://www.philgeps.gov.ph/GEPSNONPILOT/Tender/SplashBidNoticeAbstractUI.aspx?menuIndex=3&amp;refID=7151999&amp;Result=3","7151999")</f>
        <v>0</v>
      </c>
      <c r="B2448" t="s">
        <v>1079</v>
      </c>
      <c r="C2448" t="s">
        <v>6104</v>
      </c>
      <c r="D2448" t="s">
        <v>17971</v>
      </c>
      <c r="E2448" t="s">
        <v>20273</v>
      </c>
      <c r="F2448" t="s">
        <v>30900</v>
      </c>
      <c r="G2448" t="s">
        <v>30908</v>
      </c>
      <c r="H2448" t="s">
        <v>30916</v>
      </c>
      <c r="I2448" t="s">
        <v>8123</v>
      </c>
      <c r="J2448" t="s">
        <v>32824</v>
      </c>
      <c r="K2448" t="s">
        <v>40289</v>
      </c>
      <c r="M2448" t="s">
        <v>41678</v>
      </c>
      <c r="N2448" t="s">
        <v>44759</v>
      </c>
      <c r="O2448" t="s">
        <v>44760</v>
      </c>
      <c r="P2448">
        <v>0</v>
      </c>
      <c r="Q2448">
        <v>0</v>
      </c>
      <c r="R2448" t="s">
        <v>44762</v>
      </c>
      <c r="S2448" t="s">
        <v>44863</v>
      </c>
      <c r="T2448" t="s">
        <v>46356</v>
      </c>
      <c r="U2448" t="s">
        <v>49032</v>
      </c>
      <c r="V2448" t="s">
        <v>59387</v>
      </c>
      <c r="W2448" t="s">
        <v>41678</v>
      </c>
      <c r="X2448" t="s">
        <v>44763</v>
      </c>
    </row>
    <row r="2449" spans="1:24">
      <c r="A2449">
        <f>HYPERLINK("https://www.philgeps.gov.ph/GEPSNONPILOT/Tender/SplashBidNoticeAbstractUI.aspx?menuIndex=3&amp;refID=7151993&amp;Result=3","7151993")</f>
        <v>0</v>
      </c>
      <c r="B2449" t="s">
        <v>1079</v>
      </c>
      <c r="C2449" t="s">
        <v>6105</v>
      </c>
      <c r="D2449" t="s">
        <v>17971</v>
      </c>
      <c r="E2449" t="s">
        <v>20274</v>
      </c>
      <c r="F2449" t="s">
        <v>30900</v>
      </c>
      <c r="G2449" t="s">
        <v>30908</v>
      </c>
      <c r="H2449" t="s">
        <v>30916</v>
      </c>
      <c r="I2449" t="s">
        <v>8123</v>
      </c>
      <c r="J2449" t="s">
        <v>32825</v>
      </c>
      <c r="K2449" t="s">
        <v>40289</v>
      </c>
      <c r="M2449" t="s">
        <v>41678</v>
      </c>
      <c r="N2449" t="s">
        <v>44759</v>
      </c>
      <c r="O2449" t="s">
        <v>44760</v>
      </c>
      <c r="P2449">
        <v>0</v>
      </c>
      <c r="Q2449">
        <v>0</v>
      </c>
      <c r="R2449" t="s">
        <v>44762</v>
      </c>
      <c r="S2449" t="s">
        <v>44863</v>
      </c>
      <c r="T2449" t="s">
        <v>46356</v>
      </c>
      <c r="U2449" t="s">
        <v>49032</v>
      </c>
      <c r="V2449" t="s">
        <v>59387</v>
      </c>
      <c r="W2449" t="s">
        <v>41678</v>
      </c>
      <c r="X2449" t="s">
        <v>44763</v>
      </c>
    </row>
    <row r="2450" spans="1:24">
      <c r="A2450">
        <f>HYPERLINK("https://www.philgeps.gov.ph/GEPSNONPILOT/Tender/SplashBidNoticeAbstractUI.aspx?menuIndex=3&amp;refID=7151992&amp;Result=3","7151992")</f>
        <v>0</v>
      </c>
      <c r="B2450" t="s">
        <v>1101</v>
      </c>
      <c r="C2450" t="s">
        <v>6106</v>
      </c>
      <c r="D2450" t="s">
        <v>17987</v>
      </c>
      <c r="E2450" t="s">
        <v>20275</v>
      </c>
      <c r="F2450" t="s">
        <v>30900</v>
      </c>
      <c r="G2450" t="s">
        <v>30908</v>
      </c>
      <c r="H2450" t="s">
        <v>30916</v>
      </c>
      <c r="I2450" t="s">
        <v>31003</v>
      </c>
      <c r="J2450" t="s">
        <v>32028</v>
      </c>
      <c r="K2450" t="s">
        <v>40286</v>
      </c>
      <c r="L2450" t="s">
        <v>1101</v>
      </c>
      <c r="M2450" t="s">
        <v>41701</v>
      </c>
      <c r="N2450" t="s">
        <v>44759</v>
      </c>
      <c r="O2450" t="s">
        <v>44760</v>
      </c>
      <c r="P2450">
        <v>0</v>
      </c>
      <c r="Q2450">
        <v>0</v>
      </c>
      <c r="R2450" t="s">
        <v>44762</v>
      </c>
      <c r="S2450" t="s">
        <v>44863</v>
      </c>
      <c r="T2450" t="s">
        <v>46390</v>
      </c>
      <c r="U2450" t="s">
        <v>49033</v>
      </c>
      <c r="V2450" t="s">
        <v>59388</v>
      </c>
      <c r="W2450" t="s">
        <v>41701</v>
      </c>
      <c r="X2450" t="s">
        <v>44763</v>
      </c>
    </row>
    <row r="2451" spans="1:24">
      <c r="A2451">
        <f>HYPERLINK("https://www.philgeps.gov.ph/GEPSNONPILOT/Tender/SplashBidNoticeAbstractUI.aspx?menuIndex=3&amp;refID=7151990&amp;Result=3","7151990")</f>
        <v>0</v>
      </c>
      <c r="B2451" t="s">
        <v>1079</v>
      </c>
      <c r="C2451" t="s">
        <v>6107</v>
      </c>
      <c r="D2451" t="s">
        <v>17971</v>
      </c>
      <c r="E2451" t="s">
        <v>20276</v>
      </c>
      <c r="F2451" t="s">
        <v>30900</v>
      </c>
      <c r="G2451" t="s">
        <v>30908</v>
      </c>
      <c r="H2451" t="s">
        <v>30916</v>
      </c>
      <c r="I2451" t="s">
        <v>8123</v>
      </c>
      <c r="J2451" t="s">
        <v>32826</v>
      </c>
      <c r="K2451" t="s">
        <v>40289</v>
      </c>
      <c r="M2451" t="s">
        <v>41678</v>
      </c>
      <c r="N2451" t="s">
        <v>44759</v>
      </c>
      <c r="O2451" t="s">
        <v>44760</v>
      </c>
      <c r="P2451">
        <v>0</v>
      </c>
      <c r="Q2451">
        <v>0</v>
      </c>
      <c r="R2451" t="s">
        <v>44762</v>
      </c>
      <c r="S2451" t="s">
        <v>44863</v>
      </c>
      <c r="T2451" t="s">
        <v>46356</v>
      </c>
      <c r="U2451" t="s">
        <v>49032</v>
      </c>
      <c r="V2451" t="s">
        <v>59387</v>
      </c>
      <c r="W2451" t="s">
        <v>41678</v>
      </c>
      <c r="X2451" t="s">
        <v>44763</v>
      </c>
    </row>
    <row r="2452" spans="1:24">
      <c r="A2452">
        <f>HYPERLINK("https://www.philgeps.gov.ph/GEPSNONPILOT/Tender/SplashBidNoticeAbstractUI.aspx?menuIndex=3&amp;refID=7151995&amp;Result=3","7151995")</f>
        <v>0</v>
      </c>
      <c r="B2452" t="s">
        <v>1079</v>
      </c>
      <c r="C2452" t="s">
        <v>6108</v>
      </c>
      <c r="D2452" t="s">
        <v>17971</v>
      </c>
      <c r="E2452" t="s">
        <v>20277</v>
      </c>
      <c r="F2452" t="s">
        <v>30900</v>
      </c>
      <c r="G2452" t="s">
        <v>30908</v>
      </c>
      <c r="H2452" t="s">
        <v>30916</v>
      </c>
      <c r="I2452" t="s">
        <v>8123</v>
      </c>
      <c r="J2452" t="s">
        <v>32827</v>
      </c>
      <c r="K2452" t="s">
        <v>40289</v>
      </c>
      <c r="M2452" t="s">
        <v>41678</v>
      </c>
      <c r="N2452" t="s">
        <v>44759</v>
      </c>
      <c r="O2452" t="s">
        <v>44760</v>
      </c>
      <c r="P2452">
        <v>0</v>
      </c>
      <c r="Q2452">
        <v>0</v>
      </c>
      <c r="R2452" t="s">
        <v>44762</v>
      </c>
      <c r="S2452" t="s">
        <v>44863</v>
      </c>
      <c r="T2452" t="s">
        <v>46356</v>
      </c>
      <c r="U2452" t="s">
        <v>49032</v>
      </c>
      <c r="V2452" t="s">
        <v>59387</v>
      </c>
      <c r="W2452" t="s">
        <v>41678</v>
      </c>
      <c r="X2452" t="s">
        <v>44763</v>
      </c>
    </row>
    <row r="2453" spans="1:24">
      <c r="A2453">
        <f>HYPERLINK("https://www.philgeps.gov.ph/GEPSNONPILOT/Tender/SplashBidNoticeAbstractUI.aspx?menuIndex=3&amp;refID=7151982&amp;Result=3","7151982")</f>
        <v>0</v>
      </c>
      <c r="B2453" t="s">
        <v>1102</v>
      </c>
      <c r="C2453" t="s">
        <v>6109</v>
      </c>
      <c r="D2453" t="s">
        <v>17952</v>
      </c>
      <c r="E2453" t="s">
        <v>19262</v>
      </c>
      <c r="F2453" t="s">
        <v>30900</v>
      </c>
      <c r="G2453" t="s">
        <v>30907</v>
      </c>
      <c r="H2453" t="s">
        <v>30916</v>
      </c>
      <c r="I2453" t="s">
        <v>8123</v>
      </c>
      <c r="J2453" t="s">
        <v>32828</v>
      </c>
      <c r="K2453" t="s">
        <v>40289</v>
      </c>
      <c r="M2453" t="s">
        <v>41702</v>
      </c>
      <c r="N2453" t="s">
        <v>44759</v>
      </c>
      <c r="O2453" t="s">
        <v>44760</v>
      </c>
      <c r="P2453">
        <v>0</v>
      </c>
      <c r="Q2453">
        <v>0</v>
      </c>
      <c r="R2453" t="s">
        <v>44762</v>
      </c>
      <c r="S2453" t="s">
        <v>44863</v>
      </c>
      <c r="T2453" t="s">
        <v>46594</v>
      </c>
      <c r="U2453" t="s">
        <v>49034</v>
      </c>
      <c r="V2453" t="s">
        <v>59389</v>
      </c>
      <c r="W2453" t="s">
        <v>41702</v>
      </c>
      <c r="X2453" t="s">
        <v>44763</v>
      </c>
    </row>
    <row r="2454" spans="1:24">
      <c r="A2454">
        <f>HYPERLINK("https://www.philgeps.gov.ph/GEPSNONPILOT/Tender/SplashBidNoticeAbstractUI.aspx?menuIndex=3&amp;refID=7151984&amp;Result=3","7151984")</f>
        <v>0</v>
      </c>
      <c r="B2454" t="s">
        <v>1079</v>
      </c>
      <c r="C2454" t="s">
        <v>6110</v>
      </c>
      <c r="D2454" t="s">
        <v>17971</v>
      </c>
      <c r="E2454" t="s">
        <v>20278</v>
      </c>
      <c r="F2454" t="s">
        <v>30900</v>
      </c>
      <c r="G2454" t="s">
        <v>30908</v>
      </c>
      <c r="H2454" t="s">
        <v>30916</v>
      </c>
      <c r="I2454" t="s">
        <v>8123</v>
      </c>
      <c r="J2454" t="s">
        <v>32829</v>
      </c>
      <c r="K2454" t="s">
        <v>40289</v>
      </c>
      <c r="M2454" t="s">
        <v>41678</v>
      </c>
      <c r="N2454" t="s">
        <v>44759</v>
      </c>
      <c r="O2454" t="s">
        <v>44760</v>
      </c>
      <c r="P2454">
        <v>0</v>
      </c>
      <c r="Q2454">
        <v>0</v>
      </c>
      <c r="R2454" t="s">
        <v>44762</v>
      </c>
      <c r="S2454" t="s">
        <v>44863</v>
      </c>
      <c r="T2454" t="s">
        <v>46356</v>
      </c>
      <c r="U2454" t="s">
        <v>49032</v>
      </c>
      <c r="V2454" t="s">
        <v>59387</v>
      </c>
      <c r="W2454" t="s">
        <v>41678</v>
      </c>
      <c r="X2454" t="s">
        <v>44763</v>
      </c>
    </row>
    <row r="2455" spans="1:24">
      <c r="A2455">
        <f>HYPERLINK("https://www.philgeps.gov.ph/GEPSNONPILOT/Tender/SplashBidNoticeAbstractUI.aspx?menuIndex=3&amp;refID=7151958&amp;Result=3","7151958")</f>
        <v>0</v>
      </c>
      <c r="B2455" t="s">
        <v>1083</v>
      </c>
      <c r="C2455" t="s">
        <v>6111</v>
      </c>
      <c r="D2455" t="s">
        <v>17999</v>
      </c>
      <c r="E2455" t="s">
        <v>20279</v>
      </c>
      <c r="F2455" t="s">
        <v>30900</v>
      </c>
      <c r="G2455" t="s">
        <v>30907</v>
      </c>
      <c r="H2455" t="s">
        <v>30916</v>
      </c>
      <c r="I2455" t="s">
        <v>30921</v>
      </c>
      <c r="J2455" t="s">
        <v>32830</v>
      </c>
      <c r="K2455" t="s">
        <v>40289</v>
      </c>
      <c r="M2455" t="s">
        <v>41682</v>
      </c>
      <c r="N2455" t="s">
        <v>44759</v>
      </c>
      <c r="O2455" t="s">
        <v>44760</v>
      </c>
      <c r="P2455">
        <v>0</v>
      </c>
      <c r="Q2455">
        <v>0</v>
      </c>
      <c r="R2455" t="s">
        <v>44762</v>
      </c>
      <c r="S2455" t="s">
        <v>44863</v>
      </c>
      <c r="T2455" t="s">
        <v>46595</v>
      </c>
      <c r="U2455" t="s">
        <v>49035</v>
      </c>
      <c r="V2455" t="s">
        <v>59390</v>
      </c>
      <c r="W2455" t="s">
        <v>41682</v>
      </c>
      <c r="X2455" t="s">
        <v>44763</v>
      </c>
    </row>
    <row r="2456" spans="1:24">
      <c r="A2456">
        <f>HYPERLINK("https://www.philgeps.gov.ph/GEPSNONPILOT/Tender/SplashBidNoticeAbstractUI.aspx?menuIndex=3&amp;refID=7151989&amp;Result=3","7151989")</f>
        <v>0</v>
      </c>
      <c r="B2456" t="s">
        <v>1103</v>
      </c>
      <c r="C2456" t="s">
        <v>6112</v>
      </c>
      <c r="D2456" t="s">
        <v>17953</v>
      </c>
      <c r="E2456" t="s">
        <v>20280</v>
      </c>
      <c r="F2456" t="s">
        <v>30900</v>
      </c>
      <c r="G2456" t="s">
        <v>30908</v>
      </c>
      <c r="H2456" t="s">
        <v>30916</v>
      </c>
      <c r="I2456" t="s">
        <v>6396</v>
      </c>
      <c r="J2456" t="s">
        <v>32831</v>
      </c>
      <c r="K2456" t="s">
        <v>40284</v>
      </c>
      <c r="M2456" t="s">
        <v>41703</v>
      </c>
      <c r="N2456" t="s">
        <v>44759</v>
      </c>
      <c r="O2456" t="s">
        <v>44760</v>
      </c>
      <c r="P2456">
        <v>0</v>
      </c>
      <c r="Q2456">
        <v>1</v>
      </c>
      <c r="R2456" t="s">
        <v>44762</v>
      </c>
      <c r="S2456" t="s">
        <v>44863</v>
      </c>
      <c r="T2456" t="s">
        <v>46379</v>
      </c>
      <c r="U2456" t="s">
        <v>49036</v>
      </c>
      <c r="W2456" t="s">
        <v>41703</v>
      </c>
      <c r="X2456" t="s">
        <v>44763</v>
      </c>
    </row>
    <row r="2457" spans="1:24">
      <c r="A2457">
        <f>HYPERLINK("https://www.philgeps.gov.ph/GEPSNONPILOT/Tender/SplashBidNoticeAbstractUI.aspx?menuIndex=3&amp;refID=7152011&amp;Result=3","7152011")</f>
        <v>0</v>
      </c>
      <c r="B2457" t="s">
        <v>1104</v>
      </c>
      <c r="C2457" t="s">
        <v>6113</v>
      </c>
      <c r="D2457" t="s">
        <v>17959</v>
      </c>
      <c r="E2457" t="s">
        <v>19042</v>
      </c>
      <c r="F2457" t="s">
        <v>30900</v>
      </c>
      <c r="G2457" t="s">
        <v>30907</v>
      </c>
      <c r="H2457" t="s">
        <v>30917</v>
      </c>
      <c r="I2457" t="s">
        <v>17295</v>
      </c>
      <c r="J2457" t="s">
        <v>32832</v>
      </c>
      <c r="K2457" t="s">
        <v>40366</v>
      </c>
      <c r="M2457" t="s">
        <v>41704</v>
      </c>
      <c r="N2457" t="s">
        <v>44759</v>
      </c>
      <c r="O2457" t="s">
        <v>44760</v>
      </c>
      <c r="P2457">
        <v>0</v>
      </c>
      <c r="Q2457">
        <v>0</v>
      </c>
      <c r="R2457" t="s">
        <v>44762</v>
      </c>
      <c r="S2457" t="s">
        <v>44863</v>
      </c>
      <c r="T2457" t="s">
        <v>46596</v>
      </c>
      <c r="U2457" t="s">
        <v>49037</v>
      </c>
      <c r="V2457" t="s">
        <v>59391</v>
      </c>
      <c r="W2457" t="s">
        <v>41704</v>
      </c>
      <c r="X2457" t="s">
        <v>44763</v>
      </c>
    </row>
    <row r="2458" spans="1:24">
      <c r="A2458">
        <f>HYPERLINK("https://www.philgeps.gov.ph/GEPSNONPILOT/Tender/SplashBidNoticeAbstractUI.aspx?menuIndex=3&amp;refID=7151988&amp;Result=3","7151988")</f>
        <v>0</v>
      </c>
      <c r="B2458" t="s">
        <v>1105</v>
      </c>
      <c r="C2458" t="s">
        <v>6114</v>
      </c>
      <c r="E2458" t="s">
        <v>20281</v>
      </c>
      <c r="F2458" t="s">
        <v>30900</v>
      </c>
      <c r="G2458" t="s">
        <v>30907</v>
      </c>
      <c r="H2458" t="s">
        <v>30915</v>
      </c>
      <c r="I2458" t="s">
        <v>8123</v>
      </c>
      <c r="J2458" t="s">
        <v>31049</v>
      </c>
      <c r="K2458" t="s">
        <v>40289</v>
      </c>
      <c r="M2458" t="s">
        <v>41705</v>
      </c>
      <c r="N2458" t="s">
        <v>44759</v>
      </c>
      <c r="O2458" t="s">
        <v>44760</v>
      </c>
      <c r="P2458">
        <v>0</v>
      </c>
      <c r="Q2458">
        <v>0</v>
      </c>
      <c r="R2458" t="s">
        <v>44762</v>
      </c>
      <c r="S2458" t="s">
        <v>44863</v>
      </c>
      <c r="T2458" t="s">
        <v>46504</v>
      </c>
      <c r="U2458" t="s">
        <v>49038</v>
      </c>
      <c r="W2458" t="s">
        <v>41705</v>
      </c>
      <c r="X2458" t="s">
        <v>44763</v>
      </c>
    </row>
    <row r="2459" spans="1:24">
      <c r="A2459">
        <f>HYPERLINK("https://www.philgeps.gov.ph/GEPSNONPILOT/Tender/SplashBidNoticeAbstractUI.aspx?menuIndex=3&amp;refID=7152009&amp;Result=3","7152009")</f>
        <v>0</v>
      </c>
      <c r="B2459" t="s">
        <v>1106</v>
      </c>
      <c r="C2459" t="s">
        <v>6115</v>
      </c>
      <c r="D2459" t="s">
        <v>17963</v>
      </c>
      <c r="E2459" t="s">
        <v>20282</v>
      </c>
      <c r="F2459" t="s">
        <v>30900</v>
      </c>
      <c r="G2459" t="s">
        <v>30907</v>
      </c>
      <c r="H2459" t="s">
        <v>30916</v>
      </c>
      <c r="I2459" t="s">
        <v>30982</v>
      </c>
      <c r="J2459" t="s">
        <v>31241</v>
      </c>
      <c r="K2459" t="s">
        <v>40287</v>
      </c>
      <c r="M2459" t="s">
        <v>41706</v>
      </c>
      <c r="N2459" t="s">
        <v>44759</v>
      </c>
      <c r="O2459" t="s">
        <v>44760</v>
      </c>
      <c r="P2459">
        <v>0</v>
      </c>
      <c r="Q2459">
        <v>8</v>
      </c>
      <c r="R2459" t="s">
        <v>44762</v>
      </c>
      <c r="S2459" t="s">
        <v>44863</v>
      </c>
      <c r="T2459" t="s">
        <v>46377</v>
      </c>
      <c r="U2459" t="s">
        <v>49039</v>
      </c>
      <c r="W2459" t="s">
        <v>41706</v>
      </c>
      <c r="X2459" t="s">
        <v>44763</v>
      </c>
    </row>
    <row r="2460" spans="1:24">
      <c r="A2460">
        <f>HYPERLINK("https://www.philgeps.gov.ph/GEPSNONPILOT/Tender/SplashBidNoticeAbstractUI.aspx?menuIndex=3&amp;refID=7151987&amp;Result=3","7151987")</f>
        <v>0</v>
      </c>
      <c r="B2460" t="s">
        <v>1083</v>
      </c>
      <c r="C2460" t="s">
        <v>6116</v>
      </c>
      <c r="D2460" t="s">
        <v>17999</v>
      </c>
      <c r="E2460" t="s">
        <v>20283</v>
      </c>
      <c r="F2460" t="s">
        <v>30900</v>
      </c>
      <c r="G2460" t="s">
        <v>30907</v>
      </c>
      <c r="H2460" t="s">
        <v>30916</v>
      </c>
      <c r="I2460" t="s">
        <v>30933</v>
      </c>
      <c r="J2460" t="s">
        <v>32833</v>
      </c>
      <c r="K2460" t="s">
        <v>40289</v>
      </c>
      <c r="M2460" t="s">
        <v>41682</v>
      </c>
      <c r="N2460" t="s">
        <v>44759</v>
      </c>
      <c r="O2460" t="s">
        <v>44760</v>
      </c>
      <c r="P2460">
        <v>0</v>
      </c>
      <c r="Q2460">
        <v>2</v>
      </c>
      <c r="R2460" t="s">
        <v>44762</v>
      </c>
      <c r="S2460" t="s">
        <v>44863</v>
      </c>
      <c r="T2460" t="s">
        <v>46404</v>
      </c>
      <c r="U2460" t="s">
        <v>48993</v>
      </c>
      <c r="V2460" t="s">
        <v>59392</v>
      </c>
      <c r="W2460" t="s">
        <v>41682</v>
      </c>
      <c r="X2460" t="s">
        <v>44763</v>
      </c>
    </row>
    <row r="2461" spans="1:24">
      <c r="A2461">
        <f>HYPERLINK("https://www.philgeps.gov.ph/GEPSNONPILOT/Tender/SplashBidNoticeAbstractUI.aspx?menuIndex=3&amp;refID=7152007&amp;Result=3","7152007")</f>
        <v>0</v>
      </c>
      <c r="B2461" t="s">
        <v>1079</v>
      </c>
      <c r="C2461" t="s">
        <v>6117</v>
      </c>
      <c r="D2461" t="s">
        <v>17971</v>
      </c>
      <c r="E2461" t="s">
        <v>20284</v>
      </c>
      <c r="F2461" t="s">
        <v>30900</v>
      </c>
      <c r="G2461" t="s">
        <v>30907</v>
      </c>
      <c r="H2461" t="s">
        <v>30916</v>
      </c>
      <c r="I2461" t="s">
        <v>8123</v>
      </c>
      <c r="J2461" t="s">
        <v>32834</v>
      </c>
      <c r="K2461" t="s">
        <v>40289</v>
      </c>
      <c r="M2461" t="s">
        <v>41678</v>
      </c>
      <c r="N2461" t="s">
        <v>44759</v>
      </c>
      <c r="O2461" t="s">
        <v>44760</v>
      </c>
      <c r="P2461">
        <v>0</v>
      </c>
      <c r="Q2461">
        <v>4</v>
      </c>
      <c r="R2461" t="s">
        <v>44762</v>
      </c>
      <c r="S2461" t="s">
        <v>44863</v>
      </c>
      <c r="T2461" t="s">
        <v>46593</v>
      </c>
      <c r="U2461" t="s">
        <v>49016</v>
      </c>
      <c r="V2461" t="s">
        <v>59382</v>
      </c>
      <c r="W2461" t="s">
        <v>41678</v>
      </c>
      <c r="X2461" t="s">
        <v>44763</v>
      </c>
    </row>
    <row r="2462" spans="1:24">
      <c r="A2462">
        <f>HYPERLINK("https://www.philgeps.gov.ph/GEPSNONPILOT/Tender/SplashBidNoticeAbstractUI.aspx?menuIndex=3&amp;refID=7151985&amp;Result=3","7151985")</f>
        <v>0</v>
      </c>
      <c r="B2462" t="s">
        <v>134</v>
      </c>
      <c r="C2462" t="s">
        <v>6118</v>
      </c>
      <c r="E2462" t="s">
        <v>20285</v>
      </c>
      <c r="F2462" t="s">
        <v>30900</v>
      </c>
      <c r="G2462" t="s">
        <v>30908</v>
      </c>
      <c r="H2462" t="s">
        <v>30915</v>
      </c>
      <c r="I2462" t="s">
        <v>30919</v>
      </c>
      <c r="J2462" t="s">
        <v>32835</v>
      </c>
      <c r="K2462" t="s">
        <v>40367</v>
      </c>
      <c r="M2462" t="s">
        <v>40681</v>
      </c>
      <c r="N2462" t="s">
        <v>44759</v>
      </c>
      <c r="O2462" t="s">
        <v>44760</v>
      </c>
      <c r="P2462">
        <v>0</v>
      </c>
      <c r="Q2462">
        <v>0</v>
      </c>
      <c r="R2462" t="s">
        <v>44762</v>
      </c>
      <c r="S2462" t="s">
        <v>44863</v>
      </c>
      <c r="T2462" t="s">
        <v>46399</v>
      </c>
      <c r="U2462" t="s">
        <v>49040</v>
      </c>
      <c r="W2462" t="s">
        <v>40681</v>
      </c>
      <c r="X2462" t="s">
        <v>44763</v>
      </c>
    </row>
    <row r="2463" spans="1:24">
      <c r="A2463">
        <f>HYPERLINK("https://www.philgeps.gov.ph/GEPSNONPILOT/Tender/SplashBidNoticeAbstractUI.aspx?menuIndex=3&amp;refID=7151951&amp;Result=3","7151951")</f>
        <v>0</v>
      </c>
      <c r="B2463" t="s">
        <v>1073</v>
      </c>
      <c r="C2463" t="s">
        <v>6083</v>
      </c>
      <c r="D2463" t="s">
        <v>17959</v>
      </c>
      <c r="E2463" t="s">
        <v>20286</v>
      </c>
      <c r="F2463" t="s">
        <v>30900</v>
      </c>
      <c r="G2463" t="s">
        <v>30907</v>
      </c>
      <c r="H2463" t="s">
        <v>30916</v>
      </c>
      <c r="I2463" t="s">
        <v>4108</v>
      </c>
      <c r="J2463" t="s">
        <v>31243</v>
      </c>
      <c r="K2463" t="s">
        <v>40285</v>
      </c>
      <c r="M2463" t="s">
        <v>41671</v>
      </c>
      <c r="N2463" t="s">
        <v>44759</v>
      </c>
      <c r="O2463" t="s">
        <v>44760</v>
      </c>
      <c r="P2463">
        <v>0</v>
      </c>
      <c r="Q2463">
        <v>0</v>
      </c>
      <c r="R2463" t="s">
        <v>44762</v>
      </c>
      <c r="S2463" t="s">
        <v>44863</v>
      </c>
      <c r="T2463" t="s">
        <v>46350</v>
      </c>
      <c r="U2463" t="s">
        <v>48975</v>
      </c>
      <c r="W2463" t="s">
        <v>41671</v>
      </c>
      <c r="X2463" t="s">
        <v>44763</v>
      </c>
    </row>
    <row r="2464" spans="1:24">
      <c r="A2464">
        <f>HYPERLINK("https://www.philgeps.gov.ph/GEPSNONPILOT/Tender/SplashBidNoticeAbstractUI.aspx?menuIndex=3&amp;refID=7152006&amp;Result=3","7152006")</f>
        <v>0</v>
      </c>
      <c r="B2464" t="s">
        <v>829</v>
      </c>
      <c r="C2464" t="s">
        <v>6119</v>
      </c>
      <c r="D2464" t="s">
        <v>17959</v>
      </c>
      <c r="E2464" t="s">
        <v>20287</v>
      </c>
      <c r="F2464" t="s">
        <v>30900</v>
      </c>
      <c r="G2464" t="s">
        <v>30908</v>
      </c>
      <c r="H2464" t="s">
        <v>30916</v>
      </c>
      <c r="I2464" t="s">
        <v>30924</v>
      </c>
      <c r="J2464" t="s">
        <v>32836</v>
      </c>
      <c r="K2464" t="s">
        <v>40311</v>
      </c>
      <c r="M2464" t="s">
        <v>41402</v>
      </c>
      <c r="N2464" t="s">
        <v>44759</v>
      </c>
      <c r="O2464" t="s">
        <v>44760</v>
      </c>
      <c r="P2464">
        <v>0</v>
      </c>
      <c r="Q2464">
        <v>7</v>
      </c>
      <c r="R2464" t="s">
        <v>44762</v>
      </c>
      <c r="S2464" t="s">
        <v>44863</v>
      </c>
      <c r="T2464" t="s">
        <v>46410</v>
      </c>
      <c r="U2464" t="s">
        <v>48427</v>
      </c>
      <c r="V2464" t="s">
        <v>59393</v>
      </c>
      <c r="W2464" t="s">
        <v>41402</v>
      </c>
      <c r="X2464" t="s">
        <v>44763</v>
      </c>
    </row>
    <row r="2465" spans="1:24">
      <c r="A2465">
        <f>HYPERLINK("https://www.philgeps.gov.ph/GEPSNONPILOT/Tender/SplashBidNoticeAbstractUI.aspx?menuIndex=3&amp;refID=7152002&amp;Result=3","7152002")</f>
        <v>0</v>
      </c>
      <c r="B2465" t="s">
        <v>1107</v>
      </c>
      <c r="C2465" t="s">
        <v>6120</v>
      </c>
      <c r="D2465" t="s">
        <v>17977</v>
      </c>
      <c r="E2465" t="s">
        <v>20288</v>
      </c>
      <c r="F2465" t="s">
        <v>30900</v>
      </c>
      <c r="G2465" t="s">
        <v>30907</v>
      </c>
      <c r="H2465" t="s">
        <v>30915</v>
      </c>
      <c r="I2465" t="s">
        <v>30919</v>
      </c>
      <c r="J2465" t="s">
        <v>32837</v>
      </c>
      <c r="K2465" t="s">
        <v>40368</v>
      </c>
      <c r="M2465" t="s">
        <v>41707</v>
      </c>
      <c r="N2465" t="s">
        <v>44759</v>
      </c>
      <c r="O2465" t="s">
        <v>44760</v>
      </c>
      <c r="P2465">
        <v>0</v>
      </c>
      <c r="Q2465">
        <v>1</v>
      </c>
      <c r="R2465" t="s">
        <v>44762</v>
      </c>
      <c r="S2465" t="s">
        <v>44863</v>
      </c>
      <c r="T2465" t="s">
        <v>46408</v>
      </c>
      <c r="U2465" t="s">
        <v>49041</v>
      </c>
      <c r="W2465" t="s">
        <v>41707</v>
      </c>
      <c r="X2465" t="s">
        <v>44763</v>
      </c>
    </row>
    <row r="2466" spans="1:24">
      <c r="A2466">
        <f>HYPERLINK("https://www.philgeps.gov.ph/GEPSNONPILOT/Tender/SplashBidNoticeAbstractUI.aspx?menuIndex=3&amp;refID=7152021&amp;Result=3","7152021")</f>
        <v>0</v>
      </c>
      <c r="B2466" t="s">
        <v>1100</v>
      </c>
      <c r="C2466" t="s">
        <v>6121</v>
      </c>
      <c r="D2466" t="s">
        <v>18040</v>
      </c>
      <c r="E2466" t="s">
        <v>20289</v>
      </c>
      <c r="F2466" t="s">
        <v>30900</v>
      </c>
      <c r="G2466" t="s">
        <v>30907</v>
      </c>
      <c r="H2466" t="s">
        <v>30916</v>
      </c>
      <c r="I2466" t="s">
        <v>10847</v>
      </c>
      <c r="J2466" t="s">
        <v>32838</v>
      </c>
      <c r="K2466" t="s">
        <v>40289</v>
      </c>
      <c r="M2466" t="s">
        <v>41700</v>
      </c>
      <c r="N2466" t="s">
        <v>44759</v>
      </c>
      <c r="O2466" t="s">
        <v>44760</v>
      </c>
      <c r="P2466">
        <v>0</v>
      </c>
      <c r="Q2466">
        <v>1</v>
      </c>
      <c r="R2466" t="s">
        <v>44762</v>
      </c>
      <c r="S2466" t="s">
        <v>44863</v>
      </c>
      <c r="T2466" t="s">
        <v>46540</v>
      </c>
      <c r="U2466" t="s">
        <v>49042</v>
      </c>
      <c r="W2466" t="s">
        <v>41700</v>
      </c>
      <c r="X2466" t="s">
        <v>44763</v>
      </c>
    </row>
    <row r="2467" spans="1:24">
      <c r="A2467">
        <f>HYPERLINK("https://www.philgeps.gov.ph/GEPSNONPILOT/Tender/SplashBidNoticeAbstractUI.aspx?menuIndex=3&amp;refID=7152018&amp;Result=3","7152018")</f>
        <v>0</v>
      </c>
      <c r="B2467" t="s">
        <v>1099</v>
      </c>
      <c r="C2467" t="s">
        <v>6122</v>
      </c>
      <c r="D2467" t="s">
        <v>17985</v>
      </c>
      <c r="E2467" t="s">
        <v>20290</v>
      </c>
      <c r="F2467" t="s">
        <v>30900</v>
      </c>
      <c r="G2467" t="s">
        <v>30907</v>
      </c>
      <c r="H2467" t="s">
        <v>30916</v>
      </c>
      <c r="I2467" t="s">
        <v>5501</v>
      </c>
      <c r="J2467" t="s">
        <v>32839</v>
      </c>
      <c r="K2467" t="s">
        <v>40283</v>
      </c>
      <c r="M2467" t="s">
        <v>41699</v>
      </c>
      <c r="N2467" t="s">
        <v>44759</v>
      </c>
      <c r="O2467" t="s">
        <v>44760</v>
      </c>
      <c r="P2467">
        <v>0</v>
      </c>
      <c r="Q2467">
        <v>3</v>
      </c>
      <c r="R2467" t="s">
        <v>44762</v>
      </c>
      <c r="S2467" t="s">
        <v>44863</v>
      </c>
      <c r="T2467" t="s">
        <v>46465</v>
      </c>
      <c r="U2467" t="s">
        <v>49030</v>
      </c>
      <c r="V2467" t="s">
        <v>59386</v>
      </c>
      <c r="W2467" t="s">
        <v>41699</v>
      </c>
      <c r="X2467" t="s">
        <v>44763</v>
      </c>
    </row>
    <row r="2468" spans="1:24">
      <c r="A2468">
        <f>HYPERLINK("https://www.philgeps.gov.ph/GEPSNONPILOT/Tender/SplashBidNoticeAbstractUI.aspx?menuIndex=3&amp;refID=7152010&amp;Result=3","7152010")</f>
        <v>0</v>
      </c>
      <c r="B2468" t="s">
        <v>905</v>
      </c>
      <c r="C2468" t="s">
        <v>6123</v>
      </c>
      <c r="D2468" t="s">
        <v>18015</v>
      </c>
      <c r="E2468" t="s">
        <v>18271</v>
      </c>
      <c r="F2468" t="s">
        <v>30900</v>
      </c>
      <c r="G2468" t="s">
        <v>30907</v>
      </c>
      <c r="H2468" t="s">
        <v>30915</v>
      </c>
      <c r="I2468" t="s">
        <v>30919</v>
      </c>
      <c r="J2468" t="s">
        <v>32324</v>
      </c>
      <c r="K2468" t="s">
        <v>40280</v>
      </c>
      <c r="L2468" t="s">
        <v>905</v>
      </c>
      <c r="M2468" t="s">
        <v>41480</v>
      </c>
      <c r="N2468" t="s">
        <v>44759</v>
      </c>
      <c r="O2468" t="s">
        <v>44760</v>
      </c>
      <c r="P2468">
        <v>0</v>
      </c>
      <c r="Q2468">
        <v>0</v>
      </c>
      <c r="R2468" t="s">
        <v>44762</v>
      </c>
      <c r="S2468" t="s">
        <v>44863</v>
      </c>
      <c r="T2468" t="s">
        <v>46375</v>
      </c>
      <c r="U2468" t="s">
        <v>49043</v>
      </c>
      <c r="W2468" t="s">
        <v>41480</v>
      </c>
      <c r="X2468" t="s">
        <v>44763</v>
      </c>
    </row>
    <row r="2469" spans="1:24">
      <c r="A2469">
        <f>HYPERLINK("https://www.philgeps.gov.ph/GEPSNONPILOT/Tender/SplashBidNoticeAbstractUI.aspx?menuIndex=3&amp;refID=7152017&amp;Result=3","7152017")</f>
        <v>0</v>
      </c>
      <c r="B2469" t="s">
        <v>1104</v>
      </c>
      <c r="C2469" t="s">
        <v>6124</v>
      </c>
      <c r="D2469" t="s">
        <v>17959</v>
      </c>
      <c r="E2469" t="s">
        <v>18239</v>
      </c>
      <c r="F2469" t="s">
        <v>30900</v>
      </c>
      <c r="G2469" t="s">
        <v>30907</v>
      </c>
      <c r="H2469" t="s">
        <v>30917</v>
      </c>
      <c r="I2469" t="s">
        <v>30981</v>
      </c>
      <c r="J2469" t="s">
        <v>32840</v>
      </c>
      <c r="K2469" t="s">
        <v>40366</v>
      </c>
      <c r="M2469" t="s">
        <v>41704</v>
      </c>
      <c r="N2469" t="s">
        <v>44759</v>
      </c>
      <c r="O2469" t="s">
        <v>44760</v>
      </c>
      <c r="P2469">
        <v>0</v>
      </c>
      <c r="Q2469">
        <v>0</v>
      </c>
      <c r="R2469" t="s">
        <v>44762</v>
      </c>
      <c r="S2469" t="s">
        <v>44863</v>
      </c>
      <c r="T2469" t="s">
        <v>46597</v>
      </c>
      <c r="U2469" t="s">
        <v>49044</v>
      </c>
      <c r="V2469" t="s">
        <v>59391</v>
      </c>
      <c r="W2469" t="s">
        <v>41704</v>
      </c>
      <c r="X2469" t="s">
        <v>44763</v>
      </c>
    </row>
    <row r="2470" spans="1:24">
      <c r="A2470">
        <f>HYPERLINK("https://www.philgeps.gov.ph/GEPSNONPILOT/Tender/SplashBidNoticeAbstractUI.aspx?menuIndex=3&amp;refID=7152016&amp;Result=3","7152016")</f>
        <v>0</v>
      </c>
      <c r="B2470" t="s">
        <v>1108</v>
      </c>
      <c r="C2470" t="s">
        <v>6125</v>
      </c>
      <c r="D2470" t="s">
        <v>17959</v>
      </c>
      <c r="E2470" t="s">
        <v>20291</v>
      </c>
      <c r="F2470" t="s">
        <v>30900</v>
      </c>
      <c r="G2470" t="s">
        <v>30908</v>
      </c>
      <c r="H2470" t="s">
        <v>30916</v>
      </c>
      <c r="I2470" t="s">
        <v>6746</v>
      </c>
      <c r="J2470" t="s">
        <v>32841</v>
      </c>
      <c r="K2470" t="s">
        <v>40286</v>
      </c>
      <c r="M2470" t="s">
        <v>41708</v>
      </c>
      <c r="N2470" t="s">
        <v>44759</v>
      </c>
      <c r="O2470" t="s">
        <v>44760</v>
      </c>
      <c r="P2470">
        <v>0</v>
      </c>
      <c r="Q2470">
        <v>0</v>
      </c>
      <c r="R2470" t="s">
        <v>44762</v>
      </c>
      <c r="S2470" t="s">
        <v>44863</v>
      </c>
      <c r="T2470" t="s">
        <v>46383</v>
      </c>
      <c r="U2470" t="s">
        <v>49045</v>
      </c>
      <c r="W2470" t="s">
        <v>41708</v>
      </c>
      <c r="X2470" t="s">
        <v>44763</v>
      </c>
    </row>
    <row r="2471" spans="1:24">
      <c r="A2471">
        <f>HYPERLINK("https://www.philgeps.gov.ph/GEPSNONPILOT/Tender/SplashBidNoticeAbstractUI.aspx?menuIndex=3&amp;refID=7152015&amp;Result=3","7152015")</f>
        <v>0</v>
      </c>
      <c r="B2471" t="s">
        <v>1083</v>
      </c>
      <c r="C2471" t="s">
        <v>6126</v>
      </c>
      <c r="D2471" t="s">
        <v>17999</v>
      </c>
      <c r="E2471" t="s">
        <v>20292</v>
      </c>
      <c r="F2471" t="s">
        <v>30900</v>
      </c>
      <c r="G2471" t="s">
        <v>30907</v>
      </c>
      <c r="H2471" t="s">
        <v>30916</v>
      </c>
      <c r="I2471" t="s">
        <v>30933</v>
      </c>
      <c r="J2471" t="s">
        <v>32842</v>
      </c>
      <c r="K2471" t="s">
        <v>40289</v>
      </c>
      <c r="M2471" t="s">
        <v>41682</v>
      </c>
      <c r="N2471" t="s">
        <v>44759</v>
      </c>
      <c r="O2471" t="s">
        <v>44760</v>
      </c>
      <c r="P2471">
        <v>0</v>
      </c>
      <c r="Q2471">
        <v>1</v>
      </c>
      <c r="R2471" t="s">
        <v>44762</v>
      </c>
      <c r="S2471" t="s">
        <v>44863</v>
      </c>
      <c r="T2471" t="s">
        <v>46404</v>
      </c>
      <c r="U2471" t="s">
        <v>49046</v>
      </c>
      <c r="V2471" t="s">
        <v>59392</v>
      </c>
      <c r="W2471" t="s">
        <v>41682</v>
      </c>
      <c r="X2471" t="s">
        <v>44763</v>
      </c>
    </row>
    <row r="2472" spans="1:24">
      <c r="A2472">
        <f>HYPERLINK("https://www.philgeps.gov.ph/GEPSNONPILOT/Tender/SplashBidNoticeAbstractUI.aspx?menuIndex=3&amp;refID=7152014&amp;Result=3","7152014")</f>
        <v>0</v>
      </c>
      <c r="B2472" t="s">
        <v>1109</v>
      </c>
      <c r="C2472" t="s">
        <v>6127</v>
      </c>
      <c r="D2472" t="s">
        <v>17959</v>
      </c>
      <c r="E2472" t="s">
        <v>20293</v>
      </c>
      <c r="F2472" t="s">
        <v>30900</v>
      </c>
      <c r="G2472" t="s">
        <v>30907</v>
      </c>
      <c r="H2472" t="s">
        <v>30915</v>
      </c>
      <c r="I2472" t="s">
        <v>30919</v>
      </c>
      <c r="J2472" t="s">
        <v>32843</v>
      </c>
      <c r="K2472" t="s">
        <v>40301</v>
      </c>
      <c r="M2472" t="s">
        <v>41709</v>
      </c>
      <c r="N2472" t="s">
        <v>44759</v>
      </c>
      <c r="O2472" t="s">
        <v>44760</v>
      </c>
      <c r="P2472">
        <v>0</v>
      </c>
      <c r="Q2472">
        <v>2</v>
      </c>
      <c r="R2472" t="s">
        <v>44762</v>
      </c>
      <c r="S2472" t="s">
        <v>44863</v>
      </c>
      <c r="T2472" t="s">
        <v>46350</v>
      </c>
      <c r="U2472" t="s">
        <v>49047</v>
      </c>
      <c r="W2472" t="s">
        <v>41709</v>
      </c>
      <c r="X2472" t="s">
        <v>44763</v>
      </c>
    </row>
    <row r="2473" spans="1:24">
      <c r="A2473">
        <f>HYPERLINK("https://www.philgeps.gov.ph/GEPSNONPILOT/Tender/SplashBidNoticeAbstractUI.aspx?menuIndex=3&amp;refID=7152020&amp;Result=3","7152020")</f>
        <v>0</v>
      </c>
      <c r="B2473" t="s">
        <v>1110</v>
      </c>
      <c r="C2473" t="s">
        <v>6128</v>
      </c>
      <c r="D2473" t="s">
        <v>17957</v>
      </c>
      <c r="E2473" t="s">
        <v>20294</v>
      </c>
      <c r="F2473" t="s">
        <v>30900</v>
      </c>
      <c r="G2473" t="s">
        <v>30907</v>
      </c>
      <c r="H2473" t="s">
        <v>30916</v>
      </c>
      <c r="I2473" t="s">
        <v>5501</v>
      </c>
      <c r="J2473" t="s">
        <v>32844</v>
      </c>
      <c r="K2473" t="s">
        <v>40287</v>
      </c>
      <c r="M2473" t="s">
        <v>41710</v>
      </c>
      <c r="N2473" t="s">
        <v>44759</v>
      </c>
      <c r="O2473" t="s">
        <v>44760</v>
      </c>
      <c r="P2473">
        <v>0</v>
      </c>
      <c r="Q2473">
        <v>0</v>
      </c>
      <c r="R2473" t="s">
        <v>44762</v>
      </c>
      <c r="S2473" t="s">
        <v>44863</v>
      </c>
      <c r="T2473" t="s">
        <v>46512</v>
      </c>
      <c r="U2473" t="s">
        <v>49048</v>
      </c>
      <c r="W2473" t="s">
        <v>60850</v>
      </c>
      <c r="X2473" t="s">
        <v>44763</v>
      </c>
    </row>
    <row r="2474" spans="1:24">
      <c r="A2474">
        <f>HYPERLINK("https://www.philgeps.gov.ph/GEPSNONPILOT/Tender/SplashBidNoticeAbstractUI.aspx?menuIndex=3&amp;refID=7152019&amp;Result=3","7152019")</f>
        <v>0</v>
      </c>
      <c r="B2474" t="s">
        <v>1106</v>
      </c>
      <c r="C2474" t="s">
        <v>6129</v>
      </c>
      <c r="D2474" t="s">
        <v>17963</v>
      </c>
      <c r="E2474" t="s">
        <v>20295</v>
      </c>
      <c r="F2474" t="s">
        <v>30900</v>
      </c>
      <c r="G2474" t="s">
        <v>30907</v>
      </c>
      <c r="H2474" t="s">
        <v>30916</v>
      </c>
      <c r="I2474" t="s">
        <v>30952</v>
      </c>
      <c r="J2474" t="s">
        <v>32845</v>
      </c>
      <c r="K2474" t="s">
        <v>40287</v>
      </c>
      <c r="M2474" t="s">
        <v>41706</v>
      </c>
      <c r="N2474" t="s">
        <v>44759</v>
      </c>
      <c r="O2474" t="s">
        <v>44760</v>
      </c>
      <c r="P2474">
        <v>0</v>
      </c>
      <c r="Q2474">
        <v>5</v>
      </c>
      <c r="R2474" t="s">
        <v>44762</v>
      </c>
      <c r="S2474" t="s">
        <v>44863</v>
      </c>
      <c r="T2474" t="s">
        <v>46377</v>
      </c>
      <c r="U2474" t="s">
        <v>49049</v>
      </c>
      <c r="W2474" t="s">
        <v>41706</v>
      </c>
      <c r="X2474" t="s">
        <v>44763</v>
      </c>
    </row>
    <row r="2475" spans="1:24">
      <c r="A2475">
        <f>HYPERLINK("https://www.philgeps.gov.ph/GEPSNONPILOT/Tender/SplashBidNoticeAbstractUI.aspx?menuIndex=3&amp;refID=7152004&amp;Result=3","7152004")</f>
        <v>0</v>
      </c>
      <c r="B2475" t="s">
        <v>1100</v>
      </c>
      <c r="C2475" t="s">
        <v>6130</v>
      </c>
      <c r="D2475" t="s">
        <v>18032</v>
      </c>
      <c r="E2475" t="s">
        <v>20296</v>
      </c>
      <c r="F2475" t="s">
        <v>30900</v>
      </c>
      <c r="G2475" t="s">
        <v>30907</v>
      </c>
      <c r="H2475" t="s">
        <v>30916</v>
      </c>
      <c r="I2475" t="s">
        <v>10847</v>
      </c>
      <c r="J2475" t="s">
        <v>32846</v>
      </c>
      <c r="K2475" t="s">
        <v>40289</v>
      </c>
      <c r="M2475" t="s">
        <v>41700</v>
      </c>
      <c r="N2475" t="s">
        <v>44759</v>
      </c>
      <c r="O2475" t="s">
        <v>44760</v>
      </c>
      <c r="P2475">
        <v>0</v>
      </c>
      <c r="Q2475">
        <v>2</v>
      </c>
      <c r="R2475" t="s">
        <v>44762</v>
      </c>
      <c r="S2475" t="s">
        <v>44863</v>
      </c>
      <c r="T2475" t="s">
        <v>46540</v>
      </c>
      <c r="U2475" t="s">
        <v>49050</v>
      </c>
      <c r="W2475" t="s">
        <v>41700</v>
      </c>
      <c r="X2475" t="s">
        <v>44763</v>
      </c>
    </row>
    <row r="2476" spans="1:24">
      <c r="A2476">
        <f>HYPERLINK("https://www.philgeps.gov.ph/GEPSNONPILOT/Tender/SplashBidNoticeAbstractUI.aspx?menuIndex=3&amp;refID=7152003&amp;Result=3","7152003")</f>
        <v>0</v>
      </c>
      <c r="B2476" t="s">
        <v>1111</v>
      </c>
      <c r="C2476" t="s">
        <v>6131</v>
      </c>
      <c r="D2476" t="s">
        <v>17954</v>
      </c>
      <c r="E2476" t="s">
        <v>20297</v>
      </c>
      <c r="F2476" t="s">
        <v>30900</v>
      </c>
      <c r="G2476" t="s">
        <v>30907</v>
      </c>
      <c r="H2476" t="s">
        <v>30915</v>
      </c>
      <c r="I2476" t="s">
        <v>30919</v>
      </c>
      <c r="J2476" t="s">
        <v>32847</v>
      </c>
      <c r="K2476" t="s">
        <v>40280</v>
      </c>
      <c r="M2476" t="s">
        <v>41711</v>
      </c>
      <c r="N2476" t="s">
        <v>44759</v>
      </c>
      <c r="O2476" t="s">
        <v>44760</v>
      </c>
      <c r="P2476">
        <v>0</v>
      </c>
      <c r="Q2476">
        <v>1</v>
      </c>
      <c r="R2476" t="s">
        <v>44762</v>
      </c>
      <c r="S2476" t="s">
        <v>44863</v>
      </c>
      <c r="T2476" t="s">
        <v>46400</v>
      </c>
      <c r="U2476" t="s">
        <v>49051</v>
      </c>
      <c r="W2476" t="s">
        <v>41711</v>
      </c>
      <c r="X2476" t="s">
        <v>44763</v>
      </c>
    </row>
    <row r="2477" spans="1:24">
      <c r="A2477">
        <f>HYPERLINK("https://www.philgeps.gov.ph/GEPSNONPILOT/Tender/SplashBidNoticeAbstractUI.aspx?menuIndex=3&amp;refID=7151967&amp;Result=3","7151967")</f>
        <v>0</v>
      </c>
      <c r="B2477" t="s">
        <v>1093</v>
      </c>
      <c r="C2477" t="s">
        <v>6132</v>
      </c>
      <c r="D2477" t="s">
        <v>18033</v>
      </c>
      <c r="E2477" t="s">
        <v>20298</v>
      </c>
      <c r="F2477" t="s">
        <v>30900</v>
      </c>
      <c r="G2477" t="s">
        <v>30908</v>
      </c>
      <c r="H2477" t="s">
        <v>30916</v>
      </c>
      <c r="I2477" t="s">
        <v>10847</v>
      </c>
      <c r="J2477" t="s">
        <v>32848</v>
      </c>
      <c r="K2477" t="s">
        <v>40346</v>
      </c>
      <c r="M2477" t="s">
        <v>41693</v>
      </c>
      <c r="N2477" t="s">
        <v>44759</v>
      </c>
      <c r="O2477" t="s">
        <v>44760</v>
      </c>
      <c r="P2477">
        <v>0</v>
      </c>
      <c r="Q2477">
        <v>0</v>
      </c>
      <c r="R2477" t="s">
        <v>44762</v>
      </c>
      <c r="S2477" t="s">
        <v>44863</v>
      </c>
      <c r="T2477" t="s">
        <v>46457</v>
      </c>
      <c r="U2477" t="s">
        <v>49052</v>
      </c>
      <c r="W2477" t="s">
        <v>41693</v>
      </c>
      <c r="X2477" t="s">
        <v>44763</v>
      </c>
    </row>
    <row r="2478" spans="1:24">
      <c r="A2478">
        <f>HYPERLINK("https://www.philgeps.gov.ph/GEPSNONPILOT/Tender/SplashBidNoticeAbstractUI.aspx?menuIndex=3&amp;refID=7152005&amp;Result=3","7152005")</f>
        <v>0</v>
      </c>
      <c r="B2478" t="s">
        <v>1053</v>
      </c>
      <c r="C2478" t="s">
        <v>6133</v>
      </c>
      <c r="D2478" t="s">
        <v>17982</v>
      </c>
      <c r="E2478" t="s">
        <v>20299</v>
      </c>
      <c r="F2478" t="s">
        <v>30900</v>
      </c>
      <c r="G2478" t="s">
        <v>30907</v>
      </c>
      <c r="H2478" t="s">
        <v>30916</v>
      </c>
      <c r="I2478" t="s">
        <v>30921</v>
      </c>
      <c r="J2478" t="s">
        <v>32324</v>
      </c>
      <c r="K2478" t="s">
        <v>40293</v>
      </c>
      <c r="M2478" t="s">
        <v>41649</v>
      </c>
      <c r="N2478" t="s">
        <v>44759</v>
      </c>
      <c r="O2478" t="s">
        <v>44760</v>
      </c>
      <c r="P2478">
        <v>0</v>
      </c>
      <c r="Q2478">
        <v>3</v>
      </c>
      <c r="R2478" t="s">
        <v>44762</v>
      </c>
      <c r="S2478" t="s">
        <v>44863</v>
      </c>
      <c r="T2478" t="s">
        <v>46402</v>
      </c>
      <c r="U2478" t="s">
        <v>49053</v>
      </c>
      <c r="V2478" t="s">
        <v>59384</v>
      </c>
      <c r="W2478" t="s">
        <v>41649</v>
      </c>
      <c r="X2478" t="s">
        <v>44763</v>
      </c>
    </row>
    <row r="2479" spans="1:24">
      <c r="A2479">
        <f>HYPERLINK("https://www.philgeps.gov.ph/GEPSNONPILOT/Tender/SplashBidNoticeAbstractUI.aspx?menuIndex=3&amp;refID=7152013&amp;Result=3","7152013")</f>
        <v>0</v>
      </c>
      <c r="B2479" t="s">
        <v>1099</v>
      </c>
      <c r="C2479" t="s">
        <v>6134</v>
      </c>
      <c r="D2479" t="s">
        <v>17985</v>
      </c>
      <c r="E2479" t="s">
        <v>20300</v>
      </c>
      <c r="F2479" t="s">
        <v>30900</v>
      </c>
      <c r="G2479" t="s">
        <v>30907</v>
      </c>
      <c r="H2479" t="s">
        <v>30916</v>
      </c>
      <c r="I2479" t="s">
        <v>5501</v>
      </c>
      <c r="J2479" t="s">
        <v>31574</v>
      </c>
      <c r="K2479" t="s">
        <v>40283</v>
      </c>
      <c r="M2479" t="s">
        <v>41699</v>
      </c>
      <c r="N2479" t="s">
        <v>44759</v>
      </c>
      <c r="O2479" t="s">
        <v>44760</v>
      </c>
      <c r="P2479">
        <v>0</v>
      </c>
      <c r="Q2479">
        <v>3</v>
      </c>
      <c r="R2479" t="s">
        <v>44762</v>
      </c>
      <c r="S2479" t="s">
        <v>44863</v>
      </c>
      <c r="T2479" t="s">
        <v>46465</v>
      </c>
      <c r="U2479" t="s">
        <v>49030</v>
      </c>
      <c r="V2479" t="s">
        <v>59386</v>
      </c>
      <c r="W2479" t="s">
        <v>41699</v>
      </c>
      <c r="X2479" t="s">
        <v>44763</v>
      </c>
    </row>
    <row r="2480" spans="1:24">
      <c r="A2480">
        <f>HYPERLINK("https://www.philgeps.gov.ph/GEPSNONPILOT/Tender/SplashBidNoticeAbstractUI.aspx?menuIndex=3&amp;refID=7152012&amp;Result=3","7152012")</f>
        <v>0</v>
      </c>
      <c r="B2480" t="s">
        <v>1101</v>
      </c>
      <c r="C2480" t="s">
        <v>6135</v>
      </c>
      <c r="D2480" t="s">
        <v>17987</v>
      </c>
      <c r="E2480" t="s">
        <v>20301</v>
      </c>
      <c r="F2480" t="s">
        <v>30900</v>
      </c>
      <c r="G2480" t="s">
        <v>30908</v>
      </c>
      <c r="H2480" t="s">
        <v>30916</v>
      </c>
      <c r="I2480" t="s">
        <v>6396</v>
      </c>
      <c r="J2480" t="s">
        <v>32849</v>
      </c>
      <c r="K2480" t="s">
        <v>40286</v>
      </c>
      <c r="L2480" t="s">
        <v>1101</v>
      </c>
      <c r="M2480" t="s">
        <v>41701</v>
      </c>
      <c r="N2480" t="s">
        <v>44759</v>
      </c>
      <c r="O2480" t="s">
        <v>44760</v>
      </c>
      <c r="P2480">
        <v>0</v>
      </c>
      <c r="Q2480">
        <v>3</v>
      </c>
      <c r="R2480" t="s">
        <v>44762</v>
      </c>
      <c r="S2480" t="s">
        <v>44863</v>
      </c>
      <c r="T2480" t="s">
        <v>46390</v>
      </c>
      <c r="U2480" t="s">
        <v>49054</v>
      </c>
      <c r="V2480" t="s">
        <v>59388</v>
      </c>
      <c r="W2480" t="s">
        <v>41701</v>
      </c>
      <c r="X2480" t="s">
        <v>44763</v>
      </c>
    </row>
    <row r="2481" spans="1:24">
      <c r="A2481">
        <f>HYPERLINK("https://www.philgeps.gov.ph/GEPSNONPILOT/Tender/SplashBidNoticeAbstractUI.aspx?menuIndex=3&amp;refID=7152008&amp;Result=3","7152008")</f>
        <v>0</v>
      </c>
      <c r="B2481" t="s">
        <v>1099</v>
      </c>
      <c r="C2481" t="s">
        <v>6136</v>
      </c>
      <c r="D2481" t="s">
        <v>17985</v>
      </c>
      <c r="E2481" t="s">
        <v>20302</v>
      </c>
      <c r="F2481" t="s">
        <v>30900</v>
      </c>
      <c r="G2481" t="s">
        <v>30907</v>
      </c>
      <c r="H2481" t="s">
        <v>30916</v>
      </c>
      <c r="I2481" t="s">
        <v>30923</v>
      </c>
      <c r="J2481" t="s">
        <v>32850</v>
      </c>
      <c r="K2481" t="s">
        <v>40283</v>
      </c>
      <c r="M2481" t="s">
        <v>41699</v>
      </c>
      <c r="N2481" t="s">
        <v>44759</v>
      </c>
      <c r="O2481" t="s">
        <v>44760</v>
      </c>
      <c r="P2481">
        <v>0</v>
      </c>
      <c r="Q2481">
        <v>7</v>
      </c>
      <c r="R2481" t="s">
        <v>44762</v>
      </c>
      <c r="S2481" t="s">
        <v>44863</v>
      </c>
      <c r="T2481" t="s">
        <v>46465</v>
      </c>
      <c r="U2481" t="s">
        <v>49030</v>
      </c>
      <c r="V2481" t="s">
        <v>59386</v>
      </c>
      <c r="W2481" t="s">
        <v>41699</v>
      </c>
      <c r="X2481" t="s">
        <v>44763</v>
      </c>
    </row>
    <row r="2482" spans="1:24">
      <c r="A2482">
        <f>HYPERLINK("https://www.philgeps.gov.ph/GEPSNONPILOT/Tender/SplashBidNoticeAbstractUI.aspx?menuIndex=3&amp;refID=7152032&amp;Result=3","7152032")</f>
        <v>0</v>
      </c>
      <c r="B2482" t="s">
        <v>1075</v>
      </c>
      <c r="C2482" t="s">
        <v>6137</v>
      </c>
      <c r="D2482" t="s">
        <v>17963</v>
      </c>
      <c r="E2482" t="s">
        <v>20303</v>
      </c>
      <c r="F2482" t="s">
        <v>30900</v>
      </c>
      <c r="G2482" t="s">
        <v>30913</v>
      </c>
      <c r="H2482" t="s">
        <v>30916</v>
      </c>
      <c r="I2482" t="s">
        <v>9385</v>
      </c>
      <c r="J2482" t="s">
        <v>32851</v>
      </c>
      <c r="K2482" t="s">
        <v>40304</v>
      </c>
      <c r="M2482" t="s">
        <v>41674</v>
      </c>
      <c r="N2482" t="s">
        <v>44759</v>
      </c>
      <c r="O2482" t="s">
        <v>44760</v>
      </c>
      <c r="P2482">
        <v>0</v>
      </c>
      <c r="Q2482">
        <v>20</v>
      </c>
      <c r="R2482" t="s">
        <v>44762</v>
      </c>
      <c r="S2482" t="s">
        <v>44863</v>
      </c>
      <c r="T2482" t="s">
        <v>46394</v>
      </c>
      <c r="U2482" t="s">
        <v>49055</v>
      </c>
      <c r="W2482" t="s">
        <v>41674</v>
      </c>
      <c r="X2482" t="s">
        <v>44763</v>
      </c>
    </row>
    <row r="2483" spans="1:24">
      <c r="A2483">
        <f>HYPERLINK("https://www.philgeps.gov.ph/GEPSNONPILOT/Tender/SplashBidNoticeAbstractUI.aspx?menuIndex=3&amp;refID=7152022&amp;Result=3","7152022")</f>
        <v>0</v>
      </c>
      <c r="B2483" t="s">
        <v>347</v>
      </c>
      <c r="C2483" t="s">
        <v>6138</v>
      </c>
      <c r="D2483" t="s">
        <v>18025</v>
      </c>
      <c r="E2483" t="s">
        <v>20304</v>
      </c>
      <c r="F2483" t="s">
        <v>30900</v>
      </c>
      <c r="G2483" t="s">
        <v>30909</v>
      </c>
      <c r="H2483" t="s">
        <v>30916</v>
      </c>
      <c r="I2483" t="s">
        <v>6396</v>
      </c>
      <c r="J2483" t="s">
        <v>32852</v>
      </c>
      <c r="K2483" t="s">
        <v>40283</v>
      </c>
      <c r="M2483" t="s">
        <v>40900</v>
      </c>
      <c r="N2483" t="s">
        <v>44759</v>
      </c>
      <c r="O2483" t="s">
        <v>44760</v>
      </c>
      <c r="P2483">
        <v>0</v>
      </c>
      <c r="Q2483">
        <v>2</v>
      </c>
      <c r="R2483" t="s">
        <v>44762</v>
      </c>
      <c r="S2483" t="s">
        <v>44863</v>
      </c>
      <c r="T2483" t="s">
        <v>46421</v>
      </c>
      <c r="U2483" t="s">
        <v>49056</v>
      </c>
      <c r="V2483" t="s">
        <v>59394</v>
      </c>
      <c r="W2483" t="s">
        <v>40900</v>
      </c>
      <c r="X2483" t="s">
        <v>44763</v>
      </c>
    </row>
    <row r="2484" spans="1:24">
      <c r="A2484">
        <f>HYPERLINK("https://www.philgeps.gov.ph/GEPSNONPILOT/Tender/SplashBidNoticeAbstractUI.aspx?menuIndex=3&amp;refID=7152030&amp;Result=3","7152030")</f>
        <v>0</v>
      </c>
      <c r="B2484" t="s">
        <v>1110</v>
      </c>
      <c r="C2484" t="s">
        <v>6139</v>
      </c>
      <c r="D2484" t="s">
        <v>17957</v>
      </c>
      <c r="E2484" t="s">
        <v>20305</v>
      </c>
      <c r="F2484" t="s">
        <v>30900</v>
      </c>
      <c r="G2484" t="s">
        <v>30907</v>
      </c>
      <c r="H2484" t="s">
        <v>30916</v>
      </c>
      <c r="I2484" t="s">
        <v>5501</v>
      </c>
      <c r="J2484" t="s">
        <v>32853</v>
      </c>
      <c r="K2484" t="s">
        <v>40287</v>
      </c>
      <c r="M2484" t="s">
        <v>41710</v>
      </c>
      <c r="N2484" t="s">
        <v>44759</v>
      </c>
      <c r="O2484" t="s">
        <v>44760</v>
      </c>
      <c r="P2484">
        <v>0</v>
      </c>
      <c r="Q2484">
        <v>0</v>
      </c>
      <c r="R2484" t="s">
        <v>44762</v>
      </c>
      <c r="S2484" t="s">
        <v>44863</v>
      </c>
      <c r="T2484" t="s">
        <v>46512</v>
      </c>
      <c r="U2484" t="s">
        <v>49057</v>
      </c>
      <c r="W2484" t="s">
        <v>60850</v>
      </c>
      <c r="X2484" t="s">
        <v>44763</v>
      </c>
    </row>
    <row r="2485" spans="1:24">
      <c r="A2485">
        <f>HYPERLINK("https://www.philgeps.gov.ph/GEPSNONPILOT/Tender/SplashBidNoticeAbstractUI.aspx?menuIndex=3&amp;refID=7152029&amp;Result=3","7152029")</f>
        <v>0</v>
      </c>
      <c r="B2485" t="s">
        <v>1112</v>
      </c>
      <c r="C2485" t="s">
        <v>6140</v>
      </c>
      <c r="D2485" t="s">
        <v>17962</v>
      </c>
      <c r="E2485" t="s">
        <v>18234</v>
      </c>
      <c r="F2485" t="s">
        <v>30900</v>
      </c>
      <c r="G2485" t="s">
        <v>30907</v>
      </c>
      <c r="H2485" t="s">
        <v>30916</v>
      </c>
      <c r="I2485" t="s">
        <v>30932</v>
      </c>
      <c r="J2485" t="s">
        <v>32854</v>
      </c>
      <c r="K2485" t="s">
        <v>40283</v>
      </c>
      <c r="M2485" t="s">
        <v>41712</v>
      </c>
      <c r="N2485" t="s">
        <v>44759</v>
      </c>
      <c r="O2485" t="s">
        <v>44760</v>
      </c>
      <c r="P2485">
        <v>0</v>
      </c>
      <c r="Q2485">
        <v>1</v>
      </c>
      <c r="R2485" t="s">
        <v>44762</v>
      </c>
      <c r="S2485" t="s">
        <v>44863</v>
      </c>
      <c r="T2485" t="s">
        <v>46409</v>
      </c>
      <c r="U2485" t="s">
        <v>49058</v>
      </c>
      <c r="W2485" t="s">
        <v>41712</v>
      </c>
      <c r="X2485" t="s">
        <v>44763</v>
      </c>
    </row>
    <row r="2486" spans="1:24">
      <c r="A2486">
        <f>HYPERLINK("https://www.philgeps.gov.ph/GEPSNONPILOT/Tender/SplashBidNoticeAbstractUI.aspx?menuIndex=3&amp;refID=7152027&amp;Result=3","7152027")</f>
        <v>0</v>
      </c>
      <c r="B2486" t="s">
        <v>1108</v>
      </c>
      <c r="C2486" t="s">
        <v>6141</v>
      </c>
      <c r="D2486" t="s">
        <v>17959</v>
      </c>
      <c r="E2486" t="s">
        <v>20306</v>
      </c>
      <c r="F2486" t="s">
        <v>30900</v>
      </c>
      <c r="G2486" t="s">
        <v>30908</v>
      </c>
      <c r="H2486" t="s">
        <v>30916</v>
      </c>
      <c r="I2486" t="s">
        <v>30942</v>
      </c>
      <c r="J2486" t="s">
        <v>32855</v>
      </c>
      <c r="K2486" t="s">
        <v>40283</v>
      </c>
      <c r="M2486" t="s">
        <v>41708</v>
      </c>
      <c r="N2486" t="s">
        <v>44759</v>
      </c>
      <c r="O2486" t="s">
        <v>44760</v>
      </c>
      <c r="P2486">
        <v>0</v>
      </c>
      <c r="Q2486">
        <v>2</v>
      </c>
      <c r="R2486" t="s">
        <v>44762</v>
      </c>
      <c r="S2486" t="s">
        <v>44863</v>
      </c>
      <c r="T2486" t="s">
        <v>46383</v>
      </c>
      <c r="U2486" t="s">
        <v>49059</v>
      </c>
      <c r="W2486" t="s">
        <v>41708</v>
      </c>
      <c r="X2486" t="s">
        <v>44763</v>
      </c>
    </row>
    <row r="2487" spans="1:24">
      <c r="A2487">
        <f>HYPERLINK("https://www.philgeps.gov.ph/GEPSNONPILOT/Tender/SplashBidNoticeAbstractUI.aspx?menuIndex=3&amp;refID=7152031&amp;Result=3","7152031")</f>
        <v>0</v>
      </c>
      <c r="B2487" t="s">
        <v>572</v>
      </c>
      <c r="C2487" t="s">
        <v>6142</v>
      </c>
      <c r="D2487" t="s">
        <v>17953</v>
      </c>
      <c r="E2487" t="s">
        <v>20307</v>
      </c>
      <c r="F2487" t="s">
        <v>30900</v>
      </c>
      <c r="G2487" t="s">
        <v>30906</v>
      </c>
      <c r="H2487" t="s">
        <v>30916</v>
      </c>
      <c r="I2487" t="s">
        <v>8365</v>
      </c>
      <c r="J2487" t="s">
        <v>32856</v>
      </c>
      <c r="K2487" t="s">
        <v>40284</v>
      </c>
      <c r="M2487" t="s">
        <v>41133</v>
      </c>
      <c r="N2487" t="s">
        <v>44759</v>
      </c>
      <c r="O2487" t="s">
        <v>44760</v>
      </c>
      <c r="P2487">
        <v>0</v>
      </c>
      <c r="Q2487">
        <v>1</v>
      </c>
      <c r="R2487" t="s">
        <v>44762</v>
      </c>
      <c r="S2487" t="s">
        <v>44863</v>
      </c>
      <c r="T2487" t="s">
        <v>46399</v>
      </c>
      <c r="U2487" t="s">
        <v>49060</v>
      </c>
      <c r="W2487" t="s">
        <v>41133</v>
      </c>
      <c r="X2487" t="s">
        <v>44763</v>
      </c>
    </row>
    <row r="2488" spans="1:24">
      <c r="A2488">
        <f>HYPERLINK("https://www.philgeps.gov.ph/GEPSNONPILOT/Tender/SplashBidNoticeAbstractUI.aspx?menuIndex=3&amp;refID=7152025&amp;Result=3","7152025")</f>
        <v>0</v>
      </c>
      <c r="B2488" t="s">
        <v>1099</v>
      </c>
      <c r="C2488" t="s">
        <v>6143</v>
      </c>
      <c r="D2488" t="s">
        <v>17985</v>
      </c>
      <c r="E2488" t="s">
        <v>20308</v>
      </c>
      <c r="F2488" t="s">
        <v>30900</v>
      </c>
      <c r="G2488" t="s">
        <v>30907</v>
      </c>
      <c r="H2488" t="s">
        <v>30916</v>
      </c>
      <c r="I2488" t="s">
        <v>5501</v>
      </c>
      <c r="J2488" t="s">
        <v>32857</v>
      </c>
      <c r="K2488" t="s">
        <v>40283</v>
      </c>
      <c r="M2488" t="s">
        <v>41699</v>
      </c>
      <c r="N2488" t="s">
        <v>44759</v>
      </c>
      <c r="O2488" t="s">
        <v>44760</v>
      </c>
      <c r="P2488">
        <v>0</v>
      </c>
      <c r="Q2488">
        <v>2</v>
      </c>
      <c r="R2488" t="s">
        <v>44762</v>
      </c>
      <c r="S2488" t="s">
        <v>44863</v>
      </c>
      <c r="T2488" t="s">
        <v>46465</v>
      </c>
      <c r="U2488" t="s">
        <v>49030</v>
      </c>
      <c r="V2488" t="s">
        <v>59386</v>
      </c>
      <c r="W2488" t="s">
        <v>41699</v>
      </c>
      <c r="X2488" t="s">
        <v>44763</v>
      </c>
    </row>
    <row r="2489" spans="1:24">
      <c r="A2489">
        <f>HYPERLINK("https://www.philgeps.gov.ph/GEPSNONPILOT/Tender/SplashBidNoticeAbstractUI.aspx?menuIndex=3&amp;refID=7152024&amp;Result=3","7152024")</f>
        <v>0</v>
      </c>
      <c r="B2489" t="s">
        <v>1113</v>
      </c>
      <c r="C2489" t="s">
        <v>6144</v>
      </c>
      <c r="D2489" t="s">
        <v>18017</v>
      </c>
      <c r="E2489" t="s">
        <v>20309</v>
      </c>
      <c r="F2489" t="s">
        <v>30900</v>
      </c>
      <c r="G2489" t="s">
        <v>30908</v>
      </c>
      <c r="H2489" t="s">
        <v>30916</v>
      </c>
      <c r="I2489" t="s">
        <v>6746</v>
      </c>
      <c r="J2489" t="s">
        <v>32858</v>
      </c>
      <c r="K2489" t="s">
        <v>40289</v>
      </c>
      <c r="M2489" t="s">
        <v>41713</v>
      </c>
      <c r="N2489" t="s">
        <v>44759</v>
      </c>
      <c r="O2489" t="s">
        <v>44760</v>
      </c>
      <c r="P2489">
        <v>0</v>
      </c>
      <c r="Q2489">
        <v>0</v>
      </c>
      <c r="R2489" t="s">
        <v>44762</v>
      </c>
      <c r="S2489" t="s">
        <v>44863</v>
      </c>
      <c r="T2489" t="s">
        <v>46404</v>
      </c>
      <c r="U2489" t="s">
        <v>49061</v>
      </c>
      <c r="V2489" t="s">
        <v>59395</v>
      </c>
      <c r="W2489" t="s">
        <v>41713</v>
      </c>
      <c r="X2489" t="s">
        <v>44763</v>
      </c>
    </row>
    <row r="2490" spans="1:24">
      <c r="A2490">
        <f>HYPERLINK("https://www.philgeps.gov.ph/GEPSNONPILOT/Tender/SplashBidNoticeAbstractUI.aspx?menuIndex=3&amp;refID=7152039&amp;Result=3","7152039")</f>
        <v>0</v>
      </c>
      <c r="B2490" t="s">
        <v>1099</v>
      </c>
      <c r="C2490" t="s">
        <v>6145</v>
      </c>
      <c r="D2490" t="s">
        <v>17985</v>
      </c>
      <c r="E2490" t="s">
        <v>20310</v>
      </c>
      <c r="F2490" t="s">
        <v>30900</v>
      </c>
      <c r="G2490" t="s">
        <v>30907</v>
      </c>
      <c r="H2490" t="s">
        <v>30915</v>
      </c>
      <c r="I2490" t="s">
        <v>30919</v>
      </c>
      <c r="J2490" t="s">
        <v>32859</v>
      </c>
      <c r="K2490" t="s">
        <v>40293</v>
      </c>
      <c r="M2490" t="s">
        <v>41699</v>
      </c>
      <c r="N2490" t="s">
        <v>44759</v>
      </c>
      <c r="O2490" t="s">
        <v>44760</v>
      </c>
      <c r="P2490">
        <v>0</v>
      </c>
      <c r="Q2490">
        <v>2</v>
      </c>
      <c r="R2490" t="s">
        <v>44762</v>
      </c>
      <c r="S2490" t="s">
        <v>44863</v>
      </c>
      <c r="T2490" t="s">
        <v>46486</v>
      </c>
      <c r="U2490" t="s">
        <v>49062</v>
      </c>
      <c r="V2490" t="s">
        <v>59396</v>
      </c>
      <c r="W2490" t="s">
        <v>41699</v>
      </c>
      <c r="X2490" t="s">
        <v>44763</v>
      </c>
    </row>
    <row r="2491" spans="1:24">
      <c r="A2491">
        <f>HYPERLINK("https://www.philgeps.gov.ph/GEPSNONPILOT/Tender/SplashBidNoticeAbstractUI.aspx?menuIndex=3&amp;refID=7152023&amp;Result=3","7152023")</f>
        <v>0</v>
      </c>
      <c r="B2491" t="s">
        <v>388</v>
      </c>
      <c r="C2491" t="s">
        <v>6146</v>
      </c>
      <c r="E2491" t="s">
        <v>20311</v>
      </c>
      <c r="F2491" t="s">
        <v>30900</v>
      </c>
      <c r="G2491" t="s">
        <v>30907</v>
      </c>
      <c r="H2491" t="s">
        <v>30916</v>
      </c>
      <c r="I2491" t="s">
        <v>30942</v>
      </c>
      <c r="J2491" t="s">
        <v>32860</v>
      </c>
      <c r="K2491" t="s">
        <v>40289</v>
      </c>
      <c r="M2491" t="s">
        <v>41714</v>
      </c>
      <c r="N2491" t="s">
        <v>44759</v>
      </c>
      <c r="O2491" t="s">
        <v>44760</v>
      </c>
      <c r="Q2491">
        <v>0</v>
      </c>
      <c r="R2491" t="s">
        <v>44762</v>
      </c>
      <c r="S2491" t="s">
        <v>44873</v>
      </c>
      <c r="T2491" t="s">
        <v>46371</v>
      </c>
      <c r="U2491" t="s">
        <v>49063</v>
      </c>
      <c r="W2491" t="s">
        <v>41714</v>
      </c>
      <c r="X2491" t="s">
        <v>44763</v>
      </c>
    </row>
    <row r="2492" spans="1:24">
      <c r="A2492">
        <f>HYPERLINK("https://www.philgeps.gov.ph/GEPSNONPILOT/Tender/SplashBidNoticeAbstractUI.aspx?menuIndex=3&amp;refID=7152028&amp;Result=3","7152028")</f>
        <v>0</v>
      </c>
      <c r="B2492" t="s">
        <v>1114</v>
      </c>
      <c r="C2492" t="s">
        <v>6147</v>
      </c>
      <c r="E2492" t="s">
        <v>20312</v>
      </c>
      <c r="F2492" t="s">
        <v>30900</v>
      </c>
      <c r="G2492" t="s">
        <v>30907</v>
      </c>
      <c r="H2492" t="s">
        <v>30916</v>
      </c>
      <c r="I2492" t="s">
        <v>5830</v>
      </c>
      <c r="J2492" t="s">
        <v>32861</v>
      </c>
      <c r="K2492" t="s">
        <v>40289</v>
      </c>
      <c r="M2492" t="s">
        <v>41715</v>
      </c>
      <c r="N2492" t="s">
        <v>44759</v>
      </c>
      <c r="O2492" t="s">
        <v>44760</v>
      </c>
      <c r="P2492">
        <v>0</v>
      </c>
      <c r="Q2492">
        <v>8</v>
      </c>
      <c r="R2492" t="s">
        <v>44762</v>
      </c>
      <c r="S2492" t="s">
        <v>44863</v>
      </c>
      <c r="T2492" t="s">
        <v>46465</v>
      </c>
      <c r="U2492" t="s">
        <v>49064</v>
      </c>
      <c r="W2492" t="s">
        <v>41715</v>
      </c>
      <c r="X2492" t="s">
        <v>44763</v>
      </c>
    </row>
    <row r="2493" spans="1:24">
      <c r="A2493">
        <f>HYPERLINK("https://www.philgeps.gov.ph/GEPSNONPILOT/Tender/SplashBidNoticeAbstractUI.aspx?menuIndex=3&amp;refID=7152041&amp;Result=3","7152041")</f>
        <v>0</v>
      </c>
      <c r="B2493" t="s">
        <v>1115</v>
      </c>
      <c r="C2493" t="s">
        <v>6148</v>
      </c>
      <c r="D2493" t="s">
        <v>17989</v>
      </c>
      <c r="E2493" t="s">
        <v>20313</v>
      </c>
      <c r="F2493" t="s">
        <v>30900</v>
      </c>
      <c r="G2493" t="s">
        <v>30907</v>
      </c>
      <c r="H2493" t="s">
        <v>30916</v>
      </c>
      <c r="I2493" t="s">
        <v>30923</v>
      </c>
      <c r="J2493" t="s">
        <v>32862</v>
      </c>
      <c r="K2493" t="s">
        <v>40284</v>
      </c>
      <c r="M2493" t="s">
        <v>41716</v>
      </c>
      <c r="N2493" t="s">
        <v>44759</v>
      </c>
      <c r="O2493" t="s">
        <v>44760</v>
      </c>
      <c r="P2493">
        <v>0</v>
      </c>
      <c r="Q2493">
        <v>0</v>
      </c>
      <c r="R2493" t="s">
        <v>44762</v>
      </c>
      <c r="S2493" t="s">
        <v>44863</v>
      </c>
      <c r="T2493" t="s">
        <v>46352</v>
      </c>
      <c r="U2493" t="s">
        <v>49065</v>
      </c>
      <c r="V2493" t="s">
        <v>59397</v>
      </c>
      <c r="W2493" t="s">
        <v>41716</v>
      </c>
      <c r="X2493" t="s">
        <v>44763</v>
      </c>
    </row>
    <row r="2494" spans="1:24">
      <c r="A2494">
        <f>HYPERLINK("https://www.philgeps.gov.ph/GEPSNONPILOT/Tender/SplashBidNoticeAbstractUI.aspx?menuIndex=3&amp;refID=7152043&amp;Result=3","7152043")</f>
        <v>0</v>
      </c>
      <c r="B2494" t="s">
        <v>1116</v>
      </c>
      <c r="C2494" t="s">
        <v>6149</v>
      </c>
      <c r="D2494" t="s">
        <v>17958</v>
      </c>
      <c r="E2494" t="s">
        <v>20314</v>
      </c>
      <c r="F2494" t="s">
        <v>30900</v>
      </c>
      <c r="G2494" t="s">
        <v>30907</v>
      </c>
      <c r="H2494" t="s">
        <v>30915</v>
      </c>
      <c r="I2494" t="s">
        <v>30919</v>
      </c>
      <c r="J2494" t="s">
        <v>31243</v>
      </c>
      <c r="K2494" t="s">
        <v>40280</v>
      </c>
      <c r="M2494" t="s">
        <v>41717</v>
      </c>
      <c r="N2494" t="s">
        <v>44759</v>
      </c>
      <c r="O2494" t="s">
        <v>44760</v>
      </c>
      <c r="P2494">
        <v>0</v>
      </c>
      <c r="Q2494">
        <v>1</v>
      </c>
      <c r="R2494" t="s">
        <v>44762</v>
      </c>
      <c r="S2494" t="s">
        <v>44863</v>
      </c>
      <c r="T2494" t="s">
        <v>46371</v>
      </c>
      <c r="U2494" t="s">
        <v>49066</v>
      </c>
      <c r="W2494" t="s">
        <v>41717</v>
      </c>
      <c r="X2494" t="s">
        <v>44763</v>
      </c>
    </row>
    <row r="2495" spans="1:24">
      <c r="A2495">
        <f>HYPERLINK("https://www.philgeps.gov.ph/GEPSNONPILOT/Tender/SplashBidNoticeAbstractUI.aspx?menuIndex=3&amp;refID=7152042&amp;Result=3","7152042")</f>
        <v>0</v>
      </c>
      <c r="B2495" t="s">
        <v>1109</v>
      </c>
      <c r="C2495" t="s">
        <v>6150</v>
      </c>
      <c r="D2495" t="s">
        <v>17959</v>
      </c>
      <c r="E2495" t="s">
        <v>20315</v>
      </c>
      <c r="F2495" t="s">
        <v>30900</v>
      </c>
      <c r="G2495" t="s">
        <v>30907</v>
      </c>
      <c r="H2495" t="s">
        <v>30915</v>
      </c>
      <c r="I2495" t="s">
        <v>30919</v>
      </c>
      <c r="J2495" t="s">
        <v>32863</v>
      </c>
      <c r="K2495" t="s">
        <v>40369</v>
      </c>
      <c r="M2495" t="s">
        <v>41709</v>
      </c>
      <c r="N2495" t="s">
        <v>44759</v>
      </c>
      <c r="O2495" t="s">
        <v>44760</v>
      </c>
      <c r="P2495">
        <v>0</v>
      </c>
      <c r="Q2495">
        <v>3</v>
      </c>
      <c r="R2495" t="s">
        <v>44762</v>
      </c>
      <c r="S2495" t="s">
        <v>44863</v>
      </c>
      <c r="T2495" t="s">
        <v>46350</v>
      </c>
      <c r="U2495" t="s">
        <v>49067</v>
      </c>
      <c r="W2495" t="s">
        <v>41709</v>
      </c>
      <c r="X2495" t="s">
        <v>44763</v>
      </c>
    </row>
    <row r="2496" spans="1:24">
      <c r="A2496">
        <f>HYPERLINK("https://www.philgeps.gov.ph/GEPSNONPILOT/Tender/SplashBidNoticeAbstractUI.aspx?menuIndex=3&amp;refID=7152060&amp;Result=3","7152060")</f>
        <v>0</v>
      </c>
      <c r="B2496" t="s">
        <v>1117</v>
      </c>
      <c r="C2496" t="s">
        <v>6151</v>
      </c>
      <c r="D2496" t="s">
        <v>17959</v>
      </c>
      <c r="E2496" t="s">
        <v>20316</v>
      </c>
      <c r="F2496" t="s">
        <v>30900</v>
      </c>
      <c r="G2496" t="s">
        <v>30908</v>
      </c>
      <c r="H2496" t="s">
        <v>7411</v>
      </c>
      <c r="I2496" t="s">
        <v>30978</v>
      </c>
      <c r="J2496" t="s">
        <v>32549</v>
      </c>
      <c r="K2496" t="s">
        <v>40319</v>
      </c>
      <c r="M2496" t="s">
        <v>41718</v>
      </c>
      <c r="N2496" t="s">
        <v>44759</v>
      </c>
      <c r="O2496" t="s">
        <v>44760</v>
      </c>
      <c r="P2496">
        <v>0</v>
      </c>
      <c r="Q2496">
        <v>0</v>
      </c>
      <c r="R2496" t="s">
        <v>44762</v>
      </c>
      <c r="S2496" t="s">
        <v>44863</v>
      </c>
      <c r="T2496" t="s">
        <v>46414</v>
      </c>
      <c r="U2496" t="s">
        <v>49068</v>
      </c>
      <c r="W2496" t="s">
        <v>43694</v>
      </c>
      <c r="X2496" t="s">
        <v>44763</v>
      </c>
    </row>
    <row r="2497" spans="1:24">
      <c r="A2497">
        <f>HYPERLINK("https://www.philgeps.gov.ph/GEPSNONPILOT/Tender/SplashBidNoticeAbstractUI.aspx?menuIndex=3&amp;refID=7152045&amp;Result=3","7152045")</f>
        <v>0</v>
      </c>
      <c r="B2497" t="s">
        <v>1100</v>
      </c>
      <c r="C2497" t="s">
        <v>6152</v>
      </c>
      <c r="D2497" t="s">
        <v>18039</v>
      </c>
      <c r="E2497" t="s">
        <v>20317</v>
      </c>
      <c r="F2497" t="s">
        <v>30900</v>
      </c>
      <c r="G2497" t="s">
        <v>30907</v>
      </c>
      <c r="H2497" t="s">
        <v>30916</v>
      </c>
      <c r="I2497" t="s">
        <v>10847</v>
      </c>
      <c r="J2497" t="s">
        <v>32864</v>
      </c>
      <c r="K2497" t="s">
        <v>40289</v>
      </c>
      <c r="M2497" t="s">
        <v>41700</v>
      </c>
      <c r="N2497" t="s">
        <v>44759</v>
      </c>
      <c r="O2497" t="s">
        <v>44760</v>
      </c>
      <c r="P2497">
        <v>0</v>
      </c>
      <c r="Q2497">
        <v>1</v>
      </c>
      <c r="R2497" t="s">
        <v>44762</v>
      </c>
      <c r="S2497" t="s">
        <v>44863</v>
      </c>
      <c r="T2497" t="s">
        <v>46540</v>
      </c>
      <c r="U2497" t="s">
        <v>49069</v>
      </c>
      <c r="W2497" t="s">
        <v>41700</v>
      </c>
      <c r="X2497" t="s">
        <v>44763</v>
      </c>
    </row>
    <row r="2498" spans="1:24">
      <c r="A2498">
        <f>HYPERLINK("https://www.philgeps.gov.ph/GEPSNONPILOT/Tender/SplashBidNoticeAbstractUI.aspx?menuIndex=3&amp;refID=7152044&amp;Result=3","7152044")</f>
        <v>0</v>
      </c>
      <c r="B2498" t="s">
        <v>478</v>
      </c>
      <c r="C2498" t="s">
        <v>6153</v>
      </c>
      <c r="D2498" t="s">
        <v>17959</v>
      </c>
      <c r="E2498" t="s">
        <v>20318</v>
      </c>
      <c r="F2498" t="s">
        <v>30900</v>
      </c>
      <c r="G2498" t="s">
        <v>30910</v>
      </c>
      <c r="H2498" t="s">
        <v>30916</v>
      </c>
      <c r="I2498" t="s">
        <v>4545</v>
      </c>
      <c r="J2498" t="s">
        <v>32865</v>
      </c>
      <c r="K2498" t="s">
        <v>40287</v>
      </c>
      <c r="M2498" t="s">
        <v>41719</v>
      </c>
      <c r="N2498" t="s">
        <v>44759</v>
      </c>
      <c r="O2498" t="s">
        <v>44760</v>
      </c>
      <c r="P2498">
        <v>0</v>
      </c>
      <c r="Q2498">
        <v>1</v>
      </c>
      <c r="R2498" t="s">
        <v>44762</v>
      </c>
      <c r="S2498" t="s">
        <v>44863</v>
      </c>
      <c r="T2498" t="s">
        <v>46410</v>
      </c>
      <c r="U2498" t="s">
        <v>49070</v>
      </c>
      <c r="W2498" t="s">
        <v>41719</v>
      </c>
      <c r="X2498" t="s">
        <v>44763</v>
      </c>
    </row>
    <row r="2499" spans="1:24">
      <c r="A2499">
        <f>HYPERLINK("https://www.philgeps.gov.ph/GEPSNONPILOT/Tender/SplashBidNoticeAbstractUI.aspx?menuIndex=3&amp;refID=7152057&amp;Result=3","7152057")</f>
        <v>0</v>
      </c>
      <c r="B2499" t="s">
        <v>418</v>
      </c>
      <c r="C2499" t="s">
        <v>6154</v>
      </c>
      <c r="D2499" t="s">
        <v>17959</v>
      </c>
      <c r="E2499" t="s">
        <v>6154</v>
      </c>
      <c r="F2499" t="s">
        <v>30900</v>
      </c>
      <c r="G2499" t="s">
        <v>30908</v>
      </c>
      <c r="H2499" t="s">
        <v>30916</v>
      </c>
      <c r="I2499" t="s">
        <v>4142</v>
      </c>
      <c r="J2499" t="s">
        <v>32866</v>
      </c>
      <c r="K2499" t="s">
        <v>40286</v>
      </c>
      <c r="M2499" t="s">
        <v>40974</v>
      </c>
      <c r="N2499" t="s">
        <v>44759</v>
      </c>
      <c r="O2499" t="s">
        <v>44760</v>
      </c>
      <c r="P2499">
        <v>0</v>
      </c>
      <c r="Q2499">
        <v>17</v>
      </c>
      <c r="R2499" t="s">
        <v>44762</v>
      </c>
      <c r="S2499" t="s">
        <v>44863</v>
      </c>
      <c r="T2499" t="s">
        <v>46395</v>
      </c>
      <c r="U2499" t="s">
        <v>49071</v>
      </c>
      <c r="W2499" t="s">
        <v>40974</v>
      </c>
      <c r="X2499" t="s">
        <v>44763</v>
      </c>
    </row>
    <row r="2500" spans="1:24">
      <c r="A2500">
        <f>HYPERLINK("https://www.philgeps.gov.ph/GEPSNONPILOT/Tender/SplashBidNoticeAbstractUI.aspx?menuIndex=3&amp;refID=7152033&amp;Result=3","7152033")</f>
        <v>0</v>
      </c>
      <c r="B2500" t="s">
        <v>1099</v>
      </c>
      <c r="C2500" t="s">
        <v>6155</v>
      </c>
      <c r="D2500" t="s">
        <v>17985</v>
      </c>
      <c r="E2500" t="s">
        <v>20319</v>
      </c>
      <c r="F2500" t="s">
        <v>30900</v>
      </c>
      <c r="G2500" t="s">
        <v>30907</v>
      </c>
      <c r="H2500" t="s">
        <v>30916</v>
      </c>
      <c r="I2500" t="s">
        <v>6396</v>
      </c>
      <c r="J2500" t="s">
        <v>32867</v>
      </c>
      <c r="K2500" t="s">
        <v>40284</v>
      </c>
      <c r="M2500" t="s">
        <v>41699</v>
      </c>
      <c r="N2500" t="s">
        <v>44759</v>
      </c>
      <c r="O2500" t="s">
        <v>44760</v>
      </c>
      <c r="P2500">
        <v>0</v>
      </c>
      <c r="Q2500">
        <v>0</v>
      </c>
      <c r="R2500" t="s">
        <v>44762</v>
      </c>
      <c r="S2500" t="s">
        <v>44863</v>
      </c>
      <c r="T2500" t="s">
        <v>46465</v>
      </c>
      <c r="U2500" t="s">
        <v>49030</v>
      </c>
      <c r="V2500" t="s">
        <v>59386</v>
      </c>
      <c r="W2500" t="s">
        <v>41699</v>
      </c>
      <c r="X2500" t="s">
        <v>44763</v>
      </c>
    </row>
    <row r="2501" spans="1:24">
      <c r="A2501">
        <f>HYPERLINK("https://www.philgeps.gov.ph/GEPSNONPILOT/Tender/SplashBidNoticeAbstractUI.aspx?menuIndex=3&amp;refID=7152055&amp;Result=3","7152055")</f>
        <v>0</v>
      </c>
      <c r="B2501" t="s">
        <v>1118</v>
      </c>
      <c r="C2501" t="s">
        <v>6156</v>
      </c>
      <c r="E2501" t="s">
        <v>20320</v>
      </c>
      <c r="F2501" t="s">
        <v>30900</v>
      </c>
      <c r="G2501" t="s">
        <v>30907</v>
      </c>
      <c r="H2501" t="s">
        <v>30916</v>
      </c>
      <c r="I2501" t="s">
        <v>8365</v>
      </c>
      <c r="J2501" t="s">
        <v>31211</v>
      </c>
      <c r="K2501" t="s">
        <v>40289</v>
      </c>
      <c r="M2501" t="s">
        <v>41720</v>
      </c>
      <c r="N2501" t="s">
        <v>44759</v>
      </c>
      <c r="O2501" t="s">
        <v>44760</v>
      </c>
      <c r="P2501">
        <v>0</v>
      </c>
      <c r="Q2501">
        <v>2</v>
      </c>
      <c r="R2501" t="s">
        <v>44762</v>
      </c>
      <c r="S2501" t="s">
        <v>44863</v>
      </c>
      <c r="T2501" t="s">
        <v>46409</v>
      </c>
      <c r="U2501" t="s">
        <v>49072</v>
      </c>
      <c r="W2501" t="s">
        <v>41720</v>
      </c>
      <c r="X2501" t="s">
        <v>44763</v>
      </c>
    </row>
    <row r="2502" spans="1:24">
      <c r="A2502">
        <f>HYPERLINK("https://www.philgeps.gov.ph/GEPSNONPILOT/Tender/SplashBidNoticeAbstractUI.aspx?menuIndex=3&amp;refID=7152054&amp;Result=3","7152054")</f>
        <v>0</v>
      </c>
      <c r="B2502" t="s">
        <v>478</v>
      </c>
      <c r="C2502" t="s">
        <v>6157</v>
      </c>
      <c r="D2502" t="s">
        <v>17959</v>
      </c>
      <c r="E2502" t="s">
        <v>20321</v>
      </c>
      <c r="F2502" t="s">
        <v>30900</v>
      </c>
      <c r="G2502" t="s">
        <v>30910</v>
      </c>
      <c r="H2502" t="s">
        <v>30916</v>
      </c>
      <c r="I2502" t="s">
        <v>6396</v>
      </c>
      <c r="J2502" t="s">
        <v>32868</v>
      </c>
      <c r="K2502" t="s">
        <v>40287</v>
      </c>
      <c r="M2502" t="s">
        <v>41719</v>
      </c>
      <c r="N2502" t="s">
        <v>44759</v>
      </c>
      <c r="O2502" t="s">
        <v>44760</v>
      </c>
      <c r="P2502">
        <v>0</v>
      </c>
      <c r="Q2502">
        <v>5</v>
      </c>
      <c r="R2502" t="s">
        <v>44762</v>
      </c>
      <c r="S2502" t="s">
        <v>44863</v>
      </c>
      <c r="T2502" t="s">
        <v>46410</v>
      </c>
      <c r="U2502" t="s">
        <v>49073</v>
      </c>
      <c r="W2502" t="s">
        <v>41719</v>
      </c>
      <c r="X2502" t="s">
        <v>44763</v>
      </c>
    </row>
    <row r="2503" spans="1:24">
      <c r="A2503">
        <f>HYPERLINK("https://www.philgeps.gov.ph/GEPSNONPILOT/Tender/SplashBidNoticeAbstractUI.aspx?menuIndex=3&amp;refID=7152052&amp;Result=3","7152052")</f>
        <v>0</v>
      </c>
      <c r="B2503" t="s">
        <v>1119</v>
      </c>
      <c r="C2503" t="s">
        <v>6158</v>
      </c>
      <c r="D2503" t="s">
        <v>17979</v>
      </c>
      <c r="E2503" t="s">
        <v>20322</v>
      </c>
      <c r="F2503" t="s">
        <v>30900</v>
      </c>
      <c r="G2503" t="s">
        <v>30908</v>
      </c>
      <c r="H2503" t="s">
        <v>30916</v>
      </c>
      <c r="I2503" t="s">
        <v>6746</v>
      </c>
      <c r="J2503" t="s">
        <v>31101</v>
      </c>
      <c r="K2503" t="s">
        <v>40289</v>
      </c>
      <c r="M2503" t="s">
        <v>41721</v>
      </c>
      <c r="N2503" t="s">
        <v>44759</v>
      </c>
      <c r="O2503" t="s">
        <v>44760</v>
      </c>
      <c r="P2503">
        <v>0</v>
      </c>
      <c r="Q2503">
        <v>2</v>
      </c>
      <c r="R2503" t="s">
        <v>44762</v>
      </c>
      <c r="S2503" t="s">
        <v>44863</v>
      </c>
      <c r="T2503" t="s">
        <v>46363</v>
      </c>
      <c r="U2503" t="s">
        <v>49074</v>
      </c>
      <c r="V2503" t="s">
        <v>59398</v>
      </c>
      <c r="W2503" t="s">
        <v>41721</v>
      </c>
      <c r="X2503" t="s">
        <v>44763</v>
      </c>
    </row>
    <row r="2504" spans="1:24">
      <c r="A2504">
        <f>HYPERLINK("https://www.philgeps.gov.ph/GEPSNONPILOT/Tender/SplashBidNoticeAbstractUI.aspx?menuIndex=3&amp;refID=7152051&amp;Result=3","7152051")</f>
        <v>0</v>
      </c>
      <c r="B2504" t="s">
        <v>1118</v>
      </c>
      <c r="C2504" t="s">
        <v>6159</v>
      </c>
      <c r="E2504" t="s">
        <v>20323</v>
      </c>
      <c r="F2504" t="s">
        <v>30900</v>
      </c>
      <c r="G2504" t="s">
        <v>30907</v>
      </c>
      <c r="H2504" t="s">
        <v>30916</v>
      </c>
      <c r="I2504" t="s">
        <v>4108</v>
      </c>
      <c r="J2504" t="s">
        <v>31211</v>
      </c>
      <c r="K2504" t="s">
        <v>40289</v>
      </c>
      <c r="M2504" t="s">
        <v>41720</v>
      </c>
      <c r="N2504" t="s">
        <v>44759</v>
      </c>
      <c r="O2504" t="s">
        <v>44760</v>
      </c>
      <c r="P2504">
        <v>0</v>
      </c>
      <c r="Q2504">
        <v>0</v>
      </c>
      <c r="R2504" t="s">
        <v>44762</v>
      </c>
      <c r="S2504" t="s">
        <v>44863</v>
      </c>
      <c r="T2504" t="s">
        <v>46409</v>
      </c>
      <c r="U2504" t="s">
        <v>49075</v>
      </c>
      <c r="W2504" t="s">
        <v>41720</v>
      </c>
      <c r="X2504" t="s">
        <v>44763</v>
      </c>
    </row>
    <row r="2505" spans="1:24">
      <c r="A2505">
        <f>HYPERLINK("https://www.philgeps.gov.ph/GEPSNONPILOT/Tender/SplashBidNoticeAbstractUI.aspx?menuIndex=3&amp;refID=7152035&amp;Result=3","7152035")</f>
        <v>0</v>
      </c>
      <c r="B2505" t="s">
        <v>1108</v>
      </c>
      <c r="C2505" t="s">
        <v>6160</v>
      </c>
      <c r="D2505" t="s">
        <v>17959</v>
      </c>
      <c r="E2505" t="s">
        <v>20324</v>
      </c>
      <c r="F2505" t="s">
        <v>30900</v>
      </c>
      <c r="G2505" t="s">
        <v>30908</v>
      </c>
      <c r="H2505" t="s">
        <v>30916</v>
      </c>
      <c r="I2505" t="s">
        <v>30927</v>
      </c>
      <c r="J2505" t="s">
        <v>32869</v>
      </c>
      <c r="K2505" t="s">
        <v>40286</v>
      </c>
      <c r="M2505" t="s">
        <v>41708</v>
      </c>
      <c r="N2505" t="s">
        <v>44759</v>
      </c>
      <c r="O2505" t="s">
        <v>44760</v>
      </c>
      <c r="P2505">
        <v>0</v>
      </c>
      <c r="Q2505">
        <v>1</v>
      </c>
      <c r="R2505" t="s">
        <v>44762</v>
      </c>
      <c r="S2505" t="s">
        <v>44863</v>
      </c>
      <c r="T2505" t="s">
        <v>46383</v>
      </c>
      <c r="U2505" t="s">
        <v>49076</v>
      </c>
      <c r="W2505" t="s">
        <v>41708</v>
      </c>
      <c r="X2505" t="s">
        <v>44763</v>
      </c>
    </row>
    <row r="2506" spans="1:24">
      <c r="A2506">
        <f>HYPERLINK("https://www.philgeps.gov.ph/GEPSNONPILOT/Tender/SplashBidNoticeAbstractUI.aspx?menuIndex=3&amp;refID=7152026&amp;Result=3","7152026")</f>
        <v>0</v>
      </c>
      <c r="B2506" t="s">
        <v>1101</v>
      </c>
      <c r="C2506" t="s">
        <v>6161</v>
      </c>
      <c r="D2506" t="s">
        <v>17987</v>
      </c>
      <c r="E2506" t="s">
        <v>20325</v>
      </c>
      <c r="F2506" t="s">
        <v>30900</v>
      </c>
      <c r="G2506" t="s">
        <v>30908</v>
      </c>
      <c r="H2506" t="s">
        <v>30916</v>
      </c>
      <c r="I2506" t="s">
        <v>4142</v>
      </c>
      <c r="J2506" t="s">
        <v>32870</v>
      </c>
      <c r="K2506" t="s">
        <v>40286</v>
      </c>
      <c r="L2506" t="s">
        <v>1101</v>
      </c>
      <c r="M2506" t="s">
        <v>41701</v>
      </c>
      <c r="N2506" t="s">
        <v>44759</v>
      </c>
      <c r="O2506" t="s">
        <v>44760</v>
      </c>
      <c r="P2506">
        <v>0</v>
      </c>
      <c r="Q2506">
        <v>0</v>
      </c>
      <c r="R2506" t="s">
        <v>44762</v>
      </c>
      <c r="S2506" t="s">
        <v>44863</v>
      </c>
      <c r="T2506" t="s">
        <v>46390</v>
      </c>
      <c r="U2506" t="s">
        <v>49077</v>
      </c>
      <c r="V2506" t="s">
        <v>59388</v>
      </c>
      <c r="W2506" t="s">
        <v>41701</v>
      </c>
      <c r="X2506" t="s">
        <v>44763</v>
      </c>
    </row>
    <row r="2507" spans="1:24">
      <c r="A2507">
        <f>HYPERLINK("https://www.philgeps.gov.ph/GEPSNONPILOT/Tender/SplashBidNoticeAbstractUI.aspx?menuIndex=3&amp;refID=7152058&amp;Result=3","7152058")</f>
        <v>0</v>
      </c>
      <c r="B2507" t="s">
        <v>1116</v>
      </c>
      <c r="C2507" t="s">
        <v>6162</v>
      </c>
      <c r="D2507" t="s">
        <v>17958</v>
      </c>
      <c r="E2507" t="s">
        <v>20326</v>
      </c>
      <c r="F2507" t="s">
        <v>30900</v>
      </c>
      <c r="G2507" t="s">
        <v>30907</v>
      </c>
      <c r="H2507" t="s">
        <v>30915</v>
      </c>
      <c r="I2507" t="s">
        <v>30919</v>
      </c>
      <c r="J2507" t="s">
        <v>31243</v>
      </c>
      <c r="K2507" t="s">
        <v>40280</v>
      </c>
      <c r="M2507" t="s">
        <v>41717</v>
      </c>
      <c r="N2507" t="s">
        <v>44759</v>
      </c>
      <c r="O2507" t="s">
        <v>44760</v>
      </c>
      <c r="P2507">
        <v>0</v>
      </c>
      <c r="Q2507">
        <v>1</v>
      </c>
      <c r="R2507" t="s">
        <v>44762</v>
      </c>
      <c r="S2507" t="s">
        <v>44863</v>
      </c>
      <c r="T2507" t="s">
        <v>46371</v>
      </c>
      <c r="U2507" t="s">
        <v>49078</v>
      </c>
      <c r="W2507" t="s">
        <v>41717</v>
      </c>
      <c r="X2507" t="s">
        <v>44763</v>
      </c>
    </row>
    <row r="2508" spans="1:24">
      <c r="A2508">
        <f>HYPERLINK("https://www.philgeps.gov.ph/GEPSNONPILOT/Tender/SplashBidNoticeAbstractUI.aspx?menuIndex=3&amp;refID=7152066&amp;Result=3","7152066")</f>
        <v>0</v>
      </c>
      <c r="B2508" t="s">
        <v>1119</v>
      </c>
      <c r="C2508" t="s">
        <v>6163</v>
      </c>
      <c r="D2508" t="s">
        <v>17959</v>
      </c>
      <c r="E2508" t="s">
        <v>20327</v>
      </c>
      <c r="F2508" t="s">
        <v>30900</v>
      </c>
      <c r="G2508" t="s">
        <v>30908</v>
      </c>
      <c r="H2508" t="s">
        <v>30916</v>
      </c>
      <c r="I2508" t="s">
        <v>30924</v>
      </c>
      <c r="J2508" t="s">
        <v>31270</v>
      </c>
      <c r="K2508" t="s">
        <v>40284</v>
      </c>
      <c r="M2508" t="s">
        <v>41721</v>
      </c>
      <c r="N2508" t="s">
        <v>44759</v>
      </c>
      <c r="O2508" t="s">
        <v>44760</v>
      </c>
      <c r="P2508">
        <v>0</v>
      </c>
      <c r="Q2508">
        <v>2</v>
      </c>
      <c r="R2508" t="s">
        <v>44762</v>
      </c>
      <c r="S2508" t="s">
        <v>44863</v>
      </c>
      <c r="T2508" t="s">
        <v>46421</v>
      </c>
      <c r="U2508" t="s">
        <v>49074</v>
      </c>
      <c r="V2508" t="s">
        <v>59399</v>
      </c>
      <c r="W2508" t="s">
        <v>41721</v>
      </c>
      <c r="X2508" t="s">
        <v>44763</v>
      </c>
    </row>
    <row r="2509" spans="1:24">
      <c r="A2509">
        <f>HYPERLINK("https://www.philgeps.gov.ph/GEPSNONPILOT/Tender/SplashBidNoticeAbstractUI.aspx?menuIndex=3&amp;refID=7152065&amp;Result=3","7152065")</f>
        <v>0</v>
      </c>
      <c r="B2509" t="s">
        <v>1120</v>
      </c>
      <c r="C2509" t="s">
        <v>6164</v>
      </c>
      <c r="E2509" t="s">
        <v>20328</v>
      </c>
      <c r="F2509" t="s">
        <v>30900</v>
      </c>
      <c r="G2509" t="s">
        <v>30907</v>
      </c>
      <c r="H2509" t="s">
        <v>30915</v>
      </c>
      <c r="I2509" t="s">
        <v>30919</v>
      </c>
      <c r="J2509" t="s">
        <v>32871</v>
      </c>
      <c r="K2509" t="s">
        <v>40291</v>
      </c>
      <c r="M2509" t="s">
        <v>41722</v>
      </c>
      <c r="N2509" t="s">
        <v>44759</v>
      </c>
      <c r="O2509" t="s">
        <v>44760</v>
      </c>
      <c r="P2509">
        <v>0</v>
      </c>
      <c r="Q2509">
        <v>0</v>
      </c>
      <c r="R2509" t="s">
        <v>44762</v>
      </c>
      <c r="S2509" t="s">
        <v>44863</v>
      </c>
      <c r="T2509" t="s">
        <v>46427</v>
      </c>
      <c r="U2509" t="s">
        <v>49079</v>
      </c>
      <c r="W2509" t="s">
        <v>41722</v>
      </c>
      <c r="X2509" t="s">
        <v>44763</v>
      </c>
    </row>
    <row r="2510" spans="1:24">
      <c r="A2510">
        <f>HYPERLINK("https://www.philgeps.gov.ph/GEPSNONPILOT/Tender/SplashBidNoticeAbstractUI.aspx?menuIndex=3&amp;refID=7152061&amp;Result=3","7152061")</f>
        <v>0</v>
      </c>
      <c r="B2510" t="s">
        <v>1121</v>
      </c>
      <c r="C2510" t="s">
        <v>6165</v>
      </c>
      <c r="D2510" t="s">
        <v>17981</v>
      </c>
      <c r="E2510" t="s">
        <v>20329</v>
      </c>
      <c r="F2510" t="s">
        <v>30900</v>
      </c>
      <c r="G2510" t="s">
        <v>30910</v>
      </c>
      <c r="H2510" t="s">
        <v>30916</v>
      </c>
      <c r="I2510" t="s">
        <v>4142</v>
      </c>
      <c r="J2510" t="s">
        <v>32872</v>
      </c>
      <c r="K2510" t="s">
        <v>40287</v>
      </c>
      <c r="M2510" t="s">
        <v>41723</v>
      </c>
      <c r="N2510" t="s">
        <v>44759</v>
      </c>
      <c r="O2510" t="s">
        <v>44760</v>
      </c>
      <c r="P2510">
        <v>0</v>
      </c>
      <c r="Q2510">
        <v>0</v>
      </c>
      <c r="R2510" t="s">
        <v>44762</v>
      </c>
      <c r="S2510" t="s">
        <v>44863</v>
      </c>
      <c r="T2510" t="s">
        <v>46412</v>
      </c>
      <c r="U2510" t="s">
        <v>49080</v>
      </c>
      <c r="W2510" t="s">
        <v>41723</v>
      </c>
      <c r="X2510" t="s">
        <v>44763</v>
      </c>
    </row>
    <row r="2511" spans="1:24">
      <c r="A2511">
        <f>HYPERLINK("https://www.philgeps.gov.ph/GEPSNONPILOT/Tender/SplashBidNoticeAbstractUI.aspx?menuIndex=3&amp;refID=7152046&amp;Result=3","7152046")</f>
        <v>0</v>
      </c>
      <c r="B2511" t="s">
        <v>1118</v>
      </c>
      <c r="C2511" t="s">
        <v>6166</v>
      </c>
      <c r="E2511" t="s">
        <v>20330</v>
      </c>
      <c r="F2511" t="s">
        <v>30900</v>
      </c>
      <c r="G2511" t="s">
        <v>30907</v>
      </c>
      <c r="H2511" t="s">
        <v>30916</v>
      </c>
      <c r="I2511" t="s">
        <v>4108</v>
      </c>
      <c r="J2511" t="s">
        <v>31211</v>
      </c>
      <c r="K2511" t="s">
        <v>40289</v>
      </c>
      <c r="M2511" t="s">
        <v>41720</v>
      </c>
      <c r="N2511" t="s">
        <v>44759</v>
      </c>
      <c r="O2511" t="s">
        <v>44760</v>
      </c>
      <c r="P2511">
        <v>0</v>
      </c>
      <c r="Q2511">
        <v>2</v>
      </c>
      <c r="R2511" t="s">
        <v>44762</v>
      </c>
      <c r="S2511" t="s">
        <v>44863</v>
      </c>
      <c r="T2511" t="s">
        <v>46409</v>
      </c>
      <c r="U2511" t="s">
        <v>49081</v>
      </c>
      <c r="W2511" t="s">
        <v>41720</v>
      </c>
      <c r="X2511" t="s">
        <v>44763</v>
      </c>
    </row>
    <row r="2512" spans="1:24">
      <c r="A2512">
        <f>HYPERLINK("https://www.philgeps.gov.ph/GEPSNONPILOT/Tender/SplashBidNoticeAbstractUI.aspx?menuIndex=3&amp;refID=7152056&amp;Result=3","7152056")</f>
        <v>0</v>
      </c>
      <c r="B2512" t="s">
        <v>1112</v>
      </c>
      <c r="C2512" t="s">
        <v>6167</v>
      </c>
      <c r="D2512" t="s">
        <v>17962</v>
      </c>
      <c r="E2512" t="s">
        <v>18405</v>
      </c>
      <c r="F2512" t="s">
        <v>30900</v>
      </c>
      <c r="G2512" t="s">
        <v>30907</v>
      </c>
      <c r="H2512" t="s">
        <v>30916</v>
      </c>
      <c r="I2512" t="s">
        <v>8123</v>
      </c>
      <c r="J2512" t="s">
        <v>32873</v>
      </c>
      <c r="K2512" t="s">
        <v>40287</v>
      </c>
      <c r="M2512" t="s">
        <v>41712</v>
      </c>
      <c r="N2512" t="s">
        <v>44759</v>
      </c>
      <c r="O2512" t="s">
        <v>44760</v>
      </c>
      <c r="P2512">
        <v>0</v>
      </c>
      <c r="Q2512">
        <v>0</v>
      </c>
      <c r="R2512" t="s">
        <v>44762</v>
      </c>
      <c r="S2512" t="s">
        <v>44863</v>
      </c>
      <c r="T2512" t="s">
        <v>46409</v>
      </c>
      <c r="U2512" t="s">
        <v>49082</v>
      </c>
      <c r="W2512" t="s">
        <v>41712</v>
      </c>
      <c r="X2512" t="s">
        <v>44763</v>
      </c>
    </row>
    <row r="2513" spans="1:24">
      <c r="A2513">
        <f>HYPERLINK("https://www.philgeps.gov.ph/GEPSNONPILOT/Tender/SplashBidNoticeAbstractUI.aspx?menuIndex=3&amp;refID=7152067&amp;Result=3","7152067")</f>
        <v>0</v>
      </c>
      <c r="B2513" t="s">
        <v>478</v>
      </c>
      <c r="C2513" t="s">
        <v>6168</v>
      </c>
      <c r="D2513" t="s">
        <v>17959</v>
      </c>
      <c r="E2513" t="s">
        <v>20331</v>
      </c>
      <c r="F2513" t="s">
        <v>30900</v>
      </c>
      <c r="G2513" t="s">
        <v>30910</v>
      </c>
      <c r="H2513" t="s">
        <v>30916</v>
      </c>
      <c r="I2513" t="s">
        <v>6396</v>
      </c>
      <c r="J2513" t="s">
        <v>32874</v>
      </c>
      <c r="K2513" t="s">
        <v>40287</v>
      </c>
      <c r="M2513" t="s">
        <v>41719</v>
      </c>
      <c r="N2513" t="s">
        <v>44759</v>
      </c>
      <c r="O2513" t="s">
        <v>44760</v>
      </c>
      <c r="P2513">
        <v>0</v>
      </c>
      <c r="Q2513">
        <v>6</v>
      </c>
      <c r="R2513" t="s">
        <v>44762</v>
      </c>
      <c r="S2513" t="s">
        <v>44863</v>
      </c>
      <c r="T2513" t="s">
        <v>46410</v>
      </c>
      <c r="U2513" t="s">
        <v>49083</v>
      </c>
      <c r="W2513" t="s">
        <v>41719</v>
      </c>
      <c r="X2513" t="s">
        <v>44763</v>
      </c>
    </row>
    <row r="2514" spans="1:24">
      <c r="A2514">
        <f>HYPERLINK("https://www.philgeps.gov.ph/GEPSNONPILOT/Tender/SplashBidNoticeAbstractUI.aspx?menuIndex=3&amp;refID=7152037&amp;Result=3","7152037")</f>
        <v>0</v>
      </c>
      <c r="B2514" t="s">
        <v>1115</v>
      </c>
      <c r="C2514" t="s">
        <v>6169</v>
      </c>
      <c r="D2514" t="s">
        <v>17989</v>
      </c>
      <c r="E2514" t="s">
        <v>20332</v>
      </c>
      <c r="F2514" t="s">
        <v>30900</v>
      </c>
      <c r="G2514" t="s">
        <v>30907</v>
      </c>
      <c r="H2514" t="s">
        <v>30916</v>
      </c>
      <c r="I2514" t="s">
        <v>30923</v>
      </c>
      <c r="J2514" t="s">
        <v>32875</v>
      </c>
      <c r="K2514" t="s">
        <v>40284</v>
      </c>
      <c r="M2514" t="s">
        <v>41716</v>
      </c>
      <c r="N2514" t="s">
        <v>44759</v>
      </c>
      <c r="O2514" t="s">
        <v>44760</v>
      </c>
      <c r="P2514">
        <v>0</v>
      </c>
      <c r="Q2514">
        <v>0</v>
      </c>
      <c r="R2514" t="s">
        <v>44762</v>
      </c>
      <c r="S2514" t="s">
        <v>44863</v>
      </c>
      <c r="T2514" t="s">
        <v>46352</v>
      </c>
      <c r="U2514" t="s">
        <v>49084</v>
      </c>
      <c r="V2514" t="s">
        <v>59397</v>
      </c>
      <c r="W2514" t="s">
        <v>41716</v>
      </c>
      <c r="X2514" t="s">
        <v>44763</v>
      </c>
    </row>
    <row r="2515" spans="1:24">
      <c r="A2515">
        <f>HYPERLINK("https://www.philgeps.gov.ph/GEPSNONPILOT/Tender/SplashBidNoticeAbstractUI.aspx?menuIndex=3&amp;refID=7152048&amp;Result=3","7152048")</f>
        <v>0</v>
      </c>
      <c r="B2515" t="s">
        <v>1116</v>
      </c>
      <c r="C2515" t="s">
        <v>6170</v>
      </c>
      <c r="D2515" t="s">
        <v>17958</v>
      </c>
      <c r="E2515" t="s">
        <v>20333</v>
      </c>
      <c r="F2515" t="s">
        <v>30900</v>
      </c>
      <c r="G2515" t="s">
        <v>30907</v>
      </c>
      <c r="H2515" t="s">
        <v>30915</v>
      </c>
      <c r="I2515" t="s">
        <v>30919</v>
      </c>
      <c r="J2515" t="s">
        <v>31243</v>
      </c>
      <c r="K2515" t="s">
        <v>40280</v>
      </c>
      <c r="M2515" t="s">
        <v>41717</v>
      </c>
      <c r="N2515" t="s">
        <v>44759</v>
      </c>
      <c r="O2515" t="s">
        <v>44760</v>
      </c>
      <c r="P2515">
        <v>0</v>
      </c>
      <c r="Q2515">
        <v>1</v>
      </c>
      <c r="R2515" t="s">
        <v>44762</v>
      </c>
      <c r="S2515" t="s">
        <v>44863</v>
      </c>
      <c r="T2515" t="s">
        <v>46371</v>
      </c>
      <c r="U2515" t="s">
        <v>49085</v>
      </c>
      <c r="W2515" t="s">
        <v>41717</v>
      </c>
      <c r="X2515" t="s">
        <v>44763</v>
      </c>
    </row>
    <row r="2516" spans="1:24">
      <c r="A2516">
        <f>HYPERLINK("https://www.philgeps.gov.ph/GEPSNONPILOT/Tender/SplashBidNoticeAbstractUI.aspx?menuIndex=3&amp;refID=7152047&amp;Result=3","7152047")</f>
        <v>0</v>
      </c>
      <c r="B2516" t="s">
        <v>1122</v>
      </c>
      <c r="C2516" t="s">
        <v>6171</v>
      </c>
      <c r="D2516" t="s">
        <v>17973</v>
      </c>
      <c r="E2516" t="s">
        <v>20334</v>
      </c>
      <c r="F2516" t="s">
        <v>30900</v>
      </c>
      <c r="G2516" t="s">
        <v>30907</v>
      </c>
      <c r="H2516" t="s">
        <v>30916</v>
      </c>
      <c r="I2516" t="s">
        <v>8123</v>
      </c>
      <c r="J2516" t="s">
        <v>32876</v>
      </c>
      <c r="K2516" t="s">
        <v>40286</v>
      </c>
      <c r="M2516" t="s">
        <v>41724</v>
      </c>
      <c r="N2516" t="s">
        <v>44759</v>
      </c>
      <c r="O2516" t="s">
        <v>44760</v>
      </c>
      <c r="P2516">
        <v>0</v>
      </c>
      <c r="Q2516">
        <v>0</v>
      </c>
      <c r="R2516" t="s">
        <v>44762</v>
      </c>
      <c r="S2516" t="s">
        <v>44863</v>
      </c>
      <c r="T2516" t="s">
        <v>46351</v>
      </c>
      <c r="U2516" t="s">
        <v>49086</v>
      </c>
      <c r="W2516" t="s">
        <v>41724</v>
      </c>
      <c r="X2516" t="s">
        <v>44763</v>
      </c>
    </row>
    <row r="2517" spans="1:24">
      <c r="A2517">
        <f>HYPERLINK("https://www.philgeps.gov.ph/GEPSNONPILOT/Tender/SplashBidNoticeAbstractUI.aspx?menuIndex=3&amp;refID=7152068&amp;Result=3","7152068")</f>
        <v>0</v>
      </c>
      <c r="B2517" t="s">
        <v>1012</v>
      </c>
      <c r="C2517" t="s">
        <v>6172</v>
      </c>
      <c r="D2517" t="s">
        <v>17980</v>
      </c>
      <c r="E2517" t="s">
        <v>20335</v>
      </c>
      <c r="F2517" t="s">
        <v>30900</v>
      </c>
      <c r="G2517" t="s">
        <v>30908</v>
      </c>
      <c r="H2517" t="s">
        <v>30916</v>
      </c>
      <c r="I2517" t="s">
        <v>9385</v>
      </c>
      <c r="J2517" t="s">
        <v>31686</v>
      </c>
      <c r="K2517" t="s">
        <v>40286</v>
      </c>
      <c r="M2517" t="s">
        <v>41601</v>
      </c>
      <c r="N2517" t="s">
        <v>44759</v>
      </c>
      <c r="O2517" t="s">
        <v>44760</v>
      </c>
      <c r="P2517">
        <v>0</v>
      </c>
      <c r="Q2517">
        <v>4</v>
      </c>
      <c r="R2517" t="s">
        <v>44762</v>
      </c>
      <c r="S2517" t="s">
        <v>44863</v>
      </c>
      <c r="T2517" t="s">
        <v>46425</v>
      </c>
      <c r="U2517" t="s">
        <v>49087</v>
      </c>
      <c r="W2517" t="s">
        <v>41601</v>
      </c>
      <c r="X2517" t="s">
        <v>44763</v>
      </c>
    </row>
    <row r="2518" spans="1:24">
      <c r="A2518">
        <f>HYPERLINK("https://www.philgeps.gov.ph/GEPSNONPILOT/Tender/SplashBidNoticeAbstractUI.aspx?menuIndex=3&amp;refID=7152082&amp;Result=3","7152082")</f>
        <v>0</v>
      </c>
      <c r="B2518" t="s">
        <v>130</v>
      </c>
      <c r="C2518" t="s">
        <v>6173</v>
      </c>
      <c r="D2518" t="s">
        <v>18001</v>
      </c>
      <c r="E2518" t="s">
        <v>20336</v>
      </c>
      <c r="F2518" t="s">
        <v>30900</v>
      </c>
      <c r="G2518" t="s">
        <v>30908</v>
      </c>
      <c r="H2518" t="s">
        <v>30916</v>
      </c>
      <c r="I2518" t="s">
        <v>10602</v>
      </c>
      <c r="J2518" t="s">
        <v>32877</v>
      </c>
      <c r="K2518" t="s">
        <v>40282</v>
      </c>
      <c r="M2518" t="s">
        <v>40677</v>
      </c>
      <c r="N2518" t="s">
        <v>44759</v>
      </c>
      <c r="O2518" t="s">
        <v>44760</v>
      </c>
      <c r="P2518">
        <v>0</v>
      </c>
      <c r="Q2518">
        <v>0</v>
      </c>
      <c r="R2518" t="s">
        <v>44762</v>
      </c>
      <c r="S2518" t="s">
        <v>44863</v>
      </c>
      <c r="T2518" t="s">
        <v>46390</v>
      </c>
      <c r="U2518" t="s">
        <v>49088</v>
      </c>
      <c r="W2518" t="s">
        <v>40677</v>
      </c>
      <c r="X2518" t="s">
        <v>44763</v>
      </c>
    </row>
    <row r="2519" spans="1:24">
      <c r="A2519">
        <f>HYPERLINK("https://www.philgeps.gov.ph/GEPSNONPILOT/Tender/SplashBidNoticeAbstractUI.aspx?menuIndex=3&amp;refID=7152081&amp;Result=3","7152081")</f>
        <v>0</v>
      </c>
      <c r="B2519" t="s">
        <v>1123</v>
      </c>
      <c r="C2519" t="s">
        <v>6174</v>
      </c>
      <c r="E2519" t="s">
        <v>20337</v>
      </c>
      <c r="F2519" t="s">
        <v>30900</v>
      </c>
      <c r="G2519" t="s">
        <v>30908</v>
      </c>
      <c r="H2519" t="s">
        <v>30916</v>
      </c>
      <c r="I2519" t="s">
        <v>11785</v>
      </c>
      <c r="J2519" t="s">
        <v>32878</v>
      </c>
      <c r="K2519" t="s">
        <v>40285</v>
      </c>
      <c r="M2519" t="s">
        <v>41725</v>
      </c>
      <c r="N2519" t="s">
        <v>44759</v>
      </c>
      <c r="O2519" t="s">
        <v>44760</v>
      </c>
      <c r="P2519">
        <v>0</v>
      </c>
      <c r="Q2519">
        <v>1</v>
      </c>
      <c r="R2519" t="s">
        <v>44762</v>
      </c>
      <c r="S2519" t="s">
        <v>44863</v>
      </c>
      <c r="T2519" t="s">
        <v>46598</v>
      </c>
      <c r="U2519" t="s">
        <v>49089</v>
      </c>
      <c r="W2519" t="s">
        <v>41725</v>
      </c>
      <c r="X2519" t="s">
        <v>44763</v>
      </c>
    </row>
    <row r="2520" spans="1:24">
      <c r="A2520">
        <f>HYPERLINK("https://www.philgeps.gov.ph/GEPSNONPILOT/Tender/SplashBidNoticeAbstractUI.aspx?menuIndex=3&amp;refID=7152050&amp;Result=3","7152050")</f>
        <v>0</v>
      </c>
      <c r="B2520" t="s">
        <v>572</v>
      </c>
      <c r="C2520" t="s">
        <v>6175</v>
      </c>
      <c r="D2520" t="s">
        <v>17953</v>
      </c>
      <c r="E2520" t="s">
        <v>20338</v>
      </c>
      <c r="F2520" t="s">
        <v>30900</v>
      </c>
      <c r="G2520" t="s">
        <v>30906</v>
      </c>
      <c r="H2520" t="s">
        <v>30916</v>
      </c>
      <c r="I2520" t="s">
        <v>8365</v>
      </c>
      <c r="J2520" t="s">
        <v>31736</v>
      </c>
      <c r="K2520" t="s">
        <v>40284</v>
      </c>
      <c r="M2520" t="s">
        <v>41133</v>
      </c>
      <c r="N2520" t="s">
        <v>44759</v>
      </c>
      <c r="O2520" t="s">
        <v>44760</v>
      </c>
      <c r="P2520">
        <v>0</v>
      </c>
      <c r="Q2520">
        <v>1</v>
      </c>
      <c r="R2520" t="s">
        <v>44762</v>
      </c>
      <c r="S2520" t="s">
        <v>44863</v>
      </c>
      <c r="T2520" t="s">
        <v>46399</v>
      </c>
      <c r="U2520" t="s">
        <v>49090</v>
      </c>
      <c r="W2520" t="s">
        <v>41133</v>
      </c>
      <c r="X2520" t="s">
        <v>44763</v>
      </c>
    </row>
    <row r="2521" spans="1:24">
      <c r="A2521">
        <f>HYPERLINK("https://www.philgeps.gov.ph/GEPSNONPILOT/Tender/SplashBidNoticeAbstractUI.aspx?menuIndex=3&amp;refID=7152049&amp;Result=3","7152049")</f>
        <v>0</v>
      </c>
      <c r="B2521" t="s">
        <v>347</v>
      </c>
      <c r="C2521" t="s">
        <v>6176</v>
      </c>
      <c r="D2521" t="s">
        <v>18025</v>
      </c>
      <c r="E2521" t="s">
        <v>20339</v>
      </c>
      <c r="F2521" t="s">
        <v>30900</v>
      </c>
      <c r="G2521" t="s">
        <v>30908</v>
      </c>
      <c r="H2521" t="s">
        <v>30916</v>
      </c>
      <c r="I2521" t="s">
        <v>30921</v>
      </c>
      <c r="J2521" t="s">
        <v>32879</v>
      </c>
      <c r="K2521" t="s">
        <v>40283</v>
      </c>
      <c r="M2521" t="s">
        <v>40900</v>
      </c>
      <c r="N2521" t="s">
        <v>44759</v>
      </c>
      <c r="O2521" t="s">
        <v>44760</v>
      </c>
      <c r="P2521">
        <v>0</v>
      </c>
      <c r="Q2521">
        <v>2</v>
      </c>
      <c r="R2521" t="s">
        <v>44762</v>
      </c>
      <c r="S2521" t="s">
        <v>44863</v>
      </c>
      <c r="T2521" t="s">
        <v>46421</v>
      </c>
      <c r="U2521" t="s">
        <v>49091</v>
      </c>
      <c r="V2521" t="s">
        <v>59383</v>
      </c>
      <c r="W2521" t="s">
        <v>40900</v>
      </c>
      <c r="X2521" t="s">
        <v>44763</v>
      </c>
    </row>
    <row r="2522" spans="1:24">
      <c r="A2522">
        <f>HYPERLINK("https://www.philgeps.gov.ph/GEPSNONPILOT/Tender/SplashBidNoticeAbstractUI.aspx?menuIndex=3&amp;refID=7152069&amp;Result=3","7152069")</f>
        <v>0</v>
      </c>
      <c r="B2522" t="s">
        <v>1124</v>
      </c>
      <c r="C2522" t="s">
        <v>6177</v>
      </c>
      <c r="D2522" t="s">
        <v>17953</v>
      </c>
      <c r="E2522" t="s">
        <v>20340</v>
      </c>
      <c r="F2522" t="s">
        <v>30900</v>
      </c>
      <c r="G2522" t="s">
        <v>30908</v>
      </c>
      <c r="H2522" t="s">
        <v>30916</v>
      </c>
      <c r="I2522" t="s">
        <v>6396</v>
      </c>
      <c r="J2522" t="s">
        <v>32880</v>
      </c>
      <c r="K2522" t="s">
        <v>40284</v>
      </c>
      <c r="M2522" t="s">
        <v>41726</v>
      </c>
      <c r="N2522" t="s">
        <v>44759</v>
      </c>
      <c r="O2522" t="s">
        <v>44760</v>
      </c>
      <c r="P2522">
        <v>0</v>
      </c>
      <c r="Q2522">
        <v>1</v>
      </c>
      <c r="R2522" t="s">
        <v>44762</v>
      </c>
      <c r="S2522" t="s">
        <v>44863</v>
      </c>
      <c r="T2522" t="s">
        <v>46398</v>
      </c>
      <c r="U2522" t="s">
        <v>49092</v>
      </c>
      <c r="V2522" t="s">
        <v>59400</v>
      </c>
      <c r="W2522" t="s">
        <v>41726</v>
      </c>
      <c r="X2522" t="s">
        <v>44763</v>
      </c>
    </row>
    <row r="2523" spans="1:24">
      <c r="A2523">
        <f>HYPERLINK("https://www.philgeps.gov.ph/GEPSNONPILOT/Tender/SplashBidNoticeAbstractUI.aspx?menuIndex=3&amp;refID=7152087&amp;Result=3","7152087")</f>
        <v>0</v>
      </c>
      <c r="B2523" t="s">
        <v>1111</v>
      </c>
      <c r="C2523" t="s">
        <v>6178</v>
      </c>
      <c r="D2523" t="s">
        <v>17954</v>
      </c>
      <c r="E2523" t="s">
        <v>20341</v>
      </c>
      <c r="F2523" t="s">
        <v>30900</v>
      </c>
      <c r="G2523" t="s">
        <v>30907</v>
      </c>
      <c r="H2523" t="s">
        <v>30915</v>
      </c>
      <c r="I2523" t="s">
        <v>30919</v>
      </c>
      <c r="J2523" t="s">
        <v>32881</v>
      </c>
      <c r="K2523" t="s">
        <v>40280</v>
      </c>
      <c r="M2523" t="s">
        <v>41711</v>
      </c>
      <c r="N2523" t="s">
        <v>44759</v>
      </c>
      <c r="O2523" t="s">
        <v>44760</v>
      </c>
      <c r="P2523">
        <v>0</v>
      </c>
      <c r="Q2523">
        <v>1</v>
      </c>
      <c r="R2523" t="s">
        <v>44762</v>
      </c>
      <c r="S2523" t="s">
        <v>44863</v>
      </c>
      <c r="T2523" t="s">
        <v>46400</v>
      </c>
      <c r="U2523" t="s">
        <v>49093</v>
      </c>
      <c r="W2523" t="s">
        <v>41711</v>
      </c>
      <c r="X2523" t="s">
        <v>44763</v>
      </c>
    </row>
    <row r="2524" spans="1:24">
      <c r="A2524">
        <f>HYPERLINK("https://www.philgeps.gov.ph/GEPSNONPILOT/Tender/SplashBidNoticeAbstractUI.aspx?menuIndex=3&amp;refID=7152062&amp;Result=3","7152062")</f>
        <v>0</v>
      </c>
      <c r="B2524" t="s">
        <v>1125</v>
      </c>
      <c r="C2524" t="s">
        <v>6179</v>
      </c>
      <c r="D2524" t="s">
        <v>17959</v>
      </c>
      <c r="E2524" t="s">
        <v>20342</v>
      </c>
      <c r="F2524" t="s">
        <v>30900</v>
      </c>
      <c r="G2524" t="s">
        <v>30906</v>
      </c>
      <c r="H2524" t="s">
        <v>30916</v>
      </c>
      <c r="I2524" t="s">
        <v>30927</v>
      </c>
      <c r="J2524" t="s">
        <v>32882</v>
      </c>
      <c r="K2524" t="s">
        <v>40287</v>
      </c>
      <c r="M2524" t="s">
        <v>41727</v>
      </c>
      <c r="N2524" t="s">
        <v>44759</v>
      </c>
      <c r="O2524" t="s">
        <v>44760</v>
      </c>
      <c r="P2524">
        <v>0</v>
      </c>
      <c r="Q2524">
        <v>0</v>
      </c>
      <c r="R2524" t="s">
        <v>44762</v>
      </c>
      <c r="S2524" t="s">
        <v>44863</v>
      </c>
      <c r="T2524" t="s">
        <v>46538</v>
      </c>
      <c r="U2524" t="s">
        <v>49094</v>
      </c>
      <c r="W2524" t="s">
        <v>60851</v>
      </c>
      <c r="X2524" t="s">
        <v>44763</v>
      </c>
    </row>
    <row r="2525" spans="1:24">
      <c r="A2525">
        <f>HYPERLINK("https://www.philgeps.gov.ph/GEPSNONPILOT/Tender/SplashBidNoticeAbstractUI.aspx?menuIndex=3&amp;refID=7152086&amp;Result=3","7152086")</f>
        <v>0</v>
      </c>
      <c r="B2525" t="s">
        <v>1126</v>
      </c>
      <c r="C2525" t="s">
        <v>6180</v>
      </c>
      <c r="D2525" t="s">
        <v>17966</v>
      </c>
      <c r="E2525" t="s">
        <v>20343</v>
      </c>
      <c r="F2525" t="s">
        <v>30900</v>
      </c>
      <c r="G2525" t="s">
        <v>30908</v>
      </c>
      <c r="H2525" t="s">
        <v>30916</v>
      </c>
      <c r="I2525" t="s">
        <v>30947</v>
      </c>
      <c r="J2525" t="s">
        <v>31105</v>
      </c>
      <c r="K2525" t="s">
        <v>40285</v>
      </c>
      <c r="M2525" t="s">
        <v>41728</v>
      </c>
      <c r="N2525" t="s">
        <v>44759</v>
      </c>
      <c r="O2525" t="s">
        <v>44760</v>
      </c>
      <c r="P2525">
        <v>0</v>
      </c>
      <c r="Q2525">
        <v>2</v>
      </c>
      <c r="R2525" t="s">
        <v>44762</v>
      </c>
      <c r="S2525" t="s">
        <v>44863</v>
      </c>
      <c r="T2525" t="s">
        <v>46399</v>
      </c>
      <c r="U2525" t="s">
        <v>49095</v>
      </c>
      <c r="W2525" t="s">
        <v>41728</v>
      </c>
      <c r="X2525" t="s">
        <v>44763</v>
      </c>
    </row>
    <row r="2526" spans="1:24">
      <c r="A2526">
        <f>HYPERLINK("https://www.philgeps.gov.ph/GEPSNONPILOT/Tender/SplashBidNoticeAbstractUI.aspx?menuIndex=3&amp;refID=7152085&amp;Result=3","7152085")</f>
        <v>0</v>
      </c>
      <c r="B2526" t="s">
        <v>918</v>
      </c>
      <c r="C2526" t="s">
        <v>6181</v>
      </c>
      <c r="D2526" t="s">
        <v>17959</v>
      </c>
      <c r="E2526" t="s">
        <v>20344</v>
      </c>
      <c r="F2526" t="s">
        <v>30900</v>
      </c>
      <c r="G2526" t="s">
        <v>30910</v>
      </c>
      <c r="H2526" t="s">
        <v>30916</v>
      </c>
      <c r="I2526" t="s">
        <v>4545</v>
      </c>
      <c r="J2526" t="s">
        <v>32883</v>
      </c>
      <c r="K2526" t="s">
        <v>40286</v>
      </c>
      <c r="M2526" t="s">
        <v>41650</v>
      </c>
      <c r="N2526" t="s">
        <v>44759</v>
      </c>
      <c r="O2526" t="s">
        <v>44760</v>
      </c>
      <c r="P2526">
        <v>0</v>
      </c>
      <c r="Q2526">
        <v>1</v>
      </c>
      <c r="R2526" t="s">
        <v>44762</v>
      </c>
      <c r="S2526" t="s">
        <v>44863</v>
      </c>
      <c r="T2526" t="s">
        <v>46414</v>
      </c>
      <c r="U2526" t="s">
        <v>48611</v>
      </c>
      <c r="W2526" t="s">
        <v>41650</v>
      </c>
      <c r="X2526" t="s">
        <v>44763</v>
      </c>
    </row>
    <row r="2527" spans="1:24">
      <c r="A2527">
        <f>HYPERLINK("https://www.philgeps.gov.ph/GEPSNONPILOT/Tender/SplashBidNoticeAbstractUI.aspx?menuIndex=3&amp;refID=7152080&amp;Result=3","7152080")</f>
        <v>0</v>
      </c>
      <c r="B2527" t="s">
        <v>1122</v>
      </c>
      <c r="C2527" t="s">
        <v>6182</v>
      </c>
      <c r="D2527" t="s">
        <v>17973</v>
      </c>
      <c r="E2527" t="s">
        <v>20345</v>
      </c>
      <c r="F2527" t="s">
        <v>30900</v>
      </c>
      <c r="G2527" t="s">
        <v>30907</v>
      </c>
      <c r="H2527" t="s">
        <v>30916</v>
      </c>
      <c r="I2527" t="s">
        <v>8123</v>
      </c>
      <c r="J2527" t="s">
        <v>31398</v>
      </c>
      <c r="K2527" t="s">
        <v>40283</v>
      </c>
      <c r="M2527" t="s">
        <v>41724</v>
      </c>
      <c r="N2527" t="s">
        <v>44759</v>
      </c>
      <c r="O2527" t="s">
        <v>44760</v>
      </c>
      <c r="P2527">
        <v>0</v>
      </c>
      <c r="Q2527">
        <v>0</v>
      </c>
      <c r="R2527" t="s">
        <v>44762</v>
      </c>
      <c r="S2527" t="s">
        <v>44863</v>
      </c>
      <c r="T2527" t="s">
        <v>46351</v>
      </c>
      <c r="U2527" t="s">
        <v>49086</v>
      </c>
      <c r="W2527" t="s">
        <v>41724</v>
      </c>
      <c r="X2527" t="s">
        <v>44763</v>
      </c>
    </row>
    <row r="2528" spans="1:24">
      <c r="A2528">
        <f>HYPERLINK("https://www.philgeps.gov.ph/GEPSNONPILOT/Tender/SplashBidNoticeAbstractUI.aspx?menuIndex=3&amp;refID=7152091&amp;Result=3","7152091")</f>
        <v>0</v>
      </c>
      <c r="B2528" t="s">
        <v>1127</v>
      </c>
      <c r="C2528" t="s">
        <v>6183</v>
      </c>
      <c r="D2528" t="s">
        <v>18002</v>
      </c>
      <c r="E2528" t="s">
        <v>20346</v>
      </c>
      <c r="F2528" t="s">
        <v>30900</v>
      </c>
      <c r="G2528" t="s">
        <v>30909</v>
      </c>
      <c r="H2528" t="s">
        <v>30916</v>
      </c>
      <c r="I2528" t="s">
        <v>4108</v>
      </c>
      <c r="J2528" t="s">
        <v>32884</v>
      </c>
      <c r="K2528" t="s">
        <v>40289</v>
      </c>
      <c r="M2528" t="s">
        <v>41729</v>
      </c>
      <c r="N2528" t="s">
        <v>44759</v>
      </c>
      <c r="O2528" t="s">
        <v>44760</v>
      </c>
      <c r="P2528">
        <v>0</v>
      </c>
      <c r="Q2528">
        <v>1</v>
      </c>
      <c r="R2528" t="s">
        <v>44762</v>
      </c>
      <c r="S2528" t="s">
        <v>44863</v>
      </c>
      <c r="T2528" t="s">
        <v>46398</v>
      </c>
      <c r="U2528" t="s">
        <v>49096</v>
      </c>
      <c r="W2528" t="s">
        <v>41729</v>
      </c>
      <c r="X2528" t="s">
        <v>44763</v>
      </c>
    </row>
    <row r="2529" spans="1:24">
      <c r="A2529">
        <f>HYPERLINK("https://www.philgeps.gov.ph/GEPSNONPILOT/Tender/SplashBidNoticeAbstractUI.aspx?menuIndex=3&amp;refID=7152079&amp;Result=3","7152079")</f>
        <v>0</v>
      </c>
      <c r="B2529" t="s">
        <v>1012</v>
      </c>
      <c r="C2529" t="s">
        <v>6184</v>
      </c>
      <c r="D2529" t="s">
        <v>17980</v>
      </c>
      <c r="E2529" t="s">
        <v>20347</v>
      </c>
      <c r="F2529" t="s">
        <v>30900</v>
      </c>
      <c r="G2529" t="s">
        <v>30908</v>
      </c>
      <c r="H2529" t="s">
        <v>30916</v>
      </c>
      <c r="I2529" t="s">
        <v>9385</v>
      </c>
      <c r="J2529" t="s">
        <v>32885</v>
      </c>
      <c r="K2529" t="s">
        <v>40286</v>
      </c>
      <c r="M2529" t="s">
        <v>41601</v>
      </c>
      <c r="N2529" t="s">
        <v>44759</v>
      </c>
      <c r="O2529" t="s">
        <v>44760</v>
      </c>
      <c r="P2529">
        <v>0</v>
      </c>
      <c r="Q2529">
        <v>8</v>
      </c>
      <c r="R2529" t="s">
        <v>44762</v>
      </c>
      <c r="S2529" t="s">
        <v>44863</v>
      </c>
      <c r="T2529" t="s">
        <v>46425</v>
      </c>
      <c r="U2529" t="s">
        <v>49097</v>
      </c>
      <c r="W2529" t="s">
        <v>41601</v>
      </c>
      <c r="X2529" t="s">
        <v>44763</v>
      </c>
    </row>
    <row r="2530" spans="1:24">
      <c r="A2530">
        <f>HYPERLINK("https://www.philgeps.gov.ph/GEPSNONPILOT/Tender/SplashBidNoticeAbstractUI.aspx?menuIndex=3&amp;refID=7152076&amp;Result=3","7152076")</f>
        <v>0</v>
      </c>
      <c r="B2530" t="s">
        <v>1128</v>
      </c>
      <c r="C2530" t="s">
        <v>6185</v>
      </c>
      <c r="D2530" t="s">
        <v>17995</v>
      </c>
      <c r="E2530" t="s">
        <v>18218</v>
      </c>
      <c r="F2530" t="s">
        <v>30900</v>
      </c>
      <c r="G2530" t="s">
        <v>30907</v>
      </c>
      <c r="H2530" t="s">
        <v>30916</v>
      </c>
      <c r="I2530" t="s">
        <v>4545</v>
      </c>
      <c r="J2530" t="s">
        <v>32176</v>
      </c>
      <c r="K2530" t="s">
        <v>40284</v>
      </c>
      <c r="M2530" t="s">
        <v>41730</v>
      </c>
      <c r="N2530" t="s">
        <v>44759</v>
      </c>
      <c r="O2530" t="s">
        <v>44760</v>
      </c>
      <c r="P2530">
        <v>0</v>
      </c>
      <c r="Q2530">
        <v>1</v>
      </c>
      <c r="R2530" t="s">
        <v>44762</v>
      </c>
      <c r="S2530" t="s">
        <v>44863</v>
      </c>
      <c r="T2530" t="s">
        <v>46569</v>
      </c>
      <c r="U2530" t="s">
        <v>49098</v>
      </c>
      <c r="W2530" t="s">
        <v>41730</v>
      </c>
      <c r="X2530" t="s">
        <v>44763</v>
      </c>
    </row>
    <row r="2531" spans="1:24">
      <c r="A2531">
        <f>HYPERLINK("https://www.philgeps.gov.ph/GEPSNONPILOT/Tender/SplashBidNoticeAbstractUI.aspx?menuIndex=3&amp;refID=7152064&amp;Result=3","7152064")</f>
        <v>0</v>
      </c>
      <c r="B2531" t="s">
        <v>1129</v>
      </c>
      <c r="C2531" t="s">
        <v>6186</v>
      </c>
      <c r="D2531" t="s">
        <v>17959</v>
      </c>
      <c r="E2531" t="s">
        <v>20348</v>
      </c>
      <c r="F2531" t="s">
        <v>30900</v>
      </c>
      <c r="G2531" t="s">
        <v>30908</v>
      </c>
      <c r="H2531" t="s">
        <v>30917</v>
      </c>
      <c r="I2531" t="s">
        <v>30942</v>
      </c>
      <c r="J2531" t="s">
        <v>31211</v>
      </c>
      <c r="K2531" t="s">
        <v>40334</v>
      </c>
      <c r="M2531" t="s">
        <v>41731</v>
      </c>
      <c r="N2531" t="s">
        <v>44759</v>
      </c>
      <c r="O2531" t="s">
        <v>44760</v>
      </c>
      <c r="P2531">
        <v>0</v>
      </c>
      <c r="Q2531">
        <v>2</v>
      </c>
      <c r="R2531" t="s">
        <v>44762</v>
      </c>
      <c r="S2531" t="s">
        <v>44863</v>
      </c>
      <c r="T2531" t="s">
        <v>46457</v>
      </c>
      <c r="U2531" t="s">
        <v>49099</v>
      </c>
      <c r="W2531" t="s">
        <v>41731</v>
      </c>
      <c r="X2531" t="s">
        <v>44763</v>
      </c>
    </row>
    <row r="2532" spans="1:24">
      <c r="A2532">
        <f>HYPERLINK("https://www.philgeps.gov.ph/GEPSNONPILOT/Tender/SplashBidNoticeAbstractUI.aspx?menuIndex=3&amp;refID=7152075&amp;Result=3","7152075")</f>
        <v>0</v>
      </c>
      <c r="B2532" t="s">
        <v>1130</v>
      </c>
      <c r="C2532" t="s">
        <v>6187</v>
      </c>
      <c r="D2532" t="s">
        <v>17951</v>
      </c>
      <c r="E2532" t="s">
        <v>18682</v>
      </c>
      <c r="F2532" t="s">
        <v>30900</v>
      </c>
      <c r="G2532" t="s">
        <v>30907</v>
      </c>
      <c r="H2532" t="s">
        <v>30916</v>
      </c>
      <c r="I2532" t="s">
        <v>8123</v>
      </c>
      <c r="J2532" t="s">
        <v>32886</v>
      </c>
      <c r="K2532" t="s">
        <v>40288</v>
      </c>
      <c r="M2532" t="s">
        <v>41732</v>
      </c>
      <c r="N2532" t="s">
        <v>44759</v>
      </c>
      <c r="O2532" t="s">
        <v>44760</v>
      </c>
      <c r="P2532">
        <v>0</v>
      </c>
      <c r="Q2532">
        <v>0</v>
      </c>
      <c r="R2532" t="s">
        <v>44762</v>
      </c>
      <c r="S2532" t="s">
        <v>44863</v>
      </c>
      <c r="T2532" t="s">
        <v>46409</v>
      </c>
      <c r="U2532" t="s">
        <v>49100</v>
      </c>
      <c r="W2532" t="s">
        <v>41732</v>
      </c>
      <c r="X2532" t="s">
        <v>44763</v>
      </c>
    </row>
    <row r="2533" spans="1:24">
      <c r="A2533">
        <f>HYPERLINK("https://www.philgeps.gov.ph/GEPSNONPILOT/Tender/SplashBidNoticeAbstractUI.aspx?menuIndex=3&amp;refID=7152074&amp;Result=3","7152074")</f>
        <v>0</v>
      </c>
      <c r="B2533" t="s">
        <v>1100</v>
      </c>
      <c r="C2533" t="s">
        <v>6188</v>
      </c>
      <c r="D2533" t="s">
        <v>18039</v>
      </c>
      <c r="E2533" t="s">
        <v>20349</v>
      </c>
      <c r="F2533" t="s">
        <v>30900</v>
      </c>
      <c r="G2533" t="s">
        <v>30907</v>
      </c>
      <c r="H2533" t="s">
        <v>30916</v>
      </c>
      <c r="I2533" t="s">
        <v>10847</v>
      </c>
      <c r="J2533" t="s">
        <v>32887</v>
      </c>
      <c r="K2533" t="s">
        <v>40289</v>
      </c>
      <c r="M2533" t="s">
        <v>41700</v>
      </c>
      <c r="N2533" t="s">
        <v>44759</v>
      </c>
      <c r="O2533" t="s">
        <v>44760</v>
      </c>
      <c r="P2533">
        <v>0</v>
      </c>
      <c r="Q2533">
        <v>1</v>
      </c>
      <c r="R2533" t="s">
        <v>44762</v>
      </c>
      <c r="S2533" t="s">
        <v>44863</v>
      </c>
      <c r="T2533" t="s">
        <v>46540</v>
      </c>
      <c r="U2533" t="s">
        <v>49101</v>
      </c>
      <c r="W2533" t="s">
        <v>41700</v>
      </c>
      <c r="X2533" t="s">
        <v>44763</v>
      </c>
    </row>
    <row r="2534" spans="1:24">
      <c r="A2534">
        <f>HYPERLINK("https://www.philgeps.gov.ph/GEPSNONPILOT/Tender/SplashBidNoticeAbstractUI.aspx?menuIndex=3&amp;refID=7152113&amp;Result=3","7152113")</f>
        <v>0</v>
      </c>
      <c r="B2534" t="s">
        <v>1131</v>
      </c>
      <c r="C2534" t="s">
        <v>6189</v>
      </c>
      <c r="D2534" t="s">
        <v>17951</v>
      </c>
      <c r="E2534" t="s">
        <v>20350</v>
      </c>
      <c r="F2534" t="s">
        <v>30900</v>
      </c>
      <c r="G2534" t="s">
        <v>30907</v>
      </c>
      <c r="H2534" t="s">
        <v>30916</v>
      </c>
      <c r="I2534" t="s">
        <v>8123</v>
      </c>
      <c r="J2534" t="s">
        <v>32888</v>
      </c>
      <c r="K2534" t="s">
        <v>40288</v>
      </c>
      <c r="M2534" t="s">
        <v>41733</v>
      </c>
      <c r="N2534" t="s">
        <v>44759</v>
      </c>
      <c r="O2534" t="s">
        <v>44760</v>
      </c>
      <c r="P2534">
        <v>0</v>
      </c>
      <c r="Q2534">
        <v>0</v>
      </c>
      <c r="R2534" t="s">
        <v>44762</v>
      </c>
      <c r="S2534" t="s">
        <v>44863</v>
      </c>
      <c r="T2534" t="s">
        <v>46352</v>
      </c>
      <c r="U2534" t="s">
        <v>49102</v>
      </c>
      <c r="W2534" t="s">
        <v>41733</v>
      </c>
      <c r="X2534" t="s">
        <v>44763</v>
      </c>
    </row>
    <row r="2535" spans="1:24">
      <c r="A2535">
        <f>HYPERLINK("https://www.philgeps.gov.ph/GEPSNONPILOT/Tender/SplashBidNoticeAbstractUI.aspx?menuIndex=3&amp;refID=7152083&amp;Result=3","7152083")</f>
        <v>0</v>
      </c>
      <c r="B2535" t="s">
        <v>478</v>
      </c>
      <c r="C2535" t="s">
        <v>6190</v>
      </c>
      <c r="D2535" t="s">
        <v>17959</v>
      </c>
      <c r="E2535" t="s">
        <v>20351</v>
      </c>
      <c r="F2535" t="s">
        <v>30900</v>
      </c>
      <c r="G2535" t="s">
        <v>30908</v>
      </c>
      <c r="H2535" t="s">
        <v>30916</v>
      </c>
      <c r="I2535" t="s">
        <v>30921</v>
      </c>
      <c r="J2535" t="s">
        <v>32889</v>
      </c>
      <c r="K2535" t="s">
        <v>40287</v>
      </c>
      <c r="M2535" t="s">
        <v>41719</v>
      </c>
      <c r="N2535" t="s">
        <v>44759</v>
      </c>
      <c r="O2535" t="s">
        <v>44760</v>
      </c>
      <c r="P2535">
        <v>0</v>
      </c>
      <c r="Q2535">
        <v>3</v>
      </c>
      <c r="R2535" t="s">
        <v>44762</v>
      </c>
      <c r="S2535" t="s">
        <v>44863</v>
      </c>
      <c r="T2535" t="s">
        <v>46410</v>
      </c>
      <c r="U2535" t="s">
        <v>49103</v>
      </c>
      <c r="W2535" t="s">
        <v>41719</v>
      </c>
      <c r="X2535" t="s">
        <v>44763</v>
      </c>
    </row>
    <row r="2536" spans="1:24">
      <c r="A2536">
        <f>HYPERLINK("https://www.philgeps.gov.ph/GEPSNONPILOT/Tender/SplashBidNoticeAbstractUI.aspx?menuIndex=3&amp;refID=7152115&amp;Result=3","7152115")</f>
        <v>0</v>
      </c>
      <c r="B2536" t="s">
        <v>1126</v>
      </c>
      <c r="C2536" t="s">
        <v>6191</v>
      </c>
      <c r="D2536" t="s">
        <v>17966</v>
      </c>
      <c r="E2536" t="s">
        <v>20352</v>
      </c>
      <c r="F2536" t="s">
        <v>30900</v>
      </c>
      <c r="G2536" t="s">
        <v>30908</v>
      </c>
      <c r="H2536" t="s">
        <v>30916</v>
      </c>
      <c r="I2536" t="s">
        <v>30947</v>
      </c>
      <c r="J2536" t="s">
        <v>31101</v>
      </c>
      <c r="K2536" t="s">
        <v>40285</v>
      </c>
      <c r="M2536" t="s">
        <v>41728</v>
      </c>
      <c r="N2536" t="s">
        <v>44759</v>
      </c>
      <c r="O2536" t="s">
        <v>44760</v>
      </c>
      <c r="P2536">
        <v>0</v>
      </c>
      <c r="Q2536">
        <v>1</v>
      </c>
      <c r="R2536" t="s">
        <v>44762</v>
      </c>
      <c r="S2536" t="s">
        <v>44863</v>
      </c>
      <c r="T2536" t="s">
        <v>46399</v>
      </c>
      <c r="U2536" t="s">
        <v>49095</v>
      </c>
      <c r="W2536" t="s">
        <v>41728</v>
      </c>
      <c r="X2536" t="s">
        <v>44763</v>
      </c>
    </row>
    <row r="2537" spans="1:24">
      <c r="A2537">
        <f>HYPERLINK("https://www.philgeps.gov.ph/GEPSNONPILOT/Tender/SplashBidNoticeAbstractUI.aspx?menuIndex=3&amp;refID=7152088&amp;Result=3","7152088")</f>
        <v>0</v>
      </c>
      <c r="B2537" t="s">
        <v>1129</v>
      </c>
      <c r="C2537" t="s">
        <v>6192</v>
      </c>
      <c r="D2537" t="s">
        <v>17959</v>
      </c>
      <c r="E2537" t="s">
        <v>20353</v>
      </c>
      <c r="F2537" t="s">
        <v>30900</v>
      </c>
      <c r="G2537" t="s">
        <v>30908</v>
      </c>
      <c r="H2537" t="s">
        <v>30917</v>
      </c>
      <c r="I2537" t="s">
        <v>30987</v>
      </c>
      <c r="J2537" t="s">
        <v>31211</v>
      </c>
      <c r="K2537" t="s">
        <v>40334</v>
      </c>
      <c r="M2537" t="s">
        <v>41731</v>
      </c>
      <c r="N2537" t="s">
        <v>44759</v>
      </c>
      <c r="O2537" t="s">
        <v>44760</v>
      </c>
      <c r="P2537">
        <v>0</v>
      </c>
      <c r="Q2537">
        <v>3</v>
      </c>
      <c r="R2537" t="s">
        <v>44762</v>
      </c>
      <c r="S2537" t="s">
        <v>44863</v>
      </c>
      <c r="T2537" t="s">
        <v>46457</v>
      </c>
      <c r="U2537" t="s">
        <v>49104</v>
      </c>
      <c r="W2537" t="s">
        <v>41731</v>
      </c>
      <c r="X2537" t="s">
        <v>44763</v>
      </c>
    </row>
    <row r="2538" spans="1:24">
      <c r="A2538">
        <f>HYPERLINK("https://www.philgeps.gov.ph/GEPSNONPILOT/Tender/SplashBidNoticeAbstractUI.aspx?menuIndex=3&amp;refID=7152114&amp;Result=3","7152114")</f>
        <v>0</v>
      </c>
      <c r="B2538" t="s">
        <v>1132</v>
      </c>
      <c r="C2538" t="s">
        <v>6193</v>
      </c>
      <c r="D2538" t="s">
        <v>17980</v>
      </c>
      <c r="E2538" t="s">
        <v>20354</v>
      </c>
      <c r="F2538" t="s">
        <v>30899</v>
      </c>
      <c r="G2538" t="s">
        <v>30908</v>
      </c>
      <c r="H2538" t="s">
        <v>30916</v>
      </c>
      <c r="I2538" t="s">
        <v>30960</v>
      </c>
      <c r="J2538" t="s">
        <v>31310</v>
      </c>
      <c r="K2538" t="s">
        <v>40289</v>
      </c>
      <c r="M2538" t="s">
        <v>41734</v>
      </c>
      <c r="N2538" t="s">
        <v>44759</v>
      </c>
      <c r="O2538" t="s">
        <v>44760</v>
      </c>
      <c r="P2538">
        <v>0</v>
      </c>
      <c r="Q2538">
        <v>1</v>
      </c>
      <c r="R2538" t="s">
        <v>44762</v>
      </c>
      <c r="S2538" t="s">
        <v>44863</v>
      </c>
      <c r="T2538" t="s">
        <v>46395</v>
      </c>
      <c r="U2538" t="s">
        <v>49105</v>
      </c>
      <c r="W2538" t="s">
        <v>41734</v>
      </c>
      <c r="X2538" t="s">
        <v>44763</v>
      </c>
    </row>
    <row r="2539" spans="1:24">
      <c r="A2539">
        <f>HYPERLINK("https://www.philgeps.gov.ph/GEPSNONPILOT/Tender/SplashBidNoticeAbstractUI.aspx?menuIndex=3&amp;refID=7152097&amp;Result=3","7152097")</f>
        <v>0</v>
      </c>
      <c r="B2539" t="s">
        <v>997</v>
      </c>
      <c r="C2539" t="s">
        <v>6194</v>
      </c>
      <c r="D2539" t="s">
        <v>17959</v>
      </c>
      <c r="E2539" t="s">
        <v>20355</v>
      </c>
      <c r="F2539" t="s">
        <v>30900</v>
      </c>
      <c r="G2539" t="s">
        <v>30907</v>
      </c>
      <c r="H2539" t="s">
        <v>30916</v>
      </c>
      <c r="I2539" t="s">
        <v>11785</v>
      </c>
      <c r="J2539" t="s">
        <v>32890</v>
      </c>
      <c r="K2539" t="s">
        <v>40280</v>
      </c>
      <c r="M2539" t="s">
        <v>41735</v>
      </c>
      <c r="N2539" t="s">
        <v>44759</v>
      </c>
      <c r="O2539" t="s">
        <v>44760</v>
      </c>
      <c r="P2539">
        <v>0</v>
      </c>
      <c r="Q2539">
        <v>2</v>
      </c>
      <c r="R2539" t="s">
        <v>44762</v>
      </c>
      <c r="S2539" t="s">
        <v>44863</v>
      </c>
      <c r="T2539" t="s">
        <v>46465</v>
      </c>
      <c r="U2539" t="s">
        <v>49106</v>
      </c>
      <c r="W2539" t="s">
        <v>41735</v>
      </c>
      <c r="X2539" t="s">
        <v>44763</v>
      </c>
    </row>
    <row r="2540" spans="1:24">
      <c r="A2540">
        <f>HYPERLINK("https://www.philgeps.gov.ph/GEPSNONPILOT/Tender/SplashBidNoticeAbstractUI.aspx?menuIndex=3&amp;refID=7152111&amp;Result=3","7152111")</f>
        <v>0</v>
      </c>
      <c r="B2540" t="s">
        <v>1123</v>
      </c>
      <c r="C2540" t="s">
        <v>6195</v>
      </c>
      <c r="E2540" t="s">
        <v>20356</v>
      </c>
      <c r="F2540" t="s">
        <v>30900</v>
      </c>
      <c r="G2540" t="s">
        <v>30909</v>
      </c>
      <c r="H2540" t="s">
        <v>30916</v>
      </c>
      <c r="I2540" t="s">
        <v>30994</v>
      </c>
      <c r="J2540" t="s">
        <v>32891</v>
      </c>
      <c r="K2540" t="s">
        <v>40285</v>
      </c>
      <c r="M2540" t="s">
        <v>41725</v>
      </c>
      <c r="N2540" t="s">
        <v>44759</v>
      </c>
      <c r="O2540" t="s">
        <v>44760</v>
      </c>
      <c r="P2540">
        <v>0</v>
      </c>
      <c r="Q2540">
        <v>3</v>
      </c>
      <c r="R2540" t="s">
        <v>44762</v>
      </c>
      <c r="S2540" t="s">
        <v>44863</v>
      </c>
      <c r="T2540" t="s">
        <v>46398</v>
      </c>
      <c r="U2540" t="s">
        <v>49089</v>
      </c>
      <c r="W2540" t="s">
        <v>41725</v>
      </c>
      <c r="X2540" t="s">
        <v>44763</v>
      </c>
    </row>
    <row r="2541" spans="1:24">
      <c r="A2541">
        <f>HYPERLINK("https://www.philgeps.gov.ph/GEPSNONPILOT/Tender/SplashBidNoticeAbstractUI.aspx?menuIndex=3&amp;refID=7152116&amp;Result=3","7152116")</f>
        <v>0</v>
      </c>
      <c r="B2541" t="s">
        <v>1133</v>
      </c>
      <c r="C2541" t="s">
        <v>6196</v>
      </c>
      <c r="D2541" t="s">
        <v>17959</v>
      </c>
      <c r="E2541" t="s">
        <v>20357</v>
      </c>
      <c r="F2541" t="s">
        <v>30900</v>
      </c>
      <c r="G2541" t="s">
        <v>30907</v>
      </c>
      <c r="H2541" t="s">
        <v>30916</v>
      </c>
      <c r="I2541" t="s">
        <v>6396</v>
      </c>
      <c r="J2541" t="s">
        <v>31936</v>
      </c>
      <c r="K2541" t="s">
        <v>40289</v>
      </c>
      <c r="M2541" t="s">
        <v>41736</v>
      </c>
      <c r="N2541" t="s">
        <v>44759</v>
      </c>
      <c r="O2541" t="s">
        <v>44760</v>
      </c>
      <c r="Q2541">
        <v>7</v>
      </c>
      <c r="R2541" t="s">
        <v>44762</v>
      </c>
      <c r="S2541" t="s">
        <v>44874</v>
      </c>
      <c r="T2541" t="s">
        <v>46599</v>
      </c>
      <c r="U2541" t="s">
        <v>49107</v>
      </c>
      <c r="W2541" t="s">
        <v>41736</v>
      </c>
      <c r="X2541" t="s">
        <v>44763</v>
      </c>
    </row>
    <row r="2542" spans="1:24">
      <c r="A2542">
        <f>HYPERLINK("https://www.philgeps.gov.ph/GEPSNONPILOT/Tender/SplashBidNoticeAbstractUI.aspx?menuIndex=3&amp;refID=7152108&amp;Result=3","7152108")</f>
        <v>0</v>
      </c>
      <c r="B2542" t="s">
        <v>1133</v>
      </c>
      <c r="C2542" t="s">
        <v>6197</v>
      </c>
      <c r="D2542" t="s">
        <v>17959</v>
      </c>
      <c r="E2542" t="s">
        <v>20358</v>
      </c>
      <c r="F2542" t="s">
        <v>30900</v>
      </c>
      <c r="G2542" t="s">
        <v>30907</v>
      </c>
      <c r="H2542" t="s">
        <v>30916</v>
      </c>
      <c r="I2542" t="s">
        <v>30924</v>
      </c>
      <c r="J2542" t="s">
        <v>32892</v>
      </c>
      <c r="K2542" t="s">
        <v>40289</v>
      </c>
      <c r="M2542" t="s">
        <v>41736</v>
      </c>
      <c r="N2542" t="s">
        <v>44759</v>
      </c>
      <c r="O2542" t="s">
        <v>44760</v>
      </c>
      <c r="Q2542">
        <v>15</v>
      </c>
      <c r="R2542" t="s">
        <v>44762</v>
      </c>
      <c r="S2542" t="s">
        <v>44875</v>
      </c>
      <c r="T2542" t="s">
        <v>46380</v>
      </c>
      <c r="U2542" t="s">
        <v>49107</v>
      </c>
      <c r="W2542" t="s">
        <v>41736</v>
      </c>
      <c r="X2542" t="s">
        <v>44763</v>
      </c>
    </row>
    <row r="2543" spans="1:24">
      <c r="A2543">
        <f>HYPERLINK("https://www.philgeps.gov.ph/GEPSNONPILOT/Tender/SplashBidNoticeAbstractUI.aspx?menuIndex=3&amp;refID=7152107&amp;Result=3","7152107")</f>
        <v>0</v>
      </c>
      <c r="B2543" t="s">
        <v>1014</v>
      </c>
      <c r="C2543" t="s">
        <v>6198</v>
      </c>
      <c r="D2543" t="s">
        <v>18014</v>
      </c>
      <c r="E2543" t="s">
        <v>20359</v>
      </c>
      <c r="F2543" t="s">
        <v>30900</v>
      </c>
      <c r="G2543" t="s">
        <v>30908</v>
      </c>
      <c r="H2543" t="s">
        <v>30916</v>
      </c>
      <c r="I2543" t="s">
        <v>31005</v>
      </c>
      <c r="J2543" t="s">
        <v>31374</v>
      </c>
      <c r="K2543" t="s">
        <v>40289</v>
      </c>
      <c r="M2543" t="s">
        <v>41737</v>
      </c>
      <c r="N2543" t="s">
        <v>44759</v>
      </c>
      <c r="O2543" t="s">
        <v>44760</v>
      </c>
      <c r="P2543">
        <v>0</v>
      </c>
      <c r="Q2543">
        <v>4</v>
      </c>
      <c r="R2543" t="s">
        <v>44762</v>
      </c>
      <c r="S2543" t="s">
        <v>44863</v>
      </c>
      <c r="T2543" t="s">
        <v>46425</v>
      </c>
      <c r="U2543" t="s">
        <v>49108</v>
      </c>
      <c r="W2543" t="s">
        <v>41737</v>
      </c>
      <c r="X2543" t="s">
        <v>44763</v>
      </c>
    </row>
    <row r="2544" spans="1:24">
      <c r="A2544">
        <f>HYPERLINK("https://www.philgeps.gov.ph/GEPSNONPILOT/Tender/SplashBidNoticeAbstractUI.aspx?menuIndex=3&amp;refID=7152089&amp;Result=3","7152089")</f>
        <v>0</v>
      </c>
      <c r="B2544" t="s">
        <v>1120</v>
      </c>
      <c r="C2544" t="s">
        <v>6199</v>
      </c>
      <c r="E2544" t="s">
        <v>20360</v>
      </c>
      <c r="F2544" t="s">
        <v>30900</v>
      </c>
      <c r="G2544" t="s">
        <v>30907</v>
      </c>
      <c r="H2544" t="s">
        <v>30915</v>
      </c>
      <c r="I2544" t="s">
        <v>30919</v>
      </c>
      <c r="J2544" t="s">
        <v>31096</v>
      </c>
      <c r="K2544" t="s">
        <v>40294</v>
      </c>
      <c r="M2544" t="s">
        <v>41722</v>
      </c>
      <c r="N2544" t="s">
        <v>44759</v>
      </c>
      <c r="O2544" t="s">
        <v>44760</v>
      </c>
      <c r="P2544">
        <v>0</v>
      </c>
      <c r="Q2544">
        <v>0</v>
      </c>
      <c r="R2544" t="s">
        <v>44762</v>
      </c>
      <c r="S2544" t="s">
        <v>44863</v>
      </c>
      <c r="T2544" t="s">
        <v>46427</v>
      </c>
      <c r="U2544" t="s">
        <v>49109</v>
      </c>
      <c r="W2544" t="s">
        <v>41722</v>
      </c>
      <c r="X2544" t="s">
        <v>44763</v>
      </c>
    </row>
    <row r="2545" spans="1:24">
      <c r="A2545">
        <f>HYPERLINK("https://www.philgeps.gov.ph/GEPSNONPILOT/Tender/SplashBidNoticeAbstractUI.aspx?menuIndex=3&amp;refID=7152106&amp;Result=3","7152106")</f>
        <v>0</v>
      </c>
      <c r="B2545" t="s">
        <v>1134</v>
      </c>
      <c r="C2545" t="s">
        <v>6200</v>
      </c>
      <c r="D2545" t="s">
        <v>17962</v>
      </c>
      <c r="E2545" t="s">
        <v>20361</v>
      </c>
      <c r="F2545" t="s">
        <v>30900</v>
      </c>
      <c r="G2545" t="s">
        <v>30908</v>
      </c>
      <c r="H2545" t="s">
        <v>30916</v>
      </c>
      <c r="I2545" t="s">
        <v>6746</v>
      </c>
      <c r="J2545" t="s">
        <v>32893</v>
      </c>
      <c r="K2545" t="s">
        <v>40287</v>
      </c>
      <c r="M2545" t="s">
        <v>41738</v>
      </c>
      <c r="N2545" t="s">
        <v>44759</v>
      </c>
      <c r="O2545" t="s">
        <v>44760</v>
      </c>
      <c r="P2545">
        <v>0</v>
      </c>
      <c r="Q2545">
        <v>1</v>
      </c>
      <c r="R2545" t="s">
        <v>44762</v>
      </c>
      <c r="S2545" t="s">
        <v>44863</v>
      </c>
      <c r="T2545" t="s">
        <v>46398</v>
      </c>
      <c r="U2545" t="s">
        <v>49110</v>
      </c>
      <c r="W2545" t="s">
        <v>41738</v>
      </c>
      <c r="X2545" t="s">
        <v>44763</v>
      </c>
    </row>
    <row r="2546" spans="1:24">
      <c r="A2546">
        <f>HYPERLINK("https://www.philgeps.gov.ph/GEPSNONPILOT/Tender/SplashBidNoticeAbstractUI.aspx?menuIndex=3&amp;refID=7152103&amp;Result=3","7152103")</f>
        <v>0</v>
      </c>
      <c r="B2546" t="s">
        <v>918</v>
      </c>
      <c r="C2546" t="s">
        <v>6201</v>
      </c>
      <c r="D2546" t="s">
        <v>17959</v>
      </c>
      <c r="E2546" t="s">
        <v>20362</v>
      </c>
      <c r="F2546" t="s">
        <v>30900</v>
      </c>
      <c r="G2546" t="s">
        <v>30908</v>
      </c>
      <c r="H2546" t="s">
        <v>30916</v>
      </c>
      <c r="I2546" t="s">
        <v>30962</v>
      </c>
      <c r="J2546" t="s">
        <v>32894</v>
      </c>
      <c r="K2546" t="s">
        <v>40286</v>
      </c>
      <c r="M2546" t="s">
        <v>41650</v>
      </c>
      <c r="N2546" t="s">
        <v>44759</v>
      </c>
      <c r="O2546" t="s">
        <v>44760</v>
      </c>
      <c r="P2546">
        <v>0</v>
      </c>
      <c r="Q2546">
        <v>6</v>
      </c>
      <c r="R2546" t="s">
        <v>44762</v>
      </c>
      <c r="S2546" t="s">
        <v>44863</v>
      </c>
      <c r="T2546" t="s">
        <v>46414</v>
      </c>
      <c r="U2546" t="s">
        <v>48703</v>
      </c>
      <c r="W2546" t="s">
        <v>41650</v>
      </c>
      <c r="X2546" t="s">
        <v>44763</v>
      </c>
    </row>
    <row r="2547" spans="1:24">
      <c r="A2547">
        <f>HYPERLINK("https://www.philgeps.gov.ph/GEPSNONPILOT/Tender/SplashBidNoticeAbstractUI.aspx?menuIndex=3&amp;refID=7152102&amp;Result=3","7152102")</f>
        <v>0</v>
      </c>
      <c r="B2547" t="s">
        <v>1126</v>
      </c>
      <c r="C2547" t="s">
        <v>4064</v>
      </c>
      <c r="D2547" t="s">
        <v>17966</v>
      </c>
      <c r="E2547" t="s">
        <v>20363</v>
      </c>
      <c r="F2547" t="s">
        <v>30900</v>
      </c>
      <c r="G2547" t="s">
        <v>30908</v>
      </c>
      <c r="H2547" t="s">
        <v>30916</v>
      </c>
      <c r="I2547" t="s">
        <v>10847</v>
      </c>
      <c r="J2547" t="s">
        <v>31451</v>
      </c>
      <c r="K2547" t="s">
        <v>40285</v>
      </c>
      <c r="M2547" t="s">
        <v>41728</v>
      </c>
      <c r="N2547" t="s">
        <v>44759</v>
      </c>
      <c r="O2547" t="s">
        <v>44760</v>
      </c>
      <c r="P2547">
        <v>0</v>
      </c>
      <c r="Q2547">
        <v>0</v>
      </c>
      <c r="R2547" t="s">
        <v>44762</v>
      </c>
      <c r="S2547" t="s">
        <v>44863</v>
      </c>
      <c r="T2547" t="s">
        <v>46399</v>
      </c>
      <c r="U2547" t="s">
        <v>49095</v>
      </c>
      <c r="W2547" t="s">
        <v>41728</v>
      </c>
      <c r="X2547" t="s">
        <v>44763</v>
      </c>
    </row>
    <row r="2548" spans="1:24">
      <c r="A2548">
        <f>HYPERLINK("https://www.philgeps.gov.ph/GEPSNONPILOT/Tender/SplashBidNoticeAbstractUI.aspx?menuIndex=3&amp;refID=7152112&amp;Result=3","7152112")</f>
        <v>0</v>
      </c>
      <c r="B2548" t="s">
        <v>918</v>
      </c>
      <c r="C2548" t="s">
        <v>6202</v>
      </c>
      <c r="D2548" t="s">
        <v>17959</v>
      </c>
      <c r="E2548" t="s">
        <v>20364</v>
      </c>
      <c r="F2548" t="s">
        <v>30900</v>
      </c>
      <c r="G2548" t="s">
        <v>30910</v>
      </c>
      <c r="H2548" t="s">
        <v>30916</v>
      </c>
      <c r="I2548" t="s">
        <v>4142</v>
      </c>
      <c r="J2548" t="s">
        <v>32895</v>
      </c>
      <c r="K2548" t="s">
        <v>40286</v>
      </c>
      <c r="M2548" t="s">
        <v>41650</v>
      </c>
      <c r="N2548" t="s">
        <v>44759</v>
      </c>
      <c r="O2548" t="s">
        <v>44760</v>
      </c>
      <c r="P2548">
        <v>0</v>
      </c>
      <c r="Q2548">
        <v>2</v>
      </c>
      <c r="R2548" t="s">
        <v>44762</v>
      </c>
      <c r="S2548" t="s">
        <v>44863</v>
      </c>
      <c r="T2548" t="s">
        <v>46414</v>
      </c>
      <c r="U2548" t="s">
        <v>48611</v>
      </c>
      <c r="W2548" t="s">
        <v>41650</v>
      </c>
      <c r="X2548" t="s">
        <v>44763</v>
      </c>
    </row>
    <row r="2549" spans="1:24">
      <c r="A2549">
        <f>HYPERLINK("https://www.philgeps.gov.ph/GEPSNONPILOT/Tender/SplashBidNoticeAbstractUI.aspx?menuIndex=3&amp;refID=7152138&amp;Result=3","7152138")</f>
        <v>0</v>
      </c>
      <c r="B2549" t="s">
        <v>130</v>
      </c>
      <c r="C2549" t="s">
        <v>6203</v>
      </c>
      <c r="D2549" t="s">
        <v>18001</v>
      </c>
      <c r="E2549" t="s">
        <v>20365</v>
      </c>
      <c r="F2549" t="s">
        <v>30900</v>
      </c>
      <c r="G2549" t="s">
        <v>30908</v>
      </c>
      <c r="H2549" t="s">
        <v>30916</v>
      </c>
      <c r="I2549" t="s">
        <v>10602</v>
      </c>
      <c r="J2549" t="s">
        <v>32896</v>
      </c>
      <c r="K2549" t="s">
        <v>40282</v>
      </c>
      <c r="M2549" t="s">
        <v>40677</v>
      </c>
      <c r="N2549" t="s">
        <v>44759</v>
      </c>
      <c r="O2549" t="s">
        <v>44760</v>
      </c>
      <c r="P2549">
        <v>0</v>
      </c>
      <c r="Q2549">
        <v>0</v>
      </c>
      <c r="R2549" t="s">
        <v>44762</v>
      </c>
      <c r="S2549" t="s">
        <v>44863</v>
      </c>
      <c r="T2549" t="s">
        <v>46390</v>
      </c>
      <c r="U2549" t="s">
        <v>49111</v>
      </c>
      <c r="W2549" t="s">
        <v>40677</v>
      </c>
      <c r="X2549" t="s">
        <v>44763</v>
      </c>
    </row>
    <row r="2550" spans="1:24">
      <c r="A2550">
        <f>HYPERLINK("https://www.philgeps.gov.ph/GEPSNONPILOT/Tender/SplashBidNoticeAbstractUI.aspx?menuIndex=3&amp;refID=7152110&amp;Result=3","7152110")</f>
        <v>0</v>
      </c>
      <c r="B2550" t="s">
        <v>1100</v>
      </c>
      <c r="C2550" t="s">
        <v>6204</v>
      </c>
      <c r="D2550" t="s">
        <v>18032</v>
      </c>
      <c r="E2550" t="s">
        <v>20366</v>
      </c>
      <c r="F2550" t="s">
        <v>30900</v>
      </c>
      <c r="G2550" t="s">
        <v>30907</v>
      </c>
      <c r="H2550" t="s">
        <v>30916</v>
      </c>
      <c r="I2550" t="s">
        <v>10847</v>
      </c>
      <c r="J2550" t="s">
        <v>32897</v>
      </c>
      <c r="K2550" t="s">
        <v>40289</v>
      </c>
      <c r="M2550" t="s">
        <v>41700</v>
      </c>
      <c r="N2550" t="s">
        <v>44759</v>
      </c>
      <c r="O2550" t="s">
        <v>44760</v>
      </c>
      <c r="P2550">
        <v>0</v>
      </c>
      <c r="Q2550">
        <v>1</v>
      </c>
      <c r="R2550" t="s">
        <v>44762</v>
      </c>
      <c r="S2550" t="s">
        <v>44863</v>
      </c>
      <c r="T2550" t="s">
        <v>46540</v>
      </c>
      <c r="U2550" t="s">
        <v>49112</v>
      </c>
      <c r="W2550" t="s">
        <v>41700</v>
      </c>
      <c r="X2550" t="s">
        <v>44763</v>
      </c>
    </row>
    <row r="2551" spans="1:24">
      <c r="A2551">
        <f>HYPERLINK("https://www.philgeps.gov.ph/GEPSNONPILOT/Tender/SplashBidNoticeAbstractUI.aspx?menuIndex=3&amp;refID=7152137&amp;Result=3","7152137")</f>
        <v>0</v>
      </c>
      <c r="B2551" t="s">
        <v>1135</v>
      </c>
      <c r="C2551" t="s">
        <v>6205</v>
      </c>
      <c r="E2551" t="s">
        <v>20367</v>
      </c>
      <c r="F2551" t="s">
        <v>30900</v>
      </c>
      <c r="G2551" t="s">
        <v>30907</v>
      </c>
      <c r="H2551" t="s">
        <v>30916</v>
      </c>
      <c r="I2551" t="s">
        <v>30936</v>
      </c>
      <c r="J2551" t="s">
        <v>31391</v>
      </c>
      <c r="K2551" t="s">
        <v>40292</v>
      </c>
      <c r="M2551" t="s">
        <v>41739</v>
      </c>
      <c r="N2551" t="s">
        <v>44759</v>
      </c>
      <c r="O2551" t="s">
        <v>44760</v>
      </c>
      <c r="P2551">
        <v>0</v>
      </c>
      <c r="Q2551">
        <v>0</v>
      </c>
      <c r="R2551" t="s">
        <v>44762</v>
      </c>
      <c r="S2551" t="s">
        <v>44863</v>
      </c>
      <c r="T2551" t="s">
        <v>46600</v>
      </c>
      <c r="U2551" t="s">
        <v>49113</v>
      </c>
      <c r="W2551" t="s">
        <v>41739</v>
      </c>
      <c r="X2551" t="s">
        <v>44763</v>
      </c>
    </row>
    <row r="2552" spans="1:24">
      <c r="A2552">
        <f>HYPERLINK("https://www.philgeps.gov.ph/GEPSNONPILOT/Tender/SplashBidNoticeAbstractUI.aspx?menuIndex=3&amp;refID=7152078&amp;Result=3","7152078")</f>
        <v>0</v>
      </c>
      <c r="B2552" t="s">
        <v>1136</v>
      </c>
      <c r="C2552" t="s">
        <v>6206</v>
      </c>
      <c r="D2552" t="s">
        <v>17963</v>
      </c>
      <c r="E2552" t="s">
        <v>20368</v>
      </c>
      <c r="F2552" t="s">
        <v>30900</v>
      </c>
      <c r="G2552" t="s">
        <v>30908</v>
      </c>
      <c r="H2552" t="s">
        <v>30916</v>
      </c>
      <c r="I2552" t="s">
        <v>5830</v>
      </c>
      <c r="J2552" t="s">
        <v>32898</v>
      </c>
      <c r="K2552" t="s">
        <v>40283</v>
      </c>
      <c r="M2552" t="s">
        <v>41740</v>
      </c>
      <c r="N2552" t="s">
        <v>44759</v>
      </c>
      <c r="O2552" t="s">
        <v>44760</v>
      </c>
      <c r="P2552">
        <v>0</v>
      </c>
      <c r="Q2552">
        <v>1</v>
      </c>
      <c r="R2552" t="s">
        <v>44762</v>
      </c>
      <c r="S2552" t="s">
        <v>44863</v>
      </c>
      <c r="T2552" t="s">
        <v>46379</v>
      </c>
      <c r="U2552" t="s">
        <v>49114</v>
      </c>
      <c r="V2552" t="s">
        <v>59200</v>
      </c>
      <c r="W2552" t="s">
        <v>41740</v>
      </c>
      <c r="X2552" t="s">
        <v>44763</v>
      </c>
    </row>
    <row r="2553" spans="1:24">
      <c r="A2553">
        <f>HYPERLINK("https://www.philgeps.gov.ph/GEPSNONPILOT/Tender/SplashBidNoticeAbstractUI.aspx?menuIndex=3&amp;refID=7152063&amp;Result=3","7152063")</f>
        <v>0</v>
      </c>
      <c r="B2553" t="s">
        <v>1118</v>
      </c>
      <c r="C2553" t="s">
        <v>6207</v>
      </c>
      <c r="E2553" t="s">
        <v>20369</v>
      </c>
      <c r="F2553" t="s">
        <v>30900</v>
      </c>
      <c r="G2553" t="s">
        <v>30907</v>
      </c>
      <c r="H2553" t="s">
        <v>30916</v>
      </c>
      <c r="I2553" t="s">
        <v>4142</v>
      </c>
      <c r="J2553" t="s">
        <v>31211</v>
      </c>
      <c r="K2553" t="s">
        <v>40289</v>
      </c>
      <c r="M2553" t="s">
        <v>41720</v>
      </c>
      <c r="N2553" t="s">
        <v>44759</v>
      </c>
      <c r="O2553" t="s">
        <v>44760</v>
      </c>
      <c r="P2553">
        <v>0</v>
      </c>
      <c r="Q2553">
        <v>1</v>
      </c>
      <c r="R2553" t="s">
        <v>44762</v>
      </c>
      <c r="S2553" t="s">
        <v>44863</v>
      </c>
      <c r="T2553" t="s">
        <v>46409</v>
      </c>
      <c r="U2553" t="s">
        <v>49115</v>
      </c>
      <c r="W2553" t="s">
        <v>41720</v>
      </c>
      <c r="X2553" t="s">
        <v>44763</v>
      </c>
    </row>
    <row r="2554" spans="1:24">
      <c r="A2554">
        <f>HYPERLINK("https://www.philgeps.gov.ph/GEPSNONPILOT/Tender/SplashBidNoticeAbstractUI.aspx?menuIndex=3&amp;refID=7152134&amp;Result=3","7152134")</f>
        <v>0</v>
      </c>
      <c r="B2554" t="s">
        <v>1137</v>
      </c>
      <c r="C2554" t="s">
        <v>6208</v>
      </c>
      <c r="D2554" t="s">
        <v>17962</v>
      </c>
      <c r="E2554" t="s">
        <v>20370</v>
      </c>
      <c r="F2554" t="s">
        <v>30900</v>
      </c>
      <c r="G2554" t="s">
        <v>30908</v>
      </c>
      <c r="H2554" t="s">
        <v>30916</v>
      </c>
      <c r="I2554" t="s">
        <v>30927</v>
      </c>
      <c r="J2554" t="s">
        <v>32899</v>
      </c>
      <c r="K2554" t="s">
        <v>40287</v>
      </c>
      <c r="M2554" t="s">
        <v>41741</v>
      </c>
      <c r="N2554" t="s">
        <v>44759</v>
      </c>
      <c r="O2554" t="s">
        <v>44760</v>
      </c>
      <c r="P2554">
        <v>0</v>
      </c>
      <c r="Q2554">
        <v>0</v>
      </c>
      <c r="R2554" t="s">
        <v>44762</v>
      </c>
      <c r="S2554" t="s">
        <v>44863</v>
      </c>
      <c r="T2554" t="s">
        <v>46398</v>
      </c>
      <c r="U2554" t="s">
        <v>49116</v>
      </c>
      <c r="W2554" t="s">
        <v>41741</v>
      </c>
      <c r="X2554" t="s">
        <v>44763</v>
      </c>
    </row>
    <row r="2555" spans="1:24">
      <c r="A2555">
        <f>HYPERLINK("https://www.philgeps.gov.ph/GEPSNONPILOT/Tender/SplashBidNoticeAbstractUI.aspx?menuIndex=3&amp;refID=7152132&amp;Result=3","7152132")</f>
        <v>0</v>
      </c>
      <c r="B2555" t="s">
        <v>130</v>
      </c>
      <c r="C2555" t="s">
        <v>6209</v>
      </c>
      <c r="D2555" t="s">
        <v>18001</v>
      </c>
      <c r="E2555" t="s">
        <v>20371</v>
      </c>
      <c r="F2555" t="s">
        <v>30900</v>
      </c>
      <c r="G2555" t="s">
        <v>30908</v>
      </c>
      <c r="H2555" t="s">
        <v>30916</v>
      </c>
      <c r="I2555" t="s">
        <v>10602</v>
      </c>
      <c r="J2555" t="s">
        <v>32900</v>
      </c>
      <c r="K2555" t="s">
        <v>40282</v>
      </c>
      <c r="M2555" t="s">
        <v>40677</v>
      </c>
      <c r="N2555" t="s">
        <v>44759</v>
      </c>
      <c r="O2555" t="s">
        <v>44760</v>
      </c>
      <c r="P2555">
        <v>0</v>
      </c>
      <c r="Q2555">
        <v>0</v>
      </c>
      <c r="R2555" t="s">
        <v>44762</v>
      </c>
      <c r="S2555" t="s">
        <v>44863</v>
      </c>
      <c r="T2555" t="s">
        <v>46390</v>
      </c>
      <c r="U2555" t="s">
        <v>49117</v>
      </c>
      <c r="W2555" t="s">
        <v>40677</v>
      </c>
      <c r="X2555" t="s">
        <v>44763</v>
      </c>
    </row>
    <row r="2556" spans="1:24">
      <c r="A2556">
        <f>HYPERLINK("https://www.philgeps.gov.ph/GEPSNONPILOT/Tender/SplashBidNoticeAbstractUI.aspx?menuIndex=3&amp;refID=7152120&amp;Result=3","7152120")</f>
        <v>0</v>
      </c>
      <c r="B2556" t="s">
        <v>1121</v>
      </c>
      <c r="C2556" t="s">
        <v>6210</v>
      </c>
      <c r="D2556" t="s">
        <v>17981</v>
      </c>
      <c r="E2556" t="s">
        <v>20372</v>
      </c>
      <c r="F2556" t="s">
        <v>30900</v>
      </c>
      <c r="G2556" t="s">
        <v>30908</v>
      </c>
      <c r="H2556" t="s">
        <v>30916</v>
      </c>
      <c r="I2556" t="s">
        <v>30942</v>
      </c>
      <c r="J2556" t="s">
        <v>31204</v>
      </c>
      <c r="K2556" t="s">
        <v>40286</v>
      </c>
      <c r="M2556" t="s">
        <v>41742</v>
      </c>
      <c r="N2556" t="s">
        <v>44759</v>
      </c>
      <c r="O2556" t="s">
        <v>44760</v>
      </c>
      <c r="P2556">
        <v>0</v>
      </c>
      <c r="Q2556">
        <v>0</v>
      </c>
      <c r="R2556" t="s">
        <v>44762</v>
      </c>
      <c r="S2556" t="s">
        <v>44863</v>
      </c>
      <c r="T2556" t="s">
        <v>46440</v>
      </c>
      <c r="U2556" t="s">
        <v>49118</v>
      </c>
      <c r="V2556" t="s">
        <v>59401</v>
      </c>
      <c r="W2556" t="s">
        <v>41742</v>
      </c>
      <c r="X2556" t="s">
        <v>44763</v>
      </c>
    </row>
    <row r="2557" spans="1:24">
      <c r="A2557">
        <f>HYPERLINK("https://www.philgeps.gov.ph/GEPSNONPILOT/Tender/SplashBidNoticeAbstractUI.aspx?menuIndex=3&amp;refID=7152135&amp;Result=3","7152135")</f>
        <v>0</v>
      </c>
      <c r="B2557" t="s">
        <v>1126</v>
      </c>
      <c r="C2557" t="s">
        <v>6211</v>
      </c>
      <c r="D2557" t="s">
        <v>17966</v>
      </c>
      <c r="E2557" t="s">
        <v>20373</v>
      </c>
      <c r="F2557" t="s">
        <v>30900</v>
      </c>
      <c r="G2557" t="s">
        <v>30908</v>
      </c>
      <c r="H2557" t="s">
        <v>30916</v>
      </c>
      <c r="I2557" t="s">
        <v>30947</v>
      </c>
      <c r="J2557" t="s">
        <v>31806</v>
      </c>
      <c r="K2557" t="s">
        <v>40285</v>
      </c>
      <c r="M2557" t="s">
        <v>41728</v>
      </c>
      <c r="N2557" t="s">
        <v>44759</v>
      </c>
      <c r="O2557" t="s">
        <v>44760</v>
      </c>
      <c r="P2557">
        <v>0</v>
      </c>
      <c r="Q2557">
        <v>0</v>
      </c>
      <c r="R2557" t="s">
        <v>44762</v>
      </c>
      <c r="S2557" t="s">
        <v>44863</v>
      </c>
      <c r="T2557" t="s">
        <v>46399</v>
      </c>
      <c r="U2557" t="s">
        <v>49095</v>
      </c>
      <c r="W2557" t="s">
        <v>41728</v>
      </c>
      <c r="X2557" t="s">
        <v>44763</v>
      </c>
    </row>
    <row r="2558" spans="1:24">
      <c r="A2558">
        <f>HYPERLINK("https://www.philgeps.gov.ph/GEPSNONPILOT/Tender/SplashBidNoticeAbstractUI.aspx?menuIndex=3&amp;refID=7152129&amp;Result=3","7152129")</f>
        <v>0</v>
      </c>
      <c r="B2558" t="s">
        <v>1138</v>
      </c>
      <c r="C2558" t="s">
        <v>6212</v>
      </c>
      <c r="D2558" t="s">
        <v>17966</v>
      </c>
      <c r="E2558" t="s">
        <v>20374</v>
      </c>
      <c r="F2558" t="s">
        <v>30900</v>
      </c>
      <c r="G2558" t="s">
        <v>30907</v>
      </c>
      <c r="H2558" t="s">
        <v>30916</v>
      </c>
      <c r="I2558" t="s">
        <v>30933</v>
      </c>
      <c r="J2558" t="s">
        <v>32901</v>
      </c>
      <c r="K2558" t="s">
        <v>40287</v>
      </c>
      <c r="M2558" t="s">
        <v>41743</v>
      </c>
      <c r="N2558" t="s">
        <v>44759</v>
      </c>
      <c r="O2558" t="s">
        <v>44760</v>
      </c>
      <c r="P2558">
        <v>0</v>
      </c>
      <c r="Q2558">
        <v>0</v>
      </c>
      <c r="R2558" t="s">
        <v>44762</v>
      </c>
      <c r="S2558" t="s">
        <v>44863</v>
      </c>
      <c r="T2558" t="s">
        <v>46352</v>
      </c>
      <c r="U2558" t="s">
        <v>49119</v>
      </c>
      <c r="W2558" t="s">
        <v>41743</v>
      </c>
      <c r="X2558" t="s">
        <v>44763</v>
      </c>
    </row>
    <row r="2559" spans="1:24">
      <c r="A2559">
        <f>HYPERLINK("https://www.philgeps.gov.ph/GEPSNONPILOT/Tender/SplashBidNoticeAbstractUI.aspx?menuIndex=3&amp;refID=7152128&amp;Result=3","7152128")</f>
        <v>0</v>
      </c>
      <c r="B2559" t="s">
        <v>1139</v>
      </c>
      <c r="C2559" t="s">
        <v>6213</v>
      </c>
      <c r="D2559" t="s">
        <v>17962</v>
      </c>
      <c r="E2559" t="s">
        <v>18909</v>
      </c>
      <c r="F2559" t="s">
        <v>30900</v>
      </c>
      <c r="G2559" t="s">
        <v>30908</v>
      </c>
      <c r="H2559" t="s">
        <v>30916</v>
      </c>
      <c r="I2559" t="s">
        <v>30927</v>
      </c>
      <c r="J2559" t="s">
        <v>32902</v>
      </c>
      <c r="K2559" t="s">
        <v>40287</v>
      </c>
      <c r="M2559" t="s">
        <v>41744</v>
      </c>
      <c r="N2559" t="s">
        <v>44759</v>
      </c>
      <c r="O2559" t="s">
        <v>44760</v>
      </c>
      <c r="P2559">
        <v>0</v>
      </c>
      <c r="Q2559">
        <v>0</v>
      </c>
      <c r="R2559" t="s">
        <v>44762</v>
      </c>
      <c r="S2559" t="s">
        <v>44863</v>
      </c>
      <c r="T2559" t="s">
        <v>46398</v>
      </c>
      <c r="U2559" t="s">
        <v>49120</v>
      </c>
      <c r="W2559" t="s">
        <v>41744</v>
      </c>
      <c r="X2559" t="s">
        <v>44763</v>
      </c>
    </row>
    <row r="2560" spans="1:24">
      <c r="A2560">
        <f>HYPERLINK("https://www.philgeps.gov.ph/GEPSNONPILOT/Tender/SplashBidNoticeAbstractUI.aspx?menuIndex=3&amp;refID=7152127&amp;Result=3","7152127")</f>
        <v>0</v>
      </c>
      <c r="B2560" t="s">
        <v>1140</v>
      </c>
      <c r="C2560" t="s">
        <v>6214</v>
      </c>
      <c r="E2560" t="s">
        <v>20375</v>
      </c>
      <c r="F2560" t="s">
        <v>30900</v>
      </c>
      <c r="G2560" t="s">
        <v>30906</v>
      </c>
      <c r="H2560" t="s">
        <v>30916</v>
      </c>
      <c r="I2560" t="s">
        <v>4108</v>
      </c>
      <c r="J2560" t="s">
        <v>32903</v>
      </c>
      <c r="K2560" t="s">
        <v>40286</v>
      </c>
      <c r="M2560" t="s">
        <v>41745</v>
      </c>
      <c r="N2560" t="s">
        <v>44759</v>
      </c>
      <c r="O2560" t="s">
        <v>44760</v>
      </c>
      <c r="P2560">
        <v>0</v>
      </c>
      <c r="Q2560">
        <v>4</v>
      </c>
      <c r="R2560" t="s">
        <v>44762</v>
      </c>
      <c r="S2560" t="s">
        <v>44863</v>
      </c>
      <c r="T2560" t="s">
        <v>46366</v>
      </c>
      <c r="U2560" t="s">
        <v>49121</v>
      </c>
      <c r="W2560" t="s">
        <v>41745</v>
      </c>
      <c r="X2560" t="s">
        <v>44763</v>
      </c>
    </row>
    <row r="2561" spans="1:24">
      <c r="A2561">
        <f>HYPERLINK("https://www.philgeps.gov.ph/GEPSNONPILOT/Tender/SplashBidNoticeAbstractUI.aspx?menuIndex=3&amp;refID=7152126&amp;Result=3","7152126")</f>
        <v>0</v>
      </c>
      <c r="B2561" t="s">
        <v>1126</v>
      </c>
      <c r="C2561" t="s">
        <v>6215</v>
      </c>
      <c r="D2561" t="s">
        <v>18031</v>
      </c>
      <c r="E2561" t="s">
        <v>20376</v>
      </c>
      <c r="F2561" t="s">
        <v>30900</v>
      </c>
      <c r="G2561" t="s">
        <v>30908</v>
      </c>
      <c r="H2561" t="s">
        <v>30916</v>
      </c>
      <c r="I2561" t="s">
        <v>30949</v>
      </c>
      <c r="J2561" t="s">
        <v>31182</v>
      </c>
      <c r="K2561" t="s">
        <v>40285</v>
      </c>
      <c r="M2561" t="s">
        <v>41728</v>
      </c>
      <c r="N2561" t="s">
        <v>44759</v>
      </c>
      <c r="O2561" t="s">
        <v>44760</v>
      </c>
      <c r="P2561">
        <v>0</v>
      </c>
      <c r="Q2561">
        <v>1</v>
      </c>
      <c r="R2561" t="s">
        <v>44762</v>
      </c>
      <c r="S2561" t="s">
        <v>44863</v>
      </c>
      <c r="T2561" t="s">
        <v>46399</v>
      </c>
      <c r="U2561" t="s">
        <v>49095</v>
      </c>
      <c r="W2561" t="s">
        <v>41728</v>
      </c>
      <c r="X2561" t="s">
        <v>44763</v>
      </c>
    </row>
    <row r="2562" spans="1:24">
      <c r="A2562">
        <f>HYPERLINK("https://www.philgeps.gov.ph/GEPSNONPILOT/Tender/SplashBidNoticeAbstractUI.aspx?menuIndex=3&amp;refID=7152109&amp;Result=3","7152109")</f>
        <v>0</v>
      </c>
      <c r="B2562" t="s">
        <v>1141</v>
      </c>
      <c r="C2562" t="s">
        <v>6216</v>
      </c>
      <c r="D2562" t="s">
        <v>18021</v>
      </c>
      <c r="E2562" t="s">
        <v>20377</v>
      </c>
      <c r="F2562" t="s">
        <v>30900</v>
      </c>
      <c r="G2562" t="s">
        <v>30907</v>
      </c>
      <c r="H2562" t="s">
        <v>30915</v>
      </c>
      <c r="I2562" t="s">
        <v>30919</v>
      </c>
      <c r="J2562" t="s">
        <v>32904</v>
      </c>
      <c r="K2562" t="s">
        <v>40354</v>
      </c>
      <c r="M2562" t="s">
        <v>41746</v>
      </c>
      <c r="N2562" t="s">
        <v>44759</v>
      </c>
      <c r="O2562" t="s">
        <v>44760</v>
      </c>
      <c r="P2562">
        <v>0</v>
      </c>
      <c r="Q2562">
        <v>1</v>
      </c>
      <c r="R2562" t="s">
        <v>44762</v>
      </c>
      <c r="S2562" t="s">
        <v>44863</v>
      </c>
      <c r="T2562" t="s">
        <v>46475</v>
      </c>
      <c r="U2562" t="s">
        <v>49122</v>
      </c>
      <c r="V2562" t="s">
        <v>59402</v>
      </c>
      <c r="W2562" t="s">
        <v>41746</v>
      </c>
      <c r="X2562" t="s">
        <v>44763</v>
      </c>
    </row>
    <row r="2563" spans="1:24">
      <c r="A2563">
        <f>HYPERLINK("https://www.philgeps.gov.ph/GEPSNONPILOT/Tender/SplashBidNoticeAbstractUI.aspx?menuIndex=3&amp;refID=7152123&amp;Result=3","7152123")</f>
        <v>0</v>
      </c>
      <c r="B2563" t="s">
        <v>1126</v>
      </c>
      <c r="C2563" t="s">
        <v>6217</v>
      </c>
      <c r="D2563" t="s">
        <v>17966</v>
      </c>
      <c r="E2563" t="s">
        <v>20378</v>
      </c>
      <c r="F2563" t="s">
        <v>30900</v>
      </c>
      <c r="G2563" t="s">
        <v>30908</v>
      </c>
      <c r="H2563" t="s">
        <v>30916</v>
      </c>
      <c r="I2563" t="s">
        <v>30947</v>
      </c>
      <c r="J2563" t="s">
        <v>31101</v>
      </c>
      <c r="K2563" t="s">
        <v>40285</v>
      </c>
      <c r="M2563" t="s">
        <v>41728</v>
      </c>
      <c r="N2563" t="s">
        <v>44759</v>
      </c>
      <c r="O2563" t="s">
        <v>44760</v>
      </c>
      <c r="P2563">
        <v>0</v>
      </c>
      <c r="Q2563">
        <v>0</v>
      </c>
      <c r="R2563" t="s">
        <v>44762</v>
      </c>
      <c r="S2563" t="s">
        <v>44863</v>
      </c>
      <c r="T2563" t="s">
        <v>46399</v>
      </c>
      <c r="U2563" t="s">
        <v>49095</v>
      </c>
      <c r="W2563" t="s">
        <v>41728</v>
      </c>
      <c r="X2563" t="s">
        <v>44763</v>
      </c>
    </row>
    <row r="2564" spans="1:24">
      <c r="A2564">
        <f>HYPERLINK("https://www.philgeps.gov.ph/GEPSNONPILOT/Tender/SplashBidNoticeAbstractUI.aspx?menuIndex=3&amp;refID=7152122&amp;Result=3","7152122")</f>
        <v>0</v>
      </c>
      <c r="B2564" t="s">
        <v>1128</v>
      </c>
      <c r="C2564" t="s">
        <v>6218</v>
      </c>
      <c r="D2564" t="s">
        <v>17995</v>
      </c>
      <c r="E2564" t="s">
        <v>20379</v>
      </c>
      <c r="F2564" t="s">
        <v>30900</v>
      </c>
      <c r="G2564" t="s">
        <v>30907</v>
      </c>
      <c r="H2564" t="s">
        <v>30916</v>
      </c>
      <c r="I2564" t="s">
        <v>30923</v>
      </c>
      <c r="J2564" t="s">
        <v>32905</v>
      </c>
      <c r="K2564" t="s">
        <v>40283</v>
      </c>
      <c r="M2564" t="s">
        <v>41730</v>
      </c>
      <c r="N2564" t="s">
        <v>44759</v>
      </c>
      <c r="O2564" t="s">
        <v>44760</v>
      </c>
      <c r="P2564">
        <v>0</v>
      </c>
      <c r="Q2564">
        <v>2</v>
      </c>
      <c r="R2564" t="s">
        <v>44762</v>
      </c>
      <c r="S2564" t="s">
        <v>44863</v>
      </c>
      <c r="T2564" t="s">
        <v>46569</v>
      </c>
      <c r="U2564" t="s">
        <v>49123</v>
      </c>
      <c r="W2564" t="s">
        <v>41730</v>
      </c>
      <c r="X2564" t="s">
        <v>44763</v>
      </c>
    </row>
    <row r="2565" spans="1:24">
      <c r="A2565">
        <f>HYPERLINK("https://www.philgeps.gov.ph/GEPSNONPILOT/Tender/SplashBidNoticeAbstractUI.aspx?menuIndex=3&amp;refID=7152121&amp;Result=3","7152121")</f>
        <v>0</v>
      </c>
      <c r="B2565" t="s">
        <v>1142</v>
      </c>
      <c r="C2565" t="s">
        <v>6219</v>
      </c>
      <c r="D2565" t="s">
        <v>17985</v>
      </c>
      <c r="E2565" t="s">
        <v>20380</v>
      </c>
      <c r="F2565" t="s">
        <v>30900</v>
      </c>
      <c r="G2565" t="s">
        <v>30907</v>
      </c>
      <c r="H2565" t="s">
        <v>30916</v>
      </c>
      <c r="I2565" t="s">
        <v>30981</v>
      </c>
      <c r="J2565" t="s">
        <v>32906</v>
      </c>
      <c r="K2565" t="s">
        <v>40286</v>
      </c>
      <c r="M2565" t="s">
        <v>41747</v>
      </c>
      <c r="N2565" t="s">
        <v>44759</v>
      </c>
      <c r="O2565" t="s">
        <v>44760</v>
      </c>
      <c r="P2565">
        <v>0</v>
      </c>
      <c r="Q2565">
        <v>1</v>
      </c>
      <c r="R2565" t="s">
        <v>44762</v>
      </c>
      <c r="S2565" t="s">
        <v>44863</v>
      </c>
      <c r="T2565" t="s">
        <v>46408</v>
      </c>
      <c r="U2565" t="s">
        <v>49124</v>
      </c>
      <c r="W2565" t="s">
        <v>41747</v>
      </c>
      <c r="X2565" t="s">
        <v>44763</v>
      </c>
    </row>
    <row r="2566" spans="1:24">
      <c r="A2566">
        <f>HYPERLINK("https://www.philgeps.gov.ph/GEPSNONPILOT/Tender/SplashBidNoticeAbstractUI.aspx?menuIndex=3&amp;refID=7152118&amp;Result=3","7152118")</f>
        <v>0</v>
      </c>
      <c r="B2566" t="s">
        <v>1071</v>
      </c>
      <c r="C2566" t="s">
        <v>6220</v>
      </c>
      <c r="D2566" t="s">
        <v>17971</v>
      </c>
      <c r="E2566" t="s">
        <v>20381</v>
      </c>
      <c r="F2566" t="s">
        <v>30900</v>
      </c>
      <c r="G2566" t="s">
        <v>30907</v>
      </c>
      <c r="H2566" t="s">
        <v>30916</v>
      </c>
      <c r="I2566" t="s">
        <v>30939</v>
      </c>
      <c r="J2566" t="s">
        <v>32907</v>
      </c>
      <c r="K2566" t="s">
        <v>40286</v>
      </c>
      <c r="M2566" t="s">
        <v>41669</v>
      </c>
      <c r="N2566" t="s">
        <v>44759</v>
      </c>
      <c r="O2566" t="s">
        <v>44760</v>
      </c>
      <c r="P2566">
        <v>0</v>
      </c>
      <c r="Q2566">
        <v>0</v>
      </c>
      <c r="R2566" t="s">
        <v>44762</v>
      </c>
      <c r="S2566" t="s">
        <v>44863</v>
      </c>
      <c r="T2566" t="s">
        <v>46405</v>
      </c>
      <c r="U2566" t="s">
        <v>49125</v>
      </c>
      <c r="W2566" t="s">
        <v>41669</v>
      </c>
      <c r="X2566" t="s">
        <v>44763</v>
      </c>
    </row>
    <row r="2567" spans="1:24">
      <c r="A2567">
        <f>HYPERLINK("https://www.philgeps.gov.ph/GEPSNONPILOT/Tender/SplashBidNoticeAbstractUI.aspx?menuIndex=3&amp;refID=7152130&amp;Result=3","7152130")</f>
        <v>0</v>
      </c>
      <c r="B2567" t="s">
        <v>924</v>
      </c>
      <c r="C2567" t="s">
        <v>6221</v>
      </c>
      <c r="D2567" t="s">
        <v>18017</v>
      </c>
      <c r="E2567" t="s">
        <v>20382</v>
      </c>
      <c r="F2567" t="s">
        <v>30900</v>
      </c>
      <c r="G2567" t="s">
        <v>30907</v>
      </c>
      <c r="H2567" t="s">
        <v>30916</v>
      </c>
      <c r="I2567" t="s">
        <v>4545</v>
      </c>
      <c r="J2567" t="s">
        <v>31105</v>
      </c>
      <c r="K2567" t="s">
        <v>40286</v>
      </c>
      <c r="M2567" t="s">
        <v>41504</v>
      </c>
      <c r="N2567" t="s">
        <v>44759</v>
      </c>
      <c r="O2567" t="s">
        <v>44760</v>
      </c>
      <c r="P2567">
        <v>0</v>
      </c>
      <c r="Q2567">
        <v>0</v>
      </c>
      <c r="R2567" t="s">
        <v>44762</v>
      </c>
      <c r="S2567" t="s">
        <v>44863</v>
      </c>
      <c r="T2567" t="s">
        <v>46601</v>
      </c>
      <c r="U2567" t="s">
        <v>49126</v>
      </c>
      <c r="V2567" t="s">
        <v>59403</v>
      </c>
      <c r="W2567" t="s">
        <v>41504</v>
      </c>
      <c r="X2567" t="s">
        <v>44763</v>
      </c>
    </row>
    <row r="2568" spans="1:24">
      <c r="A2568">
        <f>HYPERLINK("https://www.philgeps.gov.ph/GEPSNONPILOT/Tender/SplashBidNoticeAbstractUI.aspx?menuIndex=3&amp;refID=7152117&amp;Result=3","7152117")</f>
        <v>0</v>
      </c>
      <c r="B2568" t="s">
        <v>1123</v>
      </c>
      <c r="C2568" t="s">
        <v>6222</v>
      </c>
      <c r="E2568" t="s">
        <v>20383</v>
      </c>
      <c r="F2568" t="s">
        <v>30900</v>
      </c>
      <c r="G2568" t="s">
        <v>30909</v>
      </c>
      <c r="H2568" t="s">
        <v>30916</v>
      </c>
      <c r="I2568" t="s">
        <v>4142</v>
      </c>
      <c r="J2568" t="s">
        <v>32908</v>
      </c>
      <c r="K2568" t="s">
        <v>40285</v>
      </c>
      <c r="M2568" t="s">
        <v>41725</v>
      </c>
      <c r="N2568" t="s">
        <v>44759</v>
      </c>
      <c r="O2568" t="s">
        <v>44760</v>
      </c>
      <c r="P2568">
        <v>0</v>
      </c>
      <c r="Q2568">
        <v>2</v>
      </c>
      <c r="R2568" t="s">
        <v>44762</v>
      </c>
      <c r="S2568" t="s">
        <v>44863</v>
      </c>
      <c r="T2568" t="s">
        <v>46398</v>
      </c>
      <c r="U2568" t="s">
        <v>49089</v>
      </c>
      <c r="W2568" t="s">
        <v>41725</v>
      </c>
      <c r="X2568" t="s">
        <v>44763</v>
      </c>
    </row>
    <row r="2569" spans="1:24">
      <c r="A2569">
        <f>HYPERLINK("https://www.philgeps.gov.ph/GEPSNONPILOT/Tender/SplashBidNoticeAbstractUI.aspx?menuIndex=3&amp;refID=7152100&amp;Result=3","7152100")</f>
        <v>0</v>
      </c>
      <c r="B2569" t="s">
        <v>1123</v>
      </c>
      <c r="C2569" t="s">
        <v>6223</v>
      </c>
      <c r="E2569" t="s">
        <v>20384</v>
      </c>
      <c r="F2569" t="s">
        <v>30900</v>
      </c>
      <c r="G2569" t="s">
        <v>30908</v>
      </c>
      <c r="H2569" t="s">
        <v>30916</v>
      </c>
      <c r="I2569" t="s">
        <v>11785</v>
      </c>
      <c r="J2569" t="s">
        <v>32909</v>
      </c>
      <c r="K2569" t="s">
        <v>40285</v>
      </c>
      <c r="M2569" t="s">
        <v>41725</v>
      </c>
      <c r="N2569" t="s">
        <v>44759</v>
      </c>
      <c r="O2569" t="s">
        <v>44760</v>
      </c>
      <c r="P2569">
        <v>0</v>
      </c>
      <c r="Q2569">
        <v>1</v>
      </c>
      <c r="R2569" t="s">
        <v>44762</v>
      </c>
      <c r="S2569" t="s">
        <v>44863</v>
      </c>
      <c r="T2569" t="s">
        <v>46398</v>
      </c>
      <c r="U2569" t="s">
        <v>49089</v>
      </c>
      <c r="W2569" t="s">
        <v>41725</v>
      </c>
      <c r="X2569" t="s">
        <v>44763</v>
      </c>
    </row>
    <row r="2570" spans="1:24">
      <c r="A2570">
        <f>HYPERLINK("https://www.philgeps.gov.ph/GEPSNONPILOT/Tender/SplashBidNoticeAbstractUI.aspx?menuIndex=3&amp;refID=7152098&amp;Result=3","7152098")</f>
        <v>0</v>
      </c>
      <c r="B2570" t="s">
        <v>1143</v>
      </c>
      <c r="C2570" t="s">
        <v>6224</v>
      </c>
      <c r="D2570" t="s">
        <v>17990</v>
      </c>
      <c r="E2570" t="s">
        <v>20385</v>
      </c>
      <c r="F2570" t="s">
        <v>30900</v>
      </c>
      <c r="G2570" t="s">
        <v>30908</v>
      </c>
      <c r="H2570" t="s">
        <v>30916</v>
      </c>
      <c r="I2570" t="s">
        <v>10602</v>
      </c>
      <c r="J2570" t="s">
        <v>32910</v>
      </c>
      <c r="K2570" t="s">
        <v>40366</v>
      </c>
      <c r="M2570" t="s">
        <v>41748</v>
      </c>
      <c r="N2570" t="s">
        <v>44759</v>
      </c>
      <c r="O2570" t="s">
        <v>44760</v>
      </c>
      <c r="P2570">
        <v>0</v>
      </c>
      <c r="Q2570">
        <v>0</v>
      </c>
      <c r="R2570" t="s">
        <v>44762</v>
      </c>
      <c r="S2570" t="s">
        <v>44863</v>
      </c>
      <c r="T2570" t="s">
        <v>46414</v>
      </c>
      <c r="U2570" t="s">
        <v>49127</v>
      </c>
      <c r="W2570" t="s">
        <v>41748</v>
      </c>
      <c r="X2570" t="s">
        <v>44763</v>
      </c>
    </row>
    <row r="2571" spans="1:24">
      <c r="A2571">
        <f>HYPERLINK("https://www.philgeps.gov.ph/GEPSNONPILOT/Tender/SplashBidNoticeAbstractUI.aspx?menuIndex=3&amp;refID=7152125&amp;Result=3","7152125")</f>
        <v>0</v>
      </c>
      <c r="B2571" t="s">
        <v>1109</v>
      </c>
      <c r="C2571" t="s">
        <v>6225</v>
      </c>
      <c r="D2571" t="s">
        <v>17959</v>
      </c>
      <c r="E2571" t="s">
        <v>20386</v>
      </c>
      <c r="F2571" t="s">
        <v>30900</v>
      </c>
      <c r="G2571" t="s">
        <v>30907</v>
      </c>
      <c r="H2571" t="s">
        <v>30915</v>
      </c>
      <c r="I2571" t="s">
        <v>30919</v>
      </c>
      <c r="J2571" t="s">
        <v>32911</v>
      </c>
      <c r="K2571" t="s">
        <v>40293</v>
      </c>
      <c r="M2571" t="s">
        <v>41709</v>
      </c>
      <c r="N2571" t="s">
        <v>44759</v>
      </c>
      <c r="O2571" t="s">
        <v>44760</v>
      </c>
      <c r="P2571">
        <v>0</v>
      </c>
      <c r="Q2571">
        <v>0</v>
      </c>
      <c r="R2571" t="s">
        <v>44762</v>
      </c>
      <c r="S2571" t="s">
        <v>44863</v>
      </c>
      <c r="T2571" t="s">
        <v>46350</v>
      </c>
      <c r="U2571" t="s">
        <v>49128</v>
      </c>
      <c r="W2571" t="s">
        <v>41709</v>
      </c>
      <c r="X2571" t="s">
        <v>44763</v>
      </c>
    </row>
    <row r="2572" spans="1:24">
      <c r="A2572">
        <f>HYPERLINK("https://www.philgeps.gov.ph/GEPSNONPILOT/Tender/SplashBidNoticeAbstractUI.aspx?menuIndex=3&amp;refID=7152095&amp;Result=3","7152095")</f>
        <v>0</v>
      </c>
      <c r="B2572" t="s">
        <v>1141</v>
      </c>
      <c r="C2572" t="s">
        <v>6226</v>
      </c>
      <c r="D2572" t="s">
        <v>18021</v>
      </c>
      <c r="E2572" t="s">
        <v>20387</v>
      </c>
      <c r="F2572" t="s">
        <v>30900</v>
      </c>
      <c r="G2572" t="s">
        <v>30907</v>
      </c>
      <c r="H2572" t="s">
        <v>30915</v>
      </c>
      <c r="I2572" t="s">
        <v>30919</v>
      </c>
      <c r="J2572" t="s">
        <v>32912</v>
      </c>
      <c r="K2572" t="s">
        <v>40358</v>
      </c>
      <c r="M2572" t="s">
        <v>41746</v>
      </c>
      <c r="N2572" t="s">
        <v>44759</v>
      </c>
      <c r="O2572" t="s">
        <v>44760</v>
      </c>
      <c r="P2572">
        <v>0</v>
      </c>
      <c r="Q2572">
        <v>1</v>
      </c>
      <c r="R2572" t="s">
        <v>44762</v>
      </c>
      <c r="S2572" t="s">
        <v>44863</v>
      </c>
      <c r="T2572" t="s">
        <v>46475</v>
      </c>
      <c r="U2572" t="s">
        <v>49129</v>
      </c>
      <c r="V2572" t="s">
        <v>59404</v>
      </c>
      <c r="W2572" t="s">
        <v>41746</v>
      </c>
      <c r="X2572" t="s">
        <v>44763</v>
      </c>
    </row>
    <row r="2573" spans="1:24">
      <c r="A2573">
        <f>HYPERLINK("https://www.philgeps.gov.ph/GEPSNONPILOT/Tender/SplashBidNoticeAbstractUI.aspx?menuIndex=3&amp;refID=7152094&amp;Result=3","7152094")</f>
        <v>0</v>
      </c>
      <c r="B2573" t="s">
        <v>1100</v>
      </c>
      <c r="C2573" t="s">
        <v>6227</v>
      </c>
      <c r="D2573" t="s">
        <v>18040</v>
      </c>
      <c r="E2573" t="s">
        <v>20388</v>
      </c>
      <c r="F2573" t="s">
        <v>30900</v>
      </c>
      <c r="G2573" t="s">
        <v>30907</v>
      </c>
      <c r="H2573" t="s">
        <v>30916</v>
      </c>
      <c r="I2573" t="s">
        <v>10847</v>
      </c>
      <c r="J2573" t="s">
        <v>32913</v>
      </c>
      <c r="K2573" t="s">
        <v>40289</v>
      </c>
      <c r="M2573" t="s">
        <v>41700</v>
      </c>
      <c r="N2573" t="s">
        <v>44759</v>
      </c>
      <c r="O2573" t="s">
        <v>44760</v>
      </c>
      <c r="P2573">
        <v>0</v>
      </c>
      <c r="Q2573">
        <v>1</v>
      </c>
      <c r="R2573" t="s">
        <v>44762</v>
      </c>
      <c r="S2573" t="s">
        <v>44863</v>
      </c>
      <c r="T2573" t="s">
        <v>46540</v>
      </c>
      <c r="U2573" t="s">
        <v>49130</v>
      </c>
      <c r="W2573" t="s">
        <v>41700</v>
      </c>
      <c r="X2573" t="s">
        <v>44763</v>
      </c>
    </row>
    <row r="2574" spans="1:24">
      <c r="A2574">
        <f>HYPERLINK("https://www.philgeps.gov.ph/GEPSNONPILOT/Tender/SplashBidNoticeAbstractUI.aspx?menuIndex=3&amp;refID=7152073&amp;Result=3","7152073")</f>
        <v>0</v>
      </c>
      <c r="B2574" t="s">
        <v>1119</v>
      </c>
      <c r="C2574" t="s">
        <v>6228</v>
      </c>
      <c r="D2574" t="s">
        <v>17959</v>
      </c>
      <c r="E2574" t="s">
        <v>20389</v>
      </c>
      <c r="F2574" t="s">
        <v>30900</v>
      </c>
      <c r="G2574" t="s">
        <v>30910</v>
      </c>
      <c r="H2574" t="s">
        <v>30916</v>
      </c>
      <c r="I2574" t="s">
        <v>30932</v>
      </c>
      <c r="J2574" t="s">
        <v>32914</v>
      </c>
      <c r="K2574" t="s">
        <v>40286</v>
      </c>
      <c r="M2574" t="s">
        <v>41749</v>
      </c>
      <c r="N2574" t="s">
        <v>44759</v>
      </c>
      <c r="O2574" t="s">
        <v>44760</v>
      </c>
      <c r="P2574">
        <v>0</v>
      </c>
      <c r="Q2574">
        <v>10</v>
      </c>
      <c r="R2574" t="s">
        <v>44762</v>
      </c>
      <c r="S2574" t="s">
        <v>44863</v>
      </c>
      <c r="T2574" t="s">
        <v>46421</v>
      </c>
      <c r="U2574" t="s">
        <v>49074</v>
      </c>
      <c r="V2574" t="s">
        <v>59405</v>
      </c>
      <c r="W2574" t="s">
        <v>41749</v>
      </c>
      <c r="X2574" t="s">
        <v>44763</v>
      </c>
    </row>
    <row r="2575" spans="1:24">
      <c r="A2575">
        <f>HYPERLINK("https://www.philgeps.gov.ph/GEPSNONPILOT/Tender/SplashBidNoticeAbstractUI.aspx?menuIndex=3&amp;refID=7152119&amp;Result=3","7152119")</f>
        <v>0</v>
      </c>
      <c r="B2575" t="s">
        <v>1144</v>
      </c>
      <c r="C2575" t="s">
        <v>6229</v>
      </c>
      <c r="D2575" t="s">
        <v>18019</v>
      </c>
      <c r="E2575" t="s">
        <v>20390</v>
      </c>
      <c r="F2575" t="s">
        <v>30900</v>
      </c>
      <c r="G2575" t="s">
        <v>30908</v>
      </c>
      <c r="H2575" t="s">
        <v>30916</v>
      </c>
      <c r="I2575" t="s">
        <v>30938</v>
      </c>
      <c r="J2575" t="s">
        <v>32915</v>
      </c>
      <c r="K2575" t="s">
        <v>40289</v>
      </c>
      <c r="M2575" t="s">
        <v>41750</v>
      </c>
      <c r="N2575" t="s">
        <v>44759</v>
      </c>
      <c r="O2575" t="s">
        <v>44760</v>
      </c>
      <c r="P2575">
        <v>0</v>
      </c>
      <c r="Q2575">
        <v>1</v>
      </c>
      <c r="R2575" t="s">
        <v>44762</v>
      </c>
      <c r="S2575" t="s">
        <v>44863</v>
      </c>
      <c r="T2575" t="s">
        <v>46602</v>
      </c>
      <c r="U2575" t="s">
        <v>49131</v>
      </c>
      <c r="W2575" t="s">
        <v>41750</v>
      </c>
      <c r="X2575" t="s">
        <v>44763</v>
      </c>
    </row>
    <row r="2576" spans="1:24">
      <c r="A2576">
        <f>HYPERLINK("https://www.philgeps.gov.ph/GEPSNONPILOT/Tender/SplashBidNoticeAbstractUI.aspx?menuIndex=3&amp;refID=7152070&amp;Result=3","7152070")</f>
        <v>0</v>
      </c>
      <c r="B2576" t="s">
        <v>1118</v>
      </c>
      <c r="C2576" t="s">
        <v>6230</v>
      </c>
      <c r="E2576" t="s">
        <v>20369</v>
      </c>
      <c r="F2576" t="s">
        <v>30900</v>
      </c>
      <c r="G2576" t="s">
        <v>30907</v>
      </c>
      <c r="H2576" t="s">
        <v>30916</v>
      </c>
      <c r="I2576" t="s">
        <v>4108</v>
      </c>
      <c r="J2576" t="s">
        <v>31211</v>
      </c>
      <c r="K2576" t="s">
        <v>40289</v>
      </c>
      <c r="M2576" t="s">
        <v>41720</v>
      </c>
      <c r="N2576" t="s">
        <v>44759</v>
      </c>
      <c r="O2576" t="s">
        <v>44760</v>
      </c>
      <c r="P2576">
        <v>0</v>
      </c>
      <c r="Q2576">
        <v>0</v>
      </c>
      <c r="R2576" t="s">
        <v>44762</v>
      </c>
      <c r="S2576" t="s">
        <v>44863</v>
      </c>
      <c r="T2576" t="s">
        <v>46409</v>
      </c>
      <c r="U2576" t="s">
        <v>49132</v>
      </c>
      <c r="W2576" t="s">
        <v>41720</v>
      </c>
      <c r="X2576" t="s">
        <v>44763</v>
      </c>
    </row>
    <row r="2577" spans="1:24">
      <c r="A2577">
        <f>HYPERLINK("https://www.philgeps.gov.ph/GEPSNONPILOT/Tender/SplashBidNoticeAbstractUI.aspx?menuIndex=3&amp;refID=7152099&amp;Result=3","7152099")</f>
        <v>0</v>
      </c>
      <c r="B2577" t="s">
        <v>1012</v>
      </c>
      <c r="C2577" t="s">
        <v>6231</v>
      </c>
      <c r="D2577" t="s">
        <v>17980</v>
      </c>
      <c r="E2577" t="s">
        <v>20391</v>
      </c>
      <c r="F2577" t="s">
        <v>30900</v>
      </c>
      <c r="G2577" t="s">
        <v>30908</v>
      </c>
      <c r="H2577" t="s">
        <v>30916</v>
      </c>
      <c r="I2577" t="s">
        <v>30952</v>
      </c>
      <c r="J2577" t="s">
        <v>32916</v>
      </c>
      <c r="K2577" t="s">
        <v>40280</v>
      </c>
      <c r="M2577" t="s">
        <v>41601</v>
      </c>
      <c r="N2577" t="s">
        <v>44759</v>
      </c>
      <c r="O2577" t="s">
        <v>44760</v>
      </c>
      <c r="P2577">
        <v>0</v>
      </c>
      <c r="Q2577">
        <v>2</v>
      </c>
      <c r="R2577" t="s">
        <v>44762</v>
      </c>
      <c r="S2577" t="s">
        <v>44863</v>
      </c>
      <c r="T2577" t="s">
        <v>46425</v>
      </c>
      <c r="U2577" t="s">
        <v>49133</v>
      </c>
      <c r="W2577" t="s">
        <v>41601</v>
      </c>
      <c r="X2577" t="s">
        <v>44763</v>
      </c>
    </row>
    <row r="2578" spans="1:24">
      <c r="A2578">
        <f>HYPERLINK("https://www.philgeps.gov.ph/GEPSNONPILOT/Tender/SplashBidNoticeAbstractUI.aspx?menuIndex=3&amp;refID=7152096&amp;Result=3","7152096")</f>
        <v>0</v>
      </c>
      <c r="B2578" t="s">
        <v>1128</v>
      </c>
      <c r="C2578" t="s">
        <v>6232</v>
      </c>
      <c r="D2578" t="s">
        <v>17995</v>
      </c>
      <c r="E2578" t="s">
        <v>18214</v>
      </c>
      <c r="F2578" t="s">
        <v>30900</v>
      </c>
      <c r="G2578" t="s">
        <v>30908</v>
      </c>
      <c r="H2578" t="s">
        <v>30916</v>
      </c>
      <c r="I2578" t="s">
        <v>8123</v>
      </c>
      <c r="J2578" t="s">
        <v>32917</v>
      </c>
      <c r="K2578" t="s">
        <v>40285</v>
      </c>
      <c r="M2578" t="s">
        <v>41730</v>
      </c>
      <c r="N2578" t="s">
        <v>44759</v>
      </c>
      <c r="O2578" t="s">
        <v>44760</v>
      </c>
      <c r="P2578">
        <v>0</v>
      </c>
      <c r="Q2578">
        <v>0</v>
      </c>
      <c r="R2578" t="s">
        <v>44762</v>
      </c>
      <c r="S2578" t="s">
        <v>44863</v>
      </c>
      <c r="T2578" t="s">
        <v>46393</v>
      </c>
      <c r="U2578" t="s">
        <v>49134</v>
      </c>
      <c r="W2578" t="s">
        <v>41730</v>
      </c>
      <c r="X2578" t="s">
        <v>44763</v>
      </c>
    </row>
    <row r="2579" spans="1:24">
      <c r="A2579">
        <f>HYPERLINK("https://www.philgeps.gov.ph/GEPSNONPILOT/Tender/SplashBidNoticeAbstractUI.aspx?menuIndex=3&amp;refID=7152131&amp;Result=3","7152131")</f>
        <v>0</v>
      </c>
      <c r="B2579" t="s">
        <v>1126</v>
      </c>
      <c r="C2579" t="s">
        <v>6233</v>
      </c>
      <c r="D2579" t="s">
        <v>17966</v>
      </c>
      <c r="E2579" t="s">
        <v>20392</v>
      </c>
      <c r="F2579" t="s">
        <v>30900</v>
      </c>
      <c r="G2579" t="s">
        <v>30908</v>
      </c>
      <c r="H2579" t="s">
        <v>30916</v>
      </c>
      <c r="I2579" t="s">
        <v>30949</v>
      </c>
      <c r="J2579" t="s">
        <v>31211</v>
      </c>
      <c r="K2579" t="s">
        <v>40285</v>
      </c>
      <c r="M2579" t="s">
        <v>41728</v>
      </c>
      <c r="N2579" t="s">
        <v>44759</v>
      </c>
      <c r="O2579" t="s">
        <v>44760</v>
      </c>
      <c r="P2579">
        <v>0</v>
      </c>
      <c r="Q2579">
        <v>1</v>
      </c>
      <c r="R2579" t="s">
        <v>44762</v>
      </c>
      <c r="S2579" t="s">
        <v>44863</v>
      </c>
      <c r="T2579" t="s">
        <v>46399</v>
      </c>
      <c r="U2579" t="s">
        <v>49095</v>
      </c>
      <c r="W2579" t="s">
        <v>41728</v>
      </c>
      <c r="X2579" t="s">
        <v>44763</v>
      </c>
    </row>
    <row r="2580" spans="1:24">
      <c r="A2580">
        <f>HYPERLINK("https://www.philgeps.gov.ph/GEPSNONPILOT/Tender/SplashBidNoticeAbstractUI.aspx?menuIndex=3&amp;refID=7152072&amp;Result=3","7152072")</f>
        <v>0</v>
      </c>
      <c r="B2580" t="s">
        <v>1083</v>
      </c>
      <c r="C2580" t="s">
        <v>6234</v>
      </c>
      <c r="D2580" t="s">
        <v>17999</v>
      </c>
      <c r="E2580" t="s">
        <v>20393</v>
      </c>
      <c r="F2580" t="s">
        <v>30900</v>
      </c>
      <c r="G2580" t="s">
        <v>30909</v>
      </c>
      <c r="H2580" t="s">
        <v>30916</v>
      </c>
      <c r="I2580" t="s">
        <v>4545</v>
      </c>
      <c r="J2580" t="s">
        <v>32918</v>
      </c>
      <c r="K2580" t="s">
        <v>40289</v>
      </c>
      <c r="M2580" t="s">
        <v>41682</v>
      </c>
      <c r="N2580" t="s">
        <v>44759</v>
      </c>
      <c r="O2580" t="s">
        <v>44760</v>
      </c>
      <c r="P2580">
        <v>0</v>
      </c>
      <c r="Q2580">
        <v>0</v>
      </c>
      <c r="R2580" t="s">
        <v>44762</v>
      </c>
      <c r="S2580" t="s">
        <v>44863</v>
      </c>
      <c r="T2580" t="s">
        <v>46548</v>
      </c>
      <c r="U2580" t="s">
        <v>48993</v>
      </c>
      <c r="V2580" t="s">
        <v>59406</v>
      </c>
      <c r="W2580" t="s">
        <v>41682</v>
      </c>
      <c r="X2580" t="s">
        <v>44763</v>
      </c>
    </row>
    <row r="2581" spans="1:24">
      <c r="A2581">
        <f>HYPERLINK("https://www.philgeps.gov.ph/GEPSNONPILOT/Tender/SplashBidNoticeAbstractUI.aspx?menuIndex=3&amp;refID=7152139&amp;Result=3","7152139")</f>
        <v>0</v>
      </c>
      <c r="B2581" t="s">
        <v>1145</v>
      </c>
      <c r="C2581" t="s">
        <v>6235</v>
      </c>
      <c r="D2581" t="s">
        <v>17959</v>
      </c>
      <c r="E2581" t="s">
        <v>20394</v>
      </c>
      <c r="F2581" t="s">
        <v>30900</v>
      </c>
      <c r="G2581" t="s">
        <v>30908</v>
      </c>
      <c r="H2581" t="s">
        <v>30916</v>
      </c>
      <c r="I2581" t="s">
        <v>8365</v>
      </c>
      <c r="J2581" t="s">
        <v>32919</v>
      </c>
      <c r="K2581" t="s">
        <v>40287</v>
      </c>
      <c r="M2581" t="s">
        <v>41751</v>
      </c>
      <c r="N2581" t="s">
        <v>44759</v>
      </c>
      <c r="O2581" t="s">
        <v>44760</v>
      </c>
      <c r="P2581">
        <v>0</v>
      </c>
      <c r="Q2581">
        <v>4</v>
      </c>
      <c r="R2581" t="s">
        <v>44762</v>
      </c>
      <c r="S2581" t="s">
        <v>44863</v>
      </c>
      <c r="T2581" t="s">
        <v>46457</v>
      </c>
      <c r="U2581" t="s">
        <v>49135</v>
      </c>
      <c r="W2581" t="s">
        <v>41751</v>
      </c>
      <c r="X2581" t="s">
        <v>44763</v>
      </c>
    </row>
    <row r="2582" spans="1:24">
      <c r="A2582">
        <f>HYPERLINK("https://www.philgeps.gov.ph/GEPSNONPILOT/Tender/SplashBidNoticeAbstractUI.aspx?menuIndex=3&amp;refID=7152156&amp;Result=3","7152156")</f>
        <v>0</v>
      </c>
      <c r="B2582" t="s">
        <v>1146</v>
      </c>
      <c r="C2582" t="s">
        <v>6236</v>
      </c>
      <c r="D2582" t="s">
        <v>18025</v>
      </c>
      <c r="E2582" t="s">
        <v>20395</v>
      </c>
      <c r="F2582" t="s">
        <v>30900</v>
      </c>
      <c r="G2582" t="s">
        <v>30907</v>
      </c>
      <c r="H2582" t="s">
        <v>30916</v>
      </c>
      <c r="I2582" t="s">
        <v>9385</v>
      </c>
      <c r="J2582" t="s">
        <v>32920</v>
      </c>
      <c r="K2582" t="s">
        <v>40288</v>
      </c>
      <c r="M2582" t="s">
        <v>41752</v>
      </c>
      <c r="N2582" t="s">
        <v>44759</v>
      </c>
      <c r="O2582" t="s">
        <v>44760</v>
      </c>
      <c r="P2582">
        <v>0</v>
      </c>
      <c r="Q2582">
        <v>8</v>
      </c>
      <c r="R2582" t="s">
        <v>44762</v>
      </c>
      <c r="S2582" t="s">
        <v>44863</v>
      </c>
      <c r="T2582" t="s">
        <v>46400</v>
      </c>
      <c r="U2582" t="s">
        <v>49136</v>
      </c>
      <c r="W2582" t="s">
        <v>41752</v>
      </c>
      <c r="X2582" t="s">
        <v>44763</v>
      </c>
    </row>
    <row r="2583" spans="1:24">
      <c r="A2583">
        <f>HYPERLINK("https://www.philgeps.gov.ph/GEPSNONPILOT/Tender/SplashBidNoticeAbstractUI.aspx?menuIndex=3&amp;refID=7152136&amp;Result=3","7152136")</f>
        <v>0</v>
      </c>
      <c r="B2583" t="s">
        <v>1143</v>
      </c>
      <c r="C2583" t="s">
        <v>6237</v>
      </c>
      <c r="D2583" t="s">
        <v>17990</v>
      </c>
      <c r="E2583" t="s">
        <v>20396</v>
      </c>
      <c r="F2583" t="s">
        <v>30900</v>
      </c>
      <c r="G2583" t="s">
        <v>30906</v>
      </c>
      <c r="H2583" t="s">
        <v>30916</v>
      </c>
      <c r="I2583" t="s">
        <v>10602</v>
      </c>
      <c r="J2583" t="s">
        <v>31555</v>
      </c>
      <c r="K2583" t="s">
        <v>40366</v>
      </c>
      <c r="M2583" t="s">
        <v>41748</v>
      </c>
      <c r="N2583" t="s">
        <v>44759</v>
      </c>
      <c r="O2583" t="s">
        <v>44760</v>
      </c>
      <c r="P2583">
        <v>0</v>
      </c>
      <c r="Q2583">
        <v>0</v>
      </c>
      <c r="R2583" t="s">
        <v>44762</v>
      </c>
      <c r="S2583" t="s">
        <v>44863</v>
      </c>
      <c r="T2583" t="s">
        <v>46559</v>
      </c>
      <c r="U2583" t="s">
        <v>49137</v>
      </c>
      <c r="W2583" t="s">
        <v>41748</v>
      </c>
      <c r="X2583" t="s">
        <v>44763</v>
      </c>
    </row>
    <row r="2584" spans="1:24">
      <c r="A2584">
        <f>HYPERLINK("https://www.philgeps.gov.ph/GEPSNONPILOT/Tender/SplashBidNoticeAbstractUI.aspx?menuIndex=3&amp;refID=7152150&amp;Result=3","7152150")</f>
        <v>0</v>
      </c>
      <c r="B2584" t="s">
        <v>1147</v>
      </c>
      <c r="C2584" t="s">
        <v>6238</v>
      </c>
      <c r="D2584" t="s">
        <v>17959</v>
      </c>
      <c r="E2584" t="s">
        <v>6238</v>
      </c>
      <c r="F2584" t="s">
        <v>30900</v>
      </c>
      <c r="G2584" t="s">
        <v>30908</v>
      </c>
      <c r="H2584" t="s">
        <v>30916</v>
      </c>
      <c r="I2584" t="s">
        <v>4017</v>
      </c>
      <c r="J2584" t="s">
        <v>32921</v>
      </c>
      <c r="K2584" t="s">
        <v>40283</v>
      </c>
      <c r="M2584" t="s">
        <v>41753</v>
      </c>
      <c r="N2584" t="s">
        <v>44759</v>
      </c>
      <c r="O2584" t="s">
        <v>44760</v>
      </c>
      <c r="P2584">
        <v>0</v>
      </c>
      <c r="Q2584">
        <v>8</v>
      </c>
      <c r="R2584" t="s">
        <v>44762</v>
      </c>
      <c r="S2584" t="s">
        <v>44863</v>
      </c>
      <c r="T2584" t="s">
        <v>46410</v>
      </c>
      <c r="U2584" t="s">
        <v>49138</v>
      </c>
      <c r="W2584" t="s">
        <v>41753</v>
      </c>
      <c r="X2584" t="s">
        <v>44763</v>
      </c>
    </row>
    <row r="2585" spans="1:24">
      <c r="A2585">
        <f>HYPERLINK("https://www.philgeps.gov.ph/GEPSNONPILOT/Tender/SplashBidNoticeAbstractUI.aspx?menuIndex=3&amp;refID=7152152&amp;Result=3","7152152")</f>
        <v>0</v>
      </c>
      <c r="B2585" t="s">
        <v>1104</v>
      </c>
      <c r="C2585" t="s">
        <v>6239</v>
      </c>
      <c r="D2585" t="s">
        <v>17959</v>
      </c>
      <c r="E2585" t="s">
        <v>20397</v>
      </c>
      <c r="F2585" t="s">
        <v>30900</v>
      </c>
      <c r="G2585" t="s">
        <v>30907</v>
      </c>
      <c r="H2585" t="s">
        <v>7411</v>
      </c>
      <c r="I2585" t="s">
        <v>7411</v>
      </c>
      <c r="J2585" t="s">
        <v>32324</v>
      </c>
      <c r="K2585" t="s">
        <v>40319</v>
      </c>
      <c r="M2585" t="s">
        <v>41704</v>
      </c>
      <c r="N2585" t="s">
        <v>44759</v>
      </c>
      <c r="O2585" t="s">
        <v>44760</v>
      </c>
      <c r="P2585">
        <v>0</v>
      </c>
      <c r="Q2585">
        <v>1</v>
      </c>
      <c r="R2585" t="s">
        <v>44762</v>
      </c>
      <c r="S2585" t="s">
        <v>44863</v>
      </c>
      <c r="T2585" t="s">
        <v>46603</v>
      </c>
      <c r="U2585" t="s">
        <v>49139</v>
      </c>
      <c r="V2585" t="s">
        <v>59407</v>
      </c>
      <c r="W2585" t="s">
        <v>41704</v>
      </c>
      <c r="X2585" t="s">
        <v>44763</v>
      </c>
    </row>
    <row r="2586" spans="1:24">
      <c r="A2586">
        <f>HYPERLINK("https://www.philgeps.gov.ph/GEPSNONPILOT/Tender/SplashBidNoticeAbstractUI.aspx?menuIndex=3&amp;refID=7152148&amp;Result=3","7152148")</f>
        <v>0</v>
      </c>
      <c r="B2586" t="s">
        <v>1146</v>
      </c>
      <c r="C2586" t="s">
        <v>6240</v>
      </c>
      <c r="D2586" t="s">
        <v>18025</v>
      </c>
      <c r="E2586" t="s">
        <v>20395</v>
      </c>
      <c r="F2586" t="s">
        <v>30900</v>
      </c>
      <c r="G2586" t="s">
        <v>30907</v>
      </c>
      <c r="H2586" t="s">
        <v>30916</v>
      </c>
      <c r="I2586" t="s">
        <v>9385</v>
      </c>
      <c r="J2586" t="s">
        <v>32922</v>
      </c>
      <c r="K2586" t="s">
        <v>40287</v>
      </c>
      <c r="M2586" t="s">
        <v>41752</v>
      </c>
      <c r="N2586" t="s">
        <v>44759</v>
      </c>
      <c r="O2586" t="s">
        <v>44760</v>
      </c>
      <c r="P2586">
        <v>0</v>
      </c>
      <c r="Q2586">
        <v>10</v>
      </c>
      <c r="R2586" t="s">
        <v>44762</v>
      </c>
      <c r="S2586" t="s">
        <v>44863</v>
      </c>
      <c r="T2586" t="s">
        <v>46404</v>
      </c>
      <c r="U2586" t="s">
        <v>49140</v>
      </c>
      <c r="W2586" t="s">
        <v>41752</v>
      </c>
      <c r="X2586" t="s">
        <v>44763</v>
      </c>
    </row>
    <row r="2587" spans="1:24">
      <c r="A2587">
        <f>HYPERLINK("https://www.philgeps.gov.ph/GEPSNONPILOT/Tender/SplashBidNoticeAbstractUI.aspx?menuIndex=3&amp;refID=7152147&amp;Result=3","7152147")</f>
        <v>0</v>
      </c>
      <c r="B2587" t="s">
        <v>1148</v>
      </c>
      <c r="C2587" t="s">
        <v>6241</v>
      </c>
      <c r="D2587" t="s">
        <v>17955</v>
      </c>
      <c r="E2587" t="s">
        <v>20398</v>
      </c>
      <c r="F2587" t="s">
        <v>30900</v>
      </c>
      <c r="G2587" t="s">
        <v>30907</v>
      </c>
      <c r="H2587" t="s">
        <v>30915</v>
      </c>
      <c r="I2587" t="s">
        <v>30919</v>
      </c>
      <c r="J2587" t="s">
        <v>32923</v>
      </c>
      <c r="K2587" t="s">
        <v>40370</v>
      </c>
      <c r="M2587" t="s">
        <v>41754</v>
      </c>
      <c r="N2587" t="s">
        <v>44759</v>
      </c>
      <c r="O2587" t="s">
        <v>44760</v>
      </c>
      <c r="P2587">
        <v>0</v>
      </c>
      <c r="Q2587">
        <v>1</v>
      </c>
      <c r="R2587" t="s">
        <v>44762</v>
      </c>
      <c r="S2587" t="s">
        <v>44863</v>
      </c>
      <c r="T2587" t="s">
        <v>46425</v>
      </c>
      <c r="U2587" t="s">
        <v>49141</v>
      </c>
      <c r="W2587" t="s">
        <v>41754</v>
      </c>
      <c r="X2587" t="s">
        <v>44763</v>
      </c>
    </row>
    <row r="2588" spans="1:24">
      <c r="A2588">
        <f>HYPERLINK("https://www.philgeps.gov.ph/GEPSNONPILOT/Tender/SplashBidNoticeAbstractUI.aspx?menuIndex=3&amp;refID=7152146&amp;Result=3","7152146")</f>
        <v>0</v>
      </c>
      <c r="B2588" t="s">
        <v>1111</v>
      </c>
      <c r="C2588" t="s">
        <v>6242</v>
      </c>
      <c r="D2588" t="s">
        <v>17954</v>
      </c>
      <c r="E2588" t="s">
        <v>20399</v>
      </c>
      <c r="F2588" t="s">
        <v>30900</v>
      </c>
      <c r="G2588" t="s">
        <v>30907</v>
      </c>
      <c r="H2588" t="s">
        <v>30915</v>
      </c>
      <c r="I2588" t="s">
        <v>30919</v>
      </c>
      <c r="J2588" t="s">
        <v>32924</v>
      </c>
      <c r="K2588" t="s">
        <v>40280</v>
      </c>
      <c r="M2588" t="s">
        <v>41711</v>
      </c>
      <c r="N2588" t="s">
        <v>44759</v>
      </c>
      <c r="O2588" t="s">
        <v>44760</v>
      </c>
      <c r="P2588">
        <v>0</v>
      </c>
      <c r="Q2588">
        <v>1</v>
      </c>
      <c r="R2588" t="s">
        <v>44762</v>
      </c>
      <c r="S2588" t="s">
        <v>44863</v>
      </c>
      <c r="T2588" t="s">
        <v>46400</v>
      </c>
      <c r="U2588" t="s">
        <v>49142</v>
      </c>
      <c r="W2588" t="s">
        <v>41711</v>
      </c>
      <c r="X2588" t="s">
        <v>44763</v>
      </c>
    </row>
    <row r="2589" spans="1:24">
      <c r="A2589">
        <f>HYPERLINK("https://www.philgeps.gov.ph/GEPSNONPILOT/Tender/SplashBidNoticeAbstractUI.aspx?menuIndex=3&amp;refID=7152144&amp;Result=3","7152144")</f>
        <v>0</v>
      </c>
      <c r="B2589" t="s">
        <v>1149</v>
      </c>
      <c r="C2589" t="s">
        <v>6243</v>
      </c>
      <c r="D2589" t="s">
        <v>17997</v>
      </c>
      <c r="E2589" t="s">
        <v>20400</v>
      </c>
      <c r="F2589" t="s">
        <v>30900</v>
      </c>
      <c r="G2589" t="s">
        <v>30909</v>
      </c>
      <c r="H2589" t="s">
        <v>30916</v>
      </c>
      <c r="I2589" t="s">
        <v>4108</v>
      </c>
      <c r="J2589" t="s">
        <v>32925</v>
      </c>
      <c r="K2589" t="s">
        <v>40289</v>
      </c>
      <c r="M2589" t="s">
        <v>41755</v>
      </c>
      <c r="N2589" t="s">
        <v>44759</v>
      </c>
      <c r="O2589" t="s">
        <v>44760</v>
      </c>
      <c r="P2589">
        <v>0</v>
      </c>
      <c r="Q2589">
        <v>1</v>
      </c>
      <c r="R2589" t="s">
        <v>44762</v>
      </c>
      <c r="S2589" t="s">
        <v>44863</v>
      </c>
      <c r="T2589" t="s">
        <v>46410</v>
      </c>
      <c r="U2589" t="s">
        <v>49143</v>
      </c>
      <c r="V2589" t="s">
        <v>59408</v>
      </c>
      <c r="W2589" t="s">
        <v>41755</v>
      </c>
      <c r="X2589" t="s">
        <v>44763</v>
      </c>
    </row>
    <row r="2590" spans="1:24">
      <c r="A2590">
        <f>HYPERLINK("https://www.philgeps.gov.ph/GEPSNONPILOT/Tender/SplashBidNoticeAbstractUI.aspx?menuIndex=3&amp;refID=7152164&amp;Result=3","7152164")</f>
        <v>0</v>
      </c>
      <c r="B2590" t="s">
        <v>1150</v>
      </c>
      <c r="C2590" t="s">
        <v>6244</v>
      </c>
      <c r="D2590" t="s">
        <v>17970</v>
      </c>
      <c r="E2590" t="s">
        <v>20401</v>
      </c>
      <c r="F2590" t="s">
        <v>30900</v>
      </c>
      <c r="G2590" t="s">
        <v>30907</v>
      </c>
      <c r="H2590" t="s">
        <v>30916</v>
      </c>
      <c r="I2590" t="s">
        <v>8123</v>
      </c>
      <c r="J2590" t="s">
        <v>32926</v>
      </c>
      <c r="K2590" t="s">
        <v>40286</v>
      </c>
      <c r="M2590" t="s">
        <v>41756</v>
      </c>
      <c r="N2590" t="s">
        <v>44759</v>
      </c>
      <c r="O2590" t="s">
        <v>44760</v>
      </c>
      <c r="P2590">
        <v>0</v>
      </c>
      <c r="Q2590">
        <v>0</v>
      </c>
      <c r="R2590" t="s">
        <v>44762</v>
      </c>
      <c r="S2590" t="s">
        <v>44863</v>
      </c>
      <c r="T2590" t="s">
        <v>46395</v>
      </c>
      <c r="U2590" t="s">
        <v>49144</v>
      </c>
      <c r="W2590" t="s">
        <v>41756</v>
      </c>
      <c r="X2590" t="s">
        <v>44763</v>
      </c>
    </row>
    <row r="2591" spans="1:24">
      <c r="A2591">
        <f>HYPERLINK("https://www.philgeps.gov.ph/GEPSNONPILOT/Tender/SplashBidNoticeAbstractUI.aspx?menuIndex=3&amp;refID=7152149&amp;Result=3","7152149")</f>
        <v>0</v>
      </c>
      <c r="B2591" t="s">
        <v>302</v>
      </c>
      <c r="C2591" t="s">
        <v>6245</v>
      </c>
      <c r="D2591" t="s">
        <v>17959</v>
      </c>
      <c r="E2591" t="s">
        <v>20402</v>
      </c>
      <c r="F2591" t="s">
        <v>30900</v>
      </c>
      <c r="G2591" t="s">
        <v>30908</v>
      </c>
      <c r="H2591" t="s">
        <v>30917</v>
      </c>
      <c r="I2591" t="s">
        <v>9385</v>
      </c>
      <c r="J2591" t="s">
        <v>31049</v>
      </c>
      <c r="K2591" t="s">
        <v>40283</v>
      </c>
      <c r="M2591" t="s">
        <v>40851</v>
      </c>
      <c r="N2591" t="s">
        <v>44759</v>
      </c>
      <c r="O2591" t="s">
        <v>44760</v>
      </c>
      <c r="P2591">
        <v>0</v>
      </c>
      <c r="Q2591">
        <v>3</v>
      </c>
      <c r="R2591" t="s">
        <v>44762</v>
      </c>
      <c r="S2591" t="s">
        <v>44863</v>
      </c>
      <c r="T2591" t="s">
        <v>46363</v>
      </c>
      <c r="U2591" t="s">
        <v>49145</v>
      </c>
      <c r="V2591" t="s">
        <v>59325</v>
      </c>
      <c r="W2591" t="s">
        <v>60852</v>
      </c>
      <c r="X2591" t="s">
        <v>44763</v>
      </c>
    </row>
    <row r="2592" spans="1:24">
      <c r="A2592">
        <f>HYPERLINK("https://www.philgeps.gov.ph/GEPSNONPILOT/Tender/SplashBidNoticeAbstractUI.aspx?menuIndex=3&amp;refID=7152162&amp;Result=3","7152162")</f>
        <v>0</v>
      </c>
      <c r="B2592" t="s">
        <v>1151</v>
      </c>
      <c r="C2592" t="s">
        <v>6246</v>
      </c>
      <c r="D2592" t="s">
        <v>17978</v>
      </c>
      <c r="E2592" t="s">
        <v>20403</v>
      </c>
      <c r="F2592" t="s">
        <v>30900</v>
      </c>
      <c r="G2592" t="s">
        <v>30908</v>
      </c>
      <c r="H2592" t="s">
        <v>30916</v>
      </c>
      <c r="I2592" t="s">
        <v>4545</v>
      </c>
      <c r="J2592" t="s">
        <v>32927</v>
      </c>
      <c r="K2592" t="s">
        <v>40285</v>
      </c>
      <c r="M2592" t="s">
        <v>41757</v>
      </c>
      <c r="N2592" t="s">
        <v>44759</v>
      </c>
      <c r="O2592" t="s">
        <v>44760</v>
      </c>
      <c r="P2592">
        <v>0</v>
      </c>
      <c r="Q2592">
        <v>0</v>
      </c>
      <c r="R2592" t="s">
        <v>44762</v>
      </c>
      <c r="S2592" t="s">
        <v>44863</v>
      </c>
      <c r="T2592" t="s">
        <v>46362</v>
      </c>
      <c r="U2592" t="s">
        <v>49146</v>
      </c>
      <c r="W2592" t="s">
        <v>41757</v>
      </c>
      <c r="X2592" t="s">
        <v>44763</v>
      </c>
    </row>
    <row r="2593" spans="1:24">
      <c r="A2593">
        <f>HYPERLINK("https://www.philgeps.gov.ph/GEPSNONPILOT/Tender/SplashBidNoticeAbstractUI.aspx?menuIndex=3&amp;refID=7152141&amp;Result=3","7152141")</f>
        <v>0</v>
      </c>
      <c r="B2593" t="s">
        <v>1126</v>
      </c>
      <c r="C2593" t="s">
        <v>6247</v>
      </c>
      <c r="D2593" t="s">
        <v>17966</v>
      </c>
      <c r="E2593" t="s">
        <v>20404</v>
      </c>
      <c r="F2593" t="s">
        <v>30900</v>
      </c>
      <c r="G2593" t="s">
        <v>30908</v>
      </c>
      <c r="H2593" t="s">
        <v>30916</v>
      </c>
      <c r="I2593" t="s">
        <v>4108</v>
      </c>
      <c r="J2593" t="s">
        <v>32049</v>
      </c>
      <c r="K2593" t="s">
        <v>40285</v>
      </c>
      <c r="M2593" t="s">
        <v>41728</v>
      </c>
      <c r="N2593" t="s">
        <v>44759</v>
      </c>
      <c r="O2593" t="s">
        <v>44760</v>
      </c>
      <c r="P2593">
        <v>0</v>
      </c>
      <c r="Q2593">
        <v>0</v>
      </c>
      <c r="R2593" t="s">
        <v>44762</v>
      </c>
      <c r="S2593" t="s">
        <v>44863</v>
      </c>
      <c r="T2593" t="s">
        <v>46399</v>
      </c>
      <c r="U2593" t="s">
        <v>49095</v>
      </c>
      <c r="W2593" t="s">
        <v>41728</v>
      </c>
      <c r="X2593" t="s">
        <v>44763</v>
      </c>
    </row>
    <row r="2594" spans="1:24">
      <c r="A2594">
        <f>HYPERLINK("https://www.philgeps.gov.ph/GEPSNONPILOT/Tender/SplashBidNoticeAbstractUI.aspx?menuIndex=3&amp;refID=7152159&amp;Result=3","7152159")</f>
        <v>0</v>
      </c>
      <c r="B2594" t="s">
        <v>1146</v>
      </c>
      <c r="C2594" t="s">
        <v>6248</v>
      </c>
      <c r="D2594" t="s">
        <v>18025</v>
      </c>
      <c r="E2594" t="s">
        <v>20395</v>
      </c>
      <c r="F2594" t="s">
        <v>30900</v>
      </c>
      <c r="G2594" t="s">
        <v>30907</v>
      </c>
      <c r="H2594" t="s">
        <v>30916</v>
      </c>
      <c r="I2594" t="s">
        <v>30952</v>
      </c>
      <c r="J2594" t="s">
        <v>32928</v>
      </c>
      <c r="K2594" t="s">
        <v>40287</v>
      </c>
      <c r="M2594" t="s">
        <v>41752</v>
      </c>
      <c r="N2594" t="s">
        <v>44759</v>
      </c>
      <c r="O2594" t="s">
        <v>44760</v>
      </c>
      <c r="P2594">
        <v>0</v>
      </c>
      <c r="Q2594">
        <v>3</v>
      </c>
      <c r="R2594" t="s">
        <v>44762</v>
      </c>
      <c r="S2594" t="s">
        <v>44863</v>
      </c>
      <c r="T2594" t="s">
        <v>46404</v>
      </c>
      <c r="U2594" t="s">
        <v>49147</v>
      </c>
      <c r="W2594" t="s">
        <v>41752</v>
      </c>
      <c r="X2594" t="s">
        <v>44763</v>
      </c>
    </row>
    <row r="2595" spans="1:24">
      <c r="A2595">
        <f>HYPERLINK("https://www.philgeps.gov.ph/GEPSNONPILOT/Tender/SplashBidNoticeAbstractUI.aspx?menuIndex=3&amp;refID=7152158&amp;Result=3","7152158")</f>
        <v>0</v>
      </c>
      <c r="B2595" t="s">
        <v>302</v>
      </c>
      <c r="C2595" t="s">
        <v>6249</v>
      </c>
      <c r="D2595" t="s">
        <v>17959</v>
      </c>
      <c r="E2595" t="s">
        <v>20405</v>
      </c>
      <c r="F2595" t="s">
        <v>30900</v>
      </c>
      <c r="G2595" t="s">
        <v>30909</v>
      </c>
      <c r="H2595" t="s">
        <v>30916</v>
      </c>
      <c r="I2595" t="s">
        <v>9385</v>
      </c>
      <c r="J2595" t="s">
        <v>32929</v>
      </c>
      <c r="K2595" t="s">
        <v>40283</v>
      </c>
      <c r="M2595" t="s">
        <v>40851</v>
      </c>
      <c r="N2595" t="s">
        <v>44759</v>
      </c>
      <c r="O2595" t="s">
        <v>44760</v>
      </c>
      <c r="P2595">
        <v>0</v>
      </c>
      <c r="Q2595">
        <v>12</v>
      </c>
      <c r="R2595" t="s">
        <v>44762</v>
      </c>
      <c r="S2595" t="s">
        <v>44863</v>
      </c>
      <c r="T2595" t="s">
        <v>46531</v>
      </c>
      <c r="U2595" t="s">
        <v>49148</v>
      </c>
      <c r="V2595" t="s">
        <v>59325</v>
      </c>
      <c r="W2595" t="s">
        <v>60852</v>
      </c>
      <c r="X2595" t="s">
        <v>44763</v>
      </c>
    </row>
    <row r="2596" spans="1:24">
      <c r="A2596">
        <f>HYPERLINK("https://www.philgeps.gov.ph/GEPSNONPILOT/Tender/SplashBidNoticeAbstractUI.aspx?menuIndex=3&amp;refID=7152163&amp;Result=3","7152163")</f>
        <v>0</v>
      </c>
      <c r="B2596" t="s">
        <v>1126</v>
      </c>
      <c r="C2596" t="s">
        <v>6250</v>
      </c>
      <c r="D2596" t="s">
        <v>17966</v>
      </c>
      <c r="E2596" t="s">
        <v>20406</v>
      </c>
      <c r="F2596" t="s">
        <v>30900</v>
      </c>
      <c r="G2596" t="s">
        <v>30908</v>
      </c>
      <c r="H2596" t="s">
        <v>30916</v>
      </c>
      <c r="I2596" t="s">
        <v>30949</v>
      </c>
      <c r="J2596" t="s">
        <v>31243</v>
      </c>
      <c r="K2596" t="s">
        <v>40285</v>
      </c>
      <c r="M2596" t="s">
        <v>41728</v>
      </c>
      <c r="N2596" t="s">
        <v>44759</v>
      </c>
      <c r="O2596" t="s">
        <v>44760</v>
      </c>
      <c r="P2596">
        <v>0</v>
      </c>
      <c r="Q2596">
        <v>2</v>
      </c>
      <c r="R2596" t="s">
        <v>44762</v>
      </c>
      <c r="S2596" t="s">
        <v>44863</v>
      </c>
      <c r="T2596" t="s">
        <v>46399</v>
      </c>
      <c r="U2596" t="s">
        <v>49095</v>
      </c>
      <c r="W2596" t="s">
        <v>41728</v>
      </c>
      <c r="X2596" t="s">
        <v>44763</v>
      </c>
    </row>
    <row r="2597" spans="1:24">
      <c r="A2597">
        <f>HYPERLINK("https://www.philgeps.gov.ph/GEPSNONPILOT/Tender/SplashBidNoticeAbstractUI.aspx?menuIndex=3&amp;refID=7152165&amp;Result=3","7152165")</f>
        <v>0</v>
      </c>
      <c r="B2597" t="s">
        <v>1152</v>
      </c>
      <c r="C2597" t="s">
        <v>6251</v>
      </c>
      <c r="D2597" t="s">
        <v>18015</v>
      </c>
      <c r="E2597" t="s">
        <v>20407</v>
      </c>
      <c r="F2597" t="s">
        <v>30900</v>
      </c>
      <c r="G2597" t="s">
        <v>30907</v>
      </c>
      <c r="H2597" t="s">
        <v>30915</v>
      </c>
      <c r="I2597" t="s">
        <v>30919</v>
      </c>
      <c r="J2597" t="s">
        <v>31755</v>
      </c>
      <c r="K2597" t="s">
        <v>40292</v>
      </c>
      <c r="M2597" t="s">
        <v>41758</v>
      </c>
      <c r="N2597" t="s">
        <v>44759</v>
      </c>
      <c r="O2597" t="s">
        <v>44760</v>
      </c>
      <c r="P2597">
        <v>0</v>
      </c>
      <c r="Q2597">
        <v>0</v>
      </c>
      <c r="R2597" t="s">
        <v>44762</v>
      </c>
      <c r="S2597" t="s">
        <v>44863</v>
      </c>
      <c r="T2597" t="s">
        <v>46465</v>
      </c>
      <c r="U2597" t="s">
        <v>49149</v>
      </c>
      <c r="V2597" t="s">
        <v>59409</v>
      </c>
      <c r="W2597" t="s">
        <v>41758</v>
      </c>
      <c r="X2597" t="s">
        <v>44763</v>
      </c>
    </row>
    <row r="2598" spans="1:24">
      <c r="A2598">
        <f>HYPERLINK("https://www.philgeps.gov.ph/GEPSNONPILOT/Tender/SplashBidNoticeAbstractUI.aspx?menuIndex=3&amp;refID=7152186&amp;Result=3","7152186")</f>
        <v>0</v>
      </c>
      <c r="B2598" t="s">
        <v>1097</v>
      </c>
      <c r="C2598" t="s">
        <v>6252</v>
      </c>
      <c r="D2598" t="s">
        <v>17972</v>
      </c>
      <c r="E2598" t="s">
        <v>18158</v>
      </c>
      <c r="F2598" t="s">
        <v>30900</v>
      </c>
      <c r="G2598" t="s">
        <v>30907</v>
      </c>
      <c r="H2598" t="s">
        <v>30916</v>
      </c>
      <c r="I2598" t="s">
        <v>8123</v>
      </c>
      <c r="J2598" t="s">
        <v>32930</v>
      </c>
      <c r="K2598" t="s">
        <v>40286</v>
      </c>
      <c r="M2598" t="s">
        <v>41697</v>
      </c>
      <c r="N2598" t="s">
        <v>44759</v>
      </c>
      <c r="O2598" t="s">
        <v>44760</v>
      </c>
      <c r="P2598">
        <v>0</v>
      </c>
      <c r="Q2598">
        <v>0</v>
      </c>
      <c r="R2598" t="s">
        <v>44762</v>
      </c>
      <c r="S2598" t="s">
        <v>44863</v>
      </c>
      <c r="T2598" t="s">
        <v>46411</v>
      </c>
      <c r="U2598" t="s">
        <v>49150</v>
      </c>
      <c r="W2598" t="s">
        <v>41697</v>
      </c>
      <c r="X2598" t="s">
        <v>44763</v>
      </c>
    </row>
    <row r="2599" spans="1:24">
      <c r="A2599">
        <f>HYPERLINK("https://www.philgeps.gov.ph/GEPSNONPILOT/Tender/SplashBidNoticeAbstractUI.aspx?menuIndex=3&amp;refID=7152142&amp;Result=3","7152142")</f>
        <v>0</v>
      </c>
      <c r="B2599" t="s">
        <v>1104</v>
      </c>
      <c r="C2599" t="s">
        <v>6253</v>
      </c>
      <c r="D2599" t="s">
        <v>17959</v>
      </c>
      <c r="E2599" t="s">
        <v>19963</v>
      </c>
      <c r="F2599" t="s">
        <v>30900</v>
      </c>
      <c r="G2599" t="s">
        <v>30907</v>
      </c>
      <c r="H2599" t="s">
        <v>7411</v>
      </c>
      <c r="I2599" t="s">
        <v>7411</v>
      </c>
      <c r="J2599" t="s">
        <v>31124</v>
      </c>
      <c r="K2599" t="s">
        <v>40334</v>
      </c>
      <c r="M2599" t="s">
        <v>41704</v>
      </c>
      <c r="N2599" t="s">
        <v>44759</v>
      </c>
      <c r="O2599" t="s">
        <v>44760</v>
      </c>
      <c r="P2599">
        <v>0</v>
      </c>
      <c r="Q2599">
        <v>1</v>
      </c>
      <c r="R2599" t="s">
        <v>44762</v>
      </c>
      <c r="S2599" t="s">
        <v>44863</v>
      </c>
      <c r="T2599" t="s">
        <v>46604</v>
      </c>
      <c r="U2599" t="s">
        <v>49151</v>
      </c>
      <c r="V2599" t="s">
        <v>59407</v>
      </c>
      <c r="W2599" t="s">
        <v>41704</v>
      </c>
      <c r="X2599" t="s">
        <v>44763</v>
      </c>
    </row>
    <row r="2600" spans="1:24">
      <c r="A2600">
        <f>HYPERLINK("https://www.philgeps.gov.ph/GEPSNONPILOT/Tender/SplashBidNoticeAbstractUI.aspx?menuIndex=3&amp;refID=7152157&amp;Result=3","7152157")</f>
        <v>0</v>
      </c>
      <c r="B2600" t="s">
        <v>924</v>
      </c>
      <c r="C2600" t="s">
        <v>6254</v>
      </c>
      <c r="D2600" t="s">
        <v>18017</v>
      </c>
      <c r="E2600" t="s">
        <v>20408</v>
      </c>
      <c r="F2600" t="s">
        <v>30900</v>
      </c>
      <c r="G2600" t="s">
        <v>30907</v>
      </c>
      <c r="H2600" t="s">
        <v>30916</v>
      </c>
      <c r="I2600" t="s">
        <v>30936</v>
      </c>
      <c r="J2600" t="s">
        <v>32931</v>
      </c>
      <c r="K2600" t="s">
        <v>40280</v>
      </c>
      <c r="M2600" t="s">
        <v>41504</v>
      </c>
      <c r="N2600" t="s">
        <v>44759</v>
      </c>
      <c r="O2600" t="s">
        <v>44760</v>
      </c>
      <c r="P2600">
        <v>0</v>
      </c>
      <c r="Q2600">
        <v>0</v>
      </c>
      <c r="R2600" t="s">
        <v>44762</v>
      </c>
      <c r="S2600" t="s">
        <v>44863</v>
      </c>
      <c r="T2600" t="s">
        <v>46476</v>
      </c>
      <c r="U2600" t="s">
        <v>49152</v>
      </c>
      <c r="V2600" t="s">
        <v>59331</v>
      </c>
      <c r="W2600" t="s">
        <v>41504</v>
      </c>
      <c r="X2600" t="s">
        <v>44763</v>
      </c>
    </row>
    <row r="2601" spans="1:24">
      <c r="A2601">
        <f>HYPERLINK("https://www.philgeps.gov.ph/GEPSNONPILOT/Tender/SplashBidNoticeAbstractUI.aspx?menuIndex=3&amp;refID=7152184&amp;Result=3","7152184")</f>
        <v>0</v>
      </c>
      <c r="B2601" t="s">
        <v>1153</v>
      </c>
      <c r="C2601" t="s">
        <v>6255</v>
      </c>
      <c r="E2601" t="s">
        <v>20409</v>
      </c>
      <c r="F2601" t="s">
        <v>30900</v>
      </c>
      <c r="G2601" t="s">
        <v>30908</v>
      </c>
      <c r="H2601" t="s">
        <v>30916</v>
      </c>
      <c r="I2601" t="s">
        <v>9385</v>
      </c>
      <c r="J2601" t="s">
        <v>32932</v>
      </c>
      <c r="K2601" t="s">
        <v>40289</v>
      </c>
      <c r="M2601" t="s">
        <v>41759</v>
      </c>
      <c r="N2601" t="s">
        <v>44759</v>
      </c>
      <c r="O2601" t="s">
        <v>44760</v>
      </c>
      <c r="P2601">
        <v>0</v>
      </c>
      <c r="Q2601">
        <v>10</v>
      </c>
      <c r="R2601" t="s">
        <v>44762</v>
      </c>
      <c r="S2601" t="s">
        <v>44863</v>
      </c>
      <c r="T2601" t="s">
        <v>46357</v>
      </c>
      <c r="U2601" t="s">
        <v>49153</v>
      </c>
      <c r="W2601" t="s">
        <v>41759</v>
      </c>
      <c r="X2601" t="s">
        <v>44763</v>
      </c>
    </row>
    <row r="2602" spans="1:24">
      <c r="A2602">
        <f>HYPERLINK("https://www.philgeps.gov.ph/GEPSNONPILOT/Tender/SplashBidNoticeAbstractUI.aspx?menuIndex=3&amp;refID=7152166&amp;Result=3","7152166")</f>
        <v>0</v>
      </c>
      <c r="B2602" t="s">
        <v>1154</v>
      </c>
      <c r="C2602" t="s">
        <v>6256</v>
      </c>
      <c r="E2602" t="s">
        <v>20410</v>
      </c>
      <c r="F2602" t="s">
        <v>30900</v>
      </c>
      <c r="G2602" t="s">
        <v>30908</v>
      </c>
      <c r="H2602" t="s">
        <v>30916</v>
      </c>
      <c r="I2602" t="s">
        <v>6396</v>
      </c>
      <c r="J2602" t="s">
        <v>32163</v>
      </c>
      <c r="K2602" t="s">
        <v>40286</v>
      </c>
      <c r="M2602" t="s">
        <v>41760</v>
      </c>
      <c r="N2602" t="s">
        <v>44759</v>
      </c>
      <c r="O2602" t="s">
        <v>44760</v>
      </c>
      <c r="P2602">
        <v>0</v>
      </c>
      <c r="Q2602">
        <v>1</v>
      </c>
      <c r="R2602" t="s">
        <v>44762</v>
      </c>
      <c r="S2602" t="s">
        <v>44863</v>
      </c>
      <c r="T2602" t="s">
        <v>46398</v>
      </c>
      <c r="U2602" t="s">
        <v>49154</v>
      </c>
      <c r="W2602" t="s">
        <v>41760</v>
      </c>
      <c r="X2602" t="s">
        <v>44763</v>
      </c>
    </row>
    <row r="2603" spans="1:24">
      <c r="A2603">
        <f>HYPERLINK("https://www.philgeps.gov.ph/GEPSNONPILOT/Tender/SplashBidNoticeAbstractUI.aspx?menuIndex=3&amp;refID=7117127&amp;Result=3","7117127")</f>
        <v>0</v>
      </c>
      <c r="B2603" t="s">
        <v>1155</v>
      </c>
      <c r="C2603" t="s">
        <v>6257</v>
      </c>
      <c r="D2603" t="s">
        <v>17968</v>
      </c>
      <c r="E2603" t="s">
        <v>20411</v>
      </c>
      <c r="F2603" t="s">
        <v>30900</v>
      </c>
      <c r="G2603" t="s">
        <v>30908</v>
      </c>
      <c r="H2603" t="s">
        <v>30916</v>
      </c>
      <c r="I2603" t="s">
        <v>10847</v>
      </c>
      <c r="J2603" t="s">
        <v>32933</v>
      </c>
      <c r="K2603" t="s">
        <v>40284</v>
      </c>
      <c r="M2603" t="s">
        <v>41761</v>
      </c>
      <c r="N2603" t="s">
        <v>44759</v>
      </c>
      <c r="O2603" t="s">
        <v>44760</v>
      </c>
      <c r="P2603">
        <v>0</v>
      </c>
      <c r="Q2603">
        <v>0</v>
      </c>
      <c r="R2603" t="s">
        <v>44763</v>
      </c>
      <c r="S2603" t="s">
        <v>44876</v>
      </c>
      <c r="T2603" t="s">
        <v>46533</v>
      </c>
      <c r="U2603" t="s">
        <v>49155</v>
      </c>
      <c r="W2603" t="s">
        <v>41761</v>
      </c>
      <c r="X2603" t="s">
        <v>44780</v>
      </c>
    </row>
    <row r="2604" spans="1:24">
      <c r="A2604">
        <f>HYPERLINK("https://www.philgeps.gov.ph/GEPSNONPILOT/Tender/SplashBidNoticeAbstractUI.aspx?menuIndex=3&amp;refID=7152161&amp;Result=3","7152161")</f>
        <v>0</v>
      </c>
      <c r="B2604" t="s">
        <v>1146</v>
      </c>
      <c r="C2604" t="s">
        <v>6258</v>
      </c>
      <c r="D2604" t="s">
        <v>18025</v>
      </c>
      <c r="E2604" t="s">
        <v>20395</v>
      </c>
      <c r="F2604" t="s">
        <v>30900</v>
      </c>
      <c r="G2604" t="s">
        <v>30907</v>
      </c>
      <c r="H2604" t="s">
        <v>30916</v>
      </c>
      <c r="I2604" t="s">
        <v>4108</v>
      </c>
      <c r="J2604" t="s">
        <v>32309</v>
      </c>
      <c r="K2604" t="s">
        <v>40287</v>
      </c>
      <c r="M2604" t="s">
        <v>41752</v>
      </c>
      <c r="N2604" t="s">
        <v>44759</v>
      </c>
      <c r="O2604" t="s">
        <v>44760</v>
      </c>
      <c r="P2604">
        <v>0</v>
      </c>
      <c r="Q2604">
        <v>2</v>
      </c>
      <c r="R2604" t="s">
        <v>44762</v>
      </c>
      <c r="S2604" t="s">
        <v>44863</v>
      </c>
      <c r="T2604" t="s">
        <v>46404</v>
      </c>
      <c r="U2604" t="s">
        <v>49156</v>
      </c>
      <c r="W2604" t="s">
        <v>41752</v>
      </c>
      <c r="X2604" t="s">
        <v>44763</v>
      </c>
    </row>
    <row r="2605" spans="1:24">
      <c r="A2605">
        <f>HYPERLINK("https://www.philgeps.gov.ph/GEPSNONPILOT/Tender/SplashBidNoticeAbstractUI.aspx?menuIndex=3&amp;refID=7152155&amp;Result=3","7152155")</f>
        <v>0</v>
      </c>
      <c r="B2605" t="s">
        <v>1152</v>
      </c>
      <c r="C2605" t="s">
        <v>6259</v>
      </c>
      <c r="D2605" t="s">
        <v>18015</v>
      </c>
      <c r="E2605" t="s">
        <v>20412</v>
      </c>
      <c r="F2605" t="s">
        <v>30900</v>
      </c>
      <c r="G2605" t="s">
        <v>30907</v>
      </c>
      <c r="H2605" t="s">
        <v>30915</v>
      </c>
      <c r="I2605" t="s">
        <v>30919</v>
      </c>
      <c r="J2605" t="s">
        <v>32934</v>
      </c>
      <c r="K2605" t="s">
        <v>40292</v>
      </c>
      <c r="M2605" t="s">
        <v>41758</v>
      </c>
      <c r="N2605" t="s">
        <v>44759</v>
      </c>
      <c r="O2605" t="s">
        <v>44760</v>
      </c>
      <c r="P2605">
        <v>0</v>
      </c>
      <c r="Q2605">
        <v>0</v>
      </c>
      <c r="R2605" t="s">
        <v>44762</v>
      </c>
      <c r="S2605" t="s">
        <v>44863</v>
      </c>
      <c r="T2605" t="s">
        <v>46605</v>
      </c>
      <c r="U2605" t="s">
        <v>49157</v>
      </c>
      <c r="V2605" t="s">
        <v>59410</v>
      </c>
      <c r="W2605" t="s">
        <v>41758</v>
      </c>
      <c r="X2605" t="s">
        <v>44763</v>
      </c>
    </row>
    <row r="2606" spans="1:24">
      <c r="A2606">
        <f>HYPERLINK("https://www.philgeps.gov.ph/GEPSNONPILOT/Tender/SplashBidNoticeAbstractUI.aspx?menuIndex=3&amp;refID=7095543&amp;Result=3","7095543")</f>
        <v>0</v>
      </c>
      <c r="B2606" t="s">
        <v>1156</v>
      </c>
      <c r="C2606" t="s">
        <v>6260</v>
      </c>
      <c r="D2606" t="s">
        <v>17961</v>
      </c>
      <c r="E2606" t="s">
        <v>18282</v>
      </c>
      <c r="F2606" t="s">
        <v>30900</v>
      </c>
      <c r="G2606" t="s">
        <v>30910</v>
      </c>
      <c r="H2606" t="s">
        <v>30916</v>
      </c>
      <c r="I2606" t="s">
        <v>8365</v>
      </c>
      <c r="J2606" t="s">
        <v>31098</v>
      </c>
      <c r="K2606" t="s">
        <v>40291</v>
      </c>
      <c r="M2606" t="s">
        <v>41762</v>
      </c>
      <c r="N2606" t="s">
        <v>44759</v>
      </c>
      <c r="O2606" t="s">
        <v>44760</v>
      </c>
      <c r="P2606">
        <v>0</v>
      </c>
      <c r="Q2606">
        <v>3</v>
      </c>
      <c r="R2606" t="s">
        <v>44763</v>
      </c>
      <c r="S2606" t="s">
        <v>44876</v>
      </c>
      <c r="T2606" t="s">
        <v>46376</v>
      </c>
      <c r="U2606" t="s">
        <v>49158</v>
      </c>
      <c r="W2606" t="s">
        <v>41762</v>
      </c>
      <c r="X2606" t="s">
        <v>44789</v>
      </c>
    </row>
    <row r="2607" spans="1:24">
      <c r="A2607">
        <f>HYPERLINK("https://www.philgeps.gov.ph/GEPSNONPILOT/Tender/SplashBidNoticeAbstractUI.aspx?menuIndex=3&amp;refID=7152182&amp;Result=3","7152182")</f>
        <v>0</v>
      </c>
      <c r="B2607" t="s">
        <v>466</v>
      </c>
      <c r="C2607" t="s">
        <v>6261</v>
      </c>
      <c r="E2607" t="s">
        <v>20413</v>
      </c>
      <c r="F2607" t="s">
        <v>30900</v>
      </c>
      <c r="G2607" t="s">
        <v>30908</v>
      </c>
      <c r="H2607" t="s">
        <v>30916</v>
      </c>
      <c r="I2607" t="s">
        <v>30942</v>
      </c>
      <c r="J2607" t="s">
        <v>31105</v>
      </c>
      <c r="K2607" t="s">
        <v>40289</v>
      </c>
      <c r="M2607" t="s">
        <v>41763</v>
      </c>
      <c r="N2607" t="s">
        <v>44759</v>
      </c>
      <c r="O2607" t="s">
        <v>44760</v>
      </c>
      <c r="P2607">
        <v>0</v>
      </c>
      <c r="Q2607">
        <v>2</v>
      </c>
      <c r="R2607" t="s">
        <v>44762</v>
      </c>
      <c r="S2607" t="s">
        <v>44863</v>
      </c>
      <c r="T2607" t="s">
        <v>46414</v>
      </c>
      <c r="U2607" t="s">
        <v>49159</v>
      </c>
      <c r="W2607" t="s">
        <v>41763</v>
      </c>
      <c r="X2607" t="s">
        <v>44763</v>
      </c>
    </row>
    <row r="2608" spans="1:24">
      <c r="A2608">
        <f>HYPERLINK("https://www.philgeps.gov.ph/GEPSNONPILOT/Tender/SplashBidNoticeAbstractUI.aspx?menuIndex=3&amp;refID=6987058&amp;Result=3","6987058")</f>
        <v>0</v>
      </c>
      <c r="B2608" t="s">
        <v>235</v>
      </c>
      <c r="C2608" t="s">
        <v>6262</v>
      </c>
      <c r="D2608" t="s">
        <v>17959</v>
      </c>
      <c r="E2608" t="s">
        <v>20414</v>
      </c>
      <c r="F2608" t="s">
        <v>30900</v>
      </c>
      <c r="G2608" t="s">
        <v>30907</v>
      </c>
      <c r="H2608" t="s">
        <v>30916</v>
      </c>
      <c r="I2608" t="s">
        <v>30918</v>
      </c>
      <c r="J2608" t="s">
        <v>32935</v>
      </c>
      <c r="K2608" t="s">
        <v>40280</v>
      </c>
      <c r="M2608" t="s">
        <v>40782</v>
      </c>
      <c r="N2608" t="s">
        <v>44759</v>
      </c>
      <c r="O2608" t="s">
        <v>44760</v>
      </c>
      <c r="P2608">
        <v>0</v>
      </c>
      <c r="Q2608">
        <v>30</v>
      </c>
      <c r="R2608" t="s">
        <v>44763</v>
      </c>
      <c r="S2608" t="s">
        <v>44876</v>
      </c>
      <c r="T2608" t="s">
        <v>46465</v>
      </c>
      <c r="U2608" t="s">
        <v>49160</v>
      </c>
      <c r="V2608" t="s">
        <v>59411</v>
      </c>
      <c r="W2608" t="s">
        <v>40782</v>
      </c>
      <c r="X2608" t="s">
        <v>44814</v>
      </c>
    </row>
    <row r="2609" spans="1:24">
      <c r="A2609">
        <f>HYPERLINK("https://www.philgeps.gov.ph/GEPSNONPILOT/Tender/SplashBidNoticeAbstractUI.aspx?menuIndex=3&amp;refID=7152183&amp;Result=3","7152183")</f>
        <v>0</v>
      </c>
      <c r="B2609" t="s">
        <v>1152</v>
      </c>
      <c r="C2609" t="s">
        <v>6263</v>
      </c>
      <c r="D2609" t="s">
        <v>18015</v>
      </c>
      <c r="E2609" t="s">
        <v>20415</v>
      </c>
      <c r="F2609" t="s">
        <v>30900</v>
      </c>
      <c r="G2609" t="s">
        <v>30907</v>
      </c>
      <c r="H2609" t="s">
        <v>30915</v>
      </c>
      <c r="I2609" t="s">
        <v>30919</v>
      </c>
      <c r="J2609" t="s">
        <v>32936</v>
      </c>
      <c r="K2609" t="s">
        <v>40304</v>
      </c>
      <c r="M2609" t="s">
        <v>41758</v>
      </c>
      <c r="N2609" t="s">
        <v>44759</v>
      </c>
      <c r="O2609" t="s">
        <v>44760</v>
      </c>
      <c r="P2609">
        <v>0</v>
      </c>
      <c r="Q2609">
        <v>0</v>
      </c>
      <c r="R2609" t="s">
        <v>44762</v>
      </c>
      <c r="S2609" t="s">
        <v>44863</v>
      </c>
      <c r="T2609" t="s">
        <v>46465</v>
      </c>
      <c r="U2609" t="s">
        <v>49161</v>
      </c>
      <c r="V2609" t="s">
        <v>59412</v>
      </c>
      <c r="W2609" t="s">
        <v>41758</v>
      </c>
      <c r="X2609" t="s">
        <v>44763</v>
      </c>
    </row>
    <row r="2610" spans="1:24">
      <c r="A2610">
        <f>HYPERLINK("https://www.philgeps.gov.ph/GEPSNONPILOT/Tender/SplashBidNoticeAbstractUI.aspx?menuIndex=3&amp;refID=7152177&amp;Result=3","7152177")</f>
        <v>0</v>
      </c>
      <c r="B2610" t="s">
        <v>1153</v>
      </c>
      <c r="C2610" t="s">
        <v>6264</v>
      </c>
      <c r="E2610" t="s">
        <v>20416</v>
      </c>
      <c r="F2610" t="s">
        <v>30900</v>
      </c>
      <c r="G2610" t="s">
        <v>30908</v>
      </c>
      <c r="H2610" t="s">
        <v>30916</v>
      </c>
      <c r="I2610" t="s">
        <v>9385</v>
      </c>
      <c r="J2610" t="s">
        <v>32937</v>
      </c>
      <c r="K2610" t="s">
        <v>40289</v>
      </c>
      <c r="M2610" t="s">
        <v>41759</v>
      </c>
      <c r="N2610" t="s">
        <v>44759</v>
      </c>
      <c r="O2610" t="s">
        <v>44760</v>
      </c>
      <c r="P2610">
        <v>0</v>
      </c>
      <c r="Q2610">
        <v>13</v>
      </c>
      <c r="R2610" t="s">
        <v>44762</v>
      </c>
      <c r="S2610" t="s">
        <v>44863</v>
      </c>
      <c r="T2610" t="s">
        <v>46357</v>
      </c>
      <c r="U2610" t="s">
        <v>49162</v>
      </c>
      <c r="W2610" t="s">
        <v>41759</v>
      </c>
      <c r="X2610" t="s">
        <v>44763</v>
      </c>
    </row>
    <row r="2611" spans="1:24">
      <c r="A2611">
        <f>HYPERLINK("https://www.philgeps.gov.ph/GEPSNONPILOT/Tender/SplashBidNoticeAbstractUI.aspx?menuIndex=3&amp;refID=7152187&amp;Result=3","7152187")</f>
        <v>0</v>
      </c>
      <c r="B2611" t="s">
        <v>140</v>
      </c>
      <c r="C2611" t="s">
        <v>6265</v>
      </c>
      <c r="D2611" t="s">
        <v>17973</v>
      </c>
      <c r="E2611" t="s">
        <v>20417</v>
      </c>
      <c r="F2611" t="s">
        <v>30900</v>
      </c>
      <c r="G2611" t="s">
        <v>30907</v>
      </c>
      <c r="H2611" t="s">
        <v>30916</v>
      </c>
      <c r="I2611" t="s">
        <v>30941</v>
      </c>
      <c r="J2611" t="s">
        <v>32938</v>
      </c>
      <c r="K2611" t="s">
        <v>40332</v>
      </c>
      <c r="M2611" t="s">
        <v>40687</v>
      </c>
      <c r="N2611" t="s">
        <v>44759</v>
      </c>
      <c r="O2611" t="s">
        <v>44760</v>
      </c>
      <c r="P2611">
        <v>0</v>
      </c>
      <c r="Q2611">
        <v>1</v>
      </c>
      <c r="R2611" t="s">
        <v>44762</v>
      </c>
      <c r="S2611" t="s">
        <v>44863</v>
      </c>
      <c r="T2611" t="s">
        <v>46514</v>
      </c>
      <c r="U2611" t="s">
        <v>49163</v>
      </c>
      <c r="W2611" t="s">
        <v>40687</v>
      </c>
      <c r="X2611" t="s">
        <v>44763</v>
      </c>
    </row>
    <row r="2612" spans="1:24">
      <c r="A2612">
        <f>HYPERLINK("https://www.philgeps.gov.ph/GEPSNONPILOT/Tender/SplashBidNoticeAbstractUI.aspx?menuIndex=3&amp;refID=7110117&amp;Result=3","7110117")</f>
        <v>0</v>
      </c>
      <c r="B2612" t="s">
        <v>924</v>
      </c>
      <c r="C2612" t="s">
        <v>6266</v>
      </c>
      <c r="D2612" t="s">
        <v>18017</v>
      </c>
      <c r="E2612" t="s">
        <v>20418</v>
      </c>
      <c r="F2612" t="s">
        <v>30900</v>
      </c>
      <c r="G2612" t="s">
        <v>30907</v>
      </c>
      <c r="H2612" t="s">
        <v>30916</v>
      </c>
      <c r="I2612" t="s">
        <v>30949</v>
      </c>
      <c r="J2612" t="s">
        <v>32939</v>
      </c>
      <c r="K2612" t="s">
        <v>40280</v>
      </c>
      <c r="M2612" t="s">
        <v>41504</v>
      </c>
      <c r="N2612" t="s">
        <v>44759</v>
      </c>
      <c r="O2612" t="s">
        <v>44760</v>
      </c>
      <c r="P2612">
        <v>0</v>
      </c>
      <c r="Q2612">
        <v>1</v>
      </c>
      <c r="R2612" t="s">
        <v>44763</v>
      </c>
      <c r="S2612" t="s">
        <v>44876</v>
      </c>
      <c r="T2612" t="s">
        <v>46370</v>
      </c>
      <c r="U2612" t="s">
        <v>49164</v>
      </c>
      <c r="V2612" t="s">
        <v>59403</v>
      </c>
      <c r="W2612" t="s">
        <v>41504</v>
      </c>
      <c r="X2612" t="s">
        <v>44782</v>
      </c>
    </row>
    <row r="2613" spans="1:24">
      <c r="A2613">
        <f>HYPERLINK("https://www.philgeps.gov.ph/GEPSNONPILOT/Tender/SplashBidNoticeAbstractUI.aspx?menuIndex=3&amp;refID=7152174&amp;Result=3","7152174")</f>
        <v>0</v>
      </c>
      <c r="B2613" t="s">
        <v>1151</v>
      </c>
      <c r="C2613" t="s">
        <v>6267</v>
      </c>
      <c r="D2613" t="s">
        <v>17978</v>
      </c>
      <c r="E2613" t="s">
        <v>20419</v>
      </c>
      <c r="F2613" t="s">
        <v>30900</v>
      </c>
      <c r="G2613" t="s">
        <v>30910</v>
      </c>
      <c r="H2613" t="s">
        <v>30916</v>
      </c>
      <c r="I2613" t="s">
        <v>4142</v>
      </c>
      <c r="J2613" t="s">
        <v>32940</v>
      </c>
      <c r="K2613" t="s">
        <v>40281</v>
      </c>
      <c r="M2613" t="s">
        <v>41757</v>
      </c>
      <c r="N2613" t="s">
        <v>44759</v>
      </c>
      <c r="O2613" t="s">
        <v>44760</v>
      </c>
      <c r="P2613">
        <v>0</v>
      </c>
      <c r="Q2613">
        <v>0</v>
      </c>
      <c r="R2613" t="s">
        <v>44762</v>
      </c>
      <c r="S2613" t="s">
        <v>44863</v>
      </c>
      <c r="T2613" t="s">
        <v>46362</v>
      </c>
      <c r="U2613" t="s">
        <v>49165</v>
      </c>
      <c r="W2613" t="s">
        <v>41757</v>
      </c>
      <c r="X2613" t="s">
        <v>44763</v>
      </c>
    </row>
    <row r="2614" spans="1:24">
      <c r="A2614">
        <f>HYPERLINK("https://www.philgeps.gov.ph/GEPSNONPILOT/Tender/SplashBidNoticeAbstractUI.aspx?menuIndex=3&amp;refID=7152172&amp;Result=3","7152172")</f>
        <v>0</v>
      </c>
      <c r="B2614" t="s">
        <v>902</v>
      </c>
      <c r="C2614" t="s">
        <v>6268</v>
      </c>
      <c r="D2614" t="s">
        <v>18025</v>
      </c>
      <c r="E2614" t="s">
        <v>20420</v>
      </c>
      <c r="F2614" t="s">
        <v>30900</v>
      </c>
      <c r="G2614" t="s">
        <v>30907</v>
      </c>
      <c r="H2614" t="s">
        <v>30916</v>
      </c>
      <c r="I2614" t="s">
        <v>30934</v>
      </c>
      <c r="J2614" t="s">
        <v>32941</v>
      </c>
      <c r="K2614" t="s">
        <v>40280</v>
      </c>
      <c r="M2614" t="s">
        <v>41764</v>
      </c>
      <c r="N2614" t="s">
        <v>44759</v>
      </c>
      <c r="O2614" t="s">
        <v>44760</v>
      </c>
      <c r="P2614">
        <v>0</v>
      </c>
      <c r="Q2614">
        <v>5</v>
      </c>
      <c r="R2614" t="s">
        <v>44762</v>
      </c>
      <c r="S2614" t="s">
        <v>44863</v>
      </c>
      <c r="T2614" t="s">
        <v>46405</v>
      </c>
      <c r="U2614" t="s">
        <v>49166</v>
      </c>
      <c r="V2614" t="s">
        <v>59413</v>
      </c>
      <c r="W2614" t="s">
        <v>60843</v>
      </c>
      <c r="X2614" t="s">
        <v>44763</v>
      </c>
    </row>
    <row r="2615" spans="1:24">
      <c r="A2615">
        <f>HYPERLINK("https://www.philgeps.gov.ph/GEPSNONPILOT/Tender/SplashBidNoticeAbstractUI.aspx?menuIndex=3&amp;refID=6890194&amp;Result=3","6890194")</f>
        <v>0</v>
      </c>
      <c r="B2615" t="s">
        <v>1157</v>
      </c>
      <c r="C2615" t="s">
        <v>6269</v>
      </c>
      <c r="D2615" t="s">
        <v>17959</v>
      </c>
      <c r="E2615" t="s">
        <v>20421</v>
      </c>
      <c r="F2615" t="s">
        <v>30900</v>
      </c>
      <c r="G2615" t="s">
        <v>30907</v>
      </c>
      <c r="H2615" t="s">
        <v>30915</v>
      </c>
      <c r="I2615" t="s">
        <v>30919</v>
      </c>
      <c r="J2615" t="s">
        <v>32942</v>
      </c>
      <c r="K2615" t="s">
        <v>40283</v>
      </c>
      <c r="M2615" t="s">
        <v>41765</v>
      </c>
      <c r="N2615" t="s">
        <v>44759</v>
      </c>
      <c r="O2615" t="s">
        <v>44760</v>
      </c>
      <c r="P2615">
        <v>0</v>
      </c>
      <c r="Q2615">
        <v>1</v>
      </c>
      <c r="R2615" t="s">
        <v>44763</v>
      </c>
      <c r="S2615" t="s">
        <v>44876</v>
      </c>
      <c r="T2615" t="s">
        <v>46412</v>
      </c>
      <c r="U2615" t="s">
        <v>49167</v>
      </c>
      <c r="W2615" t="s">
        <v>41765</v>
      </c>
      <c r="X2615" t="s">
        <v>60954</v>
      </c>
    </row>
    <row r="2616" spans="1:24">
      <c r="A2616">
        <f>HYPERLINK("https://www.philgeps.gov.ph/GEPSNONPILOT/Tender/SplashBidNoticeAbstractUI.aspx?menuIndex=3&amp;refID=7152167&amp;Result=3","7152167")</f>
        <v>0</v>
      </c>
      <c r="B2616" t="s">
        <v>302</v>
      </c>
      <c r="C2616" t="s">
        <v>6270</v>
      </c>
      <c r="D2616" t="s">
        <v>17959</v>
      </c>
      <c r="E2616" t="s">
        <v>20422</v>
      </c>
      <c r="F2616" t="s">
        <v>30900</v>
      </c>
      <c r="G2616" t="s">
        <v>30909</v>
      </c>
      <c r="H2616" t="s">
        <v>30916</v>
      </c>
      <c r="I2616" t="s">
        <v>9385</v>
      </c>
      <c r="J2616" t="s">
        <v>32943</v>
      </c>
      <c r="K2616" t="s">
        <v>40283</v>
      </c>
      <c r="M2616" t="s">
        <v>40851</v>
      </c>
      <c r="N2616" t="s">
        <v>44759</v>
      </c>
      <c r="O2616" t="s">
        <v>44760</v>
      </c>
      <c r="P2616">
        <v>0</v>
      </c>
      <c r="Q2616">
        <v>6</v>
      </c>
      <c r="R2616" t="s">
        <v>44762</v>
      </c>
      <c r="S2616" t="s">
        <v>44863</v>
      </c>
      <c r="T2616" t="s">
        <v>46531</v>
      </c>
      <c r="U2616" t="s">
        <v>49168</v>
      </c>
      <c r="V2616" t="s">
        <v>59325</v>
      </c>
      <c r="W2616" t="s">
        <v>60852</v>
      </c>
      <c r="X2616" t="s">
        <v>44763</v>
      </c>
    </row>
    <row r="2617" spans="1:24">
      <c r="A2617">
        <f>HYPERLINK("https://www.philgeps.gov.ph/GEPSNONPILOT/Tender/SplashBidNoticeAbstractUI.aspx?menuIndex=3&amp;refID=7152145&amp;Result=3","7152145")</f>
        <v>0</v>
      </c>
      <c r="B2617" t="s">
        <v>1158</v>
      </c>
      <c r="C2617" t="s">
        <v>6271</v>
      </c>
      <c r="D2617" t="s">
        <v>17985</v>
      </c>
      <c r="E2617" t="s">
        <v>20423</v>
      </c>
      <c r="F2617" t="s">
        <v>30900</v>
      </c>
      <c r="G2617" t="s">
        <v>30907</v>
      </c>
      <c r="H2617" t="s">
        <v>30916</v>
      </c>
      <c r="I2617" t="s">
        <v>4142</v>
      </c>
      <c r="J2617" t="s">
        <v>32944</v>
      </c>
      <c r="K2617" t="s">
        <v>40283</v>
      </c>
      <c r="M2617" t="s">
        <v>41766</v>
      </c>
      <c r="N2617" t="s">
        <v>44759</v>
      </c>
      <c r="O2617" t="s">
        <v>44760</v>
      </c>
      <c r="P2617">
        <v>0</v>
      </c>
      <c r="Q2617">
        <v>3</v>
      </c>
      <c r="R2617" t="s">
        <v>44762</v>
      </c>
      <c r="S2617" t="s">
        <v>44863</v>
      </c>
      <c r="T2617" t="s">
        <v>46405</v>
      </c>
      <c r="U2617" t="s">
        <v>49169</v>
      </c>
      <c r="W2617" t="s">
        <v>60853</v>
      </c>
      <c r="X2617" t="s">
        <v>44763</v>
      </c>
    </row>
    <row r="2618" spans="1:24">
      <c r="A2618">
        <f>HYPERLINK("https://www.philgeps.gov.ph/GEPSNONPILOT/Tender/SplashBidNoticeAbstractUI.aspx?menuIndex=3&amp;refID=7152169&amp;Result=3","7152169")</f>
        <v>0</v>
      </c>
      <c r="B2618" t="s">
        <v>140</v>
      </c>
      <c r="C2618" t="s">
        <v>6272</v>
      </c>
      <c r="D2618" t="s">
        <v>17973</v>
      </c>
      <c r="E2618" t="s">
        <v>20424</v>
      </c>
      <c r="F2618" t="s">
        <v>30900</v>
      </c>
      <c r="G2618" t="s">
        <v>30907</v>
      </c>
      <c r="H2618" t="s">
        <v>30916</v>
      </c>
      <c r="I2618" t="s">
        <v>30949</v>
      </c>
      <c r="J2618" t="s">
        <v>32945</v>
      </c>
      <c r="K2618" t="s">
        <v>40280</v>
      </c>
      <c r="M2618" t="s">
        <v>40687</v>
      </c>
      <c r="N2618" t="s">
        <v>44759</v>
      </c>
      <c r="O2618" t="s">
        <v>44760</v>
      </c>
      <c r="P2618">
        <v>0</v>
      </c>
      <c r="Q2618">
        <v>1</v>
      </c>
      <c r="R2618" t="s">
        <v>44762</v>
      </c>
      <c r="S2618" t="s">
        <v>44863</v>
      </c>
      <c r="T2618" t="s">
        <v>46514</v>
      </c>
      <c r="U2618" t="s">
        <v>49170</v>
      </c>
      <c r="W2618" t="s">
        <v>40687</v>
      </c>
      <c r="X2618" t="s">
        <v>44763</v>
      </c>
    </row>
    <row r="2619" spans="1:24">
      <c r="A2619">
        <f>HYPERLINK("https://www.philgeps.gov.ph/GEPSNONPILOT/Tender/SplashBidNoticeAbstractUI.aspx?menuIndex=3&amp;refID=7152175&amp;Result=3","7152175")</f>
        <v>0</v>
      </c>
      <c r="B2619" t="s">
        <v>466</v>
      </c>
      <c r="C2619" t="s">
        <v>6273</v>
      </c>
      <c r="E2619" t="s">
        <v>20425</v>
      </c>
      <c r="F2619" t="s">
        <v>30900</v>
      </c>
      <c r="G2619" t="s">
        <v>30908</v>
      </c>
      <c r="H2619" t="s">
        <v>30916</v>
      </c>
      <c r="I2619" t="s">
        <v>30988</v>
      </c>
      <c r="J2619" t="s">
        <v>31204</v>
      </c>
      <c r="K2619" t="s">
        <v>40289</v>
      </c>
      <c r="M2619" t="s">
        <v>41763</v>
      </c>
      <c r="N2619" t="s">
        <v>44759</v>
      </c>
      <c r="O2619" t="s">
        <v>44760</v>
      </c>
      <c r="P2619">
        <v>0</v>
      </c>
      <c r="Q2619">
        <v>0</v>
      </c>
      <c r="R2619" t="s">
        <v>44762</v>
      </c>
      <c r="S2619" t="s">
        <v>44863</v>
      </c>
      <c r="T2619" t="s">
        <v>46414</v>
      </c>
      <c r="U2619" t="s">
        <v>49171</v>
      </c>
      <c r="W2619" t="s">
        <v>41763</v>
      </c>
      <c r="X2619" t="s">
        <v>44763</v>
      </c>
    </row>
    <row r="2620" spans="1:24">
      <c r="A2620">
        <f>HYPERLINK("https://www.philgeps.gov.ph/GEPSNONPILOT/Tender/SplashBidNoticeAbstractUI.aspx?menuIndex=3&amp;refID=7136796&amp;Result=3","7136796")</f>
        <v>0</v>
      </c>
      <c r="B2620" t="s">
        <v>1159</v>
      </c>
      <c r="C2620" t="s">
        <v>6274</v>
      </c>
      <c r="E2620" t="s">
        <v>20426</v>
      </c>
      <c r="F2620" t="s">
        <v>30900</v>
      </c>
      <c r="G2620" t="s">
        <v>30907</v>
      </c>
      <c r="H2620" t="s">
        <v>30915</v>
      </c>
      <c r="I2620" t="s">
        <v>30919</v>
      </c>
      <c r="J2620" t="s">
        <v>32946</v>
      </c>
      <c r="K2620" t="s">
        <v>40280</v>
      </c>
      <c r="M2620" t="s">
        <v>41767</v>
      </c>
      <c r="N2620" t="s">
        <v>44759</v>
      </c>
      <c r="O2620" t="s">
        <v>44760</v>
      </c>
      <c r="P2620">
        <v>0</v>
      </c>
      <c r="Q2620">
        <v>0</v>
      </c>
      <c r="R2620" t="s">
        <v>44763</v>
      </c>
      <c r="S2620" t="s">
        <v>44876</v>
      </c>
      <c r="T2620" t="s">
        <v>46465</v>
      </c>
      <c r="U2620" t="s">
        <v>49172</v>
      </c>
      <c r="W2620" t="s">
        <v>41767</v>
      </c>
      <c r="X2620" t="s">
        <v>44770</v>
      </c>
    </row>
    <row r="2621" spans="1:24">
      <c r="A2621">
        <f>HYPERLINK("https://www.philgeps.gov.ph/GEPSNONPILOT/Tender/SplashBidNoticeAbstractUI.aspx?menuIndex=3&amp;refID=7136730&amp;Result=3","7136730")</f>
        <v>0</v>
      </c>
      <c r="B2621" t="s">
        <v>1159</v>
      </c>
      <c r="C2621" t="s">
        <v>6275</v>
      </c>
      <c r="E2621" t="s">
        <v>20427</v>
      </c>
      <c r="F2621" t="s">
        <v>30900</v>
      </c>
      <c r="G2621" t="s">
        <v>30907</v>
      </c>
      <c r="H2621" t="s">
        <v>30915</v>
      </c>
      <c r="I2621" t="s">
        <v>30919</v>
      </c>
      <c r="J2621" t="s">
        <v>32947</v>
      </c>
      <c r="K2621" t="s">
        <v>40292</v>
      </c>
      <c r="M2621" t="s">
        <v>41767</v>
      </c>
      <c r="N2621" t="s">
        <v>44759</v>
      </c>
      <c r="O2621" t="s">
        <v>44760</v>
      </c>
      <c r="P2621">
        <v>0</v>
      </c>
      <c r="Q2621">
        <v>0</v>
      </c>
      <c r="R2621" t="s">
        <v>44763</v>
      </c>
      <c r="S2621" t="s">
        <v>44876</v>
      </c>
      <c r="T2621" t="s">
        <v>46465</v>
      </c>
      <c r="U2621" t="s">
        <v>49172</v>
      </c>
      <c r="W2621" t="s">
        <v>41767</v>
      </c>
      <c r="X2621" t="s">
        <v>44770</v>
      </c>
    </row>
    <row r="2622" spans="1:24">
      <c r="A2622">
        <f>HYPERLINK("https://www.philgeps.gov.ph/GEPSNONPILOT/Tender/SplashBidNoticeAbstractUI.aspx?menuIndex=3&amp;refID=7136761&amp;Result=3","7136761")</f>
        <v>0</v>
      </c>
      <c r="B2622" t="s">
        <v>1159</v>
      </c>
      <c r="C2622" t="s">
        <v>6276</v>
      </c>
      <c r="E2622" t="s">
        <v>20428</v>
      </c>
      <c r="F2622" t="s">
        <v>30900</v>
      </c>
      <c r="G2622" t="s">
        <v>30907</v>
      </c>
      <c r="H2622" t="s">
        <v>30915</v>
      </c>
      <c r="I2622" t="s">
        <v>30919</v>
      </c>
      <c r="J2622" t="s">
        <v>31241</v>
      </c>
      <c r="K2622" t="s">
        <v>40292</v>
      </c>
      <c r="M2622" t="s">
        <v>41767</v>
      </c>
      <c r="N2622" t="s">
        <v>44759</v>
      </c>
      <c r="O2622" t="s">
        <v>44760</v>
      </c>
      <c r="P2622">
        <v>0</v>
      </c>
      <c r="Q2622">
        <v>0</v>
      </c>
      <c r="R2622" t="s">
        <v>44763</v>
      </c>
      <c r="S2622" t="s">
        <v>44876</v>
      </c>
      <c r="T2622" t="s">
        <v>46465</v>
      </c>
      <c r="U2622" t="s">
        <v>49172</v>
      </c>
      <c r="W2622" t="s">
        <v>41767</v>
      </c>
      <c r="X2622" t="s">
        <v>44770</v>
      </c>
    </row>
    <row r="2623" spans="1:24">
      <c r="A2623">
        <f>HYPERLINK("https://www.philgeps.gov.ph/GEPSNONPILOT/Tender/SplashBidNoticeAbstractUI.aspx?menuIndex=3&amp;refID=7136694&amp;Result=3","7136694")</f>
        <v>0</v>
      </c>
      <c r="B2623" t="s">
        <v>1159</v>
      </c>
      <c r="C2623" t="s">
        <v>6277</v>
      </c>
      <c r="E2623" t="s">
        <v>20429</v>
      </c>
      <c r="F2623" t="s">
        <v>30900</v>
      </c>
      <c r="G2623" t="s">
        <v>30907</v>
      </c>
      <c r="H2623" t="s">
        <v>30915</v>
      </c>
      <c r="I2623" t="s">
        <v>30919</v>
      </c>
      <c r="J2623" t="s">
        <v>32948</v>
      </c>
      <c r="K2623" t="s">
        <v>40292</v>
      </c>
      <c r="M2623" t="s">
        <v>41767</v>
      </c>
      <c r="N2623" t="s">
        <v>44759</v>
      </c>
      <c r="O2623" t="s">
        <v>44760</v>
      </c>
      <c r="P2623">
        <v>0</v>
      </c>
      <c r="Q2623">
        <v>0</v>
      </c>
      <c r="R2623" t="s">
        <v>44763</v>
      </c>
      <c r="S2623" t="s">
        <v>44876</v>
      </c>
      <c r="T2623" t="s">
        <v>46465</v>
      </c>
      <c r="U2623" t="s">
        <v>49172</v>
      </c>
      <c r="W2623" t="s">
        <v>41767</v>
      </c>
      <c r="X2623" t="s">
        <v>44770</v>
      </c>
    </row>
    <row r="2624" spans="1:24">
      <c r="A2624">
        <f>HYPERLINK("https://www.philgeps.gov.ph/GEPSNONPILOT/Tender/SplashBidNoticeAbstractUI.aspx?menuIndex=3&amp;refID=7136075&amp;Result=3","7136075")</f>
        <v>0</v>
      </c>
      <c r="B2624" t="s">
        <v>143</v>
      </c>
      <c r="C2624" t="s">
        <v>6278</v>
      </c>
      <c r="D2624" t="s">
        <v>17965</v>
      </c>
      <c r="E2624" t="s">
        <v>20430</v>
      </c>
      <c r="F2624" t="s">
        <v>30900</v>
      </c>
      <c r="G2624" t="s">
        <v>30907</v>
      </c>
      <c r="H2624" t="s">
        <v>30916</v>
      </c>
      <c r="I2624" t="s">
        <v>30933</v>
      </c>
      <c r="J2624" t="s">
        <v>31297</v>
      </c>
      <c r="K2624" t="s">
        <v>40280</v>
      </c>
      <c r="M2624" t="s">
        <v>40690</v>
      </c>
      <c r="N2624" t="s">
        <v>44759</v>
      </c>
      <c r="O2624" t="s">
        <v>44760</v>
      </c>
      <c r="P2624">
        <v>0</v>
      </c>
      <c r="Q2624">
        <v>5</v>
      </c>
      <c r="R2624" t="s">
        <v>44763</v>
      </c>
      <c r="S2624" t="s">
        <v>44876</v>
      </c>
      <c r="T2624" t="s">
        <v>46606</v>
      </c>
      <c r="U2624" t="s">
        <v>49173</v>
      </c>
      <c r="W2624" t="s">
        <v>40690</v>
      </c>
      <c r="X2624" t="s">
        <v>44770</v>
      </c>
    </row>
    <row r="2625" spans="1:24">
      <c r="A2625">
        <f>HYPERLINK("https://www.philgeps.gov.ph/GEPSNONPILOT/Tender/SplashBidNoticeAbstractUI.aspx?menuIndex=3&amp;refID=7128782&amp;Result=3","7128782")</f>
        <v>0</v>
      </c>
      <c r="B2625" t="s">
        <v>886</v>
      </c>
      <c r="C2625" t="s">
        <v>6279</v>
      </c>
      <c r="D2625" t="s">
        <v>17972</v>
      </c>
      <c r="E2625" t="s">
        <v>20431</v>
      </c>
      <c r="F2625" t="s">
        <v>30900</v>
      </c>
      <c r="G2625" t="s">
        <v>30907</v>
      </c>
      <c r="H2625" t="s">
        <v>30915</v>
      </c>
      <c r="I2625" t="s">
        <v>30919</v>
      </c>
      <c r="J2625" t="s">
        <v>32949</v>
      </c>
      <c r="K2625" t="s">
        <v>40355</v>
      </c>
      <c r="M2625" t="s">
        <v>41459</v>
      </c>
      <c r="N2625" t="s">
        <v>44759</v>
      </c>
      <c r="O2625" t="s">
        <v>44760</v>
      </c>
      <c r="P2625">
        <v>0</v>
      </c>
      <c r="Q2625">
        <v>0</v>
      </c>
      <c r="R2625" t="s">
        <v>44763</v>
      </c>
      <c r="S2625" t="s">
        <v>44876</v>
      </c>
      <c r="T2625" t="s">
        <v>46557</v>
      </c>
      <c r="U2625" t="s">
        <v>49174</v>
      </c>
      <c r="W2625" t="s">
        <v>41459</v>
      </c>
      <c r="X2625" t="s">
        <v>44775</v>
      </c>
    </row>
    <row r="2626" spans="1:24">
      <c r="A2626">
        <f>HYPERLINK("https://www.philgeps.gov.ph/GEPSNONPILOT/Tender/SplashBidNoticeAbstractUI.aspx?menuIndex=3&amp;refID=7136781&amp;Result=3","7136781")</f>
        <v>0</v>
      </c>
      <c r="B2626" t="s">
        <v>1159</v>
      </c>
      <c r="C2626" t="s">
        <v>6280</v>
      </c>
      <c r="E2626" t="s">
        <v>20432</v>
      </c>
      <c r="F2626" t="s">
        <v>30900</v>
      </c>
      <c r="G2626" t="s">
        <v>30907</v>
      </c>
      <c r="H2626" t="s">
        <v>30915</v>
      </c>
      <c r="I2626" t="s">
        <v>30919</v>
      </c>
      <c r="J2626" t="s">
        <v>32616</v>
      </c>
      <c r="K2626" t="s">
        <v>40286</v>
      </c>
      <c r="M2626" t="s">
        <v>41767</v>
      </c>
      <c r="N2626" t="s">
        <v>44759</v>
      </c>
      <c r="O2626" t="s">
        <v>44760</v>
      </c>
      <c r="P2626">
        <v>0</v>
      </c>
      <c r="Q2626">
        <v>0</v>
      </c>
      <c r="R2626" t="s">
        <v>44763</v>
      </c>
      <c r="S2626" t="s">
        <v>44876</v>
      </c>
      <c r="T2626" t="s">
        <v>46465</v>
      </c>
      <c r="U2626" t="s">
        <v>49172</v>
      </c>
      <c r="W2626" t="s">
        <v>41767</v>
      </c>
      <c r="X2626" t="s">
        <v>44770</v>
      </c>
    </row>
    <row r="2627" spans="1:24">
      <c r="A2627">
        <f>HYPERLINK("https://www.philgeps.gov.ph/GEPSNONPILOT/Tender/SplashBidNoticeAbstractUI.aspx?menuIndex=3&amp;refID=7133464&amp;Result=3","7133464")</f>
        <v>0</v>
      </c>
      <c r="B2627" t="s">
        <v>924</v>
      </c>
      <c r="C2627" t="s">
        <v>6281</v>
      </c>
      <c r="D2627" t="s">
        <v>18017</v>
      </c>
      <c r="E2627" t="s">
        <v>20433</v>
      </c>
      <c r="F2627" t="s">
        <v>30900</v>
      </c>
      <c r="G2627" t="s">
        <v>30907</v>
      </c>
      <c r="H2627" t="s">
        <v>30916</v>
      </c>
      <c r="I2627" t="s">
        <v>30933</v>
      </c>
      <c r="J2627" t="s">
        <v>31069</v>
      </c>
      <c r="K2627" t="s">
        <v>40293</v>
      </c>
      <c r="M2627" t="s">
        <v>41504</v>
      </c>
      <c r="N2627" t="s">
        <v>44759</v>
      </c>
      <c r="O2627" t="s">
        <v>44760</v>
      </c>
      <c r="P2627">
        <v>0</v>
      </c>
      <c r="Q2627">
        <v>4</v>
      </c>
      <c r="R2627" t="s">
        <v>44763</v>
      </c>
      <c r="S2627" t="s">
        <v>44876</v>
      </c>
      <c r="T2627" t="s">
        <v>46475</v>
      </c>
      <c r="U2627" t="s">
        <v>49175</v>
      </c>
      <c r="V2627" t="s">
        <v>59331</v>
      </c>
      <c r="W2627" t="s">
        <v>41504</v>
      </c>
      <c r="X2627" t="s">
        <v>44773</v>
      </c>
    </row>
    <row r="2628" spans="1:24">
      <c r="A2628">
        <f>HYPERLINK("https://www.philgeps.gov.ph/GEPSNONPILOT/Tender/SplashBidNoticeAbstractUI.aspx?menuIndex=3&amp;refID=7152171&amp;Result=3","7152171")</f>
        <v>0</v>
      </c>
      <c r="B2628" t="s">
        <v>466</v>
      </c>
      <c r="C2628" t="s">
        <v>6282</v>
      </c>
      <c r="E2628" t="s">
        <v>20434</v>
      </c>
      <c r="F2628" t="s">
        <v>30900</v>
      </c>
      <c r="G2628" t="s">
        <v>30908</v>
      </c>
      <c r="H2628" t="s">
        <v>30916</v>
      </c>
      <c r="I2628" t="s">
        <v>30942</v>
      </c>
      <c r="J2628" t="s">
        <v>31270</v>
      </c>
      <c r="K2628" t="s">
        <v>40289</v>
      </c>
      <c r="M2628" t="s">
        <v>41763</v>
      </c>
      <c r="N2628" t="s">
        <v>44759</v>
      </c>
      <c r="O2628" t="s">
        <v>44760</v>
      </c>
      <c r="P2628">
        <v>0</v>
      </c>
      <c r="Q2628">
        <v>6</v>
      </c>
      <c r="R2628" t="s">
        <v>44762</v>
      </c>
      <c r="S2628" t="s">
        <v>44863</v>
      </c>
      <c r="T2628" t="s">
        <v>46414</v>
      </c>
      <c r="U2628" t="s">
        <v>49176</v>
      </c>
      <c r="W2628" t="s">
        <v>41763</v>
      </c>
      <c r="X2628" t="s">
        <v>44763</v>
      </c>
    </row>
    <row r="2629" spans="1:24">
      <c r="A2629">
        <f>HYPERLINK("https://www.philgeps.gov.ph/GEPSNONPILOT/Tender/SplashBidNoticeAbstractUI.aspx?menuIndex=3&amp;refID=7136974&amp;Result=3","7136974")</f>
        <v>0</v>
      </c>
      <c r="B2629" t="s">
        <v>1160</v>
      </c>
      <c r="C2629" t="s">
        <v>6283</v>
      </c>
      <c r="D2629" t="s">
        <v>17996</v>
      </c>
      <c r="E2629" t="s">
        <v>20435</v>
      </c>
      <c r="F2629" t="s">
        <v>30900</v>
      </c>
      <c r="G2629" t="s">
        <v>30907</v>
      </c>
      <c r="H2629" t="s">
        <v>30916</v>
      </c>
      <c r="I2629" t="s">
        <v>30922</v>
      </c>
      <c r="J2629" t="s">
        <v>31183</v>
      </c>
      <c r="K2629" t="s">
        <v>40283</v>
      </c>
      <c r="M2629" t="s">
        <v>41768</v>
      </c>
      <c r="N2629" t="s">
        <v>44759</v>
      </c>
      <c r="O2629" t="s">
        <v>44760</v>
      </c>
      <c r="P2629">
        <v>0</v>
      </c>
      <c r="Q2629">
        <v>0</v>
      </c>
      <c r="R2629" t="s">
        <v>44763</v>
      </c>
      <c r="S2629" t="s">
        <v>44876</v>
      </c>
      <c r="T2629" t="s">
        <v>46357</v>
      </c>
      <c r="U2629" t="s">
        <v>49177</v>
      </c>
      <c r="W2629" t="s">
        <v>41768</v>
      </c>
      <c r="X2629" t="s">
        <v>44770</v>
      </c>
    </row>
    <row r="2630" spans="1:24">
      <c r="A2630">
        <f>HYPERLINK("https://www.philgeps.gov.ph/GEPSNONPILOT/Tender/SplashBidNoticeAbstractUI.aspx?menuIndex=3&amp;refID=7117262&amp;Result=3","7117262")</f>
        <v>0</v>
      </c>
      <c r="B2630" t="s">
        <v>1155</v>
      </c>
      <c r="C2630" t="s">
        <v>6284</v>
      </c>
      <c r="D2630" t="s">
        <v>17968</v>
      </c>
      <c r="E2630" t="s">
        <v>20436</v>
      </c>
      <c r="F2630" t="s">
        <v>30900</v>
      </c>
      <c r="G2630" t="s">
        <v>30908</v>
      </c>
      <c r="H2630" t="s">
        <v>30916</v>
      </c>
      <c r="I2630" t="s">
        <v>30926</v>
      </c>
      <c r="J2630" t="s">
        <v>32950</v>
      </c>
      <c r="K2630" t="s">
        <v>40284</v>
      </c>
      <c r="M2630" t="s">
        <v>41761</v>
      </c>
      <c r="N2630" t="s">
        <v>44759</v>
      </c>
      <c r="O2630" t="s">
        <v>44760</v>
      </c>
      <c r="P2630">
        <v>0</v>
      </c>
      <c r="Q2630">
        <v>0</v>
      </c>
      <c r="R2630" t="s">
        <v>44763</v>
      </c>
      <c r="S2630" t="s">
        <v>44876</v>
      </c>
      <c r="T2630" t="s">
        <v>46533</v>
      </c>
      <c r="U2630" t="s">
        <v>49178</v>
      </c>
      <c r="W2630" t="s">
        <v>41761</v>
      </c>
      <c r="X2630" t="s">
        <v>44780</v>
      </c>
    </row>
    <row r="2631" spans="1:24">
      <c r="A2631">
        <f>HYPERLINK("https://www.philgeps.gov.ph/GEPSNONPILOT/Tender/SplashBidNoticeAbstractUI.aspx?menuIndex=3&amp;refID=7136882&amp;Result=3","7136882")</f>
        <v>0</v>
      </c>
      <c r="B2631" t="s">
        <v>1161</v>
      </c>
      <c r="C2631" t="s">
        <v>6285</v>
      </c>
      <c r="D2631" t="s">
        <v>17963</v>
      </c>
      <c r="E2631" t="s">
        <v>20437</v>
      </c>
      <c r="F2631" t="s">
        <v>30900</v>
      </c>
      <c r="G2631" t="s">
        <v>30907</v>
      </c>
      <c r="H2631" t="s">
        <v>30916</v>
      </c>
      <c r="I2631" t="s">
        <v>30971</v>
      </c>
      <c r="J2631" t="s">
        <v>32951</v>
      </c>
      <c r="K2631" t="s">
        <v>40286</v>
      </c>
      <c r="M2631" t="s">
        <v>41769</v>
      </c>
      <c r="N2631" t="s">
        <v>44759</v>
      </c>
      <c r="O2631" t="s">
        <v>44760</v>
      </c>
      <c r="P2631">
        <v>0</v>
      </c>
      <c r="Q2631">
        <v>0</v>
      </c>
      <c r="R2631" t="s">
        <v>44763</v>
      </c>
      <c r="S2631" t="s">
        <v>44876</v>
      </c>
      <c r="T2631" t="s">
        <v>46489</v>
      </c>
      <c r="U2631" t="s">
        <v>49179</v>
      </c>
      <c r="W2631" t="s">
        <v>41769</v>
      </c>
      <c r="X2631" t="s">
        <v>44770</v>
      </c>
    </row>
    <row r="2632" spans="1:24">
      <c r="A2632">
        <f>HYPERLINK("https://www.philgeps.gov.ph/GEPSNONPILOT/Tender/SplashBidNoticeAbstractUI.aspx?menuIndex=3&amp;refID=7134352&amp;Result=3","7134352")</f>
        <v>0</v>
      </c>
      <c r="B2632" t="s">
        <v>886</v>
      </c>
      <c r="C2632" t="s">
        <v>6286</v>
      </c>
      <c r="D2632" t="s">
        <v>17972</v>
      </c>
      <c r="E2632" t="s">
        <v>20438</v>
      </c>
      <c r="F2632" t="s">
        <v>30900</v>
      </c>
      <c r="G2632" t="s">
        <v>30907</v>
      </c>
      <c r="H2632" t="s">
        <v>30915</v>
      </c>
      <c r="I2632" t="s">
        <v>30919</v>
      </c>
      <c r="J2632" t="s">
        <v>32952</v>
      </c>
      <c r="K2632" t="s">
        <v>40371</v>
      </c>
      <c r="M2632" t="s">
        <v>41459</v>
      </c>
      <c r="N2632" t="s">
        <v>44759</v>
      </c>
      <c r="O2632" t="s">
        <v>44760</v>
      </c>
      <c r="P2632">
        <v>0</v>
      </c>
      <c r="Q2632">
        <v>0</v>
      </c>
      <c r="R2632" t="s">
        <v>44763</v>
      </c>
      <c r="S2632" t="s">
        <v>44876</v>
      </c>
      <c r="T2632" t="s">
        <v>46557</v>
      </c>
      <c r="U2632" t="s">
        <v>49180</v>
      </c>
      <c r="W2632" t="s">
        <v>41459</v>
      </c>
      <c r="X2632" t="s">
        <v>44773</v>
      </c>
    </row>
    <row r="2633" spans="1:24">
      <c r="A2633">
        <f>HYPERLINK("https://www.philgeps.gov.ph/GEPSNONPILOT/Tender/SplashBidNoticeAbstractUI.aspx?menuIndex=3&amp;refID=7133080&amp;Result=3","7133080")</f>
        <v>0</v>
      </c>
      <c r="B2633" t="s">
        <v>886</v>
      </c>
      <c r="C2633" t="s">
        <v>6287</v>
      </c>
      <c r="D2633" t="s">
        <v>17972</v>
      </c>
      <c r="E2633" t="s">
        <v>20439</v>
      </c>
      <c r="F2633" t="s">
        <v>30900</v>
      </c>
      <c r="G2633" t="s">
        <v>30907</v>
      </c>
      <c r="H2633" t="s">
        <v>30915</v>
      </c>
      <c r="I2633" t="s">
        <v>30919</v>
      </c>
      <c r="J2633" t="s">
        <v>32953</v>
      </c>
      <c r="K2633" t="s">
        <v>40348</v>
      </c>
      <c r="M2633" t="s">
        <v>41459</v>
      </c>
      <c r="N2633" t="s">
        <v>44759</v>
      </c>
      <c r="O2633" t="s">
        <v>44760</v>
      </c>
      <c r="P2633">
        <v>0</v>
      </c>
      <c r="Q2633">
        <v>0</v>
      </c>
      <c r="R2633" t="s">
        <v>44763</v>
      </c>
      <c r="S2633" t="s">
        <v>44876</v>
      </c>
      <c r="T2633" t="s">
        <v>46557</v>
      </c>
      <c r="U2633" t="s">
        <v>49181</v>
      </c>
      <c r="W2633" t="s">
        <v>41459</v>
      </c>
      <c r="X2633" t="s">
        <v>44773</v>
      </c>
    </row>
    <row r="2634" spans="1:24">
      <c r="A2634">
        <f>HYPERLINK("https://www.philgeps.gov.ph/GEPSNONPILOT/Tender/SplashBidNoticeAbstractUI.aspx?menuIndex=3&amp;refID=7132791&amp;Result=3","7132791")</f>
        <v>0</v>
      </c>
      <c r="B2634" t="s">
        <v>886</v>
      </c>
      <c r="C2634" t="s">
        <v>6288</v>
      </c>
      <c r="D2634" t="s">
        <v>17972</v>
      </c>
      <c r="E2634" t="s">
        <v>20440</v>
      </c>
      <c r="F2634" t="s">
        <v>30900</v>
      </c>
      <c r="G2634" t="s">
        <v>30907</v>
      </c>
      <c r="H2634" t="s">
        <v>30915</v>
      </c>
      <c r="I2634" t="s">
        <v>30919</v>
      </c>
      <c r="J2634" t="s">
        <v>32954</v>
      </c>
      <c r="K2634" t="s">
        <v>40327</v>
      </c>
      <c r="M2634" t="s">
        <v>41459</v>
      </c>
      <c r="N2634" t="s">
        <v>44759</v>
      </c>
      <c r="O2634" t="s">
        <v>44760</v>
      </c>
      <c r="P2634">
        <v>0</v>
      </c>
      <c r="Q2634">
        <v>0</v>
      </c>
      <c r="R2634" t="s">
        <v>44763</v>
      </c>
      <c r="S2634" t="s">
        <v>44876</v>
      </c>
      <c r="T2634" t="s">
        <v>46557</v>
      </c>
      <c r="U2634" t="s">
        <v>49182</v>
      </c>
      <c r="W2634" t="s">
        <v>41459</v>
      </c>
      <c r="X2634" t="s">
        <v>44773</v>
      </c>
    </row>
    <row r="2635" spans="1:24">
      <c r="A2635">
        <f>HYPERLINK("https://www.philgeps.gov.ph/GEPSNONPILOT/Tender/SplashBidNoticeAbstractUI.aspx?menuIndex=3&amp;refID=7130099&amp;Result=3","7130099")</f>
        <v>0</v>
      </c>
      <c r="B2635" t="s">
        <v>1162</v>
      </c>
      <c r="C2635" t="s">
        <v>6289</v>
      </c>
      <c r="D2635" t="s">
        <v>17959</v>
      </c>
      <c r="E2635" t="s">
        <v>20441</v>
      </c>
      <c r="F2635" t="s">
        <v>30900</v>
      </c>
      <c r="G2635" t="s">
        <v>30908</v>
      </c>
      <c r="H2635" t="s">
        <v>30916</v>
      </c>
      <c r="I2635" t="s">
        <v>8021</v>
      </c>
      <c r="J2635" t="s">
        <v>32955</v>
      </c>
      <c r="K2635" t="s">
        <v>40287</v>
      </c>
      <c r="M2635" t="s">
        <v>40766</v>
      </c>
      <c r="N2635" t="s">
        <v>44759</v>
      </c>
      <c r="O2635" t="s">
        <v>44760</v>
      </c>
      <c r="P2635">
        <v>0</v>
      </c>
      <c r="Q2635">
        <v>0</v>
      </c>
      <c r="R2635" t="s">
        <v>44763</v>
      </c>
      <c r="S2635" t="s">
        <v>44876</v>
      </c>
      <c r="T2635" t="s">
        <v>46607</v>
      </c>
      <c r="U2635" t="s">
        <v>49183</v>
      </c>
      <c r="V2635" t="s">
        <v>59414</v>
      </c>
      <c r="W2635" t="s">
        <v>40766</v>
      </c>
      <c r="X2635" t="s">
        <v>44774</v>
      </c>
    </row>
    <row r="2636" spans="1:24">
      <c r="A2636">
        <f>HYPERLINK("https://www.philgeps.gov.ph/GEPSNONPILOT/Tender/SplashBidNoticeAbstractUI.aspx?menuIndex=3&amp;refID=7135217&amp;Result=3","7135217")</f>
        <v>0</v>
      </c>
      <c r="B2636" t="s">
        <v>1163</v>
      </c>
      <c r="C2636" t="s">
        <v>6290</v>
      </c>
      <c r="D2636" t="s">
        <v>17975</v>
      </c>
      <c r="E2636" t="s">
        <v>19608</v>
      </c>
      <c r="F2636" t="s">
        <v>30900</v>
      </c>
      <c r="G2636" t="s">
        <v>30909</v>
      </c>
      <c r="H2636" t="s">
        <v>30916</v>
      </c>
      <c r="I2636" t="s">
        <v>4142</v>
      </c>
      <c r="J2636" t="s">
        <v>31183</v>
      </c>
      <c r="K2636" t="s">
        <v>40289</v>
      </c>
      <c r="M2636" t="s">
        <v>41770</v>
      </c>
      <c r="N2636" t="s">
        <v>44759</v>
      </c>
      <c r="O2636" t="s">
        <v>44760</v>
      </c>
      <c r="P2636">
        <v>0</v>
      </c>
      <c r="Q2636">
        <v>1</v>
      </c>
      <c r="R2636" t="s">
        <v>44763</v>
      </c>
      <c r="S2636" t="s">
        <v>44876</v>
      </c>
      <c r="T2636" t="s">
        <v>46571</v>
      </c>
      <c r="U2636" t="s">
        <v>49184</v>
      </c>
      <c r="W2636" t="s">
        <v>41770</v>
      </c>
      <c r="X2636" t="s">
        <v>44773</v>
      </c>
    </row>
    <row r="2637" spans="1:24">
      <c r="A2637">
        <f>HYPERLINK("https://www.philgeps.gov.ph/GEPSNONPILOT/Tender/SplashBidNoticeAbstractUI.aspx?menuIndex=3&amp;refID=7132870&amp;Result=3","7132870")</f>
        <v>0</v>
      </c>
      <c r="B2637" t="s">
        <v>886</v>
      </c>
      <c r="C2637" t="s">
        <v>6291</v>
      </c>
      <c r="D2637" t="s">
        <v>17972</v>
      </c>
      <c r="E2637" t="s">
        <v>20442</v>
      </c>
      <c r="F2637" t="s">
        <v>30900</v>
      </c>
      <c r="G2637" t="s">
        <v>30907</v>
      </c>
      <c r="H2637" t="s">
        <v>30915</v>
      </c>
      <c r="I2637" t="s">
        <v>30919</v>
      </c>
      <c r="J2637" t="s">
        <v>32956</v>
      </c>
      <c r="K2637" t="s">
        <v>40356</v>
      </c>
      <c r="M2637" t="s">
        <v>41459</v>
      </c>
      <c r="N2637" t="s">
        <v>44759</v>
      </c>
      <c r="O2637" t="s">
        <v>44760</v>
      </c>
      <c r="P2637">
        <v>0</v>
      </c>
      <c r="Q2637">
        <v>0</v>
      </c>
      <c r="R2637" t="s">
        <v>44763</v>
      </c>
      <c r="S2637" t="s">
        <v>44876</v>
      </c>
      <c r="T2637" t="s">
        <v>46557</v>
      </c>
      <c r="U2637" t="s">
        <v>49185</v>
      </c>
      <c r="W2637" t="s">
        <v>41459</v>
      </c>
      <c r="X2637" t="s">
        <v>44773</v>
      </c>
    </row>
    <row r="2638" spans="1:24">
      <c r="A2638">
        <f>HYPERLINK("https://www.philgeps.gov.ph/GEPSNONPILOT/Tender/SplashBidNoticeAbstractUI.aspx?menuIndex=3&amp;refID=7133666&amp;Result=3","7133666")</f>
        <v>0</v>
      </c>
      <c r="B2638" t="s">
        <v>886</v>
      </c>
      <c r="C2638" t="s">
        <v>6292</v>
      </c>
      <c r="D2638" t="s">
        <v>17972</v>
      </c>
      <c r="E2638" t="s">
        <v>20443</v>
      </c>
      <c r="F2638" t="s">
        <v>30900</v>
      </c>
      <c r="G2638" t="s">
        <v>30907</v>
      </c>
      <c r="H2638" t="s">
        <v>30915</v>
      </c>
      <c r="I2638" t="s">
        <v>30919</v>
      </c>
      <c r="J2638" t="s">
        <v>32957</v>
      </c>
      <c r="K2638" t="s">
        <v>40372</v>
      </c>
      <c r="M2638" t="s">
        <v>41459</v>
      </c>
      <c r="N2638" t="s">
        <v>44759</v>
      </c>
      <c r="O2638" t="s">
        <v>44760</v>
      </c>
      <c r="P2638">
        <v>0</v>
      </c>
      <c r="Q2638">
        <v>0</v>
      </c>
      <c r="R2638" t="s">
        <v>44763</v>
      </c>
      <c r="S2638" t="s">
        <v>44876</v>
      </c>
      <c r="T2638" t="s">
        <v>46557</v>
      </c>
      <c r="U2638" t="s">
        <v>49186</v>
      </c>
      <c r="W2638" t="s">
        <v>41459</v>
      </c>
      <c r="X2638" t="s">
        <v>44773</v>
      </c>
    </row>
    <row r="2639" spans="1:24">
      <c r="A2639">
        <f>HYPERLINK("https://www.philgeps.gov.ph/GEPSNONPILOT/Tender/SplashBidNoticeAbstractUI.aspx?menuIndex=3&amp;refID=7117511&amp;Result=3","7117511")</f>
        <v>0</v>
      </c>
      <c r="B2639" t="s">
        <v>1155</v>
      </c>
      <c r="C2639" t="s">
        <v>6293</v>
      </c>
      <c r="D2639" t="s">
        <v>17968</v>
      </c>
      <c r="E2639" t="s">
        <v>20444</v>
      </c>
      <c r="F2639" t="s">
        <v>30900</v>
      </c>
      <c r="G2639" t="s">
        <v>30908</v>
      </c>
      <c r="H2639" t="s">
        <v>30916</v>
      </c>
      <c r="I2639" t="s">
        <v>10847</v>
      </c>
      <c r="J2639" t="s">
        <v>32958</v>
      </c>
      <c r="K2639" t="s">
        <v>40284</v>
      </c>
      <c r="M2639" t="s">
        <v>41761</v>
      </c>
      <c r="N2639" t="s">
        <v>44759</v>
      </c>
      <c r="O2639" t="s">
        <v>44760</v>
      </c>
      <c r="P2639">
        <v>0</v>
      </c>
      <c r="Q2639">
        <v>0</v>
      </c>
      <c r="R2639" t="s">
        <v>44763</v>
      </c>
      <c r="S2639" t="s">
        <v>44876</v>
      </c>
      <c r="T2639" t="s">
        <v>46533</v>
      </c>
      <c r="U2639" t="s">
        <v>49187</v>
      </c>
      <c r="W2639" t="s">
        <v>41761</v>
      </c>
      <c r="X2639" t="s">
        <v>44780</v>
      </c>
    </row>
    <row r="2640" spans="1:24">
      <c r="A2640">
        <f>HYPERLINK("https://www.philgeps.gov.ph/GEPSNONPILOT/Tender/SplashBidNoticeAbstractUI.aspx?menuIndex=3&amp;refID=7139425&amp;Result=3","7139425")</f>
        <v>0</v>
      </c>
      <c r="B2640" t="s">
        <v>924</v>
      </c>
      <c r="C2640" t="s">
        <v>6294</v>
      </c>
      <c r="D2640" t="s">
        <v>18017</v>
      </c>
      <c r="E2640" t="s">
        <v>20445</v>
      </c>
      <c r="F2640" t="s">
        <v>30900</v>
      </c>
      <c r="G2640" t="s">
        <v>30907</v>
      </c>
      <c r="H2640" t="s">
        <v>30916</v>
      </c>
      <c r="I2640" t="s">
        <v>30924</v>
      </c>
      <c r="J2640" t="s">
        <v>31569</v>
      </c>
      <c r="K2640" t="s">
        <v>40286</v>
      </c>
      <c r="M2640" t="s">
        <v>41504</v>
      </c>
      <c r="N2640" t="s">
        <v>44759</v>
      </c>
      <c r="O2640" t="s">
        <v>44760</v>
      </c>
      <c r="P2640">
        <v>0</v>
      </c>
      <c r="Q2640">
        <v>0</v>
      </c>
      <c r="R2640" t="s">
        <v>44763</v>
      </c>
      <c r="S2640" t="s">
        <v>44876</v>
      </c>
      <c r="T2640" t="s">
        <v>46608</v>
      </c>
      <c r="U2640" t="s">
        <v>49188</v>
      </c>
      <c r="V2640" t="s">
        <v>59331</v>
      </c>
      <c r="W2640" t="s">
        <v>41504</v>
      </c>
      <c r="X2640" t="s">
        <v>44769</v>
      </c>
    </row>
    <row r="2641" spans="1:24">
      <c r="A2641">
        <f>HYPERLINK("https://www.philgeps.gov.ph/GEPSNONPILOT/Tender/SplashBidNoticeAbstractUI.aspx?menuIndex=3&amp;refID=7137257&amp;Result=3","7137257")</f>
        <v>0</v>
      </c>
      <c r="B2641" t="s">
        <v>1160</v>
      </c>
      <c r="C2641" t="s">
        <v>6187</v>
      </c>
      <c r="D2641" t="s">
        <v>17996</v>
      </c>
      <c r="E2641" t="s">
        <v>20446</v>
      </c>
      <c r="F2641" t="s">
        <v>30900</v>
      </c>
      <c r="G2641" t="s">
        <v>30907</v>
      </c>
      <c r="H2641" t="s">
        <v>30915</v>
      </c>
      <c r="I2641" t="s">
        <v>30919</v>
      </c>
      <c r="J2641" t="s">
        <v>31288</v>
      </c>
      <c r="K2641" t="s">
        <v>40283</v>
      </c>
      <c r="M2641" t="s">
        <v>41768</v>
      </c>
      <c r="N2641" t="s">
        <v>44759</v>
      </c>
      <c r="O2641" t="s">
        <v>44760</v>
      </c>
      <c r="P2641">
        <v>0</v>
      </c>
      <c r="Q2641">
        <v>0</v>
      </c>
      <c r="R2641" t="s">
        <v>44763</v>
      </c>
      <c r="S2641" t="s">
        <v>44876</v>
      </c>
      <c r="T2641" t="s">
        <v>46357</v>
      </c>
      <c r="U2641" t="s">
        <v>49189</v>
      </c>
      <c r="W2641" t="s">
        <v>41768</v>
      </c>
      <c r="X2641" t="s">
        <v>44770</v>
      </c>
    </row>
    <row r="2642" spans="1:24">
      <c r="A2642">
        <f>HYPERLINK("https://www.philgeps.gov.ph/GEPSNONPILOT/Tender/SplashBidNoticeAbstractUI.aspx?menuIndex=3&amp;refID=7137885&amp;Result=3","7137885")</f>
        <v>0</v>
      </c>
      <c r="B2642" t="s">
        <v>1161</v>
      </c>
      <c r="C2642" t="s">
        <v>6295</v>
      </c>
      <c r="D2642" t="s">
        <v>17963</v>
      </c>
      <c r="E2642" t="s">
        <v>20447</v>
      </c>
      <c r="F2642" t="s">
        <v>30900</v>
      </c>
      <c r="G2642" t="s">
        <v>30907</v>
      </c>
      <c r="H2642" t="s">
        <v>30916</v>
      </c>
      <c r="I2642" t="s">
        <v>30971</v>
      </c>
      <c r="J2642" t="s">
        <v>32959</v>
      </c>
      <c r="K2642" t="s">
        <v>40293</v>
      </c>
      <c r="M2642" t="s">
        <v>41769</v>
      </c>
      <c r="N2642" t="s">
        <v>44759</v>
      </c>
      <c r="O2642" t="s">
        <v>44760</v>
      </c>
      <c r="P2642">
        <v>0</v>
      </c>
      <c r="Q2642">
        <v>0</v>
      </c>
      <c r="R2642" t="s">
        <v>44763</v>
      </c>
      <c r="S2642" t="s">
        <v>44876</v>
      </c>
      <c r="T2642" t="s">
        <v>46489</v>
      </c>
      <c r="U2642" t="s">
        <v>49179</v>
      </c>
      <c r="W2642" t="s">
        <v>41769</v>
      </c>
      <c r="X2642" t="s">
        <v>44770</v>
      </c>
    </row>
    <row r="2643" spans="1:24">
      <c r="A2643">
        <f>HYPERLINK("https://www.philgeps.gov.ph/GEPSNONPILOT/Tender/SplashBidNoticeAbstractUI.aspx?menuIndex=3&amp;refID=7139321&amp;Result=3","7139321")</f>
        <v>0</v>
      </c>
      <c r="B2643" t="s">
        <v>42</v>
      </c>
      <c r="C2643" t="s">
        <v>6296</v>
      </c>
      <c r="D2643" t="s">
        <v>17967</v>
      </c>
      <c r="E2643" t="s">
        <v>18106</v>
      </c>
      <c r="F2643" t="s">
        <v>30900</v>
      </c>
      <c r="G2643" t="s">
        <v>30907</v>
      </c>
      <c r="H2643" t="s">
        <v>30915</v>
      </c>
      <c r="I2643" t="s">
        <v>30919</v>
      </c>
      <c r="J2643" t="s">
        <v>32960</v>
      </c>
      <c r="K2643" t="s">
        <v>40335</v>
      </c>
      <c r="M2643" t="s">
        <v>40588</v>
      </c>
      <c r="N2643" t="s">
        <v>44759</v>
      </c>
      <c r="O2643" t="s">
        <v>44760</v>
      </c>
      <c r="P2643">
        <v>0</v>
      </c>
      <c r="Q2643">
        <v>0</v>
      </c>
      <c r="R2643" t="s">
        <v>44763</v>
      </c>
      <c r="S2643" t="s">
        <v>44876</v>
      </c>
      <c r="T2643" t="s">
        <v>46405</v>
      </c>
      <c r="U2643" t="s">
        <v>49190</v>
      </c>
      <c r="W2643" t="s">
        <v>40588</v>
      </c>
      <c r="X2643" t="s">
        <v>44769</v>
      </c>
    </row>
    <row r="2644" spans="1:24">
      <c r="A2644">
        <f>HYPERLINK("https://www.philgeps.gov.ph/GEPSNONPILOT/Tender/SplashBidNoticeAbstractUI.aspx?menuIndex=3&amp;refID=7136829&amp;Result=3","7136829")</f>
        <v>0</v>
      </c>
      <c r="B2644" t="s">
        <v>1161</v>
      </c>
      <c r="C2644" t="s">
        <v>6297</v>
      </c>
      <c r="D2644" t="s">
        <v>17963</v>
      </c>
      <c r="E2644" t="s">
        <v>20448</v>
      </c>
      <c r="F2644" t="s">
        <v>30900</v>
      </c>
      <c r="G2644" t="s">
        <v>30907</v>
      </c>
      <c r="H2644" t="s">
        <v>30916</v>
      </c>
      <c r="I2644" t="s">
        <v>30971</v>
      </c>
      <c r="J2644" t="s">
        <v>32961</v>
      </c>
      <c r="K2644" t="s">
        <v>40286</v>
      </c>
      <c r="M2644" t="s">
        <v>41769</v>
      </c>
      <c r="N2644" t="s">
        <v>44759</v>
      </c>
      <c r="O2644" t="s">
        <v>44760</v>
      </c>
      <c r="P2644">
        <v>0</v>
      </c>
      <c r="Q2644">
        <v>0</v>
      </c>
      <c r="R2644" t="s">
        <v>44763</v>
      </c>
      <c r="S2644" t="s">
        <v>44876</v>
      </c>
      <c r="T2644" t="s">
        <v>46489</v>
      </c>
      <c r="U2644" t="s">
        <v>49179</v>
      </c>
      <c r="W2644" t="s">
        <v>41769</v>
      </c>
      <c r="X2644" t="s">
        <v>44770</v>
      </c>
    </row>
    <row r="2645" spans="1:24">
      <c r="A2645">
        <f>HYPERLINK("https://www.philgeps.gov.ph/GEPSNONPILOT/Tender/SplashBidNoticeAbstractUI.aspx?menuIndex=3&amp;refID=7137864&amp;Result=3","7137864")</f>
        <v>0</v>
      </c>
      <c r="B2645" t="s">
        <v>1161</v>
      </c>
      <c r="C2645" t="s">
        <v>6298</v>
      </c>
      <c r="D2645" t="s">
        <v>17963</v>
      </c>
      <c r="E2645" t="s">
        <v>20449</v>
      </c>
      <c r="F2645" t="s">
        <v>30900</v>
      </c>
      <c r="G2645" t="s">
        <v>30907</v>
      </c>
      <c r="H2645" t="s">
        <v>30916</v>
      </c>
      <c r="I2645" t="s">
        <v>30971</v>
      </c>
      <c r="J2645" t="s">
        <v>32962</v>
      </c>
      <c r="K2645" t="s">
        <v>40293</v>
      </c>
      <c r="M2645" t="s">
        <v>41769</v>
      </c>
      <c r="N2645" t="s">
        <v>44759</v>
      </c>
      <c r="O2645" t="s">
        <v>44760</v>
      </c>
      <c r="P2645">
        <v>0</v>
      </c>
      <c r="Q2645">
        <v>0</v>
      </c>
      <c r="R2645" t="s">
        <v>44763</v>
      </c>
      <c r="S2645" t="s">
        <v>44876</v>
      </c>
      <c r="T2645" t="s">
        <v>46489</v>
      </c>
      <c r="U2645" t="s">
        <v>49179</v>
      </c>
      <c r="W2645" t="s">
        <v>41769</v>
      </c>
      <c r="X2645" t="s">
        <v>44770</v>
      </c>
    </row>
    <row r="2646" spans="1:24">
      <c r="A2646">
        <f>HYPERLINK("https://www.philgeps.gov.ph/GEPSNONPILOT/Tender/SplashBidNoticeAbstractUI.aspx?menuIndex=3&amp;refID=7152176&amp;Result=3","7152176")</f>
        <v>0</v>
      </c>
      <c r="B2646" t="s">
        <v>302</v>
      </c>
      <c r="C2646" t="s">
        <v>6299</v>
      </c>
      <c r="D2646" t="s">
        <v>17959</v>
      </c>
      <c r="E2646" t="s">
        <v>20450</v>
      </c>
      <c r="F2646" t="s">
        <v>30900</v>
      </c>
      <c r="G2646" t="s">
        <v>30909</v>
      </c>
      <c r="H2646" t="s">
        <v>30916</v>
      </c>
      <c r="I2646" t="s">
        <v>9385</v>
      </c>
      <c r="J2646" t="s">
        <v>32963</v>
      </c>
      <c r="K2646" t="s">
        <v>40283</v>
      </c>
      <c r="M2646" t="s">
        <v>40851</v>
      </c>
      <c r="N2646" t="s">
        <v>44759</v>
      </c>
      <c r="O2646" t="s">
        <v>44760</v>
      </c>
      <c r="P2646">
        <v>0</v>
      </c>
      <c r="Q2646">
        <v>2</v>
      </c>
      <c r="R2646" t="s">
        <v>44762</v>
      </c>
      <c r="S2646" t="s">
        <v>44863</v>
      </c>
      <c r="T2646" t="s">
        <v>46531</v>
      </c>
      <c r="U2646" t="s">
        <v>49191</v>
      </c>
      <c r="V2646" t="s">
        <v>59325</v>
      </c>
      <c r="W2646" t="s">
        <v>60852</v>
      </c>
      <c r="X2646" t="s">
        <v>44763</v>
      </c>
    </row>
    <row r="2647" spans="1:24">
      <c r="A2647">
        <f>HYPERLINK("https://www.philgeps.gov.ph/GEPSNONPILOT/Tender/SplashBidNoticeAbstractUI.aspx?menuIndex=3&amp;refID=7137259&amp;Result=3","7137259")</f>
        <v>0</v>
      </c>
      <c r="B2647" t="s">
        <v>1159</v>
      </c>
      <c r="C2647" t="s">
        <v>6300</v>
      </c>
      <c r="E2647" t="s">
        <v>20451</v>
      </c>
      <c r="F2647" t="s">
        <v>30900</v>
      </c>
      <c r="G2647" t="s">
        <v>30907</v>
      </c>
      <c r="H2647" t="s">
        <v>30915</v>
      </c>
      <c r="I2647" t="s">
        <v>30919</v>
      </c>
      <c r="J2647" t="s">
        <v>32964</v>
      </c>
      <c r="K2647" t="s">
        <v>40292</v>
      </c>
      <c r="M2647" t="s">
        <v>41767</v>
      </c>
      <c r="N2647" t="s">
        <v>44759</v>
      </c>
      <c r="O2647" t="s">
        <v>44760</v>
      </c>
      <c r="P2647">
        <v>0</v>
      </c>
      <c r="Q2647">
        <v>0</v>
      </c>
      <c r="R2647" t="s">
        <v>44763</v>
      </c>
      <c r="S2647" t="s">
        <v>44876</v>
      </c>
      <c r="T2647" t="s">
        <v>46465</v>
      </c>
      <c r="U2647" t="s">
        <v>49172</v>
      </c>
      <c r="W2647" t="s">
        <v>41767</v>
      </c>
      <c r="X2647" t="s">
        <v>44770</v>
      </c>
    </row>
    <row r="2648" spans="1:24">
      <c r="A2648">
        <f>HYPERLINK("https://www.philgeps.gov.ph/GEPSNONPILOT/Tender/SplashBidNoticeAbstractUI.aspx?menuIndex=3&amp;refID=7139414&amp;Result=3","7139414")</f>
        <v>0</v>
      </c>
      <c r="B2648" t="s">
        <v>1164</v>
      </c>
      <c r="C2648" t="s">
        <v>6301</v>
      </c>
      <c r="D2648" t="s">
        <v>17955</v>
      </c>
      <c r="E2648" t="s">
        <v>20452</v>
      </c>
      <c r="F2648" t="s">
        <v>30900</v>
      </c>
      <c r="G2648" t="s">
        <v>30907</v>
      </c>
      <c r="H2648" t="s">
        <v>30916</v>
      </c>
      <c r="I2648" t="s">
        <v>5501</v>
      </c>
      <c r="J2648" t="s">
        <v>32965</v>
      </c>
      <c r="K2648" t="s">
        <v>40289</v>
      </c>
      <c r="M2648" t="s">
        <v>41771</v>
      </c>
      <c r="N2648" t="s">
        <v>44759</v>
      </c>
      <c r="O2648" t="s">
        <v>44760</v>
      </c>
      <c r="P2648">
        <v>0</v>
      </c>
      <c r="Q2648">
        <v>11</v>
      </c>
      <c r="R2648" t="s">
        <v>44763</v>
      </c>
      <c r="S2648" t="s">
        <v>44876</v>
      </c>
      <c r="T2648" t="s">
        <v>46408</v>
      </c>
      <c r="U2648" t="s">
        <v>49192</v>
      </c>
      <c r="V2648" t="s">
        <v>59415</v>
      </c>
      <c r="W2648" t="s">
        <v>41771</v>
      </c>
      <c r="X2648" t="s">
        <v>44769</v>
      </c>
    </row>
    <row r="2649" spans="1:24">
      <c r="A2649">
        <f>HYPERLINK("https://www.philgeps.gov.ph/GEPSNONPILOT/Tender/SplashBidNoticeAbstractUI.aspx?menuIndex=3&amp;refID=7139128&amp;Result=3","7139128")</f>
        <v>0</v>
      </c>
      <c r="B2649" t="s">
        <v>1165</v>
      </c>
      <c r="C2649" t="s">
        <v>6302</v>
      </c>
      <c r="D2649" t="s">
        <v>17953</v>
      </c>
      <c r="E2649" t="s">
        <v>20453</v>
      </c>
      <c r="F2649" t="s">
        <v>30900</v>
      </c>
      <c r="G2649" t="s">
        <v>30908</v>
      </c>
      <c r="H2649" t="s">
        <v>30916</v>
      </c>
      <c r="I2649" t="s">
        <v>6396</v>
      </c>
      <c r="J2649" t="s">
        <v>31630</v>
      </c>
      <c r="K2649" t="s">
        <v>40284</v>
      </c>
      <c r="M2649" t="s">
        <v>41772</v>
      </c>
      <c r="N2649" t="s">
        <v>44759</v>
      </c>
      <c r="O2649" t="s">
        <v>44760</v>
      </c>
      <c r="P2649">
        <v>0</v>
      </c>
      <c r="Q2649">
        <v>2</v>
      </c>
      <c r="R2649" t="s">
        <v>44763</v>
      </c>
      <c r="S2649" t="s">
        <v>44876</v>
      </c>
      <c r="T2649" t="s">
        <v>46410</v>
      </c>
      <c r="U2649" t="s">
        <v>49193</v>
      </c>
      <c r="W2649" t="s">
        <v>41772</v>
      </c>
      <c r="X2649" t="s">
        <v>44769</v>
      </c>
    </row>
    <row r="2650" spans="1:24">
      <c r="A2650">
        <f>HYPERLINK("https://www.philgeps.gov.ph/GEPSNONPILOT/Tender/SplashBidNoticeAbstractUI.aspx?menuIndex=3&amp;refID=7137378&amp;Result=3","7137378")</f>
        <v>0</v>
      </c>
      <c r="B2650" t="s">
        <v>1159</v>
      </c>
      <c r="C2650" t="s">
        <v>6303</v>
      </c>
      <c r="E2650" t="s">
        <v>20454</v>
      </c>
      <c r="F2650" t="s">
        <v>30900</v>
      </c>
      <c r="G2650" t="s">
        <v>30907</v>
      </c>
      <c r="H2650" t="s">
        <v>30915</v>
      </c>
      <c r="I2650" t="s">
        <v>30919</v>
      </c>
      <c r="J2650" t="s">
        <v>32966</v>
      </c>
      <c r="K2650" t="s">
        <v>40373</v>
      </c>
      <c r="M2650" t="s">
        <v>41767</v>
      </c>
      <c r="N2650" t="s">
        <v>44759</v>
      </c>
      <c r="O2650" t="s">
        <v>44760</v>
      </c>
      <c r="P2650">
        <v>0</v>
      </c>
      <c r="Q2650">
        <v>0</v>
      </c>
      <c r="R2650" t="s">
        <v>44763</v>
      </c>
      <c r="S2650" t="s">
        <v>44876</v>
      </c>
      <c r="T2650" t="s">
        <v>46465</v>
      </c>
      <c r="U2650" t="s">
        <v>49172</v>
      </c>
      <c r="W2650" t="s">
        <v>41767</v>
      </c>
      <c r="X2650" t="s">
        <v>44770</v>
      </c>
    </row>
    <row r="2651" spans="1:24">
      <c r="A2651">
        <f>HYPERLINK("https://www.philgeps.gov.ph/GEPSNONPILOT/Tender/SplashBidNoticeAbstractUI.aspx?menuIndex=3&amp;refID=7139779&amp;Result=3","7139779")</f>
        <v>0</v>
      </c>
      <c r="B2651" t="s">
        <v>243</v>
      </c>
      <c r="C2651" t="s">
        <v>6304</v>
      </c>
      <c r="E2651" t="s">
        <v>20455</v>
      </c>
      <c r="F2651" t="s">
        <v>30900</v>
      </c>
      <c r="G2651" t="s">
        <v>30907</v>
      </c>
      <c r="H2651" t="s">
        <v>30916</v>
      </c>
      <c r="I2651" t="s">
        <v>4965</v>
      </c>
      <c r="J2651" t="s">
        <v>32967</v>
      </c>
      <c r="K2651" t="s">
        <v>40293</v>
      </c>
      <c r="M2651" t="s">
        <v>40790</v>
      </c>
      <c r="N2651" t="s">
        <v>44759</v>
      </c>
      <c r="O2651" t="s">
        <v>44760</v>
      </c>
      <c r="P2651">
        <v>0</v>
      </c>
      <c r="Q2651">
        <v>1</v>
      </c>
      <c r="R2651" t="s">
        <v>44763</v>
      </c>
      <c r="S2651" t="s">
        <v>44876</v>
      </c>
      <c r="T2651" t="s">
        <v>46609</v>
      </c>
      <c r="U2651" t="s">
        <v>49194</v>
      </c>
      <c r="W2651" t="s">
        <v>42208</v>
      </c>
      <c r="X2651" t="s">
        <v>44769</v>
      </c>
    </row>
    <row r="2652" spans="1:24">
      <c r="A2652">
        <f>HYPERLINK("https://www.philgeps.gov.ph/GEPSNONPILOT/Tender/SplashBidNoticeAbstractUI.aspx?menuIndex=3&amp;refID=7139727&amp;Result=3","7139727")</f>
        <v>0</v>
      </c>
      <c r="B2652" t="s">
        <v>1166</v>
      </c>
      <c r="C2652" t="s">
        <v>6305</v>
      </c>
      <c r="D2652" t="s">
        <v>17954</v>
      </c>
      <c r="E2652" t="s">
        <v>20456</v>
      </c>
      <c r="F2652" t="s">
        <v>30900</v>
      </c>
      <c r="G2652" t="s">
        <v>30907</v>
      </c>
      <c r="H2652" t="s">
        <v>30915</v>
      </c>
      <c r="I2652" t="s">
        <v>30919</v>
      </c>
      <c r="J2652" t="s">
        <v>32968</v>
      </c>
      <c r="K2652" t="s">
        <v>40374</v>
      </c>
      <c r="M2652" t="s">
        <v>41773</v>
      </c>
      <c r="N2652" t="s">
        <v>44759</v>
      </c>
      <c r="O2652" t="s">
        <v>44760</v>
      </c>
      <c r="P2652">
        <v>0</v>
      </c>
      <c r="Q2652">
        <v>2</v>
      </c>
      <c r="R2652" t="s">
        <v>44763</v>
      </c>
      <c r="S2652" t="s">
        <v>44876</v>
      </c>
      <c r="T2652" t="s">
        <v>46475</v>
      </c>
      <c r="U2652" t="s">
        <v>49195</v>
      </c>
      <c r="V2652" t="s">
        <v>59416</v>
      </c>
      <c r="W2652" t="s">
        <v>41773</v>
      </c>
      <c r="X2652" t="s">
        <v>44769</v>
      </c>
    </row>
    <row r="2653" spans="1:24">
      <c r="A2653">
        <f>HYPERLINK("https://www.philgeps.gov.ph/GEPSNONPILOT/Tender/SplashBidNoticeAbstractUI.aspx?menuIndex=3&amp;refID=7137428&amp;Result=3","7137428")</f>
        <v>0</v>
      </c>
      <c r="B2653" t="s">
        <v>1160</v>
      </c>
      <c r="C2653" t="s">
        <v>6306</v>
      </c>
      <c r="D2653" t="s">
        <v>17996</v>
      </c>
      <c r="E2653" t="s">
        <v>20457</v>
      </c>
      <c r="F2653" t="s">
        <v>30900</v>
      </c>
      <c r="G2653" t="s">
        <v>30907</v>
      </c>
      <c r="H2653" t="s">
        <v>30916</v>
      </c>
      <c r="I2653" t="s">
        <v>30932</v>
      </c>
      <c r="J2653" t="s">
        <v>32969</v>
      </c>
      <c r="K2653" t="s">
        <v>40283</v>
      </c>
      <c r="M2653" t="s">
        <v>41768</v>
      </c>
      <c r="N2653" t="s">
        <v>44759</v>
      </c>
      <c r="O2653" t="s">
        <v>44760</v>
      </c>
      <c r="P2653">
        <v>0</v>
      </c>
      <c r="Q2653">
        <v>0</v>
      </c>
      <c r="R2653" t="s">
        <v>44763</v>
      </c>
      <c r="S2653" t="s">
        <v>44876</v>
      </c>
      <c r="T2653" t="s">
        <v>46357</v>
      </c>
      <c r="U2653" t="s">
        <v>49196</v>
      </c>
      <c r="W2653" t="s">
        <v>41768</v>
      </c>
      <c r="X2653" t="s">
        <v>44770</v>
      </c>
    </row>
    <row r="2654" spans="1:24">
      <c r="A2654">
        <f>HYPERLINK("https://www.philgeps.gov.ph/GEPSNONPILOT/Tender/SplashBidNoticeAbstractUI.aspx?menuIndex=3&amp;refID=7139519&amp;Result=3","7139519")</f>
        <v>0</v>
      </c>
      <c r="B2654" t="s">
        <v>1164</v>
      </c>
      <c r="C2654" t="s">
        <v>6307</v>
      </c>
      <c r="D2654" t="s">
        <v>17955</v>
      </c>
      <c r="E2654" t="s">
        <v>20458</v>
      </c>
      <c r="F2654" t="s">
        <v>30900</v>
      </c>
      <c r="G2654" t="s">
        <v>30907</v>
      </c>
      <c r="H2654" t="s">
        <v>30916</v>
      </c>
      <c r="I2654" t="s">
        <v>5501</v>
      </c>
      <c r="J2654" t="s">
        <v>32970</v>
      </c>
      <c r="K2654" t="s">
        <v>40289</v>
      </c>
      <c r="M2654" t="s">
        <v>41771</v>
      </c>
      <c r="N2654" t="s">
        <v>44759</v>
      </c>
      <c r="O2654" t="s">
        <v>44760</v>
      </c>
      <c r="P2654">
        <v>0</v>
      </c>
      <c r="Q2654">
        <v>9</v>
      </c>
      <c r="R2654" t="s">
        <v>44763</v>
      </c>
      <c r="S2654" t="s">
        <v>44876</v>
      </c>
      <c r="T2654" t="s">
        <v>46408</v>
      </c>
      <c r="U2654" t="s">
        <v>49197</v>
      </c>
      <c r="V2654" t="s">
        <v>59415</v>
      </c>
      <c r="W2654" t="s">
        <v>41771</v>
      </c>
      <c r="X2654" t="s">
        <v>44769</v>
      </c>
    </row>
    <row r="2655" spans="1:24">
      <c r="A2655">
        <f>HYPERLINK("https://www.philgeps.gov.ph/GEPSNONPILOT/Tender/SplashBidNoticeAbstractUI.aspx?menuIndex=3&amp;refID=7137302&amp;Result=3","7137302")</f>
        <v>0</v>
      </c>
      <c r="B2655" t="s">
        <v>1167</v>
      </c>
      <c r="C2655" t="s">
        <v>6308</v>
      </c>
      <c r="D2655" t="s">
        <v>17952</v>
      </c>
      <c r="E2655" t="s">
        <v>20459</v>
      </c>
      <c r="F2655" t="s">
        <v>30900</v>
      </c>
      <c r="G2655" t="s">
        <v>30908</v>
      </c>
      <c r="H2655" t="s">
        <v>30916</v>
      </c>
      <c r="I2655" t="s">
        <v>30927</v>
      </c>
      <c r="J2655" t="s">
        <v>32971</v>
      </c>
      <c r="K2655" t="s">
        <v>40286</v>
      </c>
      <c r="M2655" t="s">
        <v>41774</v>
      </c>
      <c r="N2655" t="s">
        <v>44759</v>
      </c>
      <c r="O2655" t="s">
        <v>44760</v>
      </c>
      <c r="P2655">
        <v>0</v>
      </c>
      <c r="Q2655">
        <v>2</v>
      </c>
      <c r="R2655" t="s">
        <v>44763</v>
      </c>
      <c r="S2655" t="s">
        <v>44876</v>
      </c>
      <c r="T2655" t="s">
        <v>46391</v>
      </c>
      <c r="U2655" t="s">
        <v>49198</v>
      </c>
      <c r="W2655" t="s">
        <v>41774</v>
      </c>
      <c r="X2655" t="s">
        <v>44770</v>
      </c>
    </row>
    <row r="2656" spans="1:24">
      <c r="A2656">
        <f>HYPERLINK("https://www.philgeps.gov.ph/GEPSNONPILOT/Tender/SplashBidNoticeAbstractUI.aspx?menuIndex=3&amp;refID=7140230&amp;Result=3","7140230")</f>
        <v>0</v>
      </c>
      <c r="B2656" t="s">
        <v>1168</v>
      </c>
      <c r="C2656" t="s">
        <v>6309</v>
      </c>
      <c r="D2656" t="s">
        <v>17959</v>
      </c>
      <c r="E2656" t="s">
        <v>6309</v>
      </c>
      <c r="F2656" t="s">
        <v>30900</v>
      </c>
      <c r="G2656" t="s">
        <v>30908</v>
      </c>
      <c r="H2656" t="s">
        <v>30916</v>
      </c>
      <c r="I2656" t="s">
        <v>4142</v>
      </c>
      <c r="J2656" t="s">
        <v>32288</v>
      </c>
      <c r="K2656" t="s">
        <v>40289</v>
      </c>
      <c r="M2656" t="s">
        <v>41775</v>
      </c>
      <c r="N2656" t="s">
        <v>44759</v>
      </c>
      <c r="O2656" t="s">
        <v>44760</v>
      </c>
      <c r="P2656">
        <v>0</v>
      </c>
      <c r="Q2656">
        <v>11</v>
      </c>
      <c r="R2656" t="s">
        <v>44763</v>
      </c>
      <c r="S2656" t="s">
        <v>44876</v>
      </c>
      <c r="T2656" t="s">
        <v>46534</v>
      </c>
      <c r="U2656" t="s">
        <v>49199</v>
      </c>
      <c r="W2656" t="s">
        <v>41775</v>
      </c>
      <c r="X2656" t="s">
        <v>44769</v>
      </c>
    </row>
    <row r="2657" spans="1:24">
      <c r="A2657">
        <f>HYPERLINK("https://www.philgeps.gov.ph/GEPSNONPILOT/Tender/SplashBidNoticeAbstractUI.aspx?menuIndex=3&amp;refID=7139961&amp;Result=3","7139961")</f>
        <v>0</v>
      </c>
      <c r="B2657" t="s">
        <v>1169</v>
      </c>
      <c r="C2657" t="s">
        <v>6310</v>
      </c>
      <c r="D2657" t="s">
        <v>17965</v>
      </c>
      <c r="E2657" t="s">
        <v>20460</v>
      </c>
      <c r="F2657" t="s">
        <v>30900</v>
      </c>
      <c r="G2657" t="s">
        <v>30907</v>
      </c>
      <c r="H2657" t="s">
        <v>30915</v>
      </c>
      <c r="I2657" t="s">
        <v>30948</v>
      </c>
      <c r="J2657" t="s">
        <v>32972</v>
      </c>
      <c r="K2657" t="s">
        <v>40370</v>
      </c>
      <c r="M2657" t="s">
        <v>41776</v>
      </c>
      <c r="N2657" t="s">
        <v>44759</v>
      </c>
      <c r="O2657" t="s">
        <v>44760</v>
      </c>
      <c r="P2657">
        <v>0</v>
      </c>
      <c r="Q2657">
        <v>0</v>
      </c>
      <c r="R2657" t="s">
        <v>44763</v>
      </c>
      <c r="S2657" t="s">
        <v>44876</v>
      </c>
      <c r="T2657" t="s">
        <v>46412</v>
      </c>
      <c r="U2657" t="s">
        <v>49200</v>
      </c>
      <c r="V2657" t="s">
        <v>59417</v>
      </c>
      <c r="W2657" t="s">
        <v>41776</v>
      </c>
      <c r="X2657" t="s">
        <v>44769</v>
      </c>
    </row>
    <row r="2658" spans="1:24">
      <c r="A2658">
        <f>HYPERLINK("https://www.philgeps.gov.ph/GEPSNONPILOT/Tender/SplashBidNoticeAbstractUI.aspx?menuIndex=3&amp;refID=7139817&amp;Result=3","7139817")</f>
        <v>0</v>
      </c>
      <c r="B2658" t="s">
        <v>42</v>
      </c>
      <c r="C2658" t="s">
        <v>6311</v>
      </c>
      <c r="D2658" t="s">
        <v>17967</v>
      </c>
      <c r="E2658" t="s">
        <v>20461</v>
      </c>
      <c r="F2658" t="s">
        <v>30900</v>
      </c>
      <c r="G2658" t="s">
        <v>30907</v>
      </c>
      <c r="H2658" t="s">
        <v>30916</v>
      </c>
      <c r="I2658" t="s">
        <v>5501</v>
      </c>
      <c r="J2658" t="s">
        <v>32973</v>
      </c>
      <c r="K2658" t="s">
        <v>40284</v>
      </c>
      <c r="M2658" t="s">
        <v>40588</v>
      </c>
      <c r="N2658" t="s">
        <v>44759</v>
      </c>
      <c r="O2658" t="s">
        <v>44760</v>
      </c>
      <c r="P2658">
        <v>0</v>
      </c>
      <c r="Q2658">
        <v>6</v>
      </c>
      <c r="R2658" t="s">
        <v>44763</v>
      </c>
      <c r="S2658" t="s">
        <v>44876</v>
      </c>
      <c r="T2658" t="s">
        <v>46405</v>
      </c>
      <c r="U2658" t="s">
        <v>49201</v>
      </c>
      <c r="W2658" t="s">
        <v>40588</v>
      </c>
      <c r="X2658" t="s">
        <v>44769</v>
      </c>
    </row>
    <row r="2659" spans="1:24">
      <c r="A2659">
        <f>HYPERLINK("https://www.philgeps.gov.ph/GEPSNONPILOT/Tender/SplashBidNoticeAbstractUI.aspx?menuIndex=3&amp;refID=7141865&amp;Result=3","7141865")</f>
        <v>0</v>
      </c>
      <c r="B2659" t="s">
        <v>1164</v>
      </c>
      <c r="C2659" t="s">
        <v>6312</v>
      </c>
      <c r="D2659" t="s">
        <v>17955</v>
      </c>
      <c r="E2659" t="s">
        <v>20462</v>
      </c>
      <c r="F2659" t="s">
        <v>30900</v>
      </c>
      <c r="G2659" t="s">
        <v>30907</v>
      </c>
      <c r="H2659" t="s">
        <v>30916</v>
      </c>
      <c r="I2659" t="s">
        <v>8044</v>
      </c>
      <c r="J2659" t="s">
        <v>32974</v>
      </c>
      <c r="K2659" t="s">
        <v>40289</v>
      </c>
      <c r="M2659" t="s">
        <v>41771</v>
      </c>
      <c r="N2659" t="s">
        <v>44759</v>
      </c>
      <c r="O2659" t="s">
        <v>44760</v>
      </c>
      <c r="P2659">
        <v>0</v>
      </c>
      <c r="Q2659">
        <v>1</v>
      </c>
      <c r="R2659" t="s">
        <v>44763</v>
      </c>
      <c r="S2659" t="s">
        <v>44876</v>
      </c>
      <c r="T2659" t="s">
        <v>46408</v>
      </c>
      <c r="U2659" t="s">
        <v>49202</v>
      </c>
      <c r="V2659" t="s">
        <v>59415</v>
      </c>
      <c r="W2659" t="s">
        <v>41771</v>
      </c>
      <c r="X2659" t="s">
        <v>44769</v>
      </c>
    </row>
    <row r="2660" spans="1:24">
      <c r="A2660">
        <f>HYPERLINK("https://www.philgeps.gov.ph/GEPSNONPILOT/Tender/SplashBidNoticeAbstractUI.aspx?menuIndex=3&amp;refID=7139561&amp;Result=3","7139561")</f>
        <v>0</v>
      </c>
      <c r="B2660" t="s">
        <v>1170</v>
      </c>
      <c r="C2660" t="s">
        <v>6313</v>
      </c>
      <c r="E2660" t="s">
        <v>20463</v>
      </c>
      <c r="F2660" t="s">
        <v>30900</v>
      </c>
      <c r="G2660" t="s">
        <v>30907</v>
      </c>
      <c r="H2660" t="s">
        <v>30916</v>
      </c>
      <c r="I2660" t="s">
        <v>30933</v>
      </c>
      <c r="J2660" t="s">
        <v>32398</v>
      </c>
      <c r="K2660" t="s">
        <v>40284</v>
      </c>
      <c r="M2660" t="s">
        <v>41777</v>
      </c>
      <c r="N2660" t="s">
        <v>44759</v>
      </c>
      <c r="O2660" t="s">
        <v>44760</v>
      </c>
      <c r="P2660">
        <v>0</v>
      </c>
      <c r="Q2660">
        <v>0</v>
      </c>
      <c r="R2660" t="s">
        <v>44763</v>
      </c>
      <c r="S2660" t="s">
        <v>44876</v>
      </c>
      <c r="T2660" t="s">
        <v>46412</v>
      </c>
      <c r="U2660" t="s">
        <v>49203</v>
      </c>
      <c r="W2660" t="s">
        <v>41777</v>
      </c>
      <c r="X2660" t="s">
        <v>44769</v>
      </c>
    </row>
    <row r="2661" spans="1:24">
      <c r="A2661">
        <f>HYPERLINK("https://www.philgeps.gov.ph/GEPSNONPILOT/Tender/SplashBidNoticeAbstractUI.aspx?menuIndex=3&amp;refID=7141846&amp;Result=3","7141846")</f>
        <v>0</v>
      </c>
      <c r="B2661" t="s">
        <v>1164</v>
      </c>
      <c r="C2661" t="s">
        <v>6314</v>
      </c>
      <c r="D2661" t="s">
        <v>17955</v>
      </c>
      <c r="E2661" t="s">
        <v>20464</v>
      </c>
      <c r="F2661" t="s">
        <v>30900</v>
      </c>
      <c r="G2661" t="s">
        <v>30907</v>
      </c>
      <c r="H2661" t="s">
        <v>30916</v>
      </c>
      <c r="I2661" t="s">
        <v>30950</v>
      </c>
      <c r="J2661" t="s">
        <v>32110</v>
      </c>
      <c r="K2661" t="s">
        <v>40289</v>
      </c>
      <c r="M2661" t="s">
        <v>41771</v>
      </c>
      <c r="N2661" t="s">
        <v>44759</v>
      </c>
      <c r="O2661" t="s">
        <v>44760</v>
      </c>
      <c r="P2661">
        <v>0</v>
      </c>
      <c r="Q2661">
        <v>6</v>
      </c>
      <c r="R2661" t="s">
        <v>44763</v>
      </c>
      <c r="S2661" t="s">
        <v>44876</v>
      </c>
      <c r="T2661" t="s">
        <v>46408</v>
      </c>
      <c r="U2661" t="s">
        <v>49204</v>
      </c>
      <c r="V2661" t="s">
        <v>59415</v>
      </c>
      <c r="W2661" t="s">
        <v>41771</v>
      </c>
      <c r="X2661" t="s">
        <v>44769</v>
      </c>
    </row>
    <row r="2662" spans="1:24">
      <c r="A2662">
        <f>HYPERLINK("https://www.philgeps.gov.ph/GEPSNONPILOT/Tender/SplashBidNoticeAbstractUI.aspx?menuIndex=3&amp;refID=7137742&amp;Result=3","7137742")</f>
        <v>0</v>
      </c>
      <c r="B2662" t="s">
        <v>1161</v>
      </c>
      <c r="C2662" t="s">
        <v>6315</v>
      </c>
      <c r="D2662" t="s">
        <v>17963</v>
      </c>
      <c r="E2662" t="s">
        <v>20465</v>
      </c>
      <c r="F2662" t="s">
        <v>30900</v>
      </c>
      <c r="G2662" t="s">
        <v>30907</v>
      </c>
      <c r="H2662" t="s">
        <v>30916</v>
      </c>
      <c r="I2662" t="s">
        <v>30971</v>
      </c>
      <c r="J2662" t="s">
        <v>32975</v>
      </c>
      <c r="K2662" t="s">
        <v>40293</v>
      </c>
      <c r="M2662" t="s">
        <v>41769</v>
      </c>
      <c r="N2662" t="s">
        <v>44759</v>
      </c>
      <c r="O2662" t="s">
        <v>44760</v>
      </c>
      <c r="P2662">
        <v>0</v>
      </c>
      <c r="Q2662">
        <v>0</v>
      </c>
      <c r="R2662" t="s">
        <v>44763</v>
      </c>
      <c r="S2662" t="s">
        <v>44876</v>
      </c>
      <c r="T2662" t="s">
        <v>46489</v>
      </c>
      <c r="U2662" t="s">
        <v>49179</v>
      </c>
      <c r="W2662" t="s">
        <v>41769</v>
      </c>
      <c r="X2662" t="s">
        <v>44770</v>
      </c>
    </row>
    <row r="2663" spans="1:24">
      <c r="A2663">
        <f>HYPERLINK("https://www.philgeps.gov.ph/GEPSNONPILOT/Tender/SplashBidNoticeAbstractUI.aspx?menuIndex=3&amp;refID=7141663&amp;Result=3","7141663")</f>
        <v>0</v>
      </c>
      <c r="B2663" t="s">
        <v>1170</v>
      </c>
      <c r="C2663" t="s">
        <v>6316</v>
      </c>
      <c r="D2663" t="s">
        <v>18010</v>
      </c>
      <c r="E2663" t="s">
        <v>20466</v>
      </c>
      <c r="F2663" t="s">
        <v>30900</v>
      </c>
      <c r="G2663" t="s">
        <v>30907</v>
      </c>
      <c r="H2663" t="s">
        <v>30916</v>
      </c>
      <c r="I2663" t="s">
        <v>8123</v>
      </c>
      <c r="J2663" t="s">
        <v>32976</v>
      </c>
      <c r="K2663" t="s">
        <v>40284</v>
      </c>
      <c r="M2663" t="s">
        <v>41777</v>
      </c>
      <c r="N2663" t="s">
        <v>44759</v>
      </c>
      <c r="O2663" t="s">
        <v>44760</v>
      </c>
      <c r="P2663">
        <v>0</v>
      </c>
      <c r="Q2663">
        <v>1</v>
      </c>
      <c r="R2663" t="s">
        <v>44763</v>
      </c>
      <c r="S2663" t="s">
        <v>44876</v>
      </c>
      <c r="T2663" t="s">
        <v>46412</v>
      </c>
      <c r="U2663" t="s">
        <v>47755</v>
      </c>
      <c r="W2663" t="s">
        <v>41777</v>
      </c>
      <c r="X2663" t="s">
        <v>44769</v>
      </c>
    </row>
    <row r="2664" spans="1:24">
      <c r="A2664">
        <f>HYPERLINK("https://www.philgeps.gov.ph/GEPSNONPILOT/Tender/SplashBidNoticeAbstractUI.aspx?menuIndex=3&amp;refID=7137836&amp;Result=3","7137836")</f>
        <v>0</v>
      </c>
      <c r="B2664" t="s">
        <v>1161</v>
      </c>
      <c r="C2664" t="s">
        <v>6317</v>
      </c>
      <c r="D2664" t="s">
        <v>17963</v>
      </c>
      <c r="E2664" t="s">
        <v>20467</v>
      </c>
      <c r="F2664" t="s">
        <v>30900</v>
      </c>
      <c r="G2664" t="s">
        <v>30907</v>
      </c>
      <c r="H2664" t="s">
        <v>30916</v>
      </c>
      <c r="I2664" t="s">
        <v>30971</v>
      </c>
      <c r="J2664" t="s">
        <v>32977</v>
      </c>
      <c r="K2664" t="s">
        <v>40293</v>
      </c>
      <c r="M2664" t="s">
        <v>41769</v>
      </c>
      <c r="N2664" t="s">
        <v>44759</v>
      </c>
      <c r="O2664" t="s">
        <v>44760</v>
      </c>
      <c r="P2664">
        <v>0</v>
      </c>
      <c r="Q2664">
        <v>0</v>
      </c>
      <c r="R2664" t="s">
        <v>44763</v>
      </c>
      <c r="S2664" t="s">
        <v>44876</v>
      </c>
      <c r="T2664" t="s">
        <v>46489</v>
      </c>
      <c r="U2664" t="s">
        <v>49179</v>
      </c>
      <c r="W2664" t="s">
        <v>41769</v>
      </c>
      <c r="X2664" t="s">
        <v>44770</v>
      </c>
    </row>
    <row r="2665" spans="1:24">
      <c r="A2665">
        <f>HYPERLINK("https://www.philgeps.gov.ph/GEPSNONPILOT/Tender/SplashBidNoticeAbstractUI.aspx?menuIndex=3&amp;refID=7139564&amp;Result=3","7139564")</f>
        <v>0</v>
      </c>
      <c r="B2665" t="s">
        <v>1171</v>
      </c>
      <c r="C2665" t="s">
        <v>6318</v>
      </c>
      <c r="D2665" t="s">
        <v>17961</v>
      </c>
      <c r="E2665" t="s">
        <v>20468</v>
      </c>
      <c r="F2665" t="s">
        <v>30900</v>
      </c>
      <c r="G2665" t="s">
        <v>30909</v>
      </c>
      <c r="H2665" t="s">
        <v>30916</v>
      </c>
      <c r="I2665" t="s">
        <v>8123</v>
      </c>
      <c r="J2665" t="s">
        <v>32978</v>
      </c>
      <c r="K2665" t="s">
        <v>40285</v>
      </c>
      <c r="M2665" t="s">
        <v>41778</v>
      </c>
      <c r="N2665" t="s">
        <v>44759</v>
      </c>
      <c r="O2665" t="s">
        <v>44760</v>
      </c>
      <c r="P2665">
        <v>0</v>
      </c>
      <c r="Q2665">
        <v>0</v>
      </c>
      <c r="R2665" t="s">
        <v>44763</v>
      </c>
      <c r="S2665" t="s">
        <v>44876</v>
      </c>
      <c r="T2665" t="s">
        <v>46571</v>
      </c>
      <c r="U2665" t="s">
        <v>49205</v>
      </c>
      <c r="W2665" t="s">
        <v>41778</v>
      </c>
      <c r="X2665" t="s">
        <v>44769</v>
      </c>
    </row>
    <row r="2666" spans="1:24">
      <c r="A2666">
        <f>HYPERLINK("https://www.philgeps.gov.ph/GEPSNONPILOT/Tender/SplashBidNoticeAbstractUI.aspx?menuIndex=3&amp;refID=7141855&amp;Result=3","7141855")</f>
        <v>0</v>
      </c>
      <c r="B2666" t="s">
        <v>1164</v>
      </c>
      <c r="C2666" t="s">
        <v>6319</v>
      </c>
      <c r="D2666" t="s">
        <v>17955</v>
      </c>
      <c r="E2666" t="s">
        <v>20469</v>
      </c>
      <c r="F2666" t="s">
        <v>30900</v>
      </c>
      <c r="G2666" t="s">
        <v>30907</v>
      </c>
      <c r="H2666" t="s">
        <v>30916</v>
      </c>
      <c r="I2666" t="s">
        <v>30933</v>
      </c>
      <c r="J2666" t="s">
        <v>32979</v>
      </c>
      <c r="K2666" t="s">
        <v>40289</v>
      </c>
      <c r="M2666" t="s">
        <v>41771</v>
      </c>
      <c r="N2666" t="s">
        <v>44759</v>
      </c>
      <c r="O2666" t="s">
        <v>44760</v>
      </c>
      <c r="P2666">
        <v>0</v>
      </c>
      <c r="Q2666">
        <v>2</v>
      </c>
      <c r="R2666" t="s">
        <v>44763</v>
      </c>
      <c r="S2666" t="s">
        <v>44876</v>
      </c>
      <c r="T2666" t="s">
        <v>46408</v>
      </c>
      <c r="U2666" t="s">
        <v>49206</v>
      </c>
      <c r="V2666" t="s">
        <v>59415</v>
      </c>
      <c r="W2666" t="s">
        <v>41771</v>
      </c>
      <c r="X2666" t="s">
        <v>44769</v>
      </c>
    </row>
    <row r="2667" spans="1:24">
      <c r="A2667">
        <f>HYPERLINK("https://www.philgeps.gov.ph/GEPSNONPILOT/Tender/SplashBidNoticeAbstractUI.aspx?menuIndex=3&amp;refID=7142191&amp;Result=3","7142191")</f>
        <v>0</v>
      </c>
      <c r="B2667" t="s">
        <v>869</v>
      </c>
      <c r="C2667" t="s">
        <v>6320</v>
      </c>
      <c r="D2667" t="s">
        <v>17988</v>
      </c>
      <c r="E2667" t="s">
        <v>20470</v>
      </c>
      <c r="F2667" t="s">
        <v>30900</v>
      </c>
      <c r="G2667" t="s">
        <v>30907</v>
      </c>
      <c r="H2667" t="s">
        <v>30915</v>
      </c>
      <c r="I2667" t="s">
        <v>30919</v>
      </c>
      <c r="J2667" t="s">
        <v>32980</v>
      </c>
      <c r="K2667" t="s">
        <v>40375</v>
      </c>
      <c r="M2667" t="s">
        <v>41442</v>
      </c>
      <c r="N2667" t="s">
        <v>44759</v>
      </c>
      <c r="O2667" t="s">
        <v>44760</v>
      </c>
      <c r="P2667">
        <v>0</v>
      </c>
      <c r="Q2667">
        <v>0</v>
      </c>
      <c r="R2667" t="s">
        <v>44763</v>
      </c>
      <c r="S2667" t="s">
        <v>44876</v>
      </c>
      <c r="T2667" t="s">
        <v>46418</v>
      </c>
      <c r="U2667" t="s">
        <v>49207</v>
      </c>
      <c r="W2667" t="s">
        <v>41442</v>
      </c>
      <c r="X2667" t="s">
        <v>44768</v>
      </c>
    </row>
    <row r="2668" spans="1:24">
      <c r="A2668">
        <f>HYPERLINK("https://www.philgeps.gov.ph/GEPSNONPILOT/Tender/SplashBidNoticeAbstractUI.aspx?menuIndex=3&amp;refID=7142188&amp;Result=3","7142188")</f>
        <v>0</v>
      </c>
      <c r="B2668" t="s">
        <v>1172</v>
      </c>
      <c r="C2668" t="s">
        <v>6321</v>
      </c>
      <c r="D2668" t="s">
        <v>18035</v>
      </c>
      <c r="E2668" t="s">
        <v>20471</v>
      </c>
      <c r="F2668" t="s">
        <v>30900</v>
      </c>
      <c r="G2668" t="s">
        <v>30910</v>
      </c>
      <c r="H2668" t="s">
        <v>30916</v>
      </c>
      <c r="I2668" t="s">
        <v>4017</v>
      </c>
      <c r="J2668" t="s">
        <v>31914</v>
      </c>
      <c r="K2668" t="s">
        <v>40287</v>
      </c>
      <c r="M2668" t="s">
        <v>41779</v>
      </c>
      <c r="N2668" t="s">
        <v>44759</v>
      </c>
      <c r="O2668" t="s">
        <v>44760</v>
      </c>
      <c r="P2668">
        <v>0</v>
      </c>
      <c r="Q2668">
        <v>1</v>
      </c>
      <c r="R2668" t="s">
        <v>44763</v>
      </c>
      <c r="S2668" t="s">
        <v>44876</v>
      </c>
      <c r="T2668" t="s">
        <v>46400</v>
      </c>
      <c r="U2668" t="s">
        <v>49208</v>
      </c>
      <c r="W2668" t="s">
        <v>41779</v>
      </c>
      <c r="X2668" t="s">
        <v>44768</v>
      </c>
    </row>
    <row r="2669" spans="1:24">
      <c r="A2669">
        <f>HYPERLINK("https://www.philgeps.gov.ph/GEPSNONPILOT/Tender/SplashBidNoticeAbstractUI.aspx?menuIndex=3&amp;refID=7141811&amp;Result=3","7141811")</f>
        <v>0</v>
      </c>
      <c r="B2669" t="s">
        <v>1164</v>
      </c>
      <c r="C2669" t="s">
        <v>6322</v>
      </c>
      <c r="D2669" t="s">
        <v>17955</v>
      </c>
      <c r="E2669" t="s">
        <v>20472</v>
      </c>
      <c r="F2669" t="s">
        <v>30900</v>
      </c>
      <c r="G2669" t="s">
        <v>30907</v>
      </c>
      <c r="H2669" t="s">
        <v>30916</v>
      </c>
      <c r="I2669" t="s">
        <v>30921</v>
      </c>
      <c r="J2669" t="s">
        <v>32981</v>
      </c>
      <c r="K2669" t="s">
        <v>40289</v>
      </c>
      <c r="M2669" t="s">
        <v>41771</v>
      </c>
      <c r="N2669" t="s">
        <v>44759</v>
      </c>
      <c r="O2669" t="s">
        <v>44760</v>
      </c>
      <c r="P2669">
        <v>0</v>
      </c>
      <c r="Q2669">
        <v>3</v>
      </c>
      <c r="R2669" t="s">
        <v>44763</v>
      </c>
      <c r="S2669" t="s">
        <v>44876</v>
      </c>
      <c r="T2669" t="s">
        <v>46408</v>
      </c>
      <c r="U2669" t="s">
        <v>49209</v>
      </c>
      <c r="V2669" t="s">
        <v>59415</v>
      </c>
      <c r="W2669" t="s">
        <v>41771</v>
      </c>
      <c r="X2669" t="s">
        <v>44769</v>
      </c>
    </row>
    <row r="2670" spans="1:24">
      <c r="A2670">
        <f>HYPERLINK("https://www.philgeps.gov.ph/GEPSNONPILOT/Tender/SplashBidNoticeAbstractUI.aspx?menuIndex=3&amp;refID=7142123&amp;Result=3","7142123")</f>
        <v>0</v>
      </c>
      <c r="B2670" t="s">
        <v>1172</v>
      </c>
      <c r="C2670" t="s">
        <v>6323</v>
      </c>
      <c r="D2670" t="s">
        <v>18035</v>
      </c>
      <c r="E2670" t="s">
        <v>20473</v>
      </c>
      <c r="F2670" t="s">
        <v>30900</v>
      </c>
      <c r="G2670" t="s">
        <v>30910</v>
      </c>
      <c r="H2670" t="s">
        <v>30916</v>
      </c>
      <c r="I2670" t="s">
        <v>30924</v>
      </c>
      <c r="J2670" t="s">
        <v>31101</v>
      </c>
      <c r="K2670" t="s">
        <v>40287</v>
      </c>
      <c r="M2670" t="s">
        <v>41779</v>
      </c>
      <c r="N2670" t="s">
        <v>44759</v>
      </c>
      <c r="O2670" t="s">
        <v>44760</v>
      </c>
      <c r="P2670">
        <v>0</v>
      </c>
      <c r="Q2670">
        <v>3</v>
      </c>
      <c r="R2670" t="s">
        <v>44763</v>
      </c>
      <c r="S2670" t="s">
        <v>44876</v>
      </c>
      <c r="T2670" t="s">
        <v>46389</v>
      </c>
      <c r="U2670" t="s">
        <v>49210</v>
      </c>
      <c r="W2670" t="s">
        <v>41779</v>
      </c>
      <c r="X2670" t="s">
        <v>44768</v>
      </c>
    </row>
    <row r="2671" spans="1:24">
      <c r="A2671">
        <f>HYPERLINK("https://www.philgeps.gov.ph/GEPSNONPILOT/Tender/SplashBidNoticeAbstractUI.aspx?menuIndex=3&amp;refID=7141883&amp;Result=3","7141883")</f>
        <v>0</v>
      </c>
      <c r="B2671" t="s">
        <v>1164</v>
      </c>
      <c r="C2671" t="s">
        <v>6324</v>
      </c>
      <c r="D2671" t="s">
        <v>17955</v>
      </c>
      <c r="E2671" t="s">
        <v>20474</v>
      </c>
      <c r="F2671" t="s">
        <v>30900</v>
      </c>
      <c r="G2671" t="s">
        <v>30907</v>
      </c>
      <c r="H2671" t="s">
        <v>30916</v>
      </c>
      <c r="I2671" t="s">
        <v>4142</v>
      </c>
      <c r="J2671" t="s">
        <v>32982</v>
      </c>
      <c r="K2671" t="s">
        <v>40289</v>
      </c>
      <c r="M2671" t="s">
        <v>41771</v>
      </c>
      <c r="N2671" t="s">
        <v>44759</v>
      </c>
      <c r="O2671" t="s">
        <v>44760</v>
      </c>
      <c r="P2671">
        <v>0</v>
      </c>
      <c r="Q2671">
        <v>1</v>
      </c>
      <c r="R2671" t="s">
        <v>44763</v>
      </c>
      <c r="S2671" t="s">
        <v>44876</v>
      </c>
      <c r="T2671" t="s">
        <v>46408</v>
      </c>
      <c r="U2671" t="s">
        <v>49211</v>
      </c>
      <c r="V2671" t="s">
        <v>59415</v>
      </c>
      <c r="W2671" t="s">
        <v>41771</v>
      </c>
      <c r="X2671" t="s">
        <v>44769</v>
      </c>
    </row>
    <row r="2672" spans="1:24">
      <c r="A2672">
        <f>HYPERLINK("https://www.philgeps.gov.ph/GEPSNONPILOT/Tender/SplashBidNoticeAbstractUI.aspx?menuIndex=3&amp;refID=7141484&amp;Result=3","7141484")</f>
        <v>0</v>
      </c>
      <c r="B2672" t="s">
        <v>1172</v>
      </c>
      <c r="C2672" t="s">
        <v>6325</v>
      </c>
      <c r="D2672" t="s">
        <v>18035</v>
      </c>
      <c r="E2672" t="s">
        <v>20475</v>
      </c>
      <c r="F2672" t="s">
        <v>30900</v>
      </c>
      <c r="G2672" t="s">
        <v>30908</v>
      </c>
      <c r="H2672" t="s">
        <v>30916</v>
      </c>
      <c r="I2672" t="s">
        <v>30939</v>
      </c>
      <c r="J2672" t="s">
        <v>32983</v>
      </c>
      <c r="K2672" t="s">
        <v>40287</v>
      </c>
      <c r="M2672" t="s">
        <v>41779</v>
      </c>
      <c r="N2672" t="s">
        <v>44759</v>
      </c>
      <c r="O2672" t="s">
        <v>44760</v>
      </c>
      <c r="P2672">
        <v>0</v>
      </c>
      <c r="Q2672">
        <v>0</v>
      </c>
      <c r="R2672" t="s">
        <v>44763</v>
      </c>
      <c r="S2672" t="s">
        <v>44876</v>
      </c>
      <c r="T2672" t="s">
        <v>46400</v>
      </c>
      <c r="U2672" t="s">
        <v>49212</v>
      </c>
      <c r="W2672" t="s">
        <v>41779</v>
      </c>
      <c r="X2672" t="s">
        <v>44769</v>
      </c>
    </row>
    <row r="2673" spans="1:24">
      <c r="A2673">
        <f>HYPERLINK("https://www.philgeps.gov.ph/GEPSNONPILOT/Tender/SplashBidNoticeAbstractUI.aspx?menuIndex=3&amp;refID=7141472&amp;Result=3","7141472")</f>
        <v>0</v>
      </c>
      <c r="B2673" t="s">
        <v>1172</v>
      </c>
      <c r="C2673" t="s">
        <v>6326</v>
      </c>
      <c r="D2673" t="s">
        <v>18035</v>
      </c>
      <c r="E2673" t="s">
        <v>20476</v>
      </c>
      <c r="F2673" t="s">
        <v>30900</v>
      </c>
      <c r="G2673" t="s">
        <v>30908</v>
      </c>
      <c r="H2673" t="s">
        <v>30916</v>
      </c>
      <c r="I2673" t="s">
        <v>8044</v>
      </c>
      <c r="J2673" t="s">
        <v>32984</v>
      </c>
      <c r="K2673" t="s">
        <v>40287</v>
      </c>
      <c r="M2673" t="s">
        <v>41779</v>
      </c>
      <c r="N2673" t="s">
        <v>44759</v>
      </c>
      <c r="O2673" t="s">
        <v>44760</v>
      </c>
      <c r="P2673">
        <v>0</v>
      </c>
      <c r="Q2673">
        <v>2</v>
      </c>
      <c r="R2673" t="s">
        <v>44763</v>
      </c>
      <c r="S2673" t="s">
        <v>44876</v>
      </c>
      <c r="T2673" t="s">
        <v>46400</v>
      </c>
      <c r="U2673" t="s">
        <v>49213</v>
      </c>
      <c r="W2673" t="s">
        <v>41779</v>
      </c>
      <c r="X2673" t="s">
        <v>44769</v>
      </c>
    </row>
    <row r="2674" spans="1:24">
      <c r="A2674">
        <f>HYPERLINK("https://www.philgeps.gov.ph/GEPSNONPILOT/Tender/SplashBidNoticeAbstractUI.aspx?menuIndex=3&amp;refID=7141221&amp;Result=3","7141221")</f>
        <v>0</v>
      </c>
      <c r="B2674" t="s">
        <v>1169</v>
      </c>
      <c r="C2674" t="s">
        <v>6327</v>
      </c>
      <c r="D2674" t="s">
        <v>17965</v>
      </c>
      <c r="E2674" t="s">
        <v>20477</v>
      </c>
      <c r="F2674" t="s">
        <v>30900</v>
      </c>
      <c r="G2674" t="s">
        <v>30907</v>
      </c>
      <c r="H2674" t="s">
        <v>30915</v>
      </c>
      <c r="I2674" t="s">
        <v>30919</v>
      </c>
      <c r="J2674" t="s">
        <v>31243</v>
      </c>
      <c r="K2674" t="s">
        <v>40294</v>
      </c>
      <c r="M2674" t="s">
        <v>41776</v>
      </c>
      <c r="N2674" t="s">
        <v>44759</v>
      </c>
      <c r="O2674" t="s">
        <v>44760</v>
      </c>
      <c r="P2674">
        <v>0</v>
      </c>
      <c r="Q2674">
        <v>0</v>
      </c>
      <c r="R2674" t="s">
        <v>44763</v>
      </c>
      <c r="S2674" t="s">
        <v>44876</v>
      </c>
      <c r="T2674" t="s">
        <v>46412</v>
      </c>
      <c r="U2674" t="s">
        <v>49214</v>
      </c>
      <c r="V2674" t="s">
        <v>59418</v>
      </c>
      <c r="W2674" t="s">
        <v>41776</v>
      </c>
      <c r="X2674" t="s">
        <v>44769</v>
      </c>
    </row>
    <row r="2675" spans="1:24">
      <c r="A2675">
        <f>HYPERLINK("https://www.philgeps.gov.ph/GEPSNONPILOT/Tender/SplashBidNoticeAbstractUI.aspx?menuIndex=3&amp;refID=7140765&amp;Result=3","7140765")</f>
        <v>0</v>
      </c>
      <c r="B2675" t="s">
        <v>1173</v>
      </c>
      <c r="C2675" t="s">
        <v>6328</v>
      </c>
      <c r="D2675" t="s">
        <v>18013</v>
      </c>
      <c r="E2675" t="s">
        <v>20478</v>
      </c>
      <c r="F2675" t="s">
        <v>30900</v>
      </c>
      <c r="G2675" t="s">
        <v>30907</v>
      </c>
      <c r="H2675" t="s">
        <v>30915</v>
      </c>
      <c r="I2675" t="s">
        <v>30919</v>
      </c>
      <c r="J2675" t="s">
        <v>31270</v>
      </c>
      <c r="K2675" t="s">
        <v>40280</v>
      </c>
      <c r="M2675" t="s">
        <v>41780</v>
      </c>
      <c r="N2675" t="s">
        <v>44759</v>
      </c>
      <c r="O2675" t="s">
        <v>44760</v>
      </c>
      <c r="P2675">
        <v>0</v>
      </c>
      <c r="Q2675">
        <v>0</v>
      </c>
      <c r="R2675" t="s">
        <v>44763</v>
      </c>
      <c r="S2675" t="s">
        <v>44876</v>
      </c>
      <c r="T2675" t="s">
        <v>46389</v>
      </c>
      <c r="U2675" t="s">
        <v>49215</v>
      </c>
      <c r="W2675" t="s">
        <v>41780</v>
      </c>
      <c r="X2675" t="s">
        <v>44769</v>
      </c>
    </row>
    <row r="2676" spans="1:24">
      <c r="A2676">
        <f>HYPERLINK("https://www.philgeps.gov.ph/GEPSNONPILOT/Tender/SplashBidNoticeAbstractUI.aspx?menuIndex=3&amp;refID=7142202&amp;Result=3","7142202")</f>
        <v>0</v>
      </c>
      <c r="B2676" t="s">
        <v>1172</v>
      </c>
      <c r="C2676" t="s">
        <v>6329</v>
      </c>
      <c r="D2676" t="s">
        <v>18035</v>
      </c>
      <c r="E2676" t="s">
        <v>20479</v>
      </c>
      <c r="F2676" t="s">
        <v>30900</v>
      </c>
      <c r="G2676" t="s">
        <v>30910</v>
      </c>
      <c r="H2676" t="s">
        <v>30916</v>
      </c>
      <c r="I2676" t="s">
        <v>4142</v>
      </c>
      <c r="J2676" t="s">
        <v>32985</v>
      </c>
      <c r="K2676" t="s">
        <v>40287</v>
      </c>
      <c r="M2676" t="s">
        <v>41779</v>
      </c>
      <c r="N2676" t="s">
        <v>44759</v>
      </c>
      <c r="O2676" t="s">
        <v>44760</v>
      </c>
      <c r="P2676">
        <v>0</v>
      </c>
      <c r="Q2676">
        <v>1</v>
      </c>
      <c r="R2676" t="s">
        <v>44763</v>
      </c>
      <c r="S2676" t="s">
        <v>44876</v>
      </c>
      <c r="T2676" t="s">
        <v>46400</v>
      </c>
      <c r="U2676" t="s">
        <v>46963</v>
      </c>
      <c r="W2676" t="s">
        <v>41779</v>
      </c>
      <c r="X2676" t="s">
        <v>44768</v>
      </c>
    </row>
    <row r="2677" spans="1:24">
      <c r="A2677">
        <f>HYPERLINK("https://www.philgeps.gov.ph/GEPSNONPILOT/Tender/SplashBidNoticeAbstractUI.aspx?menuIndex=3&amp;refID=7142567&amp;Result=3","7142567")</f>
        <v>0</v>
      </c>
      <c r="B2677" t="s">
        <v>1172</v>
      </c>
      <c r="C2677" t="s">
        <v>6330</v>
      </c>
      <c r="D2677" t="s">
        <v>18035</v>
      </c>
      <c r="E2677" t="s">
        <v>20480</v>
      </c>
      <c r="F2677" t="s">
        <v>30900</v>
      </c>
      <c r="G2677" t="s">
        <v>30908</v>
      </c>
      <c r="H2677" t="s">
        <v>30916</v>
      </c>
      <c r="I2677" t="s">
        <v>30939</v>
      </c>
      <c r="J2677" t="s">
        <v>32986</v>
      </c>
      <c r="K2677" t="s">
        <v>40287</v>
      </c>
      <c r="M2677" t="s">
        <v>41779</v>
      </c>
      <c r="N2677" t="s">
        <v>44759</v>
      </c>
      <c r="O2677" t="s">
        <v>44760</v>
      </c>
      <c r="P2677">
        <v>0</v>
      </c>
      <c r="Q2677">
        <v>0</v>
      </c>
      <c r="R2677" t="s">
        <v>44763</v>
      </c>
      <c r="S2677" t="s">
        <v>44876</v>
      </c>
      <c r="T2677" t="s">
        <v>46400</v>
      </c>
      <c r="U2677" t="s">
        <v>49216</v>
      </c>
      <c r="W2677" t="s">
        <v>41779</v>
      </c>
      <c r="X2677" t="s">
        <v>44768</v>
      </c>
    </row>
    <row r="2678" spans="1:24">
      <c r="A2678">
        <f>HYPERLINK("https://www.philgeps.gov.ph/GEPSNONPILOT/Tender/SplashBidNoticeAbstractUI.aspx?menuIndex=3&amp;refID=7137317&amp;Result=3","7137317")</f>
        <v>0</v>
      </c>
      <c r="B2678" t="s">
        <v>1159</v>
      </c>
      <c r="C2678" t="s">
        <v>6331</v>
      </c>
      <c r="E2678" t="s">
        <v>20481</v>
      </c>
      <c r="F2678" t="s">
        <v>30900</v>
      </c>
      <c r="G2678" t="s">
        <v>30907</v>
      </c>
      <c r="H2678" t="s">
        <v>30915</v>
      </c>
      <c r="I2678" t="s">
        <v>30919</v>
      </c>
      <c r="J2678" t="s">
        <v>32987</v>
      </c>
      <c r="K2678" t="s">
        <v>40376</v>
      </c>
      <c r="M2678" t="s">
        <v>41767</v>
      </c>
      <c r="N2678" t="s">
        <v>44759</v>
      </c>
      <c r="O2678" t="s">
        <v>44760</v>
      </c>
      <c r="P2678">
        <v>0</v>
      </c>
      <c r="Q2678">
        <v>0</v>
      </c>
      <c r="R2678" t="s">
        <v>44763</v>
      </c>
      <c r="S2678" t="s">
        <v>44876</v>
      </c>
      <c r="T2678" t="s">
        <v>46465</v>
      </c>
      <c r="U2678" t="s">
        <v>49172</v>
      </c>
      <c r="W2678" t="s">
        <v>41767</v>
      </c>
      <c r="X2678" t="s">
        <v>44770</v>
      </c>
    </row>
    <row r="2679" spans="1:24">
      <c r="A2679">
        <f>HYPERLINK("https://www.philgeps.gov.ph/GEPSNONPILOT/Tender/SplashBidNoticeAbstractUI.aspx?menuIndex=3&amp;refID=7142179&amp;Result=3","7142179")</f>
        <v>0</v>
      </c>
      <c r="B2679" t="s">
        <v>1172</v>
      </c>
      <c r="C2679" t="s">
        <v>6332</v>
      </c>
      <c r="D2679" t="s">
        <v>18035</v>
      </c>
      <c r="E2679" t="s">
        <v>20482</v>
      </c>
      <c r="F2679" t="s">
        <v>30900</v>
      </c>
      <c r="G2679" t="s">
        <v>30910</v>
      </c>
      <c r="H2679" t="s">
        <v>30916</v>
      </c>
      <c r="I2679" t="s">
        <v>30924</v>
      </c>
      <c r="J2679" t="s">
        <v>32988</v>
      </c>
      <c r="K2679" t="s">
        <v>40287</v>
      </c>
      <c r="M2679" t="s">
        <v>41779</v>
      </c>
      <c r="N2679" t="s">
        <v>44759</v>
      </c>
      <c r="O2679" t="s">
        <v>44760</v>
      </c>
      <c r="P2679">
        <v>0</v>
      </c>
      <c r="Q2679">
        <v>1</v>
      </c>
      <c r="R2679" t="s">
        <v>44763</v>
      </c>
      <c r="S2679" t="s">
        <v>44876</v>
      </c>
      <c r="T2679" t="s">
        <v>46389</v>
      </c>
      <c r="U2679" t="s">
        <v>49217</v>
      </c>
      <c r="W2679" t="s">
        <v>41779</v>
      </c>
      <c r="X2679" t="s">
        <v>44768</v>
      </c>
    </row>
    <row r="2680" spans="1:24">
      <c r="A2680">
        <f>HYPERLINK("https://www.philgeps.gov.ph/GEPSNONPILOT/Tender/SplashBidNoticeAbstractUI.aspx?menuIndex=3&amp;refID=7142133&amp;Result=3","7142133")</f>
        <v>0</v>
      </c>
      <c r="B2680" t="s">
        <v>1172</v>
      </c>
      <c r="C2680" t="s">
        <v>6333</v>
      </c>
      <c r="D2680" t="s">
        <v>18035</v>
      </c>
      <c r="E2680" t="s">
        <v>20483</v>
      </c>
      <c r="F2680" t="s">
        <v>30900</v>
      </c>
      <c r="G2680" t="s">
        <v>30910</v>
      </c>
      <c r="H2680" t="s">
        <v>30916</v>
      </c>
      <c r="I2680" t="s">
        <v>4545</v>
      </c>
      <c r="J2680" t="s">
        <v>31049</v>
      </c>
      <c r="K2680" t="s">
        <v>40287</v>
      </c>
      <c r="M2680" t="s">
        <v>41779</v>
      </c>
      <c r="N2680" t="s">
        <v>44759</v>
      </c>
      <c r="O2680" t="s">
        <v>44760</v>
      </c>
      <c r="P2680">
        <v>0</v>
      </c>
      <c r="Q2680">
        <v>9</v>
      </c>
      <c r="R2680" t="s">
        <v>44763</v>
      </c>
      <c r="S2680" t="s">
        <v>44876</v>
      </c>
      <c r="T2680" t="s">
        <v>46400</v>
      </c>
      <c r="U2680" t="s">
        <v>49218</v>
      </c>
      <c r="W2680" t="s">
        <v>41779</v>
      </c>
      <c r="X2680" t="s">
        <v>44768</v>
      </c>
    </row>
    <row r="2681" spans="1:24">
      <c r="A2681">
        <f>HYPERLINK("https://www.philgeps.gov.ph/GEPSNONPILOT/Tender/SplashBidNoticeAbstractUI.aspx?menuIndex=3&amp;refID=7142544&amp;Result=3","7142544")</f>
        <v>0</v>
      </c>
      <c r="B2681" t="s">
        <v>1172</v>
      </c>
      <c r="C2681" t="s">
        <v>6334</v>
      </c>
      <c r="D2681" t="s">
        <v>18035</v>
      </c>
      <c r="E2681" t="s">
        <v>20484</v>
      </c>
      <c r="F2681" t="s">
        <v>30900</v>
      </c>
      <c r="G2681" t="s">
        <v>30908</v>
      </c>
      <c r="H2681" t="s">
        <v>30916</v>
      </c>
      <c r="I2681" t="s">
        <v>30939</v>
      </c>
      <c r="J2681" t="s">
        <v>32989</v>
      </c>
      <c r="K2681" t="s">
        <v>40287</v>
      </c>
      <c r="M2681" t="s">
        <v>41779</v>
      </c>
      <c r="N2681" t="s">
        <v>44759</v>
      </c>
      <c r="O2681" t="s">
        <v>44760</v>
      </c>
      <c r="P2681">
        <v>0</v>
      </c>
      <c r="Q2681">
        <v>0</v>
      </c>
      <c r="R2681" t="s">
        <v>44763</v>
      </c>
      <c r="S2681" t="s">
        <v>44876</v>
      </c>
      <c r="T2681" t="s">
        <v>46389</v>
      </c>
      <c r="U2681" t="s">
        <v>49219</v>
      </c>
      <c r="W2681" t="s">
        <v>41779</v>
      </c>
      <c r="X2681" t="s">
        <v>44768</v>
      </c>
    </row>
    <row r="2682" spans="1:24">
      <c r="A2682">
        <f>HYPERLINK("https://www.philgeps.gov.ph/GEPSNONPILOT/Tender/SplashBidNoticeAbstractUI.aspx?menuIndex=3&amp;refID=7142698&amp;Result=3","7142698")</f>
        <v>0</v>
      </c>
      <c r="B2682" t="s">
        <v>1174</v>
      </c>
      <c r="C2682" t="s">
        <v>6335</v>
      </c>
      <c r="D2682" t="s">
        <v>18016</v>
      </c>
      <c r="E2682" t="s">
        <v>20485</v>
      </c>
      <c r="F2682" t="s">
        <v>30900</v>
      </c>
      <c r="G2682" t="s">
        <v>30907</v>
      </c>
      <c r="H2682" t="s">
        <v>30915</v>
      </c>
      <c r="I2682" t="s">
        <v>30919</v>
      </c>
      <c r="J2682" t="s">
        <v>32990</v>
      </c>
      <c r="K2682" t="s">
        <v>40289</v>
      </c>
      <c r="M2682" t="s">
        <v>41781</v>
      </c>
      <c r="N2682" t="s">
        <v>44759</v>
      </c>
      <c r="O2682" t="s">
        <v>44760</v>
      </c>
      <c r="P2682">
        <v>0</v>
      </c>
      <c r="Q2682">
        <v>0</v>
      </c>
      <c r="R2682" t="s">
        <v>44763</v>
      </c>
      <c r="S2682" t="s">
        <v>44876</v>
      </c>
      <c r="T2682" t="s">
        <v>46465</v>
      </c>
      <c r="U2682" t="s">
        <v>49220</v>
      </c>
      <c r="W2682" t="s">
        <v>41781</v>
      </c>
      <c r="X2682" t="s">
        <v>44768</v>
      </c>
    </row>
    <row r="2683" spans="1:24">
      <c r="A2683">
        <f>HYPERLINK("https://www.philgeps.gov.ph/GEPSNONPILOT/Tender/SplashBidNoticeAbstractUI.aspx?menuIndex=3&amp;refID=7140606&amp;Result=3","7140606")</f>
        <v>0</v>
      </c>
      <c r="B2683" t="s">
        <v>1169</v>
      </c>
      <c r="C2683" t="s">
        <v>6336</v>
      </c>
      <c r="D2683" t="s">
        <v>17965</v>
      </c>
      <c r="E2683" t="s">
        <v>20486</v>
      </c>
      <c r="F2683" t="s">
        <v>30900</v>
      </c>
      <c r="G2683" t="s">
        <v>30907</v>
      </c>
      <c r="H2683" t="s">
        <v>30915</v>
      </c>
      <c r="I2683" t="s">
        <v>30919</v>
      </c>
      <c r="J2683" t="s">
        <v>32991</v>
      </c>
      <c r="K2683" t="s">
        <v>40335</v>
      </c>
      <c r="M2683" t="s">
        <v>41776</v>
      </c>
      <c r="N2683" t="s">
        <v>44759</v>
      </c>
      <c r="O2683" t="s">
        <v>44760</v>
      </c>
      <c r="P2683">
        <v>0</v>
      </c>
      <c r="Q2683">
        <v>0</v>
      </c>
      <c r="R2683" t="s">
        <v>44763</v>
      </c>
      <c r="S2683" t="s">
        <v>44876</v>
      </c>
      <c r="T2683" t="s">
        <v>46394</v>
      </c>
      <c r="U2683" t="s">
        <v>49221</v>
      </c>
      <c r="V2683" t="s">
        <v>59419</v>
      </c>
      <c r="W2683" t="s">
        <v>41776</v>
      </c>
      <c r="X2683" t="s">
        <v>44769</v>
      </c>
    </row>
    <row r="2684" spans="1:24">
      <c r="A2684">
        <f>HYPERLINK("https://www.philgeps.gov.ph/GEPSNONPILOT/Tender/SplashBidNoticeAbstractUI.aspx?menuIndex=3&amp;refID=7142216&amp;Result=3","7142216")</f>
        <v>0</v>
      </c>
      <c r="B2684" t="s">
        <v>1172</v>
      </c>
      <c r="C2684" t="s">
        <v>6337</v>
      </c>
      <c r="D2684" t="s">
        <v>18035</v>
      </c>
      <c r="E2684" t="s">
        <v>20487</v>
      </c>
      <c r="F2684" t="s">
        <v>30900</v>
      </c>
      <c r="G2684" t="s">
        <v>30910</v>
      </c>
      <c r="H2684" t="s">
        <v>30916</v>
      </c>
      <c r="I2684" t="s">
        <v>30924</v>
      </c>
      <c r="J2684" t="s">
        <v>31635</v>
      </c>
      <c r="K2684" t="s">
        <v>40287</v>
      </c>
      <c r="M2684" t="s">
        <v>41779</v>
      </c>
      <c r="N2684" t="s">
        <v>44759</v>
      </c>
      <c r="O2684" t="s">
        <v>44760</v>
      </c>
      <c r="P2684">
        <v>0</v>
      </c>
      <c r="Q2684">
        <v>2</v>
      </c>
      <c r="R2684" t="s">
        <v>44763</v>
      </c>
      <c r="S2684" t="s">
        <v>44876</v>
      </c>
      <c r="T2684" t="s">
        <v>46389</v>
      </c>
      <c r="U2684" t="s">
        <v>49222</v>
      </c>
      <c r="W2684" t="s">
        <v>41779</v>
      </c>
      <c r="X2684" t="s">
        <v>44768</v>
      </c>
    </row>
    <row r="2685" spans="1:24">
      <c r="A2685">
        <f>HYPERLINK("https://www.philgeps.gov.ph/GEPSNONPILOT/Tender/SplashBidNoticeAbstractUI.aspx?menuIndex=3&amp;refID=7142632&amp;Result=3","7142632")</f>
        <v>0</v>
      </c>
      <c r="B2685" t="s">
        <v>1172</v>
      </c>
      <c r="C2685" t="s">
        <v>6338</v>
      </c>
      <c r="D2685" t="s">
        <v>18035</v>
      </c>
      <c r="E2685" t="s">
        <v>20488</v>
      </c>
      <c r="F2685" t="s">
        <v>30900</v>
      </c>
      <c r="G2685" t="s">
        <v>30910</v>
      </c>
      <c r="H2685" t="s">
        <v>30916</v>
      </c>
      <c r="I2685" t="s">
        <v>4017</v>
      </c>
      <c r="J2685" t="s">
        <v>32680</v>
      </c>
      <c r="K2685" t="s">
        <v>40287</v>
      </c>
      <c r="M2685" t="s">
        <v>41779</v>
      </c>
      <c r="N2685" t="s">
        <v>44759</v>
      </c>
      <c r="O2685" t="s">
        <v>44760</v>
      </c>
      <c r="P2685">
        <v>0</v>
      </c>
      <c r="Q2685">
        <v>1</v>
      </c>
      <c r="R2685" t="s">
        <v>44763</v>
      </c>
      <c r="S2685" t="s">
        <v>44876</v>
      </c>
      <c r="T2685" t="s">
        <v>46389</v>
      </c>
      <c r="U2685" t="s">
        <v>49223</v>
      </c>
      <c r="W2685" t="s">
        <v>41779</v>
      </c>
      <c r="X2685" t="s">
        <v>44768</v>
      </c>
    </row>
    <row r="2686" spans="1:24">
      <c r="A2686">
        <f>HYPERLINK("https://www.philgeps.gov.ph/GEPSNONPILOT/Tender/SplashBidNoticeAbstractUI.aspx?menuIndex=3&amp;refID=7142598&amp;Result=3","7142598")</f>
        <v>0</v>
      </c>
      <c r="B2686" t="s">
        <v>869</v>
      </c>
      <c r="C2686" t="s">
        <v>6339</v>
      </c>
      <c r="D2686" t="s">
        <v>17988</v>
      </c>
      <c r="E2686" t="s">
        <v>20489</v>
      </c>
      <c r="F2686" t="s">
        <v>30900</v>
      </c>
      <c r="G2686" t="s">
        <v>30907</v>
      </c>
      <c r="H2686" t="s">
        <v>30915</v>
      </c>
      <c r="I2686" t="s">
        <v>30919</v>
      </c>
      <c r="J2686" t="s">
        <v>32992</v>
      </c>
      <c r="K2686" t="s">
        <v>40377</v>
      </c>
      <c r="M2686" t="s">
        <v>41442</v>
      </c>
      <c r="N2686" t="s">
        <v>44759</v>
      </c>
      <c r="O2686" t="s">
        <v>44760</v>
      </c>
      <c r="P2686">
        <v>0</v>
      </c>
      <c r="Q2686">
        <v>0</v>
      </c>
      <c r="R2686" t="s">
        <v>44763</v>
      </c>
      <c r="S2686" t="s">
        <v>44876</v>
      </c>
      <c r="T2686" t="s">
        <v>46418</v>
      </c>
      <c r="U2686" t="s">
        <v>49224</v>
      </c>
      <c r="W2686" t="s">
        <v>41442</v>
      </c>
      <c r="X2686" t="s">
        <v>44768</v>
      </c>
    </row>
    <row r="2687" spans="1:24">
      <c r="A2687">
        <f>HYPERLINK("https://www.philgeps.gov.ph/GEPSNONPILOT/Tender/SplashBidNoticeAbstractUI.aspx?menuIndex=3&amp;refID=7140406&amp;Result=3","7140406")</f>
        <v>0</v>
      </c>
      <c r="B2687" t="s">
        <v>1175</v>
      </c>
      <c r="C2687" t="s">
        <v>6340</v>
      </c>
      <c r="D2687" t="s">
        <v>17961</v>
      </c>
      <c r="E2687" t="s">
        <v>18306</v>
      </c>
      <c r="F2687" t="s">
        <v>30900</v>
      </c>
      <c r="G2687" t="s">
        <v>30909</v>
      </c>
      <c r="H2687" t="s">
        <v>30917</v>
      </c>
      <c r="I2687" t="s">
        <v>8365</v>
      </c>
      <c r="J2687" t="s">
        <v>32993</v>
      </c>
      <c r="K2687" t="s">
        <v>40288</v>
      </c>
      <c r="M2687" t="s">
        <v>41782</v>
      </c>
      <c r="N2687" t="s">
        <v>44759</v>
      </c>
      <c r="O2687" t="s">
        <v>44760</v>
      </c>
      <c r="P2687">
        <v>0</v>
      </c>
      <c r="Q2687">
        <v>1</v>
      </c>
      <c r="R2687" t="s">
        <v>44763</v>
      </c>
      <c r="S2687" t="s">
        <v>44876</v>
      </c>
      <c r="T2687" t="s">
        <v>46398</v>
      </c>
      <c r="U2687" t="s">
        <v>49225</v>
      </c>
      <c r="V2687" t="s">
        <v>59420</v>
      </c>
      <c r="W2687" t="s">
        <v>41782</v>
      </c>
      <c r="X2687" t="s">
        <v>44769</v>
      </c>
    </row>
    <row r="2688" spans="1:24">
      <c r="A2688">
        <f>HYPERLINK("https://www.philgeps.gov.ph/GEPSNONPILOT/Tender/SplashBidNoticeAbstractUI.aspx?menuIndex=3&amp;refID=7142480&amp;Result=3","7142480")</f>
        <v>0</v>
      </c>
      <c r="B2688" t="s">
        <v>33</v>
      </c>
      <c r="C2688" t="s">
        <v>6341</v>
      </c>
      <c r="D2688" t="s">
        <v>17960</v>
      </c>
      <c r="E2688" t="s">
        <v>20490</v>
      </c>
      <c r="F2688" t="s">
        <v>30900</v>
      </c>
      <c r="G2688" t="s">
        <v>30910</v>
      </c>
      <c r="H2688" t="s">
        <v>30916</v>
      </c>
      <c r="I2688" t="s">
        <v>30922</v>
      </c>
      <c r="J2688" t="s">
        <v>32994</v>
      </c>
      <c r="K2688" t="s">
        <v>40286</v>
      </c>
      <c r="M2688" t="s">
        <v>40579</v>
      </c>
      <c r="N2688" t="s">
        <v>44759</v>
      </c>
      <c r="O2688" t="s">
        <v>44760</v>
      </c>
      <c r="P2688">
        <v>0</v>
      </c>
      <c r="Q2688">
        <v>1</v>
      </c>
      <c r="R2688" t="s">
        <v>44763</v>
      </c>
      <c r="S2688" t="s">
        <v>44876</v>
      </c>
      <c r="T2688" t="s">
        <v>46602</v>
      </c>
      <c r="U2688" t="s">
        <v>49226</v>
      </c>
      <c r="W2688" t="s">
        <v>40579</v>
      </c>
      <c r="X2688" t="s">
        <v>44768</v>
      </c>
    </row>
    <row r="2689" spans="1:24">
      <c r="A2689">
        <f>HYPERLINK("https://www.philgeps.gov.ph/GEPSNONPILOT/Tender/SplashBidNoticeAbstractUI.aspx?menuIndex=3&amp;refID=7142497&amp;Result=3","7142497")</f>
        <v>0</v>
      </c>
      <c r="B2689" t="s">
        <v>869</v>
      </c>
      <c r="C2689" t="s">
        <v>6342</v>
      </c>
      <c r="D2689" t="s">
        <v>17988</v>
      </c>
      <c r="E2689" t="s">
        <v>20491</v>
      </c>
      <c r="F2689" t="s">
        <v>30900</v>
      </c>
      <c r="G2689" t="s">
        <v>30907</v>
      </c>
      <c r="H2689" t="s">
        <v>30916</v>
      </c>
      <c r="I2689" t="s">
        <v>8123</v>
      </c>
      <c r="J2689" t="s">
        <v>32995</v>
      </c>
      <c r="K2689" t="s">
        <v>40283</v>
      </c>
      <c r="M2689" t="s">
        <v>41442</v>
      </c>
      <c r="N2689" t="s">
        <v>44759</v>
      </c>
      <c r="O2689" t="s">
        <v>44760</v>
      </c>
      <c r="P2689">
        <v>0</v>
      </c>
      <c r="Q2689">
        <v>0</v>
      </c>
      <c r="R2689" t="s">
        <v>44763</v>
      </c>
      <c r="S2689" t="s">
        <v>44876</v>
      </c>
      <c r="T2689" t="s">
        <v>46418</v>
      </c>
      <c r="U2689" t="s">
        <v>49227</v>
      </c>
      <c r="W2689" t="s">
        <v>41442</v>
      </c>
      <c r="X2689" t="s">
        <v>44768</v>
      </c>
    </row>
    <row r="2690" spans="1:24">
      <c r="A2690">
        <f>HYPERLINK("https://www.philgeps.gov.ph/GEPSNONPILOT/Tender/SplashBidNoticeAbstractUI.aspx?menuIndex=3&amp;refID=7136987&amp;Result=3","7136987")</f>
        <v>0</v>
      </c>
      <c r="B2690" t="s">
        <v>1160</v>
      </c>
      <c r="C2690" t="s">
        <v>6343</v>
      </c>
      <c r="D2690" t="s">
        <v>17996</v>
      </c>
      <c r="E2690" t="s">
        <v>20492</v>
      </c>
      <c r="F2690" t="s">
        <v>30900</v>
      </c>
      <c r="G2690" t="s">
        <v>30907</v>
      </c>
      <c r="H2690" t="s">
        <v>30915</v>
      </c>
      <c r="I2690" t="s">
        <v>30922</v>
      </c>
      <c r="J2690" t="s">
        <v>31183</v>
      </c>
      <c r="K2690" t="s">
        <v>40283</v>
      </c>
      <c r="M2690" t="s">
        <v>41768</v>
      </c>
      <c r="N2690" t="s">
        <v>44759</v>
      </c>
      <c r="O2690" t="s">
        <v>44760</v>
      </c>
      <c r="P2690">
        <v>0</v>
      </c>
      <c r="Q2690">
        <v>0</v>
      </c>
      <c r="R2690" t="s">
        <v>44763</v>
      </c>
      <c r="S2690" t="s">
        <v>44876</v>
      </c>
      <c r="T2690" t="s">
        <v>46357</v>
      </c>
      <c r="U2690" t="s">
        <v>49228</v>
      </c>
      <c r="W2690" t="s">
        <v>41768</v>
      </c>
      <c r="X2690" t="s">
        <v>44770</v>
      </c>
    </row>
    <row r="2691" spans="1:24">
      <c r="A2691">
        <f>HYPERLINK("https://www.philgeps.gov.ph/GEPSNONPILOT/Tender/SplashBidNoticeAbstractUI.aspx?menuIndex=3&amp;refID=7142379&amp;Result=3","7142379")</f>
        <v>0</v>
      </c>
      <c r="B2691" t="s">
        <v>1169</v>
      </c>
      <c r="C2691" t="s">
        <v>6344</v>
      </c>
      <c r="D2691" t="s">
        <v>17965</v>
      </c>
      <c r="E2691" t="s">
        <v>20493</v>
      </c>
      <c r="F2691" t="s">
        <v>30900</v>
      </c>
      <c r="G2691" t="s">
        <v>30907</v>
      </c>
      <c r="H2691" t="s">
        <v>30916</v>
      </c>
      <c r="I2691" t="s">
        <v>30927</v>
      </c>
      <c r="J2691" t="s">
        <v>32996</v>
      </c>
      <c r="K2691" t="s">
        <v>40284</v>
      </c>
      <c r="M2691" t="s">
        <v>41776</v>
      </c>
      <c r="N2691" t="s">
        <v>44759</v>
      </c>
      <c r="O2691" t="s">
        <v>44760</v>
      </c>
      <c r="P2691">
        <v>0</v>
      </c>
      <c r="Q2691">
        <v>0</v>
      </c>
      <c r="R2691" t="s">
        <v>44763</v>
      </c>
      <c r="S2691" t="s">
        <v>44876</v>
      </c>
      <c r="T2691" t="s">
        <v>46412</v>
      </c>
      <c r="U2691" t="s">
        <v>49229</v>
      </c>
      <c r="W2691" t="s">
        <v>41776</v>
      </c>
      <c r="X2691" t="s">
        <v>44768</v>
      </c>
    </row>
    <row r="2692" spans="1:24">
      <c r="A2692">
        <f>HYPERLINK("https://www.philgeps.gov.ph/GEPSNONPILOT/Tender/SplashBidNoticeAbstractUI.aspx?menuIndex=3&amp;refID=7142373&amp;Result=3","7142373")</f>
        <v>0</v>
      </c>
      <c r="B2692" t="s">
        <v>1172</v>
      </c>
      <c r="C2692" t="s">
        <v>6345</v>
      </c>
      <c r="D2692" t="s">
        <v>18035</v>
      </c>
      <c r="E2692" t="s">
        <v>20494</v>
      </c>
      <c r="F2692" t="s">
        <v>30900</v>
      </c>
      <c r="G2692" t="s">
        <v>30910</v>
      </c>
      <c r="H2692" t="s">
        <v>30916</v>
      </c>
      <c r="I2692" t="s">
        <v>4545</v>
      </c>
      <c r="J2692" t="s">
        <v>32997</v>
      </c>
      <c r="K2692" t="s">
        <v>40287</v>
      </c>
      <c r="M2692" t="s">
        <v>41779</v>
      </c>
      <c r="N2692" t="s">
        <v>44759</v>
      </c>
      <c r="O2692" t="s">
        <v>44760</v>
      </c>
      <c r="P2692">
        <v>0</v>
      </c>
      <c r="Q2692">
        <v>2</v>
      </c>
      <c r="R2692" t="s">
        <v>44763</v>
      </c>
      <c r="S2692" t="s">
        <v>44876</v>
      </c>
      <c r="T2692" t="s">
        <v>46400</v>
      </c>
      <c r="U2692" t="s">
        <v>49230</v>
      </c>
      <c r="W2692" t="s">
        <v>41779</v>
      </c>
      <c r="X2692" t="s">
        <v>44768</v>
      </c>
    </row>
    <row r="2693" spans="1:24">
      <c r="A2693">
        <f>HYPERLINK("https://www.philgeps.gov.ph/GEPSNONPILOT/Tender/SplashBidNoticeAbstractUI.aspx?menuIndex=3&amp;refID=7142348&amp;Result=3","7142348")</f>
        <v>0</v>
      </c>
      <c r="B2693" t="s">
        <v>1169</v>
      </c>
      <c r="C2693" t="s">
        <v>6346</v>
      </c>
      <c r="D2693" t="s">
        <v>17965</v>
      </c>
      <c r="E2693" t="s">
        <v>20495</v>
      </c>
      <c r="F2693" t="s">
        <v>30900</v>
      </c>
      <c r="G2693" t="s">
        <v>30907</v>
      </c>
      <c r="H2693" t="s">
        <v>30916</v>
      </c>
      <c r="I2693" t="s">
        <v>30949</v>
      </c>
      <c r="J2693" t="s">
        <v>31105</v>
      </c>
      <c r="K2693" t="s">
        <v>40284</v>
      </c>
      <c r="M2693" t="s">
        <v>41776</v>
      </c>
      <c r="N2693" t="s">
        <v>44759</v>
      </c>
      <c r="O2693" t="s">
        <v>44760</v>
      </c>
      <c r="P2693">
        <v>0</v>
      </c>
      <c r="Q2693">
        <v>1</v>
      </c>
      <c r="R2693" t="s">
        <v>44763</v>
      </c>
      <c r="S2693" t="s">
        <v>44876</v>
      </c>
      <c r="T2693" t="s">
        <v>46412</v>
      </c>
      <c r="U2693" t="s">
        <v>49231</v>
      </c>
      <c r="W2693" t="s">
        <v>41776</v>
      </c>
      <c r="X2693" t="s">
        <v>44768</v>
      </c>
    </row>
    <row r="2694" spans="1:24">
      <c r="A2694">
        <f>HYPERLINK("https://www.philgeps.gov.ph/GEPSNONPILOT/Tender/SplashBidNoticeAbstractUI.aspx?menuIndex=3&amp;refID=7142346&amp;Result=3","7142346")</f>
        <v>0</v>
      </c>
      <c r="B2694" t="s">
        <v>1172</v>
      </c>
      <c r="C2694" t="s">
        <v>6347</v>
      </c>
      <c r="D2694" t="s">
        <v>18035</v>
      </c>
      <c r="E2694" t="s">
        <v>20496</v>
      </c>
      <c r="F2694" t="s">
        <v>30900</v>
      </c>
      <c r="G2694" t="s">
        <v>30910</v>
      </c>
      <c r="H2694" t="s">
        <v>30916</v>
      </c>
      <c r="I2694" t="s">
        <v>4142</v>
      </c>
      <c r="J2694" t="s">
        <v>32998</v>
      </c>
      <c r="K2694" t="s">
        <v>40287</v>
      </c>
      <c r="M2694" t="s">
        <v>41779</v>
      </c>
      <c r="N2694" t="s">
        <v>44759</v>
      </c>
      <c r="O2694" t="s">
        <v>44760</v>
      </c>
      <c r="P2694">
        <v>0</v>
      </c>
      <c r="Q2694">
        <v>1</v>
      </c>
      <c r="R2694" t="s">
        <v>44763</v>
      </c>
      <c r="S2694" t="s">
        <v>44876</v>
      </c>
      <c r="T2694" t="s">
        <v>46400</v>
      </c>
      <c r="U2694" t="s">
        <v>46963</v>
      </c>
      <c r="W2694" t="s">
        <v>41779</v>
      </c>
      <c r="X2694" t="s">
        <v>44768</v>
      </c>
    </row>
    <row r="2695" spans="1:24">
      <c r="A2695">
        <f>HYPERLINK("https://www.philgeps.gov.ph/GEPSNONPILOT/Tender/SplashBidNoticeAbstractUI.aspx?menuIndex=3&amp;refID=7142614&amp;Result=3","7142614")</f>
        <v>0</v>
      </c>
      <c r="B2695" t="s">
        <v>865</v>
      </c>
      <c r="C2695" t="s">
        <v>6348</v>
      </c>
      <c r="D2695" t="s">
        <v>18012</v>
      </c>
      <c r="E2695" t="s">
        <v>20497</v>
      </c>
      <c r="F2695" t="s">
        <v>30900</v>
      </c>
      <c r="G2695" t="s">
        <v>30907</v>
      </c>
      <c r="H2695" t="s">
        <v>30916</v>
      </c>
      <c r="I2695" t="s">
        <v>8123</v>
      </c>
      <c r="J2695" t="s">
        <v>32999</v>
      </c>
      <c r="K2695" t="s">
        <v>40284</v>
      </c>
      <c r="M2695" t="s">
        <v>41438</v>
      </c>
      <c r="N2695" t="s">
        <v>44759</v>
      </c>
      <c r="O2695" t="s">
        <v>44760</v>
      </c>
      <c r="P2695">
        <v>0</v>
      </c>
      <c r="Q2695">
        <v>1</v>
      </c>
      <c r="R2695" t="s">
        <v>44763</v>
      </c>
      <c r="S2695" t="s">
        <v>44876</v>
      </c>
      <c r="T2695" t="s">
        <v>46409</v>
      </c>
      <c r="U2695" t="s">
        <v>49232</v>
      </c>
      <c r="V2695" t="s">
        <v>59322</v>
      </c>
      <c r="W2695" t="s">
        <v>41438</v>
      </c>
      <c r="X2695" t="s">
        <v>44768</v>
      </c>
    </row>
    <row r="2696" spans="1:24">
      <c r="A2696">
        <f>HYPERLINK("https://www.philgeps.gov.ph/GEPSNONPILOT/Tender/SplashBidNoticeAbstractUI.aspx?menuIndex=3&amp;refID=7142230&amp;Result=3","7142230")</f>
        <v>0</v>
      </c>
      <c r="B2696" t="s">
        <v>1172</v>
      </c>
      <c r="C2696" t="s">
        <v>6349</v>
      </c>
      <c r="D2696" t="s">
        <v>18035</v>
      </c>
      <c r="E2696" t="s">
        <v>20498</v>
      </c>
      <c r="F2696" t="s">
        <v>30900</v>
      </c>
      <c r="G2696" t="s">
        <v>30910</v>
      </c>
      <c r="H2696" t="s">
        <v>30916</v>
      </c>
      <c r="I2696" t="s">
        <v>4142</v>
      </c>
      <c r="J2696" t="s">
        <v>33000</v>
      </c>
      <c r="K2696" t="s">
        <v>40287</v>
      </c>
      <c r="M2696" t="s">
        <v>41779</v>
      </c>
      <c r="N2696" t="s">
        <v>44759</v>
      </c>
      <c r="O2696" t="s">
        <v>44760</v>
      </c>
      <c r="P2696">
        <v>0</v>
      </c>
      <c r="Q2696">
        <v>0</v>
      </c>
      <c r="R2696" t="s">
        <v>44763</v>
      </c>
      <c r="S2696" t="s">
        <v>44876</v>
      </c>
      <c r="T2696" t="s">
        <v>46400</v>
      </c>
      <c r="U2696" t="s">
        <v>49233</v>
      </c>
      <c r="W2696" t="s">
        <v>41779</v>
      </c>
      <c r="X2696" t="s">
        <v>44768</v>
      </c>
    </row>
    <row r="2697" spans="1:24">
      <c r="A2697">
        <f>HYPERLINK("https://www.philgeps.gov.ph/GEPSNONPILOT/Tender/SplashBidNoticeAbstractUI.aspx?menuIndex=3&amp;refID=7143277&amp;Result=3","7143277")</f>
        <v>0</v>
      </c>
      <c r="B2697" t="s">
        <v>1176</v>
      </c>
      <c r="C2697" t="s">
        <v>6350</v>
      </c>
      <c r="D2697" t="s">
        <v>17971</v>
      </c>
      <c r="E2697" t="s">
        <v>20499</v>
      </c>
      <c r="F2697" t="s">
        <v>30900</v>
      </c>
      <c r="G2697" t="s">
        <v>30907</v>
      </c>
      <c r="H2697" t="s">
        <v>30916</v>
      </c>
      <c r="I2697" t="s">
        <v>8123</v>
      </c>
      <c r="J2697" t="s">
        <v>33001</v>
      </c>
      <c r="K2697" t="s">
        <v>40286</v>
      </c>
      <c r="M2697" t="s">
        <v>41783</v>
      </c>
      <c r="N2697" t="s">
        <v>44759</v>
      </c>
      <c r="O2697" t="s">
        <v>44760</v>
      </c>
      <c r="P2697">
        <v>0</v>
      </c>
      <c r="Q2697">
        <v>0</v>
      </c>
      <c r="R2697" t="s">
        <v>44763</v>
      </c>
      <c r="S2697" t="s">
        <v>44876</v>
      </c>
      <c r="T2697" t="s">
        <v>46390</v>
      </c>
      <c r="U2697" t="s">
        <v>49234</v>
      </c>
      <c r="W2697" t="s">
        <v>41783</v>
      </c>
      <c r="X2697" t="s">
        <v>44768</v>
      </c>
    </row>
    <row r="2698" spans="1:24">
      <c r="A2698">
        <f>HYPERLINK("https://www.philgeps.gov.ph/GEPSNONPILOT/Tender/SplashBidNoticeAbstractUI.aspx?menuIndex=3&amp;refID=7142393&amp;Result=3","7142393")</f>
        <v>0</v>
      </c>
      <c r="B2698" t="s">
        <v>1177</v>
      </c>
      <c r="C2698" t="s">
        <v>6351</v>
      </c>
      <c r="D2698" t="s">
        <v>17975</v>
      </c>
      <c r="E2698" t="s">
        <v>20500</v>
      </c>
      <c r="F2698" t="s">
        <v>30900</v>
      </c>
      <c r="G2698" t="s">
        <v>30908</v>
      </c>
      <c r="H2698" t="s">
        <v>30916</v>
      </c>
      <c r="I2698" t="s">
        <v>30977</v>
      </c>
      <c r="J2698" t="s">
        <v>31050</v>
      </c>
      <c r="K2698" t="s">
        <v>40286</v>
      </c>
      <c r="M2698" t="s">
        <v>41784</v>
      </c>
      <c r="N2698" t="s">
        <v>44759</v>
      </c>
      <c r="O2698" t="s">
        <v>44760</v>
      </c>
      <c r="P2698">
        <v>0</v>
      </c>
      <c r="Q2698">
        <v>2</v>
      </c>
      <c r="R2698" t="s">
        <v>44763</v>
      </c>
      <c r="S2698" t="s">
        <v>44876</v>
      </c>
      <c r="T2698" t="s">
        <v>46383</v>
      </c>
      <c r="U2698" t="s">
        <v>49235</v>
      </c>
      <c r="W2698" t="s">
        <v>41784</v>
      </c>
      <c r="X2698" t="s">
        <v>44768</v>
      </c>
    </row>
    <row r="2699" spans="1:24">
      <c r="A2699">
        <f>HYPERLINK("https://www.philgeps.gov.ph/GEPSNONPILOT/Tender/SplashBidNoticeAbstractUI.aspx?menuIndex=3&amp;refID=7142559&amp;Result=3","7142559")</f>
        <v>0</v>
      </c>
      <c r="B2699" t="s">
        <v>865</v>
      </c>
      <c r="C2699" t="s">
        <v>6348</v>
      </c>
      <c r="D2699" t="s">
        <v>18012</v>
      </c>
      <c r="E2699" t="s">
        <v>20501</v>
      </c>
      <c r="F2699" t="s">
        <v>30900</v>
      </c>
      <c r="G2699" t="s">
        <v>30907</v>
      </c>
      <c r="H2699" t="s">
        <v>30916</v>
      </c>
      <c r="I2699" t="s">
        <v>30922</v>
      </c>
      <c r="J2699" t="s">
        <v>33002</v>
      </c>
      <c r="K2699" t="s">
        <v>40284</v>
      </c>
      <c r="M2699" t="s">
        <v>41438</v>
      </c>
      <c r="N2699" t="s">
        <v>44759</v>
      </c>
      <c r="O2699" t="s">
        <v>44760</v>
      </c>
      <c r="P2699">
        <v>0</v>
      </c>
      <c r="Q2699">
        <v>0</v>
      </c>
      <c r="R2699" t="s">
        <v>44763</v>
      </c>
      <c r="S2699" t="s">
        <v>44876</v>
      </c>
      <c r="T2699" t="s">
        <v>46409</v>
      </c>
      <c r="U2699" t="s">
        <v>49236</v>
      </c>
      <c r="V2699" t="s">
        <v>59322</v>
      </c>
      <c r="W2699" t="s">
        <v>41438</v>
      </c>
      <c r="X2699" t="s">
        <v>44768</v>
      </c>
    </row>
    <row r="2700" spans="1:24">
      <c r="A2700">
        <f>HYPERLINK("https://www.philgeps.gov.ph/GEPSNONPILOT/Tender/SplashBidNoticeAbstractUI.aspx?menuIndex=3&amp;refID=7143325&amp;Result=3","7143325")</f>
        <v>0</v>
      </c>
      <c r="B2700" t="s">
        <v>1164</v>
      </c>
      <c r="C2700" t="s">
        <v>6352</v>
      </c>
      <c r="D2700" t="s">
        <v>17955</v>
      </c>
      <c r="E2700" t="s">
        <v>20502</v>
      </c>
      <c r="F2700" t="s">
        <v>30900</v>
      </c>
      <c r="G2700" t="s">
        <v>30907</v>
      </c>
      <c r="H2700" t="s">
        <v>30916</v>
      </c>
      <c r="I2700" t="s">
        <v>30933</v>
      </c>
      <c r="J2700" t="s">
        <v>33003</v>
      </c>
      <c r="K2700" t="s">
        <v>40289</v>
      </c>
      <c r="M2700" t="s">
        <v>41771</v>
      </c>
      <c r="N2700" t="s">
        <v>44759</v>
      </c>
      <c r="O2700" t="s">
        <v>44760</v>
      </c>
      <c r="P2700">
        <v>0</v>
      </c>
      <c r="Q2700">
        <v>7</v>
      </c>
      <c r="R2700" t="s">
        <v>44763</v>
      </c>
      <c r="S2700" t="s">
        <v>44876</v>
      </c>
      <c r="T2700" t="s">
        <v>46408</v>
      </c>
      <c r="U2700" t="s">
        <v>49237</v>
      </c>
      <c r="V2700" t="s">
        <v>59415</v>
      </c>
      <c r="W2700" t="s">
        <v>41771</v>
      </c>
      <c r="X2700" t="s">
        <v>44768</v>
      </c>
    </row>
    <row r="2701" spans="1:24">
      <c r="A2701">
        <f>HYPERLINK("https://www.philgeps.gov.ph/GEPSNONPILOT/Tender/SplashBidNoticeAbstractUI.aspx?menuIndex=3&amp;refID=7142378&amp;Result=3","7142378")</f>
        <v>0</v>
      </c>
      <c r="B2701" t="s">
        <v>869</v>
      </c>
      <c r="C2701" t="s">
        <v>6353</v>
      </c>
      <c r="D2701" t="s">
        <v>17988</v>
      </c>
      <c r="E2701" t="s">
        <v>20503</v>
      </c>
      <c r="F2701" t="s">
        <v>30900</v>
      </c>
      <c r="G2701" t="s">
        <v>30907</v>
      </c>
      <c r="H2701" t="s">
        <v>30916</v>
      </c>
      <c r="I2701" t="s">
        <v>8123</v>
      </c>
      <c r="J2701" t="s">
        <v>33004</v>
      </c>
      <c r="K2701" t="s">
        <v>40283</v>
      </c>
      <c r="M2701" t="s">
        <v>41442</v>
      </c>
      <c r="N2701" t="s">
        <v>44759</v>
      </c>
      <c r="O2701" t="s">
        <v>44760</v>
      </c>
      <c r="P2701">
        <v>0</v>
      </c>
      <c r="Q2701">
        <v>0</v>
      </c>
      <c r="R2701" t="s">
        <v>44763</v>
      </c>
      <c r="S2701" t="s">
        <v>44876</v>
      </c>
      <c r="T2701" t="s">
        <v>46418</v>
      </c>
      <c r="U2701" t="s">
        <v>49238</v>
      </c>
      <c r="W2701" t="s">
        <v>41442</v>
      </c>
      <c r="X2701" t="s">
        <v>44768</v>
      </c>
    </row>
    <row r="2702" spans="1:24">
      <c r="A2702">
        <f>HYPERLINK("https://www.philgeps.gov.ph/GEPSNONPILOT/Tender/SplashBidNoticeAbstractUI.aspx?menuIndex=3&amp;refID=7142666&amp;Result=3","7142666")</f>
        <v>0</v>
      </c>
      <c r="B2702" t="s">
        <v>865</v>
      </c>
      <c r="C2702" t="s">
        <v>6354</v>
      </c>
      <c r="D2702" t="s">
        <v>18012</v>
      </c>
      <c r="E2702" t="s">
        <v>20504</v>
      </c>
      <c r="F2702" t="s">
        <v>30900</v>
      </c>
      <c r="G2702" t="s">
        <v>30907</v>
      </c>
      <c r="H2702" t="s">
        <v>30915</v>
      </c>
      <c r="I2702" t="s">
        <v>30919</v>
      </c>
      <c r="J2702" t="s">
        <v>31297</v>
      </c>
      <c r="K2702" t="s">
        <v>40280</v>
      </c>
      <c r="M2702" t="s">
        <v>41438</v>
      </c>
      <c r="N2702" t="s">
        <v>44759</v>
      </c>
      <c r="O2702" t="s">
        <v>44760</v>
      </c>
      <c r="P2702">
        <v>0</v>
      </c>
      <c r="Q2702">
        <v>1</v>
      </c>
      <c r="R2702" t="s">
        <v>44763</v>
      </c>
      <c r="S2702" t="s">
        <v>44876</v>
      </c>
      <c r="T2702" t="s">
        <v>46380</v>
      </c>
      <c r="U2702" t="s">
        <v>49239</v>
      </c>
      <c r="V2702" t="s">
        <v>59421</v>
      </c>
      <c r="W2702" t="s">
        <v>41438</v>
      </c>
      <c r="X2702" t="s">
        <v>44768</v>
      </c>
    </row>
    <row r="2703" spans="1:24">
      <c r="A2703">
        <f>HYPERLINK("https://www.philgeps.gov.ph/GEPSNONPILOT/Tender/SplashBidNoticeAbstractUI.aspx?menuIndex=3&amp;refID=7142254&amp;Result=3","7142254")</f>
        <v>0</v>
      </c>
      <c r="B2703" t="s">
        <v>1172</v>
      </c>
      <c r="C2703" t="s">
        <v>6355</v>
      </c>
      <c r="D2703" t="s">
        <v>18035</v>
      </c>
      <c r="E2703" t="s">
        <v>20505</v>
      </c>
      <c r="F2703" t="s">
        <v>30900</v>
      </c>
      <c r="G2703" t="s">
        <v>30908</v>
      </c>
      <c r="H2703" t="s">
        <v>30916</v>
      </c>
      <c r="I2703" t="s">
        <v>10847</v>
      </c>
      <c r="J2703" t="s">
        <v>33005</v>
      </c>
      <c r="K2703" t="s">
        <v>40287</v>
      </c>
      <c r="M2703" t="s">
        <v>41779</v>
      </c>
      <c r="N2703" t="s">
        <v>44759</v>
      </c>
      <c r="O2703" t="s">
        <v>44760</v>
      </c>
      <c r="P2703">
        <v>0</v>
      </c>
      <c r="Q2703">
        <v>0</v>
      </c>
      <c r="R2703" t="s">
        <v>44763</v>
      </c>
      <c r="S2703" t="s">
        <v>44876</v>
      </c>
      <c r="T2703" t="s">
        <v>46400</v>
      </c>
      <c r="U2703" t="s">
        <v>49240</v>
      </c>
      <c r="W2703" t="s">
        <v>41779</v>
      </c>
      <c r="X2703" t="s">
        <v>44768</v>
      </c>
    </row>
    <row r="2704" spans="1:24">
      <c r="A2704">
        <f>HYPERLINK("https://www.philgeps.gov.ph/GEPSNONPILOT/Tender/SplashBidNoticeAbstractUI.aspx?menuIndex=3&amp;refID=7143267&amp;Result=3","7143267")</f>
        <v>0</v>
      </c>
      <c r="B2704" t="s">
        <v>1176</v>
      </c>
      <c r="C2704" t="s">
        <v>3817</v>
      </c>
      <c r="D2704" t="s">
        <v>17971</v>
      </c>
      <c r="E2704" t="s">
        <v>18498</v>
      </c>
      <c r="F2704" t="s">
        <v>30900</v>
      </c>
      <c r="G2704" t="s">
        <v>30907</v>
      </c>
      <c r="H2704" t="s">
        <v>30916</v>
      </c>
      <c r="I2704" t="s">
        <v>30923</v>
      </c>
      <c r="J2704" t="s">
        <v>33006</v>
      </c>
      <c r="K2704" t="s">
        <v>40293</v>
      </c>
      <c r="M2704" t="s">
        <v>41783</v>
      </c>
      <c r="N2704" t="s">
        <v>44759</v>
      </c>
      <c r="O2704" t="s">
        <v>44760</v>
      </c>
      <c r="P2704">
        <v>0</v>
      </c>
      <c r="Q2704">
        <v>11</v>
      </c>
      <c r="R2704" t="s">
        <v>44763</v>
      </c>
      <c r="S2704" t="s">
        <v>44876</v>
      </c>
      <c r="T2704" t="s">
        <v>46390</v>
      </c>
      <c r="U2704" t="s">
        <v>49241</v>
      </c>
      <c r="W2704" t="s">
        <v>41783</v>
      </c>
      <c r="X2704" t="s">
        <v>44768</v>
      </c>
    </row>
    <row r="2705" spans="1:24">
      <c r="A2705">
        <f>HYPERLINK("https://www.philgeps.gov.ph/GEPSNONPILOT/Tender/SplashBidNoticeAbstractUI.aspx?menuIndex=3&amp;refID=7142798&amp;Result=3","7142798")</f>
        <v>0</v>
      </c>
      <c r="B2705" t="s">
        <v>1177</v>
      </c>
      <c r="C2705" t="s">
        <v>6356</v>
      </c>
      <c r="D2705" t="s">
        <v>17975</v>
      </c>
      <c r="E2705" t="s">
        <v>20506</v>
      </c>
      <c r="F2705" t="s">
        <v>30900</v>
      </c>
      <c r="G2705" t="s">
        <v>30908</v>
      </c>
      <c r="H2705" t="s">
        <v>30916</v>
      </c>
      <c r="I2705" t="s">
        <v>30977</v>
      </c>
      <c r="J2705" t="s">
        <v>33007</v>
      </c>
      <c r="K2705" t="s">
        <v>40286</v>
      </c>
      <c r="M2705" t="s">
        <v>41784</v>
      </c>
      <c r="N2705" t="s">
        <v>44759</v>
      </c>
      <c r="O2705" t="s">
        <v>44760</v>
      </c>
      <c r="P2705">
        <v>0</v>
      </c>
      <c r="Q2705">
        <v>3</v>
      </c>
      <c r="R2705" t="s">
        <v>44763</v>
      </c>
      <c r="S2705" t="s">
        <v>44876</v>
      </c>
      <c r="T2705" t="s">
        <v>46383</v>
      </c>
      <c r="U2705" t="s">
        <v>49235</v>
      </c>
      <c r="W2705" t="s">
        <v>41784</v>
      </c>
      <c r="X2705" t="s">
        <v>44768</v>
      </c>
    </row>
    <row r="2706" spans="1:24">
      <c r="A2706">
        <f>HYPERLINK("https://www.philgeps.gov.ph/GEPSNONPILOT/Tender/SplashBidNoticeAbstractUI.aspx?menuIndex=3&amp;refID=7143174&amp;Result=3","7143174")</f>
        <v>0</v>
      </c>
      <c r="B2706" t="s">
        <v>1176</v>
      </c>
      <c r="C2706" t="s">
        <v>6357</v>
      </c>
      <c r="D2706" t="s">
        <v>17971</v>
      </c>
      <c r="E2706" t="s">
        <v>20507</v>
      </c>
      <c r="F2706" t="s">
        <v>30900</v>
      </c>
      <c r="G2706" t="s">
        <v>30907</v>
      </c>
      <c r="H2706" t="s">
        <v>30915</v>
      </c>
      <c r="I2706" t="s">
        <v>30919</v>
      </c>
      <c r="J2706" t="s">
        <v>31214</v>
      </c>
      <c r="K2706" t="s">
        <v>40301</v>
      </c>
      <c r="M2706" t="s">
        <v>41783</v>
      </c>
      <c r="N2706" t="s">
        <v>44759</v>
      </c>
      <c r="O2706" t="s">
        <v>44760</v>
      </c>
      <c r="P2706">
        <v>0</v>
      </c>
      <c r="Q2706">
        <v>63</v>
      </c>
      <c r="R2706" t="s">
        <v>44763</v>
      </c>
      <c r="S2706" t="s">
        <v>44876</v>
      </c>
      <c r="T2706" t="s">
        <v>46390</v>
      </c>
      <c r="U2706" t="s">
        <v>49242</v>
      </c>
      <c r="W2706" t="s">
        <v>41783</v>
      </c>
      <c r="X2706" t="s">
        <v>44768</v>
      </c>
    </row>
    <row r="2707" spans="1:24">
      <c r="A2707">
        <f>HYPERLINK("https://www.philgeps.gov.ph/GEPSNONPILOT/Tender/SplashBidNoticeAbstractUI.aspx?menuIndex=3&amp;refID=7143166&amp;Result=3","7143166")</f>
        <v>0</v>
      </c>
      <c r="B2707" t="s">
        <v>1178</v>
      </c>
      <c r="C2707" t="s">
        <v>6358</v>
      </c>
      <c r="D2707" t="s">
        <v>17994</v>
      </c>
      <c r="E2707" t="s">
        <v>20508</v>
      </c>
      <c r="F2707" t="s">
        <v>30900</v>
      </c>
      <c r="G2707" t="s">
        <v>30907</v>
      </c>
      <c r="H2707" t="s">
        <v>30916</v>
      </c>
      <c r="I2707" t="s">
        <v>30933</v>
      </c>
      <c r="J2707" t="s">
        <v>31297</v>
      </c>
      <c r="K2707" t="s">
        <v>40289</v>
      </c>
      <c r="M2707" t="s">
        <v>41785</v>
      </c>
      <c r="N2707" t="s">
        <v>44759</v>
      </c>
      <c r="O2707" t="s">
        <v>44760</v>
      </c>
      <c r="P2707">
        <v>0</v>
      </c>
      <c r="Q2707">
        <v>3</v>
      </c>
      <c r="R2707" t="s">
        <v>44763</v>
      </c>
      <c r="S2707" t="s">
        <v>44876</v>
      </c>
      <c r="T2707" t="s">
        <v>46389</v>
      </c>
      <c r="U2707" t="s">
        <v>49243</v>
      </c>
      <c r="W2707" t="s">
        <v>60854</v>
      </c>
      <c r="X2707" t="s">
        <v>44768</v>
      </c>
    </row>
    <row r="2708" spans="1:24">
      <c r="A2708">
        <f>HYPERLINK("https://www.philgeps.gov.ph/GEPSNONPILOT/Tender/SplashBidNoticeAbstractUI.aspx?menuIndex=3&amp;refID=7143511&amp;Result=3","7143511")</f>
        <v>0</v>
      </c>
      <c r="B2708" t="s">
        <v>144</v>
      </c>
      <c r="C2708" t="s">
        <v>6359</v>
      </c>
      <c r="D2708" t="s">
        <v>17981</v>
      </c>
      <c r="E2708" t="s">
        <v>20509</v>
      </c>
      <c r="F2708" t="s">
        <v>30900</v>
      </c>
      <c r="G2708" t="s">
        <v>30907</v>
      </c>
      <c r="H2708" t="s">
        <v>30916</v>
      </c>
      <c r="I2708" t="s">
        <v>30918</v>
      </c>
      <c r="J2708" t="s">
        <v>31270</v>
      </c>
      <c r="K2708" t="s">
        <v>40286</v>
      </c>
      <c r="M2708" t="s">
        <v>41786</v>
      </c>
      <c r="N2708" t="s">
        <v>44759</v>
      </c>
      <c r="O2708" t="s">
        <v>44760</v>
      </c>
      <c r="P2708">
        <v>0</v>
      </c>
      <c r="Q2708">
        <v>8</v>
      </c>
      <c r="R2708" t="s">
        <v>44763</v>
      </c>
      <c r="S2708" t="s">
        <v>44876</v>
      </c>
      <c r="T2708" t="s">
        <v>46350</v>
      </c>
      <c r="U2708" t="s">
        <v>49244</v>
      </c>
      <c r="W2708" t="s">
        <v>41786</v>
      </c>
      <c r="X2708" t="s">
        <v>44768</v>
      </c>
    </row>
    <row r="2709" spans="1:24">
      <c r="A2709">
        <f>HYPERLINK("https://www.philgeps.gov.ph/GEPSNONPILOT/Tender/SplashBidNoticeAbstractUI.aspx?menuIndex=3&amp;refID=7143110&amp;Result=3","7143110")</f>
        <v>0</v>
      </c>
      <c r="B2709" t="s">
        <v>1176</v>
      </c>
      <c r="C2709" t="s">
        <v>6360</v>
      </c>
      <c r="D2709" t="s">
        <v>17971</v>
      </c>
      <c r="E2709" t="s">
        <v>19415</v>
      </c>
      <c r="F2709" t="s">
        <v>30900</v>
      </c>
      <c r="G2709" t="s">
        <v>30907</v>
      </c>
      <c r="H2709" t="s">
        <v>30916</v>
      </c>
      <c r="I2709" t="s">
        <v>5501</v>
      </c>
      <c r="J2709" t="s">
        <v>33008</v>
      </c>
      <c r="K2709" t="s">
        <v>40293</v>
      </c>
      <c r="M2709" t="s">
        <v>41783</v>
      </c>
      <c r="N2709" t="s">
        <v>44759</v>
      </c>
      <c r="O2709" t="s">
        <v>44760</v>
      </c>
      <c r="P2709">
        <v>0</v>
      </c>
      <c r="Q2709">
        <v>6</v>
      </c>
      <c r="R2709" t="s">
        <v>44763</v>
      </c>
      <c r="S2709" t="s">
        <v>44876</v>
      </c>
      <c r="T2709" t="s">
        <v>46390</v>
      </c>
      <c r="U2709" t="s">
        <v>49245</v>
      </c>
      <c r="W2709" t="s">
        <v>41783</v>
      </c>
      <c r="X2709" t="s">
        <v>44768</v>
      </c>
    </row>
    <row r="2710" spans="1:24">
      <c r="A2710">
        <f>HYPERLINK("https://www.philgeps.gov.ph/GEPSNONPILOT/Tender/SplashBidNoticeAbstractUI.aspx?menuIndex=3&amp;refID=7143007&amp;Result=3","7143007")</f>
        <v>0</v>
      </c>
      <c r="B2710" t="s">
        <v>1169</v>
      </c>
      <c r="C2710" t="s">
        <v>6361</v>
      </c>
      <c r="D2710" t="s">
        <v>17965</v>
      </c>
      <c r="E2710" t="s">
        <v>20510</v>
      </c>
      <c r="F2710" t="s">
        <v>30900</v>
      </c>
      <c r="G2710" t="s">
        <v>30907</v>
      </c>
      <c r="H2710" t="s">
        <v>30916</v>
      </c>
      <c r="I2710" t="s">
        <v>31003</v>
      </c>
      <c r="J2710" t="s">
        <v>33009</v>
      </c>
      <c r="K2710" t="s">
        <v>40284</v>
      </c>
      <c r="M2710" t="s">
        <v>41776</v>
      </c>
      <c r="N2710" t="s">
        <v>44759</v>
      </c>
      <c r="O2710" t="s">
        <v>44760</v>
      </c>
      <c r="P2710">
        <v>0</v>
      </c>
      <c r="Q2710">
        <v>0</v>
      </c>
      <c r="R2710" t="s">
        <v>44763</v>
      </c>
      <c r="S2710" t="s">
        <v>44876</v>
      </c>
      <c r="T2710" t="s">
        <v>46412</v>
      </c>
      <c r="U2710" t="s">
        <v>49246</v>
      </c>
      <c r="V2710" t="s">
        <v>59422</v>
      </c>
      <c r="W2710" t="s">
        <v>41776</v>
      </c>
      <c r="X2710" t="s">
        <v>44768</v>
      </c>
    </row>
    <row r="2711" spans="1:24">
      <c r="A2711">
        <f>HYPERLINK("https://www.philgeps.gov.ph/GEPSNONPILOT/Tender/SplashBidNoticeAbstractUI.aspx?menuIndex=3&amp;refID=7142916&amp;Result=3","7142916")</f>
        <v>0</v>
      </c>
      <c r="B2711" t="s">
        <v>1177</v>
      </c>
      <c r="C2711" t="s">
        <v>6362</v>
      </c>
      <c r="D2711" t="s">
        <v>17975</v>
      </c>
      <c r="E2711" t="s">
        <v>20511</v>
      </c>
      <c r="F2711" t="s">
        <v>30900</v>
      </c>
      <c r="G2711" t="s">
        <v>30908</v>
      </c>
      <c r="H2711" t="s">
        <v>30916</v>
      </c>
      <c r="I2711" t="s">
        <v>4108</v>
      </c>
      <c r="J2711" t="s">
        <v>33010</v>
      </c>
      <c r="K2711" t="s">
        <v>40280</v>
      </c>
      <c r="M2711" t="s">
        <v>41784</v>
      </c>
      <c r="N2711" t="s">
        <v>44759</v>
      </c>
      <c r="O2711" t="s">
        <v>44760</v>
      </c>
      <c r="P2711">
        <v>0</v>
      </c>
      <c r="Q2711">
        <v>1</v>
      </c>
      <c r="R2711" t="s">
        <v>44763</v>
      </c>
      <c r="S2711" t="s">
        <v>44876</v>
      </c>
      <c r="T2711" t="s">
        <v>46383</v>
      </c>
      <c r="U2711" t="s">
        <v>49235</v>
      </c>
      <c r="W2711" t="s">
        <v>41784</v>
      </c>
      <c r="X2711" t="s">
        <v>44768</v>
      </c>
    </row>
    <row r="2712" spans="1:24">
      <c r="A2712">
        <f>HYPERLINK("https://www.philgeps.gov.ph/GEPSNONPILOT/Tender/SplashBidNoticeAbstractUI.aspx?menuIndex=3&amp;refID=7142900&amp;Result=3","7142900")</f>
        <v>0</v>
      </c>
      <c r="B2712" t="s">
        <v>1174</v>
      </c>
      <c r="C2712" t="s">
        <v>6363</v>
      </c>
      <c r="D2712" t="s">
        <v>18016</v>
      </c>
      <c r="E2712" t="s">
        <v>20485</v>
      </c>
      <c r="F2712" t="s">
        <v>30900</v>
      </c>
      <c r="G2712" t="s">
        <v>30907</v>
      </c>
      <c r="H2712" t="s">
        <v>30915</v>
      </c>
      <c r="I2712" t="s">
        <v>30919</v>
      </c>
      <c r="J2712" t="s">
        <v>33011</v>
      </c>
      <c r="K2712" t="s">
        <v>40289</v>
      </c>
      <c r="M2712" t="s">
        <v>41781</v>
      </c>
      <c r="N2712" t="s">
        <v>44759</v>
      </c>
      <c r="O2712" t="s">
        <v>44760</v>
      </c>
      <c r="P2712">
        <v>0</v>
      </c>
      <c r="Q2712">
        <v>1</v>
      </c>
      <c r="R2712" t="s">
        <v>44763</v>
      </c>
      <c r="S2712" t="s">
        <v>44876</v>
      </c>
      <c r="T2712" t="s">
        <v>46465</v>
      </c>
      <c r="U2712" t="s">
        <v>49247</v>
      </c>
      <c r="W2712" t="s">
        <v>41781</v>
      </c>
      <c r="X2712" t="s">
        <v>44768</v>
      </c>
    </row>
    <row r="2713" spans="1:24">
      <c r="A2713">
        <f>HYPERLINK("https://www.philgeps.gov.ph/GEPSNONPILOT/Tender/SplashBidNoticeAbstractUI.aspx?menuIndex=3&amp;refID=7142857&amp;Result=3","7142857")</f>
        <v>0</v>
      </c>
      <c r="B2713" t="s">
        <v>865</v>
      </c>
      <c r="C2713" t="s">
        <v>6364</v>
      </c>
      <c r="D2713" t="s">
        <v>18012</v>
      </c>
      <c r="E2713" t="s">
        <v>20512</v>
      </c>
      <c r="F2713" t="s">
        <v>30900</v>
      </c>
      <c r="G2713" t="s">
        <v>30907</v>
      </c>
      <c r="H2713" t="s">
        <v>30916</v>
      </c>
      <c r="I2713" t="s">
        <v>8123</v>
      </c>
      <c r="J2713" t="s">
        <v>33012</v>
      </c>
      <c r="K2713" t="s">
        <v>40292</v>
      </c>
      <c r="M2713" t="s">
        <v>41438</v>
      </c>
      <c r="N2713" t="s">
        <v>44759</v>
      </c>
      <c r="O2713" t="s">
        <v>44760</v>
      </c>
      <c r="P2713">
        <v>0</v>
      </c>
      <c r="Q2713">
        <v>0</v>
      </c>
      <c r="R2713" t="s">
        <v>44763</v>
      </c>
      <c r="S2713" t="s">
        <v>44876</v>
      </c>
      <c r="T2713" t="s">
        <v>46380</v>
      </c>
      <c r="U2713" t="s">
        <v>49248</v>
      </c>
      <c r="V2713" t="s">
        <v>59322</v>
      </c>
      <c r="W2713" t="s">
        <v>41438</v>
      </c>
      <c r="X2713" t="s">
        <v>44768</v>
      </c>
    </row>
    <row r="2714" spans="1:24">
      <c r="A2714">
        <f>HYPERLINK("https://www.philgeps.gov.ph/GEPSNONPILOT/Tender/SplashBidNoticeAbstractUI.aspx?menuIndex=3&amp;refID=7143284&amp;Result=3","7143284")</f>
        <v>0</v>
      </c>
      <c r="B2714" t="s">
        <v>1176</v>
      </c>
      <c r="C2714" t="s">
        <v>6365</v>
      </c>
      <c r="D2714" t="s">
        <v>17971</v>
      </c>
      <c r="E2714" t="s">
        <v>20513</v>
      </c>
      <c r="F2714" t="s">
        <v>30900</v>
      </c>
      <c r="G2714" t="s">
        <v>30907</v>
      </c>
      <c r="H2714" t="s">
        <v>30916</v>
      </c>
      <c r="I2714" t="s">
        <v>8123</v>
      </c>
      <c r="J2714" t="s">
        <v>33013</v>
      </c>
      <c r="K2714" t="s">
        <v>40293</v>
      </c>
      <c r="M2714" t="s">
        <v>41783</v>
      </c>
      <c r="N2714" t="s">
        <v>44759</v>
      </c>
      <c r="O2714" t="s">
        <v>44760</v>
      </c>
      <c r="P2714">
        <v>0</v>
      </c>
      <c r="Q2714">
        <v>15</v>
      </c>
      <c r="R2714" t="s">
        <v>44763</v>
      </c>
      <c r="S2714" t="s">
        <v>44876</v>
      </c>
      <c r="T2714" t="s">
        <v>46390</v>
      </c>
      <c r="U2714" t="s">
        <v>49234</v>
      </c>
      <c r="W2714" t="s">
        <v>41783</v>
      </c>
      <c r="X2714" t="s">
        <v>44768</v>
      </c>
    </row>
    <row r="2715" spans="1:24">
      <c r="A2715">
        <f>HYPERLINK("https://www.philgeps.gov.ph/GEPSNONPILOT/Tender/SplashBidNoticeAbstractUI.aspx?menuIndex=3&amp;refID=7142830&amp;Result=3","7142830")</f>
        <v>0</v>
      </c>
      <c r="B2715" t="s">
        <v>1172</v>
      </c>
      <c r="C2715" t="s">
        <v>6366</v>
      </c>
      <c r="D2715" t="s">
        <v>18035</v>
      </c>
      <c r="E2715" t="s">
        <v>20514</v>
      </c>
      <c r="F2715" t="s">
        <v>30900</v>
      </c>
      <c r="G2715" t="s">
        <v>30910</v>
      </c>
      <c r="H2715" t="s">
        <v>30916</v>
      </c>
      <c r="I2715" t="s">
        <v>4017</v>
      </c>
      <c r="J2715" t="s">
        <v>33014</v>
      </c>
      <c r="K2715" t="s">
        <v>40287</v>
      </c>
      <c r="M2715" t="s">
        <v>41779</v>
      </c>
      <c r="N2715" t="s">
        <v>44759</v>
      </c>
      <c r="O2715" t="s">
        <v>44760</v>
      </c>
      <c r="P2715">
        <v>0</v>
      </c>
      <c r="Q2715">
        <v>5</v>
      </c>
      <c r="R2715" t="s">
        <v>44763</v>
      </c>
      <c r="S2715" t="s">
        <v>44876</v>
      </c>
      <c r="T2715" t="s">
        <v>46389</v>
      </c>
      <c r="U2715" t="s">
        <v>49249</v>
      </c>
      <c r="W2715" t="s">
        <v>41779</v>
      </c>
      <c r="X2715" t="s">
        <v>44768</v>
      </c>
    </row>
    <row r="2716" spans="1:24">
      <c r="A2716">
        <f>HYPERLINK("https://www.philgeps.gov.ph/GEPSNONPILOT/Tender/SplashBidNoticeAbstractUI.aspx?menuIndex=3&amp;refID=7143151&amp;Result=3","7143151")</f>
        <v>0</v>
      </c>
      <c r="B2716" t="s">
        <v>1176</v>
      </c>
      <c r="C2716" t="s">
        <v>6367</v>
      </c>
      <c r="D2716" t="s">
        <v>17971</v>
      </c>
      <c r="E2716" t="s">
        <v>20515</v>
      </c>
      <c r="F2716" t="s">
        <v>30900</v>
      </c>
      <c r="G2716" t="s">
        <v>30907</v>
      </c>
      <c r="H2716" t="s">
        <v>30915</v>
      </c>
      <c r="I2716" t="s">
        <v>30919</v>
      </c>
      <c r="J2716" t="s">
        <v>33015</v>
      </c>
      <c r="K2716" t="s">
        <v>40301</v>
      </c>
      <c r="M2716" t="s">
        <v>41783</v>
      </c>
      <c r="N2716" t="s">
        <v>44759</v>
      </c>
      <c r="O2716" t="s">
        <v>44760</v>
      </c>
      <c r="P2716">
        <v>0</v>
      </c>
      <c r="Q2716">
        <v>66</v>
      </c>
      <c r="R2716" t="s">
        <v>44763</v>
      </c>
      <c r="S2716" t="s">
        <v>44876</v>
      </c>
      <c r="T2716" t="s">
        <v>46390</v>
      </c>
      <c r="U2716" t="s">
        <v>49250</v>
      </c>
      <c r="W2716" t="s">
        <v>41783</v>
      </c>
      <c r="X2716" t="s">
        <v>44768</v>
      </c>
    </row>
    <row r="2717" spans="1:24">
      <c r="A2717">
        <f>HYPERLINK("https://www.philgeps.gov.ph/GEPSNONPILOT/Tender/SplashBidNoticeAbstractUI.aspx?menuIndex=3&amp;refID=7143752&amp;Result=3","7143752")</f>
        <v>0</v>
      </c>
      <c r="B2717" t="s">
        <v>1178</v>
      </c>
      <c r="C2717" t="s">
        <v>6368</v>
      </c>
      <c r="D2717" t="s">
        <v>17994</v>
      </c>
      <c r="E2717" t="s">
        <v>20516</v>
      </c>
      <c r="F2717" t="s">
        <v>30900</v>
      </c>
      <c r="G2717" t="s">
        <v>30907</v>
      </c>
      <c r="H2717" t="s">
        <v>30916</v>
      </c>
      <c r="I2717" t="s">
        <v>4050</v>
      </c>
      <c r="J2717" t="s">
        <v>33016</v>
      </c>
      <c r="K2717" t="s">
        <v>40289</v>
      </c>
      <c r="M2717" t="s">
        <v>41785</v>
      </c>
      <c r="N2717" t="s">
        <v>44759</v>
      </c>
      <c r="O2717" t="s">
        <v>44760</v>
      </c>
      <c r="P2717">
        <v>0</v>
      </c>
      <c r="Q2717">
        <v>1</v>
      </c>
      <c r="R2717" t="s">
        <v>44763</v>
      </c>
      <c r="S2717" t="s">
        <v>44876</v>
      </c>
      <c r="T2717" t="s">
        <v>46389</v>
      </c>
      <c r="U2717" t="s">
        <v>49251</v>
      </c>
      <c r="W2717" t="s">
        <v>60854</v>
      </c>
      <c r="X2717" t="s">
        <v>44768</v>
      </c>
    </row>
    <row r="2718" spans="1:24">
      <c r="A2718">
        <f>HYPERLINK("https://www.philgeps.gov.ph/GEPSNONPILOT/Tender/SplashBidNoticeAbstractUI.aspx?menuIndex=3&amp;refID=7142932&amp;Result=3","7142932")</f>
        <v>0</v>
      </c>
      <c r="B2718" t="s">
        <v>1179</v>
      </c>
      <c r="C2718" t="s">
        <v>4492</v>
      </c>
      <c r="D2718" t="s">
        <v>18025</v>
      </c>
      <c r="E2718" t="s">
        <v>18066</v>
      </c>
      <c r="F2718" t="s">
        <v>30900</v>
      </c>
      <c r="G2718" t="s">
        <v>30908</v>
      </c>
      <c r="H2718" t="s">
        <v>30916</v>
      </c>
      <c r="I2718" t="s">
        <v>5830</v>
      </c>
      <c r="J2718" t="s">
        <v>33017</v>
      </c>
      <c r="K2718" t="s">
        <v>40324</v>
      </c>
      <c r="M2718" t="s">
        <v>41787</v>
      </c>
      <c r="N2718" t="s">
        <v>44759</v>
      </c>
      <c r="O2718" t="s">
        <v>44760</v>
      </c>
      <c r="P2718">
        <v>0</v>
      </c>
      <c r="Q2718">
        <v>4</v>
      </c>
      <c r="R2718" t="s">
        <v>44763</v>
      </c>
      <c r="S2718" t="s">
        <v>44876</v>
      </c>
      <c r="T2718" t="s">
        <v>46536</v>
      </c>
      <c r="U2718" t="s">
        <v>49252</v>
      </c>
      <c r="V2718" t="s">
        <v>59423</v>
      </c>
      <c r="W2718" t="s">
        <v>41787</v>
      </c>
      <c r="X2718" t="s">
        <v>44768</v>
      </c>
    </row>
    <row r="2719" spans="1:24">
      <c r="A2719">
        <f>HYPERLINK("https://www.philgeps.gov.ph/GEPSNONPILOT/Tender/SplashBidNoticeAbstractUI.aspx?menuIndex=3&amp;refID=7145207&amp;Result=3","7145207")</f>
        <v>0</v>
      </c>
      <c r="B2719" t="s">
        <v>1180</v>
      </c>
      <c r="C2719" t="s">
        <v>6369</v>
      </c>
      <c r="D2719" t="s">
        <v>17982</v>
      </c>
      <c r="E2719" t="s">
        <v>18169</v>
      </c>
      <c r="F2719" t="s">
        <v>30900</v>
      </c>
      <c r="G2719" t="s">
        <v>30907</v>
      </c>
      <c r="H2719" t="s">
        <v>30916</v>
      </c>
      <c r="I2719" t="s">
        <v>8123</v>
      </c>
      <c r="J2719" t="s">
        <v>33018</v>
      </c>
      <c r="K2719" t="s">
        <v>40287</v>
      </c>
      <c r="M2719" t="s">
        <v>41788</v>
      </c>
      <c r="N2719" t="s">
        <v>44759</v>
      </c>
      <c r="O2719" t="s">
        <v>44760</v>
      </c>
      <c r="P2719">
        <v>0</v>
      </c>
      <c r="Q2719">
        <v>0</v>
      </c>
      <c r="R2719" t="s">
        <v>44763</v>
      </c>
      <c r="S2719" t="s">
        <v>44876</v>
      </c>
      <c r="T2719" t="s">
        <v>46521</v>
      </c>
      <c r="U2719" t="s">
        <v>49253</v>
      </c>
      <c r="W2719" t="s">
        <v>41788</v>
      </c>
      <c r="X2719" t="s">
        <v>44767</v>
      </c>
    </row>
    <row r="2720" spans="1:24">
      <c r="A2720">
        <f>HYPERLINK("https://www.philgeps.gov.ph/GEPSNONPILOT/Tender/SplashBidNoticeAbstractUI.aspx?menuIndex=3&amp;refID=7145101&amp;Result=3","7145101")</f>
        <v>0</v>
      </c>
      <c r="B2720" t="s">
        <v>1100</v>
      </c>
      <c r="C2720" t="s">
        <v>6370</v>
      </c>
      <c r="D2720" t="s">
        <v>17980</v>
      </c>
      <c r="E2720" t="s">
        <v>20517</v>
      </c>
      <c r="F2720" t="s">
        <v>30900</v>
      </c>
      <c r="G2720" t="s">
        <v>30908</v>
      </c>
      <c r="H2720" t="s">
        <v>30916</v>
      </c>
      <c r="I2720" t="s">
        <v>10602</v>
      </c>
      <c r="J2720" t="s">
        <v>33019</v>
      </c>
      <c r="K2720" t="s">
        <v>40289</v>
      </c>
      <c r="M2720" t="s">
        <v>41789</v>
      </c>
      <c r="N2720" t="s">
        <v>44759</v>
      </c>
      <c r="O2720" t="s">
        <v>44760</v>
      </c>
      <c r="P2720">
        <v>0</v>
      </c>
      <c r="Q2720">
        <v>1</v>
      </c>
      <c r="R2720" t="s">
        <v>44763</v>
      </c>
      <c r="S2720" t="s">
        <v>44876</v>
      </c>
      <c r="T2720" t="s">
        <v>46548</v>
      </c>
      <c r="U2720" t="s">
        <v>49254</v>
      </c>
      <c r="W2720" t="s">
        <v>41789</v>
      </c>
      <c r="X2720" t="s">
        <v>44768</v>
      </c>
    </row>
    <row r="2721" spans="1:24">
      <c r="A2721">
        <f>HYPERLINK("https://www.philgeps.gov.ph/GEPSNONPILOT/Tender/SplashBidNoticeAbstractUI.aspx?menuIndex=3&amp;refID=7144751&amp;Result=3","7144751")</f>
        <v>0</v>
      </c>
      <c r="B2721" t="s">
        <v>1181</v>
      </c>
      <c r="C2721" t="s">
        <v>6371</v>
      </c>
      <c r="D2721" t="s">
        <v>17959</v>
      </c>
      <c r="E2721" t="s">
        <v>20518</v>
      </c>
      <c r="F2721" t="s">
        <v>30900</v>
      </c>
      <c r="G2721" t="s">
        <v>30907</v>
      </c>
      <c r="H2721" t="s">
        <v>30916</v>
      </c>
      <c r="I2721" t="s">
        <v>30926</v>
      </c>
      <c r="J2721" t="s">
        <v>33020</v>
      </c>
      <c r="K2721" t="s">
        <v>40289</v>
      </c>
      <c r="M2721" t="s">
        <v>41790</v>
      </c>
      <c r="N2721" t="s">
        <v>44759</v>
      </c>
      <c r="O2721" t="s">
        <v>44760</v>
      </c>
      <c r="P2721">
        <v>0</v>
      </c>
      <c r="Q2721">
        <v>0</v>
      </c>
      <c r="R2721" t="s">
        <v>44763</v>
      </c>
      <c r="S2721" t="s">
        <v>44876</v>
      </c>
      <c r="T2721" t="s">
        <v>46569</v>
      </c>
      <c r="U2721" t="s">
        <v>49255</v>
      </c>
      <c r="W2721" t="s">
        <v>41790</v>
      </c>
      <c r="X2721" t="s">
        <v>44768</v>
      </c>
    </row>
    <row r="2722" spans="1:24">
      <c r="A2722">
        <f>HYPERLINK("https://www.philgeps.gov.ph/GEPSNONPILOT/Tender/SplashBidNoticeAbstractUI.aspx?menuIndex=3&amp;refID=7142783&amp;Result=3","7142783")</f>
        <v>0</v>
      </c>
      <c r="B2722" t="s">
        <v>1172</v>
      </c>
      <c r="C2722" t="s">
        <v>6372</v>
      </c>
      <c r="D2722" t="s">
        <v>18035</v>
      </c>
      <c r="E2722" t="s">
        <v>20519</v>
      </c>
      <c r="F2722" t="s">
        <v>30900</v>
      </c>
      <c r="G2722" t="s">
        <v>30906</v>
      </c>
      <c r="H2722" t="s">
        <v>30916</v>
      </c>
      <c r="I2722" t="s">
        <v>30939</v>
      </c>
      <c r="J2722" t="s">
        <v>33021</v>
      </c>
      <c r="K2722" t="s">
        <v>40287</v>
      </c>
      <c r="M2722" t="s">
        <v>41779</v>
      </c>
      <c r="N2722" t="s">
        <v>44759</v>
      </c>
      <c r="O2722" t="s">
        <v>44760</v>
      </c>
      <c r="P2722">
        <v>0</v>
      </c>
      <c r="Q2722">
        <v>0</v>
      </c>
      <c r="R2722" t="s">
        <v>44763</v>
      </c>
      <c r="S2722" t="s">
        <v>44876</v>
      </c>
      <c r="T2722" t="s">
        <v>46400</v>
      </c>
      <c r="U2722" t="s">
        <v>49256</v>
      </c>
      <c r="W2722" t="s">
        <v>41779</v>
      </c>
      <c r="X2722" t="s">
        <v>44768</v>
      </c>
    </row>
    <row r="2723" spans="1:24">
      <c r="A2723">
        <f>HYPERLINK("https://www.philgeps.gov.ph/GEPSNONPILOT/Tender/SplashBidNoticeAbstractUI.aspx?menuIndex=3&amp;refID=7144715&amp;Result=3","7144715")</f>
        <v>0</v>
      </c>
      <c r="B2723" t="s">
        <v>1181</v>
      </c>
      <c r="C2723" t="s">
        <v>6373</v>
      </c>
      <c r="D2723" t="s">
        <v>17959</v>
      </c>
      <c r="E2723" t="s">
        <v>20520</v>
      </c>
      <c r="F2723" t="s">
        <v>30900</v>
      </c>
      <c r="G2723" t="s">
        <v>30907</v>
      </c>
      <c r="H2723" t="s">
        <v>30916</v>
      </c>
      <c r="I2723" t="s">
        <v>5830</v>
      </c>
      <c r="J2723" t="s">
        <v>33022</v>
      </c>
      <c r="K2723" t="s">
        <v>40289</v>
      </c>
      <c r="M2723" t="s">
        <v>41790</v>
      </c>
      <c r="N2723" t="s">
        <v>44759</v>
      </c>
      <c r="O2723" t="s">
        <v>44760</v>
      </c>
      <c r="P2723">
        <v>0</v>
      </c>
      <c r="Q2723">
        <v>6</v>
      </c>
      <c r="R2723" t="s">
        <v>44763</v>
      </c>
      <c r="S2723" t="s">
        <v>44876</v>
      </c>
      <c r="T2723" t="s">
        <v>46569</v>
      </c>
      <c r="U2723" t="s">
        <v>49257</v>
      </c>
      <c r="W2723" t="s">
        <v>41790</v>
      </c>
      <c r="X2723" t="s">
        <v>44768</v>
      </c>
    </row>
    <row r="2724" spans="1:24">
      <c r="A2724">
        <f>HYPERLINK("https://www.philgeps.gov.ph/GEPSNONPILOT/Tender/SplashBidNoticeAbstractUI.aspx?menuIndex=3&amp;refID=7143031&amp;Result=3","7143031")</f>
        <v>0</v>
      </c>
      <c r="B2724" t="s">
        <v>1182</v>
      </c>
      <c r="C2724" t="s">
        <v>6374</v>
      </c>
      <c r="D2724" t="s">
        <v>17952</v>
      </c>
      <c r="E2724" t="s">
        <v>20521</v>
      </c>
      <c r="F2724" t="s">
        <v>30900</v>
      </c>
      <c r="G2724" t="s">
        <v>30907</v>
      </c>
      <c r="H2724" t="s">
        <v>30916</v>
      </c>
      <c r="I2724" t="s">
        <v>30940</v>
      </c>
      <c r="J2724" t="s">
        <v>33023</v>
      </c>
      <c r="K2724" t="s">
        <v>40286</v>
      </c>
      <c r="M2724" t="s">
        <v>41791</v>
      </c>
      <c r="N2724" t="s">
        <v>44759</v>
      </c>
      <c r="O2724" t="s">
        <v>44760</v>
      </c>
      <c r="P2724">
        <v>0</v>
      </c>
      <c r="Q2724">
        <v>1</v>
      </c>
      <c r="R2724" t="s">
        <v>44763</v>
      </c>
      <c r="S2724" t="s">
        <v>44876</v>
      </c>
      <c r="T2724" t="s">
        <v>46503</v>
      </c>
      <c r="U2724" t="s">
        <v>49258</v>
      </c>
      <c r="V2724" t="s">
        <v>59424</v>
      </c>
      <c r="W2724" t="s">
        <v>41791</v>
      </c>
      <c r="X2724" t="s">
        <v>44768</v>
      </c>
    </row>
    <row r="2725" spans="1:24">
      <c r="A2725">
        <f>HYPERLINK("https://www.philgeps.gov.ph/GEPSNONPILOT/Tender/SplashBidNoticeAbstractUI.aspx?menuIndex=3&amp;refID=7143769&amp;Result=3","7143769")</f>
        <v>0</v>
      </c>
      <c r="B2725" t="s">
        <v>1178</v>
      </c>
      <c r="C2725" t="s">
        <v>6375</v>
      </c>
      <c r="D2725" t="s">
        <v>17994</v>
      </c>
      <c r="E2725" t="s">
        <v>20522</v>
      </c>
      <c r="F2725" t="s">
        <v>30900</v>
      </c>
      <c r="G2725" t="s">
        <v>30907</v>
      </c>
      <c r="H2725" t="s">
        <v>30916</v>
      </c>
      <c r="I2725" t="s">
        <v>8123</v>
      </c>
      <c r="J2725" t="s">
        <v>33024</v>
      </c>
      <c r="K2725" t="s">
        <v>40289</v>
      </c>
      <c r="M2725" t="s">
        <v>41785</v>
      </c>
      <c r="N2725" t="s">
        <v>44759</v>
      </c>
      <c r="O2725" t="s">
        <v>44760</v>
      </c>
      <c r="P2725">
        <v>0</v>
      </c>
      <c r="Q2725">
        <v>0</v>
      </c>
      <c r="R2725" t="s">
        <v>44763</v>
      </c>
      <c r="S2725" t="s">
        <v>44876</v>
      </c>
      <c r="T2725" t="s">
        <v>46389</v>
      </c>
      <c r="U2725" t="s">
        <v>49259</v>
      </c>
      <c r="W2725" t="s">
        <v>60854</v>
      </c>
      <c r="X2725" t="s">
        <v>44768</v>
      </c>
    </row>
    <row r="2726" spans="1:24">
      <c r="A2726">
        <f>HYPERLINK("https://www.philgeps.gov.ph/GEPSNONPILOT/Tender/SplashBidNoticeAbstractUI.aspx?menuIndex=3&amp;refID=7144636&amp;Result=3","7144636")</f>
        <v>0</v>
      </c>
      <c r="B2726" t="s">
        <v>35</v>
      </c>
      <c r="C2726" t="s">
        <v>6376</v>
      </c>
      <c r="D2726" t="s">
        <v>17962</v>
      </c>
      <c r="E2726" t="s">
        <v>20523</v>
      </c>
      <c r="F2726" t="s">
        <v>30900</v>
      </c>
      <c r="G2726" t="s">
        <v>30907</v>
      </c>
      <c r="H2726" t="s">
        <v>30915</v>
      </c>
      <c r="I2726" t="s">
        <v>30919</v>
      </c>
      <c r="J2726" t="s">
        <v>31297</v>
      </c>
      <c r="K2726" t="s">
        <v>40322</v>
      </c>
      <c r="M2726" t="s">
        <v>40581</v>
      </c>
      <c r="N2726" t="s">
        <v>44759</v>
      </c>
      <c r="O2726" t="s">
        <v>44760</v>
      </c>
      <c r="P2726">
        <v>0</v>
      </c>
      <c r="Q2726">
        <v>1</v>
      </c>
      <c r="R2726" t="s">
        <v>44763</v>
      </c>
      <c r="S2726" t="s">
        <v>44876</v>
      </c>
      <c r="T2726" t="s">
        <v>46465</v>
      </c>
      <c r="U2726" t="s">
        <v>49260</v>
      </c>
      <c r="V2726" t="s">
        <v>59094</v>
      </c>
      <c r="W2726" t="s">
        <v>40581</v>
      </c>
      <c r="X2726" t="s">
        <v>44768</v>
      </c>
    </row>
    <row r="2727" spans="1:24">
      <c r="A2727">
        <f>HYPERLINK("https://www.philgeps.gov.ph/GEPSNONPILOT/Tender/SplashBidNoticeAbstractUI.aspx?menuIndex=3&amp;refID=7145291&amp;Result=3","7145291")</f>
        <v>0</v>
      </c>
      <c r="B2727" t="s">
        <v>35</v>
      </c>
      <c r="C2727" t="s">
        <v>6377</v>
      </c>
      <c r="D2727" t="s">
        <v>17962</v>
      </c>
      <c r="E2727" t="s">
        <v>20524</v>
      </c>
      <c r="F2727" t="s">
        <v>30900</v>
      </c>
      <c r="G2727" t="s">
        <v>30907</v>
      </c>
      <c r="H2727" t="s">
        <v>30915</v>
      </c>
      <c r="I2727" t="s">
        <v>30919</v>
      </c>
      <c r="J2727" t="s">
        <v>33025</v>
      </c>
      <c r="K2727" t="s">
        <v>40378</v>
      </c>
      <c r="M2727" t="s">
        <v>40581</v>
      </c>
      <c r="N2727" t="s">
        <v>44759</v>
      </c>
      <c r="O2727" t="s">
        <v>44760</v>
      </c>
      <c r="P2727">
        <v>0</v>
      </c>
      <c r="Q2727">
        <v>0</v>
      </c>
      <c r="R2727" t="s">
        <v>44763</v>
      </c>
      <c r="S2727" t="s">
        <v>44876</v>
      </c>
      <c r="T2727" t="s">
        <v>46465</v>
      </c>
      <c r="U2727" t="s">
        <v>49261</v>
      </c>
      <c r="V2727" t="s">
        <v>59094</v>
      </c>
      <c r="W2727" t="s">
        <v>40581</v>
      </c>
      <c r="X2727" t="s">
        <v>44767</v>
      </c>
    </row>
    <row r="2728" spans="1:24">
      <c r="A2728">
        <f>HYPERLINK("https://www.philgeps.gov.ph/GEPSNONPILOT/Tender/SplashBidNoticeAbstractUI.aspx?menuIndex=3&amp;refID=7143725&amp;Result=3","7143725")</f>
        <v>0</v>
      </c>
      <c r="B2728" t="s">
        <v>1178</v>
      </c>
      <c r="C2728" t="s">
        <v>6378</v>
      </c>
      <c r="D2728" t="s">
        <v>17994</v>
      </c>
      <c r="E2728" t="s">
        <v>20525</v>
      </c>
      <c r="F2728" t="s">
        <v>30900</v>
      </c>
      <c r="G2728" t="s">
        <v>30907</v>
      </c>
      <c r="H2728" t="s">
        <v>30916</v>
      </c>
      <c r="I2728" t="s">
        <v>6953</v>
      </c>
      <c r="J2728" t="s">
        <v>31256</v>
      </c>
      <c r="K2728" t="s">
        <v>40289</v>
      </c>
      <c r="M2728" t="s">
        <v>41785</v>
      </c>
      <c r="N2728" t="s">
        <v>44759</v>
      </c>
      <c r="O2728" t="s">
        <v>44760</v>
      </c>
      <c r="P2728">
        <v>0</v>
      </c>
      <c r="Q2728">
        <v>0</v>
      </c>
      <c r="R2728" t="s">
        <v>44763</v>
      </c>
      <c r="S2728" t="s">
        <v>44876</v>
      </c>
      <c r="T2728" t="s">
        <v>46400</v>
      </c>
      <c r="U2728" t="s">
        <v>49262</v>
      </c>
      <c r="W2728" t="s">
        <v>60854</v>
      </c>
      <c r="X2728" t="s">
        <v>44768</v>
      </c>
    </row>
    <row r="2729" spans="1:24">
      <c r="A2729">
        <f>HYPERLINK("https://www.philgeps.gov.ph/GEPSNONPILOT/Tender/SplashBidNoticeAbstractUI.aspx?menuIndex=3&amp;refID=7145038&amp;Result=3","7145038")</f>
        <v>0</v>
      </c>
      <c r="B2729" t="s">
        <v>1181</v>
      </c>
      <c r="C2729" t="s">
        <v>6379</v>
      </c>
      <c r="D2729" t="s">
        <v>17959</v>
      </c>
      <c r="E2729" t="s">
        <v>20526</v>
      </c>
      <c r="F2729" t="s">
        <v>30900</v>
      </c>
      <c r="G2729" t="s">
        <v>30907</v>
      </c>
      <c r="H2729" t="s">
        <v>30916</v>
      </c>
      <c r="I2729" t="s">
        <v>4108</v>
      </c>
      <c r="J2729" t="s">
        <v>33026</v>
      </c>
      <c r="K2729" t="s">
        <v>40289</v>
      </c>
      <c r="M2729" t="s">
        <v>41790</v>
      </c>
      <c r="N2729" t="s">
        <v>44759</v>
      </c>
      <c r="O2729" t="s">
        <v>44760</v>
      </c>
      <c r="P2729">
        <v>0</v>
      </c>
      <c r="Q2729">
        <v>2</v>
      </c>
      <c r="R2729" t="s">
        <v>44763</v>
      </c>
      <c r="S2729" t="s">
        <v>44876</v>
      </c>
      <c r="T2729" t="s">
        <v>46569</v>
      </c>
      <c r="U2729" t="s">
        <v>49263</v>
      </c>
      <c r="W2729" t="s">
        <v>41790</v>
      </c>
      <c r="X2729" t="s">
        <v>44768</v>
      </c>
    </row>
    <row r="2730" spans="1:24">
      <c r="A2730">
        <f>HYPERLINK("https://www.philgeps.gov.ph/GEPSNONPILOT/Tender/SplashBidNoticeAbstractUI.aspx?menuIndex=3&amp;refID=7145208&amp;Result=3","7145208")</f>
        <v>0</v>
      </c>
      <c r="B2730" t="s">
        <v>1180</v>
      </c>
      <c r="C2730" t="s">
        <v>6380</v>
      </c>
      <c r="D2730" t="s">
        <v>18019</v>
      </c>
      <c r="E2730" t="s">
        <v>20527</v>
      </c>
      <c r="F2730" t="s">
        <v>30900</v>
      </c>
      <c r="G2730" t="s">
        <v>30907</v>
      </c>
      <c r="H2730" t="s">
        <v>30916</v>
      </c>
      <c r="I2730" t="s">
        <v>8123</v>
      </c>
      <c r="J2730" t="s">
        <v>33027</v>
      </c>
      <c r="K2730" t="s">
        <v>40287</v>
      </c>
      <c r="M2730" t="s">
        <v>41788</v>
      </c>
      <c r="N2730" t="s">
        <v>44759</v>
      </c>
      <c r="O2730" t="s">
        <v>44760</v>
      </c>
      <c r="P2730">
        <v>0</v>
      </c>
      <c r="Q2730">
        <v>0</v>
      </c>
      <c r="R2730" t="s">
        <v>44763</v>
      </c>
      <c r="S2730" t="s">
        <v>44876</v>
      </c>
      <c r="T2730" t="s">
        <v>46610</v>
      </c>
      <c r="U2730" t="s">
        <v>49264</v>
      </c>
      <c r="W2730" t="s">
        <v>41788</v>
      </c>
      <c r="X2730" t="s">
        <v>44767</v>
      </c>
    </row>
    <row r="2731" spans="1:24">
      <c r="A2731">
        <f>HYPERLINK("https://www.philgeps.gov.ph/GEPSNONPILOT/Tender/SplashBidNoticeAbstractUI.aspx?menuIndex=3&amp;refID=7144557&amp;Result=3","7144557")</f>
        <v>0</v>
      </c>
      <c r="B2731" t="s">
        <v>35</v>
      </c>
      <c r="C2731" t="s">
        <v>6381</v>
      </c>
      <c r="D2731" t="s">
        <v>17962</v>
      </c>
      <c r="E2731" t="s">
        <v>20528</v>
      </c>
      <c r="F2731" t="s">
        <v>30900</v>
      </c>
      <c r="G2731" t="s">
        <v>30907</v>
      </c>
      <c r="H2731" t="s">
        <v>30915</v>
      </c>
      <c r="I2731" t="s">
        <v>30919</v>
      </c>
      <c r="J2731" t="s">
        <v>33028</v>
      </c>
      <c r="K2731" t="s">
        <v>40325</v>
      </c>
      <c r="M2731" t="s">
        <v>40581</v>
      </c>
      <c r="N2731" t="s">
        <v>44759</v>
      </c>
      <c r="O2731" t="s">
        <v>44760</v>
      </c>
      <c r="P2731">
        <v>0</v>
      </c>
      <c r="Q2731">
        <v>2</v>
      </c>
      <c r="R2731" t="s">
        <v>44763</v>
      </c>
      <c r="S2731" t="s">
        <v>44876</v>
      </c>
      <c r="T2731" t="s">
        <v>46465</v>
      </c>
      <c r="U2731" t="s">
        <v>49265</v>
      </c>
      <c r="V2731" t="s">
        <v>59094</v>
      </c>
      <c r="W2731" t="s">
        <v>40581</v>
      </c>
      <c r="X2731" t="s">
        <v>44768</v>
      </c>
    </row>
    <row r="2732" spans="1:24">
      <c r="A2732">
        <f>HYPERLINK("https://www.philgeps.gov.ph/GEPSNONPILOT/Tender/SplashBidNoticeAbstractUI.aspx?menuIndex=3&amp;refID=7144432&amp;Result=3","7144432")</f>
        <v>0</v>
      </c>
      <c r="B2732" t="s">
        <v>1183</v>
      </c>
      <c r="C2732" t="s">
        <v>6382</v>
      </c>
      <c r="D2732" t="s">
        <v>17959</v>
      </c>
      <c r="E2732" t="s">
        <v>20529</v>
      </c>
      <c r="F2732" t="s">
        <v>30900</v>
      </c>
      <c r="G2732" t="s">
        <v>30907</v>
      </c>
      <c r="H2732" t="s">
        <v>30916</v>
      </c>
      <c r="I2732" t="s">
        <v>30924</v>
      </c>
      <c r="J2732" t="s">
        <v>33029</v>
      </c>
      <c r="K2732" t="s">
        <v>40286</v>
      </c>
      <c r="M2732" t="s">
        <v>41792</v>
      </c>
      <c r="N2732" t="s">
        <v>44759</v>
      </c>
      <c r="O2732" t="s">
        <v>44760</v>
      </c>
      <c r="Q2732">
        <v>10</v>
      </c>
      <c r="R2732" t="s">
        <v>44763</v>
      </c>
      <c r="S2732" t="s">
        <v>44877</v>
      </c>
      <c r="T2732" t="s">
        <v>46433</v>
      </c>
      <c r="U2732" t="s">
        <v>49266</v>
      </c>
      <c r="W2732" t="s">
        <v>41792</v>
      </c>
      <c r="X2732" t="s">
        <v>44768</v>
      </c>
    </row>
    <row r="2733" spans="1:24">
      <c r="A2733">
        <f>HYPERLINK("https://www.philgeps.gov.ph/GEPSNONPILOT/Tender/SplashBidNoticeAbstractUI.aspx?menuIndex=3&amp;refID=7143583&amp;Result=3","7143583")</f>
        <v>0</v>
      </c>
      <c r="B2733" t="s">
        <v>1184</v>
      </c>
      <c r="C2733" t="s">
        <v>6383</v>
      </c>
      <c r="D2733" t="s">
        <v>17975</v>
      </c>
      <c r="E2733" t="s">
        <v>20530</v>
      </c>
      <c r="F2733" t="s">
        <v>30900</v>
      </c>
      <c r="G2733" t="s">
        <v>30907</v>
      </c>
      <c r="H2733" t="s">
        <v>30915</v>
      </c>
      <c r="I2733" t="s">
        <v>8123</v>
      </c>
      <c r="J2733" t="s">
        <v>33030</v>
      </c>
      <c r="K2733" t="s">
        <v>40287</v>
      </c>
      <c r="M2733" t="s">
        <v>41793</v>
      </c>
      <c r="N2733" t="s">
        <v>44759</v>
      </c>
      <c r="O2733" t="s">
        <v>44760</v>
      </c>
      <c r="P2733">
        <v>0</v>
      </c>
      <c r="Q2733">
        <v>0</v>
      </c>
      <c r="R2733" t="s">
        <v>44763</v>
      </c>
      <c r="S2733" t="s">
        <v>44876</v>
      </c>
      <c r="T2733" t="s">
        <v>46409</v>
      </c>
      <c r="U2733" t="s">
        <v>49267</v>
      </c>
      <c r="V2733" t="s">
        <v>59425</v>
      </c>
      <c r="W2733" t="s">
        <v>41793</v>
      </c>
      <c r="X2733" t="s">
        <v>44768</v>
      </c>
    </row>
    <row r="2734" spans="1:24">
      <c r="A2734">
        <f>HYPERLINK("https://www.philgeps.gov.ph/GEPSNONPILOT/Tender/SplashBidNoticeAbstractUI.aspx?menuIndex=3&amp;refID=7144198&amp;Result=3","7144198")</f>
        <v>0</v>
      </c>
      <c r="B2734" t="s">
        <v>1185</v>
      </c>
      <c r="C2734" t="s">
        <v>6384</v>
      </c>
      <c r="D2734" t="s">
        <v>18011</v>
      </c>
      <c r="E2734" t="s">
        <v>20531</v>
      </c>
      <c r="F2734" t="s">
        <v>30900</v>
      </c>
      <c r="G2734" t="s">
        <v>30909</v>
      </c>
      <c r="H2734" t="s">
        <v>30916</v>
      </c>
      <c r="I2734" t="s">
        <v>4050</v>
      </c>
      <c r="J2734" t="s">
        <v>33031</v>
      </c>
      <c r="K2734" t="s">
        <v>40314</v>
      </c>
      <c r="M2734" t="s">
        <v>41794</v>
      </c>
      <c r="N2734" t="s">
        <v>44759</v>
      </c>
      <c r="O2734" t="s">
        <v>44760</v>
      </c>
      <c r="P2734">
        <v>0</v>
      </c>
      <c r="Q2734">
        <v>1</v>
      </c>
      <c r="R2734" t="s">
        <v>44763</v>
      </c>
      <c r="S2734" t="s">
        <v>44876</v>
      </c>
      <c r="T2734" t="s">
        <v>46393</v>
      </c>
      <c r="U2734" t="s">
        <v>49268</v>
      </c>
      <c r="V2734" t="s">
        <v>59426</v>
      </c>
      <c r="W2734" t="s">
        <v>41794</v>
      </c>
      <c r="X2734" t="s">
        <v>44768</v>
      </c>
    </row>
    <row r="2735" spans="1:24">
      <c r="A2735">
        <f>HYPERLINK("https://www.philgeps.gov.ph/GEPSNONPILOT/Tender/SplashBidNoticeAbstractUI.aspx?menuIndex=3&amp;refID=7144094&amp;Result=3","7144094")</f>
        <v>0</v>
      </c>
      <c r="B2735" t="s">
        <v>1185</v>
      </c>
      <c r="C2735" t="s">
        <v>6385</v>
      </c>
      <c r="D2735" t="s">
        <v>18011</v>
      </c>
      <c r="E2735" t="s">
        <v>20532</v>
      </c>
      <c r="F2735" t="s">
        <v>30900</v>
      </c>
      <c r="G2735" t="s">
        <v>30909</v>
      </c>
      <c r="H2735" t="s">
        <v>30916</v>
      </c>
      <c r="I2735" t="s">
        <v>30939</v>
      </c>
      <c r="J2735" t="s">
        <v>33032</v>
      </c>
      <c r="K2735" t="s">
        <v>40314</v>
      </c>
      <c r="M2735" t="s">
        <v>41794</v>
      </c>
      <c r="N2735" t="s">
        <v>44759</v>
      </c>
      <c r="O2735" t="s">
        <v>44760</v>
      </c>
      <c r="P2735">
        <v>0</v>
      </c>
      <c r="Q2735">
        <v>0</v>
      </c>
      <c r="R2735" t="s">
        <v>44763</v>
      </c>
      <c r="S2735" t="s">
        <v>44876</v>
      </c>
      <c r="T2735" t="s">
        <v>46393</v>
      </c>
      <c r="U2735" t="s">
        <v>49269</v>
      </c>
      <c r="V2735" t="s">
        <v>59426</v>
      </c>
      <c r="W2735" t="s">
        <v>41794</v>
      </c>
      <c r="X2735" t="s">
        <v>44768</v>
      </c>
    </row>
    <row r="2736" spans="1:24">
      <c r="A2736">
        <f>HYPERLINK("https://www.philgeps.gov.ph/GEPSNONPILOT/Tender/SplashBidNoticeAbstractUI.aspx?menuIndex=3&amp;refID=7145280&amp;Result=3","7145280")</f>
        <v>0</v>
      </c>
      <c r="B2736" t="s">
        <v>1186</v>
      </c>
      <c r="C2736" t="s">
        <v>6386</v>
      </c>
      <c r="D2736" t="s">
        <v>17966</v>
      </c>
      <c r="E2736" t="s">
        <v>6386</v>
      </c>
      <c r="F2736" t="s">
        <v>30900</v>
      </c>
      <c r="G2736" t="s">
        <v>30908</v>
      </c>
      <c r="H2736" t="s">
        <v>30916</v>
      </c>
      <c r="I2736" t="s">
        <v>6396</v>
      </c>
      <c r="J2736" t="s">
        <v>33033</v>
      </c>
      <c r="K2736" t="s">
        <v>40287</v>
      </c>
      <c r="M2736" t="s">
        <v>41795</v>
      </c>
      <c r="N2736" t="s">
        <v>44759</v>
      </c>
      <c r="O2736" t="s">
        <v>44760</v>
      </c>
      <c r="P2736">
        <v>0</v>
      </c>
      <c r="Q2736">
        <v>0</v>
      </c>
      <c r="R2736" t="s">
        <v>44763</v>
      </c>
      <c r="S2736" t="s">
        <v>44876</v>
      </c>
      <c r="T2736" t="s">
        <v>46400</v>
      </c>
      <c r="U2736" t="s">
        <v>49270</v>
      </c>
      <c r="W2736" t="s">
        <v>41795</v>
      </c>
      <c r="X2736" t="s">
        <v>44767</v>
      </c>
    </row>
    <row r="2737" spans="1:24">
      <c r="A2737">
        <f>HYPERLINK("https://www.philgeps.gov.ph/GEPSNONPILOT/Tender/SplashBidNoticeAbstractUI.aspx?menuIndex=3&amp;refID=7145312&amp;Result=3","7145312")</f>
        <v>0</v>
      </c>
      <c r="B2737" t="s">
        <v>1178</v>
      </c>
      <c r="C2737" t="s">
        <v>6387</v>
      </c>
      <c r="D2737" t="s">
        <v>17994</v>
      </c>
      <c r="E2737" t="s">
        <v>20533</v>
      </c>
      <c r="F2737" t="s">
        <v>30900</v>
      </c>
      <c r="G2737" t="s">
        <v>30907</v>
      </c>
      <c r="H2737" t="s">
        <v>30916</v>
      </c>
      <c r="I2737" t="s">
        <v>8123</v>
      </c>
      <c r="J2737" t="s">
        <v>33034</v>
      </c>
      <c r="K2737" t="s">
        <v>40289</v>
      </c>
      <c r="M2737" t="s">
        <v>41785</v>
      </c>
      <c r="N2737" t="s">
        <v>44759</v>
      </c>
      <c r="O2737" t="s">
        <v>44760</v>
      </c>
      <c r="P2737">
        <v>0</v>
      </c>
      <c r="Q2737">
        <v>0</v>
      </c>
      <c r="R2737" t="s">
        <v>44763</v>
      </c>
      <c r="S2737" t="s">
        <v>44876</v>
      </c>
      <c r="T2737" t="s">
        <v>46389</v>
      </c>
      <c r="U2737" t="s">
        <v>49271</v>
      </c>
      <c r="W2737" t="s">
        <v>60854</v>
      </c>
      <c r="X2737" t="s">
        <v>44767</v>
      </c>
    </row>
    <row r="2738" spans="1:24">
      <c r="A2738">
        <f>HYPERLINK("https://www.philgeps.gov.ph/GEPSNONPILOT/Tender/SplashBidNoticeAbstractUI.aspx?menuIndex=3&amp;refID=7145405&amp;Result=3","7145405")</f>
        <v>0</v>
      </c>
      <c r="B2738" t="s">
        <v>1187</v>
      </c>
      <c r="C2738" t="s">
        <v>6388</v>
      </c>
      <c r="E2738" t="s">
        <v>20534</v>
      </c>
      <c r="F2738" t="s">
        <v>30900</v>
      </c>
      <c r="G2738" t="s">
        <v>30909</v>
      </c>
      <c r="H2738" t="s">
        <v>30916</v>
      </c>
      <c r="I2738" t="s">
        <v>30947</v>
      </c>
      <c r="J2738" t="s">
        <v>31518</v>
      </c>
      <c r="K2738" t="s">
        <v>40289</v>
      </c>
      <c r="M2738" t="s">
        <v>41796</v>
      </c>
      <c r="N2738" t="s">
        <v>44759</v>
      </c>
      <c r="O2738" t="s">
        <v>44760</v>
      </c>
      <c r="P2738">
        <v>0</v>
      </c>
      <c r="Q2738">
        <v>2</v>
      </c>
      <c r="R2738" t="s">
        <v>44763</v>
      </c>
      <c r="S2738" t="s">
        <v>44876</v>
      </c>
      <c r="T2738" t="s">
        <v>46403</v>
      </c>
      <c r="U2738" t="s">
        <v>49272</v>
      </c>
      <c r="V2738" t="s">
        <v>59427</v>
      </c>
      <c r="W2738" t="s">
        <v>41796</v>
      </c>
      <c r="X2738" t="s">
        <v>44767</v>
      </c>
    </row>
    <row r="2739" spans="1:24">
      <c r="A2739">
        <f>HYPERLINK("https://www.philgeps.gov.ph/GEPSNONPILOT/Tender/SplashBidNoticeAbstractUI.aspx?menuIndex=3&amp;refID=7145266&amp;Result=3","7145266")</f>
        <v>0</v>
      </c>
      <c r="B2739" t="s">
        <v>1188</v>
      </c>
      <c r="C2739" t="s">
        <v>6389</v>
      </c>
      <c r="D2739" t="s">
        <v>18019</v>
      </c>
      <c r="E2739" t="s">
        <v>20535</v>
      </c>
      <c r="F2739" t="s">
        <v>30900</v>
      </c>
      <c r="G2739" t="s">
        <v>30908</v>
      </c>
      <c r="H2739" t="s">
        <v>30916</v>
      </c>
      <c r="I2739" t="s">
        <v>30971</v>
      </c>
      <c r="J2739" t="s">
        <v>31902</v>
      </c>
      <c r="K2739" t="s">
        <v>40284</v>
      </c>
      <c r="M2739" t="s">
        <v>41797</v>
      </c>
      <c r="N2739" t="s">
        <v>44759</v>
      </c>
      <c r="O2739" t="s">
        <v>44760</v>
      </c>
      <c r="P2739">
        <v>0</v>
      </c>
      <c r="Q2739">
        <v>0</v>
      </c>
      <c r="R2739" t="s">
        <v>44763</v>
      </c>
      <c r="S2739" t="s">
        <v>44876</v>
      </c>
      <c r="T2739" t="s">
        <v>46424</v>
      </c>
      <c r="U2739" t="s">
        <v>49273</v>
      </c>
      <c r="W2739" t="s">
        <v>41797</v>
      </c>
      <c r="X2739" t="s">
        <v>44767</v>
      </c>
    </row>
    <row r="2740" spans="1:24">
      <c r="A2740">
        <f>HYPERLINK("https://www.philgeps.gov.ph/GEPSNONPILOT/Tender/SplashBidNoticeAbstractUI.aspx?menuIndex=3&amp;refID=7145366&amp;Result=3","7145366")</f>
        <v>0</v>
      </c>
      <c r="B2740" t="s">
        <v>1178</v>
      </c>
      <c r="C2740" t="s">
        <v>6390</v>
      </c>
      <c r="D2740" t="s">
        <v>17994</v>
      </c>
      <c r="E2740" t="s">
        <v>20536</v>
      </c>
      <c r="F2740" t="s">
        <v>30900</v>
      </c>
      <c r="G2740" t="s">
        <v>30907</v>
      </c>
      <c r="H2740" t="s">
        <v>30916</v>
      </c>
      <c r="I2740" t="s">
        <v>8123</v>
      </c>
      <c r="J2740" t="s">
        <v>33035</v>
      </c>
      <c r="K2740" t="s">
        <v>40289</v>
      </c>
      <c r="M2740" t="s">
        <v>41785</v>
      </c>
      <c r="N2740" t="s">
        <v>44759</v>
      </c>
      <c r="O2740" t="s">
        <v>44760</v>
      </c>
      <c r="P2740">
        <v>0</v>
      </c>
      <c r="Q2740">
        <v>0</v>
      </c>
      <c r="R2740" t="s">
        <v>44763</v>
      </c>
      <c r="S2740" t="s">
        <v>44876</v>
      </c>
      <c r="T2740" t="s">
        <v>46389</v>
      </c>
      <c r="U2740" t="s">
        <v>49274</v>
      </c>
      <c r="W2740" t="s">
        <v>60854</v>
      </c>
      <c r="X2740" t="s">
        <v>44767</v>
      </c>
    </row>
    <row r="2741" spans="1:24">
      <c r="A2741">
        <f>HYPERLINK("https://www.philgeps.gov.ph/GEPSNONPILOT/Tender/SplashBidNoticeAbstractUI.aspx?menuIndex=3&amp;refID=7145344&amp;Result=3","7145344")</f>
        <v>0</v>
      </c>
      <c r="B2741" t="s">
        <v>1178</v>
      </c>
      <c r="C2741" t="s">
        <v>6391</v>
      </c>
      <c r="D2741" t="s">
        <v>17994</v>
      </c>
      <c r="E2741" t="s">
        <v>20537</v>
      </c>
      <c r="F2741" t="s">
        <v>30900</v>
      </c>
      <c r="G2741" t="s">
        <v>30907</v>
      </c>
      <c r="H2741" t="s">
        <v>30916</v>
      </c>
      <c r="I2741" t="s">
        <v>8123</v>
      </c>
      <c r="J2741" t="s">
        <v>33036</v>
      </c>
      <c r="K2741" t="s">
        <v>40289</v>
      </c>
      <c r="M2741" t="s">
        <v>41785</v>
      </c>
      <c r="N2741" t="s">
        <v>44759</v>
      </c>
      <c r="O2741" t="s">
        <v>44760</v>
      </c>
      <c r="P2741">
        <v>0</v>
      </c>
      <c r="Q2741">
        <v>0</v>
      </c>
      <c r="R2741" t="s">
        <v>44763</v>
      </c>
      <c r="S2741" t="s">
        <v>44876</v>
      </c>
      <c r="T2741" t="s">
        <v>46389</v>
      </c>
      <c r="U2741" t="s">
        <v>49275</v>
      </c>
      <c r="W2741" t="s">
        <v>60854</v>
      </c>
      <c r="X2741" t="s">
        <v>44767</v>
      </c>
    </row>
    <row r="2742" spans="1:24">
      <c r="A2742">
        <f>HYPERLINK("https://www.philgeps.gov.ph/GEPSNONPILOT/Tender/SplashBidNoticeAbstractUI.aspx?menuIndex=3&amp;refID=7144510&amp;Result=3","7144510")</f>
        <v>0</v>
      </c>
      <c r="B2742" t="s">
        <v>1189</v>
      </c>
      <c r="C2742" t="s">
        <v>6392</v>
      </c>
      <c r="D2742" t="s">
        <v>17953</v>
      </c>
      <c r="E2742" t="s">
        <v>20538</v>
      </c>
      <c r="F2742" t="s">
        <v>30899</v>
      </c>
      <c r="G2742" t="s">
        <v>30909</v>
      </c>
      <c r="H2742" t="s">
        <v>30916</v>
      </c>
      <c r="I2742" t="s">
        <v>30922</v>
      </c>
      <c r="J2742" t="s">
        <v>31050</v>
      </c>
      <c r="K2742" t="s">
        <v>40288</v>
      </c>
      <c r="M2742" t="s">
        <v>41798</v>
      </c>
      <c r="N2742" t="s">
        <v>44759</v>
      </c>
      <c r="O2742" t="s">
        <v>44760</v>
      </c>
      <c r="P2742">
        <v>0</v>
      </c>
      <c r="Q2742">
        <v>5</v>
      </c>
      <c r="R2742" t="s">
        <v>44763</v>
      </c>
      <c r="S2742" t="s">
        <v>44876</v>
      </c>
      <c r="T2742" t="s">
        <v>46474</v>
      </c>
      <c r="U2742" t="s">
        <v>49276</v>
      </c>
      <c r="V2742" t="s">
        <v>59428</v>
      </c>
      <c r="W2742" t="s">
        <v>41798</v>
      </c>
      <c r="X2742" t="s">
        <v>44768</v>
      </c>
    </row>
    <row r="2743" spans="1:24">
      <c r="A2743">
        <f>HYPERLINK("https://www.philgeps.gov.ph/GEPSNONPILOT/Tender/SplashBidNoticeAbstractUI.aspx?menuIndex=3&amp;refID=7145455&amp;Result=3","7145455")</f>
        <v>0</v>
      </c>
      <c r="B2743" t="s">
        <v>689</v>
      </c>
      <c r="C2743" t="s">
        <v>6393</v>
      </c>
      <c r="D2743" t="s">
        <v>17978</v>
      </c>
      <c r="E2743" t="s">
        <v>20539</v>
      </c>
      <c r="F2743" t="s">
        <v>30900</v>
      </c>
      <c r="G2743" t="s">
        <v>30909</v>
      </c>
      <c r="H2743" t="s">
        <v>30916</v>
      </c>
      <c r="I2743" t="s">
        <v>4545</v>
      </c>
      <c r="J2743" t="s">
        <v>33037</v>
      </c>
      <c r="K2743" t="s">
        <v>40285</v>
      </c>
      <c r="M2743" t="s">
        <v>41253</v>
      </c>
      <c r="N2743" t="s">
        <v>44759</v>
      </c>
      <c r="O2743" t="s">
        <v>44760</v>
      </c>
      <c r="P2743">
        <v>0</v>
      </c>
      <c r="Q2743">
        <v>1</v>
      </c>
      <c r="R2743" t="s">
        <v>44763</v>
      </c>
      <c r="S2743" t="s">
        <v>44876</v>
      </c>
      <c r="T2743" t="s">
        <v>46571</v>
      </c>
      <c r="U2743" t="s">
        <v>48165</v>
      </c>
      <c r="W2743" t="s">
        <v>41253</v>
      </c>
      <c r="X2743" t="s">
        <v>44767</v>
      </c>
    </row>
    <row r="2744" spans="1:24">
      <c r="A2744">
        <f>HYPERLINK("https://www.philgeps.gov.ph/GEPSNONPILOT/Tender/SplashBidNoticeAbstractUI.aspx?menuIndex=3&amp;refID=7143968&amp;Result=3","7143968")</f>
        <v>0</v>
      </c>
      <c r="B2744" t="s">
        <v>1185</v>
      </c>
      <c r="C2744" t="s">
        <v>6394</v>
      </c>
      <c r="D2744" t="s">
        <v>18011</v>
      </c>
      <c r="E2744" t="s">
        <v>20540</v>
      </c>
      <c r="F2744" t="s">
        <v>30900</v>
      </c>
      <c r="G2744" t="s">
        <v>30909</v>
      </c>
      <c r="H2744" t="s">
        <v>30916</v>
      </c>
      <c r="I2744" t="s">
        <v>30939</v>
      </c>
      <c r="J2744" t="s">
        <v>33038</v>
      </c>
      <c r="K2744" t="s">
        <v>40314</v>
      </c>
      <c r="M2744" t="s">
        <v>41794</v>
      </c>
      <c r="N2744" t="s">
        <v>44759</v>
      </c>
      <c r="O2744" t="s">
        <v>44760</v>
      </c>
      <c r="P2744">
        <v>0</v>
      </c>
      <c r="Q2744">
        <v>0</v>
      </c>
      <c r="R2744" t="s">
        <v>44763</v>
      </c>
      <c r="S2744" t="s">
        <v>44876</v>
      </c>
      <c r="T2744" t="s">
        <v>46393</v>
      </c>
      <c r="U2744" t="s">
        <v>49277</v>
      </c>
      <c r="V2744" t="s">
        <v>59426</v>
      </c>
      <c r="W2744" t="s">
        <v>41794</v>
      </c>
      <c r="X2744" t="s">
        <v>44768</v>
      </c>
    </row>
    <row r="2745" spans="1:24">
      <c r="A2745">
        <f>HYPERLINK("https://www.philgeps.gov.ph/GEPSNONPILOT/Tender/SplashBidNoticeAbstractUI.aspx?menuIndex=3&amp;refID=7145413&amp;Result=3","7145413")</f>
        <v>0</v>
      </c>
      <c r="B2745" t="s">
        <v>1162</v>
      </c>
      <c r="C2745" t="s">
        <v>6395</v>
      </c>
      <c r="D2745" t="s">
        <v>17959</v>
      </c>
      <c r="E2745" t="s">
        <v>20541</v>
      </c>
      <c r="F2745" t="s">
        <v>30900</v>
      </c>
      <c r="G2745" t="s">
        <v>30908</v>
      </c>
      <c r="H2745" t="s">
        <v>30916</v>
      </c>
      <c r="I2745" t="s">
        <v>4108</v>
      </c>
      <c r="J2745" t="s">
        <v>33039</v>
      </c>
      <c r="K2745" t="s">
        <v>40287</v>
      </c>
      <c r="M2745" t="s">
        <v>41799</v>
      </c>
      <c r="N2745" t="s">
        <v>44759</v>
      </c>
      <c r="O2745" t="s">
        <v>44760</v>
      </c>
      <c r="P2745">
        <v>0</v>
      </c>
      <c r="Q2745">
        <v>0</v>
      </c>
      <c r="R2745" t="s">
        <v>44763</v>
      </c>
      <c r="S2745" t="s">
        <v>44876</v>
      </c>
      <c r="T2745" t="s">
        <v>46611</v>
      </c>
      <c r="U2745" t="s">
        <v>49278</v>
      </c>
      <c r="V2745" t="s">
        <v>59414</v>
      </c>
      <c r="W2745" t="s">
        <v>41799</v>
      </c>
      <c r="X2745" t="s">
        <v>44767</v>
      </c>
    </row>
    <row r="2746" spans="1:24">
      <c r="A2746">
        <f>HYPERLINK("https://www.philgeps.gov.ph/GEPSNONPILOT/Tender/SplashBidNoticeAbstractUI.aspx?menuIndex=3&amp;refID=7145452&amp;Result=3","7145452")</f>
        <v>0</v>
      </c>
      <c r="B2746" t="s">
        <v>157</v>
      </c>
      <c r="C2746" t="s">
        <v>6396</v>
      </c>
      <c r="D2746" t="s">
        <v>17978</v>
      </c>
      <c r="E2746" t="s">
        <v>20542</v>
      </c>
      <c r="F2746" t="s">
        <v>30900</v>
      </c>
      <c r="G2746" t="s">
        <v>30908</v>
      </c>
      <c r="H2746" t="s">
        <v>30916</v>
      </c>
      <c r="I2746" t="s">
        <v>6396</v>
      </c>
      <c r="J2746" t="s">
        <v>33040</v>
      </c>
      <c r="K2746" t="s">
        <v>40286</v>
      </c>
      <c r="M2746" t="s">
        <v>40704</v>
      </c>
      <c r="N2746" t="s">
        <v>44759</v>
      </c>
      <c r="O2746" t="s">
        <v>44760</v>
      </c>
      <c r="P2746">
        <v>0</v>
      </c>
      <c r="Q2746">
        <v>3</v>
      </c>
      <c r="R2746" t="s">
        <v>44763</v>
      </c>
      <c r="S2746" t="s">
        <v>44876</v>
      </c>
      <c r="T2746" t="s">
        <v>46403</v>
      </c>
      <c r="U2746" t="s">
        <v>49279</v>
      </c>
      <c r="W2746" t="s">
        <v>40704</v>
      </c>
      <c r="X2746" t="s">
        <v>44767</v>
      </c>
    </row>
    <row r="2747" spans="1:24">
      <c r="A2747">
        <f>HYPERLINK("https://www.philgeps.gov.ph/GEPSNONPILOT/Tender/SplashBidNoticeAbstractUI.aspx?menuIndex=3&amp;refID=7145444&amp;Result=3","7145444")</f>
        <v>0</v>
      </c>
      <c r="B2747" t="s">
        <v>1187</v>
      </c>
      <c r="C2747" t="s">
        <v>6397</v>
      </c>
      <c r="E2747" t="s">
        <v>20543</v>
      </c>
      <c r="F2747" t="s">
        <v>30900</v>
      </c>
      <c r="G2747" t="s">
        <v>30909</v>
      </c>
      <c r="H2747" t="s">
        <v>30916</v>
      </c>
      <c r="I2747" t="s">
        <v>9385</v>
      </c>
      <c r="J2747" t="s">
        <v>31501</v>
      </c>
      <c r="K2747" t="s">
        <v>40289</v>
      </c>
      <c r="M2747" t="s">
        <v>41796</v>
      </c>
      <c r="N2747" t="s">
        <v>44759</v>
      </c>
      <c r="O2747" t="s">
        <v>44760</v>
      </c>
      <c r="P2747">
        <v>0</v>
      </c>
      <c r="Q2747">
        <v>5</v>
      </c>
      <c r="R2747" t="s">
        <v>44763</v>
      </c>
      <c r="S2747" t="s">
        <v>44876</v>
      </c>
      <c r="T2747" t="s">
        <v>46403</v>
      </c>
      <c r="U2747" t="s">
        <v>49280</v>
      </c>
      <c r="V2747" t="s">
        <v>59427</v>
      </c>
      <c r="W2747" t="s">
        <v>41796</v>
      </c>
      <c r="X2747" t="s">
        <v>44767</v>
      </c>
    </row>
    <row r="2748" spans="1:24">
      <c r="A2748">
        <f>HYPERLINK("https://www.philgeps.gov.ph/GEPSNONPILOT/Tender/SplashBidNoticeAbstractUI.aspx?menuIndex=3&amp;refID=7145357&amp;Result=3","7145357")</f>
        <v>0</v>
      </c>
      <c r="B2748" t="s">
        <v>1178</v>
      </c>
      <c r="C2748" t="s">
        <v>6398</v>
      </c>
      <c r="D2748" t="s">
        <v>17994</v>
      </c>
      <c r="E2748" t="s">
        <v>20544</v>
      </c>
      <c r="F2748" t="s">
        <v>30900</v>
      </c>
      <c r="G2748" t="s">
        <v>30907</v>
      </c>
      <c r="H2748" t="s">
        <v>30916</v>
      </c>
      <c r="I2748" t="s">
        <v>8123</v>
      </c>
      <c r="J2748" t="s">
        <v>33041</v>
      </c>
      <c r="K2748" t="s">
        <v>40289</v>
      </c>
      <c r="M2748" t="s">
        <v>41785</v>
      </c>
      <c r="N2748" t="s">
        <v>44759</v>
      </c>
      <c r="O2748" t="s">
        <v>44760</v>
      </c>
      <c r="P2748">
        <v>0</v>
      </c>
      <c r="Q2748">
        <v>0</v>
      </c>
      <c r="R2748" t="s">
        <v>44763</v>
      </c>
      <c r="S2748" t="s">
        <v>44876</v>
      </c>
      <c r="T2748" t="s">
        <v>46389</v>
      </c>
      <c r="U2748" t="s">
        <v>49281</v>
      </c>
      <c r="W2748" t="s">
        <v>60854</v>
      </c>
      <c r="X2748" t="s">
        <v>44767</v>
      </c>
    </row>
    <row r="2749" spans="1:24">
      <c r="A2749">
        <f>HYPERLINK("https://www.philgeps.gov.ph/GEPSNONPILOT/Tender/SplashBidNoticeAbstractUI.aspx?menuIndex=3&amp;refID=7145436&amp;Result=3","7145436")</f>
        <v>0</v>
      </c>
      <c r="B2749" t="s">
        <v>1162</v>
      </c>
      <c r="C2749" t="s">
        <v>6399</v>
      </c>
      <c r="D2749" t="s">
        <v>17959</v>
      </c>
      <c r="E2749" t="s">
        <v>20545</v>
      </c>
      <c r="F2749" t="s">
        <v>30900</v>
      </c>
      <c r="G2749" t="s">
        <v>30908</v>
      </c>
      <c r="H2749" t="s">
        <v>30916</v>
      </c>
      <c r="I2749" t="s">
        <v>4108</v>
      </c>
      <c r="J2749" t="s">
        <v>33042</v>
      </c>
      <c r="K2749" t="s">
        <v>40287</v>
      </c>
      <c r="M2749" t="s">
        <v>40766</v>
      </c>
      <c r="N2749" t="s">
        <v>44759</v>
      </c>
      <c r="O2749" t="s">
        <v>44760</v>
      </c>
      <c r="P2749">
        <v>0</v>
      </c>
      <c r="Q2749">
        <v>0</v>
      </c>
      <c r="R2749" t="s">
        <v>44763</v>
      </c>
      <c r="S2749" t="s">
        <v>44876</v>
      </c>
      <c r="T2749" t="s">
        <v>46533</v>
      </c>
      <c r="U2749" t="s">
        <v>49282</v>
      </c>
      <c r="V2749" t="s">
        <v>59414</v>
      </c>
      <c r="W2749" t="s">
        <v>40766</v>
      </c>
      <c r="X2749" t="s">
        <v>44767</v>
      </c>
    </row>
    <row r="2750" spans="1:24">
      <c r="A2750">
        <f>HYPERLINK("https://www.philgeps.gov.ph/GEPSNONPILOT/Tender/SplashBidNoticeAbstractUI.aspx?menuIndex=3&amp;refID=7145430&amp;Result=3","7145430")</f>
        <v>0</v>
      </c>
      <c r="B2750" t="s">
        <v>1190</v>
      </c>
      <c r="C2750" t="s">
        <v>6400</v>
      </c>
      <c r="D2750" t="s">
        <v>17985</v>
      </c>
      <c r="E2750" t="s">
        <v>20546</v>
      </c>
      <c r="F2750" t="s">
        <v>30900</v>
      </c>
      <c r="G2750" t="s">
        <v>30909</v>
      </c>
      <c r="H2750" t="s">
        <v>30917</v>
      </c>
      <c r="I2750" t="s">
        <v>31006</v>
      </c>
      <c r="J2750" t="s">
        <v>31421</v>
      </c>
      <c r="K2750" t="s">
        <v>40349</v>
      </c>
      <c r="M2750" t="s">
        <v>41800</v>
      </c>
      <c r="N2750" t="s">
        <v>44759</v>
      </c>
      <c r="O2750" t="s">
        <v>44760</v>
      </c>
      <c r="P2750">
        <v>0</v>
      </c>
      <c r="Q2750">
        <v>0</v>
      </c>
      <c r="R2750" t="s">
        <v>44763</v>
      </c>
      <c r="S2750" t="s">
        <v>44876</v>
      </c>
      <c r="T2750" t="s">
        <v>46391</v>
      </c>
      <c r="U2750" t="s">
        <v>49283</v>
      </c>
      <c r="W2750" t="s">
        <v>41800</v>
      </c>
      <c r="X2750" t="s">
        <v>44767</v>
      </c>
    </row>
    <row r="2751" spans="1:24">
      <c r="A2751">
        <f>HYPERLINK("https://www.philgeps.gov.ph/GEPSNONPILOT/Tender/SplashBidNoticeAbstractUI.aspx?menuIndex=3&amp;refID=7145428&amp;Result=3","7145428")</f>
        <v>0</v>
      </c>
      <c r="B2751" t="s">
        <v>689</v>
      </c>
      <c r="C2751" t="s">
        <v>6401</v>
      </c>
      <c r="D2751" t="s">
        <v>17978</v>
      </c>
      <c r="E2751" t="s">
        <v>20547</v>
      </c>
      <c r="F2751" t="s">
        <v>30900</v>
      </c>
      <c r="G2751" t="s">
        <v>30909</v>
      </c>
      <c r="H2751" t="s">
        <v>30916</v>
      </c>
      <c r="I2751" t="s">
        <v>6396</v>
      </c>
      <c r="J2751" t="s">
        <v>33043</v>
      </c>
      <c r="K2751" t="s">
        <v>40285</v>
      </c>
      <c r="M2751" t="s">
        <v>41253</v>
      </c>
      <c r="N2751" t="s">
        <v>44759</v>
      </c>
      <c r="O2751" t="s">
        <v>44760</v>
      </c>
      <c r="P2751">
        <v>0</v>
      </c>
      <c r="Q2751">
        <v>2</v>
      </c>
      <c r="R2751" t="s">
        <v>44763</v>
      </c>
      <c r="S2751" t="s">
        <v>44876</v>
      </c>
      <c r="T2751" t="s">
        <v>46571</v>
      </c>
      <c r="U2751" t="s">
        <v>48165</v>
      </c>
      <c r="W2751" t="s">
        <v>41253</v>
      </c>
      <c r="X2751" t="s">
        <v>44767</v>
      </c>
    </row>
    <row r="2752" spans="1:24">
      <c r="A2752">
        <f>HYPERLINK("https://www.philgeps.gov.ph/GEPSNONPILOT/Tender/SplashBidNoticeAbstractUI.aspx?menuIndex=3&amp;refID=7145420&amp;Result=3","7145420")</f>
        <v>0</v>
      </c>
      <c r="B2752" t="s">
        <v>1191</v>
      </c>
      <c r="C2752" t="s">
        <v>6402</v>
      </c>
      <c r="D2752" t="s">
        <v>17980</v>
      </c>
      <c r="E2752" t="s">
        <v>20548</v>
      </c>
      <c r="F2752" t="s">
        <v>30900</v>
      </c>
      <c r="G2752" t="s">
        <v>30908</v>
      </c>
      <c r="H2752" t="s">
        <v>30916</v>
      </c>
      <c r="I2752" t="s">
        <v>8123</v>
      </c>
      <c r="J2752" t="s">
        <v>33044</v>
      </c>
      <c r="K2752" t="s">
        <v>40283</v>
      </c>
      <c r="M2752" t="s">
        <v>41801</v>
      </c>
      <c r="N2752" t="s">
        <v>44759</v>
      </c>
      <c r="O2752" t="s">
        <v>44760</v>
      </c>
      <c r="P2752">
        <v>0</v>
      </c>
      <c r="Q2752">
        <v>0</v>
      </c>
      <c r="R2752" t="s">
        <v>44763</v>
      </c>
      <c r="S2752" t="s">
        <v>44876</v>
      </c>
      <c r="T2752" t="s">
        <v>46403</v>
      </c>
      <c r="U2752" t="s">
        <v>49284</v>
      </c>
      <c r="W2752" t="s">
        <v>41801</v>
      </c>
      <c r="X2752" t="s">
        <v>44767</v>
      </c>
    </row>
    <row r="2753" spans="1:24">
      <c r="A2753">
        <f>HYPERLINK("https://www.philgeps.gov.ph/GEPSNONPILOT/Tender/SplashBidNoticeAbstractUI.aspx?menuIndex=3&amp;refID=7145323&amp;Result=3","7145323")</f>
        <v>0</v>
      </c>
      <c r="B2753" t="s">
        <v>1192</v>
      </c>
      <c r="C2753" t="s">
        <v>6403</v>
      </c>
      <c r="D2753" t="s">
        <v>18021</v>
      </c>
      <c r="E2753" t="s">
        <v>20549</v>
      </c>
      <c r="F2753" t="s">
        <v>30900</v>
      </c>
      <c r="G2753" t="s">
        <v>30907</v>
      </c>
      <c r="H2753" t="s">
        <v>30916</v>
      </c>
      <c r="I2753" t="s">
        <v>30933</v>
      </c>
      <c r="J2753" t="s">
        <v>33045</v>
      </c>
      <c r="K2753" t="s">
        <v>40292</v>
      </c>
      <c r="M2753" t="s">
        <v>41802</v>
      </c>
      <c r="N2753" t="s">
        <v>44759</v>
      </c>
      <c r="O2753" t="s">
        <v>44760</v>
      </c>
      <c r="P2753">
        <v>0</v>
      </c>
      <c r="Q2753">
        <v>5</v>
      </c>
      <c r="R2753" t="s">
        <v>44763</v>
      </c>
      <c r="S2753" t="s">
        <v>44876</v>
      </c>
      <c r="T2753" t="s">
        <v>46402</v>
      </c>
      <c r="U2753" t="s">
        <v>49285</v>
      </c>
      <c r="V2753" t="s">
        <v>59429</v>
      </c>
      <c r="W2753" t="s">
        <v>41802</v>
      </c>
      <c r="X2753" t="s">
        <v>44767</v>
      </c>
    </row>
    <row r="2754" spans="1:24">
      <c r="A2754">
        <f>HYPERLINK("https://www.philgeps.gov.ph/GEPSNONPILOT/Tender/SplashBidNoticeAbstractUI.aspx?menuIndex=3&amp;refID=7145453&amp;Result=3","7145453")</f>
        <v>0</v>
      </c>
      <c r="B2754" t="s">
        <v>56</v>
      </c>
      <c r="C2754" t="s">
        <v>6404</v>
      </c>
      <c r="D2754" t="s">
        <v>17952</v>
      </c>
      <c r="E2754" t="s">
        <v>20550</v>
      </c>
      <c r="F2754" t="s">
        <v>30900</v>
      </c>
      <c r="G2754" t="s">
        <v>30908</v>
      </c>
      <c r="H2754" t="s">
        <v>30916</v>
      </c>
      <c r="I2754" t="s">
        <v>30960</v>
      </c>
      <c r="J2754" t="s">
        <v>31048</v>
      </c>
      <c r="K2754" t="s">
        <v>40294</v>
      </c>
      <c r="M2754" t="s">
        <v>41803</v>
      </c>
      <c r="N2754" t="s">
        <v>44759</v>
      </c>
      <c r="O2754" t="s">
        <v>44760</v>
      </c>
      <c r="P2754">
        <v>0</v>
      </c>
      <c r="Q2754">
        <v>1</v>
      </c>
      <c r="R2754" t="s">
        <v>44763</v>
      </c>
      <c r="S2754" t="s">
        <v>44876</v>
      </c>
      <c r="T2754" t="s">
        <v>46383</v>
      </c>
      <c r="U2754" t="s">
        <v>49286</v>
      </c>
      <c r="W2754" t="s">
        <v>41803</v>
      </c>
      <c r="X2754" t="s">
        <v>44767</v>
      </c>
    </row>
    <row r="2755" spans="1:24">
      <c r="A2755">
        <f>HYPERLINK("https://www.philgeps.gov.ph/GEPSNONPILOT/Tender/SplashBidNoticeAbstractUI.aspx?menuIndex=3&amp;refID=7145320&amp;Result=3","7145320")</f>
        <v>0</v>
      </c>
      <c r="B2755" t="s">
        <v>1178</v>
      </c>
      <c r="C2755" t="s">
        <v>6405</v>
      </c>
      <c r="D2755" t="s">
        <v>17994</v>
      </c>
      <c r="E2755" t="s">
        <v>20551</v>
      </c>
      <c r="F2755" t="s">
        <v>30900</v>
      </c>
      <c r="G2755" t="s">
        <v>30907</v>
      </c>
      <c r="H2755" t="s">
        <v>30916</v>
      </c>
      <c r="I2755" t="s">
        <v>8123</v>
      </c>
      <c r="J2755" t="s">
        <v>33046</v>
      </c>
      <c r="K2755" t="s">
        <v>40289</v>
      </c>
      <c r="M2755" t="s">
        <v>41785</v>
      </c>
      <c r="N2755" t="s">
        <v>44759</v>
      </c>
      <c r="O2755" t="s">
        <v>44760</v>
      </c>
      <c r="P2755">
        <v>0</v>
      </c>
      <c r="Q2755">
        <v>0</v>
      </c>
      <c r="R2755" t="s">
        <v>44763</v>
      </c>
      <c r="S2755" t="s">
        <v>44876</v>
      </c>
      <c r="T2755" t="s">
        <v>46389</v>
      </c>
      <c r="U2755" t="s">
        <v>49287</v>
      </c>
      <c r="W2755" t="s">
        <v>60854</v>
      </c>
      <c r="X2755" t="s">
        <v>44767</v>
      </c>
    </row>
    <row r="2756" spans="1:24">
      <c r="A2756">
        <f>HYPERLINK("https://www.philgeps.gov.ph/GEPSNONPILOT/Tender/SplashBidNoticeAbstractUI.aspx?menuIndex=3&amp;refID=7145317&amp;Result=3","7145317")</f>
        <v>0</v>
      </c>
      <c r="B2756" t="s">
        <v>1100</v>
      </c>
      <c r="C2756" t="s">
        <v>6406</v>
      </c>
      <c r="D2756" t="s">
        <v>18004</v>
      </c>
      <c r="E2756" t="s">
        <v>20552</v>
      </c>
      <c r="F2756" t="s">
        <v>30900</v>
      </c>
      <c r="G2756" t="s">
        <v>30908</v>
      </c>
      <c r="H2756" t="s">
        <v>30916</v>
      </c>
      <c r="I2756" t="s">
        <v>10602</v>
      </c>
      <c r="J2756" t="s">
        <v>33047</v>
      </c>
      <c r="K2756" t="s">
        <v>40289</v>
      </c>
      <c r="M2756" t="s">
        <v>41789</v>
      </c>
      <c r="N2756" t="s">
        <v>44759</v>
      </c>
      <c r="O2756" t="s">
        <v>44760</v>
      </c>
      <c r="P2756">
        <v>0</v>
      </c>
      <c r="Q2756">
        <v>0</v>
      </c>
      <c r="R2756" t="s">
        <v>44763</v>
      </c>
      <c r="S2756" t="s">
        <v>44876</v>
      </c>
      <c r="T2756" t="s">
        <v>46404</v>
      </c>
      <c r="U2756" t="s">
        <v>49288</v>
      </c>
      <c r="W2756" t="s">
        <v>41789</v>
      </c>
      <c r="X2756" t="s">
        <v>44767</v>
      </c>
    </row>
    <row r="2757" spans="1:24">
      <c r="A2757">
        <f>HYPERLINK("https://www.philgeps.gov.ph/GEPSNONPILOT/Tender/SplashBidNoticeAbstractUI.aspx?menuIndex=3&amp;refID=7145448&amp;Result=3","7145448")</f>
        <v>0</v>
      </c>
      <c r="B2757" t="s">
        <v>869</v>
      </c>
      <c r="C2757" t="s">
        <v>6407</v>
      </c>
      <c r="D2757" t="s">
        <v>17988</v>
      </c>
      <c r="E2757" t="s">
        <v>20553</v>
      </c>
      <c r="F2757" t="s">
        <v>30900</v>
      </c>
      <c r="G2757" t="s">
        <v>30907</v>
      </c>
      <c r="H2757" t="s">
        <v>30916</v>
      </c>
      <c r="I2757" t="s">
        <v>8123</v>
      </c>
      <c r="J2757" t="s">
        <v>33048</v>
      </c>
      <c r="K2757" t="s">
        <v>40283</v>
      </c>
      <c r="M2757" t="s">
        <v>41442</v>
      </c>
      <c r="N2757" t="s">
        <v>44759</v>
      </c>
      <c r="O2757" t="s">
        <v>44760</v>
      </c>
      <c r="P2757">
        <v>0</v>
      </c>
      <c r="Q2757">
        <v>0</v>
      </c>
      <c r="R2757" t="s">
        <v>44763</v>
      </c>
      <c r="S2757" t="s">
        <v>44876</v>
      </c>
      <c r="T2757" t="s">
        <v>46418</v>
      </c>
      <c r="U2757" t="s">
        <v>49289</v>
      </c>
      <c r="W2757" t="s">
        <v>41442</v>
      </c>
      <c r="X2757" t="s">
        <v>44767</v>
      </c>
    </row>
    <row r="2758" spans="1:24">
      <c r="A2758">
        <f>HYPERLINK("https://www.philgeps.gov.ph/GEPSNONPILOT/Tender/SplashBidNoticeAbstractUI.aspx?menuIndex=3&amp;refID=7145599&amp;Result=3","7145599")</f>
        <v>0</v>
      </c>
      <c r="B2758" t="s">
        <v>157</v>
      </c>
      <c r="C2758" t="s">
        <v>6408</v>
      </c>
      <c r="D2758" t="s">
        <v>17978</v>
      </c>
      <c r="E2758" t="s">
        <v>20554</v>
      </c>
      <c r="F2758" t="s">
        <v>30900</v>
      </c>
      <c r="G2758" t="s">
        <v>30908</v>
      </c>
      <c r="H2758" t="s">
        <v>30916</v>
      </c>
      <c r="I2758" t="s">
        <v>6408</v>
      </c>
      <c r="J2758" t="s">
        <v>33049</v>
      </c>
      <c r="K2758" t="s">
        <v>40286</v>
      </c>
      <c r="M2758" t="s">
        <v>40704</v>
      </c>
      <c r="N2758" t="s">
        <v>44759</v>
      </c>
      <c r="O2758" t="s">
        <v>44760</v>
      </c>
      <c r="P2758">
        <v>0</v>
      </c>
      <c r="Q2758">
        <v>1</v>
      </c>
      <c r="R2758" t="s">
        <v>44763</v>
      </c>
      <c r="S2758" t="s">
        <v>44876</v>
      </c>
      <c r="T2758" t="s">
        <v>46403</v>
      </c>
      <c r="U2758" t="s">
        <v>49290</v>
      </c>
      <c r="W2758" t="s">
        <v>40704</v>
      </c>
      <c r="X2758" t="s">
        <v>44767</v>
      </c>
    </row>
    <row r="2759" spans="1:24">
      <c r="A2759">
        <f>HYPERLINK("https://www.philgeps.gov.ph/GEPSNONPILOT/Tender/SplashBidNoticeAbstractUI.aspx?menuIndex=3&amp;refID=7145427&amp;Result=3","7145427")</f>
        <v>0</v>
      </c>
      <c r="B2759" t="s">
        <v>1162</v>
      </c>
      <c r="C2759" t="s">
        <v>6409</v>
      </c>
      <c r="D2759" t="s">
        <v>17959</v>
      </c>
      <c r="E2759" t="s">
        <v>20555</v>
      </c>
      <c r="F2759" t="s">
        <v>30900</v>
      </c>
      <c r="G2759" t="s">
        <v>30908</v>
      </c>
      <c r="H2759" t="s">
        <v>30916</v>
      </c>
      <c r="I2759" t="s">
        <v>4142</v>
      </c>
      <c r="J2759" t="s">
        <v>33050</v>
      </c>
      <c r="K2759" t="s">
        <v>40287</v>
      </c>
      <c r="M2759" t="s">
        <v>41799</v>
      </c>
      <c r="N2759" t="s">
        <v>44759</v>
      </c>
      <c r="O2759" t="s">
        <v>44760</v>
      </c>
      <c r="P2759">
        <v>0</v>
      </c>
      <c r="Q2759">
        <v>1</v>
      </c>
      <c r="R2759" t="s">
        <v>44763</v>
      </c>
      <c r="S2759" t="s">
        <v>44876</v>
      </c>
      <c r="T2759" t="s">
        <v>46611</v>
      </c>
      <c r="U2759" t="s">
        <v>49291</v>
      </c>
      <c r="V2759" t="s">
        <v>59414</v>
      </c>
      <c r="W2759" t="s">
        <v>41799</v>
      </c>
      <c r="X2759" t="s">
        <v>44767</v>
      </c>
    </row>
    <row r="2760" spans="1:24">
      <c r="A2760">
        <f>HYPERLINK("https://www.philgeps.gov.ph/GEPSNONPILOT/Tender/SplashBidNoticeAbstractUI.aspx?menuIndex=3&amp;refID=7145595&amp;Result=3","7145595")</f>
        <v>0</v>
      </c>
      <c r="B2760" t="s">
        <v>35</v>
      </c>
      <c r="C2760" t="s">
        <v>6410</v>
      </c>
      <c r="D2760" t="s">
        <v>17962</v>
      </c>
      <c r="E2760" t="s">
        <v>20556</v>
      </c>
      <c r="F2760" t="s">
        <v>30900</v>
      </c>
      <c r="G2760" t="s">
        <v>30907</v>
      </c>
      <c r="H2760" t="s">
        <v>30915</v>
      </c>
      <c r="I2760" t="s">
        <v>30919</v>
      </c>
      <c r="J2760" t="s">
        <v>33051</v>
      </c>
      <c r="K2760" t="s">
        <v>40379</v>
      </c>
      <c r="M2760" t="s">
        <v>40581</v>
      </c>
      <c r="N2760" t="s">
        <v>44759</v>
      </c>
      <c r="O2760" t="s">
        <v>44760</v>
      </c>
      <c r="P2760">
        <v>0</v>
      </c>
      <c r="Q2760">
        <v>0</v>
      </c>
      <c r="R2760" t="s">
        <v>44763</v>
      </c>
      <c r="S2760" t="s">
        <v>44876</v>
      </c>
      <c r="T2760" t="s">
        <v>46465</v>
      </c>
      <c r="U2760" t="s">
        <v>49292</v>
      </c>
      <c r="V2760" t="s">
        <v>59094</v>
      </c>
      <c r="W2760" t="s">
        <v>40581</v>
      </c>
      <c r="X2760" t="s">
        <v>44767</v>
      </c>
    </row>
    <row r="2761" spans="1:24">
      <c r="A2761">
        <f>HYPERLINK("https://www.philgeps.gov.ph/GEPSNONPILOT/Tender/SplashBidNoticeAbstractUI.aspx?menuIndex=3&amp;refID=7145594&amp;Result=3","7145594")</f>
        <v>0</v>
      </c>
      <c r="B2761" t="s">
        <v>1162</v>
      </c>
      <c r="C2761" t="s">
        <v>6411</v>
      </c>
      <c r="D2761" t="s">
        <v>17959</v>
      </c>
      <c r="E2761" t="s">
        <v>20557</v>
      </c>
      <c r="F2761" t="s">
        <v>30900</v>
      </c>
      <c r="G2761" t="s">
        <v>30908</v>
      </c>
      <c r="H2761" t="s">
        <v>30916</v>
      </c>
      <c r="I2761" t="s">
        <v>30997</v>
      </c>
      <c r="J2761" t="s">
        <v>33052</v>
      </c>
      <c r="K2761" t="s">
        <v>40287</v>
      </c>
      <c r="M2761" t="s">
        <v>40766</v>
      </c>
      <c r="N2761" t="s">
        <v>44759</v>
      </c>
      <c r="O2761" t="s">
        <v>44760</v>
      </c>
      <c r="P2761">
        <v>0</v>
      </c>
      <c r="Q2761">
        <v>0</v>
      </c>
      <c r="R2761" t="s">
        <v>44763</v>
      </c>
      <c r="S2761" t="s">
        <v>44876</v>
      </c>
      <c r="T2761" t="s">
        <v>46533</v>
      </c>
      <c r="U2761" t="s">
        <v>49293</v>
      </c>
      <c r="V2761" t="s">
        <v>59414</v>
      </c>
      <c r="W2761" t="s">
        <v>40766</v>
      </c>
      <c r="X2761" t="s">
        <v>44767</v>
      </c>
    </row>
    <row r="2762" spans="1:24">
      <c r="A2762">
        <f>HYPERLINK("https://www.philgeps.gov.ph/GEPSNONPILOT/Tender/SplashBidNoticeAbstractUI.aspx?menuIndex=3&amp;refID=7145568&amp;Result=3","7145568")</f>
        <v>0</v>
      </c>
      <c r="B2762" t="s">
        <v>157</v>
      </c>
      <c r="C2762" t="s">
        <v>4545</v>
      </c>
      <c r="D2762" t="s">
        <v>17978</v>
      </c>
      <c r="E2762" t="s">
        <v>20558</v>
      </c>
      <c r="F2762" t="s">
        <v>30900</v>
      </c>
      <c r="G2762" t="s">
        <v>30908</v>
      </c>
      <c r="H2762" t="s">
        <v>30916</v>
      </c>
      <c r="I2762" t="s">
        <v>4545</v>
      </c>
      <c r="J2762" t="s">
        <v>33053</v>
      </c>
      <c r="K2762" t="s">
        <v>40286</v>
      </c>
      <c r="M2762" t="s">
        <v>40704</v>
      </c>
      <c r="N2762" t="s">
        <v>44759</v>
      </c>
      <c r="O2762" t="s">
        <v>44760</v>
      </c>
      <c r="P2762">
        <v>0</v>
      </c>
      <c r="Q2762">
        <v>5</v>
      </c>
      <c r="R2762" t="s">
        <v>44763</v>
      </c>
      <c r="S2762" t="s">
        <v>44876</v>
      </c>
      <c r="T2762" t="s">
        <v>46403</v>
      </c>
      <c r="U2762" t="s">
        <v>49279</v>
      </c>
      <c r="W2762" t="s">
        <v>40704</v>
      </c>
      <c r="X2762" t="s">
        <v>44767</v>
      </c>
    </row>
    <row r="2763" spans="1:24">
      <c r="A2763">
        <f>HYPERLINK("https://www.philgeps.gov.ph/GEPSNONPILOT/Tender/SplashBidNoticeAbstractUI.aspx?menuIndex=3&amp;refID=7145457&amp;Result=3","7145457")</f>
        <v>0</v>
      </c>
      <c r="B2763" t="s">
        <v>1188</v>
      </c>
      <c r="C2763" t="s">
        <v>6412</v>
      </c>
      <c r="D2763" t="s">
        <v>18019</v>
      </c>
      <c r="E2763" t="s">
        <v>20559</v>
      </c>
      <c r="F2763" t="s">
        <v>30900</v>
      </c>
      <c r="G2763" t="s">
        <v>30908</v>
      </c>
      <c r="H2763" t="s">
        <v>30916</v>
      </c>
      <c r="I2763" t="s">
        <v>30971</v>
      </c>
      <c r="J2763" t="s">
        <v>33054</v>
      </c>
      <c r="K2763" t="s">
        <v>40284</v>
      </c>
      <c r="M2763" t="s">
        <v>41797</v>
      </c>
      <c r="N2763" t="s">
        <v>44759</v>
      </c>
      <c r="O2763" t="s">
        <v>44760</v>
      </c>
      <c r="P2763">
        <v>0</v>
      </c>
      <c r="Q2763">
        <v>0</v>
      </c>
      <c r="R2763" t="s">
        <v>44763</v>
      </c>
      <c r="S2763" t="s">
        <v>44876</v>
      </c>
      <c r="T2763" t="s">
        <v>46424</v>
      </c>
      <c r="U2763" t="s">
        <v>49294</v>
      </c>
      <c r="W2763" t="s">
        <v>41797</v>
      </c>
      <c r="X2763" t="s">
        <v>44767</v>
      </c>
    </row>
    <row r="2764" spans="1:24">
      <c r="A2764">
        <f>HYPERLINK("https://www.philgeps.gov.ph/GEPSNONPILOT/Tender/SplashBidNoticeAbstractUI.aspx?menuIndex=3&amp;refID=7144696&amp;Result=3","7144696")</f>
        <v>0</v>
      </c>
      <c r="B2764" t="s">
        <v>35</v>
      </c>
      <c r="C2764" t="s">
        <v>6413</v>
      </c>
      <c r="D2764" t="s">
        <v>17962</v>
      </c>
      <c r="E2764" t="s">
        <v>20560</v>
      </c>
      <c r="F2764" t="s">
        <v>30900</v>
      </c>
      <c r="G2764" t="s">
        <v>30907</v>
      </c>
      <c r="H2764" t="s">
        <v>30915</v>
      </c>
      <c r="I2764" t="s">
        <v>30919</v>
      </c>
      <c r="J2764" t="s">
        <v>32324</v>
      </c>
      <c r="K2764" t="s">
        <v>40380</v>
      </c>
      <c r="M2764" t="s">
        <v>40581</v>
      </c>
      <c r="N2764" t="s">
        <v>44759</v>
      </c>
      <c r="O2764" t="s">
        <v>44760</v>
      </c>
      <c r="P2764">
        <v>0</v>
      </c>
      <c r="Q2764">
        <v>1</v>
      </c>
      <c r="R2764" t="s">
        <v>44763</v>
      </c>
      <c r="S2764" t="s">
        <v>44876</v>
      </c>
      <c r="T2764" t="s">
        <v>46465</v>
      </c>
      <c r="U2764" t="s">
        <v>49295</v>
      </c>
      <c r="V2764" t="s">
        <v>59094</v>
      </c>
      <c r="W2764" t="s">
        <v>40581</v>
      </c>
      <c r="X2764" t="s">
        <v>44768</v>
      </c>
    </row>
    <row r="2765" spans="1:24">
      <c r="A2765">
        <f>HYPERLINK("https://www.philgeps.gov.ph/GEPSNONPILOT/Tender/SplashBidNoticeAbstractUI.aspx?menuIndex=3&amp;refID=7145565&amp;Result=3","7145565")</f>
        <v>0</v>
      </c>
      <c r="B2765" t="s">
        <v>1162</v>
      </c>
      <c r="C2765" t="s">
        <v>6414</v>
      </c>
      <c r="D2765" t="s">
        <v>17959</v>
      </c>
      <c r="E2765" t="s">
        <v>20561</v>
      </c>
      <c r="F2765" t="s">
        <v>30900</v>
      </c>
      <c r="G2765" t="s">
        <v>30908</v>
      </c>
      <c r="H2765" t="s">
        <v>30916</v>
      </c>
      <c r="I2765" t="s">
        <v>6953</v>
      </c>
      <c r="J2765" t="s">
        <v>33055</v>
      </c>
      <c r="K2765" t="s">
        <v>40287</v>
      </c>
      <c r="M2765" t="s">
        <v>40766</v>
      </c>
      <c r="N2765" t="s">
        <v>44759</v>
      </c>
      <c r="O2765" t="s">
        <v>44760</v>
      </c>
      <c r="P2765">
        <v>0</v>
      </c>
      <c r="Q2765">
        <v>0</v>
      </c>
      <c r="R2765" t="s">
        <v>44763</v>
      </c>
      <c r="S2765" t="s">
        <v>44876</v>
      </c>
      <c r="T2765" t="s">
        <v>46374</v>
      </c>
      <c r="U2765" t="s">
        <v>49296</v>
      </c>
      <c r="V2765" t="s">
        <v>59414</v>
      </c>
      <c r="W2765" t="s">
        <v>40766</v>
      </c>
      <c r="X2765" t="s">
        <v>44767</v>
      </c>
    </row>
    <row r="2766" spans="1:24">
      <c r="A2766">
        <f>HYPERLINK("https://www.philgeps.gov.ph/GEPSNONPILOT/Tender/SplashBidNoticeAbstractUI.aspx?menuIndex=3&amp;refID=7145554&amp;Result=3","7145554")</f>
        <v>0</v>
      </c>
      <c r="B2766" t="s">
        <v>1162</v>
      </c>
      <c r="C2766" t="s">
        <v>6415</v>
      </c>
      <c r="D2766" t="s">
        <v>17959</v>
      </c>
      <c r="E2766" t="s">
        <v>20562</v>
      </c>
      <c r="F2766" t="s">
        <v>30900</v>
      </c>
      <c r="G2766" t="s">
        <v>30908</v>
      </c>
      <c r="H2766" t="s">
        <v>30916</v>
      </c>
      <c r="I2766" t="s">
        <v>4142</v>
      </c>
      <c r="J2766" t="s">
        <v>33056</v>
      </c>
      <c r="K2766" t="s">
        <v>40287</v>
      </c>
      <c r="M2766" t="s">
        <v>41799</v>
      </c>
      <c r="N2766" t="s">
        <v>44759</v>
      </c>
      <c r="O2766" t="s">
        <v>44760</v>
      </c>
      <c r="P2766">
        <v>0</v>
      </c>
      <c r="Q2766">
        <v>1</v>
      </c>
      <c r="R2766" t="s">
        <v>44763</v>
      </c>
      <c r="S2766" t="s">
        <v>44876</v>
      </c>
      <c r="T2766" t="s">
        <v>46545</v>
      </c>
      <c r="U2766" t="s">
        <v>49297</v>
      </c>
      <c r="V2766" t="s">
        <v>59414</v>
      </c>
      <c r="W2766" t="s">
        <v>41799</v>
      </c>
      <c r="X2766" t="s">
        <v>44767</v>
      </c>
    </row>
    <row r="2767" spans="1:24">
      <c r="A2767">
        <f>HYPERLINK("https://www.philgeps.gov.ph/GEPSNONPILOT/Tender/SplashBidNoticeAbstractUI.aspx?menuIndex=3&amp;refID=7145540&amp;Result=3","7145540")</f>
        <v>0</v>
      </c>
      <c r="B2767" t="s">
        <v>1187</v>
      </c>
      <c r="C2767" t="s">
        <v>6416</v>
      </c>
      <c r="E2767" t="s">
        <v>20563</v>
      </c>
      <c r="F2767" t="s">
        <v>30900</v>
      </c>
      <c r="G2767" t="s">
        <v>30909</v>
      </c>
      <c r="H2767" t="s">
        <v>30916</v>
      </c>
      <c r="I2767" t="s">
        <v>4108</v>
      </c>
      <c r="J2767" t="s">
        <v>31050</v>
      </c>
      <c r="K2767" t="s">
        <v>40289</v>
      </c>
      <c r="M2767" t="s">
        <v>41796</v>
      </c>
      <c r="N2767" t="s">
        <v>44759</v>
      </c>
      <c r="O2767" t="s">
        <v>44760</v>
      </c>
      <c r="P2767">
        <v>0</v>
      </c>
      <c r="Q2767">
        <v>3</v>
      </c>
      <c r="R2767" t="s">
        <v>44763</v>
      </c>
      <c r="S2767" t="s">
        <v>44876</v>
      </c>
      <c r="T2767" t="s">
        <v>46403</v>
      </c>
      <c r="U2767" t="s">
        <v>49298</v>
      </c>
      <c r="V2767" t="s">
        <v>59427</v>
      </c>
      <c r="W2767" t="s">
        <v>41796</v>
      </c>
      <c r="X2767" t="s">
        <v>44767</v>
      </c>
    </row>
    <row r="2768" spans="1:24">
      <c r="A2768">
        <f>HYPERLINK("https://www.philgeps.gov.ph/GEPSNONPILOT/Tender/SplashBidNoticeAbstractUI.aspx?menuIndex=3&amp;refID=7145573&amp;Result=3","7145573")</f>
        <v>0</v>
      </c>
      <c r="B2768" t="s">
        <v>35</v>
      </c>
      <c r="C2768" t="s">
        <v>6417</v>
      </c>
      <c r="D2768" t="s">
        <v>17962</v>
      </c>
      <c r="E2768" t="s">
        <v>20564</v>
      </c>
      <c r="F2768" t="s">
        <v>30900</v>
      </c>
      <c r="G2768" t="s">
        <v>30907</v>
      </c>
      <c r="H2768" t="s">
        <v>30915</v>
      </c>
      <c r="I2768" t="s">
        <v>30919</v>
      </c>
      <c r="J2768" t="s">
        <v>33057</v>
      </c>
      <c r="K2768" t="s">
        <v>40322</v>
      </c>
      <c r="M2768" t="s">
        <v>40581</v>
      </c>
      <c r="N2768" t="s">
        <v>44759</v>
      </c>
      <c r="O2768" t="s">
        <v>44760</v>
      </c>
      <c r="P2768">
        <v>0</v>
      </c>
      <c r="Q2768">
        <v>0</v>
      </c>
      <c r="R2768" t="s">
        <v>44763</v>
      </c>
      <c r="S2768" t="s">
        <v>44876</v>
      </c>
      <c r="T2768" t="s">
        <v>46465</v>
      </c>
      <c r="U2768" t="s">
        <v>49299</v>
      </c>
      <c r="V2768" t="s">
        <v>59094</v>
      </c>
      <c r="W2768" t="s">
        <v>40581</v>
      </c>
      <c r="X2768" t="s">
        <v>44767</v>
      </c>
    </row>
    <row r="2769" spans="1:24">
      <c r="A2769">
        <f>HYPERLINK("https://www.philgeps.gov.ph/GEPSNONPILOT/Tender/SplashBidNoticeAbstractUI.aspx?menuIndex=3&amp;refID=7145539&amp;Result=3","7145539")</f>
        <v>0</v>
      </c>
      <c r="B2769" t="s">
        <v>35</v>
      </c>
      <c r="C2769" t="s">
        <v>6418</v>
      </c>
      <c r="D2769" t="s">
        <v>17962</v>
      </c>
      <c r="E2769" t="s">
        <v>20565</v>
      </c>
      <c r="F2769" t="s">
        <v>30900</v>
      </c>
      <c r="G2769" t="s">
        <v>30907</v>
      </c>
      <c r="H2769" t="s">
        <v>30915</v>
      </c>
      <c r="I2769" t="s">
        <v>30919</v>
      </c>
      <c r="J2769" t="s">
        <v>31152</v>
      </c>
      <c r="K2769" t="s">
        <v>40381</v>
      </c>
      <c r="M2769" t="s">
        <v>40581</v>
      </c>
      <c r="N2769" t="s">
        <v>44759</v>
      </c>
      <c r="O2769" t="s">
        <v>44760</v>
      </c>
      <c r="P2769">
        <v>0</v>
      </c>
      <c r="Q2769">
        <v>0</v>
      </c>
      <c r="R2769" t="s">
        <v>44763</v>
      </c>
      <c r="S2769" t="s">
        <v>44876</v>
      </c>
      <c r="T2769" t="s">
        <v>46465</v>
      </c>
      <c r="U2769" t="s">
        <v>49300</v>
      </c>
      <c r="V2769" t="s">
        <v>59094</v>
      </c>
      <c r="W2769" t="s">
        <v>40581</v>
      </c>
      <c r="X2769" t="s">
        <v>44767</v>
      </c>
    </row>
    <row r="2770" spans="1:24">
      <c r="A2770">
        <f>HYPERLINK("https://www.philgeps.gov.ph/GEPSNONPILOT/Tender/SplashBidNoticeAbstractUI.aspx?menuIndex=3&amp;refID=7145538&amp;Result=3","7145538")</f>
        <v>0</v>
      </c>
      <c r="B2770" t="s">
        <v>219</v>
      </c>
      <c r="C2770" t="s">
        <v>4108</v>
      </c>
      <c r="D2770" t="s">
        <v>17955</v>
      </c>
      <c r="E2770" t="s">
        <v>20566</v>
      </c>
      <c r="F2770" t="s">
        <v>30900</v>
      </c>
      <c r="G2770" t="s">
        <v>30908</v>
      </c>
      <c r="H2770" t="s">
        <v>30916</v>
      </c>
      <c r="I2770" t="s">
        <v>4108</v>
      </c>
      <c r="J2770" t="s">
        <v>33058</v>
      </c>
      <c r="K2770" t="s">
        <v>40286</v>
      </c>
      <c r="M2770" t="s">
        <v>40766</v>
      </c>
      <c r="N2770" t="s">
        <v>44759</v>
      </c>
      <c r="O2770" t="s">
        <v>44760</v>
      </c>
      <c r="P2770">
        <v>0</v>
      </c>
      <c r="Q2770">
        <v>0</v>
      </c>
      <c r="R2770" t="s">
        <v>44763</v>
      </c>
      <c r="S2770" t="s">
        <v>44876</v>
      </c>
      <c r="T2770" t="s">
        <v>46548</v>
      </c>
      <c r="U2770" t="s">
        <v>49301</v>
      </c>
      <c r="W2770" t="s">
        <v>40766</v>
      </c>
      <c r="X2770" t="s">
        <v>44767</v>
      </c>
    </row>
    <row r="2771" spans="1:24">
      <c r="A2771">
        <f>HYPERLINK("https://www.philgeps.gov.ph/GEPSNONPILOT/Tender/SplashBidNoticeAbstractUI.aspx?menuIndex=3&amp;refID=7145522&amp;Result=3","7145522")</f>
        <v>0</v>
      </c>
      <c r="B2771" t="s">
        <v>689</v>
      </c>
      <c r="C2771" t="s">
        <v>6419</v>
      </c>
      <c r="D2771" t="s">
        <v>17978</v>
      </c>
      <c r="E2771" t="s">
        <v>20567</v>
      </c>
      <c r="F2771" t="s">
        <v>30900</v>
      </c>
      <c r="G2771" t="s">
        <v>30909</v>
      </c>
      <c r="H2771" t="s">
        <v>30916</v>
      </c>
      <c r="I2771" t="s">
        <v>30947</v>
      </c>
      <c r="J2771" t="s">
        <v>33059</v>
      </c>
      <c r="K2771" t="s">
        <v>40285</v>
      </c>
      <c r="M2771" t="s">
        <v>41253</v>
      </c>
      <c r="N2771" t="s">
        <v>44759</v>
      </c>
      <c r="O2771" t="s">
        <v>44760</v>
      </c>
      <c r="P2771">
        <v>0</v>
      </c>
      <c r="Q2771">
        <v>1</v>
      </c>
      <c r="R2771" t="s">
        <v>44763</v>
      </c>
      <c r="S2771" t="s">
        <v>44876</v>
      </c>
      <c r="T2771" t="s">
        <v>46571</v>
      </c>
      <c r="U2771" t="s">
        <v>48165</v>
      </c>
      <c r="W2771" t="s">
        <v>41253</v>
      </c>
      <c r="X2771" t="s">
        <v>44767</v>
      </c>
    </row>
    <row r="2772" spans="1:24">
      <c r="A2772">
        <f>HYPERLINK("https://www.philgeps.gov.ph/GEPSNONPILOT/Tender/SplashBidNoticeAbstractUI.aspx?menuIndex=3&amp;refID=7145561&amp;Result=3","7145561")</f>
        <v>0</v>
      </c>
      <c r="B2772" t="s">
        <v>1188</v>
      </c>
      <c r="C2772" t="s">
        <v>6420</v>
      </c>
      <c r="D2772" t="s">
        <v>18019</v>
      </c>
      <c r="E2772" t="s">
        <v>20568</v>
      </c>
      <c r="F2772" t="s">
        <v>30900</v>
      </c>
      <c r="G2772" t="s">
        <v>30908</v>
      </c>
      <c r="H2772" t="s">
        <v>30916</v>
      </c>
      <c r="I2772" t="s">
        <v>30971</v>
      </c>
      <c r="J2772" t="s">
        <v>32233</v>
      </c>
      <c r="K2772" t="s">
        <v>40284</v>
      </c>
      <c r="M2772" t="s">
        <v>41797</v>
      </c>
      <c r="N2772" t="s">
        <v>44759</v>
      </c>
      <c r="O2772" t="s">
        <v>44760</v>
      </c>
      <c r="P2772">
        <v>0</v>
      </c>
      <c r="Q2772">
        <v>0</v>
      </c>
      <c r="R2772" t="s">
        <v>44763</v>
      </c>
      <c r="S2772" t="s">
        <v>44876</v>
      </c>
      <c r="T2772" t="s">
        <v>46424</v>
      </c>
      <c r="U2772" t="s">
        <v>49302</v>
      </c>
      <c r="W2772" t="s">
        <v>41797</v>
      </c>
      <c r="X2772" t="s">
        <v>44767</v>
      </c>
    </row>
    <row r="2773" spans="1:24">
      <c r="A2773">
        <f>HYPERLINK("https://www.philgeps.gov.ph/GEPSNONPILOT/Tender/SplashBidNoticeAbstractUI.aspx?menuIndex=3&amp;refID=7145514&amp;Result=3","7145514")</f>
        <v>0</v>
      </c>
      <c r="B2773" t="s">
        <v>1193</v>
      </c>
      <c r="C2773" t="s">
        <v>6421</v>
      </c>
      <c r="D2773" t="s">
        <v>17954</v>
      </c>
      <c r="E2773" t="s">
        <v>20569</v>
      </c>
      <c r="F2773" t="s">
        <v>30900</v>
      </c>
      <c r="G2773" t="s">
        <v>30908</v>
      </c>
      <c r="H2773" t="s">
        <v>30916</v>
      </c>
      <c r="I2773" t="s">
        <v>6746</v>
      </c>
      <c r="J2773" t="s">
        <v>33060</v>
      </c>
      <c r="K2773" t="s">
        <v>40284</v>
      </c>
      <c r="M2773" t="s">
        <v>41804</v>
      </c>
      <c r="N2773" t="s">
        <v>44759</v>
      </c>
      <c r="O2773" t="s">
        <v>44760</v>
      </c>
      <c r="P2773">
        <v>0</v>
      </c>
      <c r="Q2773">
        <v>1</v>
      </c>
      <c r="R2773" t="s">
        <v>44763</v>
      </c>
      <c r="S2773" t="s">
        <v>44876</v>
      </c>
      <c r="T2773" t="s">
        <v>46403</v>
      </c>
      <c r="U2773" t="s">
        <v>49303</v>
      </c>
      <c r="W2773" t="s">
        <v>41804</v>
      </c>
      <c r="X2773" t="s">
        <v>44767</v>
      </c>
    </row>
    <row r="2774" spans="1:24">
      <c r="A2774">
        <f>HYPERLINK("https://www.philgeps.gov.ph/GEPSNONPILOT/Tender/SplashBidNoticeAbstractUI.aspx?menuIndex=3&amp;refID=7145548&amp;Result=3","7145548")</f>
        <v>0</v>
      </c>
      <c r="B2774" t="s">
        <v>1162</v>
      </c>
      <c r="C2774" t="s">
        <v>6422</v>
      </c>
      <c r="D2774" t="s">
        <v>17959</v>
      </c>
      <c r="E2774" t="s">
        <v>20570</v>
      </c>
      <c r="F2774" t="s">
        <v>30900</v>
      </c>
      <c r="G2774" t="s">
        <v>30908</v>
      </c>
      <c r="H2774" t="s">
        <v>30916</v>
      </c>
      <c r="I2774" t="s">
        <v>4454</v>
      </c>
      <c r="J2774" t="s">
        <v>33061</v>
      </c>
      <c r="K2774" t="s">
        <v>40287</v>
      </c>
      <c r="M2774" t="s">
        <v>40766</v>
      </c>
      <c r="N2774" t="s">
        <v>44759</v>
      </c>
      <c r="O2774" t="s">
        <v>44760</v>
      </c>
      <c r="P2774">
        <v>0</v>
      </c>
      <c r="Q2774">
        <v>0</v>
      </c>
      <c r="R2774" t="s">
        <v>44763</v>
      </c>
      <c r="S2774" t="s">
        <v>44876</v>
      </c>
      <c r="T2774" t="s">
        <v>46533</v>
      </c>
      <c r="U2774" t="s">
        <v>49304</v>
      </c>
      <c r="V2774" t="s">
        <v>59414</v>
      </c>
      <c r="W2774" t="s">
        <v>40766</v>
      </c>
      <c r="X2774" t="s">
        <v>44767</v>
      </c>
    </row>
    <row r="2775" spans="1:24">
      <c r="A2775">
        <f>HYPERLINK("https://www.philgeps.gov.ph/GEPSNONPILOT/Tender/SplashBidNoticeAbstractUI.aspx?menuIndex=3&amp;refID=7145489&amp;Result=3","7145489")</f>
        <v>0</v>
      </c>
      <c r="B2775" t="s">
        <v>35</v>
      </c>
      <c r="C2775" t="s">
        <v>6423</v>
      </c>
      <c r="D2775" t="s">
        <v>17962</v>
      </c>
      <c r="E2775" t="s">
        <v>20571</v>
      </c>
      <c r="F2775" t="s">
        <v>30900</v>
      </c>
      <c r="G2775" t="s">
        <v>30907</v>
      </c>
      <c r="H2775" t="s">
        <v>30915</v>
      </c>
      <c r="I2775" t="s">
        <v>30919</v>
      </c>
      <c r="J2775" t="s">
        <v>33062</v>
      </c>
      <c r="K2775" t="s">
        <v>40382</v>
      </c>
      <c r="M2775" t="s">
        <v>40581</v>
      </c>
      <c r="N2775" t="s">
        <v>44759</v>
      </c>
      <c r="O2775" t="s">
        <v>44760</v>
      </c>
      <c r="P2775">
        <v>0</v>
      </c>
      <c r="Q2775">
        <v>0</v>
      </c>
      <c r="R2775" t="s">
        <v>44763</v>
      </c>
      <c r="S2775" t="s">
        <v>44876</v>
      </c>
      <c r="T2775" t="s">
        <v>46465</v>
      </c>
      <c r="U2775" t="s">
        <v>49305</v>
      </c>
      <c r="V2775" t="s">
        <v>59094</v>
      </c>
      <c r="W2775" t="s">
        <v>40581</v>
      </c>
      <c r="X2775" t="s">
        <v>44767</v>
      </c>
    </row>
    <row r="2776" spans="1:24">
      <c r="A2776">
        <f>HYPERLINK("https://www.philgeps.gov.ph/GEPSNONPILOT/Tender/SplashBidNoticeAbstractUI.aspx?menuIndex=3&amp;refID=7145476&amp;Result=3","7145476")</f>
        <v>0</v>
      </c>
      <c r="B2776" t="s">
        <v>1162</v>
      </c>
      <c r="C2776" t="s">
        <v>6424</v>
      </c>
      <c r="D2776" t="s">
        <v>17959</v>
      </c>
      <c r="E2776" t="s">
        <v>20572</v>
      </c>
      <c r="F2776" t="s">
        <v>30900</v>
      </c>
      <c r="G2776" t="s">
        <v>30908</v>
      </c>
      <c r="H2776" t="s">
        <v>30916</v>
      </c>
      <c r="I2776" t="s">
        <v>4108</v>
      </c>
      <c r="J2776" t="s">
        <v>33063</v>
      </c>
      <c r="K2776" t="s">
        <v>40287</v>
      </c>
      <c r="M2776" t="s">
        <v>41799</v>
      </c>
      <c r="N2776" t="s">
        <v>44759</v>
      </c>
      <c r="O2776" t="s">
        <v>44760</v>
      </c>
      <c r="P2776">
        <v>0</v>
      </c>
      <c r="Q2776">
        <v>0</v>
      </c>
      <c r="R2776" t="s">
        <v>44763</v>
      </c>
      <c r="S2776" t="s">
        <v>44876</v>
      </c>
      <c r="T2776" t="s">
        <v>46545</v>
      </c>
      <c r="U2776" t="s">
        <v>49306</v>
      </c>
      <c r="V2776" t="s">
        <v>59414</v>
      </c>
      <c r="W2776" t="s">
        <v>41799</v>
      </c>
      <c r="X2776" t="s">
        <v>44767</v>
      </c>
    </row>
    <row r="2777" spans="1:24">
      <c r="A2777">
        <f>HYPERLINK("https://www.philgeps.gov.ph/GEPSNONPILOT/Tender/SplashBidNoticeAbstractUI.aspx?menuIndex=3&amp;refID=7145533&amp;Result=3","7145533")</f>
        <v>0</v>
      </c>
      <c r="B2777" t="s">
        <v>1162</v>
      </c>
      <c r="C2777" t="s">
        <v>6425</v>
      </c>
      <c r="D2777" t="s">
        <v>17959</v>
      </c>
      <c r="E2777" t="s">
        <v>20573</v>
      </c>
      <c r="F2777" t="s">
        <v>30900</v>
      </c>
      <c r="G2777" t="s">
        <v>30908</v>
      </c>
      <c r="H2777" t="s">
        <v>30916</v>
      </c>
      <c r="I2777" t="s">
        <v>30926</v>
      </c>
      <c r="J2777" t="s">
        <v>33064</v>
      </c>
      <c r="K2777" t="s">
        <v>40287</v>
      </c>
      <c r="M2777" t="s">
        <v>41799</v>
      </c>
      <c r="N2777" t="s">
        <v>44759</v>
      </c>
      <c r="O2777" t="s">
        <v>44760</v>
      </c>
      <c r="P2777">
        <v>0</v>
      </c>
      <c r="Q2777">
        <v>0</v>
      </c>
      <c r="R2777" t="s">
        <v>44763</v>
      </c>
      <c r="S2777" t="s">
        <v>44876</v>
      </c>
      <c r="T2777" t="s">
        <v>46545</v>
      </c>
      <c r="U2777" t="s">
        <v>49307</v>
      </c>
      <c r="V2777" t="s">
        <v>59414</v>
      </c>
      <c r="W2777" t="s">
        <v>41799</v>
      </c>
      <c r="X2777" t="s">
        <v>44767</v>
      </c>
    </row>
    <row r="2778" spans="1:24">
      <c r="A2778">
        <f>HYPERLINK("https://www.philgeps.gov.ph/GEPSNONPILOT/Tender/SplashBidNoticeAbstractUI.aspx?menuIndex=3&amp;refID=7145681&amp;Result=3","7145681")</f>
        <v>0</v>
      </c>
      <c r="B2778" t="s">
        <v>1194</v>
      </c>
      <c r="C2778" t="s">
        <v>6426</v>
      </c>
      <c r="D2778" t="s">
        <v>18019</v>
      </c>
      <c r="E2778" t="s">
        <v>20574</v>
      </c>
      <c r="F2778" t="s">
        <v>30900</v>
      </c>
      <c r="G2778" t="s">
        <v>30908</v>
      </c>
      <c r="H2778" t="s">
        <v>30916</v>
      </c>
      <c r="I2778" t="s">
        <v>4545</v>
      </c>
      <c r="J2778" t="s">
        <v>32370</v>
      </c>
      <c r="K2778" t="s">
        <v>40293</v>
      </c>
      <c r="M2778" t="s">
        <v>41805</v>
      </c>
      <c r="N2778" t="s">
        <v>44759</v>
      </c>
      <c r="O2778" t="s">
        <v>44760</v>
      </c>
      <c r="P2778">
        <v>0</v>
      </c>
      <c r="Q2778">
        <v>1</v>
      </c>
      <c r="R2778" t="s">
        <v>44763</v>
      </c>
      <c r="S2778" t="s">
        <v>44876</v>
      </c>
      <c r="T2778" t="s">
        <v>46398</v>
      </c>
      <c r="U2778" t="s">
        <v>49308</v>
      </c>
      <c r="W2778" t="s">
        <v>41805</v>
      </c>
      <c r="X2778" t="s">
        <v>44767</v>
      </c>
    </row>
    <row r="2779" spans="1:24">
      <c r="A2779">
        <f>HYPERLINK("https://www.philgeps.gov.ph/GEPSNONPILOT/Tender/SplashBidNoticeAbstractUI.aspx?menuIndex=3&amp;refID=7145680&amp;Result=3","7145680")</f>
        <v>0</v>
      </c>
      <c r="B2779" t="s">
        <v>157</v>
      </c>
      <c r="C2779" t="s">
        <v>6427</v>
      </c>
      <c r="D2779" t="s">
        <v>17978</v>
      </c>
      <c r="E2779" t="s">
        <v>20575</v>
      </c>
      <c r="F2779" t="s">
        <v>30900</v>
      </c>
      <c r="G2779" t="s">
        <v>30908</v>
      </c>
      <c r="H2779" t="s">
        <v>30916</v>
      </c>
      <c r="I2779" t="s">
        <v>30936</v>
      </c>
      <c r="J2779" t="s">
        <v>33065</v>
      </c>
      <c r="K2779" t="s">
        <v>40286</v>
      </c>
      <c r="M2779" t="s">
        <v>40704</v>
      </c>
      <c r="N2779" t="s">
        <v>44759</v>
      </c>
      <c r="O2779" t="s">
        <v>44760</v>
      </c>
      <c r="P2779">
        <v>0</v>
      </c>
      <c r="Q2779">
        <v>1</v>
      </c>
      <c r="R2779" t="s">
        <v>44763</v>
      </c>
      <c r="S2779" t="s">
        <v>44876</v>
      </c>
      <c r="T2779" t="s">
        <v>46403</v>
      </c>
      <c r="U2779" t="s">
        <v>49309</v>
      </c>
      <c r="W2779" t="s">
        <v>40704</v>
      </c>
      <c r="X2779" t="s">
        <v>44767</v>
      </c>
    </row>
    <row r="2780" spans="1:24">
      <c r="A2780">
        <f>HYPERLINK("https://www.philgeps.gov.ph/GEPSNONPILOT/Tender/SplashBidNoticeAbstractUI.aspx?menuIndex=3&amp;refID=7145674&amp;Result=3","7145674")</f>
        <v>0</v>
      </c>
      <c r="B2780" t="s">
        <v>1193</v>
      </c>
      <c r="C2780" t="s">
        <v>6428</v>
      </c>
      <c r="D2780" t="s">
        <v>17954</v>
      </c>
      <c r="E2780" t="s">
        <v>20576</v>
      </c>
      <c r="F2780" t="s">
        <v>30900</v>
      </c>
      <c r="G2780" t="s">
        <v>30908</v>
      </c>
      <c r="H2780" t="s">
        <v>30916</v>
      </c>
      <c r="I2780" t="s">
        <v>30933</v>
      </c>
      <c r="J2780" t="s">
        <v>31096</v>
      </c>
      <c r="K2780" t="s">
        <v>40284</v>
      </c>
      <c r="M2780" t="s">
        <v>41804</v>
      </c>
      <c r="N2780" t="s">
        <v>44759</v>
      </c>
      <c r="O2780" t="s">
        <v>44760</v>
      </c>
      <c r="P2780">
        <v>0</v>
      </c>
      <c r="Q2780">
        <v>0</v>
      </c>
      <c r="R2780" t="s">
        <v>44763</v>
      </c>
      <c r="S2780" t="s">
        <v>44876</v>
      </c>
      <c r="T2780" t="s">
        <v>46403</v>
      </c>
      <c r="U2780" t="s">
        <v>49310</v>
      </c>
      <c r="W2780" t="s">
        <v>41804</v>
      </c>
      <c r="X2780" t="s">
        <v>44767</v>
      </c>
    </row>
    <row r="2781" spans="1:24">
      <c r="A2781">
        <f>HYPERLINK("https://www.philgeps.gov.ph/GEPSNONPILOT/Tender/SplashBidNoticeAbstractUI.aspx?menuIndex=3&amp;refID=7145718&amp;Result=3","7145718")</f>
        <v>0</v>
      </c>
      <c r="B2781" t="s">
        <v>1195</v>
      </c>
      <c r="C2781" t="s">
        <v>6429</v>
      </c>
      <c r="D2781" t="s">
        <v>17987</v>
      </c>
      <c r="E2781" t="s">
        <v>20577</v>
      </c>
      <c r="F2781" t="s">
        <v>30900</v>
      </c>
      <c r="G2781" t="s">
        <v>30908</v>
      </c>
      <c r="H2781" t="s">
        <v>30916</v>
      </c>
      <c r="I2781" t="s">
        <v>6953</v>
      </c>
      <c r="J2781" t="s">
        <v>33066</v>
      </c>
      <c r="K2781" t="s">
        <v>40287</v>
      </c>
      <c r="M2781" t="s">
        <v>41806</v>
      </c>
      <c r="N2781" t="s">
        <v>44759</v>
      </c>
      <c r="O2781" t="s">
        <v>44760</v>
      </c>
      <c r="P2781">
        <v>0</v>
      </c>
      <c r="Q2781">
        <v>0</v>
      </c>
      <c r="R2781" t="s">
        <v>44763</v>
      </c>
      <c r="S2781" t="s">
        <v>44876</v>
      </c>
      <c r="T2781" t="s">
        <v>46531</v>
      </c>
      <c r="U2781" t="s">
        <v>49311</v>
      </c>
      <c r="W2781" t="s">
        <v>41806</v>
      </c>
      <c r="X2781" t="s">
        <v>44767</v>
      </c>
    </row>
    <row r="2782" spans="1:24">
      <c r="A2782">
        <f>HYPERLINK("https://www.philgeps.gov.ph/GEPSNONPILOT/Tender/SplashBidNoticeAbstractUI.aspx?menuIndex=3&amp;refID=7145481&amp;Result=3","7145481")</f>
        <v>0</v>
      </c>
      <c r="B2782" t="s">
        <v>157</v>
      </c>
      <c r="C2782" t="s">
        <v>4454</v>
      </c>
      <c r="D2782" t="s">
        <v>17978</v>
      </c>
      <c r="E2782" t="s">
        <v>20578</v>
      </c>
      <c r="F2782" t="s">
        <v>30900</v>
      </c>
      <c r="G2782" t="s">
        <v>30908</v>
      </c>
      <c r="H2782" t="s">
        <v>30916</v>
      </c>
      <c r="I2782" t="s">
        <v>4454</v>
      </c>
      <c r="J2782" t="s">
        <v>33067</v>
      </c>
      <c r="K2782" t="s">
        <v>40286</v>
      </c>
      <c r="M2782" t="s">
        <v>40704</v>
      </c>
      <c r="N2782" t="s">
        <v>44759</v>
      </c>
      <c r="O2782" t="s">
        <v>44760</v>
      </c>
      <c r="P2782">
        <v>0</v>
      </c>
      <c r="Q2782">
        <v>4</v>
      </c>
      <c r="R2782" t="s">
        <v>44763</v>
      </c>
      <c r="S2782" t="s">
        <v>44876</v>
      </c>
      <c r="T2782" t="s">
        <v>46403</v>
      </c>
      <c r="U2782" t="s">
        <v>49279</v>
      </c>
      <c r="W2782" t="s">
        <v>40704</v>
      </c>
      <c r="X2782" t="s">
        <v>44767</v>
      </c>
    </row>
    <row r="2783" spans="1:24">
      <c r="A2783">
        <f>HYPERLINK("https://www.philgeps.gov.ph/GEPSNONPILOT/Tender/SplashBidNoticeAbstractUI.aspx?menuIndex=3&amp;refID=7145714&amp;Result=3","7145714")</f>
        <v>0</v>
      </c>
      <c r="B2783" t="s">
        <v>1187</v>
      </c>
      <c r="C2783" t="s">
        <v>6430</v>
      </c>
      <c r="E2783" t="s">
        <v>20579</v>
      </c>
      <c r="F2783" t="s">
        <v>30900</v>
      </c>
      <c r="G2783" t="s">
        <v>30908</v>
      </c>
      <c r="H2783" t="s">
        <v>30916</v>
      </c>
      <c r="I2783" t="s">
        <v>30957</v>
      </c>
      <c r="J2783" t="s">
        <v>33068</v>
      </c>
      <c r="K2783" t="s">
        <v>40289</v>
      </c>
      <c r="M2783" t="s">
        <v>41796</v>
      </c>
      <c r="N2783" t="s">
        <v>44759</v>
      </c>
      <c r="O2783" t="s">
        <v>44760</v>
      </c>
      <c r="P2783">
        <v>0</v>
      </c>
      <c r="Q2783">
        <v>0</v>
      </c>
      <c r="R2783" t="s">
        <v>44763</v>
      </c>
      <c r="S2783" t="s">
        <v>44876</v>
      </c>
      <c r="T2783" t="s">
        <v>46403</v>
      </c>
      <c r="U2783" t="s">
        <v>49312</v>
      </c>
      <c r="V2783" t="s">
        <v>59427</v>
      </c>
      <c r="W2783" t="s">
        <v>41796</v>
      </c>
      <c r="X2783" t="s">
        <v>44767</v>
      </c>
    </row>
    <row r="2784" spans="1:24">
      <c r="A2784">
        <f>HYPERLINK("https://www.philgeps.gov.ph/GEPSNONPILOT/Tender/SplashBidNoticeAbstractUI.aspx?menuIndex=3&amp;refID=7145601&amp;Result=3","7145601")</f>
        <v>0</v>
      </c>
      <c r="B2784" t="s">
        <v>1187</v>
      </c>
      <c r="C2784" t="s">
        <v>6431</v>
      </c>
      <c r="E2784" t="s">
        <v>20580</v>
      </c>
      <c r="F2784" t="s">
        <v>30900</v>
      </c>
      <c r="G2784" t="s">
        <v>30908</v>
      </c>
      <c r="H2784" t="s">
        <v>30916</v>
      </c>
      <c r="I2784" t="s">
        <v>30957</v>
      </c>
      <c r="J2784" t="s">
        <v>33069</v>
      </c>
      <c r="K2784" t="s">
        <v>40289</v>
      </c>
      <c r="M2784" t="s">
        <v>41796</v>
      </c>
      <c r="N2784" t="s">
        <v>44759</v>
      </c>
      <c r="O2784" t="s">
        <v>44760</v>
      </c>
      <c r="P2784">
        <v>0</v>
      </c>
      <c r="Q2784">
        <v>0</v>
      </c>
      <c r="R2784" t="s">
        <v>44763</v>
      </c>
      <c r="S2784" t="s">
        <v>44876</v>
      </c>
      <c r="T2784" t="s">
        <v>46403</v>
      </c>
      <c r="U2784" t="s">
        <v>49313</v>
      </c>
      <c r="V2784" t="s">
        <v>59427</v>
      </c>
      <c r="W2784" t="s">
        <v>41796</v>
      </c>
      <c r="X2784" t="s">
        <v>44767</v>
      </c>
    </row>
    <row r="2785" spans="1:24">
      <c r="A2785">
        <f>HYPERLINK("https://www.philgeps.gov.ph/GEPSNONPILOT/Tender/SplashBidNoticeAbstractUI.aspx?menuIndex=3&amp;refID=7145698&amp;Result=3","7145698")</f>
        <v>0</v>
      </c>
      <c r="B2785" t="s">
        <v>1188</v>
      </c>
      <c r="C2785" t="s">
        <v>6432</v>
      </c>
      <c r="D2785" t="s">
        <v>18019</v>
      </c>
      <c r="E2785" t="s">
        <v>20581</v>
      </c>
      <c r="F2785" t="s">
        <v>30900</v>
      </c>
      <c r="G2785" t="s">
        <v>30908</v>
      </c>
      <c r="H2785" t="s">
        <v>30916</v>
      </c>
      <c r="I2785" t="s">
        <v>30925</v>
      </c>
      <c r="J2785" t="s">
        <v>33070</v>
      </c>
      <c r="K2785" t="s">
        <v>40284</v>
      </c>
      <c r="M2785" t="s">
        <v>41797</v>
      </c>
      <c r="N2785" t="s">
        <v>44759</v>
      </c>
      <c r="O2785" t="s">
        <v>44760</v>
      </c>
      <c r="P2785">
        <v>0</v>
      </c>
      <c r="Q2785">
        <v>0</v>
      </c>
      <c r="R2785" t="s">
        <v>44763</v>
      </c>
      <c r="S2785" t="s">
        <v>44876</v>
      </c>
      <c r="T2785" t="s">
        <v>46424</v>
      </c>
      <c r="U2785" t="s">
        <v>49314</v>
      </c>
      <c r="W2785" t="s">
        <v>41797</v>
      </c>
      <c r="X2785" t="s">
        <v>44767</v>
      </c>
    </row>
    <row r="2786" spans="1:24">
      <c r="A2786">
        <f>HYPERLINK("https://www.philgeps.gov.ph/GEPSNONPILOT/Tender/SplashBidNoticeAbstractUI.aspx?menuIndex=3&amp;refID=7145652&amp;Result=3","7145652")</f>
        <v>0</v>
      </c>
      <c r="B2786" t="s">
        <v>281</v>
      </c>
      <c r="C2786" t="s">
        <v>6433</v>
      </c>
      <c r="D2786" t="s">
        <v>17964</v>
      </c>
      <c r="E2786" t="s">
        <v>20582</v>
      </c>
      <c r="F2786" t="s">
        <v>30900</v>
      </c>
      <c r="G2786" t="s">
        <v>30908</v>
      </c>
      <c r="H2786" t="s">
        <v>30917</v>
      </c>
      <c r="I2786" t="s">
        <v>30956</v>
      </c>
      <c r="J2786" t="s">
        <v>31288</v>
      </c>
      <c r="K2786" t="s">
        <v>40346</v>
      </c>
      <c r="M2786" t="s">
        <v>40828</v>
      </c>
      <c r="N2786" t="s">
        <v>44759</v>
      </c>
      <c r="O2786" t="s">
        <v>44760</v>
      </c>
      <c r="P2786">
        <v>0</v>
      </c>
      <c r="Q2786">
        <v>2</v>
      </c>
      <c r="R2786" t="s">
        <v>44763</v>
      </c>
      <c r="S2786" t="s">
        <v>44876</v>
      </c>
      <c r="T2786" t="s">
        <v>46612</v>
      </c>
      <c r="U2786" t="s">
        <v>49315</v>
      </c>
      <c r="W2786" t="s">
        <v>40828</v>
      </c>
      <c r="X2786" t="s">
        <v>44767</v>
      </c>
    </row>
    <row r="2787" spans="1:24">
      <c r="A2787">
        <f>HYPERLINK("https://www.philgeps.gov.ph/GEPSNONPILOT/Tender/SplashBidNoticeAbstractUI.aspx?menuIndex=3&amp;refID=7145513&amp;Result=3","7145513")</f>
        <v>0</v>
      </c>
      <c r="B2787" t="s">
        <v>1188</v>
      </c>
      <c r="C2787" t="s">
        <v>6434</v>
      </c>
      <c r="D2787" t="s">
        <v>18019</v>
      </c>
      <c r="E2787" t="s">
        <v>20583</v>
      </c>
      <c r="F2787" t="s">
        <v>30900</v>
      </c>
      <c r="G2787" t="s">
        <v>30908</v>
      </c>
      <c r="H2787" t="s">
        <v>30916</v>
      </c>
      <c r="I2787" t="s">
        <v>31007</v>
      </c>
      <c r="J2787" t="s">
        <v>31355</v>
      </c>
      <c r="K2787" t="s">
        <v>40284</v>
      </c>
      <c r="M2787" t="s">
        <v>41797</v>
      </c>
      <c r="N2787" t="s">
        <v>44759</v>
      </c>
      <c r="O2787" t="s">
        <v>44760</v>
      </c>
      <c r="P2787">
        <v>0</v>
      </c>
      <c r="Q2787">
        <v>0</v>
      </c>
      <c r="R2787" t="s">
        <v>44763</v>
      </c>
      <c r="S2787" t="s">
        <v>44876</v>
      </c>
      <c r="T2787" t="s">
        <v>46424</v>
      </c>
      <c r="U2787" t="s">
        <v>49316</v>
      </c>
      <c r="W2787" t="s">
        <v>41797</v>
      </c>
      <c r="X2787" t="s">
        <v>44767</v>
      </c>
    </row>
    <row r="2788" spans="1:24">
      <c r="A2788">
        <f>HYPERLINK("https://www.philgeps.gov.ph/GEPSNONPILOT/Tender/SplashBidNoticeAbstractUI.aspx?menuIndex=3&amp;refID=7145648&amp;Result=3","7145648")</f>
        <v>0</v>
      </c>
      <c r="B2788" t="s">
        <v>35</v>
      </c>
      <c r="C2788" t="s">
        <v>6435</v>
      </c>
      <c r="D2788" t="s">
        <v>17962</v>
      </c>
      <c r="E2788" t="s">
        <v>20584</v>
      </c>
      <c r="F2788" t="s">
        <v>30900</v>
      </c>
      <c r="G2788" t="s">
        <v>30907</v>
      </c>
      <c r="H2788" t="s">
        <v>30915</v>
      </c>
      <c r="I2788" t="s">
        <v>30919</v>
      </c>
      <c r="J2788" t="s">
        <v>33071</v>
      </c>
      <c r="K2788" t="s">
        <v>40295</v>
      </c>
      <c r="M2788" t="s">
        <v>40581</v>
      </c>
      <c r="N2788" t="s">
        <v>44759</v>
      </c>
      <c r="O2788" t="s">
        <v>44760</v>
      </c>
      <c r="P2788">
        <v>0</v>
      </c>
      <c r="Q2788">
        <v>0</v>
      </c>
      <c r="R2788" t="s">
        <v>44763</v>
      </c>
      <c r="S2788" t="s">
        <v>44876</v>
      </c>
      <c r="T2788" t="s">
        <v>46465</v>
      </c>
      <c r="U2788" t="s">
        <v>49317</v>
      </c>
      <c r="V2788" t="s">
        <v>59094</v>
      </c>
      <c r="W2788" t="s">
        <v>40581</v>
      </c>
      <c r="X2788" t="s">
        <v>44767</v>
      </c>
    </row>
    <row r="2789" spans="1:24">
      <c r="A2789">
        <f>HYPERLINK("https://www.philgeps.gov.ph/GEPSNONPILOT/Tender/SplashBidNoticeAbstractUI.aspx?menuIndex=3&amp;refID=7145641&amp;Result=3","7145641")</f>
        <v>0</v>
      </c>
      <c r="B2789" t="s">
        <v>1155</v>
      </c>
      <c r="C2789" t="s">
        <v>6436</v>
      </c>
      <c r="D2789" t="s">
        <v>17968</v>
      </c>
      <c r="E2789" t="s">
        <v>20585</v>
      </c>
      <c r="F2789" t="s">
        <v>30900</v>
      </c>
      <c r="G2789" t="s">
        <v>30908</v>
      </c>
      <c r="H2789" t="s">
        <v>30916</v>
      </c>
      <c r="I2789" t="s">
        <v>6746</v>
      </c>
      <c r="J2789" t="s">
        <v>33072</v>
      </c>
      <c r="K2789" t="s">
        <v>40284</v>
      </c>
      <c r="M2789" t="s">
        <v>41761</v>
      </c>
      <c r="N2789" t="s">
        <v>44759</v>
      </c>
      <c r="O2789" t="s">
        <v>44760</v>
      </c>
      <c r="P2789">
        <v>0</v>
      </c>
      <c r="Q2789">
        <v>0</v>
      </c>
      <c r="R2789" t="s">
        <v>44763</v>
      </c>
      <c r="S2789" t="s">
        <v>44876</v>
      </c>
      <c r="T2789" t="s">
        <v>46533</v>
      </c>
      <c r="U2789" t="s">
        <v>49318</v>
      </c>
      <c r="W2789" t="s">
        <v>41761</v>
      </c>
      <c r="X2789" t="s">
        <v>44767</v>
      </c>
    </row>
    <row r="2790" spans="1:24">
      <c r="A2790">
        <f>HYPERLINK("https://www.philgeps.gov.ph/GEPSNONPILOT/Tender/SplashBidNoticeAbstractUI.aspx?menuIndex=3&amp;refID=7145712&amp;Result=3","7145712")</f>
        <v>0</v>
      </c>
      <c r="B2790" t="s">
        <v>1191</v>
      </c>
      <c r="C2790" t="s">
        <v>6437</v>
      </c>
      <c r="D2790" t="s">
        <v>17980</v>
      </c>
      <c r="E2790" t="s">
        <v>20586</v>
      </c>
      <c r="F2790" t="s">
        <v>30900</v>
      </c>
      <c r="G2790" t="s">
        <v>30908</v>
      </c>
      <c r="H2790" t="s">
        <v>30916</v>
      </c>
      <c r="I2790" t="s">
        <v>30942</v>
      </c>
      <c r="J2790" t="s">
        <v>31303</v>
      </c>
      <c r="K2790" t="s">
        <v>40283</v>
      </c>
      <c r="M2790" t="s">
        <v>41801</v>
      </c>
      <c r="N2790" t="s">
        <v>44759</v>
      </c>
      <c r="O2790" t="s">
        <v>44760</v>
      </c>
      <c r="P2790">
        <v>0</v>
      </c>
      <c r="Q2790">
        <v>0</v>
      </c>
      <c r="R2790" t="s">
        <v>44763</v>
      </c>
      <c r="S2790" t="s">
        <v>44876</v>
      </c>
      <c r="T2790" t="s">
        <v>46403</v>
      </c>
      <c r="U2790" t="s">
        <v>49319</v>
      </c>
      <c r="W2790" t="s">
        <v>41801</v>
      </c>
      <c r="X2790" t="s">
        <v>44767</v>
      </c>
    </row>
    <row r="2791" spans="1:24">
      <c r="A2791">
        <f>HYPERLINK("https://www.philgeps.gov.ph/GEPSNONPILOT/Tender/SplashBidNoticeAbstractUI.aspx?menuIndex=3&amp;refID=7145338&amp;Result=3","7145338")</f>
        <v>0</v>
      </c>
      <c r="B2791" t="s">
        <v>1196</v>
      </c>
      <c r="C2791" t="s">
        <v>6438</v>
      </c>
      <c r="D2791" t="s">
        <v>18025</v>
      </c>
      <c r="E2791" t="s">
        <v>20587</v>
      </c>
      <c r="F2791" t="s">
        <v>30900</v>
      </c>
      <c r="G2791" t="s">
        <v>30907</v>
      </c>
      <c r="H2791" t="s">
        <v>30916</v>
      </c>
      <c r="I2791" t="s">
        <v>30932</v>
      </c>
      <c r="J2791" t="s">
        <v>33073</v>
      </c>
      <c r="K2791" t="s">
        <v>40286</v>
      </c>
      <c r="M2791" t="s">
        <v>41807</v>
      </c>
      <c r="N2791" t="s">
        <v>44759</v>
      </c>
      <c r="O2791" t="s">
        <v>44760</v>
      </c>
      <c r="P2791">
        <v>0</v>
      </c>
      <c r="Q2791">
        <v>3</v>
      </c>
      <c r="R2791" t="s">
        <v>44763</v>
      </c>
      <c r="S2791" t="s">
        <v>44876</v>
      </c>
      <c r="T2791" t="s">
        <v>46390</v>
      </c>
      <c r="U2791" t="s">
        <v>49320</v>
      </c>
      <c r="W2791" t="s">
        <v>41807</v>
      </c>
      <c r="X2791" t="s">
        <v>44767</v>
      </c>
    </row>
    <row r="2792" spans="1:24">
      <c r="A2792">
        <f>HYPERLINK("https://www.philgeps.gov.ph/GEPSNONPILOT/Tender/SplashBidNoticeAbstractUI.aspx?menuIndex=3&amp;refID=7145636&amp;Result=3","7145636")</f>
        <v>0</v>
      </c>
      <c r="B2792" t="s">
        <v>1197</v>
      </c>
      <c r="C2792" t="s">
        <v>6439</v>
      </c>
      <c r="D2792" t="s">
        <v>18002</v>
      </c>
      <c r="E2792" t="s">
        <v>20588</v>
      </c>
      <c r="F2792" t="s">
        <v>30900</v>
      </c>
      <c r="G2792" t="s">
        <v>30907</v>
      </c>
      <c r="H2792" t="s">
        <v>30916</v>
      </c>
      <c r="I2792" t="s">
        <v>30928</v>
      </c>
      <c r="J2792" t="s">
        <v>31407</v>
      </c>
      <c r="K2792" t="s">
        <v>40287</v>
      </c>
      <c r="M2792" t="s">
        <v>41808</v>
      </c>
      <c r="N2792" t="s">
        <v>44759</v>
      </c>
      <c r="O2792" t="s">
        <v>44760</v>
      </c>
      <c r="P2792">
        <v>0</v>
      </c>
      <c r="Q2792">
        <v>3</v>
      </c>
      <c r="R2792" t="s">
        <v>44763</v>
      </c>
      <c r="S2792" t="s">
        <v>44876</v>
      </c>
      <c r="T2792" t="s">
        <v>46498</v>
      </c>
      <c r="U2792" t="s">
        <v>49321</v>
      </c>
      <c r="W2792" t="s">
        <v>41808</v>
      </c>
      <c r="X2792" t="s">
        <v>44767</v>
      </c>
    </row>
    <row r="2793" spans="1:24">
      <c r="A2793">
        <f>HYPERLINK("https://www.philgeps.gov.ph/GEPSNONPILOT/Tender/SplashBidNoticeAbstractUI.aspx?menuIndex=3&amp;refID=7145634&amp;Result=3","7145634")</f>
        <v>0</v>
      </c>
      <c r="B2793" t="s">
        <v>157</v>
      </c>
      <c r="C2793" t="s">
        <v>4050</v>
      </c>
      <c r="D2793" t="s">
        <v>17978</v>
      </c>
      <c r="E2793" t="s">
        <v>20589</v>
      </c>
      <c r="F2793" t="s">
        <v>30900</v>
      </c>
      <c r="G2793" t="s">
        <v>30908</v>
      </c>
      <c r="H2793" t="s">
        <v>30916</v>
      </c>
      <c r="I2793" t="s">
        <v>4050</v>
      </c>
      <c r="J2793" t="s">
        <v>33074</v>
      </c>
      <c r="K2793" t="s">
        <v>40286</v>
      </c>
      <c r="M2793" t="s">
        <v>40704</v>
      </c>
      <c r="N2793" t="s">
        <v>44759</v>
      </c>
      <c r="O2793" t="s">
        <v>44760</v>
      </c>
      <c r="P2793">
        <v>0</v>
      </c>
      <c r="Q2793">
        <v>2</v>
      </c>
      <c r="R2793" t="s">
        <v>44763</v>
      </c>
      <c r="S2793" t="s">
        <v>44876</v>
      </c>
      <c r="T2793" t="s">
        <v>46403</v>
      </c>
      <c r="U2793" t="s">
        <v>47220</v>
      </c>
      <c r="W2793" t="s">
        <v>40704</v>
      </c>
      <c r="X2793" t="s">
        <v>44767</v>
      </c>
    </row>
    <row r="2794" spans="1:24">
      <c r="A2794">
        <f>HYPERLINK("https://www.philgeps.gov.ph/GEPSNONPILOT/Tender/SplashBidNoticeAbstractUI.aspx?menuIndex=3&amp;refID=7145628&amp;Result=3","7145628")</f>
        <v>0</v>
      </c>
      <c r="B2794" t="s">
        <v>689</v>
      </c>
      <c r="C2794" t="s">
        <v>6440</v>
      </c>
      <c r="D2794" t="s">
        <v>17978</v>
      </c>
      <c r="E2794" t="s">
        <v>20590</v>
      </c>
      <c r="F2794" t="s">
        <v>30900</v>
      </c>
      <c r="G2794" t="s">
        <v>30909</v>
      </c>
      <c r="H2794" t="s">
        <v>30916</v>
      </c>
      <c r="I2794" t="s">
        <v>8123</v>
      </c>
      <c r="J2794" t="s">
        <v>33075</v>
      </c>
      <c r="K2794" t="s">
        <v>40285</v>
      </c>
      <c r="M2794" t="s">
        <v>41253</v>
      </c>
      <c r="N2794" t="s">
        <v>44759</v>
      </c>
      <c r="O2794" t="s">
        <v>44760</v>
      </c>
      <c r="P2794">
        <v>0</v>
      </c>
      <c r="Q2794">
        <v>0</v>
      </c>
      <c r="R2794" t="s">
        <v>44763</v>
      </c>
      <c r="S2794" t="s">
        <v>44876</v>
      </c>
      <c r="T2794" t="s">
        <v>46571</v>
      </c>
      <c r="U2794" t="s">
        <v>48165</v>
      </c>
      <c r="W2794" t="s">
        <v>41253</v>
      </c>
      <c r="X2794" t="s">
        <v>44767</v>
      </c>
    </row>
    <row r="2795" spans="1:24">
      <c r="A2795">
        <f>HYPERLINK("https://www.philgeps.gov.ph/GEPSNONPILOT/Tender/SplashBidNoticeAbstractUI.aspx?menuIndex=3&amp;refID=7145604&amp;Result=3","7145604")</f>
        <v>0</v>
      </c>
      <c r="B2795" t="s">
        <v>1197</v>
      </c>
      <c r="C2795" t="s">
        <v>6441</v>
      </c>
      <c r="D2795" t="s">
        <v>18002</v>
      </c>
      <c r="E2795" t="s">
        <v>20591</v>
      </c>
      <c r="F2795" t="s">
        <v>30900</v>
      </c>
      <c r="G2795" t="s">
        <v>30907</v>
      </c>
      <c r="H2795" t="s">
        <v>30916</v>
      </c>
      <c r="I2795" t="s">
        <v>4545</v>
      </c>
      <c r="J2795" t="s">
        <v>33076</v>
      </c>
      <c r="K2795" t="s">
        <v>40287</v>
      </c>
      <c r="M2795" t="s">
        <v>41808</v>
      </c>
      <c r="N2795" t="s">
        <v>44759</v>
      </c>
      <c r="O2795" t="s">
        <v>44760</v>
      </c>
      <c r="P2795">
        <v>0</v>
      </c>
      <c r="Q2795">
        <v>1</v>
      </c>
      <c r="R2795" t="s">
        <v>44763</v>
      </c>
      <c r="S2795" t="s">
        <v>44876</v>
      </c>
      <c r="T2795" t="s">
        <v>46498</v>
      </c>
      <c r="U2795" t="s">
        <v>49321</v>
      </c>
      <c r="W2795" t="s">
        <v>41808</v>
      </c>
      <c r="X2795" t="s">
        <v>44767</v>
      </c>
    </row>
    <row r="2796" spans="1:24">
      <c r="A2796">
        <f>HYPERLINK("https://www.philgeps.gov.ph/GEPSNONPILOT/Tender/SplashBidNoticeAbstractUI.aspx?menuIndex=3&amp;refID=7145647&amp;Result=3","7145647")</f>
        <v>0</v>
      </c>
      <c r="B2796" t="s">
        <v>1162</v>
      </c>
      <c r="C2796" t="s">
        <v>6442</v>
      </c>
      <c r="D2796" t="s">
        <v>17959</v>
      </c>
      <c r="E2796" t="s">
        <v>20592</v>
      </c>
      <c r="F2796" t="s">
        <v>30900</v>
      </c>
      <c r="G2796" t="s">
        <v>30908</v>
      </c>
      <c r="H2796" t="s">
        <v>30916</v>
      </c>
      <c r="I2796" t="s">
        <v>30926</v>
      </c>
      <c r="J2796" t="s">
        <v>33077</v>
      </c>
      <c r="K2796" t="s">
        <v>40287</v>
      </c>
      <c r="M2796" t="s">
        <v>40766</v>
      </c>
      <c r="N2796" t="s">
        <v>44759</v>
      </c>
      <c r="O2796" t="s">
        <v>44760</v>
      </c>
      <c r="P2796">
        <v>0</v>
      </c>
      <c r="Q2796">
        <v>0</v>
      </c>
      <c r="R2796" t="s">
        <v>44763</v>
      </c>
      <c r="S2796" t="s">
        <v>44876</v>
      </c>
      <c r="T2796" t="s">
        <v>46533</v>
      </c>
      <c r="U2796" t="s">
        <v>49322</v>
      </c>
      <c r="V2796" t="s">
        <v>59414</v>
      </c>
      <c r="W2796" t="s">
        <v>40766</v>
      </c>
      <c r="X2796" t="s">
        <v>44767</v>
      </c>
    </row>
    <row r="2797" spans="1:24">
      <c r="A2797">
        <f>HYPERLINK("https://www.philgeps.gov.ph/GEPSNONPILOT/Tender/SplashBidNoticeAbstractUI.aspx?menuIndex=3&amp;refID=7146752&amp;Result=3","7146752")</f>
        <v>0</v>
      </c>
      <c r="B2797" t="s">
        <v>85</v>
      </c>
      <c r="C2797" t="s">
        <v>6443</v>
      </c>
      <c r="D2797" t="s">
        <v>17991</v>
      </c>
      <c r="E2797" t="s">
        <v>20593</v>
      </c>
      <c r="F2797" t="s">
        <v>30900</v>
      </c>
      <c r="G2797" t="s">
        <v>30907</v>
      </c>
      <c r="H2797" t="s">
        <v>30916</v>
      </c>
      <c r="I2797" t="s">
        <v>4545</v>
      </c>
      <c r="J2797" t="s">
        <v>32148</v>
      </c>
      <c r="K2797" t="s">
        <v>40289</v>
      </c>
      <c r="M2797" t="s">
        <v>40632</v>
      </c>
      <c r="N2797" t="s">
        <v>44759</v>
      </c>
      <c r="O2797" t="s">
        <v>44760</v>
      </c>
      <c r="P2797">
        <v>0</v>
      </c>
      <c r="Q2797">
        <v>0</v>
      </c>
      <c r="R2797" t="s">
        <v>44762</v>
      </c>
      <c r="S2797" t="s">
        <v>44863</v>
      </c>
      <c r="T2797" t="s">
        <v>46387</v>
      </c>
      <c r="U2797" t="s">
        <v>49323</v>
      </c>
      <c r="W2797" t="s">
        <v>60817</v>
      </c>
      <c r="X2797" t="s">
        <v>44767</v>
      </c>
    </row>
    <row r="2798" spans="1:24">
      <c r="A2798">
        <f>HYPERLINK("https://www.philgeps.gov.ph/GEPSNONPILOT/Tender/SplashBidNoticeAbstractUI.aspx?menuIndex=3&amp;refID=7145600&amp;Result=3","7145600")</f>
        <v>0</v>
      </c>
      <c r="B2798" t="s">
        <v>1188</v>
      </c>
      <c r="C2798" t="s">
        <v>6444</v>
      </c>
      <c r="D2798" t="s">
        <v>18019</v>
      </c>
      <c r="E2798" t="s">
        <v>20594</v>
      </c>
      <c r="F2798" t="s">
        <v>30900</v>
      </c>
      <c r="G2798" t="s">
        <v>30908</v>
      </c>
      <c r="H2798" t="s">
        <v>30916</v>
      </c>
      <c r="I2798" t="s">
        <v>30940</v>
      </c>
      <c r="J2798" t="s">
        <v>31070</v>
      </c>
      <c r="K2798" t="s">
        <v>40284</v>
      </c>
      <c r="M2798" t="s">
        <v>41797</v>
      </c>
      <c r="N2798" t="s">
        <v>44759</v>
      </c>
      <c r="O2798" t="s">
        <v>44760</v>
      </c>
      <c r="P2798">
        <v>0</v>
      </c>
      <c r="Q2798">
        <v>1</v>
      </c>
      <c r="R2798" t="s">
        <v>44763</v>
      </c>
      <c r="S2798" t="s">
        <v>44876</v>
      </c>
      <c r="T2798" t="s">
        <v>46424</v>
      </c>
      <c r="U2798" t="s">
        <v>49324</v>
      </c>
      <c r="W2798" t="s">
        <v>41797</v>
      </c>
      <c r="X2798" t="s">
        <v>44767</v>
      </c>
    </row>
    <row r="2799" spans="1:24">
      <c r="A2799">
        <f>HYPERLINK("https://www.philgeps.gov.ph/GEPSNONPILOT/Tender/SplashBidNoticeAbstractUI.aspx?menuIndex=3&amp;refID=7146389&amp;Result=3","7146389")</f>
        <v>0</v>
      </c>
      <c r="B2799" t="s">
        <v>82</v>
      </c>
      <c r="C2799" t="s">
        <v>6445</v>
      </c>
      <c r="D2799" t="s">
        <v>17989</v>
      </c>
      <c r="E2799" t="s">
        <v>20595</v>
      </c>
      <c r="F2799" t="s">
        <v>30900</v>
      </c>
      <c r="G2799" t="s">
        <v>30908</v>
      </c>
      <c r="H2799" t="s">
        <v>30916</v>
      </c>
      <c r="I2799" t="s">
        <v>6746</v>
      </c>
      <c r="J2799" t="s">
        <v>33078</v>
      </c>
      <c r="K2799" t="s">
        <v>40286</v>
      </c>
      <c r="M2799" t="s">
        <v>40629</v>
      </c>
      <c r="N2799" t="s">
        <v>44759</v>
      </c>
      <c r="O2799" t="s">
        <v>44760</v>
      </c>
      <c r="P2799">
        <v>0</v>
      </c>
      <c r="Q2799">
        <v>1</v>
      </c>
      <c r="R2799" t="s">
        <v>44762</v>
      </c>
      <c r="S2799" t="s">
        <v>44863</v>
      </c>
      <c r="T2799" t="s">
        <v>46390</v>
      </c>
      <c r="U2799" t="s">
        <v>47043</v>
      </c>
      <c r="W2799" t="s">
        <v>40629</v>
      </c>
      <c r="X2799" t="s">
        <v>44767</v>
      </c>
    </row>
    <row r="2800" spans="1:24">
      <c r="A2800">
        <f>HYPERLINK("https://www.philgeps.gov.ph/GEPSNONPILOT/Tender/SplashBidNoticeAbstractUI.aspx?menuIndex=3&amp;refID=7145629&amp;Result=3","7145629")</f>
        <v>0</v>
      </c>
      <c r="B2800" t="s">
        <v>35</v>
      </c>
      <c r="C2800" t="s">
        <v>6446</v>
      </c>
      <c r="D2800" t="s">
        <v>17962</v>
      </c>
      <c r="E2800" t="s">
        <v>20596</v>
      </c>
      <c r="F2800" t="s">
        <v>30900</v>
      </c>
      <c r="G2800" t="s">
        <v>30907</v>
      </c>
      <c r="H2800" t="s">
        <v>30915</v>
      </c>
      <c r="I2800" t="s">
        <v>30919</v>
      </c>
      <c r="J2800" t="s">
        <v>31391</v>
      </c>
      <c r="K2800" t="s">
        <v>40280</v>
      </c>
      <c r="M2800" t="s">
        <v>40581</v>
      </c>
      <c r="N2800" t="s">
        <v>44759</v>
      </c>
      <c r="O2800" t="s">
        <v>44760</v>
      </c>
      <c r="P2800">
        <v>0</v>
      </c>
      <c r="Q2800">
        <v>1</v>
      </c>
      <c r="R2800" t="s">
        <v>44763</v>
      </c>
      <c r="S2800" t="s">
        <v>44876</v>
      </c>
      <c r="T2800" t="s">
        <v>46465</v>
      </c>
      <c r="U2800" t="s">
        <v>49325</v>
      </c>
      <c r="V2800" t="s">
        <v>59094</v>
      </c>
      <c r="W2800" t="s">
        <v>40581</v>
      </c>
      <c r="X2800" t="s">
        <v>44767</v>
      </c>
    </row>
    <row r="2801" spans="1:24">
      <c r="A2801">
        <f>HYPERLINK("https://www.philgeps.gov.ph/GEPSNONPILOT/Tender/SplashBidNoticeAbstractUI.aspx?menuIndex=3&amp;refID=7146358&amp;Result=3","7146358")</f>
        <v>0</v>
      </c>
      <c r="B2801" t="s">
        <v>82</v>
      </c>
      <c r="C2801" t="s">
        <v>6447</v>
      </c>
      <c r="D2801" t="s">
        <v>17989</v>
      </c>
      <c r="E2801" t="s">
        <v>20597</v>
      </c>
      <c r="F2801" t="s">
        <v>30900</v>
      </c>
      <c r="G2801" t="s">
        <v>30908</v>
      </c>
      <c r="H2801" t="s">
        <v>30916</v>
      </c>
      <c r="I2801" t="s">
        <v>4108</v>
      </c>
      <c r="J2801" t="s">
        <v>33079</v>
      </c>
      <c r="K2801" t="s">
        <v>40286</v>
      </c>
      <c r="M2801" t="s">
        <v>40629</v>
      </c>
      <c r="N2801" t="s">
        <v>44759</v>
      </c>
      <c r="O2801" t="s">
        <v>44760</v>
      </c>
      <c r="P2801">
        <v>0</v>
      </c>
      <c r="Q2801">
        <v>0</v>
      </c>
      <c r="R2801" t="s">
        <v>44762</v>
      </c>
      <c r="S2801" t="s">
        <v>44863</v>
      </c>
      <c r="T2801" t="s">
        <v>46390</v>
      </c>
      <c r="U2801" t="s">
        <v>47043</v>
      </c>
      <c r="W2801" t="s">
        <v>40629</v>
      </c>
      <c r="X2801" t="s">
        <v>44767</v>
      </c>
    </row>
    <row r="2802" spans="1:24">
      <c r="A2802">
        <f>HYPERLINK("https://www.philgeps.gov.ph/GEPSNONPILOT/Tender/SplashBidNoticeAbstractUI.aspx?menuIndex=3&amp;refID=7146357&amp;Result=3","7146357")</f>
        <v>0</v>
      </c>
      <c r="B2802" t="s">
        <v>77</v>
      </c>
      <c r="C2802" t="s">
        <v>6448</v>
      </c>
      <c r="D2802" t="s">
        <v>17986</v>
      </c>
      <c r="E2802" t="s">
        <v>20598</v>
      </c>
      <c r="F2802" t="s">
        <v>30900</v>
      </c>
      <c r="G2802" t="s">
        <v>30907</v>
      </c>
      <c r="H2802" t="s">
        <v>30915</v>
      </c>
      <c r="I2802" t="s">
        <v>30919</v>
      </c>
      <c r="J2802" t="s">
        <v>33080</v>
      </c>
      <c r="K2802" t="s">
        <v>40280</v>
      </c>
      <c r="M2802" t="s">
        <v>40624</v>
      </c>
      <c r="N2802" t="s">
        <v>44759</v>
      </c>
      <c r="O2802" t="s">
        <v>44760</v>
      </c>
      <c r="P2802">
        <v>0</v>
      </c>
      <c r="Q2802">
        <v>0</v>
      </c>
      <c r="R2802" t="s">
        <v>44762</v>
      </c>
      <c r="S2802" t="s">
        <v>44863</v>
      </c>
      <c r="T2802" t="s">
        <v>46350</v>
      </c>
      <c r="U2802" t="s">
        <v>49326</v>
      </c>
      <c r="W2802" t="s">
        <v>40624</v>
      </c>
      <c r="X2802" t="s">
        <v>44767</v>
      </c>
    </row>
    <row r="2803" spans="1:24">
      <c r="A2803">
        <f>HYPERLINK("https://www.philgeps.gov.ph/GEPSNONPILOT/Tender/SplashBidNoticeAbstractUI.aspx?menuIndex=3&amp;refID=7145689&amp;Result=3","7145689")</f>
        <v>0</v>
      </c>
      <c r="B2803" t="s">
        <v>35</v>
      </c>
      <c r="C2803" t="s">
        <v>6449</v>
      </c>
      <c r="D2803" t="s">
        <v>17962</v>
      </c>
      <c r="E2803" t="s">
        <v>20599</v>
      </c>
      <c r="F2803" t="s">
        <v>30900</v>
      </c>
      <c r="G2803" t="s">
        <v>30907</v>
      </c>
      <c r="H2803" t="s">
        <v>30915</v>
      </c>
      <c r="I2803" t="s">
        <v>30919</v>
      </c>
      <c r="J2803" t="s">
        <v>33081</v>
      </c>
      <c r="K2803" t="s">
        <v>40383</v>
      </c>
      <c r="M2803" t="s">
        <v>40581</v>
      </c>
      <c r="N2803" t="s">
        <v>44759</v>
      </c>
      <c r="O2803" t="s">
        <v>44760</v>
      </c>
      <c r="P2803">
        <v>0</v>
      </c>
      <c r="Q2803">
        <v>1</v>
      </c>
      <c r="R2803" t="s">
        <v>44763</v>
      </c>
      <c r="S2803" t="s">
        <v>44876</v>
      </c>
      <c r="T2803" t="s">
        <v>46465</v>
      </c>
      <c r="U2803" t="s">
        <v>49327</v>
      </c>
      <c r="V2803" t="s">
        <v>59094</v>
      </c>
      <c r="W2803" t="s">
        <v>40581</v>
      </c>
      <c r="X2803" t="s">
        <v>44767</v>
      </c>
    </row>
    <row r="2804" spans="1:24">
      <c r="A2804">
        <f>HYPERLINK("https://www.philgeps.gov.ph/GEPSNONPILOT/Tender/SplashBidNoticeAbstractUI.aspx?menuIndex=3&amp;refID=7147762&amp;Result=3","7147762")</f>
        <v>0</v>
      </c>
      <c r="B2804" t="s">
        <v>1198</v>
      </c>
      <c r="C2804" t="s">
        <v>6450</v>
      </c>
      <c r="D2804" t="s">
        <v>17999</v>
      </c>
      <c r="E2804" t="s">
        <v>20600</v>
      </c>
      <c r="F2804" t="s">
        <v>30900</v>
      </c>
      <c r="G2804" t="s">
        <v>30907</v>
      </c>
      <c r="H2804" t="s">
        <v>30916</v>
      </c>
      <c r="I2804" t="s">
        <v>4545</v>
      </c>
      <c r="J2804" t="s">
        <v>32153</v>
      </c>
      <c r="K2804" t="s">
        <v>40321</v>
      </c>
      <c r="M2804" t="s">
        <v>41809</v>
      </c>
      <c r="N2804" t="s">
        <v>44759</v>
      </c>
      <c r="O2804" t="s">
        <v>44760</v>
      </c>
      <c r="P2804">
        <v>0</v>
      </c>
      <c r="Q2804">
        <v>1</v>
      </c>
      <c r="R2804" t="s">
        <v>44762</v>
      </c>
      <c r="S2804" t="s">
        <v>44863</v>
      </c>
      <c r="T2804" t="s">
        <v>46511</v>
      </c>
      <c r="U2804" t="s">
        <v>49328</v>
      </c>
      <c r="V2804" t="s">
        <v>59430</v>
      </c>
      <c r="W2804" t="s">
        <v>41809</v>
      </c>
      <c r="X2804" t="s">
        <v>44767</v>
      </c>
    </row>
    <row r="2805" spans="1:24">
      <c r="A2805">
        <f>HYPERLINK("https://www.philgeps.gov.ph/GEPSNONPILOT/Tender/SplashBidNoticeAbstractUI.aspx?menuIndex=3&amp;refID=7147623&amp;Result=3","7147623")</f>
        <v>0</v>
      </c>
      <c r="B2805" t="s">
        <v>78</v>
      </c>
      <c r="C2805" t="s">
        <v>6451</v>
      </c>
      <c r="D2805" t="s">
        <v>17987</v>
      </c>
      <c r="E2805" t="s">
        <v>20601</v>
      </c>
      <c r="F2805" t="s">
        <v>30900</v>
      </c>
      <c r="G2805" t="s">
        <v>30907</v>
      </c>
      <c r="H2805" t="s">
        <v>30916</v>
      </c>
      <c r="I2805" t="s">
        <v>8123</v>
      </c>
      <c r="J2805" t="s">
        <v>33082</v>
      </c>
      <c r="K2805" t="s">
        <v>40289</v>
      </c>
      <c r="M2805" t="s">
        <v>40625</v>
      </c>
      <c r="N2805" t="s">
        <v>44759</v>
      </c>
      <c r="O2805" t="s">
        <v>44760</v>
      </c>
      <c r="P2805">
        <v>0</v>
      </c>
      <c r="Q2805">
        <v>0</v>
      </c>
      <c r="R2805" t="s">
        <v>44762</v>
      </c>
      <c r="S2805" t="s">
        <v>44863</v>
      </c>
      <c r="T2805" t="s">
        <v>46387</v>
      </c>
      <c r="U2805" t="s">
        <v>49329</v>
      </c>
      <c r="W2805" t="s">
        <v>40625</v>
      </c>
      <c r="X2805" t="s">
        <v>44767</v>
      </c>
    </row>
    <row r="2806" spans="1:24">
      <c r="A2806">
        <f>HYPERLINK("https://www.philgeps.gov.ph/GEPSNONPILOT/Tender/SplashBidNoticeAbstractUI.aspx?menuIndex=3&amp;refID=7146546&amp;Result=3","7146546")</f>
        <v>0</v>
      </c>
      <c r="B2806" t="s">
        <v>77</v>
      </c>
      <c r="C2806" t="s">
        <v>6452</v>
      </c>
      <c r="D2806" t="s">
        <v>17986</v>
      </c>
      <c r="E2806" t="s">
        <v>20602</v>
      </c>
      <c r="F2806" t="s">
        <v>30900</v>
      </c>
      <c r="G2806" t="s">
        <v>30907</v>
      </c>
      <c r="H2806" t="s">
        <v>30915</v>
      </c>
      <c r="I2806" t="s">
        <v>30919</v>
      </c>
      <c r="J2806" t="s">
        <v>33083</v>
      </c>
      <c r="K2806" t="s">
        <v>40280</v>
      </c>
      <c r="M2806" t="s">
        <v>40624</v>
      </c>
      <c r="N2806" t="s">
        <v>44759</v>
      </c>
      <c r="O2806" t="s">
        <v>44760</v>
      </c>
      <c r="P2806">
        <v>0</v>
      </c>
      <c r="Q2806">
        <v>0</v>
      </c>
      <c r="R2806" t="s">
        <v>44762</v>
      </c>
      <c r="S2806" t="s">
        <v>44863</v>
      </c>
      <c r="T2806" t="s">
        <v>46350</v>
      </c>
      <c r="U2806" t="s">
        <v>49330</v>
      </c>
      <c r="W2806" t="s">
        <v>40624</v>
      </c>
      <c r="X2806" t="s">
        <v>44767</v>
      </c>
    </row>
    <row r="2807" spans="1:24">
      <c r="A2807">
        <f>HYPERLINK("https://www.philgeps.gov.ph/GEPSNONPILOT/Tender/SplashBidNoticeAbstractUI.aspx?menuIndex=3&amp;refID=7147597&amp;Result=3","7147597")</f>
        <v>0</v>
      </c>
      <c r="B2807" t="s">
        <v>78</v>
      </c>
      <c r="C2807" t="s">
        <v>6453</v>
      </c>
      <c r="D2807" t="s">
        <v>17987</v>
      </c>
      <c r="E2807" t="s">
        <v>20603</v>
      </c>
      <c r="F2807" t="s">
        <v>30900</v>
      </c>
      <c r="G2807" t="s">
        <v>30907</v>
      </c>
      <c r="H2807" t="s">
        <v>30916</v>
      </c>
      <c r="I2807" t="s">
        <v>8123</v>
      </c>
      <c r="J2807" t="s">
        <v>33084</v>
      </c>
      <c r="K2807" t="s">
        <v>40289</v>
      </c>
      <c r="M2807" t="s">
        <v>40625</v>
      </c>
      <c r="N2807" t="s">
        <v>44759</v>
      </c>
      <c r="O2807" t="s">
        <v>44760</v>
      </c>
      <c r="P2807">
        <v>0</v>
      </c>
      <c r="Q2807">
        <v>0</v>
      </c>
      <c r="R2807" t="s">
        <v>44762</v>
      </c>
      <c r="S2807" t="s">
        <v>44863</v>
      </c>
      <c r="T2807" t="s">
        <v>46387</v>
      </c>
      <c r="U2807" t="s">
        <v>49331</v>
      </c>
      <c r="W2807" t="s">
        <v>40625</v>
      </c>
      <c r="X2807" t="s">
        <v>44767</v>
      </c>
    </row>
    <row r="2808" spans="1:24">
      <c r="A2808">
        <f>HYPERLINK("https://www.philgeps.gov.ph/GEPSNONPILOT/Tender/SplashBidNoticeAbstractUI.aspx?menuIndex=3&amp;refID=7147564&amp;Result=3","7147564")</f>
        <v>0</v>
      </c>
      <c r="B2808" t="s">
        <v>78</v>
      </c>
      <c r="C2808" t="s">
        <v>6454</v>
      </c>
      <c r="D2808" t="s">
        <v>17987</v>
      </c>
      <c r="E2808" t="s">
        <v>20604</v>
      </c>
      <c r="F2808" t="s">
        <v>30900</v>
      </c>
      <c r="G2808" t="s">
        <v>30907</v>
      </c>
      <c r="H2808" t="s">
        <v>30916</v>
      </c>
      <c r="I2808" t="s">
        <v>8123</v>
      </c>
      <c r="J2808" t="s">
        <v>33085</v>
      </c>
      <c r="K2808" t="s">
        <v>40289</v>
      </c>
      <c r="M2808" t="s">
        <v>40625</v>
      </c>
      <c r="N2808" t="s">
        <v>44759</v>
      </c>
      <c r="O2808" t="s">
        <v>44760</v>
      </c>
      <c r="P2808">
        <v>0</v>
      </c>
      <c r="Q2808">
        <v>0</v>
      </c>
      <c r="R2808" t="s">
        <v>44762</v>
      </c>
      <c r="S2808" t="s">
        <v>44863</v>
      </c>
      <c r="T2808" t="s">
        <v>46387</v>
      </c>
      <c r="U2808" t="s">
        <v>49332</v>
      </c>
      <c r="W2808" t="s">
        <v>40625</v>
      </c>
      <c r="X2808" t="s">
        <v>44767</v>
      </c>
    </row>
    <row r="2809" spans="1:24">
      <c r="A2809">
        <f>HYPERLINK("https://www.philgeps.gov.ph/GEPSNONPILOT/Tender/SplashBidNoticeAbstractUI.aspx?menuIndex=3&amp;refID=7146428&amp;Result=3","7146428")</f>
        <v>0</v>
      </c>
      <c r="B2809" t="s">
        <v>477</v>
      </c>
      <c r="C2809" t="s">
        <v>6455</v>
      </c>
      <c r="D2809" t="s">
        <v>17961</v>
      </c>
      <c r="E2809" t="s">
        <v>20605</v>
      </c>
      <c r="F2809" t="s">
        <v>30900</v>
      </c>
      <c r="G2809" t="s">
        <v>30908</v>
      </c>
      <c r="H2809" t="s">
        <v>30916</v>
      </c>
      <c r="I2809" t="s">
        <v>10602</v>
      </c>
      <c r="J2809" t="s">
        <v>32384</v>
      </c>
      <c r="K2809" t="s">
        <v>40289</v>
      </c>
      <c r="M2809" t="s">
        <v>41035</v>
      </c>
      <c r="N2809" t="s">
        <v>44759</v>
      </c>
      <c r="O2809" t="s">
        <v>44760</v>
      </c>
      <c r="P2809">
        <v>0</v>
      </c>
      <c r="Q2809">
        <v>0</v>
      </c>
      <c r="R2809" t="s">
        <v>44762</v>
      </c>
      <c r="S2809" t="s">
        <v>44863</v>
      </c>
      <c r="T2809" t="s">
        <v>46398</v>
      </c>
      <c r="U2809" t="s">
        <v>49333</v>
      </c>
      <c r="W2809" t="s">
        <v>41035</v>
      </c>
      <c r="X2809" t="s">
        <v>44767</v>
      </c>
    </row>
    <row r="2810" spans="1:24">
      <c r="A2810">
        <f>HYPERLINK("https://www.philgeps.gov.ph/GEPSNONPILOT/Tender/SplashBidNoticeAbstractUI.aspx?menuIndex=3&amp;refID=7147562&amp;Result=3","7147562")</f>
        <v>0</v>
      </c>
      <c r="B2810" t="s">
        <v>1199</v>
      </c>
      <c r="C2810" t="s">
        <v>6456</v>
      </c>
      <c r="D2810" t="s">
        <v>17955</v>
      </c>
      <c r="E2810" t="s">
        <v>20606</v>
      </c>
      <c r="F2810" t="s">
        <v>30900</v>
      </c>
      <c r="G2810" t="s">
        <v>30907</v>
      </c>
      <c r="H2810" t="s">
        <v>30916</v>
      </c>
      <c r="I2810" t="s">
        <v>30934</v>
      </c>
      <c r="J2810" t="s">
        <v>33086</v>
      </c>
      <c r="K2810" t="s">
        <v>40283</v>
      </c>
      <c r="M2810" t="s">
        <v>41810</v>
      </c>
      <c r="N2810" t="s">
        <v>44759</v>
      </c>
      <c r="O2810" t="s">
        <v>44760</v>
      </c>
      <c r="P2810">
        <v>0</v>
      </c>
      <c r="Q2810">
        <v>2</v>
      </c>
      <c r="R2810" t="s">
        <v>44762</v>
      </c>
      <c r="S2810" t="s">
        <v>44863</v>
      </c>
      <c r="T2810" t="s">
        <v>46405</v>
      </c>
      <c r="U2810" t="s">
        <v>49334</v>
      </c>
      <c r="W2810" t="s">
        <v>41810</v>
      </c>
      <c r="X2810" t="s">
        <v>44767</v>
      </c>
    </row>
    <row r="2811" spans="1:24">
      <c r="A2811">
        <f>HYPERLINK("https://www.philgeps.gov.ph/GEPSNONPILOT/Tender/SplashBidNoticeAbstractUI.aspx?menuIndex=3&amp;refID=7147545&amp;Result=3","7147545")</f>
        <v>0</v>
      </c>
      <c r="B2811" t="s">
        <v>78</v>
      </c>
      <c r="C2811" t="s">
        <v>6457</v>
      </c>
      <c r="D2811" t="s">
        <v>17987</v>
      </c>
      <c r="E2811" t="s">
        <v>20607</v>
      </c>
      <c r="F2811" t="s">
        <v>30900</v>
      </c>
      <c r="G2811" t="s">
        <v>30907</v>
      </c>
      <c r="H2811" t="s">
        <v>30916</v>
      </c>
      <c r="I2811" t="s">
        <v>8123</v>
      </c>
      <c r="J2811" t="s">
        <v>33087</v>
      </c>
      <c r="K2811" t="s">
        <v>40289</v>
      </c>
      <c r="M2811" t="s">
        <v>40625</v>
      </c>
      <c r="N2811" t="s">
        <v>44759</v>
      </c>
      <c r="O2811" t="s">
        <v>44760</v>
      </c>
      <c r="P2811">
        <v>0</v>
      </c>
      <c r="Q2811">
        <v>0</v>
      </c>
      <c r="R2811" t="s">
        <v>44762</v>
      </c>
      <c r="S2811" t="s">
        <v>44863</v>
      </c>
      <c r="T2811" t="s">
        <v>46387</v>
      </c>
      <c r="U2811" t="s">
        <v>49335</v>
      </c>
      <c r="W2811" t="s">
        <v>40625</v>
      </c>
      <c r="X2811" t="s">
        <v>44767</v>
      </c>
    </row>
    <row r="2812" spans="1:24">
      <c r="A2812">
        <f>HYPERLINK("https://www.philgeps.gov.ph/GEPSNONPILOT/Tender/SplashBidNoticeAbstractUI.aspx?menuIndex=3&amp;refID=7148273&amp;Result=3","7148273")</f>
        <v>0</v>
      </c>
      <c r="B2812" t="s">
        <v>1200</v>
      </c>
      <c r="C2812" t="s">
        <v>6458</v>
      </c>
      <c r="D2812" t="s">
        <v>18003</v>
      </c>
      <c r="E2812" t="s">
        <v>20608</v>
      </c>
      <c r="F2812" t="s">
        <v>30900</v>
      </c>
      <c r="G2812" t="s">
        <v>30908</v>
      </c>
      <c r="H2812" t="s">
        <v>30916</v>
      </c>
      <c r="I2812" t="s">
        <v>30934</v>
      </c>
      <c r="J2812" t="s">
        <v>33088</v>
      </c>
      <c r="K2812" t="s">
        <v>40286</v>
      </c>
      <c r="M2812" t="s">
        <v>41811</v>
      </c>
      <c r="N2812" t="s">
        <v>44759</v>
      </c>
      <c r="O2812" t="s">
        <v>44760</v>
      </c>
      <c r="P2812">
        <v>0</v>
      </c>
      <c r="Q2812">
        <v>1</v>
      </c>
      <c r="R2812" t="s">
        <v>44762</v>
      </c>
      <c r="S2812" t="s">
        <v>44863</v>
      </c>
      <c r="T2812" t="s">
        <v>46421</v>
      </c>
      <c r="U2812" t="s">
        <v>49336</v>
      </c>
      <c r="W2812" t="s">
        <v>41811</v>
      </c>
      <c r="X2812" t="s">
        <v>44766</v>
      </c>
    </row>
    <row r="2813" spans="1:24">
      <c r="A2813">
        <f>HYPERLINK("https://www.philgeps.gov.ph/GEPSNONPILOT/Tender/SplashBidNoticeAbstractUI.aspx?menuIndex=3&amp;refID=7147839&amp;Result=3","7147839")</f>
        <v>0</v>
      </c>
      <c r="B2813" t="s">
        <v>1201</v>
      </c>
      <c r="C2813" t="s">
        <v>6459</v>
      </c>
      <c r="D2813" t="s">
        <v>17978</v>
      </c>
      <c r="E2813" t="s">
        <v>20609</v>
      </c>
      <c r="F2813" t="s">
        <v>30900</v>
      </c>
      <c r="G2813" t="s">
        <v>30908</v>
      </c>
      <c r="H2813" t="s">
        <v>30916</v>
      </c>
      <c r="I2813" t="s">
        <v>30956</v>
      </c>
      <c r="J2813" t="s">
        <v>31398</v>
      </c>
      <c r="K2813" t="s">
        <v>40291</v>
      </c>
      <c r="M2813" t="s">
        <v>41812</v>
      </c>
      <c r="N2813" t="s">
        <v>44759</v>
      </c>
      <c r="O2813" t="s">
        <v>44760</v>
      </c>
      <c r="P2813">
        <v>0</v>
      </c>
      <c r="Q2813">
        <v>2</v>
      </c>
      <c r="R2813" t="s">
        <v>44762</v>
      </c>
      <c r="S2813" t="s">
        <v>44863</v>
      </c>
      <c r="T2813" t="s">
        <v>46383</v>
      </c>
      <c r="U2813" t="s">
        <v>49337</v>
      </c>
      <c r="W2813" t="s">
        <v>41812</v>
      </c>
      <c r="X2813" t="s">
        <v>44767</v>
      </c>
    </row>
    <row r="2814" spans="1:24">
      <c r="A2814">
        <f>HYPERLINK("https://www.philgeps.gov.ph/GEPSNONPILOT/Tender/SplashBidNoticeAbstractUI.aspx?menuIndex=3&amp;refID=7147809&amp;Result=3","7147809")</f>
        <v>0</v>
      </c>
      <c r="B2814" t="s">
        <v>1202</v>
      </c>
      <c r="C2814" t="s">
        <v>6460</v>
      </c>
      <c r="D2814" t="s">
        <v>17957</v>
      </c>
      <c r="E2814" t="s">
        <v>20610</v>
      </c>
      <c r="F2814" t="s">
        <v>30900</v>
      </c>
      <c r="G2814" t="s">
        <v>30908</v>
      </c>
      <c r="H2814" t="s">
        <v>30916</v>
      </c>
      <c r="I2814" t="s">
        <v>8365</v>
      </c>
      <c r="J2814" t="s">
        <v>33089</v>
      </c>
      <c r="K2814" t="s">
        <v>40287</v>
      </c>
      <c r="M2814" t="s">
        <v>41813</v>
      </c>
      <c r="N2814" t="s">
        <v>44759</v>
      </c>
      <c r="O2814" t="s">
        <v>44760</v>
      </c>
      <c r="P2814">
        <v>0</v>
      </c>
      <c r="Q2814">
        <v>3</v>
      </c>
      <c r="R2814" t="s">
        <v>44762</v>
      </c>
      <c r="S2814" t="s">
        <v>44863</v>
      </c>
      <c r="T2814" t="s">
        <v>46389</v>
      </c>
      <c r="U2814" t="s">
        <v>49338</v>
      </c>
      <c r="W2814" t="s">
        <v>41813</v>
      </c>
      <c r="X2814" t="s">
        <v>44767</v>
      </c>
    </row>
    <row r="2815" spans="1:24">
      <c r="A2815">
        <f>HYPERLINK("https://www.philgeps.gov.ph/GEPSNONPILOT/Tender/SplashBidNoticeAbstractUI.aspx?menuIndex=3&amp;refID=7147780&amp;Result=3","7147780")</f>
        <v>0</v>
      </c>
      <c r="B2815" t="s">
        <v>1198</v>
      </c>
      <c r="C2815" t="s">
        <v>6461</v>
      </c>
      <c r="D2815" t="s">
        <v>17999</v>
      </c>
      <c r="E2815" t="s">
        <v>20611</v>
      </c>
      <c r="F2815" t="s">
        <v>30900</v>
      </c>
      <c r="G2815" t="s">
        <v>30907</v>
      </c>
      <c r="H2815" t="s">
        <v>30916</v>
      </c>
      <c r="I2815" t="s">
        <v>5501</v>
      </c>
      <c r="J2815" t="s">
        <v>31096</v>
      </c>
      <c r="K2815" t="s">
        <v>40321</v>
      </c>
      <c r="M2815" t="s">
        <v>41809</v>
      </c>
      <c r="N2815" t="s">
        <v>44759</v>
      </c>
      <c r="O2815" t="s">
        <v>44760</v>
      </c>
      <c r="P2815">
        <v>0</v>
      </c>
      <c r="Q2815">
        <v>0</v>
      </c>
      <c r="R2815" t="s">
        <v>44762</v>
      </c>
      <c r="S2815" t="s">
        <v>44863</v>
      </c>
      <c r="T2815" t="s">
        <v>46511</v>
      </c>
      <c r="U2815" t="s">
        <v>49339</v>
      </c>
      <c r="V2815" t="s">
        <v>59430</v>
      </c>
      <c r="W2815" t="s">
        <v>41809</v>
      </c>
      <c r="X2815" t="s">
        <v>44767</v>
      </c>
    </row>
    <row r="2816" spans="1:24">
      <c r="A2816">
        <f>HYPERLINK("https://www.philgeps.gov.ph/GEPSNONPILOT/Tender/SplashBidNoticeAbstractUI.aspx?menuIndex=3&amp;refID=7147526&amp;Result=3","7147526")</f>
        <v>0</v>
      </c>
      <c r="B2816" t="s">
        <v>78</v>
      </c>
      <c r="C2816" t="s">
        <v>6462</v>
      </c>
      <c r="D2816" t="s">
        <v>17987</v>
      </c>
      <c r="E2816" t="s">
        <v>20612</v>
      </c>
      <c r="F2816" t="s">
        <v>30900</v>
      </c>
      <c r="G2816" t="s">
        <v>30907</v>
      </c>
      <c r="H2816" t="s">
        <v>30916</v>
      </c>
      <c r="I2816" t="s">
        <v>8123</v>
      </c>
      <c r="J2816" t="s">
        <v>33090</v>
      </c>
      <c r="K2816" t="s">
        <v>40289</v>
      </c>
      <c r="M2816" t="s">
        <v>40625</v>
      </c>
      <c r="N2816" t="s">
        <v>44759</v>
      </c>
      <c r="O2816" t="s">
        <v>44760</v>
      </c>
      <c r="P2816">
        <v>0</v>
      </c>
      <c r="Q2816">
        <v>0</v>
      </c>
      <c r="R2816" t="s">
        <v>44762</v>
      </c>
      <c r="S2816" t="s">
        <v>44863</v>
      </c>
      <c r="T2816" t="s">
        <v>46387</v>
      </c>
      <c r="U2816" t="s">
        <v>49340</v>
      </c>
      <c r="W2816" t="s">
        <v>40625</v>
      </c>
      <c r="X2816" t="s">
        <v>44767</v>
      </c>
    </row>
    <row r="2817" spans="1:24">
      <c r="A2817">
        <f>HYPERLINK("https://www.philgeps.gov.ph/GEPSNONPILOT/Tender/SplashBidNoticeAbstractUI.aspx?menuIndex=3&amp;refID=7147576&amp;Result=3","7147576")</f>
        <v>0</v>
      </c>
      <c r="B2817" t="s">
        <v>78</v>
      </c>
      <c r="C2817" t="s">
        <v>6463</v>
      </c>
      <c r="D2817" t="s">
        <v>17987</v>
      </c>
      <c r="E2817" t="s">
        <v>20613</v>
      </c>
      <c r="F2817" t="s">
        <v>30900</v>
      </c>
      <c r="G2817" t="s">
        <v>30907</v>
      </c>
      <c r="H2817" t="s">
        <v>30916</v>
      </c>
      <c r="I2817" t="s">
        <v>8123</v>
      </c>
      <c r="J2817" t="s">
        <v>33091</v>
      </c>
      <c r="K2817" t="s">
        <v>40289</v>
      </c>
      <c r="M2817" t="s">
        <v>40625</v>
      </c>
      <c r="N2817" t="s">
        <v>44759</v>
      </c>
      <c r="O2817" t="s">
        <v>44760</v>
      </c>
      <c r="P2817">
        <v>0</v>
      </c>
      <c r="Q2817">
        <v>0</v>
      </c>
      <c r="R2817" t="s">
        <v>44762</v>
      </c>
      <c r="S2817" t="s">
        <v>44863</v>
      </c>
      <c r="T2817" t="s">
        <v>46387</v>
      </c>
      <c r="U2817" t="s">
        <v>49341</v>
      </c>
      <c r="W2817" t="s">
        <v>40625</v>
      </c>
      <c r="X2817" t="s">
        <v>44767</v>
      </c>
    </row>
    <row r="2818" spans="1:24">
      <c r="A2818">
        <f>HYPERLINK("https://www.philgeps.gov.ph/GEPSNONPILOT/Tender/SplashBidNoticeAbstractUI.aspx?menuIndex=3&amp;refID=7148251&amp;Result=3","7148251")</f>
        <v>0</v>
      </c>
      <c r="B2818" t="s">
        <v>918</v>
      </c>
      <c r="C2818" t="s">
        <v>6464</v>
      </c>
      <c r="D2818" t="s">
        <v>17959</v>
      </c>
      <c r="E2818" t="s">
        <v>20614</v>
      </c>
      <c r="F2818" t="s">
        <v>30900</v>
      </c>
      <c r="G2818" t="s">
        <v>30908</v>
      </c>
      <c r="H2818" t="s">
        <v>30916</v>
      </c>
      <c r="I2818" t="s">
        <v>5830</v>
      </c>
      <c r="J2818" t="s">
        <v>31256</v>
      </c>
      <c r="K2818" t="s">
        <v>40286</v>
      </c>
      <c r="M2818" t="s">
        <v>41507</v>
      </c>
      <c r="N2818" t="s">
        <v>44759</v>
      </c>
      <c r="O2818" t="s">
        <v>44760</v>
      </c>
      <c r="P2818">
        <v>0</v>
      </c>
      <c r="Q2818">
        <v>8</v>
      </c>
      <c r="R2818" t="s">
        <v>44762</v>
      </c>
      <c r="S2818" t="s">
        <v>44863</v>
      </c>
      <c r="T2818" t="s">
        <v>46414</v>
      </c>
      <c r="U2818" t="s">
        <v>49342</v>
      </c>
      <c r="W2818" t="s">
        <v>41507</v>
      </c>
      <c r="X2818" t="s">
        <v>44766</v>
      </c>
    </row>
    <row r="2819" spans="1:24">
      <c r="A2819">
        <f>HYPERLINK("https://www.philgeps.gov.ph/GEPSNONPILOT/Tender/SplashBidNoticeAbstractUI.aspx?menuIndex=3&amp;refID=7146726&amp;Result=3","7146726")</f>
        <v>0</v>
      </c>
      <c r="B2819" t="s">
        <v>85</v>
      </c>
      <c r="C2819" t="s">
        <v>6465</v>
      </c>
      <c r="D2819" t="s">
        <v>17991</v>
      </c>
      <c r="E2819" t="s">
        <v>18155</v>
      </c>
      <c r="F2819" t="s">
        <v>30900</v>
      </c>
      <c r="G2819" t="s">
        <v>30907</v>
      </c>
      <c r="H2819" t="s">
        <v>30916</v>
      </c>
      <c r="I2819" t="s">
        <v>8123</v>
      </c>
      <c r="J2819" t="s">
        <v>33092</v>
      </c>
      <c r="K2819" t="s">
        <v>40289</v>
      </c>
      <c r="M2819" t="s">
        <v>40632</v>
      </c>
      <c r="N2819" t="s">
        <v>44759</v>
      </c>
      <c r="O2819" t="s">
        <v>44760</v>
      </c>
      <c r="P2819">
        <v>0</v>
      </c>
      <c r="Q2819">
        <v>0</v>
      </c>
      <c r="R2819" t="s">
        <v>44762</v>
      </c>
      <c r="S2819" t="s">
        <v>44863</v>
      </c>
      <c r="T2819" t="s">
        <v>46387</v>
      </c>
      <c r="U2819" t="s">
        <v>49343</v>
      </c>
      <c r="W2819" t="s">
        <v>60817</v>
      </c>
      <c r="X2819" t="s">
        <v>44767</v>
      </c>
    </row>
    <row r="2820" spans="1:24">
      <c r="A2820">
        <f>HYPERLINK("https://www.philgeps.gov.ph/GEPSNONPILOT/Tender/SplashBidNoticeAbstractUI.aspx?menuIndex=3&amp;refID=7145688&amp;Result=3","7145688")</f>
        <v>0</v>
      </c>
      <c r="B2820" t="s">
        <v>168</v>
      </c>
      <c r="C2820" t="s">
        <v>6466</v>
      </c>
      <c r="D2820" t="s">
        <v>18007</v>
      </c>
      <c r="E2820" t="s">
        <v>20615</v>
      </c>
      <c r="F2820" t="s">
        <v>30900</v>
      </c>
      <c r="G2820" t="s">
        <v>30910</v>
      </c>
      <c r="H2820" t="s">
        <v>30916</v>
      </c>
      <c r="I2820" t="s">
        <v>30923</v>
      </c>
      <c r="J2820" t="s">
        <v>33093</v>
      </c>
      <c r="K2820" t="s">
        <v>40286</v>
      </c>
      <c r="M2820" t="s">
        <v>40715</v>
      </c>
      <c r="N2820" t="s">
        <v>44759</v>
      </c>
      <c r="O2820" t="s">
        <v>44760</v>
      </c>
      <c r="P2820">
        <v>0</v>
      </c>
      <c r="Q2820">
        <v>5</v>
      </c>
      <c r="R2820" t="s">
        <v>44763</v>
      </c>
      <c r="S2820" t="s">
        <v>44876</v>
      </c>
      <c r="T2820" t="s">
        <v>46533</v>
      </c>
      <c r="U2820" t="s">
        <v>49344</v>
      </c>
      <c r="W2820" t="s">
        <v>40715</v>
      </c>
      <c r="X2820" t="s">
        <v>44767</v>
      </c>
    </row>
    <row r="2821" spans="1:24">
      <c r="A2821">
        <f>HYPERLINK("https://www.philgeps.gov.ph/GEPSNONPILOT/Tender/SplashBidNoticeAbstractUI.aspx?menuIndex=3&amp;refID=7148294&amp;Result=3","7148294")</f>
        <v>0</v>
      </c>
      <c r="B2821" t="s">
        <v>624</v>
      </c>
      <c r="C2821" t="s">
        <v>6467</v>
      </c>
      <c r="D2821" t="s">
        <v>17977</v>
      </c>
      <c r="E2821" t="s">
        <v>20616</v>
      </c>
      <c r="F2821" t="s">
        <v>30900</v>
      </c>
      <c r="G2821" t="s">
        <v>30908</v>
      </c>
      <c r="H2821" t="s">
        <v>30916</v>
      </c>
      <c r="I2821" t="s">
        <v>30927</v>
      </c>
      <c r="J2821" t="s">
        <v>33094</v>
      </c>
      <c r="K2821" t="s">
        <v>40289</v>
      </c>
      <c r="M2821" t="s">
        <v>41186</v>
      </c>
      <c r="N2821" t="s">
        <v>44759</v>
      </c>
      <c r="O2821" t="s">
        <v>44760</v>
      </c>
      <c r="P2821">
        <v>0</v>
      </c>
      <c r="Q2821">
        <v>0</v>
      </c>
      <c r="R2821" t="s">
        <v>44762</v>
      </c>
      <c r="S2821" t="s">
        <v>44863</v>
      </c>
      <c r="T2821" t="s">
        <v>46351</v>
      </c>
      <c r="U2821" t="s">
        <v>48040</v>
      </c>
      <c r="W2821" t="s">
        <v>41186</v>
      </c>
      <c r="X2821" t="s">
        <v>44766</v>
      </c>
    </row>
    <row r="2822" spans="1:24">
      <c r="A2822">
        <f>HYPERLINK("https://www.philgeps.gov.ph/GEPSNONPILOT/Tender/SplashBidNoticeAbstractUI.aspx?menuIndex=3&amp;refID=7148336&amp;Result=3","7148336")</f>
        <v>0</v>
      </c>
      <c r="B2822" t="s">
        <v>1203</v>
      </c>
      <c r="C2822" t="s">
        <v>6468</v>
      </c>
      <c r="D2822" t="s">
        <v>17953</v>
      </c>
      <c r="E2822" t="s">
        <v>20617</v>
      </c>
      <c r="F2822" t="s">
        <v>30900</v>
      </c>
      <c r="G2822" t="s">
        <v>30907</v>
      </c>
      <c r="H2822" t="s">
        <v>30916</v>
      </c>
      <c r="I2822" t="s">
        <v>30941</v>
      </c>
      <c r="J2822" t="s">
        <v>33095</v>
      </c>
      <c r="K2822" t="s">
        <v>40289</v>
      </c>
      <c r="M2822" t="s">
        <v>41814</v>
      </c>
      <c r="N2822" t="s">
        <v>44759</v>
      </c>
      <c r="O2822" t="s">
        <v>44760</v>
      </c>
      <c r="P2822">
        <v>0</v>
      </c>
      <c r="Q2822">
        <v>0</v>
      </c>
      <c r="R2822" t="s">
        <v>44762</v>
      </c>
      <c r="S2822" t="s">
        <v>44863</v>
      </c>
      <c r="T2822" t="s">
        <v>46387</v>
      </c>
      <c r="U2822" t="s">
        <v>49345</v>
      </c>
      <c r="V2822" t="s">
        <v>59431</v>
      </c>
      <c r="W2822" t="s">
        <v>41814</v>
      </c>
      <c r="X2822" t="s">
        <v>44766</v>
      </c>
    </row>
    <row r="2823" spans="1:24">
      <c r="A2823">
        <f>HYPERLINK("https://www.philgeps.gov.ph/GEPSNONPILOT/Tender/SplashBidNoticeAbstractUI.aspx?menuIndex=3&amp;refID=7148326&amp;Result=3","7148326")</f>
        <v>0</v>
      </c>
      <c r="B2823" t="s">
        <v>1203</v>
      </c>
      <c r="C2823" t="s">
        <v>6469</v>
      </c>
      <c r="D2823" t="s">
        <v>17953</v>
      </c>
      <c r="E2823" t="s">
        <v>20618</v>
      </c>
      <c r="F2823" t="s">
        <v>30900</v>
      </c>
      <c r="G2823" t="s">
        <v>30907</v>
      </c>
      <c r="H2823" t="s">
        <v>30916</v>
      </c>
      <c r="I2823" t="s">
        <v>11785</v>
      </c>
      <c r="J2823" t="s">
        <v>32338</v>
      </c>
      <c r="K2823" t="s">
        <v>40289</v>
      </c>
      <c r="M2823" t="s">
        <v>41814</v>
      </c>
      <c r="N2823" t="s">
        <v>44759</v>
      </c>
      <c r="O2823" t="s">
        <v>44760</v>
      </c>
      <c r="P2823">
        <v>0</v>
      </c>
      <c r="Q2823">
        <v>0</v>
      </c>
      <c r="R2823" t="s">
        <v>44762</v>
      </c>
      <c r="S2823" t="s">
        <v>44863</v>
      </c>
      <c r="T2823" t="s">
        <v>46387</v>
      </c>
      <c r="U2823" t="s">
        <v>49346</v>
      </c>
      <c r="V2823" t="s">
        <v>59431</v>
      </c>
      <c r="W2823" t="s">
        <v>41814</v>
      </c>
      <c r="X2823" t="s">
        <v>44766</v>
      </c>
    </row>
    <row r="2824" spans="1:24">
      <c r="A2824">
        <f>HYPERLINK("https://www.philgeps.gov.ph/GEPSNONPILOT/Tender/SplashBidNoticeAbstractUI.aspx?menuIndex=3&amp;refID=7148323&amp;Result=3","7148323")</f>
        <v>0</v>
      </c>
      <c r="B2824" t="s">
        <v>1203</v>
      </c>
      <c r="C2824" t="s">
        <v>6470</v>
      </c>
      <c r="D2824" t="s">
        <v>17953</v>
      </c>
      <c r="E2824" t="s">
        <v>20619</v>
      </c>
      <c r="F2824" t="s">
        <v>30900</v>
      </c>
      <c r="G2824" t="s">
        <v>30907</v>
      </c>
      <c r="H2824" t="s">
        <v>30916</v>
      </c>
      <c r="I2824" t="s">
        <v>9385</v>
      </c>
      <c r="J2824" t="s">
        <v>33096</v>
      </c>
      <c r="K2824" t="s">
        <v>40289</v>
      </c>
      <c r="M2824" t="s">
        <v>41814</v>
      </c>
      <c r="N2824" t="s">
        <v>44759</v>
      </c>
      <c r="O2824" t="s">
        <v>44760</v>
      </c>
      <c r="P2824">
        <v>0</v>
      </c>
      <c r="Q2824">
        <v>3</v>
      </c>
      <c r="R2824" t="s">
        <v>44762</v>
      </c>
      <c r="S2824" t="s">
        <v>44863</v>
      </c>
      <c r="T2824" t="s">
        <v>46387</v>
      </c>
      <c r="U2824" t="s">
        <v>49347</v>
      </c>
      <c r="V2824" t="s">
        <v>59431</v>
      </c>
      <c r="W2824" t="s">
        <v>41814</v>
      </c>
      <c r="X2824" t="s">
        <v>44766</v>
      </c>
    </row>
    <row r="2825" spans="1:24">
      <c r="A2825">
        <f>HYPERLINK("https://www.philgeps.gov.ph/GEPSNONPILOT/Tender/SplashBidNoticeAbstractUI.aspx?menuIndex=3&amp;refID=7148299&amp;Result=3","7148299")</f>
        <v>0</v>
      </c>
      <c r="B2825" t="s">
        <v>1203</v>
      </c>
      <c r="C2825" t="s">
        <v>6471</v>
      </c>
      <c r="D2825" t="s">
        <v>17953</v>
      </c>
      <c r="E2825" t="s">
        <v>20620</v>
      </c>
      <c r="F2825" t="s">
        <v>30900</v>
      </c>
      <c r="G2825" t="s">
        <v>30907</v>
      </c>
      <c r="H2825" t="s">
        <v>30916</v>
      </c>
      <c r="I2825" t="s">
        <v>30924</v>
      </c>
      <c r="J2825" t="s">
        <v>32816</v>
      </c>
      <c r="K2825" t="s">
        <v>40289</v>
      </c>
      <c r="M2825" t="s">
        <v>41814</v>
      </c>
      <c r="N2825" t="s">
        <v>44759</v>
      </c>
      <c r="O2825" t="s">
        <v>44760</v>
      </c>
      <c r="P2825">
        <v>0</v>
      </c>
      <c r="Q2825">
        <v>0</v>
      </c>
      <c r="R2825" t="s">
        <v>44762</v>
      </c>
      <c r="S2825" t="s">
        <v>44863</v>
      </c>
      <c r="T2825" t="s">
        <v>46387</v>
      </c>
      <c r="U2825" t="s">
        <v>49348</v>
      </c>
      <c r="V2825" t="s">
        <v>59432</v>
      </c>
      <c r="W2825" t="s">
        <v>41814</v>
      </c>
      <c r="X2825" t="s">
        <v>44766</v>
      </c>
    </row>
    <row r="2826" spans="1:24">
      <c r="A2826">
        <f>HYPERLINK("https://www.philgeps.gov.ph/GEPSNONPILOT/Tender/SplashBidNoticeAbstractUI.aspx?menuIndex=3&amp;refID=7148307&amp;Result=3","7148307")</f>
        <v>0</v>
      </c>
      <c r="B2826" t="s">
        <v>1203</v>
      </c>
      <c r="C2826" t="s">
        <v>6472</v>
      </c>
      <c r="D2826" t="s">
        <v>17953</v>
      </c>
      <c r="E2826" t="s">
        <v>20621</v>
      </c>
      <c r="F2826" t="s">
        <v>30900</v>
      </c>
      <c r="G2826" t="s">
        <v>30907</v>
      </c>
      <c r="H2826" t="s">
        <v>30916</v>
      </c>
      <c r="I2826" t="s">
        <v>30924</v>
      </c>
      <c r="J2826" t="s">
        <v>31281</v>
      </c>
      <c r="K2826" t="s">
        <v>40289</v>
      </c>
      <c r="M2826" t="s">
        <v>41814</v>
      </c>
      <c r="N2826" t="s">
        <v>44759</v>
      </c>
      <c r="O2826" t="s">
        <v>44760</v>
      </c>
      <c r="P2826">
        <v>0</v>
      </c>
      <c r="Q2826">
        <v>0</v>
      </c>
      <c r="R2826" t="s">
        <v>44762</v>
      </c>
      <c r="S2826" t="s">
        <v>44863</v>
      </c>
      <c r="T2826" t="s">
        <v>46387</v>
      </c>
      <c r="U2826" t="s">
        <v>49349</v>
      </c>
      <c r="V2826" t="s">
        <v>59433</v>
      </c>
      <c r="W2826" t="s">
        <v>41814</v>
      </c>
      <c r="X2826" t="s">
        <v>44766</v>
      </c>
    </row>
    <row r="2827" spans="1:24">
      <c r="A2827">
        <f>HYPERLINK("https://www.philgeps.gov.ph/GEPSNONPILOT/Tender/SplashBidNoticeAbstractUI.aspx?menuIndex=3&amp;refID=7148345&amp;Result=3","7148345")</f>
        <v>0</v>
      </c>
      <c r="B2827" t="s">
        <v>1203</v>
      </c>
      <c r="C2827" t="s">
        <v>6473</v>
      </c>
      <c r="D2827" t="s">
        <v>17953</v>
      </c>
      <c r="E2827" t="s">
        <v>20622</v>
      </c>
      <c r="F2827" t="s">
        <v>30900</v>
      </c>
      <c r="G2827" t="s">
        <v>30907</v>
      </c>
      <c r="H2827" t="s">
        <v>30916</v>
      </c>
      <c r="I2827" t="s">
        <v>30939</v>
      </c>
      <c r="J2827" t="s">
        <v>33097</v>
      </c>
      <c r="K2827" t="s">
        <v>40289</v>
      </c>
      <c r="M2827" t="s">
        <v>41814</v>
      </c>
      <c r="N2827" t="s">
        <v>44759</v>
      </c>
      <c r="O2827" t="s">
        <v>44760</v>
      </c>
      <c r="P2827">
        <v>0</v>
      </c>
      <c r="Q2827">
        <v>0</v>
      </c>
      <c r="R2827" t="s">
        <v>44762</v>
      </c>
      <c r="S2827" t="s">
        <v>44863</v>
      </c>
      <c r="T2827" t="s">
        <v>46387</v>
      </c>
      <c r="U2827" t="s">
        <v>49350</v>
      </c>
      <c r="V2827" t="s">
        <v>59431</v>
      </c>
      <c r="W2827" t="s">
        <v>41814</v>
      </c>
      <c r="X2827" t="s">
        <v>44766</v>
      </c>
    </row>
    <row r="2828" spans="1:24">
      <c r="A2828">
        <f>HYPERLINK("https://www.philgeps.gov.ph/GEPSNONPILOT/Tender/SplashBidNoticeAbstractUI.aspx?menuIndex=3&amp;refID=7142739&amp;Result=3","7142739")</f>
        <v>0</v>
      </c>
      <c r="B2828" t="s">
        <v>865</v>
      </c>
      <c r="C2828" t="s">
        <v>6364</v>
      </c>
      <c r="D2828" t="s">
        <v>18012</v>
      </c>
      <c r="E2828" t="s">
        <v>20623</v>
      </c>
      <c r="F2828" t="s">
        <v>30900</v>
      </c>
      <c r="G2828" t="s">
        <v>30907</v>
      </c>
      <c r="H2828" t="s">
        <v>30916</v>
      </c>
      <c r="I2828" t="s">
        <v>30919</v>
      </c>
      <c r="J2828" t="s">
        <v>33098</v>
      </c>
      <c r="K2828" t="s">
        <v>40304</v>
      </c>
      <c r="M2828" t="s">
        <v>41438</v>
      </c>
      <c r="N2828" t="s">
        <v>44759</v>
      </c>
      <c r="O2828" t="s">
        <v>44760</v>
      </c>
      <c r="P2828">
        <v>0</v>
      </c>
      <c r="Q2828">
        <v>1</v>
      </c>
      <c r="R2828" t="s">
        <v>44763</v>
      </c>
      <c r="S2828" t="s">
        <v>44876</v>
      </c>
      <c r="T2828" t="s">
        <v>46380</v>
      </c>
      <c r="U2828" t="s">
        <v>49351</v>
      </c>
      <c r="V2828" t="s">
        <v>59322</v>
      </c>
      <c r="W2828" t="s">
        <v>41438</v>
      </c>
      <c r="X2828" t="s">
        <v>44768</v>
      </c>
    </row>
    <row r="2829" spans="1:24">
      <c r="A2829">
        <f>HYPERLINK("https://www.philgeps.gov.ph/GEPSNONPILOT/Tender/SplashBidNoticeAbstractUI.aspx?menuIndex=3&amp;refID=7148304&amp;Result=3","7148304")</f>
        <v>0</v>
      </c>
      <c r="B2829" t="s">
        <v>1203</v>
      </c>
      <c r="C2829" t="s">
        <v>6474</v>
      </c>
      <c r="D2829" t="s">
        <v>17953</v>
      </c>
      <c r="E2829" t="s">
        <v>20624</v>
      </c>
      <c r="F2829" t="s">
        <v>30900</v>
      </c>
      <c r="G2829" t="s">
        <v>30907</v>
      </c>
      <c r="H2829" t="s">
        <v>30916</v>
      </c>
      <c r="I2829" t="s">
        <v>30947</v>
      </c>
      <c r="J2829" t="s">
        <v>32209</v>
      </c>
      <c r="K2829" t="s">
        <v>40289</v>
      </c>
      <c r="M2829" t="s">
        <v>41814</v>
      </c>
      <c r="N2829" t="s">
        <v>44759</v>
      </c>
      <c r="O2829" t="s">
        <v>44760</v>
      </c>
      <c r="P2829">
        <v>0</v>
      </c>
      <c r="Q2829">
        <v>2</v>
      </c>
      <c r="R2829" t="s">
        <v>44762</v>
      </c>
      <c r="S2829" t="s">
        <v>44863</v>
      </c>
      <c r="T2829" t="s">
        <v>46387</v>
      </c>
      <c r="U2829" t="s">
        <v>49352</v>
      </c>
      <c r="V2829" t="s">
        <v>59432</v>
      </c>
      <c r="W2829" t="s">
        <v>41814</v>
      </c>
      <c r="X2829" t="s">
        <v>44766</v>
      </c>
    </row>
    <row r="2830" spans="1:24">
      <c r="A2830">
        <f>HYPERLINK("https://www.philgeps.gov.ph/GEPSNONPILOT/Tender/SplashBidNoticeAbstractUI.aspx?menuIndex=3&amp;refID=7148321&amp;Result=3","7148321")</f>
        <v>0</v>
      </c>
      <c r="B2830" t="s">
        <v>1203</v>
      </c>
      <c r="C2830" t="s">
        <v>6475</v>
      </c>
      <c r="D2830" t="s">
        <v>17953</v>
      </c>
      <c r="E2830" t="s">
        <v>20625</v>
      </c>
      <c r="F2830" t="s">
        <v>30900</v>
      </c>
      <c r="G2830" t="s">
        <v>30907</v>
      </c>
      <c r="H2830" t="s">
        <v>30916</v>
      </c>
      <c r="I2830" t="s">
        <v>5501</v>
      </c>
      <c r="J2830" t="s">
        <v>33099</v>
      </c>
      <c r="K2830" t="s">
        <v>40289</v>
      </c>
      <c r="M2830" t="s">
        <v>41814</v>
      </c>
      <c r="N2830" t="s">
        <v>44759</v>
      </c>
      <c r="O2830" t="s">
        <v>44760</v>
      </c>
      <c r="P2830">
        <v>0</v>
      </c>
      <c r="Q2830">
        <v>2</v>
      </c>
      <c r="R2830" t="s">
        <v>44762</v>
      </c>
      <c r="S2830" t="s">
        <v>44863</v>
      </c>
      <c r="T2830" t="s">
        <v>46387</v>
      </c>
      <c r="U2830" t="s">
        <v>49353</v>
      </c>
      <c r="V2830" t="s">
        <v>59431</v>
      </c>
      <c r="W2830" t="s">
        <v>41814</v>
      </c>
      <c r="X2830" t="s">
        <v>44766</v>
      </c>
    </row>
    <row r="2831" spans="1:24">
      <c r="A2831">
        <f>HYPERLINK("https://www.philgeps.gov.ph/GEPSNONPILOT/Tender/SplashBidNoticeAbstractUI.aspx?menuIndex=3&amp;refID=7148301&amp;Result=3","7148301")</f>
        <v>0</v>
      </c>
      <c r="B2831" t="s">
        <v>1203</v>
      </c>
      <c r="C2831" t="s">
        <v>6476</v>
      </c>
      <c r="D2831" t="s">
        <v>17953</v>
      </c>
      <c r="E2831" t="s">
        <v>20626</v>
      </c>
      <c r="F2831" t="s">
        <v>30900</v>
      </c>
      <c r="G2831" t="s">
        <v>30907</v>
      </c>
      <c r="H2831" t="s">
        <v>30916</v>
      </c>
      <c r="I2831" t="s">
        <v>6953</v>
      </c>
      <c r="J2831" t="s">
        <v>33100</v>
      </c>
      <c r="K2831" t="s">
        <v>40289</v>
      </c>
      <c r="M2831" t="s">
        <v>41814</v>
      </c>
      <c r="N2831" t="s">
        <v>44759</v>
      </c>
      <c r="O2831" t="s">
        <v>44760</v>
      </c>
      <c r="P2831">
        <v>0</v>
      </c>
      <c r="Q2831">
        <v>0</v>
      </c>
      <c r="R2831" t="s">
        <v>44762</v>
      </c>
      <c r="S2831" t="s">
        <v>44863</v>
      </c>
      <c r="T2831" t="s">
        <v>46387</v>
      </c>
      <c r="U2831" t="s">
        <v>49354</v>
      </c>
      <c r="V2831" t="s">
        <v>59431</v>
      </c>
      <c r="W2831" t="s">
        <v>41814</v>
      </c>
      <c r="X2831" t="s">
        <v>44766</v>
      </c>
    </row>
    <row r="2832" spans="1:24">
      <c r="A2832">
        <f>HYPERLINK("https://www.philgeps.gov.ph/GEPSNONPILOT/Tender/SplashBidNoticeAbstractUI.aspx?menuIndex=3&amp;refID=7148604&amp;Result=3","7148604")</f>
        <v>0</v>
      </c>
      <c r="B2832" t="s">
        <v>1204</v>
      </c>
      <c r="C2832" t="s">
        <v>6477</v>
      </c>
      <c r="D2832" t="s">
        <v>17963</v>
      </c>
      <c r="E2832" t="s">
        <v>20627</v>
      </c>
      <c r="F2832" t="s">
        <v>30900</v>
      </c>
      <c r="G2832" t="s">
        <v>30907</v>
      </c>
      <c r="H2832" t="s">
        <v>30916</v>
      </c>
      <c r="I2832" t="s">
        <v>6746</v>
      </c>
      <c r="J2832" t="s">
        <v>33101</v>
      </c>
      <c r="K2832" t="s">
        <v>40289</v>
      </c>
      <c r="M2832" t="s">
        <v>41815</v>
      </c>
      <c r="N2832" t="s">
        <v>44759</v>
      </c>
      <c r="O2832" t="s">
        <v>44760</v>
      </c>
      <c r="P2832">
        <v>0</v>
      </c>
      <c r="Q2832">
        <v>0</v>
      </c>
      <c r="R2832" t="s">
        <v>44762</v>
      </c>
      <c r="S2832" t="s">
        <v>44863</v>
      </c>
      <c r="T2832" t="s">
        <v>46613</v>
      </c>
      <c r="U2832" t="s">
        <v>49355</v>
      </c>
      <c r="W2832" t="s">
        <v>41815</v>
      </c>
      <c r="X2832" t="s">
        <v>44765</v>
      </c>
    </row>
    <row r="2833" spans="1:24">
      <c r="A2833">
        <f>HYPERLINK("https://www.philgeps.gov.ph/GEPSNONPILOT/Tender/SplashBidNoticeAbstractUI.aspx?menuIndex=3&amp;refID=7148315&amp;Result=3","7148315")</f>
        <v>0</v>
      </c>
      <c r="B2833" t="s">
        <v>1203</v>
      </c>
      <c r="C2833" t="s">
        <v>6478</v>
      </c>
      <c r="D2833" t="s">
        <v>17953</v>
      </c>
      <c r="E2833" t="s">
        <v>20628</v>
      </c>
      <c r="F2833" t="s">
        <v>30900</v>
      </c>
      <c r="G2833" t="s">
        <v>30907</v>
      </c>
      <c r="H2833" t="s">
        <v>30916</v>
      </c>
      <c r="I2833" t="s">
        <v>5501</v>
      </c>
      <c r="J2833" t="s">
        <v>33102</v>
      </c>
      <c r="K2833" t="s">
        <v>40289</v>
      </c>
      <c r="M2833" t="s">
        <v>41814</v>
      </c>
      <c r="N2833" t="s">
        <v>44759</v>
      </c>
      <c r="O2833" t="s">
        <v>44760</v>
      </c>
      <c r="P2833">
        <v>0</v>
      </c>
      <c r="Q2833">
        <v>0</v>
      </c>
      <c r="R2833" t="s">
        <v>44762</v>
      </c>
      <c r="S2833" t="s">
        <v>44863</v>
      </c>
      <c r="T2833" t="s">
        <v>46387</v>
      </c>
      <c r="U2833" t="s">
        <v>49356</v>
      </c>
      <c r="V2833" t="s">
        <v>59431</v>
      </c>
      <c r="W2833" t="s">
        <v>41814</v>
      </c>
      <c r="X2833" t="s">
        <v>44766</v>
      </c>
    </row>
    <row r="2834" spans="1:24">
      <c r="A2834">
        <f>HYPERLINK("https://www.philgeps.gov.ph/GEPSNONPILOT/Tender/SplashBidNoticeAbstractUI.aspx?menuIndex=3&amp;refID=7148344&amp;Result=3","7148344")</f>
        <v>0</v>
      </c>
      <c r="B2834" t="s">
        <v>1203</v>
      </c>
      <c r="C2834" t="s">
        <v>6479</v>
      </c>
      <c r="D2834" t="s">
        <v>17953</v>
      </c>
      <c r="E2834" t="s">
        <v>20629</v>
      </c>
      <c r="F2834" t="s">
        <v>30900</v>
      </c>
      <c r="G2834" t="s">
        <v>30907</v>
      </c>
      <c r="H2834" t="s">
        <v>30916</v>
      </c>
      <c r="I2834" t="s">
        <v>4142</v>
      </c>
      <c r="J2834" t="s">
        <v>33103</v>
      </c>
      <c r="K2834" t="s">
        <v>40289</v>
      </c>
      <c r="M2834" t="s">
        <v>41814</v>
      </c>
      <c r="N2834" t="s">
        <v>44759</v>
      </c>
      <c r="O2834" t="s">
        <v>44760</v>
      </c>
      <c r="P2834">
        <v>0</v>
      </c>
      <c r="Q2834">
        <v>0</v>
      </c>
      <c r="R2834" t="s">
        <v>44762</v>
      </c>
      <c r="S2834" t="s">
        <v>44863</v>
      </c>
      <c r="T2834" t="s">
        <v>46387</v>
      </c>
      <c r="U2834" t="s">
        <v>49357</v>
      </c>
      <c r="V2834" t="s">
        <v>59431</v>
      </c>
      <c r="W2834" t="s">
        <v>41814</v>
      </c>
      <c r="X2834" t="s">
        <v>44766</v>
      </c>
    </row>
    <row r="2835" spans="1:24">
      <c r="A2835">
        <f>HYPERLINK("https://www.philgeps.gov.ph/GEPSNONPILOT/Tender/SplashBidNoticeAbstractUI.aspx?menuIndex=3&amp;refID=7148349&amp;Result=3","7148349")</f>
        <v>0</v>
      </c>
      <c r="B2835" t="s">
        <v>1203</v>
      </c>
      <c r="C2835" t="s">
        <v>6480</v>
      </c>
      <c r="D2835" t="s">
        <v>17953</v>
      </c>
      <c r="E2835" t="s">
        <v>20630</v>
      </c>
      <c r="F2835" t="s">
        <v>30900</v>
      </c>
      <c r="G2835" t="s">
        <v>30907</v>
      </c>
      <c r="H2835" t="s">
        <v>30916</v>
      </c>
      <c r="I2835" t="s">
        <v>9385</v>
      </c>
      <c r="J2835" t="s">
        <v>33104</v>
      </c>
      <c r="K2835" t="s">
        <v>40289</v>
      </c>
      <c r="M2835" t="s">
        <v>41814</v>
      </c>
      <c r="N2835" t="s">
        <v>44759</v>
      </c>
      <c r="O2835" t="s">
        <v>44760</v>
      </c>
      <c r="P2835">
        <v>0</v>
      </c>
      <c r="Q2835">
        <v>3</v>
      </c>
      <c r="R2835" t="s">
        <v>44762</v>
      </c>
      <c r="S2835" t="s">
        <v>44863</v>
      </c>
      <c r="T2835" t="s">
        <v>46387</v>
      </c>
      <c r="U2835" t="s">
        <v>49358</v>
      </c>
      <c r="V2835" t="s">
        <v>59432</v>
      </c>
      <c r="W2835" t="s">
        <v>41814</v>
      </c>
      <c r="X2835" t="s">
        <v>44766</v>
      </c>
    </row>
    <row r="2836" spans="1:24">
      <c r="A2836">
        <f>HYPERLINK("https://www.philgeps.gov.ph/GEPSNONPILOT/Tender/SplashBidNoticeAbstractUI.aspx?menuIndex=3&amp;refID=7148607&amp;Result=3","7148607")</f>
        <v>0</v>
      </c>
      <c r="B2836" t="s">
        <v>1204</v>
      </c>
      <c r="C2836" t="s">
        <v>6481</v>
      </c>
      <c r="D2836" t="s">
        <v>17963</v>
      </c>
      <c r="E2836" t="s">
        <v>20631</v>
      </c>
      <c r="F2836" t="s">
        <v>30900</v>
      </c>
      <c r="G2836" t="s">
        <v>30907</v>
      </c>
      <c r="H2836" t="s">
        <v>30916</v>
      </c>
      <c r="I2836" t="s">
        <v>8123</v>
      </c>
      <c r="J2836" t="s">
        <v>33105</v>
      </c>
      <c r="K2836" t="s">
        <v>40289</v>
      </c>
      <c r="M2836" t="s">
        <v>41815</v>
      </c>
      <c r="N2836" t="s">
        <v>44759</v>
      </c>
      <c r="O2836" t="s">
        <v>44760</v>
      </c>
      <c r="P2836">
        <v>0</v>
      </c>
      <c r="Q2836">
        <v>1</v>
      </c>
      <c r="R2836" t="s">
        <v>44762</v>
      </c>
      <c r="S2836" t="s">
        <v>44863</v>
      </c>
      <c r="T2836" t="s">
        <v>46613</v>
      </c>
      <c r="U2836" t="s">
        <v>49359</v>
      </c>
      <c r="W2836" t="s">
        <v>41815</v>
      </c>
      <c r="X2836" t="s">
        <v>44765</v>
      </c>
    </row>
    <row r="2837" spans="1:24">
      <c r="A2837">
        <f>HYPERLINK("https://www.philgeps.gov.ph/GEPSNONPILOT/Tender/SplashBidNoticeAbstractUI.aspx?menuIndex=3&amp;refID=7148605&amp;Result=3","7148605")</f>
        <v>0</v>
      </c>
      <c r="B2837" t="s">
        <v>1204</v>
      </c>
      <c r="C2837" t="s">
        <v>6482</v>
      </c>
      <c r="D2837" t="s">
        <v>17963</v>
      </c>
      <c r="E2837" t="s">
        <v>20632</v>
      </c>
      <c r="F2837" t="s">
        <v>30900</v>
      </c>
      <c r="G2837" t="s">
        <v>30907</v>
      </c>
      <c r="H2837" t="s">
        <v>30916</v>
      </c>
      <c r="I2837" t="s">
        <v>4108</v>
      </c>
      <c r="J2837" t="s">
        <v>33106</v>
      </c>
      <c r="K2837" t="s">
        <v>40289</v>
      </c>
      <c r="M2837" t="s">
        <v>41815</v>
      </c>
      <c r="N2837" t="s">
        <v>44759</v>
      </c>
      <c r="O2837" t="s">
        <v>44760</v>
      </c>
      <c r="P2837">
        <v>0</v>
      </c>
      <c r="Q2837">
        <v>1</v>
      </c>
      <c r="R2837" t="s">
        <v>44762</v>
      </c>
      <c r="S2837" t="s">
        <v>44863</v>
      </c>
      <c r="T2837" t="s">
        <v>46613</v>
      </c>
      <c r="U2837" t="s">
        <v>49360</v>
      </c>
      <c r="W2837" t="s">
        <v>41815</v>
      </c>
      <c r="X2837" t="s">
        <v>44765</v>
      </c>
    </row>
    <row r="2838" spans="1:24">
      <c r="A2838">
        <f>HYPERLINK("https://www.philgeps.gov.ph/GEPSNONPILOT/Tender/SplashBidNoticeAbstractUI.aspx?menuIndex=3&amp;refID=7148603&amp;Result=3","7148603")</f>
        <v>0</v>
      </c>
      <c r="B2838" t="s">
        <v>1204</v>
      </c>
      <c r="C2838" t="s">
        <v>6483</v>
      </c>
      <c r="D2838" t="s">
        <v>17963</v>
      </c>
      <c r="E2838" t="s">
        <v>20633</v>
      </c>
      <c r="F2838" t="s">
        <v>30900</v>
      </c>
      <c r="G2838" t="s">
        <v>30907</v>
      </c>
      <c r="H2838" t="s">
        <v>30916</v>
      </c>
      <c r="I2838" t="s">
        <v>30929</v>
      </c>
      <c r="J2838" t="s">
        <v>31223</v>
      </c>
      <c r="K2838" t="s">
        <v>40289</v>
      </c>
      <c r="M2838" t="s">
        <v>41815</v>
      </c>
      <c r="N2838" t="s">
        <v>44759</v>
      </c>
      <c r="O2838" t="s">
        <v>44760</v>
      </c>
      <c r="P2838">
        <v>0</v>
      </c>
      <c r="Q2838">
        <v>1</v>
      </c>
      <c r="R2838" t="s">
        <v>44762</v>
      </c>
      <c r="S2838" t="s">
        <v>44863</v>
      </c>
      <c r="T2838" t="s">
        <v>46613</v>
      </c>
      <c r="U2838" t="s">
        <v>49361</v>
      </c>
      <c r="W2838" t="s">
        <v>41815</v>
      </c>
      <c r="X2838" t="s">
        <v>44765</v>
      </c>
    </row>
    <row r="2839" spans="1:24">
      <c r="A2839">
        <f>HYPERLINK("https://www.philgeps.gov.ph/GEPSNONPILOT/Tender/SplashBidNoticeAbstractUI.aspx?menuIndex=3&amp;refID=7148602&amp;Result=3","7148602")</f>
        <v>0</v>
      </c>
      <c r="B2839" t="s">
        <v>1204</v>
      </c>
      <c r="C2839" t="s">
        <v>6484</v>
      </c>
      <c r="D2839" t="s">
        <v>17963</v>
      </c>
      <c r="E2839" t="s">
        <v>20634</v>
      </c>
      <c r="F2839" t="s">
        <v>30900</v>
      </c>
      <c r="G2839" t="s">
        <v>30907</v>
      </c>
      <c r="H2839" t="s">
        <v>30916</v>
      </c>
      <c r="I2839" t="s">
        <v>4142</v>
      </c>
      <c r="J2839" t="s">
        <v>33107</v>
      </c>
      <c r="K2839" t="s">
        <v>40289</v>
      </c>
      <c r="M2839" t="s">
        <v>41815</v>
      </c>
      <c r="N2839" t="s">
        <v>44759</v>
      </c>
      <c r="O2839" t="s">
        <v>44760</v>
      </c>
      <c r="P2839">
        <v>0</v>
      </c>
      <c r="Q2839">
        <v>1</v>
      </c>
      <c r="R2839" t="s">
        <v>44762</v>
      </c>
      <c r="S2839" t="s">
        <v>44863</v>
      </c>
      <c r="T2839" t="s">
        <v>46613</v>
      </c>
      <c r="U2839" t="s">
        <v>49362</v>
      </c>
      <c r="W2839" t="s">
        <v>41815</v>
      </c>
      <c r="X2839" t="s">
        <v>44765</v>
      </c>
    </row>
    <row r="2840" spans="1:24">
      <c r="A2840">
        <f>HYPERLINK("https://www.philgeps.gov.ph/GEPSNONPILOT/Tender/SplashBidNoticeAbstractUI.aspx?menuIndex=3&amp;refID=7148939&amp;Result=3","7148939")</f>
        <v>0</v>
      </c>
      <c r="B2840" t="s">
        <v>1205</v>
      </c>
      <c r="C2840" t="s">
        <v>6485</v>
      </c>
      <c r="D2840" t="s">
        <v>17998</v>
      </c>
      <c r="E2840" t="s">
        <v>19424</v>
      </c>
      <c r="F2840" t="s">
        <v>30900</v>
      </c>
      <c r="G2840" t="s">
        <v>30907</v>
      </c>
      <c r="H2840" t="s">
        <v>30916</v>
      </c>
      <c r="I2840" t="s">
        <v>30978</v>
      </c>
      <c r="J2840" t="s">
        <v>33108</v>
      </c>
      <c r="K2840" t="s">
        <v>40286</v>
      </c>
      <c r="M2840" t="s">
        <v>41816</v>
      </c>
      <c r="N2840" t="s">
        <v>44759</v>
      </c>
      <c r="O2840" t="s">
        <v>44760</v>
      </c>
      <c r="P2840">
        <v>0</v>
      </c>
      <c r="Q2840">
        <v>1</v>
      </c>
      <c r="R2840" t="s">
        <v>44762</v>
      </c>
      <c r="S2840" t="s">
        <v>44863</v>
      </c>
      <c r="T2840" t="s">
        <v>46372</v>
      </c>
      <c r="U2840" t="s">
        <v>49363</v>
      </c>
      <c r="V2840" t="s">
        <v>59434</v>
      </c>
      <c r="W2840" t="s">
        <v>41816</v>
      </c>
      <c r="X2840" t="s">
        <v>44764</v>
      </c>
    </row>
    <row r="2841" spans="1:24">
      <c r="A2841">
        <f>HYPERLINK("https://www.philgeps.gov.ph/GEPSNONPILOT/Tender/SplashBidNoticeAbstractUI.aspx?menuIndex=3&amp;refID=7148899&amp;Result=3","7148899")</f>
        <v>0</v>
      </c>
      <c r="B2841" t="s">
        <v>908</v>
      </c>
      <c r="C2841" t="s">
        <v>6486</v>
      </c>
      <c r="D2841" t="s">
        <v>17952</v>
      </c>
      <c r="E2841" t="s">
        <v>20635</v>
      </c>
      <c r="F2841" t="s">
        <v>30900</v>
      </c>
      <c r="G2841" t="s">
        <v>30908</v>
      </c>
      <c r="H2841" t="s">
        <v>30916</v>
      </c>
      <c r="I2841" t="s">
        <v>8123</v>
      </c>
      <c r="J2841" t="s">
        <v>33109</v>
      </c>
      <c r="K2841" t="s">
        <v>40286</v>
      </c>
      <c r="M2841" t="s">
        <v>41483</v>
      </c>
      <c r="N2841" t="s">
        <v>44759</v>
      </c>
      <c r="O2841" t="s">
        <v>44760</v>
      </c>
      <c r="P2841">
        <v>0</v>
      </c>
      <c r="Q2841">
        <v>0</v>
      </c>
      <c r="R2841" t="s">
        <v>44762</v>
      </c>
      <c r="S2841" t="s">
        <v>44863</v>
      </c>
      <c r="T2841" t="s">
        <v>46363</v>
      </c>
      <c r="U2841" t="s">
        <v>49364</v>
      </c>
      <c r="W2841" t="s">
        <v>41483</v>
      </c>
      <c r="X2841" t="s">
        <v>44764</v>
      </c>
    </row>
    <row r="2842" spans="1:24">
      <c r="A2842">
        <f>HYPERLINK("https://www.philgeps.gov.ph/GEPSNONPILOT/Tender/SplashBidNoticeAbstractUI.aspx?menuIndex=3&amp;refID=7148851&amp;Result=3","7148851")</f>
        <v>0</v>
      </c>
      <c r="B2842" t="s">
        <v>1206</v>
      </c>
      <c r="C2842" t="s">
        <v>6487</v>
      </c>
      <c r="D2842" t="s">
        <v>17973</v>
      </c>
      <c r="E2842" t="s">
        <v>18066</v>
      </c>
      <c r="F2842" t="s">
        <v>30900</v>
      </c>
      <c r="G2842" t="s">
        <v>30907</v>
      </c>
      <c r="H2842" t="s">
        <v>30916</v>
      </c>
      <c r="I2842" t="s">
        <v>8123</v>
      </c>
      <c r="J2842" t="s">
        <v>33110</v>
      </c>
      <c r="K2842" t="s">
        <v>40286</v>
      </c>
      <c r="M2842" t="s">
        <v>41817</v>
      </c>
      <c r="N2842" t="s">
        <v>44759</v>
      </c>
      <c r="O2842" t="s">
        <v>44760</v>
      </c>
      <c r="P2842">
        <v>0</v>
      </c>
      <c r="Q2842">
        <v>0</v>
      </c>
      <c r="R2842" t="s">
        <v>44762</v>
      </c>
      <c r="S2842" t="s">
        <v>44863</v>
      </c>
      <c r="T2842" t="s">
        <v>46409</v>
      </c>
      <c r="U2842" t="s">
        <v>47008</v>
      </c>
      <c r="V2842" t="s">
        <v>59104</v>
      </c>
      <c r="W2842" t="s">
        <v>41817</v>
      </c>
      <c r="X2842" t="s">
        <v>44765</v>
      </c>
    </row>
    <row r="2843" spans="1:24">
      <c r="A2843">
        <f>HYPERLINK("https://www.philgeps.gov.ph/GEPSNONPILOT/Tender/SplashBidNoticeAbstractUI.aspx?menuIndex=3&amp;refID=7148609&amp;Result=3","7148609")</f>
        <v>0</v>
      </c>
      <c r="B2843" t="s">
        <v>1204</v>
      </c>
      <c r="C2843" t="s">
        <v>6477</v>
      </c>
      <c r="D2843" t="s">
        <v>17963</v>
      </c>
      <c r="E2843" t="s">
        <v>20636</v>
      </c>
      <c r="F2843" t="s">
        <v>30900</v>
      </c>
      <c r="G2843" t="s">
        <v>30907</v>
      </c>
      <c r="H2843" t="s">
        <v>30916</v>
      </c>
      <c r="I2843" t="s">
        <v>6746</v>
      </c>
      <c r="J2843" t="s">
        <v>33111</v>
      </c>
      <c r="K2843" t="s">
        <v>40289</v>
      </c>
      <c r="M2843" t="s">
        <v>41815</v>
      </c>
      <c r="N2843" t="s">
        <v>44759</v>
      </c>
      <c r="O2843" t="s">
        <v>44760</v>
      </c>
      <c r="P2843">
        <v>0</v>
      </c>
      <c r="Q2843">
        <v>0</v>
      </c>
      <c r="R2843" t="s">
        <v>44762</v>
      </c>
      <c r="S2843" t="s">
        <v>44863</v>
      </c>
      <c r="T2843" t="s">
        <v>46613</v>
      </c>
      <c r="U2843" t="s">
        <v>49355</v>
      </c>
      <c r="W2843" t="s">
        <v>41815</v>
      </c>
      <c r="X2843" t="s">
        <v>44765</v>
      </c>
    </row>
    <row r="2844" spans="1:24">
      <c r="A2844">
        <f>HYPERLINK("https://www.philgeps.gov.ph/GEPSNONPILOT/Tender/SplashBidNoticeAbstractUI.aspx?menuIndex=3&amp;refID=7148844&amp;Result=3","7148844")</f>
        <v>0</v>
      </c>
      <c r="B2844" t="s">
        <v>1207</v>
      </c>
      <c r="C2844" t="s">
        <v>6488</v>
      </c>
      <c r="D2844" t="s">
        <v>17973</v>
      </c>
      <c r="E2844" t="s">
        <v>18066</v>
      </c>
      <c r="F2844" t="s">
        <v>30900</v>
      </c>
      <c r="G2844" t="s">
        <v>30907</v>
      </c>
      <c r="H2844" t="s">
        <v>30916</v>
      </c>
      <c r="I2844" t="s">
        <v>8123</v>
      </c>
      <c r="J2844" t="s">
        <v>33112</v>
      </c>
      <c r="K2844" t="s">
        <v>40286</v>
      </c>
      <c r="M2844" t="s">
        <v>41818</v>
      </c>
      <c r="N2844" t="s">
        <v>44759</v>
      </c>
      <c r="O2844" t="s">
        <v>44760</v>
      </c>
      <c r="P2844">
        <v>0</v>
      </c>
      <c r="Q2844">
        <v>0</v>
      </c>
      <c r="R2844" t="s">
        <v>44762</v>
      </c>
      <c r="S2844" t="s">
        <v>44863</v>
      </c>
      <c r="T2844" t="s">
        <v>46404</v>
      </c>
      <c r="U2844" t="s">
        <v>47008</v>
      </c>
      <c r="V2844" t="s">
        <v>59104</v>
      </c>
      <c r="W2844" t="s">
        <v>41818</v>
      </c>
      <c r="X2844" t="s">
        <v>44765</v>
      </c>
    </row>
    <row r="2845" spans="1:24">
      <c r="A2845">
        <f>HYPERLINK("https://www.philgeps.gov.ph/GEPSNONPILOT/Tender/SplashBidNoticeAbstractUI.aspx?menuIndex=3&amp;refID=7148839&amp;Result=3","7148839")</f>
        <v>0</v>
      </c>
      <c r="B2845" t="s">
        <v>1208</v>
      </c>
      <c r="C2845" t="s">
        <v>6489</v>
      </c>
      <c r="D2845" t="s">
        <v>17973</v>
      </c>
      <c r="E2845" t="s">
        <v>18066</v>
      </c>
      <c r="F2845" t="s">
        <v>30900</v>
      </c>
      <c r="G2845" t="s">
        <v>30907</v>
      </c>
      <c r="H2845" t="s">
        <v>30916</v>
      </c>
      <c r="I2845" t="s">
        <v>8123</v>
      </c>
      <c r="J2845" t="s">
        <v>33113</v>
      </c>
      <c r="K2845" t="s">
        <v>40286</v>
      </c>
      <c r="M2845" t="s">
        <v>41819</v>
      </c>
      <c r="N2845" t="s">
        <v>44759</v>
      </c>
      <c r="O2845" t="s">
        <v>44760</v>
      </c>
      <c r="P2845">
        <v>0</v>
      </c>
      <c r="Q2845">
        <v>0</v>
      </c>
      <c r="R2845" t="s">
        <v>44762</v>
      </c>
      <c r="S2845" t="s">
        <v>44863</v>
      </c>
      <c r="T2845" t="s">
        <v>46389</v>
      </c>
      <c r="U2845" t="s">
        <v>47008</v>
      </c>
      <c r="V2845" t="s">
        <v>59104</v>
      </c>
      <c r="W2845" t="s">
        <v>41819</v>
      </c>
      <c r="X2845" t="s">
        <v>44765</v>
      </c>
    </row>
    <row r="2846" spans="1:24">
      <c r="A2846">
        <f>HYPERLINK("https://www.philgeps.gov.ph/GEPSNONPILOT/Tender/SplashBidNoticeAbstractUI.aspx?menuIndex=3&amp;refID=7149004&amp;Result=3","7149004")</f>
        <v>0</v>
      </c>
      <c r="B2846" t="s">
        <v>1209</v>
      </c>
      <c r="C2846" t="s">
        <v>6490</v>
      </c>
      <c r="D2846" t="s">
        <v>17976</v>
      </c>
      <c r="E2846" t="s">
        <v>18282</v>
      </c>
      <c r="F2846" t="s">
        <v>30900</v>
      </c>
      <c r="G2846" t="s">
        <v>30907</v>
      </c>
      <c r="H2846" t="s">
        <v>30916</v>
      </c>
      <c r="I2846" t="s">
        <v>8123</v>
      </c>
      <c r="J2846" t="s">
        <v>33114</v>
      </c>
      <c r="K2846" t="s">
        <v>40314</v>
      </c>
      <c r="M2846" t="s">
        <v>41820</v>
      </c>
      <c r="N2846" t="s">
        <v>44759</v>
      </c>
      <c r="O2846" t="s">
        <v>44760</v>
      </c>
      <c r="P2846">
        <v>0</v>
      </c>
      <c r="Q2846">
        <v>0</v>
      </c>
      <c r="R2846" t="s">
        <v>44762</v>
      </c>
      <c r="S2846" t="s">
        <v>44863</v>
      </c>
      <c r="T2846" t="s">
        <v>46352</v>
      </c>
      <c r="U2846" t="s">
        <v>49365</v>
      </c>
      <c r="V2846" t="s">
        <v>59435</v>
      </c>
      <c r="W2846" t="s">
        <v>41820</v>
      </c>
      <c r="X2846" t="s">
        <v>44764</v>
      </c>
    </row>
    <row r="2847" spans="1:24">
      <c r="A2847">
        <f>HYPERLINK("https://www.philgeps.gov.ph/GEPSNONPILOT/Tender/SplashBidNoticeAbstractUI.aspx?menuIndex=3&amp;refID=7148428&amp;Result=3","7148428")</f>
        <v>0</v>
      </c>
      <c r="B2847" t="s">
        <v>918</v>
      </c>
      <c r="C2847" t="s">
        <v>6491</v>
      </c>
      <c r="D2847" t="s">
        <v>17959</v>
      </c>
      <c r="E2847" t="s">
        <v>20637</v>
      </c>
      <c r="F2847" t="s">
        <v>30900</v>
      </c>
      <c r="G2847" t="s">
        <v>30908</v>
      </c>
      <c r="H2847" t="s">
        <v>30916</v>
      </c>
      <c r="I2847" t="s">
        <v>4545</v>
      </c>
      <c r="J2847" t="s">
        <v>33115</v>
      </c>
      <c r="K2847" t="s">
        <v>40286</v>
      </c>
      <c r="M2847" t="s">
        <v>41497</v>
      </c>
      <c r="N2847" t="s">
        <v>44759</v>
      </c>
      <c r="O2847" t="s">
        <v>44760</v>
      </c>
      <c r="P2847">
        <v>0</v>
      </c>
      <c r="Q2847">
        <v>9</v>
      </c>
      <c r="R2847" t="s">
        <v>44762</v>
      </c>
      <c r="S2847" t="s">
        <v>44863</v>
      </c>
      <c r="T2847" t="s">
        <v>46414</v>
      </c>
      <c r="U2847" t="s">
        <v>49342</v>
      </c>
      <c r="W2847" t="s">
        <v>41497</v>
      </c>
      <c r="X2847" t="s">
        <v>44766</v>
      </c>
    </row>
    <row r="2848" spans="1:24">
      <c r="A2848">
        <f>HYPERLINK("https://www.philgeps.gov.ph/GEPSNONPILOT/Tender/SplashBidNoticeAbstractUI.aspx?menuIndex=3&amp;refID=7148982&amp;Result=3","7148982")</f>
        <v>0</v>
      </c>
      <c r="B2848" t="s">
        <v>1209</v>
      </c>
      <c r="C2848" t="s">
        <v>6492</v>
      </c>
      <c r="D2848" t="s">
        <v>17976</v>
      </c>
      <c r="E2848" t="s">
        <v>19063</v>
      </c>
      <c r="F2848" t="s">
        <v>30900</v>
      </c>
      <c r="G2848" t="s">
        <v>30909</v>
      </c>
      <c r="H2848" t="s">
        <v>30916</v>
      </c>
      <c r="I2848" t="s">
        <v>30967</v>
      </c>
      <c r="J2848" t="s">
        <v>33116</v>
      </c>
      <c r="K2848" t="s">
        <v>40284</v>
      </c>
      <c r="M2848" t="s">
        <v>41820</v>
      </c>
      <c r="N2848" t="s">
        <v>44759</v>
      </c>
      <c r="O2848" t="s">
        <v>44760</v>
      </c>
      <c r="P2848">
        <v>0</v>
      </c>
      <c r="Q2848">
        <v>0</v>
      </c>
      <c r="R2848" t="s">
        <v>44762</v>
      </c>
      <c r="S2848" t="s">
        <v>44863</v>
      </c>
      <c r="T2848" t="s">
        <v>46414</v>
      </c>
      <c r="U2848" t="s">
        <v>49366</v>
      </c>
      <c r="V2848" t="s">
        <v>52139</v>
      </c>
      <c r="W2848" t="s">
        <v>41820</v>
      </c>
      <c r="X2848" t="s">
        <v>44764</v>
      </c>
    </row>
    <row r="2849" spans="1:24">
      <c r="A2849">
        <f>HYPERLINK("https://www.philgeps.gov.ph/GEPSNONPILOT/Tender/SplashBidNoticeAbstractUI.aspx?menuIndex=3&amp;refID=7148943&amp;Result=3","7148943")</f>
        <v>0</v>
      </c>
      <c r="B2849" t="s">
        <v>1210</v>
      </c>
      <c r="C2849" t="s">
        <v>6493</v>
      </c>
      <c r="D2849" t="s">
        <v>18015</v>
      </c>
      <c r="E2849" t="s">
        <v>19793</v>
      </c>
      <c r="F2849" t="s">
        <v>30900</v>
      </c>
      <c r="G2849" t="s">
        <v>30907</v>
      </c>
      <c r="H2849" t="s">
        <v>30915</v>
      </c>
      <c r="I2849" t="s">
        <v>30919</v>
      </c>
      <c r="J2849" t="s">
        <v>33117</v>
      </c>
      <c r="K2849" t="s">
        <v>40342</v>
      </c>
      <c r="L2849" t="s">
        <v>1210</v>
      </c>
      <c r="M2849" t="s">
        <v>41821</v>
      </c>
      <c r="N2849" t="s">
        <v>44759</v>
      </c>
      <c r="O2849" t="s">
        <v>44760</v>
      </c>
      <c r="P2849">
        <v>0</v>
      </c>
      <c r="Q2849">
        <v>0</v>
      </c>
      <c r="R2849" t="s">
        <v>44762</v>
      </c>
      <c r="S2849" t="s">
        <v>44863</v>
      </c>
      <c r="T2849" t="s">
        <v>46375</v>
      </c>
      <c r="U2849" t="s">
        <v>49367</v>
      </c>
      <c r="W2849" t="s">
        <v>41821</v>
      </c>
      <c r="X2849" t="s">
        <v>44764</v>
      </c>
    </row>
    <row r="2850" spans="1:24">
      <c r="A2850">
        <f>HYPERLINK("https://www.philgeps.gov.ph/GEPSNONPILOT/Tender/SplashBidNoticeAbstractUI.aspx?menuIndex=3&amp;refID=7148848&amp;Result=3","7148848")</f>
        <v>0</v>
      </c>
      <c r="B2850" t="s">
        <v>1207</v>
      </c>
      <c r="C2850" t="s">
        <v>6494</v>
      </c>
      <c r="D2850" t="s">
        <v>17973</v>
      </c>
      <c r="E2850" t="s">
        <v>18149</v>
      </c>
      <c r="F2850" t="s">
        <v>30900</v>
      </c>
      <c r="G2850" t="s">
        <v>30907</v>
      </c>
      <c r="H2850" t="s">
        <v>30916</v>
      </c>
      <c r="I2850" t="s">
        <v>8123</v>
      </c>
      <c r="J2850" t="s">
        <v>33118</v>
      </c>
      <c r="K2850" t="s">
        <v>40286</v>
      </c>
      <c r="M2850" t="s">
        <v>41818</v>
      </c>
      <c r="N2850" t="s">
        <v>44759</v>
      </c>
      <c r="O2850" t="s">
        <v>44760</v>
      </c>
      <c r="P2850">
        <v>0</v>
      </c>
      <c r="Q2850">
        <v>0</v>
      </c>
      <c r="R2850" t="s">
        <v>44762</v>
      </c>
      <c r="S2850" t="s">
        <v>44863</v>
      </c>
      <c r="T2850" t="s">
        <v>46614</v>
      </c>
      <c r="U2850" t="s">
        <v>49368</v>
      </c>
      <c r="V2850" t="s">
        <v>59104</v>
      </c>
      <c r="W2850" t="s">
        <v>41818</v>
      </c>
      <c r="X2850" t="s">
        <v>44765</v>
      </c>
    </row>
    <row r="2851" spans="1:24">
      <c r="A2851">
        <f>HYPERLINK("https://www.philgeps.gov.ph/GEPSNONPILOT/Tender/SplashBidNoticeAbstractUI.aspx?menuIndex=3&amp;refID=7148833&amp;Result=3","7148833")</f>
        <v>0</v>
      </c>
      <c r="B2851" t="s">
        <v>1211</v>
      </c>
      <c r="C2851" t="s">
        <v>6495</v>
      </c>
      <c r="D2851" t="s">
        <v>17980</v>
      </c>
      <c r="E2851" t="s">
        <v>20638</v>
      </c>
      <c r="F2851" t="s">
        <v>30900</v>
      </c>
      <c r="G2851" t="s">
        <v>30906</v>
      </c>
      <c r="H2851" t="s">
        <v>30916</v>
      </c>
      <c r="I2851" t="s">
        <v>4108</v>
      </c>
      <c r="J2851" t="s">
        <v>31281</v>
      </c>
      <c r="K2851" t="s">
        <v>40283</v>
      </c>
      <c r="M2851" t="s">
        <v>41822</v>
      </c>
      <c r="N2851" t="s">
        <v>44759</v>
      </c>
      <c r="O2851" t="s">
        <v>44760</v>
      </c>
      <c r="P2851">
        <v>0</v>
      </c>
      <c r="Q2851">
        <v>0</v>
      </c>
      <c r="R2851" t="s">
        <v>44762</v>
      </c>
      <c r="S2851" t="s">
        <v>44863</v>
      </c>
      <c r="T2851" t="s">
        <v>46386</v>
      </c>
      <c r="U2851" t="s">
        <v>49369</v>
      </c>
      <c r="V2851" t="s">
        <v>59436</v>
      </c>
      <c r="W2851" t="s">
        <v>41822</v>
      </c>
      <c r="X2851" t="s">
        <v>44765</v>
      </c>
    </row>
    <row r="2852" spans="1:24">
      <c r="A2852">
        <f>HYPERLINK("https://www.philgeps.gov.ph/GEPSNONPILOT/Tender/SplashBidNoticeAbstractUI.aspx?menuIndex=3&amp;refID=7148829&amp;Result=3","7148829")</f>
        <v>0</v>
      </c>
      <c r="B2852" t="s">
        <v>1211</v>
      </c>
      <c r="C2852" t="s">
        <v>6496</v>
      </c>
      <c r="D2852" t="s">
        <v>17980</v>
      </c>
      <c r="E2852" t="s">
        <v>20639</v>
      </c>
      <c r="F2852" t="s">
        <v>30900</v>
      </c>
      <c r="G2852" t="s">
        <v>30906</v>
      </c>
      <c r="H2852" t="s">
        <v>30916</v>
      </c>
      <c r="I2852" t="s">
        <v>31008</v>
      </c>
      <c r="J2852" t="s">
        <v>33119</v>
      </c>
      <c r="K2852" t="s">
        <v>40283</v>
      </c>
      <c r="M2852" t="s">
        <v>41822</v>
      </c>
      <c r="N2852" t="s">
        <v>44759</v>
      </c>
      <c r="O2852" t="s">
        <v>44760</v>
      </c>
      <c r="P2852">
        <v>0</v>
      </c>
      <c r="Q2852">
        <v>0</v>
      </c>
      <c r="R2852" t="s">
        <v>44762</v>
      </c>
      <c r="S2852" t="s">
        <v>44863</v>
      </c>
      <c r="T2852" t="s">
        <v>46386</v>
      </c>
      <c r="U2852" t="s">
        <v>49369</v>
      </c>
      <c r="V2852" t="s">
        <v>59437</v>
      </c>
      <c r="W2852" t="s">
        <v>41822</v>
      </c>
      <c r="X2852" t="s">
        <v>44765</v>
      </c>
    </row>
    <row r="2853" spans="1:24">
      <c r="A2853">
        <f>HYPERLINK("https://www.philgeps.gov.ph/GEPSNONPILOT/Tender/SplashBidNoticeAbstractUI.aspx?menuIndex=3&amp;refID=7148302&amp;Result=3","7148302")</f>
        <v>0</v>
      </c>
      <c r="B2853" t="s">
        <v>1203</v>
      </c>
      <c r="C2853" t="s">
        <v>6497</v>
      </c>
      <c r="D2853" t="s">
        <v>17953</v>
      </c>
      <c r="E2853" t="s">
        <v>20640</v>
      </c>
      <c r="F2853" t="s">
        <v>30900</v>
      </c>
      <c r="G2853" t="s">
        <v>30907</v>
      </c>
      <c r="H2853" t="s">
        <v>30916</v>
      </c>
      <c r="I2853" t="s">
        <v>30932</v>
      </c>
      <c r="J2853" t="s">
        <v>33120</v>
      </c>
      <c r="K2853" t="s">
        <v>40289</v>
      </c>
      <c r="M2853" t="s">
        <v>41814</v>
      </c>
      <c r="N2853" t="s">
        <v>44759</v>
      </c>
      <c r="O2853" t="s">
        <v>44760</v>
      </c>
      <c r="P2853">
        <v>0</v>
      </c>
      <c r="Q2853">
        <v>1</v>
      </c>
      <c r="R2853" t="s">
        <v>44762</v>
      </c>
      <c r="S2853" t="s">
        <v>44863</v>
      </c>
      <c r="T2853" t="s">
        <v>46387</v>
      </c>
      <c r="U2853" t="s">
        <v>49370</v>
      </c>
      <c r="V2853" t="s">
        <v>59432</v>
      </c>
      <c r="W2853" t="s">
        <v>41814</v>
      </c>
      <c r="X2853" t="s">
        <v>44766</v>
      </c>
    </row>
    <row r="2854" spans="1:24">
      <c r="A2854">
        <f>HYPERLINK("https://www.philgeps.gov.ph/GEPSNONPILOT/Tender/SplashBidNoticeAbstractUI.aspx?menuIndex=3&amp;refID=7148820&amp;Result=3","7148820")</f>
        <v>0</v>
      </c>
      <c r="B2854" t="s">
        <v>1211</v>
      </c>
      <c r="C2854" t="s">
        <v>6498</v>
      </c>
      <c r="D2854" t="s">
        <v>17980</v>
      </c>
      <c r="E2854" t="s">
        <v>20641</v>
      </c>
      <c r="F2854" t="s">
        <v>30900</v>
      </c>
      <c r="G2854" t="s">
        <v>30906</v>
      </c>
      <c r="H2854" t="s">
        <v>30916</v>
      </c>
      <c r="I2854" t="s">
        <v>30921</v>
      </c>
      <c r="J2854" t="s">
        <v>33121</v>
      </c>
      <c r="K2854" t="s">
        <v>40283</v>
      </c>
      <c r="M2854" t="s">
        <v>41822</v>
      </c>
      <c r="N2854" t="s">
        <v>44759</v>
      </c>
      <c r="O2854" t="s">
        <v>44760</v>
      </c>
      <c r="P2854">
        <v>0</v>
      </c>
      <c r="Q2854">
        <v>2</v>
      </c>
      <c r="R2854" t="s">
        <v>44762</v>
      </c>
      <c r="S2854" t="s">
        <v>44863</v>
      </c>
      <c r="T2854" t="s">
        <v>46386</v>
      </c>
      <c r="U2854" t="s">
        <v>49369</v>
      </c>
      <c r="V2854" t="s">
        <v>59437</v>
      </c>
      <c r="W2854" t="s">
        <v>41822</v>
      </c>
      <c r="X2854" t="s">
        <v>44765</v>
      </c>
    </row>
    <row r="2855" spans="1:24">
      <c r="A2855">
        <f>HYPERLINK("https://www.philgeps.gov.ph/GEPSNONPILOT/Tender/SplashBidNoticeAbstractUI.aspx?menuIndex=3&amp;refID=7148937&amp;Result=3","7148937")</f>
        <v>0</v>
      </c>
      <c r="B2855" t="s">
        <v>1100</v>
      </c>
      <c r="C2855" t="s">
        <v>6499</v>
      </c>
      <c r="D2855" t="s">
        <v>17980</v>
      </c>
      <c r="E2855" t="s">
        <v>20642</v>
      </c>
      <c r="F2855" t="s">
        <v>30900</v>
      </c>
      <c r="G2855" t="s">
        <v>30908</v>
      </c>
      <c r="H2855" t="s">
        <v>30916</v>
      </c>
      <c r="I2855" t="s">
        <v>10602</v>
      </c>
      <c r="J2855" t="s">
        <v>31096</v>
      </c>
      <c r="K2855" t="s">
        <v>40289</v>
      </c>
      <c r="M2855" t="s">
        <v>41789</v>
      </c>
      <c r="N2855" t="s">
        <v>44759</v>
      </c>
      <c r="O2855" t="s">
        <v>44760</v>
      </c>
      <c r="P2855">
        <v>0</v>
      </c>
      <c r="Q2855">
        <v>0</v>
      </c>
      <c r="R2855" t="s">
        <v>44762</v>
      </c>
      <c r="S2855" t="s">
        <v>44863</v>
      </c>
      <c r="T2855" t="s">
        <v>46404</v>
      </c>
      <c r="U2855" t="s">
        <v>49371</v>
      </c>
      <c r="W2855" t="s">
        <v>41789</v>
      </c>
      <c r="X2855" t="s">
        <v>44764</v>
      </c>
    </row>
    <row r="2856" spans="1:24">
      <c r="A2856">
        <f>HYPERLINK("https://www.philgeps.gov.ph/GEPSNONPILOT/Tender/SplashBidNoticeAbstractUI.aspx?menuIndex=3&amp;refID=7148995&amp;Result=3","7148995")</f>
        <v>0</v>
      </c>
      <c r="B2856" t="s">
        <v>1209</v>
      </c>
      <c r="C2856" t="s">
        <v>6500</v>
      </c>
      <c r="D2856" t="s">
        <v>17976</v>
      </c>
      <c r="E2856" t="s">
        <v>20643</v>
      </c>
      <c r="F2856" t="s">
        <v>30900</v>
      </c>
      <c r="G2856" t="s">
        <v>30909</v>
      </c>
      <c r="H2856" t="s">
        <v>30916</v>
      </c>
      <c r="I2856" t="s">
        <v>4004</v>
      </c>
      <c r="J2856" t="s">
        <v>33122</v>
      </c>
      <c r="K2856" t="s">
        <v>40284</v>
      </c>
      <c r="M2856" t="s">
        <v>41820</v>
      </c>
      <c r="N2856" t="s">
        <v>44759</v>
      </c>
      <c r="O2856" t="s">
        <v>44760</v>
      </c>
      <c r="P2856">
        <v>0</v>
      </c>
      <c r="Q2856">
        <v>2</v>
      </c>
      <c r="R2856" t="s">
        <v>44762</v>
      </c>
      <c r="S2856" t="s">
        <v>44863</v>
      </c>
      <c r="T2856" t="s">
        <v>46414</v>
      </c>
      <c r="U2856" t="s">
        <v>49372</v>
      </c>
      <c r="V2856" t="s">
        <v>59438</v>
      </c>
      <c r="W2856" t="s">
        <v>41820</v>
      </c>
      <c r="X2856" t="s">
        <v>44764</v>
      </c>
    </row>
    <row r="2857" spans="1:24">
      <c r="A2857">
        <f>HYPERLINK("https://www.philgeps.gov.ph/GEPSNONPILOT/Tender/SplashBidNoticeAbstractUI.aspx?menuIndex=3&amp;refID=7148636&amp;Result=3","7148636")</f>
        <v>0</v>
      </c>
      <c r="B2857" t="s">
        <v>81</v>
      </c>
      <c r="C2857" t="s">
        <v>6501</v>
      </c>
      <c r="D2857" t="s">
        <v>17959</v>
      </c>
      <c r="E2857" t="s">
        <v>20644</v>
      </c>
      <c r="F2857" t="s">
        <v>30900</v>
      </c>
      <c r="G2857" t="s">
        <v>30907</v>
      </c>
      <c r="H2857" t="s">
        <v>30916</v>
      </c>
      <c r="I2857" t="s">
        <v>30924</v>
      </c>
      <c r="J2857" t="s">
        <v>33123</v>
      </c>
      <c r="K2857" t="s">
        <v>40289</v>
      </c>
      <c r="M2857" t="s">
        <v>41823</v>
      </c>
      <c r="N2857" t="s">
        <v>44759</v>
      </c>
      <c r="O2857" t="s">
        <v>44760</v>
      </c>
      <c r="P2857">
        <v>0</v>
      </c>
      <c r="Q2857">
        <v>7</v>
      </c>
      <c r="R2857" t="s">
        <v>44762</v>
      </c>
      <c r="S2857" t="s">
        <v>44863</v>
      </c>
      <c r="T2857" t="s">
        <v>46405</v>
      </c>
      <c r="U2857" t="s">
        <v>49373</v>
      </c>
      <c r="W2857" t="s">
        <v>41823</v>
      </c>
      <c r="X2857" t="s">
        <v>44765</v>
      </c>
    </row>
    <row r="2858" spans="1:24">
      <c r="A2858">
        <f>HYPERLINK("https://www.philgeps.gov.ph/GEPSNONPILOT/Tender/SplashBidNoticeAbstractUI.aspx?menuIndex=3&amp;refID=7149014&amp;Result=3","7149014")</f>
        <v>0</v>
      </c>
      <c r="B2858" t="s">
        <v>1209</v>
      </c>
      <c r="C2858" t="s">
        <v>6502</v>
      </c>
      <c r="D2858" t="s">
        <v>17976</v>
      </c>
      <c r="E2858" t="s">
        <v>20645</v>
      </c>
      <c r="F2858" t="s">
        <v>30900</v>
      </c>
      <c r="G2858" t="s">
        <v>30907</v>
      </c>
      <c r="H2858" t="s">
        <v>30916</v>
      </c>
      <c r="I2858" t="s">
        <v>30932</v>
      </c>
      <c r="J2858" t="s">
        <v>33124</v>
      </c>
      <c r="K2858" t="s">
        <v>40314</v>
      </c>
      <c r="M2858" t="s">
        <v>41820</v>
      </c>
      <c r="N2858" t="s">
        <v>44759</v>
      </c>
      <c r="O2858" t="s">
        <v>44760</v>
      </c>
      <c r="P2858">
        <v>0</v>
      </c>
      <c r="Q2858">
        <v>0</v>
      </c>
      <c r="R2858" t="s">
        <v>44762</v>
      </c>
      <c r="S2858" t="s">
        <v>44863</v>
      </c>
      <c r="T2858" t="s">
        <v>46352</v>
      </c>
      <c r="U2858" t="s">
        <v>49374</v>
      </c>
      <c r="V2858" t="s">
        <v>59438</v>
      </c>
      <c r="W2858" t="s">
        <v>41820</v>
      </c>
      <c r="X2858" t="s">
        <v>44764</v>
      </c>
    </row>
    <row r="2859" spans="1:24">
      <c r="A2859">
        <f>HYPERLINK("https://www.philgeps.gov.ph/GEPSNONPILOT/Tender/SplashBidNoticeAbstractUI.aspx?menuIndex=3&amp;refID=7149187&amp;Result=3","7149187")</f>
        <v>0</v>
      </c>
      <c r="B2859" t="s">
        <v>1212</v>
      </c>
      <c r="C2859" t="s">
        <v>6503</v>
      </c>
      <c r="D2859" t="s">
        <v>17952</v>
      </c>
      <c r="E2859" t="s">
        <v>20646</v>
      </c>
      <c r="F2859" t="s">
        <v>30900</v>
      </c>
      <c r="G2859" t="s">
        <v>30907</v>
      </c>
      <c r="H2859" t="s">
        <v>30916</v>
      </c>
      <c r="I2859" t="s">
        <v>8123</v>
      </c>
      <c r="J2859" t="s">
        <v>33125</v>
      </c>
      <c r="K2859" t="s">
        <v>40293</v>
      </c>
      <c r="M2859" t="s">
        <v>41824</v>
      </c>
      <c r="N2859" t="s">
        <v>44759</v>
      </c>
      <c r="O2859" t="s">
        <v>44760</v>
      </c>
      <c r="P2859">
        <v>0</v>
      </c>
      <c r="Q2859">
        <v>0</v>
      </c>
      <c r="R2859" t="s">
        <v>44762</v>
      </c>
      <c r="S2859" t="s">
        <v>44863</v>
      </c>
      <c r="T2859" t="s">
        <v>46382</v>
      </c>
      <c r="U2859" t="s">
        <v>49375</v>
      </c>
      <c r="W2859" t="s">
        <v>41824</v>
      </c>
      <c r="X2859" t="s">
        <v>44764</v>
      </c>
    </row>
    <row r="2860" spans="1:24">
      <c r="A2860">
        <f>HYPERLINK("https://www.philgeps.gov.ph/GEPSNONPILOT/Tender/SplashBidNoticeAbstractUI.aspx?menuIndex=3&amp;refID=7149192&amp;Result=3","7149192")</f>
        <v>0</v>
      </c>
      <c r="B2860" t="s">
        <v>1212</v>
      </c>
      <c r="C2860" t="s">
        <v>6504</v>
      </c>
      <c r="D2860" t="s">
        <v>17952</v>
      </c>
      <c r="E2860" t="s">
        <v>18727</v>
      </c>
      <c r="F2860" t="s">
        <v>30900</v>
      </c>
      <c r="G2860" t="s">
        <v>30907</v>
      </c>
      <c r="H2860" t="s">
        <v>30916</v>
      </c>
      <c r="I2860" t="s">
        <v>8123</v>
      </c>
      <c r="J2860" t="s">
        <v>33126</v>
      </c>
      <c r="K2860" t="s">
        <v>40291</v>
      </c>
      <c r="M2860" t="s">
        <v>41824</v>
      </c>
      <c r="N2860" t="s">
        <v>44759</v>
      </c>
      <c r="O2860" t="s">
        <v>44760</v>
      </c>
      <c r="P2860">
        <v>0</v>
      </c>
      <c r="Q2860">
        <v>0</v>
      </c>
      <c r="R2860" t="s">
        <v>44762</v>
      </c>
      <c r="S2860" t="s">
        <v>44863</v>
      </c>
      <c r="T2860" t="s">
        <v>46382</v>
      </c>
      <c r="U2860" t="s">
        <v>49376</v>
      </c>
      <c r="W2860" t="s">
        <v>41824</v>
      </c>
      <c r="X2860" t="s">
        <v>44764</v>
      </c>
    </row>
    <row r="2861" spans="1:24">
      <c r="A2861">
        <f>HYPERLINK("https://www.philgeps.gov.ph/GEPSNONPILOT/Tender/SplashBidNoticeAbstractUI.aspx?menuIndex=3&amp;refID=7148331&amp;Result=3","7148331")</f>
        <v>0</v>
      </c>
      <c r="B2861" t="s">
        <v>1203</v>
      </c>
      <c r="C2861" t="s">
        <v>6505</v>
      </c>
      <c r="D2861" t="s">
        <v>17953</v>
      </c>
      <c r="E2861" t="s">
        <v>20647</v>
      </c>
      <c r="F2861" t="s">
        <v>30900</v>
      </c>
      <c r="G2861" t="s">
        <v>30907</v>
      </c>
      <c r="H2861" t="s">
        <v>30916</v>
      </c>
      <c r="I2861" t="s">
        <v>4108</v>
      </c>
      <c r="J2861" t="s">
        <v>33127</v>
      </c>
      <c r="K2861" t="s">
        <v>40289</v>
      </c>
      <c r="M2861" t="s">
        <v>41814</v>
      </c>
      <c r="N2861" t="s">
        <v>44759</v>
      </c>
      <c r="O2861" t="s">
        <v>44760</v>
      </c>
      <c r="P2861">
        <v>0</v>
      </c>
      <c r="Q2861">
        <v>1</v>
      </c>
      <c r="R2861" t="s">
        <v>44762</v>
      </c>
      <c r="S2861" t="s">
        <v>44863</v>
      </c>
      <c r="T2861" t="s">
        <v>46387</v>
      </c>
      <c r="U2861" t="s">
        <v>49377</v>
      </c>
      <c r="V2861" t="s">
        <v>59431</v>
      </c>
      <c r="W2861" t="s">
        <v>41814</v>
      </c>
      <c r="X2861" t="s">
        <v>44766</v>
      </c>
    </row>
    <row r="2862" spans="1:24">
      <c r="A2862">
        <f>HYPERLINK("https://www.philgeps.gov.ph/GEPSNONPILOT/Tender/SplashBidNoticeAbstractUI.aspx?menuIndex=3&amp;refID=7149217&amp;Result=3","7149217")</f>
        <v>0</v>
      </c>
      <c r="B2862" t="s">
        <v>531</v>
      </c>
      <c r="C2862" t="s">
        <v>6506</v>
      </c>
      <c r="D2862" t="s">
        <v>17955</v>
      </c>
      <c r="E2862" t="s">
        <v>20648</v>
      </c>
      <c r="F2862" t="s">
        <v>30900</v>
      </c>
      <c r="G2862" t="s">
        <v>30910</v>
      </c>
      <c r="H2862" t="s">
        <v>30916</v>
      </c>
      <c r="I2862" t="s">
        <v>6396</v>
      </c>
      <c r="J2862" t="s">
        <v>33128</v>
      </c>
      <c r="K2862" t="s">
        <v>40285</v>
      </c>
      <c r="M2862" t="s">
        <v>41561</v>
      </c>
      <c r="N2862" t="s">
        <v>44759</v>
      </c>
      <c r="O2862" t="s">
        <v>44760</v>
      </c>
      <c r="P2862">
        <v>0</v>
      </c>
      <c r="Q2862">
        <v>2</v>
      </c>
      <c r="R2862" t="s">
        <v>44762</v>
      </c>
      <c r="S2862" t="s">
        <v>44863</v>
      </c>
      <c r="T2862" t="s">
        <v>46398</v>
      </c>
      <c r="U2862" t="s">
        <v>49378</v>
      </c>
      <c r="W2862" t="s">
        <v>41561</v>
      </c>
      <c r="X2862" t="s">
        <v>44763</v>
      </c>
    </row>
    <row r="2863" spans="1:24">
      <c r="A2863">
        <f>HYPERLINK("https://www.philgeps.gov.ph/GEPSNONPILOT/Tender/SplashBidNoticeAbstractUI.aspx?menuIndex=3&amp;refID=7148812&amp;Result=3","7148812")</f>
        <v>0</v>
      </c>
      <c r="B2863" t="s">
        <v>1211</v>
      </c>
      <c r="C2863" t="s">
        <v>6507</v>
      </c>
      <c r="D2863" t="s">
        <v>17980</v>
      </c>
      <c r="E2863" t="s">
        <v>20649</v>
      </c>
      <c r="F2863" t="s">
        <v>30900</v>
      </c>
      <c r="G2863" t="s">
        <v>30906</v>
      </c>
      <c r="H2863" t="s">
        <v>30916</v>
      </c>
      <c r="I2863" t="s">
        <v>4545</v>
      </c>
      <c r="J2863" t="s">
        <v>33129</v>
      </c>
      <c r="K2863" t="s">
        <v>40280</v>
      </c>
      <c r="M2863" t="s">
        <v>41822</v>
      </c>
      <c r="N2863" t="s">
        <v>44759</v>
      </c>
      <c r="O2863" t="s">
        <v>44760</v>
      </c>
      <c r="P2863">
        <v>0</v>
      </c>
      <c r="Q2863">
        <v>3</v>
      </c>
      <c r="R2863" t="s">
        <v>44762</v>
      </c>
      <c r="S2863" t="s">
        <v>44863</v>
      </c>
      <c r="T2863" t="s">
        <v>46386</v>
      </c>
      <c r="U2863" t="s">
        <v>49369</v>
      </c>
      <c r="V2863" t="s">
        <v>59437</v>
      </c>
      <c r="W2863" t="s">
        <v>41822</v>
      </c>
      <c r="X2863" t="s">
        <v>44765</v>
      </c>
    </row>
    <row r="2864" spans="1:24">
      <c r="A2864">
        <f>HYPERLINK("https://www.philgeps.gov.ph/GEPSNONPILOT/Tender/SplashBidNoticeAbstractUI.aspx?menuIndex=3&amp;refID=7149215&amp;Result=3","7149215")</f>
        <v>0</v>
      </c>
      <c r="B2864" t="s">
        <v>1213</v>
      </c>
      <c r="C2864" t="s">
        <v>6508</v>
      </c>
      <c r="D2864" t="s">
        <v>18007</v>
      </c>
      <c r="E2864" t="s">
        <v>20650</v>
      </c>
      <c r="F2864" t="s">
        <v>30900</v>
      </c>
      <c r="G2864" t="s">
        <v>30907</v>
      </c>
      <c r="H2864" t="s">
        <v>30916</v>
      </c>
      <c r="I2864" t="s">
        <v>30985</v>
      </c>
      <c r="J2864" t="s">
        <v>31139</v>
      </c>
      <c r="K2864" t="s">
        <v>40286</v>
      </c>
      <c r="M2864" t="s">
        <v>41825</v>
      </c>
      <c r="N2864" t="s">
        <v>44759</v>
      </c>
      <c r="O2864" t="s">
        <v>44760</v>
      </c>
      <c r="P2864">
        <v>0</v>
      </c>
      <c r="Q2864">
        <v>4</v>
      </c>
      <c r="R2864" t="s">
        <v>44762</v>
      </c>
      <c r="S2864" t="s">
        <v>44863</v>
      </c>
      <c r="T2864" t="s">
        <v>46615</v>
      </c>
      <c r="U2864" t="s">
        <v>49379</v>
      </c>
      <c r="W2864" t="s">
        <v>41825</v>
      </c>
      <c r="X2864" t="s">
        <v>44763</v>
      </c>
    </row>
    <row r="2865" spans="1:24">
      <c r="A2865">
        <f>HYPERLINK("https://www.philgeps.gov.ph/GEPSNONPILOT/Tender/SplashBidNoticeAbstractUI.aspx?menuIndex=3&amp;refID=7149214&amp;Result=3","7149214")</f>
        <v>0</v>
      </c>
      <c r="B2865" t="s">
        <v>924</v>
      </c>
      <c r="C2865" t="s">
        <v>6509</v>
      </c>
      <c r="D2865" t="s">
        <v>18017</v>
      </c>
      <c r="E2865" t="s">
        <v>20651</v>
      </c>
      <c r="F2865" t="s">
        <v>30900</v>
      </c>
      <c r="G2865" t="s">
        <v>30907</v>
      </c>
      <c r="H2865" t="s">
        <v>30916</v>
      </c>
      <c r="I2865" t="s">
        <v>30947</v>
      </c>
      <c r="J2865" t="s">
        <v>33130</v>
      </c>
      <c r="K2865" t="s">
        <v>40280</v>
      </c>
      <c r="M2865" t="s">
        <v>41504</v>
      </c>
      <c r="N2865" t="s">
        <v>44759</v>
      </c>
      <c r="O2865" t="s">
        <v>44760</v>
      </c>
      <c r="P2865">
        <v>0</v>
      </c>
      <c r="Q2865">
        <v>1</v>
      </c>
      <c r="R2865" t="s">
        <v>44762</v>
      </c>
      <c r="S2865" t="s">
        <v>44863</v>
      </c>
      <c r="T2865" t="s">
        <v>46476</v>
      </c>
      <c r="U2865" t="s">
        <v>49380</v>
      </c>
      <c r="V2865" t="s">
        <v>59403</v>
      </c>
      <c r="W2865" t="s">
        <v>41504</v>
      </c>
      <c r="X2865" t="s">
        <v>44763</v>
      </c>
    </row>
    <row r="2866" spans="1:24">
      <c r="A2866">
        <f>HYPERLINK("https://www.philgeps.gov.ph/GEPSNONPILOT/Tender/SplashBidNoticeAbstractUI.aspx?menuIndex=3&amp;refID=7149203&amp;Result=3","7149203")</f>
        <v>0</v>
      </c>
      <c r="B2866" t="s">
        <v>1214</v>
      </c>
      <c r="C2866" t="s">
        <v>6510</v>
      </c>
      <c r="D2866" t="s">
        <v>17990</v>
      </c>
      <c r="E2866" t="s">
        <v>20652</v>
      </c>
      <c r="F2866" t="s">
        <v>30900</v>
      </c>
      <c r="G2866" t="s">
        <v>30908</v>
      </c>
      <c r="H2866" t="s">
        <v>30916</v>
      </c>
      <c r="I2866" t="s">
        <v>5501</v>
      </c>
      <c r="J2866" t="s">
        <v>33131</v>
      </c>
      <c r="K2866" t="s">
        <v>40287</v>
      </c>
      <c r="M2866" t="s">
        <v>41826</v>
      </c>
      <c r="N2866" t="s">
        <v>44759</v>
      </c>
      <c r="O2866" t="s">
        <v>44760</v>
      </c>
      <c r="P2866">
        <v>0</v>
      </c>
      <c r="Q2866">
        <v>1</v>
      </c>
      <c r="R2866" t="s">
        <v>44762</v>
      </c>
      <c r="S2866" t="s">
        <v>44863</v>
      </c>
      <c r="T2866" t="s">
        <v>46398</v>
      </c>
      <c r="U2866" t="s">
        <v>49381</v>
      </c>
      <c r="W2866" t="s">
        <v>41826</v>
      </c>
      <c r="X2866" t="s">
        <v>44764</v>
      </c>
    </row>
    <row r="2867" spans="1:24">
      <c r="A2867">
        <f>HYPERLINK("https://www.philgeps.gov.ph/GEPSNONPILOT/Tender/SplashBidNoticeAbstractUI.aspx?menuIndex=3&amp;refID=7149194&amp;Result=3","7149194")</f>
        <v>0</v>
      </c>
      <c r="B2867" t="s">
        <v>1212</v>
      </c>
      <c r="C2867" t="s">
        <v>6511</v>
      </c>
      <c r="D2867" t="s">
        <v>17952</v>
      </c>
      <c r="E2867" t="s">
        <v>18605</v>
      </c>
      <c r="F2867" t="s">
        <v>30900</v>
      </c>
      <c r="G2867" t="s">
        <v>30907</v>
      </c>
      <c r="H2867" t="s">
        <v>30916</v>
      </c>
      <c r="I2867" t="s">
        <v>8123</v>
      </c>
      <c r="J2867" t="s">
        <v>33132</v>
      </c>
      <c r="K2867" t="s">
        <v>40291</v>
      </c>
      <c r="M2867" t="s">
        <v>41824</v>
      </c>
      <c r="N2867" t="s">
        <v>44759</v>
      </c>
      <c r="O2867" t="s">
        <v>44760</v>
      </c>
      <c r="P2867">
        <v>0</v>
      </c>
      <c r="Q2867">
        <v>0</v>
      </c>
      <c r="R2867" t="s">
        <v>44762</v>
      </c>
      <c r="S2867" t="s">
        <v>44863</v>
      </c>
      <c r="T2867" t="s">
        <v>46382</v>
      </c>
      <c r="U2867" t="s">
        <v>49382</v>
      </c>
      <c r="W2867" t="s">
        <v>41824</v>
      </c>
      <c r="X2867" t="s">
        <v>44764</v>
      </c>
    </row>
    <row r="2868" spans="1:24">
      <c r="A2868">
        <f>HYPERLINK("https://www.philgeps.gov.ph/GEPSNONPILOT/Tender/SplashBidNoticeAbstractUI.aspx?menuIndex=3&amp;refID=7149134&amp;Result=3","7149134")</f>
        <v>0</v>
      </c>
      <c r="B2868" t="s">
        <v>1215</v>
      </c>
      <c r="C2868" t="s">
        <v>6512</v>
      </c>
      <c r="D2868" t="s">
        <v>17980</v>
      </c>
      <c r="E2868" t="s">
        <v>20653</v>
      </c>
      <c r="F2868" t="s">
        <v>30900</v>
      </c>
      <c r="G2868" t="s">
        <v>30907</v>
      </c>
      <c r="H2868" t="s">
        <v>30915</v>
      </c>
      <c r="I2868" t="s">
        <v>30919</v>
      </c>
      <c r="J2868" t="s">
        <v>32391</v>
      </c>
      <c r="K2868" t="s">
        <v>40384</v>
      </c>
      <c r="M2868" t="s">
        <v>41827</v>
      </c>
      <c r="N2868" t="s">
        <v>44759</v>
      </c>
      <c r="O2868" t="s">
        <v>44760</v>
      </c>
      <c r="P2868">
        <v>0</v>
      </c>
      <c r="Q2868">
        <v>0</v>
      </c>
      <c r="R2868" t="s">
        <v>44762</v>
      </c>
      <c r="S2868" t="s">
        <v>44863</v>
      </c>
      <c r="T2868" t="s">
        <v>46400</v>
      </c>
      <c r="U2868" t="s">
        <v>49383</v>
      </c>
      <c r="W2868" t="s">
        <v>41827</v>
      </c>
      <c r="X2868" t="s">
        <v>44764</v>
      </c>
    </row>
    <row r="2869" spans="1:24">
      <c r="A2869">
        <f>HYPERLINK("https://www.philgeps.gov.ph/GEPSNONPILOT/Tender/SplashBidNoticeAbstractUI.aspx?menuIndex=3&amp;refID=7149059&amp;Result=3","7149059")</f>
        <v>0</v>
      </c>
      <c r="B2869" t="s">
        <v>1216</v>
      </c>
      <c r="C2869" t="s">
        <v>6513</v>
      </c>
      <c r="D2869" t="s">
        <v>17953</v>
      </c>
      <c r="E2869" t="s">
        <v>20527</v>
      </c>
      <c r="F2869" t="s">
        <v>30900</v>
      </c>
      <c r="G2869" t="s">
        <v>30908</v>
      </c>
      <c r="H2869" t="s">
        <v>30916</v>
      </c>
      <c r="I2869" t="s">
        <v>30924</v>
      </c>
      <c r="J2869" t="s">
        <v>33133</v>
      </c>
      <c r="K2869" t="s">
        <v>40289</v>
      </c>
      <c r="M2869" t="s">
        <v>41828</v>
      </c>
      <c r="N2869" t="s">
        <v>44759</v>
      </c>
      <c r="O2869" t="s">
        <v>44760</v>
      </c>
      <c r="P2869">
        <v>0</v>
      </c>
      <c r="Q2869">
        <v>3</v>
      </c>
      <c r="R2869" t="s">
        <v>44762</v>
      </c>
      <c r="S2869" t="s">
        <v>44863</v>
      </c>
      <c r="T2869" t="s">
        <v>46359</v>
      </c>
      <c r="U2869" t="s">
        <v>49384</v>
      </c>
      <c r="W2869" t="s">
        <v>41828</v>
      </c>
      <c r="X2869" t="s">
        <v>44764</v>
      </c>
    </row>
    <row r="2870" spans="1:24">
      <c r="A2870">
        <f>HYPERLINK("https://www.philgeps.gov.ph/GEPSNONPILOT/Tender/SplashBidNoticeAbstractUI.aspx?menuIndex=3&amp;refID=7148836&amp;Result=3","7148836")</f>
        <v>0</v>
      </c>
      <c r="B2870" t="s">
        <v>1211</v>
      </c>
      <c r="C2870" t="s">
        <v>6514</v>
      </c>
      <c r="D2870" t="s">
        <v>17980</v>
      </c>
      <c r="E2870" t="s">
        <v>20654</v>
      </c>
      <c r="F2870" t="s">
        <v>30900</v>
      </c>
      <c r="G2870" t="s">
        <v>30906</v>
      </c>
      <c r="H2870" t="s">
        <v>30916</v>
      </c>
      <c r="I2870" t="s">
        <v>30921</v>
      </c>
      <c r="J2870" t="s">
        <v>31247</v>
      </c>
      <c r="K2870" t="s">
        <v>40314</v>
      </c>
      <c r="M2870" t="s">
        <v>41822</v>
      </c>
      <c r="N2870" t="s">
        <v>44759</v>
      </c>
      <c r="O2870" t="s">
        <v>44760</v>
      </c>
      <c r="P2870">
        <v>0</v>
      </c>
      <c r="Q2870">
        <v>0</v>
      </c>
      <c r="R2870" t="s">
        <v>44762</v>
      </c>
      <c r="S2870" t="s">
        <v>44863</v>
      </c>
      <c r="T2870" t="s">
        <v>46386</v>
      </c>
      <c r="U2870" t="s">
        <v>49369</v>
      </c>
      <c r="V2870" t="s">
        <v>59439</v>
      </c>
      <c r="W2870" t="s">
        <v>41822</v>
      </c>
      <c r="X2870" t="s">
        <v>44765</v>
      </c>
    </row>
    <row r="2871" spans="1:24">
      <c r="A2871">
        <f>HYPERLINK("https://www.philgeps.gov.ph/GEPSNONPILOT/Tender/SplashBidNoticeAbstractUI.aspx?menuIndex=3&amp;refID=7149057&amp;Result=3","7149057")</f>
        <v>0</v>
      </c>
      <c r="B2871" t="s">
        <v>1217</v>
      </c>
      <c r="C2871" t="s">
        <v>6515</v>
      </c>
      <c r="D2871" t="s">
        <v>17952</v>
      </c>
      <c r="E2871" t="s">
        <v>18306</v>
      </c>
      <c r="F2871" t="s">
        <v>30900</v>
      </c>
      <c r="G2871" t="s">
        <v>30907</v>
      </c>
      <c r="H2871" t="s">
        <v>30916</v>
      </c>
      <c r="I2871" t="s">
        <v>30919</v>
      </c>
      <c r="J2871" t="s">
        <v>31528</v>
      </c>
      <c r="K2871" t="s">
        <v>40289</v>
      </c>
      <c r="M2871" t="s">
        <v>41829</v>
      </c>
      <c r="N2871" t="s">
        <v>44759</v>
      </c>
      <c r="O2871" t="s">
        <v>44760</v>
      </c>
      <c r="P2871">
        <v>0</v>
      </c>
      <c r="Q2871">
        <v>0</v>
      </c>
      <c r="R2871" t="s">
        <v>44762</v>
      </c>
      <c r="S2871" t="s">
        <v>44863</v>
      </c>
      <c r="T2871" t="s">
        <v>46352</v>
      </c>
      <c r="U2871" t="s">
        <v>49385</v>
      </c>
      <c r="W2871" t="s">
        <v>41829</v>
      </c>
      <c r="X2871" t="s">
        <v>44764</v>
      </c>
    </row>
    <row r="2872" spans="1:24">
      <c r="A2872">
        <f>HYPERLINK("https://www.philgeps.gov.ph/GEPSNONPILOT/Tender/SplashBidNoticeAbstractUI.aspx?menuIndex=3&amp;refID=7149216&amp;Result=3","7149216")</f>
        <v>0</v>
      </c>
      <c r="B2872" t="s">
        <v>1218</v>
      </c>
      <c r="C2872" t="s">
        <v>6516</v>
      </c>
      <c r="D2872" t="s">
        <v>17961</v>
      </c>
      <c r="E2872" t="s">
        <v>20655</v>
      </c>
      <c r="F2872" t="s">
        <v>30900</v>
      </c>
      <c r="G2872" t="s">
        <v>30910</v>
      </c>
      <c r="H2872" t="s">
        <v>30916</v>
      </c>
      <c r="I2872" t="s">
        <v>6953</v>
      </c>
      <c r="J2872" t="s">
        <v>32322</v>
      </c>
      <c r="K2872" t="s">
        <v>40286</v>
      </c>
      <c r="M2872" t="s">
        <v>41830</v>
      </c>
      <c r="N2872" t="s">
        <v>44759</v>
      </c>
      <c r="O2872" t="s">
        <v>44760</v>
      </c>
      <c r="P2872">
        <v>0</v>
      </c>
      <c r="Q2872">
        <v>0</v>
      </c>
      <c r="R2872" t="s">
        <v>44762</v>
      </c>
      <c r="S2872" t="s">
        <v>44863</v>
      </c>
      <c r="T2872" t="s">
        <v>46357</v>
      </c>
      <c r="U2872" t="s">
        <v>49386</v>
      </c>
      <c r="W2872" t="s">
        <v>41830</v>
      </c>
      <c r="X2872" t="s">
        <v>44763</v>
      </c>
    </row>
    <row r="2873" spans="1:24">
      <c r="A2873">
        <f>HYPERLINK("https://www.philgeps.gov.ph/GEPSNONPILOT/Tender/SplashBidNoticeAbstractUI.aspx?menuIndex=3&amp;refID=7149033&amp;Result=3","7149033")</f>
        <v>0</v>
      </c>
      <c r="B2873" t="s">
        <v>1160</v>
      </c>
      <c r="C2873" t="s">
        <v>6517</v>
      </c>
      <c r="D2873" t="s">
        <v>17996</v>
      </c>
      <c r="E2873" t="s">
        <v>20656</v>
      </c>
      <c r="F2873" t="s">
        <v>30900</v>
      </c>
      <c r="G2873" t="s">
        <v>30908</v>
      </c>
      <c r="H2873" t="s">
        <v>30916</v>
      </c>
      <c r="I2873" t="s">
        <v>4017</v>
      </c>
      <c r="J2873" t="s">
        <v>31717</v>
      </c>
      <c r="K2873" t="s">
        <v>40286</v>
      </c>
      <c r="M2873" t="s">
        <v>41768</v>
      </c>
      <c r="N2873" t="s">
        <v>44759</v>
      </c>
      <c r="O2873" t="s">
        <v>44760</v>
      </c>
      <c r="P2873">
        <v>0</v>
      </c>
      <c r="Q2873">
        <v>3</v>
      </c>
      <c r="R2873" t="s">
        <v>44762</v>
      </c>
      <c r="S2873" t="s">
        <v>44863</v>
      </c>
      <c r="T2873" t="s">
        <v>46357</v>
      </c>
      <c r="U2873" t="s">
        <v>49387</v>
      </c>
      <c r="W2873" t="s">
        <v>41768</v>
      </c>
      <c r="X2873" t="s">
        <v>44764</v>
      </c>
    </row>
    <row r="2874" spans="1:24">
      <c r="A2874">
        <f>HYPERLINK("https://www.philgeps.gov.ph/GEPSNONPILOT/Tender/SplashBidNoticeAbstractUI.aspx?menuIndex=3&amp;refID=7149019&amp;Result=3","7149019")</f>
        <v>0</v>
      </c>
      <c r="B2874" t="s">
        <v>1219</v>
      </c>
      <c r="C2874" t="s">
        <v>6518</v>
      </c>
      <c r="D2874" t="s">
        <v>17975</v>
      </c>
      <c r="E2874" t="s">
        <v>18066</v>
      </c>
      <c r="F2874" t="s">
        <v>30899</v>
      </c>
      <c r="G2874" t="s">
        <v>30907</v>
      </c>
      <c r="H2874" t="s">
        <v>30915</v>
      </c>
      <c r="I2874" t="s">
        <v>30919</v>
      </c>
      <c r="J2874" t="s">
        <v>31518</v>
      </c>
      <c r="K2874" t="s">
        <v>40385</v>
      </c>
      <c r="L2874" t="s">
        <v>1219</v>
      </c>
      <c r="M2874" t="s">
        <v>41831</v>
      </c>
      <c r="N2874" t="s">
        <v>44759</v>
      </c>
      <c r="O2874" t="s">
        <v>44760</v>
      </c>
      <c r="P2874">
        <v>0</v>
      </c>
      <c r="Q2874">
        <v>2</v>
      </c>
      <c r="R2874" t="s">
        <v>44762</v>
      </c>
      <c r="S2874" t="s">
        <v>44863</v>
      </c>
      <c r="T2874" t="s">
        <v>46616</v>
      </c>
      <c r="U2874" t="s">
        <v>49388</v>
      </c>
      <c r="W2874" t="s">
        <v>41831</v>
      </c>
      <c r="X2874" t="s">
        <v>44764</v>
      </c>
    </row>
    <row r="2875" spans="1:24">
      <c r="A2875">
        <f>HYPERLINK("https://www.philgeps.gov.ph/GEPSNONPILOT/Tender/SplashBidNoticeAbstractUI.aspx?menuIndex=3&amp;refID=7149199&amp;Result=3","7149199")</f>
        <v>0</v>
      </c>
      <c r="B2875" t="s">
        <v>1212</v>
      </c>
      <c r="C2875" t="s">
        <v>6519</v>
      </c>
      <c r="D2875" t="s">
        <v>17952</v>
      </c>
      <c r="E2875" t="s">
        <v>20657</v>
      </c>
      <c r="F2875" t="s">
        <v>30900</v>
      </c>
      <c r="G2875" t="s">
        <v>30907</v>
      </c>
      <c r="H2875" t="s">
        <v>30916</v>
      </c>
      <c r="I2875" t="s">
        <v>4004</v>
      </c>
      <c r="J2875" t="s">
        <v>33134</v>
      </c>
      <c r="K2875" t="s">
        <v>40291</v>
      </c>
      <c r="M2875" t="s">
        <v>41824</v>
      </c>
      <c r="N2875" t="s">
        <v>44759</v>
      </c>
      <c r="O2875" t="s">
        <v>44760</v>
      </c>
      <c r="P2875">
        <v>0</v>
      </c>
      <c r="Q2875">
        <v>1</v>
      </c>
      <c r="R2875" t="s">
        <v>44762</v>
      </c>
      <c r="S2875" t="s">
        <v>44863</v>
      </c>
      <c r="T2875" t="s">
        <v>46382</v>
      </c>
      <c r="U2875" t="s">
        <v>49389</v>
      </c>
      <c r="W2875" t="s">
        <v>41824</v>
      </c>
      <c r="X2875" t="s">
        <v>44764</v>
      </c>
    </row>
    <row r="2876" spans="1:24">
      <c r="A2876">
        <f>HYPERLINK("https://www.philgeps.gov.ph/GEPSNONPILOT/Tender/SplashBidNoticeAbstractUI.aspx?menuIndex=3&amp;refID=7149030&amp;Result=3","7149030")</f>
        <v>0</v>
      </c>
      <c r="B2876" t="s">
        <v>1160</v>
      </c>
      <c r="C2876" t="s">
        <v>6520</v>
      </c>
      <c r="D2876" t="s">
        <v>17996</v>
      </c>
      <c r="E2876" t="s">
        <v>20658</v>
      </c>
      <c r="F2876" t="s">
        <v>30900</v>
      </c>
      <c r="G2876" t="s">
        <v>30907</v>
      </c>
      <c r="H2876" t="s">
        <v>30916</v>
      </c>
      <c r="I2876" t="s">
        <v>30935</v>
      </c>
      <c r="J2876" t="s">
        <v>33135</v>
      </c>
      <c r="K2876" t="s">
        <v>40283</v>
      </c>
      <c r="M2876" t="s">
        <v>41768</v>
      </c>
      <c r="N2876" t="s">
        <v>44759</v>
      </c>
      <c r="O2876" t="s">
        <v>44760</v>
      </c>
      <c r="P2876">
        <v>0</v>
      </c>
      <c r="Q2876">
        <v>0</v>
      </c>
      <c r="R2876" t="s">
        <v>44762</v>
      </c>
      <c r="S2876" t="s">
        <v>44863</v>
      </c>
      <c r="T2876" t="s">
        <v>46409</v>
      </c>
      <c r="U2876" t="s">
        <v>49390</v>
      </c>
      <c r="W2876" t="s">
        <v>41768</v>
      </c>
      <c r="X2876" t="s">
        <v>44764</v>
      </c>
    </row>
    <row r="2877" spans="1:24">
      <c r="A2877">
        <f>HYPERLINK("https://www.philgeps.gov.ph/GEPSNONPILOT/Tender/SplashBidNoticeAbstractUI.aspx?menuIndex=3&amp;refID=7148340&amp;Result=3","7148340")</f>
        <v>0</v>
      </c>
      <c r="B2877" t="s">
        <v>1203</v>
      </c>
      <c r="C2877" t="s">
        <v>6521</v>
      </c>
      <c r="D2877" t="s">
        <v>17953</v>
      </c>
      <c r="E2877" t="s">
        <v>20659</v>
      </c>
      <c r="F2877" t="s">
        <v>30900</v>
      </c>
      <c r="G2877" t="s">
        <v>30907</v>
      </c>
      <c r="H2877" t="s">
        <v>30916</v>
      </c>
      <c r="I2877" t="s">
        <v>30924</v>
      </c>
      <c r="J2877" t="s">
        <v>31048</v>
      </c>
      <c r="K2877" t="s">
        <v>40289</v>
      </c>
      <c r="M2877" t="s">
        <v>41814</v>
      </c>
      <c r="N2877" t="s">
        <v>44759</v>
      </c>
      <c r="O2877" t="s">
        <v>44760</v>
      </c>
      <c r="P2877">
        <v>0</v>
      </c>
      <c r="Q2877">
        <v>0</v>
      </c>
      <c r="R2877" t="s">
        <v>44762</v>
      </c>
      <c r="S2877" t="s">
        <v>44863</v>
      </c>
      <c r="T2877" t="s">
        <v>46387</v>
      </c>
      <c r="U2877" t="s">
        <v>49391</v>
      </c>
      <c r="V2877" t="s">
        <v>59431</v>
      </c>
      <c r="W2877" t="s">
        <v>41814</v>
      </c>
      <c r="X2877" t="s">
        <v>44766</v>
      </c>
    </row>
    <row r="2878" spans="1:24">
      <c r="A2878">
        <f>HYPERLINK("https://www.philgeps.gov.ph/GEPSNONPILOT/Tender/SplashBidNoticeAbstractUI.aspx?menuIndex=3&amp;refID=7149218&amp;Result=3","7149218")</f>
        <v>0</v>
      </c>
      <c r="B2878" t="s">
        <v>1218</v>
      </c>
      <c r="C2878" t="s">
        <v>6522</v>
      </c>
      <c r="D2878" t="s">
        <v>17961</v>
      </c>
      <c r="E2878" t="s">
        <v>20660</v>
      </c>
      <c r="F2878" t="s">
        <v>30900</v>
      </c>
      <c r="G2878" t="s">
        <v>30908</v>
      </c>
      <c r="H2878" t="s">
        <v>30916</v>
      </c>
      <c r="I2878" t="s">
        <v>9385</v>
      </c>
      <c r="J2878" t="s">
        <v>33136</v>
      </c>
      <c r="K2878" t="s">
        <v>40286</v>
      </c>
      <c r="M2878" t="s">
        <v>41830</v>
      </c>
      <c r="N2878" t="s">
        <v>44759</v>
      </c>
      <c r="O2878" t="s">
        <v>44760</v>
      </c>
      <c r="P2878">
        <v>0</v>
      </c>
      <c r="Q2878">
        <v>4</v>
      </c>
      <c r="R2878" t="s">
        <v>44762</v>
      </c>
      <c r="S2878" t="s">
        <v>44863</v>
      </c>
      <c r="T2878" t="s">
        <v>46357</v>
      </c>
      <c r="U2878" t="s">
        <v>49386</v>
      </c>
      <c r="W2878" t="s">
        <v>41830</v>
      </c>
      <c r="X2878" t="s">
        <v>44763</v>
      </c>
    </row>
    <row r="2879" spans="1:24">
      <c r="A2879">
        <f>HYPERLINK("https://www.philgeps.gov.ph/GEPSNONPILOT/Tender/SplashBidNoticeAbstractUI.aspx?menuIndex=3&amp;refID=7149052&amp;Result=3","7149052")</f>
        <v>0</v>
      </c>
      <c r="B2879" t="s">
        <v>1220</v>
      </c>
      <c r="C2879" t="s">
        <v>6523</v>
      </c>
      <c r="D2879" t="s">
        <v>17963</v>
      </c>
      <c r="E2879" t="s">
        <v>20527</v>
      </c>
      <c r="F2879" t="s">
        <v>30900</v>
      </c>
      <c r="G2879" t="s">
        <v>30909</v>
      </c>
      <c r="H2879" t="s">
        <v>30916</v>
      </c>
      <c r="I2879" t="s">
        <v>4050</v>
      </c>
      <c r="J2879" t="s">
        <v>32040</v>
      </c>
      <c r="K2879" t="s">
        <v>40289</v>
      </c>
      <c r="M2879" t="s">
        <v>41832</v>
      </c>
      <c r="N2879" t="s">
        <v>44759</v>
      </c>
      <c r="O2879" t="s">
        <v>44760</v>
      </c>
      <c r="P2879">
        <v>0</v>
      </c>
      <c r="Q2879">
        <v>1</v>
      </c>
      <c r="R2879" t="s">
        <v>44762</v>
      </c>
      <c r="S2879" t="s">
        <v>44863</v>
      </c>
      <c r="T2879" t="s">
        <v>46374</v>
      </c>
      <c r="U2879" t="s">
        <v>49392</v>
      </c>
      <c r="W2879" t="s">
        <v>41832</v>
      </c>
      <c r="X2879" t="s">
        <v>44764</v>
      </c>
    </row>
    <row r="2880" spans="1:24">
      <c r="A2880">
        <f>HYPERLINK("https://www.philgeps.gov.ph/GEPSNONPILOT/Tender/SplashBidNoticeAbstractUI.aspx?menuIndex=3&amp;refID=7149235&amp;Result=3","7149235")</f>
        <v>0</v>
      </c>
      <c r="B2880" t="s">
        <v>1069</v>
      </c>
      <c r="C2880" t="s">
        <v>6524</v>
      </c>
      <c r="D2880" t="s">
        <v>17975</v>
      </c>
      <c r="E2880" t="s">
        <v>20661</v>
      </c>
      <c r="F2880" t="s">
        <v>30900</v>
      </c>
      <c r="G2880" t="s">
        <v>30907</v>
      </c>
      <c r="H2880" t="s">
        <v>30915</v>
      </c>
      <c r="I2880" t="s">
        <v>30919</v>
      </c>
      <c r="J2880" t="s">
        <v>33137</v>
      </c>
      <c r="K2880" t="s">
        <v>40289</v>
      </c>
      <c r="M2880" t="s">
        <v>41667</v>
      </c>
      <c r="N2880" t="s">
        <v>44759</v>
      </c>
      <c r="O2880" t="s">
        <v>44760</v>
      </c>
      <c r="P2880">
        <v>0</v>
      </c>
      <c r="Q2880">
        <v>1</v>
      </c>
      <c r="R2880" t="s">
        <v>44762</v>
      </c>
      <c r="S2880" t="s">
        <v>44863</v>
      </c>
      <c r="T2880" t="s">
        <v>46400</v>
      </c>
      <c r="U2880" t="s">
        <v>49393</v>
      </c>
      <c r="W2880" t="s">
        <v>41667</v>
      </c>
      <c r="X2880" t="s">
        <v>44763</v>
      </c>
    </row>
    <row r="2881" spans="1:24">
      <c r="A2881">
        <f>HYPERLINK("https://www.philgeps.gov.ph/GEPSNONPILOT/Tender/SplashBidNoticeAbstractUI.aspx?menuIndex=3&amp;refID=7149036&amp;Result=3","7149036")</f>
        <v>0</v>
      </c>
      <c r="B2881" t="s">
        <v>1160</v>
      </c>
      <c r="C2881" t="s">
        <v>6525</v>
      </c>
      <c r="D2881" t="s">
        <v>17996</v>
      </c>
      <c r="E2881" t="s">
        <v>20662</v>
      </c>
      <c r="F2881" t="s">
        <v>30900</v>
      </c>
      <c r="G2881" t="s">
        <v>30907</v>
      </c>
      <c r="H2881" t="s">
        <v>30916</v>
      </c>
      <c r="I2881" t="s">
        <v>30924</v>
      </c>
      <c r="J2881" t="s">
        <v>31282</v>
      </c>
      <c r="K2881" t="s">
        <v>40283</v>
      </c>
      <c r="M2881" t="s">
        <v>41768</v>
      </c>
      <c r="N2881" t="s">
        <v>44759</v>
      </c>
      <c r="O2881" t="s">
        <v>44760</v>
      </c>
      <c r="P2881">
        <v>0</v>
      </c>
      <c r="Q2881">
        <v>2</v>
      </c>
      <c r="R2881" t="s">
        <v>44762</v>
      </c>
      <c r="S2881" t="s">
        <v>44863</v>
      </c>
      <c r="T2881" t="s">
        <v>46409</v>
      </c>
      <c r="U2881" t="s">
        <v>49394</v>
      </c>
      <c r="W2881" t="s">
        <v>41768</v>
      </c>
      <c r="X2881" t="s">
        <v>44764</v>
      </c>
    </row>
    <row r="2882" spans="1:24">
      <c r="A2882">
        <f>HYPERLINK("https://www.philgeps.gov.ph/GEPSNONPILOT/Tender/SplashBidNoticeAbstractUI.aspx?menuIndex=3&amp;refID=7149234&amp;Result=3","7149234")</f>
        <v>0</v>
      </c>
      <c r="B2882" t="s">
        <v>478</v>
      </c>
      <c r="C2882" t="s">
        <v>6526</v>
      </c>
      <c r="D2882" t="s">
        <v>17959</v>
      </c>
      <c r="E2882" t="s">
        <v>20663</v>
      </c>
      <c r="F2882" t="s">
        <v>30900</v>
      </c>
      <c r="G2882" t="s">
        <v>30908</v>
      </c>
      <c r="H2882" t="s">
        <v>30916</v>
      </c>
      <c r="I2882" t="s">
        <v>4545</v>
      </c>
      <c r="J2882" t="s">
        <v>31728</v>
      </c>
      <c r="K2882" t="s">
        <v>40287</v>
      </c>
      <c r="M2882" t="s">
        <v>41036</v>
      </c>
      <c r="N2882" t="s">
        <v>44759</v>
      </c>
      <c r="O2882" t="s">
        <v>44760</v>
      </c>
      <c r="P2882">
        <v>0</v>
      </c>
      <c r="Q2882">
        <v>4</v>
      </c>
      <c r="R2882" t="s">
        <v>44762</v>
      </c>
      <c r="S2882" t="s">
        <v>44863</v>
      </c>
      <c r="T2882" t="s">
        <v>46414</v>
      </c>
      <c r="U2882" t="s">
        <v>49395</v>
      </c>
      <c r="W2882" t="s">
        <v>41036</v>
      </c>
      <c r="X2882" t="s">
        <v>44763</v>
      </c>
    </row>
    <row r="2883" spans="1:24">
      <c r="A2883">
        <f>HYPERLINK("https://www.philgeps.gov.ph/GEPSNONPILOT/Tender/SplashBidNoticeAbstractUI.aspx?menuIndex=3&amp;refID=7149233&amp;Result=3","7149233")</f>
        <v>0</v>
      </c>
      <c r="B2883" t="s">
        <v>64</v>
      </c>
      <c r="C2883" t="s">
        <v>6527</v>
      </c>
      <c r="D2883" t="s">
        <v>17971</v>
      </c>
      <c r="E2883" t="s">
        <v>20664</v>
      </c>
      <c r="F2883" t="s">
        <v>30900</v>
      </c>
      <c r="G2883" t="s">
        <v>30907</v>
      </c>
      <c r="H2883" t="s">
        <v>30915</v>
      </c>
      <c r="I2883" t="s">
        <v>30919</v>
      </c>
      <c r="J2883" t="s">
        <v>33138</v>
      </c>
      <c r="K2883" t="s">
        <v>40289</v>
      </c>
      <c r="M2883" t="s">
        <v>40611</v>
      </c>
      <c r="N2883" t="s">
        <v>44759</v>
      </c>
      <c r="O2883" t="s">
        <v>44760</v>
      </c>
      <c r="P2883">
        <v>0</v>
      </c>
      <c r="Q2883">
        <v>10</v>
      </c>
      <c r="R2883" t="s">
        <v>44762</v>
      </c>
      <c r="S2883" t="s">
        <v>44863</v>
      </c>
      <c r="T2883" t="s">
        <v>46617</v>
      </c>
      <c r="U2883" t="s">
        <v>47010</v>
      </c>
      <c r="W2883" t="s">
        <v>40611</v>
      </c>
      <c r="X2883" t="s">
        <v>44763</v>
      </c>
    </row>
    <row r="2884" spans="1:24">
      <c r="A2884">
        <f>HYPERLINK("https://www.philgeps.gov.ph/GEPSNONPILOT/Tender/SplashBidNoticeAbstractUI.aspx?menuIndex=3&amp;refID=7149229&amp;Result=3","7149229")</f>
        <v>0</v>
      </c>
      <c r="B2884" t="s">
        <v>1221</v>
      </c>
      <c r="C2884" t="s">
        <v>6528</v>
      </c>
      <c r="D2884" t="s">
        <v>17953</v>
      </c>
      <c r="E2884" t="s">
        <v>20665</v>
      </c>
      <c r="F2884" t="s">
        <v>30900</v>
      </c>
      <c r="G2884" t="s">
        <v>30908</v>
      </c>
      <c r="H2884" t="s">
        <v>30916</v>
      </c>
      <c r="I2884" t="s">
        <v>4142</v>
      </c>
      <c r="J2884" t="s">
        <v>33139</v>
      </c>
      <c r="K2884" t="s">
        <v>40286</v>
      </c>
      <c r="M2884" t="s">
        <v>41833</v>
      </c>
      <c r="N2884" t="s">
        <v>44759</v>
      </c>
      <c r="O2884" t="s">
        <v>44760</v>
      </c>
      <c r="P2884">
        <v>0</v>
      </c>
      <c r="Q2884">
        <v>2</v>
      </c>
      <c r="R2884" t="s">
        <v>44762</v>
      </c>
      <c r="S2884" t="s">
        <v>44863</v>
      </c>
      <c r="T2884" t="s">
        <v>46398</v>
      </c>
      <c r="U2884" t="s">
        <v>49396</v>
      </c>
      <c r="V2884" t="s">
        <v>59440</v>
      </c>
      <c r="W2884" t="s">
        <v>41833</v>
      </c>
      <c r="X2884" t="s">
        <v>44763</v>
      </c>
    </row>
    <row r="2885" spans="1:24">
      <c r="A2885">
        <f>HYPERLINK("https://www.philgeps.gov.ph/GEPSNONPILOT/Tender/SplashBidNoticeAbstractUI.aspx?menuIndex=3&amp;refID=7149236&amp;Result=3","7149236")</f>
        <v>0</v>
      </c>
      <c r="B2885" t="s">
        <v>1222</v>
      </c>
      <c r="C2885" t="s">
        <v>6529</v>
      </c>
      <c r="D2885" t="s">
        <v>17985</v>
      </c>
      <c r="E2885" t="s">
        <v>20666</v>
      </c>
      <c r="F2885" t="s">
        <v>30900</v>
      </c>
      <c r="G2885" t="s">
        <v>30909</v>
      </c>
      <c r="H2885" t="s">
        <v>30916</v>
      </c>
      <c r="I2885" t="s">
        <v>30923</v>
      </c>
      <c r="J2885" t="s">
        <v>31105</v>
      </c>
      <c r="K2885" t="s">
        <v>40289</v>
      </c>
      <c r="M2885" t="s">
        <v>41834</v>
      </c>
      <c r="N2885" t="s">
        <v>44759</v>
      </c>
      <c r="O2885" t="s">
        <v>44760</v>
      </c>
      <c r="P2885">
        <v>0</v>
      </c>
      <c r="Q2885">
        <v>2</v>
      </c>
      <c r="R2885" t="s">
        <v>44762</v>
      </c>
      <c r="S2885" t="s">
        <v>44863</v>
      </c>
      <c r="T2885" t="s">
        <v>46534</v>
      </c>
      <c r="U2885" t="s">
        <v>49397</v>
      </c>
      <c r="V2885" t="s">
        <v>59441</v>
      </c>
      <c r="W2885" t="s">
        <v>41834</v>
      </c>
      <c r="X2885" t="s">
        <v>44763</v>
      </c>
    </row>
    <row r="2886" spans="1:24">
      <c r="A2886">
        <f>HYPERLINK("https://www.philgeps.gov.ph/GEPSNONPILOT/Tender/SplashBidNoticeAbstractUI.aspx?menuIndex=3&amp;refID=7149045&amp;Result=3","7149045")</f>
        <v>0</v>
      </c>
      <c r="B2886" t="s">
        <v>1223</v>
      </c>
      <c r="C2886" t="s">
        <v>6530</v>
      </c>
      <c r="D2886" t="s">
        <v>17961</v>
      </c>
      <c r="E2886" t="s">
        <v>18615</v>
      </c>
      <c r="F2886" t="s">
        <v>30900</v>
      </c>
      <c r="G2886" t="s">
        <v>30909</v>
      </c>
      <c r="H2886" t="s">
        <v>30916</v>
      </c>
      <c r="I2886" t="s">
        <v>4545</v>
      </c>
      <c r="J2886" t="s">
        <v>33140</v>
      </c>
      <c r="K2886" t="s">
        <v>40285</v>
      </c>
      <c r="M2886" t="s">
        <v>41835</v>
      </c>
      <c r="N2886" t="s">
        <v>44759</v>
      </c>
      <c r="O2886" t="s">
        <v>44760</v>
      </c>
      <c r="P2886">
        <v>0</v>
      </c>
      <c r="Q2886">
        <v>0</v>
      </c>
      <c r="R2886" t="s">
        <v>44762</v>
      </c>
      <c r="S2886" t="s">
        <v>44863</v>
      </c>
      <c r="T2886" t="s">
        <v>46376</v>
      </c>
      <c r="U2886" t="s">
        <v>49398</v>
      </c>
      <c r="W2886" t="s">
        <v>41835</v>
      </c>
      <c r="X2886" t="s">
        <v>44764</v>
      </c>
    </row>
    <row r="2887" spans="1:24">
      <c r="A2887">
        <f>HYPERLINK("https://www.philgeps.gov.ph/GEPSNONPILOT/Tender/SplashBidNoticeAbstractUI.aspx?menuIndex=3&amp;refID=7149230&amp;Result=3","7149230")</f>
        <v>0</v>
      </c>
      <c r="B2887" t="s">
        <v>1224</v>
      </c>
      <c r="C2887" t="s">
        <v>6531</v>
      </c>
      <c r="D2887" t="s">
        <v>17959</v>
      </c>
      <c r="E2887" t="s">
        <v>20667</v>
      </c>
      <c r="F2887" t="s">
        <v>30900</v>
      </c>
      <c r="G2887" t="s">
        <v>30908</v>
      </c>
      <c r="H2887" t="s">
        <v>30916</v>
      </c>
      <c r="I2887" t="s">
        <v>30921</v>
      </c>
      <c r="J2887" t="s">
        <v>31243</v>
      </c>
      <c r="K2887" t="s">
        <v>40289</v>
      </c>
      <c r="M2887" t="s">
        <v>41836</v>
      </c>
      <c r="N2887" t="s">
        <v>44759</v>
      </c>
      <c r="O2887" t="s">
        <v>44760</v>
      </c>
      <c r="P2887">
        <v>0</v>
      </c>
      <c r="Q2887">
        <v>3</v>
      </c>
      <c r="R2887" t="s">
        <v>44762</v>
      </c>
      <c r="S2887" t="s">
        <v>44863</v>
      </c>
      <c r="T2887" t="s">
        <v>46398</v>
      </c>
      <c r="U2887" t="s">
        <v>49399</v>
      </c>
      <c r="W2887" t="s">
        <v>41836</v>
      </c>
      <c r="X2887" t="s">
        <v>44763</v>
      </c>
    </row>
    <row r="2888" spans="1:24">
      <c r="A2888">
        <f>HYPERLINK("https://www.philgeps.gov.ph/GEPSNONPILOT/Tender/SplashBidNoticeAbstractUI.aspx?menuIndex=3&amp;refID=7149231&amp;Result=3","7149231")</f>
        <v>0</v>
      </c>
      <c r="B2888" t="s">
        <v>1224</v>
      </c>
      <c r="C2888" t="s">
        <v>6532</v>
      </c>
      <c r="D2888" t="s">
        <v>17959</v>
      </c>
      <c r="E2888" t="s">
        <v>20668</v>
      </c>
      <c r="F2888" t="s">
        <v>30900</v>
      </c>
      <c r="G2888" t="s">
        <v>30908</v>
      </c>
      <c r="H2888" t="s">
        <v>30916</v>
      </c>
      <c r="I2888" t="s">
        <v>9385</v>
      </c>
      <c r="J2888" t="s">
        <v>31413</v>
      </c>
      <c r="K2888" t="s">
        <v>40289</v>
      </c>
      <c r="M2888" t="s">
        <v>41836</v>
      </c>
      <c r="N2888" t="s">
        <v>44759</v>
      </c>
      <c r="O2888" t="s">
        <v>44760</v>
      </c>
      <c r="P2888">
        <v>0</v>
      </c>
      <c r="Q2888">
        <v>8</v>
      </c>
      <c r="R2888" t="s">
        <v>44762</v>
      </c>
      <c r="S2888" t="s">
        <v>44863</v>
      </c>
      <c r="T2888" t="s">
        <v>46398</v>
      </c>
      <c r="U2888" t="s">
        <v>49400</v>
      </c>
      <c r="W2888" t="s">
        <v>41836</v>
      </c>
      <c r="X2888" t="s">
        <v>44763</v>
      </c>
    </row>
    <row r="2889" spans="1:24">
      <c r="A2889">
        <f>HYPERLINK("https://www.philgeps.gov.ph/GEPSNONPILOT/Tender/SplashBidNoticeAbstractUI.aspx?menuIndex=3&amp;refID=7149239&amp;Result=3","7149239")</f>
        <v>0</v>
      </c>
      <c r="B2889" t="s">
        <v>1225</v>
      </c>
      <c r="C2889" t="s">
        <v>6533</v>
      </c>
      <c r="D2889" t="s">
        <v>17975</v>
      </c>
      <c r="E2889" t="s">
        <v>20669</v>
      </c>
      <c r="F2889" t="s">
        <v>30900</v>
      </c>
      <c r="G2889" t="s">
        <v>30907</v>
      </c>
      <c r="H2889" t="s">
        <v>30916</v>
      </c>
      <c r="I2889" t="s">
        <v>8123</v>
      </c>
      <c r="J2889" t="s">
        <v>33141</v>
      </c>
      <c r="K2889" t="s">
        <v>40284</v>
      </c>
      <c r="M2889" t="s">
        <v>41837</v>
      </c>
      <c r="N2889" t="s">
        <v>44759</v>
      </c>
      <c r="O2889" t="s">
        <v>44760</v>
      </c>
      <c r="P2889">
        <v>0</v>
      </c>
      <c r="Q2889">
        <v>0</v>
      </c>
      <c r="R2889" t="s">
        <v>44762</v>
      </c>
      <c r="S2889" t="s">
        <v>44863</v>
      </c>
      <c r="T2889" t="s">
        <v>46418</v>
      </c>
      <c r="U2889" t="s">
        <v>49401</v>
      </c>
      <c r="W2889" t="s">
        <v>41837</v>
      </c>
      <c r="X2889" t="s">
        <v>44763</v>
      </c>
    </row>
    <row r="2890" spans="1:24">
      <c r="A2890">
        <f>HYPERLINK("https://www.philgeps.gov.ph/GEPSNONPILOT/Tender/SplashBidNoticeAbstractUI.aspx?menuIndex=3&amp;refID=7149227&amp;Result=3","7149227")</f>
        <v>0</v>
      </c>
      <c r="B2890" t="s">
        <v>1226</v>
      </c>
      <c r="C2890" t="s">
        <v>6534</v>
      </c>
      <c r="D2890" t="s">
        <v>17985</v>
      </c>
      <c r="E2890" t="s">
        <v>20670</v>
      </c>
      <c r="F2890" t="s">
        <v>30900</v>
      </c>
      <c r="G2890" t="s">
        <v>30907</v>
      </c>
      <c r="H2890" t="s">
        <v>30915</v>
      </c>
      <c r="I2890" t="s">
        <v>30919</v>
      </c>
      <c r="J2890" t="s">
        <v>33142</v>
      </c>
      <c r="K2890" t="s">
        <v>40286</v>
      </c>
      <c r="M2890" t="s">
        <v>41838</v>
      </c>
      <c r="N2890" t="s">
        <v>44759</v>
      </c>
      <c r="O2890" t="s">
        <v>44760</v>
      </c>
      <c r="P2890">
        <v>0</v>
      </c>
      <c r="Q2890">
        <v>0</v>
      </c>
      <c r="R2890" t="s">
        <v>44762</v>
      </c>
      <c r="S2890" t="s">
        <v>44863</v>
      </c>
      <c r="T2890" t="s">
        <v>46402</v>
      </c>
      <c r="U2890" t="s">
        <v>49402</v>
      </c>
      <c r="W2890" t="s">
        <v>41838</v>
      </c>
      <c r="X2890" t="s">
        <v>44763</v>
      </c>
    </row>
    <row r="2891" spans="1:24">
      <c r="A2891">
        <f>HYPERLINK("https://www.philgeps.gov.ph/GEPSNONPILOT/Tender/SplashBidNoticeAbstractUI.aspx?menuIndex=3&amp;refID=7149237&amp;Result=3","7149237")</f>
        <v>0</v>
      </c>
      <c r="B2891" t="s">
        <v>1227</v>
      </c>
      <c r="C2891" t="s">
        <v>6535</v>
      </c>
      <c r="D2891" t="s">
        <v>17999</v>
      </c>
      <c r="E2891" t="s">
        <v>20671</v>
      </c>
      <c r="F2891" t="s">
        <v>30900</v>
      </c>
      <c r="G2891" t="s">
        <v>30907</v>
      </c>
      <c r="H2891" t="s">
        <v>30916</v>
      </c>
      <c r="I2891" t="s">
        <v>8123</v>
      </c>
      <c r="J2891" t="s">
        <v>33143</v>
      </c>
      <c r="K2891" t="s">
        <v>40287</v>
      </c>
      <c r="M2891" t="s">
        <v>41839</v>
      </c>
      <c r="N2891" t="s">
        <v>44759</v>
      </c>
      <c r="O2891" t="s">
        <v>44760</v>
      </c>
      <c r="P2891">
        <v>0</v>
      </c>
      <c r="Q2891">
        <v>1</v>
      </c>
      <c r="R2891" t="s">
        <v>44762</v>
      </c>
      <c r="S2891" t="s">
        <v>44863</v>
      </c>
      <c r="T2891" t="s">
        <v>46396</v>
      </c>
      <c r="U2891" t="s">
        <v>49403</v>
      </c>
      <c r="W2891" t="s">
        <v>41839</v>
      </c>
      <c r="X2891" t="s">
        <v>44763</v>
      </c>
    </row>
    <row r="2892" spans="1:24">
      <c r="A2892">
        <f>HYPERLINK("https://www.philgeps.gov.ph/GEPSNONPILOT/Tender/SplashBidNoticeAbstractUI.aspx?menuIndex=3&amp;refID=7149225&amp;Result=3","7149225")</f>
        <v>0</v>
      </c>
      <c r="B2892" t="s">
        <v>1228</v>
      </c>
      <c r="C2892" t="s">
        <v>6536</v>
      </c>
      <c r="D2892" t="s">
        <v>17959</v>
      </c>
      <c r="E2892" t="s">
        <v>20672</v>
      </c>
      <c r="F2892" t="s">
        <v>30900</v>
      </c>
      <c r="G2892" t="s">
        <v>30908</v>
      </c>
      <c r="H2892" t="s">
        <v>30915</v>
      </c>
      <c r="I2892" t="s">
        <v>30957</v>
      </c>
      <c r="J2892" t="s">
        <v>33144</v>
      </c>
      <c r="K2892" t="s">
        <v>40291</v>
      </c>
      <c r="M2892" t="s">
        <v>41840</v>
      </c>
      <c r="N2892" t="s">
        <v>44759</v>
      </c>
      <c r="O2892" t="s">
        <v>44760</v>
      </c>
      <c r="P2892">
        <v>0</v>
      </c>
      <c r="Q2892">
        <v>1</v>
      </c>
      <c r="R2892" t="s">
        <v>44762</v>
      </c>
      <c r="S2892" t="s">
        <v>44863</v>
      </c>
      <c r="T2892" t="s">
        <v>46398</v>
      </c>
      <c r="U2892" t="s">
        <v>49404</v>
      </c>
      <c r="W2892" t="s">
        <v>41840</v>
      </c>
      <c r="X2892" t="s">
        <v>44763</v>
      </c>
    </row>
    <row r="2893" spans="1:24">
      <c r="A2893">
        <f>HYPERLINK("https://www.philgeps.gov.ph/GEPSNONPILOT/Tender/SplashBidNoticeAbstractUI.aspx?menuIndex=3&amp;refID=7149226&amp;Result=3","7149226")</f>
        <v>0</v>
      </c>
      <c r="B2893" t="s">
        <v>1226</v>
      </c>
      <c r="C2893" t="s">
        <v>6537</v>
      </c>
      <c r="D2893" t="s">
        <v>17985</v>
      </c>
      <c r="E2893" t="s">
        <v>20673</v>
      </c>
      <c r="F2893" t="s">
        <v>30900</v>
      </c>
      <c r="G2893" t="s">
        <v>30907</v>
      </c>
      <c r="H2893" t="s">
        <v>30915</v>
      </c>
      <c r="I2893" t="s">
        <v>30919</v>
      </c>
      <c r="J2893" t="s">
        <v>33145</v>
      </c>
      <c r="K2893" t="s">
        <v>40283</v>
      </c>
      <c r="M2893" t="s">
        <v>41838</v>
      </c>
      <c r="N2893" t="s">
        <v>44759</v>
      </c>
      <c r="O2893" t="s">
        <v>44760</v>
      </c>
      <c r="P2893">
        <v>0</v>
      </c>
      <c r="Q2893">
        <v>0</v>
      </c>
      <c r="R2893" t="s">
        <v>44762</v>
      </c>
      <c r="S2893" t="s">
        <v>44863</v>
      </c>
      <c r="T2893" t="s">
        <v>46402</v>
      </c>
      <c r="U2893" t="s">
        <v>49405</v>
      </c>
      <c r="W2893" t="s">
        <v>41838</v>
      </c>
      <c r="X2893" t="s">
        <v>44763</v>
      </c>
    </row>
    <row r="2894" spans="1:24">
      <c r="A2894">
        <f>HYPERLINK("https://www.philgeps.gov.ph/GEPSNONPILOT/Tender/SplashBidNoticeAbstractUI.aspx?menuIndex=3&amp;refID=7149223&amp;Result=3","7149223")</f>
        <v>0</v>
      </c>
      <c r="B2894" t="s">
        <v>1229</v>
      </c>
      <c r="C2894" t="s">
        <v>6538</v>
      </c>
      <c r="E2894" t="s">
        <v>20674</v>
      </c>
      <c r="F2894" t="s">
        <v>30900</v>
      </c>
      <c r="G2894" t="s">
        <v>30909</v>
      </c>
      <c r="H2894" t="s">
        <v>30916</v>
      </c>
      <c r="I2894" t="s">
        <v>5501</v>
      </c>
      <c r="J2894" t="s">
        <v>33146</v>
      </c>
      <c r="K2894" t="s">
        <v>40289</v>
      </c>
      <c r="M2894" t="s">
        <v>41841</v>
      </c>
      <c r="N2894" t="s">
        <v>44759</v>
      </c>
      <c r="O2894" t="s">
        <v>44760</v>
      </c>
      <c r="P2894">
        <v>0</v>
      </c>
      <c r="Q2894">
        <v>0</v>
      </c>
      <c r="R2894" t="s">
        <v>44762</v>
      </c>
      <c r="S2894" t="s">
        <v>44863</v>
      </c>
      <c r="T2894" t="s">
        <v>46571</v>
      </c>
      <c r="U2894" t="s">
        <v>49406</v>
      </c>
      <c r="W2894" t="s">
        <v>41841</v>
      </c>
      <c r="X2894" t="s">
        <v>44763</v>
      </c>
    </row>
    <row r="2895" spans="1:24">
      <c r="A2895">
        <f>HYPERLINK("https://www.philgeps.gov.ph/GEPSNONPILOT/Tender/SplashBidNoticeAbstractUI.aspx?menuIndex=3&amp;refID=7149025&amp;Result=3","7149025")</f>
        <v>0</v>
      </c>
      <c r="B2895" t="s">
        <v>1209</v>
      </c>
      <c r="C2895" t="s">
        <v>6539</v>
      </c>
      <c r="D2895" t="s">
        <v>17976</v>
      </c>
      <c r="E2895" t="s">
        <v>20675</v>
      </c>
      <c r="F2895" t="s">
        <v>30900</v>
      </c>
      <c r="G2895" t="s">
        <v>30907</v>
      </c>
      <c r="H2895" t="s">
        <v>30916</v>
      </c>
      <c r="I2895" t="s">
        <v>8123</v>
      </c>
      <c r="J2895" t="s">
        <v>33147</v>
      </c>
      <c r="K2895" t="s">
        <v>40314</v>
      </c>
      <c r="M2895" t="s">
        <v>41820</v>
      </c>
      <c r="N2895" t="s">
        <v>44759</v>
      </c>
      <c r="O2895" t="s">
        <v>44760</v>
      </c>
      <c r="P2895">
        <v>0</v>
      </c>
      <c r="Q2895">
        <v>0</v>
      </c>
      <c r="R2895" t="s">
        <v>44762</v>
      </c>
      <c r="S2895" t="s">
        <v>44863</v>
      </c>
      <c r="T2895" t="s">
        <v>46352</v>
      </c>
      <c r="U2895" t="s">
        <v>49407</v>
      </c>
      <c r="V2895" t="s">
        <v>59438</v>
      </c>
      <c r="W2895" t="s">
        <v>41820</v>
      </c>
      <c r="X2895" t="s">
        <v>44764</v>
      </c>
    </row>
    <row r="2896" spans="1:24">
      <c r="A2896">
        <f>HYPERLINK("https://www.philgeps.gov.ph/GEPSNONPILOT/Tender/SplashBidNoticeAbstractUI.aspx?menuIndex=3&amp;refID=7149238&amp;Result=3","7149238")</f>
        <v>0</v>
      </c>
      <c r="B2896" t="s">
        <v>1230</v>
      </c>
      <c r="C2896" t="s">
        <v>6540</v>
      </c>
      <c r="D2896" t="s">
        <v>17952</v>
      </c>
      <c r="E2896" t="s">
        <v>20676</v>
      </c>
      <c r="F2896" t="s">
        <v>30900</v>
      </c>
      <c r="G2896" t="s">
        <v>30908</v>
      </c>
      <c r="H2896" t="s">
        <v>30915</v>
      </c>
      <c r="I2896" t="s">
        <v>30957</v>
      </c>
      <c r="J2896" t="s">
        <v>33148</v>
      </c>
      <c r="K2896" t="s">
        <v>40280</v>
      </c>
      <c r="M2896" t="s">
        <v>41842</v>
      </c>
      <c r="N2896" t="s">
        <v>44759</v>
      </c>
      <c r="O2896" t="s">
        <v>44760</v>
      </c>
      <c r="P2896">
        <v>0</v>
      </c>
      <c r="Q2896">
        <v>0</v>
      </c>
      <c r="R2896" t="s">
        <v>44762</v>
      </c>
      <c r="S2896" t="s">
        <v>44863</v>
      </c>
      <c r="T2896" t="s">
        <v>46399</v>
      </c>
      <c r="U2896" t="s">
        <v>49408</v>
      </c>
      <c r="W2896" t="s">
        <v>41842</v>
      </c>
      <c r="X2896" t="s">
        <v>44763</v>
      </c>
    </row>
    <row r="2897" spans="1:24">
      <c r="A2897">
        <f>HYPERLINK("https://www.philgeps.gov.ph/GEPSNONPILOT/Tender/SplashBidNoticeAbstractUI.aspx?menuIndex=3&amp;refID=7149224&amp;Result=3","7149224")</f>
        <v>0</v>
      </c>
      <c r="B2897" t="s">
        <v>1226</v>
      </c>
      <c r="C2897" t="s">
        <v>6541</v>
      </c>
      <c r="D2897" t="s">
        <v>17985</v>
      </c>
      <c r="E2897" t="s">
        <v>19424</v>
      </c>
      <c r="F2897" t="s">
        <v>30900</v>
      </c>
      <c r="G2897" t="s">
        <v>30907</v>
      </c>
      <c r="H2897" t="s">
        <v>30915</v>
      </c>
      <c r="I2897" t="s">
        <v>30919</v>
      </c>
      <c r="J2897" t="s">
        <v>33149</v>
      </c>
      <c r="K2897" t="s">
        <v>40283</v>
      </c>
      <c r="M2897" t="s">
        <v>41838</v>
      </c>
      <c r="N2897" t="s">
        <v>44759</v>
      </c>
      <c r="O2897" t="s">
        <v>44760</v>
      </c>
      <c r="P2897">
        <v>0</v>
      </c>
      <c r="Q2897">
        <v>0</v>
      </c>
      <c r="R2897" t="s">
        <v>44762</v>
      </c>
      <c r="S2897" t="s">
        <v>44863</v>
      </c>
      <c r="T2897" t="s">
        <v>46402</v>
      </c>
      <c r="U2897" t="s">
        <v>49409</v>
      </c>
      <c r="W2897" t="s">
        <v>41838</v>
      </c>
      <c r="X2897" t="s">
        <v>44763</v>
      </c>
    </row>
    <row r="2898" spans="1:24">
      <c r="A2898">
        <f>HYPERLINK("https://www.philgeps.gov.ph/GEPSNONPILOT/Tender/SplashBidNoticeAbstractUI.aspx?menuIndex=3&amp;refID=7149240&amp;Result=3","7149240")</f>
        <v>0</v>
      </c>
      <c r="B2898" t="s">
        <v>1069</v>
      </c>
      <c r="C2898" t="s">
        <v>6542</v>
      </c>
      <c r="D2898" t="s">
        <v>17975</v>
      </c>
      <c r="E2898" t="s">
        <v>20677</v>
      </c>
      <c r="F2898" t="s">
        <v>30900</v>
      </c>
      <c r="G2898" t="s">
        <v>30907</v>
      </c>
      <c r="H2898" t="s">
        <v>30915</v>
      </c>
      <c r="I2898" t="s">
        <v>30919</v>
      </c>
      <c r="J2898" t="s">
        <v>33150</v>
      </c>
      <c r="K2898" t="s">
        <v>40289</v>
      </c>
      <c r="M2898" t="s">
        <v>41667</v>
      </c>
      <c r="N2898" t="s">
        <v>44759</v>
      </c>
      <c r="O2898" t="s">
        <v>44760</v>
      </c>
      <c r="P2898">
        <v>0</v>
      </c>
      <c r="Q2898">
        <v>1</v>
      </c>
      <c r="R2898" t="s">
        <v>44762</v>
      </c>
      <c r="S2898" t="s">
        <v>44863</v>
      </c>
      <c r="T2898" t="s">
        <v>46400</v>
      </c>
      <c r="U2898" t="s">
        <v>49393</v>
      </c>
      <c r="W2898" t="s">
        <v>41667</v>
      </c>
      <c r="X2898" t="s">
        <v>44763</v>
      </c>
    </row>
    <row r="2899" spans="1:24">
      <c r="A2899">
        <f>HYPERLINK("https://www.philgeps.gov.ph/GEPSNONPILOT/Tender/SplashBidNoticeAbstractUI.aspx?menuIndex=3&amp;refID=7149221&amp;Result=3","7149221")</f>
        <v>0</v>
      </c>
      <c r="B2899" t="s">
        <v>588</v>
      </c>
      <c r="C2899" t="s">
        <v>6543</v>
      </c>
      <c r="D2899" t="s">
        <v>17993</v>
      </c>
      <c r="E2899" t="s">
        <v>20678</v>
      </c>
      <c r="F2899" t="s">
        <v>30900</v>
      </c>
      <c r="G2899" t="s">
        <v>30907</v>
      </c>
      <c r="H2899" t="s">
        <v>30915</v>
      </c>
      <c r="I2899" t="s">
        <v>30919</v>
      </c>
      <c r="J2899" t="s">
        <v>32125</v>
      </c>
      <c r="K2899" t="s">
        <v>40312</v>
      </c>
      <c r="M2899" t="s">
        <v>41150</v>
      </c>
      <c r="N2899" t="s">
        <v>44759</v>
      </c>
      <c r="O2899" t="s">
        <v>44760</v>
      </c>
      <c r="P2899">
        <v>0</v>
      </c>
      <c r="Q2899">
        <v>0</v>
      </c>
      <c r="R2899" t="s">
        <v>44762</v>
      </c>
      <c r="S2899" t="s">
        <v>44863</v>
      </c>
      <c r="T2899" t="s">
        <v>46563</v>
      </c>
      <c r="U2899" t="s">
        <v>49410</v>
      </c>
      <c r="W2899" t="s">
        <v>41150</v>
      </c>
      <c r="X2899" t="s">
        <v>44763</v>
      </c>
    </row>
    <row r="2900" spans="1:24">
      <c r="A2900">
        <f>HYPERLINK("https://www.philgeps.gov.ph/GEPSNONPILOT/Tender/SplashBidNoticeAbstractUI.aspx?menuIndex=3&amp;refID=7149219&amp;Result=3","7149219")</f>
        <v>0</v>
      </c>
      <c r="B2900" t="s">
        <v>1231</v>
      </c>
      <c r="C2900" t="s">
        <v>6544</v>
      </c>
      <c r="D2900" t="s">
        <v>17963</v>
      </c>
      <c r="E2900" t="s">
        <v>20679</v>
      </c>
      <c r="F2900" t="s">
        <v>30900</v>
      </c>
      <c r="G2900" t="s">
        <v>30907</v>
      </c>
      <c r="H2900" t="s">
        <v>30915</v>
      </c>
      <c r="I2900" t="s">
        <v>30919</v>
      </c>
      <c r="J2900" t="s">
        <v>33151</v>
      </c>
      <c r="K2900" t="s">
        <v>40286</v>
      </c>
      <c r="M2900" t="s">
        <v>41843</v>
      </c>
      <c r="N2900" t="s">
        <v>44759</v>
      </c>
      <c r="O2900" t="s">
        <v>44760</v>
      </c>
      <c r="P2900">
        <v>0</v>
      </c>
      <c r="Q2900">
        <v>0</v>
      </c>
      <c r="R2900" t="s">
        <v>44762</v>
      </c>
      <c r="S2900" t="s">
        <v>44863</v>
      </c>
      <c r="T2900" t="s">
        <v>46442</v>
      </c>
      <c r="U2900" t="s">
        <v>49411</v>
      </c>
      <c r="W2900" t="s">
        <v>41843</v>
      </c>
      <c r="X2900" t="s">
        <v>44763</v>
      </c>
    </row>
    <row r="2901" spans="1:24">
      <c r="A2901">
        <f>HYPERLINK("https://www.philgeps.gov.ph/GEPSNONPILOT/Tender/SplashBidNoticeAbstractUI.aspx?menuIndex=3&amp;refID=7149252&amp;Result=3","7149252")</f>
        <v>0</v>
      </c>
      <c r="B2901" t="s">
        <v>1232</v>
      </c>
      <c r="C2901" t="s">
        <v>6545</v>
      </c>
      <c r="D2901" t="s">
        <v>17969</v>
      </c>
      <c r="E2901" t="s">
        <v>20680</v>
      </c>
      <c r="F2901" t="s">
        <v>30900</v>
      </c>
      <c r="G2901" t="s">
        <v>30910</v>
      </c>
      <c r="H2901" t="s">
        <v>30916</v>
      </c>
      <c r="I2901" t="s">
        <v>4050</v>
      </c>
      <c r="J2901" t="s">
        <v>31355</v>
      </c>
      <c r="K2901" t="s">
        <v>40286</v>
      </c>
      <c r="M2901" t="s">
        <v>41844</v>
      </c>
      <c r="N2901" t="s">
        <v>44759</v>
      </c>
      <c r="O2901" t="s">
        <v>44760</v>
      </c>
      <c r="P2901">
        <v>0</v>
      </c>
      <c r="Q2901">
        <v>0</v>
      </c>
      <c r="R2901" t="s">
        <v>44762</v>
      </c>
      <c r="S2901" t="s">
        <v>44863</v>
      </c>
      <c r="T2901" t="s">
        <v>46418</v>
      </c>
      <c r="U2901" t="s">
        <v>49412</v>
      </c>
      <c r="W2901" t="s">
        <v>41844</v>
      </c>
      <c r="X2901" t="s">
        <v>44763</v>
      </c>
    </row>
    <row r="2902" spans="1:24">
      <c r="A2902">
        <f>HYPERLINK("https://www.philgeps.gov.ph/GEPSNONPILOT/Tender/SplashBidNoticeAbstractUI.aspx?menuIndex=3&amp;refID=7149251&amp;Result=3","7149251")</f>
        <v>0</v>
      </c>
      <c r="B2902" t="s">
        <v>1232</v>
      </c>
      <c r="C2902" t="s">
        <v>6546</v>
      </c>
      <c r="D2902" t="s">
        <v>17969</v>
      </c>
      <c r="E2902" t="s">
        <v>20681</v>
      </c>
      <c r="F2902" t="s">
        <v>30900</v>
      </c>
      <c r="G2902" t="s">
        <v>30910</v>
      </c>
      <c r="H2902" t="s">
        <v>30916</v>
      </c>
      <c r="I2902" t="s">
        <v>4545</v>
      </c>
      <c r="J2902" t="s">
        <v>31066</v>
      </c>
      <c r="K2902" t="s">
        <v>40286</v>
      </c>
      <c r="M2902" t="s">
        <v>41844</v>
      </c>
      <c r="N2902" t="s">
        <v>44759</v>
      </c>
      <c r="O2902" t="s">
        <v>44760</v>
      </c>
      <c r="P2902">
        <v>0</v>
      </c>
      <c r="Q2902">
        <v>0</v>
      </c>
      <c r="R2902" t="s">
        <v>44762</v>
      </c>
      <c r="S2902" t="s">
        <v>44863</v>
      </c>
      <c r="T2902" t="s">
        <v>46418</v>
      </c>
      <c r="U2902" t="s">
        <v>49413</v>
      </c>
      <c r="W2902" t="s">
        <v>41844</v>
      </c>
      <c r="X2902" t="s">
        <v>44763</v>
      </c>
    </row>
    <row r="2903" spans="1:24">
      <c r="A2903">
        <f>HYPERLINK("https://www.philgeps.gov.ph/GEPSNONPILOT/Tender/SplashBidNoticeAbstractUI.aspx?menuIndex=3&amp;refID=7149249&amp;Result=3","7149249")</f>
        <v>0</v>
      </c>
      <c r="B2903" t="s">
        <v>278</v>
      </c>
      <c r="C2903" t="s">
        <v>6547</v>
      </c>
      <c r="D2903" t="s">
        <v>17995</v>
      </c>
      <c r="E2903" t="s">
        <v>20682</v>
      </c>
      <c r="F2903" t="s">
        <v>30900</v>
      </c>
      <c r="G2903" t="s">
        <v>30909</v>
      </c>
      <c r="H2903" t="s">
        <v>30916</v>
      </c>
      <c r="I2903" t="s">
        <v>10602</v>
      </c>
      <c r="J2903" t="s">
        <v>32363</v>
      </c>
      <c r="K2903" t="s">
        <v>40289</v>
      </c>
      <c r="M2903" t="s">
        <v>40887</v>
      </c>
      <c r="N2903" t="s">
        <v>44759</v>
      </c>
      <c r="O2903" t="s">
        <v>44760</v>
      </c>
      <c r="P2903">
        <v>0</v>
      </c>
      <c r="Q2903">
        <v>0</v>
      </c>
      <c r="R2903" t="s">
        <v>44762</v>
      </c>
      <c r="S2903" t="s">
        <v>44863</v>
      </c>
      <c r="T2903" t="s">
        <v>46352</v>
      </c>
      <c r="U2903" t="s">
        <v>49414</v>
      </c>
      <c r="W2903" t="s">
        <v>60825</v>
      </c>
      <c r="X2903" t="s">
        <v>44763</v>
      </c>
    </row>
    <row r="2904" spans="1:24">
      <c r="A2904">
        <f>HYPERLINK("https://www.philgeps.gov.ph/GEPSNONPILOT/Tender/SplashBidNoticeAbstractUI.aspx?menuIndex=3&amp;refID=7149248&amp;Result=3","7149248")</f>
        <v>0</v>
      </c>
      <c r="B2904" t="s">
        <v>1233</v>
      </c>
      <c r="C2904" t="s">
        <v>6548</v>
      </c>
      <c r="D2904" t="s">
        <v>17961</v>
      </c>
      <c r="E2904" t="s">
        <v>19629</v>
      </c>
      <c r="F2904" t="s">
        <v>30900</v>
      </c>
      <c r="G2904" t="s">
        <v>30908</v>
      </c>
      <c r="H2904" t="s">
        <v>30916</v>
      </c>
      <c r="I2904" t="s">
        <v>8365</v>
      </c>
      <c r="J2904" t="s">
        <v>33152</v>
      </c>
      <c r="K2904" t="s">
        <v>40285</v>
      </c>
      <c r="M2904" t="s">
        <v>41845</v>
      </c>
      <c r="N2904" t="s">
        <v>44759</v>
      </c>
      <c r="O2904" t="s">
        <v>44760</v>
      </c>
      <c r="P2904">
        <v>0</v>
      </c>
      <c r="Q2904">
        <v>1</v>
      </c>
      <c r="R2904" t="s">
        <v>44762</v>
      </c>
      <c r="S2904" t="s">
        <v>44863</v>
      </c>
      <c r="T2904" t="s">
        <v>46398</v>
      </c>
      <c r="U2904" t="s">
        <v>49415</v>
      </c>
      <c r="W2904" t="s">
        <v>41845</v>
      </c>
      <c r="X2904" t="s">
        <v>44763</v>
      </c>
    </row>
    <row r="2905" spans="1:24">
      <c r="A2905">
        <f>HYPERLINK("https://www.philgeps.gov.ph/GEPSNONPILOT/Tender/SplashBidNoticeAbstractUI.aspx?menuIndex=3&amp;refID=7149246&amp;Result=3","7149246")</f>
        <v>0</v>
      </c>
      <c r="B2905" t="s">
        <v>1234</v>
      </c>
      <c r="C2905" t="s">
        <v>6549</v>
      </c>
      <c r="D2905" t="s">
        <v>17966</v>
      </c>
      <c r="E2905" t="s">
        <v>20683</v>
      </c>
      <c r="F2905" t="s">
        <v>30900</v>
      </c>
      <c r="G2905" t="s">
        <v>30908</v>
      </c>
      <c r="H2905" t="s">
        <v>30916</v>
      </c>
      <c r="I2905" t="s">
        <v>6953</v>
      </c>
      <c r="J2905" t="s">
        <v>33153</v>
      </c>
      <c r="K2905" t="s">
        <v>40285</v>
      </c>
      <c r="L2905" t="s">
        <v>1234</v>
      </c>
      <c r="M2905" t="s">
        <v>41846</v>
      </c>
      <c r="N2905" t="s">
        <v>44759</v>
      </c>
      <c r="O2905" t="s">
        <v>44760</v>
      </c>
      <c r="P2905">
        <v>0</v>
      </c>
      <c r="Q2905">
        <v>0</v>
      </c>
      <c r="R2905" t="s">
        <v>44762</v>
      </c>
      <c r="S2905" t="s">
        <v>44863</v>
      </c>
      <c r="T2905" t="s">
        <v>46383</v>
      </c>
      <c r="U2905" t="s">
        <v>49416</v>
      </c>
      <c r="W2905" t="s">
        <v>41846</v>
      </c>
      <c r="X2905" t="s">
        <v>44763</v>
      </c>
    </row>
    <row r="2906" spans="1:24">
      <c r="A2906">
        <f>HYPERLINK("https://www.philgeps.gov.ph/GEPSNONPILOT/Tender/SplashBidNoticeAbstractUI.aspx?menuIndex=3&amp;refID=7149245&amp;Result=3","7149245")</f>
        <v>0</v>
      </c>
      <c r="B2906" t="s">
        <v>278</v>
      </c>
      <c r="C2906" t="s">
        <v>6550</v>
      </c>
      <c r="D2906" t="s">
        <v>17995</v>
      </c>
      <c r="E2906" t="s">
        <v>20684</v>
      </c>
      <c r="F2906" t="s">
        <v>30900</v>
      </c>
      <c r="G2906" t="s">
        <v>30909</v>
      </c>
      <c r="H2906" t="s">
        <v>30916</v>
      </c>
      <c r="I2906" t="s">
        <v>30926</v>
      </c>
      <c r="J2906" t="s">
        <v>33154</v>
      </c>
      <c r="K2906" t="s">
        <v>40289</v>
      </c>
      <c r="M2906" t="s">
        <v>40887</v>
      </c>
      <c r="N2906" t="s">
        <v>44759</v>
      </c>
      <c r="O2906" t="s">
        <v>44760</v>
      </c>
      <c r="P2906">
        <v>0</v>
      </c>
      <c r="Q2906">
        <v>0</v>
      </c>
      <c r="R2906" t="s">
        <v>44762</v>
      </c>
      <c r="S2906" t="s">
        <v>44863</v>
      </c>
      <c r="T2906" t="s">
        <v>46352</v>
      </c>
      <c r="U2906" t="s">
        <v>49417</v>
      </c>
      <c r="W2906" t="s">
        <v>60825</v>
      </c>
      <c r="X2906" t="s">
        <v>44763</v>
      </c>
    </row>
    <row r="2907" spans="1:24">
      <c r="A2907">
        <f>HYPERLINK("https://www.philgeps.gov.ph/GEPSNONPILOT/Tender/SplashBidNoticeAbstractUI.aspx?menuIndex=3&amp;refID=7149243&amp;Result=3","7149243")</f>
        <v>0</v>
      </c>
      <c r="B2907" t="s">
        <v>1069</v>
      </c>
      <c r="C2907" t="s">
        <v>6551</v>
      </c>
      <c r="D2907" t="s">
        <v>17975</v>
      </c>
      <c r="E2907" t="s">
        <v>20685</v>
      </c>
      <c r="F2907" t="s">
        <v>30900</v>
      </c>
      <c r="G2907" t="s">
        <v>30907</v>
      </c>
      <c r="H2907" t="s">
        <v>30915</v>
      </c>
      <c r="I2907" t="s">
        <v>30919</v>
      </c>
      <c r="J2907" t="s">
        <v>33155</v>
      </c>
      <c r="K2907" t="s">
        <v>40289</v>
      </c>
      <c r="M2907" t="s">
        <v>41667</v>
      </c>
      <c r="N2907" t="s">
        <v>44759</v>
      </c>
      <c r="O2907" t="s">
        <v>44760</v>
      </c>
      <c r="P2907">
        <v>0</v>
      </c>
      <c r="Q2907">
        <v>1</v>
      </c>
      <c r="R2907" t="s">
        <v>44762</v>
      </c>
      <c r="S2907" t="s">
        <v>44863</v>
      </c>
      <c r="T2907" t="s">
        <v>46400</v>
      </c>
      <c r="U2907" t="s">
        <v>49393</v>
      </c>
      <c r="W2907" t="s">
        <v>41667</v>
      </c>
      <c r="X2907" t="s">
        <v>44763</v>
      </c>
    </row>
    <row r="2908" spans="1:24">
      <c r="A2908">
        <f>HYPERLINK("https://www.philgeps.gov.ph/GEPSNONPILOT/Tender/SplashBidNoticeAbstractUI.aspx?menuIndex=3&amp;refID=7149242&amp;Result=3","7149242")</f>
        <v>0</v>
      </c>
      <c r="B2908" t="s">
        <v>1227</v>
      </c>
      <c r="C2908" t="s">
        <v>6552</v>
      </c>
      <c r="D2908" t="s">
        <v>17999</v>
      </c>
      <c r="E2908" t="s">
        <v>20686</v>
      </c>
      <c r="F2908" t="s">
        <v>30900</v>
      </c>
      <c r="G2908" t="s">
        <v>30907</v>
      </c>
      <c r="H2908" t="s">
        <v>30916</v>
      </c>
      <c r="I2908" t="s">
        <v>30926</v>
      </c>
      <c r="J2908" t="s">
        <v>33156</v>
      </c>
      <c r="K2908" t="s">
        <v>40287</v>
      </c>
      <c r="M2908" t="s">
        <v>41839</v>
      </c>
      <c r="N2908" t="s">
        <v>44759</v>
      </c>
      <c r="O2908" t="s">
        <v>44760</v>
      </c>
      <c r="P2908">
        <v>0</v>
      </c>
      <c r="Q2908">
        <v>0</v>
      </c>
      <c r="R2908" t="s">
        <v>44762</v>
      </c>
      <c r="S2908" t="s">
        <v>44863</v>
      </c>
      <c r="T2908" t="s">
        <v>46361</v>
      </c>
      <c r="U2908" t="s">
        <v>49418</v>
      </c>
      <c r="W2908" t="s">
        <v>41839</v>
      </c>
      <c r="X2908" t="s">
        <v>44763</v>
      </c>
    </row>
    <row r="2909" spans="1:24">
      <c r="A2909">
        <f>HYPERLINK("https://www.philgeps.gov.ph/GEPSNONPILOT/Tender/SplashBidNoticeAbstractUI.aspx?menuIndex=3&amp;refID=7149264&amp;Result=3","7149264")</f>
        <v>0</v>
      </c>
      <c r="B2909" t="s">
        <v>78</v>
      </c>
      <c r="C2909" t="s">
        <v>6553</v>
      </c>
      <c r="D2909" t="s">
        <v>17987</v>
      </c>
      <c r="E2909" t="s">
        <v>20687</v>
      </c>
      <c r="F2909" t="s">
        <v>30900</v>
      </c>
      <c r="G2909" t="s">
        <v>30907</v>
      </c>
      <c r="H2909" t="s">
        <v>30916</v>
      </c>
      <c r="I2909" t="s">
        <v>8123</v>
      </c>
      <c r="J2909" t="s">
        <v>33157</v>
      </c>
      <c r="K2909" t="s">
        <v>40289</v>
      </c>
      <c r="M2909" t="s">
        <v>40625</v>
      </c>
      <c r="N2909" t="s">
        <v>44759</v>
      </c>
      <c r="O2909" t="s">
        <v>44760</v>
      </c>
      <c r="P2909">
        <v>0</v>
      </c>
      <c r="Q2909">
        <v>0</v>
      </c>
      <c r="R2909" t="s">
        <v>44762</v>
      </c>
      <c r="S2909" t="s">
        <v>44863</v>
      </c>
      <c r="T2909" t="s">
        <v>46387</v>
      </c>
      <c r="U2909" t="s">
        <v>49419</v>
      </c>
      <c r="W2909" t="s">
        <v>40625</v>
      </c>
      <c r="X2909" t="s">
        <v>44763</v>
      </c>
    </row>
    <row r="2910" spans="1:24">
      <c r="A2910">
        <f>HYPERLINK("https://www.philgeps.gov.ph/GEPSNONPILOT/Tender/SplashBidNoticeAbstractUI.aspx?menuIndex=3&amp;refID=7149256&amp;Result=3","7149256")</f>
        <v>0</v>
      </c>
      <c r="B2910" t="s">
        <v>1235</v>
      </c>
      <c r="C2910" t="s">
        <v>6554</v>
      </c>
      <c r="D2910" t="s">
        <v>18003</v>
      </c>
      <c r="E2910" t="s">
        <v>20688</v>
      </c>
      <c r="F2910" t="s">
        <v>30900</v>
      </c>
      <c r="G2910" t="s">
        <v>30908</v>
      </c>
      <c r="H2910" t="s">
        <v>30916</v>
      </c>
      <c r="I2910" t="s">
        <v>30923</v>
      </c>
      <c r="J2910" t="s">
        <v>32896</v>
      </c>
      <c r="K2910" t="s">
        <v>40289</v>
      </c>
      <c r="M2910" t="s">
        <v>41847</v>
      </c>
      <c r="N2910" t="s">
        <v>44759</v>
      </c>
      <c r="O2910" t="s">
        <v>44760</v>
      </c>
      <c r="P2910">
        <v>0</v>
      </c>
      <c r="Q2910">
        <v>5</v>
      </c>
      <c r="R2910" t="s">
        <v>44762</v>
      </c>
      <c r="S2910" t="s">
        <v>44863</v>
      </c>
      <c r="T2910" t="s">
        <v>46470</v>
      </c>
      <c r="U2910" t="s">
        <v>49420</v>
      </c>
      <c r="V2910" t="s">
        <v>59442</v>
      </c>
      <c r="W2910" t="s">
        <v>41847</v>
      </c>
      <c r="X2910" t="s">
        <v>44763</v>
      </c>
    </row>
    <row r="2911" spans="1:24">
      <c r="A2911">
        <f>HYPERLINK("https://www.philgeps.gov.ph/GEPSNONPILOT/Tender/SplashBidNoticeAbstractUI.aspx?menuIndex=3&amp;refID=7149263&amp;Result=3","7149263")</f>
        <v>0</v>
      </c>
      <c r="B2911" t="s">
        <v>1236</v>
      </c>
      <c r="C2911" t="s">
        <v>6555</v>
      </c>
      <c r="D2911" t="s">
        <v>17998</v>
      </c>
      <c r="E2911" t="s">
        <v>20689</v>
      </c>
      <c r="F2911" t="s">
        <v>30900</v>
      </c>
      <c r="G2911" t="s">
        <v>30907</v>
      </c>
      <c r="H2911" t="s">
        <v>30916</v>
      </c>
      <c r="I2911" t="s">
        <v>4050</v>
      </c>
      <c r="J2911" t="s">
        <v>32928</v>
      </c>
      <c r="K2911" t="s">
        <v>40286</v>
      </c>
      <c r="L2911" t="s">
        <v>1236</v>
      </c>
      <c r="M2911" t="s">
        <v>41848</v>
      </c>
      <c r="N2911" t="s">
        <v>44759</v>
      </c>
      <c r="O2911" t="s">
        <v>44760</v>
      </c>
      <c r="P2911">
        <v>0</v>
      </c>
      <c r="Q2911">
        <v>1</v>
      </c>
      <c r="R2911" t="s">
        <v>44762</v>
      </c>
      <c r="S2911" t="s">
        <v>44863</v>
      </c>
      <c r="T2911" t="s">
        <v>46389</v>
      </c>
      <c r="U2911" t="s">
        <v>49421</v>
      </c>
      <c r="V2911" t="s">
        <v>59443</v>
      </c>
      <c r="W2911" t="s">
        <v>41848</v>
      </c>
      <c r="X2911" t="s">
        <v>44763</v>
      </c>
    </row>
    <row r="2912" spans="1:24">
      <c r="A2912">
        <f>HYPERLINK("https://www.philgeps.gov.ph/GEPSNONPILOT/Tender/SplashBidNoticeAbstractUI.aspx?menuIndex=3&amp;refID=7149260&amp;Result=3","7149260")</f>
        <v>0</v>
      </c>
      <c r="B2912" t="s">
        <v>278</v>
      </c>
      <c r="C2912" t="s">
        <v>6556</v>
      </c>
      <c r="D2912" t="s">
        <v>17995</v>
      </c>
      <c r="E2912" t="s">
        <v>20690</v>
      </c>
      <c r="F2912" t="s">
        <v>30900</v>
      </c>
      <c r="G2912" t="s">
        <v>30909</v>
      </c>
      <c r="H2912" t="s">
        <v>30916</v>
      </c>
      <c r="I2912" t="s">
        <v>30939</v>
      </c>
      <c r="J2912" t="s">
        <v>33158</v>
      </c>
      <c r="K2912" t="s">
        <v>40289</v>
      </c>
      <c r="M2912" t="s">
        <v>40887</v>
      </c>
      <c r="N2912" t="s">
        <v>44759</v>
      </c>
      <c r="O2912" t="s">
        <v>44760</v>
      </c>
      <c r="P2912">
        <v>0</v>
      </c>
      <c r="Q2912">
        <v>0</v>
      </c>
      <c r="R2912" t="s">
        <v>44762</v>
      </c>
      <c r="S2912" t="s">
        <v>44863</v>
      </c>
      <c r="T2912" t="s">
        <v>46352</v>
      </c>
      <c r="U2912" t="s">
        <v>49422</v>
      </c>
      <c r="W2912" t="s">
        <v>60825</v>
      </c>
      <c r="X2912" t="s">
        <v>44763</v>
      </c>
    </row>
    <row r="2913" spans="1:24">
      <c r="A2913">
        <f>HYPERLINK("https://www.philgeps.gov.ph/GEPSNONPILOT/Tender/SplashBidNoticeAbstractUI.aspx?menuIndex=3&amp;refID=7149258&amp;Result=3","7149258")</f>
        <v>0</v>
      </c>
      <c r="B2913" t="s">
        <v>1232</v>
      </c>
      <c r="C2913" t="s">
        <v>6557</v>
      </c>
      <c r="D2913" t="s">
        <v>17969</v>
      </c>
      <c r="E2913" t="s">
        <v>20691</v>
      </c>
      <c r="F2913" t="s">
        <v>30900</v>
      </c>
      <c r="G2913" t="s">
        <v>30910</v>
      </c>
      <c r="H2913" t="s">
        <v>30916</v>
      </c>
      <c r="I2913" t="s">
        <v>4050</v>
      </c>
      <c r="J2913" t="s">
        <v>31855</v>
      </c>
      <c r="K2913" t="s">
        <v>40286</v>
      </c>
      <c r="M2913" t="s">
        <v>41844</v>
      </c>
      <c r="N2913" t="s">
        <v>44759</v>
      </c>
      <c r="O2913" t="s">
        <v>44760</v>
      </c>
      <c r="P2913">
        <v>0</v>
      </c>
      <c r="Q2913">
        <v>3</v>
      </c>
      <c r="R2913" t="s">
        <v>44762</v>
      </c>
      <c r="S2913" t="s">
        <v>44863</v>
      </c>
      <c r="T2913" t="s">
        <v>46418</v>
      </c>
      <c r="U2913" t="s">
        <v>49423</v>
      </c>
      <c r="W2913" t="s">
        <v>41844</v>
      </c>
      <c r="X2913" t="s">
        <v>44763</v>
      </c>
    </row>
    <row r="2914" spans="1:24">
      <c r="A2914">
        <f>HYPERLINK("https://www.philgeps.gov.ph/GEPSNONPILOT/Tender/SplashBidNoticeAbstractUI.aspx?menuIndex=3&amp;refID=7149253&amp;Result=3","7149253")</f>
        <v>0</v>
      </c>
      <c r="B2914" t="s">
        <v>278</v>
      </c>
      <c r="C2914" t="s">
        <v>6558</v>
      </c>
      <c r="D2914" t="s">
        <v>17995</v>
      </c>
      <c r="E2914" t="s">
        <v>20692</v>
      </c>
      <c r="F2914" t="s">
        <v>30900</v>
      </c>
      <c r="G2914" t="s">
        <v>30909</v>
      </c>
      <c r="H2914" t="s">
        <v>30916</v>
      </c>
      <c r="I2914" t="s">
        <v>6953</v>
      </c>
      <c r="J2914" t="s">
        <v>33159</v>
      </c>
      <c r="K2914" t="s">
        <v>40289</v>
      </c>
      <c r="M2914" t="s">
        <v>40887</v>
      </c>
      <c r="N2914" t="s">
        <v>44759</v>
      </c>
      <c r="O2914" t="s">
        <v>44760</v>
      </c>
      <c r="P2914">
        <v>0</v>
      </c>
      <c r="Q2914">
        <v>0</v>
      </c>
      <c r="R2914" t="s">
        <v>44762</v>
      </c>
      <c r="S2914" t="s">
        <v>44863</v>
      </c>
      <c r="T2914" t="s">
        <v>46352</v>
      </c>
      <c r="U2914" t="s">
        <v>49424</v>
      </c>
      <c r="W2914" t="s">
        <v>60825</v>
      </c>
      <c r="X2914" t="s">
        <v>44763</v>
      </c>
    </row>
    <row r="2915" spans="1:24">
      <c r="A2915">
        <f>HYPERLINK("https://www.philgeps.gov.ph/GEPSNONPILOT/Tender/SplashBidNoticeAbstractUI.aspx?menuIndex=3&amp;refID=7149261&amp;Result=3","7149261")</f>
        <v>0</v>
      </c>
      <c r="B2915" t="s">
        <v>588</v>
      </c>
      <c r="C2915" t="s">
        <v>6559</v>
      </c>
      <c r="D2915" t="s">
        <v>17993</v>
      </c>
      <c r="E2915" t="s">
        <v>20693</v>
      </c>
      <c r="F2915" t="s">
        <v>30900</v>
      </c>
      <c r="G2915" t="s">
        <v>30907</v>
      </c>
      <c r="H2915" t="s">
        <v>30915</v>
      </c>
      <c r="I2915" t="s">
        <v>30919</v>
      </c>
      <c r="J2915" t="s">
        <v>31270</v>
      </c>
      <c r="K2915" t="s">
        <v>40286</v>
      </c>
      <c r="M2915" t="s">
        <v>41150</v>
      </c>
      <c r="N2915" t="s">
        <v>44759</v>
      </c>
      <c r="O2915" t="s">
        <v>44760</v>
      </c>
      <c r="P2915">
        <v>0</v>
      </c>
      <c r="Q2915">
        <v>0</v>
      </c>
      <c r="R2915" t="s">
        <v>44762</v>
      </c>
      <c r="S2915" t="s">
        <v>44863</v>
      </c>
      <c r="T2915" t="s">
        <v>46618</v>
      </c>
      <c r="U2915" t="s">
        <v>49425</v>
      </c>
      <c r="W2915" t="s">
        <v>41150</v>
      </c>
      <c r="X2915" t="s">
        <v>44763</v>
      </c>
    </row>
    <row r="2916" spans="1:24">
      <c r="A2916">
        <f>HYPERLINK("https://www.philgeps.gov.ph/GEPSNONPILOT/Tender/SplashBidNoticeAbstractUI.aspx?menuIndex=3&amp;refID=7149266&amp;Result=3","7149266")</f>
        <v>0</v>
      </c>
      <c r="B2916" t="s">
        <v>1237</v>
      </c>
      <c r="C2916" t="s">
        <v>6560</v>
      </c>
      <c r="D2916" t="s">
        <v>17959</v>
      </c>
      <c r="E2916" t="s">
        <v>20694</v>
      </c>
      <c r="F2916" t="s">
        <v>30900</v>
      </c>
      <c r="G2916" t="s">
        <v>30908</v>
      </c>
      <c r="H2916" t="s">
        <v>30917</v>
      </c>
      <c r="I2916" t="s">
        <v>30954</v>
      </c>
      <c r="J2916" t="s">
        <v>31183</v>
      </c>
      <c r="K2916" t="s">
        <v>40333</v>
      </c>
      <c r="M2916" t="s">
        <v>41849</v>
      </c>
      <c r="N2916" t="s">
        <v>44759</v>
      </c>
      <c r="O2916" t="s">
        <v>44760</v>
      </c>
      <c r="P2916">
        <v>0</v>
      </c>
      <c r="Q2916">
        <v>1</v>
      </c>
      <c r="R2916" t="s">
        <v>44762</v>
      </c>
      <c r="S2916" t="s">
        <v>44863</v>
      </c>
      <c r="T2916" t="s">
        <v>46619</v>
      </c>
      <c r="U2916" t="s">
        <v>49426</v>
      </c>
      <c r="V2916" t="s">
        <v>59444</v>
      </c>
      <c r="W2916" t="s">
        <v>41849</v>
      </c>
      <c r="X2916" t="s">
        <v>44763</v>
      </c>
    </row>
    <row r="2917" spans="1:24">
      <c r="A2917">
        <f>HYPERLINK("https://www.philgeps.gov.ph/GEPSNONPILOT/Tender/SplashBidNoticeAbstractUI.aspx?menuIndex=3&amp;refID=7149259&amp;Result=3","7149259")</f>
        <v>0</v>
      </c>
      <c r="B2917" t="s">
        <v>1232</v>
      </c>
      <c r="C2917" t="s">
        <v>6561</v>
      </c>
      <c r="D2917" t="s">
        <v>17969</v>
      </c>
      <c r="E2917" t="s">
        <v>20695</v>
      </c>
      <c r="F2917" t="s">
        <v>30900</v>
      </c>
      <c r="G2917" t="s">
        <v>30910</v>
      </c>
      <c r="H2917" t="s">
        <v>30916</v>
      </c>
      <c r="I2917" t="s">
        <v>4050</v>
      </c>
      <c r="J2917" t="s">
        <v>31130</v>
      </c>
      <c r="K2917" t="s">
        <v>40286</v>
      </c>
      <c r="M2917" t="s">
        <v>41844</v>
      </c>
      <c r="N2917" t="s">
        <v>44759</v>
      </c>
      <c r="O2917" t="s">
        <v>44760</v>
      </c>
      <c r="P2917">
        <v>0</v>
      </c>
      <c r="Q2917">
        <v>3</v>
      </c>
      <c r="R2917" t="s">
        <v>44762</v>
      </c>
      <c r="S2917" t="s">
        <v>44863</v>
      </c>
      <c r="T2917" t="s">
        <v>46418</v>
      </c>
      <c r="U2917" t="s">
        <v>49427</v>
      </c>
      <c r="W2917" t="s">
        <v>41844</v>
      </c>
      <c r="X2917" t="s">
        <v>44763</v>
      </c>
    </row>
    <row r="2918" spans="1:24">
      <c r="A2918">
        <f>HYPERLINK("https://www.philgeps.gov.ph/GEPSNONPILOT/Tender/SplashBidNoticeAbstractUI.aspx?menuIndex=3&amp;refID=7149257&amp;Result=3","7149257")</f>
        <v>0</v>
      </c>
      <c r="B2918" t="s">
        <v>1034</v>
      </c>
      <c r="C2918" t="s">
        <v>6562</v>
      </c>
      <c r="D2918" t="s">
        <v>17979</v>
      </c>
      <c r="E2918" t="s">
        <v>20696</v>
      </c>
      <c r="F2918" t="s">
        <v>30900</v>
      </c>
      <c r="G2918" t="s">
        <v>30909</v>
      </c>
      <c r="H2918" t="s">
        <v>30916</v>
      </c>
      <c r="I2918" t="s">
        <v>4142</v>
      </c>
      <c r="J2918" t="s">
        <v>33160</v>
      </c>
      <c r="K2918" t="s">
        <v>40289</v>
      </c>
      <c r="M2918" t="s">
        <v>41625</v>
      </c>
      <c r="N2918" t="s">
        <v>44759</v>
      </c>
      <c r="O2918" t="s">
        <v>44760</v>
      </c>
      <c r="P2918">
        <v>0</v>
      </c>
      <c r="Q2918">
        <v>5</v>
      </c>
      <c r="R2918" t="s">
        <v>44762</v>
      </c>
      <c r="S2918" t="s">
        <v>44863</v>
      </c>
      <c r="T2918" t="s">
        <v>46379</v>
      </c>
      <c r="U2918" t="s">
        <v>47002</v>
      </c>
      <c r="W2918" t="s">
        <v>41625</v>
      </c>
      <c r="X2918" t="s">
        <v>44763</v>
      </c>
    </row>
    <row r="2919" spans="1:24">
      <c r="A2919">
        <f>HYPERLINK("https://www.philgeps.gov.ph/GEPSNONPILOT/Tender/SplashBidNoticeAbstractUI.aspx?menuIndex=3&amp;refID=7149277&amp;Result=3","7149277")</f>
        <v>0</v>
      </c>
      <c r="B2919" t="s">
        <v>128</v>
      </c>
      <c r="C2919" t="s">
        <v>6563</v>
      </c>
      <c r="D2919" t="s">
        <v>17987</v>
      </c>
      <c r="E2919" t="s">
        <v>20697</v>
      </c>
      <c r="F2919" t="s">
        <v>30900</v>
      </c>
      <c r="G2919" t="s">
        <v>30909</v>
      </c>
      <c r="H2919" t="s">
        <v>30916</v>
      </c>
      <c r="I2919" t="s">
        <v>30935</v>
      </c>
      <c r="J2919" t="s">
        <v>31204</v>
      </c>
      <c r="K2919" t="s">
        <v>40285</v>
      </c>
      <c r="M2919" t="s">
        <v>40675</v>
      </c>
      <c r="N2919" t="s">
        <v>44759</v>
      </c>
      <c r="O2919" t="s">
        <v>44760</v>
      </c>
      <c r="P2919">
        <v>0</v>
      </c>
      <c r="Q2919">
        <v>1</v>
      </c>
      <c r="R2919" t="s">
        <v>44762</v>
      </c>
      <c r="S2919" t="s">
        <v>44863</v>
      </c>
      <c r="T2919" t="s">
        <v>46376</v>
      </c>
      <c r="U2919" t="s">
        <v>49428</v>
      </c>
      <c r="V2919" t="s">
        <v>59445</v>
      </c>
      <c r="W2919" t="s">
        <v>40675</v>
      </c>
      <c r="X2919" t="s">
        <v>44763</v>
      </c>
    </row>
    <row r="2920" spans="1:24">
      <c r="A2920">
        <f>HYPERLINK("https://www.philgeps.gov.ph/GEPSNONPILOT/Tender/SplashBidNoticeAbstractUI.aspx?menuIndex=3&amp;refID=7149276&amp;Result=3","7149276")</f>
        <v>0</v>
      </c>
      <c r="B2920" t="s">
        <v>1101</v>
      </c>
      <c r="C2920" t="s">
        <v>6564</v>
      </c>
      <c r="D2920" t="s">
        <v>17985</v>
      </c>
      <c r="E2920" t="s">
        <v>20698</v>
      </c>
      <c r="F2920" t="s">
        <v>30900</v>
      </c>
      <c r="G2920" t="s">
        <v>30908</v>
      </c>
      <c r="H2920" t="s">
        <v>30916</v>
      </c>
      <c r="I2920" t="s">
        <v>4965</v>
      </c>
      <c r="J2920" t="s">
        <v>31204</v>
      </c>
      <c r="K2920" t="s">
        <v>40286</v>
      </c>
      <c r="M2920" t="s">
        <v>41701</v>
      </c>
      <c r="N2920" t="s">
        <v>44759</v>
      </c>
      <c r="O2920" t="s">
        <v>44760</v>
      </c>
      <c r="P2920">
        <v>0</v>
      </c>
      <c r="Q2920">
        <v>0</v>
      </c>
      <c r="R2920" t="s">
        <v>44762</v>
      </c>
      <c r="S2920" t="s">
        <v>44863</v>
      </c>
      <c r="T2920" t="s">
        <v>46400</v>
      </c>
      <c r="U2920" t="s">
        <v>49429</v>
      </c>
      <c r="W2920" t="s">
        <v>41701</v>
      </c>
      <c r="X2920" t="s">
        <v>44763</v>
      </c>
    </row>
    <row r="2921" spans="1:24">
      <c r="A2921">
        <f>HYPERLINK("https://www.philgeps.gov.ph/GEPSNONPILOT/Tender/SplashBidNoticeAbstractUI.aspx?menuIndex=3&amp;refID=7149275&amp;Result=3","7149275")</f>
        <v>0</v>
      </c>
      <c r="B2921" t="s">
        <v>1238</v>
      </c>
      <c r="C2921" t="s">
        <v>6565</v>
      </c>
      <c r="E2921" t="s">
        <v>20699</v>
      </c>
      <c r="F2921" t="s">
        <v>30900</v>
      </c>
      <c r="G2921" t="s">
        <v>30909</v>
      </c>
      <c r="H2921" t="s">
        <v>30916</v>
      </c>
      <c r="I2921" t="s">
        <v>6396</v>
      </c>
      <c r="J2921" t="s">
        <v>33161</v>
      </c>
      <c r="K2921" t="s">
        <v>40289</v>
      </c>
      <c r="M2921" t="s">
        <v>41850</v>
      </c>
      <c r="N2921" t="s">
        <v>44759</v>
      </c>
      <c r="O2921" t="s">
        <v>44760</v>
      </c>
      <c r="P2921">
        <v>0</v>
      </c>
      <c r="Q2921">
        <v>1</v>
      </c>
      <c r="R2921" t="s">
        <v>44762</v>
      </c>
      <c r="S2921" t="s">
        <v>44863</v>
      </c>
      <c r="T2921" t="s">
        <v>46398</v>
      </c>
      <c r="U2921" t="s">
        <v>49430</v>
      </c>
      <c r="W2921" t="s">
        <v>41850</v>
      </c>
      <c r="X2921" t="s">
        <v>44763</v>
      </c>
    </row>
    <row r="2922" spans="1:24">
      <c r="A2922">
        <f>HYPERLINK("https://www.philgeps.gov.ph/GEPSNONPILOT/Tender/SplashBidNoticeAbstractUI.aspx?menuIndex=3&amp;refID=7149274&amp;Result=3","7149274")</f>
        <v>0</v>
      </c>
      <c r="B2922" t="s">
        <v>1239</v>
      </c>
      <c r="C2922" t="s">
        <v>6566</v>
      </c>
      <c r="D2922" t="s">
        <v>17990</v>
      </c>
      <c r="E2922" t="s">
        <v>20700</v>
      </c>
      <c r="F2922" t="s">
        <v>30900</v>
      </c>
      <c r="G2922" t="s">
        <v>30908</v>
      </c>
      <c r="H2922" t="s">
        <v>30915</v>
      </c>
      <c r="I2922" t="s">
        <v>30919</v>
      </c>
      <c r="J2922" t="s">
        <v>33162</v>
      </c>
      <c r="K2922" t="s">
        <v>40286</v>
      </c>
      <c r="M2922" t="s">
        <v>41851</v>
      </c>
      <c r="N2922" t="s">
        <v>44759</v>
      </c>
      <c r="O2922" t="s">
        <v>44760</v>
      </c>
      <c r="P2922">
        <v>0</v>
      </c>
      <c r="Q2922">
        <v>0</v>
      </c>
      <c r="R2922" t="s">
        <v>44762</v>
      </c>
      <c r="S2922" t="s">
        <v>44863</v>
      </c>
      <c r="T2922" t="s">
        <v>46357</v>
      </c>
      <c r="U2922" t="s">
        <v>49431</v>
      </c>
      <c r="W2922" t="s">
        <v>41851</v>
      </c>
      <c r="X2922" t="s">
        <v>44763</v>
      </c>
    </row>
    <row r="2923" spans="1:24">
      <c r="A2923">
        <f>HYPERLINK("https://www.philgeps.gov.ph/GEPSNONPILOT/Tender/SplashBidNoticeAbstractUI.aspx?menuIndex=3&amp;refID=7149273&amp;Result=3","7149273")</f>
        <v>0</v>
      </c>
      <c r="B2923" t="s">
        <v>1240</v>
      </c>
      <c r="C2923" t="s">
        <v>6567</v>
      </c>
      <c r="D2923" t="s">
        <v>18010</v>
      </c>
      <c r="E2923" t="s">
        <v>20701</v>
      </c>
      <c r="F2923" t="s">
        <v>30900</v>
      </c>
      <c r="G2923" t="s">
        <v>30907</v>
      </c>
      <c r="H2923" t="s">
        <v>30915</v>
      </c>
      <c r="I2923" t="s">
        <v>30919</v>
      </c>
      <c r="J2923" t="s">
        <v>31096</v>
      </c>
      <c r="K2923" t="s">
        <v>40287</v>
      </c>
      <c r="M2923" t="s">
        <v>41852</v>
      </c>
      <c r="N2923" t="s">
        <v>44759</v>
      </c>
      <c r="O2923" t="s">
        <v>44760</v>
      </c>
      <c r="P2923">
        <v>0</v>
      </c>
      <c r="Q2923">
        <v>1</v>
      </c>
      <c r="R2923" t="s">
        <v>44762</v>
      </c>
      <c r="S2923" t="s">
        <v>44863</v>
      </c>
      <c r="T2923" t="s">
        <v>46409</v>
      </c>
      <c r="U2923" t="s">
        <v>49432</v>
      </c>
      <c r="V2923" t="s">
        <v>59446</v>
      </c>
      <c r="W2923" t="s">
        <v>41852</v>
      </c>
      <c r="X2923" t="s">
        <v>44763</v>
      </c>
    </row>
    <row r="2924" spans="1:24">
      <c r="A2924">
        <f>HYPERLINK("https://www.philgeps.gov.ph/GEPSNONPILOT/Tender/SplashBidNoticeAbstractUI.aspx?menuIndex=3&amp;refID=7149287&amp;Result=3","7149287")</f>
        <v>0</v>
      </c>
      <c r="B2924" t="s">
        <v>78</v>
      </c>
      <c r="C2924" t="s">
        <v>6568</v>
      </c>
      <c r="D2924" t="s">
        <v>17987</v>
      </c>
      <c r="E2924" t="s">
        <v>20702</v>
      </c>
      <c r="F2924" t="s">
        <v>30900</v>
      </c>
      <c r="G2924" t="s">
        <v>30907</v>
      </c>
      <c r="H2924" t="s">
        <v>30916</v>
      </c>
      <c r="I2924" t="s">
        <v>8123</v>
      </c>
      <c r="J2924" t="s">
        <v>33163</v>
      </c>
      <c r="K2924" t="s">
        <v>40289</v>
      </c>
      <c r="M2924" t="s">
        <v>40625</v>
      </c>
      <c r="N2924" t="s">
        <v>44759</v>
      </c>
      <c r="O2924" t="s">
        <v>44760</v>
      </c>
      <c r="P2924">
        <v>0</v>
      </c>
      <c r="Q2924">
        <v>0</v>
      </c>
      <c r="R2924" t="s">
        <v>44762</v>
      </c>
      <c r="S2924" t="s">
        <v>44863</v>
      </c>
      <c r="T2924" t="s">
        <v>46387</v>
      </c>
      <c r="U2924" t="s">
        <v>49433</v>
      </c>
      <c r="W2924" t="s">
        <v>40625</v>
      </c>
      <c r="X2924" t="s">
        <v>44763</v>
      </c>
    </row>
    <row r="2925" spans="1:24">
      <c r="A2925">
        <f>HYPERLINK("https://www.philgeps.gov.ph/GEPSNONPILOT/Tender/SplashBidNoticeAbstractUI.aspx?menuIndex=3&amp;refID=7149265&amp;Result=3","7149265")</f>
        <v>0</v>
      </c>
      <c r="B2925" t="s">
        <v>1241</v>
      </c>
      <c r="C2925" t="s">
        <v>6569</v>
      </c>
      <c r="D2925" t="s">
        <v>17951</v>
      </c>
      <c r="E2925" t="s">
        <v>18752</v>
      </c>
      <c r="F2925" t="s">
        <v>30900</v>
      </c>
      <c r="G2925" t="s">
        <v>30907</v>
      </c>
      <c r="H2925" t="s">
        <v>30916</v>
      </c>
      <c r="I2925" t="s">
        <v>8123</v>
      </c>
      <c r="J2925" t="s">
        <v>33164</v>
      </c>
      <c r="K2925" t="s">
        <v>40287</v>
      </c>
      <c r="L2925" t="s">
        <v>1241</v>
      </c>
      <c r="M2925" t="s">
        <v>41853</v>
      </c>
      <c r="N2925" t="s">
        <v>44759</v>
      </c>
      <c r="O2925" t="s">
        <v>44760</v>
      </c>
      <c r="P2925">
        <v>0</v>
      </c>
      <c r="Q2925">
        <v>0</v>
      </c>
      <c r="R2925" t="s">
        <v>44762</v>
      </c>
      <c r="S2925" t="s">
        <v>44863</v>
      </c>
      <c r="T2925" t="s">
        <v>46395</v>
      </c>
      <c r="U2925" t="s">
        <v>49434</v>
      </c>
      <c r="W2925" t="s">
        <v>41853</v>
      </c>
      <c r="X2925" t="s">
        <v>44763</v>
      </c>
    </row>
    <row r="2926" spans="1:24">
      <c r="A2926">
        <f>HYPERLINK("https://www.philgeps.gov.ph/GEPSNONPILOT/Tender/SplashBidNoticeAbstractUI.aspx?menuIndex=3&amp;refID=7149285&amp;Result=3","7149285")</f>
        <v>0</v>
      </c>
      <c r="B2926" t="s">
        <v>1242</v>
      </c>
      <c r="C2926" t="s">
        <v>6570</v>
      </c>
      <c r="D2926" t="s">
        <v>17959</v>
      </c>
      <c r="E2926" t="s">
        <v>20703</v>
      </c>
      <c r="F2926" t="s">
        <v>30900</v>
      </c>
      <c r="G2926" t="s">
        <v>30909</v>
      </c>
      <c r="H2926" t="s">
        <v>30916</v>
      </c>
      <c r="I2926" t="s">
        <v>30923</v>
      </c>
      <c r="J2926" t="s">
        <v>31243</v>
      </c>
      <c r="K2926" t="s">
        <v>40287</v>
      </c>
      <c r="M2926" t="s">
        <v>41854</v>
      </c>
      <c r="N2926" t="s">
        <v>44759</v>
      </c>
      <c r="O2926" t="s">
        <v>44760</v>
      </c>
      <c r="P2926">
        <v>0</v>
      </c>
      <c r="Q2926">
        <v>6</v>
      </c>
      <c r="R2926" t="s">
        <v>44762</v>
      </c>
      <c r="S2926" t="s">
        <v>44863</v>
      </c>
      <c r="T2926" t="s">
        <v>46379</v>
      </c>
      <c r="U2926" t="s">
        <v>49435</v>
      </c>
      <c r="W2926" t="s">
        <v>41854</v>
      </c>
      <c r="X2926" t="s">
        <v>44763</v>
      </c>
    </row>
    <row r="2927" spans="1:24">
      <c r="A2927">
        <f>HYPERLINK("https://www.philgeps.gov.ph/GEPSNONPILOT/Tender/SplashBidNoticeAbstractUI.aspx?menuIndex=3&amp;refID=7149284&amp;Result=3","7149284")</f>
        <v>0</v>
      </c>
      <c r="B2927" t="s">
        <v>78</v>
      </c>
      <c r="C2927" t="s">
        <v>6571</v>
      </c>
      <c r="D2927" t="s">
        <v>17987</v>
      </c>
      <c r="E2927" t="s">
        <v>20704</v>
      </c>
      <c r="F2927" t="s">
        <v>30900</v>
      </c>
      <c r="G2927" t="s">
        <v>30907</v>
      </c>
      <c r="H2927" t="s">
        <v>30916</v>
      </c>
      <c r="I2927" t="s">
        <v>8123</v>
      </c>
      <c r="J2927" t="s">
        <v>33165</v>
      </c>
      <c r="K2927" t="s">
        <v>40289</v>
      </c>
      <c r="M2927" t="s">
        <v>40625</v>
      </c>
      <c r="N2927" t="s">
        <v>44759</v>
      </c>
      <c r="O2927" t="s">
        <v>44760</v>
      </c>
      <c r="P2927">
        <v>0</v>
      </c>
      <c r="Q2927">
        <v>0</v>
      </c>
      <c r="R2927" t="s">
        <v>44762</v>
      </c>
      <c r="S2927" t="s">
        <v>44863</v>
      </c>
      <c r="T2927" t="s">
        <v>46387</v>
      </c>
      <c r="U2927" t="s">
        <v>49436</v>
      </c>
      <c r="W2927" t="s">
        <v>40625</v>
      </c>
      <c r="X2927" t="s">
        <v>44763</v>
      </c>
    </row>
    <row r="2928" spans="1:24">
      <c r="A2928">
        <f>HYPERLINK("https://www.philgeps.gov.ph/GEPSNONPILOT/Tender/SplashBidNoticeAbstractUI.aspx?menuIndex=3&amp;refID=7149241&amp;Result=3","7149241")</f>
        <v>0</v>
      </c>
      <c r="B2928" t="s">
        <v>1222</v>
      </c>
      <c r="C2928" t="s">
        <v>6572</v>
      </c>
      <c r="D2928" t="s">
        <v>17985</v>
      </c>
      <c r="E2928" t="s">
        <v>20705</v>
      </c>
      <c r="F2928" t="s">
        <v>30900</v>
      </c>
      <c r="G2928" t="s">
        <v>30909</v>
      </c>
      <c r="H2928" t="s">
        <v>30916</v>
      </c>
      <c r="I2928" t="s">
        <v>30923</v>
      </c>
      <c r="J2928" t="s">
        <v>33038</v>
      </c>
      <c r="K2928" t="s">
        <v>40289</v>
      </c>
      <c r="M2928" t="s">
        <v>41834</v>
      </c>
      <c r="N2928" t="s">
        <v>44759</v>
      </c>
      <c r="O2928" t="s">
        <v>44760</v>
      </c>
      <c r="P2928">
        <v>0</v>
      </c>
      <c r="Q2928">
        <v>3</v>
      </c>
      <c r="R2928" t="s">
        <v>44762</v>
      </c>
      <c r="S2928" t="s">
        <v>44863</v>
      </c>
      <c r="T2928" t="s">
        <v>46534</v>
      </c>
      <c r="U2928" t="s">
        <v>49397</v>
      </c>
      <c r="V2928" t="s">
        <v>59441</v>
      </c>
      <c r="W2928" t="s">
        <v>41834</v>
      </c>
      <c r="X2928" t="s">
        <v>44763</v>
      </c>
    </row>
    <row r="2929" spans="1:24">
      <c r="A2929">
        <f>HYPERLINK("https://www.philgeps.gov.ph/GEPSNONPILOT/Tender/SplashBidNoticeAbstractUI.aspx?menuIndex=3&amp;refID=7149283&amp;Result=3","7149283")</f>
        <v>0</v>
      </c>
      <c r="B2929" t="s">
        <v>912</v>
      </c>
      <c r="C2929" t="s">
        <v>6573</v>
      </c>
      <c r="D2929" t="s">
        <v>18025</v>
      </c>
      <c r="E2929" t="s">
        <v>20706</v>
      </c>
      <c r="F2929" t="s">
        <v>30900</v>
      </c>
      <c r="G2929" t="s">
        <v>30909</v>
      </c>
      <c r="H2929" t="s">
        <v>30916</v>
      </c>
      <c r="I2929" t="s">
        <v>30950</v>
      </c>
      <c r="J2929" t="s">
        <v>33166</v>
      </c>
      <c r="K2929" t="s">
        <v>40283</v>
      </c>
      <c r="M2929" t="s">
        <v>41491</v>
      </c>
      <c r="N2929" t="s">
        <v>44759</v>
      </c>
      <c r="O2929" t="s">
        <v>44760</v>
      </c>
      <c r="P2929">
        <v>0</v>
      </c>
      <c r="Q2929">
        <v>12</v>
      </c>
      <c r="R2929" t="s">
        <v>44762</v>
      </c>
      <c r="S2929" t="s">
        <v>44863</v>
      </c>
      <c r="T2929" t="s">
        <v>46531</v>
      </c>
      <c r="U2929" t="s">
        <v>49437</v>
      </c>
      <c r="W2929" t="s">
        <v>41491</v>
      </c>
      <c r="X2929" t="s">
        <v>44763</v>
      </c>
    </row>
    <row r="2930" spans="1:24">
      <c r="A2930">
        <f>HYPERLINK("https://www.philgeps.gov.ph/GEPSNONPILOT/Tender/SplashBidNoticeAbstractUI.aspx?menuIndex=3&amp;refID=7149280&amp;Result=3","7149280")</f>
        <v>0</v>
      </c>
      <c r="B2930" t="s">
        <v>1242</v>
      </c>
      <c r="C2930" t="s">
        <v>6574</v>
      </c>
      <c r="D2930" t="s">
        <v>17959</v>
      </c>
      <c r="E2930" t="s">
        <v>20707</v>
      </c>
      <c r="F2930" t="s">
        <v>30900</v>
      </c>
      <c r="G2930" t="s">
        <v>30909</v>
      </c>
      <c r="H2930" t="s">
        <v>30916</v>
      </c>
      <c r="I2930" t="s">
        <v>30923</v>
      </c>
      <c r="J2930" t="s">
        <v>31082</v>
      </c>
      <c r="K2930" t="s">
        <v>40287</v>
      </c>
      <c r="M2930" t="s">
        <v>41854</v>
      </c>
      <c r="N2930" t="s">
        <v>44759</v>
      </c>
      <c r="O2930" t="s">
        <v>44760</v>
      </c>
      <c r="P2930">
        <v>0</v>
      </c>
      <c r="Q2930">
        <v>7</v>
      </c>
      <c r="R2930" t="s">
        <v>44762</v>
      </c>
      <c r="S2930" t="s">
        <v>44863</v>
      </c>
      <c r="T2930" t="s">
        <v>46379</v>
      </c>
      <c r="U2930" t="s">
        <v>49438</v>
      </c>
      <c r="W2930" t="s">
        <v>41854</v>
      </c>
      <c r="X2930" t="s">
        <v>44763</v>
      </c>
    </row>
    <row r="2931" spans="1:24">
      <c r="A2931">
        <f>HYPERLINK("https://www.philgeps.gov.ph/GEPSNONPILOT/Tender/SplashBidNoticeAbstractUI.aspx?menuIndex=3&amp;refID=7149272&amp;Result=3","7149272")</f>
        <v>0</v>
      </c>
      <c r="B2931" t="s">
        <v>1243</v>
      </c>
      <c r="C2931" t="s">
        <v>6575</v>
      </c>
      <c r="E2931" t="s">
        <v>20708</v>
      </c>
      <c r="F2931" t="s">
        <v>30900</v>
      </c>
      <c r="G2931" t="s">
        <v>30910</v>
      </c>
      <c r="H2931" t="s">
        <v>30916</v>
      </c>
      <c r="I2931" t="s">
        <v>6396</v>
      </c>
      <c r="J2931" t="s">
        <v>31625</v>
      </c>
      <c r="K2931" t="s">
        <v>40289</v>
      </c>
      <c r="M2931" t="s">
        <v>41855</v>
      </c>
      <c r="N2931" t="s">
        <v>44759</v>
      </c>
      <c r="O2931" t="s">
        <v>44760</v>
      </c>
      <c r="P2931">
        <v>0</v>
      </c>
      <c r="Q2931">
        <v>1</v>
      </c>
      <c r="R2931" t="s">
        <v>44762</v>
      </c>
      <c r="S2931" t="s">
        <v>44863</v>
      </c>
      <c r="T2931" t="s">
        <v>46383</v>
      </c>
      <c r="U2931" t="s">
        <v>49439</v>
      </c>
      <c r="W2931" t="s">
        <v>41855</v>
      </c>
      <c r="X2931" t="s">
        <v>44763</v>
      </c>
    </row>
    <row r="2932" spans="1:24">
      <c r="A2932">
        <f>HYPERLINK("https://www.philgeps.gov.ph/GEPSNONPILOT/Tender/SplashBidNoticeAbstractUI.aspx?menuIndex=3&amp;refID=7149270&amp;Result=3","7149270")</f>
        <v>0</v>
      </c>
      <c r="B2932" t="s">
        <v>407</v>
      </c>
      <c r="C2932" t="s">
        <v>6576</v>
      </c>
      <c r="D2932" t="s">
        <v>18018</v>
      </c>
      <c r="E2932" t="s">
        <v>20709</v>
      </c>
      <c r="F2932" t="s">
        <v>30900</v>
      </c>
      <c r="G2932" t="s">
        <v>30907</v>
      </c>
      <c r="H2932" t="s">
        <v>30916</v>
      </c>
      <c r="I2932" t="s">
        <v>8123</v>
      </c>
      <c r="J2932" t="s">
        <v>33167</v>
      </c>
      <c r="K2932" t="s">
        <v>40283</v>
      </c>
      <c r="M2932" t="s">
        <v>40963</v>
      </c>
      <c r="N2932" t="s">
        <v>44759</v>
      </c>
      <c r="O2932" t="s">
        <v>44760</v>
      </c>
      <c r="P2932">
        <v>0</v>
      </c>
      <c r="Q2932">
        <v>0</v>
      </c>
      <c r="R2932" t="s">
        <v>44762</v>
      </c>
      <c r="S2932" t="s">
        <v>44863</v>
      </c>
      <c r="T2932" t="s">
        <v>46620</v>
      </c>
      <c r="U2932" t="s">
        <v>49440</v>
      </c>
      <c r="W2932" t="s">
        <v>40963</v>
      </c>
      <c r="X2932" t="s">
        <v>44763</v>
      </c>
    </row>
    <row r="2933" spans="1:24">
      <c r="A2933">
        <f>HYPERLINK("https://www.philgeps.gov.ph/GEPSNONPILOT/Tender/SplashBidNoticeAbstractUI.aspx?menuIndex=3&amp;refID=7149286&amp;Result=3","7149286")</f>
        <v>0</v>
      </c>
      <c r="B2933" t="s">
        <v>976</v>
      </c>
      <c r="C2933" t="s">
        <v>6577</v>
      </c>
      <c r="D2933" t="s">
        <v>17978</v>
      </c>
      <c r="E2933" t="s">
        <v>20710</v>
      </c>
      <c r="F2933" t="s">
        <v>30900</v>
      </c>
      <c r="G2933" t="s">
        <v>30910</v>
      </c>
      <c r="H2933" t="s">
        <v>30916</v>
      </c>
      <c r="I2933" t="s">
        <v>30924</v>
      </c>
      <c r="J2933" t="s">
        <v>33168</v>
      </c>
      <c r="K2933" t="s">
        <v>40285</v>
      </c>
      <c r="M2933" t="s">
        <v>41564</v>
      </c>
      <c r="N2933" t="s">
        <v>44759</v>
      </c>
      <c r="O2933" t="s">
        <v>44760</v>
      </c>
      <c r="P2933">
        <v>0</v>
      </c>
      <c r="Q2933">
        <v>0</v>
      </c>
      <c r="R2933" t="s">
        <v>44762</v>
      </c>
      <c r="S2933" t="s">
        <v>44863</v>
      </c>
      <c r="T2933" t="s">
        <v>46363</v>
      </c>
      <c r="U2933" t="s">
        <v>49441</v>
      </c>
      <c r="W2933" t="s">
        <v>41564</v>
      </c>
      <c r="X2933" t="s">
        <v>44763</v>
      </c>
    </row>
    <row r="2934" spans="1:24">
      <c r="A2934">
        <f>HYPERLINK("https://www.philgeps.gov.ph/GEPSNONPILOT/Tender/SplashBidNoticeAbstractUI.aspx?menuIndex=3&amp;refID=7149268&amp;Result=3","7149268")</f>
        <v>0</v>
      </c>
      <c r="B2934" t="s">
        <v>78</v>
      </c>
      <c r="C2934" t="s">
        <v>6578</v>
      </c>
      <c r="D2934" t="s">
        <v>17987</v>
      </c>
      <c r="E2934" t="s">
        <v>20711</v>
      </c>
      <c r="F2934" t="s">
        <v>30900</v>
      </c>
      <c r="G2934" t="s">
        <v>30907</v>
      </c>
      <c r="H2934" t="s">
        <v>30916</v>
      </c>
      <c r="I2934" t="s">
        <v>8123</v>
      </c>
      <c r="J2934" t="s">
        <v>33169</v>
      </c>
      <c r="K2934" t="s">
        <v>40289</v>
      </c>
      <c r="M2934" t="s">
        <v>40625</v>
      </c>
      <c r="N2934" t="s">
        <v>44759</v>
      </c>
      <c r="O2934" t="s">
        <v>44760</v>
      </c>
      <c r="P2934">
        <v>0</v>
      </c>
      <c r="Q2934">
        <v>0</v>
      </c>
      <c r="R2934" t="s">
        <v>44762</v>
      </c>
      <c r="S2934" t="s">
        <v>44863</v>
      </c>
      <c r="T2934" t="s">
        <v>46387</v>
      </c>
      <c r="U2934" t="s">
        <v>49442</v>
      </c>
      <c r="W2934" t="s">
        <v>40625</v>
      </c>
      <c r="X2934" t="s">
        <v>44763</v>
      </c>
    </row>
    <row r="2935" spans="1:24">
      <c r="A2935">
        <f>HYPERLINK("https://www.philgeps.gov.ph/GEPSNONPILOT/Tender/SplashBidNoticeAbstractUI.aspx?menuIndex=3&amp;refID=7149267&amp;Result=3","7149267")</f>
        <v>0</v>
      </c>
      <c r="B2935" t="s">
        <v>1243</v>
      </c>
      <c r="C2935" t="s">
        <v>6579</v>
      </c>
      <c r="E2935" t="s">
        <v>20712</v>
      </c>
      <c r="F2935" t="s">
        <v>30900</v>
      </c>
      <c r="G2935" t="s">
        <v>30910</v>
      </c>
      <c r="H2935" t="s">
        <v>30916</v>
      </c>
      <c r="I2935" t="s">
        <v>6396</v>
      </c>
      <c r="J2935" t="s">
        <v>31830</v>
      </c>
      <c r="K2935" t="s">
        <v>40289</v>
      </c>
      <c r="M2935" t="s">
        <v>41855</v>
      </c>
      <c r="N2935" t="s">
        <v>44759</v>
      </c>
      <c r="O2935" t="s">
        <v>44760</v>
      </c>
      <c r="P2935">
        <v>0</v>
      </c>
      <c r="Q2935">
        <v>2</v>
      </c>
      <c r="R2935" t="s">
        <v>44762</v>
      </c>
      <c r="S2935" t="s">
        <v>44863</v>
      </c>
      <c r="T2935" t="s">
        <v>46383</v>
      </c>
      <c r="U2935" t="s">
        <v>49443</v>
      </c>
      <c r="W2935" t="s">
        <v>41855</v>
      </c>
      <c r="X2935" t="s">
        <v>44763</v>
      </c>
    </row>
    <row r="2936" spans="1:24">
      <c r="A2936">
        <f>HYPERLINK("https://www.philgeps.gov.ph/GEPSNONPILOT/Tender/SplashBidNoticeAbstractUI.aspx?menuIndex=3&amp;refID=7149288&amp;Result=3","7149288")</f>
        <v>0</v>
      </c>
      <c r="B2936" t="s">
        <v>1244</v>
      </c>
      <c r="C2936" t="s">
        <v>6580</v>
      </c>
      <c r="D2936" t="s">
        <v>17999</v>
      </c>
      <c r="E2936" t="s">
        <v>20713</v>
      </c>
      <c r="F2936" t="s">
        <v>30900</v>
      </c>
      <c r="G2936" t="s">
        <v>30907</v>
      </c>
      <c r="H2936" t="s">
        <v>7411</v>
      </c>
      <c r="I2936" t="s">
        <v>30990</v>
      </c>
      <c r="J2936" t="s">
        <v>31049</v>
      </c>
      <c r="K2936" t="s">
        <v>40344</v>
      </c>
      <c r="M2936" t="s">
        <v>41856</v>
      </c>
      <c r="N2936" t="s">
        <v>44759</v>
      </c>
      <c r="O2936" t="s">
        <v>44760</v>
      </c>
      <c r="P2936">
        <v>0</v>
      </c>
      <c r="Q2936">
        <v>0</v>
      </c>
      <c r="R2936" t="s">
        <v>44762</v>
      </c>
      <c r="S2936" t="s">
        <v>44863</v>
      </c>
      <c r="T2936" t="s">
        <v>46621</v>
      </c>
      <c r="U2936" t="s">
        <v>49444</v>
      </c>
      <c r="W2936" t="s">
        <v>41856</v>
      </c>
      <c r="X2936" t="s">
        <v>44763</v>
      </c>
    </row>
    <row r="2937" spans="1:24">
      <c r="A2937">
        <f>HYPERLINK("https://www.philgeps.gov.ph/GEPSNONPILOT/Tender/SplashBidNoticeAbstractUI.aspx?menuIndex=3&amp;refID=7149309&amp;Result=3","7149309")</f>
        <v>0</v>
      </c>
      <c r="B2937" t="s">
        <v>1245</v>
      </c>
      <c r="C2937" t="s">
        <v>6581</v>
      </c>
      <c r="D2937" t="s">
        <v>17953</v>
      </c>
      <c r="E2937" t="s">
        <v>20714</v>
      </c>
      <c r="F2937" t="s">
        <v>30900</v>
      </c>
      <c r="G2937" t="s">
        <v>30908</v>
      </c>
      <c r="H2937" t="s">
        <v>30916</v>
      </c>
      <c r="I2937" t="s">
        <v>30922</v>
      </c>
      <c r="J2937" t="s">
        <v>31048</v>
      </c>
      <c r="K2937" t="s">
        <v>40291</v>
      </c>
      <c r="M2937" t="s">
        <v>41857</v>
      </c>
      <c r="N2937" t="s">
        <v>44759</v>
      </c>
      <c r="O2937" t="s">
        <v>44760</v>
      </c>
      <c r="P2937">
        <v>0</v>
      </c>
      <c r="Q2937">
        <v>1</v>
      </c>
      <c r="R2937" t="s">
        <v>44762</v>
      </c>
      <c r="S2937" t="s">
        <v>44863</v>
      </c>
      <c r="T2937" t="s">
        <v>46414</v>
      </c>
      <c r="U2937" t="s">
        <v>49445</v>
      </c>
      <c r="W2937" t="s">
        <v>41857</v>
      </c>
      <c r="X2937" t="s">
        <v>44763</v>
      </c>
    </row>
    <row r="2938" spans="1:24">
      <c r="A2938">
        <f>HYPERLINK("https://www.philgeps.gov.ph/GEPSNONPILOT/Tender/SplashBidNoticeAbstractUI.aspx?menuIndex=3&amp;refID=7149316&amp;Result=3","7149316")</f>
        <v>0</v>
      </c>
      <c r="B2938" t="s">
        <v>1246</v>
      </c>
      <c r="C2938" t="s">
        <v>6582</v>
      </c>
      <c r="E2938" t="s">
        <v>20715</v>
      </c>
      <c r="F2938" t="s">
        <v>30900</v>
      </c>
      <c r="G2938" t="s">
        <v>30907</v>
      </c>
      <c r="H2938" t="s">
        <v>30916</v>
      </c>
      <c r="I2938" t="s">
        <v>8123</v>
      </c>
      <c r="J2938" t="s">
        <v>33170</v>
      </c>
      <c r="K2938" t="s">
        <v>40289</v>
      </c>
      <c r="M2938" t="s">
        <v>41858</v>
      </c>
      <c r="N2938" t="s">
        <v>44759</v>
      </c>
      <c r="O2938" t="s">
        <v>44760</v>
      </c>
      <c r="P2938">
        <v>0</v>
      </c>
      <c r="Q2938">
        <v>1</v>
      </c>
      <c r="R2938" t="s">
        <v>44762</v>
      </c>
      <c r="S2938" t="s">
        <v>44863</v>
      </c>
      <c r="T2938" t="s">
        <v>46486</v>
      </c>
      <c r="U2938" t="s">
        <v>49446</v>
      </c>
      <c r="W2938" t="s">
        <v>41858</v>
      </c>
      <c r="X2938" t="s">
        <v>44763</v>
      </c>
    </row>
    <row r="2939" spans="1:24">
      <c r="A2939">
        <f>HYPERLINK("https://www.philgeps.gov.ph/GEPSNONPILOT/Tender/SplashBidNoticeAbstractUI.aspx?menuIndex=3&amp;refID=7149314&amp;Result=3","7149314")</f>
        <v>0</v>
      </c>
      <c r="B2939" t="s">
        <v>217</v>
      </c>
      <c r="C2939" t="s">
        <v>6583</v>
      </c>
      <c r="D2939" t="s">
        <v>17966</v>
      </c>
      <c r="E2939" t="s">
        <v>20716</v>
      </c>
      <c r="F2939" t="s">
        <v>30900</v>
      </c>
      <c r="G2939" t="s">
        <v>30908</v>
      </c>
      <c r="H2939" t="s">
        <v>30916</v>
      </c>
      <c r="I2939" t="s">
        <v>31001</v>
      </c>
      <c r="J2939" t="s">
        <v>33171</v>
      </c>
      <c r="K2939" t="s">
        <v>40284</v>
      </c>
      <c r="M2939" t="s">
        <v>40764</v>
      </c>
      <c r="N2939" t="s">
        <v>44759</v>
      </c>
      <c r="O2939" t="s">
        <v>44760</v>
      </c>
      <c r="P2939">
        <v>0</v>
      </c>
      <c r="Q2939">
        <v>3</v>
      </c>
      <c r="R2939" t="s">
        <v>44762</v>
      </c>
      <c r="S2939" t="s">
        <v>44863</v>
      </c>
      <c r="T2939" t="s">
        <v>46352</v>
      </c>
      <c r="U2939" t="s">
        <v>49447</v>
      </c>
      <c r="W2939" t="s">
        <v>40764</v>
      </c>
      <c r="X2939" t="s">
        <v>44763</v>
      </c>
    </row>
    <row r="2940" spans="1:24">
      <c r="A2940">
        <f>HYPERLINK("https://www.philgeps.gov.ph/GEPSNONPILOT/Tender/SplashBidNoticeAbstractUI.aspx?menuIndex=3&amp;refID=7149313&amp;Result=3","7149313")</f>
        <v>0</v>
      </c>
      <c r="B2940" t="s">
        <v>78</v>
      </c>
      <c r="C2940" t="s">
        <v>6584</v>
      </c>
      <c r="D2940" t="s">
        <v>17987</v>
      </c>
      <c r="E2940" t="s">
        <v>20717</v>
      </c>
      <c r="F2940" t="s">
        <v>30900</v>
      </c>
      <c r="G2940" t="s">
        <v>30907</v>
      </c>
      <c r="H2940" t="s">
        <v>30916</v>
      </c>
      <c r="I2940" t="s">
        <v>8123</v>
      </c>
      <c r="J2940" t="s">
        <v>33172</v>
      </c>
      <c r="K2940" t="s">
        <v>40289</v>
      </c>
      <c r="M2940" t="s">
        <v>40625</v>
      </c>
      <c r="N2940" t="s">
        <v>44759</v>
      </c>
      <c r="O2940" t="s">
        <v>44760</v>
      </c>
      <c r="P2940">
        <v>0</v>
      </c>
      <c r="Q2940">
        <v>0</v>
      </c>
      <c r="R2940" t="s">
        <v>44762</v>
      </c>
      <c r="S2940" t="s">
        <v>44863</v>
      </c>
      <c r="T2940" t="s">
        <v>46387</v>
      </c>
      <c r="U2940" t="s">
        <v>49448</v>
      </c>
      <c r="W2940" t="s">
        <v>40625</v>
      </c>
      <c r="X2940" t="s">
        <v>44763</v>
      </c>
    </row>
    <row r="2941" spans="1:24">
      <c r="A2941">
        <f>HYPERLINK("https://www.philgeps.gov.ph/GEPSNONPILOT/Tender/SplashBidNoticeAbstractUI.aspx?menuIndex=3&amp;refID=7149255&amp;Result=3","7149255")</f>
        <v>0</v>
      </c>
      <c r="B2941" t="s">
        <v>1232</v>
      </c>
      <c r="C2941" t="s">
        <v>6585</v>
      </c>
      <c r="D2941" t="s">
        <v>17969</v>
      </c>
      <c r="E2941" t="s">
        <v>20718</v>
      </c>
      <c r="F2941" t="s">
        <v>30900</v>
      </c>
      <c r="G2941" t="s">
        <v>30910</v>
      </c>
      <c r="H2941" t="s">
        <v>30916</v>
      </c>
      <c r="I2941" t="s">
        <v>30927</v>
      </c>
      <c r="J2941" t="s">
        <v>31614</v>
      </c>
      <c r="K2941" t="s">
        <v>40286</v>
      </c>
      <c r="M2941" t="s">
        <v>41844</v>
      </c>
      <c r="N2941" t="s">
        <v>44759</v>
      </c>
      <c r="O2941" t="s">
        <v>44760</v>
      </c>
      <c r="P2941">
        <v>0</v>
      </c>
      <c r="Q2941">
        <v>0</v>
      </c>
      <c r="R2941" t="s">
        <v>44762</v>
      </c>
      <c r="S2941" t="s">
        <v>44863</v>
      </c>
      <c r="T2941" t="s">
        <v>46418</v>
      </c>
      <c r="U2941" t="s">
        <v>49449</v>
      </c>
      <c r="W2941" t="s">
        <v>41844</v>
      </c>
      <c r="X2941" t="s">
        <v>44763</v>
      </c>
    </row>
    <row r="2942" spans="1:24">
      <c r="A2942">
        <f>HYPERLINK("https://www.philgeps.gov.ph/GEPSNONPILOT/Tender/SplashBidNoticeAbstractUI.aspx?menuIndex=3&amp;refID=7149311&amp;Result=3","7149311")</f>
        <v>0</v>
      </c>
      <c r="B2942" t="s">
        <v>180</v>
      </c>
      <c r="C2942" t="s">
        <v>6586</v>
      </c>
      <c r="D2942" t="s">
        <v>17987</v>
      </c>
      <c r="E2942" t="s">
        <v>20719</v>
      </c>
      <c r="F2942" t="s">
        <v>30900</v>
      </c>
      <c r="G2942" t="s">
        <v>30907</v>
      </c>
      <c r="H2942" t="s">
        <v>30916</v>
      </c>
      <c r="I2942" t="s">
        <v>8123</v>
      </c>
      <c r="J2942" t="s">
        <v>33173</v>
      </c>
      <c r="K2942" t="s">
        <v>40284</v>
      </c>
      <c r="M2942" t="s">
        <v>40727</v>
      </c>
      <c r="N2942" t="s">
        <v>44759</v>
      </c>
      <c r="O2942" t="s">
        <v>44760</v>
      </c>
      <c r="P2942">
        <v>0</v>
      </c>
      <c r="Q2942">
        <v>0</v>
      </c>
      <c r="R2942" t="s">
        <v>44762</v>
      </c>
      <c r="S2942" t="s">
        <v>44863</v>
      </c>
      <c r="T2942" t="s">
        <v>46409</v>
      </c>
      <c r="U2942" t="s">
        <v>49450</v>
      </c>
      <c r="W2942" t="s">
        <v>40727</v>
      </c>
      <c r="X2942" t="s">
        <v>44763</v>
      </c>
    </row>
    <row r="2943" spans="1:24">
      <c r="A2943">
        <f>HYPERLINK("https://www.philgeps.gov.ph/GEPSNONPILOT/Tender/SplashBidNoticeAbstractUI.aspx?menuIndex=3&amp;refID=7149310&amp;Result=3","7149310")</f>
        <v>0</v>
      </c>
      <c r="B2943" t="s">
        <v>878</v>
      </c>
      <c r="C2943" t="s">
        <v>6587</v>
      </c>
      <c r="D2943" t="s">
        <v>17978</v>
      </c>
      <c r="E2943" t="s">
        <v>20720</v>
      </c>
      <c r="F2943" t="s">
        <v>30900</v>
      </c>
      <c r="G2943" t="s">
        <v>30908</v>
      </c>
      <c r="H2943" t="s">
        <v>30916</v>
      </c>
      <c r="I2943" t="s">
        <v>10602</v>
      </c>
      <c r="J2943" t="s">
        <v>31105</v>
      </c>
      <c r="K2943" t="s">
        <v>40292</v>
      </c>
      <c r="M2943" t="s">
        <v>41487</v>
      </c>
      <c r="N2943" t="s">
        <v>44759</v>
      </c>
      <c r="O2943" t="s">
        <v>44760</v>
      </c>
      <c r="P2943">
        <v>0</v>
      </c>
      <c r="Q2943">
        <v>4</v>
      </c>
      <c r="R2943" t="s">
        <v>44762</v>
      </c>
      <c r="S2943" t="s">
        <v>44863</v>
      </c>
      <c r="T2943" t="s">
        <v>46399</v>
      </c>
      <c r="U2943" t="s">
        <v>47466</v>
      </c>
      <c r="W2943" t="s">
        <v>41487</v>
      </c>
      <c r="X2943" t="s">
        <v>44763</v>
      </c>
    </row>
    <row r="2944" spans="1:24">
      <c r="A2944">
        <f>HYPERLINK("https://www.philgeps.gov.ph/GEPSNONPILOT/Tender/SplashBidNoticeAbstractUI.aspx?menuIndex=3&amp;refID=7149271&amp;Result=3","7149271")</f>
        <v>0</v>
      </c>
      <c r="B2944" t="s">
        <v>1247</v>
      </c>
      <c r="C2944" t="s">
        <v>6588</v>
      </c>
      <c r="D2944" t="s">
        <v>17993</v>
      </c>
      <c r="E2944" t="s">
        <v>18119</v>
      </c>
      <c r="F2944" t="s">
        <v>30899</v>
      </c>
      <c r="G2944" t="s">
        <v>30909</v>
      </c>
      <c r="H2944" t="s">
        <v>30916</v>
      </c>
      <c r="I2944" t="s">
        <v>4108</v>
      </c>
      <c r="J2944" t="s">
        <v>33174</v>
      </c>
      <c r="K2944" t="s">
        <v>40287</v>
      </c>
      <c r="M2944" t="s">
        <v>41859</v>
      </c>
      <c r="N2944" t="s">
        <v>44759</v>
      </c>
      <c r="O2944" t="s">
        <v>44760</v>
      </c>
      <c r="P2944">
        <v>0</v>
      </c>
      <c r="Q2944">
        <v>0</v>
      </c>
      <c r="R2944" t="s">
        <v>44762</v>
      </c>
      <c r="S2944" t="s">
        <v>44863</v>
      </c>
      <c r="T2944" t="s">
        <v>46374</v>
      </c>
      <c r="U2944" t="s">
        <v>49451</v>
      </c>
      <c r="W2944" t="s">
        <v>41859</v>
      </c>
      <c r="X2944" t="s">
        <v>44763</v>
      </c>
    </row>
    <row r="2945" spans="1:24">
      <c r="A2945">
        <f>HYPERLINK("https://www.philgeps.gov.ph/GEPSNONPILOT/Tender/SplashBidNoticeAbstractUI.aspx?menuIndex=3&amp;refID=7149269&amp;Result=3","7149269")</f>
        <v>0</v>
      </c>
      <c r="B2945" t="s">
        <v>1248</v>
      </c>
      <c r="C2945" t="s">
        <v>6589</v>
      </c>
      <c r="D2945" t="s">
        <v>17977</v>
      </c>
      <c r="E2945" t="s">
        <v>20721</v>
      </c>
      <c r="F2945" t="s">
        <v>30900</v>
      </c>
      <c r="G2945" t="s">
        <v>30909</v>
      </c>
      <c r="H2945" t="s">
        <v>30916</v>
      </c>
      <c r="I2945" t="s">
        <v>30994</v>
      </c>
      <c r="J2945" t="s">
        <v>31310</v>
      </c>
      <c r="K2945" t="s">
        <v>40284</v>
      </c>
      <c r="M2945" t="s">
        <v>41860</v>
      </c>
      <c r="N2945" t="s">
        <v>44759</v>
      </c>
      <c r="O2945" t="s">
        <v>44760</v>
      </c>
      <c r="P2945">
        <v>0</v>
      </c>
      <c r="Q2945">
        <v>0</v>
      </c>
      <c r="R2945" t="s">
        <v>44762</v>
      </c>
      <c r="S2945" t="s">
        <v>44863</v>
      </c>
      <c r="T2945" t="s">
        <v>46376</v>
      </c>
      <c r="U2945" t="s">
        <v>49452</v>
      </c>
      <c r="W2945" t="s">
        <v>41860</v>
      </c>
      <c r="X2945" t="s">
        <v>44763</v>
      </c>
    </row>
    <row r="2946" spans="1:24">
      <c r="A2946">
        <f>HYPERLINK("https://www.philgeps.gov.ph/GEPSNONPILOT/Tender/SplashBidNoticeAbstractUI.aspx?menuIndex=3&amp;refID=7149312&amp;Result=3","7149312")</f>
        <v>0</v>
      </c>
      <c r="B2946" t="s">
        <v>1239</v>
      </c>
      <c r="C2946" t="s">
        <v>6590</v>
      </c>
      <c r="D2946" t="s">
        <v>17990</v>
      </c>
      <c r="E2946" t="s">
        <v>20722</v>
      </c>
      <c r="F2946" t="s">
        <v>30900</v>
      </c>
      <c r="G2946" t="s">
        <v>30909</v>
      </c>
      <c r="H2946" t="s">
        <v>30916</v>
      </c>
      <c r="I2946" t="s">
        <v>31009</v>
      </c>
      <c r="J2946" t="s">
        <v>31271</v>
      </c>
      <c r="K2946" t="s">
        <v>40287</v>
      </c>
      <c r="M2946" t="s">
        <v>41851</v>
      </c>
      <c r="N2946" t="s">
        <v>44759</v>
      </c>
      <c r="O2946" t="s">
        <v>44760</v>
      </c>
      <c r="P2946">
        <v>0</v>
      </c>
      <c r="Q2946">
        <v>0</v>
      </c>
      <c r="R2946" t="s">
        <v>44762</v>
      </c>
      <c r="S2946" t="s">
        <v>44863</v>
      </c>
      <c r="T2946" t="s">
        <v>46357</v>
      </c>
      <c r="U2946" t="s">
        <v>49453</v>
      </c>
      <c r="W2946" t="s">
        <v>41851</v>
      </c>
      <c r="X2946" t="s">
        <v>44763</v>
      </c>
    </row>
    <row r="2947" spans="1:24">
      <c r="A2947">
        <f>HYPERLINK("https://www.philgeps.gov.ph/GEPSNONPILOT/Tender/SplashBidNoticeAbstractUI.aspx?menuIndex=3&amp;refID=7149306&amp;Result=3","7149306")</f>
        <v>0</v>
      </c>
      <c r="B2947" t="s">
        <v>1242</v>
      </c>
      <c r="C2947" t="s">
        <v>6591</v>
      </c>
      <c r="E2947" t="s">
        <v>20723</v>
      </c>
      <c r="F2947" t="s">
        <v>30900</v>
      </c>
      <c r="G2947" t="s">
        <v>30909</v>
      </c>
      <c r="H2947" t="s">
        <v>30916</v>
      </c>
      <c r="I2947" t="s">
        <v>30923</v>
      </c>
      <c r="J2947" t="s">
        <v>31243</v>
      </c>
      <c r="K2947" t="s">
        <v>40287</v>
      </c>
      <c r="M2947" t="s">
        <v>41854</v>
      </c>
      <c r="N2947" t="s">
        <v>44759</v>
      </c>
      <c r="O2947" t="s">
        <v>44760</v>
      </c>
      <c r="P2947">
        <v>0</v>
      </c>
      <c r="Q2947">
        <v>10</v>
      </c>
      <c r="R2947" t="s">
        <v>44762</v>
      </c>
      <c r="S2947" t="s">
        <v>44863</v>
      </c>
      <c r="T2947" t="s">
        <v>46379</v>
      </c>
      <c r="U2947" t="s">
        <v>49454</v>
      </c>
      <c r="W2947" t="s">
        <v>41854</v>
      </c>
      <c r="X2947" t="s">
        <v>44763</v>
      </c>
    </row>
    <row r="2948" spans="1:24">
      <c r="A2948">
        <f>HYPERLINK("https://www.philgeps.gov.ph/GEPSNONPILOT/Tender/SplashBidNoticeAbstractUI.aspx?menuIndex=3&amp;refID=7149298&amp;Result=3","7149298")</f>
        <v>0</v>
      </c>
      <c r="B2948" t="s">
        <v>1249</v>
      </c>
      <c r="C2948" t="s">
        <v>6592</v>
      </c>
      <c r="D2948" t="s">
        <v>17983</v>
      </c>
      <c r="E2948" t="s">
        <v>20724</v>
      </c>
      <c r="F2948" t="s">
        <v>30900</v>
      </c>
      <c r="G2948" t="s">
        <v>30908</v>
      </c>
      <c r="H2948" t="s">
        <v>30916</v>
      </c>
      <c r="I2948" t="s">
        <v>30924</v>
      </c>
      <c r="J2948" t="s">
        <v>31077</v>
      </c>
      <c r="K2948" t="s">
        <v>40286</v>
      </c>
      <c r="M2948" t="s">
        <v>41861</v>
      </c>
      <c r="N2948" t="s">
        <v>44759</v>
      </c>
      <c r="O2948" t="s">
        <v>44760</v>
      </c>
      <c r="P2948">
        <v>0</v>
      </c>
      <c r="Q2948">
        <v>2</v>
      </c>
      <c r="R2948" t="s">
        <v>44762</v>
      </c>
      <c r="S2948" t="s">
        <v>44863</v>
      </c>
      <c r="T2948" t="s">
        <v>46357</v>
      </c>
      <c r="U2948" t="s">
        <v>49455</v>
      </c>
      <c r="W2948" t="s">
        <v>41861</v>
      </c>
      <c r="X2948" t="s">
        <v>44763</v>
      </c>
    </row>
    <row r="2949" spans="1:24">
      <c r="A2949">
        <f>HYPERLINK("https://www.philgeps.gov.ph/GEPSNONPILOT/Tender/SplashBidNoticeAbstractUI.aspx?menuIndex=3&amp;refID=7149318&amp;Result=3","7149318")</f>
        <v>0</v>
      </c>
      <c r="B2949" t="s">
        <v>182</v>
      </c>
      <c r="C2949" t="s">
        <v>6593</v>
      </c>
      <c r="D2949" t="s">
        <v>17980</v>
      </c>
      <c r="E2949" t="s">
        <v>20725</v>
      </c>
      <c r="F2949" t="s">
        <v>30900</v>
      </c>
      <c r="G2949" t="s">
        <v>30907</v>
      </c>
      <c r="H2949" t="s">
        <v>30916</v>
      </c>
      <c r="I2949" t="s">
        <v>30933</v>
      </c>
      <c r="J2949" t="s">
        <v>33175</v>
      </c>
      <c r="K2949" t="s">
        <v>40287</v>
      </c>
      <c r="M2949" t="s">
        <v>40729</v>
      </c>
      <c r="N2949" t="s">
        <v>44759</v>
      </c>
      <c r="O2949" t="s">
        <v>44760</v>
      </c>
      <c r="P2949">
        <v>0</v>
      </c>
      <c r="Q2949">
        <v>5</v>
      </c>
      <c r="R2949" t="s">
        <v>44762</v>
      </c>
      <c r="S2949" t="s">
        <v>44863</v>
      </c>
      <c r="T2949" t="s">
        <v>46622</v>
      </c>
      <c r="U2949" t="s">
        <v>49456</v>
      </c>
      <c r="W2949" t="s">
        <v>40729</v>
      </c>
      <c r="X2949" t="s">
        <v>44763</v>
      </c>
    </row>
    <row r="2950" spans="1:24">
      <c r="A2950">
        <f>HYPERLINK("https://www.philgeps.gov.ph/GEPSNONPILOT/Tender/SplashBidNoticeAbstractUI.aspx?menuIndex=3&amp;refID=7149308&amp;Result=3","7149308")</f>
        <v>0</v>
      </c>
      <c r="B2950" t="s">
        <v>78</v>
      </c>
      <c r="C2950" t="s">
        <v>6594</v>
      </c>
      <c r="D2950" t="s">
        <v>17987</v>
      </c>
      <c r="E2950" t="s">
        <v>20726</v>
      </c>
      <c r="F2950" t="s">
        <v>30900</v>
      </c>
      <c r="G2950" t="s">
        <v>30907</v>
      </c>
      <c r="H2950" t="s">
        <v>30916</v>
      </c>
      <c r="I2950" t="s">
        <v>8123</v>
      </c>
      <c r="J2950" t="s">
        <v>33176</v>
      </c>
      <c r="K2950" t="s">
        <v>40289</v>
      </c>
      <c r="M2950" t="s">
        <v>40625</v>
      </c>
      <c r="N2950" t="s">
        <v>44759</v>
      </c>
      <c r="O2950" t="s">
        <v>44760</v>
      </c>
      <c r="P2950">
        <v>0</v>
      </c>
      <c r="Q2950">
        <v>0</v>
      </c>
      <c r="R2950" t="s">
        <v>44762</v>
      </c>
      <c r="S2950" t="s">
        <v>44863</v>
      </c>
      <c r="T2950" t="s">
        <v>46387</v>
      </c>
      <c r="U2950" t="s">
        <v>49457</v>
      </c>
      <c r="W2950" t="s">
        <v>40625</v>
      </c>
      <c r="X2950" t="s">
        <v>44763</v>
      </c>
    </row>
    <row r="2951" spans="1:24">
      <c r="A2951">
        <f>HYPERLINK("https://www.philgeps.gov.ph/GEPSNONPILOT/Tender/SplashBidNoticeAbstractUI.aspx?menuIndex=3&amp;refID=7149343&amp;Result=3","7149343")</f>
        <v>0</v>
      </c>
      <c r="B2951" t="s">
        <v>1250</v>
      </c>
      <c r="C2951" t="s">
        <v>3996</v>
      </c>
      <c r="D2951" t="s">
        <v>17953</v>
      </c>
      <c r="E2951" t="s">
        <v>20727</v>
      </c>
      <c r="F2951" t="s">
        <v>30900</v>
      </c>
      <c r="G2951" t="s">
        <v>30907</v>
      </c>
      <c r="H2951" t="s">
        <v>30916</v>
      </c>
      <c r="I2951" t="s">
        <v>6396</v>
      </c>
      <c r="J2951" t="s">
        <v>33177</v>
      </c>
      <c r="K2951" t="s">
        <v>40286</v>
      </c>
      <c r="M2951" t="s">
        <v>41862</v>
      </c>
      <c r="N2951" t="s">
        <v>44759</v>
      </c>
      <c r="O2951" t="s">
        <v>44760</v>
      </c>
      <c r="P2951">
        <v>0</v>
      </c>
      <c r="Q2951">
        <v>0</v>
      </c>
      <c r="R2951" t="s">
        <v>44762</v>
      </c>
      <c r="S2951" t="s">
        <v>44863</v>
      </c>
      <c r="T2951" t="s">
        <v>46369</v>
      </c>
      <c r="U2951" t="s">
        <v>49458</v>
      </c>
      <c r="W2951" t="s">
        <v>41862</v>
      </c>
      <c r="X2951" t="s">
        <v>44763</v>
      </c>
    </row>
    <row r="2952" spans="1:24">
      <c r="A2952">
        <f>HYPERLINK("https://www.philgeps.gov.ph/GEPSNONPILOT/Tender/SplashBidNoticeAbstractUI.aspx?menuIndex=3&amp;refID=7149307&amp;Result=3","7149307")</f>
        <v>0</v>
      </c>
      <c r="B2952" t="s">
        <v>1251</v>
      </c>
      <c r="C2952" t="s">
        <v>6595</v>
      </c>
      <c r="D2952" t="s">
        <v>17963</v>
      </c>
      <c r="E2952" t="s">
        <v>20728</v>
      </c>
      <c r="F2952" t="s">
        <v>30900</v>
      </c>
      <c r="G2952" t="s">
        <v>30908</v>
      </c>
      <c r="H2952" t="s">
        <v>30916</v>
      </c>
      <c r="I2952" t="s">
        <v>6396</v>
      </c>
      <c r="J2952" t="s">
        <v>33178</v>
      </c>
      <c r="K2952" t="s">
        <v>40286</v>
      </c>
      <c r="M2952" t="s">
        <v>41863</v>
      </c>
      <c r="N2952" t="s">
        <v>44759</v>
      </c>
      <c r="O2952" t="s">
        <v>44760</v>
      </c>
      <c r="P2952">
        <v>0</v>
      </c>
      <c r="Q2952">
        <v>2</v>
      </c>
      <c r="R2952" t="s">
        <v>44762</v>
      </c>
      <c r="S2952" t="s">
        <v>44863</v>
      </c>
      <c r="T2952" t="s">
        <v>46395</v>
      </c>
      <c r="U2952" t="s">
        <v>49459</v>
      </c>
      <c r="W2952" t="s">
        <v>41863</v>
      </c>
      <c r="X2952" t="s">
        <v>44763</v>
      </c>
    </row>
    <row r="2953" spans="1:24">
      <c r="A2953">
        <f>HYPERLINK("https://www.philgeps.gov.ph/GEPSNONPILOT/Tender/SplashBidNoticeAbstractUI.aspx?menuIndex=3&amp;refID=7149341&amp;Result=3","7149341")</f>
        <v>0</v>
      </c>
      <c r="B2953" t="s">
        <v>180</v>
      </c>
      <c r="C2953" t="s">
        <v>6596</v>
      </c>
      <c r="D2953" t="s">
        <v>17987</v>
      </c>
      <c r="E2953" t="s">
        <v>20729</v>
      </c>
      <c r="F2953" t="s">
        <v>30900</v>
      </c>
      <c r="G2953" t="s">
        <v>30907</v>
      </c>
      <c r="H2953" t="s">
        <v>30916</v>
      </c>
      <c r="I2953" t="s">
        <v>8123</v>
      </c>
      <c r="J2953" t="s">
        <v>33179</v>
      </c>
      <c r="K2953" t="s">
        <v>40284</v>
      </c>
      <c r="M2953" t="s">
        <v>40727</v>
      </c>
      <c r="N2953" t="s">
        <v>44759</v>
      </c>
      <c r="O2953" t="s">
        <v>44760</v>
      </c>
      <c r="P2953">
        <v>0</v>
      </c>
      <c r="Q2953">
        <v>0</v>
      </c>
      <c r="R2953" t="s">
        <v>44762</v>
      </c>
      <c r="S2953" t="s">
        <v>44863</v>
      </c>
      <c r="T2953" t="s">
        <v>46409</v>
      </c>
      <c r="U2953" t="s">
        <v>49460</v>
      </c>
      <c r="W2953" t="s">
        <v>40727</v>
      </c>
      <c r="X2953" t="s">
        <v>44763</v>
      </c>
    </row>
    <row r="2954" spans="1:24">
      <c r="A2954">
        <f>HYPERLINK("https://www.philgeps.gov.ph/GEPSNONPILOT/Tender/SplashBidNoticeAbstractUI.aspx?menuIndex=3&amp;refID=7149222&amp;Result=3","7149222")</f>
        <v>0</v>
      </c>
      <c r="B2954" t="s">
        <v>1252</v>
      </c>
      <c r="C2954" t="s">
        <v>6597</v>
      </c>
      <c r="D2954" t="s">
        <v>17963</v>
      </c>
      <c r="E2954" t="s">
        <v>20730</v>
      </c>
      <c r="F2954" t="s">
        <v>30900</v>
      </c>
      <c r="G2954" t="s">
        <v>30909</v>
      </c>
      <c r="H2954" t="s">
        <v>30916</v>
      </c>
      <c r="I2954" t="s">
        <v>4050</v>
      </c>
      <c r="J2954" t="s">
        <v>31495</v>
      </c>
      <c r="K2954" t="s">
        <v>40285</v>
      </c>
      <c r="M2954" t="s">
        <v>41864</v>
      </c>
      <c r="N2954" t="s">
        <v>44759</v>
      </c>
      <c r="O2954" t="s">
        <v>44760</v>
      </c>
      <c r="P2954">
        <v>0</v>
      </c>
      <c r="Q2954">
        <v>2</v>
      </c>
      <c r="R2954" t="s">
        <v>44762</v>
      </c>
      <c r="S2954" t="s">
        <v>44863</v>
      </c>
      <c r="T2954" t="s">
        <v>46623</v>
      </c>
      <c r="U2954" t="s">
        <v>49461</v>
      </c>
      <c r="W2954" t="s">
        <v>41864</v>
      </c>
      <c r="X2954" t="s">
        <v>44763</v>
      </c>
    </row>
    <row r="2955" spans="1:24">
      <c r="A2955">
        <f>HYPERLINK("https://www.philgeps.gov.ph/GEPSNONPILOT/Tender/SplashBidNoticeAbstractUI.aspx?menuIndex=3&amp;refID=7149339&amp;Result=3","7149339")</f>
        <v>0</v>
      </c>
      <c r="B2955" t="s">
        <v>1253</v>
      </c>
      <c r="C2955" t="s">
        <v>6598</v>
      </c>
      <c r="D2955" t="s">
        <v>17978</v>
      </c>
      <c r="E2955" t="s">
        <v>18282</v>
      </c>
      <c r="F2955" t="s">
        <v>30900</v>
      </c>
      <c r="G2955" t="s">
        <v>30907</v>
      </c>
      <c r="H2955" t="s">
        <v>30915</v>
      </c>
      <c r="I2955" t="s">
        <v>30919</v>
      </c>
      <c r="J2955" t="s">
        <v>33180</v>
      </c>
      <c r="K2955" t="s">
        <v>40283</v>
      </c>
      <c r="M2955" t="s">
        <v>41865</v>
      </c>
      <c r="N2955" t="s">
        <v>44759</v>
      </c>
      <c r="O2955" t="s">
        <v>44760</v>
      </c>
      <c r="P2955">
        <v>0</v>
      </c>
      <c r="Q2955">
        <v>0</v>
      </c>
      <c r="R2955" t="s">
        <v>44762</v>
      </c>
      <c r="S2955" t="s">
        <v>44863</v>
      </c>
      <c r="T2955" t="s">
        <v>46395</v>
      </c>
      <c r="U2955" t="s">
        <v>49462</v>
      </c>
      <c r="W2955" t="s">
        <v>41865</v>
      </c>
      <c r="X2955" t="s">
        <v>44763</v>
      </c>
    </row>
    <row r="2956" spans="1:24">
      <c r="A2956">
        <f>HYPERLINK("https://www.philgeps.gov.ph/GEPSNONPILOT/Tender/SplashBidNoticeAbstractUI.aspx?menuIndex=3&amp;refID=7149299&amp;Result=3","7149299")</f>
        <v>0</v>
      </c>
      <c r="B2956" t="s">
        <v>246</v>
      </c>
      <c r="C2956" t="s">
        <v>6599</v>
      </c>
      <c r="D2956" t="s">
        <v>17961</v>
      </c>
      <c r="E2956" t="s">
        <v>6599</v>
      </c>
      <c r="F2956" t="s">
        <v>30904</v>
      </c>
      <c r="G2956" t="s">
        <v>30908</v>
      </c>
      <c r="H2956" t="s">
        <v>30916</v>
      </c>
      <c r="I2956" t="s">
        <v>8365</v>
      </c>
      <c r="J2956" t="s">
        <v>33181</v>
      </c>
      <c r="K2956" t="s">
        <v>40285</v>
      </c>
      <c r="M2956" t="s">
        <v>40793</v>
      </c>
      <c r="N2956" t="s">
        <v>44759</v>
      </c>
      <c r="O2956" t="s">
        <v>44760</v>
      </c>
      <c r="P2956">
        <v>0</v>
      </c>
      <c r="Q2956">
        <v>0</v>
      </c>
      <c r="R2956" t="s">
        <v>44762</v>
      </c>
      <c r="S2956" t="s">
        <v>44863</v>
      </c>
      <c r="T2956" t="s">
        <v>46400</v>
      </c>
      <c r="U2956" t="s">
        <v>49463</v>
      </c>
      <c r="W2956" t="s">
        <v>40793</v>
      </c>
      <c r="X2956" t="s">
        <v>44763</v>
      </c>
    </row>
    <row r="2957" spans="1:24">
      <c r="A2957">
        <f>HYPERLINK("https://www.philgeps.gov.ph/GEPSNONPILOT/Tender/SplashBidNoticeAbstractUI.aspx?menuIndex=3&amp;refID=7149335&amp;Result=3","7149335")</f>
        <v>0</v>
      </c>
      <c r="B2957" t="s">
        <v>1254</v>
      </c>
      <c r="C2957" t="s">
        <v>6600</v>
      </c>
      <c r="D2957" t="s">
        <v>17998</v>
      </c>
      <c r="E2957" t="s">
        <v>20731</v>
      </c>
      <c r="F2957" t="s">
        <v>30899</v>
      </c>
      <c r="G2957" t="s">
        <v>30909</v>
      </c>
      <c r="H2957" t="s">
        <v>30916</v>
      </c>
      <c r="I2957" t="s">
        <v>30949</v>
      </c>
      <c r="J2957" t="s">
        <v>31182</v>
      </c>
      <c r="K2957" t="s">
        <v>40286</v>
      </c>
      <c r="M2957" t="s">
        <v>41866</v>
      </c>
      <c r="N2957" t="s">
        <v>44759</v>
      </c>
      <c r="O2957" t="s">
        <v>44760</v>
      </c>
      <c r="P2957">
        <v>0</v>
      </c>
      <c r="Q2957">
        <v>0</v>
      </c>
      <c r="R2957" t="s">
        <v>44762</v>
      </c>
      <c r="S2957" t="s">
        <v>44863</v>
      </c>
      <c r="T2957" t="s">
        <v>46377</v>
      </c>
      <c r="U2957" t="s">
        <v>49464</v>
      </c>
      <c r="V2957" t="s">
        <v>59447</v>
      </c>
      <c r="W2957" t="s">
        <v>41866</v>
      </c>
      <c r="X2957" t="s">
        <v>44763</v>
      </c>
    </row>
    <row r="2958" spans="1:24">
      <c r="A2958">
        <f>HYPERLINK("https://www.philgeps.gov.ph/GEPSNONPILOT/Tender/SplashBidNoticeAbstractUI.aspx?menuIndex=3&amp;refID=7149278&amp;Result=3","7149278")</f>
        <v>0</v>
      </c>
      <c r="B2958" t="s">
        <v>335</v>
      </c>
      <c r="C2958" t="s">
        <v>6601</v>
      </c>
      <c r="D2958" t="s">
        <v>17993</v>
      </c>
      <c r="E2958" t="s">
        <v>20732</v>
      </c>
      <c r="F2958" t="s">
        <v>30900</v>
      </c>
      <c r="G2958" t="s">
        <v>30910</v>
      </c>
      <c r="H2958" t="s">
        <v>30916</v>
      </c>
      <c r="I2958" t="s">
        <v>4142</v>
      </c>
      <c r="J2958" t="s">
        <v>33182</v>
      </c>
      <c r="K2958" t="s">
        <v>40288</v>
      </c>
      <c r="M2958" t="s">
        <v>40886</v>
      </c>
      <c r="N2958" t="s">
        <v>44759</v>
      </c>
      <c r="O2958" t="s">
        <v>44760</v>
      </c>
      <c r="P2958">
        <v>0</v>
      </c>
      <c r="Q2958">
        <v>0</v>
      </c>
      <c r="R2958" t="s">
        <v>44762</v>
      </c>
      <c r="S2958" t="s">
        <v>44863</v>
      </c>
      <c r="T2958" t="s">
        <v>46398</v>
      </c>
      <c r="U2958" t="s">
        <v>49465</v>
      </c>
      <c r="W2958" t="s">
        <v>40886</v>
      </c>
      <c r="X2958" t="s">
        <v>44763</v>
      </c>
    </row>
    <row r="2959" spans="1:24">
      <c r="A2959">
        <f>HYPERLINK("https://www.philgeps.gov.ph/GEPSNONPILOT/Tender/SplashBidNoticeAbstractUI.aspx?menuIndex=3&amp;refID=7149220&amp;Result=3","7149220")</f>
        <v>0</v>
      </c>
      <c r="B2959" t="s">
        <v>1218</v>
      </c>
      <c r="C2959" t="s">
        <v>6602</v>
      </c>
      <c r="D2959" t="s">
        <v>17961</v>
      </c>
      <c r="E2959" t="s">
        <v>20733</v>
      </c>
      <c r="F2959" t="s">
        <v>30900</v>
      </c>
      <c r="G2959" t="s">
        <v>30908</v>
      </c>
      <c r="H2959" t="s">
        <v>30916</v>
      </c>
      <c r="I2959" t="s">
        <v>30985</v>
      </c>
      <c r="J2959" t="s">
        <v>33183</v>
      </c>
      <c r="K2959" t="s">
        <v>40286</v>
      </c>
      <c r="M2959" t="s">
        <v>41830</v>
      </c>
      <c r="N2959" t="s">
        <v>44759</v>
      </c>
      <c r="O2959" t="s">
        <v>44760</v>
      </c>
      <c r="P2959">
        <v>0</v>
      </c>
      <c r="Q2959">
        <v>5</v>
      </c>
      <c r="R2959" t="s">
        <v>44762</v>
      </c>
      <c r="S2959" t="s">
        <v>44863</v>
      </c>
      <c r="T2959" t="s">
        <v>46357</v>
      </c>
      <c r="U2959" t="s">
        <v>49386</v>
      </c>
      <c r="W2959" t="s">
        <v>41830</v>
      </c>
      <c r="X2959" t="s">
        <v>44763</v>
      </c>
    </row>
    <row r="2960" spans="1:24">
      <c r="A2960">
        <f>HYPERLINK("https://www.philgeps.gov.ph/GEPSNONPILOT/Tender/SplashBidNoticeAbstractUI.aspx?menuIndex=3&amp;refID=7149340&amp;Result=3","7149340")</f>
        <v>0</v>
      </c>
      <c r="B2960" t="s">
        <v>1255</v>
      </c>
      <c r="C2960" t="s">
        <v>6603</v>
      </c>
      <c r="D2960" t="s">
        <v>17996</v>
      </c>
      <c r="E2960" t="s">
        <v>20734</v>
      </c>
      <c r="F2960" t="s">
        <v>30900</v>
      </c>
      <c r="G2960" t="s">
        <v>30907</v>
      </c>
      <c r="H2960" t="s">
        <v>30915</v>
      </c>
      <c r="I2960" t="s">
        <v>30948</v>
      </c>
      <c r="J2960" t="s">
        <v>31101</v>
      </c>
      <c r="K2960" t="s">
        <v>40321</v>
      </c>
      <c r="M2960" t="s">
        <v>41867</v>
      </c>
      <c r="N2960" t="s">
        <v>44759</v>
      </c>
      <c r="O2960" t="s">
        <v>44760</v>
      </c>
      <c r="P2960">
        <v>0</v>
      </c>
      <c r="Q2960">
        <v>0</v>
      </c>
      <c r="R2960" t="s">
        <v>44762</v>
      </c>
      <c r="S2960" t="s">
        <v>44863</v>
      </c>
      <c r="T2960" t="s">
        <v>46617</v>
      </c>
      <c r="U2960" t="s">
        <v>49466</v>
      </c>
      <c r="W2960" t="s">
        <v>41867</v>
      </c>
      <c r="X2960" t="s">
        <v>44763</v>
      </c>
    </row>
    <row r="2961" spans="1:24">
      <c r="A2961">
        <f>HYPERLINK("https://www.philgeps.gov.ph/GEPSNONPILOT/Tender/SplashBidNoticeAbstractUI.aspx?menuIndex=3&amp;refID=7149331&amp;Result=3","7149331")</f>
        <v>0</v>
      </c>
      <c r="B2961" t="s">
        <v>78</v>
      </c>
      <c r="C2961" t="s">
        <v>6604</v>
      </c>
      <c r="D2961" t="s">
        <v>17987</v>
      </c>
      <c r="E2961" t="s">
        <v>20735</v>
      </c>
      <c r="F2961" t="s">
        <v>30900</v>
      </c>
      <c r="G2961" t="s">
        <v>30907</v>
      </c>
      <c r="H2961" t="s">
        <v>30916</v>
      </c>
      <c r="I2961" t="s">
        <v>4050</v>
      </c>
      <c r="J2961" t="s">
        <v>33184</v>
      </c>
      <c r="K2961" t="s">
        <v>40289</v>
      </c>
      <c r="M2961" t="s">
        <v>40625</v>
      </c>
      <c r="N2961" t="s">
        <v>44759</v>
      </c>
      <c r="O2961" t="s">
        <v>44760</v>
      </c>
      <c r="P2961">
        <v>0</v>
      </c>
      <c r="Q2961">
        <v>1</v>
      </c>
      <c r="R2961" t="s">
        <v>44762</v>
      </c>
      <c r="S2961" t="s">
        <v>44863</v>
      </c>
      <c r="T2961" t="s">
        <v>46417</v>
      </c>
      <c r="U2961" t="s">
        <v>49467</v>
      </c>
      <c r="W2961" t="s">
        <v>40625</v>
      </c>
      <c r="X2961" t="s">
        <v>44763</v>
      </c>
    </row>
    <row r="2962" spans="1:24">
      <c r="A2962">
        <f>HYPERLINK("https://www.philgeps.gov.ph/GEPSNONPILOT/Tender/SplashBidNoticeAbstractUI.aspx?menuIndex=3&amp;refID=7149326&amp;Result=3","7149326")</f>
        <v>0</v>
      </c>
      <c r="B2962" t="s">
        <v>1236</v>
      </c>
      <c r="C2962" t="s">
        <v>6605</v>
      </c>
      <c r="D2962" t="s">
        <v>17998</v>
      </c>
      <c r="E2962" t="s">
        <v>20736</v>
      </c>
      <c r="F2962" t="s">
        <v>30900</v>
      </c>
      <c r="G2962" t="s">
        <v>30907</v>
      </c>
      <c r="H2962" t="s">
        <v>30915</v>
      </c>
      <c r="I2962" t="s">
        <v>30919</v>
      </c>
      <c r="J2962" t="s">
        <v>33185</v>
      </c>
      <c r="K2962" t="s">
        <v>40354</v>
      </c>
      <c r="L2962" t="s">
        <v>1236</v>
      </c>
      <c r="M2962" t="s">
        <v>41848</v>
      </c>
      <c r="N2962" t="s">
        <v>44759</v>
      </c>
      <c r="O2962" t="s">
        <v>44760</v>
      </c>
      <c r="P2962">
        <v>0</v>
      </c>
      <c r="Q2962">
        <v>0</v>
      </c>
      <c r="R2962" t="s">
        <v>44762</v>
      </c>
      <c r="S2962" t="s">
        <v>44863</v>
      </c>
      <c r="T2962" t="s">
        <v>46606</v>
      </c>
      <c r="U2962" t="s">
        <v>49468</v>
      </c>
      <c r="V2962" t="s">
        <v>59443</v>
      </c>
      <c r="W2962" t="s">
        <v>41848</v>
      </c>
      <c r="X2962" t="s">
        <v>44763</v>
      </c>
    </row>
    <row r="2963" spans="1:24">
      <c r="A2963">
        <f>HYPERLINK("https://www.philgeps.gov.ph/GEPSNONPILOT/Tender/SplashBidNoticeAbstractUI.aspx?menuIndex=3&amp;refID=7149324&amp;Result=3","7149324")</f>
        <v>0</v>
      </c>
      <c r="B2963" t="s">
        <v>1160</v>
      </c>
      <c r="C2963" t="s">
        <v>6606</v>
      </c>
      <c r="D2963" t="s">
        <v>17996</v>
      </c>
      <c r="E2963" t="s">
        <v>20737</v>
      </c>
      <c r="F2963" t="s">
        <v>30900</v>
      </c>
      <c r="G2963" t="s">
        <v>30907</v>
      </c>
      <c r="H2963" t="s">
        <v>30915</v>
      </c>
      <c r="I2963" t="s">
        <v>30919</v>
      </c>
      <c r="J2963" t="s">
        <v>31097</v>
      </c>
      <c r="K2963" t="s">
        <v>40283</v>
      </c>
      <c r="M2963" t="s">
        <v>41768</v>
      </c>
      <c r="N2963" t="s">
        <v>44759</v>
      </c>
      <c r="O2963" t="s">
        <v>44760</v>
      </c>
      <c r="P2963">
        <v>0</v>
      </c>
      <c r="Q2963">
        <v>0</v>
      </c>
      <c r="R2963" t="s">
        <v>44762</v>
      </c>
      <c r="S2963" t="s">
        <v>44863</v>
      </c>
      <c r="T2963" t="s">
        <v>46409</v>
      </c>
      <c r="U2963" t="s">
        <v>49469</v>
      </c>
      <c r="W2963" t="s">
        <v>41768</v>
      </c>
      <c r="X2963" t="s">
        <v>44763</v>
      </c>
    </row>
    <row r="2964" spans="1:24">
      <c r="A2964">
        <f>HYPERLINK("https://www.philgeps.gov.ph/GEPSNONPILOT/Tender/SplashBidNoticeAbstractUI.aspx?menuIndex=3&amp;refID=7149336&amp;Result=3","7149336")</f>
        <v>0</v>
      </c>
      <c r="B2964" t="s">
        <v>1256</v>
      </c>
      <c r="C2964" t="s">
        <v>6607</v>
      </c>
      <c r="D2964" t="s">
        <v>17959</v>
      </c>
      <c r="E2964" t="s">
        <v>19690</v>
      </c>
      <c r="F2964" t="s">
        <v>30900</v>
      </c>
      <c r="G2964" t="s">
        <v>30908</v>
      </c>
      <c r="H2964" t="s">
        <v>30916</v>
      </c>
      <c r="I2964" t="s">
        <v>4545</v>
      </c>
      <c r="J2964" t="s">
        <v>31130</v>
      </c>
      <c r="K2964" t="s">
        <v>40283</v>
      </c>
      <c r="M2964" t="s">
        <v>41868</v>
      </c>
      <c r="N2964" t="s">
        <v>44759</v>
      </c>
      <c r="O2964" t="s">
        <v>44760</v>
      </c>
      <c r="P2964">
        <v>0</v>
      </c>
      <c r="Q2964">
        <v>4</v>
      </c>
      <c r="R2964" t="s">
        <v>44762</v>
      </c>
      <c r="S2964" t="s">
        <v>44863</v>
      </c>
      <c r="T2964" t="s">
        <v>46395</v>
      </c>
      <c r="U2964" t="s">
        <v>49470</v>
      </c>
      <c r="V2964" t="s">
        <v>59448</v>
      </c>
      <c r="W2964" t="s">
        <v>41868</v>
      </c>
      <c r="X2964" t="s">
        <v>44763</v>
      </c>
    </row>
    <row r="2965" spans="1:24">
      <c r="A2965">
        <f>HYPERLINK("https://www.philgeps.gov.ph/GEPSNONPILOT/Tender/SplashBidNoticeAbstractUI.aspx?menuIndex=3&amp;refID=7149323&amp;Result=3","7149323")</f>
        <v>0</v>
      </c>
      <c r="B2965" t="s">
        <v>1257</v>
      </c>
      <c r="C2965" t="s">
        <v>6608</v>
      </c>
      <c r="D2965" t="s">
        <v>17959</v>
      </c>
      <c r="E2965" t="s">
        <v>20738</v>
      </c>
      <c r="F2965" t="s">
        <v>30900</v>
      </c>
      <c r="G2965" t="s">
        <v>30909</v>
      </c>
      <c r="H2965" t="s">
        <v>30916</v>
      </c>
      <c r="I2965" t="s">
        <v>30924</v>
      </c>
      <c r="J2965" t="s">
        <v>31907</v>
      </c>
      <c r="K2965" t="s">
        <v>40283</v>
      </c>
      <c r="M2965" t="s">
        <v>41869</v>
      </c>
      <c r="N2965" t="s">
        <v>44759</v>
      </c>
      <c r="O2965" t="s">
        <v>44760</v>
      </c>
      <c r="P2965">
        <v>0</v>
      </c>
      <c r="Q2965">
        <v>14</v>
      </c>
      <c r="R2965" t="s">
        <v>44762</v>
      </c>
      <c r="S2965" t="s">
        <v>44863</v>
      </c>
      <c r="T2965" t="s">
        <v>46426</v>
      </c>
      <c r="U2965" t="s">
        <v>49471</v>
      </c>
      <c r="W2965" t="s">
        <v>41869</v>
      </c>
      <c r="X2965" t="s">
        <v>44763</v>
      </c>
    </row>
    <row r="2966" spans="1:24">
      <c r="A2966">
        <f>HYPERLINK("https://www.philgeps.gov.ph/GEPSNONPILOT/Tender/SplashBidNoticeAbstractUI.aspx?menuIndex=3&amp;refID=7149322&amp;Result=3","7149322")</f>
        <v>0</v>
      </c>
      <c r="B2966" t="s">
        <v>497</v>
      </c>
      <c r="C2966" t="s">
        <v>6609</v>
      </c>
      <c r="D2966" t="s">
        <v>17951</v>
      </c>
      <c r="E2966" t="s">
        <v>18912</v>
      </c>
      <c r="F2966" t="s">
        <v>30900</v>
      </c>
      <c r="G2966" t="s">
        <v>30908</v>
      </c>
      <c r="H2966" t="s">
        <v>30916</v>
      </c>
      <c r="I2966" t="s">
        <v>6746</v>
      </c>
      <c r="J2966" t="s">
        <v>33186</v>
      </c>
      <c r="K2966" t="s">
        <v>40285</v>
      </c>
      <c r="M2966" t="s">
        <v>41056</v>
      </c>
      <c r="N2966" t="s">
        <v>44759</v>
      </c>
      <c r="O2966" t="s">
        <v>44760</v>
      </c>
      <c r="P2966">
        <v>0</v>
      </c>
      <c r="Q2966">
        <v>0</v>
      </c>
      <c r="R2966" t="s">
        <v>44762</v>
      </c>
      <c r="S2966" t="s">
        <v>44863</v>
      </c>
      <c r="T2966" t="s">
        <v>46414</v>
      </c>
      <c r="U2966" t="s">
        <v>49472</v>
      </c>
      <c r="W2966" t="s">
        <v>41056</v>
      </c>
      <c r="X2966" t="s">
        <v>44763</v>
      </c>
    </row>
    <row r="2967" spans="1:24">
      <c r="A2967">
        <f>HYPERLINK("https://www.philgeps.gov.ph/GEPSNONPILOT/Tender/SplashBidNoticeAbstractUI.aspx?menuIndex=3&amp;refID=7149333&amp;Result=3","7149333")</f>
        <v>0</v>
      </c>
      <c r="B2967" t="s">
        <v>1160</v>
      </c>
      <c r="C2967" t="s">
        <v>6610</v>
      </c>
      <c r="D2967" t="s">
        <v>17996</v>
      </c>
      <c r="E2967" t="s">
        <v>20739</v>
      </c>
      <c r="F2967" t="s">
        <v>30900</v>
      </c>
      <c r="G2967" t="s">
        <v>30907</v>
      </c>
      <c r="H2967" t="s">
        <v>30915</v>
      </c>
      <c r="I2967" t="s">
        <v>30919</v>
      </c>
      <c r="J2967" t="s">
        <v>31204</v>
      </c>
      <c r="K2967" t="s">
        <v>40283</v>
      </c>
      <c r="M2967" t="s">
        <v>41768</v>
      </c>
      <c r="N2967" t="s">
        <v>44759</v>
      </c>
      <c r="O2967" t="s">
        <v>44760</v>
      </c>
      <c r="P2967">
        <v>0</v>
      </c>
      <c r="Q2967">
        <v>0</v>
      </c>
      <c r="R2967" t="s">
        <v>44762</v>
      </c>
      <c r="S2967" t="s">
        <v>44863</v>
      </c>
      <c r="T2967" t="s">
        <v>46409</v>
      </c>
      <c r="U2967" t="s">
        <v>49473</v>
      </c>
      <c r="W2967" t="s">
        <v>41768</v>
      </c>
      <c r="X2967" t="s">
        <v>44763</v>
      </c>
    </row>
    <row r="2968" spans="1:24">
      <c r="A2968">
        <f>HYPERLINK("https://www.philgeps.gov.ph/GEPSNONPILOT/Tender/SplashBidNoticeAbstractUI.aspx?menuIndex=3&amp;refID=7149319&amp;Result=3","7149319")</f>
        <v>0</v>
      </c>
      <c r="B2968" t="s">
        <v>1258</v>
      </c>
      <c r="C2968" t="s">
        <v>6611</v>
      </c>
      <c r="D2968" t="s">
        <v>18001</v>
      </c>
      <c r="E2968" t="s">
        <v>20740</v>
      </c>
      <c r="F2968" t="s">
        <v>30900</v>
      </c>
      <c r="G2968" t="s">
        <v>30909</v>
      </c>
      <c r="H2968" t="s">
        <v>30916</v>
      </c>
      <c r="I2968" t="s">
        <v>6746</v>
      </c>
      <c r="J2968" t="s">
        <v>33187</v>
      </c>
      <c r="K2968" t="s">
        <v>40281</v>
      </c>
      <c r="M2968" t="s">
        <v>41870</v>
      </c>
      <c r="N2968" t="s">
        <v>44759</v>
      </c>
      <c r="O2968" t="s">
        <v>44760</v>
      </c>
      <c r="P2968">
        <v>0</v>
      </c>
      <c r="Q2968">
        <v>0</v>
      </c>
      <c r="R2968" t="s">
        <v>44762</v>
      </c>
      <c r="S2968" t="s">
        <v>44863</v>
      </c>
      <c r="T2968" t="s">
        <v>46533</v>
      </c>
      <c r="U2968" t="s">
        <v>49474</v>
      </c>
      <c r="W2968" t="s">
        <v>41870</v>
      </c>
      <c r="X2968" t="s">
        <v>44763</v>
      </c>
    </row>
    <row r="2969" spans="1:24">
      <c r="A2969">
        <f>HYPERLINK("https://www.philgeps.gov.ph/GEPSNONPILOT/Tender/SplashBidNoticeAbstractUI.aspx?menuIndex=3&amp;refID=7149317&amp;Result=3","7149317")</f>
        <v>0</v>
      </c>
      <c r="B2969" t="s">
        <v>1259</v>
      </c>
      <c r="C2969" t="s">
        <v>6612</v>
      </c>
      <c r="D2969" t="s">
        <v>18028</v>
      </c>
      <c r="E2969" t="s">
        <v>20741</v>
      </c>
      <c r="F2969" t="s">
        <v>30900</v>
      </c>
      <c r="G2969" t="s">
        <v>30908</v>
      </c>
      <c r="H2969" t="s">
        <v>30916</v>
      </c>
      <c r="I2969" t="s">
        <v>6746</v>
      </c>
      <c r="J2969" t="s">
        <v>31050</v>
      </c>
      <c r="K2969" t="s">
        <v>40283</v>
      </c>
      <c r="M2969" t="s">
        <v>41871</v>
      </c>
      <c r="N2969" t="s">
        <v>44759</v>
      </c>
      <c r="O2969" t="s">
        <v>44760</v>
      </c>
      <c r="P2969">
        <v>0</v>
      </c>
      <c r="Q2969">
        <v>0</v>
      </c>
      <c r="R2969" t="s">
        <v>44762</v>
      </c>
      <c r="S2969" t="s">
        <v>44863</v>
      </c>
      <c r="T2969" t="s">
        <v>46414</v>
      </c>
      <c r="U2969" t="s">
        <v>49475</v>
      </c>
      <c r="W2969" t="s">
        <v>41871</v>
      </c>
      <c r="X2969" t="s">
        <v>44763</v>
      </c>
    </row>
    <row r="2970" spans="1:24">
      <c r="A2970">
        <f>HYPERLINK("https://www.philgeps.gov.ph/GEPSNONPILOT/Tender/SplashBidNoticeAbstractUI.aspx?menuIndex=3&amp;refID=7149344&amp;Result=3","7149344")</f>
        <v>0</v>
      </c>
      <c r="B2970" t="s">
        <v>1260</v>
      </c>
      <c r="C2970" t="s">
        <v>6613</v>
      </c>
      <c r="D2970" t="s">
        <v>17968</v>
      </c>
      <c r="E2970" t="s">
        <v>19424</v>
      </c>
      <c r="F2970" t="s">
        <v>30900</v>
      </c>
      <c r="G2970" t="s">
        <v>30907</v>
      </c>
      <c r="H2970" t="s">
        <v>30915</v>
      </c>
      <c r="I2970" t="s">
        <v>30932</v>
      </c>
      <c r="J2970" t="s">
        <v>31096</v>
      </c>
      <c r="K2970" t="s">
        <v>40286</v>
      </c>
      <c r="M2970" t="s">
        <v>41872</v>
      </c>
      <c r="N2970" t="s">
        <v>44759</v>
      </c>
      <c r="O2970" t="s">
        <v>44760</v>
      </c>
      <c r="P2970">
        <v>0</v>
      </c>
      <c r="Q2970">
        <v>0</v>
      </c>
      <c r="R2970" t="s">
        <v>44762</v>
      </c>
      <c r="S2970" t="s">
        <v>44863</v>
      </c>
      <c r="T2970" t="s">
        <v>46380</v>
      </c>
      <c r="U2970" t="s">
        <v>49476</v>
      </c>
      <c r="V2970" t="s">
        <v>59449</v>
      </c>
      <c r="W2970" t="s">
        <v>41872</v>
      </c>
      <c r="X2970" t="s">
        <v>44763</v>
      </c>
    </row>
    <row r="2971" spans="1:24">
      <c r="A2971">
        <f>HYPERLINK("https://www.philgeps.gov.ph/GEPSNONPILOT/Tender/SplashBidNoticeAbstractUI.aspx?menuIndex=3&amp;refID=7149297&amp;Result=3","7149297")</f>
        <v>0</v>
      </c>
      <c r="B2971" t="s">
        <v>78</v>
      </c>
      <c r="C2971" t="s">
        <v>6614</v>
      </c>
      <c r="D2971" t="s">
        <v>17987</v>
      </c>
      <c r="E2971" t="s">
        <v>20742</v>
      </c>
      <c r="F2971" t="s">
        <v>30900</v>
      </c>
      <c r="G2971" t="s">
        <v>30907</v>
      </c>
      <c r="H2971" t="s">
        <v>30916</v>
      </c>
      <c r="I2971" t="s">
        <v>8123</v>
      </c>
      <c r="J2971" t="s">
        <v>33188</v>
      </c>
      <c r="K2971" t="s">
        <v>40289</v>
      </c>
      <c r="M2971" t="s">
        <v>40625</v>
      </c>
      <c r="N2971" t="s">
        <v>44759</v>
      </c>
      <c r="O2971" t="s">
        <v>44760</v>
      </c>
      <c r="P2971">
        <v>0</v>
      </c>
      <c r="Q2971">
        <v>0</v>
      </c>
      <c r="R2971" t="s">
        <v>44762</v>
      </c>
      <c r="S2971" t="s">
        <v>44863</v>
      </c>
      <c r="T2971" t="s">
        <v>46387</v>
      </c>
      <c r="U2971" t="s">
        <v>49477</v>
      </c>
      <c r="W2971" t="s">
        <v>40625</v>
      </c>
      <c r="X2971" t="s">
        <v>44763</v>
      </c>
    </row>
    <row r="2972" spans="1:24">
      <c r="A2972">
        <f>HYPERLINK("https://www.philgeps.gov.ph/GEPSNONPILOT/Tender/SplashBidNoticeAbstractUI.aspx?menuIndex=3&amp;refID=7149367&amp;Result=3","7149367")</f>
        <v>0</v>
      </c>
      <c r="B2972" t="s">
        <v>335</v>
      </c>
      <c r="C2972" t="s">
        <v>6615</v>
      </c>
      <c r="D2972" t="s">
        <v>17993</v>
      </c>
      <c r="E2972" t="s">
        <v>20743</v>
      </c>
      <c r="F2972" t="s">
        <v>30900</v>
      </c>
      <c r="G2972" t="s">
        <v>30908</v>
      </c>
      <c r="H2972" t="s">
        <v>30916</v>
      </c>
      <c r="I2972" t="s">
        <v>30919</v>
      </c>
      <c r="J2972" t="s">
        <v>33189</v>
      </c>
      <c r="K2972" t="s">
        <v>40286</v>
      </c>
      <c r="M2972" t="s">
        <v>40886</v>
      </c>
      <c r="N2972" t="s">
        <v>44759</v>
      </c>
      <c r="O2972" t="s">
        <v>44760</v>
      </c>
      <c r="P2972">
        <v>0</v>
      </c>
      <c r="Q2972">
        <v>0</v>
      </c>
      <c r="R2972" t="s">
        <v>44762</v>
      </c>
      <c r="S2972" t="s">
        <v>44863</v>
      </c>
      <c r="T2972" t="s">
        <v>46398</v>
      </c>
      <c r="U2972" t="s">
        <v>49465</v>
      </c>
      <c r="W2972" t="s">
        <v>40886</v>
      </c>
      <c r="X2972" t="s">
        <v>44763</v>
      </c>
    </row>
    <row r="2973" spans="1:24">
      <c r="A2973">
        <f>HYPERLINK("https://www.philgeps.gov.ph/GEPSNONPILOT/Tender/SplashBidNoticeAbstractUI.aspx?menuIndex=3&amp;refID=7149329&amp;Result=3","7149329")</f>
        <v>0</v>
      </c>
      <c r="B2973" t="s">
        <v>573</v>
      </c>
      <c r="C2973" t="s">
        <v>6616</v>
      </c>
      <c r="D2973" t="s">
        <v>18023</v>
      </c>
      <c r="E2973" t="s">
        <v>20744</v>
      </c>
      <c r="F2973" t="s">
        <v>30900</v>
      </c>
      <c r="G2973" t="s">
        <v>30908</v>
      </c>
      <c r="H2973" t="s">
        <v>30916</v>
      </c>
      <c r="I2973" t="s">
        <v>30934</v>
      </c>
      <c r="J2973" t="s">
        <v>31092</v>
      </c>
      <c r="K2973" t="s">
        <v>40286</v>
      </c>
      <c r="M2973" t="s">
        <v>41134</v>
      </c>
      <c r="N2973" t="s">
        <v>44759</v>
      </c>
      <c r="O2973" t="s">
        <v>44760</v>
      </c>
      <c r="P2973">
        <v>0</v>
      </c>
      <c r="Q2973">
        <v>0</v>
      </c>
      <c r="R2973" t="s">
        <v>44762</v>
      </c>
      <c r="S2973" t="s">
        <v>44863</v>
      </c>
      <c r="T2973" t="s">
        <v>46536</v>
      </c>
      <c r="U2973" t="s">
        <v>49478</v>
      </c>
      <c r="V2973" t="s">
        <v>59450</v>
      </c>
      <c r="W2973" t="s">
        <v>41134</v>
      </c>
      <c r="X2973" t="s">
        <v>44763</v>
      </c>
    </row>
    <row r="2974" spans="1:24">
      <c r="A2974">
        <f>HYPERLINK("https://www.philgeps.gov.ph/GEPSNONPILOT/Tender/SplashBidNoticeAbstractUI.aspx?menuIndex=3&amp;refID=7149366&amp;Result=3","7149366")</f>
        <v>0</v>
      </c>
      <c r="B2974" t="s">
        <v>1261</v>
      </c>
      <c r="C2974" t="s">
        <v>6617</v>
      </c>
      <c r="D2974" t="s">
        <v>17980</v>
      </c>
      <c r="E2974" t="s">
        <v>20745</v>
      </c>
      <c r="F2974" t="s">
        <v>30900</v>
      </c>
      <c r="G2974" t="s">
        <v>30910</v>
      </c>
      <c r="H2974" t="s">
        <v>30916</v>
      </c>
      <c r="I2974" t="s">
        <v>4545</v>
      </c>
      <c r="J2974" t="s">
        <v>31713</v>
      </c>
      <c r="K2974" t="s">
        <v>40286</v>
      </c>
      <c r="M2974" t="s">
        <v>41873</v>
      </c>
      <c r="N2974" t="s">
        <v>44759</v>
      </c>
      <c r="O2974" t="s">
        <v>44760</v>
      </c>
      <c r="P2974">
        <v>0</v>
      </c>
      <c r="Q2974">
        <v>0</v>
      </c>
      <c r="R2974" t="s">
        <v>44762</v>
      </c>
      <c r="S2974" t="s">
        <v>44863</v>
      </c>
      <c r="T2974" t="s">
        <v>46383</v>
      </c>
      <c r="U2974" t="s">
        <v>49479</v>
      </c>
      <c r="W2974" t="s">
        <v>41873</v>
      </c>
      <c r="X2974" t="s">
        <v>44763</v>
      </c>
    </row>
    <row r="2975" spans="1:24">
      <c r="A2975">
        <f>HYPERLINK("https://www.philgeps.gov.ph/GEPSNONPILOT/Tender/SplashBidNoticeAbstractUI.aspx?menuIndex=3&amp;refID=7149342&amp;Result=3","7149342")</f>
        <v>0</v>
      </c>
      <c r="B2975" t="s">
        <v>1262</v>
      </c>
      <c r="C2975" t="s">
        <v>6618</v>
      </c>
      <c r="D2975" t="s">
        <v>17975</v>
      </c>
      <c r="E2975" t="s">
        <v>20746</v>
      </c>
      <c r="F2975" t="s">
        <v>30900</v>
      </c>
      <c r="G2975" t="s">
        <v>30908</v>
      </c>
      <c r="H2975" t="s">
        <v>30916</v>
      </c>
      <c r="I2975" t="s">
        <v>6746</v>
      </c>
      <c r="J2975" t="s">
        <v>33190</v>
      </c>
      <c r="K2975" t="s">
        <v>40286</v>
      </c>
      <c r="M2975" t="s">
        <v>41874</v>
      </c>
      <c r="N2975" t="s">
        <v>44759</v>
      </c>
      <c r="O2975" t="s">
        <v>44760</v>
      </c>
      <c r="P2975">
        <v>0</v>
      </c>
      <c r="Q2975">
        <v>0</v>
      </c>
      <c r="R2975" t="s">
        <v>44762</v>
      </c>
      <c r="S2975" t="s">
        <v>44863</v>
      </c>
      <c r="T2975" t="s">
        <v>46398</v>
      </c>
      <c r="U2975" t="s">
        <v>47069</v>
      </c>
      <c r="W2975" t="s">
        <v>41874</v>
      </c>
      <c r="X2975" t="s">
        <v>44763</v>
      </c>
    </row>
    <row r="2976" spans="1:24">
      <c r="A2976">
        <f>HYPERLINK("https://www.philgeps.gov.ph/GEPSNONPILOT/Tender/SplashBidNoticeAbstractUI.aspx?menuIndex=3&amp;refID=7149361&amp;Result=3","7149361")</f>
        <v>0</v>
      </c>
      <c r="B2976" t="s">
        <v>1263</v>
      </c>
      <c r="C2976" t="s">
        <v>6619</v>
      </c>
      <c r="D2976" t="s">
        <v>17971</v>
      </c>
      <c r="E2976" t="s">
        <v>20747</v>
      </c>
      <c r="F2976" t="s">
        <v>30900</v>
      </c>
      <c r="G2976" t="s">
        <v>30907</v>
      </c>
      <c r="H2976" t="s">
        <v>30915</v>
      </c>
      <c r="I2976" t="s">
        <v>30932</v>
      </c>
      <c r="J2976" t="s">
        <v>31049</v>
      </c>
      <c r="K2976" t="s">
        <v>40286</v>
      </c>
      <c r="M2976" t="s">
        <v>41875</v>
      </c>
      <c r="N2976" t="s">
        <v>44759</v>
      </c>
      <c r="O2976" t="s">
        <v>44760</v>
      </c>
      <c r="P2976">
        <v>0</v>
      </c>
      <c r="Q2976">
        <v>1</v>
      </c>
      <c r="R2976" t="s">
        <v>44762</v>
      </c>
      <c r="S2976" t="s">
        <v>44863</v>
      </c>
      <c r="T2976" t="s">
        <v>46418</v>
      </c>
      <c r="U2976" t="s">
        <v>49480</v>
      </c>
      <c r="V2976" t="s">
        <v>59451</v>
      </c>
      <c r="W2976" t="s">
        <v>41875</v>
      </c>
      <c r="X2976" t="s">
        <v>44763</v>
      </c>
    </row>
    <row r="2977" spans="1:24">
      <c r="A2977">
        <f>HYPERLINK("https://www.philgeps.gov.ph/GEPSNONPILOT/Tender/SplashBidNoticeAbstractUI.aspx?menuIndex=3&amp;refID=7149320&amp;Result=3","7149320")</f>
        <v>0</v>
      </c>
      <c r="B2977" t="s">
        <v>78</v>
      </c>
      <c r="C2977" t="s">
        <v>6620</v>
      </c>
      <c r="D2977" t="s">
        <v>17987</v>
      </c>
      <c r="E2977" t="s">
        <v>20748</v>
      </c>
      <c r="F2977" t="s">
        <v>30900</v>
      </c>
      <c r="G2977" t="s">
        <v>30907</v>
      </c>
      <c r="H2977" t="s">
        <v>30916</v>
      </c>
      <c r="I2977" t="s">
        <v>8123</v>
      </c>
      <c r="J2977" t="s">
        <v>33191</v>
      </c>
      <c r="K2977" t="s">
        <v>40289</v>
      </c>
      <c r="M2977" t="s">
        <v>40625</v>
      </c>
      <c r="N2977" t="s">
        <v>44759</v>
      </c>
      <c r="O2977" t="s">
        <v>44760</v>
      </c>
      <c r="P2977">
        <v>0</v>
      </c>
      <c r="Q2977">
        <v>0</v>
      </c>
      <c r="R2977" t="s">
        <v>44762</v>
      </c>
      <c r="S2977" t="s">
        <v>44863</v>
      </c>
      <c r="T2977" t="s">
        <v>46387</v>
      </c>
      <c r="U2977" t="s">
        <v>49481</v>
      </c>
      <c r="W2977" t="s">
        <v>40625</v>
      </c>
      <c r="X2977" t="s">
        <v>44763</v>
      </c>
    </row>
    <row r="2978" spans="1:24">
      <c r="A2978">
        <f>HYPERLINK("https://www.philgeps.gov.ph/GEPSNONPILOT/Tender/SplashBidNoticeAbstractUI.aspx?menuIndex=3&amp;refID=7149330&amp;Result=3","7149330")</f>
        <v>0</v>
      </c>
      <c r="B2978" t="s">
        <v>1264</v>
      </c>
      <c r="C2978" t="s">
        <v>4545</v>
      </c>
      <c r="D2978" t="s">
        <v>17966</v>
      </c>
      <c r="E2978" t="s">
        <v>20749</v>
      </c>
      <c r="F2978" t="s">
        <v>30900</v>
      </c>
      <c r="G2978" t="s">
        <v>30909</v>
      </c>
      <c r="H2978" t="s">
        <v>30916</v>
      </c>
      <c r="I2978" t="s">
        <v>4545</v>
      </c>
      <c r="J2978" t="s">
        <v>33192</v>
      </c>
      <c r="K2978" t="s">
        <v>40283</v>
      </c>
      <c r="M2978" t="s">
        <v>41876</v>
      </c>
      <c r="N2978" t="s">
        <v>44759</v>
      </c>
      <c r="O2978" t="s">
        <v>44760</v>
      </c>
      <c r="P2978">
        <v>0</v>
      </c>
      <c r="Q2978">
        <v>1</v>
      </c>
      <c r="R2978" t="s">
        <v>44762</v>
      </c>
      <c r="S2978" t="s">
        <v>44863</v>
      </c>
      <c r="T2978" t="s">
        <v>46398</v>
      </c>
      <c r="U2978" t="s">
        <v>49482</v>
      </c>
      <c r="V2978" t="s">
        <v>59452</v>
      </c>
      <c r="W2978" t="s">
        <v>41876</v>
      </c>
      <c r="X2978" t="s">
        <v>44763</v>
      </c>
    </row>
    <row r="2979" spans="1:24">
      <c r="A2979">
        <f>HYPERLINK("https://www.philgeps.gov.ph/GEPSNONPILOT/Tender/SplashBidNoticeAbstractUI.aspx?menuIndex=3&amp;refID=7149358&amp;Result=3","7149358")</f>
        <v>0</v>
      </c>
      <c r="B2979" t="s">
        <v>497</v>
      </c>
      <c r="C2979" t="s">
        <v>6621</v>
      </c>
      <c r="D2979" t="s">
        <v>17951</v>
      </c>
      <c r="E2979" t="s">
        <v>18912</v>
      </c>
      <c r="F2979" t="s">
        <v>30900</v>
      </c>
      <c r="G2979" t="s">
        <v>30908</v>
      </c>
      <c r="H2979" t="s">
        <v>30916</v>
      </c>
      <c r="I2979" t="s">
        <v>30925</v>
      </c>
      <c r="J2979" t="s">
        <v>33193</v>
      </c>
      <c r="K2979" t="s">
        <v>40285</v>
      </c>
      <c r="M2979" t="s">
        <v>41056</v>
      </c>
      <c r="N2979" t="s">
        <v>44759</v>
      </c>
      <c r="O2979" t="s">
        <v>44760</v>
      </c>
      <c r="P2979">
        <v>0</v>
      </c>
      <c r="Q2979">
        <v>0</v>
      </c>
      <c r="R2979" t="s">
        <v>44762</v>
      </c>
      <c r="S2979" t="s">
        <v>44863</v>
      </c>
      <c r="T2979" t="s">
        <v>46414</v>
      </c>
      <c r="U2979" t="s">
        <v>49483</v>
      </c>
      <c r="W2979" t="s">
        <v>41056</v>
      </c>
      <c r="X2979" t="s">
        <v>44763</v>
      </c>
    </row>
    <row r="2980" spans="1:24">
      <c r="A2980">
        <f>HYPERLINK("https://www.philgeps.gov.ph/GEPSNONPILOT/Tender/SplashBidNoticeAbstractUI.aspx?menuIndex=3&amp;refID=7149355&amp;Result=3","7149355")</f>
        <v>0</v>
      </c>
      <c r="B2980" t="s">
        <v>904</v>
      </c>
      <c r="C2980" t="s">
        <v>6622</v>
      </c>
      <c r="D2980" t="s">
        <v>17993</v>
      </c>
      <c r="E2980" t="s">
        <v>20750</v>
      </c>
      <c r="F2980" t="s">
        <v>30900</v>
      </c>
      <c r="G2980" t="s">
        <v>30908</v>
      </c>
      <c r="H2980" t="s">
        <v>30916</v>
      </c>
      <c r="I2980" t="s">
        <v>30923</v>
      </c>
      <c r="J2980" t="s">
        <v>31135</v>
      </c>
      <c r="K2980" t="s">
        <v>40288</v>
      </c>
      <c r="M2980" t="s">
        <v>41479</v>
      </c>
      <c r="N2980" t="s">
        <v>44759</v>
      </c>
      <c r="O2980" t="s">
        <v>44760</v>
      </c>
      <c r="P2980">
        <v>0</v>
      </c>
      <c r="Q2980">
        <v>4</v>
      </c>
      <c r="R2980" t="s">
        <v>44762</v>
      </c>
      <c r="S2980" t="s">
        <v>44863</v>
      </c>
      <c r="T2980" t="s">
        <v>46410</v>
      </c>
      <c r="U2980" t="s">
        <v>49484</v>
      </c>
      <c r="W2980" t="s">
        <v>41479</v>
      </c>
      <c r="X2980" t="s">
        <v>44763</v>
      </c>
    </row>
    <row r="2981" spans="1:24">
      <c r="A2981">
        <f>HYPERLINK("https://www.philgeps.gov.ph/GEPSNONPILOT/Tender/SplashBidNoticeAbstractUI.aspx?menuIndex=3&amp;refID=7149354&amp;Result=3","7149354")</f>
        <v>0</v>
      </c>
      <c r="B2981" t="s">
        <v>217</v>
      </c>
      <c r="C2981" t="s">
        <v>6623</v>
      </c>
      <c r="D2981" t="s">
        <v>17966</v>
      </c>
      <c r="E2981" t="s">
        <v>20751</v>
      </c>
      <c r="F2981" t="s">
        <v>30900</v>
      </c>
      <c r="G2981" t="s">
        <v>30908</v>
      </c>
      <c r="H2981" t="s">
        <v>30916</v>
      </c>
      <c r="I2981" t="s">
        <v>6396</v>
      </c>
      <c r="J2981" t="s">
        <v>32658</v>
      </c>
      <c r="K2981" t="s">
        <v>40284</v>
      </c>
      <c r="M2981" t="s">
        <v>40764</v>
      </c>
      <c r="N2981" t="s">
        <v>44759</v>
      </c>
      <c r="O2981" t="s">
        <v>44760</v>
      </c>
      <c r="P2981">
        <v>0</v>
      </c>
      <c r="Q2981">
        <v>1</v>
      </c>
      <c r="R2981" t="s">
        <v>44762</v>
      </c>
      <c r="S2981" t="s">
        <v>44863</v>
      </c>
      <c r="T2981" t="s">
        <v>46352</v>
      </c>
      <c r="U2981" t="s">
        <v>49485</v>
      </c>
      <c r="W2981" t="s">
        <v>40764</v>
      </c>
      <c r="X2981" t="s">
        <v>44763</v>
      </c>
    </row>
    <row r="2982" spans="1:24">
      <c r="A2982">
        <f>HYPERLINK("https://www.philgeps.gov.ph/GEPSNONPILOT/Tender/SplashBidNoticeAbstractUI.aspx?menuIndex=3&amp;refID=7149363&amp;Result=3","7149363")</f>
        <v>0</v>
      </c>
      <c r="B2982" t="s">
        <v>497</v>
      </c>
      <c r="C2982" t="s">
        <v>6624</v>
      </c>
      <c r="D2982" t="s">
        <v>17951</v>
      </c>
      <c r="E2982" t="s">
        <v>18912</v>
      </c>
      <c r="F2982" t="s">
        <v>30900</v>
      </c>
      <c r="G2982" t="s">
        <v>30908</v>
      </c>
      <c r="H2982" t="s">
        <v>30916</v>
      </c>
      <c r="I2982" t="s">
        <v>4050</v>
      </c>
      <c r="J2982" t="s">
        <v>33194</v>
      </c>
      <c r="K2982" t="s">
        <v>40285</v>
      </c>
      <c r="M2982" t="s">
        <v>41056</v>
      </c>
      <c r="N2982" t="s">
        <v>44759</v>
      </c>
      <c r="O2982" t="s">
        <v>44760</v>
      </c>
      <c r="P2982">
        <v>0</v>
      </c>
      <c r="Q2982">
        <v>0</v>
      </c>
      <c r="R2982" t="s">
        <v>44762</v>
      </c>
      <c r="S2982" t="s">
        <v>44863</v>
      </c>
      <c r="T2982" t="s">
        <v>46414</v>
      </c>
      <c r="U2982" t="s">
        <v>49486</v>
      </c>
      <c r="W2982" t="s">
        <v>41056</v>
      </c>
      <c r="X2982" t="s">
        <v>44763</v>
      </c>
    </row>
    <row r="2983" spans="1:24">
      <c r="A2983">
        <f>HYPERLINK("https://www.philgeps.gov.ph/GEPSNONPILOT/Tender/SplashBidNoticeAbstractUI.aspx?menuIndex=3&amp;refID=7149362&amp;Result=3","7149362")</f>
        <v>0</v>
      </c>
      <c r="B2983" t="s">
        <v>1265</v>
      </c>
      <c r="C2983" t="s">
        <v>6625</v>
      </c>
      <c r="D2983" t="s">
        <v>17987</v>
      </c>
      <c r="E2983" t="s">
        <v>20752</v>
      </c>
      <c r="F2983" t="s">
        <v>30900</v>
      </c>
      <c r="G2983" t="s">
        <v>30908</v>
      </c>
      <c r="H2983" t="s">
        <v>30916</v>
      </c>
      <c r="I2983" t="s">
        <v>30924</v>
      </c>
      <c r="J2983" t="s">
        <v>31096</v>
      </c>
      <c r="K2983" t="s">
        <v>40286</v>
      </c>
      <c r="M2983" t="s">
        <v>41877</v>
      </c>
      <c r="N2983" t="s">
        <v>44759</v>
      </c>
      <c r="O2983" t="s">
        <v>44760</v>
      </c>
      <c r="P2983">
        <v>0</v>
      </c>
      <c r="Q2983">
        <v>1</v>
      </c>
      <c r="R2983" t="s">
        <v>44762</v>
      </c>
      <c r="S2983" t="s">
        <v>44863</v>
      </c>
      <c r="T2983" t="s">
        <v>46440</v>
      </c>
      <c r="U2983" t="s">
        <v>49487</v>
      </c>
      <c r="W2983" t="s">
        <v>41877</v>
      </c>
      <c r="X2983" t="s">
        <v>44763</v>
      </c>
    </row>
    <row r="2984" spans="1:24">
      <c r="A2984">
        <f>HYPERLINK("https://www.philgeps.gov.ph/GEPSNONPILOT/Tender/SplashBidNoticeAbstractUI.aspx?menuIndex=3&amp;refID=7149352&amp;Result=3","7149352")</f>
        <v>0</v>
      </c>
      <c r="B2984" t="s">
        <v>222</v>
      </c>
      <c r="C2984" t="s">
        <v>4010</v>
      </c>
      <c r="D2984" t="s">
        <v>17957</v>
      </c>
      <c r="E2984" t="s">
        <v>20753</v>
      </c>
      <c r="F2984" t="s">
        <v>30900</v>
      </c>
      <c r="G2984" t="s">
        <v>30908</v>
      </c>
      <c r="H2984" t="s">
        <v>30916</v>
      </c>
      <c r="I2984" t="s">
        <v>4545</v>
      </c>
      <c r="J2984" t="s">
        <v>31495</v>
      </c>
      <c r="K2984" t="s">
        <v>40287</v>
      </c>
      <c r="M2984" t="s">
        <v>41878</v>
      </c>
      <c r="N2984" t="s">
        <v>44759</v>
      </c>
      <c r="O2984" t="s">
        <v>44760</v>
      </c>
      <c r="P2984">
        <v>0</v>
      </c>
      <c r="Q2984">
        <v>1</v>
      </c>
      <c r="R2984" t="s">
        <v>44762</v>
      </c>
      <c r="S2984" t="s">
        <v>44863</v>
      </c>
      <c r="T2984" t="s">
        <v>46404</v>
      </c>
      <c r="U2984" t="s">
        <v>49488</v>
      </c>
      <c r="W2984" t="s">
        <v>41878</v>
      </c>
      <c r="X2984" t="s">
        <v>44763</v>
      </c>
    </row>
    <row r="2985" spans="1:24">
      <c r="A2985">
        <f>HYPERLINK("https://www.philgeps.gov.ph/GEPSNONPILOT/Tender/SplashBidNoticeAbstractUI.aspx?menuIndex=3&amp;refID=7149350&amp;Result=3","7149350")</f>
        <v>0</v>
      </c>
      <c r="B2985" t="s">
        <v>1265</v>
      </c>
      <c r="C2985" t="s">
        <v>6626</v>
      </c>
      <c r="D2985" t="s">
        <v>17987</v>
      </c>
      <c r="E2985" t="s">
        <v>20754</v>
      </c>
      <c r="F2985" t="s">
        <v>30900</v>
      </c>
      <c r="G2985" t="s">
        <v>30908</v>
      </c>
      <c r="H2985" t="s">
        <v>30916</v>
      </c>
      <c r="I2985" t="s">
        <v>6953</v>
      </c>
      <c r="J2985" t="s">
        <v>33195</v>
      </c>
      <c r="K2985" t="s">
        <v>40289</v>
      </c>
      <c r="M2985" t="s">
        <v>41877</v>
      </c>
      <c r="N2985" t="s">
        <v>44759</v>
      </c>
      <c r="O2985" t="s">
        <v>44760</v>
      </c>
      <c r="P2985">
        <v>0</v>
      </c>
      <c r="Q2985">
        <v>0</v>
      </c>
      <c r="R2985" t="s">
        <v>44762</v>
      </c>
      <c r="S2985" t="s">
        <v>44863</v>
      </c>
      <c r="T2985" t="s">
        <v>46440</v>
      </c>
      <c r="U2985" t="s">
        <v>49489</v>
      </c>
      <c r="W2985" t="s">
        <v>41877</v>
      </c>
      <c r="X2985" t="s">
        <v>44763</v>
      </c>
    </row>
    <row r="2986" spans="1:24">
      <c r="A2986">
        <f>HYPERLINK("https://www.philgeps.gov.ph/GEPSNONPILOT/Tender/SplashBidNoticeAbstractUI.aspx?menuIndex=3&amp;refID=7149349&amp;Result=3","7149349")</f>
        <v>0</v>
      </c>
      <c r="B2986" t="s">
        <v>1027</v>
      </c>
      <c r="C2986" t="s">
        <v>6627</v>
      </c>
      <c r="D2986" t="s">
        <v>17973</v>
      </c>
      <c r="E2986" t="s">
        <v>20755</v>
      </c>
      <c r="F2986" t="s">
        <v>30900</v>
      </c>
      <c r="G2986" t="s">
        <v>30908</v>
      </c>
      <c r="H2986" t="s">
        <v>30916</v>
      </c>
      <c r="I2986" t="s">
        <v>30922</v>
      </c>
      <c r="J2986" t="s">
        <v>33196</v>
      </c>
      <c r="K2986" t="s">
        <v>40286</v>
      </c>
      <c r="M2986" t="s">
        <v>41879</v>
      </c>
      <c r="N2986" t="s">
        <v>44759</v>
      </c>
      <c r="O2986" t="s">
        <v>44760</v>
      </c>
      <c r="P2986">
        <v>0</v>
      </c>
      <c r="Q2986">
        <v>4</v>
      </c>
      <c r="R2986" t="s">
        <v>44762</v>
      </c>
      <c r="S2986" t="s">
        <v>44863</v>
      </c>
      <c r="T2986" t="s">
        <v>46393</v>
      </c>
      <c r="U2986" t="s">
        <v>49490</v>
      </c>
      <c r="W2986" t="s">
        <v>41879</v>
      </c>
      <c r="X2986" t="s">
        <v>44763</v>
      </c>
    </row>
    <row r="2987" spans="1:24">
      <c r="A2987">
        <f>HYPERLINK("https://www.philgeps.gov.ph/GEPSNONPILOT/Tender/SplashBidNoticeAbstractUI.aspx?menuIndex=3&amp;refID=7149359&amp;Result=3","7149359")</f>
        <v>0</v>
      </c>
      <c r="B2987" t="s">
        <v>1197</v>
      </c>
      <c r="C2987" t="s">
        <v>6628</v>
      </c>
      <c r="D2987" t="s">
        <v>18002</v>
      </c>
      <c r="E2987" t="s">
        <v>20756</v>
      </c>
      <c r="F2987" t="s">
        <v>30900</v>
      </c>
      <c r="G2987" t="s">
        <v>30907</v>
      </c>
      <c r="H2987" t="s">
        <v>30915</v>
      </c>
      <c r="I2987" t="s">
        <v>30919</v>
      </c>
      <c r="J2987" t="s">
        <v>32153</v>
      </c>
      <c r="K2987" t="s">
        <v>40291</v>
      </c>
      <c r="M2987" t="s">
        <v>41880</v>
      </c>
      <c r="N2987" t="s">
        <v>44759</v>
      </c>
      <c r="O2987" t="s">
        <v>44760</v>
      </c>
      <c r="P2987">
        <v>0</v>
      </c>
      <c r="Q2987">
        <v>0</v>
      </c>
      <c r="R2987" t="s">
        <v>44762</v>
      </c>
      <c r="S2987" t="s">
        <v>44863</v>
      </c>
      <c r="T2987" t="s">
        <v>46498</v>
      </c>
      <c r="U2987" t="s">
        <v>49491</v>
      </c>
      <c r="W2987" t="s">
        <v>41880</v>
      </c>
      <c r="X2987" t="s">
        <v>44763</v>
      </c>
    </row>
    <row r="2988" spans="1:24">
      <c r="A2988">
        <f>HYPERLINK("https://www.philgeps.gov.ph/GEPSNONPILOT/Tender/SplashBidNoticeAbstractUI.aspx?menuIndex=3&amp;refID=7149384&amp;Result=3","7149384")</f>
        <v>0</v>
      </c>
      <c r="B2988" t="s">
        <v>1250</v>
      </c>
      <c r="C2988" t="s">
        <v>6629</v>
      </c>
      <c r="D2988" t="s">
        <v>17953</v>
      </c>
      <c r="E2988" t="s">
        <v>20757</v>
      </c>
      <c r="F2988" t="s">
        <v>30900</v>
      </c>
      <c r="G2988" t="s">
        <v>30907</v>
      </c>
      <c r="H2988" t="s">
        <v>30916</v>
      </c>
      <c r="I2988" t="s">
        <v>4545</v>
      </c>
      <c r="J2988" t="s">
        <v>33197</v>
      </c>
      <c r="K2988" t="s">
        <v>40286</v>
      </c>
      <c r="M2988" t="s">
        <v>41862</v>
      </c>
      <c r="N2988" t="s">
        <v>44759</v>
      </c>
      <c r="O2988" t="s">
        <v>44760</v>
      </c>
      <c r="P2988">
        <v>0</v>
      </c>
      <c r="Q2988">
        <v>0</v>
      </c>
      <c r="R2988" t="s">
        <v>44762</v>
      </c>
      <c r="S2988" t="s">
        <v>44863</v>
      </c>
      <c r="T2988" t="s">
        <v>46369</v>
      </c>
      <c r="U2988" t="s">
        <v>49492</v>
      </c>
      <c r="W2988" t="s">
        <v>41862</v>
      </c>
      <c r="X2988" t="s">
        <v>44763</v>
      </c>
    </row>
    <row r="2989" spans="1:24">
      <c r="A2989">
        <f>HYPERLINK("https://www.philgeps.gov.ph/GEPSNONPILOT/Tender/SplashBidNoticeAbstractUI.aspx?menuIndex=3&amp;refID=7149390&amp;Result=3","7149390")</f>
        <v>0</v>
      </c>
      <c r="B2989" t="s">
        <v>1266</v>
      </c>
      <c r="C2989" t="s">
        <v>6630</v>
      </c>
      <c r="D2989" t="s">
        <v>17963</v>
      </c>
      <c r="E2989" t="s">
        <v>18306</v>
      </c>
      <c r="F2989" t="s">
        <v>30900</v>
      </c>
      <c r="G2989" t="s">
        <v>30907</v>
      </c>
      <c r="H2989" t="s">
        <v>30915</v>
      </c>
      <c r="I2989" t="s">
        <v>30919</v>
      </c>
      <c r="J2989" t="s">
        <v>33198</v>
      </c>
      <c r="K2989" t="s">
        <v>40291</v>
      </c>
      <c r="M2989" t="s">
        <v>41881</v>
      </c>
      <c r="N2989" t="s">
        <v>44759</v>
      </c>
      <c r="O2989" t="s">
        <v>44760</v>
      </c>
      <c r="P2989">
        <v>0</v>
      </c>
      <c r="Q2989">
        <v>0</v>
      </c>
      <c r="R2989" t="s">
        <v>44762</v>
      </c>
      <c r="S2989" t="s">
        <v>44863</v>
      </c>
      <c r="T2989" t="s">
        <v>46400</v>
      </c>
      <c r="U2989" t="s">
        <v>49493</v>
      </c>
      <c r="W2989" t="s">
        <v>41881</v>
      </c>
      <c r="X2989" t="s">
        <v>44763</v>
      </c>
    </row>
    <row r="2990" spans="1:24">
      <c r="A2990">
        <f>HYPERLINK("https://www.philgeps.gov.ph/GEPSNONPILOT/Tender/SplashBidNoticeAbstractUI.aspx?menuIndex=3&amp;refID=7149388&amp;Result=3","7149388")</f>
        <v>0</v>
      </c>
      <c r="B2990" t="s">
        <v>1267</v>
      </c>
      <c r="C2990" t="s">
        <v>6631</v>
      </c>
      <c r="D2990" t="s">
        <v>17985</v>
      </c>
      <c r="E2990" t="s">
        <v>20758</v>
      </c>
      <c r="F2990" t="s">
        <v>30900</v>
      </c>
      <c r="G2990" t="s">
        <v>30907</v>
      </c>
      <c r="H2990" t="s">
        <v>30915</v>
      </c>
      <c r="I2990" t="s">
        <v>8123</v>
      </c>
      <c r="J2990" t="s">
        <v>33199</v>
      </c>
      <c r="K2990" t="s">
        <v>40331</v>
      </c>
      <c r="M2990" t="s">
        <v>41882</v>
      </c>
      <c r="N2990" t="s">
        <v>44759</v>
      </c>
      <c r="O2990" t="s">
        <v>44760</v>
      </c>
      <c r="P2990">
        <v>0</v>
      </c>
      <c r="Q2990">
        <v>0</v>
      </c>
      <c r="R2990" t="s">
        <v>44762</v>
      </c>
      <c r="S2990" t="s">
        <v>44863</v>
      </c>
      <c r="T2990" t="s">
        <v>46515</v>
      </c>
      <c r="U2990" t="s">
        <v>49494</v>
      </c>
      <c r="W2990" t="s">
        <v>41882</v>
      </c>
      <c r="X2990" t="s">
        <v>44763</v>
      </c>
    </row>
    <row r="2991" spans="1:24">
      <c r="A2991">
        <f>HYPERLINK("https://www.philgeps.gov.ph/GEPSNONPILOT/Tender/SplashBidNoticeAbstractUI.aspx?menuIndex=3&amp;refID=7149364&amp;Result=3","7149364")</f>
        <v>0</v>
      </c>
      <c r="B2991" t="s">
        <v>1268</v>
      </c>
      <c r="C2991" t="s">
        <v>6632</v>
      </c>
      <c r="D2991" t="s">
        <v>17990</v>
      </c>
      <c r="E2991" t="s">
        <v>20759</v>
      </c>
      <c r="F2991" t="s">
        <v>30900</v>
      </c>
      <c r="G2991" t="s">
        <v>30908</v>
      </c>
      <c r="H2991" t="s">
        <v>30916</v>
      </c>
      <c r="I2991" t="s">
        <v>31003</v>
      </c>
      <c r="J2991" t="s">
        <v>32532</v>
      </c>
      <c r="K2991" t="s">
        <v>40283</v>
      </c>
      <c r="M2991" t="s">
        <v>41883</v>
      </c>
      <c r="N2991" t="s">
        <v>44759</v>
      </c>
      <c r="O2991" t="s">
        <v>44760</v>
      </c>
      <c r="P2991">
        <v>0</v>
      </c>
      <c r="Q2991">
        <v>2</v>
      </c>
      <c r="R2991" t="s">
        <v>44762</v>
      </c>
      <c r="S2991" t="s">
        <v>44863</v>
      </c>
      <c r="T2991" t="s">
        <v>46363</v>
      </c>
      <c r="U2991" t="s">
        <v>49495</v>
      </c>
      <c r="W2991" t="s">
        <v>41883</v>
      </c>
      <c r="X2991" t="s">
        <v>44763</v>
      </c>
    </row>
    <row r="2992" spans="1:24">
      <c r="A2992">
        <f>HYPERLINK("https://www.philgeps.gov.ph/GEPSNONPILOT/Tender/SplashBidNoticeAbstractUI.aspx?menuIndex=3&amp;refID=7149387&amp;Result=3","7149387")</f>
        <v>0</v>
      </c>
      <c r="B2992" t="s">
        <v>311</v>
      </c>
      <c r="C2992" t="s">
        <v>6633</v>
      </c>
      <c r="E2992" t="s">
        <v>20760</v>
      </c>
      <c r="F2992" t="s">
        <v>30900</v>
      </c>
      <c r="G2992" t="s">
        <v>30908</v>
      </c>
      <c r="H2992" t="s">
        <v>30916</v>
      </c>
      <c r="I2992" t="s">
        <v>30926</v>
      </c>
      <c r="J2992" t="s">
        <v>33200</v>
      </c>
      <c r="K2992" t="s">
        <v>40289</v>
      </c>
      <c r="M2992" t="s">
        <v>40861</v>
      </c>
      <c r="N2992" t="s">
        <v>44759</v>
      </c>
      <c r="O2992" t="s">
        <v>44760</v>
      </c>
      <c r="P2992">
        <v>0</v>
      </c>
      <c r="Q2992">
        <v>1</v>
      </c>
      <c r="R2992" t="s">
        <v>44762</v>
      </c>
      <c r="S2992" t="s">
        <v>44863</v>
      </c>
      <c r="T2992" t="s">
        <v>46383</v>
      </c>
      <c r="U2992" t="s">
        <v>49496</v>
      </c>
      <c r="W2992" t="s">
        <v>40861</v>
      </c>
      <c r="X2992" t="s">
        <v>44763</v>
      </c>
    </row>
    <row r="2993" spans="1:24">
      <c r="A2993">
        <f>HYPERLINK("https://www.philgeps.gov.ph/GEPSNONPILOT/Tender/SplashBidNoticeAbstractUI.aspx?menuIndex=3&amp;refID=7149385&amp;Result=3","7149385")</f>
        <v>0</v>
      </c>
      <c r="B2993" t="s">
        <v>704</v>
      </c>
      <c r="C2993" t="s">
        <v>6634</v>
      </c>
      <c r="D2993" t="s">
        <v>17987</v>
      </c>
      <c r="E2993" t="s">
        <v>20761</v>
      </c>
      <c r="F2993" t="s">
        <v>30900</v>
      </c>
      <c r="G2993" t="s">
        <v>30907</v>
      </c>
      <c r="H2993" t="s">
        <v>30916</v>
      </c>
      <c r="I2993" t="s">
        <v>30924</v>
      </c>
      <c r="J2993" t="s">
        <v>32161</v>
      </c>
      <c r="K2993" t="s">
        <v>40283</v>
      </c>
      <c r="M2993" t="s">
        <v>41268</v>
      </c>
      <c r="N2993" t="s">
        <v>44759</v>
      </c>
      <c r="O2993" t="s">
        <v>44760</v>
      </c>
      <c r="P2993">
        <v>0</v>
      </c>
      <c r="Q2993">
        <v>0</v>
      </c>
      <c r="R2993" t="s">
        <v>44762</v>
      </c>
      <c r="S2993" t="s">
        <v>44863</v>
      </c>
      <c r="T2993" t="s">
        <v>46409</v>
      </c>
      <c r="U2993" t="s">
        <v>49497</v>
      </c>
      <c r="W2993" t="s">
        <v>41268</v>
      </c>
      <c r="X2993" t="s">
        <v>44763</v>
      </c>
    </row>
    <row r="2994" spans="1:24">
      <c r="A2994">
        <f>HYPERLINK("https://www.philgeps.gov.ph/GEPSNONPILOT/Tender/SplashBidNoticeAbstractUI.aspx?menuIndex=3&amp;refID=7149368&amp;Result=3","7149368")</f>
        <v>0</v>
      </c>
      <c r="B2994" t="s">
        <v>1253</v>
      </c>
      <c r="C2994" t="s">
        <v>6635</v>
      </c>
      <c r="D2994" t="s">
        <v>17978</v>
      </c>
      <c r="E2994" t="s">
        <v>18158</v>
      </c>
      <c r="F2994" t="s">
        <v>30900</v>
      </c>
      <c r="G2994" t="s">
        <v>30907</v>
      </c>
      <c r="H2994" t="s">
        <v>30915</v>
      </c>
      <c r="I2994" t="s">
        <v>30919</v>
      </c>
      <c r="J2994" t="s">
        <v>33201</v>
      </c>
      <c r="K2994" t="s">
        <v>40291</v>
      </c>
      <c r="M2994" t="s">
        <v>41865</v>
      </c>
      <c r="N2994" t="s">
        <v>44759</v>
      </c>
      <c r="O2994" t="s">
        <v>44760</v>
      </c>
      <c r="P2994">
        <v>0</v>
      </c>
      <c r="Q2994">
        <v>0</v>
      </c>
      <c r="R2994" t="s">
        <v>44762</v>
      </c>
      <c r="S2994" t="s">
        <v>44863</v>
      </c>
      <c r="T2994" t="s">
        <v>46395</v>
      </c>
      <c r="U2994" t="s">
        <v>49498</v>
      </c>
      <c r="W2994" t="s">
        <v>41865</v>
      </c>
      <c r="X2994" t="s">
        <v>44763</v>
      </c>
    </row>
    <row r="2995" spans="1:24">
      <c r="A2995">
        <f>HYPERLINK("https://www.philgeps.gov.ph/GEPSNONPILOT/Tender/SplashBidNoticeAbstractUI.aspx?menuIndex=3&amp;refID=7149383&amp;Result=3","7149383")</f>
        <v>0</v>
      </c>
      <c r="B2995" t="s">
        <v>1269</v>
      </c>
      <c r="C2995" t="s">
        <v>6636</v>
      </c>
      <c r="D2995" t="s">
        <v>17952</v>
      </c>
      <c r="E2995" t="s">
        <v>20762</v>
      </c>
      <c r="F2995" t="s">
        <v>30900</v>
      </c>
      <c r="G2995" t="s">
        <v>30907</v>
      </c>
      <c r="H2995" t="s">
        <v>30916</v>
      </c>
      <c r="I2995" t="s">
        <v>30933</v>
      </c>
      <c r="J2995" t="s">
        <v>31297</v>
      </c>
      <c r="K2995" t="s">
        <v>40293</v>
      </c>
      <c r="M2995" t="s">
        <v>41884</v>
      </c>
      <c r="N2995" t="s">
        <v>44759</v>
      </c>
      <c r="O2995" t="s">
        <v>44760</v>
      </c>
      <c r="P2995">
        <v>0</v>
      </c>
      <c r="Q2995">
        <v>3</v>
      </c>
      <c r="R2995" t="s">
        <v>44762</v>
      </c>
      <c r="S2995" t="s">
        <v>44863</v>
      </c>
      <c r="T2995" t="s">
        <v>46371</v>
      </c>
      <c r="U2995" t="s">
        <v>49499</v>
      </c>
      <c r="W2995" t="s">
        <v>41884</v>
      </c>
      <c r="X2995" t="s">
        <v>44763</v>
      </c>
    </row>
    <row r="2996" spans="1:24">
      <c r="A2996">
        <f>HYPERLINK("https://www.philgeps.gov.ph/GEPSNONPILOT/Tender/SplashBidNoticeAbstractUI.aspx?menuIndex=3&amp;refID=7149382&amp;Result=3","7149382")</f>
        <v>0</v>
      </c>
      <c r="B2996" t="s">
        <v>128</v>
      </c>
      <c r="C2996" t="s">
        <v>6637</v>
      </c>
      <c r="D2996" t="s">
        <v>17960</v>
      </c>
      <c r="E2996" t="s">
        <v>20763</v>
      </c>
      <c r="F2996" t="s">
        <v>30900</v>
      </c>
      <c r="G2996" t="s">
        <v>30909</v>
      </c>
      <c r="H2996" t="s">
        <v>30916</v>
      </c>
      <c r="I2996" t="s">
        <v>4545</v>
      </c>
      <c r="J2996" t="s">
        <v>31256</v>
      </c>
      <c r="K2996" t="s">
        <v>40284</v>
      </c>
      <c r="M2996" t="s">
        <v>40675</v>
      </c>
      <c r="N2996" t="s">
        <v>44759</v>
      </c>
      <c r="O2996" t="s">
        <v>44760</v>
      </c>
      <c r="P2996">
        <v>0</v>
      </c>
      <c r="Q2996">
        <v>1</v>
      </c>
      <c r="R2996" t="s">
        <v>44762</v>
      </c>
      <c r="S2996" t="s">
        <v>44863</v>
      </c>
      <c r="T2996" t="s">
        <v>46376</v>
      </c>
      <c r="U2996" t="s">
        <v>49500</v>
      </c>
      <c r="W2996" t="s">
        <v>40675</v>
      </c>
      <c r="X2996" t="s">
        <v>44763</v>
      </c>
    </row>
    <row r="2997" spans="1:24">
      <c r="A2997">
        <f>HYPERLINK("https://www.philgeps.gov.ph/GEPSNONPILOT/Tender/SplashBidNoticeAbstractUI.aspx?menuIndex=3&amp;refID=7149377&amp;Result=3","7149377")</f>
        <v>0</v>
      </c>
      <c r="B2997" t="s">
        <v>497</v>
      </c>
      <c r="C2997" t="s">
        <v>6638</v>
      </c>
      <c r="D2997" t="s">
        <v>17951</v>
      </c>
      <c r="E2997" t="s">
        <v>18912</v>
      </c>
      <c r="F2997" t="s">
        <v>30900</v>
      </c>
      <c r="G2997" t="s">
        <v>30908</v>
      </c>
      <c r="H2997" t="s">
        <v>30916</v>
      </c>
      <c r="I2997" t="s">
        <v>6746</v>
      </c>
      <c r="J2997" t="s">
        <v>33202</v>
      </c>
      <c r="K2997" t="s">
        <v>40285</v>
      </c>
      <c r="M2997" t="s">
        <v>41056</v>
      </c>
      <c r="N2997" t="s">
        <v>44759</v>
      </c>
      <c r="O2997" t="s">
        <v>44760</v>
      </c>
      <c r="P2997">
        <v>0</v>
      </c>
      <c r="Q2997">
        <v>0</v>
      </c>
      <c r="R2997" t="s">
        <v>44762</v>
      </c>
      <c r="S2997" t="s">
        <v>44863</v>
      </c>
      <c r="T2997" t="s">
        <v>46414</v>
      </c>
      <c r="U2997" t="s">
        <v>49501</v>
      </c>
      <c r="W2997" t="s">
        <v>41056</v>
      </c>
      <c r="X2997" t="s">
        <v>44763</v>
      </c>
    </row>
    <row r="2998" spans="1:24">
      <c r="A2998">
        <f>HYPERLINK("https://www.philgeps.gov.ph/GEPSNONPILOT/Tender/SplashBidNoticeAbstractUI.aspx?menuIndex=3&amp;refID=7149376&amp;Result=3","7149376")</f>
        <v>0</v>
      </c>
      <c r="B2998" t="s">
        <v>983</v>
      </c>
      <c r="C2998" t="s">
        <v>6639</v>
      </c>
      <c r="D2998" t="s">
        <v>18005</v>
      </c>
      <c r="E2998" t="s">
        <v>20764</v>
      </c>
      <c r="F2998" t="s">
        <v>30900</v>
      </c>
      <c r="G2998" t="s">
        <v>30907</v>
      </c>
      <c r="H2998" t="s">
        <v>30916</v>
      </c>
      <c r="I2998" t="s">
        <v>5501</v>
      </c>
      <c r="J2998" t="s">
        <v>33203</v>
      </c>
      <c r="K2998" t="s">
        <v>40321</v>
      </c>
      <c r="M2998" t="s">
        <v>41571</v>
      </c>
      <c r="N2998" t="s">
        <v>44759</v>
      </c>
      <c r="O2998" t="s">
        <v>44760</v>
      </c>
      <c r="P2998">
        <v>0</v>
      </c>
      <c r="Q2998">
        <v>8</v>
      </c>
      <c r="R2998" t="s">
        <v>44762</v>
      </c>
      <c r="S2998" t="s">
        <v>44863</v>
      </c>
      <c r="T2998" t="s">
        <v>46382</v>
      </c>
      <c r="U2998" t="s">
        <v>49502</v>
      </c>
      <c r="W2998" t="s">
        <v>41571</v>
      </c>
      <c r="X2998" t="s">
        <v>44763</v>
      </c>
    </row>
    <row r="2999" spans="1:24">
      <c r="A2999">
        <f>HYPERLINK("https://www.philgeps.gov.ph/GEPSNONPILOT/Tender/SplashBidNoticeAbstractUI.aspx?menuIndex=3&amp;refID=7149334&amp;Result=3","7149334")</f>
        <v>0</v>
      </c>
      <c r="B2999" t="s">
        <v>1246</v>
      </c>
      <c r="C2999" t="s">
        <v>6640</v>
      </c>
      <c r="E2999" t="s">
        <v>20765</v>
      </c>
      <c r="F2999" t="s">
        <v>30900</v>
      </c>
      <c r="G2999" t="s">
        <v>30907</v>
      </c>
      <c r="H2999" t="s">
        <v>30916</v>
      </c>
      <c r="I2999" t="s">
        <v>8123</v>
      </c>
      <c r="J2999" t="s">
        <v>33204</v>
      </c>
      <c r="K2999" t="s">
        <v>40289</v>
      </c>
      <c r="M2999" t="s">
        <v>41858</v>
      </c>
      <c r="N2999" t="s">
        <v>44759</v>
      </c>
      <c r="O2999" t="s">
        <v>44760</v>
      </c>
      <c r="P2999">
        <v>0</v>
      </c>
      <c r="Q2999">
        <v>2</v>
      </c>
      <c r="R2999" t="s">
        <v>44762</v>
      </c>
      <c r="S2999" t="s">
        <v>44863</v>
      </c>
      <c r="T2999" t="s">
        <v>46486</v>
      </c>
      <c r="U2999" t="s">
        <v>49446</v>
      </c>
      <c r="W2999" t="s">
        <v>41858</v>
      </c>
      <c r="X2999" t="s">
        <v>44763</v>
      </c>
    </row>
    <row r="3000" spans="1:24">
      <c r="A3000">
        <f>HYPERLINK("https://www.philgeps.gov.ph/GEPSNONPILOT/Tender/SplashBidNoticeAbstractUI.aspx?menuIndex=3&amp;refID=7149375&amp;Result=3","7149375")</f>
        <v>0</v>
      </c>
      <c r="B3000" t="s">
        <v>1270</v>
      </c>
      <c r="C3000" t="s">
        <v>6641</v>
      </c>
      <c r="D3000" t="s">
        <v>18006</v>
      </c>
      <c r="E3000" t="s">
        <v>20766</v>
      </c>
      <c r="F3000" t="s">
        <v>30900</v>
      </c>
      <c r="G3000" t="s">
        <v>30907</v>
      </c>
      <c r="H3000" t="s">
        <v>30916</v>
      </c>
      <c r="I3000" t="s">
        <v>30923</v>
      </c>
      <c r="J3000" t="s">
        <v>31048</v>
      </c>
      <c r="K3000" t="s">
        <v>40286</v>
      </c>
      <c r="M3000" t="s">
        <v>41885</v>
      </c>
      <c r="N3000" t="s">
        <v>44759</v>
      </c>
      <c r="O3000" t="s">
        <v>44760</v>
      </c>
      <c r="P3000">
        <v>0</v>
      </c>
      <c r="Q3000">
        <v>0</v>
      </c>
      <c r="R3000" t="s">
        <v>44762</v>
      </c>
      <c r="S3000" t="s">
        <v>44863</v>
      </c>
      <c r="T3000" t="s">
        <v>46395</v>
      </c>
      <c r="U3000" t="s">
        <v>49503</v>
      </c>
      <c r="W3000" t="s">
        <v>41885</v>
      </c>
      <c r="X3000" t="s">
        <v>44763</v>
      </c>
    </row>
    <row r="3001" spans="1:24">
      <c r="A3001">
        <f>HYPERLINK("https://www.philgeps.gov.ph/GEPSNONPILOT/Tender/SplashBidNoticeAbstractUI.aspx?menuIndex=3&amp;refID=7149374&amp;Result=3","7149374")</f>
        <v>0</v>
      </c>
      <c r="B3001" t="s">
        <v>180</v>
      </c>
      <c r="C3001" t="s">
        <v>6642</v>
      </c>
      <c r="D3001" t="s">
        <v>17987</v>
      </c>
      <c r="E3001" t="s">
        <v>20767</v>
      </c>
      <c r="F3001" t="s">
        <v>30900</v>
      </c>
      <c r="G3001" t="s">
        <v>30907</v>
      </c>
      <c r="H3001" t="s">
        <v>30916</v>
      </c>
      <c r="I3001" t="s">
        <v>8123</v>
      </c>
      <c r="J3001" t="s">
        <v>33205</v>
      </c>
      <c r="K3001" t="s">
        <v>40284</v>
      </c>
      <c r="M3001" t="s">
        <v>40727</v>
      </c>
      <c r="N3001" t="s">
        <v>44759</v>
      </c>
      <c r="O3001" t="s">
        <v>44760</v>
      </c>
      <c r="P3001">
        <v>0</v>
      </c>
      <c r="Q3001">
        <v>0</v>
      </c>
      <c r="R3001" t="s">
        <v>44762</v>
      </c>
      <c r="S3001" t="s">
        <v>44863</v>
      </c>
      <c r="T3001" t="s">
        <v>46409</v>
      </c>
      <c r="U3001" t="s">
        <v>49460</v>
      </c>
      <c r="W3001" t="s">
        <v>40727</v>
      </c>
      <c r="X3001" t="s">
        <v>44763</v>
      </c>
    </row>
    <row r="3002" spans="1:24">
      <c r="A3002">
        <f>HYPERLINK("https://www.philgeps.gov.ph/GEPSNONPILOT/Tender/SplashBidNoticeAbstractUI.aspx?menuIndex=3&amp;refID=7149373&amp;Result=3","7149373")</f>
        <v>0</v>
      </c>
      <c r="B3002" t="s">
        <v>217</v>
      </c>
      <c r="C3002" t="s">
        <v>6643</v>
      </c>
      <c r="D3002" t="s">
        <v>17966</v>
      </c>
      <c r="E3002" t="s">
        <v>20768</v>
      </c>
      <c r="F3002" t="s">
        <v>30900</v>
      </c>
      <c r="G3002" t="s">
        <v>30908</v>
      </c>
      <c r="H3002" t="s">
        <v>30916</v>
      </c>
      <c r="I3002" t="s">
        <v>30927</v>
      </c>
      <c r="J3002" t="s">
        <v>33206</v>
      </c>
      <c r="K3002" t="s">
        <v>40284</v>
      </c>
      <c r="M3002" t="s">
        <v>40764</v>
      </c>
      <c r="N3002" t="s">
        <v>44759</v>
      </c>
      <c r="O3002" t="s">
        <v>44760</v>
      </c>
      <c r="P3002">
        <v>0</v>
      </c>
      <c r="Q3002">
        <v>0</v>
      </c>
      <c r="R3002" t="s">
        <v>44762</v>
      </c>
      <c r="S3002" t="s">
        <v>44863</v>
      </c>
      <c r="T3002" t="s">
        <v>46352</v>
      </c>
      <c r="U3002" t="s">
        <v>49504</v>
      </c>
      <c r="W3002" t="s">
        <v>40764</v>
      </c>
      <c r="X3002" t="s">
        <v>44763</v>
      </c>
    </row>
    <row r="3003" spans="1:24">
      <c r="A3003">
        <f>HYPERLINK("https://www.philgeps.gov.ph/GEPSNONPILOT/Tender/SplashBidNoticeAbstractUI.aspx?menuIndex=3&amp;refID=7149372&amp;Result=3","7149372")</f>
        <v>0</v>
      </c>
      <c r="B3003" t="s">
        <v>997</v>
      </c>
      <c r="C3003" t="s">
        <v>6644</v>
      </c>
      <c r="D3003" t="s">
        <v>17959</v>
      </c>
      <c r="E3003" t="s">
        <v>20769</v>
      </c>
      <c r="F3003" t="s">
        <v>30900</v>
      </c>
      <c r="G3003" t="s">
        <v>30908</v>
      </c>
      <c r="H3003" t="s">
        <v>30916</v>
      </c>
      <c r="I3003" t="s">
        <v>4965</v>
      </c>
      <c r="J3003" t="s">
        <v>33207</v>
      </c>
      <c r="K3003" t="s">
        <v>40286</v>
      </c>
      <c r="M3003" t="s">
        <v>41886</v>
      </c>
      <c r="N3003" t="s">
        <v>44759</v>
      </c>
      <c r="O3003" t="s">
        <v>44760</v>
      </c>
      <c r="P3003">
        <v>0</v>
      </c>
      <c r="Q3003">
        <v>3</v>
      </c>
      <c r="R3003" t="s">
        <v>44762</v>
      </c>
      <c r="S3003" t="s">
        <v>44863</v>
      </c>
      <c r="T3003" t="s">
        <v>46440</v>
      </c>
      <c r="U3003" t="s">
        <v>49505</v>
      </c>
      <c r="W3003" t="s">
        <v>41886</v>
      </c>
      <c r="X3003" t="s">
        <v>44763</v>
      </c>
    </row>
    <row r="3004" spans="1:24">
      <c r="A3004">
        <f>HYPERLINK("https://www.philgeps.gov.ph/GEPSNONPILOT/Tender/SplashBidNoticeAbstractUI.aspx?menuIndex=3&amp;refID=7149417&amp;Result=3","7149417")</f>
        <v>0</v>
      </c>
      <c r="B3004" t="s">
        <v>1250</v>
      </c>
      <c r="C3004" t="s">
        <v>6645</v>
      </c>
      <c r="D3004" t="s">
        <v>17953</v>
      </c>
      <c r="E3004" t="s">
        <v>20770</v>
      </c>
      <c r="F3004" t="s">
        <v>30900</v>
      </c>
      <c r="G3004" t="s">
        <v>30907</v>
      </c>
      <c r="H3004" t="s">
        <v>30916</v>
      </c>
      <c r="I3004" t="s">
        <v>30945</v>
      </c>
      <c r="J3004" t="s">
        <v>33208</v>
      </c>
      <c r="K3004" t="s">
        <v>40286</v>
      </c>
      <c r="M3004" t="s">
        <v>41862</v>
      </c>
      <c r="N3004" t="s">
        <v>44759</v>
      </c>
      <c r="O3004" t="s">
        <v>44760</v>
      </c>
      <c r="P3004">
        <v>0</v>
      </c>
      <c r="Q3004">
        <v>1</v>
      </c>
      <c r="R3004" t="s">
        <v>44762</v>
      </c>
      <c r="S3004" t="s">
        <v>44863</v>
      </c>
      <c r="T3004" t="s">
        <v>46369</v>
      </c>
      <c r="U3004" t="s">
        <v>49506</v>
      </c>
      <c r="W3004" t="s">
        <v>41862</v>
      </c>
      <c r="X3004" t="s">
        <v>44763</v>
      </c>
    </row>
    <row r="3005" spans="1:24">
      <c r="A3005">
        <f>HYPERLINK("https://www.philgeps.gov.ph/GEPSNONPILOT/Tender/SplashBidNoticeAbstractUI.aspx?menuIndex=3&amp;refID=7149356&amp;Result=3","7149356")</f>
        <v>0</v>
      </c>
      <c r="B3005" t="s">
        <v>368</v>
      </c>
      <c r="C3005" t="s">
        <v>6646</v>
      </c>
      <c r="E3005" t="s">
        <v>20771</v>
      </c>
      <c r="F3005" t="s">
        <v>30900</v>
      </c>
      <c r="G3005" t="s">
        <v>30908</v>
      </c>
      <c r="H3005" t="s">
        <v>30916</v>
      </c>
      <c r="I3005" t="s">
        <v>8123</v>
      </c>
      <c r="J3005" t="s">
        <v>32288</v>
      </c>
      <c r="K3005" t="s">
        <v>40289</v>
      </c>
      <c r="M3005" t="s">
        <v>40922</v>
      </c>
      <c r="N3005" t="s">
        <v>44759</v>
      </c>
      <c r="O3005" t="s">
        <v>44760</v>
      </c>
      <c r="P3005">
        <v>0</v>
      </c>
      <c r="Q3005">
        <v>0</v>
      </c>
      <c r="R3005" t="s">
        <v>44762</v>
      </c>
      <c r="S3005" t="s">
        <v>44863</v>
      </c>
      <c r="T3005" t="s">
        <v>46383</v>
      </c>
      <c r="U3005" t="s">
        <v>49507</v>
      </c>
      <c r="W3005" t="s">
        <v>40922</v>
      </c>
      <c r="X3005" t="s">
        <v>44763</v>
      </c>
    </row>
    <row r="3006" spans="1:24">
      <c r="A3006">
        <f>HYPERLINK("https://www.philgeps.gov.ph/GEPSNONPILOT/Tender/SplashBidNoticeAbstractUI.aspx?menuIndex=3&amp;refID=7149415&amp;Result=3","7149415")</f>
        <v>0</v>
      </c>
      <c r="B3006" t="s">
        <v>1271</v>
      </c>
      <c r="C3006" t="s">
        <v>6647</v>
      </c>
      <c r="D3006" t="s">
        <v>18019</v>
      </c>
      <c r="E3006" t="s">
        <v>20772</v>
      </c>
      <c r="F3006" t="s">
        <v>30900</v>
      </c>
      <c r="G3006" t="s">
        <v>30909</v>
      </c>
      <c r="H3006" t="s">
        <v>30916</v>
      </c>
      <c r="I3006" t="s">
        <v>6396</v>
      </c>
      <c r="J3006" t="s">
        <v>31043</v>
      </c>
      <c r="K3006" t="s">
        <v>40289</v>
      </c>
      <c r="M3006" t="s">
        <v>41887</v>
      </c>
      <c r="N3006" t="s">
        <v>44759</v>
      </c>
      <c r="O3006" t="s">
        <v>44760</v>
      </c>
      <c r="P3006">
        <v>0</v>
      </c>
      <c r="Q3006">
        <v>0</v>
      </c>
      <c r="R3006" t="s">
        <v>44762</v>
      </c>
      <c r="S3006" t="s">
        <v>44863</v>
      </c>
      <c r="T3006" t="s">
        <v>46612</v>
      </c>
      <c r="U3006" t="s">
        <v>49508</v>
      </c>
      <c r="W3006" t="s">
        <v>41887</v>
      </c>
      <c r="X3006" t="s">
        <v>44763</v>
      </c>
    </row>
    <row r="3007" spans="1:24">
      <c r="A3007">
        <f>HYPERLINK("https://www.philgeps.gov.ph/GEPSNONPILOT/Tender/SplashBidNoticeAbstractUI.aspx?menuIndex=3&amp;refID=7149381&amp;Result=3","7149381")</f>
        <v>0</v>
      </c>
      <c r="B3007" t="s">
        <v>1272</v>
      </c>
      <c r="C3007" t="s">
        <v>6648</v>
      </c>
      <c r="E3007" t="s">
        <v>20773</v>
      </c>
      <c r="F3007" t="s">
        <v>30900</v>
      </c>
      <c r="G3007" t="s">
        <v>30907</v>
      </c>
      <c r="H3007" t="s">
        <v>30916</v>
      </c>
      <c r="I3007" t="s">
        <v>8123</v>
      </c>
      <c r="J3007" t="s">
        <v>33209</v>
      </c>
      <c r="K3007" t="s">
        <v>40287</v>
      </c>
      <c r="M3007" t="s">
        <v>41888</v>
      </c>
      <c r="N3007" t="s">
        <v>44759</v>
      </c>
      <c r="O3007" t="s">
        <v>44760</v>
      </c>
      <c r="P3007">
        <v>0</v>
      </c>
      <c r="Q3007">
        <v>0</v>
      </c>
      <c r="R3007" t="s">
        <v>44762</v>
      </c>
      <c r="S3007" t="s">
        <v>44863</v>
      </c>
      <c r="T3007" t="s">
        <v>46362</v>
      </c>
      <c r="U3007" t="s">
        <v>49509</v>
      </c>
      <c r="W3007" t="s">
        <v>41888</v>
      </c>
      <c r="X3007" t="s">
        <v>44763</v>
      </c>
    </row>
    <row r="3008" spans="1:24">
      <c r="A3008">
        <f>HYPERLINK("https://www.philgeps.gov.ph/GEPSNONPILOT/Tender/SplashBidNoticeAbstractUI.aspx?menuIndex=3&amp;refID=7149414&amp;Result=3","7149414")</f>
        <v>0</v>
      </c>
      <c r="B3008" t="s">
        <v>180</v>
      </c>
      <c r="C3008" t="s">
        <v>6649</v>
      </c>
      <c r="D3008" t="s">
        <v>17987</v>
      </c>
      <c r="E3008" t="s">
        <v>20774</v>
      </c>
      <c r="F3008" t="s">
        <v>30900</v>
      </c>
      <c r="G3008" t="s">
        <v>30907</v>
      </c>
      <c r="H3008" t="s">
        <v>30916</v>
      </c>
      <c r="I3008" t="s">
        <v>30923</v>
      </c>
      <c r="J3008" t="s">
        <v>33210</v>
      </c>
      <c r="K3008" t="s">
        <v>40284</v>
      </c>
      <c r="M3008" t="s">
        <v>40727</v>
      </c>
      <c r="N3008" t="s">
        <v>44759</v>
      </c>
      <c r="O3008" t="s">
        <v>44760</v>
      </c>
      <c r="P3008">
        <v>0</v>
      </c>
      <c r="Q3008">
        <v>1</v>
      </c>
      <c r="R3008" t="s">
        <v>44762</v>
      </c>
      <c r="S3008" t="s">
        <v>44863</v>
      </c>
      <c r="T3008" t="s">
        <v>46409</v>
      </c>
      <c r="U3008" t="s">
        <v>49510</v>
      </c>
      <c r="W3008" t="s">
        <v>40727</v>
      </c>
      <c r="X3008" t="s">
        <v>44763</v>
      </c>
    </row>
    <row r="3009" spans="1:24">
      <c r="A3009">
        <f>HYPERLINK("https://www.philgeps.gov.ph/GEPSNONPILOT/Tender/SplashBidNoticeAbstractUI.aspx?menuIndex=3&amp;refID=7149413&amp;Result=3","7149413")</f>
        <v>0</v>
      </c>
      <c r="B3009" t="s">
        <v>1273</v>
      </c>
      <c r="C3009" t="s">
        <v>6650</v>
      </c>
      <c r="D3009" t="s">
        <v>17993</v>
      </c>
      <c r="E3009" t="s">
        <v>20775</v>
      </c>
      <c r="F3009" t="s">
        <v>30900</v>
      </c>
      <c r="G3009" t="s">
        <v>30907</v>
      </c>
      <c r="H3009" t="s">
        <v>30915</v>
      </c>
      <c r="I3009" t="s">
        <v>30919</v>
      </c>
      <c r="J3009" t="s">
        <v>31049</v>
      </c>
      <c r="K3009" t="s">
        <v>40286</v>
      </c>
      <c r="M3009" t="s">
        <v>41889</v>
      </c>
      <c r="N3009" t="s">
        <v>44759</v>
      </c>
      <c r="O3009" t="s">
        <v>44760</v>
      </c>
      <c r="P3009">
        <v>0</v>
      </c>
      <c r="Q3009">
        <v>1</v>
      </c>
      <c r="R3009" t="s">
        <v>44762</v>
      </c>
      <c r="S3009" t="s">
        <v>44863</v>
      </c>
      <c r="T3009" t="s">
        <v>46409</v>
      </c>
      <c r="U3009" t="s">
        <v>49511</v>
      </c>
      <c r="W3009" t="s">
        <v>41889</v>
      </c>
      <c r="X3009" t="s">
        <v>44763</v>
      </c>
    </row>
    <row r="3010" spans="1:24">
      <c r="A3010">
        <f>HYPERLINK("https://www.philgeps.gov.ph/GEPSNONPILOT/Tender/SplashBidNoticeAbstractUI.aspx?menuIndex=3&amp;refID=7149412&amp;Result=3","7149412")</f>
        <v>0</v>
      </c>
      <c r="B3010" t="s">
        <v>168</v>
      </c>
      <c r="C3010" t="s">
        <v>6651</v>
      </c>
      <c r="D3010" t="s">
        <v>18007</v>
      </c>
      <c r="E3010" t="s">
        <v>20776</v>
      </c>
      <c r="F3010" t="s">
        <v>30900</v>
      </c>
      <c r="G3010" t="s">
        <v>30908</v>
      </c>
      <c r="H3010" t="s">
        <v>30916</v>
      </c>
      <c r="I3010" t="s">
        <v>30939</v>
      </c>
      <c r="J3010" t="s">
        <v>33211</v>
      </c>
      <c r="K3010" t="s">
        <v>40286</v>
      </c>
      <c r="M3010" t="s">
        <v>40715</v>
      </c>
      <c r="N3010" t="s">
        <v>44759</v>
      </c>
      <c r="O3010" t="s">
        <v>44760</v>
      </c>
      <c r="P3010">
        <v>0</v>
      </c>
      <c r="Q3010">
        <v>0</v>
      </c>
      <c r="R3010" t="s">
        <v>44762</v>
      </c>
      <c r="S3010" t="s">
        <v>44863</v>
      </c>
      <c r="T3010" t="s">
        <v>46414</v>
      </c>
      <c r="U3010" t="s">
        <v>49512</v>
      </c>
      <c r="W3010" t="s">
        <v>40715</v>
      </c>
      <c r="X3010" t="s">
        <v>44763</v>
      </c>
    </row>
    <row r="3011" spans="1:24">
      <c r="A3011">
        <f>HYPERLINK("https://www.philgeps.gov.ph/GEPSNONPILOT/Tender/SplashBidNoticeAbstractUI.aspx?menuIndex=3&amp;refID=7149410&amp;Result=3","7149410")</f>
        <v>0</v>
      </c>
      <c r="B3011" t="s">
        <v>704</v>
      </c>
      <c r="C3011" t="s">
        <v>6652</v>
      </c>
      <c r="D3011" t="s">
        <v>17987</v>
      </c>
      <c r="E3011" t="s">
        <v>20777</v>
      </c>
      <c r="F3011" t="s">
        <v>30900</v>
      </c>
      <c r="G3011" t="s">
        <v>30907</v>
      </c>
      <c r="H3011" t="s">
        <v>30916</v>
      </c>
      <c r="I3011" t="s">
        <v>30924</v>
      </c>
      <c r="J3011" t="s">
        <v>33212</v>
      </c>
      <c r="K3011" t="s">
        <v>40286</v>
      </c>
      <c r="M3011" t="s">
        <v>41268</v>
      </c>
      <c r="N3011" t="s">
        <v>44759</v>
      </c>
      <c r="O3011" t="s">
        <v>44760</v>
      </c>
      <c r="P3011">
        <v>0</v>
      </c>
      <c r="Q3011">
        <v>1</v>
      </c>
      <c r="R3011" t="s">
        <v>44762</v>
      </c>
      <c r="S3011" t="s">
        <v>44863</v>
      </c>
      <c r="T3011" t="s">
        <v>46409</v>
      </c>
      <c r="U3011" t="s">
        <v>49513</v>
      </c>
      <c r="W3011" t="s">
        <v>41268</v>
      </c>
      <c r="X3011" t="s">
        <v>44763</v>
      </c>
    </row>
    <row r="3012" spans="1:24">
      <c r="A3012">
        <f>HYPERLINK("https://www.philgeps.gov.ph/GEPSNONPILOT/Tender/SplashBidNoticeAbstractUI.aspx?menuIndex=3&amp;refID=7149408&amp;Result=3","7149408")</f>
        <v>0</v>
      </c>
      <c r="B3012" t="s">
        <v>1274</v>
      </c>
      <c r="C3012" t="s">
        <v>4545</v>
      </c>
      <c r="D3012" t="s">
        <v>18017</v>
      </c>
      <c r="E3012" t="s">
        <v>20778</v>
      </c>
      <c r="F3012" t="s">
        <v>30900</v>
      </c>
      <c r="G3012" t="s">
        <v>30908</v>
      </c>
      <c r="H3012" t="s">
        <v>30916</v>
      </c>
      <c r="I3012" t="s">
        <v>4545</v>
      </c>
      <c r="J3012" t="s">
        <v>31043</v>
      </c>
      <c r="K3012" t="s">
        <v>40333</v>
      </c>
      <c r="M3012" t="s">
        <v>41890</v>
      </c>
      <c r="N3012" t="s">
        <v>44759</v>
      </c>
      <c r="O3012" t="s">
        <v>44760</v>
      </c>
      <c r="P3012">
        <v>0</v>
      </c>
      <c r="Q3012">
        <v>0</v>
      </c>
      <c r="R3012" t="s">
        <v>44762</v>
      </c>
      <c r="S3012" t="s">
        <v>44863</v>
      </c>
      <c r="T3012" t="s">
        <v>46383</v>
      </c>
      <c r="U3012" t="s">
        <v>49514</v>
      </c>
      <c r="V3012" t="s">
        <v>59453</v>
      </c>
      <c r="W3012" t="s">
        <v>41890</v>
      </c>
      <c r="X3012" t="s">
        <v>44763</v>
      </c>
    </row>
    <row r="3013" spans="1:24">
      <c r="A3013">
        <f>HYPERLINK("https://www.philgeps.gov.ph/GEPSNONPILOT/Tender/SplashBidNoticeAbstractUI.aspx?menuIndex=3&amp;refID=7149386&amp;Result=3","7149386")</f>
        <v>0</v>
      </c>
      <c r="B3013" t="s">
        <v>1275</v>
      </c>
      <c r="C3013" t="s">
        <v>6653</v>
      </c>
      <c r="D3013" t="s">
        <v>17980</v>
      </c>
      <c r="E3013" t="s">
        <v>20779</v>
      </c>
      <c r="F3013" t="s">
        <v>30900</v>
      </c>
      <c r="G3013" t="s">
        <v>30907</v>
      </c>
      <c r="H3013" t="s">
        <v>30916</v>
      </c>
      <c r="I3013" t="s">
        <v>10847</v>
      </c>
      <c r="J3013" t="s">
        <v>31896</v>
      </c>
      <c r="K3013" t="s">
        <v>40286</v>
      </c>
      <c r="M3013" t="s">
        <v>41891</v>
      </c>
      <c r="N3013" t="s">
        <v>44759</v>
      </c>
      <c r="O3013" t="s">
        <v>44760</v>
      </c>
      <c r="P3013">
        <v>0</v>
      </c>
      <c r="Q3013">
        <v>0</v>
      </c>
      <c r="R3013" t="s">
        <v>44762</v>
      </c>
      <c r="S3013" t="s">
        <v>44863</v>
      </c>
      <c r="T3013" t="s">
        <v>46425</v>
      </c>
      <c r="U3013" t="s">
        <v>49515</v>
      </c>
      <c r="W3013" t="s">
        <v>60855</v>
      </c>
      <c r="X3013" t="s">
        <v>44763</v>
      </c>
    </row>
    <row r="3014" spans="1:24">
      <c r="A3014">
        <f>HYPERLINK("https://www.philgeps.gov.ph/GEPSNONPILOT/Tender/SplashBidNoticeAbstractUI.aspx?menuIndex=3&amp;refID=7149407&amp;Result=3","7149407")</f>
        <v>0</v>
      </c>
      <c r="B3014" t="s">
        <v>1276</v>
      </c>
      <c r="C3014" t="s">
        <v>6654</v>
      </c>
      <c r="D3014" t="s">
        <v>17962</v>
      </c>
      <c r="E3014" t="s">
        <v>20780</v>
      </c>
      <c r="F3014" t="s">
        <v>30900</v>
      </c>
      <c r="G3014" t="s">
        <v>30909</v>
      </c>
      <c r="H3014" t="s">
        <v>30916</v>
      </c>
      <c r="I3014" t="s">
        <v>5501</v>
      </c>
      <c r="J3014" t="s">
        <v>33213</v>
      </c>
      <c r="K3014" t="s">
        <v>40289</v>
      </c>
      <c r="M3014" t="s">
        <v>41892</v>
      </c>
      <c r="N3014" t="s">
        <v>44759</v>
      </c>
      <c r="O3014" t="s">
        <v>44760</v>
      </c>
      <c r="P3014">
        <v>0</v>
      </c>
      <c r="Q3014">
        <v>11</v>
      </c>
      <c r="R3014" t="s">
        <v>44762</v>
      </c>
      <c r="S3014" t="s">
        <v>44863</v>
      </c>
      <c r="T3014" t="s">
        <v>46395</v>
      </c>
      <c r="U3014" t="s">
        <v>49516</v>
      </c>
      <c r="W3014" t="s">
        <v>41892</v>
      </c>
      <c r="X3014" t="s">
        <v>44763</v>
      </c>
    </row>
    <row r="3015" spans="1:24">
      <c r="A3015">
        <f>HYPERLINK("https://www.philgeps.gov.ph/GEPSNONPILOT/Tender/SplashBidNoticeAbstractUI.aspx?menuIndex=3&amp;refID=7149405&amp;Result=3","7149405")</f>
        <v>0</v>
      </c>
      <c r="B3015" t="s">
        <v>497</v>
      </c>
      <c r="C3015" t="s">
        <v>6655</v>
      </c>
      <c r="D3015" t="s">
        <v>17951</v>
      </c>
      <c r="E3015" t="s">
        <v>18912</v>
      </c>
      <c r="F3015" t="s">
        <v>30900</v>
      </c>
      <c r="G3015" t="s">
        <v>30908</v>
      </c>
      <c r="H3015" t="s">
        <v>30916</v>
      </c>
      <c r="I3015" t="s">
        <v>30939</v>
      </c>
      <c r="J3015" t="s">
        <v>33214</v>
      </c>
      <c r="K3015" t="s">
        <v>40285</v>
      </c>
      <c r="M3015" t="s">
        <v>41056</v>
      </c>
      <c r="N3015" t="s">
        <v>44759</v>
      </c>
      <c r="O3015" t="s">
        <v>44760</v>
      </c>
      <c r="P3015">
        <v>0</v>
      </c>
      <c r="Q3015">
        <v>0</v>
      </c>
      <c r="R3015" t="s">
        <v>44762</v>
      </c>
      <c r="S3015" t="s">
        <v>44863</v>
      </c>
      <c r="T3015" t="s">
        <v>46414</v>
      </c>
      <c r="U3015" t="s">
        <v>49517</v>
      </c>
      <c r="W3015" t="s">
        <v>41056</v>
      </c>
      <c r="X3015" t="s">
        <v>44763</v>
      </c>
    </row>
    <row r="3016" spans="1:24">
      <c r="A3016">
        <f>HYPERLINK("https://www.philgeps.gov.ph/GEPSNONPILOT/Tender/SplashBidNoticeAbstractUI.aspx?menuIndex=3&amp;refID=7149404&amp;Result=3","7149404")</f>
        <v>0</v>
      </c>
      <c r="B3016" t="s">
        <v>1277</v>
      </c>
      <c r="C3016" t="s">
        <v>6656</v>
      </c>
      <c r="D3016" t="s">
        <v>17952</v>
      </c>
      <c r="E3016" t="s">
        <v>20781</v>
      </c>
      <c r="F3016" t="s">
        <v>30900</v>
      </c>
      <c r="G3016" t="s">
        <v>30907</v>
      </c>
      <c r="H3016" t="s">
        <v>30916</v>
      </c>
      <c r="I3016" t="s">
        <v>8123</v>
      </c>
      <c r="J3016" t="s">
        <v>33215</v>
      </c>
      <c r="K3016" t="s">
        <v>40283</v>
      </c>
      <c r="M3016" t="s">
        <v>41893</v>
      </c>
      <c r="N3016" t="s">
        <v>44759</v>
      </c>
      <c r="O3016" t="s">
        <v>44760</v>
      </c>
      <c r="P3016">
        <v>0</v>
      </c>
      <c r="Q3016">
        <v>0</v>
      </c>
      <c r="R3016" t="s">
        <v>44762</v>
      </c>
      <c r="S3016" t="s">
        <v>44863</v>
      </c>
      <c r="T3016" t="s">
        <v>46400</v>
      </c>
      <c r="U3016" t="s">
        <v>49518</v>
      </c>
      <c r="V3016" t="s">
        <v>59454</v>
      </c>
      <c r="W3016" t="s">
        <v>41893</v>
      </c>
      <c r="X3016" t="s">
        <v>44763</v>
      </c>
    </row>
    <row r="3017" spans="1:24">
      <c r="A3017">
        <f>HYPERLINK("https://www.philgeps.gov.ph/GEPSNONPILOT/Tender/SplashBidNoticeAbstractUI.aspx?menuIndex=3&amp;refID=7149402&amp;Result=3","7149402")</f>
        <v>0</v>
      </c>
      <c r="B3017" t="s">
        <v>704</v>
      </c>
      <c r="C3017" t="s">
        <v>6657</v>
      </c>
      <c r="D3017" t="s">
        <v>17987</v>
      </c>
      <c r="E3017" t="s">
        <v>20782</v>
      </c>
      <c r="F3017" t="s">
        <v>30900</v>
      </c>
      <c r="G3017" t="s">
        <v>30907</v>
      </c>
      <c r="H3017" t="s">
        <v>30916</v>
      </c>
      <c r="I3017" t="s">
        <v>30921</v>
      </c>
      <c r="J3017" t="s">
        <v>33216</v>
      </c>
      <c r="K3017" t="s">
        <v>40283</v>
      </c>
      <c r="M3017" t="s">
        <v>41268</v>
      </c>
      <c r="N3017" t="s">
        <v>44759</v>
      </c>
      <c r="O3017" t="s">
        <v>44760</v>
      </c>
      <c r="P3017">
        <v>0</v>
      </c>
      <c r="Q3017">
        <v>0</v>
      </c>
      <c r="R3017" t="s">
        <v>44762</v>
      </c>
      <c r="S3017" t="s">
        <v>44863</v>
      </c>
      <c r="T3017" t="s">
        <v>46409</v>
      </c>
      <c r="U3017" t="s">
        <v>49519</v>
      </c>
      <c r="W3017" t="s">
        <v>41268</v>
      </c>
      <c r="X3017" t="s">
        <v>44763</v>
      </c>
    </row>
    <row r="3018" spans="1:24">
      <c r="A3018">
        <f>HYPERLINK("https://www.philgeps.gov.ph/GEPSNONPILOT/Tender/SplashBidNoticeAbstractUI.aspx?menuIndex=3&amp;refID=7149401&amp;Result=3","7149401")</f>
        <v>0</v>
      </c>
      <c r="B3018" t="s">
        <v>460</v>
      </c>
      <c r="C3018" t="s">
        <v>6658</v>
      </c>
      <c r="D3018" t="s">
        <v>17968</v>
      </c>
      <c r="E3018" t="s">
        <v>20783</v>
      </c>
      <c r="F3018" t="s">
        <v>30900</v>
      </c>
      <c r="G3018" t="s">
        <v>30908</v>
      </c>
      <c r="H3018" t="s">
        <v>30916</v>
      </c>
      <c r="I3018" t="s">
        <v>8123</v>
      </c>
      <c r="J3018" t="s">
        <v>31049</v>
      </c>
      <c r="K3018" t="s">
        <v>40283</v>
      </c>
      <c r="M3018" t="s">
        <v>41018</v>
      </c>
      <c r="N3018" t="s">
        <v>44759</v>
      </c>
      <c r="O3018" t="s">
        <v>44760</v>
      </c>
      <c r="P3018">
        <v>0</v>
      </c>
      <c r="Q3018">
        <v>0</v>
      </c>
      <c r="R3018" t="s">
        <v>44762</v>
      </c>
      <c r="S3018" t="s">
        <v>44863</v>
      </c>
      <c r="T3018" t="s">
        <v>46414</v>
      </c>
      <c r="U3018" t="s">
        <v>49520</v>
      </c>
      <c r="V3018" t="s">
        <v>59455</v>
      </c>
      <c r="W3018" t="s">
        <v>41018</v>
      </c>
      <c r="X3018" t="s">
        <v>44763</v>
      </c>
    </row>
    <row r="3019" spans="1:24">
      <c r="A3019">
        <f>HYPERLINK("https://www.philgeps.gov.ph/GEPSNONPILOT/Tender/SplashBidNoticeAbstractUI.aspx?menuIndex=3&amp;refID=7149400&amp;Result=3","7149400")</f>
        <v>0</v>
      </c>
      <c r="B3019" t="s">
        <v>1250</v>
      </c>
      <c r="C3019" t="s">
        <v>6659</v>
      </c>
      <c r="D3019" t="s">
        <v>17953</v>
      </c>
      <c r="E3019" t="s">
        <v>20784</v>
      </c>
      <c r="F3019" t="s">
        <v>30900</v>
      </c>
      <c r="G3019" t="s">
        <v>30907</v>
      </c>
      <c r="H3019" t="s">
        <v>30916</v>
      </c>
      <c r="I3019" t="s">
        <v>30945</v>
      </c>
      <c r="J3019" t="s">
        <v>33217</v>
      </c>
      <c r="K3019" t="s">
        <v>40286</v>
      </c>
      <c r="M3019" t="s">
        <v>41862</v>
      </c>
      <c r="N3019" t="s">
        <v>44759</v>
      </c>
      <c r="O3019" t="s">
        <v>44760</v>
      </c>
      <c r="P3019">
        <v>0</v>
      </c>
      <c r="Q3019">
        <v>1</v>
      </c>
      <c r="R3019" t="s">
        <v>44762</v>
      </c>
      <c r="S3019" t="s">
        <v>44863</v>
      </c>
      <c r="T3019" t="s">
        <v>46369</v>
      </c>
      <c r="U3019" t="s">
        <v>49521</v>
      </c>
      <c r="W3019" t="s">
        <v>41862</v>
      </c>
      <c r="X3019" t="s">
        <v>44763</v>
      </c>
    </row>
    <row r="3020" spans="1:24">
      <c r="A3020">
        <f>HYPERLINK("https://www.philgeps.gov.ph/GEPSNONPILOT/Tender/SplashBidNoticeAbstractUI.aspx?menuIndex=3&amp;refID=7149398&amp;Result=3","7149398")</f>
        <v>0</v>
      </c>
      <c r="B3020" t="s">
        <v>433</v>
      </c>
      <c r="C3020" t="s">
        <v>6660</v>
      </c>
      <c r="D3020" t="s">
        <v>17977</v>
      </c>
      <c r="E3020" t="s">
        <v>20785</v>
      </c>
      <c r="F3020" t="s">
        <v>30900</v>
      </c>
      <c r="G3020" t="s">
        <v>30908</v>
      </c>
      <c r="H3020" t="s">
        <v>30916</v>
      </c>
      <c r="I3020" t="s">
        <v>30924</v>
      </c>
      <c r="J3020" t="s">
        <v>31043</v>
      </c>
      <c r="K3020" t="s">
        <v>40289</v>
      </c>
      <c r="M3020" t="s">
        <v>41894</v>
      </c>
      <c r="N3020" t="s">
        <v>44759</v>
      </c>
      <c r="O3020" t="s">
        <v>44760</v>
      </c>
      <c r="P3020">
        <v>0</v>
      </c>
      <c r="Q3020">
        <v>0</v>
      </c>
      <c r="R3020" t="s">
        <v>44762</v>
      </c>
      <c r="S3020" t="s">
        <v>44863</v>
      </c>
      <c r="T3020" t="s">
        <v>46440</v>
      </c>
      <c r="U3020" t="s">
        <v>49522</v>
      </c>
      <c r="W3020" t="s">
        <v>41894</v>
      </c>
      <c r="X3020" t="s">
        <v>44763</v>
      </c>
    </row>
    <row r="3021" spans="1:24">
      <c r="A3021">
        <f>HYPERLINK("https://www.philgeps.gov.ph/GEPSNONPILOT/Tender/SplashBidNoticeAbstractUI.aspx?menuIndex=3&amp;refID=7149393&amp;Result=3","7149393")</f>
        <v>0</v>
      </c>
      <c r="B3021" t="s">
        <v>1278</v>
      </c>
      <c r="C3021" t="s">
        <v>6661</v>
      </c>
      <c r="D3021" t="s">
        <v>17957</v>
      </c>
      <c r="E3021" t="s">
        <v>20786</v>
      </c>
      <c r="F3021" t="s">
        <v>30900</v>
      </c>
      <c r="G3021" t="s">
        <v>30907</v>
      </c>
      <c r="H3021" t="s">
        <v>30916</v>
      </c>
      <c r="I3021" t="s">
        <v>4545</v>
      </c>
      <c r="J3021" t="s">
        <v>31587</v>
      </c>
      <c r="K3021" t="s">
        <v>40291</v>
      </c>
      <c r="M3021" t="s">
        <v>41895</v>
      </c>
      <c r="N3021" t="s">
        <v>44759</v>
      </c>
      <c r="O3021" t="s">
        <v>44760</v>
      </c>
      <c r="P3021">
        <v>0</v>
      </c>
      <c r="Q3021">
        <v>2</v>
      </c>
      <c r="R3021" t="s">
        <v>44762</v>
      </c>
      <c r="S3021" t="s">
        <v>44863</v>
      </c>
      <c r="T3021" t="s">
        <v>46377</v>
      </c>
      <c r="U3021" t="s">
        <v>49523</v>
      </c>
      <c r="W3021" t="s">
        <v>41895</v>
      </c>
      <c r="X3021" t="s">
        <v>44763</v>
      </c>
    </row>
    <row r="3022" spans="1:24">
      <c r="A3022">
        <f>HYPERLINK("https://www.philgeps.gov.ph/GEPSNONPILOT/Tender/SplashBidNoticeAbstractUI.aspx?menuIndex=3&amp;refID=7149389&amp;Result=3","7149389")</f>
        <v>0</v>
      </c>
      <c r="B3022" t="s">
        <v>992</v>
      </c>
      <c r="C3022" t="s">
        <v>4355</v>
      </c>
      <c r="D3022" t="s">
        <v>17985</v>
      </c>
      <c r="E3022" t="s">
        <v>20787</v>
      </c>
      <c r="F3022" t="s">
        <v>30900</v>
      </c>
      <c r="G3022" t="s">
        <v>30908</v>
      </c>
      <c r="H3022" t="s">
        <v>30916</v>
      </c>
      <c r="I3022" t="s">
        <v>4545</v>
      </c>
      <c r="J3022" t="s">
        <v>31811</v>
      </c>
      <c r="K3022" t="s">
        <v>40283</v>
      </c>
      <c r="M3022" t="s">
        <v>41580</v>
      </c>
      <c r="N3022" t="s">
        <v>44759</v>
      </c>
      <c r="O3022" t="s">
        <v>44760</v>
      </c>
      <c r="P3022">
        <v>0</v>
      </c>
      <c r="Q3022">
        <v>0</v>
      </c>
      <c r="R3022" t="s">
        <v>44762</v>
      </c>
      <c r="S3022" t="s">
        <v>44863</v>
      </c>
      <c r="T3022" t="s">
        <v>46379</v>
      </c>
      <c r="U3022" t="s">
        <v>49524</v>
      </c>
      <c r="W3022" t="s">
        <v>41580</v>
      </c>
      <c r="X3022" t="s">
        <v>44763</v>
      </c>
    </row>
    <row r="3023" spans="1:24">
      <c r="A3023">
        <f>HYPERLINK("https://www.philgeps.gov.ph/GEPSNONPILOT/Tender/SplashBidNoticeAbstractUI.aspx?menuIndex=3&amp;refID=7149371&amp;Result=3","7149371")</f>
        <v>0</v>
      </c>
      <c r="B3023" t="s">
        <v>1279</v>
      </c>
      <c r="C3023" t="s">
        <v>6662</v>
      </c>
      <c r="D3023" t="s">
        <v>17963</v>
      </c>
      <c r="E3023" t="s">
        <v>20788</v>
      </c>
      <c r="F3023" t="s">
        <v>30900</v>
      </c>
      <c r="G3023" t="s">
        <v>30907</v>
      </c>
      <c r="H3023" t="s">
        <v>30916</v>
      </c>
      <c r="I3023" t="s">
        <v>30963</v>
      </c>
      <c r="J3023" t="s">
        <v>31788</v>
      </c>
      <c r="K3023" t="s">
        <v>40280</v>
      </c>
      <c r="M3023" t="s">
        <v>41896</v>
      </c>
      <c r="N3023" t="s">
        <v>44759</v>
      </c>
      <c r="O3023" t="s">
        <v>44760</v>
      </c>
      <c r="P3023">
        <v>0</v>
      </c>
      <c r="Q3023">
        <v>4</v>
      </c>
      <c r="R3023" t="s">
        <v>44762</v>
      </c>
      <c r="S3023" t="s">
        <v>44863</v>
      </c>
      <c r="T3023" t="s">
        <v>46409</v>
      </c>
      <c r="U3023" t="s">
        <v>49525</v>
      </c>
      <c r="W3023" t="s">
        <v>41896</v>
      </c>
      <c r="X3023" t="s">
        <v>44763</v>
      </c>
    </row>
    <row r="3024" spans="1:24">
      <c r="A3024">
        <f>HYPERLINK("https://www.philgeps.gov.ph/GEPSNONPILOT/Tender/SplashBidNoticeAbstractUI.aspx?menuIndex=3&amp;refID=7149370&amp;Result=3","7149370")</f>
        <v>0</v>
      </c>
      <c r="B3024" t="s">
        <v>373</v>
      </c>
      <c r="C3024" t="s">
        <v>6663</v>
      </c>
      <c r="E3024" t="s">
        <v>20789</v>
      </c>
      <c r="F3024" t="s">
        <v>30900</v>
      </c>
      <c r="G3024" t="s">
        <v>30908</v>
      </c>
      <c r="H3024" t="s">
        <v>30916</v>
      </c>
      <c r="I3024" t="s">
        <v>30974</v>
      </c>
      <c r="J3024" t="s">
        <v>33218</v>
      </c>
      <c r="K3024" t="s">
        <v>40283</v>
      </c>
      <c r="M3024" t="s">
        <v>40927</v>
      </c>
      <c r="N3024" t="s">
        <v>44759</v>
      </c>
      <c r="O3024" t="s">
        <v>44760</v>
      </c>
      <c r="P3024">
        <v>0</v>
      </c>
      <c r="Q3024">
        <v>0</v>
      </c>
      <c r="R3024" t="s">
        <v>44762</v>
      </c>
      <c r="S3024" t="s">
        <v>44863</v>
      </c>
      <c r="T3024" t="s">
        <v>46398</v>
      </c>
      <c r="U3024" t="s">
        <v>49526</v>
      </c>
      <c r="W3024" t="s">
        <v>40927</v>
      </c>
      <c r="X3024" t="s">
        <v>44763</v>
      </c>
    </row>
    <row r="3025" spans="1:24">
      <c r="A3025">
        <f>HYPERLINK("https://www.philgeps.gov.ph/GEPSNONPILOT/Tender/SplashBidNoticeAbstractUI.aspx?menuIndex=3&amp;refID=7149399&amp;Result=3","7149399")</f>
        <v>0</v>
      </c>
      <c r="B3025" t="s">
        <v>1280</v>
      </c>
      <c r="C3025" t="s">
        <v>6664</v>
      </c>
      <c r="D3025" t="s">
        <v>18010</v>
      </c>
      <c r="E3025" t="s">
        <v>20790</v>
      </c>
      <c r="F3025" t="s">
        <v>30900</v>
      </c>
      <c r="G3025" t="s">
        <v>30908</v>
      </c>
      <c r="H3025" t="s">
        <v>30916</v>
      </c>
      <c r="I3025" t="s">
        <v>30923</v>
      </c>
      <c r="J3025" t="s">
        <v>33219</v>
      </c>
      <c r="K3025" t="s">
        <v>40289</v>
      </c>
      <c r="M3025" t="s">
        <v>41897</v>
      </c>
      <c r="N3025" t="s">
        <v>44759</v>
      </c>
      <c r="O3025" t="s">
        <v>44760</v>
      </c>
      <c r="P3025">
        <v>0</v>
      </c>
      <c r="Q3025">
        <v>2</v>
      </c>
      <c r="R3025" t="s">
        <v>44762</v>
      </c>
      <c r="S3025" t="s">
        <v>44863</v>
      </c>
      <c r="T3025" t="s">
        <v>46379</v>
      </c>
      <c r="U3025" t="s">
        <v>49527</v>
      </c>
      <c r="W3025" t="s">
        <v>41897</v>
      </c>
      <c r="X3025" t="s">
        <v>44763</v>
      </c>
    </row>
    <row r="3026" spans="1:24">
      <c r="A3026">
        <f>HYPERLINK("https://www.philgeps.gov.ph/GEPSNONPILOT/Tender/SplashBidNoticeAbstractUI.aspx?menuIndex=3&amp;refID=7149348&amp;Result=3","7149348")</f>
        <v>0</v>
      </c>
      <c r="B3026" t="s">
        <v>335</v>
      </c>
      <c r="C3026" t="s">
        <v>6665</v>
      </c>
      <c r="D3026" t="s">
        <v>17993</v>
      </c>
      <c r="E3026" t="s">
        <v>20791</v>
      </c>
      <c r="F3026" t="s">
        <v>30900</v>
      </c>
      <c r="G3026" t="s">
        <v>30908</v>
      </c>
      <c r="H3026" t="s">
        <v>30916</v>
      </c>
      <c r="I3026" t="s">
        <v>4050</v>
      </c>
      <c r="J3026" t="s">
        <v>31049</v>
      </c>
      <c r="K3026" t="s">
        <v>40294</v>
      </c>
      <c r="M3026" t="s">
        <v>40886</v>
      </c>
      <c r="N3026" t="s">
        <v>44759</v>
      </c>
      <c r="O3026" t="s">
        <v>44760</v>
      </c>
      <c r="P3026">
        <v>0</v>
      </c>
      <c r="Q3026">
        <v>0</v>
      </c>
      <c r="R3026" t="s">
        <v>44762</v>
      </c>
      <c r="S3026" t="s">
        <v>44863</v>
      </c>
      <c r="T3026" t="s">
        <v>46398</v>
      </c>
      <c r="U3026" t="s">
        <v>49465</v>
      </c>
      <c r="W3026" t="s">
        <v>40886</v>
      </c>
      <c r="X3026" t="s">
        <v>44763</v>
      </c>
    </row>
    <row r="3027" spans="1:24">
      <c r="A3027">
        <f>HYPERLINK("https://www.philgeps.gov.ph/GEPSNONPILOT/Tender/SplashBidNoticeAbstractUI.aspx?menuIndex=3&amp;refID=7149347&amp;Result=3","7149347")</f>
        <v>0</v>
      </c>
      <c r="B3027" t="s">
        <v>1281</v>
      </c>
      <c r="C3027" t="s">
        <v>6666</v>
      </c>
      <c r="D3027" t="s">
        <v>17966</v>
      </c>
      <c r="E3027" t="s">
        <v>20792</v>
      </c>
      <c r="F3027" t="s">
        <v>30900</v>
      </c>
      <c r="G3027" t="s">
        <v>30907</v>
      </c>
      <c r="H3027" t="s">
        <v>30916</v>
      </c>
      <c r="I3027" t="s">
        <v>4545</v>
      </c>
      <c r="J3027" t="s">
        <v>31944</v>
      </c>
      <c r="K3027" t="s">
        <v>40283</v>
      </c>
      <c r="M3027" t="s">
        <v>41898</v>
      </c>
      <c r="N3027" t="s">
        <v>44759</v>
      </c>
      <c r="O3027" t="s">
        <v>44760</v>
      </c>
      <c r="P3027">
        <v>0</v>
      </c>
      <c r="Q3027">
        <v>3</v>
      </c>
      <c r="R3027" t="s">
        <v>44762</v>
      </c>
      <c r="S3027" t="s">
        <v>44863</v>
      </c>
      <c r="T3027" t="s">
        <v>46624</v>
      </c>
      <c r="U3027" t="s">
        <v>49528</v>
      </c>
      <c r="W3027" t="s">
        <v>60856</v>
      </c>
      <c r="X3027" t="s">
        <v>44763</v>
      </c>
    </row>
    <row r="3028" spans="1:24">
      <c r="A3028">
        <f>HYPERLINK("https://www.philgeps.gov.ph/GEPSNONPILOT/Tender/SplashBidNoticeAbstractUI.aspx?menuIndex=3&amp;refID=7149392&amp;Result=3","7149392")</f>
        <v>0</v>
      </c>
      <c r="B3028" t="s">
        <v>250</v>
      </c>
      <c r="C3028" t="s">
        <v>6667</v>
      </c>
      <c r="E3028" t="s">
        <v>20793</v>
      </c>
      <c r="F3028" t="s">
        <v>30900</v>
      </c>
      <c r="G3028" t="s">
        <v>30907</v>
      </c>
      <c r="H3028" t="s">
        <v>30916</v>
      </c>
      <c r="I3028" t="s">
        <v>4142</v>
      </c>
      <c r="J3028" t="s">
        <v>33220</v>
      </c>
      <c r="K3028" t="s">
        <v>40283</v>
      </c>
      <c r="M3028" t="s">
        <v>40797</v>
      </c>
      <c r="N3028" t="s">
        <v>44759</v>
      </c>
      <c r="O3028" t="s">
        <v>44760</v>
      </c>
      <c r="P3028">
        <v>0</v>
      </c>
      <c r="Q3028">
        <v>1</v>
      </c>
      <c r="R3028" t="s">
        <v>44762</v>
      </c>
      <c r="S3028" t="s">
        <v>44863</v>
      </c>
      <c r="T3028" t="s">
        <v>46515</v>
      </c>
      <c r="U3028" t="s">
        <v>49529</v>
      </c>
      <c r="W3028" t="s">
        <v>40797</v>
      </c>
      <c r="X3028" t="s">
        <v>44763</v>
      </c>
    </row>
    <row r="3029" spans="1:24">
      <c r="A3029">
        <f>HYPERLINK("https://www.philgeps.gov.ph/GEPSNONPILOT/Tender/SplashBidNoticeAbstractUI.aspx?menuIndex=3&amp;refID=7149403&amp;Result=3","7149403")</f>
        <v>0</v>
      </c>
      <c r="B3029" t="s">
        <v>233</v>
      </c>
      <c r="C3029" t="s">
        <v>6668</v>
      </c>
      <c r="E3029" t="s">
        <v>19719</v>
      </c>
      <c r="F3029" t="s">
        <v>30900</v>
      </c>
      <c r="G3029" t="s">
        <v>30908</v>
      </c>
      <c r="H3029" t="s">
        <v>30916</v>
      </c>
      <c r="I3029" t="s">
        <v>10847</v>
      </c>
      <c r="J3029" t="s">
        <v>31101</v>
      </c>
      <c r="K3029" t="s">
        <v>40289</v>
      </c>
      <c r="M3029" t="s">
        <v>40780</v>
      </c>
      <c r="N3029" t="s">
        <v>44759</v>
      </c>
      <c r="O3029" t="s">
        <v>44760</v>
      </c>
      <c r="P3029">
        <v>0</v>
      </c>
      <c r="Q3029">
        <v>0</v>
      </c>
      <c r="R3029" t="s">
        <v>44762</v>
      </c>
      <c r="S3029" t="s">
        <v>44863</v>
      </c>
      <c r="T3029" t="s">
        <v>46538</v>
      </c>
      <c r="U3029" t="s">
        <v>49530</v>
      </c>
      <c r="W3029" t="s">
        <v>40780</v>
      </c>
      <c r="X3029" t="s">
        <v>44763</v>
      </c>
    </row>
    <row r="3030" spans="1:24">
      <c r="A3030">
        <f>HYPERLINK("https://www.philgeps.gov.ph/GEPSNONPILOT/Tender/SplashBidNoticeAbstractUI.aspx?menuIndex=3&amp;refID=7149294&amp;Result=3","7149294")</f>
        <v>0</v>
      </c>
      <c r="B3030" t="s">
        <v>1282</v>
      </c>
      <c r="C3030" t="s">
        <v>6669</v>
      </c>
      <c r="D3030" t="s">
        <v>18005</v>
      </c>
      <c r="E3030" t="s">
        <v>20794</v>
      </c>
      <c r="F3030" t="s">
        <v>30900</v>
      </c>
      <c r="G3030" t="s">
        <v>30909</v>
      </c>
      <c r="H3030" t="s">
        <v>30916</v>
      </c>
      <c r="I3030" t="s">
        <v>30925</v>
      </c>
      <c r="J3030" t="s">
        <v>31522</v>
      </c>
      <c r="K3030" t="s">
        <v>40285</v>
      </c>
      <c r="M3030" t="s">
        <v>41899</v>
      </c>
      <c r="N3030" t="s">
        <v>44759</v>
      </c>
      <c r="O3030" t="s">
        <v>44760</v>
      </c>
      <c r="P3030">
        <v>0</v>
      </c>
      <c r="Q3030">
        <v>0</v>
      </c>
      <c r="R3030" t="s">
        <v>44762</v>
      </c>
      <c r="S3030" t="s">
        <v>44863</v>
      </c>
      <c r="T3030" t="s">
        <v>46585</v>
      </c>
      <c r="U3030" t="s">
        <v>49531</v>
      </c>
      <c r="W3030" t="s">
        <v>41899</v>
      </c>
      <c r="X3030" t="s">
        <v>44763</v>
      </c>
    </row>
    <row r="3031" spans="1:24">
      <c r="A3031">
        <f>HYPERLINK("https://www.philgeps.gov.ph/GEPSNONPILOT/Tender/SplashBidNoticeAbstractUI.aspx?menuIndex=3&amp;refID=7149293&amp;Result=3","7149293")</f>
        <v>0</v>
      </c>
      <c r="B3031" t="s">
        <v>78</v>
      </c>
      <c r="C3031" t="s">
        <v>6670</v>
      </c>
      <c r="D3031" t="s">
        <v>17987</v>
      </c>
      <c r="E3031" t="s">
        <v>20795</v>
      </c>
      <c r="F3031" t="s">
        <v>30900</v>
      </c>
      <c r="G3031" t="s">
        <v>30907</v>
      </c>
      <c r="H3031" t="s">
        <v>30916</v>
      </c>
      <c r="I3031" t="s">
        <v>8123</v>
      </c>
      <c r="J3031" t="s">
        <v>33221</v>
      </c>
      <c r="K3031" t="s">
        <v>40289</v>
      </c>
      <c r="M3031" t="s">
        <v>40625</v>
      </c>
      <c r="N3031" t="s">
        <v>44759</v>
      </c>
      <c r="O3031" t="s">
        <v>44760</v>
      </c>
      <c r="P3031">
        <v>0</v>
      </c>
      <c r="Q3031">
        <v>0</v>
      </c>
      <c r="R3031" t="s">
        <v>44762</v>
      </c>
      <c r="S3031" t="s">
        <v>44863</v>
      </c>
      <c r="T3031" t="s">
        <v>46387</v>
      </c>
      <c r="U3031" t="s">
        <v>49477</v>
      </c>
      <c r="W3031" t="s">
        <v>40625</v>
      </c>
      <c r="X3031" t="s">
        <v>44763</v>
      </c>
    </row>
    <row r="3032" spans="1:24">
      <c r="A3032">
        <f>HYPERLINK("https://www.philgeps.gov.ph/GEPSNONPILOT/Tender/SplashBidNoticeAbstractUI.aspx?menuIndex=3&amp;refID=7149345&amp;Result=3","7149345")</f>
        <v>0</v>
      </c>
      <c r="B3032" t="s">
        <v>493</v>
      </c>
      <c r="C3032" t="s">
        <v>6671</v>
      </c>
      <c r="D3032" t="s">
        <v>17975</v>
      </c>
      <c r="E3032" t="s">
        <v>20796</v>
      </c>
      <c r="F3032" t="s">
        <v>30900</v>
      </c>
      <c r="G3032" t="s">
        <v>30907</v>
      </c>
      <c r="H3032" t="s">
        <v>30915</v>
      </c>
      <c r="I3032" t="s">
        <v>30919</v>
      </c>
      <c r="J3032" t="s">
        <v>31243</v>
      </c>
      <c r="K3032" t="s">
        <v>40289</v>
      </c>
      <c r="M3032" t="s">
        <v>41052</v>
      </c>
      <c r="N3032" t="s">
        <v>44759</v>
      </c>
      <c r="O3032" t="s">
        <v>44760</v>
      </c>
      <c r="P3032">
        <v>0</v>
      </c>
      <c r="Q3032">
        <v>0</v>
      </c>
      <c r="R3032" t="s">
        <v>44762</v>
      </c>
      <c r="S3032" t="s">
        <v>44863</v>
      </c>
      <c r="T3032" t="s">
        <v>46418</v>
      </c>
      <c r="U3032" t="s">
        <v>49532</v>
      </c>
      <c r="V3032" t="s">
        <v>59226</v>
      </c>
      <c r="W3032" t="s">
        <v>41052</v>
      </c>
      <c r="X3032" t="s">
        <v>44763</v>
      </c>
    </row>
    <row r="3033" spans="1:24">
      <c r="A3033">
        <f>HYPERLINK("https://www.philgeps.gov.ph/GEPSNONPILOT/Tender/SplashBidNoticeAbstractUI.aspx?menuIndex=3&amp;refID=7149292&amp;Result=3","7149292")</f>
        <v>0</v>
      </c>
      <c r="B3033" t="s">
        <v>1239</v>
      </c>
      <c r="C3033" t="s">
        <v>6672</v>
      </c>
      <c r="D3033" t="s">
        <v>17990</v>
      </c>
      <c r="E3033" t="s">
        <v>20797</v>
      </c>
      <c r="F3033" t="s">
        <v>30900</v>
      </c>
      <c r="G3033" t="s">
        <v>30909</v>
      </c>
      <c r="H3033" t="s">
        <v>30916</v>
      </c>
      <c r="I3033" t="s">
        <v>4142</v>
      </c>
      <c r="J3033" t="s">
        <v>31912</v>
      </c>
      <c r="K3033" t="s">
        <v>40287</v>
      </c>
      <c r="M3033" t="s">
        <v>41851</v>
      </c>
      <c r="N3033" t="s">
        <v>44759</v>
      </c>
      <c r="O3033" t="s">
        <v>44760</v>
      </c>
      <c r="P3033">
        <v>0</v>
      </c>
      <c r="Q3033">
        <v>0</v>
      </c>
      <c r="R3033" t="s">
        <v>44762</v>
      </c>
      <c r="S3033" t="s">
        <v>44863</v>
      </c>
      <c r="T3033" t="s">
        <v>46357</v>
      </c>
      <c r="U3033" t="s">
        <v>49533</v>
      </c>
      <c r="W3033" t="s">
        <v>41851</v>
      </c>
      <c r="X3033" t="s">
        <v>44763</v>
      </c>
    </row>
    <row r="3034" spans="1:24">
      <c r="A3034">
        <f>HYPERLINK("https://www.philgeps.gov.ph/GEPSNONPILOT/Tender/SplashBidNoticeAbstractUI.aspx?menuIndex=3&amp;refID=7149397&amp;Result=3","7149397")</f>
        <v>0</v>
      </c>
      <c r="B3034" t="s">
        <v>704</v>
      </c>
      <c r="C3034" t="s">
        <v>6673</v>
      </c>
      <c r="D3034" t="s">
        <v>17987</v>
      </c>
      <c r="E3034" t="s">
        <v>20798</v>
      </c>
      <c r="F3034" t="s">
        <v>30900</v>
      </c>
      <c r="G3034" t="s">
        <v>30907</v>
      </c>
      <c r="H3034" t="s">
        <v>30916</v>
      </c>
      <c r="I3034" t="s">
        <v>30924</v>
      </c>
      <c r="J3034" t="s">
        <v>31284</v>
      </c>
      <c r="K3034" t="s">
        <v>40283</v>
      </c>
      <c r="M3034" t="s">
        <v>41268</v>
      </c>
      <c r="N3034" t="s">
        <v>44759</v>
      </c>
      <c r="O3034" t="s">
        <v>44760</v>
      </c>
      <c r="P3034">
        <v>0</v>
      </c>
      <c r="Q3034">
        <v>0</v>
      </c>
      <c r="R3034" t="s">
        <v>44762</v>
      </c>
      <c r="S3034" t="s">
        <v>44863</v>
      </c>
      <c r="T3034" t="s">
        <v>46409</v>
      </c>
      <c r="U3034" t="s">
        <v>49534</v>
      </c>
      <c r="W3034" t="s">
        <v>41268</v>
      </c>
      <c r="X3034" t="s">
        <v>44763</v>
      </c>
    </row>
    <row r="3035" spans="1:24">
      <c r="A3035">
        <f>HYPERLINK("https://www.philgeps.gov.ph/GEPSNONPILOT/Tender/SplashBidNoticeAbstractUI.aspx?menuIndex=3&amp;refID=7149346&amp;Result=3","7149346")</f>
        <v>0</v>
      </c>
      <c r="B3035" t="s">
        <v>497</v>
      </c>
      <c r="C3035" t="s">
        <v>6674</v>
      </c>
      <c r="D3035" t="s">
        <v>17951</v>
      </c>
      <c r="E3035" t="s">
        <v>18912</v>
      </c>
      <c r="F3035" t="s">
        <v>30900</v>
      </c>
      <c r="G3035" t="s">
        <v>30908</v>
      </c>
      <c r="H3035" t="s">
        <v>30916</v>
      </c>
      <c r="I3035" t="s">
        <v>30960</v>
      </c>
      <c r="J3035" t="s">
        <v>31236</v>
      </c>
      <c r="K3035" t="s">
        <v>40285</v>
      </c>
      <c r="M3035" t="s">
        <v>41056</v>
      </c>
      <c r="N3035" t="s">
        <v>44759</v>
      </c>
      <c r="O3035" t="s">
        <v>44760</v>
      </c>
      <c r="P3035">
        <v>0</v>
      </c>
      <c r="Q3035">
        <v>0</v>
      </c>
      <c r="R3035" t="s">
        <v>44762</v>
      </c>
      <c r="S3035" t="s">
        <v>44863</v>
      </c>
      <c r="T3035" t="s">
        <v>46414</v>
      </c>
      <c r="U3035" t="s">
        <v>49535</v>
      </c>
      <c r="W3035" t="s">
        <v>41056</v>
      </c>
      <c r="X3035" t="s">
        <v>44763</v>
      </c>
    </row>
    <row r="3036" spans="1:24">
      <c r="A3036">
        <f>HYPERLINK("https://www.philgeps.gov.ph/GEPSNONPILOT/Tender/SplashBidNoticeAbstractUI.aspx?menuIndex=3&amp;refID=7149290&amp;Result=3","7149290")</f>
        <v>0</v>
      </c>
      <c r="B3036" t="s">
        <v>1236</v>
      </c>
      <c r="C3036" t="s">
        <v>6675</v>
      </c>
      <c r="D3036" t="s">
        <v>17998</v>
      </c>
      <c r="E3036" t="s">
        <v>20799</v>
      </c>
      <c r="F3036" t="s">
        <v>30900</v>
      </c>
      <c r="G3036" t="s">
        <v>30907</v>
      </c>
      <c r="H3036" t="s">
        <v>30916</v>
      </c>
      <c r="I3036" t="s">
        <v>30922</v>
      </c>
      <c r="J3036" t="s">
        <v>31835</v>
      </c>
      <c r="K3036" t="s">
        <v>40286</v>
      </c>
      <c r="L3036" t="s">
        <v>1236</v>
      </c>
      <c r="M3036" t="s">
        <v>41848</v>
      </c>
      <c r="N3036" t="s">
        <v>44759</v>
      </c>
      <c r="O3036" t="s">
        <v>44760</v>
      </c>
      <c r="P3036">
        <v>0</v>
      </c>
      <c r="Q3036">
        <v>1</v>
      </c>
      <c r="R3036" t="s">
        <v>44762</v>
      </c>
      <c r="S3036" t="s">
        <v>44863</v>
      </c>
      <c r="T3036" t="s">
        <v>46389</v>
      </c>
      <c r="U3036" t="s">
        <v>49536</v>
      </c>
      <c r="V3036" t="s">
        <v>59456</v>
      </c>
      <c r="W3036" t="s">
        <v>41848</v>
      </c>
      <c r="X3036" t="s">
        <v>44763</v>
      </c>
    </row>
    <row r="3037" spans="1:24">
      <c r="A3037">
        <f>HYPERLINK("https://www.philgeps.gov.ph/GEPSNONPILOT/Tender/SplashBidNoticeAbstractUI.aspx?menuIndex=3&amp;refID=7149411&amp;Result=3","7149411")</f>
        <v>0</v>
      </c>
      <c r="B3037" t="s">
        <v>1283</v>
      </c>
      <c r="C3037" t="s">
        <v>6676</v>
      </c>
      <c r="D3037" t="s">
        <v>18003</v>
      </c>
      <c r="E3037" t="s">
        <v>20800</v>
      </c>
      <c r="F3037" t="s">
        <v>30900</v>
      </c>
      <c r="G3037" t="s">
        <v>30907</v>
      </c>
      <c r="H3037" t="s">
        <v>30915</v>
      </c>
      <c r="I3037" t="s">
        <v>30919</v>
      </c>
      <c r="J3037" t="s">
        <v>33222</v>
      </c>
      <c r="K3037" t="s">
        <v>40286</v>
      </c>
      <c r="M3037" t="s">
        <v>41900</v>
      </c>
      <c r="N3037" t="s">
        <v>44759</v>
      </c>
      <c r="O3037" t="s">
        <v>44760</v>
      </c>
      <c r="P3037">
        <v>0</v>
      </c>
      <c r="Q3037">
        <v>1</v>
      </c>
      <c r="R3037" t="s">
        <v>44762</v>
      </c>
      <c r="S3037" t="s">
        <v>44863</v>
      </c>
      <c r="T3037" t="s">
        <v>46409</v>
      </c>
      <c r="U3037" t="s">
        <v>49537</v>
      </c>
      <c r="V3037" t="s">
        <v>59457</v>
      </c>
      <c r="W3037" t="s">
        <v>41900</v>
      </c>
      <c r="X3037" t="s">
        <v>44763</v>
      </c>
    </row>
    <row r="3038" spans="1:24">
      <c r="A3038">
        <f>HYPERLINK("https://www.philgeps.gov.ph/GEPSNONPILOT/Tender/SplashBidNoticeAbstractUI.aspx?menuIndex=3&amp;refID=7149296&amp;Result=3","7149296")</f>
        <v>0</v>
      </c>
      <c r="B3038" t="s">
        <v>1284</v>
      </c>
      <c r="C3038" t="s">
        <v>6677</v>
      </c>
      <c r="D3038" t="s">
        <v>17959</v>
      </c>
      <c r="E3038" t="s">
        <v>20801</v>
      </c>
      <c r="F3038" t="s">
        <v>30900</v>
      </c>
      <c r="G3038" t="s">
        <v>30908</v>
      </c>
      <c r="H3038" t="s">
        <v>30916</v>
      </c>
      <c r="I3038" t="s">
        <v>4108</v>
      </c>
      <c r="J3038" t="s">
        <v>31043</v>
      </c>
      <c r="K3038" t="s">
        <v>40289</v>
      </c>
      <c r="M3038" t="s">
        <v>41901</v>
      </c>
      <c r="N3038" t="s">
        <v>44759</v>
      </c>
      <c r="O3038" t="s">
        <v>44760</v>
      </c>
      <c r="P3038">
        <v>0</v>
      </c>
      <c r="Q3038">
        <v>2</v>
      </c>
      <c r="R3038" t="s">
        <v>44762</v>
      </c>
      <c r="S3038" t="s">
        <v>44863</v>
      </c>
      <c r="T3038" t="s">
        <v>46538</v>
      </c>
      <c r="U3038" t="s">
        <v>49538</v>
      </c>
      <c r="V3038" t="s">
        <v>59200</v>
      </c>
      <c r="W3038" t="s">
        <v>41901</v>
      </c>
      <c r="X3038" t="s">
        <v>44763</v>
      </c>
    </row>
    <row r="3039" spans="1:24">
      <c r="A3039">
        <f>HYPERLINK("https://www.philgeps.gov.ph/GEPSNONPILOT/Tender/SplashBidNoticeAbstractUI.aspx?menuIndex=3&amp;refID=7149441&amp;Result=3","7149441")</f>
        <v>0</v>
      </c>
      <c r="B3039" t="s">
        <v>497</v>
      </c>
      <c r="C3039" t="s">
        <v>6678</v>
      </c>
      <c r="D3039" t="s">
        <v>17951</v>
      </c>
      <c r="E3039" t="s">
        <v>18912</v>
      </c>
      <c r="F3039" t="s">
        <v>30900</v>
      </c>
      <c r="G3039" t="s">
        <v>30908</v>
      </c>
      <c r="H3039" t="s">
        <v>30916</v>
      </c>
      <c r="I3039" t="s">
        <v>30960</v>
      </c>
      <c r="J3039" t="s">
        <v>33223</v>
      </c>
      <c r="K3039" t="s">
        <v>40285</v>
      </c>
      <c r="M3039" t="s">
        <v>41056</v>
      </c>
      <c r="N3039" t="s">
        <v>44759</v>
      </c>
      <c r="O3039" t="s">
        <v>44760</v>
      </c>
      <c r="P3039">
        <v>0</v>
      </c>
      <c r="Q3039">
        <v>2</v>
      </c>
      <c r="R3039" t="s">
        <v>44762</v>
      </c>
      <c r="S3039" t="s">
        <v>44863</v>
      </c>
      <c r="T3039" t="s">
        <v>46414</v>
      </c>
      <c r="U3039" t="s">
        <v>49539</v>
      </c>
      <c r="W3039" t="s">
        <v>41056</v>
      </c>
      <c r="X3039" t="s">
        <v>44763</v>
      </c>
    </row>
    <row r="3040" spans="1:24">
      <c r="A3040">
        <f>HYPERLINK("https://www.philgeps.gov.ph/GEPSNONPILOT/Tender/SplashBidNoticeAbstractUI.aspx?menuIndex=3&amp;refID=7149440&amp;Result=3","7149440")</f>
        <v>0</v>
      </c>
      <c r="B3040" t="s">
        <v>1285</v>
      </c>
      <c r="C3040" t="s">
        <v>6679</v>
      </c>
      <c r="D3040" t="s">
        <v>17958</v>
      </c>
      <c r="E3040" t="s">
        <v>20802</v>
      </c>
      <c r="F3040" t="s">
        <v>30900</v>
      </c>
      <c r="G3040" t="s">
        <v>30906</v>
      </c>
      <c r="H3040" t="s">
        <v>30916</v>
      </c>
      <c r="I3040" t="s">
        <v>9385</v>
      </c>
      <c r="J3040" t="s">
        <v>33224</v>
      </c>
      <c r="K3040" t="s">
        <v>40287</v>
      </c>
      <c r="M3040" t="s">
        <v>41902</v>
      </c>
      <c r="N3040" t="s">
        <v>44759</v>
      </c>
      <c r="O3040" t="s">
        <v>44760</v>
      </c>
      <c r="P3040">
        <v>0</v>
      </c>
      <c r="Q3040">
        <v>3</v>
      </c>
      <c r="R3040" t="s">
        <v>44762</v>
      </c>
      <c r="S3040" t="s">
        <v>44863</v>
      </c>
      <c r="T3040" t="s">
        <v>46383</v>
      </c>
      <c r="U3040" t="s">
        <v>49540</v>
      </c>
      <c r="W3040" t="s">
        <v>41902</v>
      </c>
      <c r="X3040" t="s">
        <v>44763</v>
      </c>
    </row>
    <row r="3041" spans="1:24">
      <c r="A3041">
        <f>HYPERLINK("https://www.philgeps.gov.ph/GEPSNONPILOT/Tender/SplashBidNoticeAbstractUI.aspx?menuIndex=3&amp;refID=7149438&amp;Result=3","7149438")</f>
        <v>0</v>
      </c>
      <c r="B3041" t="s">
        <v>1286</v>
      </c>
      <c r="C3041" t="s">
        <v>6680</v>
      </c>
      <c r="D3041" t="s">
        <v>17953</v>
      </c>
      <c r="E3041" t="s">
        <v>19570</v>
      </c>
      <c r="F3041" t="s">
        <v>30900</v>
      </c>
      <c r="G3041" t="s">
        <v>30907</v>
      </c>
      <c r="H3041" t="s">
        <v>30916</v>
      </c>
      <c r="I3041" t="s">
        <v>8365</v>
      </c>
      <c r="J3041" t="s">
        <v>33225</v>
      </c>
      <c r="K3041" t="s">
        <v>40281</v>
      </c>
      <c r="M3041" t="s">
        <v>41903</v>
      </c>
      <c r="N3041" t="s">
        <v>44759</v>
      </c>
      <c r="O3041" t="s">
        <v>44760</v>
      </c>
      <c r="P3041">
        <v>0</v>
      </c>
      <c r="Q3041">
        <v>1</v>
      </c>
      <c r="R3041" t="s">
        <v>44762</v>
      </c>
      <c r="S3041" t="s">
        <v>44863</v>
      </c>
      <c r="T3041" t="s">
        <v>46394</v>
      </c>
      <c r="U3041" t="s">
        <v>49541</v>
      </c>
      <c r="W3041" t="s">
        <v>41903</v>
      </c>
      <c r="X3041" t="s">
        <v>44763</v>
      </c>
    </row>
    <row r="3042" spans="1:24">
      <c r="A3042">
        <f>HYPERLINK("https://www.philgeps.gov.ph/GEPSNONPILOT/Tender/SplashBidNoticeAbstractUI.aspx?menuIndex=3&amp;refID=7149369&amp;Result=3","7149369")</f>
        <v>0</v>
      </c>
      <c r="B3042" t="s">
        <v>233</v>
      </c>
      <c r="C3042" t="s">
        <v>6681</v>
      </c>
      <c r="E3042" t="s">
        <v>20803</v>
      </c>
      <c r="F3042" t="s">
        <v>30900</v>
      </c>
      <c r="G3042" t="s">
        <v>30908</v>
      </c>
      <c r="H3042" t="s">
        <v>30916</v>
      </c>
      <c r="I3042" t="s">
        <v>4142</v>
      </c>
      <c r="J3042" t="s">
        <v>31713</v>
      </c>
      <c r="K3042" t="s">
        <v>40289</v>
      </c>
      <c r="M3042" t="s">
        <v>40780</v>
      </c>
      <c r="N3042" t="s">
        <v>44759</v>
      </c>
      <c r="O3042" t="s">
        <v>44760</v>
      </c>
      <c r="P3042">
        <v>0</v>
      </c>
      <c r="Q3042">
        <v>1</v>
      </c>
      <c r="R3042" t="s">
        <v>44762</v>
      </c>
      <c r="S3042" t="s">
        <v>44863</v>
      </c>
      <c r="T3042" t="s">
        <v>46538</v>
      </c>
      <c r="U3042" t="s">
        <v>49542</v>
      </c>
      <c r="W3042" t="s">
        <v>40780</v>
      </c>
      <c r="X3042" t="s">
        <v>44763</v>
      </c>
    </row>
    <row r="3043" spans="1:24">
      <c r="A3043">
        <f>HYPERLINK("https://www.philgeps.gov.ph/GEPSNONPILOT/Tender/SplashBidNoticeAbstractUI.aspx?menuIndex=3&amp;refID=7149291&amp;Result=3","7149291")</f>
        <v>0</v>
      </c>
      <c r="B3043" t="s">
        <v>497</v>
      </c>
      <c r="C3043" t="s">
        <v>6682</v>
      </c>
      <c r="D3043" t="s">
        <v>17951</v>
      </c>
      <c r="E3043" t="s">
        <v>18912</v>
      </c>
      <c r="F3043" t="s">
        <v>30900</v>
      </c>
      <c r="G3043" t="s">
        <v>30908</v>
      </c>
      <c r="H3043" t="s">
        <v>30916</v>
      </c>
      <c r="I3043" t="s">
        <v>6953</v>
      </c>
      <c r="J3043" t="s">
        <v>32052</v>
      </c>
      <c r="K3043" t="s">
        <v>40285</v>
      </c>
      <c r="M3043" t="s">
        <v>41056</v>
      </c>
      <c r="N3043" t="s">
        <v>44759</v>
      </c>
      <c r="O3043" t="s">
        <v>44760</v>
      </c>
      <c r="P3043">
        <v>0</v>
      </c>
      <c r="Q3043">
        <v>0</v>
      </c>
      <c r="R3043" t="s">
        <v>44762</v>
      </c>
      <c r="S3043" t="s">
        <v>44863</v>
      </c>
      <c r="T3043" t="s">
        <v>46414</v>
      </c>
      <c r="U3043" t="s">
        <v>49543</v>
      </c>
      <c r="W3043" t="s">
        <v>41056</v>
      </c>
      <c r="X3043" t="s">
        <v>44763</v>
      </c>
    </row>
    <row r="3044" spans="1:24">
      <c r="A3044">
        <f>HYPERLINK("https://www.philgeps.gov.ph/GEPSNONPILOT/Tender/SplashBidNoticeAbstractUI.aspx?menuIndex=3&amp;refID=7149433&amp;Result=3","7149433")</f>
        <v>0</v>
      </c>
      <c r="B3044" t="s">
        <v>1287</v>
      </c>
      <c r="C3044" t="s">
        <v>6683</v>
      </c>
      <c r="D3044" t="s">
        <v>17971</v>
      </c>
      <c r="E3044" t="s">
        <v>20804</v>
      </c>
      <c r="F3044" t="s">
        <v>30900</v>
      </c>
      <c r="G3044" t="s">
        <v>30907</v>
      </c>
      <c r="H3044" t="s">
        <v>30916</v>
      </c>
      <c r="I3044" t="s">
        <v>8365</v>
      </c>
      <c r="J3044" t="s">
        <v>31298</v>
      </c>
      <c r="K3044" t="s">
        <v>40286</v>
      </c>
      <c r="M3044" t="s">
        <v>41904</v>
      </c>
      <c r="N3044" t="s">
        <v>44759</v>
      </c>
      <c r="O3044" t="s">
        <v>44760</v>
      </c>
      <c r="P3044">
        <v>0</v>
      </c>
      <c r="Q3044">
        <v>1</v>
      </c>
      <c r="R3044" t="s">
        <v>44762</v>
      </c>
      <c r="S3044" t="s">
        <v>44863</v>
      </c>
      <c r="T3044" t="s">
        <v>46553</v>
      </c>
      <c r="U3044" t="s">
        <v>49544</v>
      </c>
      <c r="V3044" t="s">
        <v>59458</v>
      </c>
      <c r="W3044" t="s">
        <v>41904</v>
      </c>
      <c r="X3044" t="s">
        <v>44763</v>
      </c>
    </row>
    <row r="3045" spans="1:24">
      <c r="A3045">
        <f>HYPERLINK("https://www.philgeps.gov.ph/GEPSNONPILOT/Tender/SplashBidNoticeAbstractUI.aspx?menuIndex=3&amp;refID=7149431&amp;Result=3","7149431")</f>
        <v>0</v>
      </c>
      <c r="B3045" t="s">
        <v>1288</v>
      </c>
      <c r="C3045" t="s">
        <v>6684</v>
      </c>
      <c r="D3045" t="s">
        <v>18002</v>
      </c>
      <c r="E3045" t="s">
        <v>20805</v>
      </c>
      <c r="F3045" t="s">
        <v>30904</v>
      </c>
      <c r="G3045" t="s">
        <v>30909</v>
      </c>
      <c r="H3045" t="s">
        <v>30916</v>
      </c>
      <c r="I3045" t="s">
        <v>6396</v>
      </c>
      <c r="J3045" t="s">
        <v>33226</v>
      </c>
      <c r="K3045" t="s">
        <v>40285</v>
      </c>
      <c r="M3045" t="s">
        <v>41905</v>
      </c>
      <c r="N3045" t="s">
        <v>44759</v>
      </c>
      <c r="O3045" t="s">
        <v>44760</v>
      </c>
      <c r="P3045">
        <v>0</v>
      </c>
      <c r="Q3045">
        <v>2</v>
      </c>
      <c r="R3045" t="s">
        <v>44762</v>
      </c>
      <c r="S3045" t="s">
        <v>44863</v>
      </c>
      <c r="T3045" t="s">
        <v>46612</v>
      </c>
      <c r="U3045" t="s">
        <v>49545</v>
      </c>
      <c r="W3045" t="s">
        <v>41905</v>
      </c>
      <c r="X3045" t="s">
        <v>44763</v>
      </c>
    </row>
    <row r="3046" spans="1:24">
      <c r="A3046">
        <f>HYPERLINK("https://www.philgeps.gov.ph/GEPSNONPILOT/Tender/SplashBidNoticeAbstractUI.aspx?menuIndex=3&amp;refID=7149427&amp;Result=3","7149427")</f>
        <v>0</v>
      </c>
      <c r="B3046" t="s">
        <v>1251</v>
      </c>
      <c r="C3046" t="s">
        <v>6685</v>
      </c>
      <c r="D3046" t="s">
        <v>17963</v>
      </c>
      <c r="E3046" t="s">
        <v>20806</v>
      </c>
      <c r="F3046" t="s">
        <v>30900</v>
      </c>
      <c r="G3046" t="s">
        <v>30908</v>
      </c>
      <c r="H3046" t="s">
        <v>30916</v>
      </c>
      <c r="I3046" t="s">
        <v>9385</v>
      </c>
      <c r="J3046" t="s">
        <v>31669</v>
      </c>
      <c r="K3046" t="s">
        <v>40293</v>
      </c>
      <c r="M3046" t="s">
        <v>41863</v>
      </c>
      <c r="N3046" t="s">
        <v>44759</v>
      </c>
      <c r="O3046" t="s">
        <v>44760</v>
      </c>
      <c r="P3046">
        <v>0</v>
      </c>
      <c r="Q3046">
        <v>7</v>
      </c>
      <c r="R3046" t="s">
        <v>44762</v>
      </c>
      <c r="S3046" t="s">
        <v>44863</v>
      </c>
      <c r="T3046" t="s">
        <v>46395</v>
      </c>
      <c r="U3046" t="s">
        <v>49546</v>
      </c>
      <c r="W3046" t="s">
        <v>41863</v>
      </c>
      <c r="X3046" t="s">
        <v>44763</v>
      </c>
    </row>
    <row r="3047" spans="1:24">
      <c r="A3047">
        <f>HYPERLINK("https://www.philgeps.gov.ph/GEPSNONPILOT/Tender/SplashBidNoticeAbstractUI.aspx?menuIndex=3&amp;refID=7149436&amp;Result=3","7149436")</f>
        <v>0</v>
      </c>
      <c r="B3047" t="s">
        <v>222</v>
      </c>
      <c r="C3047" t="s">
        <v>6686</v>
      </c>
      <c r="D3047" t="s">
        <v>17957</v>
      </c>
      <c r="E3047" t="s">
        <v>20807</v>
      </c>
      <c r="F3047" t="s">
        <v>30900</v>
      </c>
      <c r="G3047" t="s">
        <v>30908</v>
      </c>
      <c r="H3047" t="s">
        <v>30916</v>
      </c>
      <c r="I3047" t="s">
        <v>30957</v>
      </c>
      <c r="J3047" t="s">
        <v>33227</v>
      </c>
      <c r="K3047" t="s">
        <v>40287</v>
      </c>
      <c r="M3047" t="s">
        <v>41878</v>
      </c>
      <c r="N3047" t="s">
        <v>44759</v>
      </c>
      <c r="O3047" t="s">
        <v>44760</v>
      </c>
      <c r="P3047">
        <v>0</v>
      </c>
      <c r="Q3047">
        <v>0</v>
      </c>
      <c r="R3047" t="s">
        <v>44762</v>
      </c>
      <c r="S3047" t="s">
        <v>44863</v>
      </c>
      <c r="T3047" t="s">
        <v>46404</v>
      </c>
      <c r="U3047" t="s">
        <v>49547</v>
      </c>
      <c r="W3047" t="s">
        <v>41878</v>
      </c>
      <c r="X3047" t="s">
        <v>44763</v>
      </c>
    </row>
    <row r="3048" spans="1:24">
      <c r="A3048">
        <f>HYPERLINK("https://www.philgeps.gov.ph/GEPSNONPILOT/Tender/SplashBidNoticeAbstractUI.aspx?menuIndex=3&amp;refID=7149434&amp;Result=3","7149434")</f>
        <v>0</v>
      </c>
      <c r="B3048" t="s">
        <v>1289</v>
      </c>
      <c r="C3048" t="s">
        <v>6687</v>
      </c>
      <c r="D3048" t="s">
        <v>17972</v>
      </c>
      <c r="E3048" t="s">
        <v>20808</v>
      </c>
      <c r="F3048" t="s">
        <v>30900</v>
      </c>
      <c r="G3048" t="s">
        <v>30909</v>
      </c>
      <c r="H3048" t="s">
        <v>30916</v>
      </c>
      <c r="I3048" t="s">
        <v>30956</v>
      </c>
      <c r="J3048" t="s">
        <v>31067</v>
      </c>
      <c r="K3048" t="s">
        <v>40356</v>
      </c>
      <c r="M3048" t="s">
        <v>41906</v>
      </c>
      <c r="N3048" t="s">
        <v>44759</v>
      </c>
      <c r="O3048" t="s">
        <v>44760</v>
      </c>
      <c r="P3048">
        <v>0</v>
      </c>
      <c r="Q3048">
        <v>2</v>
      </c>
      <c r="R3048" t="s">
        <v>44762</v>
      </c>
      <c r="S3048" t="s">
        <v>44863</v>
      </c>
      <c r="T3048" t="s">
        <v>46581</v>
      </c>
      <c r="U3048" t="s">
        <v>49548</v>
      </c>
      <c r="W3048" t="s">
        <v>41906</v>
      </c>
      <c r="X3048" t="s">
        <v>44763</v>
      </c>
    </row>
    <row r="3049" spans="1:24">
      <c r="A3049">
        <f>HYPERLINK("https://www.philgeps.gov.ph/GEPSNONPILOT/Tender/SplashBidNoticeAbstractUI.aspx?menuIndex=3&amp;refID=7149353&amp;Result=3","7149353")</f>
        <v>0</v>
      </c>
      <c r="B3049" t="s">
        <v>1255</v>
      </c>
      <c r="C3049" t="s">
        <v>6688</v>
      </c>
      <c r="D3049" t="s">
        <v>17996</v>
      </c>
      <c r="E3049" t="s">
        <v>20734</v>
      </c>
      <c r="F3049" t="s">
        <v>30900</v>
      </c>
      <c r="G3049" t="s">
        <v>30907</v>
      </c>
      <c r="H3049" t="s">
        <v>30915</v>
      </c>
      <c r="I3049" t="s">
        <v>30948</v>
      </c>
      <c r="J3049" t="s">
        <v>31101</v>
      </c>
      <c r="K3049" t="s">
        <v>40329</v>
      </c>
      <c r="M3049" t="s">
        <v>41867</v>
      </c>
      <c r="N3049" t="s">
        <v>44759</v>
      </c>
      <c r="O3049" t="s">
        <v>44760</v>
      </c>
      <c r="P3049">
        <v>0</v>
      </c>
      <c r="Q3049">
        <v>0</v>
      </c>
      <c r="R3049" t="s">
        <v>44762</v>
      </c>
      <c r="S3049" t="s">
        <v>44863</v>
      </c>
      <c r="T3049" t="s">
        <v>46617</v>
      </c>
      <c r="U3049" t="s">
        <v>49549</v>
      </c>
      <c r="W3049" t="s">
        <v>41867</v>
      </c>
      <c r="X3049" t="s">
        <v>44763</v>
      </c>
    </row>
    <row r="3050" spans="1:24">
      <c r="A3050">
        <f>HYPERLINK("https://www.philgeps.gov.ph/GEPSNONPILOT/Tender/SplashBidNoticeAbstractUI.aspx?menuIndex=3&amp;refID=7149424&amp;Result=3","7149424")</f>
        <v>0</v>
      </c>
      <c r="B3050" t="s">
        <v>1290</v>
      </c>
      <c r="C3050" t="s">
        <v>6689</v>
      </c>
      <c r="D3050" t="s">
        <v>17995</v>
      </c>
      <c r="E3050" t="s">
        <v>20809</v>
      </c>
      <c r="F3050" t="s">
        <v>30900</v>
      </c>
      <c r="G3050" t="s">
        <v>30908</v>
      </c>
      <c r="H3050" t="s">
        <v>30916</v>
      </c>
      <c r="I3050" t="s">
        <v>6396</v>
      </c>
      <c r="J3050" t="s">
        <v>31384</v>
      </c>
      <c r="K3050" t="s">
        <v>40287</v>
      </c>
      <c r="M3050" t="s">
        <v>41907</v>
      </c>
      <c r="N3050" t="s">
        <v>44759</v>
      </c>
      <c r="O3050" t="s">
        <v>44760</v>
      </c>
      <c r="P3050">
        <v>0</v>
      </c>
      <c r="Q3050">
        <v>2</v>
      </c>
      <c r="R3050" t="s">
        <v>44762</v>
      </c>
      <c r="S3050" t="s">
        <v>44863</v>
      </c>
      <c r="T3050" t="s">
        <v>46389</v>
      </c>
      <c r="U3050" t="s">
        <v>49550</v>
      </c>
      <c r="W3050" t="s">
        <v>41907</v>
      </c>
      <c r="X3050" t="s">
        <v>44763</v>
      </c>
    </row>
    <row r="3051" spans="1:24">
      <c r="A3051">
        <f>HYPERLINK("https://www.philgeps.gov.ph/GEPSNONPILOT/Tender/SplashBidNoticeAbstractUI.aspx?menuIndex=3&amp;refID=7149432&amp;Result=3","7149432")</f>
        <v>0</v>
      </c>
      <c r="B3051" t="s">
        <v>1291</v>
      </c>
      <c r="C3051" t="s">
        <v>6690</v>
      </c>
      <c r="D3051" t="s">
        <v>17979</v>
      </c>
      <c r="E3051" t="s">
        <v>20810</v>
      </c>
      <c r="F3051" t="s">
        <v>30900</v>
      </c>
      <c r="G3051" t="s">
        <v>30908</v>
      </c>
      <c r="H3051" t="s">
        <v>30916</v>
      </c>
      <c r="I3051" t="s">
        <v>30950</v>
      </c>
      <c r="J3051" t="s">
        <v>31522</v>
      </c>
      <c r="K3051" t="s">
        <v>40287</v>
      </c>
      <c r="M3051" t="s">
        <v>41908</v>
      </c>
      <c r="N3051" t="s">
        <v>44759</v>
      </c>
      <c r="O3051" t="s">
        <v>44760</v>
      </c>
      <c r="P3051">
        <v>0</v>
      </c>
      <c r="Q3051">
        <v>5</v>
      </c>
      <c r="R3051" t="s">
        <v>44762</v>
      </c>
      <c r="S3051" t="s">
        <v>44863</v>
      </c>
      <c r="T3051" t="s">
        <v>46409</v>
      </c>
      <c r="U3051" t="s">
        <v>49551</v>
      </c>
      <c r="W3051" t="s">
        <v>41908</v>
      </c>
      <c r="X3051" t="s">
        <v>44763</v>
      </c>
    </row>
    <row r="3052" spans="1:24">
      <c r="A3052">
        <f>HYPERLINK("https://www.philgeps.gov.ph/GEPSNONPILOT/Tender/SplashBidNoticeAbstractUI.aspx?menuIndex=3&amp;refID=7149423&amp;Result=3","7149423")</f>
        <v>0</v>
      </c>
      <c r="B3052" t="s">
        <v>1292</v>
      </c>
      <c r="C3052" t="s">
        <v>6691</v>
      </c>
      <c r="D3052" t="s">
        <v>17959</v>
      </c>
      <c r="E3052" t="s">
        <v>20811</v>
      </c>
      <c r="F3052" t="s">
        <v>30900</v>
      </c>
      <c r="G3052" t="s">
        <v>30907</v>
      </c>
      <c r="H3052" t="s">
        <v>30916</v>
      </c>
      <c r="I3052" t="s">
        <v>30929</v>
      </c>
      <c r="J3052" t="s">
        <v>33171</v>
      </c>
      <c r="K3052" t="s">
        <v>40286</v>
      </c>
      <c r="M3052" t="s">
        <v>41909</v>
      </c>
      <c r="N3052" t="s">
        <v>44759</v>
      </c>
      <c r="O3052" t="s">
        <v>44760</v>
      </c>
      <c r="P3052">
        <v>0</v>
      </c>
      <c r="Q3052">
        <v>8</v>
      </c>
      <c r="R3052" t="s">
        <v>44762</v>
      </c>
      <c r="S3052" t="s">
        <v>44863</v>
      </c>
      <c r="T3052" t="s">
        <v>46400</v>
      </c>
      <c r="U3052" t="s">
        <v>49552</v>
      </c>
      <c r="W3052" t="s">
        <v>41909</v>
      </c>
      <c r="X3052" t="s">
        <v>44763</v>
      </c>
    </row>
    <row r="3053" spans="1:24">
      <c r="A3053">
        <f>HYPERLINK("https://www.philgeps.gov.ph/GEPSNONPILOT/Tender/SplashBidNoticeAbstractUI.aspx?menuIndex=3&amp;refID=7149422&amp;Result=3","7149422")</f>
        <v>0</v>
      </c>
      <c r="B3053" t="s">
        <v>1293</v>
      </c>
      <c r="C3053" t="s">
        <v>4240</v>
      </c>
      <c r="D3053" t="s">
        <v>18002</v>
      </c>
      <c r="E3053" t="s">
        <v>18304</v>
      </c>
      <c r="F3053" t="s">
        <v>30900</v>
      </c>
      <c r="G3053" t="s">
        <v>30909</v>
      </c>
      <c r="H3053" t="s">
        <v>30916</v>
      </c>
      <c r="I3053" t="s">
        <v>30923</v>
      </c>
      <c r="J3053" t="s">
        <v>32734</v>
      </c>
      <c r="K3053" t="s">
        <v>40281</v>
      </c>
      <c r="M3053" t="s">
        <v>41910</v>
      </c>
      <c r="N3053" t="s">
        <v>44759</v>
      </c>
      <c r="O3053" t="s">
        <v>44760</v>
      </c>
      <c r="P3053">
        <v>0</v>
      </c>
      <c r="Q3053">
        <v>0</v>
      </c>
      <c r="R3053" t="s">
        <v>44762</v>
      </c>
      <c r="S3053" t="s">
        <v>44863</v>
      </c>
      <c r="T3053" t="s">
        <v>46571</v>
      </c>
      <c r="U3053" t="s">
        <v>49553</v>
      </c>
      <c r="W3053" t="s">
        <v>41910</v>
      </c>
      <c r="X3053" t="s">
        <v>44763</v>
      </c>
    </row>
    <row r="3054" spans="1:24">
      <c r="A3054">
        <f>HYPERLINK("https://www.philgeps.gov.ph/GEPSNONPILOT/Tender/SplashBidNoticeAbstractUI.aspx?menuIndex=3&amp;refID=7149421&amp;Result=3","7149421")</f>
        <v>0</v>
      </c>
      <c r="B3054" t="s">
        <v>1294</v>
      </c>
      <c r="C3054" t="s">
        <v>6692</v>
      </c>
      <c r="D3054" t="s">
        <v>18009</v>
      </c>
      <c r="E3054" t="s">
        <v>20812</v>
      </c>
      <c r="F3054" t="s">
        <v>30900</v>
      </c>
      <c r="G3054" t="s">
        <v>30909</v>
      </c>
      <c r="H3054" t="s">
        <v>30916</v>
      </c>
      <c r="I3054" t="s">
        <v>10847</v>
      </c>
      <c r="J3054" t="s">
        <v>33228</v>
      </c>
      <c r="K3054" t="s">
        <v>40281</v>
      </c>
      <c r="M3054" t="s">
        <v>41911</v>
      </c>
      <c r="N3054" t="s">
        <v>44759</v>
      </c>
      <c r="O3054" t="s">
        <v>44760</v>
      </c>
      <c r="P3054">
        <v>0</v>
      </c>
      <c r="Q3054">
        <v>0</v>
      </c>
      <c r="R3054" t="s">
        <v>44762</v>
      </c>
      <c r="S3054" t="s">
        <v>44863</v>
      </c>
      <c r="T3054" t="s">
        <v>46625</v>
      </c>
      <c r="U3054" t="s">
        <v>49554</v>
      </c>
      <c r="W3054" t="s">
        <v>41911</v>
      </c>
      <c r="X3054" t="s">
        <v>44763</v>
      </c>
    </row>
    <row r="3055" spans="1:24">
      <c r="A3055">
        <f>HYPERLINK("https://www.philgeps.gov.ph/GEPSNONPILOT/Tender/SplashBidNoticeAbstractUI.aspx?menuIndex=3&amp;refID=7149420&amp;Result=3","7149420")</f>
        <v>0</v>
      </c>
      <c r="B3055" t="s">
        <v>1295</v>
      </c>
      <c r="C3055" t="s">
        <v>6693</v>
      </c>
      <c r="D3055" t="s">
        <v>17971</v>
      </c>
      <c r="E3055" t="s">
        <v>20813</v>
      </c>
      <c r="F3055" t="s">
        <v>30900</v>
      </c>
      <c r="G3055" t="s">
        <v>30907</v>
      </c>
      <c r="H3055" t="s">
        <v>30916</v>
      </c>
      <c r="I3055" t="s">
        <v>6834</v>
      </c>
      <c r="J3055" t="s">
        <v>31101</v>
      </c>
      <c r="K3055" t="s">
        <v>40292</v>
      </c>
      <c r="L3055" t="s">
        <v>1295</v>
      </c>
      <c r="M3055" t="s">
        <v>41912</v>
      </c>
      <c r="N3055" t="s">
        <v>44759</v>
      </c>
      <c r="O3055" t="s">
        <v>44760</v>
      </c>
      <c r="P3055">
        <v>0</v>
      </c>
      <c r="Q3055">
        <v>2</v>
      </c>
      <c r="R3055" t="s">
        <v>44762</v>
      </c>
      <c r="S3055" t="s">
        <v>44863</v>
      </c>
      <c r="T3055" t="s">
        <v>46467</v>
      </c>
      <c r="U3055" t="s">
        <v>49555</v>
      </c>
      <c r="W3055" t="s">
        <v>41912</v>
      </c>
      <c r="X3055" t="s">
        <v>44763</v>
      </c>
    </row>
    <row r="3056" spans="1:24">
      <c r="A3056">
        <f>HYPERLINK("https://www.philgeps.gov.ph/GEPSNONPILOT/Tender/SplashBidNoticeAbstractUI.aspx?menuIndex=3&amp;refID=7149418&amp;Result=3","7149418")</f>
        <v>0</v>
      </c>
      <c r="B3056" t="s">
        <v>983</v>
      </c>
      <c r="C3056" t="s">
        <v>6694</v>
      </c>
      <c r="D3056" t="s">
        <v>18005</v>
      </c>
      <c r="E3056" t="s">
        <v>20814</v>
      </c>
      <c r="F3056" t="s">
        <v>30900</v>
      </c>
      <c r="G3056" t="s">
        <v>30907</v>
      </c>
      <c r="H3056" t="s">
        <v>30916</v>
      </c>
      <c r="I3056" t="s">
        <v>30918</v>
      </c>
      <c r="J3056" t="s">
        <v>33229</v>
      </c>
      <c r="K3056" t="s">
        <v>40293</v>
      </c>
      <c r="M3056" t="s">
        <v>41571</v>
      </c>
      <c r="N3056" t="s">
        <v>44759</v>
      </c>
      <c r="O3056" t="s">
        <v>44760</v>
      </c>
      <c r="P3056">
        <v>0</v>
      </c>
      <c r="Q3056">
        <v>21</v>
      </c>
      <c r="R3056" t="s">
        <v>44762</v>
      </c>
      <c r="S3056" t="s">
        <v>44863</v>
      </c>
      <c r="T3056" t="s">
        <v>46382</v>
      </c>
      <c r="U3056" t="s">
        <v>49556</v>
      </c>
      <c r="W3056" t="s">
        <v>41571</v>
      </c>
      <c r="X3056" t="s">
        <v>44763</v>
      </c>
    </row>
    <row r="3057" spans="1:24">
      <c r="A3057">
        <f>HYPERLINK("https://www.philgeps.gov.ph/GEPSNONPILOT/Tender/SplashBidNoticeAbstractUI.aspx?menuIndex=3&amp;refID=7149426&amp;Result=3","7149426")</f>
        <v>0</v>
      </c>
      <c r="B3057" t="s">
        <v>1296</v>
      </c>
      <c r="C3057" t="s">
        <v>6695</v>
      </c>
      <c r="D3057" t="s">
        <v>18019</v>
      </c>
      <c r="E3057" t="s">
        <v>20815</v>
      </c>
      <c r="F3057" t="s">
        <v>30900</v>
      </c>
      <c r="G3057" t="s">
        <v>30909</v>
      </c>
      <c r="H3057" t="s">
        <v>30916</v>
      </c>
      <c r="I3057" t="s">
        <v>4545</v>
      </c>
      <c r="J3057" t="s">
        <v>33230</v>
      </c>
      <c r="K3057" t="s">
        <v>40287</v>
      </c>
      <c r="M3057" t="s">
        <v>41913</v>
      </c>
      <c r="N3057" t="s">
        <v>44759</v>
      </c>
      <c r="O3057" t="s">
        <v>44760</v>
      </c>
      <c r="P3057">
        <v>0</v>
      </c>
      <c r="Q3057">
        <v>1</v>
      </c>
      <c r="R3057" t="s">
        <v>44762</v>
      </c>
      <c r="S3057" t="s">
        <v>44863</v>
      </c>
      <c r="T3057" t="s">
        <v>46457</v>
      </c>
      <c r="U3057" t="s">
        <v>49557</v>
      </c>
      <c r="V3057" t="s">
        <v>59459</v>
      </c>
      <c r="W3057" t="s">
        <v>41913</v>
      </c>
      <c r="X3057" t="s">
        <v>44763</v>
      </c>
    </row>
    <row r="3058" spans="1:24">
      <c r="A3058">
        <f>HYPERLINK("https://www.philgeps.gov.ph/GEPSNONPILOT/Tender/SplashBidNoticeAbstractUI.aspx?menuIndex=3&amp;refID=7149452&amp;Result=3","7149452")</f>
        <v>0</v>
      </c>
      <c r="B3058" t="s">
        <v>1271</v>
      </c>
      <c r="C3058" t="s">
        <v>6696</v>
      </c>
      <c r="D3058" t="s">
        <v>18019</v>
      </c>
      <c r="E3058" t="s">
        <v>20816</v>
      </c>
      <c r="F3058" t="s">
        <v>30900</v>
      </c>
      <c r="G3058" t="s">
        <v>30909</v>
      </c>
      <c r="H3058" t="s">
        <v>30916</v>
      </c>
      <c r="I3058" t="s">
        <v>4545</v>
      </c>
      <c r="J3058" t="s">
        <v>31070</v>
      </c>
      <c r="K3058" t="s">
        <v>40289</v>
      </c>
      <c r="M3058" t="s">
        <v>41887</v>
      </c>
      <c r="N3058" t="s">
        <v>44759</v>
      </c>
      <c r="O3058" t="s">
        <v>44760</v>
      </c>
      <c r="P3058">
        <v>0</v>
      </c>
      <c r="Q3058">
        <v>1</v>
      </c>
      <c r="R3058" t="s">
        <v>44762</v>
      </c>
      <c r="S3058" t="s">
        <v>44863</v>
      </c>
      <c r="T3058" t="s">
        <v>46612</v>
      </c>
      <c r="U3058" t="s">
        <v>49558</v>
      </c>
      <c r="W3058" t="s">
        <v>41887</v>
      </c>
      <c r="X3058" t="s">
        <v>44763</v>
      </c>
    </row>
    <row r="3059" spans="1:24">
      <c r="A3059">
        <f>HYPERLINK("https://www.philgeps.gov.ph/GEPSNONPILOT/Tender/SplashBidNoticeAbstractUI.aspx?menuIndex=3&amp;refID=7149428&amp;Result=3","7149428")</f>
        <v>0</v>
      </c>
      <c r="B3059" t="s">
        <v>1297</v>
      </c>
      <c r="C3059" t="s">
        <v>6697</v>
      </c>
      <c r="D3059" t="s">
        <v>17973</v>
      </c>
      <c r="E3059" t="s">
        <v>18752</v>
      </c>
      <c r="F3059" t="s">
        <v>30900</v>
      </c>
      <c r="G3059" t="s">
        <v>30909</v>
      </c>
      <c r="H3059" t="s">
        <v>30916</v>
      </c>
      <c r="I3059" t="s">
        <v>8123</v>
      </c>
      <c r="J3059" t="s">
        <v>31077</v>
      </c>
      <c r="K3059" t="s">
        <v>40287</v>
      </c>
      <c r="M3059" t="s">
        <v>41914</v>
      </c>
      <c r="N3059" t="s">
        <v>44759</v>
      </c>
      <c r="O3059" t="s">
        <v>44760</v>
      </c>
      <c r="P3059">
        <v>0</v>
      </c>
      <c r="Q3059">
        <v>0</v>
      </c>
      <c r="R3059" t="s">
        <v>44762</v>
      </c>
      <c r="S3059" t="s">
        <v>44863</v>
      </c>
      <c r="T3059" t="s">
        <v>46581</v>
      </c>
      <c r="U3059" t="s">
        <v>49559</v>
      </c>
      <c r="W3059" t="s">
        <v>41914</v>
      </c>
      <c r="X3059" t="s">
        <v>44763</v>
      </c>
    </row>
    <row r="3060" spans="1:24">
      <c r="A3060">
        <f>HYPERLINK("https://www.philgeps.gov.ph/GEPSNONPILOT/Tender/SplashBidNoticeAbstractUI.aspx?menuIndex=3&amp;refID=7149419&amp;Result=3","7149419")</f>
        <v>0</v>
      </c>
      <c r="B3060" t="s">
        <v>217</v>
      </c>
      <c r="C3060" t="s">
        <v>6698</v>
      </c>
      <c r="D3060" t="s">
        <v>17966</v>
      </c>
      <c r="E3060" t="s">
        <v>20817</v>
      </c>
      <c r="F3060" t="s">
        <v>30900</v>
      </c>
      <c r="G3060" t="s">
        <v>30908</v>
      </c>
      <c r="H3060" t="s">
        <v>30916</v>
      </c>
      <c r="I3060" t="s">
        <v>4050</v>
      </c>
      <c r="J3060" t="s">
        <v>33231</v>
      </c>
      <c r="K3060" t="s">
        <v>40286</v>
      </c>
      <c r="M3060" t="s">
        <v>40764</v>
      </c>
      <c r="N3060" t="s">
        <v>44759</v>
      </c>
      <c r="O3060" t="s">
        <v>44760</v>
      </c>
      <c r="P3060">
        <v>0</v>
      </c>
      <c r="Q3060">
        <v>3</v>
      </c>
      <c r="R3060" t="s">
        <v>44762</v>
      </c>
      <c r="S3060" t="s">
        <v>44863</v>
      </c>
      <c r="T3060" t="s">
        <v>46352</v>
      </c>
      <c r="U3060" t="s">
        <v>49560</v>
      </c>
      <c r="W3060" t="s">
        <v>40764</v>
      </c>
      <c r="X3060" t="s">
        <v>44763</v>
      </c>
    </row>
    <row r="3061" spans="1:24">
      <c r="A3061">
        <f>HYPERLINK("https://www.philgeps.gov.ph/GEPSNONPILOT/Tender/SplashBidNoticeAbstractUI.aspx?menuIndex=3&amp;refID=7149442&amp;Result=3","7149442")</f>
        <v>0</v>
      </c>
      <c r="B3061" t="s">
        <v>1298</v>
      </c>
      <c r="C3061" t="s">
        <v>6699</v>
      </c>
      <c r="D3061" t="s">
        <v>18011</v>
      </c>
      <c r="E3061" t="s">
        <v>20818</v>
      </c>
      <c r="F3061" t="s">
        <v>30900</v>
      </c>
      <c r="G3061" t="s">
        <v>30908</v>
      </c>
      <c r="H3061" t="s">
        <v>30916</v>
      </c>
      <c r="I3061" t="s">
        <v>30951</v>
      </c>
      <c r="J3061" t="s">
        <v>31246</v>
      </c>
      <c r="K3061" t="s">
        <v>40285</v>
      </c>
      <c r="M3061" t="s">
        <v>41915</v>
      </c>
      <c r="N3061" t="s">
        <v>44759</v>
      </c>
      <c r="O3061" t="s">
        <v>44760</v>
      </c>
      <c r="P3061">
        <v>0</v>
      </c>
      <c r="Q3061">
        <v>0</v>
      </c>
      <c r="R3061" t="s">
        <v>44762</v>
      </c>
      <c r="S3061" t="s">
        <v>44863</v>
      </c>
      <c r="T3061" t="s">
        <v>46410</v>
      </c>
      <c r="U3061" t="s">
        <v>49561</v>
      </c>
      <c r="W3061" t="s">
        <v>41915</v>
      </c>
      <c r="X3061" t="s">
        <v>44763</v>
      </c>
    </row>
    <row r="3062" spans="1:24">
      <c r="A3062">
        <f>HYPERLINK("https://www.philgeps.gov.ph/GEPSNONPILOT/Tender/SplashBidNoticeAbstractUI.aspx?menuIndex=3&amp;refID=7149448&amp;Result=3","7149448")</f>
        <v>0</v>
      </c>
      <c r="B3062" t="s">
        <v>222</v>
      </c>
      <c r="C3062" t="s">
        <v>6700</v>
      </c>
      <c r="D3062" t="s">
        <v>18023</v>
      </c>
      <c r="E3062" t="s">
        <v>20819</v>
      </c>
      <c r="F3062" t="s">
        <v>30900</v>
      </c>
      <c r="G3062" t="s">
        <v>30908</v>
      </c>
      <c r="H3062" t="s">
        <v>30916</v>
      </c>
      <c r="I3062" t="s">
        <v>8123</v>
      </c>
      <c r="J3062" t="s">
        <v>33232</v>
      </c>
      <c r="K3062" t="s">
        <v>40287</v>
      </c>
      <c r="M3062" t="s">
        <v>40769</v>
      </c>
      <c r="N3062" t="s">
        <v>44759</v>
      </c>
      <c r="O3062" t="s">
        <v>44760</v>
      </c>
      <c r="P3062">
        <v>0</v>
      </c>
      <c r="Q3062">
        <v>0</v>
      </c>
      <c r="R3062" t="s">
        <v>44762</v>
      </c>
      <c r="S3062" t="s">
        <v>44863</v>
      </c>
      <c r="T3062" t="s">
        <v>46400</v>
      </c>
      <c r="U3062" t="s">
        <v>49562</v>
      </c>
      <c r="W3062" t="s">
        <v>40769</v>
      </c>
      <c r="X3062" t="s">
        <v>44763</v>
      </c>
    </row>
    <row r="3063" spans="1:24">
      <c r="A3063">
        <f>HYPERLINK("https://www.philgeps.gov.ph/GEPSNONPILOT/Tender/SplashBidNoticeAbstractUI.aspx?menuIndex=3&amp;refID=7149425&amp;Result=3","7149425")</f>
        <v>0</v>
      </c>
      <c r="B3063" t="s">
        <v>289</v>
      </c>
      <c r="C3063" t="s">
        <v>4234</v>
      </c>
      <c r="D3063" t="s">
        <v>18001</v>
      </c>
      <c r="E3063" t="s">
        <v>20820</v>
      </c>
      <c r="F3063" t="s">
        <v>30900</v>
      </c>
      <c r="G3063" t="s">
        <v>30909</v>
      </c>
      <c r="H3063" t="s">
        <v>30916</v>
      </c>
      <c r="I3063" t="s">
        <v>6396</v>
      </c>
      <c r="J3063" t="s">
        <v>33233</v>
      </c>
      <c r="K3063" t="s">
        <v>40287</v>
      </c>
      <c r="M3063" t="s">
        <v>40837</v>
      </c>
      <c r="N3063" t="s">
        <v>44759</v>
      </c>
      <c r="O3063" t="s">
        <v>44760</v>
      </c>
      <c r="P3063">
        <v>0</v>
      </c>
      <c r="Q3063">
        <v>1</v>
      </c>
      <c r="R3063" t="s">
        <v>44762</v>
      </c>
      <c r="S3063" t="s">
        <v>44863</v>
      </c>
      <c r="T3063" t="s">
        <v>46391</v>
      </c>
      <c r="U3063" t="s">
        <v>49563</v>
      </c>
      <c r="W3063" t="s">
        <v>40837</v>
      </c>
      <c r="X3063" t="s">
        <v>44763</v>
      </c>
    </row>
    <row r="3064" spans="1:24">
      <c r="A3064">
        <f>HYPERLINK("https://www.philgeps.gov.ph/GEPSNONPILOT/Tender/SplashBidNoticeAbstractUI.aspx?menuIndex=3&amp;refID=7149468&amp;Result=3","7149468")</f>
        <v>0</v>
      </c>
      <c r="B3064" t="s">
        <v>1299</v>
      </c>
      <c r="C3064" t="s">
        <v>4165</v>
      </c>
      <c r="D3064" t="s">
        <v>17954</v>
      </c>
      <c r="E3064" t="s">
        <v>20821</v>
      </c>
      <c r="F3064" t="s">
        <v>30900</v>
      </c>
      <c r="G3064" t="s">
        <v>30907</v>
      </c>
      <c r="H3064" t="s">
        <v>30915</v>
      </c>
      <c r="I3064" t="s">
        <v>30919</v>
      </c>
      <c r="J3064" t="s">
        <v>31056</v>
      </c>
      <c r="K3064" t="s">
        <v>40282</v>
      </c>
      <c r="M3064" t="s">
        <v>40836</v>
      </c>
      <c r="N3064" t="s">
        <v>44759</v>
      </c>
      <c r="O3064" t="s">
        <v>44760</v>
      </c>
      <c r="P3064">
        <v>0</v>
      </c>
      <c r="Q3064">
        <v>0</v>
      </c>
      <c r="R3064" t="s">
        <v>44762</v>
      </c>
      <c r="S3064" t="s">
        <v>44863</v>
      </c>
      <c r="T3064" t="s">
        <v>46409</v>
      </c>
      <c r="U3064" t="s">
        <v>49564</v>
      </c>
      <c r="W3064" t="s">
        <v>40836</v>
      </c>
      <c r="X3064" t="s">
        <v>44763</v>
      </c>
    </row>
    <row r="3065" spans="1:24">
      <c r="A3065">
        <f>HYPERLINK("https://www.philgeps.gov.ph/GEPSNONPILOT/Tender/SplashBidNoticeAbstractUI.aspx?menuIndex=3&amp;refID=7149454&amp;Result=3","7149454")</f>
        <v>0</v>
      </c>
      <c r="B3065" t="s">
        <v>180</v>
      </c>
      <c r="C3065" t="s">
        <v>6701</v>
      </c>
      <c r="D3065" t="s">
        <v>17987</v>
      </c>
      <c r="E3065" t="s">
        <v>20822</v>
      </c>
      <c r="F3065" t="s">
        <v>30900</v>
      </c>
      <c r="G3065" t="s">
        <v>30907</v>
      </c>
      <c r="H3065" t="s">
        <v>30916</v>
      </c>
      <c r="I3065" t="s">
        <v>8123</v>
      </c>
      <c r="J3065" t="s">
        <v>33234</v>
      </c>
      <c r="K3065" t="s">
        <v>40284</v>
      </c>
      <c r="M3065" t="s">
        <v>40727</v>
      </c>
      <c r="N3065" t="s">
        <v>44759</v>
      </c>
      <c r="O3065" t="s">
        <v>44760</v>
      </c>
      <c r="P3065">
        <v>0</v>
      </c>
      <c r="Q3065">
        <v>0</v>
      </c>
      <c r="R3065" t="s">
        <v>44762</v>
      </c>
      <c r="S3065" t="s">
        <v>44863</v>
      </c>
      <c r="T3065" t="s">
        <v>46409</v>
      </c>
      <c r="U3065" t="s">
        <v>49565</v>
      </c>
      <c r="W3065" t="s">
        <v>40727</v>
      </c>
      <c r="X3065" t="s">
        <v>44763</v>
      </c>
    </row>
    <row r="3066" spans="1:24">
      <c r="A3066">
        <f>HYPERLINK("https://www.philgeps.gov.ph/GEPSNONPILOT/Tender/SplashBidNoticeAbstractUI.aspx?menuIndex=3&amp;refID=7149466&amp;Result=3","7149466")</f>
        <v>0</v>
      </c>
      <c r="B3066" t="s">
        <v>1232</v>
      </c>
      <c r="C3066" t="s">
        <v>6702</v>
      </c>
      <c r="D3066" t="s">
        <v>17969</v>
      </c>
      <c r="E3066" t="s">
        <v>6702</v>
      </c>
      <c r="F3066" t="s">
        <v>30900</v>
      </c>
      <c r="G3066" t="s">
        <v>30909</v>
      </c>
      <c r="H3066" t="s">
        <v>30916</v>
      </c>
      <c r="I3066" t="s">
        <v>31010</v>
      </c>
      <c r="J3066" t="s">
        <v>33235</v>
      </c>
      <c r="K3066" t="s">
        <v>40286</v>
      </c>
      <c r="M3066" t="s">
        <v>41916</v>
      </c>
      <c r="N3066" t="s">
        <v>44759</v>
      </c>
      <c r="O3066" t="s">
        <v>44760</v>
      </c>
      <c r="P3066">
        <v>0</v>
      </c>
      <c r="Q3066">
        <v>3</v>
      </c>
      <c r="R3066" t="s">
        <v>44762</v>
      </c>
      <c r="S3066" t="s">
        <v>44863</v>
      </c>
      <c r="T3066" t="s">
        <v>46386</v>
      </c>
      <c r="U3066" t="s">
        <v>49566</v>
      </c>
      <c r="W3066" t="s">
        <v>41916</v>
      </c>
      <c r="X3066" t="s">
        <v>44763</v>
      </c>
    </row>
    <row r="3067" spans="1:24">
      <c r="A3067">
        <f>HYPERLINK("https://www.philgeps.gov.ph/GEPSNONPILOT/Tender/SplashBidNoticeAbstractUI.aspx?menuIndex=3&amp;refID=7149465&amp;Result=3","7149465")</f>
        <v>0</v>
      </c>
      <c r="B3067" t="s">
        <v>460</v>
      </c>
      <c r="C3067" t="s">
        <v>6703</v>
      </c>
      <c r="D3067" t="s">
        <v>17968</v>
      </c>
      <c r="E3067" t="s">
        <v>20823</v>
      </c>
      <c r="F3067" t="s">
        <v>30900</v>
      </c>
      <c r="G3067" t="s">
        <v>30908</v>
      </c>
      <c r="H3067" t="s">
        <v>30916</v>
      </c>
      <c r="I3067" t="s">
        <v>4108</v>
      </c>
      <c r="J3067" t="s">
        <v>33236</v>
      </c>
      <c r="K3067" t="s">
        <v>40283</v>
      </c>
      <c r="M3067" t="s">
        <v>41018</v>
      </c>
      <c r="N3067" t="s">
        <v>44759</v>
      </c>
      <c r="O3067" t="s">
        <v>44760</v>
      </c>
      <c r="P3067">
        <v>0</v>
      </c>
      <c r="Q3067">
        <v>0</v>
      </c>
      <c r="R3067" t="s">
        <v>44762</v>
      </c>
      <c r="S3067" t="s">
        <v>44863</v>
      </c>
      <c r="T3067" t="s">
        <v>46414</v>
      </c>
      <c r="U3067" t="s">
        <v>49567</v>
      </c>
      <c r="V3067" t="s">
        <v>59455</v>
      </c>
      <c r="W3067" t="s">
        <v>41018</v>
      </c>
      <c r="X3067" t="s">
        <v>44763</v>
      </c>
    </row>
    <row r="3068" spans="1:24">
      <c r="A3068">
        <f>HYPERLINK("https://www.philgeps.gov.ph/GEPSNONPILOT/Tender/SplashBidNoticeAbstractUI.aspx?menuIndex=3&amp;refID=7149451&amp;Result=3","7149451")</f>
        <v>0</v>
      </c>
      <c r="B3068" t="s">
        <v>1300</v>
      </c>
      <c r="C3068" t="s">
        <v>6704</v>
      </c>
      <c r="D3068" t="s">
        <v>17978</v>
      </c>
      <c r="E3068" t="s">
        <v>20824</v>
      </c>
      <c r="F3068" t="s">
        <v>30900</v>
      </c>
      <c r="G3068" t="s">
        <v>30908</v>
      </c>
      <c r="H3068" t="s">
        <v>30916</v>
      </c>
      <c r="I3068" t="s">
        <v>30924</v>
      </c>
      <c r="J3068" t="s">
        <v>33237</v>
      </c>
      <c r="K3068" t="s">
        <v>40283</v>
      </c>
      <c r="M3068" t="s">
        <v>41917</v>
      </c>
      <c r="N3068" t="s">
        <v>44759</v>
      </c>
      <c r="O3068" t="s">
        <v>44760</v>
      </c>
      <c r="P3068">
        <v>0</v>
      </c>
      <c r="Q3068">
        <v>2</v>
      </c>
      <c r="R3068" t="s">
        <v>44762</v>
      </c>
      <c r="S3068" t="s">
        <v>44863</v>
      </c>
      <c r="T3068" t="s">
        <v>46363</v>
      </c>
      <c r="U3068" t="s">
        <v>49568</v>
      </c>
      <c r="W3068" t="s">
        <v>41917</v>
      </c>
      <c r="X3068" t="s">
        <v>44763</v>
      </c>
    </row>
    <row r="3069" spans="1:24">
      <c r="A3069">
        <f>HYPERLINK("https://www.philgeps.gov.ph/GEPSNONPILOT/Tender/SplashBidNoticeAbstractUI.aspx?menuIndex=3&amp;refID=7149443&amp;Result=3","7149443")</f>
        <v>0</v>
      </c>
      <c r="B3069" t="s">
        <v>1301</v>
      </c>
      <c r="C3069" t="s">
        <v>6705</v>
      </c>
      <c r="D3069" t="s">
        <v>17974</v>
      </c>
      <c r="E3069" t="s">
        <v>18417</v>
      </c>
      <c r="F3069" t="s">
        <v>30900</v>
      </c>
      <c r="G3069" t="s">
        <v>30908</v>
      </c>
      <c r="H3069" t="s">
        <v>30916</v>
      </c>
      <c r="I3069" t="s">
        <v>8123</v>
      </c>
      <c r="J3069" t="s">
        <v>31728</v>
      </c>
      <c r="K3069" t="s">
        <v>40289</v>
      </c>
      <c r="M3069" t="s">
        <v>41918</v>
      </c>
      <c r="N3069" t="s">
        <v>44759</v>
      </c>
      <c r="O3069" t="s">
        <v>44760</v>
      </c>
      <c r="P3069">
        <v>0</v>
      </c>
      <c r="Q3069">
        <v>0</v>
      </c>
      <c r="R3069" t="s">
        <v>44762</v>
      </c>
      <c r="S3069" t="s">
        <v>44863</v>
      </c>
      <c r="T3069" t="s">
        <v>46410</v>
      </c>
      <c r="U3069" t="s">
        <v>47654</v>
      </c>
      <c r="W3069" t="s">
        <v>41918</v>
      </c>
      <c r="X3069" t="s">
        <v>44763</v>
      </c>
    </row>
    <row r="3070" spans="1:24">
      <c r="A3070">
        <f>HYPERLINK("https://www.philgeps.gov.ph/GEPSNONPILOT/Tender/SplashBidNoticeAbstractUI.aspx?menuIndex=3&amp;refID=7149462&amp;Result=3","7149462")</f>
        <v>0</v>
      </c>
      <c r="B3070" t="s">
        <v>178</v>
      </c>
      <c r="C3070" t="s">
        <v>6706</v>
      </c>
      <c r="D3070" t="s">
        <v>17959</v>
      </c>
      <c r="E3070" t="s">
        <v>20825</v>
      </c>
      <c r="F3070" t="s">
        <v>30900</v>
      </c>
      <c r="G3070" t="s">
        <v>30907</v>
      </c>
      <c r="H3070" t="s">
        <v>30916</v>
      </c>
      <c r="I3070" t="s">
        <v>30924</v>
      </c>
      <c r="J3070" t="s">
        <v>33238</v>
      </c>
      <c r="K3070" t="s">
        <v>40280</v>
      </c>
      <c r="M3070" t="s">
        <v>41919</v>
      </c>
      <c r="N3070" t="s">
        <v>44759</v>
      </c>
      <c r="O3070" t="s">
        <v>44760</v>
      </c>
      <c r="P3070">
        <v>0</v>
      </c>
      <c r="Q3070">
        <v>7</v>
      </c>
      <c r="R3070" t="s">
        <v>44762</v>
      </c>
      <c r="S3070" t="s">
        <v>44863</v>
      </c>
      <c r="T3070" t="s">
        <v>46377</v>
      </c>
      <c r="U3070" t="s">
        <v>49569</v>
      </c>
      <c r="W3070" t="s">
        <v>41919</v>
      </c>
      <c r="X3070" t="s">
        <v>44763</v>
      </c>
    </row>
    <row r="3071" spans="1:24">
      <c r="A3071">
        <f>HYPERLINK("https://www.philgeps.gov.ph/GEPSNONPILOT/Tender/SplashBidNoticeAbstractUI.aspx?menuIndex=3&amp;refID=7149449&amp;Result=3","7149449")</f>
        <v>0</v>
      </c>
      <c r="B3071" t="s">
        <v>1302</v>
      </c>
      <c r="C3071" t="s">
        <v>6707</v>
      </c>
      <c r="D3071" t="s">
        <v>17992</v>
      </c>
      <c r="E3071" t="s">
        <v>20826</v>
      </c>
      <c r="F3071" t="s">
        <v>30900</v>
      </c>
      <c r="G3071" t="s">
        <v>30913</v>
      </c>
      <c r="H3071" t="s">
        <v>30915</v>
      </c>
      <c r="I3071" t="s">
        <v>30919</v>
      </c>
      <c r="J3071" t="s">
        <v>33239</v>
      </c>
      <c r="K3071" t="s">
        <v>40341</v>
      </c>
      <c r="M3071" t="s">
        <v>41920</v>
      </c>
      <c r="N3071" t="s">
        <v>44759</v>
      </c>
      <c r="O3071" t="s">
        <v>44760</v>
      </c>
      <c r="P3071">
        <v>0</v>
      </c>
      <c r="Q3071">
        <v>0</v>
      </c>
      <c r="R3071" t="s">
        <v>44762</v>
      </c>
      <c r="S3071" t="s">
        <v>44863</v>
      </c>
      <c r="T3071" t="s">
        <v>46352</v>
      </c>
      <c r="U3071" t="s">
        <v>49570</v>
      </c>
      <c r="W3071" t="s">
        <v>41920</v>
      </c>
      <c r="X3071" t="s">
        <v>44763</v>
      </c>
    </row>
    <row r="3072" spans="1:24">
      <c r="A3072">
        <f>HYPERLINK("https://www.philgeps.gov.ph/GEPSNONPILOT/Tender/SplashBidNoticeAbstractUI.aspx?menuIndex=3&amp;refID=7149460&amp;Result=3","7149460")</f>
        <v>0</v>
      </c>
      <c r="B3072" t="s">
        <v>1303</v>
      </c>
      <c r="C3072" t="s">
        <v>6708</v>
      </c>
      <c r="D3072" t="s">
        <v>18019</v>
      </c>
      <c r="E3072" t="s">
        <v>20827</v>
      </c>
      <c r="F3072" t="s">
        <v>30900</v>
      </c>
      <c r="G3072" t="s">
        <v>30908</v>
      </c>
      <c r="H3072" t="s">
        <v>30916</v>
      </c>
      <c r="I3072" t="s">
        <v>30994</v>
      </c>
      <c r="J3072" t="s">
        <v>33240</v>
      </c>
      <c r="K3072" t="s">
        <v>40287</v>
      </c>
      <c r="M3072" t="s">
        <v>41921</v>
      </c>
      <c r="N3072" t="s">
        <v>44759</v>
      </c>
      <c r="O3072" t="s">
        <v>44760</v>
      </c>
      <c r="P3072">
        <v>0</v>
      </c>
      <c r="Q3072">
        <v>0</v>
      </c>
      <c r="R3072" t="s">
        <v>44762</v>
      </c>
      <c r="S3072" t="s">
        <v>44863</v>
      </c>
      <c r="T3072" t="s">
        <v>46398</v>
      </c>
      <c r="U3072" t="s">
        <v>49571</v>
      </c>
      <c r="V3072" t="s">
        <v>59460</v>
      </c>
      <c r="W3072" t="s">
        <v>41921</v>
      </c>
      <c r="X3072" t="s">
        <v>44763</v>
      </c>
    </row>
    <row r="3073" spans="1:24">
      <c r="A3073">
        <f>HYPERLINK("https://www.philgeps.gov.ph/GEPSNONPILOT/Tender/SplashBidNoticeAbstractUI.aspx?menuIndex=3&amp;refID=7149429&amp;Result=3","7149429")</f>
        <v>0</v>
      </c>
      <c r="B3073" t="s">
        <v>506</v>
      </c>
      <c r="C3073" t="s">
        <v>6709</v>
      </c>
      <c r="D3073" t="s">
        <v>17966</v>
      </c>
      <c r="E3073" t="s">
        <v>20828</v>
      </c>
      <c r="F3073" t="s">
        <v>30900</v>
      </c>
      <c r="G3073" t="s">
        <v>30908</v>
      </c>
      <c r="H3073" t="s">
        <v>30916</v>
      </c>
      <c r="I3073" t="s">
        <v>30970</v>
      </c>
      <c r="J3073" t="s">
        <v>31105</v>
      </c>
      <c r="K3073" t="s">
        <v>40286</v>
      </c>
      <c r="M3073" t="s">
        <v>41066</v>
      </c>
      <c r="N3073" t="s">
        <v>44759</v>
      </c>
      <c r="O3073" t="s">
        <v>44760</v>
      </c>
      <c r="P3073">
        <v>0</v>
      </c>
      <c r="Q3073">
        <v>0</v>
      </c>
      <c r="R3073" t="s">
        <v>44762</v>
      </c>
      <c r="S3073" t="s">
        <v>44863</v>
      </c>
      <c r="T3073" t="s">
        <v>46404</v>
      </c>
      <c r="U3073" t="s">
        <v>49572</v>
      </c>
      <c r="W3073" t="s">
        <v>41066</v>
      </c>
      <c r="X3073" t="s">
        <v>44763</v>
      </c>
    </row>
    <row r="3074" spans="1:24">
      <c r="A3074">
        <f>HYPERLINK("https://www.philgeps.gov.ph/GEPSNONPILOT/Tender/SplashBidNoticeAbstractUI.aspx?menuIndex=3&amp;refID=7149446&amp;Result=3","7149446")</f>
        <v>0</v>
      </c>
      <c r="B3074" t="s">
        <v>1304</v>
      </c>
      <c r="C3074" t="s">
        <v>6710</v>
      </c>
      <c r="D3074" t="s">
        <v>17966</v>
      </c>
      <c r="E3074" t="s">
        <v>20829</v>
      </c>
      <c r="F3074" t="s">
        <v>30900</v>
      </c>
      <c r="G3074" t="s">
        <v>30908</v>
      </c>
      <c r="H3074" t="s">
        <v>30916</v>
      </c>
      <c r="I3074" t="s">
        <v>30927</v>
      </c>
      <c r="J3074" t="s">
        <v>33241</v>
      </c>
      <c r="K3074" t="s">
        <v>40289</v>
      </c>
      <c r="M3074" t="s">
        <v>41922</v>
      </c>
      <c r="N3074" t="s">
        <v>44759</v>
      </c>
      <c r="O3074" t="s">
        <v>44760</v>
      </c>
      <c r="P3074">
        <v>0</v>
      </c>
      <c r="Q3074">
        <v>3</v>
      </c>
      <c r="R3074" t="s">
        <v>44762</v>
      </c>
      <c r="S3074" t="s">
        <v>44863</v>
      </c>
      <c r="T3074" t="s">
        <v>46398</v>
      </c>
      <c r="U3074" t="s">
        <v>49573</v>
      </c>
      <c r="W3074" t="s">
        <v>41922</v>
      </c>
      <c r="X3074" t="s">
        <v>44763</v>
      </c>
    </row>
    <row r="3075" spans="1:24">
      <c r="A3075">
        <f>HYPERLINK("https://www.philgeps.gov.ph/GEPSNONPILOT/Tender/SplashBidNoticeAbstractUI.aspx?menuIndex=3&amp;refID=7149444&amp;Result=3","7149444")</f>
        <v>0</v>
      </c>
      <c r="B3075" t="s">
        <v>460</v>
      </c>
      <c r="C3075" t="s">
        <v>6658</v>
      </c>
      <c r="D3075" t="s">
        <v>17968</v>
      </c>
      <c r="E3075" t="s">
        <v>20830</v>
      </c>
      <c r="F3075" t="s">
        <v>30900</v>
      </c>
      <c r="G3075" t="s">
        <v>30908</v>
      </c>
      <c r="H3075" t="s">
        <v>30916</v>
      </c>
      <c r="I3075" t="s">
        <v>8123</v>
      </c>
      <c r="J3075" t="s">
        <v>31049</v>
      </c>
      <c r="K3075" t="s">
        <v>40283</v>
      </c>
      <c r="M3075" t="s">
        <v>41018</v>
      </c>
      <c r="N3075" t="s">
        <v>44759</v>
      </c>
      <c r="O3075" t="s">
        <v>44760</v>
      </c>
      <c r="P3075">
        <v>0</v>
      </c>
      <c r="Q3075">
        <v>0</v>
      </c>
      <c r="R3075" t="s">
        <v>44762</v>
      </c>
      <c r="S3075" t="s">
        <v>44863</v>
      </c>
      <c r="T3075" t="s">
        <v>46414</v>
      </c>
      <c r="U3075" t="s">
        <v>49574</v>
      </c>
      <c r="V3075" t="s">
        <v>59455</v>
      </c>
      <c r="W3075" t="s">
        <v>41018</v>
      </c>
      <c r="X3075" t="s">
        <v>44763</v>
      </c>
    </row>
    <row r="3076" spans="1:24">
      <c r="A3076">
        <f>HYPERLINK("https://www.philgeps.gov.ph/GEPSNONPILOT/Tender/SplashBidNoticeAbstractUI.aspx?menuIndex=3&amp;refID=7149461&amp;Result=3","7149461")</f>
        <v>0</v>
      </c>
      <c r="B3076" t="s">
        <v>1294</v>
      </c>
      <c r="C3076" t="s">
        <v>6711</v>
      </c>
      <c r="D3076" t="s">
        <v>18009</v>
      </c>
      <c r="E3076" t="s">
        <v>20831</v>
      </c>
      <c r="F3076" t="s">
        <v>30900</v>
      </c>
      <c r="G3076" t="s">
        <v>30909</v>
      </c>
      <c r="H3076" t="s">
        <v>30916</v>
      </c>
      <c r="I3076" t="s">
        <v>6953</v>
      </c>
      <c r="J3076" t="s">
        <v>32148</v>
      </c>
      <c r="K3076" t="s">
        <v>40331</v>
      </c>
      <c r="M3076" t="s">
        <v>41911</v>
      </c>
      <c r="N3076" t="s">
        <v>44759</v>
      </c>
      <c r="O3076" t="s">
        <v>44760</v>
      </c>
      <c r="P3076">
        <v>0</v>
      </c>
      <c r="Q3076">
        <v>0</v>
      </c>
      <c r="R3076" t="s">
        <v>44762</v>
      </c>
      <c r="S3076" t="s">
        <v>44863</v>
      </c>
      <c r="T3076" t="s">
        <v>46533</v>
      </c>
      <c r="U3076" t="s">
        <v>49575</v>
      </c>
      <c r="W3076" t="s">
        <v>41911</v>
      </c>
      <c r="X3076" t="s">
        <v>44763</v>
      </c>
    </row>
    <row r="3077" spans="1:24">
      <c r="A3077">
        <f>HYPERLINK("https://www.philgeps.gov.ph/GEPSNONPILOT/Tender/SplashBidNoticeAbstractUI.aspx?menuIndex=3&amp;refID=7149457&amp;Result=3","7149457")</f>
        <v>0</v>
      </c>
      <c r="B3077" t="s">
        <v>1293</v>
      </c>
      <c r="C3077" t="s">
        <v>6712</v>
      </c>
      <c r="D3077" t="s">
        <v>18002</v>
      </c>
      <c r="E3077" t="s">
        <v>18304</v>
      </c>
      <c r="F3077" t="s">
        <v>30900</v>
      </c>
      <c r="G3077" t="s">
        <v>30909</v>
      </c>
      <c r="H3077" t="s">
        <v>30916</v>
      </c>
      <c r="I3077" t="s">
        <v>30928</v>
      </c>
      <c r="J3077" t="s">
        <v>31281</v>
      </c>
      <c r="K3077" t="s">
        <v>40281</v>
      </c>
      <c r="M3077" t="s">
        <v>41910</v>
      </c>
      <c r="N3077" t="s">
        <v>44759</v>
      </c>
      <c r="O3077" t="s">
        <v>44760</v>
      </c>
      <c r="P3077">
        <v>0</v>
      </c>
      <c r="Q3077">
        <v>1</v>
      </c>
      <c r="R3077" t="s">
        <v>44762</v>
      </c>
      <c r="S3077" t="s">
        <v>44863</v>
      </c>
      <c r="T3077" t="s">
        <v>46571</v>
      </c>
      <c r="U3077" t="s">
        <v>49576</v>
      </c>
      <c r="W3077" t="s">
        <v>41910</v>
      </c>
      <c r="X3077" t="s">
        <v>44763</v>
      </c>
    </row>
    <row r="3078" spans="1:24">
      <c r="A3078">
        <f>HYPERLINK("https://www.philgeps.gov.ph/GEPSNONPILOT/Tender/SplashBidNoticeAbstractUI.aspx?menuIndex=3&amp;refID=7149470&amp;Result=3","7149470")</f>
        <v>0</v>
      </c>
      <c r="B3078" t="s">
        <v>1305</v>
      </c>
      <c r="C3078" t="s">
        <v>6713</v>
      </c>
      <c r="D3078" t="s">
        <v>17995</v>
      </c>
      <c r="E3078" t="s">
        <v>20832</v>
      </c>
      <c r="F3078" t="s">
        <v>30900</v>
      </c>
      <c r="G3078" t="s">
        <v>30909</v>
      </c>
      <c r="H3078" t="s">
        <v>30916</v>
      </c>
      <c r="I3078" t="s">
        <v>10602</v>
      </c>
      <c r="J3078" t="s">
        <v>33242</v>
      </c>
      <c r="K3078" t="s">
        <v>40289</v>
      </c>
      <c r="M3078" t="s">
        <v>41923</v>
      </c>
      <c r="N3078" t="s">
        <v>44759</v>
      </c>
      <c r="O3078" t="s">
        <v>44760</v>
      </c>
      <c r="P3078">
        <v>0</v>
      </c>
      <c r="Q3078">
        <v>0</v>
      </c>
      <c r="R3078" t="s">
        <v>44762</v>
      </c>
      <c r="S3078" t="s">
        <v>44863</v>
      </c>
      <c r="T3078" t="s">
        <v>46398</v>
      </c>
      <c r="U3078" t="s">
        <v>49577</v>
      </c>
      <c r="W3078" t="s">
        <v>60857</v>
      </c>
      <c r="X3078" t="s">
        <v>44763</v>
      </c>
    </row>
    <row r="3079" spans="1:24">
      <c r="A3079">
        <f>HYPERLINK("https://www.philgeps.gov.ph/GEPSNONPILOT/Tender/SplashBidNoticeAbstractUI.aspx?menuIndex=3&amp;refID=7149456&amp;Result=3","7149456")</f>
        <v>0</v>
      </c>
      <c r="B3079" t="s">
        <v>1306</v>
      </c>
      <c r="C3079" t="s">
        <v>6714</v>
      </c>
      <c r="D3079" t="s">
        <v>17980</v>
      </c>
      <c r="E3079" t="s">
        <v>18752</v>
      </c>
      <c r="F3079" t="s">
        <v>30900</v>
      </c>
      <c r="G3079" t="s">
        <v>30909</v>
      </c>
      <c r="H3079" t="s">
        <v>30916</v>
      </c>
      <c r="I3079" t="s">
        <v>8365</v>
      </c>
      <c r="J3079" t="s">
        <v>33243</v>
      </c>
      <c r="K3079" t="s">
        <v>40285</v>
      </c>
      <c r="M3079" t="s">
        <v>41924</v>
      </c>
      <c r="N3079" t="s">
        <v>44759</v>
      </c>
      <c r="O3079" t="s">
        <v>44760</v>
      </c>
      <c r="P3079">
        <v>0</v>
      </c>
      <c r="Q3079">
        <v>0</v>
      </c>
      <c r="R3079" t="s">
        <v>44762</v>
      </c>
      <c r="S3079" t="s">
        <v>44863</v>
      </c>
      <c r="T3079" t="s">
        <v>46533</v>
      </c>
      <c r="U3079" t="s">
        <v>49578</v>
      </c>
      <c r="V3079" t="s">
        <v>59461</v>
      </c>
      <c r="W3079" t="s">
        <v>41924</v>
      </c>
      <c r="X3079" t="s">
        <v>44763</v>
      </c>
    </row>
    <row r="3080" spans="1:24">
      <c r="A3080">
        <f>HYPERLINK("https://www.philgeps.gov.ph/GEPSNONPILOT/Tender/SplashBidNoticeAbstractUI.aspx?menuIndex=3&amp;refID=7149487&amp;Result=3","7149487")</f>
        <v>0</v>
      </c>
      <c r="B3080" t="s">
        <v>180</v>
      </c>
      <c r="C3080" t="s">
        <v>6715</v>
      </c>
      <c r="D3080" t="s">
        <v>17987</v>
      </c>
      <c r="E3080" t="s">
        <v>20833</v>
      </c>
      <c r="F3080" t="s">
        <v>30900</v>
      </c>
      <c r="G3080" t="s">
        <v>30907</v>
      </c>
      <c r="H3080" t="s">
        <v>30916</v>
      </c>
      <c r="I3080" t="s">
        <v>30933</v>
      </c>
      <c r="J3080" t="s">
        <v>33244</v>
      </c>
      <c r="K3080" t="s">
        <v>40284</v>
      </c>
      <c r="M3080" t="s">
        <v>40727</v>
      </c>
      <c r="N3080" t="s">
        <v>44759</v>
      </c>
      <c r="O3080" t="s">
        <v>44760</v>
      </c>
      <c r="P3080">
        <v>0</v>
      </c>
      <c r="Q3080">
        <v>0</v>
      </c>
      <c r="R3080" t="s">
        <v>44762</v>
      </c>
      <c r="S3080" t="s">
        <v>44863</v>
      </c>
      <c r="T3080" t="s">
        <v>46409</v>
      </c>
      <c r="U3080" t="s">
        <v>49579</v>
      </c>
      <c r="W3080" t="s">
        <v>40727</v>
      </c>
      <c r="X3080" t="s">
        <v>44763</v>
      </c>
    </row>
    <row r="3081" spans="1:24">
      <c r="A3081">
        <f>HYPERLINK("https://www.philgeps.gov.ph/GEPSNONPILOT/Tender/SplashBidNoticeAbstractUI.aspx?menuIndex=3&amp;refID=7149447&amp;Result=3","7149447")</f>
        <v>0</v>
      </c>
      <c r="B3081" t="s">
        <v>1307</v>
      </c>
      <c r="C3081" t="s">
        <v>6716</v>
      </c>
      <c r="D3081" t="s">
        <v>17953</v>
      </c>
      <c r="E3081" t="s">
        <v>20834</v>
      </c>
      <c r="F3081" t="s">
        <v>30900</v>
      </c>
      <c r="G3081" t="s">
        <v>30908</v>
      </c>
      <c r="H3081" t="s">
        <v>30916</v>
      </c>
      <c r="I3081" t="s">
        <v>30939</v>
      </c>
      <c r="J3081" t="s">
        <v>33245</v>
      </c>
      <c r="K3081" t="s">
        <v>40289</v>
      </c>
      <c r="M3081" t="s">
        <v>41925</v>
      </c>
      <c r="N3081" t="s">
        <v>44759</v>
      </c>
      <c r="O3081" t="s">
        <v>44760</v>
      </c>
      <c r="P3081">
        <v>0</v>
      </c>
      <c r="Q3081">
        <v>0</v>
      </c>
      <c r="R3081" t="s">
        <v>44762</v>
      </c>
      <c r="S3081" t="s">
        <v>44863</v>
      </c>
      <c r="T3081" t="s">
        <v>46398</v>
      </c>
      <c r="U3081" t="s">
        <v>49580</v>
      </c>
      <c r="W3081" t="s">
        <v>41925</v>
      </c>
      <c r="X3081" t="s">
        <v>44763</v>
      </c>
    </row>
    <row r="3082" spans="1:24">
      <c r="A3082">
        <f>HYPERLINK("https://www.philgeps.gov.ph/GEPSNONPILOT/Tender/SplashBidNoticeAbstractUI.aspx?menuIndex=3&amp;refID=7149485&amp;Result=3","7149485")</f>
        <v>0</v>
      </c>
      <c r="B3082" t="s">
        <v>400</v>
      </c>
      <c r="C3082" t="s">
        <v>6717</v>
      </c>
      <c r="D3082" t="s">
        <v>17971</v>
      </c>
      <c r="E3082" t="s">
        <v>20835</v>
      </c>
      <c r="F3082" t="s">
        <v>30900</v>
      </c>
      <c r="G3082" t="s">
        <v>30908</v>
      </c>
      <c r="H3082" t="s">
        <v>30916</v>
      </c>
      <c r="I3082" t="s">
        <v>4142</v>
      </c>
      <c r="J3082" t="s">
        <v>33246</v>
      </c>
      <c r="K3082" t="s">
        <v>40289</v>
      </c>
      <c r="M3082" t="s">
        <v>40955</v>
      </c>
      <c r="N3082" t="s">
        <v>44759</v>
      </c>
      <c r="O3082" t="s">
        <v>44760</v>
      </c>
      <c r="P3082">
        <v>0</v>
      </c>
      <c r="Q3082">
        <v>0</v>
      </c>
      <c r="R3082" t="s">
        <v>44762</v>
      </c>
      <c r="S3082" t="s">
        <v>44863</v>
      </c>
      <c r="T3082" t="s">
        <v>46410</v>
      </c>
      <c r="U3082" t="s">
        <v>49581</v>
      </c>
      <c r="W3082" t="s">
        <v>40955</v>
      </c>
      <c r="X3082" t="s">
        <v>44763</v>
      </c>
    </row>
    <row r="3083" spans="1:24">
      <c r="A3083">
        <f>HYPERLINK("https://www.philgeps.gov.ph/GEPSNONPILOT/Tender/SplashBidNoticeAbstractUI.aspx?menuIndex=3&amp;refID=7149482&amp;Result=3","7149482")</f>
        <v>0</v>
      </c>
      <c r="B3083" t="s">
        <v>1232</v>
      </c>
      <c r="C3083" t="s">
        <v>6718</v>
      </c>
      <c r="D3083" t="s">
        <v>17969</v>
      </c>
      <c r="E3083" t="s">
        <v>6718</v>
      </c>
      <c r="F3083" t="s">
        <v>30900</v>
      </c>
      <c r="G3083" t="s">
        <v>30908</v>
      </c>
      <c r="H3083" t="s">
        <v>30916</v>
      </c>
      <c r="I3083" t="s">
        <v>6746</v>
      </c>
      <c r="J3083" t="s">
        <v>31070</v>
      </c>
      <c r="K3083" t="s">
        <v>40286</v>
      </c>
      <c r="M3083" t="s">
        <v>41916</v>
      </c>
      <c r="N3083" t="s">
        <v>44759</v>
      </c>
      <c r="O3083" t="s">
        <v>44760</v>
      </c>
      <c r="P3083">
        <v>0</v>
      </c>
      <c r="Q3083">
        <v>0</v>
      </c>
      <c r="R3083" t="s">
        <v>44762</v>
      </c>
      <c r="S3083" t="s">
        <v>44863</v>
      </c>
      <c r="T3083" t="s">
        <v>46386</v>
      </c>
      <c r="U3083" t="s">
        <v>49582</v>
      </c>
      <c r="W3083" t="s">
        <v>41916</v>
      </c>
      <c r="X3083" t="s">
        <v>44763</v>
      </c>
    </row>
    <row r="3084" spans="1:24">
      <c r="A3084">
        <f>HYPERLINK("https://www.philgeps.gov.ph/GEPSNONPILOT/Tender/SplashBidNoticeAbstractUI.aspx?menuIndex=3&amp;refID=7149481&amp;Result=3","7149481")</f>
        <v>0</v>
      </c>
      <c r="B3084" t="s">
        <v>309</v>
      </c>
      <c r="C3084" t="s">
        <v>6719</v>
      </c>
      <c r="D3084" t="s">
        <v>17995</v>
      </c>
      <c r="E3084" t="s">
        <v>20836</v>
      </c>
      <c r="F3084" t="s">
        <v>30900</v>
      </c>
      <c r="G3084" t="s">
        <v>30908</v>
      </c>
      <c r="H3084" t="s">
        <v>30916</v>
      </c>
      <c r="I3084" t="s">
        <v>5501</v>
      </c>
      <c r="J3084" t="s">
        <v>33247</v>
      </c>
      <c r="K3084" t="s">
        <v>40283</v>
      </c>
      <c r="M3084" t="s">
        <v>40859</v>
      </c>
      <c r="N3084" t="s">
        <v>44759</v>
      </c>
      <c r="O3084" t="s">
        <v>44760</v>
      </c>
      <c r="P3084">
        <v>0</v>
      </c>
      <c r="Q3084">
        <v>0</v>
      </c>
      <c r="R3084" t="s">
        <v>44762</v>
      </c>
      <c r="S3084" t="s">
        <v>44863</v>
      </c>
      <c r="T3084" t="s">
        <v>46421</v>
      </c>
      <c r="U3084" t="s">
        <v>49583</v>
      </c>
      <c r="W3084" t="s">
        <v>40859</v>
      </c>
      <c r="X3084" t="s">
        <v>44763</v>
      </c>
    </row>
    <row r="3085" spans="1:24">
      <c r="A3085">
        <f>HYPERLINK("https://www.philgeps.gov.ph/GEPSNONPILOT/Tender/SplashBidNoticeAbstractUI.aspx?menuIndex=3&amp;refID=7149480&amp;Result=3","7149480")</f>
        <v>0</v>
      </c>
      <c r="B3085" t="s">
        <v>1308</v>
      </c>
      <c r="C3085" t="s">
        <v>6720</v>
      </c>
      <c r="D3085" t="s">
        <v>17977</v>
      </c>
      <c r="E3085" t="s">
        <v>19963</v>
      </c>
      <c r="F3085" t="s">
        <v>30900</v>
      </c>
      <c r="G3085" t="s">
        <v>30908</v>
      </c>
      <c r="H3085" t="s">
        <v>30916</v>
      </c>
      <c r="I3085" t="s">
        <v>30936</v>
      </c>
      <c r="J3085" t="s">
        <v>31713</v>
      </c>
      <c r="K3085" t="s">
        <v>40289</v>
      </c>
      <c r="M3085" t="s">
        <v>41926</v>
      </c>
      <c r="N3085" t="s">
        <v>44759</v>
      </c>
      <c r="O3085" t="s">
        <v>44760</v>
      </c>
      <c r="P3085">
        <v>0</v>
      </c>
      <c r="Q3085">
        <v>1</v>
      </c>
      <c r="R3085" t="s">
        <v>44762</v>
      </c>
      <c r="S3085" t="s">
        <v>44863</v>
      </c>
      <c r="T3085" t="s">
        <v>46457</v>
      </c>
      <c r="U3085" t="s">
        <v>49584</v>
      </c>
      <c r="W3085" t="s">
        <v>41926</v>
      </c>
      <c r="X3085" t="s">
        <v>44763</v>
      </c>
    </row>
    <row r="3086" spans="1:24">
      <c r="A3086">
        <f>HYPERLINK("https://www.philgeps.gov.ph/GEPSNONPILOT/Tender/SplashBidNoticeAbstractUI.aspx?menuIndex=3&amp;refID=7149479&amp;Result=3","7149479")</f>
        <v>0</v>
      </c>
      <c r="B3086" t="s">
        <v>1309</v>
      </c>
      <c r="C3086" t="s">
        <v>6721</v>
      </c>
      <c r="D3086" t="s">
        <v>17971</v>
      </c>
      <c r="E3086" t="s">
        <v>19768</v>
      </c>
      <c r="F3086" t="s">
        <v>30900</v>
      </c>
      <c r="G3086" t="s">
        <v>30908</v>
      </c>
      <c r="H3086" t="s">
        <v>30916</v>
      </c>
      <c r="I3086" t="s">
        <v>4108</v>
      </c>
      <c r="J3086" t="s">
        <v>33248</v>
      </c>
      <c r="K3086" t="s">
        <v>40289</v>
      </c>
      <c r="M3086" t="s">
        <v>41927</v>
      </c>
      <c r="N3086" t="s">
        <v>44759</v>
      </c>
      <c r="O3086" t="s">
        <v>44760</v>
      </c>
      <c r="P3086">
        <v>0</v>
      </c>
      <c r="Q3086">
        <v>6</v>
      </c>
      <c r="R3086" t="s">
        <v>44762</v>
      </c>
      <c r="S3086" t="s">
        <v>44863</v>
      </c>
      <c r="T3086" t="s">
        <v>46379</v>
      </c>
      <c r="U3086" t="s">
        <v>49585</v>
      </c>
      <c r="V3086" t="s">
        <v>59462</v>
      </c>
      <c r="W3086" t="s">
        <v>41927</v>
      </c>
      <c r="X3086" t="s">
        <v>44763</v>
      </c>
    </row>
    <row r="3087" spans="1:24">
      <c r="A3087">
        <f>HYPERLINK("https://www.philgeps.gov.ph/GEPSNONPILOT/Tender/SplashBidNoticeAbstractUI.aspx?menuIndex=3&amp;refID=7149478&amp;Result=3","7149478")</f>
        <v>0</v>
      </c>
      <c r="B3087" t="s">
        <v>1293</v>
      </c>
      <c r="C3087" t="s">
        <v>6722</v>
      </c>
      <c r="D3087" t="s">
        <v>18002</v>
      </c>
      <c r="E3087" t="s">
        <v>18304</v>
      </c>
      <c r="F3087" t="s">
        <v>30900</v>
      </c>
      <c r="G3087" t="s">
        <v>30909</v>
      </c>
      <c r="H3087" t="s">
        <v>30916</v>
      </c>
      <c r="I3087" t="s">
        <v>30923</v>
      </c>
      <c r="J3087" t="s">
        <v>33249</v>
      </c>
      <c r="K3087" t="s">
        <v>40281</v>
      </c>
      <c r="M3087" t="s">
        <v>41910</v>
      </c>
      <c r="N3087" t="s">
        <v>44759</v>
      </c>
      <c r="O3087" t="s">
        <v>44760</v>
      </c>
      <c r="P3087">
        <v>0</v>
      </c>
      <c r="Q3087">
        <v>0</v>
      </c>
      <c r="R3087" t="s">
        <v>44762</v>
      </c>
      <c r="S3087" t="s">
        <v>44863</v>
      </c>
      <c r="T3087" t="s">
        <v>46571</v>
      </c>
      <c r="U3087" t="s">
        <v>47618</v>
      </c>
      <c r="W3087" t="s">
        <v>41910</v>
      </c>
      <c r="X3087" t="s">
        <v>44763</v>
      </c>
    </row>
    <row r="3088" spans="1:24">
      <c r="A3088">
        <f>HYPERLINK("https://www.philgeps.gov.ph/GEPSNONPILOT/Tender/SplashBidNoticeAbstractUI.aspx?menuIndex=3&amp;refID=7149493&amp;Result=3","7149493")</f>
        <v>0</v>
      </c>
      <c r="B3088" t="s">
        <v>1310</v>
      </c>
      <c r="C3088" t="s">
        <v>6723</v>
      </c>
      <c r="D3088" t="s">
        <v>18021</v>
      </c>
      <c r="E3088" t="s">
        <v>20837</v>
      </c>
      <c r="F3088" t="s">
        <v>30900</v>
      </c>
      <c r="G3088" t="s">
        <v>30907</v>
      </c>
      <c r="H3088" t="s">
        <v>30916</v>
      </c>
      <c r="I3088" t="s">
        <v>30927</v>
      </c>
      <c r="J3088" t="s">
        <v>33250</v>
      </c>
      <c r="K3088" t="s">
        <v>40286</v>
      </c>
      <c r="M3088" t="s">
        <v>41928</v>
      </c>
      <c r="N3088" t="s">
        <v>44759</v>
      </c>
      <c r="O3088" t="s">
        <v>44760</v>
      </c>
      <c r="P3088">
        <v>0</v>
      </c>
      <c r="Q3088">
        <v>0</v>
      </c>
      <c r="R3088" t="s">
        <v>44762</v>
      </c>
      <c r="S3088" t="s">
        <v>44863</v>
      </c>
      <c r="T3088" t="s">
        <v>46486</v>
      </c>
      <c r="U3088" t="s">
        <v>49586</v>
      </c>
      <c r="V3088" t="s">
        <v>59463</v>
      </c>
      <c r="W3088" t="s">
        <v>41928</v>
      </c>
      <c r="X3088" t="s">
        <v>44763</v>
      </c>
    </row>
    <row r="3089" spans="1:24">
      <c r="A3089">
        <f>HYPERLINK("https://www.philgeps.gov.ph/GEPSNONPILOT/Tender/SplashBidNoticeAbstractUI.aspx?menuIndex=3&amp;refID=7149469&amp;Result=3","7149469")</f>
        <v>0</v>
      </c>
      <c r="B3089" t="s">
        <v>1285</v>
      </c>
      <c r="C3089" t="s">
        <v>6724</v>
      </c>
      <c r="D3089" t="s">
        <v>17958</v>
      </c>
      <c r="E3089" t="s">
        <v>20838</v>
      </c>
      <c r="F3089" t="s">
        <v>30900</v>
      </c>
      <c r="G3089" t="s">
        <v>30906</v>
      </c>
      <c r="H3089" t="s">
        <v>30916</v>
      </c>
      <c r="I3089" t="s">
        <v>5501</v>
      </c>
      <c r="J3089" t="s">
        <v>33251</v>
      </c>
      <c r="K3089" t="s">
        <v>40287</v>
      </c>
      <c r="M3089" t="s">
        <v>41902</v>
      </c>
      <c r="N3089" t="s">
        <v>44759</v>
      </c>
      <c r="O3089" t="s">
        <v>44760</v>
      </c>
      <c r="P3089">
        <v>0</v>
      </c>
      <c r="Q3089">
        <v>1</v>
      </c>
      <c r="R3089" t="s">
        <v>44762</v>
      </c>
      <c r="S3089" t="s">
        <v>44863</v>
      </c>
      <c r="T3089" t="s">
        <v>46383</v>
      </c>
      <c r="U3089" t="s">
        <v>49587</v>
      </c>
      <c r="W3089" t="s">
        <v>41902</v>
      </c>
      <c r="X3089" t="s">
        <v>44763</v>
      </c>
    </row>
    <row r="3090" spans="1:24">
      <c r="A3090">
        <f>HYPERLINK("https://www.philgeps.gov.ph/GEPSNONPILOT/Tender/SplashBidNoticeAbstractUI.aspx?menuIndex=3&amp;refID=7149491&amp;Result=3","7149491")</f>
        <v>0</v>
      </c>
      <c r="B3090" t="s">
        <v>1311</v>
      </c>
      <c r="C3090" t="s">
        <v>6725</v>
      </c>
      <c r="D3090" t="s">
        <v>17963</v>
      </c>
      <c r="E3090" t="s">
        <v>20839</v>
      </c>
      <c r="F3090" t="s">
        <v>30900</v>
      </c>
      <c r="G3090" t="s">
        <v>30907</v>
      </c>
      <c r="H3090" t="s">
        <v>30915</v>
      </c>
      <c r="I3090" t="s">
        <v>30919</v>
      </c>
      <c r="J3090" t="s">
        <v>33252</v>
      </c>
      <c r="K3090" t="s">
        <v>40293</v>
      </c>
      <c r="M3090" t="s">
        <v>41929</v>
      </c>
      <c r="N3090" t="s">
        <v>44759</v>
      </c>
      <c r="O3090" t="s">
        <v>44760</v>
      </c>
      <c r="P3090">
        <v>0</v>
      </c>
      <c r="Q3090">
        <v>0</v>
      </c>
      <c r="R3090" t="s">
        <v>44762</v>
      </c>
      <c r="S3090" t="s">
        <v>44863</v>
      </c>
      <c r="T3090" t="s">
        <v>46352</v>
      </c>
      <c r="U3090" t="s">
        <v>49588</v>
      </c>
      <c r="W3090" t="s">
        <v>41929</v>
      </c>
      <c r="X3090" t="s">
        <v>44763</v>
      </c>
    </row>
    <row r="3091" spans="1:24">
      <c r="A3091">
        <f>HYPERLINK("https://www.philgeps.gov.ph/GEPSNONPILOT/Tender/SplashBidNoticeAbstractUI.aspx?menuIndex=3&amp;refID=7149490&amp;Result=3","7149490")</f>
        <v>0</v>
      </c>
      <c r="B3091" t="s">
        <v>1312</v>
      </c>
      <c r="C3091" t="s">
        <v>6726</v>
      </c>
      <c r="D3091" t="s">
        <v>17957</v>
      </c>
      <c r="E3091" t="s">
        <v>19405</v>
      </c>
      <c r="F3091" t="s">
        <v>30900</v>
      </c>
      <c r="G3091" t="s">
        <v>30909</v>
      </c>
      <c r="H3091" t="s">
        <v>30916</v>
      </c>
      <c r="I3091" t="s">
        <v>4108</v>
      </c>
      <c r="J3091" t="s">
        <v>33253</v>
      </c>
      <c r="K3091" t="s">
        <v>40281</v>
      </c>
      <c r="M3091" t="s">
        <v>41930</v>
      </c>
      <c r="N3091" t="s">
        <v>44759</v>
      </c>
      <c r="O3091" t="s">
        <v>44760</v>
      </c>
      <c r="P3091">
        <v>0</v>
      </c>
      <c r="Q3091">
        <v>0</v>
      </c>
      <c r="R3091" t="s">
        <v>44762</v>
      </c>
      <c r="S3091" t="s">
        <v>44863</v>
      </c>
      <c r="T3091" t="s">
        <v>46572</v>
      </c>
      <c r="U3091" t="s">
        <v>49589</v>
      </c>
      <c r="V3091" t="s">
        <v>59117</v>
      </c>
      <c r="W3091" t="s">
        <v>41930</v>
      </c>
      <c r="X3091" t="s">
        <v>44763</v>
      </c>
    </row>
    <row r="3092" spans="1:24">
      <c r="A3092">
        <f>HYPERLINK("https://www.philgeps.gov.ph/GEPSNONPILOT/Tender/SplashBidNoticeAbstractUI.aspx?menuIndex=3&amp;refID=7149476&amp;Result=3","7149476")</f>
        <v>0</v>
      </c>
      <c r="B3092" t="s">
        <v>1307</v>
      </c>
      <c r="C3092" t="s">
        <v>6727</v>
      </c>
      <c r="D3092" t="s">
        <v>17953</v>
      </c>
      <c r="E3092" t="s">
        <v>20840</v>
      </c>
      <c r="F3092" t="s">
        <v>30900</v>
      </c>
      <c r="G3092" t="s">
        <v>30908</v>
      </c>
      <c r="H3092" t="s">
        <v>30916</v>
      </c>
      <c r="I3092" t="s">
        <v>6953</v>
      </c>
      <c r="J3092" t="s">
        <v>33254</v>
      </c>
      <c r="K3092" t="s">
        <v>40289</v>
      </c>
      <c r="M3092" t="s">
        <v>41925</v>
      </c>
      <c r="N3092" t="s">
        <v>44759</v>
      </c>
      <c r="O3092" t="s">
        <v>44760</v>
      </c>
      <c r="P3092">
        <v>0</v>
      </c>
      <c r="Q3092">
        <v>0</v>
      </c>
      <c r="R3092" t="s">
        <v>44762</v>
      </c>
      <c r="S3092" t="s">
        <v>44863</v>
      </c>
      <c r="T3092" t="s">
        <v>46398</v>
      </c>
      <c r="U3092" t="s">
        <v>49590</v>
      </c>
      <c r="W3092" t="s">
        <v>41925</v>
      </c>
      <c r="X3092" t="s">
        <v>44763</v>
      </c>
    </row>
    <row r="3093" spans="1:24">
      <c r="A3093">
        <f>HYPERLINK("https://www.philgeps.gov.ph/GEPSNONPILOT/Tender/SplashBidNoticeAbstractUI.aspx?menuIndex=3&amp;refID=7149475&amp;Result=3","7149475")</f>
        <v>0</v>
      </c>
      <c r="B3093" t="s">
        <v>824</v>
      </c>
      <c r="C3093" t="s">
        <v>5585</v>
      </c>
      <c r="D3093" t="s">
        <v>17962</v>
      </c>
      <c r="E3093" t="s">
        <v>20841</v>
      </c>
      <c r="F3093" t="s">
        <v>30900</v>
      </c>
      <c r="G3093" t="s">
        <v>30908</v>
      </c>
      <c r="H3093" t="s">
        <v>30916</v>
      </c>
      <c r="I3093" t="s">
        <v>30926</v>
      </c>
      <c r="J3093" t="s">
        <v>33255</v>
      </c>
      <c r="K3093" t="s">
        <v>40286</v>
      </c>
      <c r="M3093" t="s">
        <v>41396</v>
      </c>
      <c r="N3093" t="s">
        <v>44759</v>
      </c>
      <c r="O3093" t="s">
        <v>44760</v>
      </c>
      <c r="P3093">
        <v>0</v>
      </c>
      <c r="Q3093">
        <v>0</v>
      </c>
      <c r="R3093" t="s">
        <v>44762</v>
      </c>
      <c r="S3093" t="s">
        <v>44863</v>
      </c>
      <c r="T3093" t="s">
        <v>46363</v>
      </c>
      <c r="U3093" t="s">
        <v>48418</v>
      </c>
      <c r="W3093" t="s">
        <v>41396</v>
      </c>
      <c r="X3093" t="s">
        <v>44763</v>
      </c>
    </row>
    <row r="3094" spans="1:24">
      <c r="A3094">
        <f>HYPERLINK("https://www.philgeps.gov.ph/GEPSNONPILOT/Tender/SplashBidNoticeAbstractUI.aspx?menuIndex=3&amp;refID=7149474&amp;Result=3","7149474")</f>
        <v>0</v>
      </c>
      <c r="B3094" t="s">
        <v>497</v>
      </c>
      <c r="C3094" t="s">
        <v>6728</v>
      </c>
      <c r="D3094" t="s">
        <v>17951</v>
      </c>
      <c r="E3094" t="s">
        <v>18912</v>
      </c>
      <c r="F3094" t="s">
        <v>30900</v>
      </c>
      <c r="G3094" t="s">
        <v>30908</v>
      </c>
      <c r="H3094" t="s">
        <v>30916</v>
      </c>
      <c r="I3094" t="s">
        <v>6396</v>
      </c>
      <c r="J3094" t="s">
        <v>33256</v>
      </c>
      <c r="K3094" t="s">
        <v>40285</v>
      </c>
      <c r="M3094" t="s">
        <v>41056</v>
      </c>
      <c r="N3094" t="s">
        <v>44759</v>
      </c>
      <c r="O3094" t="s">
        <v>44760</v>
      </c>
      <c r="P3094">
        <v>0</v>
      </c>
      <c r="Q3094">
        <v>0</v>
      </c>
      <c r="R3094" t="s">
        <v>44762</v>
      </c>
      <c r="S3094" t="s">
        <v>44863</v>
      </c>
      <c r="T3094" t="s">
        <v>46414</v>
      </c>
      <c r="U3094" t="s">
        <v>49591</v>
      </c>
      <c r="W3094" t="s">
        <v>41056</v>
      </c>
      <c r="X3094" t="s">
        <v>44763</v>
      </c>
    </row>
    <row r="3095" spans="1:24">
      <c r="A3095">
        <f>HYPERLINK("https://www.philgeps.gov.ph/GEPSNONPILOT/Tender/SplashBidNoticeAbstractUI.aspx?menuIndex=3&amp;refID=7149472&amp;Result=3","7149472")</f>
        <v>0</v>
      </c>
      <c r="B3095" t="s">
        <v>506</v>
      </c>
      <c r="C3095" t="s">
        <v>6729</v>
      </c>
      <c r="D3095" t="s">
        <v>17966</v>
      </c>
      <c r="E3095" t="s">
        <v>20842</v>
      </c>
      <c r="F3095" t="s">
        <v>30900</v>
      </c>
      <c r="G3095" t="s">
        <v>30908</v>
      </c>
      <c r="H3095" t="s">
        <v>30916</v>
      </c>
      <c r="I3095" t="s">
        <v>30927</v>
      </c>
      <c r="J3095" t="s">
        <v>33257</v>
      </c>
      <c r="K3095" t="s">
        <v>40283</v>
      </c>
      <c r="M3095" t="s">
        <v>41066</v>
      </c>
      <c r="N3095" t="s">
        <v>44759</v>
      </c>
      <c r="O3095" t="s">
        <v>44760</v>
      </c>
      <c r="P3095">
        <v>0</v>
      </c>
      <c r="Q3095">
        <v>0</v>
      </c>
      <c r="R3095" t="s">
        <v>44762</v>
      </c>
      <c r="S3095" t="s">
        <v>44863</v>
      </c>
      <c r="T3095" t="s">
        <v>46404</v>
      </c>
      <c r="U3095" t="s">
        <v>49592</v>
      </c>
      <c r="W3095" t="s">
        <v>41066</v>
      </c>
      <c r="X3095" t="s">
        <v>44763</v>
      </c>
    </row>
    <row r="3096" spans="1:24">
      <c r="A3096">
        <f>HYPERLINK("https://www.philgeps.gov.ph/GEPSNONPILOT/Tender/SplashBidNoticeAbstractUI.aspx?menuIndex=3&amp;refID=7149495&amp;Result=3","7149495")</f>
        <v>0</v>
      </c>
      <c r="B3096" t="s">
        <v>542</v>
      </c>
      <c r="C3096" t="s">
        <v>6730</v>
      </c>
      <c r="D3096" t="s">
        <v>17992</v>
      </c>
      <c r="E3096" t="s">
        <v>19466</v>
      </c>
      <c r="F3096" t="s">
        <v>30900</v>
      </c>
      <c r="G3096" t="s">
        <v>30908</v>
      </c>
      <c r="H3096" t="s">
        <v>30916</v>
      </c>
      <c r="I3096" t="s">
        <v>4142</v>
      </c>
      <c r="J3096" t="s">
        <v>33258</v>
      </c>
      <c r="K3096" t="s">
        <v>40283</v>
      </c>
      <c r="M3096" t="s">
        <v>41102</v>
      </c>
      <c r="N3096" t="s">
        <v>44759</v>
      </c>
      <c r="O3096" t="s">
        <v>44760</v>
      </c>
      <c r="P3096">
        <v>0</v>
      </c>
      <c r="Q3096">
        <v>2</v>
      </c>
      <c r="R3096" t="s">
        <v>44762</v>
      </c>
      <c r="S3096" t="s">
        <v>44863</v>
      </c>
      <c r="T3096" t="s">
        <v>46379</v>
      </c>
      <c r="U3096" t="s">
        <v>49593</v>
      </c>
      <c r="W3096" t="s">
        <v>41102</v>
      </c>
      <c r="X3096" t="s">
        <v>44763</v>
      </c>
    </row>
    <row r="3097" spans="1:24">
      <c r="A3097">
        <f>HYPERLINK("https://www.philgeps.gov.ph/GEPSNONPILOT/Tender/SplashBidNoticeAbstractUI.aspx?menuIndex=3&amp;refID=7149516&amp;Result=3","7149516")</f>
        <v>0</v>
      </c>
      <c r="B3097" t="s">
        <v>1304</v>
      </c>
      <c r="C3097" t="s">
        <v>6731</v>
      </c>
      <c r="D3097" t="s">
        <v>17966</v>
      </c>
      <c r="E3097" t="s">
        <v>20843</v>
      </c>
      <c r="F3097" t="s">
        <v>30900</v>
      </c>
      <c r="G3097" t="s">
        <v>30908</v>
      </c>
      <c r="H3097" t="s">
        <v>30916</v>
      </c>
      <c r="I3097" t="s">
        <v>30923</v>
      </c>
      <c r="J3097" t="s">
        <v>33259</v>
      </c>
      <c r="K3097" t="s">
        <v>40289</v>
      </c>
      <c r="M3097" t="s">
        <v>41922</v>
      </c>
      <c r="N3097" t="s">
        <v>44759</v>
      </c>
      <c r="O3097" t="s">
        <v>44760</v>
      </c>
      <c r="P3097">
        <v>0</v>
      </c>
      <c r="Q3097">
        <v>12</v>
      </c>
      <c r="R3097" t="s">
        <v>44762</v>
      </c>
      <c r="S3097" t="s">
        <v>44863</v>
      </c>
      <c r="T3097" t="s">
        <v>46398</v>
      </c>
      <c r="U3097" t="s">
        <v>49573</v>
      </c>
      <c r="W3097" t="s">
        <v>41922</v>
      </c>
      <c r="X3097" t="s">
        <v>44763</v>
      </c>
    </row>
    <row r="3098" spans="1:24">
      <c r="A3098">
        <f>HYPERLINK("https://www.philgeps.gov.ph/GEPSNONPILOT/Tender/SplashBidNoticeAbstractUI.aspx?menuIndex=3&amp;refID=7149515&amp;Result=3","7149515")</f>
        <v>0</v>
      </c>
      <c r="B3098" t="s">
        <v>1313</v>
      </c>
      <c r="C3098" t="s">
        <v>6732</v>
      </c>
      <c r="D3098" t="s">
        <v>18002</v>
      </c>
      <c r="E3098" t="s">
        <v>20844</v>
      </c>
      <c r="F3098" t="s">
        <v>30900</v>
      </c>
      <c r="G3098" t="s">
        <v>30909</v>
      </c>
      <c r="H3098" t="s">
        <v>30916</v>
      </c>
      <c r="I3098" t="s">
        <v>30922</v>
      </c>
      <c r="J3098" t="s">
        <v>32244</v>
      </c>
      <c r="K3098" t="s">
        <v>40287</v>
      </c>
      <c r="M3098" t="s">
        <v>41931</v>
      </c>
      <c r="N3098" t="s">
        <v>44759</v>
      </c>
      <c r="O3098" t="s">
        <v>44760</v>
      </c>
      <c r="P3098">
        <v>0</v>
      </c>
      <c r="Q3098">
        <v>8</v>
      </c>
      <c r="R3098" t="s">
        <v>44762</v>
      </c>
      <c r="S3098" t="s">
        <v>44863</v>
      </c>
      <c r="T3098" t="s">
        <v>46363</v>
      </c>
      <c r="U3098" t="s">
        <v>49594</v>
      </c>
      <c r="W3098" t="s">
        <v>41931</v>
      </c>
      <c r="X3098" t="s">
        <v>44763</v>
      </c>
    </row>
    <row r="3099" spans="1:24">
      <c r="A3099">
        <f>HYPERLINK("https://www.philgeps.gov.ph/GEPSNONPILOT/Tender/SplashBidNoticeAbstractUI.aspx?menuIndex=3&amp;refID=7149514&amp;Result=3","7149514")</f>
        <v>0</v>
      </c>
      <c r="B3099" t="s">
        <v>1314</v>
      </c>
      <c r="C3099" t="s">
        <v>6733</v>
      </c>
      <c r="D3099" t="s">
        <v>17961</v>
      </c>
      <c r="E3099" t="s">
        <v>20845</v>
      </c>
      <c r="F3099" t="s">
        <v>30900</v>
      </c>
      <c r="G3099" t="s">
        <v>30908</v>
      </c>
      <c r="H3099" t="s">
        <v>7411</v>
      </c>
      <c r="I3099" t="s">
        <v>7411</v>
      </c>
      <c r="J3099" t="s">
        <v>33260</v>
      </c>
      <c r="K3099" t="s">
        <v>40289</v>
      </c>
      <c r="L3099" t="s">
        <v>1314</v>
      </c>
      <c r="M3099" t="s">
        <v>41932</v>
      </c>
      <c r="N3099" t="s">
        <v>44759</v>
      </c>
      <c r="O3099" t="s">
        <v>44760</v>
      </c>
      <c r="P3099">
        <v>0</v>
      </c>
      <c r="Q3099">
        <v>0</v>
      </c>
      <c r="R3099" t="s">
        <v>44762</v>
      </c>
      <c r="S3099" t="s">
        <v>44863</v>
      </c>
      <c r="T3099" t="s">
        <v>46425</v>
      </c>
      <c r="U3099" t="s">
        <v>49595</v>
      </c>
      <c r="W3099" t="s">
        <v>41932</v>
      </c>
      <c r="X3099" t="s">
        <v>44763</v>
      </c>
    </row>
    <row r="3100" spans="1:24">
      <c r="A3100">
        <f>HYPERLINK("https://www.philgeps.gov.ph/GEPSNONPILOT/Tender/SplashBidNoticeAbstractUI.aspx?menuIndex=3&amp;refID=7149513&amp;Result=3","7149513")</f>
        <v>0</v>
      </c>
      <c r="B3100" t="s">
        <v>1173</v>
      </c>
      <c r="C3100" t="s">
        <v>6734</v>
      </c>
      <c r="D3100" t="s">
        <v>18013</v>
      </c>
      <c r="E3100" t="s">
        <v>20846</v>
      </c>
      <c r="F3100" t="s">
        <v>30900</v>
      </c>
      <c r="G3100" t="s">
        <v>30908</v>
      </c>
      <c r="H3100" t="s">
        <v>30916</v>
      </c>
      <c r="I3100" t="s">
        <v>8123</v>
      </c>
      <c r="J3100" t="s">
        <v>33261</v>
      </c>
      <c r="K3100" t="s">
        <v>40286</v>
      </c>
      <c r="M3100" t="s">
        <v>41780</v>
      </c>
      <c r="N3100" t="s">
        <v>44759</v>
      </c>
      <c r="O3100" t="s">
        <v>44760</v>
      </c>
      <c r="P3100">
        <v>0</v>
      </c>
      <c r="Q3100">
        <v>0</v>
      </c>
      <c r="R3100" t="s">
        <v>44762</v>
      </c>
      <c r="S3100" t="s">
        <v>44863</v>
      </c>
      <c r="T3100" t="s">
        <v>46383</v>
      </c>
      <c r="U3100" t="s">
        <v>49596</v>
      </c>
      <c r="W3100" t="s">
        <v>41780</v>
      </c>
      <c r="X3100" t="s">
        <v>44763</v>
      </c>
    </row>
    <row r="3101" spans="1:24">
      <c r="A3101">
        <f>HYPERLINK("https://www.philgeps.gov.ph/GEPSNONPILOT/Tender/SplashBidNoticeAbstractUI.aspx?menuIndex=3&amp;refID=7149511&amp;Result=3","7149511")</f>
        <v>0</v>
      </c>
      <c r="B3101" t="s">
        <v>1315</v>
      </c>
      <c r="C3101" t="s">
        <v>6735</v>
      </c>
      <c r="D3101" t="s">
        <v>17982</v>
      </c>
      <c r="E3101" t="s">
        <v>20847</v>
      </c>
      <c r="F3101" t="s">
        <v>30900</v>
      </c>
      <c r="G3101" t="s">
        <v>30907</v>
      </c>
      <c r="H3101" t="s">
        <v>30916</v>
      </c>
      <c r="I3101" t="s">
        <v>4545</v>
      </c>
      <c r="J3101" t="s">
        <v>33262</v>
      </c>
      <c r="K3101" t="s">
        <v>40286</v>
      </c>
      <c r="M3101" t="s">
        <v>41933</v>
      </c>
      <c r="N3101" t="s">
        <v>44759</v>
      </c>
      <c r="O3101" t="s">
        <v>44760</v>
      </c>
      <c r="P3101">
        <v>0</v>
      </c>
      <c r="Q3101">
        <v>4</v>
      </c>
      <c r="R3101" t="s">
        <v>44762</v>
      </c>
      <c r="S3101" t="s">
        <v>44863</v>
      </c>
      <c r="T3101" t="s">
        <v>46626</v>
      </c>
      <c r="U3101" t="s">
        <v>49597</v>
      </c>
      <c r="W3101" t="s">
        <v>41933</v>
      </c>
      <c r="X3101" t="s">
        <v>44763</v>
      </c>
    </row>
    <row r="3102" spans="1:24">
      <c r="A3102">
        <f>HYPERLINK("https://www.philgeps.gov.ph/GEPSNONPILOT/Tender/SplashBidNoticeAbstractUI.aspx?menuIndex=3&amp;refID=7149510&amp;Result=3","7149510")</f>
        <v>0</v>
      </c>
      <c r="B3102" t="s">
        <v>859</v>
      </c>
      <c r="C3102" t="s">
        <v>6736</v>
      </c>
      <c r="D3102" t="s">
        <v>17969</v>
      </c>
      <c r="E3102" t="s">
        <v>20848</v>
      </c>
      <c r="F3102" t="s">
        <v>30900</v>
      </c>
      <c r="G3102" t="s">
        <v>30908</v>
      </c>
      <c r="H3102" t="s">
        <v>30916</v>
      </c>
      <c r="I3102" t="s">
        <v>9385</v>
      </c>
      <c r="J3102" t="s">
        <v>33263</v>
      </c>
      <c r="K3102" t="s">
        <v>40286</v>
      </c>
      <c r="M3102" t="s">
        <v>41432</v>
      </c>
      <c r="N3102" t="s">
        <v>44759</v>
      </c>
      <c r="O3102" t="s">
        <v>44760</v>
      </c>
      <c r="P3102">
        <v>0</v>
      </c>
      <c r="Q3102">
        <v>7</v>
      </c>
      <c r="R3102" t="s">
        <v>44762</v>
      </c>
      <c r="S3102" t="s">
        <v>44863</v>
      </c>
      <c r="T3102" t="s">
        <v>46363</v>
      </c>
      <c r="U3102" t="s">
        <v>49598</v>
      </c>
      <c r="W3102" t="s">
        <v>41432</v>
      </c>
      <c r="X3102" t="s">
        <v>44763</v>
      </c>
    </row>
    <row r="3103" spans="1:24">
      <c r="A3103">
        <f>HYPERLINK("https://www.philgeps.gov.ph/GEPSNONPILOT/Tender/SplashBidNoticeAbstractUI.aspx?menuIndex=3&amp;refID=7149492&amp;Result=3","7149492")</f>
        <v>0</v>
      </c>
      <c r="B3103" t="s">
        <v>1281</v>
      </c>
      <c r="C3103" t="s">
        <v>3773</v>
      </c>
      <c r="D3103" t="s">
        <v>17966</v>
      </c>
      <c r="E3103" t="s">
        <v>20849</v>
      </c>
      <c r="F3103" t="s">
        <v>30900</v>
      </c>
      <c r="G3103" t="s">
        <v>30910</v>
      </c>
      <c r="H3103" t="s">
        <v>30916</v>
      </c>
      <c r="I3103" t="s">
        <v>4142</v>
      </c>
      <c r="J3103" t="s">
        <v>33264</v>
      </c>
      <c r="K3103" t="s">
        <v>40287</v>
      </c>
      <c r="M3103" t="s">
        <v>41898</v>
      </c>
      <c r="N3103" t="s">
        <v>44759</v>
      </c>
      <c r="O3103" t="s">
        <v>44760</v>
      </c>
      <c r="P3103">
        <v>0</v>
      </c>
      <c r="Q3103">
        <v>0</v>
      </c>
      <c r="R3103" t="s">
        <v>44762</v>
      </c>
      <c r="S3103" t="s">
        <v>44863</v>
      </c>
      <c r="T3103" t="s">
        <v>46383</v>
      </c>
      <c r="U3103" t="s">
        <v>49599</v>
      </c>
      <c r="W3103" t="s">
        <v>60856</v>
      </c>
      <c r="X3103" t="s">
        <v>44763</v>
      </c>
    </row>
    <row r="3104" spans="1:24">
      <c r="A3104">
        <f>HYPERLINK("https://www.philgeps.gov.ph/GEPSNONPILOT/Tender/SplashBidNoticeAbstractUI.aspx?menuIndex=3&amp;refID=7149521&amp;Result=3","7149521")</f>
        <v>0</v>
      </c>
      <c r="B3104" t="s">
        <v>1316</v>
      </c>
      <c r="C3104" t="s">
        <v>6737</v>
      </c>
      <c r="D3104" t="s">
        <v>17952</v>
      </c>
      <c r="E3104" t="s">
        <v>20850</v>
      </c>
      <c r="F3104" t="s">
        <v>30900</v>
      </c>
      <c r="G3104" t="s">
        <v>30908</v>
      </c>
      <c r="H3104" t="s">
        <v>30916</v>
      </c>
      <c r="I3104" t="s">
        <v>30927</v>
      </c>
      <c r="J3104" t="s">
        <v>31625</v>
      </c>
      <c r="K3104" t="s">
        <v>40283</v>
      </c>
      <c r="M3104" t="s">
        <v>41934</v>
      </c>
      <c r="N3104" t="s">
        <v>44759</v>
      </c>
      <c r="O3104" t="s">
        <v>44760</v>
      </c>
      <c r="P3104">
        <v>0</v>
      </c>
      <c r="Q3104">
        <v>0</v>
      </c>
      <c r="R3104" t="s">
        <v>44762</v>
      </c>
      <c r="S3104" t="s">
        <v>44863</v>
      </c>
      <c r="T3104" t="s">
        <v>46414</v>
      </c>
      <c r="U3104" t="s">
        <v>49600</v>
      </c>
      <c r="V3104" t="s">
        <v>59464</v>
      </c>
      <c r="W3104" t="s">
        <v>41934</v>
      </c>
      <c r="X3104" t="s">
        <v>44763</v>
      </c>
    </row>
    <row r="3105" spans="1:24">
      <c r="A3105">
        <f>HYPERLINK("https://www.philgeps.gov.ph/GEPSNONPILOT/Tender/SplashBidNoticeAbstractUI.aspx?menuIndex=3&amp;refID=7149477&amp;Result=3","7149477")</f>
        <v>0</v>
      </c>
      <c r="B3105" t="s">
        <v>1317</v>
      </c>
      <c r="C3105" t="s">
        <v>6738</v>
      </c>
      <c r="D3105" t="s">
        <v>17977</v>
      </c>
      <c r="E3105" t="s">
        <v>20851</v>
      </c>
      <c r="F3105" t="s">
        <v>30900</v>
      </c>
      <c r="G3105" t="s">
        <v>30908</v>
      </c>
      <c r="H3105" t="s">
        <v>30916</v>
      </c>
      <c r="I3105" t="s">
        <v>4545</v>
      </c>
      <c r="J3105" t="s">
        <v>33265</v>
      </c>
      <c r="K3105" t="s">
        <v>40283</v>
      </c>
      <c r="M3105" t="s">
        <v>41935</v>
      </c>
      <c r="N3105" t="s">
        <v>44759</v>
      </c>
      <c r="O3105" t="s">
        <v>44760</v>
      </c>
      <c r="P3105">
        <v>0</v>
      </c>
      <c r="Q3105">
        <v>1</v>
      </c>
      <c r="R3105" t="s">
        <v>44762</v>
      </c>
      <c r="S3105" t="s">
        <v>44863</v>
      </c>
      <c r="T3105" t="s">
        <v>46414</v>
      </c>
      <c r="U3105" t="s">
        <v>49601</v>
      </c>
      <c r="W3105" t="s">
        <v>41935</v>
      </c>
      <c r="X3105" t="s">
        <v>44763</v>
      </c>
    </row>
    <row r="3106" spans="1:24">
      <c r="A3106">
        <f>HYPERLINK("https://www.philgeps.gov.ph/GEPSNONPILOT/Tender/SplashBidNoticeAbstractUI.aspx?menuIndex=3&amp;refID=7149520&amp;Result=3","7149520")</f>
        <v>0</v>
      </c>
      <c r="B3106" t="s">
        <v>983</v>
      </c>
      <c r="C3106" t="s">
        <v>6739</v>
      </c>
      <c r="D3106" t="s">
        <v>18005</v>
      </c>
      <c r="E3106" t="s">
        <v>20852</v>
      </c>
      <c r="F3106" t="s">
        <v>30900</v>
      </c>
      <c r="G3106" t="s">
        <v>30907</v>
      </c>
      <c r="H3106" t="s">
        <v>30916</v>
      </c>
      <c r="I3106" t="s">
        <v>30918</v>
      </c>
      <c r="J3106" t="s">
        <v>33266</v>
      </c>
      <c r="K3106" t="s">
        <v>40294</v>
      </c>
      <c r="M3106" t="s">
        <v>41571</v>
      </c>
      <c r="N3106" t="s">
        <v>44759</v>
      </c>
      <c r="O3106" t="s">
        <v>44760</v>
      </c>
      <c r="P3106">
        <v>0</v>
      </c>
      <c r="Q3106">
        <v>6</v>
      </c>
      <c r="R3106" t="s">
        <v>44762</v>
      </c>
      <c r="S3106" t="s">
        <v>44863</v>
      </c>
      <c r="T3106" t="s">
        <v>46382</v>
      </c>
      <c r="U3106" t="s">
        <v>49602</v>
      </c>
      <c r="W3106" t="s">
        <v>41571</v>
      </c>
      <c r="X3106" t="s">
        <v>44763</v>
      </c>
    </row>
    <row r="3107" spans="1:24">
      <c r="A3107">
        <f>HYPERLINK("https://www.philgeps.gov.ph/GEPSNONPILOT/Tender/SplashBidNoticeAbstractUI.aspx?menuIndex=3&amp;refID=7149519&amp;Result=3","7149519")</f>
        <v>0</v>
      </c>
      <c r="B3107" t="s">
        <v>1318</v>
      </c>
      <c r="C3107" t="s">
        <v>6740</v>
      </c>
      <c r="D3107" t="s">
        <v>18008</v>
      </c>
      <c r="E3107" t="s">
        <v>6740</v>
      </c>
      <c r="F3107" t="s">
        <v>30900</v>
      </c>
      <c r="G3107" t="s">
        <v>30908</v>
      </c>
      <c r="H3107" t="s">
        <v>30916</v>
      </c>
      <c r="I3107" t="s">
        <v>4050</v>
      </c>
      <c r="J3107" t="s">
        <v>31271</v>
      </c>
      <c r="K3107" t="s">
        <v>40291</v>
      </c>
      <c r="M3107" t="s">
        <v>41936</v>
      </c>
      <c r="N3107" t="s">
        <v>44759</v>
      </c>
      <c r="O3107" t="s">
        <v>44760</v>
      </c>
      <c r="P3107">
        <v>0</v>
      </c>
      <c r="Q3107">
        <v>1</v>
      </c>
      <c r="R3107" t="s">
        <v>44762</v>
      </c>
      <c r="S3107" t="s">
        <v>44863</v>
      </c>
      <c r="T3107" t="s">
        <v>46418</v>
      </c>
      <c r="U3107" t="s">
        <v>49603</v>
      </c>
      <c r="V3107" t="s">
        <v>59465</v>
      </c>
      <c r="W3107" t="s">
        <v>41936</v>
      </c>
      <c r="X3107" t="s">
        <v>44763</v>
      </c>
    </row>
    <row r="3108" spans="1:24">
      <c r="A3108">
        <f>HYPERLINK("https://www.philgeps.gov.ph/GEPSNONPILOT/Tender/SplashBidNoticeAbstractUI.aspx?menuIndex=3&amp;refID=7149517&amp;Result=3","7149517")</f>
        <v>0</v>
      </c>
      <c r="B3108" t="s">
        <v>1100</v>
      </c>
      <c r="C3108" t="s">
        <v>6741</v>
      </c>
      <c r="D3108" t="s">
        <v>18032</v>
      </c>
      <c r="E3108" t="s">
        <v>20853</v>
      </c>
      <c r="F3108" t="s">
        <v>30900</v>
      </c>
      <c r="G3108" t="s">
        <v>30907</v>
      </c>
      <c r="H3108" t="s">
        <v>30916</v>
      </c>
      <c r="I3108" t="s">
        <v>10847</v>
      </c>
      <c r="J3108" t="s">
        <v>33267</v>
      </c>
      <c r="K3108" t="s">
        <v>40289</v>
      </c>
      <c r="M3108" t="s">
        <v>41700</v>
      </c>
      <c r="N3108" t="s">
        <v>44759</v>
      </c>
      <c r="O3108" t="s">
        <v>44760</v>
      </c>
      <c r="P3108">
        <v>0</v>
      </c>
      <c r="Q3108">
        <v>2</v>
      </c>
      <c r="R3108" t="s">
        <v>44762</v>
      </c>
      <c r="S3108" t="s">
        <v>44863</v>
      </c>
      <c r="T3108" t="s">
        <v>46540</v>
      </c>
      <c r="U3108" t="s">
        <v>49604</v>
      </c>
      <c r="W3108" t="s">
        <v>41700</v>
      </c>
      <c r="X3108" t="s">
        <v>44763</v>
      </c>
    </row>
    <row r="3109" spans="1:24">
      <c r="A3109">
        <f>HYPERLINK("https://www.philgeps.gov.ph/GEPSNONPILOT/Tender/SplashBidNoticeAbstractUI.aspx?menuIndex=3&amp;refID=7149507&amp;Result=3","7149507")</f>
        <v>0</v>
      </c>
      <c r="B3109" t="s">
        <v>1319</v>
      </c>
      <c r="C3109" t="s">
        <v>6742</v>
      </c>
      <c r="D3109" t="s">
        <v>17999</v>
      </c>
      <c r="E3109" t="s">
        <v>20854</v>
      </c>
      <c r="F3109" t="s">
        <v>30900</v>
      </c>
      <c r="G3109" t="s">
        <v>30908</v>
      </c>
      <c r="H3109" t="s">
        <v>30916</v>
      </c>
      <c r="I3109" t="s">
        <v>5830</v>
      </c>
      <c r="J3109" t="s">
        <v>31522</v>
      </c>
      <c r="K3109" t="s">
        <v>40334</v>
      </c>
      <c r="M3109" t="s">
        <v>41937</v>
      </c>
      <c r="N3109" t="s">
        <v>44759</v>
      </c>
      <c r="O3109" t="s">
        <v>44760</v>
      </c>
      <c r="P3109">
        <v>0</v>
      </c>
      <c r="Q3109">
        <v>4</v>
      </c>
      <c r="R3109" t="s">
        <v>44762</v>
      </c>
      <c r="S3109" t="s">
        <v>44863</v>
      </c>
      <c r="T3109" t="s">
        <v>46547</v>
      </c>
      <c r="U3109" t="s">
        <v>49605</v>
      </c>
      <c r="V3109" t="s">
        <v>59466</v>
      </c>
      <c r="W3109" t="s">
        <v>41937</v>
      </c>
      <c r="X3109" t="s">
        <v>44763</v>
      </c>
    </row>
    <row r="3110" spans="1:24">
      <c r="A3110">
        <f>HYPERLINK("https://www.philgeps.gov.ph/GEPSNONPILOT/Tender/SplashBidNoticeAbstractUI.aspx?menuIndex=3&amp;refID=7149504&amp;Result=3","7149504")</f>
        <v>0</v>
      </c>
      <c r="B3110" t="s">
        <v>1294</v>
      </c>
      <c r="C3110" t="s">
        <v>6743</v>
      </c>
      <c r="D3110" t="s">
        <v>18009</v>
      </c>
      <c r="E3110" t="s">
        <v>20855</v>
      </c>
      <c r="F3110" t="s">
        <v>30900</v>
      </c>
      <c r="G3110" t="s">
        <v>30909</v>
      </c>
      <c r="H3110" t="s">
        <v>30916</v>
      </c>
      <c r="I3110" t="s">
        <v>6746</v>
      </c>
      <c r="J3110" t="s">
        <v>33268</v>
      </c>
      <c r="K3110" t="s">
        <v>40331</v>
      </c>
      <c r="M3110" t="s">
        <v>41911</v>
      </c>
      <c r="N3110" t="s">
        <v>44759</v>
      </c>
      <c r="O3110" t="s">
        <v>44760</v>
      </c>
      <c r="P3110">
        <v>0</v>
      </c>
      <c r="Q3110">
        <v>0</v>
      </c>
      <c r="R3110" t="s">
        <v>44762</v>
      </c>
      <c r="S3110" t="s">
        <v>44863</v>
      </c>
      <c r="T3110" t="s">
        <v>46374</v>
      </c>
      <c r="U3110" t="s">
        <v>49606</v>
      </c>
      <c r="W3110" t="s">
        <v>41911</v>
      </c>
      <c r="X3110" t="s">
        <v>44763</v>
      </c>
    </row>
    <row r="3111" spans="1:24">
      <c r="A3111">
        <f>HYPERLINK("https://www.philgeps.gov.ph/GEPSNONPILOT/Tender/SplashBidNoticeAbstractUI.aspx?menuIndex=3&amp;refID=7149500&amp;Result=3","7149500")</f>
        <v>0</v>
      </c>
      <c r="B3111" t="s">
        <v>619</v>
      </c>
      <c r="C3111" t="s">
        <v>6744</v>
      </c>
      <c r="D3111" t="s">
        <v>17985</v>
      </c>
      <c r="E3111" t="s">
        <v>19236</v>
      </c>
      <c r="F3111" t="s">
        <v>30899</v>
      </c>
      <c r="G3111" t="s">
        <v>30907</v>
      </c>
      <c r="H3111" t="s">
        <v>30916</v>
      </c>
      <c r="I3111" t="s">
        <v>30933</v>
      </c>
      <c r="J3111" t="s">
        <v>33269</v>
      </c>
      <c r="K3111" t="s">
        <v>40289</v>
      </c>
      <c r="M3111" t="s">
        <v>41181</v>
      </c>
      <c r="N3111" t="s">
        <v>44759</v>
      </c>
      <c r="O3111" t="s">
        <v>44760</v>
      </c>
      <c r="P3111">
        <v>0</v>
      </c>
      <c r="Q3111">
        <v>1</v>
      </c>
      <c r="R3111" t="s">
        <v>44762</v>
      </c>
      <c r="S3111" t="s">
        <v>44863</v>
      </c>
      <c r="T3111" t="s">
        <v>46394</v>
      </c>
      <c r="U3111" t="s">
        <v>49607</v>
      </c>
      <c r="W3111" t="s">
        <v>41181</v>
      </c>
      <c r="X3111" t="s">
        <v>44763</v>
      </c>
    </row>
    <row r="3112" spans="1:24">
      <c r="A3112">
        <f>HYPERLINK("https://www.philgeps.gov.ph/GEPSNONPILOT/Tender/SplashBidNoticeAbstractUI.aspx?menuIndex=3&amp;refID=7149502&amp;Result=3","7149502")</f>
        <v>0</v>
      </c>
      <c r="B3112" t="s">
        <v>493</v>
      </c>
      <c r="C3112" t="s">
        <v>6745</v>
      </c>
      <c r="D3112" t="s">
        <v>17975</v>
      </c>
      <c r="E3112" t="s">
        <v>20856</v>
      </c>
      <c r="F3112" t="s">
        <v>30900</v>
      </c>
      <c r="G3112" t="s">
        <v>30907</v>
      </c>
      <c r="H3112" t="s">
        <v>30916</v>
      </c>
      <c r="I3112" t="s">
        <v>8365</v>
      </c>
      <c r="J3112" t="s">
        <v>31270</v>
      </c>
      <c r="K3112" t="s">
        <v>40289</v>
      </c>
      <c r="M3112" t="s">
        <v>41052</v>
      </c>
      <c r="N3112" t="s">
        <v>44759</v>
      </c>
      <c r="O3112" t="s">
        <v>44760</v>
      </c>
      <c r="P3112">
        <v>0</v>
      </c>
      <c r="Q3112">
        <v>2</v>
      </c>
      <c r="R3112" t="s">
        <v>44762</v>
      </c>
      <c r="S3112" t="s">
        <v>44863</v>
      </c>
      <c r="T3112" t="s">
        <v>46422</v>
      </c>
      <c r="U3112" t="s">
        <v>49608</v>
      </c>
      <c r="V3112" t="s">
        <v>59226</v>
      </c>
      <c r="W3112" t="s">
        <v>41052</v>
      </c>
      <c r="X3112" t="s">
        <v>44763</v>
      </c>
    </row>
    <row r="3113" spans="1:24">
      <c r="A3113">
        <f>HYPERLINK("https://www.philgeps.gov.ph/GEPSNONPILOT/Tender/SplashBidNoticeAbstractUI.aspx?menuIndex=3&amp;refID=7149499&amp;Result=3","7149499")</f>
        <v>0</v>
      </c>
      <c r="B3113" t="s">
        <v>1274</v>
      </c>
      <c r="C3113" t="s">
        <v>6746</v>
      </c>
      <c r="D3113" t="s">
        <v>18017</v>
      </c>
      <c r="E3113" t="s">
        <v>20857</v>
      </c>
      <c r="F3113" t="s">
        <v>30900</v>
      </c>
      <c r="G3113" t="s">
        <v>30908</v>
      </c>
      <c r="H3113" t="s">
        <v>30916</v>
      </c>
      <c r="I3113" t="s">
        <v>6746</v>
      </c>
      <c r="J3113" t="s">
        <v>31049</v>
      </c>
      <c r="K3113" t="s">
        <v>40333</v>
      </c>
      <c r="M3113" t="s">
        <v>41890</v>
      </c>
      <c r="N3113" t="s">
        <v>44759</v>
      </c>
      <c r="O3113" t="s">
        <v>44760</v>
      </c>
      <c r="P3113">
        <v>0</v>
      </c>
      <c r="Q3113">
        <v>0</v>
      </c>
      <c r="R3113" t="s">
        <v>44762</v>
      </c>
      <c r="S3113" t="s">
        <v>44863</v>
      </c>
      <c r="T3113" t="s">
        <v>46383</v>
      </c>
      <c r="U3113" t="s">
        <v>49609</v>
      </c>
      <c r="V3113" t="s">
        <v>59453</v>
      </c>
      <c r="W3113" t="s">
        <v>41890</v>
      </c>
      <c r="X3113" t="s">
        <v>44763</v>
      </c>
    </row>
    <row r="3114" spans="1:24">
      <c r="A3114">
        <f>HYPERLINK("https://www.philgeps.gov.ph/GEPSNONPILOT/Tender/SplashBidNoticeAbstractUI.aspx?menuIndex=3&amp;refID=7149497&amp;Result=3","7149497")</f>
        <v>0</v>
      </c>
      <c r="B3114" t="s">
        <v>233</v>
      </c>
      <c r="C3114" t="s">
        <v>6747</v>
      </c>
      <c r="E3114" t="s">
        <v>20858</v>
      </c>
      <c r="F3114" t="s">
        <v>30900</v>
      </c>
      <c r="G3114" t="s">
        <v>30907</v>
      </c>
      <c r="H3114" t="s">
        <v>30915</v>
      </c>
      <c r="I3114" t="s">
        <v>30919</v>
      </c>
      <c r="J3114" t="s">
        <v>32324</v>
      </c>
      <c r="K3114" t="s">
        <v>40289</v>
      </c>
      <c r="M3114" t="s">
        <v>40780</v>
      </c>
      <c r="N3114" t="s">
        <v>44759</v>
      </c>
      <c r="O3114" t="s">
        <v>44760</v>
      </c>
      <c r="P3114">
        <v>0</v>
      </c>
      <c r="Q3114">
        <v>0</v>
      </c>
      <c r="R3114" t="s">
        <v>44762</v>
      </c>
      <c r="S3114" t="s">
        <v>44863</v>
      </c>
      <c r="T3114" t="s">
        <v>46467</v>
      </c>
      <c r="U3114" t="s">
        <v>49610</v>
      </c>
      <c r="W3114" t="s">
        <v>40780</v>
      </c>
      <c r="X3114" t="s">
        <v>44763</v>
      </c>
    </row>
    <row r="3115" spans="1:24">
      <c r="A3115">
        <f>HYPERLINK("https://www.philgeps.gov.ph/GEPSNONPILOT/Tender/SplashBidNoticeAbstractUI.aspx?menuIndex=3&amp;refID=7149496&amp;Result=3","7149496")</f>
        <v>0</v>
      </c>
      <c r="B3115" t="s">
        <v>250</v>
      </c>
      <c r="C3115" t="s">
        <v>6748</v>
      </c>
      <c r="E3115" t="s">
        <v>20859</v>
      </c>
      <c r="F3115" t="s">
        <v>30900</v>
      </c>
      <c r="G3115" t="s">
        <v>30907</v>
      </c>
      <c r="H3115" t="s">
        <v>30916</v>
      </c>
      <c r="I3115" t="s">
        <v>30933</v>
      </c>
      <c r="J3115" t="s">
        <v>31048</v>
      </c>
      <c r="K3115" t="s">
        <v>40283</v>
      </c>
      <c r="M3115" t="s">
        <v>40797</v>
      </c>
      <c r="N3115" t="s">
        <v>44759</v>
      </c>
      <c r="O3115" t="s">
        <v>44760</v>
      </c>
      <c r="P3115">
        <v>0</v>
      </c>
      <c r="Q3115">
        <v>0</v>
      </c>
      <c r="R3115" t="s">
        <v>44762</v>
      </c>
      <c r="S3115" t="s">
        <v>44863</v>
      </c>
      <c r="T3115" t="s">
        <v>46377</v>
      </c>
      <c r="U3115" t="s">
        <v>49611</v>
      </c>
      <c r="W3115" t="s">
        <v>40797</v>
      </c>
      <c r="X3115" t="s">
        <v>44763</v>
      </c>
    </row>
    <row r="3116" spans="1:24">
      <c r="A3116">
        <f>HYPERLINK("https://www.philgeps.gov.ph/GEPSNONPILOT/Tender/SplashBidNoticeAbstractUI.aspx?menuIndex=3&amp;refID=7149522&amp;Result=3","7149522")</f>
        <v>0</v>
      </c>
      <c r="B3116" t="s">
        <v>865</v>
      </c>
      <c r="C3116" t="s">
        <v>6749</v>
      </c>
      <c r="D3116" t="s">
        <v>18012</v>
      </c>
      <c r="E3116" t="s">
        <v>20860</v>
      </c>
      <c r="F3116" t="s">
        <v>30900</v>
      </c>
      <c r="G3116" t="s">
        <v>30909</v>
      </c>
      <c r="H3116" t="s">
        <v>30916</v>
      </c>
      <c r="I3116" t="s">
        <v>30945</v>
      </c>
      <c r="J3116" t="s">
        <v>31043</v>
      </c>
      <c r="K3116" t="s">
        <v>40285</v>
      </c>
      <c r="M3116" t="s">
        <v>41938</v>
      </c>
      <c r="N3116" t="s">
        <v>44759</v>
      </c>
      <c r="O3116" t="s">
        <v>44760</v>
      </c>
      <c r="P3116">
        <v>0</v>
      </c>
      <c r="Q3116">
        <v>1</v>
      </c>
      <c r="R3116" t="s">
        <v>44762</v>
      </c>
      <c r="S3116" t="s">
        <v>44863</v>
      </c>
      <c r="T3116" t="s">
        <v>46414</v>
      </c>
      <c r="U3116" t="s">
        <v>49612</v>
      </c>
      <c r="W3116" t="s">
        <v>41938</v>
      </c>
      <c r="X3116" t="s">
        <v>44763</v>
      </c>
    </row>
    <row r="3117" spans="1:24">
      <c r="A3117">
        <f>HYPERLINK("https://www.philgeps.gov.ph/GEPSNONPILOT/Tender/SplashBidNoticeAbstractUI.aspx?menuIndex=3&amp;refID=7149543&amp;Result=3","7149543")</f>
        <v>0</v>
      </c>
      <c r="B3117" t="s">
        <v>1320</v>
      </c>
      <c r="C3117" t="s">
        <v>6750</v>
      </c>
      <c r="D3117" t="s">
        <v>17989</v>
      </c>
      <c r="E3117" t="s">
        <v>20861</v>
      </c>
      <c r="F3117" t="s">
        <v>30900</v>
      </c>
      <c r="G3117" t="s">
        <v>30907</v>
      </c>
      <c r="H3117" t="s">
        <v>30916</v>
      </c>
      <c r="I3117" t="s">
        <v>30939</v>
      </c>
      <c r="J3117" t="s">
        <v>33270</v>
      </c>
      <c r="K3117" t="s">
        <v>40286</v>
      </c>
      <c r="M3117" t="s">
        <v>41939</v>
      </c>
      <c r="N3117" t="s">
        <v>44759</v>
      </c>
      <c r="O3117" t="s">
        <v>44760</v>
      </c>
      <c r="P3117">
        <v>0</v>
      </c>
      <c r="Q3117">
        <v>0</v>
      </c>
      <c r="R3117" t="s">
        <v>44762</v>
      </c>
      <c r="S3117" t="s">
        <v>44863</v>
      </c>
      <c r="T3117" t="s">
        <v>46395</v>
      </c>
      <c r="U3117" t="s">
        <v>49613</v>
      </c>
      <c r="W3117" t="s">
        <v>41939</v>
      </c>
      <c r="X3117" t="s">
        <v>44763</v>
      </c>
    </row>
    <row r="3118" spans="1:24">
      <c r="A3118">
        <f>HYPERLINK("https://www.philgeps.gov.ph/GEPSNONPILOT/Tender/SplashBidNoticeAbstractUI.aspx?menuIndex=3&amp;refID=7149503&amp;Result=3","7149503")</f>
        <v>0</v>
      </c>
      <c r="B3118" t="s">
        <v>497</v>
      </c>
      <c r="C3118" t="s">
        <v>6751</v>
      </c>
      <c r="D3118" t="s">
        <v>17951</v>
      </c>
      <c r="E3118" t="s">
        <v>18912</v>
      </c>
      <c r="F3118" t="s">
        <v>30900</v>
      </c>
      <c r="G3118" t="s">
        <v>30908</v>
      </c>
      <c r="H3118" t="s">
        <v>30916</v>
      </c>
      <c r="I3118" t="s">
        <v>8123</v>
      </c>
      <c r="J3118" t="s">
        <v>33271</v>
      </c>
      <c r="K3118" t="s">
        <v>40285</v>
      </c>
      <c r="M3118" t="s">
        <v>41056</v>
      </c>
      <c r="N3118" t="s">
        <v>44759</v>
      </c>
      <c r="O3118" t="s">
        <v>44760</v>
      </c>
      <c r="P3118">
        <v>0</v>
      </c>
      <c r="Q3118">
        <v>0</v>
      </c>
      <c r="R3118" t="s">
        <v>44762</v>
      </c>
      <c r="S3118" t="s">
        <v>44863</v>
      </c>
      <c r="T3118" t="s">
        <v>46414</v>
      </c>
      <c r="U3118" t="s">
        <v>49614</v>
      </c>
      <c r="W3118" t="s">
        <v>41056</v>
      </c>
      <c r="X3118" t="s">
        <v>44763</v>
      </c>
    </row>
    <row r="3119" spans="1:24">
      <c r="A3119">
        <f>HYPERLINK("https://www.philgeps.gov.ph/GEPSNONPILOT/Tender/SplashBidNoticeAbstractUI.aspx?menuIndex=3&amp;refID=7149550&amp;Result=3","7149550")</f>
        <v>0</v>
      </c>
      <c r="B3119" t="s">
        <v>1311</v>
      </c>
      <c r="C3119" t="s">
        <v>6752</v>
      </c>
      <c r="D3119" t="s">
        <v>17963</v>
      </c>
      <c r="E3119" t="s">
        <v>20862</v>
      </c>
      <c r="F3119" t="s">
        <v>30900</v>
      </c>
      <c r="G3119" t="s">
        <v>30907</v>
      </c>
      <c r="H3119" t="s">
        <v>30915</v>
      </c>
      <c r="I3119" t="s">
        <v>30919</v>
      </c>
      <c r="J3119" t="s">
        <v>31391</v>
      </c>
      <c r="K3119" t="s">
        <v>40304</v>
      </c>
      <c r="M3119" t="s">
        <v>41929</v>
      </c>
      <c r="N3119" t="s">
        <v>44759</v>
      </c>
      <c r="O3119" t="s">
        <v>44760</v>
      </c>
      <c r="P3119">
        <v>0</v>
      </c>
      <c r="Q3119">
        <v>0</v>
      </c>
      <c r="R3119" t="s">
        <v>44762</v>
      </c>
      <c r="S3119" t="s">
        <v>44863</v>
      </c>
      <c r="T3119" t="s">
        <v>46431</v>
      </c>
      <c r="U3119" t="s">
        <v>49615</v>
      </c>
      <c r="W3119" t="s">
        <v>41929</v>
      </c>
      <c r="X3119" t="s">
        <v>44763</v>
      </c>
    </row>
    <row r="3120" spans="1:24">
      <c r="A3120">
        <f>HYPERLINK("https://www.philgeps.gov.ph/GEPSNONPILOT/Tender/SplashBidNoticeAbstractUI.aspx?menuIndex=3&amp;refID=7149484&amp;Result=3","7149484")</f>
        <v>0</v>
      </c>
      <c r="B3120" t="s">
        <v>460</v>
      </c>
      <c r="C3120" t="s">
        <v>6753</v>
      </c>
      <c r="D3120" t="s">
        <v>17968</v>
      </c>
      <c r="E3120" t="s">
        <v>20863</v>
      </c>
      <c r="F3120" t="s">
        <v>30900</v>
      </c>
      <c r="G3120" t="s">
        <v>30908</v>
      </c>
      <c r="H3120" t="s">
        <v>30916</v>
      </c>
      <c r="I3120" t="s">
        <v>6953</v>
      </c>
      <c r="J3120" t="s">
        <v>33272</v>
      </c>
      <c r="K3120" t="s">
        <v>40283</v>
      </c>
      <c r="M3120" t="s">
        <v>41018</v>
      </c>
      <c r="N3120" t="s">
        <v>44759</v>
      </c>
      <c r="O3120" t="s">
        <v>44760</v>
      </c>
      <c r="P3120">
        <v>0</v>
      </c>
      <c r="Q3120">
        <v>0</v>
      </c>
      <c r="R3120" t="s">
        <v>44762</v>
      </c>
      <c r="S3120" t="s">
        <v>44863</v>
      </c>
      <c r="T3120" t="s">
        <v>46414</v>
      </c>
      <c r="U3120" t="s">
        <v>49616</v>
      </c>
      <c r="V3120" t="s">
        <v>59455</v>
      </c>
      <c r="W3120" t="s">
        <v>41018</v>
      </c>
      <c r="X3120" t="s">
        <v>44763</v>
      </c>
    </row>
    <row r="3121" spans="1:24">
      <c r="A3121">
        <f>HYPERLINK("https://www.philgeps.gov.ph/GEPSNONPILOT/Tender/SplashBidNoticeAbstractUI.aspx?menuIndex=3&amp;refID=7149547&amp;Result=3","7149547")</f>
        <v>0</v>
      </c>
      <c r="B3121" t="s">
        <v>1321</v>
      </c>
      <c r="C3121" t="s">
        <v>6754</v>
      </c>
      <c r="D3121" t="s">
        <v>17976</v>
      </c>
      <c r="E3121" t="s">
        <v>20864</v>
      </c>
      <c r="F3121" t="s">
        <v>30900</v>
      </c>
      <c r="G3121" t="s">
        <v>30907</v>
      </c>
      <c r="H3121" t="s">
        <v>30916</v>
      </c>
      <c r="I3121" t="s">
        <v>4545</v>
      </c>
      <c r="J3121" t="s">
        <v>33273</v>
      </c>
      <c r="K3121" t="s">
        <v>40283</v>
      </c>
      <c r="M3121" t="s">
        <v>41940</v>
      </c>
      <c r="N3121" t="s">
        <v>44759</v>
      </c>
      <c r="O3121" t="s">
        <v>44760</v>
      </c>
      <c r="P3121">
        <v>0</v>
      </c>
      <c r="Q3121">
        <v>4</v>
      </c>
      <c r="R3121" t="s">
        <v>44762</v>
      </c>
      <c r="S3121" t="s">
        <v>44863</v>
      </c>
      <c r="T3121" t="s">
        <v>46515</v>
      </c>
      <c r="U3121" t="s">
        <v>49617</v>
      </c>
      <c r="W3121" t="s">
        <v>41940</v>
      </c>
      <c r="X3121" t="s">
        <v>44763</v>
      </c>
    </row>
    <row r="3122" spans="1:24">
      <c r="A3122">
        <f>HYPERLINK("https://www.philgeps.gov.ph/GEPSNONPILOT/Tender/SplashBidNoticeAbstractUI.aspx?menuIndex=3&amp;refID=7149545&amp;Result=3","7149545")</f>
        <v>0</v>
      </c>
      <c r="B3122" t="s">
        <v>1274</v>
      </c>
      <c r="C3122" t="s">
        <v>4142</v>
      </c>
      <c r="D3122" t="s">
        <v>18017</v>
      </c>
      <c r="E3122" t="s">
        <v>20865</v>
      </c>
      <c r="F3122" t="s">
        <v>30900</v>
      </c>
      <c r="G3122" t="s">
        <v>30908</v>
      </c>
      <c r="H3122" t="s">
        <v>30916</v>
      </c>
      <c r="I3122" t="s">
        <v>4142</v>
      </c>
      <c r="J3122" t="s">
        <v>31686</v>
      </c>
      <c r="K3122" t="s">
        <v>40333</v>
      </c>
      <c r="M3122" t="s">
        <v>41890</v>
      </c>
      <c r="N3122" t="s">
        <v>44759</v>
      </c>
      <c r="O3122" t="s">
        <v>44760</v>
      </c>
      <c r="P3122">
        <v>0</v>
      </c>
      <c r="Q3122">
        <v>0</v>
      </c>
      <c r="R3122" t="s">
        <v>44762</v>
      </c>
      <c r="S3122" t="s">
        <v>44863</v>
      </c>
      <c r="T3122" t="s">
        <v>46383</v>
      </c>
      <c r="U3122" t="s">
        <v>49609</v>
      </c>
      <c r="V3122" t="s">
        <v>59453</v>
      </c>
      <c r="W3122" t="s">
        <v>41890</v>
      </c>
      <c r="X3122" t="s">
        <v>44763</v>
      </c>
    </row>
    <row r="3123" spans="1:24">
      <c r="A3123">
        <f>HYPERLINK("https://www.philgeps.gov.ph/GEPSNONPILOT/Tender/SplashBidNoticeAbstractUI.aspx?menuIndex=3&amp;refID=7149541&amp;Result=3","7149541")</f>
        <v>0</v>
      </c>
      <c r="B3123" t="s">
        <v>1322</v>
      </c>
      <c r="C3123" t="s">
        <v>6755</v>
      </c>
      <c r="D3123" t="s">
        <v>17996</v>
      </c>
      <c r="E3123" t="s">
        <v>20866</v>
      </c>
      <c r="F3123" t="s">
        <v>30900</v>
      </c>
      <c r="G3123" t="s">
        <v>30907</v>
      </c>
      <c r="H3123" t="s">
        <v>30915</v>
      </c>
      <c r="I3123" t="s">
        <v>30919</v>
      </c>
      <c r="J3123" t="s">
        <v>33274</v>
      </c>
      <c r="K3123" t="s">
        <v>40307</v>
      </c>
      <c r="M3123" t="s">
        <v>41941</v>
      </c>
      <c r="N3123" t="s">
        <v>44759</v>
      </c>
      <c r="O3123" t="s">
        <v>44760</v>
      </c>
      <c r="P3123">
        <v>0</v>
      </c>
      <c r="Q3123">
        <v>2</v>
      </c>
      <c r="R3123" t="s">
        <v>44762</v>
      </c>
      <c r="S3123" t="s">
        <v>44863</v>
      </c>
      <c r="T3123" t="s">
        <v>46394</v>
      </c>
      <c r="U3123" t="s">
        <v>49618</v>
      </c>
      <c r="W3123" t="s">
        <v>60858</v>
      </c>
      <c r="X3123" t="s">
        <v>44763</v>
      </c>
    </row>
    <row r="3124" spans="1:24">
      <c r="A3124">
        <f>HYPERLINK("https://www.philgeps.gov.ph/GEPSNONPILOT/Tender/SplashBidNoticeAbstractUI.aspx?menuIndex=3&amp;refID=7149538&amp;Result=3","7149538")</f>
        <v>0</v>
      </c>
      <c r="B3124" t="s">
        <v>1323</v>
      </c>
      <c r="C3124" t="s">
        <v>6756</v>
      </c>
      <c r="E3124" t="s">
        <v>20867</v>
      </c>
      <c r="F3124" t="s">
        <v>30900</v>
      </c>
      <c r="G3124" t="s">
        <v>30908</v>
      </c>
      <c r="H3124" t="s">
        <v>30916</v>
      </c>
      <c r="I3124" t="s">
        <v>6953</v>
      </c>
      <c r="J3124" t="s">
        <v>31183</v>
      </c>
      <c r="K3124" t="s">
        <v>40283</v>
      </c>
      <c r="M3124" t="s">
        <v>41942</v>
      </c>
      <c r="N3124" t="s">
        <v>44759</v>
      </c>
      <c r="O3124" t="s">
        <v>44760</v>
      </c>
      <c r="P3124">
        <v>0</v>
      </c>
      <c r="Q3124">
        <v>0</v>
      </c>
      <c r="R3124" t="s">
        <v>44762</v>
      </c>
      <c r="S3124" t="s">
        <v>44863</v>
      </c>
      <c r="T3124" t="s">
        <v>46383</v>
      </c>
      <c r="U3124" t="s">
        <v>49619</v>
      </c>
      <c r="W3124" t="s">
        <v>41942</v>
      </c>
      <c r="X3124" t="s">
        <v>44763</v>
      </c>
    </row>
    <row r="3125" spans="1:24">
      <c r="A3125">
        <f>HYPERLINK("https://www.philgeps.gov.ph/GEPSNONPILOT/Tender/SplashBidNoticeAbstractUI.aspx?menuIndex=3&amp;refID=7149537&amp;Result=3","7149537")</f>
        <v>0</v>
      </c>
      <c r="B3125" t="s">
        <v>912</v>
      </c>
      <c r="C3125" t="s">
        <v>6757</v>
      </c>
      <c r="D3125" t="s">
        <v>18025</v>
      </c>
      <c r="E3125" t="s">
        <v>20706</v>
      </c>
      <c r="F3125" t="s">
        <v>30900</v>
      </c>
      <c r="G3125" t="s">
        <v>30909</v>
      </c>
      <c r="H3125" t="s">
        <v>30916</v>
      </c>
      <c r="I3125" t="s">
        <v>30950</v>
      </c>
      <c r="J3125" t="s">
        <v>33275</v>
      </c>
      <c r="K3125" t="s">
        <v>40283</v>
      </c>
      <c r="M3125" t="s">
        <v>41491</v>
      </c>
      <c r="N3125" t="s">
        <v>44759</v>
      </c>
      <c r="O3125" t="s">
        <v>44760</v>
      </c>
      <c r="P3125">
        <v>0</v>
      </c>
      <c r="Q3125">
        <v>8</v>
      </c>
      <c r="R3125" t="s">
        <v>44762</v>
      </c>
      <c r="S3125" t="s">
        <v>44863</v>
      </c>
      <c r="T3125" t="s">
        <v>46548</v>
      </c>
      <c r="U3125" t="s">
        <v>49437</v>
      </c>
      <c r="W3125" t="s">
        <v>41491</v>
      </c>
      <c r="X3125" t="s">
        <v>44763</v>
      </c>
    </row>
    <row r="3126" spans="1:24">
      <c r="A3126">
        <f>HYPERLINK("https://www.philgeps.gov.ph/GEPSNONPILOT/Tender/SplashBidNoticeAbstractUI.aspx?menuIndex=3&amp;refID=7149536&amp;Result=3","7149536")</f>
        <v>0</v>
      </c>
      <c r="B3126" t="s">
        <v>943</v>
      </c>
      <c r="C3126" t="s">
        <v>6758</v>
      </c>
      <c r="D3126" t="s">
        <v>17957</v>
      </c>
      <c r="E3126" t="s">
        <v>20868</v>
      </c>
      <c r="F3126" t="s">
        <v>30900</v>
      </c>
      <c r="G3126" t="s">
        <v>30907</v>
      </c>
      <c r="H3126" t="s">
        <v>30915</v>
      </c>
      <c r="I3126" t="s">
        <v>30919</v>
      </c>
      <c r="J3126" t="s">
        <v>33276</v>
      </c>
      <c r="K3126" t="s">
        <v>40292</v>
      </c>
      <c r="M3126" t="s">
        <v>41527</v>
      </c>
      <c r="N3126" t="s">
        <v>44759</v>
      </c>
      <c r="O3126" t="s">
        <v>44760</v>
      </c>
      <c r="P3126">
        <v>0</v>
      </c>
      <c r="Q3126">
        <v>0</v>
      </c>
      <c r="R3126" t="s">
        <v>44762</v>
      </c>
      <c r="S3126" t="s">
        <v>44863</v>
      </c>
      <c r="T3126" t="s">
        <v>46465</v>
      </c>
      <c r="U3126" t="s">
        <v>49620</v>
      </c>
      <c r="W3126" t="s">
        <v>41527</v>
      </c>
      <c r="X3126" t="s">
        <v>44763</v>
      </c>
    </row>
    <row r="3127" spans="1:24">
      <c r="A3127">
        <f>HYPERLINK("https://www.philgeps.gov.ph/GEPSNONPILOT/Tender/SplashBidNoticeAbstractUI.aspx?menuIndex=3&amp;refID=7149535&amp;Result=3","7149535")</f>
        <v>0</v>
      </c>
      <c r="B3127" t="s">
        <v>497</v>
      </c>
      <c r="C3127" t="s">
        <v>6759</v>
      </c>
      <c r="D3127" t="s">
        <v>17951</v>
      </c>
      <c r="E3127" t="s">
        <v>18912</v>
      </c>
      <c r="F3127" t="s">
        <v>30900</v>
      </c>
      <c r="G3127" t="s">
        <v>30908</v>
      </c>
      <c r="H3127" t="s">
        <v>30916</v>
      </c>
      <c r="I3127" t="s">
        <v>8123</v>
      </c>
      <c r="J3127" t="s">
        <v>33277</v>
      </c>
      <c r="K3127" t="s">
        <v>40285</v>
      </c>
      <c r="M3127" t="s">
        <v>41056</v>
      </c>
      <c r="N3127" t="s">
        <v>44759</v>
      </c>
      <c r="O3127" t="s">
        <v>44760</v>
      </c>
      <c r="P3127">
        <v>0</v>
      </c>
      <c r="Q3127">
        <v>0</v>
      </c>
      <c r="R3127" t="s">
        <v>44762</v>
      </c>
      <c r="S3127" t="s">
        <v>44863</v>
      </c>
      <c r="T3127" t="s">
        <v>46414</v>
      </c>
      <c r="U3127" t="s">
        <v>49621</v>
      </c>
      <c r="W3127" t="s">
        <v>41056</v>
      </c>
      <c r="X3127" t="s">
        <v>44763</v>
      </c>
    </row>
    <row r="3128" spans="1:24">
      <c r="A3128">
        <f>HYPERLINK("https://www.philgeps.gov.ph/GEPSNONPILOT/Tender/SplashBidNoticeAbstractUI.aspx?menuIndex=3&amp;refID=7149548&amp;Result=3","7149548")</f>
        <v>0</v>
      </c>
      <c r="B3128" t="s">
        <v>1324</v>
      </c>
      <c r="C3128" t="s">
        <v>6760</v>
      </c>
      <c r="D3128" t="s">
        <v>17969</v>
      </c>
      <c r="E3128" t="s">
        <v>20869</v>
      </c>
      <c r="F3128" t="s">
        <v>30900</v>
      </c>
      <c r="G3128" t="s">
        <v>30908</v>
      </c>
      <c r="H3128" t="s">
        <v>30916</v>
      </c>
      <c r="I3128" t="s">
        <v>30923</v>
      </c>
      <c r="J3128" t="s">
        <v>33278</v>
      </c>
      <c r="K3128" t="s">
        <v>40286</v>
      </c>
      <c r="M3128" t="s">
        <v>41943</v>
      </c>
      <c r="N3128" t="s">
        <v>44759</v>
      </c>
      <c r="O3128" t="s">
        <v>44760</v>
      </c>
      <c r="P3128">
        <v>0</v>
      </c>
      <c r="Q3128">
        <v>3</v>
      </c>
      <c r="R3128" t="s">
        <v>44762</v>
      </c>
      <c r="S3128" t="s">
        <v>44863</v>
      </c>
      <c r="T3128" t="s">
        <v>46379</v>
      </c>
      <c r="U3128" t="s">
        <v>49585</v>
      </c>
      <c r="W3128" t="s">
        <v>41943</v>
      </c>
      <c r="X3128" t="s">
        <v>44763</v>
      </c>
    </row>
    <row r="3129" spans="1:24">
      <c r="A3129">
        <f>HYPERLINK("https://www.philgeps.gov.ph/GEPSNONPILOT/Tender/SplashBidNoticeAbstractUI.aspx?menuIndex=3&amp;refID=7149532&amp;Result=3","7149532")</f>
        <v>0</v>
      </c>
      <c r="B3129" t="s">
        <v>1325</v>
      </c>
      <c r="C3129" t="s">
        <v>6761</v>
      </c>
      <c r="D3129" t="s">
        <v>17959</v>
      </c>
      <c r="E3129" t="s">
        <v>20870</v>
      </c>
      <c r="F3129" t="s">
        <v>30900</v>
      </c>
      <c r="G3129" t="s">
        <v>30908</v>
      </c>
      <c r="H3129" t="s">
        <v>30916</v>
      </c>
      <c r="I3129" t="s">
        <v>4545</v>
      </c>
      <c r="J3129" t="s">
        <v>31043</v>
      </c>
      <c r="K3129" t="s">
        <v>40284</v>
      </c>
      <c r="M3129" t="s">
        <v>41944</v>
      </c>
      <c r="N3129" t="s">
        <v>44759</v>
      </c>
      <c r="O3129" t="s">
        <v>44760</v>
      </c>
      <c r="P3129">
        <v>0</v>
      </c>
      <c r="Q3129">
        <v>8</v>
      </c>
      <c r="R3129" t="s">
        <v>44762</v>
      </c>
      <c r="S3129" t="s">
        <v>44863</v>
      </c>
      <c r="T3129" t="s">
        <v>46390</v>
      </c>
      <c r="U3129" t="s">
        <v>49622</v>
      </c>
      <c r="W3129" t="s">
        <v>41944</v>
      </c>
      <c r="X3129" t="s">
        <v>44763</v>
      </c>
    </row>
    <row r="3130" spans="1:24">
      <c r="A3130">
        <f>HYPERLINK("https://www.philgeps.gov.ph/GEPSNONPILOT/Tender/SplashBidNoticeAbstractUI.aspx?menuIndex=3&amp;refID=7149540&amp;Result=3","7149540")</f>
        <v>0</v>
      </c>
      <c r="B3130" t="s">
        <v>1326</v>
      </c>
      <c r="C3130" t="s">
        <v>6762</v>
      </c>
      <c r="D3130" t="s">
        <v>17987</v>
      </c>
      <c r="E3130" t="s">
        <v>20871</v>
      </c>
      <c r="F3130" t="s">
        <v>30900</v>
      </c>
      <c r="G3130" t="s">
        <v>30907</v>
      </c>
      <c r="H3130" t="s">
        <v>30915</v>
      </c>
      <c r="I3130" t="s">
        <v>30919</v>
      </c>
      <c r="J3130" t="s">
        <v>31152</v>
      </c>
      <c r="K3130" t="s">
        <v>40280</v>
      </c>
      <c r="M3130" t="s">
        <v>41945</v>
      </c>
      <c r="N3130" t="s">
        <v>44759</v>
      </c>
      <c r="O3130" t="s">
        <v>44760</v>
      </c>
      <c r="Q3130">
        <v>0</v>
      </c>
      <c r="R3130" t="s">
        <v>44762</v>
      </c>
      <c r="S3130" t="s">
        <v>44878</v>
      </c>
      <c r="T3130" t="s">
        <v>46375</v>
      </c>
      <c r="U3130" t="s">
        <v>49623</v>
      </c>
      <c r="V3130" t="s">
        <v>59467</v>
      </c>
      <c r="W3130" t="s">
        <v>41945</v>
      </c>
      <c r="X3130" t="s">
        <v>44763</v>
      </c>
    </row>
    <row r="3131" spans="1:24">
      <c r="A3131">
        <f>HYPERLINK("https://www.philgeps.gov.ph/GEPSNONPILOT/Tender/SplashBidNoticeAbstractUI.aspx?menuIndex=3&amp;refID=7149530&amp;Result=3","7149530")</f>
        <v>0</v>
      </c>
      <c r="B3131" t="s">
        <v>737</v>
      </c>
      <c r="C3131" t="s">
        <v>6763</v>
      </c>
      <c r="D3131" t="s">
        <v>18006</v>
      </c>
      <c r="E3131" t="s">
        <v>20872</v>
      </c>
      <c r="F3131" t="s">
        <v>30900</v>
      </c>
      <c r="G3131" t="s">
        <v>30910</v>
      </c>
      <c r="H3131" t="s">
        <v>30916</v>
      </c>
      <c r="I3131" t="s">
        <v>6408</v>
      </c>
      <c r="J3131" t="s">
        <v>33279</v>
      </c>
      <c r="K3131" t="s">
        <v>40286</v>
      </c>
      <c r="M3131" t="s">
        <v>41301</v>
      </c>
      <c r="N3131" t="s">
        <v>44759</v>
      </c>
      <c r="O3131" t="s">
        <v>44760</v>
      </c>
      <c r="P3131">
        <v>0</v>
      </c>
      <c r="Q3131">
        <v>0</v>
      </c>
      <c r="R3131" t="s">
        <v>44762</v>
      </c>
      <c r="S3131" t="s">
        <v>44863</v>
      </c>
      <c r="T3131" t="s">
        <v>46357</v>
      </c>
      <c r="U3131" t="s">
        <v>49624</v>
      </c>
      <c r="W3131" t="s">
        <v>41301</v>
      </c>
      <c r="X3131" t="s">
        <v>44763</v>
      </c>
    </row>
    <row r="3132" spans="1:24">
      <c r="A3132">
        <f>HYPERLINK("https://www.philgeps.gov.ph/GEPSNONPILOT/Tender/SplashBidNoticeAbstractUI.aspx?menuIndex=3&amp;refID=7149529&amp;Result=3","7149529")</f>
        <v>0</v>
      </c>
      <c r="B3132" t="s">
        <v>1327</v>
      </c>
      <c r="C3132" t="s">
        <v>6764</v>
      </c>
      <c r="D3132" t="s">
        <v>17971</v>
      </c>
      <c r="E3132" t="s">
        <v>20873</v>
      </c>
      <c r="F3132" t="s">
        <v>30900</v>
      </c>
      <c r="G3132" t="s">
        <v>30907</v>
      </c>
      <c r="H3132" t="s">
        <v>30916</v>
      </c>
      <c r="I3132" t="s">
        <v>30927</v>
      </c>
      <c r="J3132" t="s">
        <v>33280</v>
      </c>
      <c r="K3132" t="s">
        <v>40286</v>
      </c>
      <c r="M3132" t="s">
        <v>41946</v>
      </c>
      <c r="N3132" t="s">
        <v>44759</v>
      </c>
      <c r="O3132" t="s">
        <v>44760</v>
      </c>
      <c r="P3132">
        <v>0</v>
      </c>
      <c r="Q3132">
        <v>0</v>
      </c>
      <c r="R3132" t="s">
        <v>44762</v>
      </c>
      <c r="S3132" t="s">
        <v>44863</v>
      </c>
      <c r="T3132" t="s">
        <v>46395</v>
      </c>
      <c r="U3132" t="s">
        <v>49625</v>
      </c>
      <c r="V3132" t="s">
        <v>59468</v>
      </c>
      <c r="W3132" t="s">
        <v>41946</v>
      </c>
      <c r="X3132" t="s">
        <v>44763</v>
      </c>
    </row>
    <row r="3133" spans="1:24">
      <c r="A3133">
        <f>HYPERLINK("https://www.philgeps.gov.ph/GEPSNONPILOT/Tender/SplashBidNoticeAbstractUI.aspx?menuIndex=3&amp;refID=7149525&amp;Result=3","7149525")</f>
        <v>0</v>
      </c>
      <c r="B3133" t="s">
        <v>44</v>
      </c>
      <c r="C3133" t="s">
        <v>6765</v>
      </c>
      <c r="D3133" t="s">
        <v>17969</v>
      </c>
      <c r="E3133" t="s">
        <v>20874</v>
      </c>
      <c r="F3133" t="s">
        <v>30900</v>
      </c>
      <c r="G3133" t="s">
        <v>30910</v>
      </c>
      <c r="H3133" t="s">
        <v>30916</v>
      </c>
      <c r="I3133" t="s">
        <v>30924</v>
      </c>
      <c r="J3133" t="s">
        <v>31585</v>
      </c>
      <c r="K3133" t="s">
        <v>40289</v>
      </c>
      <c r="M3133" t="s">
        <v>41947</v>
      </c>
      <c r="N3133" t="s">
        <v>44759</v>
      </c>
      <c r="O3133" t="s">
        <v>44760</v>
      </c>
      <c r="P3133">
        <v>0</v>
      </c>
      <c r="Q3133">
        <v>0</v>
      </c>
      <c r="R3133" t="s">
        <v>44762</v>
      </c>
      <c r="S3133" t="s">
        <v>44863</v>
      </c>
      <c r="T3133" t="s">
        <v>46412</v>
      </c>
      <c r="U3133" t="s">
        <v>49626</v>
      </c>
      <c r="W3133" t="s">
        <v>41947</v>
      </c>
      <c r="X3133" t="s">
        <v>44763</v>
      </c>
    </row>
    <row r="3134" spans="1:24">
      <c r="A3134">
        <f>HYPERLINK("https://www.philgeps.gov.ph/GEPSNONPILOT/Tender/SplashBidNoticeAbstractUI.aspx?menuIndex=3&amp;refID=7149524&amp;Result=3","7149524")</f>
        <v>0</v>
      </c>
      <c r="B3134" t="s">
        <v>1328</v>
      </c>
      <c r="C3134" t="s">
        <v>6766</v>
      </c>
      <c r="D3134" t="s">
        <v>17973</v>
      </c>
      <c r="E3134" t="s">
        <v>18300</v>
      </c>
      <c r="F3134" t="s">
        <v>30900</v>
      </c>
      <c r="G3134" t="s">
        <v>30907</v>
      </c>
      <c r="H3134" t="s">
        <v>30916</v>
      </c>
      <c r="I3134" t="s">
        <v>4545</v>
      </c>
      <c r="J3134" t="s">
        <v>31284</v>
      </c>
      <c r="K3134" t="s">
        <v>40283</v>
      </c>
      <c r="M3134" t="s">
        <v>41948</v>
      </c>
      <c r="N3134" t="s">
        <v>44759</v>
      </c>
      <c r="O3134" t="s">
        <v>44760</v>
      </c>
      <c r="P3134">
        <v>0</v>
      </c>
      <c r="Q3134">
        <v>0</v>
      </c>
      <c r="R3134" t="s">
        <v>44762</v>
      </c>
      <c r="S3134" t="s">
        <v>44863</v>
      </c>
      <c r="T3134" t="s">
        <v>46495</v>
      </c>
      <c r="U3134" t="s">
        <v>49627</v>
      </c>
      <c r="W3134" t="s">
        <v>41948</v>
      </c>
      <c r="X3134" t="s">
        <v>44763</v>
      </c>
    </row>
    <row r="3135" spans="1:24">
      <c r="A3135">
        <f>HYPERLINK("https://www.philgeps.gov.ph/GEPSNONPILOT/Tender/SplashBidNoticeAbstractUI.aspx?menuIndex=3&amp;refID=7149523&amp;Result=3","7149523")</f>
        <v>0</v>
      </c>
      <c r="B3135" t="s">
        <v>1310</v>
      </c>
      <c r="C3135" t="s">
        <v>6767</v>
      </c>
      <c r="D3135" t="s">
        <v>18021</v>
      </c>
      <c r="E3135" t="s">
        <v>20875</v>
      </c>
      <c r="F3135" t="s">
        <v>30900</v>
      </c>
      <c r="G3135" t="s">
        <v>30907</v>
      </c>
      <c r="H3135" t="s">
        <v>30916</v>
      </c>
      <c r="I3135" t="s">
        <v>30927</v>
      </c>
      <c r="J3135" t="s">
        <v>33281</v>
      </c>
      <c r="K3135" t="s">
        <v>40286</v>
      </c>
      <c r="M3135" t="s">
        <v>41928</v>
      </c>
      <c r="N3135" t="s">
        <v>44759</v>
      </c>
      <c r="O3135" t="s">
        <v>44760</v>
      </c>
      <c r="P3135">
        <v>0</v>
      </c>
      <c r="Q3135">
        <v>0</v>
      </c>
      <c r="R3135" t="s">
        <v>44762</v>
      </c>
      <c r="S3135" t="s">
        <v>44863</v>
      </c>
      <c r="T3135" t="s">
        <v>46486</v>
      </c>
      <c r="U3135" t="s">
        <v>49586</v>
      </c>
      <c r="V3135" t="s">
        <v>59469</v>
      </c>
      <c r="W3135" t="s">
        <v>41928</v>
      </c>
      <c r="X3135" t="s">
        <v>44763</v>
      </c>
    </row>
    <row r="3136" spans="1:24">
      <c r="A3136">
        <f>HYPERLINK("https://www.philgeps.gov.ph/GEPSNONPILOT/Tender/SplashBidNoticeAbstractUI.aspx?menuIndex=3&amp;refID=7149534&amp;Result=3","7149534")</f>
        <v>0</v>
      </c>
      <c r="B3136" t="s">
        <v>1119</v>
      </c>
      <c r="C3136" t="s">
        <v>6768</v>
      </c>
      <c r="D3136" t="s">
        <v>17959</v>
      </c>
      <c r="E3136" t="s">
        <v>20876</v>
      </c>
      <c r="F3136" t="s">
        <v>30900</v>
      </c>
      <c r="G3136" t="s">
        <v>30910</v>
      </c>
      <c r="H3136" t="s">
        <v>30916</v>
      </c>
      <c r="I3136" t="s">
        <v>4142</v>
      </c>
      <c r="J3136" t="s">
        <v>31077</v>
      </c>
      <c r="K3136" t="s">
        <v>40291</v>
      </c>
      <c r="M3136" t="s">
        <v>41749</v>
      </c>
      <c r="N3136" t="s">
        <v>44759</v>
      </c>
      <c r="O3136" t="s">
        <v>44760</v>
      </c>
      <c r="P3136">
        <v>0</v>
      </c>
      <c r="Q3136">
        <v>2</v>
      </c>
      <c r="R3136" t="s">
        <v>44762</v>
      </c>
      <c r="S3136" t="s">
        <v>44863</v>
      </c>
      <c r="T3136" t="s">
        <v>46363</v>
      </c>
      <c r="U3136" t="s">
        <v>49074</v>
      </c>
      <c r="V3136" t="s">
        <v>59398</v>
      </c>
      <c r="W3136" t="s">
        <v>41749</v>
      </c>
      <c r="X3136" t="s">
        <v>44763</v>
      </c>
    </row>
    <row r="3137" spans="1:24">
      <c r="A3137">
        <f>HYPERLINK("https://www.philgeps.gov.ph/GEPSNONPILOT/Tender/SplashBidNoticeAbstractUI.aspx?menuIndex=3&amp;refID=7149552&amp;Result=3","7149552")</f>
        <v>0</v>
      </c>
      <c r="B3137" t="s">
        <v>1119</v>
      </c>
      <c r="C3137" t="s">
        <v>6769</v>
      </c>
      <c r="D3137" t="s">
        <v>17959</v>
      </c>
      <c r="E3137" t="s">
        <v>20877</v>
      </c>
      <c r="F3137" t="s">
        <v>30900</v>
      </c>
      <c r="G3137" t="s">
        <v>30910</v>
      </c>
      <c r="H3137" t="s">
        <v>30916</v>
      </c>
      <c r="I3137" t="s">
        <v>4142</v>
      </c>
      <c r="J3137" t="s">
        <v>31247</v>
      </c>
      <c r="K3137" t="s">
        <v>40291</v>
      </c>
      <c r="M3137" t="s">
        <v>41749</v>
      </c>
      <c r="N3137" t="s">
        <v>44759</v>
      </c>
      <c r="O3137" t="s">
        <v>44760</v>
      </c>
      <c r="P3137">
        <v>0</v>
      </c>
      <c r="Q3137">
        <v>2</v>
      </c>
      <c r="R3137" t="s">
        <v>44762</v>
      </c>
      <c r="S3137" t="s">
        <v>44863</v>
      </c>
      <c r="T3137" t="s">
        <v>46363</v>
      </c>
      <c r="U3137" t="s">
        <v>49074</v>
      </c>
      <c r="V3137" t="s">
        <v>59398</v>
      </c>
      <c r="W3137" t="s">
        <v>41749</v>
      </c>
      <c r="X3137" t="s">
        <v>44763</v>
      </c>
    </row>
    <row r="3138" spans="1:24">
      <c r="A3138">
        <f>HYPERLINK("https://www.philgeps.gov.ph/GEPSNONPILOT/Tender/SplashBidNoticeAbstractUI.aspx?menuIndex=3&amp;refID=7149569&amp;Result=3","7149569")</f>
        <v>0</v>
      </c>
      <c r="B3138" t="s">
        <v>1329</v>
      </c>
      <c r="C3138" t="s">
        <v>6770</v>
      </c>
      <c r="D3138" t="s">
        <v>18003</v>
      </c>
      <c r="E3138" t="s">
        <v>20878</v>
      </c>
      <c r="F3138" t="s">
        <v>30900</v>
      </c>
      <c r="G3138" t="s">
        <v>30907</v>
      </c>
      <c r="H3138" t="s">
        <v>30916</v>
      </c>
      <c r="I3138" t="s">
        <v>6396</v>
      </c>
      <c r="J3138" t="s">
        <v>33282</v>
      </c>
      <c r="K3138" t="s">
        <v>40289</v>
      </c>
      <c r="M3138" t="s">
        <v>41949</v>
      </c>
      <c r="N3138" t="s">
        <v>44759</v>
      </c>
      <c r="O3138" t="s">
        <v>44760</v>
      </c>
      <c r="P3138">
        <v>0</v>
      </c>
      <c r="Q3138">
        <v>0</v>
      </c>
      <c r="R3138" t="s">
        <v>44762</v>
      </c>
      <c r="S3138" t="s">
        <v>44863</v>
      </c>
      <c r="T3138" t="s">
        <v>46377</v>
      </c>
      <c r="U3138" t="s">
        <v>49628</v>
      </c>
      <c r="W3138" t="s">
        <v>41949</v>
      </c>
      <c r="X3138" t="s">
        <v>44763</v>
      </c>
    </row>
    <row r="3139" spans="1:24">
      <c r="A3139">
        <f>HYPERLINK("https://www.philgeps.gov.ph/GEPSNONPILOT/Tender/SplashBidNoticeAbstractUI.aspx?menuIndex=3&amp;refID=7149564&amp;Result=3","7149564")</f>
        <v>0</v>
      </c>
      <c r="B3139" t="s">
        <v>1330</v>
      </c>
      <c r="C3139" t="s">
        <v>6771</v>
      </c>
      <c r="D3139" t="s">
        <v>17985</v>
      </c>
      <c r="E3139" t="s">
        <v>20879</v>
      </c>
      <c r="F3139" t="s">
        <v>30900</v>
      </c>
      <c r="G3139" t="s">
        <v>30908</v>
      </c>
      <c r="H3139" t="s">
        <v>30916</v>
      </c>
      <c r="I3139" t="s">
        <v>30923</v>
      </c>
      <c r="J3139" t="s">
        <v>33283</v>
      </c>
      <c r="K3139" t="s">
        <v>40287</v>
      </c>
      <c r="M3139" t="s">
        <v>41950</v>
      </c>
      <c r="N3139" t="s">
        <v>44759</v>
      </c>
      <c r="O3139" t="s">
        <v>44760</v>
      </c>
      <c r="P3139">
        <v>0</v>
      </c>
      <c r="Q3139">
        <v>3</v>
      </c>
      <c r="R3139" t="s">
        <v>44762</v>
      </c>
      <c r="S3139" t="s">
        <v>44863</v>
      </c>
      <c r="T3139" t="s">
        <v>46362</v>
      </c>
      <c r="U3139" t="s">
        <v>49629</v>
      </c>
      <c r="W3139" t="s">
        <v>41950</v>
      </c>
      <c r="X3139" t="s">
        <v>44763</v>
      </c>
    </row>
    <row r="3140" spans="1:24">
      <c r="A3140">
        <f>HYPERLINK("https://www.philgeps.gov.ph/GEPSNONPILOT/Tender/SplashBidNoticeAbstractUI.aspx?menuIndex=3&amp;refID=7149464&amp;Result=3","7149464")</f>
        <v>0</v>
      </c>
      <c r="B3140" t="s">
        <v>1331</v>
      </c>
      <c r="C3140" t="s">
        <v>6772</v>
      </c>
      <c r="E3140" t="s">
        <v>18380</v>
      </c>
      <c r="F3140" t="s">
        <v>30900</v>
      </c>
      <c r="G3140" t="s">
        <v>30909</v>
      </c>
      <c r="H3140" t="s">
        <v>30916</v>
      </c>
      <c r="I3140" t="s">
        <v>4545</v>
      </c>
      <c r="J3140" t="s">
        <v>31183</v>
      </c>
      <c r="K3140" t="s">
        <v>40289</v>
      </c>
      <c r="M3140" t="s">
        <v>41951</v>
      </c>
      <c r="N3140" t="s">
        <v>44759</v>
      </c>
      <c r="O3140" t="s">
        <v>44760</v>
      </c>
      <c r="P3140">
        <v>0</v>
      </c>
      <c r="Q3140">
        <v>2</v>
      </c>
      <c r="R3140" t="s">
        <v>44762</v>
      </c>
      <c r="S3140" t="s">
        <v>44863</v>
      </c>
      <c r="T3140" t="s">
        <v>46414</v>
      </c>
      <c r="U3140" t="s">
        <v>49630</v>
      </c>
      <c r="V3140" t="s">
        <v>59470</v>
      </c>
      <c r="W3140" t="s">
        <v>41951</v>
      </c>
      <c r="X3140" t="s">
        <v>44763</v>
      </c>
    </row>
    <row r="3141" spans="1:24">
      <c r="A3141">
        <f>HYPERLINK("https://www.philgeps.gov.ph/GEPSNONPILOT/Tender/SplashBidNoticeAbstractUI.aspx?menuIndex=3&amp;refID=7149563&amp;Result=3","7149563")</f>
        <v>0</v>
      </c>
      <c r="B3141" t="s">
        <v>1332</v>
      </c>
      <c r="C3141" t="s">
        <v>6773</v>
      </c>
      <c r="D3141" t="s">
        <v>17996</v>
      </c>
      <c r="E3141" t="s">
        <v>20880</v>
      </c>
      <c r="F3141" t="s">
        <v>30900</v>
      </c>
      <c r="G3141" t="s">
        <v>30908</v>
      </c>
      <c r="H3141" t="s">
        <v>30916</v>
      </c>
      <c r="I3141" t="s">
        <v>4108</v>
      </c>
      <c r="J3141" t="s">
        <v>33284</v>
      </c>
      <c r="K3141" t="s">
        <v>40286</v>
      </c>
      <c r="M3141" t="s">
        <v>41952</v>
      </c>
      <c r="N3141" t="s">
        <v>44759</v>
      </c>
      <c r="O3141" t="s">
        <v>44760</v>
      </c>
      <c r="P3141">
        <v>0</v>
      </c>
      <c r="Q3141">
        <v>0</v>
      </c>
      <c r="R3141" t="s">
        <v>44762</v>
      </c>
      <c r="S3141" t="s">
        <v>44863</v>
      </c>
      <c r="T3141" t="s">
        <v>46389</v>
      </c>
      <c r="U3141" t="s">
        <v>49631</v>
      </c>
      <c r="W3141" t="s">
        <v>41952</v>
      </c>
      <c r="X3141" t="s">
        <v>44763</v>
      </c>
    </row>
    <row r="3142" spans="1:24">
      <c r="A3142">
        <f>HYPERLINK("https://www.philgeps.gov.ph/GEPSNONPILOT/Tender/SplashBidNoticeAbstractUI.aspx?menuIndex=3&amp;refID=7149526&amp;Result=3","7149526")</f>
        <v>0</v>
      </c>
      <c r="B3142" t="s">
        <v>782</v>
      </c>
      <c r="C3142" t="s">
        <v>6774</v>
      </c>
      <c r="D3142" t="s">
        <v>17951</v>
      </c>
      <c r="E3142" t="s">
        <v>20881</v>
      </c>
      <c r="F3142" t="s">
        <v>30900</v>
      </c>
      <c r="G3142" t="s">
        <v>30906</v>
      </c>
      <c r="H3142" t="s">
        <v>30916</v>
      </c>
      <c r="I3142" t="s">
        <v>30934</v>
      </c>
      <c r="J3142" t="s">
        <v>32795</v>
      </c>
      <c r="K3142" t="s">
        <v>40283</v>
      </c>
      <c r="M3142" t="s">
        <v>41351</v>
      </c>
      <c r="N3142" t="s">
        <v>44759</v>
      </c>
      <c r="O3142" t="s">
        <v>44760</v>
      </c>
      <c r="P3142">
        <v>0</v>
      </c>
      <c r="Q3142">
        <v>0</v>
      </c>
      <c r="R3142" t="s">
        <v>44762</v>
      </c>
      <c r="S3142" t="s">
        <v>44863</v>
      </c>
      <c r="T3142" t="s">
        <v>46379</v>
      </c>
      <c r="U3142" t="s">
        <v>49632</v>
      </c>
      <c r="W3142" t="s">
        <v>41351</v>
      </c>
      <c r="X3142" t="s">
        <v>44763</v>
      </c>
    </row>
    <row r="3143" spans="1:24">
      <c r="A3143">
        <f>HYPERLINK("https://www.philgeps.gov.ph/GEPSNONPILOT/Tender/SplashBidNoticeAbstractUI.aspx?menuIndex=3&amp;refID=7149561&amp;Result=3","7149561")</f>
        <v>0</v>
      </c>
      <c r="B3143" t="s">
        <v>938</v>
      </c>
      <c r="C3143" t="s">
        <v>6775</v>
      </c>
      <c r="D3143" t="s">
        <v>17959</v>
      </c>
      <c r="E3143" t="s">
        <v>20882</v>
      </c>
      <c r="F3143" t="s">
        <v>30900</v>
      </c>
      <c r="G3143" t="s">
        <v>30908</v>
      </c>
      <c r="H3143" t="s">
        <v>30916</v>
      </c>
      <c r="I3143" t="s">
        <v>6396</v>
      </c>
      <c r="J3143" t="s">
        <v>31049</v>
      </c>
      <c r="K3143" t="s">
        <v>40287</v>
      </c>
      <c r="M3143" t="s">
        <v>41521</v>
      </c>
      <c r="N3143" t="s">
        <v>44759</v>
      </c>
      <c r="O3143" t="s">
        <v>44760</v>
      </c>
      <c r="P3143">
        <v>0</v>
      </c>
      <c r="Q3143">
        <v>1</v>
      </c>
      <c r="R3143" t="s">
        <v>44762</v>
      </c>
      <c r="S3143" t="s">
        <v>44863</v>
      </c>
      <c r="T3143" t="s">
        <v>46457</v>
      </c>
      <c r="U3143" t="s">
        <v>49633</v>
      </c>
      <c r="V3143" t="s">
        <v>59336</v>
      </c>
      <c r="W3143" t="s">
        <v>41521</v>
      </c>
      <c r="X3143" t="s">
        <v>44763</v>
      </c>
    </row>
    <row r="3144" spans="1:24">
      <c r="A3144">
        <f>HYPERLINK("https://www.philgeps.gov.ph/GEPSNONPILOT/Tender/SplashBidNoticeAbstractUI.aspx?menuIndex=3&amp;refID=7149533&amp;Result=3","7149533")</f>
        <v>0</v>
      </c>
      <c r="B3144" t="s">
        <v>1333</v>
      </c>
      <c r="C3144" t="s">
        <v>6776</v>
      </c>
      <c r="D3144" t="s">
        <v>18034</v>
      </c>
      <c r="E3144" t="s">
        <v>20883</v>
      </c>
      <c r="F3144" t="s">
        <v>30900</v>
      </c>
      <c r="G3144" t="s">
        <v>30908</v>
      </c>
      <c r="H3144" t="s">
        <v>30916</v>
      </c>
      <c r="I3144" t="s">
        <v>6746</v>
      </c>
      <c r="J3144" t="s">
        <v>33285</v>
      </c>
      <c r="K3144" t="s">
        <v>40289</v>
      </c>
      <c r="M3144" t="s">
        <v>41953</v>
      </c>
      <c r="N3144" t="s">
        <v>44759</v>
      </c>
      <c r="O3144" t="s">
        <v>44760</v>
      </c>
      <c r="P3144">
        <v>0</v>
      </c>
      <c r="Q3144">
        <v>0</v>
      </c>
      <c r="R3144" t="s">
        <v>44762</v>
      </c>
      <c r="S3144" t="s">
        <v>44863</v>
      </c>
      <c r="T3144" t="s">
        <v>46376</v>
      </c>
      <c r="U3144" t="s">
        <v>49634</v>
      </c>
      <c r="W3144" t="s">
        <v>41953</v>
      </c>
      <c r="X3144" t="s">
        <v>44763</v>
      </c>
    </row>
    <row r="3145" spans="1:24">
      <c r="A3145">
        <f>HYPERLINK("https://www.philgeps.gov.ph/GEPSNONPILOT/Tender/SplashBidNoticeAbstractUI.aspx?menuIndex=3&amp;refID=7149575&amp;Result=3","7149575")</f>
        <v>0</v>
      </c>
      <c r="B3145" t="s">
        <v>1334</v>
      </c>
      <c r="C3145" t="s">
        <v>6777</v>
      </c>
      <c r="D3145" t="s">
        <v>17973</v>
      </c>
      <c r="E3145" t="s">
        <v>20673</v>
      </c>
      <c r="F3145" t="s">
        <v>30900</v>
      </c>
      <c r="G3145" t="s">
        <v>30908</v>
      </c>
      <c r="H3145" t="s">
        <v>30916</v>
      </c>
      <c r="I3145" t="s">
        <v>30928</v>
      </c>
      <c r="J3145" t="s">
        <v>33171</v>
      </c>
      <c r="K3145" t="s">
        <v>40286</v>
      </c>
      <c r="M3145" t="s">
        <v>41954</v>
      </c>
      <c r="N3145" t="s">
        <v>44759</v>
      </c>
      <c r="O3145" t="s">
        <v>44760</v>
      </c>
      <c r="P3145">
        <v>0</v>
      </c>
      <c r="Q3145">
        <v>7</v>
      </c>
      <c r="R3145" t="s">
        <v>44762</v>
      </c>
      <c r="S3145" t="s">
        <v>44863</v>
      </c>
      <c r="T3145" t="s">
        <v>46369</v>
      </c>
      <c r="U3145" t="s">
        <v>49635</v>
      </c>
      <c r="V3145" t="s">
        <v>59471</v>
      </c>
      <c r="W3145" t="s">
        <v>41954</v>
      </c>
      <c r="X3145" t="s">
        <v>44763</v>
      </c>
    </row>
    <row r="3146" spans="1:24">
      <c r="A3146">
        <f>HYPERLINK("https://www.philgeps.gov.ph/GEPSNONPILOT/Tender/SplashBidNoticeAbstractUI.aspx?menuIndex=3&amp;refID=7149551&amp;Result=3","7149551")</f>
        <v>0</v>
      </c>
      <c r="B3146" t="s">
        <v>1313</v>
      </c>
      <c r="C3146" t="s">
        <v>6778</v>
      </c>
      <c r="D3146" t="s">
        <v>18002</v>
      </c>
      <c r="E3146" t="s">
        <v>20884</v>
      </c>
      <c r="F3146" t="s">
        <v>30900</v>
      </c>
      <c r="G3146" t="s">
        <v>30909</v>
      </c>
      <c r="H3146" t="s">
        <v>30916</v>
      </c>
      <c r="I3146" t="s">
        <v>30952</v>
      </c>
      <c r="J3146" t="s">
        <v>31052</v>
      </c>
      <c r="K3146" t="s">
        <v>40287</v>
      </c>
      <c r="M3146" t="s">
        <v>41931</v>
      </c>
      <c r="N3146" t="s">
        <v>44759</v>
      </c>
      <c r="O3146" t="s">
        <v>44760</v>
      </c>
      <c r="P3146">
        <v>0</v>
      </c>
      <c r="Q3146">
        <v>1</v>
      </c>
      <c r="R3146" t="s">
        <v>44762</v>
      </c>
      <c r="S3146" t="s">
        <v>44863</v>
      </c>
      <c r="T3146" t="s">
        <v>46363</v>
      </c>
      <c r="U3146" t="s">
        <v>49636</v>
      </c>
      <c r="W3146" t="s">
        <v>41931</v>
      </c>
      <c r="X3146" t="s">
        <v>44763</v>
      </c>
    </row>
    <row r="3147" spans="1:24">
      <c r="A3147">
        <f>HYPERLINK("https://www.philgeps.gov.ph/GEPSNONPILOT/Tender/SplashBidNoticeAbstractUI.aspx?menuIndex=3&amp;refID=7149573&amp;Result=3","7149573")</f>
        <v>0</v>
      </c>
      <c r="B3147" t="s">
        <v>1146</v>
      </c>
      <c r="C3147" t="s">
        <v>6779</v>
      </c>
      <c r="D3147" t="s">
        <v>18025</v>
      </c>
      <c r="E3147" t="s">
        <v>20885</v>
      </c>
      <c r="F3147" t="s">
        <v>30900</v>
      </c>
      <c r="G3147" t="s">
        <v>30909</v>
      </c>
      <c r="H3147" t="s">
        <v>30916</v>
      </c>
      <c r="I3147" t="s">
        <v>30923</v>
      </c>
      <c r="J3147" t="s">
        <v>33286</v>
      </c>
      <c r="K3147" t="s">
        <v>40287</v>
      </c>
      <c r="M3147" t="s">
        <v>41752</v>
      </c>
      <c r="N3147" t="s">
        <v>44759</v>
      </c>
      <c r="O3147" t="s">
        <v>44760</v>
      </c>
      <c r="P3147">
        <v>0</v>
      </c>
      <c r="Q3147">
        <v>18</v>
      </c>
      <c r="R3147" t="s">
        <v>44762</v>
      </c>
      <c r="S3147" t="s">
        <v>44863</v>
      </c>
      <c r="T3147" t="s">
        <v>46421</v>
      </c>
      <c r="U3147" t="s">
        <v>49637</v>
      </c>
      <c r="W3147" t="s">
        <v>41752</v>
      </c>
      <c r="X3147" t="s">
        <v>44763</v>
      </c>
    </row>
    <row r="3148" spans="1:24">
      <c r="A3148">
        <f>HYPERLINK("https://www.philgeps.gov.ph/GEPSNONPILOT/Tender/SplashBidNoticeAbstractUI.aspx?menuIndex=3&amp;refID=7149571&amp;Result=3","7149571")</f>
        <v>0</v>
      </c>
      <c r="B3148" t="s">
        <v>1323</v>
      </c>
      <c r="C3148" t="s">
        <v>6780</v>
      </c>
      <c r="E3148" t="s">
        <v>20886</v>
      </c>
      <c r="F3148" t="s">
        <v>30900</v>
      </c>
      <c r="G3148" t="s">
        <v>30908</v>
      </c>
      <c r="H3148" t="s">
        <v>30916</v>
      </c>
      <c r="I3148" t="s">
        <v>10847</v>
      </c>
      <c r="J3148" t="s">
        <v>33287</v>
      </c>
      <c r="K3148" t="s">
        <v>40283</v>
      </c>
      <c r="M3148" t="s">
        <v>41942</v>
      </c>
      <c r="N3148" t="s">
        <v>44759</v>
      </c>
      <c r="O3148" t="s">
        <v>44760</v>
      </c>
      <c r="P3148">
        <v>0</v>
      </c>
      <c r="Q3148">
        <v>0</v>
      </c>
      <c r="R3148" t="s">
        <v>44762</v>
      </c>
      <c r="S3148" t="s">
        <v>44863</v>
      </c>
      <c r="T3148" t="s">
        <v>46627</v>
      </c>
      <c r="U3148" t="s">
        <v>49638</v>
      </c>
      <c r="W3148" t="s">
        <v>41942</v>
      </c>
      <c r="X3148" t="s">
        <v>44763</v>
      </c>
    </row>
    <row r="3149" spans="1:24">
      <c r="A3149">
        <f>HYPERLINK("https://www.philgeps.gov.ph/GEPSNONPILOT/Tender/SplashBidNoticeAbstractUI.aspx?menuIndex=3&amp;refID=7149560&amp;Result=3","7149560")</f>
        <v>0</v>
      </c>
      <c r="B3149" t="s">
        <v>1146</v>
      </c>
      <c r="C3149" t="s">
        <v>6781</v>
      </c>
      <c r="D3149" t="s">
        <v>18025</v>
      </c>
      <c r="E3149" t="s">
        <v>20887</v>
      </c>
      <c r="F3149" t="s">
        <v>30900</v>
      </c>
      <c r="G3149" t="s">
        <v>30910</v>
      </c>
      <c r="H3149" t="s">
        <v>30916</v>
      </c>
      <c r="I3149" t="s">
        <v>30934</v>
      </c>
      <c r="J3149" t="s">
        <v>33288</v>
      </c>
      <c r="K3149" t="s">
        <v>40287</v>
      </c>
      <c r="M3149" t="s">
        <v>41752</v>
      </c>
      <c r="N3149" t="s">
        <v>44759</v>
      </c>
      <c r="O3149" t="s">
        <v>44760</v>
      </c>
      <c r="P3149">
        <v>0</v>
      </c>
      <c r="Q3149">
        <v>6</v>
      </c>
      <c r="R3149" t="s">
        <v>44762</v>
      </c>
      <c r="S3149" t="s">
        <v>44863</v>
      </c>
      <c r="T3149" t="s">
        <v>46421</v>
      </c>
      <c r="U3149" t="s">
        <v>49639</v>
      </c>
      <c r="W3149" t="s">
        <v>41752</v>
      </c>
      <c r="X3149" t="s">
        <v>44763</v>
      </c>
    </row>
    <row r="3150" spans="1:24">
      <c r="A3150">
        <f>HYPERLINK("https://www.philgeps.gov.ph/GEPSNONPILOT/Tender/SplashBidNoticeAbstractUI.aspx?menuIndex=3&amp;refID=7149562&amp;Result=3","7149562")</f>
        <v>0</v>
      </c>
      <c r="B3150" t="s">
        <v>1327</v>
      </c>
      <c r="C3150" t="s">
        <v>6782</v>
      </c>
      <c r="D3150" t="s">
        <v>17971</v>
      </c>
      <c r="E3150" t="s">
        <v>20888</v>
      </c>
      <c r="F3150" t="s">
        <v>30900</v>
      </c>
      <c r="G3150" t="s">
        <v>30907</v>
      </c>
      <c r="H3150" t="s">
        <v>30916</v>
      </c>
      <c r="I3150" t="s">
        <v>4050</v>
      </c>
      <c r="J3150" t="s">
        <v>33289</v>
      </c>
      <c r="K3150" t="s">
        <v>40286</v>
      </c>
      <c r="M3150" t="s">
        <v>41946</v>
      </c>
      <c r="N3150" t="s">
        <v>44759</v>
      </c>
      <c r="O3150" t="s">
        <v>44760</v>
      </c>
      <c r="P3150">
        <v>0</v>
      </c>
      <c r="Q3150">
        <v>0</v>
      </c>
      <c r="R3150" t="s">
        <v>44762</v>
      </c>
      <c r="S3150" t="s">
        <v>44863</v>
      </c>
      <c r="T3150" t="s">
        <v>46395</v>
      </c>
      <c r="U3150" t="s">
        <v>49640</v>
      </c>
      <c r="V3150" t="s">
        <v>59472</v>
      </c>
      <c r="W3150" t="s">
        <v>41946</v>
      </c>
      <c r="X3150" t="s">
        <v>44763</v>
      </c>
    </row>
    <row r="3151" spans="1:24">
      <c r="A3151">
        <f>HYPERLINK("https://www.philgeps.gov.ph/GEPSNONPILOT/Tender/SplashBidNoticeAbstractUI.aspx?menuIndex=3&amp;refID=7149559&amp;Result=3","7149559")</f>
        <v>0</v>
      </c>
      <c r="B3151" t="s">
        <v>1314</v>
      </c>
      <c r="C3151" t="s">
        <v>6783</v>
      </c>
      <c r="D3151" t="s">
        <v>17961</v>
      </c>
      <c r="E3151" t="s">
        <v>20889</v>
      </c>
      <c r="F3151" t="s">
        <v>30900</v>
      </c>
      <c r="G3151" t="s">
        <v>30908</v>
      </c>
      <c r="H3151" t="s">
        <v>7411</v>
      </c>
      <c r="I3151" t="s">
        <v>7411</v>
      </c>
      <c r="J3151" t="s">
        <v>33290</v>
      </c>
      <c r="K3151" t="s">
        <v>40289</v>
      </c>
      <c r="L3151" t="s">
        <v>1314</v>
      </c>
      <c r="M3151" t="s">
        <v>41932</v>
      </c>
      <c r="N3151" t="s">
        <v>44759</v>
      </c>
      <c r="O3151" t="s">
        <v>44760</v>
      </c>
      <c r="P3151">
        <v>0</v>
      </c>
      <c r="Q3151">
        <v>0</v>
      </c>
      <c r="R3151" t="s">
        <v>44762</v>
      </c>
      <c r="S3151" t="s">
        <v>44863</v>
      </c>
      <c r="T3151" t="s">
        <v>46425</v>
      </c>
      <c r="U3151" t="s">
        <v>49595</v>
      </c>
      <c r="W3151" t="s">
        <v>41932</v>
      </c>
      <c r="X3151" t="s">
        <v>44763</v>
      </c>
    </row>
    <row r="3152" spans="1:24">
      <c r="A3152">
        <f>HYPERLINK("https://www.philgeps.gov.ph/GEPSNONPILOT/Tender/SplashBidNoticeAbstractUI.aspx?menuIndex=3&amp;refID=7149557&amp;Result=3","7149557")</f>
        <v>0</v>
      </c>
      <c r="B3152" t="s">
        <v>497</v>
      </c>
      <c r="C3152" t="s">
        <v>6784</v>
      </c>
      <c r="D3152" t="s">
        <v>17951</v>
      </c>
      <c r="E3152" t="s">
        <v>18912</v>
      </c>
      <c r="F3152" t="s">
        <v>30900</v>
      </c>
      <c r="G3152" t="s">
        <v>30908</v>
      </c>
      <c r="H3152" t="s">
        <v>30916</v>
      </c>
      <c r="I3152" t="s">
        <v>6953</v>
      </c>
      <c r="J3152" t="s">
        <v>33291</v>
      </c>
      <c r="K3152" t="s">
        <v>40285</v>
      </c>
      <c r="M3152" t="s">
        <v>41056</v>
      </c>
      <c r="N3152" t="s">
        <v>44759</v>
      </c>
      <c r="O3152" t="s">
        <v>44760</v>
      </c>
      <c r="P3152">
        <v>0</v>
      </c>
      <c r="Q3152">
        <v>0</v>
      </c>
      <c r="R3152" t="s">
        <v>44762</v>
      </c>
      <c r="S3152" t="s">
        <v>44863</v>
      </c>
      <c r="T3152" t="s">
        <v>46414</v>
      </c>
      <c r="U3152" t="s">
        <v>49641</v>
      </c>
      <c r="W3152" t="s">
        <v>41056</v>
      </c>
      <c r="X3152" t="s">
        <v>44763</v>
      </c>
    </row>
    <row r="3153" spans="1:24">
      <c r="A3153">
        <f>HYPERLINK("https://www.philgeps.gov.ph/GEPSNONPILOT/Tender/SplashBidNoticeAbstractUI.aspx?menuIndex=3&amp;refID=7149488&amp;Result=3","7149488")</f>
        <v>0</v>
      </c>
      <c r="B3153" t="s">
        <v>44</v>
      </c>
      <c r="C3153" t="s">
        <v>6785</v>
      </c>
      <c r="D3153" t="s">
        <v>17969</v>
      </c>
      <c r="E3153" t="s">
        <v>20890</v>
      </c>
      <c r="F3153" t="s">
        <v>30900</v>
      </c>
      <c r="G3153" t="s">
        <v>30908</v>
      </c>
      <c r="H3153" t="s">
        <v>30916</v>
      </c>
      <c r="I3153" t="s">
        <v>30923</v>
      </c>
      <c r="J3153" t="s">
        <v>33292</v>
      </c>
      <c r="K3153" t="s">
        <v>40289</v>
      </c>
      <c r="M3153" t="s">
        <v>41947</v>
      </c>
      <c r="N3153" t="s">
        <v>44759</v>
      </c>
      <c r="O3153" t="s">
        <v>44760</v>
      </c>
      <c r="P3153">
        <v>0</v>
      </c>
      <c r="Q3153">
        <v>0</v>
      </c>
      <c r="R3153" t="s">
        <v>44762</v>
      </c>
      <c r="S3153" t="s">
        <v>44863</v>
      </c>
      <c r="T3153" t="s">
        <v>46412</v>
      </c>
      <c r="U3153" t="s">
        <v>49642</v>
      </c>
      <c r="W3153" t="s">
        <v>41947</v>
      </c>
      <c r="X3153" t="s">
        <v>44763</v>
      </c>
    </row>
    <row r="3154" spans="1:24">
      <c r="A3154">
        <f>HYPERLINK("https://www.philgeps.gov.ph/GEPSNONPILOT/Tender/SplashBidNoticeAbstractUI.aspx?menuIndex=3&amp;refID=7149567&amp;Result=3","7149567")</f>
        <v>0</v>
      </c>
      <c r="B3154" t="s">
        <v>1119</v>
      </c>
      <c r="C3154" t="s">
        <v>6786</v>
      </c>
      <c r="D3154" t="s">
        <v>17959</v>
      </c>
      <c r="E3154" t="s">
        <v>20891</v>
      </c>
      <c r="F3154" t="s">
        <v>30900</v>
      </c>
      <c r="G3154" t="s">
        <v>30910</v>
      </c>
      <c r="H3154" t="s">
        <v>30916</v>
      </c>
      <c r="I3154" t="s">
        <v>4142</v>
      </c>
      <c r="J3154" t="s">
        <v>31077</v>
      </c>
      <c r="K3154" t="s">
        <v>40291</v>
      </c>
      <c r="M3154" t="s">
        <v>41749</v>
      </c>
      <c r="N3154" t="s">
        <v>44759</v>
      </c>
      <c r="O3154" t="s">
        <v>44760</v>
      </c>
      <c r="P3154">
        <v>0</v>
      </c>
      <c r="Q3154">
        <v>4</v>
      </c>
      <c r="R3154" t="s">
        <v>44762</v>
      </c>
      <c r="S3154" t="s">
        <v>44863</v>
      </c>
      <c r="T3154" t="s">
        <v>46363</v>
      </c>
      <c r="U3154" t="s">
        <v>49074</v>
      </c>
      <c r="V3154" t="s">
        <v>59398</v>
      </c>
      <c r="W3154" t="s">
        <v>41749</v>
      </c>
      <c r="X3154" t="s">
        <v>44763</v>
      </c>
    </row>
    <row r="3155" spans="1:24">
      <c r="A3155">
        <f>HYPERLINK("https://www.philgeps.gov.ph/GEPSNONPILOT/Tender/SplashBidNoticeAbstractUI.aspx?menuIndex=3&amp;refID=7149574&amp;Result=3","7149574")</f>
        <v>0</v>
      </c>
      <c r="B3155" t="s">
        <v>585</v>
      </c>
      <c r="C3155" t="s">
        <v>6787</v>
      </c>
      <c r="E3155" t="s">
        <v>20892</v>
      </c>
      <c r="F3155" t="s">
        <v>30900</v>
      </c>
      <c r="G3155" t="s">
        <v>30910</v>
      </c>
      <c r="H3155" t="s">
        <v>30916</v>
      </c>
      <c r="I3155" t="s">
        <v>6396</v>
      </c>
      <c r="J3155" t="s">
        <v>33293</v>
      </c>
      <c r="K3155" t="s">
        <v>40289</v>
      </c>
      <c r="M3155" t="s">
        <v>41955</v>
      </c>
      <c r="N3155" t="s">
        <v>44759</v>
      </c>
      <c r="O3155" t="s">
        <v>44760</v>
      </c>
      <c r="P3155">
        <v>0</v>
      </c>
      <c r="Q3155">
        <v>4</v>
      </c>
      <c r="R3155" t="s">
        <v>44762</v>
      </c>
      <c r="S3155" t="s">
        <v>44863</v>
      </c>
      <c r="T3155" t="s">
        <v>46410</v>
      </c>
      <c r="U3155" t="s">
        <v>49643</v>
      </c>
      <c r="V3155" t="s">
        <v>59473</v>
      </c>
      <c r="W3155" t="s">
        <v>41955</v>
      </c>
      <c r="X3155" t="s">
        <v>44763</v>
      </c>
    </row>
    <row r="3156" spans="1:24">
      <c r="A3156">
        <f>HYPERLINK("https://www.philgeps.gov.ph/GEPSNONPILOT/Tender/SplashBidNoticeAbstractUI.aspx?menuIndex=3&amp;refID=7149572&amp;Result=3","7149572")</f>
        <v>0</v>
      </c>
      <c r="B3156" t="s">
        <v>1335</v>
      </c>
      <c r="C3156" t="s">
        <v>6788</v>
      </c>
      <c r="E3156" t="s">
        <v>20893</v>
      </c>
      <c r="F3156" t="s">
        <v>30900</v>
      </c>
      <c r="G3156" t="s">
        <v>30908</v>
      </c>
      <c r="H3156" t="s">
        <v>30916</v>
      </c>
      <c r="I3156" t="s">
        <v>4545</v>
      </c>
      <c r="J3156" t="s">
        <v>31303</v>
      </c>
      <c r="K3156" t="s">
        <v>40289</v>
      </c>
      <c r="M3156" t="s">
        <v>41956</v>
      </c>
      <c r="N3156" t="s">
        <v>44759</v>
      </c>
      <c r="O3156" t="s">
        <v>44760</v>
      </c>
      <c r="P3156">
        <v>0</v>
      </c>
      <c r="Q3156">
        <v>3</v>
      </c>
      <c r="R3156" t="s">
        <v>44762</v>
      </c>
      <c r="S3156" t="s">
        <v>44863</v>
      </c>
      <c r="T3156" t="s">
        <v>46414</v>
      </c>
      <c r="U3156" t="s">
        <v>49644</v>
      </c>
      <c r="W3156" t="s">
        <v>41956</v>
      </c>
      <c r="X3156" t="s">
        <v>44763</v>
      </c>
    </row>
    <row r="3157" spans="1:24">
      <c r="A3157">
        <f>HYPERLINK("https://www.philgeps.gov.ph/GEPSNONPILOT/Tender/SplashBidNoticeAbstractUI.aspx?menuIndex=3&amp;refID=7149553&amp;Result=3","7149553")</f>
        <v>0</v>
      </c>
      <c r="B3157" t="s">
        <v>1258</v>
      </c>
      <c r="C3157" t="s">
        <v>6789</v>
      </c>
      <c r="D3157" t="s">
        <v>18001</v>
      </c>
      <c r="E3157" t="s">
        <v>20894</v>
      </c>
      <c r="F3157" t="s">
        <v>30900</v>
      </c>
      <c r="G3157" t="s">
        <v>30909</v>
      </c>
      <c r="H3157" t="s">
        <v>30916</v>
      </c>
      <c r="I3157" t="s">
        <v>6746</v>
      </c>
      <c r="J3157" t="s">
        <v>33294</v>
      </c>
      <c r="K3157" t="s">
        <v>40281</v>
      </c>
      <c r="M3157" t="s">
        <v>41870</v>
      </c>
      <c r="N3157" t="s">
        <v>44759</v>
      </c>
      <c r="O3157" t="s">
        <v>44760</v>
      </c>
      <c r="P3157">
        <v>0</v>
      </c>
      <c r="Q3157">
        <v>0</v>
      </c>
      <c r="R3157" t="s">
        <v>44762</v>
      </c>
      <c r="S3157" t="s">
        <v>44863</v>
      </c>
      <c r="T3157" t="s">
        <v>46533</v>
      </c>
      <c r="U3157" t="s">
        <v>49645</v>
      </c>
      <c r="W3157" t="s">
        <v>41870</v>
      </c>
      <c r="X3157" t="s">
        <v>44763</v>
      </c>
    </row>
    <row r="3158" spans="1:24">
      <c r="A3158">
        <f>HYPERLINK("https://www.philgeps.gov.ph/GEPSNONPILOT/Tender/SplashBidNoticeAbstractUI.aspx?menuIndex=3&amp;refID=7149576&amp;Result=3","7149576")</f>
        <v>0</v>
      </c>
      <c r="B3158" t="s">
        <v>484</v>
      </c>
      <c r="C3158" t="s">
        <v>6790</v>
      </c>
      <c r="D3158" t="s">
        <v>17959</v>
      </c>
      <c r="E3158" t="s">
        <v>20895</v>
      </c>
      <c r="F3158" t="s">
        <v>30900</v>
      </c>
      <c r="G3158" t="s">
        <v>30908</v>
      </c>
      <c r="H3158" t="s">
        <v>30916</v>
      </c>
      <c r="I3158" t="s">
        <v>7411</v>
      </c>
      <c r="J3158" t="s">
        <v>31101</v>
      </c>
      <c r="K3158" t="s">
        <v>40362</v>
      </c>
      <c r="M3158" t="s">
        <v>41042</v>
      </c>
      <c r="N3158" t="s">
        <v>44759</v>
      </c>
      <c r="O3158" t="s">
        <v>44760</v>
      </c>
      <c r="P3158">
        <v>0</v>
      </c>
      <c r="Q3158">
        <v>0</v>
      </c>
      <c r="R3158" t="s">
        <v>44762</v>
      </c>
      <c r="S3158" t="s">
        <v>44863</v>
      </c>
      <c r="T3158" t="s">
        <v>46410</v>
      </c>
      <c r="U3158" t="s">
        <v>49646</v>
      </c>
      <c r="V3158" t="s">
        <v>59474</v>
      </c>
      <c r="W3158" t="s">
        <v>41042</v>
      </c>
      <c r="X3158" t="s">
        <v>44763</v>
      </c>
    </row>
    <row r="3159" spans="1:24">
      <c r="A3159">
        <f>HYPERLINK("https://www.philgeps.gov.ph/GEPSNONPILOT/Tender/SplashBidNoticeAbstractUI.aspx?menuIndex=3&amp;refID=7149556&amp;Result=3","7149556")</f>
        <v>0</v>
      </c>
      <c r="B3159" t="s">
        <v>479</v>
      </c>
      <c r="C3159" t="s">
        <v>6791</v>
      </c>
      <c r="D3159" t="s">
        <v>17959</v>
      </c>
      <c r="E3159" t="s">
        <v>20896</v>
      </c>
      <c r="F3159" t="s">
        <v>30900</v>
      </c>
      <c r="G3159" t="s">
        <v>30908</v>
      </c>
      <c r="H3159" t="s">
        <v>30916</v>
      </c>
      <c r="I3159" t="s">
        <v>30934</v>
      </c>
      <c r="J3159" t="s">
        <v>32549</v>
      </c>
      <c r="K3159" t="s">
        <v>40283</v>
      </c>
      <c r="M3159" t="s">
        <v>41037</v>
      </c>
      <c r="N3159" t="s">
        <v>44759</v>
      </c>
      <c r="O3159" t="s">
        <v>44760</v>
      </c>
      <c r="P3159">
        <v>0</v>
      </c>
      <c r="Q3159">
        <v>9</v>
      </c>
      <c r="R3159" t="s">
        <v>44762</v>
      </c>
      <c r="S3159" t="s">
        <v>44863</v>
      </c>
      <c r="T3159" t="s">
        <v>46412</v>
      </c>
      <c r="U3159" t="s">
        <v>49647</v>
      </c>
      <c r="W3159" t="s">
        <v>41037</v>
      </c>
      <c r="X3159" t="s">
        <v>44763</v>
      </c>
    </row>
    <row r="3160" spans="1:24">
      <c r="A3160">
        <f>HYPERLINK("https://www.philgeps.gov.ph/GEPSNONPILOT/Tender/SplashBidNoticeAbstractUI.aspx?menuIndex=3&amp;refID=7149555&amp;Result=3","7149555")</f>
        <v>0</v>
      </c>
      <c r="B3160" t="s">
        <v>1282</v>
      </c>
      <c r="C3160" t="s">
        <v>6792</v>
      </c>
      <c r="D3160" t="s">
        <v>18005</v>
      </c>
      <c r="E3160" t="s">
        <v>20794</v>
      </c>
      <c r="F3160" t="s">
        <v>30900</v>
      </c>
      <c r="G3160" t="s">
        <v>30909</v>
      </c>
      <c r="H3160" t="s">
        <v>30916</v>
      </c>
      <c r="I3160" t="s">
        <v>6746</v>
      </c>
      <c r="J3160" t="s">
        <v>31043</v>
      </c>
      <c r="K3160" t="s">
        <v>40285</v>
      </c>
      <c r="M3160" t="s">
        <v>41899</v>
      </c>
      <c r="N3160" t="s">
        <v>44759</v>
      </c>
      <c r="O3160" t="s">
        <v>44760</v>
      </c>
      <c r="P3160">
        <v>0</v>
      </c>
      <c r="Q3160">
        <v>0</v>
      </c>
      <c r="R3160" t="s">
        <v>44762</v>
      </c>
      <c r="S3160" t="s">
        <v>44863</v>
      </c>
      <c r="T3160" t="s">
        <v>46585</v>
      </c>
      <c r="U3160" t="s">
        <v>49648</v>
      </c>
      <c r="W3160" t="s">
        <v>41899</v>
      </c>
      <c r="X3160" t="s">
        <v>44763</v>
      </c>
    </row>
    <row r="3161" spans="1:24">
      <c r="A3161">
        <f>HYPERLINK("https://www.philgeps.gov.ph/GEPSNONPILOT/Tender/SplashBidNoticeAbstractUI.aspx?menuIndex=3&amp;refID=7149554&amp;Result=3","7149554")</f>
        <v>0</v>
      </c>
      <c r="B3161" t="s">
        <v>1336</v>
      </c>
      <c r="C3161" t="s">
        <v>6793</v>
      </c>
      <c r="D3161" t="s">
        <v>17973</v>
      </c>
      <c r="E3161" t="s">
        <v>20897</v>
      </c>
      <c r="F3161" t="s">
        <v>30900</v>
      </c>
      <c r="G3161" t="s">
        <v>30908</v>
      </c>
      <c r="H3161" t="s">
        <v>30916</v>
      </c>
      <c r="I3161" t="s">
        <v>30919</v>
      </c>
      <c r="J3161" t="s">
        <v>33295</v>
      </c>
      <c r="K3161" t="s">
        <v>40291</v>
      </c>
      <c r="M3161" t="s">
        <v>41957</v>
      </c>
      <c r="N3161" t="s">
        <v>44759</v>
      </c>
      <c r="O3161" t="s">
        <v>44760</v>
      </c>
      <c r="P3161">
        <v>0</v>
      </c>
      <c r="Q3161">
        <v>0</v>
      </c>
      <c r="R3161" t="s">
        <v>44762</v>
      </c>
      <c r="S3161" t="s">
        <v>44863</v>
      </c>
      <c r="T3161" t="s">
        <v>46398</v>
      </c>
      <c r="U3161" t="s">
        <v>49649</v>
      </c>
      <c r="W3161" t="s">
        <v>41957</v>
      </c>
      <c r="X3161" t="s">
        <v>44763</v>
      </c>
    </row>
    <row r="3162" spans="1:24">
      <c r="A3162">
        <f>HYPERLINK("https://www.philgeps.gov.ph/GEPSNONPILOT/Tender/SplashBidNoticeAbstractUI.aspx?menuIndex=3&amp;refID=7149463&amp;Result=3","7149463")</f>
        <v>0</v>
      </c>
      <c r="B3162" t="s">
        <v>1337</v>
      </c>
      <c r="C3162" t="s">
        <v>6794</v>
      </c>
      <c r="D3162" t="s">
        <v>18001</v>
      </c>
      <c r="E3162" t="s">
        <v>20898</v>
      </c>
      <c r="F3162" t="s">
        <v>30900</v>
      </c>
      <c r="G3162" t="s">
        <v>30907</v>
      </c>
      <c r="H3162" t="s">
        <v>30916</v>
      </c>
      <c r="I3162" t="s">
        <v>30947</v>
      </c>
      <c r="J3162" t="s">
        <v>31788</v>
      </c>
      <c r="K3162" t="s">
        <v>40288</v>
      </c>
      <c r="M3162" t="s">
        <v>41958</v>
      </c>
      <c r="N3162" t="s">
        <v>44759</v>
      </c>
      <c r="O3162" t="s">
        <v>44760</v>
      </c>
      <c r="P3162">
        <v>0</v>
      </c>
      <c r="Q3162">
        <v>2</v>
      </c>
      <c r="R3162" t="s">
        <v>44762</v>
      </c>
      <c r="S3162" t="s">
        <v>44863</v>
      </c>
      <c r="T3162" t="s">
        <v>46429</v>
      </c>
      <c r="U3162" t="s">
        <v>49650</v>
      </c>
      <c r="W3162" t="s">
        <v>41958</v>
      </c>
      <c r="X3162" t="s">
        <v>44763</v>
      </c>
    </row>
    <row r="3163" spans="1:24">
      <c r="A3163">
        <f>HYPERLINK("https://www.philgeps.gov.ph/GEPSNONPILOT/Tender/SplashBidNoticeAbstractUI.aspx?menuIndex=3&amp;refID=7149601&amp;Result=3","7149601")</f>
        <v>0</v>
      </c>
      <c r="B3163" t="s">
        <v>737</v>
      </c>
      <c r="C3163" t="s">
        <v>6795</v>
      </c>
      <c r="D3163" t="s">
        <v>18006</v>
      </c>
      <c r="E3163" t="s">
        <v>20899</v>
      </c>
      <c r="F3163" t="s">
        <v>30900</v>
      </c>
      <c r="G3163" t="s">
        <v>30907</v>
      </c>
      <c r="H3163" t="s">
        <v>30916</v>
      </c>
      <c r="I3163" t="s">
        <v>10602</v>
      </c>
      <c r="J3163" t="s">
        <v>33296</v>
      </c>
      <c r="K3163" t="s">
        <v>40286</v>
      </c>
      <c r="M3163" t="s">
        <v>41301</v>
      </c>
      <c r="N3163" t="s">
        <v>44759</v>
      </c>
      <c r="O3163" t="s">
        <v>44760</v>
      </c>
      <c r="P3163">
        <v>0</v>
      </c>
      <c r="Q3163">
        <v>0</v>
      </c>
      <c r="R3163" t="s">
        <v>44762</v>
      </c>
      <c r="S3163" t="s">
        <v>44863</v>
      </c>
      <c r="T3163" t="s">
        <v>46395</v>
      </c>
      <c r="U3163" t="s">
        <v>49651</v>
      </c>
      <c r="W3163" t="s">
        <v>41301</v>
      </c>
      <c r="X3163" t="s">
        <v>44763</v>
      </c>
    </row>
    <row r="3164" spans="1:24">
      <c r="A3164">
        <f>HYPERLINK("https://www.philgeps.gov.ph/GEPSNONPILOT/Tender/SplashBidNoticeAbstractUI.aspx?menuIndex=3&amp;refID=7149600&amp;Result=3","7149600")</f>
        <v>0</v>
      </c>
      <c r="B3164" t="s">
        <v>1338</v>
      </c>
      <c r="C3164" t="s">
        <v>6796</v>
      </c>
      <c r="D3164" t="s">
        <v>18023</v>
      </c>
      <c r="E3164" t="s">
        <v>20900</v>
      </c>
      <c r="F3164" t="s">
        <v>30900</v>
      </c>
      <c r="G3164" t="s">
        <v>30908</v>
      </c>
      <c r="H3164" t="s">
        <v>30916</v>
      </c>
      <c r="I3164" t="s">
        <v>8123</v>
      </c>
      <c r="J3164" t="s">
        <v>33297</v>
      </c>
      <c r="K3164" t="s">
        <v>40284</v>
      </c>
      <c r="M3164" t="s">
        <v>41959</v>
      </c>
      <c r="N3164" t="s">
        <v>44759</v>
      </c>
      <c r="O3164" t="s">
        <v>44760</v>
      </c>
      <c r="P3164">
        <v>0</v>
      </c>
      <c r="Q3164">
        <v>0</v>
      </c>
      <c r="R3164" t="s">
        <v>44762</v>
      </c>
      <c r="S3164" t="s">
        <v>44863</v>
      </c>
      <c r="T3164" t="s">
        <v>46383</v>
      </c>
      <c r="U3164" t="s">
        <v>49652</v>
      </c>
      <c r="W3164" t="s">
        <v>41959</v>
      </c>
      <c r="X3164" t="s">
        <v>44763</v>
      </c>
    </row>
    <row r="3165" spans="1:24">
      <c r="A3165">
        <f>HYPERLINK("https://www.philgeps.gov.ph/GEPSNONPILOT/Tender/SplashBidNoticeAbstractUI.aspx?menuIndex=3&amp;refID=7149596&amp;Result=3","7149596")</f>
        <v>0</v>
      </c>
      <c r="B3165" t="s">
        <v>1314</v>
      </c>
      <c r="C3165" t="s">
        <v>6797</v>
      </c>
      <c r="D3165" t="s">
        <v>18019</v>
      </c>
      <c r="E3165" t="s">
        <v>20901</v>
      </c>
      <c r="F3165" t="s">
        <v>30900</v>
      </c>
      <c r="G3165" t="s">
        <v>30908</v>
      </c>
      <c r="H3165" t="s">
        <v>7411</v>
      </c>
      <c r="I3165" t="s">
        <v>7411</v>
      </c>
      <c r="J3165" t="s">
        <v>33298</v>
      </c>
      <c r="K3165" t="s">
        <v>40289</v>
      </c>
      <c r="L3165" t="s">
        <v>1314</v>
      </c>
      <c r="M3165" t="s">
        <v>41932</v>
      </c>
      <c r="N3165" t="s">
        <v>44759</v>
      </c>
      <c r="O3165" t="s">
        <v>44760</v>
      </c>
      <c r="P3165">
        <v>0</v>
      </c>
      <c r="Q3165">
        <v>0</v>
      </c>
      <c r="R3165" t="s">
        <v>44762</v>
      </c>
      <c r="S3165" t="s">
        <v>44863</v>
      </c>
      <c r="T3165" t="s">
        <v>46425</v>
      </c>
      <c r="U3165" t="s">
        <v>49653</v>
      </c>
      <c r="W3165" t="s">
        <v>41932</v>
      </c>
      <c r="X3165" t="s">
        <v>44763</v>
      </c>
    </row>
    <row r="3166" spans="1:24">
      <c r="A3166">
        <f>HYPERLINK("https://www.philgeps.gov.ph/GEPSNONPILOT/Tender/SplashBidNoticeAbstractUI.aspx?menuIndex=3&amp;refID=7149591&amp;Result=3","7149591")</f>
        <v>0</v>
      </c>
      <c r="B3166" t="s">
        <v>128</v>
      </c>
      <c r="C3166" t="s">
        <v>6798</v>
      </c>
      <c r="D3166" t="s">
        <v>17964</v>
      </c>
      <c r="E3166" t="s">
        <v>20902</v>
      </c>
      <c r="F3166" t="s">
        <v>30900</v>
      </c>
      <c r="G3166" t="s">
        <v>30909</v>
      </c>
      <c r="H3166" t="s">
        <v>30916</v>
      </c>
      <c r="I3166" t="s">
        <v>30935</v>
      </c>
      <c r="J3166" t="s">
        <v>31495</v>
      </c>
      <c r="K3166" t="s">
        <v>40285</v>
      </c>
      <c r="M3166" t="s">
        <v>40675</v>
      </c>
      <c r="N3166" t="s">
        <v>44759</v>
      </c>
      <c r="O3166" t="s">
        <v>44760</v>
      </c>
      <c r="P3166">
        <v>0</v>
      </c>
      <c r="Q3166">
        <v>1</v>
      </c>
      <c r="R3166" t="s">
        <v>44762</v>
      </c>
      <c r="S3166" t="s">
        <v>44863</v>
      </c>
      <c r="T3166" t="s">
        <v>46376</v>
      </c>
      <c r="U3166" t="s">
        <v>49654</v>
      </c>
      <c r="V3166" t="s">
        <v>59119</v>
      </c>
      <c r="W3166" t="s">
        <v>40675</v>
      </c>
      <c r="X3166" t="s">
        <v>44763</v>
      </c>
    </row>
    <row r="3167" spans="1:24">
      <c r="A3167">
        <f>HYPERLINK("https://www.philgeps.gov.ph/GEPSNONPILOT/Tender/SplashBidNoticeAbstractUI.aspx?menuIndex=3&amp;refID=7149589&amp;Result=3","7149589")</f>
        <v>0</v>
      </c>
      <c r="B3167" t="s">
        <v>1339</v>
      </c>
      <c r="C3167" t="s">
        <v>6799</v>
      </c>
      <c r="D3167" t="s">
        <v>18001</v>
      </c>
      <c r="E3167" t="s">
        <v>20903</v>
      </c>
      <c r="F3167" t="s">
        <v>30900</v>
      </c>
      <c r="G3167" t="s">
        <v>30907</v>
      </c>
      <c r="H3167" t="s">
        <v>30915</v>
      </c>
      <c r="I3167" t="s">
        <v>30919</v>
      </c>
      <c r="J3167" t="s">
        <v>33299</v>
      </c>
      <c r="K3167" t="s">
        <v>40293</v>
      </c>
      <c r="M3167" t="s">
        <v>41960</v>
      </c>
      <c r="N3167" t="s">
        <v>44759</v>
      </c>
      <c r="O3167" t="s">
        <v>44760</v>
      </c>
      <c r="P3167">
        <v>0</v>
      </c>
      <c r="Q3167">
        <v>0</v>
      </c>
      <c r="R3167" t="s">
        <v>44762</v>
      </c>
      <c r="S3167" t="s">
        <v>44863</v>
      </c>
      <c r="T3167" t="s">
        <v>46595</v>
      </c>
      <c r="U3167" t="s">
        <v>49655</v>
      </c>
      <c r="W3167" t="s">
        <v>41960</v>
      </c>
      <c r="X3167" t="s">
        <v>44763</v>
      </c>
    </row>
    <row r="3168" spans="1:24">
      <c r="A3168">
        <f>HYPERLINK("https://www.philgeps.gov.ph/GEPSNONPILOT/Tender/SplashBidNoticeAbstractUI.aspx?menuIndex=3&amp;refID=7149594&amp;Result=3","7149594")</f>
        <v>0</v>
      </c>
      <c r="B3168" t="s">
        <v>1240</v>
      </c>
      <c r="C3168" t="s">
        <v>4358</v>
      </c>
      <c r="D3168" t="s">
        <v>18010</v>
      </c>
      <c r="E3168" t="s">
        <v>20904</v>
      </c>
      <c r="F3168" t="s">
        <v>30900</v>
      </c>
      <c r="G3168" t="s">
        <v>30907</v>
      </c>
      <c r="H3168" t="s">
        <v>30915</v>
      </c>
      <c r="I3168" t="s">
        <v>30919</v>
      </c>
      <c r="J3168" t="s">
        <v>31096</v>
      </c>
      <c r="K3168" t="s">
        <v>40287</v>
      </c>
      <c r="M3168" t="s">
        <v>41852</v>
      </c>
      <c r="N3168" t="s">
        <v>44759</v>
      </c>
      <c r="O3168" t="s">
        <v>44760</v>
      </c>
      <c r="P3168">
        <v>0</v>
      </c>
      <c r="Q3168">
        <v>2</v>
      </c>
      <c r="R3168" t="s">
        <v>44762</v>
      </c>
      <c r="S3168" t="s">
        <v>44863</v>
      </c>
      <c r="T3168" t="s">
        <v>46352</v>
      </c>
      <c r="U3168" t="s">
        <v>49656</v>
      </c>
      <c r="V3168" t="s">
        <v>59475</v>
      </c>
      <c r="W3168" t="s">
        <v>41852</v>
      </c>
      <c r="X3168" t="s">
        <v>44763</v>
      </c>
    </row>
    <row r="3169" spans="1:24">
      <c r="A3169">
        <f>HYPERLINK("https://www.philgeps.gov.ph/GEPSNONPILOT/Tender/SplashBidNoticeAbstractUI.aspx?menuIndex=3&amp;refID=7149587&amp;Result=3","7149587")</f>
        <v>0</v>
      </c>
      <c r="B3169" t="s">
        <v>1236</v>
      </c>
      <c r="C3169" t="s">
        <v>6800</v>
      </c>
      <c r="D3169" t="s">
        <v>17998</v>
      </c>
      <c r="E3169" t="s">
        <v>20905</v>
      </c>
      <c r="F3169" t="s">
        <v>30900</v>
      </c>
      <c r="G3169" t="s">
        <v>30908</v>
      </c>
      <c r="H3169" t="s">
        <v>30916</v>
      </c>
      <c r="I3169" t="s">
        <v>30947</v>
      </c>
      <c r="J3169" t="s">
        <v>33300</v>
      </c>
      <c r="K3169" t="s">
        <v>40286</v>
      </c>
      <c r="L3169" t="s">
        <v>1236</v>
      </c>
      <c r="M3169" t="s">
        <v>41848</v>
      </c>
      <c r="N3169" t="s">
        <v>44759</v>
      </c>
      <c r="O3169" t="s">
        <v>44760</v>
      </c>
      <c r="P3169">
        <v>0</v>
      </c>
      <c r="Q3169">
        <v>1</v>
      </c>
      <c r="R3169" t="s">
        <v>44762</v>
      </c>
      <c r="S3169" t="s">
        <v>44863</v>
      </c>
      <c r="T3169" t="s">
        <v>46389</v>
      </c>
      <c r="U3169" t="s">
        <v>49657</v>
      </c>
      <c r="V3169" t="s">
        <v>59443</v>
      </c>
      <c r="W3169" t="s">
        <v>41848</v>
      </c>
      <c r="X3169" t="s">
        <v>44763</v>
      </c>
    </row>
    <row r="3170" spans="1:24">
      <c r="A3170">
        <f>HYPERLINK("https://www.philgeps.gov.ph/GEPSNONPILOT/Tender/SplashBidNoticeAbstractUI.aspx?menuIndex=3&amp;refID=7149588&amp;Result=3","7149588")</f>
        <v>0</v>
      </c>
      <c r="B3170" t="s">
        <v>1100</v>
      </c>
      <c r="C3170" t="s">
        <v>6801</v>
      </c>
      <c r="D3170" t="s">
        <v>18040</v>
      </c>
      <c r="E3170" t="s">
        <v>20906</v>
      </c>
      <c r="F3170" t="s">
        <v>30900</v>
      </c>
      <c r="G3170" t="s">
        <v>30907</v>
      </c>
      <c r="H3170" t="s">
        <v>30916</v>
      </c>
      <c r="I3170" t="s">
        <v>10847</v>
      </c>
      <c r="J3170" t="s">
        <v>33301</v>
      </c>
      <c r="K3170" t="s">
        <v>40289</v>
      </c>
      <c r="M3170" t="s">
        <v>41700</v>
      </c>
      <c r="N3170" t="s">
        <v>44759</v>
      </c>
      <c r="O3170" t="s">
        <v>44760</v>
      </c>
      <c r="P3170">
        <v>0</v>
      </c>
      <c r="Q3170">
        <v>2</v>
      </c>
      <c r="R3170" t="s">
        <v>44762</v>
      </c>
      <c r="S3170" t="s">
        <v>44863</v>
      </c>
      <c r="T3170" t="s">
        <v>46540</v>
      </c>
      <c r="U3170" t="s">
        <v>49658</v>
      </c>
      <c r="W3170" t="s">
        <v>41700</v>
      </c>
      <c r="X3170" t="s">
        <v>44763</v>
      </c>
    </row>
    <row r="3171" spans="1:24">
      <c r="A3171">
        <f>HYPERLINK("https://www.philgeps.gov.ph/GEPSNONPILOT/Tender/SplashBidNoticeAbstractUI.aspx?menuIndex=3&amp;refID=7149586&amp;Result=3","7149586")</f>
        <v>0</v>
      </c>
      <c r="B3171" t="s">
        <v>750</v>
      </c>
      <c r="C3171" t="s">
        <v>6802</v>
      </c>
      <c r="D3171" t="s">
        <v>17961</v>
      </c>
      <c r="E3171" t="s">
        <v>20907</v>
      </c>
      <c r="F3171" t="s">
        <v>30900</v>
      </c>
      <c r="G3171" t="s">
        <v>30908</v>
      </c>
      <c r="H3171" t="s">
        <v>30916</v>
      </c>
      <c r="I3171" t="s">
        <v>6746</v>
      </c>
      <c r="J3171" t="s">
        <v>31139</v>
      </c>
      <c r="K3171" t="s">
        <v>40286</v>
      </c>
      <c r="M3171" t="s">
        <v>41961</v>
      </c>
      <c r="N3171" t="s">
        <v>44759</v>
      </c>
      <c r="O3171" t="s">
        <v>44760</v>
      </c>
      <c r="P3171">
        <v>0</v>
      </c>
      <c r="Q3171">
        <v>0</v>
      </c>
      <c r="R3171" t="s">
        <v>44762</v>
      </c>
      <c r="S3171" t="s">
        <v>44863</v>
      </c>
      <c r="T3171" t="s">
        <v>46382</v>
      </c>
      <c r="U3171" t="s">
        <v>49659</v>
      </c>
      <c r="W3171" t="s">
        <v>41961</v>
      </c>
      <c r="X3171" t="s">
        <v>44763</v>
      </c>
    </row>
    <row r="3172" spans="1:24">
      <c r="A3172">
        <f>HYPERLINK("https://www.philgeps.gov.ph/GEPSNONPILOT/Tender/SplashBidNoticeAbstractUI.aspx?menuIndex=3&amp;refID=7149583&amp;Result=3","7149583")</f>
        <v>0</v>
      </c>
      <c r="B3172" t="s">
        <v>700</v>
      </c>
      <c r="C3172" t="s">
        <v>6803</v>
      </c>
      <c r="D3172" t="s">
        <v>17961</v>
      </c>
      <c r="E3172" t="s">
        <v>20908</v>
      </c>
      <c r="F3172" t="s">
        <v>30900</v>
      </c>
      <c r="G3172" t="s">
        <v>30908</v>
      </c>
      <c r="H3172" t="s">
        <v>30915</v>
      </c>
      <c r="I3172" t="s">
        <v>30919</v>
      </c>
      <c r="J3172" t="s">
        <v>31070</v>
      </c>
      <c r="K3172" t="s">
        <v>40283</v>
      </c>
      <c r="M3172" t="s">
        <v>41264</v>
      </c>
      <c r="N3172" t="s">
        <v>44759</v>
      </c>
      <c r="O3172" t="s">
        <v>44760</v>
      </c>
      <c r="P3172">
        <v>0</v>
      </c>
      <c r="Q3172">
        <v>0</v>
      </c>
      <c r="R3172" t="s">
        <v>44762</v>
      </c>
      <c r="S3172" t="s">
        <v>44863</v>
      </c>
      <c r="T3172" t="s">
        <v>46363</v>
      </c>
      <c r="U3172" t="s">
        <v>49660</v>
      </c>
      <c r="V3172" t="s">
        <v>59283</v>
      </c>
      <c r="W3172" t="s">
        <v>41264</v>
      </c>
      <c r="X3172" t="s">
        <v>44763</v>
      </c>
    </row>
    <row r="3173" spans="1:24">
      <c r="A3173">
        <f>HYPERLINK("https://www.philgeps.gov.ph/GEPSNONPILOT/Tender/SplashBidNoticeAbstractUI.aspx?menuIndex=3&amp;refID=7149581&amp;Result=3","7149581")</f>
        <v>0</v>
      </c>
      <c r="B3173" t="s">
        <v>1333</v>
      </c>
      <c r="C3173" t="s">
        <v>6776</v>
      </c>
      <c r="D3173" t="s">
        <v>18034</v>
      </c>
      <c r="E3173" t="s">
        <v>20909</v>
      </c>
      <c r="F3173" t="s">
        <v>30900</v>
      </c>
      <c r="G3173" t="s">
        <v>30908</v>
      </c>
      <c r="H3173" t="s">
        <v>30916</v>
      </c>
      <c r="I3173" t="s">
        <v>30951</v>
      </c>
      <c r="J3173" t="s">
        <v>33302</v>
      </c>
      <c r="K3173" t="s">
        <v>40289</v>
      </c>
      <c r="M3173" t="s">
        <v>41953</v>
      </c>
      <c r="N3173" t="s">
        <v>44759</v>
      </c>
      <c r="O3173" t="s">
        <v>44760</v>
      </c>
      <c r="P3173">
        <v>0</v>
      </c>
      <c r="Q3173">
        <v>1</v>
      </c>
      <c r="R3173" t="s">
        <v>44762</v>
      </c>
      <c r="S3173" t="s">
        <v>44863</v>
      </c>
      <c r="T3173" t="s">
        <v>46376</v>
      </c>
      <c r="U3173" t="s">
        <v>49661</v>
      </c>
      <c r="W3173" t="s">
        <v>41953</v>
      </c>
      <c r="X3173" t="s">
        <v>44763</v>
      </c>
    </row>
    <row r="3174" spans="1:24">
      <c r="A3174">
        <f>HYPERLINK("https://www.philgeps.gov.ph/GEPSNONPILOT/Tender/SplashBidNoticeAbstractUI.aspx?menuIndex=3&amp;refID=7149580&amp;Result=3","7149580")</f>
        <v>0</v>
      </c>
      <c r="B3174" t="s">
        <v>1330</v>
      </c>
      <c r="C3174" t="s">
        <v>6804</v>
      </c>
      <c r="D3174" t="s">
        <v>17985</v>
      </c>
      <c r="E3174" t="s">
        <v>20674</v>
      </c>
      <c r="F3174" t="s">
        <v>30900</v>
      </c>
      <c r="G3174" t="s">
        <v>30908</v>
      </c>
      <c r="H3174" t="s">
        <v>30916</v>
      </c>
      <c r="I3174" t="s">
        <v>30923</v>
      </c>
      <c r="J3174" t="s">
        <v>31341</v>
      </c>
      <c r="K3174" t="s">
        <v>40287</v>
      </c>
      <c r="M3174" t="s">
        <v>41950</v>
      </c>
      <c r="N3174" t="s">
        <v>44759</v>
      </c>
      <c r="O3174" t="s">
        <v>44760</v>
      </c>
      <c r="P3174">
        <v>0</v>
      </c>
      <c r="Q3174">
        <v>12</v>
      </c>
      <c r="R3174" t="s">
        <v>44762</v>
      </c>
      <c r="S3174" t="s">
        <v>44863</v>
      </c>
      <c r="T3174" t="s">
        <v>46362</v>
      </c>
      <c r="U3174" t="s">
        <v>49629</v>
      </c>
      <c r="W3174" t="s">
        <v>41950</v>
      </c>
      <c r="X3174" t="s">
        <v>44763</v>
      </c>
    </row>
    <row r="3175" spans="1:24">
      <c r="A3175">
        <f>HYPERLINK("https://www.philgeps.gov.ph/GEPSNONPILOT/Tender/SplashBidNoticeAbstractUI.aspx?menuIndex=3&amp;refID=7149579&amp;Result=3","7149579")</f>
        <v>0</v>
      </c>
      <c r="B3175" t="s">
        <v>1320</v>
      </c>
      <c r="C3175" t="s">
        <v>6805</v>
      </c>
      <c r="D3175" t="s">
        <v>17989</v>
      </c>
      <c r="E3175" t="s">
        <v>20910</v>
      </c>
      <c r="F3175" t="s">
        <v>30900</v>
      </c>
      <c r="G3175" t="s">
        <v>30907</v>
      </c>
      <c r="H3175" t="s">
        <v>30916</v>
      </c>
      <c r="I3175" t="s">
        <v>30933</v>
      </c>
      <c r="J3175" t="s">
        <v>31341</v>
      </c>
      <c r="K3175" t="s">
        <v>40286</v>
      </c>
      <c r="M3175" t="s">
        <v>41939</v>
      </c>
      <c r="N3175" t="s">
        <v>44759</v>
      </c>
      <c r="O3175" t="s">
        <v>44760</v>
      </c>
      <c r="P3175">
        <v>0</v>
      </c>
      <c r="Q3175">
        <v>0</v>
      </c>
      <c r="R3175" t="s">
        <v>44762</v>
      </c>
      <c r="S3175" t="s">
        <v>44863</v>
      </c>
      <c r="T3175" t="s">
        <v>46395</v>
      </c>
      <c r="U3175" t="s">
        <v>49662</v>
      </c>
      <c r="W3175" t="s">
        <v>41939</v>
      </c>
      <c r="X3175" t="s">
        <v>44763</v>
      </c>
    </row>
    <row r="3176" spans="1:24">
      <c r="A3176">
        <f>HYPERLINK("https://www.philgeps.gov.ph/GEPSNONPILOT/Tender/SplashBidNoticeAbstractUI.aspx?menuIndex=3&amp;refID=7149592&amp;Result=3","7149592")</f>
        <v>0</v>
      </c>
      <c r="B3176" t="s">
        <v>1340</v>
      </c>
      <c r="C3176" t="s">
        <v>6806</v>
      </c>
      <c r="D3176" t="s">
        <v>17951</v>
      </c>
      <c r="E3176" t="s">
        <v>18752</v>
      </c>
      <c r="F3176" t="s">
        <v>30900</v>
      </c>
      <c r="G3176" t="s">
        <v>30907</v>
      </c>
      <c r="H3176" t="s">
        <v>30916</v>
      </c>
      <c r="I3176" t="s">
        <v>8123</v>
      </c>
      <c r="J3176" t="s">
        <v>33303</v>
      </c>
      <c r="K3176" t="s">
        <v>40283</v>
      </c>
      <c r="M3176" t="s">
        <v>41962</v>
      </c>
      <c r="N3176" t="s">
        <v>44759</v>
      </c>
      <c r="O3176" t="s">
        <v>44760</v>
      </c>
      <c r="P3176">
        <v>0</v>
      </c>
      <c r="Q3176">
        <v>0</v>
      </c>
      <c r="R3176" t="s">
        <v>44762</v>
      </c>
      <c r="S3176" t="s">
        <v>44863</v>
      </c>
      <c r="T3176" t="s">
        <v>46364</v>
      </c>
      <c r="U3176" t="s">
        <v>49663</v>
      </c>
      <c r="W3176" t="s">
        <v>41962</v>
      </c>
      <c r="X3176" t="s">
        <v>44763</v>
      </c>
    </row>
    <row r="3177" spans="1:24">
      <c r="A3177">
        <f>HYPERLINK("https://www.philgeps.gov.ph/GEPSNONPILOT/Tender/SplashBidNoticeAbstractUI.aspx?menuIndex=3&amp;refID=7149595&amp;Result=3","7149595")</f>
        <v>0</v>
      </c>
      <c r="B3177" t="s">
        <v>1341</v>
      </c>
      <c r="C3177" t="s">
        <v>6807</v>
      </c>
      <c r="D3177" t="s">
        <v>17971</v>
      </c>
      <c r="E3177" t="s">
        <v>18282</v>
      </c>
      <c r="F3177" t="s">
        <v>30900</v>
      </c>
      <c r="G3177" t="s">
        <v>30912</v>
      </c>
      <c r="H3177" t="s">
        <v>30916</v>
      </c>
      <c r="I3177" t="s">
        <v>6396</v>
      </c>
      <c r="J3177" t="s">
        <v>33304</v>
      </c>
      <c r="K3177" t="s">
        <v>40285</v>
      </c>
      <c r="L3177" t="s">
        <v>1341</v>
      </c>
      <c r="M3177" t="s">
        <v>41963</v>
      </c>
      <c r="N3177" t="s">
        <v>44759</v>
      </c>
      <c r="O3177" t="s">
        <v>44760</v>
      </c>
      <c r="P3177">
        <v>0</v>
      </c>
      <c r="Q3177">
        <v>0</v>
      </c>
      <c r="R3177" t="s">
        <v>44762</v>
      </c>
      <c r="S3177" t="s">
        <v>44863</v>
      </c>
      <c r="T3177" t="s">
        <v>46398</v>
      </c>
      <c r="U3177" t="s">
        <v>49664</v>
      </c>
      <c r="W3177" t="s">
        <v>41963</v>
      </c>
      <c r="X3177" t="s">
        <v>44763</v>
      </c>
    </row>
    <row r="3178" spans="1:24">
      <c r="A3178">
        <f>HYPERLINK("https://www.philgeps.gov.ph/GEPSNONPILOT/Tender/SplashBidNoticeAbstractUI.aspx?menuIndex=3&amp;refID=7149603&amp;Result=3","7149603")</f>
        <v>0</v>
      </c>
      <c r="B3178" t="s">
        <v>1146</v>
      </c>
      <c r="C3178" t="s">
        <v>6781</v>
      </c>
      <c r="D3178" t="s">
        <v>18025</v>
      </c>
      <c r="E3178" t="s">
        <v>20911</v>
      </c>
      <c r="F3178" t="s">
        <v>30900</v>
      </c>
      <c r="G3178" t="s">
        <v>30910</v>
      </c>
      <c r="H3178" t="s">
        <v>30916</v>
      </c>
      <c r="I3178" t="s">
        <v>30934</v>
      </c>
      <c r="J3178" t="s">
        <v>31206</v>
      </c>
      <c r="K3178" t="s">
        <v>40287</v>
      </c>
      <c r="M3178" t="s">
        <v>41752</v>
      </c>
      <c r="N3178" t="s">
        <v>44759</v>
      </c>
      <c r="O3178" t="s">
        <v>44760</v>
      </c>
      <c r="P3178">
        <v>0</v>
      </c>
      <c r="Q3178">
        <v>4</v>
      </c>
      <c r="R3178" t="s">
        <v>44762</v>
      </c>
      <c r="S3178" t="s">
        <v>44863</v>
      </c>
      <c r="T3178" t="s">
        <v>46421</v>
      </c>
      <c r="U3178" t="s">
        <v>49637</v>
      </c>
      <c r="W3178" t="s">
        <v>41752</v>
      </c>
      <c r="X3178" t="s">
        <v>44763</v>
      </c>
    </row>
    <row r="3179" spans="1:24">
      <c r="A3179">
        <f>HYPERLINK("https://www.philgeps.gov.ph/GEPSNONPILOT/Tender/SplashBidNoticeAbstractUI.aspx?menuIndex=3&amp;refID=7149623&amp;Result=3","7149623")</f>
        <v>0</v>
      </c>
      <c r="B3179" t="s">
        <v>1251</v>
      </c>
      <c r="C3179" t="s">
        <v>6808</v>
      </c>
      <c r="D3179" t="s">
        <v>17963</v>
      </c>
      <c r="E3179" t="s">
        <v>20912</v>
      </c>
      <c r="F3179" t="s">
        <v>30900</v>
      </c>
      <c r="G3179" t="s">
        <v>30908</v>
      </c>
      <c r="H3179" t="s">
        <v>30916</v>
      </c>
      <c r="I3179" t="s">
        <v>6396</v>
      </c>
      <c r="J3179" t="s">
        <v>33305</v>
      </c>
      <c r="K3179" t="s">
        <v>40286</v>
      </c>
      <c r="M3179" t="s">
        <v>41863</v>
      </c>
      <c r="N3179" t="s">
        <v>44759</v>
      </c>
      <c r="O3179" t="s">
        <v>44760</v>
      </c>
      <c r="P3179">
        <v>0</v>
      </c>
      <c r="Q3179">
        <v>4</v>
      </c>
      <c r="R3179" t="s">
        <v>44762</v>
      </c>
      <c r="S3179" t="s">
        <v>44863</v>
      </c>
      <c r="T3179" t="s">
        <v>46395</v>
      </c>
      <c r="U3179" t="s">
        <v>49665</v>
      </c>
      <c r="W3179" t="s">
        <v>41863</v>
      </c>
      <c r="X3179" t="s">
        <v>44763</v>
      </c>
    </row>
    <row r="3180" spans="1:24">
      <c r="A3180">
        <f>HYPERLINK("https://www.philgeps.gov.ph/GEPSNONPILOT/Tender/SplashBidNoticeAbstractUI.aspx?menuIndex=3&amp;refID=7149593&amp;Result=3","7149593")</f>
        <v>0</v>
      </c>
      <c r="B3180" t="s">
        <v>1342</v>
      </c>
      <c r="C3180" t="s">
        <v>6809</v>
      </c>
      <c r="D3180" t="s">
        <v>17994</v>
      </c>
      <c r="E3180" t="s">
        <v>20913</v>
      </c>
      <c r="F3180" t="s">
        <v>30900</v>
      </c>
      <c r="G3180" t="s">
        <v>30909</v>
      </c>
      <c r="H3180" t="s">
        <v>30916</v>
      </c>
      <c r="I3180" t="s">
        <v>30921</v>
      </c>
      <c r="J3180" t="s">
        <v>33306</v>
      </c>
      <c r="K3180" t="s">
        <v>40283</v>
      </c>
      <c r="M3180" t="s">
        <v>41964</v>
      </c>
      <c r="N3180" t="s">
        <v>44759</v>
      </c>
      <c r="O3180" t="s">
        <v>44760</v>
      </c>
      <c r="P3180">
        <v>0</v>
      </c>
      <c r="Q3180">
        <v>0</v>
      </c>
      <c r="R3180" t="s">
        <v>44762</v>
      </c>
      <c r="S3180" t="s">
        <v>44863</v>
      </c>
      <c r="T3180" t="s">
        <v>46483</v>
      </c>
      <c r="U3180" t="s">
        <v>49666</v>
      </c>
      <c r="W3180" t="s">
        <v>41964</v>
      </c>
      <c r="X3180" t="s">
        <v>44763</v>
      </c>
    </row>
    <row r="3181" spans="1:24">
      <c r="A3181">
        <f>HYPERLINK("https://www.philgeps.gov.ph/GEPSNONPILOT/Tender/SplashBidNoticeAbstractUI.aspx?menuIndex=3&amp;refID=7149598&amp;Result=3","7149598")</f>
        <v>0</v>
      </c>
      <c r="B3181" t="s">
        <v>1343</v>
      </c>
      <c r="C3181" t="s">
        <v>6810</v>
      </c>
      <c r="D3181" t="s">
        <v>17959</v>
      </c>
      <c r="E3181" t="s">
        <v>19274</v>
      </c>
      <c r="F3181" t="s">
        <v>30900</v>
      </c>
      <c r="G3181" t="s">
        <v>30907</v>
      </c>
      <c r="H3181" t="s">
        <v>30916</v>
      </c>
      <c r="I3181" t="s">
        <v>8365</v>
      </c>
      <c r="J3181" t="s">
        <v>33307</v>
      </c>
      <c r="K3181" t="s">
        <v>40285</v>
      </c>
      <c r="M3181" t="s">
        <v>41965</v>
      </c>
      <c r="N3181" t="s">
        <v>44759</v>
      </c>
      <c r="O3181" t="s">
        <v>44760</v>
      </c>
      <c r="P3181">
        <v>0</v>
      </c>
      <c r="Q3181">
        <v>1</v>
      </c>
      <c r="R3181" t="s">
        <v>44762</v>
      </c>
      <c r="S3181" t="s">
        <v>44863</v>
      </c>
      <c r="T3181" t="s">
        <v>46404</v>
      </c>
      <c r="U3181" t="s">
        <v>49667</v>
      </c>
      <c r="W3181" t="s">
        <v>41965</v>
      </c>
      <c r="X3181" t="s">
        <v>44763</v>
      </c>
    </row>
    <row r="3182" spans="1:24">
      <c r="A3182">
        <f>HYPERLINK("https://www.philgeps.gov.ph/GEPSNONPILOT/Tender/SplashBidNoticeAbstractUI.aspx?menuIndex=3&amp;refID=7149604&amp;Result=3","7149604")</f>
        <v>0</v>
      </c>
      <c r="B3182" t="s">
        <v>1293</v>
      </c>
      <c r="C3182" t="s">
        <v>6811</v>
      </c>
      <c r="D3182" t="s">
        <v>18002</v>
      </c>
      <c r="E3182" t="s">
        <v>18304</v>
      </c>
      <c r="F3182" t="s">
        <v>30900</v>
      </c>
      <c r="G3182" t="s">
        <v>30909</v>
      </c>
      <c r="H3182" t="s">
        <v>30916</v>
      </c>
      <c r="I3182" t="s">
        <v>30929</v>
      </c>
      <c r="J3182" t="s">
        <v>31581</v>
      </c>
      <c r="K3182" t="s">
        <v>40281</v>
      </c>
      <c r="M3182" t="s">
        <v>41910</v>
      </c>
      <c r="N3182" t="s">
        <v>44759</v>
      </c>
      <c r="O3182" t="s">
        <v>44760</v>
      </c>
      <c r="P3182">
        <v>0</v>
      </c>
      <c r="Q3182">
        <v>1</v>
      </c>
      <c r="R3182" t="s">
        <v>44762</v>
      </c>
      <c r="S3182" t="s">
        <v>44863</v>
      </c>
      <c r="T3182" t="s">
        <v>46571</v>
      </c>
      <c r="U3182" t="s">
        <v>49668</v>
      </c>
      <c r="W3182" t="s">
        <v>41910</v>
      </c>
      <c r="X3182" t="s">
        <v>44763</v>
      </c>
    </row>
    <row r="3183" spans="1:24">
      <c r="A3183">
        <f>HYPERLINK("https://www.philgeps.gov.ph/GEPSNONPILOT/Tender/SplashBidNoticeAbstractUI.aspx?menuIndex=3&amp;refID=7149624&amp;Result=3","7149624")</f>
        <v>0</v>
      </c>
      <c r="B3183" t="s">
        <v>83</v>
      </c>
      <c r="C3183" t="s">
        <v>6812</v>
      </c>
      <c r="D3183" t="s">
        <v>17990</v>
      </c>
      <c r="E3183" t="s">
        <v>20914</v>
      </c>
      <c r="F3183" t="s">
        <v>30900</v>
      </c>
      <c r="G3183" t="s">
        <v>30909</v>
      </c>
      <c r="H3183" t="s">
        <v>30916</v>
      </c>
      <c r="I3183" t="s">
        <v>30970</v>
      </c>
      <c r="J3183" t="s">
        <v>31096</v>
      </c>
      <c r="K3183" t="s">
        <v>40287</v>
      </c>
      <c r="M3183" t="s">
        <v>40630</v>
      </c>
      <c r="N3183" t="s">
        <v>44759</v>
      </c>
      <c r="O3183" t="s">
        <v>44760</v>
      </c>
      <c r="P3183">
        <v>0</v>
      </c>
      <c r="Q3183">
        <v>0</v>
      </c>
      <c r="R3183" t="s">
        <v>44762</v>
      </c>
      <c r="S3183" t="s">
        <v>44863</v>
      </c>
      <c r="T3183" t="s">
        <v>46391</v>
      </c>
      <c r="U3183" t="s">
        <v>49669</v>
      </c>
      <c r="W3183" t="s">
        <v>60816</v>
      </c>
      <c r="X3183" t="s">
        <v>44763</v>
      </c>
    </row>
    <row r="3184" spans="1:24">
      <c r="A3184">
        <f>HYPERLINK("https://www.philgeps.gov.ph/GEPSNONPILOT/Tender/SplashBidNoticeAbstractUI.aspx?menuIndex=3&amp;refID=7149618&amp;Result=3","7149618")</f>
        <v>0</v>
      </c>
      <c r="B3184" t="s">
        <v>1344</v>
      </c>
      <c r="C3184" t="s">
        <v>6813</v>
      </c>
      <c r="D3184" t="s">
        <v>17996</v>
      </c>
      <c r="E3184" t="s">
        <v>20915</v>
      </c>
      <c r="F3184" t="s">
        <v>30900</v>
      </c>
      <c r="G3184" t="s">
        <v>30908</v>
      </c>
      <c r="H3184" t="s">
        <v>30916</v>
      </c>
      <c r="I3184" t="s">
        <v>11785</v>
      </c>
      <c r="J3184" t="s">
        <v>31898</v>
      </c>
      <c r="K3184" t="s">
        <v>40289</v>
      </c>
      <c r="M3184" t="s">
        <v>41966</v>
      </c>
      <c r="N3184" t="s">
        <v>44759</v>
      </c>
      <c r="O3184" t="s">
        <v>44760</v>
      </c>
      <c r="P3184">
        <v>0</v>
      </c>
      <c r="Q3184">
        <v>1</v>
      </c>
      <c r="R3184" t="s">
        <v>44762</v>
      </c>
      <c r="S3184" t="s">
        <v>44863</v>
      </c>
      <c r="T3184" t="s">
        <v>46414</v>
      </c>
      <c r="U3184" t="s">
        <v>49670</v>
      </c>
      <c r="W3184" t="s">
        <v>60859</v>
      </c>
      <c r="X3184" t="s">
        <v>44763</v>
      </c>
    </row>
    <row r="3185" spans="1:24">
      <c r="A3185">
        <f>HYPERLINK("https://www.philgeps.gov.ph/GEPSNONPILOT/Tender/SplashBidNoticeAbstractUI.aspx?menuIndex=3&amp;refID=7149622&amp;Result=3","7149622")</f>
        <v>0</v>
      </c>
      <c r="B3185" t="s">
        <v>442</v>
      </c>
      <c r="C3185" t="s">
        <v>6814</v>
      </c>
      <c r="D3185" t="s">
        <v>17994</v>
      </c>
      <c r="E3185" t="s">
        <v>20916</v>
      </c>
      <c r="F3185" t="s">
        <v>30900</v>
      </c>
      <c r="G3185" t="s">
        <v>30909</v>
      </c>
      <c r="H3185" t="s">
        <v>30916</v>
      </c>
      <c r="I3185" t="s">
        <v>4545</v>
      </c>
      <c r="J3185" t="s">
        <v>31447</v>
      </c>
      <c r="K3185" t="s">
        <v>40286</v>
      </c>
      <c r="M3185" t="s">
        <v>40999</v>
      </c>
      <c r="N3185" t="s">
        <v>44759</v>
      </c>
      <c r="O3185" t="s">
        <v>44760</v>
      </c>
      <c r="P3185">
        <v>0</v>
      </c>
      <c r="Q3185">
        <v>0</v>
      </c>
      <c r="R3185" t="s">
        <v>44762</v>
      </c>
      <c r="S3185" t="s">
        <v>44863</v>
      </c>
      <c r="T3185" t="s">
        <v>46440</v>
      </c>
      <c r="U3185" t="s">
        <v>49671</v>
      </c>
      <c r="W3185" t="s">
        <v>40999</v>
      </c>
      <c r="X3185" t="s">
        <v>44763</v>
      </c>
    </row>
    <row r="3186" spans="1:24">
      <c r="A3186">
        <f>HYPERLINK("https://www.philgeps.gov.ph/GEPSNONPILOT/Tender/SplashBidNoticeAbstractUI.aspx?menuIndex=3&amp;refID=7149619&amp;Result=3","7149619")</f>
        <v>0</v>
      </c>
      <c r="B3186" t="s">
        <v>368</v>
      </c>
      <c r="C3186" t="s">
        <v>6815</v>
      </c>
      <c r="E3186" t="s">
        <v>20917</v>
      </c>
      <c r="F3186" t="s">
        <v>30900</v>
      </c>
      <c r="G3186" t="s">
        <v>30908</v>
      </c>
      <c r="H3186" t="s">
        <v>30916</v>
      </c>
      <c r="I3186" t="s">
        <v>30940</v>
      </c>
      <c r="J3186" t="s">
        <v>33308</v>
      </c>
      <c r="K3186" t="s">
        <v>40289</v>
      </c>
      <c r="M3186" t="s">
        <v>40922</v>
      </c>
      <c r="N3186" t="s">
        <v>44759</v>
      </c>
      <c r="O3186" t="s">
        <v>44760</v>
      </c>
      <c r="P3186">
        <v>0</v>
      </c>
      <c r="Q3186">
        <v>0</v>
      </c>
      <c r="R3186" t="s">
        <v>44762</v>
      </c>
      <c r="S3186" t="s">
        <v>44863</v>
      </c>
      <c r="T3186" t="s">
        <v>46383</v>
      </c>
      <c r="U3186" t="s">
        <v>49672</v>
      </c>
      <c r="W3186" t="s">
        <v>40922</v>
      </c>
      <c r="X3186" t="s">
        <v>44763</v>
      </c>
    </row>
    <row r="3187" spans="1:24">
      <c r="A3187">
        <f>HYPERLINK("https://www.philgeps.gov.ph/GEPSNONPILOT/Tender/SplashBidNoticeAbstractUI.aspx?menuIndex=3&amp;refID=7149577&amp;Result=3","7149577")</f>
        <v>0</v>
      </c>
      <c r="B3187" t="s">
        <v>1274</v>
      </c>
      <c r="C3187" t="s">
        <v>4545</v>
      </c>
      <c r="D3187" t="s">
        <v>18017</v>
      </c>
      <c r="E3187" t="s">
        <v>20918</v>
      </c>
      <c r="F3187" t="s">
        <v>30900</v>
      </c>
      <c r="G3187" t="s">
        <v>30908</v>
      </c>
      <c r="H3187" t="s">
        <v>30916</v>
      </c>
      <c r="I3187" t="s">
        <v>4545</v>
      </c>
      <c r="J3187" t="s">
        <v>33309</v>
      </c>
      <c r="K3187" t="s">
        <v>40333</v>
      </c>
      <c r="M3187" t="s">
        <v>41890</v>
      </c>
      <c r="N3187" t="s">
        <v>44759</v>
      </c>
      <c r="O3187" t="s">
        <v>44760</v>
      </c>
      <c r="P3187">
        <v>0</v>
      </c>
      <c r="Q3187">
        <v>0</v>
      </c>
      <c r="R3187" t="s">
        <v>44762</v>
      </c>
      <c r="S3187" t="s">
        <v>44863</v>
      </c>
      <c r="T3187" t="s">
        <v>46383</v>
      </c>
      <c r="U3187" t="s">
        <v>49609</v>
      </c>
      <c r="V3187" t="s">
        <v>59453</v>
      </c>
      <c r="W3187" t="s">
        <v>41890</v>
      </c>
      <c r="X3187" t="s">
        <v>44763</v>
      </c>
    </row>
    <row r="3188" spans="1:24">
      <c r="A3188">
        <f>HYPERLINK("https://www.philgeps.gov.ph/GEPSNONPILOT/Tender/SplashBidNoticeAbstractUI.aspx?menuIndex=3&amp;refID=7149614&amp;Result=3","7149614")</f>
        <v>0</v>
      </c>
      <c r="B3188" t="s">
        <v>384</v>
      </c>
      <c r="C3188" t="s">
        <v>6816</v>
      </c>
      <c r="D3188" t="s">
        <v>17987</v>
      </c>
      <c r="E3188" t="s">
        <v>20919</v>
      </c>
      <c r="F3188" t="s">
        <v>30900</v>
      </c>
      <c r="G3188" t="s">
        <v>30907</v>
      </c>
      <c r="H3188" t="s">
        <v>30916</v>
      </c>
      <c r="I3188" t="s">
        <v>30922</v>
      </c>
      <c r="J3188" t="s">
        <v>33310</v>
      </c>
      <c r="K3188" t="s">
        <v>40294</v>
      </c>
      <c r="M3188" t="s">
        <v>40939</v>
      </c>
      <c r="N3188" t="s">
        <v>44759</v>
      </c>
      <c r="O3188" t="s">
        <v>44760</v>
      </c>
      <c r="P3188">
        <v>0</v>
      </c>
      <c r="Q3188">
        <v>0</v>
      </c>
      <c r="R3188" t="s">
        <v>44762</v>
      </c>
      <c r="S3188" t="s">
        <v>44863</v>
      </c>
      <c r="T3188" t="s">
        <v>46495</v>
      </c>
      <c r="U3188" t="s">
        <v>49673</v>
      </c>
      <c r="W3188" t="s">
        <v>40939</v>
      </c>
      <c r="X3188" t="s">
        <v>44763</v>
      </c>
    </row>
    <row r="3189" spans="1:24">
      <c r="A3189">
        <f>HYPERLINK("https://www.philgeps.gov.ph/GEPSNONPILOT/Tender/SplashBidNoticeAbstractUI.aspx?menuIndex=3&amp;refID=7149613&amp;Result=3","7149613")</f>
        <v>0</v>
      </c>
      <c r="B3189" t="s">
        <v>1345</v>
      </c>
      <c r="C3189" t="s">
        <v>6817</v>
      </c>
      <c r="D3189" t="s">
        <v>18021</v>
      </c>
      <c r="E3189" t="s">
        <v>20837</v>
      </c>
      <c r="F3189" t="s">
        <v>30900</v>
      </c>
      <c r="G3189" t="s">
        <v>30907</v>
      </c>
      <c r="H3189" t="s">
        <v>30916</v>
      </c>
      <c r="I3189" t="s">
        <v>30927</v>
      </c>
      <c r="J3189" t="s">
        <v>33311</v>
      </c>
      <c r="K3189" t="s">
        <v>40286</v>
      </c>
      <c r="M3189" t="s">
        <v>41967</v>
      </c>
      <c r="N3189" t="s">
        <v>44759</v>
      </c>
      <c r="O3189" t="s">
        <v>44760</v>
      </c>
      <c r="P3189">
        <v>0</v>
      </c>
      <c r="Q3189">
        <v>0</v>
      </c>
      <c r="R3189" t="s">
        <v>44762</v>
      </c>
      <c r="S3189" t="s">
        <v>44863</v>
      </c>
      <c r="T3189" t="s">
        <v>46486</v>
      </c>
      <c r="U3189" t="s">
        <v>49586</v>
      </c>
      <c r="V3189" t="s">
        <v>59476</v>
      </c>
      <c r="W3189" t="s">
        <v>41967</v>
      </c>
      <c r="X3189" t="s">
        <v>44763</v>
      </c>
    </row>
    <row r="3190" spans="1:24">
      <c r="A3190">
        <f>HYPERLINK("https://www.philgeps.gov.ph/GEPSNONPILOT/Tender/SplashBidNoticeAbstractUI.aspx?menuIndex=3&amp;refID=7149611&amp;Result=3","7149611")</f>
        <v>0</v>
      </c>
      <c r="B3190" t="s">
        <v>1346</v>
      </c>
      <c r="C3190" t="s">
        <v>6818</v>
      </c>
      <c r="D3190" t="s">
        <v>17965</v>
      </c>
      <c r="E3190" t="s">
        <v>20920</v>
      </c>
      <c r="F3190" t="s">
        <v>30900</v>
      </c>
      <c r="G3190" t="s">
        <v>30907</v>
      </c>
      <c r="H3190" t="s">
        <v>30915</v>
      </c>
      <c r="I3190" t="s">
        <v>30919</v>
      </c>
      <c r="J3190" t="s">
        <v>33312</v>
      </c>
      <c r="K3190" t="s">
        <v>40293</v>
      </c>
      <c r="M3190" t="s">
        <v>41968</v>
      </c>
      <c r="N3190" t="s">
        <v>44759</v>
      </c>
      <c r="O3190" t="s">
        <v>44760</v>
      </c>
      <c r="P3190">
        <v>0</v>
      </c>
      <c r="Q3190">
        <v>0</v>
      </c>
      <c r="R3190" t="s">
        <v>44762</v>
      </c>
      <c r="S3190" t="s">
        <v>44863</v>
      </c>
      <c r="T3190" t="s">
        <v>46465</v>
      </c>
      <c r="U3190" t="s">
        <v>49674</v>
      </c>
      <c r="V3190" t="s">
        <v>59477</v>
      </c>
      <c r="W3190" t="s">
        <v>41968</v>
      </c>
      <c r="X3190" t="s">
        <v>44763</v>
      </c>
    </row>
    <row r="3191" spans="1:24">
      <c r="A3191">
        <f>HYPERLINK("https://www.philgeps.gov.ph/GEPSNONPILOT/Tender/SplashBidNoticeAbstractUI.aspx?menuIndex=3&amp;refID=7149610&amp;Result=3","7149610")</f>
        <v>0</v>
      </c>
      <c r="B3191" t="s">
        <v>1314</v>
      </c>
      <c r="C3191" t="s">
        <v>6819</v>
      </c>
      <c r="D3191" t="s">
        <v>17961</v>
      </c>
      <c r="E3191" t="s">
        <v>20921</v>
      </c>
      <c r="F3191" t="s">
        <v>30900</v>
      </c>
      <c r="G3191" t="s">
        <v>30908</v>
      </c>
      <c r="H3191" t="s">
        <v>7411</v>
      </c>
      <c r="I3191" t="s">
        <v>7411</v>
      </c>
      <c r="J3191" t="s">
        <v>33313</v>
      </c>
      <c r="K3191" t="s">
        <v>40289</v>
      </c>
      <c r="L3191" t="s">
        <v>1314</v>
      </c>
      <c r="M3191" t="s">
        <v>41932</v>
      </c>
      <c r="N3191" t="s">
        <v>44759</v>
      </c>
      <c r="O3191" t="s">
        <v>44760</v>
      </c>
      <c r="P3191">
        <v>0</v>
      </c>
      <c r="Q3191">
        <v>0</v>
      </c>
      <c r="R3191" t="s">
        <v>44762</v>
      </c>
      <c r="S3191" t="s">
        <v>44863</v>
      </c>
      <c r="T3191" t="s">
        <v>46425</v>
      </c>
      <c r="U3191" t="s">
        <v>49653</v>
      </c>
      <c r="W3191" t="s">
        <v>41932</v>
      </c>
      <c r="X3191" t="s">
        <v>44763</v>
      </c>
    </row>
    <row r="3192" spans="1:24">
      <c r="A3192">
        <f>HYPERLINK("https://www.philgeps.gov.ph/GEPSNONPILOT/Tender/SplashBidNoticeAbstractUI.aspx?menuIndex=3&amp;refID=7149608&amp;Result=3","7149608")</f>
        <v>0</v>
      </c>
      <c r="B3192" t="s">
        <v>1313</v>
      </c>
      <c r="C3192" t="s">
        <v>6820</v>
      </c>
      <c r="D3192" t="s">
        <v>18002</v>
      </c>
      <c r="E3192" t="s">
        <v>20922</v>
      </c>
      <c r="F3192" t="s">
        <v>30900</v>
      </c>
      <c r="G3192" t="s">
        <v>30909</v>
      </c>
      <c r="H3192" t="s">
        <v>30916</v>
      </c>
      <c r="I3192" t="s">
        <v>30922</v>
      </c>
      <c r="J3192" t="s">
        <v>33314</v>
      </c>
      <c r="K3192" t="s">
        <v>40287</v>
      </c>
      <c r="M3192" t="s">
        <v>41931</v>
      </c>
      <c r="N3192" t="s">
        <v>44759</v>
      </c>
      <c r="O3192" t="s">
        <v>44760</v>
      </c>
      <c r="P3192">
        <v>0</v>
      </c>
      <c r="Q3192">
        <v>7</v>
      </c>
      <c r="R3192" t="s">
        <v>44762</v>
      </c>
      <c r="S3192" t="s">
        <v>44863</v>
      </c>
      <c r="T3192" t="s">
        <v>46363</v>
      </c>
      <c r="U3192" t="s">
        <v>49675</v>
      </c>
      <c r="W3192" t="s">
        <v>41931</v>
      </c>
      <c r="X3192" t="s">
        <v>44763</v>
      </c>
    </row>
    <row r="3193" spans="1:24">
      <c r="A3193">
        <f>HYPERLINK("https://www.philgeps.gov.ph/GEPSNONPILOT/Tender/SplashBidNoticeAbstractUI.aspx?menuIndex=3&amp;refID=7149607&amp;Result=3","7149607")</f>
        <v>0</v>
      </c>
      <c r="B3193" t="s">
        <v>1347</v>
      </c>
      <c r="C3193" t="s">
        <v>3804</v>
      </c>
      <c r="D3193" t="s">
        <v>18003</v>
      </c>
      <c r="E3193" t="s">
        <v>20923</v>
      </c>
      <c r="F3193" t="s">
        <v>30900</v>
      </c>
      <c r="G3193" t="s">
        <v>30908</v>
      </c>
      <c r="H3193" t="s">
        <v>30916</v>
      </c>
      <c r="I3193" t="s">
        <v>5501</v>
      </c>
      <c r="J3193" t="s">
        <v>31077</v>
      </c>
      <c r="K3193" t="s">
        <v>40287</v>
      </c>
      <c r="L3193" t="s">
        <v>1347</v>
      </c>
      <c r="M3193" t="s">
        <v>41969</v>
      </c>
      <c r="N3193" t="s">
        <v>44759</v>
      </c>
      <c r="O3193" t="s">
        <v>44760</v>
      </c>
      <c r="P3193">
        <v>0</v>
      </c>
      <c r="Q3193">
        <v>0</v>
      </c>
      <c r="R3193" t="s">
        <v>44762</v>
      </c>
      <c r="S3193" t="s">
        <v>44863</v>
      </c>
      <c r="T3193" t="s">
        <v>46418</v>
      </c>
      <c r="U3193" t="s">
        <v>49676</v>
      </c>
      <c r="W3193" t="s">
        <v>41969</v>
      </c>
      <c r="X3193" t="s">
        <v>44763</v>
      </c>
    </row>
    <row r="3194" spans="1:24">
      <c r="A3194">
        <f>HYPERLINK("https://www.philgeps.gov.ph/GEPSNONPILOT/Tender/SplashBidNoticeAbstractUI.aspx?menuIndex=3&amp;refID=7149606&amp;Result=3","7149606")</f>
        <v>0</v>
      </c>
      <c r="B3194" t="s">
        <v>1326</v>
      </c>
      <c r="C3194" t="s">
        <v>6821</v>
      </c>
      <c r="D3194" t="s">
        <v>17987</v>
      </c>
      <c r="E3194" t="s">
        <v>20924</v>
      </c>
      <c r="F3194" t="s">
        <v>30900</v>
      </c>
      <c r="G3194" t="s">
        <v>30907</v>
      </c>
      <c r="H3194" t="s">
        <v>30916</v>
      </c>
      <c r="I3194" t="s">
        <v>30922</v>
      </c>
      <c r="J3194" t="s">
        <v>33315</v>
      </c>
      <c r="K3194" t="s">
        <v>40286</v>
      </c>
      <c r="M3194" t="s">
        <v>41945</v>
      </c>
      <c r="N3194" t="s">
        <v>44759</v>
      </c>
      <c r="O3194" t="s">
        <v>44760</v>
      </c>
      <c r="Q3194">
        <v>0</v>
      </c>
      <c r="R3194" t="s">
        <v>44762</v>
      </c>
      <c r="S3194" t="s">
        <v>44879</v>
      </c>
      <c r="T3194" t="s">
        <v>46369</v>
      </c>
      <c r="U3194" t="s">
        <v>49677</v>
      </c>
      <c r="V3194" t="s">
        <v>59467</v>
      </c>
      <c r="W3194" t="s">
        <v>41945</v>
      </c>
      <c r="X3194" t="s">
        <v>44763</v>
      </c>
    </row>
    <row r="3195" spans="1:24">
      <c r="A3195">
        <f>HYPERLINK("https://www.philgeps.gov.ph/GEPSNONPILOT/Tender/SplashBidNoticeAbstractUI.aspx?menuIndex=3&amp;refID=7149605&amp;Result=3","7149605")</f>
        <v>0</v>
      </c>
      <c r="B3195" t="s">
        <v>1330</v>
      </c>
      <c r="C3195" t="s">
        <v>6822</v>
      </c>
      <c r="D3195" t="s">
        <v>17985</v>
      </c>
      <c r="E3195" t="s">
        <v>19256</v>
      </c>
      <c r="F3195" t="s">
        <v>30900</v>
      </c>
      <c r="G3195" t="s">
        <v>30908</v>
      </c>
      <c r="H3195" t="s">
        <v>30916</v>
      </c>
      <c r="I3195" t="s">
        <v>30929</v>
      </c>
      <c r="J3195" t="s">
        <v>31182</v>
      </c>
      <c r="K3195" t="s">
        <v>40286</v>
      </c>
      <c r="M3195" t="s">
        <v>41950</v>
      </c>
      <c r="N3195" t="s">
        <v>44759</v>
      </c>
      <c r="O3195" t="s">
        <v>44760</v>
      </c>
      <c r="P3195">
        <v>0</v>
      </c>
      <c r="Q3195">
        <v>3</v>
      </c>
      <c r="R3195" t="s">
        <v>44762</v>
      </c>
      <c r="S3195" t="s">
        <v>44863</v>
      </c>
      <c r="T3195" t="s">
        <v>46362</v>
      </c>
      <c r="U3195" t="s">
        <v>49629</v>
      </c>
      <c r="W3195" t="s">
        <v>41950</v>
      </c>
      <c r="X3195" t="s">
        <v>44763</v>
      </c>
    </row>
    <row r="3196" spans="1:24">
      <c r="A3196">
        <f>HYPERLINK("https://www.philgeps.gov.ph/GEPSNONPILOT/Tender/SplashBidNoticeAbstractUI.aspx?menuIndex=3&amp;refID=7149615&amp;Result=3","7149615")</f>
        <v>0</v>
      </c>
      <c r="B3196" t="s">
        <v>1146</v>
      </c>
      <c r="C3196" t="s">
        <v>6823</v>
      </c>
      <c r="D3196" t="s">
        <v>18025</v>
      </c>
      <c r="E3196" t="s">
        <v>20925</v>
      </c>
      <c r="F3196" t="s">
        <v>30900</v>
      </c>
      <c r="G3196" t="s">
        <v>30909</v>
      </c>
      <c r="H3196" t="s">
        <v>30916</v>
      </c>
      <c r="I3196" t="s">
        <v>30976</v>
      </c>
      <c r="J3196" t="s">
        <v>33316</v>
      </c>
      <c r="K3196" t="s">
        <v>40287</v>
      </c>
      <c r="M3196" t="s">
        <v>41752</v>
      </c>
      <c r="N3196" t="s">
        <v>44759</v>
      </c>
      <c r="O3196" t="s">
        <v>44760</v>
      </c>
      <c r="P3196">
        <v>0</v>
      </c>
      <c r="Q3196">
        <v>0</v>
      </c>
      <c r="R3196" t="s">
        <v>44762</v>
      </c>
      <c r="S3196" t="s">
        <v>44863</v>
      </c>
      <c r="T3196" t="s">
        <v>46421</v>
      </c>
      <c r="U3196" t="s">
        <v>49678</v>
      </c>
      <c r="W3196" t="s">
        <v>41752</v>
      </c>
      <c r="X3196" t="s">
        <v>44763</v>
      </c>
    </row>
    <row r="3197" spans="1:24">
      <c r="A3197">
        <f>HYPERLINK("https://www.philgeps.gov.ph/GEPSNONPILOT/Tender/SplashBidNoticeAbstractUI.aspx?menuIndex=3&amp;refID=7149627&amp;Result=3","7149627")</f>
        <v>0</v>
      </c>
      <c r="B3197" t="s">
        <v>491</v>
      </c>
      <c r="C3197" t="s">
        <v>6824</v>
      </c>
      <c r="D3197" t="s">
        <v>17951</v>
      </c>
      <c r="E3197" t="s">
        <v>20926</v>
      </c>
      <c r="F3197" t="s">
        <v>30899</v>
      </c>
      <c r="G3197" t="s">
        <v>30909</v>
      </c>
      <c r="H3197" t="s">
        <v>30916</v>
      </c>
      <c r="I3197" t="s">
        <v>30939</v>
      </c>
      <c r="J3197" t="s">
        <v>33317</v>
      </c>
      <c r="K3197" t="s">
        <v>40284</v>
      </c>
      <c r="M3197" t="s">
        <v>41049</v>
      </c>
      <c r="N3197" t="s">
        <v>44759</v>
      </c>
      <c r="O3197" t="s">
        <v>44760</v>
      </c>
      <c r="P3197">
        <v>0</v>
      </c>
      <c r="Q3197">
        <v>0</v>
      </c>
      <c r="R3197" t="s">
        <v>44762</v>
      </c>
      <c r="S3197" t="s">
        <v>44863</v>
      </c>
      <c r="T3197" t="s">
        <v>46495</v>
      </c>
      <c r="U3197" t="s">
        <v>49679</v>
      </c>
      <c r="W3197" t="s">
        <v>41049</v>
      </c>
      <c r="X3197" t="s">
        <v>44763</v>
      </c>
    </row>
    <row r="3198" spans="1:24">
      <c r="A3198">
        <f>HYPERLINK("https://www.philgeps.gov.ph/GEPSNONPILOT/Tender/SplashBidNoticeAbstractUI.aspx?menuIndex=3&amp;refID=7149625&amp;Result=3","7149625")</f>
        <v>0</v>
      </c>
      <c r="B3198" t="s">
        <v>400</v>
      </c>
      <c r="C3198" t="s">
        <v>6597</v>
      </c>
      <c r="D3198" t="s">
        <v>17971</v>
      </c>
      <c r="E3198" t="s">
        <v>20927</v>
      </c>
      <c r="F3198" t="s">
        <v>30900</v>
      </c>
      <c r="G3198" t="s">
        <v>30908</v>
      </c>
      <c r="H3198" t="s">
        <v>30916</v>
      </c>
      <c r="I3198" t="s">
        <v>4050</v>
      </c>
      <c r="J3198" t="s">
        <v>33318</v>
      </c>
      <c r="K3198" t="s">
        <v>40289</v>
      </c>
      <c r="M3198" t="s">
        <v>40955</v>
      </c>
      <c r="N3198" t="s">
        <v>44759</v>
      </c>
      <c r="O3198" t="s">
        <v>44760</v>
      </c>
      <c r="P3198">
        <v>0</v>
      </c>
      <c r="Q3198">
        <v>1</v>
      </c>
      <c r="R3198" t="s">
        <v>44762</v>
      </c>
      <c r="S3198" t="s">
        <v>44863</v>
      </c>
      <c r="T3198" t="s">
        <v>46410</v>
      </c>
      <c r="U3198" t="s">
        <v>49680</v>
      </c>
      <c r="W3198" t="s">
        <v>40955</v>
      </c>
      <c r="X3198" t="s">
        <v>44763</v>
      </c>
    </row>
    <row r="3199" spans="1:24">
      <c r="A3199">
        <f>HYPERLINK("https://www.philgeps.gov.ph/GEPSNONPILOT/Tender/SplashBidNoticeAbstractUI.aspx?menuIndex=3&amp;refID=7149650&amp;Result=3","7149650")</f>
        <v>0</v>
      </c>
      <c r="B3199" t="s">
        <v>1146</v>
      </c>
      <c r="C3199" t="s">
        <v>6825</v>
      </c>
      <c r="D3199" t="s">
        <v>18025</v>
      </c>
      <c r="E3199" t="s">
        <v>20928</v>
      </c>
      <c r="F3199" t="s">
        <v>30900</v>
      </c>
      <c r="G3199" t="s">
        <v>30909</v>
      </c>
      <c r="H3199" t="s">
        <v>30916</v>
      </c>
      <c r="I3199" t="s">
        <v>4108</v>
      </c>
      <c r="J3199" t="s">
        <v>31288</v>
      </c>
      <c r="K3199" t="s">
        <v>40287</v>
      </c>
      <c r="M3199" t="s">
        <v>41752</v>
      </c>
      <c r="N3199" t="s">
        <v>44759</v>
      </c>
      <c r="O3199" t="s">
        <v>44760</v>
      </c>
      <c r="P3199">
        <v>0</v>
      </c>
      <c r="Q3199">
        <v>4</v>
      </c>
      <c r="R3199" t="s">
        <v>44762</v>
      </c>
      <c r="S3199" t="s">
        <v>44863</v>
      </c>
      <c r="T3199" t="s">
        <v>46421</v>
      </c>
      <c r="U3199" t="s">
        <v>49681</v>
      </c>
      <c r="W3199" t="s">
        <v>41752</v>
      </c>
      <c r="X3199" t="s">
        <v>44763</v>
      </c>
    </row>
    <row r="3200" spans="1:24">
      <c r="A3200">
        <f>HYPERLINK("https://www.philgeps.gov.ph/GEPSNONPILOT/Tender/SplashBidNoticeAbstractUI.aspx?menuIndex=3&amp;refID=7149616&amp;Result=3","7149616")</f>
        <v>0</v>
      </c>
      <c r="B3200" t="s">
        <v>1348</v>
      </c>
      <c r="C3200" t="s">
        <v>6826</v>
      </c>
      <c r="D3200" t="s">
        <v>17951</v>
      </c>
      <c r="E3200" t="s">
        <v>20929</v>
      </c>
      <c r="F3200" t="s">
        <v>30900</v>
      </c>
      <c r="G3200" t="s">
        <v>30908</v>
      </c>
      <c r="H3200" t="s">
        <v>30915</v>
      </c>
      <c r="I3200" t="s">
        <v>30919</v>
      </c>
      <c r="J3200" t="s">
        <v>33319</v>
      </c>
      <c r="K3200" t="s">
        <v>40333</v>
      </c>
      <c r="M3200" t="s">
        <v>41970</v>
      </c>
      <c r="N3200" t="s">
        <v>44759</v>
      </c>
      <c r="O3200" t="s">
        <v>44760</v>
      </c>
      <c r="P3200">
        <v>0</v>
      </c>
      <c r="Q3200">
        <v>0</v>
      </c>
      <c r="R3200" t="s">
        <v>44762</v>
      </c>
      <c r="S3200" t="s">
        <v>44863</v>
      </c>
      <c r="T3200" t="s">
        <v>46390</v>
      </c>
      <c r="U3200" t="s">
        <v>49682</v>
      </c>
      <c r="W3200" t="s">
        <v>41970</v>
      </c>
      <c r="X3200" t="s">
        <v>44763</v>
      </c>
    </row>
    <row r="3201" spans="1:24">
      <c r="A3201">
        <f>HYPERLINK("https://www.philgeps.gov.ph/GEPSNONPILOT/Tender/SplashBidNoticeAbstractUI.aspx?menuIndex=3&amp;refID=7149621&amp;Result=3","7149621")</f>
        <v>0</v>
      </c>
      <c r="B3201" t="s">
        <v>943</v>
      </c>
      <c r="C3201" t="s">
        <v>6827</v>
      </c>
      <c r="D3201" t="s">
        <v>17957</v>
      </c>
      <c r="E3201" t="s">
        <v>20930</v>
      </c>
      <c r="F3201" t="s">
        <v>30900</v>
      </c>
      <c r="G3201" t="s">
        <v>30907</v>
      </c>
      <c r="H3201" t="s">
        <v>30915</v>
      </c>
      <c r="I3201" t="s">
        <v>30919</v>
      </c>
      <c r="J3201" t="s">
        <v>33320</v>
      </c>
      <c r="K3201" t="s">
        <v>40292</v>
      </c>
      <c r="M3201" t="s">
        <v>41527</v>
      </c>
      <c r="N3201" t="s">
        <v>44759</v>
      </c>
      <c r="O3201" t="s">
        <v>44760</v>
      </c>
      <c r="P3201">
        <v>0</v>
      </c>
      <c r="Q3201">
        <v>0</v>
      </c>
      <c r="R3201" t="s">
        <v>44762</v>
      </c>
      <c r="S3201" t="s">
        <v>44863</v>
      </c>
      <c r="T3201" t="s">
        <v>46465</v>
      </c>
      <c r="U3201" t="s">
        <v>49683</v>
      </c>
      <c r="W3201" t="s">
        <v>41527</v>
      </c>
      <c r="X3201" t="s">
        <v>44763</v>
      </c>
    </row>
    <row r="3202" spans="1:24">
      <c r="A3202">
        <f>HYPERLINK("https://www.philgeps.gov.ph/GEPSNONPILOT/Tender/SplashBidNoticeAbstractUI.aspx?menuIndex=3&amp;refID=7149645&amp;Result=3","7149645")</f>
        <v>0</v>
      </c>
      <c r="B3202" t="s">
        <v>700</v>
      </c>
      <c r="C3202" t="s">
        <v>6828</v>
      </c>
      <c r="D3202" t="s">
        <v>17961</v>
      </c>
      <c r="E3202" t="s">
        <v>20931</v>
      </c>
      <c r="F3202" t="s">
        <v>30900</v>
      </c>
      <c r="G3202" t="s">
        <v>30908</v>
      </c>
      <c r="H3202" t="s">
        <v>30915</v>
      </c>
      <c r="I3202" t="s">
        <v>30919</v>
      </c>
      <c r="J3202" t="s">
        <v>32627</v>
      </c>
      <c r="K3202" t="s">
        <v>40280</v>
      </c>
      <c r="M3202" t="s">
        <v>41264</v>
      </c>
      <c r="N3202" t="s">
        <v>44759</v>
      </c>
      <c r="O3202" t="s">
        <v>44760</v>
      </c>
      <c r="P3202">
        <v>0</v>
      </c>
      <c r="Q3202">
        <v>1</v>
      </c>
      <c r="R3202" t="s">
        <v>44762</v>
      </c>
      <c r="S3202" t="s">
        <v>44863</v>
      </c>
      <c r="T3202" t="s">
        <v>46363</v>
      </c>
      <c r="U3202" t="s">
        <v>49684</v>
      </c>
      <c r="V3202" t="s">
        <v>59283</v>
      </c>
      <c r="W3202" t="s">
        <v>41264</v>
      </c>
      <c r="X3202" t="s">
        <v>44763</v>
      </c>
    </row>
    <row r="3203" spans="1:24">
      <c r="A3203">
        <f>HYPERLINK("https://www.philgeps.gov.ph/GEPSNONPILOT/Tender/SplashBidNoticeAbstractUI.aspx?menuIndex=3&amp;refID=7149643&amp;Result=3","7149643")</f>
        <v>0</v>
      </c>
      <c r="B3203" t="s">
        <v>1349</v>
      </c>
      <c r="C3203" t="s">
        <v>6829</v>
      </c>
      <c r="D3203" t="s">
        <v>17959</v>
      </c>
      <c r="E3203" t="s">
        <v>20932</v>
      </c>
      <c r="F3203" t="s">
        <v>30900</v>
      </c>
      <c r="G3203" t="s">
        <v>30907</v>
      </c>
      <c r="H3203" t="s">
        <v>30916</v>
      </c>
      <c r="I3203" t="s">
        <v>8365</v>
      </c>
      <c r="J3203" t="s">
        <v>33321</v>
      </c>
      <c r="K3203" t="s">
        <v>40283</v>
      </c>
      <c r="M3203" t="s">
        <v>41971</v>
      </c>
      <c r="N3203" t="s">
        <v>44759</v>
      </c>
      <c r="O3203" t="s">
        <v>44760</v>
      </c>
      <c r="P3203">
        <v>0</v>
      </c>
      <c r="Q3203">
        <v>1</v>
      </c>
      <c r="R3203" t="s">
        <v>44762</v>
      </c>
      <c r="S3203" t="s">
        <v>44863</v>
      </c>
      <c r="T3203" t="s">
        <v>46400</v>
      </c>
      <c r="U3203" t="s">
        <v>49685</v>
      </c>
      <c r="W3203" t="s">
        <v>41971</v>
      </c>
      <c r="X3203" t="s">
        <v>44763</v>
      </c>
    </row>
    <row r="3204" spans="1:24">
      <c r="A3204">
        <f>HYPERLINK("https://www.philgeps.gov.ph/GEPSNONPILOT/Tender/SplashBidNoticeAbstractUI.aspx?menuIndex=3&amp;refID=7149644&amp;Result=3","7149644")</f>
        <v>0</v>
      </c>
      <c r="B3204" t="s">
        <v>479</v>
      </c>
      <c r="C3204" t="s">
        <v>6830</v>
      </c>
      <c r="D3204" t="s">
        <v>17959</v>
      </c>
      <c r="E3204" t="s">
        <v>20933</v>
      </c>
      <c r="F3204" t="s">
        <v>30900</v>
      </c>
      <c r="G3204" t="s">
        <v>30908</v>
      </c>
      <c r="H3204" t="s">
        <v>30916</v>
      </c>
      <c r="I3204" t="s">
        <v>30921</v>
      </c>
      <c r="J3204" t="s">
        <v>33322</v>
      </c>
      <c r="K3204" t="s">
        <v>40283</v>
      </c>
      <c r="M3204" t="s">
        <v>41037</v>
      </c>
      <c r="N3204" t="s">
        <v>44759</v>
      </c>
      <c r="O3204" t="s">
        <v>44760</v>
      </c>
      <c r="P3204">
        <v>0</v>
      </c>
      <c r="Q3204">
        <v>2</v>
      </c>
      <c r="R3204" t="s">
        <v>44762</v>
      </c>
      <c r="S3204" t="s">
        <v>44863</v>
      </c>
      <c r="T3204" t="s">
        <v>46376</v>
      </c>
      <c r="U3204" t="s">
        <v>49686</v>
      </c>
      <c r="W3204" t="s">
        <v>41037</v>
      </c>
      <c r="X3204" t="s">
        <v>44763</v>
      </c>
    </row>
    <row r="3205" spans="1:24">
      <c r="A3205">
        <f>HYPERLINK("https://www.philgeps.gov.ph/GEPSNONPILOT/Tender/SplashBidNoticeAbstractUI.aspx?menuIndex=3&amp;refID=7149599&amp;Result=3","7149599")</f>
        <v>0</v>
      </c>
      <c r="B3205" t="s">
        <v>1350</v>
      </c>
      <c r="C3205" t="s">
        <v>6831</v>
      </c>
      <c r="D3205" t="s">
        <v>17996</v>
      </c>
      <c r="E3205" t="s">
        <v>20934</v>
      </c>
      <c r="F3205" t="s">
        <v>30900</v>
      </c>
      <c r="G3205" t="s">
        <v>30907</v>
      </c>
      <c r="H3205" t="s">
        <v>30916</v>
      </c>
      <c r="I3205" t="s">
        <v>30933</v>
      </c>
      <c r="J3205" t="s">
        <v>33323</v>
      </c>
      <c r="K3205" t="s">
        <v>40289</v>
      </c>
      <c r="M3205" t="s">
        <v>41972</v>
      </c>
      <c r="N3205" t="s">
        <v>44759</v>
      </c>
      <c r="O3205" t="s">
        <v>44760</v>
      </c>
      <c r="P3205">
        <v>0</v>
      </c>
      <c r="Q3205">
        <v>2</v>
      </c>
      <c r="R3205" t="s">
        <v>44762</v>
      </c>
      <c r="S3205" t="s">
        <v>44863</v>
      </c>
      <c r="T3205" t="s">
        <v>46550</v>
      </c>
      <c r="U3205" t="s">
        <v>49687</v>
      </c>
      <c r="W3205" t="s">
        <v>41972</v>
      </c>
      <c r="X3205" t="s">
        <v>44763</v>
      </c>
    </row>
    <row r="3206" spans="1:24">
      <c r="A3206">
        <f>HYPERLINK("https://www.philgeps.gov.ph/GEPSNONPILOT/Tender/SplashBidNoticeAbstractUI.aspx?menuIndex=3&amp;refID=7149641&amp;Result=3","7149641")</f>
        <v>0</v>
      </c>
      <c r="B3206" t="s">
        <v>1146</v>
      </c>
      <c r="C3206" t="s">
        <v>6832</v>
      </c>
      <c r="D3206" t="s">
        <v>18025</v>
      </c>
      <c r="E3206" t="s">
        <v>20935</v>
      </c>
      <c r="F3206" t="s">
        <v>30900</v>
      </c>
      <c r="G3206" t="s">
        <v>30909</v>
      </c>
      <c r="H3206" t="s">
        <v>30916</v>
      </c>
      <c r="I3206" t="s">
        <v>4108</v>
      </c>
      <c r="J3206" t="s">
        <v>33324</v>
      </c>
      <c r="K3206" t="s">
        <v>40287</v>
      </c>
      <c r="M3206" t="s">
        <v>41752</v>
      </c>
      <c r="N3206" t="s">
        <v>44759</v>
      </c>
      <c r="O3206" t="s">
        <v>44760</v>
      </c>
      <c r="P3206">
        <v>0</v>
      </c>
      <c r="Q3206">
        <v>2</v>
      </c>
      <c r="R3206" t="s">
        <v>44762</v>
      </c>
      <c r="S3206" t="s">
        <v>44863</v>
      </c>
      <c r="T3206" t="s">
        <v>46421</v>
      </c>
      <c r="U3206" t="s">
        <v>49688</v>
      </c>
      <c r="W3206" t="s">
        <v>41752</v>
      </c>
      <c r="X3206" t="s">
        <v>44763</v>
      </c>
    </row>
    <row r="3207" spans="1:24">
      <c r="A3207">
        <f>HYPERLINK("https://www.philgeps.gov.ph/GEPSNONPILOT/Tender/SplashBidNoticeAbstractUI.aspx?menuIndex=3&amp;refID=7149649&amp;Result=3","7149649")</f>
        <v>0</v>
      </c>
      <c r="B3207" t="s">
        <v>841</v>
      </c>
      <c r="C3207" t="s">
        <v>4355</v>
      </c>
      <c r="D3207" t="s">
        <v>17978</v>
      </c>
      <c r="E3207" t="s">
        <v>20936</v>
      </c>
      <c r="F3207" t="s">
        <v>30900</v>
      </c>
      <c r="G3207" t="s">
        <v>30910</v>
      </c>
      <c r="H3207" t="s">
        <v>30916</v>
      </c>
      <c r="I3207" t="s">
        <v>4545</v>
      </c>
      <c r="J3207" t="s">
        <v>33325</v>
      </c>
      <c r="K3207" t="s">
        <v>40283</v>
      </c>
      <c r="M3207" t="s">
        <v>41414</v>
      </c>
      <c r="N3207" t="s">
        <v>44759</v>
      </c>
      <c r="O3207" t="s">
        <v>44760</v>
      </c>
      <c r="P3207">
        <v>0</v>
      </c>
      <c r="Q3207">
        <v>0</v>
      </c>
      <c r="R3207" t="s">
        <v>44762</v>
      </c>
      <c r="S3207" t="s">
        <v>44863</v>
      </c>
      <c r="T3207" t="s">
        <v>46400</v>
      </c>
      <c r="U3207" t="s">
        <v>49689</v>
      </c>
      <c r="W3207" t="s">
        <v>41414</v>
      </c>
      <c r="X3207" t="s">
        <v>44763</v>
      </c>
    </row>
    <row r="3208" spans="1:24">
      <c r="A3208">
        <f>HYPERLINK("https://www.philgeps.gov.ph/GEPSNONPILOT/Tender/SplashBidNoticeAbstractUI.aspx?menuIndex=3&amp;refID=7149636&amp;Result=3","7149636")</f>
        <v>0</v>
      </c>
      <c r="B3208" t="s">
        <v>1047</v>
      </c>
      <c r="C3208" t="s">
        <v>6833</v>
      </c>
      <c r="D3208" t="s">
        <v>18010</v>
      </c>
      <c r="E3208" t="s">
        <v>20937</v>
      </c>
      <c r="F3208" t="s">
        <v>30900</v>
      </c>
      <c r="G3208" t="s">
        <v>30908</v>
      </c>
      <c r="H3208" t="s">
        <v>30916</v>
      </c>
      <c r="I3208" t="s">
        <v>4017</v>
      </c>
      <c r="J3208" t="s">
        <v>31211</v>
      </c>
      <c r="K3208" t="s">
        <v>40283</v>
      </c>
      <c r="M3208" t="s">
        <v>41641</v>
      </c>
      <c r="N3208" t="s">
        <v>44759</v>
      </c>
      <c r="O3208" t="s">
        <v>44760</v>
      </c>
      <c r="P3208">
        <v>0</v>
      </c>
      <c r="Q3208">
        <v>4</v>
      </c>
      <c r="R3208" t="s">
        <v>44762</v>
      </c>
      <c r="S3208" t="s">
        <v>44863</v>
      </c>
      <c r="T3208" t="s">
        <v>46379</v>
      </c>
      <c r="U3208" t="s">
        <v>49690</v>
      </c>
      <c r="W3208" t="s">
        <v>41641</v>
      </c>
      <c r="X3208" t="s">
        <v>44763</v>
      </c>
    </row>
    <row r="3209" spans="1:24">
      <c r="A3209">
        <f>HYPERLINK("https://www.philgeps.gov.ph/GEPSNONPILOT/Tender/SplashBidNoticeAbstractUI.aspx?menuIndex=3&amp;refID=7149646&amp;Result=3","7149646")</f>
        <v>0</v>
      </c>
      <c r="B3209" t="s">
        <v>1351</v>
      </c>
      <c r="C3209" t="s">
        <v>6834</v>
      </c>
      <c r="D3209" t="s">
        <v>18025</v>
      </c>
      <c r="E3209" t="s">
        <v>20938</v>
      </c>
      <c r="F3209" t="s">
        <v>30900</v>
      </c>
      <c r="G3209" t="s">
        <v>30908</v>
      </c>
      <c r="H3209" t="s">
        <v>30916</v>
      </c>
      <c r="I3209" t="s">
        <v>6834</v>
      </c>
      <c r="J3209" t="s">
        <v>33326</v>
      </c>
      <c r="K3209" t="s">
        <v>40280</v>
      </c>
      <c r="M3209" t="s">
        <v>41973</v>
      </c>
      <c r="N3209" t="s">
        <v>44759</v>
      </c>
      <c r="O3209" t="s">
        <v>44760</v>
      </c>
      <c r="P3209">
        <v>0</v>
      </c>
      <c r="Q3209">
        <v>8</v>
      </c>
      <c r="R3209" t="s">
        <v>44762</v>
      </c>
      <c r="S3209" t="s">
        <v>44863</v>
      </c>
      <c r="T3209" t="s">
        <v>46414</v>
      </c>
      <c r="U3209" t="s">
        <v>49691</v>
      </c>
      <c r="W3209" t="s">
        <v>41973</v>
      </c>
      <c r="X3209" t="s">
        <v>44763</v>
      </c>
    </row>
    <row r="3210" spans="1:24">
      <c r="A3210">
        <f>HYPERLINK("https://www.philgeps.gov.ph/GEPSNONPILOT/Tender/SplashBidNoticeAbstractUI.aspx?menuIndex=3&amp;refID=7149634&amp;Result=3","7149634")</f>
        <v>0</v>
      </c>
      <c r="B3210" t="s">
        <v>1352</v>
      </c>
      <c r="C3210" t="s">
        <v>6835</v>
      </c>
      <c r="D3210" t="s">
        <v>17981</v>
      </c>
      <c r="E3210" t="s">
        <v>20939</v>
      </c>
      <c r="F3210" t="s">
        <v>30900</v>
      </c>
      <c r="G3210" t="s">
        <v>30910</v>
      </c>
      <c r="H3210" t="s">
        <v>30916</v>
      </c>
      <c r="I3210" t="s">
        <v>30965</v>
      </c>
      <c r="J3210" t="s">
        <v>33327</v>
      </c>
      <c r="K3210" t="s">
        <v>40289</v>
      </c>
      <c r="M3210" t="s">
        <v>41974</v>
      </c>
      <c r="N3210" t="s">
        <v>44759</v>
      </c>
      <c r="O3210" t="s">
        <v>44760</v>
      </c>
      <c r="P3210">
        <v>0</v>
      </c>
      <c r="Q3210">
        <v>1</v>
      </c>
      <c r="R3210" t="s">
        <v>44762</v>
      </c>
      <c r="S3210" t="s">
        <v>44863</v>
      </c>
      <c r="T3210" t="s">
        <v>46383</v>
      </c>
      <c r="U3210" t="s">
        <v>49692</v>
      </c>
      <c r="W3210" t="s">
        <v>60860</v>
      </c>
      <c r="X3210" t="s">
        <v>44763</v>
      </c>
    </row>
    <row r="3211" spans="1:24">
      <c r="A3211">
        <f>HYPERLINK("https://www.philgeps.gov.ph/GEPSNONPILOT/Tender/SplashBidNoticeAbstractUI.aspx?menuIndex=3&amp;refID=7149632&amp;Result=3","7149632")</f>
        <v>0</v>
      </c>
      <c r="B3211" t="s">
        <v>339</v>
      </c>
      <c r="C3211" t="s">
        <v>6836</v>
      </c>
      <c r="D3211" t="s">
        <v>17991</v>
      </c>
      <c r="E3211" t="s">
        <v>20940</v>
      </c>
      <c r="F3211" t="s">
        <v>30900</v>
      </c>
      <c r="G3211" t="s">
        <v>30908</v>
      </c>
      <c r="H3211" t="s">
        <v>30916</v>
      </c>
      <c r="I3211" t="s">
        <v>30921</v>
      </c>
      <c r="J3211" t="s">
        <v>31101</v>
      </c>
      <c r="K3211" t="s">
        <v>40283</v>
      </c>
      <c r="M3211" t="s">
        <v>40891</v>
      </c>
      <c r="N3211" t="s">
        <v>44759</v>
      </c>
      <c r="O3211" t="s">
        <v>44760</v>
      </c>
      <c r="P3211">
        <v>0</v>
      </c>
      <c r="Q3211">
        <v>3</v>
      </c>
      <c r="R3211" t="s">
        <v>44762</v>
      </c>
      <c r="S3211" t="s">
        <v>44863</v>
      </c>
      <c r="T3211" t="s">
        <v>46414</v>
      </c>
      <c r="U3211" t="s">
        <v>49693</v>
      </c>
      <c r="W3211" t="s">
        <v>40891</v>
      </c>
      <c r="X3211" t="s">
        <v>44763</v>
      </c>
    </row>
    <row r="3212" spans="1:24">
      <c r="A3212">
        <f>HYPERLINK("https://www.philgeps.gov.ph/GEPSNONPILOT/Tender/SplashBidNoticeAbstractUI.aspx?menuIndex=3&amp;refID=7149637&amp;Result=3","7149637")</f>
        <v>0</v>
      </c>
      <c r="B3212" t="s">
        <v>1320</v>
      </c>
      <c r="C3212" t="s">
        <v>6837</v>
      </c>
      <c r="D3212" t="s">
        <v>17989</v>
      </c>
      <c r="E3212" t="s">
        <v>20941</v>
      </c>
      <c r="F3212" t="s">
        <v>30900</v>
      </c>
      <c r="G3212" t="s">
        <v>30907</v>
      </c>
      <c r="H3212" t="s">
        <v>30916</v>
      </c>
      <c r="I3212" t="s">
        <v>30933</v>
      </c>
      <c r="J3212" t="s">
        <v>31152</v>
      </c>
      <c r="K3212" t="s">
        <v>40286</v>
      </c>
      <c r="M3212" t="s">
        <v>41939</v>
      </c>
      <c r="N3212" t="s">
        <v>44759</v>
      </c>
      <c r="O3212" t="s">
        <v>44760</v>
      </c>
      <c r="P3212">
        <v>0</v>
      </c>
      <c r="Q3212">
        <v>1</v>
      </c>
      <c r="R3212" t="s">
        <v>44762</v>
      </c>
      <c r="S3212" t="s">
        <v>44863</v>
      </c>
      <c r="T3212" t="s">
        <v>46395</v>
      </c>
      <c r="U3212" t="s">
        <v>49694</v>
      </c>
      <c r="W3212" t="s">
        <v>41939</v>
      </c>
      <c r="X3212" t="s">
        <v>44763</v>
      </c>
    </row>
    <row r="3213" spans="1:24">
      <c r="A3213">
        <f>HYPERLINK("https://www.philgeps.gov.ph/GEPSNONPILOT/Tender/SplashBidNoticeAbstractUI.aspx?menuIndex=3&amp;refID=7149652&amp;Result=3","7149652")</f>
        <v>0</v>
      </c>
      <c r="B3213" t="s">
        <v>493</v>
      </c>
      <c r="C3213" t="s">
        <v>6838</v>
      </c>
      <c r="D3213" t="s">
        <v>17975</v>
      </c>
      <c r="E3213" t="s">
        <v>20942</v>
      </c>
      <c r="F3213" t="s">
        <v>30900</v>
      </c>
      <c r="G3213" t="s">
        <v>30907</v>
      </c>
      <c r="H3213" t="s">
        <v>30916</v>
      </c>
      <c r="I3213" t="s">
        <v>30923</v>
      </c>
      <c r="J3213" t="s">
        <v>33328</v>
      </c>
      <c r="K3213" t="s">
        <v>40289</v>
      </c>
      <c r="M3213" t="s">
        <v>41052</v>
      </c>
      <c r="N3213" t="s">
        <v>44759</v>
      </c>
      <c r="O3213" t="s">
        <v>44760</v>
      </c>
      <c r="P3213">
        <v>0</v>
      </c>
      <c r="Q3213">
        <v>5</v>
      </c>
      <c r="R3213" t="s">
        <v>44762</v>
      </c>
      <c r="S3213" t="s">
        <v>44863</v>
      </c>
      <c r="T3213" t="s">
        <v>46628</v>
      </c>
      <c r="U3213" t="s">
        <v>49695</v>
      </c>
      <c r="V3213" t="s">
        <v>59226</v>
      </c>
      <c r="W3213" t="s">
        <v>41052</v>
      </c>
      <c r="X3213" t="s">
        <v>44763</v>
      </c>
    </row>
    <row r="3214" spans="1:24">
      <c r="A3214">
        <f>HYPERLINK("https://www.philgeps.gov.ph/GEPSNONPILOT/Tender/SplashBidNoticeAbstractUI.aspx?menuIndex=3&amp;refID=7149635&amp;Result=3","7149635")</f>
        <v>0</v>
      </c>
      <c r="B3214" t="s">
        <v>723</v>
      </c>
      <c r="C3214" t="s">
        <v>6839</v>
      </c>
      <c r="D3214" t="s">
        <v>17951</v>
      </c>
      <c r="E3214" t="s">
        <v>20943</v>
      </c>
      <c r="F3214" t="s">
        <v>30900</v>
      </c>
      <c r="G3214" t="s">
        <v>30908</v>
      </c>
      <c r="H3214" t="s">
        <v>30916</v>
      </c>
      <c r="I3214" t="s">
        <v>30933</v>
      </c>
      <c r="J3214" t="s">
        <v>32246</v>
      </c>
      <c r="K3214" t="s">
        <v>40285</v>
      </c>
      <c r="M3214" t="s">
        <v>41287</v>
      </c>
      <c r="N3214" t="s">
        <v>44759</v>
      </c>
      <c r="O3214" t="s">
        <v>44760</v>
      </c>
      <c r="P3214">
        <v>0</v>
      </c>
      <c r="Q3214">
        <v>0</v>
      </c>
      <c r="R3214" t="s">
        <v>44762</v>
      </c>
      <c r="S3214" t="s">
        <v>44863</v>
      </c>
      <c r="T3214" t="s">
        <v>46414</v>
      </c>
      <c r="U3214" t="s">
        <v>49696</v>
      </c>
      <c r="W3214" t="s">
        <v>41287</v>
      </c>
      <c r="X3214" t="s">
        <v>44763</v>
      </c>
    </row>
    <row r="3215" spans="1:24">
      <c r="A3215">
        <f>HYPERLINK("https://www.philgeps.gov.ph/GEPSNONPILOT/Tender/SplashBidNoticeAbstractUI.aspx?menuIndex=3&amp;refID=7149677&amp;Result=3","7149677")</f>
        <v>0</v>
      </c>
      <c r="B3215" t="s">
        <v>1353</v>
      </c>
      <c r="C3215" t="s">
        <v>6840</v>
      </c>
      <c r="D3215" t="s">
        <v>17994</v>
      </c>
      <c r="E3215" t="s">
        <v>20944</v>
      </c>
      <c r="F3215" t="s">
        <v>30900</v>
      </c>
      <c r="G3215" t="s">
        <v>30908</v>
      </c>
      <c r="H3215" t="s">
        <v>30916</v>
      </c>
      <c r="I3215" t="s">
        <v>31000</v>
      </c>
      <c r="J3215" t="s">
        <v>31851</v>
      </c>
      <c r="K3215" t="s">
        <v>40283</v>
      </c>
      <c r="M3215" t="s">
        <v>41975</v>
      </c>
      <c r="N3215" t="s">
        <v>44759</v>
      </c>
      <c r="O3215" t="s">
        <v>44760</v>
      </c>
      <c r="P3215">
        <v>0</v>
      </c>
      <c r="Q3215">
        <v>0</v>
      </c>
      <c r="R3215" t="s">
        <v>44762</v>
      </c>
      <c r="S3215" t="s">
        <v>44863</v>
      </c>
      <c r="T3215" t="s">
        <v>46538</v>
      </c>
      <c r="U3215" t="s">
        <v>49697</v>
      </c>
      <c r="W3215" t="s">
        <v>41975</v>
      </c>
      <c r="X3215" t="s">
        <v>44763</v>
      </c>
    </row>
    <row r="3216" spans="1:24">
      <c r="A3216">
        <f>HYPERLINK("https://www.philgeps.gov.ph/GEPSNONPILOT/Tender/SplashBidNoticeAbstractUI.aspx?menuIndex=3&amp;refID=7149633&amp;Result=3","7149633")</f>
        <v>0</v>
      </c>
      <c r="B3216" t="s">
        <v>1354</v>
      </c>
      <c r="C3216" t="s">
        <v>6841</v>
      </c>
      <c r="D3216" t="s">
        <v>17963</v>
      </c>
      <c r="E3216" t="s">
        <v>20945</v>
      </c>
      <c r="F3216" t="s">
        <v>30899</v>
      </c>
      <c r="G3216" t="s">
        <v>30909</v>
      </c>
      <c r="H3216" t="s">
        <v>30916</v>
      </c>
      <c r="I3216" t="s">
        <v>8365</v>
      </c>
      <c r="J3216" t="s">
        <v>33329</v>
      </c>
      <c r="K3216" t="s">
        <v>40289</v>
      </c>
      <c r="M3216" t="s">
        <v>41976</v>
      </c>
      <c r="N3216" t="s">
        <v>44759</v>
      </c>
      <c r="O3216" t="s">
        <v>44760</v>
      </c>
      <c r="P3216">
        <v>0</v>
      </c>
      <c r="Q3216">
        <v>1</v>
      </c>
      <c r="R3216" t="s">
        <v>44762</v>
      </c>
      <c r="S3216" t="s">
        <v>44863</v>
      </c>
      <c r="T3216" t="s">
        <v>46414</v>
      </c>
      <c r="U3216" t="s">
        <v>49698</v>
      </c>
      <c r="W3216" t="s">
        <v>41976</v>
      </c>
      <c r="X3216" t="s">
        <v>44763</v>
      </c>
    </row>
    <row r="3217" spans="1:24">
      <c r="A3217">
        <f>HYPERLINK("https://www.philgeps.gov.ph/GEPSNONPILOT/Tender/SplashBidNoticeAbstractUI.aspx?menuIndex=3&amp;refID=7149673&amp;Result=3","7149673")</f>
        <v>0</v>
      </c>
      <c r="B3217" t="s">
        <v>235</v>
      </c>
      <c r="C3217" t="s">
        <v>6842</v>
      </c>
      <c r="D3217" t="s">
        <v>17959</v>
      </c>
      <c r="E3217" t="s">
        <v>18684</v>
      </c>
      <c r="F3217" t="s">
        <v>30900</v>
      </c>
      <c r="G3217" t="s">
        <v>30908</v>
      </c>
      <c r="H3217" t="s">
        <v>30916</v>
      </c>
      <c r="I3217" t="s">
        <v>30923</v>
      </c>
      <c r="J3217" t="s">
        <v>32892</v>
      </c>
      <c r="K3217" t="s">
        <v>40289</v>
      </c>
      <c r="M3217" t="s">
        <v>40782</v>
      </c>
      <c r="N3217" t="s">
        <v>44759</v>
      </c>
      <c r="O3217" t="s">
        <v>44760</v>
      </c>
      <c r="P3217">
        <v>0</v>
      </c>
      <c r="Q3217">
        <v>6</v>
      </c>
      <c r="R3217" t="s">
        <v>44762</v>
      </c>
      <c r="S3217" t="s">
        <v>44863</v>
      </c>
      <c r="T3217" t="s">
        <v>46410</v>
      </c>
      <c r="U3217" t="s">
        <v>49699</v>
      </c>
      <c r="V3217" t="s">
        <v>59151</v>
      </c>
      <c r="W3217" t="s">
        <v>40782</v>
      </c>
      <c r="X3217" t="s">
        <v>44763</v>
      </c>
    </row>
    <row r="3218" spans="1:24">
      <c r="A3218">
        <f>HYPERLINK("https://www.philgeps.gov.ph/GEPSNONPILOT/Tender/SplashBidNoticeAbstractUI.aspx?menuIndex=3&amp;refID=7149667&amp;Result=3","7149667")</f>
        <v>0</v>
      </c>
      <c r="B3218" t="s">
        <v>1355</v>
      </c>
      <c r="C3218" t="s">
        <v>6843</v>
      </c>
      <c r="D3218" t="s">
        <v>18003</v>
      </c>
      <c r="E3218" t="s">
        <v>20946</v>
      </c>
      <c r="F3218" t="s">
        <v>30900</v>
      </c>
      <c r="G3218" t="s">
        <v>30907</v>
      </c>
      <c r="H3218" t="s">
        <v>30916</v>
      </c>
      <c r="I3218" t="s">
        <v>31003</v>
      </c>
      <c r="J3218" t="s">
        <v>31092</v>
      </c>
      <c r="K3218" t="s">
        <v>40289</v>
      </c>
      <c r="M3218" t="s">
        <v>41977</v>
      </c>
      <c r="N3218" t="s">
        <v>44759</v>
      </c>
      <c r="O3218" t="s">
        <v>44760</v>
      </c>
      <c r="P3218">
        <v>0</v>
      </c>
      <c r="Q3218">
        <v>0</v>
      </c>
      <c r="R3218" t="s">
        <v>44762</v>
      </c>
      <c r="S3218" t="s">
        <v>44863</v>
      </c>
      <c r="T3218" t="s">
        <v>46418</v>
      </c>
      <c r="U3218" t="s">
        <v>49700</v>
      </c>
      <c r="W3218" t="s">
        <v>41977</v>
      </c>
      <c r="X3218" t="s">
        <v>44763</v>
      </c>
    </row>
    <row r="3219" spans="1:24">
      <c r="A3219">
        <f>HYPERLINK("https://www.philgeps.gov.ph/GEPSNONPILOT/Tender/SplashBidNoticeAbstractUI.aspx?menuIndex=3&amp;refID=7149672&amp;Result=3","7149672")</f>
        <v>0</v>
      </c>
      <c r="B3219" t="s">
        <v>1356</v>
      </c>
      <c r="C3219" t="s">
        <v>6844</v>
      </c>
      <c r="D3219" t="s">
        <v>17953</v>
      </c>
      <c r="E3219" t="s">
        <v>20947</v>
      </c>
      <c r="F3219" t="s">
        <v>30900</v>
      </c>
      <c r="G3219" t="s">
        <v>30908</v>
      </c>
      <c r="H3219" t="s">
        <v>30916</v>
      </c>
      <c r="I3219" t="s">
        <v>6396</v>
      </c>
      <c r="J3219" t="s">
        <v>33330</v>
      </c>
      <c r="K3219" t="s">
        <v>40286</v>
      </c>
      <c r="M3219" t="s">
        <v>41978</v>
      </c>
      <c r="N3219" t="s">
        <v>44759</v>
      </c>
      <c r="O3219" t="s">
        <v>44760</v>
      </c>
      <c r="P3219">
        <v>0</v>
      </c>
      <c r="Q3219">
        <v>3</v>
      </c>
      <c r="R3219" t="s">
        <v>44762</v>
      </c>
      <c r="S3219" t="s">
        <v>44863</v>
      </c>
      <c r="T3219" t="s">
        <v>46398</v>
      </c>
      <c r="U3219" t="s">
        <v>49701</v>
      </c>
      <c r="V3219" t="s">
        <v>59478</v>
      </c>
      <c r="W3219" t="s">
        <v>41978</v>
      </c>
      <c r="X3219" t="s">
        <v>44763</v>
      </c>
    </row>
    <row r="3220" spans="1:24">
      <c r="A3220">
        <f>HYPERLINK("https://www.philgeps.gov.ph/GEPSNONPILOT/Tender/SplashBidNoticeAbstractUI.aspx?menuIndex=3&amp;refID=7149671&amp;Result=3","7149671")</f>
        <v>0</v>
      </c>
      <c r="B3220" t="s">
        <v>878</v>
      </c>
      <c r="C3220" t="s">
        <v>6845</v>
      </c>
      <c r="D3220" t="s">
        <v>17978</v>
      </c>
      <c r="E3220" t="s">
        <v>20948</v>
      </c>
      <c r="F3220" t="s">
        <v>30900</v>
      </c>
      <c r="G3220" t="s">
        <v>30908</v>
      </c>
      <c r="H3220" t="s">
        <v>30916</v>
      </c>
      <c r="I3220" t="s">
        <v>30967</v>
      </c>
      <c r="J3220" t="s">
        <v>33331</v>
      </c>
      <c r="K3220" t="s">
        <v>40331</v>
      </c>
      <c r="M3220" t="s">
        <v>41487</v>
      </c>
      <c r="N3220" t="s">
        <v>44759</v>
      </c>
      <c r="O3220" t="s">
        <v>44760</v>
      </c>
      <c r="P3220">
        <v>0</v>
      </c>
      <c r="Q3220">
        <v>1</v>
      </c>
      <c r="R3220" t="s">
        <v>44762</v>
      </c>
      <c r="S3220" t="s">
        <v>44863</v>
      </c>
      <c r="T3220" t="s">
        <v>46383</v>
      </c>
      <c r="U3220" t="s">
        <v>47466</v>
      </c>
      <c r="W3220" t="s">
        <v>41487</v>
      </c>
      <c r="X3220" t="s">
        <v>44763</v>
      </c>
    </row>
    <row r="3221" spans="1:24">
      <c r="A3221">
        <f>HYPERLINK("https://www.philgeps.gov.ph/GEPSNONPILOT/Tender/SplashBidNoticeAbstractUI.aspx?menuIndex=3&amp;refID=7149670&amp;Result=3","7149670")</f>
        <v>0</v>
      </c>
      <c r="B3221" t="s">
        <v>478</v>
      </c>
      <c r="C3221" t="s">
        <v>6846</v>
      </c>
      <c r="D3221" t="s">
        <v>17959</v>
      </c>
      <c r="E3221" t="s">
        <v>20949</v>
      </c>
      <c r="F3221" t="s">
        <v>30900</v>
      </c>
      <c r="G3221" t="s">
        <v>30908</v>
      </c>
      <c r="H3221" t="s">
        <v>30916</v>
      </c>
      <c r="I3221" t="s">
        <v>30949</v>
      </c>
      <c r="J3221" t="s">
        <v>33332</v>
      </c>
      <c r="K3221" t="s">
        <v>40287</v>
      </c>
      <c r="M3221" t="s">
        <v>41719</v>
      </c>
      <c r="N3221" t="s">
        <v>44759</v>
      </c>
      <c r="O3221" t="s">
        <v>44760</v>
      </c>
      <c r="P3221">
        <v>0</v>
      </c>
      <c r="Q3221">
        <v>2</v>
      </c>
      <c r="R3221" t="s">
        <v>44762</v>
      </c>
      <c r="S3221" t="s">
        <v>44863</v>
      </c>
      <c r="T3221" t="s">
        <v>46410</v>
      </c>
      <c r="U3221" t="s">
        <v>49702</v>
      </c>
      <c r="W3221" t="s">
        <v>41719</v>
      </c>
      <c r="X3221" t="s">
        <v>44763</v>
      </c>
    </row>
    <row r="3222" spans="1:24">
      <c r="A3222">
        <f>HYPERLINK("https://www.philgeps.gov.ph/GEPSNONPILOT/Tender/SplashBidNoticeAbstractUI.aspx?menuIndex=3&amp;refID=7149665&amp;Result=3","7149665")</f>
        <v>0</v>
      </c>
      <c r="B3222" t="s">
        <v>1357</v>
      </c>
      <c r="C3222" t="s">
        <v>6847</v>
      </c>
      <c r="D3222" t="s">
        <v>18025</v>
      </c>
      <c r="E3222" t="s">
        <v>19449</v>
      </c>
      <c r="F3222" t="s">
        <v>30900</v>
      </c>
      <c r="G3222" t="s">
        <v>30910</v>
      </c>
      <c r="H3222" t="s">
        <v>30917</v>
      </c>
      <c r="I3222" t="s">
        <v>30932</v>
      </c>
      <c r="J3222" t="s">
        <v>31811</v>
      </c>
      <c r="K3222" t="s">
        <v>40283</v>
      </c>
      <c r="M3222" t="s">
        <v>41979</v>
      </c>
      <c r="N3222" t="s">
        <v>44759</v>
      </c>
      <c r="O3222" t="s">
        <v>44760</v>
      </c>
      <c r="P3222">
        <v>0</v>
      </c>
      <c r="Q3222">
        <v>0</v>
      </c>
      <c r="R3222" t="s">
        <v>44762</v>
      </c>
      <c r="S3222" t="s">
        <v>44863</v>
      </c>
      <c r="T3222" t="s">
        <v>46410</v>
      </c>
      <c r="U3222" t="s">
        <v>49703</v>
      </c>
      <c r="W3222" t="s">
        <v>41979</v>
      </c>
      <c r="X3222" t="s">
        <v>44763</v>
      </c>
    </row>
    <row r="3223" spans="1:24">
      <c r="A3223">
        <f>HYPERLINK("https://www.philgeps.gov.ph/GEPSNONPILOT/Tender/SplashBidNoticeAbstractUI.aspx?menuIndex=3&amp;refID=7149663&amp;Result=3","7149663")</f>
        <v>0</v>
      </c>
      <c r="B3223" t="s">
        <v>1358</v>
      </c>
      <c r="C3223" t="s">
        <v>6848</v>
      </c>
      <c r="D3223" t="s">
        <v>17969</v>
      </c>
      <c r="E3223" t="s">
        <v>19963</v>
      </c>
      <c r="F3223" t="s">
        <v>30900</v>
      </c>
      <c r="G3223" t="s">
        <v>30907</v>
      </c>
      <c r="H3223" t="s">
        <v>30915</v>
      </c>
      <c r="I3223" t="s">
        <v>30919</v>
      </c>
      <c r="J3223" t="s">
        <v>33333</v>
      </c>
      <c r="K3223" t="s">
        <v>40354</v>
      </c>
      <c r="M3223" t="s">
        <v>41980</v>
      </c>
      <c r="N3223" t="s">
        <v>44759</v>
      </c>
      <c r="O3223" t="s">
        <v>44760</v>
      </c>
      <c r="P3223">
        <v>0</v>
      </c>
      <c r="Q3223">
        <v>0</v>
      </c>
      <c r="R3223" t="s">
        <v>44762</v>
      </c>
      <c r="S3223" t="s">
        <v>44863</v>
      </c>
      <c r="T3223" t="s">
        <v>46465</v>
      </c>
      <c r="U3223" t="s">
        <v>49704</v>
      </c>
      <c r="W3223" t="s">
        <v>41980</v>
      </c>
      <c r="X3223" t="s">
        <v>44763</v>
      </c>
    </row>
    <row r="3224" spans="1:24">
      <c r="A3224">
        <f>HYPERLINK("https://www.philgeps.gov.ph/GEPSNONPILOT/Tender/SplashBidNoticeAbstractUI.aspx?menuIndex=3&amp;refID=7149662&amp;Result=3","7149662")</f>
        <v>0</v>
      </c>
      <c r="B3224" t="s">
        <v>1359</v>
      </c>
      <c r="C3224" t="s">
        <v>6849</v>
      </c>
      <c r="D3224" t="s">
        <v>17965</v>
      </c>
      <c r="E3224" t="s">
        <v>20950</v>
      </c>
      <c r="F3224" t="s">
        <v>30900</v>
      </c>
      <c r="G3224" t="s">
        <v>30907</v>
      </c>
      <c r="H3224" t="s">
        <v>30916</v>
      </c>
      <c r="I3224" t="s">
        <v>30949</v>
      </c>
      <c r="J3224" t="s">
        <v>33334</v>
      </c>
      <c r="K3224" t="s">
        <v>40280</v>
      </c>
      <c r="M3224" t="s">
        <v>41981</v>
      </c>
      <c r="N3224" t="s">
        <v>44759</v>
      </c>
      <c r="O3224" t="s">
        <v>44760</v>
      </c>
      <c r="P3224">
        <v>0</v>
      </c>
      <c r="Q3224">
        <v>1</v>
      </c>
      <c r="R3224" t="s">
        <v>44762</v>
      </c>
      <c r="S3224" t="s">
        <v>44863</v>
      </c>
      <c r="T3224" t="s">
        <v>46613</v>
      </c>
      <c r="U3224" t="s">
        <v>49705</v>
      </c>
      <c r="W3224" t="s">
        <v>41981</v>
      </c>
      <c r="X3224" t="s">
        <v>44763</v>
      </c>
    </row>
    <row r="3225" spans="1:24">
      <c r="A3225">
        <f>HYPERLINK("https://www.philgeps.gov.ph/GEPSNONPILOT/Tender/SplashBidNoticeAbstractUI.aspx?menuIndex=3&amp;refID=7149675&amp;Result=3","7149675")</f>
        <v>0</v>
      </c>
      <c r="B3225" t="s">
        <v>128</v>
      </c>
      <c r="C3225" t="s">
        <v>6850</v>
      </c>
      <c r="D3225" t="s">
        <v>17952</v>
      </c>
      <c r="E3225" t="s">
        <v>20951</v>
      </c>
      <c r="F3225" t="s">
        <v>30900</v>
      </c>
      <c r="G3225" t="s">
        <v>30909</v>
      </c>
      <c r="H3225" t="s">
        <v>30916</v>
      </c>
      <c r="I3225" t="s">
        <v>30935</v>
      </c>
      <c r="J3225" t="s">
        <v>31271</v>
      </c>
      <c r="K3225" t="s">
        <v>40284</v>
      </c>
      <c r="M3225" t="s">
        <v>40675</v>
      </c>
      <c r="N3225" t="s">
        <v>44759</v>
      </c>
      <c r="O3225" t="s">
        <v>44760</v>
      </c>
      <c r="P3225">
        <v>0</v>
      </c>
      <c r="Q3225">
        <v>1</v>
      </c>
      <c r="R3225" t="s">
        <v>44762</v>
      </c>
      <c r="S3225" t="s">
        <v>44863</v>
      </c>
      <c r="T3225" t="s">
        <v>46376</v>
      </c>
      <c r="U3225" t="s">
        <v>49706</v>
      </c>
      <c r="V3225" t="s">
        <v>59119</v>
      </c>
      <c r="W3225" t="s">
        <v>40675</v>
      </c>
      <c r="X3225" t="s">
        <v>44763</v>
      </c>
    </row>
    <row r="3226" spans="1:24">
      <c r="A3226">
        <f>HYPERLINK("https://www.philgeps.gov.ph/GEPSNONPILOT/Tender/SplashBidNoticeAbstractUI.aspx?menuIndex=3&amp;refID=7149660&amp;Result=3","7149660")</f>
        <v>0</v>
      </c>
      <c r="B3226" t="s">
        <v>1360</v>
      </c>
      <c r="C3226" t="s">
        <v>6851</v>
      </c>
      <c r="D3226" t="s">
        <v>18025</v>
      </c>
      <c r="E3226" t="s">
        <v>20952</v>
      </c>
      <c r="F3226" t="s">
        <v>30900</v>
      </c>
      <c r="G3226" t="s">
        <v>30910</v>
      </c>
      <c r="H3226" t="s">
        <v>30916</v>
      </c>
      <c r="I3226" t="s">
        <v>30921</v>
      </c>
      <c r="J3226" t="s">
        <v>31096</v>
      </c>
      <c r="K3226" t="s">
        <v>40289</v>
      </c>
      <c r="M3226" t="s">
        <v>41982</v>
      </c>
      <c r="N3226" t="s">
        <v>44759</v>
      </c>
      <c r="O3226" t="s">
        <v>44760</v>
      </c>
      <c r="P3226">
        <v>0</v>
      </c>
      <c r="Q3226">
        <v>4</v>
      </c>
      <c r="R3226" t="s">
        <v>44762</v>
      </c>
      <c r="S3226" t="s">
        <v>44863</v>
      </c>
      <c r="T3226" t="s">
        <v>46379</v>
      </c>
      <c r="U3226" t="s">
        <v>49707</v>
      </c>
      <c r="W3226" t="s">
        <v>41982</v>
      </c>
      <c r="X3226" t="s">
        <v>44763</v>
      </c>
    </row>
    <row r="3227" spans="1:24">
      <c r="A3227">
        <f>HYPERLINK("https://www.philgeps.gov.ph/GEPSNONPILOT/Tender/SplashBidNoticeAbstractUI.aspx?menuIndex=3&amp;refID=7149666&amp;Result=3","7149666")</f>
        <v>0</v>
      </c>
      <c r="B3227" t="s">
        <v>497</v>
      </c>
      <c r="C3227" t="s">
        <v>6852</v>
      </c>
      <c r="D3227" t="s">
        <v>17951</v>
      </c>
      <c r="E3227" t="s">
        <v>18912</v>
      </c>
      <c r="F3227" t="s">
        <v>30900</v>
      </c>
      <c r="G3227" t="s">
        <v>30908</v>
      </c>
      <c r="H3227" t="s">
        <v>30916</v>
      </c>
      <c r="I3227" t="s">
        <v>30932</v>
      </c>
      <c r="J3227" t="s">
        <v>31522</v>
      </c>
      <c r="K3227" t="s">
        <v>40285</v>
      </c>
      <c r="M3227" t="s">
        <v>41056</v>
      </c>
      <c r="N3227" t="s">
        <v>44759</v>
      </c>
      <c r="O3227" t="s">
        <v>44760</v>
      </c>
      <c r="P3227">
        <v>0</v>
      </c>
      <c r="Q3227">
        <v>1</v>
      </c>
      <c r="R3227" t="s">
        <v>44762</v>
      </c>
      <c r="S3227" t="s">
        <v>44863</v>
      </c>
      <c r="T3227" t="s">
        <v>46414</v>
      </c>
      <c r="U3227" t="s">
        <v>49708</v>
      </c>
      <c r="W3227" t="s">
        <v>41056</v>
      </c>
      <c r="X3227" t="s">
        <v>44763</v>
      </c>
    </row>
    <row r="3228" spans="1:24">
      <c r="A3228">
        <f>HYPERLINK("https://www.philgeps.gov.ph/GEPSNONPILOT/Tender/SplashBidNoticeAbstractUI.aspx?menuIndex=3&amp;refID=7149612&amp;Result=3","7149612")</f>
        <v>0</v>
      </c>
      <c r="B3228" t="s">
        <v>916</v>
      </c>
      <c r="C3228" t="s">
        <v>6853</v>
      </c>
      <c r="D3228" t="s">
        <v>17952</v>
      </c>
      <c r="E3228" t="s">
        <v>20953</v>
      </c>
      <c r="F3228" t="s">
        <v>30900</v>
      </c>
      <c r="G3228" t="s">
        <v>30909</v>
      </c>
      <c r="H3228" t="s">
        <v>30916</v>
      </c>
      <c r="I3228" t="s">
        <v>4108</v>
      </c>
      <c r="J3228" t="s">
        <v>33335</v>
      </c>
      <c r="K3228" t="s">
        <v>40285</v>
      </c>
      <c r="M3228" t="s">
        <v>41495</v>
      </c>
      <c r="N3228" t="s">
        <v>44759</v>
      </c>
      <c r="O3228" t="s">
        <v>44760</v>
      </c>
      <c r="P3228">
        <v>0</v>
      </c>
      <c r="Q3228">
        <v>0</v>
      </c>
      <c r="R3228" t="s">
        <v>44762</v>
      </c>
      <c r="S3228" t="s">
        <v>44863</v>
      </c>
      <c r="T3228" t="s">
        <v>46374</v>
      </c>
      <c r="U3228" t="s">
        <v>49709</v>
      </c>
      <c r="W3228" t="s">
        <v>41495</v>
      </c>
      <c r="X3228" t="s">
        <v>44763</v>
      </c>
    </row>
    <row r="3229" spans="1:24">
      <c r="A3229">
        <f>HYPERLINK("https://www.philgeps.gov.ph/GEPSNONPILOT/Tender/SplashBidNoticeAbstractUI.aspx?menuIndex=3&amp;refID=7149657&amp;Result=3","7149657")</f>
        <v>0</v>
      </c>
      <c r="B3229" t="s">
        <v>716</v>
      </c>
      <c r="C3229" t="s">
        <v>6854</v>
      </c>
      <c r="D3229" t="s">
        <v>17952</v>
      </c>
      <c r="E3229" t="s">
        <v>19387</v>
      </c>
      <c r="F3229" t="s">
        <v>30900</v>
      </c>
      <c r="G3229" t="s">
        <v>30909</v>
      </c>
      <c r="H3229" t="s">
        <v>30916</v>
      </c>
      <c r="I3229" t="s">
        <v>30923</v>
      </c>
      <c r="J3229" t="s">
        <v>31183</v>
      </c>
      <c r="K3229" t="s">
        <v>40288</v>
      </c>
      <c r="M3229" t="s">
        <v>41280</v>
      </c>
      <c r="N3229" t="s">
        <v>44759</v>
      </c>
      <c r="O3229" t="s">
        <v>44760</v>
      </c>
      <c r="P3229">
        <v>0</v>
      </c>
      <c r="Q3229">
        <v>1</v>
      </c>
      <c r="R3229" t="s">
        <v>44762</v>
      </c>
      <c r="S3229" t="s">
        <v>44863</v>
      </c>
      <c r="T3229" t="s">
        <v>46390</v>
      </c>
      <c r="U3229" t="s">
        <v>49710</v>
      </c>
      <c r="V3229" t="s">
        <v>59479</v>
      </c>
      <c r="W3229" t="s">
        <v>41280</v>
      </c>
      <c r="X3229" t="s">
        <v>44763</v>
      </c>
    </row>
    <row r="3230" spans="1:24">
      <c r="A3230">
        <f>HYPERLINK("https://www.philgeps.gov.ph/GEPSNONPILOT/Tender/SplashBidNoticeAbstractUI.aspx?menuIndex=3&amp;refID=7149661&amp;Result=3","7149661")</f>
        <v>0</v>
      </c>
      <c r="B3230" t="s">
        <v>892</v>
      </c>
      <c r="C3230" t="s">
        <v>6855</v>
      </c>
      <c r="D3230" t="s">
        <v>17978</v>
      </c>
      <c r="E3230" t="s">
        <v>20954</v>
      </c>
      <c r="F3230" t="s">
        <v>30900</v>
      </c>
      <c r="G3230" t="s">
        <v>30907</v>
      </c>
      <c r="H3230" t="s">
        <v>30915</v>
      </c>
      <c r="I3230" t="s">
        <v>30919</v>
      </c>
      <c r="J3230" t="s">
        <v>33336</v>
      </c>
      <c r="K3230" t="s">
        <v>40292</v>
      </c>
      <c r="M3230" t="s">
        <v>41466</v>
      </c>
      <c r="N3230" t="s">
        <v>44759</v>
      </c>
      <c r="O3230" t="s">
        <v>44760</v>
      </c>
      <c r="P3230">
        <v>0</v>
      </c>
      <c r="Q3230">
        <v>1</v>
      </c>
      <c r="R3230" t="s">
        <v>44762</v>
      </c>
      <c r="S3230" t="s">
        <v>44863</v>
      </c>
      <c r="T3230" t="s">
        <v>46465</v>
      </c>
      <c r="U3230" t="s">
        <v>49711</v>
      </c>
      <c r="W3230" t="s">
        <v>41466</v>
      </c>
      <c r="X3230" t="s">
        <v>44763</v>
      </c>
    </row>
    <row r="3231" spans="1:24">
      <c r="A3231">
        <f>HYPERLINK("https://www.philgeps.gov.ph/GEPSNONPILOT/Tender/SplashBidNoticeAbstractUI.aspx?menuIndex=3&amp;refID=7149656&amp;Result=3","7149656")</f>
        <v>0</v>
      </c>
      <c r="B3231" t="s">
        <v>1314</v>
      </c>
      <c r="C3231" t="s">
        <v>6856</v>
      </c>
      <c r="D3231" t="s">
        <v>17961</v>
      </c>
      <c r="E3231" t="s">
        <v>20955</v>
      </c>
      <c r="F3231" t="s">
        <v>30900</v>
      </c>
      <c r="G3231" t="s">
        <v>30908</v>
      </c>
      <c r="H3231" t="s">
        <v>7411</v>
      </c>
      <c r="I3231" t="s">
        <v>7411</v>
      </c>
      <c r="J3231" t="s">
        <v>33337</v>
      </c>
      <c r="K3231" t="s">
        <v>40289</v>
      </c>
      <c r="L3231" t="s">
        <v>1314</v>
      </c>
      <c r="M3231" t="s">
        <v>41932</v>
      </c>
      <c r="N3231" t="s">
        <v>44759</v>
      </c>
      <c r="O3231" t="s">
        <v>44760</v>
      </c>
      <c r="P3231">
        <v>0</v>
      </c>
      <c r="Q3231">
        <v>0</v>
      </c>
      <c r="R3231" t="s">
        <v>44762</v>
      </c>
      <c r="S3231" t="s">
        <v>44863</v>
      </c>
      <c r="T3231" t="s">
        <v>46425</v>
      </c>
      <c r="U3231" t="s">
        <v>49653</v>
      </c>
      <c r="W3231" t="s">
        <v>41932</v>
      </c>
      <c r="X3231" t="s">
        <v>44763</v>
      </c>
    </row>
    <row r="3232" spans="1:24">
      <c r="A3232">
        <f>HYPERLINK("https://www.philgeps.gov.ph/GEPSNONPILOT/Tender/SplashBidNoticeAbstractUI.aspx?menuIndex=3&amp;refID=7149703&amp;Result=3","7149703")</f>
        <v>0</v>
      </c>
      <c r="B3232" t="s">
        <v>892</v>
      </c>
      <c r="C3232" t="s">
        <v>6857</v>
      </c>
      <c r="D3232" t="s">
        <v>17978</v>
      </c>
      <c r="E3232" t="s">
        <v>20956</v>
      </c>
      <c r="F3232" t="s">
        <v>30900</v>
      </c>
      <c r="G3232" t="s">
        <v>30907</v>
      </c>
      <c r="H3232" t="s">
        <v>30915</v>
      </c>
      <c r="I3232" t="s">
        <v>30919</v>
      </c>
      <c r="J3232" t="s">
        <v>32049</v>
      </c>
      <c r="K3232" t="s">
        <v>40280</v>
      </c>
      <c r="M3232" t="s">
        <v>41466</v>
      </c>
      <c r="N3232" t="s">
        <v>44759</v>
      </c>
      <c r="O3232" t="s">
        <v>44760</v>
      </c>
      <c r="P3232">
        <v>0</v>
      </c>
      <c r="Q3232">
        <v>0</v>
      </c>
      <c r="R3232" t="s">
        <v>44762</v>
      </c>
      <c r="S3232" t="s">
        <v>44863</v>
      </c>
      <c r="T3232" t="s">
        <v>46465</v>
      </c>
      <c r="U3232" t="s">
        <v>49711</v>
      </c>
      <c r="W3232" t="s">
        <v>41466</v>
      </c>
      <c r="X3232" t="s">
        <v>44763</v>
      </c>
    </row>
    <row r="3233" spans="1:24">
      <c r="A3233">
        <f>HYPERLINK("https://www.philgeps.gov.ph/GEPSNONPILOT/Tender/SplashBidNoticeAbstractUI.aspx?menuIndex=3&amp;refID=7149699&amp;Result=3","7149699")</f>
        <v>0</v>
      </c>
      <c r="B3233" t="s">
        <v>998</v>
      </c>
      <c r="C3233" t="s">
        <v>6858</v>
      </c>
      <c r="D3233" t="s">
        <v>17952</v>
      </c>
      <c r="E3233" t="s">
        <v>20957</v>
      </c>
      <c r="F3233" t="s">
        <v>30900</v>
      </c>
      <c r="G3233" t="s">
        <v>30907</v>
      </c>
      <c r="H3233" t="s">
        <v>30916</v>
      </c>
      <c r="I3233" t="s">
        <v>31011</v>
      </c>
      <c r="J3233" t="s">
        <v>33338</v>
      </c>
      <c r="K3233" t="s">
        <v>40293</v>
      </c>
      <c r="M3233" t="s">
        <v>41587</v>
      </c>
      <c r="N3233" t="s">
        <v>44759</v>
      </c>
      <c r="O3233" t="s">
        <v>44760</v>
      </c>
      <c r="P3233">
        <v>0</v>
      </c>
      <c r="Q3233">
        <v>10</v>
      </c>
      <c r="R3233" t="s">
        <v>44762</v>
      </c>
      <c r="S3233" t="s">
        <v>44863</v>
      </c>
      <c r="T3233" t="s">
        <v>46411</v>
      </c>
      <c r="U3233" t="s">
        <v>49712</v>
      </c>
      <c r="V3233" t="s">
        <v>59480</v>
      </c>
      <c r="W3233" t="s">
        <v>41587</v>
      </c>
      <c r="X3233" t="s">
        <v>44763</v>
      </c>
    </row>
    <row r="3234" spans="1:24">
      <c r="A3234">
        <f>HYPERLINK("https://www.philgeps.gov.ph/GEPSNONPILOT/Tender/SplashBidNoticeAbstractUI.aspx?menuIndex=3&amp;refID=7149642&amp;Result=3","7149642")</f>
        <v>0</v>
      </c>
      <c r="B3234" t="s">
        <v>1361</v>
      </c>
      <c r="C3234" t="s">
        <v>6859</v>
      </c>
      <c r="D3234" t="s">
        <v>17985</v>
      </c>
      <c r="E3234" t="s">
        <v>18234</v>
      </c>
      <c r="F3234" t="s">
        <v>30900</v>
      </c>
      <c r="G3234" t="s">
        <v>30907</v>
      </c>
      <c r="H3234" t="s">
        <v>30916</v>
      </c>
      <c r="I3234" t="s">
        <v>30922</v>
      </c>
      <c r="J3234" t="s">
        <v>33339</v>
      </c>
      <c r="K3234" t="s">
        <v>40286</v>
      </c>
      <c r="M3234" t="s">
        <v>41983</v>
      </c>
      <c r="N3234" t="s">
        <v>44759</v>
      </c>
      <c r="O3234" t="s">
        <v>44760</v>
      </c>
      <c r="P3234">
        <v>0</v>
      </c>
      <c r="Q3234">
        <v>1</v>
      </c>
      <c r="R3234" t="s">
        <v>44762</v>
      </c>
      <c r="S3234" t="s">
        <v>44863</v>
      </c>
      <c r="T3234" t="s">
        <v>46425</v>
      </c>
      <c r="U3234" t="s">
        <v>49713</v>
      </c>
      <c r="W3234" t="s">
        <v>41983</v>
      </c>
      <c r="X3234" t="s">
        <v>44763</v>
      </c>
    </row>
    <row r="3235" spans="1:24">
      <c r="A3235">
        <f>HYPERLINK("https://www.philgeps.gov.ph/GEPSNONPILOT/Tender/SplashBidNoticeAbstractUI.aspx?menuIndex=3&amp;refID=7149680&amp;Result=3","7149680")</f>
        <v>0</v>
      </c>
      <c r="B3235" t="s">
        <v>235</v>
      </c>
      <c r="C3235" t="s">
        <v>6860</v>
      </c>
      <c r="D3235" t="s">
        <v>17959</v>
      </c>
      <c r="E3235" t="s">
        <v>18427</v>
      </c>
      <c r="F3235" t="s">
        <v>30900</v>
      </c>
      <c r="G3235" t="s">
        <v>30908</v>
      </c>
      <c r="H3235" t="s">
        <v>30916</v>
      </c>
      <c r="I3235" t="s">
        <v>30923</v>
      </c>
      <c r="J3235" t="s">
        <v>33340</v>
      </c>
      <c r="K3235" t="s">
        <v>40289</v>
      </c>
      <c r="M3235" t="s">
        <v>40782</v>
      </c>
      <c r="N3235" t="s">
        <v>44759</v>
      </c>
      <c r="O3235" t="s">
        <v>44760</v>
      </c>
      <c r="P3235">
        <v>0</v>
      </c>
      <c r="Q3235">
        <v>3</v>
      </c>
      <c r="R3235" t="s">
        <v>44762</v>
      </c>
      <c r="S3235" t="s">
        <v>44863</v>
      </c>
      <c r="T3235" t="s">
        <v>46410</v>
      </c>
      <c r="U3235" t="s">
        <v>49714</v>
      </c>
      <c r="V3235" t="s">
        <v>59151</v>
      </c>
      <c r="W3235" t="s">
        <v>40782</v>
      </c>
      <c r="X3235" t="s">
        <v>44763</v>
      </c>
    </row>
    <row r="3236" spans="1:24">
      <c r="A3236">
        <f>HYPERLINK("https://www.philgeps.gov.ph/GEPSNONPILOT/Tender/SplashBidNoticeAbstractUI.aspx?menuIndex=3&amp;refID=7149697&amp;Result=3","7149697")</f>
        <v>0</v>
      </c>
      <c r="B3236" t="s">
        <v>1362</v>
      </c>
      <c r="C3236" t="s">
        <v>6861</v>
      </c>
      <c r="D3236" t="s">
        <v>17993</v>
      </c>
      <c r="E3236" t="s">
        <v>19629</v>
      </c>
      <c r="F3236" t="s">
        <v>30900</v>
      </c>
      <c r="G3236" t="s">
        <v>30906</v>
      </c>
      <c r="H3236" t="s">
        <v>30916</v>
      </c>
      <c r="I3236" t="s">
        <v>30933</v>
      </c>
      <c r="J3236" t="s">
        <v>33341</v>
      </c>
      <c r="K3236" t="s">
        <v>40311</v>
      </c>
      <c r="M3236" t="s">
        <v>41984</v>
      </c>
      <c r="N3236" t="s">
        <v>44759</v>
      </c>
      <c r="O3236" t="s">
        <v>44760</v>
      </c>
      <c r="P3236">
        <v>0</v>
      </c>
      <c r="Q3236">
        <v>3</v>
      </c>
      <c r="R3236" t="s">
        <v>44762</v>
      </c>
      <c r="S3236" t="s">
        <v>44863</v>
      </c>
      <c r="T3236" t="s">
        <v>46398</v>
      </c>
      <c r="U3236" t="s">
        <v>49715</v>
      </c>
      <c r="W3236" t="s">
        <v>41984</v>
      </c>
      <c r="X3236" t="s">
        <v>44763</v>
      </c>
    </row>
    <row r="3237" spans="1:24">
      <c r="A3237">
        <f>HYPERLINK("https://www.philgeps.gov.ph/GEPSNONPILOT/Tender/SplashBidNoticeAbstractUI.aspx?menuIndex=3&amp;refID=7149695&amp;Result=3","7149695")</f>
        <v>0</v>
      </c>
      <c r="B3237" t="s">
        <v>1339</v>
      </c>
      <c r="C3237" t="s">
        <v>6862</v>
      </c>
      <c r="D3237" t="s">
        <v>18001</v>
      </c>
      <c r="E3237" t="s">
        <v>20958</v>
      </c>
      <c r="F3237" t="s">
        <v>30900</v>
      </c>
      <c r="G3237" t="s">
        <v>30908</v>
      </c>
      <c r="H3237" t="s">
        <v>30915</v>
      </c>
      <c r="I3237" t="s">
        <v>30919</v>
      </c>
      <c r="J3237" t="s">
        <v>33342</v>
      </c>
      <c r="K3237" t="s">
        <v>40346</v>
      </c>
      <c r="M3237" t="s">
        <v>41960</v>
      </c>
      <c r="N3237" t="s">
        <v>44759</v>
      </c>
      <c r="O3237" t="s">
        <v>44760</v>
      </c>
      <c r="P3237">
        <v>0</v>
      </c>
      <c r="Q3237">
        <v>0</v>
      </c>
      <c r="R3237" t="s">
        <v>44762</v>
      </c>
      <c r="S3237" t="s">
        <v>44863</v>
      </c>
      <c r="T3237" t="s">
        <v>46414</v>
      </c>
      <c r="U3237" t="s">
        <v>49716</v>
      </c>
      <c r="W3237" t="s">
        <v>41960</v>
      </c>
      <c r="X3237" t="s">
        <v>44763</v>
      </c>
    </row>
    <row r="3238" spans="1:24">
      <c r="A3238">
        <f>HYPERLINK("https://www.philgeps.gov.ph/GEPSNONPILOT/Tender/SplashBidNoticeAbstractUI.aspx?menuIndex=3&amp;refID=7149659&amp;Result=3","7149659")</f>
        <v>0</v>
      </c>
      <c r="B3238" t="s">
        <v>824</v>
      </c>
      <c r="C3238" t="s">
        <v>6863</v>
      </c>
      <c r="D3238" t="s">
        <v>17962</v>
      </c>
      <c r="E3238" t="s">
        <v>20959</v>
      </c>
      <c r="F3238" t="s">
        <v>30900</v>
      </c>
      <c r="G3238" t="s">
        <v>30908</v>
      </c>
      <c r="H3238" t="s">
        <v>30916</v>
      </c>
      <c r="I3238" t="s">
        <v>9385</v>
      </c>
      <c r="J3238" t="s">
        <v>33343</v>
      </c>
      <c r="K3238" t="s">
        <v>40286</v>
      </c>
      <c r="M3238" t="s">
        <v>41396</v>
      </c>
      <c r="N3238" t="s">
        <v>44759</v>
      </c>
      <c r="O3238" t="s">
        <v>44760</v>
      </c>
      <c r="P3238">
        <v>0</v>
      </c>
      <c r="Q3238">
        <v>16</v>
      </c>
      <c r="R3238" t="s">
        <v>44762</v>
      </c>
      <c r="S3238" t="s">
        <v>44863</v>
      </c>
      <c r="T3238" t="s">
        <v>46363</v>
      </c>
      <c r="U3238" t="s">
        <v>48418</v>
      </c>
      <c r="W3238" t="s">
        <v>41396</v>
      </c>
      <c r="X3238" t="s">
        <v>44763</v>
      </c>
    </row>
    <row r="3239" spans="1:24">
      <c r="A3239">
        <f>HYPERLINK("https://www.philgeps.gov.ph/GEPSNONPILOT/Tender/SplashBidNoticeAbstractUI.aspx?menuIndex=3&amp;refID=7149693&amp;Result=3","7149693")</f>
        <v>0</v>
      </c>
      <c r="B3239" t="s">
        <v>1363</v>
      </c>
      <c r="C3239" t="s">
        <v>6864</v>
      </c>
      <c r="D3239" t="s">
        <v>18018</v>
      </c>
      <c r="E3239" t="s">
        <v>20960</v>
      </c>
      <c r="F3239" t="s">
        <v>30900</v>
      </c>
      <c r="G3239" t="s">
        <v>30907</v>
      </c>
      <c r="H3239" t="s">
        <v>30915</v>
      </c>
      <c r="I3239" t="s">
        <v>30919</v>
      </c>
      <c r="J3239" t="s">
        <v>33344</v>
      </c>
      <c r="K3239" t="s">
        <v>40386</v>
      </c>
      <c r="M3239" t="s">
        <v>41985</v>
      </c>
      <c r="N3239" t="s">
        <v>44759</v>
      </c>
      <c r="O3239" t="s">
        <v>44760</v>
      </c>
      <c r="P3239">
        <v>0</v>
      </c>
      <c r="Q3239">
        <v>0</v>
      </c>
      <c r="R3239" t="s">
        <v>44762</v>
      </c>
      <c r="S3239" t="s">
        <v>44863</v>
      </c>
      <c r="T3239" t="s">
        <v>46389</v>
      </c>
      <c r="U3239" t="s">
        <v>49717</v>
      </c>
      <c r="V3239" t="s">
        <v>59481</v>
      </c>
      <c r="W3239" t="s">
        <v>41985</v>
      </c>
      <c r="X3239" t="s">
        <v>44763</v>
      </c>
    </row>
    <row r="3240" spans="1:24">
      <c r="A3240">
        <f>HYPERLINK("https://www.philgeps.gov.ph/GEPSNONPILOT/Tender/SplashBidNoticeAbstractUI.aspx?menuIndex=3&amp;refID=7149698&amp;Result=3","7149698")</f>
        <v>0</v>
      </c>
      <c r="B3240" t="s">
        <v>1364</v>
      </c>
      <c r="C3240" t="s">
        <v>6865</v>
      </c>
      <c r="D3240" t="s">
        <v>17957</v>
      </c>
      <c r="E3240" t="s">
        <v>20961</v>
      </c>
      <c r="F3240" t="s">
        <v>30900</v>
      </c>
      <c r="G3240" t="s">
        <v>30908</v>
      </c>
      <c r="H3240" t="s">
        <v>30916</v>
      </c>
      <c r="I3240" t="s">
        <v>10602</v>
      </c>
      <c r="J3240" t="s">
        <v>31206</v>
      </c>
      <c r="K3240" t="s">
        <v>40287</v>
      </c>
      <c r="M3240" t="s">
        <v>41986</v>
      </c>
      <c r="N3240" t="s">
        <v>44759</v>
      </c>
      <c r="O3240" t="s">
        <v>44760</v>
      </c>
      <c r="P3240">
        <v>0</v>
      </c>
      <c r="Q3240">
        <v>0</v>
      </c>
      <c r="R3240" t="s">
        <v>44762</v>
      </c>
      <c r="S3240" t="s">
        <v>44863</v>
      </c>
      <c r="T3240" t="s">
        <v>46383</v>
      </c>
      <c r="U3240" t="s">
        <v>49718</v>
      </c>
      <c r="W3240" t="s">
        <v>41986</v>
      </c>
      <c r="X3240" t="s">
        <v>44763</v>
      </c>
    </row>
    <row r="3241" spans="1:24">
      <c r="A3241">
        <f>HYPERLINK("https://www.philgeps.gov.ph/GEPSNONPILOT/Tender/SplashBidNoticeAbstractUI.aspx?menuIndex=3&amp;refID=7149691&amp;Result=3","7149691")</f>
        <v>0</v>
      </c>
      <c r="B3241" t="s">
        <v>384</v>
      </c>
      <c r="C3241" t="s">
        <v>6866</v>
      </c>
      <c r="D3241" t="s">
        <v>17987</v>
      </c>
      <c r="E3241" t="s">
        <v>20962</v>
      </c>
      <c r="F3241" t="s">
        <v>30900</v>
      </c>
      <c r="G3241" t="s">
        <v>30907</v>
      </c>
      <c r="H3241" t="s">
        <v>30916</v>
      </c>
      <c r="I3241" t="s">
        <v>4050</v>
      </c>
      <c r="J3241" t="s">
        <v>33345</v>
      </c>
      <c r="K3241" t="s">
        <v>40294</v>
      </c>
      <c r="M3241" t="s">
        <v>40939</v>
      </c>
      <c r="N3241" t="s">
        <v>44759</v>
      </c>
      <c r="O3241" t="s">
        <v>44760</v>
      </c>
      <c r="P3241">
        <v>0</v>
      </c>
      <c r="Q3241">
        <v>1</v>
      </c>
      <c r="R3241" t="s">
        <v>44762</v>
      </c>
      <c r="S3241" t="s">
        <v>44863</v>
      </c>
      <c r="T3241" t="s">
        <v>46495</v>
      </c>
      <c r="U3241" t="s">
        <v>49719</v>
      </c>
      <c r="W3241" t="s">
        <v>40939</v>
      </c>
      <c r="X3241" t="s">
        <v>44763</v>
      </c>
    </row>
    <row r="3242" spans="1:24">
      <c r="A3242">
        <f>HYPERLINK("https://www.philgeps.gov.ph/GEPSNONPILOT/Tender/SplashBidNoticeAbstractUI.aspx?menuIndex=3&amp;refID=7149690&amp;Result=3","7149690")</f>
        <v>0</v>
      </c>
      <c r="B3242" t="s">
        <v>1333</v>
      </c>
      <c r="C3242" t="s">
        <v>6776</v>
      </c>
      <c r="D3242" t="s">
        <v>18034</v>
      </c>
      <c r="E3242" t="s">
        <v>20963</v>
      </c>
      <c r="F3242" t="s">
        <v>30900</v>
      </c>
      <c r="G3242" t="s">
        <v>30908</v>
      </c>
      <c r="H3242" t="s">
        <v>30916</v>
      </c>
      <c r="I3242" t="s">
        <v>6746</v>
      </c>
      <c r="J3242" t="s">
        <v>33346</v>
      </c>
      <c r="K3242" t="s">
        <v>40289</v>
      </c>
      <c r="M3242" t="s">
        <v>41953</v>
      </c>
      <c r="N3242" t="s">
        <v>44759</v>
      </c>
      <c r="O3242" t="s">
        <v>44760</v>
      </c>
      <c r="P3242">
        <v>0</v>
      </c>
      <c r="Q3242">
        <v>0</v>
      </c>
      <c r="R3242" t="s">
        <v>44762</v>
      </c>
      <c r="S3242" t="s">
        <v>44863</v>
      </c>
      <c r="T3242" t="s">
        <v>46356</v>
      </c>
      <c r="U3242" t="s">
        <v>49720</v>
      </c>
      <c r="W3242" t="s">
        <v>41953</v>
      </c>
      <c r="X3242" t="s">
        <v>44763</v>
      </c>
    </row>
    <row r="3243" spans="1:24">
      <c r="A3243">
        <f>HYPERLINK("https://www.philgeps.gov.ph/GEPSNONPILOT/Tender/SplashBidNoticeAbstractUI.aspx?menuIndex=3&amp;refID=7149689&amp;Result=3","7149689")</f>
        <v>0</v>
      </c>
      <c r="B3243" t="s">
        <v>1314</v>
      </c>
      <c r="C3243" t="s">
        <v>6867</v>
      </c>
      <c r="D3243" t="s">
        <v>17961</v>
      </c>
      <c r="E3243" t="s">
        <v>20964</v>
      </c>
      <c r="F3243" t="s">
        <v>30900</v>
      </c>
      <c r="G3243" t="s">
        <v>30908</v>
      </c>
      <c r="H3243" t="s">
        <v>7411</v>
      </c>
      <c r="I3243" t="s">
        <v>7411</v>
      </c>
      <c r="J3243" t="s">
        <v>33347</v>
      </c>
      <c r="K3243" t="s">
        <v>40289</v>
      </c>
      <c r="L3243" t="s">
        <v>1314</v>
      </c>
      <c r="M3243" t="s">
        <v>41932</v>
      </c>
      <c r="N3243" t="s">
        <v>44759</v>
      </c>
      <c r="O3243" t="s">
        <v>44760</v>
      </c>
      <c r="P3243">
        <v>0</v>
      </c>
      <c r="Q3243">
        <v>1</v>
      </c>
      <c r="R3243" t="s">
        <v>44762</v>
      </c>
      <c r="S3243" t="s">
        <v>44863</v>
      </c>
      <c r="T3243" t="s">
        <v>46425</v>
      </c>
      <c r="U3243" t="s">
        <v>49653</v>
      </c>
      <c r="W3243" t="s">
        <v>41932</v>
      </c>
      <c r="X3243" t="s">
        <v>44763</v>
      </c>
    </row>
    <row r="3244" spans="1:24">
      <c r="A3244">
        <f>HYPERLINK("https://www.philgeps.gov.ph/GEPSNONPILOT/Tender/SplashBidNoticeAbstractUI.aspx?menuIndex=3&amp;refID=7149658&amp;Result=3","7149658")</f>
        <v>0</v>
      </c>
      <c r="B3244" t="s">
        <v>1365</v>
      </c>
      <c r="C3244" t="s">
        <v>6868</v>
      </c>
      <c r="D3244" t="s">
        <v>17978</v>
      </c>
      <c r="E3244" t="s">
        <v>20965</v>
      </c>
      <c r="F3244" t="s">
        <v>30900</v>
      </c>
      <c r="G3244" t="s">
        <v>30908</v>
      </c>
      <c r="H3244" t="s">
        <v>30916</v>
      </c>
      <c r="I3244" t="s">
        <v>6408</v>
      </c>
      <c r="J3244" t="s">
        <v>31048</v>
      </c>
      <c r="K3244" t="s">
        <v>40288</v>
      </c>
      <c r="M3244" t="s">
        <v>41987</v>
      </c>
      <c r="N3244" t="s">
        <v>44759</v>
      </c>
      <c r="O3244" t="s">
        <v>44760</v>
      </c>
      <c r="P3244">
        <v>0</v>
      </c>
      <c r="Q3244">
        <v>0</v>
      </c>
      <c r="R3244" t="s">
        <v>44762</v>
      </c>
      <c r="S3244" t="s">
        <v>44863</v>
      </c>
      <c r="T3244" t="s">
        <v>46398</v>
      </c>
      <c r="U3244" t="s">
        <v>49721</v>
      </c>
      <c r="W3244" t="s">
        <v>41987</v>
      </c>
      <c r="X3244" t="s">
        <v>44763</v>
      </c>
    </row>
    <row r="3245" spans="1:24">
      <c r="A3245">
        <f>HYPERLINK("https://www.philgeps.gov.ph/GEPSNONPILOT/Tender/SplashBidNoticeAbstractUI.aspx?menuIndex=3&amp;refID=7149687&amp;Result=3","7149687")</f>
        <v>0</v>
      </c>
      <c r="B3245" t="s">
        <v>1366</v>
      </c>
      <c r="C3245" t="s">
        <v>6869</v>
      </c>
      <c r="D3245" t="s">
        <v>17963</v>
      </c>
      <c r="E3245" t="s">
        <v>6869</v>
      </c>
      <c r="F3245" t="s">
        <v>30900</v>
      </c>
      <c r="G3245" t="s">
        <v>30908</v>
      </c>
      <c r="H3245" t="s">
        <v>30916</v>
      </c>
      <c r="I3245" t="s">
        <v>30942</v>
      </c>
      <c r="J3245" t="s">
        <v>33348</v>
      </c>
      <c r="K3245" t="s">
        <v>40289</v>
      </c>
      <c r="M3245" t="s">
        <v>41988</v>
      </c>
      <c r="N3245" t="s">
        <v>44759</v>
      </c>
      <c r="O3245" t="s">
        <v>44760</v>
      </c>
      <c r="P3245">
        <v>0</v>
      </c>
      <c r="Q3245">
        <v>2</v>
      </c>
      <c r="R3245" t="s">
        <v>44762</v>
      </c>
      <c r="S3245" t="s">
        <v>44863</v>
      </c>
      <c r="T3245" t="s">
        <v>46545</v>
      </c>
      <c r="U3245" t="s">
        <v>49722</v>
      </c>
      <c r="W3245" t="s">
        <v>41988</v>
      </c>
      <c r="X3245" t="s">
        <v>44763</v>
      </c>
    </row>
    <row r="3246" spans="1:24">
      <c r="A3246">
        <f>HYPERLINK("https://www.philgeps.gov.ph/GEPSNONPILOT/Tender/SplashBidNoticeAbstractUI.aspx?menuIndex=3&amp;refID=7149694&amp;Result=3","7149694")</f>
        <v>0</v>
      </c>
      <c r="B3246" t="s">
        <v>1367</v>
      </c>
      <c r="C3246" t="s">
        <v>3886</v>
      </c>
      <c r="D3246" t="s">
        <v>17957</v>
      </c>
      <c r="E3246" t="s">
        <v>19405</v>
      </c>
      <c r="F3246" t="s">
        <v>30900</v>
      </c>
      <c r="G3246" t="s">
        <v>30909</v>
      </c>
      <c r="H3246" t="s">
        <v>30916</v>
      </c>
      <c r="I3246" t="s">
        <v>4108</v>
      </c>
      <c r="J3246" t="s">
        <v>31468</v>
      </c>
      <c r="K3246" t="s">
        <v>40281</v>
      </c>
      <c r="M3246" t="s">
        <v>41989</v>
      </c>
      <c r="N3246" t="s">
        <v>44759</v>
      </c>
      <c r="O3246" t="s">
        <v>44760</v>
      </c>
      <c r="P3246">
        <v>0</v>
      </c>
      <c r="Q3246">
        <v>0</v>
      </c>
      <c r="R3246" t="s">
        <v>44762</v>
      </c>
      <c r="S3246" t="s">
        <v>44863</v>
      </c>
      <c r="T3246" t="s">
        <v>46533</v>
      </c>
      <c r="U3246" t="s">
        <v>49723</v>
      </c>
      <c r="V3246" t="s">
        <v>59117</v>
      </c>
      <c r="W3246" t="s">
        <v>41989</v>
      </c>
      <c r="X3246" t="s">
        <v>44763</v>
      </c>
    </row>
    <row r="3247" spans="1:24">
      <c r="A3247">
        <f>HYPERLINK("https://www.philgeps.gov.ph/GEPSNONPILOT/Tender/SplashBidNoticeAbstractUI.aspx?menuIndex=3&amp;refID=7149617&amp;Result=3","7149617")</f>
        <v>0</v>
      </c>
      <c r="B3247" t="s">
        <v>497</v>
      </c>
      <c r="C3247" t="s">
        <v>6870</v>
      </c>
      <c r="D3247" t="s">
        <v>17951</v>
      </c>
      <c r="E3247" t="s">
        <v>18912</v>
      </c>
      <c r="F3247" t="s">
        <v>30900</v>
      </c>
      <c r="G3247" t="s">
        <v>30908</v>
      </c>
      <c r="H3247" t="s">
        <v>30916</v>
      </c>
      <c r="I3247" t="s">
        <v>6408</v>
      </c>
      <c r="J3247" t="s">
        <v>31863</v>
      </c>
      <c r="K3247" t="s">
        <v>40285</v>
      </c>
      <c r="M3247" t="s">
        <v>41056</v>
      </c>
      <c r="N3247" t="s">
        <v>44759</v>
      </c>
      <c r="O3247" t="s">
        <v>44760</v>
      </c>
      <c r="P3247">
        <v>0</v>
      </c>
      <c r="Q3247">
        <v>0</v>
      </c>
      <c r="R3247" t="s">
        <v>44762</v>
      </c>
      <c r="S3247" t="s">
        <v>44863</v>
      </c>
      <c r="T3247" t="s">
        <v>46414</v>
      </c>
      <c r="U3247" t="s">
        <v>49724</v>
      </c>
      <c r="W3247" t="s">
        <v>41056</v>
      </c>
      <c r="X3247" t="s">
        <v>44763</v>
      </c>
    </row>
    <row r="3248" spans="1:24">
      <c r="A3248">
        <f>HYPERLINK("https://www.philgeps.gov.ph/GEPSNONPILOT/Tender/SplashBidNoticeAbstractUI.aspx?menuIndex=3&amp;refID=7149686&amp;Result=3","7149686")</f>
        <v>0</v>
      </c>
      <c r="B3248" t="s">
        <v>323</v>
      </c>
      <c r="C3248" t="s">
        <v>6871</v>
      </c>
      <c r="D3248" t="s">
        <v>17985</v>
      </c>
      <c r="E3248" t="s">
        <v>20966</v>
      </c>
      <c r="F3248" t="s">
        <v>30900</v>
      </c>
      <c r="G3248" t="s">
        <v>30908</v>
      </c>
      <c r="H3248" t="s">
        <v>30916</v>
      </c>
      <c r="I3248" t="s">
        <v>30923</v>
      </c>
      <c r="J3248" t="s">
        <v>33349</v>
      </c>
      <c r="K3248" t="s">
        <v>40286</v>
      </c>
      <c r="M3248" t="s">
        <v>40874</v>
      </c>
      <c r="N3248" t="s">
        <v>44759</v>
      </c>
      <c r="O3248" t="s">
        <v>44760</v>
      </c>
      <c r="P3248">
        <v>0</v>
      </c>
      <c r="Q3248">
        <v>1</v>
      </c>
      <c r="R3248" t="s">
        <v>44762</v>
      </c>
      <c r="S3248" t="s">
        <v>44863</v>
      </c>
      <c r="T3248" t="s">
        <v>46383</v>
      </c>
      <c r="U3248" t="s">
        <v>49725</v>
      </c>
      <c r="W3248" t="s">
        <v>40874</v>
      </c>
      <c r="X3248" t="s">
        <v>44763</v>
      </c>
    </row>
    <row r="3249" spans="1:24">
      <c r="A3249">
        <f>HYPERLINK("https://www.philgeps.gov.ph/GEPSNONPILOT/Tender/SplashBidNoticeAbstractUI.aspx?menuIndex=3&amp;refID=7149682&amp;Result=3","7149682")</f>
        <v>0</v>
      </c>
      <c r="B3249" t="s">
        <v>232</v>
      </c>
      <c r="C3249" t="s">
        <v>6872</v>
      </c>
      <c r="D3249" t="s">
        <v>17987</v>
      </c>
      <c r="E3249" t="s">
        <v>20967</v>
      </c>
      <c r="F3249" t="s">
        <v>30899</v>
      </c>
      <c r="G3249" t="s">
        <v>30907</v>
      </c>
      <c r="H3249" t="s">
        <v>30916</v>
      </c>
      <c r="I3249" t="s">
        <v>8123</v>
      </c>
      <c r="J3249" t="s">
        <v>33350</v>
      </c>
      <c r="K3249" t="s">
        <v>40286</v>
      </c>
      <c r="M3249" t="s">
        <v>41990</v>
      </c>
      <c r="N3249" t="s">
        <v>44759</v>
      </c>
      <c r="O3249" t="s">
        <v>44760</v>
      </c>
      <c r="P3249">
        <v>0</v>
      </c>
      <c r="Q3249">
        <v>0</v>
      </c>
      <c r="R3249" t="s">
        <v>44762</v>
      </c>
      <c r="S3249" t="s">
        <v>44863</v>
      </c>
      <c r="T3249" t="s">
        <v>46495</v>
      </c>
      <c r="U3249" t="s">
        <v>47300</v>
      </c>
      <c r="W3249" t="s">
        <v>41990</v>
      </c>
      <c r="X3249" t="s">
        <v>44763</v>
      </c>
    </row>
    <row r="3250" spans="1:24">
      <c r="A3250">
        <f>HYPERLINK("https://www.philgeps.gov.ph/GEPSNONPILOT/Tender/SplashBidNoticeAbstractUI.aspx?menuIndex=3&amp;refID=7149678&amp;Result=3","7149678")</f>
        <v>0</v>
      </c>
      <c r="B3250" t="s">
        <v>1320</v>
      </c>
      <c r="C3250" t="s">
        <v>6873</v>
      </c>
      <c r="D3250" t="s">
        <v>17989</v>
      </c>
      <c r="E3250" t="s">
        <v>20968</v>
      </c>
      <c r="F3250" t="s">
        <v>30900</v>
      </c>
      <c r="G3250" t="s">
        <v>30907</v>
      </c>
      <c r="H3250" t="s">
        <v>30916</v>
      </c>
      <c r="I3250" t="s">
        <v>30939</v>
      </c>
      <c r="J3250" t="s">
        <v>31098</v>
      </c>
      <c r="K3250" t="s">
        <v>40283</v>
      </c>
      <c r="M3250" t="s">
        <v>41939</v>
      </c>
      <c r="N3250" t="s">
        <v>44759</v>
      </c>
      <c r="O3250" t="s">
        <v>44760</v>
      </c>
      <c r="P3250">
        <v>0</v>
      </c>
      <c r="Q3250">
        <v>0</v>
      </c>
      <c r="R3250" t="s">
        <v>44762</v>
      </c>
      <c r="S3250" t="s">
        <v>44863</v>
      </c>
      <c r="T3250" t="s">
        <v>46395</v>
      </c>
      <c r="U3250" t="s">
        <v>49726</v>
      </c>
      <c r="W3250" t="s">
        <v>41939</v>
      </c>
      <c r="X3250" t="s">
        <v>44763</v>
      </c>
    </row>
    <row r="3251" spans="1:24">
      <c r="A3251">
        <f>HYPERLINK("https://www.philgeps.gov.ph/GEPSNONPILOT/Tender/SplashBidNoticeAbstractUI.aspx?menuIndex=3&amp;refID=7149655&amp;Result=3","7149655")</f>
        <v>0</v>
      </c>
      <c r="B3251" t="s">
        <v>1368</v>
      </c>
      <c r="C3251" t="s">
        <v>3773</v>
      </c>
      <c r="D3251" t="s">
        <v>17959</v>
      </c>
      <c r="E3251" t="s">
        <v>20969</v>
      </c>
      <c r="F3251" t="s">
        <v>30900</v>
      </c>
      <c r="G3251" t="s">
        <v>30907</v>
      </c>
      <c r="H3251" t="s">
        <v>30916</v>
      </c>
      <c r="I3251" t="s">
        <v>4142</v>
      </c>
      <c r="J3251" t="s">
        <v>33351</v>
      </c>
      <c r="K3251" t="s">
        <v>40289</v>
      </c>
      <c r="M3251" t="s">
        <v>41991</v>
      </c>
      <c r="N3251" t="s">
        <v>44759</v>
      </c>
      <c r="O3251" t="s">
        <v>44760</v>
      </c>
      <c r="P3251">
        <v>0</v>
      </c>
      <c r="Q3251">
        <v>1</v>
      </c>
      <c r="R3251" t="s">
        <v>44762</v>
      </c>
      <c r="S3251" t="s">
        <v>44863</v>
      </c>
      <c r="T3251" t="s">
        <v>46404</v>
      </c>
      <c r="U3251" t="s">
        <v>49727</v>
      </c>
      <c r="W3251" t="s">
        <v>41991</v>
      </c>
      <c r="X3251" t="s">
        <v>44763</v>
      </c>
    </row>
    <row r="3252" spans="1:24">
      <c r="A3252">
        <f>HYPERLINK("https://www.philgeps.gov.ph/GEPSNONPILOT/Tender/SplashBidNoticeAbstractUI.aspx?menuIndex=3&amp;refID=7149707&amp;Result=3","7149707")</f>
        <v>0</v>
      </c>
      <c r="B3252" t="s">
        <v>624</v>
      </c>
      <c r="C3252" t="s">
        <v>6874</v>
      </c>
      <c r="D3252" t="s">
        <v>17977</v>
      </c>
      <c r="E3252" t="s">
        <v>20970</v>
      </c>
      <c r="F3252" t="s">
        <v>30900</v>
      </c>
      <c r="G3252" t="s">
        <v>30908</v>
      </c>
      <c r="H3252" t="s">
        <v>30916</v>
      </c>
      <c r="I3252" t="s">
        <v>30927</v>
      </c>
      <c r="J3252" t="s">
        <v>33352</v>
      </c>
      <c r="K3252" t="s">
        <v>40289</v>
      </c>
      <c r="M3252" t="s">
        <v>41186</v>
      </c>
      <c r="N3252" t="s">
        <v>44759</v>
      </c>
      <c r="O3252" t="s">
        <v>44760</v>
      </c>
      <c r="P3252">
        <v>0</v>
      </c>
      <c r="Q3252">
        <v>0</v>
      </c>
      <c r="R3252" t="s">
        <v>44762</v>
      </c>
      <c r="S3252" t="s">
        <v>44863</v>
      </c>
      <c r="T3252" t="s">
        <v>46351</v>
      </c>
      <c r="U3252" t="s">
        <v>48040</v>
      </c>
      <c r="W3252" t="s">
        <v>41186</v>
      </c>
      <c r="X3252" t="s">
        <v>44763</v>
      </c>
    </row>
    <row r="3253" spans="1:24">
      <c r="A3253">
        <f>HYPERLINK("https://www.philgeps.gov.ph/GEPSNONPILOT/Tender/SplashBidNoticeAbstractUI.aspx?menuIndex=3&amp;refID=7149734&amp;Result=3","7149734")</f>
        <v>0</v>
      </c>
      <c r="B3253" t="s">
        <v>448</v>
      </c>
      <c r="C3253" t="s">
        <v>6875</v>
      </c>
      <c r="D3253" t="s">
        <v>17987</v>
      </c>
      <c r="E3253" t="s">
        <v>20971</v>
      </c>
      <c r="F3253" t="s">
        <v>30900</v>
      </c>
      <c r="G3253" t="s">
        <v>30908</v>
      </c>
      <c r="H3253" t="s">
        <v>30916</v>
      </c>
      <c r="I3253" t="s">
        <v>10847</v>
      </c>
      <c r="J3253" t="s">
        <v>33353</v>
      </c>
      <c r="K3253" t="s">
        <v>40287</v>
      </c>
      <c r="M3253" t="s">
        <v>41005</v>
      </c>
      <c r="N3253" t="s">
        <v>44759</v>
      </c>
      <c r="O3253" t="s">
        <v>44760</v>
      </c>
      <c r="P3253">
        <v>0</v>
      </c>
      <c r="Q3253">
        <v>0</v>
      </c>
      <c r="R3253" t="s">
        <v>44762</v>
      </c>
      <c r="S3253" t="s">
        <v>44863</v>
      </c>
      <c r="T3253" t="s">
        <v>46470</v>
      </c>
      <c r="U3253" t="s">
        <v>49728</v>
      </c>
      <c r="W3253" t="s">
        <v>41005</v>
      </c>
      <c r="X3253" t="s">
        <v>44763</v>
      </c>
    </row>
    <row r="3254" spans="1:24">
      <c r="A3254">
        <f>HYPERLINK("https://www.philgeps.gov.ph/GEPSNONPILOT/Tender/SplashBidNoticeAbstractUI.aspx?menuIndex=3&amp;refID=7149684&amp;Result=3","7149684")</f>
        <v>0</v>
      </c>
      <c r="B3254" t="s">
        <v>1369</v>
      </c>
      <c r="C3254" t="s">
        <v>6876</v>
      </c>
      <c r="D3254" t="s">
        <v>17963</v>
      </c>
      <c r="E3254" t="s">
        <v>8056</v>
      </c>
      <c r="F3254" t="s">
        <v>30900</v>
      </c>
      <c r="G3254" t="s">
        <v>30910</v>
      </c>
      <c r="H3254" t="s">
        <v>30916</v>
      </c>
      <c r="I3254" t="s">
        <v>6396</v>
      </c>
      <c r="J3254" t="s">
        <v>31298</v>
      </c>
      <c r="K3254" t="s">
        <v>40285</v>
      </c>
      <c r="M3254" t="s">
        <v>41992</v>
      </c>
      <c r="N3254" t="s">
        <v>44759</v>
      </c>
      <c r="O3254" t="s">
        <v>44760</v>
      </c>
      <c r="P3254">
        <v>0</v>
      </c>
      <c r="Q3254">
        <v>3</v>
      </c>
      <c r="R3254" t="s">
        <v>44762</v>
      </c>
      <c r="S3254" t="s">
        <v>44863</v>
      </c>
      <c r="T3254" t="s">
        <v>46457</v>
      </c>
      <c r="U3254" t="s">
        <v>47851</v>
      </c>
      <c r="W3254" t="s">
        <v>41992</v>
      </c>
      <c r="X3254" t="s">
        <v>44763</v>
      </c>
    </row>
    <row r="3255" spans="1:24">
      <c r="A3255">
        <f>HYPERLINK("https://www.philgeps.gov.ph/GEPSNONPILOT/Tender/SplashBidNoticeAbstractUI.aspx?menuIndex=3&amp;refID=7149732&amp;Result=3","7149732")</f>
        <v>0</v>
      </c>
      <c r="B3255" t="s">
        <v>1258</v>
      </c>
      <c r="C3255" t="s">
        <v>6877</v>
      </c>
      <c r="D3255" t="s">
        <v>18001</v>
      </c>
      <c r="E3255" t="s">
        <v>20972</v>
      </c>
      <c r="F3255" t="s">
        <v>30900</v>
      </c>
      <c r="G3255" t="s">
        <v>30909</v>
      </c>
      <c r="H3255" t="s">
        <v>30916</v>
      </c>
      <c r="I3255" t="s">
        <v>30922</v>
      </c>
      <c r="J3255" t="s">
        <v>33354</v>
      </c>
      <c r="K3255" t="s">
        <v>40281</v>
      </c>
      <c r="M3255" t="s">
        <v>41870</v>
      </c>
      <c r="N3255" t="s">
        <v>44759</v>
      </c>
      <c r="O3255" t="s">
        <v>44760</v>
      </c>
      <c r="P3255">
        <v>0</v>
      </c>
      <c r="Q3255">
        <v>0</v>
      </c>
      <c r="R3255" t="s">
        <v>44762</v>
      </c>
      <c r="S3255" t="s">
        <v>44863</v>
      </c>
      <c r="T3255" t="s">
        <v>46533</v>
      </c>
      <c r="U3255" t="s">
        <v>49729</v>
      </c>
      <c r="W3255" t="s">
        <v>41870</v>
      </c>
      <c r="X3255" t="s">
        <v>44763</v>
      </c>
    </row>
    <row r="3256" spans="1:24">
      <c r="A3256">
        <f>HYPERLINK("https://www.philgeps.gov.ph/GEPSNONPILOT/Tender/SplashBidNoticeAbstractUI.aspx?menuIndex=3&amp;refID=7149679&amp;Result=3","7149679")</f>
        <v>0</v>
      </c>
      <c r="B3256" t="s">
        <v>1121</v>
      </c>
      <c r="C3256" t="s">
        <v>6878</v>
      </c>
      <c r="D3256" t="s">
        <v>17981</v>
      </c>
      <c r="E3256" t="s">
        <v>20973</v>
      </c>
      <c r="F3256" t="s">
        <v>30900</v>
      </c>
      <c r="G3256" t="s">
        <v>30908</v>
      </c>
      <c r="H3256" t="s">
        <v>30916</v>
      </c>
      <c r="I3256" t="s">
        <v>9385</v>
      </c>
      <c r="J3256" t="s">
        <v>33355</v>
      </c>
      <c r="K3256" t="s">
        <v>40283</v>
      </c>
      <c r="L3256" t="s">
        <v>1121</v>
      </c>
      <c r="M3256" t="s">
        <v>41993</v>
      </c>
      <c r="N3256" t="s">
        <v>44759</v>
      </c>
      <c r="O3256" t="s">
        <v>44760</v>
      </c>
      <c r="P3256">
        <v>0</v>
      </c>
      <c r="Q3256">
        <v>10</v>
      </c>
      <c r="R3256" t="s">
        <v>44762</v>
      </c>
      <c r="S3256" t="s">
        <v>44863</v>
      </c>
      <c r="T3256" t="s">
        <v>46389</v>
      </c>
      <c r="U3256" t="s">
        <v>49730</v>
      </c>
      <c r="W3256" t="s">
        <v>41993</v>
      </c>
      <c r="X3256" t="s">
        <v>44763</v>
      </c>
    </row>
    <row r="3257" spans="1:24">
      <c r="A3257">
        <f>HYPERLINK("https://www.philgeps.gov.ph/GEPSNONPILOT/Tender/SplashBidNoticeAbstractUI.aspx?menuIndex=3&amp;refID=7149731&amp;Result=3","7149731")</f>
        <v>0</v>
      </c>
      <c r="B3257" t="s">
        <v>44</v>
      </c>
      <c r="C3257" t="s">
        <v>6879</v>
      </c>
      <c r="D3257" t="s">
        <v>17969</v>
      </c>
      <c r="E3257" t="s">
        <v>20974</v>
      </c>
      <c r="F3257" t="s">
        <v>30900</v>
      </c>
      <c r="G3257" t="s">
        <v>30908</v>
      </c>
      <c r="H3257" t="s">
        <v>30916</v>
      </c>
      <c r="I3257" t="s">
        <v>30926</v>
      </c>
      <c r="J3257" t="s">
        <v>31183</v>
      </c>
      <c r="K3257" t="s">
        <v>40289</v>
      </c>
      <c r="M3257" t="s">
        <v>41947</v>
      </c>
      <c r="N3257" t="s">
        <v>44759</v>
      </c>
      <c r="O3257" t="s">
        <v>44760</v>
      </c>
      <c r="P3257">
        <v>0</v>
      </c>
      <c r="Q3257">
        <v>0</v>
      </c>
      <c r="R3257" t="s">
        <v>44762</v>
      </c>
      <c r="S3257" t="s">
        <v>44863</v>
      </c>
      <c r="T3257" t="s">
        <v>46412</v>
      </c>
      <c r="U3257" t="s">
        <v>49731</v>
      </c>
      <c r="W3257" t="s">
        <v>41947</v>
      </c>
      <c r="X3257" t="s">
        <v>44763</v>
      </c>
    </row>
    <row r="3258" spans="1:24">
      <c r="A3258">
        <f>HYPERLINK("https://www.philgeps.gov.ph/GEPSNONPILOT/Tender/SplashBidNoticeAbstractUI.aspx?menuIndex=3&amp;refID=7149688&amp;Result=3","7149688")</f>
        <v>0</v>
      </c>
      <c r="B3258" t="s">
        <v>1326</v>
      </c>
      <c r="C3258" t="s">
        <v>6880</v>
      </c>
      <c r="D3258" t="s">
        <v>17987</v>
      </c>
      <c r="E3258" t="s">
        <v>20975</v>
      </c>
      <c r="F3258" t="s">
        <v>30900</v>
      </c>
      <c r="G3258" t="s">
        <v>30907</v>
      </c>
      <c r="H3258" t="s">
        <v>30916</v>
      </c>
      <c r="I3258" t="s">
        <v>30922</v>
      </c>
      <c r="J3258" t="s">
        <v>33356</v>
      </c>
      <c r="K3258" t="s">
        <v>40286</v>
      </c>
      <c r="M3258" t="s">
        <v>41945</v>
      </c>
      <c r="N3258" t="s">
        <v>44759</v>
      </c>
      <c r="O3258" t="s">
        <v>44760</v>
      </c>
      <c r="Q3258">
        <v>0</v>
      </c>
      <c r="R3258" t="s">
        <v>44762</v>
      </c>
      <c r="S3258" t="s">
        <v>44880</v>
      </c>
      <c r="T3258" t="s">
        <v>46369</v>
      </c>
      <c r="U3258" t="s">
        <v>49732</v>
      </c>
      <c r="V3258" t="s">
        <v>59467</v>
      </c>
      <c r="W3258" t="s">
        <v>41945</v>
      </c>
      <c r="X3258" t="s">
        <v>44763</v>
      </c>
    </row>
    <row r="3259" spans="1:24">
      <c r="A3259">
        <f>HYPERLINK("https://www.philgeps.gov.ph/GEPSNONPILOT/Tender/SplashBidNoticeAbstractUI.aspx?menuIndex=3&amp;refID=7149725&amp;Result=3","7149725")</f>
        <v>0</v>
      </c>
      <c r="B3259" t="s">
        <v>1370</v>
      </c>
      <c r="C3259" t="s">
        <v>6881</v>
      </c>
      <c r="D3259" t="s">
        <v>17985</v>
      </c>
      <c r="E3259" t="s">
        <v>20976</v>
      </c>
      <c r="F3259" t="s">
        <v>30900</v>
      </c>
      <c r="G3259" t="s">
        <v>30908</v>
      </c>
      <c r="H3259" t="s">
        <v>30916</v>
      </c>
      <c r="I3259" t="s">
        <v>30934</v>
      </c>
      <c r="J3259" t="s">
        <v>31103</v>
      </c>
      <c r="K3259" t="s">
        <v>40287</v>
      </c>
      <c r="M3259" t="s">
        <v>41994</v>
      </c>
      <c r="N3259" t="s">
        <v>44759</v>
      </c>
      <c r="O3259" t="s">
        <v>44760</v>
      </c>
      <c r="P3259">
        <v>0</v>
      </c>
      <c r="Q3259">
        <v>1</v>
      </c>
      <c r="R3259" t="s">
        <v>44762</v>
      </c>
      <c r="S3259" t="s">
        <v>44863</v>
      </c>
      <c r="T3259" t="s">
        <v>46398</v>
      </c>
      <c r="U3259" t="s">
        <v>49733</v>
      </c>
      <c r="W3259" t="s">
        <v>41994</v>
      </c>
      <c r="X3259" t="s">
        <v>44763</v>
      </c>
    </row>
    <row r="3260" spans="1:24">
      <c r="A3260">
        <f>HYPERLINK("https://www.philgeps.gov.ph/GEPSNONPILOT/Tender/SplashBidNoticeAbstractUI.aspx?menuIndex=3&amp;refID=7149723&amp;Result=3","7149723")</f>
        <v>0</v>
      </c>
      <c r="B3260" t="s">
        <v>1314</v>
      </c>
      <c r="C3260" t="s">
        <v>6882</v>
      </c>
      <c r="D3260" t="s">
        <v>17961</v>
      </c>
      <c r="E3260" t="s">
        <v>20977</v>
      </c>
      <c r="F3260" t="s">
        <v>30900</v>
      </c>
      <c r="G3260" t="s">
        <v>30908</v>
      </c>
      <c r="H3260" t="s">
        <v>7411</v>
      </c>
      <c r="I3260" t="s">
        <v>7411</v>
      </c>
      <c r="J3260" t="s">
        <v>33357</v>
      </c>
      <c r="K3260" t="s">
        <v>40289</v>
      </c>
      <c r="L3260" t="s">
        <v>1314</v>
      </c>
      <c r="M3260" t="s">
        <v>41932</v>
      </c>
      <c r="N3260" t="s">
        <v>44759</v>
      </c>
      <c r="O3260" t="s">
        <v>44760</v>
      </c>
      <c r="P3260">
        <v>0</v>
      </c>
      <c r="Q3260">
        <v>0</v>
      </c>
      <c r="R3260" t="s">
        <v>44762</v>
      </c>
      <c r="S3260" t="s">
        <v>44863</v>
      </c>
      <c r="T3260" t="s">
        <v>46425</v>
      </c>
      <c r="U3260" t="s">
        <v>49595</v>
      </c>
      <c r="W3260" t="s">
        <v>41932</v>
      </c>
      <c r="X3260" t="s">
        <v>44763</v>
      </c>
    </row>
    <row r="3261" spans="1:24">
      <c r="A3261">
        <f>HYPERLINK("https://www.philgeps.gov.ph/GEPSNONPILOT/Tender/SplashBidNoticeAbstractUI.aspx?menuIndex=3&amp;refID=7149721&amp;Result=3","7149721")</f>
        <v>0</v>
      </c>
      <c r="B3261" t="s">
        <v>1371</v>
      </c>
      <c r="C3261" t="s">
        <v>6883</v>
      </c>
      <c r="D3261" t="s">
        <v>17959</v>
      </c>
      <c r="E3261" t="s">
        <v>20978</v>
      </c>
      <c r="F3261" t="s">
        <v>30900</v>
      </c>
      <c r="G3261" t="s">
        <v>30908</v>
      </c>
      <c r="H3261" t="s">
        <v>30915</v>
      </c>
      <c r="I3261" t="s">
        <v>30964</v>
      </c>
      <c r="J3261" t="s">
        <v>31355</v>
      </c>
      <c r="K3261" t="s">
        <v>40286</v>
      </c>
      <c r="M3261" t="s">
        <v>41995</v>
      </c>
      <c r="N3261" t="s">
        <v>44759</v>
      </c>
      <c r="O3261" t="s">
        <v>44760</v>
      </c>
      <c r="P3261">
        <v>0</v>
      </c>
      <c r="Q3261">
        <v>0</v>
      </c>
      <c r="R3261" t="s">
        <v>44762</v>
      </c>
      <c r="S3261" t="s">
        <v>44863</v>
      </c>
      <c r="T3261" t="s">
        <v>46398</v>
      </c>
      <c r="U3261" t="s">
        <v>49734</v>
      </c>
      <c r="W3261" t="s">
        <v>41995</v>
      </c>
      <c r="X3261" t="s">
        <v>44763</v>
      </c>
    </row>
    <row r="3262" spans="1:24">
      <c r="A3262">
        <f>HYPERLINK("https://www.philgeps.gov.ph/GEPSNONPILOT/Tender/SplashBidNoticeAbstractUI.aspx?menuIndex=3&amp;refID=7149720&amp;Result=3","7149720")</f>
        <v>0</v>
      </c>
      <c r="B3262" t="s">
        <v>1372</v>
      </c>
      <c r="C3262" t="s">
        <v>4450</v>
      </c>
      <c r="D3262" t="s">
        <v>17981</v>
      </c>
      <c r="E3262" t="s">
        <v>20979</v>
      </c>
      <c r="F3262" t="s">
        <v>30900</v>
      </c>
      <c r="G3262" t="s">
        <v>30907</v>
      </c>
      <c r="H3262" t="s">
        <v>30916</v>
      </c>
      <c r="I3262" t="s">
        <v>10879</v>
      </c>
      <c r="J3262" t="s">
        <v>31105</v>
      </c>
      <c r="K3262" t="s">
        <v>40283</v>
      </c>
      <c r="M3262" t="s">
        <v>41996</v>
      </c>
      <c r="N3262" t="s">
        <v>44759</v>
      </c>
      <c r="O3262" t="s">
        <v>44760</v>
      </c>
      <c r="P3262">
        <v>0</v>
      </c>
      <c r="Q3262">
        <v>0</v>
      </c>
      <c r="R3262" t="s">
        <v>44762</v>
      </c>
      <c r="S3262" t="s">
        <v>44863</v>
      </c>
      <c r="T3262" t="s">
        <v>46448</v>
      </c>
      <c r="U3262" t="s">
        <v>49735</v>
      </c>
      <c r="W3262" t="s">
        <v>41996</v>
      </c>
      <c r="X3262" t="s">
        <v>44763</v>
      </c>
    </row>
    <row r="3263" spans="1:24">
      <c r="A3263">
        <f>HYPERLINK("https://www.philgeps.gov.ph/GEPSNONPILOT/Tender/SplashBidNoticeAbstractUI.aspx?menuIndex=3&amp;refID=7149669&amp;Result=3","7149669")</f>
        <v>0</v>
      </c>
      <c r="B3263" t="s">
        <v>1314</v>
      </c>
      <c r="C3263" t="s">
        <v>6884</v>
      </c>
      <c r="D3263" t="s">
        <v>18019</v>
      </c>
      <c r="E3263" t="s">
        <v>20980</v>
      </c>
      <c r="F3263" t="s">
        <v>30900</v>
      </c>
      <c r="G3263" t="s">
        <v>30908</v>
      </c>
      <c r="H3263" t="s">
        <v>7411</v>
      </c>
      <c r="I3263" t="s">
        <v>7411</v>
      </c>
      <c r="J3263" t="s">
        <v>33358</v>
      </c>
      <c r="K3263" t="s">
        <v>40289</v>
      </c>
      <c r="L3263" t="s">
        <v>1314</v>
      </c>
      <c r="M3263" t="s">
        <v>41932</v>
      </c>
      <c r="N3263" t="s">
        <v>44759</v>
      </c>
      <c r="O3263" t="s">
        <v>44760</v>
      </c>
      <c r="P3263">
        <v>0</v>
      </c>
      <c r="Q3263">
        <v>0</v>
      </c>
      <c r="R3263" t="s">
        <v>44762</v>
      </c>
      <c r="S3263" t="s">
        <v>44863</v>
      </c>
      <c r="T3263" t="s">
        <v>46425</v>
      </c>
      <c r="U3263" t="s">
        <v>49653</v>
      </c>
      <c r="W3263" t="s">
        <v>41932</v>
      </c>
      <c r="X3263" t="s">
        <v>44763</v>
      </c>
    </row>
    <row r="3264" spans="1:24">
      <c r="A3264">
        <f>HYPERLINK("https://www.philgeps.gov.ph/GEPSNONPILOT/Tender/SplashBidNoticeAbstractUI.aspx?menuIndex=3&amp;refID=7149728&amp;Result=3","7149728")</f>
        <v>0</v>
      </c>
      <c r="B3264" t="s">
        <v>1373</v>
      </c>
      <c r="C3264" t="s">
        <v>6885</v>
      </c>
      <c r="E3264" t="s">
        <v>19081</v>
      </c>
      <c r="F3264" t="s">
        <v>30900</v>
      </c>
      <c r="G3264" t="s">
        <v>30907</v>
      </c>
      <c r="H3264" t="s">
        <v>30916</v>
      </c>
      <c r="I3264" t="s">
        <v>30927</v>
      </c>
      <c r="J3264" t="s">
        <v>33359</v>
      </c>
      <c r="K3264" t="s">
        <v>40281</v>
      </c>
      <c r="M3264" t="s">
        <v>41997</v>
      </c>
      <c r="N3264" t="s">
        <v>44759</v>
      </c>
      <c r="O3264" t="s">
        <v>44760</v>
      </c>
      <c r="P3264">
        <v>0</v>
      </c>
      <c r="Q3264">
        <v>1</v>
      </c>
      <c r="R3264" t="s">
        <v>44762</v>
      </c>
      <c r="S3264" t="s">
        <v>44863</v>
      </c>
      <c r="T3264" t="s">
        <v>46400</v>
      </c>
      <c r="U3264" t="s">
        <v>49736</v>
      </c>
      <c r="W3264" t="s">
        <v>41997</v>
      </c>
      <c r="X3264" t="s">
        <v>44763</v>
      </c>
    </row>
    <row r="3265" spans="1:24">
      <c r="A3265">
        <f>HYPERLINK("https://www.philgeps.gov.ph/GEPSNONPILOT/Tender/SplashBidNoticeAbstractUI.aspx?menuIndex=3&amp;refID=7149717&amp;Result=3","7149717")</f>
        <v>0</v>
      </c>
      <c r="B3265" t="s">
        <v>573</v>
      </c>
      <c r="C3265" t="s">
        <v>6886</v>
      </c>
      <c r="D3265" t="s">
        <v>18023</v>
      </c>
      <c r="E3265" t="s">
        <v>20981</v>
      </c>
      <c r="F3265" t="s">
        <v>30900</v>
      </c>
      <c r="G3265" t="s">
        <v>30908</v>
      </c>
      <c r="H3265" t="s">
        <v>30916</v>
      </c>
      <c r="I3265" t="s">
        <v>30927</v>
      </c>
      <c r="J3265" t="s">
        <v>33360</v>
      </c>
      <c r="K3265" t="s">
        <v>40288</v>
      </c>
      <c r="M3265" t="s">
        <v>41141</v>
      </c>
      <c r="N3265" t="s">
        <v>44759</v>
      </c>
      <c r="O3265" t="s">
        <v>44760</v>
      </c>
      <c r="P3265">
        <v>0</v>
      </c>
      <c r="Q3265">
        <v>0</v>
      </c>
      <c r="R3265" t="s">
        <v>44762</v>
      </c>
      <c r="S3265" t="s">
        <v>44863</v>
      </c>
      <c r="T3265" t="s">
        <v>46383</v>
      </c>
      <c r="U3265" t="s">
        <v>49737</v>
      </c>
      <c r="V3265" t="s">
        <v>59482</v>
      </c>
      <c r="W3265" t="s">
        <v>41141</v>
      </c>
      <c r="X3265" t="s">
        <v>44763</v>
      </c>
    </row>
    <row r="3266" spans="1:24">
      <c r="A3266">
        <f>HYPERLINK("https://www.philgeps.gov.ph/GEPSNONPILOT/Tender/SplashBidNoticeAbstractUI.aspx?menuIndex=3&amp;refID=7149714&amp;Result=3","7149714")</f>
        <v>0</v>
      </c>
      <c r="B3266" t="s">
        <v>44</v>
      </c>
      <c r="C3266" t="s">
        <v>6879</v>
      </c>
      <c r="D3266" t="s">
        <v>17969</v>
      </c>
      <c r="E3266" t="s">
        <v>20982</v>
      </c>
      <c r="F3266" t="s">
        <v>30900</v>
      </c>
      <c r="G3266" t="s">
        <v>30908</v>
      </c>
      <c r="H3266" t="s">
        <v>30916</v>
      </c>
      <c r="I3266" t="s">
        <v>30926</v>
      </c>
      <c r="J3266" t="s">
        <v>31183</v>
      </c>
      <c r="K3266" t="s">
        <v>40289</v>
      </c>
      <c r="M3266" t="s">
        <v>41947</v>
      </c>
      <c r="N3266" t="s">
        <v>44759</v>
      </c>
      <c r="O3266" t="s">
        <v>44760</v>
      </c>
      <c r="P3266">
        <v>0</v>
      </c>
      <c r="Q3266">
        <v>0</v>
      </c>
      <c r="R3266" t="s">
        <v>44762</v>
      </c>
      <c r="S3266" t="s">
        <v>44863</v>
      </c>
      <c r="T3266" t="s">
        <v>46412</v>
      </c>
      <c r="U3266" t="s">
        <v>49731</v>
      </c>
      <c r="W3266" t="s">
        <v>41947</v>
      </c>
      <c r="X3266" t="s">
        <v>44763</v>
      </c>
    </row>
    <row r="3267" spans="1:24">
      <c r="A3267">
        <f>HYPERLINK("https://www.philgeps.gov.ph/GEPSNONPILOT/Tender/SplashBidNoticeAbstractUI.aspx?menuIndex=3&amp;refID=7149724&amp;Result=3","7149724")</f>
        <v>0</v>
      </c>
      <c r="B3267" t="s">
        <v>1374</v>
      </c>
      <c r="C3267" t="s">
        <v>6887</v>
      </c>
      <c r="D3267" t="s">
        <v>17952</v>
      </c>
      <c r="E3267" t="s">
        <v>18435</v>
      </c>
      <c r="F3267" t="s">
        <v>30900</v>
      </c>
      <c r="G3267" t="s">
        <v>30907</v>
      </c>
      <c r="H3267" t="s">
        <v>30916</v>
      </c>
      <c r="I3267" t="s">
        <v>8123</v>
      </c>
      <c r="J3267" t="s">
        <v>31421</v>
      </c>
      <c r="K3267" t="s">
        <v>40283</v>
      </c>
      <c r="M3267" t="s">
        <v>41998</v>
      </c>
      <c r="N3267" t="s">
        <v>44759</v>
      </c>
      <c r="O3267" t="s">
        <v>44760</v>
      </c>
      <c r="P3267">
        <v>0</v>
      </c>
      <c r="Q3267">
        <v>0</v>
      </c>
      <c r="R3267" t="s">
        <v>44762</v>
      </c>
      <c r="S3267" t="s">
        <v>44863</v>
      </c>
      <c r="T3267" t="s">
        <v>46352</v>
      </c>
      <c r="U3267" t="s">
        <v>49738</v>
      </c>
      <c r="W3267" t="s">
        <v>41998</v>
      </c>
      <c r="X3267" t="s">
        <v>44763</v>
      </c>
    </row>
    <row r="3268" spans="1:24">
      <c r="A3268">
        <f>HYPERLINK("https://www.philgeps.gov.ph/GEPSNONPILOT/Tender/SplashBidNoticeAbstractUI.aspx?menuIndex=3&amp;refID=7149711&amp;Result=3","7149711")</f>
        <v>0</v>
      </c>
      <c r="B3268" t="s">
        <v>878</v>
      </c>
      <c r="C3268" t="s">
        <v>6888</v>
      </c>
      <c r="D3268" t="s">
        <v>17978</v>
      </c>
      <c r="E3268" t="s">
        <v>20983</v>
      </c>
      <c r="F3268" t="s">
        <v>30900</v>
      </c>
      <c r="G3268" t="s">
        <v>30908</v>
      </c>
      <c r="H3268" t="s">
        <v>30916</v>
      </c>
      <c r="I3268" t="s">
        <v>30942</v>
      </c>
      <c r="J3268" t="s">
        <v>31050</v>
      </c>
      <c r="K3268" t="s">
        <v>40286</v>
      </c>
      <c r="M3268" t="s">
        <v>41487</v>
      </c>
      <c r="N3268" t="s">
        <v>44759</v>
      </c>
      <c r="O3268" t="s">
        <v>44760</v>
      </c>
      <c r="P3268">
        <v>0</v>
      </c>
      <c r="Q3268">
        <v>0</v>
      </c>
      <c r="R3268" t="s">
        <v>44762</v>
      </c>
      <c r="S3268" t="s">
        <v>44863</v>
      </c>
      <c r="T3268" t="s">
        <v>46383</v>
      </c>
      <c r="U3268" t="s">
        <v>47466</v>
      </c>
      <c r="W3268" t="s">
        <v>41487</v>
      </c>
      <c r="X3268" t="s">
        <v>44763</v>
      </c>
    </row>
    <row r="3269" spans="1:24">
      <c r="A3269">
        <f>HYPERLINK("https://www.philgeps.gov.ph/GEPSNONPILOT/Tender/SplashBidNoticeAbstractUI.aspx?menuIndex=3&amp;refID=7149709&amp;Result=3","7149709")</f>
        <v>0</v>
      </c>
      <c r="B3269" t="s">
        <v>1314</v>
      </c>
      <c r="C3269" t="s">
        <v>6889</v>
      </c>
      <c r="D3269" t="s">
        <v>17961</v>
      </c>
      <c r="E3269" t="s">
        <v>20984</v>
      </c>
      <c r="F3269" t="s">
        <v>30900</v>
      </c>
      <c r="G3269" t="s">
        <v>30908</v>
      </c>
      <c r="H3269" t="s">
        <v>7411</v>
      </c>
      <c r="I3269" t="s">
        <v>7411</v>
      </c>
      <c r="J3269" t="s">
        <v>33361</v>
      </c>
      <c r="K3269" t="s">
        <v>40289</v>
      </c>
      <c r="L3269" t="s">
        <v>1314</v>
      </c>
      <c r="M3269" t="s">
        <v>41932</v>
      </c>
      <c r="N3269" t="s">
        <v>44759</v>
      </c>
      <c r="O3269" t="s">
        <v>44760</v>
      </c>
      <c r="P3269">
        <v>0</v>
      </c>
      <c r="Q3269">
        <v>0</v>
      </c>
      <c r="R3269" t="s">
        <v>44762</v>
      </c>
      <c r="S3269" t="s">
        <v>44863</v>
      </c>
      <c r="T3269" t="s">
        <v>46425</v>
      </c>
      <c r="U3269" t="s">
        <v>49653</v>
      </c>
      <c r="W3269" t="s">
        <v>41932</v>
      </c>
      <c r="X3269" t="s">
        <v>44763</v>
      </c>
    </row>
    <row r="3270" spans="1:24">
      <c r="A3270">
        <f>HYPERLINK("https://www.philgeps.gov.ph/GEPSNONPILOT/Tender/SplashBidNoticeAbstractUI.aspx?menuIndex=3&amp;refID=7149705&amp;Result=3","7149705")</f>
        <v>0</v>
      </c>
      <c r="B3270" t="s">
        <v>1370</v>
      </c>
      <c r="C3270" t="s">
        <v>6890</v>
      </c>
      <c r="D3270" t="s">
        <v>17985</v>
      </c>
      <c r="E3270" t="s">
        <v>20985</v>
      </c>
      <c r="F3270" t="s">
        <v>30900</v>
      </c>
      <c r="G3270" t="s">
        <v>30908</v>
      </c>
      <c r="H3270" t="s">
        <v>30916</v>
      </c>
      <c r="I3270" t="s">
        <v>30988</v>
      </c>
      <c r="J3270" t="s">
        <v>32190</v>
      </c>
      <c r="K3270" t="s">
        <v>40287</v>
      </c>
      <c r="M3270" t="s">
        <v>41994</v>
      </c>
      <c r="N3270" t="s">
        <v>44759</v>
      </c>
      <c r="O3270" t="s">
        <v>44760</v>
      </c>
      <c r="P3270">
        <v>0</v>
      </c>
      <c r="Q3270">
        <v>0</v>
      </c>
      <c r="R3270" t="s">
        <v>44762</v>
      </c>
      <c r="S3270" t="s">
        <v>44863</v>
      </c>
      <c r="T3270" t="s">
        <v>46398</v>
      </c>
      <c r="U3270" t="s">
        <v>49733</v>
      </c>
      <c r="W3270" t="s">
        <v>41994</v>
      </c>
      <c r="X3270" t="s">
        <v>44763</v>
      </c>
    </row>
    <row r="3271" spans="1:24">
      <c r="A3271">
        <f>HYPERLINK("https://www.philgeps.gov.ph/GEPSNONPILOT/Tender/SplashBidNoticeAbstractUI.aspx?menuIndex=3&amp;refID=7149704&amp;Result=3","7149704")</f>
        <v>0</v>
      </c>
      <c r="B3271" t="s">
        <v>1360</v>
      </c>
      <c r="C3271" t="s">
        <v>6891</v>
      </c>
      <c r="D3271" t="s">
        <v>18025</v>
      </c>
      <c r="E3271" t="s">
        <v>20986</v>
      </c>
      <c r="F3271" t="s">
        <v>30900</v>
      </c>
      <c r="G3271" t="s">
        <v>30907</v>
      </c>
      <c r="H3271" t="s">
        <v>30916</v>
      </c>
      <c r="I3271" t="s">
        <v>4545</v>
      </c>
      <c r="J3271" t="s">
        <v>33362</v>
      </c>
      <c r="K3271" t="s">
        <v>40289</v>
      </c>
      <c r="M3271" t="s">
        <v>41982</v>
      </c>
      <c r="N3271" t="s">
        <v>44759</v>
      </c>
      <c r="O3271" t="s">
        <v>44760</v>
      </c>
      <c r="P3271">
        <v>0</v>
      </c>
      <c r="Q3271">
        <v>3</v>
      </c>
      <c r="R3271" t="s">
        <v>44762</v>
      </c>
      <c r="S3271" t="s">
        <v>44863</v>
      </c>
      <c r="T3271" t="s">
        <v>46396</v>
      </c>
      <c r="U3271" t="s">
        <v>49739</v>
      </c>
      <c r="W3271" t="s">
        <v>41982</v>
      </c>
      <c r="X3271" t="s">
        <v>44763</v>
      </c>
    </row>
    <row r="3272" spans="1:24">
      <c r="A3272">
        <f>HYPERLINK("https://www.philgeps.gov.ph/GEPSNONPILOT/Tender/SplashBidNoticeAbstractUI.aspx?menuIndex=3&amp;refID=7149718&amp;Result=3","7149718")</f>
        <v>0</v>
      </c>
      <c r="B3272" t="s">
        <v>1375</v>
      </c>
      <c r="C3272" t="s">
        <v>6892</v>
      </c>
      <c r="D3272" t="s">
        <v>17989</v>
      </c>
      <c r="E3272" t="s">
        <v>20987</v>
      </c>
      <c r="F3272" t="s">
        <v>30900</v>
      </c>
      <c r="G3272" t="s">
        <v>30908</v>
      </c>
      <c r="H3272" t="s">
        <v>30916</v>
      </c>
      <c r="I3272" t="s">
        <v>8123</v>
      </c>
      <c r="J3272" t="s">
        <v>33363</v>
      </c>
      <c r="K3272" t="s">
        <v>40287</v>
      </c>
      <c r="M3272" t="s">
        <v>41999</v>
      </c>
      <c r="N3272" t="s">
        <v>44759</v>
      </c>
      <c r="O3272" t="s">
        <v>44760</v>
      </c>
      <c r="P3272">
        <v>0</v>
      </c>
      <c r="Q3272">
        <v>0</v>
      </c>
      <c r="R3272" t="s">
        <v>44762</v>
      </c>
      <c r="S3272" t="s">
        <v>44863</v>
      </c>
      <c r="T3272" t="s">
        <v>46382</v>
      </c>
      <c r="U3272" t="s">
        <v>49740</v>
      </c>
      <c r="W3272" t="s">
        <v>41999</v>
      </c>
      <c r="X3272" t="s">
        <v>44763</v>
      </c>
    </row>
    <row r="3273" spans="1:24">
      <c r="A3273">
        <f>HYPERLINK("https://www.philgeps.gov.ph/GEPSNONPILOT/Tender/SplashBidNoticeAbstractUI.aspx?menuIndex=3&amp;refID=7149733&amp;Result=3","7149733")</f>
        <v>0</v>
      </c>
      <c r="B3273" t="s">
        <v>855</v>
      </c>
      <c r="C3273" t="s">
        <v>6746</v>
      </c>
      <c r="D3273" t="s">
        <v>17975</v>
      </c>
      <c r="E3273" t="s">
        <v>20988</v>
      </c>
      <c r="F3273" t="s">
        <v>30900</v>
      </c>
      <c r="G3273" t="s">
        <v>30908</v>
      </c>
      <c r="H3273" t="s">
        <v>30916</v>
      </c>
      <c r="I3273" t="s">
        <v>6746</v>
      </c>
      <c r="J3273" t="s">
        <v>31581</v>
      </c>
      <c r="K3273" t="s">
        <v>40287</v>
      </c>
      <c r="M3273" t="s">
        <v>41428</v>
      </c>
      <c r="N3273" t="s">
        <v>44759</v>
      </c>
      <c r="O3273" t="s">
        <v>44760</v>
      </c>
      <c r="P3273">
        <v>0</v>
      </c>
      <c r="Q3273">
        <v>0</v>
      </c>
      <c r="R3273" t="s">
        <v>44762</v>
      </c>
      <c r="S3273" t="s">
        <v>44863</v>
      </c>
      <c r="T3273" t="s">
        <v>46414</v>
      </c>
      <c r="U3273" t="s">
        <v>49741</v>
      </c>
      <c r="W3273" t="s">
        <v>41428</v>
      </c>
      <c r="X3273" t="s">
        <v>44763</v>
      </c>
    </row>
    <row r="3274" spans="1:24">
      <c r="A3274">
        <f>HYPERLINK("https://www.philgeps.gov.ph/GEPSNONPILOT/Tender/SplashBidNoticeAbstractUI.aspx?menuIndex=3&amp;refID=7149761&amp;Result=3","7149761")</f>
        <v>0</v>
      </c>
      <c r="B3274" t="s">
        <v>1027</v>
      </c>
      <c r="C3274" t="s">
        <v>6893</v>
      </c>
      <c r="D3274" t="s">
        <v>17973</v>
      </c>
      <c r="E3274" t="s">
        <v>20989</v>
      </c>
      <c r="F3274" t="s">
        <v>30900</v>
      </c>
      <c r="G3274" t="s">
        <v>30908</v>
      </c>
      <c r="H3274" t="s">
        <v>30916</v>
      </c>
      <c r="I3274" t="s">
        <v>10602</v>
      </c>
      <c r="J3274" t="s">
        <v>33364</v>
      </c>
      <c r="K3274" t="s">
        <v>40291</v>
      </c>
      <c r="M3274" t="s">
        <v>41879</v>
      </c>
      <c r="N3274" t="s">
        <v>44759</v>
      </c>
      <c r="O3274" t="s">
        <v>44760</v>
      </c>
      <c r="P3274">
        <v>0</v>
      </c>
      <c r="Q3274">
        <v>0</v>
      </c>
      <c r="R3274" t="s">
        <v>44762</v>
      </c>
      <c r="S3274" t="s">
        <v>44863</v>
      </c>
      <c r="T3274" t="s">
        <v>46393</v>
      </c>
      <c r="U3274" t="s">
        <v>49742</v>
      </c>
      <c r="W3274" t="s">
        <v>41879</v>
      </c>
      <c r="X3274" t="s">
        <v>44763</v>
      </c>
    </row>
    <row r="3275" spans="1:24">
      <c r="A3275">
        <f>HYPERLINK("https://www.philgeps.gov.ph/GEPSNONPILOT/Tender/SplashBidNoticeAbstractUI.aspx?menuIndex=3&amp;refID=7149760&amp;Result=3","7149760")</f>
        <v>0</v>
      </c>
      <c r="B3275" t="s">
        <v>1376</v>
      </c>
      <c r="C3275" t="s">
        <v>6894</v>
      </c>
      <c r="D3275" t="s">
        <v>17974</v>
      </c>
      <c r="E3275" t="s">
        <v>18234</v>
      </c>
      <c r="F3275" t="s">
        <v>30900</v>
      </c>
      <c r="G3275" t="s">
        <v>30908</v>
      </c>
      <c r="H3275" t="s">
        <v>30916</v>
      </c>
      <c r="I3275" t="s">
        <v>8123</v>
      </c>
      <c r="J3275" t="s">
        <v>33365</v>
      </c>
      <c r="K3275" t="s">
        <v>40289</v>
      </c>
      <c r="M3275" t="s">
        <v>42000</v>
      </c>
      <c r="N3275" t="s">
        <v>44759</v>
      </c>
      <c r="O3275" t="s">
        <v>44760</v>
      </c>
      <c r="P3275">
        <v>0</v>
      </c>
      <c r="Q3275">
        <v>0</v>
      </c>
      <c r="R3275" t="s">
        <v>44762</v>
      </c>
      <c r="S3275" t="s">
        <v>44863</v>
      </c>
      <c r="T3275" t="s">
        <v>46410</v>
      </c>
      <c r="U3275" t="s">
        <v>47654</v>
      </c>
      <c r="W3275" t="s">
        <v>42000</v>
      </c>
      <c r="X3275" t="s">
        <v>44763</v>
      </c>
    </row>
    <row r="3276" spans="1:24">
      <c r="A3276">
        <f>HYPERLINK("https://www.philgeps.gov.ph/GEPSNONPILOT/Tender/SplashBidNoticeAbstractUI.aspx?menuIndex=3&amp;refID=7149758&amp;Result=3","7149758")</f>
        <v>0</v>
      </c>
      <c r="B3276" t="s">
        <v>1377</v>
      </c>
      <c r="C3276" t="s">
        <v>6895</v>
      </c>
      <c r="D3276" t="s">
        <v>17971</v>
      </c>
      <c r="E3276" t="s">
        <v>18306</v>
      </c>
      <c r="F3276" t="s">
        <v>30900</v>
      </c>
      <c r="G3276" t="s">
        <v>30907</v>
      </c>
      <c r="H3276" t="s">
        <v>30916</v>
      </c>
      <c r="I3276" t="s">
        <v>31012</v>
      </c>
      <c r="J3276" t="s">
        <v>33366</v>
      </c>
      <c r="K3276" t="s">
        <v>40283</v>
      </c>
      <c r="M3276" t="s">
        <v>42001</v>
      </c>
      <c r="N3276" t="s">
        <v>44759</v>
      </c>
      <c r="O3276" t="s">
        <v>44760</v>
      </c>
      <c r="P3276">
        <v>0</v>
      </c>
      <c r="Q3276">
        <v>0</v>
      </c>
      <c r="R3276" t="s">
        <v>44762</v>
      </c>
      <c r="S3276" t="s">
        <v>44863</v>
      </c>
      <c r="T3276" t="s">
        <v>46389</v>
      </c>
      <c r="U3276" t="s">
        <v>49743</v>
      </c>
      <c r="W3276" t="s">
        <v>42001</v>
      </c>
      <c r="X3276" t="s">
        <v>44763</v>
      </c>
    </row>
    <row r="3277" spans="1:24">
      <c r="A3277">
        <f>HYPERLINK("https://www.philgeps.gov.ph/GEPSNONPILOT/Tender/SplashBidNoticeAbstractUI.aspx?menuIndex=3&amp;refID=7149708&amp;Result=3","7149708")</f>
        <v>0</v>
      </c>
      <c r="B3277" t="s">
        <v>497</v>
      </c>
      <c r="C3277" t="s">
        <v>6896</v>
      </c>
      <c r="D3277" t="s">
        <v>17951</v>
      </c>
      <c r="E3277" t="s">
        <v>18912</v>
      </c>
      <c r="F3277" t="s">
        <v>30900</v>
      </c>
      <c r="G3277" t="s">
        <v>30908</v>
      </c>
      <c r="H3277" t="s">
        <v>30916</v>
      </c>
      <c r="I3277" t="s">
        <v>8123</v>
      </c>
      <c r="J3277" t="s">
        <v>33367</v>
      </c>
      <c r="K3277" t="s">
        <v>40285</v>
      </c>
      <c r="M3277" t="s">
        <v>41056</v>
      </c>
      <c r="N3277" t="s">
        <v>44759</v>
      </c>
      <c r="O3277" t="s">
        <v>44760</v>
      </c>
      <c r="P3277">
        <v>0</v>
      </c>
      <c r="Q3277">
        <v>0</v>
      </c>
      <c r="R3277" t="s">
        <v>44762</v>
      </c>
      <c r="S3277" t="s">
        <v>44863</v>
      </c>
      <c r="T3277" t="s">
        <v>46414</v>
      </c>
      <c r="U3277" t="s">
        <v>49744</v>
      </c>
      <c r="W3277" t="s">
        <v>41056</v>
      </c>
      <c r="X3277" t="s">
        <v>44763</v>
      </c>
    </row>
    <row r="3278" spans="1:24">
      <c r="A3278">
        <f>HYPERLINK("https://www.philgeps.gov.ph/GEPSNONPILOT/Tender/SplashBidNoticeAbstractUI.aspx?menuIndex=3&amp;refID=7149756&amp;Result=3","7149756")</f>
        <v>0</v>
      </c>
      <c r="B3278" t="s">
        <v>573</v>
      </c>
      <c r="C3278" t="s">
        <v>6897</v>
      </c>
      <c r="D3278" t="s">
        <v>18023</v>
      </c>
      <c r="E3278" t="s">
        <v>20990</v>
      </c>
      <c r="F3278" t="s">
        <v>30900</v>
      </c>
      <c r="G3278" t="s">
        <v>30908</v>
      </c>
      <c r="H3278" t="s">
        <v>30916</v>
      </c>
      <c r="I3278" t="s">
        <v>4050</v>
      </c>
      <c r="J3278" t="s">
        <v>33368</v>
      </c>
      <c r="K3278" t="s">
        <v>40286</v>
      </c>
      <c r="M3278" t="s">
        <v>41134</v>
      </c>
      <c r="N3278" t="s">
        <v>44759</v>
      </c>
      <c r="O3278" t="s">
        <v>44760</v>
      </c>
      <c r="P3278">
        <v>0</v>
      </c>
      <c r="Q3278">
        <v>0</v>
      </c>
      <c r="R3278" t="s">
        <v>44762</v>
      </c>
      <c r="S3278" t="s">
        <v>44863</v>
      </c>
      <c r="T3278" t="s">
        <v>46536</v>
      </c>
      <c r="U3278" t="s">
        <v>49745</v>
      </c>
      <c r="V3278" t="s">
        <v>59483</v>
      </c>
      <c r="W3278" t="s">
        <v>41134</v>
      </c>
      <c r="X3278" t="s">
        <v>44763</v>
      </c>
    </row>
    <row r="3279" spans="1:24">
      <c r="A3279">
        <f>HYPERLINK("https://www.philgeps.gov.ph/GEPSNONPILOT/Tender/SplashBidNoticeAbstractUI.aspx?menuIndex=3&amp;refID=7149683&amp;Result=3","7149683")</f>
        <v>0</v>
      </c>
      <c r="B3279" t="s">
        <v>1378</v>
      </c>
      <c r="C3279" t="s">
        <v>6898</v>
      </c>
      <c r="D3279" t="s">
        <v>17962</v>
      </c>
      <c r="E3279" t="s">
        <v>20991</v>
      </c>
      <c r="F3279" t="s">
        <v>30900</v>
      </c>
      <c r="G3279" t="s">
        <v>30908</v>
      </c>
      <c r="H3279" t="s">
        <v>30916</v>
      </c>
      <c r="I3279" t="s">
        <v>30988</v>
      </c>
      <c r="J3279" t="s">
        <v>33369</v>
      </c>
      <c r="K3279" t="s">
        <v>40289</v>
      </c>
      <c r="M3279" t="s">
        <v>42002</v>
      </c>
      <c r="N3279" t="s">
        <v>44759</v>
      </c>
      <c r="O3279" t="s">
        <v>44760</v>
      </c>
      <c r="P3279">
        <v>0</v>
      </c>
      <c r="Q3279">
        <v>0</v>
      </c>
      <c r="R3279" t="s">
        <v>44762</v>
      </c>
      <c r="S3279" t="s">
        <v>44863</v>
      </c>
      <c r="T3279" t="s">
        <v>46414</v>
      </c>
      <c r="U3279" t="s">
        <v>46999</v>
      </c>
      <c r="V3279" t="s">
        <v>59484</v>
      </c>
      <c r="W3279" t="s">
        <v>42002</v>
      </c>
      <c r="X3279" t="s">
        <v>44763</v>
      </c>
    </row>
    <row r="3280" spans="1:24">
      <c r="A3280">
        <f>HYPERLINK("https://www.philgeps.gov.ph/GEPSNONPILOT/Tender/SplashBidNoticeAbstractUI.aspx?menuIndex=3&amp;refID=7149762&amp;Result=3","7149762")</f>
        <v>0</v>
      </c>
      <c r="B3280" t="s">
        <v>1379</v>
      </c>
      <c r="C3280" t="s">
        <v>3996</v>
      </c>
      <c r="D3280" t="s">
        <v>17975</v>
      </c>
      <c r="E3280" t="s">
        <v>20992</v>
      </c>
      <c r="F3280" t="s">
        <v>30900</v>
      </c>
      <c r="G3280" t="s">
        <v>30909</v>
      </c>
      <c r="H3280" t="s">
        <v>30916</v>
      </c>
      <c r="I3280" t="s">
        <v>4142</v>
      </c>
      <c r="J3280" t="s">
        <v>31751</v>
      </c>
      <c r="K3280" t="s">
        <v>40287</v>
      </c>
      <c r="M3280" t="s">
        <v>42003</v>
      </c>
      <c r="N3280" t="s">
        <v>44759</v>
      </c>
      <c r="O3280" t="s">
        <v>44760</v>
      </c>
      <c r="P3280">
        <v>0</v>
      </c>
      <c r="Q3280">
        <v>0</v>
      </c>
      <c r="R3280" t="s">
        <v>44762</v>
      </c>
      <c r="S3280" t="s">
        <v>44863</v>
      </c>
      <c r="T3280" t="s">
        <v>46531</v>
      </c>
      <c r="U3280" t="s">
        <v>49746</v>
      </c>
      <c r="W3280" t="s">
        <v>42003</v>
      </c>
      <c r="X3280" t="s">
        <v>44763</v>
      </c>
    </row>
    <row r="3281" spans="1:24">
      <c r="A3281">
        <f>HYPERLINK("https://www.philgeps.gov.ph/GEPSNONPILOT/Tender/SplashBidNoticeAbstractUI.aspx?menuIndex=3&amp;refID=7149754&amp;Result=3","7149754")</f>
        <v>0</v>
      </c>
      <c r="B3281" t="s">
        <v>1380</v>
      </c>
      <c r="C3281" t="s">
        <v>6899</v>
      </c>
      <c r="D3281" t="s">
        <v>18025</v>
      </c>
      <c r="E3281" t="s">
        <v>20993</v>
      </c>
      <c r="F3281" t="s">
        <v>30900</v>
      </c>
      <c r="G3281" t="s">
        <v>30908</v>
      </c>
      <c r="H3281" t="s">
        <v>30916</v>
      </c>
      <c r="I3281" t="s">
        <v>5501</v>
      </c>
      <c r="J3281" t="s">
        <v>33370</v>
      </c>
      <c r="K3281" t="s">
        <v>40288</v>
      </c>
      <c r="M3281" t="s">
        <v>42004</v>
      </c>
      <c r="N3281" t="s">
        <v>44759</v>
      </c>
      <c r="O3281" t="s">
        <v>44760</v>
      </c>
      <c r="P3281">
        <v>0</v>
      </c>
      <c r="Q3281">
        <v>3</v>
      </c>
      <c r="R3281" t="s">
        <v>44762</v>
      </c>
      <c r="S3281" t="s">
        <v>44863</v>
      </c>
      <c r="T3281" t="s">
        <v>46357</v>
      </c>
      <c r="U3281" t="s">
        <v>49747</v>
      </c>
      <c r="V3281" t="s">
        <v>59485</v>
      </c>
      <c r="W3281" t="s">
        <v>42004</v>
      </c>
      <c r="X3281" t="s">
        <v>44763</v>
      </c>
    </row>
    <row r="3282" spans="1:24">
      <c r="A3282">
        <f>HYPERLINK("https://www.philgeps.gov.ph/GEPSNONPILOT/Tender/SplashBidNoticeAbstractUI.aspx?menuIndex=3&amp;refID=7149752&amp;Result=3","7149752")</f>
        <v>0</v>
      </c>
      <c r="B3282" t="s">
        <v>1321</v>
      </c>
      <c r="C3282" t="s">
        <v>6900</v>
      </c>
      <c r="D3282" t="s">
        <v>17976</v>
      </c>
      <c r="E3282" t="s">
        <v>20994</v>
      </c>
      <c r="F3282" t="s">
        <v>30900</v>
      </c>
      <c r="G3282" t="s">
        <v>30907</v>
      </c>
      <c r="H3282" t="s">
        <v>30916</v>
      </c>
      <c r="I3282" t="s">
        <v>30932</v>
      </c>
      <c r="J3282" t="s">
        <v>33371</v>
      </c>
      <c r="K3282" t="s">
        <v>40286</v>
      </c>
      <c r="M3282" t="s">
        <v>41940</v>
      </c>
      <c r="N3282" t="s">
        <v>44759</v>
      </c>
      <c r="O3282" t="s">
        <v>44760</v>
      </c>
      <c r="P3282">
        <v>0</v>
      </c>
      <c r="Q3282">
        <v>0</v>
      </c>
      <c r="R3282" t="s">
        <v>44762</v>
      </c>
      <c r="S3282" t="s">
        <v>44863</v>
      </c>
      <c r="T3282" t="s">
        <v>46375</v>
      </c>
      <c r="U3282" t="s">
        <v>49748</v>
      </c>
      <c r="W3282" t="s">
        <v>41940</v>
      </c>
      <c r="X3282" t="s">
        <v>44763</v>
      </c>
    </row>
    <row r="3283" spans="1:24">
      <c r="A3283">
        <f>HYPERLINK("https://www.philgeps.gov.ph/GEPSNONPILOT/Tender/SplashBidNoticeAbstractUI.aspx?menuIndex=3&amp;refID=7149751&amp;Result=3","7149751")</f>
        <v>0</v>
      </c>
      <c r="B3283" t="s">
        <v>950</v>
      </c>
      <c r="C3283" t="s">
        <v>6901</v>
      </c>
      <c r="D3283" t="s">
        <v>17993</v>
      </c>
      <c r="E3283" t="s">
        <v>20995</v>
      </c>
      <c r="F3283" t="s">
        <v>30900</v>
      </c>
      <c r="G3283" t="s">
        <v>30908</v>
      </c>
      <c r="H3283" t="s">
        <v>30916</v>
      </c>
      <c r="I3283" t="s">
        <v>30933</v>
      </c>
      <c r="J3283" t="s">
        <v>32233</v>
      </c>
      <c r="K3283" t="s">
        <v>40283</v>
      </c>
      <c r="M3283" t="s">
        <v>41535</v>
      </c>
      <c r="N3283" t="s">
        <v>44759</v>
      </c>
      <c r="O3283" t="s">
        <v>44760</v>
      </c>
      <c r="P3283">
        <v>0</v>
      </c>
      <c r="Q3283">
        <v>0</v>
      </c>
      <c r="R3283" t="s">
        <v>44762</v>
      </c>
      <c r="S3283" t="s">
        <v>44863</v>
      </c>
      <c r="T3283" t="s">
        <v>46410</v>
      </c>
      <c r="U3283" t="s">
        <v>49749</v>
      </c>
      <c r="W3283" t="s">
        <v>41535</v>
      </c>
      <c r="X3283" t="s">
        <v>44763</v>
      </c>
    </row>
    <row r="3284" spans="1:24">
      <c r="A3284">
        <f>HYPERLINK("https://www.philgeps.gov.ph/GEPSNONPILOT/Tender/SplashBidNoticeAbstractUI.aspx?menuIndex=3&amp;refID=7149759&amp;Result=3","7149759")</f>
        <v>0</v>
      </c>
      <c r="B3284" t="s">
        <v>1240</v>
      </c>
      <c r="C3284" t="s">
        <v>6902</v>
      </c>
      <c r="D3284" t="s">
        <v>18010</v>
      </c>
      <c r="E3284" t="s">
        <v>20996</v>
      </c>
      <c r="F3284" t="s">
        <v>30900</v>
      </c>
      <c r="G3284" t="s">
        <v>30907</v>
      </c>
      <c r="H3284" t="s">
        <v>30915</v>
      </c>
      <c r="I3284" t="s">
        <v>30919</v>
      </c>
      <c r="J3284" t="s">
        <v>31105</v>
      </c>
      <c r="K3284" t="s">
        <v>40287</v>
      </c>
      <c r="M3284" t="s">
        <v>41852</v>
      </c>
      <c r="N3284" t="s">
        <v>44759</v>
      </c>
      <c r="O3284" t="s">
        <v>44760</v>
      </c>
      <c r="P3284">
        <v>0</v>
      </c>
      <c r="Q3284">
        <v>1</v>
      </c>
      <c r="R3284" t="s">
        <v>44762</v>
      </c>
      <c r="S3284" t="s">
        <v>44863</v>
      </c>
      <c r="T3284" t="s">
        <v>46352</v>
      </c>
      <c r="U3284" t="s">
        <v>49750</v>
      </c>
      <c r="V3284" t="s">
        <v>59486</v>
      </c>
      <c r="W3284" t="s">
        <v>41852</v>
      </c>
      <c r="X3284" t="s">
        <v>44763</v>
      </c>
    </row>
    <row r="3285" spans="1:24">
      <c r="A3285">
        <f>HYPERLINK("https://www.philgeps.gov.ph/GEPSNONPILOT/Tender/SplashBidNoticeAbstractUI.aspx?menuIndex=3&amp;refID=7149750&amp;Result=3","7149750")</f>
        <v>0</v>
      </c>
      <c r="B3285" t="s">
        <v>1381</v>
      </c>
      <c r="C3285" t="s">
        <v>6903</v>
      </c>
      <c r="D3285" t="s">
        <v>17985</v>
      </c>
      <c r="E3285" t="s">
        <v>18964</v>
      </c>
      <c r="F3285" t="s">
        <v>30900</v>
      </c>
      <c r="G3285" t="s">
        <v>30907</v>
      </c>
      <c r="H3285" t="s">
        <v>30915</v>
      </c>
      <c r="I3285" t="s">
        <v>30919</v>
      </c>
      <c r="J3285" t="s">
        <v>31341</v>
      </c>
      <c r="K3285" t="s">
        <v>40343</v>
      </c>
      <c r="M3285" t="s">
        <v>42005</v>
      </c>
      <c r="N3285" t="s">
        <v>44759</v>
      </c>
      <c r="O3285" t="s">
        <v>44760</v>
      </c>
      <c r="P3285">
        <v>0</v>
      </c>
      <c r="Q3285">
        <v>0</v>
      </c>
      <c r="R3285" t="s">
        <v>44762</v>
      </c>
      <c r="S3285" t="s">
        <v>44863</v>
      </c>
      <c r="T3285" t="s">
        <v>46544</v>
      </c>
      <c r="U3285" t="s">
        <v>49751</v>
      </c>
      <c r="V3285" t="s">
        <v>59487</v>
      </c>
      <c r="W3285" t="s">
        <v>42005</v>
      </c>
      <c r="X3285" t="s">
        <v>44763</v>
      </c>
    </row>
    <row r="3286" spans="1:24">
      <c r="A3286">
        <f>HYPERLINK("https://www.philgeps.gov.ph/GEPSNONPILOT/Tender/SplashBidNoticeAbstractUI.aspx?menuIndex=3&amp;refID=7149757&amp;Result=3","7149757")</f>
        <v>0</v>
      </c>
      <c r="B3286" t="s">
        <v>168</v>
      </c>
      <c r="C3286" t="s">
        <v>6904</v>
      </c>
      <c r="D3286" t="s">
        <v>18007</v>
      </c>
      <c r="E3286" t="s">
        <v>20997</v>
      </c>
      <c r="F3286" t="s">
        <v>30900</v>
      </c>
      <c r="G3286" t="s">
        <v>30909</v>
      </c>
      <c r="H3286" t="s">
        <v>30916</v>
      </c>
      <c r="I3286" t="s">
        <v>30951</v>
      </c>
      <c r="J3286" t="s">
        <v>33372</v>
      </c>
      <c r="K3286" t="s">
        <v>40286</v>
      </c>
      <c r="M3286" t="s">
        <v>40715</v>
      </c>
      <c r="N3286" t="s">
        <v>44759</v>
      </c>
      <c r="O3286" t="s">
        <v>44760</v>
      </c>
      <c r="P3286">
        <v>0</v>
      </c>
      <c r="Q3286">
        <v>0</v>
      </c>
      <c r="R3286" t="s">
        <v>44762</v>
      </c>
      <c r="S3286" t="s">
        <v>44863</v>
      </c>
      <c r="T3286" t="s">
        <v>46414</v>
      </c>
      <c r="U3286" t="s">
        <v>49752</v>
      </c>
      <c r="W3286" t="s">
        <v>40715</v>
      </c>
      <c r="X3286" t="s">
        <v>44763</v>
      </c>
    </row>
    <row r="3287" spans="1:24">
      <c r="A3287">
        <f>HYPERLINK("https://www.philgeps.gov.ph/GEPSNONPILOT/Tender/SplashBidNoticeAbstractUI.aspx?menuIndex=3&amp;refID=7149692&amp;Result=3","7149692")</f>
        <v>0</v>
      </c>
      <c r="B3287" t="s">
        <v>1382</v>
      </c>
      <c r="C3287" t="s">
        <v>6905</v>
      </c>
      <c r="D3287" t="s">
        <v>18012</v>
      </c>
      <c r="E3287" t="s">
        <v>20998</v>
      </c>
      <c r="F3287" t="s">
        <v>30900</v>
      </c>
      <c r="G3287" t="s">
        <v>30908</v>
      </c>
      <c r="H3287" t="s">
        <v>30916</v>
      </c>
      <c r="I3287" t="s">
        <v>8123</v>
      </c>
      <c r="J3287" t="s">
        <v>32491</v>
      </c>
      <c r="K3287" t="s">
        <v>40289</v>
      </c>
      <c r="M3287" t="s">
        <v>42006</v>
      </c>
      <c r="N3287" t="s">
        <v>44759</v>
      </c>
      <c r="O3287" t="s">
        <v>44760</v>
      </c>
      <c r="P3287">
        <v>0</v>
      </c>
      <c r="Q3287">
        <v>0</v>
      </c>
      <c r="R3287" t="s">
        <v>44762</v>
      </c>
      <c r="S3287" t="s">
        <v>44863</v>
      </c>
      <c r="T3287" t="s">
        <v>46383</v>
      </c>
      <c r="U3287" t="s">
        <v>49753</v>
      </c>
      <c r="W3287" t="s">
        <v>42006</v>
      </c>
      <c r="X3287" t="s">
        <v>44763</v>
      </c>
    </row>
    <row r="3288" spans="1:24">
      <c r="A3288">
        <f>HYPERLINK("https://www.philgeps.gov.ph/GEPSNONPILOT/Tender/SplashBidNoticeAbstractUI.aspx?menuIndex=3&amp;refID=7149789&amp;Result=3","7149789")</f>
        <v>0</v>
      </c>
      <c r="B3288" t="s">
        <v>1383</v>
      </c>
      <c r="C3288" t="s">
        <v>6906</v>
      </c>
      <c r="D3288" t="s">
        <v>18032</v>
      </c>
      <c r="E3288" t="s">
        <v>20999</v>
      </c>
      <c r="F3288" t="s">
        <v>30900</v>
      </c>
      <c r="G3288" t="s">
        <v>30909</v>
      </c>
      <c r="H3288" t="s">
        <v>30916</v>
      </c>
      <c r="I3288" t="s">
        <v>4545</v>
      </c>
      <c r="J3288" t="s">
        <v>32163</v>
      </c>
      <c r="K3288" t="s">
        <v>40289</v>
      </c>
      <c r="M3288" t="s">
        <v>42007</v>
      </c>
      <c r="N3288" t="s">
        <v>44759</v>
      </c>
      <c r="O3288" t="s">
        <v>44760</v>
      </c>
      <c r="P3288">
        <v>0</v>
      </c>
      <c r="Q3288">
        <v>1</v>
      </c>
      <c r="R3288" t="s">
        <v>44762</v>
      </c>
      <c r="S3288" t="s">
        <v>44863</v>
      </c>
      <c r="T3288" t="s">
        <v>46581</v>
      </c>
      <c r="U3288" t="s">
        <v>49754</v>
      </c>
      <c r="W3288" t="s">
        <v>42007</v>
      </c>
      <c r="X3288" t="s">
        <v>44763</v>
      </c>
    </row>
    <row r="3289" spans="1:24">
      <c r="A3289">
        <f>HYPERLINK("https://www.philgeps.gov.ph/GEPSNONPILOT/Tender/SplashBidNoticeAbstractUI.aspx?menuIndex=3&amp;refID=7149755&amp;Result=3","7149755")</f>
        <v>0</v>
      </c>
      <c r="B3289" t="s">
        <v>307</v>
      </c>
      <c r="C3289" t="s">
        <v>6907</v>
      </c>
      <c r="D3289" t="s">
        <v>17990</v>
      </c>
      <c r="E3289" t="s">
        <v>21000</v>
      </c>
      <c r="F3289" t="s">
        <v>30900</v>
      </c>
      <c r="G3289" t="s">
        <v>30908</v>
      </c>
      <c r="H3289" t="s">
        <v>30916</v>
      </c>
      <c r="I3289" t="s">
        <v>8123</v>
      </c>
      <c r="J3289" t="s">
        <v>33373</v>
      </c>
      <c r="K3289" t="s">
        <v>40286</v>
      </c>
      <c r="M3289" t="s">
        <v>40857</v>
      </c>
      <c r="N3289" t="s">
        <v>44759</v>
      </c>
      <c r="O3289" t="s">
        <v>44760</v>
      </c>
      <c r="P3289">
        <v>0</v>
      </c>
      <c r="Q3289">
        <v>0</v>
      </c>
      <c r="R3289" t="s">
        <v>44762</v>
      </c>
      <c r="S3289" t="s">
        <v>44863</v>
      </c>
      <c r="T3289" t="s">
        <v>46379</v>
      </c>
      <c r="U3289" t="s">
        <v>49755</v>
      </c>
      <c r="W3289" t="s">
        <v>40857</v>
      </c>
      <c r="X3289" t="s">
        <v>44763</v>
      </c>
    </row>
    <row r="3290" spans="1:24">
      <c r="A3290">
        <f>HYPERLINK("https://www.philgeps.gov.ph/GEPSNONPILOT/Tender/SplashBidNoticeAbstractUI.aspx?menuIndex=3&amp;refID=7149787&amp;Result=3","7149787")</f>
        <v>0</v>
      </c>
      <c r="B3290" t="s">
        <v>1384</v>
      </c>
      <c r="C3290" t="s">
        <v>6908</v>
      </c>
      <c r="D3290" t="s">
        <v>18013</v>
      </c>
      <c r="E3290" t="s">
        <v>20256</v>
      </c>
      <c r="F3290" t="s">
        <v>30900</v>
      </c>
      <c r="G3290" t="s">
        <v>30908</v>
      </c>
      <c r="H3290" t="s">
        <v>30916</v>
      </c>
      <c r="I3290" t="s">
        <v>4454</v>
      </c>
      <c r="J3290" t="s">
        <v>33374</v>
      </c>
      <c r="K3290" t="s">
        <v>40284</v>
      </c>
      <c r="M3290" t="s">
        <v>42008</v>
      </c>
      <c r="N3290" t="s">
        <v>44759</v>
      </c>
      <c r="O3290" t="s">
        <v>44760</v>
      </c>
      <c r="P3290">
        <v>0</v>
      </c>
      <c r="Q3290">
        <v>2</v>
      </c>
      <c r="R3290" t="s">
        <v>44762</v>
      </c>
      <c r="S3290" t="s">
        <v>44863</v>
      </c>
      <c r="T3290" t="s">
        <v>46379</v>
      </c>
      <c r="U3290" t="s">
        <v>49756</v>
      </c>
      <c r="W3290" t="s">
        <v>42008</v>
      </c>
      <c r="X3290" t="s">
        <v>44763</v>
      </c>
    </row>
    <row r="3291" spans="1:24">
      <c r="A3291">
        <f>HYPERLINK("https://www.philgeps.gov.ph/GEPSNONPILOT/Tender/SplashBidNoticeAbstractUI.aspx?menuIndex=3&amp;refID=7149785&amp;Result=3","7149785")</f>
        <v>0</v>
      </c>
      <c r="B3291" t="s">
        <v>1385</v>
      </c>
      <c r="C3291" t="s">
        <v>6909</v>
      </c>
      <c r="D3291" t="s">
        <v>17963</v>
      </c>
      <c r="E3291" t="s">
        <v>18169</v>
      </c>
      <c r="F3291" t="s">
        <v>30900</v>
      </c>
      <c r="G3291" t="s">
        <v>30909</v>
      </c>
      <c r="H3291" t="s">
        <v>30916</v>
      </c>
      <c r="I3291" t="s">
        <v>5501</v>
      </c>
      <c r="J3291" t="s">
        <v>33375</v>
      </c>
      <c r="K3291" t="s">
        <v>40288</v>
      </c>
      <c r="M3291" t="s">
        <v>42009</v>
      </c>
      <c r="N3291" t="s">
        <v>44759</v>
      </c>
      <c r="O3291" t="s">
        <v>44760</v>
      </c>
      <c r="P3291">
        <v>0</v>
      </c>
      <c r="Q3291">
        <v>0</v>
      </c>
      <c r="R3291" t="s">
        <v>44762</v>
      </c>
      <c r="S3291" t="s">
        <v>44863</v>
      </c>
      <c r="T3291" t="s">
        <v>46571</v>
      </c>
      <c r="U3291" t="s">
        <v>49757</v>
      </c>
      <c r="W3291" t="s">
        <v>42009</v>
      </c>
      <c r="X3291" t="s">
        <v>44763</v>
      </c>
    </row>
    <row r="3292" spans="1:24">
      <c r="A3292">
        <f>HYPERLINK("https://www.philgeps.gov.ph/GEPSNONPILOT/Tender/SplashBidNoticeAbstractUI.aspx?menuIndex=3&amp;refID=7149753&amp;Result=3","7149753")</f>
        <v>0</v>
      </c>
      <c r="B3292" t="s">
        <v>1379</v>
      </c>
      <c r="C3292" t="s">
        <v>6910</v>
      </c>
      <c r="D3292" t="s">
        <v>17975</v>
      </c>
      <c r="E3292" t="s">
        <v>21001</v>
      </c>
      <c r="F3292" t="s">
        <v>30900</v>
      </c>
      <c r="G3292" t="s">
        <v>30909</v>
      </c>
      <c r="H3292" t="s">
        <v>30916</v>
      </c>
      <c r="I3292" t="s">
        <v>30934</v>
      </c>
      <c r="J3292" t="s">
        <v>31751</v>
      </c>
      <c r="K3292" t="s">
        <v>40287</v>
      </c>
      <c r="M3292" t="s">
        <v>42003</v>
      </c>
      <c r="N3292" t="s">
        <v>44759</v>
      </c>
      <c r="O3292" t="s">
        <v>44760</v>
      </c>
      <c r="P3292">
        <v>0</v>
      </c>
      <c r="Q3292">
        <v>0</v>
      </c>
      <c r="R3292" t="s">
        <v>44762</v>
      </c>
      <c r="S3292" t="s">
        <v>44863</v>
      </c>
      <c r="T3292" t="s">
        <v>46531</v>
      </c>
      <c r="U3292" t="s">
        <v>49758</v>
      </c>
      <c r="W3292" t="s">
        <v>42003</v>
      </c>
      <c r="X3292" t="s">
        <v>44763</v>
      </c>
    </row>
    <row r="3293" spans="1:24">
      <c r="A3293">
        <f>HYPERLINK("https://www.philgeps.gov.ph/GEPSNONPILOT/Tender/SplashBidNoticeAbstractUI.aspx?menuIndex=3&amp;refID=7149783&amp;Result=3","7149783")</f>
        <v>0</v>
      </c>
      <c r="B3293" t="s">
        <v>1250</v>
      </c>
      <c r="C3293" t="s">
        <v>6911</v>
      </c>
      <c r="D3293" t="s">
        <v>17953</v>
      </c>
      <c r="E3293" t="s">
        <v>21002</v>
      </c>
      <c r="F3293" t="s">
        <v>30900</v>
      </c>
      <c r="G3293" t="s">
        <v>30907</v>
      </c>
      <c r="H3293" t="s">
        <v>30916</v>
      </c>
      <c r="I3293" t="s">
        <v>10879</v>
      </c>
      <c r="J3293" t="s">
        <v>31247</v>
      </c>
      <c r="K3293" t="s">
        <v>40286</v>
      </c>
      <c r="M3293" t="s">
        <v>41862</v>
      </c>
      <c r="N3293" t="s">
        <v>44759</v>
      </c>
      <c r="O3293" t="s">
        <v>44760</v>
      </c>
      <c r="P3293">
        <v>0</v>
      </c>
      <c r="Q3293">
        <v>1</v>
      </c>
      <c r="R3293" t="s">
        <v>44762</v>
      </c>
      <c r="S3293" t="s">
        <v>44863</v>
      </c>
      <c r="T3293" t="s">
        <v>46369</v>
      </c>
      <c r="U3293" t="s">
        <v>49759</v>
      </c>
      <c r="W3293" t="s">
        <v>41862</v>
      </c>
      <c r="X3293" t="s">
        <v>44763</v>
      </c>
    </row>
    <row r="3294" spans="1:24">
      <c r="A3294">
        <f>HYPERLINK("https://www.philgeps.gov.ph/GEPSNONPILOT/Tender/SplashBidNoticeAbstractUI.aspx?menuIndex=3&amp;refID=7149780&amp;Result=3","7149780")</f>
        <v>0</v>
      </c>
      <c r="B3294" t="s">
        <v>624</v>
      </c>
      <c r="C3294" t="s">
        <v>6912</v>
      </c>
      <c r="D3294" t="s">
        <v>17977</v>
      </c>
      <c r="E3294" t="s">
        <v>21003</v>
      </c>
      <c r="F3294" t="s">
        <v>30900</v>
      </c>
      <c r="G3294" t="s">
        <v>30908</v>
      </c>
      <c r="H3294" t="s">
        <v>30916</v>
      </c>
      <c r="I3294" t="s">
        <v>30927</v>
      </c>
      <c r="J3294" t="s">
        <v>31101</v>
      </c>
      <c r="K3294" t="s">
        <v>40289</v>
      </c>
      <c r="M3294" t="s">
        <v>41186</v>
      </c>
      <c r="N3294" t="s">
        <v>44759</v>
      </c>
      <c r="O3294" t="s">
        <v>44760</v>
      </c>
      <c r="P3294">
        <v>0</v>
      </c>
      <c r="Q3294">
        <v>0</v>
      </c>
      <c r="R3294" t="s">
        <v>44762</v>
      </c>
      <c r="S3294" t="s">
        <v>44863</v>
      </c>
      <c r="T3294" t="s">
        <v>46351</v>
      </c>
      <c r="U3294" t="s">
        <v>48040</v>
      </c>
      <c r="W3294" t="s">
        <v>41186</v>
      </c>
      <c r="X3294" t="s">
        <v>44763</v>
      </c>
    </row>
    <row r="3295" spans="1:24">
      <c r="A3295">
        <f>HYPERLINK("https://www.philgeps.gov.ph/GEPSNONPILOT/Tender/SplashBidNoticeAbstractUI.aspx?menuIndex=3&amp;refID=7149749&amp;Result=3","7149749")</f>
        <v>0</v>
      </c>
      <c r="B3295" t="s">
        <v>44</v>
      </c>
      <c r="C3295" t="s">
        <v>6913</v>
      </c>
      <c r="D3295" t="s">
        <v>17969</v>
      </c>
      <c r="E3295" t="s">
        <v>21004</v>
      </c>
      <c r="F3295" t="s">
        <v>30900</v>
      </c>
      <c r="G3295" t="s">
        <v>30908</v>
      </c>
      <c r="H3295" t="s">
        <v>30916</v>
      </c>
      <c r="I3295" t="s">
        <v>6953</v>
      </c>
      <c r="J3295" t="s">
        <v>33376</v>
      </c>
      <c r="K3295" t="s">
        <v>40289</v>
      </c>
      <c r="M3295" t="s">
        <v>41947</v>
      </c>
      <c r="N3295" t="s">
        <v>44759</v>
      </c>
      <c r="O3295" t="s">
        <v>44760</v>
      </c>
      <c r="P3295">
        <v>0</v>
      </c>
      <c r="Q3295">
        <v>0</v>
      </c>
      <c r="R3295" t="s">
        <v>44762</v>
      </c>
      <c r="S3295" t="s">
        <v>44863</v>
      </c>
      <c r="T3295" t="s">
        <v>46412</v>
      </c>
      <c r="U3295" t="s">
        <v>49760</v>
      </c>
      <c r="W3295" t="s">
        <v>41947</v>
      </c>
      <c r="X3295" t="s">
        <v>44763</v>
      </c>
    </row>
    <row r="3296" spans="1:24">
      <c r="A3296">
        <f>HYPERLINK("https://www.philgeps.gov.ph/GEPSNONPILOT/Tender/SplashBidNoticeAbstractUI.aspx?menuIndex=3&amp;refID=7149778&amp;Result=3","7149778")</f>
        <v>0</v>
      </c>
      <c r="B3296" t="s">
        <v>1364</v>
      </c>
      <c r="C3296" t="s">
        <v>6914</v>
      </c>
      <c r="D3296" t="s">
        <v>17957</v>
      </c>
      <c r="E3296" t="s">
        <v>21005</v>
      </c>
      <c r="F3296" t="s">
        <v>30900</v>
      </c>
      <c r="G3296" t="s">
        <v>30908</v>
      </c>
      <c r="H3296" t="s">
        <v>30916</v>
      </c>
      <c r="I3296" t="s">
        <v>10602</v>
      </c>
      <c r="J3296" t="s">
        <v>31271</v>
      </c>
      <c r="K3296" t="s">
        <v>40287</v>
      </c>
      <c r="M3296" t="s">
        <v>41986</v>
      </c>
      <c r="N3296" t="s">
        <v>44759</v>
      </c>
      <c r="O3296" t="s">
        <v>44760</v>
      </c>
      <c r="P3296">
        <v>0</v>
      </c>
      <c r="Q3296">
        <v>0</v>
      </c>
      <c r="R3296" t="s">
        <v>44762</v>
      </c>
      <c r="S3296" t="s">
        <v>44863</v>
      </c>
      <c r="T3296" t="s">
        <v>46383</v>
      </c>
      <c r="U3296" t="s">
        <v>49761</v>
      </c>
      <c r="W3296" t="s">
        <v>41986</v>
      </c>
      <c r="X3296" t="s">
        <v>44763</v>
      </c>
    </row>
    <row r="3297" spans="1:24">
      <c r="A3297">
        <f>HYPERLINK("https://www.philgeps.gov.ph/GEPSNONPILOT/Tender/SplashBidNoticeAbstractUI.aspx?menuIndex=3&amp;refID=7149776&amp;Result=3","7149776")</f>
        <v>0</v>
      </c>
      <c r="B3297" t="s">
        <v>1369</v>
      </c>
      <c r="C3297" t="s">
        <v>6915</v>
      </c>
      <c r="D3297" t="s">
        <v>17963</v>
      </c>
      <c r="E3297" t="s">
        <v>8056</v>
      </c>
      <c r="F3297" t="s">
        <v>30900</v>
      </c>
      <c r="G3297" t="s">
        <v>30910</v>
      </c>
      <c r="H3297" t="s">
        <v>30916</v>
      </c>
      <c r="I3297" t="s">
        <v>8123</v>
      </c>
      <c r="J3297" t="s">
        <v>31896</v>
      </c>
      <c r="K3297" t="s">
        <v>40285</v>
      </c>
      <c r="M3297" t="s">
        <v>41992</v>
      </c>
      <c r="N3297" t="s">
        <v>44759</v>
      </c>
      <c r="O3297" t="s">
        <v>44760</v>
      </c>
      <c r="P3297">
        <v>0</v>
      </c>
      <c r="Q3297">
        <v>2</v>
      </c>
      <c r="R3297" t="s">
        <v>44762</v>
      </c>
      <c r="S3297" t="s">
        <v>44863</v>
      </c>
      <c r="T3297" t="s">
        <v>46457</v>
      </c>
      <c r="U3297" t="s">
        <v>47851</v>
      </c>
      <c r="W3297" t="s">
        <v>41992</v>
      </c>
      <c r="X3297" t="s">
        <v>44763</v>
      </c>
    </row>
    <row r="3298" spans="1:24">
      <c r="A3298">
        <f>HYPERLINK("https://www.philgeps.gov.ph/GEPSNONPILOT/Tender/SplashBidNoticeAbstractUI.aspx?menuIndex=3&amp;refID=7149773&amp;Result=3","7149773")</f>
        <v>0</v>
      </c>
      <c r="B3298" t="s">
        <v>493</v>
      </c>
      <c r="C3298" t="s">
        <v>4780</v>
      </c>
      <c r="D3298" t="s">
        <v>17975</v>
      </c>
      <c r="E3298" t="s">
        <v>21006</v>
      </c>
      <c r="F3298" t="s">
        <v>30900</v>
      </c>
      <c r="G3298" t="s">
        <v>30908</v>
      </c>
      <c r="H3298" t="s">
        <v>30916</v>
      </c>
      <c r="I3298" t="s">
        <v>4142</v>
      </c>
      <c r="J3298" t="s">
        <v>31101</v>
      </c>
      <c r="K3298" t="s">
        <v>40289</v>
      </c>
      <c r="M3298" t="s">
        <v>41052</v>
      </c>
      <c r="N3298" t="s">
        <v>44759</v>
      </c>
      <c r="O3298" t="s">
        <v>44760</v>
      </c>
      <c r="P3298">
        <v>0</v>
      </c>
      <c r="Q3298">
        <v>2</v>
      </c>
      <c r="R3298" t="s">
        <v>44762</v>
      </c>
      <c r="S3298" t="s">
        <v>44863</v>
      </c>
      <c r="T3298" t="s">
        <v>46383</v>
      </c>
      <c r="U3298" t="s">
        <v>49762</v>
      </c>
      <c r="W3298" t="s">
        <v>41052</v>
      </c>
      <c r="X3298" t="s">
        <v>44763</v>
      </c>
    </row>
    <row r="3299" spans="1:24">
      <c r="A3299">
        <f>HYPERLINK("https://www.philgeps.gov.ph/GEPSNONPILOT/Tender/SplashBidNoticeAbstractUI.aspx?menuIndex=3&amp;refID=7149788&amp;Result=3","7149788")</f>
        <v>0</v>
      </c>
      <c r="B3299" t="s">
        <v>695</v>
      </c>
      <c r="C3299" t="s">
        <v>6916</v>
      </c>
      <c r="D3299" t="s">
        <v>17958</v>
      </c>
      <c r="E3299" t="s">
        <v>21007</v>
      </c>
      <c r="F3299" t="s">
        <v>30900</v>
      </c>
      <c r="G3299" t="s">
        <v>30908</v>
      </c>
      <c r="H3299" t="s">
        <v>30916</v>
      </c>
      <c r="I3299" t="s">
        <v>30924</v>
      </c>
      <c r="J3299" t="s">
        <v>31049</v>
      </c>
      <c r="K3299" t="s">
        <v>40286</v>
      </c>
      <c r="M3299" t="s">
        <v>41259</v>
      </c>
      <c r="N3299" t="s">
        <v>44759</v>
      </c>
      <c r="O3299" t="s">
        <v>44760</v>
      </c>
      <c r="P3299">
        <v>0</v>
      </c>
      <c r="Q3299">
        <v>1</v>
      </c>
      <c r="R3299" t="s">
        <v>44762</v>
      </c>
      <c r="S3299" t="s">
        <v>44863</v>
      </c>
      <c r="T3299" t="s">
        <v>46440</v>
      </c>
      <c r="U3299" t="s">
        <v>49763</v>
      </c>
      <c r="W3299" t="s">
        <v>60834</v>
      </c>
      <c r="X3299" t="s">
        <v>44763</v>
      </c>
    </row>
    <row r="3300" spans="1:24">
      <c r="A3300">
        <f>HYPERLINK("https://www.philgeps.gov.ph/GEPSNONPILOT/Tender/SplashBidNoticeAbstractUI.aspx?menuIndex=3&amp;refID=7149771&amp;Result=3","7149771")</f>
        <v>0</v>
      </c>
      <c r="B3300" t="s">
        <v>855</v>
      </c>
      <c r="C3300" t="s">
        <v>6917</v>
      </c>
      <c r="D3300" t="s">
        <v>17975</v>
      </c>
      <c r="E3300" t="s">
        <v>21008</v>
      </c>
      <c r="F3300" t="s">
        <v>30900</v>
      </c>
      <c r="G3300" t="s">
        <v>30908</v>
      </c>
      <c r="H3300" t="s">
        <v>30916</v>
      </c>
      <c r="I3300" t="s">
        <v>4108</v>
      </c>
      <c r="J3300" t="s">
        <v>33377</v>
      </c>
      <c r="K3300" t="s">
        <v>40287</v>
      </c>
      <c r="M3300" t="s">
        <v>41428</v>
      </c>
      <c r="N3300" t="s">
        <v>44759</v>
      </c>
      <c r="O3300" t="s">
        <v>44760</v>
      </c>
      <c r="P3300">
        <v>0</v>
      </c>
      <c r="Q3300">
        <v>0</v>
      </c>
      <c r="R3300" t="s">
        <v>44762</v>
      </c>
      <c r="S3300" t="s">
        <v>44863</v>
      </c>
      <c r="T3300" t="s">
        <v>46414</v>
      </c>
      <c r="U3300" t="s">
        <v>49764</v>
      </c>
      <c r="W3300" t="s">
        <v>41428</v>
      </c>
      <c r="X3300" t="s">
        <v>44763</v>
      </c>
    </row>
    <row r="3301" spans="1:24">
      <c r="A3301">
        <f>HYPERLINK("https://www.philgeps.gov.ph/GEPSNONPILOT/Tender/SplashBidNoticeAbstractUI.aspx?menuIndex=3&amp;refID=7149770&amp;Result=3","7149770")</f>
        <v>0</v>
      </c>
      <c r="B3301" t="s">
        <v>1386</v>
      </c>
      <c r="C3301" t="s">
        <v>6918</v>
      </c>
      <c r="D3301" t="s">
        <v>17998</v>
      </c>
      <c r="E3301" t="s">
        <v>21009</v>
      </c>
      <c r="F3301" t="s">
        <v>30900</v>
      </c>
      <c r="G3301" t="s">
        <v>30907</v>
      </c>
      <c r="H3301" t="s">
        <v>30916</v>
      </c>
      <c r="I3301" t="s">
        <v>30921</v>
      </c>
      <c r="J3301" t="s">
        <v>33378</v>
      </c>
      <c r="K3301" t="s">
        <v>40284</v>
      </c>
      <c r="M3301" t="s">
        <v>42010</v>
      </c>
      <c r="N3301" t="s">
        <v>44759</v>
      </c>
      <c r="O3301" t="s">
        <v>44760</v>
      </c>
      <c r="P3301">
        <v>0</v>
      </c>
      <c r="Q3301">
        <v>0</v>
      </c>
      <c r="R3301" t="s">
        <v>44762</v>
      </c>
      <c r="S3301" t="s">
        <v>44863</v>
      </c>
      <c r="T3301" t="s">
        <v>46351</v>
      </c>
      <c r="U3301" t="s">
        <v>49765</v>
      </c>
      <c r="W3301" t="s">
        <v>42010</v>
      </c>
      <c r="X3301" t="s">
        <v>44763</v>
      </c>
    </row>
    <row r="3302" spans="1:24">
      <c r="A3302">
        <f>HYPERLINK("https://www.philgeps.gov.ph/GEPSNONPILOT/Tender/SplashBidNoticeAbstractUI.aspx?menuIndex=3&amp;refID=7149786&amp;Result=3","7149786")</f>
        <v>0</v>
      </c>
      <c r="B3302" t="s">
        <v>91</v>
      </c>
      <c r="C3302" t="s">
        <v>6919</v>
      </c>
      <c r="D3302" t="s">
        <v>17993</v>
      </c>
      <c r="E3302" t="s">
        <v>21010</v>
      </c>
      <c r="F3302" t="s">
        <v>30900</v>
      </c>
      <c r="G3302" t="s">
        <v>30908</v>
      </c>
      <c r="H3302" t="s">
        <v>30916</v>
      </c>
      <c r="I3302" t="s">
        <v>30950</v>
      </c>
      <c r="J3302" t="s">
        <v>31898</v>
      </c>
      <c r="K3302" t="s">
        <v>40283</v>
      </c>
      <c r="M3302" t="s">
        <v>40638</v>
      </c>
      <c r="N3302" t="s">
        <v>44759</v>
      </c>
      <c r="O3302" t="s">
        <v>44760</v>
      </c>
      <c r="P3302">
        <v>0</v>
      </c>
      <c r="Q3302">
        <v>1</v>
      </c>
      <c r="R3302" t="s">
        <v>44762</v>
      </c>
      <c r="S3302" t="s">
        <v>44863</v>
      </c>
      <c r="T3302" t="s">
        <v>46425</v>
      </c>
      <c r="U3302" t="s">
        <v>47060</v>
      </c>
      <c r="V3302" t="s">
        <v>59488</v>
      </c>
      <c r="W3302" t="s">
        <v>40638</v>
      </c>
      <c r="X3302" t="s">
        <v>44763</v>
      </c>
    </row>
    <row r="3303" spans="1:24">
      <c r="A3303">
        <f>HYPERLINK("https://www.philgeps.gov.ph/GEPSNONPILOT/Tender/SplashBidNoticeAbstractUI.aspx?menuIndex=3&amp;refID=7149769&amp;Result=3","7149769")</f>
        <v>0</v>
      </c>
      <c r="B3303" t="s">
        <v>1326</v>
      </c>
      <c r="C3303" t="s">
        <v>6920</v>
      </c>
      <c r="D3303" t="s">
        <v>17987</v>
      </c>
      <c r="E3303" t="s">
        <v>21011</v>
      </c>
      <c r="F3303" t="s">
        <v>30900</v>
      </c>
      <c r="G3303" t="s">
        <v>30907</v>
      </c>
      <c r="H3303" t="s">
        <v>30915</v>
      </c>
      <c r="I3303" t="s">
        <v>30919</v>
      </c>
      <c r="J3303" t="s">
        <v>33379</v>
      </c>
      <c r="K3303" t="s">
        <v>40290</v>
      </c>
      <c r="M3303" t="s">
        <v>41945</v>
      </c>
      <c r="N3303" t="s">
        <v>44759</v>
      </c>
      <c r="O3303" t="s">
        <v>44760</v>
      </c>
      <c r="Q3303">
        <v>0</v>
      </c>
      <c r="R3303" t="s">
        <v>44762</v>
      </c>
      <c r="S3303" t="s">
        <v>44881</v>
      </c>
      <c r="T3303" t="s">
        <v>46375</v>
      </c>
      <c r="U3303" t="s">
        <v>49766</v>
      </c>
      <c r="V3303" t="s">
        <v>59467</v>
      </c>
      <c r="W3303" t="s">
        <v>41945</v>
      </c>
      <c r="X3303" t="s">
        <v>44763</v>
      </c>
    </row>
    <row r="3304" spans="1:24">
      <c r="A3304">
        <f>HYPERLINK("https://www.philgeps.gov.ph/GEPSNONPILOT/Tender/SplashBidNoticeAbstractUI.aspx?menuIndex=3&amp;refID=7149765&amp;Result=3","7149765")</f>
        <v>0</v>
      </c>
      <c r="B3304" t="s">
        <v>1286</v>
      </c>
      <c r="C3304" t="s">
        <v>6921</v>
      </c>
      <c r="D3304" t="s">
        <v>17953</v>
      </c>
      <c r="E3304" t="s">
        <v>21012</v>
      </c>
      <c r="F3304" t="s">
        <v>30900</v>
      </c>
      <c r="G3304" t="s">
        <v>30907</v>
      </c>
      <c r="H3304" t="s">
        <v>30916</v>
      </c>
      <c r="I3304" t="s">
        <v>8365</v>
      </c>
      <c r="J3304" t="s">
        <v>33380</v>
      </c>
      <c r="K3304" t="s">
        <v>40281</v>
      </c>
      <c r="M3304" t="s">
        <v>41903</v>
      </c>
      <c r="N3304" t="s">
        <v>44759</v>
      </c>
      <c r="O3304" t="s">
        <v>44760</v>
      </c>
      <c r="P3304">
        <v>0</v>
      </c>
      <c r="Q3304">
        <v>1</v>
      </c>
      <c r="R3304" t="s">
        <v>44762</v>
      </c>
      <c r="S3304" t="s">
        <v>44863</v>
      </c>
      <c r="T3304" t="s">
        <v>46394</v>
      </c>
      <c r="U3304" t="s">
        <v>49767</v>
      </c>
      <c r="W3304" t="s">
        <v>41903</v>
      </c>
      <c r="X3304" t="s">
        <v>44763</v>
      </c>
    </row>
    <row r="3305" spans="1:24">
      <c r="A3305">
        <f>HYPERLINK("https://www.philgeps.gov.ph/GEPSNONPILOT/Tender/SplashBidNoticeAbstractUI.aspx?menuIndex=3&amp;refID=7149763&amp;Result=3","7149763")</f>
        <v>0</v>
      </c>
      <c r="B3305" t="s">
        <v>1387</v>
      </c>
      <c r="C3305" t="s">
        <v>6922</v>
      </c>
      <c r="E3305" t="s">
        <v>21013</v>
      </c>
      <c r="F3305" t="s">
        <v>30900</v>
      </c>
      <c r="G3305" t="s">
        <v>30907</v>
      </c>
      <c r="H3305" t="s">
        <v>30916</v>
      </c>
      <c r="I3305" t="s">
        <v>30939</v>
      </c>
      <c r="J3305" t="s">
        <v>33381</v>
      </c>
      <c r="K3305" t="s">
        <v>40289</v>
      </c>
      <c r="M3305" t="s">
        <v>42011</v>
      </c>
      <c r="N3305" t="s">
        <v>44759</v>
      </c>
      <c r="O3305" t="s">
        <v>44760</v>
      </c>
      <c r="P3305">
        <v>0</v>
      </c>
      <c r="Q3305">
        <v>0</v>
      </c>
      <c r="R3305" t="s">
        <v>44762</v>
      </c>
      <c r="S3305" t="s">
        <v>44863</v>
      </c>
      <c r="T3305" t="s">
        <v>46409</v>
      </c>
      <c r="U3305" t="s">
        <v>49768</v>
      </c>
      <c r="V3305" t="s">
        <v>59226</v>
      </c>
      <c r="W3305" t="s">
        <v>42011</v>
      </c>
      <c r="X3305" t="s">
        <v>44763</v>
      </c>
    </row>
    <row r="3306" spans="1:24">
      <c r="A3306">
        <f>HYPERLINK("https://www.philgeps.gov.ph/GEPSNONPILOT/Tender/SplashBidNoticeAbstractUI.aspx?menuIndex=3&amp;refID=7149774&amp;Result=3","7149774")</f>
        <v>0</v>
      </c>
      <c r="B3306" t="s">
        <v>1385</v>
      </c>
      <c r="C3306" t="s">
        <v>6909</v>
      </c>
      <c r="D3306" t="s">
        <v>17963</v>
      </c>
      <c r="E3306" t="s">
        <v>18158</v>
      </c>
      <c r="F3306" t="s">
        <v>30900</v>
      </c>
      <c r="G3306" t="s">
        <v>30909</v>
      </c>
      <c r="H3306" t="s">
        <v>30916</v>
      </c>
      <c r="I3306" t="s">
        <v>5501</v>
      </c>
      <c r="J3306" t="s">
        <v>31183</v>
      </c>
      <c r="K3306" t="s">
        <v>40288</v>
      </c>
      <c r="M3306" t="s">
        <v>42009</v>
      </c>
      <c r="N3306" t="s">
        <v>44759</v>
      </c>
      <c r="O3306" t="s">
        <v>44760</v>
      </c>
      <c r="P3306">
        <v>0</v>
      </c>
      <c r="Q3306">
        <v>0</v>
      </c>
      <c r="R3306" t="s">
        <v>44762</v>
      </c>
      <c r="S3306" t="s">
        <v>44863</v>
      </c>
      <c r="T3306" t="s">
        <v>46571</v>
      </c>
      <c r="U3306" t="s">
        <v>49769</v>
      </c>
      <c r="W3306" t="s">
        <v>42009</v>
      </c>
      <c r="X3306" t="s">
        <v>44763</v>
      </c>
    </row>
    <row r="3307" spans="1:24">
      <c r="A3307">
        <f>HYPERLINK("https://www.philgeps.gov.ph/GEPSNONPILOT/Tender/SplashBidNoticeAbstractUI.aspx?menuIndex=3&amp;refID=7149748&amp;Result=3","7149748")</f>
        <v>0</v>
      </c>
      <c r="B3307" t="s">
        <v>855</v>
      </c>
      <c r="C3307" t="s">
        <v>6923</v>
      </c>
      <c r="D3307" t="s">
        <v>17975</v>
      </c>
      <c r="E3307" t="s">
        <v>21014</v>
      </c>
      <c r="F3307" t="s">
        <v>30900</v>
      </c>
      <c r="G3307" t="s">
        <v>30908</v>
      </c>
      <c r="H3307" t="s">
        <v>30916</v>
      </c>
      <c r="I3307" t="s">
        <v>4142</v>
      </c>
      <c r="J3307" t="s">
        <v>33382</v>
      </c>
      <c r="K3307" t="s">
        <v>40287</v>
      </c>
      <c r="M3307" t="s">
        <v>41428</v>
      </c>
      <c r="N3307" t="s">
        <v>44759</v>
      </c>
      <c r="O3307" t="s">
        <v>44760</v>
      </c>
      <c r="P3307">
        <v>0</v>
      </c>
      <c r="Q3307">
        <v>1</v>
      </c>
      <c r="R3307" t="s">
        <v>44762</v>
      </c>
      <c r="S3307" t="s">
        <v>44863</v>
      </c>
      <c r="T3307" t="s">
        <v>46414</v>
      </c>
      <c r="U3307" t="s">
        <v>49770</v>
      </c>
      <c r="W3307" t="s">
        <v>41428</v>
      </c>
      <c r="X3307" t="s">
        <v>44763</v>
      </c>
    </row>
    <row r="3308" spans="1:24">
      <c r="A3308">
        <f>HYPERLINK("https://www.philgeps.gov.ph/GEPSNONPILOT/Tender/SplashBidNoticeAbstractUI.aspx?menuIndex=3&amp;refID=7149772&amp;Result=3","7149772")</f>
        <v>0</v>
      </c>
      <c r="B3308" t="s">
        <v>1388</v>
      </c>
      <c r="C3308" t="s">
        <v>6924</v>
      </c>
      <c r="D3308" t="s">
        <v>18002</v>
      </c>
      <c r="E3308" t="s">
        <v>21015</v>
      </c>
      <c r="F3308" t="s">
        <v>30900</v>
      </c>
      <c r="G3308" t="s">
        <v>30909</v>
      </c>
      <c r="H3308" t="s">
        <v>30916</v>
      </c>
      <c r="I3308" t="s">
        <v>8123</v>
      </c>
      <c r="J3308" t="s">
        <v>33383</v>
      </c>
      <c r="K3308" t="s">
        <v>40284</v>
      </c>
      <c r="M3308" t="s">
        <v>42012</v>
      </c>
      <c r="N3308" t="s">
        <v>44759</v>
      </c>
      <c r="O3308" t="s">
        <v>44760</v>
      </c>
      <c r="P3308">
        <v>0</v>
      </c>
      <c r="Q3308">
        <v>0</v>
      </c>
      <c r="R3308" t="s">
        <v>44762</v>
      </c>
      <c r="S3308" t="s">
        <v>44863</v>
      </c>
      <c r="T3308" t="s">
        <v>46606</v>
      </c>
      <c r="U3308" t="s">
        <v>49771</v>
      </c>
      <c r="W3308" t="s">
        <v>42012</v>
      </c>
      <c r="X3308" t="s">
        <v>44763</v>
      </c>
    </row>
    <row r="3309" spans="1:24">
      <c r="A3309">
        <f>HYPERLINK("https://www.philgeps.gov.ph/GEPSNONPILOT/Tender/SplashBidNoticeAbstractUI.aspx?menuIndex=3&amp;refID=7149746&amp;Result=3","7149746")</f>
        <v>0</v>
      </c>
      <c r="B3309" t="s">
        <v>194</v>
      </c>
      <c r="C3309" t="s">
        <v>6925</v>
      </c>
      <c r="D3309" t="s">
        <v>17959</v>
      </c>
      <c r="E3309" t="s">
        <v>6925</v>
      </c>
      <c r="F3309" t="s">
        <v>30900</v>
      </c>
      <c r="G3309" t="s">
        <v>30908</v>
      </c>
      <c r="H3309" t="s">
        <v>30916</v>
      </c>
      <c r="I3309" t="s">
        <v>6953</v>
      </c>
      <c r="J3309" t="s">
        <v>31137</v>
      </c>
      <c r="K3309" t="s">
        <v>40286</v>
      </c>
      <c r="M3309" t="s">
        <v>42013</v>
      </c>
      <c r="N3309" t="s">
        <v>44759</v>
      </c>
      <c r="O3309" t="s">
        <v>44760</v>
      </c>
      <c r="P3309">
        <v>0</v>
      </c>
      <c r="Q3309">
        <v>0</v>
      </c>
      <c r="R3309" t="s">
        <v>44762</v>
      </c>
      <c r="S3309" t="s">
        <v>44863</v>
      </c>
      <c r="T3309" t="s">
        <v>46363</v>
      </c>
      <c r="U3309" t="s">
        <v>49772</v>
      </c>
      <c r="W3309" t="s">
        <v>42013</v>
      </c>
      <c r="X3309" t="s">
        <v>44763</v>
      </c>
    </row>
    <row r="3310" spans="1:24">
      <c r="A3310">
        <f>HYPERLINK("https://www.philgeps.gov.ph/GEPSNONPILOT/Tender/SplashBidNoticeAbstractUI.aspx?menuIndex=3&amp;refID=7149779&amp;Result=3","7149779")</f>
        <v>0</v>
      </c>
      <c r="B3310" t="s">
        <v>196</v>
      </c>
      <c r="C3310" t="s">
        <v>6926</v>
      </c>
      <c r="D3310" t="s">
        <v>17972</v>
      </c>
      <c r="E3310" t="s">
        <v>21016</v>
      </c>
      <c r="F3310" t="s">
        <v>30900</v>
      </c>
      <c r="G3310" t="s">
        <v>30908</v>
      </c>
      <c r="H3310" t="s">
        <v>30917</v>
      </c>
      <c r="I3310" t="s">
        <v>30948</v>
      </c>
      <c r="J3310" t="s">
        <v>31206</v>
      </c>
      <c r="K3310" t="s">
        <v>40286</v>
      </c>
      <c r="L3310" t="s">
        <v>196</v>
      </c>
      <c r="M3310" t="s">
        <v>40743</v>
      </c>
      <c r="N3310" t="s">
        <v>44759</v>
      </c>
      <c r="O3310" t="s">
        <v>44760</v>
      </c>
      <c r="P3310">
        <v>0</v>
      </c>
      <c r="Q3310">
        <v>0</v>
      </c>
      <c r="R3310" t="s">
        <v>44762</v>
      </c>
      <c r="S3310" t="s">
        <v>44863</v>
      </c>
      <c r="T3310" t="s">
        <v>46390</v>
      </c>
      <c r="U3310" t="s">
        <v>49773</v>
      </c>
      <c r="W3310" t="s">
        <v>40743</v>
      </c>
      <c r="X3310" t="s">
        <v>44763</v>
      </c>
    </row>
    <row r="3311" spans="1:24">
      <c r="A3311">
        <f>HYPERLINK("https://www.philgeps.gov.ph/GEPSNONPILOT/Tender/SplashBidNoticeAbstractUI.aspx?menuIndex=3&amp;refID=7149768&amp;Result=3","7149768")</f>
        <v>0</v>
      </c>
      <c r="B3311" t="s">
        <v>1197</v>
      </c>
      <c r="C3311" t="s">
        <v>6927</v>
      </c>
      <c r="D3311" t="s">
        <v>18002</v>
      </c>
      <c r="E3311" t="s">
        <v>21017</v>
      </c>
      <c r="F3311" t="s">
        <v>30900</v>
      </c>
      <c r="G3311" t="s">
        <v>30907</v>
      </c>
      <c r="H3311" t="s">
        <v>30916</v>
      </c>
      <c r="I3311" t="s">
        <v>5501</v>
      </c>
      <c r="J3311" t="s">
        <v>33384</v>
      </c>
      <c r="K3311" t="s">
        <v>40287</v>
      </c>
      <c r="M3311" t="s">
        <v>41808</v>
      </c>
      <c r="N3311" t="s">
        <v>44759</v>
      </c>
      <c r="O3311" t="s">
        <v>44760</v>
      </c>
      <c r="P3311">
        <v>0</v>
      </c>
      <c r="Q3311">
        <v>0</v>
      </c>
      <c r="R3311" t="s">
        <v>44762</v>
      </c>
      <c r="S3311" t="s">
        <v>44863</v>
      </c>
      <c r="T3311" t="s">
        <v>46498</v>
      </c>
      <c r="U3311" t="s">
        <v>49321</v>
      </c>
      <c r="W3311" t="s">
        <v>41808</v>
      </c>
      <c r="X3311" t="s">
        <v>44763</v>
      </c>
    </row>
    <row r="3312" spans="1:24">
      <c r="A3312">
        <f>HYPERLINK("https://www.philgeps.gov.ph/GEPSNONPILOT/Tender/SplashBidNoticeAbstractUI.aspx?menuIndex=3&amp;refID=7149631&amp;Result=3","7149631")</f>
        <v>0</v>
      </c>
      <c r="B3312" t="s">
        <v>1146</v>
      </c>
      <c r="C3312" t="s">
        <v>6928</v>
      </c>
      <c r="D3312" t="s">
        <v>18025</v>
      </c>
      <c r="E3312" t="s">
        <v>21018</v>
      </c>
      <c r="F3312" t="s">
        <v>30900</v>
      </c>
      <c r="G3312" t="s">
        <v>30909</v>
      </c>
      <c r="H3312" t="s">
        <v>30916</v>
      </c>
      <c r="I3312" t="s">
        <v>4108</v>
      </c>
      <c r="J3312" t="s">
        <v>33385</v>
      </c>
      <c r="K3312" t="s">
        <v>40287</v>
      </c>
      <c r="M3312" t="s">
        <v>41752</v>
      </c>
      <c r="N3312" t="s">
        <v>44759</v>
      </c>
      <c r="O3312" t="s">
        <v>44760</v>
      </c>
      <c r="P3312">
        <v>0</v>
      </c>
      <c r="Q3312">
        <v>3</v>
      </c>
      <c r="R3312" t="s">
        <v>44762</v>
      </c>
      <c r="S3312" t="s">
        <v>44863</v>
      </c>
      <c r="T3312" t="s">
        <v>46421</v>
      </c>
      <c r="U3312" t="s">
        <v>49774</v>
      </c>
      <c r="W3312" t="s">
        <v>41752</v>
      </c>
      <c r="X3312" t="s">
        <v>44763</v>
      </c>
    </row>
    <row r="3313" spans="1:24">
      <c r="A3313">
        <f>HYPERLINK("https://www.philgeps.gov.ph/GEPSNONPILOT/Tender/SplashBidNoticeAbstractUI.aspx?menuIndex=3&amp;refID=7149764&amp;Result=3","7149764")</f>
        <v>0</v>
      </c>
      <c r="B3313" t="s">
        <v>1389</v>
      </c>
      <c r="C3313" t="s">
        <v>6929</v>
      </c>
      <c r="D3313" t="s">
        <v>18002</v>
      </c>
      <c r="E3313" t="s">
        <v>21019</v>
      </c>
      <c r="F3313" t="s">
        <v>30900</v>
      </c>
      <c r="G3313" t="s">
        <v>30909</v>
      </c>
      <c r="H3313" t="s">
        <v>30916</v>
      </c>
      <c r="I3313" t="s">
        <v>6396</v>
      </c>
      <c r="J3313" t="s">
        <v>33386</v>
      </c>
      <c r="K3313" t="s">
        <v>40282</v>
      </c>
      <c r="M3313" t="s">
        <v>42014</v>
      </c>
      <c r="N3313" t="s">
        <v>44759</v>
      </c>
      <c r="O3313" t="s">
        <v>44760</v>
      </c>
      <c r="P3313">
        <v>0</v>
      </c>
      <c r="Q3313">
        <v>2</v>
      </c>
      <c r="R3313" t="s">
        <v>44762</v>
      </c>
      <c r="S3313" t="s">
        <v>44863</v>
      </c>
      <c r="T3313" t="s">
        <v>46396</v>
      </c>
      <c r="U3313" t="s">
        <v>49775</v>
      </c>
      <c r="W3313" t="s">
        <v>42014</v>
      </c>
      <c r="X3313" t="s">
        <v>44763</v>
      </c>
    </row>
    <row r="3314" spans="1:24">
      <c r="A3314">
        <f>HYPERLINK("https://www.philgeps.gov.ph/GEPSNONPILOT/Tender/SplashBidNoticeAbstractUI.aspx?menuIndex=3&amp;refID=7149630&amp;Result=3","7149630")</f>
        <v>0</v>
      </c>
      <c r="B3314" t="s">
        <v>373</v>
      </c>
      <c r="C3314" t="s">
        <v>6930</v>
      </c>
      <c r="E3314" t="s">
        <v>21020</v>
      </c>
      <c r="F3314" t="s">
        <v>30900</v>
      </c>
      <c r="G3314" t="s">
        <v>30908</v>
      </c>
      <c r="H3314" t="s">
        <v>30916</v>
      </c>
      <c r="I3314" t="s">
        <v>6396</v>
      </c>
      <c r="J3314" t="s">
        <v>33387</v>
      </c>
      <c r="K3314" t="s">
        <v>40283</v>
      </c>
      <c r="M3314" t="s">
        <v>40927</v>
      </c>
      <c r="N3314" t="s">
        <v>44759</v>
      </c>
      <c r="O3314" t="s">
        <v>44760</v>
      </c>
      <c r="P3314">
        <v>0</v>
      </c>
      <c r="Q3314">
        <v>2</v>
      </c>
      <c r="R3314" t="s">
        <v>44762</v>
      </c>
      <c r="S3314" t="s">
        <v>44863</v>
      </c>
      <c r="T3314" t="s">
        <v>46398</v>
      </c>
      <c r="U3314" t="s">
        <v>49776</v>
      </c>
      <c r="W3314" t="s">
        <v>40927</v>
      </c>
      <c r="X3314" t="s">
        <v>44763</v>
      </c>
    </row>
    <row r="3315" spans="1:24">
      <c r="A3315">
        <f>HYPERLINK("https://www.philgeps.gov.ph/GEPSNONPILOT/Tender/SplashBidNoticeAbstractUI.aspx?menuIndex=3&amp;refID=7149629&amp;Result=3","7149629")</f>
        <v>0</v>
      </c>
      <c r="B3315" t="s">
        <v>1314</v>
      </c>
      <c r="C3315" t="s">
        <v>6931</v>
      </c>
      <c r="D3315" t="s">
        <v>17961</v>
      </c>
      <c r="E3315" t="s">
        <v>21021</v>
      </c>
      <c r="F3315" t="s">
        <v>30900</v>
      </c>
      <c r="G3315" t="s">
        <v>30908</v>
      </c>
      <c r="H3315" t="s">
        <v>7411</v>
      </c>
      <c r="I3315" t="s">
        <v>7411</v>
      </c>
      <c r="J3315" t="s">
        <v>33388</v>
      </c>
      <c r="K3315" t="s">
        <v>40289</v>
      </c>
      <c r="L3315" t="s">
        <v>1314</v>
      </c>
      <c r="M3315" t="s">
        <v>41932</v>
      </c>
      <c r="N3315" t="s">
        <v>44759</v>
      </c>
      <c r="O3315" t="s">
        <v>44760</v>
      </c>
      <c r="P3315">
        <v>0</v>
      </c>
      <c r="Q3315">
        <v>0</v>
      </c>
      <c r="R3315" t="s">
        <v>44762</v>
      </c>
      <c r="S3315" t="s">
        <v>44863</v>
      </c>
      <c r="T3315" t="s">
        <v>46425</v>
      </c>
      <c r="U3315" t="s">
        <v>49653</v>
      </c>
      <c r="W3315" t="s">
        <v>41932</v>
      </c>
      <c r="X3315" t="s">
        <v>44763</v>
      </c>
    </row>
    <row r="3316" spans="1:24">
      <c r="A3316">
        <f>HYPERLINK("https://www.philgeps.gov.ph/GEPSNONPILOT/Tender/SplashBidNoticeAbstractUI.aspx?menuIndex=3&amp;refID=7149790&amp;Result=3","7149790")</f>
        <v>0</v>
      </c>
      <c r="B3316" t="s">
        <v>1390</v>
      </c>
      <c r="C3316" t="s">
        <v>6932</v>
      </c>
      <c r="D3316" t="s">
        <v>18029</v>
      </c>
      <c r="E3316" t="s">
        <v>21022</v>
      </c>
      <c r="F3316" t="s">
        <v>30900</v>
      </c>
      <c r="G3316" t="s">
        <v>30908</v>
      </c>
      <c r="H3316" t="s">
        <v>30916</v>
      </c>
      <c r="I3316" t="s">
        <v>30922</v>
      </c>
      <c r="J3316" t="s">
        <v>33389</v>
      </c>
      <c r="K3316" t="s">
        <v>40289</v>
      </c>
      <c r="M3316" t="s">
        <v>42015</v>
      </c>
      <c r="N3316" t="s">
        <v>44759</v>
      </c>
      <c r="O3316" t="s">
        <v>44760</v>
      </c>
      <c r="P3316">
        <v>0</v>
      </c>
      <c r="Q3316">
        <v>0</v>
      </c>
      <c r="R3316" t="s">
        <v>44762</v>
      </c>
      <c r="S3316" t="s">
        <v>44863</v>
      </c>
      <c r="T3316" t="s">
        <v>46398</v>
      </c>
      <c r="U3316" t="s">
        <v>49777</v>
      </c>
      <c r="W3316" t="s">
        <v>42015</v>
      </c>
      <c r="X3316" t="s">
        <v>44763</v>
      </c>
    </row>
    <row r="3317" spans="1:24">
      <c r="A3317">
        <f>HYPERLINK("https://www.philgeps.gov.ph/GEPSNONPILOT/Tender/SplashBidNoticeAbstractUI.aspx?menuIndex=3&amp;refID=7149736&amp;Result=3","7149736")</f>
        <v>0</v>
      </c>
      <c r="B3317" t="s">
        <v>1391</v>
      </c>
      <c r="C3317" t="s">
        <v>6933</v>
      </c>
      <c r="D3317" t="s">
        <v>17971</v>
      </c>
      <c r="E3317" t="s">
        <v>21023</v>
      </c>
      <c r="F3317" t="s">
        <v>30900</v>
      </c>
      <c r="G3317" t="s">
        <v>30908</v>
      </c>
      <c r="H3317" t="s">
        <v>30916</v>
      </c>
      <c r="I3317" t="s">
        <v>10847</v>
      </c>
      <c r="J3317" t="s">
        <v>31830</v>
      </c>
      <c r="K3317" t="s">
        <v>40344</v>
      </c>
      <c r="M3317" t="s">
        <v>42016</v>
      </c>
      <c r="N3317" t="s">
        <v>44759</v>
      </c>
      <c r="O3317" t="s">
        <v>44760</v>
      </c>
      <c r="P3317">
        <v>0</v>
      </c>
      <c r="Q3317">
        <v>0</v>
      </c>
      <c r="R3317" t="s">
        <v>44762</v>
      </c>
      <c r="S3317" t="s">
        <v>44863</v>
      </c>
      <c r="T3317" t="s">
        <v>46410</v>
      </c>
      <c r="U3317" t="s">
        <v>49778</v>
      </c>
      <c r="W3317" t="s">
        <v>42016</v>
      </c>
      <c r="X3317" t="s">
        <v>44763</v>
      </c>
    </row>
    <row r="3318" spans="1:24">
      <c r="A3318">
        <f>HYPERLINK("https://www.philgeps.gov.ph/GEPSNONPILOT/Tender/SplashBidNoticeAbstractUI.aspx?menuIndex=3&amp;refID=7149807&amp;Result=3","7149807")</f>
        <v>0</v>
      </c>
      <c r="B3318" t="s">
        <v>1392</v>
      </c>
      <c r="C3318" t="s">
        <v>6934</v>
      </c>
      <c r="D3318" t="s">
        <v>17952</v>
      </c>
      <c r="E3318" t="s">
        <v>21024</v>
      </c>
      <c r="F3318" t="s">
        <v>30900</v>
      </c>
      <c r="G3318" t="s">
        <v>30907</v>
      </c>
      <c r="H3318" t="s">
        <v>30916</v>
      </c>
      <c r="I3318" t="s">
        <v>30925</v>
      </c>
      <c r="J3318" t="s">
        <v>33390</v>
      </c>
      <c r="K3318" t="s">
        <v>40301</v>
      </c>
      <c r="M3318" t="s">
        <v>42017</v>
      </c>
      <c r="N3318" t="s">
        <v>44759</v>
      </c>
      <c r="O3318" t="s">
        <v>44760</v>
      </c>
      <c r="P3318">
        <v>0</v>
      </c>
      <c r="Q3318">
        <v>1</v>
      </c>
      <c r="R3318" t="s">
        <v>44762</v>
      </c>
      <c r="S3318" t="s">
        <v>44863</v>
      </c>
      <c r="T3318" t="s">
        <v>46373</v>
      </c>
      <c r="U3318" t="s">
        <v>49779</v>
      </c>
      <c r="V3318" t="s">
        <v>59489</v>
      </c>
      <c r="W3318" t="s">
        <v>42017</v>
      </c>
      <c r="X3318" t="s">
        <v>44763</v>
      </c>
    </row>
    <row r="3319" spans="1:24">
      <c r="A3319">
        <f>HYPERLINK("https://www.philgeps.gov.ph/GEPSNONPILOT/Tender/SplashBidNoticeAbstractUI.aspx?menuIndex=3&amp;refID=7149815&amp;Result=3","7149815")</f>
        <v>0</v>
      </c>
      <c r="B3319" t="s">
        <v>44</v>
      </c>
      <c r="C3319" t="s">
        <v>6935</v>
      </c>
      <c r="D3319" t="s">
        <v>17969</v>
      </c>
      <c r="E3319" t="s">
        <v>21025</v>
      </c>
      <c r="F3319" t="s">
        <v>30900</v>
      </c>
      <c r="G3319" t="s">
        <v>30908</v>
      </c>
      <c r="H3319" t="s">
        <v>30916</v>
      </c>
      <c r="I3319" t="s">
        <v>30974</v>
      </c>
      <c r="J3319" t="s">
        <v>33391</v>
      </c>
      <c r="K3319" t="s">
        <v>40289</v>
      </c>
      <c r="M3319" t="s">
        <v>41947</v>
      </c>
      <c r="N3319" t="s">
        <v>44759</v>
      </c>
      <c r="O3319" t="s">
        <v>44760</v>
      </c>
      <c r="P3319">
        <v>0</v>
      </c>
      <c r="Q3319">
        <v>0</v>
      </c>
      <c r="R3319" t="s">
        <v>44762</v>
      </c>
      <c r="S3319" t="s">
        <v>44863</v>
      </c>
      <c r="T3319" t="s">
        <v>46412</v>
      </c>
      <c r="U3319" t="s">
        <v>49780</v>
      </c>
      <c r="W3319" t="s">
        <v>41947</v>
      </c>
      <c r="X3319" t="s">
        <v>44763</v>
      </c>
    </row>
    <row r="3320" spans="1:24">
      <c r="A3320">
        <f>HYPERLINK("https://www.philgeps.gov.ph/GEPSNONPILOT/Tender/SplashBidNoticeAbstractUI.aspx?menuIndex=3&amp;refID=7149814&amp;Result=3","7149814")</f>
        <v>0</v>
      </c>
      <c r="B3320" t="s">
        <v>1393</v>
      </c>
      <c r="C3320" t="s">
        <v>6936</v>
      </c>
      <c r="E3320" t="s">
        <v>21026</v>
      </c>
      <c r="F3320" t="s">
        <v>30900</v>
      </c>
      <c r="G3320" t="s">
        <v>30906</v>
      </c>
      <c r="H3320" t="s">
        <v>30916</v>
      </c>
      <c r="I3320" t="s">
        <v>30934</v>
      </c>
      <c r="J3320" t="s">
        <v>33392</v>
      </c>
      <c r="K3320" t="s">
        <v>40289</v>
      </c>
      <c r="M3320" t="s">
        <v>42018</v>
      </c>
      <c r="N3320" t="s">
        <v>44759</v>
      </c>
      <c r="O3320" t="s">
        <v>44760</v>
      </c>
      <c r="P3320">
        <v>0</v>
      </c>
      <c r="Q3320">
        <v>10</v>
      </c>
      <c r="R3320" t="s">
        <v>44762</v>
      </c>
      <c r="S3320" t="s">
        <v>44863</v>
      </c>
      <c r="T3320" t="s">
        <v>46377</v>
      </c>
      <c r="U3320" t="s">
        <v>49781</v>
      </c>
      <c r="W3320" t="s">
        <v>42018</v>
      </c>
      <c r="X3320" t="s">
        <v>44763</v>
      </c>
    </row>
    <row r="3321" spans="1:24">
      <c r="A3321">
        <f>HYPERLINK("https://www.philgeps.gov.ph/GEPSNONPILOT/Tender/SplashBidNoticeAbstractUI.aspx?menuIndex=3&amp;refID=7149792&amp;Result=3","7149792")</f>
        <v>0</v>
      </c>
      <c r="B3321" t="s">
        <v>120</v>
      </c>
      <c r="C3321" t="s">
        <v>6937</v>
      </c>
      <c r="D3321" t="s">
        <v>17999</v>
      </c>
      <c r="E3321" t="s">
        <v>21027</v>
      </c>
      <c r="F3321" t="s">
        <v>30900</v>
      </c>
      <c r="G3321" t="s">
        <v>30908</v>
      </c>
      <c r="H3321" t="s">
        <v>30916</v>
      </c>
      <c r="I3321" t="s">
        <v>30947</v>
      </c>
      <c r="J3321" t="s">
        <v>33393</v>
      </c>
      <c r="K3321" t="s">
        <v>40283</v>
      </c>
      <c r="M3321" t="s">
        <v>42019</v>
      </c>
      <c r="N3321" t="s">
        <v>44759</v>
      </c>
      <c r="O3321" t="s">
        <v>44760</v>
      </c>
      <c r="P3321">
        <v>0</v>
      </c>
      <c r="Q3321">
        <v>1</v>
      </c>
      <c r="R3321" t="s">
        <v>44762</v>
      </c>
      <c r="S3321" t="s">
        <v>44863</v>
      </c>
      <c r="T3321" t="s">
        <v>46404</v>
      </c>
      <c r="U3321" t="s">
        <v>49782</v>
      </c>
      <c r="W3321" t="s">
        <v>42019</v>
      </c>
      <c r="X3321" t="s">
        <v>44763</v>
      </c>
    </row>
    <row r="3322" spans="1:24">
      <c r="A3322">
        <f>HYPERLINK("https://www.philgeps.gov.ph/GEPSNONPILOT/Tender/SplashBidNoticeAbstractUI.aspx?menuIndex=3&amp;refID=7149811&amp;Result=3","7149811")</f>
        <v>0</v>
      </c>
      <c r="B3322" t="s">
        <v>1370</v>
      </c>
      <c r="C3322" t="s">
        <v>6938</v>
      </c>
      <c r="D3322" t="s">
        <v>17985</v>
      </c>
      <c r="E3322" t="s">
        <v>21028</v>
      </c>
      <c r="F3322" t="s">
        <v>30900</v>
      </c>
      <c r="G3322" t="s">
        <v>30908</v>
      </c>
      <c r="H3322" t="s">
        <v>30916</v>
      </c>
      <c r="I3322" t="s">
        <v>30925</v>
      </c>
      <c r="J3322" t="s">
        <v>33394</v>
      </c>
      <c r="K3322" t="s">
        <v>40287</v>
      </c>
      <c r="M3322" t="s">
        <v>41994</v>
      </c>
      <c r="N3322" t="s">
        <v>44759</v>
      </c>
      <c r="O3322" t="s">
        <v>44760</v>
      </c>
      <c r="P3322">
        <v>0</v>
      </c>
      <c r="Q3322">
        <v>2</v>
      </c>
      <c r="R3322" t="s">
        <v>44762</v>
      </c>
      <c r="S3322" t="s">
        <v>44863</v>
      </c>
      <c r="T3322" t="s">
        <v>46398</v>
      </c>
      <c r="U3322" t="s">
        <v>49733</v>
      </c>
      <c r="W3322" t="s">
        <v>41994</v>
      </c>
      <c r="X3322" t="s">
        <v>44763</v>
      </c>
    </row>
    <row r="3323" spans="1:24">
      <c r="A3323">
        <f>HYPERLINK("https://www.philgeps.gov.ph/GEPSNONPILOT/Tender/SplashBidNoticeAbstractUI.aspx?menuIndex=3&amp;refID=7149719&amp;Result=3","7149719")</f>
        <v>0</v>
      </c>
      <c r="B3323" t="s">
        <v>307</v>
      </c>
      <c r="C3323" t="s">
        <v>6939</v>
      </c>
      <c r="D3323" t="s">
        <v>17990</v>
      </c>
      <c r="E3323" t="s">
        <v>21029</v>
      </c>
      <c r="F3323" t="s">
        <v>30900</v>
      </c>
      <c r="G3323" t="s">
        <v>30908</v>
      </c>
      <c r="H3323" t="s">
        <v>30916</v>
      </c>
      <c r="I3323" t="s">
        <v>8123</v>
      </c>
      <c r="J3323" t="s">
        <v>31183</v>
      </c>
      <c r="K3323" t="s">
        <v>40280</v>
      </c>
      <c r="M3323" t="s">
        <v>40857</v>
      </c>
      <c r="N3323" t="s">
        <v>44759</v>
      </c>
      <c r="O3323" t="s">
        <v>44760</v>
      </c>
      <c r="P3323">
        <v>0</v>
      </c>
      <c r="Q3323">
        <v>0</v>
      </c>
      <c r="R3323" t="s">
        <v>44762</v>
      </c>
      <c r="S3323" t="s">
        <v>44863</v>
      </c>
      <c r="T3323" t="s">
        <v>46379</v>
      </c>
      <c r="U3323" t="s">
        <v>49783</v>
      </c>
      <c r="W3323" t="s">
        <v>40857</v>
      </c>
      <c r="X3323" t="s">
        <v>44763</v>
      </c>
    </row>
    <row r="3324" spans="1:24">
      <c r="A3324">
        <f>HYPERLINK("https://www.philgeps.gov.ph/GEPSNONPILOT/Tender/SplashBidNoticeAbstractUI.aspx?menuIndex=3&amp;refID=7149810&amp;Result=3","7149810")</f>
        <v>0</v>
      </c>
      <c r="B3324" t="s">
        <v>1240</v>
      </c>
      <c r="C3324" t="s">
        <v>6940</v>
      </c>
      <c r="D3324" t="s">
        <v>18010</v>
      </c>
      <c r="E3324" t="s">
        <v>21030</v>
      </c>
      <c r="F3324" t="s">
        <v>30900</v>
      </c>
      <c r="G3324" t="s">
        <v>30907</v>
      </c>
      <c r="H3324" t="s">
        <v>30915</v>
      </c>
      <c r="I3324" t="s">
        <v>30919</v>
      </c>
      <c r="J3324" t="s">
        <v>31049</v>
      </c>
      <c r="K3324" t="s">
        <v>40287</v>
      </c>
      <c r="M3324" t="s">
        <v>41852</v>
      </c>
      <c r="N3324" t="s">
        <v>44759</v>
      </c>
      <c r="O3324" t="s">
        <v>44760</v>
      </c>
      <c r="P3324">
        <v>0</v>
      </c>
      <c r="Q3324">
        <v>1</v>
      </c>
      <c r="R3324" t="s">
        <v>44762</v>
      </c>
      <c r="S3324" t="s">
        <v>44863</v>
      </c>
      <c r="T3324" t="s">
        <v>46352</v>
      </c>
      <c r="U3324" t="s">
        <v>49784</v>
      </c>
      <c r="V3324" t="s">
        <v>59490</v>
      </c>
      <c r="W3324" t="s">
        <v>41852</v>
      </c>
      <c r="X3324" t="s">
        <v>44763</v>
      </c>
    </row>
    <row r="3325" spans="1:24">
      <c r="A3325">
        <f>HYPERLINK("https://www.philgeps.gov.ph/GEPSNONPILOT/Tender/SplashBidNoticeAbstractUI.aspx?menuIndex=3&amp;refID=7149737&amp;Result=3","7149737")</f>
        <v>0</v>
      </c>
      <c r="B3325" t="s">
        <v>559</v>
      </c>
      <c r="C3325" t="s">
        <v>6941</v>
      </c>
      <c r="D3325" t="s">
        <v>17990</v>
      </c>
      <c r="E3325" t="s">
        <v>21031</v>
      </c>
      <c r="F3325" t="s">
        <v>30900</v>
      </c>
      <c r="G3325" t="s">
        <v>30908</v>
      </c>
      <c r="H3325" t="s">
        <v>30916</v>
      </c>
      <c r="I3325" t="s">
        <v>31003</v>
      </c>
      <c r="J3325" t="s">
        <v>31139</v>
      </c>
      <c r="K3325" t="s">
        <v>40293</v>
      </c>
      <c r="M3325" t="s">
        <v>41120</v>
      </c>
      <c r="N3325" t="s">
        <v>44759</v>
      </c>
      <c r="O3325" t="s">
        <v>44760</v>
      </c>
      <c r="P3325">
        <v>0</v>
      </c>
      <c r="Q3325">
        <v>1</v>
      </c>
      <c r="R3325" t="s">
        <v>44762</v>
      </c>
      <c r="S3325" t="s">
        <v>44863</v>
      </c>
      <c r="T3325" t="s">
        <v>46538</v>
      </c>
      <c r="U3325" t="s">
        <v>47932</v>
      </c>
      <c r="W3325" t="s">
        <v>41120</v>
      </c>
      <c r="X3325" t="s">
        <v>44763</v>
      </c>
    </row>
    <row r="3326" spans="1:24">
      <c r="A3326">
        <f>HYPERLINK("https://www.philgeps.gov.ph/GEPSNONPILOT/Tender/SplashBidNoticeAbstractUI.aspx?menuIndex=3&amp;refID=7149806&amp;Result=3","7149806")</f>
        <v>0</v>
      </c>
      <c r="B3326" t="s">
        <v>1394</v>
      </c>
      <c r="C3326" t="s">
        <v>6942</v>
      </c>
      <c r="D3326" t="s">
        <v>17971</v>
      </c>
      <c r="E3326" t="s">
        <v>18158</v>
      </c>
      <c r="F3326" t="s">
        <v>30900</v>
      </c>
      <c r="G3326" t="s">
        <v>30909</v>
      </c>
      <c r="H3326" t="s">
        <v>30916</v>
      </c>
      <c r="I3326" t="s">
        <v>4142</v>
      </c>
      <c r="J3326" t="s">
        <v>31211</v>
      </c>
      <c r="K3326" t="s">
        <v>40287</v>
      </c>
      <c r="M3326" t="s">
        <v>42020</v>
      </c>
      <c r="N3326" t="s">
        <v>44759</v>
      </c>
      <c r="O3326" t="s">
        <v>44760</v>
      </c>
      <c r="P3326">
        <v>0</v>
      </c>
      <c r="Q3326">
        <v>1</v>
      </c>
      <c r="R3326" t="s">
        <v>44762</v>
      </c>
      <c r="S3326" t="s">
        <v>44863</v>
      </c>
      <c r="T3326" t="s">
        <v>46400</v>
      </c>
      <c r="U3326" t="s">
        <v>49785</v>
      </c>
      <c r="W3326" t="s">
        <v>42020</v>
      </c>
      <c r="X3326" t="s">
        <v>44763</v>
      </c>
    </row>
    <row r="3327" spans="1:24">
      <c r="A3327">
        <f>HYPERLINK("https://www.philgeps.gov.ph/GEPSNONPILOT/Tender/SplashBidNoticeAbstractUI.aspx?menuIndex=3&amp;refID=7149805&amp;Result=3","7149805")</f>
        <v>0</v>
      </c>
      <c r="B3327" t="s">
        <v>323</v>
      </c>
      <c r="C3327" t="s">
        <v>6943</v>
      </c>
      <c r="D3327" t="s">
        <v>17985</v>
      </c>
      <c r="E3327" t="s">
        <v>21032</v>
      </c>
      <c r="F3327" t="s">
        <v>30900</v>
      </c>
      <c r="G3327" t="s">
        <v>30908</v>
      </c>
      <c r="H3327" t="s">
        <v>30916</v>
      </c>
      <c r="I3327" t="s">
        <v>4142</v>
      </c>
      <c r="J3327" t="s">
        <v>33395</v>
      </c>
      <c r="K3327" t="s">
        <v>40286</v>
      </c>
      <c r="M3327" t="s">
        <v>40874</v>
      </c>
      <c r="N3327" t="s">
        <v>44759</v>
      </c>
      <c r="O3327" t="s">
        <v>44760</v>
      </c>
      <c r="P3327">
        <v>0</v>
      </c>
      <c r="Q3327">
        <v>0</v>
      </c>
      <c r="R3327" t="s">
        <v>44762</v>
      </c>
      <c r="S3327" t="s">
        <v>44863</v>
      </c>
      <c r="T3327" t="s">
        <v>46383</v>
      </c>
      <c r="U3327" t="s">
        <v>49786</v>
      </c>
      <c r="W3327" t="s">
        <v>40874</v>
      </c>
      <c r="X3327" t="s">
        <v>44763</v>
      </c>
    </row>
    <row r="3328" spans="1:24">
      <c r="A3328">
        <f>HYPERLINK("https://www.philgeps.gov.ph/GEPSNONPILOT/Tender/SplashBidNoticeAbstractUI.aspx?menuIndex=3&amp;refID=7149735&amp;Result=3","7149735")</f>
        <v>0</v>
      </c>
      <c r="B3328" t="s">
        <v>1314</v>
      </c>
      <c r="C3328" t="s">
        <v>6944</v>
      </c>
      <c r="D3328" t="s">
        <v>17961</v>
      </c>
      <c r="E3328" t="s">
        <v>21033</v>
      </c>
      <c r="F3328" t="s">
        <v>30900</v>
      </c>
      <c r="G3328" t="s">
        <v>30908</v>
      </c>
      <c r="H3328" t="s">
        <v>7411</v>
      </c>
      <c r="I3328" t="s">
        <v>7411</v>
      </c>
      <c r="J3328" t="s">
        <v>33396</v>
      </c>
      <c r="K3328" t="s">
        <v>40289</v>
      </c>
      <c r="L3328" t="s">
        <v>1314</v>
      </c>
      <c r="M3328" t="s">
        <v>41932</v>
      </c>
      <c r="N3328" t="s">
        <v>44759</v>
      </c>
      <c r="O3328" t="s">
        <v>44760</v>
      </c>
      <c r="P3328">
        <v>0</v>
      </c>
      <c r="Q3328">
        <v>1</v>
      </c>
      <c r="R3328" t="s">
        <v>44762</v>
      </c>
      <c r="S3328" t="s">
        <v>44863</v>
      </c>
      <c r="T3328" t="s">
        <v>46425</v>
      </c>
      <c r="U3328" t="s">
        <v>49595</v>
      </c>
      <c r="W3328" t="s">
        <v>41932</v>
      </c>
      <c r="X3328" t="s">
        <v>44763</v>
      </c>
    </row>
    <row r="3329" spans="1:24">
      <c r="A3329">
        <f>HYPERLINK("https://www.philgeps.gov.ph/GEPSNONPILOT/Tender/SplashBidNoticeAbstractUI.aspx?menuIndex=3&amp;refID=7149803&amp;Result=3","7149803")</f>
        <v>0</v>
      </c>
      <c r="B3329" t="s">
        <v>1372</v>
      </c>
      <c r="C3329" t="s">
        <v>6945</v>
      </c>
      <c r="D3329" t="s">
        <v>17981</v>
      </c>
      <c r="E3329" t="s">
        <v>21034</v>
      </c>
      <c r="F3329" t="s">
        <v>30900</v>
      </c>
      <c r="G3329" t="s">
        <v>30907</v>
      </c>
      <c r="H3329" t="s">
        <v>30916</v>
      </c>
      <c r="I3329" t="s">
        <v>8123</v>
      </c>
      <c r="J3329" t="s">
        <v>33397</v>
      </c>
      <c r="K3329" t="s">
        <v>40283</v>
      </c>
      <c r="M3329" t="s">
        <v>41996</v>
      </c>
      <c r="N3329" t="s">
        <v>44759</v>
      </c>
      <c r="O3329" t="s">
        <v>44760</v>
      </c>
      <c r="P3329">
        <v>0</v>
      </c>
      <c r="Q3329">
        <v>0</v>
      </c>
      <c r="R3329" t="s">
        <v>44762</v>
      </c>
      <c r="S3329" t="s">
        <v>44863</v>
      </c>
      <c r="T3329" t="s">
        <v>46467</v>
      </c>
      <c r="U3329" t="s">
        <v>49787</v>
      </c>
      <c r="W3329" t="s">
        <v>41996</v>
      </c>
      <c r="X3329" t="s">
        <v>44763</v>
      </c>
    </row>
    <row r="3330" spans="1:24">
      <c r="A3330">
        <f>HYPERLINK("https://www.philgeps.gov.ph/GEPSNONPILOT/Tender/SplashBidNoticeAbstractUI.aspx?menuIndex=3&amp;refID=7149802&amp;Result=3","7149802")</f>
        <v>0</v>
      </c>
      <c r="B3330" t="s">
        <v>859</v>
      </c>
      <c r="C3330" t="s">
        <v>6946</v>
      </c>
      <c r="D3330" t="s">
        <v>17969</v>
      </c>
      <c r="E3330" t="s">
        <v>21035</v>
      </c>
      <c r="F3330" t="s">
        <v>30900</v>
      </c>
      <c r="G3330" t="s">
        <v>30908</v>
      </c>
      <c r="H3330" t="s">
        <v>30916</v>
      </c>
      <c r="I3330" t="s">
        <v>30924</v>
      </c>
      <c r="J3330" t="s">
        <v>33398</v>
      </c>
      <c r="K3330" t="s">
        <v>40286</v>
      </c>
      <c r="M3330" t="s">
        <v>41432</v>
      </c>
      <c r="N3330" t="s">
        <v>44759</v>
      </c>
      <c r="O3330" t="s">
        <v>44760</v>
      </c>
      <c r="P3330">
        <v>0</v>
      </c>
      <c r="Q3330">
        <v>0</v>
      </c>
      <c r="R3330" t="s">
        <v>44762</v>
      </c>
      <c r="S3330" t="s">
        <v>44863</v>
      </c>
      <c r="T3330" t="s">
        <v>46363</v>
      </c>
      <c r="U3330" t="s">
        <v>49788</v>
      </c>
      <c r="W3330" t="s">
        <v>41432</v>
      </c>
      <c r="X3330" t="s">
        <v>44763</v>
      </c>
    </row>
    <row r="3331" spans="1:24">
      <c r="A3331">
        <f>HYPERLINK("https://www.philgeps.gov.ph/GEPSNONPILOT/Tender/SplashBidNoticeAbstractUI.aspx?menuIndex=3&amp;refID=7149800&amp;Result=3","7149800")</f>
        <v>0</v>
      </c>
      <c r="B3331" t="s">
        <v>484</v>
      </c>
      <c r="C3331" t="s">
        <v>6947</v>
      </c>
      <c r="D3331" t="s">
        <v>17959</v>
      </c>
      <c r="E3331" t="s">
        <v>21036</v>
      </c>
      <c r="F3331" t="s">
        <v>30900</v>
      </c>
      <c r="G3331" t="s">
        <v>30908</v>
      </c>
      <c r="H3331" t="s">
        <v>30916</v>
      </c>
      <c r="I3331" t="s">
        <v>5830</v>
      </c>
      <c r="J3331" t="s">
        <v>31096</v>
      </c>
      <c r="K3331" t="s">
        <v>40283</v>
      </c>
      <c r="M3331" t="s">
        <v>41042</v>
      </c>
      <c r="N3331" t="s">
        <v>44759</v>
      </c>
      <c r="O3331" t="s">
        <v>44760</v>
      </c>
      <c r="P3331">
        <v>0</v>
      </c>
      <c r="Q3331">
        <v>7</v>
      </c>
      <c r="R3331" t="s">
        <v>44762</v>
      </c>
      <c r="S3331" t="s">
        <v>44863</v>
      </c>
      <c r="T3331" t="s">
        <v>46457</v>
      </c>
      <c r="U3331" t="s">
        <v>49789</v>
      </c>
      <c r="V3331" t="s">
        <v>59474</v>
      </c>
      <c r="W3331" t="s">
        <v>41042</v>
      </c>
      <c r="X3331" t="s">
        <v>44763</v>
      </c>
    </row>
    <row r="3332" spans="1:24">
      <c r="A3332">
        <f>HYPERLINK("https://www.philgeps.gov.ph/GEPSNONPILOT/Tender/SplashBidNoticeAbstractUI.aspx?menuIndex=3&amp;refID=7149798&amp;Result=3","7149798")</f>
        <v>0</v>
      </c>
      <c r="B3332" t="s">
        <v>1369</v>
      </c>
      <c r="C3332" t="s">
        <v>6948</v>
      </c>
      <c r="D3332" t="s">
        <v>17963</v>
      </c>
      <c r="E3332" t="s">
        <v>8056</v>
      </c>
      <c r="F3332" t="s">
        <v>30900</v>
      </c>
      <c r="G3332" t="s">
        <v>30910</v>
      </c>
      <c r="H3332" t="s">
        <v>30916</v>
      </c>
      <c r="I3332" t="s">
        <v>8123</v>
      </c>
      <c r="J3332" t="s">
        <v>31282</v>
      </c>
      <c r="K3332" t="s">
        <v>40285</v>
      </c>
      <c r="M3332" t="s">
        <v>41992</v>
      </c>
      <c r="N3332" t="s">
        <v>44759</v>
      </c>
      <c r="O3332" t="s">
        <v>44760</v>
      </c>
      <c r="P3332">
        <v>0</v>
      </c>
      <c r="Q3332">
        <v>1</v>
      </c>
      <c r="R3332" t="s">
        <v>44762</v>
      </c>
      <c r="S3332" t="s">
        <v>44863</v>
      </c>
      <c r="T3332" t="s">
        <v>46457</v>
      </c>
      <c r="U3332" t="s">
        <v>49790</v>
      </c>
      <c r="W3332" t="s">
        <v>41992</v>
      </c>
      <c r="X3332" t="s">
        <v>44763</v>
      </c>
    </row>
    <row r="3333" spans="1:24">
      <c r="A3333">
        <f>HYPERLINK("https://www.philgeps.gov.ph/GEPSNONPILOT/Tender/SplashBidNoticeAbstractUI.aspx?menuIndex=3&amp;refID=7149740&amp;Result=3","7149740")</f>
        <v>0</v>
      </c>
      <c r="B3333" t="s">
        <v>1395</v>
      </c>
      <c r="C3333" t="s">
        <v>6949</v>
      </c>
      <c r="D3333" t="s">
        <v>17990</v>
      </c>
      <c r="E3333" t="s">
        <v>21037</v>
      </c>
      <c r="F3333" t="s">
        <v>30900</v>
      </c>
      <c r="G3333" t="s">
        <v>30907</v>
      </c>
      <c r="H3333" t="s">
        <v>30916</v>
      </c>
      <c r="I3333" t="s">
        <v>4050</v>
      </c>
      <c r="J3333" t="s">
        <v>31243</v>
      </c>
      <c r="K3333" t="s">
        <v>40286</v>
      </c>
      <c r="M3333" t="s">
        <v>42021</v>
      </c>
      <c r="N3333" t="s">
        <v>44759</v>
      </c>
      <c r="O3333" t="s">
        <v>44760</v>
      </c>
      <c r="P3333">
        <v>0</v>
      </c>
      <c r="Q3333">
        <v>0</v>
      </c>
      <c r="R3333" t="s">
        <v>44762</v>
      </c>
      <c r="S3333" t="s">
        <v>44863</v>
      </c>
      <c r="T3333" t="s">
        <v>46377</v>
      </c>
      <c r="U3333" t="s">
        <v>49791</v>
      </c>
      <c r="W3333" t="s">
        <v>42021</v>
      </c>
      <c r="X3333" t="s">
        <v>44763</v>
      </c>
    </row>
    <row r="3334" spans="1:24">
      <c r="A3334">
        <f>HYPERLINK("https://www.philgeps.gov.ph/GEPSNONPILOT/Tender/SplashBidNoticeAbstractUI.aspx?menuIndex=3&amp;refID=7149797&amp;Result=3","7149797")</f>
        <v>0</v>
      </c>
      <c r="B3334" t="s">
        <v>1396</v>
      </c>
      <c r="C3334" t="s">
        <v>6950</v>
      </c>
      <c r="E3334" t="s">
        <v>21038</v>
      </c>
      <c r="F3334" t="s">
        <v>30900</v>
      </c>
      <c r="G3334" t="s">
        <v>30909</v>
      </c>
      <c r="H3334" t="s">
        <v>30916</v>
      </c>
      <c r="I3334" t="s">
        <v>30923</v>
      </c>
      <c r="J3334" t="s">
        <v>33399</v>
      </c>
      <c r="K3334" t="s">
        <v>40287</v>
      </c>
      <c r="M3334" t="s">
        <v>42022</v>
      </c>
      <c r="N3334" t="s">
        <v>44759</v>
      </c>
      <c r="O3334" t="s">
        <v>44760</v>
      </c>
      <c r="P3334">
        <v>0</v>
      </c>
      <c r="Q3334">
        <v>4</v>
      </c>
      <c r="R3334" t="s">
        <v>44762</v>
      </c>
      <c r="S3334" t="s">
        <v>44863</v>
      </c>
      <c r="T3334" t="s">
        <v>46533</v>
      </c>
      <c r="U3334" t="s">
        <v>49792</v>
      </c>
      <c r="W3334" t="s">
        <v>42029</v>
      </c>
      <c r="X3334" t="s">
        <v>44763</v>
      </c>
    </row>
    <row r="3335" spans="1:24">
      <c r="A3335">
        <f>HYPERLINK("https://www.philgeps.gov.ph/GEPSNONPILOT/Tender/SplashBidNoticeAbstractUI.aspx?menuIndex=3&amp;refID=7149813&amp;Result=3","7149813")</f>
        <v>0</v>
      </c>
      <c r="B3335" t="s">
        <v>624</v>
      </c>
      <c r="C3335" t="s">
        <v>6951</v>
      </c>
      <c r="D3335" t="s">
        <v>17977</v>
      </c>
      <c r="E3335" t="s">
        <v>21039</v>
      </c>
      <c r="F3335" t="s">
        <v>30900</v>
      </c>
      <c r="G3335" t="s">
        <v>30908</v>
      </c>
      <c r="H3335" t="s">
        <v>30916</v>
      </c>
      <c r="I3335" t="s">
        <v>10847</v>
      </c>
      <c r="J3335" t="s">
        <v>31105</v>
      </c>
      <c r="K3335" t="s">
        <v>40289</v>
      </c>
      <c r="M3335" t="s">
        <v>41186</v>
      </c>
      <c r="N3335" t="s">
        <v>44759</v>
      </c>
      <c r="O3335" t="s">
        <v>44760</v>
      </c>
      <c r="P3335">
        <v>0</v>
      </c>
      <c r="Q3335">
        <v>0</v>
      </c>
      <c r="R3335" t="s">
        <v>44762</v>
      </c>
      <c r="S3335" t="s">
        <v>44863</v>
      </c>
      <c r="T3335" t="s">
        <v>46351</v>
      </c>
      <c r="U3335" t="s">
        <v>48040</v>
      </c>
      <c r="W3335" t="s">
        <v>41186</v>
      </c>
      <c r="X3335" t="s">
        <v>44763</v>
      </c>
    </row>
    <row r="3336" spans="1:24">
      <c r="A3336">
        <f>HYPERLINK("https://www.philgeps.gov.ph/GEPSNONPILOT/Tender/SplashBidNoticeAbstractUI.aspx?menuIndex=3&amp;refID=7149819&amp;Result=3","7149819")</f>
        <v>0</v>
      </c>
      <c r="B3336" t="s">
        <v>272</v>
      </c>
      <c r="C3336" t="s">
        <v>6952</v>
      </c>
      <c r="D3336" t="s">
        <v>17978</v>
      </c>
      <c r="E3336" t="s">
        <v>21040</v>
      </c>
      <c r="F3336" t="s">
        <v>30900</v>
      </c>
      <c r="G3336" t="s">
        <v>30908</v>
      </c>
      <c r="H3336" t="s">
        <v>30916</v>
      </c>
      <c r="I3336" t="s">
        <v>8123</v>
      </c>
      <c r="J3336" t="s">
        <v>33400</v>
      </c>
      <c r="K3336" t="s">
        <v>40285</v>
      </c>
      <c r="M3336" t="s">
        <v>40819</v>
      </c>
      <c r="N3336" t="s">
        <v>44759</v>
      </c>
      <c r="O3336" t="s">
        <v>44760</v>
      </c>
      <c r="P3336">
        <v>0</v>
      </c>
      <c r="Q3336">
        <v>0</v>
      </c>
      <c r="R3336" t="s">
        <v>44762</v>
      </c>
      <c r="S3336" t="s">
        <v>44863</v>
      </c>
      <c r="T3336" t="s">
        <v>46410</v>
      </c>
      <c r="U3336" t="s">
        <v>47373</v>
      </c>
      <c r="V3336" t="s">
        <v>59161</v>
      </c>
      <c r="W3336" t="s">
        <v>40819</v>
      </c>
      <c r="X3336" t="s">
        <v>44763</v>
      </c>
    </row>
    <row r="3337" spans="1:24">
      <c r="A3337">
        <f>HYPERLINK("https://www.philgeps.gov.ph/GEPSNONPILOT/Tender/SplashBidNoticeAbstractUI.aspx?menuIndex=3&amp;refID=7149809&amp;Result=3","7149809")</f>
        <v>0</v>
      </c>
      <c r="B3337" t="s">
        <v>1397</v>
      </c>
      <c r="C3337" t="s">
        <v>6953</v>
      </c>
      <c r="D3337" t="s">
        <v>17973</v>
      </c>
      <c r="E3337" t="s">
        <v>21041</v>
      </c>
      <c r="F3337" t="s">
        <v>30899</v>
      </c>
      <c r="G3337" t="s">
        <v>30909</v>
      </c>
      <c r="H3337" t="s">
        <v>30916</v>
      </c>
      <c r="I3337" t="s">
        <v>6953</v>
      </c>
      <c r="J3337" t="s">
        <v>33401</v>
      </c>
      <c r="K3337" t="s">
        <v>40289</v>
      </c>
      <c r="M3337" t="s">
        <v>42023</v>
      </c>
      <c r="N3337" t="s">
        <v>44759</v>
      </c>
      <c r="O3337" t="s">
        <v>44760</v>
      </c>
      <c r="P3337">
        <v>0</v>
      </c>
      <c r="Q3337">
        <v>0</v>
      </c>
      <c r="R3337" t="s">
        <v>44762</v>
      </c>
      <c r="S3337" t="s">
        <v>44863</v>
      </c>
      <c r="T3337" t="s">
        <v>46625</v>
      </c>
      <c r="U3337" t="s">
        <v>49793</v>
      </c>
      <c r="W3337" t="s">
        <v>42023</v>
      </c>
      <c r="X3337" t="s">
        <v>44763</v>
      </c>
    </row>
    <row r="3338" spans="1:24">
      <c r="A3338">
        <f>HYPERLINK("https://www.philgeps.gov.ph/GEPSNONPILOT/Tender/SplashBidNoticeAbstractUI.aspx?menuIndex=3&amp;refID=7149841&amp;Result=3","7149841")</f>
        <v>0</v>
      </c>
      <c r="B3338" t="s">
        <v>855</v>
      </c>
      <c r="C3338" t="s">
        <v>6954</v>
      </c>
      <c r="D3338" t="s">
        <v>17975</v>
      </c>
      <c r="E3338" t="s">
        <v>21042</v>
      </c>
      <c r="F3338" t="s">
        <v>30900</v>
      </c>
      <c r="G3338" t="s">
        <v>30909</v>
      </c>
      <c r="H3338" t="s">
        <v>30916</v>
      </c>
      <c r="I3338" t="s">
        <v>4142</v>
      </c>
      <c r="J3338" t="s">
        <v>33402</v>
      </c>
      <c r="K3338" t="s">
        <v>40287</v>
      </c>
      <c r="M3338" t="s">
        <v>41428</v>
      </c>
      <c r="N3338" t="s">
        <v>44759</v>
      </c>
      <c r="O3338" t="s">
        <v>44760</v>
      </c>
      <c r="P3338">
        <v>0</v>
      </c>
      <c r="Q3338">
        <v>3</v>
      </c>
      <c r="R3338" t="s">
        <v>44762</v>
      </c>
      <c r="S3338" t="s">
        <v>44863</v>
      </c>
      <c r="T3338" t="s">
        <v>46414</v>
      </c>
      <c r="U3338" t="s">
        <v>49794</v>
      </c>
      <c r="W3338" t="s">
        <v>41428</v>
      </c>
      <c r="X3338" t="s">
        <v>44763</v>
      </c>
    </row>
    <row r="3339" spans="1:24">
      <c r="A3339">
        <f>HYPERLINK("https://www.philgeps.gov.ph/GEPSNONPILOT/Tender/SplashBidNoticeAbstractUI.aspx?menuIndex=3&amp;refID=7149804&amp;Result=3","7149804")</f>
        <v>0</v>
      </c>
      <c r="B3339" t="s">
        <v>1376</v>
      </c>
      <c r="C3339" t="s">
        <v>6955</v>
      </c>
      <c r="D3339" t="s">
        <v>17974</v>
      </c>
      <c r="E3339" t="s">
        <v>18405</v>
      </c>
      <c r="F3339" t="s">
        <v>30900</v>
      </c>
      <c r="G3339" t="s">
        <v>30908</v>
      </c>
      <c r="H3339" t="s">
        <v>30916</v>
      </c>
      <c r="I3339" t="s">
        <v>8123</v>
      </c>
      <c r="J3339" t="s">
        <v>33403</v>
      </c>
      <c r="K3339" t="s">
        <v>40289</v>
      </c>
      <c r="M3339" t="s">
        <v>42000</v>
      </c>
      <c r="N3339" t="s">
        <v>44759</v>
      </c>
      <c r="O3339" t="s">
        <v>44760</v>
      </c>
      <c r="P3339">
        <v>0</v>
      </c>
      <c r="Q3339">
        <v>0</v>
      </c>
      <c r="R3339" t="s">
        <v>44762</v>
      </c>
      <c r="S3339" t="s">
        <v>44863</v>
      </c>
      <c r="T3339" t="s">
        <v>46410</v>
      </c>
      <c r="U3339" t="s">
        <v>47654</v>
      </c>
      <c r="W3339" t="s">
        <v>42000</v>
      </c>
      <c r="X3339" t="s">
        <v>44763</v>
      </c>
    </row>
    <row r="3340" spans="1:24">
      <c r="A3340">
        <f>HYPERLINK("https://www.philgeps.gov.ph/GEPSNONPILOT/Tender/SplashBidNoticeAbstractUI.aspx?menuIndex=3&amp;refID=7149839&amp;Result=3","7149839")</f>
        <v>0</v>
      </c>
      <c r="B3340" t="s">
        <v>892</v>
      </c>
      <c r="C3340" t="s">
        <v>5383</v>
      </c>
      <c r="D3340" t="s">
        <v>17978</v>
      </c>
      <c r="E3340" t="s">
        <v>21043</v>
      </c>
      <c r="F3340" t="s">
        <v>30900</v>
      </c>
      <c r="G3340" t="s">
        <v>30907</v>
      </c>
      <c r="H3340" t="s">
        <v>30916</v>
      </c>
      <c r="I3340" t="s">
        <v>4142</v>
      </c>
      <c r="J3340" t="s">
        <v>31583</v>
      </c>
      <c r="K3340" t="s">
        <v>40284</v>
      </c>
      <c r="M3340" t="s">
        <v>41466</v>
      </c>
      <c r="N3340" t="s">
        <v>44759</v>
      </c>
      <c r="O3340" t="s">
        <v>44760</v>
      </c>
      <c r="P3340">
        <v>0</v>
      </c>
      <c r="Q3340">
        <v>0</v>
      </c>
      <c r="R3340" t="s">
        <v>44762</v>
      </c>
      <c r="S3340" t="s">
        <v>44863</v>
      </c>
      <c r="T3340" t="s">
        <v>46465</v>
      </c>
      <c r="U3340" t="s">
        <v>49795</v>
      </c>
      <c r="W3340" t="s">
        <v>41466</v>
      </c>
      <c r="X3340" t="s">
        <v>44763</v>
      </c>
    </row>
    <row r="3341" spans="1:24">
      <c r="A3341">
        <f>HYPERLINK("https://www.philgeps.gov.ph/GEPSNONPILOT/Tender/SplashBidNoticeAbstractUI.aspx?menuIndex=3&amp;refID=7149628&amp;Result=3","7149628")</f>
        <v>0</v>
      </c>
      <c r="B3341" t="s">
        <v>104</v>
      </c>
      <c r="C3341" t="s">
        <v>6956</v>
      </c>
      <c r="D3341" t="s">
        <v>17980</v>
      </c>
      <c r="E3341" t="s">
        <v>21044</v>
      </c>
      <c r="F3341" t="s">
        <v>30900</v>
      </c>
      <c r="G3341" t="s">
        <v>30908</v>
      </c>
      <c r="H3341" t="s">
        <v>30916</v>
      </c>
      <c r="I3341" t="s">
        <v>30960</v>
      </c>
      <c r="J3341" t="s">
        <v>33404</v>
      </c>
      <c r="K3341" t="s">
        <v>40289</v>
      </c>
      <c r="M3341" t="s">
        <v>40651</v>
      </c>
      <c r="N3341" t="s">
        <v>44759</v>
      </c>
      <c r="O3341" t="s">
        <v>44760</v>
      </c>
      <c r="P3341">
        <v>0</v>
      </c>
      <c r="Q3341">
        <v>3</v>
      </c>
      <c r="R3341" t="s">
        <v>44762</v>
      </c>
      <c r="S3341" t="s">
        <v>44863</v>
      </c>
      <c r="T3341" t="s">
        <v>46398</v>
      </c>
      <c r="U3341" t="s">
        <v>49796</v>
      </c>
      <c r="W3341" t="s">
        <v>40651</v>
      </c>
      <c r="X3341" t="s">
        <v>44763</v>
      </c>
    </row>
    <row r="3342" spans="1:24">
      <c r="A3342">
        <f>HYPERLINK("https://www.philgeps.gov.ph/GEPSNONPILOT/Tender/SplashBidNoticeAbstractUI.aspx?menuIndex=3&amp;refID=7149834&amp;Result=3","7149834")</f>
        <v>0</v>
      </c>
      <c r="B3342" t="s">
        <v>478</v>
      </c>
      <c r="C3342" t="s">
        <v>6957</v>
      </c>
      <c r="D3342" t="s">
        <v>17959</v>
      </c>
      <c r="E3342" t="s">
        <v>21045</v>
      </c>
      <c r="F3342" t="s">
        <v>30900</v>
      </c>
      <c r="G3342" t="s">
        <v>30910</v>
      </c>
      <c r="H3342" t="s">
        <v>30916</v>
      </c>
      <c r="I3342" t="s">
        <v>6396</v>
      </c>
      <c r="J3342" t="s">
        <v>33405</v>
      </c>
      <c r="K3342" t="s">
        <v>40287</v>
      </c>
      <c r="M3342" t="s">
        <v>41719</v>
      </c>
      <c r="N3342" t="s">
        <v>44759</v>
      </c>
      <c r="O3342" t="s">
        <v>44760</v>
      </c>
      <c r="P3342">
        <v>0</v>
      </c>
      <c r="Q3342">
        <v>6</v>
      </c>
      <c r="R3342" t="s">
        <v>44762</v>
      </c>
      <c r="S3342" t="s">
        <v>44863</v>
      </c>
      <c r="T3342" t="s">
        <v>46410</v>
      </c>
      <c r="U3342" t="s">
        <v>49797</v>
      </c>
      <c r="W3342" t="s">
        <v>41719</v>
      </c>
      <c r="X3342" t="s">
        <v>44763</v>
      </c>
    </row>
    <row r="3343" spans="1:24">
      <c r="A3343">
        <f>HYPERLINK("https://www.philgeps.gov.ph/GEPSNONPILOT/Tender/SplashBidNoticeAbstractUI.aspx?menuIndex=3&amp;refID=7149799&amp;Result=3","7149799")</f>
        <v>0</v>
      </c>
      <c r="B3343" t="s">
        <v>1398</v>
      </c>
      <c r="C3343" t="s">
        <v>6958</v>
      </c>
      <c r="D3343" t="s">
        <v>17997</v>
      </c>
      <c r="E3343" t="s">
        <v>21046</v>
      </c>
      <c r="F3343" t="s">
        <v>30900</v>
      </c>
      <c r="G3343" t="s">
        <v>30909</v>
      </c>
      <c r="H3343" t="s">
        <v>30916</v>
      </c>
      <c r="I3343" t="s">
        <v>30948</v>
      </c>
      <c r="J3343" t="s">
        <v>33406</v>
      </c>
      <c r="K3343" t="s">
        <v>40283</v>
      </c>
      <c r="M3343" t="s">
        <v>42024</v>
      </c>
      <c r="N3343" t="s">
        <v>44759</v>
      </c>
      <c r="O3343" t="s">
        <v>44760</v>
      </c>
      <c r="P3343">
        <v>0</v>
      </c>
      <c r="Q3343">
        <v>0</v>
      </c>
      <c r="R3343" t="s">
        <v>44762</v>
      </c>
      <c r="S3343" t="s">
        <v>44863</v>
      </c>
      <c r="T3343" t="s">
        <v>46398</v>
      </c>
      <c r="U3343" t="s">
        <v>49798</v>
      </c>
      <c r="W3343" t="s">
        <v>42024</v>
      </c>
      <c r="X3343" t="s">
        <v>44763</v>
      </c>
    </row>
    <row r="3344" spans="1:24">
      <c r="A3344">
        <f>HYPERLINK("https://www.philgeps.gov.ph/GEPSNONPILOT/Tender/SplashBidNoticeAbstractUI.aspx?menuIndex=3&amp;refID=7149833&amp;Result=3","7149833")</f>
        <v>0</v>
      </c>
      <c r="B3344" t="s">
        <v>1399</v>
      </c>
      <c r="C3344" t="s">
        <v>5945</v>
      </c>
      <c r="D3344" t="s">
        <v>18017</v>
      </c>
      <c r="E3344" t="s">
        <v>21047</v>
      </c>
      <c r="F3344" t="s">
        <v>30900</v>
      </c>
      <c r="G3344" t="s">
        <v>30907</v>
      </c>
      <c r="H3344" t="s">
        <v>30916</v>
      </c>
      <c r="I3344" t="s">
        <v>4017</v>
      </c>
      <c r="J3344" t="s">
        <v>33407</v>
      </c>
      <c r="K3344" t="s">
        <v>40287</v>
      </c>
      <c r="M3344" t="s">
        <v>42025</v>
      </c>
      <c r="N3344" t="s">
        <v>44759</v>
      </c>
      <c r="O3344" t="s">
        <v>44760</v>
      </c>
      <c r="P3344">
        <v>0</v>
      </c>
      <c r="Q3344">
        <v>3</v>
      </c>
      <c r="R3344" t="s">
        <v>44762</v>
      </c>
      <c r="S3344" t="s">
        <v>44863</v>
      </c>
      <c r="T3344" t="s">
        <v>46558</v>
      </c>
      <c r="U3344" t="s">
        <v>49799</v>
      </c>
      <c r="V3344" t="s">
        <v>59491</v>
      </c>
      <c r="W3344" t="s">
        <v>42025</v>
      </c>
      <c r="X3344" t="s">
        <v>44763</v>
      </c>
    </row>
    <row r="3345" spans="1:24">
      <c r="A3345">
        <f>HYPERLINK("https://www.philgeps.gov.ph/GEPSNONPILOT/Tender/SplashBidNoticeAbstractUI.aspx?menuIndex=3&amp;refID=7149832&amp;Result=3","7149832")</f>
        <v>0</v>
      </c>
      <c r="B3345" t="s">
        <v>1280</v>
      </c>
      <c r="C3345" t="s">
        <v>6959</v>
      </c>
      <c r="D3345" t="s">
        <v>18010</v>
      </c>
      <c r="E3345" t="s">
        <v>21048</v>
      </c>
      <c r="F3345" t="s">
        <v>30900</v>
      </c>
      <c r="G3345" t="s">
        <v>30908</v>
      </c>
      <c r="H3345" t="s">
        <v>30916</v>
      </c>
      <c r="I3345" t="s">
        <v>30983</v>
      </c>
      <c r="J3345" t="s">
        <v>33408</v>
      </c>
      <c r="K3345" t="s">
        <v>40289</v>
      </c>
      <c r="M3345" t="s">
        <v>41897</v>
      </c>
      <c r="N3345" t="s">
        <v>44759</v>
      </c>
      <c r="O3345" t="s">
        <v>44760</v>
      </c>
      <c r="P3345">
        <v>0</v>
      </c>
      <c r="Q3345">
        <v>1</v>
      </c>
      <c r="R3345" t="s">
        <v>44762</v>
      </c>
      <c r="S3345" t="s">
        <v>44863</v>
      </c>
      <c r="T3345" t="s">
        <v>46398</v>
      </c>
      <c r="U3345" t="s">
        <v>49527</v>
      </c>
      <c r="W3345" t="s">
        <v>41897</v>
      </c>
      <c r="X3345" t="s">
        <v>44763</v>
      </c>
    </row>
    <row r="3346" spans="1:24">
      <c r="A3346">
        <f>HYPERLINK("https://www.philgeps.gov.ph/GEPSNONPILOT/Tender/SplashBidNoticeAbstractUI.aspx?menuIndex=3&amp;refID=7149830&amp;Result=3","7149830")</f>
        <v>0</v>
      </c>
      <c r="B3346" t="s">
        <v>1400</v>
      </c>
      <c r="C3346" t="s">
        <v>6960</v>
      </c>
      <c r="D3346" t="s">
        <v>17954</v>
      </c>
      <c r="E3346" t="s">
        <v>21049</v>
      </c>
      <c r="F3346" t="s">
        <v>30900</v>
      </c>
      <c r="G3346" t="s">
        <v>30907</v>
      </c>
      <c r="H3346" t="s">
        <v>30916</v>
      </c>
      <c r="I3346" t="s">
        <v>8123</v>
      </c>
      <c r="J3346" t="s">
        <v>31101</v>
      </c>
      <c r="K3346" t="s">
        <v>40280</v>
      </c>
      <c r="M3346" t="s">
        <v>42026</v>
      </c>
      <c r="N3346" t="s">
        <v>44759</v>
      </c>
      <c r="O3346" t="s">
        <v>44760</v>
      </c>
      <c r="P3346">
        <v>0</v>
      </c>
      <c r="Q3346">
        <v>0</v>
      </c>
      <c r="R3346" t="s">
        <v>44762</v>
      </c>
      <c r="S3346" t="s">
        <v>44863</v>
      </c>
      <c r="T3346" t="s">
        <v>46401</v>
      </c>
      <c r="U3346" t="s">
        <v>49800</v>
      </c>
      <c r="W3346" t="s">
        <v>42026</v>
      </c>
      <c r="X3346" t="s">
        <v>44763</v>
      </c>
    </row>
    <row r="3347" spans="1:24">
      <c r="A3347">
        <f>HYPERLINK("https://www.philgeps.gov.ph/GEPSNONPILOT/Tender/SplashBidNoticeAbstractUI.aspx?menuIndex=3&amp;refID=7149827&amp;Result=3","7149827")</f>
        <v>0</v>
      </c>
      <c r="B3347" t="s">
        <v>217</v>
      </c>
      <c r="C3347" t="s">
        <v>6961</v>
      </c>
      <c r="D3347" t="s">
        <v>17966</v>
      </c>
      <c r="E3347" t="s">
        <v>21050</v>
      </c>
      <c r="F3347" t="s">
        <v>30900</v>
      </c>
      <c r="G3347" t="s">
        <v>30908</v>
      </c>
      <c r="H3347" t="s">
        <v>30916</v>
      </c>
      <c r="I3347" t="s">
        <v>30922</v>
      </c>
      <c r="J3347" t="s">
        <v>33409</v>
      </c>
      <c r="K3347" t="s">
        <v>40284</v>
      </c>
      <c r="M3347" t="s">
        <v>40764</v>
      </c>
      <c r="N3347" t="s">
        <v>44759</v>
      </c>
      <c r="O3347" t="s">
        <v>44760</v>
      </c>
      <c r="P3347">
        <v>0</v>
      </c>
      <c r="Q3347">
        <v>3</v>
      </c>
      <c r="R3347" t="s">
        <v>44762</v>
      </c>
      <c r="S3347" t="s">
        <v>44863</v>
      </c>
      <c r="T3347" t="s">
        <v>46352</v>
      </c>
      <c r="U3347" t="s">
        <v>49801</v>
      </c>
      <c r="W3347" t="s">
        <v>40764</v>
      </c>
      <c r="X3347" t="s">
        <v>44763</v>
      </c>
    </row>
    <row r="3348" spans="1:24">
      <c r="A3348">
        <f>HYPERLINK("https://www.philgeps.gov.ph/GEPSNONPILOT/Tender/SplashBidNoticeAbstractUI.aspx?menuIndex=3&amp;refID=7149826&amp;Result=3","7149826")</f>
        <v>0</v>
      </c>
      <c r="B3348" t="s">
        <v>1401</v>
      </c>
      <c r="C3348" t="s">
        <v>6962</v>
      </c>
      <c r="D3348" t="s">
        <v>17982</v>
      </c>
      <c r="E3348" t="s">
        <v>21051</v>
      </c>
      <c r="F3348" t="s">
        <v>30900</v>
      </c>
      <c r="G3348" t="s">
        <v>30909</v>
      </c>
      <c r="H3348" t="s">
        <v>30916</v>
      </c>
      <c r="I3348" t="s">
        <v>10602</v>
      </c>
      <c r="J3348" t="s">
        <v>33410</v>
      </c>
      <c r="K3348" t="s">
        <v>40284</v>
      </c>
      <c r="M3348" t="s">
        <v>42027</v>
      </c>
      <c r="N3348" t="s">
        <v>44759</v>
      </c>
      <c r="O3348" t="s">
        <v>44760</v>
      </c>
      <c r="P3348">
        <v>0</v>
      </c>
      <c r="Q3348">
        <v>0</v>
      </c>
      <c r="R3348" t="s">
        <v>44762</v>
      </c>
      <c r="S3348" t="s">
        <v>44863</v>
      </c>
      <c r="T3348" t="s">
        <v>46357</v>
      </c>
      <c r="U3348" t="s">
        <v>49802</v>
      </c>
      <c r="V3348" t="s">
        <v>59492</v>
      </c>
      <c r="W3348" t="s">
        <v>42027</v>
      </c>
      <c r="X3348" t="s">
        <v>44763</v>
      </c>
    </row>
    <row r="3349" spans="1:24">
      <c r="A3349">
        <f>HYPERLINK("https://www.philgeps.gov.ph/GEPSNONPILOT/Tender/SplashBidNoticeAbstractUI.aspx?menuIndex=3&amp;refID=7149840&amp;Result=3","7149840")</f>
        <v>0</v>
      </c>
      <c r="B3349" t="s">
        <v>938</v>
      </c>
      <c r="C3349" t="s">
        <v>5633</v>
      </c>
      <c r="D3349" t="s">
        <v>17959</v>
      </c>
      <c r="E3349" t="s">
        <v>21052</v>
      </c>
      <c r="F3349" t="s">
        <v>30900</v>
      </c>
      <c r="G3349" t="s">
        <v>30908</v>
      </c>
      <c r="H3349" t="s">
        <v>30916</v>
      </c>
      <c r="I3349" t="s">
        <v>9385</v>
      </c>
      <c r="J3349" t="s">
        <v>33411</v>
      </c>
      <c r="K3349" t="s">
        <v>40287</v>
      </c>
      <c r="M3349" t="s">
        <v>41521</v>
      </c>
      <c r="N3349" t="s">
        <v>44759</v>
      </c>
      <c r="O3349" t="s">
        <v>44760</v>
      </c>
      <c r="P3349">
        <v>0</v>
      </c>
      <c r="Q3349">
        <v>12</v>
      </c>
      <c r="R3349" t="s">
        <v>44762</v>
      </c>
      <c r="S3349" t="s">
        <v>44863</v>
      </c>
      <c r="T3349" t="s">
        <v>46457</v>
      </c>
      <c r="U3349" t="s">
        <v>49803</v>
      </c>
      <c r="V3349" t="s">
        <v>59336</v>
      </c>
      <c r="W3349" t="s">
        <v>41521</v>
      </c>
      <c r="X3349" t="s">
        <v>44763</v>
      </c>
    </row>
    <row r="3350" spans="1:24">
      <c r="A3350">
        <f>HYPERLINK("https://www.philgeps.gov.ph/GEPSNONPILOT/Tender/SplashBidNoticeAbstractUI.aspx?menuIndex=3&amp;refID=7149823&amp;Result=3","7149823")</f>
        <v>0</v>
      </c>
      <c r="B3350" t="s">
        <v>950</v>
      </c>
      <c r="C3350" t="s">
        <v>6963</v>
      </c>
      <c r="D3350" t="s">
        <v>17993</v>
      </c>
      <c r="E3350" t="s">
        <v>21053</v>
      </c>
      <c r="F3350" t="s">
        <v>30900</v>
      </c>
      <c r="G3350" t="s">
        <v>30908</v>
      </c>
      <c r="H3350" t="s">
        <v>30916</v>
      </c>
      <c r="I3350" t="s">
        <v>30933</v>
      </c>
      <c r="J3350" t="s">
        <v>32233</v>
      </c>
      <c r="K3350" t="s">
        <v>40283</v>
      </c>
      <c r="M3350" t="s">
        <v>41535</v>
      </c>
      <c r="N3350" t="s">
        <v>44759</v>
      </c>
      <c r="O3350" t="s">
        <v>44760</v>
      </c>
      <c r="P3350">
        <v>0</v>
      </c>
      <c r="Q3350">
        <v>0</v>
      </c>
      <c r="R3350" t="s">
        <v>44762</v>
      </c>
      <c r="S3350" t="s">
        <v>44863</v>
      </c>
      <c r="T3350" t="s">
        <v>46410</v>
      </c>
      <c r="U3350" t="s">
        <v>49804</v>
      </c>
      <c r="W3350" t="s">
        <v>41535</v>
      </c>
      <c r="X3350" t="s">
        <v>44763</v>
      </c>
    </row>
    <row r="3351" spans="1:24">
      <c r="A3351">
        <f>HYPERLINK("https://www.philgeps.gov.ph/GEPSNONPILOT/Tender/SplashBidNoticeAbstractUI.aspx?menuIndex=3&amp;refID=7149831&amp;Result=3","7149831")</f>
        <v>0</v>
      </c>
      <c r="B3351" t="s">
        <v>943</v>
      </c>
      <c r="C3351" t="s">
        <v>6964</v>
      </c>
      <c r="D3351" t="s">
        <v>17957</v>
      </c>
      <c r="E3351" t="s">
        <v>21054</v>
      </c>
      <c r="F3351" t="s">
        <v>30900</v>
      </c>
      <c r="G3351" t="s">
        <v>30907</v>
      </c>
      <c r="H3351" t="s">
        <v>30915</v>
      </c>
      <c r="I3351" t="s">
        <v>30919</v>
      </c>
      <c r="J3351" t="s">
        <v>33412</v>
      </c>
      <c r="K3351" t="s">
        <v>40292</v>
      </c>
      <c r="M3351" t="s">
        <v>41527</v>
      </c>
      <c r="N3351" t="s">
        <v>44759</v>
      </c>
      <c r="O3351" t="s">
        <v>44760</v>
      </c>
      <c r="P3351">
        <v>0</v>
      </c>
      <c r="Q3351">
        <v>0</v>
      </c>
      <c r="R3351" t="s">
        <v>44762</v>
      </c>
      <c r="S3351" t="s">
        <v>44863</v>
      </c>
      <c r="T3351" t="s">
        <v>46465</v>
      </c>
      <c r="U3351" t="s">
        <v>49683</v>
      </c>
      <c r="W3351" t="s">
        <v>41527</v>
      </c>
      <c r="X3351" t="s">
        <v>44763</v>
      </c>
    </row>
    <row r="3352" spans="1:24">
      <c r="A3352">
        <f>HYPERLINK("https://www.philgeps.gov.ph/GEPSNONPILOT/Tender/SplashBidNoticeAbstractUI.aspx?menuIndex=3&amp;refID=7149828&amp;Result=3","7149828")</f>
        <v>0</v>
      </c>
      <c r="B3352" t="s">
        <v>1388</v>
      </c>
      <c r="C3352" t="s">
        <v>6965</v>
      </c>
      <c r="D3352" t="s">
        <v>18002</v>
      </c>
      <c r="E3352" t="s">
        <v>21055</v>
      </c>
      <c r="F3352" t="s">
        <v>30900</v>
      </c>
      <c r="G3352" t="s">
        <v>30907</v>
      </c>
      <c r="H3352" t="s">
        <v>30916</v>
      </c>
      <c r="I3352" t="s">
        <v>8123</v>
      </c>
      <c r="J3352" t="s">
        <v>33413</v>
      </c>
      <c r="K3352" t="s">
        <v>40284</v>
      </c>
      <c r="M3352" t="s">
        <v>42012</v>
      </c>
      <c r="N3352" t="s">
        <v>44759</v>
      </c>
      <c r="O3352" t="s">
        <v>44760</v>
      </c>
      <c r="P3352">
        <v>0</v>
      </c>
      <c r="Q3352">
        <v>0</v>
      </c>
      <c r="R3352" t="s">
        <v>44762</v>
      </c>
      <c r="S3352" t="s">
        <v>44863</v>
      </c>
      <c r="T3352" t="s">
        <v>46606</v>
      </c>
      <c r="U3352" t="s">
        <v>49771</v>
      </c>
      <c r="W3352" t="s">
        <v>42012</v>
      </c>
      <c r="X3352" t="s">
        <v>44763</v>
      </c>
    </row>
    <row r="3353" spans="1:24">
      <c r="A3353">
        <f>HYPERLINK("https://www.philgeps.gov.ph/GEPSNONPILOT/Tender/SplashBidNoticeAbstractUI.aspx?menuIndex=3&amp;refID=7149818&amp;Result=3","7149818")</f>
        <v>0</v>
      </c>
      <c r="B3353" t="s">
        <v>1402</v>
      </c>
      <c r="C3353" t="s">
        <v>6966</v>
      </c>
      <c r="D3353" t="s">
        <v>17963</v>
      </c>
      <c r="E3353" t="s">
        <v>21056</v>
      </c>
      <c r="F3353" t="s">
        <v>30900</v>
      </c>
      <c r="G3353" t="s">
        <v>30909</v>
      </c>
      <c r="H3353" t="s">
        <v>30916</v>
      </c>
      <c r="I3353" t="s">
        <v>8365</v>
      </c>
      <c r="J3353" t="s">
        <v>33414</v>
      </c>
      <c r="K3353" t="s">
        <v>40311</v>
      </c>
      <c r="L3353" t="s">
        <v>1402</v>
      </c>
      <c r="M3353" t="s">
        <v>42028</v>
      </c>
      <c r="N3353" t="s">
        <v>44759</v>
      </c>
      <c r="O3353" t="s">
        <v>44760</v>
      </c>
      <c r="P3353">
        <v>0</v>
      </c>
      <c r="Q3353">
        <v>1</v>
      </c>
      <c r="R3353" t="s">
        <v>44762</v>
      </c>
      <c r="S3353" t="s">
        <v>44863</v>
      </c>
      <c r="T3353" t="s">
        <v>46629</v>
      </c>
      <c r="U3353" t="s">
        <v>49805</v>
      </c>
      <c r="W3353" t="s">
        <v>42028</v>
      </c>
      <c r="X3353" t="s">
        <v>44763</v>
      </c>
    </row>
    <row r="3354" spans="1:24">
      <c r="A3354">
        <f>HYPERLINK("https://www.philgeps.gov.ph/GEPSNONPILOT/Tender/SplashBidNoticeAbstractUI.aspx?menuIndex=3&amp;refID=7149842&amp;Result=3","7149842")</f>
        <v>0</v>
      </c>
      <c r="B3354" t="s">
        <v>1396</v>
      </c>
      <c r="C3354" t="s">
        <v>6967</v>
      </c>
      <c r="E3354" t="s">
        <v>21057</v>
      </c>
      <c r="F3354" t="s">
        <v>30900</v>
      </c>
      <c r="G3354" t="s">
        <v>30909</v>
      </c>
      <c r="H3354" t="s">
        <v>30916</v>
      </c>
      <c r="I3354" t="s">
        <v>30924</v>
      </c>
      <c r="J3354" t="s">
        <v>31335</v>
      </c>
      <c r="K3354" t="s">
        <v>40287</v>
      </c>
      <c r="M3354" t="s">
        <v>42029</v>
      </c>
      <c r="N3354" t="s">
        <v>44759</v>
      </c>
      <c r="O3354" t="s">
        <v>44760</v>
      </c>
      <c r="P3354">
        <v>0</v>
      </c>
      <c r="Q3354">
        <v>2</v>
      </c>
      <c r="R3354" t="s">
        <v>44762</v>
      </c>
      <c r="S3354" t="s">
        <v>44863</v>
      </c>
      <c r="T3354" t="s">
        <v>46533</v>
      </c>
      <c r="U3354" t="s">
        <v>49792</v>
      </c>
      <c r="W3354" t="s">
        <v>42029</v>
      </c>
      <c r="X3354" t="s">
        <v>44763</v>
      </c>
    </row>
    <row r="3355" spans="1:24">
      <c r="A3355">
        <f>HYPERLINK("https://www.philgeps.gov.ph/GEPSNONPILOT/Tender/SplashBidNoticeAbstractUI.aspx?menuIndex=3&amp;refID=7149796&amp;Result=3","7149796")</f>
        <v>0</v>
      </c>
      <c r="B3355" t="s">
        <v>1403</v>
      </c>
      <c r="C3355" t="s">
        <v>6968</v>
      </c>
      <c r="D3355" t="s">
        <v>17954</v>
      </c>
      <c r="E3355" t="s">
        <v>21058</v>
      </c>
      <c r="F3355" t="s">
        <v>30900</v>
      </c>
      <c r="G3355" t="s">
        <v>30907</v>
      </c>
      <c r="H3355" t="s">
        <v>30915</v>
      </c>
      <c r="I3355" t="s">
        <v>30919</v>
      </c>
      <c r="J3355" t="s">
        <v>33415</v>
      </c>
      <c r="K3355" t="s">
        <v>40350</v>
      </c>
      <c r="M3355" t="s">
        <v>42030</v>
      </c>
      <c r="N3355" t="s">
        <v>44759</v>
      </c>
      <c r="O3355" t="s">
        <v>44760</v>
      </c>
      <c r="P3355">
        <v>0</v>
      </c>
      <c r="Q3355">
        <v>2</v>
      </c>
      <c r="R3355" t="s">
        <v>44762</v>
      </c>
      <c r="S3355" t="s">
        <v>44863</v>
      </c>
      <c r="T3355" t="s">
        <v>46630</v>
      </c>
      <c r="U3355" t="s">
        <v>49806</v>
      </c>
      <c r="W3355" t="s">
        <v>42030</v>
      </c>
      <c r="X3355" t="s">
        <v>44763</v>
      </c>
    </row>
    <row r="3356" spans="1:24">
      <c r="A3356">
        <f>HYPERLINK("https://www.philgeps.gov.ph/GEPSNONPILOT/Tender/SplashBidNoticeAbstractUI.aspx?menuIndex=3&amp;refID=7149795&amp;Result=3","7149795")</f>
        <v>0</v>
      </c>
      <c r="B3356" t="s">
        <v>219</v>
      </c>
      <c r="C3356" t="s">
        <v>6969</v>
      </c>
      <c r="D3356" t="s">
        <v>17955</v>
      </c>
      <c r="E3356" t="s">
        <v>6969</v>
      </c>
      <c r="F3356" t="s">
        <v>30900</v>
      </c>
      <c r="G3356" t="s">
        <v>30909</v>
      </c>
      <c r="H3356" t="s">
        <v>30916</v>
      </c>
      <c r="I3356" t="s">
        <v>5501</v>
      </c>
      <c r="J3356" t="s">
        <v>33416</v>
      </c>
      <c r="K3356" t="s">
        <v>40286</v>
      </c>
      <c r="M3356" t="s">
        <v>42031</v>
      </c>
      <c r="N3356" t="s">
        <v>44759</v>
      </c>
      <c r="O3356" t="s">
        <v>44760</v>
      </c>
      <c r="P3356">
        <v>0</v>
      </c>
      <c r="Q3356">
        <v>1</v>
      </c>
      <c r="R3356" t="s">
        <v>44762</v>
      </c>
      <c r="S3356" t="s">
        <v>44863</v>
      </c>
      <c r="T3356" t="s">
        <v>46383</v>
      </c>
      <c r="U3356" t="s">
        <v>49807</v>
      </c>
      <c r="W3356" t="s">
        <v>42031</v>
      </c>
      <c r="X3356" t="s">
        <v>44763</v>
      </c>
    </row>
    <row r="3357" spans="1:24">
      <c r="A3357">
        <f>HYPERLINK("https://www.philgeps.gov.ph/GEPSNONPILOT/Tender/SplashBidNoticeAbstractUI.aspx?menuIndex=3&amp;refID=7149825&amp;Result=3","7149825")</f>
        <v>0</v>
      </c>
      <c r="B3357" t="s">
        <v>1005</v>
      </c>
      <c r="C3357" t="s">
        <v>6970</v>
      </c>
      <c r="D3357" t="s">
        <v>17974</v>
      </c>
      <c r="E3357" t="s">
        <v>21059</v>
      </c>
      <c r="F3357" t="s">
        <v>30900</v>
      </c>
      <c r="G3357" t="s">
        <v>30908</v>
      </c>
      <c r="H3357" t="s">
        <v>30916</v>
      </c>
      <c r="I3357" t="s">
        <v>4454</v>
      </c>
      <c r="J3357" t="s">
        <v>33417</v>
      </c>
      <c r="K3357" t="s">
        <v>40284</v>
      </c>
      <c r="M3357" t="s">
        <v>42032</v>
      </c>
      <c r="N3357" t="s">
        <v>44759</v>
      </c>
      <c r="O3357" t="s">
        <v>44760</v>
      </c>
      <c r="P3357">
        <v>0</v>
      </c>
      <c r="Q3357">
        <v>2</v>
      </c>
      <c r="R3357" t="s">
        <v>44762</v>
      </c>
      <c r="S3357" t="s">
        <v>44863</v>
      </c>
      <c r="T3357" t="s">
        <v>46409</v>
      </c>
      <c r="U3357" t="s">
        <v>49808</v>
      </c>
      <c r="W3357" t="s">
        <v>42032</v>
      </c>
      <c r="X3357" t="s">
        <v>44763</v>
      </c>
    </row>
    <row r="3358" spans="1:24">
      <c r="A3358">
        <f>HYPERLINK("https://www.philgeps.gov.ph/GEPSNONPILOT/Tender/SplashBidNoticeAbstractUI.aspx?menuIndex=3&amp;refID=7149844&amp;Result=3","7149844")</f>
        <v>0</v>
      </c>
      <c r="B3358" t="s">
        <v>859</v>
      </c>
      <c r="C3358" t="s">
        <v>6971</v>
      </c>
      <c r="D3358" t="s">
        <v>17969</v>
      </c>
      <c r="E3358" t="s">
        <v>21060</v>
      </c>
      <c r="F3358" t="s">
        <v>30900</v>
      </c>
      <c r="G3358" t="s">
        <v>30908</v>
      </c>
      <c r="H3358" t="s">
        <v>30916</v>
      </c>
      <c r="I3358" t="s">
        <v>9385</v>
      </c>
      <c r="J3358" t="s">
        <v>31101</v>
      </c>
      <c r="K3358" t="s">
        <v>40286</v>
      </c>
      <c r="M3358" t="s">
        <v>41432</v>
      </c>
      <c r="N3358" t="s">
        <v>44759</v>
      </c>
      <c r="O3358" t="s">
        <v>44760</v>
      </c>
      <c r="P3358">
        <v>0</v>
      </c>
      <c r="Q3358">
        <v>2</v>
      </c>
      <c r="R3358" t="s">
        <v>44762</v>
      </c>
      <c r="S3358" t="s">
        <v>44863</v>
      </c>
      <c r="T3358" t="s">
        <v>46363</v>
      </c>
      <c r="U3358" t="s">
        <v>49809</v>
      </c>
      <c r="W3358" t="s">
        <v>41432</v>
      </c>
      <c r="X3358" t="s">
        <v>44763</v>
      </c>
    </row>
    <row r="3359" spans="1:24">
      <c r="A3359">
        <f>HYPERLINK("https://www.philgeps.gov.ph/GEPSNONPILOT/Tender/SplashBidNoticeAbstractUI.aspx?menuIndex=3&amp;refID=7149843&amp;Result=3","7149843")</f>
        <v>0</v>
      </c>
      <c r="B3359" t="s">
        <v>1404</v>
      </c>
      <c r="C3359" t="s">
        <v>6972</v>
      </c>
      <c r="D3359" t="s">
        <v>17953</v>
      </c>
      <c r="E3359" t="s">
        <v>21061</v>
      </c>
      <c r="F3359" t="s">
        <v>30900</v>
      </c>
      <c r="G3359" t="s">
        <v>30910</v>
      </c>
      <c r="H3359" t="s">
        <v>30916</v>
      </c>
      <c r="I3359" t="s">
        <v>6396</v>
      </c>
      <c r="J3359" t="s">
        <v>33418</v>
      </c>
      <c r="K3359" t="s">
        <v>40285</v>
      </c>
      <c r="M3359" t="s">
        <v>42033</v>
      </c>
      <c r="N3359" t="s">
        <v>44759</v>
      </c>
      <c r="O3359" t="s">
        <v>44760</v>
      </c>
      <c r="P3359">
        <v>0</v>
      </c>
      <c r="Q3359">
        <v>2</v>
      </c>
      <c r="R3359" t="s">
        <v>44762</v>
      </c>
      <c r="S3359" t="s">
        <v>44863</v>
      </c>
      <c r="T3359" t="s">
        <v>46414</v>
      </c>
      <c r="U3359" t="s">
        <v>49810</v>
      </c>
      <c r="V3359" t="s">
        <v>59493</v>
      </c>
      <c r="W3359" t="s">
        <v>42033</v>
      </c>
      <c r="X3359" t="s">
        <v>44763</v>
      </c>
    </row>
    <row r="3360" spans="1:24">
      <c r="A3360">
        <f>HYPERLINK("https://www.philgeps.gov.ph/GEPSNONPILOT/Tender/SplashBidNoticeAbstractUI.aspx?menuIndex=3&amp;refID=7149863&amp;Result=3","7149863")</f>
        <v>0</v>
      </c>
      <c r="B3360" t="s">
        <v>832</v>
      </c>
      <c r="C3360" t="s">
        <v>6973</v>
      </c>
      <c r="D3360" t="s">
        <v>18025</v>
      </c>
      <c r="E3360" t="s">
        <v>21062</v>
      </c>
      <c r="F3360" t="s">
        <v>30900</v>
      </c>
      <c r="G3360" t="s">
        <v>30908</v>
      </c>
      <c r="H3360" t="s">
        <v>30916</v>
      </c>
      <c r="I3360" t="s">
        <v>6953</v>
      </c>
      <c r="J3360" t="s">
        <v>33419</v>
      </c>
      <c r="K3360" t="s">
        <v>40287</v>
      </c>
      <c r="M3360" t="s">
        <v>41405</v>
      </c>
      <c r="N3360" t="s">
        <v>44759</v>
      </c>
      <c r="O3360" t="s">
        <v>44760</v>
      </c>
      <c r="P3360">
        <v>0</v>
      </c>
      <c r="Q3360">
        <v>0</v>
      </c>
      <c r="R3360" t="s">
        <v>44762</v>
      </c>
      <c r="S3360" t="s">
        <v>44863</v>
      </c>
      <c r="T3360" t="s">
        <v>46414</v>
      </c>
      <c r="U3360" t="s">
        <v>49811</v>
      </c>
      <c r="V3360" t="s">
        <v>59494</v>
      </c>
      <c r="W3360" t="s">
        <v>41405</v>
      </c>
      <c r="X3360" t="s">
        <v>44763</v>
      </c>
    </row>
    <row r="3361" spans="1:24">
      <c r="A3361">
        <f>HYPERLINK("https://www.philgeps.gov.ph/GEPSNONPILOT/Tender/SplashBidNoticeAbstractUI.aspx?menuIndex=3&amp;refID=7149862&amp;Result=3","7149862")</f>
        <v>0</v>
      </c>
      <c r="B3361" t="s">
        <v>1405</v>
      </c>
      <c r="C3361" t="s">
        <v>6974</v>
      </c>
      <c r="D3361" t="s">
        <v>17959</v>
      </c>
      <c r="E3361" t="s">
        <v>21063</v>
      </c>
      <c r="F3361" t="s">
        <v>30900</v>
      </c>
      <c r="G3361" t="s">
        <v>30908</v>
      </c>
      <c r="H3361" t="s">
        <v>30916</v>
      </c>
      <c r="I3361" t="s">
        <v>30988</v>
      </c>
      <c r="J3361" t="s">
        <v>33420</v>
      </c>
      <c r="K3361" t="s">
        <v>40283</v>
      </c>
      <c r="M3361" t="s">
        <v>42034</v>
      </c>
      <c r="N3361" t="s">
        <v>44759</v>
      </c>
      <c r="O3361" t="s">
        <v>44760</v>
      </c>
      <c r="P3361">
        <v>0</v>
      </c>
      <c r="Q3361">
        <v>3</v>
      </c>
      <c r="R3361" t="s">
        <v>44762</v>
      </c>
      <c r="S3361" t="s">
        <v>44863</v>
      </c>
      <c r="T3361" t="s">
        <v>46414</v>
      </c>
      <c r="U3361" t="s">
        <v>49812</v>
      </c>
      <c r="V3361" t="s">
        <v>59495</v>
      </c>
      <c r="W3361" t="s">
        <v>42034</v>
      </c>
      <c r="X3361" t="s">
        <v>44763</v>
      </c>
    </row>
    <row r="3362" spans="1:24">
      <c r="A3362">
        <f>HYPERLINK("https://www.philgeps.gov.ph/GEPSNONPILOT/Tender/SplashBidNoticeAbstractUI.aspx?menuIndex=3&amp;refID=7149859&amp;Result=3","7149859")</f>
        <v>0</v>
      </c>
      <c r="B3362" t="s">
        <v>1406</v>
      </c>
      <c r="C3362" t="s">
        <v>6975</v>
      </c>
      <c r="D3362" t="s">
        <v>17971</v>
      </c>
      <c r="E3362" t="s">
        <v>21064</v>
      </c>
      <c r="F3362" t="s">
        <v>30900</v>
      </c>
      <c r="G3362" t="s">
        <v>30907</v>
      </c>
      <c r="H3362" t="s">
        <v>30916</v>
      </c>
      <c r="I3362" t="s">
        <v>8123</v>
      </c>
      <c r="J3362" t="s">
        <v>31101</v>
      </c>
      <c r="K3362" t="s">
        <v>40284</v>
      </c>
      <c r="M3362" t="s">
        <v>42035</v>
      </c>
      <c r="N3362" t="s">
        <v>44759</v>
      </c>
      <c r="O3362" t="s">
        <v>44760</v>
      </c>
      <c r="P3362">
        <v>0</v>
      </c>
      <c r="Q3362">
        <v>0</v>
      </c>
      <c r="R3362" t="s">
        <v>44762</v>
      </c>
      <c r="S3362" t="s">
        <v>44863</v>
      </c>
      <c r="T3362" t="s">
        <v>46405</v>
      </c>
      <c r="U3362" t="s">
        <v>49813</v>
      </c>
      <c r="W3362" t="s">
        <v>42035</v>
      </c>
      <c r="X3362" t="s">
        <v>44763</v>
      </c>
    </row>
    <row r="3363" spans="1:24">
      <c r="A3363">
        <f>HYPERLINK("https://www.philgeps.gov.ph/GEPSNONPILOT/Tender/SplashBidNoticeAbstractUI.aspx?menuIndex=3&amp;refID=7149855&amp;Result=3","7149855")</f>
        <v>0</v>
      </c>
      <c r="B3363" t="s">
        <v>325</v>
      </c>
      <c r="C3363" t="s">
        <v>6976</v>
      </c>
      <c r="D3363" t="s">
        <v>17995</v>
      </c>
      <c r="E3363" t="s">
        <v>21065</v>
      </c>
      <c r="F3363" t="s">
        <v>30900</v>
      </c>
      <c r="G3363" t="s">
        <v>30908</v>
      </c>
      <c r="H3363" t="s">
        <v>30916</v>
      </c>
      <c r="I3363" t="s">
        <v>30949</v>
      </c>
      <c r="J3363" t="s">
        <v>33421</v>
      </c>
      <c r="K3363" t="s">
        <v>40287</v>
      </c>
      <c r="L3363" t="s">
        <v>325</v>
      </c>
      <c r="M3363" t="s">
        <v>40876</v>
      </c>
      <c r="N3363" t="s">
        <v>44759</v>
      </c>
      <c r="O3363" t="s">
        <v>44760</v>
      </c>
      <c r="P3363">
        <v>0</v>
      </c>
      <c r="Q3363">
        <v>0</v>
      </c>
      <c r="R3363" t="s">
        <v>44762</v>
      </c>
      <c r="S3363" t="s">
        <v>44863</v>
      </c>
      <c r="T3363" t="s">
        <v>46470</v>
      </c>
      <c r="U3363" t="s">
        <v>49814</v>
      </c>
      <c r="V3363" t="s">
        <v>59173</v>
      </c>
      <c r="W3363" t="s">
        <v>40876</v>
      </c>
      <c r="X3363" t="s">
        <v>44763</v>
      </c>
    </row>
    <row r="3364" spans="1:24">
      <c r="A3364">
        <f>HYPERLINK("https://www.philgeps.gov.ph/GEPSNONPILOT/Tender/SplashBidNoticeAbstractUI.aspx?menuIndex=3&amp;refID=7149816&amp;Result=3","7149816")</f>
        <v>0</v>
      </c>
      <c r="B3364" t="s">
        <v>855</v>
      </c>
      <c r="C3364" t="s">
        <v>6977</v>
      </c>
      <c r="D3364" t="s">
        <v>17975</v>
      </c>
      <c r="E3364" t="s">
        <v>21066</v>
      </c>
      <c r="F3364" t="s">
        <v>30900</v>
      </c>
      <c r="G3364" t="s">
        <v>30908</v>
      </c>
      <c r="H3364" t="s">
        <v>30916</v>
      </c>
      <c r="I3364" t="s">
        <v>4142</v>
      </c>
      <c r="J3364" t="s">
        <v>33422</v>
      </c>
      <c r="K3364" t="s">
        <v>40287</v>
      </c>
      <c r="M3364" t="s">
        <v>41428</v>
      </c>
      <c r="N3364" t="s">
        <v>44759</v>
      </c>
      <c r="O3364" t="s">
        <v>44760</v>
      </c>
      <c r="P3364">
        <v>0</v>
      </c>
      <c r="Q3364">
        <v>1</v>
      </c>
      <c r="R3364" t="s">
        <v>44762</v>
      </c>
      <c r="S3364" t="s">
        <v>44863</v>
      </c>
      <c r="T3364" t="s">
        <v>46414</v>
      </c>
      <c r="U3364" t="s">
        <v>49815</v>
      </c>
      <c r="W3364" t="s">
        <v>41428</v>
      </c>
      <c r="X3364" t="s">
        <v>44763</v>
      </c>
    </row>
    <row r="3365" spans="1:24">
      <c r="A3365">
        <f>HYPERLINK("https://www.philgeps.gov.ph/GEPSNONPILOT/Tender/SplashBidNoticeAbstractUI.aspx?menuIndex=3&amp;refID=7149872&amp;Result=3","7149872")</f>
        <v>0</v>
      </c>
      <c r="B3365" t="s">
        <v>1407</v>
      </c>
      <c r="C3365" t="s">
        <v>6978</v>
      </c>
      <c r="E3365" t="s">
        <v>18282</v>
      </c>
      <c r="F3365" t="s">
        <v>30900</v>
      </c>
      <c r="G3365" t="s">
        <v>30909</v>
      </c>
      <c r="H3365" t="s">
        <v>30916</v>
      </c>
      <c r="I3365" t="s">
        <v>8365</v>
      </c>
      <c r="J3365" t="s">
        <v>33423</v>
      </c>
      <c r="K3365" t="s">
        <v>40289</v>
      </c>
      <c r="M3365" t="s">
        <v>42036</v>
      </c>
      <c r="N3365" t="s">
        <v>44759</v>
      </c>
      <c r="O3365" t="s">
        <v>44760</v>
      </c>
      <c r="P3365">
        <v>0</v>
      </c>
      <c r="Q3365">
        <v>0</v>
      </c>
      <c r="R3365" t="s">
        <v>44762</v>
      </c>
      <c r="S3365" t="s">
        <v>44863</v>
      </c>
      <c r="T3365" t="s">
        <v>46631</v>
      </c>
      <c r="U3365" t="s">
        <v>49816</v>
      </c>
      <c r="W3365" t="s">
        <v>42036</v>
      </c>
      <c r="X3365" t="s">
        <v>44763</v>
      </c>
    </row>
    <row r="3366" spans="1:24">
      <c r="A3366">
        <f>HYPERLINK("https://www.philgeps.gov.ph/GEPSNONPILOT/Tender/SplashBidNoticeAbstractUI.aspx?menuIndex=3&amp;refID=7149824&amp;Result=3","7149824")</f>
        <v>0</v>
      </c>
      <c r="B3366" t="s">
        <v>1408</v>
      </c>
      <c r="C3366" t="s">
        <v>6979</v>
      </c>
      <c r="D3366" t="s">
        <v>17959</v>
      </c>
      <c r="E3366" t="s">
        <v>21067</v>
      </c>
      <c r="F3366" t="s">
        <v>30900</v>
      </c>
      <c r="G3366" t="s">
        <v>30909</v>
      </c>
      <c r="H3366" t="s">
        <v>30916</v>
      </c>
      <c r="I3366" t="s">
        <v>30921</v>
      </c>
      <c r="J3366" t="s">
        <v>31174</v>
      </c>
      <c r="K3366" t="s">
        <v>40289</v>
      </c>
      <c r="M3366" t="s">
        <v>42037</v>
      </c>
      <c r="N3366" t="s">
        <v>44759</v>
      </c>
      <c r="O3366" t="s">
        <v>44760</v>
      </c>
      <c r="P3366">
        <v>0</v>
      </c>
      <c r="Q3366">
        <v>8</v>
      </c>
      <c r="R3366" t="s">
        <v>44762</v>
      </c>
      <c r="S3366" t="s">
        <v>44863</v>
      </c>
      <c r="T3366" t="s">
        <v>46398</v>
      </c>
      <c r="U3366" t="s">
        <v>49817</v>
      </c>
      <c r="W3366" t="s">
        <v>42037</v>
      </c>
      <c r="X3366" t="s">
        <v>44763</v>
      </c>
    </row>
    <row r="3367" spans="1:24">
      <c r="A3367">
        <f>HYPERLINK("https://www.philgeps.gov.ph/GEPSNONPILOT/Tender/SplashBidNoticeAbstractUI.aspx?menuIndex=3&amp;refID=7149871&amp;Result=3","7149871")</f>
        <v>0</v>
      </c>
      <c r="B3367" t="s">
        <v>1409</v>
      </c>
      <c r="C3367" t="s">
        <v>6980</v>
      </c>
      <c r="D3367" t="s">
        <v>17985</v>
      </c>
      <c r="E3367" t="s">
        <v>21068</v>
      </c>
      <c r="F3367" t="s">
        <v>30900</v>
      </c>
      <c r="G3367" t="s">
        <v>30907</v>
      </c>
      <c r="H3367" t="s">
        <v>30916</v>
      </c>
      <c r="I3367" t="s">
        <v>30933</v>
      </c>
      <c r="J3367" t="s">
        <v>31278</v>
      </c>
      <c r="K3367" t="s">
        <v>40287</v>
      </c>
      <c r="M3367" t="s">
        <v>42038</v>
      </c>
      <c r="N3367" t="s">
        <v>44759</v>
      </c>
      <c r="O3367" t="s">
        <v>44760</v>
      </c>
      <c r="P3367">
        <v>0</v>
      </c>
      <c r="Q3367">
        <v>0</v>
      </c>
      <c r="R3367" t="s">
        <v>44762</v>
      </c>
      <c r="S3367" t="s">
        <v>44863</v>
      </c>
      <c r="T3367" t="s">
        <v>46395</v>
      </c>
      <c r="U3367" t="s">
        <v>49818</v>
      </c>
      <c r="W3367" t="s">
        <v>42038</v>
      </c>
      <c r="X3367" t="s">
        <v>44763</v>
      </c>
    </row>
    <row r="3368" spans="1:24">
      <c r="A3368">
        <f>HYPERLINK("https://www.philgeps.gov.ph/GEPSNONPILOT/Tender/SplashBidNoticeAbstractUI.aspx?menuIndex=3&amp;refID=7149864&amp;Result=3","7149864")</f>
        <v>0</v>
      </c>
      <c r="B3368" t="s">
        <v>1100</v>
      </c>
      <c r="C3368" t="s">
        <v>6981</v>
      </c>
      <c r="D3368" t="s">
        <v>18004</v>
      </c>
      <c r="E3368" t="s">
        <v>21069</v>
      </c>
      <c r="F3368" t="s">
        <v>30900</v>
      </c>
      <c r="G3368" t="s">
        <v>30909</v>
      </c>
      <c r="H3368" t="s">
        <v>30916</v>
      </c>
      <c r="I3368" t="s">
        <v>4142</v>
      </c>
      <c r="J3368" t="s">
        <v>33424</v>
      </c>
      <c r="K3368" t="s">
        <v>40289</v>
      </c>
      <c r="M3368" t="s">
        <v>41789</v>
      </c>
      <c r="N3368" t="s">
        <v>44759</v>
      </c>
      <c r="O3368" t="s">
        <v>44760</v>
      </c>
      <c r="P3368">
        <v>0</v>
      </c>
      <c r="Q3368">
        <v>3</v>
      </c>
      <c r="R3368" t="s">
        <v>44762</v>
      </c>
      <c r="S3368" t="s">
        <v>44863</v>
      </c>
      <c r="T3368" t="s">
        <v>46595</v>
      </c>
      <c r="U3368" t="s">
        <v>49819</v>
      </c>
      <c r="W3368" t="s">
        <v>41789</v>
      </c>
      <c r="X3368" t="s">
        <v>44763</v>
      </c>
    </row>
    <row r="3369" spans="1:24">
      <c r="A3369">
        <f>HYPERLINK("https://www.philgeps.gov.ph/GEPSNONPILOT/Tender/SplashBidNoticeAbstractUI.aspx?menuIndex=3&amp;refID=7149868&amp;Result=3","7149868")</f>
        <v>0</v>
      </c>
      <c r="B3369" t="s">
        <v>855</v>
      </c>
      <c r="C3369" t="s">
        <v>3817</v>
      </c>
      <c r="D3369" t="s">
        <v>17975</v>
      </c>
      <c r="E3369" t="s">
        <v>21070</v>
      </c>
      <c r="F3369" t="s">
        <v>30900</v>
      </c>
      <c r="G3369" t="s">
        <v>30908</v>
      </c>
      <c r="H3369" t="s">
        <v>30916</v>
      </c>
      <c r="I3369" t="s">
        <v>30923</v>
      </c>
      <c r="J3369" t="s">
        <v>33425</v>
      </c>
      <c r="K3369" t="s">
        <v>40287</v>
      </c>
      <c r="M3369" t="s">
        <v>41428</v>
      </c>
      <c r="N3369" t="s">
        <v>44759</v>
      </c>
      <c r="O3369" t="s">
        <v>44760</v>
      </c>
      <c r="P3369">
        <v>0</v>
      </c>
      <c r="Q3369">
        <v>3</v>
      </c>
      <c r="R3369" t="s">
        <v>44762</v>
      </c>
      <c r="S3369" t="s">
        <v>44863</v>
      </c>
      <c r="T3369" t="s">
        <v>46414</v>
      </c>
      <c r="U3369" t="s">
        <v>49820</v>
      </c>
      <c r="W3369" t="s">
        <v>41428</v>
      </c>
      <c r="X3369" t="s">
        <v>44763</v>
      </c>
    </row>
    <row r="3370" spans="1:24">
      <c r="A3370">
        <f>HYPERLINK("https://www.philgeps.gov.ph/GEPSNONPILOT/Tender/SplashBidNoticeAbstractUI.aspx?menuIndex=3&amp;refID=7149856&amp;Result=3","7149856")</f>
        <v>0</v>
      </c>
      <c r="B3370" t="s">
        <v>1322</v>
      </c>
      <c r="C3370" t="s">
        <v>6982</v>
      </c>
      <c r="D3370" t="s">
        <v>17996</v>
      </c>
      <c r="E3370" t="s">
        <v>21071</v>
      </c>
      <c r="F3370" t="s">
        <v>30900</v>
      </c>
      <c r="G3370" t="s">
        <v>30907</v>
      </c>
      <c r="H3370" t="s">
        <v>30915</v>
      </c>
      <c r="I3370" t="s">
        <v>30919</v>
      </c>
      <c r="J3370" t="s">
        <v>33426</v>
      </c>
      <c r="K3370" t="s">
        <v>40387</v>
      </c>
      <c r="M3370" t="s">
        <v>41941</v>
      </c>
      <c r="N3370" t="s">
        <v>44759</v>
      </c>
      <c r="O3370" t="s">
        <v>44760</v>
      </c>
      <c r="P3370">
        <v>0</v>
      </c>
      <c r="Q3370">
        <v>2</v>
      </c>
      <c r="R3370" t="s">
        <v>44762</v>
      </c>
      <c r="S3370" t="s">
        <v>44863</v>
      </c>
      <c r="T3370" t="s">
        <v>46394</v>
      </c>
      <c r="U3370" t="s">
        <v>49618</v>
      </c>
      <c r="W3370" t="s">
        <v>60858</v>
      </c>
      <c r="X3370" t="s">
        <v>44763</v>
      </c>
    </row>
    <row r="3371" spans="1:24">
      <c r="A3371">
        <f>HYPERLINK("https://www.philgeps.gov.ph/GEPSNONPILOT/Tender/SplashBidNoticeAbstractUI.aspx?menuIndex=3&amp;refID=7149851&amp;Result=3","7149851")</f>
        <v>0</v>
      </c>
      <c r="B3371" t="s">
        <v>817</v>
      </c>
      <c r="C3371" t="s">
        <v>6983</v>
      </c>
      <c r="D3371" t="s">
        <v>18025</v>
      </c>
      <c r="E3371" t="s">
        <v>21072</v>
      </c>
      <c r="F3371" t="s">
        <v>30900</v>
      </c>
      <c r="G3371" t="s">
        <v>30908</v>
      </c>
      <c r="H3371" t="s">
        <v>30916</v>
      </c>
      <c r="I3371" t="s">
        <v>5830</v>
      </c>
      <c r="J3371" t="s">
        <v>33427</v>
      </c>
      <c r="K3371" t="s">
        <v>40286</v>
      </c>
      <c r="M3371" t="s">
        <v>41388</v>
      </c>
      <c r="N3371" t="s">
        <v>44759</v>
      </c>
      <c r="O3371" t="s">
        <v>44760</v>
      </c>
      <c r="P3371">
        <v>0</v>
      </c>
      <c r="Q3371">
        <v>10</v>
      </c>
      <c r="R3371" t="s">
        <v>44762</v>
      </c>
      <c r="S3371" t="s">
        <v>44863</v>
      </c>
      <c r="T3371" t="s">
        <v>46379</v>
      </c>
      <c r="U3371" t="s">
        <v>49821</v>
      </c>
      <c r="W3371" t="s">
        <v>41388</v>
      </c>
      <c r="X3371" t="s">
        <v>44763</v>
      </c>
    </row>
    <row r="3372" spans="1:24">
      <c r="A3372">
        <f>HYPERLINK("https://www.philgeps.gov.ph/GEPSNONPILOT/Tender/SplashBidNoticeAbstractUI.aspx?menuIndex=3&amp;refID=7149848&amp;Result=3","7149848")</f>
        <v>0</v>
      </c>
      <c r="B3372" t="s">
        <v>361</v>
      </c>
      <c r="C3372" t="s">
        <v>6984</v>
      </c>
      <c r="D3372" t="s">
        <v>17975</v>
      </c>
      <c r="E3372" t="s">
        <v>21073</v>
      </c>
      <c r="F3372" t="s">
        <v>30900</v>
      </c>
      <c r="G3372" t="s">
        <v>30908</v>
      </c>
      <c r="H3372" t="s">
        <v>30916</v>
      </c>
      <c r="I3372" t="s">
        <v>6953</v>
      </c>
      <c r="J3372" t="s">
        <v>33428</v>
      </c>
      <c r="K3372" t="s">
        <v>40287</v>
      </c>
      <c r="M3372" t="s">
        <v>40915</v>
      </c>
      <c r="N3372" t="s">
        <v>44759</v>
      </c>
      <c r="O3372" t="s">
        <v>44760</v>
      </c>
      <c r="P3372">
        <v>0</v>
      </c>
      <c r="Q3372">
        <v>2</v>
      </c>
      <c r="R3372" t="s">
        <v>44762</v>
      </c>
      <c r="S3372" t="s">
        <v>44863</v>
      </c>
      <c r="T3372" t="s">
        <v>46383</v>
      </c>
      <c r="U3372" t="s">
        <v>49822</v>
      </c>
      <c r="W3372" t="s">
        <v>40915</v>
      </c>
      <c r="X3372" t="s">
        <v>44763</v>
      </c>
    </row>
    <row r="3373" spans="1:24">
      <c r="A3373">
        <f>HYPERLINK("https://www.philgeps.gov.ph/GEPSNONPILOT/Tender/SplashBidNoticeAbstractUI.aspx?menuIndex=3&amp;refID=7149847&amp;Result=3","7149847")</f>
        <v>0</v>
      </c>
      <c r="B3373" t="s">
        <v>44</v>
      </c>
      <c r="C3373" t="s">
        <v>6985</v>
      </c>
      <c r="D3373" t="s">
        <v>17969</v>
      </c>
      <c r="E3373" t="s">
        <v>21074</v>
      </c>
      <c r="F3373" t="s">
        <v>30900</v>
      </c>
      <c r="G3373" t="s">
        <v>30908</v>
      </c>
      <c r="H3373" t="s">
        <v>30916</v>
      </c>
      <c r="I3373" t="s">
        <v>4108</v>
      </c>
      <c r="J3373" t="s">
        <v>32332</v>
      </c>
      <c r="K3373" t="s">
        <v>40289</v>
      </c>
      <c r="M3373" t="s">
        <v>41947</v>
      </c>
      <c r="N3373" t="s">
        <v>44759</v>
      </c>
      <c r="O3373" t="s">
        <v>44760</v>
      </c>
      <c r="P3373">
        <v>0</v>
      </c>
      <c r="Q3373">
        <v>0</v>
      </c>
      <c r="R3373" t="s">
        <v>44762</v>
      </c>
      <c r="S3373" t="s">
        <v>44863</v>
      </c>
      <c r="T3373" t="s">
        <v>46412</v>
      </c>
      <c r="U3373" t="s">
        <v>49823</v>
      </c>
      <c r="W3373" t="s">
        <v>41947</v>
      </c>
      <c r="X3373" t="s">
        <v>44763</v>
      </c>
    </row>
    <row r="3374" spans="1:24">
      <c r="A3374">
        <f>HYPERLINK("https://www.philgeps.gov.ph/GEPSNONPILOT/Tender/SplashBidNoticeAbstractUI.aspx?menuIndex=3&amp;refID=7149870&amp;Result=3","7149870")</f>
        <v>0</v>
      </c>
      <c r="B3374" t="s">
        <v>1187</v>
      </c>
      <c r="C3374" t="s">
        <v>6986</v>
      </c>
      <c r="E3374" t="s">
        <v>21075</v>
      </c>
      <c r="F3374" t="s">
        <v>30900</v>
      </c>
      <c r="G3374" t="s">
        <v>30908</v>
      </c>
      <c r="H3374" t="s">
        <v>30916</v>
      </c>
      <c r="I3374" t="s">
        <v>4108</v>
      </c>
      <c r="J3374" t="s">
        <v>33429</v>
      </c>
      <c r="K3374" t="s">
        <v>40289</v>
      </c>
      <c r="M3374" t="s">
        <v>41796</v>
      </c>
      <c r="N3374" t="s">
        <v>44759</v>
      </c>
      <c r="O3374" t="s">
        <v>44760</v>
      </c>
      <c r="P3374">
        <v>0</v>
      </c>
      <c r="Q3374">
        <v>0</v>
      </c>
      <c r="R3374" t="s">
        <v>44762</v>
      </c>
      <c r="S3374" t="s">
        <v>44863</v>
      </c>
      <c r="T3374" t="s">
        <v>46383</v>
      </c>
      <c r="U3374" t="s">
        <v>49824</v>
      </c>
      <c r="V3374" t="s">
        <v>59427</v>
      </c>
      <c r="W3374" t="s">
        <v>41796</v>
      </c>
      <c r="X3374" t="s">
        <v>44763</v>
      </c>
    </row>
    <row r="3375" spans="1:24">
      <c r="A3375">
        <f>HYPERLINK("https://www.philgeps.gov.ph/GEPSNONPILOT/Tender/SplashBidNoticeAbstractUI.aspx?menuIndex=3&amp;refID=7149846&amp;Result=3","7149846")</f>
        <v>0</v>
      </c>
      <c r="B3375" t="s">
        <v>1410</v>
      </c>
      <c r="C3375" t="s">
        <v>6987</v>
      </c>
      <c r="D3375" t="s">
        <v>17974</v>
      </c>
      <c r="E3375" t="s">
        <v>18066</v>
      </c>
      <c r="F3375" t="s">
        <v>30900</v>
      </c>
      <c r="G3375" t="s">
        <v>30907</v>
      </c>
      <c r="H3375" t="s">
        <v>30916</v>
      </c>
      <c r="I3375" t="s">
        <v>8123</v>
      </c>
      <c r="J3375" t="s">
        <v>33430</v>
      </c>
      <c r="K3375" t="s">
        <v>40288</v>
      </c>
      <c r="M3375" t="s">
        <v>42039</v>
      </c>
      <c r="N3375" t="s">
        <v>44759</v>
      </c>
      <c r="O3375" t="s">
        <v>44760</v>
      </c>
      <c r="P3375">
        <v>0</v>
      </c>
      <c r="Q3375">
        <v>0</v>
      </c>
      <c r="R3375" t="s">
        <v>44762</v>
      </c>
      <c r="S3375" t="s">
        <v>44863</v>
      </c>
      <c r="T3375" t="s">
        <v>46606</v>
      </c>
      <c r="U3375" t="s">
        <v>49825</v>
      </c>
      <c r="W3375" t="s">
        <v>42039</v>
      </c>
      <c r="X3375" t="s">
        <v>44763</v>
      </c>
    </row>
    <row r="3376" spans="1:24">
      <c r="A3376">
        <f>HYPERLINK("https://www.philgeps.gov.ph/GEPSNONPILOT/Tender/SplashBidNoticeAbstractUI.aspx?menuIndex=3&amp;refID=7149821&amp;Result=3","7149821")</f>
        <v>0</v>
      </c>
      <c r="B3376" t="s">
        <v>1411</v>
      </c>
      <c r="C3376" t="s">
        <v>6988</v>
      </c>
      <c r="D3376" t="s">
        <v>17979</v>
      </c>
      <c r="E3376" t="s">
        <v>21076</v>
      </c>
      <c r="F3376" t="s">
        <v>30900</v>
      </c>
      <c r="G3376" t="s">
        <v>30908</v>
      </c>
      <c r="H3376" t="s">
        <v>30916</v>
      </c>
      <c r="I3376" t="s">
        <v>8123</v>
      </c>
      <c r="J3376" t="s">
        <v>33431</v>
      </c>
      <c r="K3376" t="s">
        <v>40289</v>
      </c>
      <c r="M3376" t="s">
        <v>42040</v>
      </c>
      <c r="N3376" t="s">
        <v>44759</v>
      </c>
      <c r="O3376" t="s">
        <v>44760</v>
      </c>
      <c r="P3376">
        <v>0</v>
      </c>
      <c r="Q3376">
        <v>0</v>
      </c>
      <c r="R3376" t="s">
        <v>44762</v>
      </c>
      <c r="S3376" t="s">
        <v>44863</v>
      </c>
      <c r="T3376" t="s">
        <v>46410</v>
      </c>
      <c r="U3376" t="s">
        <v>49826</v>
      </c>
      <c r="W3376" t="s">
        <v>42040</v>
      </c>
      <c r="X3376" t="s">
        <v>44763</v>
      </c>
    </row>
    <row r="3377" spans="1:24">
      <c r="A3377">
        <f>HYPERLINK("https://www.philgeps.gov.ph/GEPSNONPILOT/Tender/SplashBidNoticeAbstractUI.aspx?menuIndex=3&amp;refID=7149845&amp;Result=3","7149845")</f>
        <v>0</v>
      </c>
      <c r="B3377" t="s">
        <v>384</v>
      </c>
      <c r="C3377" t="s">
        <v>6989</v>
      </c>
      <c r="D3377" t="s">
        <v>17987</v>
      </c>
      <c r="E3377" t="s">
        <v>21077</v>
      </c>
      <c r="F3377" t="s">
        <v>30900</v>
      </c>
      <c r="G3377" t="s">
        <v>30909</v>
      </c>
      <c r="H3377" t="s">
        <v>30916</v>
      </c>
      <c r="I3377" t="s">
        <v>30935</v>
      </c>
      <c r="J3377" t="s">
        <v>33432</v>
      </c>
      <c r="K3377" t="s">
        <v>40287</v>
      </c>
      <c r="M3377" t="s">
        <v>40939</v>
      </c>
      <c r="N3377" t="s">
        <v>44759</v>
      </c>
      <c r="O3377" t="s">
        <v>44760</v>
      </c>
      <c r="P3377">
        <v>0</v>
      </c>
      <c r="Q3377">
        <v>0</v>
      </c>
      <c r="R3377" t="s">
        <v>44762</v>
      </c>
      <c r="S3377" t="s">
        <v>44863</v>
      </c>
      <c r="T3377" t="s">
        <v>46409</v>
      </c>
      <c r="U3377" t="s">
        <v>49827</v>
      </c>
      <c r="W3377" t="s">
        <v>40939</v>
      </c>
      <c r="X3377" t="s">
        <v>44763</v>
      </c>
    </row>
    <row r="3378" spans="1:24">
      <c r="A3378">
        <f>HYPERLINK("https://www.philgeps.gov.ph/GEPSNONPILOT/Tender/SplashBidNoticeAbstractUI.aspx?menuIndex=3&amp;refID=7149852&amp;Result=3","7149852")</f>
        <v>0</v>
      </c>
      <c r="B3378" t="s">
        <v>1250</v>
      </c>
      <c r="C3378" t="s">
        <v>3996</v>
      </c>
      <c r="D3378" t="s">
        <v>17953</v>
      </c>
      <c r="E3378" t="s">
        <v>21078</v>
      </c>
      <c r="F3378" t="s">
        <v>30900</v>
      </c>
      <c r="G3378" t="s">
        <v>30907</v>
      </c>
      <c r="H3378" t="s">
        <v>30916</v>
      </c>
      <c r="I3378" t="s">
        <v>6396</v>
      </c>
      <c r="J3378" t="s">
        <v>33433</v>
      </c>
      <c r="K3378" t="s">
        <v>40286</v>
      </c>
      <c r="M3378" t="s">
        <v>41862</v>
      </c>
      <c r="N3378" t="s">
        <v>44759</v>
      </c>
      <c r="O3378" t="s">
        <v>44760</v>
      </c>
      <c r="P3378">
        <v>0</v>
      </c>
      <c r="Q3378">
        <v>0</v>
      </c>
      <c r="R3378" t="s">
        <v>44762</v>
      </c>
      <c r="S3378" t="s">
        <v>44863</v>
      </c>
      <c r="T3378" t="s">
        <v>46369</v>
      </c>
      <c r="U3378" t="s">
        <v>49828</v>
      </c>
      <c r="W3378" t="s">
        <v>41862</v>
      </c>
      <c r="X3378" t="s">
        <v>44763</v>
      </c>
    </row>
    <row r="3379" spans="1:24">
      <c r="A3379">
        <f>HYPERLINK("https://www.philgeps.gov.ph/GEPSNONPILOT/Tender/SplashBidNoticeAbstractUI.aspx?menuIndex=3&amp;refID=7149850&amp;Result=3","7149850")</f>
        <v>0</v>
      </c>
      <c r="B3379" t="s">
        <v>767</v>
      </c>
      <c r="C3379" t="s">
        <v>6990</v>
      </c>
      <c r="D3379" t="s">
        <v>18020</v>
      </c>
      <c r="E3379" t="s">
        <v>21079</v>
      </c>
      <c r="F3379" t="s">
        <v>30900</v>
      </c>
      <c r="G3379" t="s">
        <v>30908</v>
      </c>
      <c r="H3379" t="s">
        <v>30916</v>
      </c>
      <c r="I3379" t="s">
        <v>6746</v>
      </c>
      <c r="J3379" t="s">
        <v>33434</v>
      </c>
      <c r="K3379" t="s">
        <v>40289</v>
      </c>
      <c r="M3379" t="s">
        <v>41333</v>
      </c>
      <c r="N3379" t="s">
        <v>44759</v>
      </c>
      <c r="O3379" t="s">
        <v>44760</v>
      </c>
      <c r="P3379">
        <v>0</v>
      </c>
      <c r="Q3379">
        <v>0</v>
      </c>
      <c r="R3379" t="s">
        <v>44762</v>
      </c>
      <c r="S3379" t="s">
        <v>44863</v>
      </c>
      <c r="T3379" t="s">
        <v>46410</v>
      </c>
      <c r="U3379" t="s">
        <v>49829</v>
      </c>
      <c r="V3379" t="s">
        <v>59299</v>
      </c>
      <c r="W3379" t="s">
        <v>41333</v>
      </c>
      <c r="X3379" t="s">
        <v>44763</v>
      </c>
    </row>
    <row r="3380" spans="1:24">
      <c r="A3380">
        <f>HYPERLINK("https://www.philgeps.gov.ph/GEPSNONPILOT/Tender/SplashBidNoticeAbstractUI.aspx?menuIndex=3&amp;refID=7149836&amp;Result=3","7149836")</f>
        <v>0</v>
      </c>
      <c r="B3380" t="s">
        <v>1412</v>
      </c>
      <c r="C3380" t="s">
        <v>6991</v>
      </c>
      <c r="D3380" t="s">
        <v>17963</v>
      </c>
      <c r="E3380" t="s">
        <v>19424</v>
      </c>
      <c r="F3380" t="s">
        <v>30900</v>
      </c>
      <c r="G3380" t="s">
        <v>30907</v>
      </c>
      <c r="H3380" t="s">
        <v>30916</v>
      </c>
      <c r="I3380" t="s">
        <v>30940</v>
      </c>
      <c r="J3380" t="s">
        <v>31756</v>
      </c>
      <c r="K3380" t="s">
        <v>40287</v>
      </c>
      <c r="M3380" t="s">
        <v>42041</v>
      </c>
      <c r="N3380" t="s">
        <v>44759</v>
      </c>
      <c r="O3380" t="s">
        <v>44760</v>
      </c>
      <c r="P3380">
        <v>0</v>
      </c>
      <c r="Q3380">
        <v>0</v>
      </c>
      <c r="R3380" t="s">
        <v>44762</v>
      </c>
      <c r="S3380" t="s">
        <v>44863</v>
      </c>
      <c r="T3380" t="s">
        <v>46361</v>
      </c>
      <c r="U3380" t="s">
        <v>49830</v>
      </c>
      <c r="V3380" t="s">
        <v>59496</v>
      </c>
      <c r="W3380" t="s">
        <v>42041</v>
      </c>
      <c r="X3380" t="s">
        <v>44763</v>
      </c>
    </row>
    <row r="3381" spans="1:24">
      <c r="A3381">
        <f>HYPERLINK("https://www.philgeps.gov.ph/GEPSNONPILOT/Tender/SplashBidNoticeAbstractUI.aspx?menuIndex=3&amp;refID=7149875&amp;Result=3","7149875")</f>
        <v>0</v>
      </c>
      <c r="B3381" t="s">
        <v>1406</v>
      </c>
      <c r="C3381" t="s">
        <v>6975</v>
      </c>
      <c r="D3381" t="s">
        <v>17971</v>
      </c>
      <c r="E3381" t="s">
        <v>21080</v>
      </c>
      <c r="F3381" t="s">
        <v>30900</v>
      </c>
      <c r="G3381" t="s">
        <v>30907</v>
      </c>
      <c r="H3381" t="s">
        <v>30916</v>
      </c>
      <c r="I3381" t="s">
        <v>8123</v>
      </c>
      <c r="J3381" t="s">
        <v>33435</v>
      </c>
      <c r="K3381" t="s">
        <v>40284</v>
      </c>
      <c r="M3381" t="s">
        <v>42035</v>
      </c>
      <c r="N3381" t="s">
        <v>44759</v>
      </c>
      <c r="O3381" t="s">
        <v>44760</v>
      </c>
      <c r="P3381">
        <v>0</v>
      </c>
      <c r="Q3381">
        <v>0</v>
      </c>
      <c r="R3381" t="s">
        <v>44762</v>
      </c>
      <c r="S3381" t="s">
        <v>44863</v>
      </c>
      <c r="T3381" t="s">
        <v>46405</v>
      </c>
      <c r="U3381" t="s">
        <v>49831</v>
      </c>
      <c r="W3381" t="s">
        <v>42035</v>
      </c>
      <c r="X3381" t="s">
        <v>44763</v>
      </c>
    </row>
    <row r="3382" spans="1:24">
      <c r="A3382">
        <f>HYPERLINK("https://www.philgeps.gov.ph/GEPSNONPILOT/Tender/SplashBidNoticeAbstractUI.aspx?menuIndex=3&amp;refID=7149889&amp;Result=3","7149889")</f>
        <v>0</v>
      </c>
      <c r="B3382" t="s">
        <v>832</v>
      </c>
      <c r="C3382" t="s">
        <v>6992</v>
      </c>
      <c r="D3382" t="s">
        <v>18025</v>
      </c>
      <c r="E3382" t="s">
        <v>21081</v>
      </c>
      <c r="F3382" t="s">
        <v>30900</v>
      </c>
      <c r="G3382" t="s">
        <v>30908</v>
      </c>
      <c r="H3382" t="s">
        <v>30916</v>
      </c>
      <c r="I3382" t="s">
        <v>4108</v>
      </c>
      <c r="J3382" t="s">
        <v>33436</v>
      </c>
      <c r="K3382" t="s">
        <v>40287</v>
      </c>
      <c r="M3382" t="s">
        <v>41405</v>
      </c>
      <c r="N3382" t="s">
        <v>44759</v>
      </c>
      <c r="O3382" t="s">
        <v>44760</v>
      </c>
      <c r="P3382">
        <v>0</v>
      </c>
      <c r="Q3382">
        <v>1</v>
      </c>
      <c r="R3382" t="s">
        <v>44762</v>
      </c>
      <c r="S3382" t="s">
        <v>44863</v>
      </c>
      <c r="T3382" t="s">
        <v>46414</v>
      </c>
      <c r="U3382" t="s">
        <v>49832</v>
      </c>
      <c r="V3382" t="s">
        <v>59494</v>
      </c>
      <c r="W3382" t="s">
        <v>41405</v>
      </c>
      <c r="X3382" t="s">
        <v>44763</v>
      </c>
    </row>
    <row r="3383" spans="1:24">
      <c r="A3383">
        <f>HYPERLINK("https://www.philgeps.gov.ph/GEPSNONPILOT/Tender/SplashBidNoticeAbstractUI.aspx?menuIndex=3&amp;refID=7149885&amp;Result=3","7149885")</f>
        <v>0</v>
      </c>
      <c r="B3383" t="s">
        <v>396</v>
      </c>
      <c r="C3383" t="s">
        <v>6993</v>
      </c>
      <c r="D3383" t="s">
        <v>17984</v>
      </c>
      <c r="E3383" t="s">
        <v>21082</v>
      </c>
      <c r="F3383" t="s">
        <v>30900</v>
      </c>
      <c r="G3383" t="s">
        <v>30908</v>
      </c>
      <c r="H3383" t="s">
        <v>30916</v>
      </c>
      <c r="I3383" t="s">
        <v>6953</v>
      </c>
      <c r="J3383" t="s">
        <v>31447</v>
      </c>
      <c r="K3383" t="s">
        <v>40284</v>
      </c>
      <c r="M3383" t="s">
        <v>40951</v>
      </c>
      <c r="N3383" t="s">
        <v>44759</v>
      </c>
      <c r="O3383" t="s">
        <v>44760</v>
      </c>
      <c r="P3383">
        <v>0</v>
      </c>
      <c r="Q3383">
        <v>2</v>
      </c>
      <c r="R3383" t="s">
        <v>44762</v>
      </c>
      <c r="S3383" t="s">
        <v>44863</v>
      </c>
      <c r="T3383" t="s">
        <v>46376</v>
      </c>
      <c r="U3383" t="s">
        <v>47582</v>
      </c>
      <c r="W3383" t="s">
        <v>40951</v>
      </c>
      <c r="X3383" t="s">
        <v>44763</v>
      </c>
    </row>
    <row r="3384" spans="1:24">
      <c r="A3384">
        <f>HYPERLINK("https://www.philgeps.gov.ph/GEPSNONPILOT/Tender/SplashBidNoticeAbstractUI.aspx?menuIndex=3&amp;refID=7149884&amp;Result=3","7149884")</f>
        <v>0</v>
      </c>
      <c r="B3384" t="s">
        <v>1413</v>
      </c>
      <c r="C3384" t="s">
        <v>6994</v>
      </c>
      <c r="D3384" t="s">
        <v>18019</v>
      </c>
      <c r="E3384" t="s">
        <v>21083</v>
      </c>
      <c r="F3384" t="s">
        <v>30900</v>
      </c>
      <c r="G3384" t="s">
        <v>30909</v>
      </c>
      <c r="H3384" t="s">
        <v>30916</v>
      </c>
      <c r="I3384" t="s">
        <v>4017</v>
      </c>
      <c r="J3384" t="s">
        <v>33437</v>
      </c>
      <c r="K3384" t="s">
        <v>40287</v>
      </c>
      <c r="M3384" t="s">
        <v>42042</v>
      </c>
      <c r="N3384" t="s">
        <v>44759</v>
      </c>
      <c r="O3384" t="s">
        <v>44760</v>
      </c>
      <c r="P3384">
        <v>0</v>
      </c>
      <c r="Q3384">
        <v>2</v>
      </c>
      <c r="R3384" t="s">
        <v>44762</v>
      </c>
      <c r="S3384" t="s">
        <v>44863</v>
      </c>
      <c r="T3384" t="s">
        <v>46361</v>
      </c>
      <c r="U3384" t="s">
        <v>49833</v>
      </c>
      <c r="V3384" t="s">
        <v>59497</v>
      </c>
      <c r="W3384" t="s">
        <v>42042</v>
      </c>
      <c r="X3384" t="s">
        <v>44763</v>
      </c>
    </row>
    <row r="3385" spans="1:24">
      <c r="A3385">
        <f>HYPERLINK("https://www.philgeps.gov.ph/GEPSNONPILOT/Tender/SplashBidNoticeAbstractUI.aspx?menuIndex=3&amp;refID=7149883&amp;Result=3","7149883")</f>
        <v>0</v>
      </c>
      <c r="B3385" t="s">
        <v>1414</v>
      </c>
      <c r="C3385" t="s">
        <v>6995</v>
      </c>
      <c r="D3385" t="s">
        <v>17977</v>
      </c>
      <c r="E3385" t="s">
        <v>21084</v>
      </c>
      <c r="F3385" t="s">
        <v>30900</v>
      </c>
      <c r="G3385" t="s">
        <v>30909</v>
      </c>
      <c r="H3385" t="s">
        <v>30916</v>
      </c>
      <c r="I3385" t="s">
        <v>30922</v>
      </c>
      <c r="J3385" t="s">
        <v>33438</v>
      </c>
      <c r="K3385" t="s">
        <v>40293</v>
      </c>
      <c r="M3385" t="s">
        <v>42043</v>
      </c>
      <c r="N3385" t="s">
        <v>44759</v>
      </c>
      <c r="O3385" t="s">
        <v>44760</v>
      </c>
      <c r="P3385">
        <v>0</v>
      </c>
      <c r="Q3385">
        <v>2</v>
      </c>
      <c r="R3385" t="s">
        <v>44762</v>
      </c>
      <c r="S3385" t="s">
        <v>44863</v>
      </c>
      <c r="T3385" t="s">
        <v>46391</v>
      </c>
      <c r="U3385" t="s">
        <v>49834</v>
      </c>
      <c r="W3385" t="s">
        <v>42043</v>
      </c>
      <c r="X3385" t="s">
        <v>44763</v>
      </c>
    </row>
    <row r="3386" spans="1:24">
      <c r="A3386">
        <f>HYPERLINK("https://www.philgeps.gov.ph/GEPSNONPILOT/Tender/SplashBidNoticeAbstractUI.aspx?menuIndex=3&amp;refID=7149882&amp;Result=3","7149882")</f>
        <v>0</v>
      </c>
      <c r="B3386" t="s">
        <v>1415</v>
      </c>
      <c r="C3386" t="s">
        <v>6996</v>
      </c>
      <c r="D3386" t="s">
        <v>17995</v>
      </c>
      <c r="E3386" t="s">
        <v>21085</v>
      </c>
      <c r="F3386" t="s">
        <v>30900</v>
      </c>
      <c r="G3386" t="s">
        <v>30907</v>
      </c>
      <c r="H3386" t="s">
        <v>30915</v>
      </c>
      <c r="I3386" t="s">
        <v>30919</v>
      </c>
      <c r="J3386" t="s">
        <v>33439</v>
      </c>
      <c r="K3386" t="s">
        <v>40292</v>
      </c>
      <c r="M3386" t="s">
        <v>42044</v>
      </c>
      <c r="N3386" t="s">
        <v>44759</v>
      </c>
      <c r="O3386" t="s">
        <v>44760</v>
      </c>
      <c r="P3386">
        <v>0</v>
      </c>
      <c r="Q3386">
        <v>2</v>
      </c>
      <c r="R3386" t="s">
        <v>44762</v>
      </c>
      <c r="S3386" t="s">
        <v>44863</v>
      </c>
      <c r="T3386" t="s">
        <v>46632</v>
      </c>
      <c r="U3386" t="s">
        <v>49835</v>
      </c>
      <c r="W3386" t="s">
        <v>42044</v>
      </c>
      <c r="X3386" t="s">
        <v>44763</v>
      </c>
    </row>
    <row r="3387" spans="1:24">
      <c r="A3387">
        <f>HYPERLINK("https://www.philgeps.gov.ph/GEPSNONPILOT/Tender/SplashBidNoticeAbstractUI.aspx?menuIndex=3&amp;refID=7149880&amp;Result=3","7149880")</f>
        <v>0</v>
      </c>
      <c r="B3387" t="s">
        <v>1416</v>
      </c>
      <c r="C3387" t="s">
        <v>6997</v>
      </c>
      <c r="D3387" t="s">
        <v>17986</v>
      </c>
      <c r="E3387" t="s">
        <v>19629</v>
      </c>
      <c r="F3387" t="s">
        <v>30900</v>
      </c>
      <c r="G3387" t="s">
        <v>30907</v>
      </c>
      <c r="H3387" t="s">
        <v>30916</v>
      </c>
      <c r="I3387" t="s">
        <v>30949</v>
      </c>
      <c r="J3387" t="s">
        <v>33440</v>
      </c>
      <c r="K3387" t="s">
        <v>40286</v>
      </c>
      <c r="M3387" t="s">
        <v>42045</v>
      </c>
      <c r="N3387" t="s">
        <v>44759</v>
      </c>
      <c r="O3387" t="s">
        <v>44760</v>
      </c>
      <c r="P3387">
        <v>0</v>
      </c>
      <c r="Q3387">
        <v>4</v>
      </c>
      <c r="R3387" t="s">
        <v>44762</v>
      </c>
      <c r="S3387" t="s">
        <v>44863</v>
      </c>
      <c r="T3387" t="s">
        <v>46439</v>
      </c>
      <c r="U3387" t="s">
        <v>49836</v>
      </c>
      <c r="W3387" t="s">
        <v>42045</v>
      </c>
      <c r="X3387" t="s">
        <v>44763</v>
      </c>
    </row>
    <row r="3388" spans="1:24">
      <c r="A3388">
        <f>HYPERLINK("https://www.philgeps.gov.ph/GEPSNONPILOT/Tender/SplashBidNoticeAbstractUI.aspx?menuIndex=3&amp;refID=7149874&amp;Result=3","7149874")</f>
        <v>0</v>
      </c>
      <c r="B3388" t="s">
        <v>726</v>
      </c>
      <c r="C3388" t="s">
        <v>4013</v>
      </c>
      <c r="D3388" t="s">
        <v>18016</v>
      </c>
      <c r="E3388" t="s">
        <v>21086</v>
      </c>
      <c r="F3388" t="s">
        <v>30900</v>
      </c>
      <c r="G3388" t="s">
        <v>30907</v>
      </c>
      <c r="H3388" t="s">
        <v>30916</v>
      </c>
      <c r="I3388" t="s">
        <v>4142</v>
      </c>
      <c r="J3388" t="s">
        <v>32052</v>
      </c>
      <c r="K3388" t="s">
        <v>40286</v>
      </c>
      <c r="M3388" t="s">
        <v>41290</v>
      </c>
      <c r="N3388" t="s">
        <v>44759</v>
      </c>
      <c r="O3388" t="s">
        <v>44760</v>
      </c>
      <c r="P3388">
        <v>0</v>
      </c>
      <c r="Q3388">
        <v>0</v>
      </c>
      <c r="R3388" t="s">
        <v>44762</v>
      </c>
      <c r="S3388" t="s">
        <v>44863</v>
      </c>
      <c r="T3388" t="s">
        <v>46389</v>
      </c>
      <c r="U3388" t="s">
        <v>49837</v>
      </c>
      <c r="W3388" t="s">
        <v>41290</v>
      </c>
      <c r="X3388" t="s">
        <v>44763</v>
      </c>
    </row>
    <row r="3389" spans="1:24">
      <c r="A3389">
        <f>HYPERLINK("https://www.philgeps.gov.ph/GEPSNONPILOT/Tender/SplashBidNoticeAbstractUI.aspx?menuIndex=3&amp;refID=7149869&amp;Result=3","7149869")</f>
        <v>0</v>
      </c>
      <c r="B3389" t="s">
        <v>1417</v>
      </c>
      <c r="C3389" t="s">
        <v>6998</v>
      </c>
      <c r="D3389" t="s">
        <v>17996</v>
      </c>
      <c r="E3389" t="s">
        <v>21087</v>
      </c>
      <c r="F3389" t="s">
        <v>30900</v>
      </c>
      <c r="G3389" t="s">
        <v>30908</v>
      </c>
      <c r="H3389" t="s">
        <v>30916</v>
      </c>
      <c r="I3389" t="s">
        <v>30927</v>
      </c>
      <c r="J3389" t="s">
        <v>33441</v>
      </c>
      <c r="K3389" t="s">
        <v>40289</v>
      </c>
      <c r="M3389" t="s">
        <v>42046</v>
      </c>
      <c r="N3389" t="s">
        <v>44759</v>
      </c>
      <c r="O3389" t="s">
        <v>44760</v>
      </c>
      <c r="P3389">
        <v>0</v>
      </c>
      <c r="Q3389">
        <v>0</v>
      </c>
      <c r="R3389" t="s">
        <v>44762</v>
      </c>
      <c r="S3389" t="s">
        <v>44863</v>
      </c>
      <c r="T3389" t="s">
        <v>46383</v>
      </c>
      <c r="U3389" t="s">
        <v>49838</v>
      </c>
      <c r="W3389" t="s">
        <v>42046</v>
      </c>
      <c r="X3389" t="s">
        <v>44763</v>
      </c>
    </row>
    <row r="3390" spans="1:24">
      <c r="A3390">
        <f>HYPERLINK("https://www.philgeps.gov.ph/GEPSNONPILOT/Tender/SplashBidNoticeAbstractUI.aspx?menuIndex=3&amp;refID=7149877&amp;Result=3","7149877")</f>
        <v>0</v>
      </c>
      <c r="B3390" t="s">
        <v>566</v>
      </c>
      <c r="C3390" t="s">
        <v>6999</v>
      </c>
      <c r="D3390" t="s">
        <v>17993</v>
      </c>
      <c r="E3390" t="s">
        <v>21088</v>
      </c>
      <c r="F3390" t="s">
        <v>30900</v>
      </c>
      <c r="G3390" t="s">
        <v>30908</v>
      </c>
      <c r="H3390" t="s">
        <v>30916</v>
      </c>
      <c r="I3390" t="s">
        <v>10847</v>
      </c>
      <c r="J3390" t="s">
        <v>31096</v>
      </c>
      <c r="K3390" t="s">
        <v>40285</v>
      </c>
      <c r="M3390" t="s">
        <v>41127</v>
      </c>
      <c r="N3390" t="s">
        <v>44759</v>
      </c>
      <c r="O3390" t="s">
        <v>44760</v>
      </c>
      <c r="P3390">
        <v>0</v>
      </c>
      <c r="Q3390">
        <v>0</v>
      </c>
      <c r="R3390" t="s">
        <v>44762</v>
      </c>
      <c r="S3390" t="s">
        <v>44863</v>
      </c>
      <c r="T3390" t="s">
        <v>46383</v>
      </c>
      <c r="U3390" t="s">
        <v>49839</v>
      </c>
      <c r="W3390" t="s">
        <v>41127</v>
      </c>
      <c r="X3390" t="s">
        <v>44763</v>
      </c>
    </row>
    <row r="3391" spans="1:24">
      <c r="A3391">
        <f>HYPERLINK("https://www.philgeps.gov.ph/GEPSNONPILOT/Tender/SplashBidNoticeAbstractUI.aspx?menuIndex=3&amp;refID=7149890&amp;Result=3","7149890")</f>
        <v>0</v>
      </c>
      <c r="B3391" t="s">
        <v>778</v>
      </c>
      <c r="C3391" t="s">
        <v>7000</v>
      </c>
      <c r="D3391" t="s">
        <v>17993</v>
      </c>
      <c r="E3391" t="s">
        <v>21089</v>
      </c>
      <c r="F3391" t="s">
        <v>30900</v>
      </c>
      <c r="G3391" t="s">
        <v>30907</v>
      </c>
      <c r="H3391" t="s">
        <v>30916</v>
      </c>
      <c r="I3391" t="s">
        <v>4545</v>
      </c>
      <c r="J3391" t="s">
        <v>31243</v>
      </c>
      <c r="K3391" t="s">
        <v>40284</v>
      </c>
      <c r="M3391" t="s">
        <v>41347</v>
      </c>
      <c r="N3391" t="s">
        <v>44759</v>
      </c>
      <c r="O3391" t="s">
        <v>44760</v>
      </c>
      <c r="P3391">
        <v>0</v>
      </c>
      <c r="Q3391">
        <v>3</v>
      </c>
      <c r="R3391" t="s">
        <v>44762</v>
      </c>
      <c r="S3391" t="s">
        <v>44863</v>
      </c>
      <c r="T3391" t="s">
        <v>46429</v>
      </c>
      <c r="U3391" t="s">
        <v>49840</v>
      </c>
      <c r="V3391" t="s">
        <v>59498</v>
      </c>
      <c r="W3391" t="s">
        <v>41347</v>
      </c>
      <c r="X3391" t="s">
        <v>44763</v>
      </c>
    </row>
    <row r="3392" spans="1:24">
      <c r="A3392">
        <f>HYPERLINK("https://www.philgeps.gov.ph/GEPSNONPILOT/Tender/SplashBidNoticeAbstractUI.aspx?menuIndex=3&amp;refID=7149895&amp;Result=3","7149895")</f>
        <v>0</v>
      </c>
      <c r="B3392" t="s">
        <v>1418</v>
      </c>
      <c r="C3392" t="s">
        <v>6603</v>
      </c>
      <c r="D3392" t="s">
        <v>17962</v>
      </c>
      <c r="E3392" t="s">
        <v>21090</v>
      </c>
      <c r="F3392" t="s">
        <v>30900</v>
      </c>
      <c r="G3392" t="s">
        <v>30907</v>
      </c>
      <c r="H3392" t="s">
        <v>30915</v>
      </c>
      <c r="I3392" t="s">
        <v>30919</v>
      </c>
      <c r="J3392" t="s">
        <v>31135</v>
      </c>
      <c r="K3392" t="s">
        <v>40286</v>
      </c>
      <c r="M3392" t="s">
        <v>42047</v>
      </c>
      <c r="N3392" t="s">
        <v>44759</v>
      </c>
      <c r="O3392" t="s">
        <v>44760</v>
      </c>
      <c r="P3392">
        <v>0</v>
      </c>
      <c r="Q3392">
        <v>0</v>
      </c>
      <c r="R3392" t="s">
        <v>44762</v>
      </c>
      <c r="S3392" t="s">
        <v>44863</v>
      </c>
      <c r="T3392" t="s">
        <v>46409</v>
      </c>
      <c r="U3392" t="s">
        <v>49841</v>
      </c>
      <c r="W3392" t="s">
        <v>42047</v>
      </c>
      <c r="X3392" t="s">
        <v>44763</v>
      </c>
    </row>
    <row r="3393" spans="1:24">
      <c r="A3393">
        <f>HYPERLINK("https://www.philgeps.gov.ph/GEPSNONPILOT/Tender/SplashBidNoticeAbstractUI.aspx?menuIndex=3&amp;refID=7149879&amp;Result=3","7149879")</f>
        <v>0</v>
      </c>
      <c r="B3393" t="s">
        <v>573</v>
      </c>
      <c r="C3393" t="s">
        <v>7001</v>
      </c>
      <c r="D3393" t="s">
        <v>18023</v>
      </c>
      <c r="E3393" t="s">
        <v>21091</v>
      </c>
      <c r="F3393" t="s">
        <v>30900</v>
      </c>
      <c r="G3393" t="s">
        <v>30908</v>
      </c>
      <c r="H3393" t="s">
        <v>30916</v>
      </c>
      <c r="I3393" t="s">
        <v>30947</v>
      </c>
      <c r="J3393" t="s">
        <v>33442</v>
      </c>
      <c r="K3393" t="s">
        <v>40291</v>
      </c>
      <c r="M3393" t="s">
        <v>41134</v>
      </c>
      <c r="N3393" t="s">
        <v>44759</v>
      </c>
      <c r="O3393" t="s">
        <v>44760</v>
      </c>
      <c r="P3393">
        <v>0</v>
      </c>
      <c r="Q3393">
        <v>0</v>
      </c>
      <c r="R3393" t="s">
        <v>44762</v>
      </c>
      <c r="S3393" t="s">
        <v>44863</v>
      </c>
      <c r="T3393" t="s">
        <v>46383</v>
      </c>
      <c r="U3393" t="s">
        <v>49842</v>
      </c>
      <c r="V3393" t="s">
        <v>59499</v>
      </c>
      <c r="W3393" t="s">
        <v>41134</v>
      </c>
      <c r="X3393" t="s">
        <v>44763</v>
      </c>
    </row>
    <row r="3394" spans="1:24">
      <c r="A3394">
        <f>HYPERLINK("https://www.philgeps.gov.ph/GEPSNONPILOT/Tender/SplashBidNoticeAbstractUI.aspx?menuIndex=3&amp;refID=7149892&amp;Result=3","7149892")</f>
        <v>0</v>
      </c>
      <c r="B3394" t="s">
        <v>1414</v>
      </c>
      <c r="C3394" t="s">
        <v>7002</v>
      </c>
      <c r="D3394" t="s">
        <v>17977</v>
      </c>
      <c r="E3394" t="s">
        <v>21092</v>
      </c>
      <c r="F3394" t="s">
        <v>30900</v>
      </c>
      <c r="G3394" t="s">
        <v>30908</v>
      </c>
      <c r="H3394" t="s">
        <v>30916</v>
      </c>
      <c r="I3394" t="s">
        <v>30922</v>
      </c>
      <c r="J3394" t="s">
        <v>31669</v>
      </c>
      <c r="K3394" t="s">
        <v>40289</v>
      </c>
      <c r="M3394" t="s">
        <v>42043</v>
      </c>
      <c r="N3394" t="s">
        <v>44759</v>
      </c>
      <c r="O3394" t="s">
        <v>44760</v>
      </c>
      <c r="P3394">
        <v>0</v>
      </c>
      <c r="Q3394">
        <v>1</v>
      </c>
      <c r="R3394" t="s">
        <v>44762</v>
      </c>
      <c r="S3394" t="s">
        <v>44863</v>
      </c>
      <c r="T3394" t="s">
        <v>46410</v>
      </c>
      <c r="U3394" t="s">
        <v>49834</v>
      </c>
      <c r="W3394" t="s">
        <v>42043</v>
      </c>
      <c r="X3394" t="s">
        <v>44763</v>
      </c>
    </row>
    <row r="3395" spans="1:24">
      <c r="A3395">
        <f>HYPERLINK("https://www.philgeps.gov.ph/GEPSNONPILOT/Tender/SplashBidNoticeAbstractUI.aspx?menuIndex=3&amp;refID=7149891&amp;Result=3","7149891")</f>
        <v>0</v>
      </c>
      <c r="B3395" t="s">
        <v>1419</v>
      </c>
      <c r="C3395" t="s">
        <v>7003</v>
      </c>
      <c r="D3395" t="s">
        <v>17959</v>
      </c>
      <c r="E3395" t="s">
        <v>21093</v>
      </c>
      <c r="F3395" t="s">
        <v>30899</v>
      </c>
      <c r="G3395" t="s">
        <v>30908</v>
      </c>
      <c r="H3395" t="s">
        <v>30916</v>
      </c>
      <c r="I3395" t="s">
        <v>5830</v>
      </c>
      <c r="J3395" t="s">
        <v>33443</v>
      </c>
      <c r="K3395" t="s">
        <v>40284</v>
      </c>
      <c r="M3395" t="s">
        <v>42048</v>
      </c>
      <c r="N3395" t="s">
        <v>44759</v>
      </c>
      <c r="O3395" t="s">
        <v>44760</v>
      </c>
      <c r="P3395">
        <v>0</v>
      </c>
      <c r="Q3395">
        <v>3</v>
      </c>
      <c r="R3395" t="s">
        <v>44762</v>
      </c>
      <c r="S3395" t="s">
        <v>44863</v>
      </c>
      <c r="T3395" t="s">
        <v>46361</v>
      </c>
      <c r="U3395" t="s">
        <v>49843</v>
      </c>
      <c r="W3395" t="s">
        <v>42048</v>
      </c>
      <c r="X3395" t="s">
        <v>44763</v>
      </c>
    </row>
    <row r="3396" spans="1:24">
      <c r="A3396">
        <f>HYPERLINK("https://www.philgeps.gov.ph/GEPSNONPILOT/Tender/SplashBidNoticeAbstractUI.aspx?menuIndex=3&amp;refID=7149878&amp;Result=3","7149878")</f>
        <v>0</v>
      </c>
      <c r="B3396" t="s">
        <v>1286</v>
      </c>
      <c r="C3396" t="s">
        <v>7004</v>
      </c>
      <c r="D3396" t="s">
        <v>17953</v>
      </c>
      <c r="E3396" t="s">
        <v>18653</v>
      </c>
      <c r="F3396" t="s">
        <v>30900</v>
      </c>
      <c r="G3396" t="s">
        <v>30907</v>
      </c>
      <c r="H3396" t="s">
        <v>30916</v>
      </c>
      <c r="I3396" t="s">
        <v>30981</v>
      </c>
      <c r="J3396" t="s">
        <v>31863</v>
      </c>
      <c r="K3396" t="s">
        <v>40344</v>
      </c>
      <c r="M3396" t="s">
        <v>41903</v>
      </c>
      <c r="N3396" t="s">
        <v>44759</v>
      </c>
      <c r="O3396" t="s">
        <v>44760</v>
      </c>
      <c r="P3396">
        <v>0</v>
      </c>
      <c r="Q3396">
        <v>0</v>
      </c>
      <c r="R3396" t="s">
        <v>44762</v>
      </c>
      <c r="S3396" t="s">
        <v>44863</v>
      </c>
      <c r="T3396" t="s">
        <v>46394</v>
      </c>
      <c r="U3396" t="s">
        <v>49844</v>
      </c>
      <c r="W3396" t="s">
        <v>41903</v>
      </c>
      <c r="X3396" t="s">
        <v>44763</v>
      </c>
    </row>
    <row r="3397" spans="1:24">
      <c r="A3397">
        <f>HYPERLINK("https://www.philgeps.gov.ph/GEPSNONPILOT/Tender/SplashBidNoticeAbstractUI.aspx?menuIndex=3&amp;refID=7149894&amp;Result=3","7149894")</f>
        <v>0</v>
      </c>
      <c r="B3397" t="s">
        <v>1420</v>
      </c>
      <c r="C3397" t="s">
        <v>7005</v>
      </c>
      <c r="D3397" t="s">
        <v>18003</v>
      </c>
      <c r="E3397" t="s">
        <v>21094</v>
      </c>
      <c r="F3397" t="s">
        <v>30900</v>
      </c>
      <c r="G3397" t="s">
        <v>30908</v>
      </c>
      <c r="H3397" t="s">
        <v>30916</v>
      </c>
      <c r="I3397" t="s">
        <v>6396</v>
      </c>
      <c r="J3397" t="s">
        <v>33444</v>
      </c>
      <c r="K3397" t="s">
        <v>40286</v>
      </c>
      <c r="M3397" t="s">
        <v>42049</v>
      </c>
      <c r="N3397" t="s">
        <v>44759</v>
      </c>
      <c r="O3397" t="s">
        <v>44760</v>
      </c>
      <c r="P3397">
        <v>0</v>
      </c>
      <c r="Q3397">
        <v>1</v>
      </c>
      <c r="R3397" t="s">
        <v>44762</v>
      </c>
      <c r="S3397" t="s">
        <v>44863</v>
      </c>
      <c r="T3397" t="s">
        <v>46395</v>
      </c>
      <c r="U3397" t="s">
        <v>49845</v>
      </c>
      <c r="W3397" t="s">
        <v>42049</v>
      </c>
      <c r="X3397" t="s">
        <v>44763</v>
      </c>
    </row>
    <row r="3398" spans="1:24">
      <c r="A3398">
        <f>HYPERLINK("https://www.philgeps.gov.ph/GEPSNONPILOT/Tender/SplashBidNoticeAbstractUI.aspx?menuIndex=3&amp;refID=7149873&amp;Result=3","7149873")</f>
        <v>0</v>
      </c>
      <c r="B3398" t="s">
        <v>1421</v>
      </c>
      <c r="C3398" t="s">
        <v>7006</v>
      </c>
      <c r="D3398" t="s">
        <v>17981</v>
      </c>
      <c r="E3398" t="s">
        <v>21095</v>
      </c>
      <c r="F3398" t="s">
        <v>30900</v>
      </c>
      <c r="G3398" t="s">
        <v>30906</v>
      </c>
      <c r="H3398" t="s">
        <v>30915</v>
      </c>
      <c r="I3398" t="s">
        <v>30919</v>
      </c>
      <c r="J3398" t="s">
        <v>31043</v>
      </c>
      <c r="K3398" t="s">
        <v>40289</v>
      </c>
      <c r="M3398" t="s">
        <v>42050</v>
      </c>
      <c r="N3398" t="s">
        <v>44759</v>
      </c>
      <c r="O3398" t="s">
        <v>44760</v>
      </c>
      <c r="P3398">
        <v>0</v>
      </c>
      <c r="Q3398">
        <v>1</v>
      </c>
      <c r="R3398" t="s">
        <v>44762</v>
      </c>
      <c r="S3398" t="s">
        <v>44863</v>
      </c>
      <c r="T3398" t="s">
        <v>46395</v>
      </c>
      <c r="U3398" t="s">
        <v>49846</v>
      </c>
      <c r="W3398" t="s">
        <v>42050</v>
      </c>
      <c r="X3398" t="s">
        <v>44763</v>
      </c>
    </row>
    <row r="3399" spans="1:24">
      <c r="A3399">
        <f>HYPERLINK("https://www.philgeps.gov.ph/GEPSNONPILOT/Tender/SplashBidNoticeAbstractUI.aspx?menuIndex=3&amp;refID=7149876&amp;Result=3","7149876")</f>
        <v>0</v>
      </c>
      <c r="B3399" t="s">
        <v>1235</v>
      </c>
      <c r="C3399" t="s">
        <v>7007</v>
      </c>
      <c r="D3399" t="s">
        <v>18003</v>
      </c>
      <c r="E3399" t="s">
        <v>21096</v>
      </c>
      <c r="F3399" t="s">
        <v>30900</v>
      </c>
      <c r="G3399" t="s">
        <v>30907</v>
      </c>
      <c r="H3399" t="s">
        <v>30915</v>
      </c>
      <c r="I3399" t="s">
        <v>30919</v>
      </c>
      <c r="J3399" t="s">
        <v>33445</v>
      </c>
      <c r="K3399" t="s">
        <v>40292</v>
      </c>
      <c r="M3399" t="s">
        <v>42051</v>
      </c>
      <c r="N3399" t="s">
        <v>44759</v>
      </c>
      <c r="O3399" t="s">
        <v>44760</v>
      </c>
      <c r="P3399">
        <v>0</v>
      </c>
      <c r="Q3399">
        <v>0</v>
      </c>
      <c r="R3399" t="s">
        <v>44762</v>
      </c>
      <c r="S3399" t="s">
        <v>44863</v>
      </c>
      <c r="T3399" t="s">
        <v>46375</v>
      </c>
      <c r="U3399" t="s">
        <v>49847</v>
      </c>
      <c r="W3399" t="s">
        <v>42051</v>
      </c>
      <c r="X3399" t="s">
        <v>44763</v>
      </c>
    </row>
    <row r="3400" spans="1:24">
      <c r="A3400">
        <f>HYPERLINK("https://www.philgeps.gov.ph/GEPSNONPILOT/Tender/SplashBidNoticeAbstractUI.aspx?menuIndex=3&amp;refID=7149896&amp;Result=3","7149896")</f>
        <v>0</v>
      </c>
      <c r="B3400" t="s">
        <v>448</v>
      </c>
      <c r="C3400" t="s">
        <v>7008</v>
      </c>
      <c r="D3400" t="s">
        <v>17987</v>
      </c>
      <c r="E3400" t="s">
        <v>21097</v>
      </c>
      <c r="F3400" t="s">
        <v>30900</v>
      </c>
      <c r="G3400" t="s">
        <v>30908</v>
      </c>
      <c r="H3400" t="s">
        <v>30916</v>
      </c>
      <c r="I3400" t="s">
        <v>10847</v>
      </c>
      <c r="J3400" t="s">
        <v>33446</v>
      </c>
      <c r="K3400" t="s">
        <v>40287</v>
      </c>
      <c r="M3400" t="s">
        <v>41005</v>
      </c>
      <c r="N3400" t="s">
        <v>44759</v>
      </c>
      <c r="O3400" t="s">
        <v>44760</v>
      </c>
      <c r="P3400">
        <v>0</v>
      </c>
      <c r="Q3400">
        <v>0</v>
      </c>
      <c r="R3400" t="s">
        <v>44762</v>
      </c>
      <c r="S3400" t="s">
        <v>44863</v>
      </c>
      <c r="T3400" t="s">
        <v>46470</v>
      </c>
      <c r="U3400" t="s">
        <v>49848</v>
      </c>
      <c r="W3400" t="s">
        <v>41005</v>
      </c>
      <c r="X3400" t="s">
        <v>44763</v>
      </c>
    </row>
    <row r="3401" spans="1:24">
      <c r="A3401">
        <f>HYPERLINK("https://www.philgeps.gov.ph/GEPSNONPILOT/Tender/SplashBidNoticeAbstractUI.aspx?menuIndex=3&amp;refID=7149913&amp;Result=3","7149913")</f>
        <v>0</v>
      </c>
      <c r="B3401" t="s">
        <v>1411</v>
      </c>
      <c r="C3401" t="s">
        <v>6988</v>
      </c>
      <c r="D3401" t="s">
        <v>17979</v>
      </c>
      <c r="E3401" t="s">
        <v>21098</v>
      </c>
      <c r="F3401" t="s">
        <v>30900</v>
      </c>
      <c r="G3401" t="s">
        <v>30908</v>
      </c>
      <c r="H3401" t="s">
        <v>30916</v>
      </c>
      <c r="I3401" t="s">
        <v>8123</v>
      </c>
      <c r="J3401" t="s">
        <v>33447</v>
      </c>
      <c r="K3401" t="s">
        <v>40289</v>
      </c>
      <c r="M3401" t="s">
        <v>42040</v>
      </c>
      <c r="N3401" t="s">
        <v>44759</v>
      </c>
      <c r="O3401" t="s">
        <v>44760</v>
      </c>
      <c r="P3401">
        <v>0</v>
      </c>
      <c r="Q3401">
        <v>0</v>
      </c>
      <c r="R3401" t="s">
        <v>44762</v>
      </c>
      <c r="S3401" t="s">
        <v>44863</v>
      </c>
      <c r="T3401" t="s">
        <v>46410</v>
      </c>
      <c r="U3401" t="s">
        <v>49849</v>
      </c>
      <c r="W3401" t="s">
        <v>42040</v>
      </c>
      <c r="X3401" t="s">
        <v>44763</v>
      </c>
    </row>
    <row r="3402" spans="1:24">
      <c r="A3402">
        <f>HYPERLINK("https://www.philgeps.gov.ph/GEPSNONPILOT/Tender/SplashBidNoticeAbstractUI.aspx?menuIndex=3&amp;refID=7149910&amp;Result=3","7149910")</f>
        <v>0</v>
      </c>
      <c r="B3402" t="s">
        <v>1422</v>
      </c>
      <c r="C3402" t="s">
        <v>7009</v>
      </c>
      <c r="D3402" t="s">
        <v>17974</v>
      </c>
      <c r="E3402" t="s">
        <v>21099</v>
      </c>
      <c r="F3402" t="s">
        <v>30900</v>
      </c>
      <c r="G3402" t="s">
        <v>30907</v>
      </c>
      <c r="H3402" t="s">
        <v>30916</v>
      </c>
      <c r="I3402" t="s">
        <v>8123</v>
      </c>
      <c r="J3402" t="s">
        <v>33448</v>
      </c>
      <c r="K3402" t="s">
        <v>40286</v>
      </c>
      <c r="M3402" t="s">
        <v>42052</v>
      </c>
      <c r="N3402" t="s">
        <v>44759</v>
      </c>
      <c r="O3402" t="s">
        <v>44760</v>
      </c>
      <c r="P3402">
        <v>0</v>
      </c>
      <c r="Q3402">
        <v>0</v>
      </c>
      <c r="R3402" t="s">
        <v>44762</v>
      </c>
      <c r="S3402" t="s">
        <v>44863</v>
      </c>
      <c r="T3402" t="s">
        <v>46377</v>
      </c>
      <c r="U3402" t="s">
        <v>49850</v>
      </c>
      <c r="W3402" t="s">
        <v>42052</v>
      </c>
      <c r="X3402" t="s">
        <v>44763</v>
      </c>
    </row>
    <row r="3403" spans="1:24">
      <c r="A3403">
        <f>HYPERLINK("https://www.philgeps.gov.ph/GEPSNONPILOT/Tender/SplashBidNoticeAbstractUI.aspx?menuIndex=3&amp;refID=7149909&amp;Result=3","7149909")</f>
        <v>0</v>
      </c>
      <c r="B3403" t="s">
        <v>1423</v>
      </c>
      <c r="C3403" t="s">
        <v>7010</v>
      </c>
      <c r="D3403" t="s">
        <v>18013</v>
      </c>
      <c r="E3403" t="s">
        <v>21100</v>
      </c>
      <c r="F3403" t="s">
        <v>30900</v>
      </c>
      <c r="G3403" t="s">
        <v>30907</v>
      </c>
      <c r="H3403" t="s">
        <v>30916</v>
      </c>
      <c r="I3403" t="s">
        <v>30924</v>
      </c>
      <c r="J3403" t="s">
        <v>33449</v>
      </c>
      <c r="K3403" t="s">
        <v>40289</v>
      </c>
      <c r="M3403" t="s">
        <v>42053</v>
      </c>
      <c r="N3403" t="s">
        <v>44759</v>
      </c>
      <c r="O3403" t="s">
        <v>44760</v>
      </c>
      <c r="P3403">
        <v>0</v>
      </c>
      <c r="Q3403">
        <v>1</v>
      </c>
      <c r="R3403" t="s">
        <v>44762</v>
      </c>
      <c r="S3403" t="s">
        <v>44863</v>
      </c>
      <c r="T3403" t="s">
        <v>46633</v>
      </c>
      <c r="U3403" t="s">
        <v>49851</v>
      </c>
      <c r="V3403" t="s">
        <v>59500</v>
      </c>
      <c r="W3403" t="s">
        <v>42053</v>
      </c>
      <c r="X3403" t="s">
        <v>44763</v>
      </c>
    </row>
    <row r="3404" spans="1:24">
      <c r="A3404">
        <f>HYPERLINK("https://www.philgeps.gov.ph/GEPSNONPILOT/Tender/SplashBidNoticeAbstractUI.aspx?menuIndex=3&amp;refID=7149908&amp;Result=3","7149908")</f>
        <v>0</v>
      </c>
      <c r="B3404" t="s">
        <v>624</v>
      </c>
      <c r="C3404" t="s">
        <v>7011</v>
      </c>
      <c r="D3404" t="s">
        <v>17977</v>
      </c>
      <c r="E3404" t="s">
        <v>21101</v>
      </c>
      <c r="F3404" t="s">
        <v>30900</v>
      </c>
      <c r="G3404" t="s">
        <v>30908</v>
      </c>
      <c r="H3404" t="s">
        <v>30916</v>
      </c>
      <c r="I3404" t="s">
        <v>10847</v>
      </c>
      <c r="J3404" t="s">
        <v>32994</v>
      </c>
      <c r="K3404" t="s">
        <v>40289</v>
      </c>
      <c r="M3404" t="s">
        <v>41186</v>
      </c>
      <c r="N3404" t="s">
        <v>44759</v>
      </c>
      <c r="O3404" t="s">
        <v>44760</v>
      </c>
      <c r="P3404">
        <v>0</v>
      </c>
      <c r="Q3404">
        <v>0</v>
      </c>
      <c r="R3404" t="s">
        <v>44762</v>
      </c>
      <c r="S3404" t="s">
        <v>44863</v>
      </c>
      <c r="T3404" t="s">
        <v>46351</v>
      </c>
      <c r="U3404" t="s">
        <v>48040</v>
      </c>
      <c r="W3404" t="s">
        <v>41186</v>
      </c>
      <c r="X3404" t="s">
        <v>44763</v>
      </c>
    </row>
    <row r="3405" spans="1:24">
      <c r="A3405">
        <f>HYPERLINK("https://www.philgeps.gov.ph/GEPSNONPILOT/Tender/SplashBidNoticeAbstractUI.aspx?menuIndex=3&amp;refID=7149888&amp;Result=3","7149888")</f>
        <v>0</v>
      </c>
      <c r="B3405" t="s">
        <v>1424</v>
      </c>
      <c r="C3405" t="s">
        <v>7012</v>
      </c>
      <c r="D3405" t="s">
        <v>17976</v>
      </c>
      <c r="E3405" t="s">
        <v>21102</v>
      </c>
      <c r="F3405" t="s">
        <v>30900</v>
      </c>
      <c r="G3405" t="s">
        <v>30908</v>
      </c>
      <c r="H3405" t="s">
        <v>30916</v>
      </c>
      <c r="I3405" t="s">
        <v>8044</v>
      </c>
      <c r="J3405" t="s">
        <v>33450</v>
      </c>
      <c r="K3405" t="s">
        <v>40288</v>
      </c>
      <c r="M3405" t="s">
        <v>42054</v>
      </c>
      <c r="N3405" t="s">
        <v>44759</v>
      </c>
      <c r="O3405" t="s">
        <v>44760</v>
      </c>
      <c r="P3405">
        <v>0</v>
      </c>
      <c r="Q3405">
        <v>0</v>
      </c>
      <c r="R3405" t="s">
        <v>44762</v>
      </c>
      <c r="S3405" t="s">
        <v>44863</v>
      </c>
      <c r="T3405" t="s">
        <v>46457</v>
      </c>
      <c r="U3405" t="s">
        <v>49852</v>
      </c>
      <c r="V3405" t="s">
        <v>59200</v>
      </c>
      <c r="W3405" t="s">
        <v>42054</v>
      </c>
      <c r="X3405" t="s">
        <v>44763</v>
      </c>
    </row>
    <row r="3406" spans="1:24">
      <c r="A3406">
        <f>HYPERLINK("https://www.philgeps.gov.ph/GEPSNONPILOT/Tender/SplashBidNoticeAbstractUI.aspx?menuIndex=3&amp;refID=7149907&amp;Result=3","7149907")</f>
        <v>0</v>
      </c>
      <c r="B3406" t="s">
        <v>1296</v>
      </c>
      <c r="C3406" t="s">
        <v>7013</v>
      </c>
      <c r="D3406" t="s">
        <v>18019</v>
      </c>
      <c r="E3406" t="s">
        <v>21103</v>
      </c>
      <c r="F3406" t="s">
        <v>30900</v>
      </c>
      <c r="G3406" t="s">
        <v>30908</v>
      </c>
      <c r="H3406" t="s">
        <v>30916</v>
      </c>
      <c r="I3406" t="s">
        <v>8123</v>
      </c>
      <c r="J3406" t="s">
        <v>33451</v>
      </c>
      <c r="K3406" t="s">
        <v>40287</v>
      </c>
      <c r="M3406" t="s">
        <v>41913</v>
      </c>
      <c r="N3406" t="s">
        <v>44759</v>
      </c>
      <c r="O3406" t="s">
        <v>44760</v>
      </c>
      <c r="P3406">
        <v>0</v>
      </c>
      <c r="Q3406">
        <v>0</v>
      </c>
      <c r="R3406" t="s">
        <v>44762</v>
      </c>
      <c r="S3406" t="s">
        <v>44863</v>
      </c>
      <c r="T3406" t="s">
        <v>46457</v>
      </c>
      <c r="U3406" t="s">
        <v>49557</v>
      </c>
      <c r="V3406" t="s">
        <v>59501</v>
      </c>
      <c r="W3406" t="s">
        <v>41913</v>
      </c>
      <c r="X3406" t="s">
        <v>44763</v>
      </c>
    </row>
    <row r="3407" spans="1:24">
      <c r="A3407">
        <f>HYPERLINK("https://www.philgeps.gov.ph/GEPSNONPILOT/Tender/SplashBidNoticeAbstractUI.aspx?menuIndex=3&amp;refID=7149905&amp;Result=3","7149905")</f>
        <v>0</v>
      </c>
      <c r="B3407" t="s">
        <v>1425</v>
      </c>
      <c r="C3407" t="s">
        <v>7014</v>
      </c>
      <c r="D3407" t="s">
        <v>18029</v>
      </c>
      <c r="E3407" t="s">
        <v>21104</v>
      </c>
      <c r="F3407" t="s">
        <v>30900</v>
      </c>
      <c r="G3407" t="s">
        <v>30908</v>
      </c>
      <c r="H3407" t="s">
        <v>30916</v>
      </c>
      <c r="I3407" t="s">
        <v>30940</v>
      </c>
      <c r="J3407" t="s">
        <v>33452</v>
      </c>
      <c r="K3407" t="s">
        <v>40289</v>
      </c>
      <c r="M3407" t="s">
        <v>42055</v>
      </c>
      <c r="N3407" t="s">
        <v>44759</v>
      </c>
      <c r="O3407" t="s">
        <v>44760</v>
      </c>
      <c r="P3407">
        <v>0</v>
      </c>
      <c r="Q3407">
        <v>0</v>
      </c>
      <c r="R3407" t="s">
        <v>44762</v>
      </c>
      <c r="S3407" t="s">
        <v>44863</v>
      </c>
      <c r="T3407" t="s">
        <v>46414</v>
      </c>
      <c r="U3407" t="s">
        <v>49853</v>
      </c>
      <c r="W3407" t="s">
        <v>42055</v>
      </c>
      <c r="X3407" t="s">
        <v>44763</v>
      </c>
    </row>
    <row r="3408" spans="1:24">
      <c r="A3408">
        <f>HYPERLINK("https://www.philgeps.gov.ph/GEPSNONPILOT/Tender/SplashBidNoticeAbstractUI.aspx?menuIndex=3&amp;refID=7149903&amp;Result=3","7149903")</f>
        <v>0</v>
      </c>
      <c r="B3408" t="s">
        <v>451</v>
      </c>
      <c r="C3408" t="s">
        <v>7015</v>
      </c>
      <c r="D3408" t="s">
        <v>17980</v>
      </c>
      <c r="E3408" t="s">
        <v>21105</v>
      </c>
      <c r="F3408" t="s">
        <v>30900</v>
      </c>
      <c r="G3408" t="s">
        <v>30908</v>
      </c>
      <c r="H3408" t="s">
        <v>30916</v>
      </c>
      <c r="I3408" t="s">
        <v>30929</v>
      </c>
      <c r="J3408" t="s">
        <v>32454</v>
      </c>
      <c r="K3408" t="s">
        <v>40283</v>
      </c>
      <c r="M3408" t="s">
        <v>42056</v>
      </c>
      <c r="N3408" t="s">
        <v>44759</v>
      </c>
      <c r="O3408" t="s">
        <v>44760</v>
      </c>
      <c r="P3408">
        <v>0</v>
      </c>
      <c r="Q3408">
        <v>5</v>
      </c>
      <c r="R3408" t="s">
        <v>44762</v>
      </c>
      <c r="S3408" t="s">
        <v>44863</v>
      </c>
      <c r="T3408" t="s">
        <v>46383</v>
      </c>
      <c r="U3408" t="s">
        <v>49854</v>
      </c>
      <c r="W3408" t="s">
        <v>42056</v>
      </c>
      <c r="X3408" t="s">
        <v>44763</v>
      </c>
    </row>
    <row r="3409" spans="1:24">
      <c r="A3409">
        <f>HYPERLINK("https://www.philgeps.gov.ph/GEPSNONPILOT/Tender/SplashBidNoticeAbstractUI.aspx?menuIndex=3&amp;refID=7149897&amp;Result=3","7149897")</f>
        <v>0</v>
      </c>
      <c r="B3409" t="s">
        <v>115</v>
      </c>
      <c r="C3409" t="s">
        <v>7016</v>
      </c>
      <c r="D3409" t="s">
        <v>17960</v>
      </c>
      <c r="E3409" t="s">
        <v>21106</v>
      </c>
      <c r="F3409" t="s">
        <v>30900</v>
      </c>
      <c r="G3409" t="s">
        <v>30908</v>
      </c>
      <c r="H3409" t="s">
        <v>30916</v>
      </c>
      <c r="I3409" t="s">
        <v>4454</v>
      </c>
      <c r="J3409" t="s">
        <v>33453</v>
      </c>
      <c r="K3409" t="s">
        <v>40286</v>
      </c>
      <c r="M3409" t="s">
        <v>40662</v>
      </c>
      <c r="N3409" t="s">
        <v>44759</v>
      </c>
      <c r="O3409" t="s">
        <v>44760</v>
      </c>
      <c r="P3409">
        <v>0</v>
      </c>
      <c r="Q3409">
        <v>0</v>
      </c>
      <c r="R3409" t="s">
        <v>44762</v>
      </c>
      <c r="S3409" t="s">
        <v>44863</v>
      </c>
      <c r="T3409" t="s">
        <v>46414</v>
      </c>
      <c r="U3409" t="s">
        <v>49855</v>
      </c>
      <c r="V3409" t="s">
        <v>59502</v>
      </c>
      <c r="W3409" t="s">
        <v>40662</v>
      </c>
      <c r="X3409" t="s">
        <v>44763</v>
      </c>
    </row>
    <row r="3410" spans="1:24">
      <c r="A3410">
        <f>HYPERLINK("https://www.philgeps.gov.ph/GEPSNONPILOT/Tender/SplashBidNoticeAbstractUI.aspx?menuIndex=3&amp;refID=7149921&amp;Result=3","7149921")</f>
        <v>0</v>
      </c>
      <c r="B3410" t="s">
        <v>832</v>
      </c>
      <c r="C3410" t="s">
        <v>7017</v>
      </c>
      <c r="D3410" t="s">
        <v>18025</v>
      </c>
      <c r="E3410" t="s">
        <v>21107</v>
      </c>
      <c r="F3410" t="s">
        <v>30900</v>
      </c>
      <c r="G3410" t="s">
        <v>30908</v>
      </c>
      <c r="H3410" t="s">
        <v>30916</v>
      </c>
      <c r="I3410" t="s">
        <v>30963</v>
      </c>
      <c r="J3410" t="s">
        <v>33454</v>
      </c>
      <c r="K3410" t="s">
        <v>40287</v>
      </c>
      <c r="M3410" t="s">
        <v>41405</v>
      </c>
      <c r="N3410" t="s">
        <v>44759</v>
      </c>
      <c r="O3410" t="s">
        <v>44760</v>
      </c>
      <c r="P3410">
        <v>0</v>
      </c>
      <c r="Q3410">
        <v>1</v>
      </c>
      <c r="R3410" t="s">
        <v>44762</v>
      </c>
      <c r="S3410" t="s">
        <v>44863</v>
      </c>
      <c r="T3410" t="s">
        <v>46414</v>
      </c>
      <c r="U3410" t="s">
        <v>49856</v>
      </c>
      <c r="V3410" t="s">
        <v>59494</v>
      </c>
      <c r="W3410" t="s">
        <v>41405</v>
      </c>
      <c r="X3410" t="s">
        <v>44763</v>
      </c>
    </row>
    <row r="3411" spans="1:24">
      <c r="A3411">
        <f>HYPERLINK("https://www.philgeps.gov.ph/GEPSNONPILOT/Tender/SplashBidNoticeAbstractUI.aspx?menuIndex=3&amp;refID=7149886&amp;Result=3","7149886")</f>
        <v>0</v>
      </c>
      <c r="B3411" t="s">
        <v>1358</v>
      </c>
      <c r="C3411" t="s">
        <v>7018</v>
      </c>
      <c r="D3411" t="s">
        <v>17969</v>
      </c>
      <c r="E3411" t="s">
        <v>20397</v>
      </c>
      <c r="F3411" t="s">
        <v>30900</v>
      </c>
      <c r="G3411" t="s">
        <v>30909</v>
      </c>
      <c r="H3411" t="s">
        <v>30916</v>
      </c>
      <c r="I3411" t="s">
        <v>8123</v>
      </c>
      <c r="J3411" t="s">
        <v>33455</v>
      </c>
      <c r="K3411" t="s">
        <v>40283</v>
      </c>
      <c r="M3411" t="s">
        <v>41980</v>
      </c>
      <c r="N3411" t="s">
        <v>44759</v>
      </c>
      <c r="O3411" t="s">
        <v>44760</v>
      </c>
      <c r="P3411">
        <v>0</v>
      </c>
      <c r="Q3411">
        <v>0</v>
      </c>
      <c r="R3411" t="s">
        <v>44762</v>
      </c>
      <c r="S3411" t="s">
        <v>44863</v>
      </c>
      <c r="T3411" t="s">
        <v>46465</v>
      </c>
      <c r="U3411" t="s">
        <v>49857</v>
      </c>
      <c r="W3411" t="s">
        <v>41980</v>
      </c>
      <c r="X3411" t="s">
        <v>44763</v>
      </c>
    </row>
    <row r="3412" spans="1:24">
      <c r="A3412">
        <f>HYPERLINK("https://www.philgeps.gov.ph/GEPSNONPILOT/Tender/SplashBidNoticeAbstractUI.aspx?menuIndex=3&amp;refID=7149920&amp;Result=3","7149920")</f>
        <v>0</v>
      </c>
      <c r="B3412" t="s">
        <v>1426</v>
      </c>
      <c r="C3412" t="s">
        <v>7019</v>
      </c>
      <c r="D3412" t="s">
        <v>17962</v>
      </c>
      <c r="E3412" t="s">
        <v>21090</v>
      </c>
      <c r="F3412" t="s">
        <v>30900</v>
      </c>
      <c r="G3412" t="s">
        <v>30907</v>
      </c>
      <c r="H3412" t="s">
        <v>30916</v>
      </c>
      <c r="I3412" t="s">
        <v>8123</v>
      </c>
      <c r="J3412" t="s">
        <v>33456</v>
      </c>
      <c r="K3412" t="s">
        <v>40283</v>
      </c>
      <c r="M3412" t="s">
        <v>42057</v>
      </c>
      <c r="N3412" t="s">
        <v>44759</v>
      </c>
      <c r="O3412" t="s">
        <v>44760</v>
      </c>
      <c r="P3412">
        <v>0</v>
      </c>
      <c r="Q3412">
        <v>0</v>
      </c>
      <c r="R3412" t="s">
        <v>44762</v>
      </c>
      <c r="S3412" t="s">
        <v>44863</v>
      </c>
      <c r="T3412" t="s">
        <v>46409</v>
      </c>
      <c r="U3412" t="s">
        <v>49858</v>
      </c>
      <c r="W3412" t="s">
        <v>42057</v>
      </c>
      <c r="X3412" t="s">
        <v>44763</v>
      </c>
    </row>
    <row r="3413" spans="1:24">
      <c r="A3413">
        <f>HYPERLINK("https://www.philgeps.gov.ph/GEPSNONPILOT/Tender/SplashBidNoticeAbstractUI.aspx?menuIndex=3&amp;refID=7149919&amp;Result=3","7149919")</f>
        <v>0</v>
      </c>
      <c r="B3413" t="s">
        <v>726</v>
      </c>
      <c r="C3413" t="s">
        <v>4013</v>
      </c>
      <c r="D3413" t="s">
        <v>18016</v>
      </c>
      <c r="E3413" t="s">
        <v>21108</v>
      </c>
      <c r="F3413" t="s">
        <v>30900</v>
      </c>
      <c r="G3413" t="s">
        <v>30907</v>
      </c>
      <c r="H3413" t="s">
        <v>30916</v>
      </c>
      <c r="I3413" t="s">
        <v>4142</v>
      </c>
      <c r="J3413" t="s">
        <v>33457</v>
      </c>
      <c r="K3413" t="s">
        <v>40286</v>
      </c>
      <c r="M3413" t="s">
        <v>41290</v>
      </c>
      <c r="N3413" t="s">
        <v>44759</v>
      </c>
      <c r="O3413" t="s">
        <v>44760</v>
      </c>
      <c r="P3413">
        <v>0</v>
      </c>
      <c r="Q3413">
        <v>0</v>
      </c>
      <c r="R3413" t="s">
        <v>44762</v>
      </c>
      <c r="S3413" t="s">
        <v>44863</v>
      </c>
      <c r="T3413" t="s">
        <v>46389</v>
      </c>
      <c r="U3413" t="s">
        <v>49859</v>
      </c>
      <c r="W3413" t="s">
        <v>41290</v>
      </c>
      <c r="X3413" t="s">
        <v>44763</v>
      </c>
    </row>
    <row r="3414" spans="1:24">
      <c r="A3414">
        <f>HYPERLINK("https://www.philgeps.gov.ph/GEPSNONPILOT/Tender/SplashBidNoticeAbstractUI.aspx?menuIndex=3&amp;refID=7149912&amp;Result=3","7149912")</f>
        <v>0</v>
      </c>
      <c r="B3414" t="s">
        <v>47</v>
      </c>
      <c r="C3414" t="s">
        <v>7020</v>
      </c>
      <c r="D3414" t="s">
        <v>17970</v>
      </c>
      <c r="E3414" t="s">
        <v>21109</v>
      </c>
      <c r="F3414" t="s">
        <v>30900</v>
      </c>
      <c r="G3414" t="s">
        <v>30907</v>
      </c>
      <c r="H3414" t="s">
        <v>30916</v>
      </c>
      <c r="I3414" t="s">
        <v>30962</v>
      </c>
      <c r="J3414" t="s">
        <v>31355</v>
      </c>
      <c r="K3414" t="s">
        <v>40291</v>
      </c>
      <c r="L3414" t="s">
        <v>47</v>
      </c>
      <c r="M3414" t="s">
        <v>40593</v>
      </c>
      <c r="N3414" t="s">
        <v>44759</v>
      </c>
      <c r="O3414" t="s">
        <v>44760</v>
      </c>
      <c r="P3414">
        <v>0</v>
      </c>
      <c r="Q3414">
        <v>1</v>
      </c>
      <c r="R3414" t="s">
        <v>44762</v>
      </c>
      <c r="S3414" t="s">
        <v>44863</v>
      </c>
      <c r="T3414" t="s">
        <v>46371</v>
      </c>
      <c r="U3414" t="s">
        <v>49860</v>
      </c>
      <c r="V3414" t="s">
        <v>59503</v>
      </c>
      <c r="W3414" t="s">
        <v>40593</v>
      </c>
      <c r="X3414" t="s">
        <v>44763</v>
      </c>
    </row>
    <row r="3415" spans="1:24">
      <c r="A3415">
        <f>HYPERLINK("https://www.philgeps.gov.ph/GEPSNONPILOT/Tender/SplashBidNoticeAbstractUI.aspx?menuIndex=3&amp;refID=7149901&amp;Result=3","7149901")</f>
        <v>0</v>
      </c>
      <c r="B3415" t="s">
        <v>1427</v>
      </c>
      <c r="C3415" t="s">
        <v>7021</v>
      </c>
      <c r="D3415" t="s">
        <v>17994</v>
      </c>
      <c r="E3415" t="s">
        <v>21110</v>
      </c>
      <c r="F3415" t="s">
        <v>30900</v>
      </c>
      <c r="G3415" t="s">
        <v>30908</v>
      </c>
      <c r="H3415" t="s">
        <v>30916</v>
      </c>
      <c r="I3415" t="s">
        <v>4142</v>
      </c>
      <c r="J3415" t="s">
        <v>33458</v>
      </c>
      <c r="K3415" t="s">
        <v>40288</v>
      </c>
      <c r="M3415" t="s">
        <v>42058</v>
      </c>
      <c r="N3415" t="s">
        <v>44759</v>
      </c>
      <c r="O3415" t="s">
        <v>44760</v>
      </c>
      <c r="P3415">
        <v>0</v>
      </c>
      <c r="Q3415">
        <v>2</v>
      </c>
      <c r="R3415" t="s">
        <v>44762</v>
      </c>
      <c r="S3415" t="s">
        <v>44863</v>
      </c>
      <c r="T3415" t="s">
        <v>46414</v>
      </c>
      <c r="U3415" t="s">
        <v>49861</v>
      </c>
      <c r="W3415" t="s">
        <v>42058</v>
      </c>
      <c r="X3415" t="s">
        <v>44763</v>
      </c>
    </row>
    <row r="3416" spans="1:24">
      <c r="A3416">
        <f>HYPERLINK("https://www.philgeps.gov.ph/GEPSNONPILOT/Tender/SplashBidNoticeAbstractUI.aspx?menuIndex=3&amp;refID=7149904&amp;Result=3","7149904")</f>
        <v>0</v>
      </c>
      <c r="B3416" t="s">
        <v>1311</v>
      </c>
      <c r="C3416" t="s">
        <v>7022</v>
      </c>
      <c r="D3416" t="s">
        <v>17963</v>
      </c>
      <c r="E3416" t="s">
        <v>21111</v>
      </c>
      <c r="F3416" t="s">
        <v>30900</v>
      </c>
      <c r="G3416" t="s">
        <v>30907</v>
      </c>
      <c r="H3416" t="s">
        <v>30915</v>
      </c>
      <c r="I3416" t="s">
        <v>30919</v>
      </c>
      <c r="J3416" t="s">
        <v>31153</v>
      </c>
      <c r="K3416" t="s">
        <v>40354</v>
      </c>
      <c r="M3416" t="s">
        <v>41929</v>
      </c>
      <c r="N3416" t="s">
        <v>44759</v>
      </c>
      <c r="O3416" t="s">
        <v>44760</v>
      </c>
      <c r="P3416">
        <v>0</v>
      </c>
      <c r="Q3416">
        <v>0</v>
      </c>
      <c r="R3416" t="s">
        <v>44762</v>
      </c>
      <c r="S3416" t="s">
        <v>44863</v>
      </c>
      <c r="T3416" t="s">
        <v>46380</v>
      </c>
      <c r="U3416" t="s">
        <v>49862</v>
      </c>
      <c r="W3416" t="s">
        <v>41929</v>
      </c>
      <c r="X3416" t="s">
        <v>44763</v>
      </c>
    </row>
    <row r="3417" spans="1:24">
      <c r="A3417">
        <f>HYPERLINK("https://www.philgeps.gov.ph/GEPSNONPILOT/Tender/SplashBidNoticeAbstractUI.aspx?menuIndex=3&amp;refID=7149923&amp;Result=3","7149923")</f>
        <v>0</v>
      </c>
      <c r="B3417" t="s">
        <v>1428</v>
      </c>
      <c r="C3417" t="s">
        <v>7023</v>
      </c>
      <c r="D3417" t="s">
        <v>18017</v>
      </c>
      <c r="E3417" t="s">
        <v>21112</v>
      </c>
      <c r="F3417" t="s">
        <v>30900</v>
      </c>
      <c r="G3417" t="s">
        <v>30908</v>
      </c>
      <c r="H3417" t="s">
        <v>30916</v>
      </c>
      <c r="I3417" t="s">
        <v>4545</v>
      </c>
      <c r="J3417" t="s">
        <v>31043</v>
      </c>
      <c r="K3417" t="s">
        <v>40289</v>
      </c>
      <c r="M3417" t="s">
        <v>42059</v>
      </c>
      <c r="N3417" t="s">
        <v>44759</v>
      </c>
      <c r="O3417" t="s">
        <v>44760</v>
      </c>
      <c r="P3417">
        <v>0</v>
      </c>
      <c r="Q3417">
        <v>0</v>
      </c>
      <c r="R3417" t="s">
        <v>44762</v>
      </c>
      <c r="S3417" t="s">
        <v>44863</v>
      </c>
      <c r="T3417" t="s">
        <v>46390</v>
      </c>
      <c r="U3417" t="s">
        <v>49863</v>
      </c>
      <c r="W3417" t="s">
        <v>42059</v>
      </c>
      <c r="X3417" t="s">
        <v>44763</v>
      </c>
    </row>
    <row r="3418" spans="1:24">
      <c r="A3418">
        <f>HYPERLINK("https://www.philgeps.gov.ph/GEPSNONPILOT/Tender/SplashBidNoticeAbstractUI.aspx?menuIndex=3&amp;refID=7149922&amp;Result=3","7149922")</f>
        <v>0</v>
      </c>
      <c r="B3418" t="s">
        <v>602</v>
      </c>
      <c r="C3418" t="s">
        <v>7024</v>
      </c>
      <c r="D3418" t="s">
        <v>17963</v>
      </c>
      <c r="E3418" t="s">
        <v>21113</v>
      </c>
      <c r="F3418" t="s">
        <v>30900</v>
      </c>
      <c r="G3418" t="s">
        <v>30910</v>
      </c>
      <c r="H3418" t="s">
        <v>30916</v>
      </c>
      <c r="I3418" t="s">
        <v>30939</v>
      </c>
      <c r="J3418" t="s">
        <v>31101</v>
      </c>
      <c r="K3418" t="s">
        <v>40286</v>
      </c>
      <c r="M3418" t="s">
        <v>41163</v>
      </c>
      <c r="N3418" t="s">
        <v>44759</v>
      </c>
      <c r="O3418" t="s">
        <v>44760</v>
      </c>
      <c r="P3418">
        <v>0</v>
      </c>
      <c r="Q3418">
        <v>0</v>
      </c>
      <c r="R3418" t="s">
        <v>44762</v>
      </c>
      <c r="S3418" t="s">
        <v>44863</v>
      </c>
      <c r="T3418" t="s">
        <v>46547</v>
      </c>
      <c r="U3418" t="s">
        <v>49864</v>
      </c>
      <c r="W3418" t="s">
        <v>41163</v>
      </c>
      <c r="X3418" t="s">
        <v>44763</v>
      </c>
    </row>
    <row r="3419" spans="1:24">
      <c r="A3419">
        <f>HYPERLINK("https://www.philgeps.gov.ph/GEPSNONPILOT/Tender/SplashBidNoticeAbstractUI.aspx?menuIndex=3&amp;refID=7149938&amp;Result=3","7149938")</f>
        <v>0</v>
      </c>
      <c r="B3419" t="s">
        <v>1429</v>
      </c>
      <c r="C3419" t="s">
        <v>7025</v>
      </c>
      <c r="D3419" t="s">
        <v>18005</v>
      </c>
      <c r="E3419" t="s">
        <v>21114</v>
      </c>
      <c r="F3419" t="s">
        <v>30900</v>
      </c>
      <c r="G3419" t="s">
        <v>30908</v>
      </c>
      <c r="H3419" t="s">
        <v>30916</v>
      </c>
      <c r="I3419" t="s">
        <v>30955</v>
      </c>
      <c r="J3419" t="s">
        <v>31066</v>
      </c>
      <c r="K3419" t="s">
        <v>40289</v>
      </c>
      <c r="M3419" t="s">
        <v>42060</v>
      </c>
      <c r="N3419" t="s">
        <v>44759</v>
      </c>
      <c r="O3419" t="s">
        <v>44760</v>
      </c>
      <c r="P3419">
        <v>0</v>
      </c>
      <c r="Q3419">
        <v>0</v>
      </c>
      <c r="R3419" t="s">
        <v>44762</v>
      </c>
      <c r="S3419" t="s">
        <v>44863</v>
      </c>
      <c r="T3419" t="s">
        <v>46379</v>
      </c>
      <c r="U3419" t="s">
        <v>49865</v>
      </c>
      <c r="W3419" t="s">
        <v>42060</v>
      </c>
      <c r="X3419" t="s">
        <v>44763</v>
      </c>
    </row>
    <row r="3420" spans="1:24">
      <c r="A3420">
        <f>HYPERLINK("https://www.philgeps.gov.ph/GEPSNONPILOT/Tender/SplashBidNoticeAbstractUI.aspx?menuIndex=3&amp;refID=7149937&amp;Result=3","7149937")</f>
        <v>0</v>
      </c>
      <c r="B3420" t="s">
        <v>515</v>
      </c>
      <c r="C3420" t="s">
        <v>7026</v>
      </c>
      <c r="D3420" t="s">
        <v>17966</v>
      </c>
      <c r="E3420" t="s">
        <v>18578</v>
      </c>
      <c r="F3420" t="s">
        <v>30900</v>
      </c>
      <c r="G3420" t="s">
        <v>30908</v>
      </c>
      <c r="H3420" t="s">
        <v>30917</v>
      </c>
      <c r="I3420" t="s">
        <v>30942</v>
      </c>
      <c r="J3420" t="s">
        <v>33459</v>
      </c>
      <c r="K3420" t="s">
        <v>40347</v>
      </c>
      <c r="M3420" t="s">
        <v>42061</v>
      </c>
      <c r="N3420" t="s">
        <v>44759</v>
      </c>
      <c r="O3420" t="s">
        <v>44760</v>
      </c>
      <c r="P3420">
        <v>0</v>
      </c>
      <c r="Q3420">
        <v>0</v>
      </c>
      <c r="R3420" t="s">
        <v>44762</v>
      </c>
      <c r="S3420" t="s">
        <v>44863</v>
      </c>
      <c r="T3420" t="s">
        <v>46357</v>
      </c>
      <c r="U3420" t="s">
        <v>49866</v>
      </c>
      <c r="W3420" t="s">
        <v>42061</v>
      </c>
      <c r="X3420" t="s">
        <v>44763</v>
      </c>
    </row>
    <row r="3421" spans="1:24">
      <c r="A3421">
        <f>HYPERLINK("https://www.philgeps.gov.ph/GEPSNONPILOT/Tender/SplashBidNoticeAbstractUI.aspx?menuIndex=3&amp;refID=7149900&amp;Result=3","7149900")</f>
        <v>0</v>
      </c>
      <c r="B3421" t="s">
        <v>1393</v>
      </c>
      <c r="C3421" t="s">
        <v>7027</v>
      </c>
      <c r="E3421" t="s">
        <v>21115</v>
      </c>
      <c r="F3421" t="s">
        <v>30900</v>
      </c>
      <c r="G3421" t="s">
        <v>30908</v>
      </c>
      <c r="H3421" t="s">
        <v>30916</v>
      </c>
      <c r="I3421" t="s">
        <v>30999</v>
      </c>
      <c r="J3421" t="s">
        <v>33460</v>
      </c>
      <c r="K3421" t="s">
        <v>40289</v>
      </c>
      <c r="M3421" t="s">
        <v>42018</v>
      </c>
      <c r="N3421" t="s">
        <v>44759</v>
      </c>
      <c r="O3421" t="s">
        <v>44760</v>
      </c>
      <c r="P3421">
        <v>0</v>
      </c>
      <c r="Q3421">
        <v>0</v>
      </c>
      <c r="R3421" t="s">
        <v>44762</v>
      </c>
      <c r="S3421" t="s">
        <v>44863</v>
      </c>
      <c r="T3421" t="s">
        <v>46379</v>
      </c>
      <c r="U3421" t="s">
        <v>47043</v>
      </c>
      <c r="W3421" t="s">
        <v>42018</v>
      </c>
      <c r="X3421" t="s">
        <v>44763</v>
      </c>
    </row>
    <row r="3422" spans="1:24">
      <c r="A3422">
        <f>HYPERLINK("https://www.philgeps.gov.ph/GEPSNONPILOT/Tender/SplashBidNoticeAbstractUI.aspx?menuIndex=3&amp;refID=7149916&amp;Result=3","7149916")</f>
        <v>0</v>
      </c>
      <c r="B3422" t="s">
        <v>1430</v>
      </c>
      <c r="C3422" t="s">
        <v>7028</v>
      </c>
      <c r="D3422" t="s">
        <v>17985</v>
      </c>
      <c r="E3422" t="s">
        <v>21116</v>
      </c>
      <c r="F3422" t="s">
        <v>30900</v>
      </c>
      <c r="G3422" t="s">
        <v>30907</v>
      </c>
      <c r="H3422" t="s">
        <v>30915</v>
      </c>
      <c r="I3422" t="s">
        <v>30919</v>
      </c>
      <c r="J3422" t="s">
        <v>32125</v>
      </c>
      <c r="K3422" t="s">
        <v>40301</v>
      </c>
      <c r="M3422" t="s">
        <v>42062</v>
      </c>
      <c r="N3422" t="s">
        <v>44759</v>
      </c>
      <c r="O3422" t="s">
        <v>44760</v>
      </c>
      <c r="P3422">
        <v>0</v>
      </c>
      <c r="Q3422">
        <v>0</v>
      </c>
      <c r="R3422" t="s">
        <v>44762</v>
      </c>
      <c r="S3422" t="s">
        <v>44863</v>
      </c>
      <c r="T3422" t="s">
        <v>46455</v>
      </c>
      <c r="U3422" t="s">
        <v>49867</v>
      </c>
      <c r="V3422" t="s">
        <v>59504</v>
      </c>
      <c r="W3422" t="s">
        <v>42062</v>
      </c>
      <c r="X3422" t="s">
        <v>44763</v>
      </c>
    </row>
    <row r="3423" spans="1:24">
      <c r="A3423">
        <f>HYPERLINK("https://www.philgeps.gov.ph/GEPSNONPILOT/Tender/SplashBidNoticeAbstractUI.aspx?menuIndex=3&amp;refID=7149932&amp;Result=3","7149932")</f>
        <v>0</v>
      </c>
      <c r="B3423" t="s">
        <v>1235</v>
      </c>
      <c r="C3423" t="s">
        <v>7029</v>
      </c>
      <c r="D3423" t="s">
        <v>18003</v>
      </c>
      <c r="E3423" t="s">
        <v>21117</v>
      </c>
      <c r="F3423" t="s">
        <v>30900</v>
      </c>
      <c r="G3423" t="s">
        <v>30907</v>
      </c>
      <c r="H3423" t="s">
        <v>30915</v>
      </c>
      <c r="I3423" t="s">
        <v>30919</v>
      </c>
      <c r="J3423" t="s">
        <v>33461</v>
      </c>
      <c r="K3423" t="s">
        <v>40293</v>
      </c>
      <c r="M3423" t="s">
        <v>42051</v>
      </c>
      <c r="N3423" t="s">
        <v>44759</v>
      </c>
      <c r="O3423" t="s">
        <v>44760</v>
      </c>
      <c r="P3423">
        <v>0</v>
      </c>
      <c r="Q3423">
        <v>0</v>
      </c>
      <c r="R3423" t="s">
        <v>44762</v>
      </c>
      <c r="S3423" t="s">
        <v>44863</v>
      </c>
      <c r="T3423" t="s">
        <v>46375</v>
      </c>
      <c r="U3423" t="s">
        <v>49868</v>
      </c>
      <c r="W3423" t="s">
        <v>42051</v>
      </c>
      <c r="X3423" t="s">
        <v>44763</v>
      </c>
    </row>
    <row r="3424" spans="1:24">
      <c r="A3424">
        <f>HYPERLINK("https://www.philgeps.gov.ph/GEPSNONPILOT/Tender/SplashBidNoticeAbstractUI.aspx?menuIndex=3&amp;refID=7149939&amp;Result=3","7149939")</f>
        <v>0</v>
      </c>
      <c r="B3424" t="s">
        <v>1431</v>
      </c>
      <c r="C3424" t="s">
        <v>7030</v>
      </c>
      <c r="D3424" t="s">
        <v>17977</v>
      </c>
      <c r="E3424" t="s">
        <v>21118</v>
      </c>
      <c r="F3424" t="s">
        <v>30900</v>
      </c>
      <c r="G3424" t="s">
        <v>30907</v>
      </c>
      <c r="H3424" t="s">
        <v>30916</v>
      </c>
      <c r="I3424" t="s">
        <v>30919</v>
      </c>
      <c r="J3424" t="s">
        <v>31243</v>
      </c>
      <c r="K3424" t="s">
        <v>40288</v>
      </c>
      <c r="M3424" t="s">
        <v>42063</v>
      </c>
      <c r="N3424" t="s">
        <v>44759</v>
      </c>
      <c r="O3424" t="s">
        <v>44760</v>
      </c>
      <c r="P3424">
        <v>0</v>
      </c>
      <c r="Q3424">
        <v>0</v>
      </c>
      <c r="R3424" t="s">
        <v>44762</v>
      </c>
      <c r="S3424" t="s">
        <v>44863</v>
      </c>
      <c r="T3424" t="s">
        <v>46442</v>
      </c>
      <c r="U3424" t="s">
        <v>49869</v>
      </c>
      <c r="V3424" t="s">
        <v>59505</v>
      </c>
      <c r="W3424" t="s">
        <v>42063</v>
      </c>
      <c r="X3424" t="s">
        <v>44763</v>
      </c>
    </row>
    <row r="3425" spans="1:24">
      <c r="A3425">
        <f>HYPERLINK("https://www.philgeps.gov.ph/GEPSNONPILOT/Tender/SplashBidNoticeAbstractUI.aspx?menuIndex=3&amp;refID=7149931&amp;Result=3","7149931")</f>
        <v>0</v>
      </c>
      <c r="B3425" t="s">
        <v>1425</v>
      </c>
      <c r="C3425" t="s">
        <v>7031</v>
      </c>
      <c r="D3425" t="s">
        <v>18029</v>
      </c>
      <c r="E3425" t="s">
        <v>21119</v>
      </c>
      <c r="F3425" t="s">
        <v>30900</v>
      </c>
      <c r="G3425" t="s">
        <v>30908</v>
      </c>
      <c r="H3425" t="s">
        <v>30916</v>
      </c>
      <c r="I3425" t="s">
        <v>30940</v>
      </c>
      <c r="J3425" t="s">
        <v>33193</v>
      </c>
      <c r="K3425" t="s">
        <v>40289</v>
      </c>
      <c r="M3425" t="s">
        <v>42055</v>
      </c>
      <c r="N3425" t="s">
        <v>44759</v>
      </c>
      <c r="O3425" t="s">
        <v>44760</v>
      </c>
      <c r="P3425">
        <v>0</v>
      </c>
      <c r="Q3425">
        <v>0</v>
      </c>
      <c r="R3425" t="s">
        <v>44762</v>
      </c>
      <c r="S3425" t="s">
        <v>44863</v>
      </c>
      <c r="T3425" t="s">
        <v>46414</v>
      </c>
      <c r="U3425" t="s">
        <v>49870</v>
      </c>
      <c r="W3425" t="s">
        <v>42055</v>
      </c>
      <c r="X3425" t="s">
        <v>44763</v>
      </c>
    </row>
    <row r="3426" spans="1:24">
      <c r="A3426">
        <f>HYPERLINK("https://www.philgeps.gov.ph/GEPSNONPILOT/Tender/SplashBidNoticeAbstractUI.aspx?menuIndex=3&amp;refID=7149930&amp;Result=3","7149930")</f>
        <v>0</v>
      </c>
      <c r="B3426" t="s">
        <v>1432</v>
      </c>
      <c r="C3426" t="s">
        <v>6530</v>
      </c>
      <c r="D3426" t="s">
        <v>18025</v>
      </c>
      <c r="E3426" t="s">
        <v>19424</v>
      </c>
      <c r="F3426" t="s">
        <v>30900</v>
      </c>
      <c r="G3426" t="s">
        <v>30908</v>
      </c>
      <c r="H3426" t="s">
        <v>30916</v>
      </c>
      <c r="I3426" t="s">
        <v>4142</v>
      </c>
      <c r="J3426" t="s">
        <v>31204</v>
      </c>
      <c r="K3426" t="s">
        <v>40288</v>
      </c>
      <c r="M3426" t="s">
        <v>42064</v>
      </c>
      <c r="N3426" t="s">
        <v>44759</v>
      </c>
      <c r="O3426" t="s">
        <v>44760</v>
      </c>
      <c r="P3426">
        <v>0</v>
      </c>
      <c r="Q3426">
        <v>6</v>
      </c>
      <c r="R3426" t="s">
        <v>44762</v>
      </c>
      <c r="S3426" t="s">
        <v>44863</v>
      </c>
      <c r="T3426" t="s">
        <v>46412</v>
      </c>
      <c r="U3426" t="s">
        <v>49871</v>
      </c>
      <c r="W3426" t="s">
        <v>42064</v>
      </c>
      <c r="X3426" t="s">
        <v>44763</v>
      </c>
    </row>
    <row r="3427" spans="1:24">
      <c r="A3427">
        <f>HYPERLINK("https://www.philgeps.gov.ph/GEPSNONPILOT/Tender/SplashBidNoticeAbstractUI.aspx?menuIndex=3&amp;refID=7149944&amp;Result=3","7149944")</f>
        <v>0</v>
      </c>
      <c r="B3427" t="s">
        <v>1433</v>
      </c>
      <c r="C3427" t="s">
        <v>7032</v>
      </c>
      <c r="D3427" t="s">
        <v>18000</v>
      </c>
      <c r="E3427" t="s">
        <v>21120</v>
      </c>
      <c r="F3427" t="s">
        <v>30900</v>
      </c>
      <c r="G3427" t="s">
        <v>30908</v>
      </c>
      <c r="H3427" t="s">
        <v>30916</v>
      </c>
      <c r="I3427" t="s">
        <v>8123</v>
      </c>
      <c r="J3427" t="s">
        <v>31751</v>
      </c>
      <c r="K3427" t="s">
        <v>40285</v>
      </c>
      <c r="M3427" t="s">
        <v>42065</v>
      </c>
      <c r="N3427" t="s">
        <v>44759</v>
      </c>
      <c r="O3427" t="s">
        <v>44760</v>
      </c>
      <c r="P3427">
        <v>0</v>
      </c>
      <c r="Q3427">
        <v>0</v>
      </c>
      <c r="R3427" t="s">
        <v>44762</v>
      </c>
      <c r="S3427" t="s">
        <v>44863</v>
      </c>
      <c r="T3427" t="s">
        <v>46414</v>
      </c>
      <c r="U3427" t="s">
        <v>49872</v>
      </c>
      <c r="W3427" t="s">
        <v>42065</v>
      </c>
      <c r="X3427" t="s">
        <v>44763</v>
      </c>
    </row>
    <row r="3428" spans="1:24">
      <c r="A3428">
        <f>HYPERLINK("https://www.philgeps.gov.ph/GEPSNONPILOT/Tender/SplashBidNoticeAbstractUI.aspx?menuIndex=3&amp;refID=7149943&amp;Result=3","7149943")</f>
        <v>0</v>
      </c>
      <c r="B3428" t="s">
        <v>832</v>
      </c>
      <c r="C3428" t="s">
        <v>7033</v>
      </c>
      <c r="D3428" t="s">
        <v>18025</v>
      </c>
      <c r="E3428" t="s">
        <v>21121</v>
      </c>
      <c r="F3428" t="s">
        <v>30900</v>
      </c>
      <c r="G3428" t="s">
        <v>30908</v>
      </c>
      <c r="H3428" t="s">
        <v>30916</v>
      </c>
      <c r="I3428" t="s">
        <v>30963</v>
      </c>
      <c r="J3428" t="s">
        <v>33462</v>
      </c>
      <c r="K3428" t="s">
        <v>40287</v>
      </c>
      <c r="M3428" t="s">
        <v>41405</v>
      </c>
      <c r="N3428" t="s">
        <v>44759</v>
      </c>
      <c r="O3428" t="s">
        <v>44760</v>
      </c>
      <c r="P3428">
        <v>0</v>
      </c>
      <c r="Q3428">
        <v>0</v>
      </c>
      <c r="R3428" t="s">
        <v>44762</v>
      </c>
      <c r="S3428" t="s">
        <v>44863</v>
      </c>
      <c r="T3428" t="s">
        <v>46414</v>
      </c>
      <c r="U3428" t="s">
        <v>49873</v>
      </c>
      <c r="V3428" t="s">
        <v>59494</v>
      </c>
      <c r="W3428" t="s">
        <v>41405</v>
      </c>
      <c r="X3428" t="s">
        <v>44763</v>
      </c>
    </row>
    <row r="3429" spans="1:24">
      <c r="A3429">
        <f>HYPERLINK("https://www.philgeps.gov.ph/GEPSNONPILOT/Tender/SplashBidNoticeAbstractUI.aspx?menuIndex=3&amp;refID=7149941&amp;Result=3","7149941")</f>
        <v>0</v>
      </c>
      <c r="B3429" t="s">
        <v>1119</v>
      </c>
      <c r="C3429" t="s">
        <v>7034</v>
      </c>
      <c r="D3429" t="s">
        <v>17959</v>
      </c>
      <c r="E3429" t="s">
        <v>21122</v>
      </c>
      <c r="F3429" t="s">
        <v>30900</v>
      </c>
      <c r="G3429" t="s">
        <v>30910</v>
      </c>
      <c r="H3429" t="s">
        <v>30916</v>
      </c>
      <c r="I3429" t="s">
        <v>6953</v>
      </c>
      <c r="J3429" t="s">
        <v>33463</v>
      </c>
      <c r="K3429" t="s">
        <v>40283</v>
      </c>
      <c r="M3429" t="s">
        <v>41749</v>
      </c>
      <c r="N3429" t="s">
        <v>44759</v>
      </c>
      <c r="O3429" t="s">
        <v>44760</v>
      </c>
      <c r="P3429">
        <v>0</v>
      </c>
      <c r="Q3429">
        <v>8</v>
      </c>
      <c r="R3429" t="s">
        <v>44762</v>
      </c>
      <c r="S3429" t="s">
        <v>44863</v>
      </c>
      <c r="T3429" t="s">
        <v>46363</v>
      </c>
      <c r="U3429" t="s">
        <v>49074</v>
      </c>
      <c r="V3429" t="s">
        <v>59506</v>
      </c>
      <c r="W3429" t="s">
        <v>41749</v>
      </c>
      <c r="X3429" t="s">
        <v>44763</v>
      </c>
    </row>
    <row r="3430" spans="1:24">
      <c r="A3430">
        <f>HYPERLINK("https://www.philgeps.gov.ph/GEPSNONPILOT/Tender/SplashBidNoticeAbstractUI.aspx?menuIndex=3&amp;refID=7149902&amp;Result=3","7149902")</f>
        <v>0</v>
      </c>
      <c r="B3430" t="s">
        <v>1235</v>
      </c>
      <c r="C3430" t="s">
        <v>7035</v>
      </c>
      <c r="D3430" t="s">
        <v>18003</v>
      </c>
      <c r="E3430" t="s">
        <v>21123</v>
      </c>
      <c r="F3430" t="s">
        <v>30900</v>
      </c>
      <c r="G3430" t="s">
        <v>30907</v>
      </c>
      <c r="H3430" t="s">
        <v>30915</v>
      </c>
      <c r="I3430" t="s">
        <v>30919</v>
      </c>
      <c r="J3430" t="s">
        <v>33464</v>
      </c>
      <c r="K3430" t="s">
        <v>40292</v>
      </c>
      <c r="M3430" t="s">
        <v>42051</v>
      </c>
      <c r="N3430" t="s">
        <v>44759</v>
      </c>
      <c r="O3430" t="s">
        <v>44760</v>
      </c>
      <c r="P3430">
        <v>0</v>
      </c>
      <c r="Q3430">
        <v>0</v>
      </c>
      <c r="R3430" t="s">
        <v>44762</v>
      </c>
      <c r="S3430" t="s">
        <v>44863</v>
      </c>
      <c r="T3430" t="s">
        <v>46375</v>
      </c>
      <c r="U3430" t="s">
        <v>49874</v>
      </c>
      <c r="W3430" t="s">
        <v>42051</v>
      </c>
      <c r="X3430" t="s">
        <v>44763</v>
      </c>
    </row>
    <row r="3431" spans="1:24">
      <c r="A3431">
        <f>HYPERLINK("https://www.philgeps.gov.ph/GEPSNONPILOT/Tender/SplashBidNoticeAbstractUI.aspx?menuIndex=3&amp;refID=7149940&amp;Result=3","7149940")</f>
        <v>0</v>
      </c>
      <c r="B3431" t="s">
        <v>1434</v>
      </c>
      <c r="C3431" t="s">
        <v>7036</v>
      </c>
      <c r="D3431" t="s">
        <v>17985</v>
      </c>
      <c r="E3431" t="s">
        <v>21124</v>
      </c>
      <c r="F3431" t="s">
        <v>30900</v>
      </c>
      <c r="G3431" t="s">
        <v>30908</v>
      </c>
      <c r="H3431" t="s">
        <v>30917</v>
      </c>
      <c r="I3431" t="s">
        <v>8021</v>
      </c>
      <c r="J3431" t="s">
        <v>33465</v>
      </c>
      <c r="K3431" t="s">
        <v>40293</v>
      </c>
      <c r="M3431" t="s">
        <v>42066</v>
      </c>
      <c r="N3431" t="s">
        <v>44759</v>
      </c>
      <c r="O3431" t="s">
        <v>44760</v>
      </c>
      <c r="P3431">
        <v>0</v>
      </c>
      <c r="Q3431">
        <v>0</v>
      </c>
      <c r="R3431" t="s">
        <v>44762</v>
      </c>
      <c r="S3431" t="s">
        <v>44863</v>
      </c>
      <c r="T3431" t="s">
        <v>46414</v>
      </c>
      <c r="U3431" t="s">
        <v>49875</v>
      </c>
      <c r="W3431" t="s">
        <v>42066</v>
      </c>
      <c r="X3431" t="s">
        <v>44763</v>
      </c>
    </row>
    <row r="3432" spans="1:24">
      <c r="A3432">
        <f>HYPERLINK("https://www.philgeps.gov.ph/GEPSNONPILOT/Tender/SplashBidNoticeAbstractUI.aspx?menuIndex=3&amp;refID=7149929&amp;Result=3","7149929")</f>
        <v>0</v>
      </c>
      <c r="B3432" t="s">
        <v>221</v>
      </c>
      <c r="C3432" t="s">
        <v>7037</v>
      </c>
      <c r="D3432" t="s">
        <v>17972</v>
      </c>
      <c r="E3432" t="s">
        <v>18234</v>
      </c>
      <c r="F3432" t="s">
        <v>30900</v>
      </c>
      <c r="G3432" t="s">
        <v>30907</v>
      </c>
      <c r="H3432" t="s">
        <v>30915</v>
      </c>
      <c r="I3432" t="s">
        <v>30919</v>
      </c>
      <c r="J3432" t="s">
        <v>33466</v>
      </c>
      <c r="K3432" t="s">
        <v>40309</v>
      </c>
      <c r="M3432" t="s">
        <v>40768</v>
      </c>
      <c r="N3432" t="s">
        <v>44759</v>
      </c>
      <c r="O3432" t="s">
        <v>44760</v>
      </c>
      <c r="P3432">
        <v>0</v>
      </c>
      <c r="Q3432">
        <v>0</v>
      </c>
      <c r="R3432" t="s">
        <v>44762</v>
      </c>
      <c r="S3432" t="s">
        <v>44863</v>
      </c>
      <c r="T3432" t="s">
        <v>46401</v>
      </c>
      <c r="U3432" t="s">
        <v>49876</v>
      </c>
      <c r="W3432" t="s">
        <v>40768</v>
      </c>
      <c r="X3432" t="s">
        <v>44763</v>
      </c>
    </row>
    <row r="3433" spans="1:24">
      <c r="A3433">
        <f>HYPERLINK("https://www.philgeps.gov.ph/GEPSNONPILOT/Tender/SplashBidNoticeAbstractUI.aspx?menuIndex=3&amp;refID=7149927&amp;Result=3","7149927")</f>
        <v>0</v>
      </c>
      <c r="B3433" t="s">
        <v>943</v>
      </c>
      <c r="C3433" t="s">
        <v>7038</v>
      </c>
      <c r="D3433" t="s">
        <v>17957</v>
      </c>
      <c r="E3433" t="s">
        <v>21125</v>
      </c>
      <c r="F3433" t="s">
        <v>30900</v>
      </c>
      <c r="G3433" t="s">
        <v>30907</v>
      </c>
      <c r="H3433" t="s">
        <v>30915</v>
      </c>
      <c r="I3433" t="s">
        <v>30919</v>
      </c>
      <c r="J3433" t="s">
        <v>33467</v>
      </c>
      <c r="K3433" t="s">
        <v>40292</v>
      </c>
      <c r="M3433" t="s">
        <v>41527</v>
      </c>
      <c r="N3433" t="s">
        <v>44759</v>
      </c>
      <c r="O3433" t="s">
        <v>44760</v>
      </c>
      <c r="P3433">
        <v>0</v>
      </c>
      <c r="Q3433">
        <v>0</v>
      </c>
      <c r="R3433" t="s">
        <v>44762</v>
      </c>
      <c r="S3433" t="s">
        <v>44863</v>
      </c>
      <c r="T3433" t="s">
        <v>46465</v>
      </c>
      <c r="U3433" t="s">
        <v>49683</v>
      </c>
      <c r="W3433" t="s">
        <v>41527</v>
      </c>
      <c r="X3433" t="s">
        <v>44763</v>
      </c>
    </row>
    <row r="3434" spans="1:24">
      <c r="A3434">
        <f>HYPERLINK("https://www.philgeps.gov.ph/GEPSNONPILOT/Tender/SplashBidNoticeAbstractUI.aspx?menuIndex=3&amp;refID=7149933&amp;Result=3","7149933")</f>
        <v>0</v>
      </c>
      <c r="B3434" t="s">
        <v>1435</v>
      </c>
      <c r="C3434" t="s">
        <v>7039</v>
      </c>
      <c r="D3434" t="s">
        <v>17976</v>
      </c>
      <c r="E3434" t="s">
        <v>21126</v>
      </c>
      <c r="F3434" t="s">
        <v>30900</v>
      </c>
      <c r="G3434" t="s">
        <v>30907</v>
      </c>
      <c r="H3434" t="s">
        <v>30916</v>
      </c>
      <c r="I3434" t="s">
        <v>30938</v>
      </c>
      <c r="J3434" t="s">
        <v>31355</v>
      </c>
      <c r="K3434" t="s">
        <v>40346</v>
      </c>
      <c r="M3434" t="s">
        <v>42067</v>
      </c>
      <c r="N3434" t="s">
        <v>44759</v>
      </c>
      <c r="O3434" t="s">
        <v>44760</v>
      </c>
      <c r="P3434">
        <v>0</v>
      </c>
      <c r="Q3434">
        <v>0</v>
      </c>
      <c r="R3434" t="s">
        <v>44762</v>
      </c>
      <c r="S3434" t="s">
        <v>44863</v>
      </c>
      <c r="T3434" t="s">
        <v>46634</v>
      </c>
      <c r="U3434" t="s">
        <v>49877</v>
      </c>
      <c r="W3434" t="s">
        <v>42067</v>
      </c>
      <c r="X3434" t="s">
        <v>44763</v>
      </c>
    </row>
    <row r="3435" spans="1:24">
      <c r="A3435">
        <f>HYPERLINK("https://www.philgeps.gov.ph/GEPSNONPILOT/Tender/SplashBidNoticeAbstractUI.aspx?menuIndex=3&amp;refID=7149945&amp;Result=3","7149945")</f>
        <v>0</v>
      </c>
      <c r="B3435" t="s">
        <v>922</v>
      </c>
      <c r="C3435" t="s">
        <v>7040</v>
      </c>
      <c r="D3435" t="s">
        <v>17985</v>
      </c>
      <c r="E3435" t="s">
        <v>21127</v>
      </c>
      <c r="F3435" t="s">
        <v>30900</v>
      </c>
      <c r="G3435" t="s">
        <v>30908</v>
      </c>
      <c r="H3435" t="s">
        <v>30916</v>
      </c>
      <c r="I3435" t="s">
        <v>30921</v>
      </c>
      <c r="J3435" t="s">
        <v>32569</v>
      </c>
      <c r="K3435" t="s">
        <v>40285</v>
      </c>
      <c r="M3435" t="s">
        <v>41502</v>
      </c>
      <c r="N3435" t="s">
        <v>44759</v>
      </c>
      <c r="O3435" t="s">
        <v>44760</v>
      </c>
      <c r="P3435">
        <v>0</v>
      </c>
      <c r="Q3435">
        <v>0</v>
      </c>
      <c r="R3435" t="s">
        <v>44762</v>
      </c>
      <c r="S3435" t="s">
        <v>44863</v>
      </c>
      <c r="T3435" t="s">
        <v>46457</v>
      </c>
      <c r="U3435" t="s">
        <v>49878</v>
      </c>
      <c r="W3435" t="s">
        <v>41502</v>
      </c>
      <c r="X3435" t="s">
        <v>44763</v>
      </c>
    </row>
    <row r="3436" spans="1:24">
      <c r="A3436">
        <f>HYPERLINK("https://www.philgeps.gov.ph/GEPSNONPILOT/Tender/SplashBidNoticeAbstractUI.aspx?menuIndex=3&amp;refID=7149942&amp;Result=3","7149942")</f>
        <v>0</v>
      </c>
      <c r="B3436" t="s">
        <v>1436</v>
      </c>
      <c r="C3436" t="s">
        <v>7041</v>
      </c>
      <c r="D3436" t="s">
        <v>18017</v>
      </c>
      <c r="E3436" t="s">
        <v>21128</v>
      </c>
      <c r="F3436" t="s">
        <v>30900</v>
      </c>
      <c r="G3436" t="s">
        <v>30907</v>
      </c>
      <c r="H3436" t="s">
        <v>30915</v>
      </c>
      <c r="I3436" t="s">
        <v>30919</v>
      </c>
      <c r="J3436" t="s">
        <v>33468</v>
      </c>
      <c r="K3436" t="s">
        <v>40301</v>
      </c>
      <c r="M3436" t="s">
        <v>42068</v>
      </c>
      <c r="N3436" t="s">
        <v>44759</v>
      </c>
      <c r="O3436" t="s">
        <v>44760</v>
      </c>
      <c r="P3436">
        <v>0</v>
      </c>
      <c r="Q3436">
        <v>0</v>
      </c>
      <c r="R3436" t="s">
        <v>44762</v>
      </c>
      <c r="S3436" t="s">
        <v>44863</v>
      </c>
      <c r="T3436" t="s">
        <v>46394</v>
      </c>
      <c r="U3436" t="s">
        <v>49879</v>
      </c>
      <c r="W3436" t="s">
        <v>42068</v>
      </c>
      <c r="X3436" t="s">
        <v>44763</v>
      </c>
    </row>
    <row r="3437" spans="1:24">
      <c r="A3437">
        <f>HYPERLINK("https://www.philgeps.gov.ph/GEPSNONPILOT/Tender/SplashBidNoticeAbstractUI.aspx?menuIndex=3&amp;refID=7149959&amp;Result=3","7149959")</f>
        <v>0</v>
      </c>
      <c r="B3437" t="s">
        <v>1279</v>
      </c>
      <c r="C3437" t="s">
        <v>7042</v>
      </c>
      <c r="D3437" t="s">
        <v>17963</v>
      </c>
      <c r="E3437" t="s">
        <v>21129</v>
      </c>
      <c r="F3437" t="s">
        <v>30900</v>
      </c>
      <c r="G3437" t="s">
        <v>30907</v>
      </c>
      <c r="H3437" t="s">
        <v>30915</v>
      </c>
      <c r="I3437" t="s">
        <v>30919</v>
      </c>
      <c r="J3437" t="s">
        <v>33469</v>
      </c>
      <c r="K3437" t="s">
        <v>40304</v>
      </c>
      <c r="M3437" t="s">
        <v>41896</v>
      </c>
      <c r="N3437" t="s">
        <v>44759</v>
      </c>
      <c r="O3437" t="s">
        <v>44760</v>
      </c>
      <c r="P3437">
        <v>0</v>
      </c>
      <c r="Q3437">
        <v>0</v>
      </c>
      <c r="R3437" t="s">
        <v>44762</v>
      </c>
      <c r="S3437" t="s">
        <v>44863</v>
      </c>
      <c r="T3437" t="s">
        <v>46550</v>
      </c>
      <c r="U3437" t="s">
        <v>49880</v>
      </c>
      <c r="W3437" t="s">
        <v>41896</v>
      </c>
      <c r="X3437" t="s">
        <v>44763</v>
      </c>
    </row>
    <row r="3438" spans="1:24">
      <c r="A3438">
        <f>HYPERLINK("https://www.philgeps.gov.ph/GEPSNONPILOT/Tender/SplashBidNoticeAbstractUI.aspx?menuIndex=3&amp;refID=7149957&amp;Result=3","7149957")</f>
        <v>0</v>
      </c>
      <c r="B3438" t="s">
        <v>1428</v>
      </c>
      <c r="C3438" t="s">
        <v>7043</v>
      </c>
      <c r="D3438" t="s">
        <v>18017</v>
      </c>
      <c r="E3438" t="s">
        <v>21130</v>
      </c>
      <c r="F3438" t="s">
        <v>30900</v>
      </c>
      <c r="G3438" t="s">
        <v>30908</v>
      </c>
      <c r="H3438" t="s">
        <v>30916</v>
      </c>
      <c r="I3438" t="s">
        <v>31013</v>
      </c>
      <c r="J3438" t="s">
        <v>31105</v>
      </c>
      <c r="K3438" t="s">
        <v>40289</v>
      </c>
      <c r="M3438" t="s">
        <v>42059</v>
      </c>
      <c r="N3438" t="s">
        <v>44759</v>
      </c>
      <c r="O3438" t="s">
        <v>44760</v>
      </c>
      <c r="P3438">
        <v>0</v>
      </c>
      <c r="Q3438">
        <v>6</v>
      </c>
      <c r="R3438" t="s">
        <v>44762</v>
      </c>
      <c r="S3438" t="s">
        <v>44863</v>
      </c>
      <c r="T3438" t="s">
        <v>46420</v>
      </c>
      <c r="U3438" t="s">
        <v>49881</v>
      </c>
      <c r="W3438" t="s">
        <v>42059</v>
      </c>
      <c r="X3438" t="s">
        <v>44763</v>
      </c>
    </row>
    <row r="3439" spans="1:24">
      <c r="A3439">
        <f>HYPERLINK("https://www.philgeps.gov.ph/GEPSNONPILOT/Tender/SplashBidNoticeAbstractUI.aspx?menuIndex=3&amp;refID=7149956&amp;Result=3","7149956")</f>
        <v>0</v>
      </c>
      <c r="B3439" t="s">
        <v>1437</v>
      </c>
      <c r="C3439" t="s">
        <v>7044</v>
      </c>
      <c r="D3439" t="s">
        <v>18004</v>
      </c>
      <c r="E3439" t="s">
        <v>21131</v>
      </c>
      <c r="F3439" t="s">
        <v>30900</v>
      </c>
      <c r="G3439" t="s">
        <v>30908</v>
      </c>
      <c r="H3439" t="s">
        <v>30916</v>
      </c>
      <c r="I3439" t="s">
        <v>6408</v>
      </c>
      <c r="J3439" t="s">
        <v>31049</v>
      </c>
      <c r="K3439" t="s">
        <v>40287</v>
      </c>
      <c r="L3439" t="s">
        <v>1437</v>
      </c>
      <c r="M3439" t="s">
        <v>42069</v>
      </c>
      <c r="N3439" t="s">
        <v>44759</v>
      </c>
      <c r="O3439" t="s">
        <v>44760</v>
      </c>
      <c r="P3439">
        <v>0</v>
      </c>
      <c r="Q3439">
        <v>0</v>
      </c>
      <c r="R3439" t="s">
        <v>44762</v>
      </c>
      <c r="S3439" t="s">
        <v>44863</v>
      </c>
      <c r="T3439" t="s">
        <v>46398</v>
      </c>
      <c r="U3439" t="s">
        <v>49882</v>
      </c>
      <c r="W3439" t="s">
        <v>42069</v>
      </c>
      <c r="X3439" t="s">
        <v>44763</v>
      </c>
    </row>
    <row r="3440" spans="1:24">
      <c r="A3440">
        <f>HYPERLINK("https://www.philgeps.gov.ph/GEPSNONPILOT/Tender/SplashBidNoticeAbstractUI.aspx?menuIndex=3&amp;refID=7149924&amp;Result=3","7149924")</f>
        <v>0</v>
      </c>
      <c r="B3440" t="s">
        <v>115</v>
      </c>
      <c r="C3440" t="s">
        <v>7016</v>
      </c>
      <c r="D3440" t="s">
        <v>17960</v>
      </c>
      <c r="E3440" t="s">
        <v>21132</v>
      </c>
      <c r="F3440" t="s">
        <v>30900</v>
      </c>
      <c r="G3440" t="s">
        <v>30908</v>
      </c>
      <c r="H3440" t="s">
        <v>30916</v>
      </c>
      <c r="I3440" t="s">
        <v>4454</v>
      </c>
      <c r="J3440" t="s">
        <v>31335</v>
      </c>
      <c r="K3440" t="s">
        <v>40286</v>
      </c>
      <c r="M3440" t="s">
        <v>40662</v>
      </c>
      <c r="N3440" t="s">
        <v>44759</v>
      </c>
      <c r="O3440" t="s">
        <v>44760</v>
      </c>
      <c r="P3440">
        <v>0</v>
      </c>
      <c r="Q3440">
        <v>0</v>
      </c>
      <c r="R3440" t="s">
        <v>44762</v>
      </c>
      <c r="S3440" t="s">
        <v>44863</v>
      </c>
      <c r="T3440" t="s">
        <v>46414</v>
      </c>
      <c r="U3440" t="s">
        <v>49883</v>
      </c>
      <c r="V3440" t="s">
        <v>59507</v>
      </c>
      <c r="W3440" t="s">
        <v>40662</v>
      </c>
      <c r="X3440" t="s">
        <v>44763</v>
      </c>
    </row>
    <row r="3441" spans="1:24">
      <c r="A3441">
        <f>HYPERLINK("https://www.philgeps.gov.ph/GEPSNONPILOT/Tender/SplashBidNoticeAbstractUI.aspx?menuIndex=3&amp;refID=7149958&amp;Result=3","7149958")</f>
        <v>0</v>
      </c>
      <c r="B3441" t="s">
        <v>1414</v>
      </c>
      <c r="C3441" t="s">
        <v>7045</v>
      </c>
      <c r="D3441" t="s">
        <v>17977</v>
      </c>
      <c r="E3441" t="s">
        <v>21133</v>
      </c>
      <c r="F3441" t="s">
        <v>30900</v>
      </c>
      <c r="G3441" t="s">
        <v>30908</v>
      </c>
      <c r="H3441" t="s">
        <v>30916</v>
      </c>
      <c r="I3441" t="s">
        <v>9385</v>
      </c>
      <c r="J3441" t="s">
        <v>31204</v>
      </c>
      <c r="K3441" t="s">
        <v>40289</v>
      </c>
      <c r="M3441" t="s">
        <v>42043</v>
      </c>
      <c r="N3441" t="s">
        <v>44759</v>
      </c>
      <c r="O3441" t="s">
        <v>44760</v>
      </c>
      <c r="P3441">
        <v>0</v>
      </c>
      <c r="Q3441">
        <v>5</v>
      </c>
      <c r="R3441" t="s">
        <v>44762</v>
      </c>
      <c r="S3441" t="s">
        <v>44863</v>
      </c>
      <c r="T3441" t="s">
        <v>46410</v>
      </c>
      <c r="U3441" t="s">
        <v>49834</v>
      </c>
      <c r="W3441" t="s">
        <v>42043</v>
      </c>
      <c r="X3441" t="s">
        <v>44763</v>
      </c>
    </row>
    <row r="3442" spans="1:24">
      <c r="A3442">
        <f>HYPERLINK("https://www.philgeps.gov.ph/GEPSNONPILOT/Tender/SplashBidNoticeAbstractUI.aspx?menuIndex=3&amp;refID=7149954&amp;Result=3","7149954")</f>
        <v>0</v>
      </c>
      <c r="B3442" t="s">
        <v>726</v>
      </c>
      <c r="C3442" t="s">
        <v>4013</v>
      </c>
      <c r="D3442" t="s">
        <v>18016</v>
      </c>
      <c r="E3442" t="s">
        <v>21134</v>
      </c>
      <c r="F3442" t="s">
        <v>30900</v>
      </c>
      <c r="G3442" t="s">
        <v>30907</v>
      </c>
      <c r="H3442" t="s">
        <v>30916</v>
      </c>
      <c r="I3442" t="s">
        <v>4142</v>
      </c>
      <c r="J3442" t="s">
        <v>33470</v>
      </c>
      <c r="K3442" t="s">
        <v>40286</v>
      </c>
      <c r="M3442" t="s">
        <v>41290</v>
      </c>
      <c r="N3442" t="s">
        <v>44759</v>
      </c>
      <c r="O3442" t="s">
        <v>44760</v>
      </c>
      <c r="P3442">
        <v>0</v>
      </c>
      <c r="Q3442">
        <v>0</v>
      </c>
      <c r="R3442" t="s">
        <v>44762</v>
      </c>
      <c r="S3442" t="s">
        <v>44863</v>
      </c>
      <c r="T3442" t="s">
        <v>46389</v>
      </c>
      <c r="U3442" t="s">
        <v>49884</v>
      </c>
      <c r="W3442" t="s">
        <v>41290</v>
      </c>
      <c r="X3442" t="s">
        <v>44763</v>
      </c>
    </row>
    <row r="3443" spans="1:24">
      <c r="A3443">
        <f>HYPERLINK("https://www.philgeps.gov.ph/GEPSNONPILOT/Tender/SplashBidNoticeAbstractUI.aspx?menuIndex=3&amp;refID=7149966&amp;Result=3","7149966")</f>
        <v>0</v>
      </c>
      <c r="B3443" t="s">
        <v>1315</v>
      </c>
      <c r="C3443" t="s">
        <v>7046</v>
      </c>
      <c r="D3443" t="s">
        <v>17982</v>
      </c>
      <c r="E3443" t="s">
        <v>21135</v>
      </c>
      <c r="F3443" t="s">
        <v>30900</v>
      </c>
      <c r="G3443" t="s">
        <v>30907</v>
      </c>
      <c r="H3443" t="s">
        <v>30916</v>
      </c>
      <c r="I3443" t="s">
        <v>30924</v>
      </c>
      <c r="J3443" t="s">
        <v>33471</v>
      </c>
      <c r="K3443" t="s">
        <v>40286</v>
      </c>
      <c r="M3443" t="s">
        <v>41933</v>
      </c>
      <c r="N3443" t="s">
        <v>44759</v>
      </c>
      <c r="O3443" t="s">
        <v>44760</v>
      </c>
      <c r="P3443">
        <v>0</v>
      </c>
      <c r="Q3443">
        <v>0</v>
      </c>
      <c r="R3443" t="s">
        <v>44762</v>
      </c>
      <c r="S3443" t="s">
        <v>44863</v>
      </c>
      <c r="T3443" t="s">
        <v>46626</v>
      </c>
      <c r="U3443" t="s">
        <v>49885</v>
      </c>
      <c r="W3443" t="s">
        <v>41933</v>
      </c>
      <c r="X3443" t="s">
        <v>44763</v>
      </c>
    </row>
    <row r="3444" spans="1:24">
      <c r="A3444">
        <f>HYPERLINK("https://www.philgeps.gov.ph/GEPSNONPILOT/Tender/SplashBidNoticeAbstractUI.aspx?menuIndex=3&amp;refID=7149935&amp;Result=3","7149935")</f>
        <v>0</v>
      </c>
      <c r="B3444" t="s">
        <v>1320</v>
      </c>
      <c r="C3444" t="s">
        <v>7047</v>
      </c>
      <c r="D3444" t="s">
        <v>17989</v>
      </c>
      <c r="E3444" t="s">
        <v>21136</v>
      </c>
      <c r="F3444" t="s">
        <v>30900</v>
      </c>
      <c r="G3444" t="s">
        <v>30907</v>
      </c>
      <c r="H3444" t="s">
        <v>30915</v>
      </c>
      <c r="I3444" t="s">
        <v>30919</v>
      </c>
      <c r="J3444" t="s">
        <v>33472</v>
      </c>
      <c r="K3444" t="s">
        <v>40342</v>
      </c>
      <c r="M3444" t="s">
        <v>41939</v>
      </c>
      <c r="N3444" t="s">
        <v>44759</v>
      </c>
      <c r="O3444" t="s">
        <v>44760</v>
      </c>
      <c r="P3444">
        <v>0</v>
      </c>
      <c r="Q3444">
        <v>0</v>
      </c>
      <c r="R3444" t="s">
        <v>44762</v>
      </c>
      <c r="S3444" t="s">
        <v>44863</v>
      </c>
      <c r="T3444" t="s">
        <v>46549</v>
      </c>
      <c r="U3444" t="s">
        <v>49886</v>
      </c>
      <c r="W3444" t="s">
        <v>41939</v>
      </c>
      <c r="X3444" t="s">
        <v>44763</v>
      </c>
    </row>
    <row r="3445" spans="1:24">
      <c r="A3445">
        <f>HYPERLINK("https://www.philgeps.gov.ph/GEPSNONPILOT/Tender/SplashBidNoticeAbstractUI.aspx?menuIndex=3&amp;refID=7149965&amp;Result=3","7149965")</f>
        <v>0</v>
      </c>
      <c r="B3445" t="s">
        <v>217</v>
      </c>
      <c r="C3445" t="s">
        <v>7048</v>
      </c>
      <c r="D3445" t="s">
        <v>17966</v>
      </c>
      <c r="E3445" t="s">
        <v>21137</v>
      </c>
      <c r="F3445" t="s">
        <v>30900</v>
      </c>
      <c r="G3445" t="s">
        <v>30908</v>
      </c>
      <c r="H3445" t="s">
        <v>30916</v>
      </c>
      <c r="I3445" t="s">
        <v>30944</v>
      </c>
      <c r="J3445" t="s">
        <v>31625</v>
      </c>
      <c r="K3445" t="s">
        <v>40284</v>
      </c>
      <c r="M3445" t="s">
        <v>40764</v>
      </c>
      <c r="N3445" t="s">
        <v>44759</v>
      </c>
      <c r="O3445" t="s">
        <v>44760</v>
      </c>
      <c r="P3445">
        <v>0</v>
      </c>
      <c r="Q3445">
        <v>0</v>
      </c>
      <c r="R3445" t="s">
        <v>44762</v>
      </c>
      <c r="S3445" t="s">
        <v>44863</v>
      </c>
      <c r="T3445" t="s">
        <v>46352</v>
      </c>
      <c r="U3445" t="s">
        <v>49887</v>
      </c>
      <c r="W3445" t="s">
        <v>40764</v>
      </c>
      <c r="X3445" t="s">
        <v>44763</v>
      </c>
    </row>
    <row r="3446" spans="1:24">
      <c r="A3446">
        <f>HYPERLINK("https://www.philgeps.gov.ph/GEPSNONPILOT/Tender/SplashBidNoticeAbstractUI.aspx?menuIndex=3&amp;refID=7149961&amp;Result=3","7149961")</f>
        <v>0</v>
      </c>
      <c r="B3446" t="s">
        <v>832</v>
      </c>
      <c r="C3446" t="s">
        <v>7049</v>
      </c>
      <c r="D3446" t="s">
        <v>18025</v>
      </c>
      <c r="E3446" t="s">
        <v>21138</v>
      </c>
      <c r="F3446" t="s">
        <v>30900</v>
      </c>
      <c r="G3446" t="s">
        <v>30908</v>
      </c>
      <c r="H3446" t="s">
        <v>30916</v>
      </c>
      <c r="I3446" t="s">
        <v>30940</v>
      </c>
      <c r="J3446" t="s">
        <v>33473</v>
      </c>
      <c r="K3446" t="s">
        <v>40287</v>
      </c>
      <c r="M3446" t="s">
        <v>41405</v>
      </c>
      <c r="N3446" t="s">
        <v>44759</v>
      </c>
      <c r="O3446" t="s">
        <v>44760</v>
      </c>
      <c r="P3446">
        <v>0</v>
      </c>
      <c r="Q3446">
        <v>0</v>
      </c>
      <c r="R3446" t="s">
        <v>44762</v>
      </c>
      <c r="S3446" t="s">
        <v>44863</v>
      </c>
      <c r="T3446" t="s">
        <v>46414</v>
      </c>
      <c r="U3446" t="s">
        <v>49888</v>
      </c>
      <c r="V3446" t="s">
        <v>59494</v>
      </c>
      <c r="W3446" t="s">
        <v>41405</v>
      </c>
      <c r="X3446" t="s">
        <v>44763</v>
      </c>
    </row>
    <row r="3447" spans="1:24">
      <c r="A3447">
        <f>HYPERLINK("https://www.philgeps.gov.ph/GEPSNONPILOT/Tender/SplashBidNoticeAbstractUI.aspx?menuIndex=3&amp;refID=7149960&amp;Result=3","7149960")</f>
        <v>0</v>
      </c>
      <c r="B3447" t="s">
        <v>1438</v>
      </c>
      <c r="C3447" t="s">
        <v>7050</v>
      </c>
      <c r="D3447" t="s">
        <v>18019</v>
      </c>
      <c r="E3447" t="s">
        <v>19405</v>
      </c>
      <c r="F3447" t="s">
        <v>30900</v>
      </c>
      <c r="G3447" t="s">
        <v>30907</v>
      </c>
      <c r="H3447" t="s">
        <v>30915</v>
      </c>
      <c r="I3447" t="s">
        <v>30919</v>
      </c>
      <c r="J3447" t="s">
        <v>33474</v>
      </c>
      <c r="K3447" t="s">
        <v>40289</v>
      </c>
      <c r="M3447" t="s">
        <v>42070</v>
      </c>
      <c r="N3447" t="s">
        <v>44759</v>
      </c>
      <c r="O3447" t="s">
        <v>44760</v>
      </c>
      <c r="P3447">
        <v>0</v>
      </c>
      <c r="Q3447">
        <v>0</v>
      </c>
      <c r="R3447" t="s">
        <v>44762</v>
      </c>
      <c r="S3447" t="s">
        <v>44863</v>
      </c>
      <c r="T3447" t="s">
        <v>46359</v>
      </c>
      <c r="U3447" t="s">
        <v>49889</v>
      </c>
      <c r="W3447" t="s">
        <v>42070</v>
      </c>
      <c r="X3447" t="s">
        <v>44763</v>
      </c>
    </row>
    <row r="3448" spans="1:24">
      <c r="A3448">
        <f>HYPERLINK("https://www.philgeps.gov.ph/GEPSNONPILOT/Tender/SplashBidNoticeAbstractUI.aspx?menuIndex=3&amp;refID=7149953&amp;Result=3","7149953")</f>
        <v>0</v>
      </c>
      <c r="B3448" t="s">
        <v>1439</v>
      </c>
      <c r="C3448" t="s">
        <v>7051</v>
      </c>
      <c r="D3448" t="s">
        <v>17977</v>
      </c>
      <c r="E3448" t="s">
        <v>21139</v>
      </c>
      <c r="F3448" t="s">
        <v>30900</v>
      </c>
      <c r="G3448" t="s">
        <v>30908</v>
      </c>
      <c r="H3448" t="s">
        <v>30916</v>
      </c>
      <c r="I3448" t="s">
        <v>4004</v>
      </c>
      <c r="J3448" t="s">
        <v>33475</v>
      </c>
      <c r="K3448" t="s">
        <v>40289</v>
      </c>
      <c r="M3448" t="s">
        <v>42071</v>
      </c>
      <c r="N3448" t="s">
        <v>44759</v>
      </c>
      <c r="O3448" t="s">
        <v>44760</v>
      </c>
      <c r="P3448">
        <v>0</v>
      </c>
      <c r="Q3448">
        <v>2</v>
      </c>
      <c r="R3448" t="s">
        <v>44762</v>
      </c>
      <c r="S3448" t="s">
        <v>44863</v>
      </c>
      <c r="T3448" t="s">
        <v>46400</v>
      </c>
      <c r="U3448" t="s">
        <v>49890</v>
      </c>
      <c r="W3448" t="s">
        <v>42071</v>
      </c>
      <c r="X3448" t="s">
        <v>44763</v>
      </c>
    </row>
    <row r="3449" spans="1:24">
      <c r="A3449">
        <f>HYPERLINK("https://www.philgeps.gov.ph/GEPSNONPILOT/Tender/SplashBidNoticeAbstractUI.aspx?menuIndex=3&amp;refID=7149926&amp;Result=3","7149926")</f>
        <v>0</v>
      </c>
      <c r="B3449" t="s">
        <v>1414</v>
      </c>
      <c r="C3449" t="s">
        <v>7052</v>
      </c>
      <c r="D3449" t="s">
        <v>17977</v>
      </c>
      <c r="E3449" t="s">
        <v>21140</v>
      </c>
      <c r="F3449" t="s">
        <v>30900</v>
      </c>
      <c r="G3449" t="s">
        <v>30908</v>
      </c>
      <c r="H3449" t="s">
        <v>30916</v>
      </c>
      <c r="I3449" t="s">
        <v>30933</v>
      </c>
      <c r="J3449" t="s">
        <v>31625</v>
      </c>
      <c r="K3449" t="s">
        <v>40289</v>
      </c>
      <c r="M3449" t="s">
        <v>42043</v>
      </c>
      <c r="N3449" t="s">
        <v>44759</v>
      </c>
      <c r="O3449" t="s">
        <v>44760</v>
      </c>
      <c r="P3449">
        <v>0</v>
      </c>
      <c r="Q3449">
        <v>0</v>
      </c>
      <c r="R3449" t="s">
        <v>44762</v>
      </c>
      <c r="S3449" t="s">
        <v>44863</v>
      </c>
      <c r="T3449" t="s">
        <v>46410</v>
      </c>
      <c r="U3449" t="s">
        <v>49834</v>
      </c>
      <c r="W3449" t="s">
        <v>42043</v>
      </c>
      <c r="X3449" t="s">
        <v>44763</v>
      </c>
    </row>
    <row r="3450" spans="1:24">
      <c r="A3450">
        <f>HYPERLINK("https://www.philgeps.gov.ph/GEPSNONPILOT/Tender/SplashBidNoticeAbstractUI.aspx?menuIndex=3&amp;refID=7149952&amp;Result=3","7149952")</f>
        <v>0</v>
      </c>
      <c r="B3450" t="s">
        <v>723</v>
      </c>
      <c r="C3450" t="s">
        <v>7053</v>
      </c>
      <c r="D3450" t="s">
        <v>17951</v>
      </c>
      <c r="E3450" t="s">
        <v>21141</v>
      </c>
      <c r="F3450" t="s">
        <v>30900</v>
      </c>
      <c r="G3450" t="s">
        <v>30908</v>
      </c>
      <c r="H3450" t="s">
        <v>30916</v>
      </c>
      <c r="I3450" t="s">
        <v>30924</v>
      </c>
      <c r="J3450" t="s">
        <v>31135</v>
      </c>
      <c r="K3450" t="s">
        <v>40285</v>
      </c>
      <c r="M3450" t="s">
        <v>41287</v>
      </c>
      <c r="N3450" t="s">
        <v>44759</v>
      </c>
      <c r="O3450" t="s">
        <v>44760</v>
      </c>
      <c r="P3450">
        <v>0</v>
      </c>
      <c r="Q3450">
        <v>1</v>
      </c>
      <c r="R3450" t="s">
        <v>44762</v>
      </c>
      <c r="S3450" t="s">
        <v>44863</v>
      </c>
      <c r="T3450" t="s">
        <v>46414</v>
      </c>
      <c r="U3450" t="s">
        <v>49891</v>
      </c>
      <c r="W3450" t="s">
        <v>41287</v>
      </c>
      <c r="X3450" t="s">
        <v>44763</v>
      </c>
    </row>
    <row r="3451" spans="1:24">
      <c r="A3451">
        <f>HYPERLINK("https://www.philgeps.gov.ph/GEPSNONPILOT/Tender/SplashBidNoticeAbstractUI.aspx?menuIndex=3&amp;refID=7149964&amp;Result=3","7149964")</f>
        <v>0</v>
      </c>
      <c r="B3451" t="s">
        <v>1440</v>
      </c>
      <c r="C3451" t="s">
        <v>7054</v>
      </c>
      <c r="D3451" t="s">
        <v>18000</v>
      </c>
      <c r="E3451" t="s">
        <v>18282</v>
      </c>
      <c r="F3451" t="s">
        <v>30900</v>
      </c>
      <c r="G3451" t="s">
        <v>30907</v>
      </c>
      <c r="H3451" t="s">
        <v>30916</v>
      </c>
      <c r="I3451" t="s">
        <v>30933</v>
      </c>
      <c r="J3451" t="s">
        <v>31101</v>
      </c>
      <c r="K3451" t="s">
        <v>40286</v>
      </c>
      <c r="M3451" t="s">
        <v>42072</v>
      </c>
      <c r="N3451" t="s">
        <v>44759</v>
      </c>
      <c r="O3451" t="s">
        <v>44760</v>
      </c>
      <c r="P3451">
        <v>0</v>
      </c>
      <c r="Q3451">
        <v>0</v>
      </c>
      <c r="R3451" t="s">
        <v>44762</v>
      </c>
      <c r="S3451" t="s">
        <v>44863</v>
      </c>
      <c r="T3451" t="s">
        <v>46352</v>
      </c>
      <c r="U3451" t="s">
        <v>49892</v>
      </c>
      <c r="W3451" t="s">
        <v>42072</v>
      </c>
      <c r="X3451" t="s">
        <v>44763</v>
      </c>
    </row>
    <row r="3452" spans="1:24">
      <c r="A3452">
        <f>HYPERLINK("https://www.philgeps.gov.ph/GEPSNONPILOT/Tender/SplashBidNoticeAbstractUI.aspx?menuIndex=3&amp;refID=7149928&amp;Result=3","7149928")</f>
        <v>0</v>
      </c>
      <c r="B3452" t="s">
        <v>1298</v>
      </c>
      <c r="C3452" t="s">
        <v>7055</v>
      </c>
      <c r="D3452" t="s">
        <v>18011</v>
      </c>
      <c r="E3452" t="s">
        <v>21142</v>
      </c>
      <c r="F3452" t="s">
        <v>30900</v>
      </c>
      <c r="G3452" t="s">
        <v>30908</v>
      </c>
      <c r="H3452" t="s">
        <v>30916</v>
      </c>
      <c r="I3452" t="s">
        <v>30923</v>
      </c>
      <c r="J3452" t="s">
        <v>31135</v>
      </c>
      <c r="K3452" t="s">
        <v>40285</v>
      </c>
      <c r="M3452" t="s">
        <v>41915</v>
      </c>
      <c r="N3452" t="s">
        <v>44759</v>
      </c>
      <c r="O3452" t="s">
        <v>44760</v>
      </c>
      <c r="P3452">
        <v>0</v>
      </c>
      <c r="Q3452">
        <v>1</v>
      </c>
      <c r="R3452" t="s">
        <v>44762</v>
      </c>
      <c r="S3452" t="s">
        <v>44863</v>
      </c>
      <c r="T3452" t="s">
        <v>46410</v>
      </c>
      <c r="U3452" t="s">
        <v>49561</v>
      </c>
      <c r="W3452" t="s">
        <v>41915</v>
      </c>
      <c r="X3452" t="s">
        <v>44763</v>
      </c>
    </row>
    <row r="3453" spans="1:24">
      <c r="A3453">
        <f>HYPERLINK("https://www.philgeps.gov.ph/GEPSNONPILOT/Tender/SplashBidNoticeAbstractUI.aspx?menuIndex=3&amp;refID=7149914&amp;Result=3","7149914")</f>
        <v>0</v>
      </c>
      <c r="B3453" t="s">
        <v>1370</v>
      </c>
      <c r="C3453" t="s">
        <v>7056</v>
      </c>
      <c r="D3453" t="s">
        <v>17985</v>
      </c>
      <c r="E3453" t="s">
        <v>21143</v>
      </c>
      <c r="F3453" t="s">
        <v>30900</v>
      </c>
      <c r="G3453" t="s">
        <v>30908</v>
      </c>
      <c r="H3453" t="s">
        <v>30916</v>
      </c>
      <c r="I3453" t="s">
        <v>4017</v>
      </c>
      <c r="J3453" t="s">
        <v>33476</v>
      </c>
      <c r="K3453" t="s">
        <v>40287</v>
      </c>
      <c r="M3453" t="s">
        <v>41994</v>
      </c>
      <c r="N3453" t="s">
        <v>44759</v>
      </c>
      <c r="O3453" t="s">
        <v>44760</v>
      </c>
      <c r="P3453">
        <v>0</v>
      </c>
      <c r="Q3453">
        <v>5</v>
      </c>
      <c r="R3453" t="s">
        <v>44762</v>
      </c>
      <c r="S3453" t="s">
        <v>44863</v>
      </c>
      <c r="T3453" t="s">
        <v>46398</v>
      </c>
      <c r="U3453" t="s">
        <v>49733</v>
      </c>
      <c r="W3453" t="s">
        <v>41994</v>
      </c>
      <c r="X3453" t="s">
        <v>44763</v>
      </c>
    </row>
    <row r="3454" spans="1:24">
      <c r="A3454">
        <f>HYPERLINK("https://www.philgeps.gov.ph/GEPSNONPILOT/Tender/SplashBidNoticeAbstractUI.aspx?menuIndex=3&amp;refID=7149947&amp;Result=3","7149947")</f>
        <v>0</v>
      </c>
      <c r="B3454" t="s">
        <v>938</v>
      </c>
      <c r="C3454" t="s">
        <v>7057</v>
      </c>
      <c r="D3454" t="s">
        <v>17959</v>
      </c>
      <c r="E3454" t="s">
        <v>21144</v>
      </c>
      <c r="F3454" t="s">
        <v>30900</v>
      </c>
      <c r="G3454" t="s">
        <v>30908</v>
      </c>
      <c r="H3454" t="s">
        <v>30916</v>
      </c>
      <c r="I3454" t="s">
        <v>9385</v>
      </c>
      <c r="J3454" t="s">
        <v>33477</v>
      </c>
      <c r="K3454" t="s">
        <v>40287</v>
      </c>
      <c r="M3454" t="s">
        <v>41521</v>
      </c>
      <c r="N3454" t="s">
        <v>44759</v>
      </c>
      <c r="O3454" t="s">
        <v>44760</v>
      </c>
      <c r="P3454">
        <v>0</v>
      </c>
      <c r="Q3454">
        <v>1</v>
      </c>
      <c r="R3454" t="s">
        <v>44762</v>
      </c>
      <c r="S3454" t="s">
        <v>44863</v>
      </c>
      <c r="T3454" t="s">
        <v>46457</v>
      </c>
      <c r="U3454" t="s">
        <v>49893</v>
      </c>
      <c r="V3454" t="s">
        <v>59336</v>
      </c>
      <c r="W3454" t="s">
        <v>41521</v>
      </c>
      <c r="X3454" t="s">
        <v>44763</v>
      </c>
    </row>
    <row r="3455" spans="1:24">
      <c r="A3455">
        <f>HYPERLINK("https://www.philgeps.gov.ph/GEPSNONPILOT/Tender/SplashBidNoticeAbstractUI.aspx?menuIndex=3&amp;refID=7149962&amp;Result=3","7149962")</f>
        <v>0</v>
      </c>
      <c r="B3455" t="s">
        <v>1441</v>
      </c>
      <c r="C3455" t="s">
        <v>7058</v>
      </c>
      <c r="E3455" t="s">
        <v>21145</v>
      </c>
      <c r="F3455" t="s">
        <v>30900</v>
      </c>
      <c r="G3455" t="s">
        <v>30908</v>
      </c>
      <c r="H3455" t="s">
        <v>30916</v>
      </c>
      <c r="I3455" t="s">
        <v>30939</v>
      </c>
      <c r="J3455" t="s">
        <v>31179</v>
      </c>
      <c r="K3455" t="s">
        <v>40289</v>
      </c>
      <c r="M3455" t="s">
        <v>42073</v>
      </c>
      <c r="N3455" t="s">
        <v>44759</v>
      </c>
      <c r="O3455" t="s">
        <v>44760</v>
      </c>
      <c r="P3455">
        <v>0</v>
      </c>
      <c r="Q3455">
        <v>0</v>
      </c>
      <c r="R3455" t="s">
        <v>44762</v>
      </c>
      <c r="S3455" t="s">
        <v>44863</v>
      </c>
      <c r="T3455" t="s">
        <v>46470</v>
      </c>
      <c r="U3455" t="s">
        <v>49894</v>
      </c>
      <c r="V3455" t="s">
        <v>59508</v>
      </c>
      <c r="W3455" t="s">
        <v>42073</v>
      </c>
      <c r="X3455" t="s">
        <v>44763</v>
      </c>
    </row>
    <row r="3456" spans="1:24">
      <c r="A3456">
        <f>HYPERLINK("https://www.philgeps.gov.ph/GEPSNONPILOT/Tender/SplashBidNoticeAbstractUI.aspx?menuIndex=3&amp;refID=7149950&amp;Result=3","7149950")</f>
        <v>0</v>
      </c>
      <c r="B3456" t="s">
        <v>115</v>
      </c>
      <c r="C3456" t="s">
        <v>7059</v>
      </c>
      <c r="D3456" t="s">
        <v>17960</v>
      </c>
      <c r="E3456" t="s">
        <v>21146</v>
      </c>
      <c r="F3456" t="s">
        <v>30900</v>
      </c>
      <c r="G3456" t="s">
        <v>30908</v>
      </c>
      <c r="H3456" t="s">
        <v>30916</v>
      </c>
      <c r="I3456" t="s">
        <v>4454</v>
      </c>
      <c r="J3456" t="s">
        <v>33478</v>
      </c>
      <c r="K3456" t="s">
        <v>40286</v>
      </c>
      <c r="M3456" t="s">
        <v>40662</v>
      </c>
      <c r="N3456" t="s">
        <v>44759</v>
      </c>
      <c r="O3456" t="s">
        <v>44760</v>
      </c>
      <c r="P3456">
        <v>0</v>
      </c>
      <c r="Q3456">
        <v>0</v>
      </c>
      <c r="R3456" t="s">
        <v>44762</v>
      </c>
      <c r="S3456" t="s">
        <v>44863</v>
      </c>
      <c r="T3456" t="s">
        <v>46414</v>
      </c>
      <c r="U3456" t="s">
        <v>49895</v>
      </c>
      <c r="W3456" t="s">
        <v>40662</v>
      </c>
      <c r="X3456" t="s">
        <v>44763</v>
      </c>
    </row>
    <row r="3457" spans="1:24">
      <c r="A3457">
        <f>HYPERLINK("https://www.philgeps.gov.ph/GEPSNONPILOT/Tender/SplashBidNoticeAbstractUI.aspx?menuIndex=3&amp;refID=7149991&amp;Result=3","7149991")</f>
        <v>0</v>
      </c>
      <c r="B3457" t="s">
        <v>451</v>
      </c>
      <c r="C3457" t="s">
        <v>7060</v>
      </c>
      <c r="D3457" t="s">
        <v>17980</v>
      </c>
      <c r="E3457" t="s">
        <v>21147</v>
      </c>
      <c r="F3457" t="s">
        <v>30900</v>
      </c>
      <c r="G3457" t="s">
        <v>30908</v>
      </c>
      <c r="H3457" t="s">
        <v>30916</v>
      </c>
      <c r="I3457" t="s">
        <v>30931</v>
      </c>
      <c r="J3457" t="s">
        <v>31247</v>
      </c>
      <c r="K3457" t="s">
        <v>40283</v>
      </c>
      <c r="M3457" t="s">
        <v>42056</v>
      </c>
      <c r="N3457" t="s">
        <v>44759</v>
      </c>
      <c r="O3457" t="s">
        <v>44760</v>
      </c>
      <c r="P3457">
        <v>0</v>
      </c>
      <c r="Q3457">
        <v>0</v>
      </c>
      <c r="R3457" t="s">
        <v>44762</v>
      </c>
      <c r="S3457" t="s">
        <v>44863</v>
      </c>
      <c r="T3457" t="s">
        <v>46383</v>
      </c>
      <c r="U3457" t="s">
        <v>49896</v>
      </c>
      <c r="W3457" t="s">
        <v>42056</v>
      </c>
      <c r="X3457" t="s">
        <v>44763</v>
      </c>
    </row>
    <row r="3458" spans="1:24">
      <c r="A3458">
        <f>HYPERLINK("https://www.philgeps.gov.ph/GEPSNONPILOT/Tender/SplashBidNoticeAbstractUI.aspx?menuIndex=3&amp;refID=7149990&amp;Result=3","7149990")</f>
        <v>0</v>
      </c>
      <c r="B3458" t="s">
        <v>1442</v>
      </c>
      <c r="C3458" t="s">
        <v>7061</v>
      </c>
      <c r="D3458" t="s">
        <v>17957</v>
      </c>
      <c r="E3458" t="s">
        <v>20809</v>
      </c>
      <c r="F3458" t="s">
        <v>30900</v>
      </c>
      <c r="G3458" t="s">
        <v>30909</v>
      </c>
      <c r="H3458" t="s">
        <v>30916</v>
      </c>
      <c r="I3458" t="s">
        <v>4108</v>
      </c>
      <c r="J3458" t="s">
        <v>33479</v>
      </c>
      <c r="K3458" t="s">
        <v>40281</v>
      </c>
      <c r="M3458" t="s">
        <v>42074</v>
      </c>
      <c r="N3458" t="s">
        <v>44759</v>
      </c>
      <c r="O3458" t="s">
        <v>44760</v>
      </c>
      <c r="P3458">
        <v>0</v>
      </c>
      <c r="Q3458">
        <v>0</v>
      </c>
      <c r="R3458" t="s">
        <v>44762</v>
      </c>
      <c r="S3458" t="s">
        <v>44863</v>
      </c>
      <c r="T3458" t="s">
        <v>46612</v>
      </c>
      <c r="U3458" t="s">
        <v>49897</v>
      </c>
      <c r="V3458" t="s">
        <v>59509</v>
      </c>
      <c r="W3458" t="s">
        <v>42074</v>
      </c>
      <c r="X3458" t="s">
        <v>44763</v>
      </c>
    </row>
    <row r="3459" spans="1:24">
      <c r="A3459">
        <f>HYPERLINK("https://www.philgeps.gov.ph/GEPSNONPILOT/Tender/SplashBidNoticeAbstractUI.aspx?menuIndex=3&amp;refID=7149948&amp;Result=3","7149948")</f>
        <v>0</v>
      </c>
      <c r="B3459" t="s">
        <v>1443</v>
      </c>
      <c r="C3459" t="s">
        <v>7062</v>
      </c>
      <c r="D3459" t="s">
        <v>17993</v>
      </c>
      <c r="E3459" t="s">
        <v>21148</v>
      </c>
      <c r="F3459" t="s">
        <v>30900</v>
      </c>
      <c r="G3459" t="s">
        <v>30908</v>
      </c>
      <c r="H3459" t="s">
        <v>30916</v>
      </c>
      <c r="I3459" t="s">
        <v>4108</v>
      </c>
      <c r="J3459" t="s">
        <v>33480</v>
      </c>
      <c r="K3459" t="s">
        <v>40287</v>
      </c>
      <c r="M3459" t="s">
        <v>42075</v>
      </c>
      <c r="N3459" t="s">
        <v>44759</v>
      </c>
      <c r="O3459" t="s">
        <v>44760</v>
      </c>
      <c r="P3459">
        <v>0</v>
      </c>
      <c r="Q3459">
        <v>0</v>
      </c>
      <c r="R3459" t="s">
        <v>44762</v>
      </c>
      <c r="S3459" t="s">
        <v>44863</v>
      </c>
      <c r="T3459" t="s">
        <v>46383</v>
      </c>
      <c r="U3459" t="s">
        <v>49898</v>
      </c>
      <c r="W3459" t="s">
        <v>42075</v>
      </c>
      <c r="X3459" t="s">
        <v>44763</v>
      </c>
    </row>
    <row r="3460" spans="1:24">
      <c r="A3460">
        <f>HYPERLINK("https://www.philgeps.gov.ph/GEPSNONPILOT/Tender/SplashBidNoticeAbstractUI.aspx?menuIndex=3&amp;refID=7149988&amp;Result=3","7149988")</f>
        <v>0</v>
      </c>
      <c r="B3460" t="s">
        <v>1417</v>
      </c>
      <c r="C3460" t="s">
        <v>7063</v>
      </c>
      <c r="D3460" t="s">
        <v>17996</v>
      </c>
      <c r="E3460" t="s">
        <v>21149</v>
      </c>
      <c r="F3460" t="s">
        <v>30900</v>
      </c>
      <c r="G3460" t="s">
        <v>30908</v>
      </c>
      <c r="H3460" t="s">
        <v>30916</v>
      </c>
      <c r="I3460" t="s">
        <v>30923</v>
      </c>
      <c r="J3460" t="s">
        <v>31912</v>
      </c>
      <c r="K3460" t="s">
        <v>40289</v>
      </c>
      <c r="M3460" t="s">
        <v>42046</v>
      </c>
      <c r="N3460" t="s">
        <v>44759</v>
      </c>
      <c r="O3460" t="s">
        <v>44760</v>
      </c>
      <c r="P3460">
        <v>0</v>
      </c>
      <c r="Q3460">
        <v>0</v>
      </c>
      <c r="R3460" t="s">
        <v>44762</v>
      </c>
      <c r="S3460" t="s">
        <v>44863</v>
      </c>
      <c r="T3460" t="s">
        <v>46383</v>
      </c>
      <c r="U3460" t="s">
        <v>49838</v>
      </c>
      <c r="W3460" t="s">
        <v>42046</v>
      </c>
      <c r="X3460" t="s">
        <v>44763</v>
      </c>
    </row>
    <row r="3461" spans="1:24">
      <c r="A3461">
        <f>HYPERLINK("https://www.philgeps.gov.ph/GEPSNONPILOT/Tender/SplashBidNoticeAbstractUI.aspx?menuIndex=3&amp;refID=7149987&amp;Result=3","7149987")</f>
        <v>0</v>
      </c>
      <c r="B3461" t="s">
        <v>335</v>
      </c>
      <c r="C3461" t="s">
        <v>7064</v>
      </c>
      <c r="D3461" t="s">
        <v>17993</v>
      </c>
      <c r="E3461" t="s">
        <v>21150</v>
      </c>
      <c r="F3461" t="s">
        <v>30900</v>
      </c>
      <c r="G3461" t="s">
        <v>30907</v>
      </c>
      <c r="H3461" t="s">
        <v>30916</v>
      </c>
      <c r="I3461" t="s">
        <v>30956</v>
      </c>
      <c r="J3461" t="s">
        <v>31669</v>
      </c>
      <c r="K3461" t="s">
        <v>40286</v>
      </c>
      <c r="M3461" t="s">
        <v>40886</v>
      </c>
      <c r="N3461" t="s">
        <v>44759</v>
      </c>
      <c r="O3461" t="s">
        <v>44760</v>
      </c>
      <c r="P3461">
        <v>0</v>
      </c>
      <c r="Q3461">
        <v>1</v>
      </c>
      <c r="R3461" t="s">
        <v>44762</v>
      </c>
      <c r="S3461" t="s">
        <v>44863</v>
      </c>
      <c r="T3461" t="s">
        <v>46400</v>
      </c>
      <c r="U3461" t="s">
        <v>49899</v>
      </c>
      <c r="W3461" t="s">
        <v>40886</v>
      </c>
      <c r="X3461" t="s">
        <v>44763</v>
      </c>
    </row>
    <row r="3462" spans="1:24">
      <c r="A3462">
        <f>HYPERLINK("https://www.philgeps.gov.ph/GEPSNONPILOT/Tender/SplashBidNoticeAbstractUI.aspx?menuIndex=3&amp;refID=7149911&amp;Result=3","7149911")</f>
        <v>0</v>
      </c>
      <c r="B3462" t="s">
        <v>1444</v>
      </c>
      <c r="C3462" t="s">
        <v>7065</v>
      </c>
      <c r="D3462" t="s">
        <v>17954</v>
      </c>
      <c r="E3462" t="s">
        <v>18306</v>
      </c>
      <c r="F3462" t="s">
        <v>30900</v>
      </c>
      <c r="G3462" t="s">
        <v>30907</v>
      </c>
      <c r="H3462" t="s">
        <v>30916</v>
      </c>
      <c r="I3462" t="s">
        <v>4017</v>
      </c>
      <c r="J3462" t="s">
        <v>33481</v>
      </c>
      <c r="K3462" t="s">
        <v>40284</v>
      </c>
      <c r="M3462" t="s">
        <v>42076</v>
      </c>
      <c r="N3462" t="s">
        <v>44759</v>
      </c>
      <c r="O3462" t="s">
        <v>44760</v>
      </c>
      <c r="P3462">
        <v>0</v>
      </c>
      <c r="Q3462">
        <v>1</v>
      </c>
      <c r="R3462" t="s">
        <v>44762</v>
      </c>
      <c r="S3462" t="s">
        <v>44863</v>
      </c>
      <c r="T3462" t="s">
        <v>46404</v>
      </c>
      <c r="U3462" t="s">
        <v>49900</v>
      </c>
      <c r="W3462" t="s">
        <v>42076</v>
      </c>
      <c r="X3462" t="s">
        <v>44763</v>
      </c>
    </row>
    <row r="3463" spans="1:24">
      <c r="A3463">
        <f>HYPERLINK("https://www.philgeps.gov.ph/GEPSNONPILOT/Tender/SplashBidNoticeAbstractUI.aspx?menuIndex=3&amp;refID=7149986&amp;Result=3","7149986")</f>
        <v>0</v>
      </c>
      <c r="B3463" t="s">
        <v>1445</v>
      </c>
      <c r="C3463" t="s">
        <v>7066</v>
      </c>
      <c r="D3463" t="s">
        <v>17957</v>
      </c>
      <c r="E3463" t="s">
        <v>21151</v>
      </c>
      <c r="F3463" t="s">
        <v>30899</v>
      </c>
      <c r="G3463" t="s">
        <v>30910</v>
      </c>
      <c r="H3463" t="s">
        <v>30916</v>
      </c>
      <c r="I3463" t="s">
        <v>6396</v>
      </c>
      <c r="J3463" t="s">
        <v>33482</v>
      </c>
      <c r="K3463" t="s">
        <v>40287</v>
      </c>
      <c r="L3463" t="s">
        <v>1445</v>
      </c>
      <c r="M3463" t="s">
        <v>42077</v>
      </c>
      <c r="N3463" t="s">
        <v>44759</v>
      </c>
      <c r="O3463" t="s">
        <v>44760</v>
      </c>
      <c r="P3463">
        <v>0</v>
      </c>
      <c r="Q3463">
        <v>2</v>
      </c>
      <c r="R3463" t="s">
        <v>44762</v>
      </c>
      <c r="S3463" t="s">
        <v>44863</v>
      </c>
      <c r="T3463" t="s">
        <v>46409</v>
      </c>
      <c r="U3463" t="s">
        <v>49901</v>
      </c>
      <c r="V3463" t="s">
        <v>59510</v>
      </c>
      <c r="W3463" t="s">
        <v>42077</v>
      </c>
      <c r="X3463" t="s">
        <v>44763</v>
      </c>
    </row>
    <row r="3464" spans="1:24">
      <c r="A3464">
        <f>HYPERLINK("https://www.philgeps.gov.ph/GEPSNONPILOT/Tender/SplashBidNoticeAbstractUI.aspx?menuIndex=3&amp;refID=7149985&amp;Result=3","7149985")</f>
        <v>0</v>
      </c>
      <c r="B3464" t="s">
        <v>1446</v>
      </c>
      <c r="C3464" t="s">
        <v>7067</v>
      </c>
      <c r="D3464" t="s">
        <v>17971</v>
      </c>
      <c r="E3464" t="s">
        <v>21152</v>
      </c>
      <c r="F3464" t="s">
        <v>30900</v>
      </c>
      <c r="G3464" t="s">
        <v>30908</v>
      </c>
      <c r="H3464" t="s">
        <v>30916</v>
      </c>
      <c r="I3464" t="s">
        <v>30927</v>
      </c>
      <c r="J3464" t="s">
        <v>33483</v>
      </c>
      <c r="K3464" t="s">
        <v>40283</v>
      </c>
      <c r="M3464" t="s">
        <v>42078</v>
      </c>
      <c r="N3464" t="s">
        <v>44759</v>
      </c>
      <c r="O3464" t="s">
        <v>44760</v>
      </c>
      <c r="P3464">
        <v>0</v>
      </c>
      <c r="Q3464">
        <v>0</v>
      </c>
      <c r="R3464" t="s">
        <v>44762</v>
      </c>
      <c r="S3464" t="s">
        <v>44863</v>
      </c>
      <c r="T3464" t="s">
        <v>46383</v>
      </c>
      <c r="U3464" t="s">
        <v>49902</v>
      </c>
      <c r="W3464" t="s">
        <v>60861</v>
      </c>
      <c r="X3464" t="s">
        <v>44763</v>
      </c>
    </row>
    <row r="3465" spans="1:24">
      <c r="A3465">
        <f>HYPERLINK("https://www.philgeps.gov.ph/GEPSNONPILOT/Tender/SplashBidNoticeAbstractUI.aspx?menuIndex=3&amp;refID=7149983&amp;Result=3","7149983")</f>
        <v>0</v>
      </c>
      <c r="B3465" t="s">
        <v>573</v>
      </c>
      <c r="C3465" t="s">
        <v>7068</v>
      </c>
      <c r="D3465" t="s">
        <v>18023</v>
      </c>
      <c r="E3465" t="s">
        <v>21153</v>
      </c>
      <c r="F3465" t="s">
        <v>30900</v>
      </c>
      <c r="G3465" t="s">
        <v>30908</v>
      </c>
      <c r="H3465" t="s">
        <v>30916</v>
      </c>
      <c r="I3465" t="s">
        <v>4108</v>
      </c>
      <c r="J3465" t="s">
        <v>33484</v>
      </c>
      <c r="K3465" t="s">
        <v>40283</v>
      </c>
      <c r="M3465" t="s">
        <v>41141</v>
      </c>
      <c r="N3465" t="s">
        <v>44759</v>
      </c>
      <c r="O3465" t="s">
        <v>44760</v>
      </c>
      <c r="P3465">
        <v>0</v>
      </c>
      <c r="Q3465">
        <v>0</v>
      </c>
      <c r="R3465" t="s">
        <v>44762</v>
      </c>
      <c r="S3465" t="s">
        <v>44863</v>
      </c>
      <c r="T3465" t="s">
        <v>46383</v>
      </c>
      <c r="U3465" t="s">
        <v>49903</v>
      </c>
      <c r="V3465" t="s">
        <v>59511</v>
      </c>
      <c r="W3465" t="s">
        <v>41141</v>
      </c>
      <c r="X3465" t="s">
        <v>44763</v>
      </c>
    </row>
    <row r="3466" spans="1:24">
      <c r="A3466">
        <f>HYPERLINK("https://www.philgeps.gov.ph/GEPSNONPILOT/Tender/SplashBidNoticeAbstractUI.aspx?menuIndex=3&amp;refID=7149980&amp;Result=3","7149980")</f>
        <v>0</v>
      </c>
      <c r="B3466" t="s">
        <v>513</v>
      </c>
      <c r="C3466" t="s">
        <v>7069</v>
      </c>
      <c r="D3466" t="s">
        <v>17972</v>
      </c>
      <c r="E3466" t="s">
        <v>21154</v>
      </c>
      <c r="F3466" t="s">
        <v>30900</v>
      </c>
      <c r="G3466" t="s">
        <v>30907</v>
      </c>
      <c r="H3466" t="s">
        <v>30915</v>
      </c>
      <c r="I3466" t="s">
        <v>30919</v>
      </c>
      <c r="J3466" t="s">
        <v>33485</v>
      </c>
      <c r="K3466" t="s">
        <v>40290</v>
      </c>
      <c r="M3466" t="s">
        <v>41073</v>
      </c>
      <c r="N3466" t="s">
        <v>44759</v>
      </c>
      <c r="O3466" t="s">
        <v>44760</v>
      </c>
      <c r="P3466">
        <v>0</v>
      </c>
      <c r="Q3466">
        <v>0</v>
      </c>
      <c r="R3466" t="s">
        <v>44762</v>
      </c>
      <c r="S3466" t="s">
        <v>44863</v>
      </c>
      <c r="T3466" t="s">
        <v>46394</v>
      </c>
      <c r="U3466" t="s">
        <v>49904</v>
      </c>
      <c r="W3466" t="s">
        <v>41073</v>
      </c>
      <c r="X3466" t="s">
        <v>44763</v>
      </c>
    </row>
    <row r="3467" spans="1:24">
      <c r="A3467">
        <f>HYPERLINK("https://www.philgeps.gov.ph/GEPSNONPILOT/Tender/SplashBidNoticeAbstractUI.aspx?menuIndex=3&amp;refID=7149979&amp;Result=3","7149979")</f>
        <v>0</v>
      </c>
      <c r="B3467" t="s">
        <v>1447</v>
      </c>
      <c r="C3467" t="s">
        <v>7070</v>
      </c>
      <c r="D3467" t="s">
        <v>17962</v>
      </c>
      <c r="E3467" t="s">
        <v>18234</v>
      </c>
      <c r="F3467" t="s">
        <v>30900</v>
      </c>
      <c r="G3467" t="s">
        <v>30907</v>
      </c>
      <c r="H3467" t="s">
        <v>30916</v>
      </c>
      <c r="I3467" t="s">
        <v>4108</v>
      </c>
      <c r="J3467" t="s">
        <v>33486</v>
      </c>
      <c r="K3467" t="s">
        <v>40287</v>
      </c>
      <c r="M3467" t="s">
        <v>42079</v>
      </c>
      <c r="N3467" t="s">
        <v>44759</v>
      </c>
      <c r="O3467" t="s">
        <v>44760</v>
      </c>
      <c r="P3467">
        <v>0</v>
      </c>
      <c r="Q3467">
        <v>0</v>
      </c>
      <c r="R3467" t="s">
        <v>44762</v>
      </c>
      <c r="S3467" t="s">
        <v>44863</v>
      </c>
      <c r="T3467" t="s">
        <v>46409</v>
      </c>
      <c r="U3467" t="s">
        <v>47259</v>
      </c>
      <c r="W3467" t="s">
        <v>42079</v>
      </c>
      <c r="X3467" t="s">
        <v>44763</v>
      </c>
    </row>
    <row r="3468" spans="1:24">
      <c r="A3468">
        <f>HYPERLINK("https://www.philgeps.gov.ph/GEPSNONPILOT/Tender/SplashBidNoticeAbstractUI.aspx?menuIndex=3&amp;refID=7149949&amp;Result=3","7149949")</f>
        <v>0</v>
      </c>
      <c r="B3468" t="s">
        <v>1448</v>
      </c>
      <c r="C3468" t="s">
        <v>7071</v>
      </c>
      <c r="D3468" t="s">
        <v>17987</v>
      </c>
      <c r="E3468" t="s">
        <v>18234</v>
      </c>
      <c r="F3468" t="s">
        <v>30900</v>
      </c>
      <c r="G3468" t="s">
        <v>30909</v>
      </c>
      <c r="H3468" t="s">
        <v>30916</v>
      </c>
      <c r="I3468" t="s">
        <v>4142</v>
      </c>
      <c r="J3468" t="s">
        <v>31101</v>
      </c>
      <c r="K3468" t="s">
        <v>40285</v>
      </c>
      <c r="M3468" t="s">
        <v>42080</v>
      </c>
      <c r="N3468" t="s">
        <v>44759</v>
      </c>
      <c r="O3468" t="s">
        <v>44760</v>
      </c>
      <c r="P3468">
        <v>0</v>
      </c>
      <c r="Q3468">
        <v>0</v>
      </c>
      <c r="R3468" t="s">
        <v>44762</v>
      </c>
      <c r="S3468" t="s">
        <v>44863</v>
      </c>
      <c r="T3468" t="s">
        <v>46533</v>
      </c>
      <c r="U3468" t="s">
        <v>49905</v>
      </c>
      <c r="W3468" t="s">
        <v>42080</v>
      </c>
      <c r="X3468" t="s">
        <v>44763</v>
      </c>
    </row>
    <row r="3469" spans="1:24">
      <c r="A3469">
        <f>HYPERLINK("https://www.philgeps.gov.ph/GEPSNONPILOT/Tender/SplashBidNoticeAbstractUI.aspx?menuIndex=3&amp;refID=7149977&amp;Result=3","7149977")</f>
        <v>0</v>
      </c>
      <c r="B3469" t="s">
        <v>1449</v>
      </c>
      <c r="C3469" t="s">
        <v>7072</v>
      </c>
      <c r="D3469" t="s">
        <v>18000</v>
      </c>
      <c r="E3469" t="s">
        <v>18234</v>
      </c>
      <c r="F3469" t="s">
        <v>30900</v>
      </c>
      <c r="G3469" t="s">
        <v>30907</v>
      </c>
      <c r="H3469" t="s">
        <v>30916</v>
      </c>
      <c r="I3469" t="s">
        <v>8123</v>
      </c>
      <c r="J3469" t="s">
        <v>33487</v>
      </c>
      <c r="K3469" t="s">
        <v>40283</v>
      </c>
      <c r="M3469" t="s">
        <v>42081</v>
      </c>
      <c r="N3469" t="s">
        <v>44759</v>
      </c>
      <c r="O3469" t="s">
        <v>44760</v>
      </c>
      <c r="P3469">
        <v>0</v>
      </c>
      <c r="Q3469">
        <v>0</v>
      </c>
      <c r="R3469" t="s">
        <v>44762</v>
      </c>
      <c r="S3469" t="s">
        <v>44863</v>
      </c>
      <c r="T3469" t="s">
        <v>46409</v>
      </c>
      <c r="U3469" t="s">
        <v>49906</v>
      </c>
      <c r="W3469" t="s">
        <v>42081</v>
      </c>
      <c r="X3469" t="s">
        <v>44763</v>
      </c>
    </row>
    <row r="3470" spans="1:24">
      <c r="A3470">
        <f>HYPERLINK("https://www.philgeps.gov.ph/GEPSNONPILOT/Tender/SplashBidNoticeAbstractUI.aspx?menuIndex=3&amp;refID=7149989&amp;Result=3","7149989")</f>
        <v>0</v>
      </c>
      <c r="B3470" t="s">
        <v>1450</v>
      </c>
      <c r="C3470" t="s">
        <v>7073</v>
      </c>
      <c r="D3470" t="s">
        <v>17975</v>
      </c>
      <c r="E3470" t="s">
        <v>21155</v>
      </c>
      <c r="F3470" t="s">
        <v>30900</v>
      </c>
      <c r="G3470" t="s">
        <v>30908</v>
      </c>
      <c r="H3470" t="s">
        <v>30916</v>
      </c>
      <c r="I3470" t="s">
        <v>4004</v>
      </c>
      <c r="J3470" t="s">
        <v>33488</v>
      </c>
      <c r="K3470" t="s">
        <v>40314</v>
      </c>
      <c r="M3470" t="s">
        <v>42082</v>
      </c>
      <c r="N3470" t="s">
        <v>44759</v>
      </c>
      <c r="O3470" t="s">
        <v>44760</v>
      </c>
      <c r="P3470">
        <v>0</v>
      </c>
      <c r="Q3470">
        <v>1</v>
      </c>
      <c r="R3470" t="s">
        <v>44762</v>
      </c>
      <c r="S3470" t="s">
        <v>44863</v>
      </c>
      <c r="T3470" t="s">
        <v>46414</v>
      </c>
      <c r="U3470" t="s">
        <v>49907</v>
      </c>
      <c r="W3470" t="s">
        <v>60862</v>
      </c>
      <c r="X3470" t="s">
        <v>44763</v>
      </c>
    </row>
    <row r="3471" spans="1:24">
      <c r="A3471">
        <f>HYPERLINK("https://www.philgeps.gov.ph/GEPSNONPILOT/Tender/SplashBidNoticeAbstractUI.aspx?menuIndex=3&amp;refID=7149973&amp;Result=3","7149973")</f>
        <v>0</v>
      </c>
      <c r="B3471" t="s">
        <v>128</v>
      </c>
      <c r="C3471" t="s">
        <v>7074</v>
      </c>
      <c r="D3471" t="s">
        <v>18000</v>
      </c>
      <c r="E3471" t="s">
        <v>21156</v>
      </c>
      <c r="F3471" t="s">
        <v>30900</v>
      </c>
      <c r="G3471" t="s">
        <v>30909</v>
      </c>
      <c r="H3471" t="s">
        <v>30916</v>
      </c>
      <c r="I3471" t="s">
        <v>30955</v>
      </c>
      <c r="J3471" t="s">
        <v>31049</v>
      </c>
      <c r="K3471" t="s">
        <v>40283</v>
      </c>
      <c r="M3471" t="s">
        <v>40675</v>
      </c>
      <c r="N3471" t="s">
        <v>44759</v>
      </c>
      <c r="O3471" t="s">
        <v>44760</v>
      </c>
      <c r="P3471">
        <v>0</v>
      </c>
      <c r="Q3471">
        <v>1</v>
      </c>
      <c r="R3471" t="s">
        <v>44762</v>
      </c>
      <c r="S3471" t="s">
        <v>44863</v>
      </c>
      <c r="T3471" t="s">
        <v>46376</v>
      </c>
      <c r="U3471" t="s">
        <v>49908</v>
      </c>
      <c r="V3471" t="s">
        <v>59119</v>
      </c>
      <c r="W3471" t="s">
        <v>40675</v>
      </c>
      <c r="X3471" t="s">
        <v>44763</v>
      </c>
    </row>
    <row r="3472" spans="1:24">
      <c r="A3472">
        <f>HYPERLINK("https://www.philgeps.gov.ph/GEPSNONPILOT/Tender/SplashBidNoticeAbstractUI.aspx?menuIndex=3&amp;refID=7149982&amp;Result=3","7149982")</f>
        <v>0</v>
      </c>
      <c r="B3472" t="s">
        <v>44</v>
      </c>
      <c r="C3472" t="s">
        <v>7075</v>
      </c>
      <c r="D3472" t="s">
        <v>17969</v>
      </c>
      <c r="E3472" t="s">
        <v>21157</v>
      </c>
      <c r="F3472" t="s">
        <v>30900</v>
      </c>
      <c r="G3472" t="s">
        <v>30908</v>
      </c>
      <c r="H3472" t="s">
        <v>30916</v>
      </c>
      <c r="I3472" t="s">
        <v>30943</v>
      </c>
      <c r="J3472" t="s">
        <v>32794</v>
      </c>
      <c r="K3472" t="s">
        <v>40289</v>
      </c>
      <c r="M3472" t="s">
        <v>41947</v>
      </c>
      <c r="N3472" t="s">
        <v>44759</v>
      </c>
      <c r="O3472" t="s">
        <v>44760</v>
      </c>
      <c r="P3472">
        <v>0</v>
      </c>
      <c r="Q3472">
        <v>1</v>
      </c>
      <c r="R3472" t="s">
        <v>44762</v>
      </c>
      <c r="S3472" t="s">
        <v>44863</v>
      </c>
      <c r="T3472" t="s">
        <v>46412</v>
      </c>
      <c r="U3472" t="s">
        <v>49909</v>
      </c>
      <c r="W3472" t="s">
        <v>41947</v>
      </c>
      <c r="X3472" t="s">
        <v>44763</v>
      </c>
    </row>
    <row r="3473" spans="1:24">
      <c r="A3473">
        <f>HYPERLINK("https://www.philgeps.gov.ph/GEPSNONPILOT/Tender/SplashBidNoticeAbstractUI.aspx?menuIndex=3&amp;refID=7149970&amp;Result=3","7149970")</f>
        <v>0</v>
      </c>
      <c r="B3473" t="s">
        <v>115</v>
      </c>
      <c r="C3473" t="s">
        <v>7076</v>
      </c>
      <c r="D3473" t="s">
        <v>17960</v>
      </c>
      <c r="E3473" t="s">
        <v>21158</v>
      </c>
      <c r="F3473" t="s">
        <v>30900</v>
      </c>
      <c r="G3473" t="s">
        <v>30908</v>
      </c>
      <c r="H3473" t="s">
        <v>30916</v>
      </c>
      <c r="I3473" t="s">
        <v>4454</v>
      </c>
      <c r="J3473" t="s">
        <v>31043</v>
      </c>
      <c r="K3473" t="s">
        <v>40286</v>
      </c>
      <c r="M3473" t="s">
        <v>40662</v>
      </c>
      <c r="N3473" t="s">
        <v>44759</v>
      </c>
      <c r="O3473" t="s">
        <v>44760</v>
      </c>
      <c r="P3473">
        <v>0</v>
      </c>
      <c r="Q3473">
        <v>0</v>
      </c>
      <c r="R3473" t="s">
        <v>44762</v>
      </c>
      <c r="S3473" t="s">
        <v>44863</v>
      </c>
      <c r="T3473" t="s">
        <v>46414</v>
      </c>
      <c r="U3473" t="s">
        <v>49910</v>
      </c>
      <c r="W3473" t="s">
        <v>40662</v>
      </c>
      <c r="X3473" t="s">
        <v>44763</v>
      </c>
    </row>
    <row r="3474" spans="1:24">
      <c r="A3474">
        <f>HYPERLINK("https://www.philgeps.gov.ph/GEPSNONPILOT/Tender/SplashBidNoticeAbstractUI.aspx?menuIndex=3&amp;refID=7149975&amp;Result=3","7149975")</f>
        <v>0</v>
      </c>
      <c r="B3474" t="s">
        <v>654</v>
      </c>
      <c r="C3474" t="s">
        <v>7077</v>
      </c>
      <c r="D3474" t="s">
        <v>17983</v>
      </c>
      <c r="E3474" t="s">
        <v>21159</v>
      </c>
      <c r="F3474" t="s">
        <v>30900</v>
      </c>
      <c r="G3474" t="s">
        <v>30908</v>
      </c>
      <c r="H3474" t="s">
        <v>30916</v>
      </c>
      <c r="I3474" t="s">
        <v>4108</v>
      </c>
      <c r="J3474" t="s">
        <v>33489</v>
      </c>
      <c r="K3474" t="s">
        <v>40286</v>
      </c>
      <c r="M3474" t="s">
        <v>41217</v>
      </c>
      <c r="N3474" t="s">
        <v>44759</v>
      </c>
      <c r="O3474" t="s">
        <v>44760</v>
      </c>
      <c r="P3474">
        <v>0</v>
      </c>
      <c r="Q3474">
        <v>0</v>
      </c>
      <c r="R3474" t="s">
        <v>44762</v>
      </c>
      <c r="S3474" t="s">
        <v>44863</v>
      </c>
      <c r="T3474" t="s">
        <v>46635</v>
      </c>
      <c r="U3474" t="s">
        <v>49911</v>
      </c>
      <c r="W3474" t="s">
        <v>41217</v>
      </c>
      <c r="X3474" t="s">
        <v>44763</v>
      </c>
    </row>
    <row r="3475" spans="1:24">
      <c r="A3475">
        <f>HYPERLINK("https://www.philgeps.gov.ph/GEPSNONPILOT/Tender/SplashBidNoticeAbstractUI.aspx?menuIndex=3&amp;refID=7149969&amp;Result=3","7149969")</f>
        <v>0</v>
      </c>
      <c r="B3475" t="s">
        <v>44</v>
      </c>
      <c r="C3475" t="s">
        <v>6879</v>
      </c>
      <c r="D3475" t="s">
        <v>17969</v>
      </c>
      <c r="E3475" t="s">
        <v>21160</v>
      </c>
      <c r="F3475" t="s">
        <v>30900</v>
      </c>
      <c r="G3475" t="s">
        <v>30908</v>
      </c>
      <c r="H3475" t="s">
        <v>30916</v>
      </c>
      <c r="I3475" t="s">
        <v>30926</v>
      </c>
      <c r="J3475" t="s">
        <v>33490</v>
      </c>
      <c r="K3475" t="s">
        <v>40289</v>
      </c>
      <c r="M3475" t="s">
        <v>41947</v>
      </c>
      <c r="N3475" t="s">
        <v>44759</v>
      </c>
      <c r="O3475" t="s">
        <v>44760</v>
      </c>
      <c r="P3475">
        <v>0</v>
      </c>
      <c r="Q3475">
        <v>0</v>
      </c>
      <c r="R3475" t="s">
        <v>44762</v>
      </c>
      <c r="S3475" t="s">
        <v>44863</v>
      </c>
      <c r="T3475" t="s">
        <v>46412</v>
      </c>
      <c r="U3475" t="s">
        <v>49731</v>
      </c>
      <c r="W3475" t="s">
        <v>41947</v>
      </c>
      <c r="X3475" t="s">
        <v>44763</v>
      </c>
    </row>
    <row r="3476" spans="1:24">
      <c r="A3476">
        <f>HYPERLINK("https://www.philgeps.gov.ph/GEPSNONPILOT/Tender/SplashBidNoticeAbstractUI.aspx?menuIndex=3&amp;refID=7149967&amp;Result=3","7149967")</f>
        <v>0</v>
      </c>
      <c r="B3476" t="s">
        <v>1451</v>
      </c>
      <c r="C3476" t="s">
        <v>3886</v>
      </c>
      <c r="D3476" t="s">
        <v>17957</v>
      </c>
      <c r="E3476" t="s">
        <v>18178</v>
      </c>
      <c r="F3476" t="s">
        <v>30900</v>
      </c>
      <c r="G3476" t="s">
        <v>30909</v>
      </c>
      <c r="H3476" t="s">
        <v>30916</v>
      </c>
      <c r="I3476" t="s">
        <v>4108</v>
      </c>
      <c r="J3476" t="s">
        <v>33491</v>
      </c>
      <c r="K3476" t="s">
        <v>40281</v>
      </c>
      <c r="M3476" t="s">
        <v>42083</v>
      </c>
      <c r="N3476" t="s">
        <v>44759</v>
      </c>
      <c r="O3476" t="s">
        <v>44760</v>
      </c>
      <c r="P3476">
        <v>0</v>
      </c>
      <c r="Q3476">
        <v>1</v>
      </c>
      <c r="R3476" t="s">
        <v>44762</v>
      </c>
      <c r="S3476" t="s">
        <v>44863</v>
      </c>
      <c r="T3476" t="s">
        <v>46548</v>
      </c>
      <c r="U3476" t="s">
        <v>49912</v>
      </c>
      <c r="V3476" t="s">
        <v>59117</v>
      </c>
      <c r="W3476" t="s">
        <v>42083</v>
      </c>
      <c r="X3476" t="s">
        <v>44763</v>
      </c>
    </row>
    <row r="3477" spans="1:24">
      <c r="A3477">
        <f>HYPERLINK("https://www.philgeps.gov.ph/GEPSNONPILOT/Tender/SplashBidNoticeAbstractUI.aspx?menuIndex=3&amp;refID=7149972&amp;Result=3","7149972")</f>
        <v>0</v>
      </c>
      <c r="B3477" t="s">
        <v>1452</v>
      </c>
      <c r="C3477" t="s">
        <v>3996</v>
      </c>
      <c r="D3477" t="s">
        <v>18000</v>
      </c>
      <c r="E3477" t="s">
        <v>21161</v>
      </c>
      <c r="F3477" t="s">
        <v>30900</v>
      </c>
      <c r="G3477" t="s">
        <v>30908</v>
      </c>
      <c r="H3477" t="s">
        <v>30916</v>
      </c>
      <c r="I3477" t="s">
        <v>6396</v>
      </c>
      <c r="J3477" t="s">
        <v>31728</v>
      </c>
      <c r="K3477" t="s">
        <v>40285</v>
      </c>
      <c r="M3477" t="s">
        <v>42084</v>
      </c>
      <c r="N3477" t="s">
        <v>44759</v>
      </c>
      <c r="O3477" t="s">
        <v>44760</v>
      </c>
      <c r="P3477">
        <v>0</v>
      </c>
      <c r="Q3477">
        <v>0</v>
      </c>
      <c r="R3477" t="s">
        <v>44762</v>
      </c>
      <c r="S3477" t="s">
        <v>44863</v>
      </c>
      <c r="T3477" t="s">
        <v>46414</v>
      </c>
      <c r="U3477" t="s">
        <v>49913</v>
      </c>
      <c r="W3477" t="s">
        <v>42084</v>
      </c>
      <c r="X3477" t="s">
        <v>44763</v>
      </c>
    </row>
    <row r="3478" spans="1:24">
      <c r="A3478">
        <f>HYPERLINK("https://www.philgeps.gov.ph/GEPSNONPILOT/Tender/SplashBidNoticeAbstractUI.aspx?menuIndex=3&amp;refID=7149971&amp;Result=3","7149971")</f>
        <v>0</v>
      </c>
      <c r="B3478" t="s">
        <v>1119</v>
      </c>
      <c r="C3478" t="s">
        <v>7078</v>
      </c>
      <c r="D3478" t="s">
        <v>17959</v>
      </c>
      <c r="E3478" t="s">
        <v>21162</v>
      </c>
      <c r="F3478" t="s">
        <v>30900</v>
      </c>
      <c r="G3478" t="s">
        <v>30910</v>
      </c>
      <c r="H3478" t="s">
        <v>30916</v>
      </c>
      <c r="I3478" t="s">
        <v>6953</v>
      </c>
      <c r="J3478" t="s">
        <v>32745</v>
      </c>
      <c r="K3478" t="s">
        <v>40283</v>
      </c>
      <c r="M3478" t="s">
        <v>41749</v>
      </c>
      <c r="N3478" t="s">
        <v>44759</v>
      </c>
      <c r="O3478" t="s">
        <v>44760</v>
      </c>
      <c r="P3478">
        <v>0</v>
      </c>
      <c r="Q3478">
        <v>5</v>
      </c>
      <c r="R3478" t="s">
        <v>44762</v>
      </c>
      <c r="S3478" t="s">
        <v>44863</v>
      </c>
      <c r="T3478" t="s">
        <v>46363</v>
      </c>
      <c r="U3478" t="s">
        <v>49074</v>
      </c>
      <c r="V3478" t="s">
        <v>59506</v>
      </c>
      <c r="W3478" t="s">
        <v>41749</v>
      </c>
      <c r="X3478" t="s">
        <v>44763</v>
      </c>
    </row>
    <row r="3479" spans="1:24">
      <c r="A3479">
        <f>HYPERLINK("https://www.philgeps.gov.ph/GEPSNONPILOT/Tender/SplashBidNoticeAbstractUI.aspx?menuIndex=3&amp;refID=7149992&amp;Result=3","7149992")</f>
        <v>0</v>
      </c>
      <c r="B3479" t="s">
        <v>91</v>
      </c>
      <c r="C3479" t="s">
        <v>7079</v>
      </c>
      <c r="D3479" t="s">
        <v>17993</v>
      </c>
      <c r="E3479" t="s">
        <v>21163</v>
      </c>
      <c r="F3479" t="s">
        <v>30900</v>
      </c>
      <c r="G3479" t="s">
        <v>30908</v>
      </c>
      <c r="H3479" t="s">
        <v>30916</v>
      </c>
      <c r="I3479" t="s">
        <v>10834</v>
      </c>
      <c r="J3479" t="s">
        <v>32161</v>
      </c>
      <c r="K3479" t="s">
        <v>40283</v>
      </c>
      <c r="M3479" t="s">
        <v>40638</v>
      </c>
      <c r="N3479" t="s">
        <v>44759</v>
      </c>
      <c r="O3479" t="s">
        <v>44760</v>
      </c>
      <c r="P3479">
        <v>0</v>
      </c>
      <c r="Q3479">
        <v>1</v>
      </c>
      <c r="R3479" t="s">
        <v>44762</v>
      </c>
      <c r="S3479" t="s">
        <v>44863</v>
      </c>
      <c r="T3479" t="s">
        <v>46425</v>
      </c>
      <c r="U3479" t="s">
        <v>47060</v>
      </c>
      <c r="V3479" t="s">
        <v>59512</v>
      </c>
      <c r="W3479" t="s">
        <v>40638</v>
      </c>
      <c r="X3479" t="s">
        <v>44763</v>
      </c>
    </row>
    <row r="3480" spans="1:24">
      <c r="A3480">
        <f>HYPERLINK("https://www.philgeps.gov.ph/GEPSNONPILOT/Tender/SplashBidNoticeAbstractUI.aspx?menuIndex=3&amp;refID=7150013&amp;Result=3","7150013")</f>
        <v>0</v>
      </c>
      <c r="B3480" t="s">
        <v>1453</v>
      </c>
      <c r="C3480" t="s">
        <v>7080</v>
      </c>
      <c r="D3480" t="s">
        <v>17962</v>
      </c>
      <c r="E3480" t="s">
        <v>21164</v>
      </c>
      <c r="F3480" t="s">
        <v>30900</v>
      </c>
      <c r="G3480" t="s">
        <v>30907</v>
      </c>
      <c r="H3480" t="s">
        <v>30916</v>
      </c>
      <c r="I3480" t="s">
        <v>8123</v>
      </c>
      <c r="J3480" t="s">
        <v>33492</v>
      </c>
      <c r="K3480" t="s">
        <v>40283</v>
      </c>
      <c r="M3480" t="s">
        <v>42085</v>
      </c>
      <c r="N3480" t="s">
        <v>44759</v>
      </c>
      <c r="O3480" t="s">
        <v>44760</v>
      </c>
      <c r="P3480">
        <v>0</v>
      </c>
      <c r="Q3480">
        <v>0</v>
      </c>
      <c r="R3480" t="s">
        <v>44762</v>
      </c>
      <c r="S3480" t="s">
        <v>44863</v>
      </c>
      <c r="T3480" t="s">
        <v>46409</v>
      </c>
      <c r="U3480" t="s">
        <v>49858</v>
      </c>
      <c r="W3480" t="s">
        <v>42085</v>
      </c>
      <c r="X3480" t="s">
        <v>44763</v>
      </c>
    </row>
    <row r="3481" spans="1:24">
      <c r="A3481">
        <f>HYPERLINK("https://www.philgeps.gov.ph/GEPSNONPILOT/Tender/SplashBidNoticeAbstractUI.aspx?menuIndex=3&amp;refID=7150012&amp;Result=3","7150012")</f>
        <v>0</v>
      </c>
      <c r="B3481" t="s">
        <v>1454</v>
      </c>
      <c r="C3481" t="s">
        <v>7081</v>
      </c>
      <c r="D3481" t="s">
        <v>17955</v>
      </c>
      <c r="E3481" t="s">
        <v>21165</v>
      </c>
      <c r="F3481" t="s">
        <v>30900</v>
      </c>
      <c r="G3481" t="s">
        <v>30907</v>
      </c>
      <c r="H3481" t="s">
        <v>30916</v>
      </c>
      <c r="I3481" t="s">
        <v>5501</v>
      </c>
      <c r="J3481" t="s">
        <v>31043</v>
      </c>
      <c r="K3481" t="s">
        <v>40287</v>
      </c>
      <c r="M3481" t="s">
        <v>42086</v>
      </c>
      <c r="N3481" t="s">
        <v>44759</v>
      </c>
      <c r="O3481" t="s">
        <v>44760</v>
      </c>
      <c r="P3481">
        <v>0</v>
      </c>
      <c r="Q3481">
        <v>0</v>
      </c>
      <c r="R3481" t="s">
        <v>44762</v>
      </c>
      <c r="S3481" t="s">
        <v>44863</v>
      </c>
      <c r="T3481" t="s">
        <v>46400</v>
      </c>
      <c r="U3481" t="s">
        <v>49914</v>
      </c>
      <c r="W3481" t="s">
        <v>42086</v>
      </c>
      <c r="X3481" t="s">
        <v>44763</v>
      </c>
    </row>
    <row r="3482" spans="1:24">
      <c r="A3482">
        <f>HYPERLINK("https://www.philgeps.gov.ph/GEPSNONPILOT/Tender/SplashBidNoticeAbstractUI.aspx?menuIndex=3&amp;refID=7150010&amp;Result=3","7150010")</f>
        <v>0</v>
      </c>
      <c r="B3482" t="s">
        <v>192</v>
      </c>
      <c r="C3482" t="s">
        <v>4064</v>
      </c>
      <c r="D3482" t="s">
        <v>17975</v>
      </c>
      <c r="E3482" t="s">
        <v>21166</v>
      </c>
      <c r="F3482" t="s">
        <v>30900</v>
      </c>
      <c r="G3482" t="s">
        <v>30908</v>
      </c>
      <c r="H3482" t="s">
        <v>30916</v>
      </c>
      <c r="I3482" t="s">
        <v>4108</v>
      </c>
      <c r="J3482" t="s">
        <v>33493</v>
      </c>
      <c r="K3482" t="s">
        <v>40283</v>
      </c>
      <c r="M3482" t="s">
        <v>40739</v>
      </c>
      <c r="N3482" t="s">
        <v>44759</v>
      </c>
      <c r="O3482" t="s">
        <v>44760</v>
      </c>
      <c r="P3482">
        <v>0</v>
      </c>
      <c r="Q3482">
        <v>0</v>
      </c>
      <c r="R3482" t="s">
        <v>44762</v>
      </c>
      <c r="S3482" t="s">
        <v>44863</v>
      </c>
      <c r="T3482" t="s">
        <v>46414</v>
      </c>
      <c r="U3482" t="s">
        <v>49915</v>
      </c>
      <c r="V3482" t="s">
        <v>59513</v>
      </c>
      <c r="W3482" t="s">
        <v>40739</v>
      </c>
      <c r="X3482" t="s">
        <v>44763</v>
      </c>
    </row>
    <row r="3483" spans="1:24">
      <c r="A3483">
        <f>HYPERLINK("https://www.philgeps.gov.ph/GEPSNONPILOT/Tender/SplashBidNoticeAbstractUI.aspx?menuIndex=3&amp;refID=7150006&amp;Result=3","7150006")</f>
        <v>0</v>
      </c>
      <c r="B3483" t="s">
        <v>1455</v>
      </c>
      <c r="C3483" t="s">
        <v>7082</v>
      </c>
      <c r="D3483" t="s">
        <v>17971</v>
      </c>
      <c r="E3483" t="s">
        <v>21167</v>
      </c>
      <c r="F3483" t="s">
        <v>30900</v>
      </c>
      <c r="G3483" t="s">
        <v>30908</v>
      </c>
      <c r="H3483" t="s">
        <v>30915</v>
      </c>
      <c r="I3483" t="s">
        <v>30919</v>
      </c>
      <c r="J3483" t="s">
        <v>33494</v>
      </c>
      <c r="K3483" t="s">
        <v>40304</v>
      </c>
      <c r="M3483" t="s">
        <v>42087</v>
      </c>
      <c r="N3483" t="s">
        <v>44759</v>
      </c>
      <c r="O3483" t="s">
        <v>44760</v>
      </c>
      <c r="P3483">
        <v>0</v>
      </c>
      <c r="Q3483">
        <v>1</v>
      </c>
      <c r="R3483" t="s">
        <v>44762</v>
      </c>
      <c r="S3483" t="s">
        <v>44863</v>
      </c>
      <c r="T3483" t="s">
        <v>46383</v>
      </c>
      <c r="U3483" t="s">
        <v>49916</v>
      </c>
      <c r="W3483" t="s">
        <v>42087</v>
      </c>
      <c r="X3483" t="s">
        <v>44763</v>
      </c>
    </row>
    <row r="3484" spans="1:24">
      <c r="A3484">
        <f>HYPERLINK("https://www.philgeps.gov.ph/GEPSNONPILOT/Tender/SplashBidNoticeAbstractUI.aspx?menuIndex=3&amp;refID=7150005&amp;Result=3","7150005")</f>
        <v>0</v>
      </c>
      <c r="B3484" t="s">
        <v>1100</v>
      </c>
      <c r="C3484" t="s">
        <v>7083</v>
      </c>
      <c r="D3484" t="s">
        <v>17980</v>
      </c>
      <c r="E3484" t="s">
        <v>21168</v>
      </c>
      <c r="F3484" t="s">
        <v>30900</v>
      </c>
      <c r="G3484" t="s">
        <v>30909</v>
      </c>
      <c r="H3484" t="s">
        <v>30916</v>
      </c>
      <c r="I3484" t="s">
        <v>30923</v>
      </c>
      <c r="J3484" t="s">
        <v>32146</v>
      </c>
      <c r="K3484" t="s">
        <v>40289</v>
      </c>
      <c r="M3484" t="s">
        <v>41789</v>
      </c>
      <c r="N3484" t="s">
        <v>44759</v>
      </c>
      <c r="O3484" t="s">
        <v>44760</v>
      </c>
      <c r="P3484">
        <v>0</v>
      </c>
      <c r="Q3484">
        <v>1</v>
      </c>
      <c r="R3484" t="s">
        <v>44762</v>
      </c>
      <c r="S3484" t="s">
        <v>44863</v>
      </c>
      <c r="T3484" t="s">
        <v>46404</v>
      </c>
      <c r="U3484" t="s">
        <v>49917</v>
      </c>
      <c r="W3484" t="s">
        <v>41789</v>
      </c>
      <c r="X3484" t="s">
        <v>44763</v>
      </c>
    </row>
    <row r="3485" spans="1:24">
      <c r="A3485">
        <f>HYPERLINK("https://www.philgeps.gov.ph/GEPSNONPILOT/Tender/SplashBidNoticeAbstractUI.aspx?menuIndex=3&amp;refID=7150004&amp;Result=3","7150004")</f>
        <v>0</v>
      </c>
      <c r="B3485" t="s">
        <v>1428</v>
      </c>
      <c r="C3485" t="s">
        <v>7084</v>
      </c>
      <c r="D3485" t="s">
        <v>18025</v>
      </c>
      <c r="E3485" t="s">
        <v>21169</v>
      </c>
      <c r="F3485" t="s">
        <v>30900</v>
      </c>
      <c r="G3485" t="s">
        <v>30908</v>
      </c>
      <c r="H3485" t="s">
        <v>30916</v>
      </c>
      <c r="I3485" t="s">
        <v>30952</v>
      </c>
      <c r="J3485" t="s">
        <v>31282</v>
      </c>
      <c r="K3485" t="s">
        <v>40289</v>
      </c>
      <c r="M3485" t="s">
        <v>42059</v>
      </c>
      <c r="N3485" t="s">
        <v>44759</v>
      </c>
      <c r="O3485" t="s">
        <v>44760</v>
      </c>
      <c r="P3485">
        <v>0</v>
      </c>
      <c r="Q3485">
        <v>2</v>
      </c>
      <c r="R3485" t="s">
        <v>44762</v>
      </c>
      <c r="S3485" t="s">
        <v>44863</v>
      </c>
      <c r="T3485" t="s">
        <v>46420</v>
      </c>
      <c r="U3485" t="s">
        <v>49918</v>
      </c>
      <c r="W3485" t="s">
        <v>42059</v>
      </c>
      <c r="X3485" t="s">
        <v>44763</v>
      </c>
    </row>
    <row r="3486" spans="1:24">
      <c r="A3486">
        <f>HYPERLINK("https://www.philgeps.gov.ph/GEPSNONPILOT/Tender/SplashBidNoticeAbstractUI.aspx?menuIndex=3&amp;refID=7150002&amp;Result=3","7150002")</f>
        <v>0</v>
      </c>
      <c r="B3486" t="s">
        <v>1456</v>
      </c>
      <c r="C3486" t="s">
        <v>7085</v>
      </c>
      <c r="D3486" t="s">
        <v>17957</v>
      </c>
      <c r="E3486" t="s">
        <v>19405</v>
      </c>
      <c r="F3486" t="s">
        <v>30900</v>
      </c>
      <c r="G3486" t="s">
        <v>30909</v>
      </c>
      <c r="H3486" t="s">
        <v>30916</v>
      </c>
      <c r="I3486" t="s">
        <v>4108</v>
      </c>
      <c r="J3486" t="s">
        <v>33495</v>
      </c>
      <c r="K3486" t="s">
        <v>40281</v>
      </c>
      <c r="M3486" t="s">
        <v>42088</v>
      </c>
      <c r="N3486" t="s">
        <v>44759</v>
      </c>
      <c r="O3486" t="s">
        <v>44760</v>
      </c>
      <c r="P3486">
        <v>0</v>
      </c>
      <c r="Q3486">
        <v>1</v>
      </c>
      <c r="R3486" t="s">
        <v>44762</v>
      </c>
      <c r="S3486" t="s">
        <v>44863</v>
      </c>
      <c r="T3486" t="s">
        <v>46636</v>
      </c>
      <c r="U3486" t="s">
        <v>49919</v>
      </c>
      <c r="V3486" t="s">
        <v>59117</v>
      </c>
      <c r="W3486" t="s">
        <v>42088</v>
      </c>
      <c r="X3486" t="s">
        <v>44763</v>
      </c>
    </row>
    <row r="3487" spans="1:24">
      <c r="A3487">
        <f>HYPERLINK("https://www.philgeps.gov.ph/GEPSNONPILOT/Tender/SplashBidNoticeAbstractUI.aspx?menuIndex=3&amp;refID=7149994&amp;Result=3","7149994")</f>
        <v>0</v>
      </c>
      <c r="B3487" t="s">
        <v>1414</v>
      </c>
      <c r="C3487" t="s">
        <v>7086</v>
      </c>
      <c r="D3487" t="s">
        <v>17977</v>
      </c>
      <c r="E3487" t="s">
        <v>21170</v>
      </c>
      <c r="F3487" t="s">
        <v>30900</v>
      </c>
      <c r="G3487" t="s">
        <v>30908</v>
      </c>
      <c r="H3487" t="s">
        <v>30916</v>
      </c>
      <c r="I3487" t="s">
        <v>9385</v>
      </c>
      <c r="J3487" t="s">
        <v>32333</v>
      </c>
      <c r="K3487" t="s">
        <v>40289</v>
      </c>
      <c r="M3487" t="s">
        <v>42043</v>
      </c>
      <c r="N3487" t="s">
        <v>44759</v>
      </c>
      <c r="O3487" t="s">
        <v>44760</v>
      </c>
      <c r="P3487">
        <v>0</v>
      </c>
      <c r="Q3487">
        <v>6</v>
      </c>
      <c r="R3487" t="s">
        <v>44762</v>
      </c>
      <c r="S3487" t="s">
        <v>44863</v>
      </c>
      <c r="T3487" t="s">
        <v>46410</v>
      </c>
      <c r="U3487" t="s">
        <v>49834</v>
      </c>
      <c r="W3487" t="s">
        <v>42043</v>
      </c>
      <c r="X3487" t="s">
        <v>44763</v>
      </c>
    </row>
    <row r="3488" spans="1:24">
      <c r="A3488">
        <f>HYPERLINK("https://www.philgeps.gov.ph/GEPSNONPILOT/Tender/SplashBidNoticeAbstractUI.aspx?menuIndex=3&amp;refID=7150016&amp;Result=3","7150016")</f>
        <v>0</v>
      </c>
      <c r="B3488" t="s">
        <v>726</v>
      </c>
      <c r="C3488" t="s">
        <v>4013</v>
      </c>
      <c r="D3488" t="s">
        <v>18016</v>
      </c>
      <c r="E3488" t="s">
        <v>21171</v>
      </c>
      <c r="F3488" t="s">
        <v>30900</v>
      </c>
      <c r="G3488" t="s">
        <v>30907</v>
      </c>
      <c r="H3488" t="s">
        <v>30916</v>
      </c>
      <c r="I3488" t="s">
        <v>4142</v>
      </c>
      <c r="J3488" t="s">
        <v>33496</v>
      </c>
      <c r="K3488" t="s">
        <v>40286</v>
      </c>
      <c r="M3488" t="s">
        <v>41290</v>
      </c>
      <c r="N3488" t="s">
        <v>44759</v>
      </c>
      <c r="O3488" t="s">
        <v>44760</v>
      </c>
      <c r="P3488">
        <v>0</v>
      </c>
      <c r="Q3488">
        <v>0</v>
      </c>
      <c r="R3488" t="s">
        <v>44762</v>
      </c>
      <c r="S3488" t="s">
        <v>44863</v>
      </c>
      <c r="T3488" t="s">
        <v>46389</v>
      </c>
      <c r="U3488" t="s">
        <v>49920</v>
      </c>
      <c r="W3488" t="s">
        <v>41290</v>
      </c>
      <c r="X3488" t="s">
        <v>44763</v>
      </c>
    </row>
    <row r="3489" spans="1:24">
      <c r="A3489">
        <f>HYPERLINK("https://www.philgeps.gov.ph/GEPSNONPILOT/Tender/SplashBidNoticeAbstractUI.aspx?menuIndex=3&amp;refID=7150011&amp;Result=3","7150011")</f>
        <v>0</v>
      </c>
      <c r="B3489" t="s">
        <v>451</v>
      </c>
      <c r="C3489" t="s">
        <v>3937</v>
      </c>
      <c r="D3489" t="s">
        <v>17980</v>
      </c>
      <c r="E3489" t="s">
        <v>21172</v>
      </c>
      <c r="F3489" t="s">
        <v>30900</v>
      </c>
      <c r="G3489" t="s">
        <v>30908</v>
      </c>
      <c r="H3489" t="s">
        <v>30916</v>
      </c>
      <c r="I3489" t="s">
        <v>8123</v>
      </c>
      <c r="J3489" t="s">
        <v>33497</v>
      </c>
      <c r="K3489" t="s">
        <v>40283</v>
      </c>
      <c r="M3489" t="s">
        <v>42056</v>
      </c>
      <c r="N3489" t="s">
        <v>44759</v>
      </c>
      <c r="O3489" t="s">
        <v>44760</v>
      </c>
      <c r="P3489">
        <v>0</v>
      </c>
      <c r="Q3489">
        <v>2</v>
      </c>
      <c r="R3489" t="s">
        <v>44762</v>
      </c>
      <c r="S3489" t="s">
        <v>44863</v>
      </c>
      <c r="T3489" t="s">
        <v>46383</v>
      </c>
      <c r="U3489" t="s">
        <v>49921</v>
      </c>
      <c r="W3489" t="s">
        <v>42056</v>
      </c>
      <c r="X3489" t="s">
        <v>44763</v>
      </c>
    </row>
    <row r="3490" spans="1:24">
      <c r="A3490">
        <f>HYPERLINK("https://www.philgeps.gov.ph/GEPSNONPILOT/Tender/SplashBidNoticeAbstractUI.aspx?menuIndex=3&amp;refID=7150014&amp;Result=3","7150014")</f>
        <v>0</v>
      </c>
      <c r="B3490" t="s">
        <v>1457</v>
      </c>
      <c r="C3490" t="s">
        <v>7087</v>
      </c>
      <c r="D3490" t="s">
        <v>17977</v>
      </c>
      <c r="E3490" t="s">
        <v>21173</v>
      </c>
      <c r="F3490" t="s">
        <v>30900</v>
      </c>
      <c r="G3490" t="s">
        <v>30908</v>
      </c>
      <c r="H3490" t="s">
        <v>30916</v>
      </c>
      <c r="I3490" t="s">
        <v>30926</v>
      </c>
      <c r="J3490" t="s">
        <v>33498</v>
      </c>
      <c r="K3490" t="s">
        <v>40285</v>
      </c>
      <c r="M3490" t="s">
        <v>42089</v>
      </c>
      <c r="N3490" t="s">
        <v>44759</v>
      </c>
      <c r="O3490" t="s">
        <v>44760</v>
      </c>
      <c r="P3490">
        <v>0</v>
      </c>
      <c r="Q3490">
        <v>1</v>
      </c>
      <c r="R3490" t="s">
        <v>44762</v>
      </c>
      <c r="S3490" t="s">
        <v>44863</v>
      </c>
      <c r="T3490" t="s">
        <v>46457</v>
      </c>
      <c r="U3490" t="s">
        <v>49922</v>
      </c>
      <c r="W3490" t="s">
        <v>42089</v>
      </c>
      <c r="X3490" t="s">
        <v>44763</v>
      </c>
    </row>
    <row r="3491" spans="1:24">
      <c r="A3491">
        <f>HYPERLINK("https://www.philgeps.gov.ph/GEPSNONPILOT/Tender/SplashBidNoticeAbstractUI.aspx?menuIndex=3&amp;refID=7149946&amp;Result=3","7149946")</f>
        <v>0</v>
      </c>
      <c r="B3491" t="s">
        <v>1318</v>
      </c>
      <c r="C3491" t="s">
        <v>7088</v>
      </c>
      <c r="D3491" t="s">
        <v>18007</v>
      </c>
      <c r="E3491" t="s">
        <v>21174</v>
      </c>
      <c r="F3491" t="s">
        <v>30900</v>
      </c>
      <c r="G3491" t="s">
        <v>30907</v>
      </c>
      <c r="H3491" t="s">
        <v>30916</v>
      </c>
      <c r="I3491" t="s">
        <v>6396</v>
      </c>
      <c r="J3491" t="s">
        <v>31049</v>
      </c>
      <c r="K3491" t="s">
        <v>40286</v>
      </c>
      <c r="M3491" t="s">
        <v>41936</v>
      </c>
      <c r="N3491" t="s">
        <v>44759</v>
      </c>
      <c r="O3491" t="s">
        <v>44760</v>
      </c>
      <c r="P3491">
        <v>0</v>
      </c>
      <c r="Q3491">
        <v>1</v>
      </c>
      <c r="R3491" t="s">
        <v>44762</v>
      </c>
      <c r="S3491" t="s">
        <v>44863</v>
      </c>
      <c r="T3491" t="s">
        <v>46532</v>
      </c>
      <c r="U3491" t="s">
        <v>49923</v>
      </c>
      <c r="V3491" t="s">
        <v>59514</v>
      </c>
      <c r="W3491" t="s">
        <v>41936</v>
      </c>
      <c r="X3491" t="s">
        <v>44763</v>
      </c>
    </row>
    <row r="3492" spans="1:24">
      <c r="A3492">
        <f>HYPERLINK("https://www.philgeps.gov.ph/GEPSNONPILOT/Tender/SplashBidNoticeAbstractUI.aspx?menuIndex=3&amp;refID=7150000&amp;Result=3","7150000")</f>
        <v>0</v>
      </c>
      <c r="B3492" t="s">
        <v>1458</v>
      </c>
      <c r="C3492" t="s">
        <v>7089</v>
      </c>
      <c r="D3492" t="s">
        <v>17977</v>
      </c>
      <c r="E3492" t="s">
        <v>19629</v>
      </c>
      <c r="F3492" t="s">
        <v>30900</v>
      </c>
      <c r="G3492" t="s">
        <v>30907</v>
      </c>
      <c r="H3492" t="s">
        <v>30916</v>
      </c>
      <c r="I3492" t="s">
        <v>8123</v>
      </c>
      <c r="J3492" t="s">
        <v>33499</v>
      </c>
      <c r="K3492" t="s">
        <v>40287</v>
      </c>
      <c r="M3492" t="s">
        <v>42090</v>
      </c>
      <c r="N3492" t="s">
        <v>44759</v>
      </c>
      <c r="O3492" t="s">
        <v>44760</v>
      </c>
      <c r="P3492">
        <v>0</v>
      </c>
      <c r="Q3492">
        <v>0</v>
      </c>
      <c r="R3492" t="s">
        <v>44762</v>
      </c>
      <c r="S3492" t="s">
        <v>44863</v>
      </c>
      <c r="T3492" t="s">
        <v>46418</v>
      </c>
      <c r="U3492" t="s">
        <v>49924</v>
      </c>
      <c r="W3492" t="s">
        <v>42090</v>
      </c>
      <c r="X3492" t="s">
        <v>44763</v>
      </c>
    </row>
    <row r="3493" spans="1:24">
      <c r="A3493">
        <f>HYPERLINK("https://www.philgeps.gov.ph/GEPSNONPILOT/Tender/SplashBidNoticeAbstractUI.aspx?menuIndex=3&amp;refID=7150003&amp;Result=3","7150003")</f>
        <v>0</v>
      </c>
      <c r="B3493" t="s">
        <v>1459</v>
      </c>
      <c r="C3493" t="s">
        <v>7090</v>
      </c>
      <c r="D3493" t="s">
        <v>17975</v>
      </c>
      <c r="E3493" t="s">
        <v>21175</v>
      </c>
      <c r="F3493" t="s">
        <v>30900</v>
      </c>
      <c r="G3493" t="s">
        <v>30909</v>
      </c>
      <c r="H3493" t="s">
        <v>30916</v>
      </c>
      <c r="I3493" t="s">
        <v>6953</v>
      </c>
      <c r="J3493" t="s">
        <v>33500</v>
      </c>
      <c r="K3493" t="s">
        <v>40284</v>
      </c>
      <c r="L3493" t="s">
        <v>1459</v>
      </c>
      <c r="M3493" t="s">
        <v>42091</v>
      </c>
      <c r="N3493" t="s">
        <v>44759</v>
      </c>
      <c r="O3493" t="s">
        <v>44760</v>
      </c>
      <c r="P3493">
        <v>0</v>
      </c>
      <c r="Q3493">
        <v>0</v>
      </c>
      <c r="R3493" t="s">
        <v>44762</v>
      </c>
      <c r="S3493" t="s">
        <v>44863</v>
      </c>
      <c r="T3493" t="s">
        <v>46379</v>
      </c>
      <c r="U3493" t="s">
        <v>49925</v>
      </c>
      <c r="W3493" t="s">
        <v>42091</v>
      </c>
      <c r="X3493" t="s">
        <v>44763</v>
      </c>
    </row>
    <row r="3494" spans="1:24">
      <c r="A3494">
        <f>HYPERLINK("https://www.philgeps.gov.ph/GEPSNONPILOT/Tender/SplashBidNoticeAbstractUI.aspx?menuIndex=3&amp;refID=7149993&amp;Result=3","7149993")</f>
        <v>0</v>
      </c>
      <c r="B3494" t="s">
        <v>1460</v>
      </c>
      <c r="C3494" t="s">
        <v>7091</v>
      </c>
      <c r="D3494" t="s">
        <v>17981</v>
      </c>
      <c r="E3494" t="s">
        <v>19629</v>
      </c>
      <c r="F3494" t="s">
        <v>30900</v>
      </c>
      <c r="G3494" t="s">
        <v>30907</v>
      </c>
      <c r="H3494" t="s">
        <v>30915</v>
      </c>
      <c r="I3494" t="s">
        <v>30919</v>
      </c>
      <c r="J3494" t="s">
        <v>31049</v>
      </c>
      <c r="K3494" t="s">
        <v>40286</v>
      </c>
      <c r="M3494" t="s">
        <v>42092</v>
      </c>
      <c r="N3494" t="s">
        <v>44759</v>
      </c>
      <c r="O3494" t="s">
        <v>44760</v>
      </c>
      <c r="P3494">
        <v>0</v>
      </c>
      <c r="Q3494">
        <v>1</v>
      </c>
      <c r="R3494" t="s">
        <v>44762</v>
      </c>
      <c r="S3494" t="s">
        <v>44863</v>
      </c>
      <c r="T3494" t="s">
        <v>46409</v>
      </c>
      <c r="U3494" t="s">
        <v>47377</v>
      </c>
      <c r="W3494" t="s">
        <v>42092</v>
      </c>
      <c r="X3494" t="s">
        <v>44763</v>
      </c>
    </row>
    <row r="3495" spans="1:24">
      <c r="A3495">
        <f>HYPERLINK("https://www.philgeps.gov.ph/GEPSNONPILOT/Tender/SplashBidNoticeAbstractUI.aspx?menuIndex=3&amp;refID=7149998&amp;Result=3","7149998")</f>
        <v>0</v>
      </c>
      <c r="B3495" t="s">
        <v>970</v>
      </c>
      <c r="C3495" t="s">
        <v>7092</v>
      </c>
      <c r="D3495" t="s">
        <v>17993</v>
      </c>
      <c r="E3495" t="s">
        <v>21176</v>
      </c>
      <c r="F3495" t="s">
        <v>30900</v>
      </c>
      <c r="G3495" t="s">
        <v>30908</v>
      </c>
      <c r="H3495" t="s">
        <v>30916</v>
      </c>
      <c r="I3495" t="s">
        <v>10602</v>
      </c>
      <c r="J3495" t="s">
        <v>31693</v>
      </c>
      <c r="K3495" t="s">
        <v>40289</v>
      </c>
      <c r="M3495" t="s">
        <v>41557</v>
      </c>
      <c r="N3495" t="s">
        <v>44759</v>
      </c>
      <c r="O3495" t="s">
        <v>44760</v>
      </c>
      <c r="P3495">
        <v>0</v>
      </c>
      <c r="Q3495">
        <v>0</v>
      </c>
      <c r="R3495" t="s">
        <v>44762</v>
      </c>
      <c r="S3495" t="s">
        <v>44863</v>
      </c>
      <c r="T3495" t="s">
        <v>46398</v>
      </c>
      <c r="U3495" t="s">
        <v>49926</v>
      </c>
      <c r="W3495" t="s">
        <v>41557</v>
      </c>
      <c r="X3495" t="s">
        <v>44763</v>
      </c>
    </row>
    <row r="3496" spans="1:24">
      <c r="A3496">
        <f>HYPERLINK("https://www.philgeps.gov.ph/GEPSNONPILOT/Tender/SplashBidNoticeAbstractUI.aspx?menuIndex=3&amp;refID=7149995&amp;Result=3","7149995")</f>
        <v>0</v>
      </c>
      <c r="B3496" t="s">
        <v>559</v>
      </c>
      <c r="C3496" t="s">
        <v>7093</v>
      </c>
      <c r="D3496" t="s">
        <v>17990</v>
      </c>
      <c r="E3496" t="s">
        <v>21177</v>
      </c>
      <c r="F3496" t="s">
        <v>30900</v>
      </c>
      <c r="G3496" t="s">
        <v>30910</v>
      </c>
      <c r="H3496" t="s">
        <v>30916</v>
      </c>
      <c r="I3496" t="s">
        <v>30974</v>
      </c>
      <c r="J3496" t="s">
        <v>33501</v>
      </c>
      <c r="K3496" t="s">
        <v>40293</v>
      </c>
      <c r="M3496" t="s">
        <v>41120</v>
      </c>
      <c r="N3496" t="s">
        <v>44759</v>
      </c>
      <c r="O3496" t="s">
        <v>44760</v>
      </c>
      <c r="P3496">
        <v>0</v>
      </c>
      <c r="Q3496">
        <v>0</v>
      </c>
      <c r="R3496" t="s">
        <v>44762</v>
      </c>
      <c r="S3496" t="s">
        <v>44863</v>
      </c>
      <c r="T3496" t="s">
        <v>46538</v>
      </c>
      <c r="U3496" t="s">
        <v>47932</v>
      </c>
      <c r="W3496" t="s">
        <v>41120</v>
      </c>
      <c r="X3496" t="s">
        <v>44763</v>
      </c>
    </row>
    <row r="3497" spans="1:24">
      <c r="A3497">
        <f>HYPERLINK("https://www.philgeps.gov.ph/GEPSNONPILOT/Tender/SplashBidNoticeAbstractUI.aspx?menuIndex=3&amp;refID=7149963&amp;Result=3","7149963")</f>
        <v>0</v>
      </c>
      <c r="B3497" t="s">
        <v>1461</v>
      </c>
      <c r="C3497" t="s">
        <v>7094</v>
      </c>
      <c r="D3497" t="s">
        <v>17976</v>
      </c>
      <c r="E3497" t="s">
        <v>21178</v>
      </c>
      <c r="F3497" t="s">
        <v>30900</v>
      </c>
      <c r="G3497" t="s">
        <v>30908</v>
      </c>
      <c r="H3497" t="s">
        <v>30916</v>
      </c>
      <c r="I3497" t="s">
        <v>30947</v>
      </c>
      <c r="J3497" t="s">
        <v>33502</v>
      </c>
      <c r="K3497" t="s">
        <v>40284</v>
      </c>
      <c r="M3497" t="s">
        <v>42093</v>
      </c>
      <c r="N3497" t="s">
        <v>44759</v>
      </c>
      <c r="O3497" t="s">
        <v>44760</v>
      </c>
      <c r="P3497">
        <v>0</v>
      </c>
      <c r="Q3497">
        <v>1</v>
      </c>
      <c r="R3497" t="s">
        <v>44762</v>
      </c>
      <c r="S3497" t="s">
        <v>44863</v>
      </c>
      <c r="T3497" t="s">
        <v>46383</v>
      </c>
      <c r="U3497" t="s">
        <v>49927</v>
      </c>
      <c r="W3497" t="s">
        <v>42093</v>
      </c>
      <c r="X3497" t="s">
        <v>44763</v>
      </c>
    </row>
    <row r="3498" spans="1:24">
      <c r="A3498">
        <f>HYPERLINK("https://www.philgeps.gov.ph/GEPSNONPILOT/Tender/SplashBidNoticeAbstractUI.aspx?menuIndex=3&amp;refID=7149999&amp;Result=3","7149999")</f>
        <v>0</v>
      </c>
      <c r="B3498" t="s">
        <v>732</v>
      </c>
      <c r="C3498" t="s">
        <v>7095</v>
      </c>
      <c r="D3498" t="s">
        <v>17963</v>
      </c>
      <c r="E3498" t="s">
        <v>21179</v>
      </c>
      <c r="F3498" t="s">
        <v>30900</v>
      </c>
      <c r="G3498" t="s">
        <v>30908</v>
      </c>
      <c r="H3498" t="s">
        <v>30916</v>
      </c>
      <c r="I3498" t="s">
        <v>30977</v>
      </c>
      <c r="J3498" t="s">
        <v>33503</v>
      </c>
      <c r="K3498" t="s">
        <v>40289</v>
      </c>
      <c r="M3498" t="s">
        <v>41296</v>
      </c>
      <c r="N3498" t="s">
        <v>44759</v>
      </c>
      <c r="O3498" t="s">
        <v>44760</v>
      </c>
      <c r="P3498">
        <v>0</v>
      </c>
      <c r="Q3498">
        <v>0</v>
      </c>
      <c r="R3498" t="s">
        <v>44762</v>
      </c>
      <c r="S3498" t="s">
        <v>44863</v>
      </c>
      <c r="T3498" t="s">
        <v>46379</v>
      </c>
      <c r="U3498" t="s">
        <v>49928</v>
      </c>
      <c r="W3498" t="s">
        <v>41296</v>
      </c>
      <c r="X3498" t="s">
        <v>44763</v>
      </c>
    </row>
    <row r="3499" spans="1:24">
      <c r="A3499">
        <f>HYPERLINK("https://www.philgeps.gov.ph/GEPSNONPILOT/Tender/SplashBidNoticeAbstractUI.aspx?menuIndex=3&amp;refID=7149996&amp;Result=3","7149996")</f>
        <v>0</v>
      </c>
      <c r="B3499" t="s">
        <v>684</v>
      </c>
      <c r="C3499" t="s">
        <v>7096</v>
      </c>
      <c r="E3499" t="s">
        <v>21180</v>
      </c>
      <c r="F3499" t="s">
        <v>30900</v>
      </c>
      <c r="G3499" t="s">
        <v>30909</v>
      </c>
      <c r="H3499" t="s">
        <v>30916</v>
      </c>
      <c r="I3499" t="s">
        <v>30960</v>
      </c>
      <c r="J3499" t="s">
        <v>33504</v>
      </c>
      <c r="K3499" t="s">
        <v>40289</v>
      </c>
      <c r="M3499" t="s">
        <v>42094</v>
      </c>
      <c r="N3499" t="s">
        <v>44759</v>
      </c>
      <c r="O3499" t="s">
        <v>44760</v>
      </c>
      <c r="P3499">
        <v>0</v>
      </c>
      <c r="Q3499">
        <v>2</v>
      </c>
      <c r="R3499" t="s">
        <v>44762</v>
      </c>
      <c r="S3499" t="s">
        <v>44863</v>
      </c>
      <c r="T3499" t="s">
        <v>46398</v>
      </c>
      <c r="U3499" t="s">
        <v>49929</v>
      </c>
      <c r="W3499" t="s">
        <v>42094</v>
      </c>
      <c r="X3499" t="s">
        <v>44763</v>
      </c>
    </row>
    <row r="3500" spans="1:24">
      <c r="A3500">
        <f>HYPERLINK("https://www.philgeps.gov.ph/GEPSNONPILOT/Tender/SplashBidNoticeAbstractUI.aspx?menuIndex=3&amp;refID=7149976&amp;Result=3","7149976")</f>
        <v>0</v>
      </c>
      <c r="B3500" t="s">
        <v>1393</v>
      </c>
      <c r="C3500" t="s">
        <v>7097</v>
      </c>
      <c r="E3500" t="s">
        <v>21181</v>
      </c>
      <c r="F3500" t="s">
        <v>30900</v>
      </c>
      <c r="G3500" t="s">
        <v>30908</v>
      </c>
      <c r="H3500" t="s">
        <v>30916</v>
      </c>
      <c r="I3500" t="s">
        <v>30918</v>
      </c>
      <c r="J3500" t="s">
        <v>33505</v>
      </c>
      <c r="K3500" t="s">
        <v>40289</v>
      </c>
      <c r="M3500" t="s">
        <v>42018</v>
      </c>
      <c r="N3500" t="s">
        <v>44759</v>
      </c>
      <c r="O3500" t="s">
        <v>44760</v>
      </c>
      <c r="P3500">
        <v>0</v>
      </c>
      <c r="Q3500">
        <v>12</v>
      </c>
      <c r="R3500" t="s">
        <v>44762</v>
      </c>
      <c r="S3500" t="s">
        <v>44863</v>
      </c>
      <c r="T3500" t="s">
        <v>46379</v>
      </c>
      <c r="U3500" t="s">
        <v>47043</v>
      </c>
      <c r="W3500" t="s">
        <v>42018</v>
      </c>
      <c r="X3500" t="s">
        <v>44763</v>
      </c>
    </row>
    <row r="3501" spans="1:24">
      <c r="A3501">
        <f>HYPERLINK("https://www.philgeps.gov.ph/GEPSNONPILOT/Tender/SplashBidNoticeAbstractUI.aspx?menuIndex=3&amp;refID=7150015&amp;Result=3","7150015")</f>
        <v>0</v>
      </c>
      <c r="B3501" t="s">
        <v>1294</v>
      </c>
      <c r="C3501" t="s">
        <v>7098</v>
      </c>
      <c r="D3501" t="s">
        <v>18009</v>
      </c>
      <c r="E3501" t="s">
        <v>20855</v>
      </c>
      <c r="F3501" t="s">
        <v>30900</v>
      </c>
      <c r="G3501" t="s">
        <v>30909</v>
      </c>
      <c r="H3501" t="s">
        <v>30916</v>
      </c>
      <c r="I3501" t="s">
        <v>30923</v>
      </c>
      <c r="J3501" t="s">
        <v>33506</v>
      </c>
      <c r="K3501" t="s">
        <v>40331</v>
      </c>
      <c r="M3501" t="s">
        <v>41911</v>
      </c>
      <c r="N3501" t="s">
        <v>44759</v>
      </c>
      <c r="O3501" t="s">
        <v>44760</v>
      </c>
      <c r="P3501">
        <v>0</v>
      </c>
      <c r="Q3501">
        <v>0</v>
      </c>
      <c r="R3501" t="s">
        <v>44762</v>
      </c>
      <c r="S3501" t="s">
        <v>44863</v>
      </c>
      <c r="T3501" t="s">
        <v>46414</v>
      </c>
      <c r="U3501" t="s">
        <v>49930</v>
      </c>
      <c r="W3501" t="s">
        <v>41911</v>
      </c>
      <c r="X3501" t="s">
        <v>44763</v>
      </c>
    </row>
    <row r="3502" spans="1:24">
      <c r="A3502">
        <f>HYPERLINK("https://www.philgeps.gov.ph/GEPSNONPILOT/Tender/SplashBidNoticeAbstractUI.aspx?menuIndex=3&amp;refID=7150017&amp;Result=3","7150017")</f>
        <v>0</v>
      </c>
      <c r="B3502" t="s">
        <v>624</v>
      </c>
      <c r="C3502" t="s">
        <v>7099</v>
      </c>
      <c r="D3502" t="s">
        <v>17977</v>
      </c>
      <c r="E3502" t="s">
        <v>21182</v>
      </c>
      <c r="F3502" t="s">
        <v>30900</v>
      </c>
      <c r="G3502" t="s">
        <v>30908</v>
      </c>
      <c r="H3502" t="s">
        <v>30916</v>
      </c>
      <c r="I3502" t="s">
        <v>10847</v>
      </c>
      <c r="J3502" t="s">
        <v>33507</v>
      </c>
      <c r="K3502" t="s">
        <v>40289</v>
      </c>
      <c r="M3502" t="s">
        <v>41186</v>
      </c>
      <c r="N3502" t="s">
        <v>44759</v>
      </c>
      <c r="O3502" t="s">
        <v>44760</v>
      </c>
      <c r="P3502">
        <v>0</v>
      </c>
      <c r="Q3502">
        <v>0</v>
      </c>
      <c r="R3502" t="s">
        <v>44762</v>
      </c>
      <c r="S3502" t="s">
        <v>44863</v>
      </c>
      <c r="T3502" t="s">
        <v>46351</v>
      </c>
      <c r="U3502" t="s">
        <v>48040</v>
      </c>
      <c r="W3502" t="s">
        <v>41186</v>
      </c>
      <c r="X3502" t="s">
        <v>44763</v>
      </c>
    </row>
    <row r="3503" spans="1:24">
      <c r="A3503">
        <f>HYPERLINK("https://www.philgeps.gov.ph/GEPSNONPILOT/Tender/SplashBidNoticeAbstractUI.aspx?menuIndex=3&amp;refID=7150030&amp;Result=3","7150030")</f>
        <v>0</v>
      </c>
      <c r="B3503" t="s">
        <v>350</v>
      </c>
      <c r="C3503" t="s">
        <v>7100</v>
      </c>
      <c r="D3503" t="s">
        <v>18025</v>
      </c>
      <c r="E3503" t="s">
        <v>21183</v>
      </c>
      <c r="F3503" t="s">
        <v>30900</v>
      </c>
      <c r="G3503" t="s">
        <v>30908</v>
      </c>
      <c r="H3503" t="s">
        <v>30916</v>
      </c>
      <c r="I3503" t="s">
        <v>6834</v>
      </c>
      <c r="J3503" t="s">
        <v>31341</v>
      </c>
      <c r="K3503" t="s">
        <v>40291</v>
      </c>
      <c r="M3503" t="s">
        <v>42095</v>
      </c>
      <c r="N3503" t="s">
        <v>44759</v>
      </c>
      <c r="O3503" t="s">
        <v>44760</v>
      </c>
      <c r="P3503">
        <v>0</v>
      </c>
      <c r="Q3503">
        <v>1</v>
      </c>
      <c r="R3503" t="s">
        <v>44762</v>
      </c>
      <c r="S3503" t="s">
        <v>44863</v>
      </c>
      <c r="T3503" t="s">
        <v>46414</v>
      </c>
      <c r="U3503" t="s">
        <v>47723</v>
      </c>
      <c r="W3503" t="s">
        <v>60832</v>
      </c>
      <c r="X3503" t="s">
        <v>44763</v>
      </c>
    </row>
    <row r="3504" spans="1:24">
      <c r="A3504">
        <f>HYPERLINK("https://www.philgeps.gov.ph/GEPSNONPILOT/Tender/SplashBidNoticeAbstractUI.aspx?menuIndex=3&amp;refID=7150023&amp;Result=3","7150023")</f>
        <v>0</v>
      </c>
      <c r="B3504" t="s">
        <v>1459</v>
      </c>
      <c r="C3504" t="s">
        <v>7101</v>
      </c>
      <c r="D3504" t="s">
        <v>17975</v>
      </c>
      <c r="E3504" t="s">
        <v>21184</v>
      </c>
      <c r="F3504" t="s">
        <v>30900</v>
      </c>
      <c r="G3504" t="s">
        <v>30909</v>
      </c>
      <c r="H3504" t="s">
        <v>30916</v>
      </c>
      <c r="I3504" t="s">
        <v>6953</v>
      </c>
      <c r="J3504" t="s">
        <v>33508</v>
      </c>
      <c r="K3504" t="s">
        <v>40284</v>
      </c>
      <c r="L3504" t="s">
        <v>1459</v>
      </c>
      <c r="M3504" t="s">
        <v>42091</v>
      </c>
      <c r="N3504" t="s">
        <v>44759</v>
      </c>
      <c r="O3504" t="s">
        <v>44760</v>
      </c>
      <c r="P3504">
        <v>0</v>
      </c>
      <c r="Q3504">
        <v>0</v>
      </c>
      <c r="R3504" t="s">
        <v>44762</v>
      </c>
      <c r="S3504" t="s">
        <v>44863</v>
      </c>
      <c r="T3504" t="s">
        <v>46379</v>
      </c>
      <c r="U3504" t="s">
        <v>49925</v>
      </c>
      <c r="W3504" t="s">
        <v>42091</v>
      </c>
      <c r="X3504" t="s">
        <v>44763</v>
      </c>
    </row>
    <row r="3505" spans="1:24">
      <c r="A3505">
        <f>HYPERLINK("https://www.philgeps.gov.ph/GEPSNONPILOT/Tender/SplashBidNoticeAbstractUI.aspx?menuIndex=3&amp;refID=7150022&amp;Result=3","7150022")</f>
        <v>0</v>
      </c>
      <c r="B3505" t="s">
        <v>943</v>
      </c>
      <c r="C3505" t="s">
        <v>7102</v>
      </c>
      <c r="D3505" t="s">
        <v>17957</v>
      </c>
      <c r="E3505" t="s">
        <v>21185</v>
      </c>
      <c r="F3505" t="s">
        <v>30900</v>
      </c>
      <c r="G3505" t="s">
        <v>30907</v>
      </c>
      <c r="H3505" t="s">
        <v>30915</v>
      </c>
      <c r="I3505" t="s">
        <v>30919</v>
      </c>
      <c r="J3505" t="s">
        <v>33509</v>
      </c>
      <c r="K3505" t="s">
        <v>40304</v>
      </c>
      <c r="M3505" t="s">
        <v>41527</v>
      </c>
      <c r="N3505" t="s">
        <v>44759</v>
      </c>
      <c r="O3505" t="s">
        <v>44760</v>
      </c>
      <c r="P3505">
        <v>0</v>
      </c>
      <c r="Q3505">
        <v>0</v>
      </c>
      <c r="R3505" t="s">
        <v>44762</v>
      </c>
      <c r="S3505" t="s">
        <v>44863</v>
      </c>
      <c r="T3505" t="s">
        <v>46465</v>
      </c>
      <c r="U3505" t="s">
        <v>49683</v>
      </c>
      <c r="W3505" t="s">
        <v>41527</v>
      </c>
      <c r="X3505" t="s">
        <v>44763</v>
      </c>
    </row>
    <row r="3506" spans="1:24">
      <c r="A3506">
        <f>HYPERLINK("https://www.philgeps.gov.ph/GEPSNONPILOT/Tender/SplashBidNoticeAbstractUI.aspx?menuIndex=3&amp;refID=7150021&amp;Result=3","7150021")</f>
        <v>0</v>
      </c>
      <c r="B3506" t="s">
        <v>1446</v>
      </c>
      <c r="C3506" t="s">
        <v>7103</v>
      </c>
      <c r="D3506" t="s">
        <v>17971</v>
      </c>
      <c r="E3506" t="s">
        <v>21186</v>
      </c>
      <c r="F3506" t="s">
        <v>30900</v>
      </c>
      <c r="G3506" t="s">
        <v>30908</v>
      </c>
      <c r="H3506" t="s">
        <v>30916</v>
      </c>
      <c r="I3506" t="s">
        <v>4142</v>
      </c>
      <c r="J3506" t="s">
        <v>33510</v>
      </c>
      <c r="K3506" t="s">
        <v>40285</v>
      </c>
      <c r="M3506" t="s">
        <v>42078</v>
      </c>
      <c r="N3506" t="s">
        <v>44759</v>
      </c>
      <c r="O3506" t="s">
        <v>44760</v>
      </c>
      <c r="P3506">
        <v>0</v>
      </c>
      <c r="Q3506">
        <v>1</v>
      </c>
      <c r="R3506" t="s">
        <v>44762</v>
      </c>
      <c r="S3506" t="s">
        <v>44863</v>
      </c>
      <c r="T3506" t="s">
        <v>46383</v>
      </c>
      <c r="U3506" t="s">
        <v>49902</v>
      </c>
      <c r="W3506" t="s">
        <v>60861</v>
      </c>
      <c r="X3506" t="s">
        <v>44763</v>
      </c>
    </row>
    <row r="3507" spans="1:24">
      <c r="A3507">
        <f>HYPERLINK("https://www.philgeps.gov.ph/GEPSNONPILOT/Tender/SplashBidNoticeAbstractUI.aspx?menuIndex=3&amp;refID=7150020&amp;Result=3","7150020")</f>
        <v>0</v>
      </c>
      <c r="B3507" t="s">
        <v>1351</v>
      </c>
      <c r="C3507" t="s">
        <v>7104</v>
      </c>
      <c r="D3507" t="s">
        <v>18025</v>
      </c>
      <c r="E3507" t="s">
        <v>21187</v>
      </c>
      <c r="F3507" t="s">
        <v>30900</v>
      </c>
      <c r="G3507" t="s">
        <v>30908</v>
      </c>
      <c r="H3507" t="s">
        <v>30916</v>
      </c>
      <c r="I3507" t="s">
        <v>30921</v>
      </c>
      <c r="J3507" t="s">
        <v>33511</v>
      </c>
      <c r="K3507" t="s">
        <v>40286</v>
      </c>
      <c r="M3507" t="s">
        <v>41973</v>
      </c>
      <c r="N3507" t="s">
        <v>44759</v>
      </c>
      <c r="O3507" t="s">
        <v>44760</v>
      </c>
      <c r="P3507">
        <v>0</v>
      </c>
      <c r="Q3507">
        <v>3</v>
      </c>
      <c r="R3507" t="s">
        <v>44762</v>
      </c>
      <c r="S3507" t="s">
        <v>44863</v>
      </c>
      <c r="T3507" t="s">
        <v>46414</v>
      </c>
      <c r="U3507" t="s">
        <v>49931</v>
      </c>
      <c r="W3507" t="s">
        <v>41973</v>
      </c>
      <c r="X3507" t="s">
        <v>44763</v>
      </c>
    </row>
    <row r="3508" spans="1:24">
      <c r="A3508">
        <f>HYPERLINK("https://www.philgeps.gov.ph/GEPSNONPILOT/Tender/SplashBidNoticeAbstractUI.aspx?menuIndex=3&amp;refID=7150019&amp;Result=3","7150019")</f>
        <v>0</v>
      </c>
      <c r="B3508" t="s">
        <v>1420</v>
      </c>
      <c r="C3508" t="s">
        <v>7105</v>
      </c>
      <c r="D3508" t="s">
        <v>18003</v>
      </c>
      <c r="E3508" t="s">
        <v>21188</v>
      </c>
      <c r="F3508" t="s">
        <v>30900</v>
      </c>
      <c r="G3508" t="s">
        <v>30908</v>
      </c>
      <c r="H3508" t="s">
        <v>30916</v>
      </c>
      <c r="I3508" t="s">
        <v>4545</v>
      </c>
      <c r="J3508" t="s">
        <v>31043</v>
      </c>
      <c r="K3508" t="s">
        <v>40286</v>
      </c>
      <c r="M3508" t="s">
        <v>42049</v>
      </c>
      <c r="N3508" t="s">
        <v>44759</v>
      </c>
      <c r="O3508" t="s">
        <v>44760</v>
      </c>
      <c r="P3508">
        <v>0</v>
      </c>
      <c r="Q3508">
        <v>0</v>
      </c>
      <c r="R3508" t="s">
        <v>44762</v>
      </c>
      <c r="S3508" t="s">
        <v>44863</v>
      </c>
      <c r="T3508" t="s">
        <v>46395</v>
      </c>
      <c r="U3508" t="s">
        <v>49932</v>
      </c>
      <c r="W3508" t="s">
        <v>42049</v>
      </c>
      <c r="X3508" t="s">
        <v>44763</v>
      </c>
    </row>
    <row r="3509" spans="1:24">
      <c r="A3509">
        <f>HYPERLINK("https://www.philgeps.gov.ph/GEPSNONPILOT/Tender/SplashBidNoticeAbstractUI.aspx?menuIndex=3&amp;refID=7150026&amp;Result=3","7150026")</f>
        <v>0</v>
      </c>
      <c r="B3509" t="s">
        <v>734</v>
      </c>
      <c r="C3509" t="s">
        <v>7106</v>
      </c>
      <c r="E3509" t="s">
        <v>21189</v>
      </c>
      <c r="F3509" t="s">
        <v>30900</v>
      </c>
      <c r="G3509" t="s">
        <v>30908</v>
      </c>
      <c r="H3509" t="s">
        <v>30916</v>
      </c>
      <c r="I3509" t="s">
        <v>30923</v>
      </c>
      <c r="J3509" t="s">
        <v>33512</v>
      </c>
      <c r="K3509" t="s">
        <v>40287</v>
      </c>
      <c r="M3509" t="s">
        <v>41298</v>
      </c>
      <c r="N3509" t="s">
        <v>44759</v>
      </c>
      <c r="O3509" t="s">
        <v>44760</v>
      </c>
      <c r="P3509">
        <v>0</v>
      </c>
      <c r="Q3509">
        <v>1</v>
      </c>
      <c r="R3509" t="s">
        <v>44762</v>
      </c>
      <c r="S3509" t="s">
        <v>44863</v>
      </c>
      <c r="T3509" t="s">
        <v>46379</v>
      </c>
      <c r="U3509" t="s">
        <v>49933</v>
      </c>
      <c r="W3509" t="s">
        <v>41298</v>
      </c>
      <c r="X3509" t="s">
        <v>44763</v>
      </c>
    </row>
    <row r="3510" spans="1:24">
      <c r="A3510">
        <f>HYPERLINK("https://www.philgeps.gov.ph/GEPSNONPILOT/Tender/SplashBidNoticeAbstractUI.aspx?menuIndex=3&amp;refID=7150037&amp;Result=3","7150037")</f>
        <v>0</v>
      </c>
      <c r="B3510" t="s">
        <v>1119</v>
      </c>
      <c r="C3510" t="s">
        <v>7107</v>
      </c>
      <c r="D3510" t="s">
        <v>17959</v>
      </c>
      <c r="E3510" t="s">
        <v>21190</v>
      </c>
      <c r="F3510" t="s">
        <v>30900</v>
      </c>
      <c r="G3510" t="s">
        <v>30910</v>
      </c>
      <c r="H3510" t="s">
        <v>30916</v>
      </c>
      <c r="I3510" t="s">
        <v>6396</v>
      </c>
      <c r="J3510" t="s">
        <v>33513</v>
      </c>
      <c r="K3510" t="s">
        <v>40283</v>
      </c>
      <c r="M3510" t="s">
        <v>41749</v>
      </c>
      <c r="N3510" t="s">
        <v>44759</v>
      </c>
      <c r="O3510" t="s">
        <v>44760</v>
      </c>
      <c r="P3510">
        <v>0</v>
      </c>
      <c r="Q3510">
        <v>7</v>
      </c>
      <c r="R3510" t="s">
        <v>44762</v>
      </c>
      <c r="S3510" t="s">
        <v>44863</v>
      </c>
      <c r="T3510" t="s">
        <v>46363</v>
      </c>
      <c r="U3510" t="s">
        <v>49074</v>
      </c>
      <c r="V3510" t="s">
        <v>59506</v>
      </c>
      <c r="W3510" t="s">
        <v>41749</v>
      </c>
      <c r="X3510" t="s">
        <v>44763</v>
      </c>
    </row>
    <row r="3511" spans="1:24">
      <c r="A3511">
        <f>HYPERLINK("https://www.philgeps.gov.ph/GEPSNONPILOT/Tender/SplashBidNoticeAbstractUI.aspx?menuIndex=3&amp;refID=7150035&amp;Result=3","7150035")</f>
        <v>0</v>
      </c>
      <c r="B3511" t="s">
        <v>1452</v>
      </c>
      <c r="C3511" t="s">
        <v>7108</v>
      </c>
      <c r="D3511" t="s">
        <v>18000</v>
      </c>
      <c r="E3511" t="s">
        <v>20127</v>
      </c>
      <c r="F3511" t="s">
        <v>30900</v>
      </c>
      <c r="G3511" t="s">
        <v>30908</v>
      </c>
      <c r="H3511" t="s">
        <v>30916</v>
      </c>
      <c r="I3511" t="s">
        <v>4108</v>
      </c>
      <c r="J3511" t="s">
        <v>31257</v>
      </c>
      <c r="K3511" t="s">
        <v>40285</v>
      </c>
      <c r="M3511" t="s">
        <v>42084</v>
      </c>
      <c r="N3511" t="s">
        <v>44759</v>
      </c>
      <c r="O3511" t="s">
        <v>44760</v>
      </c>
      <c r="P3511">
        <v>0</v>
      </c>
      <c r="Q3511">
        <v>0</v>
      </c>
      <c r="R3511" t="s">
        <v>44762</v>
      </c>
      <c r="S3511" t="s">
        <v>44863</v>
      </c>
      <c r="T3511" t="s">
        <v>46414</v>
      </c>
      <c r="U3511" t="s">
        <v>49934</v>
      </c>
      <c r="W3511" t="s">
        <v>42084</v>
      </c>
      <c r="X3511" t="s">
        <v>44763</v>
      </c>
    </row>
    <row r="3512" spans="1:24">
      <c r="A3512">
        <f>HYPERLINK("https://www.philgeps.gov.ph/GEPSNONPILOT/Tender/SplashBidNoticeAbstractUI.aspx?menuIndex=3&amp;refID=7150034&amp;Result=3","7150034")</f>
        <v>0</v>
      </c>
      <c r="B3512" t="s">
        <v>1199</v>
      </c>
      <c r="C3512" t="s">
        <v>7109</v>
      </c>
      <c r="D3512" t="s">
        <v>17955</v>
      </c>
      <c r="E3512" t="s">
        <v>21191</v>
      </c>
      <c r="F3512" t="s">
        <v>30900</v>
      </c>
      <c r="G3512" t="s">
        <v>30907</v>
      </c>
      <c r="H3512" t="s">
        <v>30915</v>
      </c>
      <c r="I3512" t="s">
        <v>30919</v>
      </c>
      <c r="J3512" t="s">
        <v>31152</v>
      </c>
      <c r="K3512" t="s">
        <v>40355</v>
      </c>
      <c r="M3512" t="s">
        <v>41810</v>
      </c>
      <c r="N3512" t="s">
        <v>44759</v>
      </c>
      <c r="O3512" t="s">
        <v>44760</v>
      </c>
      <c r="P3512">
        <v>0</v>
      </c>
      <c r="Q3512">
        <v>0</v>
      </c>
      <c r="R3512" t="s">
        <v>44762</v>
      </c>
      <c r="S3512" t="s">
        <v>44863</v>
      </c>
      <c r="T3512" t="s">
        <v>46405</v>
      </c>
      <c r="U3512" t="s">
        <v>49935</v>
      </c>
      <c r="W3512" t="s">
        <v>41810</v>
      </c>
      <c r="X3512" t="s">
        <v>44763</v>
      </c>
    </row>
    <row r="3513" spans="1:24">
      <c r="A3513">
        <f>HYPERLINK("https://www.philgeps.gov.ph/GEPSNONPILOT/Tender/SplashBidNoticeAbstractUI.aspx?menuIndex=3&amp;refID=7150033&amp;Result=3","7150033")</f>
        <v>0</v>
      </c>
      <c r="B3513" t="s">
        <v>854</v>
      </c>
      <c r="C3513" t="s">
        <v>7110</v>
      </c>
      <c r="D3513" t="s">
        <v>17963</v>
      </c>
      <c r="E3513" t="s">
        <v>21192</v>
      </c>
      <c r="F3513" t="s">
        <v>30900</v>
      </c>
      <c r="G3513" t="s">
        <v>30908</v>
      </c>
      <c r="H3513" t="s">
        <v>30916</v>
      </c>
      <c r="I3513" t="s">
        <v>30965</v>
      </c>
      <c r="J3513" t="s">
        <v>33514</v>
      </c>
      <c r="K3513" t="s">
        <v>40287</v>
      </c>
      <c r="M3513" t="s">
        <v>41427</v>
      </c>
      <c r="N3513" t="s">
        <v>44759</v>
      </c>
      <c r="O3513" t="s">
        <v>44760</v>
      </c>
      <c r="P3513">
        <v>0</v>
      </c>
      <c r="Q3513">
        <v>1</v>
      </c>
      <c r="R3513" t="s">
        <v>44762</v>
      </c>
      <c r="S3513" t="s">
        <v>44863</v>
      </c>
      <c r="T3513" t="s">
        <v>46414</v>
      </c>
      <c r="U3513" t="s">
        <v>49936</v>
      </c>
      <c r="V3513" t="s">
        <v>59319</v>
      </c>
      <c r="W3513" t="s">
        <v>41427</v>
      </c>
      <c r="X3513" t="s">
        <v>44763</v>
      </c>
    </row>
    <row r="3514" spans="1:24">
      <c r="A3514">
        <f>HYPERLINK("https://www.philgeps.gov.ph/GEPSNONPILOT/Tender/SplashBidNoticeAbstractUI.aspx?menuIndex=3&amp;refID=7150018&amp;Result=3","7150018")</f>
        <v>0</v>
      </c>
      <c r="B3514" t="s">
        <v>1431</v>
      </c>
      <c r="C3514" t="s">
        <v>7111</v>
      </c>
      <c r="D3514" t="s">
        <v>17977</v>
      </c>
      <c r="E3514" t="s">
        <v>21193</v>
      </c>
      <c r="F3514" t="s">
        <v>30900</v>
      </c>
      <c r="G3514" t="s">
        <v>30907</v>
      </c>
      <c r="H3514" t="s">
        <v>30916</v>
      </c>
      <c r="I3514" t="s">
        <v>30919</v>
      </c>
      <c r="J3514" t="s">
        <v>31407</v>
      </c>
      <c r="K3514" t="s">
        <v>40288</v>
      </c>
      <c r="M3514" t="s">
        <v>42063</v>
      </c>
      <c r="N3514" t="s">
        <v>44759</v>
      </c>
      <c r="O3514" t="s">
        <v>44760</v>
      </c>
      <c r="P3514">
        <v>0</v>
      </c>
      <c r="Q3514">
        <v>0</v>
      </c>
      <c r="R3514" t="s">
        <v>44762</v>
      </c>
      <c r="S3514" t="s">
        <v>44863</v>
      </c>
      <c r="T3514" t="s">
        <v>46442</v>
      </c>
      <c r="U3514" t="s">
        <v>49937</v>
      </c>
      <c r="V3514" t="s">
        <v>59515</v>
      </c>
      <c r="W3514" t="s">
        <v>42063</v>
      </c>
      <c r="X3514" t="s">
        <v>44763</v>
      </c>
    </row>
    <row r="3515" spans="1:24">
      <c r="A3515">
        <f>HYPERLINK("https://www.philgeps.gov.ph/GEPSNONPILOT/Tender/SplashBidNoticeAbstractUI.aspx?menuIndex=3&amp;refID=7150032&amp;Result=3","7150032")</f>
        <v>0</v>
      </c>
      <c r="B3515" t="s">
        <v>1027</v>
      </c>
      <c r="C3515" t="s">
        <v>7112</v>
      </c>
      <c r="D3515" t="s">
        <v>17973</v>
      </c>
      <c r="E3515" t="s">
        <v>21194</v>
      </c>
      <c r="F3515" t="s">
        <v>30900</v>
      </c>
      <c r="G3515" t="s">
        <v>30908</v>
      </c>
      <c r="H3515" t="s">
        <v>30916</v>
      </c>
      <c r="I3515" t="s">
        <v>31000</v>
      </c>
      <c r="J3515" t="s">
        <v>31288</v>
      </c>
      <c r="K3515" t="s">
        <v>40286</v>
      </c>
      <c r="M3515" t="s">
        <v>41879</v>
      </c>
      <c r="N3515" t="s">
        <v>44759</v>
      </c>
      <c r="O3515" t="s">
        <v>44760</v>
      </c>
      <c r="P3515">
        <v>0</v>
      </c>
      <c r="Q3515">
        <v>3</v>
      </c>
      <c r="R3515" t="s">
        <v>44762</v>
      </c>
      <c r="S3515" t="s">
        <v>44863</v>
      </c>
      <c r="T3515" t="s">
        <v>46393</v>
      </c>
      <c r="U3515" t="s">
        <v>49938</v>
      </c>
      <c r="W3515" t="s">
        <v>41879</v>
      </c>
      <c r="X3515" t="s">
        <v>44763</v>
      </c>
    </row>
    <row r="3516" spans="1:24">
      <c r="A3516">
        <f>HYPERLINK("https://www.philgeps.gov.ph/GEPSNONPILOT/Tender/SplashBidNoticeAbstractUI.aspx?menuIndex=3&amp;refID=7150031&amp;Result=3","7150031")</f>
        <v>0</v>
      </c>
      <c r="B3516" t="s">
        <v>1462</v>
      </c>
      <c r="C3516" t="s">
        <v>7113</v>
      </c>
      <c r="E3516" t="s">
        <v>21195</v>
      </c>
      <c r="F3516" t="s">
        <v>30900</v>
      </c>
      <c r="G3516" t="s">
        <v>30907</v>
      </c>
      <c r="H3516" t="s">
        <v>30916</v>
      </c>
      <c r="I3516" t="s">
        <v>8123</v>
      </c>
      <c r="J3516" t="s">
        <v>33515</v>
      </c>
      <c r="K3516" t="s">
        <v>40289</v>
      </c>
      <c r="M3516" t="s">
        <v>42096</v>
      </c>
      <c r="N3516" t="s">
        <v>44759</v>
      </c>
      <c r="O3516" t="s">
        <v>44760</v>
      </c>
      <c r="P3516">
        <v>0</v>
      </c>
      <c r="Q3516">
        <v>0</v>
      </c>
      <c r="R3516" t="s">
        <v>44762</v>
      </c>
      <c r="S3516" t="s">
        <v>44863</v>
      </c>
      <c r="T3516" t="s">
        <v>46400</v>
      </c>
      <c r="U3516" t="s">
        <v>49939</v>
      </c>
      <c r="V3516" t="s">
        <v>59516</v>
      </c>
      <c r="W3516" t="s">
        <v>42096</v>
      </c>
      <c r="X3516" t="s">
        <v>44763</v>
      </c>
    </row>
    <row r="3517" spans="1:24">
      <c r="A3517">
        <f>HYPERLINK("https://www.philgeps.gov.ph/GEPSNONPILOT/Tender/SplashBidNoticeAbstractUI.aspx?menuIndex=3&amp;refID=7150038&amp;Result=3","7150038")</f>
        <v>0</v>
      </c>
      <c r="B3517" t="s">
        <v>1463</v>
      </c>
      <c r="C3517" t="s">
        <v>7114</v>
      </c>
      <c r="D3517" t="s">
        <v>17978</v>
      </c>
      <c r="E3517" t="s">
        <v>21196</v>
      </c>
      <c r="F3517" t="s">
        <v>30900</v>
      </c>
      <c r="G3517" t="s">
        <v>30907</v>
      </c>
      <c r="H3517" t="s">
        <v>30916</v>
      </c>
      <c r="I3517" t="s">
        <v>30950</v>
      </c>
      <c r="J3517" t="s">
        <v>33516</v>
      </c>
      <c r="K3517" t="s">
        <v>40293</v>
      </c>
      <c r="M3517" t="s">
        <v>42097</v>
      </c>
      <c r="N3517" t="s">
        <v>44759</v>
      </c>
      <c r="O3517" t="s">
        <v>44760</v>
      </c>
      <c r="P3517">
        <v>0</v>
      </c>
      <c r="Q3517">
        <v>1</v>
      </c>
      <c r="R3517" t="s">
        <v>44762</v>
      </c>
      <c r="S3517" t="s">
        <v>44863</v>
      </c>
      <c r="T3517" t="s">
        <v>46350</v>
      </c>
      <c r="U3517" t="s">
        <v>49940</v>
      </c>
      <c r="W3517" t="s">
        <v>42097</v>
      </c>
      <c r="X3517" t="s">
        <v>44763</v>
      </c>
    </row>
    <row r="3518" spans="1:24">
      <c r="A3518">
        <f>HYPERLINK("https://www.philgeps.gov.ph/GEPSNONPILOT/Tender/SplashBidNoticeAbstractUI.aspx?menuIndex=3&amp;refID=7150053&amp;Result=3","7150053")</f>
        <v>0</v>
      </c>
      <c r="B3518" t="s">
        <v>192</v>
      </c>
      <c r="C3518" t="s">
        <v>4064</v>
      </c>
      <c r="D3518" t="s">
        <v>17975</v>
      </c>
      <c r="E3518" t="s">
        <v>21197</v>
      </c>
      <c r="F3518" t="s">
        <v>30900</v>
      </c>
      <c r="G3518" t="s">
        <v>30908</v>
      </c>
      <c r="H3518" t="s">
        <v>30916</v>
      </c>
      <c r="I3518" t="s">
        <v>4108</v>
      </c>
      <c r="J3518" t="s">
        <v>33517</v>
      </c>
      <c r="K3518" t="s">
        <v>40283</v>
      </c>
      <c r="M3518" t="s">
        <v>40739</v>
      </c>
      <c r="N3518" t="s">
        <v>44759</v>
      </c>
      <c r="O3518" t="s">
        <v>44760</v>
      </c>
      <c r="P3518">
        <v>0</v>
      </c>
      <c r="Q3518">
        <v>0</v>
      </c>
      <c r="R3518" t="s">
        <v>44762</v>
      </c>
      <c r="S3518" t="s">
        <v>44863</v>
      </c>
      <c r="T3518" t="s">
        <v>46414</v>
      </c>
      <c r="U3518" t="s">
        <v>49941</v>
      </c>
      <c r="V3518" t="s">
        <v>59513</v>
      </c>
      <c r="W3518" t="s">
        <v>40739</v>
      </c>
      <c r="X3518" t="s">
        <v>44763</v>
      </c>
    </row>
    <row r="3519" spans="1:24">
      <c r="A3519">
        <f>HYPERLINK("https://www.philgeps.gov.ph/GEPSNONPILOT/Tender/SplashBidNoticeAbstractUI.aspx?menuIndex=3&amp;refID=7150050&amp;Result=3","7150050")</f>
        <v>0</v>
      </c>
      <c r="B3519" t="s">
        <v>405</v>
      </c>
      <c r="C3519" t="s">
        <v>7115</v>
      </c>
      <c r="D3519" t="s">
        <v>17971</v>
      </c>
      <c r="E3519" t="s">
        <v>21198</v>
      </c>
      <c r="F3519" t="s">
        <v>30900</v>
      </c>
      <c r="G3519" t="s">
        <v>30907</v>
      </c>
      <c r="H3519" t="s">
        <v>30915</v>
      </c>
      <c r="I3519" t="s">
        <v>30919</v>
      </c>
      <c r="J3519" t="s">
        <v>33518</v>
      </c>
      <c r="K3519" t="s">
        <v>40301</v>
      </c>
      <c r="M3519" t="s">
        <v>40961</v>
      </c>
      <c r="N3519" t="s">
        <v>44759</v>
      </c>
      <c r="O3519" t="s">
        <v>44760</v>
      </c>
      <c r="P3519">
        <v>0</v>
      </c>
      <c r="Q3519">
        <v>23</v>
      </c>
      <c r="R3519" t="s">
        <v>44762</v>
      </c>
      <c r="S3519" t="s">
        <v>44863</v>
      </c>
      <c r="T3519" t="s">
        <v>46405</v>
      </c>
      <c r="U3519" t="s">
        <v>49942</v>
      </c>
      <c r="V3519" t="s">
        <v>59517</v>
      </c>
      <c r="W3519" t="s">
        <v>40961</v>
      </c>
      <c r="X3519" t="s">
        <v>44763</v>
      </c>
    </row>
    <row r="3520" spans="1:24">
      <c r="A3520">
        <f>HYPERLINK("https://www.philgeps.gov.ph/GEPSNONPILOT/Tender/SplashBidNoticeAbstractUI.aspx?menuIndex=3&amp;refID=7150047&amp;Result=3","7150047")</f>
        <v>0</v>
      </c>
      <c r="B3520" t="s">
        <v>1464</v>
      </c>
      <c r="C3520" t="s">
        <v>7116</v>
      </c>
      <c r="D3520" t="s">
        <v>17951</v>
      </c>
      <c r="E3520" t="s">
        <v>18149</v>
      </c>
      <c r="F3520" t="s">
        <v>30900</v>
      </c>
      <c r="G3520" t="s">
        <v>30907</v>
      </c>
      <c r="H3520" t="s">
        <v>30915</v>
      </c>
      <c r="I3520" t="s">
        <v>30919</v>
      </c>
      <c r="J3520" t="s">
        <v>33519</v>
      </c>
      <c r="K3520" t="s">
        <v>40304</v>
      </c>
      <c r="M3520" t="s">
        <v>42098</v>
      </c>
      <c r="N3520" t="s">
        <v>44759</v>
      </c>
      <c r="O3520" t="s">
        <v>44760</v>
      </c>
      <c r="P3520">
        <v>0</v>
      </c>
      <c r="Q3520">
        <v>0</v>
      </c>
      <c r="R3520" t="s">
        <v>44762</v>
      </c>
      <c r="S3520" t="s">
        <v>44863</v>
      </c>
      <c r="T3520" t="s">
        <v>46492</v>
      </c>
      <c r="U3520" t="s">
        <v>49943</v>
      </c>
      <c r="W3520" t="s">
        <v>42098</v>
      </c>
      <c r="X3520" t="s">
        <v>44763</v>
      </c>
    </row>
    <row r="3521" spans="1:24">
      <c r="A3521">
        <f>HYPERLINK("https://www.philgeps.gov.ph/GEPSNONPILOT/Tender/SplashBidNoticeAbstractUI.aspx?menuIndex=3&amp;refID=7150046&amp;Result=3","7150046")</f>
        <v>0</v>
      </c>
      <c r="B3521" t="s">
        <v>832</v>
      </c>
      <c r="C3521" t="s">
        <v>7117</v>
      </c>
      <c r="D3521" t="s">
        <v>18025</v>
      </c>
      <c r="E3521" t="s">
        <v>21199</v>
      </c>
      <c r="F3521" t="s">
        <v>30900</v>
      </c>
      <c r="G3521" t="s">
        <v>30908</v>
      </c>
      <c r="H3521" t="s">
        <v>30916</v>
      </c>
      <c r="I3521" t="s">
        <v>30963</v>
      </c>
      <c r="J3521" t="s">
        <v>33520</v>
      </c>
      <c r="K3521" t="s">
        <v>40287</v>
      </c>
      <c r="M3521" t="s">
        <v>41405</v>
      </c>
      <c r="N3521" t="s">
        <v>44759</v>
      </c>
      <c r="O3521" t="s">
        <v>44760</v>
      </c>
      <c r="P3521">
        <v>0</v>
      </c>
      <c r="Q3521">
        <v>1</v>
      </c>
      <c r="R3521" t="s">
        <v>44762</v>
      </c>
      <c r="S3521" t="s">
        <v>44863</v>
      </c>
      <c r="T3521" t="s">
        <v>46414</v>
      </c>
      <c r="U3521" t="s">
        <v>49944</v>
      </c>
      <c r="V3521" t="s">
        <v>59494</v>
      </c>
      <c r="W3521" t="s">
        <v>41405</v>
      </c>
      <c r="X3521" t="s">
        <v>44763</v>
      </c>
    </row>
    <row r="3522" spans="1:24">
      <c r="A3522">
        <f>HYPERLINK("https://www.philgeps.gov.ph/GEPSNONPILOT/Tender/SplashBidNoticeAbstractUI.aspx?menuIndex=3&amp;refID=7150044&amp;Result=3","7150044")</f>
        <v>0</v>
      </c>
      <c r="B3522" t="s">
        <v>1465</v>
      </c>
      <c r="C3522" t="s">
        <v>7118</v>
      </c>
      <c r="D3522" t="s">
        <v>17977</v>
      </c>
      <c r="E3522" t="s">
        <v>21200</v>
      </c>
      <c r="F3522" t="s">
        <v>30900</v>
      </c>
      <c r="G3522" t="s">
        <v>30908</v>
      </c>
      <c r="H3522" t="s">
        <v>30916</v>
      </c>
      <c r="I3522" t="s">
        <v>4017</v>
      </c>
      <c r="J3522" t="s">
        <v>31423</v>
      </c>
      <c r="K3522" t="s">
        <v>40286</v>
      </c>
      <c r="M3522" t="s">
        <v>42099</v>
      </c>
      <c r="N3522" t="s">
        <v>44759</v>
      </c>
      <c r="O3522" t="s">
        <v>44760</v>
      </c>
      <c r="P3522">
        <v>0</v>
      </c>
      <c r="Q3522">
        <v>5</v>
      </c>
      <c r="R3522" t="s">
        <v>44762</v>
      </c>
      <c r="S3522" t="s">
        <v>44863</v>
      </c>
      <c r="T3522" t="s">
        <v>46637</v>
      </c>
      <c r="U3522" t="s">
        <v>49945</v>
      </c>
      <c r="W3522" t="s">
        <v>42099</v>
      </c>
      <c r="X3522" t="s">
        <v>44763</v>
      </c>
    </row>
    <row r="3523" spans="1:24">
      <c r="A3523">
        <f>HYPERLINK("https://www.philgeps.gov.ph/GEPSNONPILOT/Tender/SplashBidNoticeAbstractUI.aspx?menuIndex=3&amp;refID=7150067&amp;Result=3","7150067")</f>
        <v>0</v>
      </c>
      <c r="B3523" t="s">
        <v>937</v>
      </c>
      <c r="C3523" t="s">
        <v>7119</v>
      </c>
      <c r="D3523" t="s">
        <v>17998</v>
      </c>
      <c r="E3523" t="s">
        <v>21201</v>
      </c>
      <c r="F3523" t="s">
        <v>30900</v>
      </c>
      <c r="G3523" t="s">
        <v>30908</v>
      </c>
      <c r="H3523" t="s">
        <v>30916</v>
      </c>
      <c r="I3523" t="s">
        <v>10602</v>
      </c>
      <c r="J3523" t="s">
        <v>31077</v>
      </c>
      <c r="K3523" t="s">
        <v>40289</v>
      </c>
      <c r="M3523" t="s">
        <v>41520</v>
      </c>
      <c r="N3523" t="s">
        <v>44759</v>
      </c>
      <c r="O3523" t="s">
        <v>44760</v>
      </c>
      <c r="P3523">
        <v>0</v>
      </c>
      <c r="Q3523">
        <v>0</v>
      </c>
      <c r="R3523" t="s">
        <v>44762</v>
      </c>
      <c r="S3523" t="s">
        <v>44863</v>
      </c>
      <c r="T3523" t="s">
        <v>46387</v>
      </c>
      <c r="U3523" t="s">
        <v>48643</v>
      </c>
      <c r="W3523" t="s">
        <v>41520</v>
      </c>
      <c r="X3523" t="s">
        <v>44763</v>
      </c>
    </row>
    <row r="3524" spans="1:24">
      <c r="A3524">
        <f>HYPERLINK("https://www.philgeps.gov.ph/GEPSNONPILOT/Tender/SplashBidNoticeAbstractUI.aspx?menuIndex=3&amp;refID=7150066&amp;Result=3","7150066")</f>
        <v>0</v>
      </c>
      <c r="B3524" t="s">
        <v>1360</v>
      </c>
      <c r="C3524" t="s">
        <v>7120</v>
      </c>
      <c r="D3524" t="s">
        <v>18025</v>
      </c>
      <c r="E3524" t="s">
        <v>21202</v>
      </c>
      <c r="F3524" t="s">
        <v>30900</v>
      </c>
      <c r="G3524" t="s">
        <v>30907</v>
      </c>
      <c r="H3524" t="s">
        <v>30915</v>
      </c>
      <c r="I3524" t="s">
        <v>30919</v>
      </c>
      <c r="J3524" t="s">
        <v>33521</v>
      </c>
      <c r="K3524" t="s">
        <v>40289</v>
      </c>
      <c r="M3524" t="s">
        <v>41982</v>
      </c>
      <c r="N3524" t="s">
        <v>44759</v>
      </c>
      <c r="O3524" t="s">
        <v>44760</v>
      </c>
      <c r="P3524">
        <v>0</v>
      </c>
      <c r="Q3524">
        <v>0</v>
      </c>
      <c r="R3524" t="s">
        <v>44762</v>
      </c>
      <c r="S3524" t="s">
        <v>44863</v>
      </c>
      <c r="T3524" t="s">
        <v>46396</v>
      </c>
      <c r="U3524" t="s">
        <v>49946</v>
      </c>
      <c r="W3524" t="s">
        <v>41982</v>
      </c>
      <c r="X3524" t="s">
        <v>44763</v>
      </c>
    </row>
    <row r="3525" spans="1:24">
      <c r="A3525">
        <f>HYPERLINK("https://www.philgeps.gov.ph/GEPSNONPILOT/Tender/SplashBidNoticeAbstractUI.aspx?menuIndex=3&amp;refID=7150064&amp;Result=3","7150064")</f>
        <v>0</v>
      </c>
      <c r="B3525" t="s">
        <v>726</v>
      </c>
      <c r="C3525" t="s">
        <v>4013</v>
      </c>
      <c r="D3525" t="s">
        <v>18016</v>
      </c>
      <c r="E3525" t="s">
        <v>21203</v>
      </c>
      <c r="F3525" t="s">
        <v>30900</v>
      </c>
      <c r="G3525" t="s">
        <v>30907</v>
      </c>
      <c r="H3525" t="s">
        <v>30916</v>
      </c>
      <c r="I3525" t="s">
        <v>4142</v>
      </c>
      <c r="J3525" t="s">
        <v>33522</v>
      </c>
      <c r="K3525" t="s">
        <v>40286</v>
      </c>
      <c r="M3525" t="s">
        <v>41290</v>
      </c>
      <c r="N3525" t="s">
        <v>44759</v>
      </c>
      <c r="O3525" t="s">
        <v>44760</v>
      </c>
      <c r="P3525">
        <v>0</v>
      </c>
      <c r="Q3525">
        <v>0</v>
      </c>
      <c r="R3525" t="s">
        <v>44762</v>
      </c>
      <c r="S3525" t="s">
        <v>44863</v>
      </c>
      <c r="T3525" t="s">
        <v>46389</v>
      </c>
      <c r="U3525" t="s">
        <v>49947</v>
      </c>
      <c r="W3525" t="s">
        <v>41290</v>
      </c>
      <c r="X3525" t="s">
        <v>44763</v>
      </c>
    </row>
    <row r="3526" spans="1:24">
      <c r="A3526">
        <f>HYPERLINK("https://www.philgeps.gov.ph/GEPSNONPILOT/Tender/SplashBidNoticeAbstractUI.aspx?menuIndex=3&amp;refID=7150039&amp;Result=3","7150039")</f>
        <v>0</v>
      </c>
      <c r="B3526" t="s">
        <v>1296</v>
      </c>
      <c r="C3526" t="s">
        <v>7121</v>
      </c>
      <c r="D3526" t="s">
        <v>18019</v>
      </c>
      <c r="E3526" t="s">
        <v>21204</v>
      </c>
      <c r="F3526" t="s">
        <v>30900</v>
      </c>
      <c r="G3526" t="s">
        <v>30908</v>
      </c>
      <c r="H3526" t="s">
        <v>30916</v>
      </c>
      <c r="I3526" t="s">
        <v>5501</v>
      </c>
      <c r="J3526" t="s">
        <v>31788</v>
      </c>
      <c r="K3526" t="s">
        <v>40287</v>
      </c>
      <c r="M3526" t="s">
        <v>41913</v>
      </c>
      <c r="N3526" t="s">
        <v>44759</v>
      </c>
      <c r="O3526" t="s">
        <v>44760</v>
      </c>
      <c r="P3526">
        <v>0</v>
      </c>
      <c r="Q3526">
        <v>3</v>
      </c>
      <c r="R3526" t="s">
        <v>44762</v>
      </c>
      <c r="S3526" t="s">
        <v>44863</v>
      </c>
      <c r="T3526" t="s">
        <v>46457</v>
      </c>
      <c r="U3526" t="s">
        <v>49557</v>
      </c>
      <c r="V3526" t="s">
        <v>59501</v>
      </c>
      <c r="W3526" t="s">
        <v>41913</v>
      </c>
      <c r="X3526" t="s">
        <v>44763</v>
      </c>
    </row>
    <row r="3527" spans="1:24">
      <c r="A3527">
        <f>HYPERLINK("https://www.philgeps.gov.ph/GEPSNONPILOT/Tender/SplashBidNoticeAbstractUI.aspx?menuIndex=3&amp;refID=7150062&amp;Result=3","7150062")</f>
        <v>0</v>
      </c>
      <c r="B3527" t="s">
        <v>767</v>
      </c>
      <c r="C3527" t="s">
        <v>7122</v>
      </c>
      <c r="D3527" t="s">
        <v>18020</v>
      </c>
      <c r="E3527" t="s">
        <v>21205</v>
      </c>
      <c r="F3527" t="s">
        <v>30900</v>
      </c>
      <c r="G3527" t="s">
        <v>30910</v>
      </c>
      <c r="H3527" t="s">
        <v>30916</v>
      </c>
      <c r="I3527" t="s">
        <v>30924</v>
      </c>
      <c r="J3527" t="s">
        <v>33523</v>
      </c>
      <c r="K3527" t="s">
        <v>40289</v>
      </c>
      <c r="M3527" t="s">
        <v>41333</v>
      </c>
      <c r="N3527" t="s">
        <v>44759</v>
      </c>
      <c r="O3527" t="s">
        <v>44760</v>
      </c>
      <c r="P3527">
        <v>0</v>
      </c>
      <c r="Q3527">
        <v>2</v>
      </c>
      <c r="R3527" t="s">
        <v>44762</v>
      </c>
      <c r="S3527" t="s">
        <v>44863</v>
      </c>
      <c r="T3527" t="s">
        <v>46410</v>
      </c>
      <c r="U3527" t="s">
        <v>49948</v>
      </c>
      <c r="V3527" t="s">
        <v>59299</v>
      </c>
      <c r="W3527" t="s">
        <v>41333</v>
      </c>
      <c r="X3527" t="s">
        <v>44763</v>
      </c>
    </row>
    <row r="3528" spans="1:24">
      <c r="A3528">
        <f>HYPERLINK("https://www.philgeps.gov.ph/GEPSNONPILOT/Tender/SplashBidNoticeAbstractUI.aspx?menuIndex=3&amp;refID=7150060&amp;Result=3","7150060")</f>
        <v>0</v>
      </c>
      <c r="B3528" t="s">
        <v>1199</v>
      </c>
      <c r="C3528" t="s">
        <v>7123</v>
      </c>
      <c r="D3528" t="s">
        <v>17955</v>
      </c>
      <c r="E3528" t="s">
        <v>21206</v>
      </c>
      <c r="F3528" t="s">
        <v>30900</v>
      </c>
      <c r="G3528" t="s">
        <v>30907</v>
      </c>
      <c r="H3528" t="s">
        <v>30915</v>
      </c>
      <c r="I3528" t="s">
        <v>30919</v>
      </c>
      <c r="J3528" t="s">
        <v>31701</v>
      </c>
      <c r="K3528" t="s">
        <v>40388</v>
      </c>
      <c r="M3528" t="s">
        <v>41810</v>
      </c>
      <c r="N3528" t="s">
        <v>44759</v>
      </c>
      <c r="O3528" t="s">
        <v>44760</v>
      </c>
      <c r="P3528">
        <v>0</v>
      </c>
      <c r="Q3528">
        <v>0</v>
      </c>
      <c r="R3528" t="s">
        <v>44762</v>
      </c>
      <c r="S3528" t="s">
        <v>44863</v>
      </c>
      <c r="T3528" t="s">
        <v>46405</v>
      </c>
      <c r="U3528" t="s">
        <v>49949</v>
      </c>
      <c r="W3528" t="s">
        <v>41810</v>
      </c>
      <c r="X3528" t="s">
        <v>44763</v>
      </c>
    </row>
    <row r="3529" spans="1:24">
      <c r="A3529">
        <f>HYPERLINK("https://www.philgeps.gov.ph/GEPSNONPILOT/Tender/SplashBidNoticeAbstractUI.aspx?menuIndex=3&amp;refID=7150059&amp;Result=3","7150059")</f>
        <v>0</v>
      </c>
      <c r="B3529" t="s">
        <v>1417</v>
      </c>
      <c r="C3529" t="s">
        <v>7124</v>
      </c>
      <c r="D3529" t="s">
        <v>17996</v>
      </c>
      <c r="E3529" t="s">
        <v>21207</v>
      </c>
      <c r="F3529" t="s">
        <v>30900</v>
      </c>
      <c r="G3529" t="s">
        <v>30908</v>
      </c>
      <c r="H3529" t="s">
        <v>30916</v>
      </c>
      <c r="I3529" t="s">
        <v>30942</v>
      </c>
      <c r="J3529" t="s">
        <v>31256</v>
      </c>
      <c r="K3529" t="s">
        <v>40289</v>
      </c>
      <c r="M3529" t="s">
        <v>42046</v>
      </c>
      <c r="N3529" t="s">
        <v>44759</v>
      </c>
      <c r="O3529" t="s">
        <v>44760</v>
      </c>
      <c r="P3529">
        <v>0</v>
      </c>
      <c r="Q3529">
        <v>0</v>
      </c>
      <c r="R3529" t="s">
        <v>44762</v>
      </c>
      <c r="S3529" t="s">
        <v>44863</v>
      </c>
      <c r="T3529" t="s">
        <v>46383</v>
      </c>
      <c r="U3529" t="s">
        <v>49838</v>
      </c>
      <c r="W3529" t="s">
        <v>42046</v>
      </c>
      <c r="X3529" t="s">
        <v>44763</v>
      </c>
    </row>
    <row r="3530" spans="1:24">
      <c r="A3530">
        <f>HYPERLINK("https://www.philgeps.gov.ph/GEPSNONPILOT/Tender/SplashBidNoticeAbstractUI.aspx?menuIndex=3&amp;refID=7150058&amp;Result=3","7150058")</f>
        <v>0</v>
      </c>
      <c r="B3530" t="s">
        <v>1466</v>
      </c>
      <c r="C3530" t="s">
        <v>7125</v>
      </c>
      <c r="D3530" t="s">
        <v>17952</v>
      </c>
      <c r="E3530" t="s">
        <v>19449</v>
      </c>
      <c r="F3530" t="s">
        <v>30900</v>
      </c>
      <c r="G3530" t="s">
        <v>30908</v>
      </c>
      <c r="H3530" t="s">
        <v>30916</v>
      </c>
      <c r="I3530" t="s">
        <v>8123</v>
      </c>
      <c r="J3530" t="s">
        <v>31183</v>
      </c>
      <c r="K3530" t="s">
        <v>40284</v>
      </c>
      <c r="M3530" t="s">
        <v>42100</v>
      </c>
      <c r="N3530" t="s">
        <v>44759</v>
      </c>
      <c r="O3530" t="s">
        <v>44760</v>
      </c>
      <c r="P3530">
        <v>0</v>
      </c>
      <c r="Q3530">
        <v>0</v>
      </c>
      <c r="R3530" t="s">
        <v>44762</v>
      </c>
      <c r="S3530" t="s">
        <v>44863</v>
      </c>
      <c r="T3530" t="s">
        <v>46376</v>
      </c>
      <c r="U3530" t="s">
        <v>49950</v>
      </c>
      <c r="W3530" t="s">
        <v>42100</v>
      </c>
      <c r="X3530" t="s">
        <v>44763</v>
      </c>
    </row>
    <row r="3531" spans="1:24">
      <c r="A3531">
        <f>HYPERLINK("https://www.philgeps.gov.ph/GEPSNONPILOT/Tender/SplashBidNoticeAbstractUI.aspx?menuIndex=3&amp;refID=7150054&amp;Result=3","7150054")</f>
        <v>0</v>
      </c>
      <c r="B3531" t="s">
        <v>44</v>
      </c>
      <c r="C3531" t="s">
        <v>6913</v>
      </c>
      <c r="D3531" t="s">
        <v>17969</v>
      </c>
      <c r="E3531" t="s">
        <v>21208</v>
      </c>
      <c r="F3531" t="s">
        <v>30900</v>
      </c>
      <c r="G3531" t="s">
        <v>30908</v>
      </c>
      <c r="H3531" t="s">
        <v>30916</v>
      </c>
      <c r="I3531" t="s">
        <v>6953</v>
      </c>
      <c r="J3531" t="s">
        <v>31522</v>
      </c>
      <c r="K3531" t="s">
        <v>40289</v>
      </c>
      <c r="M3531" t="s">
        <v>41947</v>
      </c>
      <c r="N3531" t="s">
        <v>44759</v>
      </c>
      <c r="O3531" t="s">
        <v>44760</v>
      </c>
      <c r="P3531">
        <v>0</v>
      </c>
      <c r="Q3531">
        <v>0</v>
      </c>
      <c r="R3531" t="s">
        <v>44762</v>
      </c>
      <c r="S3531" t="s">
        <v>44863</v>
      </c>
      <c r="T3531" t="s">
        <v>46412</v>
      </c>
      <c r="U3531" t="s">
        <v>49951</v>
      </c>
      <c r="W3531" t="s">
        <v>41947</v>
      </c>
      <c r="X3531" t="s">
        <v>44763</v>
      </c>
    </row>
    <row r="3532" spans="1:24">
      <c r="A3532">
        <f>HYPERLINK("https://www.philgeps.gov.ph/GEPSNONPILOT/Tender/SplashBidNoticeAbstractUI.aspx?menuIndex=3&amp;refID=7150057&amp;Result=3","7150057")</f>
        <v>0</v>
      </c>
      <c r="B3532" t="s">
        <v>1467</v>
      </c>
      <c r="C3532" t="s">
        <v>7126</v>
      </c>
      <c r="D3532" t="s">
        <v>17973</v>
      </c>
      <c r="E3532" t="s">
        <v>21209</v>
      </c>
      <c r="F3532" t="s">
        <v>30900</v>
      </c>
      <c r="G3532" t="s">
        <v>30909</v>
      </c>
      <c r="H3532" t="s">
        <v>30916</v>
      </c>
      <c r="I3532" t="s">
        <v>8123</v>
      </c>
      <c r="J3532" t="s">
        <v>31811</v>
      </c>
      <c r="K3532" t="s">
        <v>40287</v>
      </c>
      <c r="M3532" t="s">
        <v>42101</v>
      </c>
      <c r="N3532" t="s">
        <v>44759</v>
      </c>
      <c r="O3532" t="s">
        <v>44760</v>
      </c>
      <c r="P3532">
        <v>0</v>
      </c>
      <c r="Q3532">
        <v>0</v>
      </c>
      <c r="R3532" t="s">
        <v>44762</v>
      </c>
      <c r="S3532" t="s">
        <v>44863</v>
      </c>
      <c r="T3532" t="s">
        <v>46410</v>
      </c>
      <c r="U3532" t="s">
        <v>49952</v>
      </c>
      <c r="W3532" t="s">
        <v>42101</v>
      </c>
      <c r="X3532" t="s">
        <v>44763</v>
      </c>
    </row>
    <row r="3533" spans="1:24">
      <c r="A3533">
        <f>HYPERLINK("https://www.philgeps.gov.ph/GEPSNONPILOT/Tender/SplashBidNoticeAbstractUI.aspx?menuIndex=3&amp;refID=7150065&amp;Result=3","7150065")</f>
        <v>0</v>
      </c>
      <c r="B3533" t="s">
        <v>1296</v>
      </c>
      <c r="C3533" t="s">
        <v>7127</v>
      </c>
      <c r="D3533" t="s">
        <v>18019</v>
      </c>
      <c r="E3533" t="s">
        <v>21210</v>
      </c>
      <c r="F3533" t="s">
        <v>30900</v>
      </c>
      <c r="G3533" t="s">
        <v>30908</v>
      </c>
      <c r="H3533" t="s">
        <v>30916</v>
      </c>
      <c r="I3533" t="s">
        <v>5501</v>
      </c>
      <c r="J3533" t="s">
        <v>31182</v>
      </c>
      <c r="K3533" t="s">
        <v>40287</v>
      </c>
      <c r="M3533" t="s">
        <v>41913</v>
      </c>
      <c r="N3533" t="s">
        <v>44759</v>
      </c>
      <c r="O3533" t="s">
        <v>44760</v>
      </c>
      <c r="P3533">
        <v>0</v>
      </c>
      <c r="Q3533">
        <v>3</v>
      </c>
      <c r="R3533" t="s">
        <v>44762</v>
      </c>
      <c r="S3533" t="s">
        <v>44863</v>
      </c>
      <c r="T3533" t="s">
        <v>46457</v>
      </c>
      <c r="U3533" t="s">
        <v>49557</v>
      </c>
      <c r="V3533" t="s">
        <v>59501</v>
      </c>
      <c r="W3533" t="s">
        <v>41913</v>
      </c>
      <c r="X3533" t="s">
        <v>44763</v>
      </c>
    </row>
    <row r="3534" spans="1:24">
      <c r="A3534">
        <f>HYPERLINK("https://www.philgeps.gov.ph/GEPSNONPILOT/Tender/SplashBidNoticeAbstractUI.aspx?menuIndex=3&amp;refID=7150041&amp;Result=3","7150041")</f>
        <v>0</v>
      </c>
      <c r="B3534" t="s">
        <v>1455</v>
      </c>
      <c r="C3534" t="s">
        <v>7128</v>
      </c>
      <c r="D3534" t="s">
        <v>17971</v>
      </c>
      <c r="E3534" t="s">
        <v>21211</v>
      </c>
      <c r="F3534" t="s">
        <v>30900</v>
      </c>
      <c r="G3534" t="s">
        <v>30908</v>
      </c>
      <c r="H3534" t="s">
        <v>30915</v>
      </c>
      <c r="I3534" t="s">
        <v>30919</v>
      </c>
      <c r="J3534" t="s">
        <v>33524</v>
      </c>
      <c r="K3534" t="s">
        <v>40286</v>
      </c>
      <c r="M3534" t="s">
        <v>42087</v>
      </c>
      <c r="N3534" t="s">
        <v>44759</v>
      </c>
      <c r="O3534" t="s">
        <v>44760</v>
      </c>
      <c r="P3534">
        <v>0</v>
      </c>
      <c r="Q3534">
        <v>0</v>
      </c>
      <c r="R3534" t="s">
        <v>44762</v>
      </c>
      <c r="S3534" t="s">
        <v>44863</v>
      </c>
      <c r="T3534" t="s">
        <v>46383</v>
      </c>
      <c r="U3534" t="s">
        <v>49916</v>
      </c>
      <c r="W3534" t="s">
        <v>42087</v>
      </c>
      <c r="X3534" t="s">
        <v>44763</v>
      </c>
    </row>
    <row r="3535" spans="1:24">
      <c r="A3535">
        <f>HYPERLINK("https://www.philgeps.gov.ph/GEPSNONPILOT/Tender/SplashBidNoticeAbstractUI.aspx?menuIndex=3&amp;refID=7150043&amp;Result=3","7150043")</f>
        <v>0</v>
      </c>
      <c r="B3535" t="s">
        <v>1468</v>
      </c>
      <c r="C3535" t="s">
        <v>7129</v>
      </c>
      <c r="D3535" t="s">
        <v>17973</v>
      </c>
      <c r="E3535" t="s">
        <v>21212</v>
      </c>
      <c r="F3535" t="s">
        <v>30900</v>
      </c>
      <c r="G3535" t="s">
        <v>30908</v>
      </c>
      <c r="H3535" t="s">
        <v>30916</v>
      </c>
      <c r="I3535" t="s">
        <v>30990</v>
      </c>
      <c r="J3535" t="s">
        <v>31501</v>
      </c>
      <c r="K3535" t="s">
        <v>40287</v>
      </c>
      <c r="M3535" t="s">
        <v>42102</v>
      </c>
      <c r="N3535" t="s">
        <v>44759</v>
      </c>
      <c r="O3535" t="s">
        <v>44760</v>
      </c>
      <c r="P3535">
        <v>0</v>
      </c>
      <c r="Q3535">
        <v>2</v>
      </c>
      <c r="R3535" t="s">
        <v>44762</v>
      </c>
      <c r="S3535" t="s">
        <v>44863</v>
      </c>
      <c r="T3535" t="s">
        <v>46410</v>
      </c>
      <c r="U3535" t="s">
        <v>49953</v>
      </c>
      <c r="W3535" t="s">
        <v>42102</v>
      </c>
      <c r="X3535" t="s">
        <v>44763</v>
      </c>
    </row>
    <row r="3536" spans="1:24">
      <c r="A3536">
        <f>HYPERLINK("https://www.philgeps.gov.ph/GEPSNONPILOT/Tender/SplashBidNoticeAbstractUI.aspx?menuIndex=3&amp;refID=7150069&amp;Result=3","7150069")</f>
        <v>0</v>
      </c>
      <c r="B3536" t="s">
        <v>1458</v>
      </c>
      <c r="C3536" t="s">
        <v>7130</v>
      </c>
      <c r="D3536" t="s">
        <v>17977</v>
      </c>
      <c r="E3536" t="s">
        <v>21213</v>
      </c>
      <c r="F3536" t="s">
        <v>30900</v>
      </c>
      <c r="G3536" t="s">
        <v>30907</v>
      </c>
      <c r="H3536" t="s">
        <v>30916</v>
      </c>
      <c r="I3536" t="s">
        <v>8123</v>
      </c>
      <c r="J3536" t="s">
        <v>33499</v>
      </c>
      <c r="K3536" t="s">
        <v>40287</v>
      </c>
      <c r="M3536" t="s">
        <v>42090</v>
      </c>
      <c r="N3536" t="s">
        <v>44759</v>
      </c>
      <c r="O3536" t="s">
        <v>44760</v>
      </c>
      <c r="P3536">
        <v>0</v>
      </c>
      <c r="Q3536">
        <v>0</v>
      </c>
      <c r="R3536" t="s">
        <v>44762</v>
      </c>
      <c r="S3536" t="s">
        <v>44863</v>
      </c>
      <c r="T3536" t="s">
        <v>46352</v>
      </c>
      <c r="U3536" t="s">
        <v>49954</v>
      </c>
      <c r="W3536" t="s">
        <v>42090</v>
      </c>
      <c r="X3536" t="s">
        <v>44763</v>
      </c>
    </row>
    <row r="3537" spans="1:24">
      <c r="A3537">
        <f>HYPERLINK("https://www.philgeps.gov.ph/GEPSNONPILOT/Tender/SplashBidNoticeAbstractUI.aspx?menuIndex=3&amp;refID=7150068&amp;Result=3","7150068")</f>
        <v>0</v>
      </c>
      <c r="B3537" t="s">
        <v>1469</v>
      </c>
      <c r="C3537" t="s">
        <v>7131</v>
      </c>
      <c r="E3537" t="s">
        <v>21214</v>
      </c>
      <c r="F3537" t="s">
        <v>30900</v>
      </c>
      <c r="G3537" t="s">
        <v>30908</v>
      </c>
      <c r="H3537" t="s">
        <v>30916</v>
      </c>
      <c r="I3537" t="s">
        <v>4142</v>
      </c>
      <c r="J3537" t="s">
        <v>33525</v>
      </c>
      <c r="K3537" t="s">
        <v>40283</v>
      </c>
      <c r="M3537" t="s">
        <v>42103</v>
      </c>
      <c r="N3537" t="s">
        <v>44759</v>
      </c>
      <c r="O3537" t="s">
        <v>44760</v>
      </c>
      <c r="P3537">
        <v>0</v>
      </c>
      <c r="Q3537">
        <v>3</v>
      </c>
      <c r="R3537" t="s">
        <v>44762</v>
      </c>
      <c r="S3537" t="s">
        <v>44863</v>
      </c>
      <c r="T3537" t="s">
        <v>46440</v>
      </c>
      <c r="U3537" t="s">
        <v>49955</v>
      </c>
      <c r="W3537" t="s">
        <v>42103</v>
      </c>
      <c r="X3537" t="s">
        <v>44763</v>
      </c>
    </row>
    <row r="3538" spans="1:24">
      <c r="A3538">
        <f>HYPERLINK("https://www.philgeps.gov.ph/GEPSNONPILOT/Tender/SplashBidNoticeAbstractUI.aspx?menuIndex=3&amp;refID=7150042&amp;Result=3","7150042")</f>
        <v>0</v>
      </c>
      <c r="B3538" t="s">
        <v>1470</v>
      </c>
      <c r="C3538" t="s">
        <v>7132</v>
      </c>
      <c r="D3538" t="s">
        <v>17981</v>
      </c>
      <c r="E3538" t="s">
        <v>21215</v>
      </c>
      <c r="F3538" t="s">
        <v>30900</v>
      </c>
      <c r="G3538" t="s">
        <v>30908</v>
      </c>
      <c r="H3538" t="s">
        <v>30916</v>
      </c>
      <c r="I3538" t="s">
        <v>8365</v>
      </c>
      <c r="J3538" t="s">
        <v>33526</v>
      </c>
      <c r="K3538" t="s">
        <v>40287</v>
      </c>
      <c r="M3538" t="s">
        <v>42104</v>
      </c>
      <c r="N3538" t="s">
        <v>44759</v>
      </c>
      <c r="O3538" t="s">
        <v>44760</v>
      </c>
      <c r="P3538">
        <v>0</v>
      </c>
      <c r="Q3538">
        <v>0</v>
      </c>
      <c r="R3538" t="s">
        <v>44762</v>
      </c>
      <c r="S3538" t="s">
        <v>44863</v>
      </c>
      <c r="T3538" t="s">
        <v>46398</v>
      </c>
      <c r="U3538" t="s">
        <v>49956</v>
      </c>
      <c r="W3538" t="s">
        <v>42104</v>
      </c>
      <c r="X3538" t="s">
        <v>44763</v>
      </c>
    </row>
    <row r="3539" spans="1:24">
      <c r="A3539">
        <f>HYPERLINK("https://www.philgeps.gov.ph/GEPSNONPILOT/Tender/SplashBidNoticeAbstractUI.aspx?menuIndex=3&amp;refID=7150096&amp;Result=3","7150096")</f>
        <v>0</v>
      </c>
      <c r="B3539" t="s">
        <v>1417</v>
      </c>
      <c r="C3539" t="s">
        <v>6998</v>
      </c>
      <c r="D3539" t="s">
        <v>17996</v>
      </c>
      <c r="E3539" t="s">
        <v>21216</v>
      </c>
      <c r="F3539" t="s">
        <v>30900</v>
      </c>
      <c r="G3539" t="s">
        <v>30908</v>
      </c>
      <c r="H3539" t="s">
        <v>30916</v>
      </c>
      <c r="I3539" t="s">
        <v>30927</v>
      </c>
      <c r="J3539" t="s">
        <v>33527</v>
      </c>
      <c r="K3539" t="s">
        <v>40289</v>
      </c>
      <c r="M3539" t="s">
        <v>42046</v>
      </c>
      <c r="N3539" t="s">
        <v>44759</v>
      </c>
      <c r="O3539" t="s">
        <v>44760</v>
      </c>
      <c r="P3539">
        <v>0</v>
      </c>
      <c r="Q3539">
        <v>0</v>
      </c>
      <c r="R3539" t="s">
        <v>44762</v>
      </c>
      <c r="S3539" t="s">
        <v>44863</v>
      </c>
      <c r="T3539" t="s">
        <v>46383</v>
      </c>
      <c r="U3539" t="s">
        <v>49838</v>
      </c>
      <c r="W3539" t="s">
        <v>42046</v>
      </c>
      <c r="X3539" t="s">
        <v>44763</v>
      </c>
    </row>
    <row r="3540" spans="1:24">
      <c r="A3540">
        <f>HYPERLINK("https://www.philgeps.gov.ph/GEPSNONPILOT/Tender/SplashBidNoticeAbstractUI.aspx?menuIndex=3&amp;refID=7150093&amp;Result=3","7150093")</f>
        <v>0</v>
      </c>
      <c r="B3540" t="s">
        <v>1471</v>
      </c>
      <c r="C3540" t="s">
        <v>7133</v>
      </c>
      <c r="D3540" t="s">
        <v>18022</v>
      </c>
      <c r="E3540" t="s">
        <v>21217</v>
      </c>
      <c r="F3540" t="s">
        <v>30900</v>
      </c>
      <c r="G3540" t="s">
        <v>30908</v>
      </c>
      <c r="H3540" t="s">
        <v>30916</v>
      </c>
      <c r="I3540" t="s">
        <v>8123</v>
      </c>
      <c r="J3540" t="s">
        <v>33528</v>
      </c>
      <c r="K3540" t="s">
        <v>40284</v>
      </c>
      <c r="M3540" t="s">
        <v>42105</v>
      </c>
      <c r="N3540" t="s">
        <v>44759</v>
      </c>
      <c r="O3540" t="s">
        <v>44760</v>
      </c>
      <c r="P3540">
        <v>0</v>
      </c>
      <c r="Q3540">
        <v>0</v>
      </c>
      <c r="R3540" t="s">
        <v>44762</v>
      </c>
      <c r="S3540" t="s">
        <v>44863</v>
      </c>
      <c r="T3540" t="s">
        <v>46410</v>
      </c>
      <c r="U3540" t="s">
        <v>49957</v>
      </c>
      <c r="W3540" t="s">
        <v>42105</v>
      </c>
      <c r="X3540" t="s">
        <v>44763</v>
      </c>
    </row>
    <row r="3541" spans="1:24">
      <c r="A3541">
        <f>HYPERLINK("https://www.philgeps.gov.ph/GEPSNONPILOT/Tender/SplashBidNoticeAbstractUI.aspx?menuIndex=3&amp;refID=7150091&amp;Result=3","7150091")</f>
        <v>0</v>
      </c>
      <c r="B3541" t="s">
        <v>1281</v>
      </c>
      <c r="C3541" t="s">
        <v>7134</v>
      </c>
      <c r="D3541" t="s">
        <v>17966</v>
      </c>
      <c r="E3541" t="s">
        <v>21218</v>
      </c>
      <c r="F3541" t="s">
        <v>30900</v>
      </c>
      <c r="G3541" t="s">
        <v>30907</v>
      </c>
      <c r="H3541" t="s">
        <v>30915</v>
      </c>
      <c r="I3541" t="s">
        <v>30919</v>
      </c>
      <c r="J3541" t="s">
        <v>33529</v>
      </c>
      <c r="K3541" t="s">
        <v>40293</v>
      </c>
      <c r="M3541" t="s">
        <v>41898</v>
      </c>
      <c r="N3541" t="s">
        <v>44759</v>
      </c>
      <c r="O3541" t="s">
        <v>44760</v>
      </c>
      <c r="P3541">
        <v>0</v>
      </c>
      <c r="Q3541">
        <v>1</v>
      </c>
      <c r="R3541" t="s">
        <v>44762</v>
      </c>
      <c r="S3541" t="s">
        <v>44863</v>
      </c>
      <c r="T3541" t="s">
        <v>46486</v>
      </c>
      <c r="U3541" t="s">
        <v>49958</v>
      </c>
      <c r="W3541" t="s">
        <v>60856</v>
      </c>
      <c r="X3541" t="s">
        <v>44763</v>
      </c>
    </row>
    <row r="3542" spans="1:24">
      <c r="A3542">
        <f>HYPERLINK("https://www.philgeps.gov.ph/GEPSNONPILOT/Tender/SplashBidNoticeAbstractUI.aspx?menuIndex=3&amp;refID=7150089&amp;Result=3","7150089")</f>
        <v>0</v>
      </c>
      <c r="B3542" t="s">
        <v>573</v>
      </c>
      <c r="C3542" t="s">
        <v>7135</v>
      </c>
      <c r="D3542" t="s">
        <v>18023</v>
      </c>
      <c r="E3542" t="s">
        <v>21219</v>
      </c>
      <c r="F3542" t="s">
        <v>30900</v>
      </c>
      <c r="G3542" t="s">
        <v>30908</v>
      </c>
      <c r="H3542" t="s">
        <v>30916</v>
      </c>
      <c r="I3542" t="s">
        <v>30924</v>
      </c>
      <c r="J3542" t="s">
        <v>33530</v>
      </c>
      <c r="K3542" t="s">
        <v>40291</v>
      </c>
      <c r="M3542" t="s">
        <v>41141</v>
      </c>
      <c r="N3542" t="s">
        <v>44759</v>
      </c>
      <c r="O3542" t="s">
        <v>44760</v>
      </c>
      <c r="P3542">
        <v>0</v>
      </c>
      <c r="Q3542">
        <v>0</v>
      </c>
      <c r="R3542" t="s">
        <v>44762</v>
      </c>
      <c r="S3542" t="s">
        <v>44863</v>
      </c>
      <c r="T3542" t="s">
        <v>46383</v>
      </c>
      <c r="U3542" t="s">
        <v>49959</v>
      </c>
      <c r="V3542" t="s">
        <v>59518</v>
      </c>
      <c r="W3542" t="s">
        <v>41141</v>
      </c>
      <c r="X3542" t="s">
        <v>44763</v>
      </c>
    </row>
    <row r="3543" spans="1:24">
      <c r="A3543">
        <f>HYPERLINK("https://www.philgeps.gov.ph/GEPSNONPILOT/Tender/SplashBidNoticeAbstractUI.aspx?menuIndex=3&amp;refID=7150094&amp;Result=3","7150094")</f>
        <v>0</v>
      </c>
      <c r="B3543" t="s">
        <v>1472</v>
      </c>
      <c r="C3543" t="s">
        <v>7136</v>
      </c>
      <c r="D3543" t="s">
        <v>17978</v>
      </c>
      <c r="E3543" t="s">
        <v>21220</v>
      </c>
      <c r="F3543" t="s">
        <v>30900</v>
      </c>
      <c r="G3543" t="s">
        <v>30908</v>
      </c>
      <c r="H3543" t="s">
        <v>30916</v>
      </c>
      <c r="I3543" t="s">
        <v>4050</v>
      </c>
      <c r="J3543" t="s">
        <v>33531</v>
      </c>
      <c r="K3543" t="s">
        <v>40289</v>
      </c>
      <c r="M3543" t="s">
        <v>42106</v>
      </c>
      <c r="N3543" t="s">
        <v>44759</v>
      </c>
      <c r="O3543" t="s">
        <v>44760</v>
      </c>
      <c r="P3543">
        <v>0</v>
      </c>
      <c r="Q3543">
        <v>0</v>
      </c>
      <c r="R3543" t="s">
        <v>44762</v>
      </c>
      <c r="S3543" t="s">
        <v>44863</v>
      </c>
      <c r="T3543" t="s">
        <v>46398</v>
      </c>
      <c r="U3543" t="s">
        <v>49960</v>
      </c>
      <c r="W3543" t="s">
        <v>42106</v>
      </c>
      <c r="X3543" t="s">
        <v>44763</v>
      </c>
    </row>
    <row r="3544" spans="1:24">
      <c r="A3544">
        <f>HYPERLINK("https://www.philgeps.gov.ph/GEPSNONPILOT/Tender/SplashBidNoticeAbstractUI.aspx?menuIndex=3&amp;refID=7150061&amp;Result=3","7150061")</f>
        <v>0</v>
      </c>
      <c r="B3544" t="s">
        <v>531</v>
      </c>
      <c r="C3544" t="s">
        <v>7137</v>
      </c>
      <c r="D3544" t="s">
        <v>17955</v>
      </c>
      <c r="E3544" t="s">
        <v>21221</v>
      </c>
      <c r="F3544" t="s">
        <v>30900</v>
      </c>
      <c r="G3544" t="s">
        <v>30909</v>
      </c>
      <c r="H3544" t="s">
        <v>30916</v>
      </c>
      <c r="I3544" t="s">
        <v>8365</v>
      </c>
      <c r="J3544" t="s">
        <v>33532</v>
      </c>
      <c r="K3544" t="s">
        <v>40285</v>
      </c>
      <c r="M3544" t="s">
        <v>42107</v>
      </c>
      <c r="N3544" t="s">
        <v>44759</v>
      </c>
      <c r="O3544" t="s">
        <v>44760</v>
      </c>
      <c r="P3544">
        <v>0</v>
      </c>
      <c r="Q3544">
        <v>3</v>
      </c>
      <c r="R3544" t="s">
        <v>44762</v>
      </c>
      <c r="S3544" t="s">
        <v>44863</v>
      </c>
      <c r="T3544" t="s">
        <v>46623</v>
      </c>
      <c r="U3544" t="s">
        <v>49961</v>
      </c>
      <c r="W3544" t="s">
        <v>42107</v>
      </c>
      <c r="X3544" t="s">
        <v>44763</v>
      </c>
    </row>
    <row r="3545" spans="1:24">
      <c r="A3545">
        <f>HYPERLINK("https://www.philgeps.gov.ph/GEPSNONPILOT/Tender/SplashBidNoticeAbstractUI.aspx?menuIndex=3&amp;refID=7150084&amp;Result=3","7150084")</f>
        <v>0</v>
      </c>
      <c r="B3545" t="s">
        <v>1473</v>
      </c>
      <c r="C3545" t="s">
        <v>7138</v>
      </c>
      <c r="D3545" t="s">
        <v>17966</v>
      </c>
      <c r="E3545" t="s">
        <v>21222</v>
      </c>
      <c r="F3545" t="s">
        <v>30899</v>
      </c>
      <c r="G3545" t="s">
        <v>30908</v>
      </c>
      <c r="H3545" t="s">
        <v>30916</v>
      </c>
      <c r="I3545" t="s">
        <v>30939</v>
      </c>
      <c r="J3545" t="s">
        <v>33533</v>
      </c>
      <c r="K3545" t="s">
        <v>40283</v>
      </c>
      <c r="M3545" t="s">
        <v>42108</v>
      </c>
      <c r="N3545" t="s">
        <v>44759</v>
      </c>
      <c r="O3545" t="s">
        <v>44760</v>
      </c>
      <c r="P3545">
        <v>0</v>
      </c>
      <c r="Q3545">
        <v>0</v>
      </c>
      <c r="R3545" t="s">
        <v>44762</v>
      </c>
      <c r="S3545" t="s">
        <v>44863</v>
      </c>
      <c r="T3545" t="s">
        <v>46404</v>
      </c>
      <c r="U3545" t="s">
        <v>49962</v>
      </c>
      <c r="W3545" t="s">
        <v>42108</v>
      </c>
      <c r="X3545" t="s">
        <v>44763</v>
      </c>
    </row>
    <row r="3546" spans="1:24">
      <c r="A3546">
        <f>HYPERLINK("https://www.philgeps.gov.ph/GEPSNONPILOT/Tender/SplashBidNoticeAbstractUI.aspx?menuIndex=3&amp;refID=7150082&amp;Result=3","7150082")</f>
        <v>0</v>
      </c>
      <c r="B3546" t="s">
        <v>1281</v>
      </c>
      <c r="C3546" t="s">
        <v>7139</v>
      </c>
      <c r="D3546" t="s">
        <v>17966</v>
      </c>
      <c r="E3546" t="s">
        <v>21223</v>
      </c>
      <c r="F3546" t="s">
        <v>30900</v>
      </c>
      <c r="G3546" t="s">
        <v>30907</v>
      </c>
      <c r="H3546" t="s">
        <v>30915</v>
      </c>
      <c r="I3546" t="s">
        <v>30919</v>
      </c>
      <c r="J3546" t="s">
        <v>31391</v>
      </c>
      <c r="K3546" t="s">
        <v>40354</v>
      </c>
      <c r="M3546" t="s">
        <v>41898</v>
      </c>
      <c r="N3546" t="s">
        <v>44759</v>
      </c>
      <c r="O3546" t="s">
        <v>44760</v>
      </c>
      <c r="P3546">
        <v>0</v>
      </c>
      <c r="Q3546">
        <v>1</v>
      </c>
      <c r="R3546" t="s">
        <v>44762</v>
      </c>
      <c r="S3546" t="s">
        <v>44863</v>
      </c>
      <c r="T3546" t="s">
        <v>46405</v>
      </c>
      <c r="U3546" t="s">
        <v>49963</v>
      </c>
      <c r="W3546" t="s">
        <v>60856</v>
      </c>
      <c r="X3546" t="s">
        <v>44763</v>
      </c>
    </row>
    <row r="3547" spans="1:24">
      <c r="A3547">
        <f>HYPERLINK("https://www.philgeps.gov.ph/GEPSNONPILOT/Tender/SplashBidNoticeAbstractUI.aspx?menuIndex=3&amp;refID=7150080&amp;Result=3","7150080")</f>
        <v>0</v>
      </c>
      <c r="B3547" t="s">
        <v>1384</v>
      </c>
      <c r="C3547" t="s">
        <v>7140</v>
      </c>
      <c r="D3547" t="s">
        <v>18013</v>
      </c>
      <c r="E3547" t="s">
        <v>20253</v>
      </c>
      <c r="F3547" t="s">
        <v>30900</v>
      </c>
      <c r="G3547" t="s">
        <v>30908</v>
      </c>
      <c r="H3547" t="s">
        <v>30916</v>
      </c>
      <c r="I3547" t="s">
        <v>30947</v>
      </c>
      <c r="J3547" t="s">
        <v>31135</v>
      </c>
      <c r="K3547" t="s">
        <v>40284</v>
      </c>
      <c r="M3547" t="s">
        <v>42008</v>
      </c>
      <c r="N3547" t="s">
        <v>44759</v>
      </c>
      <c r="O3547" t="s">
        <v>44760</v>
      </c>
      <c r="P3547">
        <v>0</v>
      </c>
      <c r="Q3547">
        <v>2</v>
      </c>
      <c r="R3547" t="s">
        <v>44762</v>
      </c>
      <c r="S3547" t="s">
        <v>44863</v>
      </c>
      <c r="T3547" t="s">
        <v>46379</v>
      </c>
      <c r="U3547" t="s">
        <v>49756</v>
      </c>
      <c r="W3547" t="s">
        <v>42008</v>
      </c>
      <c r="X3547" t="s">
        <v>44763</v>
      </c>
    </row>
    <row r="3548" spans="1:24">
      <c r="A3548">
        <f>HYPERLINK("https://www.philgeps.gov.ph/GEPSNONPILOT/Tender/SplashBidNoticeAbstractUI.aspx?menuIndex=3&amp;refID=7150027&amp;Result=3","7150027")</f>
        <v>0</v>
      </c>
      <c r="B3548" t="s">
        <v>1119</v>
      </c>
      <c r="C3548" t="s">
        <v>7141</v>
      </c>
      <c r="D3548" t="s">
        <v>17999</v>
      </c>
      <c r="E3548" t="s">
        <v>21224</v>
      </c>
      <c r="F3548" t="s">
        <v>30900</v>
      </c>
      <c r="G3548" t="s">
        <v>30910</v>
      </c>
      <c r="H3548" t="s">
        <v>30916</v>
      </c>
      <c r="I3548" t="s">
        <v>8123</v>
      </c>
      <c r="J3548" t="s">
        <v>33534</v>
      </c>
      <c r="K3548" t="s">
        <v>40283</v>
      </c>
      <c r="M3548" t="s">
        <v>41749</v>
      </c>
      <c r="N3548" t="s">
        <v>44759</v>
      </c>
      <c r="O3548" t="s">
        <v>44760</v>
      </c>
      <c r="P3548">
        <v>0</v>
      </c>
      <c r="Q3548">
        <v>0</v>
      </c>
      <c r="R3548" t="s">
        <v>44762</v>
      </c>
      <c r="S3548" t="s">
        <v>44863</v>
      </c>
      <c r="T3548" t="s">
        <v>46363</v>
      </c>
      <c r="U3548" t="s">
        <v>49074</v>
      </c>
      <c r="V3548" t="s">
        <v>59506</v>
      </c>
      <c r="W3548" t="s">
        <v>41749</v>
      </c>
      <c r="X3548" t="s">
        <v>44763</v>
      </c>
    </row>
    <row r="3549" spans="1:24">
      <c r="A3549">
        <f>HYPERLINK("https://www.philgeps.gov.ph/GEPSNONPILOT/Tender/SplashBidNoticeAbstractUI.aspx?menuIndex=3&amp;refID=7150079&amp;Result=3","7150079")</f>
        <v>0</v>
      </c>
      <c r="B3549" t="s">
        <v>643</v>
      </c>
      <c r="C3549" t="s">
        <v>7142</v>
      </c>
      <c r="D3549" t="s">
        <v>18001</v>
      </c>
      <c r="E3549" t="s">
        <v>21225</v>
      </c>
      <c r="F3549" t="s">
        <v>30900</v>
      </c>
      <c r="G3549" t="s">
        <v>30908</v>
      </c>
      <c r="H3549" t="s">
        <v>30915</v>
      </c>
      <c r="I3549" t="s">
        <v>30919</v>
      </c>
      <c r="J3549" t="s">
        <v>31101</v>
      </c>
      <c r="K3549" t="s">
        <v>40284</v>
      </c>
      <c r="M3549" t="s">
        <v>41206</v>
      </c>
      <c r="N3549" t="s">
        <v>44759</v>
      </c>
      <c r="O3549" t="s">
        <v>44760</v>
      </c>
      <c r="P3549">
        <v>0</v>
      </c>
      <c r="Q3549">
        <v>0</v>
      </c>
      <c r="R3549" t="s">
        <v>44762</v>
      </c>
      <c r="S3549" t="s">
        <v>44863</v>
      </c>
      <c r="T3549" t="s">
        <v>46400</v>
      </c>
      <c r="U3549" t="s">
        <v>49964</v>
      </c>
      <c r="W3549" t="s">
        <v>41206</v>
      </c>
      <c r="X3549" t="s">
        <v>44763</v>
      </c>
    </row>
    <row r="3550" spans="1:24">
      <c r="A3550">
        <f>HYPERLINK("https://www.philgeps.gov.ph/GEPSNONPILOT/Tender/SplashBidNoticeAbstractUI.aspx?menuIndex=3&amp;refID=7150078&amp;Result=3","7150078")</f>
        <v>0</v>
      </c>
      <c r="B3550" t="s">
        <v>448</v>
      </c>
      <c r="C3550" t="s">
        <v>7143</v>
      </c>
      <c r="D3550" t="s">
        <v>17987</v>
      </c>
      <c r="E3550" t="s">
        <v>21226</v>
      </c>
      <c r="F3550" t="s">
        <v>30900</v>
      </c>
      <c r="G3550" t="s">
        <v>30908</v>
      </c>
      <c r="H3550" t="s">
        <v>30916</v>
      </c>
      <c r="I3550" t="s">
        <v>6746</v>
      </c>
      <c r="J3550" t="s">
        <v>31288</v>
      </c>
      <c r="K3550" t="s">
        <v>40287</v>
      </c>
      <c r="M3550" t="s">
        <v>41005</v>
      </c>
      <c r="N3550" t="s">
        <v>44759</v>
      </c>
      <c r="O3550" t="s">
        <v>44760</v>
      </c>
      <c r="P3550">
        <v>0</v>
      </c>
      <c r="Q3550">
        <v>0</v>
      </c>
      <c r="R3550" t="s">
        <v>44762</v>
      </c>
      <c r="S3550" t="s">
        <v>44863</v>
      </c>
      <c r="T3550" t="s">
        <v>46470</v>
      </c>
      <c r="U3550" t="s">
        <v>49965</v>
      </c>
      <c r="W3550" t="s">
        <v>41005</v>
      </c>
      <c r="X3550" t="s">
        <v>44763</v>
      </c>
    </row>
    <row r="3551" spans="1:24">
      <c r="A3551">
        <f>HYPERLINK("https://www.philgeps.gov.ph/GEPSNONPILOT/Tender/SplashBidNoticeAbstractUI.aspx?menuIndex=3&amp;refID=7150086&amp;Result=3","7150086")</f>
        <v>0</v>
      </c>
      <c r="B3551" t="s">
        <v>643</v>
      </c>
      <c r="C3551" t="s">
        <v>7144</v>
      </c>
      <c r="D3551" t="s">
        <v>18001</v>
      </c>
      <c r="E3551" t="s">
        <v>21227</v>
      </c>
      <c r="F3551" t="s">
        <v>30900</v>
      </c>
      <c r="G3551" t="s">
        <v>30908</v>
      </c>
      <c r="H3551" t="s">
        <v>30915</v>
      </c>
      <c r="I3551" t="s">
        <v>30919</v>
      </c>
      <c r="J3551" t="s">
        <v>33535</v>
      </c>
      <c r="K3551" t="s">
        <v>40284</v>
      </c>
      <c r="M3551" t="s">
        <v>41206</v>
      </c>
      <c r="N3551" t="s">
        <v>44759</v>
      </c>
      <c r="O3551" t="s">
        <v>44760</v>
      </c>
      <c r="P3551">
        <v>0</v>
      </c>
      <c r="Q3551">
        <v>1</v>
      </c>
      <c r="R3551" t="s">
        <v>44762</v>
      </c>
      <c r="S3551" t="s">
        <v>44863</v>
      </c>
      <c r="T3551" t="s">
        <v>46400</v>
      </c>
      <c r="U3551" t="s">
        <v>49966</v>
      </c>
      <c r="W3551" t="s">
        <v>41206</v>
      </c>
      <c r="X3551" t="s">
        <v>44763</v>
      </c>
    </row>
    <row r="3552" spans="1:24">
      <c r="A3552">
        <f>HYPERLINK("https://www.philgeps.gov.ph/GEPSNONPILOT/Tender/SplashBidNoticeAbstractUI.aspx?menuIndex=3&amp;refID=7150075&amp;Result=3","7150075")</f>
        <v>0</v>
      </c>
      <c r="B3552" t="s">
        <v>726</v>
      </c>
      <c r="C3552" t="s">
        <v>7145</v>
      </c>
      <c r="D3552" t="s">
        <v>18016</v>
      </c>
      <c r="E3552" t="s">
        <v>21228</v>
      </c>
      <c r="F3552" t="s">
        <v>30900</v>
      </c>
      <c r="G3552" t="s">
        <v>30907</v>
      </c>
      <c r="H3552" t="s">
        <v>30916</v>
      </c>
      <c r="I3552" t="s">
        <v>4108</v>
      </c>
      <c r="J3552" t="s">
        <v>33536</v>
      </c>
      <c r="K3552" t="s">
        <v>40286</v>
      </c>
      <c r="M3552" t="s">
        <v>41290</v>
      </c>
      <c r="N3552" t="s">
        <v>44759</v>
      </c>
      <c r="O3552" t="s">
        <v>44760</v>
      </c>
      <c r="P3552">
        <v>0</v>
      </c>
      <c r="Q3552">
        <v>0</v>
      </c>
      <c r="R3552" t="s">
        <v>44762</v>
      </c>
      <c r="S3552" t="s">
        <v>44863</v>
      </c>
      <c r="T3552" t="s">
        <v>46389</v>
      </c>
      <c r="U3552" t="s">
        <v>49967</v>
      </c>
      <c r="W3552" t="s">
        <v>41290</v>
      </c>
      <c r="X3552" t="s">
        <v>44763</v>
      </c>
    </row>
    <row r="3553" spans="1:24">
      <c r="A3553">
        <f>HYPERLINK("https://www.philgeps.gov.ph/GEPSNONPILOT/Tender/SplashBidNoticeAbstractUI.aspx?menuIndex=3&amp;refID=7150074&amp;Result=3","7150074")</f>
        <v>0</v>
      </c>
      <c r="B3553" t="s">
        <v>1471</v>
      </c>
      <c r="C3553" t="s">
        <v>7146</v>
      </c>
      <c r="D3553" t="s">
        <v>18022</v>
      </c>
      <c r="E3553" t="s">
        <v>21229</v>
      </c>
      <c r="F3553" t="s">
        <v>30900</v>
      </c>
      <c r="G3553" t="s">
        <v>30908</v>
      </c>
      <c r="H3553" t="s">
        <v>30916</v>
      </c>
      <c r="I3553" t="s">
        <v>30973</v>
      </c>
      <c r="J3553" t="s">
        <v>33537</v>
      </c>
      <c r="K3553" t="s">
        <v>40284</v>
      </c>
      <c r="M3553" t="s">
        <v>42105</v>
      </c>
      <c r="N3553" t="s">
        <v>44759</v>
      </c>
      <c r="O3553" t="s">
        <v>44760</v>
      </c>
      <c r="P3553">
        <v>0</v>
      </c>
      <c r="Q3553">
        <v>1</v>
      </c>
      <c r="R3553" t="s">
        <v>44762</v>
      </c>
      <c r="S3553" t="s">
        <v>44863</v>
      </c>
      <c r="T3553" t="s">
        <v>46410</v>
      </c>
      <c r="U3553" t="s">
        <v>49968</v>
      </c>
      <c r="W3553" t="s">
        <v>42105</v>
      </c>
      <c r="X3553" t="s">
        <v>44763</v>
      </c>
    </row>
    <row r="3554" spans="1:24">
      <c r="A3554">
        <f>HYPERLINK("https://www.philgeps.gov.ph/GEPSNONPILOT/Tender/SplashBidNoticeAbstractUI.aspx?menuIndex=3&amp;refID=7150072&amp;Result=3","7150072")</f>
        <v>0</v>
      </c>
      <c r="B3554" t="s">
        <v>1204</v>
      </c>
      <c r="C3554" t="s">
        <v>7147</v>
      </c>
      <c r="D3554" t="s">
        <v>17963</v>
      </c>
      <c r="E3554" t="s">
        <v>21230</v>
      </c>
      <c r="F3554" t="s">
        <v>30900</v>
      </c>
      <c r="G3554" t="s">
        <v>30907</v>
      </c>
      <c r="H3554" t="s">
        <v>30916</v>
      </c>
      <c r="I3554" t="s">
        <v>30920</v>
      </c>
      <c r="J3554" t="s">
        <v>31489</v>
      </c>
      <c r="K3554" t="s">
        <v>40289</v>
      </c>
      <c r="M3554" t="s">
        <v>41815</v>
      </c>
      <c r="N3554" t="s">
        <v>44759</v>
      </c>
      <c r="O3554" t="s">
        <v>44760</v>
      </c>
      <c r="P3554">
        <v>0</v>
      </c>
      <c r="Q3554">
        <v>0</v>
      </c>
      <c r="R3554" t="s">
        <v>44762</v>
      </c>
      <c r="S3554" t="s">
        <v>44863</v>
      </c>
      <c r="T3554" t="s">
        <v>46613</v>
      </c>
      <c r="U3554" t="s">
        <v>49969</v>
      </c>
      <c r="W3554" t="s">
        <v>41815</v>
      </c>
      <c r="X3554" t="s">
        <v>44763</v>
      </c>
    </row>
    <row r="3555" spans="1:24">
      <c r="A3555">
        <f>HYPERLINK("https://www.philgeps.gov.ph/GEPSNONPILOT/Tender/SplashBidNoticeAbstractUI.aspx?menuIndex=3&amp;refID=7150083&amp;Result=3","7150083")</f>
        <v>0</v>
      </c>
      <c r="B3555" t="s">
        <v>111</v>
      </c>
      <c r="C3555" t="s">
        <v>7148</v>
      </c>
      <c r="D3555" t="s">
        <v>17987</v>
      </c>
      <c r="E3555" t="s">
        <v>21231</v>
      </c>
      <c r="F3555" t="s">
        <v>30900</v>
      </c>
      <c r="G3555" t="s">
        <v>30908</v>
      </c>
      <c r="H3555" t="s">
        <v>30917</v>
      </c>
      <c r="I3555" t="s">
        <v>10602</v>
      </c>
      <c r="J3555" t="s">
        <v>33538</v>
      </c>
      <c r="K3555" t="s">
        <v>40284</v>
      </c>
      <c r="M3555" t="s">
        <v>40658</v>
      </c>
      <c r="N3555" t="s">
        <v>44759</v>
      </c>
      <c r="O3555" t="s">
        <v>44760</v>
      </c>
      <c r="P3555">
        <v>0</v>
      </c>
      <c r="Q3555">
        <v>0</v>
      </c>
      <c r="R3555" t="s">
        <v>44762</v>
      </c>
      <c r="S3555" t="s">
        <v>44863</v>
      </c>
      <c r="T3555" t="s">
        <v>46398</v>
      </c>
      <c r="U3555" t="s">
        <v>49970</v>
      </c>
      <c r="W3555" t="s">
        <v>40658</v>
      </c>
      <c r="X3555" t="s">
        <v>44763</v>
      </c>
    </row>
    <row r="3556" spans="1:24">
      <c r="A3556">
        <f>HYPERLINK("https://www.philgeps.gov.ph/GEPSNONPILOT/Tender/SplashBidNoticeAbstractUI.aspx?menuIndex=3&amp;refID=7150025&amp;Result=3","7150025")</f>
        <v>0</v>
      </c>
      <c r="B3556" t="s">
        <v>1452</v>
      </c>
      <c r="C3556" t="s">
        <v>7149</v>
      </c>
      <c r="D3556" t="s">
        <v>18000</v>
      </c>
      <c r="E3556" t="s">
        <v>21232</v>
      </c>
      <c r="F3556" t="s">
        <v>30900</v>
      </c>
      <c r="G3556" t="s">
        <v>30908</v>
      </c>
      <c r="H3556" t="s">
        <v>30916</v>
      </c>
      <c r="I3556" t="s">
        <v>4108</v>
      </c>
      <c r="J3556" t="s">
        <v>33539</v>
      </c>
      <c r="K3556" t="s">
        <v>40285</v>
      </c>
      <c r="M3556" t="s">
        <v>42084</v>
      </c>
      <c r="N3556" t="s">
        <v>44759</v>
      </c>
      <c r="O3556" t="s">
        <v>44760</v>
      </c>
      <c r="P3556">
        <v>0</v>
      </c>
      <c r="Q3556">
        <v>0</v>
      </c>
      <c r="R3556" t="s">
        <v>44762</v>
      </c>
      <c r="S3556" t="s">
        <v>44863</v>
      </c>
      <c r="T3556" t="s">
        <v>46414</v>
      </c>
      <c r="U3556" t="s">
        <v>49971</v>
      </c>
      <c r="W3556" t="s">
        <v>42084</v>
      </c>
      <c r="X3556" t="s">
        <v>44763</v>
      </c>
    </row>
    <row r="3557" spans="1:24">
      <c r="A3557">
        <f>HYPERLINK("https://www.philgeps.gov.ph/GEPSNONPILOT/Tender/SplashBidNoticeAbstractUI.aspx?menuIndex=3&amp;refID=7150121&amp;Result=3","7150121")</f>
        <v>0</v>
      </c>
      <c r="B3557" t="s">
        <v>1474</v>
      </c>
      <c r="C3557" t="s">
        <v>4648</v>
      </c>
      <c r="D3557" t="s">
        <v>17977</v>
      </c>
      <c r="E3557" t="s">
        <v>21233</v>
      </c>
      <c r="F3557" t="s">
        <v>30900</v>
      </c>
      <c r="G3557" t="s">
        <v>30909</v>
      </c>
      <c r="H3557" t="s">
        <v>30916</v>
      </c>
      <c r="I3557" t="s">
        <v>8365</v>
      </c>
      <c r="J3557" t="s">
        <v>33540</v>
      </c>
      <c r="K3557" t="s">
        <v>40287</v>
      </c>
      <c r="M3557" t="s">
        <v>42109</v>
      </c>
      <c r="N3557" t="s">
        <v>44759</v>
      </c>
      <c r="O3557" t="s">
        <v>44760</v>
      </c>
      <c r="P3557">
        <v>0</v>
      </c>
      <c r="Q3557">
        <v>0</v>
      </c>
      <c r="R3557" t="s">
        <v>44762</v>
      </c>
      <c r="S3557" t="s">
        <v>44863</v>
      </c>
      <c r="T3557" t="s">
        <v>46400</v>
      </c>
      <c r="U3557" t="s">
        <v>49972</v>
      </c>
      <c r="W3557" t="s">
        <v>42109</v>
      </c>
      <c r="X3557" t="s">
        <v>44763</v>
      </c>
    </row>
    <row r="3558" spans="1:24">
      <c r="A3558">
        <f>HYPERLINK("https://www.philgeps.gov.ph/GEPSNONPILOT/Tender/SplashBidNoticeAbstractUI.aspx?menuIndex=3&amp;refID=7150119&amp;Result=3","7150119")</f>
        <v>0</v>
      </c>
      <c r="B3558" t="s">
        <v>1323</v>
      </c>
      <c r="C3558" t="s">
        <v>7150</v>
      </c>
      <c r="E3558" t="s">
        <v>21234</v>
      </c>
      <c r="F3558" t="s">
        <v>30900</v>
      </c>
      <c r="G3558" t="s">
        <v>30908</v>
      </c>
      <c r="H3558" t="s">
        <v>30916</v>
      </c>
      <c r="I3558" t="s">
        <v>8123</v>
      </c>
      <c r="J3558" t="s">
        <v>31043</v>
      </c>
      <c r="K3558" t="s">
        <v>40283</v>
      </c>
      <c r="M3558" t="s">
        <v>41942</v>
      </c>
      <c r="N3558" t="s">
        <v>44759</v>
      </c>
      <c r="O3558" t="s">
        <v>44760</v>
      </c>
      <c r="P3558">
        <v>0</v>
      </c>
      <c r="Q3558">
        <v>0</v>
      </c>
      <c r="R3558" t="s">
        <v>44762</v>
      </c>
      <c r="S3558" t="s">
        <v>44863</v>
      </c>
      <c r="T3558" t="s">
        <v>46414</v>
      </c>
      <c r="U3558" t="s">
        <v>49638</v>
      </c>
      <c r="W3558" t="s">
        <v>41942</v>
      </c>
      <c r="X3558" t="s">
        <v>44763</v>
      </c>
    </row>
    <row r="3559" spans="1:24">
      <c r="A3559">
        <f>HYPERLINK("https://www.philgeps.gov.ph/GEPSNONPILOT/Tender/SplashBidNoticeAbstractUI.aspx?menuIndex=3&amp;refID=7150118&amp;Result=3","7150118")</f>
        <v>0</v>
      </c>
      <c r="B3559" t="s">
        <v>1417</v>
      </c>
      <c r="C3559" t="s">
        <v>7151</v>
      </c>
      <c r="D3559" t="s">
        <v>17996</v>
      </c>
      <c r="E3559" t="s">
        <v>21235</v>
      </c>
      <c r="F3559" t="s">
        <v>30900</v>
      </c>
      <c r="G3559" t="s">
        <v>30908</v>
      </c>
      <c r="H3559" t="s">
        <v>30916</v>
      </c>
      <c r="I3559" t="s">
        <v>30963</v>
      </c>
      <c r="J3559" t="s">
        <v>33541</v>
      </c>
      <c r="K3559" t="s">
        <v>40289</v>
      </c>
      <c r="M3559" t="s">
        <v>42046</v>
      </c>
      <c r="N3559" t="s">
        <v>44759</v>
      </c>
      <c r="O3559" t="s">
        <v>44760</v>
      </c>
      <c r="P3559">
        <v>0</v>
      </c>
      <c r="Q3559">
        <v>4</v>
      </c>
      <c r="R3559" t="s">
        <v>44762</v>
      </c>
      <c r="S3559" t="s">
        <v>44863</v>
      </c>
      <c r="T3559" t="s">
        <v>46383</v>
      </c>
      <c r="U3559" t="s">
        <v>49838</v>
      </c>
      <c r="W3559" t="s">
        <v>42046</v>
      </c>
      <c r="X3559" t="s">
        <v>44763</v>
      </c>
    </row>
    <row r="3560" spans="1:24">
      <c r="A3560">
        <f>HYPERLINK("https://www.philgeps.gov.ph/GEPSNONPILOT/Tender/SplashBidNoticeAbstractUI.aspx?menuIndex=3&amp;refID=7150073&amp;Result=3","7150073")</f>
        <v>0</v>
      </c>
      <c r="B3560" t="s">
        <v>44</v>
      </c>
      <c r="C3560" t="s">
        <v>7152</v>
      </c>
      <c r="D3560" t="s">
        <v>17969</v>
      </c>
      <c r="E3560" t="s">
        <v>21236</v>
      </c>
      <c r="F3560" t="s">
        <v>30900</v>
      </c>
      <c r="G3560" t="s">
        <v>30908</v>
      </c>
      <c r="H3560" t="s">
        <v>30916</v>
      </c>
      <c r="I3560" t="s">
        <v>10602</v>
      </c>
      <c r="J3560" t="s">
        <v>31204</v>
      </c>
      <c r="K3560" t="s">
        <v>40289</v>
      </c>
      <c r="M3560" t="s">
        <v>41947</v>
      </c>
      <c r="N3560" t="s">
        <v>44759</v>
      </c>
      <c r="O3560" t="s">
        <v>44760</v>
      </c>
      <c r="P3560">
        <v>0</v>
      </c>
      <c r="Q3560">
        <v>0</v>
      </c>
      <c r="R3560" t="s">
        <v>44762</v>
      </c>
      <c r="S3560" t="s">
        <v>44863</v>
      </c>
      <c r="T3560" t="s">
        <v>46412</v>
      </c>
      <c r="U3560" t="s">
        <v>49973</v>
      </c>
      <c r="W3560" t="s">
        <v>41947</v>
      </c>
      <c r="X3560" t="s">
        <v>44763</v>
      </c>
    </row>
    <row r="3561" spans="1:24">
      <c r="A3561">
        <f>HYPERLINK("https://www.philgeps.gov.ph/GEPSNONPILOT/Tender/SplashBidNoticeAbstractUI.aspx?menuIndex=3&amp;refID=7150115&amp;Result=3","7150115")</f>
        <v>0</v>
      </c>
      <c r="B3561" t="s">
        <v>593</v>
      </c>
      <c r="C3561" t="s">
        <v>7153</v>
      </c>
      <c r="D3561" t="s">
        <v>18031</v>
      </c>
      <c r="E3561" t="s">
        <v>21237</v>
      </c>
      <c r="F3561" t="s">
        <v>30900</v>
      </c>
      <c r="G3561" t="s">
        <v>30908</v>
      </c>
      <c r="H3561" t="s">
        <v>30916</v>
      </c>
      <c r="I3561" t="s">
        <v>30923</v>
      </c>
      <c r="J3561" t="s">
        <v>31152</v>
      </c>
      <c r="K3561" t="s">
        <v>40285</v>
      </c>
      <c r="M3561" t="s">
        <v>41155</v>
      </c>
      <c r="N3561" t="s">
        <v>44759</v>
      </c>
      <c r="O3561" t="s">
        <v>44760</v>
      </c>
      <c r="P3561">
        <v>0</v>
      </c>
      <c r="Q3561">
        <v>0</v>
      </c>
      <c r="R3561" t="s">
        <v>44762</v>
      </c>
      <c r="S3561" t="s">
        <v>44863</v>
      </c>
      <c r="T3561" t="s">
        <v>46379</v>
      </c>
      <c r="U3561" t="s">
        <v>49974</v>
      </c>
      <c r="W3561" t="s">
        <v>41155</v>
      </c>
      <c r="X3561" t="s">
        <v>44763</v>
      </c>
    </row>
    <row r="3562" spans="1:24">
      <c r="A3562">
        <f>HYPERLINK("https://www.philgeps.gov.ph/GEPSNONPILOT/Tender/SplashBidNoticeAbstractUI.aspx?menuIndex=3&amp;refID=7150117&amp;Result=3","7150117")</f>
        <v>0</v>
      </c>
      <c r="B3562" t="s">
        <v>258</v>
      </c>
      <c r="C3562" t="s">
        <v>7154</v>
      </c>
      <c r="D3562" t="s">
        <v>18005</v>
      </c>
      <c r="E3562" t="s">
        <v>21238</v>
      </c>
      <c r="F3562" t="s">
        <v>30900</v>
      </c>
      <c r="G3562" t="s">
        <v>30907</v>
      </c>
      <c r="H3562" t="s">
        <v>30915</v>
      </c>
      <c r="I3562" t="s">
        <v>30919</v>
      </c>
      <c r="J3562" t="s">
        <v>31341</v>
      </c>
      <c r="K3562" t="s">
        <v>40286</v>
      </c>
      <c r="M3562" t="s">
        <v>40805</v>
      </c>
      <c r="N3562" t="s">
        <v>44759</v>
      </c>
      <c r="O3562" t="s">
        <v>44760</v>
      </c>
      <c r="P3562">
        <v>0</v>
      </c>
      <c r="Q3562">
        <v>0</v>
      </c>
      <c r="R3562" t="s">
        <v>44762</v>
      </c>
      <c r="S3562" t="s">
        <v>44863</v>
      </c>
      <c r="T3562" t="s">
        <v>46404</v>
      </c>
      <c r="U3562" t="s">
        <v>49975</v>
      </c>
      <c r="W3562" t="s">
        <v>40805</v>
      </c>
      <c r="X3562" t="s">
        <v>44763</v>
      </c>
    </row>
    <row r="3563" spans="1:24">
      <c r="A3563">
        <f>HYPERLINK("https://www.philgeps.gov.ph/GEPSNONPILOT/Tender/SplashBidNoticeAbstractUI.aspx?menuIndex=3&amp;refID=7150076&amp;Result=3","7150076")</f>
        <v>0</v>
      </c>
      <c r="B3563" t="s">
        <v>47</v>
      </c>
      <c r="C3563" t="s">
        <v>7155</v>
      </c>
      <c r="D3563" t="s">
        <v>17970</v>
      </c>
      <c r="E3563" t="s">
        <v>21239</v>
      </c>
      <c r="F3563" t="s">
        <v>30900</v>
      </c>
      <c r="G3563" t="s">
        <v>30908</v>
      </c>
      <c r="H3563" t="s">
        <v>30916</v>
      </c>
      <c r="I3563" t="s">
        <v>6953</v>
      </c>
      <c r="J3563" t="s">
        <v>32370</v>
      </c>
      <c r="K3563" t="s">
        <v>40284</v>
      </c>
      <c r="L3563" t="s">
        <v>47</v>
      </c>
      <c r="M3563" t="s">
        <v>40593</v>
      </c>
      <c r="N3563" t="s">
        <v>44759</v>
      </c>
      <c r="O3563" t="s">
        <v>44760</v>
      </c>
      <c r="P3563">
        <v>0</v>
      </c>
      <c r="Q3563">
        <v>1</v>
      </c>
      <c r="R3563" t="s">
        <v>44762</v>
      </c>
      <c r="S3563" t="s">
        <v>44863</v>
      </c>
      <c r="T3563" t="s">
        <v>46499</v>
      </c>
      <c r="U3563" t="s">
        <v>49976</v>
      </c>
      <c r="V3563" t="s">
        <v>59519</v>
      </c>
      <c r="W3563" t="s">
        <v>40593</v>
      </c>
      <c r="X3563" t="s">
        <v>44763</v>
      </c>
    </row>
    <row r="3564" spans="1:24">
      <c r="A3564">
        <f>HYPERLINK("https://www.philgeps.gov.ph/GEPSNONPILOT/Tender/SplashBidNoticeAbstractUI.aspx?menuIndex=3&amp;refID=7150111&amp;Result=3","7150111")</f>
        <v>0</v>
      </c>
      <c r="B3564" t="s">
        <v>593</v>
      </c>
      <c r="C3564" t="s">
        <v>7156</v>
      </c>
      <c r="D3564" t="s">
        <v>18031</v>
      </c>
      <c r="E3564" t="s">
        <v>21240</v>
      </c>
      <c r="F3564" t="s">
        <v>30900</v>
      </c>
      <c r="G3564" t="s">
        <v>30908</v>
      </c>
      <c r="H3564" t="s">
        <v>30916</v>
      </c>
      <c r="I3564" t="s">
        <v>30929</v>
      </c>
      <c r="J3564" t="s">
        <v>33542</v>
      </c>
      <c r="K3564" t="s">
        <v>40285</v>
      </c>
      <c r="M3564" t="s">
        <v>41155</v>
      </c>
      <c r="N3564" t="s">
        <v>44759</v>
      </c>
      <c r="O3564" t="s">
        <v>44760</v>
      </c>
      <c r="P3564">
        <v>0</v>
      </c>
      <c r="Q3564">
        <v>2</v>
      </c>
      <c r="R3564" t="s">
        <v>44762</v>
      </c>
      <c r="S3564" t="s">
        <v>44863</v>
      </c>
      <c r="T3564" t="s">
        <v>46379</v>
      </c>
      <c r="U3564" t="s">
        <v>49974</v>
      </c>
      <c r="W3564" t="s">
        <v>41155</v>
      </c>
      <c r="X3564" t="s">
        <v>44763</v>
      </c>
    </row>
    <row r="3565" spans="1:24">
      <c r="A3565">
        <f>HYPERLINK("https://www.philgeps.gov.ph/GEPSNONPILOT/Tender/SplashBidNoticeAbstractUI.aspx?menuIndex=3&amp;refID=7150107&amp;Result=3","7150107")</f>
        <v>0</v>
      </c>
      <c r="B3565" t="s">
        <v>1436</v>
      </c>
      <c r="C3565" t="s">
        <v>7157</v>
      </c>
      <c r="D3565" t="s">
        <v>18017</v>
      </c>
      <c r="E3565" t="s">
        <v>21241</v>
      </c>
      <c r="F3565" t="s">
        <v>30900</v>
      </c>
      <c r="G3565" t="s">
        <v>30907</v>
      </c>
      <c r="H3565" t="s">
        <v>30915</v>
      </c>
      <c r="I3565" t="s">
        <v>30919</v>
      </c>
      <c r="J3565" t="s">
        <v>33543</v>
      </c>
      <c r="K3565" t="s">
        <v>40301</v>
      </c>
      <c r="M3565" t="s">
        <v>42068</v>
      </c>
      <c r="N3565" t="s">
        <v>44759</v>
      </c>
      <c r="O3565" t="s">
        <v>44760</v>
      </c>
      <c r="P3565">
        <v>0</v>
      </c>
      <c r="Q3565">
        <v>0</v>
      </c>
      <c r="R3565" t="s">
        <v>44762</v>
      </c>
      <c r="S3565" t="s">
        <v>44863</v>
      </c>
      <c r="T3565" t="s">
        <v>46394</v>
      </c>
      <c r="U3565" t="s">
        <v>49977</v>
      </c>
      <c r="W3565" t="s">
        <v>42068</v>
      </c>
      <c r="X3565" t="s">
        <v>44763</v>
      </c>
    </row>
    <row r="3566" spans="1:24">
      <c r="A3566">
        <f>HYPERLINK("https://www.philgeps.gov.ph/GEPSNONPILOT/Tender/SplashBidNoticeAbstractUI.aspx?menuIndex=3&amp;refID=7150106&amp;Result=3","7150106")</f>
        <v>0</v>
      </c>
      <c r="B3566" t="s">
        <v>1475</v>
      </c>
      <c r="C3566" t="s">
        <v>7158</v>
      </c>
      <c r="D3566" t="s">
        <v>17974</v>
      </c>
      <c r="E3566" t="s">
        <v>21242</v>
      </c>
      <c r="F3566" t="s">
        <v>30900</v>
      </c>
      <c r="G3566" t="s">
        <v>30907</v>
      </c>
      <c r="H3566" t="s">
        <v>30916</v>
      </c>
      <c r="I3566" t="s">
        <v>8123</v>
      </c>
      <c r="J3566" t="s">
        <v>33544</v>
      </c>
      <c r="K3566" t="s">
        <v>40287</v>
      </c>
      <c r="M3566" t="s">
        <v>42110</v>
      </c>
      <c r="N3566" t="s">
        <v>44759</v>
      </c>
      <c r="O3566" t="s">
        <v>44760</v>
      </c>
      <c r="P3566">
        <v>0</v>
      </c>
      <c r="Q3566">
        <v>0</v>
      </c>
      <c r="R3566" t="s">
        <v>44762</v>
      </c>
      <c r="S3566" t="s">
        <v>44863</v>
      </c>
      <c r="T3566" t="s">
        <v>46455</v>
      </c>
      <c r="U3566" t="s">
        <v>49978</v>
      </c>
      <c r="V3566" t="s">
        <v>59520</v>
      </c>
      <c r="W3566" t="s">
        <v>42110</v>
      </c>
      <c r="X3566" t="s">
        <v>44763</v>
      </c>
    </row>
    <row r="3567" spans="1:24">
      <c r="A3567">
        <f>HYPERLINK("https://www.philgeps.gov.ph/GEPSNONPILOT/Tender/SplashBidNoticeAbstractUI.aspx?menuIndex=3&amp;refID=7150098&amp;Result=3","7150098")</f>
        <v>0</v>
      </c>
      <c r="B3567" t="s">
        <v>1476</v>
      </c>
      <c r="C3567" t="s">
        <v>7159</v>
      </c>
      <c r="D3567" t="s">
        <v>18017</v>
      </c>
      <c r="E3567" t="s">
        <v>18158</v>
      </c>
      <c r="F3567" t="s">
        <v>30900</v>
      </c>
      <c r="G3567" t="s">
        <v>30908</v>
      </c>
      <c r="H3567" t="s">
        <v>30916</v>
      </c>
      <c r="I3567" t="s">
        <v>4108</v>
      </c>
      <c r="J3567" t="s">
        <v>33545</v>
      </c>
      <c r="K3567" t="s">
        <v>40285</v>
      </c>
      <c r="M3567" t="s">
        <v>42111</v>
      </c>
      <c r="N3567" t="s">
        <v>44759</v>
      </c>
      <c r="O3567" t="s">
        <v>44760</v>
      </c>
      <c r="P3567">
        <v>0</v>
      </c>
      <c r="Q3567">
        <v>0</v>
      </c>
      <c r="R3567" t="s">
        <v>44762</v>
      </c>
      <c r="S3567" t="s">
        <v>44863</v>
      </c>
      <c r="T3567" t="s">
        <v>46638</v>
      </c>
      <c r="U3567" t="s">
        <v>49979</v>
      </c>
      <c r="V3567" t="s">
        <v>59521</v>
      </c>
      <c r="W3567" t="s">
        <v>42111</v>
      </c>
      <c r="X3567" t="s">
        <v>44763</v>
      </c>
    </row>
    <row r="3568" spans="1:24">
      <c r="A3568">
        <f>HYPERLINK("https://www.philgeps.gov.ph/GEPSNONPILOT/Tender/SplashBidNoticeAbstractUI.aspx?menuIndex=3&amp;refID=7150105&amp;Result=3","7150105")</f>
        <v>0</v>
      </c>
      <c r="B3568" t="s">
        <v>593</v>
      </c>
      <c r="C3568" t="s">
        <v>7160</v>
      </c>
      <c r="D3568" t="s">
        <v>18031</v>
      </c>
      <c r="E3568" t="s">
        <v>21243</v>
      </c>
      <c r="F3568" t="s">
        <v>30900</v>
      </c>
      <c r="G3568" t="s">
        <v>30908</v>
      </c>
      <c r="H3568" t="s">
        <v>30916</v>
      </c>
      <c r="I3568" t="s">
        <v>10847</v>
      </c>
      <c r="J3568" t="s">
        <v>33546</v>
      </c>
      <c r="K3568" t="s">
        <v>40285</v>
      </c>
      <c r="M3568" t="s">
        <v>41155</v>
      </c>
      <c r="N3568" t="s">
        <v>44759</v>
      </c>
      <c r="O3568" t="s">
        <v>44760</v>
      </c>
      <c r="P3568">
        <v>0</v>
      </c>
      <c r="Q3568">
        <v>0</v>
      </c>
      <c r="R3568" t="s">
        <v>44762</v>
      </c>
      <c r="S3568" t="s">
        <v>44863</v>
      </c>
      <c r="T3568" t="s">
        <v>46379</v>
      </c>
      <c r="U3568" t="s">
        <v>49974</v>
      </c>
      <c r="W3568" t="s">
        <v>41155</v>
      </c>
      <c r="X3568" t="s">
        <v>44763</v>
      </c>
    </row>
    <row r="3569" spans="1:24">
      <c r="A3569">
        <f>HYPERLINK("https://www.philgeps.gov.ph/GEPSNONPILOT/Tender/SplashBidNoticeAbstractUI.aspx?menuIndex=3&amp;refID=7150116&amp;Result=3","7150116")</f>
        <v>0</v>
      </c>
      <c r="B3569" t="s">
        <v>89</v>
      </c>
      <c r="C3569" t="s">
        <v>7161</v>
      </c>
      <c r="D3569" t="s">
        <v>17971</v>
      </c>
      <c r="E3569" t="s">
        <v>21244</v>
      </c>
      <c r="F3569" t="s">
        <v>30900</v>
      </c>
      <c r="G3569" t="s">
        <v>30907</v>
      </c>
      <c r="H3569" t="s">
        <v>30916</v>
      </c>
      <c r="I3569" t="s">
        <v>30989</v>
      </c>
      <c r="J3569" t="s">
        <v>33547</v>
      </c>
      <c r="K3569" t="s">
        <v>40289</v>
      </c>
      <c r="M3569" t="s">
        <v>40636</v>
      </c>
      <c r="N3569" t="s">
        <v>44759</v>
      </c>
      <c r="O3569" t="s">
        <v>44760</v>
      </c>
      <c r="P3569">
        <v>0</v>
      </c>
      <c r="Q3569">
        <v>3</v>
      </c>
      <c r="R3569" t="s">
        <v>44762</v>
      </c>
      <c r="S3569" t="s">
        <v>44863</v>
      </c>
      <c r="T3569" t="s">
        <v>46486</v>
      </c>
      <c r="U3569" t="s">
        <v>49980</v>
      </c>
      <c r="V3569" t="s">
        <v>59522</v>
      </c>
      <c r="W3569" t="s">
        <v>40636</v>
      </c>
      <c r="X3569" t="s">
        <v>44763</v>
      </c>
    </row>
    <row r="3570" spans="1:24">
      <c r="A3570">
        <f>HYPERLINK("https://www.philgeps.gov.ph/GEPSNONPILOT/Tender/SplashBidNoticeAbstractUI.aspx?menuIndex=3&amp;refID=7150103&amp;Result=3","7150103")</f>
        <v>0</v>
      </c>
      <c r="B3570" t="s">
        <v>342</v>
      </c>
      <c r="C3570" t="s">
        <v>7162</v>
      </c>
      <c r="D3570" t="s">
        <v>18016</v>
      </c>
      <c r="E3570" t="s">
        <v>21245</v>
      </c>
      <c r="F3570" t="s">
        <v>30900</v>
      </c>
      <c r="G3570" t="s">
        <v>30907</v>
      </c>
      <c r="H3570" t="s">
        <v>30916</v>
      </c>
      <c r="I3570" t="s">
        <v>31014</v>
      </c>
      <c r="J3570" t="s">
        <v>33548</v>
      </c>
      <c r="K3570" t="s">
        <v>40286</v>
      </c>
      <c r="M3570" t="s">
        <v>40895</v>
      </c>
      <c r="N3570" t="s">
        <v>44759</v>
      </c>
      <c r="O3570" t="s">
        <v>44760</v>
      </c>
      <c r="P3570">
        <v>0</v>
      </c>
      <c r="Q3570">
        <v>1</v>
      </c>
      <c r="R3570" t="s">
        <v>44762</v>
      </c>
      <c r="S3570" t="s">
        <v>44863</v>
      </c>
      <c r="T3570" t="s">
        <v>46433</v>
      </c>
      <c r="U3570" t="s">
        <v>49981</v>
      </c>
      <c r="V3570" t="s">
        <v>59523</v>
      </c>
      <c r="W3570" t="s">
        <v>40895</v>
      </c>
      <c r="X3570" t="s">
        <v>44763</v>
      </c>
    </row>
    <row r="3571" spans="1:24">
      <c r="A3571">
        <f>HYPERLINK("https://www.philgeps.gov.ph/GEPSNONPILOT/Tender/SplashBidNoticeAbstractUI.aspx?menuIndex=3&amp;refID=7150110&amp;Result=3","7150110")</f>
        <v>0</v>
      </c>
      <c r="B3571" t="s">
        <v>1323</v>
      </c>
      <c r="C3571" t="s">
        <v>7163</v>
      </c>
      <c r="E3571" t="s">
        <v>21246</v>
      </c>
      <c r="F3571" t="s">
        <v>30900</v>
      </c>
      <c r="G3571" t="s">
        <v>30908</v>
      </c>
      <c r="H3571" t="s">
        <v>30916</v>
      </c>
      <c r="I3571" t="s">
        <v>6953</v>
      </c>
      <c r="J3571" t="s">
        <v>31070</v>
      </c>
      <c r="K3571" t="s">
        <v>40283</v>
      </c>
      <c r="M3571" t="s">
        <v>41942</v>
      </c>
      <c r="N3571" t="s">
        <v>44759</v>
      </c>
      <c r="O3571" t="s">
        <v>44760</v>
      </c>
      <c r="P3571">
        <v>0</v>
      </c>
      <c r="Q3571">
        <v>0</v>
      </c>
      <c r="R3571" t="s">
        <v>44762</v>
      </c>
      <c r="S3571" t="s">
        <v>44863</v>
      </c>
      <c r="T3571" t="s">
        <v>46639</v>
      </c>
      <c r="U3571" t="s">
        <v>49638</v>
      </c>
      <c r="W3571" t="s">
        <v>41942</v>
      </c>
      <c r="X3571" t="s">
        <v>44763</v>
      </c>
    </row>
    <row r="3572" spans="1:24">
      <c r="A3572">
        <f>HYPERLINK("https://www.philgeps.gov.ph/GEPSNONPILOT/Tender/SplashBidNoticeAbstractUI.aspx?menuIndex=3&amp;refID=7150134&amp;Result=3","7150134")</f>
        <v>0</v>
      </c>
      <c r="B3572" t="s">
        <v>1357</v>
      </c>
      <c r="C3572" t="s">
        <v>7164</v>
      </c>
      <c r="D3572" t="s">
        <v>18025</v>
      </c>
      <c r="E3572" t="s">
        <v>18255</v>
      </c>
      <c r="F3572" t="s">
        <v>30900</v>
      </c>
      <c r="G3572" t="s">
        <v>30910</v>
      </c>
      <c r="H3572" t="s">
        <v>30916</v>
      </c>
      <c r="I3572" t="s">
        <v>8365</v>
      </c>
      <c r="J3572" t="s">
        <v>33549</v>
      </c>
      <c r="K3572" t="s">
        <v>40288</v>
      </c>
      <c r="M3572" t="s">
        <v>41979</v>
      </c>
      <c r="N3572" t="s">
        <v>44759</v>
      </c>
      <c r="O3572" t="s">
        <v>44760</v>
      </c>
      <c r="P3572">
        <v>0</v>
      </c>
      <c r="Q3572">
        <v>0</v>
      </c>
      <c r="R3572" t="s">
        <v>44762</v>
      </c>
      <c r="S3572" t="s">
        <v>44863</v>
      </c>
      <c r="T3572" t="s">
        <v>46562</v>
      </c>
      <c r="U3572" t="s">
        <v>49982</v>
      </c>
      <c r="W3572" t="s">
        <v>41979</v>
      </c>
      <c r="X3572" t="s">
        <v>44763</v>
      </c>
    </row>
    <row r="3573" spans="1:24">
      <c r="A3573">
        <f>HYPERLINK("https://www.philgeps.gov.ph/GEPSNONPILOT/Tender/SplashBidNoticeAbstractUI.aspx?menuIndex=3&amp;refID=7150109&amp;Result=3","7150109")</f>
        <v>0</v>
      </c>
      <c r="B3573" t="s">
        <v>1477</v>
      </c>
      <c r="C3573" t="s">
        <v>7165</v>
      </c>
      <c r="D3573" t="s">
        <v>17990</v>
      </c>
      <c r="E3573" t="s">
        <v>21247</v>
      </c>
      <c r="F3573" t="s">
        <v>30900</v>
      </c>
      <c r="G3573" t="s">
        <v>30909</v>
      </c>
      <c r="H3573" t="s">
        <v>30916</v>
      </c>
      <c r="I3573" t="s">
        <v>30922</v>
      </c>
      <c r="J3573" t="s">
        <v>33550</v>
      </c>
      <c r="K3573" t="s">
        <v>40287</v>
      </c>
      <c r="M3573" t="s">
        <v>42112</v>
      </c>
      <c r="N3573" t="s">
        <v>44759</v>
      </c>
      <c r="O3573" t="s">
        <v>44760</v>
      </c>
      <c r="P3573">
        <v>0</v>
      </c>
      <c r="Q3573">
        <v>7</v>
      </c>
      <c r="R3573" t="s">
        <v>44762</v>
      </c>
      <c r="S3573" t="s">
        <v>44863</v>
      </c>
      <c r="T3573" t="s">
        <v>46590</v>
      </c>
      <c r="U3573" t="s">
        <v>49983</v>
      </c>
      <c r="V3573" t="s">
        <v>59524</v>
      </c>
      <c r="W3573" t="s">
        <v>42112</v>
      </c>
      <c r="X3573" t="s">
        <v>44763</v>
      </c>
    </row>
    <row r="3574" spans="1:24">
      <c r="A3574">
        <f>HYPERLINK("https://www.philgeps.gov.ph/GEPSNONPILOT/Tender/SplashBidNoticeAbstractUI.aspx?menuIndex=3&amp;refID=7150029&amp;Result=3","7150029")</f>
        <v>0</v>
      </c>
      <c r="B3574" t="s">
        <v>276</v>
      </c>
      <c r="C3574" t="s">
        <v>7166</v>
      </c>
      <c r="D3574" t="s">
        <v>17974</v>
      </c>
      <c r="E3574" t="s">
        <v>21248</v>
      </c>
      <c r="F3574" t="s">
        <v>30900</v>
      </c>
      <c r="G3574" t="s">
        <v>30908</v>
      </c>
      <c r="H3574" t="s">
        <v>30916</v>
      </c>
      <c r="I3574" t="s">
        <v>30939</v>
      </c>
      <c r="J3574" t="s">
        <v>33551</v>
      </c>
      <c r="K3574" t="s">
        <v>40283</v>
      </c>
      <c r="L3574" t="s">
        <v>276</v>
      </c>
      <c r="M3574" t="s">
        <v>40823</v>
      </c>
      <c r="N3574" t="s">
        <v>44759</v>
      </c>
      <c r="O3574" t="s">
        <v>44760</v>
      </c>
      <c r="P3574">
        <v>0</v>
      </c>
      <c r="Q3574">
        <v>0</v>
      </c>
      <c r="R3574" t="s">
        <v>44762</v>
      </c>
      <c r="S3574" t="s">
        <v>44863</v>
      </c>
      <c r="T3574" t="s">
        <v>46389</v>
      </c>
      <c r="U3574" t="s">
        <v>49984</v>
      </c>
      <c r="W3574" t="s">
        <v>40823</v>
      </c>
      <c r="X3574" t="s">
        <v>44763</v>
      </c>
    </row>
    <row r="3575" spans="1:24">
      <c r="A3575">
        <f>HYPERLINK("https://www.philgeps.gov.ph/GEPSNONPILOT/Tender/SplashBidNoticeAbstractUI.aspx?menuIndex=3&amp;refID=7150141&amp;Result=3","7150141")</f>
        <v>0</v>
      </c>
      <c r="B3575" t="s">
        <v>1323</v>
      </c>
      <c r="C3575" t="s">
        <v>7167</v>
      </c>
      <c r="E3575" t="s">
        <v>21249</v>
      </c>
      <c r="F3575" t="s">
        <v>30900</v>
      </c>
      <c r="G3575" t="s">
        <v>30908</v>
      </c>
      <c r="H3575" t="s">
        <v>30916</v>
      </c>
      <c r="I3575" t="s">
        <v>4142</v>
      </c>
      <c r="J3575" t="s">
        <v>33552</v>
      </c>
      <c r="K3575" t="s">
        <v>40283</v>
      </c>
      <c r="M3575" t="s">
        <v>41942</v>
      </c>
      <c r="N3575" t="s">
        <v>44759</v>
      </c>
      <c r="O3575" t="s">
        <v>44760</v>
      </c>
      <c r="P3575">
        <v>0</v>
      </c>
      <c r="Q3575">
        <v>0</v>
      </c>
      <c r="R3575" t="s">
        <v>44762</v>
      </c>
      <c r="S3575" t="s">
        <v>44863</v>
      </c>
      <c r="T3575" t="s">
        <v>46564</v>
      </c>
      <c r="U3575" t="s">
        <v>49985</v>
      </c>
      <c r="W3575" t="s">
        <v>41942</v>
      </c>
      <c r="X3575" t="s">
        <v>44763</v>
      </c>
    </row>
    <row r="3576" spans="1:24">
      <c r="A3576">
        <f>HYPERLINK("https://www.philgeps.gov.ph/GEPSNONPILOT/Tender/SplashBidNoticeAbstractUI.aspx?menuIndex=3&amp;refID=7150112&amp;Result=3","7150112")</f>
        <v>0</v>
      </c>
      <c r="B3576" t="s">
        <v>1417</v>
      </c>
      <c r="C3576" t="s">
        <v>6785</v>
      </c>
      <c r="D3576" t="s">
        <v>17996</v>
      </c>
      <c r="E3576" t="s">
        <v>21250</v>
      </c>
      <c r="F3576" t="s">
        <v>30900</v>
      </c>
      <c r="G3576" t="s">
        <v>30908</v>
      </c>
      <c r="H3576" t="s">
        <v>30916</v>
      </c>
      <c r="I3576" t="s">
        <v>30923</v>
      </c>
      <c r="J3576" t="s">
        <v>33553</v>
      </c>
      <c r="K3576" t="s">
        <v>40289</v>
      </c>
      <c r="M3576" t="s">
        <v>42046</v>
      </c>
      <c r="N3576" t="s">
        <v>44759</v>
      </c>
      <c r="O3576" t="s">
        <v>44760</v>
      </c>
      <c r="P3576">
        <v>0</v>
      </c>
      <c r="Q3576">
        <v>7</v>
      </c>
      <c r="R3576" t="s">
        <v>44762</v>
      </c>
      <c r="S3576" t="s">
        <v>44863</v>
      </c>
      <c r="T3576" t="s">
        <v>46383</v>
      </c>
      <c r="U3576" t="s">
        <v>49838</v>
      </c>
      <c r="W3576" t="s">
        <v>42046</v>
      </c>
      <c r="X3576" t="s">
        <v>44763</v>
      </c>
    </row>
    <row r="3577" spans="1:24">
      <c r="A3577">
        <f>HYPERLINK("https://www.philgeps.gov.ph/GEPSNONPILOT/Tender/SplashBidNoticeAbstractUI.aspx?menuIndex=3&amp;refID=7150140&amp;Result=3","7150140")</f>
        <v>0</v>
      </c>
      <c r="B3577" t="s">
        <v>1478</v>
      </c>
      <c r="C3577" t="s">
        <v>7168</v>
      </c>
      <c r="D3577" t="s">
        <v>17959</v>
      </c>
      <c r="E3577" t="s">
        <v>21251</v>
      </c>
      <c r="F3577" t="s">
        <v>30900</v>
      </c>
      <c r="G3577" t="s">
        <v>30909</v>
      </c>
      <c r="H3577" t="s">
        <v>30916</v>
      </c>
      <c r="I3577" t="s">
        <v>10961</v>
      </c>
      <c r="J3577" t="s">
        <v>31049</v>
      </c>
      <c r="K3577" t="s">
        <v>40289</v>
      </c>
      <c r="M3577" t="s">
        <v>42113</v>
      </c>
      <c r="N3577" t="s">
        <v>44759</v>
      </c>
      <c r="O3577" t="s">
        <v>44760</v>
      </c>
      <c r="P3577">
        <v>0</v>
      </c>
      <c r="Q3577">
        <v>2</v>
      </c>
      <c r="R3577" t="s">
        <v>44762</v>
      </c>
      <c r="S3577" t="s">
        <v>44863</v>
      </c>
      <c r="T3577" t="s">
        <v>46371</v>
      </c>
      <c r="U3577" t="s">
        <v>49986</v>
      </c>
      <c r="W3577" t="s">
        <v>42113</v>
      </c>
      <c r="X3577" t="s">
        <v>44763</v>
      </c>
    </row>
    <row r="3578" spans="1:24">
      <c r="A3578">
        <f>HYPERLINK("https://www.philgeps.gov.ph/GEPSNONPILOT/Tender/SplashBidNoticeAbstractUI.aspx?menuIndex=3&amp;refID=7150139&amp;Result=3","7150139")</f>
        <v>0</v>
      </c>
      <c r="B3578" t="s">
        <v>1393</v>
      </c>
      <c r="C3578" t="s">
        <v>7169</v>
      </c>
      <c r="E3578" t="s">
        <v>21252</v>
      </c>
      <c r="F3578" t="s">
        <v>30900</v>
      </c>
      <c r="G3578" t="s">
        <v>30908</v>
      </c>
      <c r="H3578" t="s">
        <v>30916</v>
      </c>
      <c r="I3578" t="s">
        <v>30923</v>
      </c>
      <c r="J3578" t="s">
        <v>31077</v>
      </c>
      <c r="K3578" t="s">
        <v>40289</v>
      </c>
      <c r="M3578" t="s">
        <v>42018</v>
      </c>
      <c r="N3578" t="s">
        <v>44759</v>
      </c>
      <c r="O3578" t="s">
        <v>44760</v>
      </c>
      <c r="P3578">
        <v>0</v>
      </c>
      <c r="Q3578">
        <v>19</v>
      </c>
      <c r="R3578" t="s">
        <v>44762</v>
      </c>
      <c r="S3578" t="s">
        <v>44863</v>
      </c>
      <c r="T3578" t="s">
        <v>46379</v>
      </c>
      <c r="U3578" t="s">
        <v>47043</v>
      </c>
      <c r="W3578" t="s">
        <v>42018</v>
      </c>
      <c r="X3578" t="s">
        <v>44763</v>
      </c>
    </row>
    <row r="3579" spans="1:24">
      <c r="A3579">
        <f>HYPERLINK("https://www.philgeps.gov.ph/GEPSNONPILOT/Tender/SplashBidNoticeAbstractUI.aspx?menuIndex=3&amp;refID=7150137&amp;Result=3","7150137")</f>
        <v>0</v>
      </c>
      <c r="B3579" t="s">
        <v>451</v>
      </c>
      <c r="C3579" t="s">
        <v>7170</v>
      </c>
      <c r="D3579" t="s">
        <v>17980</v>
      </c>
      <c r="E3579" t="s">
        <v>21253</v>
      </c>
      <c r="F3579" t="s">
        <v>30900</v>
      </c>
      <c r="G3579" t="s">
        <v>30908</v>
      </c>
      <c r="H3579" t="s">
        <v>30916</v>
      </c>
      <c r="I3579" t="s">
        <v>30925</v>
      </c>
      <c r="J3579" t="s">
        <v>31552</v>
      </c>
      <c r="K3579" t="s">
        <v>40283</v>
      </c>
      <c r="M3579" t="s">
        <v>42056</v>
      </c>
      <c r="N3579" t="s">
        <v>44759</v>
      </c>
      <c r="O3579" t="s">
        <v>44760</v>
      </c>
      <c r="P3579">
        <v>0</v>
      </c>
      <c r="Q3579">
        <v>1</v>
      </c>
      <c r="R3579" t="s">
        <v>44762</v>
      </c>
      <c r="S3579" t="s">
        <v>44863</v>
      </c>
      <c r="T3579" t="s">
        <v>46383</v>
      </c>
      <c r="U3579" t="s">
        <v>49987</v>
      </c>
      <c r="W3579" t="s">
        <v>42056</v>
      </c>
      <c r="X3579" t="s">
        <v>44763</v>
      </c>
    </row>
    <row r="3580" spans="1:24">
      <c r="A3580">
        <f>HYPERLINK("https://www.philgeps.gov.ph/GEPSNONPILOT/Tender/SplashBidNoticeAbstractUI.aspx?menuIndex=3&amp;refID=7150135&amp;Result=3","7150135")</f>
        <v>0</v>
      </c>
      <c r="B3580" t="s">
        <v>231</v>
      </c>
      <c r="C3580" t="s">
        <v>7171</v>
      </c>
      <c r="D3580" t="s">
        <v>17957</v>
      </c>
      <c r="E3580" t="s">
        <v>21254</v>
      </c>
      <c r="F3580" t="s">
        <v>30900</v>
      </c>
      <c r="G3580" t="s">
        <v>30908</v>
      </c>
      <c r="H3580" t="s">
        <v>30916</v>
      </c>
      <c r="I3580" t="s">
        <v>4108</v>
      </c>
      <c r="J3580" t="s">
        <v>33554</v>
      </c>
      <c r="K3580" t="s">
        <v>40294</v>
      </c>
      <c r="M3580" t="s">
        <v>40778</v>
      </c>
      <c r="N3580" t="s">
        <v>44759</v>
      </c>
      <c r="O3580" t="s">
        <v>44760</v>
      </c>
      <c r="P3580">
        <v>0</v>
      </c>
      <c r="Q3580">
        <v>1</v>
      </c>
      <c r="R3580" t="s">
        <v>44762</v>
      </c>
      <c r="S3580" t="s">
        <v>44863</v>
      </c>
      <c r="T3580" t="s">
        <v>46383</v>
      </c>
      <c r="U3580" t="s">
        <v>49988</v>
      </c>
      <c r="W3580" t="s">
        <v>40778</v>
      </c>
      <c r="X3580" t="s">
        <v>44763</v>
      </c>
    </row>
    <row r="3581" spans="1:24">
      <c r="A3581">
        <f>HYPERLINK("https://www.philgeps.gov.ph/GEPSNONPILOT/Tender/SplashBidNoticeAbstractUI.aspx?menuIndex=3&amp;refID=7150136&amp;Result=3","7150136")</f>
        <v>0</v>
      </c>
      <c r="B3581" t="s">
        <v>1479</v>
      </c>
      <c r="C3581" t="s">
        <v>7172</v>
      </c>
      <c r="D3581" t="s">
        <v>17959</v>
      </c>
      <c r="E3581" t="s">
        <v>21255</v>
      </c>
      <c r="F3581" t="s">
        <v>30899</v>
      </c>
      <c r="G3581" t="s">
        <v>30910</v>
      </c>
      <c r="H3581" t="s">
        <v>30916</v>
      </c>
      <c r="I3581" t="s">
        <v>6396</v>
      </c>
      <c r="J3581" t="s">
        <v>31050</v>
      </c>
      <c r="K3581" t="s">
        <v>40294</v>
      </c>
      <c r="M3581" t="s">
        <v>42114</v>
      </c>
      <c r="N3581" t="s">
        <v>44759</v>
      </c>
      <c r="O3581" t="s">
        <v>44760</v>
      </c>
      <c r="P3581">
        <v>0</v>
      </c>
      <c r="Q3581">
        <v>1</v>
      </c>
      <c r="R3581" t="s">
        <v>44762</v>
      </c>
      <c r="S3581" t="s">
        <v>44863</v>
      </c>
      <c r="T3581" t="s">
        <v>46404</v>
      </c>
      <c r="U3581" t="s">
        <v>49989</v>
      </c>
      <c r="W3581" t="s">
        <v>42114</v>
      </c>
      <c r="X3581" t="s">
        <v>44763</v>
      </c>
    </row>
    <row r="3582" spans="1:24">
      <c r="A3582">
        <f>HYPERLINK("https://www.philgeps.gov.ph/GEPSNONPILOT/Tender/SplashBidNoticeAbstractUI.aspx?menuIndex=3&amp;refID=7150133&amp;Result=3","7150133")</f>
        <v>0</v>
      </c>
      <c r="B3582" t="s">
        <v>983</v>
      </c>
      <c r="C3582" t="s">
        <v>7173</v>
      </c>
      <c r="D3582" t="s">
        <v>18005</v>
      </c>
      <c r="E3582" t="s">
        <v>21256</v>
      </c>
      <c r="F3582" t="s">
        <v>30900</v>
      </c>
      <c r="G3582" t="s">
        <v>30908</v>
      </c>
      <c r="H3582" t="s">
        <v>30916</v>
      </c>
      <c r="I3582" t="s">
        <v>30918</v>
      </c>
      <c r="J3582" t="s">
        <v>33555</v>
      </c>
      <c r="K3582" t="s">
        <v>40284</v>
      </c>
      <c r="M3582" t="s">
        <v>41571</v>
      </c>
      <c r="N3582" t="s">
        <v>44759</v>
      </c>
      <c r="O3582" t="s">
        <v>44760</v>
      </c>
      <c r="P3582">
        <v>0</v>
      </c>
      <c r="Q3582">
        <v>9</v>
      </c>
      <c r="R3582" t="s">
        <v>44762</v>
      </c>
      <c r="S3582" t="s">
        <v>44863</v>
      </c>
      <c r="T3582" t="s">
        <v>46410</v>
      </c>
      <c r="U3582" t="s">
        <v>49990</v>
      </c>
      <c r="W3582" t="s">
        <v>41571</v>
      </c>
      <c r="X3582" t="s">
        <v>44763</v>
      </c>
    </row>
    <row r="3583" spans="1:24">
      <c r="A3583">
        <f>HYPERLINK("https://www.philgeps.gov.ph/GEPSNONPILOT/Tender/SplashBidNoticeAbstractUI.aspx?menuIndex=3&amp;refID=7150028&amp;Result=3","7150028")</f>
        <v>0</v>
      </c>
      <c r="B3583" t="s">
        <v>832</v>
      </c>
      <c r="C3583" t="s">
        <v>7174</v>
      </c>
      <c r="D3583" t="s">
        <v>18025</v>
      </c>
      <c r="E3583" t="s">
        <v>21257</v>
      </c>
      <c r="F3583" t="s">
        <v>30900</v>
      </c>
      <c r="G3583" t="s">
        <v>30908</v>
      </c>
      <c r="H3583" t="s">
        <v>30916</v>
      </c>
      <c r="I3583" t="s">
        <v>8123</v>
      </c>
      <c r="J3583" t="s">
        <v>33556</v>
      </c>
      <c r="K3583" t="s">
        <v>40287</v>
      </c>
      <c r="M3583" t="s">
        <v>41405</v>
      </c>
      <c r="N3583" t="s">
        <v>44759</v>
      </c>
      <c r="O3583" t="s">
        <v>44760</v>
      </c>
      <c r="P3583">
        <v>0</v>
      </c>
      <c r="Q3583">
        <v>0</v>
      </c>
      <c r="R3583" t="s">
        <v>44762</v>
      </c>
      <c r="S3583" t="s">
        <v>44863</v>
      </c>
      <c r="T3583" t="s">
        <v>46414</v>
      </c>
      <c r="U3583" t="s">
        <v>49991</v>
      </c>
      <c r="V3583" t="s">
        <v>59494</v>
      </c>
      <c r="W3583" t="s">
        <v>41405</v>
      </c>
      <c r="X3583" t="s">
        <v>44763</v>
      </c>
    </row>
    <row r="3584" spans="1:24">
      <c r="A3584">
        <f>HYPERLINK("https://www.philgeps.gov.ph/GEPSNONPILOT/Tender/SplashBidNoticeAbstractUI.aspx?menuIndex=3&amp;refID=7150129&amp;Result=3","7150129")</f>
        <v>0</v>
      </c>
      <c r="B3584" t="s">
        <v>574</v>
      </c>
      <c r="C3584" t="s">
        <v>7175</v>
      </c>
      <c r="D3584" t="s">
        <v>17951</v>
      </c>
      <c r="E3584" t="s">
        <v>21258</v>
      </c>
      <c r="F3584" t="s">
        <v>30900</v>
      </c>
      <c r="G3584" t="s">
        <v>30908</v>
      </c>
      <c r="H3584" t="s">
        <v>30916</v>
      </c>
      <c r="I3584" t="s">
        <v>8123</v>
      </c>
      <c r="J3584" t="s">
        <v>33557</v>
      </c>
      <c r="K3584" t="s">
        <v>40284</v>
      </c>
      <c r="M3584" t="s">
        <v>41135</v>
      </c>
      <c r="N3584" t="s">
        <v>44759</v>
      </c>
      <c r="O3584" t="s">
        <v>44760</v>
      </c>
      <c r="P3584">
        <v>0</v>
      </c>
      <c r="Q3584">
        <v>1</v>
      </c>
      <c r="R3584" t="s">
        <v>44762</v>
      </c>
      <c r="S3584" t="s">
        <v>44863</v>
      </c>
      <c r="T3584" t="s">
        <v>46379</v>
      </c>
      <c r="U3584" t="s">
        <v>49992</v>
      </c>
      <c r="W3584" t="s">
        <v>41135</v>
      </c>
      <c r="X3584" t="s">
        <v>44763</v>
      </c>
    </row>
    <row r="3585" spans="1:24">
      <c r="A3585">
        <f>HYPERLINK("https://www.philgeps.gov.ph/GEPSNONPILOT/Tender/SplashBidNoticeAbstractUI.aspx?menuIndex=3&amp;refID=7150128&amp;Result=3","7150128")</f>
        <v>0</v>
      </c>
      <c r="B3585" t="s">
        <v>89</v>
      </c>
      <c r="C3585" t="s">
        <v>7176</v>
      </c>
      <c r="D3585" t="s">
        <v>17971</v>
      </c>
      <c r="E3585" t="s">
        <v>21259</v>
      </c>
      <c r="F3585" t="s">
        <v>30900</v>
      </c>
      <c r="G3585" t="s">
        <v>30907</v>
      </c>
      <c r="H3585" t="s">
        <v>30916</v>
      </c>
      <c r="I3585" t="s">
        <v>30918</v>
      </c>
      <c r="J3585" t="s">
        <v>31158</v>
      </c>
      <c r="K3585" t="s">
        <v>40289</v>
      </c>
      <c r="M3585" t="s">
        <v>40636</v>
      </c>
      <c r="N3585" t="s">
        <v>44759</v>
      </c>
      <c r="O3585" t="s">
        <v>44760</v>
      </c>
      <c r="P3585">
        <v>0</v>
      </c>
      <c r="Q3585">
        <v>7</v>
      </c>
      <c r="R3585" t="s">
        <v>44762</v>
      </c>
      <c r="S3585" t="s">
        <v>44863</v>
      </c>
      <c r="T3585" t="s">
        <v>46480</v>
      </c>
      <c r="U3585" t="s">
        <v>49993</v>
      </c>
      <c r="V3585" t="s">
        <v>59525</v>
      </c>
      <c r="W3585" t="s">
        <v>40636</v>
      </c>
      <c r="X3585" t="s">
        <v>44763</v>
      </c>
    </row>
    <row r="3586" spans="1:24">
      <c r="A3586">
        <f>HYPERLINK("https://www.philgeps.gov.ph/GEPSNONPILOT/Tender/SplashBidNoticeAbstractUI.aspx?menuIndex=3&amp;refID=7150104&amp;Result=3","7150104")</f>
        <v>0</v>
      </c>
      <c r="B3586" t="s">
        <v>1480</v>
      </c>
      <c r="C3586" t="s">
        <v>7177</v>
      </c>
      <c r="E3586" t="s">
        <v>21260</v>
      </c>
      <c r="F3586" t="s">
        <v>30900</v>
      </c>
      <c r="G3586" t="s">
        <v>30908</v>
      </c>
      <c r="H3586" t="s">
        <v>30915</v>
      </c>
      <c r="I3586" t="s">
        <v>30932</v>
      </c>
      <c r="J3586" t="s">
        <v>33558</v>
      </c>
      <c r="K3586" t="s">
        <v>40289</v>
      </c>
      <c r="M3586" t="s">
        <v>42115</v>
      </c>
      <c r="N3586" t="s">
        <v>44759</v>
      </c>
      <c r="O3586" t="s">
        <v>44760</v>
      </c>
      <c r="P3586">
        <v>0</v>
      </c>
      <c r="Q3586">
        <v>0</v>
      </c>
      <c r="R3586" t="s">
        <v>44762</v>
      </c>
      <c r="S3586" t="s">
        <v>44863</v>
      </c>
      <c r="T3586" t="s">
        <v>46357</v>
      </c>
      <c r="U3586" t="s">
        <v>49994</v>
      </c>
      <c r="W3586" t="s">
        <v>42115</v>
      </c>
      <c r="X3586" t="s">
        <v>44763</v>
      </c>
    </row>
    <row r="3587" spans="1:24">
      <c r="A3587">
        <f>HYPERLINK("https://www.philgeps.gov.ph/GEPSNONPILOT/Tender/SplashBidNoticeAbstractUI.aspx?menuIndex=3&amp;refID=7150138&amp;Result=3","7150138")</f>
        <v>0</v>
      </c>
      <c r="B3587" t="s">
        <v>100</v>
      </c>
      <c r="C3587" t="s">
        <v>7178</v>
      </c>
      <c r="D3587" t="s">
        <v>17995</v>
      </c>
      <c r="E3587" t="s">
        <v>21261</v>
      </c>
      <c r="F3587" t="s">
        <v>30900</v>
      </c>
      <c r="G3587" t="s">
        <v>30907</v>
      </c>
      <c r="H3587" t="s">
        <v>30915</v>
      </c>
      <c r="I3587" t="s">
        <v>30919</v>
      </c>
      <c r="J3587" t="s">
        <v>32324</v>
      </c>
      <c r="K3587" t="s">
        <v>40289</v>
      </c>
      <c r="M3587" t="s">
        <v>40647</v>
      </c>
      <c r="N3587" t="s">
        <v>44759</v>
      </c>
      <c r="O3587" t="s">
        <v>44760</v>
      </c>
      <c r="P3587">
        <v>0</v>
      </c>
      <c r="Q3587">
        <v>0</v>
      </c>
      <c r="R3587" t="s">
        <v>44762</v>
      </c>
      <c r="S3587" t="s">
        <v>44863</v>
      </c>
      <c r="T3587" t="s">
        <v>46465</v>
      </c>
      <c r="U3587" t="s">
        <v>49995</v>
      </c>
      <c r="V3587" t="s">
        <v>59526</v>
      </c>
      <c r="W3587" t="s">
        <v>40647</v>
      </c>
      <c r="X3587" t="s">
        <v>44763</v>
      </c>
    </row>
    <row r="3588" spans="1:24">
      <c r="A3588">
        <f>HYPERLINK("https://www.philgeps.gov.ph/GEPSNONPILOT/Tender/SplashBidNoticeAbstractUI.aspx?menuIndex=3&amp;refID=7150126&amp;Result=3","7150126")</f>
        <v>0</v>
      </c>
      <c r="B3588" t="s">
        <v>258</v>
      </c>
      <c r="C3588" t="s">
        <v>7179</v>
      </c>
      <c r="D3588" t="s">
        <v>18005</v>
      </c>
      <c r="E3588" t="s">
        <v>21262</v>
      </c>
      <c r="F3588" t="s">
        <v>30900</v>
      </c>
      <c r="G3588" t="s">
        <v>30907</v>
      </c>
      <c r="H3588" t="s">
        <v>30915</v>
      </c>
      <c r="I3588" t="s">
        <v>30919</v>
      </c>
      <c r="J3588" t="s">
        <v>31105</v>
      </c>
      <c r="K3588" t="s">
        <v>40286</v>
      </c>
      <c r="M3588" t="s">
        <v>40805</v>
      </c>
      <c r="N3588" t="s">
        <v>44759</v>
      </c>
      <c r="O3588" t="s">
        <v>44760</v>
      </c>
      <c r="P3588">
        <v>0</v>
      </c>
      <c r="Q3588">
        <v>0</v>
      </c>
      <c r="R3588" t="s">
        <v>44762</v>
      </c>
      <c r="S3588" t="s">
        <v>44863</v>
      </c>
      <c r="T3588" t="s">
        <v>46404</v>
      </c>
      <c r="U3588" t="s">
        <v>49996</v>
      </c>
      <c r="W3588" t="s">
        <v>40805</v>
      </c>
      <c r="X3588" t="s">
        <v>44763</v>
      </c>
    </row>
    <row r="3589" spans="1:24">
      <c r="A3589">
        <f>HYPERLINK("https://www.philgeps.gov.ph/GEPSNONPILOT/Tender/SplashBidNoticeAbstractUI.aspx?menuIndex=3&amp;refID=7150125&amp;Result=3","7150125")</f>
        <v>0</v>
      </c>
      <c r="B3589" t="s">
        <v>1436</v>
      </c>
      <c r="C3589" t="s">
        <v>7180</v>
      </c>
      <c r="D3589" t="s">
        <v>18017</v>
      </c>
      <c r="E3589" t="s">
        <v>21263</v>
      </c>
      <c r="F3589" t="s">
        <v>30900</v>
      </c>
      <c r="G3589" t="s">
        <v>30907</v>
      </c>
      <c r="H3589" t="s">
        <v>30915</v>
      </c>
      <c r="I3589" t="s">
        <v>30919</v>
      </c>
      <c r="J3589" t="s">
        <v>33559</v>
      </c>
      <c r="K3589" t="s">
        <v>40292</v>
      </c>
      <c r="M3589" t="s">
        <v>42068</v>
      </c>
      <c r="N3589" t="s">
        <v>44759</v>
      </c>
      <c r="O3589" t="s">
        <v>44760</v>
      </c>
      <c r="P3589">
        <v>0</v>
      </c>
      <c r="Q3589">
        <v>0</v>
      </c>
      <c r="R3589" t="s">
        <v>44762</v>
      </c>
      <c r="S3589" t="s">
        <v>44863</v>
      </c>
      <c r="T3589" t="s">
        <v>46394</v>
      </c>
      <c r="U3589" t="s">
        <v>49997</v>
      </c>
      <c r="W3589" t="s">
        <v>42068</v>
      </c>
      <c r="X3589" t="s">
        <v>44763</v>
      </c>
    </row>
    <row r="3590" spans="1:24">
      <c r="A3590">
        <f>HYPERLINK("https://www.philgeps.gov.ph/GEPSNONPILOT/Tender/SplashBidNoticeAbstractUI.aspx?menuIndex=3&amp;refID=7150124&amp;Result=3","7150124")</f>
        <v>0</v>
      </c>
      <c r="B3590" t="s">
        <v>706</v>
      </c>
      <c r="C3590" t="s">
        <v>7181</v>
      </c>
      <c r="D3590" t="s">
        <v>17982</v>
      </c>
      <c r="E3590" t="s">
        <v>21264</v>
      </c>
      <c r="F3590" t="s">
        <v>30900</v>
      </c>
      <c r="G3590" t="s">
        <v>30907</v>
      </c>
      <c r="H3590" t="s">
        <v>30916</v>
      </c>
      <c r="I3590" t="s">
        <v>30941</v>
      </c>
      <c r="J3590" t="s">
        <v>33560</v>
      </c>
      <c r="K3590" t="s">
        <v>40288</v>
      </c>
      <c r="L3590" t="s">
        <v>706</v>
      </c>
      <c r="M3590" t="s">
        <v>41270</v>
      </c>
      <c r="N3590" t="s">
        <v>44759</v>
      </c>
      <c r="O3590" t="s">
        <v>44760</v>
      </c>
      <c r="P3590">
        <v>0</v>
      </c>
      <c r="Q3590">
        <v>1</v>
      </c>
      <c r="R3590" t="s">
        <v>44762</v>
      </c>
      <c r="S3590" t="s">
        <v>44863</v>
      </c>
      <c r="T3590" t="s">
        <v>46465</v>
      </c>
      <c r="U3590" t="s">
        <v>49998</v>
      </c>
      <c r="W3590" t="s">
        <v>41270</v>
      </c>
      <c r="X3590" t="s">
        <v>44763</v>
      </c>
    </row>
    <row r="3591" spans="1:24">
      <c r="A3591">
        <f>HYPERLINK("https://www.philgeps.gov.ph/GEPSNONPILOT/Tender/SplashBidNoticeAbstractUI.aspx?menuIndex=3&amp;refID=7150132&amp;Result=3","7150132")</f>
        <v>0</v>
      </c>
      <c r="B3591" t="s">
        <v>1323</v>
      </c>
      <c r="C3591" t="s">
        <v>7182</v>
      </c>
      <c r="E3591" t="s">
        <v>21265</v>
      </c>
      <c r="F3591" t="s">
        <v>30900</v>
      </c>
      <c r="G3591" t="s">
        <v>30908</v>
      </c>
      <c r="H3591" t="s">
        <v>30916</v>
      </c>
      <c r="I3591" t="s">
        <v>8123</v>
      </c>
      <c r="J3591" t="s">
        <v>33561</v>
      </c>
      <c r="K3591" t="s">
        <v>40283</v>
      </c>
      <c r="M3591" t="s">
        <v>41942</v>
      </c>
      <c r="N3591" t="s">
        <v>44759</v>
      </c>
      <c r="O3591" t="s">
        <v>44760</v>
      </c>
      <c r="P3591">
        <v>0</v>
      </c>
      <c r="Q3591">
        <v>0</v>
      </c>
      <c r="R3591" t="s">
        <v>44762</v>
      </c>
      <c r="S3591" t="s">
        <v>44863</v>
      </c>
      <c r="T3591" t="s">
        <v>46640</v>
      </c>
      <c r="U3591" t="s">
        <v>49985</v>
      </c>
      <c r="W3591" t="s">
        <v>41942</v>
      </c>
      <c r="X3591" t="s">
        <v>44763</v>
      </c>
    </row>
    <row r="3592" spans="1:24">
      <c r="A3592">
        <f>HYPERLINK("https://www.philgeps.gov.ph/GEPSNONPILOT/Tender/SplashBidNoticeAbstractUI.aspx?menuIndex=3&amp;refID=7150122&amp;Result=3","7150122")</f>
        <v>0</v>
      </c>
      <c r="B3592" t="s">
        <v>574</v>
      </c>
      <c r="C3592" t="s">
        <v>7183</v>
      </c>
      <c r="D3592" t="s">
        <v>17951</v>
      </c>
      <c r="E3592" t="s">
        <v>21266</v>
      </c>
      <c r="F3592" t="s">
        <v>30900</v>
      </c>
      <c r="G3592" t="s">
        <v>30908</v>
      </c>
      <c r="H3592" t="s">
        <v>30916</v>
      </c>
      <c r="I3592" t="s">
        <v>30925</v>
      </c>
      <c r="J3592" t="s">
        <v>33562</v>
      </c>
      <c r="K3592" t="s">
        <v>40284</v>
      </c>
      <c r="M3592" t="s">
        <v>41135</v>
      </c>
      <c r="N3592" t="s">
        <v>44759</v>
      </c>
      <c r="O3592" t="s">
        <v>44760</v>
      </c>
      <c r="P3592">
        <v>0</v>
      </c>
      <c r="Q3592">
        <v>1</v>
      </c>
      <c r="R3592" t="s">
        <v>44762</v>
      </c>
      <c r="S3592" t="s">
        <v>44863</v>
      </c>
      <c r="T3592" t="s">
        <v>46379</v>
      </c>
      <c r="U3592" t="s">
        <v>49999</v>
      </c>
      <c r="W3592" t="s">
        <v>41135</v>
      </c>
      <c r="X3592" t="s">
        <v>44763</v>
      </c>
    </row>
    <row r="3593" spans="1:24">
      <c r="A3593">
        <f>HYPERLINK("https://www.philgeps.gov.ph/GEPSNONPILOT/Tender/SplashBidNoticeAbstractUI.aspx?menuIndex=3&amp;refID=7150127&amp;Result=3","7150127")</f>
        <v>0</v>
      </c>
      <c r="B3593" t="s">
        <v>1481</v>
      </c>
      <c r="C3593" t="s">
        <v>7184</v>
      </c>
      <c r="D3593" t="s">
        <v>17978</v>
      </c>
      <c r="E3593" t="s">
        <v>21267</v>
      </c>
      <c r="F3593" t="s">
        <v>30900</v>
      </c>
      <c r="G3593" t="s">
        <v>30908</v>
      </c>
      <c r="H3593" t="s">
        <v>30916</v>
      </c>
      <c r="I3593" t="s">
        <v>4017</v>
      </c>
      <c r="J3593" t="s">
        <v>31182</v>
      </c>
      <c r="K3593" t="s">
        <v>40283</v>
      </c>
      <c r="M3593" t="s">
        <v>42116</v>
      </c>
      <c r="N3593" t="s">
        <v>44759</v>
      </c>
      <c r="O3593" t="s">
        <v>44760</v>
      </c>
      <c r="P3593">
        <v>0</v>
      </c>
      <c r="Q3593">
        <v>6</v>
      </c>
      <c r="R3593" t="s">
        <v>44762</v>
      </c>
      <c r="S3593" t="s">
        <v>44863</v>
      </c>
      <c r="T3593" t="s">
        <v>46414</v>
      </c>
      <c r="U3593" t="s">
        <v>50000</v>
      </c>
      <c r="W3593" t="s">
        <v>42116</v>
      </c>
      <c r="X3593" t="s">
        <v>44763</v>
      </c>
    </row>
    <row r="3594" spans="1:24">
      <c r="A3594">
        <f>HYPERLINK("https://www.philgeps.gov.ph/GEPSNONPILOT/Tender/SplashBidNoticeAbstractUI.aspx?menuIndex=3&amp;refID=7150100&amp;Result=3","7150100")</f>
        <v>0</v>
      </c>
      <c r="B3594" t="s">
        <v>643</v>
      </c>
      <c r="C3594" t="s">
        <v>7185</v>
      </c>
      <c r="D3594" t="s">
        <v>18001</v>
      </c>
      <c r="E3594" t="s">
        <v>21268</v>
      </c>
      <c r="F3594" t="s">
        <v>30900</v>
      </c>
      <c r="G3594" t="s">
        <v>30908</v>
      </c>
      <c r="H3594" t="s">
        <v>30915</v>
      </c>
      <c r="I3594" t="s">
        <v>30919</v>
      </c>
      <c r="J3594" t="s">
        <v>33563</v>
      </c>
      <c r="K3594" t="s">
        <v>40284</v>
      </c>
      <c r="M3594" t="s">
        <v>41206</v>
      </c>
      <c r="N3594" t="s">
        <v>44759</v>
      </c>
      <c r="O3594" t="s">
        <v>44760</v>
      </c>
      <c r="P3594">
        <v>0</v>
      </c>
      <c r="Q3594">
        <v>0</v>
      </c>
      <c r="R3594" t="s">
        <v>44762</v>
      </c>
      <c r="S3594" t="s">
        <v>44863</v>
      </c>
      <c r="T3594" t="s">
        <v>46400</v>
      </c>
      <c r="U3594" t="s">
        <v>50001</v>
      </c>
      <c r="W3594" t="s">
        <v>41206</v>
      </c>
      <c r="X3594" t="s">
        <v>44763</v>
      </c>
    </row>
    <row r="3595" spans="1:24">
      <c r="A3595">
        <f>HYPERLINK("https://www.philgeps.gov.ph/GEPSNONPILOT/Tender/SplashBidNoticeAbstractUI.aspx?menuIndex=3&amp;refID=7150099&amp;Result=3","7150099")</f>
        <v>0</v>
      </c>
      <c r="B3595" t="s">
        <v>451</v>
      </c>
      <c r="C3595" t="s">
        <v>7186</v>
      </c>
      <c r="D3595" t="s">
        <v>17980</v>
      </c>
      <c r="E3595" t="s">
        <v>21269</v>
      </c>
      <c r="F3595" t="s">
        <v>30900</v>
      </c>
      <c r="G3595" t="s">
        <v>30908</v>
      </c>
      <c r="H3595" t="s">
        <v>30916</v>
      </c>
      <c r="I3595" t="s">
        <v>8123</v>
      </c>
      <c r="J3595" t="s">
        <v>33564</v>
      </c>
      <c r="K3595" t="s">
        <v>40283</v>
      </c>
      <c r="M3595" t="s">
        <v>42056</v>
      </c>
      <c r="N3595" t="s">
        <v>44759</v>
      </c>
      <c r="O3595" t="s">
        <v>44760</v>
      </c>
      <c r="P3595">
        <v>0</v>
      </c>
      <c r="Q3595">
        <v>1</v>
      </c>
      <c r="R3595" t="s">
        <v>44762</v>
      </c>
      <c r="S3595" t="s">
        <v>44863</v>
      </c>
      <c r="T3595" t="s">
        <v>46383</v>
      </c>
      <c r="U3595" t="s">
        <v>50002</v>
      </c>
      <c r="W3595" t="s">
        <v>42056</v>
      </c>
      <c r="X3595" t="s">
        <v>44763</v>
      </c>
    </row>
    <row r="3596" spans="1:24">
      <c r="A3596">
        <f>HYPERLINK("https://www.philgeps.gov.ph/GEPSNONPILOT/Tender/SplashBidNoticeAbstractUI.aspx?menuIndex=3&amp;refID=7150131&amp;Result=3","7150131")</f>
        <v>0</v>
      </c>
      <c r="B3596" t="s">
        <v>1393</v>
      </c>
      <c r="C3596" t="s">
        <v>7187</v>
      </c>
      <c r="E3596" t="s">
        <v>21181</v>
      </c>
      <c r="F3596" t="s">
        <v>30900</v>
      </c>
      <c r="G3596" t="s">
        <v>30908</v>
      </c>
      <c r="H3596" t="s">
        <v>30916</v>
      </c>
      <c r="I3596" t="s">
        <v>4142</v>
      </c>
      <c r="J3596" t="s">
        <v>33565</v>
      </c>
      <c r="K3596" t="s">
        <v>40289</v>
      </c>
      <c r="M3596" t="s">
        <v>42018</v>
      </c>
      <c r="N3596" t="s">
        <v>44759</v>
      </c>
      <c r="O3596" t="s">
        <v>44760</v>
      </c>
      <c r="P3596">
        <v>0</v>
      </c>
      <c r="Q3596">
        <v>1</v>
      </c>
      <c r="R3596" t="s">
        <v>44762</v>
      </c>
      <c r="S3596" t="s">
        <v>44863</v>
      </c>
      <c r="T3596" t="s">
        <v>46379</v>
      </c>
      <c r="U3596" t="s">
        <v>47043</v>
      </c>
      <c r="W3596" t="s">
        <v>42018</v>
      </c>
      <c r="X3596" t="s">
        <v>44763</v>
      </c>
    </row>
    <row r="3597" spans="1:24">
      <c r="A3597">
        <f>HYPERLINK("https://www.philgeps.gov.ph/GEPSNONPILOT/Tender/SplashBidNoticeAbstractUI.aspx?menuIndex=3&amp;refID=7150146&amp;Result=3","7150146")</f>
        <v>0</v>
      </c>
      <c r="B3597" t="s">
        <v>971</v>
      </c>
      <c r="C3597" t="s">
        <v>6396</v>
      </c>
      <c r="D3597" t="s">
        <v>18017</v>
      </c>
      <c r="E3597" t="s">
        <v>21270</v>
      </c>
      <c r="F3597" t="s">
        <v>30900</v>
      </c>
      <c r="G3597" t="s">
        <v>30908</v>
      </c>
      <c r="H3597" t="s">
        <v>30916</v>
      </c>
      <c r="I3597" t="s">
        <v>6396</v>
      </c>
      <c r="J3597" t="s">
        <v>33566</v>
      </c>
      <c r="K3597" t="s">
        <v>40285</v>
      </c>
      <c r="M3597" t="s">
        <v>41558</v>
      </c>
      <c r="N3597" t="s">
        <v>44759</v>
      </c>
      <c r="O3597" t="s">
        <v>44760</v>
      </c>
      <c r="P3597">
        <v>0</v>
      </c>
      <c r="Q3597">
        <v>0</v>
      </c>
      <c r="R3597" t="s">
        <v>44762</v>
      </c>
      <c r="S3597" t="s">
        <v>44863</v>
      </c>
      <c r="T3597" t="s">
        <v>46383</v>
      </c>
      <c r="U3597" t="s">
        <v>50003</v>
      </c>
      <c r="V3597" t="s">
        <v>59345</v>
      </c>
      <c r="W3597" t="s">
        <v>41558</v>
      </c>
      <c r="X3597" t="s">
        <v>44763</v>
      </c>
    </row>
    <row r="3598" spans="1:24">
      <c r="A3598">
        <f>HYPERLINK("https://www.philgeps.gov.ph/GEPSNONPILOT/Tender/SplashBidNoticeAbstractUI.aspx?menuIndex=3&amp;refID=7150123&amp;Result=3","7150123")</f>
        <v>0</v>
      </c>
      <c r="B3598" t="s">
        <v>1482</v>
      </c>
      <c r="C3598" t="s">
        <v>7188</v>
      </c>
      <c r="D3598" t="s">
        <v>17968</v>
      </c>
      <c r="E3598" t="s">
        <v>21271</v>
      </c>
      <c r="F3598" t="s">
        <v>30900</v>
      </c>
      <c r="G3598" t="s">
        <v>30907</v>
      </c>
      <c r="H3598" t="s">
        <v>30915</v>
      </c>
      <c r="I3598" t="s">
        <v>30919</v>
      </c>
      <c r="J3598" t="s">
        <v>33567</v>
      </c>
      <c r="K3598" t="s">
        <v>40280</v>
      </c>
      <c r="M3598" t="s">
        <v>42117</v>
      </c>
      <c r="N3598" t="s">
        <v>44759</v>
      </c>
      <c r="O3598" t="s">
        <v>44760</v>
      </c>
      <c r="P3598">
        <v>0</v>
      </c>
      <c r="Q3598">
        <v>1</v>
      </c>
      <c r="R3598" t="s">
        <v>44762</v>
      </c>
      <c r="S3598" t="s">
        <v>44863</v>
      </c>
      <c r="T3598" t="s">
        <v>46395</v>
      </c>
      <c r="U3598" t="s">
        <v>50004</v>
      </c>
      <c r="W3598" t="s">
        <v>42117</v>
      </c>
      <c r="X3598" t="s">
        <v>44763</v>
      </c>
    </row>
    <row r="3599" spans="1:24">
      <c r="A3599">
        <f>HYPERLINK("https://www.philgeps.gov.ph/GEPSNONPILOT/Tender/SplashBidNoticeAbstractUI.aspx?menuIndex=3&amp;refID=7150161&amp;Result=3","7150161")</f>
        <v>0</v>
      </c>
      <c r="B3599" t="s">
        <v>726</v>
      </c>
      <c r="C3599" t="s">
        <v>4013</v>
      </c>
      <c r="D3599" t="s">
        <v>18016</v>
      </c>
      <c r="E3599" t="s">
        <v>21272</v>
      </c>
      <c r="F3599" t="s">
        <v>30900</v>
      </c>
      <c r="G3599" t="s">
        <v>30907</v>
      </c>
      <c r="H3599" t="s">
        <v>30916</v>
      </c>
      <c r="I3599" t="s">
        <v>4142</v>
      </c>
      <c r="J3599" t="s">
        <v>33568</v>
      </c>
      <c r="K3599" t="s">
        <v>40286</v>
      </c>
      <c r="M3599" t="s">
        <v>41290</v>
      </c>
      <c r="N3599" t="s">
        <v>44759</v>
      </c>
      <c r="O3599" t="s">
        <v>44760</v>
      </c>
      <c r="P3599">
        <v>0</v>
      </c>
      <c r="Q3599">
        <v>0</v>
      </c>
      <c r="R3599" t="s">
        <v>44762</v>
      </c>
      <c r="S3599" t="s">
        <v>44863</v>
      </c>
      <c r="T3599" t="s">
        <v>46389</v>
      </c>
      <c r="U3599" t="s">
        <v>50005</v>
      </c>
      <c r="W3599" t="s">
        <v>41290</v>
      </c>
      <c r="X3599" t="s">
        <v>44763</v>
      </c>
    </row>
    <row r="3600" spans="1:24">
      <c r="A3600">
        <f>HYPERLINK("https://www.philgeps.gov.ph/GEPSNONPILOT/Tender/SplashBidNoticeAbstractUI.aspx?menuIndex=3&amp;refID=7150143&amp;Result=3","7150143")</f>
        <v>0</v>
      </c>
      <c r="B3600" t="s">
        <v>1075</v>
      </c>
      <c r="C3600" t="s">
        <v>7189</v>
      </c>
      <c r="D3600" t="s">
        <v>17963</v>
      </c>
      <c r="E3600" t="s">
        <v>21273</v>
      </c>
      <c r="F3600" t="s">
        <v>30900</v>
      </c>
      <c r="G3600" t="s">
        <v>30908</v>
      </c>
      <c r="H3600" t="s">
        <v>30916</v>
      </c>
      <c r="I3600" t="s">
        <v>30919</v>
      </c>
      <c r="J3600" t="s">
        <v>31066</v>
      </c>
      <c r="K3600" t="s">
        <v>40286</v>
      </c>
      <c r="M3600" t="s">
        <v>42118</v>
      </c>
      <c r="N3600" t="s">
        <v>44759</v>
      </c>
      <c r="O3600" t="s">
        <v>44760</v>
      </c>
      <c r="P3600">
        <v>0</v>
      </c>
      <c r="Q3600">
        <v>0</v>
      </c>
      <c r="R3600" t="s">
        <v>44762</v>
      </c>
      <c r="S3600" t="s">
        <v>44863</v>
      </c>
      <c r="T3600" t="s">
        <v>46474</v>
      </c>
      <c r="U3600" t="s">
        <v>50006</v>
      </c>
      <c r="W3600" t="s">
        <v>42118</v>
      </c>
      <c r="X3600" t="s">
        <v>44763</v>
      </c>
    </row>
    <row r="3601" spans="1:24">
      <c r="A3601">
        <f>HYPERLINK("https://www.philgeps.gov.ph/GEPSNONPILOT/Tender/SplashBidNoticeAbstractUI.aspx?menuIndex=3&amp;refID=7150102&amp;Result=3","7150102")</f>
        <v>0</v>
      </c>
      <c r="B3601" t="s">
        <v>593</v>
      </c>
      <c r="C3601" t="s">
        <v>7190</v>
      </c>
      <c r="D3601" t="s">
        <v>18031</v>
      </c>
      <c r="E3601" t="s">
        <v>21274</v>
      </c>
      <c r="F3601" t="s">
        <v>30900</v>
      </c>
      <c r="G3601" t="s">
        <v>30910</v>
      </c>
      <c r="H3601" t="s">
        <v>30916</v>
      </c>
      <c r="I3601" t="s">
        <v>4142</v>
      </c>
      <c r="J3601" t="s">
        <v>33569</v>
      </c>
      <c r="K3601" t="s">
        <v>40285</v>
      </c>
      <c r="M3601" t="s">
        <v>41155</v>
      </c>
      <c r="N3601" t="s">
        <v>44759</v>
      </c>
      <c r="O3601" t="s">
        <v>44760</v>
      </c>
      <c r="P3601">
        <v>0</v>
      </c>
      <c r="Q3601">
        <v>0</v>
      </c>
      <c r="R3601" t="s">
        <v>44762</v>
      </c>
      <c r="S3601" t="s">
        <v>44863</v>
      </c>
      <c r="T3601" t="s">
        <v>46379</v>
      </c>
      <c r="U3601" t="s">
        <v>49974</v>
      </c>
      <c r="W3601" t="s">
        <v>41155</v>
      </c>
      <c r="X3601" t="s">
        <v>44763</v>
      </c>
    </row>
    <row r="3602" spans="1:24">
      <c r="A3602">
        <f>HYPERLINK("https://www.philgeps.gov.ph/GEPSNONPILOT/Tender/SplashBidNoticeAbstractUI.aspx?menuIndex=3&amp;refID=7150159&amp;Result=3","7150159")</f>
        <v>0</v>
      </c>
      <c r="B3602" t="s">
        <v>1483</v>
      </c>
      <c r="C3602" t="s">
        <v>7191</v>
      </c>
      <c r="D3602" t="s">
        <v>17973</v>
      </c>
      <c r="E3602" t="s">
        <v>21275</v>
      </c>
      <c r="F3602" t="s">
        <v>30900</v>
      </c>
      <c r="G3602" t="s">
        <v>30907</v>
      </c>
      <c r="H3602" t="s">
        <v>30915</v>
      </c>
      <c r="I3602" t="s">
        <v>30919</v>
      </c>
      <c r="J3602" t="s">
        <v>31568</v>
      </c>
      <c r="K3602" t="s">
        <v>40293</v>
      </c>
      <c r="M3602" t="s">
        <v>42119</v>
      </c>
      <c r="N3602" t="s">
        <v>44759</v>
      </c>
      <c r="O3602" t="s">
        <v>44760</v>
      </c>
      <c r="P3602">
        <v>0</v>
      </c>
      <c r="Q3602">
        <v>0</v>
      </c>
      <c r="R3602" t="s">
        <v>44762</v>
      </c>
      <c r="S3602" t="s">
        <v>44863</v>
      </c>
      <c r="T3602" t="s">
        <v>46426</v>
      </c>
      <c r="U3602" t="s">
        <v>50007</v>
      </c>
      <c r="W3602" t="s">
        <v>42119</v>
      </c>
      <c r="X3602" t="s">
        <v>44763</v>
      </c>
    </row>
    <row r="3603" spans="1:24">
      <c r="A3603">
        <f>HYPERLINK("https://www.philgeps.gov.ph/GEPSNONPILOT/Tender/SplashBidNoticeAbstractUI.aspx?menuIndex=3&amp;refID=7150156&amp;Result=3","7150156")</f>
        <v>0</v>
      </c>
      <c r="B3603" t="s">
        <v>1393</v>
      </c>
      <c r="C3603" t="s">
        <v>7192</v>
      </c>
      <c r="E3603" t="s">
        <v>21276</v>
      </c>
      <c r="F3603" t="s">
        <v>30900</v>
      </c>
      <c r="G3603" t="s">
        <v>30908</v>
      </c>
      <c r="H3603" t="s">
        <v>30916</v>
      </c>
      <c r="I3603" t="s">
        <v>30923</v>
      </c>
      <c r="J3603" t="s">
        <v>31135</v>
      </c>
      <c r="K3603" t="s">
        <v>40289</v>
      </c>
      <c r="M3603" t="s">
        <v>42018</v>
      </c>
      <c r="N3603" t="s">
        <v>44759</v>
      </c>
      <c r="O3603" t="s">
        <v>44760</v>
      </c>
      <c r="P3603">
        <v>0</v>
      </c>
      <c r="Q3603">
        <v>13</v>
      </c>
      <c r="R3603" t="s">
        <v>44762</v>
      </c>
      <c r="S3603" t="s">
        <v>44863</v>
      </c>
      <c r="T3603" t="s">
        <v>46379</v>
      </c>
      <c r="U3603" t="s">
        <v>47043</v>
      </c>
      <c r="W3603" t="s">
        <v>42018</v>
      </c>
      <c r="X3603" t="s">
        <v>44763</v>
      </c>
    </row>
    <row r="3604" spans="1:24">
      <c r="A3604">
        <f>HYPERLINK("https://www.philgeps.gov.ph/GEPSNONPILOT/Tender/SplashBidNoticeAbstractUI.aspx?menuIndex=3&amp;refID=7150070&amp;Result=3","7150070")</f>
        <v>0</v>
      </c>
      <c r="B3604" t="s">
        <v>1484</v>
      </c>
      <c r="C3604" t="s">
        <v>7193</v>
      </c>
      <c r="D3604" t="s">
        <v>17980</v>
      </c>
      <c r="E3604" t="s">
        <v>18234</v>
      </c>
      <c r="F3604" t="s">
        <v>30900</v>
      </c>
      <c r="G3604" t="s">
        <v>30909</v>
      </c>
      <c r="H3604" t="s">
        <v>30916</v>
      </c>
      <c r="I3604" t="s">
        <v>6396</v>
      </c>
      <c r="J3604" t="s">
        <v>31495</v>
      </c>
      <c r="K3604" t="s">
        <v>40281</v>
      </c>
      <c r="M3604" t="s">
        <v>42120</v>
      </c>
      <c r="N3604" t="s">
        <v>44759</v>
      </c>
      <c r="O3604" t="s">
        <v>44760</v>
      </c>
      <c r="P3604">
        <v>0</v>
      </c>
      <c r="Q3604">
        <v>0</v>
      </c>
      <c r="R3604" t="s">
        <v>44762</v>
      </c>
      <c r="S3604" t="s">
        <v>44863</v>
      </c>
      <c r="T3604" t="s">
        <v>46571</v>
      </c>
      <c r="U3604" t="s">
        <v>50008</v>
      </c>
      <c r="W3604" t="s">
        <v>42120</v>
      </c>
      <c r="X3604" t="s">
        <v>44763</v>
      </c>
    </row>
    <row r="3605" spans="1:24">
      <c r="A3605">
        <f>HYPERLINK("https://www.philgeps.gov.ph/GEPSNONPILOT/Tender/SplashBidNoticeAbstractUI.aspx?menuIndex=3&amp;refID=7150155&amp;Result=3","7150155")</f>
        <v>0</v>
      </c>
      <c r="B3605" t="s">
        <v>1485</v>
      </c>
      <c r="C3605" t="s">
        <v>7194</v>
      </c>
      <c r="D3605" t="s">
        <v>17973</v>
      </c>
      <c r="E3605" t="s">
        <v>21277</v>
      </c>
      <c r="F3605" t="s">
        <v>30900</v>
      </c>
      <c r="G3605" t="s">
        <v>30908</v>
      </c>
      <c r="H3605" t="s">
        <v>30916</v>
      </c>
      <c r="I3605" t="s">
        <v>30923</v>
      </c>
      <c r="J3605" t="s">
        <v>33570</v>
      </c>
      <c r="K3605" t="s">
        <v>40281</v>
      </c>
      <c r="M3605" t="s">
        <v>42121</v>
      </c>
      <c r="N3605" t="s">
        <v>44759</v>
      </c>
      <c r="O3605" t="s">
        <v>44760</v>
      </c>
      <c r="P3605">
        <v>0</v>
      </c>
      <c r="Q3605">
        <v>6</v>
      </c>
      <c r="R3605" t="s">
        <v>44762</v>
      </c>
      <c r="S3605" t="s">
        <v>44863</v>
      </c>
      <c r="T3605" t="s">
        <v>46383</v>
      </c>
      <c r="U3605" t="s">
        <v>50009</v>
      </c>
      <c r="W3605" t="s">
        <v>42121</v>
      </c>
      <c r="X3605" t="s">
        <v>44763</v>
      </c>
    </row>
    <row r="3606" spans="1:24">
      <c r="A3606">
        <f>HYPERLINK("https://www.philgeps.gov.ph/GEPSNONPILOT/Tender/SplashBidNoticeAbstractUI.aspx?menuIndex=3&amp;refID=7150145&amp;Result=3","7150145")</f>
        <v>0</v>
      </c>
      <c r="B3606" t="s">
        <v>726</v>
      </c>
      <c r="C3606" t="s">
        <v>7145</v>
      </c>
      <c r="D3606" t="s">
        <v>18016</v>
      </c>
      <c r="E3606" t="s">
        <v>21278</v>
      </c>
      <c r="F3606" t="s">
        <v>30900</v>
      </c>
      <c r="G3606" t="s">
        <v>30907</v>
      </c>
      <c r="H3606" t="s">
        <v>30916</v>
      </c>
      <c r="I3606" t="s">
        <v>4108</v>
      </c>
      <c r="J3606" t="s">
        <v>33536</v>
      </c>
      <c r="K3606" t="s">
        <v>40286</v>
      </c>
      <c r="M3606" t="s">
        <v>41290</v>
      </c>
      <c r="N3606" t="s">
        <v>44759</v>
      </c>
      <c r="O3606" t="s">
        <v>44760</v>
      </c>
      <c r="P3606">
        <v>0</v>
      </c>
      <c r="Q3606">
        <v>0</v>
      </c>
      <c r="R3606" t="s">
        <v>44762</v>
      </c>
      <c r="S3606" t="s">
        <v>44863</v>
      </c>
      <c r="T3606" t="s">
        <v>46389</v>
      </c>
      <c r="U3606" t="s">
        <v>50010</v>
      </c>
      <c r="W3606" t="s">
        <v>41290</v>
      </c>
      <c r="X3606" t="s">
        <v>44763</v>
      </c>
    </row>
    <row r="3607" spans="1:24">
      <c r="A3607">
        <f>HYPERLINK("https://www.philgeps.gov.ph/GEPSNONPILOT/Tender/SplashBidNoticeAbstractUI.aspx?menuIndex=3&amp;refID=7150144&amp;Result=3","7150144")</f>
        <v>0</v>
      </c>
      <c r="B3607" t="s">
        <v>1486</v>
      </c>
      <c r="C3607" t="s">
        <v>7195</v>
      </c>
      <c r="D3607" t="s">
        <v>18019</v>
      </c>
      <c r="E3607" t="s">
        <v>18752</v>
      </c>
      <c r="F3607" t="s">
        <v>30900</v>
      </c>
      <c r="G3607" t="s">
        <v>30909</v>
      </c>
      <c r="H3607" t="s">
        <v>30916</v>
      </c>
      <c r="I3607" t="s">
        <v>8365</v>
      </c>
      <c r="J3607" t="s">
        <v>33571</v>
      </c>
      <c r="K3607" t="s">
        <v>40281</v>
      </c>
      <c r="M3607" t="s">
        <v>42122</v>
      </c>
      <c r="N3607" t="s">
        <v>44759</v>
      </c>
      <c r="O3607" t="s">
        <v>44760</v>
      </c>
      <c r="P3607">
        <v>0</v>
      </c>
      <c r="Q3607">
        <v>1</v>
      </c>
      <c r="R3607" t="s">
        <v>44762</v>
      </c>
      <c r="S3607" t="s">
        <v>44863</v>
      </c>
      <c r="T3607" t="s">
        <v>46379</v>
      </c>
      <c r="U3607" t="s">
        <v>50011</v>
      </c>
      <c r="W3607" t="s">
        <v>42122</v>
      </c>
      <c r="X3607" t="s">
        <v>44763</v>
      </c>
    </row>
    <row r="3608" spans="1:24">
      <c r="A3608">
        <f>HYPERLINK("https://www.philgeps.gov.ph/GEPSNONPILOT/Tender/SplashBidNoticeAbstractUI.aspx?menuIndex=3&amp;refID=7150164&amp;Result=3","7150164")</f>
        <v>0</v>
      </c>
      <c r="B3608" t="s">
        <v>753</v>
      </c>
      <c r="C3608" t="s">
        <v>7196</v>
      </c>
      <c r="D3608" t="s">
        <v>17976</v>
      </c>
      <c r="E3608" t="s">
        <v>21279</v>
      </c>
      <c r="F3608" t="s">
        <v>30900</v>
      </c>
      <c r="G3608" t="s">
        <v>30908</v>
      </c>
      <c r="H3608" t="s">
        <v>30916</v>
      </c>
      <c r="I3608" t="s">
        <v>30947</v>
      </c>
      <c r="J3608" t="s">
        <v>33572</v>
      </c>
      <c r="K3608" t="s">
        <v>40284</v>
      </c>
      <c r="L3608" t="s">
        <v>753</v>
      </c>
      <c r="M3608" t="s">
        <v>41317</v>
      </c>
      <c r="N3608" t="s">
        <v>44759</v>
      </c>
      <c r="O3608" t="s">
        <v>44760</v>
      </c>
      <c r="P3608">
        <v>0</v>
      </c>
      <c r="Q3608">
        <v>3</v>
      </c>
      <c r="R3608" t="s">
        <v>44762</v>
      </c>
      <c r="S3608" t="s">
        <v>44863</v>
      </c>
      <c r="T3608" t="s">
        <v>46379</v>
      </c>
      <c r="U3608" t="s">
        <v>50012</v>
      </c>
      <c r="V3608" t="s">
        <v>59527</v>
      </c>
      <c r="W3608" t="s">
        <v>41317</v>
      </c>
      <c r="X3608" t="s">
        <v>44763</v>
      </c>
    </row>
    <row r="3609" spans="1:24">
      <c r="A3609">
        <f>HYPERLINK("https://www.philgeps.gov.ph/GEPSNONPILOT/Tender/SplashBidNoticeAbstractUI.aspx?menuIndex=3&amp;refID=7150160&amp;Result=3","7150160")</f>
        <v>0</v>
      </c>
      <c r="B3609" t="s">
        <v>1323</v>
      </c>
      <c r="C3609" t="s">
        <v>7197</v>
      </c>
      <c r="E3609" t="s">
        <v>21280</v>
      </c>
      <c r="F3609" t="s">
        <v>30900</v>
      </c>
      <c r="G3609" t="s">
        <v>30908</v>
      </c>
      <c r="H3609" t="s">
        <v>30916</v>
      </c>
      <c r="I3609" t="s">
        <v>6953</v>
      </c>
      <c r="J3609" t="s">
        <v>32239</v>
      </c>
      <c r="K3609" t="s">
        <v>40283</v>
      </c>
      <c r="M3609" t="s">
        <v>41942</v>
      </c>
      <c r="N3609" t="s">
        <v>44759</v>
      </c>
      <c r="O3609" t="s">
        <v>44760</v>
      </c>
      <c r="P3609">
        <v>0</v>
      </c>
      <c r="Q3609">
        <v>0</v>
      </c>
      <c r="R3609" t="s">
        <v>44762</v>
      </c>
      <c r="S3609" t="s">
        <v>44863</v>
      </c>
      <c r="T3609" t="s">
        <v>46536</v>
      </c>
      <c r="U3609" t="s">
        <v>49985</v>
      </c>
      <c r="W3609" t="s">
        <v>41942</v>
      </c>
      <c r="X3609" t="s">
        <v>44763</v>
      </c>
    </row>
    <row r="3610" spans="1:24">
      <c r="A3610">
        <f>HYPERLINK("https://www.philgeps.gov.ph/GEPSNONPILOT/Tender/SplashBidNoticeAbstractUI.aspx?menuIndex=3&amp;refID=7150162&amp;Result=3","7150162")</f>
        <v>0</v>
      </c>
      <c r="B3610" t="s">
        <v>555</v>
      </c>
      <c r="C3610" t="s">
        <v>7198</v>
      </c>
      <c r="D3610" t="s">
        <v>18028</v>
      </c>
      <c r="E3610" t="s">
        <v>21281</v>
      </c>
      <c r="F3610" t="s">
        <v>30900</v>
      </c>
      <c r="G3610" t="s">
        <v>30909</v>
      </c>
      <c r="H3610" t="s">
        <v>30916</v>
      </c>
      <c r="I3610" t="s">
        <v>4108</v>
      </c>
      <c r="J3610" t="s">
        <v>33573</v>
      </c>
      <c r="K3610" t="s">
        <v>40286</v>
      </c>
      <c r="M3610" t="s">
        <v>41116</v>
      </c>
      <c r="N3610" t="s">
        <v>44759</v>
      </c>
      <c r="O3610" t="s">
        <v>44760</v>
      </c>
      <c r="P3610">
        <v>0</v>
      </c>
      <c r="Q3610">
        <v>0</v>
      </c>
      <c r="R3610" t="s">
        <v>44762</v>
      </c>
      <c r="S3610" t="s">
        <v>44863</v>
      </c>
      <c r="T3610" t="s">
        <v>46641</v>
      </c>
      <c r="U3610" t="s">
        <v>50013</v>
      </c>
      <c r="W3610" t="s">
        <v>41116</v>
      </c>
      <c r="X3610" t="s">
        <v>44763</v>
      </c>
    </row>
    <row r="3611" spans="1:24">
      <c r="A3611">
        <f>HYPERLINK("https://www.philgeps.gov.ph/GEPSNONPILOT/Tender/SplashBidNoticeAbstractUI.aspx?menuIndex=3&amp;refID=7150152&amp;Result=3","7150152")</f>
        <v>0</v>
      </c>
      <c r="B3611" t="s">
        <v>605</v>
      </c>
      <c r="C3611" t="s">
        <v>7199</v>
      </c>
      <c r="D3611" t="s">
        <v>18020</v>
      </c>
      <c r="E3611" t="s">
        <v>21282</v>
      </c>
      <c r="F3611" t="s">
        <v>30900</v>
      </c>
      <c r="G3611" t="s">
        <v>30909</v>
      </c>
      <c r="H3611" t="s">
        <v>30916</v>
      </c>
      <c r="I3611" t="s">
        <v>6953</v>
      </c>
      <c r="J3611" t="s">
        <v>33574</v>
      </c>
      <c r="K3611" t="s">
        <v>40287</v>
      </c>
      <c r="M3611" t="s">
        <v>42123</v>
      </c>
      <c r="N3611" t="s">
        <v>44759</v>
      </c>
      <c r="O3611" t="s">
        <v>44760</v>
      </c>
      <c r="P3611">
        <v>0</v>
      </c>
      <c r="Q3611">
        <v>0</v>
      </c>
      <c r="R3611" t="s">
        <v>44762</v>
      </c>
      <c r="S3611" t="s">
        <v>44863</v>
      </c>
      <c r="T3611" t="s">
        <v>46374</v>
      </c>
      <c r="U3611" t="s">
        <v>50014</v>
      </c>
      <c r="W3611" t="s">
        <v>42123</v>
      </c>
      <c r="X3611" t="s">
        <v>44763</v>
      </c>
    </row>
    <row r="3612" spans="1:24">
      <c r="A3612">
        <f>HYPERLINK("https://www.philgeps.gov.ph/GEPSNONPILOT/Tender/SplashBidNoticeAbstractUI.aspx?menuIndex=3&amp;refID=7150158&amp;Result=3","7150158")</f>
        <v>0</v>
      </c>
      <c r="B3612" t="s">
        <v>1487</v>
      </c>
      <c r="C3612" t="s">
        <v>7200</v>
      </c>
      <c r="D3612" t="s">
        <v>18011</v>
      </c>
      <c r="E3612" t="s">
        <v>21283</v>
      </c>
      <c r="F3612" t="s">
        <v>30900</v>
      </c>
      <c r="G3612" t="s">
        <v>30908</v>
      </c>
      <c r="H3612" t="s">
        <v>30916</v>
      </c>
      <c r="I3612" t="s">
        <v>8123</v>
      </c>
      <c r="J3612" t="s">
        <v>33575</v>
      </c>
      <c r="K3612" t="s">
        <v>40283</v>
      </c>
      <c r="M3612" t="s">
        <v>42124</v>
      </c>
      <c r="N3612" t="s">
        <v>44759</v>
      </c>
      <c r="O3612" t="s">
        <v>44760</v>
      </c>
      <c r="P3612">
        <v>0</v>
      </c>
      <c r="Q3612">
        <v>0</v>
      </c>
      <c r="R3612" t="s">
        <v>44762</v>
      </c>
      <c r="S3612" t="s">
        <v>44863</v>
      </c>
      <c r="T3612" t="s">
        <v>46553</v>
      </c>
      <c r="U3612" t="s">
        <v>50015</v>
      </c>
      <c r="W3612" t="s">
        <v>42124</v>
      </c>
      <c r="X3612" t="s">
        <v>44763</v>
      </c>
    </row>
    <row r="3613" spans="1:24">
      <c r="A3613">
        <f>HYPERLINK("https://www.philgeps.gov.ph/GEPSNONPILOT/Tender/SplashBidNoticeAbstractUI.aspx?menuIndex=3&amp;refID=7150151&amp;Result=3","7150151")</f>
        <v>0</v>
      </c>
      <c r="B3613" t="s">
        <v>451</v>
      </c>
      <c r="C3613" t="s">
        <v>7201</v>
      </c>
      <c r="D3613" t="s">
        <v>17980</v>
      </c>
      <c r="E3613" t="s">
        <v>21284</v>
      </c>
      <c r="F3613" t="s">
        <v>30900</v>
      </c>
      <c r="G3613" t="s">
        <v>30908</v>
      </c>
      <c r="H3613" t="s">
        <v>30916</v>
      </c>
      <c r="I3613" t="s">
        <v>30929</v>
      </c>
      <c r="J3613" t="s">
        <v>31182</v>
      </c>
      <c r="K3613" t="s">
        <v>40283</v>
      </c>
      <c r="M3613" t="s">
        <v>42056</v>
      </c>
      <c r="N3613" t="s">
        <v>44759</v>
      </c>
      <c r="O3613" t="s">
        <v>44760</v>
      </c>
      <c r="P3613">
        <v>0</v>
      </c>
      <c r="Q3613">
        <v>4</v>
      </c>
      <c r="R3613" t="s">
        <v>44762</v>
      </c>
      <c r="S3613" t="s">
        <v>44863</v>
      </c>
      <c r="T3613" t="s">
        <v>46383</v>
      </c>
      <c r="U3613" t="s">
        <v>50016</v>
      </c>
      <c r="W3613" t="s">
        <v>42056</v>
      </c>
      <c r="X3613" t="s">
        <v>44763</v>
      </c>
    </row>
    <row r="3614" spans="1:24">
      <c r="A3614">
        <f>HYPERLINK("https://www.philgeps.gov.ph/GEPSNONPILOT/Tender/SplashBidNoticeAbstractUI.aspx?menuIndex=3&amp;refID=7150150&amp;Result=3","7150150")</f>
        <v>0</v>
      </c>
      <c r="B3614" t="s">
        <v>1281</v>
      </c>
      <c r="C3614" t="s">
        <v>7202</v>
      </c>
      <c r="D3614" t="s">
        <v>17966</v>
      </c>
      <c r="E3614" t="s">
        <v>21285</v>
      </c>
      <c r="F3614" t="s">
        <v>30900</v>
      </c>
      <c r="G3614" t="s">
        <v>30907</v>
      </c>
      <c r="H3614" t="s">
        <v>30915</v>
      </c>
      <c r="I3614" t="s">
        <v>30919</v>
      </c>
      <c r="J3614" t="s">
        <v>33529</v>
      </c>
      <c r="K3614" t="s">
        <v>40293</v>
      </c>
      <c r="M3614" t="s">
        <v>41898</v>
      </c>
      <c r="N3614" t="s">
        <v>44759</v>
      </c>
      <c r="O3614" t="s">
        <v>44760</v>
      </c>
      <c r="P3614">
        <v>0</v>
      </c>
      <c r="Q3614">
        <v>0</v>
      </c>
      <c r="R3614" t="s">
        <v>44762</v>
      </c>
      <c r="S3614" t="s">
        <v>44863</v>
      </c>
      <c r="T3614" t="s">
        <v>46377</v>
      </c>
      <c r="U3614" t="s">
        <v>50017</v>
      </c>
      <c r="W3614" t="s">
        <v>60856</v>
      </c>
      <c r="X3614" t="s">
        <v>44763</v>
      </c>
    </row>
    <row r="3615" spans="1:24">
      <c r="A3615">
        <f>HYPERLINK("https://www.philgeps.gov.ph/GEPSNONPILOT/Tender/SplashBidNoticeAbstractUI.aspx?menuIndex=3&amp;refID=7150147&amp;Result=3","7150147")</f>
        <v>0</v>
      </c>
      <c r="B3615" t="s">
        <v>908</v>
      </c>
      <c r="C3615" t="s">
        <v>7203</v>
      </c>
      <c r="D3615" t="s">
        <v>17952</v>
      </c>
      <c r="E3615" t="s">
        <v>21286</v>
      </c>
      <c r="F3615" t="s">
        <v>30900</v>
      </c>
      <c r="G3615" t="s">
        <v>30907</v>
      </c>
      <c r="H3615" t="s">
        <v>30916</v>
      </c>
      <c r="I3615" t="s">
        <v>30939</v>
      </c>
      <c r="J3615" t="s">
        <v>33576</v>
      </c>
      <c r="K3615" t="s">
        <v>40286</v>
      </c>
      <c r="M3615" t="s">
        <v>42125</v>
      </c>
      <c r="N3615" t="s">
        <v>44759</v>
      </c>
      <c r="O3615" t="s">
        <v>44760</v>
      </c>
      <c r="P3615">
        <v>0</v>
      </c>
      <c r="Q3615">
        <v>0</v>
      </c>
      <c r="R3615" t="s">
        <v>44762</v>
      </c>
      <c r="S3615" t="s">
        <v>44863</v>
      </c>
      <c r="T3615" t="s">
        <v>46439</v>
      </c>
      <c r="U3615" t="s">
        <v>50018</v>
      </c>
      <c r="W3615" t="s">
        <v>41483</v>
      </c>
      <c r="X3615" t="s">
        <v>44763</v>
      </c>
    </row>
    <row r="3616" spans="1:24">
      <c r="A3616">
        <f>HYPERLINK("https://www.philgeps.gov.ph/GEPSNONPILOT/Tender/SplashBidNoticeAbstractUI.aspx?menuIndex=3&amp;refID=7150101&amp;Result=3","7150101")</f>
        <v>0</v>
      </c>
      <c r="B3616" t="s">
        <v>1323</v>
      </c>
      <c r="C3616" t="s">
        <v>7204</v>
      </c>
      <c r="E3616" t="s">
        <v>21287</v>
      </c>
      <c r="F3616" t="s">
        <v>30900</v>
      </c>
      <c r="G3616" t="s">
        <v>30908</v>
      </c>
      <c r="H3616" t="s">
        <v>30916</v>
      </c>
      <c r="I3616" t="s">
        <v>6953</v>
      </c>
      <c r="J3616" t="s">
        <v>33577</v>
      </c>
      <c r="K3616" t="s">
        <v>40283</v>
      </c>
      <c r="M3616" t="s">
        <v>41942</v>
      </c>
      <c r="N3616" t="s">
        <v>44759</v>
      </c>
      <c r="O3616" t="s">
        <v>44760</v>
      </c>
      <c r="P3616">
        <v>0</v>
      </c>
      <c r="Q3616">
        <v>0</v>
      </c>
      <c r="R3616" t="s">
        <v>44762</v>
      </c>
      <c r="S3616" t="s">
        <v>44863</v>
      </c>
      <c r="T3616" t="s">
        <v>46572</v>
      </c>
      <c r="U3616" t="s">
        <v>49638</v>
      </c>
      <c r="W3616" t="s">
        <v>41942</v>
      </c>
      <c r="X3616" t="s">
        <v>44763</v>
      </c>
    </row>
    <row r="3617" spans="1:24">
      <c r="A3617">
        <f>HYPERLINK("https://www.philgeps.gov.ph/GEPSNONPILOT/Tender/SplashBidNoticeAbstractUI.aspx?menuIndex=3&amp;refID=7150163&amp;Result=3","7150163")</f>
        <v>0</v>
      </c>
      <c r="B3617" t="s">
        <v>1488</v>
      </c>
      <c r="C3617" t="s">
        <v>7205</v>
      </c>
      <c r="D3617" t="s">
        <v>17973</v>
      </c>
      <c r="E3617" t="s">
        <v>21288</v>
      </c>
      <c r="F3617" t="s">
        <v>30900</v>
      </c>
      <c r="G3617" t="s">
        <v>30907</v>
      </c>
      <c r="H3617" t="s">
        <v>30916</v>
      </c>
      <c r="I3617" t="s">
        <v>10879</v>
      </c>
      <c r="J3617" t="s">
        <v>33578</v>
      </c>
      <c r="K3617" t="s">
        <v>40286</v>
      </c>
      <c r="M3617" t="s">
        <v>42126</v>
      </c>
      <c r="N3617" t="s">
        <v>44759</v>
      </c>
      <c r="O3617" t="s">
        <v>44760</v>
      </c>
      <c r="P3617">
        <v>0</v>
      </c>
      <c r="Q3617">
        <v>1</v>
      </c>
      <c r="R3617" t="s">
        <v>44762</v>
      </c>
      <c r="S3617" t="s">
        <v>44863</v>
      </c>
      <c r="T3617" t="s">
        <v>46642</v>
      </c>
      <c r="U3617" t="s">
        <v>50019</v>
      </c>
      <c r="W3617" t="s">
        <v>42126</v>
      </c>
      <c r="X3617" t="s">
        <v>44763</v>
      </c>
    </row>
    <row r="3618" spans="1:24">
      <c r="A3618">
        <f>HYPERLINK("https://www.philgeps.gov.ph/GEPSNONPILOT/Tender/SplashBidNoticeAbstractUI.aspx?menuIndex=3&amp;refID=7150157&amp;Result=3","7150157")</f>
        <v>0</v>
      </c>
      <c r="B3618" t="s">
        <v>1489</v>
      </c>
      <c r="C3618" t="s">
        <v>7206</v>
      </c>
      <c r="D3618" t="s">
        <v>17980</v>
      </c>
      <c r="E3618" t="s">
        <v>18752</v>
      </c>
      <c r="F3618" t="s">
        <v>30900</v>
      </c>
      <c r="G3618" t="s">
        <v>30909</v>
      </c>
      <c r="H3618" t="s">
        <v>30916</v>
      </c>
      <c r="I3618" t="s">
        <v>8365</v>
      </c>
      <c r="J3618" t="s">
        <v>31043</v>
      </c>
      <c r="K3618" t="s">
        <v>40285</v>
      </c>
      <c r="M3618" t="s">
        <v>42127</v>
      </c>
      <c r="N3618" t="s">
        <v>44759</v>
      </c>
      <c r="O3618" t="s">
        <v>44760</v>
      </c>
      <c r="P3618">
        <v>0</v>
      </c>
      <c r="Q3618">
        <v>0</v>
      </c>
      <c r="R3618" t="s">
        <v>44762</v>
      </c>
      <c r="S3618" t="s">
        <v>44863</v>
      </c>
      <c r="T3618" t="s">
        <v>46623</v>
      </c>
      <c r="U3618" t="s">
        <v>50020</v>
      </c>
      <c r="V3618" t="s">
        <v>59528</v>
      </c>
      <c r="W3618" t="s">
        <v>42127</v>
      </c>
      <c r="X3618" t="s">
        <v>44763</v>
      </c>
    </row>
    <row r="3619" spans="1:24">
      <c r="A3619">
        <f>HYPERLINK("https://www.philgeps.gov.ph/GEPSNONPILOT/Tender/SplashBidNoticeAbstractUI.aspx?menuIndex=3&amp;refID=7150177&amp;Result=3","7150177")</f>
        <v>0</v>
      </c>
      <c r="B3619" t="s">
        <v>748</v>
      </c>
      <c r="C3619" t="s">
        <v>7207</v>
      </c>
      <c r="D3619" t="s">
        <v>18019</v>
      </c>
      <c r="E3619" t="s">
        <v>21289</v>
      </c>
      <c r="F3619" t="s">
        <v>30900</v>
      </c>
      <c r="G3619" t="s">
        <v>30908</v>
      </c>
      <c r="H3619" t="s">
        <v>30916</v>
      </c>
      <c r="I3619" t="s">
        <v>30947</v>
      </c>
      <c r="J3619" t="s">
        <v>31407</v>
      </c>
      <c r="K3619" t="s">
        <v>40283</v>
      </c>
      <c r="M3619" t="s">
        <v>41312</v>
      </c>
      <c r="N3619" t="s">
        <v>44759</v>
      </c>
      <c r="O3619" t="s">
        <v>44760</v>
      </c>
      <c r="P3619">
        <v>0</v>
      </c>
      <c r="Q3619">
        <v>1</v>
      </c>
      <c r="R3619" t="s">
        <v>44762</v>
      </c>
      <c r="S3619" t="s">
        <v>44863</v>
      </c>
      <c r="T3619" t="s">
        <v>46363</v>
      </c>
      <c r="U3619" t="s">
        <v>50021</v>
      </c>
      <c r="W3619" t="s">
        <v>41312</v>
      </c>
      <c r="X3619" t="s">
        <v>44763</v>
      </c>
    </row>
    <row r="3620" spans="1:24">
      <c r="A3620">
        <f>HYPERLINK("https://www.philgeps.gov.ph/GEPSNONPILOT/Tender/SplashBidNoticeAbstractUI.aspx?menuIndex=3&amp;refID=7150153&amp;Result=3","7150153")</f>
        <v>0</v>
      </c>
      <c r="B3620" t="s">
        <v>1323</v>
      </c>
      <c r="C3620" t="s">
        <v>7208</v>
      </c>
      <c r="E3620" t="s">
        <v>21290</v>
      </c>
      <c r="F3620" t="s">
        <v>30900</v>
      </c>
      <c r="G3620" t="s">
        <v>30908</v>
      </c>
      <c r="H3620" t="s">
        <v>30916</v>
      </c>
      <c r="I3620" t="s">
        <v>6953</v>
      </c>
      <c r="J3620" t="s">
        <v>33579</v>
      </c>
      <c r="K3620" t="s">
        <v>40283</v>
      </c>
      <c r="M3620" t="s">
        <v>41942</v>
      </c>
      <c r="N3620" t="s">
        <v>44759</v>
      </c>
      <c r="O3620" t="s">
        <v>44760</v>
      </c>
      <c r="P3620">
        <v>0</v>
      </c>
      <c r="Q3620">
        <v>0</v>
      </c>
      <c r="R3620" t="s">
        <v>44762</v>
      </c>
      <c r="S3620" t="s">
        <v>44863</v>
      </c>
      <c r="T3620" t="s">
        <v>46643</v>
      </c>
      <c r="U3620" t="s">
        <v>49985</v>
      </c>
      <c r="W3620" t="s">
        <v>41942</v>
      </c>
      <c r="X3620" t="s">
        <v>44763</v>
      </c>
    </row>
    <row r="3621" spans="1:24">
      <c r="A3621">
        <f>HYPERLINK("https://www.philgeps.gov.ph/GEPSNONPILOT/Tender/SplashBidNoticeAbstractUI.aspx?menuIndex=3&amp;refID=7150176&amp;Result=3","7150176")</f>
        <v>0</v>
      </c>
      <c r="B3621" t="s">
        <v>1490</v>
      </c>
      <c r="C3621" t="s">
        <v>7209</v>
      </c>
      <c r="D3621" t="s">
        <v>18001</v>
      </c>
      <c r="E3621" t="s">
        <v>21291</v>
      </c>
      <c r="F3621" t="s">
        <v>30900</v>
      </c>
      <c r="G3621" t="s">
        <v>30908</v>
      </c>
      <c r="H3621" t="s">
        <v>30915</v>
      </c>
      <c r="I3621" t="s">
        <v>30972</v>
      </c>
      <c r="J3621" t="s">
        <v>33580</v>
      </c>
      <c r="K3621" t="s">
        <v>40354</v>
      </c>
      <c r="M3621" t="s">
        <v>42128</v>
      </c>
      <c r="N3621" t="s">
        <v>44759</v>
      </c>
      <c r="O3621" t="s">
        <v>44760</v>
      </c>
      <c r="P3621">
        <v>0</v>
      </c>
      <c r="Q3621">
        <v>0</v>
      </c>
      <c r="R3621" t="s">
        <v>44762</v>
      </c>
      <c r="S3621" t="s">
        <v>44863</v>
      </c>
      <c r="T3621" t="s">
        <v>46400</v>
      </c>
      <c r="U3621" t="s">
        <v>50022</v>
      </c>
      <c r="W3621" t="s">
        <v>42128</v>
      </c>
      <c r="X3621" t="s">
        <v>44763</v>
      </c>
    </row>
    <row r="3622" spans="1:24">
      <c r="A3622">
        <f>HYPERLINK("https://www.philgeps.gov.ph/GEPSNONPILOT/Tender/SplashBidNoticeAbstractUI.aspx?menuIndex=3&amp;refID=7150175&amp;Result=3","7150175")</f>
        <v>0</v>
      </c>
      <c r="B3622" t="s">
        <v>753</v>
      </c>
      <c r="C3622" t="s">
        <v>7210</v>
      </c>
      <c r="D3622" t="s">
        <v>17976</v>
      </c>
      <c r="E3622" t="s">
        <v>21292</v>
      </c>
      <c r="F3622" t="s">
        <v>30900</v>
      </c>
      <c r="G3622" t="s">
        <v>30908</v>
      </c>
      <c r="H3622" t="s">
        <v>30916</v>
      </c>
      <c r="I3622" t="s">
        <v>30949</v>
      </c>
      <c r="J3622" t="s">
        <v>33581</v>
      </c>
      <c r="K3622" t="s">
        <v>40284</v>
      </c>
      <c r="L3622" t="s">
        <v>753</v>
      </c>
      <c r="M3622" t="s">
        <v>41317</v>
      </c>
      <c r="N3622" t="s">
        <v>44759</v>
      </c>
      <c r="O3622" t="s">
        <v>44760</v>
      </c>
      <c r="P3622">
        <v>0</v>
      </c>
      <c r="Q3622">
        <v>2</v>
      </c>
      <c r="R3622" t="s">
        <v>44762</v>
      </c>
      <c r="S3622" t="s">
        <v>44863</v>
      </c>
      <c r="T3622" t="s">
        <v>46379</v>
      </c>
      <c r="U3622" t="s">
        <v>50012</v>
      </c>
      <c r="V3622" t="s">
        <v>59527</v>
      </c>
      <c r="W3622" t="s">
        <v>41317</v>
      </c>
      <c r="X3622" t="s">
        <v>44763</v>
      </c>
    </row>
    <row r="3623" spans="1:24">
      <c r="A3623">
        <f>HYPERLINK("https://www.philgeps.gov.ph/GEPSNONPILOT/Tender/SplashBidNoticeAbstractUI.aspx?menuIndex=3&amp;refID=7150173&amp;Result=3","7150173")</f>
        <v>0</v>
      </c>
      <c r="B3623" t="s">
        <v>1323</v>
      </c>
      <c r="C3623" t="s">
        <v>7211</v>
      </c>
      <c r="E3623" t="s">
        <v>21293</v>
      </c>
      <c r="F3623" t="s">
        <v>30900</v>
      </c>
      <c r="G3623" t="s">
        <v>30908</v>
      </c>
      <c r="H3623" t="s">
        <v>30916</v>
      </c>
      <c r="I3623" t="s">
        <v>30926</v>
      </c>
      <c r="J3623" t="s">
        <v>33582</v>
      </c>
      <c r="K3623" t="s">
        <v>40283</v>
      </c>
      <c r="M3623" t="s">
        <v>41942</v>
      </c>
      <c r="N3623" t="s">
        <v>44759</v>
      </c>
      <c r="O3623" t="s">
        <v>44760</v>
      </c>
      <c r="P3623">
        <v>0</v>
      </c>
      <c r="Q3623">
        <v>0</v>
      </c>
      <c r="R3623" t="s">
        <v>44762</v>
      </c>
      <c r="S3623" t="s">
        <v>44863</v>
      </c>
      <c r="T3623" t="s">
        <v>46611</v>
      </c>
      <c r="U3623" t="s">
        <v>49638</v>
      </c>
      <c r="W3623" t="s">
        <v>41942</v>
      </c>
      <c r="X3623" t="s">
        <v>44763</v>
      </c>
    </row>
    <row r="3624" spans="1:24">
      <c r="A3624">
        <f>HYPERLINK("https://www.philgeps.gov.ph/GEPSNONPILOT/Tender/SplashBidNoticeAbstractUI.aspx?menuIndex=3&amp;refID=7150165&amp;Result=3","7150165")</f>
        <v>0</v>
      </c>
      <c r="B3624" t="s">
        <v>1491</v>
      </c>
      <c r="C3624" t="s">
        <v>7212</v>
      </c>
      <c r="D3624" t="s">
        <v>17968</v>
      </c>
      <c r="E3624" t="s">
        <v>21294</v>
      </c>
      <c r="F3624" t="s">
        <v>30900</v>
      </c>
      <c r="G3624" t="s">
        <v>30907</v>
      </c>
      <c r="H3624" t="s">
        <v>30915</v>
      </c>
      <c r="I3624" t="s">
        <v>30919</v>
      </c>
      <c r="J3624" t="s">
        <v>33583</v>
      </c>
      <c r="K3624" t="s">
        <v>40293</v>
      </c>
      <c r="M3624" t="s">
        <v>42129</v>
      </c>
      <c r="N3624" t="s">
        <v>44759</v>
      </c>
      <c r="O3624" t="s">
        <v>44760</v>
      </c>
      <c r="P3624">
        <v>0</v>
      </c>
      <c r="Q3624">
        <v>0</v>
      </c>
      <c r="R3624" t="s">
        <v>44762</v>
      </c>
      <c r="S3624" t="s">
        <v>44863</v>
      </c>
      <c r="T3624" t="s">
        <v>46377</v>
      </c>
      <c r="U3624" t="s">
        <v>50023</v>
      </c>
      <c r="W3624" t="s">
        <v>60863</v>
      </c>
      <c r="X3624" t="s">
        <v>44763</v>
      </c>
    </row>
    <row r="3625" spans="1:24">
      <c r="A3625">
        <f>HYPERLINK("https://www.philgeps.gov.ph/GEPSNONPILOT/Tender/SplashBidNoticeAbstractUI.aspx?menuIndex=3&amp;refID=7150179&amp;Result=3","7150179")</f>
        <v>0</v>
      </c>
      <c r="B3625" t="s">
        <v>726</v>
      </c>
      <c r="C3625" t="s">
        <v>4013</v>
      </c>
      <c r="E3625" t="s">
        <v>21295</v>
      </c>
      <c r="F3625" t="s">
        <v>30900</v>
      </c>
      <c r="G3625" t="s">
        <v>30907</v>
      </c>
      <c r="H3625" t="s">
        <v>30916</v>
      </c>
      <c r="I3625" t="s">
        <v>4142</v>
      </c>
      <c r="J3625" t="s">
        <v>33584</v>
      </c>
      <c r="K3625" t="s">
        <v>40286</v>
      </c>
      <c r="M3625" t="s">
        <v>41290</v>
      </c>
      <c r="N3625" t="s">
        <v>44759</v>
      </c>
      <c r="O3625" t="s">
        <v>44760</v>
      </c>
      <c r="P3625">
        <v>0</v>
      </c>
      <c r="Q3625">
        <v>0</v>
      </c>
      <c r="R3625" t="s">
        <v>44762</v>
      </c>
      <c r="S3625" t="s">
        <v>44863</v>
      </c>
      <c r="T3625" t="s">
        <v>46400</v>
      </c>
      <c r="U3625" t="s">
        <v>50024</v>
      </c>
      <c r="W3625" t="s">
        <v>41290</v>
      </c>
      <c r="X3625" t="s">
        <v>44763</v>
      </c>
    </row>
    <row r="3626" spans="1:24">
      <c r="A3626">
        <f>HYPERLINK("https://www.philgeps.gov.ph/GEPSNONPILOT/Tender/SplashBidNoticeAbstractUI.aspx?menuIndex=3&amp;refID=7150178&amp;Result=3","7150178")</f>
        <v>0</v>
      </c>
      <c r="B3626" t="s">
        <v>1436</v>
      </c>
      <c r="C3626" t="s">
        <v>7213</v>
      </c>
      <c r="D3626" t="s">
        <v>18017</v>
      </c>
      <c r="E3626" t="s">
        <v>21296</v>
      </c>
      <c r="F3626" t="s">
        <v>30900</v>
      </c>
      <c r="G3626" t="s">
        <v>30907</v>
      </c>
      <c r="H3626" t="s">
        <v>30915</v>
      </c>
      <c r="I3626" t="s">
        <v>30919</v>
      </c>
      <c r="J3626" t="s">
        <v>33585</v>
      </c>
      <c r="K3626" t="s">
        <v>40292</v>
      </c>
      <c r="M3626" t="s">
        <v>42068</v>
      </c>
      <c r="N3626" t="s">
        <v>44759</v>
      </c>
      <c r="O3626" t="s">
        <v>44760</v>
      </c>
      <c r="P3626">
        <v>0</v>
      </c>
      <c r="Q3626">
        <v>0</v>
      </c>
      <c r="R3626" t="s">
        <v>44762</v>
      </c>
      <c r="S3626" t="s">
        <v>44863</v>
      </c>
      <c r="T3626" t="s">
        <v>46394</v>
      </c>
      <c r="U3626" t="s">
        <v>50025</v>
      </c>
      <c r="W3626" t="s">
        <v>42068</v>
      </c>
      <c r="X3626" t="s">
        <v>44763</v>
      </c>
    </row>
    <row r="3627" spans="1:24">
      <c r="A3627">
        <f>HYPERLINK("https://www.philgeps.gov.ph/GEPSNONPILOT/Tender/SplashBidNoticeAbstractUI.aspx?menuIndex=3&amp;refID=7150174&amp;Result=3","7150174")</f>
        <v>0</v>
      </c>
      <c r="B3627" t="s">
        <v>1488</v>
      </c>
      <c r="C3627" t="s">
        <v>7214</v>
      </c>
      <c r="D3627" t="s">
        <v>17973</v>
      </c>
      <c r="E3627" t="s">
        <v>21297</v>
      </c>
      <c r="F3627" t="s">
        <v>30900</v>
      </c>
      <c r="G3627" t="s">
        <v>30907</v>
      </c>
      <c r="H3627" t="s">
        <v>30916</v>
      </c>
      <c r="I3627" t="s">
        <v>30929</v>
      </c>
      <c r="J3627" t="s">
        <v>31501</v>
      </c>
      <c r="K3627" t="s">
        <v>40286</v>
      </c>
      <c r="M3627" t="s">
        <v>42126</v>
      </c>
      <c r="N3627" t="s">
        <v>44759</v>
      </c>
      <c r="O3627" t="s">
        <v>44760</v>
      </c>
      <c r="P3627">
        <v>0</v>
      </c>
      <c r="Q3627">
        <v>2</v>
      </c>
      <c r="R3627" t="s">
        <v>44762</v>
      </c>
      <c r="S3627" t="s">
        <v>44863</v>
      </c>
      <c r="T3627" t="s">
        <v>46642</v>
      </c>
      <c r="U3627" t="s">
        <v>49552</v>
      </c>
      <c r="W3627" t="s">
        <v>42126</v>
      </c>
      <c r="X3627" t="s">
        <v>44763</v>
      </c>
    </row>
    <row r="3628" spans="1:24">
      <c r="A3628">
        <f>HYPERLINK("https://www.philgeps.gov.ph/GEPSNONPILOT/Tender/SplashBidNoticeAbstractUI.aspx?menuIndex=3&amp;refID=7150185&amp;Result=3","7150185")</f>
        <v>0</v>
      </c>
      <c r="B3628" t="s">
        <v>1488</v>
      </c>
      <c r="C3628" t="s">
        <v>7215</v>
      </c>
      <c r="D3628" t="s">
        <v>17973</v>
      </c>
      <c r="E3628" t="s">
        <v>21298</v>
      </c>
      <c r="F3628" t="s">
        <v>30900</v>
      </c>
      <c r="G3628" t="s">
        <v>30907</v>
      </c>
      <c r="H3628" t="s">
        <v>30916</v>
      </c>
      <c r="I3628" t="s">
        <v>8123</v>
      </c>
      <c r="J3628" t="s">
        <v>31049</v>
      </c>
      <c r="K3628" t="s">
        <v>40286</v>
      </c>
      <c r="M3628" t="s">
        <v>42126</v>
      </c>
      <c r="N3628" t="s">
        <v>44759</v>
      </c>
      <c r="O3628" t="s">
        <v>44760</v>
      </c>
      <c r="P3628">
        <v>0</v>
      </c>
      <c r="Q3628">
        <v>0</v>
      </c>
      <c r="R3628" t="s">
        <v>44762</v>
      </c>
      <c r="S3628" t="s">
        <v>44863</v>
      </c>
      <c r="T3628" t="s">
        <v>46642</v>
      </c>
      <c r="U3628" t="s">
        <v>47755</v>
      </c>
      <c r="W3628" t="s">
        <v>42126</v>
      </c>
      <c r="X3628" t="s">
        <v>44763</v>
      </c>
    </row>
    <row r="3629" spans="1:24">
      <c r="A3629">
        <f>HYPERLINK("https://www.philgeps.gov.ph/GEPSNONPILOT/Tender/SplashBidNoticeAbstractUI.aspx?menuIndex=3&amp;refID=7150148&amp;Result=3","7150148")</f>
        <v>0</v>
      </c>
      <c r="B3629" t="s">
        <v>1436</v>
      </c>
      <c r="C3629" t="s">
        <v>7216</v>
      </c>
      <c r="D3629" t="s">
        <v>18017</v>
      </c>
      <c r="E3629" t="s">
        <v>21299</v>
      </c>
      <c r="F3629" t="s">
        <v>30900</v>
      </c>
      <c r="G3629" t="s">
        <v>30907</v>
      </c>
      <c r="H3629" t="s">
        <v>30915</v>
      </c>
      <c r="I3629" t="s">
        <v>30919</v>
      </c>
      <c r="J3629" t="s">
        <v>33586</v>
      </c>
      <c r="K3629" t="s">
        <v>40304</v>
      </c>
      <c r="M3629" t="s">
        <v>42068</v>
      </c>
      <c r="N3629" t="s">
        <v>44759</v>
      </c>
      <c r="O3629" t="s">
        <v>44760</v>
      </c>
      <c r="P3629">
        <v>0</v>
      </c>
      <c r="Q3629">
        <v>0</v>
      </c>
      <c r="R3629" t="s">
        <v>44762</v>
      </c>
      <c r="S3629" t="s">
        <v>44863</v>
      </c>
      <c r="T3629" t="s">
        <v>46394</v>
      </c>
      <c r="U3629" t="s">
        <v>50026</v>
      </c>
      <c r="W3629" t="s">
        <v>42068</v>
      </c>
      <c r="X3629" t="s">
        <v>44763</v>
      </c>
    </row>
    <row r="3630" spans="1:24">
      <c r="A3630">
        <f>HYPERLINK("https://www.philgeps.gov.ph/GEPSNONPILOT/Tender/SplashBidNoticeAbstractUI.aspx?menuIndex=3&amp;refID=7150172&amp;Result=3","7150172")</f>
        <v>0</v>
      </c>
      <c r="B3630" t="s">
        <v>1423</v>
      </c>
      <c r="C3630" t="s">
        <v>4750</v>
      </c>
      <c r="D3630" t="s">
        <v>18013</v>
      </c>
      <c r="E3630" t="s">
        <v>21300</v>
      </c>
      <c r="F3630" t="s">
        <v>30900</v>
      </c>
      <c r="G3630" t="s">
        <v>30907</v>
      </c>
      <c r="H3630" t="s">
        <v>30916</v>
      </c>
      <c r="I3630" t="s">
        <v>5501</v>
      </c>
      <c r="J3630" t="s">
        <v>33587</v>
      </c>
      <c r="K3630" t="s">
        <v>40289</v>
      </c>
      <c r="M3630" t="s">
        <v>42130</v>
      </c>
      <c r="N3630" t="s">
        <v>44759</v>
      </c>
      <c r="O3630" t="s">
        <v>44760</v>
      </c>
      <c r="P3630">
        <v>0</v>
      </c>
      <c r="Q3630">
        <v>2</v>
      </c>
      <c r="R3630" t="s">
        <v>44762</v>
      </c>
      <c r="S3630" t="s">
        <v>44863</v>
      </c>
      <c r="T3630" t="s">
        <v>46371</v>
      </c>
      <c r="U3630" t="s">
        <v>50027</v>
      </c>
      <c r="W3630" t="s">
        <v>42130</v>
      </c>
      <c r="X3630" t="s">
        <v>44763</v>
      </c>
    </row>
    <row r="3631" spans="1:24">
      <c r="A3631">
        <f>HYPERLINK("https://www.philgeps.gov.ph/GEPSNONPILOT/Tender/SplashBidNoticeAbstractUI.aspx?menuIndex=3&amp;refID=7150182&amp;Result=3","7150182")</f>
        <v>0</v>
      </c>
      <c r="B3631" t="s">
        <v>1441</v>
      </c>
      <c r="C3631" t="s">
        <v>7217</v>
      </c>
      <c r="E3631" t="s">
        <v>21301</v>
      </c>
      <c r="F3631" t="s">
        <v>30900</v>
      </c>
      <c r="G3631" t="s">
        <v>30908</v>
      </c>
      <c r="H3631" t="s">
        <v>30916</v>
      </c>
      <c r="I3631" t="s">
        <v>4108</v>
      </c>
      <c r="J3631" t="s">
        <v>31049</v>
      </c>
      <c r="K3631" t="s">
        <v>40289</v>
      </c>
      <c r="M3631" t="s">
        <v>42073</v>
      </c>
      <c r="N3631" t="s">
        <v>44759</v>
      </c>
      <c r="O3631" t="s">
        <v>44760</v>
      </c>
      <c r="P3631">
        <v>0</v>
      </c>
      <c r="Q3631">
        <v>0</v>
      </c>
      <c r="R3631" t="s">
        <v>44762</v>
      </c>
      <c r="S3631" t="s">
        <v>44863</v>
      </c>
      <c r="T3631" t="s">
        <v>46470</v>
      </c>
      <c r="U3631" t="s">
        <v>50028</v>
      </c>
      <c r="V3631" t="s">
        <v>59508</v>
      </c>
      <c r="W3631" t="s">
        <v>42073</v>
      </c>
      <c r="X3631" t="s">
        <v>44763</v>
      </c>
    </row>
    <row r="3632" spans="1:24">
      <c r="A3632">
        <f>HYPERLINK("https://www.philgeps.gov.ph/GEPSNONPILOT/Tender/SplashBidNoticeAbstractUI.aspx?menuIndex=3&amp;refID=7150170&amp;Result=3","7150170")</f>
        <v>0</v>
      </c>
      <c r="B3632" t="s">
        <v>1492</v>
      </c>
      <c r="C3632" t="s">
        <v>7218</v>
      </c>
      <c r="D3632" t="s">
        <v>17961</v>
      </c>
      <c r="E3632" t="s">
        <v>21302</v>
      </c>
      <c r="F3632" t="s">
        <v>30899</v>
      </c>
      <c r="G3632" t="s">
        <v>30907</v>
      </c>
      <c r="H3632" t="s">
        <v>30916</v>
      </c>
      <c r="I3632" t="s">
        <v>8123</v>
      </c>
      <c r="J3632" t="s">
        <v>33588</v>
      </c>
      <c r="K3632" t="s">
        <v>40284</v>
      </c>
      <c r="M3632" t="s">
        <v>42131</v>
      </c>
      <c r="N3632" t="s">
        <v>44759</v>
      </c>
      <c r="O3632" t="s">
        <v>44760</v>
      </c>
      <c r="P3632">
        <v>0</v>
      </c>
      <c r="Q3632">
        <v>0</v>
      </c>
      <c r="R3632" t="s">
        <v>44762</v>
      </c>
      <c r="S3632" t="s">
        <v>44863</v>
      </c>
      <c r="T3632" t="s">
        <v>46405</v>
      </c>
      <c r="U3632" t="s">
        <v>50029</v>
      </c>
      <c r="W3632" t="s">
        <v>42131</v>
      </c>
      <c r="X3632" t="s">
        <v>44763</v>
      </c>
    </row>
    <row r="3633" spans="1:24">
      <c r="A3633">
        <f>HYPERLINK("https://www.philgeps.gov.ph/GEPSNONPILOT/Tender/SplashBidNoticeAbstractUI.aspx?menuIndex=3&amp;refID=7150187&amp;Result=3","7150187")</f>
        <v>0</v>
      </c>
      <c r="B3633" t="s">
        <v>753</v>
      </c>
      <c r="C3633" t="s">
        <v>7219</v>
      </c>
      <c r="D3633" t="s">
        <v>17976</v>
      </c>
      <c r="E3633" t="s">
        <v>21303</v>
      </c>
      <c r="F3633" t="s">
        <v>30900</v>
      </c>
      <c r="G3633" t="s">
        <v>30908</v>
      </c>
      <c r="H3633" t="s">
        <v>30916</v>
      </c>
      <c r="I3633" t="s">
        <v>30947</v>
      </c>
      <c r="J3633" t="s">
        <v>33589</v>
      </c>
      <c r="K3633" t="s">
        <v>40284</v>
      </c>
      <c r="L3633" t="s">
        <v>753</v>
      </c>
      <c r="M3633" t="s">
        <v>41317</v>
      </c>
      <c r="N3633" t="s">
        <v>44759</v>
      </c>
      <c r="O3633" t="s">
        <v>44760</v>
      </c>
      <c r="P3633">
        <v>0</v>
      </c>
      <c r="Q3633">
        <v>3</v>
      </c>
      <c r="R3633" t="s">
        <v>44762</v>
      </c>
      <c r="S3633" t="s">
        <v>44863</v>
      </c>
      <c r="T3633" t="s">
        <v>46379</v>
      </c>
      <c r="U3633" t="s">
        <v>50012</v>
      </c>
      <c r="V3633" t="s">
        <v>59527</v>
      </c>
      <c r="W3633" t="s">
        <v>41317</v>
      </c>
      <c r="X3633" t="s">
        <v>44763</v>
      </c>
    </row>
    <row r="3634" spans="1:24">
      <c r="A3634">
        <f>HYPERLINK("https://www.philgeps.gov.ph/GEPSNONPILOT/Tender/SplashBidNoticeAbstractUI.aspx?menuIndex=3&amp;refID=7150168&amp;Result=3","7150168")</f>
        <v>0</v>
      </c>
      <c r="B3634" t="s">
        <v>1493</v>
      </c>
      <c r="C3634" t="s">
        <v>7220</v>
      </c>
      <c r="D3634" t="s">
        <v>17959</v>
      </c>
      <c r="E3634" t="s">
        <v>21304</v>
      </c>
      <c r="F3634" t="s">
        <v>30900</v>
      </c>
      <c r="G3634" t="s">
        <v>30909</v>
      </c>
      <c r="H3634" t="s">
        <v>30916</v>
      </c>
      <c r="I3634" t="s">
        <v>4108</v>
      </c>
      <c r="J3634" t="s">
        <v>31788</v>
      </c>
      <c r="K3634" t="s">
        <v>40282</v>
      </c>
      <c r="M3634" t="s">
        <v>42132</v>
      </c>
      <c r="N3634" t="s">
        <v>44759</v>
      </c>
      <c r="O3634" t="s">
        <v>44760</v>
      </c>
      <c r="P3634">
        <v>0</v>
      </c>
      <c r="Q3634">
        <v>7</v>
      </c>
      <c r="R3634" t="s">
        <v>44762</v>
      </c>
      <c r="S3634" t="s">
        <v>44863</v>
      </c>
      <c r="T3634" t="s">
        <v>46376</v>
      </c>
      <c r="U3634" t="s">
        <v>50030</v>
      </c>
      <c r="W3634" t="s">
        <v>42132</v>
      </c>
      <c r="X3634" t="s">
        <v>44763</v>
      </c>
    </row>
    <row r="3635" spans="1:24">
      <c r="A3635">
        <f>HYPERLINK("https://www.philgeps.gov.ph/GEPSNONPILOT/Tender/SplashBidNoticeAbstractUI.aspx?menuIndex=3&amp;refID=7150149&amp;Result=3","7150149")</f>
        <v>0</v>
      </c>
      <c r="B3635" t="s">
        <v>1393</v>
      </c>
      <c r="C3635" t="s">
        <v>7221</v>
      </c>
      <c r="E3635" t="s">
        <v>21305</v>
      </c>
      <c r="F3635" t="s">
        <v>30900</v>
      </c>
      <c r="G3635" t="s">
        <v>30908</v>
      </c>
      <c r="H3635" t="s">
        <v>30916</v>
      </c>
      <c r="I3635" t="s">
        <v>30923</v>
      </c>
      <c r="J3635" t="s">
        <v>31451</v>
      </c>
      <c r="K3635" t="s">
        <v>40289</v>
      </c>
      <c r="M3635" t="s">
        <v>42018</v>
      </c>
      <c r="N3635" t="s">
        <v>44759</v>
      </c>
      <c r="O3635" t="s">
        <v>44760</v>
      </c>
      <c r="P3635">
        <v>0</v>
      </c>
      <c r="Q3635">
        <v>15</v>
      </c>
      <c r="R3635" t="s">
        <v>44762</v>
      </c>
      <c r="S3635" t="s">
        <v>44863</v>
      </c>
      <c r="T3635" t="s">
        <v>46379</v>
      </c>
      <c r="U3635" t="s">
        <v>47043</v>
      </c>
      <c r="W3635" t="s">
        <v>42018</v>
      </c>
      <c r="X3635" t="s">
        <v>44763</v>
      </c>
    </row>
    <row r="3636" spans="1:24">
      <c r="A3636">
        <f>HYPERLINK("https://www.philgeps.gov.ph/GEPSNONPILOT/Tender/SplashBidNoticeAbstractUI.aspx?menuIndex=3&amp;refID=7150166&amp;Result=3","7150166")</f>
        <v>0</v>
      </c>
      <c r="B3636" t="s">
        <v>1494</v>
      </c>
      <c r="C3636" t="s">
        <v>7222</v>
      </c>
      <c r="D3636" t="s">
        <v>17957</v>
      </c>
      <c r="E3636" t="s">
        <v>21306</v>
      </c>
      <c r="F3636" t="s">
        <v>30900</v>
      </c>
      <c r="G3636" t="s">
        <v>30907</v>
      </c>
      <c r="H3636" t="s">
        <v>30915</v>
      </c>
      <c r="I3636" t="s">
        <v>30919</v>
      </c>
      <c r="J3636" t="s">
        <v>33590</v>
      </c>
      <c r="K3636" t="s">
        <v>40292</v>
      </c>
      <c r="M3636" t="s">
        <v>42133</v>
      </c>
      <c r="N3636" t="s">
        <v>44759</v>
      </c>
      <c r="O3636" t="s">
        <v>44760</v>
      </c>
      <c r="P3636">
        <v>0</v>
      </c>
      <c r="Q3636">
        <v>0</v>
      </c>
      <c r="R3636" t="s">
        <v>44762</v>
      </c>
      <c r="S3636" t="s">
        <v>44863</v>
      </c>
      <c r="T3636" t="s">
        <v>46465</v>
      </c>
      <c r="U3636" t="s">
        <v>50031</v>
      </c>
      <c r="W3636" t="s">
        <v>42133</v>
      </c>
      <c r="X3636" t="s">
        <v>44763</v>
      </c>
    </row>
    <row r="3637" spans="1:24">
      <c r="A3637">
        <f>HYPERLINK("https://www.philgeps.gov.ph/GEPSNONPILOT/Tender/SplashBidNoticeAbstractUI.aspx?menuIndex=3&amp;refID=7150203&amp;Result=3","7150203")</f>
        <v>0</v>
      </c>
      <c r="B3637" t="s">
        <v>1487</v>
      </c>
      <c r="C3637" t="s">
        <v>7223</v>
      </c>
      <c r="D3637" t="s">
        <v>18011</v>
      </c>
      <c r="E3637" t="s">
        <v>21307</v>
      </c>
      <c r="F3637" t="s">
        <v>30900</v>
      </c>
      <c r="G3637" t="s">
        <v>30908</v>
      </c>
      <c r="H3637" t="s">
        <v>30916</v>
      </c>
      <c r="I3637" t="s">
        <v>10602</v>
      </c>
      <c r="J3637" t="s">
        <v>33591</v>
      </c>
      <c r="K3637" t="s">
        <v>40283</v>
      </c>
      <c r="M3637" t="s">
        <v>42124</v>
      </c>
      <c r="N3637" t="s">
        <v>44759</v>
      </c>
      <c r="O3637" t="s">
        <v>44760</v>
      </c>
      <c r="P3637">
        <v>0</v>
      </c>
      <c r="Q3637">
        <v>0</v>
      </c>
      <c r="R3637" t="s">
        <v>44762</v>
      </c>
      <c r="S3637" t="s">
        <v>44863</v>
      </c>
      <c r="T3637" t="s">
        <v>46553</v>
      </c>
      <c r="U3637" t="s">
        <v>50032</v>
      </c>
      <c r="W3637" t="s">
        <v>42124</v>
      </c>
      <c r="X3637" t="s">
        <v>44763</v>
      </c>
    </row>
    <row r="3638" spans="1:24">
      <c r="A3638">
        <f>HYPERLINK("https://www.philgeps.gov.ph/GEPSNONPILOT/Tender/SplashBidNoticeAbstractUI.aspx?menuIndex=3&amp;refID=7150184&amp;Result=3","7150184")</f>
        <v>0</v>
      </c>
      <c r="B3638" t="s">
        <v>1495</v>
      </c>
      <c r="C3638" t="s">
        <v>7224</v>
      </c>
      <c r="D3638" t="s">
        <v>17972</v>
      </c>
      <c r="E3638" t="s">
        <v>21308</v>
      </c>
      <c r="F3638" t="s">
        <v>30900</v>
      </c>
      <c r="G3638" t="s">
        <v>30908</v>
      </c>
      <c r="H3638" t="s">
        <v>30916</v>
      </c>
      <c r="I3638" t="s">
        <v>4545</v>
      </c>
      <c r="J3638" t="s">
        <v>31811</v>
      </c>
      <c r="K3638" t="s">
        <v>40291</v>
      </c>
      <c r="M3638" t="s">
        <v>42134</v>
      </c>
      <c r="N3638" t="s">
        <v>44759</v>
      </c>
      <c r="O3638" t="s">
        <v>44760</v>
      </c>
      <c r="P3638">
        <v>0</v>
      </c>
      <c r="Q3638">
        <v>0</v>
      </c>
      <c r="R3638" t="s">
        <v>44762</v>
      </c>
      <c r="S3638" t="s">
        <v>44863</v>
      </c>
      <c r="T3638" t="s">
        <v>46409</v>
      </c>
      <c r="U3638" t="s">
        <v>50033</v>
      </c>
      <c r="W3638" t="s">
        <v>42134</v>
      </c>
      <c r="X3638" t="s">
        <v>44763</v>
      </c>
    </row>
    <row r="3639" spans="1:24">
      <c r="A3639">
        <f>HYPERLINK("https://www.philgeps.gov.ph/GEPSNONPILOT/Tender/SplashBidNoticeAbstractUI.aspx?menuIndex=3&amp;refID=7150202&amp;Result=3","7150202")</f>
        <v>0</v>
      </c>
      <c r="B3639" t="s">
        <v>1423</v>
      </c>
      <c r="C3639" t="s">
        <v>7225</v>
      </c>
      <c r="E3639" t="s">
        <v>21309</v>
      </c>
      <c r="F3639" t="s">
        <v>30900</v>
      </c>
      <c r="G3639" t="s">
        <v>30907</v>
      </c>
      <c r="H3639" t="s">
        <v>30916</v>
      </c>
      <c r="I3639" t="s">
        <v>9385</v>
      </c>
      <c r="J3639" t="s">
        <v>33592</v>
      </c>
      <c r="K3639" t="s">
        <v>40289</v>
      </c>
      <c r="M3639" t="s">
        <v>42130</v>
      </c>
      <c r="N3639" t="s">
        <v>44759</v>
      </c>
      <c r="O3639" t="s">
        <v>44760</v>
      </c>
      <c r="P3639">
        <v>0</v>
      </c>
      <c r="Q3639">
        <v>13</v>
      </c>
      <c r="R3639" t="s">
        <v>44762</v>
      </c>
      <c r="S3639" t="s">
        <v>44863</v>
      </c>
      <c r="T3639" t="s">
        <v>46371</v>
      </c>
      <c r="U3639" t="s">
        <v>50034</v>
      </c>
      <c r="W3639" t="s">
        <v>42130</v>
      </c>
      <c r="X3639" t="s">
        <v>44763</v>
      </c>
    </row>
    <row r="3640" spans="1:24">
      <c r="A3640">
        <f>HYPERLINK("https://www.philgeps.gov.ph/GEPSNONPILOT/Tender/SplashBidNoticeAbstractUI.aspx?menuIndex=3&amp;refID=7150171&amp;Result=3","7150171")</f>
        <v>0</v>
      </c>
      <c r="B3640" t="s">
        <v>1496</v>
      </c>
      <c r="C3640" t="s">
        <v>7226</v>
      </c>
      <c r="D3640" t="s">
        <v>18019</v>
      </c>
      <c r="E3640" t="s">
        <v>21310</v>
      </c>
      <c r="F3640" t="s">
        <v>30900</v>
      </c>
      <c r="G3640" t="s">
        <v>30906</v>
      </c>
      <c r="H3640" t="s">
        <v>30916</v>
      </c>
      <c r="I3640" t="s">
        <v>30943</v>
      </c>
      <c r="J3640" t="s">
        <v>33593</v>
      </c>
      <c r="K3640" t="s">
        <v>40283</v>
      </c>
      <c r="M3640" t="s">
        <v>42135</v>
      </c>
      <c r="N3640" t="s">
        <v>44759</v>
      </c>
      <c r="O3640" t="s">
        <v>44760</v>
      </c>
      <c r="P3640">
        <v>0</v>
      </c>
      <c r="Q3640">
        <v>2</v>
      </c>
      <c r="R3640" t="s">
        <v>44762</v>
      </c>
      <c r="S3640" t="s">
        <v>44863</v>
      </c>
      <c r="T3640" t="s">
        <v>46398</v>
      </c>
      <c r="U3640" t="s">
        <v>50035</v>
      </c>
      <c r="W3640" t="s">
        <v>42135</v>
      </c>
      <c r="X3640" t="s">
        <v>44763</v>
      </c>
    </row>
    <row r="3641" spans="1:24">
      <c r="A3641">
        <f>HYPERLINK("https://www.philgeps.gov.ph/GEPSNONPILOT/Tender/SplashBidNoticeAbstractUI.aspx?menuIndex=3&amp;refID=7150186&amp;Result=3","7150186")</f>
        <v>0</v>
      </c>
      <c r="B3641" t="s">
        <v>1493</v>
      </c>
      <c r="C3641" t="s">
        <v>7227</v>
      </c>
      <c r="D3641" t="s">
        <v>17959</v>
      </c>
      <c r="E3641" t="s">
        <v>21311</v>
      </c>
      <c r="F3641" t="s">
        <v>30900</v>
      </c>
      <c r="G3641" t="s">
        <v>30909</v>
      </c>
      <c r="H3641" t="s">
        <v>30916</v>
      </c>
      <c r="I3641" t="s">
        <v>4108</v>
      </c>
      <c r="J3641" t="s">
        <v>33594</v>
      </c>
      <c r="K3641" t="s">
        <v>40282</v>
      </c>
      <c r="M3641" t="s">
        <v>42132</v>
      </c>
      <c r="N3641" t="s">
        <v>44759</v>
      </c>
      <c r="O3641" t="s">
        <v>44760</v>
      </c>
      <c r="P3641">
        <v>0</v>
      </c>
      <c r="Q3641">
        <v>0</v>
      </c>
      <c r="R3641" t="s">
        <v>44762</v>
      </c>
      <c r="S3641" t="s">
        <v>44863</v>
      </c>
      <c r="T3641" t="s">
        <v>46376</v>
      </c>
      <c r="U3641" t="s">
        <v>50036</v>
      </c>
      <c r="W3641" t="s">
        <v>42132</v>
      </c>
      <c r="X3641" t="s">
        <v>44763</v>
      </c>
    </row>
    <row r="3642" spans="1:24">
      <c r="A3642">
        <f>HYPERLINK("https://www.philgeps.gov.ph/GEPSNONPILOT/Tender/SplashBidNoticeAbstractUI.aspx?menuIndex=3&amp;refID=7150207&amp;Result=3","7150207")</f>
        <v>0</v>
      </c>
      <c r="B3642" t="s">
        <v>325</v>
      </c>
      <c r="C3642" t="s">
        <v>7228</v>
      </c>
      <c r="D3642" t="s">
        <v>17995</v>
      </c>
      <c r="E3642" t="s">
        <v>21312</v>
      </c>
      <c r="F3642" t="s">
        <v>30900</v>
      </c>
      <c r="G3642" t="s">
        <v>30909</v>
      </c>
      <c r="H3642" t="s">
        <v>30916</v>
      </c>
      <c r="I3642" t="s">
        <v>4545</v>
      </c>
      <c r="J3642" t="s">
        <v>31049</v>
      </c>
      <c r="K3642" t="s">
        <v>40287</v>
      </c>
      <c r="L3642" t="s">
        <v>325</v>
      </c>
      <c r="M3642" t="s">
        <v>40876</v>
      </c>
      <c r="N3642" t="s">
        <v>44759</v>
      </c>
      <c r="O3642" t="s">
        <v>44760</v>
      </c>
      <c r="P3642">
        <v>0</v>
      </c>
      <c r="Q3642">
        <v>1</v>
      </c>
      <c r="R3642" t="s">
        <v>44762</v>
      </c>
      <c r="S3642" t="s">
        <v>44863</v>
      </c>
      <c r="T3642" t="s">
        <v>46644</v>
      </c>
      <c r="U3642" t="s">
        <v>50037</v>
      </c>
      <c r="V3642" t="s">
        <v>59173</v>
      </c>
      <c r="W3642" t="s">
        <v>40876</v>
      </c>
      <c r="X3642" t="s">
        <v>44763</v>
      </c>
    </row>
    <row r="3643" spans="1:24">
      <c r="A3643">
        <f>HYPERLINK("https://www.philgeps.gov.ph/GEPSNONPILOT/Tender/SplashBidNoticeAbstractUI.aspx?menuIndex=3&amp;refID=7150206&amp;Result=3","7150206")</f>
        <v>0</v>
      </c>
      <c r="B3643" t="s">
        <v>231</v>
      </c>
      <c r="C3643" t="s">
        <v>7229</v>
      </c>
      <c r="D3643" t="s">
        <v>17957</v>
      </c>
      <c r="E3643" t="s">
        <v>21313</v>
      </c>
      <c r="F3643" t="s">
        <v>30900</v>
      </c>
      <c r="G3643" t="s">
        <v>30908</v>
      </c>
      <c r="H3643" t="s">
        <v>30916</v>
      </c>
      <c r="I3643" t="s">
        <v>4108</v>
      </c>
      <c r="J3643" t="s">
        <v>31490</v>
      </c>
      <c r="K3643" t="s">
        <v>40294</v>
      </c>
      <c r="M3643" t="s">
        <v>40778</v>
      </c>
      <c r="N3643" t="s">
        <v>44759</v>
      </c>
      <c r="O3643" t="s">
        <v>44760</v>
      </c>
      <c r="P3643">
        <v>0</v>
      </c>
      <c r="Q3643">
        <v>0</v>
      </c>
      <c r="R3643" t="s">
        <v>44762</v>
      </c>
      <c r="S3643" t="s">
        <v>44863</v>
      </c>
      <c r="T3643" t="s">
        <v>46383</v>
      </c>
      <c r="U3643" t="s">
        <v>50038</v>
      </c>
      <c r="W3643" t="s">
        <v>40778</v>
      </c>
      <c r="X3643" t="s">
        <v>44763</v>
      </c>
    </row>
    <row r="3644" spans="1:24">
      <c r="A3644">
        <f>HYPERLINK("https://www.philgeps.gov.ph/GEPSNONPILOT/Tender/SplashBidNoticeAbstractUI.aspx?menuIndex=3&amp;refID=7150205&amp;Result=3","7150205")</f>
        <v>0</v>
      </c>
      <c r="B3644" t="s">
        <v>753</v>
      </c>
      <c r="C3644" t="s">
        <v>7230</v>
      </c>
      <c r="D3644" t="s">
        <v>17976</v>
      </c>
      <c r="E3644" t="s">
        <v>21314</v>
      </c>
      <c r="F3644" t="s">
        <v>30900</v>
      </c>
      <c r="G3644" t="s">
        <v>30908</v>
      </c>
      <c r="H3644" t="s">
        <v>30916</v>
      </c>
      <c r="I3644" t="s">
        <v>30921</v>
      </c>
      <c r="J3644" t="s">
        <v>32342</v>
      </c>
      <c r="K3644" t="s">
        <v>40283</v>
      </c>
      <c r="L3644" t="s">
        <v>753</v>
      </c>
      <c r="M3644" t="s">
        <v>41317</v>
      </c>
      <c r="N3644" t="s">
        <v>44759</v>
      </c>
      <c r="O3644" t="s">
        <v>44760</v>
      </c>
      <c r="P3644">
        <v>0</v>
      </c>
      <c r="Q3644">
        <v>2</v>
      </c>
      <c r="R3644" t="s">
        <v>44762</v>
      </c>
      <c r="S3644" t="s">
        <v>44863</v>
      </c>
      <c r="T3644" t="s">
        <v>46379</v>
      </c>
      <c r="U3644" t="s">
        <v>50039</v>
      </c>
      <c r="V3644" t="s">
        <v>59529</v>
      </c>
      <c r="W3644" t="s">
        <v>41317</v>
      </c>
      <c r="X3644" t="s">
        <v>44763</v>
      </c>
    </row>
    <row r="3645" spans="1:24">
      <c r="A3645">
        <f>HYPERLINK("https://www.philgeps.gov.ph/GEPSNONPILOT/Tender/SplashBidNoticeAbstractUI.aspx?menuIndex=3&amp;refID=7150204&amp;Result=3","7150204")</f>
        <v>0</v>
      </c>
      <c r="B3645" t="s">
        <v>1393</v>
      </c>
      <c r="C3645" t="s">
        <v>7231</v>
      </c>
      <c r="E3645" t="s">
        <v>21315</v>
      </c>
      <c r="F3645" t="s">
        <v>30900</v>
      </c>
      <c r="G3645" t="s">
        <v>30908</v>
      </c>
      <c r="H3645" t="s">
        <v>30916</v>
      </c>
      <c r="I3645" t="s">
        <v>4050</v>
      </c>
      <c r="J3645" t="s">
        <v>33595</v>
      </c>
      <c r="K3645" t="s">
        <v>40289</v>
      </c>
      <c r="M3645" t="s">
        <v>42018</v>
      </c>
      <c r="N3645" t="s">
        <v>44759</v>
      </c>
      <c r="O3645" t="s">
        <v>44760</v>
      </c>
      <c r="P3645">
        <v>0</v>
      </c>
      <c r="Q3645">
        <v>10</v>
      </c>
      <c r="R3645" t="s">
        <v>44762</v>
      </c>
      <c r="S3645" t="s">
        <v>44863</v>
      </c>
      <c r="T3645" t="s">
        <v>46379</v>
      </c>
      <c r="U3645" t="s">
        <v>47043</v>
      </c>
      <c r="W3645" t="s">
        <v>42018</v>
      </c>
      <c r="X3645" t="s">
        <v>44763</v>
      </c>
    </row>
    <row r="3646" spans="1:24">
      <c r="A3646">
        <f>HYPERLINK("https://www.philgeps.gov.ph/GEPSNONPILOT/Tender/SplashBidNoticeAbstractUI.aspx?menuIndex=3&amp;refID=7150200&amp;Result=3","7150200")</f>
        <v>0</v>
      </c>
      <c r="B3646" t="s">
        <v>1488</v>
      </c>
      <c r="C3646" t="s">
        <v>7232</v>
      </c>
      <c r="D3646" t="s">
        <v>17973</v>
      </c>
      <c r="E3646" t="s">
        <v>21316</v>
      </c>
      <c r="F3646" t="s">
        <v>30900</v>
      </c>
      <c r="G3646" t="s">
        <v>30907</v>
      </c>
      <c r="H3646" t="s">
        <v>30916</v>
      </c>
      <c r="I3646" t="s">
        <v>8123</v>
      </c>
      <c r="J3646" t="s">
        <v>31341</v>
      </c>
      <c r="K3646" t="s">
        <v>40286</v>
      </c>
      <c r="M3646" t="s">
        <v>42126</v>
      </c>
      <c r="N3646" t="s">
        <v>44759</v>
      </c>
      <c r="O3646" t="s">
        <v>44760</v>
      </c>
      <c r="P3646">
        <v>0</v>
      </c>
      <c r="Q3646">
        <v>0</v>
      </c>
      <c r="R3646" t="s">
        <v>44762</v>
      </c>
      <c r="S3646" t="s">
        <v>44863</v>
      </c>
      <c r="T3646" t="s">
        <v>46642</v>
      </c>
      <c r="U3646" t="s">
        <v>47755</v>
      </c>
      <c r="W3646" t="s">
        <v>42126</v>
      </c>
      <c r="X3646" t="s">
        <v>44763</v>
      </c>
    </row>
    <row r="3647" spans="1:24">
      <c r="A3647">
        <f>HYPERLINK("https://www.philgeps.gov.ph/GEPSNONPILOT/Tender/SplashBidNoticeAbstractUI.aspx?menuIndex=3&amp;refID=7150209&amp;Result=3","7150209")</f>
        <v>0</v>
      </c>
      <c r="B3647" t="s">
        <v>781</v>
      </c>
      <c r="C3647" t="s">
        <v>7233</v>
      </c>
      <c r="D3647" t="s">
        <v>17959</v>
      </c>
      <c r="E3647" t="s">
        <v>21317</v>
      </c>
      <c r="F3647" t="s">
        <v>30900</v>
      </c>
      <c r="G3647" t="s">
        <v>30909</v>
      </c>
      <c r="H3647" t="s">
        <v>30916</v>
      </c>
      <c r="I3647" t="s">
        <v>6396</v>
      </c>
      <c r="J3647" t="s">
        <v>33596</v>
      </c>
      <c r="K3647" t="s">
        <v>40284</v>
      </c>
      <c r="M3647" t="s">
        <v>42136</v>
      </c>
      <c r="N3647" t="s">
        <v>44759</v>
      </c>
      <c r="O3647" t="s">
        <v>44760</v>
      </c>
      <c r="P3647">
        <v>0</v>
      </c>
      <c r="Q3647">
        <v>1</v>
      </c>
      <c r="R3647" t="s">
        <v>44762</v>
      </c>
      <c r="S3647" t="s">
        <v>44863</v>
      </c>
      <c r="T3647" t="s">
        <v>46568</v>
      </c>
      <c r="U3647" t="s">
        <v>50040</v>
      </c>
      <c r="V3647" t="s">
        <v>59530</v>
      </c>
      <c r="W3647" t="s">
        <v>42136</v>
      </c>
      <c r="X3647" t="s">
        <v>44763</v>
      </c>
    </row>
    <row r="3648" spans="1:24">
      <c r="A3648">
        <f>HYPERLINK("https://www.philgeps.gov.ph/GEPSNONPILOT/Tender/SplashBidNoticeAbstractUI.aspx?menuIndex=3&amp;refID=7150208&amp;Result=3","7150208")</f>
        <v>0</v>
      </c>
      <c r="B3648" t="s">
        <v>1497</v>
      </c>
      <c r="C3648" t="s">
        <v>7234</v>
      </c>
      <c r="D3648" t="s">
        <v>17966</v>
      </c>
      <c r="E3648" t="s">
        <v>21318</v>
      </c>
      <c r="F3648" t="s">
        <v>30900</v>
      </c>
      <c r="G3648" t="s">
        <v>30909</v>
      </c>
      <c r="H3648" t="s">
        <v>30916</v>
      </c>
      <c r="I3648" t="s">
        <v>4108</v>
      </c>
      <c r="J3648" t="s">
        <v>33597</v>
      </c>
      <c r="K3648" t="s">
        <v>40289</v>
      </c>
      <c r="M3648" t="s">
        <v>42137</v>
      </c>
      <c r="N3648" t="s">
        <v>44759</v>
      </c>
      <c r="O3648" t="s">
        <v>44760</v>
      </c>
      <c r="P3648">
        <v>0</v>
      </c>
      <c r="Q3648">
        <v>0</v>
      </c>
      <c r="R3648" t="s">
        <v>44762</v>
      </c>
      <c r="S3648" t="s">
        <v>44863</v>
      </c>
      <c r="T3648" t="s">
        <v>46379</v>
      </c>
      <c r="U3648" t="s">
        <v>50041</v>
      </c>
      <c r="W3648" t="s">
        <v>42137</v>
      </c>
      <c r="X3648" t="s">
        <v>44763</v>
      </c>
    </row>
    <row r="3649" spans="1:24">
      <c r="A3649">
        <f>HYPERLINK("https://www.philgeps.gov.ph/GEPSNONPILOT/Tender/SplashBidNoticeAbstractUI.aspx?menuIndex=3&amp;refID=7150167&amp;Result=3","7150167")</f>
        <v>0</v>
      </c>
      <c r="B3649" t="s">
        <v>1498</v>
      </c>
      <c r="C3649" t="s">
        <v>7235</v>
      </c>
      <c r="D3649" t="s">
        <v>17959</v>
      </c>
      <c r="E3649" t="s">
        <v>21319</v>
      </c>
      <c r="F3649" t="s">
        <v>30900</v>
      </c>
      <c r="G3649" t="s">
        <v>30907</v>
      </c>
      <c r="H3649" t="s">
        <v>30916</v>
      </c>
      <c r="I3649" t="s">
        <v>30940</v>
      </c>
      <c r="J3649" t="s">
        <v>31243</v>
      </c>
      <c r="K3649" t="s">
        <v>40288</v>
      </c>
      <c r="M3649" t="s">
        <v>42138</v>
      </c>
      <c r="N3649" t="s">
        <v>44759</v>
      </c>
      <c r="O3649" t="s">
        <v>44760</v>
      </c>
      <c r="P3649">
        <v>0</v>
      </c>
      <c r="Q3649">
        <v>1</v>
      </c>
      <c r="R3649" t="s">
        <v>44762</v>
      </c>
      <c r="S3649" t="s">
        <v>44863</v>
      </c>
      <c r="T3649" t="s">
        <v>46425</v>
      </c>
      <c r="U3649" t="s">
        <v>50042</v>
      </c>
      <c r="W3649" t="s">
        <v>42138</v>
      </c>
      <c r="X3649" t="s">
        <v>44763</v>
      </c>
    </row>
    <row r="3650" spans="1:24">
      <c r="A3650">
        <f>HYPERLINK("https://www.philgeps.gov.ph/GEPSNONPILOT/Tender/SplashBidNoticeAbstractUI.aspx?menuIndex=3&amp;refID=7150195&amp;Result=3","7150195")</f>
        <v>0</v>
      </c>
      <c r="B3650" t="s">
        <v>1498</v>
      </c>
      <c r="C3650" t="s">
        <v>7236</v>
      </c>
      <c r="D3650" t="s">
        <v>17959</v>
      </c>
      <c r="E3650" t="s">
        <v>21320</v>
      </c>
      <c r="F3650" t="s">
        <v>30900</v>
      </c>
      <c r="G3650" t="s">
        <v>30907</v>
      </c>
      <c r="H3650" t="s">
        <v>30916</v>
      </c>
      <c r="I3650" t="s">
        <v>8123</v>
      </c>
      <c r="J3650" t="s">
        <v>31243</v>
      </c>
      <c r="K3650" t="s">
        <v>40288</v>
      </c>
      <c r="M3650" t="s">
        <v>42138</v>
      </c>
      <c r="N3650" t="s">
        <v>44759</v>
      </c>
      <c r="O3650" t="s">
        <v>44760</v>
      </c>
      <c r="P3650">
        <v>0</v>
      </c>
      <c r="Q3650">
        <v>0</v>
      </c>
      <c r="R3650" t="s">
        <v>44762</v>
      </c>
      <c r="S3650" t="s">
        <v>44863</v>
      </c>
      <c r="T3650" t="s">
        <v>46425</v>
      </c>
      <c r="U3650" t="s">
        <v>50042</v>
      </c>
      <c r="W3650" t="s">
        <v>42138</v>
      </c>
      <c r="X3650" t="s">
        <v>44763</v>
      </c>
    </row>
    <row r="3651" spans="1:24">
      <c r="A3651">
        <f>HYPERLINK("https://www.philgeps.gov.ph/GEPSNONPILOT/Tender/SplashBidNoticeAbstractUI.aspx?menuIndex=3&amp;refID=7150189&amp;Result=3","7150189")</f>
        <v>0</v>
      </c>
      <c r="B3651" t="s">
        <v>1499</v>
      </c>
      <c r="C3651" t="s">
        <v>7237</v>
      </c>
      <c r="D3651" t="s">
        <v>17959</v>
      </c>
      <c r="E3651" t="s">
        <v>21321</v>
      </c>
      <c r="F3651" t="s">
        <v>30900</v>
      </c>
      <c r="G3651" t="s">
        <v>30908</v>
      </c>
      <c r="H3651" t="s">
        <v>30916</v>
      </c>
      <c r="I3651" t="s">
        <v>30929</v>
      </c>
      <c r="J3651" t="s">
        <v>33598</v>
      </c>
      <c r="K3651" t="s">
        <v>40289</v>
      </c>
      <c r="M3651" t="s">
        <v>42139</v>
      </c>
      <c r="N3651" t="s">
        <v>44759</v>
      </c>
      <c r="O3651" t="s">
        <v>44760</v>
      </c>
      <c r="P3651">
        <v>0</v>
      </c>
      <c r="Q3651">
        <v>2</v>
      </c>
      <c r="R3651" t="s">
        <v>44762</v>
      </c>
      <c r="S3651" t="s">
        <v>44863</v>
      </c>
      <c r="T3651" t="s">
        <v>46395</v>
      </c>
      <c r="U3651" t="s">
        <v>50043</v>
      </c>
      <c r="W3651" t="s">
        <v>42139</v>
      </c>
      <c r="X3651" t="s">
        <v>44763</v>
      </c>
    </row>
    <row r="3652" spans="1:24">
      <c r="A3652">
        <f>HYPERLINK("https://www.philgeps.gov.ph/GEPSNONPILOT/Tender/SplashBidNoticeAbstractUI.aspx?menuIndex=3&amp;refID=7150194&amp;Result=3","7150194")</f>
        <v>0</v>
      </c>
      <c r="B3652" t="s">
        <v>555</v>
      </c>
      <c r="C3652" t="s">
        <v>7238</v>
      </c>
      <c r="D3652" t="s">
        <v>18028</v>
      </c>
      <c r="E3652" t="s">
        <v>21322</v>
      </c>
      <c r="F3652" t="s">
        <v>30900</v>
      </c>
      <c r="G3652" t="s">
        <v>30909</v>
      </c>
      <c r="H3652" t="s">
        <v>30916</v>
      </c>
      <c r="I3652" t="s">
        <v>10847</v>
      </c>
      <c r="J3652" t="s">
        <v>33599</v>
      </c>
      <c r="K3652" t="s">
        <v>40286</v>
      </c>
      <c r="M3652" t="s">
        <v>41116</v>
      </c>
      <c r="N3652" t="s">
        <v>44759</v>
      </c>
      <c r="O3652" t="s">
        <v>44760</v>
      </c>
      <c r="P3652">
        <v>0</v>
      </c>
      <c r="Q3652">
        <v>0</v>
      </c>
      <c r="R3652" t="s">
        <v>44762</v>
      </c>
      <c r="S3652" t="s">
        <v>44863</v>
      </c>
      <c r="T3652" t="s">
        <v>46641</v>
      </c>
      <c r="U3652" t="s">
        <v>50044</v>
      </c>
      <c r="W3652" t="s">
        <v>41116</v>
      </c>
      <c r="X3652" t="s">
        <v>44763</v>
      </c>
    </row>
    <row r="3653" spans="1:24">
      <c r="A3653">
        <f>HYPERLINK("https://www.philgeps.gov.ph/GEPSNONPILOT/Tender/SplashBidNoticeAbstractUI.aspx?menuIndex=3&amp;refID=7150181&amp;Result=3","7150181")</f>
        <v>0</v>
      </c>
      <c r="B3653" t="s">
        <v>1296</v>
      </c>
      <c r="C3653" t="s">
        <v>7239</v>
      </c>
      <c r="D3653" t="s">
        <v>18019</v>
      </c>
      <c r="E3653" t="s">
        <v>21323</v>
      </c>
      <c r="F3653" t="s">
        <v>30900</v>
      </c>
      <c r="G3653" t="s">
        <v>30908</v>
      </c>
      <c r="H3653" t="s">
        <v>30916</v>
      </c>
      <c r="I3653" t="s">
        <v>5501</v>
      </c>
      <c r="J3653" t="s">
        <v>33600</v>
      </c>
      <c r="K3653" t="s">
        <v>40287</v>
      </c>
      <c r="M3653" t="s">
        <v>41913</v>
      </c>
      <c r="N3653" t="s">
        <v>44759</v>
      </c>
      <c r="O3653" t="s">
        <v>44760</v>
      </c>
      <c r="P3653">
        <v>0</v>
      </c>
      <c r="Q3653">
        <v>2</v>
      </c>
      <c r="R3653" t="s">
        <v>44762</v>
      </c>
      <c r="S3653" t="s">
        <v>44863</v>
      </c>
      <c r="T3653" t="s">
        <v>46457</v>
      </c>
      <c r="U3653" t="s">
        <v>49557</v>
      </c>
      <c r="V3653" t="s">
        <v>59501</v>
      </c>
      <c r="W3653" t="s">
        <v>41913</v>
      </c>
      <c r="X3653" t="s">
        <v>44763</v>
      </c>
    </row>
    <row r="3654" spans="1:24">
      <c r="A3654">
        <f>HYPERLINK("https://www.philgeps.gov.ph/GEPSNONPILOT/Tender/SplashBidNoticeAbstractUI.aspx?menuIndex=3&amp;refID=7150199&amp;Result=3","7150199")</f>
        <v>0</v>
      </c>
      <c r="B3654" t="s">
        <v>81</v>
      </c>
      <c r="C3654" t="s">
        <v>7240</v>
      </c>
      <c r="D3654" t="s">
        <v>17959</v>
      </c>
      <c r="E3654" t="s">
        <v>21324</v>
      </c>
      <c r="F3654" t="s">
        <v>30900</v>
      </c>
      <c r="G3654" t="s">
        <v>30908</v>
      </c>
      <c r="H3654" t="s">
        <v>30916</v>
      </c>
      <c r="I3654" t="s">
        <v>4142</v>
      </c>
      <c r="J3654" t="s">
        <v>33601</v>
      </c>
      <c r="K3654" t="s">
        <v>40289</v>
      </c>
      <c r="M3654" t="s">
        <v>42140</v>
      </c>
      <c r="N3654" t="s">
        <v>44759</v>
      </c>
      <c r="O3654" t="s">
        <v>44760</v>
      </c>
      <c r="P3654">
        <v>0</v>
      </c>
      <c r="Q3654">
        <v>1</v>
      </c>
      <c r="R3654" t="s">
        <v>44762</v>
      </c>
      <c r="S3654" t="s">
        <v>44863</v>
      </c>
      <c r="T3654" t="s">
        <v>46389</v>
      </c>
      <c r="U3654" t="s">
        <v>50045</v>
      </c>
      <c r="W3654" t="s">
        <v>42140</v>
      </c>
      <c r="X3654" t="s">
        <v>44763</v>
      </c>
    </row>
    <row r="3655" spans="1:24">
      <c r="A3655">
        <f>HYPERLINK("https://www.philgeps.gov.ph/GEPSNONPILOT/Tender/SplashBidNoticeAbstractUI.aspx?menuIndex=3&amp;refID=7150196&amp;Result=3","7150196")</f>
        <v>0</v>
      </c>
      <c r="B3655" t="s">
        <v>1500</v>
      </c>
      <c r="C3655" t="s">
        <v>7241</v>
      </c>
      <c r="D3655" t="s">
        <v>17978</v>
      </c>
      <c r="E3655" t="s">
        <v>21325</v>
      </c>
      <c r="F3655" t="s">
        <v>30900</v>
      </c>
      <c r="G3655" t="s">
        <v>30907</v>
      </c>
      <c r="H3655" t="s">
        <v>30916</v>
      </c>
      <c r="I3655" t="s">
        <v>6834</v>
      </c>
      <c r="J3655" t="s">
        <v>31049</v>
      </c>
      <c r="K3655" t="s">
        <v>40283</v>
      </c>
      <c r="M3655" t="s">
        <v>42141</v>
      </c>
      <c r="N3655" t="s">
        <v>44759</v>
      </c>
      <c r="O3655" t="s">
        <v>44760</v>
      </c>
      <c r="P3655">
        <v>0</v>
      </c>
      <c r="Q3655">
        <v>1</v>
      </c>
      <c r="R3655" t="s">
        <v>44762</v>
      </c>
      <c r="S3655" t="s">
        <v>44863</v>
      </c>
      <c r="T3655" t="s">
        <v>46593</v>
      </c>
      <c r="U3655" t="s">
        <v>50046</v>
      </c>
      <c r="V3655" t="s">
        <v>59531</v>
      </c>
      <c r="W3655" t="s">
        <v>42141</v>
      </c>
      <c r="X3655" t="s">
        <v>44763</v>
      </c>
    </row>
    <row r="3656" spans="1:24">
      <c r="A3656">
        <f>HYPERLINK("https://www.philgeps.gov.ph/GEPSNONPILOT/Tender/SplashBidNoticeAbstractUI.aspx?menuIndex=3&amp;refID=7150197&amp;Result=3","7150197")</f>
        <v>0</v>
      </c>
      <c r="B3656" t="s">
        <v>1501</v>
      </c>
      <c r="C3656" t="s">
        <v>7242</v>
      </c>
      <c r="D3656" t="s">
        <v>18002</v>
      </c>
      <c r="E3656" t="s">
        <v>21326</v>
      </c>
      <c r="F3656" t="s">
        <v>30900</v>
      </c>
      <c r="G3656" t="s">
        <v>30908</v>
      </c>
      <c r="H3656" t="s">
        <v>30916</v>
      </c>
      <c r="I3656" t="s">
        <v>31001</v>
      </c>
      <c r="J3656" t="s">
        <v>31049</v>
      </c>
      <c r="K3656" t="s">
        <v>40287</v>
      </c>
      <c r="M3656" t="s">
        <v>42142</v>
      </c>
      <c r="N3656" t="s">
        <v>44759</v>
      </c>
      <c r="O3656" t="s">
        <v>44760</v>
      </c>
      <c r="P3656">
        <v>0</v>
      </c>
      <c r="Q3656">
        <v>0</v>
      </c>
      <c r="R3656" t="s">
        <v>44762</v>
      </c>
      <c r="S3656" t="s">
        <v>44863</v>
      </c>
      <c r="T3656" t="s">
        <v>46414</v>
      </c>
      <c r="U3656" t="s">
        <v>47829</v>
      </c>
      <c r="W3656" t="s">
        <v>42142</v>
      </c>
      <c r="X3656" t="s">
        <v>44763</v>
      </c>
    </row>
    <row r="3657" spans="1:24">
      <c r="A3657">
        <f>HYPERLINK("https://www.philgeps.gov.ph/GEPSNONPILOT/Tender/SplashBidNoticeAbstractUI.aspx?menuIndex=3&amp;refID=7150228&amp;Result=3","7150228")</f>
        <v>0</v>
      </c>
      <c r="B3657" t="s">
        <v>824</v>
      </c>
      <c r="C3657" t="s">
        <v>5585</v>
      </c>
      <c r="D3657" t="s">
        <v>17962</v>
      </c>
      <c r="E3657" t="s">
        <v>21327</v>
      </c>
      <c r="F3657" t="s">
        <v>30900</v>
      </c>
      <c r="G3657" t="s">
        <v>30908</v>
      </c>
      <c r="H3657" t="s">
        <v>30916</v>
      </c>
      <c r="I3657" t="s">
        <v>30926</v>
      </c>
      <c r="J3657" t="s">
        <v>33602</v>
      </c>
      <c r="K3657" t="s">
        <v>40286</v>
      </c>
      <c r="M3657" t="s">
        <v>41396</v>
      </c>
      <c r="N3657" t="s">
        <v>44759</v>
      </c>
      <c r="O3657" t="s">
        <v>44760</v>
      </c>
      <c r="P3657">
        <v>0</v>
      </c>
      <c r="Q3657">
        <v>0</v>
      </c>
      <c r="R3657" t="s">
        <v>44762</v>
      </c>
      <c r="S3657" t="s">
        <v>44863</v>
      </c>
      <c r="T3657" t="s">
        <v>46363</v>
      </c>
      <c r="U3657" t="s">
        <v>48418</v>
      </c>
      <c r="W3657" t="s">
        <v>41396</v>
      </c>
      <c r="X3657" t="s">
        <v>44763</v>
      </c>
    </row>
    <row r="3658" spans="1:24">
      <c r="A3658">
        <f>HYPERLINK("https://www.philgeps.gov.ph/GEPSNONPILOT/Tender/SplashBidNoticeAbstractUI.aspx?menuIndex=3&amp;refID=7150235&amp;Result=3","7150235")</f>
        <v>0</v>
      </c>
      <c r="B3658" t="s">
        <v>1281</v>
      </c>
      <c r="C3658" t="s">
        <v>7243</v>
      </c>
      <c r="D3658" t="s">
        <v>17966</v>
      </c>
      <c r="E3658" t="s">
        <v>21328</v>
      </c>
      <c r="F3658" t="s">
        <v>30900</v>
      </c>
      <c r="G3658" t="s">
        <v>30907</v>
      </c>
      <c r="H3658" t="s">
        <v>30915</v>
      </c>
      <c r="I3658" t="s">
        <v>30919</v>
      </c>
      <c r="J3658" t="s">
        <v>33529</v>
      </c>
      <c r="K3658" t="s">
        <v>40293</v>
      </c>
      <c r="M3658" t="s">
        <v>41898</v>
      </c>
      <c r="N3658" t="s">
        <v>44759</v>
      </c>
      <c r="O3658" t="s">
        <v>44760</v>
      </c>
      <c r="P3658">
        <v>0</v>
      </c>
      <c r="Q3658">
        <v>1</v>
      </c>
      <c r="R3658" t="s">
        <v>44762</v>
      </c>
      <c r="S3658" t="s">
        <v>44863</v>
      </c>
      <c r="T3658" t="s">
        <v>46465</v>
      </c>
      <c r="U3658" t="s">
        <v>50047</v>
      </c>
      <c r="W3658" t="s">
        <v>60856</v>
      </c>
      <c r="X3658" t="s">
        <v>44763</v>
      </c>
    </row>
    <row r="3659" spans="1:24">
      <c r="A3659">
        <f>HYPERLINK("https://www.philgeps.gov.ph/GEPSNONPILOT/Tender/SplashBidNoticeAbstractUI.aspx?menuIndex=3&amp;refID=7150234&amp;Result=3","7150234")</f>
        <v>0</v>
      </c>
      <c r="B3659" t="s">
        <v>411</v>
      </c>
      <c r="C3659" t="s">
        <v>7244</v>
      </c>
      <c r="D3659" t="s">
        <v>17959</v>
      </c>
      <c r="E3659" t="s">
        <v>21329</v>
      </c>
      <c r="F3659" t="s">
        <v>30900</v>
      </c>
      <c r="G3659" t="s">
        <v>30908</v>
      </c>
      <c r="H3659" t="s">
        <v>30916</v>
      </c>
      <c r="I3659" t="s">
        <v>30922</v>
      </c>
      <c r="J3659" t="s">
        <v>31931</v>
      </c>
      <c r="K3659" t="s">
        <v>40283</v>
      </c>
      <c r="M3659" t="s">
        <v>40967</v>
      </c>
      <c r="N3659" t="s">
        <v>44759</v>
      </c>
      <c r="O3659" t="s">
        <v>44760</v>
      </c>
      <c r="P3659">
        <v>0</v>
      </c>
      <c r="Q3659">
        <v>0</v>
      </c>
      <c r="R3659" t="s">
        <v>44762</v>
      </c>
      <c r="S3659" t="s">
        <v>44863</v>
      </c>
      <c r="T3659" t="s">
        <v>46424</v>
      </c>
      <c r="U3659" t="s">
        <v>48294</v>
      </c>
      <c r="V3659" t="s">
        <v>59532</v>
      </c>
      <c r="W3659" t="s">
        <v>40967</v>
      </c>
      <c r="X3659" t="s">
        <v>44763</v>
      </c>
    </row>
    <row r="3660" spans="1:24">
      <c r="A3660">
        <f>HYPERLINK("https://www.philgeps.gov.ph/GEPSNONPILOT/Tender/SplashBidNoticeAbstractUI.aspx?menuIndex=3&amp;refID=7150231&amp;Result=3","7150231")</f>
        <v>0</v>
      </c>
      <c r="B3660" t="s">
        <v>593</v>
      </c>
      <c r="C3660" t="s">
        <v>7245</v>
      </c>
      <c r="D3660" t="s">
        <v>18031</v>
      </c>
      <c r="E3660" t="s">
        <v>21330</v>
      </c>
      <c r="F3660" t="s">
        <v>30900</v>
      </c>
      <c r="G3660" t="s">
        <v>30908</v>
      </c>
      <c r="H3660" t="s">
        <v>30916</v>
      </c>
      <c r="I3660" t="s">
        <v>30939</v>
      </c>
      <c r="J3660" t="s">
        <v>33603</v>
      </c>
      <c r="K3660" t="s">
        <v>40285</v>
      </c>
      <c r="M3660" t="s">
        <v>41155</v>
      </c>
      <c r="N3660" t="s">
        <v>44759</v>
      </c>
      <c r="O3660" t="s">
        <v>44760</v>
      </c>
      <c r="P3660">
        <v>0</v>
      </c>
      <c r="Q3660">
        <v>0</v>
      </c>
      <c r="R3660" t="s">
        <v>44762</v>
      </c>
      <c r="S3660" t="s">
        <v>44863</v>
      </c>
      <c r="T3660" t="s">
        <v>46379</v>
      </c>
      <c r="U3660" t="s">
        <v>50048</v>
      </c>
      <c r="W3660" t="s">
        <v>41155</v>
      </c>
      <c r="X3660" t="s">
        <v>44763</v>
      </c>
    </row>
    <row r="3661" spans="1:24">
      <c r="A3661">
        <f>HYPERLINK("https://www.philgeps.gov.ph/GEPSNONPILOT/Tender/SplashBidNoticeAbstractUI.aspx?menuIndex=3&amp;refID=7150230&amp;Result=3","7150230")</f>
        <v>0</v>
      </c>
      <c r="B3661" t="s">
        <v>1203</v>
      </c>
      <c r="C3661" t="s">
        <v>7246</v>
      </c>
      <c r="D3661" t="s">
        <v>17953</v>
      </c>
      <c r="E3661" t="s">
        <v>21331</v>
      </c>
      <c r="F3661" t="s">
        <v>30900</v>
      </c>
      <c r="G3661" t="s">
        <v>30907</v>
      </c>
      <c r="H3661" t="s">
        <v>30916</v>
      </c>
      <c r="I3661" t="s">
        <v>8123</v>
      </c>
      <c r="J3661" t="s">
        <v>33604</v>
      </c>
      <c r="K3661" t="s">
        <v>40289</v>
      </c>
      <c r="M3661" t="s">
        <v>41814</v>
      </c>
      <c r="N3661" t="s">
        <v>44759</v>
      </c>
      <c r="O3661" t="s">
        <v>44760</v>
      </c>
      <c r="P3661">
        <v>0</v>
      </c>
      <c r="Q3661">
        <v>0</v>
      </c>
      <c r="R3661" t="s">
        <v>44762</v>
      </c>
      <c r="S3661" t="s">
        <v>44863</v>
      </c>
      <c r="T3661" t="s">
        <v>46387</v>
      </c>
      <c r="U3661" t="s">
        <v>50049</v>
      </c>
      <c r="V3661" t="s">
        <v>59431</v>
      </c>
      <c r="W3661" t="s">
        <v>41814</v>
      </c>
      <c r="X3661" t="s">
        <v>44763</v>
      </c>
    </row>
    <row r="3662" spans="1:24">
      <c r="A3662">
        <f>HYPERLINK("https://www.philgeps.gov.ph/GEPSNONPILOT/Tender/SplashBidNoticeAbstractUI.aspx?menuIndex=3&amp;refID=7150191&amp;Result=3","7150191")</f>
        <v>0</v>
      </c>
      <c r="B3662" t="s">
        <v>1502</v>
      </c>
      <c r="C3662" t="s">
        <v>7247</v>
      </c>
      <c r="D3662" t="s">
        <v>17984</v>
      </c>
      <c r="E3662" t="s">
        <v>20229</v>
      </c>
      <c r="F3662" t="s">
        <v>30900</v>
      </c>
      <c r="G3662" t="s">
        <v>30910</v>
      </c>
      <c r="H3662" t="s">
        <v>30916</v>
      </c>
      <c r="I3662" t="s">
        <v>30922</v>
      </c>
      <c r="J3662" t="s">
        <v>33605</v>
      </c>
      <c r="K3662" t="s">
        <v>40280</v>
      </c>
      <c r="M3662" t="s">
        <v>42143</v>
      </c>
      <c r="N3662" t="s">
        <v>44759</v>
      </c>
      <c r="O3662" t="s">
        <v>44760</v>
      </c>
      <c r="P3662">
        <v>0</v>
      </c>
      <c r="Q3662">
        <v>4</v>
      </c>
      <c r="R3662" t="s">
        <v>44762</v>
      </c>
      <c r="S3662" t="s">
        <v>44863</v>
      </c>
      <c r="T3662" t="s">
        <v>46390</v>
      </c>
      <c r="U3662" t="s">
        <v>50050</v>
      </c>
      <c r="W3662" t="s">
        <v>42143</v>
      </c>
      <c r="X3662" t="s">
        <v>44763</v>
      </c>
    </row>
    <row r="3663" spans="1:24">
      <c r="A3663">
        <f>HYPERLINK("https://www.philgeps.gov.ph/GEPSNONPILOT/Tender/SplashBidNoticeAbstractUI.aspx?menuIndex=3&amp;refID=7150190&amp;Result=3","7150190")</f>
        <v>0</v>
      </c>
      <c r="B3663" t="s">
        <v>1155</v>
      </c>
      <c r="C3663" t="s">
        <v>7248</v>
      </c>
      <c r="D3663" t="s">
        <v>17968</v>
      </c>
      <c r="E3663" t="s">
        <v>21332</v>
      </c>
      <c r="F3663" t="s">
        <v>30900</v>
      </c>
      <c r="G3663" t="s">
        <v>30908</v>
      </c>
      <c r="H3663" t="s">
        <v>30916</v>
      </c>
      <c r="I3663" t="s">
        <v>4545</v>
      </c>
      <c r="J3663" t="s">
        <v>33606</v>
      </c>
      <c r="K3663" t="s">
        <v>40284</v>
      </c>
      <c r="M3663" t="s">
        <v>41761</v>
      </c>
      <c r="N3663" t="s">
        <v>44759</v>
      </c>
      <c r="O3663" t="s">
        <v>44760</v>
      </c>
      <c r="P3663">
        <v>0</v>
      </c>
      <c r="Q3663">
        <v>0</v>
      </c>
      <c r="R3663" t="s">
        <v>44762</v>
      </c>
      <c r="S3663" t="s">
        <v>44863</v>
      </c>
      <c r="T3663" t="s">
        <v>46414</v>
      </c>
      <c r="U3663" t="s">
        <v>50051</v>
      </c>
      <c r="W3663" t="s">
        <v>41761</v>
      </c>
      <c r="X3663" t="s">
        <v>44763</v>
      </c>
    </row>
    <row r="3664" spans="1:24">
      <c r="A3664">
        <f>HYPERLINK("https://www.philgeps.gov.ph/GEPSNONPILOT/Tender/SplashBidNoticeAbstractUI.aspx?menuIndex=3&amp;refID=7150227&amp;Result=3","7150227")</f>
        <v>0</v>
      </c>
      <c r="B3664" t="s">
        <v>753</v>
      </c>
      <c r="C3664" t="s">
        <v>7249</v>
      </c>
      <c r="D3664" t="s">
        <v>17976</v>
      </c>
      <c r="E3664" t="s">
        <v>21333</v>
      </c>
      <c r="F3664" t="s">
        <v>30900</v>
      </c>
      <c r="G3664" t="s">
        <v>30908</v>
      </c>
      <c r="H3664" t="s">
        <v>30916</v>
      </c>
      <c r="I3664" t="s">
        <v>10602</v>
      </c>
      <c r="J3664" t="s">
        <v>33607</v>
      </c>
      <c r="K3664" t="s">
        <v>40284</v>
      </c>
      <c r="L3664" t="s">
        <v>753</v>
      </c>
      <c r="M3664" t="s">
        <v>41317</v>
      </c>
      <c r="N3664" t="s">
        <v>44759</v>
      </c>
      <c r="O3664" t="s">
        <v>44760</v>
      </c>
      <c r="P3664">
        <v>0</v>
      </c>
      <c r="Q3664">
        <v>2</v>
      </c>
      <c r="R3664" t="s">
        <v>44762</v>
      </c>
      <c r="S3664" t="s">
        <v>44863</v>
      </c>
      <c r="T3664" t="s">
        <v>46379</v>
      </c>
      <c r="U3664" t="s">
        <v>50052</v>
      </c>
      <c r="V3664" t="s">
        <v>59527</v>
      </c>
      <c r="W3664" t="s">
        <v>41317</v>
      </c>
      <c r="X3664" t="s">
        <v>44763</v>
      </c>
    </row>
    <row r="3665" spans="1:24">
      <c r="A3665">
        <f>HYPERLINK("https://www.philgeps.gov.ph/GEPSNONPILOT/Tender/SplashBidNoticeAbstractUI.aspx?menuIndex=3&amp;refID=7150226&amp;Result=3","7150226")</f>
        <v>0</v>
      </c>
      <c r="B3665" t="s">
        <v>856</v>
      </c>
      <c r="C3665" t="s">
        <v>7250</v>
      </c>
      <c r="D3665" t="s">
        <v>17971</v>
      </c>
      <c r="E3665" t="s">
        <v>21334</v>
      </c>
      <c r="F3665" t="s">
        <v>30900</v>
      </c>
      <c r="G3665" t="s">
        <v>30907</v>
      </c>
      <c r="H3665" t="s">
        <v>30916</v>
      </c>
      <c r="I3665" t="s">
        <v>30921</v>
      </c>
      <c r="J3665" t="s">
        <v>33608</v>
      </c>
      <c r="K3665" t="s">
        <v>40286</v>
      </c>
      <c r="M3665" t="s">
        <v>41429</v>
      </c>
      <c r="N3665" t="s">
        <v>44759</v>
      </c>
      <c r="O3665" t="s">
        <v>44760</v>
      </c>
      <c r="P3665">
        <v>0</v>
      </c>
      <c r="Q3665">
        <v>6</v>
      </c>
      <c r="R3665" t="s">
        <v>44762</v>
      </c>
      <c r="S3665" t="s">
        <v>44863</v>
      </c>
      <c r="T3665" t="s">
        <v>46645</v>
      </c>
      <c r="U3665" t="s">
        <v>50053</v>
      </c>
      <c r="W3665" t="s">
        <v>41429</v>
      </c>
      <c r="X3665" t="s">
        <v>44763</v>
      </c>
    </row>
    <row r="3666" spans="1:24">
      <c r="A3666">
        <f>HYPERLINK("https://www.philgeps.gov.ph/GEPSNONPILOT/Tender/SplashBidNoticeAbstractUI.aspx?menuIndex=3&amp;refID=7150223&amp;Result=3","7150223")</f>
        <v>0</v>
      </c>
      <c r="B3666" t="s">
        <v>1503</v>
      </c>
      <c r="C3666" t="s">
        <v>5757</v>
      </c>
      <c r="D3666" t="s">
        <v>17963</v>
      </c>
      <c r="E3666" t="s">
        <v>21335</v>
      </c>
      <c r="F3666" t="s">
        <v>30900</v>
      </c>
      <c r="G3666" t="s">
        <v>30909</v>
      </c>
      <c r="H3666" t="s">
        <v>30916</v>
      </c>
      <c r="I3666" t="s">
        <v>30943</v>
      </c>
      <c r="J3666" t="s">
        <v>31767</v>
      </c>
      <c r="K3666" t="s">
        <v>40289</v>
      </c>
      <c r="M3666" t="s">
        <v>42144</v>
      </c>
      <c r="N3666" t="s">
        <v>44759</v>
      </c>
      <c r="O3666" t="s">
        <v>44760</v>
      </c>
      <c r="P3666">
        <v>0</v>
      </c>
      <c r="Q3666">
        <v>1</v>
      </c>
      <c r="R3666" t="s">
        <v>44762</v>
      </c>
      <c r="S3666" t="s">
        <v>44863</v>
      </c>
      <c r="T3666" t="s">
        <v>46414</v>
      </c>
      <c r="U3666" t="s">
        <v>50054</v>
      </c>
      <c r="W3666" t="s">
        <v>42144</v>
      </c>
      <c r="X3666" t="s">
        <v>44763</v>
      </c>
    </row>
    <row r="3667" spans="1:24">
      <c r="A3667">
        <f>HYPERLINK("https://www.philgeps.gov.ph/GEPSNONPILOT/Tender/SplashBidNoticeAbstractUI.aspx?menuIndex=3&amp;refID=7150222&amp;Result=3","7150222")</f>
        <v>0</v>
      </c>
      <c r="B3667" t="s">
        <v>781</v>
      </c>
      <c r="C3667" t="s">
        <v>7251</v>
      </c>
      <c r="D3667" t="s">
        <v>17959</v>
      </c>
      <c r="E3667" t="s">
        <v>21336</v>
      </c>
      <c r="F3667" t="s">
        <v>30900</v>
      </c>
      <c r="G3667" t="s">
        <v>30909</v>
      </c>
      <c r="H3667" t="s">
        <v>30916</v>
      </c>
      <c r="I3667" t="s">
        <v>6396</v>
      </c>
      <c r="J3667" t="s">
        <v>33609</v>
      </c>
      <c r="K3667" t="s">
        <v>40284</v>
      </c>
      <c r="M3667" t="s">
        <v>42136</v>
      </c>
      <c r="N3667" t="s">
        <v>44759</v>
      </c>
      <c r="O3667" t="s">
        <v>44760</v>
      </c>
      <c r="P3667">
        <v>0</v>
      </c>
      <c r="Q3667">
        <v>0</v>
      </c>
      <c r="R3667" t="s">
        <v>44762</v>
      </c>
      <c r="S3667" t="s">
        <v>44863</v>
      </c>
      <c r="T3667" t="s">
        <v>46568</v>
      </c>
      <c r="U3667" t="s">
        <v>50055</v>
      </c>
      <c r="V3667" t="s">
        <v>59530</v>
      </c>
      <c r="W3667" t="s">
        <v>42136</v>
      </c>
      <c r="X3667" t="s">
        <v>44763</v>
      </c>
    </row>
    <row r="3668" spans="1:24">
      <c r="A3668">
        <f>HYPERLINK("https://www.philgeps.gov.ph/GEPSNONPILOT/Tender/SplashBidNoticeAbstractUI.aspx?menuIndex=3&amp;refID=7150233&amp;Result=3","7150233")</f>
        <v>0</v>
      </c>
      <c r="B3668" t="s">
        <v>231</v>
      </c>
      <c r="C3668" t="s">
        <v>7252</v>
      </c>
      <c r="D3668" t="s">
        <v>17957</v>
      </c>
      <c r="E3668" t="s">
        <v>21337</v>
      </c>
      <c r="F3668" t="s">
        <v>30900</v>
      </c>
      <c r="G3668" t="s">
        <v>30908</v>
      </c>
      <c r="H3668" t="s">
        <v>30916</v>
      </c>
      <c r="I3668" t="s">
        <v>4108</v>
      </c>
      <c r="J3668" t="s">
        <v>33610</v>
      </c>
      <c r="K3668" t="s">
        <v>40294</v>
      </c>
      <c r="M3668" t="s">
        <v>40778</v>
      </c>
      <c r="N3668" t="s">
        <v>44759</v>
      </c>
      <c r="O3668" t="s">
        <v>44760</v>
      </c>
      <c r="P3668">
        <v>0</v>
      </c>
      <c r="Q3668">
        <v>3</v>
      </c>
      <c r="R3668" t="s">
        <v>44762</v>
      </c>
      <c r="S3668" t="s">
        <v>44863</v>
      </c>
      <c r="T3668" t="s">
        <v>46383</v>
      </c>
      <c r="U3668" t="s">
        <v>50056</v>
      </c>
      <c r="W3668" t="s">
        <v>40778</v>
      </c>
      <c r="X3668" t="s">
        <v>44763</v>
      </c>
    </row>
    <row r="3669" spans="1:24">
      <c r="A3669">
        <f>HYPERLINK("https://www.philgeps.gov.ph/GEPSNONPILOT/Tender/SplashBidNoticeAbstractUI.aspx?menuIndex=3&amp;refID=7150232&amp;Result=3","7150232")</f>
        <v>0</v>
      </c>
      <c r="B3669" t="s">
        <v>451</v>
      </c>
      <c r="C3669" t="s">
        <v>7253</v>
      </c>
      <c r="D3669" t="s">
        <v>17980</v>
      </c>
      <c r="E3669" t="s">
        <v>21338</v>
      </c>
      <c r="F3669" t="s">
        <v>30900</v>
      </c>
      <c r="G3669" t="s">
        <v>30908</v>
      </c>
      <c r="H3669" t="s">
        <v>30916</v>
      </c>
      <c r="I3669" t="s">
        <v>30923</v>
      </c>
      <c r="J3669" t="s">
        <v>32052</v>
      </c>
      <c r="K3669" t="s">
        <v>40283</v>
      </c>
      <c r="M3669" t="s">
        <v>42056</v>
      </c>
      <c r="N3669" t="s">
        <v>44759</v>
      </c>
      <c r="O3669" t="s">
        <v>44760</v>
      </c>
      <c r="P3669">
        <v>0</v>
      </c>
      <c r="Q3669">
        <v>2</v>
      </c>
      <c r="R3669" t="s">
        <v>44762</v>
      </c>
      <c r="S3669" t="s">
        <v>44863</v>
      </c>
      <c r="T3669" t="s">
        <v>46383</v>
      </c>
      <c r="U3669" t="s">
        <v>50057</v>
      </c>
      <c r="W3669" t="s">
        <v>42056</v>
      </c>
      <c r="X3669" t="s">
        <v>44763</v>
      </c>
    </row>
    <row r="3670" spans="1:24">
      <c r="A3670">
        <f>HYPERLINK("https://www.philgeps.gov.ph/GEPSNONPILOT/Tender/SplashBidNoticeAbstractUI.aspx?menuIndex=3&amp;refID=7150218&amp;Result=3","7150218")</f>
        <v>0</v>
      </c>
      <c r="B3670" t="s">
        <v>1504</v>
      </c>
      <c r="C3670" t="s">
        <v>7254</v>
      </c>
      <c r="D3670" t="s">
        <v>17952</v>
      </c>
      <c r="E3670" t="s">
        <v>18435</v>
      </c>
      <c r="F3670" t="s">
        <v>30899</v>
      </c>
      <c r="G3670" t="s">
        <v>30909</v>
      </c>
      <c r="H3670" t="s">
        <v>30916</v>
      </c>
      <c r="I3670" t="s">
        <v>30934</v>
      </c>
      <c r="J3670" t="s">
        <v>31518</v>
      </c>
      <c r="K3670" t="s">
        <v>40283</v>
      </c>
      <c r="M3670" t="s">
        <v>42145</v>
      </c>
      <c r="N3670" t="s">
        <v>44759</v>
      </c>
      <c r="O3670" t="s">
        <v>44760</v>
      </c>
      <c r="P3670">
        <v>0</v>
      </c>
      <c r="Q3670">
        <v>0</v>
      </c>
      <c r="R3670" t="s">
        <v>44762</v>
      </c>
      <c r="S3670" t="s">
        <v>44863</v>
      </c>
      <c r="T3670" t="s">
        <v>46646</v>
      </c>
      <c r="U3670" t="s">
        <v>50058</v>
      </c>
      <c r="W3670" t="s">
        <v>42145</v>
      </c>
      <c r="X3670" t="s">
        <v>44763</v>
      </c>
    </row>
    <row r="3671" spans="1:24">
      <c r="A3671">
        <f>HYPERLINK("https://www.philgeps.gov.ph/GEPSNONPILOT/Tender/SplashBidNoticeAbstractUI.aspx?menuIndex=3&amp;refID=7150193&amp;Result=3","7150193")</f>
        <v>0</v>
      </c>
      <c r="B3671" t="s">
        <v>1281</v>
      </c>
      <c r="C3671" t="s">
        <v>7255</v>
      </c>
      <c r="D3671" t="s">
        <v>17966</v>
      </c>
      <c r="E3671" t="s">
        <v>21339</v>
      </c>
      <c r="F3671" t="s">
        <v>30900</v>
      </c>
      <c r="G3671" t="s">
        <v>30907</v>
      </c>
      <c r="H3671" t="s">
        <v>30915</v>
      </c>
      <c r="I3671" t="s">
        <v>30919</v>
      </c>
      <c r="J3671" t="s">
        <v>33529</v>
      </c>
      <c r="K3671" t="s">
        <v>40293</v>
      </c>
      <c r="M3671" t="s">
        <v>41898</v>
      </c>
      <c r="N3671" t="s">
        <v>44759</v>
      </c>
      <c r="O3671" t="s">
        <v>44760</v>
      </c>
      <c r="P3671">
        <v>0</v>
      </c>
      <c r="Q3671">
        <v>0</v>
      </c>
      <c r="R3671" t="s">
        <v>44762</v>
      </c>
      <c r="S3671" t="s">
        <v>44863</v>
      </c>
      <c r="T3671" t="s">
        <v>46647</v>
      </c>
      <c r="U3671" t="s">
        <v>50059</v>
      </c>
      <c r="W3671" t="s">
        <v>60856</v>
      </c>
      <c r="X3671" t="s">
        <v>44763</v>
      </c>
    </row>
    <row r="3672" spans="1:24">
      <c r="A3672">
        <f>HYPERLINK("https://www.philgeps.gov.ph/GEPSNONPILOT/Tender/SplashBidNoticeAbstractUI.aspx?menuIndex=3&amp;refID=7150214&amp;Result=3","7150214")</f>
        <v>0</v>
      </c>
      <c r="B3672" t="s">
        <v>1485</v>
      </c>
      <c r="C3672" t="s">
        <v>7256</v>
      </c>
      <c r="D3672" t="s">
        <v>17973</v>
      </c>
      <c r="E3672" t="s">
        <v>21340</v>
      </c>
      <c r="F3672" t="s">
        <v>30900</v>
      </c>
      <c r="G3672" t="s">
        <v>30910</v>
      </c>
      <c r="H3672" t="s">
        <v>30916</v>
      </c>
      <c r="I3672" t="s">
        <v>6396</v>
      </c>
      <c r="J3672" t="s">
        <v>33611</v>
      </c>
      <c r="K3672" t="s">
        <v>40281</v>
      </c>
      <c r="M3672" t="s">
        <v>42121</v>
      </c>
      <c r="N3672" t="s">
        <v>44759</v>
      </c>
      <c r="O3672" t="s">
        <v>44760</v>
      </c>
      <c r="P3672">
        <v>0</v>
      </c>
      <c r="Q3672">
        <v>6</v>
      </c>
      <c r="R3672" t="s">
        <v>44762</v>
      </c>
      <c r="S3672" t="s">
        <v>44863</v>
      </c>
      <c r="T3672" t="s">
        <v>46383</v>
      </c>
      <c r="U3672" t="s">
        <v>50060</v>
      </c>
      <c r="W3672" t="s">
        <v>42121</v>
      </c>
      <c r="X3672" t="s">
        <v>44763</v>
      </c>
    </row>
    <row r="3673" spans="1:24">
      <c r="A3673">
        <f>HYPERLINK("https://www.philgeps.gov.ph/GEPSNONPILOT/Tender/SplashBidNoticeAbstractUI.aspx?menuIndex=3&amp;refID=7150212&amp;Result=3","7150212")</f>
        <v>0</v>
      </c>
      <c r="B3673" t="s">
        <v>1296</v>
      </c>
      <c r="C3673" t="s">
        <v>7257</v>
      </c>
      <c r="D3673" t="s">
        <v>18019</v>
      </c>
      <c r="E3673" t="s">
        <v>21341</v>
      </c>
      <c r="F3673" t="s">
        <v>30900</v>
      </c>
      <c r="G3673" t="s">
        <v>30908</v>
      </c>
      <c r="H3673" t="s">
        <v>30916</v>
      </c>
      <c r="I3673" t="s">
        <v>5501</v>
      </c>
      <c r="J3673" t="s">
        <v>32712</v>
      </c>
      <c r="K3673" t="s">
        <v>40287</v>
      </c>
      <c r="M3673" t="s">
        <v>41913</v>
      </c>
      <c r="N3673" t="s">
        <v>44759</v>
      </c>
      <c r="O3673" t="s">
        <v>44760</v>
      </c>
      <c r="P3673">
        <v>0</v>
      </c>
      <c r="Q3673">
        <v>3</v>
      </c>
      <c r="R3673" t="s">
        <v>44762</v>
      </c>
      <c r="S3673" t="s">
        <v>44863</v>
      </c>
      <c r="T3673" t="s">
        <v>46457</v>
      </c>
      <c r="U3673" t="s">
        <v>49557</v>
      </c>
      <c r="V3673" t="s">
        <v>59501</v>
      </c>
      <c r="W3673" t="s">
        <v>41913</v>
      </c>
      <c r="X3673" t="s">
        <v>44763</v>
      </c>
    </row>
    <row r="3674" spans="1:24">
      <c r="A3674">
        <f>HYPERLINK("https://www.philgeps.gov.ph/GEPSNONPILOT/Tender/SplashBidNoticeAbstractUI.aspx?menuIndex=3&amp;refID=7150224&amp;Result=3","7150224")</f>
        <v>0</v>
      </c>
      <c r="B3674" t="s">
        <v>1423</v>
      </c>
      <c r="C3674" t="s">
        <v>7225</v>
      </c>
      <c r="D3674" t="s">
        <v>18013</v>
      </c>
      <c r="E3674" t="s">
        <v>21342</v>
      </c>
      <c r="F3674" t="s">
        <v>30900</v>
      </c>
      <c r="G3674" t="s">
        <v>30907</v>
      </c>
      <c r="H3674" t="s">
        <v>30916</v>
      </c>
      <c r="I3674" t="s">
        <v>9385</v>
      </c>
      <c r="J3674" t="s">
        <v>33612</v>
      </c>
      <c r="K3674" t="s">
        <v>40289</v>
      </c>
      <c r="M3674" t="s">
        <v>42130</v>
      </c>
      <c r="N3674" t="s">
        <v>44759</v>
      </c>
      <c r="O3674" t="s">
        <v>44760</v>
      </c>
      <c r="P3674">
        <v>0</v>
      </c>
      <c r="Q3674">
        <v>8</v>
      </c>
      <c r="R3674" t="s">
        <v>44762</v>
      </c>
      <c r="S3674" t="s">
        <v>44863</v>
      </c>
      <c r="T3674" t="s">
        <v>46371</v>
      </c>
      <c r="U3674" t="s">
        <v>50061</v>
      </c>
      <c r="W3674" t="s">
        <v>42130</v>
      </c>
      <c r="X3674" t="s">
        <v>44763</v>
      </c>
    </row>
    <row r="3675" spans="1:24">
      <c r="A3675">
        <f>HYPERLINK("https://www.philgeps.gov.ph/GEPSNONPILOT/Tender/SplashBidNoticeAbstractUI.aspx?menuIndex=3&amp;refID=7150258&amp;Result=3","7150258")</f>
        <v>0</v>
      </c>
      <c r="B3675" t="s">
        <v>1505</v>
      </c>
      <c r="C3675" t="s">
        <v>7258</v>
      </c>
      <c r="D3675" t="s">
        <v>17959</v>
      </c>
      <c r="E3675" t="s">
        <v>21343</v>
      </c>
      <c r="F3675" t="s">
        <v>30899</v>
      </c>
      <c r="G3675" t="s">
        <v>30908</v>
      </c>
      <c r="H3675" t="s">
        <v>30916</v>
      </c>
      <c r="I3675" t="s">
        <v>5830</v>
      </c>
      <c r="J3675" t="s">
        <v>33613</v>
      </c>
      <c r="K3675" t="s">
        <v>40284</v>
      </c>
      <c r="M3675" t="s">
        <v>42146</v>
      </c>
      <c r="N3675" t="s">
        <v>44759</v>
      </c>
      <c r="O3675" t="s">
        <v>44760</v>
      </c>
      <c r="P3675">
        <v>0</v>
      </c>
      <c r="Q3675">
        <v>4</v>
      </c>
      <c r="R3675" t="s">
        <v>44762</v>
      </c>
      <c r="S3675" t="s">
        <v>44863</v>
      </c>
      <c r="T3675" t="s">
        <v>46442</v>
      </c>
      <c r="U3675" t="s">
        <v>50062</v>
      </c>
      <c r="W3675" t="s">
        <v>42146</v>
      </c>
      <c r="X3675" t="s">
        <v>44763</v>
      </c>
    </row>
    <row r="3676" spans="1:24">
      <c r="A3676">
        <f>HYPERLINK("https://www.philgeps.gov.ph/GEPSNONPILOT/Tender/SplashBidNoticeAbstractUI.aspx?menuIndex=3&amp;refID=7150257&amp;Result=3","7150257")</f>
        <v>0</v>
      </c>
      <c r="B3676" t="s">
        <v>1506</v>
      </c>
      <c r="C3676" t="s">
        <v>7259</v>
      </c>
      <c r="D3676" t="s">
        <v>18001</v>
      </c>
      <c r="E3676" t="s">
        <v>21344</v>
      </c>
      <c r="F3676" t="s">
        <v>30900</v>
      </c>
      <c r="G3676" t="s">
        <v>30908</v>
      </c>
      <c r="H3676" t="s">
        <v>30916</v>
      </c>
      <c r="I3676" t="s">
        <v>30921</v>
      </c>
      <c r="J3676" t="s">
        <v>31112</v>
      </c>
      <c r="K3676" t="s">
        <v>40287</v>
      </c>
      <c r="M3676" t="s">
        <v>42147</v>
      </c>
      <c r="N3676" t="s">
        <v>44759</v>
      </c>
      <c r="O3676" t="s">
        <v>44760</v>
      </c>
      <c r="P3676">
        <v>0</v>
      </c>
      <c r="Q3676">
        <v>0</v>
      </c>
      <c r="R3676" t="s">
        <v>44762</v>
      </c>
      <c r="S3676" t="s">
        <v>44863</v>
      </c>
      <c r="T3676" t="s">
        <v>46474</v>
      </c>
      <c r="U3676" t="s">
        <v>50063</v>
      </c>
      <c r="W3676" t="s">
        <v>42147</v>
      </c>
      <c r="X3676" t="s">
        <v>44763</v>
      </c>
    </row>
    <row r="3677" spans="1:24">
      <c r="A3677">
        <f>HYPERLINK("https://www.philgeps.gov.ph/GEPSNONPILOT/Tender/SplashBidNoticeAbstractUI.aspx?menuIndex=3&amp;refID=7150220&amp;Result=3","7150220")</f>
        <v>0</v>
      </c>
      <c r="B3677" t="s">
        <v>1393</v>
      </c>
      <c r="C3677" t="s">
        <v>7260</v>
      </c>
      <c r="E3677" t="s">
        <v>21345</v>
      </c>
      <c r="F3677" t="s">
        <v>30900</v>
      </c>
      <c r="G3677" t="s">
        <v>30908</v>
      </c>
      <c r="H3677" t="s">
        <v>30916</v>
      </c>
      <c r="I3677" t="s">
        <v>30965</v>
      </c>
      <c r="J3677" t="s">
        <v>32102</v>
      </c>
      <c r="K3677" t="s">
        <v>40289</v>
      </c>
      <c r="M3677" t="s">
        <v>42018</v>
      </c>
      <c r="N3677" t="s">
        <v>44759</v>
      </c>
      <c r="O3677" t="s">
        <v>44760</v>
      </c>
      <c r="P3677">
        <v>0</v>
      </c>
      <c r="Q3677">
        <v>3</v>
      </c>
      <c r="R3677" t="s">
        <v>44762</v>
      </c>
      <c r="S3677" t="s">
        <v>44863</v>
      </c>
      <c r="T3677" t="s">
        <v>46379</v>
      </c>
      <c r="U3677" t="s">
        <v>47043</v>
      </c>
      <c r="W3677" t="s">
        <v>42018</v>
      </c>
      <c r="X3677" t="s">
        <v>44763</v>
      </c>
    </row>
    <row r="3678" spans="1:24">
      <c r="A3678">
        <f>HYPERLINK("https://www.philgeps.gov.ph/GEPSNONPILOT/Tender/SplashBidNoticeAbstractUI.aspx?menuIndex=3&amp;refID=7150256&amp;Result=3","7150256")</f>
        <v>0</v>
      </c>
      <c r="B3678" t="s">
        <v>1507</v>
      </c>
      <c r="C3678" t="s">
        <v>7261</v>
      </c>
      <c r="D3678" t="s">
        <v>17955</v>
      </c>
      <c r="E3678" t="s">
        <v>21346</v>
      </c>
      <c r="F3678" t="s">
        <v>30900</v>
      </c>
      <c r="G3678" t="s">
        <v>30907</v>
      </c>
      <c r="H3678" t="s">
        <v>30915</v>
      </c>
      <c r="I3678" t="s">
        <v>30919</v>
      </c>
      <c r="J3678" t="s">
        <v>31049</v>
      </c>
      <c r="K3678" t="s">
        <v>40284</v>
      </c>
      <c r="M3678" t="s">
        <v>42148</v>
      </c>
      <c r="N3678" t="s">
        <v>44759</v>
      </c>
      <c r="O3678" t="s">
        <v>44760</v>
      </c>
      <c r="P3678">
        <v>0</v>
      </c>
      <c r="Q3678">
        <v>0</v>
      </c>
      <c r="R3678" t="s">
        <v>44762</v>
      </c>
      <c r="S3678" t="s">
        <v>44863</v>
      </c>
      <c r="T3678" t="s">
        <v>46648</v>
      </c>
      <c r="U3678" t="s">
        <v>50064</v>
      </c>
      <c r="W3678" t="s">
        <v>42148</v>
      </c>
      <c r="X3678" t="s">
        <v>44763</v>
      </c>
    </row>
    <row r="3679" spans="1:24">
      <c r="A3679">
        <f>HYPERLINK("https://www.philgeps.gov.ph/GEPSNONPILOT/Tender/SplashBidNoticeAbstractUI.aspx?menuIndex=3&amp;refID=7150255&amp;Result=3","7150255")</f>
        <v>0</v>
      </c>
      <c r="B3679" t="s">
        <v>1508</v>
      </c>
      <c r="C3679" t="s">
        <v>7262</v>
      </c>
      <c r="D3679" t="s">
        <v>17978</v>
      </c>
      <c r="E3679" t="s">
        <v>21347</v>
      </c>
      <c r="F3679" t="s">
        <v>30900</v>
      </c>
      <c r="G3679" t="s">
        <v>30908</v>
      </c>
      <c r="H3679" t="s">
        <v>30916</v>
      </c>
      <c r="I3679" t="s">
        <v>5501</v>
      </c>
      <c r="J3679" t="s">
        <v>33614</v>
      </c>
      <c r="K3679" t="s">
        <v>40283</v>
      </c>
      <c r="M3679" t="s">
        <v>42149</v>
      </c>
      <c r="N3679" t="s">
        <v>44759</v>
      </c>
      <c r="O3679" t="s">
        <v>44760</v>
      </c>
      <c r="P3679">
        <v>0</v>
      </c>
      <c r="Q3679">
        <v>1</v>
      </c>
      <c r="R3679" t="s">
        <v>44762</v>
      </c>
      <c r="S3679" t="s">
        <v>44863</v>
      </c>
      <c r="T3679" t="s">
        <v>46414</v>
      </c>
      <c r="U3679" t="s">
        <v>50065</v>
      </c>
      <c r="W3679" t="s">
        <v>42149</v>
      </c>
      <c r="X3679" t="s">
        <v>44763</v>
      </c>
    </row>
    <row r="3680" spans="1:24">
      <c r="A3680">
        <f>HYPERLINK("https://www.philgeps.gov.ph/GEPSNONPILOT/Tender/SplashBidNoticeAbstractUI.aspx?menuIndex=3&amp;refID=7150217&amp;Result=3","7150217")</f>
        <v>0</v>
      </c>
      <c r="B3680" t="s">
        <v>753</v>
      </c>
      <c r="C3680" t="s">
        <v>7263</v>
      </c>
      <c r="D3680" t="s">
        <v>17976</v>
      </c>
      <c r="E3680" t="s">
        <v>21348</v>
      </c>
      <c r="F3680" t="s">
        <v>30900</v>
      </c>
      <c r="G3680" t="s">
        <v>30908</v>
      </c>
      <c r="H3680" t="s">
        <v>30916</v>
      </c>
      <c r="I3680" t="s">
        <v>5501</v>
      </c>
      <c r="J3680" t="s">
        <v>33615</v>
      </c>
      <c r="K3680" t="s">
        <v>40284</v>
      </c>
      <c r="L3680" t="s">
        <v>753</v>
      </c>
      <c r="M3680" t="s">
        <v>41317</v>
      </c>
      <c r="N3680" t="s">
        <v>44759</v>
      </c>
      <c r="O3680" t="s">
        <v>44760</v>
      </c>
      <c r="P3680">
        <v>0</v>
      </c>
      <c r="Q3680">
        <v>0</v>
      </c>
      <c r="R3680" t="s">
        <v>44762</v>
      </c>
      <c r="S3680" t="s">
        <v>44863</v>
      </c>
      <c r="T3680" t="s">
        <v>46379</v>
      </c>
      <c r="U3680" t="s">
        <v>48259</v>
      </c>
      <c r="V3680" t="s">
        <v>59527</v>
      </c>
      <c r="W3680" t="s">
        <v>41317</v>
      </c>
      <c r="X3680" t="s">
        <v>44763</v>
      </c>
    </row>
    <row r="3681" spans="1:24">
      <c r="A3681">
        <f>HYPERLINK("https://www.philgeps.gov.ph/GEPSNONPILOT/Tender/SplashBidNoticeAbstractUI.aspx?menuIndex=3&amp;refID=7150254&amp;Result=3","7150254")</f>
        <v>0</v>
      </c>
      <c r="B3681" t="s">
        <v>1509</v>
      </c>
      <c r="C3681" t="s">
        <v>7264</v>
      </c>
      <c r="D3681" t="s">
        <v>17973</v>
      </c>
      <c r="E3681" t="s">
        <v>21349</v>
      </c>
      <c r="F3681" t="s">
        <v>30900</v>
      </c>
      <c r="G3681" t="s">
        <v>30907</v>
      </c>
      <c r="H3681" t="s">
        <v>30916</v>
      </c>
      <c r="I3681" t="s">
        <v>30949</v>
      </c>
      <c r="J3681" t="s">
        <v>33616</v>
      </c>
      <c r="K3681" t="s">
        <v>40289</v>
      </c>
      <c r="M3681" t="s">
        <v>42150</v>
      </c>
      <c r="N3681" t="s">
        <v>44759</v>
      </c>
      <c r="O3681" t="s">
        <v>44760</v>
      </c>
      <c r="P3681">
        <v>0</v>
      </c>
      <c r="Q3681">
        <v>3</v>
      </c>
      <c r="R3681" t="s">
        <v>44762</v>
      </c>
      <c r="S3681" t="s">
        <v>44863</v>
      </c>
      <c r="T3681" t="s">
        <v>46350</v>
      </c>
      <c r="U3681" t="s">
        <v>50066</v>
      </c>
      <c r="W3681" t="s">
        <v>42150</v>
      </c>
      <c r="X3681" t="s">
        <v>44763</v>
      </c>
    </row>
    <row r="3682" spans="1:24">
      <c r="A3682">
        <f>HYPERLINK("https://www.philgeps.gov.ph/GEPSNONPILOT/Tender/SplashBidNoticeAbstractUI.aspx?menuIndex=3&amp;refID=7150251&amp;Result=3","7150251")</f>
        <v>0</v>
      </c>
      <c r="B3682" t="s">
        <v>1510</v>
      </c>
      <c r="C3682" t="s">
        <v>7265</v>
      </c>
      <c r="D3682" t="s">
        <v>17963</v>
      </c>
      <c r="E3682" t="s">
        <v>18169</v>
      </c>
      <c r="F3682" t="s">
        <v>30900</v>
      </c>
      <c r="G3682" t="s">
        <v>30907</v>
      </c>
      <c r="H3682" t="s">
        <v>30916</v>
      </c>
      <c r="I3682" t="s">
        <v>30927</v>
      </c>
      <c r="J3682" t="s">
        <v>31096</v>
      </c>
      <c r="K3682" t="s">
        <v>40289</v>
      </c>
      <c r="M3682" t="s">
        <v>42151</v>
      </c>
      <c r="N3682" t="s">
        <v>44759</v>
      </c>
      <c r="O3682" t="s">
        <v>44760</v>
      </c>
      <c r="P3682">
        <v>0</v>
      </c>
      <c r="Q3682">
        <v>0</v>
      </c>
      <c r="R3682" t="s">
        <v>44762</v>
      </c>
      <c r="S3682" t="s">
        <v>44863</v>
      </c>
      <c r="T3682" t="s">
        <v>46409</v>
      </c>
      <c r="U3682" t="s">
        <v>50067</v>
      </c>
      <c r="W3682" t="s">
        <v>42151</v>
      </c>
      <c r="X3682" t="s">
        <v>44763</v>
      </c>
    </row>
    <row r="3683" spans="1:24">
      <c r="A3683">
        <f>HYPERLINK("https://www.philgeps.gov.ph/GEPSNONPILOT/Tender/SplashBidNoticeAbstractUI.aspx?menuIndex=3&amp;refID=7150250&amp;Result=3","7150250")</f>
        <v>0</v>
      </c>
      <c r="B3683" t="s">
        <v>753</v>
      </c>
      <c r="C3683" t="s">
        <v>7266</v>
      </c>
      <c r="D3683" t="s">
        <v>17976</v>
      </c>
      <c r="E3683" t="s">
        <v>21350</v>
      </c>
      <c r="F3683" t="s">
        <v>30900</v>
      </c>
      <c r="G3683" t="s">
        <v>30908</v>
      </c>
      <c r="H3683" t="s">
        <v>30916</v>
      </c>
      <c r="I3683" t="s">
        <v>30918</v>
      </c>
      <c r="J3683" t="s">
        <v>31898</v>
      </c>
      <c r="K3683" t="s">
        <v>40284</v>
      </c>
      <c r="L3683" t="s">
        <v>753</v>
      </c>
      <c r="M3683" t="s">
        <v>41317</v>
      </c>
      <c r="N3683" t="s">
        <v>44759</v>
      </c>
      <c r="O3683" t="s">
        <v>44760</v>
      </c>
      <c r="P3683">
        <v>0</v>
      </c>
      <c r="Q3683">
        <v>1</v>
      </c>
      <c r="R3683" t="s">
        <v>44762</v>
      </c>
      <c r="S3683" t="s">
        <v>44863</v>
      </c>
      <c r="T3683" t="s">
        <v>46379</v>
      </c>
      <c r="U3683" t="s">
        <v>48259</v>
      </c>
      <c r="V3683" t="s">
        <v>59527</v>
      </c>
      <c r="W3683" t="s">
        <v>41317</v>
      </c>
      <c r="X3683" t="s">
        <v>44763</v>
      </c>
    </row>
    <row r="3684" spans="1:24">
      <c r="A3684">
        <f>HYPERLINK("https://www.philgeps.gov.ph/GEPSNONPILOT/Tender/SplashBidNoticeAbstractUI.aspx?menuIndex=3&amp;refID=7150248&amp;Result=3","7150248")</f>
        <v>0</v>
      </c>
      <c r="B3684" t="s">
        <v>1511</v>
      </c>
      <c r="C3684" t="s">
        <v>7267</v>
      </c>
      <c r="D3684" t="s">
        <v>18019</v>
      </c>
      <c r="E3684" t="s">
        <v>21351</v>
      </c>
      <c r="F3684" t="s">
        <v>30900</v>
      </c>
      <c r="G3684" t="s">
        <v>30907</v>
      </c>
      <c r="H3684" t="s">
        <v>30916</v>
      </c>
      <c r="I3684" t="s">
        <v>30924</v>
      </c>
      <c r="J3684" t="s">
        <v>33617</v>
      </c>
      <c r="K3684" t="s">
        <v>40286</v>
      </c>
      <c r="M3684" t="s">
        <v>42152</v>
      </c>
      <c r="N3684" t="s">
        <v>44759</v>
      </c>
      <c r="O3684" t="s">
        <v>44760</v>
      </c>
      <c r="P3684">
        <v>0</v>
      </c>
      <c r="Q3684">
        <v>8</v>
      </c>
      <c r="R3684" t="s">
        <v>44762</v>
      </c>
      <c r="S3684" t="s">
        <v>44863</v>
      </c>
      <c r="T3684" t="s">
        <v>46377</v>
      </c>
      <c r="U3684" t="s">
        <v>50068</v>
      </c>
      <c r="W3684" t="s">
        <v>42152</v>
      </c>
      <c r="X3684" t="s">
        <v>44763</v>
      </c>
    </row>
    <row r="3685" spans="1:24">
      <c r="A3685">
        <f>HYPERLINK("https://www.philgeps.gov.ph/GEPSNONPILOT/Tender/SplashBidNoticeAbstractUI.aspx?menuIndex=3&amp;refID=7150247&amp;Result=3","7150247")</f>
        <v>0</v>
      </c>
      <c r="B3685" t="s">
        <v>593</v>
      </c>
      <c r="C3685" t="s">
        <v>7268</v>
      </c>
      <c r="D3685" t="s">
        <v>18031</v>
      </c>
      <c r="E3685" t="s">
        <v>21352</v>
      </c>
      <c r="F3685" t="s">
        <v>30900</v>
      </c>
      <c r="G3685" t="s">
        <v>30908</v>
      </c>
      <c r="H3685" t="s">
        <v>30916</v>
      </c>
      <c r="I3685" t="s">
        <v>30939</v>
      </c>
      <c r="J3685" t="s">
        <v>33618</v>
      </c>
      <c r="K3685" t="s">
        <v>40285</v>
      </c>
      <c r="M3685" t="s">
        <v>41155</v>
      </c>
      <c r="N3685" t="s">
        <v>44759</v>
      </c>
      <c r="O3685" t="s">
        <v>44760</v>
      </c>
      <c r="P3685">
        <v>0</v>
      </c>
      <c r="Q3685">
        <v>0</v>
      </c>
      <c r="R3685" t="s">
        <v>44762</v>
      </c>
      <c r="S3685" t="s">
        <v>44863</v>
      </c>
      <c r="T3685" t="s">
        <v>46379</v>
      </c>
      <c r="U3685" t="s">
        <v>50069</v>
      </c>
      <c r="W3685" t="s">
        <v>41155</v>
      </c>
      <c r="X3685" t="s">
        <v>44763</v>
      </c>
    </row>
    <row r="3686" spans="1:24">
      <c r="A3686">
        <f>HYPERLINK("https://www.philgeps.gov.ph/GEPSNONPILOT/Tender/SplashBidNoticeAbstractUI.aspx?menuIndex=3&amp;refID=7150246&amp;Result=3","7150246")</f>
        <v>0</v>
      </c>
      <c r="B3686" t="s">
        <v>115</v>
      </c>
      <c r="C3686" t="s">
        <v>7269</v>
      </c>
      <c r="D3686" t="s">
        <v>17960</v>
      </c>
      <c r="E3686" t="s">
        <v>19690</v>
      </c>
      <c r="F3686" t="s">
        <v>30900</v>
      </c>
      <c r="G3686" t="s">
        <v>30908</v>
      </c>
      <c r="H3686" t="s">
        <v>30916</v>
      </c>
      <c r="I3686" t="s">
        <v>10602</v>
      </c>
      <c r="J3686" t="s">
        <v>31050</v>
      </c>
      <c r="K3686" t="s">
        <v>40286</v>
      </c>
      <c r="M3686" t="s">
        <v>40662</v>
      </c>
      <c r="N3686" t="s">
        <v>44759</v>
      </c>
      <c r="O3686" t="s">
        <v>44760</v>
      </c>
      <c r="P3686">
        <v>0</v>
      </c>
      <c r="Q3686">
        <v>0</v>
      </c>
      <c r="R3686" t="s">
        <v>44762</v>
      </c>
      <c r="S3686" t="s">
        <v>44863</v>
      </c>
      <c r="T3686" t="s">
        <v>46414</v>
      </c>
      <c r="U3686" t="s">
        <v>50070</v>
      </c>
      <c r="W3686" t="s">
        <v>40662</v>
      </c>
      <c r="X3686" t="s">
        <v>44763</v>
      </c>
    </row>
    <row r="3687" spans="1:24">
      <c r="A3687">
        <f>HYPERLINK("https://www.philgeps.gov.ph/GEPSNONPILOT/Tender/SplashBidNoticeAbstractUI.aspx?menuIndex=3&amp;refID=7150245&amp;Result=3","7150245")</f>
        <v>0</v>
      </c>
      <c r="B3687" t="s">
        <v>1203</v>
      </c>
      <c r="C3687" t="s">
        <v>7270</v>
      </c>
      <c r="D3687" t="s">
        <v>17953</v>
      </c>
      <c r="E3687" t="s">
        <v>21353</v>
      </c>
      <c r="F3687" t="s">
        <v>30900</v>
      </c>
      <c r="G3687" t="s">
        <v>30907</v>
      </c>
      <c r="H3687" t="s">
        <v>30916</v>
      </c>
      <c r="I3687" t="s">
        <v>30927</v>
      </c>
      <c r="J3687" t="s">
        <v>32581</v>
      </c>
      <c r="K3687" t="s">
        <v>40289</v>
      </c>
      <c r="M3687" t="s">
        <v>41814</v>
      </c>
      <c r="N3687" t="s">
        <v>44759</v>
      </c>
      <c r="O3687" t="s">
        <v>44760</v>
      </c>
      <c r="P3687">
        <v>0</v>
      </c>
      <c r="Q3687">
        <v>0</v>
      </c>
      <c r="R3687" t="s">
        <v>44762</v>
      </c>
      <c r="S3687" t="s">
        <v>44863</v>
      </c>
      <c r="T3687" t="s">
        <v>46387</v>
      </c>
      <c r="U3687" t="s">
        <v>50071</v>
      </c>
      <c r="V3687" t="s">
        <v>59533</v>
      </c>
      <c r="W3687" t="s">
        <v>41814</v>
      </c>
      <c r="X3687" t="s">
        <v>44763</v>
      </c>
    </row>
    <row r="3688" spans="1:24">
      <c r="A3688">
        <f>HYPERLINK("https://www.philgeps.gov.ph/GEPSNONPILOT/Tender/SplashBidNoticeAbstractUI.aspx?menuIndex=3&amp;refID=7150252&amp;Result=3","7150252")</f>
        <v>0</v>
      </c>
      <c r="B3688" t="s">
        <v>1512</v>
      </c>
      <c r="C3688" t="s">
        <v>7271</v>
      </c>
      <c r="D3688" t="s">
        <v>17963</v>
      </c>
      <c r="E3688" t="s">
        <v>21354</v>
      </c>
      <c r="F3688" t="s">
        <v>30900</v>
      </c>
      <c r="G3688" t="s">
        <v>30907</v>
      </c>
      <c r="H3688" t="s">
        <v>30915</v>
      </c>
      <c r="I3688" t="s">
        <v>30919</v>
      </c>
      <c r="J3688" t="s">
        <v>33619</v>
      </c>
      <c r="K3688" t="s">
        <v>40389</v>
      </c>
      <c r="L3688" t="s">
        <v>1512</v>
      </c>
      <c r="M3688" t="s">
        <v>42153</v>
      </c>
      <c r="N3688" t="s">
        <v>44759</v>
      </c>
      <c r="O3688" t="s">
        <v>44760</v>
      </c>
      <c r="P3688">
        <v>0</v>
      </c>
      <c r="Q3688">
        <v>1</v>
      </c>
      <c r="R3688" t="s">
        <v>44762</v>
      </c>
      <c r="S3688" t="s">
        <v>44863</v>
      </c>
      <c r="T3688" t="s">
        <v>46475</v>
      </c>
      <c r="U3688" t="s">
        <v>50072</v>
      </c>
      <c r="W3688" t="s">
        <v>42153</v>
      </c>
      <c r="X3688" t="s">
        <v>44763</v>
      </c>
    </row>
    <row r="3689" spans="1:24">
      <c r="A3689">
        <f>HYPERLINK("https://www.philgeps.gov.ph/GEPSNONPILOT/Tender/SplashBidNoticeAbstractUI.aspx?menuIndex=3&amp;refID=7150213&amp;Result=3","7150213")</f>
        <v>0</v>
      </c>
      <c r="B3689" t="s">
        <v>1513</v>
      </c>
      <c r="C3689" t="s">
        <v>7272</v>
      </c>
      <c r="D3689" t="s">
        <v>17968</v>
      </c>
      <c r="E3689" t="s">
        <v>21355</v>
      </c>
      <c r="F3689" t="s">
        <v>30900</v>
      </c>
      <c r="G3689" t="s">
        <v>30908</v>
      </c>
      <c r="H3689" t="s">
        <v>30915</v>
      </c>
      <c r="I3689" t="s">
        <v>30919</v>
      </c>
      <c r="J3689" t="s">
        <v>33620</v>
      </c>
      <c r="K3689" t="s">
        <v>40286</v>
      </c>
      <c r="M3689" t="s">
        <v>42154</v>
      </c>
      <c r="N3689" t="s">
        <v>44759</v>
      </c>
      <c r="O3689" t="s">
        <v>44760</v>
      </c>
      <c r="P3689">
        <v>0</v>
      </c>
      <c r="Q3689">
        <v>1</v>
      </c>
      <c r="R3689" t="s">
        <v>44762</v>
      </c>
      <c r="S3689" t="s">
        <v>44863</v>
      </c>
      <c r="T3689" t="s">
        <v>46399</v>
      </c>
      <c r="U3689" t="s">
        <v>50073</v>
      </c>
      <c r="V3689" t="s">
        <v>59534</v>
      </c>
      <c r="W3689" t="s">
        <v>42154</v>
      </c>
      <c r="X3689" t="s">
        <v>44763</v>
      </c>
    </row>
    <row r="3690" spans="1:24">
      <c r="A3690">
        <f>HYPERLINK("https://www.philgeps.gov.ph/GEPSNONPILOT/Tender/SplashBidNoticeAbstractUI.aspx?menuIndex=3&amp;refID=7150240&amp;Result=3","7150240")</f>
        <v>0</v>
      </c>
      <c r="B3690" t="s">
        <v>753</v>
      </c>
      <c r="C3690" t="s">
        <v>7273</v>
      </c>
      <c r="D3690" t="s">
        <v>17976</v>
      </c>
      <c r="E3690" t="s">
        <v>21356</v>
      </c>
      <c r="F3690" t="s">
        <v>30900</v>
      </c>
      <c r="G3690" t="s">
        <v>30908</v>
      </c>
      <c r="H3690" t="s">
        <v>30916</v>
      </c>
      <c r="I3690" t="s">
        <v>30939</v>
      </c>
      <c r="J3690" t="s">
        <v>33621</v>
      </c>
      <c r="K3690" t="s">
        <v>40284</v>
      </c>
      <c r="L3690" t="s">
        <v>753</v>
      </c>
      <c r="M3690" t="s">
        <v>41317</v>
      </c>
      <c r="N3690" t="s">
        <v>44759</v>
      </c>
      <c r="O3690" t="s">
        <v>44760</v>
      </c>
      <c r="P3690">
        <v>0</v>
      </c>
      <c r="Q3690">
        <v>0</v>
      </c>
      <c r="R3690" t="s">
        <v>44762</v>
      </c>
      <c r="S3690" t="s">
        <v>44863</v>
      </c>
      <c r="T3690" t="s">
        <v>46379</v>
      </c>
      <c r="U3690" t="s">
        <v>50074</v>
      </c>
      <c r="V3690" t="s">
        <v>59527</v>
      </c>
      <c r="W3690" t="s">
        <v>41317</v>
      </c>
      <c r="X3690" t="s">
        <v>44763</v>
      </c>
    </row>
    <row r="3691" spans="1:24">
      <c r="A3691">
        <f>HYPERLINK("https://www.philgeps.gov.ph/GEPSNONPILOT/Tender/SplashBidNoticeAbstractUI.aspx?menuIndex=3&amp;refID=7150249&amp;Result=3","7150249")</f>
        <v>0</v>
      </c>
      <c r="B3691" t="s">
        <v>1423</v>
      </c>
      <c r="C3691" t="s">
        <v>4750</v>
      </c>
      <c r="D3691" t="s">
        <v>18013</v>
      </c>
      <c r="E3691" t="s">
        <v>21357</v>
      </c>
      <c r="F3691" t="s">
        <v>30900</v>
      </c>
      <c r="G3691" t="s">
        <v>30907</v>
      </c>
      <c r="H3691" t="s">
        <v>30916</v>
      </c>
      <c r="I3691" t="s">
        <v>5501</v>
      </c>
      <c r="J3691" t="s">
        <v>33622</v>
      </c>
      <c r="K3691" t="s">
        <v>40289</v>
      </c>
      <c r="M3691" t="s">
        <v>42130</v>
      </c>
      <c r="N3691" t="s">
        <v>44759</v>
      </c>
      <c r="O3691" t="s">
        <v>44760</v>
      </c>
      <c r="P3691">
        <v>0</v>
      </c>
      <c r="Q3691">
        <v>0</v>
      </c>
      <c r="R3691" t="s">
        <v>44762</v>
      </c>
      <c r="S3691" t="s">
        <v>44863</v>
      </c>
      <c r="T3691" t="s">
        <v>46371</v>
      </c>
      <c r="U3691" t="s">
        <v>50075</v>
      </c>
      <c r="W3691" t="s">
        <v>42130</v>
      </c>
      <c r="X3691" t="s">
        <v>44763</v>
      </c>
    </row>
    <row r="3692" spans="1:24">
      <c r="A3692">
        <f>HYPERLINK("https://www.philgeps.gov.ph/GEPSNONPILOT/Tender/SplashBidNoticeAbstractUI.aspx?menuIndex=3&amp;refID=7150239&amp;Result=3","7150239")</f>
        <v>0</v>
      </c>
      <c r="B3692" t="s">
        <v>1506</v>
      </c>
      <c r="C3692" t="s">
        <v>7274</v>
      </c>
      <c r="D3692" t="s">
        <v>18001</v>
      </c>
      <c r="E3692" t="s">
        <v>21358</v>
      </c>
      <c r="F3692" t="s">
        <v>30900</v>
      </c>
      <c r="G3692" t="s">
        <v>30908</v>
      </c>
      <c r="H3692" t="s">
        <v>30916</v>
      </c>
      <c r="I3692" t="s">
        <v>30950</v>
      </c>
      <c r="J3692" t="s">
        <v>33623</v>
      </c>
      <c r="K3692" t="s">
        <v>40287</v>
      </c>
      <c r="M3692" t="s">
        <v>42147</v>
      </c>
      <c r="N3692" t="s">
        <v>44759</v>
      </c>
      <c r="O3692" t="s">
        <v>44760</v>
      </c>
      <c r="P3692">
        <v>0</v>
      </c>
      <c r="Q3692">
        <v>3</v>
      </c>
      <c r="R3692" t="s">
        <v>44762</v>
      </c>
      <c r="S3692" t="s">
        <v>44863</v>
      </c>
      <c r="T3692" t="s">
        <v>46474</v>
      </c>
      <c r="U3692" t="s">
        <v>50063</v>
      </c>
      <c r="W3692" t="s">
        <v>42147</v>
      </c>
      <c r="X3692" t="s">
        <v>44763</v>
      </c>
    </row>
    <row r="3693" spans="1:24">
      <c r="A3693">
        <f>HYPERLINK("https://www.philgeps.gov.ph/GEPSNONPILOT/Tender/SplashBidNoticeAbstractUI.aspx?menuIndex=3&amp;refID=7150237&amp;Result=3","7150237")</f>
        <v>0</v>
      </c>
      <c r="B3693" t="s">
        <v>1393</v>
      </c>
      <c r="C3693" t="s">
        <v>7275</v>
      </c>
      <c r="E3693" t="s">
        <v>21359</v>
      </c>
      <c r="F3693" t="s">
        <v>30900</v>
      </c>
      <c r="G3693" t="s">
        <v>30908</v>
      </c>
      <c r="H3693" t="s">
        <v>30916</v>
      </c>
      <c r="I3693" t="s">
        <v>4142</v>
      </c>
      <c r="J3693" t="s">
        <v>33624</v>
      </c>
      <c r="K3693" t="s">
        <v>40289</v>
      </c>
      <c r="M3693" t="s">
        <v>42018</v>
      </c>
      <c r="N3693" t="s">
        <v>44759</v>
      </c>
      <c r="O3693" t="s">
        <v>44760</v>
      </c>
      <c r="P3693">
        <v>0</v>
      </c>
      <c r="Q3693">
        <v>0</v>
      </c>
      <c r="R3693" t="s">
        <v>44762</v>
      </c>
      <c r="S3693" t="s">
        <v>44863</v>
      </c>
      <c r="T3693" t="s">
        <v>46379</v>
      </c>
      <c r="U3693" t="s">
        <v>47043</v>
      </c>
      <c r="W3693" t="s">
        <v>42018</v>
      </c>
      <c r="X3693" t="s">
        <v>44763</v>
      </c>
    </row>
    <row r="3694" spans="1:24">
      <c r="A3694">
        <f>HYPERLINK("https://www.philgeps.gov.ph/GEPSNONPILOT/Tender/SplashBidNoticeAbstractUI.aspx?menuIndex=3&amp;refID=7150236&amp;Result=3","7150236")</f>
        <v>0</v>
      </c>
      <c r="B3694" t="s">
        <v>520</v>
      </c>
      <c r="C3694" t="s">
        <v>7276</v>
      </c>
      <c r="D3694" t="s">
        <v>18019</v>
      </c>
      <c r="E3694" t="s">
        <v>21360</v>
      </c>
      <c r="F3694" t="s">
        <v>30900</v>
      </c>
      <c r="G3694" t="s">
        <v>30907</v>
      </c>
      <c r="H3694" t="s">
        <v>30916</v>
      </c>
      <c r="I3694" t="s">
        <v>31015</v>
      </c>
      <c r="J3694" t="s">
        <v>31107</v>
      </c>
      <c r="K3694" t="s">
        <v>40283</v>
      </c>
      <c r="M3694" t="s">
        <v>41080</v>
      </c>
      <c r="N3694" t="s">
        <v>44759</v>
      </c>
      <c r="O3694" t="s">
        <v>44760</v>
      </c>
      <c r="P3694">
        <v>0</v>
      </c>
      <c r="Q3694">
        <v>0</v>
      </c>
      <c r="R3694" t="s">
        <v>44762</v>
      </c>
      <c r="S3694" t="s">
        <v>44863</v>
      </c>
      <c r="T3694" t="s">
        <v>46365</v>
      </c>
      <c r="U3694" t="s">
        <v>50076</v>
      </c>
      <c r="W3694" t="s">
        <v>41080</v>
      </c>
      <c r="X3694" t="s">
        <v>44763</v>
      </c>
    </row>
    <row r="3695" spans="1:24">
      <c r="A3695">
        <f>HYPERLINK("https://www.philgeps.gov.ph/GEPSNONPILOT/Tender/SplashBidNoticeAbstractUI.aspx?menuIndex=3&amp;refID=7150221&amp;Result=3","7150221")</f>
        <v>0</v>
      </c>
      <c r="B3695" t="s">
        <v>876</v>
      </c>
      <c r="C3695" t="s">
        <v>7277</v>
      </c>
      <c r="D3695" t="s">
        <v>17981</v>
      </c>
      <c r="E3695" t="s">
        <v>18983</v>
      </c>
      <c r="F3695" t="s">
        <v>30900</v>
      </c>
      <c r="G3695" t="s">
        <v>30910</v>
      </c>
      <c r="H3695" t="s">
        <v>30916</v>
      </c>
      <c r="I3695" t="s">
        <v>30994</v>
      </c>
      <c r="J3695" t="s">
        <v>33625</v>
      </c>
      <c r="K3695" t="s">
        <v>40285</v>
      </c>
      <c r="M3695" t="s">
        <v>41449</v>
      </c>
      <c r="N3695" t="s">
        <v>44759</v>
      </c>
      <c r="O3695" t="s">
        <v>44760</v>
      </c>
      <c r="P3695">
        <v>0</v>
      </c>
      <c r="Q3695">
        <v>2</v>
      </c>
      <c r="R3695" t="s">
        <v>44762</v>
      </c>
      <c r="S3695" t="s">
        <v>44863</v>
      </c>
      <c r="T3695" t="s">
        <v>46414</v>
      </c>
      <c r="U3695" t="s">
        <v>48517</v>
      </c>
      <c r="V3695" t="s">
        <v>59325</v>
      </c>
      <c r="W3695" t="s">
        <v>41449</v>
      </c>
      <c r="X3695" t="s">
        <v>44763</v>
      </c>
    </row>
    <row r="3696" spans="1:24">
      <c r="A3696">
        <f>HYPERLINK("https://www.philgeps.gov.ph/GEPSNONPILOT/Tender/SplashBidNoticeAbstractUI.aspx?menuIndex=3&amp;refID=7150210&amp;Result=3","7150210")</f>
        <v>0</v>
      </c>
      <c r="B3696" t="s">
        <v>1503</v>
      </c>
      <c r="C3696" t="s">
        <v>5742</v>
      </c>
      <c r="D3696" t="s">
        <v>17963</v>
      </c>
      <c r="E3696" t="s">
        <v>21361</v>
      </c>
      <c r="F3696" t="s">
        <v>30900</v>
      </c>
      <c r="G3696" t="s">
        <v>30909</v>
      </c>
      <c r="H3696" t="s">
        <v>30916</v>
      </c>
      <c r="I3696" t="s">
        <v>30924</v>
      </c>
      <c r="J3696" t="s">
        <v>31077</v>
      </c>
      <c r="K3696" t="s">
        <v>40289</v>
      </c>
      <c r="M3696" t="s">
        <v>42144</v>
      </c>
      <c r="N3696" t="s">
        <v>44759</v>
      </c>
      <c r="O3696" t="s">
        <v>44760</v>
      </c>
      <c r="P3696">
        <v>0</v>
      </c>
      <c r="Q3696">
        <v>0</v>
      </c>
      <c r="R3696" t="s">
        <v>44762</v>
      </c>
      <c r="S3696" t="s">
        <v>44863</v>
      </c>
      <c r="T3696" t="s">
        <v>46414</v>
      </c>
      <c r="U3696" t="s">
        <v>50077</v>
      </c>
      <c r="W3696" t="s">
        <v>42144</v>
      </c>
      <c r="X3696" t="s">
        <v>44763</v>
      </c>
    </row>
    <row r="3697" spans="1:24">
      <c r="A3697">
        <f>HYPERLINK("https://www.philgeps.gov.ph/GEPSNONPILOT/Tender/SplashBidNoticeAbstractUI.aspx?menuIndex=3&amp;refID=7150188&amp;Result=3","7150188")</f>
        <v>0</v>
      </c>
      <c r="B3697" t="s">
        <v>1503</v>
      </c>
      <c r="C3697" t="s">
        <v>7278</v>
      </c>
      <c r="D3697" t="s">
        <v>17963</v>
      </c>
      <c r="E3697" t="s">
        <v>18359</v>
      </c>
      <c r="F3697" t="s">
        <v>30900</v>
      </c>
      <c r="G3697" t="s">
        <v>30909</v>
      </c>
      <c r="H3697" t="s">
        <v>30916</v>
      </c>
      <c r="I3697" t="s">
        <v>30935</v>
      </c>
      <c r="J3697" t="s">
        <v>31183</v>
      </c>
      <c r="K3697" t="s">
        <v>40289</v>
      </c>
      <c r="M3697" t="s">
        <v>42144</v>
      </c>
      <c r="N3697" t="s">
        <v>44759</v>
      </c>
      <c r="O3697" t="s">
        <v>44760</v>
      </c>
      <c r="P3697">
        <v>0</v>
      </c>
      <c r="Q3697">
        <v>1</v>
      </c>
      <c r="R3697" t="s">
        <v>44762</v>
      </c>
      <c r="S3697" t="s">
        <v>44863</v>
      </c>
      <c r="T3697" t="s">
        <v>46414</v>
      </c>
      <c r="U3697" t="s">
        <v>50078</v>
      </c>
      <c r="W3697" t="s">
        <v>42144</v>
      </c>
      <c r="X3697" t="s">
        <v>44763</v>
      </c>
    </row>
    <row r="3698" spans="1:24">
      <c r="A3698">
        <f>HYPERLINK("https://www.philgeps.gov.ph/GEPSNONPILOT/Tender/SplashBidNoticeAbstractUI.aspx?menuIndex=3&amp;refID=7150241&amp;Result=3","7150241")</f>
        <v>0</v>
      </c>
      <c r="B3698" t="s">
        <v>1505</v>
      </c>
      <c r="C3698" t="s">
        <v>7279</v>
      </c>
      <c r="D3698" t="s">
        <v>17959</v>
      </c>
      <c r="E3698" t="s">
        <v>21362</v>
      </c>
      <c r="F3698" t="s">
        <v>30899</v>
      </c>
      <c r="G3698" t="s">
        <v>30908</v>
      </c>
      <c r="H3698" t="s">
        <v>30916</v>
      </c>
      <c r="I3698" t="s">
        <v>5830</v>
      </c>
      <c r="J3698" t="s">
        <v>33626</v>
      </c>
      <c r="K3698" t="s">
        <v>40284</v>
      </c>
      <c r="M3698" t="s">
        <v>42146</v>
      </c>
      <c r="N3698" t="s">
        <v>44759</v>
      </c>
      <c r="O3698" t="s">
        <v>44760</v>
      </c>
      <c r="P3698">
        <v>0</v>
      </c>
      <c r="Q3698">
        <v>3</v>
      </c>
      <c r="R3698" t="s">
        <v>44762</v>
      </c>
      <c r="S3698" t="s">
        <v>44863</v>
      </c>
      <c r="T3698" t="s">
        <v>46361</v>
      </c>
      <c r="U3698" t="s">
        <v>50062</v>
      </c>
      <c r="W3698" t="s">
        <v>42146</v>
      </c>
      <c r="X3698" t="s">
        <v>44763</v>
      </c>
    </row>
    <row r="3699" spans="1:24">
      <c r="A3699">
        <f>HYPERLINK("https://www.philgeps.gov.ph/GEPSNONPILOT/Tender/SplashBidNoticeAbstractUI.aspx?menuIndex=3&amp;refID=7150238&amp;Result=3","7150238")</f>
        <v>0</v>
      </c>
      <c r="B3699" t="s">
        <v>105</v>
      </c>
      <c r="C3699" t="s">
        <v>7280</v>
      </c>
      <c r="D3699" t="s">
        <v>17952</v>
      </c>
      <c r="E3699" t="s">
        <v>21363</v>
      </c>
      <c r="F3699" t="s">
        <v>30900</v>
      </c>
      <c r="G3699" t="s">
        <v>30906</v>
      </c>
      <c r="H3699" t="s">
        <v>30916</v>
      </c>
      <c r="I3699" t="s">
        <v>6953</v>
      </c>
      <c r="J3699" t="s">
        <v>33627</v>
      </c>
      <c r="K3699" t="s">
        <v>40283</v>
      </c>
      <c r="M3699" t="s">
        <v>40652</v>
      </c>
      <c r="N3699" t="s">
        <v>44759</v>
      </c>
      <c r="O3699" t="s">
        <v>44760</v>
      </c>
      <c r="P3699">
        <v>0</v>
      </c>
      <c r="Q3699">
        <v>0</v>
      </c>
      <c r="R3699" t="s">
        <v>44762</v>
      </c>
      <c r="S3699" t="s">
        <v>44863</v>
      </c>
      <c r="T3699" t="s">
        <v>46457</v>
      </c>
      <c r="U3699" t="s">
        <v>50079</v>
      </c>
      <c r="W3699" t="s">
        <v>40652</v>
      </c>
      <c r="X3699" t="s">
        <v>44763</v>
      </c>
    </row>
    <row r="3700" spans="1:24">
      <c r="A3700">
        <f>HYPERLINK("https://www.philgeps.gov.ph/GEPSNONPILOT/Tender/SplashBidNoticeAbstractUI.aspx?menuIndex=3&amp;refID=7150244&amp;Result=3","7150244")</f>
        <v>0</v>
      </c>
      <c r="B3700" t="s">
        <v>1508</v>
      </c>
      <c r="C3700" t="s">
        <v>7281</v>
      </c>
      <c r="D3700" t="s">
        <v>17978</v>
      </c>
      <c r="E3700" t="s">
        <v>21364</v>
      </c>
      <c r="F3700" t="s">
        <v>30900</v>
      </c>
      <c r="G3700" t="s">
        <v>30908</v>
      </c>
      <c r="H3700" t="s">
        <v>30916</v>
      </c>
      <c r="I3700" t="s">
        <v>30923</v>
      </c>
      <c r="J3700" t="s">
        <v>33628</v>
      </c>
      <c r="K3700" t="s">
        <v>40283</v>
      </c>
      <c r="M3700" t="s">
        <v>42149</v>
      </c>
      <c r="N3700" t="s">
        <v>44759</v>
      </c>
      <c r="O3700" t="s">
        <v>44760</v>
      </c>
      <c r="P3700">
        <v>0</v>
      </c>
      <c r="Q3700">
        <v>1</v>
      </c>
      <c r="R3700" t="s">
        <v>44762</v>
      </c>
      <c r="S3700" t="s">
        <v>44863</v>
      </c>
      <c r="T3700" t="s">
        <v>46414</v>
      </c>
      <c r="U3700" t="s">
        <v>50080</v>
      </c>
      <c r="W3700" t="s">
        <v>42149</v>
      </c>
      <c r="X3700" t="s">
        <v>44763</v>
      </c>
    </row>
    <row r="3701" spans="1:24">
      <c r="A3701">
        <f>HYPERLINK("https://www.philgeps.gov.ph/GEPSNONPILOT/Tender/SplashBidNoticeAbstractUI.aspx?menuIndex=3&amp;refID=7150259&amp;Result=3","7150259")</f>
        <v>0</v>
      </c>
      <c r="B3701" t="s">
        <v>451</v>
      </c>
      <c r="C3701" t="s">
        <v>3937</v>
      </c>
      <c r="D3701" t="s">
        <v>17980</v>
      </c>
      <c r="E3701" t="s">
        <v>21365</v>
      </c>
      <c r="F3701" t="s">
        <v>30900</v>
      </c>
      <c r="G3701" t="s">
        <v>30908</v>
      </c>
      <c r="H3701" t="s">
        <v>30916</v>
      </c>
      <c r="I3701" t="s">
        <v>8123</v>
      </c>
      <c r="J3701" t="s">
        <v>33629</v>
      </c>
      <c r="K3701" t="s">
        <v>40283</v>
      </c>
      <c r="M3701" t="s">
        <v>42056</v>
      </c>
      <c r="N3701" t="s">
        <v>44759</v>
      </c>
      <c r="O3701" t="s">
        <v>44760</v>
      </c>
      <c r="P3701">
        <v>0</v>
      </c>
      <c r="Q3701">
        <v>0</v>
      </c>
      <c r="R3701" t="s">
        <v>44762</v>
      </c>
      <c r="S3701" t="s">
        <v>44863</v>
      </c>
      <c r="T3701" t="s">
        <v>46383</v>
      </c>
      <c r="U3701" t="s">
        <v>50081</v>
      </c>
      <c r="W3701" t="s">
        <v>42056</v>
      </c>
      <c r="X3701" t="s">
        <v>44763</v>
      </c>
    </row>
    <row r="3702" spans="1:24">
      <c r="A3702">
        <f>HYPERLINK("https://www.philgeps.gov.ph/GEPSNONPILOT/Tender/SplashBidNoticeAbstractUI.aspx?menuIndex=3&amp;refID=7150270&amp;Result=3","7150270")</f>
        <v>0</v>
      </c>
      <c r="B3702" t="s">
        <v>1423</v>
      </c>
      <c r="C3702" t="s">
        <v>4750</v>
      </c>
      <c r="D3702" t="s">
        <v>18013</v>
      </c>
      <c r="E3702" t="s">
        <v>21366</v>
      </c>
      <c r="F3702" t="s">
        <v>30900</v>
      </c>
      <c r="G3702" t="s">
        <v>30907</v>
      </c>
      <c r="H3702" t="s">
        <v>30916</v>
      </c>
      <c r="I3702" t="s">
        <v>5501</v>
      </c>
      <c r="J3702" t="s">
        <v>31049</v>
      </c>
      <c r="K3702" t="s">
        <v>40289</v>
      </c>
      <c r="M3702" t="s">
        <v>42130</v>
      </c>
      <c r="N3702" t="s">
        <v>44759</v>
      </c>
      <c r="O3702" t="s">
        <v>44760</v>
      </c>
      <c r="P3702">
        <v>0</v>
      </c>
      <c r="Q3702">
        <v>0</v>
      </c>
      <c r="R3702" t="s">
        <v>44762</v>
      </c>
      <c r="S3702" t="s">
        <v>44863</v>
      </c>
      <c r="T3702" t="s">
        <v>46371</v>
      </c>
      <c r="U3702" t="s">
        <v>50082</v>
      </c>
      <c r="W3702" t="s">
        <v>42130</v>
      </c>
      <c r="X3702" t="s">
        <v>44763</v>
      </c>
    </row>
    <row r="3703" spans="1:24">
      <c r="A3703">
        <f>HYPERLINK("https://www.philgeps.gov.ph/GEPSNONPILOT/Tender/SplashBidNoticeAbstractUI.aspx?menuIndex=3&amp;refID=7150266&amp;Result=3","7150266")</f>
        <v>0</v>
      </c>
      <c r="B3703" t="s">
        <v>781</v>
      </c>
      <c r="C3703" t="s">
        <v>7282</v>
      </c>
      <c r="D3703" t="s">
        <v>17959</v>
      </c>
      <c r="E3703" t="s">
        <v>21367</v>
      </c>
      <c r="F3703" t="s">
        <v>30900</v>
      </c>
      <c r="G3703" t="s">
        <v>30909</v>
      </c>
      <c r="H3703" t="s">
        <v>30916</v>
      </c>
      <c r="I3703" t="s">
        <v>6396</v>
      </c>
      <c r="J3703" t="s">
        <v>33630</v>
      </c>
      <c r="K3703" t="s">
        <v>40284</v>
      </c>
      <c r="M3703" t="s">
        <v>42136</v>
      </c>
      <c r="N3703" t="s">
        <v>44759</v>
      </c>
      <c r="O3703" t="s">
        <v>44760</v>
      </c>
      <c r="P3703">
        <v>0</v>
      </c>
      <c r="Q3703">
        <v>0</v>
      </c>
      <c r="R3703" t="s">
        <v>44762</v>
      </c>
      <c r="S3703" t="s">
        <v>44863</v>
      </c>
      <c r="T3703" t="s">
        <v>46568</v>
      </c>
      <c r="U3703" t="s">
        <v>50055</v>
      </c>
      <c r="V3703" t="s">
        <v>59530</v>
      </c>
      <c r="W3703" t="s">
        <v>42136</v>
      </c>
      <c r="X3703" t="s">
        <v>44763</v>
      </c>
    </row>
    <row r="3704" spans="1:24">
      <c r="A3704">
        <f>HYPERLINK("https://www.philgeps.gov.ph/GEPSNONPILOT/Tender/SplashBidNoticeAbstractUI.aspx?menuIndex=3&amp;refID=7150265&amp;Result=3","7150265")</f>
        <v>0</v>
      </c>
      <c r="B3704" t="s">
        <v>1514</v>
      </c>
      <c r="C3704" t="s">
        <v>7283</v>
      </c>
      <c r="D3704" t="s">
        <v>17979</v>
      </c>
      <c r="E3704" t="s">
        <v>21368</v>
      </c>
      <c r="F3704" t="s">
        <v>30900</v>
      </c>
      <c r="G3704" t="s">
        <v>30910</v>
      </c>
      <c r="H3704" t="s">
        <v>30916</v>
      </c>
      <c r="I3704" t="s">
        <v>6953</v>
      </c>
      <c r="J3704" t="s">
        <v>33631</v>
      </c>
      <c r="K3704" t="s">
        <v>40287</v>
      </c>
      <c r="M3704" t="s">
        <v>42155</v>
      </c>
      <c r="N3704" t="s">
        <v>44759</v>
      </c>
      <c r="O3704" t="s">
        <v>44760</v>
      </c>
      <c r="P3704">
        <v>0</v>
      </c>
      <c r="Q3704">
        <v>0</v>
      </c>
      <c r="R3704" t="s">
        <v>44762</v>
      </c>
      <c r="S3704" t="s">
        <v>44863</v>
      </c>
      <c r="T3704" t="s">
        <v>46538</v>
      </c>
      <c r="U3704" t="s">
        <v>50083</v>
      </c>
      <c r="W3704" t="s">
        <v>42155</v>
      </c>
      <c r="X3704" t="s">
        <v>44763</v>
      </c>
    </row>
    <row r="3705" spans="1:24">
      <c r="A3705">
        <f>HYPERLINK("https://www.philgeps.gov.ph/GEPSNONPILOT/Tender/SplashBidNoticeAbstractUI.aspx?menuIndex=3&amp;refID=7150263&amp;Result=3","7150263")</f>
        <v>0</v>
      </c>
      <c r="B3705" t="s">
        <v>135</v>
      </c>
      <c r="C3705" t="s">
        <v>3974</v>
      </c>
      <c r="D3705" t="s">
        <v>17961</v>
      </c>
      <c r="E3705" t="s">
        <v>21369</v>
      </c>
      <c r="F3705" t="s">
        <v>30900</v>
      </c>
      <c r="G3705" t="s">
        <v>30910</v>
      </c>
      <c r="H3705" t="s">
        <v>30916</v>
      </c>
      <c r="I3705" t="s">
        <v>6396</v>
      </c>
      <c r="J3705" t="s">
        <v>31234</v>
      </c>
      <c r="K3705" t="s">
        <v>40287</v>
      </c>
      <c r="M3705" t="s">
        <v>40682</v>
      </c>
      <c r="N3705" t="s">
        <v>44759</v>
      </c>
      <c r="O3705" t="s">
        <v>44760</v>
      </c>
      <c r="P3705">
        <v>0</v>
      </c>
      <c r="Q3705">
        <v>0</v>
      </c>
      <c r="R3705" t="s">
        <v>44762</v>
      </c>
      <c r="S3705" t="s">
        <v>44863</v>
      </c>
      <c r="T3705" t="s">
        <v>46398</v>
      </c>
      <c r="U3705" t="s">
        <v>50084</v>
      </c>
      <c r="W3705" t="s">
        <v>40682</v>
      </c>
      <c r="X3705" t="s">
        <v>44763</v>
      </c>
    </row>
    <row r="3706" spans="1:24">
      <c r="A3706">
        <f>HYPERLINK("https://www.philgeps.gov.ph/GEPSNONPILOT/Tender/SplashBidNoticeAbstractUI.aspx?menuIndex=3&amp;refID=7150262&amp;Result=3","7150262")</f>
        <v>0</v>
      </c>
      <c r="B3706" t="s">
        <v>753</v>
      </c>
      <c r="C3706" t="s">
        <v>7284</v>
      </c>
      <c r="D3706" t="s">
        <v>17976</v>
      </c>
      <c r="E3706" t="s">
        <v>21370</v>
      </c>
      <c r="F3706" t="s">
        <v>30900</v>
      </c>
      <c r="G3706" t="s">
        <v>30908</v>
      </c>
      <c r="H3706" t="s">
        <v>30916</v>
      </c>
      <c r="I3706" t="s">
        <v>30939</v>
      </c>
      <c r="J3706" t="s">
        <v>33632</v>
      </c>
      <c r="K3706" t="s">
        <v>40284</v>
      </c>
      <c r="L3706" t="s">
        <v>753</v>
      </c>
      <c r="M3706" t="s">
        <v>41317</v>
      </c>
      <c r="N3706" t="s">
        <v>44759</v>
      </c>
      <c r="O3706" t="s">
        <v>44760</v>
      </c>
      <c r="P3706">
        <v>0</v>
      </c>
      <c r="Q3706">
        <v>0</v>
      </c>
      <c r="R3706" t="s">
        <v>44762</v>
      </c>
      <c r="S3706" t="s">
        <v>44863</v>
      </c>
      <c r="T3706" t="s">
        <v>46379</v>
      </c>
      <c r="U3706" t="s">
        <v>50039</v>
      </c>
      <c r="V3706" t="s">
        <v>59527</v>
      </c>
      <c r="W3706" t="s">
        <v>41317</v>
      </c>
      <c r="X3706" t="s">
        <v>44763</v>
      </c>
    </row>
    <row r="3707" spans="1:24">
      <c r="A3707">
        <f>HYPERLINK("https://www.philgeps.gov.ph/GEPSNONPILOT/Tender/SplashBidNoticeAbstractUI.aspx?menuIndex=3&amp;refID=7150201&amp;Result=3","7150201")</f>
        <v>0</v>
      </c>
      <c r="B3707" t="s">
        <v>1188</v>
      </c>
      <c r="C3707" t="s">
        <v>7285</v>
      </c>
      <c r="D3707" t="s">
        <v>18019</v>
      </c>
      <c r="E3707" t="s">
        <v>21371</v>
      </c>
      <c r="F3707" t="s">
        <v>30900</v>
      </c>
      <c r="G3707" t="s">
        <v>30908</v>
      </c>
      <c r="H3707" t="s">
        <v>30916</v>
      </c>
      <c r="I3707" t="s">
        <v>30922</v>
      </c>
      <c r="J3707" t="s">
        <v>33633</v>
      </c>
      <c r="K3707" t="s">
        <v>40284</v>
      </c>
      <c r="M3707" t="s">
        <v>41797</v>
      </c>
      <c r="N3707" t="s">
        <v>44759</v>
      </c>
      <c r="O3707" t="s">
        <v>44760</v>
      </c>
      <c r="P3707">
        <v>0</v>
      </c>
      <c r="Q3707">
        <v>3</v>
      </c>
      <c r="R3707" t="s">
        <v>44762</v>
      </c>
      <c r="S3707" t="s">
        <v>44863</v>
      </c>
      <c r="T3707" t="s">
        <v>46467</v>
      </c>
      <c r="U3707" t="s">
        <v>50085</v>
      </c>
      <c r="W3707" t="s">
        <v>41797</v>
      </c>
      <c r="X3707" t="s">
        <v>44763</v>
      </c>
    </row>
    <row r="3708" spans="1:24">
      <c r="A3708">
        <f>HYPERLINK("https://www.philgeps.gov.ph/GEPSNONPILOT/Tender/SplashBidNoticeAbstractUI.aspx?menuIndex=3&amp;refID=7150260&amp;Result=3","7150260")</f>
        <v>0</v>
      </c>
      <c r="B3708" t="s">
        <v>1209</v>
      </c>
      <c r="C3708" t="s">
        <v>7286</v>
      </c>
      <c r="D3708" t="s">
        <v>17976</v>
      </c>
      <c r="E3708" t="s">
        <v>18158</v>
      </c>
      <c r="F3708" t="s">
        <v>30900</v>
      </c>
      <c r="G3708" t="s">
        <v>30907</v>
      </c>
      <c r="H3708" t="s">
        <v>30916</v>
      </c>
      <c r="I3708" t="s">
        <v>30949</v>
      </c>
      <c r="J3708" t="s">
        <v>33634</v>
      </c>
      <c r="K3708" t="s">
        <v>40314</v>
      </c>
      <c r="M3708" t="s">
        <v>41820</v>
      </c>
      <c r="N3708" t="s">
        <v>44759</v>
      </c>
      <c r="O3708" t="s">
        <v>44760</v>
      </c>
      <c r="P3708">
        <v>0</v>
      </c>
      <c r="Q3708">
        <v>1</v>
      </c>
      <c r="R3708" t="s">
        <v>44762</v>
      </c>
      <c r="S3708" t="s">
        <v>44863</v>
      </c>
      <c r="T3708" t="s">
        <v>46352</v>
      </c>
      <c r="U3708" t="s">
        <v>50086</v>
      </c>
      <c r="V3708" t="s">
        <v>59438</v>
      </c>
      <c r="W3708" t="s">
        <v>41820</v>
      </c>
      <c r="X3708" t="s">
        <v>44763</v>
      </c>
    </row>
    <row r="3709" spans="1:24">
      <c r="A3709">
        <f>HYPERLINK("https://www.philgeps.gov.ph/GEPSNONPILOT/Tender/SplashBidNoticeAbstractUI.aspx?menuIndex=3&amp;refID=7150264&amp;Result=3","7150264")</f>
        <v>0</v>
      </c>
      <c r="B3709" t="s">
        <v>222</v>
      </c>
      <c r="C3709" t="s">
        <v>7287</v>
      </c>
      <c r="D3709" t="s">
        <v>17957</v>
      </c>
      <c r="E3709" t="s">
        <v>21372</v>
      </c>
      <c r="F3709" t="s">
        <v>30900</v>
      </c>
      <c r="G3709" t="s">
        <v>30908</v>
      </c>
      <c r="H3709" t="s">
        <v>30916</v>
      </c>
      <c r="I3709" t="s">
        <v>30949</v>
      </c>
      <c r="J3709" t="s">
        <v>31082</v>
      </c>
      <c r="K3709" t="s">
        <v>40283</v>
      </c>
      <c r="M3709" t="s">
        <v>41878</v>
      </c>
      <c r="N3709" t="s">
        <v>44759</v>
      </c>
      <c r="O3709" t="s">
        <v>44760</v>
      </c>
      <c r="P3709">
        <v>0</v>
      </c>
      <c r="Q3709">
        <v>0</v>
      </c>
      <c r="R3709" t="s">
        <v>44762</v>
      </c>
      <c r="S3709" t="s">
        <v>44863</v>
      </c>
      <c r="T3709" t="s">
        <v>46404</v>
      </c>
      <c r="U3709" t="s">
        <v>50087</v>
      </c>
      <c r="W3709" t="s">
        <v>41878</v>
      </c>
      <c r="X3709" t="s">
        <v>44763</v>
      </c>
    </row>
    <row r="3710" spans="1:24">
      <c r="A3710">
        <f>HYPERLINK("https://www.philgeps.gov.ph/GEPSNONPILOT/Tender/SplashBidNoticeAbstractUI.aspx?menuIndex=3&amp;refID=7150282&amp;Result=3","7150282")</f>
        <v>0</v>
      </c>
      <c r="B3710" t="s">
        <v>1436</v>
      </c>
      <c r="C3710" t="s">
        <v>7288</v>
      </c>
      <c r="D3710" t="s">
        <v>18017</v>
      </c>
      <c r="E3710" t="s">
        <v>21373</v>
      </c>
      <c r="F3710" t="s">
        <v>30900</v>
      </c>
      <c r="G3710" t="s">
        <v>30907</v>
      </c>
      <c r="H3710" t="s">
        <v>30916</v>
      </c>
      <c r="I3710" t="s">
        <v>30939</v>
      </c>
      <c r="J3710" t="s">
        <v>31152</v>
      </c>
      <c r="K3710" t="s">
        <v>40286</v>
      </c>
      <c r="M3710" t="s">
        <v>42068</v>
      </c>
      <c r="N3710" t="s">
        <v>44759</v>
      </c>
      <c r="O3710" t="s">
        <v>44760</v>
      </c>
      <c r="P3710">
        <v>0</v>
      </c>
      <c r="Q3710">
        <v>0</v>
      </c>
      <c r="R3710" t="s">
        <v>44762</v>
      </c>
      <c r="S3710" t="s">
        <v>44863</v>
      </c>
      <c r="T3710" t="s">
        <v>46394</v>
      </c>
      <c r="U3710" t="s">
        <v>50088</v>
      </c>
      <c r="W3710" t="s">
        <v>42068</v>
      </c>
      <c r="X3710" t="s">
        <v>44763</v>
      </c>
    </row>
    <row r="3711" spans="1:24">
      <c r="A3711">
        <f>HYPERLINK("https://www.philgeps.gov.ph/GEPSNONPILOT/Tender/SplashBidNoticeAbstractUI.aspx?menuIndex=3&amp;refID=7150280&amp;Result=3","7150280")</f>
        <v>0</v>
      </c>
      <c r="B3711" t="s">
        <v>950</v>
      </c>
      <c r="C3711" t="s">
        <v>7289</v>
      </c>
      <c r="D3711" t="s">
        <v>17993</v>
      </c>
      <c r="E3711" t="s">
        <v>21374</v>
      </c>
      <c r="F3711" t="s">
        <v>30900</v>
      </c>
      <c r="G3711" t="s">
        <v>30908</v>
      </c>
      <c r="H3711" t="s">
        <v>30915</v>
      </c>
      <c r="I3711" t="s">
        <v>30919</v>
      </c>
      <c r="J3711" t="s">
        <v>31049</v>
      </c>
      <c r="K3711" t="s">
        <v>40284</v>
      </c>
      <c r="M3711" t="s">
        <v>41535</v>
      </c>
      <c r="N3711" t="s">
        <v>44759</v>
      </c>
      <c r="O3711" t="s">
        <v>44760</v>
      </c>
      <c r="P3711">
        <v>0</v>
      </c>
      <c r="Q3711">
        <v>0</v>
      </c>
      <c r="R3711" t="s">
        <v>44762</v>
      </c>
      <c r="S3711" t="s">
        <v>44863</v>
      </c>
      <c r="T3711" t="s">
        <v>46410</v>
      </c>
      <c r="U3711" t="s">
        <v>50089</v>
      </c>
      <c r="W3711" t="s">
        <v>41535</v>
      </c>
      <c r="X3711" t="s">
        <v>44763</v>
      </c>
    </row>
    <row r="3712" spans="1:24">
      <c r="A3712">
        <f>HYPERLINK("https://www.philgeps.gov.ph/GEPSNONPILOT/Tender/SplashBidNoticeAbstractUI.aspx?menuIndex=3&amp;refID=7150273&amp;Result=3","7150273")</f>
        <v>0</v>
      </c>
      <c r="B3712" t="s">
        <v>1515</v>
      </c>
      <c r="C3712" t="s">
        <v>7290</v>
      </c>
      <c r="D3712" t="s">
        <v>18020</v>
      </c>
      <c r="E3712" t="s">
        <v>21375</v>
      </c>
      <c r="F3712" t="s">
        <v>30900</v>
      </c>
      <c r="G3712" t="s">
        <v>30908</v>
      </c>
      <c r="H3712" t="s">
        <v>30916</v>
      </c>
      <c r="I3712" t="s">
        <v>30950</v>
      </c>
      <c r="J3712" t="s">
        <v>32282</v>
      </c>
      <c r="K3712" t="s">
        <v>40287</v>
      </c>
      <c r="M3712" t="s">
        <v>42156</v>
      </c>
      <c r="N3712" t="s">
        <v>44759</v>
      </c>
      <c r="O3712" t="s">
        <v>44760</v>
      </c>
      <c r="P3712">
        <v>0</v>
      </c>
      <c r="Q3712">
        <v>2</v>
      </c>
      <c r="R3712" t="s">
        <v>44762</v>
      </c>
      <c r="S3712" t="s">
        <v>44863</v>
      </c>
      <c r="T3712" t="s">
        <v>46483</v>
      </c>
      <c r="U3712" t="s">
        <v>50090</v>
      </c>
      <c r="W3712" t="s">
        <v>42156</v>
      </c>
      <c r="X3712" t="s">
        <v>44763</v>
      </c>
    </row>
    <row r="3713" spans="1:24">
      <c r="A3713">
        <f>HYPERLINK("https://www.philgeps.gov.ph/GEPSNONPILOT/Tender/SplashBidNoticeAbstractUI.aspx?menuIndex=3&amp;refID=7150276&amp;Result=3","7150276")</f>
        <v>0</v>
      </c>
      <c r="B3713" t="s">
        <v>179</v>
      </c>
      <c r="C3713" t="s">
        <v>7291</v>
      </c>
      <c r="D3713" t="s">
        <v>17953</v>
      </c>
      <c r="E3713" t="s">
        <v>21376</v>
      </c>
      <c r="F3713" t="s">
        <v>30900</v>
      </c>
      <c r="G3713" t="s">
        <v>30909</v>
      </c>
      <c r="H3713" t="s">
        <v>30916</v>
      </c>
      <c r="I3713" t="s">
        <v>30952</v>
      </c>
      <c r="J3713" t="s">
        <v>33635</v>
      </c>
      <c r="K3713" t="s">
        <v>40287</v>
      </c>
      <c r="M3713" t="s">
        <v>40726</v>
      </c>
      <c r="N3713" t="s">
        <v>44759</v>
      </c>
      <c r="O3713" t="s">
        <v>44760</v>
      </c>
      <c r="P3713">
        <v>0</v>
      </c>
      <c r="Q3713">
        <v>1</v>
      </c>
      <c r="R3713" t="s">
        <v>44762</v>
      </c>
      <c r="S3713" t="s">
        <v>44863</v>
      </c>
      <c r="T3713" t="s">
        <v>46533</v>
      </c>
      <c r="U3713" t="s">
        <v>50091</v>
      </c>
      <c r="W3713" t="s">
        <v>40726</v>
      </c>
      <c r="X3713" t="s">
        <v>44763</v>
      </c>
    </row>
    <row r="3714" spans="1:24">
      <c r="A3714">
        <f>HYPERLINK("https://www.philgeps.gov.ph/GEPSNONPILOT/Tender/SplashBidNoticeAbstractUI.aspx?menuIndex=3&amp;refID=7150261&amp;Result=3","7150261")</f>
        <v>0</v>
      </c>
      <c r="B3714" t="s">
        <v>886</v>
      </c>
      <c r="C3714" t="s">
        <v>7292</v>
      </c>
      <c r="D3714" t="s">
        <v>17972</v>
      </c>
      <c r="E3714" t="s">
        <v>21377</v>
      </c>
      <c r="F3714" t="s">
        <v>30900</v>
      </c>
      <c r="G3714" t="s">
        <v>30907</v>
      </c>
      <c r="H3714" t="s">
        <v>30915</v>
      </c>
      <c r="I3714" t="s">
        <v>30919</v>
      </c>
      <c r="J3714" t="s">
        <v>33636</v>
      </c>
      <c r="K3714" t="s">
        <v>40326</v>
      </c>
      <c r="M3714" t="s">
        <v>41459</v>
      </c>
      <c r="N3714" t="s">
        <v>44759</v>
      </c>
      <c r="O3714" t="s">
        <v>44760</v>
      </c>
      <c r="P3714">
        <v>0</v>
      </c>
      <c r="Q3714">
        <v>0</v>
      </c>
      <c r="R3714" t="s">
        <v>44762</v>
      </c>
      <c r="S3714" t="s">
        <v>44863</v>
      </c>
      <c r="T3714" t="s">
        <v>46557</v>
      </c>
      <c r="U3714" t="s">
        <v>50092</v>
      </c>
      <c r="W3714" t="s">
        <v>41459</v>
      </c>
      <c r="X3714" t="s">
        <v>44763</v>
      </c>
    </row>
    <row r="3715" spans="1:24">
      <c r="A3715">
        <f>HYPERLINK("https://www.philgeps.gov.ph/GEPSNONPILOT/Tender/SplashBidNoticeAbstractUI.aspx?menuIndex=3&amp;refID=7150275&amp;Result=3","7150275")</f>
        <v>0</v>
      </c>
      <c r="B3715" t="s">
        <v>1516</v>
      </c>
      <c r="C3715" t="s">
        <v>7293</v>
      </c>
      <c r="D3715" t="s">
        <v>18033</v>
      </c>
      <c r="E3715" t="s">
        <v>21378</v>
      </c>
      <c r="F3715" t="s">
        <v>30900</v>
      </c>
      <c r="G3715" t="s">
        <v>30909</v>
      </c>
      <c r="H3715" t="s">
        <v>30916</v>
      </c>
      <c r="I3715" t="s">
        <v>4545</v>
      </c>
      <c r="J3715" t="s">
        <v>31227</v>
      </c>
      <c r="K3715" t="s">
        <v>40284</v>
      </c>
      <c r="M3715" t="s">
        <v>42157</v>
      </c>
      <c r="N3715" t="s">
        <v>44759</v>
      </c>
      <c r="O3715" t="s">
        <v>44760</v>
      </c>
      <c r="P3715">
        <v>0</v>
      </c>
      <c r="Q3715">
        <v>3</v>
      </c>
      <c r="R3715" t="s">
        <v>44762</v>
      </c>
      <c r="S3715" t="s">
        <v>44863</v>
      </c>
      <c r="T3715" t="s">
        <v>46363</v>
      </c>
      <c r="U3715" t="s">
        <v>50093</v>
      </c>
      <c r="W3715" t="s">
        <v>42157</v>
      </c>
      <c r="X3715" t="s">
        <v>44763</v>
      </c>
    </row>
    <row r="3716" spans="1:24">
      <c r="A3716">
        <f>HYPERLINK("https://www.philgeps.gov.ph/GEPSNONPILOT/Tender/SplashBidNoticeAbstractUI.aspx?menuIndex=3&amp;refID=7150269&amp;Result=3","7150269")</f>
        <v>0</v>
      </c>
      <c r="B3716" t="s">
        <v>1194</v>
      </c>
      <c r="C3716" t="s">
        <v>7294</v>
      </c>
      <c r="D3716" t="s">
        <v>18019</v>
      </c>
      <c r="E3716" t="s">
        <v>21379</v>
      </c>
      <c r="F3716" t="s">
        <v>30900</v>
      </c>
      <c r="G3716" t="s">
        <v>30908</v>
      </c>
      <c r="H3716" t="s">
        <v>30916</v>
      </c>
      <c r="I3716" t="s">
        <v>10602</v>
      </c>
      <c r="J3716" t="s">
        <v>31498</v>
      </c>
      <c r="K3716" t="s">
        <v>40281</v>
      </c>
      <c r="M3716" t="s">
        <v>41805</v>
      </c>
      <c r="N3716" t="s">
        <v>44759</v>
      </c>
      <c r="O3716" t="s">
        <v>44760</v>
      </c>
      <c r="P3716">
        <v>0</v>
      </c>
      <c r="Q3716">
        <v>0</v>
      </c>
      <c r="R3716" t="s">
        <v>44762</v>
      </c>
      <c r="S3716" t="s">
        <v>44863</v>
      </c>
      <c r="T3716" t="s">
        <v>46398</v>
      </c>
      <c r="U3716" t="s">
        <v>49308</v>
      </c>
      <c r="W3716" t="s">
        <v>41805</v>
      </c>
      <c r="X3716" t="s">
        <v>44763</v>
      </c>
    </row>
    <row r="3717" spans="1:24">
      <c r="A3717">
        <f>HYPERLINK("https://www.philgeps.gov.ph/GEPSNONPILOT/Tender/SplashBidNoticeAbstractUI.aspx?menuIndex=3&amp;refID=7150279&amp;Result=3","7150279")</f>
        <v>0</v>
      </c>
      <c r="B3717" t="s">
        <v>726</v>
      </c>
      <c r="C3717" t="s">
        <v>4013</v>
      </c>
      <c r="D3717" t="s">
        <v>18016</v>
      </c>
      <c r="E3717" t="s">
        <v>21380</v>
      </c>
      <c r="F3717" t="s">
        <v>30900</v>
      </c>
      <c r="G3717" t="s">
        <v>30907</v>
      </c>
      <c r="H3717" t="s">
        <v>30916</v>
      </c>
      <c r="I3717" t="s">
        <v>4142</v>
      </c>
      <c r="J3717" t="s">
        <v>33637</v>
      </c>
      <c r="K3717" t="s">
        <v>40286</v>
      </c>
      <c r="M3717" t="s">
        <v>41290</v>
      </c>
      <c r="N3717" t="s">
        <v>44759</v>
      </c>
      <c r="O3717" t="s">
        <v>44760</v>
      </c>
      <c r="P3717">
        <v>0</v>
      </c>
      <c r="Q3717">
        <v>0</v>
      </c>
      <c r="R3717" t="s">
        <v>44762</v>
      </c>
      <c r="S3717" t="s">
        <v>44863</v>
      </c>
      <c r="T3717" t="s">
        <v>46389</v>
      </c>
      <c r="U3717" t="s">
        <v>50094</v>
      </c>
      <c r="W3717" t="s">
        <v>41290</v>
      </c>
      <c r="X3717" t="s">
        <v>44763</v>
      </c>
    </row>
    <row r="3718" spans="1:24">
      <c r="A3718">
        <f>HYPERLINK("https://www.philgeps.gov.ph/GEPSNONPILOT/Tender/SplashBidNoticeAbstractUI.aspx?menuIndex=3&amp;refID=7150283&amp;Result=3","7150283")</f>
        <v>0</v>
      </c>
      <c r="B3718" t="s">
        <v>1517</v>
      </c>
      <c r="C3718" t="s">
        <v>6597</v>
      </c>
      <c r="D3718" t="s">
        <v>17998</v>
      </c>
      <c r="E3718" t="s">
        <v>21381</v>
      </c>
      <c r="F3718" t="s">
        <v>30900</v>
      </c>
      <c r="G3718" t="s">
        <v>30908</v>
      </c>
      <c r="H3718" t="s">
        <v>30916</v>
      </c>
      <c r="I3718" t="s">
        <v>4050</v>
      </c>
      <c r="J3718" t="s">
        <v>31183</v>
      </c>
      <c r="K3718" t="s">
        <v>40286</v>
      </c>
      <c r="M3718" t="s">
        <v>42158</v>
      </c>
      <c r="N3718" t="s">
        <v>44759</v>
      </c>
      <c r="O3718" t="s">
        <v>44760</v>
      </c>
      <c r="P3718">
        <v>0</v>
      </c>
      <c r="Q3718">
        <v>0</v>
      </c>
      <c r="R3718" t="s">
        <v>44762</v>
      </c>
      <c r="S3718" t="s">
        <v>44863</v>
      </c>
      <c r="T3718" t="s">
        <v>46484</v>
      </c>
      <c r="U3718" t="s">
        <v>50095</v>
      </c>
      <c r="W3718" t="s">
        <v>42158</v>
      </c>
      <c r="X3718" t="s">
        <v>44763</v>
      </c>
    </row>
    <row r="3719" spans="1:24">
      <c r="A3719">
        <f>HYPERLINK("https://www.philgeps.gov.ph/GEPSNONPILOT/Tender/SplashBidNoticeAbstractUI.aspx?menuIndex=3&amp;refID=7150300&amp;Result=3","7150300")</f>
        <v>0</v>
      </c>
      <c r="B3719" t="s">
        <v>1323</v>
      </c>
      <c r="C3719" t="s">
        <v>7295</v>
      </c>
      <c r="E3719" t="s">
        <v>21382</v>
      </c>
      <c r="F3719" t="s">
        <v>30900</v>
      </c>
      <c r="G3719" t="s">
        <v>30908</v>
      </c>
      <c r="H3719" t="s">
        <v>30916</v>
      </c>
      <c r="I3719" t="s">
        <v>30940</v>
      </c>
      <c r="J3719" t="s">
        <v>31070</v>
      </c>
      <c r="K3719" t="s">
        <v>40283</v>
      </c>
      <c r="M3719" t="s">
        <v>41942</v>
      </c>
      <c r="N3719" t="s">
        <v>44759</v>
      </c>
      <c r="O3719" t="s">
        <v>44760</v>
      </c>
      <c r="P3719">
        <v>0</v>
      </c>
      <c r="Q3719">
        <v>0</v>
      </c>
      <c r="R3719" t="s">
        <v>44762</v>
      </c>
      <c r="S3719" t="s">
        <v>44863</v>
      </c>
      <c r="T3719" t="s">
        <v>46564</v>
      </c>
      <c r="U3719" t="s">
        <v>49619</v>
      </c>
      <c r="W3719" t="s">
        <v>41942</v>
      </c>
      <c r="X3719" t="s">
        <v>44763</v>
      </c>
    </row>
    <row r="3720" spans="1:24">
      <c r="A3720">
        <f>HYPERLINK("https://www.philgeps.gov.ph/GEPSNONPILOT/Tender/SplashBidNoticeAbstractUI.aspx?menuIndex=3&amp;refID=7150297&amp;Result=3","7150297")</f>
        <v>0</v>
      </c>
      <c r="B3720" t="s">
        <v>402</v>
      </c>
      <c r="C3720" t="s">
        <v>7296</v>
      </c>
      <c r="D3720" t="s">
        <v>17982</v>
      </c>
      <c r="E3720" t="s">
        <v>21383</v>
      </c>
      <c r="F3720" t="s">
        <v>30900</v>
      </c>
      <c r="G3720" t="s">
        <v>30908</v>
      </c>
      <c r="H3720" t="s">
        <v>30916</v>
      </c>
      <c r="I3720" t="s">
        <v>6396</v>
      </c>
      <c r="J3720" t="s">
        <v>33638</v>
      </c>
      <c r="K3720" t="s">
        <v>40289</v>
      </c>
      <c r="M3720" t="s">
        <v>40957</v>
      </c>
      <c r="N3720" t="s">
        <v>44759</v>
      </c>
      <c r="O3720" t="s">
        <v>44760</v>
      </c>
      <c r="P3720">
        <v>0</v>
      </c>
      <c r="Q3720">
        <v>1</v>
      </c>
      <c r="R3720" t="s">
        <v>44762</v>
      </c>
      <c r="S3720" t="s">
        <v>44863</v>
      </c>
      <c r="T3720" t="s">
        <v>46414</v>
      </c>
      <c r="U3720" t="s">
        <v>50096</v>
      </c>
      <c r="W3720" t="s">
        <v>40957</v>
      </c>
      <c r="X3720" t="s">
        <v>44763</v>
      </c>
    </row>
    <row r="3721" spans="1:24">
      <c r="A3721">
        <f>HYPERLINK("https://www.philgeps.gov.ph/GEPSNONPILOT/Tender/SplashBidNoticeAbstractUI.aspx?menuIndex=3&amp;refID=7150295&amp;Result=3","7150295")</f>
        <v>0</v>
      </c>
      <c r="B3721" t="s">
        <v>1506</v>
      </c>
      <c r="C3721" t="s">
        <v>7297</v>
      </c>
      <c r="D3721" t="s">
        <v>18001</v>
      </c>
      <c r="E3721" t="s">
        <v>21384</v>
      </c>
      <c r="F3721" t="s">
        <v>30900</v>
      </c>
      <c r="G3721" t="s">
        <v>30908</v>
      </c>
      <c r="H3721" t="s">
        <v>30916</v>
      </c>
      <c r="I3721" t="s">
        <v>30950</v>
      </c>
      <c r="J3721" t="s">
        <v>31286</v>
      </c>
      <c r="K3721" t="s">
        <v>40287</v>
      </c>
      <c r="M3721" t="s">
        <v>42147</v>
      </c>
      <c r="N3721" t="s">
        <v>44759</v>
      </c>
      <c r="O3721" t="s">
        <v>44760</v>
      </c>
      <c r="P3721">
        <v>0</v>
      </c>
      <c r="Q3721">
        <v>2</v>
      </c>
      <c r="R3721" t="s">
        <v>44762</v>
      </c>
      <c r="S3721" t="s">
        <v>44863</v>
      </c>
      <c r="T3721" t="s">
        <v>46474</v>
      </c>
      <c r="U3721" t="s">
        <v>50063</v>
      </c>
      <c r="W3721" t="s">
        <v>42147</v>
      </c>
      <c r="X3721" t="s">
        <v>44763</v>
      </c>
    </row>
    <row r="3722" spans="1:24">
      <c r="A3722">
        <f>HYPERLINK("https://www.philgeps.gov.ph/GEPSNONPILOT/Tender/SplashBidNoticeAbstractUI.aspx?menuIndex=3&amp;refID=7150271&amp;Result=3","7150271")</f>
        <v>0</v>
      </c>
      <c r="B3722" t="s">
        <v>1518</v>
      </c>
      <c r="C3722" t="s">
        <v>7298</v>
      </c>
      <c r="D3722" t="s">
        <v>18019</v>
      </c>
      <c r="E3722" t="s">
        <v>18169</v>
      </c>
      <c r="F3722" t="s">
        <v>30900</v>
      </c>
      <c r="G3722" t="s">
        <v>30908</v>
      </c>
      <c r="H3722" t="s">
        <v>30916</v>
      </c>
      <c r="I3722" t="s">
        <v>30923</v>
      </c>
      <c r="J3722" t="s">
        <v>31288</v>
      </c>
      <c r="K3722" t="s">
        <v>40288</v>
      </c>
      <c r="M3722" t="s">
        <v>42159</v>
      </c>
      <c r="N3722" t="s">
        <v>44759</v>
      </c>
      <c r="O3722" t="s">
        <v>44760</v>
      </c>
      <c r="P3722">
        <v>0</v>
      </c>
      <c r="Q3722">
        <v>1</v>
      </c>
      <c r="R3722" t="s">
        <v>44762</v>
      </c>
      <c r="S3722" t="s">
        <v>44863</v>
      </c>
      <c r="T3722" t="s">
        <v>46547</v>
      </c>
      <c r="U3722" t="s">
        <v>50097</v>
      </c>
      <c r="W3722" t="s">
        <v>42159</v>
      </c>
      <c r="X3722" t="s">
        <v>44763</v>
      </c>
    </row>
    <row r="3723" spans="1:24">
      <c r="A3723">
        <f>HYPERLINK("https://www.philgeps.gov.ph/GEPSNONPILOT/Tender/SplashBidNoticeAbstractUI.aspx?menuIndex=3&amp;refID=7150293&amp;Result=3","7150293")</f>
        <v>0</v>
      </c>
      <c r="B3723" t="s">
        <v>231</v>
      </c>
      <c r="C3723" t="s">
        <v>7299</v>
      </c>
      <c r="D3723" t="s">
        <v>17957</v>
      </c>
      <c r="E3723" t="s">
        <v>21385</v>
      </c>
      <c r="F3723" t="s">
        <v>30900</v>
      </c>
      <c r="G3723" t="s">
        <v>30908</v>
      </c>
      <c r="H3723" t="s">
        <v>30916</v>
      </c>
      <c r="I3723" t="s">
        <v>4108</v>
      </c>
      <c r="J3723" t="s">
        <v>33639</v>
      </c>
      <c r="K3723" t="s">
        <v>40294</v>
      </c>
      <c r="M3723" t="s">
        <v>40778</v>
      </c>
      <c r="N3723" t="s">
        <v>44759</v>
      </c>
      <c r="O3723" t="s">
        <v>44760</v>
      </c>
      <c r="P3723">
        <v>0</v>
      </c>
      <c r="Q3723">
        <v>0</v>
      </c>
      <c r="R3723" t="s">
        <v>44762</v>
      </c>
      <c r="S3723" t="s">
        <v>44863</v>
      </c>
      <c r="T3723" t="s">
        <v>46383</v>
      </c>
      <c r="U3723" t="s">
        <v>50098</v>
      </c>
      <c r="W3723" t="s">
        <v>40778</v>
      </c>
      <c r="X3723" t="s">
        <v>44763</v>
      </c>
    </row>
    <row r="3724" spans="1:24">
      <c r="A3724">
        <f>HYPERLINK("https://www.philgeps.gov.ph/GEPSNONPILOT/Tender/SplashBidNoticeAbstractUI.aspx?menuIndex=3&amp;refID=7150292&amp;Result=3","7150292")</f>
        <v>0</v>
      </c>
      <c r="B3724" t="s">
        <v>1519</v>
      </c>
      <c r="C3724" t="s">
        <v>7300</v>
      </c>
      <c r="D3724" t="s">
        <v>17959</v>
      </c>
      <c r="E3724" t="s">
        <v>21386</v>
      </c>
      <c r="F3724" t="s">
        <v>30900</v>
      </c>
      <c r="G3724" t="s">
        <v>30909</v>
      </c>
      <c r="H3724" t="s">
        <v>30916</v>
      </c>
      <c r="I3724" t="s">
        <v>6396</v>
      </c>
      <c r="J3724" t="s">
        <v>33640</v>
      </c>
      <c r="K3724" t="s">
        <v>40287</v>
      </c>
      <c r="M3724" t="s">
        <v>42160</v>
      </c>
      <c r="N3724" t="s">
        <v>44759</v>
      </c>
      <c r="O3724" t="s">
        <v>44760</v>
      </c>
      <c r="P3724">
        <v>0</v>
      </c>
      <c r="Q3724">
        <v>1</v>
      </c>
      <c r="R3724" t="s">
        <v>44762</v>
      </c>
      <c r="S3724" t="s">
        <v>44863</v>
      </c>
      <c r="T3724" t="s">
        <v>46457</v>
      </c>
      <c r="U3724" t="s">
        <v>50099</v>
      </c>
      <c r="W3724" t="s">
        <v>42160</v>
      </c>
      <c r="X3724" t="s">
        <v>44763</v>
      </c>
    </row>
    <row r="3725" spans="1:24">
      <c r="A3725">
        <f>HYPERLINK("https://www.philgeps.gov.ph/GEPSNONPILOT/Tender/SplashBidNoticeAbstractUI.aspx?menuIndex=3&amp;refID=7150290&amp;Result=3","7150290")</f>
        <v>0</v>
      </c>
      <c r="B3725" t="s">
        <v>593</v>
      </c>
      <c r="C3725" t="s">
        <v>7301</v>
      </c>
      <c r="D3725" t="s">
        <v>18031</v>
      </c>
      <c r="E3725" t="s">
        <v>21387</v>
      </c>
      <c r="F3725" t="s">
        <v>30900</v>
      </c>
      <c r="G3725" t="s">
        <v>30908</v>
      </c>
      <c r="H3725" t="s">
        <v>30916</v>
      </c>
      <c r="I3725" t="s">
        <v>30939</v>
      </c>
      <c r="J3725" t="s">
        <v>33618</v>
      </c>
      <c r="K3725" t="s">
        <v>40285</v>
      </c>
      <c r="M3725" t="s">
        <v>41155</v>
      </c>
      <c r="N3725" t="s">
        <v>44759</v>
      </c>
      <c r="O3725" t="s">
        <v>44760</v>
      </c>
      <c r="P3725">
        <v>0</v>
      </c>
      <c r="Q3725">
        <v>0</v>
      </c>
      <c r="R3725" t="s">
        <v>44762</v>
      </c>
      <c r="S3725" t="s">
        <v>44863</v>
      </c>
      <c r="T3725" t="s">
        <v>46379</v>
      </c>
      <c r="U3725" t="s">
        <v>50100</v>
      </c>
      <c r="W3725" t="s">
        <v>41155</v>
      </c>
      <c r="X3725" t="s">
        <v>44763</v>
      </c>
    </row>
    <row r="3726" spans="1:24">
      <c r="A3726">
        <f>HYPERLINK("https://www.philgeps.gov.ph/GEPSNONPILOT/Tender/SplashBidNoticeAbstractUI.aspx?menuIndex=3&amp;refID=7150289&amp;Result=3","7150289")</f>
        <v>0</v>
      </c>
      <c r="B3726" t="s">
        <v>1487</v>
      </c>
      <c r="C3726" t="s">
        <v>7302</v>
      </c>
      <c r="D3726" t="s">
        <v>18011</v>
      </c>
      <c r="E3726" t="s">
        <v>21388</v>
      </c>
      <c r="F3726" t="s">
        <v>30900</v>
      </c>
      <c r="G3726" t="s">
        <v>30909</v>
      </c>
      <c r="H3726" t="s">
        <v>30916</v>
      </c>
      <c r="I3726" t="s">
        <v>4545</v>
      </c>
      <c r="J3726" t="s">
        <v>31070</v>
      </c>
      <c r="K3726" t="s">
        <v>40283</v>
      </c>
      <c r="M3726" t="s">
        <v>42124</v>
      </c>
      <c r="N3726" t="s">
        <v>44759</v>
      </c>
      <c r="O3726" t="s">
        <v>44760</v>
      </c>
      <c r="P3726">
        <v>0</v>
      </c>
      <c r="Q3726">
        <v>0</v>
      </c>
      <c r="R3726" t="s">
        <v>44762</v>
      </c>
      <c r="S3726" t="s">
        <v>44863</v>
      </c>
      <c r="T3726" t="s">
        <v>46553</v>
      </c>
      <c r="U3726" t="s">
        <v>50101</v>
      </c>
      <c r="W3726" t="s">
        <v>42124</v>
      </c>
      <c r="X3726" t="s">
        <v>44763</v>
      </c>
    </row>
    <row r="3727" spans="1:24">
      <c r="A3727">
        <f>HYPERLINK("https://www.philgeps.gov.ph/GEPSNONPILOT/Tender/SplashBidNoticeAbstractUI.aspx?menuIndex=3&amp;refID=7150288&amp;Result=3","7150288")</f>
        <v>0</v>
      </c>
      <c r="B3727" t="s">
        <v>1423</v>
      </c>
      <c r="C3727" t="s">
        <v>7010</v>
      </c>
      <c r="D3727" t="s">
        <v>18013</v>
      </c>
      <c r="E3727" t="s">
        <v>21389</v>
      </c>
      <c r="F3727" t="s">
        <v>30900</v>
      </c>
      <c r="G3727" t="s">
        <v>30907</v>
      </c>
      <c r="H3727" t="s">
        <v>30916</v>
      </c>
      <c r="I3727" t="s">
        <v>30924</v>
      </c>
      <c r="J3727" t="s">
        <v>33641</v>
      </c>
      <c r="K3727" t="s">
        <v>40289</v>
      </c>
      <c r="M3727" t="s">
        <v>42053</v>
      </c>
      <c r="N3727" t="s">
        <v>44759</v>
      </c>
      <c r="O3727" t="s">
        <v>44760</v>
      </c>
      <c r="P3727">
        <v>0</v>
      </c>
      <c r="Q3727">
        <v>2</v>
      </c>
      <c r="R3727" t="s">
        <v>44762</v>
      </c>
      <c r="S3727" t="s">
        <v>44863</v>
      </c>
      <c r="T3727" t="s">
        <v>46371</v>
      </c>
      <c r="U3727" t="s">
        <v>50102</v>
      </c>
      <c r="V3727" t="s">
        <v>59535</v>
      </c>
      <c r="W3727" t="s">
        <v>42053</v>
      </c>
      <c r="X3727" t="s">
        <v>44763</v>
      </c>
    </row>
    <row r="3728" spans="1:24">
      <c r="A3728">
        <f>HYPERLINK("https://www.philgeps.gov.ph/GEPSNONPILOT/Tender/SplashBidNoticeAbstractUI.aspx?menuIndex=3&amp;refID=7150305&amp;Result=3","7150305")</f>
        <v>0</v>
      </c>
      <c r="B3728" t="s">
        <v>1520</v>
      </c>
      <c r="C3728" t="s">
        <v>7303</v>
      </c>
      <c r="D3728" t="s">
        <v>17963</v>
      </c>
      <c r="E3728" t="s">
        <v>18234</v>
      </c>
      <c r="F3728" t="s">
        <v>30900</v>
      </c>
      <c r="G3728" t="s">
        <v>30908</v>
      </c>
      <c r="H3728" t="s">
        <v>30916</v>
      </c>
      <c r="I3728" t="s">
        <v>30980</v>
      </c>
      <c r="J3728" t="s">
        <v>31049</v>
      </c>
      <c r="K3728" t="s">
        <v>40283</v>
      </c>
      <c r="M3728" t="s">
        <v>42161</v>
      </c>
      <c r="N3728" t="s">
        <v>44759</v>
      </c>
      <c r="O3728" t="s">
        <v>44760</v>
      </c>
      <c r="P3728">
        <v>0</v>
      </c>
      <c r="Q3728">
        <v>2</v>
      </c>
      <c r="R3728" t="s">
        <v>44762</v>
      </c>
      <c r="S3728" t="s">
        <v>44863</v>
      </c>
      <c r="T3728" t="s">
        <v>46379</v>
      </c>
      <c r="U3728" t="s">
        <v>50103</v>
      </c>
      <c r="W3728" t="s">
        <v>42161</v>
      </c>
      <c r="X3728" t="s">
        <v>44763</v>
      </c>
    </row>
    <row r="3729" spans="1:24">
      <c r="A3729">
        <f>HYPERLINK("https://www.philgeps.gov.ph/GEPSNONPILOT/Tender/SplashBidNoticeAbstractUI.aspx?menuIndex=3&amp;refID=7150274&amp;Result=3","7150274")</f>
        <v>0</v>
      </c>
      <c r="B3729" t="s">
        <v>359</v>
      </c>
      <c r="C3729" t="s">
        <v>7304</v>
      </c>
      <c r="D3729" t="s">
        <v>17960</v>
      </c>
      <c r="E3729" t="s">
        <v>21390</v>
      </c>
      <c r="F3729" t="s">
        <v>30900</v>
      </c>
      <c r="G3729" t="s">
        <v>30908</v>
      </c>
      <c r="H3729" t="s">
        <v>30916</v>
      </c>
      <c r="I3729" t="s">
        <v>8123</v>
      </c>
      <c r="J3729" t="s">
        <v>33642</v>
      </c>
      <c r="K3729" t="s">
        <v>40287</v>
      </c>
      <c r="L3729" t="s">
        <v>359</v>
      </c>
      <c r="M3729" t="s">
        <v>40913</v>
      </c>
      <c r="N3729" t="s">
        <v>44759</v>
      </c>
      <c r="O3729" t="s">
        <v>44760</v>
      </c>
      <c r="P3729">
        <v>0</v>
      </c>
      <c r="Q3729">
        <v>0</v>
      </c>
      <c r="R3729" t="s">
        <v>44762</v>
      </c>
      <c r="S3729" t="s">
        <v>44863</v>
      </c>
      <c r="T3729" t="s">
        <v>46390</v>
      </c>
      <c r="U3729" t="s">
        <v>50104</v>
      </c>
      <c r="W3729" t="s">
        <v>40913</v>
      </c>
      <c r="X3729" t="s">
        <v>44763</v>
      </c>
    </row>
    <row r="3730" spans="1:24">
      <c r="A3730">
        <f>HYPERLINK("https://www.philgeps.gov.ph/GEPSNONPILOT/Tender/SplashBidNoticeAbstractUI.aspx?menuIndex=3&amp;refID=7150304&amp;Result=3","7150304")</f>
        <v>0</v>
      </c>
      <c r="B3730" t="s">
        <v>626</v>
      </c>
      <c r="C3730" t="s">
        <v>7305</v>
      </c>
      <c r="E3730" t="s">
        <v>21391</v>
      </c>
      <c r="F3730" t="s">
        <v>30900</v>
      </c>
      <c r="G3730" t="s">
        <v>30910</v>
      </c>
      <c r="H3730" t="s">
        <v>30916</v>
      </c>
      <c r="I3730" t="s">
        <v>6396</v>
      </c>
      <c r="J3730" t="s">
        <v>31522</v>
      </c>
      <c r="K3730" t="s">
        <v>40289</v>
      </c>
      <c r="M3730" t="s">
        <v>41188</v>
      </c>
      <c r="N3730" t="s">
        <v>44759</v>
      </c>
      <c r="O3730" t="s">
        <v>44760</v>
      </c>
      <c r="P3730">
        <v>0</v>
      </c>
      <c r="Q3730">
        <v>2</v>
      </c>
      <c r="R3730" t="s">
        <v>44762</v>
      </c>
      <c r="S3730" t="s">
        <v>44863</v>
      </c>
      <c r="T3730" t="s">
        <v>46414</v>
      </c>
      <c r="U3730" t="s">
        <v>50105</v>
      </c>
      <c r="V3730" t="s">
        <v>59268</v>
      </c>
      <c r="W3730" t="s">
        <v>41188</v>
      </c>
      <c r="X3730" t="s">
        <v>44763</v>
      </c>
    </row>
    <row r="3731" spans="1:24">
      <c r="A3731">
        <f>HYPERLINK("https://www.philgeps.gov.ph/GEPSNONPILOT/Tender/SplashBidNoticeAbstractUI.aspx?menuIndex=3&amp;refID=7150302&amp;Result=3","7150302")</f>
        <v>0</v>
      </c>
      <c r="B3731" t="s">
        <v>367</v>
      </c>
      <c r="C3731" t="s">
        <v>7306</v>
      </c>
      <c r="D3731" t="s">
        <v>18002</v>
      </c>
      <c r="E3731" t="s">
        <v>21012</v>
      </c>
      <c r="F3731" t="s">
        <v>30900</v>
      </c>
      <c r="G3731" t="s">
        <v>30908</v>
      </c>
      <c r="H3731" t="s">
        <v>30916</v>
      </c>
      <c r="I3731" t="s">
        <v>4545</v>
      </c>
      <c r="J3731" t="s">
        <v>33643</v>
      </c>
      <c r="K3731" t="s">
        <v>40285</v>
      </c>
      <c r="M3731" t="s">
        <v>40921</v>
      </c>
      <c r="N3731" t="s">
        <v>44759</v>
      </c>
      <c r="O3731" t="s">
        <v>44760</v>
      </c>
      <c r="P3731">
        <v>0</v>
      </c>
      <c r="Q3731">
        <v>3</v>
      </c>
      <c r="R3731" t="s">
        <v>44762</v>
      </c>
      <c r="S3731" t="s">
        <v>44863</v>
      </c>
      <c r="T3731" t="s">
        <v>46577</v>
      </c>
      <c r="U3731" t="s">
        <v>50106</v>
      </c>
      <c r="W3731" t="s">
        <v>40921</v>
      </c>
      <c r="X3731" t="s">
        <v>44763</v>
      </c>
    </row>
    <row r="3732" spans="1:24">
      <c r="A3732">
        <f>HYPERLINK("https://www.philgeps.gov.ph/GEPSNONPILOT/Tender/SplashBidNoticeAbstractUI.aspx?menuIndex=3&amp;refID=7150287&amp;Result=3","7150287")</f>
        <v>0</v>
      </c>
      <c r="B3732" t="s">
        <v>1423</v>
      </c>
      <c r="C3732" t="s">
        <v>7307</v>
      </c>
      <c r="D3732" t="s">
        <v>18013</v>
      </c>
      <c r="E3732" t="s">
        <v>21392</v>
      </c>
      <c r="F3732" t="s">
        <v>30900</v>
      </c>
      <c r="G3732" t="s">
        <v>30907</v>
      </c>
      <c r="H3732" t="s">
        <v>30916</v>
      </c>
      <c r="I3732" t="s">
        <v>30923</v>
      </c>
      <c r="J3732" t="s">
        <v>31096</v>
      </c>
      <c r="K3732" t="s">
        <v>40289</v>
      </c>
      <c r="M3732" t="s">
        <v>42130</v>
      </c>
      <c r="N3732" t="s">
        <v>44759</v>
      </c>
      <c r="O3732" t="s">
        <v>44760</v>
      </c>
      <c r="P3732">
        <v>0</v>
      </c>
      <c r="Q3732">
        <v>3</v>
      </c>
      <c r="R3732" t="s">
        <v>44762</v>
      </c>
      <c r="S3732" t="s">
        <v>44863</v>
      </c>
      <c r="T3732" t="s">
        <v>46371</v>
      </c>
      <c r="U3732" t="s">
        <v>50107</v>
      </c>
      <c r="W3732" t="s">
        <v>42130</v>
      </c>
      <c r="X3732" t="s">
        <v>44763</v>
      </c>
    </row>
    <row r="3733" spans="1:24">
      <c r="A3733">
        <f>HYPERLINK("https://www.philgeps.gov.ph/GEPSNONPILOT/Tender/SplashBidNoticeAbstractUI.aspx?menuIndex=3&amp;refID=7150306&amp;Result=3","7150306")</f>
        <v>0</v>
      </c>
      <c r="B3733" t="s">
        <v>1515</v>
      </c>
      <c r="C3733" t="s">
        <v>7308</v>
      </c>
      <c r="D3733" t="s">
        <v>18020</v>
      </c>
      <c r="E3733" t="s">
        <v>21393</v>
      </c>
      <c r="F3733" t="s">
        <v>30900</v>
      </c>
      <c r="G3733" t="s">
        <v>30908</v>
      </c>
      <c r="H3733" t="s">
        <v>30916</v>
      </c>
      <c r="I3733" t="s">
        <v>4142</v>
      </c>
      <c r="J3733" t="s">
        <v>31259</v>
      </c>
      <c r="K3733" t="s">
        <v>40287</v>
      </c>
      <c r="M3733" t="s">
        <v>42156</v>
      </c>
      <c r="N3733" t="s">
        <v>44759</v>
      </c>
      <c r="O3733" t="s">
        <v>44760</v>
      </c>
      <c r="P3733">
        <v>0</v>
      </c>
      <c r="Q3733">
        <v>1</v>
      </c>
      <c r="R3733" t="s">
        <v>44762</v>
      </c>
      <c r="S3733" t="s">
        <v>44863</v>
      </c>
      <c r="T3733" t="s">
        <v>46483</v>
      </c>
      <c r="U3733" t="s">
        <v>50108</v>
      </c>
      <c r="W3733" t="s">
        <v>42156</v>
      </c>
      <c r="X3733" t="s">
        <v>44763</v>
      </c>
    </row>
    <row r="3734" spans="1:24">
      <c r="A3734">
        <f>HYPERLINK("https://www.philgeps.gov.ph/GEPSNONPILOT/Tender/SplashBidNoticeAbstractUI.aspx?menuIndex=3&amp;refID=7150284&amp;Result=3","7150284")</f>
        <v>0</v>
      </c>
      <c r="B3734" t="s">
        <v>1508</v>
      </c>
      <c r="C3734" t="s">
        <v>7309</v>
      </c>
      <c r="D3734" t="s">
        <v>17978</v>
      </c>
      <c r="E3734" t="s">
        <v>21394</v>
      </c>
      <c r="F3734" t="s">
        <v>30900</v>
      </c>
      <c r="G3734" t="s">
        <v>30908</v>
      </c>
      <c r="H3734" t="s">
        <v>30916</v>
      </c>
      <c r="I3734" t="s">
        <v>30923</v>
      </c>
      <c r="J3734" t="s">
        <v>33644</v>
      </c>
      <c r="K3734" t="s">
        <v>40283</v>
      </c>
      <c r="M3734" t="s">
        <v>42149</v>
      </c>
      <c r="N3734" t="s">
        <v>44759</v>
      </c>
      <c r="O3734" t="s">
        <v>44760</v>
      </c>
      <c r="P3734">
        <v>0</v>
      </c>
      <c r="Q3734">
        <v>4</v>
      </c>
      <c r="R3734" t="s">
        <v>44762</v>
      </c>
      <c r="S3734" t="s">
        <v>44863</v>
      </c>
      <c r="T3734" t="s">
        <v>46398</v>
      </c>
      <c r="U3734" t="s">
        <v>50109</v>
      </c>
      <c r="W3734" t="s">
        <v>42149</v>
      </c>
      <c r="X3734" t="s">
        <v>44763</v>
      </c>
    </row>
    <row r="3735" spans="1:24">
      <c r="A3735">
        <f>HYPERLINK("https://www.philgeps.gov.ph/GEPSNONPILOT/Tender/SplashBidNoticeAbstractUI.aspx?menuIndex=3&amp;refID=7150298&amp;Result=3","7150298")</f>
        <v>0</v>
      </c>
      <c r="B3735" t="s">
        <v>399</v>
      </c>
      <c r="C3735" t="s">
        <v>7310</v>
      </c>
      <c r="D3735" t="s">
        <v>17977</v>
      </c>
      <c r="E3735" t="s">
        <v>21395</v>
      </c>
      <c r="F3735" t="s">
        <v>30900</v>
      </c>
      <c r="G3735" t="s">
        <v>30908</v>
      </c>
      <c r="H3735" t="s">
        <v>30916</v>
      </c>
      <c r="I3735" t="s">
        <v>30939</v>
      </c>
      <c r="J3735" t="s">
        <v>32540</v>
      </c>
      <c r="K3735" t="s">
        <v>40283</v>
      </c>
      <c r="M3735" t="s">
        <v>40954</v>
      </c>
      <c r="N3735" t="s">
        <v>44759</v>
      </c>
      <c r="O3735" t="s">
        <v>44760</v>
      </c>
      <c r="P3735">
        <v>0</v>
      </c>
      <c r="Q3735">
        <v>0</v>
      </c>
      <c r="R3735" t="s">
        <v>44762</v>
      </c>
      <c r="S3735" t="s">
        <v>44863</v>
      </c>
      <c r="T3735" t="s">
        <v>46351</v>
      </c>
      <c r="U3735" t="s">
        <v>47585</v>
      </c>
      <c r="W3735" t="s">
        <v>40954</v>
      </c>
      <c r="X3735" t="s">
        <v>44763</v>
      </c>
    </row>
    <row r="3736" spans="1:24">
      <c r="A3736">
        <f>HYPERLINK("https://www.philgeps.gov.ph/GEPSNONPILOT/Tender/SplashBidNoticeAbstractUI.aspx?menuIndex=3&amp;refID=7150268&amp;Result=3","7150268")</f>
        <v>0</v>
      </c>
      <c r="B3736" t="s">
        <v>908</v>
      </c>
      <c r="C3736" t="s">
        <v>7311</v>
      </c>
      <c r="D3736" t="s">
        <v>17952</v>
      </c>
      <c r="E3736" t="s">
        <v>21396</v>
      </c>
      <c r="F3736" t="s">
        <v>30900</v>
      </c>
      <c r="G3736" t="s">
        <v>30907</v>
      </c>
      <c r="H3736" t="s">
        <v>30916</v>
      </c>
      <c r="I3736" t="s">
        <v>8123</v>
      </c>
      <c r="J3736" t="s">
        <v>33645</v>
      </c>
      <c r="K3736" t="s">
        <v>40286</v>
      </c>
      <c r="M3736" t="s">
        <v>42162</v>
      </c>
      <c r="N3736" t="s">
        <v>44759</v>
      </c>
      <c r="O3736" t="s">
        <v>44760</v>
      </c>
      <c r="P3736">
        <v>0</v>
      </c>
      <c r="Q3736">
        <v>1</v>
      </c>
      <c r="R3736" t="s">
        <v>44762</v>
      </c>
      <c r="S3736" t="s">
        <v>44863</v>
      </c>
      <c r="T3736" t="s">
        <v>46439</v>
      </c>
      <c r="U3736" t="s">
        <v>50110</v>
      </c>
      <c r="W3736" t="s">
        <v>41483</v>
      </c>
      <c r="X3736" t="s">
        <v>44763</v>
      </c>
    </row>
    <row r="3737" spans="1:24">
      <c r="A3737">
        <f>HYPERLINK("https://www.philgeps.gov.ph/GEPSNONPILOT/Tender/SplashBidNoticeAbstractUI.aspx?menuIndex=3&amp;refID=7150303&amp;Result=3","7150303")</f>
        <v>0</v>
      </c>
      <c r="B3737" t="s">
        <v>1393</v>
      </c>
      <c r="C3737" t="s">
        <v>7312</v>
      </c>
      <c r="E3737" t="s">
        <v>21397</v>
      </c>
      <c r="F3737" t="s">
        <v>30900</v>
      </c>
      <c r="G3737" t="s">
        <v>30908</v>
      </c>
      <c r="H3737" t="s">
        <v>30916</v>
      </c>
      <c r="I3737" t="s">
        <v>4142</v>
      </c>
      <c r="J3737" t="s">
        <v>33646</v>
      </c>
      <c r="K3737" t="s">
        <v>40289</v>
      </c>
      <c r="M3737" t="s">
        <v>42018</v>
      </c>
      <c r="N3737" t="s">
        <v>44759</v>
      </c>
      <c r="O3737" t="s">
        <v>44760</v>
      </c>
      <c r="P3737">
        <v>0</v>
      </c>
      <c r="Q3737">
        <v>1</v>
      </c>
      <c r="R3737" t="s">
        <v>44762</v>
      </c>
      <c r="S3737" t="s">
        <v>44863</v>
      </c>
      <c r="T3737" t="s">
        <v>46379</v>
      </c>
      <c r="U3737" t="s">
        <v>47043</v>
      </c>
      <c r="W3737" t="s">
        <v>42018</v>
      </c>
      <c r="X3737" t="s">
        <v>44763</v>
      </c>
    </row>
    <row r="3738" spans="1:24">
      <c r="A3738">
        <f>HYPERLINK("https://www.philgeps.gov.ph/GEPSNONPILOT/Tender/SplashBidNoticeAbstractUI.aspx?menuIndex=3&amp;refID=7150320&amp;Result=3","7150320")</f>
        <v>0</v>
      </c>
      <c r="B3738" t="s">
        <v>399</v>
      </c>
      <c r="C3738" t="s">
        <v>7313</v>
      </c>
      <c r="D3738" t="s">
        <v>17977</v>
      </c>
      <c r="E3738" t="s">
        <v>21398</v>
      </c>
      <c r="F3738" t="s">
        <v>30900</v>
      </c>
      <c r="G3738" t="s">
        <v>30908</v>
      </c>
      <c r="H3738" t="s">
        <v>30916</v>
      </c>
      <c r="I3738" t="s">
        <v>8123</v>
      </c>
      <c r="J3738" t="s">
        <v>33647</v>
      </c>
      <c r="K3738" t="s">
        <v>40283</v>
      </c>
      <c r="M3738" t="s">
        <v>40954</v>
      </c>
      <c r="N3738" t="s">
        <v>44759</v>
      </c>
      <c r="O3738" t="s">
        <v>44760</v>
      </c>
      <c r="P3738">
        <v>0</v>
      </c>
      <c r="Q3738">
        <v>0</v>
      </c>
      <c r="R3738" t="s">
        <v>44762</v>
      </c>
      <c r="S3738" t="s">
        <v>44863</v>
      </c>
      <c r="T3738" t="s">
        <v>46351</v>
      </c>
      <c r="U3738" t="s">
        <v>47585</v>
      </c>
      <c r="W3738" t="s">
        <v>40954</v>
      </c>
      <c r="X3738" t="s">
        <v>44763</v>
      </c>
    </row>
    <row r="3739" spans="1:24">
      <c r="A3739">
        <f>HYPERLINK("https://www.philgeps.gov.ph/GEPSNONPILOT/Tender/SplashBidNoticeAbstractUI.aspx?menuIndex=3&amp;refID=7150301&amp;Result=3","7150301")</f>
        <v>0</v>
      </c>
      <c r="B3739" t="s">
        <v>1512</v>
      </c>
      <c r="C3739" t="s">
        <v>7314</v>
      </c>
      <c r="D3739" t="s">
        <v>17963</v>
      </c>
      <c r="E3739" t="s">
        <v>21399</v>
      </c>
      <c r="F3739" t="s">
        <v>30900</v>
      </c>
      <c r="G3739" t="s">
        <v>30907</v>
      </c>
      <c r="H3739" t="s">
        <v>30915</v>
      </c>
      <c r="I3739" t="s">
        <v>30919</v>
      </c>
      <c r="J3739" t="s">
        <v>33648</v>
      </c>
      <c r="K3739" t="s">
        <v>40390</v>
      </c>
      <c r="L3739" t="s">
        <v>1512</v>
      </c>
      <c r="M3739" t="s">
        <v>42153</v>
      </c>
      <c r="N3739" t="s">
        <v>44759</v>
      </c>
      <c r="O3739" t="s">
        <v>44760</v>
      </c>
      <c r="P3739">
        <v>0</v>
      </c>
      <c r="Q3739">
        <v>1</v>
      </c>
      <c r="R3739" t="s">
        <v>44762</v>
      </c>
      <c r="S3739" t="s">
        <v>44863</v>
      </c>
      <c r="T3739" t="s">
        <v>46475</v>
      </c>
      <c r="U3739" t="s">
        <v>50072</v>
      </c>
      <c r="W3739" t="s">
        <v>42153</v>
      </c>
      <c r="X3739" t="s">
        <v>44763</v>
      </c>
    </row>
    <row r="3740" spans="1:24">
      <c r="A3740">
        <f>HYPERLINK("https://www.philgeps.gov.ph/GEPSNONPILOT/Tender/SplashBidNoticeAbstractUI.aspx?menuIndex=3&amp;refID=7150317&amp;Result=3","7150317")</f>
        <v>0</v>
      </c>
      <c r="B3740" t="s">
        <v>413</v>
      </c>
      <c r="C3740" t="s">
        <v>7315</v>
      </c>
      <c r="D3740" t="s">
        <v>17993</v>
      </c>
      <c r="E3740" t="s">
        <v>18366</v>
      </c>
      <c r="F3740" t="s">
        <v>30900</v>
      </c>
      <c r="G3740" t="s">
        <v>30908</v>
      </c>
      <c r="H3740" t="s">
        <v>30915</v>
      </c>
      <c r="I3740" t="s">
        <v>30919</v>
      </c>
      <c r="J3740" t="s">
        <v>33649</v>
      </c>
      <c r="K3740" t="s">
        <v>40289</v>
      </c>
      <c r="M3740" t="s">
        <v>40969</v>
      </c>
      <c r="N3740" t="s">
        <v>44759</v>
      </c>
      <c r="O3740" t="s">
        <v>44760</v>
      </c>
      <c r="P3740">
        <v>0</v>
      </c>
      <c r="Q3740">
        <v>0</v>
      </c>
      <c r="R3740" t="s">
        <v>44762</v>
      </c>
      <c r="S3740" t="s">
        <v>44863</v>
      </c>
      <c r="T3740" t="s">
        <v>46414</v>
      </c>
      <c r="U3740" t="s">
        <v>50111</v>
      </c>
      <c r="W3740" t="s">
        <v>40969</v>
      </c>
      <c r="X3740" t="s">
        <v>44763</v>
      </c>
    </row>
    <row r="3741" spans="1:24">
      <c r="A3741">
        <f>HYPERLINK("https://www.philgeps.gov.ph/GEPSNONPILOT/Tender/SplashBidNoticeAbstractUI.aspx?menuIndex=3&amp;refID=7150299&amp;Result=3","7150299")</f>
        <v>0</v>
      </c>
      <c r="B3741" t="s">
        <v>593</v>
      </c>
      <c r="C3741" t="s">
        <v>7316</v>
      </c>
      <c r="D3741" t="s">
        <v>18031</v>
      </c>
      <c r="E3741" t="s">
        <v>21400</v>
      </c>
      <c r="F3741" t="s">
        <v>30900</v>
      </c>
      <c r="G3741" t="s">
        <v>30908</v>
      </c>
      <c r="H3741" t="s">
        <v>30916</v>
      </c>
      <c r="I3741" t="s">
        <v>30939</v>
      </c>
      <c r="J3741" t="s">
        <v>33650</v>
      </c>
      <c r="K3741" t="s">
        <v>40285</v>
      </c>
      <c r="M3741" t="s">
        <v>41155</v>
      </c>
      <c r="N3741" t="s">
        <v>44759</v>
      </c>
      <c r="O3741" t="s">
        <v>44760</v>
      </c>
      <c r="P3741">
        <v>0</v>
      </c>
      <c r="Q3741">
        <v>0</v>
      </c>
      <c r="R3741" t="s">
        <v>44762</v>
      </c>
      <c r="S3741" t="s">
        <v>44863</v>
      </c>
      <c r="T3741" t="s">
        <v>46379</v>
      </c>
      <c r="U3741" t="s">
        <v>49974</v>
      </c>
      <c r="W3741" t="s">
        <v>41155</v>
      </c>
      <c r="X3741" t="s">
        <v>44763</v>
      </c>
    </row>
    <row r="3742" spans="1:24">
      <c r="A3742">
        <f>HYPERLINK("https://www.philgeps.gov.ph/GEPSNONPILOT/Tender/SplashBidNoticeAbstractUI.aspx?menuIndex=3&amp;refID=7150285&amp;Result=3","7150285")</f>
        <v>0</v>
      </c>
      <c r="B3742" t="s">
        <v>888</v>
      </c>
      <c r="C3742" t="s">
        <v>7317</v>
      </c>
      <c r="D3742" t="s">
        <v>17951</v>
      </c>
      <c r="E3742" t="s">
        <v>21401</v>
      </c>
      <c r="F3742" t="s">
        <v>30900</v>
      </c>
      <c r="G3742" t="s">
        <v>30907</v>
      </c>
      <c r="H3742" t="s">
        <v>30916</v>
      </c>
      <c r="I3742" t="s">
        <v>4017</v>
      </c>
      <c r="J3742" t="s">
        <v>31352</v>
      </c>
      <c r="K3742" t="s">
        <v>40308</v>
      </c>
      <c r="M3742" t="s">
        <v>41461</v>
      </c>
      <c r="N3742" t="s">
        <v>44759</v>
      </c>
      <c r="O3742" t="s">
        <v>44760</v>
      </c>
      <c r="P3742">
        <v>0</v>
      </c>
      <c r="Q3742">
        <v>0</v>
      </c>
      <c r="R3742" t="s">
        <v>44762</v>
      </c>
      <c r="S3742" t="s">
        <v>44863</v>
      </c>
      <c r="T3742" t="s">
        <v>46558</v>
      </c>
      <c r="U3742" t="s">
        <v>50112</v>
      </c>
      <c r="V3742" t="s">
        <v>59536</v>
      </c>
      <c r="W3742" t="s">
        <v>41461</v>
      </c>
      <c r="X3742" t="s">
        <v>44763</v>
      </c>
    </row>
    <row r="3743" spans="1:24">
      <c r="A3743">
        <f>HYPERLINK("https://www.philgeps.gov.ph/GEPSNONPILOT/Tender/SplashBidNoticeAbstractUI.aspx?menuIndex=3&amp;refID=7150329&amp;Result=3","7150329")</f>
        <v>0</v>
      </c>
      <c r="B3743" t="s">
        <v>1203</v>
      </c>
      <c r="C3743" t="s">
        <v>7318</v>
      </c>
      <c r="D3743" t="s">
        <v>17953</v>
      </c>
      <c r="E3743" t="s">
        <v>21402</v>
      </c>
      <c r="F3743" t="s">
        <v>30900</v>
      </c>
      <c r="G3743" t="s">
        <v>30907</v>
      </c>
      <c r="H3743" t="s">
        <v>30916</v>
      </c>
      <c r="I3743" t="s">
        <v>8123</v>
      </c>
      <c r="J3743" t="s">
        <v>33651</v>
      </c>
      <c r="K3743" t="s">
        <v>40289</v>
      </c>
      <c r="M3743" t="s">
        <v>41814</v>
      </c>
      <c r="N3743" t="s">
        <v>44759</v>
      </c>
      <c r="O3743" t="s">
        <v>44760</v>
      </c>
      <c r="P3743">
        <v>0</v>
      </c>
      <c r="Q3743">
        <v>0</v>
      </c>
      <c r="R3743" t="s">
        <v>44762</v>
      </c>
      <c r="S3743" t="s">
        <v>44863</v>
      </c>
      <c r="T3743" t="s">
        <v>46387</v>
      </c>
      <c r="U3743" t="s">
        <v>50113</v>
      </c>
      <c r="V3743" t="s">
        <v>59431</v>
      </c>
      <c r="W3743" t="s">
        <v>41814</v>
      </c>
      <c r="X3743" t="s">
        <v>44763</v>
      </c>
    </row>
    <row r="3744" spans="1:24">
      <c r="A3744">
        <f>HYPERLINK("https://www.philgeps.gov.ph/GEPSNONPILOT/Tender/SplashBidNoticeAbstractUI.aspx?menuIndex=3&amp;refID=7150267&amp;Result=3","7150267")</f>
        <v>0</v>
      </c>
      <c r="B3744" t="s">
        <v>1155</v>
      </c>
      <c r="C3744" t="s">
        <v>7319</v>
      </c>
      <c r="D3744" t="s">
        <v>17968</v>
      </c>
      <c r="E3744" t="s">
        <v>21403</v>
      </c>
      <c r="F3744" t="s">
        <v>30900</v>
      </c>
      <c r="G3744" t="s">
        <v>30910</v>
      </c>
      <c r="H3744" t="s">
        <v>30916</v>
      </c>
      <c r="I3744" t="s">
        <v>4142</v>
      </c>
      <c r="J3744" t="s">
        <v>33652</v>
      </c>
      <c r="K3744" t="s">
        <v>40284</v>
      </c>
      <c r="M3744" t="s">
        <v>41761</v>
      </c>
      <c r="N3744" t="s">
        <v>44759</v>
      </c>
      <c r="O3744" t="s">
        <v>44760</v>
      </c>
      <c r="P3744">
        <v>0</v>
      </c>
      <c r="Q3744">
        <v>2</v>
      </c>
      <c r="R3744" t="s">
        <v>44762</v>
      </c>
      <c r="S3744" t="s">
        <v>44863</v>
      </c>
      <c r="T3744" t="s">
        <v>46414</v>
      </c>
      <c r="U3744" t="s">
        <v>50114</v>
      </c>
      <c r="W3744" t="s">
        <v>41761</v>
      </c>
      <c r="X3744" t="s">
        <v>44763</v>
      </c>
    </row>
    <row r="3745" spans="1:24">
      <c r="A3745">
        <f>HYPERLINK("https://www.philgeps.gov.ph/GEPSNONPILOT/Tender/SplashBidNoticeAbstractUI.aspx?menuIndex=3&amp;refID=7150328&amp;Result=3","7150328")</f>
        <v>0</v>
      </c>
      <c r="B3745" t="s">
        <v>824</v>
      </c>
      <c r="C3745" t="s">
        <v>7320</v>
      </c>
      <c r="D3745" t="s">
        <v>17962</v>
      </c>
      <c r="E3745" t="s">
        <v>21404</v>
      </c>
      <c r="F3745" t="s">
        <v>30900</v>
      </c>
      <c r="G3745" t="s">
        <v>30908</v>
      </c>
      <c r="H3745" t="s">
        <v>30916</v>
      </c>
      <c r="I3745" t="s">
        <v>30921</v>
      </c>
      <c r="J3745" t="s">
        <v>31082</v>
      </c>
      <c r="K3745" t="s">
        <v>40286</v>
      </c>
      <c r="M3745" t="s">
        <v>41396</v>
      </c>
      <c r="N3745" t="s">
        <v>44759</v>
      </c>
      <c r="O3745" t="s">
        <v>44760</v>
      </c>
      <c r="P3745">
        <v>0</v>
      </c>
      <c r="Q3745">
        <v>1</v>
      </c>
      <c r="R3745" t="s">
        <v>44762</v>
      </c>
      <c r="S3745" t="s">
        <v>44863</v>
      </c>
      <c r="T3745" t="s">
        <v>46363</v>
      </c>
      <c r="U3745" t="s">
        <v>48418</v>
      </c>
      <c r="W3745" t="s">
        <v>41396</v>
      </c>
      <c r="X3745" t="s">
        <v>44763</v>
      </c>
    </row>
    <row r="3746" spans="1:24">
      <c r="A3746">
        <f>HYPERLINK("https://www.philgeps.gov.ph/GEPSNONPILOT/Tender/SplashBidNoticeAbstractUI.aspx?menuIndex=3&amp;refID=7150325&amp;Result=3","7150325")</f>
        <v>0</v>
      </c>
      <c r="B3746" t="s">
        <v>1492</v>
      </c>
      <c r="C3746" t="s">
        <v>7321</v>
      </c>
      <c r="D3746" t="s">
        <v>17961</v>
      </c>
      <c r="E3746" t="s">
        <v>21302</v>
      </c>
      <c r="F3746" t="s">
        <v>30899</v>
      </c>
      <c r="G3746" t="s">
        <v>30907</v>
      </c>
      <c r="H3746" t="s">
        <v>30916</v>
      </c>
      <c r="I3746" t="s">
        <v>8123</v>
      </c>
      <c r="J3746" t="s">
        <v>33588</v>
      </c>
      <c r="K3746" t="s">
        <v>40284</v>
      </c>
      <c r="M3746" t="s">
        <v>42131</v>
      </c>
      <c r="N3746" t="s">
        <v>44759</v>
      </c>
      <c r="O3746" t="s">
        <v>44760</v>
      </c>
      <c r="P3746">
        <v>0</v>
      </c>
      <c r="Q3746">
        <v>0</v>
      </c>
      <c r="R3746" t="s">
        <v>44762</v>
      </c>
      <c r="S3746" t="s">
        <v>44863</v>
      </c>
      <c r="T3746" t="s">
        <v>46405</v>
      </c>
      <c r="U3746" t="s">
        <v>50115</v>
      </c>
      <c r="W3746" t="s">
        <v>42131</v>
      </c>
      <c r="X3746" t="s">
        <v>44763</v>
      </c>
    </row>
    <row r="3747" spans="1:24">
      <c r="A3747">
        <f>HYPERLINK("https://www.philgeps.gov.ph/GEPSNONPILOT/Tender/SplashBidNoticeAbstractUI.aspx?menuIndex=3&amp;refID=7150318&amp;Result=3","7150318")</f>
        <v>0</v>
      </c>
      <c r="B3747" t="s">
        <v>1521</v>
      </c>
      <c r="C3747" t="s">
        <v>7322</v>
      </c>
      <c r="D3747" t="s">
        <v>17959</v>
      </c>
      <c r="E3747" t="s">
        <v>21405</v>
      </c>
      <c r="F3747" t="s">
        <v>30900</v>
      </c>
      <c r="G3747" t="s">
        <v>30908</v>
      </c>
      <c r="H3747" t="s">
        <v>30917</v>
      </c>
      <c r="I3747" t="s">
        <v>5830</v>
      </c>
      <c r="J3747" t="s">
        <v>33653</v>
      </c>
      <c r="K3747" t="s">
        <v>40283</v>
      </c>
      <c r="M3747" t="s">
        <v>42163</v>
      </c>
      <c r="N3747" t="s">
        <v>44759</v>
      </c>
      <c r="O3747" t="s">
        <v>44760</v>
      </c>
      <c r="P3747">
        <v>0</v>
      </c>
      <c r="Q3747">
        <v>4</v>
      </c>
      <c r="R3747" t="s">
        <v>44762</v>
      </c>
      <c r="S3747" t="s">
        <v>44863</v>
      </c>
      <c r="T3747" t="s">
        <v>46649</v>
      </c>
      <c r="U3747" t="s">
        <v>50116</v>
      </c>
      <c r="W3747" t="s">
        <v>42163</v>
      </c>
      <c r="X3747" t="s">
        <v>44763</v>
      </c>
    </row>
    <row r="3748" spans="1:24">
      <c r="A3748">
        <f>HYPERLINK("https://www.philgeps.gov.ph/GEPSNONPILOT/Tender/SplashBidNoticeAbstractUI.aspx?menuIndex=3&amp;refID=7150315&amp;Result=3","7150315")</f>
        <v>0</v>
      </c>
      <c r="B3748" t="s">
        <v>1508</v>
      </c>
      <c r="C3748" t="s">
        <v>7323</v>
      </c>
      <c r="D3748" t="s">
        <v>17978</v>
      </c>
      <c r="E3748" t="s">
        <v>21406</v>
      </c>
      <c r="F3748" t="s">
        <v>30900</v>
      </c>
      <c r="G3748" t="s">
        <v>30908</v>
      </c>
      <c r="H3748" t="s">
        <v>30916</v>
      </c>
      <c r="I3748" t="s">
        <v>9385</v>
      </c>
      <c r="J3748" t="s">
        <v>33654</v>
      </c>
      <c r="K3748" t="s">
        <v>40283</v>
      </c>
      <c r="M3748" t="s">
        <v>42149</v>
      </c>
      <c r="N3748" t="s">
        <v>44759</v>
      </c>
      <c r="O3748" t="s">
        <v>44760</v>
      </c>
      <c r="P3748">
        <v>0</v>
      </c>
      <c r="Q3748">
        <v>3</v>
      </c>
      <c r="R3748" t="s">
        <v>44762</v>
      </c>
      <c r="S3748" t="s">
        <v>44863</v>
      </c>
      <c r="T3748" t="s">
        <v>46414</v>
      </c>
      <c r="U3748" t="s">
        <v>50117</v>
      </c>
      <c r="W3748" t="s">
        <v>42149</v>
      </c>
      <c r="X3748" t="s">
        <v>44763</v>
      </c>
    </row>
    <row r="3749" spans="1:24">
      <c r="A3749">
        <f>HYPERLINK("https://www.philgeps.gov.ph/GEPSNONPILOT/Tender/SplashBidNoticeAbstractUI.aspx?menuIndex=3&amp;refID=7150316&amp;Result=3","7150316")</f>
        <v>0</v>
      </c>
      <c r="B3749" t="s">
        <v>898</v>
      </c>
      <c r="C3749" t="s">
        <v>7324</v>
      </c>
      <c r="D3749" t="s">
        <v>17959</v>
      </c>
      <c r="E3749" t="s">
        <v>21407</v>
      </c>
      <c r="F3749" t="s">
        <v>30900</v>
      </c>
      <c r="G3749" t="s">
        <v>30907</v>
      </c>
      <c r="H3749" t="s">
        <v>30916</v>
      </c>
      <c r="I3749" t="s">
        <v>4108</v>
      </c>
      <c r="J3749" t="s">
        <v>33655</v>
      </c>
      <c r="K3749" t="s">
        <v>40287</v>
      </c>
      <c r="M3749" t="s">
        <v>41472</v>
      </c>
      <c r="N3749" t="s">
        <v>44759</v>
      </c>
      <c r="O3749" t="s">
        <v>44760</v>
      </c>
      <c r="P3749">
        <v>0</v>
      </c>
      <c r="Q3749">
        <v>2</v>
      </c>
      <c r="R3749" t="s">
        <v>44762</v>
      </c>
      <c r="S3749" t="s">
        <v>44863</v>
      </c>
      <c r="T3749" t="s">
        <v>46428</v>
      </c>
      <c r="U3749" t="s">
        <v>48560</v>
      </c>
      <c r="W3749" t="s">
        <v>41472</v>
      </c>
      <c r="X3749" t="s">
        <v>44763</v>
      </c>
    </row>
    <row r="3750" spans="1:24">
      <c r="A3750">
        <f>HYPERLINK("https://www.philgeps.gov.ph/GEPSNONPILOT/Tender/SplashBidNoticeAbstractUI.aspx?menuIndex=3&amp;refID=7150313&amp;Result=3","7150313")</f>
        <v>0</v>
      </c>
      <c r="B3750" t="s">
        <v>222</v>
      </c>
      <c r="C3750" t="s">
        <v>7325</v>
      </c>
      <c r="D3750" t="s">
        <v>17957</v>
      </c>
      <c r="E3750" t="s">
        <v>21408</v>
      </c>
      <c r="F3750" t="s">
        <v>30900</v>
      </c>
      <c r="G3750" t="s">
        <v>30908</v>
      </c>
      <c r="H3750" t="s">
        <v>30916</v>
      </c>
      <c r="I3750" t="s">
        <v>30951</v>
      </c>
      <c r="J3750" t="s">
        <v>33656</v>
      </c>
      <c r="K3750" t="s">
        <v>40283</v>
      </c>
      <c r="M3750" t="s">
        <v>41878</v>
      </c>
      <c r="N3750" t="s">
        <v>44759</v>
      </c>
      <c r="O3750" t="s">
        <v>44760</v>
      </c>
      <c r="P3750">
        <v>0</v>
      </c>
      <c r="Q3750">
        <v>5</v>
      </c>
      <c r="R3750" t="s">
        <v>44762</v>
      </c>
      <c r="S3750" t="s">
        <v>44863</v>
      </c>
      <c r="T3750" t="s">
        <v>46404</v>
      </c>
      <c r="U3750" t="s">
        <v>50118</v>
      </c>
      <c r="W3750" t="s">
        <v>41878</v>
      </c>
      <c r="X3750" t="s">
        <v>44763</v>
      </c>
    </row>
    <row r="3751" spans="1:24">
      <c r="A3751">
        <f>HYPERLINK("https://www.philgeps.gov.ph/GEPSNONPILOT/Tender/SplashBidNoticeAbstractUI.aspx?menuIndex=3&amp;refID=7150311&amp;Result=3","7150311")</f>
        <v>0</v>
      </c>
      <c r="B3751" t="s">
        <v>1522</v>
      </c>
      <c r="C3751" t="s">
        <v>7326</v>
      </c>
      <c r="E3751" t="s">
        <v>18094</v>
      </c>
      <c r="F3751" t="s">
        <v>30900</v>
      </c>
      <c r="G3751" t="s">
        <v>30907</v>
      </c>
      <c r="H3751" t="s">
        <v>30916</v>
      </c>
      <c r="I3751" t="s">
        <v>8123</v>
      </c>
      <c r="J3751" t="s">
        <v>33657</v>
      </c>
      <c r="K3751" t="s">
        <v>40289</v>
      </c>
      <c r="M3751" t="s">
        <v>42164</v>
      </c>
      <c r="N3751" t="s">
        <v>44759</v>
      </c>
      <c r="O3751" t="s">
        <v>44760</v>
      </c>
      <c r="P3751">
        <v>0</v>
      </c>
      <c r="Q3751">
        <v>0</v>
      </c>
      <c r="R3751" t="s">
        <v>44762</v>
      </c>
      <c r="S3751" t="s">
        <v>44863</v>
      </c>
      <c r="T3751" t="s">
        <v>46467</v>
      </c>
      <c r="U3751" t="s">
        <v>50119</v>
      </c>
      <c r="W3751" t="s">
        <v>42164</v>
      </c>
      <c r="X3751" t="s">
        <v>44763</v>
      </c>
    </row>
    <row r="3752" spans="1:24">
      <c r="A3752">
        <f>HYPERLINK("https://www.philgeps.gov.ph/GEPSNONPILOT/Tender/SplashBidNoticeAbstractUI.aspx?menuIndex=3&amp;refID=7150327&amp;Result=3","7150327")</f>
        <v>0</v>
      </c>
      <c r="B3752" t="s">
        <v>1423</v>
      </c>
      <c r="C3752" t="s">
        <v>6402</v>
      </c>
      <c r="D3752" t="s">
        <v>18013</v>
      </c>
      <c r="E3752" t="s">
        <v>21409</v>
      </c>
      <c r="F3752" t="s">
        <v>30900</v>
      </c>
      <c r="G3752" t="s">
        <v>30907</v>
      </c>
      <c r="H3752" t="s">
        <v>30916</v>
      </c>
      <c r="I3752" t="s">
        <v>8123</v>
      </c>
      <c r="J3752" t="s">
        <v>33658</v>
      </c>
      <c r="K3752" t="s">
        <v>40289</v>
      </c>
      <c r="M3752" t="s">
        <v>42130</v>
      </c>
      <c r="N3752" t="s">
        <v>44759</v>
      </c>
      <c r="O3752" t="s">
        <v>44760</v>
      </c>
      <c r="P3752">
        <v>0</v>
      </c>
      <c r="Q3752">
        <v>0</v>
      </c>
      <c r="R3752" t="s">
        <v>44762</v>
      </c>
      <c r="S3752" t="s">
        <v>44863</v>
      </c>
      <c r="T3752" t="s">
        <v>46371</v>
      </c>
      <c r="U3752" t="s">
        <v>50120</v>
      </c>
      <c r="W3752" t="s">
        <v>42130</v>
      </c>
      <c r="X3752" t="s">
        <v>44763</v>
      </c>
    </row>
    <row r="3753" spans="1:24">
      <c r="A3753">
        <f>HYPERLINK("https://www.philgeps.gov.ph/GEPSNONPILOT/Tender/SplashBidNoticeAbstractUI.aspx?menuIndex=3&amp;refID=7150326&amp;Result=3","7150326")</f>
        <v>0</v>
      </c>
      <c r="B3753" t="s">
        <v>1518</v>
      </c>
      <c r="C3753" t="s">
        <v>7327</v>
      </c>
      <c r="D3753" t="s">
        <v>18019</v>
      </c>
      <c r="E3753" t="s">
        <v>20527</v>
      </c>
      <c r="F3753" t="s">
        <v>30900</v>
      </c>
      <c r="G3753" t="s">
        <v>30908</v>
      </c>
      <c r="H3753" t="s">
        <v>30917</v>
      </c>
      <c r="I3753" t="s">
        <v>5830</v>
      </c>
      <c r="J3753" t="s">
        <v>31048</v>
      </c>
      <c r="K3753" t="s">
        <v>40288</v>
      </c>
      <c r="M3753" t="s">
        <v>42159</v>
      </c>
      <c r="N3753" t="s">
        <v>44759</v>
      </c>
      <c r="O3753" t="s">
        <v>44760</v>
      </c>
      <c r="P3753">
        <v>0</v>
      </c>
      <c r="Q3753">
        <v>1</v>
      </c>
      <c r="R3753" t="s">
        <v>44762</v>
      </c>
      <c r="S3753" t="s">
        <v>44863</v>
      </c>
      <c r="T3753" t="s">
        <v>46398</v>
      </c>
      <c r="U3753" t="s">
        <v>50121</v>
      </c>
      <c r="W3753" t="s">
        <v>42159</v>
      </c>
      <c r="X3753" t="s">
        <v>44763</v>
      </c>
    </row>
    <row r="3754" spans="1:24">
      <c r="A3754">
        <f>HYPERLINK("https://www.philgeps.gov.ph/GEPSNONPILOT/Tender/SplashBidNoticeAbstractUI.aspx?menuIndex=3&amp;refID=7150310&amp;Result=3","7150310")</f>
        <v>0</v>
      </c>
      <c r="B3754" t="s">
        <v>1523</v>
      </c>
      <c r="C3754" t="s">
        <v>7328</v>
      </c>
      <c r="D3754" t="s">
        <v>18010</v>
      </c>
      <c r="E3754" t="s">
        <v>21410</v>
      </c>
      <c r="F3754" t="s">
        <v>30900</v>
      </c>
      <c r="G3754" t="s">
        <v>30907</v>
      </c>
      <c r="H3754" t="s">
        <v>30916</v>
      </c>
      <c r="I3754" t="s">
        <v>6953</v>
      </c>
      <c r="J3754" t="s">
        <v>33659</v>
      </c>
      <c r="K3754" t="s">
        <v>40286</v>
      </c>
      <c r="L3754" t="s">
        <v>1523</v>
      </c>
      <c r="M3754" t="s">
        <v>42165</v>
      </c>
      <c r="N3754" t="s">
        <v>44759</v>
      </c>
      <c r="O3754" t="s">
        <v>44760</v>
      </c>
      <c r="P3754">
        <v>0</v>
      </c>
      <c r="Q3754">
        <v>2</v>
      </c>
      <c r="R3754" t="s">
        <v>44762</v>
      </c>
      <c r="S3754" t="s">
        <v>44863</v>
      </c>
      <c r="T3754" t="s">
        <v>46456</v>
      </c>
      <c r="U3754" t="s">
        <v>50122</v>
      </c>
      <c r="W3754" t="s">
        <v>42165</v>
      </c>
      <c r="X3754" t="s">
        <v>44763</v>
      </c>
    </row>
    <row r="3755" spans="1:24">
      <c r="A3755">
        <f>HYPERLINK("https://www.philgeps.gov.ph/GEPSNONPILOT/Tender/SplashBidNoticeAbstractUI.aspx?menuIndex=3&amp;refID=7150308&amp;Result=3","7150308")</f>
        <v>0</v>
      </c>
      <c r="B3755" t="s">
        <v>1516</v>
      </c>
      <c r="C3755" t="s">
        <v>7329</v>
      </c>
      <c r="D3755" t="s">
        <v>18033</v>
      </c>
      <c r="E3755" t="s">
        <v>21411</v>
      </c>
      <c r="F3755" t="s">
        <v>30900</v>
      </c>
      <c r="G3755" t="s">
        <v>30909</v>
      </c>
      <c r="H3755" t="s">
        <v>30916</v>
      </c>
      <c r="I3755" t="s">
        <v>5501</v>
      </c>
      <c r="J3755" t="s">
        <v>33660</v>
      </c>
      <c r="K3755" t="s">
        <v>40284</v>
      </c>
      <c r="M3755" t="s">
        <v>42157</v>
      </c>
      <c r="N3755" t="s">
        <v>44759</v>
      </c>
      <c r="O3755" t="s">
        <v>44760</v>
      </c>
      <c r="P3755">
        <v>0</v>
      </c>
      <c r="Q3755">
        <v>0</v>
      </c>
      <c r="R3755" t="s">
        <v>44762</v>
      </c>
      <c r="S3755" t="s">
        <v>44863</v>
      </c>
      <c r="T3755" t="s">
        <v>46363</v>
      </c>
      <c r="U3755" t="s">
        <v>50123</v>
      </c>
      <c r="W3755" t="s">
        <v>42157</v>
      </c>
      <c r="X3755" t="s">
        <v>44763</v>
      </c>
    </row>
    <row r="3756" spans="1:24">
      <c r="A3756">
        <f>HYPERLINK("https://www.philgeps.gov.ph/GEPSNONPILOT/Tender/SplashBidNoticeAbstractUI.aspx?menuIndex=3&amp;refID=7150330&amp;Result=3","7150330")</f>
        <v>0</v>
      </c>
      <c r="B3756" t="s">
        <v>626</v>
      </c>
      <c r="C3756" t="s">
        <v>7330</v>
      </c>
      <c r="E3756" t="s">
        <v>21412</v>
      </c>
      <c r="F3756" t="s">
        <v>30900</v>
      </c>
      <c r="G3756" t="s">
        <v>30908</v>
      </c>
      <c r="H3756" t="s">
        <v>30916</v>
      </c>
      <c r="I3756" t="s">
        <v>4017</v>
      </c>
      <c r="J3756" t="s">
        <v>32375</v>
      </c>
      <c r="K3756" t="s">
        <v>40289</v>
      </c>
      <c r="M3756" t="s">
        <v>41188</v>
      </c>
      <c r="N3756" t="s">
        <v>44759</v>
      </c>
      <c r="O3756" t="s">
        <v>44760</v>
      </c>
      <c r="P3756">
        <v>0</v>
      </c>
      <c r="Q3756">
        <v>2</v>
      </c>
      <c r="R3756" t="s">
        <v>44762</v>
      </c>
      <c r="S3756" t="s">
        <v>44863</v>
      </c>
      <c r="T3756" t="s">
        <v>46414</v>
      </c>
      <c r="U3756" t="s">
        <v>50124</v>
      </c>
      <c r="V3756" t="s">
        <v>59268</v>
      </c>
      <c r="W3756" t="s">
        <v>41188</v>
      </c>
      <c r="X3756" t="s">
        <v>44763</v>
      </c>
    </row>
    <row r="3757" spans="1:24">
      <c r="A3757">
        <f>HYPERLINK("https://www.philgeps.gov.ph/GEPSNONPILOT/Tender/SplashBidNoticeAbstractUI.aspx?menuIndex=3&amp;refID=7150349&amp;Result=3","7150349")</f>
        <v>0</v>
      </c>
      <c r="B3757" t="s">
        <v>747</v>
      </c>
      <c r="C3757" t="s">
        <v>7331</v>
      </c>
      <c r="D3757" t="s">
        <v>18021</v>
      </c>
      <c r="E3757" t="s">
        <v>21413</v>
      </c>
      <c r="F3757" t="s">
        <v>30900</v>
      </c>
      <c r="G3757" t="s">
        <v>30907</v>
      </c>
      <c r="H3757" t="s">
        <v>30915</v>
      </c>
      <c r="I3757" t="s">
        <v>30919</v>
      </c>
      <c r="J3757" t="s">
        <v>33661</v>
      </c>
      <c r="K3757" t="s">
        <v>40299</v>
      </c>
      <c r="M3757" t="s">
        <v>41311</v>
      </c>
      <c r="N3757" t="s">
        <v>44759</v>
      </c>
      <c r="O3757" t="s">
        <v>44760</v>
      </c>
      <c r="P3757">
        <v>0</v>
      </c>
      <c r="Q3757">
        <v>1</v>
      </c>
      <c r="R3757" t="s">
        <v>44762</v>
      </c>
      <c r="S3757" t="s">
        <v>44863</v>
      </c>
      <c r="T3757" t="s">
        <v>46465</v>
      </c>
      <c r="U3757" t="s">
        <v>50125</v>
      </c>
      <c r="V3757" t="s">
        <v>59537</v>
      </c>
      <c r="W3757" t="s">
        <v>41311</v>
      </c>
      <c r="X3757" t="s">
        <v>44763</v>
      </c>
    </row>
    <row r="3758" spans="1:24">
      <c r="A3758">
        <f>HYPERLINK("https://www.philgeps.gov.ph/GEPSNONPILOT/Tender/SplashBidNoticeAbstractUI.aspx?menuIndex=3&amp;refID=7150356&amp;Result=3","7150356")</f>
        <v>0</v>
      </c>
      <c r="B3758" t="s">
        <v>451</v>
      </c>
      <c r="C3758" t="s">
        <v>7332</v>
      </c>
      <c r="D3758" t="s">
        <v>17980</v>
      </c>
      <c r="E3758" t="s">
        <v>21414</v>
      </c>
      <c r="F3758" t="s">
        <v>30900</v>
      </c>
      <c r="G3758" t="s">
        <v>30908</v>
      </c>
      <c r="H3758" t="s">
        <v>30916</v>
      </c>
      <c r="I3758" t="s">
        <v>30986</v>
      </c>
      <c r="J3758" t="s">
        <v>31583</v>
      </c>
      <c r="K3758" t="s">
        <v>40283</v>
      </c>
      <c r="M3758" t="s">
        <v>42056</v>
      </c>
      <c r="N3758" t="s">
        <v>44759</v>
      </c>
      <c r="O3758" t="s">
        <v>44760</v>
      </c>
      <c r="P3758">
        <v>0</v>
      </c>
      <c r="Q3758">
        <v>2</v>
      </c>
      <c r="R3758" t="s">
        <v>44762</v>
      </c>
      <c r="S3758" t="s">
        <v>44863</v>
      </c>
      <c r="T3758" t="s">
        <v>46383</v>
      </c>
      <c r="U3758" t="s">
        <v>47278</v>
      </c>
      <c r="W3758" t="s">
        <v>42056</v>
      </c>
      <c r="X3758" t="s">
        <v>44763</v>
      </c>
    </row>
    <row r="3759" spans="1:24">
      <c r="A3759">
        <f>HYPERLINK("https://www.philgeps.gov.ph/GEPSNONPILOT/Tender/SplashBidNoticeAbstractUI.aspx?menuIndex=3&amp;refID=7150312&amp;Result=3","7150312")</f>
        <v>0</v>
      </c>
      <c r="B3759" t="s">
        <v>888</v>
      </c>
      <c r="C3759" t="s">
        <v>7333</v>
      </c>
      <c r="D3759" t="s">
        <v>17951</v>
      </c>
      <c r="E3759" t="s">
        <v>21415</v>
      </c>
      <c r="F3759" t="s">
        <v>30900</v>
      </c>
      <c r="G3759" t="s">
        <v>30907</v>
      </c>
      <c r="H3759" t="s">
        <v>30916</v>
      </c>
      <c r="I3759" t="s">
        <v>30977</v>
      </c>
      <c r="J3759" t="s">
        <v>31049</v>
      </c>
      <c r="K3759" t="s">
        <v>40308</v>
      </c>
      <c r="M3759" t="s">
        <v>41461</v>
      </c>
      <c r="N3759" t="s">
        <v>44759</v>
      </c>
      <c r="O3759" t="s">
        <v>44760</v>
      </c>
      <c r="P3759">
        <v>0</v>
      </c>
      <c r="Q3759">
        <v>0</v>
      </c>
      <c r="R3759" t="s">
        <v>44762</v>
      </c>
      <c r="S3759" t="s">
        <v>44863</v>
      </c>
      <c r="T3759" t="s">
        <v>46558</v>
      </c>
      <c r="U3759" t="s">
        <v>50126</v>
      </c>
      <c r="V3759" t="s">
        <v>59538</v>
      </c>
      <c r="W3759" t="s">
        <v>41461</v>
      </c>
      <c r="X3759" t="s">
        <v>44763</v>
      </c>
    </row>
    <row r="3760" spans="1:24">
      <c r="A3760">
        <f>HYPERLINK("https://www.philgeps.gov.ph/GEPSNONPILOT/Tender/SplashBidNoticeAbstractUI.aspx?menuIndex=3&amp;refID=7150355&amp;Result=3","7150355")</f>
        <v>0</v>
      </c>
      <c r="B3760" t="s">
        <v>718</v>
      </c>
      <c r="C3760" t="s">
        <v>7334</v>
      </c>
      <c r="D3760" t="s">
        <v>17980</v>
      </c>
      <c r="E3760" t="s">
        <v>21416</v>
      </c>
      <c r="F3760" t="s">
        <v>30900</v>
      </c>
      <c r="G3760" t="s">
        <v>30907</v>
      </c>
      <c r="H3760" t="s">
        <v>30916</v>
      </c>
      <c r="I3760" t="s">
        <v>5501</v>
      </c>
      <c r="J3760" t="s">
        <v>31243</v>
      </c>
      <c r="K3760" t="s">
        <v>40286</v>
      </c>
      <c r="M3760" t="s">
        <v>41282</v>
      </c>
      <c r="N3760" t="s">
        <v>44759</v>
      </c>
      <c r="O3760" t="s">
        <v>44760</v>
      </c>
      <c r="P3760">
        <v>0</v>
      </c>
      <c r="Q3760">
        <v>0</v>
      </c>
      <c r="R3760" t="s">
        <v>44762</v>
      </c>
      <c r="S3760" t="s">
        <v>44863</v>
      </c>
      <c r="T3760" t="s">
        <v>46362</v>
      </c>
      <c r="U3760" t="s">
        <v>48206</v>
      </c>
      <c r="V3760" t="s">
        <v>59288</v>
      </c>
      <c r="W3760" t="s">
        <v>41282</v>
      </c>
      <c r="X3760" t="s">
        <v>44763</v>
      </c>
    </row>
    <row r="3761" spans="1:24">
      <c r="A3761">
        <f>HYPERLINK("https://www.philgeps.gov.ph/GEPSNONPILOT/Tender/SplashBidNoticeAbstractUI.aspx?menuIndex=3&amp;refID=7150354&amp;Result=3","7150354")</f>
        <v>0</v>
      </c>
      <c r="B3761" t="s">
        <v>1512</v>
      </c>
      <c r="C3761" t="s">
        <v>7335</v>
      </c>
      <c r="D3761" t="s">
        <v>17963</v>
      </c>
      <c r="E3761" t="s">
        <v>21417</v>
      </c>
      <c r="F3761" t="s">
        <v>30900</v>
      </c>
      <c r="G3761" t="s">
        <v>30907</v>
      </c>
      <c r="H3761" t="s">
        <v>30915</v>
      </c>
      <c r="I3761" t="s">
        <v>30919</v>
      </c>
      <c r="J3761" t="s">
        <v>33662</v>
      </c>
      <c r="K3761" t="s">
        <v>40304</v>
      </c>
      <c r="L3761" t="s">
        <v>1512</v>
      </c>
      <c r="M3761" t="s">
        <v>42153</v>
      </c>
      <c r="N3761" t="s">
        <v>44759</v>
      </c>
      <c r="O3761" t="s">
        <v>44760</v>
      </c>
      <c r="P3761">
        <v>0</v>
      </c>
      <c r="Q3761">
        <v>1</v>
      </c>
      <c r="R3761" t="s">
        <v>44762</v>
      </c>
      <c r="S3761" t="s">
        <v>44863</v>
      </c>
      <c r="T3761" t="s">
        <v>46475</v>
      </c>
      <c r="U3761" t="s">
        <v>50072</v>
      </c>
      <c r="W3761" t="s">
        <v>42153</v>
      </c>
      <c r="X3761" t="s">
        <v>44763</v>
      </c>
    </row>
    <row r="3762" spans="1:24">
      <c r="A3762">
        <f>HYPERLINK("https://www.philgeps.gov.ph/GEPSNONPILOT/Tender/SplashBidNoticeAbstractUI.aspx?menuIndex=3&amp;refID=7150307&amp;Result=3","7150307")</f>
        <v>0</v>
      </c>
      <c r="B3762" t="s">
        <v>180</v>
      </c>
      <c r="C3762" t="s">
        <v>7336</v>
      </c>
      <c r="D3762" t="s">
        <v>17987</v>
      </c>
      <c r="E3762" t="s">
        <v>21418</v>
      </c>
      <c r="F3762" t="s">
        <v>30900</v>
      </c>
      <c r="G3762" t="s">
        <v>30907</v>
      </c>
      <c r="H3762" t="s">
        <v>30916</v>
      </c>
      <c r="I3762" t="s">
        <v>8123</v>
      </c>
      <c r="J3762" t="s">
        <v>33663</v>
      </c>
      <c r="K3762" t="s">
        <v>40284</v>
      </c>
      <c r="M3762" t="s">
        <v>40727</v>
      </c>
      <c r="N3762" t="s">
        <v>44759</v>
      </c>
      <c r="O3762" t="s">
        <v>44760</v>
      </c>
      <c r="P3762">
        <v>0</v>
      </c>
      <c r="Q3762">
        <v>0</v>
      </c>
      <c r="R3762" t="s">
        <v>44762</v>
      </c>
      <c r="S3762" t="s">
        <v>44863</v>
      </c>
      <c r="T3762" t="s">
        <v>46409</v>
      </c>
      <c r="U3762" t="s">
        <v>50127</v>
      </c>
      <c r="W3762" t="s">
        <v>40727</v>
      </c>
      <c r="X3762" t="s">
        <v>44763</v>
      </c>
    </row>
    <row r="3763" spans="1:24">
      <c r="A3763">
        <f>HYPERLINK("https://www.philgeps.gov.ph/GEPSNONPILOT/Tender/SplashBidNoticeAbstractUI.aspx?menuIndex=3&amp;refID=7150353&amp;Result=3","7150353")</f>
        <v>0</v>
      </c>
      <c r="B3763" t="s">
        <v>886</v>
      </c>
      <c r="C3763" t="s">
        <v>7337</v>
      </c>
      <c r="D3763" t="s">
        <v>17972</v>
      </c>
      <c r="E3763" t="s">
        <v>21419</v>
      </c>
      <c r="F3763" t="s">
        <v>30900</v>
      </c>
      <c r="G3763" t="s">
        <v>30907</v>
      </c>
      <c r="H3763" t="s">
        <v>30915</v>
      </c>
      <c r="I3763" t="s">
        <v>30919</v>
      </c>
      <c r="J3763" t="s">
        <v>33664</v>
      </c>
      <c r="K3763" t="s">
        <v>40330</v>
      </c>
      <c r="M3763" t="s">
        <v>41459</v>
      </c>
      <c r="N3763" t="s">
        <v>44759</v>
      </c>
      <c r="O3763" t="s">
        <v>44760</v>
      </c>
      <c r="P3763">
        <v>0</v>
      </c>
      <c r="Q3763">
        <v>0</v>
      </c>
      <c r="R3763" t="s">
        <v>44762</v>
      </c>
      <c r="S3763" t="s">
        <v>44863</v>
      </c>
      <c r="T3763" t="s">
        <v>46557</v>
      </c>
      <c r="U3763" t="s">
        <v>50128</v>
      </c>
      <c r="W3763" t="s">
        <v>41459</v>
      </c>
      <c r="X3763" t="s">
        <v>44763</v>
      </c>
    </row>
    <row r="3764" spans="1:24">
      <c r="A3764">
        <f>HYPERLINK("https://www.philgeps.gov.ph/GEPSNONPILOT/Tender/SplashBidNoticeAbstractUI.aspx?menuIndex=3&amp;refID=7150350&amp;Result=3","7150350")</f>
        <v>0</v>
      </c>
      <c r="B3764" t="s">
        <v>626</v>
      </c>
      <c r="C3764" t="s">
        <v>7338</v>
      </c>
      <c r="E3764" t="s">
        <v>21420</v>
      </c>
      <c r="F3764" t="s">
        <v>30900</v>
      </c>
      <c r="G3764" t="s">
        <v>30908</v>
      </c>
      <c r="H3764" t="s">
        <v>30916</v>
      </c>
      <c r="I3764" t="s">
        <v>6408</v>
      </c>
      <c r="J3764" t="s">
        <v>33665</v>
      </c>
      <c r="K3764" t="s">
        <v>40287</v>
      </c>
      <c r="M3764" t="s">
        <v>41188</v>
      </c>
      <c r="N3764" t="s">
        <v>44759</v>
      </c>
      <c r="O3764" t="s">
        <v>44760</v>
      </c>
      <c r="P3764">
        <v>0</v>
      </c>
      <c r="Q3764">
        <v>2</v>
      </c>
      <c r="R3764" t="s">
        <v>44762</v>
      </c>
      <c r="S3764" t="s">
        <v>44863</v>
      </c>
      <c r="T3764" t="s">
        <v>46414</v>
      </c>
      <c r="U3764" t="s">
        <v>50129</v>
      </c>
      <c r="V3764" t="s">
        <v>59268</v>
      </c>
      <c r="W3764" t="s">
        <v>41188</v>
      </c>
      <c r="X3764" t="s">
        <v>44763</v>
      </c>
    </row>
    <row r="3765" spans="1:24">
      <c r="A3765">
        <f>HYPERLINK("https://www.philgeps.gov.ph/GEPSNONPILOT/Tender/SplashBidNoticeAbstractUI.aspx?menuIndex=3&amp;refID=7150347&amp;Result=3","7150347")</f>
        <v>0</v>
      </c>
      <c r="B3765" t="s">
        <v>1524</v>
      </c>
      <c r="C3765" t="s">
        <v>7339</v>
      </c>
      <c r="D3765" t="s">
        <v>17959</v>
      </c>
      <c r="E3765" t="s">
        <v>21421</v>
      </c>
      <c r="F3765" t="s">
        <v>30900</v>
      </c>
      <c r="G3765" t="s">
        <v>30908</v>
      </c>
      <c r="H3765" t="s">
        <v>30916</v>
      </c>
      <c r="I3765" t="s">
        <v>4108</v>
      </c>
      <c r="J3765" t="s">
        <v>32138</v>
      </c>
      <c r="K3765" t="s">
        <v>40289</v>
      </c>
      <c r="M3765" t="s">
        <v>42166</v>
      </c>
      <c r="N3765" t="s">
        <v>44759</v>
      </c>
      <c r="O3765" t="s">
        <v>44760</v>
      </c>
      <c r="P3765">
        <v>0</v>
      </c>
      <c r="Q3765">
        <v>2</v>
      </c>
      <c r="R3765" t="s">
        <v>44762</v>
      </c>
      <c r="S3765" t="s">
        <v>44863</v>
      </c>
      <c r="T3765" t="s">
        <v>46547</v>
      </c>
      <c r="U3765" t="s">
        <v>50130</v>
      </c>
      <c r="V3765" t="s">
        <v>59539</v>
      </c>
      <c r="W3765" t="s">
        <v>42166</v>
      </c>
      <c r="X3765" t="s">
        <v>44763</v>
      </c>
    </row>
    <row r="3766" spans="1:24">
      <c r="A3766">
        <f>HYPERLINK("https://www.philgeps.gov.ph/GEPSNONPILOT/Tender/SplashBidNoticeAbstractUI.aspx?menuIndex=3&amp;refID=7150345&amp;Result=3","7150345")</f>
        <v>0</v>
      </c>
      <c r="B3766" t="s">
        <v>1487</v>
      </c>
      <c r="C3766" t="s">
        <v>7340</v>
      </c>
      <c r="D3766" t="s">
        <v>18011</v>
      </c>
      <c r="E3766" t="s">
        <v>21422</v>
      </c>
      <c r="F3766" t="s">
        <v>30900</v>
      </c>
      <c r="G3766" t="s">
        <v>30908</v>
      </c>
      <c r="H3766" t="s">
        <v>30916</v>
      </c>
      <c r="I3766" t="s">
        <v>8123</v>
      </c>
      <c r="J3766" t="s">
        <v>33666</v>
      </c>
      <c r="K3766" t="s">
        <v>40283</v>
      </c>
      <c r="M3766" t="s">
        <v>42124</v>
      </c>
      <c r="N3766" t="s">
        <v>44759</v>
      </c>
      <c r="O3766" t="s">
        <v>44760</v>
      </c>
      <c r="P3766">
        <v>0</v>
      </c>
      <c r="Q3766">
        <v>0</v>
      </c>
      <c r="R3766" t="s">
        <v>44762</v>
      </c>
      <c r="S3766" t="s">
        <v>44863</v>
      </c>
      <c r="T3766" t="s">
        <v>46467</v>
      </c>
      <c r="U3766" t="s">
        <v>50131</v>
      </c>
      <c r="W3766" t="s">
        <v>42124</v>
      </c>
      <c r="X3766" t="s">
        <v>44763</v>
      </c>
    </row>
    <row r="3767" spans="1:24">
      <c r="A3767">
        <f>HYPERLINK("https://www.philgeps.gov.ph/GEPSNONPILOT/Tender/SplashBidNoticeAbstractUI.aspx?menuIndex=3&amp;refID=7150340&amp;Result=3","7150340")</f>
        <v>0</v>
      </c>
      <c r="B3767" t="s">
        <v>1323</v>
      </c>
      <c r="C3767" t="s">
        <v>7341</v>
      </c>
      <c r="E3767" t="s">
        <v>21423</v>
      </c>
      <c r="F3767" t="s">
        <v>30900</v>
      </c>
      <c r="G3767" t="s">
        <v>30908</v>
      </c>
      <c r="H3767" t="s">
        <v>30916</v>
      </c>
      <c r="I3767" t="s">
        <v>6953</v>
      </c>
      <c r="J3767" t="s">
        <v>33667</v>
      </c>
      <c r="K3767" t="s">
        <v>40283</v>
      </c>
      <c r="M3767" t="s">
        <v>41942</v>
      </c>
      <c r="N3767" t="s">
        <v>44759</v>
      </c>
      <c r="O3767" t="s">
        <v>44760</v>
      </c>
      <c r="P3767">
        <v>0</v>
      </c>
      <c r="Q3767">
        <v>0</v>
      </c>
      <c r="R3767" t="s">
        <v>44762</v>
      </c>
      <c r="S3767" t="s">
        <v>44863</v>
      </c>
      <c r="T3767" t="s">
        <v>46650</v>
      </c>
      <c r="U3767" t="s">
        <v>49985</v>
      </c>
      <c r="W3767" t="s">
        <v>41942</v>
      </c>
      <c r="X3767" t="s">
        <v>44763</v>
      </c>
    </row>
    <row r="3768" spans="1:24">
      <c r="A3768">
        <f>HYPERLINK("https://www.philgeps.gov.ph/GEPSNONPILOT/Tender/SplashBidNoticeAbstractUI.aspx?menuIndex=3&amp;refID=7150309&amp;Result=3","7150309")</f>
        <v>0</v>
      </c>
      <c r="B3768" t="s">
        <v>1525</v>
      </c>
      <c r="C3768" t="s">
        <v>3886</v>
      </c>
      <c r="D3768" t="s">
        <v>17957</v>
      </c>
      <c r="E3768" t="s">
        <v>19405</v>
      </c>
      <c r="F3768" t="s">
        <v>30900</v>
      </c>
      <c r="G3768" t="s">
        <v>30909</v>
      </c>
      <c r="H3768" t="s">
        <v>30916</v>
      </c>
      <c r="I3768" t="s">
        <v>4108</v>
      </c>
      <c r="J3768" t="s">
        <v>33668</v>
      </c>
      <c r="K3768" t="s">
        <v>40281</v>
      </c>
      <c r="M3768" t="s">
        <v>42167</v>
      </c>
      <c r="N3768" t="s">
        <v>44759</v>
      </c>
      <c r="O3768" t="s">
        <v>44760</v>
      </c>
      <c r="P3768">
        <v>0</v>
      </c>
      <c r="Q3768">
        <v>0</v>
      </c>
      <c r="R3768" t="s">
        <v>44762</v>
      </c>
      <c r="S3768" t="s">
        <v>44863</v>
      </c>
      <c r="T3768" t="s">
        <v>46440</v>
      </c>
      <c r="U3768" t="s">
        <v>50132</v>
      </c>
      <c r="V3768" t="s">
        <v>59117</v>
      </c>
      <c r="W3768" t="s">
        <v>42167</v>
      </c>
      <c r="X3768" t="s">
        <v>44763</v>
      </c>
    </row>
    <row r="3769" spans="1:24">
      <c r="A3769">
        <f>HYPERLINK("https://www.philgeps.gov.ph/GEPSNONPILOT/Tender/SplashBidNoticeAbstractUI.aspx?menuIndex=3&amp;refID=7150339&amp;Result=3","7150339")</f>
        <v>0</v>
      </c>
      <c r="B3769" t="s">
        <v>399</v>
      </c>
      <c r="C3769" t="s">
        <v>7342</v>
      </c>
      <c r="D3769" t="s">
        <v>17977</v>
      </c>
      <c r="E3769" t="s">
        <v>21424</v>
      </c>
      <c r="F3769" t="s">
        <v>30900</v>
      </c>
      <c r="G3769" t="s">
        <v>30908</v>
      </c>
      <c r="H3769" t="s">
        <v>30916</v>
      </c>
      <c r="I3769" t="s">
        <v>8123</v>
      </c>
      <c r="J3769" t="s">
        <v>33669</v>
      </c>
      <c r="K3769" t="s">
        <v>40283</v>
      </c>
      <c r="M3769" t="s">
        <v>40954</v>
      </c>
      <c r="N3769" t="s">
        <v>44759</v>
      </c>
      <c r="O3769" t="s">
        <v>44760</v>
      </c>
      <c r="P3769">
        <v>0</v>
      </c>
      <c r="Q3769">
        <v>0</v>
      </c>
      <c r="R3769" t="s">
        <v>44762</v>
      </c>
      <c r="S3769" t="s">
        <v>44863</v>
      </c>
      <c r="T3769" t="s">
        <v>46351</v>
      </c>
      <c r="U3769" t="s">
        <v>47585</v>
      </c>
      <c r="W3769" t="s">
        <v>40954</v>
      </c>
      <c r="X3769" t="s">
        <v>44763</v>
      </c>
    </row>
    <row r="3770" spans="1:24">
      <c r="A3770">
        <f>HYPERLINK("https://www.philgeps.gov.ph/GEPSNONPILOT/Tender/SplashBidNoticeAbstractUI.aspx?menuIndex=3&amp;refID=7150338&amp;Result=3","7150338")</f>
        <v>0</v>
      </c>
      <c r="B3770" t="s">
        <v>888</v>
      </c>
      <c r="C3770" t="s">
        <v>7343</v>
      </c>
      <c r="D3770" t="s">
        <v>17951</v>
      </c>
      <c r="E3770" t="s">
        <v>21425</v>
      </c>
      <c r="F3770" t="s">
        <v>30900</v>
      </c>
      <c r="G3770" t="s">
        <v>30907</v>
      </c>
      <c r="H3770" t="s">
        <v>30916</v>
      </c>
      <c r="I3770" t="s">
        <v>30924</v>
      </c>
      <c r="J3770" t="s">
        <v>33670</v>
      </c>
      <c r="K3770" t="s">
        <v>40308</v>
      </c>
      <c r="M3770" t="s">
        <v>41461</v>
      </c>
      <c r="N3770" t="s">
        <v>44759</v>
      </c>
      <c r="O3770" t="s">
        <v>44760</v>
      </c>
      <c r="P3770">
        <v>0</v>
      </c>
      <c r="Q3770">
        <v>0</v>
      </c>
      <c r="R3770" t="s">
        <v>44762</v>
      </c>
      <c r="S3770" t="s">
        <v>44863</v>
      </c>
      <c r="T3770" t="s">
        <v>46558</v>
      </c>
      <c r="U3770" t="s">
        <v>50133</v>
      </c>
      <c r="V3770" t="s">
        <v>59540</v>
      </c>
      <c r="W3770" t="s">
        <v>41461</v>
      </c>
      <c r="X3770" t="s">
        <v>44763</v>
      </c>
    </row>
    <row r="3771" spans="1:24">
      <c r="A3771">
        <f>HYPERLINK("https://www.philgeps.gov.ph/GEPSNONPILOT/Tender/SplashBidNoticeAbstractUI.aspx?menuIndex=3&amp;refID=7150314&amp;Result=3","7150314")</f>
        <v>0</v>
      </c>
      <c r="B3771" t="s">
        <v>624</v>
      </c>
      <c r="C3771" t="s">
        <v>7344</v>
      </c>
      <c r="D3771" t="s">
        <v>17977</v>
      </c>
      <c r="E3771" t="s">
        <v>21426</v>
      </c>
      <c r="F3771" t="s">
        <v>30900</v>
      </c>
      <c r="G3771" t="s">
        <v>30908</v>
      </c>
      <c r="H3771" t="s">
        <v>30916</v>
      </c>
      <c r="I3771" t="s">
        <v>30967</v>
      </c>
      <c r="J3771" t="s">
        <v>33671</v>
      </c>
      <c r="K3771" t="s">
        <v>40289</v>
      </c>
      <c r="M3771" t="s">
        <v>41186</v>
      </c>
      <c r="N3771" t="s">
        <v>44759</v>
      </c>
      <c r="O3771" t="s">
        <v>44760</v>
      </c>
      <c r="P3771">
        <v>0</v>
      </c>
      <c r="Q3771">
        <v>0</v>
      </c>
      <c r="R3771" t="s">
        <v>44762</v>
      </c>
      <c r="S3771" t="s">
        <v>44863</v>
      </c>
      <c r="T3771" t="s">
        <v>46351</v>
      </c>
      <c r="U3771" t="s">
        <v>48040</v>
      </c>
      <c r="W3771" t="s">
        <v>41186</v>
      </c>
      <c r="X3771" t="s">
        <v>44763</v>
      </c>
    </row>
    <row r="3772" spans="1:24">
      <c r="A3772">
        <f>HYPERLINK("https://www.philgeps.gov.ph/GEPSNONPILOT/Tender/SplashBidNoticeAbstractUI.aspx?menuIndex=3&amp;refID=7150335&amp;Result=3","7150335")</f>
        <v>0</v>
      </c>
      <c r="B3772" t="s">
        <v>1436</v>
      </c>
      <c r="C3772" t="s">
        <v>7345</v>
      </c>
      <c r="D3772" t="s">
        <v>18017</v>
      </c>
      <c r="E3772" t="s">
        <v>21427</v>
      </c>
      <c r="F3772" t="s">
        <v>30900</v>
      </c>
      <c r="G3772" t="s">
        <v>30907</v>
      </c>
      <c r="H3772" t="s">
        <v>30916</v>
      </c>
      <c r="I3772" t="s">
        <v>30939</v>
      </c>
      <c r="J3772" t="s">
        <v>31297</v>
      </c>
      <c r="K3772" t="s">
        <v>40286</v>
      </c>
      <c r="M3772" t="s">
        <v>42068</v>
      </c>
      <c r="N3772" t="s">
        <v>44759</v>
      </c>
      <c r="O3772" t="s">
        <v>44760</v>
      </c>
      <c r="P3772">
        <v>0</v>
      </c>
      <c r="Q3772">
        <v>0</v>
      </c>
      <c r="R3772" t="s">
        <v>44762</v>
      </c>
      <c r="S3772" t="s">
        <v>44863</v>
      </c>
      <c r="T3772" t="s">
        <v>46394</v>
      </c>
      <c r="U3772" t="s">
        <v>50134</v>
      </c>
      <c r="W3772" t="s">
        <v>42068</v>
      </c>
      <c r="X3772" t="s">
        <v>44763</v>
      </c>
    </row>
    <row r="3773" spans="1:24">
      <c r="A3773">
        <f>HYPERLINK("https://www.philgeps.gov.ph/GEPSNONPILOT/Tender/SplashBidNoticeAbstractUI.aspx?menuIndex=3&amp;refID=7150332&amp;Result=3","7150332")</f>
        <v>0</v>
      </c>
      <c r="B3773" t="s">
        <v>1339</v>
      </c>
      <c r="C3773" t="s">
        <v>7346</v>
      </c>
      <c r="D3773" t="s">
        <v>18001</v>
      </c>
      <c r="E3773" t="s">
        <v>21428</v>
      </c>
      <c r="F3773" t="s">
        <v>30900</v>
      </c>
      <c r="G3773" t="s">
        <v>30907</v>
      </c>
      <c r="H3773" t="s">
        <v>30915</v>
      </c>
      <c r="I3773" t="s">
        <v>30919</v>
      </c>
      <c r="J3773" t="s">
        <v>33672</v>
      </c>
      <c r="K3773" t="s">
        <v>40391</v>
      </c>
      <c r="M3773" t="s">
        <v>41960</v>
      </c>
      <c r="N3773" t="s">
        <v>44759</v>
      </c>
      <c r="O3773" t="s">
        <v>44760</v>
      </c>
      <c r="P3773">
        <v>0</v>
      </c>
      <c r="Q3773">
        <v>0</v>
      </c>
      <c r="R3773" t="s">
        <v>44762</v>
      </c>
      <c r="S3773" t="s">
        <v>44863</v>
      </c>
      <c r="T3773" t="s">
        <v>46595</v>
      </c>
      <c r="U3773" t="s">
        <v>50135</v>
      </c>
      <c r="W3773" t="s">
        <v>41960</v>
      </c>
      <c r="X3773" t="s">
        <v>44763</v>
      </c>
    </row>
    <row r="3774" spans="1:24">
      <c r="A3774">
        <f>HYPERLINK("https://www.philgeps.gov.ph/GEPSNONPILOT/Tender/SplashBidNoticeAbstractUI.aspx?menuIndex=3&amp;refID=7150346&amp;Result=3","7150346")</f>
        <v>0</v>
      </c>
      <c r="B3774" t="s">
        <v>1526</v>
      </c>
      <c r="C3774" t="s">
        <v>7347</v>
      </c>
      <c r="D3774" t="s">
        <v>18019</v>
      </c>
      <c r="E3774" t="s">
        <v>21429</v>
      </c>
      <c r="F3774" t="s">
        <v>30900</v>
      </c>
      <c r="G3774" t="s">
        <v>30910</v>
      </c>
      <c r="H3774" t="s">
        <v>30916</v>
      </c>
      <c r="I3774" t="s">
        <v>4050</v>
      </c>
      <c r="J3774" t="s">
        <v>33673</v>
      </c>
      <c r="K3774" t="s">
        <v>40287</v>
      </c>
      <c r="M3774" t="s">
        <v>42168</v>
      </c>
      <c r="N3774" t="s">
        <v>44759</v>
      </c>
      <c r="O3774" t="s">
        <v>44760</v>
      </c>
      <c r="P3774">
        <v>0</v>
      </c>
      <c r="Q3774">
        <v>2</v>
      </c>
      <c r="R3774" t="s">
        <v>44762</v>
      </c>
      <c r="S3774" t="s">
        <v>44863</v>
      </c>
      <c r="T3774" t="s">
        <v>46363</v>
      </c>
      <c r="U3774" t="s">
        <v>50136</v>
      </c>
      <c r="W3774" t="s">
        <v>60864</v>
      </c>
      <c r="X3774" t="s">
        <v>44763</v>
      </c>
    </row>
    <row r="3775" spans="1:24">
      <c r="A3775">
        <f>HYPERLINK("https://www.philgeps.gov.ph/GEPSNONPILOT/Tender/SplashBidNoticeAbstractUI.aspx?menuIndex=3&amp;refID=7150321&amp;Result=3","7150321")</f>
        <v>0</v>
      </c>
      <c r="B3775" t="s">
        <v>726</v>
      </c>
      <c r="C3775" t="s">
        <v>7348</v>
      </c>
      <c r="D3775" t="s">
        <v>18016</v>
      </c>
      <c r="E3775" t="s">
        <v>21430</v>
      </c>
      <c r="F3775" t="s">
        <v>30900</v>
      </c>
      <c r="G3775" t="s">
        <v>30907</v>
      </c>
      <c r="H3775" t="s">
        <v>30916</v>
      </c>
      <c r="I3775" t="s">
        <v>30939</v>
      </c>
      <c r="J3775" t="s">
        <v>33674</v>
      </c>
      <c r="K3775" t="s">
        <v>40304</v>
      </c>
      <c r="M3775" t="s">
        <v>41290</v>
      </c>
      <c r="N3775" t="s">
        <v>44759</v>
      </c>
      <c r="O3775" t="s">
        <v>44760</v>
      </c>
      <c r="P3775">
        <v>0</v>
      </c>
      <c r="Q3775">
        <v>0</v>
      </c>
      <c r="R3775" t="s">
        <v>44762</v>
      </c>
      <c r="S3775" t="s">
        <v>44863</v>
      </c>
      <c r="T3775" t="s">
        <v>46389</v>
      </c>
      <c r="U3775" t="s">
        <v>50137</v>
      </c>
      <c r="W3775" t="s">
        <v>41290</v>
      </c>
      <c r="X3775" t="s">
        <v>44763</v>
      </c>
    </row>
    <row r="3776" spans="1:24">
      <c r="A3776">
        <f>HYPERLINK("https://www.philgeps.gov.ph/GEPSNONPILOT/Tender/SplashBidNoticeAbstractUI.aspx?menuIndex=3&amp;refID=7150331&amp;Result=3","7150331")</f>
        <v>0</v>
      </c>
      <c r="B3776" t="s">
        <v>523</v>
      </c>
      <c r="C3776" t="s">
        <v>7349</v>
      </c>
      <c r="D3776" t="s">
        <v>18041</v>
      </c>
      <c r="E3776" t="s">
        <v>21431</v>
      </c>
      <c r="F3776" t="s">
        <v>30900</v>
      </c>
      <c r="G3776" t="s">
        <v>30907</v>
      </c>
      <c r="H3776" t="s">
        <v>30916</v>
      </c>
      <c r="I3776" t="s">
        <v>30936</v>
      </c>
      <c r="J3776" t="s">
        <v>33675</v>
      </c>
      <c r="K3776" t="s">
        <v>40292</v>
      </c>
      <c r="M3776" t="s">
        <v>42169</v>
      </c>
      <c r="N3776" t="s">
        <v>44759</v>
      </c>
      <c r="O3776" t="s">
        <v>44760</v>
      </c>
      <c r="P3776">
        <v>0</v>
      </c>
      <c r="Q3776">
        <v>0</v>
      </c>
      <c r="R3776" t="s">
        <v>44762</v>
      </c>
      <c r="S3776" t="s">
        <v>44863</v>
      </c>
      <c r="T3776" t="s">
        <v>46377</v>
      </c>
      <c r="U3776" t="s">
        <v>50138</v>
      </c>
      <c r="W3776" t="s">
        <v>60865</v>
      </c>
      <c r="X3776" t="s">
        <v>44763</v>
      </c>
    </row>
    <row r="3777" spans="1:24">
      <c r="A3777">
        <f>HYPERLINK("https://www.philgeps.gov.ph/GEPSNONPILOT/Tender/SplashBidNoticeAbstractUI.aspx?menuIndex=3&amp;refID=7150357&amp;Result=3","7150357")</f>
        <v>0</v>
      </c>
      <c r="B3777" t="s">
        <v>399</v>
      </c>
      <c r="C3777" t="s">
        <v>7350</v>
      </c>
      <c r="D3777" t="s">
        <v>17977</v>
      </c>
      <c r="E3777" t="s">
        <v>21432</v>
      </c>
      <c r="F3777" t="s">
        <v>30900</v>
      </c>
      <c r="G3777" t="s">
        <v>30908</v>
      </c>
      <c r="H3777" t="s">
        <v>30916</v>
      </c>
      <c r="I3777" t="s">
        <v>4050</v>
      </c>
      <c r="J3777" t="s">
        <v>33676</v>
      </c>
      <c r="K3777" t="s">
        <v>40283</v>
      </c>
      <c r="M3777" t="s">
        <v>40954</v>
      </c>
      <c r="N3777" t="s">
        <v>44759</v>
      </c>
      <c r="O3777" t="s">
        <v>44760</v>
      </c>
      <c r="P3777">
        <v>0</v>
      </c>
      <c r="Q3777">
        <v>0</v>
      </c>
      <c r="R3777" t="s">
        <v>44762</v>
      </c>
      <c r="S3777" t="s">
        <v>44863</v>
      </c>
      <c r="T3777" t="s">
        <v>46351</v>
      </c>
      <c r="U3777" t="s">
        <v>47585</v>
      </c>
      <c r="W3777" t="s">
        <v>40954</v>
      </c>
      <c r="X3777" t="s">
        <v>44763</v>
      </c>
    </row>
    <row r="3778" spans="1:24">
      <c r="A3778">
        <f>HYPERLINK("https://www.philgeps.gov.ph/GEPSNONPILOT/Tender/SplashBidNoticeAbstractUI.aspx?menuIndex=3&amp;refID=7150374&amp;Result=3","7150374")</f>
        <v>0</v>
      </c>
      <c r="B3778" t="s">
        <v>888</v>
      </c>
      <c r="C3778" t="s">
        <v>7351</v>
      </c>
      <c r="D3778" t="s">
        <v>17951</v>
      </c>
      <c r="E3778" t="s">
        <v>21433</v>
      </c>
      <c r="F3778" t="s">
        <v>30900</v>
      </c>
      <c r="G3778" t="s">
        <v>30907</v>
      </c>
      <c r="H3778" t="s">
        <v>30916</v>
      </c>
      <c r="I3778" t="s">
        <v>30924</v>
      </c>
      <c r="J3778" t="s">
        <v>31243</v>
      </c>
      <c r="K3778" t="s">
        <v>40308</v>
      </c>
      <c r="M3778" t="s">
        <v>41461</v>
      </c>
      <c r="N3778" t="s">
        <v>44759</v>
      </c>
      <c r="O3778" t="s">
        <v>44760</v>
      </c>
      <c r="P3778">
        <v>0</v>
      </c>
      <c r="Q3778">
        <v>4</v>
      </c>
      <c r="R3778" t="s">
        <v>44762</v>
      </c>
      <c r="S3778" t="s">
        <v>44863</v>
      </c>
      <c r="T3778" t="s">
        <v>46558</v>
      </c>
      <c r="U3778" t="s">
        <v>50139</v>
      </c>
      <c r="V3778" t="s">
        <v>59541</v>
      </c>
      <c r="W3778" t="s">
        <v>41461</v>
      </c>
      <c r="X3778" t="s">
        <v>44763</v>
      </c>
    </row>
    <row r="3779" spans="1:24">
      <c r="A3779">
        <f>HYPERLINK("https://www.philgeps.gov.ph/GEPSNONPILOT/Tender/SplashBidNoticeAbstractUI.aspx?menuIndex=3&amp;refID=7150372&amp;Result=3","7150372")</f>
        <v>0</v>
      </c>
      <c r="B3779" t="s">
        <v>1527</v>
      </c>
      <c r="C3779" t="s">
        <v>4355</v>
      </c>
      <c r="D3779" t="s">
        <v>17974</v>
      </c>
      <c r="E3779" t="s">
        <v>18066</v>
      </c>
      <c r="F3779" t="s">
        <v>30900</v>
      </c>
      <c r="G3779" t="s">
        <v>30909</v>
      </c>
      <c r="H3779" t="s">
        <v>30916</v>
      </c>
      <c r="I3779" t="s">
        <v>6396</v>
      </c>
      <c r="J3779" t="s">
        <v>31247</v>
      </c>
      <c r="K3779" t="s">
        <v>40288</v>
      </c>
      <c r="M3779" t="s">
        <v>42170</v>
      </c>
      <c r="N3779" t="s">
        <v>44759</v>
      </c>
      <c r="O3779" t="s">
        <v>44760</v>
      </c>
      <c r="P3779">
        <v>0</v>
      </c>
      <c r="Q3779">
        <v>0</v>
      </c>
      <c r="R3779" t="s">
        <v>44762</v>
      </c>
      <c r="S3779" t="s">
        <v>44863</v>
      </c>
      <c r="T3779" t="s">
        <v>46399</v>
      </c>
      <c r="U3779" t="s">
        <v>50140</v>
      </c>
      <c r="W3779" t="s">
        <v>42170</v>
      </c>
      <c r="X3779" t="s">
        <v>44763</v>
      </c>
    </row>
    <row r="3780" spans="1:24">
      <c r="A3780">
        <f>HYPERLINK("https://www.philgeps.gov.ph/GEPSNONPILOT/Tender/SplashBidNoticeAbstractUI.aspx?menuIndex=3&amp;refID=7150351&amp;Result=3","7150351")</f>
        <v>0</v>
      </c>
      <c r="B3780" t="s">
        <v>726</v>
      </c>
      <c r="C3780" t="s">
        <v>7352</v>
      </c>
      <c r="D3780" t="s">
        <v>18016</v>
      </c>
      <c r="E3780" t="s">
        <v>21434</v>
      </c>
      <c r="F3780" t="s">
        <v>30900</v>
      </c>
      <c r="G3780" t="s">
        <v>30907</v>
      </c>
      <c r="H3780" t="s">
        <v>30916</v>
      </c>
      <c r="I3780" t="s">
        <v>30923</v>
      </c>
      <c r="J3780" t="s">
        <v>33677</v>
      </c>
      <c r="K3780" t="s">
        <v>40286</v>
      </c>
      <c r="M3780" t="s">
        <v>41290</v>
      </c>
      <c r="N3780" t="s">
        <v>44759</v>
      </c>
      <c r="O3780" t="s">
        <v>44760</v>
      </c>
      <c r="P3780">
        <v>0</v>
      </c>
      <c r="Q3780">
        <v>0</v>
      </c>
      <c r="R3780" t="s">
        <v>44762</v>
      </c>
      <c r="S3780" t="s">
        <v>44863</v>
      </c>
      <c r="T3780" t="s">
        <v>46389</v>
      </c>
      <c r="U3780" t="s">
        <v>50141</v>
      </c>
      <c r="W3780" t="s">
        <v>41290</v>
      </c>
      <c r="X3780" t="s">
        <v>44763</v>
      </c>
    </row>
    <row r="3781" spans="1:24">
      <c r="A3781">
        <f>HYPERLINK("https://www.philgeps.gov.ph/GEPSNONPILOT/Tender/SplashBidNoticeAbstractUI.aspx?menuIndex=3&amp;refID=7150371&amp;Result=3","7150371")</f>
        <v>0</v>
      </c>
      <c r="B3781" t="s">
        <v>908</v>
      </c>
      <c r="C3781" t="s">
        <v>7353</v>
      </c>
      <c r="D3781" t="s">
        <v>17952</v>
      </c>
      <c r="E3781" t="s">
        <v>21435</v>
      </c>
      <c r="F3781" t="s">
        <v>30900</v>
      </c>
      <c r="G3781" t="s">
        <v>30908</v>
      </c>
      <c r="H3781" t="s">
        <v>30916</v>
      </c>
      <c r="I3781" t="s">
        <v>30939</v>
      </c>
      <c r="J3781" t="s">
        <v>32458</v>
      </c>
      <c r="K3781" t="s">
        <v>40286</v>
      </c>
      <c r="M3781" t="s">
        <v>41483</v>
      </c>
      <c r="N3781" t="s">
        <v>44759</v>
      </c>
      <c r="O3781" t="s">
        <v>44760</v>
      </c>
      <c r="P3781">
        <v>0</v>
      </c>
      <c r="Q3781">
        <v>0</v>
      </c>
      <c r="R3781" t="s">
        <v>44762</v>
      </c>
      <c r="S3781" t="s">
        <v>44863</v>
      </c>
      <c r="T3781" t="s">
        <v>46363</v>
      </c>
      <c r="U3781" t="s">
        <v>50142</v>
      </c>
      <c r="W3781" t="s">
        <v>41483</v>
      </c>
      <c r="X3781" t="s">
        <v>44763</v>
      </c>
    </row>
    <row r="3782" spans="1:24">
      <c r="A3782">
        <f>HYPERLINK("https://www.philgeps.gov.ph/GEPSNONPILOT/Tender/SplashBidNoticeAbstractUI.aspx?menuIndex=3&amp;refID=7150370&amp;Result=3","7150370")</f>
        <v>0</v>
      </c>
      <c r="B3782" t="s">
        <v>1324</v>
      </c>
      <c r="C3782" t="s">
        <v>7354</v>
      </c>
      <c r="D3782" t="s">
        <v>17969</v>
      </c>
      <c r="E3782" t="s">
        <v>21436</v>
      </c>
      <c r="F3782" t="s">
        <v>30900</v>
      </c>
      <c r="G3782" t="s">
        <v>30908</v>
      </c>
      <c r="H3782" t="s">
        <v>30916</v>
      </c>
      <c r="I3782" t="s">
        <v>30919</v>
      </c>
      <c r="J3782" t="s">
        <v>31288</v>
      </c>
      <c r="K3782" t="s">
        <v>40286</v>
      </c>
      <c r="M3782" t="s">
        <v>41943</v>
      </c>
      <c r="N3782" t="s">
        <v>44759</v>
      </c>
      <c r="O3782" t="s">
        <v>44760</v>
      </c>
      <c r="P3782">
        <v>0</v>
      </c>
      <c r="Q3782">
        <v>0</v>
      </c>
      <c r="R3782" t="s">
        <v>44762</v>
      </c>
      <c r="S3782" t="s">
        <v>44863</v>
      </c>
      <c r="T3782" t="s">
        <v>46362</v>
      </c>
      <c r="U3782" t="s">
        <v>50143</v>
      </c>
      <c r="W3782" t="s">
        <v>41943</v>
      </c>
      <c r="X3782" t="s">
        <v>44763</v>
      </c>
    </row>
    <row r="3783" spans="1:24">
      <c r="A3783">
        <f>HYPERLINK("https://www.philgeps.gov.ph/GEPSNONPILOT/Tender/SplashBidNoticeAbstractUI.aspx?menuIndex=3&amp;refID=7150380&amp;Result=3","7150380")</f>
        <v>0</v>
      </c>
      <c r="B3783" t="s">
        <v>593</v>
      </c>
      <c r="C3783" t="s">
        <v>7355</v>
      </c>
      <c r="D3783" t="s">
        <v>18031</v>
      </c>
      <c r="E3783" t="s">
        <v>21437</v>
      </c>
      <c r="F3783" t="s">
        <v>30900</v>
      </c>
      <c r="G3783" t="s">
        <v>30908</v>
      </c>
      <c r="H3783" t="s">
        <v>30916</v>
      </c>
      <c r="I3783" t="s">
        <v>30939</v>
      </c>
      <c r="J3783" t="s">
        <v>33678</v>
      </c>
      <c r="K3783" t="s">
        <v>40285</v>
      </c>
      <c r="M3783" t="s">
        <v>41155</v>
      </c>
      <c r="N3783" t="s">
        <v>44759</v>
      </c>
      <c r="O3783" t="s">
        <v>44760</v>
      </c>
      <c r="P3783">
        <v>0</v>
      </c>
      <c r="Q3783">
        <v>0</v>
      </c>
      <c r="R3783" t="s">
        <v>44762</v>
      </c>
      <c r="S3783" t="s">
        <v>44863</v>
      </c>
      <c r="T3783" t="s">
        <v>46379</v>
      </c>
      <c r="U3783" t="s">
        <v>50144</v>
      </c>
      <c r="W3783" t="s">
        <v>41155</v>
      </c>
      <c r="X3783" t="s">
        <v>44763</v>
      </c>
    </row>
    <row r="3784" spans="1:24">
      <c r="A3784">
        <f>HYPERLINK("https://www.philgeps.gov.ph/GEPSNONPILOT/Tender/SplashBidNoticeAbstractUI.aspx?menuIndex=3&amp;refID=7150379&amp;Result=3","7150379")</f>
        <v>0</v>
      </c>
      <c r="B3784" t="s">
        <v>1528</v>
      </c>
      <c r="C3784" t="s">
        <v>7356</v>
      </c>
      <c r="D3784" t="s">
        <v>17980</v>
      </c>
      <c r="E3784" t="s">
        <v>21438</v>
      </c>
      <c r="F3784" t="s">
        <v>30900</v>
      </c>
      <c r="G3784" t="s">
        <v>30908</v>
      </c>
      <c r="H3784" t="s">
        <v>30916</v>
      </c>
      <c r="I3784" t="s">
        <v>30968</v>
      </c>
      <c r="J3784" t="s">
        <v>33679</v>
      </c>
      <c r="K3784" t="s">
        <v>40288</v>
      </c>
      <c r="M3784" t="s">
        <v>42171</v>
      </c>
      <c r="N3784" t="s">
        <v>44759</v>
      </c>
      <c r="O3784" t="s">
        <v>44760</v>
      </c>
      <c r="P3784">
        <v>0</v>
      </c>
      <c r="Q3784">
        <v>1</v>
      </c>
      <c r="R3784" t="s">
        <v>44762</v>
      </c>
      <c r="S3784" t="s">
        <v>44863</v>
      </c>
      <c r="T3784" t="s">
        <v>46395</v>
      </c>
      <c r="U3784" t="s">
        <v>50145</v>
      </c>
      <c r="W3784" t="s">
        <v>42171</v>
      </c>
      <c r="X3784" t="s">
        <v>44763</v>
      </c>
    </row>
    <row r="3785" spans="1:24">
      <c r="A3785">
        <f>HYPERLINK("https://www.philgeps.gov.ph/GEPSNONPILOT/Tender/SplashBidNoticeAbstractUI.aspx?menuIndex=3&amp;refID=7150333&amp;Result=3","7150333")</f>
        <v>0</v>
      </c>
      <c r="B3785" t="s">
        <v>1517</v>
      </c>
      <c r="C3785" t="s">
        <v>7357</v>
      </c>
      <c r="D3785" t="s">
        <v>17998</v>
      </c>
      <c r="E3785" t="s">
        <v>21439</v>
      </c>
      <c r="F3785" t="s">
        <v>30900</v>
      </c>
      <c r="G3785" t="s">
        <v>30908</v>
      </c>
      <c r="H3785" t="s">
        <v>30916</v>
      </c>
      <c r="I3785" t="s">
        <v>30921</v>
      </c>
      <c r="J3785" t="s">
        <v>33680</v>
      </c>
      <c r="K3785" t="s">
        <v>40308</v>
      </c>
      <c r="M3785" t="s">
        <v>42158</v>
      </c>
      <c r="N3785" t="s">
        <v>44759</v>
      </c>
      <c r="O3785" t="s">
        <v>44760</v>
      </c>
      <c r="P3785">
        <v>0</v>
      </c>
      <c r="Q3785">
        <v>0</v>
      </c>
      <c r="R3785" t="s">
        <v>44762</v>
      </c>
      <c r="S3785" t="s">
        <v>44863</v>
      </c>
      <c r="T3785" t="s">
        <v>46484</v>
      </c>
      <c r="U3785" t="s">
        <v>50146</v>
      </c>
      <c r="W3785" t="s">
        <v>42158</v>
      </c>
      <c r="X3785" t="s">
        <v>44763</v>
      </c>
    </row>
    <row r="3786" spans="1:24">
      <c r="A3786">
        <f>HYPERLINK("https://www.philgeps.gov.ph/GEPSNONPILOT/Tender/SplashBidNoticeAbstractUI.aspx?menuIndex=3&amp;refID=7150378&amp;Result=3","7150378")</f>
        <v>0</v>
      </c>
      <c r="B3786" t="s">
        <v>1188</v>
      </c>
      <c r="C3786" t="s">
        <v>7358</v>
      </c>
      <c r="D3786" t="s">
        <v>18019</v>
      </c>
      <c r="E3786" t="s">
        <v>21440</v>
      </c>
      <c r="F3786" t="s">
        <v>30900</v>
      </c>
      <c r="G3786" t="s">
        <v>30908</v>
      </c>
      <c r="H3786" t="s">
        <v>30916</v>
      </c>
      <c r="I3786" t="s">
        <v>30971</v>
      </c>
      <c r="J3786" t="s">
        <v>33681</v>
      </c>
      <c r="K3786" t="s">
        <v>40284</v>
      </c>
      <c r="M3786" t="s">
        <v>41797</v>
      </c>
      <c r="N3786" t="s">
        <v>44759</v>
      </c>
      <c r="O3786" t="s">
        <v>44760</v>
      </c>
      <c r="P3786">
        <v>0</v>
      </c>
      <c r="Q3786">
        <v>0</v>
      </c>
      <c r="R3786" t="s">
        <v>44762</v>
      </c>
      <c r="S3786" t="s">
        <v>44863</v>
      </c>
      <c r="T3786" t="s">
        <v>46467</v>
      </c>
      <c r="U3786" t="s">
        <v>50147</v>
      </c>
      <c r="W3786" t="s">
        <v>41797</v>
      </c>
      <c r="X3786" t="s">
        <v>44763</v>
      </c>
    </row>
    <row r="3787" spans="1:24">
      <c r="A3787">
        <f>HYPERLINK("https://www.philgeps.gov.ph/GEPSNONPILOT/Tender/SplashBidNoticeAbstractUI.aspx?menuIndex=3&amp;refID=7150376&amp;Result=3","7150376")</f>
        <v>0</v>
      </c>
      <c r="B3787" t="s">
        <v>1516</v>
      </c>
      <c r="C3787" t="s">
        <v>7359</v>
      </c>
      <c r="D3787" t="s">
        <v>18033</v>
      </c>
      <c r="E3787" t="s">
        <v>21441</v>
      </c>
      <c r="F3787" t="s">
        <v>30900</v>
      </c>
      <c r="G3787" t="s">
        <v>30909</v>
      </c>
      <c r="H3787" t="s">
        <v>30916</v>
      </c>
      <c r="I3787" t="s">
        <v>4142</v>
      </c>
      <c r="J3787" t="s">
        <v>33682</v>
      </c>
      <c r="K3787" t="s">
        <v>40284</v>
      </c>
      <c r="M3787" t="s">
        <v>42157</v>
      </c>
      <c r="N3787" t="s">
        <v>44759</v>
      </c>
      <c r="O3787" t="s">
        <v>44760</v>
      </c>
      <c r="P3787">
        <v>0</v>
      </c>
      <c r="Q3787">
        <v>0</v>
      </c>
      <c r="R3787" t="s">
        <v>44762</v>
      </c>
      <c r="S3787" t="s">
        <v>44863</v>
      </c>
      <c r="T3787" t="s">
        <v>46363</v>
      </c>
      <c r="U3787" t="s">
        <v>50148</v>
      </c>
      <c r="W3787" t="s">
        <v>42157</v>
      </c>
      <c r="X3787" t="s">
        <v>44763</v>
      </c>
    </row>
    <row r="3788" spans="1:24">
      <c r="A3788">
        <f>HYPERLINK("https://www.philgeps.gov.ph/GEPSNONPILOT/Tender/SplashBidNoticeAbstractUI.aspx?menuIndex=3&amp;refID=7150375&amp;Result=3","7150375")</f>
        <v>0</v>
      </c>
      <c r="B3788" t="s">
        <v>399</v>
      </c>
      <c r="C3788" t="s">
        <v>7360</v>
      </c>
      <c r="D3788" t="s">
        <v>17977</v>
      </c>
      <c r="E3788" t="s">
        <v>21442</v>
      </c>
      <c r="F3788" t="s">
        <v>30900</v>
      </c>
      <c r="G3788" t="s">
        <v>30908</v>
      </c>
      <c r="H3788" t="s">
        <v>30916</v>
      </c>
      <c r="I3788" t="s">
        <v>8123</v>
      </c>
      <c r="J3788" t="s">
        <v>33683</v>
      </c>
      <c r="K3788" t="s">
        <v>40283</v>
      </c>
      <c r="M3788" t="s">
        <v>40954</v>
      </c>
      <c r="N3788" t="s">
        <v>44759</v>
      </c>
      <c r="O3788" t="s">
        <v>44760</v>
      </c>
      <c r="P3788">
        <v>0</v>
      </c>
      <c r="Q3788">
        <v>0</v>
      </c>
      <c r="R3788" t="s">
        <v>44762</v>
      </c>
      <c r="S3788" t="s">
        <v>44863</v>
      </c>
      <c r="T3788" t="s">
        <v>46351</v>
      </c>
      <c r="U3788" t="s">
        <v>47585</v>
      </c>
      <c r="W3788" t="s">
        <v>40954</v>
      </c>
      <c r="X3788" t="s">
        <v>44763</v>
      </c>
    </row>
    <row r="3789" spans="1:24">
      <c r="A3789">
        <f>HYPERLINK("https://www.philgeps.gov.ph/GEPSNONPILOT/Tender/SplashBidNoticeAbstractUI.aspx?menuIndex=3&amp;refID=7150369&amp;Result=3","7150369")</f>
        <v>0</v>
      </c>
      <c r="B3789" t="s">
        <v>1487</v>
      </c>
      <c r="C3789" t="s">
        <v>7361</v>
      </c>
      <c r="D3789" t="s">
        <v>18011</v>
      </c>
      <c r="E3789" t="s">
        <v>21443</v>
      </c>
      <c r="F3789" t="s">
        <v>30900</v>
      </c>
      <c r="G3789" t="s">
        <v>30909</v>
      </c>
      <c r="H3789" t="s">
        <v>30916</v>
      </c>
      <c r="I3789" t="s">
        <v>11785</v>
      </c>
      <c r="J3789" t="s">
        <v>31058</v>
      </c>
      <c r="K3789" t="s">
        <v>40283</v>
      </c>
      <c r="M3789" t="s">
        <v>42124</v>
      </c>
      <c r="N3789" t="s">
        <v>44759</v>
      </c>
      <c r="O3789" t="s">
        <v>44760</v>
      </c>
      <c r="P3789">
        <v>0</v>
      </c>
      <c r="Q3789">
        <v>0</v>
      </c>
      <c r="R3789" t="s">
        <v>44762</v>
      </c>
      <c r="S3789" t="s">
        <v>44863</v>
      </c>
      <c r="T3789" t="s">
        <v>46553</v>
      </c>
      <c r="U3789" t="s">
        <v>50149</v>
      </c>
      <c r="W3789" t="s">
        <v>42124</v>
      </c>
      <c r="X3789" t="s">
        <v>44763</v>
      </c>
    </row>
    <row r="3790" spans="1:24">
      <c r="A3790">
        <f>HYPERLINK("https://www.philgeps.gov.ph/GEPSNONPILOT/Tender/SplashBidNoticeAbstractUI.aspx?menuIndex=3&amp;refID=7150368&amp;Result=3","7150368")</f>
        <v>0</v>
      </c>
      <c r="B3790" t="s">
        <v>301</v>
      </c>
      <c r="C3790" t="s">
        <v>7362</v>
      </c>
      <c r="D3790" t="s">
        <v>17999</v>
      </c>
      <c r="E3790" t="s">
        <v>21444</v>
      </c>
      <c r="F3790" t="s">
        <v>30900</v>
      </c>
      <c r="G3790" t="s">
        <v>30908</v>
      </c>
      <c r="H3790" t="s">
        <v>30916</v>
      </c>
      <c r="I3790" t="s">
        <v>10847</v>
      </c>
      <c r="J3790" t="s">
        <v>33684</v>
      </c>
      <c r="K3790" t="s">
        <v>40319</v>
      </c>
      <c r="M3790" t="s">
        <v>40850</v>
      </c>
      <c r="N3790" t="s">
        <v>44759</v>
      </c>
      <c r="O3790" t="s">
        <v>44760</v>
      </c>
      <c r="P3790">
        <v>0</v>
      </c>
      <c r="Q3790">
        <v>0</v>
      </c>
      <c r="R3790" t="s">
        <v>44762</v>
      </c>
      <c r="S3790" t="s">
        <v>44863</v>
      </c>
      <c r="T3790" t="s">
        <v>46469</v>
      </c>
      <c r="U3790" t="s">
        <v>47419</v>
      </c>
      <c r="W3790" t="s">
        <v>40850</v>
      </c>
      <c r="X3790" t="s">
        <v>44763</v>
      </c>
    </row>
    <row r="3791" spans="1:24">
      <c r="A3791">
        <f>HYPERLINK("https://www.philgeps.gov.ph/GEPSNONPILOT/Tender/SplashBidNoticeAbstractUI.aspx?menuIndex=3&amp;refID=7150366&amp;Result=3","7150366")</f>
        <v>0</v>
      </c>
      <c r="B3791" t="s">
        <v>248</v>
      </c>
      <c r="C3791" t="s">
        <v>7363</v>
      </c>
      <c r="D3791" t="s">
        <v>17966</v>
      </c>
      <c r="E3791" t="s">
        <v>21445</v>
      </c>
      <c r="F3791" t="s">
        <v>30900</v>
      </c>
      <c r="G3791" t="s">
        <v>30907</v>
      </c>
      <c r="H3791" t="s">
        <v>30916</v>
      </c>
      <c r="I3791" t="s">
        <v>30933</v>
      </c>
      <c r="J3791" t="s">
        <v>31407</v>
      </c>
      <c r="K3791" t="s">
        <v>40286</v>
      </c>
      <c r="M3791" t="s">
        <v>40795</v>
      </c>
      <c r="N3791" t="s">
        <v>44759</v>
      </c>
      <c r="O3791" t="s">
        <v>44760</v>
      </c>
      <c r="P3791">
        <v>0</v>
      </c>
      <c r="Q3791">
        <v>0</v>
      </c>
      <c r="R3791" t="s">
        <v>44762</v>
      </c>
      <c r="S3791" t="s">
        <v>44863</v>
      </c>
      <c r="T3791" t="s">
        <v>46380</v>
      </c>
      <c r="U3791" t="s">
        <v>50150</v>
      </c>
      <c r="W3791" t="s">
        <v>40795</v>
      </c>
      <c r="X3791" t="s">
        <v>44763</v>
      </c>
    </row>
    <row r="3792" spans="1:24">
      <c r="A3792">
        <f>HYPERLINK("https://www.philgeps.gov.ph/GEPSNONPILOT/Tender/SplashBidNoticeAbstractUI.aspx?menuIndex=3&amp;refID=7150365&amp;Result=3","7150365")</f>
        <v>0</v>
      </c>
      <c r="B3792" t="s">
        <v>1393</v>
      </c>
      <c r="C3792" t="s">
        <v>7364</v>
      </c>
      <c r="E3792" t="s">
        <v>21446</v>
      </c>
      <c r="F3792" t="s">
        <v>30900</v>
      </c>
      <c r="G3792" t="s">
        <v>30908</v>
      </c>
      <c r="H3792" t="s">
        <v>30916</v>
      </c>
      <c r="I3792" t="s">
        <v>4142</v>
      </c>
      <c r="J3792" t="s">
        <v>33685</v>
      </c>
      <c r="K3792" t="s">
        <v>40289</v>
      </c>
      <c r="M3792" t="s">
        <v>42018</v>
      </c>
      <c r="N3792" t="s">
        <v>44759</v>
      </c>
      <c r="O3792" t="s">
        <v>44760</v>
      </c>
      <c r="P3792">
        <v>0</v>
      </c>
      <c r="Q3792">
        <v>3</v>
      </c>
      <c r="R3792" t="s">
        <v>44762</v>
      </c>
      <c r="S3792" t="s">
        <v>44863</v>
      </c>
      <c r="T3792" t="s">
        <v>46602</v>
      </c>
      <c r="U3792" t="s">
        <v>47043</v>
      </c>
      <c r="W3792" t="s">
        <v>42018</v>
      </c>
      <c r="X3792" t="s">
        <v>44763</v>
      </c>
    </row>
    <row r="3793" spans="1:24">
      <c r="A3793">
        <f>HYPERLINK("https://www.philgeps.gov.ph/GEPSNONPILOT/Tender/SplashBidNoticeAbstractUI.aspx?menuIndex=3&amp;refID=7150363&amp;Result=3","7150363")</f>
        <v>0</v>
      </c>
      <c r="B3793" t="s">
        <v>1529</v>
      </c>
      <c r="C3793" t="s">
        <v>7365</v>
      </c>
      <c r="D3793" t="s">
        <v>18010</v>
      </c>
      <c r="E3793" t="s">
        <v>21447</v>
      </c>
      <c r="F3793" t="s">
        <v>30900</v>
      </c>
      <c r="G3793" t="s">
        <v>30907</v>
      </c>
      <c r="H3793" t="s">
        <v>30916</v>
      </c>
      <c r="I3793" t="s">
        <v>5501</v>
      </c>
      <c r="J3793" t="s">
        <v>33686</v>
      </c>
      <c r="K3793" t="s">
        <v>40286</v>
      </c>
      <c r="M3793" t="s">
        <v>42172</v>
      </c>
      <c r="N3793" t="s">
        <v>44759</v>
      </c>
      <c r="O3793" t="s">
        <v>44760</v>
      </c>
      <c r="P3793">
        <v>0</v>
      </c>
      <c r="Q3793">
        <v>3</v>
      </c>
      <c r="R3793" t="s">
        <v>44762</v>
      </c>
      <c r="S3793" t="s">
        <v>44863</v>
      </c>
      <c r="T3793" t="s">
        <v>46465</v>
      </c>
      <c r="U3793" t="s">
        <v>50151</v>
      </c>
      <c r="W3793" t="s">
        <v>60866</v>
      </c>
      <c r="X3793" t="s">
        <v>44763</v>
      </c>
    </row>
    <row r="3794" spans="1:24">
      <c r="A3794">
        <f>HYPERLINK("https://www.philgeps.gov.ph/GEPSNONPILOT/Tender/SplashBidNoticeAbstractUI.aspx?menuIndex=3&amp;refID=7150362&amp;Result=3","7150362")</f>
        <v>0</v>
      </c>
      <c r="B3794" t="s">
        <v>1530</v>
      </c>
      <c r="C3794" t="s">
        <v>7366</v>
      </c>
      <c r="D3794" t="s">
        <v>18010</v>
      </c>
      <c r="E3794" t="s">
        <v>21448</v>
      </c>
      <c r="F3794" t="s">
        <v>30900</v>
      </c>
      <c r="G3794" t="s">
        <v>30908</v>
      </c>
      <c r="H3794" t="s">
        <v>30916</v>
      </c>
      <c r="I3794" t="s">
        <v>30921</v>
      </c>
      <c r="J3794" t="s">
        <v>31288</v>
      </c>
      <c r="K3794" t="s">
        <v>40283</v>
      </c>
      <c r="M3794" t="s">
        <v>42173</v>
      </c>
      <c r="N3794" t="s">
        <v>44759</v>
      </c>
      <c r="O3794" t="s">
        <v>44760</v>
      </c>
      <c r="P3794">
        <v>0</v>
      </c>
      <c r="Q3794">
        <v>1</v>
      </c>
      <c r="R3794" t="s">
        <v>44762</v>
      </c>
      <c r="S3794" t="s">
        <v>44863</v>
      </c>
      <c r="T3794" t="s">
        <v>46357</v>
      </c>
      <c r="U3794" t="s">
        <v>50152</v>
      </c>
      <c r="V3794" t="s">
        <v>59542</v>
      </c>
      <c r="W3794" t="s">
        <v>42173</v>
      </c>
      <c r="X3794" t="s">
        <v>44763</v>
      </c>
    </row>
    <row r="3795" spans="1:24">
      <c r="A3795">
        <f>HYPERLINK("https://www.philgeps.gov.ph/GEPSNONPILOT/Tender/SplashBidNoticeAbstractUI.aspx?menuIndex=3&amp;refID=7150361&amp;Result=3","7150361")</f>
        <v>0</v>
      </c>
      <c r="B3795" t="s">
        <v>1531</v>
      </c>
      <c r="C3795" t="s">
        <v>7367</v>
      </c>
      <c r="D3795" t="s">
        <v>17959</v>
      </c>
      <c r="E3795" t="s">
        <v>21449</v>
      </c>
      <c r="F3795" t="s">
        <v>30900</v>
      </c>
      <c r="G3795" t="s">
        <v>30908</v>
      </c>
      <c r="H3795" t="s">
        <v>30916</v>
      </c>
      <c r="I3795" t="s">
        <v>4142</v>
      </c>
      <c r="J3795" t="s">
        <v>31152</v>
      </c>
      <c r="K3795" t="s">
        <v>40289</v>
      </c>
      <c r="M3795" t="s">
        <v>42174</v>
      </c>
      <c r="N3795" t="s">
        <v>44759</v>
      </c>
      <c r="O3795" t="s">
        <v>44760</v>
      </c>
      <c r="P3795">
        <v>0</v>
      </c>
      <c r="Q3795">
        <v>12</v>
      </c>
      <c r="R3795" t="s">
        <v>44762</v>
      </c>
      <c r="S3795" t="s">
        <v>44863</v>
      </c>
      <c r="T3795" t="s">
        <v>46390</v>
      </c>
      <c r="U3795" t="s">
        <v>50153</v>
      </c>
      <c r="W3795" t="s">
        <v>42174</v>
      </c>
      <c r="X3795" t="s">
        <v>44763</v>
      </c>
    </row>
    <row r="3796" spans="1:24">
      <c r="A3796">
        <f>HYPERLINK("https://www.philgeps.gov.ph/GEPSNONPILOT/Tender/SplashBidNoticeAbstractUI.aspx?menuIndex=3&amp;refID=7150334&amp;Result=3","7150334")</f>
        <v>0</v>
      </c>
      <c r="B3796" t="s">
        <v>1188</v>
      </c>
      <c r="C3796" t="s">
        <v>7368</v>
      </c>
      <c r="D3796" t="s">
        <v>18019</v>
      </c>
      <c r="E3796" t="s">
        <v>21450</v>
      </c>
      <c r="F3796" t="s">
        <v>30900</v>
      </c>
      <c r="G3796" t="s">
        <v>30908</v>
      </c>
      <c r="H3796" t="s">
        <v>30916</v>
      </c>
      <c r="I3796" t="s">
        <v>30922</v>
      </c>
      <c r="J3796" t="s">
        <v>31495</v>
      </c>
      <c r="K3796" t="s">
        <v>40284</v>
      </c>
      <c r="M3796" t="s">
        <v>41797</v>
      </c>
      <c r="N3796" t="s">
        <v>44759</v>
      </c>
      <c r="O3796" t="s">
        <v>44760</v>
      </c>
      <c r="P3796">
        <v>0</v>
      </c>
      <c r="Q3796">
        <v>1</v>
      </c>
      <c r="R3796" t="s">
        <v>44762</v>
      </c>
      <c r="S3796" t="s">
        <v>44863</v>
      </c>
      <c r="T3796" t="s">
        <v>46467</v>
      </c>
      <c r="U3796" t="s">
        <v>50154</v>
      </c>
      <c r="W3796" t="s">
        <v>41797</v>
      </c>
      <c r="X3796" t="s">
        <v>44763</v>
      </c>
    </row>
    <row r="3797" spans="1:24">
      <c r="A3797">
        <f>HYPERLINK("https://www.philgeps.gov.ph/GEPSNONPILOT/Tender/SplashBidNoticeAbstractUI.aspx?menuIndex=3&amp;refID=7150359&amp;Result=3","7150359")</f>
        <v>0</v>
      </c>
      <c r="B3797" t="s">
        <v>231</v>
      </c>
      <c r="C3797" t="s">
        <v>7369</v>
      </c>
      <c r="D3797" t="s">
        <v>17957</v>
      </c>
      <c r="E3797" t="s">
        <v>21451</v>
      </c>
      <c r="F3797" t="s">
        <v>30900</v>
      </c>
      <c r="G3797" t="s">
        <v>30908</v>
      </c>
      <c r="H3797" t="s">
        <v>30916</v>
      </c>
      <c r="I3797" t="s">
        <v>8123</v>
      </c>
      <c r="J3797" t="s">
        <v>33687</v>
      </c>
      <c r="K3797" t="s">
        <v>40294</v>
      </c>
      <c r="M3797" t="s">
        <v>40778</v>
      </c>
      <c r="N3797" t="s">
        <v>44759</v>
      </c>
      <c r="O3797" t="s">
        <v>44760</v>
      </c>
      <c r="P3797">
        <v>0</v>
      </c>
      <c r="Q3797">
        <v>0</v>
      </c>
      <c r="R3797" t="s">
        <v>44762</v>
      </c>
      <c r="S3797" t="s">
        <v>44863</v>
      </c>
      <c r="T3797" t="s">
        <v>46383</v>
      </c>
      <c r="U3797" t="s">
        <v>50155</v>
      </c>
      <c r="W3797" t="s">
        <v>40778</v>
      </c>
      <c r="X3797" t="s">
        <v>44763</v>
      </c>
    </row>
    <row r="3798" spans="1:24">
      <c r="A3798">
        <f>HYPERLINK("https://www.philgeps.gov.ph/GEPSNONPILOT/Tender/SplashBidNoticeAbstractUI.aspx?menuIndex=3&amp;refID=7150401&amp;Result=3","7150401")</f>
        <v>0</v>
      </c>
      <c r="B3798" t="s">
        <v>222</v>
      </c>
      <c r="C3798" t="s">
        <v>7370</v>
      </c>
      <c r="D3798" t="s">
        <v>17973</v>
      </c>
      <c r="E3798" t="s">
        <v>21452</v>
      </c>
      <c r="F3798" t="s">
        <v>30900</v>
      </c>
      <c r="G3798" t="s">
        <v>30908</v>
      </c>
      <c r="H3798" t="s">
        <v>30916</v>
      </c>
      <c r="I3798" t="s">
        <v>10602</v>
      </c>
      <c r="J3798" t="s">
        <v>31182</v>
      </c>
      <c r="K3798" t="s">
        <v>40304</v>
      </c>
      <c r="M3798" t="s">
        <v>40769</v>
      </c>
      <c r="N3798" t="s">
        <v>44759</v>
      </c>
      <c r="O3798" t="s">
        <v>44760</v>
      </c>
      <c r="P3798">
        <v>0</v>
      </c>
      <c r="Q3798">
        <v>0</v>
      </c>
      <c r="R3798" t="s">
        <v>44762</v>
      </c>
      <c r="S3798" t="s">
        <v>44863</v>
      </c>
      <c r="T3798" t="s">
        <v>46536</v>
      </c>
      <c r="U3798" t="s">
        <v>50156</v>
      </c>
      <c r="V3798" t="s">
        <v>47244</v>
      </c>
      <c r="W3798" t="s">
        <v>40769</v>
      </c>
      <c r="X3798" t="s">
        <v>44763</v>
      </c>
    </row>
    <row r="3799" spans="1:24">
      <c r="A3799">
        <f>HYPERLINK("https://www.philgeps.gov.ph/GEPSNONPILOT/Tender/SplashBidNoticeAbstractUI.aspx?menuIndex=3&amp;refID=7150358&amp;Result=3","7150358")</f>
        <v>0</v>
      </c>
      <c r="B3799" t="s">
        <v>1517</v>
      </c>
      <c r="C3799" t="s">
        <v>7371</v>
      </c>
      <c r="D3799" t="s">
        <v>17998</v>
      </c>
      <c r="E3799" t="s">
        <v>21453</v>
      </c>
      <c r="F3799" t="s">
        <v>30900</v>
      </c>
      <c r="G3799" t="s">
        <v>30908</v>
      </c>
      <c r="H3799" t="s">
        <v>30916</v>
      </c>
      <c r="I3799" t="s">
        <v>30921</v>
      </c>
      <c r="J3799" t="s">
        <v>31066</v>
      </c>
      <c r="K3799" t="s">
        <v>40286</v>
      </c>
      <c r="M3799" t="s">
        <v>42158</v>
      </c>
      <c r="N3799" t="s">
        <v>44759</v>
      </c>
      <c r="O3799" t="s">
        <v>44760</v>
      </c>
      <c r="P3799">
        <v>0</v>
      </c>
      <c r="Q3799">
        <v>1</v>
      </c>
      <c r="R3799" t="s">
        <v>44762</v>
      </c>
      <c r="S3799" t="s">
        <v>44863</v>
      </c>
      <c r="T3799" t="s">
        <v>46484</v>
      </c>
      <c r="U3799" t="s">
        <v>50146</v>
      </c>
      <c r="W3799" t="s">
        <v>42158</v>
      </c>
      <c r="X3799" t="s">
        <v>44763</v>
      </c>
    </row>
    <row r="3800" spans="1:24">
      <c r="A3800">
        <f>HYPERLINK("https://www.philgeps.gov.ph/GEPSNONPILOT/Tender/SplashBidNoticeAbstractUI.aspx?menuIndex=3&amp;refID=7150398&amp;Result=3","7150398")</f>
        <v>0</v>
      </c>
      <c r="B3800" t="s">
        <v>1487</v>
      </c>
      <c r="C3800" t="s">
        <v>7372</v>
      </c>
      <c r="D3800" t="s">
        <v>18011</v>
      </c>
      <c r="E3800" t="s">
        <v>21454</v>
      </c>
      <c r="F3800" t="s">
        <v>30900</v>
      </c>
      <c r="G3800" t="s">
        <v>30908</v>
      </c>
      <c r="H3800" t="s">
        <v>30916</v>
      </c>
      <c r="I3800" t="s">
        <v>8123</v>
      </c>
      <c r="J3800" t="s">
        <v>33688</v>
      </c>
      <c r="K3800" t="s">
        <v>40283</v>
      </c>
      <c r="M3800" t="s">
        <v>42124</v>
      </c>
      <c r="N3800" t="s">
        <v>44759</v>
      </c>
      <c r="O3800" t="s">
        <v>44760</v>
      </c>
      <c r="P3800">
        <v>0</v>
      </c>
      <c r="Q3800">
        <v>0</v>
      </c>
      <c r="R3800" t="s">
        <v>44762</v>
      </c>
      <c r="S3800" t="s">
        <v>44863</v>
      </c>
      <c r="T3800" t="s">
        <v>46553</v>
      </c>
      <c r="U3800" t="s">
        <v>50157</v>
      </c>
      <c r="W3800" t="s">
        <v>42124</v>
      </c>
      <c r="X3800" t="s">
        <v>44763</v>
      </c>
    </row>
    <row r="3801" spans="1:24">
      <c r="A3801">
        <f>HYPERLINK("https://www.philgeps.gov.ph/GEPSNONPILOT/Tender/SplashBidNoticeAbstractUI.aspx?menuIndex=3&amp;refID=7150396&amp;Result=3","7150396")</f>
        <v>0</v>
      </c>
      <c r="B3801" t="s">
        <v>626</v>
      </c>
      <c r="C3801" t="s">
        <v>7373</v>
      </c>
      <c r="E3801" t="s">
        <v>21455</v>
      </c>
      <c r="F3801" t="s">
        <v>30900</v>
      </c>
      <c r="G3801" t="s">
        <v>30908</v>
      </c>
      <c r="H3801" t="s">
        <v>30916</v>
      </c>
      <c r="I3801" t="s">
        <v>30943</v>
      </c>
      <c r="J3801" t="s">
        <v>33689</v>
      </c>
      <c r="K3801" t="s">
        <v>40287</v>
      </c>
      <c r="M3801" t="s">
        <v>41188</v>
      </c>
      <c r="N3801" t="s">
        <v>44759</v>
      </c>
      <c r="O3801" t="s">
        <v>44760</v>
      </c>
      <c r="P3801">
        <v>0</v>
      </c>
      <c r="Q3801">
        <v>1</v>
      </c>
      <c r="R3801" t="s">
        <v>44762</v>
      </c>
      <c r="S3801" t="s">
        <v>44863</v>
      </c>
      <c r="T3801" t="s">
        <v>46414</v>
      </c>
      <c r="U3801" t="s">
        <v>50158</v>
      </c>
      <c r="V3801" t="s">
        <v>59268</v>
      </c>
      <c r="W3801" t="s">
        <v>41188</v>
      </c>
      <c r="X3801" t="s">
        <v>44763</v>
      </c>
    </row>
    <row r="3802" spans="1:24">
      <c r="A3802">
        <f>HYPERLINK("https://www.philgeps.gov.ph/GEPSNONPILOT/Tender/SplashBidNoticeAbstractUI.aspx?menuIndex=3&amp;refID=7150395&amp;Result=3","7150395")</f>
        <v>0</v>
      </c>
      <c r="B3802" t="s">
        <v>1532</v>
      </c>
      <c r="C3802" t="s">
        <v>7374</v>
      </c>
      <c r="D3802" t="s">
        <v>17993</v>
      </c>
      <c r="E3802" t="s">
        <v>21456</v>
      </c>
      <c r="F3802" t="s">
        <v>30900</v>
      </c>
      <c r="G3802" t="s">
        <v>30908</v>
      </c>
      <c r="H3802" t="s">
        <v>30916</v>
      </c>
      <c r="I3802" t="s">
        <v>30947</v>
      </c>
      <c r="J3802" t="s">
        <v>33690</v>
      </c>
      <c r="K3802" t="s">
        <v>40286</v>
      </c>
      <c r="M3802" t="s">
        <v>42175</v>
      </c>
      <c r="N3802" t="s">
        <v>44759</v>
      </c>
      <c r="O3802" t="s">
        <v>44760</v>
      </c>
      <c r="P3802">
        <v>0</v>
      </c>
      <c r="Q3802">
        <v>2</v>
      </c>
      <c r="R3802" t="s">
        <v>44762</v>
      </c>
      <c r="S3802" t="s">
        <v>44863</v>
      </c>
      <c r="T3802" t="s">
        <v>46457</v>
      </c>
      <c r="U3802" t="s">
        <v>50159</v>
      </c>
      <c r="W3802" t="s">
        <v>42175</v>
      </c>
      <c r="X3802" t="s">
        <v>44763</v>
      </c>
    </row>
    <row r="3803" spans="1:24">
      <c r="A3803">
        <f>HYPERLINK("https://www.philgeps.gov.ph/GEPSNONPILOT/Tender/SplashBidNoticeAbstractUI.aspx?menuIndex=3&amp;refID=7150364&amp;Result=3","7150364")</f>
        <v>0</v>
      </c>
      <c r="B3803" t="s">
        <v>1362</v>
      </c>
      <c r="C3803" t="s">
        <v>7375</v>
      </c>
      <c r="D3803" t="s">
        <v>17993</v>
      </c>
      <c r="E3803" t="s">
        <v>19629</v>
      </c>
      <c r="F3803" t="s">
        <v>30900</v>
      </c>
      <c r="G3803" t="s">
        <v>30909</v>
      </c>
      <c r="H3803" t="s">
        <v>30915</v>
      </c>
      <c r="I3803" t="s">
        <v>8123</v>
      </c>
      <c r="J3803" t="s">
        <v>33691</v>
      </c>
      <c r="K3803" t="s">
        <v>40311</v>
      </c>
      <c r="M3803" t="s">
        <v>41984</v>
      </c>
      <c r="N3803" t="s">
        <v>44759</v>
      </c>
      <c r="O3803" t="s">
        <v>44760</v>
      </c>
      <c r="P3803">
        <v>0</v>
      </c>
      <c r="Q3803">
        <v>0</v>
      </c>
      <c r="R3803" t="s">
        <v>44762</v>
      </c>
      <c r="S3803" t="s">
        <v>44863</v>
      </c>
      <c r="T3803" t="s">
        <v>46398</v>
      </c>
      <c r="U3803" t="s">
        <v>50160</v>
      </c>
      <c r="W3803" t="s">
        <v>41984</v>
      </c>
      <c r="X3803" t="s">
        <v>44763</v>
      </c>
    </row>
    <row r="3804" spans="1:24">
      <c r="A3804">
        <f>HYPERLINK("https://www.philgeps.gov.ph/GEPSNONPILOT/Tender/SplashBidNoticeAbstractUI.aspx?menuIndex=3&amp;refID=7150394&amp;Result=3","7150394")</f>
        <v>0</v>
      </c>
      <c r="B3804" t="s">
        <v>593</v>
      </c>
      <c r="C3804" t="s">
        <v>7376</v>
      </c>
      <c r="D3804" t="s">
        <v>18031</v>
      </c>
      <c r="E3804" t="s">
        <v>21457</v>
      </c>
      <c r="F3804" t="s">
        <v>30900</v>
      </c>
      <c r="G3804" t="s">
        <v>30908</v>
      </c>
      <c r="H3804" t="s">
        <v>30916</v>
      </c>
      <c r="I3804" t="s">
        <v>30939</v>
      </c>
      <c r="J3804" t="s">
        <v>33692</v>
      </c>
      <c r="K3804" t="s">
        <v>40285</v>
      </c>
      <c r="M3804" t="s">
        <v>41155</v>
      </c>
      <c r="N3804" t="s">
        <v>44759</v>
      </c>
      <c r="O3804" t="s">
        <v>44760</v>
      </c>
      <c r="P3804">
        <v>0</v>
      </c>
      <c r="Q3804">
        <v>0</v>
      </c>
      <c r="R3804" t="s">
        <v>44762</v>
      </c>
      <c r="S3804" t="s">
        <v>44863</v>
      </c>
      <c r="T3804" t="s">
        <v>46379</v>
      </c>
      <c r="U3804" t="s">
        <v>50161</v>
      </c>
      <c r="W3804" t="s">
        <v>41155</v>
      </c>
      <c r="X3804" t="s">
        <v>44763</v>
      </c>
    </row>
    <row r="3805" spans="1:24">
      <c r="A3805">
        <f>HYPERLINK("https://www.philgeps.gov.ph/GEPSNONPILOT/Tender/SplashBidNoticeAbstractUI.aspx?menuIndex=3&amp;refID=7150407&amp;Result=3","7150407")</f>
        <v>0</v>
      </c>
      <c r="B3805" t="s">
        <v>180</v>
      </c>
      <c r="C3805" t="s">
        <v>7377</v>
      </c>
      <c r="D3805" t="s">
        <v>17987</v>
      </c>
      <c r="E3805" t="s">
        <v>21458</v>
      </c>
      <c r="F3805" t="s">
        <v>30900</v>
      </c>
      <c r="G3805" t="s">
        <v>30907</v>
      </c>
      <c r="H3805" t="s">
        <v>30916</v>
      </c>
      <c r="I3805" t="s">
        <v>30950</v>
      </c>
      <c r="J3805" t="s">
        <v>33693</v>
      </c>
      <c r="K3805" t="s">
        <v>40284</v>
      </c>
      <c r="M3805" t="s">
        <v>40727</v>
      </c>
      <c r="N3805" t="s">
        <v>44759</v>
      </c>
      <c r="O3805" t="s">
        <v>44760</v>
      </c>
      <c r="P3805">
        <v>0</v>
      </c>
      <c r="Q3805">
        <v>1</v>
      </c>
      <c r="R3805" t="s">
        <v>44762</v>
      </c>
      <c r="S3805" t="s">
        <v>44863</v>
      </c>
      <c r="T3805" t="s">
        <v>46409</v>
      </c>
      <c r="U3805" t="s">
        <v>50162</v>
      </c>
      <c r="W3805" t="s">
        <v>40727</v>
      </c>
      <c r="X3805" t="s">
        <v>44763</v>
      </c>
    </row>
    <row r="3806" spans="1:24">
      <c r="A3806">
        <f>HYPERLINK("https://www.philgeps.gov.ph/GEPSNONPILOT/Tender/SplashBidNoticeAbstractUI.aspx?menuIndex=3&amp;refID=7150322&amp;Result=3","7150322")</f>
        <v>0</v>
      </c>
      <c r="B3806" t="s">
        <v>1487</v>
      </c>
      <c r="C3806" t="s">
        <v>7378</v>
      </c>
      <c r="D3806" t="s">
        <v>18011</v>
      </c>
      <c r="E3806" t="s">
        <v>21459</v>
      </c>
      <c r="F3806" t="s">
        <v>30900</v>
      </c>
      <c r="G3806" t="s">
        <v>30908</v>
      </c>
      <c r="H3806" t="s">
        <v>30916</v>
      </c>
      <c r="I3806" t="s">
        <v>8123</v>
      </c>
      <c r="J3806" t="s">
        <v>33694</v>
      </c>
      <c r="K3806" t="s">
        <v>40283</v>
      </c>
      <c r="M3806" t="s">
        <v>42124</v>
      </c>
      <c r="N3806" t="s">
        <v>44759</v>
      </c>
      <c r="O3806" t="s">
        <v>44760</v>
      </c>
      <c r="P3806">
        <v>0</v>
      </c>
      <c r="Q3806">
        <v>0</v>
      </c>
      <c r="R3806" t="s">
        <v>44762</v>
      </c>
      <c r="S3806" t="s">
        <v>44863</v>
      </c>
      <c r="T3806" t="s">
        <v>46553</v>
      </c>
      <c r="U3806" t="s">
        <v>50163</v>
      </c>
      <c r="W3806" t="s">
        <v>42124</v>
      </c>
      <c r="X3806" t="s">
        <v>44763</v>
      </c>
    </row>
    <row r="3807" spans="1:24">
      <c r="A3807">
        <f>HYPERLINK("https://www.philgeps.gov.ph/GEPSNONPILOT/Tender/SplashBidNoticeAbstractUI.aspx?menuIndex=3&amp;refID=7150405&amp;Result=3","7150405")</f>
        <v>0</v>
      </c>
      <c r="B3807" t="s">
        <v>1517</v>
      </c>
      <c r="C3807" t="s">
        <v>7371</v>
      </c>
      <c r="D3807" t="s">
        <v>17998</v>
      </c>
      <c r="E3807" t="s">
        <v>21460</v>
      </c>
      <c r="F3807" t="s">
        <v>30900</v>
      </c>
      <c r="G3807" t="s">
        <v>30908</v>
      </c>
      <c r="H3807" t="s">
        <v>30916</v>
      </c>
      <c r="I3807" t="s">
        <v>30921</v>
      </c>
      <c r="J3807" t="s">
        <v>33695</v>
      </c>
      <c r="K3807" t="s">
        <v>40308</v>
      </c>
      <c r="M3807" t="s">
        <v>42158</v>
      </c>
      <c r="N3807" t="s">
        <v>44759</v>
      </c>
      <c r="O3807" t="s">
        <v>44760</v>
      </c>
      <c r="P3807">
        <v>0</v>
      </c>
      <c r="Q3807">
        <v>0</v>
      </c>
      <c r="R3807" t="s">
        <v>44762</v>
      </c>
      <c r="S3807" t="s">
        <v>44863</v>
      </c>
      <c r="T3807" t="s">
        <v>46484</v>
      </c>
      <c r="U3807" t="s">
        <v>50146</v>
      </c>
      <c r="W3807" t="s">
        <v>42158</v>
      </c>
      <c r="X3807" t="s">
        <v>44763</v>
      </c>
    </row>
    <row r="3808" spans="1:24">
      <c r="A3808">
        <f>HYPERLINK("https://www.philgeps.gov.ph/GEPSNONPILOT/Tender/SplashBidNoticeAbstractUI.aspx?menuIndex=3&amp;refID=7150381&amp;Result=3","7150381")</f>
        <v>0</v>
      </c>
      <c r="B3808" t="s">
        <v>711</v>
      </c>
      <c r="C3808" t="s">
        <v>7379</v>
      </c>
      <c r="D3808" t="s">
        <v>17953</v>
      </c>
      <c r="E3808" t="s">
        <v>21461</v>
      </c>
      <c r="F3808" t="s">
        <v>30900</v>
      </c>
      <c r="G3808" t="s">
        <v>30908</v>
      </c>
      <c r="H3808" t="s">
        <v>30916</v>
      </c>
      <c r="I3808" t="s">
        <v>6746</v>
      </c>
      <c r="J3808" t="s">
        <v>33696</v>
      </c>
      <c r="K3808" t="s">
        <v>40286</v>
      </c>
      <c r="M3808" t="s">
        <v>41275</v>
      </c>
      <c r="N3808" t="s">
        <v>44759</v>
      </c>
      <c r="O3808" t="s">
        <v>44760</v>
      </c>
      <c r="P3808">
        <v>0</v>
      </c>
      <c r="Q3808">
        <v>0</v>
      </c>
      <c r="R3808" t="s">
        <v>44762</v>
      </c>
      <c r="S3808" t="s">
        <v>44863</v>
      </c>
      <c r="T3808" t="s">
        <v>46414</v>
      </c>
      <c r="U3808" t="s">
        <v>50164</v>
      </c>
      <c r="V3808" t="s">
        <v>59286</v>
      </c>
      <c r="W3808" t="s">
        <v>41275</v>
      </c>
      <c r="X3808" t="s">
        <v>44763</v>
      </c>
    </row>
    <row r="3809" spans="1:24">
      <c r="A3809">
        <f>HYPERLINK("https://www.philgeps.gov.ph/GEPSNONPILOT/Tender/SplashBidNoticeAbstractUI.aspx?menuIndex=3&amp;refID=7150393&amp;Result=3","7150393")</f>
        <v>0</v>
      </c>
      <c r="B3809" t="s">
        <v>399</v>
      </c>
      <c r="C3809" t="s">
        <v>7380</v>
      </c>
      <c r="D3809" t="s">
        <v>17977</v>
      </c>
      <c r="E3809" t="s">
        <v>21462</v>
      </c>
      <c r="F3809" t="s">
        <v>30900</v>
      </c>
      <c r="G3809" t="s">
        <v>30908</v>
      </c>
      <c r="H3809" t="s">
        <v>30916</v>
      </c>
      <c r="I3809" t="s">
        <v>8123</v>
      </c>
      <c r="J3809" t="s">
        <v>33697</v>
      </c>
      <c r="K3809" t="s">
        <v>40283</v>
      </c>
      <c r="M3809" t="s">
        <v>40954</v>
      </c>
      <c r="N3809" t="s">
        <v>44759</v>
      </c>
      <c r="O3809" t="s">
        <v>44760</v>
      </c>
      <c r="P3809">
        <v>0</v>
      </c>
      <c r="Q3809">
        <v>0</v>
      </c>
      <c r="R3809" t="s">
        <v>44762</v>
      </c>
      <c r="S3809" t="s">
        <v>44863</v>
      </c>
      <c r="T3809" t="s">
        <v>46351</v>
      </c>
      <c r="U3809" t="s">
        <v>50165</v>
      </c>
      <c r="W3809" t="s">
        <v>40954</v>
      </c>
      <c r="X3809" t="s">
        <v>44763</v>
      </c>
    </row>
    <row r="3810" spans="1:24">
      <c r="A3810">
        <f>HYPERLINK("https://www.philgeps.gov.ph/GEPSNONPILOT/Tender/SplashBidNoticeAbstractUI.aspx?menuIndex=3&amp;refID=7150337&amp;Result=3","7150337")</f>
        <v>0</v>
      </c>
      <c r="B3810" t="s">
        <v>1533</v>
      </c>
      <c r="C3810" t="s">
        <v>7381</v>
      </c>
      <c r="D3810" t="s">
        <v>18013</v>
      </c>
      <c r="E3810" t="s">
        <v>19424</v>
      </c>
      <c r="F3810" t="s">
        <v>30900</v>
      </c>
      <c r="G3810" t="s">
        <v>30907</v>
      </c>
      <c r="H3810" t="s">
        <v>30915</v>
      </c>
      <c r="I3810" t="s">
        <v>30919</v>
      </c>
      <c r="J3810" t="s">
        <v>31341</v>
      </c>
      <c r="K3810" t="s">
        <v>40286</v>
      </c>
      <c r="M3810" t="s">
        <v>42176</v>
      </c>
      <c r="N3810" t="s">
        <v>44759</v>
      </c>
      <c r="O3810" t="s">
        <v>44760</v>
      </c>
      <c r="P3810">
        <v>0</v>
      </c>
      <c r="Q3810">
        <v>0</v>
      </c>
      <c r="R3810" t="s">
        <v>44762</v>
      </c>
      <c r="S3810" t="s">
        <v>44863</v>
      </c>
      <c r="T3810" t="s">
        <v>46472</v>
      </c>
      <c r="U3810" t="s">
        <v>50166</v>
      </c>
      <c r="W3810" t="s">
        <v>42176</v>
      </c>
      <c r="X3810" t="s">
        <v>44763</v>
      </c>
    </row>
    <row r="3811" spans="1:24">
      <c r="A3811">
        <f>HYPERLINK("https://www.philgeps.gov.ph/GEPSNONPILOT/Tender/SplashBidNoticeAbstractUI.aspx?menuIndex=3&amp;refID=7150389&amp;Result=3","7150389")</f>
        <v>0</v>
      </c>
      <c r="B3811" t="s">
        <v>937</v>
      </c>
      <c r="C3811" t="s">
        <v>7382</v>
      </c>
      <c r="D3811" t="s">
        <v>17998</v>
      </c>
      <c r="E3811" t="s">
        <v>21463</v>
      </c>
      <c r="F3811" t="s">
        <v>30900</v>
      </c>
      <c r="G3811" t="s">
        <v>30908</v>
      </c>
      <c r="H3811" t="s">
        <v>30916</v>
      </c>
      <c r="I3811" t="s">
        <v>30924</v>
      </c>
      <c r="J3811" t="s">
        <v>31257</v>
      </c>
      <c r="K3811" t="s">
        <v>40289</v>
      </c>
      <c r="M3811" t="s">
        <v>41520</v>
      </c>
      <c r="N3811" t="s">
        <v>44759</v>
      </c>
      <c r="O3811" t="s">
        <v>44760</v>
      </c>
      <c r="P3811">
        <v>0</v>
      </c>
      <c r="Q3811">
        <v>1</v>
      </c>
      <c r="R3811" t="s">
        <v>44762</v>
      </c>
      <c r="S3811" t="s">
        <v>44863</v>
      </c>
      <c r="T3811" t="s">
        <v>46387</v>
      </c>
      <c r="U3811" t="s">
        <v>50167</v>
      </c>
      <c r="W3811" t="s">
        <v>41520</v>
      </c>
      <c r="X3811" t="s">
        <v>44763</v>
      </c>
    </row>
    <row r="3812" spans="1:24">
      <c r="A3812">
        <f>HYPERLINK("https://www.philgeps.gov.ph/GEPSNONPILOT/Tender/SplashBidNoticeAbstractUI.aspx?menuIndex=3&amp;refID=7150384&amp;Result=3","7150384")</f>
        <v>0</v>
      </c>
      <c r="B3812" t="s">
        <v>231</v>
      </c>
      <c r="C3812" t="s">
        <v>7383</v>
      </c>
      <c r="D3812" t="s">
        <v>17957</v>
      </c>
      <c r="E3812" t="s">
        <v>21464</v>
      </c>
      <c r="F3812" t="s">
        <v>30900</v>
      </c>
      <c r="G3812" t="s">
        <v>30908</v>
      </c>
      <c r="H3812" t="s">
        <v>30916</v>
      </c>
      <c r="I3812" t="s">
        <v>4108</v>
      </c>
      <c r="J3812" t="s">
        <v>33698</v>
      </c>
      <c r="K3812" t="s">
        <v>40294</v>
      </c>
      <c r="M3812" t="s">
        <v>40778</v>
      </c>
      <c r="N3812" t="s">
        <v>44759</v>
      </c>
      <c r="O3812" t="s">
        <v>44760</v>
      </c>
      <c r="P3812">
        <v>0</v>
      </c>
      <c r="Q3812">
        <v>1</v>
      </c>
      <c r="R3812" t="s">
        <v>44762</v>
      </c>
      <c r="S3812" t="s">
        <v>44863</v>
      </c>
      <c r="T3812" t="s">
        <v>46383</v>
      </c>
      <c r="U3812" t="s">
        <v>50168</v>
      </c>
      <c r="W3812" t="s">
        <v>40778</v>
      </c>
      <c r="X3812" t="s">
        <v>44763</v>
      </c>
    </row>
    <row r="3813" spans="1:24">
      <c r="A3813">
        <f>HYPERLINK("https://www.philgeps.gov.ph/GEPSNONPILOT/Tender/SplashBidNoticeAbstractUI.aspx?menuIndex=3&amp;refID=7150406&amp;Result=3","7150406")</f>
        <v>0</v>
      </c>
      <c r="B3813" t="s">
        <v>1512</v>
      </c>
      <c r="C3813" t="s">
        <v>7384</v>
      </c>
      <c r="D3813" t="s">
        <v>17963</v>
      </c>
      <c r="E3813" t="s">
        <v>21465</v>
      </c>
      <c r="F3813" t="s">
        <v>30900</v>
      </c>
      <c r="G3813" t="s">
        <v>30907</v>
      </c>
      <c r="H3813" t="s">
        <v>30915</v>
      </c>
      <c r="I3813" t="s">
        <v>30919</v>
      </c>
      <c r="J3813" t="s">
        <v>33699</v>
      </c>
      <c r="K3813" t="s">
        <v>40304</v>
      </c>
      <c r="L3813" t="s">
        <v>1512</v>
      </c>
      <c r="M3813" t="s">
        <v>42153</v>
      </c>
      <c r="N3813" t="s">
        <v>44759</v>
      </c>
      <c r="O3813" t="s">
        <v>44760</v>
      </c>
      <c r="P3813">
        <v>0</v>
      </c>
      <c r="Q3813">
        <v>0</v>
      </c>
      <c r="R3813" t="s">
        <v>44762</v>
      </c>
      <c r="S3813" t="s">
        <v>44863</v>
      </c>
      <c r="T3813" t="s">
        <v>46475</v>
      </c>
      <c r="U3813" t="s">
        <v>50072</v>
      </c>
      <c r="W3813" t="s">
        <v>42153</v>
      </c>
      <c r="X3813" t="s">
        <v>44763</v>
      </c>
    </row>
    <row r="3814" spans="1:24">
      <c r="A3814">
        <f>HYPERLINK("https://www.philgeps.gov.ph/GEPSNONPILOT/Tender/SplashBidNoticeAbstractUI.aspx?menuIndex=3&amp;refID=7150404&amp;Result=3","7150404")</f>
        <v>0</v>
      </c>
      <c r="B3814" t="s">
        <v>460</v>
      </c>
      <c r="C3814" t="s">
        <v>7385</v>
      </c>
      <c r="D3814" t="s">
        <v>17968</v>
      </c>
      <c r="E3814" t="s">
        <v>21466</v>
      </c>
      <c r="F3814" t="s">
        <v>30900</v>
      </c>
      <c r="G3814" t="s">
        <v>30908</v>
      </c>
      <c r="H3814" t="s">
        <v>30916</v>
      </c>
      <c r="I3814" t="s">
        <v>8123</v>
      </c>
      <c r="J3814" t="s">
        <v>31174</v>
      </c>
      <c r="K3814" t="s">
        <v>40283</v>
      </c>
      <c r="M3814" t="s">
        <v>41018</v>
      </c>
      <c r="N3814" t="s">
        <v>44759</v>
      </c>
      <c r="O3814" t="s">
        <v>44760</v>
      </c>
      <c r="P3814">
        <v>0</v>
      </c>
      <c r="Q3814">
        <v>0</v>
      </c>
      <c r="R3814" t="s">
        <v>44762</v>
      </c>
      <c r="S3814" t="s">
        <v>44863</v>
      </c>
      <c r="T3814" t="s">
        <v>46414</v>
      </c>
      <c r="U3814" t="s">
        <v>50169</v>
      </c>
      <c r="V3814" t="s">
        <v>59455</v>
      </c>
      <c r="W3814" t="s">
        <v>41018</v>
      </c>
      <c r="X3814" t="s">
        <v>44763</v>
      </c>
    </row>
    <row r="3815" spans="1:24">
      <c r="A3815">
        <f>HYPERLINK("https://www.philgeps.gov.ph/GEPSNONPILOT/Tender/SplashBidNoticeAbstractUI.aspx?menuIndex=3&amp;refID=7150383&amp;Result=3","7150383")</f>
        <v>0</v>
      </c>
      <c r="B3815" t="s">
        <v>1534</v>
      </c>
      <c r="C3815" t="s">
        <v>7386</v>
      </c>
      <c r="D3815" t="s">
        <v>18004</v>
      </c>
      <c r="E3815" t="s">
        <v>21467</v>
      </c>
      <c r="F3815" t="s">
        <v>30900</v>
      </c>
      <c r="G3815" t="s">
        <v>30908</v>
      </c>
      <c r="H3815" t="s">
        <v>30916</v>
      </c>
      <c r="I3815" t="s">
        <v>30983</v>
      </c>
      <c r="J3815" t="s">
        <v>31092</v>
      </c>
      <c r="K3815" t="s">
        <v>40287</v>
      </c>
      <c r="M3815" t="s">
        <v>42177</v>
      </c>
      <c r="N3815" t="s">
        <v>44759</v>
      </c>
      <c r="O3815" t="s">
        <v>44760</v>
      </c>
      <c r="P3815">
        <v>0</v>
      </c>
      <c r="Q3815">
        <v>1</v>
      </c>
      <c r="R3815" t="s">
        <v>44762</v>
      </c>
      <c r="S3815" t="s">
        <v>44863</v>
      </c>
      <c r="T3815" t="s">
        <v>46470</v>
      </c>
      <c r="U3815" t="s">
        <v>50170</v>
      </c>
      <c r="W3815" t="s">
        <v>42177</v>
      </c>
      <c r="X3815" t="s">
        <v>44763</v>
      </c>
    </row>
    <row r="3816" spans="1:24">
      <c r="A3816">
        <f>HYPERLINK("https://www.philgeps.gov.ph/GEPSNONPILOT/Tender/SplashBidNoticeAbstractUI.aspx?menuIndex=3&amp;refID=7150403&amp;Result=3","7150403")</f>
        <v>0</v>
      </c>
      <c r="B3816" t="s">
        <v>1535</v>
      </c>
      <c r="C3816" t="s">
        <v>7387</v>
      </c>
      <c r="D3816" t="s">
        <v>17993</v>
      </c>
      <c r="E3816" t="s">
        <v>21468</v>
      </c>
      <c r="F3816" t="s">
        <v>30900</v>
      </c>
      <c r="G3816" t="s">
        <v>30908</v>
      </c>
      <c r="H3816" t="s">
        <v>30916</v>
      </c>
      <c r="I3816" t="s">
        <v>6396</v>
      </c>
      <c r="J3816" t="s">
        <v>33700</v>
      </c>
      <c r="K3816" t="s">
        <v>40287</v>
      </c>
      <c r="M3816" t="s">
        <v>42178</v>
      </c>
      <c r="N3816" t="s">
        <v>44759</v>
      </c>
      <c r="O3816" t="s">
        <v>44760</v>
      </c>
      <c r="P3816">
        <v>0</v>
      </c>
      <c r="Q3816">
        <v>0</v>
      </c>
      <c r="R3816" t="s">
        <v>44762</v>
      </c>
      <c r="S3816" t="s">
        <v>44863</v>
      </c>
      <c r="T3816" t="s">
        <v>46400</v>
      </c>
      <c r="U3816" t="s">
        <v>48032</v>
      </c>
      <c r="W3816" t="s">
        <v>42178</v>
      </c>
      <c r="X3816" t="s">
        <v>44763</v>
      </c>
    </row>
    <row r="3817" spans="1:24">
      <c r="A3817">
        <f>HYPERLINK("https://www.philgeps.gov.ph/GEPSNONPILOT/Tender/SplashBidNoticeAbstractUI.aspx?menuIndex=3&amp;refID=7150409&amp;Result=3","7150409")</f>
        <v>0</v>
      </c>
      <c r="B3817" t="s">
        <v>451</v>
      </c>
      <c r="C3817" t="s">
        <v>7388</v>
      </c>
      <c r="D3817" t="s">
        <v>17980</v>
      </c>
      <c r="E3817" t="s">
        <v>21469</v>
      </c>
      <c r="F3817" t="s">
        <v>30900</v>
      </c>
      <c r="G3817" t="s">
        <v>30908</v>
      </c>
      <c r="H3817" t="s">
        <v>30916</v>
      </c>
      <c r="I3817" t="s">
        <v>30923</v>
      </c>
      <c r="J3817" t="s">
        <v>31183</v>
      </c>
      <c r="K3817" t="s">
        <v>40283</v>
      </c>
      <c r="M3817" t="s">
        <v>42056</v>
      </c>
      <c r="N3817" t="s">
        <v>44759</v>
      </c>
      <c r="O3817" t="s">
        <v>44760</v>
      </c>
      <c r="P3817">
        <v>0</v>
      </c>
      <c r="Q3817">
        <v>6</v>
      </c>
      <c r="R3817" t="s">
        <v>44762</v>
      </c>
      <c r="S3817" t="s">
        <v>44863</v>
      </c>
      <c r="T3817" t="s">
        <v>46383</v>
      </c>
      <c r="U3817" t="s">
        <v>50171</v>
      </c>
      <c r="W3817" t="s">
        <v>42056</v>
      </c>
      <c r="X3817" t="s">
        <v>44763</v>
      </c>
    </row>
    <row r="3818" spans="1:24">
      <c r="A3818">
        <f>HYPERLINK("https://www.philgeps.gov.ph/GEPSNONPILOT/Tender/SplashBidNoticeAbstractUI.aspx?menuIndex=3&amp;refID=7150390&amp;Result=3","7150390")</f>
        <v>0</v>
      </c>
      <c r="B3818" t="s">
        <v>1436</v>
      </c>
      <c r="C3818" t="s">
        <v>7389</v>
      </c>
      <c r="D3818" t="s">
        <v>18017</v>
      </c>
      <c r="E3818" t="s">
        <v>21470</v>
      </c>
      <c r="F3818" t="s">
        <v>30900</v>
      </c>
      <c r="G3818" t="s">
        <v>30907</v>
      </c>
      <c r="H3818" t="s">
        <v>30916</v>
      </c>
      <c r="I3818" t="s">
        <v>30939</v>
      </c>
      <c r="J3818" t="s">
        <v>31153</v>
      </c>
      <c r="K3818" t="s">
        <v>40286</v>
      </c>
      <c r="M3818" t="s">
        <v>42068</v>
      </c>
      <c r="N3818" t="s">
        <v>44759</v>
      </c>
      <c r="O3818" t="s">
        <v>44760</v>
      </c>
      <c r="P3818">
        <v>0</v>
      </c>
      <c r="Q3818">
        <v>0</v>
      </c>
      <c r="R3818" t="s">
        <v>44762</v>
      </c>
      <c r="S3818" t="s">
        <v>44863</v>
      </c>
      <c r="T3818" t="s">
        <v>46394</v>
      </c>
      <c r="U3818" t="s">
        <v>50172</v>
      </c>
      <c r="W3818" t="s">
        <v>42068</v>
      </c>
      <c r="X3818" t="s">
        <v>44763</v>
      </c>
    </row>
    <row r="3819" spans="1:24">
      <c r="A3819">
        <f>HYPERLINK("https://www.philgeps.gov.ph/GEPSNONPILOT/Tender/SplashBidNoticeAbstractUI.aspx?menuIndex=3&amp;refID=7150429&amp;Result=3","7150429")</f>
        <v>0</v>
      </c>
      <c r="B3819" t="s">
        <v>1536</v>
      </c>
      <c r="C3819" t="s">
        <v>7390</v>
      </c>
      <c r="D3819" t="s">
        <v>17966</v>
      </c>
      <c r="E3819" t="s">
        <v>21471</v>
      </c>
      <c r="F3819" t="s">
        <v>30900</v>
      </c>
      <c r="G3819" t="s">
        <v>30906</v>
      </c>
      <c r="H3819" t="s">
        <v>30916</v>
      </c>
      <c r="I3819" t="s">
        <v>30933</v>
      </c>
      <c r="J3819" t="s">
        <v>33701</v>
      </c>
      <c r="K3819" t="s">
        <v>40289</v>
      </c>
      <c r="M3819" t="s">
        <v>42179</v>
      </c>
      <c r="N3819" t="s">
        <v>44759</v>
      </c>
      <c r="O3819" t="s">
        <v>44760</v>
      </c>
      <c r="P3819">
        <v>0</v>
      </c>
      <c r="Q3819">
        <v>0</v>
      </c>
      <c r="R3819" t="s">
        <v>44762</v>
      </c>
      <c r="S3819" t="s">
        <v>44863</v>
      </c>
      <c r="T3819" t="s">
        <v>46379</v>
      </c>
      <c r="U3819" t="s">
        <v>50173</v>
      </c>
      <c r="W3819" t="s">
        <v>42179</v>
      </c>
      <c r="X3819" t="s">
        <v>44763</v>
      </c>
    </row>
    <row r="3820" spans="1:24">
      <c r="A3820">
        <f>HYPERLINK("https://www.philgeps.gov.ph/GEPSNONPILOT/Tender/SplashBidNoticeAbstractUI.aspx?menuIndex=3&amp;refID=7150385&amp;Result=3","7150385")</f>
        <v>0</v>
      </c>
      <c r="B3820" t="s">
        <v>217</v>
      </c>
      <c r="C3820" t="s">
        <v>6698</v>
      </c>
      <c r="D3820" t="s">
        <v>17966</v>
      </c>
      <c r="E3820" t="s">
        <v>21472</v>
      </c>
      <c r="F3820" t="s">
        <v>30900</v>
      </c>
      <c r="G3820" t="s">
        <v>30908</v>
      </c>
      <c r="H3820" t="s">
        <v>30916</v>
      </c>
      <c r="I3820" t="s">
        <v>4050</v>
      </c>
      <c r="J3820" t="s">
        <v>31195</v>
      </c>
      <c r="K3820" t="s">
        <v>40284</v>
      </c>
      <c r="M3820" t="s">
        <v>40764</v>
      </c>
      <c r="N3820" t="s">
        <v>44759</v>
      </c>
      <c r="O3820" t="s">
        <v>44760</v>
      </c>
      <c r="P3820">
        <v>0</v>
      </c>
      <c r="Q3820">
        <v>0</v>
      </c>
      <c r="R3820" t="s">
        <v>44762</v>
      </c>
      <c r="S3820" t="s">
        <v>44863</v>
      </c>
      <c r="T3820" t="s">
        <v>46352</v>
      </c>
      <c r="U3820" t="s">
        <v>50174</v>
      </c>
      <c r="W3820" t="s">
        <v>40764</v>
      </c>
      <c r="X3820" t="s">
        <v>44763</v>
      </c>
    </row>
    <row r="3821" spans="1:24">
      <c r="A3821">
        <f>HYPERLINK("https://www.philgeps.gov.ph/GEPSNONPILOT/Tender/SplashBidNoticeAbstractUI.aspx?menuIndex=3&amp;refID=7150435&amp;Result=3","7150435")</f>
        <v>0</v>
      </c>
      <c r="B3821" t="s">
        <v>1537</v>
      </c>
      <c r="C3821" t="s">
        <v>7391</v>
      </c>
      <c r="D3821" t="s">
        <v>17978</v>
      </c>
      <c r="E3821" t="s">
        <v>21473</v>
      </c>
      <c r="F3821" t="s">
        <v>30900</v>
      </c>
      <c r="G3821" t="s">
        <v>30908</v>
      </c>
      <c r="H3821" t="s">
        <v>30916</v>
      </c>
      <c r="I3821" t="s">
        <v>30985</v>
      </c>
      <c r="J3821" t="s">
        <v>33702</v>
      </c>
      <c r="K3821" t="s">
        <v>40280</v>
      </c>
      <c r="M3821" t="s">
        <v>42180</v>
      </c>
      <c r="N3821" t="s">
        <v>44759</v>
      </c>
      <c r="O3821" t="s">
        <v>44760</v>
      </c>
      <c r="P3821">
        <v>0</v>
      </c>
      <c r="Q3821">
        <v>5</v>
      </c>
      <c r="R3821" t="s">
        <v>44762</v>
      </c>
      <c r="S3821" t="s">
        <v>44863</v>
      </c>
      <c r="T3821" t="s">
        <v>46399</v>
      </c>
      <c r="U3821" t="s">
        <v>50175</v>
      </c>
      <c r="W3821" t="s">
        <v>42180</v>
      </c>
      <c r="X3821" t="s">
        <v>44763</v>
      </c>
    </row>
    <row r="3822" spans="1:24">
      <c r="A3822">
        <f>HYPERLINK("https://www.philgeps.gov.ph/GEPSNONPILOT/Tender/SplashBidNoticeAbstractUI.aspx?menuIndex=3&amp;refID=7150433&amp;Result=3","7150433")</f>
        <v>0</v>
      </c>
      <c r="B3822" t="s">
        <v>787</v>
      </c>
      <c r="C3822" t="s">
        <v>7392</v>
      </c>
      <c r="D3822" t="s">
        <v>17987</v>
      </c>
      <c r="E3822" t="s">
        <v>21474</v>
      </c>
      <c r="F3822" t="s">
        <v>30900</v>
      </c>
      <c r="G3822" t="s">
        <v>30909</v>
      </c>
      <c r="H3822" t="s">
        <v>30916</v>
      </c>
      <c r="I3822" t="s">
        <v>5501</v>
      </c>
      <c r="J3822" t="s">
        <v>33703</v>
      </c>
      <c r="K3822" t="s">
        <v>40289</v>
      </c>
      <c r="M3822" t="s">
        <v>41356</v>
      </c>
      <c r="N3822" t="s">
        <v>44759</v>
      </c>
      <c r="O3822" t="s">
        <v>44760</v>
      </c>
      <c r="P3822">
        <v>0</v>
      </c>
      <c r="Q3822">
        <v>1</v>
      </c>
      <c r="R3822" t="s">
        <v>44762</v>
      </c>
      <c r="S3822" t="s">
        <v>44863</v>
      </c>
      <c r="T3822" t="s">
        <v>46409</v>
      </c>
      <c r="U3822" t="s">
        <v>50176</v>
      </c>
      <c r="W3822" t="s">
        <v>41356</v>
      </c>
      <c r="X3822" t="s">
        <v>44763</v>
      </c>
    </row>
    <row r="3823" spans="1:24">
      <c r="A3823">
        <f>HYPERLINK("https://www.philgeps.gov.ph/GEPSNONPILOT/Tender/SplashBidNoticeAbstractUI.aspx?menuIndex=3&amp;refID=7150382&amp;Result=3","7150382")</f>
        <v>0</v>
      </c>
      <c r="B3823" t="s">
        <v>301</v>
      </c>
      <c r="C3823" t="s">
        <v>7393</v>
      </c>
      <c r="D3823" t="s">
        <v>17999</v>
      </c>
      <c r="E3823" t="s">
        <v>21475</v>
      </c>
      <c r="F3823" t="s">
        <v>30900</v>
      </c>
      <c r="G3823" t="s">
        <v>30908</v>
      </c>
      <c r="H3823" t="s">
        <v>30916</v>
      </c>
      <c r="I3823" t="s">
        <v>10847</v>
      </c>
      <c r="J3823" t="s">
        <v>31896</v>
      </c>
      <c r="K3823" t="s">
        <v>40319</v>
      </c>
      <c r="M3823" t="s">
        <v>40850</v>
      </c>
      <c r="N3823" t="s">
        <v>44759</v>
      </c>
      <c r="O3823" t="s">
        <v>44760</v>
      </c>
      <c r="P3823">
        <v>0</v>
      </c>
      <c r="Q3823">
        <v>2</v>
      </c>
      <c r="R3823" t="s">
        <v>44762</v>
      </c>
      <c r="S3823" t="s">
        <v>44863</v>
      </c>
      <c r="T3823" t="s">
        <v>46469</v>
      </c>
      <c r="U3823" t="s">
        <v>47419</v>
      </c>
      <c r="W3823" t="s">
        <v>40850</v>
      </c>
      <c r="X3823" t="s">
        <v>44763</v>
      </c>
    </row>
    <row r="3824" spans="1:24">
      <c r="A3824">
        <f>HYPERLINK("https://www.philgeps.gov.ph/GEPSNONPILOT/Tender/SplashBidNoticeAbstractUI.aspx?menuIndex=3&amp;refID=7150410&amp;Result=3","7150410")</f>
        <v>0</v>
      </c>
      <c r="B3824" t="s">
        <v>323</v>
      </c>
      <c r="C3824" t="s">
        <v>7394</v>
      </c>
      <c r="D3824" t="s">
        <v>17985</v>
      </c>
      <c r="E3824" t="s">
        <v>21476</v>
      </c>
      <c r="F3824" t="s">
        <v>30900</v>
      </c>
      <c r="G3824" t="s">
        <v>30908</v>
      </c>
      <c r="H3824" t="s">
        <v>30916</v>
      </c>
      <c r="I3824" t="s">
        <v>10879</v>
      </c>
      <c r="J3824" t="s">
        <v>32983</v>
      </c>
      <c r="K3824" t="s">
        <v>40286</v>
      </c>
      <c r="M3824" t="s">
        <v>40874</v>
      </c>
      <c r="N3824" t="s">
        <v>44759</v>
      </c>
      <c r="O3824" t="s">
        <v>44760</v>
      </c>
      <c r="P3824">
        <v>0</v>
      </c>
      <c r="Q3824">
        <v>1</v>
      </c>
      <c r="R3824" t="s">
        <v>44762</v>
      </c>
      <c r="S3824" t="s">
        <v>44863</v>
      </c>
      <c r="T3824" t="s">
        <v>46383</v>
      </c>
      <c r="U3824" t="s">
        <v>50177</v>
      </c>
      <c r="W3824" t="s">
        <v>40874</v>
      </c>
      <c r="X3824" t="s">
        <v>44763</v>
      </c>
    </row>
    <row r="3825" spans="1:24">
      <c r="A3825">
        <f>HYPERLINK("https://www.philgeps.gov.ph/GEPSNONPILOT/Tender/SplashBidNoticeAbstractUI.aspx?menuIndex=3&amp;refID=7150427&amp;Result=3","7150427")</f>
        <v>0</v>
      </c>
      <c r="B3825" t="s">
        <v>1538</v>
      </c>
      <c r="C3825" t="s">
        <v>7395</v>
      </c>
      <c r="D3825" t="s">
        <v>17954</v>
      </c>
      <c r="E3825" t="s">
        <v>21477</v>
      </c>
      <c r="F3825" t="s">
        <v>30900</v>
      </c>
      <c r="G3825" t="s">
        <v>30908</v>
      </c>
      <c r="H3825" t="s">
        <v>30916</v>
      </c>
      <c r="I3825" t="s">
        <v>4545</v>
      </c>
      <c r="J3825" t="s">
        <v>31522</v>
      </c>
      <c r="K3825" t="s">
        <v>40284</v>
      </c>
      <c r="M3825" t="s">
        <v>42181</v>
      </c>
      <c r="N3825" t="s">
        <v>44759</v>
      </c>
      <c r="O3825" t="s">
        <v>44760</v>
      </c>
      <c r="P3825">
        <v>0</v>
      </c>
      <c r="Q3825">
        <v>0</v>
      </c>
      <c r="R3825" t="s">
        <v>44762</v>
      </c>
      <c r="S3825" t="s">
        <v>44863</v>
      </c>
      <c r="T3825" t="s">
        <v>46410</v>
      </c>
      <c r="U3825" t="s">
        <v>50178</v>
      </c>
      <c r="V3825" t="s">
        <v>59543</v>
      </c>
      <c r="W3825" t="s">
        <v>42181</v>
      </c>
      <c r="X3825" t="s">
        <v>44763</v>
      </c>
    </row>
    <row r="3826" spans="1:24">
      <c r="A3826">
        <f>HYPERLINK("https://www.philgeps.gov.ph/GEPSNONPILOT/Tender/SplashBidNoticeAbstractUI.aspx?menuIndex=3&amp;refID=7150426&amp;Result=3","7150426")</f>
        <v>0</v>
      </c>
      <c r="B3826" t="s">
        <v>726</v>
      </c>
      <c r="C3826" t="s">
        <v>7396</v>
      </c>
      <c r="D3826" t="s">
        <v>18016</v>
      </c>
      <c r="E3826" t="s">
        <v>21478</v>
      </c>
      <c r="F3826" t="s">
        <v>30900</v>
      </c>
      <c r="G3826" t="s">
        <v>30907</v>
      </c>
      <c r="H3826" t="s">
        <v>30916</v>
      </c>
      <c r="I3826" t="s">
        <v>30941</v>
      </c>
      <c r="J3826" t="s">
        <v>32038</v>
      </c>
      <c r="K3826" t="s">
        <v>40286</v>
      </c>
      <c r="M3826" t="s">
        <v>41290</v>
      </c>
      <c r="N3826" t="s">
        <v>44759</v>
      </c>
      <c r="O3826" t="s">
        <v>44760</v>
      </c>
      <c r="P3826">
        <v>0</v>
      </c>
      <c r="Q3826">
        <v>0</v>
      </c>
      <c r="R3826" t="s">
        <v>44762</v>
      </c>
      <c r="S3826" t="s">
        <v>44863</v>
      </c>
      <c r="T3826" t="s">
        <v>46389</v>
      </c>
      <c r="U3826" t="s">
        <v>50179</v>
      </c>
      <c r="W3826" t="s">
        <v>41290</v>
      </c>
      <c r="X3826" t="s">
        <v>44763</v>
      </c>
    </row>
    <row r="3827" spans="1:24">
      <c r="A3827">
        <f>HYPERLINK("https://www.philgeps.gov.ph/GEPSNONPILOT/Tender/SplashBidNoticeAbstractUI.aspx?menuIndex=3&amp;refID=7150425&amp;Result=3","7150425")</f>
        <v>0</v>
      </c>
      <c r="B3827" t="s">
        <v>1188</v>
      </c>
      <c r="C3827" t="s">
        <v>7397</v>
      </c>
      <c r="D3827" t="s">
        <v>18019</v>
      </c>
      <c r="E3827" t="s">
        <v>21479</v>
      </c>
      <c r="F3827" t="s">
        <v>30900</v>
      </c>
      <c r="G3827" t="s">
        <v>30908</v>
      </c>
      <c r="H3827" t="s">
        <v>30916</v>
      </c>
      <c r="I3827" t="s">
        <v>30922</v>
      </c>
      <c r="J3827" t="s">
        <v>33704</v>
      </c>
      <c r="K3827" t="s">
        <v>40284</v>
      </c>
      <c r="M3827" t="s">
        <v>41797</v>
      </c>
      <c r="N3827" t="s">
        <v>44759</v>
      </c>
      <c r="O3827" t="s">
        <v>44760</v>
      </c>
      <c r="P3827">
        <v>0</v>
      </c>
      <c r="Q3827">
        <v>1</v>
      </c>
      <c r="R3827" t="s">
        <v>44762</v>
      </c>
      <c r="S3827" t="s">
        <v>44863</v>
      </c>
      <c r="T3827" t="s">
        <v>46467</v>
      </c>
      <c r="U3827" t="s">
        <v>50180</v>
      </c>
      <c r="W3827" t="s">
        <v>41797</v>
      </c>
      <c r="X3827" t="s">
        <v>44763</v>
      </c>
    </row>
    <row r="3828" spans="1:24">
      <c r="A3828">
        <f>HYPERLINK("https://www.philgeps.gov.ph/GEPSNONPILOT/Tender/SplashBidNoticeAbstractUI.aspx?menuIndex=3&amp;refID=7150424&amp;Result=3","7150424")</f>
        <v>0</v>
      </c>
      <c r="B3828" t="s">
        <v>1423</v>
      </c>
      <c r="C3828" t="s">
        <v>6402</v>
      </c>
      <c r="D3828" t="s">
        <v>18013</v>
      </c>
      <c r="E3828" t="s">
        <v>21480</v>
      </c>
      <c r="F3828" t="s">
        <v>30900</v>
      </c>
      <c r="G3828" t="s">
        <v>30907</v>
      </c>
      <c r="H3828" t="s">
        <v>30916</v>
      </c>
      <c r="I3828" t="s">
        <v>8123</v>
      </c>
      <c r="J3828" t="s">
        <v>33705</v>
      </c>
      <c r="K3828" t="s">
        <v>40289</v>
      </c>
      <c r="M3828" t="s">
        <v>42053</v>
      </c>
      <c r="N3828" t="s">
        <v>44759</v>
      </c>
      <c r="O3828" t="s">
        <v>44760</v>
      </c>
      <c r="P3828">
        <v>0</v>
      </c>
      <c r="Q3828">
        <v>0</v>
      </c>
      <c r="R3828" t="s">
        <v>44762</v>
      </c>
      <c r="S3828" t="s">
        <v>44863</v>
      </c>
      <c r="T3828" t="s">
        <v>46371</v>
      </c>
      <c r="U3828" t="s">
        <v>50181</v>
      </c>
      <c r="V3828" t="s">
        <v>59544</v>
      </c>
      <c r="W3828" t="s">
        <v>42053</v>
      </c>
      <c r="X3828" t="s">
        <v>44763</v>
      </c>
    </row>
    <row r="3829" spans="1:24">
      <c r="A3829">
        <f>HYPERLINK("https://www.philgeps.gov.ph/GEPSNONPILOT/Tender/SplashBidNoticeAbstractUI.aspx?menuIndex=3&amp;refID=7150422&amp;Result=3","7150422")</f>
        <v>0</v>
      </c>
      <c r="B3829" t="s">
        <v>764</v>
      </c>
      <c r="C3829" t="s">
        <v>7398</v>
      </c>
      <c r="D3829" t="s">
        <v>17998</v>
      </c>
      <c r="E3829" t="s">
        <v>21481</v>
      </c>
      <c r="F3829" t="s">
        <v>30900</v>
      </c>
      <c r="G3829" t="s">
        <v>30907</v>
      </c>
      <c r="H3829" t="s">
        <v>30916</v>
      </c>
      <c r="I3829" t="s">
        <v>30955</v>
      </c>
      <c r="J3829" t="s">
        <v>33706</v>
      </c>
      <c r="K3829" t="s">
        <v>40283</v>
      </c>
      <c r="M3829" t="s">
        <v>41330</v>
      </c>
      <c r="N3829" t="s">
        <v>44759</v>
      </c>
      <c r="O3829" t="s">
        <v>44760</v>
      </c>
      <c r="P3829">
        <v>0</v>
      </c>
      <c r="Q3829">
        <v>0</v>
      </c>
      <c r="R3829" t="s">
        <v>44762</v>
      </c>
      <c r="S3829" t="s">
        <v>44863</v>
      </c>
      <c r="T3829" t="s">
        <v>46425</v>
      </c>
      <c r="U3829" t="s">
        <v>50182</v>
      </c>
      <c r="W3829" t="s">
        <v>41330</v>
      </c>
      <c r="X3829" t="s">
        <v>44763</v>
      </c>
    </row>
    <row r="3830" spans="1:24">
      <c r="A3830">
        <f>HYPERLINK("https://www.philgeps.gov.ph/GEPSNONPILOT/Tender/SplashBidNoticeAbstractUI.aspx?menuIndex=3&amp;refID=7150420&amp;Result=3","7150420")</f>
        <v>0</v>
      </c>
      <c r="B3830" t="s">
        <v>787</v>
      </c>
      <c r="C3830" t="s">
        <v>7399</v>
      </c>
      <c r="D3830" t="s">
        <v>17987</v>
      </c>
      <c r="E3830" t="s">
        <v>21482</v>
      </c>
      <c r="F3830" t="s">
        <v>30900</v>
      </c>
      <c r="G3830" t="s">
        <v>30908</v>
      </c>
      <c r="H3830" t="s">
        <v>30916</v>
      </c>
      <c r="I3830" t="s">
        <v>30927</v>
      </c>
      <c r="J3830" t="s">
        <v>31070</v>
      </c>
      <c r="K3830" t="s">
        <v>40289</v>
      </c>
      <c r="M3830" t="s">
        <v>41356</v>
      </c>
      <c r="N3830" t="s">
        <v>44759</v>
      </c>
      <c r="O3830" t="s">
        <v>44760</v>
      </c>
      <c r="P3830">
        <v>0</v>
      </c>
      <c r="Q3830">
        <v>0</v>
      </c>
      <c r="R3830" t="s">
        <v>44762</v>
      </c>
      <c r="S3830" t="s">
        <v>44863</v>
      </c>
      <c r="T3830" t="s">
        <v>46409</v>
      </c>
      <c r="U3830" t="s">
        <v>50183</v>
      </c>
      <c r="W3830" t="s">
        <v>41356</v>
      </c>
      <c r="X3830" t="s">
        <v>44763</v>
      </c>
    </row>
    <row r="3831" spans="1:24">
      <c r="A3831">
        <f>HYPERLINK("https://www.philgeps.gov.ph/GEPSNONPILOT/Tender/SplashBidNoticeAbstractUI.aspx?menuIndex=3&amp;refID=7150417&amp;Result=3","7150417")</f>
        <v>0</v>
      </c>
      <c r="B3831" t="s">
        <v>1529</v>
      </c>
      <c r="C3831" t="s">
        <v>7400</v>
      </c>
      <c r="D3831" t="s">
        <v>18010</v>
      </c>
      <c r="E3831" t="s">
        <v>21483</v>
      </c>
      <c r="F3831" t="s">
        <v>30900</v>
      </c>
      <c r="G3831" t="s">
        <v>30907</v>
      </c>
      <c r="H3831" t="s">
        <v>30916</v>
      </c>
      <c r="I3831" t="s">
        <v>5501</v>
      </c>
      <c r="J3831" t="s">
        <v>33707</v>
      </c>
      <c r="K3831" t="s">
        <v>40286</v>
      </c>
      <c r="M3831" t="s">
        <v>42172</v>
      </c>
      <c r="N3831" t="s">
        <v>44759</v>
      </c>
      <c r="O3831" t="s">
        <v>44760</v>
      </c>
      <c r="P3831">
        <v>0</v>
      </c>
      <c r="Q3831">
        <v>0</v>
      </c>
      <c r="R3831" t="s">
        <v>44762</v>
      </c>
      <c r="S3831" t="s">
        <v>44863</v>
      </c>
      <c r="T3831" t="s">
        <v>46465</v>
      </c>
      <c r="U3831" t="s">
        <v>50151</v>
      </c>
      <c r="W3831" t="s">
        <v>60866</v>
      </c>
      <c r="X3831" t="s">
        <v>44763</v>
      </c>
    </row>
    <row r="3832" spans="1:24">
      <c r="A3832">
        <f>HYPERLINK("https://www.philgeps.gov.ph/GEPSNONPILOT/Tender/SplashBidNoticeAbstractUI.aspx?menuIndex=3&amp;refID=7150428&amp;Result=3","7150428")</f>
        <v>0</v>
      </c>
      <c r="B3832" t="s">
        <v>1539</v>
      </c>
      <c r="C3832" t="s">
        <v>7401</v>
      </c>
      <c r="D3832" t="s">
        <v>17955</v>
      </c>
      <c r="E3832" t="s">
        <v>21484</v>
      </c>
      <c r="F3832" t="s">
        <v>30900</v>
      </c>
      <c r="G3832" t="s">
        <v>30908</v>
      </c>
      <c r="H3832" t="s">
        <v>30915</v>
      </c>
      <c r="I3832" t="s">
        <v>30919</v>
      </c>
      <c r="J3832" t="s">
        <v>33708</v>
      </c>
      <c r="K3832" t="s">
        <v>40286</v>
      </c>
      <c r="M3832" t="s">
        <v>42182</v>
      </c>
      <c r="N3832" t="s">
        <v>44759</v>
      </c>
      <c r="O3832" t="s">
        <v>44760</v>
      </c>
      <c r="P3832">
        <v>0</v>
      </c>
      <c r="Q3832">
        <v>1</v>
      </c>
      <c r="R3832" t="s">
        <v>44762</v>
      </c>
      <c r="S3832" t="s">
        <v>44863</v>
      </c>
      <c r="T3832" t="s">
        <v>46395</v>
      </c>
      <c r="U3832" t="s">
        <v>50184</v>
      </c>
      <c r="W3832" t="s">
        <v>42182</v>
      </c>
      <c r="X3832" t="s">
        <v>44763</v>
      </c>
    </row>
    <row r="3833" spans="1:24">
      <c r="A3833">
        <f>HYPERLINK("https://www.philgeps.gov.ph/GEPSNONPILOT/Tender/SplashBidNoticeAbstractUI.aspx?menuIndex=3&amp;refID=7150415&amp;Result=3","7150415")</f>
        <v>0</v>
      </c>
      <c r="B3833" t="s">
        <v>301</v>
      </c>
      <c r="C3833" t="s">
        <v>7402</v>
      </c>
      <c r="D3833" t="s">
        <v>17986</v>
      </c>
      <c r="E3833" t="s">
        <v>21485</v>
      </c>
      <c r="F3833" t="s">
        <v>30900</v>
      </c>
      <c r="G3833" t="s">
        <v>30908</v>
      </c>
      <c r="H3833" t="s">
        <v>30916</v>
      </c>
      <c r="I3833" t="s">
        <v>10847</v>
      </c>
      <c r="J3833" t="s">
        <v>33709</v>
      </c>
      <c r="K3833" t="s">
        <v>40319</v>
      </c>
      <c r="M3833" t="s">
        <v>40850</v>
      </c>
      <c r="N3833" t="s">
        <v>44759</v>
      </c>
      <c r="O3833" t="s">
        <v>44760</v>
      </c>
      <c r="P3833">
        <v>0</v>
      </c>
      <c r="Q3833">
        <v>1</v>
      </c>
      <c r="R3833" t="s">
        <v>44762</v>
      </c>
      <c r="S3833" t="s">
        <v>44863</v>
      </c>
      <c r="T3833" t="s">
        <v>46469</v>
      </c>
      <c r="U3833" t="s">
        <v>47419</v>
      </c>
      <c r="W3833" t="s">
        <v>40850</v>
      </c>
      <c r="X3833" t="s">
        <v>44763</v>
      </c>
    </row>
    <row r="3834" spans="1:24">
      <c r="A3834">
        <f>HYPERLINK("https://www.philgeps.gov.ph/GEPSNONPILOT/Tender/SplashBidNoticeAbstractUI.aspx?menuIndex=3&amp;refID=7150413&amp;Result=3","7150413")</f>
        <v>0</v>
      </c>
      <c r="B3834" t="s">
        <v>888</v>
      </c>
      <c r="C3834" t="s">
        <v>7403</v>
      </c>
      <c r="D3834" t="s">
        <v>17951</v>
      </c>
      <c r="E3834" t="s">
        <v>21486</v>
      </c>
      <c r="F3834" t="s">
        <v>30900</v>
      </c>
      <c r="G3834" t="s">
        <v>30907</v>
      </c>
      <c r="H3834" t="s">
        <v>30916</v>
      </c>
      <c r="I3834" t="s">
        <v>30924</v>
      </c>
      <c r="J3834" t="s">
        <v>33710</v>
      </c>
      <c r="K3834" t="s">
        <v>40308</v>
      </c>
      <c r="M3834" t="s">
        <v>41461</v>
      </c>
      <c r="N3834" t="s">
        <v>44759</v>
      </c>
      <c r="O3834" t="s">
        <v>44760</v>
      </c>
      <c r="P3834">
        <v>0</v>
      </c>
      <c r="Q3834">
        <v>0</v>
      </c>
      <c r="R3834" t="s">
        <v>44762</v>
      </c>
      <c r="S3834" t="s">
        <v>44863</v>
      </c>
      <c r="T3834" t="s">
        <v>46558</v>
      </c>
      <c r="U3834" t="s">
        <v>50185</v>
      </c>
      <c r="V3834" t="s">
        <v>59545</v>
      </c>
      <c r="W3834" t="s">
        <v>41461</v>
      </c>
      <c r="X3834" t="s">
        <v>44763</v>
      </c>
    </row>
    <row r="3835" spans="1:24">
      <c r="A3835">
        <f>HYPERLINK("https://www.philgeps.gov.ph/GEPSNONPILOT/Tender/SplashBidNoticeAbstractUI.aspx?menuIndex=3&amp;refID=7150411&amp;Result=3","7150411")</f>
        <v>0</v>
      </c>
      <c r="B3835" t="s">
        <v>787</v>
      </c>
      <c r="C3835" t="s">
        <v>7404</v>
      </c>
      <c r="D3835" t="s">
        <v>17987</v>
      </c>
      <c r="E3835" t="s">
        <v>21487</v>
      </c>
      <c r="F3835" t="s">
        <v>30900</v>
      </c>
      <c r="G3835" t="s">
        <v>30908</v>
      </c>
      <c r="H3835" t="s">
        <v>30916</v>
      </c>
      <c r="I3835" t="s">
        <v>30933</v>
      </c>
      <c r="J3835" t="s">
        <v>31206</v>
      </c>
      <c r="K3835" t="s">
        <v>40289</v>
      </c>
      <c r="M3835" t="s">
        <v>41356</v>
      </c>
      <c r="N3835" t="s">
        <v>44759</v>
      </c>
      <c r="O3835" t="s">
        <v>44760</v>
      </c>
      <c r="P3835">
        <v>0</v>
      </c>
      <c r="Q3835">
        <v>0</v>
      </c>
      <c r="R3835" t="s">
        <v>44762</v>
      </c>
      <c r="S3835" t="s">
        <v>44863</v>
      </c>
      <c r="T3835" t="s">
        <v>46409</v>
      </c>
      <c r="U3835" t="s">
        <v>50186</v>
      </c>
      <c r="W3835" t="s">
        <v>41356</v>
      </c>
      <c r="X3835" t="s">
        <v>44763</v>
      </c>
    </row>
    <row r="3836" spans="1:24">
      <c r="A3836">
        <f>HYPERLINK("https://www.philgeps.gov.ph/GEPSNONPILOT/Tender/SplashBidNoticeAbstractUI.aspx?menuIndex=3&amp;refID=7150436&amp;Result=3","7150436")</f>
        <v>0</v>
      </c>
      <c r="B3836" t="s">
        <v>1540</v>
      </c>
      <c r="C3836" t="s">
        <v>7405</v>
      </c>
      <c r="D3836" t="s">
        <v>18004</v>
      </c>
      <c r="E3836" t="s">
        <v>21488</v>
      </c>
      <c r="F3836" t="s">
        <v>30900</v>
      </c>
      <c r="G3836" t="s">
        <v>30910</v>
      </c>
      <c r="H3836" t="s">
        <v>30916</v>
      </c>
      <c r="I3836" t="s">
        <v>4142</v>
      </c>
      <c r="J3836" t="s">
        <v>33711</v>
      </c>
      <c r="K3836" t="s">
        <v>40284</v>
      </c>
      <c r="M3836" t="s">
        <v>42183</v>
      </c>
      <c r="N3836" t="s">
        <v>44759</v>
      </c>
      <c r="O3836" t="s">
        <v>44760</v>
      </c>
      <c r="P3836">
        <v>0</v>
      </c>
      <c r="Q3836">
        <v>0</v>
      </c>
      <c r="R3836" t="s">
        <v>44762</v>
      </c>
      <c r="S3836" t="s">
        <v>44863</v>
      </c>
      <c r="T3836" t="s">
        <v>46390</v>
      </c>
      <c r="U3836" t="s">
        <v>50187</v>
      </c>
      <c r="W3836" t="s">
        <v>42183</v>
      </c>
      <c r="X3836" t="s">
        <v>44763</v>
      </c>
    </row>
    <row r="3837" spans="1:24">
      <c r="A3837">
        <f>HYPERLINK("https://www.philgeps.gov.ph/GEPSNONPILOT/Tender/SplashBidNoticeAbstractUI.aspx?menuIndex=3&amp;refID=7150450&amp;Result=3","7150450")</f>
        <v>0</v>
      </c>
      <c r="B3837" t="s">
        <v>1529</v>
      </c>
      <c r="C3837" t="s">
        <v>7406</v>
      </c>
      <c r="D3837" t="s">
        <v>18010</v>
      </c>
      <c r="E3837" t="s">
        <v>21489</v>
      </c>
      <c r="F3837" t="s">
        <v>30900</v>
      </c>
      <c r="G3837" t="s">
        <v>30907</v>
      </c>
      <c r="H3837" t="s">
        <v>30916</v>
      </c>
      <c r="I3837" t="s">
        <v>10602</v>
      </c>
      <c r="J3837" t="s">
        <v>33712</v>
      </c>
      <c r="K3837" t="s">
        <v>40360</v>
      </c>
      <c r="M3837" t="s">
        <v>42172</v>
      </c>
      <c r="N3837" t="s">
        <v>44759</v>
      </c>
      <c r="O3837" t="s">
        <v>44760</v>
      </c>
      <c r="P3837">
        <v>0</v>
      </c>
      <c r="Q3837">
        <v>0</v>
      </c>
      <c r="R3837" t="s">
        <v>44762</v>
      </c>
      <c r="S3837" t="s">
        <v>44863</v>
      </c>
      <c r="T3837" t="s">
        <v>46465</v>
      </c>
      <c r="U3837" t="s">
        <v>50151</v>
      </c>
      <c r="W3837" t="s">
        <v>60866</v>
      </c>
      <c r="X3837" t="s">
        <v>44763</v>
      </c>
    </row>
    <row r="3838" spans="1:24">
      <c r="A3838">
        <f>HYPERLINK("https://www.philgeps.gov.ph/GEPSNONPILOT/Tender/SplashBidNoticeAbstractUI.aspx?menuIndex=3&amp;refID=7150449&amp;Result=3","7150449")</f>
        <v>0</v>
      </c>
      <c r="B3838" t="s">
        <v>799</v>
      </c>
      <c r="C3838" t="s">
        <v>7407</v>
      </c>
      <c r="D3838" t="s">
        <v>17985</v>
      </c>
      <c r="E3838" t="s">
        <v>21490</v>
      </c>
      <c r="F3838" t="s">
        <v>30900</v>
      </c>
      <c r="G3838" t="s">
        <v>30907</v>
      </c>
      <c r="H3838" t="s">
        <v>30916</v>
      </c>
      <c r="I3838" t="s">
        <v>6953</v>
      </c>
      <c r="J3838" t="s">
        <v>33713</v>
      </c>
      <c r="K3838" t="s">
        <v>40286</v>
      </c>
      <c r="M3838" t="s">
        <v>41369</v>
      </c>
      <c r="N3838" t="s">
        <v>44759</v>
      </c>
      <c r="O3838" t="s">
        <v>44760</v>
      </c>
      <c r="P3838">
        <v>0</v>
      </c>
      <c r="Q3838">
        <v>0</v>
      </c>
      <c r="R3838" t="s">
        <v>44762</v>
      </c>
      <c r="S3838" t="s">
        <v>44863</v>
      </c>
      <c r="T3838" t="s">
        <v>46400</v>
      </c>
      <c r="U3838" t="s">
        <v>50188</v>
      </c>
      <c r="V3838" t="s">
        <v>59546</v>
      </c>
      <c r="W3838" t="s">
        <v>41369</v>
      </c>
      <c r="X3838" t="s">
        <v>44763</v>
      </c>
    </row>
    <row r="3839" spans="1:24">
      <c r="A3839">
        <f>HYPERLINK("https://www.philgeps.gov.ph/GEPSNONPILOT/Tender/SplashBidNoticeAbstractUI.aspx?menuIndex=3&amp;refID=7150448&amp;Result=3","7150448")</f>
        <v>0</v>
      </c>
      <c r="B3839" t="s">
        <v>1541</v>
      </c>
      <c r="C3839" t="s">
        <v>6985</v>
      </c>
      <c r="D3839" t="s">
        <v>17999</v>
      </c>
      <c r="E3839" t="s">
        <v>21491</v>
      </c>
      <c r="F3839" t="s">
        <v>30900</v>
      </c>
      <c r="G3839" t="s">
        <v>30908</v>
      </c>
      <c r="H3839" t="s">
        <v>30916</v>
      </c>
      <c r="I3839" t="s">
        <v>4108</v>
      </c>
      <c r="J3839" t="s">
        <v>33714</v>
      </c>
      <c r="K3839" t="s">
        <v>40286</v>
      </c>
      <c r="M3839" t="s">
        <v>42184</v>
      </c>
      <c r="N3839" t="s">
        <v>44759</v>
      </c>
      <c r="O3839" t="s">
        <v>44760</v>
      </c>
      <c r="P3839">
        <v>0</v>
      </c>
      <c r="Q3839">
        <v>2</v>
      </c>
      <c r="R3839" t="s">
        <v>44762</v>
      </c>
      <c r="S3839" t="s">
        <v>44863</v>
      </c>
      <c r="T3839" t="s">
        <v>46440</v>
      </c>
      <c r="U3839" t="s">
        <v>50189</v>
      </c>
      <c r="W3839" t="s">
        <v>42184</v>
      </c>
      <c r="X3839" t="s">
        <v>44763</v>
      </c>
    </row>
    <row r="3840" spans="1:24">
      <c r="A3840">
        <f>HYPERLINK("https://www.philgeps.gov.ph/GEPSNONPILOT/Tender/SplashBidNoticeAbstractUI.aspx?menuIndex=3&amp;refID=7150447&amp;Result=3","7150447")</f>
        <v>0</v>
      </c>
      <c r="B3840" t="s">
        <v>1542</v>
      </c>
      <c r="C3840" t="s">
        <v>7408</v>
      </c>
      <c r="E3840" t="s">
        <v>21492</v>
      </c>
      <c r="F3840" t="s">
        <v>30900</v>
      </c>
      <c r="G3840" t="s">
        <v>30908</v>
      </c>
      <c r="H3840" t="s">
        <v>30916</v>
      </c>
      <c r="I3840" t="s">
        <v>30947</v>
      </c>
      <c r="J3840" t="s">
        <v>33715</v>
      </c>
      <c r="K3840" t="s">
        <v>40283</v>
      </c>
      <c r="M3840" t="s">
        <v>42185</v>
      </c>
      <c r="N3840" t="s">
        <v>44759</v>
      </c>
      <c r="O3840" t="s">
        <v>44760</v>
      </c>
      <c r="P3840">
        <v>0</v>
      </c>
      <c r="Q3840">
        <v>0</v>
      </c>
      <c r="R3840" t="s">
        <v>44762</v>
      </c>
      <c r="S3840" t="s">
        <v>44863</v>
      </c>
      <c r="T3840" t="s">
        <v>46410</v>
      </c>
      <c r="U3840" t="s">
        <v>50190</v>
      </c>
      <c r="V3840" t="s">
        <v>59547</v>
      </c>
      <c r="W3840" t="s">
        <v>42185</v>
      </c>
      <c r="X3840" t="s">
        <v>44763</v>
      </c>
    </row>
    <row r="3841" spans="1:24">
      <c r="A3841">
        <f>HYPERLINK("https://www.philgeps.gov.ph/GEPSNONPILOT/Tender/SplashBidNoticeAbstractUI.aspx?menuIndex=3&amp;refID=7150446&amp;Result=3","7150446")</f>
        <v>0</v>
      </c>
      <c r="B3841" t="s">
        <v>243</v>
      </c>
      <c r="C3841" t="s">
        <v>7409</v>
      </c>
      <c r="E3841" t="s">
        <v>21493</v>
      </c>
      <c r="F3841" t="s">
        <v>30900</v>
      </c>
      <c r="G3841" t="s">
        <v>30907</v>
      </c>
      <c r="H3841" t="s">
        <v>30916</v>
      </c>
      <c r="I3841" t="s">
        <v>30932</v>
      </c>
      <c r="J3841" t="s">
        <v>32324</v>
      </c>
      <c r="K3841" t="s">
        <v>40286</v>
      </c>
      <c r="M3841" t="s">
        <v>40790</v>
      </c>
      <c r="N3841" t="s">
        <v>44759</v>
      </c>
      <c r="O3841" t="s">
        <v>44760</v>
      </c>
      <c r="P3841">
        <v>0</v>
      </c>
      <c r="Q3841">
        <v>4</v>
      </c>
      <c r="R3841" t="s">
        <v>44762</v>
      </c>
      <c r="S3841" t="s">
        <v>44863</v>
      </c>
      <c r="T3841" t="s">
        <v>46609</v>
      </c>
      <c r="U3841" t="s">
        <v>50191</v>
      </c>
      <c r="W3841" t="s">
        <v>42208</v>
      </c>
      <c r="X3841" t="s">
        <v>44763</v>
      </c>
    </row>
    <row r="3842" spans="1:24">
      <c r="A3842">
        <f>HYPERLINK("https://www.philgeps.gov.ph/GEPSNONPILOT/Tender/SplashBidNoticeAbstractUI.aspx?menuIndex=3&amp;refID=7150445&amp;Result=3","7150445")</f>
        <v>0</v>
      </c>
      <c r="B3842" t="s">
        <v>1531</v>
      </c>
      <c r="C3842" t="s">
        <v>7410</v>
      </c>
      <c r="D3842" t="s">
        <v>17959</v>
      </c>
      <c r="E3842" t="s">
        <v>21494</v>
      </c>
      <c r="F3842" t="s">
        <v>30900</v>
      </c>
      <c r="G3842" t="s">
        <v>30908</v>
      </c>
      <c r="H3842" t="s">
        <v>30916</v>
      </c>
      <c r="I3842" t="s">
        <v>4108</v>
      </c>
      <c r="J3842" t="s">
        <v>31152</v>
      </c>
      <c r="K3842" t="s">
        <v>40289</v>
      </c>
      <c r="M3842" t="s">
        <v>42174</v>
      </c>
      <c r="N3842" t="s">
        <v>44759</v>
      </c>
      <c r="O3842" t="s">
        <v>44760</v>
      </c>
      <c r="P3842">
        <v>0</v>
      </c>
      <c r="Q3842">
        <v>13</v>
      </c>
      <c r="R3842" t="s">
        <v>44762</v>
      </c>
      <c r="S3842" t="s">
        <v>44863</v>
      </c>
      <c r="T3842" t="s">
        <v>46390</v>
      </c>
      <c r="U3842" t="s">
        <v>50153</v>
      </c>
      <c r="W3842" t="s">
        <v>42174</v>
      </c>
      <c r="X3842" t="s">
        <v>44763</v>
      </c>
    </row>
    <row r="3843" spans="1:24">
      <c r="A3843">
        <f>HYPERLINK("https://www.philgeps.gov.ph/GEPSNONPILOT/Tender/SplashBidNoticeAbstractUI.aspx?menuIndex=3&amp;refID=7150444&amp;Result=3","7150444")</f>
        <v>0</v>
      </c>
      <c r="B3843" t="s">
        <v>469</v>
      </c>
      <c r="C3843" t="s">
        <v>7411</v>
      </c>
      <c r="D3843" t="s">
        <v>17981</v>
      </c>
      <c r="E3843" t="s">
        <v>21495</v>
      </c>
      <c r="F3843" t="s">
        <v>30900</v>
      </c>
      <c r="G3843" t="s">
        <v>30911</v>
      </c>
      <c r="H3843" t="s">
        <v>7411</v>
      </c>
      <c r="I3843" t="s">
        <v>30924</v>
      </c>
      <c r="J3843" t="s">
        <v>32787</v>
      </c>
      <c r="K3843" t="s">
        <v>40332</v>
      </c>
      <c r="M3843" t="s">
        <v>41027</v>
      </c>
      <c r="N3843" t="s">
        <v>44759</v>
      </c>
      <c r="O3843" t="s">
        <v>44760</v>
      </c>
      <c r="P3843">
        <v>0</v>
      </c>
      <c r="Q3843">
        <v>3</v>
      </c>
      <c r="R3843" t="s">
        <v>44762</v>
      </c>
      <c r="S3843" t="s">
        <v>44863</v>
      </c>
      <c r="T3843" t="s">
        <v>46395</v>
      </c>
      <c r="U3843" t="s">
        <v>50192</v>
      </c>
      <c r="W3843" t="s">
        <v>41027</v>
      </c>
      <c r="X3843" t="s">
        <v>44763</v>
      </c>
    </row>
    <row r="3844" spans="1:24">
      <c r="A3844">
        <f>HYPERLINK("https://www.philgeps.gov.ph/GEPSNONPILOT/Tender/SplashBidNoticeAbstractUI.aspx?menuIndex=3&amp;refID=7150412&amp;Result=3","7150412")</f>
        <v>0</v>
      </c>
      <c r="B3844" t="s">
        <v>781</v>
      </c>
      <c r="C3844" t="s">
        <v>7412</v>
      </c>
      <c r="D3844" t="s">
        <v>17959</v>
      </c>
      <c r="E3844" t="s">
        <v>21496</v>
      </c>
      <c r="F3844" t="s">
        <v>30900</v>
      </c>
      <c r="G3844" t="s">
        <v>30909</v>
      </c>
      <c r="H3844" t="s">
        <v>30916</v>
      </c>
      <c r="I3844" t="s">
        <v>6396</v>
      </c>
      <c r="J3844" t="s">
        <v>33716</v>
      </c>
      <c r="K3844" t="s">
        <v>40284</v>
      </c>
      <c r="M3844" t="s">
        <v>42136</v>
      </c>
      <c r="N3844" t="s">
        <v>44759</v>
      </c>
      <c r="O3844" t="s">
        <v>44760</v>
      </c>
      <c r="P3844">
        <v>0</v>
      </c>
      <c r="Q3844">
        <v>0</v>
      </c>
      <c r="R3844" t="s">
        <v>44762</v>
      </c>
      <c r="S3844" t="s">
        <v>44863</v>
      </c>
      <c r="T3844" t="s">
        <v>46568</v>
      </c>
      <c r="U3844" t="s">
        <v>50055</v>
      </c>
      <c r="V3844" t="s">
        <v>59530</v>
      </c>
      <c r="W3844" t="s">
        <v>42136</v>
      </c>
      <c r="X3844" t="s">
        <v>44763</v>
      </c>
    </row>
    <row r="3845" spans="1:24">
      <c r="A3845">
        <f>HYPERLINK("https://www.philgeps.gov.ph/GEPSNONPILOT/Tender/SplashBidNoticeAbstractUI.aspx?menuIndex=3&amp;refID=7150400&amp;Result=3","7150400")</f>
        <v>0</v>
      </c>
      <c r="B3845" t="s">
        <v>1543</v>
      </c>
      <c r="C3845" t="s">
        <v>3886</v>
      </c>
      <c r="D3845" t="s">
        <v>17957</v>
      </c>
      <c r="E3845" t="s">
        <v>19405</v>
      </c>
      <c r="F3845" t="s">
        <v>30900</v>
      </c>
      <c r="G3845" t="s">
        <v>30909</v>
      </c>
      <c r="H3845" t="s">
        <v>30916</v>
      </c>
      <c r="I3845" t="s">
        <v>4108</v>
      </c>
      <c r="J3845" t="s">
        <v>33717</v>
      </c>
      <c r="K3845" t="s">
        <v>40286</v>
      </c>
      <c r="M3845" t="s">
        <v>42186</v>
      </c>
      <c r="N3845" t="s">
        <v>44759</v>
      </c>
      <c r="O3845" t="s">
        <v>44760</v>
      </c>
      <c r="P3845">
        <v>0</v>
      </c>
      <c r="Q3845">
        <v>1</v>
      </c>
      <c r="R3845" t="s">
        <v>44762</v>
      </c>
      <c r="S3845" t="s">
        <v>44863</v>
      </c>
      <c r="T3845" t="s">
        <v>46403</v>
      </c>
      <c r="U3845" t="s">
        <v>50193</v>
      </c>
      <c r="V3845" t="s">
        <v>59117</v>
      </c>
      <c r="W3845" t="s">
        <v>42186</v>
      </c>
      <c r="X3845" t="s">
        <v>44763</v>
      </c>
    </row>
    <row r="3846" spans="1:24">
      <c r="A3846">
        <f>HYPERLINK("https://www.philgeps.gov.ph/GEPSNONPILOT/Tender/SplashBidNoticeAbstractUI.aspx?menuIndex=3&amp;refID=7150460&amp;Result=3","7150460")</f>
        <v>0</v>
      </c>
      <c r="B3846" t="s">
        <v>626</v>
      </c>
      <c r="C3846" t="s">
        <v>7413</v>
      </c>
      <c r="E3846" t="s">
        <v>21497</v>
      </c>
      <c r="F3846" t="s">
        <v>30900</v>
      </c>
      <c r="G3846" t="s">
        <v>30908</v>
      </c>
      <c r="H3846" t="s">
        <v>30916</v>
      </c>
      <c r="I3846" t="s">
        <v>30961</v>
      </c>
      <c r="J3846" t="s">
        <v>32124</v>
      </c>
      <c r="K3846" t="s">
        <v>40287</v>
      </c>
      <c r="M3846" t="s">
        <v>41188</v>
      </c>
      <c r="N3846" t="s">
        <v>44759</v>
      </c>
      <c r="O3846" t="s">
        <v>44760</v>
      </c>
      <c r="P3846">
        <v>0</v>
      </c>
      <c r="Q3846">
        <v>0</v>
      </c>
      <c r="R3846" t="s">
        <v>44762</v>
      </c>
      <c r="S3846" t="s">
        <v>44863</v>
      </c>
      <c r="T3846" t="s">
        <v>46414</v>
      </c>
      <c r="U3846" t="s">
        <v>50194</v>
      </c>
      <c r="V3846" t="s">
        <v>59268</v>
      </c>
      <c r="W3846" t="s">
        <v>41188</v>
      </c>
      <c r="X3846" t="s">
        <v>44763</v>
      </c>
    </row>
    <row r="3847" spans="1:24">
      <c r="A3847">
        <f>HYPERLINK("https://www.philgeps.gov.ph/GEPSNONPILOT/Tender/SplashBidNoticeAbstractUI.aspx?menuIndex=3&amp;refID=7150434&amp;Result=3","7150434")</f>
        <v>0</v>
      </c>
      <c r="B3847" t="s">
        <v>237</v>
      </c>
      <c r="C3847" t="s">
        <v>7414</v>
      </c>
      <c r="D3847" t="s">
        <v>17977</v>
      </c>
      <c r="E3847" t="s">
        <v>7414</v>
      </c>
      <c r="F3847" t="s">
        <v>30900</v>
      </c>
      <c r="G3847" t="s">
        <v>30907</v>
      </c>
      <c r="H3847" t="s">
        <v>30915</v>
      </c>
      <c r="I3847" t="s">
        <v>30964</v>
      </c>
      <c r="J3847" t="s">
        <v>33718</v>
      </c>
      <c r="K3847" t="s">
        <v>40289</v>
      </c>
      <c r="M3847" t="s">
        <v>42187</v>
      </c>
      <c r="N3847" t="s">
        <v>44759</v>
      </c>
      <c r="O3847" t="s">
        <v>44760</v>
      </c>
      <c r="P3847">
        <v>0</v>
      </c>
      <c r="Q3847">
        <v>0</v>
      </c>
      <c r="R3847" t="s">
        <v>44762</v>
      </c>
      <c r="S3847" t="s">
        <v>44863</v>
      </c>
      <c r="T3847" t="s">
        <v>46569</v>
      </c>
      <c r="U3847" t="s">
        <v>50195</v>
      </c>
      <c r="W3847" t="s">
        <v>42187</v>
      </c>
      <c r="X3847" t="s">
        <v>44763</v>
      </c>
    </row>
    <row r="3848" spans="1:24">
      <c r="A3848">
        <f>HYPERLINK("https://www.philgeps.gov.ph/GEPSNONPILOT/Tender/SplashBidNoticeAbstractUI.aspx?menuIndex=3&amp;refID=7150431&amp;Result=3","7150431")</f>
        <v>0</v>
      </c>
      <c r="B3848" t="s">
        <v>626</v>
      </c>
      <c r="C3848" t="s">
        <v>7415</v>
      </c>
      <c r="E3848" t="s">
        <v>21498</v>
      </c>
      <c r="F3848" t="s">
        <v>30900</v>
      </c>
      <c r="G3848" t="s">
        <v>30908</v>
      </c>
      <c r="H3848" t="s">
        <v>30916</v>
      </c>
      <c r="I3848" t="s">
        <v>8044</v>
      </c>
      <c r="J3848" t="s">
        <v>33719</v>
      </c>
      <c r="K3848" t="s">
        <v>40287</v>
      </c>
      <c r="M3848" t="s">
        <v>41188</v>
      </c>
      <c r="N3848" t="s">
        <v>44759</v>
      </c>
      <c r="O3848" t="s">
        <v>44760</v>
      </c>
      <c r="P3848">
        <v>0</v>
      </c>
      <c r="Q3848">
        <v>0</v>
      </c>
      <c r="R3848" t="s">
        <v>44762</v>
      </c>
      <c r="S3848" t="s">
        <v>44863</v>
      </c>
      <c r="T3848" t="s">
        <v>46414</v>
      </c>
      <c r="U3848" t="s">
        <v>50196</v>
      </c>
      <c r="V3848" t="s">
        <v>59268</v>
      </c>
      <c r="W3848" t="s">
        <v>41188</v>
      </c>
      <c r="X3848" t="s">
        <v>44763</v>
      </c>
    </row>
    <row r="3849" spans="1:24">
      <c r="A3849">
        <f>HYPERLINK("https://www.philgeps.gov.ph/GEPSNONPILOT/Tender/SplashBidNoticeAbstractUI.aspx?menuIndex=3&amp;refID=7150458&amp;Result=3","7150458")</f>
        <v>0</v>
      </c>
      <c r="B3849" t="s">
        <v>888</v>
      </c>
      <c r="C3849" t="s">
        <v>7416</v>
      </c>
      <c r="D3849" t="s">
        <v>17951</v>
      </c>
      <c r="E3849" t="s">
        <v>21499</v>
      </c>
      <c r="F3849" t="s">
        <v>30900</v>
      </c>
      <c r="G3849" t="s">
        <v>30907</v>
      </c>
      <c r="H3849" t="s">
        <v>30916</v>
      </c>
      <c r="I3849" t="s">
        <v>30924</v>
      </c>
      <c r="J3849" t="s">
        <v>33720</v>
      </c>
      <c r="K3849" t="s">
        <v>40308</v>
      </c>
      <c r="M3849" t="s">
        <v>41461</v>
      </c>
      <c r="N3849" t="s">
        <v>44759</v>
      </c>
      <c r="O3849" t="s">
        <v>44760</v>
      </c>
      <c r="P3849">
        <v>0</v>
      </c>
      <c r="Q3849">
        <v>0</v>
      </c>
      <c r="R3849" t="s">
        <v>44762</v>
      </c>
      <c r="S3849" t="s">
        <v>44863</v>
      </c>
      <c r="T3849" t="s">
        <v>46558</v>
      </c>
      <c r="U3849" t="s">
        <v>50197</v>
      </c>
      <c r="V3849" t="s">
        <v>59548</v>
      </c>
      <c r="W3849" t="s">
        <v>41461</v>
      </c>
      <c r="X3849" t="s">
        <v>44763</v>
      </c>
    </row>
    <row r="3850" spans="1:24">
      <c r="A3850">
        <f>HYPERLINK("https://www.philgeps.gov.ph/GEPSNONPILOT/Tender/SplashBidNoticeAbstractUI.aspx?menuIndex=3&amp;refID=7150455&amp;Result=3","7150455")</f>
        <v>0</v>
      </c>
      <c r="B3850" t="s">
        <v>781</v>
      </c>
      <c r="C3850" t="s">
        <v>7417</v>
      </c>
      <c r="D3850" t="s">
        <v>17959</v>
      </c>
      <c r="E3850" t="s">
        <v>21500</v>
      </c>
      <c r="F3850" t="s">
        <v>30900</v>
      </c>
      <c r="G3850" t="s">
        <v>30909</v>
      </c>
      <c r="H3850" t="s">
        <v>30916</v>
      </c>
      <c r="I3850" t="s">
        <v>6396</v>
      </c>
      <c r="J3850" t="s">
        <v>33721</v>
      </c>
      <c r="K3850" t="s">
        <v>40284</v>
      </c>
      <c r="M3850" t="s">
        <v>42136</v>
      </c>
      <c r="N3850" t="s">
        <v>44759</v>
      </c>
      <c r="O3850" t="s">
        <v>44760</v>
      </c>
      <c r="P3850">
        <v>0</v>
      </c>
      <c r="Q3850">
        <v>1</v>
      </c>
      <c r="R3850" t="s">
        <v>44762</v>
      </c>
      <c r="S3850" t="s">
        <v>44863</v>
      </c>
      <c r="T3850" t="s">
        <v>46568</v>
      </c>
      <c r="U3850" t="s">
        <v>50055</v>
      </c>
      <c r="V3850" t="s">
        <v>59530</v>
      </c>
      <c r="W3850" t="s">
        <v>42136</v>
      </c>
      <c r="X3850" t="s">
        <v>44763</v>
      </c>
    </row>
    <row r="3851" spans="1:24">
      <c r="A3851">
        <f>HYPERLINK("https://www.philgeps.gov.ph/GEPSNONPILOT/Tender/SplashBidNoticeAbstractUI.aspx?menuIndex=3&amp;refID=7150454&amp;Result=3","7150454")</f>
        <v>0</v>
      </c>
      <c r="B3851" t="s">
        <v>1544</v>
      </c>
      <c r="C3851" t="s">
        <v>7418</v>
      </c>
      <c r="D3851" t="s">
        <v>18018</v>
      </c>
      <c r="E3851" t="s">
        <v>21501</v>
      </c>
      <c r="F3851" t="s">
        <v>30900</v>
      </c>
      <c r="G3851" t="s">
        <v>30910</v>
      </c>
      <c r="H3851" t="s">
        <v>30916</v>
      </c>
      <c r="I3851" t="s">
        <v>6396</v>
      </c>
      <c r="J3851" t="s">
        <v>33722</v>
      </c>
      <c r="K3851" t="s">
        <v>40284</v>
      </c>
      <c r="M3851" t="s">
        <v>42188</v>
      </c>
      <c r="N3851" t="s">
        <v>44759</v>
      </c>
      <c r="O3851" t="s">
        <v>44760</v>
      </c>
      <c r="P3851">
        <v>0</v>
      </c>
      <c r="Q3851">
        <v>0</v>
      </c>
      <c r="R3851" t="s">
        <v>44762</v>
      </c>
      <c r="S3851" t="s">
        <v>44863</v>
      </c>
      <c r="T3851" t="s">
        <v>46383</v>
      </c>
      <c r="U3851" t="s">
        <v>50198</v>
      </c>
      <c r="W3851" t="s">
        <v>42188</v>
      </c>
      <c r="X3851" t="s">
        <v>44763</v>
      </c>
    </row>
    <row r="3852" spans="1:24">
      <c r="A3852">
        <f>HYPERLINK("https://www.philgeps.gov.ph/GEPSNONPILOT/Tender/SplashBidNoticeAbstractUI.aspx?menuIndex=3&amp;refID=7150414&amp;Result=3","7150414")</f>
        <v>0</v>
      </c>
      <c r="B3852" t="s">
        <v>341</v>
      </c>
      <c r="C3852" t="s">
        <v>7419</v>
      </c>
      <c r="D3852" t="s">
        <v>17951</v>
      </c>
      <c r="E3852" t="s">
        <v>19256</v>
      </c>
      <c r="F3852" t="s">
        <v>30900</v>
      </c>
      <c r="G3852" t="s">
        <v>30907</v>
      </c>
      <c r="H3852" t="s">
        <v>30915</v>
      </c>
      <c r="I3852" t="s">
        <v>30919</v>
      </c>
      <c r="J3852" t="s">
        <v>31069</v>
      </c>
      <c r="K3852" t="s">
        <v>40301</v>
      </c>
      <c r="L3852" t="s">
        <v>341</v>
      </c>
      <c r="M3852" t="s">
        <v>40894</v>
      </c>
      <c r="N3852" t="s">
        <v>44759</v>
      </c>
      <c r="O3852" t="s">
        <v>44760</v>
      </c>
      <c r="P3852">
        <v>0</v>
      </c>
      <c r="Q3852">
        <v>2</v>
      </c>
      <c r="R3852" t="s">
        <v>44762</v>
      </c>
      <c r="S3852" t="s">
        <v>44863</v>
      </c>
      <c r="T3852" t="s">
        <v>46433</v>
      </c>
      <c r="U3852" t="s">
        <v>50199</v>
      </c>
      <c r="V3852" t="s">
        <v>48109</v>
      </c>
      <c r="W3852" t="s">
        <v>40894</v>
      </c>
      <c r="X3852" t="s">
        <v>44763</v>
      </c>
    </row>
    <row r="3853" spans="1:24">
      <c r="A3853">
        <f>HYPERLINK("https://www.philgeps.gov.ph/GEPSNONPILOT/Tender/SplashBidNoticeAbstractUI.aspx?menuIndex=3&amp;refID=7150442&amp;Result=3","7150442")</f>
        <v>0</v>
      </c>
      <c r="B3853" t="s">
        <v>1545</v>
      </c>
      <c r="C3853" t="s">
        <v>7420</v>
      </c>
      <c r="D3853" t="s">
        <v>17987</v>
      </c>
      <c r="E3853" t="s">
        <v>21502</v>
      </c>
      <c r="F3853" t="s">
        <v>30900</v>
      </c>
      <c r="G3853" t="s">
        <v>30908</v>
      </c>
      <c r="H3853" t="s">
        <v>30916</v>
      </c>
      <c r="I3853" t="s">
        <v>30988</v>
      </c>
      <c r="J3853" t="s">
        <v>31142</v>
      </c>
      <c r="K3853" t="s">
        <v>40289</v>
      </c>
      <c r="M3853" t="s">
        <v>42189</v>
      </c>
      <c r="N3853" t="s">
        <v>44759</v>
      </c>
      <c r="O3853" t="s">
        <v>44760</v>
      </c>
      <c r="P3853">
        <v>0</v>
      </c>
      <c r="Q3853">
        <v>0</v>
      </c>
      <c r="R3853" t="s">
        <v>44762</v>
      </c>
      <c r="S3853" t="s">
        <v>44863</v>
      </c>
      <c r="T3853" t="s">
        <v>46379</v>
      </c>
      <c r="U3853" t="s">
        <v>50200</v>
      </c>
      <c r="W3853" t="s">
        <v>42189</v>
      </c>
      <c r="X3853" t="s">
        <v>44763</v>
      </c>
    </row>
    <row r="3854" spans="1:24">
      <c r="A3854">
        <f>HYPERLINK("https://www.philgeps.gov.ph/GEPSNONPILOT/Tender/SplashBidNoticeAbstractUI.aspx?menuIndex=3&amp;refID=7150441&amp;Result=3","7150441")</f>
        <v>0</v>
      </c>
      <c r="B3854" t="s">
        <v>1546</v>
      </c>
      <c r="C3854" t="s">
        <v>7421</v>
      </c>
      <c r="D3854" t="s">
        <v>17959</v>
      </c>
      <c r="E3854" t="s">
        <v>21503</v>
      </c>
      <c r="F3854" t="s">
        <v>30900</v>
      </c>
      <c r="G3854" t="s">
        <v>30907</v>
      </c>
      <c r="H3854" t="s">
        <v>30916</v>
      </c>
      <c r="I3854" t="s">
        <v>30942</v>
      </c>
      <c r="J3854" t="s">
        <v>33477</v>
      </c>
      <c r="K3854" t="s">
        <v>40283</v>
      </c>
      <c r="M3854" t="s">
        <v>42190</v>
      </c>
      <c r="N3854" t="s">
        <v>44759</v>
      </c>
      <c r="O3854" t="s">
        <v>44760</v>
      </c>
      <c r="P3854">
        <v>0</v>
      </c>
      <c r="Q3854">
        <v>2</v>
      </c>
      <c r="R3854" t="s">
        <v>44762</v>
      </c>
      <c r="S3854" t="s">
        <v>44863</v>
      </c>
      <c r="T3854" t="s">
        <v>46475</v>
      </c>
      <c r="U3854" t="s">
        <v>50201</v>
      </c>
      <c r="W3854" t="s">
        <v>42190</v>
      </c>
      <c r="X3854" t="s">
        <v>44763</v>
      </c>
    </row>
    <row r="3855" spans="1:24">
      <c r="A3855">
        <f>HYPERLINK("https://www.philgeps.gov.ph/GEPSNONPILOT/Tender/SplashBidNoticeAbstractUI.aspx?menuIndex=3&amp;refID=7150439&amp;Result=3","7150439")</f>
        <v>0</v>
      </c>
      <c r="B3855" t="s">
        <v>1547</v>
      </c>
      <c r="C3855" t="s">
        <v>7422</v>
      </c>
      <c r="D3855" t="s">
        <v>17978</v>
      </c>
      <c r="E3855" t="s">
        <v>21504</v>
      </c>
      <c r="F3855" t="s">
        <v>30900</v>
      </c>
      <c r="G3855" t="s">
        <v>30908</v>
      </c>
      <c r="H3855" t="s">
        <v>30915</v>
      </c>
      <c r="I3855" t="s">
        <v>30919</v>
      </c>
      <c r="J3855" t="s">
        <v>33723</v>
      </c>
      <c r="K3855" t="s">
        <v>40302</v>
      </c>
      <c r="M3855" t="s">
        <v>42191</v>
      </c>
      <c r="N3855" t="s">
        <v>44759</v>
      </c>
      <c r="O3855" t="s">
        <v>44760</v>
      </c>
      <c r="P3855">
        <v>0</v>
      </c>
      <c r="Q3855">
        <v>0</v>
      </c>
      <c r="R3855" t="s">
        <v>44762</v>
      </c>
      <c r="S3855" t="s">
        <v>44863</v>
      </c>
      <c r="T3855" t="s">
        <v>46410</v>
      </c>
      <c r="U3855" t="s">
        <v>50202</v>
      </c>
      <c r="W3855" t="s">
        <v>42191</v>
      </c>
      <c r="X3855" t="s">
        <v>44763</v>
      </c>
    </row>
    <row r="3856" spans="1:24">
      <c r="A3856">
        <f>HYPERLINK("https://www.philgeps.gov.ph/GEPSNONPILOT/Tender/SplashBidNoticeAbstractUI.aspx?menuIndex=3&amp;refID=7150437&amp;Result=3","7150437")</f>
        <v>0</v>
      </c>
      <c r="B3856" t="s">
        <v>1548</v>
      </c>
      <c r="C3856" t="s">
        <v>7423</v>
      </c>
      <c r="D3856" t="s">
        <v>17974</v>
      </c>
      <c r="E3856" t="s">
        <v>21505</v>
      </c>
      <c r="F3856" t="s">
        <v>30900</v>
      </c>
      <c r="G3856" t="s">
        <v>30907</v>
      </c>
      <c r="H3856" t="s">
        <v>30915</v>
      </c>
      <c r="I3856" t="s">
        <v>30919</v>
      </c>
      <c r="J3856" t="s">
        <v>31391</v>
      </c>
      <c r="K3856" t="s">
        <v>40286</v>
      </c>
      <c r="M3856" t="s">
        <v>42192</v>
      </c>
      <c r="N3856" t="s">
        <v>44759</v>
      </c>
      <c r="O3856" t="s">
        <v>44760</v>
      </c>
      <c r="Q3856">
        <v>0</v>
      </c>
      <c r="R3856" t="s">
        <v>44762</v>
      </c>
      <c r="S3856" t="s">
        <v>44882</v>
      </c>
      <c r="T3856" t="s">
        <v>46377</v>
      </c>
      <c r="U3856" t="s">
        <v>50203</v>
      </c>
      <c r="W3856" t="s">
        <v>42192</v>
      </c>
      <c r="X3856" t="s">
        <v>44763</v>
      </c>
    </row>
    <row r="3857" spans="1:24">
      <c r="A3857">
        <f>HYPERLINK("https://www.philgeps.gov.ph/GEPSNONPILOT/Tender/SplashBidNoticeAbstractUI.aspx?menuIndex=3&amp;refID=7150479&amp;Result=3","7150479")</f>
        <v>0</v>
      </c>
      <c r="B3857" t="s">
        <v>908</v>
      </c>
      <c r="C3857" t="s">
        <v>7424</v>
      </c>
      <c r="D3857" t="s">
        <v>17952</v>
      </c>
      <c r="E3857" t="s">
        <v>21506</v>
      </c>
      <c r="F3857" t="s">
        <v>30900</v>
      </c>
      <c r="G3857" t="s">
        <v>30908</v>
      </c>
      <c r="H3857" t="s">
        <v>30916</v>
      </c>
      <c r="I3857" t="s">
        <v>30939</v>
      </c>
      <c r="J3857" t="s">
        <v>33724</v>
      </c>
      <c r="K3857" t="s">
        <v>40286</v>
      </c>
      <c r="M3857" t="s">
        <v>41483</v>
      </c>
      <c r="N3857" t="s">
        <v>44759</v>
      </c>
      <c r="O3857" t="s">
        <v>44760</v>
      </c>
      <c r="P3857">
        <v>0</v>
      </c>
      <c r="Q3857">
        <v>0</v>
      </c>
      <c r="R3857" t="s">
        <v>44762</v>
      </c>
      <c r="S3857" t="s">
        <v>44863</v>
      </c>
      <c r="T3857" t="s">
        <v>46363</v>
      </c>
      <c r="U3857" t="s">
        <v>50204</v>
      </c>
      <c r="W3857" t="s">
        <v>41483</v>
      </c>
      <c r="X3857" t="s">
        <v>44763</v>
      </c>
    </row>
    <row r="3858" spans="1:24">
      <c r="A3858">
        <f>HYPERLINK("https://www.philgeps.gov.ph/GEPSNONPILOT/Tender/SplashBidNoticeAbstractUI.aspx?menuIndex=3&amp;refID=7150478&amp;Result=3","7150478")</f>
        <v>0</v>
      </c>
      <c r="B3858" t="s">
        <v>1275</v>
      </c>
      <c r="C3858" t="s">
        <v>7425</v>
      </c>
      <c r="D3858" t="s">
        <v>17980</v>
      </c>
      <c r="E3858" t="s">
        <v>21507</v>
      </c>
      <c r="F3858" t="s">
        <v>30900</v>
      </c>
      <c r="G3858" t="s">
        <v>30907</v>
      </c>
      <c r="H3858" t="s">
        <v>30915</v>
      </c>
      <c r="I3858" t="s">
        <v>30919</v>
      </c>
      <c r="J3858" t="s">
        <v>31341</v>
      </c>
      <c r="K3858" t="s">
        <v>40308</v>
      </c>
      <c r="M3858" t="s">
        <v>42193</v>
      </c>
      <c r="N3858" t="s">
        <v>44759</v>
      </c>
      <c r="O3858" t="s">
        <v>44760</v>
      </c>
      <c r="P3858">
        <v>0</v>
      </c>
      <c r="Q3858">
        <v>0</v>
      </c>
      <c r="R3858" t="s">
        <v>44762</v>
      </c>
      <c r="S3858" t="s">
        <v>44863</v>
      </c>
      <c r="T3858" t="s">
        <v>46362</v>
      </c>
      <c r="U3858" t="s">
        <v>50205</v>
      </c>
      <c r="W3858" t="s">
        <v>42193</v>
      </c>
      <c r="X3858" t="s">
        <v>44763</v>
      </c>
    </row>
    <row r="3859" spans="1:24">
      <c r="A3859">
        <f>HYPERLINK("https://www.philgeps.gov.ph/GEPSNONPILOT/Tender/SplashBidNoticeAbstractUI.aspx?menuIndex=3&amp;refID=7150456&amp;Result=3","7150456")</f>
        <v>0</v>
      </c>
      <c r="B3859" t="s">
        <v>677</v>
      </c>
      <c r="C3859" t="s">
        <v>7426</v>
      </c>
      <c r="D3859" t="s">
        <v>17987</v>
      </c>
      <c r="E3859" t="s">
        <v>21508</v>
      </c>
      <c r="F3859" t="s">
        <v>30900</v>
      </c>
      <c r="G3859" t="s">
        <v>30909</v>
      </c>
      <c r="H3859" t="s">
        <v>30916</v>
      </c>
      <c r="I3859" t="s">
        <v>4545</v>
      </c>
      <c r="J3859" t="s">
        <v>33646</v>
      </c>
      <c r="K3859" t="s">
        <v>40285</v>
      </c>
      <c r="M3859" t="s">
        <v>41240</v>
      </c>
      <c r="N3859" t="s">
        <v>44759</v>
      </c>
      <c r="O3859" t="s">
        <v>44760</v>
      </c>
      <c r="P3859">
        <v>0</v>
      </c>
      <c r="Q3859">
        <v>0</v>
      </c>
      <c r="R3859" t="s">
        <v>44762</v>
      </c>
      <c r="S3859" t="s">
        <v>44863</v>
      </c>
      <c r="T3859" t="s">
        <v>46391</v>
      </c>
      <c r="U3859" t="s">
        <v>50206</v>
      </c>
      <c r="W3859" t="s">
        <v>41240</v>
      </c>
      <c r="X3859" t="s">
        <v>44763</v>
      </c>
    </row>
    <row r="3860" spans="1:24">
      <c r="A3860">
        <f>HYPERLINK("https://www.philgeps.gov.ph/GEPSNONPILOT/Tender/SplashBidNoticeAbstractUI.aspx?menuIndex=3&amp;refID=7150476&amp;Result=3","7150476")</f>
        <v>0</v>
      </c>
      <c r="B3860" t="s">
        <v>1549</v>
      </c>
      <c r="C3860" t="s">
        <v>7427</v>
      </c>
      <c r="D3860" t="s">
        <v>17975</v>
      </c>
      <c r="E3860" t="s">
        <v>21509</v>
      </c>
      <c r="F3860" t="s">
        <v>30900</v>
      </c>
      <c r="G3860" t="s">
        <v>30907</v>
      </c>
      <c r="H3860" t="s">
        <v>30916</v>
      </c>
      <c r="I3860" t="s">
        <v>30983</v>
      </c>
      <c r="J3860" t="s">
        <v>33725</v>
      </c>
      <c r="K3860" t="s">
        <v>40289</v>
      </c>
      <c r="M3860" t="s">
        <v>42194</v>
      </c>
      <c r="N3860" t="s">
        <v>44759</v>
      </c>
      <c r="O3860" t="s">
        <v>44760</v>
      </c>
      <c r="P3860">
        <v>0</v>
      </c>
      <c r="Q3860">
        <v>1</v>
      </c>
      <c r="R3860" t="s">
        <v>44762</v>
      </c>
      <c r="S3860" t="s">
        <v>44863</v>
      </c>
      <c r="T3860" t="s">
        <v>46369</v>
      </c>
      <c r="U3860" t="s">
        <v>50207</v>
      </c>
      <c r="V3860" t="s">
        <v>59549</v>
      </c>
      <c r="W3860" t="s">
        <v>42194</v>
      </c>
      <c r="X3860" t="s">
        <v>44763</v>
      </c>
    </row>
    <row r="3861" spans="1:24">
      <c r="A3861">
        <f>HYPERLINK("https://www.philgeps.gov.ph/GEPSNONPILOT/Tender/SplashBidNoticeAbstractUI.aspx?menuIndex=3&amp;refID=7150452&amp;Result=3","7150452")</f>
        <v>0</v>
      </c>
      <c r="B3861" t="s">
        <v>787</v>
      </c>
      <c r="C3861" t="s">
        <v>7428</v>
      </c>
      <c r="D3861" t="s">
        <v>17987</v>
      </c>
      <c r="E3861" t="s">
        <v>21510</v>
      </c>
      <c r="F3861" t="s">
        <v>30900</v>
      </c>
      <c r="G3861" t="s">
        <v>30908</v>
      </c>
      <c r="H3861" t="s">
        <v>30916</v>
      </c>
      <c r="I3861" t="s">
        <v>6953</v>
      </c>
      <c r="J3861" t="s">
        <v>33726</v>
      </c>
      <c r="K3861" t="s">
        <v>40289</v>
      </c>
      <c r="M3861" t="s">
        <v>41356</v>
      </c>
      <c r="N3861" t="s">
        <v>44759</v>
      </c>
      <c r="O3861" t="s">
        <v>44760</v>
      </c>
      <c r="P3861">
        <v>0</v>
      </c>
      <c r="Q3861">
        <v>0</v>
      </c>
      <c r="R3861" t="s">
        <v>44762</v>
      </c>
      <c r="S3861" t="s">
        <v>44863</v>
      </c>
      <c r="T3861" t="s">
        <v>46409</v>
      </c>
      <c r="U3861" t="s">
        <v>50208</v>
      </c>
      <c r="W3861" t="s">
        <v>41356</v>
      </c>
      <c r="X3861" t="s">
        <v>44763</v>
      </c>
    </row>
    <row r="3862" spans="1:24">
      <c r="A3862">
        <f>HYPERLINK("https://www.philgeps.gov.ph/GEPSNONPILOT/Tender/SplashBidNoticeAbstractUI.aspx?menuIndex=3&amp;refID=7150474&amp;Result=3","7150474")</f>
        <v>0</v>
      </c>
      <c r="B3862" t="s">
        <v>497</v>
      </c>
      <c r="C3862" t="s">
        <v>7429</v>
      </c>
      <c r="D3862" t="s">
        <v>17951</v>
      </c>
      <c r="E3862" t="s">
        <v>21511</v>
      </c>
      <c r="F3862" t="s">
        <v>30900</v>
      </c>
      <c r="G3862" t="s">
        <v>30908</v>
      </c>
      <c r="H3862" t="s">
        <v>30916</v>
      </c>
      <c r="I3862" t="s">
        <v>8123</v>
      </c>
      <c r="J3862" t="s">
        <v>31585</v>
      </c>
      <c r="K3862" t="s">
        <v>40285</v>
      </c>
      <c r="M3862" t="s">
        <v>41056</v>
      </c>
      <c r="N3862" t="s">
        <v>44759</v>
      </c>
      <c r="O3862" t="s">
        <v>44760</v>
      </c>
      <c r="P3862">
        <v>0</v>
      </c>
      <c r="Q3862">
        <v>0</v>
      </c>
      <c r="R3862" t="s">
        <v>44762</v>
      </c>
      <c r="S3862" t="s">
        <v>44863</v>
      </c>
      <c r="T3862" t="s">
        <v>46414</v>
      </c>
      <c r="U3862" t="s">
        <v>50209</v>
      </c>
      <c r="W3862" t="s">
        <v>41056</v>
      </c>
      <c r="X3862" t="s">
        <v>44763</v>
      </c>
    </row>
    <row r="3863" spans="1:24">
      <c r="A3863">
        <f>HYPERLINK("https://www.philgeps.gov.ph/GEPSNONPILOT/Tender/SplashBidNoticeAbstractUI.aspx?menuIndex=3&amp;refID=7150486&amp;Result=3","7150486")</f>
        <v>0</v>
      </c>
      <c r="B3863" t="s">
        <v>591</v>
      </c>
      <c r="C3863" t="s">
        <v>7430</v>
      </c>
      <c r="D3863" t="s">
        <v>17998</v>
      </c>
      <c r="E3863" t="s">
        <v>21512</v>
      </c>
      <c r="F3863" t="s">
        <v>30900</v>
      </c>
      <c r="G3863" t="s">
        <v>30907</v>
      </c>
      <c r="H3863" t="s">
        <v>30916</v>
      </c>
      <c r="I3863" t="s">
        <v>4004</v>
      </c>
      <c r="J3863" t="s">
        <v>33727</v>
      </c>
      <c r="K3863" t="s">
        <v>40286</v>
      </c>
      <c r="M3863" t="s">
        <v>41153</v>
      </c>
      <c r="N3863" t="s">
        <v>44759</v>
      </c>
      <c r="O3863" t="s">
        <v>44760</v>
      </c>
      <c r="P3863">
        <v>0</v>
      </c>
      <c r="Q3863">
        <v>0</v>
      </c>
      <c r="R3863" t="s">
        <v>44762</v>
      </c>
      <c r="S3863" t="s">
        <v>44863</v>
      </c>
      <c r="T3863" t="s">
        <v>46389</v>
      </c>
      <c r="U3863" t="s">
        <v>47975</v>
      </c>
      <c r="V3863" t="s">
        <v>59550</v>
      </c>
      <c r="W3863" t="s">
        <v>41153</v>
      </c>
      <c r="X3863" t="s">
        <v>44763</v>
      </c>
    </row>
    <row r="3864" spans="1:24">
      <c r="A3864">
        <f>HYPERLINK("https://www.philgeps.gov.ph/GEPSNONPILOT/Tender/SplashBidNoticeAbstractUI.aspx?menuIndex=3&amp;refID=7150485&amp;Result=3","7150485")</f>
        <v>0</v>
      </c>
      <c r="B3864" t="s">
        <v>1512</v>
      </c>
      <c r="C3864" t="s">
        <v>7431</v>
      </c>
      <c r="D3864" t="s">
        <v>17963</v>
      </c>
      <c r="E3864" t="s">
        <v>21513</v>
      </c>
      <c r="F3864" t="s">
        <v>30900</v>
      </c>
      <c r="G3864" t="s">
        <v>30907</v>
      </c>
      <c r="H3864" t="s">
        <v>30915</v>
      </c>
      <c r="I3864" t="s">
        <v>30919</v>
      </c>
      <c r="J3864" t="s">
        <v>32523</v>
      </c>
      <c r="K3864" t="s">
        <v>40382</v>
      </c>
      <c r="L3864" t="s">
        <v>1512</v>
      </c>
      <c r="M3864" t="s">
        <v>42153</v>
      </c>
      <c r="N3864" t="s">
        <v>44759</v>
      </c>
      <c r="O3864" t="s">
        <v>44760</v>
      </c>
      <c r="P3864">
        <v>0</v>
      </c>
      <c r="Q3864">
        <v>0</v>
      </c>
      <c r="R3864" t="s">
        <v>44762</v>
      </c>
      <c r="S3864" t="s">
        <v>44863</v>
      </c>
      <c r="T3864" t="s">
        <v>46475</v>
      </c>
      <c r="U3864" t="s">
        <v>50072</v>
      </c>
      <c r="W3864" t="s">
        <v>42153</v>
      </c>
      <c r="X3864" t="s">
        <v>44763</v>
      </c>
    </row>
    <row r="3865" spans="1:24">
      <c r="A3865">
        <f>HYPERLINK("https://www.philgeps.gov.ph/GEPSNONPILOT/Tender/SplashBidNoticeAbstractUI.aspx?menuIndex=3&amp;refID=7150408&amp;Result=3","7150408")</f>
        <v>0</v>
      </c>
      <c r="B3865" t="s">
        <v>1537</v>
      </c>
      <c r="C3865" t="s">
        <v>7432</v>
      </c>
      <c r="D3865" t="s">
        <v>17978</v>
      </c>
      <c r="E3865" t="s">
        <v>21514</v>
      </c>
      <c r="F3865" t="s">
        <v>30900</v>
      </c>
      <c r="G3865" t="s">
        <v>30908</v>
      </c>
      <c r="H3865" t="s">
        <v>30916</v>
      </c>
      <c r="I3865" t="s">
        <v>30985</v>
      </c>
      <c r="J3865" t="s">
        <v>33728</v>
      </c>
      <c r="K3865" t="s">
        <v>40280</v>
      </c>
      <c r="M3865" t="s">
        <v>42180</v>
      </c>
      <c r="N3865" t="s">
        <v>44759</v>
      </c>
      <c r="O3865" t="s">
        <v>44760</v>
      </c>
      <c r="P3865">
        <v>0</v>
      </c>
      <c r="Q3865">
        <v>7</v>
      </c>
      <c r="R3865" t="s">
        <v>44762</v>
      </c>
      <c r="S3865" t="s">
        <v>44863</v>
      </c>
      <c r="T3865" t="s">
        <v>46399</v>
      </c>
      <c r="U3865" t="s">
        <v>50210</v>
      </c>
      <c r="W3865" t="s">
        <v>42180</v>
      </c>
      <c r="X3865" t="s">
        <v>44763</v>
      </c>
    </row>
    <row r="3866" spans="1:24">
      <c r="A3866">
        <f>HYPERLINK("https://www.philgeps.gov.ph/GEPSNONPILOT/Tender/SplashBidNoticeAbstractUI.aspx?menuIndex=3&amp;refID=7150482&amp;Result=3","7150482")</f>
        <v>0</v>
      </c>
      <c r="B3866" t="s">
        <v>1300</v>
      </c>
      <c r="C3866" t="s">
        <v>7433</v>
      </c>
      <c r="D3866" t="s">
        <v>17978</v>
      </c>
      <c r="E3866" t="s">
        <v>21515</v>
      </c>
      <c r="F3866" t="s">
        <v>30900</v>
      </c>
      <c r="G3866" t="s">
        <v>30908</v>
      </c>
      <c r="H3866" t="s">
        <v>30916</v>
      </c>
      <c r="I3866" t="s">
        <v>30924</v>
      </c>
      <c r="J3866" t="s">
        <v>33729</v>
      </c>
      <c r="K3866" t="s">
        <v>40283</v>
      </c>
      <c r="M3866" t="s">
        <v>41917</v>
      </c>
      <c r="N3866" t="s">
        <v>44759</v>
      </c>
      <c r="O3866" t="s">
        <v>44760</v>
      </c>
      <c r="P3866">
        <v>0</v>
      </c>
      <c r="Q3866">
        <v>1</v>
      </c>
      <c r="R3866" t="s">
        <v>44762</v>
      </c>
      <c r="S3866" t="s">
        <v>44863</v>
      </c>
      <c r="T3866" t="s">
        <v>46363</v>
      </c>
      <c r="U3866" t="s">
        <v>50211</v>
      </c>
      <c r="W3866" t="s">
        <v>41917</v>
      </c>
      <c r="X3866" t="s">
        <v>44763</v>
      </c>
    </row>
    <row r="3867" spans="1:24">
      <c r="A3867">
        <f>HYPERLINK("https://www.philgeps.gov.ph/GEPSNONPILOT/Tender/SplashBidNoticeAbstractUI.aspx?menuIndex=3&amp;refID=7150481&amp;Result=3","7150481")</f>
        <v>0</v>
      </c>
      <c r="B3867" t="s">
        <v>781</v>
      </c>
      <c r="C3867" t="s">
        <v>7434</v>
      </c>
      <c r="D3867" t="s">
        <v>17959</v>
      </c>
      <c r="E3867" t="s">
        <v>21516</v>
      </c>
      <c r="F3867" t="s">
        <v>30900</v>
      </c>
      <c r="G3867" t="s">
        <v>30909</v>
      </c>
      <c r="H3867" t="s">
        <v>30916</v>
      </c>
      <c r="I3867" t="s">
        <v>6396</v>
      </c>
      <c r="J3867" t="s">
        <v>33730</v>
      </c>
      <c r="K3867" t="s">
        <v>40284</v>
      </c>
      <c r="M3867" t="s">
        <v>42136</v>
      </c>
      <c r="N3867" t="s">
        <v>44759</v>
      </c>
      <c r="O3867" t="s">
        <v>44760</v>
      </c>
      <c r="P3867">
        <v>0</v>
      </c>
      <c r="Q3867">
        <v>0</v>
      </c>
      <c r="R3867" t="s">
        <v>44762</v>
      </c>
      <c r="S3867" t="s">
        <v>44863</v>
      </c>
      <c r="T3867" t="s">
        <v>46374</v>
      </c>
      <c r="U3867" t="s">
        <v>50055</v>
      </c>
      <c r="V3867" t="s">
        <v>59530</v>
      </c>
      <c r="W3867" t="s">
        <v>42136</v>
      </c>
      <c r="X3867" t="s">
        <v>44763</v>
      </c>
    </row>
    <row r="3868" spans="1:24">
      <c r="A3868">
        <f>HYPERLINK("https://www.philgeps.gov.ph/GEPSNONPILOT/Tender/SplashBidNoticeAbstractUI.aspx?menuIndex=3&amp;refID=7150480&amp;Result=3","7150480")</f>
        <v>0</v>
      </c>
      <c r="B3868" t="s">
        <v>1507</v>
      </c>
      <c r="C3868" t="s">
        <v>7435</v>
      </c>
      <c r="D3868" t="s">
        <v>17955</v>
      </c>
      <c r="E3868" t="s">
        <v>21517</v>
      </c>
      <c r="F3868" t="s">
        <v>30900</v>
      </c>
      <c r="G3868" t="s">
        <v>30907</v>
      </c>
      <c r="H3868" t="s">
        <v>30915</v>
      </c>
      <c r="I3868" t="s">
        <v>30919</v>
      </c>
      <c r="J3868" t="s">
        <v>31049</v>
      </c>
      <c r="K3868" t="s">
        <v>40284</v>
      </c>
      <c r="M3868" t="s">
        <v>42148</v>
      </c>
      <c r="N3868" t="s">
        <v>44759</v>
      </c>
      <c r="O3868" t="s">
        <v>44760</v>
      </c>
      <c r="P3868">
        <v>0</v>
      </c>
      <c r="Q3868">
        <v>0</v>
      </c>
      <c r="R3868" t="s">
        <v>44762</v>
      </c>
      <c r="S3868" t="s">
        <v>44863</v>
      </c>
      <c r="T3868" t="s">
        <v>46648</v>
      </c>
      <c r="U3868" t="s">
        <v>50064</v>
      </c>
      <c r="W3868" t="s">
        <v>42148</v>
      </c>
      <c r="X3868" t="s">
        <v>44763</v>
      </c>
    </row>
    <row r="3869" spans="1:24">
      <c r="A3869">
        <f>HYPERLINK("https://www.philgeps.gov.ph/GEPSNONPILOT/Tender/SplashBidNoticeAbstractUI.aspx?menuIndex=3&amp;refID=7150473&amp;Result=3","7150473")</f>
        <v>0</v>
      </c>
      <c r="B3869" t="s">
        <v>748</v>
      </c>
      <c r="C3869" t="s">
        <v>7436</v>
      </c>
      <c r="D3869" t="s">
        <v>18019</v>
      </c>
      <c r="E3869" t="s">
        <v>21518</v>
      </c>
      <c r="F3869" t="s">
        <v>30900</v>
      </c>
      <c r="G3869" t="s">
        <v>30908</v>
      </c>
      <c r="H3869" t="s">
        <v>30916</v>
      </c>
      <c r="I3869" t="s">
        <v>6953</v>
      </c>
      <c r="J3869" t="s">
        <v>33731</v>
      </c>
      <c r="K3869" t="s">
        <v>40283</v>
      </c>
      <c r="M3869" t="s">
        <v>41312</v>
      </c>
      <c r="N3869" t="s">
        <v>44759</v>
      </c>
      <c r="O3869" t="s">
        <v>44760</v>
      </c>
      <c r="P3869">
        <v>0</v>
      </c>
      <c r="Q3869">
        <v>2</v>
      </c>
      <c r="R3869" t="s">
        <v>44762</v>
      </c>
      <c r="S3869" t="s">
        <v>44863</v>
      </c>
      <c r="T3869" t="s">
        <v>46363</v>
      </c>
      <c r="U3869" t="s">
        <v>50212</v>
      </c>
      <c r="W3869" t="s">
        <v>41312</v>
      </c>
      <c r="X3869" t="s">
        <v>44763</v>
      </c>
    </row>
    <row r="3870" spans="1:24">
      <c r="A3870">
        <f>HYPERLINK("https://www.philgeps.gov.ph/GEPSNONPILOT/Tender/SplashBidNoticeAbstractUI.aspx?menuIndex=3&amp;refID=7150471&amp;Result=3","7150471")</f>
        <v>0</v>
      </c>
      <c r="B3870" t="s">
        <v>301</v>
      </c>
      <c r="C3870" t="s">
        <v>7437</v>
      </c>
      <c r="D3870" t="s">
        <v>18018</v>
      </c>
      <c r="E3870" t="s">
        <v>21519</v>
      </c>
      <c r="F3870" t="s">
        <v>30900</v>
      </c>
      <c r="G3870" t="s">
        <v>30908</v>
      </c>
      <c r="H3870" t="s">
        <v>30916</v>
      </c>
      <c r="I3870" t="s">
        <v>10847</v>
      </c>
      <c r="J3870" t="s">
        <v>33732</v>
      </c>
      <c r="K3870" t="s">
        <v>40319</v>
      </c>
      <c r="M3870" t="s">
        <v>40850</v>
      </c>
      <c r="N3870" t="s">
        <v>44759</v>
      </c>
      <c r="O3870" t="s">
        <v>44760</v>
      </c>
      <c r="P3870">
        <v>0</v>
      </c>
      <c r="Q3870">
        <v>2</v>
      </c>
      <c r="R3870" t="s">
        <v>44762</v>
      </c>
      <c r="S3870" t="s">
        <v>44863</v>
      </c>
      <c r="T3870" t="s">
        <v>46651</v>
      </c>
      <c r="U3870" t="s">
        <v>47419</v>
      </c>
      <c r="W3870" t="s">
        <v>40850</v>
      </c>
      <c r="X3870" t="s">
        <v>44763</v>
      </c>
    </row>
    <row r="3871" spans="1:24">
      <c r="A3871">
        <f>HYPERLINK("https://www.philgeps.gov.ph/GEPSNONPILOT/Tender/SplashBidNoticeAbstractUI.aspx?menuIndex=3&amp;refID=7150469&amp;Result=3","7150469")</f>
        <v>0</v>
      </c>
      <c r="B3871" t="s">
        <v>723</v>
      </c>
      <c r="C3871" t="s">
        <v>5151</v>
      </c>
      <c r="D3871" t="s">
        <v>17951</v>
      </c>
      <c r="E3871" t="s">
        <v>21520</v>
      </c>
      <c r="F3871" t="s">
        <v>30900</v>
      </c>
      <c r="G3871" t="s">
        <v>30908</v>
      </c>
      <c r="H3871" t="s">
        <v>30916</v>
      </c>
      <c r="I3871" t="s">
        <v>6396</v>
      </c>
      <c r="J3871" t="s">
        <v>33733</v>
      </c>
      <c r="K3871" t="s">
        <v>40285</v>
      </c>
      <c r="M3871" t="s">
        <v>41287</v>
      </c>
      <c r="N3871" t="s">
        <v>44759</v>
      </c>
      <c r="O3871" t="s">
        <v>44760</v>
      </c>
      <c r="P3871">
        <v>0</v>
      </c>
      <c r="Q3871">
        <v>0</v>
      </c>
      <c r="R3871" t="s">
        <v>44762</v>
      </c>
      <c r="S3871" t="s">
        <v>44863</v>
      </c>
      <c r="T3871" t="s">
        <v>46414</v>
      </c>
      <c r="U3871" t="s">
        <v>48214</v>
      </c>
      <c r="W3871" t="s">
        <v>41287</v>
      </c>
      <c r="X3871" t="s">
        <v>44763</v>
      </c>
    </row>
    <row r="3872" spans="1:24">
      <c r="A3872">
        <f>HYPERLINK("https://www.philgeps.gov.ph/GEPSNONPILOT/Tender/SplashBidNoticeAbstractUI.aspx?menuIndex=3&amp;refID=7150467&amp;Result=3","7150467")</f>
        <v>0</v>
      </c>
      <c r="B3872" t="s">
        <v>104</v>
      </c>
      <c r="C3872" t="s">
        <v>7438</v>
      </c>
      <c r="D3872" t="s">
        <v>17980</v>
      </c>
      <c r="E3872" t="s">
        <v>21521</v>
      </c>
      <c r="F3872" t="s">
        <v>30900</v>
      </c>
      <c r="G3872" t="s">
        <v>30907</v>
      </c>
      <c r="H3872" t="s">
        <v>30916</v>
      </c>
      <c r="I3872" t="s">
        <v>30921</v>
      </c>
      <c r="J3872" t="s">
        <v>33734</v>
      </c>
      <c r="K3872" t="s">
        <v>40293</v>
      </c>
      <c r="M3872" t="s">
        <v>40651</v>
      </c>
      <c r="N3872" t="s">
        <v>44759</v>
      </c>
      <c r="O3872" t="s">
        <v>44760</v>
      </c>
      <c r="P3872">
        <v>0</v>
      </c>
      <c r="Q3872">
        <v>2</v>
      </c>
      <c r="R3872" t="s">
        <v>44762</v>
      </c>
      <c r="S3872" t="s">
        <v>44863</v>
      </c>
      <c r="T3872" t="s">
        <v>46395</v>
      </c>
      <c r="U3872" t="s">
        <v>50213</v>
      </c>
      <c r="W3872" t="s">
        <v>40651</v>
      </c>
      <c r="X3872" t="s">
        <v>44763</v>
      </c>
    </row>
    <row r="3873" spans="1:24">
      <c r="A3873">
        <f>HYPERLINK("https://www.philgeps.gov.ph/GEPSNONPILOT/Tender/SplashBidNoticeAbstractUI.aspx?menuIndex=3&amp;refID=7150483&amp;Result=3","7150483")</f>
        <v>0</v>
      </c>
      <c r="B3873" t="s">
        <v>1534</v>
      </c>
      <c r="C3873" t="s">
        <v>7439</v>
      </c>
      <c r="D3873" t="s">
        <v>18004</v>
      </c>
      <c r="E3873" t="s">
        <v>21467</v>
      </c>
      <c r="F3873" t="s">
        <v>30900</v>
      </c>
      <c r="G3873" t="s">
        <v>30908</v>
      </c>
      <c r="H3873" t="s">
        <v>30916</v>
      </c>
      <c r="I3873" t="s">
        <v>30947</v>
      </c>
      <c r="J3873" t="s">
        <v>31049</v>
      </c>
      <c r="K3873" t="s">
        <v>40287</v>
      </c>
      <c r="M3873" t="s">
        <v>42177</v>
      </c>
      <c r="N3873" t="s">
        <v>44759</v>
      </c>
      <c r="O3873" t="s">
        <v>44760</v>
      </c>
      <c r="P3873">
        <v>0</v>
      </c>
      <c r="Q3873">
        <v>2</v>
      </c>
      <c r="R3873" t="s">
        <v>44762</v>
      </c>
      <c r="S3873" t="s">
        <v>44863</v>
      </c>
      <c r="T3873" t="s">
        <v>46487</v>
      </c>
      <c r="U3873" t="s">
        <v>50214</v>
      </c>
      <c r="W3873" t="s">
        <v>42177</v>
      </c>
      <c r="X3873" t="s">
        <v>44763</v>
      </c>
    </row>
    <row r="3874" spans="1:24">
      <c r="A3874">
        <f>HYPERLINK("https://www.philgeps.gov.ph/GEPSNONPILOT/Tender/SplashBidNoticeAbstractUI.aspx?menuIndex=3&amp;refID=7150465&amp;Result=3","7150465")</f>
        <v>0</v>
      </c>
      <c r="B3874" t="s">
        <v>1027</v>
      </c>
      <c r="C3874" t="s">
        <v>7440</v>
      </c>
      <c r="D3874" t="s">
        <v>17973</v>
      </c>
      <c r="E3874" t="s">
        <v>7440</v>
      </c>
      <c r="F3874" t="s">
        <v>30900</v>
      </c>
      <c r="G3874" t="s">
        <v>30907</v>
      </c>
      <c r="H3874" t="s">
        <v>30916</v>
      </c>
      <c r="I3874" t="s">
        <v>30924</v>
      </c>
      <c r="J3874" t="s">
        <v>33735</v>
      </c>
      <c r="K3874" t="s">
        <v>40280</v>
      </c>
      <c r="M3874" t="s">
        <v>41618</v>
      </c>
      <c r="N3874" t="s">
        <v>44759</v>
      </c>
      <c r="O3874" t="s">
        <v>44760</v>
      </c>
      <c r="P3874">
        <v>0</v>
      </c>
      <c r="Q3874">
        <v>9</v>
      </c>
      <c r="R3874" t="s">
        <v>44762</v>
      </c>
      <c r="S3874" t="s">
        <v>44863</v>
      </c>
      <c r="T3874" t="s">
        <v>46355</v>
      </c>
      <c r="U3874" t="s">
        <v>50215</v>
      </c>
      <c r="W3874" t="s">
        <v>41618</v>
      </c>
      <c r="X3874" t="s">
        <v>44763</v>
      </c>
    </row>
    <row r="3875" spans="1:24">
      <c r="A3875">
        <f>HYPERLINK("https://www.philgeps.gov.ph/GEPSNONPILOT/Tender/SplashBidNoticeAbstractUI.aspx?menuIndex=3&amp;refID=7150489&amp;Result=3","7150489")</f>
        <v>0</v>
      </c>
      <c r="B3875" t="s">
        <v>680</v>
      </c>
      <c r="C3875" t="s">
        <v>7441</v>
      </c>
      <c r="D3875" t="s">
        <v>18019</v>
      </c>
      <c r="E3875" t="s">
        <v>21522</v>
      </c>
      <c r="F3875" t="s">
        <v>30900</v>
      </c>
      <c r="G3875" t="s">
        <v>30908</v>
      </c>
      <c r="H3875" t="s">
        <v>30916</v>
      </c>
      <c r="I3875" t="s">
        <v>4017</v>
      </c>
      <c r="J3875" t="s">
        <v>31293</v>
      </c>
      <c r="K3875" t="s">
        <v>40285</v>
      </c>
      <c r="M3875" t="s">
        <v>41243</v>
      </c>
      <c r="N3875" t="s">
        <v>44759</v>
      </c>
      <c r="O3875" t="s">
        <v>44760</v>
      </c>
      <c r="P3875">
        <v>0</v>
      </c>
      <c r="Q3875">
        <v>1</v>
      </c>
      <c r="R3875" t="s">
        <v>44762</v>
      </c>
      <c r="S3875" t="s">
        <v>44863</v>
      </c>
      <c r="T3875" t="s">
        <v>46383</v>
      </c>
      <c r="U3875" t="s">
        <v>50216</v>
      </c>
      <c r="V3875" t="s">
        <v>59275</v>
      </c>
      <c r="W3875" t="s">
        <v>41243</v>
      </c>
      <c r="X3875" t="s">
        <v>44763</v>
      </c>
    </row>
    <row r="3876" spans="1:24">
      <c r="A3876">
        <f>HYPERLINK("https://www.philgeps.gov.ph/GEPSNONPILOT/Tender/SplashBidNoticeAbstractUI.aspx?menuIndex=3&amp;refID=7150475&amp;Result=3","7150475")</f>
        <v>0</v>
      </c>
      <c r="B3876" t="s">
        <v>1537</v>
      </c>
      <c r="C3876" t="s">
        <v>7442</v>
      </c>
      <c r="D3876" t="s">
        <v>17978</v>
      </c>
      <c r="E3876" t="s">
        <v>21523</v>
      </c>
      <c r="F3876" t="s">
        <v>30900</v>
      </c>
      <c r="G3876" t="s">
        <v>30908</v>
      </c>
      <c r="H3876" t="s">
        <v>30916</v>
      </c>
      <c r="I3876" t="s">
        <v>4545</v>
      </c>
      <c r="J3876" t="s">
        <v>32672</v>
      </c>
      <c r="K3876" t="s">
        <v>40283</v>
      </c>
      <c r="M3876" t="s">
        <v>42180</v>
      </c>
      <c r="N3876" t="s">
        <v>44759</v>
      </c>
      <c r="O3876" t="s">
        <v>44760</v>
      </c>
      <c r="P3876">
        <v>0</v>
      </c>
      <c r="Q3876">
        <v>3</v>
      </c>
      <c r="R3876" t="s">
        <v>44762</v>
      </c>
      <c r="S3876" t="s">
        <v>44863</v>
      </c>
      <c r="T3876" t="s">
        <v>46399</v>
      </c>
      <c r="U3876" t="s">
        <v>50217</v>
      </c>
      <c r="W3876" t="s">
        <v>42180</v>
      </c>
      <c r="X3876" t="s">
        <v>44763</v>
      </c>
    </row>
    <row r="3877" spans="1:24">
      <c r="A3877">
        <f>HYPERLINK("https://www.philgeps.gov.ph/GEPSNONPILOT/Tender/SplashBidNoticeAbstractUI.aspx?menuIndex=3&amp;refID=7150513&amp;Result=3","7150513")</f>
        <v>0</v>
      </c>
      <c r="B3877" t="s">
        <v>1550</v>
      </c>
      <c r="C3877" t="s">
        <v>7443</v>
      </c>
      <c r="D3877" t="s">
        <v>18027</v>
      </c>
      <c r="E3877" t="s">
        <v>21524</v>
      </c>
      <c r="F3877" t="s">
        <v>30900</v>
      </c>
      <c r="G3877" t="s">
        <v>30907</v>
      </c>
      <c r="H3877" t="s">
        <v>30915</v>
      </c>
      <c r="I3877" t="s">
        <v>30919</v>
      </c>
      <c r="J3877" t="s">
        <v>33736</v>
      </c>
      <c r="K3877" t="s">
        <v>40392</v>
      </c>
      <c r="M3877" t="s">
        <v>42195</v>
      </c>
      <c r="N3877" t="s">
        <v>44759</v>
      </c>
      <c r="O3877" t="s">
        <v>44760</v>
      </c>
      <c r="P3877">
        <v>0</v>
      </c>
      <c r="Q3877">
        <v>0</v>
      </c>
      <c r="R3877" t="s">
        <v>44762</v>
      </c>
      <c r="S3877" t="s">
        <v>44863</v>
      </c>
      <c r="T3877" t="s">
        <v>46380</v>
      </c>
      <c r="U3877" t="s">
        <v>50218</v>
      </c>
      <c r="W3877" t="s">
        <v>42195</v>
      </c>
      <c r="X3877" t="s">
        <v>44763</v>
      </c>
    </row>
    <row r="3878" spans="1:24">
      <c r="A3878">
        <f>HYPERLINK("https://www.philgeps.gov.ph/GEPSNONPILOT/Tender/SplashBidNoticeAbstractUI.aspx?menuIndex=3&amp;refID=7150512&amp;Result=3","7150512")</f>
        <v>0</v>
      </c>
      <c r="B3878" t="s">
        <v>1436</v>
      </c>
      <c r="C3878" t="s">
        <v>7444</v>
      </c>
      <c r="D3878" t="s">
        <v>18017</v>
      </c>
      <c r="E3878" t="s">
        <v>21525</v>
      </c>
      <c r="F3878" t="s">
        <v>30900</v>
      </c>
      <c r="G3878" t="s">
        <v>30909</v>
      </c>
      <c r="H3878" t="s">
        <v>30916</v>
      </c>
      <c r="I3878" t="s">
        <v>30957</v>
      </c>
      <c r="J3878" t="s">
        <v>33737</v>
      </c>
      <c r="K3878" t="s">
        <v>40286</v>
      </c>
      <c r="M3878" t="s">
        <v>42068</v>
      </c>
      <c r="N3878" t="s">
        <v>44759</v>
      </c>
      <c r="O3878" t="s">
        <v>44760</v>
      </c>
      <c r="P3878">
        <v>0</v>
      </c>
      <c r="Q3878">
        <v>1</v>
      </c>
      <c r="R3878" t="s">
        <v>44762</v>
      </c>
      <c r="S3878" t="s">
        <v>44863</v>
      </c>
      <c r="T3878" t="s">
        <v>46404</v>
      </c>
      <c r="U3878" t="s">
        <v>50219</v>
      </c>
      <c r="W3878" t="s">
        <v>42068</v>
      </c>
      <c r="X3878" t="s">
        <v>44763</v>
      </c>
    </row>
    <row r="3879" spans="1:24">
      <c r="A3879">
        <f>HYPERLINK("https://www.philgeps.gov.ph/GEPSNONPILOT/Tender/SplashBidNoticeAbstractUI.aspx?menuIndex=3&amp;refID=7150510&amp;Result=3","7150510")</f>
        <v>0</v>
      </c>
      <c r="B3879" t="s">
        <v>194</v>
      </c>
      <c r="C3879" t="s">
        <v>7445</v>
      </c>
      <c r="D3879" t="s">
        <v>17959</v>
      </c>
      <c r="E3879" t="s">
        <v>21526</v>
      </c>
      <c r="F3879" t="s">
        <v>30900</v>
      </c>
      <c r="G3879" t="s">
        <v>30908</v>
      </c>
      <c r="H3879" t="s">
        <v>30916</v>
      </c>
      <c r="I3879" t="s">
        <v>30981</v>
      </c>
      <c r="J3879" t="s">
        <v>31048</v>
      </c>
      <c r="K3879" t="s">
        <v>40286</v>
      </c>
      <c r="M3879" t="s">
        <v>41391</v>
      </c>
      <c r="N3879" t="s">
        <v>44759</v>
      </c>
      <c r="O3879" t="s">
        <v>44760</v>
      </c>
      <c r="P3879">
        <v>0</v>
      </c>
      <c r="Q3879">
        <v>0</v>
      </c>
      <c r="R3879" t="s">
        <v>44762</v>
      </c>
      <c r="S3879" t="s">
        <v>44863</v>
      </c>
      <c r="T3879" t="s">
        <v>46363</v>
      </c>
      <c r="U3879" t="s">
        <v>50220</v>
      </c>
      <c r="W3879" t="s">
        <v>41391</v>
      </c>
      <c r="X3879" t="s">
        <v>44763</v>
      </c>
    </row>
    <row r="3880" spans="1:24">
      <c r="A3880">
        <f>HYPERLINK("https://www.philgeps.gov.ph/GEPSNONPILOT/Tender/SplashBidNoticeAbstractUI.aspx?menuIndex=3&amp;refID=7150484&amp;Result=3","7150484")</f>
        <v>0</v>
      </c>
      <c r="B3880" t="s">
        <v>1188</v>
      </c>
      <c r="C3880" t="s">
        <v>7446</v>
      </c>
      <c r="D3880" t="s">
        <v>18019</v>
      </c>
      <c r="E3880" t="s">
        <v>21527</v>
      </c>
      <c r="F3880" t="s">
        <v>30900</v>
      </c>
      <c r="G3880" t="s">
        <v>30908</v>
      </c>
      <c r="H3880" t="s">
        <v>30916</v>
      </c>
      <c r="I3880" t="s">
        <v>30922</v>
      </c>
      <c r="J3880" t="s">
        <v>31522</v>
      </c>
      <c r="K3880" t="s">
        <v>40284</v>
      </c>
      <c r="M3880" t="s">
        <v>41797</v>
      </c>
      <c r="N3880" t="s">
        <v>44759</v>
      </c>
      <c r="O3880" t="s">
        <v>44760</v>
      </c>
      <c r="P3880">
        <v>0</v>
      </c>
      <c r="Q3880">
        <v>4</v>
      </c>
      <c r="R3880" t="s">
        <v>44762</v>
      </c>
      <c r="S3880" t="s">
        <v>44863</v>
      </c>
      <c r="T3880" t="s">
        <v>46467</v>
      </c>
      <c r="U3880" t="s">
        <v>50221</v>
      </c>
      <c r="W3880" t="s">
        <v>41797</v>
      </c>
      <c r="X3880" t="s">
        <v>44763</v>
      </c>
    </row>
    <row r="3881" spans="1:24">
      <c r="A3881">
        <f>HYPERLINK("https://www.philgeps.gov.ph/GEPSNONPILOT/Tender/SplashBidNoticeAbstractUI.aspx?menuIndex=3&amp;refID=7150508&amp;Result=3","7150508")</f>
        <v>0</v>
      </c>
      <c r="B3881" t="s">
        <v>1507</v>
      </c>
      <c r="C3881" t="s">
        <v>7447</v>
      </c>
      <c r="D3881" t="s">
        <v>17955</v>
      </c>
      <c r="E3881" t="s">
        <v>21528</v>
      </c>
      <c r="F3881" t="s">
        <v>30900</v>
      </c>
      <c r="G3881" t="s">
        <v>30907</v>
      </c>
      <c r="H3881" t="s">
        <v>30915</v>
      </c>
      <c r="I3881" t="s">
        <v>30919</v>
      </c>
      <c r="J3881" t="s">
        <v>31049</v>
      </c>
      <c r="K3881" t="s">
        <v>40284</v>
      </c>
      <c r="M3881" t="s">
        <v>42148</v>
      </c>
      <c r="N3881" t="s">
        <v>44759</v>
      </c>
      <c r="O3881" t="s">
        <v>44760</v>
      </c>
      <c r="P3881">
        <v>0</v>
      </c>
      <c r="Q3881">
        <v>0</v>
      </c>
      <c r="R3881" t="s">
        <v>44762</v>
      </c>
      <c r="S3881" t="s">
        <v>44863</v>
      </c>
      <c r="T3881" t="s">
        <v>46648</v>
      </c>
      <c r="U3881" t="s">
        <v>50064</v>
      </c>
      <c r="W3881" t="s">
        <v>42148</v>
      </c>
      <c r="X3881" t="s">
        <v>44763</v>
      </c>
    </row>
    <row r="3882" spans="1:24">
      <c r="A3882">
        <f>HYPERLINK("https://www.philgeps.gov.ph/GEPSNONPILOT/Tender/SplashBidNoticeAbstractUI.aspx?menuIndex=3&amp;refID=7150507&amp;Result=3","7150507")</f>
        <v>0</v>
      </c>
      <c r="B3882" t="s">
        <v>1551</v>
      </c>
      <c r="C3882" t="s">
        <v>7448</v>
      </c>
      <c r="D3882" t="s">
        <v>17960</v>
      </c>
      <c r="E3882" t="s">
        <v>21529</v>
      </c>
      <c r="F3882" t="s">
        <v>30900</v>
      </c>
      <c r="G3882" t="s">
        <v>30906</v>
      </c>
      <c r="H3882" t="s">
        <v>30916</v>
      </c>
      <c r="I3882" t="s">
        <v>4545</v>
      </c>
      <c r="J3882" t="s">
        <v>31912</v>
      </c>
      <c r="K3882" t="s">
        <v>40286</v>
      </c>
      <c r="M3882" t="s">
        <v>42196</v>
      </c>
      <c r="N3882" t="s">
        <v>44759</v>
      </c>
      <c r="O3882" t="s">
        <v>44760</v>
      </c>
      <c r="P3882">
        <v>0</v>
      </c>
      <c r="Q3882">
        <v>0</v>
      </c>
      <c r="R3882" t="s">
        <v>44762</v>
      </c>
      <c r="S3882" t="s">
        <v>44863</v>
      </c>
      <c r="T3882" t="s">
        <v>46414</v>
      </c>
      <c r="U3882" t="s">
        <v>50222</v>
      </c>
      <c r="W3882" t="s">
        <v>42196</v>
      </c>
      <c r="X3882" t="s">
        <v>44763</v>
      </c>
    </row>
    <row r="3883" spans="1:24">
      <c r="A3883">
        <f>HYPERLINK("https://www.philgeps.gov.ph/GEPSNONPILOT/Tender/SplashBidNoticeAbstractUI.aspx?menuIndex=3&amp;refID=7150511&amp;Result=3","7150511")</f>
        <v>0</v>
      </c>
      <c r="B3883" t="s">
        <v>467</v>
      </c>
      <c r="C3883" t="s">
        <v>7449</v>
      </c>
      <c r="D3883" t="s">
        <v>17993</v>
      </c>
      <c r="E3883" t="s">
        <v>21530</v>
      </c>
      <c r="F3883" t="s">
        <v>30900</v>
      </c>
      <c r="G3883" t="s">
        <v>30908</v>
      </c>
      <c r="H3883" t="s">
        <v>30916</v>
      </c>
      <c r="I3883" t="s">
        <v>6396</v>
      </c>
      <c r="J3883" t="s">
        <v>33738</v>
      </c>
      <c r="K3883" t="s">
        <v>40287</v>
      </c>
      <c r="M3883" t="s">
        <v>41025</v>
      </c>
      <c r="N3883" t="s">
        <v>44759</v>
      </c>
      <c r="O3883" t="s">
        <v>44760</v>
      </c>
      <c r="P3883">
        <v>0</v>
      </c>
      <c r="Q3883">
        <v>1</v>
      </c>
      <c r="R3883" t="s">
        <v>44762</v>
      </c>
      <c r="S3883" t="s">
        <v>44863</v>
      </c>
      <c r="T3883" t="s">
        <v>46457</v>
      </c>
      <c r="U3883" t="s">
        <v>47713</v>
      </c>
      <c r="W3883" t="s">
        <v>41025</v>
      </c>
      <c r="X3883" t="s">
        <v>44763</v>
      </c>
    </row>
    <row r="3884" spans="1:24">
      <c r="A3884">
        <f>HYPERLINK("https://www.philgeps.gov.ph/GEPSNONPILOT/Tender/SplashBidNoticeAbstractUI.aspx?menuIndex=3&amp;refID=7150509&amp;Result=3","7150509")</f>
        <v>0</v>
      </c>
      <c r="B3884" t="s">
        <v>589</v>
      </c>
      <c r="C3884" t="s">
        <v>7450</v>
      </c>
      <c r="D3884" t="s">
        <v>17969</v>
      </c>
      <c r="E3884" t="s">
        <v>21531</v>
      </c>
      <c r="F3884" t="s">
        <v>30900</v>
      </c>
      <c r="G3884" t="s">
        <v>30907</v>
      </c>
      <c r="H3884" t="s">
        <v>30915</v>
      </c>
      <c r="I3884" t="s">
        <v>30919</v>
      </c>
      <c r="J3884" t="s">
        <v>32125</v>
      </c>
      <c r="K3884" t="s">
        <v>40340</v>
      </c>
      <c r="M3884" t="s">
        <v>41151</v>
      </c>
      <c r="N3884" t="s">
        <v>44759</v>
      </c>
      <c r="O3884" t="s">
        <v>44760</v>
      </c>
      <c r="P3884">
        <v>0</v>
      </c>
      <c r="Q3884">
        <v>1</v>
      </c>
      <c r="R3884" t="s">
        <v>44762</v>
      </c>
      <c r="S3884" t="s">
        <v>44863</v>
      </c>
      <c r="T3884" t="s">
        <v>46433</v>
      </c>
      <c r="U3884" t="s">
        <v>50223</v>
      </c>
      <c r="W3884" t="s">
        <v>41151</v>
      </c>
      <c r="X3884" t="s">
        <v>44763</v>
      </c>
    </row>
    <row r="3885" spans="1:24">
      <c r="A3885">
        <f>HYPERLINK("https://www.philgeps.gov.ph/GEPSNONPILOT/Tender/SplashBidNoticeAbstractUI.aspx?menuIndex=3&amp;refID=7150464&amp;Result=3","7150464")</f>
        <v>0</v>
      </c>
      <c r="B3885" t="s">
        <v>845</v>
      </c>
      <c r="C3885" t="s">
        <v>7451</v>
      </c>
      <c r="D3885" t="s">
        <v>17975</v>
      </c>
      <c r="E3885" t="s">
        <v>21532</v>
      </c>
      <c r="F3885" t="s">
        <v>30900</v>
      </c>
      <c r="G3885" t="s">
        <v>30910</v>
      </c>
      <c r="H3885" t="s">
        <v>30916</v>
      </c>
      <c r="I3885" t="s">
        <v>30924</v>
      </c>
      <c r="J3885" t="s">
        <v>31204</v>
      </c>
      <c r="K3885" t="s">
        <v>40283</v>
      </c>
      <c r="M3885" t="s">
        <v>41418</v>
      </c>
      <c r="N3885" t="s">
        <v>44759</v>
      </c>
      <c r="O3885" t="s">
        <v>44760</v>
      </c>
      <c r="P3885">
        <v>0</v>
      </c>
      <c r="Q3885">
        <v>0</v>
      </c>
      <c r="R3885" t="s">
        <v>44762</v>
      </c>
      <c r="S3885" t="s">
        <v>44863</v>
      </c>
      <c r="T3885" t="s">
        <v>46410</v>
      </c>
      <c r="U3885" t="s">
        <v>50224</v>
      </c>
      <c r="W3885" t="s">
        <v>41418</v>
      </c>
      <c r="X3885" t="s">
        <v>44763</v>
      </c>
    </row>
    <row r="3886" spans="1:24">
      <c r="A3886">
        <f>HYPERLINK("https://www.philgeps.gov.ph/GEPSNONPILOT/Tender/SplashBidNoticeAbstractUI.aspx?menuIndex=3&amp;refID=7150503&amp;Result=3","7150503")</f>
        <v>0</v>
      </c>
      <c r="B3886" t="s">
        <v>1552</v>
      </c>
      <c r="C3886" t="s">
        <v>7452</v>
      </c>
      <c r="D3886" t="s">
        <v>18003</v>
      </c>
      <c r="E3886" t="s">
        <v>21533</v>
      </c>
      <c r="F3886" t="s">
        <v>30900</v>
      </c>
      <c r="G3886" t="s">
        <v>30907</v>
      </c>
      <c r="H3886" t="s">
        <v>30915</v>
      </c>
      <c r="I3886" t="s">
        <v>8123</v>
      </c>
      <c r="J3886" t="s">
        <v>33739</v>
      </c>
      <c r="K3886" t="s">
        <v>40286</v>
      </c>
      <c r="M3886" t="s">
        <v>42197</v>
      </c>
      <c r="N3886" t="s">
        <v>44759</v>
      </c>
      <c r="O3886" t="s">
        <v>44760</v>
      </c>
      <c r="P3886">
        <v>0</v>
      </c>
      <c r="Q3886">
        <v>0</v>
      </c>
      <c r="R3886" t="s">
        <v>44762</v>
      </c>
      <c r="S3886" t="s">
        <v>44863</v>
      </c>
      <c r="T3886" t="s">
        <v>46353</v>
      </c>
      <c r="U3886" t="s">
        <v>50225</v>
      </c>
      <c r="V3886" t="s">
        <v>59551</v>
      </c>
      <c r="W3886" t="s">
        <v>42197</v>
      </c>
      <c r="X3886" t="s">
        <v>44763</v>
      </c>
    </row>
    <row r="3887" spans="1:24">
      <c r="A3887">
        <f>HYPERLINK("https://www.philgeps.gov.ph/GEPSNONPILOT/Tender/SplashBidNoticeAbstractUI.aspx?menuIndex=3&amp;refID=7150506&amp;Result=3","7150506")</f>
        <v>0</v>
      </c>
      <c r="B3887" t="s">
        <v>128</v>
      </c>
      <c r="C3887" t="s">
        <v>7453</v>
      </c>
      <c r="D3887" t="s">
        <v>17987</v>
      </c>
      <c r="E3887" t="s">
        <v>21534</v>
      </c>
      <c r="F3887" t="s">
        <v>30900</v>
      </c>
      <c r="G3887" t="s">
        <v>30909</v>
      </c>
      <c r="H3887" t="s">
        <v>30916</v>
      </c>
      <c r="I3887" t="s">
        <v>4004</v>
      </c>
      <c r="J3887" t="s">
        <v>31066</v>
      </c>
      <c r="K3887" t="s">
        <v>40283</v>
      </c>
      <c r="M3887" t="s">
        <v>40675</v>
      </c>
      <c r="N3887" t="s">
        <v>44759</v>
      </c>
      <c r="O3887" t="s">
        <v>44760</v>
      </c>
      <c r="P3887">
        <v>0</v>
      </c>
      <c r="Q3887">
        <v>2</v>
      </c>
      <c r="R3887" t="s">
        <v>44762</v>
      </c>
      <c r="S3887" t="s">
        <v>44863</v>
      </c>
      <c r="T3887" t="s">
        <v>46376</v>
      </c>
      <c r="U3887" t="s">
        <v>50226</v>
      </c>
      <c r="V3887" t="s">
        <v>59119</v>
      </c>
      <c r="W3887" t="s">
        <v>40675</v>
      </c>
      <c r="X3887" t="s">
        <v>44763</v>
      </c>
    </row>
    <row r="3888" spans="1:24">
      <c r="A3888">
        <f>HYPERLINK("https://www.philgeps.gov.ph/GEPSNONPILOT/Tender/SplashBidNoticeAbstractUI.aspx?menuIndex=3&amp;refID=7150499&amp;Result=3","7150499")</f>
        <v>0</v>
      </c>
      <c r="B3888" t="s">
        <v>1540</v>
      </c>
      <c r="C3888" t="s">
        <v>7454</v>
      </c>
      <c r="D3888" t="s">
        <v>18004</v>
      </c>
      <c r="E3888" t="s">
        <v>21535</v>
      </c>
      <c r="F3888" t="s">
        <v>30900</v>
      </c>
      <c r="G3888" t="s">
        <v>30910</v>
      </c>
      <c r="H3888" t="s">
        <v>30916</v>
      </c>
      <c r="I3888" t="s">
        <v>4142</v>
      </c>
      <c r="J3888" t="s">
        <v>33740</v>
      </c>
      <c r="K3888" t="s">
        <v>40284</v>
      </c>
      <c r="M3888" t="s">
        <v>42183</v>
      </c>
      <c r="N3888" t="s">
        <v>44759</v>
      </c>
      <c r="O3888" t="s">
        <v>44760</v>
      </c>
      <c r="P3888">
        <v>0</v>
      </c>
      <c r="Q3888">
        <v>0</v>
      </c>
      <c r="R3888" t="s">
        <v>44762</v>
      </c>
      <c r="S3888" t="s">
        <v>44863</v>
      </c>
      <c r="T3888" t="s">
        <v>46390</v>
      </c>
      <c r="U3888" t="s">
        <v>50227</v>
      </c>
      <c r="W3888" t="s">
        <v>42183</v>
      </c>
      <c r="X3888" t="s">
        <v>44763</v>
      </c>
    </row>
    <row r="3889" spans="1:24">
      <c r="A3889">
        <f>HYPERLINK("https://www.philgeps.gov.ph/GEPSNONPILOT/Tender/SplashBidNoticeAbstractUI.aspx?menuIndex=3&amp;refID=7150462&amp;Result=3","7150462")</f>
        <v>0</v>
      </c>
      <c r="B3889" t="s">
        <v>787</v>
      </c>
      <c r="C3889" t="s">
        <v>7455</v>
      </c>
      <c r="D3889" t="s">
        <v>17987</v>
      </c>
      <c r="E3889" t="s">
        <v>21536</v>
      </c>
      <c r="F3889" t="s">
        <v>30900</v>
      </c>
      <c r="G3889" t="s">
        <v>30909</v>
      </c>
      <c r="H3889" t="s">
        <v>30916</v>
      </c>
      <c r="I3889" t="s">
        <v>4142</v>
      </c>
      <c r="J3889" t="s">
        <v>33741</v>
      </c>
      <c r="K3889" t="s">
        <v>40289</v>
      </c>
      <c r="M3889" t="s">
        <v>41356</v>
      </c>
      <c r="N3889" t="s">
        <v>44759</v>
      </c>
      <c r="O3889" t="s">
        <v>44760</v>
      </c>
      <c r="P3889">
        <v>0</v>
      </c>
      <c r="Q3889">
        <v>0</v>
      </c>
      <c r="R3889" t="s">
        <v>44762</v>
      </c>
      <c r="S3889" t="s">
        <v>44863</v>
      </c>
      <c r="T3889" t="s">
        <v>46409</v>
      </c>
      <c r="U3889" t="s">
        <v>50228</v>
      </c>
      <c r="W3889" t="s">
        <v>41356</v>
      </c>
      <c r="X3889" t="s">
        <v>44763</v>
      </c>
    </row>
    <row r="3890" spans="1:24">
      <c r="A3890">
        <f>HYPERLINK("https://www.philgeps.gov.ph/GEPSNONPILOT/Tender/SplashBidNoticeAbstractUI.aspx?menuIndex=3&amp;refID=7150495&amp;Result=3","7150495")</f>
        <v>0</v>
      </c>
      <c r="B3890" t="s">
        <v>1553</v>
      </c>
      <c r="C3890" t="s">
        <v>7456</v>
      </c>
      <c r="D3890" t="s">
        <v>18027</v>
      </c>
      <c r="E3890" t="s">
        <v>21537</v>
      </c>
      <c r="F3890" t="s">
        <v>30900</v>
      </c>
      <c r="G3890" t="s">
        <v>30907</v>
      </c>
      <c r="H3890" t="s">
        <v>30915</v>
      </c>
      <c r="I3890" t="s">
        <v>30919</v>
      </c>
      <c r="J3890" t="s">
        <v>33742</v>
      </c>
      <c r="K3890" t="s">
        <v>40280</v>
      </c>
      <c r="M3890" t="s">
        <v>42198</v>
      </c>
      <c r="N3890" t="s">
        <v>44759</v>
      </c>
      <c r="O3890" t="s">
        <v>44760</v>
      </c>
      <c r="P3890">
        <v>0</v>
      </c>
      <c r="Q3890">
        <v>0</v>
      </c>
      <c r="R3890" t="s">
        <v>44762</v>
      </c>
      <c r="S3890" t="s">
        <v>44863</v>
      </c>
      <c r="T3890" t="s">
        <v>46377</v>
      </c>
      <c r="U3890" t="s">
        <v>50229</v>
      </c>
      <c r="V3890" t="s">
        <v>59552</v>
      </c>
      <c r="W3890" t="s">
        <v>42198</v>
      </c>
      <c r="X3890" t="s">
        <v>44763</v>
      </c>
    </row>
    <row r="3891" spans="1:24">
      <c r="A3891">
        <f>HYPERLINK("https://www.philgeps.gov.ph/GEPSNONPILOT/Tender/SplashBidNoticeAbstractUI.aspx?menuIndex=3&amp;refID=7150492&amp;Result=3","7150492")</f>
        <v>0</v>
      </c>
      <c r="B3891" t="s">
        <v>207</v>
      </c>
      <c r="C3891" t="s">
        <v>7457</v>
      </c>
      <c r="D3891" t="s">
        <v>17985</v>
      </c>
      <c r="E3891" t="s">
        <v>21538</v>
      </c>
      <c r="F3891" t="s">
        <v>30900</v>
      </c>
      <c r="G3891" t="s">
        <v>30908</v>
      </c>
      <c r="H3891" t="s">
        <v>30916</v>
      </c>
      <c r="I3891" t="s">
        <v>30924</v>
      </c>
      <c r="J3891" t="s">
        <v>33743</v>
      </c>
      <c r="K3891" t="s">
        <v>40293</v>
      </c>
      <c r="M3891" t="s">
        <v>42199</v>
      </c>
      <c r="N3891" t="s">
        <v>44759</v>
      </c>
      <c r="O3891" t="s">
        <v>44760</v>
      </c>
      <c r="P3891">
        <v>0</v>
      </c>
      <c r="Q3891">
        <v>8</v>
      </c>
      <c r="R3891" t="s">
        <v>44762</v>
      </c>
      <c r="S3891" t="s">
        <v>44863</v>
      </c>
      <c r="T3891" t="s">
        <v>46377</v>
      </c>
      <c r="U3891" t="s">
        <v>50230</v>
      </c>
      <c r="W3891" t="s">
        <v>42199</v>
      </c>
      <c r="X3891" t="s">
        <v>44763</v>
      </c>
    </row>
    <row r="3892" spans="1:24">
      <c r="A3892">
        <f>HYPERLINK("https://www.philgeps.gov.ph/GEPSNONPILOT/Tender/SplashBidNoticeAbstractUI.aspx?menuIndex=3&amp;refID=7150505&amp;Result=3","7150505")</f>
        <v>0</v>
      </c>
      <c r="B3892" t="s">
        <v>1545</v>
      </c>
      <c r="C3892" t="s">
        <v>7458</v>
      </c>
      <c r="D3892" t="s">
        <v>17987</v>
      </c>
      <c r="E3892" t="s">
        <v>21539</v>
      </c>
      <c r="F3892" t="s">
        <v>30900</v>
      </c>
      <c r="G3892" t="s">
        <v>30908</v>
      </c>
      <c r="H3892" t="s">
        <v>30916</v>
      </c>
      <c r="I3892" t="s">
        <v>30939</v>
      </c>
      <c r="J3892" t="s">
        <v>31583</v>
      </c>
      <c r="K3892" t="s">
        <v>40289</v>
      </c>
      <c r="M3892" t="s">
        <v>42189</v>
      </c>
      <c r="N3892" t="s">
        <v>44759</v>
      </c>
      <c r="O3892" t="s">
        <v>44760</v>
      </c>
      <c r="P3892">
        <v>0</v>
      </c>
      <c r="Q3892">
        <v>0</v>
      </c>
      <c r="R3892" t="s">
        <v>44762</v>
      </c>
      <c r="S3892" t="s">
        <v>44863</v>
      </c>
      <c r="T3892" t="s">
        <v>46398</v>
      </c>
      <c r="U3892" t="s">
        <v>50231</v>
      </c>
      <c r="W3892" t="s">
        <v>42189</v>
      </c>
      <c r="X3892" t="s">
        <v>44763</v>
      </c>
    </row>
    <row r="3893" spans="1:24">
      <c r="A3893">
        <f>HYPERLINK("https://www.philgeps.gov.ph/GEPSNONPILOT/Tender/SplashBidNoticeAbstractUI.aspx?menuIndex=3&amp;refID=7150491&amp;Result=3","7150491")</f>
        <v>0</v>
      </c>
      <c r="B3893" t="s">
        <v>1554</v>
      </c>
      <c r="C3893" t="s">
        <v>7459</v>
      </c>
      <c r="D3893" t="s">
        <v>17962</v>
      </c>
      <c r="E3893" t="s">
        <v>21540</v>
      </c>
      <c r="F3893" t="s">
        <v>30900</v>
      </c>
      <c r="G3893" t="s">
        <v>30908</v>
      </c>
      <c r="H3893" t="s">
        <v>30916</v>
      </c>
      <c r="I3893" t="s">
        <v>30927</v>
      </c>
      <c r="J3893" t="s">
        <v>33744</v>
      </c>
      <c r="K3893" t="s">
        <v>40288</v>
      </c>
      <c r="M3893" t="s">
        <v>42200</v>
      </c>
      <c r="N3893" t="s">
        <v>44759</v>
      </c>
      <c r="O3893" t="s">
        <v>44760</v>
      </c>
      <c r="P3893">
        <v>0</v>
      </c>
      <c r="Q3893">
        <v>0</v>
      </c>
      <c r="R3893" t="s">
        <v>44762</v>
      </c>
      <c r="S3893" t="s">
        <v>44863</v>
      </c>
      <c r="T3893" t="s">
        <v>46414</v>
      </c>
      <c r="U3893" t="s">
        <v>50232</v>
      </c>
      <c r="W3893" t="s">
        <v>42200</v>
      </c>
      <c r="X3893" t="s">
        <v>44763</v>
      </c>
    </row>
    <row r="3894" spans="1:24">
      <c r="A3894">
        <f>HYPERLINK("https://www.philgeps.gov.ph/GEPSNONPILOT/Tender/SplashBidNoticeAbstractUI.aspx?menuIndex=3&amp;refID=7150500&amp;Result=3","7150500")</f>
        <v>0</v>
      </c>
      <c r="B3894" t="s">
        <v>1531</v>
      </c>
      <c r="C3894" t="s">
        <v>7460</v>
      </c>
      <c r="D3894" t="s">
        <v>17959</v>
      </c>
      <c r="E3894" t="s">
        <v>21541</v>
      </c>
      <c r="F3894" t="s">
        <v>30900</v>
      </c>
      <c r="G3894" t="s">
        <v>30908</v>
      </c>
      <c r="H3894" t="s">
        <v>30916</v>
      </c>
      <c r="I3894" t="s">
        <v>4108</v>
      </c>
      <c r="J3894" t="s">
        <v>31152</v>
      </c>
      <c r="K3894" t="s">
        <v>40289</v>
      </c>
      <c r="M3894" t="s">
        <v>42174</v>
      </c>
      <c r="N3894" t="s">
        <v>44759</v>
      </c>
      <c r="O3894" t="s">
        <v>44760</v>
      </c>
      <c r="P3894">
        <v>0</v>
      </c>
      <c r="Q3894">
        <v>9</v>
      </c>
      <c r="R3894" t="s">
        <v>44762</v>
      </c>
      <c r="S3894" t="s">
        <v>44863</v>
      </c>
      <c r="T3894" t="s">
        <v>46390</v>
      </c>
      <c r="U3894" t="s">
        <v>50153</v>
      </c>
      <c r="W3894" t="s">
        <v>42174</v>
      </c>
      <c r="X3894" t="s">
        <v>44763</v>
      </c>
    </row>
    <row r="3895" spans="1:24">
      <c r="A3895">
        <f>HYPERLINK("https://www.philgeps.gov.ph/GEPSNONPILOT/Tender/SplashBidNoticeAbstractUI.aspx?menuIndex=3&amp;refID=7150459&amp;Result=3","7150459")</f>
        <v>0</v>
      </c>
      <c r="B3895" t="s">
        <v>1324</v>
      </c>
      <c r="C3895" t="s">
        <v>7461</v>
      </c>
      <c r="D3895" t="s">
        <v>17969</v>
      </c>
      <c r="E3895" t="s">
        <v>21542</v>
      </c>
      <c r="F3895" t="s">
        <v>30900</v>
      </c>
      <c r="G3895" t="s">
        <v>30908</v>
      </c>
      <c r="H3895" t="s">
        <v>30916</v>
      </c>
      <c r="I3895" t="s">
        <v>30923</v>
      </c>
      <c r="J3895" t="s">
        <v>33745</v>
      </c>
      <c r="K3895" t="s">
        <v>40286</v>
      </c>
      <c r="M3895" t="s">
        <v>41943</v>
      </c>
      <c r="N3895" t="s">
        <v>44759</v>
      </c>
      <c r="O3895" t="s">
        <v>44760</v>
      </c>
      <c r="P3895">
        <v>0</v>
      </c>
      <c r="Q3895">
        <v>4</v>
      </c>
      <c r="R3895" t="s">
        <v>44762</v>
      </c>
      <c r="S3895" t="s">
        <v>44863</v>
      </c>
      <c r="T3895" t="s">
        <v>46362</v>
      </c>
      <c r="U3895" t="s">
        <v>50233</v>
      </c>
      <c r="W3895" t="s">
        <v>41943</v>
      </c>
      <c r="X3895" t="s">
        <v>44763</v>
      </c>
    </row>
    <row r="3896" spans="1:24">
      <c r="A3896">
        <f>HYPERLINK("https://www.philgeps.gov.ph/GEPSNONPILOT/Tender/SplashBidNoticeAbstractUI.aspx?menuIndex=3&amp;refID=7150535&amp;Result=3","7150535")</f>
        <v>0</v>
      </c>
      <c r="B3896" t="s">
        <v>384</v>
      </c>
      <c r="C3896" t="s">
        <v>7462</v>
      </c>
      <c r="D3896" t="s">
        <v>17987</v>
      </c>
      <c r="E3896" t="s">
        <v>21543</v>
      </c>
      <c r="F3896" t="s">
        <v>30900</v>
      </c>
      <c r="G3896" t="s">
        <v>30909</v>
      </c>
      <c r="H3896" t="s">
        <v>30916</v>
      </c>
      <c r="I3896" t="s">
        <v>8044</v>
      </c>
      <c r="J3896" t="s">
        <v>33746</v>
      </c>
      <c r="K3896" t="s">
        <v>40287</v>
      </c>
      <c r="M3896" t="s">
        <v>40939</v>
      </c>
      <c r="N3896" t="s">
        <v>44759</v>
      </c>
      <c r="O3896" t="s">
        <v>44760</v>
      </c>
      <c r="P3896">
        <v>0</v>
      </c>
      <c r="Q3896">
        <v>0</v>
      </c>
      <c r="R3896" t="s">
        <v>44762</v>
      </c>
      <c r="S3896" t="s">
        <v>44863</v>
      </c>
      <c r="T3896" t="s">
        <v>46409</v>
      </c>
      <c r="U3896" t="s">
        <v>50234</v>
      </c>
      <c r="W3896" t="s">
        <v>40939</v>
      </c>
      <c r="X3896" t="s">
        <v>44763</v>
      </c>
    </row>
    <row r="3897" spans="1:24">
      <c r="A3897">
        <f>HYPERLINK("https://www.philgeps.gov.ph/GEPSNONPILOT/Tender/SplashBidNoticeAbstractUI.aspx?menuIndex=3&amp;refID=7150504&amp;Result=3","7150504")</f>
        <v>0</v>
      </c>
      <c r="B3897" t="s">
        <v>301</v>
      </c>
      <c r="C3897" t="s">
        <v>7463</v>
      </c>
      <c r="D3897" t="s">
        <v>18018</v>
      </c>
      <c r="E3897" t="s">
        <v>21544</v>
      </c>
      <c r="F3897" t="s">
        <v>30900</v>
      </c>
      <c r="G3897" t="s">
        <v>30908</v>
      </c>
      <c r="H3897" t="s">
        <v>30916</v>
      </c>
      <c r="I3897" t="s">
        <v>10847</v>
      </c>
      <c r="J3897" t="s">
        <v>33747</v>
      </c>
      <c r="K3897" t="s">
        <v>40319</v>
      </c>
      <c r="M3897" t="s">
        <v>40850</v>
      </c>
      <c r="N3897" t="s">
        <v>44759</v>
      </c>
      <c r="O3897" t="s">
        <v>44760</v>
      </c>
      <c r="P3897">
        <v>0</v>
      </c>
      <c r="Q3897">
        <v>2</v>
      </c>
      <c r="R3897" t="s">
        <v>44762</v>
      </c>
      <c r="S3897" t="s">
        <v>44863</v>
      </c>
      <c r="T3897" t="s">
        <v>46651</v>
      </c>
      <c r="U3897" t="s">
        <v>47419</v>
      </c>
      <c r="W3897" t="s">
        <v>40850</v>
      </c>
      <c r="X3897" t="s">
        <v>44763</v>
      </c>
    </row>
    <row r="3898" spans="1:24">
      <c r="A3898">
        <f>HYPERLINK("https://www.philgeps.gov.ph/GEPSNONPILOT/Tender/SplashBidNoticeAbstractUI.aspx?menuIndex=3&amp;refID=7150532&amp;Result=3","7150532")</f>
        <v>0</v>
      </c>
      <c r="B3898" t="s">
        <v>1275</v>
      </c>
      <c r="C3898" t="s">
        <v>7464</v>
      </c>
      <c r="D3898" t="s">
        <v>17980</v>
      </c>
      <c r="E3898" t="s">
        <v>21545</v>
      </c>
      <c r="F3898" t="s">
        <v>30900</v>
      </c>
      <c r="G3898" t="s">
        <v>30907</v>
      </c>
      <c r="H3898" t="s">
        <v>30915</v>
      </c>
      <c r="I3898" t="s">
        <v>30919</v>
      </c>
      <c r="J3898" t="s">
        <v>31049</v>
      </c>
      <c r="K3898" t="s">
        <v>40286</v>
      </c>
      <c r="M3898" t="s">
        <v>42193</v>
      </c>
      <c r="N3898" t="s">
        <v>44759</v>
      </c>
      <c r="O3898" t="s">
        <v>44760</v>
      </c>
      <c r="P3898">
        <v>0</v>
      </c>
      <c r="Q3898">
        <v>0</v>
      </c>
      <c r="R3898" t="s">
        <v>44762</v>
      </c>
      <c r="S3898" t="s">
        <v>44863</v>
      </c>
      <c r="T3898" t="s">
        <v>46362</v>
      </c>
      <c r="U3898" t="s">
        <v>50205</v>
      </c>
      <c r="W3898" t="s">
        <v>42193</v>
      </c>
      <c r="X3898" t="s">
        <v>44763</v>
      </c>
    </row>
    <row r="3899" spans="1:24">
      <c r="A3899">
        <f>HYPERLINK("https://www.philgeps.gov.ph/GEPSNONPILOT/Tender/SplashBidNoticeAbstractUI.aspx?menuIndex=3&amp;refID=7150531&amp;Result=3","7150531")</f>
        <v>0</v>
      </c>
      <c r="B3899" t="s">
        <v>1507</v>
      </c>
      <c r="C3899" t="s">
        <v>7465</v>
      </c>
      <c r="D3899" t="s">
        <v>17955</v>
      </c>
      <c r="E3899" t="s">
        <v>21546</v>
      </c>
      <c r="F3899" t="s">
        <v>30900</v>
      </c>
      <c r="G3899" t="s">
        <v>30907</v>
      </c>
      <c r="H3899" t="s">
        <v>30915</v>
      </c>
      <c r="I3899" t="s">
        <v>30919</v>
      </c>
      <c r="J3899" t="s">
        <v>31049</v>
      </c>
      <c r="K3899" t="s">
        <v>40284</v>
      </c>
      <c r="M3899" t="s">
        <v>42148</v>
      </c>
      <c r="N3899" t="s">
        <v>44759</v>
      </c>
      <c r="O3899" t="s">
        <v>44760</v>
      </c>
      <c r="P3899">
        <v>0</v>
      </c>
      <c r="Q3899">
        <v>0</v>
      </c>
      <c r="R3899" t="s">
        <v>44762</v>
      </c>
      <c r="S3899" t="s">
        <v>44863</v>
      </c>
      <c r="T3899" t="s">
        <v>46648</v>
      </c>
      <c r="U3899" t="s">
        <v>50064</v>
      </c>
      <c r="W3899" t="s">
        <v>42148</v>
      </c>
      <c r="X3899" t="s">
        <v>44763</v>
      </c>
    </row>
    <row r="3900" spans="1:24">
      <c r="A3900">
        <f>HYPERLINK("https://www.philgeps.gov.ph/GEPSNONPILOT/Tender/SplashBidNoticeAbstractUI.aspx?menuIndex=3&amp;refID=7150530&amp;Result=3","7150530")</f>
        <v>0</v>
      </c>
      <c r="B3900" t="s">
        <v>1549</v>
      </c>
      <c r="C3900" t="s">
        <v>7466</v>
      </c>
      <c r="D3900" t="s">
        <v>17975</v>
      </c>
      <c r="E3900" t="s">
        <v>21547</v>
      </c>
      <c r="F3900" t="s">
        <v>30900</v>
      </c>
      <c r="G3900" t="s">
        <v>30907</v>
      </c>
      <c r="H3900" t="s">
        <v>30916</v>
      </c>
      <c r="I3900" t="s">
        <v>30927</v>
      </c>
      <c r="J3900" t="s">
        <v>33748</v>
      </c>
      <c r="K3900" t="s">
        <v>40289</v>
      </c>
      <c r="M3900" t="s">
        <v>42194</v>
      </c>
      <c r="N3900" t="s">
        <v>44759</v>
      </c>
      <c r="O3900" t="s">
        <v>44760</v>
      </c>
      <c r="P3900">
        <v>0</v>
      </c>
      <c r="Q3900">
        <v>0</v>
      </c>
      <c r="R3900" t="s">
        <v>44762</v>
      </c>
      <c r="S3900" t="s">
        <v>44863</v>
      </c>
      <c r="T3900" t="s">
        <v>46369</v>
      </c>
      <c r="U3900" t="s">
        <v>50207</v>
      </c>
      <c r="V3900" t="s">
        <v>59549</v>
      </c>
      <c r="W3900" t="s">
        <v>42194</v>
      </c>
      <c r="X3900" t="s">
        <v>44763</v>
      </c>
    </row>
    <row r="3901" spans="1:24">
      <c r="A3901">
        <f>HYPERLINK("https://www.philgeps.gov.ph/GEPSNONPILOT/Tender/SplashBidNoticeAbstractUI.aspx?menuIndex=3&amp;refID=7150528&amp;Result=3","7150528")</f>
        <v>0</v>
      </c>
      <c r="B3901" t="s">
        <v>677</v>
      </c>
      <c r="C3901" t="s">
        <v>7467</v>
      </c>
      <c r="D3901" t="s">
        <v>17987</v>
      </c>
      <c r="E3901" t="s">
        <v>21548</v>
      </c>
      <c r="F3901" t="s">
        <v>30900</v>
      </c>
      <c r="G3901" t="s">
        <v>30909</v>
      </c>
      <c r="H3901" t="s">
        <v>30916</v>
      </c>
      <c r="I3901" t="s">
        <v>6396</v>
      </c>
      <c r="J3901" t="s">
        <v>33749</v>
      </c>
      <c r="K3901" t="s">
        <v>40285</v>
      </c>
      <c r="M3901" t="s">
        <v>41240</v>
      </c>
      <c r="N3901" t="s">
        <v>44759</v>
      </c>
      <c r="O3901" t="s">
        <v>44760</v>
      </c>
      <c r="P3901">
        <v>0</v>
      </c>
      <c r="Q3901">
        <v>1</v>
      </c>
      <c r="R3901" t="s">
        <v>44762</v>
      </c>
      <c r="S3901" t="s">
        <v>44863</v>
      </c>
      <c r="T3901" t="s">
        <v>46391</v>
      </c>
      <c r="U3901" t="s">
        <v>50235</v>
      </c>
      <c r="W3901" t="s">
        <v>41240</v>
      </c>
      <c r="X3901" t="s">
        <v>44763</v>
      </c>
    </row>
    <row r="3902" spans="1:24">
      <c r="A3902">
        <f>HYPERLINK("https://www.philgeps.gov.ph/GEPSNONPILOT/Tender/SplashBidNoticeAbstractUI.aspx?menuIndex=3&amp;refID=7150527&amp;Result=3","7150527")</f>
        <v>0</v>
      </c>
      <c r="B3902" t="s">
        <v>888</v>
      </c>
      <c r="C3902" t="s">
        <v>7468</v>
      </c>
      <c r="D3902" t="s">
        <v>17951</v>
      </c>
      <c r="E3902" t="s">
        <v>21549</v>
      </c>
      <c r="F3902" t="s">
        <v>30900</v>
      </c>
      <c r="G3902" t="s">
        <v>30906</v>
      </c>
      <c r="H3902" t="s">
        <v>30916</v>
      </c>
      <c r="I3902" t="s">
        <v>9385</v>
      </c>
      <c r="J3902" t="s">
        <v>33750</v>
      </c>
      <c r="K3902" t="s">
        <v>40308</v>
      </c>
      <c r="M3902" t="s">
        <v>41461</v>
      </c>
      <c r="N3902" t="s">
        <v>44759</v>
      </c>
      <c r="O3902" t="s">
        <v>44760</v>
      </c>
      <c r="P3902">
        <v>0</v>
      </c>
      <c r="Q3902">
        <v>1</v>
      </c>
      <c r="R3902" t="s">
        <v>44762</v>
      </c>
      <c r="S3902" t="s">
        <v>44863</v>
      </c>
      <c r="T3902" t="s">
        <v>46558</v>
      </c>
      <c r="U3902" t="s">
        <v>50236</v>
      </c>
      <c r="W3902" t="s">
        <v>41461</v>
      </c>
      <c r="X3902" t="s">
        <v>44763</v>
      </c>
    </row>
    <row r="3903" spans="1:24">
      <c r="A3903">
        <f>HYPERLINK("https://www.philgeps.gov.ph/GEPSNONPILOT/Tender/SplashBidNoticeAbstractUI.aspx?menuIndex=3&amp;refID=7150538&amp;Result=3","7150538")</f>
        <v>0</v>
      </c>
      <c r="B3903" t="s">
        <v>764</v>
      </c>
      <c r="C3903" t="s">
        <v>7469</v>
      </c>
      <c r="D3903" t="s">
        <v>17998</v>
      </c>
      <c r="E3903" t="s">
        <v>21550</v>
      </c>
      <c r="F3903" t="s">
        <v>30900</v>
      </c>
      <c r="G3903" t="s">
        <v>30907</v>
      </c>
      <c r="H3903" t="s">
        <v>30916</v>
      </c>
      <c r="I3903" t="s">
        <v>6396</v>
      </c>
      <c r="J3903" t="s">
        <v>31284</v>
      </c>
      <c r="K3903" t="s">
        <v>40283</v>
      </c>
      <c r="M3903" t="s">
        <v>41330</v>
      </c>
      <c r="N3903" t="s">
        <v>44759</v>
      </c>
      <c r="O3903" t="s">
        <v>44760</v>
      </c>
      <c r="P3903">
        <v>0</v>
      </c>
      <c r="Q3903">
        <v>0</v>
      </c>
      <c r="R3903" t="s">
        <v>44762</v>
      </c>
      <c r="S3903" t="s">
        <v>44863</v>
      </c>
      <c r="T3903" t="s">
        <v>46425</v>
      </c>
      <c r="U3903" t="s">
        <v>50237</v>
      </c>
      <c r="W3903" t="s">
        <v>41330</v>
      </c>
      <c r="X3903" t="s">
        <v>44763</v>
      </c>
    </row>
    <row r="3904" spans="1:24">
      <c r="A3904">
        <f>HYPERLINK("https://www.philgeps.gov.ph/GEPSNONPILOT/Tender/SplashBidNoticeAbstractUI.aspx?menuIndex=3&amp;refID=7150525&amp;Result=3","7150525")</f>
        <v>0</v>
      </c>
      <c r="B3904" t="s">
        <v>301</v>
      </c>
      <c r="C3904" t="s">
        <v>7470</v>
      </c>
      <c r="D3904" t="s">
        <v>17988</v>
      </c>
      <c r="E3904" t="s">
        <v>21551</v>
      </c>
      <c r="F3904" t="s">
        <v>30900</v>
      </c>
      <c r="G3904" t="s">
        <v>30908</v>
      </c>
      <c r="H3904" t="s">
        <v>30916</v>
      </c>
      <c r="I3904" t="s">
        <v>10847</v>
      </c>
      <c r="J3904" t="s">
        <v>33751</v>
      </c>
      <c r="K3904" t="s">
        <v>40319</v>
      </c>
      <c r="M3904" t="s">
        <v>40850</v>
      </c>
      <c r="N3904" t="s">
        <v>44759</v>
      </c>
      <c r="O3904" t="s">
        <v>44760</v>
      </c>
      <c r="P3904">
        <v>0</v>
      </c>
      <c r="Q3904">
        <v>1</v>
      </c>
      <c r="R3904" t="s">
        <v>44762</v>
      </c>
      <c r="S3904" t="s">
        <v>44863</v>
      </c>
      <c r="T3904" t="s">
        <v>46463</v>
      </c>
      <c r="U3904" t="s">
        <v>47419</v>
      </c>
      <c r="W3904" t="s">
        <v>40850</v>
      </c>
      <c r="X3904" t="s">
        <v>44763</v>
      </c>
    </row>
    <row r="3905" spans="1:24">
      <c r="A3905">
        <f>HYPERLINK("https://www.philgeps.gov.ph/GEPSNONPILOT/Tender/SplashBidNoticeAbstractUI.aspx?menuIndex=3&amp;refID=7150494&amp;Result=3","7150494")</f>
        <v>0</v>
      </c>
      <c r="B3905" t="s">
        <v>677</v>
      </c>
      <c r="C3905" t="s">
        <v>7471</v>
      </c>
      <c r="D3905" t="s">
        <v>17987</v>
      </c>
      <c r="E3905" t="s">
        <v>21552</v>
      </c>
      <c r="F3905" t="s">
        <v>30900</v>
      </c>
      <c r="G3905" t="s">
        <v>30909</v>
      </c>
      <c r="H3905" t="s">
        <v>30916</v>
      </c>
      <c r="I3905" t="s">
        <v>4004</v>
      </c>
      <c r="J3905" t="s">
        <v>31257</v>
      </c>
      <c r="K3905" t="s">
        <v>40285</v>
      </c>
      <c r="M3905" t="s">
        <v>41240</v>
      </c>
      <c r="N3905" t="s">
        <v>44759</v>
      </c>
      <c r="O3905" t="s">
        <v>44760</v>
      </c>
      <c r="P3905">
        <v>0</v>
      </c>
      <c r="Q3905">
        <v>0</v>
      </c>
      <c r="R3905" t="s">
        <v>44762</v>
      </c>
      <c r="S3905" t="s">
        <v>44863</v>
      </c>
      <c r="T3905" t="s">
        <v>46652</v>
      </c>
      <c r="U3905" t="s">
        <v>50238</v>
      </c>
      <c r="W3905" t="s">
        <v>41240</v>
      </c>
      <c r="X3905" t="s">
        <v>44763</v>
      </c>
    </row>
    <row r="3906" spans="1:24">
      <c r="A3906">
        <f>HYPERLINK("https://www.philgeps.gov.ph/GEPSNONPILOT/Tender/SplashBidNoticeAbstractUI.aspx?menuIndex=3&amp;refID=7150524&amp;Result=3","7150524")</f>
        <v>0</v>
      </c>
      <c r="B3906" t="s">
        <v>1555</v>
      </c>
      <c r="C3906" t="s">
        <v>7472</v>
      </c>
      <c r="D3906" t="s">
        <v>18019</v>
      </c>
      <c r="E3906" t="s">
        <v>21553</v>
      </c>
      <c r="F3906" t="s">
        <v>30900</v>
      </c>
      <c r="G3906" t="s">
        <v>30908</v>
      </c>
      <c r="H3906" t="s">
        <v>30916</v>
      </c>
      <c r="I3906" t="s">
        <v>30942</v>
      </c>
      <c r="J3906" t="s">
        <v>33752</v>
      </c>
      <c r="K3906" t="s">
        <v>40287</v>
      </c>
      <c r="M3906" t="s">
        <v>42201</v>
      </c>
      <c r="N3906" t="s">
        <v>44759</v>
      </c>
      <c r="O3906" t="s">
        <v>44760</v>
      </c>
      <c r="P3906">
        <v>0</v>
      </c>
      <c r="Q3906">
        <v>0</v>
      </c>
      <c r="R3906" t="s">
        <v>44762</v>
      </c>
      <c r="S3906" t="s">
        <v>44863</v>
      </c>
      <c r="T3906" t="s">
        <v>46398</v>
      </c>
      <c r="U3906" t="s">
        <v>50239</v>
      </c>
      <c r="W3906" t="s">
        <v>42201</v>
      </c>
      <c r="X3906" t="s">
        <v>44763</v>
      </c>
    </row>
    <row r="3907" spans="1:24">
      <c r="A3907">
        <f>HYPERLINK("https://www.philgeps.gov.ph/GEPSNONPILOT/Tender/SplashBidNoticeAbstractUI.aspx?menuIndex=3&amp;refID=7150523&amp;Result=3","7150523")</f>
        <v>0</v>
      </c>
      <c r="B3907" t="s">
        <v>726</v>
      </c>
      <c r="C3907" t="s">
        <v>4010</v>
      </c>
      <c r="D3907" t="s">
        <v>18016</v>
      </c>
      <c r="E3907" t="s">
        <v>21554</v>
      </c>
      <c r="F3907" t="s">
        <v>30900</v>
      </c>
      <c r="G3907" t="s">
        <v>30907</v>
      </c>
      <c r="H3907" t="s">
        <v>30916</v>
      </c>
      <c r="I3907" t="s">
        <v>4545</v>
      </c>
      <c r="J3907" t="s">
        <v>33753</v>
      </c>
      <c r="K3907" t="s">
        <v>40286</v>
      </c>
      <c r="M3907" t="s">
        <v>41290</v>
      </c>
      <c r="N3907" t="s">
        <v>44759</v>
      </c>
      <c r="O3907" t="s">
        <v>44760</v>
      </c>
      <c r="P3907">
        <v>0</v>
      </c>
      <c r="Q3907">
        <v>4</v>
      </c>
      <c r="R3907" t="s">
        <v>44762</v>
      </c>
      <c r="S3907" t="s">
        <v>44863</v>
      </c>
      <c r="T3907" t="s">
        <v>46389</v>
      </c>
      <c r="U3907" t="s">
        <v>50240</v>
      </c>
      <c r="W3907" t="s">
        <v>41290</v>
      </c>
      <c r="X3907" t="s">
        <v>44763</v>
      </c>
    </row>
    <row r="3908" spans="1:24">
      <c r="A3908">
        <f>HYPERLINK("https://www.philgeps.gov.ph/GEPSNONPILOT/Tender/SplashBidNoticeAbstractUI.aspx?menuIndex=3&amp;refID=7150521&amp;Result=3","7150521")</f>
        <v>0</v>
      </c>
      <c r="B3908" t="s">
        <v>1556</v>
      </c>
      <c r="C3908" t="s">
        <v>7473</v>
      </c>
      <c r="D3908" t="s">
        <v>17998</v>
      </c>
      <c r="E3908" t="s">
        <v>21555</v>
      </c>
      <c r="F3908" t="s">
        <v>30900</v>
      </c>
      <c r="G3908" t="s">
        <v>30907</v>
      </c>
      <c r="H3908" t="s">
        <v>30916</v>
      </c>
      <c r="I3908" t="s">
        <v>30919</v>
      </c>
      <c r="J3908" t="s">
        <v>31589</v>
      </c>
      <c r="K3908" t="s">
        <v>40287</v>
      </c>
      <c r="M3908" t="s">
        <v>42202</v>
      </c>
      <c r="N3908" t="s">
        <v>44759</v>
      </c>
      <c r="O3908" t="s">
        <v>44760</v>
      </c>
      <c r="P3908">
        <v>0</v>
      </c>
      <c r="Q3908">
        <v>0</v>
      </c>
      <c r="R3908" t="s">
        <v>44762</v>
      </c>
      <c r="S3908" t="s">
        <v>44863</v>
      </c>
      <c r="T3908" t="s">
        <v>46352</v>
      </c>
      <c r="U3908" t="s">
        <v>50241</v>
      </c>
      <c r="W3908" t="s">
        <v>42202</v>
      </c>
      <c r="X3908" t="s">
        <v>44763</v>
      </c>
    </row>
    <row r="3909" spans="1:24">
      <c r="A3909">
        <f>HYPERLINK("https://www.philgeps.gov.ph/GEPSNONPILOT/Tender/SplashBidNoticeAbstractUI.aspx?menuIndex=3&amp;refID=7150520&amp;Result=3","7150520")</f>
        <v>0</v>
      </c>
      <c r="B3909" t="s">
        <v>1557</v>
      </c>
      <c r="C3909" t="s">
        <v>7474</v>
      </c>
      <c r="D3909" t="s">
        <v>17964</v>
      </c>
      <c r="E3909" t="s">
        <v>21556</v>
      </c>
      <c r="F3909" t="s">
        <v>30900</v>
      </c>
      <c r="G3909" t="s">
        <v>30907</v>
      </c>
      <c r="H3909" t="s">
        <v>30916</v>
      </c>
      <c r="I3909" t="s">
        <v>30934</v>
      </c>
      <c r="J3909" t="s">
        <v>31811</v>
      </c>
      <c r="K3909" t="s">
        <v>40289</v>
      </c>
      <c r="M3909" t="s">
        <v>42203</v>
      </c>
      <c r="N3909" t="s">
        <v>44759</v>
      </c>
      <c r="O3909" t="s">
        <v>44760</v>
      </c>
      <c r="P3909">
        <v>0</v>
      </c>
      <c r="Q3909">
        <v>1</v>
      </c>
      <c r="R3909" t="s">
        <v>44762</v>
      </c>
      <c r="S3909" t="s">
        <v>44863</v>
      </c>
      <c r="T3909" t="s">
        <v>46425</v>
      </c>
      <c r="U3909" t="s">
        <v>50242</v>
      </c>
      <c r="W3909" t="s">
        <v>42203</v>
      </c>
      <c r="X3909" t="s">
        <v>44763</v>
      </c>
    </row>
    <row r="3910" spans="1:24">
      <c r="A3910">
        <f>HYPERLINK("https://www.philgeps.gov.ph/GEPSNONPILOT/Tender/SplashBidNoticeAbstractUI.aspx?menuIndex=3&amp;refID=7150557&amp;Result=3","7150557")</f>
        <v>0</v>
      </c>
      <c r="B3910" t="s">
        <v>1324</v>
      </c>
      <c r="C3910" t="s">
        <v>7475</v>
      </c>
      <c r="D3910" t="s">
        <v>17969</v>
      </c>
      <c r="E3910" t="s">
        <v>21557</v>
      </c>
      <c r="F3910" t="s">
        <v>30900</v>
      </c>
      <c r="G3910" t="s">
        <v>30908</v>
      </c>
      <c r="H3910" t="s">
        <v>30916</v>
      </c>
      <c r="I3910" t="s">
        <v>31000</v>
      </c>
      <c r="J3910" t="s">
        <v>31686</v>
      </c>
      <c r="K3910" t="s">
        <v>40286</v>
      </c>
      <c r="M3910" t="s">
        <v>41943</v>
      </c>
      <c r="N3910" t="s">
        <v>44759</v>
      </c>
      <c r="O3910" t="s">
        <v>44760</v>
      </c>
      <c r="P3910">
        <v>0</v>
      </c>
      <c r="Q3910">
        <v>0</v>
      </c>
      <c r="R3910" t="s">
        <v>44762</v>
      </c>
      <c r="S3910" t="s">
        <v>44863</v>
      </c>
      <c r="T3910" t="s">
        <v>46362</v>
      </c>
      <c r="U3910" t="s">
        <v>50243</v>
      </c>
      <c r="W3910" t="s">
        <v>41943</v>
      </c>
      <c r="X3910" t="s">
        <v>44763</v>
      </c>
    </row>
    <row r="3911" spans="1:24">
      <c r="A3911">
        <f>HYPERLINK("https://www.philgeps.gov.ph/GEPSNONPILOT/Tender/SplashBidNoticeAbstractUI.aspx?menuIndex=3&amp;refID=7150563&amp;Result=3","7150563")</f>
        <v>0</v>
      </c>
      <c r="B3911" t="s">
        <v>1549</v>
      </c>
      <c r="C3911" t="s">
        <v>7476</v>
      </c>
      <c r="D3911" t="s">
        <v>17975</v>
      </c>
      <c r="E3911" t="s">
        <v>21558</v>
      </c>
      <c r="F3911" t="s">
        <v>30900</v>
      </c>
      <c r="G3911" t="s">
        <v>30907</v>
      </c>
      <c r="H3911" t="s">
        <v>30916</v>
      </c>
      <c r="I3911" t="s">
        <v>4142</v>
      </c>
      <c r="J3911" t="s">
        <v>33754</v>
      </c>
      <c r="K3911" t="s">
        <v>40289</v>
      </c>
      <c r="M3911" t="s">
        <v>42194</v>
      </c>
      <c r="N3911" t="s">
        <v>44759</v>
      </c>
      <c r="O3911" t="s">
        <v>44760</v>
      </c>
      <c r="P3911">
        <v>0</v>
      </c>
      <c r="Q3911">
        <v>1</v>
      </c>
      <c r="R3911" t="s">
        <v>44762</v>
      </c>
      <c r="S3911" t="s">
        <v>44863</v>
      </c>
      <c r="T3911" t="s">
        <v>46369</v>
      </c>
      <c r="U3911" t="s">
        <v>50207</v>
      </c>
      <c r="V3911" t="s">
        <v>59553</v>
      </c>
      <c r="W3911" t="s">
        <v>42194</v>
      </c>
      <c r="X3911" t="s">
        <v>44763</v>
      </c>
    </row>
    <row r="3912" spans="1:24">
      <c r="A3912">
        <f>HYPERLINK("https://www.philgeps.gov.ph/GEPSNONPILOT/Tender/SplashBidNoticeAbstractUI.aspx?menuIndex=3&amp;refID=7150443&amp;Result=3","7150443")</f>
        <v>0</v>
      </c>
      <c r="B3912" t="s">
        <v>413</v>
      </c>
      <c r="C3912" t="s">
        <v>7477</v>
      </c>
      <c r="D3912" t="s">
        <v>17993</v>
      </c>
      <c r="E3912" t="s">
        <v>19629</v>
      </c>
      <c r="F3912" t="s">
        <v>30900</v>
      </c>
      <c r="G3912" t="s">
        <v>30909</v>
      </c>
      <c r="H3912" t="s">
        <v>30916</v>
      </c>
      <c r="I3912" t="s">
        <v>4108</v>
      </c>
      <c r="J3912" t="s">
        <v>33755</v>
      </c>
      <c r="K3912" t="s">
        <v>40289</v>
      </c>
      <c r="M3912" t="s">
        <v>40969</v>
      </c>
      <c r="N3912" t="s">
        <v>44759</v>
      </c>
      <c r="O3912" t="s">
        <v>44760</v>
      </c>
      <c r="P3912">
        <v>0</v>
      </c>
      <c r="Q3912">
        <v>0</v>
      </c>
      <c r="R3912" t="s">
        <v>44762</v>
      </c>
      <c r="S3912" t="s">
        <v>44863</v>
      </c>
      <c r="T3912" t="s">
        <v>46414</v>
      </c>
      <c r="U3912" t="s">
        <v>50244</v>
      </c>
      <c r="W3912" t="s">
        <v>40969</v>
      </c>
      <c r="X3912" t="s">
        <v>44763</v>
      </c>
    </row>
    <row r="3913" spans="1:24">
      <c r="A3913">
        <f>HYPERLINK("https://www.philgeps.gov.ph/GEPSNONPILOT/Tender/SplashBidNoticeAbstractUI.aspx?menuIndex=3&amp;refID=7150560&amp;Result=3","7150560")</f>
        <v>0</v>
      </c>
      <c r="B3913" t="s">
        <v>624</v>
      </c>
      <c r="C3913" t="s">
        <v>7478</v>
      </c>
      <c r="D3913" t="s">
        <v>17977</v>
      </c>
      <c r="E3913" t="s">
        <v>21559</v>
      </c>
      <c r="F3913" t="s">
        <v>30900</v>
      </c>
      <c r="G3913" t="s">
        <v>30908</v>
      </c>
      <c r="H3913" t="s">
        <v>30916</v>
      </c>
      <c r="I3913" t="s">
        <v>30928</v>
      </c>
      <c r="J3913" t="s">
        <v>31337</v>
      </c>
      <c r="K3913" t="s">
        <v>40289</v>
      </c>
      <c r="M3913" t="s">
        <v>41186</v>
      </c>
      <c r="N3913" t="s">
        <v>44759</v>
      </c>
      <c r="O3913" t="s">
        <v>44760</v>
      </c>
      <c r="P3913">
        <v>0</v>
      </c>
      <c r="Q3913">
        <v>3</v>
      </c>
      <c r="R3913" t="s">
        <v>44762</v>
      </c>
      <c r="S3913" t="s">
        <v>44863</v>
      </c>
      <c r="T3913" t="s">
        <v>46351</v>
      </c>
      <c r="U3913" t="s">
        <v>48040</v>
      </c>
      <c r="W3913" t="s">
        <v>41186</v>
      </c>
      <c r="X3913" t="s">
        <v>44763</v>
      </c>
    </row>
    <row r="3914" spans="1:24">
      <c r="A3914">
        <f>HYPERLINK("https://www.philgeps.gov.ph/GEPSNONPILOT/Tender/SplashBidNoticeAbstractUI.aspx?menuIndex=3&amp;refID=7150559&amp;Result=3","7150559")</f>
        <v>0</v>
      </c>
      <c r="B3914" t="s">
        <v>725</v>
      </c>
      <c r="C3914" t="s">
        <v>7479</v>
      </c>
      <c r="D3914" t="s">
        <v>18004</v>
      </c>
      <c r="E3914" t="s">
        <v>21560</v>
      </c>
      <c r="F3914" t="s">
        <v>30900</v>
      </c>
      <c r="G3914" t="s">
        <v>30907</v>
      </c>
      <c r="H3914" t="s">
        <v>30916</v>
      </c>
      <c r="I3914" t="s">
        <v>30983</v>
      </c>
      <c r="J3914" t="s">
        <v>33756</v>
      </c>
      <c r="K3914" t="s">
        <v>40284</v>
      </c>
      <c r="M3914" t="s">
        <v>41289</v>
      </c>
      <c r="N3914" t="s">
        <v>44759</v>
      </c>
      <c r="O3914" t="s">
        <v>44760</v>
      </c>
      <c r="P3914">
        <v>0</v>
      </c>
      <c r="Q3914">
        <v>1</v>
      </c>
      <c r="R3914" t="s">
        <v>44762</v>
      </c>
      <c r="S3914" t="s">
        <v>44863</v>
      </c>
      <c r="T3914" t="s">
        <v>46532</v>
      </c>
      <c r="U3914" t="s">
        <v>50245</v>
      </c>
      <c r="W3914" t="s">
        <v>41289</v>
      </c>
      <c r="X3914" t="s">
        <v>44763</v>
      </c>
    </row>
    <row r="3915" spans="1:24">
      <c r="A3915">
        <f>HYPERLINK("https://www.philgeps.gov.ph/GEPSNONPILOT/Tender/SplashBidNoticeAbstractUI.aspx?menuIndex=3&amp;refID=7150558&amp;Result=3","7150558")</f>
        <v>0</v>
      </c>
      <c r="B3915" t="s">
        <v>1188</v>
      </c>
      <c r="C3915" t="s">
        <v>7480</v>
      </c>
      <c r="D3915" t="s">
        <v>18019</v>
      </c>
      <c r="E3915" t="s">
        <v>21561</v>
      </c>
      <c r="F3915" t="s">
        <v>30900</v>
      </c>
      <c r="G3915" t="s">
        <v>30908</v>
      </c>
      <c r="H3915" t="s">
        <v>30916</v>
      </c>
      <c r="I3915" t="s">
        <v>30922</v>
      </c>
      <c r="J3915" t="s">
        <v>32658</v>
      </c>
      <c r="K3915" t="s">
        <v>40284</v>
      </c>
      <c r="M3915" t="s">
        <v>41797</v>
      </c>
      <c r="N3915" t="s">
        <v>44759</v>
      </c>
      <c r="O3915" t="s">
        <v>44760</v>
      </c>
      <c r="P3915">
        <v>0</v>
      </c>
      <c r="Q3915">
        <v>0</v>
      </c>
      <c r="R3915" t="s">
        <v>44762</v>
      </c>
      <c r="S3915" t="s">
        <v>44863</v>
      </c>
      <c r="T3915" t="s">
        <v>46400</v>
      </c>
      <c r="U3915" t="s">
        <v>50246</v>
      </c>
      <c r="W3915" t="s">
        <v>41797</v>
      </c>
      <c r="X3915" t="s">
        <v>44763</v>
      </c>
    </row>
    <row r="3916" spans="1:24">
      <c r="A3916">
        <f>HYPERLINK("https://www.philgeps.gov.ph/GEPSNONPILOT/Tender/SplashBidNoticeAbstractUI.aspx?menuIndex=3&amp;refID=7150529&amp;Result=3","7150529")</f>
        <v>0</v>
      </c>
      <c r="B3916" t="s">
        <v>771</v>
      </c>
      <c r="C3916" t="s">
        <v>7481</v>
      </c>
      <c r="D3916" t="s">
        <v>17981</v>
      </c>
      <c r="E3916" t="s">
        <v>21562</v>
      </c>
      <c r="F3916" t="s">
        <v>30900</v>
      </c>
      <c r="G3916" t="s">
        <v>30908</v>
      </c>
      <c r="H3916" t="s">
        <v>30916</v>
      </c>
      <c r="I3916" t="s">
        <v>6396</v>
      </c>
      <c r="J3916" t="s">
        <v>33757</v>
      </c>
      <c r="K3916" t="s">
        <v>40289</v>
      </c>
      <c r="M3916" t="s">
        <v>41337</v>
      </c>
      <c r="N3916" t="s">
        <v>44759</v>
      </c>
      <c r="O3916" t="s">
        <v>44760</v>
      </c>
      <c r="P3916">
        <v>0</v>
      </c>
      <c r="Q3916">
        <v>5</v>
      </c>
      <c r="R3916" t="s">
        <v>44762</v>
      </c>
      <c r="S3916" t="s">
        <v>44863</v>
      </c>
      <c r="T3916" t="s">
        <v>46383</v>
      </c>
      <c r="U3916" t="s">
        <v>47009</v>
      </c>
      <c r="W3916" t="s">
        <v>41337</v>
      </c>
      <c r="X3916" t="s">
        <v>44763</v>
      </c>
    </row>
    <row r="3917" spans="1:24">
      <c r="A3917">
        <f>HYPERLINK("https://www.philgeps.gov.ph/GEPSNONPILOT/Tender/SplashBidNoticeAbstractUI.aspx?menuIndex=3&amp;refID=7150556&amp;Result=3","7150556")</f>
        <v>0</v>
      </c>
      <c r="B3917" t="s">
        <v>451</v>
      </c>
      <c r="C3917" t="s">
        <v>7482</v>
      </c>
      <c r="D3917" t="s">
        <v>17980</v>
      </c>
      <c r="E3917" t="s">
        <v>21563</v>
      </c>
      <c r="F3917" t="s">
        <v>30900</v>
      </c>
      <c r="G3917" t="s">
        <v>30908</v>
      </c>
      <c r="H3917" t="s">
        <v>30916</v>
      </c>
      <c r="I3917" t="s">
        <v>4545</v>
      </c>
      <c r="J3917" t="s">
        <v>31043</v>
      </c>
      <c r="K3917" t="s">
        <v>40283</v>
      </c>
      <c r="M3917" t="s">
        <v>42056</v>
      </c>
      <c r="N3917" t="s">
        <v>44759</v>
      </c>
      <c r="O3917" t="s">
        <v>44760</v>
      </c>
      <c r="P3917">
        <v>0</v>
      </c>
      <c r="Q3917">
        <v>5</v>
      </c>
      <c r="R3917" t="s">
        <v>44762</v>
      </c>
      <c r="S3917" t="s">
        <v>44863</v>
      </c>
      <c r="T3917" t="s">
        <v>46383</v>
      </c>
      <c r="U3917" t="s">
        <v>50081</v>
      </c>
      <c r="W3917" t="s">
        <v>42056</v>
      </c>
      <c r="X3917" t="s">
        <v>44763</v>
      </c>
    </row>
    <row r="3918" spans="1:24">
      <c r="A3918">
        <f>HYPERLINK("https://www.philgeps.gov.ph/GEPSNONPILOT/Tender/SplashBidNoticeAbstractUI.aspx?menuIndex=3&amp;refID=7150555&amp;Result=3","7150555")</f>
        <v>0</v>
      </c>
      <c r="B3918" t="s">
        <v>1558</v>
      </c>
      <c r="C3918" t="s">
        <v>7483</v>
      </c>
      <c r="D3918" t="s">
        <v>17996</v>
      </c>
      <c r="E3918" t="s">
        <v>21564</v>
      </c>
      <c r="F3918" t="s">
        <v>30900</v>
      </c>
      <c r="G3918" t="s">
        <v>30907</v>
      </c>
      <c r="H3918" t="s">
        <v>30916</v>
      </c>
      <c r="I3918" t="s">
        <v>8123</v>
      </c>
      <c r="J3918" t="s">
        <v>33758</v>
      </c>
      <c r="K3918" t="s">
        <v>40288</v>
      </c>
      <c r="M3918" t="s">
        <v>42204</v>
      </c>
      <c r="N3918" t="s">
        <v>44759</v>
      </c>
      <c r="O3918" t="s">
        <v>44760</v>
      </c>
      <c r="P3918">
        <v>0</v>
      </c>
      <c r="Q3918">
        <v>0</v>
      </c>
      <c r="R3918" t="s">
        <v>44762</v>
      </c>
      <c r="S3918" t="s">
        <v>44863</v>
      </c>
      <c r="T3918" t="s">
        <v>46495</v>
      </c>
      <c r="U3918" t="s">
        <v>50247</v>
      </c>
      <c r="V3918" t="s">
        <v>59554</v>
      </c>
      <c r="W3918" t="s">
        <v>42204</v>
      </c>
      <c r="X3918" t="s">
        <v>44763</v>
      </c>
    </row>
    <row r="3919" spans="1:24">
      <c r="A3919">
        <f>HYPERLINK("https://www.philgeps.gov.ph/GEPSNONPILOT/Tender/SplashBidNoticeAbstractUI.aspx?menuIndex=3&amp;refID=7150561&amp;Result=3","7150561")</f>
        <v>0</v>
      </c>
      <c r="B3919" t="s">
        <v>390</v>
      </c>
      <c r="C3919" t="s">
        <v>7484</v>
      </c>
      <c r="D3919" t="s">
        <v>17953</v>
      </c>
      <c r="E3919" t="s">
        <v>21565</v>
      </c>
      <c r="F3919" t="s">
        <v>30900</v>
      </c>
      <c r="G3919" t="s">
        <v>30908</v>
      </c>
      <c r="H3919" t="s">
        <v>30916</v>
      </c>
      <c r="I3919" t="s">
        <v>4965</v>
      </c>
      <c r="J3919" t="s">
        <v>31082</v>
      </c>
      <c r="K3919" t="s">
        <v>40289</v>
      </c>
      <c r="M3919" t="s">
        <v>40945</v>
      </c>
      <c r="N3919" t="s">
        <v>44759</v>
      </c>
      <c r="O3919" t="s">
        <v>44760</v>
      </c>
      <c r="P3919">
        <v>0</v>
      </c>
      <c r="Q3919">
        <v>0</v>
      </c>
      <c r="R3919" t="s">
        <v>44762</v>
      </c>
      <c r="S3919" t="s">
        <v>44863</v>
      </c>
      <c r="T3919" t="s">
        <v>46418</v>
      </c>
      <c r="U3919" t="s">
        <v>48167</v>
      </c>
      <c r="W3919" t="s">
        <v>40945</v>
      </c>
      <c r="X3919" t="s">
        <v>44763</v>
      </c>
    </row>
    <row r="3920" spans="1:24">
      <c r="A3920">
        <f>HYPERLINK("https://www.philgeps.gov.ph/GEPSNONPILOT/Tender/SplashBidNoticeAbstractUI.aspx?menuIndex=3&amp;refID=7150552&amp;Result=3","7150552")</f>
        <v>0</v>
      </c>
      <c r="B3920" t="s">
        <v>839</v>
      </c>
      <c r="C3920" t="s">
        <v>7485</v>
      </c>
      <c r="D3920" t="s">
        <v>17959</v>
      </c>
      <c r="E3920" t="s">
        <v>21566</v>
      </c>
      <c r="F3920" t="s">
        <v>30900</v>
      </c>
      <c r="G3920" t="s">
        <v>30908</v>
      </c>
      <c r="H3920" t="s">
        <v>30916</v>
      </c>
      <c r="I3920" t="s">
        <v>30974</v>
      </c>
      <c r="J3920" t="s">
        <v>31206</v>
      </c>
      <c r="K3920" t="s">
        <v>40289</v>
      </c>
      <c r="M3920" t="s">
        <v>42205</v>
      </c>
      <c r="N3920" t="s">
        <v>44759</v>
      </c>
      <c r="O3920" t="s">
        <v>44760</v>
      </c>
      <c r="P3920">
        <v>0</v>
      </c>
      <c r="Q3920">
        <v>2</v>
      </c>
      <c r="R3920" t="s">
        <v>44762</v>
      </c>
      <c r="S3920" t="s">
        <v>44863</v>
      </c>
      <c r="T3920" t="s">
        <v>46395</v>
      </c>
      <c r="U3920" t="s">
        <v>50248</v>
      </c>
      <c r="W3920" t="s">
        <v>42205</v>
      </c>
      <c r="X3920" t="s">
        <v>44763</v>
      </c>
    </row>
    <row r="3921" spans="1:24">
      <c r="A3921">
        <f>HYPERLINK("https://www.philgeps.gov.ph/GEPSNONPILOT/Tender/SplashBidNoticeAbstractUI.aspx?menuIndex=3&amp;refID=7150551&amp;Result=3","7150551")</f>
        <v>0</v>
      </c>
      <c r="B3921" t="s">
        <v>1559</v>
      </c>
      <c r="C3921" t="s">
        <v>7486</v>
      </c>
      <c r="D3921" t="s">
        <v>17978</v>
      </c>
      <c r="E3921" t="s">
        <v>21567</v>
      </c>
      <c r="F3921" t="s">
        <v>30900</v>
      </c>
      <c r="G3921" t="s">
        <v>30909</v>
      </c>
      <c r="H3921" t="s">
        <v>30916</v>
      </c>
      <c r="I3921" t="s">
        <v>6396</v>
      </c>
      <c r="J3921" t="s">
        <v>33759</v>
      </c>
      <c r="K3921" t="s">
        <v>40287</v>
      </c>
      <c r="M3921" t="s">
        <v>42206</v>
      </c>
      <c r="N3921" t="s">
        <v>44759</v>
      </c>
      <c r="O3921" t="s">
        <v>44760</v>
      </c>
      <c r="P3921">
        <v>0</v>
      </c>
      <c r="Q3921">
        <v>3</v>
      </c>
      <c r="R3921" t="s">
        <v>44762</v>
      </c>
      <c r="S3921" t="s">
        <v>44863</v>
      </c>
      <c r="T3921" t="s">
        <v>46411</v>
      </c>
      <c r="U3921" t="s">
        <v>50249</v>
      </c>
      <c r="W3921" t="s">
        <v>42206</v>
      </c>
      <c r="X3921" t="s">
        <v>44763</v>
      </c>
    </row>
    <row r="3922" spans="1:24">
      <c r="A3922">
        <f>HYPERLINK("https://www.philgeps.gov.ph/GEPSNONPILOT/Tender/SplashBidNoticeAbstractUI.aspx?menuIndex=3&amp;refID=7150550&amp;Result=3","7150550")</f>
        <v>0</v>
      </c>
      <c r="B3922" t="s">
        <v>167</v>
      </c>
      <c r="C3922" t="s">
        <v>7487</v>
      </c>
      <c r="D3922" t="s">
        <v>17990</v>
      </c>
      <c r="E3922" t="s">
        <v>21568</v>
      </c>
      <c r="F3922" t="s">
        <v>30900</v>
      </c>
      <c r="G3922" t="s">
        <v>30908</v>
      </c>
      <c r="H3922" t="s">
        <v>30916</v>
      </c>
      <c r="I3922" t="s">
        <v>30924</v>
      </c>
      <c r="J3922" t="s">
        <v>33760</v>
      </c>
      <c r="K3922" t="s">
        <v>40283</v>
      </c>
      <c r="M3922" t="s">
        <v>40714</v>
      </c>
      <c r="N3922" t="s">
        <v>44759</v>
      </c>
      <c r="O3922" t="s">
        <v>44760</v>
      </c>
      <c r="P3922">
        <v>0</v>
      </c>
      <c r="Q3922">
        <v>3</v>
      </c>
      <c r="R3922" t="s">
        <v>44762</v>
      </c>
      <c r="S3922" t="s">
        <v>44863</v>
      </c>
      <c r="T3922" t="s">
        <v>46414</v>
      </c>
      <c r="U3922" t="s">
        <v>50250</v>
      </c>
      <c r="W3922" t="s">
        <v>40714</v>
      </c>
      <c r="X3922" t="s">
        <v>44763</v>
      </c>
    </row>
    <row r="3923" spans="1:24">
      <c r="A3923">
        <f>HYPERLINK("https://www.philgeps.gov.ph/GEPSNONPILOT/Tender/SplashBidNoticeAbstractUI.aspx?menuIndex=3&amp;refID=7150564&amp;Result=3","7150564")</f>
        <v>0</v>
      </c>
      <c r="B3923" t="s">
        <v>1560</v>
      </c>
      <c r="C3923" t="s">
        <v>7488</v>
      </c>
      <c r="D3923" t="s">
        <v>18029</v>
      </c>
      <c r="E3923" t="s">
        <v>21569</v>
      </c>
      <c r="F3923" t="s">
        <v>30900</v>
      </c>
      <c r="G3923" t="s">
        <v>30907</v>
      </c>
      <c r="H3923" t="s">
        <v>30915</v>
      </c>
      <c r="I3923" t="s">
        <v>30919</v>
      </c>
      <c r="J3923" t="s">
        <v>33761</v>
      </c>
      <c r="K3923" t="s">
        <v>40286</v>
      </c>
      <c r="M3923" t="s">
        <v>42207</v>
      </c>
      <c r="N3923" t="s">
        <v>44759</v>
      </c>
      <c r="O3923" t="s">
        <v>44760</v>
      </c>
      <c r="P3923">
        <v>0</v>
      </c>
      <c r="Q3923">
        <v>0</v>
      </c>
      <c r="R3923" t="s">
        <v>44762</v>
      </c>
      <c r="S3923" t="s">
        <v>44863</v>
      </c>
      <c r="T3923" t="s">
        <v>46377</v>
      </c>
      <c r="U3923" t="s">
        <v>50251</v>
      </c>
      <c r="W3923" t="s">
        <v>42207</v>
      </c>
      <c r="X3923" t="s">
        <v>44763</v>
      </c>
    </row>
    <row r="3924" spans="1:24">
      <c r="A3924">
        <f>HYPERLINK("https://www.philgeps.gov.ph/GEPSNONPILOT/Tender/SplashBidNoticeAbstractUI.aspx?menuIndex=3&amp;refID=7150541&amp;Result=3","7150541")</f>
        <v>0</v>
      </c>
      <c r="B3924" t="s">
        <v>243</v>
      </c>
      <c r="C3924" t="s">
        <v>7489</v>
      </c>
      <c r="D3924" t="s">
        <v>17999</v>
      </c>
      <c r="E3924" t="s">
        <v>21570</v>
      </c>
      <c r="F3924" t="s">
        <v>30900</v>
      </c>
      <c r="G3924" t="s">
        <v>30908</v>
      </c>
      <c r="H3924" t="s">
        <v>30916</v>
      </c>
      <c r="I3924" t="s">
        <v>30927</v>
      </c>
      <c r="J3924" t="s">
        <v>31211</v>
      </c>
      <c r="K3924" t="s">
        <v>40286</v>
      </c>
      <c r="M3924" t="s">
        <v>42208</v>
      </c>
      <c r="N3924" t="s">
        <v>44759</v>
      </c>
      <c r="O3924" t="s">
        <v>44760</v>
      </c>
      <c r="P3924">
        <v>0</v>
      </c>
      <c r="Q3924">
        <v>1</v>
      </c>
      <c r="R3924" t="s">
        <v>44762</v>
      </c>
      <c r="S3924" t="s">
        <v>44863</v>
      </c>
      <c r="T3924" t="s">
        <v>46653</v>
      </c>
      <c r="U3924" t="s">
        <v>50252</v>
      </c>
      <c r="W3924" t="s">
        <v>60867</v>
      </c>
      <c r="X3924" t="s">
        <v>44763</v>
      </c>
    </row>
    <row r="3925" spans="1:24">
      <c r="A3925">
        <f>HYPERLINK("https://www.philgeps.gov.ph/GEPSNONPILOT/Tender/SplashBidNoticeAbstractUI.aspx?menuIndex=3&amp;refID=7150562&amp;Result=3","7150562")</f>
        <v>0</v>
      </c>
      <c r="B3925" t="s">
        <v>323</v>
      </c>
      <c r="C3925" t="s">
        <v>7490</v>
      </c>
      <c r="D3925" t="s">
        <v>17985</v>
      </c>
      <c r="E3925" t="s">
        <v>21571</v>
      </c>
      <c r="F3925" t="s">
        <v>30900</v>
      </c>
      <c r="G3925" t="s">
        <v>30908</v>
      </c>
      <c r="H3925" t="s">
        <v>30916</v>
      </c>
      <c r="I3925" t="s">
        <v>4108</v>
      </c>
      <c r="J3925" t="s">
        <v>33762</v>
      </c>
      <c r="K3925" t="s">
        <v>40286</v>
      </c>
      <c r="M3925" t="s">
        <v>40874</v>
      </c>
      <c r="N3925" t="s">
        <v>44759</v>
      </c>
      <c r="O3925" t="s">
        <v>44760</v>
      </c>
      <c r="P3925">
        <v>0</v>
      </c>
      <c r="Q3925">
        <v>0</v>
      </c>
      <c r="R3925" t="s">
        <v>44762</v>
      </c>
      <c r="S3925" t="s">
        <v>44863</v>
      </c>
      <c r="T3925" t="s">
        <v>46383</v>
      </c>
      <c r="U3925" t="s">
        <v>50253</v>
      </c>
      <c r="W3925" t="s">
        <v>40874</v>
      </c>
      <c r="X3925" t="s">
        <v>44763</v>
      </c>
    </row>
    <row r="3926" spans="1:24">
      <c r="A3926">
        <f>HYPERLINK("https://www.philgeps.gov.ph/GEPSNONPILOT/Tender/SplashBidNoticeAbstractUI.aspx?menuIndex=3&amp;refID=7150554&amp;Result=3","7150554")</f>
        <v>0</v>
      </c>
      <c r="B3926" t="s">
        <v>1561</v>
      </c>
      <c r="C3926" t="s">
        <v>7491</v>
      </c>
      <c r="D3926" t="s">
        <v>17957</v>
      </c>
      <c r="E3926" t="s">
        <v>21572</v>
      </c>
      <c r="F3926" t="s">
        <v>30900</v>
      </c>
      <c r="G3926" t="s">
        <v>30909</v>
      </c>
      <c r="H3926" t="s">
        <v>30916</v>
      </c>
      <c r="I3926" t="s">
        <v>6396</v>
      </c>
      <c r="J3926" t="s">
        <v>33763</v>
      </c>
      <c r="K3926" t="s">
        <v>40285</v>
      </c>
      <c r="M3926" t="s">
        <v>42209</v>
      </c>
      <c r="N3926" t="s">
        <v>44759</v>
      </c>
      <c r="O3926" t="s">
        <v>44760</v>
      </c>
      <c r="P3926">
        <v>0</v>
      </c>
      <c r="Q3926">
        <v>1</v>
      </c>
      <c r="R3926" t="s">
        <v>44762</v>
      </c>
      <c r="S3926" t="s">
        <v>44863</v>
      </c>
      <c r="T3926" t="s">
        <v>46474</v>
      </c>
      <c r="U3926" t="s">
        <v>50254</v>
      </c>
      <c r="W3926" t="s">
        <v>42209</v>
      </c>
      <c r="X3926" t="s">
        <v>44763</v>
      </c>
    </row>
    <row r="3927" spans="1:24">
      <c r="A3927">
        <f>HYPERLINK("https://www.philgeps.gov.ph/GEPSNONPILOT/Tender/SplashBidNoticeAbstractUI.aspx?menuIndex=3&amp;refID=7150553&amp;Result=3","7150553")</f>
        <v>0</v>
      </c>
      <c r="B3927" t="s">
        <v>1542</v>
      </c>
      <c r="C3927" t="s">
        <v>7492</v>
      </c>
      <c r="E3927" t="s">
        <v>21573</v>
      </c>
      <c r="F3927" t="s">
        <v>30900</v>
      </c>
      <c r="G3927" t="s">
        <v>30908</v>
      </c>
      <c r="H3927" t="s">
        <v>30916</v>
      </c>
      <c r="I3927" t="s">
        <v>30936</v>
      </c>
      <c r="J3927" t="s">
        <v>33764</v>
      </c>
      <c r="K3927" t="s">
        <v>40286</v>
      </c>
      <c r="M3927" t="s">
        <v>42185</v>
      </c>
      <c r="N3927" t="s">
        <v>44759</v>
      </c>
      <c r="O3927" t="s">
        <v>44760</v>
      </c>
      <c r="P3927">
        <v>0</v>
      </c>
      <c r="Q3927">
        <v>0</v>
      </c>
      <c r="R3927" t="s">
        <v>44762</v>
      </c>
      <c r="S3927" t="s">
        <v>44863</v>
      </c>
      <c r="T3927" t="s">
        <v>46410</v>
      </c>
      <c r="U3927" t="s">
        <v>50255</v>
      </c>
      <c r="V3927" t="s">
        <v>59555</v>
      </c>
      <c r="W3927" t="s">
        <v>42185</v>
      </c>
      <c r="X3927" t="s">
        <v>44763</v>
      </c>
    </row>
    <row r="3928" spans="1:24">
      <c r="A3928">
        <f>HYPERLINK("https://www.philgeps.gov.ph/GEPSNONPILOT/Tender/SplashBidNoticeAbstractUI.aspx?menuIndex=3&amp;refID=7150584&amp;Result=3","7150584")</f>
        <v>0</v>
      </c>
      <c r="B3928" t="s">
        <v>1562</v>
      </c>
      <c r="C3928" t="s">
        <v>5842</v>
      </c>
      <c r="D3928" t="s">
        <v>17981</v>
      </c>
      <c r="E3928" t="s">
        <v>21574</v>
      </c>
      <c r="F3928" t="s">
        <v>30900</v>
      </c>
      <c r="G3928" t="s">
        <v>30909</v>
      </c>
      <c r="H3928" t="s">
        <v>30916</v>
      </c>
      <c r="I3928" t="s">
        <v>4050</v>
      </c>
      <c r="J3928" t="s">
        <v>32818</v>
      </c>
      <c r="K3928" t="s">
        <v>40285</v>
      </c>
      <c r="M3928" t="s">
        <v>42210</v>
      </c>
      <c r="N3928" t="s">
        <v>44759</v>
      </c>
      <c r="O3928" t="s">
        <v>44760</v>
      </c>
      <c r="P3928">
        <v>0</v>
      </c>
      <c r="Q3928">
        <v>0</v>
      </c>
      <c r="R3928" t="s">
        <v>44762</v>
      </c>
      <c r="S3928" t="s">
        <v>44863</v>
      </c>
      <c r="T3928" t="s">
        <v>46398</v>
      </c>
      <c r="U3928" t="s">
        <v>50256</v>
      </c>
      <c r="V3928" t="s">
        <v>59556</v>
      </c>
      <c r="W3928" t="s">
        <v>42210</v>
      </c>
      <c r="X3928" t="s">
        <v>44763</v>
      </c>
    </row>
    <row r="3929" spans="1:24">
      <c r="A3929">
        <f>HYPERLINK("https://www.philgeps.gov.ph/GEPSNONPILOT/Tender/SplashBidNoticeAbstractUI.aspx?menuIndex=3&amp;refID=7150583&amp;Result=3","7150583")</f>
        <v>0</v>
      </c>
      <c r="B3929" t="s">
        <v>1563</v>
      </c>
      <c r="C3929" t="s">
        <v>7493</v>
      </c>
      <c r="D3929" t="s">
        <v>17985</v>
      </c>
      <c r="E3929" t="s">
        <v>21575</v>
      </c>
      <c r="F3929" t="s">
        <v>30900</v>
      </c>
      <c r="G3929" t="s">
        <v>30909</v>
      </c>
      <c r="H3929" t="s">
        <v>30916</v>
      </c>
      <c r="I3929" t="s">
        <v>30934</v>
      </c>
      <c r="J3929" t="s">
        <v>31096</v>
      </c>
      <c r="K3929" t="s">
        <v>40289</v>
      </c>
      <c r="M3929" t="s">
        <v>42211</v>
      </c>
      <c r="N3929" t="s">
        <v>44759</v>
      </c>
      <c r="O3929" t="s">
        <v>44760</v>
      </c>
      <c r="P3929">
        <v>0</v>
      </c>
      <c r="Q3929">
        <v>2</v>
      </c>
      <c r="R3929" t="s">
        <v>44762</v>
      </c>
      <c r="S3929" t="s">
        <v>44863</v>
      </c>
      <c r="T3929" t="s">
        <v>46379</v>
      </c>
      <c r="U3929" t="s">
        <v>47244</v>
      </c>
      <c r="W3929" t="s">
        <v>42211</v>
      </c>
      <c r="X3929" t="s">
        <v>44763</v>
      </c>
    </row>
    <row r="3930" spans="1:24">
      <c r="A3930">
        <f>HYPERLINK("https://www.philgeps.gov.ph/GEPSNONPILOT/Tender/SplashBidNoticeAbstractUI.aspx?menuIndex=3&amp;refID=7150582&amp;Result=3","7150582")</f>
        <v>0</v>
      </c>
      <c r="B3930" t="s">
        <v>1564</v>
      </c>
      <c r="C3930" t="s">
        <v>7494</v>
      </c>
      <c r="D3930" t="s">
        <v>17974</v>
      </c>
      <c r="E3930" t="s">
        <v>18746</v>
      </c>
      <c r="F3930" t="s">
        <v>30900</v>
      </c>
      <c r="G3930" t="s">
        <v>30908</v>
      </c>
      <c r="H3930" t="s">
        <v>30916</v>
      </c>
      <c r="I3930" t="s">
        <v>4108</v>
      </c>
      <c r="J3930" t="s">
        <v>31863</v>
      </c>
      <c r="K3930" t="s">
        <v>40289</v>
      </c>
      <c r="M3930" t="s">
        <v>42212</v>
      </c>
      <c r="N3930" t="s">
        <v>44759</v>
      </c>
      <c r="O3930" t="s">
        <v>44760</v>
      </c>
      <c r="P3930">
        <v>0</v>
      </c>
      <c r="Q3930">
        <v>0</v>
      </c>
      <c r="R3930" t="s">
        <v>44762</v>
      </c>
      <c r="S3930" t="s">
        <v>44863</v>
      </c>
      <c r="T3930" t="s">
        <v>46410</v>
      </c>
      <c r="U3930" t="s">
        <v>47654</v>
      </c>
      <c r="W3930" t="s">
        <v>42212</v>
      </c>
      <c r="X3930" t="s">
        <v>44763</v>
      </c>
    </row>
    <row r="3931" spans="1:24">
      <c r="A3931">
        <f>HYPERLINK("https://www.philgeps.gov.ph/GEPSNONPILOT/Tender/SplashBidNoticeAbstractUI.aspx?menuIndex=3&amp;refID=7150579&amp;Result=3","7150579")</f>
        <v>0</v>
      </c>
      <c r="B3931" t="s">
        <v>1565</v>
      </c>
      <c r="C3931" t="s">
        <v>6705</v>
      </c>
      <c r="D3931" t="s">
        <v>17972</v>
      </c>
      <c r="E3931" t="s">
        <v>21576</v>
      </c>
      <c r="F3931" t="s">
        <v>30900</v>
      </c>
      <c r="G3931" t="s">
        <v>30907</v>
      </c>
      <c r="H3931" t="s">
        <v>30916</v>
      </c>
      <c r="I3931" t="s">
        <v>8123</v>
      </c>
      <c r="J3931" t="s">
        <v>33765</v>
      </c>
      <c r="K3931" t="s">
        <v>40286</v>
      </c>
      <c r="M3931" t="s">
        <v>42213</v>
      </c>
      <c r="N3931" t="s">
        <v>44759</v>
      </c>
      <c r="O3931" t="s">
        <v>44760</v>
      </c>
      <c r="P3931">
        <v>0</v>
      </c>
      <c r="Q3931">
        <v>0</v>
      </c>
      <c r="R3931" t="s">
        <v>44762</v>
      </c>
      <c r="S3931" t="s">
        <v>44863</v>
      </c>
      <c r="T3931" t="s">
        <v>46351</v>
      </c>
      <c r="U3931" t="s">
        <v>50257</v>
      </c>
      <c r="W3931" t="s">
        <v>42213</v>
      </c>
      <c r="X3931" t="s">
        <v>44763</v>
      </c>
    </row>
    <row r="3932" spans="1:24">
      <c r="A3932">
        <f>HYPERLINK("https://www.philgeps.gov.ph/GEPSNONPILOT/Tender/SplashBidNoticeAbstractUI.aspx?menuIndex=3&amp;refID=7150577&amp;Result=3","7150577")</f>
        <v>0</v>
      </c>
      <c r="B3932" t="s">
        <v>908</v>
      </c>
      <c r="C3932" t="s">
        <v>7495</v>
      </c>
      <c r="D3932" t="s">
        <v>17952</v>
      </c>
      <c r="E3932" t="s">
        <v>21577</v>
      </c>
      <c r="F3932" t="s">
        <v>30900</v>
      </c>
      <c r="G3932" t="s">
        <v>30908</v>
      </c>
      <c r="H3932" t="s">
        <v>30916</v>
      </c>
      <c r="I3932" t="s">
        <v>30939</v>
      </c>
      <c r="J3932" t="s">
        <v>33766</v>
      </c>
      <c r="K3932" t="s">
        <v>40286</v>
      </c>
      <c r="M3932" t="s">
        <v>41483</v>
      </c>
      <c r="N3932" t="s">
        <v>44759</v>
      </c>
      <c r="O3932" t="s">
        <v>44760</v>
      </c>
      <c r="P3932">
        <v>0</v>
      </c>
      <c r="Q3932">
        <v>0</v>
      </c>
      <c r="R3932" t="s">
        <v>44762</v>
      </c>
      <c r="S3932" t="s">
        <v>44863</v>
      </c>
      <c r="T3932" t="s">
        <v>46363</v>
      </c>
      <c r="U3932" t="s">
        <v>50258</v>
      </c>
      <c r="W3932" t="s">
        <v>41483</v>
      </c>
      <c r="X3932" t="s">
        <v>44763</v>
      </c>
    </row>
    <row r="3933" spans="1:24">
      <c r="A3933">
        <f>HYPERLINK("https://www.philgeps.gov.ph/GEPSNONPILOT/Tender/SplashBidNoticeAbstractUI.aspx?menuIndex=3&amp;refID=7150585&amp;Result=3","7150585")</f>
        <v>0</v>
      </c>
      <c r="B3933" t="s">
        <v>725</v>
      </c>
      <c r="C3933" t="s">
        <v>7496</v>
      </c>
      <c r="D3933" t="s">
        <v>18004</v>
      </c>
      <c r="E3933" t="s">
        <v>21578</v>
      </c>
      <c r="F3933" t="s">
        <v>30900</v>
      </c>
      <c r="G3933" t="s">
        <v>30907</v>
      </c>
      <c r="H3933" t="s">
        <v>30916</v>
      </c>
      <c r="I3933" t="s">
        <v>30947</v>
      </c>
      <c r="J3933" t="s">
        <v>31268</v>
      </c>
      <c r="K3933" t="s">
        <v>40284</v>
      </c>
      <c r="M3933" t="s">
        <v>41289</v>
      </c>
      <c r="N3933" t="s">
        <v>44759</v>
      </c>
      <c r="O3933" t="s">
        <v>44760</v>
      </c>
      <c r="P3933">
        <v>0</v>
      </c>
      <c r="Q3933">
        <v>0</v>
      </c>
      <c r="R3933" t="s">
        <v>44762</v>
      </c>
      <c r="S3933" t="s">
        <v>44863</v>
      </c>
      <c r="T3933" t="s">
        <v>46532</v>
      </c>
      <c r="U3933" t="s">
        <v>50259</v>
      </c>
      <c r="W3933" t="s">
        <v>41289</v>
      </c>
      <c r="X3933" t="s">
        <v>44763</v>
      </c>
    </row>
    <row r="3934" spans="1:24">
      <c r="A3934">
        <f>HYPERLINK("https://www.philgeps.gov.ph/GEPSNONPILOT/Tender/SplashBidNoticeAbstractUI.aspx?menuIndex=3&amp;refID=7150587&amp;Result=3","7150587")</f>
        <v>0</v>
      </c>
      <c r="B3934" t="s">
        <v>91</v>
      </c>
      <c r="C3934" t="s">
        <v>7497</v>
      </c>
      <c r="D3934" t="s">
        <v>17993</v>
      </c>
      <c r="E3934" t="s">
        <v>21579</v>
      </c>
      <c r="F3934" t="s">
        <v>30900</v>
      </c>
      <c r="G3934" t="s">
        <v>30908</v>
      </c>
      <c r="H3934" t="s">
        <v>30916</v>
      </c>
      <c r="I3934" t="s">
        <v>10834</v>
      </c>
      <c r="J3934" t="s">
        <v>31674</v>
      </c>
      <c r="K3934" t="s">
        <v>40283</v>
      </c>
      <c r="M3934" t="s">
        <v>40638</v>
      </c>
      <c r="N3934" t="s">
        <v>44759</v>
      </c>
      <c r="O3934" t="s">
        <v>44760</v>
      </c>
      <c r="P3934">
        <v>0</v>
      </c>
      <c r="Q3934">
        <v>0</v>
      </c>
      <c r="R3934" t="s">
        <v>44762</v>
      </c>
      <c r="S3934" t="s">
        <v>44863</v>
      </c>
      <c r="T3934" t="s">
        <v>46425</v>
      </c>
      <c r="U3934" t="s">
        <v>47060</v>
      </c>
      <c r="V3934" t="s">
        <v>59488</v>
      </c>
      <c r="W3934" t="s">
        <v>40638</v>
      </c>
      <c r="X3934" t="s">
        <v>44763</v>
      </c>
    </row>
    <row r="3935" spans="1:24">
      <c r="A3935">
        <f>HYPERLINK("https://www.philgeps.gov.ph/GEPSNONPILOT/Tender/SplashBidNoticeAbstractUI.aspx?menuIndex=3&amp;refID=7150586&amp;Result=3","7150586")</f>
        <v>0</v>
      </c>
      <c r="B3935" t="s">
        <v>1188</v>
      </c>
      <c r="C3935" t="s">
        <v>7498</v>
      </c>
      <c r="D3935" t="s">
        <v>18019</v>
      </c>
      <c r="E3935" t="s">
        <v>21580</v>
      </c>
      <c r="F3935" t="s">
        <v>30900</v>
      </c>
      <c r="G3935" t="s">
        <v>30908</v>
      </c>
      <c r="H3935" t="s">
        <v>30916</v>
      </c>
      <c r="I3935" t="s">
        <v>30971</v>
      </c>
      <c r="J3935" t="s">
        <v>33767</v>
      </c>
      <c r="K3935" t="s">
        <v>40284</v>
      </c>
      <c r="M3935" t="s">
        <v>41797</v>
      </c>
      <c r="N3935" t="s">
        <v>44759</v>
      </c>
      <c r="O3935" t="s">
        <v>44760</v>
      </c>
      <c r="P3935">
        <v>0</v>
      </c>
      <c r="Q3935">
        <v>0</v>
      </c>
      <c r="R3935" t="s">
        <v>44762</v>
      </c>
      <c r="S3935" t="s">
        <v>44863</v>
      </c>
      <c r="T3935" t="s">
        <v>46467</v>
      </c>
      <c r="U3935" t="s">
        <v>50260</v>
      </c>
      <c r="W3935" t="s">
        <v>41797</v>
      </c>
      <c r="X3935" t="s">
        <v>44763</v>
      </c>
    </row>
    <row r="3936" spans="1:24">
      <c r="A3936">
        <f>HYPERLINK("https://www.philgeps.gov.ph/GEPSNONPILOT/Tender/SplashBidNoticeAbstractUI.aspx?menuIndex=3&amp;refID=7150526&amp;Result=3","7150526")</f>
        <v>0</v>
      </c>
      <c r="B3936" t="s">
        <v>1357</v>
      </c>
      <c r="C3936" t="s">
        <v>7499</v>
      </c>
      <c r="D3936" t="s">
        <v>18025</v>
      </c>
      <c r="E3936" t="s">
        <v>18417</v>
      </c>
      <c r="F3936" t="s">
        <v>30900</v>
      </c>
      <c r="G3936" t="s">
        <v>30910</v>
      </c>
      <c r="H3936" t="s">
        <v>30916</v>
      </c>
      <c r="I3936" t="s">
        <v>8365</v>
      </c>
      <c r="J3936" t="s">
        <v>32204</v>
      </c>
      <c r="K3936" t="s">
        <v>40283</v>
      </c>
      <c r="M3936" t="s">
        <v>41979</v>
      </c>
      <c r="N3936" t="s">
        <v>44759</v>
      </c>
      <c r="O3936" t="s">
        <v>44760</v>
      </c>
      <c r="P3936">
        <v>0</v>
      </c>
      <c r="Q3936">
        <v>3</v>
      </c>
      <c r="R3936" t="s">
        <v>44762</v>
      </c>
      <c r="S3936" t="s">
        <v>44863</v>
      </c>
      <c r="T3936" t="s">
        <v>46410</v>
      </c>
      <c r="U3936" t="s">
        <v>50261</v>
      </c>
      <c r="W3936" t="s">
        <v>41979</v>
      </c>
      <c r="X3936" t="s">
        <v>44763</v>
      </c>
    </row>
    <row r="3937" spans="1:24">
      <c r="A3937">
        <f>HYPERLINK("https://www.philgeps.gov.ph/GEPSNONPILOT/Tender/SplashBidNoticeAbstractUI.aspx?menuIndex=3&amp;refID=7150605&amp;Result=3","7150605")</f>
        <v>0</v>
      </c>
      <c r="B3937" t="s">
        <v>272</v>
      </c>
      <c r="C3937" t="s">
        <v>7500</v>
      </c>
      <c r="D3937" t="s">
        <v>17978</v>
      </c>
      <c r="E3937" t="s">
        <v>21581</v>
      </c>
      <c r="F3937" t="s">
        <v>30900</v>
      </c>
      <c r="G3937" t="s">
        <v>30908</v>
      </c>
      <c r="H3937" t="s">
        <v>30916</v>
      </c>
      <c r="I3937" t="s">
        <v>4142</v>
      </c>
      <c r="J3937" t="s">
        <v>31070</v>
      </c>
      <c r="K3937" t="s">
        <v>40285</v>
      </c>
      <c r="M3937" t="s">
        <v>40819</v>
      </c>
      <c r="N3937" t="s">
        <v>44759</v>
      </c>
      <c r="O3937" t="s">
        <v>44760</v>
      </c>
      <c r="P3937">
        <v>0</v>
      </c>
      <c r="Q3937">
        <v>0</v>
      </c>
      <c r="R3937" t="s">
        <v>44762</v>
      </c>
      <c r="S3937" t="s">
        <v>44863</v>
      </c>
      <c r="T3937" t="s">
        <v>46410</v>
      </c>
      <c r="U3937" t="s">
        <v>47373</v>
      </c>
      <c r="V3937" t="s">
        <v>59161</v>
      </c>
      <c r="W3937" t="s">
        <v>40819</v>
      </c>
      <c r="X3937" t="s">
        <v>44763</v>
      </c>
    </row>
    <row r="3938" spans="1:24">
      <c r="A3938">
        <f>HYPERLINK("https://www.philgeps.gov.ph/GEPSNONPILOT/Tender/SplashBidNoticeAbstractUI.aspx?menuIndex=3&amp;refID=7150608&amp;Result=3","7150608")</f>
        <v>0</v>
      </c>
      <c r="B3938" t="s">
        <v>488</v>
      </c>
      <c r="C3938" t="s">
        <v>7501</v>
      </c>
      <c r="D3938" t="s">
        <v>17985</v>
      </c>
      <c r="E3938" t="s">
        <v>21582</v>
      </c>
      <c r="F3938" t="s">
        <v>30900</v>
      </c>
      <c r="G3938" t="s">
        <v>30907</v>
      </c>
      <c r="H3938" t="s">
        <v>30916</v>
      </c>
      <c r="I3938" t="s">
        <v>6746</v>
      </c>
      <c r="J3938" t="s">
        <v>31413</v>
      </c>
      <c r="K3938" t="s">
        <v>40286</v>
      </c>
      <c r="M3938" t="s">
        <v>41046</v>
      </c>
      <c r="N3938" t="s">
        <v>44759</v>
      </c>
      <c r="O3938" t="s">
        <v>44760</v>
      </c>
      <c r="P3938">
        <v>0</v>
      </c>
      <c r="Q3938">
        <v>0</v>
      </c>
      <c r="R3938" t="s">
        <v>44762</v>
      </c>
      <c r="S3938" t="s">
        <v>44863</v>
      </c>
      <c r="T3938" t="s">
        <v>46409</v>
      </c>
      <c r="U3938" t="s">
        <v>48733</v>
      </c>
      <c r="W3938" t="s">
        <v>41046</v>
      </c>
      <c r="X3938" t="s">
        <v>44763</v>
      </c>
    </row>
    <row r="3939" spans="1:24">
      <c r="A3939">
        <f>HYPERLINK("https://www.philgeps.gov.ph/GEPSNONPILOT/Tender/SplashBidNoticeAbstractUI.aspx?menuIndex=3&amp;refID=7150607&amp;Result=3","7150607")</f>
        <v>0</v>
      </c>
      <c r="B3939" t="s">
        <v>888</v>
      </c>
      <c r="C3939" t="s">
        <v>7502</v>
      </c>
      <c r="D3939" t="s">
        <v>17951</v>
      </c>
      <c r="E3939" t="s">
        <v>21583</v>
      </c>
      <c r="F3939" t="s">
        <v>30900</v>
      </c>
      <c r="G3939" t="s">
        <v>30906</v>
      </c>
      <c r="H3939" t="s">
        <v>30916</v>
      </c>
      <c r="I3939" t="s">
        <v>9385</v>
      </c>
      <c r="J3939" t="s">
        <v>31207</v>
      </c>
      <c r="K3939" t="s">
        <v>40308</v>
      </c>
      <c r="M3939" t="s">
        <v>41461</v>
      </c>
      <c r="N3939" t="s">
        <v>44759</v>
      </c>
      <c r="O3939" t="s">
        <v>44760</v>
      </c>
      <c r="P3939">
        <v>0</v>
      </c>
      <c r="Q3939">
        <v>2</v>
      </c>
      <c r="R3939" t="s">
        <v>44762</v>
      </c>
      <c r="S3939" t="s">
        <v>44863</v>
      </c>
      <c r="T3939" t="s">
        <v>46558</v>
      </c>
      <c r="U3939" t="s">
        <v>48542</v>
      </c>
      <c r="W3939" t="s">
        <v>41461</v>
      </c>
      <c r="X3939" t="s">
        <v>44763</v>
      </c>
    </row>
    <row r="3940" spans="1:24">
      <c r="A3940">
        <f>HYPERLINK("https://www.philgeps.gov.ph/GEPSNONPILOT/Tender/SplashBidNoticeAbstractUI.aspx?menuIndex=3&amp;refID=7150580&amp;Result=3","7150580")</f>
        <v>0</v>
      </c>
      <c r="B3940" t="s">
        <v>1507</v>
      </c>
      <c r="C3940" t="s">
        <v>7503</v>
      </c>
      <c r="D3940" t="s">
        <v>17955</v>
      </c>
      <c r="E3940" t="s">
        <v>21584</v>
      </c>
      <c r="F3940" t="s">
        <v>30900</v>
      </c>
      <c r="G3940" t="s">
        <v>30907</v>
      </c>
      <c r="H3940" t="s">
        <v>30915</v>
      </c>
      <c r="I3940" t="s">
        <v>30919</v>
      </c>
      <c r="J3940" t="s">
        <v>31049</v>
      </c>
      <c r="K3940" t="s">
        <v>40284</v>
      </c>
      <c r="M3940" t="s">
        <v>42148</v>
      </c>
      <c r="N3940" t="s">
        <v>44759</v>
      </c>
      <c r="O3940" t="s">
        <v>44760</v>
      </c>
      <c r="P3940">
        <v>0</v>
      </c>
      <c r="Q3940">
        <v>0</v>
      </c>
      <c r="R3940" t="s">
        <v>44762</v>
      </c>
      <c r="S3940" t="s">
        <v>44863</v>
      </c>
      <c r="T3940" t="s">
        <v>46648</v>
      </c>
      <c r="U3940" t="s">
        <v>50064</v>
      </c>
      <c r="W3940" t="s">
        <v>42148</v>
      </c>
      <c r="X3940" t="s">
        <v>44763</v>
      </c>
    </row>
    <row r="3941" spans="1:24">
      <c r="A3941">
        <f>HYPERLINK("https://www.philgeps.gov.ph/GEPSNONPILOT/Tender/SplashBidNoticeAbstractUI.aspx?menuIndex=3&amp;refID=7150603&amp;Result=3","7150603")</f>
        <v>0</v>
      </c>
      <c r="B3941" t="s">
        <v>1566</v>
      </c>
      <c r="C3941" t="s">
        <v>5383</v>
      </c>
      <c r="D3941" t="s">
        <v>18002</v>
      </c>
      <c r="E3941" t="s">
        <v>21585</v>
      </c>
      <c r="F3941" t="s">
        <v>30900</v>
      </c>
      <c r="G3941" t="s">
        <v>30909</v>
      </c>
      <c r="H3941" t="s">
        <v>30916</v>
      </c>
      <c r="I3941" t="s">
        <v>4142</v>
      </c>
      <c r="J3941" t="s">
        <v>31043</v>
      </c>
      <c r="K3941" t="s">
        <v>40281</v>
      </c>
      <c r="M3941" t="s">
        <v>42214</v>
      </c>
      <c r="N3941" t="s">
        <v>44759</v>
      </c>
      <c r="O3941" t="s">
        <v>44760</v>
      </c>
      <c r="P3941">
        <v>0</v>
      </c>
      <c r="Q3941">
        <v>2</v>
      </c>
      <c r="R3941" t="s">
        <v>44762</v>
      </c>
      <c r="S3941" t="s">
        <v>44863</v>
      </c>
      <c r="T3941" t="s">
        <v>46398</v>
      </c>
      <c r="U3941" t="s">
        <v>50262</v>
      </c>
      <c r="W3941" t="s">
        <v>42214</v>
      </c>
      <c r="X3941" t="s">
        <v>44763</v>
      </c>
    </row>
    <row r="3942" spans="1:24">
      <c r="A3942">
        <f>HYPERLINK("https://www.philgeps.gov.ph/GEPSNONPILOT/Tender/SplashBidNoticeAbstractUI.aspx?menuIndex=3&amp;refID=7150576&amp;Result=3","7150576")</f>
        <v>0</v>
      </c>
      <c r="B3942" t="s">
        <v>1389</v>
      </c>
      <c r="C3942" t="s">
        <v>7504</v>
      </c>
      <c r="D3942" t="s">
        <v>18002</v>
      </c>
      <c r="E3942" t="s">
        <v>21586</v>
      </c>
      <c r="F3942" t="s">
        <v>30900</v>
      </c>
      <c r="G3942" t="s">
        <v>30909</v>
      </c>
      <c r="H3942" t="s">
        <v>30916</v>
      </c>
      <c r="I3942" t="s">
        <v>6396</v>
      </c>
      <c r="J3942" t="s">
        <v>33386</v>
      </c>
      <c r="K3942" t="s">
        <v>40282</v>
      </c>
      <c r="M3942" t="s">
        <v>42014</v>
      </c>
      <c r="N3942" t="s">
        <v>44759</v>
      </c>
      <c r="O3942" t="s">
        <v>44760</v>
      </c>
      <c r="P3942">
        <v>0</v>
      </c>
      <c r="Q3942">
        <v>3</v>
      </c>
      <c r="R3942" t="s">
        <v>44762</v>
      </c>
      <c r="S3942" t="s">
        <v>44863</v>
      </c>
      <c r="T3942" t="s">
        <v>46396</v>
      </c>
      <c r="U3942" t="s">
        <v>49775</v>
      </c>
      <c r="W3942" t="s">
        <v>42014</v>
      </c>
      <c r="X3942" t="s">
        <v>44763</v>
      </c>
    </row>
    <row r="3943" spans="1:24">
      <c r="A3943">
        <f>HYPERLINK("https://www.philgeps.gov.ph/GEPSNONPILOT/Tender/SplashBidNoticeAbstractUI.aspx?menuIndex=3&amp;refID=7150610&amp;Result=3","7150610")</f>
        <v>0</v>
      </c>
      <c r="B3943" t="s">
        <v>1507</v>
      </c>
      <c r="C3943" t="s">
        <v>7505</v>
      </c>
      <c r="D3943" t="s">
        <v>17955</v>
      </c>
      <c r="E3943" t="s">
        <v>21587</v>
      </c>
      <c r="F3943" t="s">
        <v>30900</v>
      </c>
      <c r="G3943" t="s">
        <v>30907</v>
      </c>
      <c r="H3943" t="s">
        <v>30915</v>
      </c>
      <c r="I3943" t="s">
        <v>30919</v>
      </c>
      <c r="J3943" t="s">
        <v>31049</v>
      </c>
      <c r="K3943" t="s">
        <v>40284</v>
      </c>
      <c r="M3943" t="s">
        <v>42148</v>
      </c>
      <c r="N3943" t="s">
        <v>44759</v>
      </c>
      <c r="O3943" t="s">
        <v>44760</v>
      </c>
      <c r="P3943">
        <v>0</v>
      </c>
      <c r="Q3943">
        <v>0</v>
      </c>
      <c r="R3943" t="s">
        <v>44762</v>
      </c>
      <c r="S3943" t="s">
        <v>44863</v>
      </c>
      <c r="T3943" t="s">
        <v>46648</v>
      </c>
      <c r="U3943" t="s">
        <v>50064</v>
      </c>
      <c r="W3943" t="s">
        <v>42148</v>
      </c>
      <c r="X3943" t="s">
        <v>44763</v>
      </c>
    </row>
    <row r="3944" spans="1:24">
      <c r="A3944">
        <f>HYPERLINK("https://www.philgeps.gov.ph/GEPSNONPILOT/Tender/SplashBidNoticeAbstractUI.aspx?menuIndex=3&amp;refID=7150488&amp;Result=3","7150488")</f>
        <v>0</v>
      </c>
      <c r="B3944" t="s">
        <v>886</v>
      </c>
      <c r="C3944" t="s">
        <v>7506</v>
      </c>
      <c r="D3944" t="s">
        <v>17972</v>
      </c>
      <c r="E3944" t="s">
        <v>21588</v>
      </c>
      <c r="F3944" t="s">
        <v>30900</v>
      </c>
      <c r="G3944" t="s">
        <v>30907</v>
      </c>
      <c r="H3944" t="s">
        <v>30915</v>
      </c>
      <c r="I3944" t="s">
        <v>30919</v>
      </c>
      <c r="J3944" t="s">
        <v>33768</v>
      </c>
      <c r="K3944" t="s">
        <v>40393</v>
      </c>
      <c r="M3944" t="s">
        <v>41459</v>
      </c>
      <c r="N3944" t="s">
        <v>44759</v>
      </c>
      <c r="O3944" t="s">
        <v>44760</v>
      </c>
      <c r="P3944">
        <v>0</v>
      </c>
      <c r="Q3944">
        <v>0</v>
      </c>
      <c r="R3944" t="s">
        <v>44762</v>
      </c>
      <c r="S3944" t="s">
        <v>44863</v>
      </c>
      <c r="T3944" t="s">
        <v>46557</v>
      </c>
      <c r="U3944" t="s">
        <v>50263</v>
      </c>
      <c r="W3944" t="s">
        <v>41459</v>
      </c>
      <c r="X3944" t="s">
        <v>44763</v>
      </c>
    </row>
    <row r="3945" spans="1:24">
      <c r="A3945">
        <f>HYPERLINK("https://www.philgeps.gov.ph/GEPSNONPILOT/Tender/SplashBidNoticeAbstractUI.aspx?menuIndex=3&amp;refID=7150599&amp;Result=3","7150599")</f>
        <v>0</v>
      </c>
      <c r="B3945" t="s">
        <v>92</v>
      </c>
      <c r="C3945" t="s">
        <v>7507</v>
      </c>
      <c r="D3945" t="s">
        <v>17959</v>
      </c>
      <c r="E3945" t="s">
        <v>18175</v>
      </c>
      <c r="F3945" t="s">
        <v>30900</v>
      </c>
      <c r="G3945" t="s">
        <v>30908</v>
      </c>
      <c r="H3945" t="s">
        <v>30916</v>
      </c>
      <c r="I3945" t="s">
        <v>5830</v>
      </c>
      <c r="J3945" t="s">
        <v>31223</v>
      </c>
      <c r="K3945" t="s">
        <v>40283</v>
      </c>
      <c r="M3945" t="s">
        <v>40639</v>
      </c>
      <c r="N3945" t="s">
        <v>44759</v>
      </c>
      <c r="O3945" t="s">
        <v>44760</v>
      </c>
      <c r="P3945">
        <v>0</v>
      </c>
      <c r="Q3945">
        <v>12</v>
      </c>
      <c r="R3945" t="s">
        <v>44762</v>
      </c>
      <c r="S3945" t="s">
        <v>44863</v>
      </c>
      <c r="T3945" t="s">
        <v>46399</v>
      </c>
      <c r="U3945" t="s">
        <v>50264</v>
      </c>
      <c r="W3945" t="s">
        <v>40639</v>
      </c>
      <c r="X3945" t="s">
        <v>44763</v>
      </c>
    </row>
    <row r="3946" spans="1:24">
      <c r="A3946">
        <f>HYPERLINK("https://www.philgeps.gov.ph/GEPSNONPILOT/Tender/SplashBidNoticeAbstractUI.aspx?menuIndex=3&amp;refID=7150598&amp;Result=3","7150598")</f>
        <v>0</v>
      </c>
      <c r="B3946" t="s">
        <v>1567</v>
      </c>
      <c r="C3946" t="s">
        <v>7508</v>
      </c>
      <c r="D3946" t="s">
        <v>18006</v>
      </c>
      <c r="E3946" t="s">
        <v>21589</v>
      </c>
      <c r="F3946" t="s">
        <v>30900</v>
      </c>
      <c r="G3946" t="s">
        <v>30908</v>
      </c>
      <c r="H3946" t="s">
        <v>30916</v>
      </c>
      <c r="I3946" t="s">
        <v>30965</v>
      </c>
      <c r="J3946" t="s">
        <v>33489</v>
      </c>
      <c r="K3946" t="s">
        <v>40289</v>
      </c>
      <c r="M3946" t="s">
        <v>42215</v>
      </c>
      <c r="N3946" t="s">
        <v>44759</v>
      </c>
      <c r="O3946" t="s">
        <v>44760</v>
      </c>
      <c r="P3946">
        <v>0</v>
      </c>
      <c r="Q3946">
        <v>0</v>
      </c>
      <c r="R3946" t="s">
        <v>44762</v>
      </c>
      <c r="S3946" t="s">
        <v>44863</v>
      </c>
      <c r="T3946" t="s">
        <v>46440</v>
      </c>
      <c r="U3946" t="s">
        <v>50265</v>
      </c>
      <c r="W3946" t="s">
        <v>42215</v>
      </c>
      <c r="X3946" t="s">
        <v>44763</v>
      </c>
    </row>
    <row r="3947" spans="1:24">
      <c r="A3947">
        <f>HYPERLINK("https://www.philgeps.gov.ph/GEPSNONPILOT/Tender/SplashBidNoticeAbstractUI.aspx?menuIndex=3&amp;refID=7150595&amp;Result=3","7150595")</f>
        <v>0</v>
      </c>
      <c r="B3947" t="s">
        <v>1557</v>
      </c>
      <c r="C3947" t="s">
        <v>4269</v>
      </c>
      <c r="D3947" t="s">
        <v>17964</v>
      </c>
      <c r="E3947" t="s">
        <v>21590</v>
      </c>
      <c r="F3947" t="s">
        <v>30900</v>
      </c>
      <c r="G3947" t="s">
        <v>30907</v>
      </c>
      <c r="H3947" t="s">
        <v>30916</v>
      </c>
      <c r="I3947" t="s">
        <v>4545</v>
      </c>
      <c r="J3947" t="s">
        <v>31050</v>
      </c>
      <c r="K3947" t="s">
        <v>40289</v>
      </c>
      <c r="M3947" t="s">
        <v>42203</v>
      </c>
      <c r="N3947" t="s">
        <v>44759</v>
      </c>
      <c r="O3947" t="s">
        <v>44760</v>
      </c>
      <c r="P3947">
        <v>0</v>
      </c>
      <c r="Q3947">
        <v>0</v>
      </c>
      <c r="R3947" t="s">
        <v>44762</v>
      </c>
      <c r="S3947" t="s">
        <v>44863</v>
      </c>
      <c r="T3947" t="s">
        <v>46425</v>
      </c>
      <c r="U3947" t="s">
        <v>50266</v>
      </c>
      <c r="W3947" t="s">
        <v>42203</v>
      </c>
      <c r="X3947" t="s">
        <v>44763</v>
      </c>
    </row>
    <row r="3948" spans="1:24">
      <c r="A3948">
        <f>HYPERLINK("https://www.philgeps.gov.ph/GEPSNONPILOT/Tender/SplashBidNoticeAbstractUI.aspx?menuIndex=3&amp;refID=7150575&amp;Result=3","7150575")</f>
        <v>0</v>
      </c>
      <c r="B3948" t="s">
        <v>1568</v>
      </c>
      <c r="C3948" t="s">
        <v>6177</v>
      </c>
      <c r="D3948" t="s">
        <v>17953</v>
      </c>
      <c r="E3948" t="s">
        <v>21591</v>
      </c>
      <c r="F3948" t="s">
        <v>30900</v>
      </c>
      <c r="G3948" t="s">
        <v>30908</v>
      </c>
      <c r="H3948" t="s">
        <v>30916</v>
      </c>
      <c r="I3948" t="s">
        <v>6396</v>
      </c>
      <c r="J3948" t="s">
        <v>33769</v>
      </c>
      <c r="K3948" t="s">
        <v>40284</v>
      </c>
      <c r="M3948" t="s">
        <v>42216</v>
      </c>
      <c r="N3948" t="s">
        <v>44759</v>
      </c>
      <c r="O3948" t="s">
        <v>44760</v>
      </c>
      <c r="P3948">
        <v>0</v>
      </c>
      <c r="Q3948">
        <v>1</v>
      </c>
      <c r="R3948" t="s">
        <v>44762</v>
      </c>
      <c r="S3948" t="s">
        <v>44863</v>
      </c>
      <c r="T3948" t="s">
        <v>46398</v>
      </c>
      <c r="U3948" t="s">
        <v>50267</v>
      </c>
      <c r="V3948" t="s">
        <v>59557</v>
      </c>
      <c r="W3948" t="s">
        <v>42216</v>
      </c>
      <c r="X3948" t="s">
        <v>44763</v>
      </c>
    </row>
    <row r="3949" spans="1:24">
      <c r="A3949">
        <f>HYPERLINK("https://www.philgeps.gov.ph/GEPSNONPILOT/Tender/SplashBidNoticeAbstractUI.aspx?menuIndex=3&amp;refID=7150594&amp;Result=3","7150594")</f>
        <v>0</v>
      </c>
      <c r="B3949" t="s">
        <v>1549</v>
      </c>
      <c r="C3949" t="s">
        <v>7509</v>
      </c>
      <c r="D3949" t="s">
        <v>17975</v>
      </c>
      <c r="E3949" t="s">
        <v>21592</v>
      </c>
      <c r="F3949" t="s">
        <v>30900</v>
      </c>
      <c r="G3949" t="s">
        <v>30907</v>
      </c>
      <c r="H3949" t="s">
        <v>30916</v>
      </c>
      <c r="I3949" t="s">
        <v>30921</v>
      </c>
      <c r="J3949" t="s">
        <v>31049</v>
      </c>
      <c r="K3949" t="s">
        <v>40289</v>
      </c>
      <c r="M3949" t="s">
        <v>42194</v>
      </c>
      <c r="N3949" t="s">
        <v>44759</v>
      </c>
      <c r="O3949" t="s">
        <v>44760</v>
      </c>
      <c r="P3949">
        <v>0</v>
      </c>
      <c r="Q3949">
        <v>1</v>
      </c>
      <c r="R3949" t="s">
        <v>44762</v>
      </c>
      <c r="S3949" t="s">
        <v>44863</v>
      </c>
      <c r="T3949" t="s">
        <v>46369</v>
      </c>
      <c r="U3949" t="s">
        <v>50207</v>
      </c>
      <c r="V3949" t="s">
        <v>59549</v>
      </c>
      <c r="W3949" t="s">
        <v>42194</v>
      </c>
      <c r="X3949" t="s">
        <v>44763</v>
      </c>
    </row>
    <row r="3950" spans="1:24">
      <c r="A3950">
        <f>HYPERLINK("https://www.philgeps.gov.ph/GEPSNONPILOT/Tender/SplashBidNoticeAbstractUI.aspx?menuIndex=3&amp;refID=7150593&amp;Result=3","7150593")</f>
        <v>0</v>
      </c>
      <c r="B3950" t="s">
        <v>591</v>
      </c>
      <c r="C3950" t="s">
        <v>7510</v>
      </c>
      <c r="D3950" t="s">
        <v>17998</v>
      </c>
      <c r="E3950" t="s">
        <v>21593</v>
      </c>
      <c r="F3950" t="s">
        <v>30900</v>
      </c>
      <c r="G3950" t="s">
        <v>30907</v>
      </c>
      <c r="H3950" t="s">
        <v>30916</v>
      </c>
      <c r="I3950" t="s">
        <v>10602</v>
      </c>
      <c r="J3950" t="s">
        <v>32927</v>
      </c>
      <c r="K3950" t="s">
        <v>40281</v>
      </c>
      <c r="M3950" t="s">
        <v>41153</v>
      </c>
      <c r="N3950" t="s">
        <v>44759</v>
      </c>
      <c r="O3950" t="s">
        <v>44760</v>
      </c>
      <c r="P3950">
        <v>0</v>
      </c>
      <c r="Q3950">
        <v>0</v>
      </c>
      <c r="R3950" t="s">
        <v>44762</v>
      </c>
      <c r="S3950" t="s">
        <v>44863</v>
      </c>
      <c r="T3950" t="s">
        <v>46389</v>
      </c>
      <c r="U3950" t="s">
        <v>47975</v>
      </c>
      <c r="V3950" t="s">
        <v>59550</v>
      </c>
      <c r="W3950" t="s">
        <v>41153</v>
      </c>
      <c r="X3950" t="s">
        <v>44763</v>
      </c>
    </row>
    <row r="3951" spans="1:24">
      <c r="A3951">
        <f>HYPERLINK("https://www.philgeps.gov.ph/GEPSNONPILOT/Tender/SplashBidNoticeAbstractUI.aspx?menuIndex=3&amp;refID=7150592&amp;Result=3","7150592")</f>
        <v>0</v>
      </c>
      <c r="B3951" t="s">
        <v>718</v>
      </c>
      <c r="C3951" t="s">
        <v>7511</v>
      </c>
      <c r="D3951" t="s">
        <v>17980</v>
      </c>
      <c r="E3951" t="s">
        <v>21594</v>
      </c>
      <c r="F3951" t="s">
        <v>30900</v>
      </c>
      <c r="G3951" t="s">
        <v>30907</v>
      </c>
      <c r="H3951" t="s">
        <v>30916</v>
      </c>
      <c r="I3951" t="s">
        <v>30923</v>
      </c>
      <c r="J3951" t="s">
        <v>31105</v>
      </c>
      <c r="K3951" t="s">
        <v>40286</v>
      </c>
      <c r="M3951" t="s">
        <v>41282</v>
      </c>
      <c r="N3951" t="s">
        <v>44759</v>
      </c>
      <c r="O3951" t="s">
        <v>44760</v>
      </c>
      <c r="P3951">
        <v>0</v>
      </c>
      <c r="Q3951">
        <v>1</v>
      </c>
      <c r="R3951" t="s">
        <v>44762</v>
      </c>
      <c r="S3951" t="s">
        <v>44863</v>
      </c>
      <c r="T3951" t="s">
        <v>46362</v>
      </c>
      <c r="U3951" t="s">
        <v>48206</v>
      </c>
      <c r="V3951" t="s">
        <v>59288</v>
      </c>
      <c r="W3951" t="s">
        <v>41282</v>
      </c>
      <c r="X3951" t="s">
        <v>44763</v>
      </c>
    </row>
    <row r="3952" spans="1:24">
      <c r="A3952">
        <f>HYPERLINK("https://www.philgeps.gov.ph/GEPSNONPILOT/Tender/SplashBidNoticeAbstractUI.aspx?menuIndex=3&amp;refID=7150590&amp;Result=3","7150590")</f>
        <v>0</v>
      </c>
      <c r="B3952" t="s">
        <v>736</v>
      </c>
      <c r="C3952" t="s">
        <v>7512</v>
      </c>
      <c r="D3952" t="s">
        <v>18013</v>
      </c>
      <c r="E3952" t="s">
        <v>21595</v>
      </c>
      <c r="F3952" t="s">
        <v>30900</v>
      </c>
      <c r="G3952" t="s">
        <v>30907</v>
      </c>
      <c r="H3952" t="s">
        <v>30915</v>
      </c>
      <c r="I3952" t="s">
        <v>30919</v>
      </c>
      <c r="J3952" t="s">
        <v>33770</v>
      </c>
      <c r="K3952" t="s">
        <v>40380</v>
      </c>
      <c r="M3952" t="s">
        <v>41300</v>
      </c>
      <c r="N3952" t="s">
        <v>44759</v>
      </c>
      <c r="O3952" t="s">
        <v>44760</v>
      </c>
      <c r="P3952">
        <v>0</v>
      </c>
      <c r="Q3952">
        <v>0</v>
      </c>
      <c r="R3952" t="s">
        <v>44762</v>
      </c>
      <c r="S3952" t="s">
        <v>44863</v>
      </c>
      <c r="T3952" t="s">
        <v>46394</v>
      </c>
      <c r="U3952" t="s">
        <v>50268</v>
      </c>
      <c r="W3952" t="s">
        <v>41300</v>
      </c>
      <c r="X3952" t="s">
        <v>44763</v>
      </c>
    </row>
    <row r="3953" spans="1:24">
      <c r="A3953">
        <f>HYPERLINK("https://www.philgeps.gov.ph/GEPSNONPILOT/Tender/SplashBidNoticeAbstractUI.aspx?menuIndex=3&amp;refID=7150589&amp;Result=3","7150589")</f>
        <v>0</v>
      </c>
      <c r="B3953" t="s">
        <v>1569</v>
      </c>
      <c r="C3953" t="s">
        <v>7513</v>
      </c>
      <c r="D3953" t="s">
        <v>17971</v>
      </c>
      <c r="E3953" t="s">
        <v>21596</v>
      </c>
      <c r="F3953" t="s">
        <v>30900</v>
      </c>
      <c r="G3953" t="s">
        <v>30908</v>
      </c>
      <c r="H3953" t="s">
        <v>30916</v>
      </c>
      <c r="I3953" t="s">
        <v>30922</v>
      </c>
      <c r="J3953" t="s">
        <v>33771</v>
      </c>
      <c r="K3953" t="s">
        <v>40289</v>
      </c>
      <c r="M3953" t="s">
        <v>42217</v>
      </c>
      <c r="N3953" t="s">
        <v>44759</v>
      </c>
      <c r="O3953" t="s">
        <v>44760</v>
      </c>
      <c r="P3953">
        <v>0</v>
      </c>
      <c r="Q3953">
        <v>5</v>
      </c>
      <c r="R3953" t="s">
        <v>44762</v>
      </c>
      <c r="S3953" t="s">
        <v>44863</v>
      </c>
      <c r="T3953" t="s">
        <v>46410</v>
      </c>
      <c r="U3953" t="s">
        <v>50269</v>
      </c>
      <c r="W3953" t="s">
        <v>42217</v>
      </c>
      <c r="X3953" t="s">
        <v>44763</v>
      </c>
    </row>
    <row r="3954" spans="1:24">
      <c r="A3954">
        <f>HYPERLINK("https://www.philgeps.gov.ph/GEPSNONPILOT/Tender/SplashBidNoticeAbstractUI.aspx?menuIndex=3&amp;refID=7150574&amp;Result=3","7150574")</f>
        <v>0</v>
      </c>
      <c r="B3954" t="s">
        <v>1512</v>
      </c>
      <c r="C3954" t="s">
        <v>7514</v>
      </c>
      <c r="D3954" t="s">
        <v>17963</v>
      </c>
      <c r="E3954" t="s">
        <v>21597</v>
      </c>
      <c r="F3954" t="s">
        <v>30900</v>
      </c>
      <c r="G3954" t="s">
        <v>30907</v>
      </c>
      <c r="H3954" t="s">
        <v>30915</v>
      </c>
      <c r="I3954" t="s">
        <v>30919</v>
      </c>
      <c r="J3954" t="s">
        <v>33772</v>
      </c>
      <c r="K3954" t="s">
        <v>40301</v>
      </c>
      <c r="L3954" t="s">
        <v>1512</v>
      </c>
      <c r="M3954" t="s">
        <v>42153</v>
      </c>
      <c r="N3954" t="s">
        <v>44759</v>
      </c>
      <c r="O3954" t="s">
        <v>44760</v>
      </c>
      <c r="P3954">
        <v>0</v>
      </c>
      <c r="Q3954">
        <v>1</v>
      </c>
      <c r="R3954" t="s">
        <v>44762</v>
      </c>
      <c r="S3954" t="s">
        <v>44863</v>
      </c>
      <c r="T3954" t="s">
        <v>46475</v>
      </c>
      <c r="U3954" t="s">
        <v>50072</v>
      </c>
      <c r="W3954" t="s">
        <v>42153</v>
      </c>
      <c r="X3954" t="s">
        <v>44763</v>
      </c>
    </row>
    <row r="3955" spans="1:24">
      <c r="A3955">
        <f>HYPERLINK("https://www.philgeps.gov.ph/GEPSNONPILOT/Tender/SplashBidNoticeAbstractUI.aspx?menuIndex=3&amp;refID=7150606&amp;Result=3","7150606")</f>
        <v>0</v>
      </c>
      <c r="B3955" t="s">
        <v>624</v>
      </c>
      <c r="C3955" t="s">
        <v>7515</v>
      </c>
      <c r="D3955" t="s">
        <v>17977</v>
      </c>
      <c r="E3955" t="s">
        <v>21598</v>
      </c>
      <c r="F3955" t="s">
        <v>30900</v>
      </c>
      <c r="G3955" t="s">
        <v>30908</v>
      </c>
      <c r="H3955" t="s">
        <v>30916</v>
      </c>
      <c r="I3955" t="s">
        <v>30927</v>
      </c>
      <c r="J3955" t="s">
        <v>33773</v>
      </c>
      <c r="K3955" t="s">
        <v>40289</v>
      </c>
      <c r="M3955" t="s">
        <v>41186</v>
      </c>
      <c r="N3955" t="s">
        <v>44759</v>
      </c>
      <c r="O3955" t="s">
        <v>44760</v>
      </c>
      <c r="P3955">
        <v>0</v>
      </c>
      <c r="Q3955">
        <v>0</v>
      </c>
      <c r="R3955" t="s">
        <v>44762</v>
      </c>
      <c r="S3955" t="s">
        <v>44863</v>
      </c>
      <c r="T3955" t="s">
        <v>46351</v>
      </c>
      <c r="U3955" t="s">
        <v>48040</v>
      </c>
      <c r="W3955" t="s">
        <v>41186</v>
      </c>
      <c r="X3955" t="s">
        <v>44763</v>
      </c>
    </row>
    <row r="3956" spans="1:24">
      <c r="A3956">
        <f>HYPERLINK("https://www.philgeps.gov.ph/GEPSNONPILOT/Tender/SplashBidNoticeAbstractUI.aspx?menuIndex=3&amp;refID=7150600&amp;Result=3","7150600")</f>
        <v>0</v>
      </c>
      <c r="B3956" t="s">
        <v>859</v>
      </c>
      <c r="C3956" t="s">
        <v>7516</v>
      </c>
      <c r="D3956" t="s">
        <v>17969</v>
      </c>
      <c r="E3956" t="s">
        <v>21599</v>
      </c>
      <c r="F3956" t="s">
        <v>30900</v>
      </c>
      <c r="G3956" t="s">
        <v>30908</v>
      </c>
      <c r="H3956" t="s">
        <v>30916</v>
      </c>
      <c r="I3956" t="s">
        <v>30923</v>
      </c>
      <c r="J3956" t="s">
        <v>33774</v>
      </c>
      <c r="K3956" t="s">
        <v>40286</v>
      </c>
      <c r="M3956" t="s">
        <v>41432</v>
      </c>
      <c r="N3956" t="s">
        <v>44759</v>
      </c>
      <c r="O3956" t="s">
        <v>44760</v>
      </c>
      <c r="P3956">
        <v>0</v>
      </c>
      <c r="Q3956">
        <v>2</v>
      </c>
      <c r="R3956" t="s">
        <v>44762</v>
      </c>
      <c r="S3956" t="s">
        <v>44863</v>
      </c>
      <c r="T3956" t="s">
        <v>46363</v>
      </c>
      <c r="U3956" t="s">
        <v>50270</v>
      </c>
      <c r="W3956" t="s">
        <v>41432</v>
      </c>
      <c r="X3956" t="s">
        <v>44763</v>
      </c>
    </row>
    <row r="3957" spans="1:24">
      <c r="A3957">
        <f>HYPERLINK("https://www.philgeps.gov.ph/GEPSNONPILOT/Tender/SplashBidNoticeAbstractUI.aspx?menuIndex=3&amp;refID=7150591&amp;Result=3","7150591")</f>
        <v>0</v>
      </c>
      <c r="B3957" t="s">
        <v>1324</v>
      </c>
      <c r="C3957" t="s">
        <v>7517</v>
      </c>
      <c r="D3957" t="s">
        <v>17969</v>
      </c>
      <c r="E3957" t="s">
        <v>21600</v>
      </c>
      <c r="F3957" t="s">
        <v>30900</v>
      </c>
      <c r="G3957" t="s">
        <v>30908</v>
      </c>
      <c r="H3957" t="s">
        <v>30916</v>
      </c>
      <c r="I3957" t="s">
        <v>4545</v>
      </c>
      <c r="J3957" t="s">
        <v>31182</v>
      </c>
      <c r="K3957" t="s">
        <v>40286</v>
      </c>
      <c r="M3957" t="s">
        <v>41943</v>
      </c>
      <c r="N3957" t="s">
        <v>44759</v>
      </c>
      <c r="O3957" t="s">
        <v>44760</v>
      </c>
      <c r="P3957">
        <v>0</v>
      </c>
      <c r="Q3957">
        <v>2</v>
      </c>
      <c r="R3957" t="s">
        <v>44762</v>
      </c>
      <c r="S3957" t="s">
        <v>44863</v>
      </c>
      <c r="T3957" t="s">
        <v>46362</v>
      </c>
      <c r="U3957" t="s">
        <v>50271</v>
      </c>
      <c r="W3957" t="s">
        <v>41943</v>
      </c>
      <c r="X3957" t="s">
        <v>44763</v>
      </c>
    </row>
    <row r="3958" spans="1:24">
      <c r="A3958">
        <f>HYPERLINK("https://www.philgeps.gov.ph/GEPSNONPILOT/Tender/SplashBidNoticeAbstractUI.aspx?menuIndex=3&amp;refID=7150633&amp;Result=3","7150633")</f>
        <v>0</v>
      </c>
      <c r="B3958" t="s">
        <v>1339</v>
      </c>
      <c r="C3958" t="s">
        <v>7518</v>
      </c>
      <c r="D3958" t="s">
        <v>18001</v>
      </c>
      <c r="E3958" t="s">
        <v>21601</v>
      </c>
      <c r="F3958" t="s">
        <v>30900</v>
      </c>
      <c r="G3958" t="s">
        <v>30908</v>
      </c>
      <c r="H3958" t="s">
        <v>30916</v>
      </c>
      <c r="I3958" t="s">
        <v>30924</v>
      </c>
      <c r="J3958" t="s">
        <v>33775</v>
      </c>
      <c r="K3958" t="s">
        <v>40287</v>
      </c>
      <c r="M3958" t="s">
        <v>41960</v>
      </c>
      <c r="N3958" t="s">
        <v>44759</v>
      </c>
      <c r="O3958" t="s">
        <v>44760</v>
      </c>
      <c r="P3958">
        <v>0</v>
      </c>
      <c r="Q3958">
        <v>1</v>
      </c>
      <c r="R3958" t="s">
        <v>44762</v>
      </c>
      <c r="S3958" t="s">
        <v>44863</v>
      </c>
      <c r="T3958" t="s">
        <v>46383</v>
      </c>
      <c r="U3958" t="s">
        <v>50272</v>
      </c>
      <c r="W3958" t="s">
        <v>41960</v>
      </c>
      <c r="X3958" t="s">
        <v>44763</v>
      </c>
    </row>
    <row r="3959" spans="1:24">
      <c r="A3959">
        <f>HYPERLINK("https://www.philgeps.gov.ph/GEPSNONPILOT/Tender/SplashBidNoticeAbstractUI.aspx?menuIndex=3&amp;refID=7150630&amp;Result=3","7150630")</f>
        <v>0</v>
      </c>
      <c r="B3959" t="s">
        <v>708</v>
      </c>
      <c r="C3959" t="s">
        <v>7519</v>
      </c>
      <c r="E3959" t="s">
        <v>21602</v>
      </c>
      <c r="F3959" t="s">
        <v>30900</v>
      </c>
      <c r="G3959" t="s">
        <v>30907</v>
      </c>
      <c r="H3959" t="s">
        <v>30915</v>
      </c>
      <c r="I3959" t="s">
        <v>30919</v>
      </c>
      <c r="J3959" t="s">
        <v>33776</v>
      </c>
      <c r="K3959" t="s">
        <v>40289</v>
      </c>
      <c r="M3959" t="s">
        <v>41272</v>
      </c>
      <c r="N3959" t="s">
        <v>44759</v>
      </c>
      <c r="O3959" t="s">
        <v>44760</v>
      </c>
      <c r="P3959">
        <v>0</v>
      </c>
      <c r="Q3959">
        <v>2</v>
      </c>
      <c r="R3959" t="s">
        <v>44762</v>
      </c>
      <c r="S3959" t="s">
        <v>44863</v>
      </c>
      <c r="T3959" t="s">
        <v>46529</v>
      </c>
      <c r="U3959" t="s">
        <v>50273</v>
      </c>
      <c r="W3959" t="s">
        <v>41272</v>
      </c>
      <c r="X3959" t="s">
        <v>44763</v>
      </c>
    </row>
    <row r="3960" spans="1:24">
      <c r="A3960">
        <f>HYPERLINK("https://www.philgeps.gov.ph/GEPSNONPILOT/Tender/SplashBidNoticeAbstractUI.aspx?menuIndex=3&amp;refID=7150588&amp;Result=3","7150588")</f>
        <v>0</v>
      </c>
      <c r="B3960" t="s">
        <v>1570</v>
      </c>
      <c r="C3960" t="s">
        <v>5458</v>
      </c>
      <c r="E3960" t="s">
        <v>21603</v>
      </c>
      <c r="F3960" t="s">
        <v>30900</v>
      </c>
      <c r="G3960" t="s">
        <v>30907</v>
      </c>
      <c r="H3960" t="s">
        <v>30915</v>
      </c>
      <c r="I3960" t="s">
        <v>30919</v>
      </c>
      <c r="J3960" t="s">
        <v>31288</v>
      </c>
      <c r="K3960" t="s">
        <v>40289</v>
      </c>
      <c r="M3960" t="s">
        <v>42218</v>
      </c>
      <c r="N3960" t="s">
        <v>44759</v>
      </c>
      <c r="O3960" t="s">
        <v>44760</v>
      </c>
      <c r="P3960">
        <v>0</v>
      </c>
      <c r="Q3960">
        <v>0</v>
      </c>
      <c r="R3960" t="s">
        <v>44762</v>
      </c>
      <c r="S3960" t="s">
        <v>44863</v>
      </c>
      <c r="T3960" t="s">
        <v>46463</v>
      </c>
      <c r="U3960" t="s">
        <v>50274</v>
      </c>
      <c r="W3960" t="s">
        <v>42218</v>
      </c>
      <c r="X3960" t="s">
        <v>44763</v>
      </c>
    </row>
    <row r="3961" spans="1:24">
      <c r="A3961">
        <f>HYPERLINK("https://www.philgeps.gov.ph/GEPSNONPILOT/Tender/SplashBidNoticeAbstractUI.aspx?menuIndex=3&amp;refID=7150597&amp;Result=3","7150597")</f>
        <v>0</v>
      </c>
      <c r="B3961" t="s">
        <v>1394</v>
      </c>
      <c r="C3961" t="s">
        <v>7520</v>
      </c>
      <c r="D3961" t="s">
        <v>17971</v>
      </c>
      <c r="E3961" t="s">
        <v>18169</v>
      </c>
      <c r="F3961" t="s">
        <v>30900</v>
      </c>
      <c r="G3961" t="s">
        <v>30909</v>
      </c>
      <c r="H3961" t="s">
        <v>30916</v>
      </c>
      <c r="I3961" t="s">
        <v>4142</v>
      </c>
      <c r="J3961" t="s">
        <v>31423</v>
      </c>
      <c r="K3961" t="s">
        <v>40287</v>
      </c>
      <c r="M3961" t="s">
        <v>42020</v>
      </c>
      <c r="N3961" t="s">
        <v>44759</v>
      </c>
      <c r="O3961" t="s">
        <v>44760</v>
      </c>
      <c r="P3961">
        <v>0</v>
      </c>
      <c r="Q3961">
        <v>0</v>
      </c>
      <c r="R3961" t="s">
        <v>44762</v>
      </c>
      <c r="S3961" t="s">
        <v>44863</v>
      </c>
      <c r="T3961" t="s">
        <v>46400</v>
      </c>
      <c r="U3961" t="s">
        <v>50275</v>
      </c>
      <c r="W3961" t="s">
        <v>42020</v>
      </c>
      <c r="X3961" t="s">
        <v>44763</v>
      </c>
    </row>
    <row r="3962" spans="1:24">
      <c r="A3962">
        <f>HYPERLINK("https://www.philgeps.gov.ph/GEPSNONPILOT/Tender/SplashBidNoticeAbstractUI.aspx?menuIndex=3&amp;refID=7150628&amp;Result=3","7150628")</f>
        <v>0</v>
      </c>
      <c r="B3962" t="s">
        <v>711</v>
      </c>
      <c r="C3962" t="s">
        <v>7521</v>
      </c>
      <c r="D3962" t="s">
        <v>17953</v>
      </c>
      <c r="E3962" t="s">
        <v>21604</v>
      </c>
      <c r="F3962" t="s">
        <v>30900</v>
      </c>
      <c r="G3962" t="s">
        <v>30908</v>
      </c>
      <c r="H3962" t="s">
        <v>30916</v>
      </c>
      <c r="I3962" t="s">
        <v>30921</v>
      </c>
      <c r="J3962" t="s">
        <v>31490</v>
      </c>
      <c r="K3962" t="s">
        <v>40286</v>
      </c>
      <c r="M3962" t="s">
        <v>41275</v>
      </c>
      <c r="N3962" t="s">
        <v>44759</v>
      </c>
      <c r="O3962" t="s">
        <v>44760</v>
      </c>
      <c r="P3962">
        <v>0</v>
      </c>
      <c r="Q3962">
        <v>3</v>
      </c>
      <c r="R3962" t="s">
        <v>44762</v>
      </c>
      <c r="S3962" t="s">
        <v>44863</v>
      </c>
      <c r="T3962" t="s">
        <v>46414</v>
      </c>
      <c r="U3962" t="s">
        <v>50276</v>
      </c>
      <c r="V3962" t="s">
        <v>59286</v>
      </c>
      <c r="W3962" t="s">
        <v>41275</v>
      </c>
      <c r="X3962" t="s">
        <v>44763</v>
      </c>
    </row>
    <row r="3963" spans="1:24">
      <c r="A3963">
        <f>HYPERLINK("https://www.philgeps.gov.ph/GEPSNONPILOT/Tender/SplashBidNoticeAbstractUI.aspx?menuIndex=3&amp;refID=7150627&amp;Result=3","7150627")</f>
        <v>0</v>
      </c>
      <c r="B3963" t="s">
        <v>1568</v>
      </c>
      <c r="C3963" t="s">
        <v>7522</v>
      </c>
      <c r="D3963" t="s">
        <v>17953</v>
      </c>
      <c r="E3963" t="s">
        <v>21605</v>
      </c>
      <c r="F3963" t="s">
        <v>30900</v>
      </c>
      <c r="G3963" t="s">
        <v>30908</v>
      </c>
      <c r="H3963" t="s">
        <v>30916</v>
      </c>
      <c r="I3963" t="s">
        <v>6396</v>
      </c>
      <c r="J3963" t="s">
        <v>33777</v>
      </c>
      <c r="K3963" t="s">
        <v>40284</v>
      </c>
      <c r="M3963" t="s">
        <v>42216</v>
      </c>
      <c r="N3963" t="s">
        <v>44759</v>
      </c>
      <c r="O3963" t="s">
        <v>44760</v>
      </c>
      <c r="P3963">
        <v>0</v>
      </c>
      <c r="Q3963">
        <v>1</v>
      </c>
      <c r="R3963" t="s">
        <v>44762</v>
      </c>
      <c r="S3963" t="s">
        <v>44863</v>
      </c>
      <c r="T3963" t="s">
        <v>46398</v>
      </c>
      <c r="U3963" t="s">
        <v>50277</v>
      </c>
      <c r="V3963" t="s">
        <v>59557</v>
      </c>
      <c r="W3963" t="s">
        <v>42216</v>
      </c>
      <c r="X3963" t="s">
        <v>44763</v>
      </c>
    </row>
    <row r="3964" spans="1:24">
      <c r="A3964">
        <f>HYPERLINK("https://www.philgeps.gov.ph/GEPSNONPILOT/Tender/SplashBidNoticeAbstractUI.aspx?menuIndex=3&amp;refID=7150626&amp;Result=3","7150626")</f>
        <v>0</v>
      </c>
      <c r="B3964" t="s">
        <v>1571</v>
      </c>
      <c r="C3964" t="s">
        <v>7523</v>
      </c>
      <c r="D3964" t="s">
        <v>17960</v>
      </c>
      <c r="E3964" t="s">
        <v>21606</v>
      </c>
      <c r="F3964" t="s">
        <v>30900</v>
      </c>
      <c r="G3964" t="s">
        <v>30909</v>
      </c>
      <c r="H3964" t="s">
        <v>30916</v>
      </c>
      <c r="I3964" t="s">
        <v>30939</v>
      </c>
      <c r="J3964" t="s">
        <v>31298</v>
      </c>
      <c r="K3964" t="s">
        <v>40291</v>
      </c>
      <c r="L3964" t="s">
        <v>1571</v>
      </c>
      <c r="M3964" t="s">
        <v>42219</v>
      </c>
      <c r="N3964" t="s">
        <v>44759</v>
      </c>
      <c r="O3964" t="s">
        <v>44760</v>
      </c>
      <c r="P3964">
        <v>0</v>
      </c>
      <c r="Q3964">
        <v>0</v>
      </c>
      <c r="R3964" t="s">
        <v>44762</v>
      </c>
      <c r="S3964" t="s">
        <v>44863</v>
      </c>
      <c r="T3964" t="s">
        <v>46383</v>
      </c>
      <c r="U3964" t="s">
        <v>50278</v>
      </c>
      <c r="W3964" t="s">
        <v>42219</v>
      </c>
      <c r="X3964" t="s">
        <v>44763</v>
      </c>
    </row>
    <row r="3965" spans="1:24">
      <c r="A3965">
        <f>HYPERLINK("https://www.philgeps.gov.ph/GEPSNONPILOT/Tender/SplashBidNoticeAbstractUI.aspx?menuIndex=3&amp;refID=7150625&amp;Result=3","7150625")</f>
        <v>0</v>
      </c>
      <c r="B3965" t="s">
        <v>1572</v>
      </c>
      <c r="C3965" t="s">
        <v>7524</v>
      </c>
      <c r="E3965" t="s">
        <v>21607</v>
      </c>
      <c r="F3965" t="s">
        <v>30900</v>
      </c>
      <c r="G3965" t="s">
        <v>30907</v>
      </c>
      <c r="H3965" t="s">
        <v>30915</v>
      </c>
      <c r="I3965" t="s">
        <v>30919</v>
      </c>
      <c r="J3965" t="s">
        <v>33778</v>
      </c>
      <c r="K3965" t="s">
        <v>40394</v>
      </c>
      <c r="M3965" t="s">
        <v>42220</v>
      </c>
      <c r="N3965" t="s">
        <v>44759</v>
      </c>
      <c r="O3965" t="s">
        <v>44760</v>
      </c>
      <c r="Q3965">
        <v>3</v>
      </c>
      <c r="R3965" t="s">
        <v>44762</v>
      </c>
      <c r="S3965" t="s">
        <v>44883</v>
      </c>
      <c r="T3965" t="s">
        <v>46456</v>
      </c>
      <c r="U3965" t="s">
        <v>50279</v>
      </c>
      <c r="W3965" t="s">
        <v>42220</v>
      </c>
      <c r="X3965" t="s">
        <v>44763</v>
      </c>
    </row>
    <row r="3966" spans="1:24">
      <c r="A3966">
        <f>HYPERLINK("https://www.philgeps.gov.ph/GEPSNONPILOT/Tender/SplashBidNoticeAbstractUI.aspx?menuIndex=3&amp;refID=7150623&amp;Result=3","7150623")</f>
        <v>0</v>
      </c>
      <c r="B3966" t="s">
        <v>488</v>
      </c>
      <c r="C3966" t="s">
        <v>7525</v>
      </c>
      <c r="D3966" t="s">
        <v>17985</v>
      </c>
      <c r="E3966" t="s">
        <v>21608</v>
      </c>
      <c r="F3966" t="s">
        <v>30900</v>
      </c>
      <c r="G3966" t="s">
        <v>30907</v>
      </c>
      <c r="H3966" t="s">
        <v>30916</v>
      </c>
      <c r="I3966" t="s">
        <v>8123</v>
      </c>
      <c r="J3966" t="s">
        <v>33779</v>
      </c>
      <c r="K3966" t="s">
        <v>40286</v>
      </c>
      <c r="M3966" t="s">
        <v>41046</v>
      </c>
      <c r="N3966" t="s">
        <v>44759</v>
      </c>
      <c r="O3966" t="s">
        <v>44760</v>
      </c>
      <c r="P3966">
        <v>0</v>
      </c>
      <c r="Q3966">
        <v>0</v>
      </c>
      <c r="R3966" t="s">
        <v>44762</v>
      </c>
      <c r="S3966" t="s">
        <v>44863</v>
      </c>
      <c r="T3966" t="s">
        <v>46404</v>
      </c>
      <c r="U3966" t="s">
        <v>48733</v>
      </c>
      <c r="W3966" t="s">
        <v>41046</v>
      </c>
      <c r="X3966" t="s">
        <v>44763</v>
      </c>
    </row>
    <row r="3967" spans="1:24">
      <c r="A3967">
        <f>HYPERLINK("https://www.philgeps.gov.ph/GEPSNONPILOT/Tender/SplashBidNoticeAbstractUI.aspx?menuIndex=3&amp;refID=7150621&amp;Result=3","7150621")</f>
        <v>0</v>
      </c>
      <c r="B3967" t="s">
        <v>762</v>
      </c>
      <c r="C3967" t="s">
        <v>7526</v>
      </c>
      <c r="D3967" t="s">
        <v>18013</v>
      </c>
      <c r="E3967" t="s">
        <v>21609</v>
      </c>
      <c r="F3967" t="s">
        <v>30900</v>
      </c>
      <c r="G3967" t="s">
        <v>30908</v>
      </c>
      <c r="H3967" t="s">
        <v>30916</v>
      </c>
      <c r="I3967" t="s">
        <v>30923</v>
      </c>
      <c r="J3967" t="s">
        <v>33780</v>
      </c>
      <c r="K3967" t="s">
        <v>40280</v>
      </c>
      <c r="M3967" t="s">
        <v>41328</v>
      </c>
      <c r="N3967" t="s">
        <v>44759</v>
      </c>
      <c r="O3967" t="s">
        <v>44760</v>
      </c>
      <c r="P3967">
        <v>0</v>
      </c>
      <c r="Q3967">
        <v>3</v>
      </c>
      <c r="R3967" t="s">
        <v>44762</v>
      </c>
      <c r="S3967" t="s">
        <v>44863</v>
      </c>
      <c r="T3967" t="s">
        <v>46414</v>
      </c>
      <c r="U3967" t="s">
        <v>48274</v>
      </c>
      <c r="W3967" t="s">
        <v>41328</v>
      </c>
      <c r="X3967" t="s">
        <v>44763</v>
      </c>
    </row>
    <row r="3968" spans="1:24">
      <c r="A3968">
        <f>HYPERLINK("https://www.philgeps.gov.ph/GEPSNONPILOT/Tender/SplashBidNoticeAbstractUI.aspx?menuIndex=3&amp;refID=7150620&amp;Result=3","7150620")</f>
        <v>0</v>
      </c>
      <c r="B3968" t="s">
        <v>178</v>
      </c>
      <c r="C3968" t="s">
        <v>7527</v>
      </c>
      <c r="D3968" t="s">
        <v>17959</v>
      </c>
      <c r="E3968" t="s">
        <v>21610</v>
      </c>
      <c r="F3968" t="s">
        <v>30900</v>
      </c>
      <c r="G3968" t="s">
        <v>30907</v>
      </c>
      <c r="H3968" t="s">
        <v>30916</v>
      </c>
      <c r="I3968" t="s">
        <v>30921</v>
      </c>
      <c r="J3968" t="s">
        <v>33781</v>
      </c>
      <c r="K3968" t="s">
        <v>40289</v>
      </c>
      <c r="M3968" t="s">
        <v>40725</v>
      </c>
      <c r="N3968" t="s">
        <v>44759</v>
      </c>
      <c r="O3968" t="s">
        <v>44760</v>
      </c>
      <c r="P3968">
        <v>0</v>
      </c>
      <c r="Q3968">
        <v>10</v>
      </c>
      <c r="R3968" t="s">
        <v>44762</v>
      </c>
      <c r="S3968" t="s">
        <v>44863</v>
      </c>
      <c r="T3968" t="s">
        <v>46405</v>
      </c>
      <c r="U3968" t="s">
        <v>50280</v>
      </c>
      <c r="W3968" t="s">
        <v>40725</v>
      </c>
      <c r="X3968" t="s">
        <v>44763</v>
      </c>
    </row>
    <row r="3969" spans="1:24">
      <c r="A3969">
        <f>HYPERLINK("https://www.philgeps.gov.ph/GEPSNONPILOT/Tender/SplashBidNoticeAbstractUI.aspx?menuIndex=3&amp;refID=7150631&amp;Result=3","7150631")</f>
        <v>0</v>
      </c>
      <c r="B3969" t="s">
        <v>771</v>
      </c>
      <c r="C3969" t="s">
        <v>7528</v>
      </c>
      <c r="D3969" t="s">
        <v>17981</v>
      </c>
      <c r="E3969" t="s">
        <v>21611</v>
      </c>
      <c r="F3969" t="s">
        <v>30900</v>
      </c>
      <c r="G3969" t="s">
        <v>30908</v>
      </c>
      <c r="H3969" t="s">
        <v>30916</v>
      </c>
      <c r="I3969" t="s">
        <v>6396</v>
      </c>
      <c r="J3969" t="s">
        <v>33782</v>
      </c>
      <c r="K3969" t="s">
        <v>40289</v>
      </c>
      <c r="M3969" t="s">
        <v>41337</v>
      </c>
      <c r="N3969" t="s">
        <v>44759</v>
      </c>
      <c r="O3969" t="s">
        <v>44760</v>
      </c>
      <c r="P3969">
        <v>0</v>
      </c>
      <c r="Q3969">
        <v>2</v>
      </c>
      <c r="R3969" t="s">
        <v>44762</v>
      </c>
      <c r="S3969" t="s">
        <v>44863</v>
      </c>
      <c r="T3969" t="s">
        <v>46383</v>
      </c>
      <c r="U3969" t="s">
        <v>47009</v>
      </c>
      <c r="W3969" t="s">
        <v>41337</v>
      </c>
      <c r="X3969" t="s">
        <v>44763</v>
      </c>
    </row>
    <row r="3970" spans="1:24">
      <c r="A3970">
        <f>HYPERLINK("https://www.philgeps.gov.ph/GEPSNONPILOT/Tender/SplashBidNoticeAbstractUI.aspx?menuIndex=3&amp;refID=7150617&amp;Result=3","7150617")</f>
        <v>0</v>
      </c>
      <c r="B3970" t="s">
        <v>725</v>
      </c>
      <c r="C3970" t="s">
        <v>7529</v>
      </c>
      <c r="D3970" t="s">
        <v>18004</v>
      </c>
      <c r="E3970" t="s">
        <v>21612</v>
      </c>
      <c r="F3970" t="s">
        <v>30900</v>
      </c>
      <c r="G3970" t="s">
        <v>30907</v>
      </c>
      <c r="H3970" t="s">
        <v>30916</v>
      </c>
      <c r="I3970" t="s">
        <v>8044</v>
      </c>
      <c r="J3970" t="s">
        <v>33783</v>
      </c>
      <c r="K3970" t="s">
        <v>40284</v>
      </c>
      <c r="M3970" t="s">
        <v>41289</v>
      </c>
      <c r="N3970" t="s">
        <v>44759</v>
      </c>
      <c r="O3970" t="s">
        <v>44760</v>
      </c>
      <c r="P3970">
        <v>0</v>
      </c>
      <c r="Q3970">
        <v>0</v>
      </c>
      <c r="R3970" t="s">
        <v>44762</v>
      </c>
      <c r="S3970" t="s">
        <v>44863</v>
      </c>
      <c r="T3970" t="s">
        <v>46532</v>
      </c>
      <c r="U3970" t="s">
        <v>48295</v>
      </c>
      <c r="W3970" t="s">
        <v>41289</v>
      </c>
      <c r="X3970" t="s">
        <v>44763</v>
      </c>
    </row>
    <row r="3971" spans="1:24">
      <c r="A3971">
        <f>HYPERLINK("https://www.philgeps.gov.ph/GEPSNONPILOT/Tender/SplashBidNoticeAbstractUI.aspx?menuIndex=3&amp;refID=7150604&amp;Result=3","7150604")</f>
        <v>0</v>
      </c>
      <c r="B3971" t="s">
        <v>726</v>
      </c>
      <c r="C3971" t="s">
        <v>7530</v>
      </c>
      <c r="D3971" t="s">
        <v>18016</v>
      </c>
      <c r="E3971" t="s">
        <v>21613</v>
      </c>
      <c r="F3971" t="s">
        <v>30900</v>
      </c>
      <c r="G3971" t="s">
        <v>30907</v>
      </c>
      <c r="H3971" t="s">
        <v>30916</v>
      </c>
      <c r="I3971" t="s">
        <v>4108</v>
      </c>
      <c r="J3971" t="s">
        <v>31247</v>
      </c>
      <c r="K3971" t="s">
        <v>40286</v>
      </c>
      <c r="M3971" t="s">
        <v>41290</v>
      </c>
      <c r="N3971" t="s">
        <v>44759</v>
      </c>
      <c r="O3971" t="s">
        <v>44760</v>
      </c>
      <c r="P3971">
        <v>0</v>
      </c>
      <c r="Q3971">
        <v>0</v>
      </c>
      <c r="R3971" t="s">
        <v>44762</v>
      </c>
      <c r="S3971" t="s">
        <v>44863</v>
      </c>
      <c r="T3971" t="s">
        <v>46389</v>
      </c>
      <c r="U3971" t="s">
        <v>50281</v>
      </c>
      <c r="W3971" t="s">
        <v>41290</v>
      </c>
      <c r="X3971" t="s">
        <v>44763</v>
      </c>
    </row>
    <row r="3972" spans="1:24">
      <c r="A3972">
        <f>HYPERLINK("https://www.philgeps.gov.ph/GEPSNONPILOT/Tender/SplashBidNoticeAbstractUI.aspx?menuIndex=3&amp;refID=7150616&amp;Result=3","7150616")</f>
        <v>0</v>
      </c>
      <c r="B3972" t="s">
        <v>753</v>
      </c>
      <c r="C3972" t="s">
        <v>7531</v>
      </c>
      <c r="D3972" t="s">
        <v>17976</v>
      </c>
      <c r="E3972" t="s">
        <v>21614</v>
      </c>
      <c r="F3972" t="s">
        <v>30900</v>
      </c>
      <c r="G3972" t="s">
        <v>30908</v>
      </c>
      <c r="H3972" t="s">
        <v>30916</v>
      </c>
      <c r="I3972" t="s">
        <v>4142</v>
      </c>
      <c r="J3972" t="s">
        <v>31614</v>
      </c>
      <c r="K3972" t="s">
        <v>40284</v>
      </c>
      <c r="L3972" t="s">
        <v>753</v>
      </c>
      <c r="M3972" t="s">
        <v>41317</v>
      </c>
      <c r="N3972" t="s">
        <v>44759</v>
      </c>
      <c r="O3972" t="s">
        <v>44760</v>
      </c>
      <c r="P3972">
        <v>0</v>
      </c>
      <c r="Q3972">
        <v>1</v>
      </c>
      <c r="R3972" t="s">
        <v>44762</v>
      </c>
      <c r="S3972" t="s">
        <v>44863</v>
      </c>
      <c r="T3972" t="s">
        <v>46379</v>
      </c>
      <c r="U3972" t="s">
        <v>48259</v>
      </c>
      <c r="V3972" t="s">
        <v>59527</v>
      </c>
      <c r="W3972" t="s">
        <v>41317</v>
      </c>
      <c r="X3972" t="s">
        <v>44763</v>
      </c>
    </row>
    <row r="3973" spans="1:24">
      <c r="A3973">
        <f>HYPERLINK("https://www.philgeps.gov.ph/GEPSNONPILOT/Tender/SplashBidNoticeAbstractUI.aspx?menuIndex=3&amp;refID=7150611&amp;Result=3","7150611")</f>
        <v>0</v>
      </c>
      <c r="B3973" t="s">
        <v>301</v>
      </c>
      <c r="C3973" t="s">
        <v>7532</v>
      </c>
      <c r="D3973" t="s">
        <v>17988</v>
      </c>
      <c r="E3973" t="s">
        <v>21615</v>
      </c>
      <c r="F3973" t="s">
        <v>30900</v>
      </c>
      <c r="G3973" t="s">
        <v>30908</v>
      </c>
      <c r="H3973" t="s">
        <v>30916</v>
      </c>
      <c r="I3973" t="s">
        <v>10847</v>
      </c>
      <c r="J3973" t="s">
        <v>33784</v>
      </c>
      <c r="K3973" t="s">
        <v>40324</v>
      </c>
      <c r="M3973" t="s">
        <v>40850</v>
      </c>
      <c r="N3973" t="s">
        <v>44759</v>
      </c>
      <c r="O3973" t="s">
        <v>44760</v>
      </c>
      <c r="P3973">
        <v>0</v>
      </c>
      <c r="Q3973">
        <v>1</v>
      </c>
      <c r="R3973" t="s">
        <v>44762</v>
      </c>
      <c r="S3973" t="s">
        <v>44863</v>
      </c>
      <c r="T3973" t="s">
        <v>46463</v>
      </c>
      <c r="U3973" t="s">
        <v>47419</v>
      </c>
      <c r="W3973" t="s">
        <v>40850</v>
      </c>
      <c r="X3973" t="s">
        <v>44763</v>
      </c>
    </row>
    <row r="3974" spans="1:24">
      <c r="A3974">
        <f>HYPERLINK("https://www.philgeps.gov.ph/GEPSNONPILOT/Tender/SplashBidNoticeAbstractUI.aspx?menuIndex=3&amp;refID=7150635&amp;Result=3","7150635")</f>
        <v>0</v>
      </c>
      <c r="B3974" t="s">
        <v>943</v>
      </c>
      <c r="C3974" t="s">
        <v>7533</v>
      </c>
      <c r="D3974" t="s">
        <v>17957</v>
      </c>
      <c r="E3974" t="s">
        <v>21616</v>
      </c>
      <c r="F3974" t="s">
        <v>30900</v>
      </c>
      <c r="G3974" t="s">
        <v>30907</v>
      </c>
      <c r="H3974" t="s">
        <v>30915</v>
      </c>
      <c r="I3974" t="s">
        <v>30919</v>
      </c>
      <c r="J3974" t="s">
        <v>33785</v>
      </c>
      <c r="K3974" t="s">
        <v>40304</v>
      </c>
      <c r="M3974" t="s">
        <v>41527</v>
      </c>
      <c r="N3974" t="s">
        <v>44759</v>
      </c>
      <c r="O3974" t="s">
        <v>44760</v>
      </c>
      <c r="P3974">
        <v>0</v>
      </c>
      <c r="Q3974">
        <v>0</v>
      </c>
      <c r="R3974" t="s">
        <v>44762</v>
      </c>
      <c r="S3974" t="s">
        <v>44863</v>
      </c>
      <c r="T3974" t="s">
        <v>46465</v>
      </c>
      <c r="U3974" t="s">
        <v>49683</v>
      </c>
      <c r="W3974" t="s">
        <v>41527</v>
      </c>
      <c r="X3974" t="s">
        <v>44763</v>
      </c>
    </row>
    <row r="3975" spans="1:24">
      <c r="A3975">
        <f>HYPERLINK("https://www.philgeps.gov.ph/GEPSNONPILOT/Tender/SplashBidNoticeAbstractUI.aspx?menuIndex=3&amp;refID=7150624&amp;Result=3","7150624")</f>
        <v>0</v>
      </c>
      <c r="B3975" t="s">
        <v>1573</v>
      </c>
      <c r="C3975" t="s">
        <v>7534</v>
      </c>
      <c r="E3975" t="s">
        <v>21617</v>
      </c>
      <c r="F3975" t="s">
        <v>30900</v>
      </c>
      <c r="G3975" t="s">
        <v>30908</v>
      </c>
      <c r="H3975" t="s">
        <v>30916</v>
      </c>
      <c r="I3975" t="s">
        <v>4142</v>
      </c>
      <c r="J3975" t="s">
        <v>33786</v>
      </c>
      <c r="K3975" t="s">
        <v>40283</v>
      </c>
      <c r="M3975" t="s">
        <v>42221</v>
      </c>
      <c r="N3975" t="s">
        <v>44759</v>
      </c>
      <c r="O3975" t="s">
        <v>44760</v>
      </c>
      <c r="P3975">
        <v>0</v>
      </c>
      <c r="Q3975">
        <v>0</v>
      </c>
      <c r="R3975" t="s">
        <v>44762</v>
      </c>
      <c r="S3975" t="s">
        <v>44863</v>
      </c>
      <c r="T3975" t="s">
        <v>46383</v>
      </c>
      <c r="U3975" t="s">
        <v>50282</v>
      </c>
      <c r="W3975" t="s">
        <v>42221</v>
      </c>
      <c r="X3975" t="s">
        <v>44763</v>
      </c>
    </row>
    <row r="3976" spans="1:24">
      <c r="A3976">
        <f>HYPERLINK("https://www.philgeps.gov.ph/GEPSNONPILOT/Tender/SplashBidNoticeAbstractUI.aspx?menuIndex=3&amp;refID=7150619&amp;Result=3","7150619")</f>
        <v>0</v>
      </c>
      <c r="B3976" t="s">
        <v>1574</v>
      </c>
      <c r="C3976" t="s">
        <v>7535</v>
      </c>
      <c r="D3976" t="s">
        <v>18019</v>
      </c>
      <c r="E3976" t="s">
        <v>21618</v>
      </c>
      <c r="F3976" t="s">
        <v>30900</v>
      </c>
      <c r="G3976" t="s">
        <v>30907</v>
      </c>
      <c r="H3976" t="s">
        <v>30916</v>
      </c>
      <c r="I3976" t="s">
        <v>8123</v>
      </c>
      <c r="J3976" t="s">
        <v>33787</v>
      </c>
      <c r="K3976" t="s">
        <v>40286</v>
      </c>
      <c r="M3976" t="s">
        <v>42222</v>
      </c>
      <c r="N3976" t="s">
        <v>44759</v>
      </c>
      <c r="O3976" t="s">
        <v>44760</v>
      </c>
      <c r="P3976">
        <v>0</v>
      </c>
      <c r="Q3976">
        <v>0</v>
      </c>
      <c r="R3976" t="s">
        <v>44762</v>
      </c>
      <c r="S3976" t="s">
        <v>44863</v>
      </c>
      <c r="T3976" t="s">
        <v>46654</v>
      </c>
      <c r="U3976" t="s">
        <v>50283</v>
      </c>
      <c r="W3976" t="s">
        <v>42222</v>
      </c>
      <c r="X3976" t="s">
        <v>44763</v>
      </c>
    </row>
    <row r="3977" spans="1:24">
      <c r="A3977">
        <f>HYPERLINK("https://www.philgeps.gov.ph/GEPSNONPILOT/Tender/SplashBidNoticeAbstractUI.aspx?menuIndex=3&amp;refID=7150618&amp;Result=3","7150618")</f>
        <v>0</v>
      </c>
      <c r="B3977" t="s">
        <v>158</v>
      </c>
      <c r="C3977" t="s">
        <v>7536</v>
      </c>
      <c r="D3977" t="s">
        <v>18002</v>
      </c>
      <c r="E3977" t="s">
        <v>18304</v>
      </c>
      <c r="F3977" t="s">
        <v>30900</v>
      </c>
      <c r="G3977" t="s">
        <v>30907</v>
      </c>
      <c r="H3977" t="s">
        <v>30916</v>
      </c>
      <c r="I3977" t="s">
        <v>30922</v>
      </c>
      <c r="J3977" t="s">
        <v>33788</v>
      </c>
      <c r="K3977" t="s">
        <v>40285</v>
      </c>
      <c r="M3977" t="s">
        <v>40705</v>
      </c>
      <c r="N3977" t="s">
        <v>44759</v>
      </c>
      <c r="O3977" t="s">
        <v>44760</v>
      </c>
      <c r="P3977">
        <v>0</v>
      </c>
      <c r="Q3977">
        <v>0</v>
      </c>
      <c r="R3977" t="s">
        <v>44762</v>
      </c>
      <c r="S3977" t="s">
        <v>44863</v>
      </c>
      <c r="T3977" t="s">
        <v>46400</v>
      </c>
      <c r="U3977" t="s">
        <v>50284</v>
      </c>
      <c r="W3977" t="s">
        <v>40705</v>
      </c>
      <c r="X3977" t="s">
        <v>44763</v>
      </c>
    </row>
    <row r="3978" spans="1:24">
      <c r="A3978">
        <f>HYPERLINK("https://www.philgeps.gov.ph/GEPSNONPILOT/Tender/SplashBidNoticeAbstractUI.aspx?menuIndex=3&amp;refID=7150658&amp;Result=3","7150658")</f>
        <v>0</v>
      </c>
      <c r="B3978" t="s">
        <v>1575</v>
      </c>
      <c r="C3978" t="s">
        <v>7537</v>
      </c>
      <c r="E3978" t="s">
        <v>18993</v>
      </c>
      <c r="F3978" t="s">
        <v>30900</v>
      </c>
      <c r="G3978" t="s">
        <v>30909</v>
      </c>
      <c r="H3978" t="s">
        <v>30916</v>
      </c>
      <c r="I3978" t="s">
        <v>8123</v>
      </c>
      <c r="J3978" t="s">
        <v>33789</v>
      </c>
      <c r="K3978" t="s">
        <v>40284</v>
      </c>
      <c r="N3978" t="s">
        <v>44759</v>
      </c>
      <c r="O3978" t="s">
        <v>44760</v>
      </c>
      <c r="P3978">
        <v>0</v>
      </c>
      <c r="Q3978">
        <v>0</v>
      </c>
      <c r="R3978" t="s">
        <v>44762</v>
      </c>
      <c r="S3978" t="s">
        <v>44863</v>
      </c>
      <c r="T3978" t="s">
        <v>46404</v>
      </c>
      <c r="U3978" t="s">
        <v>50285</v>
      </c>
      <c r="W3978" t="s">
        <v>60868</v>
      </c>
      <c r="X3978" t="s">
        <v>44763</v>
      </c>
    </row>
    <row r="3979" spans="1:24">
      <c r="A3979">
        <f>HYPERLINK("https://www.philgeps.gov.ph/GEPSNONPILOT/Tender/SplashBidNoticeAbstractUI.aspx?menuIndex=3&amp;refID=7150614&amp;Result=3","7150614")</f>
        <v>0</v>
      </c>
      <c r="B3979" t="s">
        <v>1542</v>
      </c>
      <c r="C3979" t="s">
        <v>7538</v>
      </c>
      <c r="E3979" t="s">
        <v>21619</v>
      </c>
      <c r="F3979" t="s">
        <v>30900</v>
      </c>
      <c r="G3979" t="s">
        <v>30908</v>
      </c>
      <c r="H3979" t="s">
        <v>30916</v>
      </c>
      <c r="I3979" t="s">
        <v>30949</v>
      </c>
      <c r="J3979" t="s">
        <v>33790</v>
      </c>
      <c r="K3979" t="s">
        <v>40283</v>
      </c>
      <c r="M3979" t="s">
        <v>42185</v>
      </c>
      <c r="N3979" t="s">
        <v>44759</v>
      </c>
      <c r="O3979" t="s">
        <v>44760</v>
      </c>
      <c r="P3979">
        <v>0</v>
      </c>
      <c r="Q3979">
        <v>2</v>
      </c>
      <c r="R3979" t="s">
        <v>44762</v>
      </c>
      <c r="S3979" t="s">
        <v>44863</v>
      </c>
      <c r="T3979" t="s">
        <v>46410</v>
      </c>
      <c r="U3979" t="s">
        <v>50286</v>
      </c>
      <c r="V3979" t="s">
        <v>59555</v>
      </c>
      <c r="W3979" t="s">
        <v>42185</v>
      </c>
      <c r="X3979" t="s">
        <v>44763</v>
      </c>
    </row>
    <row r="3980" spans="1:24">
      <c r="A3980">
        <f>HYPERLINK("https://www.philgeps.gov.ph/GEPSNONPILOT/Tender/SplashBidNoticeAbstractUI.aspx?menuIndex=3&amp;refID=7150655&amp;Result=3","7150655")</f>
        <v>0</v>
      </c>
      <c r="B3980" t="s">
        <v>1576</v>
      </c>
      <c r="C3980" t="s">
        <v>7539</v>
      </c>
      <c r="D3980" t="s">
        <v>18014</v>
      </c>
      <c r="E3980" t="s">
        <v>21620</v>
      </c>
      <c r="F3980" t="s">
        <v>30900</v>
      </c>
      <c r="G3980" t="s">
        <v>30908</v>
      </c>
      <c r="H3980" t="s">
        <v>30916</v>
      </c>
      <c r="I3980" t="s">
        <v>30965</v>
      </c>
      <c r="J3980" t="s">
        <v>33791</v>
      </c>
      <c r="K3980" t="s">
        <v>40331</v>
      </c>
      <c r="M3980" t="s">
        <v>42223</v>
      </c>
      <c r="N3980" t="s">
        <v>44759</v>
      </c>
      <c r="O3980" t="s">
        <v>44760</v>
      </c>
      <c r="P3980">
        <v>0</v>
      </c>
      <c r="Q3980">
        <v>1</v>
      </c>
      <c r="R3980" t="s">
        <v>44762</v>
      </c>
      <c r="S3980" t="s">
        <v>44863</v>
      </c>
      <c r="T3980" t="s">
        <v>46390</v>
      </c>
      <c r="U3980" t="s">
        <v>50287</v>
      </c>
      <c r="W3980" t="s">
        <v>42223</v>
      </c>
      <c r="X3980" t="s">
        <v>44763</v>
      </c>
    </row>
    <row r="3981" spans="1:24">
      <c r="A3981">
        <f>HYPERLINK("https://www.philgeps.gov.ph/GEPSNONPILOT/Tender/SplashBidNoticeAbstractUI.aspx?menuIndex=3&amp;refID=7150652&amp;Result=3","7150652")</f>
        <v>0</v>
      </c>
      <c r="B3981" t="s">
        <v>1188</v>
      </c>
      <c r="C3981" t="s">
        <v>7540</v>
      </c>
      <c r="D3981" t="s">
        <v>18019</v>
      </c>
      <c r="E3981" t="s">
        <v>21621</v>
      </c>
      <c r="F3981" t="s">
        <v>30900</v>
      </c>
      <c r="G3981" t="s">
        <v>30908</v>
      </c>
      <c r="H3981" t="s">
        <v>30916</v>
      </c>
      <c r="I3981" t="s">
        <v>30922</v>
      </c>
      <c r="J3981" t="s">
        <v>33792</v>
      </c>
      <c r="K3981" t="s">
        <v>40284</v>
      </c>
      <c r="M3981" t="s">
        <v>41797</v>
      </c>
      <c r="N3981" t="s">
        <v>44759</v>
      </c>
      <c r="O3981" t="s">
        <v>44760</v>
      </c>
      <c r="P3981">
        <v>0</v>
      </c>
      <c r="Q3981">
        <v>1</v>
      </c>
      <c r="R3981" t="s">
        <v>44762</v>
      </c>
      <c r="S3981" t="s">
        <v>44863</v>
      </c>
      <c r="T3981" t="s">
        <v>46467</v>
      </c>
      <c r="U3981" t="s">
        <v>50288</v>
      </c>
      <c r="W3981" t="s">
        <v>41797</v>
      </c>
      <c r="X3981" t="s">
        <v>44763</v>
      </c>
    </row>
    <row r="3982" spans="1:24">
      <c r="A3982">
        <f>HYPERLINK("https://www.philgeps.gov.ph/GEPSNONPILOT/Tender/SplashBidNoticeAbstractUI.aspx?menuIndex=3&amp;refID=7150651&amp;Result=3","7150651")</f>
        <v>0</v>
      </c>
      <c r="B3982" t="s">
        <v>1571</v>
      </c>
      <c r="C3982" t="s">
        <v>7541</v>
      </c>
      <c r="D3982" t="s">
        <v>17960</v>
      </c>
      <c r="E3982" t="s">
        <v>21622</v>
      </c>
      <c r="F3982" t="s">
        <v>30900</v>
      </c>
      <c r="G3982" t="s">
        <v>30909</v>
      </c>
      <c r="H3982" t="s">
        <v>30916</v>
      </c>
      <c r="I3982" t="s">
        <v>4965</v>
      </c>
      <c r="J3982" t="s">
        <v>32033</v>
      </c>
      <c r="K3982" t="s">
        <v>40283</v>
      </c>
      <c r="L3982" t="s">
        <v>1571</v>
      </c>
      <c r="M3982" t="s">
        <v>42219</v>
      </c>
      <c r="N3982" t="s">
        <v>44759</v>
      </c>
      <c r="O3982" t="s">
        <v>44760</v>
      </c>
      <c r="P3982">
        <v>0</v>
      </c>
      <c r="Q3982">
        <v>0</v>
      </c>
      <c r="R3982" t="s">
        <v>44762</v>
      </c>
      <c r="S3982" t="s">
        <v>44863</v>
      </c>
      <c r="T3982" t="s">
        <v>46383</v>
      </c>
      <c r="U3982" t="s">
        <v>50289</v>
      </c>
      <c r="W3982" t="s">
        <v>42219</v>
      </c>
      <c r="X3982" t="s">
        <v>44763</v>
      </c>
    </row>
    <row r="3983" spans="1:24">
      <c r="A3983">
        <f>HYPERLINK("https://www.philgeps.gov.ph/GEPSNONPILOT/Tender/SplashBidNoticeAbstractUI.aspx?menuIndex=3&amp;refID=7150659&amp;Result=3","7150659")</f>
        <v>0</v>
      </c>
      <c r="B3983" t="s">
        <v>361</v>
      </c>
      <c r="C3983" t="s">
        <v>7542</v>
      </c>
      <c r="D3983" t="s">
        <v>17975</v>
      </c>
      <c r="E3983" t="s">
        <v>21623</v>
      </c>
      <c r="F3983" t="s">
        <v>30900</v>
      </c>
      <c r="G3983" t="s">
        <v>30908</v>
      </c>
      <c r="H3983" t="s">
        <v>30916</v>
      </c>
      <c r="I3983" t="s">
        <v>4545</v>
      </c>
      <c r="J3983" t="s">
        <v>33133</v>
      </c>
      <c r="K3983" t="s">
        <v>40287</v>
      </c>
      <c r="M3983" t="s">
        <v>40915</v>
      </c>
      <c r="N3983" t="s">
        <v>44759</v>
      </c>
      <c r="O3983" t="s">
        <v>44760</v>
      </c>
      <c r="P3983">
        <v>0</v>
      </c>
      <c r="Q3983">
        <v>2</v>
      </c>
      <c r="R3983" t="s">
        <v>44762</v>
      </c>
      <c r="S3983" t="s">
        <v>44863</v>
      </c>
      <c r="T3983" t="s">
        <v>46572</v>
      </c>
      <c r="U3983" t="s">
        <v>50290</v>
      </c>
      <c r="W3983" t="s">
        <v>40915</v>
      </c>
      <c r="X3983" t="s">
        <v>44763</v>
      </c>
    </row>
    <row r="3984" spans="1:24">
      <c r="A3984">
        <f>HYPERLINK("https://www.philgeps.gov.ph/GEPSNONPILOT/Tender/SplashBidNoticeAbstractUI.aspx?menuIndex=3&amp;refID=7150645&amp;Result=3","7150645")</f>
        <v>0</v>
      </c>
      <c r="B3984" t="s">
        <v>862</v>
      </c>
      <c r="C3984" t="s">
        <v>7543</v>
      </c>
      <c r="D3984" t="s">
        <v>17953</v>
      </c>
      <c r="E3984" t="s">
        <v>21624</v>
      </c>
      <c r="F3984" t="s">
        <v>30900</v>
      </c>
      <c r="G3984" t="s">
        <v>30908</v>
      </c>
      <c r="H3984" t="s">
        <v>30916</v>
      </c>
      <c r="I3984" t="s">
        <v>11785</v>
      </c>
      <c r="J3984" t="s">
        <v>33793</v>
      </c>
      <c r="K3984" t="s">
        <v>40281</v>
      </c>
      <c r="M3984" t="s">
        <v>41435</v>
      </c>
      <c r="N3984" t="s">
        <v>44759</v>
      </c>
      <c r="O3984" t="s">
        <v>44760</v>
      </c>
      <c r="P3984">
        <v>0</v>
      </c>
      <c r="Q3984">
        <v>1</v>
      </c>
      <c r="R3984" t="s">
        <v>44762</v>
      </c>
      <c r="S3984" t="s">
        <v>44863</v>
      </c>
      <c r="T3984" t="s">
        <v>46414</v>
      </c>
      <c r="U3984" t="s">
        <v>50291</v>
      </c>
      <c r="W3984" t="s">
        <v>41435</v>
      </c>
      <c r="X3984" t="s">
        <v>44763</v>
      </c>
    </row>
    <row r="3985" spans="1:24">
      <c r="A3985">
        <f>HYPERLINK("https://www.philgeps.gov.ph/GEPSNONPILOT/Tender/SplashBidNoticeAbstractUI.aspx?menuIndex=3&amp;refID=7150615&amp;Result=3","7150615")</f>
        <v>0</v>
      </c>
      <c r="B3985" t="s">
        <v>1577</v>
      </c>
      <c r="C3985" t="s">
        <v>7544</v>
      </c>
      <c r="D3985" t="s">
        <v>18002</v>
      </c>
      <c r="E3985" t="s">
        <v>21625</v>
      </c>
      <c r="F3985" t="s">
        <v>30900</v>
      </c>
      <c r="G3985" t="s">
        <v>30908</v>
      </c>
      <c r="H3985" t="s">
        <v>30915</v>
      </c>
      <c r="I3985" t="s">
        <v>30919</v>
      </c>
      <c r="J3985" t="s">
        <v>31070</v>
      </c>
      <c r="K3985" t="s">
        <v>40286</v>
      </c>
      <c r="M3985" t="s">
        <v>42224</v>
      </c>
      <c r="N3985" t="s">
        <v>44759</v>
      </c>
      <c r="O3985" t="s">
        <v>44760</v>
      </c>
      <c r="P3985">
        <v>0</v>
      </c>
      <c r="Q3985">
        <v>0</v>
      </c>
      <c r="R3985" t="s">
        <v>44762</v>
      </c>
      <c r="S3985" t="s">
        <v>44863</v>
      </c>
      <c r="T3985" t="s">
        <v>46383</v>
      </c>
      <c r="U3985" t="s">
        <v>50292</v>
      </c>
      <c r="W3985" t="s">
        <v>42224</v>
      </c>
      <c r="X3985" t="s">
        <v>44763</v>
      </c>
    </row>
    <row r="3986" spans="1:24">
      <c r="A3986">
        <f>HYPERLINK("https://www.philgeps.gov.ph/GEPSNONPILOT/Tender/SplashBidNoticeAbstractUI.aspx?menuIndex=3&amp;refID=7150646&amp;Result=3","7150646")</f>
        <v>0</v>
      </c>
      <c r="B3986" t="s">
        <v>1564</v>
      </c>
      <c r="C3986" t="s">
        <v>7545</v>
      </c>
      <c r="D3986" t="s">
        <v>17974</v>
      </c>
      <c r="E3986" t="s">
        <v>19056</v>
      </c>
      <c r="F3986" t="s">
        <v>30900</v>
      </c>
      <c r="G3986" t="s">
        <v>30908</v>
      </c>
      <c r="H3986" t="s">
        <v>30916</v>
      </c>
      <c r="I3986" t="s">
        <v>4108</v>
      </c>
      <c r="J3986" t="s">
        <v>31142</v>
      </c>
      <c r="K3986" t="s">
        <v>40289</v>
      </c>
      <c r="M3986" t="s">
        <v>42212</v>
      </c>
      <c r="N3986" t="s">
        <v>44759</v>
      </c>
      <c r="O3986" t="s">
        <v>44760</v>
      </c>
      <c r="P3986">
        <v>0</v>
      </c>
      <c r="Q3986">
        <v>0</v>
      </c>
      <c r="R3986" t="s">
        <v>44762</v>
      </c>
      <c r="S3986" t="s">
        <v>44863</v>
      </c>
      <c r="T3986" t="s">
        <v>46410</v>
      </c>
      <c r="U3986" t="s">
        <v>47654</v>
      </c>
      <c r="W3986" t="s">
        <v>42212</v>
      </c>
      <c r="X3986" t="s">
        <v>44763</v>
      </c>
    </row>
    <row r="3987" spans="1:24">
      <c r="A3987">
        <f>HYPERLINK("https://www.philgeps.gov.ph/GEPSNONPILOT/Tender/SplashBidNoticeAbstractUI.aspx?menuIndex=3&amp;refID=7150644&amp;Result=3","7150644")</f>
        <v>0</v>
      </c>
      <c r="B3987" t="s">
        <v>1578</v>
      </c>
      <c r="C3987" t="s">
        <v>7546</v>
      </c>
      <c r="D3987" t="s">
        <v>17957</v>
      </c>
      <c r="E3987" t="s">
        <v>21626</v>
      </c>
      <c r="F3987" t="s">
        <v>30900</v>
      </c>
      <c r="G3987" t="s">
        <v>30907</v>
      </c>
      <c r="H3987" t="s">
        <v>30915</v>
      </c>
      <c r="I3987" t="s">
        <v>30919</v>
      </c>
      <c r="J3987" t="s">
        <v>33794</v>
      </c>
      <c r="K3987" t="s">
        <v>40292</v>
      </c>
      <c r="M3987" t="s">
        <v>42225</v>
      </c>
      <c r="N3987" t="s">
        <v>44759</v>
      </c>
      <c r="O3987" t="s">
        <v>44760</v>
      </c>
      <c r="P3987">
        <v>0</v>
      </c>
      <c r="Q3987">
        <v>0</v>
      </c>
      <c r="R3987" t="s">
        <v>44762</v>
      </c>
      <c r="S3987" t="s">
        <v>44863</v>
      </c>
      <c r="T3987" t="s">
        <v>46408</v>
      </c>
      <c r="U3987" t="s">
        <v>50293</v>
      </c>
      <c r="W3987" t="s">
        <v>42225</v>
      </c>
      <c r="X3987" t="s">
        <v>44763</v>
      </c>
    </row>
    <row r="3988" spans="1:24">
      <c r="A3988">
        <f>HYPERLINK("https://www.philgeps.gov.ph/GEPSNONPILOT/Tender/SplashBidNoticeAbstractUI.aspx?menuIndex=3&amp;refID=7150650&amp;Result=3","7150650")</f>
        <v>0</v>
      </c>
      <c r="B3988" t="s">
        <v>1579</v>
      </c>
      <c r="C3988" t="s">
        <v>4782</v>
      </c>
      <c r="D3988" t="s">
        <v>17959</v>
      </c>
      <c r="E3988" t="s">
        <v>21627</v>
      </c>
      <c r="F3988" t="s">
        <v>30900</v>
      </c>
      <c r="G3988" t="s">
        <v>30907</v>
      </c>
      <c r="H3988" t="s">
        <v>30916</v>
      </c>
      <c r="I3988" t="s">
        <v>4108</v>
      </c>
      <c r="J3988" t="s">
        <v>31211</v>
      </c>
      <c r="K3988" t="s">
        <v>40286</v>
      </c>
      <c r="M3988" t="s">
        <v>42226</v>
      </c>
      <c r="N3988" t="s">
        <v>44759</v>
      </c>
      <c r="O3988" t="s">
        <v>44760</v>
      </c>
      <c r="P3988">
        <v>0</v>
      </c>
      <c r="Q3988">
        <v>0</v>
      </c>
      <c r="R3988" t="s">
        <v>44762</v>
      </c>
      <c r="S3988" t="s">
        <v>44863</v>
      </c>
      <c r="T3988" t="s">
        <v>46406</v>
      </c>
      <c r="U3988" t="s">
        <v>50294</v>
      </c>
      <c r="W3988" t="s">
        <v>42226</v>
      </c>
      <c r="X3988" t="s">
        <v>44763</v>
      </c>
    </row>
    <row r="3989" spans="1:24">
      <c r="A3989">
        <f>HYPERLINK("https://www.philgeps.gov.ph/GEPSNONPILOT/Tender/SplashBidNoticeAbstractUI.aspx?menuIndex=3&amp;refID=7150640&amp;Result=3","7150640")</f>
        <v>0</v>
      </c>
      <c r="B3989" t="s">
        <v>1580</v>
      </c>
      <c r="C3989" t="s">
        <v>3886</v>
      </c>
      <c r="D3989" t="s">
        <v>17957</v>
      </c>
      <c r="E3989" t="s">
        <v>19405</v>
      </c>
      <c r="F3989" t="s">
        <v>30900</v>
      </c>
      <c r="G3989" t="s">
        <v>30909</v>
      </c>
      <c r="H3989" t="s">
        <v>30916</v>
      </c>
      <c r="I3989" t="s">
        <v>4108</v>
      </c>
      <c r="J3989" t="s">
        <v>33795</v>
      </c>
      <c r="K3989" t="s">
        <v>40281</v>
      </c>
      <c r="M3989" t="s">
        <v>42227</v>
      </c>
      <c r="N3989" t="s">
        <v>44759</v>
      </c>
      <c r="O3989" t="s">
        <v>44760</v>
      </c>
      <c r="P3989">
        <v>0</v>
      </c>
      <c r="Q3989">
        <v>1</v>
      </c>
      <c r="R3989" t="s">
        <v>44762</v>
      </c>
      <c r="S3989" t="s">
        <v>44863</v>
      </c>
      <c r="T3989" t="s">
        <v>46383</v>
      </c>
      <c r="U3989" t="s">
        <v>50295</v>
      </c>
      <c r="V3989" t="s">
        <v>59117</v>
      </c>
      <c r="W3989" t="s">
        <v>42227</v>
      </c>
      <c r="X3989" t="s">
        <v>44763</v>
      </c>
    </row>
    <row r="3990" spans="1:24">
      <c r="A3990">
        <f>HYPERLINK("https://www.philgeps.gov.ph/GEPSNONPILOT/Tender/SplashBidNoticeAbstractUI.aspx?menuIndex=3&amp;refID=7150649&amp;Result=3","7150649")</f>
        <v>0</v>
      </c>
      <c r="B3990" t="s">
        <v>591</v>
      </c>
      <c r="C3990" t="s">
        <v>7547</v>
      </c>
      <c r="D3990" t="s">
        <v>17998</v>
      </c>
      <c r="E3990" t="s">
        <v>21628</v>
      </c>
      <c r="F3990" t="s">
        <v>30900</v>
      </c>
      <c r="G3990" t="s">
        <v>30907</v>
      </c>
      <c r="H3990" t="s">
        <v>30916</v>
      </c>
      <c r="I3990" t="s">
        <v>30927</v>
      </c>
      <c r="J3990" t="s">
        <v>33796</v>
      </c>
      <c r="K3990" t="s">
        <v>40286</v>
      </c>
      <c r="M3990" t="s">
        <v>41153</v>
      </c>
      <c r="N3990" t="s">
        <v>44759</v>
      </c>
      <c r="O3990" t="s">
        <v>44760</v>
      </c>
      <c r="P3990">
        <v>0</v>
      </c>
      <c r="Q3990">
        <v>0</v>
      </c>
      <c r="R3990" t="s">
        <v>44762</v>
      </c>
      <c r="S3990" t="s">
        <v>44863</v>
      </c>
      <c r="T3990" t="s">
        <v>46389</v>
      </c>
      <c r="U3990" t="s">
        <v>47975</v>
      </c>
      <c r="V3990" t="s">
        <v>59550</v>
      </c>
      <c r="W3990" t="s">
        <v>41153</v>
      </c>
      <c r="X3990" t="s">
        <v>44763</v>
      </c>
    </row>
    <row r="3991" spans="1:24">
      <c r="A3991">
        <f>HYPERLINK("https://www.philgeps.gov.ph/GEPSNONPILOT/Tender/SplashBidNoticeAbstractUI.aspx?menuIndex=3&amp;refID=7150638&amp;Result=3","7150638")</f>
        <v>0</v>
      </c>
      <c r="B3991" t="s">
        <v>1567</v>
      </c>
      <c r="C3991" t="s">
        <v>7548</v>
      </c>
      <c r="D3991" t="s">
        <v>18006</v>
      </c>
      <c r="E3991" t="s">
        <v>21629</v>
      </c>
      <c r="F3991" t="s">
        <v>30900</v>
      </c>
      <c r="G3991" t="s">
        <v>30908</v>
      </c>
      <c r="H3991" t="s">
        <v>30916</v>
      </c>
      <c r="I3991" t="s">
        <v>30943</v>
      </c>
      <c r="J3991" t="s">
        <v>33797</v>
      </c>
      <c r="K3991" t="s">
        <v>40289</v>
      </c>
      <c r="M3991" t="s">
        <v>42215</v>
      </c>
      <c r="N3991" t="s">
        <v>44759</v>
      </c>
      <c r="O3991" t="s">
        <v>44760</v>
      </c>
      <c r="P3991">
        <v>0</v>
      </c>
      <c r="Q3991">
        <v>1</v>
      </c>
      <c r="R3991" t="s">
        <v>44762</v>
      </c>
      <c r="S3991" t="s">
        <v>44863</v>
      </c>
      <c r="T3991" t="s">
        <v>46440</v>
      </c>
      <c r="U3991" t="s">
        <v>50265</v>
      </c>
      <c r="W3991" t="s">
        <v>42215</v>
      </c>
      <c r="X3991" t="s">
        <v>44763</v>
      </c>
    </row>
    <row r="3992" spans="1:24">
      <c r="A3992">
        <f>HYPERLINK("https://www.philgeps.gov.ph/GEPSNONPILOT/Tender/SplashBidNoticeAbstractUI.aspx?menuIndex=3&amp;refID=7150683&amp;Result=3","7150683")</f>
        <v>0</v>
      </c>
      <c r="B3992" t="s">
        <v>424</v>
      </c>
      <c r="C3992" t="s">
        <v>7549</v>
      </c>
      <c r="D3992" t="s">
        <v>17955</v>
      </c>
      <c r="E3992" t="s">
        <v>21630</v>
      </c>
      <c r="F3992" t="s">
        <v>30900</v>
      </c>
      <c r="G3992" t="s">
        <v>30907</v>
      </c>
      <c r="H3992" t="s">
        <v>30915</v>
      </c>
      <c r="I3992" t="s">
        <v>30919</v>
      </c>
      <c r="J3992" t="s">
        <v>33798</v>
      </c>
      <c r="K3992" t="s">
        <v>40339</v>
      </c>
      <c r="M3992" t="s">
        <v>40981</v>
      </c>
      <c r="N3992" t="s">
        <v>44759</v>
      </c>
      <c r="O3992" t="s">
        <v>44760</v>
      </c>
      <c r="P3992">
        <v>0</v>
      </c>
      <c r="Q3992">
        <v>1</v>
      </c>
      <c r="R3992" t="s">
        <v>44762</v>
      </c>
      <c r="S3992" t="s">
        <v>44863</v>
      </c>
      <c r="T3992" t="s">
        <v>46445</v>
      </c>
      <c r="U3992" t="s">
        <v>47629</v>
      </c>
      <c r="W3992" t="s">
        <v>40981</v>
      </c>
      <c r="X3992" t="s">
        <v>44763</v>
      </c>
    </row>
    <row r="3993" spans="1:24">
      <c r="A3993">
        <f>HYPERLINK("https://www.philgeps.gov.ph/GEPSNONPILOT/Tender/SplashBidNoticeAbstractUI.aspx?menuIndex=3&amp;refID=7150680&amp;Result=3","7150680")</f>
        <v>0</v>
      </c>
      <c r="B3993" t="s">
        <v>1581</v>
      </c>
      <c r="C3993" t="s">
        <v>7550</v>
      </c>
      <c r="D3993" t="s">
        <v>17961</v>
      </c>
      <c r="E3993" t="s">
        <v>21631</v>
      </c>
      <c r="F3993" t="s">
        <v>30900</v>
      </c>
      <c r="G3993" t="s">
        <v>30907</v>
      </c>
      <c r="H3993" t="s">
        <v>30916</v>
      </c>
      <c r="I3993" t="s">
        <v>4545</v>
      </c>
      <c r="J3993" t="s">
        <v>33799</v>
      </c>
      <c r="K3993" t="s">
        <v>40284</v>
      </c>
      <c r="M3993" t="s">
        <v>42228</v>
      </c>
      <c r="N3993" t="s">
        <v>44759</v>
      </c>
      <c r="O3993" t="s">
        <v>44760</v>
      </c>
      <c r="P3993">
        <v>0</v>
      </c>
      <c r="Q3993">
        <v>4</v>
      </c>
      <c r="R3993" t="s">
        <v>44762</v>
      </c>
      <c r="S3993" t="s">
        <v>44863</v>
      </c>
      <c r="T3993" t="s">
        <v>46506</v>
      </c>
      <c r="U3993" t="s">
        <v>50296</v>
      </c>
      <c r="V3993" t="s">
        <v>59558</v>
      </c>
      <c r="W3993" t="s">
        <v>42228</v>
      </c>
      <c r="X3993" t="s">
        <v>44763</v>
      </c>
    </row>
    <row r="3994" spans="1:24">
      <c r="A3994">
        <f>HYPERLINK("https://www.philgeps.gov.ph/GEPSNONPILOT/Tender/SplashBidNoticeAbstractUI.aspx?menuIndex=3&amp;refID=7150642&amp;Result=3","7150642")</f>
        <v>0</v>
      </c>
      <c r="B3994" t="s">
        <v>228</v>
      </c>
      <c r="C3994" t="s">
        <v>7551</v>
      </c>
      <c r="D3994" t="s">
        <v>18009</v>
      </c>
      <c r="E3994" t="s">
        <v>21632</v>
      </c>
      <c r="F3994" t="s">
        <v>30900</v>
      </c>
      <c r="G3994" t="s">
        <v>30908</v>
      </c>
      <c r="H3994" t="s">
        <v>30916</v>
      </c>
      <c r="I3994" t="s">
        <v>8123</v>
      </c>
      <c r="J3994" t="s">
        <v>33800</v>
      </c>
      <c r="K3994" t="s">
        <v>40288</v>
      </c>
      <c r="M3994" t="s">
        <v>40775</v>
      </c>
      <c r="N3994" t="s">
        <v>44759</v>
      </c>
      <c r="O3994" t="s">
        <v>44760</v>
      </c>
      <c r="P3994">
        <v>0</v>
      </c>
      <c r="Q3994">
        <v>0</v>
      </c>
      <c r="R3994" t="s">
        <v>44762</v>
      </c>
      <c r="S3994" t="s">
        <v>44863</v>
      </c>
      <c r="T3994" t="s">
        <v>46572</v>
      </c>
      <c r="U3994" t="s">
        <v>50297</v>
      </c>
      <c r="W3994" t="s">
        <v>40775</v>
      </c>
      <c r="X3994" t="s">
        <v>44763</v>
      </c>
    </row>
    <row r="3995" spans="1:24">
      <c r="A3995">
        <f>HYPERLINK("https://www.philgeps.gov.ph/GEPSNONPILOT/Tender/SplashBidNoticeAbstractUI.aspx?menuIndex=3&amp;refID=7150679&amp;Result=3","7150679")</f>
        <v>0</v>
      </c>
      <c r="B3995" t="s">
        <v>888</v>
      </c>
      <c r="C3995" t="s">
        <v>7552</v>
      </c>
      <c r="D3995" t="s">
        <v>17951</v>
      </c>
      <c r="E3995" t="s">
        <v>21633</v>
      </c>
      <c r="F3995" t="s">
        <v>30900</v>
      </c>
      <c r="G3995" t="s">
        <v>30906</v>
      </c>
      <c r="H3995" t="s">
        <v>30916</v>
      </c>
      <c r="I3995" t="s">
        <v>4545</v>
      </c>
      <c r="J3995" t="s">
        <v>33801</v>
      </c>
      <c r="K3995" t="s">
        <v>40308</v>
      </c>
      <c r="M3995" t="s">
        <v>41461</v>
      </c>
      <c r="N3995" t="s">
        <v>44759</v>
      </c>
      <c r="O3995" t="s">
        <v>44760</v>
      </c>
      <c r="P3995">
        <v>0</v>
      </c>
      <c r="Q3995">
        <v>0</v>
      </c>
      <c r="R3995" t="s">
        <v>44762</v>
      </c>
      <c r="S3995" t="s">
        <v>44863</v>
      </c>
      <c r="T3995" t="s">
        <v>46558</v>
      </c>
      <c r="U3995" t="s">
        <v>48542</v>
      </c>
      <c r="W3995" t="s">
        <v>41461</v>
      </c>
      <c r="X3995" t="s">
        <v>44763</v>
      </c>
    </row>
    <row r="3996" spans="1:24">
      <c r="A3996">
        <f>HYPERLINK("https://www.philgeps.gov.ph/GEPSNONPILOT/Tender/SplashBidNoticeAbstractUI.aspx?menuIndex=3&amp;refID=7150677&amp;Result=3","7150677")</f>
        <v>0</v>
      </c>
      <c r="B3996" t="s">
        <v>267</v>
      </c>
      <c r="C3996" t="s">
        <v>7553</v>
      </c>
      <c r="D3996" t="s">
        <v>17959</v>
      </c>
      <c r="E3996" t="s">
        <v>21634</v>
      </c>
      <c r="F3996" t="s">
        <v>30900</v>
      </c>
      <c r="G3996" t="s">
        <v>30908</v>
      </c>
      <c r="H3996" t="s">
        <v>30916</v>
      </c>
      <c r="I3996" t="s">
        <v>4108</v>
      </c>
      <c r="J3996" t="s">
        <v>32983</v>
      </c>
      <c r="K3996" t="s">
        <v>40288</v>
      </c>
      <c r="M3996" t="s">
        <v>41338</v>
      </c>
      <c r="N3996" t="s">
        <v>44759</v>
      </c>
      <c r="O3996" t="s">
        <v>44760</v>
      </c>
      <c r="P3996">
        <v>0</v>
      </c>
      <c r="Q3996">
        <v>0</v>
      </c>
      <c r="R3996" t="s">
        <v>44762</v>
      </c>
      <c r="S3996" t="s">
        <v>44863</v>
      </c>
      <c r="T3996" t="s">
        <v>46414</v>
      </c>
      <c r="U3996" t="s">
        <v>50298</v>
      </c>
      <c r="W3996" t="s">
        <v>41338</v>
      </c>
      <c r="X3996" t="s">
        <v>44763</v>
      </c>
    </row>
    <row r="3997" spans="1:24">
      <c r="A3997">
        <f>HYPERLINK("https://www.philgeps.gov.ph/GEPSNONPILOT/Tender/SplashBidNoticeAbstractUI.aspx?menuIndex=3&amp;refID=7150676&amp;Result=3","7150676")</f>
        <v>0</v>
      </c>
      <c r="B3997" t="s">
        <v>112</v>
      </c>
      <c r="C3997" t="s">
        <v>7554</v>
      </c>
      <c r="D3997" t="s">
        <v>17997</v>
      </c>
      <c r="E3997" t="s">
        <v>21635</v>
      </c>
      <c r="F3997" t="s">
        <v>30900</v>
      </c>
      <c r="G3997" t="s">
        <v>30907</v>
      </c>
      <c r="H3997" t="s">
        <v>30916</v>
      </c>
      <c r="I3997" t="s">
        <v>4108</v>
      </c>
      <c r="J3997" t="s">
        <v>33802</v>
      </c>
      <c r="K3997" t="s">
        <v>40289</v>
      </c>
      <c r="M3997" t="s">
        <v>40659</v>
      </c>
      <c r="N3997" t="s">
        <v>44759</v>
      </c>
      <c r="O3997" t="s">
        <v>44760</v>
      </c>
      <c r="P3997">
        <v>0</v>
      </c>
      <c r="Q3997">
        <v>1</v>
      </c>
      <c r="R3997" t="s">
        <v>44762</v>
      </c>
      <c r="S3997" t="s">
        <v>44863</v>
      </c>
      <c r="T3997" t="s">
        <v>46408</v>
      </c>
      <c r="U3997" t="s">
        <v>50299</v>
      </c>
      <c r="W3997" t="s">
        <v>40659</v>
      </c>
      <c r="X3997" t="s">
        <v>44763</v>
      </c>
    </row>
    <row r="3998" spans="1:24">
      <c r="A3998">
        <f>HYPERLINK("https://www.philgeps.gov.ph/GEPSNONPILOT/Tender/SplashBidNoticeAbstractUI.aspx?menuIndex=3&amp;refID=7150682&amp;Result=3","7150682")</f>
        <v>0</v>
      </c>
      <c r="B3998" t="s">
        <v>731</v>
      </c>
      <c r="C3998" t="s">
        <v>7555</v>
      </c>
      <c r="D3998" t="s">
        <v>18003</v>
      </c>
      <c r="E3998" t="s">
        <v>7555</v>
      </c>
      <c r="F3998" t="s">
        <v>30900</v>
      </c>
      <c r="G3998" t="s">
        <v>30907</v>
      </c>
      <c r="H3998" t="s">
        <v>30915</v>
      </c>
      <c r="I3998" t="s">
        <v>30919</v>
      </c>
      <c r="J3998" t="s">
        <v>31297</v>
      </c>
      <c r="K3998" t="s">
        <v>40388</v>
      </c>
      <c r="M3998" t="s">
        <v>41295</v>
      </c>
      <c r="N3998" t="s">
        <v>44759</v>
      </c>
      <c r="O3998" t="s">
        <v>44760</v>
      </c>
      <c r="P3998">
        <v>0</v>
      </c>
      <c r="Q3998">
        <v>0</v>
      </c>
      <c r="R3998" t="s">
        <v>44762</v>
      </c>
      <c r="S3998" t="s">
        <v>44863</v>
      </c>
      <c r="T3998" t="s">
        <v>46377</v>
      </c>
      <c r="U3998" t="s">
        <v>50300</v>
      </c>
      <c r="W3998" t="s">
        <v>41295</v>
      </c>
      <c r="X3998" t="s">
        <v>44763</v>
      </c>
    </row>
    <row r="3999" spans="1:24">
      <c r="A3999">
        <f>HYPERLINK("https://www.philgeps.gov.ph/GEPSNONPILOT/Tender/SplashBidNoticeAbstractUI.aspx?menuIndex=3&amp;refID=7150674&amp;Result=3","7150674")</f>
        <v>0</v>
      </c>
      <c r="B3999" t="s">
        <v>708</v>
      </c>
      <c r="C3999" t="s">
        <v>7556</v>
      </c>
      <c r="E3999" t="s">
        <v>21636</v>
      </c>
      <c r="F3999" t="s">
        <v>30900</v>
      </c>
      <c r="G3999" t="s">
        <v>30907</v>
      </c>
      <c r="H3999" t="s">
        <v>30915</v>
      </c>
      <c r="I3999" t="s">
        <v>30919</v>
      </c>
      <c r="J3999" t="s">
        <v>33803</v>
      </c>
      <c r="K3999" t="s">
        <v>40289</v>
      </c>
      <c r="M3999" t="s">
        <v>41272</v>
      </c>
      <c r="N3999" t="s">
        <v>44759</v>
      </c>
      <c r="O3999" t="s">
        <v>44760</v>
      </c>
      <c r="P3999">
        <v>0</v>
      </c>
      <c r="Q3999">
        <v>0</v>
      </c>
      <c r="R3999" t="s">
        <v>44762</v>
      </c>
      <c r="S3999" t="s">
        <v>44863</v>
      </c>
      <c r="T3999" t="s">
        <v>46529</v>
      </c>
      <c r="U3999" t="s">
        <v>50301</v>
      </c>
      <c r="W3999" t="s">
        <v>41272</v>
      </c>
      <c r="X3999" t="s">
        <v>44763</v>
      </c>
    </row>
    <row r="4000" spans="1:24">
      <c r="A4000">
        <f>HYPERLINK("https://www.philgeps.gov.ph/GEPSNONPILOT/Tender/SplashBidNoticeAbstractUI.aspx?menuIndex=3&amp;refID=7150654&amp;Result=3","7150654")</f>
        <v>0</v>
      </c>
      <c r="B4000" t="s">
        <v>1582</v>
      </c>
      <c r="C4000" t="s">
        <v>7557</v>
      </c>
      <c r="D4000" t="s">
        <v>17989</v>
      </c>
      <c r="E4000" t="s">
        <v>21637</v>
      </c>
      <c r="F4000" t="s">
        <v>30900</v>
      </c>
      <c r="G4000" t="s">
        <v>30907</v>
      </c>
      <c r="H4000" t="s">
        <v>30915</v>
      </c>
      <c r="I4000" t="s">
        <v>30919</v>
      </c>
      <c r="J4000" t="s">
        <v>33804</v>
      </c>
      <c r="K4000" t="s">
        <v>40395</v>
      </c>
      <c r="M4000" t="s">
        <v>42229</v>
      </c>
      <c r="N4000" t="s">
        <v>44759</v>
      </c>
      <c r="O4000" t="s">
        <v>44760</v>
      </c>
      <c r="P4000">
        <v>0</v>
      </c>
      <c r="Q4000">
        <v>0</v>
      </c>
      <c r="R4000" t="s">
        <v>44762</v>
      </c>
      <c r="S4000" t="s">
        <v>44863</v>
      </c>
      <c r="T4000" t="s">
        <v>46375</v>
      </c>
      <c r="U4000" t="s">
        <v>50302</v>
      </c>
      <c r="W4000" t="s">
        <v>42229</v>
      </c>
      <c r="X4000" t="s">
        <v>44763</v>
      </c>
    </row>
    <row r="4001" spans="1:24">
      <c r="A4001">
        <f>HYPERLINK("https://www.philgeps.gov.ph/GEPSNONPILOT/Tender/SplashBidNoticeAbstractUI.aspx?menuIndex=3&amp;refID=7150672&amp;Result=3","7150672")</f>
        <v>0</v>
      </c>
      <c r="B4001" t="s">
        <v>1583</v>
      </c>
      <c r="C4001" t="s">
        <v>7558</v>
      </c>
      <c r="D4001" t="s">
        <v>17992</v>
      </c>
      <c r="E4001" t="s">
        <v>18306</v>
      </c>
      <c r="F4001" t="s">
        <v>30900</v>
      </c>
      <c r="G4001" t="s">
        <v>30907</v>
      </c>
      <c r="H4001" t="s">
        <v>30915</v>
      </c>
      <c r="I4001" t="s">
        <v>8123</v>
      </c>
      <c r="J4001" t="s">
        <v>31288</v>
      </c>
      <c r="K4001" t="s">
        <v>40287</v>
      </c>
      <c r="M4001" t="s">
        <v>42230</v>
      </c>
      <c r="N4001" t="s">
        <v>44759</v>
      </c>
      <c r="O4001" t="s">
        <v>44760</v>
      </c>
      <c r="P4001">
        <v>0</v>
      </c>
      <c r="Q4001">
        <v>0</v>
      </c>
      <c r="R4001" t="s">
        <v>44762</v>
      </c>
      <c r="S4001" t="s">
        <v>44863</v>
      </c>
      <c r="T4001" t="s">
        <v>46361</v>
      </c>
      <c r="U4001" t="s">
        <v>50303</v>
      </c>
      <c r="W4001" t="s">
        <v>42230</v>
      </c>
      <c r="X4001" t="s">
        <v>44763</v>
      </c>
    </row>
    <row r="4002" spans="1:24">
      <c r="A4002">
        <f>HYPERLINK("https://www.philgeps.gov.ph/GEPSNONPILOT/Tender/SplashBidNoticeAbstractUI.aspx?menuIndex=3&amp;refID=7150673&amp;Result=3","7150673")</f>
        <v>0</v>
      </c>
      <c r="B4002" t="s">
        <v>591</v>
      </c>
      <c r="C4002" t="s">
        <v>7559</v>
      </c>
      <c r="D4002" t="s">
        <v>17998</v>
      </c>
      <c r="E4002" t="s">
        <v>21638</v>
      </c>
      <c r="F4002" t="s">
        <v>30900</v>
      </c>
      <c r="G4002" t="s">
        <v>30907</v>
      </c>
      <c r="H4002" t="s">
        <v>30916</v>
      </c>
      <c r="I4002" t="s">
        <v>30927</v>
      </c>
      <c r="J4002" t="s">
        <v>33805</v>
      </c>
      <c r="K4002" t="s">
        <v>40286</v>
      </c>
      <c r="M4002" t="s">
        <v>41153</v>
      </c>
      <c r="N4002" t="s">
        <v>44759</v>
      </c>
      <c r="O4002" t="s">
        <v>44760</v>
      </c>
      <c r="P4002">
        <v>0</v>
      </c>
      <c r="Q4002">
        <v>0</v>
      </c>
      <c r="R4002" t="s">
        <v>44762</v>
      </c>
      <c r="S4002" t="s">
        <v>44863</v>
      </c>
      <c r="T4002" t="s">
        <v>46389</v>
      </c>
      <c r="U4002" t="s">
        <v>47975</v>
      </c>
      <c r="V4002" t="s">
        <v>59550</v>
      </c>
      <c r="W4002" t="s">
        <v>41153</v>
      </c>
      <c r="X4002" t="s">
        <v>44763</v>
      </c>
    </row>
    <row r="4003" spans="1:24">
      <c r="A4003">
        <f>HYPERLINK("https://www.philgeps.gov.ph/GEPSNONPILOT/Tender/SplashBidNoticeAbstractUI.aspx?menuIndex=3&amp;refID=7150671&amp;Result=3","7150671")</f>
        <v>0</v>
      </c>
      <c r="B4003" t="s">
        <v>1584</v>
      </c>
      <c r="C4003" t="s">
        <v>7560</v>
      </c>
      <c r="D4003" t="s">
        <v>18025</v>
      </c>
      <c r="E4003" t="s">
        <v>21639</v>
      </c>
      <c r="F4003" t="s">
        <v>30900</v>
      </c>
      <c r="G4003" t="s">
        <v>30907</v>
      </c>
      <c r="H4003" t="s">
        <v>30916</v>
      </c>
      <c r="I4003" t="s">
        <v>10961</v>
      </c>
      <c r="J4003" t="s">
        <v>31391</v>
      </c>
      <c r="K4003" t="s">
        <v>40293</v>
      </c>
      <c r="M4003" t="s">
        <v>42231</v>
      </c>
      <c r="N4003" t="s">
        <v>44759</v>
      </c>
      <c r="O4003" t="s">
        <v>44760</v>
      </c>
      <c r="P4003">
        <v>0</v>
      </c>
      <c r="Q4003">
        <v>9</v>
      </c>
      <c r="R4003" t="s">
        <v>44762</v>
      </c>
      <c r="S4003" t="s">
        <v>44863</v>
      </c>
      <c r="T4003" t="s">
        <v>46465</v>
      </c>
      <c r="U4003" t="s">
        <v>50304</v>
      </c>
      <c r="W4003" t="s">
        <v>42231</v>
      </c>
      <c r="X4003" t="s">
        <v>44763</v>
      </c>
    </row>
    <row r="4004" spans="1:24">
      <c r="A4004">
        <f>HYPERLINK("https://www.philgeps.gov.ph/GEPSNONPILOT/Tender/SplashBidNoticeAbstractUI.aspx?menuIndex=3&amp;refID=7150684&amp;Result=3","7150684")</f>
        <v>0</v>
      </c>
      <c r="B4004" t="s">
        <v>1585</v>
      </c>
      <c r="C4004" t="s">
        <v>7561</v>
      </c>
      <c r="D4004" t="s">
        <v>17953</v>
      </c>
      <c r="E4004" t="s">
        <v>21640</v>
      </c>
      <c r="F4004" t="s">
        <v>30900</v>
      </c>
      <c r="G4004" t="s">
        <v>30908</v>
      </c>
      <c r="H4004" t="s">
        <v>30916</v>
      </c>
      <c r="I4004" t="s">
        <v>30960</v>
      </c>
      <c r="J4004" t="s">
        <v>33806</v>
      </c>
      <c r="K4004" t="s">
        <v>40286</v>
      </c>
      <c r="M4004" t="s">
        <v>42232</v>
      </c>
      <c r="N4004" t="s">
        <v>44759</v>
      </c>
      <c r="O4004" t="s">
        <v>44760</v>
      </c>
      <c r="P4004">
        <v>0</v>
      </c>
      <c r="Q4004">
        <v>1</v>
      </c>
      <c r="R4004" t="s">
        <v>44762</v>
      </c>
      <c r="S4004" t="s">
        <v>44863</v>
      </c>
      <c r="T4004" t="s">
        <v>46409</v>
      </c>
      <c r="U4004" t="s">
        <v>50305</v>
      </c>
      <c r="W4004" t="s">
        <v>42232</v>
      </c>
      <c r="X4004" t="s">
        <v>44763</v>
      </c>
    </row>
    <row r="4005" spans="1:24">
      <c r="A4005">
        <f>HYPERLINK("https://www.philgeps.gov.ph/GEPSNONPILOT/Tender/SplashBidNoticeAbstractUI.aspx?menuIndex=3&amp;refID=7150657&amp;Result=3","7150657")</f>
        <v>0</v>
      </c>
      <c r="B4005" t="s">
        <v>128</v>
      </c>
      <c r="C4005" t="s">
        <v>7562</v>
      </c>
      <c r="D4005" t="s">
        <v>17967</v>
      </c>
      <c r="E4005" t="s">
        <v>21641</v>
      </c>
      <c r="F4005" t="s">
        <v>30900</v>
      </c>
      <c r="G4005" t="s">
        <v>30909</v>
      </c>
      <c r="H4005" t="s">
        <v>30916</v>
      </c>
      <c r="I4005" t="s">
        <v>4545</v>
      </c>
      <c r="J4005" t="s">
        <v>32646</v>
      </c>
      <c r="K4005" t="s">
        <v>40283</v>
      </c>
      <c r="M4005" t="s">
        <v>40675</v>
      </c>
      <c r="N4005" t="s">
        <v>44759</v>
      </c>
      <c r="O4005" t="s">
        <v>44760</v>
      </c>
      <c r="P4005">
        <v>0</v>
      </c>
      <c r="Q4005">
        <v>0</v>
      </c>
      <c r="R4005" t="s">
        <v>44762</v>
      </c>
      <c r="S4005" t="s">
        <v>44863</v>
      </c>
      <c r="T4005" t="s">
        <v>46376</v>
      </c>
      <c r="U4005" t="s">
        <v>50306</v>
      </c>
      <c r="W4005" t="s">
        <v>40675</v>
      </c>
      <c r="X4005" t="s">
        <v>44763</v>
      </c>
    </row>
    <row r="4006" spans="1:24">
      <c r="A4006">
        <f>HYPERLINK("https://www.philgeps.gov.ph/GEPSNONPILOT/Tender/SplashBidNoticeAbstractUI.aspx?menuIndex=3&amp;refID=7150707&amp;Result=3","7150707")</f>
        <v>0</v>
      </c>
      <c r="B4006" t="s">
        <v>1188</v>
      </c>
      <c r="C4006" t="s">
        <v>7563</v>
      </c>
      <c r="D4006" t="s">
        <v>18019</v>
      </c>
      <c r="E4006" t="s">
        <v>21642</v>
      </c>
      <c r="F4006" t="s">
        <v>30900</v>
      </c>
      <c r="G4006" t="s">
        <v>30908</v>
      </c>
      <c r="H4006" t="s">
        <v>30916</v>
      </c>
      <c r="I4006" t="s">
        <v>30922</v>
      </c>
      <c r="J4006" t="s">
        <v>33807</v>
      </c>
      <c r="K4006" t="s">
        <v>40284</v>
      </c>
      <c r="M4006" t="s">
        <v>41797</v>
      </c>
      <c r="N4006" t="s">
        <v>44759</v>
      </c>
      <c r="O4006" t="s">
        <v>44760</v>
      </c>
      <c r="P4006">
        <v>0</v>
      </c>
      <c r="Q4006">
        <v>1</v>
      </c>
      <c r="R4006" t="s">
        <v>44762</v>
      </c>
      <c r="S4006" t="s">
        <v>44863</v>
      </c>
      <c r="T4006" t="s">
        <v>46467</v>
      </c>
      <c r="U4006" t="s">
        <v>50307</v>
      </c>
      <c r="W4006" t="s">
        <v>41797</v>
      </c>
      <c r="X4006" t="s">
        <v>44763</v>
      </c>
    </row>
    <row r="4007" spans="1:24">
      <c r="A4007">
        <f>HYPERLINK("https://www.philgeps.gov.ph/GEPSNONPILOT/Tender/SplashBidNoticeAbstractUI.aspx?menuIndex=3&amp;refID=7150675&amp;Result=3","7150675")</f>
        <v>0</v>
      </c>
      <c r="B4007" t="s">
        <v>748</v>
      </c>
      <c r="C4007" t="s">
        <v>7564</v>
      </c>
      <c r="D4007" t="s">
        <v>18019</v>
      </c>
      <c r="E4007" t="s">
        <v>21643</v>
      </c>
      <c r="F4007" t="s">
        <v>30900</v>
      </c>
      <c r="G4007" t="s">
        <v>30908</v>
      </c>
      <c r="H4007" t="s">
        <v>30916</v>
      </c>
      <c r="I4007" t="s">
        <v>10602</v>
      </c>
      <c r="J4007" t="s">
        <v>31181</v>
      </c>
      <c r="K4007" t="s">
        <v>40283</v>
      </c>
      <c r="M4007" t="s">
        <v>41312</v>
      </c>
      <c r="N4007" t="s">
        <v>44759</v>
      </c>
      <c r="O4007" t="s">
        <v>44760</v>
      </c>
      <c r="P4007">
        <v>0</v>
      </c>
      <c r="Q4007">
        <v>0</v>
      </c>
      <c r="R4007" t="s">
        <v>44762</v>
      </c>
      <c r="S4007" t="s">
        <v>44863</v>
      </c>
      <c r="T4007" t="s">
        <v>46363</v>
      </c>
      <c r="U4007" t="s">
        <v>50308</v>
      </c>
      <c r="W4007" t="s">
        <v>41312</v>
      </c>
      <c r="X4007" t="s">
        <v>44763</v>
      </c>
    </row>
    <row r="4008" spans="1:24">
      <c r="A4008">
        <f>HYPERLINK("https://www.philgeps.gov.ph/GEPSNONPILOT/Tender/SplashBidNoticeAbstractUI.aspx?menuIndex=3&amp;refID=7150706&amp;Result=3","7150706")</f>
        <v>0</v>
      </c>
      <c r="B4008" t="s">
        <v>194</v>
      </c>
      <c r="C4008" t="s">
        <v>7565</v>
      </c>
      <c r="D4008" t="s">
        <v>17959</v>
      </c>
      <c r="E4008" t="s">
        <v>21644</v>
      </c>
      <c r="F4008" t="s">
        <v>30900</v>
      </c>
      <c r="G4008" t="s">
        <v>30908</v>
      </c>
      <c r="H4008" t="s">
        <v>30916</v>
      </c>
      <c r="I4008" t="s">
        <v>30963</v>
      </c>
      <c r="J4008" t="s">
        <v>32570</v>
      </c>
      <c r="K4008" t="s">
        <v>40331</v>
      </c>
      <c r="M4008" t="s">
        <v>41391</v>
      </c>
      <c r="N4008" t="s">
        <v>44759</v>
      </c>
      <c r="O4008" t="s">
        <v>44760</v>
      </c>
      <c r="P4008">
        <v>0</v>
      </c>
      <c r="Q4008">
        <v>1</v>
      </c>
      <c r="R4008" t="s">
        <v>44762</v>
      </c>
      <c r="S4008" t="s">
        <v>44863</v>
      </c>
      <c r="T4008" t="s">
        <v>46363</v>
      </c>
      <c r="U4008" t="s">
        <v>50309</v>
      </c>
      <c r="W4008" t="s">
        <v>41391</v>
      </c>
      <c r="X4008" t="s">
        <v>44763</v>
      </c>
    </row>
    <row r="4009" spans="1:24">
      <c r="A4009">
        <f>HYPERLINK("https://www.philgeps.gov.ph/GEPSNONPILOT/Tender/SplashBidNoticeAbstractUI.aspx?menuIndex=3&amp;refID=7150681&amp;Result=3","7150681")</f>
        <v>0</v>
      </c>
      <c r="B4009" t="s">
        <v>744</v>
      </c>
      <c r="C4009" t="s">
        <v>7566</v>
      </c>
      <c r="D4009" t="s">
        <v>18006</v>
      </c>
      <c r="E4009" t="s">
        <v>21645</v>
      </c>
      <c r="F4009" t="s">
        <v>30900</v>
      </c>
      <c r="G4009" t="s">
        <v>30909</v>
      </c>
      <c r="H4009" t="s">
        <v>30916</v>
      </c>
      <c r="I4009" t="s">
        <v>30923</v>
      </c>
      <c r="J4009" t="s">
        <v>31049</v>
      </c>
      <c r="K4009" t="s">
        <v>40281</v>
      </c>
      <c r="M4009" t="s">
        <v>41308</v>
      </c>
      <c r="N4009" t="s">
        <v>44759</v>
      </c>
      <c r="O4009" t="s">
        <v>44760</v>
      </c>
      <c r="P4009">
        <v>0</v>
      </c>
      <c r="Q4009">
        <v>0</v>
      </c>
      <c r="R4009" t="s">
        <v>44762</v>
      </c>
      <c r="S4009" t="s">
        <v>44863</v>
      </c>
      <c r="T4009" t="s">
        <v>46390</v>
      </c>
      <c r="U4009" t="s">
        <v>50310</v>
      </c>
      <c r="W4009" t="s">
        <v>41308</v>
      </c>
      <c r="X4009" t="s">
        <v>44763</v>
      </c>
    </row>
    <row r="4010" spans="1:24">
      <c r="A4010">
        <f>HYPERLINK("https://www.philgeps.gov.ph/GEPSNONPILOT/Tender/SplashBidNoticeAbstractUI.aspx?menuIndex=3&amp;refID=7150702&amp;Result=3","7150702")</f>
        <v>0</v>
      </c>
      <c r="B4010" t="s">
        <v>708</v>
      </c>
      <c r="C4010" t="s">
        <v>7567</v>
      </c>
      <c r="E4010" t="s">
        <v>21646</v>
      </c>
      <c r="F4010" t="s">
        <v>30900</v>
      </c>
      <c r="G4010" t="s">
        <v>30907</v>
      </c>
      <c r="H4010" t="s">
        <v>30915</v>
      </c>
      <c r="I4010" t="s">
        <v>30919</v>
      </c>
      <c r="J4010" t="s">
        <v>33808</v>
      </c>
      <c r="K4010" t="s">
        <v>40289</v>
      </c>
      <c r="M4010" t="s">
        <v>41272</v>
      </c>
      <c r="N4010" t="s">
        <v>44759</v>
      </c>
      <c r="O4010" t="s">
        <v>44760</v>
      </c>
      <c r="P4010">
        <v>0</v>
      </c>
      <c r="Q4010">
        <v>0</v>
      </c>
      <c r="R4010" t="s">
        <v>44762</v>
      </c>
      <c r="S4010" t="s">
        <v>44863</v>
      </c>
      <c r="T4010" t="s">
        <v>46529</v>
      </c>
      <c r="U4010" t="s">
        <v>50311</v>
      </c>
      <c r="W4010" t="s">
        <v>41272</v>
      </c>
      <c r="X4010" t="s">
        <v>44763</v>
      </c>
    </row>
    <row r="4011" spans="1:24">
      <c r="A4011">
        <f>HYPERLINK("https://www.philgeps.gov.ph/GEPSNONPILOT/Tender/SplashBidNoticeAbstractUI.aspx?menuIndex=3&amp;refID=7150639&amp;Result=3","7150639")</f>
        <v>0</v>
      </c>
      <c r="B4011" t="s">
        <v>1572</v>
      </c>
      <c r="C4011" t="s">
        <v>7568</v>
      </c>
      <c r="E4011" t="s">
        <v>21647</v>
      </c>
      <c r="F4011" t="s">
        <v>30900</v>
      </c>
      <c r="G4011" t="s">
        <v>30907</v>
      </c>
      <c r="H4011" t="s">
        <v>30915</v>
      </c>
      <c r="I4011" t="s">
        <v>30919</v>
      </c>
      <c r="J4011" t="s">
        <v>33778</v>
      </c>
      <c r="K4011" t="s">
        <v>40394</v>
      </c>
      <c r="M4011" t="s">
        <v>42220</v>
      </c>
      <c r="N4011" t="s">
        <v>44759</v>
      </c>
      <c r="O4011" t="s">
        <v>44760</v>
      </c>
      <c r="Q4011">
        <v>3</v>
      </c>
      <c r="R4011" t="s">
        <v>44762</v>
      </c>
      <c r="S4011" t="s">
        <v>44884</v>
      </c>
      <c r="T4011" t="s">
        <v>46550</v>
      </c>
      <c r="U4011" t="s">
        <v>50312</v>
      </c>
      <c r="W4011" t="s">
        <v>42220</v>
      </c>
      <c r="X4011" t="s">
        <v>44763</v>
      </c>
    </row>
    <row r="4012" spans="1:24">
      <c r="A4012">
        <f>HYPERLINK("https://www.philgeps.gov.ph/GEPSNONPILOT/Tender/SplashBidNoticeAbstractUI.aspx?menuIndex=3&amp;refID=7150696&amp;Result=3","7150696")</f>
        <v>0</v>
      </c>
      <c r="B4012" t="s">
        <v>1586</v>
      </c>
      <c r="C4012" t="s">
        <v>7569</v>
      </c>
      <c r="D4012" t="s">
        <v>18002</v>
      </c>
      <c r="E4012" t="s">
        <v>21648</v>
      </c>
      <c r="F4012" t="s">
        <v>30900</v>
      </c>
      <c r="G4012" t="s">
        <v>30909</v>
      </c>
      <c r="H4012" t="s">
        <v>30916</v>
      </c>
      <c r="I4012" t="s">
        <v>10847</v>
      </c>
      <c r="J4012" t="s">
        <v>33809</v>
      </c>
      <c r="K4012" t="s">
        <v>40288</v>
      </c>
      <c r="M4012" t="s">
        <v>42233</v>
      </c>
      <c r="N4012" t="s">
        <v>44759</v>
      </c>
      <c r="O4012" t="s">
        <v>44760</v>
      </c>
      <c r="P4012">
        <v>0</v>
      </c>
      <c r="Q4012">
        <v>1</v>
      </c>
      <c r="R4012" t="s">
        <v>44762</v>
      </c>
      <c r="S4012" t="s">
        <v>44863</v>
      </c>
      <c r="T4012" t="s">
        <v>46533</v>
      </c>
      <c r="U4012" t="s">
        <v>50313</v>
      </c>
      <c r="W4012" t="s">
        <v>42233</v>
      </c>
      <c r="X4012" t="s">
        <v>44763</v>
      </c>
    </row>
    <row r="4013" spans="1:24">
      <c r="A4013">
        <f>HYPERLINK("https://www.philgeps.gov.ph/GEPSNONPILOT/Tender/SplashBidNoticeAbstractUI.aspx?menuIndex=3&amp;refID=7150602&amp;Result=3","7150602")</f>
        <v>0</v>
      </c>
      <c r="B4013" t="s">
        <v>591</v>
      </c>
      <c r="C4013" t="s">
        <v>7570</v>
      </c>
      <c r="D4013" t="s">
        <v>17998</v>
      </c>
      <c r="E4013" t="s">
        <v>21649</v>
      </c>
      <c r="F4013" t="s">
        <v>30900</v>
      </c>
      <c r="G4013" t="s">
        <v>30907</v>
      </c>
      <c r="H4013" t="s">
        <v>30916</v>
      </c>
      <c r="I4013" t="s">
        <v>10602</v>
      </c>
      <c r="J4013" t="s">
        <v>32338</v>
      </c>
      <c r="K4013" t="s">
        <v>40281</v>
      </c>
      <c r="M4013" t="s">
        <v>41153</v>
      </c>
      <c r="N4013" t="s">
        <v>44759</v>
      </c>
      <c r="O4013" t="s">
        <v>44760</v>
      </c>
      <c r="P4013">
        <v>0</v>
      </c>
      <c r="Q4013">
        <v>0</v>
      </c>
      <c r="R4013" t="s">
        <v>44762</v>
      </c>
      <c r="S4013" t="s">
        <v>44863</v>
      </c>
      <c r="T4013" t="s">
        <v>46389</v>
      </c>
      <c r="U4013" t="s">
        <v>47975</v>
      </c>
      <c r="V4013" t="s">
        <v>59550</v>
      </c>
      <c r="W4013" t="s">
        <v>41153</v>
      </c>
      <c r="X4013" t="s">
        <v>44763</v>
      </c>
    </row>
    <row r="4014" spans="1:24">
      <c r="A4014">
        <f>HYPERLINK("https://www.philgeps.gov.ph/GEPSNONPILOT/Tender/SplashBidNoticeAbstractUI.aspx?menuIndex=3&amp;refID=7150695&amp;Result=3","7150695")</f>
        <v>0</v>
      </c>
      <c r="B4014" t="s">
        <v>708</v>
      </c>
      <c r="C4014" t="s">
        <v>7571</v>
      </c>
      <c r="E4014" t="s">
        <v>21650</v>
      </c>
      <c r="F4014" t="s">
        <v>30900</v>
      </c>
      <c r="G4014" t="s">
        <v>30907</v>
      </c>
      <c r="H4014" t="s">
        <v>30915</v>
      </c>
      <c r="I4014" t="s">
        <v>30919</v>
      </c>
      <c r="J4014" t="s">
        <v>33810</v>
      </c>
      <c r="K4014" t="s">
        <v>40289</v>
      </c>
      <c r="M4014" t="s">
        <v>41272</v>
      </c>
      <c r="N4014" t="s">
        <v>44759</v>
      </c>
      <c r="O4014" t="s">
        <v>44760</v>
      </c>
      <c r="P4014">
        <v>0</v>
      </c>
      <c r="Q4014">
        <v>0</v>
      </c>
      <c r="R4014" t="s">
        <v>44762</v>
      </c>
      <c r="S4014" t="s">
        <v>44863</v>
      </c>
      <c r="T4014" t="s">
        <v>46529</v>
      </c>
      <c r="U4014" t="s">
        <v>50314</v>
      </c>
      <c r="W4014" t="s">
        <v>41272</v>
      </c>
      <c r="X4014" t="s">
        <v>44763</v>
      </c>
    </row>
    <row r="4015" spans="1:24">
      <c r="A4015">
        <f>HYPERLINK("https://www.philgeps.gov.ph/GEPSNONPILOT/Tender/SplashBidNoticeAbstractUI.aspx?menuIndex=3&amp;refID=7150694&amp;Result=3","7150694")</f>
        <v>0</v>
      </c>
      <c r="B4015" t="s">
        <v>1587</v>
      </c>
      <c r="C4015" t="s">
        <v>7572</v>
      </c>
      <c r="D4015" t="s">
        <v>17998</v>
      </c>
      <c r="E4015" t="s">
        <v>21651</v>
      </c>
      <c r="F4015" t="s">
        <v>30900</v>
      </c>
      <c r="G4015" t="s">
        <v>30908</v>
      </c>
      <c r="H4015" t="s">
        <v>30916</v>
      </c>
      <c r="I4015" t="s">
        <v>8365</v>
      </c>
      <c r="J4015" t="s">
        <v>32925</v>
      </c>
      <c r="K4015" t="s">
        <v>40283</v>
      </c>
      <c r="M4015" t="s">
        <v>42234</v>
      </c>
      <c r="N4015" t="s">
        <v>44759</v>
      </c>
      <c r="O4015" t="s">
        <v>44760</v>
      </c>
      <c r="P4015">
        <v>0</v>
      </c>
      <c r="Q4015">
        <v>0</v>
      </c>
      <c r="R4015" t="s">
        <v>44762</v>
      </c>
      <c r="S4015" t="s">
        <v>44863</v>
      </c>
      <c r="T4015" t="s">
        <v>46357</v>
      </c>
      <c r="U4015" t="s">
        <v>50315</v>
      </c>
      <c r="W4015" t="s">
        <v>42234</v>
      </c>
      <c r="X4015" t="s">
        <v>44763</v>
      </c>
    </row>
    <row r="4016" spans="1:24">
      <c r="A4016">
        <f>HYPERLINK("https://www.philgeps.gov.ph/GEPSNONPILOT/Tender/SplashBidNoticeAbstractUI.aspx?menuIndex=3&amp;refID=7150693&amp;Result=3","7150693")</f>
        <v>0</v>
      </c>
      <c r="B4016" t="s">
        <v>593</v>
      </c>
      <c r="C4016" t="s">
        <v>7573</v>
      </c>
      <c r="D4016" t="s">
        <v>18031</v>
      </c>
      <c r="E4016" t="s">
        <v>21652</v>
      </c>
      <c r="F4016" t="s">
        <v>30900</v>
      </c>
      <c r="G4016" t="s">
        <v>30908</v>
      </c>
      <c r="H4016" t="s">
        <v>30916</v>
      </c>
      <c r="I4016" t="s">
        <v>30939</v>
      </c>
      <c r="J4016" t="s">
        <v>33811</v>
      </c>
      <c r="K4016" t="s">
        <v>40285</v>
      </c>
      <c r="M4016" t="s">
        <v>41155</v>
      </c>
      <c r="N4016" t="s">
        <v>44759</v>
      </c>
      <c r="O4016" t="s">
        <v>44760</v>
      </c>
      <c r="P4016">
        <v>0</v>
      </c>
      <c r="Q4016">
        <v>0</v>
      </c>
      <c r="R4016" t="s">
        <v>44762</v>
      </c>
      <c r="S4016" t="s">
        <v>44863</v>
      </c>
      <c r="T4016" t="s">
        <v>46379</v>
      </c>
      <c r="U4016" t="s">
        <v>50316</v>
      </c>
      <c r="W4016" t="s">
        <v>41155</v>
      </c>
      <c r="X4016" t="s">
        <v>44763</v>
      </c>
    </row>
    <row r="4017" spans="1:24">
      <c r="A4017">
        <f>HYPERLINK("https://www.philgeps.gov.ph/GEPSNONPILOT/Tender/SplashBidNoticeAbstractUI.aspx?menuIndex=3&amp;refID=7150703&amp;Result=3","7150703")</f>
        <v>0</v>
      </c>
      <c r="B4017" t="s">
        <v>720</v>
      </c>
      <c r="C4017" t="s">
        <v>7574</v>
      </c>
      <c r="D4017" t="s">
        <v>18019</v>
      </c>
      <c r="E4017" t="s">
        <v>21653</v>
      </c>
      <c r="F4017" t="s">
        <v>30900</v>
      </c>
      <c r="G4017" t="s">
        <v>30908</v>
      </c>
      <c r="H4017" t="s">
        <v>30916</v>
      </c>
      <c r="I4017" t="s">
        <v>11785</v>
      </c>
      <c r="J4017" t="s">
        <v>33812</v>
      </c>
      <c r="K4017" t="s">
        <v>40284</v>
      </c>
      <c r="M4017" t="s">
        <v>41284</v>
      </c>
      <c r="N4017" t="s">
        <v>44759</v>
      </c>
      <c r="O4017" t="s">
        <v>44760</v>
      </c>
      <c r="P4017">
        <v>0</v>
      </c>
      <c r="Q4017">
        <v>0</v>
      </c>
      <c r="R4017" t="s">
        <v>44762</v>
      </c>
      <c r="S4017" t="s">
        <v>44863</v>
      </c>
      <c r="T4017" t="s">
        <v>46379</v>
      </c>
      <c r="U4017" t="s">
        <v>48210</v>
      </c>
      <c r="V4017" t="s">
        <v>59559</v>
      </c>
      <c r="W4017" t="s">
        <v>41284</v>
      </c>
      <c r="X4017" t="s">
        <v>44763</v>
      </c>
    </row>
    <row r="4018" spans="1:24">
      <c r="A4018">
        <f>HYPERLINK("https://www.philgeps.gov.ph/GEPSNONPILOT/Tender/SplashBidNoticeAbstractUI.aspx?menuIndex=3&amp;refID=7150691&amp;Result=3","7150691")</f>
        <v>0</v>
      </c>
      <c r="B4018" t="s">
        <v>715</v>
      </c>
      <c r="C4018" t="s">
        <v>7575</v>
      </c>
      <c r="D4018" t="s">
        <v>17975</v>
      </c>
      <c r="E4018" t="s">
        <v>21654</v>
      </c>
      <c r="F4018" t="s">
        <v>30900</v>
      </c>
      <c r="G4018" t="s">
        <v>30907</v>
      </c>
      <c r="H4018" t="s">
        <v>30916</v>
      </c>
      <c r="I4018" t="s">
        <v>4108</v>
      </c>
      <c r="J4018" t="s">
        <v>33813</v>
      </c>
      <c r="K4018" t="s">
        <v>40289</v>
      </c>
      <c r="M4018" t="s">
        <v>41279</v>
      </c>
      <c r="N4018" t="s">
        <v>44759</v>
      </c>
      <c r="O4018" t="s">
        <v>44760</v>
      </c>
      <c r="P4018">
        <v>0</v>
      </c>
      <c r="Q4018">
        <v>0</v>
      </c>
      <c r="R4018" t="s">
        <v>44762</v>
      </c>
      <c r="S4018" t="s">
        <v>44863</v>
      </c>
      <c r="T4018" t="s">
        <v>46418</v>
      </c>
      <c r="U4018" t="s">
        <v>48203</v>
      </c>
      <c r="W4018" t="s">
        <v>41279</v>
      </c>
      <c r="X4018" t="s">
        <v>44763</v>
      </c>
    </row>
    <row r="4019" spans="1:24">
      <c r="A4019">
        <f>HYPERLINK("https://www.philgeps.gov.ph/GEPSNONPILOT/Tender/SplashBidNoticeAbstractUI.aspx?menuIndex=3&amp;refID=7150690&amp;Result=3","7150690")</f>
        <v>0</v>
      </c>
      <c r="B4019" t="s">
        <v>711</v>
      </c>
      <c r="C4019" t="s">
        <v>7576</v>
      </c>
      <c r="D4019" t="s">
        <v>17953</v>
      </c>
      <c r="E4019" t="s">
        <v>21655</v>
      </c>
      <c r="F4019" t="s">
        <v>30900</v>
      </c>
      <c r="G4019" t="s">
        <v>30908</v>
      </c>
      <c r="H4019" t="s">
        <v>30916</v>
      </c>
      <c r="I4019" t="s">
        <v>30927</v>
      </c>
      <c r="J4019" t="s">
        <v>33814</v>
      </c>
      <c r="K4019" t="s">
        <v>40286</v>
      </c>
      <c r="M4019" t="s">
        <v>41275</v>
      </c>
      <c r="N4019" t="s">
        <v>44759</v>
      </c>
      <c r="O4019" t="s">
        <v>44760</v>
      </c>
      <c r="P4019">
        <v>0</v>
      </c>
      <c r="Q4019">
        <v>1</v>
      </c>
      <c r="R4019" t="s">
        <v>44762</v>
      </c>
      <c r="S4019" t="s">
        <v>44863</v>
      </c>
      <c r="T4019" t="s">
        <v>46414</v>
      </c>
      <c r="U4019" t="s">
        <v>50276</v>
      </c>
      <c r="V4019" t="s">
        <v>59286</v>
      </c>
      <c r="W4019" t="s">
        <v>41275</v>
      </c>
      <c r="X4019" t="s">
        <v>44763</v>
      </c>
    </row>
    <row r="4020" spans="1:24">
      <c r="A4020">
        <f>HYPERLINK("https://www.philgeps.gov.ph/GEPSNONPILOT/Tender/SplashBidNoticeAbstractUI.aspx?menuIndex=3&amp;refID=7150689&amp;Result=3","7150689")</f>
        <v>0</v>
      </c>
      <c r="B4020" t="s">
        <v>389</v>
      </c>
      <c r="C4020" t="s">
        <v>7577</v>
      </c>
      <c r="D4020" t="s">
        <v>17969</v>
      </c>
      <c r="E4020" t="s">
        <v>21656</v>
      </c>
      <c r="F4020" t="s">
        <v>30900</v>
      </c>
      <c r="G4020" t="s">
        <v>30909</v>
      </c>
      <c r="H4020" t="s">
        <v>30916</v>
      </c>
      <c r="I4020" t="s">
        <v>7708</v>
      </c>
      <c r="J4020" t="s">
        <v>31898</v>
      </c>
      <c r="K4020" t="s">
        <v>40284</v>
      </c>
      <c r="M4020" t="s">
        <v>40944</v>
      </c>
      <c r="N4020" t="s">
        <v>44759</v>
      </c>
      <c r="O4020" t="s">
        <v>44760</v>
      </c>
      <c r="P4020">
        <v>0</v>
      </c>
      <c r="Q4020">
        <v>0</v>
      </c>
      <c r="R4020" t="s">
        <v>44762</v>
      </c>
      <c r="S4020" t="s">
        <v>44863</v>
      </c>
      <c r="T4020" t="s">
        <v>46531</v>
      </c>
      <c r="U4020" t="s">
        <v>50317</v>
      </c>
      <c r="W4020" t="s">
        <v>40944</v>
      </c>
      <c r="X4020" t="s">
        <v>44763</v>
      </c>
    </row>
    <row r="4021" spans="1:24">
      <c r="A4021">
        <f>HYPERLINK("https://www.philgeps.gov.ph/GEPSNONPILOT/Tender/SplashBidNoticeAbstractUI.aspx?menuIndex=3&amp;refID=7150688&amp;Result=3","7150688")</f>
        <v>0</v>
      </c>
      <c r="B4021" t="s">
        <v>729</v>
      </c>
      <c r="C4021" t="s">
        <v>7578</v>
      </c>
      <c r="D4021" t="s">
        <v>18018</v>
      </c>
      <c r="E4021" t="s">
        <v>21657</v>
      </c>
      <c r="F4021" t="s">
        <v>30900</v>
      </c>
      <c r="G4021" t="s">
        <v>30908</v>
      </c>
      <c r="H4021" t="s">
        <v>30916</v>
      </c>
      <c r="I4021" t="s">
        <v>8123</v>
      </c>
      <c r="J4021" t="s">
        <v>32157</v>
      </c>
      <c r="K4021" t="s">
        <v>40289</v>
      </c>
      <c r="M4021" t="s">
        <v>41293</v>
      </c>
      <c r="N4021" t="s">
        <v>44759</v>
      </c>
      <c r="O4021" t="s">
        <v>44760</v>
      </c>
      <c r="P4021">
        <v>0</v>
      </c>
      <c r="Q4021">
        <v>0</v>
      </c>
      <c r="R4021" t="s">
        <v>44762</v>
      </c>
      <c r="S4021" t="s">
        <v>44863</v>
      </c>
      <c r="T4021" t="s">
        <v>46357</v>
      </c>
      <c r="U4021" t="s">
        <v>47002</v>
      </c>
      <c r="W4021" t="s">
        <v>41293</v>
      </c>
      <c r="X4021" t="s">
        <v>44763</v>
      </c>
    </row>
    <row r="4022" spans="1:24">
      <c r="A4022">
        <f>HYPERLINK("https://www.philgeps.gov.ph/GEPSNONPILOT/Tender/SplashBidNoticeAbstractUI.aspx?menuIndex=3&amp;refID=7150709&amp;Result=3","7150709")</f>
        <v>0</v>
      </c>
      <c r="B4022" t="s">
        <v>488</v>
      </c>
      <c r="C4022" t="s">
        <v>7579</v>
      </c>
      <c r="D4022" t="s">
        <v>17985</v>
      </c>
      <c r="E4022" t="s">
        <v>21658</v>
      </c>
      <c r="F4022" t="s">
        <v>30900</v>
      </c>
      <c r="G4022" t="s">
        <v>30908</v>
      </c>
      <c r="H4022" t="s">
        <v>30916</v>
      </c>
      <c r="I4022" t="s">
        <v>8123</v>
      </c>
      <c r="J4022" t="s">
        <v>31497</v>
      </c>
      <c r="K4022" t="s">
        <v>40286</v>
      </c>
      <c r="M4022" t="s">
        <v>41046</v>
      </c>
      <c r="N4022" t="s">
        <v>44759</v>
      </c>
      <c r="O4022" t="s">
        <v>44760</v>
      </c>
      <c r="P4022">
        <v>0</v>
      </c>
      <c r="Q4022">
        <v>0</v>
      </c>
      <c r="R4022" t="s">
        <v>44762</v>
      </c>
      <c r="S4022" t="s">
        <v>44863</v>
      </c>
      <c r="T4022" t="s">
        <v>46399</v>
      </c>
      <c r="U4022" t="s">
        <v>50318</v>
      </c>
      <c r="W4022" t="s">
        <v>41046</v>
      </c>
      <c r="X4022" t="s">
        <v>44763</v>
      </c>
    </row>
    <row r="4023" spans="1:24">
      <c r="A4023">
        <f>HYPERLINK("https://www.philgeps.gov.ph/GEPSNONPILOT/Tender/SplashBidNoticeAbstractUI.aspx?menuIndex=3&amp;refID=7150729&amp;Result=3","7150729")</f>
        <v>0</v>
      </c>
      <c r="B4023" t="s">
        <v>593</v>
      </c>
      <c r="C4023" t="s">
        <v>7580</v>
      </c>
      <c r="D4023" t="s">
        <v>18031</v>
      </c>
      <c r="E4023" t="s">
        <v>21659</v>
      </c>
      <c r="F4023" t="s">
        <v>30900</v>
      </c>
      <c r="G4023" t="s">
        <v>30908</v>
      </c>
      <c r="H4023" t="s">
        <v>30916</v>
      </c>
      <c r="I4023" t="s">
        <v>30939</v>
      </c>
      <c r="J4023" t="s">
        <v>33692</v>
      </c>
      <c r="K4023" t="s">
        <v>40285</v>
      </c>
      <c r="M4023" t="s">
        <v>41155</v>
      </c>
      <c r="N4023" t="s">
        <v>44759</v>
      </c>
      <c r="O4023" t="s">
        <v>44760</v>
      </c>
      <c r="P4023">
        <v>0</v>
      </c>
      <c r="Q4023">
        <v>0</v>
      </c>
      <c r="R4023" t="s">
        <v>44762</v>
      </c>
      <c r="S4023" t="s">
        <v>44863</v>
      </c>
      <c r="T4023" t="s">
        <v>46379</v>
      </c>
      <c r="U4023" t="s">
        <v>50319</v>
      </c>
      <c r="W4023" t="s">
        <v>41155</v>
      </c>
      <c r="X4023" t="s">
        <v>44763</v>
      </c>
    </row>
    <row r="4024" spans="1:24">
      <c r="A4024">
        <f>HYPERLINK("https://www.philgeps.gov.ph/GEPSNONPILOT/Tender/SplashBidNoticeAbstractUI.aspx?menuIndex=3&amp;refID=7150728&amp;Result=3","7150728")</f>
        <v>0</v>
      </c>
      <c r="B4024" t="s">
        <v>726</v>
      </c>
      <c r="C4024" t="s">
        <v>4085</v>
      </c>
      <c r="D4024" t="s">
        <v>18016</v>
      </c>
      <c r="E4024" t="s">
        <v>21660</v>
      </c>
      <c r="F4024" t="s">
        <v>30900</v>
      </c>
      <c r="G4024" t="s">
        <v>30907</v>
      </c>
      <c r="H4024" t="s">
        <v>30916</v>
      </c>
      <c r="I4024" t="s">
        <v>8123</v>
      </c>
      <c r="J4024" t="s">
        <v>33815</v>
      </c>
      <c r="K4024" t="s">
        <v>40286</v>
      </c>
      <c r="M4024" t="s">
        <v>41290</v>
      </c>
      <c r="N4024" t="s">
        <v>44759</v>
      </c>
      <c r="O4024" t="s">
        <v>44760</v>
      </c>
      <c r="P4024">
        <v>0</v>
      </c>
      <c r="Q4024">
        <v>0</v>
      </c>
      <c r="R4024" t="s">
        <v>44762</v>
      </c>
      <c r="S4024" t="s">
        <v>44863</v>
      </c>
      <c r="T4024" t="s">
        <v>46389</v>
      </c>
      <c r="U4024" t="s">
        <v>50320</v>
      </c>
      <c r="W4024" t="s">
        <v>41290</v>
      </c>
      <c r="X4024" t="s">
        <v>44763</v>
      </c>
    </row>
    <row r="4025" spans="1:24">
      <c r="A4025">
        <f>HYPERLINK("https://www.philgeps.gov.ph/GEPSNONPILOT/Tender/SplashBidNoticeAbstractUI.aspx?menuIndex=3&amp;refID=7150727&amp;Result=3","7150727")</f>
        <v>0</v>
      </c>
      <c r="B4025" t="s">
        <v>715</v>
      </c>
      <c r="C4025" t="s">
        <v>7581</v>
      </c>
      <c r="D4025" t="s">
        <v>17975</v>
      </c>
      <c r="E4025" t="s">
        <v>21661</v>
      </c>
      <c r="F4025" t="s">
        <v>30900</v>
      </c>
      <c r="G4025" t="s">
        <v>30907</v>
      </c>
      <c r="H4025" t="s">
        <v>30916</v>
      </c>
      <c r="I4025" t="s">
        <v>30933</v>
      </c>
      <c r="J4025" t="s">
        <v>31050</v>
      </c>
      <c r="K4025" t="s">
        <v>40289</v>
      </c>
      <c r="M4025" t="s">
        <v>41279</v>
      </c>
      <c r="N4025" t="s">
        <v>44759</v>
      </c>
      <c r="O4025" t="s">
        <v>44760</v>
      </c>
      <c r="P4025">
        <v>0</v>
      </c>
      <c r="Q4025">
        <v>0</v>
      </c>
      <c r="R4025" t="s">
        <v>44762</v>
      </c>
      <c r="S4025" t="s">
        <v>44863</v>
      </c>
      <c r="T4025" t="s">
        <v>46418</v>
      </c>
      <c r="U4025" t="s">
        <v>48203</v>
      </c>
      <c r="W4025" t="s">
        <v>41279</v>
      </c>
      <c r="X4025" t="s">
        <v>44763</v>
      </c>
    </row>
    <row r="4026" spans="1:24">
      <c r="A4026">
        <f>HYPERLINK("https://www.philgeps.gov.ph/GEPSNONPILOT/Tender/SplashBidNoticeAbstractUI.aspx?menuIndex=3&amp;refID=7150726&amp;Result=3","7150726")</f>
        <v>0</v>
      </c>
      <c r="B4026" t="s">
        <v>787</v>
      </c>
      <c r="C4026" t="s">
        <v>7582</v>
      </c>
      <c r="D4026" t="s">
        <v>17987</v>
      </c>
      <c r="E4026" t="s">
        <v>21662</v>
      </c>
      <c r="F4026" t="s">
        <v>30900</v>
      </c>
      <c r="G4026" t="s">
        <v>30907</v>
      </c>
      <c r="H4026" t="s">
        <v>30916</v>
      </c>
      <c r="I4026" t="s">
        <v>30933</v>
      </c>
      <c r="J4026" t="s">
        <v>31701</v>
      </c>
      <c r="K4026" t="s">
        <v>40289</v>
      </c>
      <c r="M4026" t="s">
        <v>41356</v>
      </c>
      <c r="N4026" t="s">
        <v>44759</v>
      </c>
      <c r="O4026" t="s">
        <v>44760</v>
      </c>
      <c r="P4026">
        <v>0</v>
      </c>
      <c r="Q4026">
        <v>2</v>
      </c>
      <c r="R4026" t="s">
        <v>44762</v>
      </c>
      <c r="S4026" t="s">
        <v>44863</v>
      </c>
      <c r="T4026" t="s">
        <v>46380</v>
      </c>
      <c r="U4026" t="s">
        <v>50321</v>
      </c>
      <c r="W4026" t="s">
        <v>41356</v>
      </c>
      <c r="X4026" t="s">
        <v>44763</v>
      </c>
    </row>
    <row r="4027" spans="1:24">
      <c r="A4027">
        <f>HYPERLINK("https://www.philgeps.gov.ph/GEPSNONPILOT/Tender/SplashBidNoticeAbstractUI.aspx?menuIndex=3&amp;refID=7150725&amp;Result=3","7150725")</f>
        <v>0</v>
      </c>
      <c r="B4027" t="s">
        <v>591</v>
      </c>
      <c r="C4027" t="s">
        <v>7583</v>
      </c>
      <c r="D4027" t="s">
        <v>17998</v>
      </c>
      <c r="E4027" t="s">
        <v>21663</v>
      </c>
      <c r="F4027" t="s">
        <v>30900</v>
      </c>
      <c r="G4027" t="s">
        <v>30907</v>
      </c>
      <c r="H4027" t="s">
        <v>30916</v>
      </c>
      <c r="I4027" t="s">
        <v>8123</v>
      </c>
      <c r="J4027" t="s">
        <v>33816</v>
      </c>
      <c r="K4027" t="s">
        <v>40286</v>
      </c>
      <c r="M4027" t="s">
        <v>41153</v>
      </c>
      <c r="N4027" t="s">
        <v>44759</v>
      </c>
      <c r="O4027" t="s">
        <v>44760</v>
      </c>
      <c r="P4027">
        <v>0</v>
      </c>
      <c r="Q4027">
        <v>0</v>
      </c>
      <c r="R4027" t="s">
        <v>44762</v>
      </c>
      <c r="S4027" t="s">
        <v>44863</v>
      </c>
      <c r="T4027" t="s">
        <v>46389</v>
      </c>
      <c r="U4027" t="s">
        <v>47975</v>
      </c>
      <c r="V4027" t="s">
        <v>59550</v>
      </c>
      <c r="W4027" t="s">
        <v>41153</v>
      </c>
      <c r="X4027" t="s">
        <v>44763</v>
      </c>
    </row>
    <row r="4028" spans="1:24">
      <c r="A4028">
        <f>HYPERLINK("https://www.philgeps.gov.ph/GEPSNONPILOT/Tender/SplashBidNoticeAbstractUI.aspx?menuIndex=3&amp;refID=7150700&amp;Result=3","7150700")</f>
        <v>0</v>
      </c>
      <c r="B4028" t="s">
        <v>591</v>
      </c>
      <c r="C4028" t="s">
        <v>7584</v>
      </c>
      <c r="D4028" t="s">
        <v>17998</v>
      </c>
      <c r="E4028" t="s">
        <v>21664</v>
      </c>
      <c r="F4028" t="s">
        <v>30900</v>
      </c>
      <c r="G4028" t="s">
        <v>30907</v>
      </c>
      <c r="H4028" t="s">
        <v>30916</v>
      </c>
      <c r="I4028" t="s">
        <v>8123</v>
      </c>
      <c r="J4028" t="s">
        <v>33817</v>
      </c>
      <c r="K4028" t="s">
        <v>40286</v>
      </c>
      <c r="M4028" t="s">
        <v>41153</v>
      </c>
      <c r="N4028" t="s">
        <v>44759</v>
      </c>
      <c r="O4028" t="s">
        <v>44760</v>
      </c>
      <c r="P4028">
        <v>0</v>
      </c>
      <c r="Q4028">
        <v>0</v>
      </c>
      <c r="R4028" t="s">
        <v>44762</v>
      </c>
      <c r="S4028" t="s">
        <v>44863</v>
      </c>
      <c r="T4028" t="s">
        <v>46389</v>
      </c>
      <c r="U4028" t="s">
        <v>47975</v>
      </c>
      <c r="V4028" t="s">
        <v>59550</v>
      </c>
      <c r="W4028" t="s">
        <v>41153</v>
      </c>
      <c r="X4028" t="s">
        <v>44763</v>
      </c>
    </row>
    <row r="4029" spans="1:24">
      <c r="A4029">
        <f>HYPERLINK("https://www.philgeps.gov.ph/GEPSNONPILOT/Tender/SplashBidNoticeAbstractUI.aspx?menuIndex=3&amp;refID=7150724&amp;Result=3","7150724")</f>
        <v>0</v>
      </c>
      <c r="B4029" t="s">
        <v>325</v>
      </c>
      <c r="C4029" t="s">
        <v>7585</v>
      </c>
      <c r="D4029" t="s">
        <v>17995</v>
      </c>
      <c r="E4029" t="s">
        <v>21665</v>
      </c>
      <c r="F4029" t="s">
        <v>30900</v>
      </c>
      <c r="G4029" t="s">
        <v>30909</v>
      </c>
      <c r="H4029" t="s">
        <v>30916</v>
      </c>
      <c r="I4029" t="s">
        <v>30921</v>
      </c>
      <c r="J4029" t="s">
        <v>33818</v>
      </c>
      <c r="K4029" t="s">
        <v>40287</v>
      </c>
      <c r="L4029" t="s">
        <v>325</v>
      </c>
      <c r="M4029" t="s">
        <v>40876</v>
      </c>
      <c r="N4029" t="s">
        <v>44759</v>
      </c>
      <c r="O4029" t="s">
        <v>44760</v>
      </c>
      <c r="P4029">
        <v>0</v>
      </c>
      <c r="Q4029">
        <v>0</v>
      </c>
      <c r="R4029" t="s">
        <v>44762</v>
      </c>
      <c r="S4029" t="s">
        <v>44863</v>
      </c>
      <c r="T4029" t="s">
        <v>46644</v>
      </c>
      <c r="U4029" t="s">
        <v>50322</v>
      </c>
      <c r="V4029" t="s">
        <v>59173</v>
      </c>
      <c r="W4029" t="s">
        <v>40876</v>
      </c>
      <c r="X4029" t="s">
        <v>44763</v>
      </c>
    </row>
    <row r="4030" spans="1:24">
      <c r="A4030">
        <f>HYPERLINK("https://www.philgeps.gov.ph/GEPSNONPILOT/Tender/SplashBidNoticeAbstractUI.aspx?menuIndex=3&amp;refID=7150723&amp;Result=3","7150723")</f>
        <v>0</v>
      </c>
      <c r="B4030" t="s">
        <v>1588</v>
      </c>
      <c r="C4030" t="s">
        <v>7586</v>
      </c>
      <c r="D4030" t="s">
        <v>18007</v>
      </c>
      <c r="E4030" t="s">
        <v>21666</v>
      </c>
      <c r="F4030" t="s">
        <v>30900</v>
      </c>
      <c r="G4030" t="s">
        <v>30907</v>
      </c>
      <c r="H4030" t="s">
        <v>30915</v>
      </c>
      <c r="I4030" t="s">
        <v>30919</v>
      </c>
      <c r="J4030" t="s">
        <v>33819</v>
      </c>
      <c r="K4030" t="s">
        <v>40293</v>
      </c>
      <c r="M4030" t="s">
        <v>42235</v>
      </c>
      <c r="N4030" t="s">
        <v>44759</v>
      </c>
      <c r="O4030" t="s">
        <v>44760</v>
      </c>
      <c r="P4030">
        <v>0</v>
      </c>
      <c r="Q4030">
        <v>0</v>
      </c>
      <c r="R4030" t="s">
        <v>44762</v>
      </c>
      <c r="S4030" t="s">
        <v>44863</v>
      </c>
      <c r="T4030" t="s">
        <v>46409</v>
      </c>
      <c r="U4030" t="s">
        <v>50323</v>
      </c>
      <c r="W4030" t="s">
        <v>42235</v>
      </c>
      <c r="X4030" t="s">
        <v>44763</v>
      </c>
    </row>
    <row r="4031" spans="1:24">
      <c r="A4031">
        <f>HYPERLINK("https://www.philgeps.gov.ph/GEPSNONPILOT/Tender/SplashBidNoticeAbstractUI.aspx?menuIndex=3&amp;refID=7150722&amp;Result=3","7150722")</f>
        <v>0</v>
      </c>
      <c r="B4031" t="s">
        <v>1589</v>
      </c>
      <c r="C4031" t="s">
        <v>7587</v>
      </c>
      <c r="D4031" t="s">
        <v>17992</v>
      </c>
      <c r="E4031" t="s">
        <v>21667</v>
      </c>
      <c r="F4031" t="s">
        <v>30900</v>
      </c>
      <c r="G4031" t="s">
        <v>30907</v>
      </c>
      <c r="H4031" t="s">
        <v>30916</v>
      </c>
      <c r="I4031" t="s">
        <v>8123</v>
      </c>
      <c r="J4031" t="s">
        <v>33820</v>
      </c>
      <c r="K4031" t="s">
        <v>40284</v>
      </c>
      <c r="M4031" t="s">
        <v>42236</v>
      </c>
      <c r="N4031" t="s">
        <v>44759</v>
      </c>
      <c r="O4031" t="s">
        <v>44760</v>
      </c>
      <c r="P4031">
        <v>0</v>
      </c>
      <c r="Q4031">
        <v>0</v>
      </c>
      <c r="R4031" t="s">
        <v>44762</v>
      </c>
      <c r="S4031" t="s">
        <v>44863</v>
      </c>
      <c r="T4031" t="s">
        <v>46409</v>
      </c>
      <c r="U4031" t="s">
        <v>50324</v>
      </c>
      <c r="W4031" t="s">
        <v>42236</v>
      </c>
      <c r="X4031" t="s">
        <v>44763</v>
      </c>
    </row>
    <row r="4032" spans="1:24">
      <c r="A4032">
        <f>HYPERLINK("https://www.philgeps.gov.ph/GEPSNONPILOT/Tender/SplashBidNoticeAbstractUI.aspx?menuIndex=3&amp;refID=7150719&amp;Result=3","7150719")</f>
        <v>0</v>
      </c>
      <c r="B4032" t="s">
        <v>806</v>
      </c>
      <c r="C4032" t="s">
        <v>7588</v>
      </c>
      <c r="D4032" t="s">
        <v>18029</v>
      </c>
      <c r="E4032" t="s">
        <v>21668</v>
      </c>
      <c r="F4032" t="s">
        <v>30900</v>
      </c>
      <c r="G4032" t="s">
        <v>30908</v>
      </c>
      <c r="H4032" t="s">
        <v>30916</v>
      </c>
      <c r="I4032" t="s">
        <v>30939</v>
      </c>
      <c r="J4032" t="s">
        <v>31249</v>
      </c>
      <c r="K4032" t="s">
        <v>40283</v>
      </c>
      <c r="M4032" t="s">
        <v>41376</v>
      </c>
      <c r="N4032" t="s">
        <v>44759</v>
      </c>
      <c r="O4032" t="s">
        <v>44760</v>
      </c>
      <c r="P4032">
        <v>0</v>
      </c>
      <c r="Q4032">
        <v>0</v>
      </c>
      <c r="R4032" t="s">
        <v>44762</v>
      </c>
      <c r="S4032" t="s">
        <v>44863</v>
      </c>
      <c r="T4032" t="s">
        <v>46542</v>
      </c>
      <c r="U4032" t="s">
        <v>50325</v>
      </c>
      <c r="W4032" t="s">
        <v>41376</v>
      </c>
      <c r="X4032" t="s">
        <v>44763</v>
      </c>
    </row>
    <row r="4033" spans="1:24">
      <c r="A4033">
        <f>HYPERLINK("https://www.philgeps.gov.ph/GEPSNONPILOT/Tender/SplashBidNoticeAbstractUI.aspx?menuIndex=3&amp;refID=7150717&amp;Result=3","7150717")</f>
        <v>0</v>
      </c>
      <c r="B4033" t="s">
        <v>593</v>
      </c>
      <c r="C4033" t="s">
        <v>7589</v>
      </c>
      <c r="D4033" t="s">
        <v>18031</v>
      </c>
      <c r="E4033" t="s">
        <v>21669</v>
      </c>
      <c r="F4033" t="s">
        <v>30900</v>
      </c>
      <c r="G4033" t="s">
        <v>30908</v>
      </c>
      <c r="H4033" t="s">
        <v>30916</v>
      </c>
      <c r="I4033" t="s">
        <v>30939</v>
      </c>
      <c r="J4033" t="s">
        <v>33692</v>
      </c>
      <c r="K4033" t="s">
        <v>40285</v>
      </c>
      <c r="M4033" t="s">
        <v>41155</v>
      </c>
      <c r="N4033" t="s">
        <v>44759</v>
      </c>
      <c r="O4033" t="s">
        <v>44760</v>
      </c>
      <c r="P4033">
        <v>0</v>
      </c>
      <c r="Q4033">
        <v>0</v>
      </c>
      <c r="R4033" t="s">
        <v>44762</v>
      </c>
      <c r="S4033" t="s">
        <v>44863</v>
      </c>
      <c r="T4033" t="s">
        <v>46379</v>
      </c>
      <c r="U4033" t="s">
        <v>50326</v>
      </c>
      <c r="W4033" t="s">
        <v>41155</v>
      </c>
      <c r="X4033" t="s">
        <v>44763</v>
      </c>
    </row>
    <row r="4034" spans="1:24">
      <c r="A4034">
        <f>HYPERLINK("https://www.philgeps.gov.ph/GEPSNONPILOT/Tender/SplashBidNoticeAbstractUI.aspx?menuIndex=3&amp;refID=7150716&amp;Result=3","7150716")</f>
        <v>0</v>
      </c>
      <c r="B4034" t="s">
        <v>784</v>
      </c>
      <c r="C4034" t="s">
        <v>7590</v>
      </c>
      <c r="D4034" t="s">
        <v>17971</v>
      </c>
      <c r="E4034" t="s">
        <v>21670</v>
      </c>
      <c r="F4034" t="s">
        <v>30900</v>
      </c>
      <c r="G4034" t="s">
        <v>30907</v>
      </c>
      <c r="H4034" t="s">
        <v>30915</v>
      </c>
      <c r="I4034" t="s">
        <v>30919</v>
      </c>
      <c r="J4034" t="s">
        <v>31153</v>
      </c>
      <c r="K4034" t="s">
        <v>40286</v>
      </c>
      <c r="M4034" t="s">
        <v>41353</v>
      </c>
      <c r="N4034" t="s">
        <v>44759</v>
      </c>
      <c r="O4034" t="s">
        <v>44760</v>
      </c>
      <c r="Q4034">
        <v>21</v>
      </c>
      <c r="R4034" t="s">
        <v>44762</v>
      </c>
      <c r="S4034" t="s">
        <v>44885</v>
      </c>
      <c r="T4034" t="s">
        <v>46389</v>
      </c>
      <c r="U4034" t="s">
        <v>50327</v>
      </c>
      <c r="V4034" t="s">
        <v>59560</v>
      </c>
      <c r="W4034" t="s">
        <v>41353</v>
      </c>
      <c r="X4034" t="s">
        <v>44763</v>
      </c>
    </row>
    <row r="4035" spans="1:24">
      <c r="A4035">
        <f>HYPERLINK("https://www.philgeps.gov.ph/GEPSNONPILOT/Tender/SplashBidNoticeAbstractUI.aspx?menuIndex=3&amp;refID=7150697&amp;Result=3","7150697")</f>
        <v>0</v>
      </c>
      <c r="B4035" t="s">
        <v>709</v>
      </c>
      <c r="C4035" t="s">
        <v>7591</v>
      </c>
      <c r="D4035" t="s">
        <v>18021</v>
      </c>
      <c r="E4035" t="s">
        <v>21671</v>
      </c>
      <c r="F4035" t="s">
        <v>30900</v>
      </c>
      <c r="G4035" t="s">
        <v>30909</v>
      </c>
      <c r="H4035" t="s">
        <v>30916</v>
      </c>
      <c r="I4035" t="s">
        <v>4142</v>
      </c>
      <c r="J4035" t="s">
        <v>32537</v>
      </c>
      <c r="K4035" t="s">
        <v>40287</v>
      </c>
      <c r="M4035" t="s">
        <v>41273</v>
      </c>
      <c r="N4035" t="s">
        <v>44759</v>
      </c>
      <c r="O4035" t="s">
        <v>44760</v>
      </c>
      <c r="P4035">
        <v>0</v>
      </c>
      <c r="Q4035">
        <v>0</v>
      </c>
      <c r="R4035" t="s">
        <v>44762</v>
      </c>
      <c r="S4035" t="s">
        <v>44863</v>
      </c>
      <c r="T4035" t="s">
        <v>46562</v>
      </c>
      <c r="U4035" t="s">
        <v>50328</v>
      </c>
      <c r="W4035" t="s">
        <v>41273</v>
      </c>
      <c r="X4035" t="s">
        <v>44763</v>
      </c>
    </row>
    <row r="4036" spans="1:24">
      <c r="A4036">
        <f>HYPERLINK("https://www.philgeps.gov.ph/GEPSNONPILOT/Tender/SplashBidNoticeAbstractUI.aspx?menuIndex=3&amp;refID=7150714&amp;Result=3","7150714")</f>
        <v>0</v>
      </c>
      <c r="B4036" t="s">
        <v>1153</v>
      </c>
      <c r="C4036" t="s">
        <v>7592</v>
      </c>
      <c r="E4036" t="s">
        <v>21672</v>
      </c>
      <c r="F4036" t="s">
        <v>30900</v>
      </c>
      <c r="G4036" t="s">
        <v>30908</v>
      </c>
      <c r="H4036" t="s">
        <v>30916</v>
      </c>
      <c r="I4036" t="s">
        <v>30942</v>
      </c>
      <c r="J4036" t="s">
        <v>33821</v>
      </c>
      <c r="K4036" t="s">
        <v>40289</v>
      </c>
      <c r="M4036" t="s">
        <v>42237</v>
      </c>
      <c r="N4036" t="s">
        <v>44759</v>
      </c>
      <c r="O4036" t="s">
        <v>44760</v>
      </c>
      <c r="P4036">
        <v>0</v>
      </c>
      <c r="Q4036">
        <v>4</v>
      </c>
      <c r="R4036" t="s">
        <v>44762</v>
      </c>
      <c r="S4036" t="s">
        <v>44863</v>
      </c>
      <c r="T4036" t="s">
        <v>46357</v>
      </c>
      <c r="U4036" t="s">
        <v>50329</v>
      </c>
      <c r="W4036" t="s">
        <v>42237</v>
      </c>
      <c r="X4036" t="s">
        <v>44763</v>
      </c>
    </row>
    <row r="4037" spans="1:24">
      <c r="A4037">
        <f>HYPERLINK("https://www.philgeps.gov.ph/GEPSNONPILOT/Tender/SplashBidNoticeAbstractUI.aspx?menuIndex=3&amp;refID=7150711&amp;Result=3","7150711")</f>
        <v>0</v>
      </c>
      <c r="B4037" t="s">
        <v>757</v>
      </c>
      <c r="C4037" t="s">
        <v>7593</v>
      </c>
      <c r="D4037" t="s">
        <v>18028</v>
      </c>
      <c r="E4037" t="s">
        <v>21673</v>
      </c>
      <c r="F4037" t="s">
        <v>30900</v>
      </c>
      <c r="G4037" t="s">
        <v>30907</v>
      </c>
      <c r="H4037" t="s">
        <v>30916</v>
      </c>
      <c r="I4037" t="s">
        <v>8123</v>
      </c>
      <c r="J4037" t="s">
        <v>31043</v>
      </c>
      <c r="K4037" t="s">
        <v>40284</v>
      </c>
      <c r="M4037" t="s">
        <v>41322</v>
      </c>
      <c r="N4037" t="s">
        <v>44759</v>
      </c>
      <c r="O4037" t="s">
        <v>44760</v>
      </c>
      <c r="P4037">
        <v>0</v>
      </c>
      <c r="Q4037">
        <v>0</v>
      </c>
      <c r="R4037" t="s">
        <v>44762</v>
      </c>
      <c r="S4037" t="s">
        <v>44863</v>
      </c>
      <c r="T4037" t="s">
        <v>46395</v>
      </c>
      <c r="U4037" t="s">
        <v>50330</v>
      </c>
      <c r="W4037" t="s">
        <v>41322</v>
      </c>
      <c r="X4037" t="s">
        <v>44763</v>
      </c>
    </row>
    <row r="4038" spans="1:24">
      <c r="A4038">
        <f>HYPERLINK("https://www.philgeps.gov.ph/GEPSNONPILOT/Tender/SplashBidNoticeAbstractUI.aspx?menuIndex=3&amp;refID=7150720&amp;Result=3","7150720")</f>
        <v>0</v>
      </c>
      <c r="B4038" t="s">
        <v>708</v>
      </c>
      <c r="C4038" t="s">
        <v>7594</v>
      </c>
      <c r="E4038" t="s">
        <v>21674</v>
      </c>
      <c r="F4038" t="s">
        <v>30900</v>
      </c>
      <c r="G4038" t="s">
        <v>30907</v>
      </c>
      <c r="H4038" t="s">
        <v>30915</v>
      </c>
      <c r="I4038" t="s">
        <v>30919</v>
      </c>
      <c r="J4038" t="s">
        <v>33822</v>
      </c>
      <c r="K4038" t="s">
        <v>40289</v>
      </c>
      <c r="M4038" t="s">
        <v>41272</v>
      </c>
      <c r="N4038" t="s">
        <v>44759</v>
      </c>
      <c r="O4038" t="s">
        <v>44760</v>
      </c>
      <c r="P4038">
        <v>0</v>
      </c>
      <c r="Q4038">
        <v>0</v>
      </c>
      <c r="R4038" t="s">
        <v>44762</v>
      </c>
      <c r="S4038" t="s">
        <v>44863</v>
      </c>
      <c r="T4038" t="s">
        <v>46529</v>
      </c>
      <c r="U4038" t="s">
        <v>50331</v>
      </c>
      <c r="W4038" t="s">
        <v>41272</v>
      </c>
      <c r="X4038" t="s">
        <v>44763</v>
      </c>
    </row>
    <row r="4039" spans="1:24">
      <c r="A4039">
        <f>HYPERLINK("https://www.philgeps.gov.ph/GEPSNONPILOT/Tender/SplashBidNoticeAbstractUI.aspx?menuIndex=3&amp;refID=7150718&amp;Result=3","7150718")</f>
        <v>0</v>
      </c>
      <c r="B4039" t="s">
        <v>735</v>
      </c>
      <c r="C4039" t="s">
        <v>4545</v>
      </c>
      <c r="D4039" t="s">
        <v>17998</v>
      </c>
      <c r="E4039" t="s">
        <v>21675</v>
      </c>
      <c r="F4039" t="s">
        <v>30900</v>
      </c>
      <c r="G4039" t="s">
        <v>30908</v>
      </c>
      <c r="H4039" t="s">
        <v>30916</v>
      </c>
      <c r="I4039" t="s">
        <v>4545</v>
      </c>
      <c r="J4039" t="s">
        <v>33599</v>
      </c>
      <c r="K4039" t="s">
        <v>40285</v>
      </c>
      <c r="M4039" t="s">
        <v>41299</v>
      </c>
      <c r="N4039" t="s">
        <v>44759</v>
      </c>
      <c r="O4039" t="s">
        <v>44760</v>
      </c>
      <c r="P4039">
        <v>0</v>
      </c>
      <c r="Q4039">
        <v>4</v>
      </c>
      <c r="R4039" t="s">
        <v>44762</v>
      </c>
      <c r="S4039" t="s">
        <v>44863</v>
      </c>
      <c r="T4039" t="s">
        <v>46457</v>
      </c>
      <c r="U4039" t="s">
        <v>50332</v>
      </c>
      <c r="W4039" t="s">
        <v>41299</v>
      </c>
      <c r="X4039" t="s">
        <v>44763</v>
      </c>
    </row>
    <row r="4040" spans="1:24">
      <c r="A4040">
        <f>HYPERLINK("https://www.philgeps.gov.ph/GEPSNONPILOT/Tender/SplashBidNoticeAbstractUI.aspx?menuIndex=3&amp;refID=7150710&amp;Result=3","7150710")</f>
        <v>0</v>
      </c>
      <c r="B4040" t="s">
        <v>544</v>
      </c>
      <c r="C4040" t="s">
        <v>7595</v>
      </c>
      <c r="D4040" t="s">
        <v>17972</v>
      </c>
      <c r="E4040" t="s">
        <v>18234</v>
      </c>
      <c r="F4040" t="s">
        <v>30900</v>
      </c>
      <c r="G4040" t="s">
        <v>30907</v>
      </c>
      <c r="H4040" t="s">
        <v>30916</v>
      </c>
      <c r="I4040" t="s">
        <v>4142</v>
      </c>
      <c r="J4040" t="s">
        <v>33823</v>
      </c>
      <c r="K4040" t="s">
        <v>40287</v>
      </c>
      <c r="M4040" t="s">
        <v>41105</v>
      </c>
      <c r="N4040" t="s">
        <v>44759</v>
      </c>
      <c r="O4040" t="s">
        <v>44760</v>
      </c>
      <c r="P4040">
        <v>0</v>
      </c>
      <c r="Q4040">
        <v>1</v>
      </c>
      <c r="R4040" t="s">
        <v>44762</v>
      </c>
      <c r="S4040" t="s">
        <v>44863</v>
      </c>
      <c r="T4040" t="s">
        <v>46377</v>
      </c>
      <c r="U4040" t="s">
        <v>50333</v>
      </c>
      <c r="V4040" t="s">
        <v>59561</v>
      </c>
      <c r="W4040" t="s">
        <v>41105</v>
      </c>
      <c r="X4040" t="s">
        <v>44763</v>
      </c>
    </row>
    <row r="4041" spans="1:24">
      <c r="A4041">
        <f>HYPERLINK("https://www.philgeps.gov.ph/GEPSNONPILOT/Tender/SplashBidNoticeAbstractUI.aspx?menuIndex=3&amp;refID=7150698&amp;Result=3","7150698")</f>
        <v>0</v>
      </c>
      <c r="B4041" t="s">
        <v>726</v>
      </c>
      <c r="C4041" t="s">
        <v>7530</v>
      </c>
      <c r="D4041" t="s">
        <v>18016</v>
      </c>
      <c r="E4041" t="s">
        <v>21676</v>
      </c>
      <c r="F4041" t="s">
        <v>30900</v>
      </c>
      <c r="G4041" t="s">
        <v>30907</v>
      </c>
      <c r="H4041" t="s">
        <v>30916</v>
      </c>
      <c r="I4041" t="s">
        <v>4108</v>
      </c>
      <c r="J4041" t="s">
        <v>31247</v>
      </c>
      <c r="K4041" t="s">
        <v>40286</v>
      </c>
      <c r="M4041" t="s">
        <v>41290</v>
      </c>
      <c r="N4041" t="s">
        <v>44759</v>
      </c>
      <c r="O4041" t="s">
        <v>44760</v>
      </c>
      <c r="P4041">
        <v>0</v>
      </c>
      <c r="Q4041">
        <v>0</v>
      </c>
      <c r="R4041" t="s">
        <v>44762</v>
      </c>
      <c r="S4041" t="s">
        <v>44863</v>
      </c>
      <c r="T4041" t="s">
        <v>46389</v>
      </c>
      <c r="U4041" t="s">
        <v>50334</v>
      </c>
      <c r="W4041" t="s">
        <v>41290</v>
      </c>
      <c r="X4041" t="s">
        <v>44763</v>
      </c>
    </row>
    <row r="4042" spans="1:24">
      <c r="A4042">
        <f>HYPERLINK("https://www.philgeps.gov.ph/GEPSNONPILOT/Tender/SplashBidNoticeAbstractUI.aspx?menuIndex=3&amp;refID=7150713&amp;Result=3","7150713")</f>
        <v>0</v>
      </c>
      <c r="B4042" t="s">
        <v>1590</v>
      </c>
      <c r="C4042" t="s">
        <v>7596</v>
      </c>
      <c r="D4042" t="s">
        <v>17959</v>
      </c>
      <c r="E4042" t="s">
        <v>21677</v>
      </c>
      <c r="F4042" t="s">
        <v>30900</v>
      </c>
      <c r="G4042" t="s">
        <v>30908</v>
      </c>
      <c r="H4042" t="s">
        <v>30916</v>
      </c>
      <c r="I4042" t="s">
        <v>4108</v>
      </c>
      <c r="J4042" t="s">
        <v>32144</v>
      </c>
      <c r="K4042" t="s">
        <v>40283</v>
      </c>
      <c r="M4042" t="s">
        <v>42238</v>
      </c>
      <c r="N4042" t="s">
        <v>44759</v>
      </c>
      <c r="O4042" t="s">
        <v>44760</v>
      </c>
      <c r="P4042">
        <v>0</v>
      </c>
      <c r="Q4042">
        <v>0</v>
      </c>
      <c r="R4042" t="s">
        <v>44762</v>
      </c>
      <c r="S4042" t="s">
        <v>44863</v>
      </c>
      <c r="T4042" t="s">
        <v>46655</v>
      </c>
      <c r="U4042" t="s">
        <v>50335</v>
      </c>
      <c r="W4042" t="s">
        <v>42238</v>
      </c>
      <c r="X4042" t="s">
        <v>44763</v>
      </c>
    </row>
    <row r="4043" spans="1:24">
      <c r="A4043">
        <f>HYPERLINK("https://www.philgeps.gov.ph/GEPSNONPILOT/Tender/SplashBidNoticeAbstractUI.aspx?menuIndex=3&amp;refID=7150670&amp;Result=3","7150670")</f>
        <v>0</v>
      </c>
      <c r="B4043" t="s">
        <v>1571</v>
      </c>
      <c r="C4043" t="s">
        <v>7597</v>
      </c>
      <c r="D4043" t="s">
        <v>17960</v>
      </c>
      <c r="E4043" t="s">
        <v>21678</v>
      </c>
      <c r="F4043" t="s">
        <v>30900</v>
      </c>
      <c r="G4043" t="s">
        <v>30909</v>
      </c>
      <c r="H4043" t="s">
        <v>30916</v>
      </c>
      <c r="I4043" t="s">
        <v>8123</v>
      </c>
      <c r="J4043" t="s">
        <v>33824</v>
      </c>
      <c r="K4043" t="s">
        <v>40283</v>
      </c>
      <c r="L4043" t="s">
        <v>1571</v>
      </c>
      <c r="M4043" t="s">
        <v>42219</v>
      </c>
      <c r="N4043" t="s">
        <v>44759</v>
      </c>
      <c r="O4043" t="s">
        <v>44760</v>
      </c>
      <c r="P4043">
        <v>0</v>
      </c>
      <c r="Q4043">
        <v>0</v>
      </c>
      <c r="R4043" t="s">
        <v>44762</v>
      </c>
      <c r="S4043" t="s">
        <v>44863</v>
      </c>
      <c r="T4043" t="s">
        <v>46383</v>
      </c>
      <c r="U4043" t="s">
        <v>50336</v>
      </c>
      <c r="W4043" t="s">
        <v>42219</v>
      </c>
      <c r="X4043" t="s">
        <v>44763</v>
      </c>
    </row>
    <row r="4044" spans="1:24">
      <c r="A4044">
        <f>HYPERLINK("https://www.philgeps.gov.ph/GEPSNONPILOT/Tender/SplashBidNoticeAbstractUI.aspx?menuIndex=3&amp;refID=7150730&amp;Result=3","7150730")</f>
        <v>0</v>
      </c>
      <c r="B4044" t="s">
        <v>767</v>
      </c>
      <c r="C4044" t="s">
        <v>7598</v>
      </c>
      <c r="D4044" t="s">
        <v>18020</v>
      </c>
      <c r="E4044" t="s">
        <v>21679</v>
      </c>
      <c r="F4044" t="s">
        <v>30900</v>
      </c>
      <c r="G4044" t="s">
        <v>30909</v>
      </c>
      <c r="H4044" t="s">
        <v>30916</v>
      </c>
      <c r="I4044" t="s">
        <v>30934</v>
      </c>
      <c r="J4044" t="s">
        <v>31070</v>
      </c>
      <c r="K4044" t="s">
        <v>40289</v>
      </c>
      <c r="M4044" t="s">
        <v>41333</v>
      </c>
      <c r="N4044" t="s">
        <v>44759</v>
      </c>
      <c r="O4044" t="s">
        <v>44760</v>
      </c>
      <c r="P4044">
        <v>0</v>
      </c>
      <c r="Q4044">
        <v>0</v>
      </c>
      <c r="R4044" t="s">
        <v>44762</v>
      </c>
      <c r="S4044" t="s">
        <v>44863</v>
      </c>
      <c r="T4044" t="s">
        <v>46410</v>
      </c>
      <c r="U4044" t="s">
        <v>50337</v>
      </c>
      <c r="V4044" t="s">
        <v>59299</v>
      </c>
      <c r="W4044" t="s">
        <v>41333</v>
      </c>
      <c r="X4044" t="s">
        <v>44763</v>
      </c>
    </row>
    <row r="4045" spans="1:24">
      <c r="A4045">
        <f>HYPERLINK("https://www.philgeps.gov.ph/GEPSNONPILOT/Tender/SplashBidNoticeAbstractUI.aspx?menuIndex=3&amp;refID=7150712&amp;Result=3","7150712")</f>
        <v>0</v>
      </c>
      <c r="B4045" t="s">
        <v>545</v>
      </c>
      <c r="C4045" t="s">
        <v>4269</v>
      </c>
      <c r="E4045" t="s">
        <v>19020</v>
      </c>
      <c r="F4045" t="s">
        <v>30900</v>
      </c>
      <c r="G4045" t="s">
        <v>30907</v>
      </c>
      <c r="H4045" t="s">
        <v>30916</v>
      </c>
      <c r="I4045" t="s">
        <v>4545</v>
      </c>
      <c r="J4045" t="s">
        <v>31096</v>
      </c>
      <c r="K4045" t="s">
        <v>40289</v>
      </c>
      <c r="M4045" t="s">
        <v>41106</v>
      </c>
      <c r="N4045" t="s">
        <v>44759</v>
      </c>
      <c r="O4045" t="s">
        <v>44760</v>
      </c>
      <c r="P4045">
        <v>0</v>
      </c>
      <c r="Q4045">
        <v>1</v>
      </c>
      <c r="R4045" t="s">
        <v>44762</v>
      </c>
      <c r="S4045" t="s">
        <v>44863</v>
      </c>
      <c r="T4045" t="s">
        <v>46614</v>
      </c>
      <c r="U4045" t="s">
        <v>47864</v>
      </c>
      <c r="W4045" t="s">
        <v>41106</v>
      </c>
      <c r="X4045" t="s">
        <v>44763</v>
      </c>
    </row>
    <row r="4046" spans="1:24">
      <c r="A4046">
        <f>HYPERLINK("https://www.philgeps.gov.ph/GEPSNONPILOT/Tender/SplashBidNoticeAbstractUI.aspx?menuIndex=3&amp;refID=7150705&amp;Result=3","7150705")</f>
        <v>0</v>
      </c>
      <c r="B4046" t="s">
        <v>718</v>
      </c>
      <c r="C4046" t="s">
        <v>7599</v>
      </c>
      <c r="D4046" t="s">
        <v>17980</v>
      </c>
      <c r="E4046" t="s">
        <v>21680</v>
      </c>
      <c r="F4046" t="s">
        <v>30900</v>
      </c>
      <c r="G4046" t="s">
        <v>30907</v>
      </c>
      <c r="H4046" t="s">
        <v>30915</v>
      </c>
      <c r="I4046" t="s">
        <v>30919</v>
      </c>
      <c r="J4046" t="s">
        <v>32983</v>
      </c>
      <c r="K4046" t="s">
        <v>40286</v>
      </c>
      <c r="M4046" t="s">
        <v>41282</v>
      </c>
      <c r="N4046" t="s">
        <v>44759</v>
      </c>
      <c r="O4046" t="s">
        <v>44760</v>
      </c>
      <c r="P4046">
        <v>0</v>
      </c>
      <c r="Q4046">
        <v>0</v>
      </c>
      <c r="R4046" t="s">
        <v>44762</v>
      </c>
      <c r="S4046" t="s">
        <v>44863</v>
      </c>
      <c r="T4046" t="s">
        <v>46362</v>
      </c>
      <c r="U4046" t="s">
        <v>48206</v>
      </c>
      <c r="V4046" t="s">
        <v>59562</v>
      </c>
      <c r="W4046" t="s">
        <v>41282</v>
      </c>
      <c r="X4046" t="s">
        <v>44763</v>
      </c>
    </row>
    <row r="4047" spans="1:24">
      <c r="A4047">
        <f>HYPERLINK("https://www.philgeps.gov.ph/GEPSNONPILOT/Tender/SplashBidNoticeAbstractUI.aspx?menuIndex=3&amp;refID=7150668&amp;Result=3","7150668")</f>
        <v>0</v>
      </c>
      <c r="B4047" t="s">
        <v>740</v>
      </c>
      <c r="C4047" t="s">
        <v>7600</v>
      </c>
      <c r="D4047" t="s">
        <v>17974</v>
      </c>
      <c r="E4047" t="s">
        <v>21681</v>
      </c>
      <c r="F4047" t="s">
        <v>30900</v>
      </c>
      <c r="G4047" t="s">
        <v>30907</v>
      </c>
      <c r="H4047" t="s">
        <v>30915</v>
      </c>
      <c r="I4047" t="s">
        <v>30919</v>
      </c>
      <c r="J4047" t="s">
        <v>33825</v>
      </c>
      <c r="K4047" t="s">
        <v>40299</v>
      </c>
      <c r="M4047" t="s">
        <v>41304</v>
      </c>
      <c r="N4047" t="s">
        <v>44759</v>
      </c>
      <c r="O4047" t="s">
        <v>44760</v>
      </c>
      <c r="P4047">
        <v>0</v>
      </c>
      <c r="Q4047">
        <v>0</v>
      </c>
      <c r="R4047" t="s">
        <v>44762</v>
      </c>
      <c r="S4047" t="s">
        <v>44863</v>
      </c>
      <c r="T4047" t="s">
        <v>46350</v>
      </c>
      <c r="U4047" t="s">
        <v>50338</v>
      </c>
      <c r="W4047" t="s">
        <v>41304</v>
      </c>
      <c r="X4047" t="s">
        <v>44763</v>
      </c>
    </row>
    <row r="4048" spans="1:24">
      <c r="A4048">
        <f>HYPERLINK("https://www.philgeps.gov.ph/GEPSNONPILOT/Tender/SplashBidNoticeAbstractUI.aspx?menuIndex=3&amp;refID=7150708&amp;Result=3","7150708")</f>
        <v>0</v>
      </c>
      <c r="B4048" t="s">
        <v>593</v>
      </c>
      <c r="C4048" t="s">
        <v>7601</v>
      </c>
      <c r="D4048" t="s">
        <v>18031</v>
      </c>
      <c r="E4048" t="s">
        <v>21682</v>
      </c>
      <c r="F4048" t="s">
        <v>30900</v>
      </c>
      <c r="G4048" t="s">
        <v>30908</v>
      </c>
      <c r="H4048" t="s">
        <v>30916</v>
      </c>
      <c r="I4048" t="s">
        <v>30939</v>
      </c>
      <c r="J4048" t="s">
        <v>33826</v>
      </c>
      <c r="K4048" t="s">
        <v>40285</v>
      </c>
      <c r="M4048" t="s">
        <v>41155</v>
      </c>
      <c r="N4048" t="s">
        <v>44759</v>
      </c>
      <c r="O4048" t="s">
        <v>44760</v>
      </c>
      <c r="P4048">
        <v>0</v>
      </c>
      <c r="Q4048">
        <v>0</v>
      </c>
      <c r="R4048" t="s">
        <v>44762</v>
      </c>
      <c r="S4048" t="s">
        <v>44863</v>
      </c>
      <c r="T4048" t="s">
        <v>46379</v>
      </c>
      <c r="U4048" t="s">
        <v>50339</v>
      </c>
      <c r="W4048" t="s">
        <v>41155</v>
      </c>
      <c r="X4048" t="s">
        <v>44763</v>
      </c>
    </row>
    <row r="4049" spans="1:24">
      <c r="A4049">
        <f>HYPERLINK("https://www.philgeps.gov.ph/GEPSNONPILOT/Tender/SplashBidNoticeAbstractUI.aspx?menuIndex=3&amp;refID=7150753&amp;Result=3","7150753")</f>
        <v>0</v>
      </c>
      <c r="B4049" t="s">
        <v>591</v>
      </c>
      <c r="C4049" t="s">
        <v>7602</v>
      </c>
      <c r="D4049" t="s">
        <v>17998</v>
      </c>
      <c r="E4049" t="s">
        <v>21683</v>
      </c>
      <c r="F4049" t="s">
        <v>30900</v>
      </c>
      <c r="G4049" t="s">
        <v>30907</v>
      </c>
      <c r="H4049" t="s">
        <v>30916</v>
      </c>
      <c r="I4049" t="s">
        <v>6953</v>
      </c>
      <c r="J4049" t="s">
        <v>33827</v>
      </c>
      <c r="K4049" t="s">
        <v>40286</v>
      </c>
      <c r="M4049" t="s">
        <v>41153</v>
      </c>
      <c r="N4049" t="s">
        <v>44759</v>
      </c>
      <c r="O4049" t="s">
        <v>44760</v>
      </c>
      <c r="P4049">
        <v>0</v>
      </c>
      <c r="Q4049">
        <v>0</v>
      </c>
      <c r="R4049" t="s">
        <v>44762</v>
      </c>
      <c r="S4049" t="s">
        <v>44863</v>
      </c>
      <c r="T4049" t="s">
        <v>46389</v>
      </c>
      <c r="U4049" t="s">
        <v>47975</v>
      </c>
      <c r="V4049" t="s">
        <v>59550</v>
      </c>
      <c r="W4049" t="s">
        <v>41153</v>
      </c>
      <c r="X4049" t="s">
        <v>44763</v>
      </c>
    </row>
    <row r="4050" spans="1:24">
      <c r="A4050">
        <f>HYPERLINK("https://www.philgeps.gov.ph/GEPSNONPILOT/Tender/SplashBidNoticeAbstractUI.aspx?menuIndex=3&amp;refID=7150752&amp;Result=3","7150752")</f>
        <v>0</v>
      </c>
      <c r="B4050" t="s">
        <v>718</v>
      </c>
      <c r="C4050" t="s">
        <v>7603</v>
      </c>
      <c r="D4050" t="s">
        <v>17980</v>
      </c>
      <c r="E4050" t="s">
        <v>21684</v>
      </c>
      <c r="F4050" t="s">
        <v>30900</v>
      </c>
      <c r="G4050" t="s">
        <v>30907</v>
      </c>
      <c r="H4050" t="s">
        <v>30916</v>
      </c>
      <c r="I4050" t="s">
        <v>7411</v>
      </c>
      <c r="J4050" t="s">
        <v>31096</v>
      </c>
      <c r="K4050" t="s">
        <v>40286</v>
      </c>
      <c r="M4050" t="s">
        <v>41282</v>
      </c>
      <c r="N4050" t="s">
        <v>44759</v>
      </c>
      <c r="O4050" t="s">
        <v>44760</v>
      </c>
      <c r="P4050">
        <v>0</v>
      </c>
      <c r="Q4050">
        <v>1</v>
      </c>
      <c r="R4050" t="s">
        <v>44762</v>
      </c>
      <c r="S4050" t="s">
        <v>44863</v>
      </c>
      <c r="T4050" t="s">
        <v>46362</v>
      </c>
      <c r="U4050" t="s">
        <v>48206</v>
      </c>
      <c r="V4050" t="s">
        <v>59288</v>
      </c>
      <c r="W4050" t="s">
        <v>41282</v>
      </c>
      <c r="X4050" t="s">
        <v>44763</v>
      </c>
    </row>
    <row r="4051" spans="1:24">
      <c r="A4051">
        <f>HYPERLINK("https://www.philgeps.gov.ph/GEPSNONPILOT/Tender/SplashBidNoticeAbstractUI.aspx?menuIndex=3&amp;refID=7150687&amp;Result=3","7150687")</f>
        <v>0</v>
      </c>
      <c r="B4051" t="s">
        <v>591</v>
      </c>
      <c r="C4051" t="s">
        <v>7604</v>
      </c>
      <c r="D4051" t="s">
        <v>17998</v>
      </c>
      <c r="E4051" t="s">
        <v>21685</v>
      </c>
      <c r="F4051" t="s">
        <v>30900</v>
      </c>
      <c r="G4051" t="s">
        <v>30907</v>
      </c>
      <c r="H4051" t="s">
        <v>30916</v>
      </c>
      <c r="I4051" t="s">
        <v>30927</v>
      </c>
      <c r="J4051" t="s">
        <v>33828</v>
      </c>
      <c r="K4051" t="s">
        <v>40286</v>
      </c>
      <c r="M4051" t="s">
        <v>41153</v>
      </c>
      <c r="N4051" t="s">
        <v>44759</v>
      </c>
      <c r="O4051" t="s">
        <v>44760</v>
      </c>
      <c r="P4051">
        <v>0</v>
      </c>
      <c r="Q4051">
        <v>0</v>
      </c>
      <c r="R4051" t="s">
        <v>44762</v>
      </c>
      <c r="S4051" t="s">
        <v>44863</v>
      </c>
      <c r="T4051" t="s">
        <v>46389</v>
      </c>
      <c r="U4051" t="s">
        <v>47975</v>
      </c>
      <c r="V4051" t="s">
        <v>59550</v>
      </c>
      <c r="W4051" t="s">
        <v>41153</v>
      </c>
      <c r="X4051" t="s">
        <v>44763</v>
      </c>
    </row>
    <row r="4052" spans="1:24">
      <c r="A4052">
        <f>HYPERLINK("https://www.philgeps.gov.ph/GEPSNONPILOT/Tender/SplashBidNoticeAbstractUI.aspx?menuIndex=3&amp;refID=7150748&amp;Result=3","7150748")</f>
        <v>0</v>
      </c>
      <c r="B4052" t="s">
        <v>1585</v>
      </c>
      <c r="C4052" t="s">
        <v>7605</v>
      </c>
      <c r="D4052" t="s">
        <v>17953</v>
      </c>
      <c r="E4052" t="s">
        <v>21686</v>
      </c>
      <c r="F4052" t="s">
        <v>30900</v>
      </c>
      <c r="G4052" t="s">
        <v>30910</v>
      </c>
      <c r="H4052" t="s">
        <v>30916</v>
      </c>
      <c r="I4052" t="s">
        <v>4142</v>
      </c>
      <c r="J4052" t="s">
        <v>33829</v>
      </c>
      <c r="K4052" t="s">
        <v>40283</v>
      </c>
      <c r="M4052" t="s">
        <v>42232</v>
      </c>
      <c r="N4052" t="s">
        <v>44759</v>
      </c>
      <c r="O4052" t="s">
        <v>44760</v>
      </c>
      <c r="P4052">
        <v>0</v>
      </c>
      <c r="Q4052">
        <v>1</v>
      </c>
      <c r="R4052" t="s">
        <v>44762</v>
      </c>
      <c r="S4052" t="s">
        <v>44863</v>
      </c>
      <c r="T4052" t="s">
        <v>46409</v>
      </c>
      <c r="U4052" t="s">
        <v>50305</v>
      </c>
      <c r="W4052" t="s">
        <v>42232</v>
      </c>
      <c r="X4052" t="s">
        <v>44763</v>
      </c>
    </row>
    <row r="4053" spans="1:24">
      <c r="A4053">
        <f>HYPERLINK("https://www.philgeps.gov.ph/GEPSNONPILOT/Tender/SplashBidNoticeAbstractUI.aspx?menuIndex=3&amp;refID=7150747&amp;Result=3","7150747")</f>
        <v>0</v>
      </c>
      <c r="B4053" t="s">
        <v>715</v>
      </c>
      <c r="C4053" t="s">
        <v>7606</v>
      </c>
      <c r="D4053" t="s">
        <v>17975</v>
      </c>
      <c r="E4053" t="s">
        <v>21687</v>
      </c>
      <c r="F4053" t="s">
        <v>30900</v>
      </c>
      <c r="G4053" t="s">
        <v>30907</v>
      </c>
      <c r="H4053" t="s">
        <v>30916</v>
      </c>
      <c r="I4053" t="s">
        <v>4108</v>
      </c>
      <c r="J4053" t="s">
        <v>33606</v>
      </c>
      <c r="K4053" t="s">
        <v>40289</v>
      </c>
      <c r="M4053" t="s">
        <v>41279</v>
      </c>
      <c r="N4053" t="s">
        <v>44759</v>
      </c>
      <c r="O4053" t="s">
        <v>44760</v>
      </c>
      <c r="P4053">
        <v>0</v>
      </c>
      <c r="Q4053">
        <v>2</v>
      </c>
      <c r="R4053" t="s">
        <v>44762</v>
      </c>
      <c r="S4053" t="s">
        <v>44863</v>
      </c>
      <c r="T4053" t="s">
        <v>46418</v>
      </c>
      <c r="U4053" t="s">
        <v>48203</v>
      </c>
      <c r="W4053" t="s">
        <v>41279</v>
      </c>
      <c r="X4053" t="s">
        <v>44763</v>
      </c>
    </row>
    <row r="4054" spans="1:24">
      <c r="A4054">
        <f>HYPERLINK("https://www.philgeps.gov.ph/GEPSNONPILOT/Tender/SplashBidNoticeAbstractUI.aspx?menuIndex=3&amp;refID=7150746&amp;Result=3","7150746")</f>
        <v>0</v>
      </c>
      <c r="B4054" t="s">
        <v>711</v>
      </c>
      <c r="C4054" t="s">
        <v>7607</v>
      </c>
      <c r="D4054" t="s">
        <v>17953</v>
      </c>
      <c r="E4054" t="s">
        <v>21688</v>
      </c>
      <c r="F4054" t="s">
        <v>30900</v>
      </c>
      <c r="G4054" t="s">
        <v>30908</v>
      </c>
      <c r="H4054" t="s">
        <v>30916</v>
      </c>
      <c r="I4054" t="s">
        <v>30933</v>
      </c>
      <c r="J4054" t="s">
        <v>33830</v>
      </c>
      <c r="K4054" t="s">
        <v>40286</v>
      </c>
      <c r="M4054" t="s">
        <v>41275</v>
      </c>
      <c r="N4054" t="s">
        <v>44759</v>
      </c>
      <c r="O4054" t="s">
        <v>44760</v>
      </c>
      <c r="P4054">
        <v>0</v>
      </c>
      <c r="Q4054">
        <v>0</v>
      </c>
      <c r="R4054" t="s">
        <v>44762</v>
      </c>
      <c r="S4054" t="s">
        <v>44863</v>
      </c>
      <c r="T4054" t="s">
        <v>46414</v>
      </c>
      <c r="U4054" t="s">
        <v>48200</v>
      </c>
      <c r="V4054" t="s">
        <v>59286</v>
      </c>
      <c r="W4054" t="s">
        <v>41275</v>
      </c>
      <c r="X4054" t="s">
        <v>44763</v>
      </c>
    </row>
    <row r="4055" spans="1:24">
      <c r="A4055">
        <f>HYPERLINK("https://www.philgeps.gov.ph/GEPSNONPILOT/Tender/SplashBidNoticeAbstractUI.aspx?menuIndex=3&amp;refID=7150745&amp;Result=3","7150745")</f>
        <v>0</v>
      </c>
      <c r="B4055" t="s">
        <v>1581</v>
      </c>
      <c r="C4055" t="s">
        <v>7550</v>
      </c>
      <c r="D4055" t="s">
        <v>17961</v>
      </c>
      <c r="E4055" t="s">
        <v>21689</v>
      </c>
      <c r="F4055" t="s">
        <v>30900</v>
      </c>
      <c r="G4055" t="s">
        <v>30907</v>
      </c>
      <c r="H4055" t="s">
        <v>30916</v>
      </c>
      <c r="I4055" t="s">
        <v>4545</v>
      </c>
      <c r="J4055" t="s">
        <v>33799</v>
      </c>
      <c r="K4055" t="s">
        <v>40284</v>
      </c>
      <c r="M4055" t="s">
        <v>42228</v>
      </c>
      <c r="N4055" t="s">
        <v>44759</v>
      </c>
      <c r="O4055" t="s">
        <v>44760</v>
      </c>
      <c r="P4055">
        <v>0</v>
      </c>
      <c r="Q4055">
        <v>3</v>
      </c>
      <c r="R4055" t="s">
        <v>44762</v>
      </c>
      <c r="S4055" t="s">
        <v>44863</v>
      </c>
      <c r="T4055" t="s">
        <v>46506</v>
      </c>
      <c r="U4055" t="s">
        <v>50340</v>
      </c>
      <c r="V4055" t="s">
        <v>59558</v>
      </c>
      <c r="W4055" t="s">
        <v>42228</v>
      </c>
      <c r="X4055" t="s">
        <v>44763</v>
      </c>
    </row>
    <row r="4056" spans="1:24">
      <c r="A4056">
        <f>HYPERLINK("https://www.philgeps.gov.ph/GEPSNONPILOT/Tender/SplashBidNoticeAbstractUI.aspx?menuIndex=3&amp;refID=7150744&amp;Result=3","7150744")</f>
        <v>0</v>
      </c>
      <c r="B4056" t="s">
        <v>710</v>
      </c>
      <c r="C4056" t="s">
        <v>7608</v>
      </c>
      <c r="E4056" t="s">
        <v>21690</v>
      </c>
      <c r="F4056" t="s">
        <v>30900</v>
      </c>
      <c r="G4056" t="s">
        <v>30908</v>
      </c>
      <c r="H4056" t="s">
        <v>30916</v>
      </c>
      <c r="I4056" t="s">
        <v>30967</v>
      </c>
      <c r="J4056" t="s">
        <v>31320</v>
      </c>
      <c r="K4056" t="s">
        <v>40289</v>
      </c>
      <c r="M4056" t="s">
        <v>41274</v>
      </c>
      <c r="N4056" t="s">
        <v>44759</v>
      </c>
      <c r="O4056" t="s">
        <v>44760</v>
      </c>
      <c r="P4056">
        <v>0</v>
      </c>
      <c r="Q4056">
        <v>0</v>
      </c>
      <c r="R4056" t="s">
        <v>44762</v>
      </c>
      <c r="S4056" t="s">
        <v>44863</v>
      </c>
      <c r="T4056" t="s">
        <v>46390</v>
      </c>
      <c r="U4056" t="s">
        <v>50341</v>
      </c>
      <c r="W4056" t="s">
        <v>41274</v>
      </c>
      <c r="X4056" t="s">
        <v>44763</v>
      </c>
    </row>
    <row r="4057" spans="1:24">
      <c r="A4057">
        <f>HYPERLINK("https://www.philgeps.gov.ph/GEPSNONPILOT/Tender/SplashBidNoticeAbstractUI.aspx?menuIndex=3&amp;refID=7150743&amp;Result=3","7150743")</f>
        <v>0</v>
      </c>
      <c r="B4057" t="s">
        <v>744</v>
      </c>
      <c r="C4057" t="s">
        <v>7609</v>
      </c>
      <c r="D4057" t="s">
        <v>18006</v>
      </c>
      <c r="E4057" t="s">
        <v>21691</v>
      </c>
      <c r="F4057" t="s">
        <v>30900</v>
      </c>
      <c r="G4057" t="s">
        <v>30909</v>
      </c>
      <c r="H4057" t="s">
        <v>30917</v>
      </c>
      <c r="I4057" t="s">
        <v>30946</v>
      </c>
      <c r="J4057" t="s">
        <v>33831</v>
      </c>
      <c r="K4057" t="s">
        <v>40396</v>
      </c>
      <c r="M4057" t="s">
        <v>41308</v>
      </c>
      <c r="N4057" t="s">
        <v>44759</v>
      </c>
      <c r="O4057" t="s">
        <v>44760</v>
      </c>
      <c r="P4057">
        <v>0</v>
      </c>
      <c r="Q4057">
        <v>0</v>
      </c>
      <c r="R4057" t="s">
        <v>44762</v>
      </c>
      <c r="S4057" t="s">
        <v>44863</v>
      </c>
      <c r="T4057" t="s">
        <v>46390</v>
      </c>
      <c r="U4057" t="s">
        <v>50342</v>
      </c>
      <c r="W4057" t="s">
        <v>41308</v>
      </c>
      <c r="X4057" t="s">
        <v>44763</v>
      </c>
    </row>
    <row r="4058" spans="1:24">
      <c r="A4058">
        <f>HYPERLINK("https://www.philgeps.gov.ph/GEPSNONPILOT/Tender/SplashBidNoticeAbstractUI.aspx?menuIndex=3&amp;refID=7150742&amp;Result=3","7150742")</f>
        <v>0</v>
      </c>
      <c r="B4058" t="s">
        <v>1550</v>
      </c>
      <c r="C4058" t="s">
        <v>7610</v>
      </c>
      <c r="D4058" t="s">
        <v>17978</v>
      </c>
      <c r="E4058" t="s">
        <v>20202</v>
      </c>
      <c r="F4058" t="s">
        <v>30900</v>
      </c>
      <c r="G4058" t="s">
        <v>30907</v>
      </c>
      <c r="H4058" t="s">
        <v>30915</v>
      </c>
      <c r="I4058" t="s">
        <v>30919</v>
      </c>
      <c r="J4058" t="s">
        <v>33832</v>
      </c>
      <c r="K4058" t="s">
        <v>40286</v>
      </c>
      <c r="M4058" t="s">
        <v>42195</v>
      </c>
      <c r="N4058" t="s">
        <v>44759</v>
      </c>
      <c r="O4058" t="s">
        <v>44760</v>
      </c>
      <c r="P4058">
        <v>0</v>
      </c>
      <c r="Q4058">
        <v>0</v>
      </c>
      <c r="R4058" t="s">
        <v>44762</v>
      </c>
      <c r="S4058" t="s">
        <v>44863</v>
      </c>
      <c r="T4058" t="s">
        <v>46380</v>
      </c>
      <c r="U4058" t="s">
        <v>50218</v>
      </c>
      <c r="W4058" t="s">
        <v>42195</v>
      </c>
      <c r="X4058" t="s">
        <v>44763</v>
      </c>
    </row>
    <row r="4059" spans="1:24">
      <c r="A4059">
        <f>HYPERLINK("https://www.philgeps.gov.ph/GEPSNONPILOT/Tender/SplashBidNoticeAbstractUI.aspx?menuIndex=3&amp;refID=7150740&amp;Result=3","7150740")</f>
        <v>0</v>
      </c>
      <c r="B4059" t="s">
        <v>862</v>
      </c>
      <c r="C4059" t="s">
        <v>6396</v>
      </c>
      <c r="D4059" t="s">
        <v>17953</v>
      </c>
      <c r="E4059" t="s">
        <v>21692</v>
      </c>
      <c r="F4059" t="s">
        <v>30900</v>
      </c>
      <c r="G4059" t="s">
        <v>30908</v>
      </c>
      <c r="H4059" t="s">
        <v>30916</v>
      </c>
      <c r="I4059" t="s">
        <v>6396</v>
      </c>
      <c r="J4059" t="s">
        <v>33833</v>
      </c>
      <c r="K4059" t="s">
        <v>40281</v>
      </c>
      <c r="M4059" t="s">
        <v>41435</v>
      </c>
      <c r="N4059" t="s">
        <v>44759</v>
      </c>
      <c r="O4059" t="s">
        <v>44760</v>
      </c>
      <c r="P4059">
        <v>0</v>
      </c>
      <c r="Q4059">
        <v>0</v>
      </c>
      <c r="R4059" t="s">
        <v>44762</v>
      </c>
      <c r="S4059" t="s">
        <v>44863</v>
      </c>
      <c r="T4059" t="s">
        <v>46414</v>
      </c>
      <c r="U4059" t="s">
        <v>50343</v>
      </c>
      <c r="W4059" t="s">
        <v>41435</v>
      </c>
      <c r="X4059" t="s">
        <v>44763</v>
      </c>
    </row>
    <row r="4060" spans="1:24">
      <c r="A4060">
        <f>HYPERLINK("https://www.philgeps.gov.ph/GEPSNONPILOT/Tender/SplashBidNoticeAbstractUI.aspx?menuIndex=3&amp;refID=7150738&amp;Result=3","7150738")</f>
        <v>0</v>
      </c>
      <c r="B4060" t="s">
        <v>708</v>
      </c>
      <c r="C4060" t="s">
        <v>7611</v>
      </c>
      <c r="E4060" t="s">
        <v>21693</v>
      </c>
      <c r="F4060" t="s">
        <v>30900</v>
      </c>
      <c r="G4060" t="s">
        <v>30907</v>
      </c>
      <c r="H4060" t="s">
        <v>30915</v>
      </c>
      <c r="I4060" t="s">
        <v>30919</v>
      </c>
      <c r="J4060" t="s">
        <v>33834</v>
      </c>
      <c r="K4060" t="s">
        <v>40289</v>
      </c>
      <c r="M4060" t="s">
        <v>41272</v>
      </c>
      <c r="N4060" t="s">
        <v>44759</v>
      </c>
      <c r="O4060" t="s">
        <v>44760</v>
      </c>
      <c r="P4060">
        <v>0</v>
      </c>
      <c r="Q4060">
        <v>0</v>
      </c>
      <c r="R4060" t="s">
        <v>44762</v>
      </c>
      <c r="S4060" t="s">
        <v>44863</v>
      </c>
      <c r="T4060" t="s">
        <v>46529</v>
      </c>
      <c r="U4060" t="s">
        <v>50344</v>
      </c>
      <c r="W4060" t="s">
        <v>41272</v>
      </c>
      <c r="X4060" t="s">
        <v>44763</v>
      </c>
    </row>
    <row r="4061" spans="1:24">
      <c r="A4061">
        <f>HYPERLINK("https://www.philgeps.gov.ph/GEPSNONPILOT/Tender/SplashBidNoticeAbstractUI.aspx?menuIndex=3&amp;refID=7150751&amp;Result=3","7150751")</f>
        <v>0</v>
      </c>
      <c r="B4061" t="s">
        <v>515</v>
      </c>
      <c r="C4061" t="s">
        <v>7612</v>
      </c>
      <c r="D4061" t="s">
        <v>17966</v>
      </c>
      <c r="E4061" t="s">
        <v>18738</v>
      </c>
      <c r="F4061" t="s">
        <v>30900</v>
      </c>
      <c r="G4061" t="s">
        <v>30908</v>
      </c>
      <c r="H4061" t="s">
        <v>30917</v>
      </c>
      <c r="I4061" t="s">
        <v>30942</v>
      </c>
      <c r="J4061" t="s">
        <v>33835</v>
      </c>
      <c r="K4061" t="s">
        <v>40286</v>
      </c>
      <c r="M4061" t="s">
        <v>41075</v>
      </c>
      <c r="N4061" t="s">
        <v>44759</v>
      </c>
      <c r="O4061" t="s">
        <v>44760</v>
      </c>
      <c r="P4061">
        <v>0</v>
      </c>
      <c r="Q4061">
        <v>0</v>
      </c>
      <c r="R4061" t="s">
        <v>44762</v>
      </c>
      <c r="S4061" t="s">
        <v>44863</v>
      </c>
      <c r="T4061" t="s">
        <v>46414</v>
      </c>
      <c r="U4061" t="s">
        <v>50345</v>
      </c>
      <c r="V4061" t="s">
        <v>59563</v>
      </c>
      <c r="W4061" t="s">
        <v>60829</v>
      </c>
      <c r="X4061" t="s">
        <v>44763</v>
      </c>
    </row>
    <row r="4062" spans="1:24">
      <c r="A4062">
        <f>HYPERLINK("https://www.philgeps.gov.ph/GEPSNONPILOT/Tender/SplashBidNoticeAbstractUI.aspx?menuIndex=3&amp;refID=7150736&amp;Result=3","7150736")</f>
        <v>0</v>
      </c>
      <c r="B4062" t="s">
        <v>1576</v>
      </c>
      <c r="C4062" t="s">
        <v>7613</v>
      </c>
      <c r="D4062" t="s">
        <v>18014</v>
      </c>
      <c r="E4062" t="s">
        <v>21645</v>
      </c>
      <c r="F4062" t="s">
        <v>30900</v>
      </c>
      <c r="G4062" t="s">
        <v>30908</v>
      </c>
      <c r="H4062" t="s">
        <v>30916</v>
      </c>
      <c r="I4062" t="s">
        <v>6408</v>
      </c>
      <c r="J4062" t="s">
        <v>33836</v>
      </c>
      <c r="K4062" t="s">
        <v>40331</v>
      </c>
      <c r="M4062" t="s">
        <v>42223</v>
      </c>
      <c r="N4062" t="s">
        <v>44759</v>
      </c>
      <c r="O4062" t="s">
        <v>44760</v>
      </c>
      <c r="P4062">
        <v>0</v>
      </c>
      <c r="Q4062">
        <v>0</v>
      </c>
      <c r="R4062" t="s">
        <v>44762</v>
      </c>
      <c r="S4062" t="s">
        <v>44863</v>
      </c>
      <c r="T4062" t="s">
        <v>46502</v>
      </c>
      <c r="U4062" t="s">
        <v>50346</v>
      </c>
      <c r="W4062" t="s">
        <v>42223</v>
      </c>
      <c r="X4062" t="s">
        <v>44763</v>
      </c>
    </row>
    <row r="4063" spans="1:24">
      <c r="A4063">
        <f>HYPERLINK("https://www.philgeps.gov.ph/GEPSNONPILOT/Tender/SplashBidNoticeAbstractUI.aspx?menuIndex=3&amp;refID=7150749&amp;Result=3","7150749")</f>
        <v>0</v>
      </c>
      <c r="B4063" t="s">
        <v>593</v>
      </c>
      <c r="C4063" t="s">
        <v>7573</v>
      </c>
      <c r="D4063" t="s">
        <v>18031</v>
      </c>
      <c r="E4063" t="s">
        <v>21694</v>
      </c>
      <c r="F4063" t="s">
        <v>30900</v>
      </c>
      <c r="G4063" t="s">
        <v>30908</v>
      </c>
      <c r="H4063" t="s">
        <v>30916</v>
      </c>
      <c r="I4063" t="s">
        <v>30939</v>
      </c>
      <c r="J4063" t="s">
        <v>33837</v>
      </c>
      <c r="K4063" t="s">
        <v>40285</v>
      </c>
      <c r="M4063" t="s">
        <v>41155</v>
      </c>
      <c r="N4063" t="s">
        <v>44759</v>
      </c>
      <c r="O4063" t="s">
        <v>44760</v>
      </c>
      <c r="P4063">
        <v>0</v>
      </c>
      <c r="Q4063">
        <v>0</v>
      </c>
      <c r="R4063" t="s">
        <v>44762</v>
      </c>
      <c r="S4063" t="s">
        <v>44863</v>
      </c>
      <c r="T4063" t="s">
        <v>46379</v>
      </c>
      <c r="U4063" t="s">
        <v>50347</v>
      </c>
      <c r="W4063" t="s">
        <v>41155</v>
      </c>
      <c r="X4063" t="s">
        <v>44763</v>
      </c>
    </row>
    <row r="4064" spans="1:24">
      <c r="A4064">
        <f>HYPERLINK("https://www.philgeps.gov.ph/GEPSNONPILOT/Tender/SplashBidNoticeAbstractUI.aspx?menuIndex=3&amp;refID=7150732&amp;Result=3","7150732")</f>
        <v>0</v>
      </c>
      <c r="B4064" t="s">
        <v>903</v>
      </c>
      <c r="C4064" t="s">
        <v>7614</v>
      </c>
      <c r="D4064" t="s">
        <v>17962</v>
      </c>
      <c r="E4064" t="s">
        <v>21695</v>
      </c>
      <c r="F4064" t="s">
        <v>30900</v>
      </c>
      <c r="G4064" t="s">
        <v>30907</v>
      </c>
      <c r="H4064" t="s">
        <v>30916</v>
      </c>
      <c r="I4064" t="s">
        <v>4061</v>
      </c>
      <c r="J4064" t="s">
        <v>33838</v>
      </c>
      <c r="K4064" t="s">
        <v>40283</v>
      </c>
      <c r="M4064" t="s">
        <v>41478</v>
      </c>
      <c r="N4064" t="s">
        <v>44759</v>
      </c>
      <c r="O4064" t="s">
        <v>44760</v>
      </c>
      <c r="P4064">
        <v>0</v>
      </c>
      <c r="Q4064">
        <v>1</v>
      </c>
      <c r="R4064" t="s">
        <v>44762</v>
      </c>
      <c r="S4064" t="s">
        <v>44863</v>
      </c>
      <c r="T4064" t="s">
        <v>46558</v>
      </c>
      <c r="U4064" t="s">
        <v>50348</v>
      </c>
      <c r="V4064" t="s">
        <v>59328</v>
      </c>
      <c r="W4064" t="s">
        <v>41478</v>
      </c>
      <c r="X4064" t="s">
        <v>44763</v>
      </c>
    </row>
    <row r="4065" spans="1:24">
      <c r="A4065">
        <f>HYPERLINK("https://www.philgeps.gov.ph/GEPSNONPILOT/Tender/SplashBidNoticeAbstractUI.aspx?menuIndex=3&amp;refID=7150731&amp;Result=3","7150731")</f>
        <v>0</v>
      </c>
      <c r="B4065" t="s">
        <v>1591</v>
      </c>
      <c r="C4065" t="s">
        <v>7615</v>
      </c>
      <c r="D4065" t="s">
        <v>17953</v>
      </c>
      <c r="E4065" t="s">
        <v>21696</v>
      </c>
      <c r="F4065" t="s">
        <v>30900</v>
      </c>
      <c r="G4065" t="s">
        <v>30909</v>
      </c>
      <c r="H4065" t="s">
        <v>30916</v>
      </c>
      <c r="I4065" t="s">
        <v>30923</v>
      </c>
      <c r="J4065" t="s">
        <v>31341</v>
      </c>
      <c r="K4065" t="s">
        <v>40284</v>
      </c>
      <c r="M4065" t="s">
        <v>42239</v>
      </c>
      <c r="N4065" t="s">
        <v>44759</v>
      </c>
      <c r="O4065" t="s">
        <v>44760</v>
      </c>
      <c r="P4065">
        <v>0</v>
      </c>
      <c r="Q4065">
        <v>9</v>
      </c>
      <c r="R4065" t="s">
        <v>44762</v>
      </c>
      <c r="S4065" t="s">
        <v>44863</v>
      </c>
      <c r="T4065" t="s">
        <v>46571</v>
      </c>
      <c r="U4065" t="s">
        <v>50349</v>
      </c>
      <c r="W4065" t="s">
        <v>42239</v>
      </c>
      <c r="X4065" t="s">
        <v>44763</v>
      </c>
    </row>
    <row r="4066" spans="1:24">
      <c r="A4066">
        <f>HYPERLINK("https://www.philgeps.gov.ph/GEPSNONPILOT/Tender/SplashBidNoticeAbstractUI.aspx?menuIndex=3&amp;refID=7150669&amp;Result=3","7150669")</f>
        <v>0</v>
      </c>
      <c r="B4066" t="s">
        <v>1547</v>
      </c>
      <c r="C4066" t="s">
        <v>7616</v>
      </c>
      <c r="D4066" t="s">
        <v>17978</v>
      </c>
      <c r="E4066" t="s">
        <v>21697</v>
      </c>
      <c r="F4066" t="s">
        <v>30900</v>
      </c>
      <c r="G4066" t="s">
        <v>30908</v>
      </c>
      <c r="H4066" t="s">
        <v>30916</v>
      </c>
      <c r="I4066" t="s">
        <v>8123</v>
      </c>
      <c r="J4066" t="s">
        <v>33839</v>
      </c>
      <c r="K4066" t="s">
        <v>40291</v>
      </c>
      <c r="M4066" t="s">
        <v>42191</v>
      </c>
      <c r="N4066" t="s">
        <v>44759</v>
      </c>
      <c r="O4066" t="s">
        <v>44760</v>
      </c>
      <c r="P4066">
        <v>0</v>
      </c>
      <c r="Q4066">
        <v>0</v>
      </c>
      <c r="R4066" t="s">
        <v>44762</v>
      </c>
      <c r="S4066" t="s">
        <v>44863</v>
      </c>
      <c r="T4066" t="s">
        <v>46401</v>
      </c>
      <c r="U4066" t="s">
        <v>50350</v>
      </c>
      <c r="W4066" t="s">
        <v>42191</v>
      </c>
      <c r="X4066" t="s">
        <v>44763</v>
      </c>
    </row>
    <row r="4067" spans="1:24">
      <c r="A4067">
        <f>HYPERLINK("https://www.philgeps.gov.ph/GEPSNONPILOT/Tender/SplashBidNoticeAbstractUI.aspx?menuIndex=3&amp;refID=7150686&amp;Result=3","7150686")</f>
        <v>0</v>
      </c>
      <c r="B4067" t="s">
        <v>762</v>
      </c>
      <c r="C4067" t="s">
        <v>7617</v>
      </c>
      <c r="D4067" t="s">
        <v>18013</v>
      </c>
      <c r="E4067" t="s">
        <v>21698</v>
      </c>
      <c r="F4067" t="s">
        <v>30900</v>
      </c>
      <c r="G4067" t="s">
        <v>30908</v>
      </c>
      <c r="H4067" t="s">
        <v>30916</v>
      </c>
      <c r="I4067" t="s">
        <v>30924</v>
      </c>
      <c r="J4067" t="s">
        <v>33840</v>
      </c>
      <c r="K4067" t="s">
        <v>40286</v>
      </c>
      <c r="M4067" t="s">
        <v>41328</v>
      </c>
      <c r="N4067" t="s">
        <v>44759</v>
      </c>
      <c r="O4067" t="s">
        <v>44760</v>
      </c>
      <c r="P4067">
        <v>0</v>
      </c>
      <c r="Q4067">
        <v>6</v>
      </c>
      <c r="R4067" t="s">
        <v>44762</v>
      </c>
      <c r="S4067" t="s">
        <v>44863</v>
      </c>
      <c r="T4067" t="s">
        <v>46414</v>
      </c>
      <c r="U4067" t="s">
        <v>48274</v>
      </c>
      <c r="W4067" t="s">
        <v>41328</v>
      </c>
      <c r="X4067" t="s">
        <v>44763</v>
      </c>
    </row>
    <row r="4068" spans="1:24">
      <c r="A4068">
        <f>HYPERLINK("https://www.philgeps.gov.ph/GEPSNONPILOT/Tender/SplashBidNoticeAbstractUI.aspx?menuIndex=3&amp;refID=7150777&amp;Result=3","7150777")</f>
        <v>0</v>
      </c>
      <c r="B4068" t="s">
        <v>591</v>
      </c>
      <c r="C4068" t="s">
        <v>7618</v>
      </c>
      <c r="D4068" t="s">
        <v>17998</v>
      </c>
      <c r="E4068" t="s">
        <v>21699</v>
      </c>
      <c r="F4068" t="s">
        <v>30900</v>
      </c>
      <c r="G4068" t="s">
        <v>30907</v>
      </c>
      <c r="H4068" t="s">
        <v>30916</v>
      </c>
      <c r="I4068" t="s">
        <v>30924</v>
      </c>
      <c r="J4068" t="s">
        <v>31210</v>
      </c>
      <c r="K4068" t="s">
        <v>40286</v>
      </c>
      <c r="M4068" t="s">
        <v>41153</v>
      </c>
      <c r="N4068" t="s">
        <v>44759</v>
      </c>
      <c r="O4068" t="s">
        <v>44760</v>
      </c>
      <c r="P4068">
        <v>0</v>
      </c>
      <c r="Q4068">
        <v>1</v>
      </c>
      <c r="R4068" t="s">
        <v>44762</v>
      </c>
      <c r="S4068" t="s">
        <v>44863</v>
      </c>
      <c r="T4068" t="s">
        <v>46389</v>
      </c>
      <c r="U4068" t="s">
        <v>47975</v>
      </c>
      <c r="V4068" t="s">
        <v>59550</v>
      </c>
      <c r="W4068" t="s">
        <v>41153</v>
      </c>
      <c r="X4068" t="s">
        <v>44763</v>
      </c>
    </row>
    <row r="4069" spans="1:24">
      <c r="A4069">
        <f>HYPERLINK("https://www.philgeps.gov.ph/GEPSNONPILOT/Tender/SplashBidNoticeAbstractUI.aspx?menuIndex=3&amp;refID=7150741&amp;Result=3","7150741")</f>
        <v>0</v>
      </c>
      <c r="B4069" t="s">
        <v>282</v>
      </c>
      <c r="C4069" t="s">
        <v>7619</v>
      </c>
      <c r="D4069" t="s">
        <v>18022</v>
      </c>
      <c r="E4069" t="s">
        <v>21700</v>
      </c>
      <c r="F4069" t="s">
        <v>30900</v>
      </c>
      <c r="G4069" t="s">
        <v>30908</v>
      </c>
      <c r="H4069" t="s">
        <v>30916</v>
      </c>
      <c r="I4069" t="s">
        <v>30924</v>
      </c>
      <c r="J4069" t="s">
        <v>33841</v>
      </c>
      <c r="K4069" t="s">
        <v>40289</v>
      </c>
      <c r="M4069" t="s">
        <v>40829</v>
      </c>
      <c r="N4069" t="s">
        <v>44759</v>
      </c>
      <c r="O4069" t="s">
        <v>44760</v>
      </c>
      <c r="P4069">
        <v>0</v>
      </c>
      <c r="Q4069">
        <v>3</v>
      </c>
      <c r="R4069" t="s">
        <v>44762</v>
      </c>
      <c r="S4069" t="s">
        <v>44863</v>
      </c>
      <c r="T4069" t="s">
        <v>46363</v>
      </c>
      <c r="U4069" t="s">
        <v>47389</v>
      </c>
      <c r="W4069" t="s">
        <v>40829</v>
      </c>
      <c r="X4069" t="s">
        <v>44763</v>
      </c>
    </row>
    <row r="4070" spans="1:24">
      <c r="A4070">
        <f>HYPERLINK("https://www.philgeps.gov.ph/GEPSNONPILOT/Tender/SplashBidNoticeAbstractUI.aspx?menuIndex=3&amp;refID=7150774&amp;Result=3","7150774")</f>
        <v>0</v>
      </c>
      <c r="B4070" t="s">
        <v>389</v>
      </c>
      <c r="C4070" t="s">
        <v>7620</v>
      </c>
      <c r="D4070" t="s">
        <v>17969</v>
      </c>
      <c r="E4070" t="s">
        <v>21701</v>
      </c>
      <c r="F4070" t="s">
        <v>30900</v>
      </c>
      <c r="G4070" t="s">
        <v>30909</v>
      </c>
      <c r="H4070" t="s">
        <v>30916</v>
      </c>
      <c r="I4070" t="s">
        <v>30972</v>
      </c>
      <c r="J4070" t="s">
        <v>33842</v>
      </c>
      <c r="K4070" t="s">
        <v>40286</v>
      </c>
      <c r="M4070" t="s">
        <v>40944</v>
      </c>
      <c r="N4070" t="s">
        <v>44759</v>
      </c>
      <c r="O4070" t="s">
        <v>44760</v>
      </c>
      <c r="P4070">
        <v>0</v>
      </c>
      <c r="Q4070">
        <v>0</v>
      </c>
      <c r="R4070" t="s">
        <v>44762</v>
      </c>
      <c r="S4070" t="s">
        <v>44863</v>
      </c>
      <c r="T4070" t="s">
        <v>46534</v>
      </c>
      <c r="U4070" t="s">
        <v>50351</v>
      </c>
      <c r="W4070" t="s">
        <v>40944</v>
      </c>
      <c r="X4070" t="s">
        <v>44763</v>
      </c>
    </row>
    <row r="4071" spans="1:24">
      <c r="A4071">
        <f>HYPERLINK("https://www.philgeps.gov.ph/GEPSNONPILOT/Tender/SplashBidNoticeAbstractUI.aspx?menuIndex=3&amp;refID=7150773&amp;Result=3","7150773")</f>
        <v>0</v>
      </c>
      <c r="B4071" t="s">
        <v>845</v>
      </c>
      <c r="C4071" t="s">
        <v>7621</v>
      </c>
      <c r="D4071" t="s">
        <v>17975</v>
      </c>
      <c r="E4071" t="s">
        <v>21702</v>
      </c>
      <c r="F4071" t="s">
        <v>30900</v>
      </c>
      <c r="G4071" t="s">
        <v>30907</v>
      </c>
      <c r="H4071" t="s">
        <v>30915</v>
      </c>
      <c r="I4071" t="s">
        <v>30919</v>
      </c>
      <c r="J4071" t="s">
        <v>33843</v>
      </c>
      <c r="K4071" t="s">
        <v>40280</v>
      </c>
      <c r="M4071" t="s">
        <v>41418</v>
      </c>
      <c r="N4071" t="s">
        <v>44759</v>
      </c>
      <c r="O4071" t="s">
        <v>44760</v>
      </c>
      <c r="P4071">
        <v>0</v>
      </c>
      <c r="Q4071">
        <v>0</v>
      </c>
      <c r="R4071" t="s">
        <v>44762</v>
      </c>
      <c r="S4071" t="s">
        <v>44863</v>
      </c>
      <c r="T4071" t="s">
        <v>46549</v>
      </c>
      <c r="U4071" t="s">
        <v>50352</v>
      </c>
      <c r="W4071" t="s">
        <v>41418</v>
      </c>
      <c r="X4071" t="s">
        <v>44763</v>
      </c>
    </row>
    <row r="4072" spans="1:24">
      <c r="A4072">
        <f>HYPERLINK("https://www.philgeps.gov.ph/GEPSNONPILOT/Tender/SplashBidNoticeAbstractUI.aspx?menuIndex=3&amp;refID=7150772&amp;Result=3","7150772")</f>
        <v>0</v>
      </c>
      <c r="B4072" t="s">
        <v>1045</v>
      </c>
      <c r="C4072" t="s">
        <v>7622</v>
      </c>
      <c r="D4072" t="s">
        <v>17959</v>
      </c>
      <c r="E4072" t="s">
        <v>20112</v>
      </c>
      <c r="F4072" t="s">
        <v>30899</v>
      </c>
      <c r="G4072" t="s">
        <v>30907</v>
      </c>
      <c r="H4072" t="s">
        <v>30916</v>
      </c>
      <c r="I4072" t="s">
        <v>4108</v>
      </c>
      <c r="J4072" t="s">
        <v>33844</v>
      </c>
      <c r="K4072" t="s">
        <v>40286</v>
      </c>
      <c r="L4072" t="s">
        <v>1045</v>
      </c>
      <c r="M4072" t="s">
        <v>41638</v>
      </c>
      <c r="N4072" t="s">
        <v>44759</v>
      </c>
      <c r="O4072" t="s">
        <v>44760</v>
      </c>
      <c r="P4072">
        <v>0</v>
      </c>
      <c r="Q4072">
        <v>0</v>
      </c>
      <c r="R4072" t="s">
        <v>44762</v>
      </c>
      <c r="S4072" t="s">
        <v>44863</v>
      </c>
      <c r="T4072" t="s">
        <v>46515</v>
      </c>
      <c r="U4072" t="s">
        <v>50353</v>
      </c>
      <c r="W4072" t="s">
        <v>41638</v>
      </c>
      <c r="X4072" t="s">
        <v>44763</v>
      </c>
    </row>
    <row r="4073" spans="1:24">
      <c r="A4073">
        <f>HYPERLINK("https://www.philgeps.gov.ph/GEPSNONPILOT/Tender/SplashBidNoticeAbstractUI.aspx?menuIndex=3&amp;refID=7150769&amp;Result=3","7150769")</f>
        <v>0</v>
      </c>
      <c r="B4073" t="s">
        <v>1592</v>
      </c>
      <c r="C4073" t="s">
        <v>7623</v>
      </c>
      <c r="D4073" t="s">
        <v>18019</v>
      </c>
      <c r="E4073" t="s">
        <v>18306</v>
      </c>
      <c r="F4073" t="s">
        <v>30900</v>
      </c>
      <c r="G4073" t="s">
        <v>30909</v>
      </c>
      <c r="H4073" t="s">
        <v>30916</v>
      </c>
      <c r="I4073" t="s">
        <v>8365</v>
      </c>
      <c r="J4073" t="s">
        <v>33845</v>
      </c>
      <c r="K4073" t="s">
        <v>40285</v>
      </c>
      <c r="M4073" t="s">
        <v>42240</v>
      </c>
      <c r="N4073" t="s">
        <v>44759</v>
      </c>
      <c r="O4073" t="s">
        <v>44760</v>
      </c>
      <c r="P4073">
        <v>0</v>
      </c>
      <c r="Q4073">
        <v>0</v>
      </c>
      <c r="R4073" t="s">
        <v>44762</v>
      </c>
      <c r="S4073" t="s">
        <v>44863</v>
      </c>
      <c r="T4073" t="s">
        <v>46548</v>
      </c>
      <c r="U4073" t="s">
        <v>50354</v>
      </c>
      <c r="V4073" t="s">
        <v>59564</v>
      </c>
      <c r="W4073" t="s">
        <v>42240</v>
      </c>
      <c r="X4073" t="s">
        <v>44763</v>
      </c>
    </row>
    <row r="4074" spans="1:24">
      <c r="A4074">
        <f>HYPERLINK("https://www.philgeps.gov.ph/GEPSNONPILOT/Tender/SplashBidNoticeAbstractUI.aspx?menuIndex=3&amp;refID=7150767&amp;Result=3","7150767")</f>
        <v>0</v>
      </c>
      <c r="B4074" t="s">
        <v>715</v>
      </c>
      <c r="C4074" t="s">
        <v>7624</v>
      </c>
      <c r="D4074" t="s">
        <v>17975</v>
      </c>
      <c r="E4074" t="s">
        <v>21703</v>
      </c>
      <c r="F4074" t="s">
        <v>30900</v>
      </c>
      <c r="G4074" t="s">
        <v>30907</v>
      </c>
      <c r="H4074" t="s">
        <v>30915</v>
      </c>
      <c r="I4074" t="s">
        <v>30919</v>
      </c>
      <c r="J4074" t="s">
        <v>33846</v>
      </c>
      <c r="K4074" t="s">
        <v>40289</v>
      </c>
      <c r="M4074" t="s">
        <v>41279</v>
      </c>
      <c r="N4074" t="s">
        <v>44759</v>
      </c>
      <c r="O4074" t="s">
        <v>44760</v>
      </c>
      <c r="P4074">
        <v>0</v>
      </c>
      <c r="Q4074">
        <v>0</v>
      </c>
      <c r="R4074" t="s">
        <v>44762</v>
      </c>
      <c r="S4074" t="s">
        <v>44863</v>
      </c>
      <c r="T4074" t="s">
        <v>46418</v>
      </c>
      <c r="U4074" t="s">
        <v>48203</v>
      </c>
      <c r="W4074" t="s">
        <v>41279</v>
      </c>
      <c r="X4074" t="s">
        <v>44763</v>
      </c>
    </row>
    <row r="4075" spans="1:24">
      <c r="A4075">
        <f>HYPERLINK("https://www.philgeps.gov.ph/GEPSNONPILOT/Tender/SplashBidNoticeAbstractUI.aspx?menuIndex=3&amp;refID=7150765&amp;Result=3","7150765")</f>
        <v>0</v>
      </c>
      <c r="B4075" t="s">
        <v>544</v>
      </c>
      <c r="C4075" t="s">
        <v>7625</v>
      </c>
      <c r="D4075" t="s">
        <v>17972</v>
      </c>
      <c r="E4075" t="s">
        <v>18405</v>
      </c>
      <c r="F4075" t="s">
        <v>30900</v>
      </c>
      <c r="G4075" t="s">
        <v>30907</v>
      </c>
      <c r="H4075" t="s">
        <v>30916</v>
      </c>
      <c r="I4075" t="s">
        <v>30921</v>
      </c>
      <c r="J4075" t="s">
        <v>33847</v>
      </c>
      <c r="K4075" t="s">
        <v>40287</v>
      </c>
      <c r="M4075" t="s">
        <v>41105</v>
      </c>
      <c r="N4075" t="s">
        <v>44759</v>
      </c>
      <c r="O4075" t="s">
        <v>44760</v>
      </c>
      <c r="P4075">
        <v>0</v>
      </c>
      <c r="Q4075">
        <v>3</v>
      </c>
      <c r="R4075" t="s">
        <v>44762</v>
      </c>
      <c r="S4075" t="s">
        <v>44863</v>
      </c>
      <c r="T4075" t="s">
        <v>46377</v>
      </c>
      <c r="U4075" t="s">
        <v>50355</v>
      </c>
      <c r="V4075" t="s">
        <v>59293</v>
      </c>
      <c r="W4075" t="s">
        <v>41105</v>
      </c>
      <c r="X4075" t="s">
        <v>44763</v>
      </c>
    </row>
    <row r="4076" spans="1:24">
      <c r="A4076">
        <f>HYPERLINK("https://www.philgeps.gov.ph/GEPSNONPILOT/Tender/SplashBidNoticeAbstractUI.aspx?menuIndex=3&amp;refID=7150764&amp;Result=3","7150764")</f>
        <v>0</v>
      </c>
      <c r="B4076" t="s">
        <v>591</v>
      </c>
      <c r="C4076" t="s">
        <v>7626</v>
      </c>
      <c r="D4076" t="s">
        <v>17998</v>
      </c>
      <c r="E4076" t="s">
        <v>21704</v>
      </c>
      <c r="F4076" t="s">
        <v>30900</v>
      </c>
      <c r="G4076" t="s">
        <v>30907</v>
      </c>
      <c r="H4076" t="s">
        <v>30916</v>
      </c>
      <c r="I4076" t="s">
        <v>6953</v>
      </c>
      <c r="J4076" t="s">
        <v>31067</v>
      </c>
      <c r="K4076" t="s">
        <v>40286</v>
      </c>
      <c r="M4076" t="s">
        <v>41153</v>
      </c>
      <c r="N4076" t="s">
        <v>44759</v>
      </c>
      <c r="O4076" t="s">
        <v>44760</v>
      </c>
      <c r="P4076">
        <v>0</v>
      </c>
      <c r="Q4076">
        <v>0</v>
      </c>
      <c r="R4076" t="s">
        <v>44762</v>
      </c>
      <c r="S4076" t="s">
        <v>44863</v>
      </c>
      <c r="T4076" t="s">
        <v>46389</v>
      </c>
      <c r="U4076" t="s">
        <v>47975</v>
      </c>
      <c r="V4076" t="s">
        <v>59550</v>
      </c>
      <c r="W4076" t="s">
        <v>41153</v>
      </c>
      <c r="X4076" t="s">
        <v>44763</v>
      </c>
    </row>
    <row r="4077" spans="1:24">
      <c r="A4077">
        <f>HYPERLINK("https://www.philgeps.gov.ph/GEPSNONPILOT/Tender/SplashBidNoticeAbstractUI.aspx?menuIndex=3&amp;refID=7150763&amp;Result=3","7150763")</f>
        <v>0</v>
      </c>
      <c r="B4077" t="s">
        <v>726</v>
      </c>
      <c r="C4077" t="s">
        <v>4085</v>
      </c>
      <c r="D4077" t="s">
        <v>18016</v>
      </c>
      <c r="E4077" t="s">
        <v>21705</v>
      </c>
      <c r="F4077" t="s">
        <v>30900</v>
      </c>
      <c r="G4077" t="s">
        <v>30907</v>
      </c>
      <c r="H4077" t="s">
        <v>30916</v>
      </c>
      <c r="I4077" t="s">
        <v>8123</v>
      </c>
      <c r="J4077" t="s">
        <v>33848</v>
      </c>
      <c r="K4077" t="s">
        <v>40286</v>
      </c>
      <c r="M4077" t="s">
        <v>41290</v>
      </c>
      <c r="N4077" t="s">
        <v>44759</v>
      </c>
      <c r="O4077" t="s">
        <v>44760</v>
      </c>
      <c r="P4077">
        <v>0</v>
      </c>
      <c r="Q4077">
        <v>0</v>
      </c>
      <c r="R4077" t="s">
        <v>44762</v>
      </c>
      <c r="S4077" t="s">
        <v>44863</v>
      </c>
      <c r="T4077" t="s">
        <v>46389</v>
      </c>
      <c r="U4077" t="s">
        <v>50356</v>
      </c>
      <c r="W4077" t="s">
        <v>41290</v>
      </c>
      <c r="X4077" t="s">
        <v>44763</v>
      </c>
    </row>
    <row r="4078" spans="1:24">
      <c r="A4078">
        <f>HYPERLINK("https://www.philgeps.gov.ph/GEPSNONPILOT/Tender/SplashBidNoticeAbstractUI.aspx?menuIndex=3&amp;refID=7150776&amp;Result=3","7150776")</f>
        <v>0</v>
      </c>
      <c r="B4078" t="s">
        <v>714</v>
      </c>
      <c r="C4078" t="s">
        <v>7627</v>
      </c>
      <c r="E4078" t="s">
        <v>21706</v>
      </c>
      <c r="F4078" t="s">
        <v>30900</v>
      </c>
      <c r="G4078" t="s">
        <v>30908</v>
      </c>
      <c r="H4078" t="s">
        <v>30916</v>
      </c>
      <c r="I4078" t="s">
        <v>30960</v>
      </c>
      <c r="J4078" t="s">
        <v>33849</v>
      </c>
      <c r="K4078" t="s">
        <v>40289</v>
      </c>
      <c r="M4078" t="s">
        <v>41278</v>
      </c>
      <c r="N4078" t="s">
        <v>44759</v>
      </c>
      <c r="O4078" t="s">
        <v>44760</v>
      </c>
      <c r="P4078">
        <v>0</v>
      </c>
      <c r="Q4078">
        <v>4</v>
      </c>
      <c r="R4078" t="s">
        <v>44762</v>
      </c>
      <c r="S4078" t="s">
        <v>44863</v>
      </c>
      <c r="T4078" t="s">
        <v>46363</v>
      </c>
      <c r="U4078" t="s">
        <v>47009</v>
      </c>
      <c r="W4078" t="s">
        <v>41278</v>
      </c>
      <c r="X4078" t="s">
        <v>44763</v>
      </c>
    </row>
    <row r="4079" spans="1:24">
      <c r="A4079">
        <f>HYPERLINK("https://www.philgeps.gov.ph/GEPSNONPILOT/Tender/SplashBidNoticeAbstractUI.aspx?menuIndex=3&amp;refID=7150761&amp;Result=3","7150761")</f>
        <v>0</v>
      </c>
      <c r="B4079" t="s">
        <v>1579</v>
      </c>
      <c r="C4079" t="s">
        <v>7628</v>
      </c>
      <c r="D4079" t="s">
        <v>17959</v>
      </c>
      <c r="E4079" t="s">
        <v>21707</v>
      </c>
      <c r="F4079" t="s">
        <v>30900</v>
      </c>
      <c r="G4079" t="s">
        <v>30907</v>
      </c>
      <c r="H4079" t="s">
        <v>30916</v>
      </c>
      <c r="I4079" t="s">
        <v>4108</v>
      </c>
      <c r="J4079" t="s">
        <v>31243</v>
      </c>
      <c r="K4079" t="s">
        <v>40286</v>
      </c>
      <c r="M4079" t="s">
        <v>42226</v>
      </c>
      <c r="N4079" t="s">
        <v>44759</v>
      </c>
      <c r="O4079" t="s">
        <v>44760</v>
      </c>
      <c r="P4079">
        <v>0</v>
      </c>
      <c r="Q4079">
        <v>0</v>
      </c>
      <c r="R4079" t="s">
        <v>44762</v>
      </c>
      <c r="S4079" t="s">
        <v>44863</v>
      </c>
      <c r="T4079" t="s">
        <v>46406</v>
      </c>
      <c r="U4079" t="s">
        <v>50357</v>
      </c>
      <c r="W4079" t="s">
        <v>42226</v>
      </c>
      <c r="X4079" t="s">
        <v>44763</v>
      </c>
    </row>
    <row r="4080" spans="1:24">
      <c r="A4080">
        <f>HYPERLINK("https://www.philgeps.gov.ph/GEPSNONPILOT/Tender/SplashBidNoticeAbstractUI.aspx?menuIndex=3&amp;refID=7150734&amp;Result=3","7150734")</f>
        <v>0</v>
      </c>
      <c r="B4080" t="s">
        <v>748</v>
      </c>
      <c r="C4080" t="s">
        <v>7629</v>
      </c>
      <c r="D4080" t="s">
        <v>18019</v>
      </c>
      <c r="E4080" t="s">
        <v>21708</v>
      </c>
      <c r="F4080" t="s">
        <v>30900</v>
      </c>
      <c r="G4080" t="s">
        <v>30908</v>
      </c>
      <c r="H4080" t="s">
        <v>30916</v>
      </c>
      <c r="I4080" t="s">
        <v>4545</v>
      </c>
      <c r="J4080" t="s">
        <v>33850</v>
      </c>
      <c r="K4080" t="s">
        <v>40283</v>
      </c>
      <c r="M4080" t="s">
        <v>41312</v>
      </c>
      <c r="N4080" t="s">
        <v>44759</v>
      </c>
      <c r="O4080" t="s">
        <v>44760</v>
      </c>
      <c r="P4080">
        <v>0</v>
      </c>
      <c r="Q4080">
        <v>0</v>
      </c>
      <c r="R4080" t="s">
        <v>44762</v>
      </c>
      <c r="S4080" t="s">
        <v>44863</v>
      </c>
      <c r="T4080" t="s">
        <v>46363</v>
      </c>
      <c r="U4080" t="s">
        <v>50358</v>
      </c>
      <c r="W4080" t="s">
        <v>41312</v>
      </c>
      <c r="X4080" t="s">
        <v>44763</v>
      </c>
    </row>
    <row r="4081" spans="1:24">
      <c r="A4081">
        <f>HYPERLINK("https://www.philgeps.gov.ph/GEPSNONPILOT/Tender/SplashBidNoticeAbstractUI.aspx?menuIndex=3&amp;refID=7150760&amp;Result=3","7150760")</f>
        <v>0</v>
      </c>
      <c r="B4081" t="s">
        <v>110</v>
      </c>
      <c r="C4081" t="s">
        <v>7630</v>
      </c>
      <c r="D4081" t="s">
        <v>17996</v>
      </c>
      <c r="E4081" t="s">
        <v>21709</v>
      </c>
      <c r="F4081" t="s">
        <v>30900</v>
      </c>
      <c r="G4081" t="s">
        <v>30907</v>
      </c>
      <c r="H4081" t="s">
        <v>30916</v>
      </c>
      <c r="I4081" t="s">
        <v>4004</v>
      </c>
      <c r="J4081" t="s">
        <v>33851</v>
      </c>
      <c r="K4081" t="s">
        <v>40286</v>
      </c>
      <c r="M4081" t="s">
        <v>40657</v>
      </c>
      <c r="N4081" t="s">
        <v>44759</v>
      </c>
      <c r="O4081" t="s">
        <v>44760</v>
      </c>
      <c r="P4081">
        <v>0</v>
      </c>
      <c r="Q4081">
        <v>3</v>
      </c>
      <c r="R4081" t="s">
        <v>44762</v>
      </c>
      <c r="S4081" t="s">
        <v>44863</v>
      </c>
      <c r="T4081" t="s">
        <v>46467</v>
      </c>
      <c r="U4081" t="s">
        <v>50359</v>
      </c>
      <c r="W4081" t="s">
        <v>40657</v>
      </c>
      <c r="X4081" t="s">
        <v>44763</v>
      </c>
    </row>
    <row r="4082" spans="1:24">
      <c r="A4082">
        <f>HYPERLINK("https://www.philgeps.gov.ph/GEPSNONPILOT/Tender/SplashBidNoticeAbstractUI.aspx?menuIndex=3&amp;refID=7150759&amp;Result=3","7150759")</f>
        <v>0</v>
      </c>
      <c r="B4082" t="s">
        <v>762</v>
      </c>
      <c r="C4082" t="s">
        <v>7631</v>
      </c>
      <c r="D4082" t="s">
        <v>18013</v>
      </c>
      <c r="E4082" t="s">
        <v>21710</v>
      </c>
      <c r="F4082" t="s">
        <v>30900</v>
      </c>
      <c r="G4082" t="s">
        <v>30908</v>
      </c>
      <c r="H4082" t="s">
        <v>30916</v>
      </c>
      <c r="I4082" t="s">
        <v>4545</v>
      </c>
      <c r="J4082" t="s">
        <v>33852</v>
      </c>
      <c r="K4082" t="s">
        <v>40286</v>
      </c>
      <c r="M4082" t="s">
        <v>41328</v>
      </c>
      <c r="N4082" t="s">
        <v>44759</v>
      </c>
      <c r="O4082" t="s">
        <v>44760</v>
      </c>
      <c r="P4082">
        <v>0</v>
      </c>
      <c r="Q4082">
        <v>0</v>
      </c>
      <c r="R4082" t="s">
        <v>44762</v>
      </c>
      <c r="S4082" t="s">
        <v>44863</v>
      </c>
      <c r="T4082" t="s">
        <v>46414</v>
      </c>
      <c r="U4082" t="s">
        <v>48274</v>
      </c>
      <c r="W4082" t="s">
        <v>41328</v>
      </c>
      <c r="X4082" t="s">
        <v>44763</v>
      </c>
    </row>
    <row r="4083" spans="1:24">
      <c r="A4083">
        <f>HYPERLINK("https://www.philgeps.gov.ph/GEPSNONPILOT/Tender/SplashBidNoticeAbstractUI.aspx?menuIndex=3&amp;refID=7150785&amp;Result=3","7150785")</f>
        <v>0</v>
      </c>
      <c r="B4083" t="s">
        <v>424</v>
      </c>
      <c r="C4083" t="s">
        <v>7632</v>
      </c>
      <c r="D4083" t="s">
        <v>17955</v>
      </c>
      <c r="E4083" t="s">
        <v>21711</v>
      </c>
      <c r="F4083" t="s">
        <v>30900</v>
      </c>
      <c r="G4083" t="s">
        <v>30906</v>
      </c>
      <c r="H4083" t="s">
        <v>30916</v>
      </c>
      <c r="I4083" t="s">
        <v>30923</v>
      </c>
      <c r="J4083" t="s">
        <v>31278</v>
      </c>
      <c r="K4083" t="s">
        <v>40289</v>
      </c>
      <c r="M4083" t="s">
        <v>40981</v>
      </c>
      <c r="N4083" t="s">
        <v>44759</v>
      </c>
      <c r="O4083" t="s">
        <v>44760</v>
      </c>
      <c r="P4083">
        <v>0</v>
      </c>
      <c r="Q4083">
        <v>4</v>
      </c>
      <c r="R4083" t="s">
        <v>44762</v>
      </c>
      <c r="S4083" t="s">
        <v>44863</v>
      </c>
      <c r="T4083" t="s">
        <v>46445</v>
      </c>
      <c r="U4083" t="s">
        <v>50360</v>
      </c>
      <c r="W4083" t="s">
        <v>40981</v>
      </c>
      <c r="X4083" t="s">
        <v>44763</v>
      </c>
    </row>
    <row r="4084" spans="1:24">
      <c r="A4084">
        <f>HYPERLINK("https://www.philgeps.gov.ph/GEPSNONPILOT/Tender/SplashBidNoticeAbstractUI.aspx?menuIndex=3&amp;refID=7150784&amp;Result=3","7150784")</f>
        <v>0</v>
      </c>
      <c r="B4084" t="s">
        <v>1188</v>
      </c>
      <c r="C4084" t="s">
        <v>7633</v>
      </c>
      <c r="D4084" t="s">
        <v>18019</v>
      </c>
      <c r="E4084" t="s">
        <v>21712</v>
      </c>
      <c r="F4084" t="s">
        <v>30900</v>
      </c>
      <c r="G4084" t="s">
        <v>30908</v>
      </c>
      <c r="H4084" t="s">
        <v>30916</v>
      </c>
      <c r="I4084" t="s">
        <v>10879</v>
      </c>
      <c r="J4084" t="s">
        <v>31284</v>
      </c>
      <c r="K4084" t="s">
        <v>40284</v>
      </c>
      <c r="M4084" t="s">
        <v>41797</v>
      </c>
      <c r="N4084" t="s">
        <v>44759</v>
      </c>
      <c r="O4084" t="s">
        <v>44760</v>
      </c>
      <c r="P4084">
        <v>0</v>
      </c>
      <c r="Q4084">
        <v>1</v>
      </c>
      <c r="R4084" t="s">
        <v>44762</v>
      </c>
      <c r="S4084" t="s">
        <v>44863</v>
      </c>
      <c r="T4084" t="s">
        <v>46467</v>
      </c>
      <c r="U4084" t="s">
        <v>50361</v>
      </c>
      <c r="W4084" t="s">
        <v>41797</v>
      </c>
      <c r="X4084" t="s">
        <v>44763</v>
      </c>
    </row>
    <row r="4085" spans="1:24">
      <c r="A4085">
        <f>HYPERLINK("https://www.philgeps.gov.ph/GEPSNONPILOT/Tender/SplashBidNoticeAbstractUI.aspx?menuIndex=3&amp;refID=7150762&amp;Result=3","7150762")</f>
        <v>0</v>
      </c>
      <c r="B4085" t="s">
        <v>725</v>
      </c>
      <c r="C4085" t="s">
        <v>7634</v>
      </c>
      <c r="D4085" t="s">
        <v>18004</v>
      </c>
      <c r="E4085" t="s">
        <v>21713</v>
      </c>
      <c r="F4085" t="s">
        <v>30900</v>
      </c>
      <c r="G4085" t="s">
        <v>30907</v>
      </c>
      <c r="H4085" t="s">
        <v>30916</v>
      </c>
      <c r="I4085" t="s">
        <v>4142</v>
      </c>
      <c r="J4085" t="s">
        <v>32298</v>
      </c>
      <c r="K4085" t="s">
        <v>40284</v>
      </c>
      <c r="M4085" t="s">
        <v>41289</v>
      </c>
      <c r="N4085" t="s">
        <v>44759</v>
      </c>
      <c r="O4085" t="s">
        <v>44760</v>
      </c>
      <c r="P4085">
        <v>0</v>
      </c>
      <c r="Q4085">
        <v>0</v>
      </c>
      <c r="R4085" t="s">
        <v>44762</v>
      </c>
      <c r="S4085" t="s">
        <v>44863</v>
      </c>
      <c r="T4085" t="s">
        <v>46532</v>
      </c>
      <c r="U4085" t="s">
        <v>50362</v>
      </c>
      <c r="W4085" t="s">
        <v>41289</v>
      </c>
      <c r="X4085" t="s">
        <v>44763</v>
      </c>
    </row>
    <row r="4086" spans="1:24">
      <c r="A4086">
        <f>HYPERLINK("https://www.philgeps.gov.ph/GEPSNONPILOT/Tender/SplashBidNoticeAbstractUI.aspx?menuIndex=3&amp;refID=7150733&amp;Result=3","7150733")</f>
        <v>0</v>
      </c>
      <c r="B4086" t="s">
        <v>997</v>
      </c>
      <c r="C4086" t="s">
        <v>7635</v>
      </c>
      <c r="D4086" t="s">
        <v>17959</v>
      </c>
      <c r="E4086" t="s">
        <v>21714</v>
      </c>
      <c r="F4086" t="s">
        <v>30900</v>
      </c>
      <c r="G4086" t="s">
        <v>30908</v>
      </c>
      <c r="H4086" t="s">
        <v>30916</v>
      </c>
      <c r="I4086" t="s">
        <v>30963</v>
      </c>
      <c r="J4086" t="s">
        <v>31082</v>
      </c>
      <c r="K4086" t="s">
        <v>40280</v>
      </c>
      <c r="M4086" t="s">
        <v>41886</v>
      </c>
      <c r="N4086" t="s">
        <v>44759</v>
      </c>
      <c r="O4086" t="s">
        <v>44760</v>
      </c>
      <c r="P4086">
        <v>0</v>
      </c>
      <c r="Q4086">
        <v>1</v>
      </c>
      <c r="R4086" t="s">
        <v>44762</v>
      </c>
      <c r="S4086" t="s">
        <v>44863</v>
      </c>
      <c r="T4086" t="s">
        <v>46483</v>
      </c>
      <c r="U4086" t="s">
        <v>50363</v>
      </c>
      <c r="W4086" t="s">
        <v>41886</v>
      </c>
      <c r="X4086" t="s">
        <v>44763</v>
      </c>
    </row>
    <row r="4087" spans="1:24">
      <c r="A4087">
        <f>HYPERLINK("https://www.philgeps.gov.ph/GEPSNONPILOT/Tender/SplashBidNoticeAbstractUI.aspx?menuIndex=3&amp;refID=7150781&amp;Result=3","7150781")</f>
        <v>0</v>
      </c>
      <c r="B4087" t="s">
        <v>908</v>
      </c>
      <c r="C4087" t="s">
        <v>7636</v>
      </c>
      <c r="D4087" t="s">
        <v>17952</v>
      </c>
      <c r="E4087" t="s">
        <v>21715</v>
      </c>
      <c r="F4087" t="s">
        <v>30900</v>
      </c>
      <c r="G4087" t="s">
        <v>30908</v>
      </c>
      <c r="H4087" t="s">
        <v>30916</v>
      </c>
      <c r="I4087" t="s">
        <v>30939</v>
      </c>
      <c r="J4087" t="s">
        <v>33853</v>
      </c>
      <c r="K4087" t="s">
        <v>40286</v>
      </c>
      <c r="M4087" t="s">
        <v>41483</v>
      </c>
      <c r="N4087" t="s">
        <v>44759</v>
      </c>
      <c r="O4087" t="s">
        <v>44760</v>
      </c>
      <c r="P4087">
        <v>0</v>
      </c>
      <c r="Q4087">
        <v>0</v>
      </c>
      <c r="R4087" t="s">
        <v>44762</v>
      </c>
      <c r="S4087" t="s">
        <v>44863</v>
      </c>
      <c r="T4087" t="s">
        <v>46363</v>
      </c>
      <c r="U4087" t="s">
        <v>48607</v>
      </c>
      <c r="W4087" t="s">
        <v>41483</v>
      </c>
      <c r="X4087" t="s">
        <v>44763</v>
      </c>
    </row>
    <row r="4088" spans="1:24">
      <c r="A4088">
        <f>HYPERLINK("https://www.philgeps.gov.ph/GEPSNONPILOT/Tender/SplashBidNoticeAbstractUI.aspx?menuIndex=3&amp;refID=7150778&amp;Result=3","7150778")</f>
        <v>0</v>
      </c>
      <c r="B4088" t="s">
        <v>767</v>
      </c>
      <c r="C4088" t="s">
        <v>7637</v>
      </c>
      <c r="D4088" t="s">
        <v>18020</v>
      </c>
      <c r="E4088" t="s">
        <v>21716</v>
      </c>
      <c r="F4088" t="s">
        <v>30900</v>
      </c>
      <c r="G4088" t="s">
        <v>30910</v>
      </c>
      <c r="H4088" t="s">
        <v>30916</v>
      </c>
      <c r="I4088" t="s">
        <v>30924</v>
      </c>
      <c r="J4088" t="s">
        <v>33854</v>
      </c>
      <c r="K4088" t="s">
        <v>40289</v>
      </c>
      <c r="M4088" t="s">
        <v>41333</v>
      </c>
      <c r="N4088" t="s">
        <v>44759</v>
      </c>
      <c r="O4088" t="s">
        <v>44760</v>
      </c>
      <c r="P4088">
        <v>0</v>
      </c>
      <c r="Q4088">
        <v>2</v>
      </c>
      <c r="R4088" t="s">
        <v>44762</v>
      </c>
      <c r="S4088" t="s">
        <v>44863</v>
      </c>
      <c r="T4088" t="s">
        <v>46410</v>
      </c>
      <c r="U4088" t="s">
        <v>50364</v>
      </c>
      <c r="V4088" t="s">
        <v>59299</v>
      </c>
      <c r="W4088" t="s">
        <v>41333</v>
      </c>
      <c r="X4088" t="s">
        <v>44763</v>
      </c>
    </row>
    <row r="4089" spans="1:24">
      <c r="A4089">
        <f>HYPERLINK("https://www.philgeps.gov.ph/GEPSNONPILOT/Tender/SplashBidNoticeAbstractUI.aspx?menuIndex=3&amp;refID=7150758&amp;Result=3","7150758")</f>
        <v>0</v>
      </c>
      <c r="B4089" t="s">
        <v>1251</v>
      </c>
      <c r="C4089" t="s">
        <v>7638</v>
      </c>
      <c r="D4089" t="s">
        <v>17963</v>
      </c>
      <c r="E4089" t="s">
        <v>21717</v>
      </c>
      <c r="F4089" t="s">
        <v>30900</v>
      </c>
      <c r="G4089" t="s">
        <v>30908</v>
      </c>
      <c r="H4089" t="s">
        <v>30916</v>
      </c>
      <c r="I4089" t="s">
        <v>5830</v>
      </c>
      <c r="J4089" t="s">
        <v>33855</v>
      </c>
      <c r="K4089" t="s">
        <v>40280</v>
      </c>
      <c r="M4089" t="s">
        <v>41863</v>
      </c>
      <c r="N4089" t="s">
        <v>44759</v>
      </c>
      <c r="O4089" t="s">
        <v>44760</v>
      </c>
      <c r="P4089">
        <v>0</v>
      </c>
      <c r="Q4089">
        <v>3</v>
      </c>
      <c r="R4089" t="s">
        <v>44762</v>
      </c>
      <c r="S4089" t="s">
        <v>44863</v>
      </c>
      <c r="T4089" t="s">
        <v>46395</v>
      </c>
      <c r="U4089" t="s">
        <v>50365</v>
      </c>
      <c r="W4089" t="s">
        <v>41863</v>
      </c>
      <c r="X4089" t="s">
        <v>44763</v>
      </c>
    </row>
    <row r="4090" spans="1:24">
      <c r="A4090">
        <f>HYPERLINK("https://www.philgeps.gov.ph/GEPSNONPILOT/Tender/SplashBidNoticeAbstractUI.aspx?menuIndex=3&amp;refID=7150756&amp;Result=3","7150756")</f>
        <v>0</v>
      </c>
      <c r="B4090" t="s">
        <v>545</v>
      </c>
      <c r="C4090" t="s">
        <v>7639</v>
      </c>
      <c r="E4090" t="s">
        <v>19020</v>
      </c>
      <c r="F4090" t="s">
        <v>30900</v>
      </c>
      <c r="G4090" t="s">
        <v>30907</v>
      </c>
      <c r="H4090" t="s">
        <v>30916</v>
      </c>
      <c r="I4090" t="s">
        <v>10847</v>
      </c>
      <c r="J4090" t="s">
        <v>33070</v>
      </c>
      <c r="K4090" t="s">
        <v>40289</v>
      </c>
      <c r="M4090" t="s">
        <v>41106</v>
      </c>
      <c r="N4090" t="s">
        <v>44759</v>
      </c>
      <c r="O4090" t="s">
        <v>44760</v>
      </c>
      <c r="P4090">
        <v>0</v>
      </c>
      <c r="Q4090">
        <v>0</v>
      </c>
      <c r="R4090" t="s">
        <v>44762</v>
      </c>
      <c r="S4090" t="s">
        <v>44863</v>
      </c>
      <c r="T4090" t="s">
        <v>46614</v>
      </c>
      <c r="U4090" t="s">
        <v>47864</v>
      </c>
      <c r="W4090" t="s">
        <v>41106</v>
      </c>
      <c r="X4090" t="s">
        <v>44763</v>
      </c>
    </row>
    <row r="4091" spans="1:24">
      <c r="A4091">
        <f>HYPERLINK("https://www.philgeps.gov.ph/GEPSNONPILOT/Tender/SplashBidNoticeAbstractUI.aspx?menuIndex=3&amp;refID=7150783&amp;Result=3","7150783")</f>
        <v>0</v>
      </c>
      <c r="B4091" t="s">
        <v>1589</v>
      </c>
      <c r="C4091" t="s">
        <v>7640</v>
      </c>
      <c r="D4091" t="s">
        <v>17992</v>
      </c>
      <c r="E4091" t="s">
        <v>21718</v>
      </c>
      <c r="F4091" t="s">
        <v>30900</v>
      </c>
      <c r="G4091" t="s">
        <v>30909</v>
      </c>
      <c r="H4091" t="s">
        <v>30916</v>
      </c>
      <c r="I4091" t="s">
        <v>8123</v>
      </c>
      <c r="J4091" t="s">
        <v>33856</v>
      </c>
      <c r="K4091" t="s">
        <v>40284</v>
      </c>
      <c r="M4091" t="s">
        <v>42236</v>
      </c>
      <c r="N4091" t="s">
        <v>44759</v>
      </c>
      <c r="O4091" t="s">
        <v>44760</v>
      </c>
      <c r="P4091">
        <v>0</v>
      </c>
      <c r="Q4091">
        <v>0</v>
      </c>
      <c r="R4091" t="s">
        <v>44762</v>
      </c>
      <c r="S4091" t="s">
        <v>44863</v>
      </c>
      <c r="T4091" t="s">
        <v>46409</v>
      </c>
      <c r="U4091" t="s">
        <v>50366</v>
      </c>
      <c r="W4091" t="s">
        <v>42236</v>
      </c>
      <c r="X4091" t="s">
        <v>44763</v>
      </c>
    </row>
    <row r="4092" spans="1:24">
      <c r="A4092">
        <f>HYPERLINK("https://www.philgeps.gov.ph/GEPSNONPILOT/Tender/SplashBidNoticeAbstractUI.aspx?menuIndex=3&amp;refID=7150666&amp;Result=3","7150666")</f>
        <v>0</v>
      </c>
      <c r="B4092" t="s">
        <v>342</v>
      </c>
      <c r="C4092" t="s">
        <v>7641</v>
      </c>
      <c r="D4092" t="s">
        <v>18016</v>
      </c>
      <c r="E4092" t="s">
        <v>21719</v>
      </c>
      <c r="F4092" t="s">
        <v>30900</v>
      </c>
      <c r="G4092" t="s">
        <v>30909</v>
      </c>
      <c r="H4092" t="s">
        <v>30916</v>
      </c>
      <c r="I4092" t="s">
        <v>6953</v>
      </c>
      <c r="J4092" t="s">
        <v>31043</v>
      </c>
      <c r="K4092" t="s">
        <v>40287</v>
      </c>
      <c r="M4092" t="s">
        <v>40895</v>
      </c>
      <c r="N4092" t="s">
        <v>44759</v>
      </c>
      <c r="O4092" t="s">
        <v>44760</v>
      </c>
      <c r="P4092">
        <v>0</v>
      </c>
      <c r="Q4092">
        <v>0</v>
      </c>
      <c r="R4092" t="s">
        <v>44762</v>
      </c>
      <c r="S4092" t="s">
        <v>44863</v>
      </c>
      <c r="T4092" t="s">
        <v>46414</v>
      </c>
      <c r="U4092" t="s">
        <v>50367</v>
      </c>
      <c r="W4092" t="s">
        <v>40895</v>
      </c>
      <c r="X4092" t="s">
        <v>44763</v>
      </c>
    </row>
    <row r="4093" spans="1:24">
      <c r="A4093">
        <f>HYPERLINK("https://www.philgeps.gov.ph/GEPSNONPILOT/Tender/SplashBidNoticeAbstractUI.aspx?menuIndex=3&amp;refID=7150782&amp;Result=3","7150782")</f>
        <v>0</v>
      </c>
      <c r="B4093" t="s">
        <v>710</v>
      </c>
      <c r="C4093" t="s">
        <v>7642</v>
      </c>
      <c r="E4093" t="s">
        <v>21720</v>
      </c>
      <c r="F4093" t="s">
        <v>30900</v>
      </c>
      <c r="G4093" t="s">
        <v>30908</v>
      </c>
      <c r="H4093" t="s">
        <v>30916</v>
      </c>
      <c r="I4093" t="s">
        <v>30967</v>
      </c>
      <c r="J4093" t="s">
        <v>31337</v>
      </c>
      <c r="K4093" t="s">
        <v>40289</v>
      </c>
      <c r="M4093" t="s">
        <v>41274</v>
      </c>
      <c r="N4093" t="s">
        <v>44759</v>
      </c>
      <c r="O4093" t="s">
        <v>44760</v>
      </c>
      <c r="P4093">
        <v>0</v>
      </c>
      <c r="Q4093">
        <v>0</v>
      </c>
      <c r="R4093" t="s">
        <v>44762</v>
      </c>
      <c r="S4093" t="s">
        <v>44863</v>
      </c>
      <c r="T4093" t="s">
        <v>46390</v>
      </c>
      <c r="U4093" t="s">
        <v>50368</v>
      </c>
      <c r="W4093" t="s">
        <v>41274</v>
      </c>
      <c r="X4093" t="s">
        <v>44763</v>
      </c>
    </row>
    <row r="4094" spans="1:24">
      <c r="A4094">
        <f>HYPERLINK("https://www.philgeps.gov.ph/GEPSNONPILOT/Tender/SplashBidNoticeAbstractUI.aspx?menuIndex=3&amp;refID=7150770&amp;Result=3","7150770")</f>
        <v>0</v>
      </c>
      <c r="B4094" t="s">
        <v>850</v>
      </c>
      <c r="C4094" t="s">
        <v>7643</v>
      </c>
      <c r="D4094" t="s">
        <v>17993</v>
      </c>
      <c r="E4094" t="s">
        <v>21721</v>
      </c>
      <c r="F4094" t="s">
        <v>30900</v>
      </c>
      <c r="G4094" t="s">
        <v>30908</v>
      </c>
      <c r="H4094" t="s">
        <v>30916</v>
      </c>
      <c r="I4094" t="s">
        <v>8123</v>
      </c>
      <c r="J4094" t="s">
        <v>31096</v>
      </c>
      <c r="K4094" t="s">
        <v>40283</v>
      </c>
      <c r="M4094" t="s">
        <v>41423</v>
      </c>
      <c r="N4094" t="s">
        <v>44759</v>
      </c>
      <c r="O4094" t="s">
        <v>44760</v>
      </c>
      <c r="P4094">
        <v>0</v>
      </c>
      <c r="Q4094">
        <v>0</v>
      </c>
      <c r="R4094" t="s">
        <v>44762</v>
      </c>
      <c r="S4094" t="s">
        <v>44863</v>
      </c>
      <c r="T4094" t="s">
        <v>46398</v>
      </c>
      <c r="U4094" t="s">
        <v>50369</v>
      </c>
      <c r="V4094" t="s">
        <v>59565</v>
      </c>
      <c r="W4094" t="s">
        <v>41423</v>
      </c>
      <c r="X4094" t="s">
        <v>44763</v>
      </c>
    </row>
    <row r="4095" spans="1:24">
      <c r="A4095">
        <f>HYPERLINK("https://www.philgeps.gov.ph/GEPSNONPILOT/Tender/SplashBidNoticeAbstractUI.aspx?menuIndex=3&amp;refID=7150771&amp;Result=3","7150771")</f>
        <v>0</v>
      </c>
      <c r="B4095" t="s">
        <v>1593</v>
      </c>
      <c r="C4095" t="s">
        <v>4870</v>
      </c>
      <c r="D4095" t="s">
        <v>17981</v>
      </c>
      <c r="E4095" t="s">
        <v>21722</v>
      </c>
      <c r="F4095" t="s">
        <v>30900</v>
      </c>
      <c r="G4095" t="s">
        <v>30907</v>
      </c>
      <c r="H4095" t="s">
        <v>30915</v>
      </c>
      <c r="I4095" t="s">
        <v>30919</v>
      </c>
      <c r="J4095" t="s">
        <v>31096</v>
      </c>
      <c r="K4095" t="s">
        <v>40289</v>
      </c>
      <c r="M4095" t="s">
        <v>42241</v>
      </c>
      <c r="N4095" t="s">
        <v>44759</v>
      </c>
      <c r="O4095" t="s">
        <v>44760</v>
      </c>
      <c r="P4095">
        <v>0</v>
      </c>
      <c r="Q4095">
        <v>1</v>
      </c>
      <c r="R4095" t="s">
        <v>44762</v>
      </c>
      <c r="S4095" t="s">
        <v>44863</v>
      </c>
      <c r="T4095" t="s">
        <v>46395</v>
      </c>
      <c r="U4095" t="s">
        <v>50370</v>
      </c>
      <c r="V4095" t="s">
        <v>59566</v>
      </c>
      <c r="W4095" t="s">
        <v>42241</v>
      </c>
      <c r="X4095" t="s">
        <v>44763</v>
      </c>
    </row>
    <row r="4096" spans="1:24">
      <c r="A4096">
        <f>HYPERLINK("https://www.philgeps.gov.ph/GEPSNONPILOT/Tender/SplashBidNoticeAbstractUI.aspx?menuIndex=3&amp;refID=7150780&amp;Result=3","7150780")</f>
        <v>0</v>
      </c>
      <c r="B4096" t="s">
        <v>704</v>
      </c>
      <c r="C4096" t="s">
        <v>7644</v>
      </c>
      <c r="D4096" t="s">
        <v>17987</v>
      </c>
      <c r="E4096" t="s">
        <v>21723</v>
      </c>
      <c r="F4096" t="s">
        <v>30900</v>
      </c>
      <c r="G4096" t="s">
        <v>30908</v>
      </c>
      <c r="H4096" t="s">
        <v>30916</v>
      </c>
      <c r="I4096" t="s">
        <v>30924</v>
      </c>
      <c r="J4096" t="s">
        <v>31067</v>
      </c>
      <c r="K4096" t="s">
        <v>40283</v>
      </c>
      <c r="M4096" t="s">
        <v>42242</v>
      </c>
      <c r="N4096" t="s">
        <v>44759</v>
      </c>
      <c r="O4096" t="s">
        <v>44760</v>
      </c>
      <c r="P4096">
        <v>0</v>
      </c>
      <c r="Q4096">
        <v>0</v>
      </c>
      <c r="R4096" t="s">
        <v>44762</v>
      </c>
      <c r="S4096" t="s">
        <v>44863</v>
      </c>
      <c r="T4096" t="s">
        <v>46382</v>
      </c>
      <c r="U4096" t="s">
        <v>50371</v>
      </c>
      <c r="W4096" t="s">
        <v>42242</v>
      </c>
      <c r="X4096" t="s">
        <v>44763</v>
      </c>
    </row>
    <row r="4097" spans="1:24">
      <c r="A4097">
        <f>HYPERLINK("https://www.philgeps.gov.ph/GEPSNONPILOT/Tender/SplashBidNoticeAbstractUI.aspx?menuIndex=3&amp;refID=7150663&amp;Result=3","7150663")</f>
        <v>0</v>
      </c>
      <c r="B4097" t="s">
        <v>720</v>
      </c>
      <c r="C4097" t="s">
        <v>7645</v>
      </c>
      <c r="D4097" t="s">
        <v>18019</v>
      </c>
      <c r="E4097" t="s">
        <v>21724</v>
      </c>
      <c r="F4097" t="s">
        <v>30900</v>
      </c>
      <c r="G4097" t="s">
        <v>30908</v>
      </c>
      <c r="H4097" t="s">
        <v>30916</v>
      </c>
      <c r="I4097" t="s">
        <v>30921</v>
      </c>
      <c r="J4097" t="s">
        <v>31043</v>
      </c>
      <c r="K4097" t="s">
        <v>40284</v>
      </c>
      <c r="M4097" t="s">
        <v>41284</v>
      </c>
      <c r="N4097" t="s">
        <v>44759</v>
      </c>
      <c r="O4097" t="s">
        <v>44760</v>
      </c>
      <c r="P4097">
        <v>0</v>
      </c>
      <c r="Q4097">
        <v>2</v>
      </c>
      <c r="R4097" t="s">
        <v>44762</v>
      </c>
      <c r="S4097" t="s">
        <v>44863</v>
      </c>
      <c r="T4097" t="s">
        <v>46379</v>
      </c>
      <c r="U4097" t="s">
        <v>48210</v>
      </c>
      <c r="V4097" t="s">
        <v>59559</v>
      </c>
      <c r="W4097" t="s">
        <v>41284</v>
      </c>
      <c r="X4097" t="s">
        <v>44763</v>
      </c>
    </row>
    <row r="4098" spans="1:24">
      <c r="A4098">
        <f>HYPERLINK("https://www.philgeps.gov.ph/GEPSNONPILOT/Tender/SplashBidNoticeAbstractUI.aspx?menuIndex=3&amp;refID=7150662&amp;Result=3","7150662")</f>
        <v>0</v>
      </c>
      <c r="B4098" t="s">
        <v>718</v>
      </c>
      <c r="C4098" t="s">
        <v>7646</v>
      </c>
      <c r="D4098" t="s">
        <v>17980</v>
      </c>
      <c r="E4098" t="s">
        <v>21725</v>
      </c>
      <c r="F4098" t="s">
        <v>30900</v>
      </c>
      <c r="G4098" t="s">
        <v>30907</v>
      </c>
      <c r="H4098" t="s">
        <v>30916</v>
      </c>
      <c r="I4098" t="s">
        <v>4108</v>
      </c>
      <c r="J4098" t="s">
        <v>31522</v>
      </c>
      <c r="K4098" t="s">
        <v>40286</v>
      </c>
      <c r="M4098" t="s">
        <v>41282</v>
      </c>
      <c r="N4098" t="s">
        <v>44759</v>
      </c>
      <c r="O4098" t="s">
        <v>44760</v>
      </c>
      <c r="P4098">
        <v>0</v>
      </c>
      <c r="Q4098">
        <v>0</v>
      </c>
      <c r="R4098" t="s">
        <v>44762</v>
      </c>
      <c r="S4098" t="s">
        <v>44863</v>
      </c>
      <c r="T4098" t="s">
        <v>46362</v>
      </c>
      <c r="U4098" t="s">
        <v>48206</v>
      </c>
      <c r="V4098" t="s">
        <v>59288</v>
      </c>
      <c r="W4098" t="s">
        <v>41282</v>
      </c>
      <c r="X4098" t="s">
        <v>44763</v>
      </c>
    </row>
    <row r="4099" spans="1:24">
      <c r="A4099">
        <f>HYPERLINK("https://www.philgeps.gov.ph/GEPSNONPILOT/Tender/SplashBidNoticeAbstractUI.aspx?menuIndex=3&amp;refID=7150637&amp;Result=3","7150637")</f>
        <v>0</v>
      </c>
      <c r="B4099" t="s">
        <v>1469</v>
      </c>
      <c r="C4099" t="s">
        <v>7647</v>
      </c>
      <c r="E4099" t="s">
        <v>21726</v>
      </c>
      <c r="F4099" t="s">
        <v>30900</v>
      </c>
      <c r="G4099" t="s">
        <v>30908</v>
      </c>
      <c r="H4099" t="s">
        <v>30916</v>
      </c>
      <c r="I4099" t="s">
        <v>4142</v>
      </c>
      <c r="J4099" t="s">
        <v>33753</v>
      </c>
      <c r="K4099" t="s">
        <v>40283</v>
      </c>
      <c r="M4099" t="s">
        <v>42103</v>
      </c>
      <c r="N4099" t="s">
        <v>44759</v>
      </c>
      <c r="O4099" t="s">
        <v>44760</v>
      </c>
      <c r="P4099">
        <v>0</v>
      </c>
      <c r="Q4099">
        <v>4</v>
      </c>
      <c r="R4099" t="s">
        <v>44762</v>
      </c>
      <c r="S4099" t="s">
        <v>44863</v>
      </c>
      <c r="T4099" t="s">
        <v>46440</v>
      </c>
      <c r="U4099" t="s">
        <v>50372</v>
      </c>
      <c r="W4099" t="s">
        <v>42103</v>
      </c>
      <c r="X4099" t="s">
        <v>44763</v>
      </c>
    </row>
    <row r="4100" spans="1:24">
      <c r="A4100">
        <f>HYPERLINK("https://www.philgeps.gov.ph/GEPSNONPILOT/Tender/SplashBidNoticeAbstractUI.aspx?menuIndex=3&amp;refID=7150755&amp;Result=3","7150755")</f>
        <v>0</v>
      </c>
      <c r="B4100" t="s">
        <v>384</v>
      </c>
      <c r="C4100" t="s">
        <v>7648</v>
      </c>
      <c r="D4100" t="s">
        <v>17987</v>
      </c>
      <c r="E4100" t="s">
        <v>21727</v>
      </c>
      <c r="F4100" t="s">
        <v>30900</v>
      </c>
      <c r="G4100" t="s">
        <v>30909</v>
      </c>
      <c r="H4100" t="s">
        <v>30916</v>
      </c>
      <c r="I4100" t="s">
        <v>4004</v>
      </c>
      <c r="J4100" t="s">
        <v>31728</v>
      </c>
      <c r="K4100" t="s">
        <v>40287</v>
      </c>
      <c r="M4100" t="s">
        <v>40939</v>
      </c>
      <c r="N4100" t="s">
        <v>44759</v>
      </c>
      <c r="O4100" t="s">
        <v>44760</v>
      </c>
      <c r="P4100">
        <v>0</v>
      </c>
      <c r="Q4100">
        <v>1</v>
      </c>
      <c r="R4100" t="s">
        <v>44762</v>
      </c>
      <c r="S4100" t="s">
        <v>44863</v>
      </c>
      <c r="T4100" t="s">
        <v>46409</v>
      </c>
      <c r="U4100" t="s">
        <v>50373</v>
      </c>
      <c r="W4100" t="s">
        <v>40939</v>
      </c>
      <c r="X4100" t="s">
        <v>44763</v>
      </c>
    </row>
    <row r="4101" spans="1:24">
      <c r="A4101">
        <f>HYPERLINK("https://www.philgeps.gov.ph/GEPSNONPILOT/Tender/SplashBidNoticeAbstractUI.aspx?menuIndex=3&amp;refID=7150636&amp;Result=3","7150636")</f>
        <v>0</v>
      </c>
      <c r="B4101" t="s">
        <v>1594</v>
      </c>
      <c r="C4101" t="s">
        <v>7649</v>
      </c>
      <c r="D4101" t="s">
        <v>17957</v>
      </c>
      <c r="E4101" t="s">
        <v>18234</v>
      </c>
      <c r="F4101" t="s">
        <v>30900</v>
      </c>
      <c r="G4101" t="s">
        <v>30907</v>
      </c>
      <c r="H4101" t="s">
        <v>30916</v>
      </c>
      <c r="I4101" t="s">
        <v>6396</v>
      </c>
      <c r="J4101" t="s">
        <v>33857</v>
      </c>
      <c r="K4101" t="s">
        <v>40281</v>
      </c>
      <c r="M4101" t="s">
        <v>42243</v>
      </c>
      <c r="N4101" t="s">
        <v>44759</v>
      </c>
      <c r="O4101" t="s">
        <v>44760</v>
      </c>
      <c r="P4101">
        <v>0</v>
      </c>
      <c r="Q4101">
        <v>1</v>
      </c>
      <c r="R4101" t="s">
        <v>44762</v>
      </c>
      <c r="S4101" t="s">
        <v>44863</v>
      </c>
      <c r="T4101" t="s">
        <v>46656</v>
      </c>
      <c r="U4101" t="s">
        <v>50374</v>
      </c>
      <c r="W4101" t="s">
        <v>42243</v>
      </c>
      <c r="X4101" t="s">
        <v>44763</v>
      </c>
    </row>
    <row r="4102" spans="1:24">
      <c r="A4102">
        <f>HYPERLINK("https://www.philgeps.gov.ph/GEPSNONPILOT/Tender/SplashBidNoticeAbstractUI.aspx?menuIndex=3&amp;refID=7150754&amp;Result=3","7150754")</f>
        <v>0</v>
      </c>
      <c r="B4102" t="s">
        <v>753</v>
      </c>
      <c r="C4102" t="s">
        <v>7650</v>
      </c>
      <c r="D4102" t="s">
        <v>17976</v>
      </c>
      <c r="E4102" t="s">
        <v>21728</v>
      </c>
      <c r="F4102" t="s">
        <v>30900</v>
      </c>
      <c r="G4102" t="s">
        <v>30907</v>
      </c>
      <c r="H4102" t="s">
        <v>30916</v>
      </c>
      <c r="I4102" t="s">
        <v>30921</v>
      </c>
      <c r="J4102" t="s">
        <v>31049</v>
      </c>
      <c r="K4102" t="s">
        <v>40286</v>
      </c>
      <c r="L4102" t="s">
        <v>753</v>
      </c>
      <c r="M4102" t="s">
        <v>41317</v>
      </c>
      <c r="N4102" t="s">
        <v>44759</v>
      </c>
      <c r="O4102" t="s">
        <v>44760</v>
      </c>
      <c r="P4102">
        <v>0</v>
      </c>
      <c r="Q4102">
        <v>1</v>
      </c>
      <c r="R4102" t="s">
        <v>44762</v>
      </c>
      <c r="S4102" t="s">
        <v>44863</v>
      </c>
      <c r="T4102" t="s">
        <v>46389</v>
      </c>
      <c r="U4102" t="s">
        <v>48259</v>
      </c>
      <c r="V4102" t="s">
        <v>59295</v>
      </c>
      <c r="W4102" t="s">
        <v>41317</v>
      </c>
      <c r="X4102" t="s">
        <v>44763</v>
      </c>
    </row>
    <row r="4103" spans="1:24">
      <c r="A4103">
        <f>HYPERLINK("https://www.philgeps.gov.ph/GEPSNONPILOT/Tender/SplashBidNoticeAbstractUI.aspx?menuIndex=3&amp;refID=7150699&amp;Result=3","7150699")</f>
        <v>0</v>
      </c>
      <c r="B4103" t="s">
        <v>1301</v>
      </c>
      <c r="C4103" t="s">
        <v>7651</v>
      </c>
      <c r="D4103" t="s">
        <v>17974</v>
      </c>
      <c r="E4103" t="s">
        <v>18872</v>
      </c>
      <c r="F4103" t="s">
        <v>30900</v>
      </c>
      <c r="G4103" t="s">
        <v>30908</v>
      </c>
      <c r="H4103" t="s">
        <v>30916</v>
      </c>
      <c r="I4103" t="s">
        <v>8123</v>
      </c>
      <c r="J4103" t="s">
        <v>33858</v>
      </c>
      <c r="K4103" t="s">
        <v>40289</v>
      </c>
      <c r="M4103" t="s">
        <v>41918</v>
      </c>
      <c r="N4103" t="s">
        <v>44759</v>
      </c>
      <c r="O4103" t="s">
        <v>44760</v>
      </c>
      <c r="P4103">
        <v>0</v>
      </c>
      <c r="Q4103">
        <v>0</v>
      </c>
      <c r="R4103" t="s">
        <v>44762</v>
      </c>
      <c r="S4103" t="s">
        <v>44863</v>
      </c>
      <c r="T4103" t="s">
        <v>46410</v>
      </c>
      <c r="U4103" t="s">
        <v>47654</v>
      </c>
      <c r="W4103" t="s">
        <v>41918</v>
      </c>
      <c r="X4103" t="s">
        <v>44763</v>
      </c>
    </row>
    <row r="4104" spans="1:24">
      <c r="A4104">
        <f>HYPERLINK("https://www.philgeps.gov.ph/GEPSNONPILOT/Tender/SplashBidNoticeAbstractUI.aspx?menuIndex=3&amp;refID=7150572&amp;Result=3","7150572")</f>
        <v>0</v>
      </c>
      <c r="B4104" t="s">
        <v>1534</v>
      </c>
      <c r="C4104" t="s">
        <v>7652</v>
      </c>
      <c r="D4104" t="s">
        <v>18004</v>
      </c>
      <c r="E4104" t="s">
        <v>21467</v>
      </c>
      <c r="F4104" t="s">
        <v>30900</v>
      </c>
      <c r="G4104" t="s">
        <v>30907</v>
      </c>
      <c r="H4104" t="s">
        <v>30916</v>
      </c>
      <c r="I4104" t="s">
        <v>5501</v>
      </c>
      <c r="J4104" t="s">
        <v>33859</v>
      </c>
      <c r="K4104" t="s">
        <v>40287</v>
      </c>
      <c r="M4104" t="s">
        <v>42177</v>
      </c>
      <c r="N4104" t="s">
        <v>44759</v>
      </c>
      <c r="O4104" t="s">
        <v>44760</v>
      </c>
      <c r="P4104">
        <v>0</v>
      </c>
      <c r="Q4104">
        <v>0</v>
      </c>
      <c r="R4104" t="s">
        <v>44762</v>
      </c>
      <c r="S4104" t="s">
        <v>44863</v>
      </c>
      <c r="T4104" t="s">
        <v>46574</v>
      </c>
      <c r="U4104" t="s">
        <v>50170</v>
      </c>
      <c r="W4104" t="s">
        <v>42177</v>
      </c>
      <c r="X4104" t="s">
        <v>44763</v>
      </c>
    </row>
    <row r="4105" spans="1:24">
      <c r="A4105">
        <f>HYPERLINK("https://www.philgeps.gov.ph/GEPSNONPILOT/Tender/SplashBidNoticeAbstractUI.aspx?menuIndex=3&amp;refID=7150665&amp;Result=3","7150665")</f>
        <v>0</v>
      </c>
      <c r="B4105" t="s">
        <v>1595</v>
      </c>
      <c r="C4105" t="s">
        <v>7653</v>
      </c>
      <c r="D4105" t="s">
        <v>17962</v>
      </c>
      <c r="E4105" t="s">
        <v>21729</v>
      </c>
      <c r="F4105" t="s">
        <v>30900</v>
      </c>
      <c r="G4105" t="s">
        <v>30907</v>
      </c>
      <c r="H4105" t="s">
        <v>30915</v>
      </c>
      <c r="I4105" t="s">
        <v>30919</v>
      </c>
      <c r="J4105" t="s">
        <v>33860</v>
      </c>
      <c r="K4105" t="s">
        <v>40322</v>
      </c>
      <c r="M4105" t="s">
        <v>42244</v>
      </c>
      <c r="N4105" t="s">
        <v>44759</v>
      </c>
      <c r="O4105" t="s">
        <v>44760</v>
      </c>
      <c r="P4105">
        <v>0</v>
      </c>
      <c r="Q4105">
        <v>1</v>
      </c>
      <c r="R4105" t="s">
        <v>44762</v>
      </c>
      <c r="S4105" t="s">
        <v>44863</v>
      </c>
      <c r="T4105" t="s">
        <v>46456</v>
      </c>
      <c r="U4105" t="s">
        <v>50375</v>
      </c>
      <c r="V4105" t="s">
        <v>59567</v>
      </c>
      <c r="W4105" t="s">
        <v>42244</v>
      </c>
      <c r="X4105" t="s">
        <v>44763</v>
      </c>
    </row>
    <row r="4106" spans="1:24">
      <c r="A4106">
        <f>HYPERLINK("https://www.philgeps.gov.ph/GEPSNONPILOT/Tender/SplashBidNoticeAbstractUI.aspx?menuIndex=3&amp;refID=7150568&amp;Result=3","7150568")</f>
        <v>0</v>
      </c>
      <c r="B4106" t="s">
        <v>888</v>
      </c>
      <c r="C4106" t="s">
        <v>7654</v>
      </c>
      <c r="D4106" t="s">
        <v>17951</v>
      </c>
      <c r="E4106" t="s">
        <v>21730</v>
      </c>
      <c r="F4106" t="s">
        <v>30900</v>
      </c>
      <c r="G4106" t="s">
        <v>30906</v>
      </c>
      <c r="H4106" t="s">
        <v>30916</v>
      </c>
      <c r="I4106" t="s">
        <v>30921</v>
      </c>
      <c r="J4106" t="s">
        <v>33861</v>
      </c>
      <c r="K4106" t="s">
        <v>40308</v>
      </c>
      <c r="M4106" t="s">
        <v>41461</v>
      </c>
      <c r="N4106" t="s">
        <v>44759</v>
      </c>
      <c r="O4106" t="s">
        <v>44760</v>
      </c>
      <c r="P4106">
        <v>0</v>
      </c>
      <c r="Q4106">
        <v>0</v>
      </c>
      <c r="R4106" t="s">
        <v>44762</v>
      </c>
      <c r="S4106" t="s">
        <v>44863</v>
      </c>
      <c r="T4106" t="s">
        <v>46558</v>
      </c>
      <c r="U4106" t="s">
        <v>48542</v>
      </c>
      <c r="W4106" t="s">
        <v>41461</v>
      </c>
      <c r="X4106" t="s">
        <v>44763</v>
      </c>
    </row>
    <row r="4107" spans="1:24">
      <c r="A4107">
        <f>HYPERLINK("https://www.philgeps.gov.ph/GEPSNONPILOT/Tender/SplashBidNoticeAbstractUI.aspx?menuIndex=3&amp;refID=7150566&amp;Result=3","7150566")</f>
        <v>0</v>
      </c>
      <c r="B4107" t="s">
        <v>1596</v>
      </c>
      <c r="C4107" t="s">
        <v>3996</v>
      </c>
      <c r="D4107" t="s">
        <v>17974</v>
      </c>
      <c r="E4107" t="s">
        <v>18066</v>
      </c>
      <c r="F4107" t="s">
        <v>30900</v>
      </c>
      <c r="G4107" t="s">
        <v>30909</v>
      </c>
      <c r="H4107" t="s">
        <v>30916</v>
      </c>
      <c r="I4107" t="s">
        <v>6396</v>
      </c>
      <c r="J4107" t="s">
        <v>31728</v>
      </c>
      <c r="K4107" t="s">
        <v>40288</v>
      </c>
      <c r="M4107" t="s">
        <v>42245</v>
      </c>
      <c r="N4107" t="s">
        <v>44759</v>
      </c>
      <c r="O4107" t="s">
        <v>44760</v>
      </c>
      <c r="P4107">
        <v>0</v>
      </c>
      <c r="Q4107">
        <v>0</v>
      </c>
      <c r="R4107" t="s">
        <v>44762</v>
      </c>
      <c r="S4107" t="s">
        <v>44863</v>
      </c>
      <c r="T4107" t="s">
        <v>46399</v>
      </c>
      <c r="U4107" t="s">
        <v>50376</v>
      </c>
      <c r="W4107" t="s">
        <v>42245</v>
      </c>
      <c r="X4107" t="s">
        <v>44763</v>
      </c>
    </row>
    <row r="4108" spans="1:24">
      <c r="A4108">
        <f>HYPERLINK("https://www.philgeps.gov.ph/GEPSNONPILOT/Tender/SplashBidNoticeAbstractUI.aspx?menuIndex=3&amp;refID=7150661&amp;Result=3","7150661")</f>
        <v>0</v>
      </c>
      <c r="B4108" t="s">
        <v>591</v>
      </c>
      <c r="C4108" t="s">
        <v>7655</v>
      </c>
      <c r="D4108" t="s">
        <v>17998</v>
      </c>
      <c r="E4108" t="s">
        <v>21731</v>
      </c>
      <c r="F4108" t="s">
        <v>30900</v>
      </c>
      <c r="G4108" t="s">
        <v>30907</v>
      </c>
      <c r="H4108" t="s">
        <v>30916</v>
      </c>
      <c r="I4108" t="s">
        <v>30927</v>
      </c>
      <c r="J4108" t="s">
        <v>33671</v>
      </c>
      <c r="K4108" t="s">
        <v>40286</v>
      </c>
      <c r="M4108" t="s">
        <v>41153</v>
      </c>
      <c r="N4108" t="s">
        <v>44759</v>
      </c>
      <c r="O4108" t="s">
        <v>44760</v>
      </c>
      <c r="P4108">
        <v>0</v>
      </c>
      <c r="Q4108">
        <v>0</v>
      </c>
      <c r="R4108" t="s">
        <v>44762</v>
      </c>
      <c r="S4108" t="s">
        <v>44863</v>
      </c>
      <c r="T4108" t="s">
        <v>46389</v>
      </c>
      <c r="U4108" t="s">
        <v>47975</v>
      </c>
      <c r="V4108" t="s">
        <v>59550</v>
      </c>
      <c r="W4108" t="s">
        <v>41153</v>
      </c>
      <c r="X4108" t="s">
        <v>44763</v>
      </c>
    </row>
    <row r="4109" spans="1:24">
      <c r="A4109">
        <f>HYPERLINK("https://www.philgeps.gov.ph/GEPSNONPILOT/Tender/SplashBidNoticeAbstractUI.aspx?menuIndex=3&amp;refID=7150565&amp;Result=3","7150565")</f>
        <v>0</v>
      </c>
      <c r="B4109" t="s">
        <v>591</v>
      </c>
      <c r="C4109" t="s">
        <v>7656</v>
      </c>
      <c r="D4109" t="s">
        <v>17998</v>
      </c>
      <c r="E4109" t="s">
        <v>21732</v>
      </c>
      <c r="F4109" t="s">
        <v>30900</v>
      </c>
      <c r="G4109" t="s">
        <v>30907</v>
      </c>
      <c r="H4109" t="s">
        <v>30916</v>
      </c>
      <c r="I4109" t="s">
        <v>10602</v>
      </c>
      <c r="J4109" t="s">
        <v>32338</v>
      </c>
      <c r="K4109" t="s">
        <v>40281</v>
      </c>
      <c r="M4109" t="s">
        <v>41153</v>
      </c>
      <c r="N4109" t="s">
        <v>44759</v>
      </c>
      <c r="O4109" t="s">
        <v>44760</v>
      </c>
      <c r="P4109">
        <v>0</v>
      </c>
      <c r="Q4109">
        <v>0</v>
      </c>
      <c r="R4109" t="s">
        <v>44762</v>
      </c>
      <c r="S4109" t="s">
        <v>44863</v>
      </c>
      <c r="T4109" t="s">
        <v>46389</v>
      </c>
      <c r="U4109" t="s">
        <v>47975</v>
      </c>
      <c r="V4109" t="s">
        <v>59550</v>
      </c>
      <c r="W4109" t="s">
        <v>41153</v>
      </c>
      <c r="X4109" t="s">
        <v>44763</v>
      </c>
    </row>
    <row r="4110" spans="1:24">
      <c r="A4110">
        <f>HYPERLINK("https://www.philgeps.gov.ph/GEPSNONPILOT/Tender/SplashBidNoticeAbstractUI.aspx?menuIndex=3&amp;refID=7150549&amp;Result=3","7150549")</f>
        <v>0</v>
      </c>
      <c r="B4110" t="s">
        <v>1567</v>
      </c>
      <c r="C4110" t="s">
        <v>7657</v>
      </c>
      <c r="D4110" t="s">
        <v>18006</v>
      </c>
      <c r="E4110" t="s">
        <v>21733</v>
      </c>
      <c r="F4110" t="s">
        <v>30900</v>
      </c>
      <c r="G4110" t="s">
        <v>30908</v>
      </c>
      <c r="H4110" t="s">
        <v>30916</v>
      </c>
      <c r="I4110" t="s">
        <v>8044</v>
      </c>
      <c r="J4110" t="s">
        <v>33862</v>
      </c>
      <c r="K4110" t="s">
        <v>40289</v>
      </c>
      <c r="M4110" t="s">
        <v>42215</v>
      </c>
      <c r="N4110" t="s">
        <v>44759</v>
      </c>
      <c r="O4110" t="s">
        <v>44760</v>
      </c>
      <c r="P4110">
        <v>0</v>
      </c>
      <c r="Q4110">
        <v>0</v>
      </c>
      <c r="R4110" t="s">
        <v>44762</v>
      </c>
      <c r="S4110" t="s">
        <v>44863</v>
      </c>
      <c r="T4110" t="s">
        <v>46440</v>
      </c>
      <c r="U4110" t="s">
        <v>50265</v>
      </c>
      <c r="W4110" t="s">
        <v>42215</v>
      </c>
      <c r="X4110" t="s">
        <v>44763</v>
      </c>
    </row>
    <row r="4111" spans="1:24">
      <c r="A4111">
        <f>HYPERLINK("https://www.philgeps.gov.ph/GEPSNONPILOT/Tender/SplashBidNoticeAbstractUI.aspx?menuIndex=3&amp;refID=7150548&amp;Result=3","7150548")</f>
        <v>0</v>
      </c>
      <c r="B4111" t="s">
        <v>1597</v>
      </c>
      <c r="C4111" t="s">
        <v>7658</v>
      </c>
      <c r="D4111" t="s">
        <v>17958</v>
      </c>
      <c r="E4111" t="s">
        <v>21316</v>
      </c>
      <c r="F4111" t="s">
        <v>30900</v>
      </c>
      <c r="G4111" t="s">
        <v>30908</v>
      </c>
      <c r="H4111" t="s">
        <v>30916</v>
      </c>
      <c r="I4111" t="s">
        <v>30935</v>
      </c>
      <c r="J4111" t="s">
        <v>31049</v>
      </c>
      <c r="K4111" t="s">
        <v>40287</v>
      </c>
      <c r="M4111" t="s">
        <v>42246</v>
      </c>
      <c r="N4111" t="s">
        <v>44759</v>
      </c>
      <c r="O4111" t="s">
        <v>44760</v>
      </c>
      <c r="P4111">
        <v>0</v>
      </c>
      <c r="Q4111">
        <v>0</v>
      </c>
      <c r="R4111" t="s">
        <v>44762</v>
      </c>
      <c r="S4111" t="s">
        <v>44863</v>
      </c>
      <c r="T4111" t="s">
        <v>46390</v>
      </c>
      <c r="U4111" t="s">
        <v>50377</v>
      </c>
      <c r="W4111" t="s">
        <v>42246</v>
      </c>
      <c r="X4111" t="s">
        <v>44763</v>
      </c>
    </row>
    <row r="4112" spans="1:24">
      <c r="A4112">
        <f>HYPERLINK("https://www.philgeps.gov.ph/GEPSNONPILOT/Tender/SplashBidNoticeAbstractUI.aspx?menuIndex=3&amp;refID=7150634&amp;Result=3","7150634")</f>
        <v>0</v>
      </c>
      <c r="B4112" t="s">
        <v>1598</v>
      </c>
      <c r="C4112" t="s">
        <v>7659</v>
      </c>
      <c r="E4112" t="s">
        <v>21734</v>
      </c>
      <c r="F4112" t="s">
        <v>30900</v>
      </c>
      <c r="G4112" t="s">
        <v>30907</v>
      </c>
      <c r="H4112" t="s">
        <v>30915</v>
      </c>
      <c r="I4112" t="s">
        <v>30919</v>
      </c>
      <c r="J4112" t="s">
        <v>31282</v>
      </c>
      <c r="K4112" t="s">
        <v>40289</v>
      </c>
      <c r="M4112" t="s">
        <v>42247</v>
      </c>
      <c r="N4112" t="s">
        <v>44759</v>
      </c>
      <c r="O4112" t="s">
        <v>44760</v>
      </c>
      <c r="P4112">
        <v>0</v>
      </c>
      <c r="Q4112">
        <v>0</v>
      </c>
      <c r="R4112" t="s">
        <v>44762</v>
      </c>
      <c r="S4112" t="s">
        <v>44863</v>
      </c>
      <c r="T4112" t="s">
        <v>46463</v>
      </c>
      <c r="U4112" t="s">
        <v>50378</v>
      </c>
      <c r="W4112" t="s">
        <v>42247</v>
      </c>
      <c r="X4112" t="s">
        <v>44763</v>
      </c>
    </row>
    <row r="4113" spans="1:24">
      <c r="A4113">
        <f>HYPERLINK("https://www.philgeps.gov.ph/GEPSNONPILOT/Tender/SplashBidNoticeAbstractUI.aspx?menuIndex=3&amp;refID=7150547&amp;Result=3","7150547")</f>
        <v>0</v>
      </c>
      <c r="B4113" t="s">
        <v>1599</v>
      </c>
      <c r="C4113" t="s">
        <v>7660</v>
      </c>
      <c r="D4113" t="s">
        <v>17968</v>
      </c>
      <c r="E4113" t="s">
        <v>21735</v>
      </c>
      <c r="F4113" t="s">
        <v>30900</v>
      </c>
      <c r="G4113" t="s">
        <v>30908</v>
      </c>
      <c r="H4113" t="s">
        <v>7411</v>
      </c>
      <c r="I4113" t="s">
        <v>7411</v>
      </c>
      <c r="J4113" t="s">
        <v>32333</v>
      </c>
      <c r="K4113" t="s">
        <v>40397</v>
      </c>
      <c r="M4113" t="s">
        <v>42248</v>
      </c>
      <c r="N4113" t="s">
        <v>44759</v>
      </c>
      <c r="O4113" t="s">
        <v>44760</v>
      </c>
      <c r="P4113">
        <v>0</v>
      </c>
      <c r="Q4113">
        <v>5</v>
      </c>
      <c r="R4113" t="s">
        <v>44762</v>
      </c>
      <c r="S4113" t="s">
        <v>44863</v>
      </c>
      <c r="T4113" t="s">
        <v>46409</v>
      </c>
      <c r="U4113" t="s">
        <v>50379</v>
      </c>
      <c r="W4113" t="s">
        <v>42248</v>
      </c>
      <c r="X4113" t="s">
        <v>44763</v>
      </c>
    </row>
    <row r="4114" spans="1:24">
      <c r="A4114">
        <f>HYPERLINK("https://www.philgeps.gov.ph/GEPSNONPILOT/Tender/SplashBidNoticeAbstractUI.aspx?menuIndex=3&amp;refID=7150545&amp;Result=3","7150545")</f>
        <v>0</v>
      </c>
      <c r="B4114" t="s">
        <v>782</v>
      </c>
      <c r="C4114" t="s">
        <v>7661</v>
      </c>
      <c r="D4114" t="s">
        <v>17951</v>
      </c>
      <c r="E4114" t="s">
        <v>21736</v>
      </c>
      <c r="F4114" t="s">
        <v>30900</v>
      </c>
      <c r="G4114" t="s">
        <v>30907</v>
      </c>
      <c r="H4114" t="s">
        <v>30916</v>
      </c>
      <c r="I4114" t="s">
        <v>4545</v>
      </c>
      <c r="J4114" t="s">
        <v>31589</v>
      </c>
      <c r="K4114" t="s">
        <v>40283</v>
      </c>
      <c r="M4114" t="s">
        <v>41351</v>
      </c>
      <c r="N4114" t="s">
        <v>44759</v>
      </c>
      <c r="O4114" t="s">
        <v>44760</v>
      </c>
      <c r="P4114">
        <v>0</v>
      </c>
      <c r="Q4114">
        <v>3</v>
      </c>
      <c r="R4114" t="s">
        <v>44762</v>
      </c>
      <c r="S4114" t="s">
        <v>44863</v>
      </c>
      <c r="T4114" t="s">
        <v>46613</v>
      </c>
      <c r="U4114" t="s">
        <v>50380</v>
      </c>
      <c r="W4114" t="s">
        <v>41351</v>
      </c>
      <c r="X4114" t="s">
        <v>44763</v>
      </c>
    </row>
    <row r="4115" spans="1:24">
      <c r="A4115">
        <f>HYPERLINK("https://www.philgeps.gov.ph/GEPSNONPILOT/Tender/SplashBidNoticeAbstractUI.aspx?menuIndex=3&amp;refID=7150567&amp;Result=3","7150567")</f>
        <v>0</v>
      </c>
      <c r="B4115" t="s">
        <v>413</v>
      </c>
      <c r="C4115" t="s">
        <v>7662</v>
      </c>
      <c r="D4115" t="s">
        <v>17993</v>
      </c>
      <c r="E4115" t="s">
        <v>18420</v>
      </c>
      <c r="F4115" t="s">
        <v>30900</v>
      </c>
      <c r="G4115" t="s">
        <v>30908</v>
      </c>
      <c r="H4115" t="s">
        <v>30915</v>
      </c>
      <c r="I4115" t="s">
        <v>30919</v>
      </c>
      <c r="J4115" t="s">
        <v>33863</v>
      </c>
      <c r="K4115" t="s">
        <v>40289</v>
      </c>
      <c r="M4115" t="s">
        <v>40969</v>
      </c>
      <c r="N4115" t="s">
        <v>44759</v>
      </c>
      <c r="O4115" t="s">
        <v>44760</v>
      </c>
      <c r="P4115">
        <v>0</v>
      </c>
      <c r="Q4115">
        <v>0</v>
      </c>
      <c r="R4115" t="s">
        <v>44762</v>
      </c>
      <c r="S4115" t="s">
        <v>44863</v>
      </c>
      <c r="T4115" t="s">
        <v>46414</v>
      </c>
      <c r="U4115" t="s">
        <v>50381</v>
      </c>
      <c r="W4115" t="s">
        <v>40969</v>
      </c>
      <c r="X4115" t="s">
        <v>44763</v>
      </c>
    </row>
    <row r="4116" spans="1:24">
      <c r="A4116">
        <f>HYPERLINK("https://www.philgeps.gov.ph/GEPSNONPILOT/Tender/SplashBidNoticeAbstractUI.aspx?menuIndex=3&amp;refID=7150544&amp;Result=3","7150544")</f>
        <v>0</v>
      </c>
      <c r="B4116" t="s">
        <v>157</v>
      </c>
      <c r="C4116" t="s">
        <v>7663</v>
      </c>
      <c r="D4116" t="s">
        <v>17978</v>
      </c>
      <c r="E4116" t="s">
        <v>21737</v>
      </c>
      <c r="F4116" t="s">
        <v>30900</v>
      </c>
      <c r="G4116" t="s">
        <v>30907</v>
      </c>
      <c r="H4116" t="s">
        <v>30916</v>
      </c>
      <c r="I4116" t="s">
        <v>30939</v>
      </c>
      <c r="J4116" t="s">
        <v>33864</v>
      </c>
      <c r="K4116" t="s">
        <v>40366</v>
      </c>
      <c r="M4116" t="s">
        <v>41325</v>
      </c>
      <c r="N4116" t="s">
        <v>44759</v>
      </c>
      <c r="O4116" t="s">
        <v>44760</v>
      </c>
      <c r="P4116">
        <v>0</v>
      </c>
      <c r="Q4116">
        <v>0</v>
      </c>
      <c r="R4116" t="s">
        <v>44762</v>
      </c>
      <c r="S4116" t="s">
        <v>44863</v>
      </c>
      <c r="T4116" t="s">
        <v>46375</v>
      </c>
      <c r="U4116" t="s">
        <v>50382</v>
      </c>
      <c r="W4116" t="s">
        <v>41325</v>
      </c>
      <c r="X4116" t="s">
        <v>44763</v>
      </c>
    </row>
    <row r="4117" spans="1:24">
      <c r="A4117">
        <f>HYPERLINK("https://www.philgeps.gov.ph/GEPSNONPILOT/Tender/SplashBidNoticeAbstractUI.aspx?menuIndex=3&amp;refID=7150519&amp;Result=3","7150519")</f>
        <v>0</v>
      </c>
      <c r="B4117" t="s">
        <v>725</v>
      </c>
      <c r="C4117" t="s">
        <v>7664</v>
      </c>
      <c r="D4117" t="s">
        <v>18004</v>
      </c>
      <c r="E4117" t="s">
        <v>21738</v>
      </c>
      <c r="F4117" t="s">
        <v>30900</v>
      </c>
      <c r="G4117" t="s">
        <v>30907</v>
      </c>
      <c r="H4117" t="s">
        <v>30916</v>
      </c>
      <c r="I4117" t="s">
        <v>30942</v>
      </c>
      <c r="J4117" t="s">
        <v>33865</v>
      </c>
      <c r="K4117" t="s">
        <v>40284</v>
      </c>
      <c r="M4117" t="s">
        <v>41289</v>
      </c>
      <c r="N4117" t="s">
        <v>44759</v>
      </c>
      <c r="O4117" t="s">
        <v>44760</v>
      </c>
      <c r="P4117">
        <v>0</v>
      </c>
      <c r="Q4117">
        <v>0</v>
      </c>
      <c r="R4117" t="s">
        <v>44762</v>
      </c>
      <c r="S4117" t="s">
        <v>44863</v>
      </c>
      <c r="T4117" t="s">
        <v>46532</v>
      </c>
      <c r="U4117" t="s">
        <v>50383</v>
      </c>
      <c r="W4117" t="s">
        <v>41289</v>
      </c>
      <c r="X4117" t="s">
        <v>44763</v>
      </c>
    </row>
    <row r="4118" spans="1:24">
      <c r="A4118">
        <f>HYPERLINK("https://www.philgeps.gov.ph/GEPSNONPILOT/Tender/SplashBidNoticeAbstractUI.aspx?menuIndex=3&amp;refID=7150612&amp;Result=3","7150612")</f>
        <v>0</v>
      </c>
      <c r="B4118" t="s">
        <v>451</v>
      </c>
      <c r="C4118" t="s">
        <v>7665</v>
      </c>
      <c r="D4118" t="s">
        <v>17980</v>
      </c>
      <c r="E4118" t="s">
        <v>21739</v>
      </c>
      <c r="F4118" t="s">
        <v>30900</v>
      </c>
      <c r="G4118" t="s">
        <v>30908</v>
      </c>
      <c r="H4118" t="s">
        <v>30916</v>
      </c>
      <c r="I4118" t="s">
        <v>5501</v>
      </c>
      <c r="J4118" t="s">
        <v>33866</v>
      </c>
      <c r="K4118" t="s">
        <v>40283</v>
      </c>
      <c r="M4118" t="s">
        <v>42056</v>
      </c>
      <c r="N4118" t="s">
        <v>44759</v>
      </c>
      <c r="O4118" t="s">
        <v>44760</v>
      </c>
      <c r="P4118">
        <v>0</v>
      </c>
      <c r="Q4118">
        <v>3</v>
      </c>
      <c r="R4118" t="s">
        <v>44762</v>
      </c>
      <c r="S4118" t="s">
        <v>44863</v>
      </c>
      <c r="T4118" t="s">
        <v>46383</v>
      </c>
      <c r="U4118" t="s">
        <v>50057</v>
      </c>
      <c r="W4118" t="s">
        <v>42056</v>
      </c>
      <c r="X4118" t="s">
        <v>44763</v>
      </c>
    </row>
    <row r="4119" spans="1:24">
      <c r="A4119">
        <f>HYPERLINK("https://www.philgeps.gov.ph/GEPSNONPILOT/Tender/SplashBidNoticeAbstractUI.aspx?menuIndex=3&amp;refID=7150517&amp;Result=3","7150517")</f>
        <v>0</v>
      </c>
      <c r="B4119" t="s">
        <v>591</v>
      </c>
      <c r="C4119" t="s">
        <v>7666</v>
      </c>
      <c r="D4119" t="s">
        <v>17998</v>
      </c>
      <c r="E4119" t="s">
        <v>21740</v>
      </c>
      <c r="F4119" t="s">
        <v>30900</v>
      </c>
      <c r="G4119" t="s">
        <v>30907</v>
      </c>
      <c r="H4119" t="s">
        <v>30916</v>
      </c>
      <c r="I4119" t="s">
        <v>4061</v>
      </c>
      <c r="J4119" t="s">
        <v>32204</v>
      </c>
      <c r="K4119" t="s">
        <v>40286</v>
      </c>
      <c r="M4119" t="s">
        <v>41153</v>
      </c>
      <c r="N4119" t="s">
        <v>44759</v>
      </c>
      <c r="O4119" t="s">
        <v>44760</v>
      </c>
      <c r="P4119">
        <v>0</v>
      </c>
      <c r="Q4119">
        <v>0</v>
      </c>
      <c r="R4119" t="s">
        <v>44762</v>
      </c>
      <c r="S4119" t="s">
        <v>44863</v>
      </c>
      <c r="T4119" t="s">
        <v>46389</v>
      </c>
      <c r="U4119" t="s">
        <v>47975</v>
      </c>
      <c r="V4119" t="s">
        <v>59550</v>
      </c>
      <c r="W4119" t="s">
        <v>41153</v>
      </c>
      <c r="X4119" t="s">
        <v>44763</v>
      </c>
    </row>
    <row r="4120" spans="1:24">
      <c r="A4120">
        <f>HYPERLINK("https://www.philgeps.gov.ph/GEPSNONPILOT/Tender/SplashBidNoticeAbstractUI.aspx?menuIndex=3&amp;refID=7150514&amp;Result=3","7150514")</f>
        <v>0</v>
      </c>
      <c r="B4120" t="s">
        <v>1562</v>
      </c>
      <c r="C4120" t="s">
        <v>7667</v>
      </c>
      <c r="D4120" t="s">
        <v>17981</v>
      </c>
      <c r="E4120" t="s">
        <v>21741</v>
      </c>
      <c r="F4120" t="s">
        <v>30900</v>
      </c>
      <c r="G4120" t="s">
        <v>30909</v>
      </c>
      <c r="H4120" t="s">
        <v>30916</v>
      </c>
      <c r="I4120" t="s">
        <v>30943</v>
      </c>
      <c r="J4120" t="s">
        <v>31447</v>
      </c>
      <c r="K4120" t="s">
        <v>40285</v>
      </c>
      <c r="M4120" t="s">
        <v>42210</v>
      </c>
      <c r="N4120" t="s">
        <v>44759</v>
      </c>
      <c r="O4120" t="s">
        <v>44760</v>
      </c>
      <c r="P4120">
        <v>0</v>
      </c>
      <c r="Q4120">
        <v>3</v>
      </c>
      <c r="R4120" t="s">
        <v>44762</v>
      </c>
      <c r="S4120" t="s">
        <v>44863</v>
      </c>
      <c r="T4120" t="s">
        <v>46398</v>
      </c>
      <c r="U4120" t="s">
        <v>50384</v>
      </c>
      <c r="V4120" t="s">
        <v>59556</v>
      </c>
      <c r="W4120" t="s">
        <v>42210</v>
      </c>
      <c r="X4120" t="s">
        <v>44763</v>
      </c>
    </row>
    <row r="4121" spans="1:24">
      <c r="A4121">
        <f>HYPERLINK("https://www.philgeps.gov.ph/GEPSNONPILOT/Tender/SplashBidNoticeAbstractUI.aspx?menuIndex=3&amp;refID=7150570&amp;Result=3","7150570")</f>
        <v>0</v>
      </c>
      <c r="B4121" t="s">
        <v>301</v>
      </c>
      <c r="C4121" t="s">
        <v>7668</v>
      </c>
      <c r="D4121" t="s">
        <v>17988</v>
      </c>
      <c r="E4121" t="s">
        <v>21742</v>
      </c>
      <c r="F4121" t="s">
        <v>30900</v>
      </c>
      <c r="G4121" t="s">
        <v>30908</v>
      </c>
      <c r="H4121" t="s">
        <v>30916</v>
      </c>
      <c r="I4121" t="s">
        <v>10847</v>
      </c>
      <c r="J4121" t="s">
        <v>33867</v>
      </c>
      <c r="K4121" t="s">
        <v>40319</v>
      </c>
      <c r="M4121" t="s">
        <v>40850</v>
      </c>
      <c r="N4121" t="s">
        <v>44759</v>
      </c>
      <c r="O4121" t="s">
        <v>44760</v>
      </c>
      <c r="P4121">
        <v>0</v>
      </c>
      <c r="Q4121">
        <v>1</v>
      </c>
      <c r="R4121" t="s">
        <v>44762</v>
      </c>
      <c r="S4121" t="s">
        <v>44863</v>
      </c>
      <c r="T4121" t="s">
        <v>46463</v>
      </c>
      <c r="U4121" t="s">
        <v>47419</v>
      </c>
      <c r="W4121" t="s">
        <v>40850</v>
      </c>
      <c r="X4121" t="s">
        <v>44763</v>
      </c>
    </row>
    <row r="4122" spans="1:24">
      <c r="A4122">
        <f>HYPERLINK("https://www.philgeps.gov.ph/GEPSNONPILOT/Tender/SplashBidNoticeAbstractUI.aspx?menuIndex=3&amp;refID=7150463&amp;Result=3","7150463")</f>
        <v>0</v>
      </c>
      <c r="B4122" t="s">
        <v>1600</v>
      </c>
      <c r="C4122" t="s">
        <v>7669</v>
      </c>
      <c r="D4122" t="s">
        <v>17959</v>
      </c>
      <c r="E4122" t="s">
        <v>21743</v>
      </c>
      <c r="F4122" t="s">
        <v>30900</v>
      </c>
      <c r="G4122" t="s">
        <v>30908</v>
      </c>
      <c r="H4122" t="s">
        <v>30916</v>
      </c>
      <c r="I4122" t="s">
        <v>15007</v>
      </c>
      <c r="J4122" t="s">
        <v>31058</v>
      </c>
      <c r="K4122" t="s">
        <v>40283</v>
      </c>
      <c r="M4122" t="s">
        <v>42249</v>
      </c>
      <c r="N4122" t="s">
        <v>44759</v>
      </c>
      <c r="O4122" t="s">
        <v>44760</v>
      </c>
      <c r="P4122">
        <v>0</v>
      </c>
      <c r="Q4122">
        <v>4</v>
      </c>
      <c r="R4122" t="s">
        <v>44762</v>
      </c>
      <c r="S4122" t="s">
        <v>44863</v>
      </c>
      <c r="T4122" t="s">
        <v>46547</v>
      </c>
      <c r="U4122" t="s">
        <v>50385</v>
      </c>
      <c r="W4122" t="s">
        <v>42249</v>
      </c>
      <c r="X4122" t="s">
        <v>44763</v>
      </c>
    </row>
    <row r="4123" spans="1:24">
      <c r="A4123">
        <f>HYPERLINK("https://www.philgeps.gov.ph/GEPSNONPILOT/Tender/SplashBidNoticeAbstractUI.aspx?menuIndex=3&amp;refID=7150613&amp;Result=3","7150613")</f>
        <v>0</v>
      </c>
      <c r="B4123" t="s">
        <v>1018</v>
      </c>
      <c r="C4123" t="s">
        <v>7670</v>
      </c>
      <c r="D4123" t="s">
        <v>17968</v>
      </c>
      <c r="E4123" t="s">
        <v>19755</v>
      </c>
      <c r="F4123" t="s">
        <v>30900</v>
      </c>
      <c r="G4123" t="s">
        <v>30907</v>
      </c>
      <c r="H4123" t="s">
        <v>30915</v>
      </c>
      <c r="I4123" t="s">
        <v>30919</v>
      </c>
      <c r="J4123" t="s">
        <v>31069</v>
      </c>
      <c r="K4123" t="s">
        <v>40342</v>
      </c>
      <c r="M4123" t="s">
        <v>41607</v>
      </c>
      <c r="N4123" t="s">
        <v>44759</v>
      </c>
      <c r="O4123" t="s">
        <v>44760</v>
      </c>
      <c r="P4123">
        <v>0</v>
      </c>
      <c r="Q4123">
        <v>0</v>
      </c>
      <c r="R4123" t="s">
        <v>44762</v>
      </c>
      <c r="S4123" t="s">
        <v>44863</v>
      </c>
      <c r="T4123" t="s">
        <v>46405</v>
      </c>
      <c r="U4123" t="s">
        <v>48840</v>
      </c>
      <c r="W4123" t="s">
        <v>41607</v>
      </c>
      <c r="X4123" t="s">
        <v>44763</v>
      </c>
    </row>
    <row r="4124" spans="1:24">
      <c r="A4124">
        <f>HYPERLINK("https://www.philgeps.gov.ph/GEPSNONPILOT/Tender/SplashBidNoticeAbstractUI.aspx?menuIndex=3&amp;refID=7150571&amp;Result=3","7150571")</f>
        <v>0</v>
      </c>
      <c r="B4124" t="s">
        <v>1275</v>
      </c>
      <c r="C4124" t="s">
        <v>7671</v>
      </c>
      <c r="D4124" t="s">
        <v>17980</v>
      </c>
      <c r="E4124" t="s">
        <v>21744</v>
      </c>
      <c r="F4124" t="s">
        <v>30900</v>
      </c>
      <c r="G4124" t="s">
        <v>30907</v>
      </c>
      <c r="H4124" t="s">
        <v>30915</v>
      </c>
      <c r="I4124" t="s">
        <v>30919</v>
      </c>
      <c r="J4124" t="s">
        <v>31066</v>
      </c>
      <c r="K4124" t="s">
        <v>40286</v>
      </c>
      <c r="M4124" t="s">
        <v>42193</v>
      </c>
      <c r="N4124" t="s">
        <v>44759</v>
      </c>
      <c r="O4124" t="s">
        <v>44760</v>
      </c>
      <c r="P4124">
        <v>0</v>
      </c>
      <c r="Q4124">
        <v>0</v>
      </c>
      <c r="R4124" t="s">
        <v>44762</v>
      </c>
      <c r="S4124" t="s">
        <v>44863</v>
      </c>
      <c r="T4124" t="s">
        <v>46362</v>
      </c>
      <c r="U4124" t="s">
        <v>50205</v>
      </c>
      <c r="W4124" t="s">
        <v>42193</v>
      </c>
      <c r="X4124" t="s">
        <v>44763</v>
      </c>
    </row>
    <row r="4125" spans="1:24">
      <c r="A4125">
        <f>HYPERLINK("https://www.philgeps.gov.ph/GEPSNONPILOT/Tender/SplashBidNoticeAbstractUI.aspx?menuIndex=3&amp;refID=7150515&amp;Result=3","7150515")</f>
        <v>0</v>
      </c>
      <c r="B4125" t="s">
        <v>448</v>
      </c>
      <c r="C4125" t="s">
        <v>7672</v>
      </c>
      <c r="D4125" t="s">
        <v>17987</v>
      </c>
      <c r="E4125" t="s">
        <v>21745</v>
      </c>
      <c r="F4125" t="s">
        <v>30900</v>
      </c>
      <c r="G4125" t="s">
        <v>30908</v>
      </c>
      <c r="H4125" t="s">
        <v>30916</v>
      </c>
      <c r="I4125" t="s">
        <v>8123</v>
      </c>
      <c r="J4125" t="s">
        <v>33868</v>
      </c>
      <c r="K4125" t="s">
        <v>40287</v>
      </c>
      <c r="M4125" t="s">
        <v>41005</v>
      </c>
      <c r="N4125" t="s">
        <v>44759</v>
      </c>
      <c r="O4125" t="s">
        <v>44760</v>
      </c>
      <c r="P4125">
        <v>0</v>
      </c>
      <c r="Q4125">
        <v>0</v>
      </c>
      <c r="R4125" t="s">
        <v>44762</v>
      </c>
      <c r="S4125" t="s">
        <v>44863</v>
      </c>
      <c r="T4125" t="s">
        <v>46470</v>
      </c>
      <c r="U4125" t="s">
        <v>50386</v>
      </c>
      <c r="W4125" t="s">
        <v>41005</v>
      </c>
      <c r="X4125" t="s">
        <v>44763</v>
      </c>
    </row>
    <row r="4126" spans="1:24">
      <c r="A4126">
        <f>HYPERLINK("https://www.philgeps.gov.ph/GEPSNONPILOT/Tender/SplashBidNoticeAbstractUI.aspx?menuIndex=3&amp;refID=7150487&amp;Result=3","7150487")</f>
        <v>0</v>
      </c>
      <c r="B4126" t="s">
        <v>301</v>
      </c>
      <c r="C4126" t="s">
        <v>7673</v>
      </c>
      <c r="D4126" t="s">
        <v>18018</v>
      </c>
      <c r="E4126" t="s">
        <v>21746</v>
      </c>
      <c r="F4126" t="s">
        <v>30900</v>
      </c>
      <c r="G4126" t="s">
        <v>30908</v>
      </c>
      <c r="H4126" t="s">
        <v>30916</v>
      </c>
      <c r="I4126" t="s">
        <v>10847</v>
      </c>
      <c r="J4126" t="s">
        <v>33869</v>
      </c>
      <c r="K4126" t="s">
        <v>40324</v>
      </c>
      <c r="M4126" t="s">
        <v>40850</v>
      </c>
      <c r="N4126" t="s">
        <v>44759</v>
      </c>
      <c r="O4126" t="s">
        <v>44760</v>
      </c>
      <c r="P4126">
        <v>0</v>
      </c>
      <c r="Q4126">
        <v>2</v>
      </c>
      <c r="R4126" t="s">
        <v>44762</v>
      </c>
      <c r="S4126" t="s">
        <v>44863</v>
      </c>
      <c r="T4126" t="s">
        <v>46651</v>
      </c>
      <c r="U4126" t="s">
        <v>47419</v>
      </c>
      <c r="W4126" t="s">
        <v>40850</v>
      </c>
      <c r="X4126" t="s">
        <v>44763</v>
      </c>
    </row>
    <row r="4127" spans="1:24">
      <c r="A4127">
        <f>HYPERLINK("https://www.philgeps.gov.ph/GEPSNONPILOT/Tender/SplashBidNoticeAbstractUI.aspx?menuIndex=3&amp;refID=7150542&amp;Result=3","7150542")</f>
        <v>0</v>
      </c>
      <c r="B4127" t="s">
        <v>591</v>
      </c>
      <c r="C4127" t="s">
        <v>7674</v>
      </c>
      <c r="D4127" t="s">
        <v>17998</v>
      </c>
      <c r="E4127" t="s">
        <v>21747</v>
      </c>
      <c r="F4127" t="s">
        <v>30900</v>
      </c>
      <c r="G4127" t="s">
        <v>30907</v>
      </c>
      <c r="H4127" t="s">
        <v>30916</v>
      </c>
      <c r="I4127" t="s">
        <v>30947</v>
      </c>
      <c r="J4127" t="s">
        <v>33870</v>
      </c>
      <c r="K4127" t="s">
        <v>40286</v>
      </c>
      <c r="M4127" t="s">
        <v>41153</v>
      </c>
      <c r="N4127" t="s">
        <v>44759</v>
      </c>
      <c r="O4127" t="s">
        <v>44760</v>
      </c>
      <c r="P4127">
        <v>0</v>
      </c>
      <c r="Q4127">
        <v>1</v>
      </c>
      <c r="R4127" t="s">
        <v>44762</v>
      </c>
      <c r="S4127" t="s">
        <v>44863</v>
      </c>
      <c r="T4127" t="s">
        <v>46389</v>
      </c>
      <c r="U4127" t="s">
        <v>47975</v>
      </c>
      <c r="V4127" t="s">
        <v>59550</v>
      </c>
      <c r="W4127" t="s">
        <v>41153</v>
      </c>
      <c r="X4127" t="s">
        <v>44763</v>
      </c>
    </row>
    <row r="4128" spans="1:24">
      <c r="A4128">
        <f>HYPERLINK("https://www.philgeps.gov.ph/GEPSNONPILOT/Tender/SplashBidNoticeAbstractUI.aspx?menuIndex=3&amp;refID=7150518&amp;Result=3","7150518")</f>
        <v>0</v>
      </c>
      <c r="B4128" t="s">
        <v>1318</v>
      </c>
      <c r="C4128" t="s">
        <v>7675</v>
      </c>
      <c r="D4128" t="s">
        <v>18007</v>
      </c>
      <c r="E4128" t="s">
        <v>21748</v>
      </c>
      <c r="F4128" t="s">
        <v>30900</v>
      </c>
      <c r="G4128" t="s">
        <v>30907</v>
      </c>
      <c r="H4128" t="s">
        <v>30916</v>
      </c>
      <c r="I4128" t="s">
        <v>30942</v>
      </c>
      <c r="J4128" t="s">
        <v>31152</v>
      </c>
      <c r="K4128" t="s">
        <v>40321</v>
      </c>
      <c r="M4128" t="s">
        <v>41936</v>
      </c>
      <c r="N4128" t="s">
        <v>44759</v>
      </c>
      <c r="O4128" t="s">
        <v>44760</v>
      </c>
      <c r="P4128">
        <v>0</v>
      </c>
      <c r="Q4128">
        <v>1</v>
      </c>
      <c r="R4128" t="s">
        <v>44762</v>
      </c>
      <c r="S4128" t="s">
        <v>44863</v>
      </c>
      <c r="T4128" t="s">
        <v>46375</v>
      </c>
      <c r="U4128" t="s">
        <v>50387</v>
      </c>
      <c r="V4128" t="s">
        <v>59514</v>
      </c>
      <c r="W4128" t="s">
        <v>41936</v>
      </c>
      <c r="X4128" t="s">
        <v>44763</v>
      </c>
    </row>
    <row r="4129" spans="1:24">
      <c r="A4129">
        <f>HYPERLINK("https://www.philgeps.gov.ph/GEPSNONPILOT/Tender/SplashBidNoticeAbstractUI.aspx?menuIndex=3&amp;refID=7145762&amp;Result=3","7145762")</f>
        <v>0</v>
      </c>
      <c r="B4129" t="s">
        <v>1601</v>
      </c>
      <c r="C4129" t="s">
        <v>7676</v>
      </c>
      <c r="D4129" t="s">
        <v>17978</v>
      </c>
      <c r="E4129" t="s">
        <v>21749</v>
      </c>
      <c r="F4129" t="s">
        <v>30904</v>
      </c>
      <c r="G4129" t="s">
        <v>30908</v>
      </c>
      <c r="H4129" t="s">
        <v>30916</v>
      </c>
      <c r="I4129" t="s">
        <v>30951</v>
      </c>
      <c r="J4129" t="s">
        <v>31070</v>
      </c>
      <c r="K4129" t="s">
        <v>40287</v>
      </c>
      <c r="M4129" t="s">
        <v>42250</v>
      </c>
      <c r="N4129" t="s">
        <v>44759</v>
      </c>
      <c r="O4129" t="s">
        <v>44760</v>
      </c>
      <c r="P4129">
        <v>0</v>
      </c>
      <c r="Q4129">
        <v>1</v>
      </c>
      <c r="R4129" t="s">
        <v>44763</v>
      </c>
      <c r="S4129" t="s">
        <v>44876</v>
      </c>
      <c r="T4129" t="s">
        <v>46657</v>
      </c>
      <c r="U4129" t="s">
        <v>50388</v>
      </c>
      <c r="W4129" t="s">
        <v>42250</v>
      </c>
      <c r="X4129" t="s">
        <v>44767</v>
      </c>
    </row>
    <row r="4130" spans="1:24">
      <c r="A4130">
        <f>HYPERLINK("https://www.philgeps.gov.ph/GEPSNONPILOT/Tender/SplashBidNoticeAbstractUI.aspx?menuIndex=3&amp;refID=7145825&amp;Result=3","7145825")</f>
        <v>0</v>
      </c>
      <c r="B4130" t="s">
        <v>1314</v>
      </c>
      <c r="C4130" t="s">
        <v>7677</v>
      </c>
      <c r="D4130" t="s">
        <v>18019</v>
      </c>
      <c r="E4130" t="s">
        <v>21750</v>
      </c>
      <c r="F4130" t="s">
        <v>30900</v>
      </c>
      <c r="G4130" t="s">
        <v>30908</v>
      </c>
      <c r="H4130" t="s">
        <v>30916</v>
      </c>
      <c r="I4130" t="s">
        <v>6746</v>
      </c>
      <c r="J4130" t="s">
        <v>33871</v>
      </c>
      <c r="K4130" t="s">
        <v>40289</v>
      </c>
      <c r="L4130" t="s">
        <v>1314</v>
      </c>
      <c r="M4130" t="s">
        <v>42251</v>
      </c>
      <c r="N4130" t="s">
        <v>44759</v>
      </c>
      <c r="O4130" t="s">
        <v>44760</v>
      </c>
      <c r="P4130">
        <v>0</v>
      </c>
      <c r="Q4130">
        <v>0</v>
      </c>
      <c r="R4130" t="s">
        <v>44763</v>
      </c>
      <c r="S4130" t="s">
        <v>44876</v>
      </c>
      <c r="T4130" t="s">
        <v>46533</v>
      </c>
      <c r="U4130" t="s">
        <v>50389</v>
      </c>
      <c r="W4130" t="s">
        <v>42251</v>
      </c>
      <c r="X4130" t="s">
        <v>44767</v>
      </c>
    </row>
    <row r="4131" spans="1:24">
      <c r="A4131">
        <f>HYPERLINK("https://www.philgeps.gov.ph/GEPSNONPILOT/Tender/SplashBidNoticeAbstractUI.aspx?menuIndex=3&amp;refID=7145728&amp;Result=3","7145728")</f>
        <v>0</v>
      </c>
      <c r="B4131" t="s">
        <v>35</v>
      </c>
      <c r="C4131" t="s">
        <v>7678</v>
      </c>
      <c r="D4131" t="s">
        <v>17962</v>
      </c>
      <c r="E4131" t="s">
        <v>21751</v>
      </c>
      <c r="F4131" t="s">
        <v>30900</v>
      </c>
      <c r="G4131" t="s">
        <v>30907</v>
      </c>
      <c r="H4131" t="s">
        <v>30915</v>
      </c>
      <c r="I4131" t="s">
        <v>30919</v>
      </c>
      <c r="J4131" t="s">
        <v>33872</v>
      </c>
      <c r="K4131" t="s">
        <v>40398</v>
      </c>
      <c r="M4131" t="s">
        <v>40581</v>
      </c>
      <c r="N4131" t="s">
        <v>44759</v>
      </c>
      <c r="O4131" t="s">
        <v>44760</v>
      </c>
      <c r="P4131">
        <v>0</v>
      </c>
      <c r="Q4131">
        <v>1</v>
      </c>
      <c r="R4131" t="s">
        <v>44763</v>
      </c>
      <c r="S4131" t="s">
        <v>44876</v>
      </c>
      <c r="T4131" t="s">
        <v>46465</v>
      </c>
      <c r="U4131" t="s">
        <v>50390</v>
      </c>
      <c r="V4131" t="s">
        <v>59094</v>
      </c>
      <c r="W4131" t="s">
        <v>40581</v>
      </c>
      <c r="X4131" t="s">
        <v>44767</v>
      </c>
    </row>
    <row r="4132" spans="1:24">
      <c r="A4132">
        <f>HYPERLINK("https://www.philgeps.gov.ph/GEPSNONPILOT/Tender/SplashBidNoticeAbstractUI.aspx?menuIndex=3&amp;refID=7145809&amp;Result=3","7145809")</f>
        <v>0</v>
      </c>
      <c r="B4132" t="s">
        <v>317</v>
      </c>
      <c r="C4132" t="s">
        <v>7679</v>
      </c>
      <c r="D4132" t="s">
        <v>17952</v>
      </c>
      <c r="E4132" t="s">
        <v>21752</v>
      </c>
      <c r="F4132" t="s">
        <v>30900</v>
      </c>
      <c r="G4132" t="s">
        <v>30907</v>
      </c>
      <c r="H4132" t="s">
        <v>30915</v>
      </c>
      <c r="I4132" t="s">
        <v>30919</v>
      </c>
      <c r="J4132" t="s">
        <v>33873</v>
      </c>
      <c r="K4132" t="s">
        <v>40346</v>
      </c>
      <c r="M4132" t="s">
        <v>40868</v>
      </c>
      <c r="N4132" t="s">
        <v>44759</v>
      </c>
      <c r="O4132" t="s">
        <v>44760</v>
      </c>
      <c r="P4132">
        <v>0</v>
      </c>
      <c r="Q4132">
        <v>0</v>
      </c>
      <c r="R4132" t="s">
        <v>44763</v>
      </c>
      <c r="S4132" t="s">
        <v>44876</v>
      </c>
      <c r="T4132" t="s">
        <v>46481</v>
      </c>
      <c r="U4132" t="s">
        <v>50391</v>
      </c>
      <c r="W4132" t="s">
        <v>60824</v>
      </c>
      <c r="X4132" t="s">
        <v>44767</v>
      </c>
    </row>
    <row r="4133" spans="1:24">
      <c r="A4133">
        <f>HYPERLINK("https://www.philgeps.gov.ph/GEPSNONPILOT/Tender/SplashBidNoticeAbstractUI.aspx?menuIndex=3&amp;refID=7145808&amp;Result=3","7145808")</f>
        <v>0</v>
      </c>
      <c r="B4133" t="s">
        <v>168</v>
      </c>
      <c r="C4133" t="s">
        <v>7680</v>
      </c>
      <c r="D4133" t="s">
        <v>18007</v>
      </c>
      <c r="E4133" t="s">
        <v>21753</v>
      </c>
      <c r="F4133" t="s">
        <v>30900</v>
      </c>
      <c r="G4133" t="s">
        <v>30908</v>
      </c>
      <c r="H4133" t="s">
        <v>30916</v>
      </c>
      <c r="I4133" t="s">
        <v>8123</v>
      </c>
      <c r="J4133" t="s">
        <v>33874</v>
      </c>
      <c r="K4133" t="s">
        <v>40286</v>
      </c>
      <c r="M4133" t="s">
        <v>40715</v>
      </c>
      <c r="N4133" t="s">
        <v>44759</v>
      </c>
      <c r="O4133" t="s">
        <v>44760</v>
      </c>
      <c r="P4133">
        <v>0</v>
      </c>
      <c r="Q4133">
        <v>0</v>
      </c>
      <c r="R4133" t="s">
        <v>44763</v>
      </c>
      <c r="S4133" t="s">
        <v>44876</v>
      </c>
      <c r="T4133" t="s">
        <v>46533</v>
      </c>
      <c r="U4133" t="s">
        <v>50392</v>
      </c>
      <c r="W4133" t="s">
        <v>40715</v>
      </c>
      <c r="X4133" t="s">
        <v>44767</v>
      </c>
    </row>
    <row r="4134" spans="1:24">
      <c r="A4134">
        <f>HYPERLINK("https://www.philgeps.gov.ph/GEPSNONPILOT/Tender/SplashBidNoticeAbstractUI.aspx?menuIndex=3&amp;refID=7145801&amp;Result=3","7145801")</f>
        <v>0</v>
      </c>
      <c r="B4134" t="s">
        <v>767</v>
      </c>
      <c r="C4134" t="s">
        <v>5570</v>
      </c>
      <c r="D4134" t="s">
        <v>18020</v>
      </c>
      <c r="E4134" t="s">
        <v>21754</v>
      </c>
      <c r="F4134" t="s">
        <v>30900</v>
      </c>
      <c r="G4134" t="s">
        <v>30909</v>
      </c>
      <c r="H4134" t="s">
        <v>30916</v>
      </c>
      <c r="I4134" t="s">
        <v>30927</v>
      </c>
      <c r="J4134" t="s">
        <v>33875</v>
      </c>
      <c r="K4134" t="s">
        <v>40289</v>
      </c>
      <c r="M4134" t="s">
        <v>41333</v>
      </c>
      <c r="N4134" t="s">
        <v>44759</v>
      </c>
      <c r="O4134" t="s">
        <v>44760</v>
      </c>
      <c r="P4134">
        <v>0</v>
      </c>
      <c r="Q4134">
        <v>1</v>
      </c>
      <c r="R4134" t="s">
        <v>44763</v>
      </c>
      <c r="S4134" t="s">
        <v>44876</v>
      </c>
      <c r="T4134" t="s">
        <v>46391</v>
      </c>
      <c r="U4134" t="s">
        <v>50393</v>
      </c>
      <c r="V4134" t="s">
        <v>59299</v>
      </c>
      <c r="W4134" t="s">
        <v>41333</v>
      </c>
      <c r="X4134" t="s">
        <v>44767</v>
      </c>
    </row>
    <row r="4135" spans="1:24">
      <c r="A4135">
        <f>HYPERLINK("https://www.philgeps.gov.ph/GEPSNONPILOT/Tender/SplashBidNoticeAbstractUI.aspx?menuIndex=3&amp;refID=7145751&amp;Result=3","7145751")</f>
        <v>0</v>
      </c>
      <c r="B4135" t="s">
        <v>35</v>
      </c>
      <c r="C4135" t="s">
        <v>7681</v>
      </c>
      <c r="D4135" t="s">
        <v>17962</v>
      </c>
      <c r="E4135" t="s">
        <v>21755</v>
      </c>
      <c r="F4135" t="s">
        <v>30900</v>
      </c>
      <c r="G4135" t="s">
        <v>30907</v>
      </c>
      <c r="H4135" t="s">
        <v>30915</v>
      </c>
      <c r="I4135" t="s">
        <v>30919</v>
      </c>
      <c r="J4135" t="s">
        <v>33872</v>
      </c>
      <c r="K4135" t="s">
        <v>40399</v>
      </c>
      <c r="M4135" t="s">
        <v>40581</v>
      </c>
      <c r="N4135" t="s">
        <v>44759</v>
      </c>
      <c r="O4135" t="s">
        <v>44760</v>
      </c>
      <c r="P4135">
        <v>0</v>
      </c>
      <c r="Q4135">
        <v>2</v>
      </c>
      <c r="R4135" t="s">
        <v>44763</v>
      </c>
      <c r="S4135" t="s">
        <v>44876</v>
      </c>
      <c r="T4135" t="s">
        <v>46465</v>
      </c>
      <c r="U4135" t="s">
        <v>50390</v>
      </c>
      <c r="V4135" t="s">
        <v>59094</v>
      </c>
      <c r="W4135" t="s">
        <v>40581</v>
      </c>
      <c r="X4135" t="s">
        <v>44767</v>
      </c>
    </row>
    <row r="4136" spans="1:24">
      <c r="A4136">
        <f>HYPERLINK("https://www.philgeps.gov.ph/GEPSNONPILOT/Tender/SplashBidNoticeAbstractUI.aspx?menuIndex=3&amp;refID=7145798&amp;Result=3","7145798")</f>
        <v>0</v>
      </c>
      <c r="B4136" t="s">
        <v>1602</v>
      </c>
      <c r="C4136" t="s">
        <v>7682</v>
      </c>
      <c r="D4136" t="s">
        <v>17959</v>
      </c>
      <c r="E4136" t="s">
        <v>21756</v>
      </c>
      <c r="F4136" t="s">
        <v>30900</v>
      </c>
      <c r="G4136" t="s">
        <v>30908</v>
      </c>
      <c r="H4136" t="s">
        <v>30916</v>
      </c>
      <c r="I4136" t="s">
        <v>4108</v>
      </c>
      <c r="J4136" t="s">
        <v>33876</v>
      </c>
      <c r="K4136" t="s">
        <v>40287</v>
      </c>
      <c r="M4136" t="s">
        <v>42252</v>
      </c>
      <c r="N4136" t="s">
        <v>44759</v>
      </c>
      <c r="O4136" t="s">
        <v>44760</v>
      </c>
      <c r="P4136">
        <v>0</v>
      </c>
      <c r="Q4136">
        <v>0</v>
      </c>
      <c r="R4136" t="s">
        <v>44763</v>
      </c>
      <c r="S4136" t="s">
        <v>44876</v>
      </c>
      <c r="T4136" t="s">
        <v>46414</v>
      </c>
      <c r="U4136" t="s">
        <v>50394</v>
      </c>
      <c r="W4136" t="s">
        <v>42252</v>
      </c>
      <c r="X4136" t="s">
        <v>44767</v>
      </c>
    </row>
    <row r="4137" spans="1:24">
      <c r="A4137">
        <f>HYPERLINK("https://www.philgeps.gov.ph/GEPSNONPILOT/Tender/SplashBidNoticeAbstractUI.aspx?menuIndex=3&amp;refID=7145832&amp;Result=3","7145832")</f>
        <v>0</v>
      </c>
      <c r="B4137" t="s">
        <v>35</v>
      </c>
      <c r="C4137" t="s">
        <v>7683</v>
      </c>
      <c r="D4137" t="s">
        <v>17962</v>
      </c>
      <c r="E4137" t="s">
        <v>21757</v>
      </c>
      <c r="F4137" t="s">
        <v>30900</v>
      </c>
      <c r="G4137" t="s">
        <v>30907</v>
      </c>
      <c r="H4137" t="s">
        <v>30915</v>
      </c>
      <c r="I4137" t="s">
        <v>30919</v>
      </c>
      <c r="J4137" t="s">
        <v>33877</v>
      </c>
      <c r="K4137" t="s">
        <v>40284</v>
      </c>
      <c r="M4137" t="s">
        <v>40581</v>
      </c>
      <c r="N4137" t="s">
        <v>44759</v>
      </c>
      <c r="O4137" t="s">
        <v>44760</v>
      </c>
      <c r="P4137">
        <v>0</v>
      </c>
      <c r="Q4137">
        <v>0</v>
      </c>
      <c r="R4137" t="s">
        <v>44763</v>
      </c>
      <c r="S4137" t="s">
        <v>44876</v>
      </c>
      <c r="T4137" t="s">
        <v>46465</v>
      </c>
      <c r="U4137" t="s">
        <v>50395</v>
      </c>
      <c r="V4137" t="s">
        <v>59094</v>
      </c>
      <c r="W4137" t="s">
        <v>40581</v>
      </c>
      <c r="X4137" t="s">
        <v>44767</v>
      </c>
    </row>
    <row r="4138" spans="1:24">
      <c r="A4138">
        <f>HYPERLINK("https://www.philgeps.gov.ph/GEPSNONPILOT/Tender/SplashBidNoticeAbstractUI.aspx?menuIndex=3&amp;refID=7145903&amp;Result=3","7145903")</f>
        <v>0</v>
      </c>
      <c r="B4138" t="s">
        <v>1197</v>
      </c>
      <c r="C4138" t="s">
        <v>7684</v>
      </c>
      <c r="E4138" t="s">
        <v>21758</v>
      </c>
      <c r="F4138" t="s">
        <v>30900</v>
      </c>
      <c r="G4138" t="s">
        <v>30907</v>
      </c>
      <c r="H4138" t="s">
        <v>30916</v>
      </c>
      <c r="I4138" t="s">
        <v>4142</v>
      </c>
      <c r="J4138" t="s">
        <v>33878</v>
      </c>
      <c r="K4138" t="s">
        <v>40287</v>
      </c>
      <c r="M4138" t="s">
        <v>41808</v>
      </c>
      <c r="N4138" t="s">
        <v>44759</v>
      </c>
      <c r="O4138" t="s">
        <v>44760</v>
      </c>
      <c r="P4138">
        <v>0</v>
      </c>
      <c r="Q4138">
        <v>0</v>
      </c>
      <c r="R4138" t="s">
        <v>44763</v>
      </c>
      <c r="S4138" t="s">
        <v>44876</v>
      </c>
      <c r="T4138" t="s">
        <v>46532</v>
      </c>
      <c r="U4138" t="s">
        <v>49321</v>
      </c>
      <c r="W4138" t="s">
        <v>41808</v>
      </c>
      <c r="X4138" t="s">
        <v>44767</v>
      </c>
    </row>
    <row r="4139" spans="1:24">
      <c r="A4139">
        <f>HYPERLINK("https://www.philgeps.gov.ph/GEPSNONPILOT/Tender/SplashBidNoticeAbstractUI.aspx?menuIndex=3&amp;refID=7145818&amp;Result=3","7145818")</f>
        <v>0</v>
      </c>
      <c r="B4139" t="s">
        <v>35</v>
      </c>
      <c r="C4139" t="s">
        <v>7685</v>
      </c>
      <c r="D4139" t="s">
        <v>17962</v>
      </c>
      <c r="E4139" t="s">
        <v>21759</v>
      </c>
      <c r="F4139" t="s">
        <v>30900</v>
      </c>
      <c r="G4139" t="s">
        <v>30907</v>
      </c>
      <c r="H4139" t="s">
        <v>30915</v>
      </c>
      <c r="I4139" t="s">
        <v>30919</v>
      </c>
      <c r="J4139" t="s">
        <v>31391</v>
      </c>
      <c r="K4139" t="s">
        <v>40295</v>
      </c>
      <c r="M4139" t="s">
        <v>40581</v>
      </c>
      <c r="N4139" t="s">
        <v>44759</v>
      </c>
      <c r="O4139" t="s">
        <v>44760</v>
      </c>
      <c r="P4139">
        <v>0</v>
      </c>
      <c r="Q4139">
        <v>1</v>
      </c>
      <c r="R4139" t="s">
        <v>44763</v>
      </c>
      <c r="S4139" t="s">
        <v>44876</v>
      </c>
      <c r="T4139" t="s">
        <v>46465</v>
      </c>
      <c r="U4139" t="s">
        <v>50396</v>
      </c>
      <c r="V4139" t="s">
        <v>59094</v>
      </c>
      <c r="W4139" t="s">
        <v>40581</v>
      </c>
      <c r="X4139" t="s">
        <v>44767</v>
      </c>
    </row>
    <row r="4140" spans="1:24">
      <c r="A4140">
        <f>HYPERLINK("https://www.philgeps.gov.ph/GEPSNONPILOT/Tender/SplashBidNoticeAbstractUI.aspx?menuIndex=3&amp;refID=7145898&amp;Result=3","7145898")</f>
        <v>0</v>
      </c>
      <c r="B4140" t="s">
        <v>1603</v>
      </c>
      <c r="C4140" t="s">
        <v>7686</v>
      </c>
      <c r="D4140" t="s">
        <v>17980</v>
      </c>
      <c r="E4140" t="s">
        <v>21760</v>
      </c>
      <c r="F4140" t="s">
        <v>30900</v>
      </c>
      <c r="G4140" t="s">
        <v>30908</v>
      </c>
      <c r="H4140" t="s">
        <v>30916</v>
      </c>
      <c r="I4140" t="s">
        <v>30939</v>
      </c>
      <c r="J4140" t="s">
        <v>33879</v>
      </c>
      <c r="K4140" t="s">
        <v>40289</v>
      </c>
      <c r="M4140" t="s">
        <v>42253</v>
      </c>
      <c r="N4140" t="s">
        <v>44759</v>
      </c>
      <c r="O4140" t="s">
        <v>44760</v>
      </c>
      <c r="P4140">
        <v>0</v>
      </c>
      <c r="Q4140">
        <v>0</v>
      </c>
      <c r="R4140" t="s">
        <v>44763</v>
      </c>
      <c r="S4140" t="s">
        <v>44876</v>
      </c>
      <c r="T4140" t="s">
        <v>46357</v>
      </c>
      <c r="U4140" t="s">
        <v>50397</v>
      </c>
      <c r="V4140" t="s">
        <v>59568</v>
      </c>
      <c r="W4140" t="s">
        <v>42253</v>
      </c>
      <c r="X4140" t="s">
        <v>44767</v>
      </c>
    </row>
    <row r="4141" spans="1:24">
      <c r="A4141">
        <f>HYPERLINK("https://www.philgeps.gov.ph/GEPSNONPILOT/Tender/SplashBidNoticeAbstractUI.aspx?menuIndex=3&amp;refID=7145884&amp;Result=3","7145884")</f>
        <v>0</v>
      </c>
      <c r="B4141" t="s">
        <v>1604</v>
      </c>
      <c r="C4141" t="s">
        <v>7687</v>
      </c>
      <c r="D4141" t="s">
        <v>18025</v>
      </c>
      <c r="E4141" t="s">
        <v>21761</v>
      </c>
      <c r="F4141" t="s">
        <v>30900</v>
      </c>
      <c r="G4141" t="s">
        <v>30909</v>
      </c>
      <c r="H4141" t="s">
        <v>30915</v>
      </c>
      <c r="I4141" t="s">
        <v>30919</v>
      </c>
      <c r="J4141" t="s">
        <v>33880</v>
      </c>
      <c r="K4141" t="s">
        <v>40287</v>
      </c>
      <c r="M4141" t="s">
        <v>42254</v>
      </c>
      <c r="N4141" t="s">
        <v>44759</v>
      </c>
      <c r="O4141" t="s">
        <v>44760</v>
      </c>
      <c r="P4141">
        <v>0</v>
      </c>
      <c r="Q4141">
        <v>0</v>
      </c>
      <c r="R4141" t="s">
        <v>44763</v>
      </c>
      <c r="S4141" t="s">
        <v>44876</v>
      </c>
      <c r="T4141" t="s">
        <v>46658</v>
      </c>
      <c r="U4141" t="s">
        <v>50398</v>
      </c>
      <c r="W4141" t="s">
        <v>42254</v>
      </c>
      <c r="X4141" t="s">
        <v>44767</v>
      </c>
    </row>
    <row r="4142" spans="1:24">
      <c r="A4142">
        <f>HYPERLINK("https://www.philgeps.gov.ph/GEPSNONPILOT/Tender/SplashBidNoticeAbstractUI.aspx?menuIndex=3&amp;refID=7145882&amp;Result=3","7145882")</f>
        <v>0</v>
      </c>
      <c r="B4142" t="s">
        <v>1603</v>
      </c>
      <c r="C4142" t="s">
        <v>7688</v>
      </c>
      <c r="D4142" t="s">
        <v>17980</v>
      </c>
      <c r="E4142" t="s">
        <v>21762</v>
      </c>
      <c r="F4142" t="s">
        <v>30900</v>
      </c>
      <c r="G4142" t="s">
        <v>30908</v>
      </c>
      <c r="H4142" t="s">
        <v>30916</v>
      </c>
      <c r="I4142" t="s">
        <v>30939</v>
      </c>
      <c r="J4142" t="s">
        <v>31866</v>
      </c>
      <c r="K4142" t="s">
        <v>40319</v>
      </c>
      <c r="M4142" t="s">
        <v>42253</v>
      </c>
      <c r="N4142" t="s">
        <v>44759</v>
      </c>
      <c r="O4142" t="s">
        <v>44760</v>
      </c>
      <c r="P4142">
        <v>0</v>
      </c>
      <c r="Q4142">
        <v>0</v>
      </c>
      <c r="R4142" t="s">
        <v>44763</v>
      </c>
      <c r="S4142" t="s">
        <v>44876</v>
      </c>
      <c r="T4142" t="s">
        <v>46357</v>
      </c>
      <c r="U4142" t="s">
        <v>50399</v>
      </c>
      <c r="V4142" t="s">
        <v>59568</v>
      </c>
      <c r="W4142" t="s">
        <v>42253</v>
      </c>
      <c r="X4142" t="s">
        <v>44767</v>
      </c>
    </row>
    <row r="4143" spans="1:24">
      <c r="A4143">
        <f>HYPERLINK("https://www.philgeps.gov.ph/GEPSNONPILOT/Tender/SplashBidNoticeAbstractUI.aspx?menuIndex=3&amp;refID=7145959&amp;Result=3","7145959")</f>
        <v>0</v>
      </c>
      <c r="B4143" t="s">
        <v>1605</v>
      </c>
      <c r="C4143" t="s">
        <v>7689</v>
      </c>
      <c r="D4143" t="s">
        <v>17951</v>
      </c>
      <c r="E4143" t="s">
        <v>21763</v>
      </c>
      <c r="F4143" t="s">
        <v>30900</v>
      </c>
      <c r="G4143" t="s">
        <v>30907</v>
      </c>
      <c r="H4143" t="s">
        <v>30915</v>
      </c>
      <c r="I4143" t="s">
        <v>30919</v>
      </c>
      <c r="J4143" t="s">
        <v>32153</v>
      </c>
      <c r="K4143" t="s">
        <v>40286</v>
      </c>
      <c r="M4143" t="s">
        <v>42255</v>
      </c>
      <c r="N4143" t="s">
        <v>44759</v>
      </c>
      <c r="O4143" t="s">
        <v>44760</v>
      </c>
      <c r="P4143">
        <v>0</v>
      </c>
      <c r="Q4143">
        <v>0</v>
      </c>
      <c r="R4143" t="s">
        <v>44763</v>
      </c>
      <c r="S4143" t="s">
        <v>44876</v>
      </c>
      <c r="T4143" t="s">
        <v>46357</v>
      </c>
      <c r="U4143" t="s">
        <v>50400</v>
      </c>
      <c r="W4143" t="s">
        <v>42255</v>
      </c>
      <c r="X4143" t="s">
        <v>44767</v>
      </c>
    </row>
    <row r="4144" spans="1:24">
      <c r="A4144">
        <f>HYPERLINK("https://www.philgeps.gov.ph/GEPSNONPILOT/Tender/SplashBidNoticeAbstractUI.aspx?menuIndex=3&amp;refID=7145950&amp;Result=3","7145950")</f>
        <v>0</v>
      </c>
      <c r="B4144" t="s">
        <v>1604</v>
      </c>
      <c r="C4144" t="s">
        <v>7690</v>
      </c>
      <c r="D4144" t="s">
        <v>18025</v>
      </c>
      <c r="E4144" t="s">
        <v>21764</v>
      </c>
      <c r="F4144" t="s">
        <v>30900</v>
      </c>
      <c r="G4144" t="s">
        <v>30909</v>
      </c>
      <c r="H4144" t="s">
        <v>30916</v>
      </c>
      <c r="I4144" t="s">
        <v>8365</v>
      </c>
      <c r="J4144" t="s">
        <v>33629</v>
      </c>
      <c r="K4144" t="s">
        <v>40285</v>
      </c>
      <c r="M4144" t="s">
        <v>42254</v>
      </c>
      <c r="N4144" t="s">
        <v>44759</v>
      </c>
      <c r="O4144" t="s">
        <v>44760</v>
      </c>
      <c r="P4144">
        <v>0</v>
      </c>
      <c r="Q4144">
        <v>0</v>
      </c>
      <c r="R4144" t="s">
        <v>44763</v>
      </c>
      <c r="S4144" t="s">
        <v>44876</v>
      </c>
      <c r="T4144" t="s">
        <v>46658</v>
      </c>
      <c r="U4144" t="s">
        <v>50401</v>
      </c>
      <c r="W4144" t="s">
        <v>42254</v>
      </c>
      <c r="X4144" t="s">
        <v>44767</v>
      </c>
    </row>
    <row r="4145" spans="1:24">
      <c r="A4145">
        <f>HYPERLINK("https://www.philgeps.gov.ph/GEPSNONPILOT/Tender/SplashBidNoticeAbstractUI.aspx?menuIndex=3&amp;refID=7145937&amp;Result=3","7145937")</f>
        <v>0</v>
      </c>
      <c r="B4145" t="s">
        <v>1606</v>
      </c>
      <c r="C4145" t="s">
        <v>7691</v>
      </c>
      <c r="D4145" t="s">
        <v>17984</v>
      </c>
      <c r="E4145" t="s">
        <v>21765</v>
      </c>
      <c r="F4145" t="s">
        <v>30900</v>
      </c>
      <c r="G4145" t="s">
        <v>30909</v>
      </c>
      <c r="H4145" t="s">
        <v>30916</v>
      </c>
      <c r="I4145" t="s">
        <v>30926</v>
      </c>
      <c r="J4145" t="s">
        <v>31625</v>
      </c>
      <c r="K4145" t="s">
        <v>40288</v>
      </c>
      <c r="M4145" t="s">
        <v>42256</v>
      </c>
      <c r="N4145" t="s">
        <v>44759</v>
      </c>
      <c r="O4145" t="s">
        <v>44760</v>
      </c>
      <c r="P4145">
        <v>0</v>
      </c>
      <c r="Q4145">
        <v>1</v>
      </c>
      <c r="R4145" t="s">
        <v>44763</v>
      </c>
      <c r="S4145" t="s">
        <v>44876</v>
      </c>
      <c r="T4145" t="s">
        <v>46581</v>
      </c>
      <c r="U4145" t="s">
        <v>50402</v>
      </c>
      <c r="W4145" t="s">
        <v>42256</v>
      </c>
      <c r="X4145" t="s">
        <v>44767</v>
      </c>
    </row>
    <row r="4146" spans="1:24">
      <c r="A4146">
        <f>HYPERLINK("https://www.philgeps.gov.ph/GEPSNONPILOT/Tender/SplashBidNoticeAbstractUI.aspx?menuIndex=3&amp;refID=7145932&amp;Result=3","7145932")</f>
        <v>0</v>
      </c>
      <c r="B4146" t="s">
        <v>1603</v>
      </c>
      <c r="C4146" t="s">
        <v>7692</v>
      </c>
      <c r="D4146" t="s">
        <v>17980</v>
      </c>
      <c r="E4146" t="s">
        <v>21766</v>
      </c>
      <c r="F4146" t="s">
        <v>30900</v>
      </c>
      <c r="G4146" t="s">
        <v>30908</v>
      </c>
      <c r="H4146" t="s">
        <v>30916</v>
      </c>
      <c r="I4146" t="s">
        <v>30963</v>
      </c>
      <c r="J4146" t="s">
        <v>32138</v>
      </c>
      <c r="K4146" t="s">
        <v>40286</v>
      </c>
      <c r="M4146" t="s">
        <v>42253</v>
      </c>
      <c r="N4146" t="s">
        <v>44759</v>
      </c>
      <c r="O4146" t="s">
        <v>44760</v>
      </c>
      <c r="P4146">
        <v>0</v>
      </c>
      <c r="Q4146">
        <v>1</v>
      </c>
      <c r="R4146" t="s">
        <v>44763</v>
      </c>
      <c r="S4146" t="s">
        <v>44876</v>
      </c>
      <c r="T4146" t="s">
        <v>46357</v>
      </c>
      <c r="U4146" t="s">
        <v>50403</v>
      </c>
      <c r="V4146" t="s">
        <v>59568</v>
      </c>
      <c r="W4146" t="s">
        <v>42253</v>
      </c>
      <c r="X4146" t="s">
        <v>44767</v>
      </c>
    </row>
    <row r="4147" spans="1:24">
      <c r="A4147">
        <f>HYPERLINK("https://www.philgeps.gov.ph/GEPSNONPILOT/Tender/SplashBidNoticeAbstractUI.aspx?menuIndex=3&amp;refID=7145923&amp;Result=3","7145923")</f>
        <v>0</v>
      </c>
      <c r="B4147" t="s">
        <v>1601</v>
      </c>
      <c r="C4147" t="s">
        <v>7693</v>
      </c>
      <c r="D4147" t="s">
        <v>17978</v>
      </c>
      <c r="E4147" t="s">
        <v>21767</v>
      </c>
      <c r="F4147" t="s">
        <v>30904</v>
      </c>
      <c r="G4147" t="s">
        <v>30908</v>
      </c>
      <c r="H4147" t="s">
        <v>30916</v>
      </c>
      <c r="I4147" t="s">
        <v>4142</v>
      </c>
      <c r="J4147" t="s">
        <v>32204</v>
      </c>
      <c r="K4147" t="s">
        <v>40287</v>
      </c>
      <c r="M4147" t="s">
        <v>42250</v>
      </c>
      <c r="N4147" t="s">
        <v>44759</v>
      </c>
      <c r="O4147" t="s">
        <v>44760</v>
      </c>
      <c r="P4147">
        <v>0</v>
      </c>
      <c r="Q4147">
        <v>2</v>
      </c>
      <c r="R4147" t="s">
        <v>44763</v>
      </c>
      <c r="S4147" t="s">
        <v>44876</v>
      </c>
      <c r="T4147" t="s">
        <v>46418</v>
      </c>
      <c r="U4147" t="s">
        <v>50404</v>
      </c>
      <c r="W4147" t="s">
        <v>42250</v>
      </c>
      <c r="X4147" t="s">
        <v>44767</v>
      </c>
    </row>
    <row r="4148" spans="1:24">
      <c r="A4148">
        <f>HYPERLINK("https://www.philgeps.gov.ph/GEPSNONPILOT/Tender/SplashBidNoticeAbstractUI.aspx?menuIndex=3&amp;refID=7145913&amp;Result=3","7145913")</f>
        <v>0</v>
      </c>
      <c r="B4148" t="s">
        <v>1605</v>
      </c>
      <c r="C4148" t="s">
        <v>7694</v>
      </c>
      <c r="D4148" t="s">
        <v>17951</v>
      </c>
      <c r="E4148" t="s">
        <v>21768</v>
      </c>
      <c r="F4148" t="s">
        <v>30900</v>
      </c>
      <c r="G4148" t="s">
        <v>30907</v>
      </c>
      <c r="H4148" t="s">
        <v>30915</v>
      </c>
      <c r="I4148" t="s">
        <v>30919</v>
      </c>
      <c r="J4148" t="s">
        <v>31101</v>
      </c>
      <c r="K4148" t="s">
        <v>40286</v>
      </c>
      <c r="M4148" t="s">
        <v>42255</v>
      </c>
      <c r="N4148" t="s">
        <v>44759</v>
      </c>
      <c r="O4148" t="s">
        <v>44760</v>
      </c>
      <c r="P4148">
        <v>0</v>
      </c>
      <c r="Q4148">
        <v>0</v>
      </c>
      <c r="R4148" t="s">
        <v>44763</v>
      </c>
      <c r="S4148" t="s">
        <v>44876</v>
      </c>
      <c r="T4148" t="s">
        <v>46357</v>
      </c>
      <c r="U4148" t="s">
        <v>50400</v>
      </c>
      <c r="W4148" t="s">
        <v>42255</v>
      </c>
      <c r="X4148" t="s">
        <v>44767</v>
      </c>
    </row>
    <row r="4149" spans="1:24">
      <c r="A4149">
        <f>HYPERLINK("https://www.philgeps.gov.ph/GEPSNONPILOT/Tender/SplashBidNoticeAbstractUI.aspx?menuIndex=3&amp;refID=7145911&amp;Result=3","7145911")</f>
        <v>0</v>
      </c>
      <c r="B4149" t="s">
        <v>1604</v>
      </c>
      <c r="C4149" t="s">
        <v>7695</v>
      </c>
      <c r="D4149" t="s">
        <v>18025</v>
      </c>
      <c r="E4149" t="s">
        <v>21769</v>
      </c>
      <c r="F4149" t="s">
        <v>30900</v>
      </c>
      <c r="G4149" t="s">
        <v>30909</v>
      </c>
      <c r="H4149" t="s">
        <v>30915</v>
      </c>
      <c r="I4149" t="s">
        <v>30919</v>
      </c>
      <c r="J4149" t="s">
        <v>33881</v>
      </c>
      <c r="K4149" t="s">
        <v>40285</v>
      </c>
      <c r="M4149" t="s">
        <v>42254</v>
      </c>
      <c r="N4149" t="s">
        <v>44759</v>
      </c>
      <c r="O4149" t="s">
        <v>44760</v>
      </c>
      <c r="P4149">
        <v>0</v>
      </c>
      <c r="Q4149">
        <v>1</v>
      </c>
      <c r="R4149" t="s">
        <v>44763</v>
      </c>
      <c r="S4149" t="s">
        <v>44876</v>
      </c>
      <c r="T4149" t="s">
        <v>46658</v>
      </c>
      <c r="U4149" t="s">
        <v>50405</v>
      </c>
      <c r="W4149" t="s">
        <v>42254</v>
      </c>
      <c r="X4149" t="s">
        <v>44767</v>
      </c>
    </row>
    <row r="4150" spans="1:24">
      <c r="A4150">
        <f>HYPERLINK("https://www.philgeps.gov.ph/GEPSNONPILOT/Tender/SplashBidNoticeAbstractUI.aspx?menuIndex=3&amp;refID=7145879&amp;Result=3","7145879")</f>
        <v>0</v>
      </c>
      <c r="B4150" t="s">
        <v>1607</v>
      </c>
      <c r="C4150" t="s">
        <v>7696</v>
      </c>
      <c r="D4150" t="s">
        <v>17996</v>
      </c>
      <c r="E4150" t="s">
        <v>21770</v>
      </c>
      <c r="F4150" t="s">
        <v>30900</v>
      </c>
      <c r="G4150" t="s">
        <v>30908</v>
      </c>
      <c r="H4150" t="s">
        <v>30916</v>
      </c>
      <c r="I4150" t="s">
        <v>6396</v>
      </c>
      <c r="J4150" t="s">
        <v>33849</v>
      </c>
      <c r="K4150" t="s">
        <v>40286</v>
      </c>
      <c r="M4150" t="s">
        <v>42257</v>
      </c>
      <c r="N4150" t="s">
        <v>44759</v>
      </c>
      <c r="O4150" t="s">
        <v>44760</v>
      </c>
      <c r="P4150">
        <v>0</v>
      </c>
      <c r="Q4150">
        <v>0</v>
      </c>
      <c r="R4150" t="s">
        <v>44763</v>
      </c>
      <c r="S4150" t="s">
        <v>44876</v>
      </c>
      <c r="T4150" t="s">
        <v>46548</v>
      </c>
      <c r="U4150" t="s">
        <v>50406</v>
      </c>
      <c r="W4150" t="s">
        <v>42257</v>
      </c>
      <c r="X4150" t="s">
        <v>44767</v>
      </c>
    </row>
    <row r="4151" spans="1:24">
      <c r="A4151">
        <f>HYPERLINK("https://www.philgeps.gov.ph/GEPSNONPILOT/Tender/SplashBidNoticeAbstractUI.aspx?menuIndex=3&amp;refID=7145863&amp;Result=3","7145863")</f>
        <v>0</v>
      </c>
      <c r="B4151" t="s">
        <v>1193</v>
      </c>
      <c r="C4151" t="s">
        <v>7697</v>
      </c>
      <c r="D4151" t="s">
        <v>17954</v>
      </c>
      <c r="E4151" t="s">
        <v>21771</v>
      </c>
      <c r="F4151" t="s">
        <v>30900</v>
      </c>
      <c r="G4151" t="s">
        <v>30908</v>
      </c>
      <c r="H4151" t="s">
        <v>30916</v>
      </c>
      <c r="I4151" t="s">
        <v>6396</v>
      </c>
      <c r="J4151" t="s">
        <v>33882</v>
      </c>
      <c r="K4151" t="s">
        <v>40284</v>
      </c>
      <c r="M4151" t="s">
        <v>41804</v>
      </c>
      <c r="N4151" t="s">
        <v>44759</v>
      </c>
      <c r="O4151" t="s">
        <v>44760</v>
      </c>
      <c r="P4151">
        <v>0</v>
      </c>
      <c r="Q4151">
        <v>0</v>
      </c>
      <c r="R4151" t="s">
        <v>44763</v>
      </c>
      <c r="S4151" t="s">
        <v>44876</v>
      </c>
      <c r="T4151" t="s">
        <v>46403</v>
      </c>
      <c r="U4151" t="s">
        <v>50407</v>
      </c>
      <c r="W4151" t="s">
        <v>41804</v>
      </c>
      <c r="X4151" t="s">
        <v>44767</v>
      </c>
    </row>
    <row r="4152" spans="1:24">
      <c r="A4152">
        <f>HYPERLINK("https://www.philgeps.gov.ph/GEPSNONPILOT/Tender/SplashBidNoticeAbstractUI.aspx?menuIndex=3&amp;refID=7145861&amp;Result=3","7145861")</f>
        <v>0</v>
      </c>
      <c r="B4152" t="s">
        <v>1608</v>
      </c>
      <c r="C4152" t="s">
        <v>7698</v>
      </c>
      <c r="D4152" t="s">
        <v>17963</v>
      </c>
      <c r="E4152" t="s">
        <v>21772</v>
      </c>
      <c r="F4152" t="s">
        <v>30900</v>
      </c>
      <c r="G4152" t="s">
        <v>30908</v>
      </c>
      <c r="H4152" t="s">
        <v>30916</v>
      </c>
      <c r="I4152" t="s">
        <v>30926</v>
      </c>
      <c r="J4152" t="s">
        <v>33883</v>
      </c>
      <c r="K4152" t="s">
        <v>40289</v>
      </c>
      <c r="M4152" t="s">
        <v>42258</v>
      </c>
      <c r="N4152" t="s">
        <v>44759</v>
      </c>
      <c r="O4152" t="s">
        <v>44760</v>
      </c>
      <c r="P4152">
        <v>0</v>
      </c>
      <c r="Q4152">
        <v>0</v>
      </c>
      <c r="R4152" t="s">
        <v>44763</v>
      </c>
      <c r="S4152" t="s">
        <v>44876</v>
      </c>
      <c r="T4152" t="s">
        <v>46612</v>
      </c>
      <c r="U4152" t="s">
        <v>50408</v>
      </c>
      <c r="W4152" t="s">
        <v>42258</v>
      </c>
      <c r="X4152" t="s">
        <v>44767</v>
      </c>
    </row>
    <row r="4153" spans="1:24">
      <c r="A4153">
        <f>HYPERLINK("https://www.philgeps.gov.ph/GEPSNONPILOT/Tender/SplashBidNoticeAbstractUI.aspx?menuIndex=3&amp;refID=7145855&amp;Result=3","7145855")</f>
        <v>0</v>
      </c>
      <c r="B4153" t="s">
        <v>1314</v>
      </c>
      <c r="C4153" t="s">
        <v>7699</v>
      </c>
      <c r="D4153" t="s">
        <v>18019</v>
      </c>
      <c r="E4153" t="s">
        <v>21773</v>
      </c>
      <c r="F4153" t="s">
        <v>30900</v>
      </c>
      <c r="G4153" t="s">
        <v>30908</v>
      </c>
      <c r="H4153" t="s">
        <v>30916</v>
      </c>
      <c r="I4153" t="s">
        <v>6746</v>
      </c>
      <c r="J4153" t="s">
        <v>33884</v>
      </c>
      <c r="K4153" t="s">
        <v>40289</v>
      </c>
      <c r="L4153" t="s">
        <v>1314</v>
      </c>
      <c r="M4153" t="s">
        <v>42251</v>
      </c>
      <c r="N4153" t="s">
        <v>44759</v>
      </c>
      <c r="O4153" t="s">
        <v>44760</v>
      </c>
      <c r="P4153">
        <v>0</v>
      </c>
      <c r="Q4153">
        <v>0</v>
      </c>
      <c r="R4153" t="s">
        <v>44763</v>
      </c>
      <c r="S4153" t="s">
        <v>44876</v>
      </c>
      <c r="T4153" t="s">
        <v>46533</v>
      </c>
      <c r="U4153" t="s">
        <v>50409</v>
      </c>
      <c r="W4153" t="s">
        <v>42251</v>
      </c>
      <c r="X4153" t="s">
        <v>44767</v>
      </c>
    </row>
    <row r="4154" spans="1:24">
      <c r="A4154">
        <f>HYPERLINK("https://www.philgeps.gov.ph/GEPSNONPILOT/Tender/SplashBidNoticeAbstractUI.aspx?menuIndex=3&amp;refID=7145838&amp;Result=3","7145838")</f>
        <v>0</v>
      </c>
      <c r="B4154" t="s">
        <v>1603</v>
      </c>
      <c r="C4154" t="s">
        <v>7700</v>
      </c>
      <c r="D4154" t="s">
        <v>17980</v>
      </c>
      <c r="E4154" t="s">
        <v>21774</v>
      </c>
      <c r="F4154" t="s">
        <v>30900</v>
      </c>
      <c r="G4154" t="s">
        <v>30908</v>
      </c>
      <c r="H4154" t="s">
        <v>30916</v>
      </c>
      <c r="I4154" t="s">
        <v>4545</v>
      </c>
      <c r="J4154" t="s">
        <v>33885</v>
      </c>
      <c r="K4154" t="s">
        <v>40284</v>
      </c>
      <c r="M4154" t="s">
        <v>42253</v>
      </c>
      <c r="N4154" t="s">
        <v>44759</v>
      </c>
      <c r="O4154" t="s">
        <v>44760</v>
      </c>
      <c r="P4154">
        <v>0</v>
      </c>
      <c r="Q4154">
        <v>3</v>
      </c>
      <c r="R4154" t="s">
        <v>44763</v>
      </c>
      <c r="S4154" t="s">
        <v>44876</v>
      </c>
      <c r="T4154" t="s">
        <v>46357</v>
      </c>
      <c r="U4154" t="s">
        <v>50410</v>
      </c>
      <c r="V4154" t="s">
        <v>59568</v>
      </c>
      <c r="W4154" t="s">
        <v>42253</v>
      </c>
      <c r="X4154" t="s">
        <v>44767</v>
      </c>
    </row>
    <row r="4155" spans="1:24">
      <c r="A4155">
        <f>HYPERLINK("https://www.philgeps.gov.ph/GEPSNONPILOT/Tender/SplashBidNoticeAbstractUI.aspx?menuIndex=3&amp;refID=7145733&amp;Result=3","7145733")</f>
        <v>0</v>
      </c>
      <c r="B4155" t="s">
        <v>1609</v>
      </c>
      <c r="C4155" t="s">
        <v>7701</v>
      </c>
      <c r="D4155" t="s">
        <v>17964</v>
      </c>
      <c r="E4155" t="s">
        <v>21775</v>
      </c>
      <c r="F4155" t="s">
        <v>30900</v>
      </c>
      <c r="G4155" t="s">
        <v>30908</v>
      </c>
      <c r="H4155" t="s">
        <v>30917</v>
      </c>
      <c r="I4155" t="s">
        <v>30921</v>
      </c>
      <c r="J4155" t="s">
        <v>31270</v>
      </c>
      <c r="K4155" t="s">
        <v>40287</v>
      </c>
      <c r="M4155" t="s">
        <v>42259</v>
      </c>
      <c r="N4155" t="s">
        <v>44759</v>
      </c>
      <c r="O4155" t="s">
        <v>44760</v>
      </c>
      <c r="P4155">
        <v>0</v>
      </c>
      <c r="Q4155">
        <v>0</v>
      </c>
      <c r="R4155" t="s">
        <v>44763</v>
      </c>
      <c r="S4155" t="s">
        <v>44876</v>
      </c>
      <c r="T4155" t="s">
        <v>46533</v>
      </c>
      <c r="U4155" t="s">
        <v>50411</v>
      </c>
      <c r="W4155" t="s">
        <v>42259</v>
      </c>
      <c r="X4155" t="s">
        <v>44767</v>
      </c>
    </row>
    <row r="4156" spans="1:24">
      <c r="A4156">
        <f>HYPERLINK("https://www.philgeps.gov.ph/GEPSNONPILOT/Tender/SplashBidNoticeAbstractUI.aspx?menuIndex=3&amp;refID=7145837&amp;Result=3","7145837")</f>
        <v>0</v>
      </c>
      <c r="B4156" t="s">
        <v>317</v>
      </c>
      <c r="C4156" t="s">
        <v>7702</v>
      </c>
      <c r="D4156" t="s">
        <v>17952</v>
      </c>
      <c r="E4156" t="s">
        <v>21776</v>
      </c>
      <c r="F4156" t="s">
        <v>30900</v>
      </c>
      <c r="G4156" t="s">
        <v>30907</v>
      </c>
      <c r="H4156" t="s">
        <v>30916</v>
      </c>
      <c r="I4156" t="s">
        <v>4545</v>
      </c>
      <c r="J4156" t="s">
        <v>31139</v>
      </c>
      <c r="K4156" t="s">
        <v>40284</v>
      </c>
      <c r="M4156" t="s">
        <v>40868</v>
      </c>
      <c r="N4156" t="s">
        <v>44759</v>
      </c>
      <c r="O4156" t="s">
        <v>44760</v>
      </c>
      <c r="P4156">
        <v>0</v>
      </c>
      <c r="Q4156">
        <v>4</v>
      </c>
      <c r="R4156" t="s">
        <v>44763</v>
      </c>
      <c r="S4156" t="s">
        <v>44876</v>
      </c>
      <c r="T4156" t="s">
        <v>46659</v>
      </c>
      <c r="U4156" t="s">
        <v>50412</v>
      </c>
      <c r="W4156" t="s">
        <v>60824</v>
      </c>
      <c r="X4156" t="s">
        <v>44767</v>
      </c>
    </row>
    <row r="4157" spans="1:24">
      <c r="A4157">
        <f>HYPERLINK("https://www.philgeps.gov.ph/GEPSNONPILOT/Tender/SplashBidNoticeAbstractUI.aspx?menuIndex=3&amp;refID=7145833&amp;Result=3","7145833")</f>
        <v>0</v>
      </c>
      <c r="B4157" t="s">
        <v>1608</v>
      </c>
      <c r="C4157" t="s">
        <v>7698</v>
      </c>
      <c r="D4157" t="s">
        <v>17963</v>
      </c>
      <c r="E4157" t="s">
        <v>21777</v>
      </c>
      <c r="F4157" t="s">
        <v>30900</v>
      </c>
      <c r="G4157" t="s">
        <v>30908</v>
      </c>
      <c r="H4157" t="s">
        <v>30916</v>
      </c>
      <c r="I4157" t="s">
        <v>10847</v>
      </c>
      <c r="J4157" t="s">
        <v>33886</v>
      </c>
      <c r="K4157" t="s">
        <v>40289</v>
      </c>
      <c r="M4157" t="s">
        <v>42258</v>
      </c>
      <c r="N4157" t="s">
        <v>44759</v>
      </c>
      <c r="O4157" t="s">
        <v>44760</v>
      </c>
      <c r="P4157">
        <v>0</v>
      </c>
      <c r="Q4157">
        <v>0</v>
      </c>
      <c r="R4157" t="s">
        <v>44763</v>
      </c>
      <c r="S4157" t="s">
        <v>44876</v>
      </c>
      <c r="T4157" t="s">
        <v>46612</v>
      </c>
      <c r="U4157" t="s">
        <v>50408</v>
      </c>
      <c r="W4157" t="s">
        <v>42258</v>
      </c>
      <c r="X4157" t="s">
        <v>44767</v>
      </c>
    </row>
    <row r="4158" spans="1:24">
      <c r="A4158">
        <f>HYPERLINK("https://www.philgeps.gov.ph/GEPSNONPILOT/Tender/SplashBidNoticeAbstractUI.aspx?menuIndex=3&amp;refID=7145854&amp;Result=3","7145854")</f>
        <v>0</v>
      </c>
      <c r="B4158" t="s">
        <v>1194</v>
      </c>
      <c r="C4158" t="s">
        <v>7703</v>
      </c>
      <c r="D4158" t="s">
        <v>18019</v>
      </c>
      <c r="E4158" t="s">
        <v>21778</v>
      </c>
      <c r="F4158" t="s">
        <v>30900</v>
      </c>
      <c r="G4158" t="s">
        <v>30908</v>
      </c>
      <c r="H4158" t="s">
        <v>30916</v>
      </c>
      <c r="I4158" t="s">
        <v>4545</v>
      </c>
      <c r="J4158" t="s">
        <v>33353</v>
      </c>
      <c r="K4158" t="s">
        <v>40293</v>
      </c>
      <c r="M4158" t="s">
        <v>41805</v>
      </c>
      <c r="N4158" t="s">
        <v>44759</v>
      </c>
      <c r="O4158" t="s">
        <v>44760</v>
      </c>
      <c r="P4158">
        <v>0</v>
      </c>
      <c r="Q4158">
        <v>0</v>
      </c>
      <c r="R4158" t="s">
        <v>44763</v>
      </c>
      <c r="S4158" t="s">
        <v>44876</v>
      </c>
      <c r="T4158" t="s">
        <v>46398</v>
      </c>
      <c r="U4158" t="s">
        <v>50413</v>
      </c>
      <c r="W4158" t="s">
        <v>41805</v>
      </c>
      <c r="X4158" t="s">
        <v>44767</v>
      </c>
    </row>
    <row r="4159" spans="1:24">
      <c r="A4159">
        <f>HYPERLINK("https://www.philgeps.gov.ph/GEPSNONPILOT/Tender/SplashBidNoticeAbstractUI.aspx?menuIndex=3&amp;refID=7145763&amp;Result=3","7145763")</f>
        <v>0</v>
      </c>
      <c r="B4159" t="s">
        <v>1610</v>
      </c>
      <c r="C4159" t="s">
        <v>7704</v>
      </c>
      <c r="D4159" t="s">
        <v>17980</v>
      </c>
      <c r="E4159" t="s">
        <v>21779</v>
      </c>
      <c r="F4159" t="s">
        <v>30900</v>
      </c>
      <c r="G4159" t="s">
        <v>30908</v>
      </c>
      <c r="H4159" t="s">
        <v>30916</v>
      </c>
      <c r="I4159" t="s">
        <v>6953</v>
      </c>
      <c r="J4159" t="s">
        <v>32204</v>
      </c>
      <c r="K4159" t="s">
        <v>40281</v>
      </c>
      <c r="L4159" t="s">
        <v>1610</v>
      </c>
      <c r="M4159" t="s">
        <v>42260</v>
      </c>
      <c r="N4159" t="s">
        <v>44759</v>
      </c>
      <c r="O4159" t="s">
        <v>44760</v>
      </c>
      <c r="P4159">
        <v>0</v>
      </c>
      <c r="Q4159">
        <v>0</v>
      </c>
      <c r="R4159" t="s">
        <v>44763</v>
      </c>
      <c r="S4159" t="s">
        <v>44876</v>
      </c>
      <c r="T4159" t="s">
        <v>46660</v>
      </c>
      <c r="U4159" t="s">
        <v>50414</v>
      </c>
      <c r="W4159" t="s">
        <v>42260</v>
      </c>
      <c r="X4159" t="s">
        <v>44767</v>
      </c>
    </row>
    <row r="4160" spans="1:24">
      <c r="A4160">
        <f>HYPERLINK("https://www.philgeps.gov.ph/GEPSNONPILOT/Tender/SplashBidNoticeAbstractUI.aspx?menuIndex=3&amp;refID=7145775&amp;Result=3","7145775")</f>
        <v>0</v>
      </c>
      <c r="B4160" t="s">
        <v>35</v>
      </c>
      <c r="C4160" t="s">
        <v>7705</v>
      </c>
      <c r="D4160" t="s">
        <v>17962</v>
      </c>
      <c r="E4160" t="s">
        <v>21780</v>
      </c>
      <c r="F4160" t="s">
        <v>30900</v>
      </c>
      <c r="G4160" t="s">
        <v>30907</v>
      </c>
      <c r="H4160" t="s">
        <v>30915</v>
      </c>
      <c r="I4160" t="s">
        <v>30919</v>
      </c>
      <c r="J4160" t="s">
        <v>33887</v>
      </c>
      <c r="K4160" t="s">
        <v>40365</v>
      </c>
      <c r="M4160" t="s">
        <v>40581</v>
      </c>
      <c r="N4160" t="s">
        <v>44759</v>
      </c>
      <c r="O4160" t="s">
        <v>44760</v>
      </c>
      <c r="P4160">
        <v>0</v>
      </c>
      <c r="Q4160">
        <v>0</v>
      </c>
      <c r="R4160" t="s">
        <v>44763</v>
      </c>
      <c r="S4160" t="s">
        <v>44876</v>
      </c>
      <c r="T4160" t="s">
        <v>46465</v>
      </c>
      <c r="U4160" t="s">
        <v>50415</v>
      </c>
      <c r="V4160" t="s">
        <v>59094</v>
      </c>
      <c r="W4160" t="s">
        <v>40581</v>
      </c>
      <c r="X4160" t="s">
        <v>44767</v>
      </c>
    </row>
    <row r="4161" spans="1:24">
      <c r="A4161">
        <f>HYPERLINK("https://www.philgeps.gov.ph/GEPSNONPILOT/Tender/SplashBidNoticeAbstractUI.aspx?menuIndex=3&amp;refID=7145967&amp;Result=3","7145967")</f>
        <v>0</v>
      </c>
      <c r="B4161" t="s">
        <v>1604</v>
      </c>
      <c r="C4161" t="s">
        <v>7706</v>
      </c>
      <c r="D4161" t="s">
        <v>18025</v>
      </c>
      <c r="E4161" t="s">
        <v>21781</v>
      </c>
      <c r="F4161" t="s">
        <v>30900</v>
      </c>
      <c r="G4161" t="s">
        <v>30909</v>
      </c>
      <c r="H4161" t="s">
        <v>30916</v>
      </c>
      <c r="I4161" t="s">
        <v>30934</v>
      </c>
      <c r="J4161" t="s">
        <v>32161</v>
      </c>
      <c r="K4161" t="s">
        <v>40285</v>
      </c>
      <c r="M4161" t="s">
        <v>42254</v>
      </c>
      <c r="N4161" t="s">
        <v>44759</v>
      </c>
      <c r="O4161" t="s">
        <v>44760</v>
      </c>
      <c r="P4161">
        <v>0</v>
      </c>
      <c r="Q4161">
        <v>1</v>
      </c>
      <c r="R4161" t="s">
        <v>44763</v>
      </c>
      <c r="S4161" t="s">
        <v>44876</v>
      </c>
      <c r="T4161" t="s">
        <v>46658</v>
      </c>
      <c r="U4161" t="s">
        <v>50416</v>
      </c>
      <c r="W4161" t="s">
        <v>42254</v>
      </c>
      <c r="X4161" t="s">
        <v>44767</v>
      </c>
    </row>
    <row r="4162" spans="1:24">
      <c r="A4162">
        <f>HYPERLINK("https://www.philgeps.gov.ph/GEPSNONPILOT/Tender/SplashBidNoticeAbstractUI.aspx?menuIndex=3&amp;refID=7146028&amp;Result=3","7146028")</f>
        <v>0</v>
      </c>
      <c r="B4162" t="s">
        <v>1610</v>
      </c>
      <c r="C4162" t="s">
        <v>7707</v>
      </c>
      <c r="D4162" t="s">
        <v>17980</v>
      </c>
      <c r="E4162" t="s">
        <v>21782</v>
      </c>
      <c r="F4162" t="s">
        <v>30900</v>
      </c>
      <c r="G4162" t="s">
        <v>30908</v>
      </c>
      <c r="H4162" t="s">
        <v>30916</v>
      </c>
      <c r="I4162" t="s">
        <v>8021</v>
      </c>
      <c r="J4162" t="s">
        <v>31247</v>
      </c>
      <c r="K4162" t="s">
        <v>40281</v>
      </c>
      <c r="L4162" t="s">
        <v>1610</v>
      </c>
      <c r="M4162" t="s">
        <v>42260</v>
      </c>
      <c r="N4162" t="s">
        <v>44759</v>
      </c>
      <c r="O4162" t="s">
        <v>44760</v>
      </c>
      <c r="P4162">
        <v>0</v>
      </c>
      <c r="Q4162">
        <v>0</v>
      </c>
      <c r="R4162" t="s">
        <v>44763</v>
      </c>
      <c r="S4162" t="s">
        <v>44876</v>
      </c>
      <c r="T4162" t="s">
        <v>46383</v>
      </c>
      <c r="U4162" t="s">
        <v>50417</v>
      </c>
      <c r="W4162" t="s">
        <v>42260</v>
      </c>
      <c r="X4162" t="s">
        <v>44767</v>
      </c>
    </row>
    <row r="4163" spans="1:24">
      <c r="A4163">
        <f>HYPERLINK("https://www.philgeps.gov.ph/GEPSNONPILOT/Tender/SplashBidNoticeAbstractUI.aspx?menuIndex=3&amp;refID=7146005&amp;Result=3","7146005")</f>
        <v>0</v>
      </c>
      <c r="B4163" t="s">
        <v>219</v>
      </c>
      <c r="C4163" t="s">
        <v>4108</v>
      </c>
      <c r="D4163" t="s">
        <v>17955</v>
      </c>
      <c r="E4163" t="s">
        <v>21783</v>
      </c>
      <c r="F4163" t="s">
        <v>30900</v>
      </c>
      <c r="G4163" t="s">
        <v>30908</v>
      </c>
      <c r="H4163" t="s">
        <v>30916</v>
      </c>
      <c r="I4163" t="s">
        <v>4108</v>
      </c>
      <c r="J4163" t="s">
        <v>33888</v>
      </c>
      <c r="K4163" t="s">
        <v>40286</v>
      </c>
      <c r="M4163" t="s">
        <v>40766</v>
      </c>
      <c r="N4163" t="s">
        <v>44759</v>
      </c>
      <c r="O4163" t="s">
        <v>44760</v>
      </c>
      <c r="P4163">
        <v>0</v>
      </c>
      <c r="Q4163">
        <v>0</v>
      </c>
      <c r="R4163" t="s">
        <v>44763</v>
      </c>
      <c r="S4163" t="s">
        <v>44876</v>
      </c>
      <c r="T4163" t="s">
        <v>46548</v>
      </c>
      <c r="U4163" t="s">
        <v>50418</v>
      </c>
      <c r="W4163" t="s">
        <v>40766</v>
      </c>
      <c r="X4163" t="s">
        <v>44767</v>
      </c>
    </row>
    <row r="4164" spans="1:24">
      <c r="A4164">
        <f>HYPERLINK("https://www.philgeps.gov.ph/GEPSNONPILOT/Tender/SplashBidNoticeAbstractUI.aspx?menuIndex=3&amp;refID=7145992&amp;Result=3","7145992")</f>
        <v>0</v>
      </c>
      <c r="B4164" t="s">
        <v>1611</v>
      </c>
      <c r="C4164" t="s">
        <v>7708</v>
      </c>
      <c r="D4164" t="s">
        <v>18005</v>
      </c>
      <c r="E4164" t="s">
        <v>21784</v>
      </c>
      <c r="F4164" t="s">
        <v>30900</v>
      </c>
      <c r="G4164" t="s">
        <v>30908</v>
      </c>
      <c r="H4164" t="s">
        <v>30916</v>
      </c>
      <c r="I4164" t="s">
        <v>7708</v>
      </c>
      <c r="J4164" t="s">
        <v>33889</v>
      </c>
      <c r="K4164" t="s">
        <v>40283</v>
      </c>
      <c r="M4164" t="s">
        <v>42261</v>
      </c>
      <c r="N4164" t="s">
        <v>44759</v>
      </c>
      <c r="O4164" t="s">
        <v>44760</v>
      </c>
      <c r="P4164">
        <v>0</v>
      </c>
      <c r="Q4164">
        <v>5</v>
      </c>
      <c r="R4164" t="s">
        <v>44763</v>
      </c>
      <c r="S4164" t="s">
        <v>44876</v>
      </c>
      <c r="T4164" t="s">
        <v>46403</v>
      </c>
      <c r="U4164" t="s">
        <v>50419</v>
      </c>
      <c r="W4164" t="s">
        <v>42261</v>
      </c>
      <c r="X4164" t="s">
        <v>44767</v>
      </c>
    </row>
    <row r="4165" spans="1:24">
      <c r="A4165">
        <f>HYPERLINK("https://www.philgeps.gov.ph/GEPSNONPILOT/Tender/SplashBidNoticeAbstractUI.aspx?menuIndex=3&amp;refID=7145730&amp;Result=3","7145730")</f>
        <v>0</v>
      </c>
      <c r="B4165" t="s">
        <v>168</v>
      </c>
      <c r="C4165" t="s">
        <v>7709</v>
      </c>
      <c r="D4165" t="s">
        <v>18007</v>
      </c>
      <c r="E4165" t="s">
        <v>21785</v>
      </c>
      <c r="F4165" t="s">
        <v>30900</v>
      </c>
      <c r="G4165" t="s">
        <v>30908</v>
      </c>
      <c r="H4165" t="s">
        <v>30917</v>
      </c>
      <c r="I4165" t="s">
        <v>30942</v>
      </c>
      <c r="J4165" t="s">
        <v>33890</v>
      </c>
      <c r="K4165" t="s">
        <v>40286</v>
      </c>
      <c r="M4165" t="s">
        <v>40715</v>
      </c>
      <c r="N4165" t="s">
        <v>44759</v>
      </c>
      <c r="O4165" t="s">
        <v>44760</v>
      </c>
      <c r="P4165">
        <v>0</v>
      </c>
      <c r="Q4165">
        <v>0</v>
      </c>
      <c r="R4165" t="s">
        <v>44763</v>
      </c>
      <c r="S4165" t="s">
        <v>44876</v>
      </c>
      <c r="T4165" t="s">
        <v>46533</v>
      </c>
      <c r="U4165" t="s">
        <v>50420</v>
      </c>
      <c r="W4165" t="s">
        <v>40715</v>
      </c>
      <c r="X4165" t="s">
        <v>44767</v>
      </c>
    </row>
    <row r="4166" spans="1:24">
      <c r="A4166">
        <f>HYPERLINK("https://www.philgeps.gov.ph/GEPSNONPILOT/Tender/SplashBidNoticeAbstractUI.aspx?menuIndex=3&amp;refID=7146105&amp;Result=3","7146105")</f>
        <v>0</v>
      </c>
      <c r="B4166" t="s">
        <v>1605</v>
      </c>
      <c r="C4166" t="s">
        <v>7710</v>
      </c>
      <c r="D4166" t="s">
        <v>17951</v>
      </c>
      <c r="E4166" t="s">
        <v>21786</v>
      </c>
      <c r="F4166" t="s">
        <v>30900</v>
      </c>
      <c r="G4166" t="s">
        <v>30907</v>
      </c>
      <c r="H4166" t="s">
        <v>30915</v>
      </c>
      <c r="I4166" t="s">
        <v>30919</v>
      </c>
      <c r="J4166" t="s">
        <v>31066</v>
      </c>
      <c r="K4166" t="s">
        <v>40286</v>
      </c>
      <c r="M4166" t="s">
        <v>42255</v>
      </c>
      <c r="N4166" t="s">
        <v>44759</v>
      </c>
      <c r="O4166" t="s">
        <v>44760</v>
      </c>
      <c r="P4166">
        <v>0</v>
      </c>
      <c r="Q4166">
        <v>0</v>
      </c>
      <c r="R4166" t="s">
        <v>44763</v>
      </c>
      <c r="S4166" t="s">
        <v>44876</v>
      </c>
      <c r="T4166" t="s">
        <v>46357</v>
      </c>
      <c r="U4166" t="s">
        <v>50400</v>
      </c>
      <c r="W4166" t="s">
        <v>42255</v>
      </c>
      <c r="X4166" t="s">
        <v>44767</v>
      </c>
    </row>
    <row r="4167" spans="1:24">
      <c r="A4167">
        <f>HYPERLINK("https://www.philgeps.gov.ph/GEPSNONPILOT/Tender/SplashBidNoticeAbstractUI.aspx?menuIndex=3&amp;refID=7146100&amp;Result=3","7146100")</f>
        <v>0</v>
      </c>
      <c r="B4167" t="s">
        <v>1603</v>
      </c>
      <c r="C4167" t="s">
        <v>7711</v>
      </c>
      <c r="D4167" t="s">
        <v>17980</v>
      </c>
      <c r="E4167" t="s">
        <v>21787</v>
      </c>
      <c r="F4167" t="s">
        <v>30900</v>
      </c>
      <c r="G4167" t="s">
        <v>30908</v>
      </c>
      <c r="H4167" t="s">
        <v>30916</v>
      </c>
      <c r="I4167" t="s">
        <v>30939</v>
      </c>
      <c r="J4167" t="s">
        <v>33891</v>
      </c>
      <c r="K4167" t="s">
        <v>40319</v>
      </c>
      <c r="M4167" t="s">
        <v>42253</v>
      </c>
      <c r="N4167" t="s">
        <v>44759</v>
      </c>
      <c r="O4167" t="s">
        <v>44760</v>
      </c>
      <c r="P4167">
        <v>0</v>
      </c>
      <c r="Q4167">
        <v>0</v>
      </c>
      <c r="R4167" t="s">
        <v>44763</v>
      </c>
      <c r="S4167" t="s">
        <v>44876</v>
      </c>
      <c r="T4167" t="s">
        <v>46357</v>
      </c>
      <c r="U4167" t="s">
        <v>50421</v>
      </c>
      <c r="V4167" t="s">
        <v>59568</v>
      </c>
      <c r="W4167" t="s">
        <v>42253</v>
      </c>
      <c r="X4167" t="s">
        <v>44767</v>
      </c>
    </row>
    <row r="4168" spans="1:24">
      <c r="A4168">
        <f>HYPERLINK("https://www.philgeps.gov.ph/GEPSNONPILOT/Tender/SplashBidNoticeAbstractUI.aspx?menuIndex=3&amp;refID=7146027&amp;Result=3","7146027")</f>
        <v>0</v>
      </c>
      <c r="B4168" t="s">
        <v>1612</v>
      </c>
      <c r="C4168" t="s">
        <v>7712</v>
      </c>
      <c r="D4168" t="s">
        <v>17981</v>
      </c>
      <c r="E4168" t="s">
        <v>21788</v>
      </c>
      <c r="F4168" t="s">
        <v>30900</v>
      </c>
      <c r="G4168" t="s">
        <v>30908</v>
      </c>
      <c r="H4168" t="s">
        <v>30916</v>
      </c>
      <c r="I4168" t="s">
        <v>30952</v>
      </c>
      <c r="J4168" t="s">
        <v>33892</v>
      </c>
      <c r="K4168" t="s">
        <v>40283</v>
      </c>
      <c r="M4168" t="s">
        <v>42262</v>
      </c>
      <c r="N4168" t="s">
        <v>44759</v>
      </c>
      <c r="O4168" t="s">
        <v>44760</v>
      </c>
      <c r="P4168">
        <v>0</v>
      </c>
      <c r="Q4168">
        <v>2</v>
      </c>
      <c r="R4168" t="s">
        <v>44763</v>
      </c>
      <c r="S4168" t="s">
        <v>44876</v>
      </c>
      <c r="T4168" t="s">
        <v>46391</v>
      </c>
      <c r="U4168" t="s">
        <v>50422</v>
      </c>
      <c r="V4168" t="s">
        <v>59569</v>
      </c>
      <c r="W4168" t="s">
        <v>42262</v>
      </c>
      <c r="X4168" t="s">
        <v>44767</v>
      </c>
    </row>
    <row r="4169" spans="1:24">
      <c r="A4169">
        <f>HYPERLINK("https://www.philgeps.gov.ph/GEPSNONPILOT/Tender/SplashBidNoticeAbstractUI.aspx?menuIndex=3&amp;refID=7146091&amp;Result=3","7146091")</f>
        <v>0</v>
      </c>
      <c r="B4169" t="s">
        <v>1195</v>
      </c>
      <c r="C4169" t="s">
        <v>7713</v>
      </c>
      <c r="D4169" t="s">
        <v>17987</v>
      </c>
      <c r="E4169" t="s">
        <v>21789</v>
      </c>
      <c r="F4169" t="s">
        <v>30900</v>
      </c>
      <c r="G4169" t="s">
        <v>30908</v>
      </c>
      <c r="H4169" t="s">
        <v>30916</v>
      </c>
      <c r="I4169" t="s">
        <v>6953</v>
      </c>
      <c r="J4169" t="s">
        <v>33893</v>
      </c>
      <c r="K4169" t="s">
        <v>40287</v>
      </c>
      <c r="M4169" t="s">
        <v>41806</v>
      </c>
      <c r="N4169" t="s">
        <v>44759</v>
      </c>
      <c r="O4169" t="s">
        <v>44760</v>
      </c>
      <c r="P4169">
        <v>0</v>
      </c>
      <c r="Q4169">
        <v>0</v>
      </c>
      <c r="R4169" t="s">
        <v>44763</v>
      </c>
      <c r="S4169" t="s">
        <v>44876</v>
      </c>
      <c r="T4169" t="s">
        <v>46374</v>
      </c>
      <c r="U4169" t="s">
        <v>50423</v>
      </c>
      <c r="W4169" t="s">
        <v>41806</v>
      </c>
      <c r="X4169" t="s">
        <v>44767</v>
      </c>
    </row>
    <row r="4170" spans="1:24">
      <c r="A4170">
        <f>HYPERLINK("https://www.philgeps.gov.ph/GEPSNONPILOT/Tender/SplashBidNoticeAbstractUI.aspx?menuIndex=3&amp;refID=7146086&amp;Result=3","7146086")</f>
        <v>0</v>
      </c>
      <c r="B4170" t="s">
        <v>1605</v>
      </c>
      <c r="C4170" t="s">
        <v>7714</v>
      </c>
      <c r="D4170" t="s">
        <v>17951</v>
      </c>
      <c r="E4170" t="s">
        <v>21790</v>
      </c>
      <c r="F4170" t="s">
        <v>30900</v>
      </c>
      <c r="G4170" t="s">
        <v>30907</v>
      </c>
      <c r="H4170" t="s">
        <v>30915</v>
      </c>
      <c r="I4170" t="s">
        <v>30919</v>
      </c>
      <c r="J4170" t="s">
        <v>31391</v>
      </c>
      <c r="K4170" t="s">
        <v>40283</v>
      </c>
      <c r="M4170" t="s">
        <v>42255</v>
      </c>
      <c r="N4170" t="s">
        <v>44759</v>
      </c>
      <c r="O4170" t="s">
        <v>44760</v>
      </c>
      <c r="P4170">
        <v>0</v>
      </c>
      <c r="Q4170">
        <v>0</v>
      </c>
      <c r="R4170" t="s">
        <v>44763</v>
      </c>
      <c r="S4170" t="s">
        <v>44876</v>
      </c>
      <c r="T4170" t="s">
        <v>46377</v>
      </c>
      <c r="U4170" t="s">
        <v>50400</v>
      </c>
      <c r="W4170" t="s">
        <v>42255</v>
      </c>
      <c r="X4170" t="s">
        <v>44767</v>
      </c>
    </row>
    <row r="4171" spans="1:24">
      <c r="A4171">
        <f>HYPERLINK("https://www.philgeps.gov.ph/GEPSNONPILOT/Tender/SplashBidNoticeAbstractUI.aspx?menuIndex=3&amp;refID=7146079&amp;Result=3","7146079")</f>
        <v>0</v>
      </c>
      <c r="B4171" t="s">
        <v>1603</v>
      </c>
      <c r="C4171" t="s">
        <v>7715</v>
      </c>
      <c r="D4171" t="s">
        <v>17980</v>
      </c>
      <c r="E4171" t="s">
        <v>21791</v>
      </c>
      <c r="F4171" t="s">
        <v>30900</v>
      </c>
      <c r="G4171" t="s">
        <v>30908</v>
      </c>
      <c r="H4171" t="s">
        <v>30916</v>
      </c>
      <c r="I4171" t="s">
        <v>30939</v>
      </c>
      <c r="J4171" t="s">
        <v>33894</v>
      </c>
      <c r="K4171" t="s">
        <v>40289</v>
      </c>
      <c r="M4171" t="s">
        <v>42253</v>
      </c>
      <c r="N4171" t="s">
        <v>44759</v>
      </c>
      <c r="O4171" t="s">
        <v>44760</v>
      </c>
      <c r="P4171">
        <v>0</v>
      </c>
      <c r="Q4171">
        <v>0</v>
      </c>
      <c r="R4171" t="s">
        <v>44763</v>
      </c>
      <c r="S4171" t="s">
        <v>44876</v>
      </c>
      <c r="T4171" t="s">
        <v>46357</v>
      </c>
      <c r="U4171" t="s">
        <v>50424</v>
      </c>
      <c r="V4171" t="s">
        <v>59568</v>
      </c>
      <c r="W4171" t="s">
        <v>42253</v>
      </c>
      <c r="X4171" t="s">
        <v>44767</v>
      </c>
    </row>
    <row r="4172" spans="1:24">
      <c r="A4172">
        <f>HYPERLINK("https://www.philgeps.gov.ph/GEPSNONPILOT/Tender/SplashBidNoticeAbstractUI.aspx?menuIndex=3&amp;refID=7146064&amp;Result=3","7146064")</f>
        <v>0</v>
      </c>
      <c r="B4172" t="s">
        <v>1605</v>
      </c>
      <c r="C4172" t="s">
        <v>7716</v>
      </c>
      <c r="D4172" t="s">
        <v>17951</v>
      </c>
      <c r="E4172" t="s">
        <v>21792</v>
      </c>
      <c r="F4172" t="s">
        <v>30900</v>
      </c>
      <c r="G4172" t="s">
        <v>30907</v>
      </c>
      <c r="H4172" t="s">
        <v>30915</v>
      </c>
      <c r="I4172" t="s">
        <v>30919</v>
      </c>
      <c r="J4172" t="s">
        <v>33895</v>
      </c>
      <c r="K4172" t="s">
        <v>40280</v>
      </c>
      <c r="M4172" t="s">
        <v>42255</v>
      </c>
      <c r="N4172" t="s">
        <v>44759</v>
      </c>
      <c r="O4172" t="s">
        <v>44760</v>
      </c>
      <c r="P4172">
        <v>0</v>
      </c>
      <c r="Q4172">
        <v>0</v>
      </c>
      <c r="R4172" t="s">
        <v>44763</v>
      </c>
      <c r="S4172" t="s">
        <v>44876</v>
      </c>
      <c r="T4172" t="s">
        <v>46357</v>
      </c>
      <c r="U4172" t="s">
        <v>50400</v>
      </c>
      <c r="W4172" t="s">
        <v>42255</v>
      </c>
      <c r="X4172" t="s">
        <v>44767</v>
      </c>
    </row>
    <row r="4173" spans="1:24">
      <c r="A4173">
        <f>HYPERLINK("https://www.philgeps.gov.ph/GEPSNONPILOT/Tender/SplashBidNoticeAbstractUI.aspx?menuIndex=3&amp;refID=7146063&amp;Result=3","7146063")</f>
        <v>0</v>
      </c>
      <c r="B4173" t="s">
        <v>1603</v>
      </c>
      <c r="C4173" t="s">
        <v>7717</v>
      </c>
      <c r="D4173" t="s">
        <v>17980</v>
      </c>
      <c r="E4173" t="s">
        <v>21793</v>
      </c>
      <c r="F4173" t="s">
        <v>30900</v>
      </c>
      <c r="G4173" t="s">
        <v>30908</v>
      </c>
      <c r="H4173" t="s">
        <v>30916</v>
      </c>
      <c r="I4173" t="s">
        <v>4545</v>
      </c>
      <c r="J4173" t="s">
        <v>31101</v>
      </c>
      <c r="K4173" t="s">
        <v>40284</v>
      </c>
      <c r="M4173" t="s">
        <v>42253</v>
      </c>
      <c r="N4173" t="s">
        <v>44759</v>
      </c>
      <c r="O4173" t="s">
        <v>44760</v>
      </c>
      <c r="P4173">
        <v>0</v>
      </c>
      <c r="Q4173">
        <v>8</v>
      </c>
      <c r="R4173" t="s">
        <v>44763</v>
      </c>
      <c r="S4173" t="s">
        <v>44876</v>
      </c>
      <c r="T4173" t="s">
        <v>46357</v>
      </c>
      <c r="U4173" t="s">
        <v>50425</v>
      </c>
      <c r="V4173" t="s">
        <v>59568</v>
      </c>
      <c r="W4173" t="s">
        <v>42253</v>
      </c>
      <c r="X4173" t="s">
        <v>44767</v>
      </c>
    </row>
    <row r="4174" spans="1:24">
      <c r="A4174">
        <f>HYPERLINK("https://www.philgeps.gov.ph/GEPSNONPILOT/Tender/SplashBidNoticeAbstractUI.aspx?menuIndex=3&amp;refID=7146057&amp;Result=3","7146057")</f>
        <v>0</v>
      </c>
      <c r="B4174" t="s">
        <v>1188</v>
      </c>
      <c r="C4174" t="s">
        <v>7718</v>
      </c>
      <c r="D4174" t="s">
        <v>18019</v>
      </c>
      <c r="E4174" t="s">
        <v>21794</v>
      </c>
      <c r="F4174" t="s">
        <v>30900</v>
      </c>
      <c r="G4174" t="s">
        <v>30908</v>
      </c>
      <c r="H4174" t="s">
        <v>30916</v>
      </c>
      <c r="I4174" t="s">
        <v>30971</v>
      </c>
      <c r="J4174" t="s">
        <v>31050</v>
      </c>
      <c r="K4174" t="s">
        <v>40284</v>
      </c>
      <c r="M4174" t="s">
        <v>41797</v>
      </c>
      <c r="N4174" t="s">
        <v>44759</v>
      </c>
      <c r="O4174" t="s">
        <v>44760</v>
      </c>
      <c r="P4174">
        <v>0</v>
      </c>
      <c r="Q4174">
        <v>0</v>
      </c>
      <c r="R4174" t="s">
        <v>44763</v>
      </c>
      <c r="S4174" t="s">
        <v>44876</v>
      </c>
      <c r="T4174" t="s">
        <v>46424</v>
      </c>
      <c r="U4174" t="s">
        <v>50426</v>
      </c>
      <c r="W4174" t="s">
        <v>41797</v>
      </c>
      <c r="X4174" t="s">
        <v>44767</v>
      </c>
    </row>
    <row r="4175" spans="1:24">
      <c r="A4175">
        <f>HYPERLINK("https://www.philgeps.gov.ph/GEPSNONPILOT/Tender/SplashBidNoticeAbstractUI.aspx?menuIndex=3&amp;refID=7146034&amp;Result=3","7146034")</f>
        <v>0</v>
      </c>
      <c r="B4175" t="s">
        <v>1197</v>
      </c>
      <c r="C4175" t="s">
        <v>7719</v>
      </c>
      <c r="D4175" t="s">
        <v>18002</v>
      </c>
      <c r="E4175" t="s">
        <v>21795</v>
      </c>
      <c r="F4175" t="s">
        <v>30900</v>
      </c>
      <c r="G4175" t="s">
        <v>30907</v>
      </c>
      <c r="H4175" t="s">
        <v>30916</v>
      </c>
      <c r="I4175" t="s">
        <v>4142</v>
      </c>
      <c r="J4175" t="s">
        <v>33896</v>
      </c>
      <c r="K4175" t="s">
        <v>40287</v>
      </c>
      <c r="M4175" t="s">
        <v>41808</v>
      </c>
      <c r="N4175" t="s">
        <v>44759</v>
      </c>
      <c r="O4175" t="s">
        <v>44760</v>
      </c>
      <c r="P4175">
        <v>0</v>
      </c>
      <c r="Q4175">
        <v>2</v>
      </c>
      <c r="R4175" t="s">
        <v>44763</v>
      </c>
      <c r="S4175" t="s">
        <v>44876</v>
      </c>
      <c r="T4175" t="s">
        <v>46532</v>
      </c>
      <c r="U4175" t="s">
        <v>49321</v>
      </c>
      <c r="W4175" t="s">
        <v>41808</v>
      </c>
      <c r="X4175" t="s">
        <v>44767</v>
      </c>
    </row>
    <row r="4176" spans="1:24">
      <c r="A4176">
        <f>HYPERLINK("https://www.philgeps.gov.ph/GEPSNONPILOT/Tender/SplashBidNoticeAbstractUI.aspx?menuIndex=3&amp;refID=7146041&amp;Result=3","7146041")</f>
        <v>0</v>
      </c>
      <c r="B4176" t="s">
        <v>1613</v>
      </c>
      <c r="C4176" t="s">
        <v>7720</v>
      </c>
      <c r="D4176" t="s">
        <v>18000</v>
      </c>
      <c r="E4176" t="s">
        <v>21796</v>
      </c>
      <c r="F4176" t="s">
        <v>30900</v>
      </c>
      <c r="G4176" t="s">
        <v>30908</v>
      </c>
      <c r="H4176" t="s">
        <v>30916</v>
      </c>
      <c r="I4176" t="s">
        <v>30924</v>
      </c>
      <c r="J4176" t="s">
        <v>31204</v>
      </c>
      <c r="K4176" t="s">
        <v>40283</v>
      </c>
      <c r="M4176" t="s">
        <v>42263</v>
      </c>
      <c r="N4176" t="s">
        <v>44759</v>
      </c>
      <c r="O4176" t="s">
        <v>44760</v>
      </c>
      <c r="P4176">
        <v>0</v>
      </c>
      <c r="Q4176">
        <v>1</v>
      </c>
      <c r="R4176" t="s">
        <v>44763</v>
      </c>
      <c r="S4176" t="s">
        <v>44876</v>
      </c>
      <c r="T4176" t="s">
        <v>46403</v>
      </c>
      <c r="U4176" t="s">
        <v>50427</v>
      </c>
      <c r="V4176" t="s">
        <v>59570</v>
      </c>
      <c r="W4176" t="s">
        <v>42263</v>
      </c>
      <c r="X4176" t="s">
        <v>44767</v>
      </c>
    </row>
    <row r="4177" spans="1:24">
      <c r="A4177">
        <f>HYPERLINK("https://www.philgeps.gov.ph/GEPSNONPILOT/Tender/SplashBidNoticeAbstractUI.aspx?menuIndex=3&amp;refID=7146106&amp;Result=3","7146106")</f>
        <v>0</v>
      </c>
      <c r="B4177" t="s">
        <v>1611</v>
      </c>
      <c r="C4177" t="s">
        <v>6953</v>
      </c>
      <c r="D4177" t="s">
        <v>18005</v>
      </c>
      <c r="E4177" t="s">
        <v>21797</v>
      </c>
      <c r="F4177" t="s">
        <v>30900</v>
      </c>
      <c r="G4177" t="s">
        <v>30908</v>
      </c>
      <c r="H4177" t="s">
        <v>30916</v>
      </c>
      <c r="I4177" t="s">
        <v>6953</v>
      </c>
      <c r="J4177" t="s">
        <v>33897</v>
      </c>
      <c r="K4177" t="s">
        <v>40283</v>
      </c>
      <c r="M4177" t="s">
        <v>42261</v>
      </c>
      <c r="N4177" t="s">
        <v>44759</v>
      </c>
      <c r="O4177" t="s">
        <v>44760</v>
      </c>
      <c r="P4177">
        <v>0</v>
      </c>
      <c r="Q4177">
        <v>0</v>
      </c>
      <c r="R4177" t="s">
        <v>44763</v>
      </c>
      <c r="S4177" t="s">
        <v>44876</v>
      </c>
      <c r="T4177" t="s">
        <v>46403</v>
      </c>
      <c r="U4177" t="s">
        <v>50428</v>
      </c>
      <c r="W4177" t="s">
        <v>42261</v>
      </c>
      <c r="X4177" t="s">
        <v>44767</v>
      </c>
    </row>
    <row r="4178" spans="1:24">
      <c r="A4178">
        <f>HYPERLINK("https://www.philgeps.gov.ph/GEPSNONPILOT/Tender/SplashBidNoticeAbstractUI.aspx?menuIndex=3&amp;refID=7146264&amp;Result=3","7146264")</f>
        <v>0</v>
      </c>
      <c r="B4178" t="s">
        <v>1614</v>
      </c>
      <c r="C4178" t="s">
        <v>7721</v>
      </c>
      <c r="D4178" t="s">
        <v>18012</v>
      </c>
      <c r="E4178" t="s">
        <v>21798</v>
      </c>
      <c r="F4178" t="s">
        <v>30900</v>
      </c>
      <c r="G4178" t="s">
        <v>30907</v>
      </c>
      <c r="H4178" t="s">
        <v>30916</v>
      </c>
      <c r="I4178" t="s">
        <v>30943</v>
      </c>
      <c r="J4178" t="s">
        <v>31098</v>
      </c>
      <c r="K4178" t="s">
        <v>40286</v>
      </c>
      <c r="M4178" t="s">
        <v>42264</v>
      </c>
      <c r="N4178" t="s">
        <v>44759</v>
      </c>
      <c r="O4178" t="s">
        <v>44760</v>
      </c>
      <c r="P4178">
        <v>0</v>
      </c>
      <c r="Q4178">
        <v>2</v>
      </c>
      <c r="R4178" t="s">
        <v>44763</v>
      </c>
      <c r="S4178" t="s">
        <v>44876</v>
      </c>
      <c r="T4178" t="s">
        <v>46613</v>
      </c>
      <c r="U4178" t="s">
        <v>50429</v>
      </c>
      <c r="W4178" t="s">
        <v>60869</v>
      </c>
      <c r="X4178" t="s">
        <v>44767</v>
      </c>
    </row>
    <row r="4179" spans="1:24">
      <c r="A4179">
        <f>HYPERLINK("https://www.philgeps.gov.ph/GEPSNONPILOT/Tender/SplashBidNoticeAbstractUI.aspx?menuIndex=3&amp;refID=7146248&amp;Result=3","7146248")</f>
        <v>0</v>
      </c>
      <c r="B4179" t="s">
        <v>1614</v>
      </c>
      <c r="C4179" t="s">
        <v>7722</v>
      </c>
      <c r="D4179" t="s">
        <v>18012</v>
      </c>
      <c r="E4179" t="s">
        <v>21799</v>
      </c>
      <c r="F4179" t="s">
        <v>30900</v>
      </c>
      <c r="G4179" t="s">
        <v>30907</v>
      </c>
      <c r="H4179" t="s">
        <v>30916</v>
      </c>
      <c r="I4179" t="s">
        <v>30943</v>
      </c>
      <c r="J4179" t="s">
        <v>33898</v>
      </c>
      <c r="K4179" t="s">
        <v>40286</v>
      </c>
      <c r="M4179" t="s">
        <v>42264</v>
      </c>
      <c r="N4179" t="s">
        <v>44759</v>
      </c>
      <c r="O4179" t="s">
        <v>44760</v>
      </c>
      <c r="P4179">
        <v>0</v>
      </c>
      <c r="Q4179">
        <v>5</v>
      </c>
      <c r="R4179" t="s">
        <v>44763</v>
      </c>
      <c r="S4179" t="s">
        <v>44876</v>
      </c>
      <c r="T4179" t="s">
        <v>46613</v>
      </c>
      <c r="U4179" t="s">
        <v>50430</v>
      </c>
      <c r="W4179" t="s">
        <v>60869</v>
      </c>
      <c r="X4179" t="s">
        <v>44767</v>
      </c>
    </row>
    <row r="4180" spans="1:24">
      <c r="A4180">
        <f>HYPERLINK("https://www.philgeps.gov.ph/GEPSNONPILOT/Tender/SplashBidNoticeAbstractUI.aspx?menuIndex=3&amp;refID=7146240&amp;Result=3","7146240")</f>
        <v>0</v>
      </c>
      <c r="B4180" t="s">
        <v>1162</v>
      </c>
      <c r="C4180" t="s">
        <v>7723</v>
      </c>
      <c r="D4180" t="s">
        <v>17959</v>
      </c>
      <c r="E4180" t="s">
        <v>21800</v>
      </c>
      <c r="F4180" t="s">
        <v>30900</v>
      </c>
      <c r="G4180" t="s">
        <v>30908</v>
      </c>
      <c r="H4180" t="s">
        <v>30916</v>
      </c>
      <c r="I4180" t="s">
        <v>8365</v>
      </c>
      <c r="J4180" t="s">
        <v>33899</v>
      </c>
      <c r="K4180" t="s">
        <v>40287</v>
      </c>
      <c r="M4180" t="s">
        <v>41799</v>
      </c>
      <c r="N4180" t="s">
        <v>44759</v>
      </c>
      <c r="O4180" t="s">
        <v>44760</v>
      </c>
      <c r="P4180">
        <v>0</v>
      </c>
      <c r="Q4180">
        <v>0</v>
      </c>
      <c r="R4180" t="s">
        <v>44763</v>
      </c>
      <c r="S4180" t="s">
        <v>44876</v>
      </c>
      <c r="T4180" t="s">
        <v>46545</v>
      </c>
      <c r="U4180" t="s">
        <v>50431</v>
      </c>
      <c r="V4180" t="s">
        <v>59414</v>
      </c>
      <c r="W4180" t="s">
        <v>41799</v>
      </c>
      <c r="X4180" t="s">
        <v>44767</v>
      </c>
    </row>
    <row r="4181" spans="1:24">
      <c r="A4181">
        <f>HYPERLINK("https://www.philgeps.gov.ph/GEPSNONPILOT/Tender/SplashBidNoticeAbstractUI.aspx?menuIndex=3&amp;refID=7146238&amp;Result=3","7146238")</f>
        <v>0</v>
      </c>
      <c r="B4181" t="s">
        <v>1605</v>
      </c>
      <c r="C4181" t="s">
        <v>7724</v>
      </c>
      <c r="D4181" t="s">
        <v>17951</v>
      </c>
      <c r="E4181" t="s">
        <v>21801</v>
      </c>
      <c r="F4181" t="s">
        <v>30900</v>
      </c>
      <c r="G4181" t="s">
        <v>30907</v>
      </c>
      <c r="H4181" t="s">
        <v>30915</v>
      </c>
      <c r="I4181" t="s">
        <v>30919</v>
      </c>
      <c r="J4181" t="s">
        <v>31352</v>
      </c>
      <c r="K4181" t="s">
        <v>40280</v>
      </c>
      <c r="M4181" t="s">
        <v>42255</v>
      </c>
      <c r="N4181" t="s">
        <v>44759</v>
      </c>
      <c r="O4181" t="s">
        <v>44760</v>
      </c>
      <c r="P4181">
        <v>0</v>
      </c>
      <c r="Q4181">
        <v>0</v>
      </c>
      <c r="R4181" t="s">
        <v>44763</v>
      </c>
      <c r="S4181" t="s">
        <v>44876</v>
      </c>
      <c r="T4181" t="s">
        <v>46357</v>
      </c>
      <c r="U4181" t="s">
        <v>50400</v>
      </c>
      <c r="W4181" t="s">
        <v>42255</v>
      </c>
      <c r="X4181" t="s">
        <v>44767</v>
      </c>
    </row>
    <row r="4182" spans="1:24">
      <c r="A4182">
        <f>HYPERLINK("https://www.philgeps.gov.ph/GEPSNONPILOT/Tender/SplashBidNoticeAbstractUI.aspx?menuIndex=3&amp;refID=7146059&amp;Result=3","7146059")</f>
        <v>0</v>
      </c>
      <c r="B4182" t="s">
        <v>281</v>
      </c>
      <c r="C4182" t="s">
        <v>7725</v>
      </c>
      <c r="E4182" t="s">
        <v>21802</v>
      </c>
      <c r="F4182" t="s">
        <v>30900</v>
      </c>
      <c r="G4182" t="s">
        <v>30908</v>
      </c>
      <c r="H4182" t="s">
        <v>30917</v>
      </c>
      <c r="I4182" t="s">
        <v>5830</v>
      </c>
      <c r="J4182" t="s">
        <v>33900</v>
      </c>
      <c r="K4182" t="s">
        <v>40283</v>
      </c>
      <c r="M4182" t="s">
        <v>40828</v>
      </c>
      <c r="N4182" t="s">
        <v>44759</v>
      </c>
      <c r="O4182" t="s">
        <v>44760</v>
      </c>
      <c r="P4182">
        <v>0</v>
      </c>
      <c r="Q4182">
        <v>9</v>
      </c>
      <c r="R4182" t="s">
        <v>44763</v>
      </c>
      <c r="S4182" t="s">
        <v>44876</v>
      </c>
      <c r="T4182" t="s">
        <v>46415</v>
      </c>
      <c r="U4182" t="s">
        <v>50432</v>
      </c>
      <c r="W4182" t="s">
        <v>40828</v>
      </c>
      <c r="X4182" t="s">
        <v>44767</v>
      </c>
    </row>
    <row r="4183" spans="1:24">
      <c r="A4183">
        <f>HYPERLINK("https://www.philgeps.gov.ph/GEPSNONPILOT/Tender/SplashBidNoticeAbstractUI.aspx?menuIndex=3&amp;refID=7146224&amp;Result=3","7146224")</f>
        <v>0</v>
      </c>
      <c r="B4183" t="s">
        <v>1605</v>
      </c>
      <c r="C4183" t="s">
        <v>7726</v>
      </c>
      <c r="E4183" t="s">
        <v>21803</v>
      </c>
      <c r="F4183" t="s">
        <v>30900</v>
      </c>
      <c r="G4183" t="s">
        <v>30907</v>
      </c>
      <c r="H4183" t="s">
        <v>30915</v>
      </c>
      <c r="I4183" t="s">
        <v>30919</v>
      </c>
      <c r="J4183" t="s">
        <v>31066</v>
      </c>
      <c r="K4183" t="s">
        <v>40280</v>
      </c>
      <c r="M4183" t="s">
        <v>42255</v>
      </c>
      <c r="N4183" t="s">
        <v>44759</v>
      </c>
      <c r="O4183" t="s">
        <v>44760</v>
      </c>
      <c r="P4183">
        <v>0</v>
      </c>
      <c r="Q4183">
        <v>0</v>
      </c>
      <c r="R4183" t="s">
        <v>44763</v>
      </c>
      <c r="S4183" t="s">
        <v>44876</v>
      </c>
      <c r="T4183" t="s">
        <v>46357</v>
      </c>
      <c r="U4183" t="s">
        <v>50400</v>
      </c>
      <c r="W4183" t="s">
        <v>42255</v>
      </c>
      <c r="X4183" t="s">
        <v>44767</v>
      </c>
    </row>
    <row r="4184" spans="1:24">
      <c r="A4184">
        <f>HYPERLINK("https://www.philgeps.gov.ph/GEPSNONPILOT/Tender/SplashBidNoticeAbstractUI.aspx?menuIndex=3&amp;refID=7146215&amp;Result=3","7146215")</f>
        <v>0</v>
      </c>
      <c r="B4184" t="s">
        <v>1195</v>
      </c>
      <c r="C4184" t="s">
        <v>7727</v>
      </c>
      <c r="D4184" t="s">
        <v>17987</v>
      </c>
      <c r="E4184" t="s">
        <v>21804</v>
      </c>
      <c r="F4184" t="s">
        <v>30900</v>
      </c>
      <c r="G4184" t="s">
        <v>30908</v>
      </c>
      <c r="H4184" t="s">
        <v>30916</v>
      </c>
      <c r="I4184" t="s">
        <v>8123</v>
      </c>
      <c r="J4184" t="s">
        <v>33901</v>
      </c>
      <c r="K4184" t="s">
        <v>40287</v>
      </c>
      <c r="M4184" t="s">
        <v>41806</v>
      </c>
      <c r="N4184" t="s">
        <v>44759</v>
      </c>
      <c r="O4184" t="s">
        <v>44760</v>
      </c>
      <c r="P4184">
        <v>0</v>
      </c>
      <c r="Q4184">
        <v>0</v>
      </c>
      <c r="R4184" t="s">
        <v>44763</v>
      </c>
      <c r="S4184" t="s">
        <v>44876</v>
      </c>
      <c r="T4184" t="s">
        <v>46531</v>
      </c>
      <c r="U4184" t="s">
        <v>50433</v>
      </c>
      <c r="W4184" t="s">
        <v>41806</v>
      </c>
      <c r="X4184" t="s">
        <v>44767</v>
      </c>
    </row>
    <row r="4185" spans="1:24">
      <c r="A4185">
        <f>HYPERLINK("https://www.philgeps.gov.ph/GEPSNONPILOT/Tender/SplashBidNoticeAbstractUI.aspx?menuIndex=3&amp;refID=7146193&amp;Result=3","7146193")</f>
        <v>0</v>
      </c>
      <c r="B4185" t="s">
        <v>281</v>
      </c>
      <c r="C4185" t="s">
        <v>7728</v>
      </c>
      <c r="D4185" t="s">
        <v>17952</v>
      </c>
      <c r="E4185" t="s">
        <v>21805</v>
      </c>
      <c r="F4185" t="s">
        <v>30900</v>
      </c>
      <c r="G4185" t="s">
        <v>30908</v>
      </c>
      <c r="H4185" t="s">
        <v>30916</v>
      </c>
      <c r="I4185" t="s">
        <v>6396</v>
      </c>
      <c r="J4185" t="s">
        <v>33902</v>
      </c>
      <c r="K4185" t="s">
        <v>40283</v>
      </c>
      <c r="M4185" t="s">
        <v>40828</v>
      </c>
      <c r="N4185" t="s">
        <v>44759</v>
      </c>
      <c r="O4185" t="s">
        <v>44760</v>
      </c>
      <c r="P4185">
        <v>0</v>
      </c>
      <c r="Q4185">
        <v>4</v>
      </c>
      <c r="R4185" t="s">
        <v>44763</v>
      </c>
      <c r="S4185" t="s">
        <v>44876</v>
      </c>
      <c r="T4185" t="s">
        <v>46393</v>
      </c>
      <c r="U4185" t="s">
        <v>50434</v>
      </c>
      <c r="W4185" t="s">
        <v>40828</v>
      </c>
      <c r="X4185" t="s">
        <v>44767</v>
      </c>
    </row>
    <row r="4186" spans="1:24">
      <c r="A4186">
        <f>HYPERLINK("https://www.philgeps.gov.ph/GEPSNONPILOT/Tender/SplashBidNoticeAbstractUI.aspx?menuIndex=3&amp;refID=7146346&amp;Result=3","7146346")</f>
        <v>0</v>
      </c>
      <c r="B4186" t="s">
        <v>1314</v>
      </c>
      <c r="C4186" t="s">
        <v>7729</v>
      </c>
      <c r="D4186" t="s">
        <v>18019</v>
      </c>
      <c r="E4186" t="s">
        <v>21806</v>
      </c>
      <c r="F4186" t="s">
        <v>30900</v>
      </c>
      <c r="G4186" t="s">
        <v>30908</v>
      </c>
      <c r="H4186" t="s">
        <v>30916</v>
      </c>
      <c r="I4186" t="s">
        <v>4142</v>
      </c>
      <c r="J4186" t="s">
        <v>31337</v>
      </c>
      <c r="K4186" t="s">
        <v>40289</v>
      </c>
      <c r="L4186" t="s">
        <v>1314</v>
      </c>
      <c r="M4186" t="s">
        <v>42251</v>
      </c>
      <c r="N4186" t="s">
        <v>44759</v>
      </c>
      <c r="O4186" t="s">
        <v>44760</v>
      </c>
      <c r="P4186">
        <v>0</v>
      </c>
      <c r="Q4186">
        <v>3</v>
      </c>
      <c r="R4186" t="s">
        <v>44763</v>
      </c>
      <c r="S4186" t="s">
        <v>44876</v>
      </c>
      <c r="T4186" t="s">
        <v>46533</v>
      </c>
      <c r="U4186" t="s">
        <v>50435</v>
      </c>
      <c r="W4186" t="s">
        <v>42251</v>
      </c>
      <c r="X4186" t="s">
        <v>44767</v>
      </c>
    </row>
    <row r="4187" spans="1:24">
      <c r="A4187">
        <f>HYPERLINK("https://www.philgeps.gov.ph/GEPSNONPILOT/Tender/SplashBidNoticeAbstractUI.aspx?menuIndex=3&amp;refID=7146342&amp;Result=3","7146342")</f>
        <v>0</v>
      </c>
      <c r="B4187" t="s">
        <v>1162</v>
      </c>
      <c r="C4187" t="s">
        <v>7730</v>
      </c>
      <c r="D4187" t="s">
        <v>17959</v>
      </c>
      <c r="E4187" t="s">
        <v>21807</v>
      </c>
      <c r="F4187" t="s">
        <v>30900</v>
      </c>
      <c r="G4187" t="s">
        <v>30908</v>
      </c>
      <c r="H4187" t="s">
        <v>30916</v>
      </c>
      <c r="I4187" t="s">
        <v>11785</v>
      </c>
      <c r="J4187" t="s">
        <v>33903</v>
      </c>
      <c r="K4187" t="s">
        <v>40287</v>
      </c>
      <c r="M4187" t="s">
        <v>41799</v>
      </c>
      <c r="N4187" t="s">
        <v>44759</v>
      </c>
      <c r="O4187" t="s">
        <v>44760</v>
      </c>
      <c r="P4187">
        <v>0</v>
      </c>
      <c r="Q4187">
        <v>1</v>
      </c>
      <c r="R4187" t="s">
        <v>44763</v>
      </c>
      <c r="S4187" t="s">
        <v>44876</v>
      </c>
      <c r="T4187" t="s">
        <v>46545</v>
      </c>
      <c r="U4187" t="s">
        <v>50436</v>
      </c>
      <c r="V4187" t="s">
        <v>59414</v>
      </c>
      <c r="W4187" t="s">
        <v>41799</v>
      </c>
      <c r="X4187" t="s">
        <v>44767</v>
      </c>
    </row>
    <row r="4188" spans="1:24">
      <c r="A4188">
        <f>HYPERLINK("https://www.philgeps.gov.ph/GEPSNONPILOT/Tender/SplashBidNoticeAbstractUI.aspx?menuIndex=3&amp;refID=7146324&amp;Result=3","7146324")</f>
        <v>0</v>
      </c>
      <c r="B4188" t="s">
        <v>219</v>
      </c>
      <c r="C4188" t="s">
        <v>4108</v>
      </c>
      <c r="D4188" t="s">
        <v>17955</v>
      </c>
      <c r="E4188" t="s">
        <v>21808</v>
      </c>
      <c r="F4188" t="s">
        <v>30900</v>
      </c>
      <c r="G4188" t="s">
        <v>30908</v>
      </c>
      <c r="H4188" t="s">
        <v>30916</v>
      </c>
      <c r="I4188" t="s">
        <v>4108</v>
      </c>
      <c r="J4188" t="s">
        <v>31363</v>
      </c>
      <c r="K4188" t="s">
        <v>40286</v>
      </c>
      <c r="M4188" t="s">
        <v>40766</v>
      </c>
      <c r="N4188" t="s">
        <v>44759</v>
      </c>
      <c r="O4188" t="s">
        <v>44760</v>
      </c>
      <c r="P4188">
        <v>0</v>
      </c>
      <c r="Q4188">
        <v>0</v>
      </c>
      <c r="R4188" t="s">
        <v>44763</v>
      </c>
      <c r="S4188" t="s">
        <v>44876</v>
      </c>
      <c r="T4188" t="s">
        <v>46548</v>
      </c>
      <c r="U4188" t="s">
        <v>50437</v>
      </c>
      <c r="W4188" t="s">
        <v>40766</v>
      </c>
      <c r="X4188" t="s">
        <v>44767</v>
      </c>
    </row>
    <row r="4189" spans="1:24">
      <c r="A4189">
        <f>HYPERLINK("https://www.philgeps.gov.ph/GEPSNONPILOT/Tender/SplashBidNoticeAbstractUI.aspx?menuIndex=3&amp;refID=7146314&amp;Result=3","7146314")</f>
        <v>0</v>
      </c>
      <c r="B4189" t="s">
        <v>1605</v>
      </c>
      <c r="C4189" t="s">
        <v>7731</v>
      </c>
      <c r="D4189" t="s">
        <v>17951</v>
      </c>
      <c r="E4189" t="s">
        <v>21809</v>
      </c>
      <c r="F4189" t="s">
        <v>30900</v>
      </c>
      <c r="G4189" t="s">
        <v>30907</v>
      </c>
      <c r="H4189" t="s">
        <v>30915</v>
      </c>
      <c r="I4189" t="s">
        <v>30919</v>
      </c>
      <c r="J4189" t="s">
        <v>31066</v>
      </c>
      <c r="K4189" t="s">
        <v>40280</v>
      </c>
      <c r="M4189" t="s">
        <v>42255</v>
      </c>
      <c r="N4189" t="s">
        <v>44759</v>
      </c>
      <c r="O4189" t="s">
        <v>44760</v>
      </c>
      <c r="P4189">
        <v>0</v>
      </c>
      <c r="Q4189">
        <v>0</v>
      </c>
      <c r="R4189" t="s">
        <v>44763</v>
      </c>
      <c r="S4189" t="s">
        <v>44876</v>
      </c>
      <c r="T4189" t="s">
        <v>46357</v>
      </c>
      <c r="U4189" t="s">
        <v>50400</v>
      </c>
      <c r="W4189" t="s">
        <v>42255</v>
      </c>
      <c r="X4189" t="s">
        <v>44767</v>
      </c>
    </row>
    <row r="4190" spans="1:24">
      <c r="A4190">
        <f>HYPERLINK("https://www.philgeps.gov.ph/GEPSNONPILOT/Tender/SplashBidNoticeAbstractUI.aspx?menuIndex=3&amp;refID=7146301&amp;Result=3","7146301")</f>
        <v>0</v>
      </c>
      <c r="B4190" t="s">
        <v>219</v>
      </c>
      <c r="C4190" t="s">
        <v>4108</v>
      </c>
      <c r="D4190" t="s">
        <v>17955</v>
      </c>
      <c r="E4190" t="s">
        <v>21810</v>
      </c>
      <c r="F4190" t="s">
        <v>30900</v>
      </c>
      <c r="G4190" t="s">
        <v>30908</v>
      </c>
      <c r="H4190" t="s">
        <v>30916</v>
      </c>
      <c r="I4190" t="s">
        <v>4108</v>
      </c>
      <c r="J4190" t="s">
        <v>33904</v>
      </c>
      <c r="K4190" t="s">
        <v>40293</v>
      </c>
      <c r="M4190" t="s">
        <v>40766</v>
      </c>
      <c r="N4190" t="s">
        <v>44759</v>
      </c>
      <c r="O4190" t="s">
        <v>44760</v>
      </c>
      <c r="P4190">
        <v>0</v>
      </c>
      <c r="Q4190">
        <v>0</v>
      </c>
      <c r="R4190" t="s">
        <v>44763</v>
      </c>
      <c r="S4190" t="s">
        <v>44876</v>
      </c>
      <c r="T4190" t="s">
        <v>46548</v>
      </c>
      <c r="U4190" t="s">
        <v>50438</v>
      </c>
      <c r="W4190" t="s">
        <v>40766</v>
      </c>
      <c r="X4190" t="s">
        <v>44767</v>
      </c>
    </row>
    <row r="4191" spans="1:24">
      <c r="A4191">
        <f>HYPERLINK("https://www.philgeps.gov.ph/GEPSNONPILOT/Tender/SplashBidNoticeAbstractUI.aspx?menuIndex=3&amp;refID=7146045&amp;Result=3","7146045")</f>
        <v>0</v>
      </c>
      <c r="B4191" t="s">
        <v>1615</v>
      </c>
      <c r="C4191" t="s">
        <v>7732</v>
      </c>
      <c r="D4191" t="s">
        <v>18025</v>
      </c>
      <c r="E4191" t="s">
        <v>21811</v>
      </c>
      <c r="F4191" t="s">
        <v>30900</v>
      </c>
      <c r="G4191" t="s">
        <v>30908</v>
      </c>
      <c r="H4191" t="s">
        <v>30917</v>
      </c>
      <c r="I4191" t="s">
        <v>30931</v>
      </c>
      <c r="J4191" t="s">
        <v>33905</v>
      </c>
      <c r="K4191" t="s">
        <v>40284</v>
      </c>
      <c r="M4191" t="s">
        <v>42265</v>
      </c>
      <c r="N4191" t="s">
        <v>44759</v>
      </c>
      <c r="O4191" t="s">
        <v>44760</v>
      </c>
      <c r="P4191">
        <v>0</v>
      </c>
      <c r="Q4191">
        <v>0</v>
      </c>
      <c r="R4191" t="s">
        <v>44763</v>
      </c>
      <c r="S4191" t="s">
        <v>44876</v>
      </c>
      <c r="T4191" t="s">
        <v>46391</v>
      </c>
      <c r="U4191" t="s">
        <v>50439</v>
      </c>
      <c r="W4191" t="s">
        <v>42265</v>
      </c>
      <c r="X4191" t="s">
        <v>44767</v>
      </c>
    </row>
    <row r="4192" spans="1:24">
      <c r="A4192">
        <f>HYPERLINK("https://www.philgeps.gov.ph/GEPSNONPILOT/Tender/SplashBidNoticeAbstractUI.aspx?menuIndex=3&amp;refID=7146178&amp;Result=3","7146178")</f>
        <v>0</v>
      </c>
      <c r="B4192" t="s">
        <v>1616</v>
      </c>
      <c r="C4192" t="s">
        <v>7733</v>
      </c>
      <c r="D4192" t="s">
        <v>17963</v>
      </c>
      <c r="E4192" t="s">
        <v>18282</v>
      </c>
      <c r="F4192" t="s">
        <v>30900</v>
      </c>
      <c r="G4192" t="s">
        <v>30907</v>
      </c>
      <c r="H4192" t="s">
        <v>30915</v>
      </c>
      <c r="I4192" t="s">
        <v>30919</v>
      </c>
      <c r="J4192" t="s">
        <v>31322</v>
      </c>
      <c r="K4192" t="s">
        <v>40286</v>
      </c>
      <c r="M4192" t="s">
        <v>42266</v>
      </c>
      <c r="N4192" t="s">
        <v>44759</v>
      </c>
      <c r="O4192" t="s">
        <v>44760</v>
      </c>
      <c r="P4192">
        <v>0</v>
      </c>
      <c r="Q4192">
        <v>0</v>
      </c>
      <c r="R4192" t="s">
        <v>44763</v>
      </c>
      <c r="S4192" t="s">
        <v>44876</v>
      </c>
      <c r="T4192" t="s">
        <v>46412</v>
      </c>
      <c r="U4192" t="s">
        <v>50440</v>
      </c>
      <c r="W4192" t="s">
        <v>42266</v>
      </c>
      <c r="X4192" t="s">
        <v>44767</v>
      </c>
    </row>
    <row r="4193" spans="1:24">
      <c r="A4193">
        <f>HYPERLINK("https://www.philgeps.gov.ph/GEPSNONPILOT/Tender/SplashBidNoticeAbstractUI.aspx?menuIndex=3&amp;refID=7146146&amp;Result=3","7146146")</f>
        <v>0</v>
      </c>
      <c r="B4193" t="s">
        <v>81</v>
      </c>
      <c r="C4193" t="s">
        <v>7734</v>
      </c>
      <c r="D4193" t="s">
        <v>17959</v>
      </c>
      <c r="E4193" t="s">
        <v>21812</v>
      </c>
      <c r="F4193" t="s">
        <v>30900</v>
      </c>
      <c r="G4193" t="s">
        <v>30906</v>
      </c>
      <c r="H4193" t="s">
        <v>30916</v>
      </c>
      <c r="I4193" t="s">
        <v>10602</v>
      </c>
      <c r="J4193" t="s">
        <v>31297</v>
      </c>
      <c r="K4193" t="s">
        <v>40289</v>
      </c>
      <c r="M4193" t="s">
        <v>41401</v>
      </c>
      <c r="N4193" t="s">
        <v>44759</v>
      </c>
      <c r="O4193" t="s">
        <v>44760</v>
      </c>
      <c r="P4193">
        <v>0</v>
      </c>
      <c r="Q4193">
        <v>4</v>
      </c>
      <c r="R4193" t="s">
        <v>44763</v>
      </c>
      <c r="S4193" t="s">
        <v>44876</v>
      </c>
      <c r="T4193" t="s">
        <v>46399</v>
      </c>
      <c r="U4193" t="s">
        <v>50441</v>
      </c>
      <c r="V4193" t="s">
        <v>59313</v>
      </c>
      <c r="W4193" t="s">
        <v>41401</v>
      </c>
      <c r="X4193" t="s">
        <v>44767</v>
      </c>
    </row>
    <row r="4194" spans="1:24">
      <c r="A4194">
        <f>HYPERLINK("https://www.philgeps.gov.ph/GEPSNONPILOT/Tender/SplashBidNoticeAbstractUI.aspx?menuIndex=3&amp;refID=7146138&amp;Result=3","7146138")</f>
        <v>0</v>
      </c>
      <c r="B4194" t="s">
        <v>1614</v>
      </c>
      <c r="C4194" t="s">
        <v>7735</v>
      </c>
      <c r="D4194" t="s">
        <v>18012</v>
      </c>
      <c r="E4194" t="s">
        <v>21813</v>
      </c>
      <c r="F4194" t="s">
        <v>30900</v>
      </c>
      <c r="G4194" t="s">
        <v>30907</v>
      </c>
      <c r="H4194" t="s">
        <v>30916</v>
      </c>
      <c r="I4194" t="s">
        <v>30961</v>
      </c>
      <c r="J4194" t="s">
        <v>33906</v>
      </c>
      <c r="K4194" t="s">
        <v>40284</v>
      </c>
      <c r="M4194" t="s">
        <v>42264</v>
      </c>
      <c r="N4194" t="s">
        <v>44759</v>
      </c>
      <c r="O4194" t="s">
        <v>44760</v>
      </c>
      <c r="P4194">
        <v>0</v>
      </c>
      <c r="Q4194">
        <v>3</v>
      </c>
      <c r="R4194" t="s">
        <v>44763</v>
      </c>
      <c r="S4194" t="s">
        <v>44876</v>
      </c>
      <c r="T4194" t="s">
        <v>46613</v>
      </c>
      <c r="U4194" t="s">
        <v>50442</v>
      </c>
      <c r="W4194" t="s">
        <v>60869</v>
      </c>
      <c r="X4194" t="s">
        <v>44767</v>
      </c>
    </row>
    <row r="4195" spans="1:24">
      <c r="A4195">
        <f>HYPERLINK("https://www.philgeps.gov.ph/GEPSNONPILOT/Tender/SplashBidNoticeAbstractUI.aspx?menuIndex=3&amp;refID=7146269&amp;Result=3","7146269")</f>
        <v>0</v>
      </c>
      <c r="B4195" t="s">
        <v>281</v>
      </c>
      <c r="C4195" t="s">
        <v>7736</v>
      </c>
      <c r="D4195" t="s">
        <v>17952</v>
      </c>
      <c r="E4195" t="s">
        <v>20812</v>
      </c>
      <c r="F4195" t="s">
        <v>30900</v>
      </c>
      <c r="G4195" t="s">
        <v>30908</v>
      </c>
      <c r="H4195" t="s">
        <v>30916</v>
      </c>
      <c r="I4195" t="s">
        <v>30952</v>
      </c>
      <c r="J4195" t="s">
        <v>33907</v>
      </c>
      <c r="K4195" t="s">
        <v>40283</v>
      </c>
      <c r="M4195" t="s">
        <v>40828</v>
      </c>
      <c r="N4195" t="s">
        <v>44759</v>
      </c>
      <c r="O4195" t="s">
        <v>44760</v>
      </c>
      <c r="P4195">
        <v>0</v>
      </c>
      <c r="Q4195">
        <v>3</v>
      </c>
      <c r="R4195" t="s">
        <v>44763</v>
      </c>
      <c r="S4195" t="s">
        <v>44876</v>
      </c>
      <c r="T4195" t="s">
        <v>46393</v>
      </c>
      <c r="U4195" t="s">
        <v>50443</v>
      </c>
      <c r="W4195" t="s">
        <v>40828</v>
      </c>
      <c r="X4195" t="s">
        <v>44767</v>
      </c>
    </row>
    <row r="4196" spans="1:24">
      <c r="A4196">
        <f>HYPERLINK("https://www.philgeps.gov.ph/GEPSNONPILOT/Tender/SplashBidNoticeAbstractUI.aspx?menuIndex=3&amp;refID=7146015&amp;Result=3","7146015")</f>
        <v>0</v>
      </c>
      <c r="B4196" t="s">
        <v>1601</v>
      </c>
      <c r="C4196" t="s">
        <v>7737</v>
      </c>
      <c r="D4196" t="s">
        <v>17978</v>
      </c>
      <c r="E4196" t="s">
        <v>21814</v>
      </c>
      <c r="F4196" t="s">
        <v>30904</v>
      </c>
      <c r="G4196" t="s">
        <v>30908</v>
      </c>
      <c r="H4196" t="s">
        <v>30916</v>
      </c>
      <c r="I4196" t="s">
        <v>4017</v>
      </c>
      <c r="J4196" t="s">
        <v>33908</v>
      </c>
      <c r="K4196" t="s">
        <v>40287</v>
      </c>
      <c r="M4196" t="s">
        <v>42250</v>
      </c>
      <c r="N4196" t="s">
        <v>44759</v>
      </c>
      <c r="O4196" t="s">
        <v>44760</v>
      </c>
      <c r="P4196">
        <v>0</v>
      </c>
      <c r="Q4196">
        <v>7</v>
      </c>
      <c r="R4196" t="s">
        <v>44763</v>
      </c>
      <c r="S4196" t="s">
        <v>44876</v>
      </c>
      <c r="T4196" t="s">
        <v>46418</v>
      </c>
      <c r="U4196" t="s">
        <v>50444</v>
      </c>
      <c r="W4196" t="s">
        <v>42250</v>
      </c>
      <c r="X4196" t="s">
        <v>44767</v>
      </c>
    </row>
    <row r="4197" spans="1:24">
      <c r="A4197">
        <f>HYPERLINK("https://www.philgeps.gov.ph/GEPSNONPILOT/Tender/SplashBidNoticeAbstractUI.aspx?menuIndex=3&amp;refID=7146123&amp;Result=3","7146123")</f>
        <v>0</v>
      </c>
      <c r="B4197" t="s">
        <v>1614</v>
      </c>
      <c r="C4197" t="s">
        <v>7738</v>
      </c>
      <c r="D4197" t="s">
        <v>18012</v>
      </c>
      <c r="E4197" t="s">
        <v>21815</v>
      </c>
      <c r="F4197" t="s">
        <v>30900</v>
      </c>
      <c r="G4197" t="s">
        <v>30907</v>
      </c>
      <c r="H4197" t="s">
        <v>30916</v>
      </c>
      <c r="I4197" t="s">
        <v>31011</v>
      </c>
      <c r="J4197" t="s">
        <v>32163</v>
      </c>
      <c r="K4197" t="s">
        <v>40284</v>
      </c>
      <c r="M4197" t="s">
        <v>42264</v>
      </c>
      <c r="N4197" t="s">
        <v>44759</v>
      </c>
      <c r="O4197" t="s">
        <v>44760</v>
      </c>
      <c r="P4197">
        <v>0</v>
      </c>
      <c r="Q4197">
        <v>0</v>
      </c>
      <c r="R4197" t="s">
        <v>44763</v>
      </c>
      <c r="S4197" t="s">
        <v>44876</v>
      </c>
      <c r="T4197" t="s">
        <v>46613</v>
      </c>
      <c r="U4197" t="s">
        <v>50445</v>
      </c>
      <c r="W4197" t="s">
        <v>60869</v>
      </c>
      <c r="X4197" t="s">
        <v>44767</v>
      </c>
    </row>
    <row r="4198" spans="1:24">
      <c r="A4198">
        <f>HYPERLINK("https://www.philgeps.gov.ph/GEPSNONPILOT/Tender/SplashBidNoticeAbstractUI.aspx?menuIndex=3&amp;refID=7146033&amp;Result=3","7146033")</f>
        <v>0</v>
      </c>
      <c r="B4198" t="s">
        <v>1603</v>
      </c>
      <c r="C4198" t="s">
        <v>7739</v>
      </c>
      <c r="D4198" t="s">
        <v>17980</v>
      </c>
      <c r="E4198" t="s">
        <v>21816</v>
      </c>
      <c r="F4198" t="s">
        <v>30900</v>
      </c>
      <c r="G4198" t="s">
        <v>30908</v>
      </c>
      <c r="H4198" t="s">
        <v>30916</v>
      </c>
      <c r="I4198" t="s">
        <v>4545</v>
      </c>
      <c r="J4198" t="s">
        <v>31049</v>
      </c>
      <c r="K4198" t="s">
        <v>40284</v>
      </c>
      <c r="M4198" t="s">
        <v>42253</v>
      </c>
      <c r="N4198" t="s">
        <v>44759</v>
      </c>
      <c r="O4198" t="s">
        <v>44760</v>
      </c>
      <c r="P4198">
        <v>0</v>
      </c>
      <c r="Q4198">
        <v>9</v>
      </c>
      <c r="R4198" t="s">
        <v>44763</v>
      </c>
      <c r="S4198" t="s">
        <v>44876</v>
      </c>
      <c r="T4198" t="s">
        <v>46357</v>
      </c>
      <c r="U4198" t="s">
        <v>50446</v>
      </c>
      <c r="V4198" t="s">
        <v>59568</v>
      </c>
      <c r="W4198" t="s">
        <v>42253</v>
      </c>
      <c r="X4198" t="s">
        <v>44767</v>
      </c>
    </row>
    <row r="4199" spans="1:24">
      <c r="A4199">
        <f>HYPERLINK("https://www.philgeps.gov.ph/GEPSNONPILOT/Tender/SplashBidNoticeAbstractUI.aspx?menuIndex=3&amp;refID=7146132&amp;Result=3","7146132")</f>
        <v>0</v>
      </c>
      <c r="B4199" t="s">
        <v>1617</v>
      </c>
      <c r="C4199" t="s">
        <v>7740</v>
      </c>
      <c r="D4199" t="s">
        <v>18019</v>
      </c>
      <c r="E4199" t="s">
        <v>21817</v>
      </c>
      <c r="F4199" t="s">
        <v>30900</v>
      </c>
      <c r="G4199" t="s">
        <v>30908</v>
      </c>
      <c r="H4199" t="s">
        <v>30916</v>
      </c>
      <c r="I4199" t="s">
        <v>4108</v>
      </c>
      <c r="J4199" t="s">
        <v>33909</v>
      </c>
      <c r="K4199" t="s">
        <v>40284</v>
      </c>
      <c r="M4199" t="s">
        <v>42267</v>
      </c>
      <c r="N4199" t="s">
        <v>44759</v>
      </c>
      <c r="O4199" t="s">
        <v>44760</v>
      </c>
      <c r="P4199">
        <v>0</v>
      </c>
      <c r="Q4199">
        <v>1</v>
      </c>
      <c r="R4199" t="s">
        <v>44763</v>
      </c>
      <c r="S4199" t="s">
        <v>44876</v>
      </c>
      <c r="T4199" t="s">
        <v>46661</v>
      </c>
      <c r="U4199" t="s">
        <v>50447</v>
      </c>
      <c r="V4199" t="s">
        <v>59571</v>
      </c>
      <c r="W4199" t="s">
        <v>42267</v>
      </c>
      <c r="X4199" t="s">
        <v>44767</v>
      </c>
    </row>
    <row r="4200" spans="1:24">
      <c r="A4200">
        <f>HYPERLINK("https://www.philgeps.gov.ph/GEPSNONPILOT/Tender/SplashBidNoticeAbstractUI.aspx?menuIndex=3&amp;refID=7145976&amp;Result=3","7145976")</f>
        <v>0</v>
      </c>
      <c r="B4200" t="s">
        <v>1603</v>
      </c>
      <c r="C4200" t="s">
        <v>7741</v>
      </c>
      <c r="D4200" t="s">
        <v>17980</v>
      </c>
      <c r="E4200" t="s">
        <v>21818</v>
      </c>
      <c r="F4200" t="s">
        <v>30900</v>
      </c>
      <c r="G4200" t="s">
        <v>30908</v>
      </c>
      <c r="H4200" t="s">
        <v>30916</v>
      </c>
      <c r="I4200" t="s">
        <v>30934</v>
      </c>
      <c r="J4200" t="s">
        <v>31341</v>
      </c>
      <c r="K4200" t="s">
        <v>40286</v>
      </c>
      <c r="M4200" t="s">
        <v>42253</v>
      </c>
      <c r="N4200" t="s">
        <v>44759</v>
      </c>
      <c r="O4200" t="s">
        <v>44760</v>
      </c>
      <c r="P4200">
        <v>0</v>
      </c>
      <c r="Q4200">
        <v>1</v>
      </c>
      <c r="R4200" t="s">
        <v>44763</v>
      </c>
      <c r="S4200" t="s">
        <v>44876</v>
      </c>
      <c r="T4200" t="s">
        <v>46357</v>
      </c>
      <c r="U4200" t="s">
        <v>50448</v>
      </c>
      <c r="V4200" t="s">
        <v>59568</v>
      </c>
      <c r="W4200" t="s">
        <v>42253</v>
      </c>
      <c r="X4200" t="s">
        <v>44767</v>
      </c>
    </row>
    <row r="4201" spans="1:24">
      <c r="A4201">
        <f>HYPERLINK("https://www.philgeps.gov.ph/GEPSNONPILOT/Tender/SplashBidNoticeAbstractUI.aspx?menuIndex=3&amp;refID=7146376&amp;Result=3","7146376")</f>
        <v>0</v>
      </c>
      <c r="B4201" t="s">
        <v>1618</v>
      </c>
      <c r="C4201" t="s">
        <v>7742</v>
      </c>
      <c r="D4201" t="s">
        <v>17959</v>
      </c>
      <c r="E4201" t="s">
        <v>19026</v>
      </c>
      <c r="F4201" t="s">
        <v>30900</v>
      </c>
      <c r="G4201" t="s">
        <v>30908</v>
      </c>
      <c r="H4201" t="s">
        <v>30916</v>
      </c>
      <c r="I4201" t="s">
        <v>30924</v>
      </c>
      <c r="J4201" t="s">
        <v>31204</v>
      </c>
      <c r="K4201" t="s">
        <v>40283</v>
      </c>
      <c r="M4201" t="s">
        <v>42268</v>
      </c>
      <c r="N4201" t="s">
        <v>44759</v>
      </c>
      <c r="O4201" t="s">
        <v>44760</v>
      </c>
      <c r="P4201">
        <v>0</v>
      </c>
      <c r="Q4201">
        <v>6</v>
      </c>
      <c r="R4201" t="s">
        <v>44763</v>
      </c>
      <c r="S4201" t="s">
        <v>44876</v>
      </c>
      <c r="T4201" t="s">
        <v>46487</v>
      </c>
      <c r="U4201" t="s">
        <v>50449</v>
      </c>
      <c r="W4201" t="s">
        <v>42268</v>
      </c>
      <c r="X4201" t="s">
        <v>44767</v>
      </c>
    </row>
    <row r="4202" spans="1:24">
      <c r="A4202">
        <f>HYPERLINK("https://www.philgeps.gov.ph/GEPSNONPILOT/Tender/SplashBidNoticeAbstractUI.aspx?menuIndex=3&amp;refID=7146177&amp;Result=3","7146177")</f>
        <v>0</v>
      </c>
      <c r="B4202" t="s">
        <v>1614</v>
      </c>
      <c r="C4202" t="s">
        <v>7743</v>
      </c>
      <c r="D4202" t="s">
        <v>18012</v>
      </c>
      <c r="E4202" t="s">
        <v>21819</v>
      </c>
      <c r="F4202" t="s">
        <v>30900</v>
      </c>
      <c r="G4202" t="s">
        <v>30907</v>
      </c>
      <c r="H4202" t="s">
        <v>30916</v>
      </c>
      <c r="I4202" t="s">
        <v>30941</v>
      </c>
      <c r="J4202" t="s">
        <v>33910</v>
      </c>
      <c r="K4202" t="s">
        <v>40284</v>
      </c>
      <c r="M4202" t="s">
        <v>42264</v>
      </c>
      <c r="N4202" t="s">
        <v>44759</v>
      </c>
      <c r="O4202" t="s">
        <v>44760</v>
      </c>
      <c r="P4202">
        <v>0</v>
      </c>
      <c r="Q4202">
        <v>2</v>
      </c>
      <c r="R4202" t="s">
        <v>44763</v>
      </c>
      <c r="S4202" t="s">
        <v>44876</v>
      </c>
      <c r="T4202" t="s">
        <v>46613</v>
      </c>
      <c r="U4202" t="s">
        <v>50450</v>
      </c>
      <c r="W4202" t="s">
        <v>60869</v>
      </c>
      <c r="X4202" t="s">
        <v>44767</v>
      </c>
    </row>
    <row r="4203" spans="1:24">
      <c r="A4203">
        <f>HYPERLINK("https://www.philgeps.gov.ph/GEPSNONPILOT/Tender/SplashBidNoticeAbstractUI.aspx?menuIndex=3&amp;refID=7146451&amp;Result=3","7146451")</f>
        <v>0</v>
      </c>
      <c r="B4203" t="s">
        <v>1619</v>
      </c>
      <c r="C4203" t="s">
        <v>7744</v>
      </c>
      <c r="D4203" t="s">
        <v>17992</v>
      </c>
      <c r="E4203" t="s">
        <v>21820</v>
      </c>
      <c r="F4203" t="s">
        <v>30900</v>
      </c>
      <c r="G4203" t="s">
        <v>30907</v>
      </c>
      <c r="H4203" t="s">
        <v>30915</v>
      </c>
      <c r="I4203" t="s">
        <v>30919</v>
      </c>
      <c r="J4203" t="s">
        <v>31243</v>
      </c>
      <c r="K4203" t="s">
        <v>40286</v>
      </c>
      <c r="M4203" t="s">
        <v>42269</v>
      </c>
      <c r="N4203" t="s">
        <v>44759</v>
      </c>
      <c r="O4203" t="s">
        <v>44760</v>
      </c>
      <c r="P4203">
        <v>0</v>
      </c>
      <c r="Q4203">
        <v>0</v>
      </c>
      <c r="R4203" t="s">
        <v>44763</v>
      </c>
      <c r="S4203" t="s">
        <v>44876</v>
      </c>
      <c r="T4203" t="s">
        <v>46390</v>
      </c>
      <c r="U4203" t="s">
        <v>50451</v>
      </c>
      <c r="W4203" t="s">
        <v>42269</v>
      </c>
      <c r="X4203" t="s">
        <v>44767</v>
      </c>
    </row>
    <row r="4204" spans="1:24">
      <c r="A4204">
        <f>HYPERLINK("https://www.philgeps.gov.ph/GEPSNONPILOT/Tender/SplashBidNoticeAbstractUI.aspx?menuIndex=3&amp;refID=7146481&amp;Result=3","7146481")</f>
        <v>0</v>
      </c>
      <c r="B4204" t="s">
        <v>807</v>
      </c>
      <c r="C4204" t="s">
        <v>7745</v>
      </c>
      <c r="D4204" t="s">
        <v>18015</v>
      </c>
      <c r="E4204" t="s">
        <v>21821</v>
      </c>
      <c r="F4204" t="s">
        <v>30900</v>
      </c>
      <c r="G4204" t="s">
        <v>30908</v>
      </c>
      <c r="H4204" t="s">
        <v>30916</v>
      </c>
      <c r="I4204" t="s">
        <v>8123</v>
      </c>
      <c r="J4204" t="s">
        <v>33911</v>
      </c>
      <c r="K4204" t="s">
        <v>40283</v>
      </c>
      <c r="M4204" t="s">
        <v>41377</v>
      </c>
      <c r="N4204" t="s">
        <v>44759</v>
      </c>
      <c r="O4204" t="s">
        <v>44760</v>
      </c>
      <c r="P4204">
        <v>0</v>
      </c>
      <c r="Q4204">
        <v>0</v>
      </c>
      <c r="R4204" t="s">
        <v>44763</v>
      </c>
      <c r="S4204" t="s">
        <v>44876</v>
      </c>
      <c r="T4204" t="s">
        <v>46533</v>
      </c>
      <c r="U4204" t="s">
        <v>50452</v>
      </c>
      <c r="W4204" t="s">
        <v>41377</v>
      </c>
      <c r="X4204" t="s">
        <v>44767</v>
      </c>
    </row>
    <row r="4205" spans="1:24">
      <c r="A4205">
        <f>HYPERLINK("https://www.philgeps.gov.ph/GEPSNONPILOT/Tender/SplashBidNoticeAbstractUI.aspx?menuIndex=3&amp;refID=7146447&amp;Result=3","7146447")</f>
        <v>0</v>
      </c>
      <c r="B4205" t="s">
        <v>1605</v>
      </c>
      <c r="C4205" t="s">
        <v>7746</v>
      </c>
      <c r="D4205" t="s">
        <v>17951</v>
      </c>
      <c r="E4205" t="s">
        <v>21822</v>
      </c>
      <c r="F4205" t="s">
        <v>30900</v>
      </c>
      <c r="G4205" t="s">
        <v>30907</v>
      </c>
      <c r="H4205" t="s">
        <v>30916</v>
      </c>
      <c r="I4205" t="s">
        <v>30947</v>
      </c>
      <c r="J4205" t="s">
        <v>31577</v>
      </c>
      <c r="K4205" t="s">
        <v>40286</v>
      </c>
      <c r="M4205" t="s">
        <v>42255</v>
      </c>
      <c r="N4205" t="s">
        <v>44759</v>
      </c>
      <c r="O4205" t="s">
        <v>44760</v>
      </c>
      <c r="P4205">
        <v>0</v>
      </c>
      <c r="Q4205">
        <v>0</v>
      </c>
      <c r="R4205" t="s">
        <v>44763</v>
      </c>
      <c r="S4205" t="s">
        <v>44876</v>
      </c>
      <c r="T4205" t="s">
        <v>46377</v>
      </c>
      <c r="U4205" t="s">
        <v>50400</v>
      </c>
      <c r="W4205" t="s">
        <v>42255</v>
      </c>
      <c r="X4205" t="s">
        <v>44767</v>
      </c>
    </row>
    <row r="4206" spans="1:24">
      <c r="A4206">
        <f>HYPERLINK("https://www.philgeps.gov.ph/GEPSNONPILOT/Tender/SplashBidNoticeAbstractUI.aspx?menuIndex=3&amp;refID=7146450&amp;Result=3","7146450")</f>
        <v>0</v>
      </c>
      <c r="B4206" t="s">
        <v>1612</v>
      </c>
      <c r="C4206" t="s">
        <v>7747</v>
      </c>
      <c r="D4206" t="s">
        <v>17981</v>
      </c>
      <c r="E4206" t="s">
        <v>21823</v>
      </c>
      <c r="F4206" t="s">
        <v>30900</v>
      </c>
      <c r="G4206" t="s">
        <v>30908</v>
      </c>
      <c r="H4206" t="s">
        <v>30916</v>
      </c>
      <c r="I4206" t="s">
        <v>9385</v>
      </c>
      <c r="J4206" t="s">
        <v>33912</v>
      </c>
      <c r="K4206" t="s">
        <v>40283</v>
      </c>
      <c r="M4206" t="s">
        <v>42262</v>
      </c>
      <c r="N4206" t="s">
        <v>44759</v>
      </c>
      <c r="O4206" t="s">
        <v>44760</v>
      </c>
      <c r="P4206">
        <v>0</v>
      </c>
      <c r="Q4206">
        <v>4</v>
      </c>
      <c r="R4206" t="s">
        <v>44763</v>
      </c>
      <c r="S4206" t="s">
        <v>44876</v>
      </c>
      <c r="T4206" t="s">
        <v>46391</v>
      </c>
      <c r="U4206" t="s">
        <v>50453</v>
      </c>
      <c r="V4206" t="s">
        <v>59569</v>
      </c>
      <c r="W4206" t="s">
        <v>42262</v>
      </c>
      <c r="X4206" t="s">
        <v>44767</v>
      </c>
    </row>
    <row r="4207" spans="1:24">
      <c r="A4207">
        <f>HYPERLINK("https://www.philgeps.gov.ph/GEPSNONPILOT/Tender/SplashBidNoticeAbstractUI.aspx?menuIndex=3&amp;refID=7146444&amp;Result=3","7146444")</f>
        <v>0</v>
      </c>
      <c r="B4207" t="s">
        <v>1618</v>
      </c>
      <c r="C4207" t="s">
        <v>7748</v>
      </c>
      <c r="D4207" t="s">
        <v>17959</v>
      </c>
      <c r="E4207" t="s">
        <v>21824</v>
      </c>
      <c r="F4207" t="s">
        <v>30900</v>
      </c>
      <c r="G4207" t="s">
        <v>30908</v>
      </c>
      <c r="H4207" t="s">
        <v>30917</v>
      </c>
      <c r="I4207" t="s">
        <v>17295</v>
      </c>
      <c r="J4207" t="s">
        <v>31944</v>
      </c>
      <c r="K4207" t="s">
        <v>40369</v>
      </c>
      <c r="M4207" t="s">
        <v>42268</v>
      </c>
      <c r="N4207" t="s">
        <v>44759</v>
      </c>
      <c r="O4207" t="s">
        <v>44760</v>
      </c>
      <c r="P4207">
        <v>0</v>
      </c>
      <c r="Q4207">
        <v>1</v>
      </c>
      <c r="R4207" t="s">
        <v>44763</v>
      </c>
      <c r="S4207" t="s">
        <v>44876</v>
      </c>
      <c r="T4207" t="s">
        <v>46487</v>
      </c>
      <c r="U4207" t="s">
        <v>50454</v>
      </c>
      <c r="W4207" t="s">
        <v>42268</v>
      </c>
      <c r="X4207" t="s">
        <v>44767</v>
      </c>
    </row>
    <row r="4208" spans="1:24">
      <c r="A4208">
        <f>HYPERLINK("https://www.philgeps.gov.ph/GEPSNONPILOT/Tender/SplashBidNoticeAbstractUI.aspx?menuIndex=3&amp;refID=7146430&amp;Result=3","7146430")</f>
        <v>0</v>
      </c>
      <c r="B4208" t="s">
        <v>701</v>
      </c>
      <c r="C4208" t="s">
        <v>7749</v>
      </c>
      <c r="D4208" t="s">
        <v>17978</v>
      </c>
      <c r="E4208" t="s">
        <v>21825</v>
      </c>
      <c r="F4208" t="s">
        <v>30900</v>
      </c>
      <c r="G4208" t="s">
        <v>30908</v>
      </c>
      <c r="H4208" t="s">
        <v>30916</v>
      </c>
      <c r="I4208" t="s">
        <v>10602</v>
      </c>
      <c r="J4208" t="s">
        <v>31810</v>
      </c>
      <c r="K4208" t="s">
        <v>40287</v>
      </c>
      <c r="M4208" t="s">
        <v>41265</v>
      </c>
      <c r="N4208" t="s">
        <v>44759</v>
      </c>
      <c r="O4208" t="s">
        <v>44760</v>
      </c>
      <c r="P4208">
        <v>0</v>
      </c>
      <c r="Q4208">
        <v>1</v>
      </c>
      <c r="R4208" t="s">
        <v>44763</v>
      </c>
      <c r="S4208" t="s">
        <v>44876</v>
      </c>
      <c r="T4208" t="s">
        <v>46374</v>
      </c>
      <c r="U4208" t="s">
        <v>48181</v>
      </c>
      <c r="W4208" t="s">
        <v>41265</v>
      </c>
      <c r="X4208" t="s">
        <v>44767</v>
      </c>
    </row>
    <row r="4209" spans="1:24">
      <c r="A4209">
        <f>HYPERLINK("https://www.philgeps.gov.ph/GEPSNONPILOT/Tender/SplashBidNoticeAbstractUI.aspx?menuIndex=3&amp;refID=7146402&amp;Result=3","7146402")</f>
        <v>0</v>
      </c>
      <c r="B4209" t="s">
        <v>1314</v>
      </c>
      <c r="C4209" t="s">
        <v>7750</v>
      </c>
      <c r="D4209" t="s">
        <v>18019</v>
      </c>
      <c r="E4209" t="s">
        <v>21826</v>
      </c>
      <c r="F4209" t="s">
        <v>30900</v>
      </c>
      <c r="G4209" t="s">
        <v>30908</v>
      </c>
      <c r="H4209" t="s">
        <v>30916</v>
      </c>
      <c r="I4209" t="s">
        <v>6396</v>
      </c>
      <c r="J4209" t="s">
        <v>31112</v>
      </c>
      <c r="K4209" t="s">
        <v>40289</v>
      </c>
      <c r="L4209" t="s">
        <v>1314</v>
      </c>
      <c r="M4209" t="s">
        <v>42251</v>
      </c>
      <c r="N4209" t="s">
        <v>44759</v>
      </c>
      <c r="O4209" t="s">
        <v>44760</v>
      </c>
      <c r="P4209">
        <v>0</v>
      </c>
      <c r="Q4209">
        <v>4</v>
      </c>
      <c r="R4209" t="s">
        <v>44763</v>
      </c>
      <c r="S4209" t="s">
        <v>44876</v>
      </c>
      <c r="T4209" t="s">
        <v>46533</v>
      </c>
      <c r="U4209" t="s">
        <v>50455</v>
      </c>
      <c r="W4209" t="s">
        <v>42251</v>
      </c>
      <c r="X4209" t="s">
        <v>44767</v>
      </c>
    </row>
    <row r="4210" spans="1:24">
      <c r="A4210">
        <f>HYPERLINK("https://www.philgeps.gov.ph/GEPSNONPILOT/Tender/SplashBidNoticeAbstractUI.aspx?menuIndex=3&amp;refID=7146475&amp;Result=3","7146475")</f>
        <v>0</v>
      </c>
      <c r="B4210" t="s">
        <v>1314</v>
      </c>
      <c r="C4210" t="s">
        <v>7751</v>
      </c>
      <c r="D4210" t="s">
        <v>18019</v>
      </c>
      <c r="E4210" t="s">
        <v>21827</v>
      </c>
      <c r="F4210" t="s">
        <v>30900</v>
      </c>
      <c r="G4210" t="s">
        <v>30908</v>
      </c>
      <c r="H4210" t="s">
        <v>30916</v>
      </c>
      <c r="I4210" t="s">
        <v>6746</v>
      </c>
      <c r="J4210" t="s">
        <v>32794</v>
      </c>
      <c r="K4210" t="s">
        <v>40289</v>
      </c>
      <c r="L4210" t="s">
        <v>1314</v>
      </c>
      <c r="M4210" t="s">
        <v>42251</v>
      </c>
      <c r="N4210" t="s">
        <v>44759</v>
      </c>
      <c r="O4210" t="s">
        <v>44760</v>
      </c>
      <c r="P4210">
        <v>0</v>
      </c>
      <c r="Q4210">
        <v>0</v>
      </c>
      <c r="R4210" t="s">
        <v>44763</v>
      </c>
      <c r="S4210" t="s">
        <v>44876</v>
      </c>
      <c r="T4210" t="s">
        <v>46533</v>
      </c>
      <c r="U4210" t="s">
        <v>50456</v>
      </c>
      <c r="W4210" t="s">
        <v>42251</v>
      </c>
      <c r="X4210" t="s">
        <v>44767</v>
      </c>
    </row>
    <row r="4211" spans="1:24">
      <c r="A4211">
        <f>HYPERLINK("https://www.philgeps.gov.ph/GEPSNONPILOT/Tender/SplashBidNoticeAbstractUI.aspx?menuIndex=3&amp;refID=7146496&amp;Result=3","7146496")</f>
        <v>0</v>
      </c>
      <c r="B4211" t="s">
        <v>1605</v>
      </c>
      <c r="C4211" t="s">
        <v>7752</v>
      </c>
      <c r="D4211" t="s">
        <v>17951</v>
      </c>
      <c r="E4211" t="s">
        <v>21828</v>
      </c>
      <c r="F4211" t="s">
        <v>30900</v>
      </c>
      <c r="G4211" t="s">
        <v>30907</v>
      </c>
      <c r="H4211" t="s">
        <v>30916</v>
      </c>
      <c r="I4211" t="s">
        <v>30933</v>
      </c>
      <c r="J4211" t="s">
        <v>32329</v>
      </c>
      <c r="K4211" t="s">
        <v>40286</v>
      </c>
      <c r="M4211" t="s">
        <v>42255</v>
      </c>
      <c r="N4211" t="s">
        <v>44759</v>
      </c>
      <c r="O4211" t="s">
        <v>44760</v>
      </c>
      <c r="P4211">
        <v>0</v>
      </c>
      <c r="Q4211">
        <v>2</v>
      </c>
      <c r="R4211" t="s">
        <v>44763</v>
      </c>
      <c r="S4211" t="s">
        <v>44876</v>
      </c>
      <c r="T4211" t="s">
        <v>46377</v>
      </c>
      <c r="U4211" t="s">
        <v>50400</v>
      </c>
      <c r="W4211" t="s">
        <v>42255</v>
      </c>
      <c r="X4211" t="s">
        <v>44767</v>
      </c>
    </row>
    <row r="4212" spans="1:24">
      <c r="A4212">
        <f>HYPERLINK("https://www.philgeps.gov.ph/GEPSNONPILOT/Tender/SplashBidNoticeAbstractUI.aspx?menuIndex=3&amp;refID=7146494&amp;Result=3","7146494")</f>
        <v>0</v>
      </c>
      <c r="B4212" t="s">
        <v>1194</v>
      </c>
      <c r="C4212" t="s">
        <v>7753</v>
      </c>
      <c r="D4212" t="s">
        <v>18019</v>
      </c>
      <c r="E4212" t="s">
        <v>21829</v>
      </c>
      <c r="F4212" t="s">
        <v>30900</v>
      </c>
      <c r="G4212" t="s">
        <v>30908</v>
      </c>
      <c r="H4212" t="s">
        <v>30916</v>
      </c>
      <c r="I4212" t="s">
        <v>4545</v>
      </c>
      <c r="J4212" t="s">
        <v>32658</v>
      </c>
      <c r="K4212" t="s">
        <v>40293</v>
      </c>
      <c r="M4212" t="s">
        <v>41805</v>
      </c>
      <c r="N4212" t="s">
        <v>44759</v>
      </c>
      <c r="O4212" t="s">
        <v>44760</v>
      </c>
      <c r="P4212">
        <v>0</v>
      </c>
      <c r="Q4212">
        <v>0</v>
      </c>
      <c r="R4212" t="s">
        <v>44763</v>
      </c>
      <c r="S4212" t="s">
        <v>44876</v>
      </c>
      <c r="T4212" t="s">
        <v>46398</v>
      </c>
      <c r="U4212" t="s">
        <v>50413</v>
      </c>
      <c r="W4212" t="s">
        <v>41805</v>
      </c>
      <c r="X4212" t="s">
        <v>44767</v>
      </c>
    </row>
    <row r="4213" spans="1:24">
      <c r="A4213">
        <f>HYPERLINK("https://www.philgeps.gov.ph/GEPSNONPILOT/Tender/SplashBidNoticeAbstractUI.aspx?menuIndex=3&amp;refID=7146443&amp;Result=3","7146443")</f>
        <v>0</v>
      </c>
      <c r="B4213" t="s">
        <v>1194</v>
      </c>
      <c r="C4213" t="s">
        <v>7754</v>
      </c>
      <c r="D4213" t="s">
        <v>18019</v>
      </c>
      <c r="E4213" t="s">
        <v>21830</v>
      </c>
      <c r="F4213" t="s">
        <v>30900</v>
      </c>
      <c r="G4213" t="s">
        <v>30908</v>
      </c>
      <c r="H4213" t="s">
        <v>30916</v>
      </c>
      <c r="I4213" t="s">
        <v>4545</v>
      </c>
      <c r="J4213" t="s">
        <v>32658</v>
      </c>
      <c r="K4213" t="s">
        <v>40293</v>
      </c>
      <c r="M4213" t="s">
        <v>41805</v>
      </c>
      <c r="N4213" t="s">
        <v>44759</v>
      </c>
      <c r="O4213" t="s">
        <v>44760</v>
      </c>
      <c r="P4213">
        <v>0</v>
      </c>
      <c r="Q4213">
        <v>0</v>
      </c>
      <c r="R4213" t="s">
        <v>44763</v>
      </c>
      <c r="S4213" t="s">
        <v>44876</v>
      </c>
      <c r="T4213" t="s">
        <v>46398</v>
      </c>
      <c r="U4213" t="s">
        <v>50413</v>
      </c>
      <c r="W4213" t="s">
        <v>41805</v>
      </c>
      <c r="X4213" t="s">
        <v>44767</v>
      </c>
    </row>
    <row r="4214" spans="1:24">
      <c r="A4214">
        <f>HYPERLINK("https://www.philgeps.gov.ph/GEPSNONPILOT/Tender/SplashBidNoticeAbstractUI.aspx?menuIndex=3&amp;refID=7146487&amp;Result=3","7146487")</f>
        <v>0</v>
      </c>
      <c r="B4214" t="s">
        <v>219</v>
      </c>
      <c r="C4214" t="s">
        <v>4108</v>
      </c>
      <c r="D4214" t="s">
        <v>17955</v>
      </c>
      <c r="E4214" t="s">
        <v>21831</v>
      </c>
      <c r="F4214" t="s">
        <v>30900</v>
      </c>
      <c r="G4214" t="s">
        <v>30908</v>
      </c>
      <c r="H4214" t="s">
        <v>30916</v>
      </c>
      <c r="I4214" t="s">
        <v>4108</v>
      </c>
      <c r="J4214" t="s">
        <v>33913</v>
      </c>
      <c r="K4214" t="s">
        <v>40286</v>
      </c>
      <c r="M4214" t="s">
        <v>40766</v>
      </c>
      <c r="N4214" t="s">
        <v>44759</v>
      </c>
      <c r="O4214" t="s">
        <v>44760</v>
      </c>
      <c r="P4214">
        <v>0</v>
      </c>
      <c r="Q4214">
        <v>0</v>
      </c>
      <c r="R4214" t="s">
        <v>44763</v>
      </c>
      <c r="S4214" t="s">
        <v>44876</v>
      </c>
      <c r="T4214" t="s">
        <v>46548</v>
      </c>
      <c r="U4214" t="s">
        <v>50457</v>
      </c>
      <c r="W4214" t="s">
        <v>40766</v>
      </c>
      <c r="X4214" t="s">
        <v>44767</v>
      </c>
    </row>
    <row r="4215" spans="1:24">
      <c r="A4215">
        <f>HYPERLINK("https://www.philgeps.gov.ph/GEPSNONPILOT/Tender/SplashBidNoticeAbstractUI.aspx?menuIndex=3&amp;refID=7146500&amp;Result=3","7146500")</f>
        <v>0</v>
      </c>
      <c r="B4215" t="s">
        <v>1191</v>
      </c>
      <c r="C4215" t="s">
        <v>7755</v>
      </c>
      <c r="D4215" t="s">
        <v>17980</v>
      </c>
      <c r="E4215" t="s">
        <v>21832</v>
      </c>
      <c r="F4215" t="s">
        <v>30900</v>
      </c>
      <c r="G4215" t="s">
        <v>30907</v>
      </c>
      <c r="H4215" t="s">
        <v>30916</v>
      </c>
      <c r="I4215" t="s">
        <v>8021</v>
      </c>
      <c r="J4215" t="s">
        <v>33914</v>
      </c>
      <c r="K4215" t="s">
        <v>40286</v>
      </c>
      <c r="M4215" t="s">
        <v>41801</v>
      </c>
      <c r="N4215" t="s">
        <v>44759</v>
      </c>
      <c r="O4215" t="s">
        <v>44760</v>
      </c>
      <c r="P4215">
        <v>0</v>
      </c>
      <c r="Q4215">
        <v>0</v>
      </c>
      <c r="R4215" t="s">
        <v>44763</v>
      </c>
      <c r="S4215" t="s">
        <v>44876</v>
      </c>
      <c r="T4215" t="s">
        <v>46389</v>
      </c>
      <c r="U4215" t="s">
        <v>50458</v>
      </c>
      <c r="W4215" t="s">
        <v>41801</v>
      </c>
      <c r="X4215" t="s">
        <v>44767</v>
      </c>
    </row>
    <row r="4216" spans="1:24">
      <c r="A4216">
        <f>HYPERLINK("https://www.philgeps.gov.ph/GEPSNONPILOT/Tender/SplashBidNoticeAbstractUI.aspx?menuIndex=3&amp;refID=7146486&amp;Result=3","7146486")</f>
        <v>0</v>
      </c>
      <c r="B4216" t="s">
        <v>1193</v>
      </c>
      <c r="C4216" t="s">
        <v>7756</v>
      </c>
      <c r="D4216" t="s">
        <v>17954</v>
      </c>
      <c r="E4216" t="s">
        <v>21833</v>
      </c>
      <c r="F4216" t="s">
        <v>30900</v>
      </c>
      <c r="G4216" t="s">
        <v>30908</v>
      </c>
      <c r="H4216" t="s">
        <v>30916</v>
      </c>
      <c r="I4216" t="s">
        <v>4545</v>
      </c>
      <c r="J4216" t="s">
        <v>32288</v>
      </c>
      <c r="K4216" t="s">
        <v>40284</v>
      </c>
      <c r="M4216" t="s">
        <v>41804</v>
      </c>
      <c r="N4216" t="s">
        <v>44759</v>
      </c>
      <c r="O4216" t="s">
        <v>44760</v>
      </c>
      <c r="P4216">
        <v>0</v>
      </c>
      <c r="Q4216">
        <v>0</v>
      </c>
      <c r="R4216" t="s">
        <v>44763</v>
      </c>
      <c r="S4216" t="s">
        <v>44876</v>
      </c>
      <c r="T4216" t="s">
        <v>46403</v>
      </c>
      <c r="U4216" t="s">
        <v>50459</v>
      </c>
      <c r="W4216" t="s">
        <v>41804</v>
      </c>
      <c r="X4216" t="s">
        <v>44767</v>
      </c>
    </row>
    <row r="4217" spans="1:24">
      <c r="A4217">
        <f>HYPERLINK("https://www.philgeps.gov.ph/GEPSNONPILOT/Tender/SplashBidNoticeAbstractUI.aspx?menuIndex=3&amp;refID=7146511&amp;Result=3","7146511")</f>
        <v>0</v>
      </c>
      <c r="B4217" t="s">
        <v>219</v>
      </c>
      <c r="C4217" t="s">
        <v>4108</v>
      </c>
      <c r="D4217" t="s">
        <v>17955</v>
      </c>
      <c r="E4217" t="s">
        <v>21834</v>
      </c>
      <c r="F4217" t="s">
        <v>30900</v>
      </c>
      <c r="G4217" t="s">
        <v>30908</v>
      </c>
      <c r="H4217" t="s">
        <v>30916</v>
      </c>
      <c r="I4217" t="s">
        <v>4108</v>
      </c>
      <c r="J4217" t="s">
        <v>33915</v>
      </c>
      <c r="K4217" t="s">
        <v>40286</v>
      </c>
      <c r="M4217" t="s">
        <v>40766</v>
      </c>
      <c r="N4217" t="s">
        <v>44759</v>
      </c>
      <c r="O4217" t="s">
        <v>44760</v>
      </c>
      <c r="P4217">
        <v>0</v>
      </c>
      <c r="Q4217">
        <v>0</v>
      </c>
      <c r="R4217" t="s">
        <v>44763</v>
      </c>
      <c r="S4217" t="s">
        <v>44876</v>
      </c>
      <c r="T4217" t="s">
        <v>46548</v>
      </c>
      <c r="U4217" t="s">
        <v>50460</v>
      </c>
      <c r="W4217" t="s">
        <v>40766</v>
      </c>
      <c r="X4217" t="s">
        <v>44767</v>
      </c>
    </row>
    <row r="4218" spans="1:24">
      <c r="A4218">
        <f>HYPERLINK("https://www.philgeps.gov.ph/GEPSNONPILOT/Tender/SplashBidNoticeAbstractUI.aspx?menuIndex=3&amp;refID=7146493&amp;Result=3","7146493")</f>
        <v>0</v>
      </c>
      <c r="B4218" t="s">
        <v>948</v>
      </c>
      <c r="C4218" t="s">
        <v>7757</v>
      </c>
      <c r="D4218" t="s">
        <v>17953</v>
      </c>
      <c r="E4218" t="s">
        <v>21835</v>
      </c>
      <c r="F4218" t="s">
        <v>30900</v>
      </c>
      <c r="G4218" t="s">
        <v>30908</v>
      </c>
      <c r="H4218" t="s">
        <v>30916</v>
      </c>
      <c r="I4218" t="s">
        <v>10847</v>
      </c>
      <c r="J4218" t="s">
        <v>31498</v>
      </c>
      <c r="K4218" t="s">
        <v>40289</v>
      </c>
      <c r="M4218" t="s">
        <v>42270</v>
      </c>
      <c r="N4218" t="s">
        <v>44759</v>
      </c>
      <c r="O4218" t="s">
        <v>44760</v>
      </c>
      <c r="P4218">
        <v>0</v>
      </c>
      <c r="Q4218">
        <v>0</v>
      </c>
      <c r="R4218" t="s">
        <v>44763</v>
      </c>
      <c r="S4218" t="s">
        <v>44876</v>
      </c>
      <c r="T4218" t="s">
        <v>46391</v>
      </c>
      <c r="U4218" t="s">
        <v>50461</v>
      </c>
      <c r="W4218" t="s">
        <v>42270</v>
      </c>
      <c r="X4218" t="s">
        <v>44767</v>
      </c>
    </row>
    <row r="4219" spans="1:24">
      <c r="A4219">
        <f>HYPERLINK("https://www.philgeps.gov.ph/GEPSNONPILOT/Tender/SplashBidNoticeAbstractUI.aspx?menuIndex=3&amp;refID=7146539&amp;Result=3","7146539")</f>
        <v>0</v>
      </c>
      <c r="B4219" t="s">
        <v>1605</v>
      </c>
      <c r="C4219" t="s">
        <v>7758</v>
      </c>
      <c r="E4219" t="s">
        <v>21836</v>
      </c>
      <c r="F4219" t="s">
        <v>30900</v>
      </c>
      <c r="G4219" t="s">
        <v>30907</v>
      </c>
      <c r="H4219" t="s">
        <v>30916</v>
      </c>
      <c r="I4219" t="s">
        <v>30923</v>
      </c>
      <c r="J4219" t="s">
        <v>32601</v>
      </c>
      <c r="K4219" t="s">
        <v>40283</v>
      </c>
      <c r="M4219" t="s">
        <v>42255</v>
      </c>
      <c r="N4219" t="s">
        <v>44759</v>
      </c>
      <c r="O4219" t="s">
        <v>44760</v>
      </c>
      <c r="P4219">
        <v>0</v>
      </c>
      <c r="Q4219">
        <v>6</v>
      </c>
      <c r="R4219" t="s">
        <v>44763</v>
      </c>
      <c r="S4219" t="s">
        <v>44876</v>
      </c>
      <c r="T4219" t="s">
        <v>46377</v>
      </c>
      <c r="U4219" t="s">
        <v>50400</v>
      </c>
      <c r="W4219" t="s">
        <v>42255</v>
      </c>
      <c r="X4219" t="s">
        <v>44767</v>
      </c>
    </row>
    <row r="4220" spans="1:24">
      <c r="A4220">
        <f>HYPERLINK("https://www.philgeps.gov.ph/GEPSNONPILOT/Tender/SplashBidNoticeAbstractUI.aspx?menuIndex=3&amp;refID=7145796&amp;Result=3","7145796")</f>
        <v>0</v>
      </c>
      <c r="B4220" t="s">
        <v>1608</v>
      </c>
      <c r="C4220" t="s">
        <v>7698</v>
      </c>
      <c r="D4220" t="s">
        <v>17963</v>
      </c>
      <c r="E4220" t="s">
        <v>21837</v>
      </c>
      <c r="F4220" t="s">
        <v>30900</v>
      </c>
      <c r="G4220" t="s">
        <v>30908</v>
      </c>
      <c r="H4220" t="s">
        <v>30916</v>
      </c>
      <c r="I4220" t="s">
        <v>10847</v>
      </c>
      <c r="J4220" t="s">
        <v>33916</v>
      </c>
      <c r="K4220" t="s">
        <v>40289</v>
      </c>
      <c r="M4220" t="s">
        <v>42258</v>
      </c>
      <c r="N4220" t="s">
        <v>44759</v>
      </c>
      <c r="O4220" t="s">
        <v>44760</v>
      </c>
      <c r="P4220">
        <v>0</v>
      </c>
      <c r="Q4220">
        <v>1</v>
      </c>
      <c r="R4220" t="s">
        <v>44763</v>
      </c>
      <c r="S4220" t="s">
        <v>44876</v>
      </c>
      <c r="T4220" t="s">
        <v>46612</v>
      </c>
      <c r="U4220" t="s">
        <v>50408</v>
      </c>
      <c r="W4220" t="s">
        <v>42258</v>
      </c>
      <c r="X4220" t="s">
        <v>44767</v>
      </c>
    </row>
    <row r="4221" spans="1:24">
      <c r="A4221">
        <f>HYPERLINK("https://www.philgeps.gov.ph/GEPSNONPILOT/Tender/SplashBidNoticeAbstractUI.aspx?menuIndex=3&amp;refID=7146537&amp;Result=3","7146537")</f>
        <v>0</v>
      </c>
      <c r="B4221" t="s">
        <v>948</v>
      </c>
      <c r="C4221" t="s">
        <v>7759</v>
      </c>
      <c r="D4221" t="s">
        <v>17953</v>
      </c>
      <c r="E4221" t="s">
        <v>21838</v>
      </c>
      <c r="F4221" t="s">
        <v>30900</v>
      </c>
      <c r="G4221" t="s">
        <v>30906</v>
      </c>
      <c r="H4221" t="s">
        <v>30916</v>
      </c>
      <c r="I4221" t="s">
        <v>4545</v>
      </c>
      <c r="J4221" t="s">
        <v>33539</v>
      </c>
      <c r="K4221" t="s">
        <v>40289</v>
      </c>
      <c r="M4221" t="s">
        <v>42270</v>
      </c>
      <c r="N4221" t="s">
        <v>44759</v>
      </c>
      <c r="O4221" t="s">
        <v>44760</v>
      </c>
      <c r="P4221">
        <v>0</v>
      </c>
      <c r="Q4221">
        <v>0</v>
      </c>
      <c r="R4221" t="s">
        <v>44763</v>
      </c>
      <c r="S4221" t="s">
        <v>44876</v>
      </c>
      <c r="T4221" t="s">
        <v>46391</v>
      </c>
      <c r="U4221" t="s">
        <v>50461</v>
      </c>
      <c r="W4221" t="s">
        <v>42270</v>
      </c>
      <c r="X4221" t="s">
        <v>44767</v>
      </c>
    </row>
    <row r="4222" spans="1:24">
      <c r="A4222">
        <f>HYPERLINK("https://www.philgeps.gov.ph/GEPSNONPILOT/Tender/SplashBidNoticeAbstractUI.aspx?menuIndex=3&amp;refID=7146535&amp;Result=3","7146535")</f>
        <v>0</v>
      </c>
      <c r="B4222" t="s">
        <v>1603</v>
      </c>
      <c r="C4222" t="s">
        <v>7760</v>
      </c>
      <c r="D4222" t="s">
        <v>17980</v>
      </c>
      <c r="E4222" t="s">
        <v>21839</v>
      </c>
      <c r="F4222" t="s">
        <v>30900</v>
      </c>
      <c r="G4222" t="s">
        <v>30908</v>
      </c>
      <c r="H4222" t="s">
        <v>30916</v>
      </c>
      <c r="I4222" t="s">
        <v>30939</v>
      </c>
      <c r="J4222" t="s">
        <v>33917</v>
      </c>
      <c r="K4222" t="s">
        <v>40319</v>
      </c>
      <c r="M4222" t="s">
        <v>42253</v>
      </c>
      <c r="N4222" t="s">
        <v>44759</v>
      </c>
      <c r="O4222" t="s">
        <v>44760</v>
      </c>
      <c r="P4222">
        <v>0</v>
      </c>
      <c r="Q4222">
        <v>0</v>
      </c>
      <c r="R4222" t="s">
        <v>44763</v>
      </c>
      <c r="S4222" t="s">
        <v>44876</v>
      </c>
      <c r="T4222" t="s">
        <v>46357</v>
      </c>
      <c r="U4222" t="s">
        <v>50462</v>
      </c>
      <c r="V4222" t="s">
        <v>59568</v>
      </c>
      <c r="W4222" t="s">
        <v>42253</v>
      </c>
      <c r="X4222" t="s">
        <v>44767</v>
      </c>
    </row>
    <row r="4223" spans="1:24">
      <c r="A4223">
        <f>HYPERLINK("https://www.philgeps.gov.ph/GEPSNONPILOT/Tender/SplashBidNoticeAbstractUI.aspx?menuIndex=3&amp;refID=7146458&amp;Result=3","7146458")</f>
        <v>0</v>
      </c>
      <c r="B4223" t="s">
        <v>1567</v>
      </c>
      <c r="C4223" t="s">
        <v>7761</v>
      </c>
      <c r="D4223" t="s">
        <v>18006</v>
      </c>
      <c r="E4223" t="s">
        <v>21840</v>
      </c>
      <c r="F4223" t="s">
        <v>30900</v>
      </c>
      <c r="G4223" t="s">
        <v>30908</v>
      </c>
      <c r="H4223" t="s">
        <v>30916</v>
      </c>
      <c r="I4223" t="s">
        <v>6953</v>
      </c>
      <c r="J4223" t="s">
        <v>32028</v>
      </c>
      <c r="K4223" t="s">
        <v>40289</v>
      </c>
      <c r="M4223" t="s">
        <v>42215</v>
      </c>
      <c r="N4223" t="s">
        <v>44759</v>
      </c>
      <c r="O4223" t="s">
        <v>44760</v>
      </c>
      <c r="P4223">
        <v>0</v>
      </c>
      <c r="Q4223">
        <v>0</v>
      </c>
      <c r="R4223" t="s">
        <v>44763</v>
      </c>
      <c r="S4223" t="s">
        <v>44876</v>
      </c>
      <c r="T4223" t="s">
        <v>46374</v>
      </c>
      <c r="U4223" t="s">
        <v>50463</v>
      </c>
      <c r="W4223" t="s">
        <v>42215</v>
      </c>
      <c r="X4223" t="s">
        <v>44767</v>
      </c>
    </row>
    <row r="4224" spans="1:24">
      <c r="A4224">
        <f>HYPERLINK("https://www.philgeps.gov.ph/GEPSNONPILOT/Tender/SplashBidNoticeAbstractUI.aspx?menuIndex=3&amp;refID=7146482&amp;Result=3","7146482")</f>
        <v>0</v>
      </c>
      <c r="B4224" t="s">
        <v>860</v>
      </c>
      <c r="C4224" t="s">
        <v>7762</v>
      </c>
      <c r="D4224" t="s">
        <v>17959</v>
      </c>
      <c r="E4224" t="s">
        <v>21841</v>
      </c>
      <c r="F4224" t="s">
        <v>30900</v>
      </c>
      <c r="G4224" t="s">
        <v>30908</v>
      </c>
      <c r="H4224" t="s">
        <v>30916</v>
      </c>
      <c r="I4224" t="s">
        <v>30955</v>
      </c>
      <c r="J4224" t="s">
        <v>33918</v>
      </c>
      <c r="K4224" t="s">
        <v>40289</v>
      </c>
      <c r="M4224" t="s">
        <v>41433</v>
      </c>
      <c r="N4224" t="s">
        <v>44759</v>
      </c>
      <c r="O4224" t="s">
        <v>44760</v>
      </c>
      <c r="P4224">
        <v>0</v>
      </c>
      <c r="Q4224">
        <v>5</v>
      </c>
      <c r="R4224" t="s">
        <v>44763</v>
      </c>
      <c r="S4224" t="s">
        <v>44876</v>
      </c>
      <c r="T4224" t="s">
        <v>46391</v>
      </c>
      <c r="U4224" t="s">
        <v>50464</v>
      </c>
      <c r="W4224" t="s">
        <v>41433</v>
      </c>
      <c r="X4224" t="s">
        <v>44767</v>
      </c>
    </row>
    <row r="4225" spans="1:24">
      <c r="A4225">
        <f>HYPERLINK("https://www.philgeps.gov.ph/GEPSNONPILOT/Tender/SplashBidNoticeAbstractUI.aspx?menuIndex=3&amp;refID=7146565&amp;Result=3","7146565")</f>
        <v>0</v>
      </c>
      <c r="B4225" t="s">
        <v>372</v>
      </c>
      <c r="C4225" t="s">
        <v>7763</v>
      </c>
      <c r="D4225" t="s">
        <v>17968</v>
      </c>
      <c r="E4225" t="s">
        <v>21842</v>
      </c>
      <c r="F4225" t="s">
        <v>30900</v>
      </c>
      <c r="G4225" t="s">
        <v>30908</v>
      </c>
      <c r="H4225" t="s">
        <v>30916</v>
      </c>
      <c r="I4225" t="s">
        <v>4108</v>
      </c>
      <c r="J4225" t="s">
        <v>33919</v>
      </c>
      <c r="K4225" t="s">
        <v>40284</v>
      </c>
      <c r="M4225" t="s">
        <v>40926</v>
      </c>
      <c r="N4225" t="s">
        <v>44759</v>
      </c>
      <c r="O4225" t="s">
        <v>44760</v>
      </c>
      <c r="P4225">
        <v>0</v>
      </c>
      <c r="Q4225">
        <v>0</v>
      </c>
      <c r="R4225" t="s">
        <v>44763</v>
      </c>
      <c r="S4225" t="s">
        <v>44876</v>
      </c>
      <c r="T4225" t="s">
        <v>46533</v>
      </c>
      <c r="U4225" t="s">
        <v>50465</v>
      </c>
      <c r="W4225" t="s">
        <v>40926</v>
      </c>
      <c r="X4225" t="s">
        <v>44767</v>
      </c>
    </row>
    <row r="4226" spans="1:24">
      <c r="A4226">
        <f>HYPERLINK("https://www.philgeps.gov.ph/GEPSNONPILOT/Tender/SplashBidNoticeAbstractUI.aspx?menuIndex=3&amp;refID=7146554&amp;Result=3","7146554")</f>
        <v>0</v>
      </c>
      <c r="B4226" t="s">
        <v>1314</v>
      </c>
      <c r="C4226" t="s">
        <v>7764</v>
      </c>
      <c r="D4226" t="s">
        <v>18019</v>
      </c>
      <c r="E4226" t="s">
        <v>21843</v>
      </c>
      <c r="F4226" t="s">
        <v>30900</v>
      </c>
      <c r="G4226" t="s">
        <v>30908</v>
      </c>
      <c r="H4226" t="s">
        <v>30916</v>
      </c>
      <c r="I4226" t="s">
        <v>30985</v>
      </c>
      <c r="J4226" t="s">
        <v>33920</v>
      </c>
      <c r="K4226" t="s">
        <v>40289</v>
      </c>
      <c r="L4226" t="s">
        <v>1314</v>
      </c>
      <c r="M4226" t="s">
        <v>42251</v>
      </c>
      <c r="N4226" t="s">
        <v>44759</v>
      </c>
      <c r="O4226" t="s">
        <v>44760</v>
      </c>
      <c r="P4226">
        <v>0</v>
      </c>
      <c r="Q4226">
        <v>2</v>
      </c>
      <c r="R4226" t="s">
        <v>44763</v>
      </c>
      <c r="S4226" t="s">
        <v>44876</v>
      </c>
      <c r="T4226" t="s">
        <v>46533</v>
      </c>
      <c r="U4226" t="s">
        <v>50466</v>
      </c>
      <c r="W4226" t="s">
        <v>42251</v>
      </c>
      <c r="X4226" t="s">
        <v>44767</v>
      </c>
    </row>
    <row r="4227" spans="1:24">
      <c r="A4227">
        <f>HYPERLINK("https://www.philgeps.gov.ph/GEPSNONPILOT/Tender/SplashBidNoticeAbstractUI.aspx?menuIndex=3&amp;refID=7146541&amp;Result=3","7146541")</f>
        <v>0</v>
      </c>
      <c r="B4227" t="s">
        <v>701</v>
      </c>
      <c r="C4227" t="s">
        <v>7765</v>
      </c>
      <c r="D4227" t="s">
        <v>17978</v>
      </c>
      <c r="E4227" t="s">
        <v>21844</v>
      </c>
      <c r="F4227" t="s">
        <v>30900</v>
      </c>
      <c r="G4227" t="s">
        <v>30908</v>
      </c>
      <c r="H4227" t="s">
        <v>30916</v>
      </c>
      <c r="I4227" t="s">
        <v>6396</v>
      </c>
      <c r="J4227" t="s">
        <v>32033</v>
      </c>
      <c r="K4227" t="s">
        <v>40287</v>
      </c>
      <c r="M4227" t="s">
        <v>41265</v>
      </c>
      <c r="N4227" t="s">
        <v>44759</v>
      </c>
      <c r="O4227" t="s">
        <v>44760</v>
      </c>
      <c r="P4227">
        <v>0</v>
      </c>
      <c r="Q4227">
        <v>5</v>
      </c>
      <c r="R4227" t="s">
        <v>44763</v>
      </c>
      <c r="S4227" t="s">
        <v>44876</v>
      </c>
      <c r="T4227" t="s">
        <v>46374</v>
      </c>
      <c r="U4227" t="s">
        <v>48181</v>
      </c>
      <c r="W4227" t="s">
        <v>41265</v>
      </c>
      <c r="X4227" t="s">
        <v>44767</v>
      </c>
    </row>
    <row r="4228" spans="1:24">
      <c r="A4228">
        <f>HYPERLINK("https://www.philgeps.gov.ph/GEPSNONPILOT/Tender/SplashBidNoticeAbstractUI.aspx?menuIndex=3&amp;refID=7146550&amp;Result=3","7146550")</f>
        <v>0</v>
      </c>
      <c r="B4228" t="s">
        <v>1620</v>
      </c>
      <c r="C4228" t="s">
        <v>7766</v>
      </c>
      <c r="D4228" t="s">
        <v>17953</v>
      </c>
      <c r="E4228" t="s">
        <v>21845</v>
      </c>
      <c r="F4228" t="s">
        <v>30900</v>
      </c>
      <c r="G4228" t="s">
        <v>30907</v>
      </c>
      <c r="H4228" t="s">
        <v>30916</v>
      </c>
      <c r="I4228" t="s">
        <v>30933</v>
      </c>
      <c r="J4228" t="s">
        <v>31124</v>
      </c>
      <c r="K4228" t="s">
        <v>40284</v>
      </c>
      <c r="L4228" t="s">
        <v>1620</v>
      </c>
      <c r="M4228" t="s">
        <v>42271</v>
      </c>
      <c r="N4228" t="s">
        <v>44759</v>
      </c>
      <c r="O4228" t="s">
        <v>44760</v>
      </c>
      <c r="P4228">
        <v>0</v>
      </c>
      <c r="Q4228">
        <v>4</v>
      </c>
      <c r="R4228" t="s">
        <v>44763</v>
      </c>
      <c r="S4228" t="s">
        <v>44876</v>
      </c>
      <c r="T4228" t="s">
        <v>46399</v>
      </c>
      <c r="U4228" t="s">
        <v>50467</v>
      </c>
      <c r="W4228" t="s">
        <v>42271</v>
      </c>
      <c r="X4228" t="s">
        <v>44767</v>
      </c>
    </row>
    <row r="4229" spans="1:24">
      <c r="A4229">
        <f>HYPERLINK("https://www.philgeps.gov.ph/GEPSNONPILOT/Tender/SplashBidNoticeAbstractUI.aspx?menuIndex=3&amp;refID=7146545&amp;Result=3","7146545")</f>
        <v>0</v>
      </c>
      <c r="B4229" t="s">
        <v>1194</v>
      </c>
      <c r="C4229" t="s">
        <v>7767</v>
      </c>
      <c r="D4229" t="s">
        <v>18019</v>
      </c>
      <c r="E4229" t="s">
        <v>21846</v>
      </c>
      <c r="F4229" t="s">
        <v>30900</v>
      </c>
      <c r="G4229" t="s">
        <v>30908</v>
      </c>
      <c r="H4229" t="s">
        <v>30916</v>
      </c>
      <c r="I4229" t="s">
        <v>6396</v>
      </c>
      <c r="J4229" t="s">
        <v>33921</v>
      </c>
      <c r="K4229" t="s">
        <v>40286</v>
      </c>
      <c r="M4229" t="s">
        <v>41805</v>
      </c>
      <c r="N4229" t="s">
        <v>44759</v>
      </c>
      <c r="O4229" t="s">
        <v>44760</v>
      </c>
      <c r="P4229">
        <v>0</v>
      </c>
      <c r="Q4229">
        <v>3</v>
      </c>
      <c r="R4229" t="s">
        <v>44763</v>
      </c>
      <c r="S4229" t="s">
        <v>44876</v>
      </c>
      <c r="T4229" t="s">
        <v>46398</v>
      </c>
      <c r="U4229" t="s">
        <v>50413</v>
      </c>
      <c r="W4229" t="s">
        <v>41805</v>
      </c>
      <c r="X4229" t="s">
        <v>44767</v>
      </c>
    </row>
    <row r="4230" spans="1:24">
      <c r="A4230">
        <f>HYPERLINK("https://www.philgeps.gov.ph/GEPSNONPILOT/Tender/SplashBidNoticeAbstractUI.aspx?menuIndex=3&amp;refID=7146536&amp;Result=3","7146536")</f>
        <v>0</v>
      </c>
      <c r="B4230" t="s">
        <v>1187</v>
      </c>
      <c r="C4230" t="s">
        <v>7768</v>
      </c>
      <c r="E4230" t="s">
        <v>21847</v>
      </c>
      <c r="F4230" t="s">
        <v>30900</v>
      </c>
      <c r="G4230" t="s">
        <v>30908</v>
      </c>
      <c r="H4230" t="s">
        <v>30916</v>
      </c>
      <c r="I4230" t="s">
        <v>30957</v>
      </c>
      <c r="J4230" t="s">
        <v>33922</v>
      </c>
      <c r="K4230" t="s">
        <v>40289</v>
      </c>
      <c r="M4230" t="s">
        <v>41796</v>
      </c>
      <c r="N4230" t="s">
        <v>44759</v>
      </c>
      <c r="O4230" t="s">
        <v>44760</v>
      </c>
      <c r="P4230">
        <v>0</v>
      </c>
      <c r="Q4230">
        <v>0</v>
      </c>
      <c r="R4230" t="s">
        <v>44763</v>
      </c>
      <c r="S4230" t="s">
        <v>44876</v>
      </c>
      <c r="T4230" t="s">
        <v>46403</v>
      </c>
      <c r="U4230" t="s">
        <v>50468</v>
      </c>
      <c r="V4230" t="s">
        <v>59427</v>
      </c>
      <c r="W4230" t="s">
        <v>41796</v>
      </c>
      <c r="X4230" t="s">
        <v>44767</v>
      </c>
    </row>
    <row r="4231" spans="1:24">
      <c r="A4231">
        <f>HYPERLINK("https://www.philgeps.gov.ph/GEPSNONPILOT/Tender/SplashBidNoticeAbstractUI.aspx?menuIndex=3&amp;refID=7146529&amp;Result=3","7146529")</f>
        <v>0</v>
      </c>
      <c r="B4231" t="s">
        <v>1193</v>
      </c>
      <c r="C4231" t="s">
        <v>7769</v>
      </c>
      <c r="D4231" t="s">
        <v>17954</v>
      </c>
      <c r="E4231" t="s">
        <v>21848</v>
      </c>
      <c r="F4231" t="s">
        <v>30900</v>
      </c>
      <c r="G4231" t="s">
        <v>30908</v>
      </c>
      <c r="H4231" t="s">
        <v>30916</v>
      </c>
      <c r="I4231" t="s">
        <v>4545</v>
      </c>
      <c r="J4231" t="s">
        <v>31423</v>
      </c>
      <c r="K4231" t="s">
        <v>40284</v>
      </c>
      <c r="M4231" t="s">
        <v>41804</v>
      </c>
      <c r="N4231" t="s">
        <v>44759</v>
      </c>
      <c r="O4231" t="s">
        <v>44760</v>
      </c>
      <c r="P4231">
        <v>0</v>
      </c>
      <c r="Q4231">
        <v>1</v>
      </c>
      <c r="R4231" t="s">
        <v>44763</v>
      </c>
      <c r="S4231" t="s">
        <v>44876</v>
      </c>
      <c r="T4231" t="s">
        <v>46403</v>
      </c>
      <c r="U4231" t="s">
        <v>50469</v>
      </c>
      <c r="W4231" t="s">
        <v>41804</v>
      </c>
      <c r="X4231" t="s">
        <v>44767</v>
      </c>
    </row>
    <row r="4232" spans="1:24">
      <c r="A4232">
        <f>HYPERLINK("https://www.philgeps.gov.ph/GEPSNONPILOT/Tender/SplashBidNoticeAbstractUI.aspx?menuIndex=3&amp;refID=7146547&amp;Result=3","7146547")</f>
        <v>0</v>
      </c>
      <c r="B4232" t="s">
        <v>807</v>
      </c>
      <c r="C4232" t="s">
        <v>7770</v>
      </c>
      <c r="D4232" t="s">
        <v>18015</v>
      </c>
      <c r="E4232" t="s">
        <v>21849</v>
      </c>
      <c r="F4232" t="s">
        <v>30900</v>
      </c>
      <c r="G4232" t="s">
        <v>30908</v>
      </c>
      <c r="H4232" t="s">
        <v>30916</v>
      </c>
      <c r="I4232" t="s">
        <v>8123</v>
      </c>
      <c r="J4232" t="s">
        <v>33923</v>
      </c>
      <c r="K4232" t="s">
        <v>40283</v>
      </c>
      <c r="M4232" t="s">
        <v>41377</v>
      </c>
      <c r="N4232" t="s">
        <v>44759</v>
      </c>
      <c r="O4232" t="s">
        <v>44760</v>
      </c>
      <c r="P4232">
        <v>0</v>
      </c>
      <c r="Q4232">
        <v>0</v>
      </c>
      <c r="R4232" t="s">
        <v>44763</v>
      </c>
      <c r="S4232" t="s">
        <v>44876</v>
      </c>
      <c r="T4232" t="s">
        <v>46533</v>
      </c>
      <c r="U4232" t="s">
        <v>50470</v>
      </c>
      <c r="W4232" t="s">
        <v>41377</v>
      </c>
      <c r="X4232" t="s">
        <v>44767</v>
      </c>
    </row>
    <row r="4233" spans="1:24">
      <c r="A4233">
        <f>HYPERLINK("https://www.philgeps.gov.ph/GEPSNONPILOT/Tender/SplashBidNoticeAbstractUI.aspx?menuIndex=3&amp;refID=7146410&amp;Result=3","7146410")</f>
        <v>0</v>
      </c>
      <c r="B4233" t="s">
        <v>992</v>
      </c>
      <c r="C4233" t="s">
        <v>7771</v>
      </c>
      <c r="D4233" t="s">
        <v>17954</v>
      </c>
      <c r="E4233" t="s">
        <v>21850</v>
      </c>
      <c r="F4233" t="s">
        <v>30900</v>
      </c>
      <c r="G4233" t="s">
        <v>30908</v>
      </c>
      <c r="H4233" t="s">
        <v>30915</v>
      </c>
      <c r="I4233" t="s">
        <v>30948</v>
      </c>
      <c r="J4233" t="s">
        <v>33924</v>
      </c>
      <c r="K4233" t="s">
        <v>40280</v>
      </c>
      <c r="M4233" t="s">
        <v>41673</v>
      </c>
      <c r="N4233" t="s">
        <v>44759</v>
      </c>
      <c r="O4233" t="s">
        <v>44760</v>
      </c>
      <c r="P4233">
        <v>0</v>
      </c>
      <c r="Q4233">
        <v>3</v>
      </c>
      <c r="R4233" t="s">
        <v>44763</v>
      </c>
      <c r="S4233" t="s">
        <v>44876</v>
      </c>
      <c r="T4233" t="s">
        <v>46390</v>
      </c>
      <c r="U4233" t="s">
        <v>50471</v>
      </c>
      <c r="W4233" t="s">
        <v>41673</v>
      </c>
      <c r="X4233" t="s">
        <v>44767</v>
      </c>
    </row>
    <row r="4234" spans="1:24">
      <c r="A4234">
        <f>HYPERLINK("https://www.philgeps.gov.ph/GEPSNONPILOT/Tender/SplashBidNoticeAbstractUI.aspx?menuIndex=3&amp;refID=7146542&amp;Result=3","7146542")</f>
        <v>0</v>
      </c>
      <c r="B4234" t="s">
        <v>1621</v>
      </c>
      <c r="C4234" t="s">
        <v>7772</v>
      </c>
      <c r="D4234" t="s">
        <v>17978</v>
      </c>
      <c r="E4234" t="s">
        <v>21851</v>
      </c>
      <c r="F4234" t="s">
        <v>30900</v>
      </c>
      <c r="G4234" t="s">
        <v>30908</v>
      </c>
      <c r="H4234" t="s">
        <v>30916</v>
      </c>
      <c r="I4234" t="s">
        <v>30947</v>
      </c>
      <c r="J4234" t="s">
        <v>31101</v>
      </c>
      <c r="K4234" t="s">
        <v>40302</v>
      </c>
      <c r="M4234" t="s">
        <v>42272</v>
      </c>
      <c r="N4234" t="s">
        <v>44759</v>
      </c>
      <c r="O4234" t="s">
        <v>44760</v>
      </c>
      <c r="P4234">
        <v>0</v>
      </c>
      <c r="Q4234">
        <v>0</v>
      </c>
      <c r="R4234" t="s">
        <v>44763</v>
      </c>
      <c r="S4234" t="s">
        <v>44876</v>
      </c>
      <c r="T4234" t="s">
        <v>46391</v>
      </c>
      <c r="U4234" t="s">
        <v>50472</v>
      </c>
      <c r="W4234" t="s">
        <v>42272</v>
      </c>
      <c r="X4234" t="s">
        <v>44767</v>
      </c>
    </row>
    <row r="4235" spans="1:24">
      <c r="A4235">
        <f>HYPERLINK("https://www.philgeps.gov.ph/GEPSNONPILOT/Tender/SplashBidNoticeAbstractUI.aspx?menuIndex=3&amp;refID=7146526&amp;Result=3","7146526")</f>
        <v>0</v>
      </c>
      <c r="B4235" t="s">
        <v>424</v>
      </c>
      <c r="C4235" t="s">
        <v>7773</v>
      </c>
      <c r="D4235" t="s">
        <v>17955</v>
      </c>
      <c r="E4235" t="s">
        <v>21852</v>
      </c>
      <c r="F4235" t="s">
        <v>30900</v>
      </c>
      <c r="G4235" t="s">
        <v>30907</v>
      </c>
      <c r="H4235" t="s">
        <v>30915</v>
      </c>
      <c r="I4235" t="s">
        <v>30919</v>
      </c>
      <c r="J4235" t="s">
        <v>33925</v>
      </c>
      <c r="K4235" t="s">
        <v>40308</v>
      </c>
      <c r="M4235" t="s">
        <v>40981</v>
      </c>
      <c r="N4235" t="s">
        <v>44759</v>
      </c>
      <c r="O4235" t="s">
        <v>44760</v>
      </c>
      <c r="P4235">
        <v>0</v>
      </c>
      <c r="Q4235">
        <v>2</v>
      </c>
      <c r="R4235" t="s">
        <v>44763</v>
      </c>
      <c r="S4235" t="s">
        <v>44876</v>
      </c>
      <c r="T4235" t="s">
        <v>46425</v>
      </c>
      <c r="U4235" t="s">
        <v>47629</v>
      </c>
      <c r="W4235" t="s">
        <v>40981</v>
      </c>
      <c r="X4235" t="s">
        <v>44767</v>
      </c>
    </row>
    <row r="4236" spans="1:24">
      <c r="A4236">
        <f>HYPERLINK("https://www.philgeps.gov.ph/GEPSNONPILOT/Tender/SplashBidNoticeAbstractUI.aspx?menuIndex=3&amp;refID=7146455&amp;Result=3","7146455")</f>
        <v>0</v>
      </c>
      <c r="B4236" t="s">
        <v>722</v>
      </c>
      <c r="C4236" t="s">
        <v>5150</v>
      </c>
      <c r="D4236" t="s">
        <v>18002</v>
      </c>
      <c r="E4236" t="s">
        <v>19396</v>
      </c>
      <c r="F4236" t="s">
        <v>30900</v>
      </c>
      <c r="G4236" t="s">
        <v>30909</v>
      </c>
      <c r="H4236" t="s">
        <v>30916</v>
      </c>
      <c r="I4236" t="s">
        <v>4050</v>
      </c>
      <c r="J4236" t="s">
        <v>31243</v>
      </c>
      <c r="K4236" t="s">
        <v>40287</v>
      </c>
      <c r="M4236" t="s">
        <v>41286</v>
      </c>
      <c r="N4236" t="s">
        <v>44759</v>
      </c>
      <c r="O4236" t="s">
        <v>44760</v>
      </c>
      <c r="P4236">
        <v>0</v>
      </c>
      <c r="Q4236">
        <v>9</v>
      </c>
      <c r="R4236" t="s">
        <v>44763</v>
      </c>
      <c r="S4236" t="s">
        <v>44876</v>
      </c>
      <c r="T4236" t="s">
        <v>46662</v>
      </c>
      <c r="U4236" t="s">
        <v>48213</v>
      </c>
      <c r="W4236" t="s">
        <v>41286</v>
      </c>
      <c r="X4236" t="s">
        <v>44767</v>
      </c>
    </row>
    <row r="4237" spans="1:24">
      <c r="A4237">
        <f>HYPERLINK("https://www.philgeps.gov.ph/GEPSNONPILOT/Tender/SplashBidNoticeAbstractUI.aspx?menuIndex=3&amp;refID=7146515&amp;Result=3","7146515")</f>
        <v>0</v>
      </c>
      <c r="B4237" t="s">
        <v>1603</v>
      </c>
      <c r="C4237" t="s">
        <v>7774</v>
      </c>
      <c r="D4237" t="s">
        <v>17980</v>
      </c>
      <c r="E4237" t="s">
        <v>21853</v>
      </c>
      <c r="F4237" t="s">
        <v>30900</v>
      </c>
      <c r="G4237" t="s">
        <v>30908</v>
      </c>
      <c r="H4237" t="s">
        <v>30916</v>
      </c>
      <c r="I4237" t="s">
        <v>4545</v>
      </c>
      <c r="J4237" t="s">
        <v>31096</v>
      </c>
      <c r="K4237" t="s">
        <v>40289</v>
      </c>
      <c r="M4237" t="s">
        <v>42253</v>
      </c>
      <c r="N4237" t="s">
        <v>44759</v>
      </c>
      <c r="O4237" t="s">
        <v>44760</v>
      </c>
      <c r="P4237">
        <v>0</v>
      </c>
      <c r="Q4237">
        <v>6</v>
      </c>
      <c r="R4237" t="s">
        <v>44763</v>
      </c>
      <c r="S4237" t="s">
        <v>44876</v>
      </c>
      <c r="T4237" t="s">
        <v>46357</v>
      </c>
      <c r="U4237" t="s">
        <v>50473</v>
      </c>
      <c r="V4237" t="s">
        <v>59568</v>
      </c>
      <c r="W4237" t="s">
        <v>42253</v>
      </c>
      <c r="X4237" t="s">
        <v>44767</v>
      </c>
    </row>
    <row r="4238" spans="1:24">
      <c r="A4238">
        <f>HYPERLINK("https://www.philgeps.gov.ph/GEPSNONPILOT/Tender/SplashBidNoticeAbstractUI.aspx?menuIndex=3&amp;refID=7146513&amp;Result=3","7146513")</f>
        <v>0</v>
      </c>
      <c r="B4238" t="s">
        <v>948</v>
      </c>
      <c r="C4238" t="s">
        <v>7775</v>
      </c>
      <c r="D4238" t="s">
        <v>17953</v>
      </c>
      <c r="E4238" t="s">
        <v>21854</v>
      </c>
      <c r="F4238" t="s">
        <v>30900</v>
      </c>
      <c r="G4238" t="s">
        <v>30908</v>
      </c>
      <c r="H4238" t="s">
        <v>30916</v>
      </c>
      <c r="I4238" t="s">
        <v>8123</v>
      </c>
      <c r="J4238" t="s">
        <v>32168</v>
      </c>
      <c r="K4238" t="s">
        <v>40289</v>
      </c>
      <c r="M4238" t="s">
        <v>42270</v>
      </c>
      <c r="N4238" t="s">
        <v>44759</v>
      </c>
      <c r="O4238" t="s">
        <v>44760</v>
      </c>
      <c r="P4238">
        <v>0</v>
      </c>
      <c r="Q4238">
        <v>0</v>
      </c>
      <c r="R4238" t="s">
        <v>44763</v>
      </c>
      <c r="S4238" t="s">
        <v>44876</v>
      </c>
      <c r="T4238" t="s">
        <v>46391</v>
      </c>
      <c r="U4238" t="s">
        <v>50461</v>
      </c>
      <c r="W4238" t="s">
        <v>42270</v>
      </c>
      <c r="X4238" t="s">
        <v>44767</v>
      </c>
    </row>
    <row r="4239" spans="1:24">
      <c r="A4239">
        <f>HYPERLINK("https://www.philgeps.gov.ph/GEPSNONPILOT/Tender/SplashBidNoticeAbstractUI.aspx?menuIndex=3&amp;refID=7146573&amp;Result=3","7146573")</f>
        <v>0</v>
      </c>
      <c r="B4239" t="s">
        <v>1621</v>
      </c>
      <c r="C4239" t="s">
        <v>7776</v>
      </c>
      <c r="D4239" t="s">
        <v>17978</v>
      </c>
      <c r="E4239" t="s">
        <v>21855</v>
      </c>
      <c r="F4239" t="s">
        <v>30900</v>
      </c>
      <c r="G4239" t="s">
        <v>30908</v>
      </c>
      <c r="H4239" t="s">
        <v>30916</v>
      </c>
      <c r="I4239" t="s">
        <v>30921</v>
      </c>
      <c r="J4239" t="s">
        <v>32160</v>
      </c>
      <c r="K4239" t="s">
        <v>40283</v>
      </c>
      <c r="M4239" t="s">
        <v>42272</v>
      </c>
      <c r="N4239" t="s">
        <v>44759</v>
      </c>
      <c r="O4239" t="s">
        <v>44760</v>
      </c>
      <c r="P4239">
        <v>0</v>
      </c>
      <c r="Q4239">
        <v>0</v>
      </c>
      <c r="R4239" t="s">
        <v>44763</v>
      </c>
      <c r="S4239" t="s">
        <v>44876</v>
      </c>
      <c r="T4239" t="s">
        <v>46391</v>
      </c>
      <c r="U4239" t="s">
        <v>50474</v>
      </c>
      <c r="W4239" t="s">
        <v>42272</v>
      </c>
      <c r="X4239" t="s">
        <v>44767</v>
      </c>
    </row>
    <row r="4240" spans="1:24">
      <c r="A4240">
        <f>HYPERLINK("https://www.philgeps.gov.ph/GEPSNONPILOT/Tender/SplashBidNoticeAbstractUI.aspx?menuIndex=3&amp;refID=7146613&amp;Result=3","7146613")</f>
        <v>0</v>
      </c>
      <c r="B4240" t="s">
        <v>1314</v>
      </c>
      <c r="C4240" t="s">
        <v>7777</v>
      </c>
      <c r="D4240" t="s">
        <v>18019</v>
      </c>
      <c r="E4240" t="s">
        <v>21856</v>
      </c>
      <c r="F4240" t="s">
        <v>30900</v>
      </c>
      <c r="G4240" t="s">
        <v>30908</v>
      </c>
      <c r="H4240" t="s">
        <v>30916</v>
      </c>
      <c r="I4240" t="s">
        <v>10961</v>
      </c>
      <c r="J4240" t="s">
        <v>33926</v>
      </c>
      <c r="K4240" t="s">
        <v>40289</v>
      </c>
      <c r="L4240" t="s">
        <v>1314</v>
      </c>
      <c r="M4240" t="s">
        <v>42251</v>
      </c>
      <c r="N4240" t="s">
        <v>44759</v>
      </c>
      <c r="O4240" t="s">
        <v>44760</v>
      </c>
      <c r="P4240">
        <v>0</v>
      </c>
      <c r="Q4240">
        <v>2</v>
      </c>
      <c r="R4240" t="s">
        <v>44763</v>
      </c>
      <c r="S4240" t="s">
        <v>44876</v>
      </c>
      <c r="T4240" t="s">
        <v>46533</v>
      </c>
      <c r="U4240" t="s">
        <v>50475</v>
      </c>
      <c r="W4240" t="s">
        <v>42251</v>
      </c>
      <c r="X4240" t="s">
        <v>44767</v>
      </c>
    </row>
    <row r="4241" spans="1:24">
      <c r="A4241">
        <f>HYPERLINK("https://www.philgeps.gov.ph/GEPSNONPILOT/Tender/SplashBidNoticeAbstractUI.aspx?menuIndex=3&amp;refID=7146606&amp;Result=3","7146606")</f>
        <v>0</v>
      </c>
      <c r="B4241" t="s">
        <v>1603</v>
      </c>
      <c r="C4241" t="s">
        <v>7778</v>
      </c>
      <c r="D4241" t="s">
        <v>17980</v>
      </c>
      <c r="E4241" t="s">
        <v>21857</v>
      </c>
      <c r="F4241" t="s">
        <v>30900</v>
      </c>
      <c r="G4241" t="s">
        <v>30908</v>
      </c>
      <c r="H4241" t="s">
        <v>30916</v>
      </c>
      <c r="I4241" t="s">
        <v>30963</v>
      </c>
      <c r="J4241" t="s">
        <v>31341</v>
      </c>
      <c r="K4241" t="s">
        <v>40280</v>
      </c>
      <c r="M4241" t="s">
        <v>42253</v>
      </c>
      <c r="N4241" t="s">
        <v>44759</v>
      </c>
      <c r="O4241" t="s">
        <v>44760</v>
      </c>
      <c r="P4241">
        <v>0</v>
      </c>
      <c r="Q4241">
        <v>5</v>
      </c>
      <c r="R4241" t="s">
        <v>44763</v>
      </c>
      <c r="S4241" t="s">
        <v>44876</v>
      </c>
      <c r="T4241" t="s">
        <v>46357</v>
      </c>
      <c r="U4241" t="s">
        <v>50476</v>
      </c>
      <c r="V4241" t="s">
        <v>59568</v>
      </c>
      <c r="W4241" t="s">
        <v>42253</v>
      </c>
      <c r="X4241" t="s">
        <v>44767</v>
      </c>
    </row>
    <row r="4242" spans="1:24">
      <c r="A4242">
        <f>HYPERLINK("https://www.philgeps.gov.ph/GEPSNONPILOT/Tender/SplashBidNoticeAbstractUI.aspx?menuIndex=3&amp;refID=7146530&amp;Result=3","7146530")</f>
        <v>0</v>
      </c>
      <c r="B4242" t="s">
        <v>1314</v>
      </c>
      <c r="C4242" t="s">
        <v>7779</v>
      </c>
      <c r="D4242" t="s">
        <v>18019</v>
      </c>
      <c r="E4242" t="s">
        <v>21858</v>
      </c>
      <c r="F4242" t="s">
        <v>30900</v>
      </c>
      <c r="G4242" t="s">
        <v>30908</v>
      </c>
      <c r="H4242" t="s">
        <v>30916</v>
      </c>
      <c r="I4242" t="s">
        <v>4545</v>
      </c>
      <c r="J4242" t="s">
        <v>33927</v>
      </c>
      <c r="K4242" t="s">
        <v>40289</v>
      </c>
      <c r="L4242" t="s">
        <v>1314</v>
      </c>
      <c r="M4242" t="s">
        <v>42251</v>
      </c>
      <c r="N4242" t="s">
        <v>44759</v>
      </c>
      <c r="O4242" t="s">
        <v>44760</v>
      </c>
      <c r="P4242">
        <v>0</v>
      </c>
      <c r="Q4242">
        <v>6</v>
      </c>
      <c r="R4242" t="s">
        <v>44763</v>
      </c>
      <c r="S4242" t="s">
        <v>44876</v>
      </c>
      <c r="T4242" t="s">
        <v>46533</v>
      </c>
      <c r="U4242" t="s">
        <v>50477</v>
      </c>
      <c r="W4242" t="s">
        <v>42251</v>
      </c>
      <c r="X4242" t="s">
        <v>44767</v>
      </c>
    </row>
    <row r="4243" spans="1:24">
      <c r="A4243">
        <f>HYPERLINK("https://www.philgeps.gov.ph/GEPSNONPILOT/Tender/SplashBidNoticeAbstractUI.aspx?menuIndex=3&amp;refID=7146604&amp;Result=3","7146604")</f>
        <v>0</v>
      </c>
      <c r="B4243" t="s">
        <v>1621</v>
      </c>
      <c r="C4243" t="s">
        <v>7780</v>
      </c>
      <c r="D4243" t="s">
        <v>17978</v>
      </c>
      <c r="E4243" t="s">
        <v>21859</v>
      </c>
      <c r="F4243" t="s">
        <v>30900</v>
      </c>
      <c r="G4243" t="s">
        <v>30908</v>
      </c>
      <c r="H4243" t="s">
        <v>30916</v>
      </c>
      <c r="I4243" t="s">
        <v>30924</v>
      </c>
      <c r="J4243" t="s">
        <v>31243</v>
      </c>
      <c r="K4243" t="s">
        <v>40293</v>
      </c>
      <c r="M4243" t="s">
        <v>42272</v>
      </c>
      <c r="N4243" t="s">
        <v>44759</v>
      </c>
      <c r="O4243" t="s">
        <v>44760</v>
      </c>
      <c r="P4243">
        <v>0</v>
      </c>
      <c r="Q4243">
        <v>1</v>
      </c>
      <c r="R4243" t="s">
        <v>44763</v>
      </c>
      <c r="S4243" t="s">
        <v>44876</v>
      </c>
      <c r="T4243" t="s">
        <v>46391</v>
      </c>
      <c r="U4243" t="s">
        <v>50478</v>
      </c>
      <c r="W4243" t="s">
        <v>42272</v>
      </c>
      <c r="X4243" t="s">
        <v>44767</v>
      </c>
    </row>
    <row r="4244" spans="1:24">
      <c r="A4244">
        <f>HYPERLINK("https://www.philgeps.gov.ph/GEPSNONPILOT/Tender/SplashBidNoticeAbstractUI.aspx?menuIndex=3&amp;refID=7146591&amp;Result=3","7146591")</f>
        <v>0</v>
      </c>
      <c r="B4244" t="s">
        <v>1605</v>
      </c>
      <c r="C4244" t="s">
        <v>7781</v>
      </c>
      <c r="D4244" t="s">
        <v>17951</v>
      </c>
      <c r="E4244" t="s">
        <v>21860</v>
      </c>
      <c r="F4244" t="s">
        <v>30900</v>
      </c>
      <c r="G4244" t="s">
        <v>30907</v>
      </c>
      <c r="H4244" t="s">
        <v>30916</v>
      </c>
      <c r="I4244" t="s">
        <v>4108</v>
      </c>
      <c r="J4244" t="s">
        <v>31355</v>
      </c>
      <c r="K4244" t="s">
        <v>40283</v>
      </c>
      <c r="M4244" t="s">
        <v>42255</v>
      </c>
      <c r="N4244" t="s">
        <v>44759</v>
      </c>
      <c r="O4244" t="s">
        <v>44760</v>
      </c>
      <c r="P4244">
        <v>0</v>
      </c>
      <c r="Q4244">
        <v>0</v>
      </c>
      <c r="R4244" t="s">
        <v>44763</v>
      </c>
      <c r="S4244" t="s">
        <v>44876</v>
      </c>
      <c r="T4244" t="s">
        <v>46357</v>
      </c>
      <c r="U4244" t="s">
        <v>50400</v>
      </c>
      <c r="W4244" t="s">
        <v>42255</v>
      </c>
      <c r="X4244" t="s">
        <v>44767</v>
      </c>
    </row>
    <row r="4245" spans="1:24">
      <c r="A4245">
        <f>HYPERLINK("https://www.philgeps.gov.ph/GEPSNONPILOT/Tender/SplashBidNoticeAbstractUI.aspx?menuIndex=3&amp;refID=7146521&amp;Result=3","7146521")</f>
        <v>0</v>
      </c>
      <c r="B4245" t="s">
        <v>860</v>
      </c>
      <c r="C4245" t="s">
        <v>7782</v>
      </c>
      <c r="D4245" t="s">
        <v>17959</v>
      </c>
      <c r="E4245" t="s">
        <v>21861</v>
      </c>
      <c r="F4245" t="s">
        <v>30900</v>
      </c>
      <c r="G4245" t="s">
        <v>30908</v>
      </c>
      <c r="H4245" t="s">
        <v>30916</v>
      </c>
      <c r="I4245" t="s">
        <v>30934</v>
      </c>
      <c r="J4245" t="s">
        <v>33928</v>
      </c>
      <c r="K4245" t="s">
        <v>40289</v>
      </c>
      <c r="M4245" t="s">
        <v>41433</v>
      </c>
      <c r="N4245" t="s">
        <v>44759</v>
      </c>
      <c r="O4245" t="s">
        <v>44760</v>
      </c>
      <c r="P4245">
        <v>0</v>
      </c>
      <c r="Q4245">
        <v>3</v>
      </c>
      <c r="R4245" t="s">
        <v>44763</v>
      </c>
      <c r="S4245" t="s">
        <v>44876</v>
      </c>
      <c r="T4245" t="s">
        <v>46391</v>
      </c>
      <c r="U4245" t="s">
        <v>50464</v>
      </c>
      <c r="W4245" t="s">
        <v>41433</v>
      </c>
      <c r="X4245" t="s">
        <v>44767</v>
      </c>
    </row>
    <row r="4246" spans="1:24">
      <c r="A4246">
        <f>HYPERLINK("https://www.philgeps.gov.ph/GEPSNONPILOT/Tender/SplashBidNoticeAbstractUI.aspx?menuIndex=3&amp;refID=7146590&amp;Result=3","7146590")</f>
        <v>0</v>
      </c>
      <c r="B4246" t="s">
        <v>807</v>
      </c>
      <c r="C4246" t="s">
        <v>7783</v>
      </c>
      <c r="D4246" t="s">
        <v>18015</v>
      </c>
      <c r="E4246" t="s">
        <v>21862</v>
      </c>
      <c r="F4246" t="s">
        <v>30900</v>
      </c>
      <c r="G4246" t="s">
        <v>30908</v>
      </c>
      <c r="H4246" t="s">
        <v>30916</v>
      </c>
      <c r="I4246" t="s">
        <v>8123</v>
      </c>
      <c r="J4246" t="s">
        <v>32467</v>
      </c>
      <c r="K4246" t="s">
        <v>40283</v>
      </c>
      <c r="M4246" t="s">
        <v>41377</v>
      </c>
      <c r="N4246" t="s">
        <v>44759</v>
      </c>
      <c r="O4246" t="s">
        <v>44760</v>
      </c>
      <c r="P4246">
        <v>0</v>
      </c>
      <c r="Q4246">
        <v>0</v>
      </c>
      <c r="R4246" t="s">
        <v>44763</v>
      </c>
      <c r="S4246" t="s">
        <v>44876</v>
      </c>
      <c r="T4246" t="s">
        <v>46533</v>
      </c>
      <c r="U4246" t="s">
        <v>50479</v>
      </c>
      <c r="W4246" t="s">
        <v>41377</v>
      </c>
      <c r="X4246" t="s">
        <v>44767</v>
      </c>
    </row>
    <row r="4247" spans="1:24">
      <c r="A4247">
        <f>HYPERLINK("https://www.philgeps.gov.ph/GEPSNONPILOT/Tender/SplashBidNoticeAbstractUI.aspx?menuIndex=3&amp;refID=7146567&amp;Result=3","7146567")</f>
        <v>0</v>
      </c>
      <c r="B4247" t="s">
        <v>1603</v>
      </c>
      <c r="C4247" t="s">
        <v>7784</v>
      </c>
      <c r="D4247" t="s">
        <v>17980</v>
      </c>
      <c r="E4247" t="s">
        <v>21863</v>
      </c>
      <c r="F4247" t="s">
        <v>30900</v>
      </c>
      <c r="G4247" t="s">
        <v>30906</v>
      </c>
      <c r="H4247" t="s">
        <v>30916</v>
      </c>
      <c r="I4247" t="s">
        <v>30939</v>
      </c>
      <c r="J4247" t="s">
        <v>33929</v>
      </c>
      <c r="K4247" t="s">
        <v>40289</v>
      </c>
      <c r="M4247" t="s">
        <v>42253</v>
      </c>
      <c r="N4247" t="s">
        <v>44759</v>
      </c>
      <c r="O4247" t="s">
        <v>44760</v>
      </c>
      <c r="P4247">
        <v>0</v>
      </c>
      <c r="Q4247">
        <v>0</v>
      </c>
      <c r="R4247" t="s">
        <v>44763</v>
      </c>
      <c r="S4247" t="s">
        <v>44876</v>
      </c>
      <c r="T4247" t="s">
        <v>46357</v>
      </c>
      <c r="U4247" t="s">
        <v>50480</v>
      </c>
      <c r="V4247" t="s">
        <v>59568</v>
      </c>
      <c r="W4247" t="s">
        <v>42253</v>
      </c>
      <c r="X4247" t="s">
        <v>44767</v>
      </c>
    </row>
    <row r="4248" spans="1:24">
      <c r="A4248">
        <f>HYPERLINK("https://www.philgeps.gov.ph/GEPSNONPILOT/Tender/SplashBidNoticeAbstractUI.aspx?menuIndex=3&amp;refID=7146611&amp;Result=3","7146611")</f>
        <v>0</v>
      </c>
      <c r="B4248" t="s">
        <v>219</v>
      </c>
      <c r="C4248" t="s">
        <v>4108</v>
      </c>
      <c r="D4248" t="s">
        <v>17955</v>
      </c>
      <c r="E4248" t="s">
        <v>21864</v>
      </c>
      <c r="F4248" t="s">
        <v>30900</v>
      </c>
      <c r="G4248" t="s">
        <v>30908</v>
      </c>
      <c r="H4248" t="s">
        <v>30916</v>
      </c>
      <c r="I4248" t="s">
        <v>4108</v>
      </c>
      <c r="J4248" t="s">
        <v>33930</v>
      </c>
      <c r="K4248" t="s">
        <v>40286</v>
      </c>
      <c r="M4248" t="s">
        <v>40766</v>
      </c>
      <c r="N4248" t="s">
        <v>44759</v>
      </c>
      <c r="O4248" t="s">
        <v>44760</v>
      </c>
      <c r="P4248">
        <v>0</v>
      </c>
      <c r="Q4248">
        <v>0</v>
      </c>
      <c r="R4248" t="s">
        <v>44763</v>
      </c>
      <c r="S4248" t="s">
        <v>44876</v>
      </c>
      <c r="T4248" t="s">
        <v>46623</v>
      </c>
      <c r="U4248" t="s">
        <v>50481</v>
      </c>
      <c r="W4248" t="s">
        <v>40766</v>
      </c>
      <c r="X4248" t="s">
        <v>44767</v>
      </c>
    </row>
    <row r="4249" spans="1:24">
      <c r="A4249">
        <f>HYPERLINK("https://www.philgeps.gov.ph/GEPSNONPILOT/Tender/SplashBidNoticeAbstractUI.aspx?menuIndex=3&amp;refID=7146605&amp;Result=3","7146605")</f>
        <v>0</v>
      </c>
      <c r="B4249" t="s">
        <v>424</v>
      </c>
      <c r="C4249" t="s">
        <v>7785</v>
      </c>
      <c r="D4249" t="s">
        <v>17955</v>
      </c>
      <c r="E4249" t="s">
        <v>21865</v>
      </c>
      <c r="F4249" t="s">
        <v>30900</v>
      </c>
      <c r="G4249" t="s">
        <v>30907</v>
      </c>
      <c r="H4249" t="s">
        <v>30915</v>
      </c>
      <c r="I4249" t="s">
        <v>30919</v>
      </c>
      <c r="J4249" t="s">
        <v>33931</v>
      </c>
      <c r="K4249" t="s">
        <v>40370</v>
      </c>
      <c r="M4249" t="s">
        <v>40981</v>
      </c>
      <c r="N4249" t="s">
        <v>44759</v>
      </c>
      <c r="O4249" t="s">
        <v>44760</v>
      </c>
      <c r="P4249">
        <v>0</v>
      </c>
      <c r="Q4249">
        <v>1</v>
      </c>
      <c r="R4249" t="s">
        <v>44763</v>
      </c>
      <c r="S4249" t="s">
        <v>44876</v>
      </c>
      <c r="T4249" t="s">
        <v>46425</v>
      </c>
      <c r="U4249" t="s">
        <v>47629</v>
      </c>
      <c r="W4249" t="s">
        <v>40981</v>
      </c>
      <c r="X4249" t="s">
        <v>44767</v>
      </c>
    </row>
    <row r="4250" spans="1:24">
      <c r="A4250">
        <f>HYPERLINK("https://www.philgeps.gov.ph/GEPSNONPILOT/Tender/SplashBidNoticeAbstractUI.aspx?menuIndex=3&amp;refID=7146663&amp;Result=3","7146663")</f>
        <v>0</v>
      </c>
      <c r="B4250" t="s">
        <v>1621</v>
      </c>
      <c r="C4250" t="s">
        <v>7786</v>
      </c>
      <c r="D4250" t="s">
        <v>17978</v>
      </c>
      <c r="E4250" t="s">
        <v>21866</v>
      </c>
      <c r="F4250" t="s">
        <v>30900</v>
      </c>
      <c r="G4250" t="s">
        <v>30908</v>
      </c>
      <c r="H4250" t="s">
        <v>30916</v>
      </c>
      <c r="I4250" t="s">
        <v>6408</v>
      </c>
      <c r="J4250" t="s">
        <v>33700</v>
      </c>
      <c r="K4250" t="s">
        <v>40291</v>
      </c>
      <c r="M4250" t="s">
        <v>42272</v>
      </c>
      <c r="N4250" t="s">
        <v>44759</v>
      </c>
      <c r="O4250" t="s">
        <v>44760</v>
      </c>
      <c r="P4250">
        <v>0</v>
      </c>
      <c r="Q4250">
        <v>2</v>
      </c>
      <c r="R4250" t="s">
        <v>44763</v>
      </c>
      <c r="S4250" t="s">
        <v>44876</v>
      </c>
      <c r="T4250" t="s">
        <v>46391</v>
      </c>
      <c r="U4250" t="s">
        <v>50482</v>
      </c>
      <c r="W4250" t="s">
        <v>42272</v>
      </c>
      <c r="X4250" t="s">
        <v>44767</v>
      </c>
    </row>
    <row r="4251" spans="1:24">
      <c r="A4251">
        <f>HYPERLINK("https://www.philgeps.gov.ph/GEPSNONPILOT/Tender/SplashBidNoticeAbstractUI.aspx?menuIndex=3&amp;refID=7146636&amp;Result=3","7146636")</f>
        <v>0</v>
      </c>
      <c r="B4251" t="s">
        <v>1605</v>
      </c>
      <c r="C4251" t="s">
        <v>7787</v>
      </c>
      <c r="D4251" t="s">
        <v>17951</v>
      </c>
      <c r="E4251" t="s">
        <v>21867</v>
      </c>
      <c r="F4251" t="s">
        <v>30900</v>
      </c>
      <c r="G4251" t="s">
        <v>30907</v>
      </c>
      <c r="H4251" t="s">
        <v>30916</v>
      </c>
      <c r="I4251" t="s">
        <v>4545</v>
      </c>
      <c r="J4251" t="s">
        <v>33932</v>
      </c>
      <c r="K4251" t="s">
        <v>40291</v>
      </c>
      <c r="M4251" t="s">
        <v>42255</v>
      </c>
      <c r="N4251" t="s">
        <v>44759</v>
      </c>
      <c r="O4251" t="s">
        <v>44760</v>
      </c>
      <c r="P4251">
        <v>0</v>
      </c>
      <c r="Q4251">
        <v>3</v>
      </c>
      <c r="R4251" t="s">
        <v>44763</v>
      </c>
      <c r="S4251" t="s">
        <v>44876</v>
      </c>
      <c r="T4251" t="s">
        <v>46357</v>
      </c>
      <c r="U4251" t="s">
        <v>50400</v>
      </c>
      <c r="W4251" t="s">
        <v>42255</v>
      </c>
      <c r="X4251" t="s">
        <v>44767</v>
      </c>
    </row>
    <row r="4252" spans="1:24">
      <c r="A4252">
        <f>HYPERLINK("https://www.philgeps.gov.ph/GEPSNONPILOT/Tender/SplashBidNoticeAbstractUI.aspx?menuIndex=3&amp;refID=7146633&amp;Result=3","7146633")</f>
        <v>0</v>
      </c>
      <c r="B4252" t="s">
        <v>1314</v>
      </c>
      <c r="C4252" t="s">
        <v>7788</v>
      </c>
      <c r="D4252" t="s">
        <v>18019</v>
      </c>
      <c r="E4252" t="s">
        <v>21868</v>
      </c>
      <c r="F4252" t="s">
        <v>30900</v>
      </c>
      <c r="G4252" t="s">
        <v>30908</v>
      </c>
      <c r="H4252" t="s">
        <v>30916</v>
      </c>
      <c r="I4252" t="s">
        <v>6746</v>
      </c>
      <c r="J4252" t="s">
        <v>33933</v>
      </c>
      <c r="K4252" t="s">
        <v>40289</v>
      </c>
      <c r="M4252" t="s">
        <v>42251</v>
      </c>
      <c r="N4252" t="s">
        <v>44759</v>
      </c>
      <c r="O4252" t="s">
        <v>44760</v>
      </c>
      <c r="P4252">
        <v>0</v>
      </c>
      <c r="Q4252">
        <v>0</v>
      </c>
      <c r="R4252" t="s">
        <v>44763</v>
      </c>
      <c r="S4252" t="s">
        <v>44876</v>
      </c>
      <c r="T4252" t="s">
        <v>46533</v>
      </c>
      <c r="U4252" t="s">
        <v>50483</v>
      </c>
      <c r="W4252" t="s">
        <v>42251</v>
      </c>
      <c r="X4252" t="s">
        <v>44767</v>
      </c>
    </row>
    <row r="4253" spans="1:24">
      <c r="A4253">
        <f>HYPERLINK("https://www.philgeps.gov.ph/GEPSNONPILOT/Tender/SplashBidNoticeAbstractUI.aspx?menuIndex=3&amp;refID=7146629&amp;Result=3","7146629")</f>
        <v>0</v>
      </c>
      <c r="B4253" t="s">
        <v>1621</v>
      </c>
      <c r="C4253" t="s">
        <v>7789</v>
      </c>
      <c r="D4253" t="s">
        <v>17978</v>
      </c>
      <c r="E4253" t="s">
        <v>21869</v>
      </c>
      <c r="F4253" t="s">
        <v>30900</v>
      </c>
      <c r="G4253" t="s">
        <v>30908</v>
      </c>
      <c r="H4253" t="s">
        <v>30916</v>
      </c>
      <c r="I4253" t="s">
        <v>8123</v>
      </c>
      <c r="J4253" t="s">
        <v>33934</v>
      </c>
      <c r="K4253" t="s">
        <v>40283</v>
      </c>
      <c r="M4253" t="s">
        <v>42272</v>
      </c>
      <c r="N4253" t="s">
        <v>44759</v>
      </c>
      <c r="O4253" t="s">
        <v>44760</v>
      </c>
      <c r="P4253">
        <v>0</v>
      </c>
      <c r="Q4253">
        <v>3</v>
      </c>
      <c r="R4253" t="s">
        <v>44763</v>
      </c>
      <c r="S4253" t="s">
        <v>44876</v>
      </c>
      <c r="T4253" t="s">
        <v>46391</v>
      </c>
      <c r="U4253" t="s">
        <v>50484</v>
      </c>
      <c r="W4253" t="s">
        <v>42272</v>
      </c>
      <c r="X4253" t="s">
        <v>44767</v>
      </c>
    </row>
    <row r="4254" spans="1:24">
      <c r="A4254">
        <f>HYPERLINK("https://www.philgeps.gov.ph/GEPSNONPILOT/Tender/SplashBidNoticeAbstractUI.aspx?menuIndex=3&amp;refID=7146589&amp;Result=3","7146589")</f>
        <v>0</v>
      </c>
      <c r="B4254" t="s">
        <v>743</v>
      </c>
      <c r="C4254" t="s">
        <v>7790</v>
      </c>
      <c r="D4254" t="s">
        <v>18013</v>
      </c>
      <c r="E4254" t="s">
        <v>21870</v>
      </c>
      <c r="F4254" t="s">
        <v>30900</v>
      </c>
      <c r="G4254" t="s">
        <v>30908</v>
      </c>
      <c r="H4254" t="s">
        <v>30916</v>
      </c>
      <c r="I4254" t="s">
        <v>30993</v>
      </c>
      <c r="J4254" t="s">
        <v>31049</v>
      </c>
      <c r="K4254" t="s">
        <v>40283</v>
      </c>
      <c r="M4254" t="s">
        <v>41307</v>
      </c>
      <c r="N4254" t="s">
        <v>44759</v>
      </c>
      <c r="O4254" t="s">
        <v>44760</v>
      </c>
      <c r="P4254">
        <v>0</v>
      </c>
      <c r="Q4254">
        <v>1</v>
      </c>
      <c r="R4254" t="s">
        <v>44763</v>
      </c>
      <c r="S4254" t="s">
        <v>44876</v>
      </c>
      <c r="T4254" t="s">
        <v>46414</v>
      </c>
      <c r="U4254" t="s">
        <v>50485</v>
      </c>
      <c r="W4254" t="s">
        <v>41307</v>
      </c>
      <c r="X4254" t="s">
        <v>44767</v>
      </c>
    </row>
    <row r="4255" spans="1:24">
      <c r="A4255">
        <f>HYPERLINK("https://www.philgeps.gov.ph/GEPSNONPILOT/Tender/SplashBidNoticeAbstractUI.aspx?menuIndex=3&amp;refID=7146527&amp;Result=3","7146527")</f>
        <v>0</v>
      </c>
      <c r="B4255" t="s">
        <v>1622</v>
      </c>
      <c r="C4255" t="s">
        <v>7791</v>
      </c>
      <c r="D4255" t="s">
        <v>17985</v>
      </c>
      <c r="E4255" t="s">
        <v>21871</v>
      </c>
      <c r="F4255" t="s">
        <v>30900</v>
      </c>
      <c r="G4255" t="s">
        <v>30908</v>
      </c>
      <c r="H4255" t="s">
        <v>30916</v>
      </c>
      <c r="I4255" t="s">
        <v>30939</v>
      </c>
      <c r="J4255" t="s">
        <v>33935</v>
      </c>
      <c r="K4255" t="s">
        <v>40284</v>
      </c>
      <c r="M4255" t="s">
        <v>42273</v>
      </c>
      <c r="N4255" t="s">
        <v>44759</v>
      </c>
      <c r="O4255" t="s">
        <v>44760</v>
      </c>
      <c r="P4255">
        <v>0</v>
      </c>
      <c r="Q4255">
        <v>0</v>
      </c>
      <c r="R4255" t="s">
        <v>44763</v>
      </c>
      <c r="S4255" t="s">
        <v>44876</v>
      </c>
      <c r="T4255" t="s">
        <v>46533</v>
      </c>
      <c r="U4255" t="s">
        <v>50486</v>
      </c>
      <c r="V4255" t="s">
        <v>59572</v>
      </c>
      <c r="W4255" t="s">
        <v>42273</v>
      </c>
      <c r="X4255" t="s">
        <v>44767</v>
      </c>
    </row>
    <row r="4256" spans="1:24">
      <c r="A4256">
        <f>HYPERLINK("https://www.philgeps.gov.ph/GEPSNONPILOT/Tender/SplashBidNoticeAbstractUI.aspx?menuIndex=3&amp;refID=7146667&amp;Result=3","7146667")</f>
        <v>0</v>
      </c>
      <c r="B4256" t="s">
        <v>1618</v>
      </c>
      <c r="C4256" t="s">
        <v>7792</v>
      </c>
      <c r="D4256" t="s">
        <v>17959</v>
      </c>
      <c r="E4256" t="s">
        <v>21872</v>
      </c>
      <c r="F4256" t="s">
        <v>30900</v>
      </c>
      <c r="G4256" t="s">
        <v>30908</v>
      </c>
      <c r="H4256" t="s">
        <v>30916</v>
      </c>
      <c r="I4256" t="s">
        <v>30924</v>
      </c>
      <c r="J4256" t="s">
        <v>31105</v>
      </c>
      <c r="K4256" t="s">
        <v>40283</v>
      </c>
      <c r="M4256" t="s">
        <v>42268</v>
      </c>
      <c r="N4256" t="s">
        <v>44759</v>
      </c>
      <c r="O4256" t="s">
        <v>44760</v>
      </c>
      <c r="P4256">
        <v>0</v>
      </c>
      <c r="Q4256">
        <v>3</v>
      </c>
      <c r="R4256" t="s">
        <v>44763</v>
      </c>
      <c r="S4256" t="s">
        <v>44876</v>
      </c>
      <c r="T4256" t="s">
        <v>46487</v>
      </c>
      <c r="U4256" t="s">
        <v>50487</v>
      </c>
      <c r="W4256" t="s">
        <v>42268</v>
      </c>
      <c r="X4256" t="s">
        <v>44767</v>
      </c>
    </row>
    <row r="4257" spans="1:24">
      <c r="A4257">
        <f>HYPERLINK("https://www.philgeps.gov.ph/GEPSNONPILOT/Tender/SplashBidNoticeAbstractUI.aspx?menuIndex=3&amp;refID=7146661&amp;Result=3","7146661")</f>
        <v>0</v>
      </c>
      <c r="B4257" t="s">
        <v>807</v>
      </c>
      <c r="C4257" t="s">
        <v>7793</v>
      </c>
      <c r="D4257" t="s">
        <v>18015</v>
      </c>
      <c r="E4257" t="s">
        <v>21873</v>
      </c>
      <c r="F4257" t="s">
        <v>30900</v>
      </c>
      <c r="G4257" t="s">
        <v>30908</v>
      </c>
      <c r="H4257" t="s">
        <v>30916</v>
      </c>
      <c r="I4257" t="s">
        <v>8123</v>
      </c>
      <c r="J4257" t="s">
        <v>33936</v>
      </c>
      <c r="K4257" t="s">
        <v>40283</v>
      </c>
      <c r="M4257" t="s">
        <v>41377</v>
      </c>
      <c r="N4257" t="s">
        <v>44759</v>
      </c>
      <c r="O4257" t="s">
        <v>44760</v>
      </c>
      <c r="P4257">
        <v>0</v>
      </c>
      <c r="Q4257">
        <v>0</v>
      </c>
      <c r="R4257" t="s">
        <v>44763</v>
      </c>
      <c r="S4257" t="s">
        <v>44876</v>
      </c>
      <c r="T4257" t="s">
        <v>46533</v>
      </c>
      <c r="U4257" t="s">
        <v>50488</v>
      </c>
      <c r="W4257" t="s">
        <v>41377</v>
      </c>
      <c r="X4257" t="s">
        <v>44767</v>
      </c>
    </row>
    <row r="4258" spans="1:24">
      <c r="A4258">
        <f>HYPERLINK("https://www.philgeps.gov.ph/GEPSNONPILOT/Tender/SplashBidNoticeAbstractUI.aspx?menuIndex=3&amp;refID=7146746&amp;Result=3","7146746")</f>
        <v>0</v>
      </c>
      <c r="B4258" t="s">
        <v>1621</v>
      </c>
      <c r="C4258" t="s">
        <v>7794</v>
      </c>
      <c r="D4258" t="s">
        <v>17978</v>
      </c>
      <c r="E4258" t="s">
        <v>21874</v>
      </c>
      <c r="F4258" t="s">
        <v>30900</v>
      </c>
      <c r="G4258" t="s">
        <v>30908</v>
      </c>
      <c r="H4258" t="s">
        <v>30916</v>
      </c>
      <c r="I4258" t="s">
        <v>6408</v>
      </c>
      <c r="J4258" t="s">
        <v>31050</v>
      </c>
      <c r="K4258" t="s">
        <v>40314</v>
      </c>
      <c r="M4258" t="s">
        <v>42272</v>
      </c>
      <c r="N4258" t="s">
        <v>44759</v>
      </c>
      <c r="O4258" t="s">
        <v>44760</v>
      </c>
      <c r="P4258">
        <v>0</v>
      </c>
      <c r="Q4258">
        <v>2</v>
      </c>
      <c r="R4258" t="s">
        <v>44763</v>
      </c>
      <c r="S4258" t="s">
        <v>44876</v>
      </c>
      <c r="T4258" t="s">
        <v>46663</v>
      </c>
      <c r="U4258" t="s">
        <v>50489</v>
      </c>
      <c r="W4258" t="s">
        <v>42272</v>
      </c>
      <c r="X4258" t="s">
        <v>44767</v>
      </c>
    </row>
    <row r="4259" spans="1:24">
      <c r="A4259">
        <f>HYPERLINK("https://www.philgeps.gov.ph/GEPSNONPILOT/Tender/SplashBidNoticeAbstractUI.aspx?menuIndex=3&amp;refID=7146584&amp;Result=3","7146584")</f>
        <v>0</v>
      </c>
      <c r="B4259" t="s">
        <v>1623</v>
      </c>
      <c r="C4259" t="s">
        <v>7795</v>
      </c>
      <c r="D4259" t="s">
        <v>18002</v>
      </c>
      <c r="E4259" t="s">
        <v>21875</v>
      </c>
      <c r="F4259" t="s">
        <v>30900</v>
      </c>
      <c r="G4259" t="s">
        <v>30908</v>
      </c>
      <c r="H4259" t="s">
        <v>30916</v>
      </c>
      <c r="I4259" t="s">
        <v>4108</v>
      </c>
      <c r="J4259" t="s">
        <v>33937</v>
      </c>
      <c r="K4259" t="s">
        <v>40288</v>
      </c>
      <c r="M4259" t="s">
        <v>42274</v>
      </c>
      <c r="N4259" t="s">
        <v>44759</v>
      </c>
      <c r="O4259" t="s">
        <v>44760</v>
      </c>
      <c r="P4259">
        <v>0</v>
      </c>
      <c r="Q4259">
        <v>2</v>
      </c>
      <c r="R4259" t="s">
        <v>44763</v>
      </c>
      <c r="S4259" t="s">
        <v>44876</v>
      </c>
      <c r="T4259" t="s">
        <v>46623</v>
      </c>
      <c r="U4259" t="s">
        <v>50490</v>
      </c>
      <c r="V4259" t="s">
        <v>59573</v>
      </c>
      <c r="W4259" t="s">
        <v>42274</v>
      </c>
      <c r="X4259" t="s">
        <v>44767</v>
      </c>
    </row>
    <row r="4260" spans="1:24">
      <c r="A4260">
        <f>HYPERLINK("https://www.philgeps.gov.ph/GEPSNONPILOT/Tender/SplashBidNoticeAbstractUI.aspx?menuIndex=3&amp;refID=7146739&amp;Result=3","7146739")</f>
        <v>0</v>
      </c>
      <c r="B4260" t="s">
        <v>1603</v>
      </c>
      <c r="C4260" t="s">
        <v>7796</v>
      </c>
      <c r="D4260" t="s">
        <v>17980</v>
      </c>
      <c r="E4260" t="s">
        <v>21876</v>
      </c>
      <c r="F4260" t="s">
        <v>30900</v>
      </c>
      <c r="G4260" t="s">
        <v>30908</v>
      </c>
      <c r="H4260" t="s">
        <v>30916</v>
      </c>
      <c r="I4260" t="s">
        <v>30939</v>
      </c>
      <c r="J4260" t="s">
        <v>33938</v>
      </c>
      <c r="K4260" t="s">
        <v>40284</v>
      </c>
      <c r="M4260" t="s">
        <v>42253</v>
      </c>
      <c r="N4260" t="s">
        <v>44759</v>
      </c>
      <c r="O4260" t="s">
        <v>44760</v>
      </c>
      <c r="P4260">
        <v>0</v>
      </c>
      <c r="Q4260">
        <v>1</v>
      </c>
      <c r="R4260" t="s">
        <v>44763</v>
      </c>
      <c r="S4260" t="s">
        <v>44876</v>
      </c>
      <c r="T4260" t="s">
        <v>46357</v>
      </c>
      <c r="U4260" t="s">
        <v>50491</v>
      </c>
      <c r="V4260" t="s">
        <v>59568</v>
      </c>
      <c r="W4260" t="s">
        <v>42253</v>
      </c>
      <c r="X4260" t="s">
        <v>44767</v>
      </c>
    </row>
    <row r="4261" spans="1:24">
      <c r="A4261">
        <f>HYPERLINK("https://www.philgeps.gov.ph/GEPSNONPILOT/Tender/SplashBidNoticeAbstractUI.aspx?menuIndex=3&amp;refID=7146725&amp;Result=3","7146725")</f>
        <v>0</v>
      </c>
      <c r="B4261" t="s">
        <v>1621</v>
      </c>
      <c r="C4261" t="s">
        <v>7797</v>
      </c>
      <c r="D4261" t="s">
        <v>17978</v>
      </c>
      <c r="E4261" t="s">
        <v>21877</v>
      </c>
      <c r="F4261" t="s">
        <v>30900</v>
      </c>
      <c r="G4261" t="s">
        <v>30908</v>
      </c>
      <c r="H4261" t="s">
        <v>30916</v>
      </c>
      <c r="I4261" t="s">
        <v>4050</v>
      </c>
      <c r="J4261" t="s">
        <v>33939</v>
      </c>
      <c r="K4261" t="s">
        <v>40286</v>
      </c>
      <c r="M4261" t="s">
        <v>42272</v>
      </c>
      <c r="N4261" t="s">
        <v>44759</v>
      </c>
      <c r="O4261" t="s">
        <v>44760</v>
      </c>
      <c r="P4261">
        <v>0</v>
      </c>
      <c r="Q4261">
        <v>1</v>
      </c>
      <c r="R4261" t="s">
        <v>44763</v>
      </c>
      <c r="S4261" t="s">
        <v>44876</v>
      </c>
      <c r="T4261" t="s">
        <v>46391</v>
      </c>
      <c r="U4261" t="s">
        <v>50492</v>
      </c>
      <c r="W4261" t="s">
        <v>42272</v>
      </c>
      <c r="X4261" t="s">
        <v>44767</v>
      </c>
    </row>
    <row r="4262" spans="1:24">
      <c r="A4262">
        <f>HYPERLINK("https://www.philgeps.gov.ph/GEPSNONPILOT/Tender/SplashBidNoticeAbstractUI.aspx?menuIndex=3&amp;refID=7146579&amp;Result=3","7146579")</f>
        <v>0</v>
      </c>
      <c r="B4262" t="s">
        <v>690</v>
      </c>
      <c r="C4262" t="s">
        <v>7798</v>
      </c>
      <c r="D4262" t="s">
        <v>18016</v>
      </c>
      <c r="E4262" t="s">
        <v>7798</v>
      </c>
      <c r="F4262" t="s">
        <v>30900</v>
      </c>
      <c r="G4262" t="s">
        <v>30908</v>
      </c>
      <c r="H4262" t="s">
        <v>30916</v>
      </c>
      <c r="I4262" t="s">
        <v>30985</v>
      </c>
      <c r="J4262" t="s">
        <v>31052</v>
      </c>
      <c r="K4262" t="s">
        <v>40286</v>
      </c>
      <c r="M4262" t="s">
        <v>41254</v>
      </c>
      <c r="N4262" t="s">
        <v>44759</v>
      </c>
      <c r="O4262" t="s">
        <v>44760</v>
      </c>
      <c r="P4262">
        <v>0</v>
      </c>
      <c r="Q4262">
        <v>6</v>
      </c>
      <c r="R4262" t="s">
        <v>44763</v>
      </c>
      <c r="S4262" t="s">
        <v>44876</v>
      </c>
      <c r="T4262" t="s">
        <v>46399</v>
      </c>
      <c r="U4262" t="s">
        <v>50493</v>
      </c>
      <c r="W4262" t="s">
        <v>41254</v>
      </c>
      <c r="X4262" t="s">
        <v>44767</v>
      </c>
    </row>
    <row r="4263" spans="1:24">
      <c r="A4263">
        <f>HYPERLINK("https://www.philgeps.gov.ph/GEPSNONPILOT/Tender/SplashBidNoticeAbstractUI.aspx?menuIndex=3&amp;refID=7146750&amp;Result=3","7146750")</f>
        <v>0</v>
      </c>
      <c r="B4263" t="s">
        <v>743</v>
      </c>
      <c r="C4263" t="s">
        <v>7799</v>
      </c>
      <c r="D4263" t="s">
        <v>18013</v>
      </c>
      <c r="E4263" t="s">
        <v>21878</v>
      </c>
      <c r="F4263" t="s">
        <v>30900</v>
      </c>
      <c r="G4263" t="s">
        <v>30907</v>
      </c>
      <c r="H4263" t="s">
        <v>30916</v>
      </c>
      <c r="I4263" t="s">
        <v>30933</v>
      </c>
      <c r="J4263" t="s">
        <v>31297</v>
      </c>
      <c r="K4263" t="s">
        <v>40292</v>
      </c>
      <c r="M4263" t="s">
        <v>41307</v>
      </c>
      <c r="N4263" t="s">
        <v>44759</v>
      </c>
      <c r="O4263" t="s">
        <v>44760</v>
      </c>
      <c r="P4263">
        <v>0</v>
      </c>
      <c r="Q4263">
        <v>3</v>
      </c>
      <c r="R4263" t="s">
        <v>44763</v>
      </c>
      <c r="S4263" t="s">
        <v>44876</v>
      </c>
      <c r="T4263" t="s">
        <v>46495</v>
      </c>
      <c r="U4263" t="s">
        <v>50494</v>
      </c>
      <c r="W4263" t="s">
        <v>41307</v>
      </c>
      <c r="X4263" t="s">
        <v>44767</v>
      </c>
    </row>
    <row r="4264" spans="1:24">
      <c r="A4264">
        <f>HYPERLINK("https://www.philgeps.gov.ph/GEPSNONPILOT/Tender/SplashBidNoticeAbstractUI.aspx?menuIndex=3&amp;refID=7146709&amp;Result=3","7146709")</f>
        <v>0</v>
      </c>
      <c r="B4264" t="s">
        <v>1603</v>
      </c>
      <c r="C4264" t="s">
        <v>7800</v>
      </c>
      <c r="D4264" t="s">
        <v>17980</v>
      </c>
      <c r="E4264" t="s">
        <v>21879</v>
      </c>
      <c r="F4264" t="s">
        <v>30900</v>
      </c>
      <c r="G4264" t="s">
        <v>30908</v>
      </c>
      <c r="H4264" t="s">
        <v>30916</v>
      </c>
      <c r="I4264" t="s">
        <v>4050</v>
      </c>
      <c r="J4264" t="s">
        <v>33940</v>
      </c>
      <c r="K4264" t="s">
        <v>40284</v>
      </c>
      <c r="M4264" t="s">
        <v>42253</v>
      </c>
      <c r="N4264" t="s">
        <v>44759</v>
      </c>
      <c r="O4264" t="s">
        <v>44760</v>
      </c>
      <c r="P4264">
        <v>0</v>
      </c>
      <c r="Q4264">
        <v>3</v>
      </c>
      <c r="R4264" t="s">
        <v>44763</v>
      </c>
      <c r="S4264" t="s">
        <v>44876</v>
      </c>
      <c r="T4264" t="s">
        <v>46357</v>
      </c>
      <c r="U4264" t="s">
        <v>50495</v>
      </c>
      <c r="V4264" t="s">
        <v>59568</v>
      </c>
      <c r="W4264" t="s">
        <v>42253</v>
      </c>
      <c r="X4264" t="s">
        <v>44767</v>
      </c>
    </row>
    <row r="4265" spans="1:24">
      <c r="A4265">
        <f>HYPERLINK("https://www.philgeps.gov.ph/GEPSNONPILOT/Tender/SplashBidNoticeAbstractUI.aspx?menuIndex=3&amp;refID=7146822&amp;Result=3","7146822")</f>
        <v>0</v>
      </c>
      <c r="B4265" t="s">
        <v>1621</v>
      </c>
      <c r="C4265" t="s">
        <v>7801</v>
      </c>
      <c r="D4265" t="s">
        <v>17978</v>
      </c>
      <c r="E4265" t="s">
        <v>21880</v>
      </c>
      <c r="F4265" t="s">
        <v>30900</v>
      </c>
      <c r="G4265" t="s">
        <v>30908</v>
      </c>
      <c r="H4265" t="s">
        <v>30916</v>
      </c>
      <c r="I4265" t="s">
        <v>30947</v>
      </c>
      <c r="J4265" t="s">
        <v>32138</v>
      </c>
      <c r="K4265" t="s">
        <v>40302</v>
      </c>
      <c r="M4265" t="s">
        <v>42272</v>
      </c>
      <c r="N4265" t="s">
        <v>44759</v>
      </c>
      <c r="O4265" t="s">
        <v>44760</v>
      </c>
      <c r="P4265">
        <v>0</v>
      </c>
      <c r="Q4265">
        <v>1</v>
      </c>
      <c r="R4265" t="s">
        <v>44763</v>
      </c>
      <c r="S4265" t="s">
        <v>44876</v>
      </c>
      <c r="T4265" t="s">
        <v>46391</v>
      </c>
      <c r="U4265" t="s">
        <v>50496</v>
      </c>
      <c r="W4265" t="s">
        <v>42272</v>
      </c>
      <c r="X4265" t="s">
        <v>44767</v>
      </c>
    </row>
    <row r="4266" spans="1:24">
      <c r="A4266">
        <f>HYPERLINK("https://www.philgeps.gov.ph/GEPSNONPILOT/Tender/SplashBidNoticeAbstractUI.aspx?menuIndex=3&amp;refID=7146819&amp;Result=3","7146819")</f>
        <v>0</v>
      </c>
      <c r="B4266" t="s">
        <v>219</v>
      </c>
      <c r="C4266" t="s">
        <v>4108</v>
      </c>
      <c r="D4266" t="s">
        <v>17955</v>
      </c>
      <c r="E4266" t="s">
        <v>21881</v>
      </c>
      <c r="F4266" t="s">
        <v>30900</v>
      </c>
      <c r="G4266" t="s">
        <v>30908</v>
      </c>
      <c r="H4266" t="s">
        <v>30916</v>
      </c>
      <c r="I4266" t="s">
        <v>4108</v>
      </c>
      <c r="J4266" t="s">
        <v>33941</v>
      </c>
      <c r="K4266" t="s">
        <v>40286</v>
      </c>
      <c r="M4266" t="s">
        <v>40766</v>
      </c>
      <c r="N4266" t="s">
        <v>44759</v>
      </c>
      <c r="O4266" t="s">
        <v>44760</v>
      </c>
      <c r="P4266">
        <v>0</v>
      </c>
      <c r="Q4266">
        <v>0</v>
      </c>
      <c r="R4266" t="s">
        <v>44763</v>
      </c>
      <c r="S4266" t="s">
        <v>44876</v>
      </c>
      <c r="T4266" t="s">
        <v>46623</v>
      </c>
      <c r="U4266" t="s">
        <v>50497</v>
      </c>
      <c r="W4266" t="s">
        <v>40766</v>
      </c>
      <c r="X4266" t="s">
        <v>44767</v>
      </c>
    </row>
    <row r="4267" spans="1:24">
      <c r="A4267">
        <f>HYPERLINK("https://www.philgeps.gov.ph/GEPSNONPILOT/Tender/SplashBidNoticeAbstractUI.aspx?menuIndex=3&amp;refID=7146803&amp;Result=3","7146803")</f>
        <v>0</v>
      </c>
      <c r="B4267" t="s">
        <v>1624</v>
      </c>
      <c r="C4267" t="s">
        <v>7802</v>
      </c>
      <c r="D4267" t="s">
        <v>17995</v>
      </c>
      <c r="E4267" t="s">
        <v>21882</v>
      </c>
      <c r="F4267" t="s">
        <v>30900</v>
      </c>
      <c r="G4267" t="s">
        <v>30908</v>
      </c>
      <c r="H4267" t="s">
        <v>30916</v>
      </c>
      <c r="I4267" t="s">
        <v>30940</v>
      </c>
      <c r="J4267" t="s">
        <v>33942</v>
      </c>
      <c r="K4267" t="s">
        <v>40286</v>
      </c>
      <c r="M4267" t="s">
        <v>42275</v>
      </c>
      <c r="N4267" t="s">
        <v>44759</v>
      </c>
      <c r="O4267" t="s">
        <v>44760</v>
      </c>
      <c r="P4267">
        <v>0</v>
      </c>
      <c r="Q4267">
        <v>1</v>
      </c>
      <c r="R4267" t="s">
        <v>44763</v>
      </c>
      <c r="S4267" t="s">
        <v>44876</v>
      </c>
      <c r="T4267" t="s">
        <v>46531</v>
      </c>
      <c r="U4267" t="s">
        <v>50498</v>
      </c>
      <c r="V4267" t="s">
        <v>47278</v>
      </c>
      <c r="W4267" t="s">
        <v>42275</v>
      </c>
      <c r="X4267" t="s">
        <v>44767</v>
      </c>
    </row>
    <row r="4268" spans="1:24">
      <c r="A4268">
        <f>HYPERLINK("https://www.philgeps.gov.ph/GEPSNONPILOT/Tender/SplashBidNoticeAbstractUI.aspx?menuIndex=3&amp;refID=7146800&amp;Result=3","7146800")</f>
        <v>0</v>
      </c>
      <c r="B4268" t="s">
        <v>1603</v>
      </c>
      <c r="C4268" t="s">
        <v>7803</v>
      </c>
      <c r="D4268" t="s">
        <v>17980</v>
      </c>
      <c r="E4268" t="s">
        <v>21883</v>
      </c>
      <c r="F4268" t="s">
        <v>30900</v>
      </c>
      <c r="G4268" t="s">
        <v>30908</v>
      </c>
      <c r="H4268" t="s">
        <v>30916</v>
      </c>
      <c r="I4268" t="s">
        <v>30947</v>
      </c>
      <c r="J4268" t="s">
        <v>33943</v>
      </c>
      <c r="K4268" t="s">
        <v>40287</v>
      </c>
      <c r="M4268" t="s">
        <v>42253</v>
      </c>
      <c r="N4268" t="s">
        <v>44759</v>
      </c>
      <c r="O4268" t="s">
        <v>44760</v>
      </c>
      <c r="P4268">
        <v>0</v>
      </c>
      <c r="Q4268">
        <v>1</v>
      </c>
      <c r="R4268" t="s">
        <v>44763</v>
      </c>
      <c r="S4268" t="s">
        <v>44876</v>
      </c>
      <c r="T4268" t="s">
        <v>46357</v>
      </c>
      <c r="U4268" t="s">
        <v>50499</v>
      </c>
      <c r="V4268" t="s">
        <v>59568</v>
      </c>
      <c r="W4268" t="s">
        <v>42253</v>
      </c>
      <c r="X4268" t="s">
        <v>44767</v>
      </c>
    </row>
    <row r="4269" spans="1:24">
      <c r="A4269">
        <f>HYPERLINK("https://www.philgeps.gov.ph/GEPSNONPILOT/Tender/SplashBidNoticeAbstractUI.aspx?menuIndex=3&amp;refID=7146587&amp;Result=3","7146587")</f>
        <v>0</v>
      </c>
      <c r="B4269" t="s">
        <v>1603</v>
      </c>
      <c r="C4269" t="s">
        <v>7804</v>
      </c>
      <c r="D4269" t="s">
        <v>17980</v>
      </c>
      <c r="E4269" t="s">
        <v>21884</v>
      </c>
      <c r="F4269" t="s">
        <v>30900</v>
      </c>
      <c r="G4269" t="s">
        <v>30908</v>
      </c>
      <c r="H4269" t="s">
        <v>30916</v>
      </c>
      <c r="I4269" t="s">
        <v>4545</v>
      </c>
      <c r="J4269" t="s">
        <v>31050</v>
      </c>
      <c r="K4269" t="s">
        <v>40289</v>
      </c>
      <c r="M4269" t="s">
        <v>42253</v>
      </c>
      <c r="N4269" t="s">
        <v>44759</v>
      </c>
      <c r="O4269" t="s">
        <v>44760</v>
      </c>
      <c r="P4269">
        <v>0</v>
      </c>
      <c r="Q4269">
        <v>7</v>
      </c>
      <c r="R4269" t="s">
        <v>44763</v>
      </c>
      <c r="S4269" t="s">
        <v>44876</v>
      </c>
      <c r="T4269" t="s">
        <v>46357</v>
      </c>
      <c r="U4269" t="s">
        <v>50500</v>
      </c>
      <c r="V4269" t="s">
        <v>59568</v>
      </c>
      <c r="W4269" t="s">
        <v>42253</v>
      </c>
      <c r="X4269" t="s">
        <v>44767</v>
      </c>
    </row>
    <row r="4270" spans="1:24">
      <c r="A4270">
        <f>HYPERLINK("https://www.philgeps.gov.ph/GEPSNONPILOT/Tender/SplashBidNoticeAbstractUI.aspx?menuIndex=3&amp;refID=7146592&amp;Result=3","7146592")</f>
        <v>0</v>
      </c>
      <c r="B4270" t="s">
        <v>1193</v>
      </c>
      <c r="C4270" t="s">
        <v>7805</v>
      </c>
      <c r="D4270" t="s">
        <v>17954</v>
      </c>
      <c r="E4270" t="s">
        <v>21885</v>
      </c>
      <c r="F4270" t="s">
        <v>30900</v>
      </c>
      <c r="G4270" t="s">
        <v>30908</v>
      </c>
      <c r="H4270" t="s">
        <v>30916</v>
      </c>
      <c r="I4270" t="s">
        <v>6408</v>
      </c>
      <c r="J4270" t="s">
        <v>31830</v>
      </c>
      <c r="K4270" t="s">
        <v>40284</v>
      </c>
      <c r="M4270" t="s">
        <v>41804</v>
      </c>
      <c r="N4270" t="s">
        <v>44759</v>
      </c>
      <c r="O4270" t="s">
        <v>44760</v>
      </c>
      <c r="P4270">
        <v>0</v>
      </c>
      <c r="Q4270">
        <v>1</v>
      </c>
      <c r="R4270" t="s">
        <v>44763</v>
      </c>
      <c r="S4270" t="s">
        <v>44876</v>
      </c>
      <c r="T4270" t="s">
        <v>46403</v>
      </c>
      <c r="U4270" t="s">
        <v>50501</v>
      </c>
      <c r="W4270" t="s">
        <v>41804</v>
      </c>
      <c r="X4270" t="s">
        <v>44767</v>
      </c>
    </row>
    <row r="4271" spans="1:24">
      <c r="A4271">
        <f>HYPERLINK("https://www.philgeps.gov.ph/GEPSNONPILOT/Tender/SplashBidNoticeAbstractUI.aspx?menuIndex=3&amp;refID=7146717&amp;Result=3","7146717")</f>
        <v>0</v>
      </c>
      <c r="B4271" t="s">
        <v>807</v>
      </c>
      <c r="C4271" t="s">
        <v>7806</v>
      </c>
      <c r="D4271" t="s">
        <v>18015</v>
      </c>
      <c r="E4271" t="s">
        <v>21886</v>
      </c>
      <c r="F4271" t="s">
        <v>30900</v>
      </c>
      <c r="G4271" t="s">
        <v>30908</v>
      </c>
      <c r="H4271" t="s">
        <v>30916</v>
      </c>
      <c r="I4271" t="s">
        <v>8123</v>
      </c>
      <c r="J4271" t="s">
        <v>33944</v>
      </c>
      <c r="K4271" t="s">
        <v>40283</v>
      </c>
      <c r="M4271" t="s">
        <v>41377</v>
      </c>
      <c r="N4271" t="s">
        <v>44759</v>
      </c>
      <c r="O4271" t="s">
        <v>44760</v>
      </c>
      <c r="P4271">
        <v>0</v>
      </c>
      <c r="Q4271">
        <v>0</v>
      </c>
      <c r="R4271" t="s">
        <v>44763</v>
      </c>
      <c r="S4271" t="s">
        <v>44876</v>
      </c>
      <c r="T4271" t="s">
        <v>46533</v>
      </c>
      <c r="U4271" t="s">
        <v>50502</v>
      </c>
      <c r="W4271" t="s">
        <v>41377</v>
      </c>
      <c r="X4271" t="s">
        <v>44767</v>
      </c>
    </row>
    <row r="4272" spans="1:24">
      <c r="A4272">
        <f>HYPERLINK("https://www.philgeps.gov.ph/GEPSNONPILOT/Tender/SplashBidNoticeAbstractUI.aspx?menuIndex=3&amp;refID=7146771&amp;Result=3","7146771")</f>
        <v>0</v>
      </c>
      <c r="B4272" t="s">
        <v>1621</v>
      </c>
      <c r="C4272" t="s">
        <v>7807</v>
      </c>
      <c r="D4272" t="s">
        <v>17978</v>
      </c>
      <c r="E4272" t="s">
        <v>21887</v>
      </c>
      <c r="F4272" t="s">
        <v>30900</v>
      </c>
      <c r="G4272" t="s">
        <v>30908</v>
      </c>
      <c r="H4272" t="s">
        <v>30916</v>
      </c>
      <c r="I4272" t="s">
        <v>4017</v>
      </c>
      <c r="J4272" t="s">
        <v>31048</v>
      </c>
      <c r="K4272" t="s">
        <v>40291</v>
      </c>
      <c r="M4272" t="s">
        <v>42272</v>
      </c>
      <c r="N4272" t="s">
        <v>44759</v>
      </c>
      <c r="O4272" t="s">
        <v>44760</v>
      </c>
      <c r="P4272">
        <v>0</v>
      </c>
      <c r="Q4272">
        <v>6</v>
      </c>
      <c r="R4272" t="s">
        <v>44763</v>
      </c>
      <c r="S4272" t="s">
        <v>44876</v>
      </c>
      <c r="T4272" t="s">
        <v>46391</v>
      </c>
      <c r="U4272" t="s">
        <v>50503</v>
      </c>
      <c r="W4272" t="s">
        <v>42272</v>
      </c>
      <c r="X4272" t="s">
        <v>44767</v>
      </c>
    </row>
    <row r="4273" spans="1:24">
      <c r="A4273">
        <f>HYPERLINK("https://www.philgeps.gov.ph/GEPSNONPILOT/Tender/SplashBidNoticeAbstractUI.aspx?menuIndex=3&amp;refID=7146700&amp;Result=3","7146700")</f>
        <v>0</v>
      </c>
      <c r="B4273" t="s">
        <v>1621</v>
      </c>
      <c r="C4273" t="s">
        <v>7808</v>
      </c>
      <c r="D4273" t="s">
        <v>17978</v>
      </c>
      <c r="E4273" t="s">
        <v>21888</v>
      </c>
      <c r="F4273" t="s">
        <v>30900</v>
      </c>
      <c r="G4273" t="s">
        <v>30908</v>
      </c>
      <c r="H4273" t="s">
        <v>30916</v>
      </c>
      <c r="I4273" t="s">
        <v>4108</v>
      </c>
      <c r="J4273" t="s">
        <v>33945</v>
      </c>
      <c r="K4273" t="s">
        <v>40286</v>
      </c>
      <c r="M4273" t="s">
        <v>42272</v>
      </c>
      <c r="N4273" t="s">
        <v>44759</v>
      </c>
      <c r="O4273" t="s">
        <v>44760</v>
      </c>
      <c r="P4273">
        <v>0</v>
      </c>
      <c r="Q4273">
        <v>2</v>
      </c>
      <c r="R4273" t="s">
        <v>44763</v>
      </c>
      <c r="S4273" t="s">
        <v>44876</v>
      </c>
      <c r="T4273" t="s">
        <v>46391</v>
      </c>
      <c r="U4273" t="s">
        <v>50504</v>
      </c>
      <c r="W4273" t="s">
        <v>42272</v>
      </c>
      <c r="X4273" t="s">
        <v>44767</v>
      </c>
    </row>
    <row r="4274" spans="1:24">
      <c r="A4274">
        <f>HYPERLINK("https://www.philgeps.gov.ph/GEPSNONPILOT/Tender/SplashBidNoticeAbstractUI.aspx?menuIndex=3&amp;refID=7146679&amp;Result=3","7146679")</f>
        <v>0</v>
      </c>
      <c r="B4274" t="s">
        <v>424</v>
      </c>
      <c r="C4274" t="s">
        <v>7809</v>
      </c>
      <c r="D4274" t="s">
        <v>17955</v>
      </c>
      <c r="E4274" t="s">
        <v>21889</v>
      </c>
      <c r="F4274" t="s">
        <v>30900</v>
      </c>
      <c r="G4274" t="s">
        <v>30907</v>
      </c>
      <c r="H4274" t="s">
        <v>30915</v>
      </c>
      <c r="I4274" t="s">
        <v>30919</v>
      </c>
      <c r="J4274" t="s">
        <v>33946</v>
      </c>
      <c r="K4274" t="s">
        <v>40356</v>
      </c>
      <c r="M4274" t="s">
        <v>40981</v>
      </c>
      <c r="N4274" t="s">
        <v>44759</v>
      </c>
      <c r="O4274" t="s">
        <v>44760</v>
      </c>
      <c r="P4274">
        <v>0</v>
      </c>
      <c r="Q4274">
        <v>1</v>
      </c>
      <c r="R4274" t="s">
        <v>44763</v>
      </c>
      <c r="S4274" t="s">
        <v>44876</v>
      </c>
      <c r="T4274" t="s">
        <v>46375</v>
      </c>
      <c r="U4274" t="s">
        <v>47629</v>
      </c>
      <c r="W4274" t="s">
        <v>40981</v>
      </c>
      <c r="X4274" t="s">
        <v>44767</v>
      </c>
    </row>
    <row r="4275" spans="1:24">
      <c r="A4275">
        <f>HYPERLINK("https://www.philgeps.gov.ph/GEPSNONPILOT/Tender/SplashBidNoticeAbstractUI.aspx?menuIndex=3&amp;refID=7146670&amp;Result=3","7146670")</f>
        <v>0</v>
      </c>
      <c r="B4275" t="s">
        <v>1193</v>
      </c>
      <c r="C4275" t="s">
        <v>7810</v>
      </c>
      <c r="D4275" t="s">
        <v>17954</v>
      </c>
      <c r="E4275" t="s">
        <v>21890</v>
      </c>
      <c r="F4275" t="s">
        <v>30900</v>
      </c>
      <c r="G4275" t="s">
        <v>30908</v>
      </c>
      <c r="H4275" t="s">
        <v>30916</v>
      </c>
      <c r="I4275" t="s">
        <v>30934</v>
      </c>
      <c r="J4275" t="s">
        <v>31050</v>
      </c>
      <c r="K4275" t="s">
        <v>40284</v>
      </c>
      <c r="M4275" t="s">
        <v>41804</v>
      </c>
      <c r="N4275" t="s">
        <v>44759</v>
      </c>
      <c r="O4275" t="s">
        <v>44760</v>
      </c>
      <c r="P4275">
        <v>0</v>
      </c>
      <c r="Q4275">
        <v>2</v>
      </c>
      <c r="R4275" t="s">
        <v>44763</v>
      </c>
      <c r="S4275" t="s">
        <v>44876</v>
      </c>
      <c r="T4275" t="s">
        <v>46403</v>
      </c>
      <c r="U4275" t="s">
        <v>50505</v>
      </c>
      <c r="W4275" t="s">
        <v>41804</v>
      </c>
      <c r="X4275" t="s">
        <v>44767</v>
      </c>
    </row>
    <row r="4276" spans="1:24">
      <c r="A4276">
        <f>HYPERLINK("https://www.philgeps.gov.ph/GEPSNONPILOT/Tender/SplashBidNoticeAbstractUI.aspx?menuIndex=3&amp;refID=7146618&amp;Result=3","7146618")</f>
        <v>0</v>
      </c>
      <c r="B4276" t="s">
        <v>1605</v>
      </c>
      <c r="C4276" t="s">
        <v>7811</v>
      </c>
      <c r="D4276" t="s">
        <v>17951</v>
      </c>
      <c r="E4276" t="s">
        <v>21891</v>
      </c>
      <c r="F4276" t="s">
        <v>30900</v>
      </c>
      <c r="G4276" t="s">
        <v>30907</v>
      </c>
      <c r="H4276" t="s">
        <v>30915</v>
      </c>
      <c r="I4276" t="s">
        <v>30919</v>
      </c>
      <c r="J4276" t="s">
        <v>33947</v>
      </c>
      <c r="K4276" t="s">
        <v>40286</v>
      </c>
      <c r="M4276" t="s">
        <v>42255</v>
      </c>
      <c r="N4276" t="s">
        <v>44759</v>
      </c>
      <c r="O4276" t="s">
        <v>44760</v>
      </c>
      <c r="P4276">
        <v>0</v>
      </c>
      <c r="Q4276">
        <v>0</v>
      </c>
      <c r="R4276" t="s">
        <v>44763</v>
      </c>
      <c r="S4276" t="s">
        <v>44876</v>
      </c>
      <c r="T4276" t="s">
        <v>46357</v>
      </c>
      <c r="U4276" t="s">
        <v>50400</v>
      </c>
      <c r="W4276" t="s">
        <v>42255</v>
      </c>
      <c r="X4276" t="s">
        <v>44767</v>
      </c>
    </row>
    <row r="4277" spans="1:24">
      <c r="A4277">
        <f>HYPERLINK("https://www.philgeps.gov.ph/GEPSNONPILOT/Tender/SplashBidNoticeAbstractUI.aspx?menuIndex=3&amp;refID=7146669&amp;Result=3","7146669")</f>
        <v>0</v>
      </c>
      <c r="B4277" t="s">
        <v>1625</v>
      </c>
      <c r="C4277" t="s">
        <v>7812</v>
      </c>
      <c r="D4277" t="s">
        <v>17967</v>
      </c>
      <c r="E4277" t="s">
        <v>21892</v>
      </c>
      <c r="F4277" t="s">
        <v>30900</v>
      </c>
      <c r="G4277" t="s">
        <v>30908</v>
      </c>
      <c r="H4277" t="s">
        <v>30916</v>
      </c>
      <c r="I4277" t="s">
        <v>30983</v>
      </c>
      <c r="J4277" t="s">
        <v>31082</v>
      </c>
      <c r="K4277" t="s">
        <v>40287</v>
      </c>
      <c r="M4277" t="s">
        <v>42276</v>
      </c>
      <c r="N4277" t="s">
        <v>44759</v>
      </c>
      <c r="O4277" t="s">
        <v>44760</v>
      </c>
      <c r="P4277">
        <v>0</v>
      </c>
      <c r="Q4277">
        <v>0</v>
      </c>
      <c r="R4277" t="s">
        <v>44763</v>
      </c>
      <c r="S4277" t="s">
        <v>44876</v>
      </c>
      <c r="T4277" t="s">
        <v>46400</v>
      </c>
      <c r="U4277" t="s">
        <v>50506</v>
      </c>
      <c r="W4277" t="s">
        <v>42276</v>
      </c>
      <c r="X4277" t="s">
        <v>44767</v>
      </c>
    </row>
    <row r="4278" spans="1:24">
      <c r="A4278">
        <f>HYPERLINK("https://www.philgeps.gov.ph/GEPSNONPILOT/Tender/SplashBidNoticeAbstractUI.aspx?menuIndex=3&amp;refID=7146551&amp;Result=3","7146551")</f>
        <v>0</v>
      </c>
      <c r="B4278" t="s">
        <v>1603</v>
      </c>
      <c r="C4278" t="s">
        <v>7813</v>
      </c>
      <c r="D4278" t="s">
        <v>17980</v>
      </c>
      <c r="E4278" t="s">
        <v>21893</v>
      </c>
      <c r="F4278" t="s">
        <v>30900</v>
      </c>
      <c r="G4278" t="s">
        <v>30906</v>
      </c>
      <c r="H4278" t="s">
        <v>30916</v>
      </c>
      <c r="I4278" t="s">
        <v>30939</v>
      </c>
      <c r="J4278" t="s">
        <v>33948</v>
      </c>
      <c r="K4278" t="s">
        <v>40289</v>
      </c>
      <c r="M4278" t="s">
        <v>42253</v>
      </c>
      <c r="N4278" t="s">
        <v>44759</v>
      </c>
      <c r="O4278" t="s">
        <v>44760</v>
      </c>
      <c r="P4278">
        <v>0</v>
      </c>
      <c r="Q4278">
        <v>0</v>
      </c>
      <c r="R4278" t="s">
        <v>44763</v>
      </c>
      <c r="S4278" t="s">
        <v>44876</v>
      </c>
      <c r="T4278" t="s">
        <v>46357</v>
      </c>
      <c r="U4278" t="s">
        <v>50507</v>
      </c>
      <c r="V4278" t="s">
        <v>59568</v>
      </c>
      <c r="W4278" t="s">
        <v>42253</v>
      </c>
      <c r="X4278" t="s">
        <v>44767</v>
      </c>
    </row>
    <row r="4279" spans="1:24">
      <c r="A4279">
        <f>HYPERLINK("https://www.philgeps.gov.ph/GEPSNONPILOT/Tender/SplashBidNoticeAbstractUI.aspx?menuIndex=3&amp;refID=7146826&amp;Result=3","7146826")</f>
        <v>0</v>
      </c>
      <c r="B4279" t="s">
        <v>992</v>
      </c>
      <c r="C4279" t="s">
        <v>7814</v>
      </c>
      <c r="D4279" t="s">
        <v>17954</v>
      </c>
      <c r="E4279" t="s">
        <v>21894</v>
      </c>
      <c r="F4279" t="s">
        <v>30900</v>
      </c>
      <c r="G4279" t="s">
        <v>30908</v>
      </c>
      <c r="H4279" t="s">
        <v>30916</v>
      </c>
      <c r="I4279" t="s">
        <v>4004</v>
      </c>
      <c r="J4279" t="s">
        <v>33949</v>
      </c>
      <c r="K4279" t="s">
        <v>40280</v>
      </c>
      <c r="M4279" t="s">
        <v>41673</v>
      </c>
      <c r="N4279" t="s">
        <v>44759</v>
      </c>
      <c r="O4279" t="s">
        <v>44760</v>
      </c>
      <c r="P4279">
        <v>0</v>
      </c>
      <c r="Q4279">
        <v>3</v>
      </c>
      <c r="R4279" t="s">
        <v>44763</v>
      </c>
      <c r="S4279" t="s">
        <v>44876</v>
      </c>
      <c r="T4279" t="s">
        <v>46390</v>
      </c>
      <c r="U4279" t="s">
        <v>50471</v>
      </c>
      <c r="W4279" t="s">
        <v>41673</v>
      </c>
      <c r="X4279" t="s">
        <v>44767</v>
      </c>
    </row>
    <row r="4280" spans="1:24">
      <c r="A4280">
        <f>HYPERLINK("https://www.philgeps.gov.ph/GEPSNONPILOT/Tender/SplashBidNoticeAbstractUI.aspx?menuIndex=3&amp;refID=7146793&amp;Result=3","7146793")</f>
        <v>0</v>
      </c>
      <c r="B4280" t="s">
        <v>1621</v>
      </c>
      <c r="C4280" t="s">
        <v>7815</v>
      </c>
      <c r="D4280" t="s">
        <v>17978</v>
      </c>
      <c r="E4280" t="s">
        <v>21895</v>
      </c>
      <c r="F4280" t="s">
        <v>30900</v>
      </c>
      <c r="G4280" t="s">
        <v>30908</v>
      </c>
      <c r="H4280" t="s">
        <v>30916</v>
      </c>
      <c r="I4280" t="s">
        <v>30961</v>
      </c>
      <c r="J4280" t="s">
        <v>33950</v>
      </c>
      <c r="K4280" t="s">
        <v>40286</v>
      </c>
      <c r="M4280" t="s">
        <v>42272</v>
      </c>
      <c r="N4280" t="s">
        <v>44759</v>
      </c>
      <c r="O4280" t="s">
        <v>44760</v>
      </c>
      <c r="P4280">
        <v>0</v>
      </c>
      <c r="Q4280">
        <v>3</v>
      </c>
      <c r="R4280" t="s">
        <v>44763</v>
      </c>
      <c r="S4280" t="s">
        <v>44876</v>
      </c>
      <c r="T4280" t="s">
        <v>46391</v>
      </c>
      <c r="U4280" t="s">
        <v>50508</v>
      </c>
      <c r="W4280" t="s">
        <v>42272</v>
      </c>
      <c r="X4280" t="s">
        <v>44767</v>
      </c>
    </row>
    <row r="4281" spans="1:24">
      <c r="A4281">
        <f>HYPERLINK("https://www.philgeps.gov.ph/GEPSNONPILOT/Tender/SplashBidNoticeAbstractUI.aspx?menuIndex=3&amp;refID=7146938&amp;Result=3","7146938")</f>
        <v>0</v>
      </c>
      <c r="B4281" t="s">
        <v>1621</v>
      </c>
      <c r="C4281" t="s">
        <v>7816</v>
      </c>
      <c r="D4281" t="s">
        <v>17978</v>
      </c>
      <c r="E4281" t="s">
        <v>21896</v>
      </c>
      <c r="F4281" t="s">
        <v>30900</v>
      </c>
      <c r="G4281" t="s">
        <v>30908</v>
      </c>
      <c r="H4281" t="s">
        <v>30916</v>
      </c>
      <c r="I4281" t="s">
        <v>30947</v>
      </c>
      <c r="J4281" t="s">
        <v>31230</v>
      </c>
      <c r="K4281" t="s">
        <v>40302</v>
      </c>
      <c r="M4281" t="s">
        <v>42272</v>
      </c>
      <c r="N4281" t="s">
        <v>44759</v>
      </c>
      <c r="O4281" t="s">
        <v>44760</v>
      </c>
      <c r="P4281">
        <v>0</v>
      </c>
      <c r="Q4281">
        <v>0</v>
      </c>
      <c r="R4281" t="s">
        <v>44763</v>
      </c>
      <c r="S4281" t="s">
        <v>44876</v>
      </c>
      <c r="T4281" t="s">
        <v>46391</v>
      </c>
      <c r="U4281" t="s">
        <v>50509</v>
      </c>
      <c r="W4281" t="s">
        <v>42272</v>
      </c>
      <c r="X4281" t="s">
        <v>44767</v>
      </c>
    </row>
    <row r="4282" spans="1:24">
      <c r="A4282">
        <f>HYPERLINK("https://www.philgeps.gov.ph/GEPSNONPILOT/Tender/SplashBidNoticeAbstractUI.aspx?menuIndex=3&amp;refID=7146786&amp;Result=3","7146786")</f>
        <v>0</v>
      </c>
      <c r="B4282" t="s">
        <v>1626</v>
      </c>
      <c r="C4282" t="s">
        <v>7817</v>
      </c>
      <c r="D4282" t="s">
        <v>17993</v>
      </c>
      <c r="E4282" t="s">
        <v>21897</v>
      </c>
      <c r="F4282" t="s">
        <v>30900</v>
      </c>
      <c r="G4282" t="s">
        <v>30906</v>
      </c>
      <c r="H4282" t="s">
        <v>30916</v>
      </c>
      <c r="I4282" t="s">
        <v>30983</v>
      </c>
      <c r="J4282" t="s">
        <v>31341</v>
      </c>
      <c r="K4282" t="s">
        <v>40287</v>
      </c>
      <c r="M4282" t="s">
        <v>42277</v>
      </c>
      <c r="N4282" t="s">
        <v>44759</v>
      </c>
      <c r="O4282" t="s">
        <v>44760</v>
      </c>
      <c r="P4282">
        <v>0</v>
      </c>
      <c r="Q4282">
        <v>0</v>
      </c>
      <c r="R4282" t="s">
        <v>44763</v>
      </c>
      <c r="S4282" t="s">
        <v>44876</v>
      </c>
      <c r="T4282" t="s">
        <v>46399</v>
      </c>
      <c r="U4282" t="s">
        <v>50510</v>
      </c>
      <c r="W4282" t="s">
        <v>42277</v>
      </c>
      <c r="X4282" t="s">
        <v>44767</v>
      </c>
    </row>
    <row r="4283" spans="1:24">
      <c r="A4283">
        <f>HYPERLINK("https://www.philgeps.gov.ph/GEPSNONPILOT/Tender/SplashBidNoticeAbstractUI.aspx?menuIndex=3&amp;refID=7146925&amp;Result=3","7146925")</f>
        <v>0</v>
      </c>
      <c r="B4283" t="s">
        <v>752</v>
      </c>
      <c r="C4283" t="s">
        <v>7818</v>
      </c>
      <c r="D4283" t="s">
        <v>17980</v>
      </c>
      <c r="E4283" t="s">
        <v>21898</v>
      </c>
      <c r="F4283" t="s">
        <v>30900</v>
      </c>
      <c r="G4283" t="s">
        <v>30908</v>
      </c>
      <c r="H4283" t="s">
        <v>30916</v>
      </c>
      <c r="I4283" t="s">
        <v>30924</v>
      </c>
      <c r="J4283" t="s">
        <v>33951</v>
      </c>
      <c r="K4283" t="s">
        <v>40287</v>
      </c>
      <c r="M4283" t="s">
        <v>41316</v>
      </c>
      <c r="N4283" t="s">
        <v>44759</v>
      </c>
      <c r="O4283" t="s">
        <v>44760</v>
      </c>
      <c r="P4283">
        <v>0</v>
      </c>
      <c r="Q4283">
        <v>0</v>
      </c>
      <c r="R4283" t="s">
        <v>44763</v>
      </c>
      <c r="S4283" t="s">
        <v>44876</v>
      </c>
      <c r="T4283" t="s">
        <v>46664</v>
      </c>
      <c r="U4283" t="s">
        <v>50511</v>
      </c>
      <c r="W4283" t="s">
        <v>41316</v>
      </c>
      <c r="X4283" t="s">
        <v>44767</v>
      </c>
    </row>
    <row r="4284" spans="1:24">
      <c r="A4284">
        <f>HYPERLINK("https://www.philgeps.gov.ph/GEPSNONPILOT/Tender/SplashBidNoticeAbstractUI.aspx?menuIndex=3&amp;refID=7146898&amp;Result=3","7146898")</f>
        <v>0</v>
      </c>
      <c r="B4284" t="s">
        <v>1621</v>
      </c>
      <c r="C4284" t="s">
        <v>7819</v>
      </c>
      <c r="D4284" t="s">
        <v>17978</v>
      </c>
      <c r="E4284" t="s">
        <v>21899</v>
      </c>
      <c r="F4284" t="s">
        <v>30900</v>
      </c>
      <c r="G4284" t="s">
        <v>30908</v>
      </c>
      <c r="H4284" t="s">
        <v>30916</v>
      </c>
      <c r="I4284" t="s">
        <v>30947</v>
      </c>
      <c r="J4284" t="s">
        <v>33952</v>
      </c>
      <c r="K4284" t="s">
        <v>40302</v>
      </c>
      <c r="M4284" t="s">
        <v>42272</v>
      </c>
      <c r="N4284" t="s">
        <v>44759</v>
      </c>
      <c r="O4284" t="s">
        <v>44760</v>
      </c>
      <c r="P4284">
        <v>0</v>
      </c>
      <c r="Q4284">
        <v>0</v>
      </c>
      <c r="R4284" t="s">
        <v>44763</v>
      </c>
      <c r="S4284" t="s">
        <v>44876</v>
      </c>
      <c r="T4284" t="s">
        <v>46391</v>
      </c>
      <c r="U4284" t="s">
        <v>50512</v>
      </c>
      <c r="W4284" t="s">
        <v>42272</v>
      </c>
      <c r="X4284" t="s">
        <v>44767</v>
      </c>
    </row>
    <row r="4285" spans="1:24">
      <c r="A4285">
        <f>HYPERLINK("https://www.philgeps.gov.ph/GEPSNONPILOT/Tender/SplashBidNoticeAbstractUI.aspx?menuIndex=3&amp;refID=7147026&amp;Result=3","7147026")</f>
        <v>0</v>
      </c>
      <c r="B4285" t="s">
        <v>81</v>
      </c>
      <c r="C4285" t="s">
        <v>7820</v>
      </c>
      <c r="D4285" t="s">
        <v>17959</v>
      </c>
      <c r="E4285" t="s">
        <v>19120</v>
      </c>
      <c r="F4285" t="s">
        <v>30900</v>
      </c>
      <c r="G4285" t="s">
        <v>30906</v>
      </c>
      <c r="H4285" t="s">
        <v>30916</v>
      </c>
      <c r="I4285" t="s">
        <v>30924</v>
      </c>
      <c r="J4285" t="s">
        <v>33953</v>
      </c>
      <c r="K4285" t="s">
        <v>40289</v>
      </c>
      <c r="M4285" t="s">
        <v>41401</v>
      </c>
      <c r="N4285" t="s">
        <v>44759</v>
      </c>
      <c r="O4285" t="s">
        <v>44760</v>
      </c>
      <c r="P4285">
        <v>0</v>
      </c>
      <c r="Q4285">
        <v>5</v>
      </c>
      <c r="R4285" t="s">
        <v>44763</v>
      </c>
      <c r="S4285" t="s">
        <v>44876</v>
      </c>
      <c r="T4285" t="s">
        <v>46399</v>
      </c>
      <c r="U4285" t="s">
        <v>50513</v>
      </c>
      <c r="V4285" t="s">
        <v>59313</v>
      </c>
      <c r="W4285" t="s">
        <v>41401</v>
      </c>
      <c r="X4285" t="s">
        <v>44767</v>
      </c>
    </row>
    <row r="4286" spans="1:24">
      <c r="A4286">
        <f>HYPERLINK("https://www.philgeps.gov.ph/GEPSNONPILOT/Tender/SplashBidNoticeAbstractUI.aspx?menuIndex=3&amp;refID=7146675&amp;Result=3","7146675")</f>
        <v>0</v>
      </c>
      <c r="B4286" t="s">
        <v>1603</v>
      </c>
      <c r="C4286" t="s">
        <v>7821</v>
      </c>
      <c r="D4286" t="s">
        <v>17980</v>
      </c>
      <c r="E4286" t="s">
        <v>21900</v>
      </c>
      <c r="F4286" t="s">
        <v>30900</v>
      </c>
      <c r="G4286" t="s">
        <v>30908</v>
      </c>
      <c r="H4286" t="s">
        <v>30916</v>
      </c>
      <c r="I4286" t="s">
        <v>4545</v>
      </c>
      <c r="J4286" t="s">
        <v>32288</v>
      </c>
      <c r="K4286" t="s">
        <v>40284</v>
      </c>
      <c r="M4286" t="s">
        <v>42253</v>
      </c>
      <c r="N4286" t="s">
        <v>44759</v>
      </c>
      <c r="O4286" t="s">
        <v>44760</v>
      </c>
      <c r="P4286">
        <v>0</v>
      </c>
      <c r="Q4286">
        <v>1</v>
      </c>
      <c r="R4286" t="s">
        <v>44763</v>
      </c>
      <c r="S4286" t="s">
        <v>44876</v>
      </c>
      <c r="T4286" t="s">
        <v>46357</v>
      </c>
      <c r="U4286" t="s">
        <v>50514</v>
      </c>
      <c r="V4286" t="s">
        <v>59568</v>
      </c>
      <c r="W4286" t="s">
        <v>42253</v>
      </c>
      <c r="X4286" t="s">
        <v>44767</v>
      </c>
    </row>
    <row r="4287" spans="1:24">
      <c r="A4287">
        <f>HYPERLINK("https://www.philgeps.gov.ph/GEPSNONPILOT/Tender/SplashBidNoticeAbstractUI.aspx?menuIndex=3&amp;refID=7146988&amp;Result=3","7146988")</f>
        <v>0</v>
      </c>
      <c r="B4287" t="s">
        <v>75</v>
      </c>
      <c r="C4287" t="s">
        <v>7822</v>
      </c>
      <c r="E4287" t="s">
        <v>21901</v>
      </c>
      <c r="F4287" t="s">
        <v>30900</v>
      </c>
      <c r="G4287" t="s">
        <v>30907</v>
      </c>
      <c r="H4287" t="s">
        <v>30916</v>
      </c>
      <c r="I4287" t="s">
        <v>30923</v>
      </c>
      <c r="J4287" t="s">
        <v>33954</v>
      </c>
      <c r="K4287" t="s">
        <v>40289</v>
      </c>
      <c r="M4287" t="s">
        <v>42278</v>
      </c>
      <c r="N4287" t="s">
        <v>44759</v>
      </c>
      <c r="O4287" t="s">
        <v>44760</v>
      </c>
      <c r="P4287">
        <v>0</v>
      </c>
      <c r="Q4287">
        <v>22</v>
      </c>
      <c r="R4287" t="s">
        <v>44763</v>
      </c>
      <c r="S4287" t="s">
        <v>44876</v>
      </c>
      <c r="T4287" t="s">
        <v>46377</v>
      </c>
      <c r="U4287" t="s">
        <v>50515</v>
      </c>
      <c r="W4287" t="s">
        <v>60870</v>
      </c>
      <c r="X4287" t="s">
        <v>44767</v>
      </c>
    </row>
    <row r="4288" spans="1:24">
      <c r="A4288">
        <f>HYPERLINK("https://www.philgeps.gov.ph/GEPSNONPILOT/Tender/SplashBidNoticeAbstractUI.aspx?menuIndex=3&amp;refID=7146984&amp;Result=3","7146984")</f>
        <v>0</v>
      </c>
      <c r="B4288" t="s">
        <v>1627</v>
      </c>
      <c r="C4288" t="s">
        <v>7823</v>
      </c>
      <c r="D4288" t="s">
        <v>17978</v>
      </c>
      <c r="E4288" t="s">
        <v>21902</v>
      </c>
      <c r="F4288" t="s">
        <v>30900</v>
      </c>
      <c r="G4288" t="s">
        <v>30907</v>
      </c>
      <c r="H4288" t="s">
        <v>30916</v>
      </c>
      <c r="I4288" t="s">
        <v>30924</v>
      </c>
      <c r="J4288" t="s">
        <v>31391</v>
      </c>
      <c r="K4288" t="s">
        <v>40280</v>
      </c>
      <c r="M4288" t="s">
        <v>42279</v>
      </c>
      <c r="N4288" t="s">
        <v>44759</v>
      </c>
      <c r="O4288" t="s">
        <v>44760</v>
      </c>
      <c r="P4288">
        <v>0</v>
      </c>
      <c r="Q4288">
        <v>4</v>
      </c>
      <c r="R4288" t="s">
        <v>44763</v>
      </c>
      <c r="S4288" t="s">
        <v>44876</v>
      </c>
      <c r="T4288" t="s">
        <v>46405</v>
      </c>
      <c r="U4288" t="s">
        <v>50516</v>
      </c>
      <c r="W4288" t="s">
        <v>42279</v>
      </c>
      <c r="X4288" t="s">
        <v>44767</v>
      </c>
    </row>
    <row r="4289" spans="1:24">
      <c r="A4289">
        <f>HYPERLINK("https://www.philgeps.gov.ph/GEPSNONPILOT/Tender/SplashBidNoticeAbstractUI.aspx?menuIndex=3&amp;refID=7146972&amp;Result=3","7146972")</f>
        <v>0</v>
      </c>
      <c r="B4289" t="s">
        <v>1621</v>
      </c>
      <c r="C4289" t="s">
        <v>7824</v>
      </c>
      <c r="D4289" t="s">
        <v>17978</v>
      </c>
      <c r="E4289" t="s">
        <v>21903</v>
      </c>
      <c r="F4289" t="s">
        <v>30900</v>
      </c>
      <c r="G4289" t="s">
        <v>30908</v>
      </c>
      <c r="H4289" t="s">
        <v>30916</v>
      </c>
      <c r="I4289" t="s">
        <v>31004</v>
      </c>
      <c r="J4289" t="s">
        <v>31101</v>
      </c>
      <c r="K4289" t="s">
        <v>40283</v>
      </c>
      <c r="M4289" t="s">
        <v>42272</v>
      </c>
      <c r="N4289" t="s">
        <v>44759</v>
      </c>
      <c r="O4289" t="s">
        <v>44760</v>
      </c>
      <c r="P4289">
        <v>0</v>
      </c>
      <c r="Q4289">
        <v>0</v>
      </c>
      <c r="R4289" t="s">
        <v>44763</v>
      </c>
      <c r="S4289" t="s">
        <v>44876</v>
      </c>
      <c r="T4289" t="s">
        <v>46391</v>
      </c>
      <c r="U4289" t="s">
        <v>50517</v>
      </c>
      <c r="W4289" t="s">
        <v>42272</v>
      </c>
      <c r="X4289" t="s">
        <v>44767</v>
      </c>
    </row>
    <row r="4290" spans="1:24">
      <c r="A4290">
        <f>HYPERLINK("https://www.philgeps.gov.ph/GEPSNONPILOT/Tender/SplashBidNoticeAbstractUI.aspx?menuIndex=3&amp;refID=7146773&amp;Result=3","7146773")</f>
        <v>0</v>
      </c>
      <c r="B4290" t="s">
        <v>1603</v>
      </c>
      <c r="C4290" t="s">
        <v>7825</v>
      </c>
      <c r="D4290" t="s">
        <v>17980</v>
      </c>
      <c r="E4290" t="s">
        <v>21904</v>
      </c>
      <c r="F4290" t="s">
        <v>30900</v>
      </c>
      <c r="G4290" t="s">
        <v>30908</v>
      </c>
      <c r="H4290" t="s">
        <v>30916</v>
      </c>
      <c r="I4290" t="s">
        <v>30961</v>
      </c>
      <c r="J4290" t="s">
        <v>33955</v>
      </c>
      <c r="K4290" t="s">
        <v>40284</v>
      </c>
      <c r="M4290" t="s">
        <v>42253</v>
      </c>
      <c r="N4290" t="s">
        <v>44759</v>
      </c>
      <c r="O4290" t="s">
        <v>44760</v>
      </c>
      <c r="P4290">
        <v>0</v>
      </c>
      <c r="Q4290">
        <v>2</v>
      </c>
      <c r="R4290" t="s">
        <v>44763</v>
      </c>
      <c r="S4290" t="s">
        <v>44876</v>
      </c>
      <c r="T4290" t="s">
        <v>46357</v>
      </c>
      <c r="U4290" t="s">
        <v>50518</v>
      </c>
      <c r="V4290" t="s">
        <v>59568</v>
      </c>
      <c r="W4290" t="s">
        <v>42253</v>
      </c>
      <c r="X4290" t="s">
        <v>44767</v>
      </c>
    </row>
    <row r="4291" spans="1:24">
      <c r="A4291">
        <f>HYPERLINK("https://www.philgeps.gov.ph/GEPSNONPILOT/Tender/SplashBidNoticeAbstractUI.aspx?menuIndex=3&amp;refID=7146895&amp;Result=3","7146895")</f>
        <v>0</v>
      </c>
      <c r="B4291" t="s">
        <v>752</v>
      </c>
      <c r="C4291" t="s">
        <v>7826</v>
      </c>
      <c r="D4291" t="s">
        <v>17980</v>
      </c>
      <c r="E4291" t="s">
        <v>21905</v>
      </c>
      <c r="F4291" t="s">
        <v>30900</v>
      </c>
      <c r="G4291" t="s">
        <v>30908</v>
      </c>
      <c r="H4291" t="s">
        <v>30916</v>
      </c>
      <c r="I4291" t="s">
        <v>6953</v>
      </c>
      <c r="J4291" t="s">
        <v>33956</v>
      </c>
      <c r="K4291" t="s">
        <v>40287</v>
      </c>
      <c r="M4291" t="s">
        <v>41316</v>
      </c>
      <c r="N4291" t="s">
        <v>44759</v>
      </c>
      <c r="O4291" t="s">
        <v>44760</v>
      </c>
      <c r="P4291">
        <v>0</v>
      </c>
      <c r="Q4291">
        <v>0</v>
      </c>
      <c r="R4291" t="s">
        <v>44763</v>
      </c>
      <c r="S4291" t="s">
        <v>44876</v>
      </c>
      <c r="T4291" t="s">
        <v>46548</v>
      </c>
      <c r="U4291" t="s">
        <v>50519</v>
      </c>
      <c r="W4291" t="s">
        <v>41316</v>
      </c>
      <c r="X4291" t="s">
        <v>44767</v>
      </c>
    </row>
    <row r="4292" spans="1:24">
      <c r="A4292">
        <f>HYPERLINK("https://www.philgeps.gov.ph/GEPSNONPILOT/Tender/SplashBidNoticeAbstractUI.aspx?menuIndex=3&amp;refID=7146877&amp;Result=3","7146877")</f>
        <v>0</v>
      </c>
      <c r="B4292" t="s">
        <v>1603</v>
      </c>
      <c r="C4292" t="s">
        <v>7827</v>
      </c>
      <c r="D4292" t="s">
        <v>17980</v>
      </c>
      <c r="E4292" t="s">
        <v>21906</v>
      </c>
      <c r="F4292" t="s">
        <v>30900</v>
      </c>
      <c r="G4292" t="s">
        <v>30908</v>
      </c>
      <c r="H4292" t="s">
        <v>30916</v>
      </c>
      <c r="I4292" t="s">
        <v>4545</v>
      </c>
      <c r="J4292" t="s">
        <v>33714</v>
      </c>
      <c r="K4292" t="s">
        <v>40284</v>
      </c>
      <c r="M4292" t="s">
        <v>42253</v>
      </c>
      <c r="N4292" t="s">
        <v>44759</v>
      </c>
      <c r="O4292" t="s">
        <v>44760</v>
      </c>
      <c r="P4292">
        <v>0</v>
      </c>
      <c r="Q4292">
        <v>2</v>
      </c>
      <c r="R4292" t="s">
        <v>44763</v>
      </c>
      <c r="S4292" t="s">
        <v>44876</v>
      </c>
      <c r="T4292" t="s">
        <v>46357</v>
      </c>
      <c r="U4292" t="s">
        <v>50520</v>
      </c>
      <c r="V4292" t="s">
        <v>59568</v>
      </c>
      <c r="W4292" t="s">
        <v>42253</v>
      </c>
      <c r="X4292" t="s">
        <v>44767</v>
      </c>
    </row>
    <row r="4293" spans="1:24">
      <c r="A4293">
        <f>HYPERLINK("https://www.philgeps.gov.ph/GEPSNONPILOT/Tender/SplashBidNoticeAbstractUI.aspx?menuIndex=3&amp;refID=7146866&amp;Result=3","7146866")</f>
        <v>0</v>
      </c>
      <c r="B4293" t="s">
        <v>1628</v>
      </c>
      <c r="C4293" t="s">
        <v>7828</v>
      </c>
      <c r="D4293" t="s">
        <v>18000</v>
      </c>
      <c r="E4293" t="s">
        <v>21907</v>
      </c>
      <c r="F4293" t="s">
        <v>30900</v>
      </c>
      <c r="G4293" t="s">
        <v>30908</v>
      </c>
      <c r="H4293" t="s">
        <v>30916</v>
      </c>
      <c r="I4293" t="s">
        <v>4108</v>
      </c>
      <c r="J4293" t="s">
        <v>33957</v>
      </c>
      <c r="K4293" t="s">
        <v>40283</v>
      </c>
      <c r="M4293" t="s">
        <v>42280</v>
      </c>
      <c r="N4293" t="s">
        <v>44759</v>
      </c>
      <c r="O4293" t="s">
        <v>44760</v>
      </c>
      <c r="P4293">
        <v>0</v>
      </c>
      <c r="Q4293">
        <v>0</v>
      </c>
      <c r="R4293" t="s">
        <v>44763</v>
      </c>
      <c r="S4293" t="s">
        <v>44876</v>
      </c>
      <c r="T4293" t="s">
        <v>46399</v>
      </c>
      <c r="U4293" t="s">
        <v>50521</v>
      </c>
      <c r="W4293" t="s">
        <v>42280</v>
      </c>
      <c r="X4293" t="s">
        <v>44767</v>
      </c>
    </row>
    <row r="4294" spans="1:24">
      <c r="A4294">
        <f>HYPERLINK("https://www.philgeps.gov.ph/GEPSNONPILOT/Tender/SplashBidNoticeAbstractUI.aspx?menuIndex=3&amp;refID=7146995&amp;Result=3","7146995")</f>
        <v>0</v>
      </c>
      <c r="B4294" t="s">
        <v>1621</v>
      </c>
      <c r="C4294" t="s">
        <v>7829</v>
      </c>
      <c r="D4294" t="s">
        <v>17978</v>
      </c>
      <c r="E4294" t="s">
        <v>21908</v>
      </c>
      <c r="F4294" t="s">
        <v>30900</v>
      </c>
      <c r="G4294" t="s">
        <v>30908</v>
      </c>
      <c r="H4294" t="s">
        <v>30916</v>
      </c>
      <c r="I4294" t="s">
        <v>10961</v>
      </c>
      <c r="J4294" t="s">
        <v>31211</v>
      </c>
      <c r="K4294" t="s">
        <v>40283</v>
      </c>
      <c r="M4294" t="s">
        <v>42272</v>
      </c>
      <c r="N4294" t="s">
        <v>44759</v>
      </c>
      <c r="O4294" t="s">
        <v>44760</v>
      </c>
      <c r="P4294">
        <v>0</v>
      </c>
      <c r="Q4294">
        <v>2</v>
      </c>
      <c r="R4294" t="s">
        <v>44763</v>
      </c>
      <c r="S4294" t="s">
        <v>44876</v>
      </c>
      <c r="T4294" t="s">
        <v>46391</v>
      </c>
      <c r="U4294" t="s">
        <v>50522</v>
      </c>
      <c r="W4294" t="s">
        <v>42272</v>
      </c>
      <c r="X4294" t="s">
        <v>44767</v>
      </c>
    </row>
    <row r="4295" spans="1:24">
      <c r="A4295">
        <f>HYPERLINK("https://www.philgeps.gov.ph/GEPSNONPILOT/Tender/SplashBidNoticeAbstractUI.aspx?menuIndex=3&amp;refID=7146994&amp;Result=3","7146994")</f>
        <v>0</v>
      </c>
      <c r="B4295" t="s">
        <v>752</v>
      </c>
      <c r="C4295" t="s">
        <v>7818</v>
      </c>
      <c r="D4295" t="s">
        <v>17980</v>
      </c>
      <c r="E4295" t="s">
        <v>21909</v>
      </c>
      <c r="F4295" t="s">
        <v>30900</v>
      </c>
      <c r="G4295" t="s">
        <v>30908</v>
      </c>
      <c r="H4295" t="s">
        <v>30916</v>
      </c>
      <c r="I4295" t="s">
        <v>31016</v>
      </c>
      <c r="J4295" t="s">
        <v>33958</v>
      </c>
      <c r="K4295" t="s">
        <v>40287</v>
      </c>
      <c r="M4295" t="s">
        <v>41316</v>
      </c>
      <c r="N4295" t="s">
        <v>44759</v>
      </c>
      <c r="O4295" t="s">
        <v>44760</v>
      </c>
      <c r="P4295">
        <v>0</v>
      </c>
      <c r="Q4295">
        <v>0</v>
      </c>
      <c r="R4295" t="s">
        <v>44763</v>
      </c>
      <c r="S4295" t="s">
        <v>44876</v>
      </c>
      <c r="T4295" t="s">
        <v>46644</v>
      </c>
      <c r="U4295" t="s">
        <v>50523</v>
      </c>
      <c r="W4295" t="s">
        <v>41316</v>
      </c>
      <c r="X4295" t="s">
        <v>44767</v>
      </c>
    </row>
    <row r="4296" spans="1:24">
      <c r="A4296">
        <f>HYPERLINK("https://www.philgeps.gov.ph/GEPSNONPILOT/Tender/SplashBidNoticeAbstractUI.aspx?menuIndex=3&amp;refID=7146828&amp;Result=3","7146828")</f>
        <v>0</v>
      </c>
      <c r="B4296" t="s">
        <v>1603</v>
      </c>
      <c r="C4296" t="s">
        <v>7830</v>
      </c>
      <c r="D4296" t="s">
        <v>17980</v>
      </c>
      <c r="E4296" t="s">
        <v>21910</v>
      </c>
      <c r="F4296" t="s">
        <v>30900</v>
      </c>
      <c r="G4296" t="s">
        <v>30908</v>
      </c>
      <c r="H4296" t="s">
        <v>30916</v>
      </c>
      <c r="I4296" t="s">
        <v>4545</v>
      </c>
      <c r="J4296" t="s">
        <v>32454</v>
      </c>
      <c r="K4296" t="s">
        <v>40284</v>
      </c>
      <c r="M4296" t="s">
        <v>42253</v>
      </c>
      <c r="N4296" t="s">
        <v>44759</v>
      </c>
      <c r="O4296" t="s">
        <v>44760</v>
      </c>
      <c r="P4296">
        <v>0</v>
      </c>
      <c r="Q4296">
        <v>2</v>
      </c>
      <c r="R4296" t="s">
        <v>44763</v>
      </c>
      <c r="S4296" t="s">
        <v>44876</v>
      </c>
      <c r="T4296" t="s">
        <v>46357</v>
      </c>
      <c r="U4296" t="s">
        <v>50524</v>
      </c>
      <c r="V4296" t="s">
        <v>59568</v>
      </c>
      <c r="W4296" t="s">
        <v>42253</v>
      </c>
      <c r="X4296" t="s">
        <v>44767</v>
      </c>
    </row>
    <row r="4297" spans="1:24">
      <c r="A4297">
        <f>HYPERLINK("https://www.philgeps.gov.ph/GEPSNONPILOT/Tender/SplashBidNoticeAbstractUI.aspx?menuIndex=3&amp;refID=7147043&amp;Result=3","7147043")</f>
        <v>0</v>
      </c>
      <c r="B4297" t="s">
        <v>1209</v>
      </c>
      <c r="C4297" t="s">
        <v>3996</v>
      </c>
      <c r="D4297" t="s">
        <v>17976</v>
      </c>
      <c r="E4297" t="s">
        <v>21911</v>
      </c>
      <c r="F4297" t="s">
        <v>30900</v>
      </c>
      <c r="G4297" t="s">
        <v>30909</v>
      </c>
      <c r="H4297" t="s">
        <v>30916</v>
      </c>
      <c r="I4297" t="s">
        <v>4142</v>
      </c>
      <c r="J4297" t="s">
        <v>33959</v>
      </c>
      <c r="K4297" t="s">
        <v>40284</v>
      </c>
      <c r="M4297" t="s">
        <v>41820</v>
      </c>
      <c r="N4297" t="s">
        <v>44759</v>
      </c>
      <c r="O4297" t="s">
        <v>44760</v>
      </c>
      <c r="P4297">
        <v>0</v>
      </c>
      <c r="Q4297">
        <v>3</v>
      </c>
      <c r="R4297" t="s">
        <v>44763</v>
      </c>
      <c r="S4297" t="s">
        <v>44876</v>
      </c>
      <c r="T4297" t="s">
        <v>46533</v>
      </c>
      <c r="U4297" t="s">
        <v>50525</v>
      </c>
      <c r="V4297" t="s">
        <v>59574</v>
      </c>
      <c r="W4297" t="s">
        <v>41820</v>
      </c>
      <c r="X4297" t="s">
        <v>44767</v>
      </c>
    </row>
    <row r="4298" spans="1:24">
      <c r="A4298">
        <f>HYPERLINK("https://www.philgeps.gov.ph/GEPSNONPILOT/Tender/SplashBidNoticeAbstractUI.aspx?menuIndex=3&amp;refID=7146947&amp;Result=3","7146947")</f>
        <v>0</v>
      </c>
      <c r="B4298" t="s">
        <v>1628</v>
      </c>
      <c r="C4298" t="s">
        <v>7831</v>
      </c>
      <c r="D4298" t="s">
        <v>18000</v>
      </c>
      <c r="E4298" t="s">
        <v>21912</v>
      </c>
      <c r="F4298" t="s">
        <v>30900</v>
      </c>
      <c r="G4298" t="s">
        <v>30908</v>
      </c>
      <c r="H4298" t="s">
        <v>30916</v>
      </c>
      <c r="I4298" t="s">
        <v>4108</v>
      </c>
      <c r="J4298" t="s">
        <v>33960</v>
      </c>
      <c r="K4298" t="s">
        <v>40291</v>
      </c>
      <c r="M4298" t="s">
        <v>42280</v>
      </c>
      <c r="N4298" t="s">
        <v>44759</v>
      </c>
      <c r="O4298" t="s">
        <v>44760</v>
      </c>
      <c r="P4298">
        <v>0</v>
      </c>
      <c r="Q4298">
        <v>1</v>
      </c>
      <c r="R4298" t="s">
        <v>44763</v>
      </c>
      <c r="S4298" t="s">
        <v>44876</v>
      </c>
      <c r="T4298" t="s">
        <v>46399</v>
      </c>
      <c r="U4298" t="s">
        <v>50526</v>
      </c>
      <c r="W4298" t="s">
        <v>42280</v>
      </c>
      <c r="X4298" t="s">
        <v>44767</v>
      </c>
    </row>
    <row r="4299" spans="1:24">
      <c r="A4299">
        <f>HYPERLINK("https://www.philgeps.gov.ph/GEPSNONPILOT/Tender/SplashBidNoticeAbstractUI.aspx?menuIndex=3&amp;refID=7147183&amp;Result=3","7147183")</f>
        <v>0</v>
      </c>
      <c r="B4299" t="s">
        <v>869</v>
      </c>
      <c r="C4299" t="s">
        <v>7832</v>
      </c>
      <c r="D4299" t="s">
        <v>17988</v>
      </c>
      <c r="E4299" t="s">
        <v>21913</v>
      </c>
      <c r="F4299" t="s">
        <v>30900</v>
      </c>
      <c r="G4299" t="s">
        <v>30907</v>
      </c>
      <c r="H4299" t="s">
        <v>30915</v>
      </c>
      <c r="I4299" t="s">
        <v>30919</v>
      </c>
      <c r="J4299" t="s">
        <v>33961</v>
      </c>
      <c r="K4299" t="s">
        <v>40291</v>
      </c>
      <c r="M4299" t="s">
        <v>41442</v>
      </c>
      <c r="N4299" t="s">
        <v>44759</v>
      </c>
      <c r="O4299" t="s">
        <v>44760</v>
      </c>
      <c r="P4299">
        <v>0</v>
      </c>
      <c r="Q4299">
        <v>0</v>
      </c>
      <c r="R4299" t="s">
        <v>44763</v>
      </c>
      <c r="S4299" t="s">
        <v>44876</v>
      </c>
      <c r="T4299" t="s">
        <v>46418</v>
      </c>
      <c r="U4299" t="s">
        <v>50527</v>
      </c>
      <c r="W4299" t="s">
        <v>41442</v>
      </c>
      <c r="X4299" t="s">
        <v>44767</v>
      </c>
    </row>
    <row r="4300" spans="1:24">
      <c r="A4300">
        <f>HYPERLINK("https://www.philgeps.gov.ph/GEPSNONPILOT/Tender/SplashBidNoticeAbstractUI.aspx?menuIndex=3&amp;refID=7147254&amp;Result=3","7147254")</f>
        <v>0</v>
      </c>
      <c r="B4300" t="s">
        <v>1629</v>
      </c>
      <c r="C4300" t="s">
        <v>7833</v>
      </c>
      <c r="D4300" t="s">
        <v>17982</v>
      </c>
      <c r="E4300" t="s">
        <v>21914</v>
      </c>
      <c r="F4300" t="s">
        <v>30900</v>
      </c>
      <c r="G4300" t="s">
        <v>30907</v>
      </c>
      <c r="H4300" t="s">
        <v>30916</v>
      </c>
      <c r="I4300" t="s">
        <v>6834</v>
      </c>
      <c r="J4300" t="s">
        <v>33962</v>
      </c>
      <c r="K4300" t="s">
        <v>40288</v>
      </c>
      <c r="M4300" t="s">
        <v>42281</v>
      </c>
      <c r="N4300" t="s">
        <v>44759</v>
      </c>
      <c r="O4300" t="s">
        <v>44760</v>
      </c>
      <c r="P4300">
        <v>0</v>
      </c>
      <c r="Q4300">
        <v>1</v>
      </c>
      <c r="R4300" t="s">
        <v>44763</v>
      </c>
      <c r="S4300" t="s">
        <v>44876</v>
      </c>
      <c r="T4300" t="s">
        <v>46421</v>
      </c>
      <c r="U4300" t="s">
        <v>50528</v>
      </c>
      <c r="V4300" t="s">
        <v>59575</v>
      </c>
      <c r="W4300" t="s">
        <v>42281</v>
      </c>
      <c r="X4300" t="s">
        <v>44767</v>
      </c>
    </row>
    <row r="4301" spans="1:24">
      <c r="A4301">
        <f>HYPERLINK("https://www.philgeps.gov.ph/GEPSNONPILOT/Tender/SplashBidNoticeAbstractUI.aspx?menuIndex=3&amp;refID=7147233&amp;Result=3","7147233")</f>
        <v>0</v>
      </c>
      <c r="B4301" t="s">
        <v>869</v>
      </c>
      <c r="C4301" t="s">
        <v>7834</v>
      </c>
      <c r="D4301" t="s">
        <v>17988</v>
      </c>
      <c r="E4301" t="s">
        <v>21915</v>
      </c>
      <c r="F4301" t="s">
        <v>30900</v>
      </c>
      <c r="G4301" t="s">
        <v>30907</v>
      </c>
      <c r="H4301" t="s">
        <v>30915</v>
      </c>
      <c r="I4301" t="s">
        <v>30919</v>
      </c>
      <c r="J4301" t="s">
        <v>33963</v>
      </c>
      <c r="K4301" t="s">
        <v>40284</v>
      </c>
      <c r="M4301" t="s">
        <v>41442</v>
      </c>
      <c r="N4301" t="s">
        <v>44759</v>
      </c>
      <c r="O4301" t="s">
        <v>44760</v>
      </c>
      <c r="P4301">
        <v>0</v>
      </c>
      <c r="Q4301">
        <v>0</v>
      </c>
      <c r="R4301" t="s">
        <v>44763</v>
      </c>
      <c r="S4301" t="s">
        <v>44876</v>
      </c>
      <c r="T4301" t="s">
        <v>46418</v>
      </c>
      <c r="U4301" t="s">
        <v>50529</v>
      </c>
      <c r="W4301" t="s">
        <v>41442</v>
      </c>
      <c r="X4301" t="s">
        <v>44767</v>
      </c>
    </row>
    <row r="4302" spans="1:24">
      <c r="A4302">
        <f>HYPERLINK("https://www.philgeps.gov.ph/GEPSNONPILOT/Tender/SplashBidNoticeAbstractUI.aspx?menuIndex=3&amp;refID=7146858&amp;Result=3","7146858")</f>
        <v>0</v>
      </c>
      <c r="B4302" t="s">
        <v>1621</v>
      </c>
      <c r="C4302" t="s">
        <v>7835</v>
      </c>
      <c r="D4302" t="s">
        <v>17978</v>
      </c>
      <c r="E4302" t="s">
        <v>21916</v>
      </c>
      <c r="F4302" t="s">
        <v>30900</v>
      </c>
      <c r="G4302" t="s">
        <v>30908</v>
      </c>
      <c r="H4302" t="s">
        <v>30916</v>
      </c>
      <c r="I4302" t="s">
        <v>30947</v>
      </c>
      <c r="J4302" t="s">
        <v>33964</v>
      </c>
      <c r="K4302" t="s">
        <v>40302</v>
      </c>
      <c r="M4302" t="s">
        <v>42272</v>
      </c>
      <c r="N4302" t="s">
        <v>44759</v>
      </c>
      <c r="O4302" t="s">
        <v>44760</v>
      </c>
      <c r="P4302">
        <v>0</v>
      </c>
      <c r="Q4302">
        <v>1</v>
      </c>
      <c r="R4302" t="s">
        <v>44763</v>
      </c>
      <c r="S4302" t="s">
        <v>44876</v>
      </c>
      <c r="T4302" t="s">
        <v>46391</v>
      </c>
      <c r="U4302" t="s">
        <v>50530</v>
      </c>
      <c r="W4302" t="s">
        <v>42272</v>
      </c>
      <c r="X4302" t="s">
        <v>44767</v>
      </c>
    </row>
    <row r="4303" spans="1:24">
      <c r="A4303">
        <f>HYPERLINK("https://www.philgeps.gov.ph/GEPSNONPILOT/Tender/SplashBidNoticeAbstractUI.aspx?menuIndex=3&amp;refID=7147210&amp;Result=3","7147210")</f>
        <v>0</v>
      </c>
      <c r="B4303" t="s">
        <v>1630</v>
      </c>
      <c r="C4303" t="s">
        <v>7836</v>
      </c>
      <c r="D4303" t="s">
        <v>17957</v>
      </c>
      <c r="E4303" t="s">
        <v>21917</v>
      </c>
      <c r="F4303" t="s">
        <v>30900</v>
      </c>
      <c r="G4303" t="s">
        <v>30907</v>
      </c>
      <c r="H4303" t="s">
        <v>30915</v>
      </c>
      <c r="I4303" t="s">
        <v>30919</v>
      </c>
      <c r="J4303" t="s">
        <v>33965</v>
      </c>
      <c r="K4303" t="s">
        <v>40400</v>
      </c>
      <c r="M4303" t="s">
        <v>42282</v>
      </c>
      <c r="N4303" t="s">
        <v>44759</v>
      </c>
      <c r="O4303" t="s">
        <v>44760</v>
      </c>
      <c r="P4303">
        <v>0</v>
      </c>
      <c r="Q4303">
        <v>0</v>
      </c>
      <c r="R4303" t="s">
        <v>44763</v>
      </c>
      <c r="S4303" t="s">
        <v>44876</v>
      </c>
      <c r="T4303" t="s">
        <v>46486</v>
      </c>
      <c r="U4303" t="s">
        <v>50531</v>
      </c>
      <c r="W4303" t="s">
        <v>42282</v>
      </c>
      <c r="X4303" t="s">
        <v>44767</v>
      </c>
    </row>
    <row r="4304" spans="1:24">
      <c r="A4304">
        <f>HYPERLINK("https://www.philgeps.gov.ph/GEPSNONPILOT/Tender/SplashBidNoticeAbstractUI.aspx?menuIndex=3&amp;refID=7147023&amp;Result=3","7147023")</f>
        <v>0</v>
      </c>
      <c r="B4304" t="s">
        <v>1621</v>
      </c>
      <c r="C4304" t="s">
        <v>7837</v>
      </c>
      <c r="D4304" t="s">
        <v>17978</v>
      </c>
      <c r="E4304" t="s">
        <v>21918</v>
      </c>
      <c r="F4304" t="s">
        <v>30900</v>
      </c>
      <c r="G4304" t="s">
        <v>30908</v>
      </c>
      <c r="H4304" t="s">
        <v>30916</v>
      </c>
      <c r="I4304" t="s">
        <v>30947</v>
      </c>
      <c r="J4304" t="s">
        <v>31522</v>
      </c>
      <c r="K4304" t="s">
        <v>40286</v>
      </c>
      <c r="M4304" t="s">
        <v>42272</v>
      </c>
      <c r="N4304" t="s">
        <v>44759</v>
      </c>
      <c r="O4304" t="s">
        <v>44760</v>
      </c>
      <c r="P4304">
        <v>0</v>
      </c>
      <c r="Q4304">
        <v>1</v>
      </c>
      <c r="R4304" t="s">
        <v>44763</v>
      </c>
      <c r="S4304" t="s">
        <v>44876</v>
      </c>
      <c r="T4304" t="s">
        <v>46391</v>
      </c>
      <c r="U4304" t="s">
        <v>50532</v>
      </c>
      <c r="W4304" t="s">
        <v>42272</v>
      </c>
      <c r="X4304" t="s">
        <v>44767</v>
      </c>
    </row>
    <row r="4305" spans="1:24">
      <c r="A4305">
        <f>HYPERLINK("https://www.philgeps.gov.ph/GEPSNONPILOT/Tender/SplashBidNoticeAbstractUI.aspx?menuIndex=3&amp;refID=7147140&amp;Result=3","7147140")</f>
        <v>0</v>
      </c>
      <c r="B4305" t="s">
        <v>992</v>
      </c>
      <c r="C4305" t="s">
        <v>7838</v>
      </c>
      <c r="D4305" t="s">
        <v>17954</v>
      </c>
      <c r="E4305" t="s">
        <v>21919</v>
      </c>
      <c r="F4305" t="s">
        <v>30900</v>
      </c>
      <c r="G4305" t="s">
        <v>30908</v>
      </c>
      <c r="H4305" t="s">
        <v>30916</v>
      </c>
      <c r="I4305" t="s">
        <v>31017</v>
      </c>
      <c r="J4305" t="s">
        <v>31052</v>
      </c>
      <c r="K4305" t="s">
        <v>40280</v>
      </c>
      <c r="M4305" t="s">
        <v>41673</v>
      </c>
      <c r="N4305" t="s">
        <v>44759</v>
      </c>
      <c r="O4305" t="s">
        <v>44760</v>
      </c>
      <c r="P4305">
        <v>0</v>
      </c>
      <c r="Q4305">
        <v>2</v>
      </c>
      <c r="R4305" t="s">
        <v>44763</v>
      </c>
      <c r="S4305" t="s">
        <v>44876</v>
      </c>
      <c r="T4305" t="s">
        <v>46390</v>
      </c>
      <c r="U4305" t="s">
        <v>50471</v>
      </c>
      <c r="W4305" t="s">
        <v>41673</v>
      </c>
      <c r="X4305" t="s">
        <v>44767</v>
      </c>
    </row>
    <row r="4306" spans="1:24">
      <c r="A4306">
        <f>HYPERLINK("https://www.philgeps.gov.ph/GEPSNONPILOT/Tender/SplashBidNoticeAbstractUI.aspx?menuIndex=3&amp;refID=7146833&amp;Result=3","7146833")</f>
        <v>0</v>
      </c>
      <c r="B4306" t="s">
        <v>1191</v>
      </c>
      <c r="C4306" t="s">
        <v>7839</v>
      </c>
      <c r="D4306" t="s">
        <v>17980</v>
      </c>
      <c r="E4306" t="s">
        <v>21920</v>
      </c>
      <c r="F4306" t="s">
        <v>30900</v>
      </c>
      <c r="G4306" t="s">
        <v>30907</v>
      </c>
      <c r="H4306" t="s">
        <v>30916</v>
      </c>
      <c r="I4306" t="s">
        <v>10847</v>
      </c>
      <c r="J4306" t="s">
        <v>33966</v>
      </c>
      <c r="K4306" t="s">
        <v>40286</v>
      </c>
      <c r="M4306" t="s">
        <v>41801</v>
      </c>
      <c r="N4306" t="s">
        <v>44759</v>
      </c>
      <c r="O4306" t="s">
        <v>44760</v>
      </c>
      <c r="P4306">
        <v>0</v>
      </c>
      <c r="Q4306">
        <v>0</v>
      </c>
      <c r="R4306" t="s">
        <v>44763</v>
      </c>
      <c r="S4306" t="s">
        <v>44876</v>
      </c>
      <c r="T4306" t="s">
        <v>46389</v>
      </c>
      <c r="U4306" t="s">
        <v>50533</v>
      </c>
      <c r="W4306" t="s">
        <v>41801</v>
      </c>
      <c r="X4306" t="s">
        <v>44767</v>
      </c>
    </row>
    <row r="4307" spans="1:24">
      <c r="A4307">
        <f>HYPERLINK("https://www.philgeps.gov.ph/GEPSNONPILOT/Tender/SplashBidNoticeAbstractUI.aspx?menuIndex=3&amp;refID=7147133&amp;Result=3","7147133")</f>
        <v>0</v>
      </c>
      <c r="B4307" t="s">
        <v>752</v>
      </c>
      <c r="C4307" t="s">
        <v>7840</v>
      </c>
      <c r="D4307" t="s">
        <v>17980</v>
      </c>
      <c r="E4307" t="s">
        <v>21921</v>
      </c>
      <c r="F4307" t="s">
        <v>30900</v>
      </c>
      <c r="G4307" t="s">
        <v>30908</v>
      </c>
      <c r="H4307" t="s">
        <v>30916</v>
      </c>
      <c r="I4307" t="s">
        <v>10602</v>
      </c>
      <c r="J4307" t="s">
        <v>33967</v>
      </c>
      <c r="K4307" t="s">
        <v>40287</v>
      </c>
      <c r="M4307" t="s">
        <v>41316</v>
      </c>
      <c r="N4307" t="s">
        <v>44759</v>
      </c>
      <c r="O4307" t="s">
        <v>44760</v>
      </c>
      <c r="P4307">
        <v>0</v>
      </c>
      <c r="Q4307">
        <v>0</v>
      </c>
      <c r="R4307" t="s">
        <v>44763</v>
      </c>
      <c r="S4307" t="s">
        <v>44876</v>
      </c>
      <c r="T4307" t="s">
        <v>46665</v>
      </c>
      <c r="U4307" t="s">
        <v>50534</v>
      </c>
      <c r="W4307" t="s">
        <v>41316</v>
      </c>
      <c r="X4307" t="s">
        <v>44767</v>
      </c>
    </row>
    <row r="4308" spans="1:24">
      <c r="A4308">
        <f>HYPERLINK("https://www.philgeps.gov.ph/GEPSNONPILOT/Tender/SplashBidNoticeAbstractUI.aspx?menuIndex=3&amp;refID=7147107&amp;Result=3","7147107")</f>
        <v>0</v>
      </c>
      <c r="B4308" t="s">
        <v>752</v>
      </c>
      <c r="C4308" t="s">
        <v>7841</v>
      </c>
      <c r="D4308" t="s">
        <v>17980</v>
      </c>
      <c r="E4308" t="s">
        <v>21922</v>
      </c>
      <c r="F4308" t="s">
        <v>30900</v>
      </c>
      <c r="G4308" t="s">
        <v>30908</v>
      </c>
      <c r="H4308" t="s">
        <v>30916</v>
      </c>
      <c r="I4308" t="s">
        <v>8123</v>
      </c>
      <c r="J4308" t="s">
        <v>33968</v>
      </c>
      <c r="K4308" t="s">
        <v>40287</v>
      </c>
      <c r="M4308" t="s">
        <v>41316</v>
      </c>
      <c r="N4308" t="s">
        <v>44759</v>
      </c>
      <c r="O4308" t="s">
        <v>44760</v>
      </c>
      <c r="P4308">
        <v>0</v>
      </c>
      <c r="Q4308">
        <v>0</v>
      </c>
      <c r="R4308" t="s">
        <v>44763</v>
      </c>
      <c r="S4308" t="s">
        <v>44876</v>
      </c>
      <c r="T4308" t="s">
        <v>46531</v>
      </c>
      <c r="U4308" t="s">
        <v>50535</v>
      </c>
      <c r="W4308" t="s">
        <v>41316</v>
      </c>
      <c r="X4308" t="s">
        <v>44767</v>
      </c>
    </row>
    <row r="4309" spans="1:24">
      <c r="A4309">
        <f>HYPERLINK("https://www.philgeps.gov.ph/GEPSNONPILOT/Tender/SplashBidNoticeAbstractUI.aspx?menuIndex=3&amp;refID=7147224&amp;Result=3","7147224")</f>
        <v>0</v>
      </c>
      <c r="B4309" t="s">
        <v>61</v>
      </c>
      <c r="C4309" t="s">
        <v>7842</v>
      </c>
      <c r="D4309" t="s">
        <v>17974</v>
      </c>
      <c r="E4309" t="s">
        <v>21923</v>
      </c>
      <c r="F4309" t="s">
        <v>30900</v>
      </c>
      <c r="G4309" t="s">
        <v>30907</v>
      </c>
      <c r="H4309" t="s">
        <v>30916</v>
      </c>
      <c r="I4309" t="s">
        <v>30933</v>
      </c>
      <c r="J4309" t="s">
        <v>33969</v>
      </c>
      <c r="K4309" t="s">
        <v>40289</v>
      </c>
      <c r="M4309" t="s">
        <v>40607</v>
      </c>
      <c r="N4309" t="s">
        <v>44759</v>
      </c>
      <c r="O4309" t="s">
        <v>44760</v>
      </c>
      <c r="P4309">
        <v>0</v>
      </c>
      <c r="Q4309">
        <v>4</v>
      </c>
      <c r="R4309" t="s">
        <v>44763</v>
      </c>
      <c r="S4309" t="s">
        <v>44876</v>
      </c>
      <c r="T4309" t="s">
        <v>46377</v>
      </c>
      <c r="U4309" t="s">
        <v>50536</v>
      </c>
      <c r="W4309" t="s">
        <v>40607</v>
      </c>
      <c r="X4309" t="s">
        <v>44767</v>
      </c>
    </row>
    <row r="4310" spans="1:24">
      <c r="A4310">
        <f>HYPERLINK("https://www.philgeps.gov.ph/GEPSNONPILOT/Tender/SplashBidNoticeAbstractUI.aspx?menuIndex=3&amp;refID=7147177&amp;Result=3","7147177")</f>
        <v>0</v>
      </c>
      <c r="B4310" t="s">
        <v>752</v>
      </c>
      <c r="C4310" t="s">
        <v>7818</v>
      </c>
      <c r="D4310" t="s">
        <v>17980</v>
      </c>
      <c r="E4310" t="s">
        <v>21924</v>
      </c>
      <c r="F4310" t="s">
        <v>30900</v>
      </c>
      <c r="G4310" t="s">
        <v>30908</v>
      </c>
      <c r="H4310" t="s">
        <v>30916</v>
      </c>
      <c r="I4310" t="s">
        <v>8123</v>
      </c>
      <c r="J4310" t="s">
        <v>33970</v>
      </c>
      <c r="K4310" t="s">
        <v>40287</v>
      </c>
      <c r="M4310" t="s">
        <v>41316</v>
      </c>
      <c r="N4310" t="s">
        <v>44759</v>
      </c>
      <c r="O4310" t="s">
        <v>44760</v>
      </c>
      <c r="P4310">
        <v>0</v>
      </c>
      <c r="Q4310">
        <v>0</v>
      </c>
      <c r="R4310" t="s">
        <v>44763</v>
      </c>
      <c r="S4310" t="s">
        <v>44876</v>
      </c>
      <c r="T4310" t="s">
        <v>46666</v>
      </c>
      <c r="U4310" t="s">
        <v>50537</v>
      </c>
      <c r="W4310" t="s">
        <v>41316</v>
      </c>
      <c r="X4310" t="s">
        <v>44767</v>
      </c>
    </row>
    <row r="4311" spans="1:24">
      <c r="A4311">
        <f>HYPERLINK("https://www.philgeps.gov.ph/GEPSNONPILOT/Tender/SplashBidNoticeAbstractUI.aspx?menuIndex=3&amp;refID=7147156&amp;Result=3","7147156")</f>
        <v>0</v>
      </c>
      <c r="B4311" t="s">
        <v>1602</v>
      </c>
      <c r="C4311" t="s">
        <v>7843</v>
      </c>
      <c r="D4311" t="s">
        <v>17959</v>
      </c>
      <c r="E4311" t="s">
        <v>21925</v>
      </c>
      <c r="F4311" t="s">
        <v>30900</v>
      </c>
      <c r="G4311" t="s">
        <v>30908</v>
      </c>
      <c r="H4311" t="s">
        <v>30916</v>
      </c>
      <c r="I4311" t="s">
        <v>10847</v>
      </c>
      <c r="J4311" t="s">
        <v>33971</v>
      </c>
      <c r="K4311" t="s">
        <v>40287</v>
      </c>
      <c r="M4311" t="s">
        <v>42283</v>
      </c>
      <c r="N4311" t="s">
        <v>44759</v>
      </c>
      <c r="O4311" t="s">
        <v>44760</v>
      </c>
      <c r="P4311">
        <v>0</v>
      </c>
      <c r="Q4311">
        <v>1</v>
      </c>
      <c r="R4311" t="s">
        <v>44763</v>
      </c>
      <c r="S4311" t="s">
        <v>44876</v>
      </c>
      <c r="T4311" t="s">
        <v>46414</v>
      </c>
      <c r="U4311" t="s">
        <v>50538</v>
      </c>
      <c r="W4311" t="s">
        <v>42283</v>
      </c>
      <c r="X4311" t="s">
        <v>44767</v>
      </c>
    </row>
    <row r="4312" spans="1:24">
      <c r="A4312">
        <f>HYPERLINK("https://www.philgeps.gov.ph/GEPSNONPILOT/Tender/SplashBidNoticeAbstractUI.aspx?menuIndex=3&amp;refID=7147068&amp;Result=3","7147068")</f>
        <v>0</v>
      </c>
      <c r="B4312" t="s">
        <v>1621</v>
      </c>
      <c r="C4312" t="s">
        <v>7844</v>
      </c>
      <c r="D4312" t="s">
        <v>17978</v>
      </c>
      <c r="E4312" t="s">
        <v>21926</v>
      </c>
      <c r="F4312" t="s">
        <v>30900</v>
      </c>
      <c r="G4312" t="s">
        <v>30908</v>
      </c>
      <c r="H4312" t="s">
        <v>30916</v>
      </c>
      <c r="I4312" t="s">
        <v>4545</v>
      </c>
      <c r="J4312" t="s">
        <v>33972</v>
      </c>
      <c r="K4312" t="s">
        <v>40283</v>
      </c>
      <c r="M4312" t="s">
        <v>42272</v>
      </c>
      <c r="N4312" t="s">
        <v>44759</v>
      </c>
      <c r="O4312" t="s">
        <v>44760</v>
      </c>
      <c r="P4312">
        <v>0</v>
      </c>
      <c r="Q4312">
        <v>0</v>
      </c>
      <c r="R4312" t="s">
        <v>44763</v>
      </c>
      <c r="S4312" t="s">
        <v>44876</v>
      </c>
      <c r="T4312" t="s">
        <v>46391</v>
      </c>
      <c r="U4312" t="s">
        <v>50539</v>
      </c>
      <c r="W4312" t="s">
        <v>42272</v>
      </c>
      <c r="X4312" t="s">
        <v>44767</v>
      </c>
    </row>
    <row r="4313" spans="1:24">
      <c r="A4313">
        <f>HYPERLINK("https://www.philgeps.gov.ph/GEPSNONPILOT/Tender/SplashBidNoticeAbstractUI.aspx?menuIndex=3&amp;refID=7147054&amp;Result=3","7147054")</f>
        <v>0</v>
      </c>
      <c r="B4313" t="s">
        <v>1631</v>
      </c>
      <c r="C4313" t="s">
        <v>7845</v>
      </c>
      <c r="D4313" t="s">
        <v>17971</v>
      </c>
      <c r="E4313" t="s">
        <v>21927</v>
      </c>
      <c r="F4313" t="s">
        <v>30899</v>
      </c>
      <c r="G4313" t="s">
        <v>30909</v>
      </c>
      <c r="H4313" t="s">
        <v>30916</v>
      </c>
      <c r="I4313" t="s">
        <v>6396</v>
      </c>
      <c r="J4313" t="s">
        <v>33973</v>
      </c>
      <c r="K4313" t="s">
        <v>40285</v>
      </c>
      <c r="M4313" t="s">
        <v>42284</v>
      </c>
      <c r="N4313" t="s">
        <v>44759</v>
      </c>
      <c r="O4313" t="s">
        <v>44760</v>
      </c>
      <c r="P4313">
        <v>0</v>
      </c>
      <c r="Q4313">
        <v>2</v>
      </c>
      <c r="R4313" t="s">
        <v>44763</v>
      </c>
      <c r="S4313" t="s">
        <v>44876</v>
      </c>
      <c r="T4313" t="s">
        <v>46376</v>
      </c>
      <c r="U4313" t="s">
        <v>50540</v>
      </c>
      <c r="V4313" t="s">
        <v>59576</v>
      </c>
      <c r="W4313" t="s">
        <v>42284</v>
      </c>
      <c r="X4313" t="s">
        <v>44767</v>
      </c>
    </row>
    <row r="4314" spans="1:24">
      <c r="A4314">
        <f>HYPERLINK("https://www.philgeps.gov.ph/GEPSNONPILOT/Tender/SplashBidNoticeAbstractUI.aspx?menuIndex=3&amp;refID=7147096&amp;Result=3","7147096")</f>
        <v>0</v>
      </c>
      <c r="B4314" t="s">
        <v>1621</v>
      </c>
      <c r="C4314" t="s">
        <v>7846</v>
      </c>
      <c r="D4314" t="s">
        <v>17978</v>
      </c>
      <c r="E4314" t="s">
        <v>21928</v>
      </c>
      <c r="F4314" t="s">
        <v>30900</v>
      </c>
      <c r="G4314" t="s">
        <v>30908</v>
      </c>
      <c r="H4314" t="s">
        <v>30916</v>
      </c>
      <c r="I4314" t="s">
        <v>30927</v>
      </c>
      <c r="J4314" t="s">
        <v>33974</v>
      </c>
      <c r="K4314" t="s">
        <v>40283</v>
      </c>
      <c r="M4314" t="s">
        <v>42272</v>
      </c>
      <c r="N4314" t="s">
        <v>44759</v>
      </c>
      <c r="O4314" t="s">
        <v>44760</v>
      </c>
      <c r="P4314">
        <v>0</v>
      </c>
      <c r="Q4314">
        <v>2</v>
      </c>
      <c r="R4314" t="s">
        <v>44763</v>
      </c>
      <c r="S4314" t="s">
        <v>44876</v>
      </c>
      <c r="T4314" t="s">
        <v>46391</v>
      </c>
      <c r="U4314" t="s">
        <v>50541</v>
      </c>
      <c r="W4314" t="s">
        <v>42272</v>
      </c>
      <c r="X4314" t="s">
        <v>44767</v>
      </c>
    </row>
    <row r="4315" spans="1:24">
      <c r="A4315">
        <f>HYPERLINK("https://www.philgeps.gov.ph/GEPSNONPILOT/Tender/SplashBidNoticeAbstractUI.aspx?menuIndex=3&amp;refID=7147074&amp;Result=3","7147074")</f>
        <v>0</v>
      </c>
      <c r="B4315" t="s">
        <v>752</v>
      </c>
      <c r="C4315" t="s">
        <v>7847</v>
      </c>
      <c r="D4315" t="s">
        <v>17980</v>
      </c>
      <c r="E4315" t="s">
        <v>21929</v>
      </c>
      <c r="F4315" t="s">
        <v>30900</v>
      </c>
      <c r="G4315" t="s">
        <v>30908</v>
      </c>
      <c r="H4315" t="s">
        <v>30916</v>
      </c>
      <c r="I4315" t="s">
        <v>8123</v>
      </c>
      <c r="J4315" t="s">
        <v>33975</v>
      </c>
      <c r="K4315" t="s">
        <v>40287</v>
      </c>
      <c r="M4315" t="s">
        <v>41316</v>
      </c>
      <c r="N4315" t="s">
        <v>44759</v>
      </c>
      <c r="O4315" t="s">
        <v>44760</v>
      </c>
      <c r="P4315">
        <v>0</v>
      </c>
      <c r="Q4315">
        <v>0</v>
      </c>
      <c r="R4315" t="s">
        <v>44763</v>
      </c>
      <c r="S4315" t="s">
        <v>44876</v>
      </c>
      <c r="T4315" t="s">
        <v>46667</v>
      </c>
      <c r="U4315" t="s">
        <v>50542</v>
      </c>
      <c r="W4315" t="s">
        <v>41316</v>
      </c>
      <c r="X4315" t="s">
        <v>44767</v>
      </c>
    </row>
    <row r="4316" spans="1:24">
      <c r="A4316">
        <f>HYPERLINK("https://www.philgeps.gov.ph/GEPSNONPILOT/Tender/SplashBidNoticeAbstractUI.aspx?menuIndex=3&amp;refID=7147095&amp;Result=3","7147095")</f>
        <v>0</v>
      </c>
      <c r="B4316" t="s">
        <v>992</v>
      </c>
      <c r="C4316" t="s">
        <v>7848</v>
      </c>
      <c r="D4316" t="s">
        <v>17954</v>
      </c>
      <c r="E4316" t="s">
        <v>21930</v>
      </c>
      <c r="F4316" t="s">
        <v>30900</v>
      </c>
      <c r="G4316" t="s">
        <v>30908</v>
      </c>
      <c r="H4316" t="s">
        <v>30916</v>
      </c>
      <c r="I4316" t="s">
        <v>30934</v>
      </c>
      <c r="J4316" t="s">
        <v>31355</v>
      </c>
      <c r="K4316" t="s">
        <v>40280</v>
      </c>
      <c r="M4316" t="s">
        <v>41673</v>
      </c>
      <c r="N4316" t="s">
        <v>44759</v>
      </c>
      <c r="O4316" t="s">
        <v>44760</v>
      </c>
      <c r="P4316">
        <v>0</v>
      </c>
      <c r="Q4316">
        <v>0</v>
      </c>
      <c r="R4316" t="s">
        <v>44763</v>
      </c>
      <c r="S4316" t="s">
        <v>44876</v>
      </c>
      <c r="T4316" t="s">
        <v>46390</v>
      </c>
      <c r="U4316" t="s">
        <v>50471</v>
      </c>
      <c r="W4316" t="s">
        <v>41673</v>
      </c>
      <c r="X4316" t="s">
        <v>44767</v>
      </c>
    </row>
    <row r="4317" spans="1:24">
      <c r="A4317">
        <f>HYPERLINK("https://www.philgeps.gov.ph/GEPSNONPILOT/Tender/SplashBidNoticeAbstractUI.aspx?menuIndex=3&amp;refID=7147030&amp;Result=3","7147030")</f>
        <v>0</v>
      </c>
      <c r="B4317" t="s">
        <v>1632</v>
      </c>
      <c r="C4317" t="s">
        <v>7849</v>
      </c>
      <c r="D4317" t="s">
        <v>17961</v>
      </c>
      <c r="E4317" t="s">
        <v>21931</v>
      </c>
      <c r="F4317" t="s">
        <v>30900</v>
      </c>
      <c r="G4317" t="s">
        <v>30907</v>
      </c>
      <c r="H4317" t="s">
        <v>30916</v>
      </c>
      <c r="I4317" t="s">
        <v>10879</v>
      </c>
      <c r="J4317" t="s">
        <v>31355</v>
      </c>
      <c r="K4317" t="s">
        <v>40286</v>
      </c>
      <c r="M4317" t="s">
        <v>42285</v>
      </c>
      <c r="N4317" t="s">
        <v>44759</v>
      </c>
      <c r="O4317" t="s">
        <v>44760</v>
      </c>
      <c r="P4317">
        <v>0</v>
      </c>
      <c r="Q4317">
        <v>1</v>
      </c>
      <c r="R4317" t="s">
        <v>44763</v>
      </c>
      <c r="S4317" t="s">
        <v>44876</v>
      </c>
      <c r="T4317" t="s">
        <v>46472</v>
      </c>
      <c r="U4317" t="s">
        <v>50543</v>
      </c>
      <c r="W4317" t="s">
        <v>42285</v>
      </c>
      <c r="X4317" t="s">
        <v>44767</v>
      </c>
    </row>
    <row r="4318" spans="1:24">
      <c r="A4318">
        <f>HYPERLINK("https://www.philgeps.gov.ph/GEPSNONPILOT/Tender/SplashBidNoticeAbstractUI.aspx?menuIndex=3&amp;refID=7147101&amp;Result=3","7147101")</f>
        <v>0</v>
      </c>
      <c r="B4318" t="s">
        <v>1185</v>
      </c>
      <c r="C4318" t="s">
        <v>7850</v>
      </c>
      <c r="D4318" t="s">
        <v>18011</v>
      </c>
      <c r="E4318" t="s">
        <v>21932</v>
      </c>
      <c r="F4318" t="s">
        <v>30900</v>
      </c>
      <c r="G4318" t="s">
        <v>30907</v>
      </c>
      <c r="H4318" t="s">
        <v>30915</v>
      </c>
      <c r="I4318" t="s">
        <v>30919</v>
      </c>
      <c r="J4318" t="s">
        <v>32324</v>
      </c>
      <c r="K4318" t="s">
        <v>40401</v>
      </c>
      <c r="M4318" t="s">
        <v>42286</v>
      </c>
      <c r="N4318" t="s">
        <v>44759</v>
      </c>
      <c r="O4318" t="s">
        <v>44760</v>
      </c>
      <c r="P4318">
        <v>0</v>
      </c>
      <c r="Q4318">
        <v>0</v>
      </c>
      <c r="R4318" t="s">
        <v>44763</v>
      </c>
      <c r="S4318" t="s">
        <v>44876</v>
      </c>
      <c r="T4318" t="s">
        <v>46465</v>
      </c>
      <c r="U4318" t="s">
        <v>50544</v>
      </c>
      <c r="V4318" t="s">
        <v>59577</v>
      </c>
      <c r="W4318" t="s">
        <v>42286</v>
      </c>
      <c r="X4318" t="s">
        <v>44767</v>
      </c>
    </row>
    <row r="4319" spans="1:24">
      <c r="A4319">
        <f>HYPERLINK("https://www.philgeps.gov.ph/GEPSNONPILOT/Tender/SplashBidNoticeAbstractUI.aspx?menuIndex=3&amp;refID=7147053&amp;Result=3","7147053")</f>
        <v>0</v>
      </c>
      <c r="B4319" t="s">
        <v>1185</v>
      </c>
      <c r="C4319" t="s">
        <v>7851</v>
      </c>
      <c r="D4319" t="s">
        <v>18011</v>
      </c>
      <c r="E4319" t="s">
        <v>21933</v>
      </c>
      <c r="F4319" t="s">
        <v>30900</v>
      </c>
      <c r="G4319" t="s">
        <v>30907</v>
      </c>
      <c r="H4319" t="s">
        <v>30915</v>
      </c>
      <c r="I4319" t="s">
        <v>30919</v>
      </c>
      <c r="J4319" t="s">
        <v>33976</v>
      </c>
      <c r="K4319" t="s">
        <v>40402</v>
      </c>
      <c r="M4319" t="s">
        <v>42286</v>
      </c>
      <c r="N4319" t="s">
        <v>44759</v>
      </c>
      <c r="O4319" t="s">
        <v>44760</v>
      </c>
      <c r="P4319">
        <v>0</v>
      </c>
      <c r="Q4319">
        <v>1</v>
      </c>
      <c r="R4319" t="s">
        <v>44763</v>
      </c>
      <c r="S4319" t="s">
        <v>44876</v>
      </c>
      <c r="T4319" t="s">
        <v>46465</v>
      </c>
      <c r="U4319" t="s">
        <v>50545</v>
      </c>
      <c r="V4319" t="s">
        <v>59578</v>
      </c>
      <c r="W4319" t="s">
        <v>42286</v>
      </c>
      <c r="X4319" t="s">
        <v>44767</v>
      </c>
    </row>
    <row r="4320" spans="1:24">
      <c r="A4320">
        <f>HYPERLINK("https://www.philgeps.gov.ph/GEPSNONPILOT/Tender/SplashBidNoticeAbstractUI.aspx?menuIndex=3&amp;refID=7147052&amp;Result=3","7147052")</f>
        <v>0</v>
      </c>
      <c r="B4320" t="s">
        <v>1621</v>
      </c>
      <c r="C4320" t="s">
        <v>7852</v>
      </c>
      <c r="D4320" t="s">
        <v>17978</v>
      </c>
      <c r="E4320" t="s">
        <v>21934</v>
      </c>
      <c r="F4320" t="s">
        <v>30900</v>
      </c>
      <c r="G4320" t="s">
        <v>30908</v>
      </c>
      <c r="H4320" t="s">
        <v>30916</v>
      </c>
      <c r="I4320" t="s">
        <v>4545</v>
      </c>
      <c r="J4320" t="s">
        <v>31138</v>
      </c>
      <c r="K4320" t="s">
        <v>40291</v>
      </c>
      <c r="M4320" t="s">
        <v>42272</v>
      </c>
      <c r="N4320" t="s">
        <v>44759</v>
      </c>
      <c r="O4320" t="s">
        <v>44760</v>
      </c>
      <c r="P4320">
        <v>0</v>
      </c>
      <c r="Q4320">
        <v>3</v>
      </c>
      <c r="R4320" t="s">
        <v>44763</v>
      </c>
      <c r="S4320" t="s">
        <v>44876</v>
      </c>
      <c r="T4320" t="s">
        <v>46391</v>
      </c>
      <c r="U4320" t="s">
        <v>50546</v>
      </c>
      <c r="W4320" t="s">
        <v>42272</v>
      </c>
      <c r="X4320" t="s">
        <v>44767</v>
      </c>
    </row>
    <row r="4321" spans="1:24">
      <c r="A4321">
        <f>HYPERLINK("https://www.philgeps.gov.ph/GEPSNONPILOT/Tender/SplashBidNoticeAbstractUI.aspx?menuIndex=3&amp;refID=7147271&amp;Result=3","7147271")</f>
        <v>0</v>
      </c>
      <c r="B4321" t="s">
        <v>1633</v>
      </c>
      <c r="C4321" t="s">
        <v>7853</v>
      </c>
      <c r="D4321" t="s">
        <v>17957</v>
      </c>
      <c r="E4321" t="s">
        <v>21935</v>
      </c>
      <c r="F4321" t="s">
        <v>30900</v>
      </c>
      <c r="G4321" t="s">
        <v>30908</v>
      </c>
      <c r="H4321" t="s">
        <v>7411</v>
      </c>
      <c r="I4321" t="s">
        <v>7411</v>
      </c>
      <c r="J4321" t="s">
        <v>32049</v>
      </c>
      <c r="K4321" t="s">
        <v>40333</v>
      </c>
      <c r="M4321" t="s">
        <v>42287</v>
      </c>
      <c r="N4321" t="s">
        <v>44759</v>
      </c>
      <c r="O4321" t="s">
        <v>44760</v>
      </c>
      <c r="P4321">
        <v>0</v>
      </c>
      <c r="Q4321">
        <v>2</v>
      </c>
      <c r="R4321" t="s">
        <v>44763</v>
      </c>
      <c r="S4321" t="s">
        <v>44876</v>
      </c>
      <c r="T4321" t="s">
        <v>46390</v>
      </c>
      <c r="U4321" t="s">
        <v>50547</v>
      </c>
      <c r="V4321" t="s">
        <v>59579</v>
      </c>
      <c r="W4321" t="s">
        <v>42287</v>
      </c>
      <c r="X4321" t="s">
        <v>44767</v>
      </c>
    </row>
    <row r="4322" spans="1:24">
      <c r="A4322">
        <f>HYPERLINK("https://www.philgeps.gov.ph/GEPSNONPILOT/Tender/SplashBidNoticeAbstractUI.aspx?menuIndex=3&amp;refID=7147319&amp;Result=3","7147319")</f>
        <v>0</v>
      </c>
      <c r="B4322" t="s">
        <v>1602</v>
      </c>
      <c r="C4322" t="s">
        <v>7854</v>
      </c>
      <c r="D4322" t="s">
        <v>17959</v>
      </c>
      <c r="E4322" t="s">
        <v>21936</v>
      </c>
      <c r="F4322" t="s">
        <v>30900</v>
      </c>
      <c r="G4322" t="s">
        <v>30908</v>
      </c>
      <c r="H4322" t="s">
        <v>30916</v>
      </c>
      <c r="I4322" t="s">
        <v>4108</v>
      </c>
      <c r="J4322" t="s">
        <v>33977</v>
      </c>
      <c r="K4322" t="s">
        <v>40287</v>
      </c>
      <c r="M4322" t="s">
        <v>42283</v>
      </c>
      <c r="N4322" t="s">
        <v>44759</v>
      </c>
      <c r="O4322" t="s">
        <v>44760</v>
      </c>
      <c r="P4322">
        <v>0</v>
      </c>
      <c r="Q4322">
        <v>0</v>
      </c>
      <c r="R4322" t="s">
        <v>44763</v>
      </c>
      <c r="S4322" t="s">
        <v>44876</v>
      </c>
      <c r="T4322" t="s">
        <v>46414</v>
      </c>
      <c r="U4322" t="s">
        <v>50548</v>
      </c>
      <c r="W4322" t="s">
        <v>42283</v>
      </c>
      <c r="X4322" t="s">
        <v>44767</v>
      </c>
    </row>
    <row r="4323" spans="1:24">
      <c r="A4323">
        <f>HYPERLINK("https://www.philgeps.gov.ph/GEPSNONPILOT/Tender/SplashBidNoticeAbstractUI.aspx?menuIndex=3&amp;refID=7146839&amp;Result=3","7146839")</f>
        <v>0</v>
      </c>
      <c r="B4323" t="s">
        <v>219</v>
      </c>
      <c r="C4323" t="s">
        <v>4108</v>
      </c>
      <c r="D4323" t="s">
        <v>17955</v>
      </c>
      <c r="E4323" t="s">
        <v>21937</v>
      </c>
      <c r="F4323" t="s">
        <v>30900</v>
      </c>
      <c r="G4323" t="s">
        <v>30908</v>
      </c>
      <c r="H4323" t="s">
        <v>30916</v>
      </c>
      <c r="I4323" t="s">
        <v>4108</v>
      </c>
      <c r="J4323" t="s">
        <v>33978</v>
      </c>
      <c r="K4323" t="s">
        <v>40286</v>
      </c>
      <c r="M4323" t="s">
        <v>40766</v>
      </c>
      <c r="N4323" t="s">
        <v>44759</v>
      </c>
      <c r="O4323" t="s">
        <v>44760</v>
      </c>
      <c r="P4323">
        <v>0</v>
      </c>
      <c r="Q4323">
        <v>0</v>
      </c>
      <c r="R4323" t="s">
        <v>44763</v>
      </c>
      <c r="S4323" t="s">
        <v>44876</v>
      </c>
      <c r="T4323" t="s">
        <v>46623</v>
      </c>
      <c r="U4323" t="s">
        <v>50549</v>
      </c>
      <c r="W4323" t="s">
        <v>40766</v>
      </c>
      <c r="X4323" t="s">
        <v>44767</v>
      </c>
    </row>
    <row r="4324" spans="1:24">
      <c r="A4324">
        <f>HYPERLINK("https://www.philgeps.gov.ph/GEPSNONPILOT/Tender/SplashBidNoticeAbstractUI.aspx?menuIndex=3&amp;refID=7147303&amp;Result=3","7147303")</f>
        <v>0</v>
      </c>
      <c r="B4324" t="s">
        <v>1634</v>
      </c>
      <c r="C4324" t="s">
        <v>7855</v>
      </c>
      <c r="D4324" t="s">
        <v>17982</v>
      </c>
      <c r="E4324" t="s">
        <v>21938</v>
      </c>
      <c r="F4324" t="s">
        <v>30900</v>
      </c>
      <c r="G4324" t="s">
        <v>30908</v>
      </c>
      <c r="H4324" t="s">
        <v>30915</v>
      </c>
      <c r="I4324" t="s">
        <v>8123</v>
      </c>
      <c r="J4324" t="s">
        <v>31340</v>
      </c>
      <c r="K4324" t="s">
        <v>40286</v>
      </c>
      <c r="M4324" t="s">
        <v>42288</v>
      </c>
      <c r="N4324" t="s">
        <v>44759</v>
      </c>
      <c r="O4324" t="s">
        <v>44760</v>
      </c>
      <c r="P4324">
        <v>0</v>
      </c>
      <c r="Q4324">
        <v>0</v>
      </c>
      <c r="R4324" t="s">
        <v>44763</v>
      </c>
      <c r="S4324" t="s">
        <v>44876</v>
      </c>
      <c r="T4324" t="s">
        <v>46533</v>
      </c>
      <c r="U4324" t="s">
        <v>50550</v>
      </c>
      <c r="W4324" t="s">
        <v>42288</v>
      </c>
      <c r="X4324" t="s">
        <v>44767</v>
      </c>
    </row>
    <row r="4325" spans="1:24">
      <c r="A4325">
        <f>HYPERLINK("https://www.philgeps.gov.ph/GEPSNONPILOT/Tender/SplashBidNoticeAbstractUI.aspx?menuIndex=3&amp;refID=7146969&amp;Result=3","7146969")</f>
        <v>0</v>
      </c>
      <c r="B4325" t="s">
        <v>992</v>
      </c>
      <c r="C4325" t="s">
        <v>7856</v>
      </c>
      <c r="D4325" t="s">
        <v>17954</v>
      </c>
      <c r="E4325" t="s">
        <v>21939</v>
      </c>
      <c r="F4325" t="s">
        <v>30900</v>
      </c>
      <c r="G4325" t="s">
        <v>30908</v>
      </c>
      <c r="H4325" t="s">
        <v>30916</v>
      </c>
      <c r="I4325" t="s">
        <v>30932</v>
      </c>
      <c r="J4325" t="s">
        <v>33979</v>
      </c>
      <c r="K4325" t="s">
        <v>40280</v>
      </c>
      <c r="M4325" t="s">
        <v>41673</v>
      </c>
      <c r="N4325" t="s">
        <v>44759</v>
      </c>
      <c r="O4325" t="s">
        <v>44760</v>
      </c>
      <c r="P4325">
        <v>0</v>
      </c>
      <c r="Q4325">
        <v>3</v>
      </c>
      <c r="R4325" t="s">
        <v>44763</v>
      </c>
      <c r="S4325" t="s">
        <v>44876</v>
      </c>
      <c r="T4325" t="s">
        <v>46390</v>
      </c>
      <c r="U4325" t="s">
        <v>50471</v>
      </c>
      <c r="W4325" t="s">
        <v>41673</v>
      </c>
      <c r="X4325" t="s">
        <v>44767</v>
      </c>
    </row>
    <row r="4326" spans="1:24">
      <c r="A4326">
        <f>HYPERLINK("https://www.philgeps.gov.ph/GEPSNONPILOT/Tender/SplashBidNoticeAbstractUI.aspx?menuIndex=3&amp;refID=7147300&amp;Result=3","7147300")</f>
        <v>0</v>
      </c>
      <c r="B4326" t="s">
        <v>752</v>
      </c>
      <c r="C4326" t="s">
        <v>7857</v>
      </c>
      <c r="D4326" t="s">
        <v>17980</v>
      </c>
      <c r="E4326" t="s">
        <v>21940</v>
      </c>
      <c r="F4326" t="s">
        <v>30900</v>
      </c>
      <c r="G4326" t="s">
        <v>30908</v>
      </c>
      <c r="H4326" t="s">
        <v>30916</v>
      </c>
      <c r="I4326" t="s">
        <v>4545</v>
      </c>
      <c r="J4326" t="s">
        <v>33980</v>
      </c>
      <c r="K4326" t="s">
        <v>40287</v>
      </c>
      <c r="M4326" t="s">
        <v>41316</v>
      </c>
      <c r="N4326" t="s">
        <v>44759</v>
      </c>
      <c r="O4326" t="s">
        <v>44760</v>
      </c>
      <c r="P4326">
        <v>0</v>
      </c>
      <c r="Q4326">
        <v>0</v>
      </c>
      <c r="R4326" t="s">
        <v>44763</v>
      </c>
      <c r="S4326" t="s">
        <v>44876</v>
      </c>
      <c r="T4326" t="s">
        <v>46668</v>
      </c>
      <c r="U4326" t="s">
        <v>50551</v>
      </c>
      <c r="W4326" t="s">
        <v>41316</v>
      </c>
      <c r="X4326" t="s">
        <v>44767</v>
      </c>
    </row>
    <row r="4327" spans="1:24">
      <c r="A4327">
        <f>HYPERLINK("https://www.philgeps.gov.ph/GEPSNONPILOT/Tender/SplashBidNoticeAbstractUI.aspx?menuIndex=3&amp;refID=7147297&amp;Result=3","7147297")</f>
        <v>0</v>
      </c>
      <c r="B4327" t="s">
        <v>219</v>
      </c>
      <c r="C4327" t="s">
        <v>4108</v>
      </c>
      <c r="D4327" t="s">
        <v>17955</v>
      </c>
      <c r="E4327" t="s">
        <v>21941</v>
      </c>
      <c r="F4327" t="s">
        <v>30900</v>
      </c>
      <c r="G4327" t="s">
        <v>30909</v>
      </c>
      <c r="H4327" t="s">
        <v>30916</v>
      </c>
      <c r="I4327" t="s">
        <v>4108</v>
      </c>
      <c r="J4327" t="s">
        <v>33981</v>
      </c>
      <c r="K4327" t="s">
        <v>40283</v>
      </c>
      <c r="M4327" t="s">
        <v>40766</v>
      </c>
      <c r="N4327" t="s">
        <v>44759</v>
      </c>
      <c r="O4327" t="s">
        <v>44760</v>
      </c>
      <c r="P4327">
        <v>0</v>
      </c>
      <c r="Q4327">
        <v>0</v>
      </c>
      <c r="R4327" t="s">
        <v>44763</v>
      </c>
      <c r="S4327" t="s">
        <v>44876</v>
      </c>
      <c r="T4327" t="s">
        <v>46531</v>
      </c>
      <c r="U4327" t="s">
        <v>50552</v>
      </c>
      <c r="W4327" t="s">
        <v>40766</v>
      </c>
      <c r="X4327" t="s">
        <v>44767</v>
      </c>
    </row>
    <row r="4328" spans="1:24">
      <c r="A4328">
        <f>HYPERLINK("https://www.philgeps.gov.ph/GEPSNONPILOT/Tender/SplashBidNoticeAbstractUI.aspx?menuIndex=3&amp;refID=7147289&amp;Result=3","7147289")</f>
        <v>0</v>
      </c>
      <c r="B4328" t="s">
        <v>1635</v>
      </c>
      <c r="C4328" t="s">
        <v>7858</v>
      </c>
      <c r="D4328" t="s">
        <v>17959</v>
      </c>
      <c r="E4328" t="s">
        <v>21942</v>
      </c>
      <c r="F4328" t="s">
        <v>30900</v>
      </c>
      <c r="G4328" t="s">
        <v>30910</v>
      </c>
      <c r="H4328" t="s">
        <v>30916</v>
      </c>
      <c r="I4328" t="s">
        <v>30996</v>
      </c>
      <c r="J4328" t="s">
        <v>31388</v>
      </c>
      <c r="K4328" t="s">
        <v>40286</v>
      </c>
      <c r="M4328" t="s">
        <v>42289</v>
      </c>
      <c r="N4328" t="s">
        <v>44759</v>
      </c>
      <c r="O4328" t="s">
        <v>44760</v>
      </c>
      <c r="P4328">
        <v>0</v>
      </c>
      <c r="Q4328">
        <v>22</v>
      </c>
      <c r="R4328" t="s">
        <v>44763</v>
      </c>
      <c r="S4328" t="s">
        <v>44876</v>
      </c>
      <c r="T4328" t="s">
        <v>46391</v>
      </c>
      <c r="U4328" t="s">
        <v>50553</v>
      </c>
      <c r="V4328" t="s">
        <v>59569</v>
      </c>
      <c r="W4328" t="s">
        <v>42289</v>
      </c>
      <c r="X4328" t="s">
        <v>44767</v>
      </c>
    </row>
    <row r="4329" spans="1:24">
      <c r="A4329">
        <f>HYPERLINK("https://www.philgeps.gov.ph/GEPSNONPILOT/Tender/SplashBidNoticeAbstractUI.aspx?menuIndex=3&amp;refID=7147277&amp;Result=3","7147277")</f>
        <v>0</v>
      </c>
      <c r="B4329" t="s">
        <v>1428</v>
      </c>
      <c r="C4329" t="s">
        <v>7859</v>
      </c>
      <c r="D4329" t="s">
        <v>18017</v>
      </c>
      <c r="E4329" t="s">
        <v>21943</v>
      </c>
      <c r="F4329" t="s">
        <v>30900</v>
      </c>
      <c r="G4329" t="s">
        <v>30909</v>
      </c>
      <c r="H4329" t="s">
        <v>30916</v>
      </c>
      <c r="I4329" t="s">
        <v>31018</v>
      </c>
      <c r="J4329" t="s">
        <v>31522</v>
      </c>
      <c r="K4329" t="s">
        <v>40286</v>
      </c>
      <c r="M4329" t="s">
        <v>42059</v>
      </c>
      <c r="N4329" t="s">
        <v>44759</v>
      </c>
      <c r="O4329" t="s">
        <v>44760</v>
      </c>
      <c r="P4329">
        <v>0</v>
      </c>
      <c r="Q4329">
        <v>1</v>
      </c>
      <c r="R4329" t="s">
        <v>44763</v>
      </c>
      <c r="S4329" t="s">
        <v>44876</v>
      </c>
      <c r="T4329" t="s">
        <v>46390</v>
      </c>
      <c r="U4329" t="s">
        <v>50554</v>
      </c>
      <c r="W4329" t="s">
        <v>42059</v>
      </c>
      <c r="X4329" t="s">
        <v>44767</v>
      </c>
    </row>
    <row r="4330" spans="1:24">
      <c r="A4330">
        <f>HYPERLINK("https://www.philgeps.gov.ph/GEPSNONPILOT/Tender/SplashBidNoticeAbstractUI.aspx?menuIndex=3&amp;refID=7147334&amp;Result=3","7147334")</f>
        <v>0</v>
      </c>
      <c r="B4330" t="s">
        <v>219</v>
      </c>
      <c r="C4330" t="s">
        <v>4108</v>
      </c>
      <c r="D4330" t="s">
        <v>17955</v>
      </c>
      <c r="E4330" t="s">
        <v>21944</v>
      </c>
      <c r="F4330" t="s">
        <v>30900</v>
      </c>
      <c r="G4330" t="s">
        <v>30909</v>
      </c>
      <c r="H4330" t="s">
        <v>30916</v>
      </c>
      <c r="I4330" t="s">
        <v>4108</v>
      </c>
      <c r="J4330" t="s">
        <v>31441</v>
      </c>
      <c r="K4330" t="s">
        <v>40283</v>
      </c>
      <c r="M4330" t="s">
        <v>40766</v>
      </c>
      <c r="N4330" t="s">
        <v>44759</v>
      </c>
      <c r="O4330" t="s">
        <v>44760</v>
      </c>
      <c r="P4330">
        <v>0</v>
      </c>
      <c r="Q4330">
        <v>0</v>
      </c>
      <c r="R4330" t="s">
        <v>44763</v>
      </c>
      <c r="S4330" t="s">
        <v>44876</v>
      </c>
      <c r="T4330" t="s">
        <v>46531</v>
      </c>
      <c r="U4330" t="s">
        <v>50555</v>
      </c>
      <c r="W4330" t="s">
        <v>40766</v>
      </c>
      <c r="X4330" t="s">
        <v>44767</v>
      </c>
    </row>
    <row r="4331" spans="1:24">
      <c r="A4331">
        <f>HYPERLINK("https://www.philgeps.gov.ph/GEPSNONPILOT/Tender/SplashBidNoticeAbstractUI.aspx?menuIndex=3&amp;refID=7147318&amp;Result=3","7147318")</f>
        <v>0</v>
      </c>
      <c r="B4331" t="s">
        <v>219</v>
      </c>
      <c r="C4331" t="s">
        <v>4108</v>
      </c>
      <c r="D4331" t="s">
        <v>17955</v>
      </c>
      <c r="E4331" t="s">
        <v>21945</v>
      </c>
      <c r="F4331" t="s">
        <v>30900</v>
      </c>
      <c r="G4331" t="s">
        <v>30908</v>
      </c>
      <c r="H4331" t="s">
        <v>30916</v>
      </c>
      <c r="I4331" t="s">
        <v>4108</v>
      </c>
      <c r="J4331" t="s">
        <v>33982</v>
      </c>
      <c r="K4331" t="s">
        <v>40286</v>
      </c>
      <c r="M4331" t="s">
        <v>40766</v>
      </c>
      <c r="N4331" t="s">
        <v>44759</v>
      </c>
      <c r="O4331" t="s">
        <v>44760</v>
      </c>
      <c r="P4331">
        <v>0</v>
      </c>
      <c r="Q4331">
        <v>0</v>
      </c>
      <c r="R4331" t="s">
        <v>44763</v>
      </c>
      <c r="S4331" t="s">
        <v>44876</v>
      </c>
      <c r="T4331" t="s">
        <v>46531</v>
      </c>
      <c r="U4331" t="s">
        <v>50556</v>
      </c>
      <c r="W4331" t="s">
        <v>40766</v>
      </c>
      <c r="X4331" t="s">
        <v>44767</v>
      </c>
    </row>
    <row r="4332" spans="1:24">
      <c r="A4332">
        <f>HYPERLINK("https://www.philgeps.gov.ph/GEPSNONPILOT/Tender/SplashBidNoticeAbstractUI.aspx?menuIndex=3&amp;refID=7147376&amp;Result=3","7147376")</f>
        <v>0</v>
      </c>
      <c r="B4332" t="s">
        <v>1614</v>
      </c>
      <c r="C4332" t="s">
        <v>7860</v>
      </c>
      <c r="D4332" t="s">
        <v>18012</v>
      </c>
      <c r="E4332" t="s">
        <v>21946</v>
      </c>
      <c r="F4332" t="s">
        <v>30900</v>
      </c>
      <c r="G4332" t="s">
        <v>30907</v>
      </c>
      <c r="H4332" t="s">
        <v>30916</v>
      </c>
      <c r="I4332" t="s">
        <v>30923</v>
      </c>
      <c r="J4332" t="s">
        <v>33983</v>
      </c>
      <c r="K4332" t="s">
        <v>40284</v>
      </c>
      <c r="M4332" t="s">
        <v>42264</v>
      </c>
      <c r="N4332" t="s">
        <v>44759</v>
      </c>
      <c r="O4332" t="s">
        <v>44760</v>
      </c>
      <c r="P4332">
        <v>0</v>
      </c>
      <c r="Q4332">
        <v>12</v>
      </c>
      <c r="R4332" t="s">
        <v>44763</v>
      </c>
      <c r="S4332" t="s">
        <v>44876</v>
      </c>
      <c r="T4332" t="s">
        <v>46514</v>
      </c>
      <c r="U4332" t="s">
        <v>50557</v>
      </c>
      <c r="W4332" t="s">
        <v>60869</v>
      </c>
      <c r="X4332" t="s">
        <v>44767</v>
      </c>
    </row>
    <row r="4333" spans="1:24">
      <c r="A4333">
        <f>HYPERLINK("https://www.philgeps.gov.ph/GEPSNONPILOT/Tender/SplashBidNoticeAbstractUI.aspx?menuIndex=3&amp;refID=7147375&amp;Result=3","7147375")</f>
        <v>0</v>
      </c>
      <c r="B4333" t="s">
        <v>1428</v>
      </c>
      <c r="C4333" t="s">
        <v>7861</v>
      </c>
      <c r="D4333" t="s">
        <v>18017</v>
      </c>
      <c r="E4333" t="s">
        <v>21947</v>
      </c>
      <c r="F4333" t="s">
        <v>30900</v>
      </c>
      <c r="G4333" t="s">
        <v>30909</v>
      </c>
      <c r="H4333" t="s">
        <v>30916</v>
      </c>
      <c r="I4333" t="s">
        <v>31018</v>
      </c>
      <c r="J4333" t="s">
        <v>31355</v>
      </c>
      <c r="K4333" t="s">
        <v>40286</v>
      </c>
      <c r="M4333" t="s">
        <v>42059</v>
      </c>
      <c r="N4333" t="s">
        <v>44759</v>
      </c>
      <c r="O4333" t="s">
        <v>44760</v>
      </c>
      <c r="P4333">
        <v>0</v>
      </c>
      <c r="Q4333">
        <v>1</v>
      </c>
      <c r="R4333" t="s">
        <v>44763</v>
      </c>
      <c r="S4333" t="s">
        <v>44876</v>
      </c>
      <c r="T4333" t="s">
        <v>46390</v>
      </c>
      <c r="U4333" t="s">
        <v>50558</v>
      </c>
      <c r="W4333" t="s">
        <v>42059</v>
      </c>
      <c r="X4333" t="s">
        <v>44767</v>
      </c>
    </row>
    <row r="4334" spans="1:24">
      <c r="A4334">
        <f>HYPERLINK("https://www.philgeps.gov.ph/GEPSNONPILOT/Tender/SplashBidNoticeAbstractUI.aspx?menuIndex=3&amp;refID=7147286&amp;Result=3","7147286")</f>
        <v>0</v>
      </c>
      <c r="B4334" t="s">
        <v>1630</v>
      </c>
      <c r="C4334" t="s">
        <v>7862</v>
      </c>
      <c r="D4334" t="s">
        <v>17957</v>
      </c>
      <c r="E4334" t="s">
        <v>21948</v>
      </c>
      <c r="F4334" t="s">
        <v>30900</v>
      </c>
      <c r="G4334" t="s">
        <v>30907</v>
      </c>
      <c r="H4334" t="s">
        <v>30915</v>
      </c>
      <c r="I4334" t="s">
        <v>30919</v>
      </c>
      <c r="J4334" t="s">
        <v>33984</v>
      </c>
      <c r="K4334" t="s">
        <v>40392</v>
      </c>
      <c r="M4334" t="s">
        <v>42282</v>
      </c>
      <c r="N4334" t="s">
        <v>44759</v>
      </c>
      <c r="O4334" t="s">
        <v>44760</v>
      </c>
      <c r="P4334">
        <v>0</v>
      </c>
      <c r="Q4334">
        <v>0</v>
      </c>
      <c r="R4334" t="s">
        <v>44763</v>
      </c>
      <c r="S4334" t="s">
        <v>44876</v>
      </c>
      <c r="T4334" t="s">
        <v>46486</v>
      </c>
      <c r="U4334" t="s">
        <v>50559</v>
      </c>
      <c r="W4334" t="s">
        <v>42282</v>
      </c>
      <c r="X4334" t="s">
        <v>44767</v>
      </c>
    </row>
    <row r="4335" spans="1:24">
      <c r="A4335">
        <f>HYPERLINK("https://www.philgeps.gov.ph/GEPSNONPILOT/Tender/SplashBidNoticeAbstractUI.aspx?menuIndex=3&amp;refID=7147351&amp;Result=3","7147351")</f>
        <v>0</v>
      </c>
      <c r="B4335" t="s">
        <v>1322</v>
      </c>
      <c r="C4335" t="s">
        <v>7863</v>
      </c>
      <c r="D4335" t="s">
        <v>17996</v>
      </c>
      <c r="E4335" t="s">
        <v>21949</v>
      </c>
      <c r="F4335" t="s">
        <v>30900</v>
      </c>
      <c r="G4335" t="s">
        <v>30908</v>
      </c>
      <c r="H4335" t="s">
        <v>30916</v>
      </c>
      <c r="I4335" t="s">
        <v>30934</v>
      </c>
      <c r="J4335" t="s">
        <v>33189</v>
      </c>
      <c r="K4335" t="s">
        <v>40285</v>
      </c>
      <c r="M4335" t="s">
        <v>42290</v>
      </c>
      <c r="N4335" t="s">
        <v>44759</v>
      </c>
      <c r="O4335" t="s">
        <v>44760</v>
      </c>
      <c r="P4335">
        <v>0</v>
      </c>
      <c r="Q4335">
        <v>2</v>
      </c>
      <c r="R4335" t="s">
        <v>44763</v>
      </c>
      <c r="S4335" t="s">
        <v>44876</v>
      </c>
      <c r="T4335" t="s">
        <v>46391</v>
      </c>
      <c r="U4335" t="s">
        <v>50560</v>
      </c>
      <c r="W4335" t="s">
        <v>42290</v>
      </c>
      <c r="X4335" t="s">
        <v>44767</v>
      </c>
    </row>
    <row r="4336" spans="1:24">
      <c r="A4336">
        <f>HYPERLINK("https://www.philgeps.gov.ph/GEPSNONPILOT/Tender/SplashBidNoticeAbstractUI.aspx?menuIndex=3&amp;refID=7147349&amp;Result=3","7147349")</f>
        <v>0</v>
      </c>
      <c r="B4336" t="s">
        <v>1614</v>
      </c>
      <c r="C4336" t="s">
        <v>7864</v>
      </c>
      <c r="D4336" t="s">
        <v>18012</v>
      </c>
      <c r="E4336" t="s">
        <v>21950</v>
      </c>
      <c r="F4336" t="s">
        <v>30900</v>
      </c>
      <c r="G4336" t="s">
        <v>30907</v>
      </c>
      <c r="H4336" t="s">
        <v>30916</v>
      </c>
      <c r="I4336" t="s">
        <v>30978</v>
      </c>
      <c r="J4336" t="s">
        <v>31223</v>
      </c>
      <c r="K4336" t="s">
        <v>40289</v>
      </c>
      <c r="M4336" t="s">
        <v>42264</v>
      </c>
      <c r="N4336" t="s">
        <v>44759</v>
      </c>
      <c r="O4336" t="s">
        <v>44760</v>
      </c>
      <c r="P4336">
        <v>0</v>
      </c>
      <c r="Q4336">
        <v>2</v>
      </c>
      <c r="R4336" t="s">
        <v>44763</v>
      </c>
      <c r="S4336" t="s">
        <v>44876</v>
      </c>
      <c r="T4336" t="s">
        <v>46613</v>
      </c>
      <c r="U4336" t="s">
        <v>50561</v>
      </c>
      <c r="W4336" t="s">
        <v>60869</v>
      </c>
      <c r="X4336" t="s">
        <v>44767</v>
      </c>
    </row>
    <row r="4337" spans="1:24">
      <c r="A4337">
        <f>HYPERLINK("https://www.philgeps.gov.ph/GEPSNONPILOT/Tender/SplashBidNoticeAbstractUI.aspx?menuIndex=3&amp;refID=7147392&amp;Result=3","7147392")</f>
        <v>0</v>
      </c>
      <c r="B4337" t="s">
        <v>1630</v>
      </c>
      <c r="C4337" t="s">
        <v>7865</v>
      </c>
      <c r="D4337" t="s">
        <v>17957</v>
      </c>
      <c r="E4337" t="s">
        <v>21951</v>
      </c>
      <c r="F4337" t="s">
        <v>30900</v>
      </c>
      <c r="G4337" t="s">
        <v>30907</v>
      </c>
      <c r="H4337" t="s">
        <v>30915</v>
      </c>
      <c r="I4337" t="s">
        <v>30919</v>
      </c>
      <c r="J4337" t="s">
        <v>33985</v>
      </c>
      <c r="K4337" t="s">
        <v>40304</v>
      </c>
      <c r="M4337" t="s">
        <v>42282</v>
      </c>
      <c r="N4337" t="s">
        <v>44759</v>
      </c>
      <c r="O4337" t="s">
        <v>44760</v>
      </c>
      <c r="P4337">
        <v>0</v>
      </c>
      <c r="Q4337">
        <v>0</v>
      </c>
      <c r="R4337" t="s">
        <v>44763</v>
      </c>
      <c r="S4337" t="s">
        <v>44876</v>
      </c>
      <c r="T4337" t="s">
        <v>46486</v>
      </c>
      <c r="U4337" t="s">
        <v>50562</v>
      </c>
      <c r="W4337" t="s">
        <v>42282</v>
      </c>
      <c r="X4337" t="s">
        <v>44767</v>
      </c>
    </row>
    <row r="4338" spans="1:24">
      <c r="A4338">
        <f>HYPERLINK("https://www.philgeps.gov.ph/GEPSNONPILOT/Tender/SplashBidNoticeAbstractUI.aspx?menuIndex=3&amp;refID=7147357&amp;Result=3","7147357")</f>
        <v>0</v>
      </c>
      <c r="B4338" t="s">
        <v>219</v>
      </c>
      <c r="C4338" t="s">
        <v>4108</v>
      </c>
      <c r="D4338" t="s">
        <v>17955</v>
      </c>
      <c r="E4338" t="s">
        <v>21952</v>
      </c>
      <c r="F4338" t="s">
        <v>30900</v>
      </c>
      <c r="G4338" t="s">
        <v>30908</v>
      </c>
      <c r="H4338" t="s">
        <v>30916</v>
      </c>
      <c r="I4338" t="s">
        <v>4108</v>
      </c>
      <c r="J4338" t="s">
        <v>33986</v>
      </c>
      <c r="K4338" t="s">
        <v>40286</v>
      </c>
      <c r="M4338" t="s">
        <v>40766</v>
      </c>
      <c r="N4338" t="s">
        <v>44759</v>
      </c>
      <c r="O4338" t="s">
        <v>44760</v>
      </c>
      <c r="P4338">
        <v>0</v>
      </c>
      <c r="Q4338">
        <v>0</v>
      </c>
      <c r="R4338" t="s">
        <v>44763</v>
      </c>
      <c r="S4338" t="s">
        <v>44876</v>
      </c>
      <c r="T4338" t="s">
        <v>46531</v>
      </c>
      <c r="U4338" t="s">
        <v>50563</v>
      </c>
      <c r="W4338" t="s">
        <v>40766</v>
      </c>
      <c r="X4338" t="s">
        <v>44767</v>
      </c>
    </row>
    <row r="4339" spans="1:24">
      <c r="A4339">
        <f>HYPERLINK("https://www.philgeps.gov.ph/GEPSNONPILOT/Tender/SplashBidNoticeAbstractUI.aspx?menuIndex=3&amp;refID=7147338&amp;Result=3","7147338")</f>
        <v>0</v>
      </c>
      <c r="B4339" t="s">
        <v>752</v>
      </c>
      <c r="C4339" t="s">
        <v>7857</v>
      </c>
      <c r="D4339" t="s">
        <v>17980</v>
      </c>
      <c r="E4339" t="s">
        <v>21953</v>
      </c>
      <c r="F4339" t="s">
        <v>30900</v>
      </c>
      <c r="G4339" t="s">
        <v>30908</v>
      </c>
      <c r="H4339" t="s">
        <v>30916</v>
      </c>
      <c r="I4339" t="s">
        <v>4142</v>
      </c>
      <c r="J4339" t="s">
        <v>31509</v>
      </c>
      <c r="K4339" t="s">
        <v>40287</v>
      </c>
      <c r="M4339" t="s">
        <v>41316</v>
      </c>
      <c r="N4339" t="s">
        <v>44759</v>
      </c>
      <c r="O4339" t="s">
        <v>44760</v>
      </c>
      <c r="P4339">
        <v>0</v>
      </c>
      <c r="Q4339">
        <v>0</v>
      </c>
      <c r="R4339" t="s">
        <v>44763</v>
      </c>
      <c r="S4339" t="s">
        <v>44876</v>
      </c>
      <c r="T4339" t="s">
        <v>46534</v>
      </c>
      <c r="U4339" t="s">
        <v>50564</v>
      </c>
      <c r="W4339" t="s">
        <v>41316</v>
      </c>
      <c r="X4339" t="s">
        <v>44767</v>
      </c>
    </row>
    <row r="4340" spans="1:24">
      <c r="A4340">
        <f>HYPERLINK("https://www.philgeps.gov.ph/GEPSNONPILOT/Tender/SplashBidNoticeAbstractUI.aspx?menuIndex=3&amp;refID=7147324&amp;Result=3","7147324")</f>
        <v>0</v>
      </c>
      <c r="B4340" t="s">
        <v>1614</v>
      </c>
      <c r="C4340" t="s">
        <v>7866</v>
      </c>
      <c r="D4340" t="s">
        <v>18012</v>
      </c>
      <c r="E4340" t="s">
        <v>21954</v>
      </c>
      <c r="F4340" t="s">
        <v>30900</v>
      </c>
      <c r="G4340" t="s">
        <v>30907</v>
      </c>
      <c r="H4340" t="s">
        <v>30916</v>
      </c>
      <c r="I4340" t="s">
        <v>8123</v>
      </c>
      <c r="J4340" t="s">
        <v>33987</v>
      </c>
      <c r="K4340" t="s">
        <v>40284</v>
      </c>
      <c r="M4340" t="s">
        <v>42264</v>
      </c>
      <c r="N4340" t="s">
        <v>44759</v>
      </c>
      <c r="O4340" t="s">
        <v>44760</v>
      </c>
      <c r="P4340">
        <v>0</v>
      </c>
      <c r="Q4340">
        <v>1</v>
      </c>
      <c r="R4340" t="s">
        <v>44763</v>
      </c>
      <c r="S4340" t="s">
        <v>44876</v>
      </c>
      <c r="T4340" t="s">
        <v>46613</v>
      </c>
      <c r="U4340" t="s">
        <v>50565</v>
      </c>
      <c r="W4340" t="s">
        <v>60869</v>
      </c>
      <c r="X4340" t="s">
        <v>44767</v>
      </c>
    </row>
    <row r="4341" spans="1:24">
      <c r="A4341">
        <f>HYPERLINK("https://www.philgeps.gov.ph/GEPSNONPILOT/Tender/SplashBidNoticeAbstractUI.aspx?menuIndex=3&amp;refID=7147525&amp;Result=3","7147525")</f>
        <v>0</v>
      </c>
      <c r="B4341" t="s">
        <v>1636</v>
      </c>
      <c r="C4341" t="s">
        <v>7867</v>
      </c>
      <c r="D4341" t="s">
        <v>17989</v>
      </c>
      <c r="E4341" t="s">
        <v>21955</v>
      </c>
      <c r="F4341" t="s">
        <v>30900</v>
      </c>
      <c r="G4341" t="s">
        <v>30908</v>
      </c>
      <c r="H4341" t="s">
        <v>30916</v>
      </c>
      <c r="I4341" t="s">
        <v>10847</v>
      </c>
      <c r="J4341" t="s">
        <v>33988</v>
      </c>
      <c r="K4341" t="s">
        <v>40287</v>
      </c>
      <c r="M4341" t="s">
        <v>42291</v>
      </c>
      <c r="N4341" t="s">
        <v>44759</v>
      </c>
      <c r="O4341" t="s">
        <v>44760</v>
      </c>
      <c r="P4341">
        <v>0</v>
      </c>
      <c r="Q4341">
        <v>0</v>
      </c>
      <c r="R4341" t="s">
        <v>44763</v>
      </c>
      <c r="S4341" t="s">
        <v>44876</v>
      </c>
      <c r="T4341" t="s">
        <v>46533</v>
      </c>
      <c r="U4341" t="s">
        <v>50566</v>
      </c>
      <c r="W4341" t="s">
        <v>42291</v>
      </c>
      <c r="X4341" t="s">
        <v>44767</v>
      </c>
    </row>
    <row r="4342" spans="1:24">
      <c r="A4342">
        <f>HYPERLINK("https://www.philgeps.gov.ph/GEPSNONPILOT/Tender/SplashBidNoticeAbstractUI.aspx?menuIndex=3&amp;refID=7147511&amp;Result=3","7147511")</f>
        <v>0</v>
      </c>
      <c r="B4342" t="s">
        <v>752</v>
      </c>
      <c r="C4342" t="s">
        <v>7868</v>
      </c>
      <c r="D4342" t="s">
        <v>17980</v>
      </c>
      <c r="E4342" t="s">
        <v>21956</v>
      </c>
      <c r="F4342" t="s">
        <v>30900</v>
      </c>
      <c r="G4342" t="s">
        <v>30908</v>
      </c>
      <c r="H4342" t="s">
        <v>30916</v>
      </c>
      <c r="I4342" t="s">
        <v>6953</v>
      </c>
      <c r="J4342" t="s">
        <v>31830</v>
      </c>
      <c r="K4342" t="s">
        <v>40287</v>
      </c>
      <c r="M4342" t="s">
        <v>41316</v>
      </c>
      <c r="N4342" t="s">
        <v>44759</v>
      </c>
      <c r="O4342" t="s">
        <v>44760</v>
      </c>
      <c r="P4342">
        <v>0</v>
      </c>
      <c r="Q4342">
        <v>0</v>
      </c>
      <c r="R4342" t="s">
        <v>44763</v>
      </c>
      <c r="S4342" t="s">
        <v>44876</v>
      </c>
      <c r="T4342" t="s">
        <v>46590</v>
      </c>
      <c r="U4342" t="s">
        <v>50567</v>
      </c>
      <c r="W4342" t="s">
        <v>41316</v>
      </c>
      <c r="X4342" t="s">
        <v>44767</v>
      </c>
    </row>
    <row r="4343" spans="1:24">
      <c r="A4343">
        <f>HYPERLINK("https://www.philgeps.gov.ph/GEPSNONPILOT/Tender/SplashBidNoticeAbstractUI.aspx?menuIndex=3&amp;refID=7147499&amp;Result=3","7147499")</f>
        <v>0</v>
      </c>
      <c r="B4343" t="s">
        <v>1636</v>
      </c>
      <c r="C4343" t="s">
        <v>7869</v>
      </c>
      <c r="D4343" t="s">
        <v>17989</v>
      </c>
      <c r="E4343" t="s">
        <v>21957</v>
      </c>
      <c r="F4343" t="s">
        <v>30900</v>
      </c>
      <c r="G4343" t="s">
        <v>30908</v>
      </c>
      <c r="H4343" t="s">
        <v>30916</v>
      </c>
      <c r="I4343" t="s">
        <v>4545</v>
      </c>
      <c r="J4343" t="s">
        <v>31635</v>
      </c>
      <c r="K4343" t="s">
        <v>40283</v>
      </c>
      <c r="M4343" t="s">
        <v>42291</v>
      </c>
      <c r="N4343" t="s">
        <v>44759</v>
      </c>
      <c r="O4343" t="s">
        <v>44760</v>
      </c>
      <c r="P4343">
        <v>0</v>
      </c>
      <c r="Q4343">
        <v>4</v>
      </c>
      <c r="R4343" t="s">
        <v>44763</v>
      </c>
      <c r="S4343" t="s">
        <v>44876</v>
      </c>
      <c r="T4343" t="s">
        <v>46533</v>
      </c>
      <c r="U4343" t="s">
        <v>50568</v>
      </c>
      <c r="W4343" t="s">
        <v>42291</v>
      </c>
      <c r="X4343" t="s">
        <v>44767</v>
      </c>
    </row>
    <row r="4344" spans="1:24">
      <c r="A4344">
        <f>HYPERLINK("https://www.philgeps.gov.ph/GEPSNONPILOT/Tender/SplashBidNoticeAbstractUI.aspx?menuIndex=3&amp;refID=7147468&amp;Result=3","7147468")</f>
        <v>0</v>
      </c>
      <c r="B4344" t="s">
        <v>1637</v>
      </c>
      <c r="C4344" t="s">
        <v>7870</v>
      </c>
      <c r="D4344" t="s">
        <v>17978</v>
      </c>
      <c r="E4344" t="s">
        <v>21958</v>
      </c>
      <c r="F4344" t="s">
        <v>30900</v>
      </c>
      <c r="G4344" t="s">
        <v>30908</v>
      </c>
      <c r="H4344" t="s">
        <v>30916</v>
      </c>
      <c r="I4344" t="s">
        <v>4545</v>
      </c>
      <c r="J4344" t="s">
        <v>33989</v>
      </c>
      <c r="K4344" t="s">
        <v>40280</v>
      </c>
      <c r="M4344" t="s">
        <v>42292</v>
      </c>
      <c r="N4344" t="s">
        <v>44759</v>
      </c>
      <c r="O4344" t="s">
        <v>44760</v>
      </c>
      <c r="P4344">
        <v>0</v>
      </c>
      <c r="Q4344">
        <v>2</v>
      </c>
      <c r="R4344" t="s">
        <v>44763</v>
      </c>
      <c r="S4344" t="s">
        <v>44876</v>
      </c>
      <c r="T4344" t="s">
        <v>46400</v>
      </c>
      <c r="U4344" t="s">
        <v>50569</v>
      </c>
      <c r="W4344" t="s">
        <v>42292</v>
      </c>
      <c r="X4344" t="s">
        <v>44767</v>
      </c>
    </row>
    <row r="4345" spans="1:24">
      <c r="A4345">
        <f>HYPERLINK("https://www.philgeps.gov.ph/GEPSNONPILOT/Tender/SplashBidNoticeAbstractUI.aspx?menuIndex=3&amp;refID=7147464&amp;Result=3","7147464")</f>
        <v>0</v>
      </c>
      <c r="B4345" t="s">
        <v>1636</v>
      </c>
      <c r="C4345" t="s">
        <v>7871</v>
      </c>
      <c r="D4345" t="s">
        <v>17989</v>
      </c>
      <c r="E4345" t="s">
        <v>21959</v>
      </c>
      <c r="F4345" t="s">
        <v>30900</v>
      </c>
      <c r="G4345" t="s">
        <v>30908</v>
      </c>
      <c r="H4345" t="s">
        <v>30916</v>
      </c>
      <c r="I4345" t="s">
        <v>30923</v>
      </c>
      <c r="J4345" t="s">
        <v>33481</v>
      </c>
      <c r="K4345" t="s">
        <v>40287</v>
      </c>
      <c r="M4345" t="s">
        <v>42291</v>
      </c>
      <c r="N4345" t="s">
        <v>44759</v>
      </c>
      <c r="O4345" t="s">
        <v>44760</v>
      </c>
      <c r="P4345">
        <v>0</v>
      </c>
      <c r="Q4345">
        <v>16</v>
      </c>
      <c r="R4345" t="s">
        <v>44763</v>
      </c>
      <c r="S4345" t="s">
        <v>44876</v>
      </c>
      <c r="T4345" t="s">
        <v>46533</v>
      </c>
      <c r="U4345" t="s">
        <v>50570</v>
      </c>
      <c r="W4345" t="s">
        <v>42291</v>
      </c>
      <c r="X4345" t="s">
        <v>44767</v>
      </c>
    </row>
    <row r="4346" spans="1:24">
      <c r="A4346">
        <f>HYPERLINK("https://www.philgeps.gov.ph/GEPSNONPILOT/Tender/SplashBidNoticeAbstractUI.aspx?menuIndex=3&amp;refID=7147463&amp;Result=3","7147463")</f>
        <v>0</v>
      </c>
      <c r="B4346" t="s">
        <v>1630</v>
      </c>
      <c r="C4346" t="s">
        <v>7872</v>
      </c>
      <c r="D4346" t="s">
        <v>17957</v>
      </c>
      <c r="E4346" t="s">
        <v>21960</v>
      </c>
      <c r="F4346" t="s">
        <v>30900</v>
      </c>
      <c r="G4346" t="s">
        <v>30907</v>
      </c>
      <c r="H4346" t="s">
        <v>30916</v>
      </c>
      <c r="I4346" t="s">
        <v>30919</v>
      </c>
      <c r="J4346" t="s">
        <v>33990</v>
      </c>
      <c r="K4346" t="s">
        <v>40301</v>
      </c>
      <c r="M4346" t="s">
        <v>42282</v>
      </c>
      <c r="N4346" t="s">
        <v>44759</v>
      </c>
      <c r="O4346" t="s">
        <v>44760</v>
      </c>
      <c r="P4346">
        <v>0</v>
      </c>
      <c r="Q4346">
        <v>0</v>
      </c>
      <c r="R4346" t="s">
        <v>44763</v>
      </c>
      <c r="S4346" t="s">
        <v>44876</v>
      </c>
      <c r="T4346" t="s">
        <v>46486</v>
      </c>
      <c r="U4346" t="s">
        <v>50571</v>
      </c>
      <c r="W4346" t="s">
        <v>42282</v>
      </c>
      <c r="X4346" t="s">
        <v>44767</v>
      </c>
    </row>
    <row r="4347" spans="1:24">
      <c r="A4347">
        <f>HYPERLINK("https://www.philgeps.gov.ph/GEPSNONPILOT/Tender/SplashBidNoticeAbstractUI.aspx?menuIndex=3&amp;refID=7147436&amp;Result=3","7147436")</f>
        <v>0</v>
      </c>
      <c r="B4347" t="s">
        <v>752</v>
      </c>
      <c r="C4347" t="s">
        <v>7873</v>
      </c>
      <c r="D4347" t="s">
        <v>17980</v>
      </c>
      <c r="E4347" t="s">
        <v>21961</v>
      </c>
      <c r="F4347" t="s">
        <v>30900</v>
      </c>
      <c r="G4347" t="s">
        <v>30908</v>
      </c>
      <c r="H4347" t="s">
        <v>30916</v>
      </c>
      <c r="I4347" t="s">
        <v>10847</v>
      </c>
      <c r="J4347" t="s">
        <v>32246</v>
      </c>
      <c r="K4347" t="s">
        <v>40287</v>
      </c>
      <c r="M4347" t="s">
        <v>41316</v>
      </c>
      <c r="N4347" t="s">
        <v>44759</v>
      </c>
      <c r="O4347" t="s">
        <v>44760</v>
      </c>
      <c r="P4347">
        <v>0</v>
      </c>
      <c r="Q4347">
        <v>0</v>
      </c>
      <c r="R4347" t="s">
        <v>44763</v>
      </c>
      <c r="S4347" t="s">
        <v>44876</v>
      </c>
      <c r="T4347" t="s">
        <v>46669</v>
      </c>
      <c r="U4347" t="s">
        <v>50572</v>
      </c>
      <c r="W4347" t="s">
        <v>41316</v>
      </c>
      <c r="X4347" t="s">
        <v>44767</v>
      </c>
    </row>
    <row r="4348" spans="1:24">
      <c r="A4348">
        <f>HYPERLINK("https://www.philgeps.gov.ph/GEPSNONPILOT/Tender/SplashBidNoticeAbstractUI.aspx?menuIndex=3&amp;refID=7147395&amp;Result=3","7147395")</f>
        <v>0</v>
      </c>
      <c r="B4348" t="s">
        <v>752</v>
      </c>
      <c r="C4348" t="s">
        <v>7874</v>
      </c>
      <c r="D4348" t="s">
        <v>17980</v>
      </c>
      <c r="E4348" t="s">
        <v>21962</v>
      </c>
      <c r="F4348" t="s">
        <v>30900</v>
      </c>
      <c r="G4348" t="s">
        <v>30908</v>
      </c>
      <c r="H4348" t="s">
        <v>30916</v>
      </c>
      <c r="I4348" t="s">
        <v>30924</v>
      </c>
      <c r="J4348" t="s">
        <v>31174</v>
      </c>
      <c r="K4348" t="s">
        <v>40287</v>
      </c>
      <c r="M4348" t="s">
        <v>41316</v>
      </c>
      <c r="N4348" t="s">
        <v>44759</v>
      </c>
      <c r="O4348" t="s">
        <v>44760</v>
      </c>
      <c r="P4348">
        <v>0</v>
      </c>
      <c r="Q4348">
        <v>0</v>
      </c>
      <c r="R4348" t="s">
        <v>44763</v>
      </c>
      <c r="S4348" t="s">
        <v>44876</v>
      </c>
      <c r="T4348" t="s">
        <v>46670</v>
      </c>
      <c r="U4348" t="s">
        <v>50573</v>
      </c>
      <c r="W4348" t="s">
        <v>41316</v>
      </c>
      <c r="X4348" t="s">
        <v>44767</v>
      </c>
    </row>
    <row r="4349" spans="1:24">
      <c r="A4349">
        <f>HYPERLINK("https://www.philgeps.gov.ph/GEPSNONPILOT/Tender/SplashBidNoticeAbstractUI.aspx?menuIndex=3&amp;refID=7147419&amp;Result=3","7147419")</f>
        <v>0</v>
      </c>
      <c r="B4349" t="s">
        <v>808</v>
      </c>
      <c r="C4349" t="s">
        <v>7875</v>
      </c>
      <c r="D4349" t="s">
        <v>18010</v>
      </c>
      <c r="E4349" t="s">
        <v>21963</v>
      </c>
      <c r="F4349" t="s">
        <v>30900</v>
      </c>
      <c r="G4349" t="s">
        <v>30907</v>
      </c>
      <c r="H4349" t="s">
        <v>30916</v>
      </c>
      <c r="I4349" t="s">
        <v>6396</v>
      </c>
      <c r="J4349" t="s">
        <v>33991</v>
      </c>
      <c r="K4349" t="s">
        <v>40283</v>
      </c>
      <c r="M4349" t="s">
        <v>41378</v>
      </c>
      <c r="N4349" t="s">
        <v>44759</v>
      </c>
      <c r="O4349" t="s">
        <v>44760</v>
      </c>
      <c r="P4349">
        <v>0</v>
      </c>
      <c r="Q4349">
        <v>3</v>
      </c>
      <c r="R4349" t="s">
        <v>44763</v>
      </c>
      <c r="S4349" t="s">
        <v>44876</v>
      </c>
      <c r="T4349" t="s">
        <v>46371</v>
      </c>
      <c r="U4349" t="s">
        <v>50574</v>
      </c>
      <c r="V4349" t="s">
        <v>59580</v>
      </c>
      <c r="W4349" t="s">
        <v>41378</v>
      </c>
      <c r="X4349" t="s">
        <v>44767</v>
      </c>
    </row>
    <row r="4350" spans="1:24">
      <c r="A4350">
        <f>HYPERLINK("https://www.philgeps.gov.ph/GEPSNONPILOT/Tender/SplashBidNoticeAbstractUI.aspx?menuIndex=3&amp;refID=7147595&amp;Result=3","7147595")</f>
        <v>0</v>
      </c>
      <c r="B4350" t="s">
        <v>752</v>
      </c>
      <c r="C4350" t="s">
        <v>7873</v>
      </c>
      <c r="D4350" t="s">
        <v>17980</v>
      </c>
      <c r="E4350" t="s">
        <v>21964</v>
      </c>
      <c r="F4350" t="s">
        <v>30900</v>
      </c>
      <c r="G4350" t="s">
        <v>30908</v>
      </c>
      <c r="H4350" t="s">
        <v>30916</v>
      </c>
      <c r="I4350" t="s">
        <v>10847</v>
      </c>
      <c r="J4350" t="s">
        <v>31914</v>
      </c>
      <c r="K4350" t="s">
        <v>40287</v>
      </c>
      <c r="M4350" t="s">
        <v>41316</v>
      </c>
      <c r="N4350" t="s">
        <v>44759</v>
      </c>
      <c r="O4350" t="s">
        <v>44760</v>
      </c>
      <c r="P4350">
        <v>0</v>
      </c>
      <c r="Q4350">
        <v>0</v>
      </c>
      <c r="R4350" t="s">
        <v>44763</v>
      </c>
      <c r="S4350" t="s">
        <v>44876</v>
      </c>
      <c r="T4350" t="s">
        <v>46671</v>
      </c>
      <c r="U4350" t="s">
        <v>50575</v>
      </c>
      <c r="W4350" t="s">
        <v>41316</v>
      </c>
      <c r="X4350" t="s">
        <v>44767</v>
      </c>
    </row>
    <row r="4351" spans="1:24">
      <c r="A4351">
        <f>HYPERLINK("https://www.philgeps.gov.ph/GEPSNONPILOT/Tender/SplashBidNoticeAbstractUI.aspx?menuIndex=3&amp;refID=7147571&amp;Result=3","7147571")</f>
        <v>0</v>
      </c>
      <c r="B4351" t="s">
        <v>585</v>
      </c>
      <c r="C4351" t="s">
        <v>7876</v>
      </c>
      <c r="D4351" t="s">
        <v>18025</v>
      </c>
      <c r="E4351" t="s">
        <v>21965</v>
      </c>
      <c r="F4351" t="s">
        <v>30900</v>
      </c>
      <c r="G4351" t="s">
        <v>30908</v>
      </c>
      <c r="H4351" t="s">
        <v>30916</v>
      </c>
      <c r="I4351" t="s">
        <v>4142</v>
      </c>
      <c r="J4351" t="s">
        <v>33992</v>
      </c>
      <c r="K4351" t="s">
        <v>40284</v>
      </c>
      <c r="M4351" t="s">
        <v>42293</v>
      </c>
      <c r="N4351" t="s">
        <v>44759</v>
      </c>
      <c r="O4351" t="s">
        <v>44760</v>
      </c>
      <c r="P4351">
        <v>0</v>
      </c>
      <c r="Q4351">
        <v>3</v>
      </c>
      <c r="R4351" t="s">
        <v>44763</v>
      </c>
      <c r="S4351" t="s">
        <v>44876</v>
      </c>
      <c r="T4351" t="s">
        <v>46391</v>
      </c>
      <c r="U4351" t="s">
        <v>50576</v>
      </c>
      <c r="V4351" t="s">
        <v>59581</v>
      </c>
      <c r="W4351" t="s">
        <v>42293</v>
      </c>
      <c r="X4351" t="s">
        <v>44767</v>
      </c>
    </row>
    <row r="4352" spans="1:24">
      <c r="A4352">
        <f>HYPERLINK("https://www.philgeps.gov.ph/GEPSNONPILOT/Tender/SplashBidNoticeAbstractUI.aspx?menuIndex=3&amp;refID=7147481&amp;Result=3","7147481")</f>
        <v>0</v>
      </c>
      <c r="B4352" t="s">
        <v>752</v>
      </c>
      <c r="C4352" t="s">
        <v>7857</v>
      </c>
      <c r="D4352" t="s">
        <v>17980</v>
      </c>
      <c r="E4352" t="s">
        <v>21966</v>
      </c>
      <c r="F4352" t="s">
        <v>30900</v>
      </c>
      <c r="G4352" t="s">
        <v>30908</v>
      </c>
      <c r="H4352" t="s">
        <v>30916</v>
      </c>
      <c r="I4352" t="s">
        <v>10847</v>
      </c>
      <c r="J4352" t="s">
        <v>33993</v>
      </c>
      <c r="K4352" t="s">
        <v>40287</v>
      </c>
      <c r="M4352" t="s">
        <v>41316</v>
      </c>
      <c r="N4352" t="s">
        <v>44759</v>
      </c>
      <c r="O4352" t="s">
        <v>44760</v>
      </c>
      <c r="P4352">
        <v>0</v>
      </c>
      <c r="Q4352">
        <v>0</v>
      </c>
      <c r="R4352" t="s">
        <v>44763</v>
      </c>
      <c r="S4352" t="s">
        <v>44876</v>
      </c>
      <c r="T4352" t="s">
        <v>46669</v>
      </c>
      <c r="U4352" t="s">
        <v>50577</v>
      </c>
      <c r="W4352" t="s">
        <v>41316</v>
      </c>
      <c r="X4352" t="s">
        <v>44767</v>
      </c>
    </row>
    <row r="4353" spans="1:24">
      <c r="A4353">
        <f>HYPERLINK("https://www.philgeps.gov.ph/GEPSNONPILOT/Tender/SplashBidNoticeAbstractUI.aspx?menuIndex=3&amp;refID=7147567&amp;Result=3","7147567")</f>
        <v>0</v>
      </c>
      <c r="B4353" t="s">
        <v>752</v>
      </c>
      <c r="C4353" t="s">
        <v>7877</v>
      </c>
      <c r="D4353" t="s">
        <v>17980</v>
      </c>
      <c r="E4353" t="s">
        <v>21967</v>
      </c>
      <c r="F4353" t="s">
        <v>30900</v>
      </c>
      <c r="G4353" t="s">
        <v>30908</v>
      </c>
      <c r="H4353" t="s">
        <v>30916</v>
      </c>
      <c r="I4353" t="s">
        <v>6953</v>
      </c>
      <c r="J4353" t="s">
        <v>33994</v>
      </c>
      <c r="K4353" t="s">
        <v>40287</v>
      </c>
      <c r="M4353" t="s">
        <v>41316</v>
      </c>
      <c r="N4353" t="s">
        <v>44759</v>
      </c>
      <c r="O4353" t="s">
        <v>44760</v>
      </c>
      <c r="P4353">
        <v>0</v>
      </c>
      <c r="Q4353">
        <v>0</v>
      </c>
      <c r="R4353" t="s">
        <v>44763</v>
      </c>
      <c r="S4353" t="s">
        <v>44876</v>
      </c>
      <c r="T4353" t="s">
        <v>46672</v>
      </c>
      <c r="U4353" t="s">
        <v>50578</v>
      </c>
      <c r="W4353" t="s">
        <v>41316</v>
      </c>
      <c r="X4353" t="s">
        <v>44767</v>
      </c>
    </row>
    <row r="4354" spans="1:24">
      <c r="A4354">
        <f>HYPERLINK("https://www.philgeps.gov.ph/GEPSNONPILOT/Tender/SplashBidNoticeAbstractUI.aspx?menuIndex=3&amp;refID=7147548&amp;Result=3","7147548")</f>
        <v>0</v>
      </c>
      <c r="B4354" t="s">
        <v>585</v>
      </c>
      <c r="C4354" t="s">
        <v>7878</v>
      </c>
      <c r="E4354" t="s">
        <v>21968</v>
      </c>
      <c r="F4354" t="s">
        <v>30900</v>
      </c>
      <c r="G4354" t="s">
        <v>30908</v>
      </c>
      <c r="H4354" t="s">
        <v>30916</v>
      </c>
      <c r="I4354" t="s">
        <v>10602</v>
      </c>
      <c r="J4354" t="s">
        <v>31898</v>
      </c>
      <c r="K4354" t="s">
        <v>40289</v>
      </c>
      <c r="M4354" t="s">
        <v>41147</v>
      </c>
      <c r="N4354" t="s">
        <v>44759</v>
      </c>
      <c r="O4354" t="s">
        <v>44760</v>
      </c>
      <c r="P4354">
        <v>0</v>
      </c>
      <c r="Q4354">
        <v>0</v>
      </c>
      <c r="R4354" t="s">
        <v>44763</v>
      </c>
      <c r="S4354" t="s">
        <v>44876</v>
      </c>
      <c r="T4354" t="s">
        <v>46391</v>
      </c>
      <c r="U4354" t="s">
        <v>50579</v>
      </c>
      <c r="V4354" t="s">
        <v>59258</v>
      </c>
      <c r="W4354" t="s">
        <v>41147</v>
      </c>
      <c r="X4354" t="s">
        <v>44767</v>
      </c>
    </row>
    <row r="4355" spans="1:24">
      <c r="A4355">
        <f>HYPERLINK("https://www.philgeps.gov.ph/GEPSNONPILOT/Tender/SplashBidNoticeAbstractUI.aspx?menuIndex=3&amp;refID=7147517&amp;Result=3","7147517")</f>
        <v>0</v>
      </c>
      <c r="B4355" t="s">
        <v>1638</v>
      </c>
      <c r="C4355" t="s">
        <v>7879</v>
      </c>
      <c r="D4355" t="s">
        <v>17969</v>
      </c>
      <c r="E4355" t="s">
        <v>21969</v>
      </c>
      <c r="F4355" t="s">
        <v>30900</v>
      </c>
      <c r="G4355" t="s">
        <v>30908</v>
      </c>
      <c r="H4355" t="s">
        <v>30916</v>
      </c>
      <c r="I4355" t="s">
        <v>6396</v>
      </c>
      <c r="J4355" t="s">
        <v>33995</v>
      </c>
      <c r="K4355" t="s">
        <v>40283</v>
      </c>
      <c r="M4355" t="s">
        <v>42294</v>
      </c>
      <c r="N4355" t="s">
        <v>44759</v>
      </c>
      <c r="O4355" t="s">
        <v>44760</v>
      </c>
      <c r="P4355">
        <v>0</v>
      </c>
      <c r="Q4355">
        <v>0</v>
      </c>
      <c r="R4355" t="s">
        <v>44763</v>
      </c>
      <c r="S4355" t="s">
        <v>44876</v>
      </c>
      <c r="T4355" t="s">
        <v>46414</v>
      </c>
      <c r="U4355" t="s">
        <v>50580</v>
      </c>
      <c r="W4355" t="s">
        <v>42294</v>
      </c>
      <c r="X4355" t="s">
        <v>44767</v>
      </c>
    </row>
    <row r="4356" spans="1:24">
      <c r="A4356">
        <f>HYPERLINK("https://www.philgeps.gov.ph/GEPSNONPILOT/Tender/SplashBidNoticeAbstractUI.aspx?menuIndex=3&amp;refID=7147539&amp;Result=3","7147539")</f>
        <v>0</v>
      </c>
      <c r="B4356" t="s">
        <v>752</v>
      </c>
      <c r="C4356" t="s">
        <v>7877</v>
      </c>
      <c r="D4356" t="s">
        <v>17980</v>
      </c>
      <c r="E4356" t="s">
        <v>21970</v>
      </c>
      <c r="F4356" t="s">
        <v>30900</v>
      </c>
      <c r="G4356" t="s">
        <v>30908</v>
      </c>
      <c r="H4356" t="s">
        <v>30916</v>
      </c>
      <c r="I4356" t="s">
        <v>8123</v>
      </c>
      <c r="J4356" t="s">
        <v>33996</v>
      </c>
      <c r="K4356" t="s">
        <v>40287</v>
      </c>
      <c r="M4356" t="s">
        <v>41316</v>
      </c>
      <c r="N4356" t="s">
        <v>44759</v>
      </c>
      <c r="O4356" t="s">
        <v>44760</v>
      </c>
      <c r="P4356">
        <v>0</v>
      </c>
      <c r="Q4356">
        <v>0</v>
      </c>
      <c r="R4356" t="s">
        <v>44763</v>
      </c>
      <c r="S4356" t="s">
        <v>44876</v>
      </c>
      <c r="T4356" t="s">
        <v>46672</v>
      </c>
      <c r="U4356" t="s">
        <v>50581</v>
      </c>
      <c r="W4356" t="s">
        <v>41316</v>
      </c>
      <c r="X4356" t="s">
        <v>44767</v>
      </c>
    </row>
    <row r="4357" spans="1:24">
      <c r="A4357">
        <f>HYPERLINK("https://www.philgeps.gov.ph/GEPSNONPILOT/Tender/SplashBidNoticeAbstractUI.aspx?menuIndex=3&amp;refID=7147411&amp;Result=3","7147411")</f>
        <v>0</v>
      </c>
      <c r="B4357" t="s">
        <v>1636</v>
      </c>
      <c r="C4357" t="s">
        <v>7880</v>
      </c>
      <c r="D4357" t="s">
        <v>17989</v>
      </c>
      <c r="E4357" t="s">
        <v>21971</v>
      </c>
      <c r="F4357" t="s">
        <v>30900</v>
      </c>
      <c r="G4357" t="s">
        <v>30908</v>
      </c>
      <c r="H4357" t="s">
        <v>30916</v>
      </c>
      <c r="I4357" t="s">
        <v>30923</v>
      </c>
      <c r="J4357" t="s">
        <v>33997</v>
      </c>
      <c r="K4357" t="s">
        <v>40287</v>
      </c>
      <c r="M4357" t="s">
        <v>42291</v>
      </c>
      <c r="N4357" t="s">
        <v>44759</v>
      </c>
      <c r="O4357" t="s">
        <v>44760</v>
      </c>
      <c r="P4357">
        <v>0</v>
      </c>
      <c r="Q4357">
        <v>9</v>
      </c>
      <c r="R4357" t="s">
        <v>44763</v>
      </c>
      <c r="S4357" t="s">
        <v>44876</v>
      </c>
      <c r="T4357" t="s">
        <v>46533</v>
      </c>
      <c r="U4357" t="s">
        <v>50582</v>
      </c>
      <c r="W4357" t="s">
        <v>42291</v>
      </c>
      <c r="X4357" t="s">
        <v>44767</v>
      </c>
    </row>
    <row r="4358" spans="1:24">
      <c r="A4358">
        <f>HYPERLINK("https://www.philgeps.gov.ph/GEPSNONPILOT/Tender/SplashBidNoticeAbstractUI.aspx?menuIndex=3&amp;refID=7147558&amp;Result=3","7147558")</f>
        <v>0</v>
      </c>
      <c r="B4358" t="s">
        <v>767</v>
      </c>
      <c r="C4358" t="s">
        <v>7881</v>
      </c>
      <c r="D4358" t="s">
        <v>18020</v>
      </c>
      <c r="E4358" t="s">
        <v>21972</v>
      </c>
      <c r="F4358" t="s">
        <v>30900</v>
      </c>
      <c r="G4358" t="s">
        <v>30909</v>
      </c>
      <c r="H4358" t="s">
        <v>30916</v>
      </c>
      <c r="I4358" t="s">
        <v>30927</v>
      </c>
      <c r="J4358" t="s">
        <v>33998</v>
      </c>
      <c r="K4358" t="s">
        <v>40289</v>
      </c>
      <c r="M4358" t="s">
        <v>41333</v>
      </c>
      <c r="N4358" t="s">
        <v>44759</v>
      </c>
      <c r="O4358" t="s">
        <v>44760</v>
      </c>
      <c r="P4358">
        <v>0</v>
      </c>
      <c r="Q4358">
        <v>1</v>
      </c>
      <c r="R4358" t="s">
        <v>44763</v>
      </c>
      <c r="S4358" t="s">
        <v>44876</v>
      </c>
      <c r="T4358" t="s">
        <v>46391</v>
      </c>
      <c r="U4358" t="s">
        <v>50583</v>
      </c>
      <c r="V4358" t="s">
        <v>59299</v>
      </c>
      <c r="W4358" t="s">
        <v>41333</v>
      </c>
      <c r="X4358" t="s">
        <v>44767</v>
      </c>
    </row>
    <row r="4359" spans="1:24">
      <c r="A4359">
        <f>HYPERLINK("https://www.philgeps.gov.ph/GEPSNONPILOT/Tender/SplashBidNoticeAbstractUI.aspx?menuIndex=3&amp;refID=7147520&amp;Result=3","7147520")</f>
        <v>0</v>
      </c>
      <c r="B4359" t="s">
        <v>1630</v>
      </c>
      <c r="C4359" t="s">
        <v>7882</v>
      </c>
      <c r="D4359" t="s">
        <v>17957</v>
      </c>
      <c r="E4359" t="s">
        <v>21973</v>
      </c>
      <c r="F4359" t="s">
        <v>30900</v>
      </c>
      <c r="G4359" t="s">
        <v>30907</v>
      </c>
      <c r="H4359" t="s">
        <v>30915</v>
      </c>
      <c r="I4359" t="s">
        <v>30919</v>
      </c>
      <c r="J4359" t="s">
        <v>33999</v>
      </c>
      <c r="K4359" t="s">
        <v>40292</v>
      </c>
      <c r="M4359" t="s">
        <v>42282</v>
      </c>
      <c r="N4359" t="s">
        <v>44759</v>
      </c>
      <c r="O4359" t="s">
        <v>44760</v>
      </c>
      <c r="P4359">
        <v>0</v>
      </c>
      <c r="Q4359">
        <v>0</v>
      </c>
      <c r="R4359" t="s">
        <v>44763</v>
      </c>
      <c r="S4359" t="s">
        <v>44876</v>
      </c>
      <c r="T4359" t="s">
        <v>46486</v>
      </c>
      <c r="U4359" t="s">
        <v>50584</v>
      </c>
      <c r="W4359" t="s">
        <v>42282</v>
      </c>
      <c r="X4359" t="s">
        <v>44767</v>
      </c>
    </row>
    <row r="4360" spans="1:24">
      <c r="A4360">
        <f>HYPERLINK("https://www.philgeps.gov.ph/GEPSNONPILOT/Tender/SplashBidNoticeAbstractUI.aspx?menuIndex=3&amp;refID=7147577&amp;Result=3","7147577")</f>
        <v>0</v>
      </c>
      <c r="B4360" t="s">
        <v>1630</v>
      </c>
      <c r="C4360" t="s">
        <v>7883</v>
      </c>
      <c r="D4360" t="s">
        <v>17957</v>
      </c>
      <c r="E4360" t="s">
        <v>21974</v>
      </c>
      <c r="F4360" t="s">
        <v>30900</v>
      </c>
      <c r="G4360" t="s">
        <v>30907</v>
      </c>
      <c r="H4360" t="s">
        <v>30915</v>
      </c>
      <c r="I4360" t="s">
        <v>30919</v>
      </c>
      <c r="J4360" t="s">
        <v>34000</v>
      </c>
      <c r="K4360" t="s">
        <v>40292</v>
      </c>
      <c r="M4360" t="s">
        <v>42282</v>
      </c>
      <c r="N4360" t="s">
        <v>44759</v>
      </c>
      <c r="O4360" t="s">
        <v>44760</v>
      </c>
      <c r="P4360">
        <v>0</v>
      </c>
      <c r="Q4360">
        <v>0</v>
      </c>
      <c r="R4360" t="s">
        <v>44763</v>
      </c>
      <c r="S4360" t="s">
        <v>44876</v>
      </c>
      <c r="T4360" t="s">
        <v>46486</v>
      </c>
      <c r="U4360" t="s">
        <v>50585</v>
      </c>
      <c r="W4360" t="s">
        <v>42282</v>
      </c>
      <c r="X4360" t="s">
        <v>44767</v>
      </c>
    </row>
    <row r="4361" spans="1:24">
      <c r="A4361">
        <f>HYPERLINK("https://www.philgeps.gov.ph/GEPSNONPILOT/Tender/SplashBidNoticeAbstractUI.aspx?menuIndex=3&amp;refID=7147332&amp;Result=3","7147332")</f>
        <v>0</v>
      </c>
      <c r="B4361" t="s">
        <v>1629</v>
      </c>
      <c r="C4361" t="s">
        <v>7884</v>
      </c>
      <c r="D4361" t="s">
        <v>17982</v>
      </c>
      <c r="E4361" t="s">
        <v>21975</v>
      </c>
      <c r="F4361" t="s">
        <v>30900</v>
      </c>
      <c r="G4361" t="s">
        <v>30907</v>
      </c>
      <c r="H4361" t="s">
        <v>30916</v>
      </c>
      <c r="I4361" t="s">
        <v>4965</v>
      </c>
      <c r="J4361" t="s">
        <v>32967</v>
      </c>
      <c r="K4361" t="s">
        <v>40286</v>
      </c>
      <c r="M4361" t="s">
        <v>42281</v>
      </c>
      <c r="N4361" t="s">
        <v>44759</v>
      </c>
      <c r="O4361" t="s">
        <v>44760</v>
      </c>
      <c r="P4361">
        <v>0</v>
      </c>
      <c r="Q4361">
        <v>2</v>
      </c>
      <c r="R4361" t="s">
        <v>44763</v>
      </c>
      <c r="S4361" t="s">
        <v>44876</v>
      </c>
      <c r="T4361" t="s">
        <v>46465</v>
      </c>
      <c r="U4361" t="s">
        <v>50586</v>
      </c>
      <c r="V4361" t="s">
        <v>59575</v>
      </c>
      <c r="W4361" t="s">
        <v>42281</v>
      </c>
      <c r="X4361" t="s">
        <v>44767</v>
      </c>
    </row>
    <row r="4362" spans="1:24">
      <c r="A4362">
        <f>HYPERLINK("https://www.philgeps.gov.ph/GEPSNONPILOT/Tender/SplashBidNoticeAbstractUI.aspx?menuIndex=3&amp;refID=7147620&amp;Result=3","7147620")</f>
        <v>0</v>
      </c>
      <c r="B4362" t="s">
        <v>752</v>
      </c>
      <c r="C4362" t="s">
        <v>7847</v>
      </c>
      <c r="D4362" t="s">
        <v>17980</v>
      </c>
      <c r="E4362" t="s">
        <v>21976</v>
      </c>
      <c r="F4362" t="s">
        <v>30900</v>
      </c>
      <c r="G4362" t="s">
        <v>30908</v>
      </c>
      <c r="H4362" t="s">
        <v>30916</v>
      </c>
      <c r="I4362" t="s">
        <v>8123</v>
      </c>
      <c r="J4362" t="s">
        <v>34001</v>
      </c>
      <c r="K4362" t="s">
        <v>40287</v>
      </c>
      <c r="M4362" t="s">
        <v>41316</v>
      </c>
      <c r="N4362" t="s">
        <v>44759</v>
      </c>
      <c r="O4362" t="s">
        <v>44760</v>
      </c>
      <c r="P4362">
        <v>0</v>
      </c>
      <c r="Q4362">
        <v>0</v>
      </c>
      <c r="R4362" t="s">
        <v>44763</v>
      </c>
      <c r="S4362" t="s">
        <v>44876</v>
      </c>
      <c r="T4362" t="s">
        <v>46391</v>
      </c>
      <c r="U4362" t="s">
        <v>50587</v>
      </c>
      <c r="W4362" t="s">
        <v>41316</v>
      </c>
      <c r="X4362" t="s">
        <v>44767</v>
      </c>
    </row>
    <row r="4363" spans="1:24">
      <c r="A4363">
        <f>HYPERLINK("https://www.philgeps.gov.ph/GEPSNONPILOT/Tender/SplashBidNoticeAbstractUI.aspx?menuIndex=3&amp;refID=7147731&amp;Result=3","7147731")</f>
        <v>0</v>
      </c>
      <c r="B4363" t="s">
        <v>1630</v>
      </c>
      <c r="C4363" t="s">
        <v>7885</v>
      </c>
      <c r="D4363" t="s">
        <v>17957</v>
      </c>
      <c r="E4363" t="s">
        <v>21977</v>
      </c>
      <c r="F4363" t="s">
        <v>30900</v>
      </c>
      <c r="G4363" t="s">
        <v>30907</v>
      </c>
      <c r="H4363" t="s">
        <v>30915</v>
      </c>
      <c r="I4363" t="s">
        <v>30919</v>
      </c>
      <c r="J4363" t="s">
        <v>34002</v>
      </c>
      <c r="K4363" t="s">
        <v>40280</v>
      </c>
      <c r="M4363" t="s">
        <v>42282</v>
      </c>
      <c r="N4363" t="s">
        <v>44759</v>
      </c>
      <c r="O4363" t="s">
        <v>44760</v>
      </c>
      <c r="P4363">
        <v>0</v>
      </c>
      <c r="Q4363">
        <v>0</v>
      </c>
      <c r="R4363" t="s">
        <v>44763</v>
      </c>
      <c r="S4363" t="s">
        <v>44876</v>
      </c>
      <c r="T4363" t="s">
        <v>46486</v>
      </c>
      <c r="U4363" t="s">
        <v>50588</v>
      </c>
      <c r="W4363" t="s">
        <v>42282</v>
      </c>
      <c r="X4363" t="s">
        <v>44767</v>
      </c>
    </row>
    <row r="4364" spans="1:24">
      <c r="A4364">
        <f>HYPERLINK("https://www.philgeps.gov.ph/GEPSNONPILOT/Tender/SplashBidNoticeAbstractUI.aspx?menuIndex=3&amp;refID=7147323&amp;Result=3","7147323")</f>
        <v>0</v>
      </c>
      <c r="B4364" t="s">
        <v>1166</v>
      </c>
      <c r="C4364" t="s">
        <v>7886</v>
      </c>
      <c r="D4364" t="s">
        <v>17954</v>
      </c>
      <c r="E4364" t="s">
        <v>21978</v>
      </c>
      <c r="F4364" t="s">
        <v>30900</v>
      </c>
      <c r="G4364" t="s">
        <v>30906</v>
      </c>
      <c r="H4364" t="s">
        <v>30915</v>
      </c>
      <c r="I4364" t="s">
        <v>30919</v>
      </c>
      <c r="J4364" t="s">
        <v>34003</v>
      </c>
      <c r="K4364" t="s">
        <v>40301</v>
      </c>
      <c r="M4364" t="s">
        <v>41773</v>
      </c>
      <c r="N4364" t="s">
        <v>44759</v>
      </c>
      <c r="O4364" t="s">
        <v>44760</v>
      </c>
      <c r="P4364">
        <v>0</v>
      </c>
      <c r="Q4364">
        <v>5</v>
      </c>
      <c r="R4364" t="s">
        <v>44763</v>
      </c>
      <c r="S4364" t="s">
        <v>44876</v>
      </c>
      <c r="T4364" t="s">
        <v>46475</v>
      </c>
      <c r="U4364" t="s">
        <v>50589</v>
      </c>
      <c r="V4364" t="s">
        <v>59582</v>
      </c>
      <c r="W4364" t="s">
        <v>41773</v>
      </c>
      <c r="X4364" t="s">
        <v>44767</v>
      </c>
    </row>
    <row r="4365" spans="1:24">
      <c r="A4365">
        <f>HYPERLINK("https://www.philgeps.gov.ph/GEPSNONPILOT/Tender/SplashBidNoticeAbstractUI.aspx?menuIndex=3&amp;refID=7147702&amp;Result=3","7147702")</f>
        <v>0</v>
      </c>
      <c r="B4365" t="s">
        <v>1198</v>
      </c>
      <c r="C4365" t="s">
        <v>7887</v>
      </c>
      <c r="E4365" t="s">
        <v>21979</v>
      </c>
      <c r="F4365" t="s">
        <v>30900</v>
      </c>
      <c r="G4365" t="s">
        <v>30907</v>
      </c>
      <c r="H4365" t="s">
        <v>30915</v>
      </c>
      <c r="I4365" t="s">
        <v>30919</v>
      </c>
      <c r="J4365" t="s">
        <v>31241</v>
      </c>
      <c r="K4365" t="s">
        <v>40335</v>
      </c>
      <c r="M4365" t="s">
        <v>41809</v>
      </c>
      <c r="N4365" t="s">
        <v>44759</v>
      </c>
      <c r="O4365" t="s">
        <v>44760</v>
      </c>
      <c r="P4365">
        <v>0</v>
      </c>
      <c r="Q4365">
        <v>0</v>
      </c>
      <c r="R4365" t="s">
        <v>44763</v>
      </c>
      <c r="S4365" t="s">
        <v>44876</v>
      </c>
      <c r="T4365" t="s">
        <v>46371</v>
      </c>
      <c r="U4365" t="s">
        <v>50590</v>
      </c>
      <c r="V4365" t="s">
        <v>59430</v>
      </c>
      <c r="W4365" t="s">
        <v>41809</v>
      </c>
      <c r="X4365" t="s">
        <v>44767</v>
      </c>
    </row>
    <row r="4366" spans="1:24">
      <c r="A4366">
        <f>HYPERLINK("https://www.philgeps.gov.ph/GEPSNONPILOT/Tender/SplashBidNoticeAbstractUI.aspx?menuIndex=3&amp;refID=7147699&amp;Result=3","7147699")</f>
        <v>0</v>
      </c>
      <c r="B4366" t="s">
        <v>1630</v>
      </c>
      <c r="C4366" t="s">
        <v>7888</v>
      </c>
      <c r="D4366" t="s">
        <v>17957</v>
      </c>
      <c r="E4366" t="s">
        <v>21980</v>
      </c>
      <c r="F4366" t="s">
        <v>30900</v>
      </c>
      <c r="G4366" t="s">
        <v>30907</v>
      </c>
      <c r="H4366" t="s">
        <v>30915</v>
      </c>
      <c r="I4366" t="s">
        <v>30919</v>
      </c>
      <c r="J4366" t="s">
        <v>34004</v>
      </c>
      <c r="K4366" t="s">
        <v>40286</v>
      </c>
      <c r="M4366" t="s">
        <v>42282</v>
      </c>
      <c r="N4366" t="s">
        <v>44759</v>
      </c>
      <c r="O4366" t="s">
        <v>44760</v>
      </c>
      <c r="P4366">
        <v>0</v>
      </c>
      <c r="Q4366">
        <v>0</v>
      </c>
      <c r="R4366" t="s">
        <v>44763</v>
      </c>
      <c r="S4366" t="s">
        <v>44876</v>
      </c>
      <c r="T4366" t="s">
        <v>46486</v>
      </c>
      <c r="U4366" t="s">
        <v>50591</v>
      </c>
      <c r="W4366" t="s">
        <v>42282</v>
      </c>
      <c r="X4366" t="s">
        <v>44767</v>
      </c>
    </row>
    <row r="4367" spans="1:24">
      <c r="A4367">
        <f>HYPERLINK("https://www.philgeps.gov.ph/GEPSNONPILOT/Tender/SplashBidNoticeAbstractUI.aspx?menuIndex=3&amp;refID=7147684&amp;Result=3","7147684")</f>
        <v>0</v>
      </c>
      <c r="B4367" t="s">
        <v>1198</v>
      </c>
      <c r="C4367" t="s">
        <v>7889</v>
      </c>
      <c r="D4367" t="s">
        <v>17999</v>
      </c>
      <c r="E4367" t="s">
        <v>21981</v>
      </c>
      <c r="F4367" t="s">
        <v>30900</v>
      </c>
      <c r="G4367" t="s">
        <v>30907</v>
      </c>
      <c r="H4367" t="s">
        <v>30915</v>
      </c>
      <c r="I4367" t="s">
        <v>30919</v>
      </c>
      <c r="J4367" t="s">
        <v>31241</v>
      </c>
      <c r="K4367" t="s">
        <v>40335</v>
      </c>
      <c r="M4367" t="s">
        <v>41809</v>
      </c>
      <c r="N4367" t="s">
        <v>44759</v>
      </c>
      <c r="O4367" t="s">
        <v>44760</v>
      </c>
      <c r="P4367">
        <v>0</v>
      </c>
      <c r="Q4367">
        <v>0</v>
      </c>
      <c r="R4367" t="s">
        <v>44763</v>
      </c>
      <c r="S4367" t="s">
        <v>44876</v>
      </c>
      <c r="T4367" t="s">
        <v>46371</v>
      </c>
      <c r="U4367" t="s">
        <v>50592</v>
      </c>
      <c r="V4367" t="s">
        <v>59430</v>
      </c>
      <c r="W4367" t="s">
        <v>41809</v>
      </c>
      <c r="X4367" t="s">
        <v>44767</v>
      </c>
    </row>
    <row r="4368" spans="1:24">
      <c r="A4368">
        <f>HYPERLINK("https://www.philgeps.gov.ph/GEPSNONPILOT/Tender/SplashBidNoticeAbstractUI.aspx?menuIndex=3&amp;refID=7147678&amp;Result=3","7147678")</f>
        <v>0</v>
      </c>
      <c r="B4368" t="s">
        <v>1639</v>
      </c>
      <c r="C4368" t="s">
        <v>7890</v>
      </c>
      <c r="D4368" t="s">
        <v>17985</v>
      </c>
      <c r="E4368" t="s">
        <v>21982</v>
      </c>
      <c r="F4368" t="s">
        <v>30900</v>
      </c>
      <c r="G4368" t="s">
        <v>30907</v>
      </c>
      <c r="H4368" t="s">
        <v>30915</v>
      </c>
      <c r="I4368" t="s">
        <v>30919</v>
      </c>
      <c r="J4368" t="s">
        <v>31243</v>
      </c>
      <c r="K4368" t="s">
        <v>40293</v>
      </c>
      <c r="M4368" t="s">
        <v>42295</v>
      </c>
      <c r="N4368" t="s">
        <v>44759</v>
      </c>
      <c r="O4368" t="s">
        <v>44760</v>
      </c>
      <c r="P4368">
        <v>0</v>
      </c>
      <c r="Q4368">
        <v>0</v>
      </c>
      <c r="R4368" t="s">
        <v>44763</v>
      </c>
      <c r="S4368" t="s">
        <v>44876</v>
      </c>
      <c r="T4368" t="s">
        <v>46357</v>
      </c>
      <c r="U4368" t="s">
        <v>50593</v>
      </c>
      <c r="W4368" t="s">
        <v>42295</v>
      </c>
      <c r="X4368" t="s">
        <v>44767</v>
      </c>
    </row>
    <row r="4369" spans="1:24">
      <c r="A4369">
        <f>HYPERLINK("https://www.philgeps.gov.ph/GEPSNONPILOT/Tender/SplashBidNoticeAbstractUI.aspx?menuIndex=3&amp;refID=7147660&amp;Result=3","7147660")</f>
        <v>0</v>
      </c>
      <c r="B4369" t="s">
        <v>1630</v>
      </c>
      <c r="C4369" t="s">
        <v>7891</v>
      </c>
      <c r="D4369" t="s">
        <v>17957</v>
      </c>
      <c r="E4369" t="s">
        <v>21983</v>
      </c>
      <c r="F4369" t="s">
        <v>30900</v>
      </c>
      <c r="G4369" t="s">
        <v>30907</v>
      </c>
      <c r="H4369" t="s">
        <v>30915</v>
      </c>
      <c r="I4369" t="s">
        <v>30919</v>
      </c>
      <c r="J4369" t="s">
        <v>34005</v>
      </c>
      <c r="K4369" t="s">
        <v>40292</v>
      </c>
      <c r="M4369" t="s">
        <v>42282</v>
      </c>
      <c r="N4369" t="s">
        <v>44759</v>
      </c>
      <c r="O4369" t="s">
        <v>44760</v>
      </c>
      <c r="P4369">
        <v>0</v>
      </c>
      <c r="Q4369">
        <v>0</v>
      </c>
      <c r="R4369" t="s">
        <v>44763</v>
      </c>
      <c r="S4369" t="s">
        <v>44876</v>
      </c>
      <c r="T4369" t="s">
        <v>46486</v>
      </c>
      <c r="U4369" t="s">
        <v>50594</v>
      </c>
      <c r="W4369" t="s">
        <v>42282</v>
      </c>
      <c r="X4369" t="s">
        <v>44767</v>
      </c>
    </row>
    <row r="4370" spans="1:24">
      <c r="A4370">
        <f>HYPERLINK("https://www.philgeps.gov.ph/GEPSNONPILOT/Tender/SplashBidNoticeAbstractUI.aspx?menuIndex=3&amp;refID=7147740&amp;Result=3","7147740")</f>
        <v>0</v>
      </c>
      <c r="B4370" t="s">
        <v>1198</v>
      </c>
      <c r="C4370" t="s">
        <v>7892</v>
      </c>
      <c r="D4370" t="s">
        <v>17999</v>
      </c>
      <c r="E4370" t="s">
        <v>21984</v>
      </c>
      <c r="F4370" t="s">
        <v>30900</v>
      </c>
      <c r="G4370" t="s">
        <v>30907</v>
      </c>
      <c r="H4370" t="s">
        <v>30915</v>
      </c>
      <c r="I4370" t="s">
        <v>30919</v>
      </c>
      <c r="J4370" t="s">
        <v>31069</v>
      </c>
      <c r="K4370" t="s">
        <v>40280</v>
      </c>
      <c r="M4370" t="s">
        <v>41809</v>
      </c>
      <c r="N4370" t="s">
        <v>44759</v>
      </c>
      <c r="O4370" t="s">
        <v>44760</v>
      </c>
      <c r="P4370">
        <v>0</v>
      </c>
      <c r="Q4370">
        <v>0</v>
      </c>
      <c r="R4370" t="s">
        <v>44763</v>
      </c>
      <c r="S4370" t="s">
        <v>44876</v>
      </c>
      <c r="T4370" t="s">
        <v>46371</v>
      </c>
      <c r="U4370" t="s">
        <v>50595</v>
      </c>
      <c r="V4370" t="s">
        <v>59430</v>
      </c>
      <c r="W4370" t="s">
        <v>41809</v>
      </c>
      <c r="X4370" t="s">
        <v>44767</v>
      </c>
    </row>
    <row r="4371" spans="1:24">
      <c r="A4371">
        <f>HYPERLINK("https://www.philgeps.gov.ph/GEPSNONPILOT/Tender/SplashBidNoticeAbstractUI.aspx?menuIndex=3&amp;refID=7147706&amp;Result=3","7147706")</f>
        <v>0</v>
      </c>
      <c r="B4371" t="s">
        <v>1639</v>
      </c>
      <c r="C4371" t="s">
        <v>7893</v>
      </c>
      <c r="D4371" t="s">
        <v>17985</v>
      </c>
      <c r="E4371" t="s">
        <v>21985</v>
      </c>
      <c r="F4371" t="s">
        <v>30900</v>
      </c>
      <c r="G4371" t="s">
        <v>30907</v>
      </c>
      <c r="H4371" t="s">
        <v>30916</v>
      </c>
      <c r="I4371" t="s">
        <v>31019</v>
      </c>
      <c r="J4371" t="s">
        <v>31270</v>
      </c>
      <c r="K4371" t="s">
        <v>40308</v>
      </c>
      <c r="M4371" t="s">
        <v>42295</v>
      </c>
      <c r="N4371" t="s">
        <v>44759</v>
      </c>
      <c r="O4371" t="s">
        <v>44760</v>
      </c>
      <c r="P4371">
        <v>0</v>
      </c>
      <c r="Q4371">
        <v>0</v>
      </c>
      <c r="R4371" t="s">
        <v>44763</v>
      </c>
      <c r="S4371" t="s">
        <v>44876</v>
      </c>
      <c r="T4371" t="s">
        <v>46357</v>
      </c>
      <c r="U4371" t="s">
        <v>50596</v>
      </c>
      <c r="W4371" t="s">
        <v>42295</v>
      </c>
      <c r="X4371" t="s">
        <v>44767</v>
      </c>
    </row>
    <row r="4372" spans="1:24">
      <c r="A4372">
        <f>HYPERLINK("https://www.philgeps.gov.ph/GEPSNONPILOT/Tender/SplashBidNoticeAbstractUI.aspx?menuIndex=3&amp;refID=7147856&amp;Result=3","7147856")</f>
        <v>0</v>
      </c>
      <c r="B4372" t="s">
        <v>1640</v>
      </c>
      <c r="C4372" t="s">
        <v>7894</v>
      </c>
      <c r="D4372" t="s">
        <v>18013</v>
      </c>
      <c r="E4372" t="s">
        <v>21986</v>
      </c>
      <c r="F4372" t="s">
        <v>30900</v>
      </c>
      <c r="G4372" t="s">
        <v>30907</v>
      </c>
      <c r="H4372" t="s">
        <v>7411</v>
      </c>
      <c r="I4372" t="s">
        <v>7411</v>
      </c>
      <c r="J4372" t="s">
        <v>34006</v>
      </c>
      <c r="K4372" t="s">
        <v>40403</v>
      </c>
      <c r="M4372" t="s">
        <v>42296</v>
      </c>
      <c r="N4372" t="s">
        <v>44759</v>
      </c>
      <c r="O4372" t="s">
        <v>44760</v>
      </c>
      <c r="P4372">
        <v>0</v>
      </c>
      <c r="Q4372">
        <v>6</v>
      </c>
      <c r="R4372" t="s">
        <v>44763</v>
      </c>
      <c r="S4372" t="s">
        <v>44876</v>
      </c>
      <c r="T4372" t="s">
        <v>46357</v>
      </c>
      <c r="U4372" t="s">
        <v>50597</v>
      </c>
      <c r="V4372" t="s">
        <v>59583</v>
      </c>
      <c r="W4372" t="s">
        <v>42296</v>
      </c>
      <c r="X4372" t="s">
        <v>44767</v>
      </c>
    </row>
    <row r="4373" spans="1:24">
      <c r="A4373">
        <f>HYPERLINK("https://www.philgeps.gov.ph/GEPSNONPILOT/Tender/SplashBidNoticeAbstractUI.aspx?menuIndex=3&amp;refID=7147824&amp;Result=3","7147824")</f>
        <v>0</v>
      </c>
      <c r="B4373" t="s">
        <v>1640</v>
      </c>
      <c r="C4373" t="s">
        <v>7895</v>
      </c>
      <c r="D4373" t="s">
        <v>18013</v>
      </c>
      <c r="E4373" t="s">
        <v>21987</v>
      </c>
      <c r="F4373" t="s">
        <v>30900</v>
      </c>
      <c r="G4373" t="s">
        <v>30907</v>
      </c>
      <c r="H4373" t="s">
        <v>7411</v>
      </c>
      <c r="I4373" t="s">
        <v>7411</v>
      </c>
      <c r="J4373" t="s">
        <v>34007</v>
      </c>
      <c r="K4373" t="s">
        <v>40404</v>
      </c>
      <c r="M4373" t="s">
        <v>42296</v>
      </c>
      <c r="N4373" t="s">
        <v>44759</v>
      </c>
      <c r="O4373" t="s">
        <v>44760</v>
      </c>
      <c r="P4373">
        <v>0</v>
      </c>
      <c r="Q4373">
        <v>6</v>
      </c>
      <c r="R4373" t="s">
        <v>44763</v>
      </c>
      <c r="S4373" t="s">
        <v>44876</v>
      </c>
      <c r="T4373" t="s">
        <v>46357</v>
      </c>
      <c r="U4373" t="s">
        <v>50598</v>
      </c>
      <c r="V4373" t="s">
        <v>59584</v>
      </c>
      <c r="W4373" t="s">
        <v>42296</v>
      </c>
      <c r="X4373" t="s">
        <v>44767</v>
      </c>
    </row>
    <row r="4374" spans="1:24">
      <c r="A4374">
        <f>HYPERLINK("https://www.philgeps.gov.ph/GEPSNONPILOT/Tender/SplashBidNoticeAbstractUI.aspx?menuIndex=3&amp;refID=7147793&amp;Result=3","7147793")</f>
        <v>0</v>
      </c>
      <c r="B4374" t="s">
        <v>807</v>
      </c>
      <c r="C4374" t="s">
        <v>7896</v>
      </c>
      <c r="D4374" t="s">
        <v>18015</v>
      </c>
      <c r="E4374" t="s">
        <v>21988</v>
      </c>
      <c r="F4374" t="s">
        <v>30900</v>
      </c>
      <c r="G4374" t="s">
        <v>30908</v>
      </c>
      <c r="H4374" t="s">
        <v>30916</v>
      </c>
      <c r="I4374" t="s">
        <v>6953</v>
      </c>
      <c r="J4374" t="s">
        <v>34008</v>
      </c>
      <c r="K4374" t="s">
        <v>40283</v>
      </c>
      <c r="M4374" t="s">
        <v>41377</v>
      </c>
      <c r="N4374" t="s">
        <v>44759</v>
      </c>
      <c r="O4374" t="s">
        <v>44760</v>
      </c>
      <c r="P4374">
        <v>0</v>
      </c>
      <c r="Q4374">
        <v>0</v>
      </c>
      <c r="R4374" t="s">
        <v>44763</v>
      </c>
      <c r="S4374" t="s">
        <v>44876</v>
      </c>
      <c r="T4374" t="s">
        <v>46533</v>
      </c>
      <c r="U4374" t="s">
        <v>50599</v>
      </c>
      <c r="W4374" t="s">
        <v>41377</v>
      </c>
      <c r="X4374" t="s">
        <v>44767</v>
      </c>
    </row>
    <row r="4375" spans="1:24">
      <c r="A4375">
        <f>HYPERLINK("https://www.philgeps.gov.ph/GEPSNONPILOT/Tender/SplashBidNoticeAbstractUI.aspx?menuIndex=3&amp;refID=7147770&amp;Result=3","7147770")</f>
        <v>0</v>
      </c>
      <c r="B4375" t="s">
        <v>1551</v>
      </c>
      <c r="C4375" t="s">
        <v>7897</v>
      </c>
      <c r="D4375" t="s">
        <v>17960</v>
      </c>
      <c r="E4375" t="s">
        <v>21989</v>
      </c>
      <c r="F4375" t="s">
        <v>30900</v>
      </c>
      <c r="G4375" t="s">
        <v>30906</v>
      </c>
      <c r="H4375" t="s">
        <v>30916</v>
      </c>
      <c r="I4375" t="s">
        <v>30939</v>
      </c>
      <c r="J4375" t="s">
        <v>34009</v>
      </c>
      <c r="K4375" t="s">
        <v>40286</v>
      </c>
      <c r="M4375" t="s">
        <v>42196</v>
      </c>
      <c r="N4375" t="s">
        <v>44759</v>
      </c>
      <c r="O4375" t="s">
        <v>44760</v>
      </c>
      <c r="P4375">
        <v>0</v>
      </c>
      <c r="Q4375">
        <v>0</v>
      </c>
      <c r="R4375" t="s">
        <v>44763</v>
      </c>
      <c r="S4375" t="s">
        <v>44876</v>
      </c>
      <c r="T4375" t="s">
        <v>46533</v>
      </c>
      <c r="U4375" t="s">
        <v>50600</v>
      </c>
      <c r="W4375" t="s">
        <v>42196</v>
      </c>
      <c r="X4375" t="s">
        <v>44767</v>
      </c>
    </row>
    <row r="4376" spans="1:24">
      <c r="A4376">
        <f>HYPERLINK("https://www.philgeps.gov.ph/GEPSNONPILOT/Tender/SplashBidNoticeAbstractUI.aspx?menuIndex=3&amp;refID=7147757&amp;Result=3","7147757")</f>
        <v>0</v>
      </c>
      <c r="B4376" t="s">
        <v>1551</v>
      </c>
      <c r="C4376" t="s">
        <v>7898</v>
      </c>
      <c r="D4376" t="s">
        <v>17960</v>
      </c>
      <c r="E4376" t="s">
        <v>21990</v>
      </c>
      <c r="F4376" t="s">
        <v>30900</v>
      </c>
      <c r="G4376" t="s">
        <v>30906</v>
      </c>
      <c r="H4376" t="s">
        <v>30916</v>
      </c>
      <c r="I4376" t="s">
        <v>30939</v>
      </c>
      <c r="J4376" t="s">
        <v>34010</v>
      </c>
      <c r="K4376" t="s">
        <v>40286</v>
      </c>
      <c r="M4376" t="s">
        <v>42196</v>
      </c>
      <c r="N4376" t="s">
        <v>44759</v>
      </c>
      <c r="O4376" t="s">
        <v>44760</v>
      </c>
      <c r="P4376">
        <v>0</v>
      </c>
      <c r="Q4376">
        <v>0</v>
      </c>
      <c r="R4376" t="s">
        <v>44763</v>
      </c>
      <c r="S4376" t="s">
        <v>44876</v>
      </c>
      <c r="T4376" t="s">
        <v>46533</v>
      </c>
      <c r="U4376" t="s">
        <v>50601</v>
      </c>
      <c r="W4376" t="s">
        <v>42196</v>
      </c>
      <c r="X4376" t="s">
        <v>44767</v>
      </c>
    </row>
    <row r="4377" spans="1:24">
      <c r="A4377">
        <f>HYPERLINK("https://www.philgeps.gov.ph/GEPSNONPILOT/Tender/SplashBidNoticeAbstractUI.aspx?menuIndex=3&amp;refID=7147625&amp;Result=3","7147625")</f>
        <v>0</v>
      </c>
      <c r="B4377" t="s">
        <v>1630</v>
      </c>
      <c r="C4377" t="s">
        <v>7899</v>
      </c>
      <c r="D4377" t="s">
        <v>17957</v>
      </c>
      <c r="E4377" t="s">
        <v>21991</v>
      </c>
      <c r="F4377" t="s">
        <v>30900</v>
      </c>
      <c r="G4377" t="s">
        <v>30907</v>
      </c>
      <c r="H4377" t="s">
        <v>30915</v>
      </c>
      <c r="I4377" t="s">
        <v>30919</v>
      </c>
      <c r="J4377" t="s">
        <v>34011</v>
      </c>
      <c r="K4377" t="s">
        <v>40292</v>
      </c>
      <c r="M4377" t="s">
        <v>42282</v>
      </c>
      <c r="N4377" t="s">
        <v>44759</v>
      </c>
      <c r="O4377" t="s">
        <v>44760</v>
      </c>
      <c r="P4377">
        <v>0</v>
      </c>
      <c r="Q4377">
        <v>0</v>
      </c>
      <c r="R4377" t="s">
        <v>44763</v>
      </c>
      <c r="S4377" t="s">
        <v>44876</v>
      </c>
      <c r="T4377" t="s">
        <v>46486</v>
      </c>
      <c r="U4377" t="s">
        <v>50602</v>
      </c>
      <c r="W4377" t="s">
        <v>42282</v>
      </c>
      <c r="X4377" t="s">
        <v>44767</v>
      </c>
    </row>
    <row r="4378" spans="1:24">
      <c r="A4378">
        <f>HYPERLINK("https://www.philgeps.gov.ph/GEPSNONPILOT/Tender/SplashBidNoticeAbstractUI.aspx?menuIndex=3&amp;refID=7147716&amp;Result=3","7147716")</f>
        <v>0</v>
      </c>
      <c r="B4378" t="s">
        <v>1641</v>
      </c>
      <c r="C4378" t="s">
        <v>7900</v>
      </c>
      <c r="D4378" t="s">
        <v>17981</v>
      </c>
      <c r="E4378" t="s">
        <v>21992</v>
      </c>
      <c r="F4378" t="s">
        <v>30900</v>
      </c>
      <c r="G4378" t="s">
        <v>30907</v>
      </c>
      <c r="H4378" t="s">
        <v>30915</v>
      </c>
      <c r="I4378" t="s">
        <v>30919</v>
      </c>
      <c r="J4378" t="s">
        <v>34012</v>
      </c>
      <c r="K4378" t="s">
        <v>40280</v>
      </c>
      <c r="M4378" t="s">
        <v>42297</v>
      </c>
      <c r="N4378" t="s">
        <v>44759</v>
      </c>
      <c r="O4378" t="s">
        <v>44760</v>
      </c>
      <c r="P4378">
        <v>0</v>
      </c>
      <c r="Q4378">
        <v>4</v>
      </c>
      <c r="R4378" t="s">
        <v>44763</v>
      </c>
      <c r="S4378" t="s">
        <v>44876</v>
      </c>
      <c r="T4378" t="s">
        <v>46377</v>
      </c>
      <c r="U4378" t="s">
        <v>50603</v>
      </c>
      <c r="W4378" t="s">
        <v>42297</v>
      </c>
      <c r="X4378" t="s">
        <v>44767</v>
      </c>
    </row>
    <row r="4379" spans="1:24">
      <c r="A4379">
        <f>HYPERLINK("https://www.philgeps.gov.ph/GEPSNONPILOT/Tender/SplashBidNoticeAbstractUI.aspx?menuIndex=3&amp;refID=7147755&amp;Result=3","7147755")</f>
        <v>0</v>
      </c>
      <c r="B4379" t="s">
        <v>1630</v>
      </c>
      <c r="C4379" t="s">
        <v>7901</v>
      </c>
      <c r="D4379" t="s">
        <v>17957</v>
      </c>
      <c r="E4379" t="s">
        <v>21993</v>
      </c>
      <c r="F4379" t="s">
        <v>30900</v>
      </c>
      <c r="G4379" t="s">
        <v>30907</v>
      </c>
      <c r="H4379" t="s">
        <v>30915</v>
      </c>
      <c r="I4379" t="s">
        <v>30919</v>
      </c>
      <c r="J4379" t="s">
        <v>34013</v>
      </c>
      <c r="K4379" t="s">
        <v>40304</v>
      </c>
      <c r="M4379" t="s">
        <v>42282</v>
      </c>
      <c r="N4379" t="s">
        <v>44759</v>
      </c>
      <c r="O4379" t="s">
        <v>44760</v>
      </c>
      <c r="P4379">
        <v>0</v>
      </c>
      <c r="Q4379">
        <v>0</v>
      </c>
      <c r="R4379" t="s">
        <v>44763</v>
      </c>
      <c r="S4379" t="s">
        <v>44876</v>
      </c>
      <c r="T4379" t="s">
        <v>46486</v>
      </c>
      <c r="U4379" t="s">
        <v>50604</v>
      </c>
      <c r="W4379" t="s">
        <v>42282</v>
      </c>
      <c r="X4379" t="s">
        <v>44767</v>
      </c>
    </row>
    <row r="4380" spans="1:24">
      <c r="A4380">
        <f>HYPERLINK("https://www.philgeps.gov.ph/GEPSNONPILOT/Tender/SplashBidNoticeAbstractUI.aspx?menuIndex=3&amp;refID=7147881&amp;Result=3","7147881")</f>
        <v>0</v>
      </c>
      <c r="B4380" t="s">
        <v>1640</v>
      </c>
      <c r="C4380" t="s">
        <v>7902</v>
      </c>
      <c r="D4380" t="s">
        <v>18013</v>
      </c>
      <c r="E4380" t="s">
        <v>21994</v>
      </c>
      <c r="F4380" t="s">
        <v>30900</v>
      </c>
      <c r="G4380" t="s">
        <v>30907</v>
      </c>
      <c r="H4380" t="s">
        <v>7411</v>
      </c>
      <c r="I4380" t="s">
        <v>7411</v>
      </c>
      <c r="J4380" t="s">
        <v>34014</v>
      </c>
      <c r="K4380" t="s">
        <v>40392</v>
      </c>
      <c r="M4380" t="s">
        <v>42296</v>
      </c>
      <c r="N4380" t="s">
        <v>44759</v>
      </c>
      <c r="O4380" t="s">
        <v>44760</v>
      </c>
      <c r="P4380">
        <v>0</v>
      </c>
      <c r="Q4380">
        <v>7</v>
      </c>
      <c r="R4380" t="s">
        <v>44763</v>
      </c>
      <c r="S4380" t="s">
        <v>44876</v>
      </c>
      <c r="T4380" t="s">
        <v>46357</v>
      </c>
      <c r="U4380" t="s">
        <v>50605</v>
      </c>
      <c r="V4380" t="s">
        <v>59585</v>
      </c>
      <c r="W4380" t="s">
        <v>42296</v>
      </c>
      <c r="X4380" t="s">
        <v>44767</v>
      </c>
    </row>
    <row r="4381" spans="1:24">
      <c r="A4381">
        <f>HYPERLINK("https://www.philgeps.gov.ph/GEPSNONPILOT/Tender/SplashBidNoticeAbstractUI.aspx?menuIndex=3&amp;refID=7148118&amp;Result=3","7148118")</f>
        <v>0</v>
      </c>
      <c r="B4381" t="s">
        <v>1642</v>
      </c>
      <c r="C4381" t="s">
        <v>7903</v>
      </c>
      <c r="D4381" t="s">
        <v>18020</v>
      </c>
      <c r="E4381" t="s">
        <v>21995</v>
      </c>
      <c r="F4381" t="s">
        <v>30900</v>
      </c>
      <c r="G4381" t="s">
        <v>30908</v>
      </c>
      <c r="H4381" t="s">
        <v>30915</v>
      </c>
      <c r="I4381" t="s">
        <v>30919</v>
      </c>
      <c r="J4381" t="s">
        <v>34015</v>
      </c>
      <c r="K4381" t="s">
        <v>40288</v>
      </c>
      <c r="M4381" t="s">
        <v>42298</v>
      </c>
      <c r="N4381" t="s">
        <v>44759</v>
      </c>
      <c r="O4381" t="s">
        <v>44760</v>
      </c>
      <c r="P4381">
        <v>0</v>
      </c>
      <c r="Q4381">
        <v>0</v>
      </c>
      <c r="R4381" t="s">
        <v>44763</v>
      </c>
      <c r="S4381" t="s">
        <v>44876</v>
      </c>
      <c r="T4381" t="s">
        <v>46391</v>
      </c>
      <c r="U4381" t="s">
        <v>50606</v>
      </c>
      <c r="W4381" t="s">
        <v>42298</v>
      </c>
      <c r="X4381" t="s">
        <v>44766</v>
      </c>
    </row>
    <row r="4382" spans="1:24">
      <c r="A4382">
        <f>HYPERLINK("https://www.philgeps.gov.ph/GEPSNONPILOT/Tender/SplashBidNoticeAbstractUI.aspx?menuIndex=3&amp;refID=7148128&amp;Result=3","7148128")</f>
        <v>0</v>
      </c>
      <c r="B4382" t="s">
        <v>1643</v>
      </c>
      <c r="C4382" t="s">
        <v>7904</v>
      </c>
      <c r="D4382" t="s">
        <v>18013</v>
      </c>
      <c r="E4382" t="s">
        <v>21996</v>
      </c>
      <c r="F4382" t="s">
        <v>30900</v>
      </c>
      <c r="G4382" t="s">
        <v>30908</v>
      </c>
      <c r="H4382" t="s">
        <v>30916</v>
      </c>
      <c r="I4382" t="s">
        <v>8123</v>
      </c>
      <c r="J4382" t="s">
        <v>34016</v>
      </c>
      <c r="K4382" t="s">
        <v>40289</v>
      </c>
      <c r="M4382" t="s">
        <v>42299</v>
      </c>
      <c r="N4382" t="s">
        <v>44759</v>
      </c>
      <c r="O4382" t="s">
        <v>44760</v>
      </c>
      <c r="P4382">
        <v>0</v>
      </c>
      <c r="Q4382">
        <v>0</v>
      </c>
      <c r="R4382" t="s">
        <v>44763</v>
      </c>
      <c r="S4382" t="s">
        <v>44876</v>
      </c>
      <c r="T4382" t="s">
        <v>46403</v>
      </c>
      <c r="U4382" t="s">
        <v>50607</v>
      </c>
      <c r="W4382" t="s">
        <v>42299</v>
      </c>
      <c r="X4382" t="s">
        <v>44766</v>
      </c>
    </row>
    <row r="4383" spans="1:24">
      <c r="A4383">
        <f>HYPERLINK("https://www.philgeps.gov.ph/GEPSNONPILOT/Tender/SplashBidNoticeAbstractUI.aspx?menuIndex=3&amp;refID=7148116&amp;Result=3","7148116")</f>
        <v>0</v>
      </c>
      <c r="B4383" t="s">
        <v>1642</v>
      </c>
      <c r="C4383" t="s">
        <v>7905</v>
      </c>
      <c r="D4383" t="s">
        <v>18020</v>
      </c>
      <c r="E4383" t="s">
        <v>21997</v>
      </c>
      <c r="F4383" t="s">
        <v>30900</v>
      </c>
      <c r="G4383" t="s">
        <v>30908</v>
      </c>
      <c r="H4383" t="s">
        <v>30915</v>
      </c>
      <c r="I4383" t="s">
        <v>30919</v>
      </c>
      <c r="J4383" t="s">
        <v>34017</v>
      </c>
      <c r="K4383" t="s">
        <v>40285</v>
      </c>
      <c r="M4383" t="s">
        <v>42298</v>
      </c>
      <c r="N4383" t="s">
        <v>44759</v>
      </c>
      <c r="O4383" t="s">
        <v>44760</v>
      </c>
      <c r="P4383">
        <v>0</v>
      </c>
      <c r="Q4383">
        <v>1</v>
      </c>
      <c r="R4383" t="s">
        <v>44763</v>
      </c>
      <c r="S4383" t="s">
        <v>44876</v>
      </c>
      <c r="T4383" t="s">
        <v>46391</v>
      </c>
      <c r="U4383" t="s">
        <v>50608</v>
      </c>
      <c r="W4383" t="s">
        <v>42298</v>
      </c>
      <c r="X4383" t="s">
        <v>44766</v>
      </c>
    </row>
    <row r="4384" spans="1:24">
      <c r="A4384">
        <f>HYPERLINK("https://www.philgeps.gov.ph/GEPSNONPILOT/Tender/SplashBidNoticeAbstractUI.aspx?menuIndex=3&amp;refID=7148117&amp;Result=3","7148117")</f>
        <v>0</v>
      </c>
      <c r="B4384" t="s">
        <v>1642</v>
      </c>
      <c r="C4384" t="s">
        <v>7906</v>
      </c>
      <c r="D4384" t="s">
        <v>18020</v>
      </c>
      <c r="E4384" t="s">
        <v>21998</v>
      </c>
      <c r="F4384" t="s">
        <v>30900</v>
      </c>
      <c r="G4384" t="s">
        <v>30908</v>
      </c>
      <c r="H4384" t="s">
        <v>30915</v>
      </c>
      <c r="I4384" t="s">
        <v>30919</v>
      </c>
      <c r="J4384" t="s">
        <v>34018</v>
      </c>
      <c r="K4384" t="s">
        <v>40287</v>
      </c>
      <c r="M4384" t="s">
        <v>42298</v>
      </c>
      <c r="N4384" t="s">
        <v>44759</v>
      </c>
      <c r="O4384" t="s">
        <v>44760</v>
      </c>
      <c r="P4384">
        <v>0</v>
      </c>
      <c r="Q4384">
        <v>0</v>
      </c>
      <c r="R4384" t="s">
        <v>44763</v>
      </c>
      <c r="S4384" t="s">
        <v>44876</v>
      </c>
      <c r="T4384" t="s">
        <v>46391</v>
      </c>
      <c r="U4384" t="s">
        <v>50609</v>
      </c>
      <c r="W4384" t="s">
        <v>42298</v>
      </c>
      <c r="X4384" t="s">
        <v>44766</v>
      </c>
    </row>
    <row r="4385" spans="1:24">
      <c r="A4385">
        <f>HYPERLINK("https://www.philgeps.gov.ph/GEPSNONPILOT/Tender/SplashBidNoticeAbstractUI.aspx?menuIndex=3&amp;refID=7148028&amp;Result=3","7148028")</f>
        <v>0</v>
      </c>
      <c r="B4385" t="s">
        <v>1628</v>
      </c>
      <c r="C4385" t="s">
        <v>7907</v>
      </c>
      <c r="D4385" t="s">
        <v>18000</v>
      </c>
      <c r="E4385" t="s">
        <v>21999</v>
      </c>
      <c r="F4385" t="s">
        <v>30900</v>
      </c>
      <c r="G4385" t="s">
        <v>30908</v>
      </c>
      <c r="H4385" t="s">
        <v>30916</v>
      </c>
      <c r="I4385" t="s">
        <v>4108</v>
      </c>
      <c r="J4385" t="s">
        <v>34019</v>
      </c>
      <c r="K4385" t="s">
        <v>40314</v>
      </c>
      <c r="M4385" t="s">
        <v>42280</v>
      </c>
      <c r="N4385" t="s">
        <v>44759</v>
      </c>
      <c r="O4385" t="s">
        <v>44760</v>
      </c>
      <c r="P4385">
        <v>0</v>
      </c>
      <c r="Q4385">
        <v>4</v>
      </c>
      <c r="R4385" t="s">
        <v>44763</v>
      </c>
      <c r="S4385" t="s">
        <v>44876</v>
      </c>
      <c r="T4385" t="s">
        <v>46399</v>
      </c>
      <c r="U4385" t="s">
        <v>50610</v>
      </c>
      <c r="W4385" t="s">
        <v>42280</v>
      </c>
      <c r="X4385" t="s">
        <v>44767</v>
      </c>
    </row>
    <row r="4386" spans="1:24">
      <c r="A4386">
        <f>HYPERLINK("https://www.philgeps.gov.ph/GEPSNONPILOT/Tender/SplashBidNoticeAbstractUI.aspx?menuIndex=3&amp;refID=7147963&amp;Result=3","7147963")</f>
        <v>0</v>
      </c>
      <c r="B4386" t="s">
        <v>1644</v>
      </c>
      <c r="C4386" t="s">
        <v>7908</v>
      </c>
      <c r="D4386" t="s">
        <v>17961</v>
      </c>
      <c r="E4386" t="s">
        <v>18752</v>
      </c>
      <c r="F4386" t="s">
        <v>30899</v>
      </c>
      <c r="G4386" t="s">
        <v>30908</v>
      </c>
      <c r="H4386" t="s">
        <v>30916</v>
      </c>
      <c r="I4386" t="s">
        <v>8365</v>
      </c>
      <c r="J4386" t="s">
        <v>34020</v>
      </c>
      <c r="K4386" t="s">
        <v>40285</v>
      </c>
      <c r="M4386" t="s">
        <v>42300</v>
      </c>
      <c r="N4386" t="s">
        <v>44759</v>
      </c>
      <c r="O4386" t="s">
        <v>44760</v>
      </c>
      <c r="P4386">
        <v>0</v>
      </c>
      <c r="Q4386">
        <v>0</v>
      </c>
      <c r="R4386" t="s">
        <v>44763</v>
      </c>
      <c r="S4386" t="s">
        <v>44876</v>
      </c>
      <c r="T4386" t="s">
        <v>46418</v>
      </c>
      <c r="U4386" t="s">
        <v>50611</v>
      </c>
      <c r="W4386" t="s">
        <v>42300</v>
      </c>
      <c r="X4386" t="s">
        <v>44767</v>
      </c>
    </row>
    <row r="4387" spans="1:24">
      <c r="A4387">
        <f>HYPERLINK("https://www.philgeps.gov.ph/GEPSNONPILOT/Tender/SplashBidNoticeAbstractUI.aspx?menuIndex=3&amp;refID=7148119&amp;Result=3","7148119")</f>
        <v>0</v>
      </c>
      <c r="B4387" t="s">
        <v>1642</v>
      </c>
      <c r="C4387" t="s">
        <v>7909</v>
      </c>
      <c r="D4387" t="s">
        <v>18020</v>
      </c>
      <c r="E4387" t="s">
        <v>22000</v>
      </c>
      <c r="F4387" t="s">
        <v>30900</v>
      </c>
      <c r="G4387" t="s">
        <v>30908</v>
      </c>
      <c r="H4387" t="s">
        <v>30915</v>
      </c>
      <c r="I4387" t="s">
        <v>30919</v>
      </c>
      <c r="J4387" t="s">
        <v>34021</v>
      </c>
      <c r="K4387" t="s">
        <v>40311</v>
      </c>
      <c r="M4387" t="s">
        <v>42298</v>
      </c>
      <c r="N4387" t="s">
        <v>44759</v>
      </c>
      <c r="O4387" t="s">
        <v>44760</v>
      </c>
      <c r="P4387">
        <v>0</v>
      </c>
      <c r="Q4387">
        <v>0</v>
      </c>
      <c r="R4387" t="s">
        <v>44763</v>
      </c>
      <c r="S4387" t="s">
        <v>44876</v>
      </c>
      <c r="T4387" t="s">
        <v>46391</v>
      </c>
      <c r="U4387" t="s">
        <v>50612</v>
      </c>
      <c r="W4387" t="s">
        <v>42298</v>
      </c>
      <c r="X4387" t="s">
        <v>44766</v>
      </c>
    </row>
    <row r="4388" spans="1:24">
      <c r="A4388">
        <f>HYPERLINK("https://www.philgeps.gov.ph/GEPSNONPILOT/Tender/SplashBidNoticeAbstractUI.aspx?menuIndex=3&amp;refID=7147917&amp;Result=3","7147917")</f>
        <v>0</v>
      </c>
      <c r="B4388" t="s">
        <v>1640</v>
      </c>
      <c r="C4388" t="s">
        <v>7910</v>
      </c>
      <c r="D4388" t="s">
        <v>18013</v>
      </c>
      <c r="E4388" t="s">
        <v>22001</v>
      </c>
      <c r="F4388" t="s">
        <v>30900</v>
      </c>
      <c r="G4388" t="s">
        <v>30907</v>
      </c>
      <c r="H4388" t="s">
        <v>7411</v>
      </c>
      <c r="I4388" t="s">
        <v>7411</v>
      </c>
      <c r="J4388" t="s">
        <v>34022</v>
      </c>
      <c r="K4388" t="s">
        <v>40378</v>
      </c>
      <c r="M4388" t="s">
        <v>42296</v>
      </c>
      <c r="N4388" t="s">
        <v>44759</v>
      </c>
      <c r="O4388" t="s">
        <v>44760</v>
      </c>
      <c r="P4388">
        <v>0</v>
      </c>
      <c r="Q4388">
        <v>6</v>
      </c>
      <c r="R4388" t="s">
        <v>44763</v>
      </c>
      <c r="S4388" t="s">
        <v>44876</v>
      </c>
      <c r="T4388" t="s">
        <v>46357</v>
      </c>
      <c r="U4388" t="s">
        <v>50613</v>
      </c>
      <c r="V4388" t="s">
        <v>59586</v>
      </c>
      <c r="W4388" t="s">
        <v>42296</v>
      </c>
      <c r="X4388" t="s">
        <v>44767</v>
      </c>
    </row>
    <row r="4389" spans="1:24">
      <c r="A4389">
        <f>HYPERLINK("https://www.philgeps.gov.ph/GEPSNONPILOT/Tender/SplashBidNoticeAbstractUI.aspx?menuIndex=3&amp;refID=7148139&amp;Result=3","7148139")</f>
        <v>0</v>
      </c>
      <c r="B4389" t="s">
        <v>56</v>
      </c>
      <c r="C4389" t="s">
        <v>7911</v>
      </c>
      <c r="D4389" t="s">
        <v>17952</v>
      </c>
      <c r="E4389" t="s">
        <v>22002</v>
      </c>
      <c r="F4389" t="s">
        <v>30900</v>
      </c>
      <c r="G4389" t="s">
        <v>30907</v>
      </c>
      <c r="H4389" t="s">
        <v>30916</v>
      </c>
      <c r="I4389" t="s">
        <v>8044</v>
      </c>
      <c r="J4389" t="s">
        <v>34023</v>
      </c>
      <c r="K4389" t="s">
        <v>40287</v>
      </c>
      <c r="M4389" t="s">
        <v>41803</v>
      </c>
      <c r="N4389" t="s">
        <v>44759</v>
      </c>
      <c r="O4389" t="s">
        <v>44760</v>
      </c>
      <c r="P4389">
        <v>0</v>
      </c>
      <c r="Q4389">
        <v>0</v>
      </c>
      <c r="R4389" t="s">
        <v>44763</v>
      </c>
      <c r="S4389" t="s">
        <v>44876</v>
      </c>
      <c r="T4389" t="s">
        <v>46406</v>
      </c>
      <c r="U4389" t="s">
        <v>50614</v>
      </c>
      <c r="V4389" t="s">
        <v>59101</v>
      </c>
      <c r="W4389" t="s">
        <v>41803</v>
      </c>
      <c r="X4389" t="s">
        <v>44766</v>
      </c>
    </row>
    <row r="4390" spans="1:24">
      <c r="A4390">
        <f>HYPERLINK("https://www.philgeps.gov.ph/GEPSNONPILOT/Tender/SplashBidNoticeAbstractUI.aspx?menuIndex=3&amp;refID=7147729&amp;Result=3","7147729")</f>
        <v>0</v>
      </c>
      <c r="B4390" t="s">
        <v>1198</v>
      </c>
      <c r="C4390" t="s">
        <v>7912</v>
      </c>
      <c r="D4390" t="s">
        <v>17999</v>
      </c>
      <c r="E4390" t="s">
        <v>22003</v>
      </c>
      <c r="F4390" t="s">
        <v>30900</v>
      </c>
      <c r="G4390" t="s">
        <v>30907</v>
      </c>
      <c r="H4390" t="s">
        <v>30915</v>
      </c>
      <c r="I4390" t="s">
        <v>30919</v>
      </c>
      <c r="J4390" t="s">
        <v>31069</v>
      </c>
      <c r="K4390" t="s">
        <v>40280</v>
      </c>
      <c r="M4390" t="s">
        <v>41809</v>
      </c>
      <c r="N4390" t="s">
        <v>44759</v>
      </c>
      <c r="O4390" t="s">
        <v>44760</v>
      </c>
      <c r="P4390">
        <v>0</v>
      </c>
      <c r="Q4390">
        <v>0</v>
      </c>
      <c r="R4390" t="s">
        <v>44763</v>
      </c>
      <c r="S4390" t="s">
        <v>44876</v>
      </c>
      <c r="T4390" t="s">
        <v>46371</v>
      </c>
      <c r="U4390" t="s">
        <v>50615</v>
      </c>
      <c r="V4390" t="s">
        <v>59430</v>
      </c>
      <c r="W4390" t="s">
        <v>41809</v>
      </c>
      <c r="X4390" t="s">
        <v>44767</v>
      </c>
    </row>
    <row r="4391" spans="1:24">
      <c r="A4391">
        <f>HYPERLINK("https://www.philgeps.gov.ph/GEPSNONPILOT/Tender/SplashBidNoticeAbstractUI.aspx?menuIndex=3&amp;refID=7148138&amp;Result=3","7148138")</f>
        <v>0</v>
      </c>
      <c r="B4391" t="s">
        <v>56</v>
      </c>
      <c r="C4391" t="s">
        <v>7913</v>
      </c>
      <c r="D4391" t="s">
        <v>17952</v>
      </c>
      <c r="E4391" t="s">
        <v>22004</v>
      </c>
      <c r="F4391" t="s">
        <v>30900</v>
      </c>
      <c r="G4391" t="s">
        <v>30907</v>
      </c>
      <c r="H4391" t="s">
        <v>30916</v>
      </c>
      <c r="I4391" t="s">
        <v>30939</v>
      </c>
      <c r="J4391" t="s">
        <v>34024</v>
      </c>
      <c r="K4391" t="s">
        <v>40294</v>
      </c>
      <c r="M4391" t="s">
        <v>41803</v>
      </c>
      <c r="N4391" t="s">
        <v>44759</v>
      </c>
      <c r="O4391" t="s">
        <v>44760</v>
      </c>
      <c r="P4391">
        <v>0</v>
      </c>
      <c r="Q4391">
        <v>0</v>
      </c>
      <c r="R4391" t="s">
        <v>44763</v>
      </c>
      <c r="S4391" t="s">
        <v>44876</v>
      </c>
      <c r="T4391" t="s">
        <v>46378</v>
      </c>
      <c r="U4391" t="s">
        <v>50616</v>
      </c>
      <c r="V4391" t="s">
        <v>59101</v>
      </c>
      <c r="W4391" t="s">
        <v>41803</v>
      </c>
      <c r="X4391" t="s">
        <v>44766</v>
      </c>
    </row>
    <row r="4392" spans="1:24">
      <c r="A4392">
        <f>HYPERLINK("https://www.philgeps.gov.ph/GEPSNONPILOT/Tender/SplashBidNoticeAbstractUI.aspx?menuIndex=3&amp;refID=7148037&amp;Result=3","7148037")</f>
        <v>0</v>
      </c>
      <c r="B4392" t="s">
        <v>1602</v>
      </c>
      <c r="C4392" t="s">
        <v>7914</v>
      </c>
      <c r="D4392" t="s">
        <v>17959</v>
      </c>
      <c r="E4392" t="s">
        <v>22005</v>
      </c>
      <c r="F4392" t="s">
        <v>30900</v>
      </c>
      <c r="G4392" t="s">
        <v>30908</v>
      </c>
      <c r="H4392" t="s">
        <v>30916</v>
      </c>
      <c r="I4392" t="s">
        <v>6953</v>
      </c>
      <c r="J4392" t="s">
        <v>34025</v>
      </c>
      <c r="K4392" t="s">
        <v>40287</v>
      </c>
      <c r="M4392" t="s">
        <v>42283</v>
      </c>
      <c r="N4392" t="s">
        <v>44759</v>
      </c>
      <c r="O4392" t="s">
        <v>44760</v>
      </c>
      <c r="P4392">
        <v>0</v>
      </c>
      <c r="Q4392">
        <v>0</v>
      </c>
      <c r="R4392" t="s">
        <v>44763</v>
      </c>
      <c r="S4392" t="s">
        <v>44876</v>
      </c>
      <c r="T4392" t="s">
        <v>46414</v>
      </c>
      <c r="U4392" t="s">
        <v>50617</v>
      </c>
      <c r="W4392" t="s">
        <v>42283</v>
      </c>
      <c r="X4392" t="s">
        <v>44767</v>
      </c>
    </row>
    <row r="4393" spans="1:24">
      <c r="A4393">
        <f>HYPERLINK("https://www.philgeps.gov.ph/GEPSNONPILOT/Tender/SplashBidNoticeAbstractUI.aspx?menuIndex=3&amp;refID=7148135&amp;Result=3","7148135")</f>
        <v>0</v>
      </c>
      <c r="B4393" t="s">
        <v>56</v>
      </c>
      <c r="C4393" t="s">
        <v>7915</v>
      </c>
      <c r="D4393" t="s">
        <v>17952</v>
      </c>
      <c r="E4393" t="s">
        <v>22006</v>
      </c>
      <c r="F4393" t="s">
        <v>30900</v>
      </c>
      <c r="G4393" t="s">
        <v>30907</v>
      </c>
      <c r="H4393" t="s">
        <v>30916</v>
      </c>
      <c r="I4393" t="s">
        <v>4142</v>
      </c>
      <c r="J4393" t="s">
        <v>34026</v>
      </c>
      <c r="K4393" t="s">
        <v>40287</v>
      </c>
      <c r="M4393" t="s">
        <v>41803</v>
      </c>
      <c r="N4393" t="s">
        <v>44759</v>
      </c>
      <c r="O4393" t="s">
        <v>44760</v>
      </c>
      <c r="P4393">
        <v>0</v>
      </c>
      <c r="Q4393">
        <v>0</v>
      </c>
      <c r="R4393" t="s">
        <v>44763</v>
      </c>
      <c r="S4393" t="s">
        <v>44876</v>
      </c>
      <c r="T4393" t="s">
        <v>46406</v>
      </c>
      <c r="U4393" t="s">
        <v>50618</v>
      </c>
      <c r="V4393" t="s">
        <v>59101</v>
      </c>
      <c r="W4393" t="s">
        <v>41803</v>
      </c>
      <c r="X4393" t="s">
        <v>44766</v>
      </c>
    </row>
    <row r="4394" spans="1:24">
      <c r="A4394">
        <f>HYPERLINK("https://www.philgeps.gov.ph/GEPSNONPILOT/Tender/SplashBidNoticeAbstractUI.aspx?menuIndex=3&amp;refID=7148125&amp;Result=3","7148125")</f>
        <v>0</v>
      </c>
      <c r="B4394" t="s">
        <v>1645</v>
      </c>
      <c r="C4394" t="s">
        <v>7916</v>
      </c>
      <c r="D4394" t="s">
        <v>17954</v>
      </c>
      <c r="E4394" t="s">
        <v>22007</v>
      </c>
      <c r="F4394" t="s">
        <v>30900</v>
      </c>
      <c r="G4394" t="s">
        <v>30908</v>
      </c>
      <c r="H4394" t="s">
        <v>30916</v>
      </c>
      <c r="I4394" t="s">
        <v>4108</v>
      </c>
      <c r="J4394" t="s">
        <v>31070</v>
      </c>
      <c r="K4394" t="s">
        <v>40288</v>
      </c>
      <c r="M4394" t="s">
        <v>42301</v>
      </c>
      <c r="N4394" t="s">
        <v>44759</v>
      </c>
      <c r="O4394" t="s">
        <v>44760</v>
      </c>
      <c r="P4394">
        <v>0</v>
      </c>
      <c r="Q4394">
        <v>2</v>
      </c>
      <c r="R4394" t="s">
        <v>44763</v>
      </c>
      <c r="S4394" t="s">
        <v>44876</v>
      </c>
      <c r="T4394" t="s">
        <v>46533</v>
      </c>
      <c r="U4394" t="s">
        <v>50619</v>
      </c>
      <c r="V4394" t="s">
        <v>59587</v>
      </c>
      <c r="W4394" t="s">
        <v>42301</v>
      </c>
      <c r="X4394" t="s">
        <v>44766</v>
      </c>
    </row>
    <row r="4395" spans="1:24">
      <c r="A4395">
        <f>HYPERLINK("https://www.philgeps.gov.ph/GEPSNONPILOT/Tender/SplashBidNoticeAbstractUI.aspx?menuIndex=3&amp;refID=7148134&amp;Result=3","7148134")</f>
        <v>0</v>
      </c>
      <c r="B4395" t="s">
        <v>56</v>
      </c>
      <c r="C4395" t="s">
        <v>7917</v>
      </c>
      <c r="D4395" t="s">
        <v>17952</v>
      </c>
      <c r="E4395" t="s">
        <v>22008</v>
      </c>
      <c r="F4395" t="s">
        <v>30900</v>
      </c>
      <c r="G4395" t="s">
        <v>30907</v>
      </c>
      <c r="H4395" t="s">
        <v>30916</v>
      </c>
      <c r="I4395" t="s">
        <v>4142</v>
      </c>
      <c r="J4395" t="s">
        <v>34027</v>
      </c>
      <c r="K4395" t="s">
        <v>40294</v>
      </c>
      <c r="M4395" t="s">
        <v>41803</v>
      </c>
      <c r="N4395" t="s">
        <v>44759</v>
      </c>
      <c r="O4395" t="s">
        <v>44760</v>
      </c>
      <c r="P4395">
        <v>0</v>
      </c>
      <c r="Q4395">
        <v>0</v>
      </c>
      <c r="R4395" t="s">
        <v>44763</v>
      </c>
      <c r="S4395" t="s">
        <v>44876</v>
      </c>
      <c r="T4395" t="s">
        <v>46406</v>
      </c>
      <c r="U4395" t="s">
        <v>50620</v>
      </c>
      <c r="V4395" t="s">
        <v>59101</v>
      </c>
      <c r="W4395" t="s">
        <v>41803</v>
      </c>
      <c r="X4395" t="s">
        <v>44766</v>
      </c>
    </row>
    <row r="4396" spans="1:24">
      <c r="A4396">
        <f>HYPERLINK("https://www.philgeps.gov.ph/GEPSNONPILOT/Tender/SplashBidNoticeAbstractUI.aspx?menuIndex=3&amp;refID=7148113&amp;Result=3","7148113")</f>
        <v>0</v>
      </c>
      <c r="B4396" t="s">
        <v>1642</v>
      </c>
      <c r="C4396" t="s">
        <v>7918</v>
      </c>
      <c r="D4396" t="s">
        <v>18020</v>
      </c>
      <c r="E4396" t="s">
        <v>22009</v>
      </c>
      <c r="F4396" t="s">
        <v>30900</v>
      </c>
      <c r="G4396" t="s">
        <v>30908</v>
      </c>
      <c r="H4396" t="s">
        <v>30915</v>
      </c>
      <c r="I4396" t="s">
        <v>30919</v>
      </c>
      <c r="J4396" t="s">
        <v>34028</v>
      </c>
      <c r="K4396" t="s">
        <v>40285</v>
      </c>
      <c r="M4396" t="s">
        <v>42298</v>
      </c>
      <c r="N4396" t="s">
        <v>44759</v>
      </c>
      <c r="O4396" t="s">
        <v>44760</v>
      </c>
      <c r="P4396">
        <v>0</v>
      </c>
      <c r="Q4396">
        <v>0</v>
      </c>
      <c r="R4396" t="s">
        <v>44763</v>
      </c>
      <c r="S4396" t="s">
        <v>44876</v>
      </c>
      <c r="T4396" t="s">
        <v>46403</v>
      </c>
      <c r="U4396" t="s">
        <v>50621</v>
      </c>
      <c r="W4396" t="s">
        <v>42298</v>
      </c>
      <c r="X4396" t="s">
        <v>44766</v>
      </c>
    </row>
    <row r="4397" spans="1:24">
      <c r="A4397">
        <f>HYPERLINK("https://www.philgeps.gov.ph/GEPSNONPILOT/Tender/SplashBidNoticeAbstractUI.aspx?menuIndex=3&amp;refID=7147722&amp;Result=3","7147722")</f>
        <v>0</v>
      </c>
      <c r="B4397" t="s">
        <v>1639</v>
      </c>
      <c r="C4397" t="s">
        <v>7919</v>
      </c>
      <c r="D4397" t="s">
        <v>17985</v>
      </c>
      <c r="E4397" t="s">
        <v>22010</v>
      </c>
      <c r="F4397" t="s">
        <v>30900</v>
      </c>
      <c r="G4397" t="s">
        <v>30907</v>
      </c>
      <c r="H4397" t="s">
        <v>30916</v>
      </c>
      <c r="I4397" t="s">
        <v>5501</v>
      </c>
      <c r="J4397" t="s">
        <v>34029</v>
      </c>
      <c r="K4397" t="s">
        <v>40286</v>
      </c>
      <c r="M4397" t="s">
        <v>42295</v>
      </c>
      <c r="N4397" t="s">
        <v>44759</v>
      </c>
      <c r="O4397" t="s">
        <v>44760</v>
      </c>
      <c r="P4397">
        <v>0</v>
      </c>
      <c r="Q4397">
        <v>5</v>
      </c>
      <c r="R4397" t="s">
        <v>44763</v>
      </c>
      <c r="S4397" t="s">
        <v>44876</v>
      </c>
      <c r="T4397" t="s">
        <v>46377</v>
      </c>
      <c r="U4397" t="s">
        <v>50622</v>
      </c>
      <c r="W4397" t="s">
        <v>42295</v>
      </c>
      <c r="X4397" t="s">
        <v>44767</v>
      </c>
    </row>
    <row r="4398" spans="1:24">
      <c r="A4398">
        <f>HYPERLINK("https://www.philgeps.gov.ph/GEPSNONPILOT/Tender/SplashBidNoticeAbstractUI.aspx?menuIndex=3&amp;refID=7148137&amp;Result=3","7148137")</f>
        <v>0</v>
      </c>
      <c r="B4398" t="s">
        <v>1646</v>
      </c>
      <c r="C4398" t="s">
        <v>7920</v>
      </c>
      <c r="D4398" t="s">
        <v>17975</v>
      </c>
      <c r="E4398" t="s">
        <v>22011</v>
      </c>
      <c r="F4398" t="s">
        <v>30900</v>
      </c>
      <c r="G4398" t="s">
        <v>30907</v>
      </c>
      <c r="H4398" t="s">
        <v>30916</v>
      </c>
      <c r="I4398" t="s">
        <v>8123</v>
      </c>
      <c r="J4398" t="s">
        <v>34030</v>
      </c>
      <c r="K4398" t="s">
        <v>40314</v>
      </c>
      <c r="M4398" t="s">
        <v>42302</v>
      </c>
      <c r="N4398" t="s">
        <v>44759</v>
      </c>
      <c r="O4398" t="s">
        <v>44760</v>
      </c>
      <c r="P4398">
        <v>0</v>
      </c>
      <c r="Q4398">
        <v>1</v>
      </c>
      <c r="R4398" t="s">
        <v>44763</v>
      </c>
      <c r="S4398" t="s">
        <v>44876</v>
      </c>
      <c r="T4398" t="s">
        <v>46409</v>
      </c>
      <c r="U4398" t="s">
        <v>50623</v>
      </c>
      <c r="W4398" t="s">
        <v>42302</v>
      </c>
      <c r="X4398" t="s">
        <v>44766</v>
      </c>
    </row>
    <row r="4399" spans="1:24">
      <c r="A4399">
        <f>HYPERLINK("https://www.philgeps.gov.ph/GEPSNONPILOT/Tender/SplashBidNoticeAbstractUI.aspx?menuIndex=3&amp;refID=7148129&amp;Result=3","7148129")</f>
        <v>0</v>
      </c>
      <c r="B4399" t="s">
        <v>1643</v>
      </c>
      <c r="C4399" t="s">
        <v>7921</v>
      </c>
      <c r="D4399" t="s">
        <v>18013</v>
      </c>
      <c r="E4399" t="s">
        <v>22012</v>
      </c>
      <c r="F4399" t="s">
        <v>30900</v>
      </c>
      <c r="G4399" t="s">
        <v>30908</v>
      </c>
      <c r="H4399" t="s">
        <v>30916</v>
      </c>
      <c r="I4399" t="s">
        <v>8123</v>
      </c>
      <c r="J4399" t="s">
        <v>34031</v>
      </c>
      <c r="K4399" t="s">
        <v>40289</v>
      </c>
      <c r="M4399" t="s">
        <v>42299</v>
      </c>
      <c r="N4399" t="s">
        <v>44759</v>
      </c>
      <c r="O4399" t="s">
        <v>44760</v>
      </c>
      <c r="P4399">
        <v>0</v>
      </c>
      <c r="Q4399">
        <v>0</v>
      </c>
      <c r="R4399" t="s">
        <v>44763</v>
      </c>
      <c r="S4399" t="s">
        <v>44876</v>
      </c>
      <c r="T4399" t="s">
        <v>46403</v>
      </c>
      <c r="U4399" t="s">
        <v>50607</v>
      </c>
      <c r="W4399" t="s">
        <v>42299</v>
      </c>
      <c r="X4399" t="s">
        <v>44766</v>
      </c>
    </row>
    <row r="4400" spans="1:24">
      <c r="A4400">
        <f>HYPERLINK("https://www.philgeps.gov.ph/GEPSNONPILOT/Tender/SplashBidNoticeAbstractUI.aspx?menuIndex=3&amp;refID=7147895&amp;Result=3","7147895")</f>
        <v>0</v>
      </c>
      <c r="B4400" t="s">
        <v>1640</v>
      </c>
      <c r="C4400" t="s">
        <v>7922</v>
      </c>
      <c r="D4400" t="s">
        <v>18013</v>
      </c>
      <c r="E4400" t="s">
        <v>22013</v>
      </c>
      <c r="F4400" t="s">
        <v>30900</v>
      </c>
      <c r="G4400" t="s">
        <v>30907</v>
      </c>
      <c r="H4400" t="s">
        <v>7411</v>
      </c>
      <c r="I4400" t="s">
        <v>7411</v>
      </c>
      <c r="J4400" t="s">
        <v>34032</v>
      </c>
      <c r="K4400" t="s">
        <v>40292</v>
      </c>
      <c r="M4400" t="s">
        <v>42296</v>
      </c>
      <c r="N4400" t="s">
        <v>44759</v>
      </c>
      <c r="O4400" t="s">
        <v>44760</v>
      </c>
      <c r="P4400">
        <v>0</v>
      </c>
      <c r="Q4400">
        <v>6</v>
      </c>
      <c r="R4400" t="s">
        <v>44763</v>
      </c>
      <c r="S4400" t="s">
        <v>44876</v>
      </c>
      <c r="T4400" t="s">
        <v>46357</v>
      </c>
      <c r="U4400" t="s">
        <v>50624</v>
      </c>
      <c r="V4400" t="s">
        <v>59588</v>
      </c>
      <c r="W4400" t="s">
        <v>42296</v>
      </c>
      <c r="X4400" t="s">
        <v>44767</v>
      </c>
    </row>
    <row r="4401" spans="1:24">
      <c r="A4401">
        <f>HYPERLINK("https://www.philgeps.gov.ph/GEPSNONPILOT/Tender/SplashBidNoticeAbstractUI.aspx?menuIndex=3&amp;refID=7148156&amp;Result=3","7148156")</f>
        <v>0</v>
      </c>
      <c r="B4401" t="s">
        <v>1647</v>
      </c>
      <c r="C4401" t="s">
        <v>7923</v>
      </c>
      <c r="D4401" t="s">
        <v>18002</v>
      </c>
      <c r="E4401" t="s">
        <v>22014</v>
      </c>
      <c r="F4401" t="s">
        <v>30900</v>
      </c>
      <c r="G4401" t="s">
        <v>30909</v>
      </c>
      <c r="H4401" t="s">
        <v>30916</v>
      </c>
      <c r="I4401" t="s">
        <v>9385</v>
      </c>
      <c r="J4401" t="s">
        <v>34033</v>
      </c>
      <c r="K4401" t="s">
        <v>40283</v>
      </c>
      <c r="M4401" t="s">
        <v>42303</v>
      </c>
      <c r="N4401" t="s">
        <v>44759</v>
      </c>
      <c r="O4401" t="s">
        <v>44760</v>
      </c>
      <c r="P4401">
        <v>0</v>
      </c>
      <c r="Q4401">
        <v>22</v>
      </c>
      <c r="R4401" t="s">
        <v>44763</v>
      </c>
      <c r="S4401" t="s">
        <v>44876</v>
      </c>
      <c r="T4401" t="s">
        <v>46533</v>
      </c>
      <c r="U4401" t="s">
        <v>50625</v>
      </c>
      <c r="W4401" t="s">
        <v>60871</v>
      </c>
      <c r="X4401" t="s">
        <v>44766</v>
      </c>
    </row>
    <row r="4402" spans="1:24">
      <c r="A4402">
        <f>HYPERLINK("https://www.philgeps.gov.ph/GEPSNONPILOT/Tender/SplashBidNoticeAbstractUI.aspx?menuIndex=3&amp;refID=7148158&amp;Result=3","7148158")</f>
        <v>0</v>
      </c>
      <c r="B4402" t="s">
        <v>1647</v>
      </c>
      <c r="C4402" t="s">
        <v>7924</v>
      </c>
      <c r="D4402" t="s">
        <v>18002</v>
      </c>
      <c r="E4402" t="s">
        <v>22015</v>
      </c>
      <c r="F4402" t="s">
        <v>30900</v>
      </c>
      <c r="G4402" t="s">
        <v>30909</v>
      </c>
      <c r="H4402" t="s">
        <v>30916</v>
      </c>
      <c r="I4402" t="s">
        <v>30927</v>
      </c>
      <c r="J4402" t="s">
        <v>34034</v>
      </c>
      <c r="K4402" t="s">
        <v>40283</v>
      </c>
      <c r="M4402" t="s">
        <v>42303</v>
      </c>
      <c r="N4402" t="s">
        <v>44759</v>
      </c>
      <c r="O4402" t="s">
        <v>44760</v>
      </c>
      <c r="P4402">
        <v>0</v>
      </c>
      <c r="Q4402">
        <v>0</v>
      </c>
      <c r="R4402" t="s">
        <v>44763</v>
      </c>
      <c r="S4402" t="s">
        <v>44876</v>
      </c>
      <c r="T4402" t="s">
        <v>46533</v>
      </c>
      <c r="U4402" t="s">
        <v>50626</v>
      </c>
      <c r="W4402" t="s">
        <v>60871</v>
      </c>
      <c r="X4402" t="s">
        <v>44766</v>
      </c>
    </row>
    <row r="4403" spans="1:24">
      <c r="A4403">
        <f>HYPERLINK("https://www.philgeps.gov.ph/GEPSNONPILOT/Tender/SplashBidNoticeAbstractUI.aspx?menuIndex=3&amp;refID=7148155&amp;Result=3","7148155")</f>
        <v>0</v>
      </c>
      <c r="B4403" t="s">
        <v>1647</v>
      </c>
      <c r="C4403" t="s">
        <v>7925</v>
      </c>
      <c r="D4403" t="s">
        <v>18002</v>
      </c>
      <c r="E4403" t="s">
        <v>22016</v>
      </c>
      <c r="F4403" t="s">
        <v>30900</v>
      </c>
      <c r="G4403" t="s">
        <v>30908</v>
      </c>
      <c r="H4403" t="s">
        <v>30916</v>
      </c>
      <c r="I4403" t="s">
        <v>4545</v>
      </c>
      <c r="J4403" t="s">
        <v>34035</v>
      </c>
      <c r="K4403" t="s">
        <v>40283</v>
      </c>
      <c r="M4403" t="s">
        <v>42303</v>
      </c>
      <c r="N4403" t="s">
        <v>44759</v>
      </c>
      <c r="O4403" t="s">
        <v>44760</v>
      </c>
      <c r="P4403">
        <v>0</v>
      </c>
      <c r="Q4403">
        <v>3</v>
      </c>
      <c r="R4403" t="s">
        <v>44763</v>
      </c>
      <c r="S4403" t="s">
        <v>44876</v>
      </c>
      <c r="T4403" t="s">
        <v>46533</v>
      </c>
      <c r="U4403" t="s">
        <v>50627</v>
      </c>
      <c r="W4403" t="s">
        <v>60871</v>
      </c>
      <c r="X4403" t="s">
        <v>44766</v>
      </c>
    </row>
    <row r="4404" spans="1:24">
      <c r="A4404">
        <f>HYPERLINK("https://www.philgeps.gov.ph/GEPSNONPILOT/Tender/SplashBidNoticeAbstractUI.aspx?menuIndex=3&amp;refID=7148153&amp;Result=3","7148153")</f>
        <v>0</v>
      </c>
      <c r="B4404" t="s">
        <v>1648</v>
      </c>
      <c r="C4404" t="s">
        <v>7926</v>
      </c>
      <c r="D4404" t="s">
        <v>17962</v>
      </c>
      <c r="E4404" t="s">
        <v>22017</v>
      </c>
      <c r="F4404" t="s">
        <v>30900</v>
      </c>
      <c r="G4404" t="s">
        <v>30909</v>
      </c>
      <c r="H4404" t="s">
        <v>30916</v>
      </c>
      <c r="I4404" t="s">
        <v>4142</v>
      </c>
      <c r="J4404" t="s">
        <v>34036</v>
      </c>
      <c r="K4404" t="s">
        <v>40283</v>
      </c>
      <c r="M4404" t="s">
        <v>42304</v>
      </c>
      <c r="N4404" t="s">
        <v>44759</v>
      </c>
      <c r="O4404" t="s">
        <v>44760</v>
      </c>
      <c r="P4404">
        <v>0</v>
      </c>
      <c r="Q4404">
        <v>1</v>
      </c>
      <c r="R4404" t="s">
        <v>44763</v>
      </c>
      <c r="S4404" t="s">
        <v>44876</v>
      </c>
      <c r="T4404" t="s">
        <v>46623</v>
      </c>
      <c r="U4404" t="s">
        <v>50628</v>
      </c>
      <c r="W4404" t="s">
        <v>42304</v>
      </c>
      <c r="X4404" t="s">
        <v>44766</v>
      </c>
    </row>
    <row r="4405" spans="1:24">
      <c r="A4405">
        <f>HYPERLINK("https://www.philgeps.gov.ph/GEPSNONPILOT/Tender/SplashBidNoticeAbstractUI.aspx?menuIndex=3&amp;refID=7148152&amp;Result=3","7148152")</f>
        <v>0</v>
      </c>
      <c r="B4405" t="s">
        <v>1647</v>
      </c>
      <c r="C4405" t="s">
        <v>7927</v>
      </c>
      <c r="D4405" t="s">
        <v>18002</v>
      </c>
      <c r="E4405" t="s">
        <v>22018</v>
      </c>
      <c r="F4405" t="s">
        <v>30900</v>
      </c>
      <c r="G4405" t="s">
        <v>30909</v>
      </c>
      <c r="H4405" t="s">
        <v>30916</v>
      </c>
      <c r="I4405" t="s">
        <v>30923</v>
      </c>
      <c r="J4405" t="s">
        <v>34037</v>
      </c>
      <c r="K4405" t="s">
        <v>40283</v>
      </c>
      <c r="M4405" t="s">
        <v>42303</v>
      </c>
      <c r="N4405" t="s">
        <v>44759</v>
      </c>
      <c r="O4405" t="s">
        <v>44760</v>
      </c>
      <c r="P4405">
        <v>0</v>
      </c>
      <c r="Q4405">
        <v>9</v>
      </c>
      <c r="R4405" t="s">
        <v>44763</v>
      </c>
      <c r="S4405" t="s">
        <v>44876</v>
      </c>
      <c r="T4405" t="s">
        <v>46533</v>
      </c>
      <c r="U4405" t="s">
        <v>50629</v>
      </c>
      <c r="W4405" t="s">
        <v>60871</v>
      </c>
      <c r="X4405" t="s">
        <v>44766</v>
      </c>
    </row>
    <row r="4406" spans="1:24">
      <c r="A4406">
        <f>HYPERLINK("https://www.philgeps.gov.ph/GEPSNONPILOT/Tender/SplashBidNoticeAbstractUI.aspx?menuIndex=3&amp;refID=7148151&amp;Result=3","7148151")</f>
        <v>0</v>
      </c>
      <c r="B4406" t="s">
        <v>1648</v>
      </c>
      <c r="C4406" t="s">
        <v>7928</v>
      </c>
      <c r="D4406" t="s">
        <v>17962</v>
      </c>
      <c r="E4406" t="s">
        <v>22019</v>
      </c>
      <c r="F4406" t="s">
        <v>30900</v>
      </c>
      <c r="G4406" t="s">
        <v>30909</v>
      </c>
      <c r="H4406" t="s">
        <v>30916</v>
      </c>
      <c r="I4406" t="s">
        <v>8044</v>
      </c>
      <c r="J4406" t="s">
        <v>34038</v>
      </c>
      <c r="K4406" t="s">
        <v>40283</v>
      </c>
      <c r="M4406" t="s">
        <v>42304</v>
      </c>
      <c r="N4406" t="s">
        <v>44759</v>
      </c>
      <c r="O4406" t="s">
        <v>44760</v>
      </c>
      <c r="P4406">
        <v>0</v>
      </c>
      <c r="Q4406">
        <v>1</v>
      </c>
      <c r="R4406" t="s">
        <v>44763</v>
      </c>
      <c r="S4406" t="s">
        <v>44876</v>
      </c>
      <c r="T4406" t="s">
        <v>46623</v>
      </c>
      <c r="U4406" t="s">
        <v>50630</v>
      </c>
      <c r="W4406" t="s">
        <v>42304</v>
      </c>
      <c r="X4406" t="s">
        <v>44766</v>
      </c>
    </row>
    <row r="4407" spans="1:24">
      <c r="A4407">
        <f>HYPERLINK("https://www.philgeps.gov.ph/GEPSNONPILOT/Tender/SplashBidNoticeAbstractUI.aspx?menuIndex=3&amp;refID=7148149&amp;Result=3","7148149")</f>
        <v>0</v>
      </c>
      <c r="B4407" t="s">
        <v>56</v>
      </c>
      <c r="C4407" t="s">
        <v>7929</v>
      </c>
      <c r="D4407" t="s">
        <v>17952</v>
      </c>
      <c r="E4407" t="s">
        <v>22020</v>
      </c>
      <c r="F4407" t="s">
        <v>30900</v>
      </c>
      <c r="G4407" t="s">
        <v>30907</v>
      </c>
      <c r="H4407" t="s">
        <v>30916</v>
      </c>
      <c r="I4407" t="s">
        <v>30947</v>
      </c>
      <c r="J4407" t="s">
        <v>31116</v>
      </c>
      <c r="K4407" t="s">
        <v>40287</v>
      </c>
      <c r="M4407" t="s">
        <v>41803</v>
      </c>
      <c r="N4407" t="s">
        <v>44759</v>
      </c>
      <c r="O4407" t="s">
        <v>44760</v>
      </c>
      <c r="P4407">
        <v>0</v>
      </c>
      <c r="Q4407">
        <v>1</v>
      </c>
      <c r="R4407" t="s">
        <v>44763</v>
      </c>
      <c r="S4407" t="s">
        <v>44876</v>
      </c>
      <c r="T4407" t="s">
        <v>46406</v>
      </c>
      <c r="U4407" t="s">
        <v>50631</v>
      </c>
      <c r="V4407" t="s">
        <v>59101</v>
      </c>
      <c r="W4407" t="s">
        <v>41803</v>
      </c>
      <c r="X4407" t="s">
        <v>44766</v>
      </c>
    </row>
    <row r="4408" spans="1:24">
      <c r="A4408">
        <f>HYPERLINK("https://www.philgeps.gov.ph/GEPSNONPILOT/Tender/SplashBidNoticeAbstractUI.aspx?menuIndex=3&amp;refID=7147908&amp;Result=3","7147908")</f>
        <v>0</v>
      </c>
      <c r="B4408" t="s">
        <v>1640</v>
      </c>
      <c r="C4408" t="s">
        <v>7930</v>
      </c>
      <c r="D4408" t="s">
        <v>18013</v>
      </c>
      <c r="E4408" t="s">
        <v>22021</v>
      </c>
      <c r="F4408" t="s">
        <v>30900</v>
      </c>
      <c r="G4408" t="s">
        <v>30907</v>
      </c>
      <c r="H4408" t="s">
        <v>7411</v>
      </c>
      <c r="I4408" t="s">
        <v>7411</v>
      </c>
      <c r="J4408" t="s">
        <v>34039</v>
      </c>
      <c r="K4408" t="s">
        <v>40349</v>
      </c>
      <c r="M4408" t="s">
        <v>42296</v>
      </c>
      <c r="N4408" t="s">
        <v>44759</v>
      </c>
      <c r="O4408" t="s">
        <v>44760</v>
      </c>
      <c r="P4408">
        <v>0</v>
      </c>
      <c r="Q4408">
        <v>7</v>
      </c>
      <c r="R4408" t="s">
        <v>44763</v>
      </c>
      <c r="S4408" t="s">
        <v>44876</v>
      </c>
      <c r="T4408" t="s">
        <v>46357</v>
      </c>
      <c r="U4408" t="s">
        <v>50632</v>
      </c>
      <c r="V4408" t="s">
        <v>59589</v>
      </c>
      <c r="W4408" t="s">
        <v>42296</v>
      </c>
      <c r="X4408" t="s">
        <v>44767</v>
      </c>
    </row>
    <row r="4409" spans="1:24">
      <c r="A4409">
        <f>HYPERLINK("https://www.philgeps.gov.ph/GEPSNONPILOT/Tender/SplashBidNoticeAbstractUI.aspx?menuIndex=3&amp;refID=7148141&amp;Result=3","7148141")</f>
        <v>0</v>
      </c>
      <c r="B4409" t="s">
        <v>1648</v>
      </c>
      <c r="C4409" t="s">
        <v>7931</v>
      </c>
      <c r="D4409" t="s">
        <v>17962</v>
      </c>
      <c r="E4409" t="s">
        <v>22022</v>
      </c>
      <c r="F4409" t="s">
        <v>30900</v>
      </c>
      <c r="G4409" t="s">
        <v>30909</v>
      </c>
      <c r="H4409" t="s">
        <v>30916</v>
      </c>
      <c r="I4409" t="s">
        <v>4142</v>
      </c>
      <c r="J4409" t="s">
        <v>34040</v>
      </c>
      <c r="K4409" t="s">
        <v>40283</v>
      </c>
      <c r="M4409" t="s">
        <v>42304</v>
      </c>
      <c r="N4409" t="s">
        <v>44759</v>
      </c>
      <c r="O4409" t="s">
        <v>44760</v>
      </c>
      <c r="P4409">
        <v>0</v>
      </c>
      <c r="Q4409">
        <v>1</v>
      </c>
      <c r="R4409" t="s">
        <v>44763</v>
      </c>
      <c r="S4409" t="s">
        <v>44876</v>
      </c>
      <c r="T4409" t="s">
        <v>46623</v>
      </c>
      <c r="U4409" t="s">
        <v>50633</v>
      </c>
      <c r="W4409" t="s">
        <v>42304</v>
      </c>
      <c r="X4409" t="s">
        <v>44766</v>
      </c>
    </row>
    <row r="4410" spans="1:24">
      <c r="A4410">
        <f>HYPERLINK("https://www.philgeps.gov.ph/GEPSNONPILOT/Tender/SplashBidNoticeAbstractUI.aspx?menuIndex=3&amp;refID=7148174&amp;Result=3","7148174")</f>
        <v>0</v>
      </c>
      <c r="B4410" t="s">
        <v>1649</v>
      </c>
      <c r="C4410" t="s">
        <v>7932</v>
      </c>
      <c r="D4410" t="s">
        <v>18021</v>
      </c>
      <c r="E4410" t="s">
        <v>22023</v>
      </c>
      <c r="F4410" t="s">
        <v>30900</v>
      </c>
      <c r="G4410" t="s">
        <v>30907</v>
      </c>
      <c r="H4410" t="s">
        <v>30916</v>
      </c>
      <c r="I4410" t="s">
        <v>8123</v>
      </c>
      <c r="J4410" t="s">
        <v>34041</v>
      </c>
      <c r="K4410" t="s">
        <v>40286</v>
      </c>
      <c r="M4410" t="s">
        <v>42305</v>
      </c>
      <c r="N4410" t="s">
        <v>44759</v>
      </c>
      <c r="O4410" t="s">
        <v>44760</v>
      </c>
      <c r="P4410">
        <v>0</v>
      </c>
      <c r="Q4410">
        <v>0</v>
      </c>
      <c r="R4410" t="s">
        <v>44763</v>
      </c>
      <c r="S4410" t="s">
        <v>44876</v>
      </c>
      <c r="T4410" t="s">
        <v>46443</v>
      </c>
      <c r="U4410" t="s">
        <v>50634</v>
      </c>
      <c r="W4410" t="s">
        <v>42305</v>
      </c>
      <c r="X4410" t="s">
        <v>44766</v>
      </c>
    </row>
    <row r="4411" spans="1:24">
      <c r="A4411">
        <f>HYPERLINK("https://www.philgeps.gov.ph/GEPSNONPILOT/Tender/SplashBidNoticeAbstractUI.aspx?menuIndex=3&amp;refID=7148161&amp;Result=3","7148161")</f>
        <v>0</v>
      </c>
      <c r="B4411" t="s">
        <v>1647</v>
      </c>
      <c r="C4411" t="s">
        <v>7933</v>
      </c>
      <c r="D4411" t="s">
        <v>18002</v>
      </c>
      <c r="E4411" t="s">
        <v>22024</v>
      </c>
      <c r="F4411" t="s">
        <v>30900</v>
      </c>
      <c r="G4411" t="s">
        <v>30908</v>
      </c>
      <c r="H4411" t="s">
        <v>30916</v>
      </c>
      <c r="I4411" t="s">
        <v>4142</v>
      </c>
      <c r="J4411" t="s">
        <v>34042</v>
      </c>
      <c r="K4411" t="s">
        <v>40283</v>
      </c>
      <c r="M4411" t="s">
        <v>42303</v>
      </c>
      <c r="N4411" t="s">
        <v>44759</v>
      </c>
      <c r="O4411" t="s">
        <v>44760</v>
      </c>
      <c r="P4411">
        <v>0</v>
      </c>
      <c r="Q4411">
        <v>1</v>
      </c>
      <c r="R4411" t="s">
        <v>44763</v>
      </c>
      <c r="S4411" t="s">
        <v>44876</v>
      </c>
      <c r="T4411" t="s">
        <v>46533</v>
      </c>
      <c r="U4411" t="s">
        <v>50627</v>
      </c>
      <c r="W4411" t="s">
        <v>60871</v>
      </c>
      <c r="X4411" t="s">
        <v>44766</v>
      </c>
    </row>
    <row r="4412" spans="1:24">
      <c r="A4412">
        <f>HYPERLINK("https://www.philgeps.gov.ph/GEPSNONPILOT/Tender/SplashBidNoticeAbstractUI.aspx?menuIndex=3&amp;refID=7148169&amp;Result=3","7148169")</f>
        <v>0</v>
      </c>
      <c r="B4412" t="s">
        <v>541</v>
      </c>
      <c r="C4412" t="s">
        <v>7934</v>
      </c>
      <c r="D4412" t="s">
        <v>17977</v>
      </c>
      <c r="E4412" t="s">
        <v>22025</v>
      </c>
      <c r="F4412" t="s">
        <v>30900</v>
      </c>
      <c r="G4412" t="s">
        <v>30908</v>
      </c>
      <c r="H4412" t="s">
        <v>30916</v>
      </c>
      <c r="I4412" t="s">
        <v>6953</v>
      </c>
      <c r="J4412" t="s">
        <v>31625</v>
      </c>
      <c r="K4412" t="s">
        <v>40287</v>
      </c>
      <c r="M4412" t="s">
        <v>41101</v>
      </c>
      <c r="N4412" t="s">
        <v>44759</v>
      </c>
      <c r="O4412" t="s">
        <v>44760</v>
      </c>
      <c r="P4412">
        <v>0</v>
      </c>
      <c r="Q4412">
        <v>0</v>
      </c>
      <c r="R4412" t="s">
        <v>44763</v>
      </c>
      <c r="S4412" t="s">
        <v>44876</v>
      </c>
      <c r="T4412" t="s">
        <v>46421</v>
      </c>
      <c r="U4412" t="s">
        <v>50635</v>
      </c>
      <c r="W4412" t="s">
        <v>41101</v>
      </c>
      <c r="X4412" t="s">
        <v>44766</v>
      </c>
    </row>
    <row r="4413" spans="1:24">
      <c r="A4413">
        <f>HYPERLINK("https://www.philgeps.gov.ph/GEPSNONPILOT/Tender/SplashBidNoticeAbstractUI.aspx?menuIndex=3&amp;refID=7148154&amp;Result=3","7148154")</f>
        <v>0</v>
      </c>
      <c r="B4413" t="s">
        <v>1647</v>
      </c>
      <c r="C4413" t="s">
        <v>7935</v>
      </c>
      <c r="D4413" t="s">
        <v>18002</v>
      </c>
      <c r="E4413" t="s">
        <v>22026</v>
      </c>
      <c r="F4413" t="s">
        <v>30900</v>
      </c>
      <c r="G4413" t="s">
        <v>30909</v>
      </c>
      <c r="H4413" t="s">
        <v>30916</v>
      </c>
      <c r="I4413" t="s">
        <v>30923</v>
      </c>
      <c r="J4413" t="s">
        <v>34043</v>
      </c>
      <c r="K4413" t="s">
        <v>40283</v>
      </c>
      <c r="M4413" t="s">
        <v>42303</v>
      </c>
      <c r="N4413" t="s">
        <v>44759</v>
      </c>
      <c r="O4413" t="s">
        <v>44760</v>
      </c>
      <c r="P4413">
        <v>0</v>
      </c>
      <c r="Q4413">
        <v>5</v>
      </c>
      <c r="R4413" t="s">
        <v>44763</v>
      </c>
      <c r="S4413" t="s">
        <v>44876</v>
      </c>
      <c r="T4413" t="s">
        <v>46533</v>
      </c>
      <c r="U4413" t="s">
        <v>50636</v>
      </c>
      <c r="W4413" t="s">
        <v>60871</v>
      </c>
      <c r="X4413" t="s">
        <v>44766</v>
      </c>
    </row>
    <row r="4414" spans="1:24">
      <c r="A4414">
        <f>HYPERLINK("https://www.philgeps.gov.ph/GEPSNONPILOT/Tender/SplashBidNoticeAbstractUI.aspx?menuIndex=3&amp;refID=7148164&amp;Result=3","7148164")</f>
        <v>0</v>
      </c>
      <c r="B4414" t="s">
        <v>1647</v>
      </c>
      <c r="C4414" t="s">
        <v>7936</v>
      </c>
      <c r="D4414" t="s">
        <v>18002</v>
      </c>
      <c r="E4414" t="s">
        <v>22027</v>
      </c>
      <c r="F4414" t="s">
        <v>30900</v>
      </c>
      <c r="G4414" t="s">
        <v>30909</v>
      </c>
      <c r="H4414" t="s">
        <v>30916</v>
      </c>
      <c r="I4414" t="s">
        <v>4545</v>
      </c>
      <c r="J4414" t="s">
        <v>34044</v>
      </c>
      <c r="K4414" t="s">
        <v>40283</v>
      </c>
      <c r="M4414" t="s">
        <v>42303</v>
      </c>
      <c r="N4414" t="s">
        <v>44759</v>
      </c>
      <c r="O4414" t="s">
        <v>44760</v>
      </c>
      <c r="P4414">
        <v>0</v>
      </c>
      <c r="Q4414">
        <v>1</v>
      </c>
      <c r="R4414" t="s">
        <v>44763</v>
      </c>
      <c r="S4414" t="s">
        <v>44876</v>
      </c>
      <c r="T4414" t="s">
        <v>46533</v>
      </c>
      <c r="U4414" t="s">
        <v>50637</v>
      </c>
      <c r="W4414" t="s">
        <v>60871</v>
      </c>
      <c r="X4414" t="s">
        <v>44766</v>
      </c>
    </row>
    <row r="4415" spans="1:24">
      <c r="A4415">
        <f>HYPERLINK("https://www.philgeps.gov.ph/GEPSNONPILOT/Tender/SplashBidNoticeAbstractUI.aspx?menuIndex=3&amp;refID=7147714&amp;Result=3","7147714")</f>
        <v>0</v>
      </c>
      <c r="B4415" t="s">
        <v>1639</v>
      </c>
      <c r="C4415" t="s">
        <v>7937</v>
      </c>
      <c r="D4415" t="s">
        <v>17985</v>
      </c>
      <c r="E4415" t="s">
        <v>22028</v>
      </c>
      <c r="F4415" t="s">
        <v>30900</v>
      </c>
      <c r="G4415" t="s">
        <v>30907</v>
      </c>
      <c r="H4415" t="s">
        <v>30916</v>
      </c>
      <c r="I4415" t="s">
        <v>5501</v>
      </c>
      <c r="J4415" t="s">
        <v>34045</v>
      </c>
      <c r="K4415" t="s">
        <v>40291</v>
      </c>
      <c r="M4415" t="s">
        <v>42295</v>
      </c>
      <c r="N4415" t="s">
        <v>44759</v>
      </c>
      <c r="O4415" t="s">
        <v>44760</v>
      </c>
      <c r="P4415">
        <v>0</v>
      </c>
      <c r="Q4415">
        <v>4</v>
      </c>
      <c r="R4415" t="s">
        <v>44763</v>
      </c>
      <c r="S4415" t="s">
        <v>44876</v>
      </c>
      <c r="T4415" t="s">
        <v>46357</v>
      </c>
      <c r="U4415" t="s">
        <v>50638</v>
      </c>
      <c r="W4415" t="s">
        <v>42295</v>
      </c>
      <c r="X4415" t="s">
        <v>44767</v>
      </c>
    </row>
    <row r="4416" spans="1:24">
      <c r="A4416">
        <f>HYPERLINK("https://www.philgeps.gov.ph/GEPSNONPILOT/Tender/SplashBidNoticeAbstractUI.aspx?menuIndex=3&amp;refID=7148148&amp;Result=3","7148148")</f>
        <v>0</v>
      </c>
      <c r="B4416" t="s">
        <v>56</v>
      </c>
      <c r="C4416" t="s">
        <v>7938</v>
      </c>
      <c r="D4416" t="s">
        <v>17952</v>
      </c>
      <c r="E4416" t="s">
        <v>22029</v>
      </c>
      <c r="F4416" t="s">
        <v>30900</v>
      </c>
      <c r="G4416" t="s">
        <v>30907</v>
      </c>
      <c r="H4416" t="s">
        <v>30916</v>
      </c>
      <c r="I4416" t="s">
        <v>30947</v>
      </c>
      <c r="J4416" t="s">
        <v>31259</v>
      </c>
      <c r="K4416" t="s">
        <v>40287</v>
      </c>
      <c r="M4416" t="s">
        <v>41803</v>
      </c>
      <c r="N4416" t="s">
        <v>44759</v>
      </c>
      <c r="O4416" t="s">
        <v>44760</v>
      </c>
      <c r="P4416">
        <v>0</v>
      </c>
      <c r="Q4416">
        <v>2</v>
      </c>
      <c r="R4416" t="s">
        <v>44763</v>
      </c>
      <c r="S4416" t="s">
        <v>44876</v>
      </c>
      <c r="T4416" t="s">
        <v>46406</v>
      </c>
      <c r="U4416" t="s">
        <v>50639</v>
      </c>
      <c r="V4416" t="s">
        <v>59101</v>
      </c>
      <c r="W4416" t="s">
        <v>41803</v>
      </c>
      <c r="X4416" t="s">
        <v>44766</v>
      </c>
    </row>
    <row r="4417" spans="1:24">
      <c r="A4417">
        <f>HYPERLINK("https://www.philgeps.gov.ph/GEPSNONPILOT/Tender/SplashBidNoticeAbstractUI.aspx?menuIndex=3&amp;refID=7148144&amp;Result=3","7148144")</f>
        <v>0</v>
      </c>
      <c r="B4417" t="s">
        <v>56</v>
      </c>
      <c r="C4417" t="s">
        <v>7939</v>
      </c>
      <c r="D4417" t="s">
        <v>17952</v>
      </c>
      <c r="E4417" t="s">
        <v>7939</v>
      </c>
      <c r="F4417" t="s">
        <v>30900</v>
      </c>
      <c r="G4417" t="s">
        <v>30908</v>
      </c>
      <c r="H4417" t="s">
        <v>30916</v>
      </c>
      <c r="I4417" t="s">
        <v>4108</v>
      </c>
      <c r="J4417" t="s">
        <v>34046</v>
      </c>
      <c r="K4417" t="s">
        <v>40287</v>
      </c>
      <c r="M4417" t="s">
        <v>41803</v>
      </c>
      <c r="N4417" t="s">
        <v>44759</v>
      </c>
      <c r="O4417" t="s">
        <v>44760</v>
      </c>
      <c r="P4417">
        <v>0</v>
      </c>
      <c r="Q4417">
        <v>0</v>
      </c>
      <c r="R4417" t="s">
        <v>44763</v>
      </c>
      <c r="S4417" t="s">
        <v>44876</v>
      </c>
      <c r="T4417" t="s">
        <v>46383</v>
      </c>
      <c r="U4417" t="s">
        <v>50640</v>
      </c>
      <c r="V4417" t="s">
        <v>59590</v>
      </c>
      <c r="W4417" t="s">
        <v>41803</v>
      </c>
      <c r="X4417" t="s">
        <v>44766</v>
      </c>
    </row>
    <row r="4418" spans="1:24">
      <c r="A4418">
        <f>HYPERLINK("https://www.philgeps.gov.ph/GEPSNONPILOT/Tender/SplashBidNoticeAbstractUI.aspx?menuIndex=3&amp;refID=7148168&amp;Result=3","7148168")</f>
        <v>0</v>
      </c>
      <c r="B4418" t="s">
        <v>1647</v>
      </c>
      <c r="C4418" t="s">
        <v>7940</v>
      </c>
      <c r="D4418" t="s">
        <v>18002</v>
      </c>
      <c r="E4418" t="s">
        <v>22030</v>
      </c>
      <c r="F4418" t="s">
        <v>30900</v>
      </c>
      <c r="G4418" t="s">
        <v>30908</v>
      </c>
      <c r="H4418" t="s">
        <v>30916</v>
      </c>
      <c r="I4418" t="s">
        <v>30922</v>
      </c>
      <c r="J4418" t="s">
        <v>34047</v>
      </c>
      <c r="K4418" t="s">
        <v>40289</v>
      </c>
      <c r="M4418" t="s">
        <v>42303</v>
      </c>
      <c r="N4418" t="s">
        <v>44759</v>
      </c>
      <c r="O4418" t="s">
        <v>44760</v>
      </c>
      <c r="P4418">
        <v>0</v>
      </c>
      <c r="Q4418">
        <v>0</v>
      </c>
      <c r="R4418" t="s">
        <v>44763</v>
      </c>
      <c r="S4418" t="s">
        <v>44876</v>
      </c>
      <c r="T4418" t="s">
        <v>46533</v>
      </c>
      <c r="U4418" t="s">
        <v>50627</v>
      </c>
      <c r="W4418" t="s">
        <v>60871</v>
      </c>
      <c r="X4418" t="s">
        <v>44766</v>
      </c>
    </row>
    <row r="4419" spans="1:24">
      <c r="A4419">
        <f>HYPERLINK("https://www.philgeps.gov.ph/GEPSNONPILOT/Tender/SplashBidNoticeAbstractUI.aspx?menuIndex=3&amp;refID=7148165&amp;Result=3","7148165")</f>
        <v>0</v>
      </c>
      <c r="B4419" t="s">
        <v>1650</v>
      </c>
      <c r="C4419" t="s">
        <v>7941</v>
      </c>
      <c r="D4419" t="s">
        <v>17976</v>
      </c>
      <c r="E4419" t="s">
        <v>22031</v>
      </c>
      <c r="F4419" t="s">
        <v>30900</v>
      </c>
      <c r="G4419" t="s">
        <v>30907</v>
      </c>
      <c r="H4419" t="s">
        <v>30915</v>
      </c>
      <c r="I4419" t="s">
        <v>30919</v>
      </c>
      <c r="J4419" t="s">
        <v>34048</v>
      </c>
      <c r="K4419" t="s">
        <v>40304</v>
      </c>
      <c r="M4419" t="s">
        <v>42306</v>
      </c>
      <c r="N4419" t="s">
        <v>44759</v>
      </c>
      <c r="O4419" t="s">
        <v>44760</v>
      </c>
      <c r="P4419">
        <v>0</v>
      </c>
      <c r="Q4419">
        <v>0</v>
      </c>
      <c r="R4419" t="s">
        <v>44763</v>
      </c>
      <c r="S4419" t="s">
        <v>44876</v>
      </c>
      <c r="T4419" t="s">
        <v>46390</v>
      </c>
      <c r="U4419" t="s">
        <v>50641</v>
      </c>
      <c r="W4419" t="s">
        <v>42306</v>
      </c>
      <c r="X4419" t="s">
        <v>44766</v>
      </c>
    </row>
    <row r="4420" spans="1:24">
      <c r="A4420">
        <f>HYPERLINK("https://www.philgeps.gov.ph/GEPSNONPILOT/Tender/SplashBidNoticeAbstractUI.aspx?menuIndex=3&amp;refID=7148162&amp;Result=3","7148162")</f>
        <v>0</v>
      </c>
      <c r="B4420" t="s">
        <v>1647</v>
      </c>
      <c r="C4420" t="s">
        <v>7942</v>
      </c>
      <c r="D4420" t="s">
        <v>18002</v>
      </c>
      <c r="E4420" t="s">
        <v>22032</v>
      </c>
      <c r="F4420" t="s">
        <v>30900</v>
      </c>
      <c r="G4420" t="s">
        <v>30908</v>
      </c>
      <c r="H4420" t="s">
        <v>30916</v>
      </c>
      <c r="I4420" t="s">
        <v>4142</v>
      </c>
      <c r="J4420" t="s">
        <v>34049</v>
      </c>
      <c r="K4420" t="s">
        <v>40283</v>
      </c>
      <c r="M4420" t="s">
        <v>42303</v>
      </c>
      <c r="N4420" t="s">
        <v>44759</v>
      </c>
      <c r="O4420" t="s">
        <v>44760</v>
      </c>
      <c r="P4420">
        <v>0</v>
      </c>
      <c r="Q4420">
        <v>4</v>
      </c>
      <c r="R4420" t="s">
        <v>44763</v>
      </c>
      <c r="S4420" t="s">
        <v>44876</v>
      </c>
      <c r="T4420" t="s">
        <v>46533</v>
      </c>
      <c r="U4420" t="s">
        <v>50627</v>
      </c>
      <c r="W4420" t="s">
        <v>60871</v>
      </c>
      <c r="X4420" t="s">
        <v>44766</v>
      </c>
    </row>
    <row r="4421" spans="1:24">
      <c r="A4421">
        <f>HYPERLINK("https://www.philgeps.gov.ph/GEPSNONPILOT/Tender/SplashBidNoticeAbstractUI.aspx?menuIndex=3&amp;refID=7148146&amp;Result=3","7148146")</f>
        <v>0</v>
      </c>
      <c r="B4421" t="s">
        <v>1648</v>
      </c>
      <c r="C4421" t="s">
        <v>7943</v>
      </c>
      <c r="D4421" t="s">
        <v>17962</v>
      </c>
      <c r="E4421" t="s">
        <v>18883</v>
      </c>
      <c r="F4421" t="s">
        <v>30900</v>
      </c>
      <c r="G4421" t="s">
        <v>30909</v>
      </c>
      <c r="H4421" t="s">
        <v>30916</v>
      </c>
      <c r="I4421" t="s">
        <v>4142</v>
      </c>
      <c r="J4421" t="s">
        <v>34050</v>
      </c>
      <c r="K4421" t="s">
        <v>40283</v>
      </c>
      <c r="M4421" t="s">
        <v>42304</v>
      </c>
      <c r="N4421" t="s">
        <v>44759</v>
      </c>
      <c r="O4421" t="s">
        <v>44760</v>
      </c>
      <c r="P4421">
        <v>0</v>
      </c>
      <c r="Q4421">
        <v>0</v>
      </c>
      <c r="R4421" t="s">
        <v>44763</v>
      </c>
      <c r="S4421" t="s">
        <v>44876</v>
      </c>
      <c r="T4421" t="s">
        <v>46623</v>
      </c>
      <c r="U4421" t="s">
        <v>50642</v>
      </c>
      <c r="W4421" t="s">
        <v>42304</v>
      </c>
      <c r="X4421" t="s">
        <v>44766</v>
      </c>
    </row>
    <row r="4422" spans="1:24">
      <c r="A4422">
        <f>HYPERLINK("https://www.philgeps.gov.ph/GEPSNONPILOT/Tender/SplashBidNoticeAbstractUI.aspx?menuIndex=3&amp;refID=7148140&amp;Result=3","7148140")</f>
        <v>0</v>
      </c>
      <c r="B4422" t="s">
        <v>1651</v>
      </c>
      <c r="C4422" t="s">
        <v>7944</v>
      </c>
      <c r="D4422" t="s">
        <v>17963</v>
      </c>
      <c r="E4422" t="s">
        <v>20679</v>
      </c>
      <c r="F4422" t="s">
        <v>30900</v>
      </c>
      <c r="G4422" t="s">
        <v>30907</v>
      </c>
      <c r="H4422" t="s">
        <v>30916</v>
      </c>
      <c r="I4422" t="s">
        <v>10847</v>
      </c>
      <c r="J4422" t="s">
        <v>31430</v>
      </c>
      <c r="K4422" t="s">
        <v>40287</v>
      </c>
      <c r="M4422" t="s">
        <v>42307</v>
      </c>
      <c r="N4422" t="s">
        <v>44759</v>
      </c>
      <c r="O4422" t="s">
        <v>44760</v>
      </c>
      <c r="P4422">
        <v>0</v>
      </c>
      <c r="Q4422">
        <v>0</v>
      </c>
      <c r="R4422" t="s">
        <v>44763</v>
      </c>
      <c r="S4422" t="s">
        <v>44876</v>
      </c>
      <c r="T4422" t="s">
        <v>46376</v>
      </c>
      <c r="U4422" t="s">
        <v>50643</v>
      </c>
      <c r="W4422" t="s">
        <v>42307</v>
      </c>
      <c r="X4422" t="s">
        <v>44766</v>
      </c>
    </row>
    <row r="4423" spans="1:24">
      <c r="A4423">
        <f>HYPERLINK("https://www.philgeps.gov.ph/GEPSNONPILOT/Tender/SplashBidNoticeAbstractUI.aspx?menuIndex=3&amp;refID=7148190&amp;Result=3","7148190")</f>
        <v>0</v>
      </c>
      <c r="B4423" t="s">
        <v>1652</v>
      </c>
      <c r="C4423" t="s">
        <v>7945</v>
      </c>
      <c r="D4423" t="s">
        <v>18029</v>
      </c>
      <c r="E4423" t="s">
        <v>22033</v>
      </c>
      <c r="F4423" t="s">
        <v>30900</v>
      </c>
      <c r="G4423" t="s">
        <v>30907</v>
      </c>
      <c r="H4423" t="s">
        <v>30915</v>
      </c>
      <c r="I4423" t="s">
        <v>30919</v>
      </c>
      <c r="J4423" t="s">
        <v>31066</v>
      </c>
      <c r="K4423" t="s">
        <v>40289</v>
      </c>
      <c r="M4423" t="s">
        <v>42308</v>
      </c>
      <c r="N4423" t="s">
        <v>44759</v>
      </c>
      <c r="O4423" t="s">
        <v>44760</v>
      </c>
      <c r="P4423">
        <v>0</v>
      </c>
      <c r="Q4423">
        <v>0</v>
      </c>
      <c r="R4423" t="s">
        <v>44763</v>
      </c>
      <c r="S4423" t="s">
        <v>44876</v>
      </c>
      <c r="T4423" t="s">
        <v>46467</v>
      </c>
      <c r="U4423" t="s">
        <v>50644</v>
      </c>
      <c r="W4423" t="s">
        <v>42308</v>
      </c>
      <c r="X4423" t="s">
        <v>44766</v>
      </c>
    </row>
    <row r="4424" spans="1:24">
      <c r="A4424">
        <f>HYPERLINK("https://www.philgeps.gov.ph/GEPSNONPILOT/Tender/SplashBidNoticeAbstractUI.aspx?menuIndex=3&amp;refID=7148177&amp;Result=3","7148177")</f>
        <v>0</v>
      </c>
      <c r="B4424" t="s">
        <v>1653</v>
      </c>
      <c r="C4424" t="s">
        <v>7946</v>
      </c>
      <c r="D4424" t="s">
        <v>17961</v>
      </c>
      <c r="E4424" t="s">
        <v>22034</v>
      </c>
      <c r="F4424" t="s">
        <v>30900</v>
      </c>
      <c r="G4424" t="s">
        <v>30909</v>
      </c>
      <c r="H4424" t="s">
        <v>30916</v>
      </c>
      <c r="I4424" t="s">
        <v>4142</v>
      </c>
      <c r="J4424" t="s">
        <v>31498</v>
      </c>
      <c r="K4424" t="s">
        <v>40287</v>
      </c>
      <c r="M4424" t="s">
        <v>42309</v>
      </c>
      <c r="N4424" t="s">
        <v>44759</v>
      </c>
      <c r="O4424" t="s">
        <v>44760</v>
      </c>
      <c r="P4424">
        <v>0</v>
      </c>
      <c r="Q4424">
        <v>0</v>
      </c>
      <c r="R4424" t="s">
        <v>44763</v>
      </c>
      <c r="S4424" t="s">
        <v>44876</v>
      </c>
      <c r="T4424" t="s">
        <v>46571</v>
      </c>
      <c r="U4424" t="s">
        <v>50645</v>
      </c>
      <c r="W4424" t="s">
        <v>42309</v>
      </c>
      <c r="X4424" t="s">
        <v>44766</v>
      </c>
    </row>
    <row r="4425" spans="1:24">
      <c r="A4425">
        <f>HYPERLINK("https://www.philgeps.gov.ph/GEPSNONPILOT/Tender/SplashBidNoticeAbstractUI.aspx?menuIndex=3&amp;refID=7148186&amp;Result=3","7148186")</f>
        <v>0</v>
      </c>
      <c r="B4425" t="s">
        <v>1654</v>
      </c>
      <c r="C4425" t="s">
        <v>7947</v>
      </c>
      <c r="D4425" t="s">
        <v>17966</v>
      </c>
      <c r="E4425" t="s">
        <v>22035</v>
      </c>
      <c r="F4425" t="s">
        <v>30900</v>
      </c>
      <c r="G4425" t="s">
        <v>30909</v>
      </c>
      <c r="H4425" t="s">
        <v>30916</v>
      </c>
      <c r="I4425" t="s">
        <v>8123</v>
      </c>
      <c r="J4425" t="s">
        <v>34051</v>
      </c>
      <c r="K4425" t="s">
        <v>40289</v>
      </c>
      <c r="M4425" t="s">
        <v>42310</v>
      </c>
      <c r="N4425" t="s">
        <v>44759</v>
      </c>
      <c r="O4425" t="s">
        <v>44760</v>
      </c>
      <c r="P4425">
        <v>0</v>
      </c>
      <c r="Q4425">
        <v>0</v>
      </c>
      <c r="R4425" t="s">
        <v>44763</v>
      </c>
      <c r="S4425" t="s">
        <v>44876</v>
      </c>
      <c r="T4425" t="s">
        <v>46673</v>
      </c>
      <c r="U4425" t="s">
        <v>50646</v>
      </c>
      <c r="W4425" t="s">
        <v>42310</v>
      </c>
      <c r="X4425" t="s">
        <v>44766</v>
      </c>
    </row>
    <row r="4426" spans="1:24">
      <c r="A4426">
        <f>HYPERLINK("https://www.philgeps.gov.ph/GEPSNONPILOT/Tender/SplashBidNoticeAbstractUI.aspx?menuIndex=3&amp;refID=7148185&amp;Result=3","7148185")</f>
        <v>0</v>
      </c>
      <c r="B4426" t="s">
        <v>1655</v>
      </c>
      <c r="C4426" t="s">
        <v>4355</v>
      </c>
      <c r="D4426" t="s">
        <v>17959</v>
      </c>
      <c r="E4426" t="s">
        <v>22036</v>
      </c>
      <c r="F4426" t="s">
        <v>30900</v>
      </c>
      <c r="G4426" t="s">
        <v>30907</v>
      </c>
      <c r="H4426" t="s">
        <v>30916</v>
      </c>
      <c r="I4426" t="s">
        <v>4545</v>
      </c>
      <c r="J4426" t="s">
        <v>31138</v>
      </c>
      <c r="K4426" t="s">
        <v>40287</v>
      </c>
      <c r="M4426" t="s">
        <v>42311</v>
      </c>
      <c r="N4426" t="s">
        <v>44759</v>
      </c>
      <c r="O4426" t="s">
        <v>44760</v>
      </c>
      <c r="P4426">
        <v>0</v>
      </c>
      <c r="Q4426">
        <v>5</v>
      </c>
      <c r="R4426" t="s">
        <v>44763</v>
      </c>
      <c r="S4426" t="s">
        <v>44876</v>
      </c>
      <c r="T4426" t="s">
        <v>46356</v>
      </c>
      <c r="U4426" t="s">
        <v>50647</v>
      </c>
      <c r="W4426" t="s">
        <v>42311</v>
      </c>
      <c r="X4426" t="s">
        <v>44766</v>
      </c>
    </row>
    <row r="4427" spans="1:24">
      <c r="A4427">
        <f>HYPERLINK("https://www.philgeps.gov.ph/GEPSNONPILOT/Tender/SplashBidNoticeAbstractUI.aspx?menuIndex=3&amp;refID=7148184&amp;Result=3","7148184")</f>
        <v>0</v>
      </c>
      <c r="B4427" t="s">
        <v>1655</v>
      </c>
      <c r="C4427" t="s">
        <v>7948</v>
      </c>
      <c r="D4427" t="s">
        <v>17959</v>
      </c>
      <c r="E4427" t="s">
        <v>22037</v>
      </c>
      <c r="F4427" t="s">
        <v>30900</v>
      </c>
      <c r="G4427" t="s">
        <v>30907</v>
      </c>
      <c r="H4427" t="s">
        <v>30916</v>
      </c>
      <c r="I4427" t="s">
        <v>30931</v>
      </c>
      <c r="J4427" t="s">
        <v>31904</v>
      </c>
      <c r="K4427" t="s">
        <v>40287</v>
      </c>
      <c r="M4427" t="s">
        <v>42311</v>
      </c>
      <c r="N4427" t="s">
        <v>44759</v>
      </c>
      <c r="O4427" t="s">
        <v>44760</v>
      </c>
      <c r="P4427">
        <v>0</v>
      </c>
      <c r="Q4427">
        <v>1</v>
      </c>
      <c r="R4427" t="s">
        <v>44763</v>
      </c>
      <c r="S4427" t="s">
        <v>44876</v>
      </c>
      <c r="T4427" t="s">
        <v>46356</v>
      </c>
      <c r="U4427" t="s">
        <v>50648</v>
      </c>
      <c r="W4427" t="s">
        <v>42311</v>
      </c>
      <c r="X4427" t="s">
        <v>44766</v>
      </c>
    </row>
    <row r="4428" spans="1:24">
      <c r="A4428">
        <f>HYPERLINK("https://www.philgeps.gov.ph/GEPSNONPILOT/Tender/SplashBidNoticeAbstractUI.aspx?menuIndex=3&amp;refID=7148181&amp;Result=3","7148181")</f>
        <v>0</v>
      </c>
      <c r="B4428" t="s">
        <v>1655</v>
      </c>
      <c r="C4428" t="s">
        <v>7949</v>
      </c>
      <c r="D4428" t="s">
        <v>17959</v>
      </c>
      <c r="E4428" t="s">
        <v>22038</v>
      </c>
      <c r="F4428" t="s">
        <v>30900</v>
      </c>
      <c r="G4428" t="s">
        <v>30907</v>
      </c>
      <c r="H4428" t="s">
        <v>30916</v>
      </c>
      <c r="I4428" t="s">
        <v>6396</v>
      </c>
      <c r="J4428" t="s">
        <v>32283</v>
      </c>
      <c r="K4428" t="s">
        <v>40287</v>
      </c>
      <c r="M4428" t="s">
        <v>42311</v>
      </c>
      <c r="N4428" t="s">
        <v>44759</v>
      </c>
      <c r="O4428" t="s">
        <v>44760</v>
      </c>
      <c r="P4428">
        <v>0</v>
      </c>
      <c r="Q4428">
        <v>2</v>
      </c>
      <c r="R4428" t="s">
        <v>44763</v>
      </c>
      <c r="S4428" t="s">
        <v>44876</v>
      </c>
      <c r="T4428" t="s">
        <v>46356</v>
      </c>
      <c r="U4428" t="s">
        <v>50649</v>
      </c>
      <c r="W4428" t="s">
        <v>42311</v>
      </c>
      <c r="X4428" t="s">
        <v>44766</v>
      </c>
    </row>
    <row r="4429" spans="1:24">
      <c r="A4429">
        <f>HYPERLINK("https://www.philgeps.gov.ph/GEPSNONPILOT/Tender/SplashBidNoticeAbstractUI.aspx?menuIndex=3&amp;refID=7148180&amp;Result=3","7148180")</f>
        <v>0</v>
      </c>
      <c r="B4429" t="s">
        <v>1656</v>
      </c>
      <c r="C4429" t="s">
        <v>6530</v>
      </c>
      <c r="D4429" t="s">
        <v>17968</v>
      </c>
      <c r="E4429" t="s">
        <v>22039</v>
      </c>
      <c r="F4429" t="s">
        <v>30900</v>
      </c>
      <c r="G4429" t="s">
        <v>30908</v>
      </c>
      <c r="H4429" t="s">
        <v>30916</v>
      </c>
      <c r="I4429" t="s">
        <v>4108</v>
      </c>
      <c r="J4429" t="s">
        <v>31522</v>
      </c>
      <c r="K4429" t="s">
        <v>40288</v>
      </c>
      <c r="M4429" t="s">
        <v>42312</v>
      </c>
      <c r="N4429" t="s">
        <v>44759</v>
      </c>
      <c r="O4429" t="s">
        <v>44760</v>
      </c>
      <c r="P4429">
        <v>0</v>
      </c>
      <c r="Q4429">
        <v>3</v>
      </c>
      <c r="R4429" t="s">
        <v>44763</v>
      </c>
      <c r="S4429" t="s">
        <v>44876</v>
      </c>
      <c r="T4429" t="s">
        <v>46457</v>
      </c>
      <c r="U4429" t="s">
        <v>50650</v>
      </c>
      <c r="W4429" t="s">
        <v>42312</v>
      </c>
      <c r="X4429" t="s">
        <v>44766</v>
      </c>
    </row>
    <row r="4430" spans="1:24">
      <c r="A4430">
        <f>HYPERLINK("https://www.philgeps.gov.ph/GEPSNONPILOT/Tender/SplashBidNoticeAbstractUI.aspx?menuIndex=3&amp;refID=7148248&amp;Result=3","7148248")</f>
        <v>0</v>
      </c>
      <c r="B4430" t="s">
        <v>1657</v>
      </c>
      <c r="C4430" t="s">
        <v>7950</v>
      </c>
      <c r="D4430" t="s">
        <v>17963</v>
      </c>
      <c r="E4430" t="s">
        <v>22040</v>
      </c>
      <c r="F4430" t="s">
        <v>30900</v>
      </c>
      <c r="G4430" t="s">
        <v>30907</v>
      </c>
      <c r="H4430" t="s">
        <v>30916</v>
      </c>
      <c r="I4430" t="s">
        <v>6953</v>
      </c>
      <c r="J4430" t="s">
        <v>34052</v>
      </c>
      <c r="K4430" t="s">
        <v>40280</v>
      </c>
      <c r="M4430" t="s">
        <v>42313</v>
      </c>
      <c r="N4430" t="s">
        <v>44759</v>
      </c>
      <c r="O4430" t="s">
        <v>44760</v>
      </c>
      <c r="P4430">
        <v>0</v>
      </c>
      <c r="Q4430">
        <v>0</v>
      </c>
      <c r="R4430" t="s">
        <v>44763</v>
      </c>
      <c r="S4430" t="s">
        <v>44876</v>
      </c>
      <c r="T4430" t="s">
        <v>46376</v>
      </c>
      <c r="U4430" t="s">
        <v>50651</v>
      </c>
      <c r="W4430" t="s">
        <v>42313</v>
      </c>
      <c r="X4430" t="s">
        <v>44766</v>
      </c>
    </row>
    <row r="4431" spans="1:24">
      <c r="A4431">
        <f>HYPERLINK("https://www.philgeps.gov.ph/GEPSNONPILOT/Tender/SplashBidNoticeAbstractUI.aspx?menuIndex=3&amp;refID=7148194&amp;Result=3","7148194")</f>
        <v>0</v>
      </c>
      <c r="B4431" t="s">
        <v>57</v>
      </c>
      <c r="C4431" t="s">
        <v>7951</v>
      </c>
      <c r="D4431" t="s">
        <v>17976</v>
      </c>
      <c r="E4431" t="s">
        <v>18536</v>
      </c>
      <c r="F4431" t="s">
        <v>30900</v>
      </c>
      <c r="G4431" t="s">
        <v>30909</v>
      </c>
      <c r="H4431" t="s">
        <v>30916</v>
      </c>
      <c r="I4431" t="s">
        <v>30923</v>
      </c>
      <c r="J4431" t="s">
        <v>31271</v>
      </c>
      <c r="K4431" t="s">
        <v>40287</v>
      </c>
      <c r="M4431" t="s">
        <v>40847</v>
      </c>
      <c r="N4431" t="s">
        <v>44759</v>
      </c>
      <c r="O4431" t="s">
        <v>44760</v>
      </c>
      <c r="P4431">
        <v>0</v>
      </c>
      <c r="Q4431">
        <v>4</v>
      </c>
      <c r="R4431" t="s">
        <v>44763</v>
      </c>
      <c r="S4431" t="s">
        <v>44876</v>
      </c>
      <c r="T4431" t="s">
        <v>46623</v>
      </c>
      <c r="U4431" t="s">
        <v>47414</v>
      </c>
      <c r="W4431" t="s">
        <v>40847</v>
      </c>
      <c r="X4431" t="s">
        <v>44766</v>
      </c>
    </row>
    <row r="4432" spans="1:24">
      <c r="A4432">
        <f>HYPERLINK("https://www.philgeps.gov.ph/GEPSNONPILOT/Tender/SplashBidNoticeAbstractUI.aspx?menuIndex=3&amp;refID=7148246&amp;Result=3","7148246")</f>
        <v>0</v>
      </c>
      <c r="B4432" t="s">
        <v>1658</v>
      </c>
      <c r="C4432" t="s">
        <v>7952</v>
      </c>
      <c r="D4432" t="s">
        <v>17961</v>
      </c>
      <c r="E4432" t="s">
        <v>22041</v>
      </c>
      <c r="F4432" t="s">
        <v>30899</v>
      </c>
      <c r="G4432" t="s">
        <v>30907</v>
      </c>
      <c r="H4432" t="s">
        <v>30916</v>
      </c>
      <c r="I4432" t="s">
        <v>4142</v>
      </c>
      <c r="J4432" t="s">
        <v>34053</v>
      </c>
      <c r="K4432" t="s">
        <v>40331</v>
      </c>
      <c r="L4432" t="s">
        <v>1658</v>
      </c>
      <c r="M4432" t="s">
        <v>42314</v>
      </c>
      <c r="N4432" t="s">
        <v>44759</v>
      </c>
      <c r="O4432" t="s">
        <v>44760</v>
      </c>
      <c r="P4432">
        <v>0</v>
      </c>
      <c r="Q4432">
        <v>1</v>
      </c>
      <c r="R4432" t="s">
        <v>44763</v>
      </c>
      <c r="S4432" t="s">
        <v>44876</v>
      </c>
      <c r="T4432" t="s">
        <v>46674</v>
      </c>
      <c r="U4432" t="s">
        <v>50652</v>
      </c>
      <c r="V4432" t="s">
        <v>59591</v>
      </c>
      <c r="W4432" t="s">
        <v>42314</v>
      </c>
      <c r="X4432" t="s">
        <v>44766</v>
      </c>
    </row>
    <row r="4433" spans="1:24">
      <c r="A4433">
        <f>HYPERLINK("https://www.philgeps.gov.ph/GEPSNONPILOT/Tender/SplashBidNoticeAbstractUI.aspx?menuIndex=3&amp;refID=7148233&amp;Result=3","7148233")</f>
        <v>0</v>
      </c>
      <c r="B4433" t="s">
        <v>348</v>
      </c>
      <c r="C4433" t="s">
        <v>7953</v>
      </c>
      <c r="D4433" t="s">
        <v>17957</v>
      </c>
      <c r="E4433" t="s">
        <v>22042</v>
      </c>
      <c r="F4433" t="s">
        <v>30900</v>
      </c>
      <c r="G4433" t="s">
        <v>30908</v>
      </c>
      <c r="H4433" t="s">
        <v>30916</v>
      </c>
      <c r="I4433" t="s">
        <v>10602</v>
      </c>
      <c r="J4433" t="s">
        <v>31183</v>
      </c>
      <c r="K4433" t="s">
        <v>40284</v>
      </c>
      <c r="M4433" t="s">
        <v>40901</v>
      </c>
      <c r="N4433" t="s">
        <v>44759</v>
      </c>
      <c r="O4433" t="s">
        <v>44760</v>
      </c>
      <c r="P4433">
        <v>0</v>
      </c>
      <c r="Q4433">
        <v>0</v>
      </c>
      <c r="R4433" t="s">
        <v>44763</v>
      </c>
      <c r="S4433" t="s">
        <v>44876</v>
      </c>
      <c r="T4433" t="s">
        <v>46390</v>
      </c>
      <c r="U4433" t="s">
        <v>50653</v>
      </c>
      <c r="W4433" t="s">
        <v>40901</v>
      </c>
      <c r="X4433" t="s">
        <v>44766</v>
      </c>
    </row>
    <row r="4434" spans="1:24">
      <c r="A4434">
        <f>HYPERLINK("https://www.philgeps.gov.ph/GEPSNONPILOT/Tender/SplashBidNoticeAbstractUI.aspx?menuIndex=3&amp;refID=7148229&amp;Result=3","7148229")</f>
        <v>0</v>
      </c>
      <c r="B4434" t="s">
        <v>1659</v>
      </c>
      <c r="C4434" t="s">
        <v>7954</v>
      </c>
      <c r="D4434" t="s">
        <v>17959</v>
      </c>
      <c r="E4434" t="s">
        <v>22043</v>
      </c>
      <c r="F4434" t="s">
        <v>30900</v>
      </c>
      <c r="G4434" t="s">
        <v>30908</v>
      </c>
      <c r="H4434" t="s">
        <v>7411</v>
      </c>
      <c r="I4434" t="s">
        <v>7411</v>
      </c>
      <c r="J4434" t="s">
        <v>33171</v>
      </c>
      <c r="K4434" t="s">
        <v>40287</v>
      </c>
      <c r="M4434" t="s">
        <v>42315</v>
      </c>
      <c r="N4434" t="s">
        <v>44759</v>
      </c>
      <c r="O4434" t="s">
        <v>44760</v>
      </c>
      <c r="P4434">
        <v>0</v>
      </c>
      <c r="Q4434">
        <v>1</v>
      </c>
      <c r="R4434" t="s">
        <v>44763</v>
      </c>
      <c r="S4434" t="s">
        <v>44876</v>
      </c>
      <c r="T4434" t="s">
        <v>46412</v>
      </c>
      <c r="U4434" t="s">
        <v>50654</v>
      </c>
      <c r="W4434" t="s">
        <v>42315</v>
      </c>
      <c r="X4434" t="s">
        <v>44766</v>
      </c>
    </row>
    <row r="4435" spans="1:24">
      <c r="A4435">
        <f>HYPERLINK("https://www.philgeps.gov.ph/GEPSNONPILOT/Tender/SplashBidNoticeAbstractUI.aspx?menuIndex=3&amp;refID=7148226&amp;Result=3","7148226")</f>
        <v>0</v>
      </c>
      <c r="B4435" t="s">
        <v>1071</v>
      </c>
      <c r="C4435" t="s">
        <v>7955</v>
      </c>
      <c r="D4435" t="s">
        <v>17971</v>
      </c>
      <c r="E4435" t="s">
        <v>22044</v>
      </c>
      <c r="F4435" t="s">
        <v>30900</v>
      </c>
      <c r="G4435" t="s">
        <v>30907</v>
      </c>
      <c r="H4435" t="s">
        <v>30916</v>
      </c>
      <c r="I4435" t="s">
        <v>30949</v>
      </c>
      <c r="J4435" t="s">
        <v>32324</v>
      </c>
      <c r="K4435" t="s">
        <v>40280</v>
      </c>
      <c r="M4435" t="s">
        <v>42316</v>
      </c>
      <c r="N4435" t="s">
        <v>44759</v>
      </c>
      <c r="O4435" t="s">
        <v>44760</v>
      </c>
      <c r="P4435">
        <v>0</v>
      </c>
      <c r="Q4435">
        <v>1</v>
      </c>
      <c r="R4435" t="s">
        <v>44763</v>
      </c>
      <c r="S4435" t="s">
        <v>44876</v>
      </c>
      <c r="T4435" t="s">
        <v>46405</v>
      </c>
      <c r="U4435" t="s">
        <v>50655</v>
      </c>
      <c r="W4435" t="s">
        <v>42316</v>
      </c>
      <c r="X4435" t="s">
        <v>44766</v>
      </c>
    </row>
    <row r="4436" spans="1:24">
      <c r="A4436">
        <f>HYPERLINK("https://www.philgeps.gov.ph/GEPSNONPILOT/Tender/SplashBidNoticeAbstractUI.aspx?menuIndex=3&amp;refID=7148219&amp;Result=3","7148219")</f>
        <v>0</v>
      </c>
      <c r="B4436" t="s">
        <v>807</v>
      </c>
      <c r="C4436" t="s">
        <v>7956</v>
      </c>
      <c r="D4436" t="s">
        <v>17954</v>
      </c>
      <c r="E4436" t="s">
        <v>22045</v>
      </c>
      <c r="F4436" t="s">
        <v>30900</v>
      </c>
      <c r="G4436" t="s">
        <v>30908</v>
      </c>
      <c r="H4436" t="s">
        <v>30916</v>
      </c>
      <c r="I4436" t="s">
        <v>6953</v>
      </c>
      <c r="J4436" t="s">
        <v>34054</v>
      </c>
      <c r="K4436" t="s">
        <v>40283</v>
      </c>
      <c r="M4436" t="s">
        <v>41377</v>
      </c>
      <c r="N4436" t="s">
        <v>44759</v>
      </c>
      <c r="O4436" t="s">
        <v>44760</v>
      </c>
      <c r="P4436">
        <v>0</v>
      </c>
      <c r="Q4436">
        <v>0</v>
      </c>
      <c r="R4436" t="s">
        <v>44763</v>
      </c>
      <c r="S4436" t="s">
        <v>44876</v>
      </c>
      <c r="T4436" t="s">
        <v>46533</v>
      </c>
      <c r="U4436" t="s">
        <v>50656</v>
      </c>
      <c r="W4436" t="s">
        <v>41377</v>
      </c>
      <c r="X4436" t="s">
        <v>44766</v>
      </c>
    </row>
    <row r="4437" spans="1:24">
      <c r="A4437">
        <f>HYPERLINK("https://www.philgeps.gov.ph/GEPSNONPILOT/Tender/SplashBidNoticeAbstractUI.aspx?menuIndex=3&amp;refID=7148249&amp;Result=3","7148249")</f>
        <v>0</v>
      </c>
      <c r="B4437" t="s">
        <v>1660</v>
      </c>
      <c r="C4437" t="s">
        <v>7957</v>
      </c>
      <c r="D4437" t="s">
        <v>17978</v>
      </c>
      <c r="E4437" t="s">
        <v>22046</v>
      </c>
      <c r="F4437" t="s">
        <v>30904</v>
      </c>
      <c r="G4437" t="s">
        <v>30907</v>
      </c>
      <c r="H4437" t="s">
        <v>30915</v>
      </c>
      <c r="I4437" t="s">
        <v>30919</v>
      </c>
      <c r="J4437" t="s">
        <v>34055</v>
      </c>
      <c r="K4437" t="s">
        <v>40286</v>
      </c>
      <c r="M4437" t="s">
        <v>42317</v>
      </c>
      <c r="N4437" t="s">
        <v>44759</v>
      </c>
      <c r="O4437" t="s">
        <v>44760</v>
      </c>
      <c r="P4437">
        <v>0</v>
      </c>
      <c r="Q4437">
        <v>0</v>
      </c>
      <c r="R4437" t="s">
        <v>44763</v>
      </c>
      <c r="S4437" t="s">
        <v>44876</v>
      </c>
      <c r="T4437" t="s">
        <v>46411</v>
      </c>
      <c r="U4437" t="s">
        <v>50657</v>
      </c>
      <c r="W4437" t="s">
        <v>42317</v>
      </c>
      <c r="X4437" t="s">
        <v>44766</v>
      </c>
    </row>
    <row r="4438" spans="1:24">
      <c r="A4438">
        <f>HYPERLINK("https://www.philgeps.gov.ph/GEPSNONPILOT/Tender/SplashBidNoticeAbstractUI.aspx?menuIndex=3&amp;refID=7148309&amp;Result=3","7148309")</f>
        <v>0</v>
      </c>
      <c r="B4438" t="s">
        <v>1661</v>
      </c>
      <c r="C4438" t="s">
        <v>7958</v>
      </c>
      <c r="D4438" t="s">
        <v>18019</v>
      </c>
      <c r="E4438" t="s">
        <v>22047</v>
      </c>
      <c r="F4438" t="s">
        <v>30900</v>
      </c>
      <c r="G4438" t="s">
        <v>30907</v>
      </c>
      <c r="H4438" t="s">
        <v>30916</v>
      </c>
      <c r="I4438" t="s">
        <v>30921</v>
      </c>
      <c r="J4438" t="s">
        <v>31096</v>
      </c>
      <c r="K4438" t="s">
        <v>40289</v>
      </c>
      <c r="L4438" t="s">
        <v>1661</v>
      </c>
      <c r="M4438" t="s">
        <v>42318</v>
      </c>
      <c r="N4438" t="s">
        <v>44759</v>
      </c>
      <c r="O4438" t="s">
        <v>44760</v>
      </c>
      <c r="P4438">
        <v>0</v>
      </c>
      <c r="Q4438">
        <v>4</v>
      </c>
      <c r="R4438" t="s">
        <v>44763</v>
      </c>
      <c r="S4438" t="s">
        <v>44876</v>
      </c>
      <c r="T4438" t="s">
        <v>46606</v>
      </c>
      <c r="U4438" t="s">
        <v>50658</v>
      </c>
      <c r="W4438" t="s">
        <v>42318</v>
      </c>
      <c r="X4438" t="s">
        <v>44766</v>
      </c>
    </row>
    <row r="4439" spans="1:24">
      <c r="A4439">
        <f>HYPERLINK("https://www.philgeps.gov.ph/GEPSNONPILOT/Tender/SplashBidNoticeAbstractUI.aspx?menuIndex=3&amp;refID=7148197&amp;Result=3","7148197")</f>
        <v>0</v>
      </c>
      <c r="B4439" t="s">
        <v>1662</v>
      </c>
      <c r="C4439" t="s">
        <v>7959</v>
      </c>
      <c r="D4439" t="s">
        <v>17974</v>
      </c>
      <c r="E4439" t="s">
        <v>22048</v>
      </c>
      <c r="F4439" t="s">
        <v>30900</v>
      </c>
      <c r="G4439" t="s">
        <v>30907</v>
      </c>
      <c r="H4439" t="s">
        <v>30915</v>
      </c>
      <c r="I4439" t="s">
        <v>30919</v>
      </c>
      <c r="J4439" t="s">
        <v>31096</v>
      </c>
      <c r="K4439" t="s">
        <v>40280</v>
      </c>
      <c r="M4439" t="s">
        <v>42319</v>
      </c>
      <c r="N4439" t="s">
        <v>44759</v>
      </c>
      <c r="O4439" t="s">
        <v>44760</v>
      </c>
      <c r="P4439">
        <v>0</v>
      </c>
      <c r="Q4439">
        <v>1</v>
      </c>
      <c r="R4439" t="s">
        <v>44763</v>
      </c>
      <c r="S4439" t="s">
        <v>44876</v>
      </c>
      <c r="T4439" t="s">
        <v>46425</v>
      </c>
      <c r="U4439" t="s">
        <v>50659</v>
      </c>
      <c r="W4439" t="s">
        <v>42319</v>
      </c>
      <c r="X4439" t="s">
        <v>44766</v>
      </c>
    </row>
    <row r="4440" spans="1:24">
      <c r="A4440">
        <f>HYPERLINK("https://www.philgeps.gov.ph/GEPSNONPILOT/Tender/SplashBidNoticeAbstractUI.aspx?menuIndex=3&amp;refID=7148297&amp;Result=3","7148297")</f>
        <v>0</v>
      </c>
      <c r="B4440" t="s">
        <v>1663</v>
      </c>
      <c r="C4440" t="s">
        <v>7960</v>
      </c>
      <c r="D4440" t="s">
        <v>18003</v>
      </c>
      <c r="E4440" t="s">
        <v>22049</v>
      </c>
      <c r="F4440" t="s">
        <v>30900</v>
      </c>
      <c r="G4440" t="s">
        <v>30907</v>
      </c>
      <c r="H4440" t="s">
        <v>30916</v>
      </c>
      <c r="I4440" t="s">
        <v>10847</v>
      </c>
      <c r="J4440" t="s">
        <v>31096</v>
      </c>
      <c r="K4440" t="s">
        <v>40286</v>
      </c>
      <c r="M4440" t="s">
        <v>42320</v>
      </c>
      <c r="N4440" t="s">
        <v>44759</v>
      </c>
      <c r="O4440" t="s">
        <v>44760</v>
      </c>
      <c r="P4440">
        <v>0</v>
      </c>
      <c r="Q4440">
        <v>0</v>
      </c>
      <c r="R4440" t="s">
        <v>44763</v>
      </c>
      <c r="S4440" t="s">
        <v>44876</v>
      </c>
      <c r="T4440" t="s">
        <v>46356</v>
      </c>
      <c r="U4440" t="s">
        <v>50660</v>
      </c>
      <c r="W4440" t="s">
        <v>42320</v>
      </c>
      <c r="X4440" t="s">
        <v>44766</v>
      </c>
    </row>
    <row r="4441" spans="1:24">
      <c r="A4441">
        <f>HYPERLINK("https://www.philgeps.gov.ph/GEPSNONPILOT/Tender/SplashBidNoticeAbstractUI.aspx?menuIndex=3&amp;refID=7148293&amp;Result=3","7148293")</f>
        <v>0</v>
      </c>
      <c r="B4441" t="s">
        <v>1621</v>
      </c>
      <c r="C4441" t="s">
        <v>7961</v>
      </c>
      <c r="D4441" t="s">
        <v>17978</v>
      </c>
      <c r="E4441" t="s">
        <v>22050</v>
      </c>
      <c r="F4441" t="s">
        <v>30900</v>
      </c>
      <c r="G4441" t="s">
        <v>30908</v>
      </c>
      <c r="H4441" t="s">
        <v>30916</v>
      </c>
      <c r="I4441" t="s">
        <v>10602</v>
      </c>
      <c r="J4441" t="s">
        <v>34056</v>
      </c>
      <c r="K4441" t="s">
        <v>40283</v>
      </c>
      <c r="M4441" t="s">
        <v>42272</v>
      </c>
      <c r="N4441" t="s">
        <v>44759</v>
      </c>
      <c r="O4441" t="s">
        <v>44760</v>
      </c>
      <c r="P4441">
        <v>0</v>
      </c>
      <c r="Q4441">
        <v>0</v>
      </c>
      <c r="R4441" t="s">
        <v>44763</v>
      </c>
      <c r="S4441" t="s">
        <v>44876</v>
      </c>
      <c r="T4441" t="s">
        <v>46391</v>
      </c>
      <c r="U4441" t="s">
        <v>50661</v>
      </c>
      <c r="W4441" t="s">
        <v>42272</v>
      </c>
      <c r="X4441" t="s">
        <v>44766</v>
      </c>
    </row>
    <row r="4442" spans="1:24">
      <c r="A4442">
        <f>HYPERLINK("https://www.philgeps.gov.ph/GEPSNONPILOT/Tender/SplashBidNoticeAbstractUI.aspx?menuIndex=3&amp;refID=7148291&amp;Result=3","7148291")</f>
        <v>0</v>
      </c>
      <c r="B4442" t="s">
        <v>1664</v>
      </c>
      <c r="C4442" t="s">
        <v>7962</v>
      </c>
      <c r="D4442" t="s">
        <v>17959</v>
      </c>
      <c r="E4442" t="s">
        <v>22051</v>
      </c>
      <c r="F4442" t="s">
        <v>30900</v>
      </c>
      <c r="G4442" t="s">
        <v>30908</v>
      </c>
      <c r="H4442" t="s">
        <v>30916</v>
      </c>
      <c r="I4442" t="s">
        <v>4142</v>
      </c>
      <c r="J4442" t="s">
        <v>31098</v>
      </c>
      <c r="K4442" t="s">
        <v>40289</v>
      </c>
      <c r="M4442" t="s">
        <v>42321</v>
      </c>
      <c r="N4442" t="s">
        <v>44759</v>
      </c>
      <c r="O4442" t="s">
        <v>44760</v>
      </c>
      <c r="P4442">
        <v>0</v>
      </c>
      <c r="Q4442">
        <v>9</v>
      </c>
      <c r="R4442" t="s">
        <v>44763</v>
      </c>
      <c r="S4442" t="s">
        <v>44876</v>
      </c>
      <c r="T4442" t="s">
        <v>46607</v>
      </c>
      <c r="U4442" t="s">
        <v>50662</v>
      </c>
      <c r="W4442" t="s">
        <v>42321</v>
      </c>
      <c r="X4442" t="s">
        <v>44766</v>
      </c>
    </row>
    <row r="4443" spans="1:24">
      <c r="A4443">
        <f>HYPERLINK("https://www.philgeps.gov.ph/GEPSNONPILOT/Tender/SplashBidNoticeAbstractUI.aspx?menuIndex=3&amp;refID=7148282&amp;Result=3","7148282")</f>
        <v>0</v>
      </c>
      <c r="B4443" t="s">
        <v>1665</v>
      </c>
      <c r="C4443" t="s">
        <v>4322</v>
      </c>
      <c r="D4443" t="s">
        <v>17963</v>
      </c>
      <c r="E4443" t="s">
        <v>18066</v>
      </c>
      <c r="F4443" t="s">
        <v>30900</v>
      </c>
      <c r="G4443" t="s">
        <v>30907</v>
      </c>
      <c r="H4443" t="s">
        <v>30916</v>
      </c>
      <c r="I4443" t="s">
        <v>5501</v>
      </c>
      <c r="J4443" t="s">
        <v>31101</v>
      </c>
      <c r="K4443" t="s">
        <v>40283</v>
      </c>
      <c r="M4443" t="s">
        <v>42322</v>
      </c>
      <c r="N4443" t="s">
        <v>44759</v>
      </c>
      <c r="O4443" t="s">
        <v>44760</v>
      </c>
      <c r="P4443">
        <v>0</v>
      </c>
      <c r="Q4443">
        <v>3</v>
      </c>
      <c r="R4443" t="s">
        <v>44763</v>
      </c>
      <c r="S4443" t="s">
        <v>44876</v>
      </c>
      <c r="T4443" t="s">
        <v>46421</v>
      </c>
      <c r="U4443" t="s">
        <v>50663</v>
      </c>
      <c r="W4443" t="s">
        <v>42322</v>
      </c>
      <c r="X4443" t="s">
        <v>44766</v>
      </c>
    </row>
    <row r="4444" spans="1:24">
      <c r="A4444">
        <f>HYPERLINK("https://www.philgeps.gov.ph/GEPSNONPILOT/Tender/SplashBidNoticeAbstractUI.aspx?menuIndex=3&amp;refID=7148223&amp;Result=3","7148223")</f>
        <v>0</v>
      </c>
      <c r="B4444" t="s">
        <v>1666</v>
      </c>
      <c r="C4444" t="s">
        <v>7963</v>
      </c>
      <c r="D4444" t="s">
        <v>18010</v>
      </c>
      <c r="E4444" t="s">
        <v>22052</v>
      </c>
      <c r="F4444" t="s">
        <v>30900</v>
      </c>
      <c r="G4444" t="s">
        <v>30908</v>
      </c>
      <c r="H4444" t="s">
        <v>30916</v>
      </c>
      <c r="I4444" t="s">
        <v>30927</v>
      </c>
      <c r="J4444" t="s">
        <v>34057</v>
      </c>
      <c r="K4444" t="s">
        <v>40283</v>
      </c>
      <c r="M4444" t="s">
        <v>42323</v>
      </c>
      <c r="N4444" t="s">
        <v>44759</v>
      </c>
      <c r="O4444" t="s">
        <v>44760</v>
      </c>
      <c r="P4444">
        <v>0</v>
      </c>
      <c r="Q4444">
        <v>1</v>
      </c>
      <c r="R4444" t="s">
        <v>44763</v>
      </c>
      <c r="S4444" t="s">
        <v>44876</v>
      </c>
      <c r="T4444" t="s">
        <v>46391</v>
      </c>
      <c r="U4444" t="s">
        <v>50664</v>
      </c>
      <c r="W4444" t="s">
        <v>42323</v>
      </c>
      <c r="X4444" t="s">
        <v>44766</v>
      </c>
    </row>
    <row r="4445" spans="1:24">
      <c r="A4445">
        <f>HYPERLINK("https://www.philgeps.gov.ph/GEPSNONPILOT/Tender/SplashBidNoticeAbstractUI.aspx?menuIndex=3&amp;refID=7148270&amp;Result=3","7148270")</f>
        <v>0</v>
      </c>
      <c r="B4445" t="s">
        <v>348</v>
      </c>
      <c r="C4445" t="s">
        <v>7964</v>
      </c>
      <c r="D4445" t="s">
        <v>17957</v>
      </c>
      <c r="E4445" t="s">
        <v>22053</v>
      </c>
      <c r="F4445" t="s">
        <v>30900</v>
      </c>
      <c r="G4445" t="s">
        <v>30908</v>
      </c>
      <c r="H4445" t="s">
        <v>30916</v>
      </c>
      <c r="I4445" t="s">
        <v>8044</v>
      </c>
      <c r="J4445" t="s">
        <v>34058</v>
      </c>
      <c r="K4445" t="s">
        <v>40284</v>
      </c>
      <c r="M4445" t="s">
        <v>40901</v>
      </c>
      <c r="N4445" t="s">
        <v>44759</v>
      </c>
      <c r="O4445" t="s">
        <v>44760</v>
      </c>
      <c r="P4445">
        <v>0</v>
      </c>
      <c r="Q4445">
        <v>0</v>
      </c>
      <c r="R4445" t="s">
        <v>44763</v>
      </c>
      <c r="S4445" t="s">
        <v>44876</v>
      </c>
      <c r="T4445" t="s">
        <v>46390</v>
      </c>
      <c r="U4445" t="s">
        <v>50665</v>
      </c>
      <c r="W4445" t="s">
        <v>40901</v>
      </c>
      <c r="X4445" t="s">
        <v>44766</v>
      </c>
    </row>
    <row r="4446" spans="1:24">
      <c r="A4446">
        <f>HYPERLINK("https://www.philgeps.gov.ph/GEPSNONPILOT/Tender/SplashBidNoticeAbstractUI.aspx?menuIndex=3&amp;refID=7148212&amp;Result=3","7148212")</f>
        <v>0</v>
      </c>
      <c r="B4446" t="s">
        <v>1667</v>
      </c>
      <c r="C4446" t="s">
        <v>7965</v>
      </c>
      <c r="D4446" t="s">
        <v>17959</v>
      </c>
      <c r="E4446" t="s">
        <v>22054</v>
      </c>
      <c r="F4446" t="s">
        <v>30900</v>
      </c>
      <c r="G4446" t="s">
        <v>30908</v>
      </c>
      <c r="H4446" t="s">
        <v>30916</v>
      </c>
      <c r="I4446" t="s">
        <v>4108</v>
      </c>
      <c r="J4446" t="s">
        <v>34059</v>
      </c>
      <c r="K4446" t="s">
        <v>40288</v>
      </c>
      <c r="M4446" t="s">
        <v>42324</v>
      </c>
      <c r="N4446" t="s">
        <v>44759</v>
      </c>
      <c r="O4446" t="s">
        <v>44760</v>
      </c>
      <c r="P4446">
        <v>0</v>
      </c>
      <c r="Q4446">
        <v>5</v>
      </c>
      <c r="R4446" t="s">
        <v>44763</v>
      </c>
      <c r="S4446" t="s">
        <v>44876</v>
      </c>
      <c r="T4446" t="s">
        <v>46374</v>
      </c>
      <c r="U4446" t="s">
        <v>50666</v>
      </c>
      <c r="V4446" t="s">
        <v>59592</v>
      </c>
      <c r="W4446" t="s">
        <v>42324</v>
      </c>
      <c r="X4446" t="s">
        <v>44766</v>
      </c>
    </row>
    <row r="4447" spans="1:24">
      <c r="A4447">
        <f>HYPERLINK("https://www.philgeps.gov.ph/GEPSNONPILOT/Tender/SplashBidNoticeAbstractUI.aspx?menuIndex=3&amp;refID=7148360&amp;Result=3","7148360")</f>
        <v>0</v>
      </c>
      <c r="B4447" t="s">
        <v>1663</v>
      </c>
      <c r="C4447" t="s">
        <v>7966</v>
      </c>
      <c r="D4447" t="s">
        <v>18003</v>
      </c>
      <c r="E4447" t="s">
        <v>22055</v>
      </c>
      <c r="F4447" t="s">
        <v>30900</v>
      </c>
      <c r="G4447" t="s">
        <v>30907</v>
      </c>
      <c r="H4447" t="s">
        <v>30916</v>
      </c>
      <c r="I4447" t="s">
        <v>10847</v>
      </c>
      <c r="J4447" t="s">
        <v>34060</v>
      </c>
      <c r="K4447" t="s">
        <v>40286</v>
      </c>
      <c r="M4447" t="s">
        <v>42320</v>
      </c>
      <c r="N4447" t="s">
        <v>44759</v>
      </c>
      <c r="O4447" t="s">
        <v>44760</v>
      </c>
      <c r="P4447">
        <v>0</v>
      </c>
      <c r="Q4447">
        <v>0</v>
      </c>
      <c r="R4447" t="s">
        <v>44763</v>
      </c>
      <c r="S4447" t="s">
        <v>44876</v>
      </c>
      <c r="T4447" t="s">
        <v>46356</v>
      </c>
      <c r="U4447" t="s">
        <v>50667</v>
      </c>
      <c r="W4447" t="s">
        <v>42320</v>
      </c>
      <c r="X4447" t="s">
        <v>44766</v>
      </c>
    </row>
    <row r="4448" spans="1:24">
      <c r="A4448">
        <f>HYPERLINK("https://www.philgeps.gov.ph/GEPSNONPILOT/Tender/SplashBidNoticeAbstractUI.aspx?menuIndex=3&amp;refID=7148354&amp;Result=3","7148354")</f>
        <v>0</v>
      </c>
      <c r="B4448" t="s">
        <v>348</v>
      </c>
      <c r="C4448" t="s">
        <v>7967</v>
      </c>
      <c r="D4448" t="s">
        <v>17957</v>
      </c>
      <c r="E4448" t="s">
        <v>22056</v>
      </c>
      <c r="F4448" t="s">
        <v>30900</v>
      </c>
      <c r="G4448" t="s">
        <v>30908</v>
      </c>
      <c r="H4448" t="s">
        <v>30917</v>
      </c>
      <c r="I4448" t="s">
        <v>8044</v>
      </c>
      <c r="J4448" t="s">
        <v>31810</v>
      </c>
      <c r="K4448" t="s">
        <v>40284</v>
      </c>
      <c r="M4448" t="s">
        <v>42325</v>
      </c>
      <c r="N4448" t="s">
        <v>44759</v>
      </c>
      <c r="O4448" t="s">
        <v>44760</v>
      </c>
      <c r="P4448">
        <v>0</v>
      </c>
      <c r="Q4448">
        <v>0</v>
      </c>
      <c r="R4448" t="s">
        <v>44763</v>
      </c>
      <c r="S4448" t="s">
        <v>44876</v>
      </c>
      <c r="T4448" t="s">
        <v>46390</v>
      </c>
      <c r="U4448" t="s">
        <v>50668</v>
      </c>
      <c r="W4448" t="s">
        <v>42325</v>
      </c>
      <c r="X4448" t="s">
        <v>44766</v>
      </c>
    </row>
    <row r="4449" spans="1:24">
      <c r="A4449">
        <f>HYPERLINK("https://www.philgeps.gov.ph/GEPSNONPILOT/Tender/SplashBidNoticeAbstractUI.aspx?menuIndex=3&amp;refID=7148283&amp;Result=3","7148283")</f>
        <v>0</v>
      </c>
      <c r="B4449" t="s">
        <v>1661</v>
      </c>
      <c r="C4449" t="s">
        <v>7968</v>
      </c>
      <c r="D4449" t="s">
        <v>18019</v>
      </c>
      <c r="E4449" t="s">
        <v>22057</v>
      </c>
      <c r="F4449" t="s">
        <v>30900</v>
      </c>
      <c r="G4449" t="s">
        <v>30907</v>
      </c>
      <c r="H4449" t="s">
        <v>30916</v>
      </c>
      <c r="I4449" t="s">
        <v>30933</v>
      </c>
      <c r="J4449" t="s">
        <v>32454</v>
      </c>
      <c r="K4449" t="s">
        <v>40289</v>
      </c>
      <c r="L4449" t="s">
        <v>1661</v>
      </c>
      <c r="M4449" t="s">
        <v>42318</v>
      </c>
      <c r="N4449" t="s">
        <v>44759</v>
      </c>
      <c r="O4449" t="s">
        <v>44760</v>
      </c>
      <c r="P4449">
        <v>0</v>
      </c>
      <c r="Q4449">
        <v>1</v>
      </c>
      <c r="R4449" t="s">
        <v>44763</v>
      </c>
      <c r="S4449" t="s">
        <v>44876</v>
      </c>
      <c r="T4449" t="s">
        <v>46606</v>
      </c>
      <c r="U4449" t="s">
        <v>50658</v>
      </c>
      <c r="W4449" t="s">
        <v>42318</v>
      </c>
      <c r="X4449" t="s">
        <v>44766</v>
      </c>
    </row>
    <row r="4450" spans="1:24">
      <c r="A4450">
        <f>HYPERLINK("https://www.philgeps.gov.ph/GEPSNONPILOT/Tender/SplashBidNoticeAbstractUI.aspx?menuIndex=3&amp;refID=7148332&amp;Result=3","7148332")</f>
        <v>0</v>
      </c>
      <c r="B4450" t="s">
        <v>1668</v>
      </c>
      <c r="C4450" t="s">
        <v>7969</v>
      </c>
      <c r="D4450" t="s">
        <v>17961</v>
      </c>
      <c r="E4450" t="s">
        <v>22058</v>
      </c>
      <c r="F4450" t="s">
        <v>30900</v>
      </c>
      <c r="G4450" t="s">
        <v>30907</v>
      </c>
      <c r="H4450" t="s">
        <v>30916</v>
      </c>
      <c r="I4450" t="s">
        <v>4965</v>
      </c>
      <c r="J4450" t="s">
        <v>34061</v>
      </c>
      <c r="K4450" t="s">
        <v>40304</v>
      </c>
      <c r="M4450" t="s">
        <v>42326</v>
      </c>
      <c r="N4450" t="s">
        <v>44759</v>
      </c>
      <c r="O4450" t="s">
        <v>44760</v>
      </c>
      <c r="P4450">
        <v>0</v>
      </c>
      <c r="Q4450">
        <v>2</v>
      </c>
      <c r="R4450" t="s">
        <v>44763</v>
      </c>
      <c r="S4450" t="s">
        <v>44876</v>
      </c>
      <c r="T4450" t="s">
        <v>46675</v>
      </c>
      <c r="U4450" t="s">
        <v>50669</v>
      </c>
      <c r="V4450" t="s">
        <v>59593</v>
      </c>
      <c r="W4450" t="s">
        <v>42326</v>
      </c>
      <c r="X4450" t="s">
        <v>44766</v>
      </c>
    </row>
    <row r="4451" spans="1:24">
      <c r="A4451">
        <f>HYPERLINK("https://www.philgeps.gov.ph/GEPSNONPILOT/Tender/SplashBidNoticeAbstractUI.aspx?menuIndex=3&amp;refID=7148329&amp;Result=3","7148329")</f>
        <v>0</v>
      </c>
      <c r="B4451" t="s">
        <v>1669</v>
      </c>
      <c r="C4451" t="s">
        <v>7970</v>
      </c>
      <c r="D4451" t="s">
        <v>17980</v>
      </c>
      <c r="E4451" t="s">
        <v>22059</v>
      </c>
      <c r="F4451" t="s">
        <v>30900</v>
      </c>
      <c r="G4451" t="s">
        <v>30908</v>
      </c>
      <c r="H4451" t="s">
        <v>30916</v>
      </c>
      <c r="I4451" t="s">
        <v>9385</v>
      </c>
      <c r="J4451" t="s">
        <v>34062</v>
      </c>
      <c r="K4451" t="s">
        <v>40287</v>
      </c>
      <c r="M4451" t="s">
        <v>42327</v>
      </c>
      <c r="N4451" t="s">
        <v>44759</v>
      </c>
      <c r="O4451" t="s">
        <v>44760</v>
      </c>
      <c r="P4451">
        <v>0</v>
      </c>
      <c r="Q4451">
        <v>8</v>
      </c>
      <c r="R4451" t="s">
        <v>44763</v>
      </c>
      <c r="S4451" t="s">
        <v>44876</v>
      </c>
      <c r="T4451" t="s">
        <v>46383</v>
      </c>
      <c r="U4451" t="s">
        <v>50670</v>
      </c>
      <c r="V4451" t="s">
        <v>59594</v>
      </c>
      <c r="W4451" t="s">
        <v>42327</v>
      </c>
      <c r="X4451" t="s">
        <v>44766</v>
      </c>
    </row>
    <row r="4452" spans="1:24">
      <c r="A4452">
        <f>HYPERLINK("https://www.philgeps.gov.ph/GEPSNONPILOT/Tender/SplashBidNoticeAbstractUI.aspx?menuIndex=3&amp;refID=7148311&amp;Result=3","7148311")</f>
        <v>0</v>
      </c>
      <c r="B4452" t="s">
        <v>1670</v>
      </c>
      <c r="C4452" t="s">
        <v>7971</v>
      </c>
      <c r="D4452" t="s">
        <v>17961</v>
      </c>
      <c r="E4452" t="s">
        <v>18752</v>
      </c>
      <c r="F4452" t="s">
        <v>30899</v>
      </c>
      <c r="G4452" t="s">
        <v>30909</v>
      </c>
      <c r="H4452" t="s">
        <v>30916</v>
      </c>
      <c r="I4452" t="s">
        <v>8365</v>
      </c>
      <c r="J4452" t="s">
        <v>34063</v>
      </c>
      <c r="K4452" t="s">
        <v>40288</v>
      </c>
      <c r="M4452" t="s">
        <v>42328</v>
      </c>
      <c r="N4452" t="s">
        <v>44759</v>
      </c>
      <c r="O4452" t="s">
        <v>44760</v>
      </c>
      <c r="P4452">
        <v>0</v>
      </c>
      <c r="Q4452">
        <v>0</v>
      </c>
      <c r="R4452" t="s">
        <v>44763</v>
      </c>
      <c r="S4452" t="s">
        <v>44876</v>
      </c>
      <c r="T4452" t="s">
        <v>46676</v>
      </c>
      <c r="U4452" t="s">
        <v>50671</v>
      </c>
      <c r="W4452" t="s">
        <v>42328</v>
      </c>
      <c r="X4452" t="s">
        <v>44766</v>
      </c>
    </row>
    <row r="4453" spans="1:24">
      <c r="A4453">
        <f>HYPERLINK("https://www.philgeps.gov.ph/GEPSNONPILOT/Tender/SplashBidNoticeAbstractUI.aspx?menuIndex=3&amp;refID=7148266&amp;Result=3","7148266")</f>
        <v>0</v>
      </c>
      <c r="B4453" t="s">
        <v>1034</v>
      </c>
      <c r="C4453" t="s">
        <v>7972</v>
      </c>
      <c r="D4453" t="s">
        <v>17979</v>
      </c>
      <c r="E4453" t="s">
        <v>22060</v>
      </c>
      <c r="F4453" t="s">
        <v>30900</v>
      </c>
      <c r="G4453" t="s">
        <v>30909</v>
      </c>
      <c r="H4453" t="s">
        <v>30916</v>
      </c>
      <c r="I4453" t="s">
        <v>4142</v>
      </c>
      <c r="J4453" t="s">
        <v>34064</v>
      </c>
      <c r="K4453" t="s">
        <v>40289</v>
      </c>
      <c r="M4453" t="s">
        <v>41625</v>
      </c>
      <c r="N4453" t="s">
        <v>44759</v>
      </c>
      <c r="O4453" t="s">
        <v>44760</v>
      </c>
      <c r="P4453">
        <v>0</v>
      </c>
      <c r="Q4453">
        <v>8</v>
      </c>
      <c r="R4453" t="s">
        <v>44763</v>
      </c>
      <c r="S4453" t="s">
        <v>44876</v>
      </c>
      <c r="T4453" t="s">
        <v>46379</v>
      </c>
      <c r="U4453" t="s">
        <v>47002</v>
      </c>
      <c r="W4453" t="s">
        <v>41625</v>
      </c>
      <c r="X4453" t="s">
        <v>44766</v>
      </c>
    </row>
    <row r="4454" spans="1:24">
      <c r="A4454">
        <f>HYPERLINK("https://www.philgeps.gov.ph/GEPSNONPILOT/Tender/SplashBidNoticeAbstractUI.aspx?menuIndex=3&amp;refID=7148263&amp;Result=3","7148263")</f>
        <v>0</v>
      </c>
      <c r="B4454" t="s">
        <v>1657</v>
      </c>
      <c r="C4454" t="s">
        <v>7973</v>
      </c>
      <c r="D4454" t="s">
        <v>17963</v>
      </c>
      <c r="E4454" t="s">
        <v>22061</v>
      </c>
      <c r="F4454" t="s">
        <v>30900</v>
      </c>
      <c r="G4454" t="s">
        <v>30908</v>
      </c>
      <c r="H4454" t="s">
        <v>30916</v>
      </c>
      <c r="I4454" t="s">
        <v>10847</v>
      </c>
      <c r="J4454" t="s">
        <v>34065</v>
      </c>
      <c r="K4454" t="s">
        <v>40287</v>
      </c>
      <c r="M4454" t="s">
        <v>42313</v>
      </c>
      <c r="N4454" t="s">
        <v>44759</v>
      </c>
      <c r="O4454" t="s">
        <v>44760</v>
      </c>
      <c r="P4454">
        <v>0</v>
      </c>
      <c r="Q4454">
        <v>1</v>
      </c>
      <c r="R4454" t="s">
        <v>44763</v>
      </c>
      <c r="S4454" t="s">
        <v>44876</v>
      </c>
      <c r="T4454" t="s">
        <v>46374</v>
      </c>
      <c r="U4454" t="s">
        <v>50672</v>
      </c>
      <c r="W4454" t="s">
        <v>42313</v>
      </c>
      <c r="X4454" t="s">
        <v>44766</v>
      </c>
    </row>
    <row r="4455" spans="1:24">
      <c r="A4455">
        <f>HYPERLINK("https://www.philgeps.gov.ph/GEPSNONPILOT/Tender/SplashBidNoticeAbstractUI.aspx?menuIndex=3&amp;refID=7148258&amp;Result=3","7148258")</f>
        <v>0</v>
      </c>
      <c r="B4455" t="s">
        <v>1666</v>
      </c>
      <c r="C4455" t="s">
        <v>7974</v>
      </c>
      <c r="D4455" t="s">
        <v>18010</v>
      </c>
      <c r="E4455" t="s">
        <v>22062</v>
      </c>
      <c r="F4455" t="s">
        <v>30900</v>
      </c>
      <c r="G4455" t="s">
        <v>30908</v>
      </c>
      <c r="H4455" t="s">
        <v>30916</v>
      </c>
      <c r="I4455" t="s">
        <v>4108</v>
      </c>
      <c r="J4455" t="s">
        <v>32288</v>
      </c>
      <c r="K4455" t="s">
        <v>40283</v>
      </c>
      <c r="M4455" t="s">
        <v>42323</v>
      </c>
      <c r="N4455" t="s">
        <v>44759</v>
      </c>
      <c r="O4455" t="s">
        <v>44760</v>
      </c>
      <c r="P4455">
        <v>0</v>
      </c>
      <c r="Q4455">
        <v>1</v>
      </c>
      <c r="R4455" t="s">
        <v>44763</v>
      </c>
      <c r="S4455" t="s">
        <v>44876</v>
      </c>
      <c r="T4455" t="s">
        <v>46623</v>
      </c>
      <c r="U4455" t="s">
        <v>50673</v>
      </c>
      <c r="W4455" t="s">
        <v>42323</v>
      </c>
      <c r="X4455" t="s">
        <v>44766</v>
      </c>
    </row>
    <row r="4456" spans="1:24">
      <c r="A4456">
        <f>HYPERLINK("https://www.philgeps.gov.ph/GEPSNONPILOT/Tender/SplashBidNoticeAbstractUI.aspx?menuIndex=3&amp;refID=7148342&amp;Result=3","7148342")</f>
        <v>0</v>
      </c>
      <c r="B4456" t="s">
        <v>348</v>
      </c>
      <c r="C4456" t="s">
        <v>7975</v>
      </c>
      <c r="D4456" t="s">
        <v>17957</v>
      </c>
      <c r="E4456" t="s">
        <v>22063</v>
      </c>
      <c r="F4456" t="s">
        <v>30900</v>
      </c>
      <c r="G4456" t="s">
        <v>30908</v>
      </c>
      <c r="H4456" t="s">
        <v>30917</v>
      </c>
      <c r="I4456" t="s">
        <v>30929</v>
      </c>
      <c r="J4456" t="s">
        <v>31243</v>
      </c>
      <c r="K4456" t="s">
        <v>40284</v>
      </c>
      <c r="M4456" t="s">
        <v>42325</v>
      </c>
      <c r="N4456" t="s">
        <v>44759</v>
      </c>
      <c r="O4456" t="s">
        <v>44760</v>
      </c>
      <c r="P4456">
        <v>0</v>
      </c>
      <c r="Q4456">
        <v>6</v>
      </c>
      <c r="R4456" t="s">
        <v>44763</v>
      </c>
      <c r="S4456" t="s">
        <v>44876</v>
      </c>
      <c r="T4456" t="s">
        <v>46390</v>
      </c>
      <c r="U4456" t="s">
        <v>50674</v>
      </c>
      <c r="W4456" t="s">
        <v>42325</v>
      </c>
      <c r="X4456" t="s">
        <v>44766</v>
      </c>
    </row>
    <row r="4457" spans="1:24">
      <c r="A4457">
        <f>HYPERLINK("https://www.philgeps.gov.ph/GEPSNONPILOT/Tender/SplashBidNoticeAbstractUI.aspx?menuIndex=3&amp;refID=7148253&amp;Result=3","7148253")</f>
        <v>0</v>
      </c>
      <c r="B4457" t="s">
        <v>1657</v>
      </c>
      <c r="C4457" t="s">
        <v>7976</v>
      </c>
      <c r="D4457" t="s">
        <v>17963</v>
      </c>
      <c r="E4457" t="s">
        <v>22064</v>
      </c>
      <c r="F4457" t="s">
        <v>30900</v>
      </c>
      <c r="G4457" t="s">
        <v>30907</v>
      </c>
      <c r="H4457" t="s">
        <v>30916</v>
      </c>
      <c r="I4457" t="s">
        <v>6953</v>
      </c>
      <c r="J4457" t="s">
        <v>34066</v>
      </c>
      <c r="K4457" t="s">
        <v>40280</v>
      </c>
      <c r="M4457" t="s">
        <v>42313</v>
      </c>
      <c r="N4457" t="s">
        <v>44759</v>
      </c>
      <c r="O4457" t="s">
        <v>44760</v>
      </c>
      <c r="P4457">
        <v>0</v>
      </c>
      <c r="Q4457">
        <v>0</v>
      </c>
      <c r="R4457" t="s">
        <v>44763</v>
      </c>
      <c r="S4457" t="s">
        <v>44876</v>
      </c>
      <c r="T4457" t="s">
        <v>46376</v>
      </c>
      <c r="U4457" t="s">
        <v>50675</v>
      </c>
      <c r="W4457" t="s">
        <v>42313</v>
      </c>
      <c r="X4457" t="s">
        <v>44766</v>
      </c>
    </row>
    <row r="4458" spans="1:24">
      <c r="A4458">
        <f>HYPERLINK("https://www.philgeps.gov.ph/GEPSNONPILOT/Tender/SplashBidNoticeAbstractUI.aspx?menuIndex=3&amp;refID=7148427&amp;Result=3","7148427")</f>
        <v>0</v>
      </c>
      <c r="B4458" t="s">
        <v>1666</v>
      </c>
      <c r="C4458" t="s">
        <v>7977</v>
      </c>
      <c r="D4458" t="s">
        <v>18010</v>
      </c>
      <c r="E4458" t="s">
        <v>22065</v>
      </c>
      <c r="F4458" t="s">
        <v>30900</v>
      </c>
      <c r="G4458" t="s">
        <v>30908</v>
      </c>
      <c r="H4458" t="s">
        <v>30916</v>
      </c>
      <c r="I4458" t="s">
        <v>4545</v>
      </c>
      <c r="J4458" t="s">
        <v>31256</v>
      </c>
      <c r="K4458" t="s">
        <v>40286</v>
      </c>
      <c r="M4458" t="s">
        <v>42323</v>
      </c>
      <c r="N4458" t="s">
        <v>44759</v>
      </c>
      <c r="O4458" t="s">
        <v>44760</v>
      </c>
      <c r="P4458">
        <v>0</v>
      </c>
      <c r="Q4458">
        <v>4</v>
      </c>
      <c r="R4458" t="s">
        <v>44763</v>
      </c>
      <c r="S4458" t="s">
        <v>44876</v>
      </c>
      <c r="T4458" t="s">
        <v>46374</v>
      </c>
      <c r="U4458" t="s">
        <v>50676</v>
      </c>
      <c r="W4458" t="s">
        <v>42323</v>
      </c>
      <c r="X4458" t="s">
        <v>44766</v>
      </c>
    </row>
    <row r="4459" spans="1:24">
      <c r="A4459">
        <f>HYPERLINK("https://www.philgeps.gov.ph/GEPSNONPILOT/Tender/SplashBidNoticeAbstractUI.aspx?menuIndex=3&amp;refID=7148367&amp;Result=3","7148367")</f>
        <v>0</v>
      </c>
      <c r="B4459" t="s">
        <v>1671</v>
      </c>
      <c r="C4459" t="s">
        <v>7978</v>
      </c>
      <c r="D4459" t="s">
        <v>17978</v>
      </c>
      <c r="E4459" t="s">
        <v>18306</v>
      </c>
      <c r="F4459" t="s">
        <v>30900</v>
      </c>
      <c r="G4459" t="s">
        <v>30907</v>
      </c>
      <c r="H4459" t="s">
        <v>30915</v>
      </c>
      <c r="I4459" t="s">
        <v>30919</v>
      </c>
      <c r="J4459" t="s">
        <v>31098</v>
      </c>
      <c r="K4459" t="s">
        <v>40280</v>
      </c>
      <c r="M4459" t="s">
        <v>42329</v>
      </c>
      <c r="N4459" t="s">
        <v>44759</v>
      </c>
      <c r="O4459" t="s">
        <v>44760</v>
      </c>
      <c r="P4459">
        <v>0</v>
      </c>
      <c r="Q4459">
        <v>0</v>
      </c>
      <c r="R4459" t="s">
        <v>44763</v>
      </c>
      <c r="S4459" t="s">
        <v>44876</v>
      </c>
      <c r="T4459" t="s">
        <v>46429</v>
      </c>
      <c r="U4459" t="s">
        <v>50677</v>
      </c>
      <c r="W4459" t="s">
        <v>42329</v>
      </c>
      <c r="X4459" t="s">
        <v>44766</v>
      </c>
    </row>
    <row r="4460" spans="1:24">
      <c r="A4460">
        <f>HYPERLINK("https://www.philgeps.gov.ph/GEPSNONPILOT/Tender/SplashBidNoticeAbstractUI.aspx?menuIndex=3&amp;refID=7148328&amp;Result=3","7148328")</f>
        <v>0</v>
      </c>
      <c r="B4460" t="s">
        <v>1672</v>
      </c>
      <c r="C4460" t="s">
        <v>6544</v>
      </c>
      <c r="D4460" t="s">
        <v>17972</v>
      </c>
      <c r="E4460" t="s">
        <v>21576</v>
      </c>
      <c r="F4460" t="s">
        <v>30900</v>
      </c>
      <c r="G4460" t="s">
        <v>30907</v>
      </c>
      <c r="H4460" t="s">
        <v>30916</v>
      </c>
      <c r="I4460" t="s">
        <v>30932</v>
      </c>
      <c r="J4460" t="s">
        <v>34067</v>
      </c>
      <c r="K4460" t="s">
        <v>40287</v>
      </c>
      <c r="M4460" t="s">
        <v>42330</v>
      </c>
      <c r="N4460" t="s">
        <v>44759</v>
      </c>
      <c r="O4460" t="s">
        <v>44760</v>
      </c>
      <c r="P4460">
        <v>0</v>
      </c>
      <c r="Q4460">
        <v>0</v>
      </c>
      <c r="R4460" t="s">
        <v>44763</v>
      </c>
      <c r="S4460" t="s">
        <v>44876</v>
      </c>
      <c r="T4460" t="s">
        <v>46478</v>
      </c>
      <c r="U4460" t="s">
        <v>50678</v>
      </c>
      <c r="W4460" t="s">
        <v>42330</v>
      </c>
      <c r="X4460" t="s">
        <v>44766</v>
      </c>
    </row>
    <row r="4461" spans="1:24">
      <c r="A4461">
        <f>HYPERLINK("https://www.philgeps.gov.ph/GEPSNONPILOT/Tender/SplashBidNoticeAbstractUI.aspx?menuIndex=3&amp;refID=7148523&amp;Result=3","7148523")</f>
        <v>0</v>
      </c>
      <c r="B4461" t="s">
        <v>1673</v>
      </c>
      <c r="C4461" t="s">
        <v>7979</v>
      </c>
      <c r="D4461" t="s">
        <v>17971</v>
      </c>
      <c r="E4461" t="s">
        <v>22066</v>
      </c>
      <c r="F4461" t="s">
        <v>30900</v>
      </c>
      <c r="G4461" t="s">
        <v>30907</v>
      </c>
      <c r="H4461" t="s">
        <v>30916</v>
      </c>
      <c r="I4461" t="s">
        <v>8123</v>
      </c>
      <c r="J4461" t="s">
        <v>34068</v>
      </c>
      <c r="K4461" t="s">
        <v>40289</v>
      </c>
      <c r="M4461" t="s">
        <v>42331</v>
      </c>
      <c r="N4461" t="s">
        <v>44759</v>
      </c>
      <c r="O4461" t="s">
        <v>44760</v>
      </c>
      <c r="P4461">
        <v>0</v>
      </c>
      <c r="Q4461">
        <v>0</v>
      </c>
      <c r="R4461" t="s">
        <v>44763</v>
      </c>
      <c r="S4461" t="s">
        <v>44876</v>
      </c>
      <c r="T4461" t="s">
        <v>46421</v>
      </c>
      <c r="U4461" t="s">
        <v>50679</v>
      </c>
      <c r="W4461" t="s">
        <v>42331</v>
      </c>
      <c r="X4461" t="s">
        <v>44766</v>
      </c>
    </row>
    <row r="4462" spans="1:24">
      <c r="A4462">
        <f>HYPERLINK("https://www.philgeps.gov.ph/GEPSNONPILOT/Tender/SplashBidNoticeAbstractUI.aspx?menuIndex=3&amp;refID=7148188&amp;Result=3","7148188")</f>
        <v>0</v>
      </c>
      <c r="B4462" t="s">
        <v>1655</v>
      </c>
      <c r="C4462" t="s">
        <v>7980</v>
      </c>
      <c r="D4462" t="s">
        <v>17959</v>
      </c>
      <c r="E4462" t="s">
        <v>22067</v>
      </c>
      <c r="F4462" t="s">
        <v>30900</v>
      </c>
      <c r="G4462" t="s">
        <v>30907</v>
      </c>
      <c r="H4462" t="s">
        <v>30916</v>
      </c>
      <c r="I4462" t="s">
        <v>6834</v>
      </c>
      <c r="J4462" t="s">
        <v>34069</v>
      </c>
      <c r="K4462" t="s">
        <v>40287</v>
      </c>
      <c r="M4462" t="s">
        <v>42311</v>
      </c>
      <c r="N4462" t="s">
        <v>44759</v>
      </c>
      <c r="O4462" t="s">
        <v>44760</v>
      </c>
      <c r="P4462">
        <v>0</v>
      </c>
      <c r="Q4462">
        <v>1</v>
      </c>
      <c r="R4462" t="s">
        <v>44763</v>
      </c>
      <c r="S4462" t="s">
        <v>44876</v>
      </c>
      <c r="T4462" t="s">
        <v>46356</v>
      </c>
      <c r="U4462" t="s">
        <v>50680</v>
      </c>
      <c r="W4462" t="s">
        <v>42311</v>
      </c>
      <c r="X4462" t="s">
        <v>44766</v>
      </c>
    </row>
    <row r="4463" spans="1:24">
      <c r="A4463">
        <f>HYPERLINK("https://www.philgeps.gov.ph/GEPSNONPILOT/Tender/SplashBidNoticeAbstractUI.aspx?menuIndex=3&amp;refID=7148288&amp;Result=3","7148288")</f>
        <v>0</v>
      </c>
      <c r="B4463" t="s">
        <v>1674</v>
      </c>
      <c r="C4463" t="s">
        <v>7981</v>
      </c>
      <c r="D4463" t="s">
        <v>17963</v>
      </c>
      <c r="E4463" t="s">
        <v>22068</v>
      </c>
      <c r="F4463" t="s">
        <v>30900</v>
      </c>
      <c r="G4463" t="s">
        <v>30907</v>
      </c>
      <c r="H4463" t="s">
        <v>30916</v>
      </c>
      <c r="I4463" t="s">
        <v>6746</v>
      </c>
      <c r="J4463" t="s">
        <v>31204</v>
      </c>
      <c r="K4463" t="s">
        <v>40284</v>
      </c>
      <c r="M4463" t="s">
        <v>42332</v>
      </c>
      <c r="N4463" t="s">
        <v>44759</v>
      </c>
      <c r="O4463" t="s">
        <v>44760</v>
      </c>
      <c r="P4463">
        <v>0</v>
      </c>
      <c r="Q4463">
        <v>0</v>
      </c>
      <c r="R4463" t="s">
        <v>44763</v>
      </c>
      <c r="S4463" t="s">
        <v>44876</v>
      </c>
      <c r="T4463" t="s">
        <v>46425</v>
      </c>
      <c r="U4463" t="s">
        <v>50681</v>
      </c>
      <c r="W4463" t="s">
        <v>42332</v>
      </c>
      <c r="X4463" t="s">
        <v>44766</v>
      </c>
    </row>
    <row r="4464" spans="1:24">
      <c r="A4464">
        <f>HYPERLINK("https://www.philgeps.gov.ph/GEPSNONPILOT/Tender/SplashBidNoticeAbstractUI.aspx?menuIndex=3&amp;refID=7148376&amp;Result=3","7148376")</f>
        <v>0</v>
      </c>
      <c r="B4464" t="s">
        <v>1666</v>
      </c>
      <c r="C4464" t="s">
        <v>7982</v>
      </c>
      <c r="D4464" t="s">
        <v>18010</v>
      </c>
      <c r="E4464" t="s">
        <v>22069</v>
      </c>
      <c r="F4464" t="s">
        <v>30900</v>
      </c>
      <c r="G4464" t="s">
        <v>30908</v>
      </c>
      <c r="H4464" t="s">
        <v>30916</v>
      </c>
      <c r="I4464" t="s">
        <v>30927</v>
      </c>
      <c r="J4464" t="s">
        <v>34070</v>
      </c>
      <c r="K4464" t="s">
        <v>40286</v>
      </c>
      <c r="M4464" t="s">
        <v>42323</v>
      </c>
      <c r="N4464" t="s">
        <v>44759</v>
      </c>
      <c r="O4464" t="s">
        <v>44760</v>
      </c>
      <c r="P4464">
        <v>0</v>
      </c>
      <c r="Q4464">
        <v>1</v>
      </c>
      <c r="R4464" t="s">
        <v>44763</v>
      </c>
      <c r="S4464" t="s">
        <v>44876</v>
      </c>
      <c r="T4464" t="s">
        <v>46623</v>
      </c>
      <c r="U4464" t="s">
        <v>50682</v>
      </c>
      <c r="W4464" t="s">
        <v>42323</v>
      </c>
      <c r="X4464" t="s">
        <v>44766</v>
      </c>
    </row>
    <row r="4465" spans="1:24">
      <c r="A4465">
        <f>HYPERLINK("https://www.philgeps.gov.ph/GEPSNONPILOT/Tender/SplashBidNoticeAbstractUI.aspx?menuIndex=3&amp;refID=7148528&amp;Result=3","7148528")</f>
        <v>0</v>
      </c>
      <c r="B4465" t="s">
        <v>1675</v>
      </c>
      <c r="C4465" t="s">
        <v>7983</v>
      </c>
      <c r="D4465" t="s">
        <v>17959</v>
      </c>
      <c r="E4465" t="s">
        <v>22070</v>
      </c>
      <c r="F4465" t="s">
        <v>30900</v>
      </c>
      <c r="G4465" t="s">
        <v>30907</v>
      </c>
      <c r="H4465" t="s">
        <v>30916</v>
      </c>
      <c r="I4465" t="s">
        <v>4108</v>
      </c>
      <c r="J4465" t="s">
        <v>31096</v>
      </c>
      <c r="K4465" t="s">
        <v>40284</v>
      </c>
      <c r="M4465" t="s">
        <v>42333</v>
      </c>
      <c r="N4465" t="s">
        <v>44759</v>
      </c>
      <c r="O4465" t="s">
        <v>44760</v>
      </c>
      <c r="P4465">
        <v>0</v>
      </c>
      <c r="Q4465">
        <v>0</v>
      </c>
      <c r="R4465" t="s">
        <v>44763</v>
      </c>
      <c r="S4465" t="s">
        <v>44876</v>
      </c>
      <c r="T4465" t="s">
        <v>46677</v>
      </c>
      <c r="U4465" t="s">
        <v>50683</v>
      </c>
      <c r="W4465" t="s">
        <v>42333</v>
      </c>
      <c r="X4465" t="s">
        <v>44766</v>
      </c>
    </row>
    <row r="4466" spans="1:24">
      <c r="A4466">
        <f>HYPERLINK("https://www.philgeps.gov.ph/GEPSNONPILOT/Tender/SplashBidNoticeAbstractUI.aspx?menuIndex=3&amp;refID=7148510&amp;Result=3","7148510")</f>
        <v>0</v>
      </c>
      <c r="B4466" t="s">
        <v>1675</v>
      </c>
      <c r="C4466" t="s">
        <v>7984</v>
      </c>
      <c r="D4466" t="s">
        <v>17959</v>
      </c>
      <c r="E4466" t="s">
        <v>22071</v>
      </c>
      <c r="F4466" t="s">
        <v>30900</v>
      </c>
      <c r="G4466" t="s">
        <v>30907</v>
      </c>
      <c r="H4466" t="s">
        <v>30916</v>
      </c>
      <c r="I4466" t="s">
        <v>4108</v>
      </c>
      <c r="J4466" t="s">
        <v>32153</v>
      </c>
      <c r="K4466" t="s">
        <v>40284</v>
      </c>
      <c r="M4466" t="s">
        <v>42333</v>
      </c>
      <c r="N4466" t="s">
        <v>44759</v>
      </c>
      <c r="O4466" t="s">
        <v>44760</v>
      </c>
      <c r="P4466">
        <v>0</v>
      </c>
      <c r="Q4466">
        <v>0</v>
      </c>
      <c r="R4466" t="s">
        <v>44763</v>
      </c>
      <c r="S4466" t="s">
        <v>44876</v>
      </c>
      <c r="T4466" t="s">
        <v>46678</v>
      </c>
      <c r="U4466" t="s">
        <v>50684</v>
      </c>
      <c r="W4466" t="s">
        <v>42333</v>
      </c>
      <c r="X4466" t="s">
        <v>44766</v>
      </c>
    </row>
    <row r="4467" spans="1:24">
      <c r="A4467">
        <f>HYPERLINK("https://www.philgeps.gov.ph/GEPSNONPILOT/Tender/SplashBidNoticeAbstractUI.aspx?menuIndex=3&amp;refID=7148504&amp;Result=3","7148504")</f>
        <v>0</v>
      </c>
      <c r="B4467" t="s">
        <v>1675</v>
      </c>
      <c r="C4467" t="s">
        <v>7985</v>
      </c>
      <c r="D4467" t="s">
        <v>17959</v>
      </c>
      <c r="E4467" t="s">
        <v>22072</v>
      </c>
      <c r="F4467" t="s">
        <v>30900</v>
      </c>
      <c r="G4467" t="s">
        <v>30907</v>
      </c>
      <c r="H4467" t="s">
        <v>30916</v>
      </c>
      <c r="I4467" t="s">
        <v>4108</v>
      </c>
      <c r="J4467" t="s">
        <v>31101</v>
      </c>
      <c r="K4467" t="s">
        <v>40284</v>
      </c>
      <c r="M4467" t="s">
        <v>42333</v>
      </c>
      <c r="N4467" t="s">
        <v>44759</v>
      </c>
      <c r="O4467" t="s">
        <v>44760</v>
      </c>
      <c r="P4467">
        <v>0</v>
      </c>
      <c r="Q4467">
        <v>2</v>
      </c>
      <c r="R4467" t="s">
        <v>44763</v>
      </c>
      <c r="S4467" t="s">
        <v>44876</v>
      </c>
      <c r="T4467" t="s">
        <v>46679</v>
      </c>
      <c r="U4467" t="s">
        <v>50685</v>
      </c>
      <c r="W4467" t="s">
        <v>42333</v>
      </c>
      <c r="X4467" t="s">
        <v>44766</v>
      </c>
    </row>
    <row r="4468" spans="1:24">
      <c r="A4468">
        <f>HYPERLINK("https://www.philgeps.gov.ph/GEPSNONPILOT/Tender/SplashBidNoticeAbstractUI.aspx?menuIndex=3&amp;refID=7148501&amp;Result=3","7148501")</f>
        <v>0</v>
      </c>
      <c r="B4468" t="s">
        <v>1676</v>
      </c>
      <c r="C4468" t="s">
        <v>7986</v>
      </c>
      <c r="D4468" t="s">
        <v>17959</v>
      </c>
      <c r="E4468" t="s">
        <v>22073</v>
      </c>
      <c r="F4468" t="s">
        <v>30900</v>
      </c>
      <c r="G4468" t="s">
        <v>30907</v>
      </c>
      <c r="H4468" t="s">
        <v>30916</v>
      </c>
      <c r="I4468" t="s">
        <v>4108</v>
      </c>
      <c r="J4468" t="s">
        <v>34071</v>
      </c>
      <c r="K4468" t="s">
        <v>40284</v>
      </c>
      <c r="M4468" t="s">
        <v>42334</v>
      </c>
      <c r="N4468" t="s">
        <v>44759</v>
      </c>
      <c r="O4468" t="s">
        <v>44760</v>
      </c>
      <c r="P4468">
        <v>0</v>
      </c>
      <c r="Q4468">
        <v>0</v>
      </c>
      <c r="R4468" t="s">
        <v>44763</v>
      </c>
      <c r="S4468" t="s">
        <v>44876</v>
      </c>
      <c r="T4468" t="s">
        <v>46356</v>
      </c>
      <c r="U4468" t="s">
        <v>50686</v>
      </c>
      <c r="W4468" t="s">
        <v>42334</v>
      </c>
      <c r="X4468" t="s">
        <v>44766</v>
      </c>
    </row>
    <row r="4469" spans="1:24">
      <c r="A4469">
        <f>HYPERLINK("https://www.philgeps.gov.ph/GEPSNONPILOT/Tender/SplashBidNoticeAbstractUI.aspx?menuIndex=3&amp;refID=7148498&amp;Result=3","7148498")</f>
        <v>0</v>
      </c>
      <c r="B4469" t="s">
        <v>1677</v>
      </c>
      <c r="C4469" t="s">
        <v>7987</v>
      </c>
      <c r="D4469" t="s">
        <v>17952</v>
      </c>
      <c r="E4469" t="s">
        <v>18149</v>
      </c>
      <c r="F4469" t="s">
        <v>30900</v>
      </c>
      <c r="G4469" t="s">
        <v>30907</v>
      </c>
      <c r="H4469" t="s">
        <v>30915</v>
      </c>
      <c r="I4469" t="s">
        <v>8123</v>
      </c>
      <c r="J4469" t="s">
        <v>34072</v>
      </c>
      <c r="K4469" t="s">
        <v>40286</v>
      </c>
      <c r="M4469" t="s">
        <v>42335</v>
      </c>
      <c r="N4469" t="s">
        <v>44759</v>
      </c>
      <c r="O4469" t="s">
        <v>44760</v>
      </c>
      <c r="P4469">
        <v>0</v>
      </c>
      <c r="Q4469">
        <v>0</v>
      </c>
      <c r="R4469" t="s">
        <v>44763</v>
      </c>
      <c r="S4469" t="s">
        <v>44876</v>
      </c>
      <c r="T4469" t="s">
        <v>46399</v>
      </c>
      <c r="U4469" t="s">
        <v>50687</v>
      </c>
      <c r="W4469" t="s">
        <v>42335</v>
      </c>
      <c r="X4469" t="s">
        <v>44766</v>
      </c>
    </row>
    <row r="4470" spans="1:24">
      <c r="A4470">
        <f>HYPERLINK("https://www.philgeps.gov.ph/GEPSNONPILOT/Tender/SplashBidNoticeAbstractUI.aspx?menuIndex=3&amp;refID=7148496&amp;Result=3","7148496")</f>
        <v>0</v>
      </c>
      <c r="B4470" t="s">
        <v>1678</v>
      </c>
      <c r="C4470" t="s">
        <v>7988</v>
      </c>
      <c r="D4470" t="s">
        <v>17953</v>
      </c>
      <c r="E4470" t="s">
        <v>22074</v>
      </c>
      <c r="F4470" t="s">
        <v>30900</v>
      </c>
      <c r="G4470" t="s">
        <v>30909</v>
      </c>
      <c r="H4470" t="s">
        <v>30916</v>
      </c>
      <c r="I4470" t="s">
        <v>8123</v>
      </c>
      <c r="J4470" t="s">
        <v>34073</v>
      </c>
      <c r="K4470" t="s">
        <v>40281</v>
      </c>
      <c r="M4470" t="s">
        <v>42336</v>
      </c>
      <c r="N4470" t="s">
        <v>44759</v>
      </c>
      <c r="O4470" t="s">
        <v>44760</v>
      </c>
      <c r="P4470">
        <v>0</v>
      </c>
      <c r="Q4470">
        <v>1</v>
      </c>
      <c r="R4470" t="s">
        <v>44763</v>
      </c>
      <c r="S4470" t="s">
        <v>44876</v>
      </c>
      <c r="T4470" t="s">
        <v>46571</v>
      </c>
      <c r="U4470" t="s">
        <v>50688</v>
      </c>
      <c r="W4470" t="s">
        <v>42336</v>
      </c>
      <c r="X4470" t="s">
        <v>44766</v>
      </c>
    </row>
    <row r="4471" spans="1:24">
      <c r="A4471">
        <f>HYPERLINK("https://www.philgeps.gov.ph/GEPSNONPILOT/Tender/SplashBidNoticeAbstractUI.aspx?menuIndex=3&amp;refID=7148481&amp;Result=3","7148481")</f>
        <v>0</v>
      </c>
      <c r="B4471" t="s">
        <v>388</v>
      </c>
      <c r="C4471" t="s">
        <v>7989</v>
      </c>
      <c r="E4471" t="s">
        <v>22075</v>
      </c>
      <c r="F4471" t="s">
        <v>30900</v>
      </c>
      <c r="G4471" t="s">
        <v>30908</v>
      </c>
      <c r="H4471" t="s">
        <v>30916</v>
      </c>
      <c r="I4471" t="s">
        <v>4545</v>
      </c>
      <c r="J4471" t="s">
        <v>34074</v>
      </c>
      <c r="K4471" t="s">
        <v>40289</v>
      </c>
      <c r="M4471" t="s">
        <v>42337</v>
      </c>
      <c r="N4471" t="s">
        <v>44759</v>
      </c>
      <c r="O4471" t="s">
        <v>44760</v>
      </c>
      <c r="Q4471">
        <v>2</v>
      </c>
      <c r="R4471" t="s">
        <v>44763</v>
      </c>
      <c r="S4471" t="s">
        <v>44886</v>
      </c>
      <c r="T4471" t="s">
        <v>46543</v>
      </c>
      <c r="U4471" t="s">
        <v>50689</v>
      </c>
      <c r="W4471" t="s">
        <v>60839</v>
      </c>
      <c r="X4471" t="s">
        <v>44766</v>
      </c>
    </row>
    <row r="4472" spans="1:24">
      <c r="A4472">
        <f>HYPERLINK("https://www.philgeps.gov.ph/GEPSNONPILOT/Tender/SplashBidNoticeAbstractUI.aspx?menuIndex=3&amp;refID=7148469&amp;Result=3","7148469")</f>
        <v>0</v>
      </c>
      <c r="B4472" t="s">
        <v>348</v>
      </c>
      <c r="C4472" t="s">
        <v>7990</v>
      </c>
      <c r="D4472" t="s">
        <v>17957</v>
      </c>
      <c r="E4472" t="s">
        <v>22076</v>
      </c>
      <c r="F4472" t="s">
        <v>30900</v>
      </c>
      <c r="G4472" t="s">
        <v>30908</v>
      </c>
      <c r="H4472" t="s">
        <v>30917</v>
      </c>
      <c r="I4472" t="s">
        <v>8123</v>
      </c>
      <c r="J4472" t="s">
        <v>34075</v>
      </c>
      <c r="K4472" t="s">
        <v>40284</v>
      </c>
      <c r="M4472" t="s">
        <v>42325</v>
      </c>
      <c r="N4472" t="s">
        <v>44759</v>
      </c>
      <c r="O4472" t="s">
        <v>44760</v>
      </c>
      <c r="P4472">
        <v>0</v>
      </c>
      <c r="Q4472">
        <v>0</v>
      </c>
      <c r="R4472" t="s">
        <v>44763</v>
      </c>
      <c r="S4472" t="s">
        <v>44876</v>
      </c>
      <c r="T4472" t="s">
        <v>46390</v>
      </c>
      <c r="U4472" t="s">
        <v>50690</v>
      </c>
      <c r="W4472" t="s">
        <v>42325</v>
      </c>
      <c r="X4472" t="s">
        <v>44766</v>
      </c>
    </row>
    <row r="4473" spans="1:24">
      <c r="A4473">
        <f>HYPERLINK("https://www.philgeps.gov.ph/GEPSNONPILOT/Tender/SplashBidNoticeAbstractUI.aspx?menuIndex=3&amp;refID=7148468&amp;Result=3","7148468")</f>
        <v>0</v>
      </c>
      <c r="B4473" t="s">
        <v>1668</v>
      </c>
      <c r="C4473" t="s">
        <v>7991</v>
      </c>
      <c r="D4473" t="s">
        <v>17961</v>
      </c>
      <c r="E4473" t="s">
        <v>22077</v>
      </c>
      <c r="F4473" t="s">
        <v>30900</v>
      </c>
      <c r="G4473" t="s">
        <v>30907</v>
      </c>
      <c r="H4473" t="s">
        <v>30916</v>
      </c>
      <c r="I4473" t="s">
        <v>30924</v>
      </c>
      <c r="J4473" t="s">
        <v>34076</v>
      </c>
      <c r="K4473" t="s">
        <v>40287</v>
      </c>
      <c r="M4473" t="s">
        <v>42326</v>
      </c>
      <c r="N4473" t="s">
        <v>44759</v>
      </c>
      <c r="O4473" t="s">
        <v>44760</v>
      </c>
      <c r="P4473">
        <v>0</v>
      </c>
      <c r="Q4473">
        <v>7</v>
      </c>
      <c r="R4473" t="s">
        <v>44763</v>
      </c>
      <c r="S4473" t="s">
        <v>44876</v>
      </c>
      <c r="T4473" t="s">
        <v>46680</v>
      </c>
      <c r="U4473" t="s">
        <v>50691</v>
      </c>
      <c r="V4473" t="s">
        <v>59593</v>
      </c>
      <c r="W4473" t="s">
        <v>42326</v>
      </c>
      <c r="X4473" t="s">
        <v>44766</v>
      </c>
    </row>
    <row r="4474" spans="1:24">
      <c r="A4474">
        <f>HYPERLINK("https://www.philgeps.gov.ph/GEPSNONPILOT/Tender/SplashBidNoticeAbstractUI.aspx?menuIndex=3&amp;refID=7148533&amp;Result=3","7148533")</f>
        <v>0</v>
      </c>
      <c r="B4474" t="s">
        <v>1366</v>
      </c>
      <c r="C4474" t="s">
        <v>7992</v>
      </c>
      <c r="D4474" t="s">
        <v>17963</v>
      </c>
      <c r="E4474" t="s">
        <v>7992</v>
      </c>
      <c r="F4474" t="s">
        <v>30900</v>
      </c>
      <c r="G4474" t="s">
        <v>30909</v>
      </c>
      <c r="H4474" t="s">
        <v>30916</v>
      </c>
      <c r="I4474" t="s">
        <v>4142</v>
      </c>
      <c r="J4474" t="s">
        <v>34077</v>
      </c>
      <c r="K4474" t="s">
        <v>40289</v>
      </c>
      <c r="M4474" t="s">
        <v>41988</v>
      </c>
      <c r="N4474" t="s">
        <v>44759</v>
      </c>
      <c r="O4474" t="s">
        <v>44760</v>
      </c>
      <c r="P4474">
        <v>0</v>
      </c>
      <c r="Q4474">
        <v>2</v>
      </c>
      <c r="R4474" t="s">
        <v>44763</v>
      </c>
      <c r="S4474" t="s">
        <v>44876</v>
      </c>
      <c r="T4474" t="s">
        <v>46545</v>
      </c>
      <c r="U4474" t="s">
        <v>50692</v>
      </c>
      <c r="W4474" t="s">
        <v>41988</v>
      </c>
      <c r="X4474" t="s">
        <v>44766</v>
      </c>
    </row>
    <row r="4475" spans="1:24">
      <c r="A4475">
        <f>HYPERLINK("https://www.philgeps.gov.ph/GEPSNONPILOT/Tender/SplashBidNoticeAbstractUI.aspx?menuIndex=3&amp;refID=7148579&amp;Result=3","7148579")</f>
        <v>0</v>
      </c>
      <c r="B4475" t="s">
        <v>1679</v>
      </c>
      <c r="C4475" t="s">
        <v>7993</v>
      </c>
      <c r="D4475" t="s">
        <v>17953</v>
      </c>
      <c r="E4475" t="s">
        <v>22078</v>
      </c>
      <c r="F4475" t="s">
        <v>30900</v>
      </c>
      <c r="G4475" t="s">
        <v>30908</v>
      </c>
      <c r="H4475" t="s">
        <v>30916</v>
      </c>
      <c r="I4475" t="s">
        <v>10602</v>
      </c>
      <c r="J4475" t="s">
        <v>34078</v>
      </c>
      <c r="K4475" t="s">
        <v>40285</v>
      </c>
      <c r="L4475" t="s">
        <v>1679</v>
      </c>
      <c r="M4475" t="s">
        <v>42338</v>
      </c>
      <c r="N4475" t="s">
        <v>44759</v>
      </c>
      <c r="O4475" t="s">
        <v>44760</v>
      </c>
      <c r="P4475">
        <v>0</v>
      </c>
      <c r="Q4475">
        <v>0</v>
      </c>
      <c r="R4475" t="s">
        <v>44763</v>
      </c>
      <c r="S4475" t="s">
        <v>44876</v>
      </c>
      <c r="T4475" t="s">
        <v>46399</v>
      </c>
      <c r="U4475" t="s">
        <v>50693</v>
      </c>
      <c r="V4475" t="s">
        <v>59595</v>
      </c>
      <c r="W4475" t="s">
        <v>42338</v>
      </c>
      <c r="X4475" t="s">
        <v>44766</v>
      </c>
    </row>
    <row r="4476" spans="1:24">
      <c r="A4476">
        <f>HYPERLINK("https://www.philgeps.gov.ph/GEPSNONPILOT/Tender/SplashBidNoticeAbstractUI.aspx?menuIndex=3&amp;refID=7148438&amp;Result=3","7148438")</f>
        <v>0</v>
      </c>
      <c r="B4476" t="s">
        <v>1680</v>
      </c>
      <c r="C4476" t="s">
        <v>4492</v>
      </c>
      <c r="D4476" t="s">
        <v>18025</v>
      </c>
      <c r="E4476" t="s">
        <v>22039</v>
      </c>
      <c r="F4476" t="s">
        <v>30900</v>
      </c>
      <c r="G4476" t="s">
        <v>30909</v>
      </c>
      <c r="H4476" t="s">
        <v>30916</v>
      </c>
      <c r="I4476" t="s">
        <v>5830</v>
      </c>
      <c r="J4476" t="s">
        <v>31067</v>
      </c>
      <c r="K4476" t="s">
        <v>40284</v>
      </c>
      <c r="M4476" t="s">
        <v>42339</v>
      </c>
      <c r="N4476" t="s">
        <v>44759</v>
      </c>
      <c r="O4476" t="s">
        <v>44760</v>
      </c>
      <c r="P4476">
        <v>0</v>
      </c>
      <c r="Q4476">
        <v>2</v>
      </c>
      <c r="R4476" t="s">
        <v>44763</v>
      </c>
      <c r="S4476" t="s">
        <v>44876</v>
      </c>
      <c r="T4476" t="s">
        <v>46398</v>
      </c>
      <c r="U4476" t="s">
        <v>50694</v>
      </c>
      <c r="V4476" t="s">
        <v>59423</v>
      </c>
      <c r="W4476" t="s">
        <v>42339</v>
      </c>
      <c r="X4476" t="s">
        <v>44766</v>
      </c>
    </row>
    <row r="4477" spans="1:24">
      <c r="A4477">
        <f>HYPERLINK("https://www.philgeps.gov.ph/GEPSNONPILOT/Tender/SplashBidNoticeAbstractUI.aspx?menuIndex=3&amp;refID=7148736&amp;Result=3","7148736")</f>
        <v>0</v>
      </c>
      <c r="B4477" t="s">
        <v>1681</v>
      </c>
      <c r="C4477" t="s">
        <v>7994</v>
      </c>
      <c r="D4477" t="s">
        <v>18002</v>
      </c>
      <c r="E4477" t="s">
        <v>22079</v>
      </c>
      <c r="F4477" t="s">
        <v>30900</v>
      </c>
      <c r="G4477" t="s">
        <v>30909</v>
      </c>
      <c r="H4477" t="s">
        <v>30916</v>
      </c>
      <c r="I4477" t="s">
        <v>30947</v>
      </c>
      <c r="J4477" t="s">
        <v>31583</v>
      </c>
      <c r="K4477" t="s">
        <v>40281</v>
      </c>
      <c r="M4477" t="s">
        <v>42340</v>
      </c>
      <c r="N4477" t="s">
        <v>44759</v>
      </c>
      <c r="O4477" t="s">
        <v>44760</v>
      </c>
      <c r="P4477">
        <v>0</v>
      </c>
      <c r="Q4477">
        <v>2</v>
      </c>
      <c r="R4477" t="s">
        <v>44763</v>
      </c>
      <c r="S4477" t="s">
        <v>44876</v>
      </c>
      <c r="T4477" t="s">
        <v>46581</v>
      </c>
      <c r="U4477" t="s">
        <v>50695</v>
      </c>
      <c r="W4477" t="s">
        <v>42340</v>
      </c>
      <c r="X4477" t="s">
        <v>44765</v>
      </c>
    </row>
    <row r="4478" spans="1:24">
      <c r="A4478">
        <f>HYPERLINK("https://www.philgeps.gov.ph/GEPSNONPILOT/Tender/SplashBidNoticeAbstractUI.aspx?menuIndex=3&amp;refID=7148204&amp;Result=3","7148204")</f>
        <v>0</v>
      </c>
      <c r="B4478" t="s">
        <v>661</v>
      </c>
      <c r="C4478" t="s">
        <v>4013</v>
      </c>
      <c r="D4478" t="s">
        <v>17980</v>
      </c>
      <c r="E4478" t="s">
        <v>22080</v>
      </c>
      <c r="F4478" t="s">
        <v>30900</v>
      </c>
      <c r="G4478" t="s">
        <v>30908</v>
      </c>
      <c r="H4478" t="s">
        <v>30916</v>
      </c>
      <c r="I4478" t="s">
        <v>4142</v>
      </c>
      <c r="J4478" t="s">
        <v>31043</v>
      </c>
      <c r="K4478" t="s">
        <v>40281</v>
      </c>
      <c r="M4478" t="s">
        <v>41224</v>
      </c>
      <c r="N4478" t="s">
        <v>44759</v>
      </c>
      <c r="O4478" t="s">
        <v>44760</v>
      </c>
      <c r="P4478">
        <v>0</v>
      </c>
      <c r="Q4478">
        <v>0</v>
      </c>
      <c r="R4478" t="s">
        <v>44763</v>
      </c>
      <c r="S4478" t="s">
        <v>44876</v>
      </c>
      <c r="T4478" t="s">
        <v>46533</v>
      </c>
      <c r="U4478" t="s">
        <v>48111</v>
      </c>
      <c r="W4478" t="s">
        <v>41224</v>
      </c>
      <c r="X4478" t="s">
        <v>44766</v>
      </c>
    </row>
    <row r="4479" spans="1:24">
      <c r="A4479">
        <f>HYPERLINK("https://www.philgeps.gov.ph/GEPSNONPILOT/Tender/SplashBidNoticeAbstractUI.aspx?menuIndex=3&amp;refID=7148744&amp;Result=3","7148744")</f>
        <v>0</v>
      </c>
      <c r="B4479" t="s">
        <v>1682</v>
      </c>
      <c r="C4479" t="s">
        <v>7995</v>
      </c>
      <c r="D4479" t="s">
        <v>17959</v>
      </c>
      <c r="E4479" t="s">
        <v>18069</v>
      </c>
      <c r="F4479" t="s">
        <v>30900</v>
      </c>
      <c r="G4479" t="s">
        <v>30909</v>
      </c>
      <c r="H4479" t="s">
        <v>30916</v>
      </c>
      <c r="I4479" t="s">
        <v>6396</v>
      </c>
      <c r="J4479" t="s">
        <v>31855</v>
      </c>
      <c r="K4479" t="s">
        <v>40288</v>
      </c>
      <c r="M4479" t="s">
        <v>42341</v>
      </c>
      <c r="N4479" t="s">
        <v>44759</v>
      </c>
      <c r="O4479" t="s">
        <v>44760</v>
      </c>
      <c r="P4479">
        <v>0</v>
      </c>
      <c r="Q4479">
        <v>6</v>
      </c>
      <c r="R4479" t="s">
        <v>44763</v>
      </c>
      <c r="S4479" t="s">
        <v>44876</v>
      </c>
      <c r="T4479" t="s">
        <v>46591</v>
      </c>
      <c r="U4479" t="s">
        <v>50696</v>
      </c>
      <c r="W4479" t="s">
        <v>42341</v>
      </c>
      <c r="X4479" t="s">
        <v>44765</v>
      </c>
    </row>
    <row r="4480" spans="1:24">
      <c r="A4480">
        <f>HYPERLINK("https://www.philgeps.gov.ph/GEPSNONPILOT/Tender/SplashBidNoticeAbstractUI.aspx?menuIndex=3&amp;refID=7148721&amp;Result=3","7148721")</f>
        <v>0</v>
      </c>
      <c r="B4480" t="s">
        <v>1683</v>
      </c>
      <c r="C4480" t="s">
        <v>7996</v>
      </c>
      <c r="D4480" t="s">
        <v>18025</v>
      </c>
      <c r="E4480" t="s">
        <v>21193</v>
      </c>
      <c r="F4480" t="s">
        <v>30900</v>
      </c>
      <c r="G4480" t="s">
        <v>30909</v>
      </c>
      <c r="H4480" t="s">
        <v>30916</v>
      </c>
      <c r="I4480" t="s">
        <v>4142</v>
      </c>
      <c r="J4480" t="s">
        <v>31585</v>
      </c>
      <c r="K4480" t="s">
        <v>40288</v>
      </c>
      <c r="M4480" t="s">
        <v>42342</v>
      </c>
      <c r="N4480" t="s">
        <v>44759</v>
      </c>
      <c r="O4480" t="s">
        <v>44760</v>
      </c>
      <c r="P4480">
        <v>0</v>
      </c>
      <c r="Q4480">
        <v>1</v>
      </c>
      <c r="R4480" t="s">
        <v>44763</v>
      </c>
      <c r="S4480" t="s">
        <v>44876</v>
      </c>
      <c r="T4480" t="s">
        <v>46623</v>
      </c>
      <c r="U4480" t="s">
        <v>50697</v>
      </c>
      <c r="W4480" t="s">
        <v>42342</v>
      </c>
      <c r="X4480" t="s">
        <v>44765</v>
      </c>
    </row>
    <row r="4481" spans="1:24">
      <c r="A4481">
        <f>HYPERLINK("https://www.philgeps.gov.ph/GEPSNONPILOT/Tender/SplashBidNoticeAbstractUI.aspx?menuIndex=3&amp;refID=7148463&amp;Result=3","7148463")</f>
        <v>0</v>
      </c>
      <c r="B4481" t="s">
        <v>1684</v>
      </c>
      <c r="C4481" t="s">
        <v>7997</v>
      </c>
      <c r="D4481" t="s">
        <v>18033</v>
      </c>
      <c r="E4481" t="s">
        <v>22081</v>
      </c>
      <c r="F4481" t="s">
        <v>30900</v>
      </c>
      <c r="G4481" t="s">
        <v>30909</v>
      </c>
      <c r="H4481" t="s">
        <v>30916</v>
      </c>
      <c r="I4481" t="s">
        <v>4545</v>
      </c>
      <c r="J4481" t="s">
        <v>34079</v>
      </c>
      <c r="K4481" t="s">
        <v>40289</v>
      </c>
      <c r="M4481" t="s">
        <v>42343</v>
      </c>
      <c r="N4481" t="s">
        <v>44759</v>
      </c>
      <c r="O4481" t="s">
        <v>44760</v>
      </c>
      <c r="P4481">
        <v>0</v>
      </c>
      <c r="Q4481">
        <v>3</v>
      </c>
      <c r="R4481" t="s">
        <v>44763</v>
      </c>
      <c r="S4481" t="s">
        <v>44876</v>
      </c>
      <c r="T4481" t="s">
        <v>46376</v>
      </c>
      <c r="U4481" t="s">
        <v>50698</v>
      </c>
      <c r="V4481" t="s">
        <v>59596</v>
      </c>
      <c r="W4481" t="s">
        <v>42343</v>
      </c>
      <c r="X4481" t="s">
        <v>44766</v>
      </c>
    </row>
    <row r="4482" spans="1:24">
      <c r="A4482">
        <f>HYPERLINK("https://www.philgeps.gov.ph/GEPSNONPILOT/Tender/SplashBidNoticeAbstractUI.aspx?menuIndex=3&amp;refID=7148670&amp;Result=3","7148670")</f>
        <v>0</v>
      </c>
      <c r="B4482" t="s">
        <v>1685</v>
      </c>
      <c r="C4482" t="s">
        <v>7998</v>
      </c>
      <c r="D4482" t="s">
        <v>17999</v>
      </c>
      <c r="E4482" t="s">
        <v>22082</v>
      </c>
      <c r="F4482" t="s">
        <v>30900</v>
      </c>
      <c r="G4482" t="s">
        <v>30907</v>
      </c>
      <c r="H4482" t="s">
        <v>30916</v>
      </c>
      <c r="I4482" t="s">
        <v>4545</v>
      </c>
      <c r="J4482" t="s">
        <v>34080</v>
      </c>
      <c r="K4482" t="s">
        <v>40288</v>
      </c>
      <c r="M4482" t="s">
        <v>42344</v>
      </c>
      <c r="N4482" t="s">
        <v>44759</v>
      </c>
      <c r="O4482" t="s">
        <v>44760</v>
      </c>
      <c r="P4482">
        <v>0</v>
      </c>
      <c r="Q4482">
        <v>1</v>
      </c>
      <c r="R4482" t="s">
        <v>44763</v>
      </c>
      <c r="S4482" t="s">
        <v>44876</v>
      </c>
      <c r="T4482" t="s">
        <v>46390</v>
      </c>
      <c r="U4482" t="s">
        <v>50699</v>
      </c>
      <c r="W4482" t="s">
        <v>42344</v>
      </c>
      <c r="X4482" t="s">
        <v>44765</v>
      </c>
    </row>
    <row r="4483" spans="1:24">
      <c r="A4483">
        <f>HYPERLINK("https://www.philgeps.gov.ph/GEPSNONPILOT/Tender/SplashBidNoticeAbstractUI.aspx?menuIndex=3&amp;refID=7148536&amp;Result=3","7148536")</f>
        <v>0</v>
      </c>
      <c r="B4483" t="s">
        <v>1675</v>
      </c>
      <c r="C4483" t="s">
        <v>7999</v>
      </c>
      <c r="D4483" t="s">
        <v>17959</v>
      </c>
      <c r="E4483" t="s">
        <v>22083</v>
      </c>
      <c r="F4483" t="s">
        <v>30900</v>
      </c>
      <c r="G4483" t="s">
        <v>30907</v>
      </c>
      <c r="H4483" t="s">
        <v>30916</v>
      </c>
      <c r="I4483" t="s">
        <v>4108</v>
      </c>
      <c r="J4483" t="s">
        <v>34081</v>
      </c>
      <c r="K4483" t="s">
        <v>40284</v>
      </c>
      <c r="M4483" t="s">
        <v>42333</v>
      </c>
      <c r="N4483" t="s">
        <v>44759</v>
      </c>
      <c r="O4483" t="s">
        <v>44760</v>
      </c>
      <c r="P4483">
        <v>0</v>
      </c>
      <c r="Q4483">
        <v>1</v>
      </c>
      <c r="R4483" t="s">
        <v>44763</v>
      </c>
      <c r="S4483" t="s">
        <v>44876</v>
      </c>
      <c r="T4483" t="s">
        <v>46681</v>
      </c>
      <c r="U4483" t="s">
        <v>50700</v>
      </c>
      <c r="W4483" t="s">
        <v>42333</v>
      </c>
      <c r="X4483" t="s">
        <v>44766</v>
      </c>
    </row>
    <row r="4484" spans="1:24">
      <c r="A4484">
        <f>HYPERLINK("https://www.philgeps.gov.ph/GEPSNONPILOT/Tender/SplashBidNoticeAbstractUI.aspx?menuIndex=3&amp;refID=7148638&amp;Result=3","7148638")</f>
        <v>0</v>
      </c>
      <c r="B4484" t="s">
        <v>1686</v>
      </c>
      <c r="C4484" t="s">
        <v>8000</v>
      </c>
      <c r="D4484" t="s">
        <v>17975</v>
      </c>
      <c r="E4484" t="s">
        <v>22084</v>
      </c>
      <c r="F4484" t="s">
        <v>30900</v>
      </c>
      <c r="G4484" t="s">
        <v>30907</v>
      </c>
      <c r="H4484" t="s">
        <v>30915</v>
      </c>
      <c r="I4484" t="s">
        <v>30919</v>
      </c>
      <c r="J4484" t="s">
        <v>32523</v>
      </c>
      <c r="K4484" t="s">
        <v>40378</v>
      </c>
      <c r="M4484" t="s">
        <v>42345</v>
      </c>
      <c r="N4484" t="s">
        <v>44759</v>
      </c>
      <c r="O4484" t="s">
        <v>44760</v>
      </c>
      <c r="P4484">
        <v>0</v>
      </c>
      <c r="Q4484">
        <v>0</v>
      </c>
      <c r="R4484" t="s">
        <v>44763</v>
      </c>
      <c r="S4484" t="s">
        <v>44876</v>
      </c>
      <c r="T4484" t="s">
        <v>46380</v>
      </c>
      <c r="U4484" t="s">
        <v>50701</v>
      </c>
      <c r="W4484" t="s">
        <v>42345</v>
      </c>
      <c r="X4484" t="s">
        <v>44765</v>
      </c>
    </row>
    <row r="4485" spans="1:24">
      <c r="A4485">
        <f>HYPERLINK("https://www.philgeps.gov.ph/GEPSNONPILOT/Tender/SplashBidNoticeAbstractUI.aspx?menuIndex=3&amp;refID=7148211&amp;Result=3","7148211")</f>
        <v>0</v>
      </c>
      <c r="B4485" t="s">
        <v>1654</v>
      </c>
      <c r="C4485" t="s">
        <v>8001</v>
      </c>
      <c r="D4485" t="s">
        <v>17966</v>
      </c>
      <c r="E4485" t="s">
        <v>22085</v>
      </c>
      <c r="F4485" t="s">
        <v>30900</v>
      </c>
      <c r="G4485" t="s">
        <v>30906</v>
      </c>
      <c r="H4485" t="s">
        <v>30916</v>
      </c>
      <c r="I4485" t="s">
        <v>30922</v>
      </c>
      <c r="J4485" t="s">
        <v>33133</v>
      </c>
      <c r="K4485" t="s">
        <v>40289</v>
      </c>
      <c r="M4485" t="s">
        <v>42310</v>
      </c>
      <c r="N4485" t="s">
        <v>44759</v>
      </c>
      <c r="O4485" t="s">
        <v>44760</v>
      </c>
      <c r="P4485">
        <v>0</v>
      </c>
      <c r="Q4485">
        <v>1</v>
      </c>
      <c r="R4485" t="s">
        <v>44763</v>
      </c>
      <c r="S4485" t="s">
        <v>44876</v>
      </c>
      <c r="T4485" t="s">
        <v>46357</v>
      </c>
      <c r="U4485" t="s">
        <v>50702</v>
      </c>
      <c r="W4485" t="s">
        <v>42310</v>
      </c>
      <c r="X4485" t="s">
        <v>44766</v>
      </c>
    </row>
    <row r="4486" spans="1:24">
      <c r="A4486">
        <f>HYPERLINK("https://www.philgeps.gov.ph/GEPSNONPILOT/Tender/SplashBidNoticeAbstractUI.aspx?menuIndex=3&amp;refID=7148645&amp;Result=3","7148645")</f>
        <v>0</v>
      </c>
      <c r="B4486" t="s">
        <v>1686</v>
      </c>
      <c r="C4486" t="s">
        <v>8002</v>
      </c>
      <c r="D4486" t="s">
        <v>17975</v>
      </c>
      <c r="E4486" t="s">
        <v>22086</v>
      </c>
      <c r="F4486" t="s">
        <v>30900</v>
      </c>
      <c r="G4486" t="s">
        <v>30909</v>
      </c>
      <c r="H4486" t="s">
        <v>30916</v>
      </c>
      <c r="I4486" t="s">
        <v>30985</v>
      </c>
      <c r="J4486" t="s">
        <v>32049</v>
      </c>
      <c r="K4486" t="s">
        <v>40287</v>
      </c>
      <c r="M4486" t="s">
        <v>42346</v>
      </c>
      <c r="N4486" t="s">
        <v>44759</v>
      </c>
      <c r="O4486" t="s">
        <v>44760</v>
      </c>
      <c r="P4486">
        <v>0</v>
      </c>
      <c r="Q4486">
        <v>4</v>
      </c>
      <c r="R4486" t="s">
        <v>44763</v>
      </c>
      <c r="S4486" t="s">
        <v>44876</v>
      </c>
      <c r="T4486" t="s">
        <v>46425</v>
      </c>
      <c r="U4486" t="s">
        <v>50703</v>
      </c>
      <c r="W4486" t="s">
        <v>42346</v>
      </c>
      <c r="X4486" t="s">
        <v>44765</v>
      </c>
    </row>
    <row r="4487" spans="1:24">
      <c r="A4487">
        <f>HYPERLINK("https://www.philgeps.gov.ph/GEPSNONPILOT/Tender/SplashBidNoticeAbstractUI.aspx?menuIndex=3&amp;refID=7148637&amp;Result=3","7148637")</f>
        <v>0</v>
      </c>
      <c r="B4487" t="s">
        <v>1686</v>
      </c>
      <c r="C4487" t="s">
        <v>8003</v>
      </c>
      <c r="D4487" t="s">
        <v>17975</v>
      </c>
      <c r="E4487" t="s">
        <v>22087</v>
      </c>
      <c r="F4487" t="s">
        <v>30900</v>
      </c>
      <c r="G4487" t="s">
        <v>30907</v>
      </c>
      <c r="H4487" t="s">
        <v>30915</v>
      </c>
      <c r="I4487" t="s">
        <v>30919</v>
      </c>
      <c r="J4487" t="s">
        <v>32558</v>
      </c>
      <c r="K4487" t="s">
        <v>40322</v>
      </c>
      <c r="M4487" t="s">
        <v>42345</v>
      </c>
      <c r="N4487" t="s">
        <v>44759</v>
      </c>
      <c r="O4487" t="s">
        <v>44760</v>
      </c>
      <c r="P4487">
        <v>0</v>
      </c>
      <c r="Q4487">
        <v>0</v>
      </c>
      <c r="R4487" t="s">
        <v>44763</v>
      </c>
      <c r="S4487" t="s">
        <v>44876</v>
      </c>
      <c r="T4487" t="s">
        <v>46380</v>
      </c>
      <c r="U4487" t="s">
        <v>50701</v>
      </c>
      <c r="W4487" t="s">
        <v>42345</v>
      </c>
      <c r="X4487" t="s">
        <v>44765</v>
      </c>
    </row>
    <row r="4488" spans="1:24">
      <c r="A4488">
        <f>HYPERLINK("https://www.philgeps.gov.ph/GEPSNONPILOT/Tender/SplashBidNoticeAbstractUI.aspx?menuIndex=3&amp;refID=7148618&amp;Result=3","7148618")</f>
        <v>0</v>
      </c>
      <c r="B4488" t="s">
        <v>1687</v>
      </c>
      <c r="C4488" t="s">
        <v>8004</v>
      </c>
      <c r="D4488" t="s">
        <v>17953</v>
      </c>
      <c r="E4488" t="s">
        <v>22088</v>
      </c>
      <c r="F4488" t="s">
        <v>30900</v>
      </c>
      <c r="G4488" t="s">
        <v>30908</v>
      </c>
      <c r="H4488" t="s">
        <v>30916</v>
      </c>
      <c r="I4488" t="s">
        <v>30923</v>
      </c>
      <c r="J4488" t="s">
        <v>34082</v>
      </c>
      <c r="K4488" t="s">
        <v>40283</v>
      </c>
      <c r="M4488" t="s">
        <v>42347</v>
      </c>
      <c r="N4488" t="s">
        <v>44759</v>
      </c>
      <c r="O4488" t="s">
        <v>44760</v>
      </c>
      <c r="P4488">
        <v>0</v>
      </c>
      <c r="Q4488">
        <v>2</v>
      </c>
      <c r="R4488" t="s">
        <v>44763</v>
      </c>
      <c r="S4488" t="s">
        <v>44876</v>
      </c>
      <c r="T4488" t="s">
        <v>46374</v>
      </c>
      <c r="U4488" t="s">
        <v>50704</v>
      </c>
      <c r="V4488" t="s">
        <v>59597</v>
      </c>
      <c r="W4488" t="s">
        <v>42347</v>
      </c>
      <c r="X4488" t="s">
        <v>44765</v>
      </c>
    </row>
    <row r="4489" spans="1:24">
      <c r="A4489">
        <f>HYPERLINK("https://www.philgeps.gov.ph/GEPSNONPILOT/Tender/SplashBidNoticeAbstractUI.aspx?menuIndex=3&amp;refID=7148698&amp;Result=3","7148698")</f>
        <v>0</v>
      </c>
      <c r="B4489" t="s">
        <v>1685</v>
      </c>
      <c r="C4489" t="s">
        <v>8005</v>
      </c>
      <c r="D4489" t="s">
        <v>17999</v>
      </c>
      <c r="E4489" t="s">
        <v>22089</v>
      </c>
      <c r="F4489" t="s">
        <v>30900</v>
      </c>
      <c r="G4489" t="s">
        <v>30907</v>
      </c>
      <c r="H4489" t="s">
        <v>30916</v>
      </c>
      <c r="I4489" t="s">
        <v>31012</v>
      </c>
      <c r="J4489" t="s">
        <v>31096</v>
      </c>
      <c r="K4489" t="s">
        <v>40288</v>
      </c>
      <c r="M4489" t="s">
        <v>42344</v>
      </c>
      <c r="N4489" t="s">
        <v>44759</v>
      </c>
      <c r="O4489" t="s">
        <v>44760</v>
      </c>
      <c r="P4489">
        <v>0</v>
      </c>
      <c r="Q4489">
        <v>3</v>
      </c>
      <c r="R4489" t="s">
        <v>44763</v>
      </c>
      <c r="S4489" t="s">
        <v>44876</v>
      </c>
      <c r="T4489" t="s">
        <v>46390</v>
      </c>
      <c r="U4489" t="s">
        <v>50705</v>
      </c>
      <c r="W4489" t="s">
        <v>42344</v>
      </c>
      <c r="X4489" t="s">
        <v>44765</v>
      </c>
    </row>
    <row r="4490" spans="1:24">
      <c r="A4490">
        <f>HYPERLINK("https://www.philgeps.gov.ph/GEPSNONPILOT/Tender/SplashBidNoticeAbstractUI.aspx?menuIndex=3&amp;refID=7148615&amp;Result=3","7148615")</f>
        <v>0</v>
      </c>
      <c r="B4490" t="s">
        <v>1688</v>
      </c>
      <c r="C4490" t="s">
        <v>8006</v>
      </c>
      <c r="D4490" t="s">
        <v>17978</v>
      </c>
      <c r="E4490" t="s">
        <v>22090</v>
      </c>
      <c r="F4490" t="s">
        <v>30900</v>
      </c>
      <c r="G4490" t="s">
        <v>30907</v>
      </c>
      <c r="H4490" t="s">
        <v>30916</v>
      </c>
      <c r="I4490" t="s">
        <v>8123</v>
      </c>
      <c r="J4490" t="s">
        <v>34083</v>
      </c>
      <c r="K4490" t="s">
        <v>40283</v>
      </c>
      <c r="M4490" t="s">
        <v>42348</v>
      </c>
      <c r="N4490" t="s">
        <v>44759</v>
      </c>
      <c r="O4490" t="s">
        <v>44760</v>
      </c>
      <c r="P4490">
        <v>0</v>
      </c>
      <c r="Q4490">
        <v>2</v>
      </c>
      <c r="R4490" t="s">
        <v>44763</v>
      </c>
      <c r="S4490" t="s">
        <v>44876</v>
      </c>
      <c r="T4490" t="s">
        <v>46349</v>
      </c>
      <c r="U4490" t="s">
        <v>50706</v>
      </c>
      <c r="W4490" t="s">
        <v>42348</v>
      </c>
      <c r="X4490" t="s">
        <v>44765</v>
      </c>
    </row>
    <row r="4491" spans="1:24">
      <c r="A4491">
        <f>HYPERLINK("https://www.philgeps.gov.ph/GEPSNONPILOT/Tender/SplashBidNoticeAbstractUI.aspx?menuIndex=3&amp;refID=7148648&amp;Result=3","7148648")</f>
        <v>0</v>
      </c>
      <c r="B4491" t="s">
        <v>1689</v>
      </c>
      <c r="C4491" t="s">
        <v>8007</v>
      </c>
      <c r="D4491" t="s">
        <v>17952</v>
      </c>
      <c r="E4491" t="s">
        <v>22091</v>
      </c>
      <c r="F4491" t="s">
        <v>30900</v>
      </c>
      <c r="G4491" t="s">
        <v>30909</v>
      </c>
      <c r="H4491" t="s">
        <v>30916</v>
      </c>
      <c r="I4491" t="s">
        <v>4545</v>
      </c>
      <c r="J4491" t="s">
        <v>31049</v>
      </c>
      <c r="K4491" t="s">
        <v>40289</v>
      </c>
      <c r="M4491" t="s">
        <v>42349</v>
      </c>
      <c r="N4491" t="s">
        <v>44759</v>
      </c>
      <c r="O4491" t="s">
        <v>44760</v>
      </c>
      <c r="P4491">
        <v>0</v>
      </c>
      <c r="Q4491">
        <v>1</v>
      </c>
      <c r="R4491" t="s">
        <v>44763</v>
      </c>
      <c r="S4491" t="s">
        <v>44876</v>
      </c>
      <c r="T4491" t="s">
        <v>46393</v>
      </c>
      <c r="U4491" t="s">
        <v>50707</v>
      </c>
      <c r="V4491" t="s">
        <v>59598</v>
      </c>
      <c r="W4491" t="s">
        <v>42349</v>
      </c>
      <c r="X4491" t="s">
        <v>44765</v>
      </c>
    </row>
    <row r="4492" spans="1:24">
      <c r="A4492">
        <f>HYPERLINK("https://www.philgeps.gov.ph/GEPSNONPILOT/Tender/SplashBidNoticeAbstractUI.aspx?menuIndex=3&amp;refID=7148612&amp;Result=3","7148612")</f>
        <v>0</v>
      </c>
      <c r="B4492" t="s">
        <v>1666</v>
      </c>
      <c r="C4492" t="s">
        <v>8008</v>
      </c>
      <c r="D4492" t="s">
        <v>18010</v>
      </c>
      <c r="E4492" t="s">
        <v>22092</v>
      </c>
      <c r="F4492" t="s">
        <v>30900</v>
      </c>
      <c r="G4492" t="s">
        <v>30908</v>
      </c>
      <c r="H4492" t="s">
        <v>30916</v>
      </c>
      <c r="I4492" t="s">
        <v>5830</v>
      </c>
      <c r="J4492" t="s">
        <v>33032</v>
      </c>
      <c r="K4492" t="s">
        <v>40286</v>
      </c>
      <c r="M4492" t="s">
        <v>42323</v>
      </c>
      <c r="N4492" t="s">
        <v>44759</v>
      </c>
      <c r="O4492" t="s">
        <v>44760</v>
      </c>
      <c r="P4492">
        <v>0</v>
      </c>
      <c r="Q4492">
        <v>9</v>
      </c>
      <c r="R4492" t="s">
        <v>44763</v>
      </c>
      <c r="S4492" t="s">
        <v>44876</v>
      </c>
      <c r="T4492" t="s">
        <v>46623</v>
      </c>
      <c r="U4492" t="s">
        <v>50708</v>
      </c>
      <c r="W4492" t="s">
        <v>42323</v>
      </c>
      <c r="X4492" t="s">
        <v>44765</v>
      </c>
    </row>
    <row r="4493" spans="1:24">
      <c r="A4493">
        <f>HYPERLINK("https://www.philgeps.gov.ph/GEPSNONPILOT/Tender/SplashBidNoticeAbstractUI.aspx?menuIndex=3&amp;refID=7148646&amp;Result=3","7148646")</f>
        <v>0</v>
      </c>
      <c r="B4493" t="s">
        <v>1689</v>
      </c>
      <c r="C4493" t="s">
        <v>8009</v>
      </c>
      <c r="D4493" t="s">
        <v>17952</v>
      </c>
      <c r="E4493" t="s">
        <v>22093</v>
      </c>
      <c r="F4493" t="s">
        <v>30900</v>
      </c>
      <c r="G4493" t="s">
        <v>30909</v>
      </c>
      <c r="H4493" t="s">
        <v>30916</v>
      </c>
      <c r="I4493" t="s">
        <v>4545</v>
      </c>
      <c r="J4493" t="s">
        <v>34084</v>
      </c>
      <c r="K4493" t="s">
        <v>40289</v>
      </c>
      <c r="M4493" t="s">
        <v>42349</v>
      </c>
      <c r="N4493" t="s">
        <v>44759</v>
      </c>
      <c r="O4493" t="s">
        <v>44760</v>
      </c>
      <c r="P4493">
        <v>0</v>
      </c>
      <c r="Q4493">
        <v>4</v>
      </c>
      <c r="R4493" t="s">
        <v>44763</v>
      </c>
      <c r="S4493" t="s">
        <v>44876</v>
      </c>
      <c r="T4493" t="s">
        <v>46393</v>
      </c>
      <c r="U4493" t="s">
        <v>50709</v>
      </c>
      <c r="V4493" t="s">
        <v>59598</v>
      </c>
      <c r="W4493" t="s">
        <v>42349</v>
      </c>
      <c r="X4493" t="s">
        <v>44765</v>
      </c>
    </row>
    <row r="4494" spans="1:24">
      <c r="A4494">
        <f>HYPERLINK("https://www.philgeps.gov.ph/GEPSNONPILOT/Tender/SplashBidNoticeAbstractUI.aspx?menuIndex=3&amp;refID=7148791&amp;Result=3","7148791")</f>
        <v>0</v>
      </c>
      <c r="B4494" t="s">
        <v>1690</v>
      </c>
      <c r="C4494" t="s">
        <v>8010</v>
      </c>
      <c r="D4494" t="s">
        <v>17973</v>
      </c>
      <c r="E4494" t="s">
        <v>18066</v>
      </c>
      <c r="F4494" t="s">
        <v>30900</v>
      </c>
      <c r="G4494" t="s">
        <v>30907</v>
      </c>
      <c r="H4494" t="s">
        <v>30916</v>
      </c>
      <c r="I4494" t="s">
        <v>8123</v>
      </c>
      <c r="J4494" t="s">
        <v>34085</v>
      </c>
      <c r="K4494" t="s">
        <v>40286</v>
      </c>
      <c r="M4494" t="s">
        <v>42350</v>
      </c>
      <c r="N4494" t="s">
        <v>44759</v>
      </c>
      <c r="O4494" t="s">
        <v>44760</v>
      </c>
      <c r="P4494">
        <v>0</v>
      </c>
      <c r="Q4494">
        <v>0</v>
      </c>
      <c r="R4494" t="s">
        <v>44763</v>
      </c>
      <c r="S4494" t="s">
        <v>44876</v>
      </c>
      <c r="T4494" t="s">
        <v>46412</v>
      </c>
      <c r="U4494" t="s">
        <v>47008</v>
      </c>
      <c r="V4494" t="s">
        <v>59104</v>
      </c>
      <c r="W4494" t="s">
        <v>42350</v>
      </c>
      <c r="X4494" t="s">
        <v>44765</v>
      </c>
    </row>
    <row r="4495" spans="1:24">
      <c r="A4495">
        <f>HYPERLINK("https://www.philgeps.gov.ph/GEPSNONPILOT/Tender/SplashBidNoticeAbstractUI.aspx?menuIndex=3&amp;refID=7148785&amp;Result=3","7148785")</f>
        <v>0</v>
      </c>
      <c r="B4495" t="s">
        <v>1691</v>
      </c>
      <c r="C4495" t="s">
        <v>8011</v>
      </c>
      <c r="D4495" t="s">
        <v>17973</v>
      </c>
      <c r="E4495" t="s">
        <v>18484</v>
      </c>
      <c r="F4495" t="s">
        <v>30900</v>
      </c>
      <c r="G4495" t="s">
        <v>30907</v>
      </c>
      <c r="H4495" t="s">
        <v>30916</v>
      </c>
      <c r="I4495" t="s">
        <v>8123</v>
      </c>
      <c r="J4495" t="s">
        <v>34086</v>
      </c>
      <c r="K4495" t="s">
        <v>40286</v>
      </c>
      <c r="M4495" t="s">
        <v>42351</v>
      </c>
      <c r="N4495" t="s">
        <v>44759</v>
      </c>
      <c r="O4495" t="s">
        <v>44760</v>
      </c>
      <c r="P4495">
        <v>0</v>
      </c>
      <c r="Q4495">
        <v>0</v>
      </c>
      <c r="R4495" t="s">
        <v>44763</v>
      </c>
      <c r="S4495" t="s">
        <v>44876</v>
      </c>
      <c r="T4495" t="s">
        <v>46484</v>
      </c>
      <c r="U4495" t="s">
        <v>47008</v>
      </c>
      <c r="V4495" t="s">
        <v>59599</v>
      </c>
      <c r="W4495" t="s">
        <v>42351</v>
      </c>
      <c r="X4495" t="s">
        <v>44765</v>
      </c>
    </row>
    <row r="4496" spans="1:24">
      <c r="A4496">
        <f>HYPERLINK("https://www.philgeps.gov.ph/GEPSNONPILOT/Tender/SplashBidNoticeAbstractUI.aspx?menuIndex=3&amp;refID=7148644&amp;Result=3","7148644")</f>
        <v>0</v>
      </c>
      <c r="B4496" t="s">
        <v>1692</v>
      </c>
      <c r="C4496" t="s">
        <v>8012</v>
      </c>
      <c r="D4496" t="s">
        <v>17985</v>
      </c>
      <c r="E4496" t="s">
        <v>22094</v>
      </c>
      <c r="F4496" t="s">
        <v>30900</v>
      </c>
      <c r="G4496" t="s">
        <v>30906</v>
      </c>
      <c r="H4496" t="s">
        <v>30916</v>
      </c>
      <c r="I4496" t="s">
        <v>8123</v>
      </c>
      <c r="J4496" t="s">
        <v>34087</v>
      </c>
      <c r="K4496" t="s">
        <v>40288</v>
      </c>
      <c r="M4496" t="s">
        <v>42352</v>
      </c>
      <c r="N4496" t="s">
        <v>44759</v>
      </c>
      <c r="O4496" t="s">
        <v>44760</v>
      </c>
      <c r="P4496">
        <v>0</v>
      </c>
      <c r="Q4496">
        <v>0</v>
      </c>
      <c r="R4496" t="s">
        <v>44763</v>
      </c>
      <c r="S4496" t="s">
        <v>44876</v>
      </c>
      <c r="T4496" t="s">
        <v>46376</v>
      </c>
      <c r="U4496" t="s">
        <v>50710</v>
      </c>
      <c r="W4496" t="s">
        <v>42352</v>
      </c>
      <c r="X4496" t="s">
        <v>44765</v>
      </c>
    </row>
    <row r="4497" spans="1:24">
      <c r="A4497">
        <f>HYPERLINK("https://www.philgeps.gov.ph/GEPSNONPILOT/Tender/SplashBidNoticeAbstractUI.aspx?menuIndex=3&amp;refID=7148784&amp;Result=3","7148784")</f>
        <v>0</v>
      </c>
      <c r="B4497" t="s">
        <v>406</v>
      </c>
      <c r="C4497" t="s">
        <v>8013</v>
      </c>
      <c r="D4497" t="s">
        <v>18010</v>
      </c>
      <c r="E4497" t="s">
        <v>20646</v>
      </c>
      <c r="F4497" t="s">
        <v>30900</v>
      </c>
      <c r="G4497" t="s">
        <v>30907</v>
      </c>
      <c r="H4497" t="s">
        <v>30916</v>
      </c>
      <c r="I4497" t="s">
        <v>8123</v>
      </c>
      <c r="J4497" t="s">
        <v>34088</v>
      </c>
      <c r="K4497" t="s">
        <v>40286</v>
      </c>
      <c r="M4497" t="s">
        <v>40962</v>
      </c>
      <c r="N4497" t="s">
        <v>44759</v>
      </c>
      <c r="O4497" t="s">
        <v>44760</v>
      </c>
      <c r="P4497">
        <v>0</v>
      </c>
      <c r="Q4497">
        <v>1</v>
      </c>
      <c r="R4497" t="s">
        <v>44763</v>
      </c>
      <c r="S4497" t="s">
        <v>44876</v>
      </c>
      <c r="T4497" t="s">
        <v>46454</v>
      </c>
      <c r="U4497" t="s">
        <v>50711</v>
      </c>
      <c r="W4497" t="s">
        <v>40962</v>
      </c>
      <c r="X4497" t="s">
        <v>44765</v>
      </c>
    </row>
    <row r="4498" spans="1:24">
      <c r="A4498">
        <f>HYPERLINK("https://www.philgeps.gov.ph/GEPSNONPILOT/Tender/SplashBidNoticeAbstractUI.aspx?menuIndex=3&amp;refID=7148617&amp;Result=3","7148617")</f>
        <v>0</v>
      </c>
      <c r="B4498" t="s">
        <v>1693</v>
      </c>
      <c r="C4498" t="s">
        <v>8014</v>
      </c>
      <c r="D4498" t="s">
        <v>18002</v>
      </c>
      <c r="E4498" t="s">
        <v>22095</v>
      </c>
      <c r="F4498" t="s">
        <v>30900</v>
      </c>
      <c r="G4498" t="s">
        <v>30909</v>
      </c>
      <c r="H4498" t="s">
        <v>30916</v>
      </c>
      <c r="I4498" t="s">
        <v>30921</v>
      </c>
      <c r="J4498" t="s">
        <v>31728</v>
      </c>
      <c r="K4498" t="s">
        <v>40331</v>
      </c>
      <c r="L4498" t="s">
        <v>1693</v>
      </c>
      <c r="M4498" t="s">
        <v>42353</v>
      </c>
      <c r="N4498" t="s">
        <v>44759</v>
      </c>
      <c r="O4498" t="s">
        <v>44760</v>
      </c>
      <c r="P4498">
        <v>0</v>
      </c>
      <c r="Q4498">
        <v>0</v>
      </c>
      <c r="R4498" t="s">
        <v>44763</v>
      </c>
      <c r="S4498" t="s">
        <v>44876</v>
      </c>
      <c r="T4498" t="s">
        <v>46581</v>
      </c>
      <c r="U4498" t="s">
        <v>50712</v>
      </c>
      <c r="W4498" t="s">
        <v>42353</v>
      </c>
      <c r="X4498" t="s">
        <v>44765</v>
      </c>
    </row>
    <row r="4499" spans="1:24">
      <c r="A4499">
        <f>HYPERLINK("https://www.philgeps.gov.ph/GEPSNONPILOT/Tender/SplashBidNoticeAbstractUI.aspx?menuIndex=3&amp;refID=7148780&amp;Result=3","7148780")</f>
        <v>0</v>
      </c>
      <c r="B4499" t="s">
        <v>1062</v>
      </c>
      <c r="C4499" t="s">
        <v>8015</v>
      </c>
      <c r="D4499" t="s">
        <v>17954</v>
      </c>
      <c r="E4499" t="s">
        <v>18234</v>
      </c>
      <c r="F4499" t="s">
        <v>30900</v>
      </c>
      <c r="G4499" t="s">
        <v>30907</v>
      </c>
      <c r="H4499" t="s">
        <v>30915</v>
      </c>
      <c r="I4499" t="s">
        <v>30919</v>
      </c>
      <c r="J4499" t="s">
        <v>31130</v>
      </c>
      <c r="K4499" t="s">
        <v>40283</v>
      </c>
      <c r="M4499" t="s">
        <v>41659</v>
      </c>
      <c r="N4499" t="s">
        <v>44759</v>
      </c>
      <c r="O4499" t="s">
        <v>44760</v>
      </c>
      <c r="P4499">
        <v>0</v>
      </c>
      <c r="Q4499">
        <v>0</v>
      </c>
      <c r="R4499" t="s">
        <v>44763</v>
      </c>
      <c r="S4499" t="s">
        <v>44876</v>
      </c>
      <c r="T4499" t="s">
        <v>46418</v>
      </c>
      <c r="U4499" t="s">
        <v>50713</v>
      </c>
      <c r="W4499" t="s">
        <v>41659</v>
      </c>
      <c r="X4499" t="s">
        <v>44765</v>
      </c>
    </row>
    <row r="4500" spans="1:24">
      <c r="A4500">
        <f>HYPERLINK("https://www.philgeps.gov.ph/GEPSNONPILOT/Tender/SplashBidNoticeAbstractUI.aspx?menuIndex=3&amp;refID=7148779&amp;Result=3","7148779")</f>
        <v>0</v>
      </c>
      <c r="B4500" t="s">
        <v>406</v>
      </c>
      <c r="C4500" t="s">
        <v>8016</v>
      </c>
      <c r="E4500" t="s">
        <v>18727</v>
      </c>
      <c r="F4500" t="s">
        <v>30900</v>
      </c>
      <c r="G4500" t="s">
        <v>30907</v>
      </c>
      <c r="H4500" t="s">
        <v>30916</v>
      </c>
      <c r="I4500" t="s">
        <v>8123</v>
      </c>
      <c r="J4500" t="s">
        <v>34089</v>
      </c>
      <c r="K4500" t="s">
        <v>40280</v>
      </c>
      <c r="M4500" t="s">
        <v>40962</v>
      </c>
      <c r="N4500" t="s">
        <v>44759</v>
      </c>
      <c r="O4500" t="s">
        <v>44760</v>
      </c>
      <c r="P4500">
        <v>0</v>
      </c>
      <c r="Q4500">
        <v>5</v>
      </c>
      <c r="R4500" t="s">
        <v>44763</v>
      </c>
      <c r="S4500" t="s">
        <v>44876</v>
      </c>
      <c r="T4500" t="s">
        <v>46454</v>
      </c>
      <c r="U4500" t="s">
        <v>50714</v>
      </c>
      <c r="W4500" t="s">
        <v>40962</v>
      </c>
      <c r="X4500" t="s">
        <v>44765</v>
      </c>
    </row>
    <row r="4501" spans="1:24">
      <c r="A4501">
        <f>HYPERLINK("https://www.philgeps.gov.ph/GEPSNONPILOT/Tender/SplashBidNoticeAbstractUI.aspx?menuIndex=3&amp;refID=7148778&amp;Result=3","7148778")</f>
        <v>0</v>
      </c>
      <c r="B4501" t="s">
        <v>971</v>
      </c>
      <c r="C4501" t="s">
        <v>6396</v>
      </c>
      <c r="D4501" t="s">
        <v>18017</v>
      </c>
      <c r="E4501" t="s">
        <v>22096</v>
      </c>
      <c r="F4501" t="s">
        <v>30900</v>
      </c>
      <c r="G4501" t="s">
        <v>30908</v>
      </c>
      <c r="H4501" t="s">
        <v>30916</v>
      </c>
      <c r="I4501" t="s">
        <v>6396</v>
      </c>
      <c r="J4501" t="s">
        <v>34090</v>
      </c>
      <c r="K4501" t="s">
        <v>40285</v>
      </c>
      <c r="M4501" t="s">
        <v>41558</v>
      </c>
      <c r="N4501" t="s">
        <v>44759</v>
      </c>
      <c r="O4501" t="s">
        <v>44760</v>
      </c>
      <c r="P4501">
        <v>0</v>
      </c>
      <c r="Q4501">
        <v>0</v>
      </c>
      <c r="R4501" t="s">
        <v>44763</v>
      </c>
      <c r="S4501" t="s">
        <v>44876</v>
      </c>
      <c r="T4501" t="s">
        <v>46403</v>
      </c>
      <c r="U4501" t="s">
        <v>50715</v>
      </c>
      <c r="V4501" t="s">
        <v>59345</v>
      </c>
      <c r="W4501" t="s">
        <v>41558</v>
      </c>
      <c r="X4501" t="s">
        <v>44765</v>
      </c>
    </row>
    <row r="4502" spans="1:24">
      <c r="A4502">
        <f>HYPERLINK("https://www.philgeps.gov.ph/GEPSNONPILOT/Tender/SplashBidNoticeAbstractUI.aspx?menuIndex=3&amp;refID=7148777&amp;Result=3","7148777")</f>
        <v>0</v>
      </c>
      <c r="B4502" t="s">
        <v>971</v>
      </c>
      <c r="C4502" t="s">
        <v>6396</v>
      </c>
      <c r="D4502" t="s">
        <v>18017</v>
      </c>
      <c r="E4502" t="s">
        <v>22097</v>
      </c>
      <c r="F4502" t="s">
        <v>30900</v>
      </c>
      <c r="G4502" t="s">
        <v>30908</v>
      </c>
      <c r="H4502" t="s">
        <v>30916</v>
      </c>
      <c r="I4502" t="s">
        <v>6396</v>
      </c>
      <c r="J4502" t="s">
        <v>34091</v>
      </c>
      <c r="K4502" t="s">
        <v>40285</v>
      </c>
      <c r="M4502" t="s">
        <v>41558</v>
      </c>
      <c r="N4502" t="s">
        <v>44759</v>
      </c>
      <c r="O4502" t="s">
        <v>44760</v>
      </c>
      <c r="P4502">
        <v>0</v>
      </c>
      <c r="Q4502">
        <v>0</v>
      </c>
      <c r="R4502" t="s">
        <v>44763</v>
      </c>
      <c r="S4502" t="s">
        <v>44876</v>
      </c>
      <c r="T4502" t="s">
        <v>46403</v>
      </c>
      <c r="U4502" t="s">
        <v>50716</v>
      </c>
      <c r="V4502" t="s">
        <v>59345</v>
      </c>
      <c r="W4502" t="s">
        <v>41558</v>
      </c>
      <c r="X4502" t="s">
        <v>44765</v>
      </c>
    </row>
    <row r="4503" spans="1:24">
      <c r="A4503">
        <f>HYPERLINK("https://www.philgeps.gov.ph/GEPSNONPILOT/Tender/SplashBidNoticeAbstractUI.aspx?menuIndex=3&amp;refID=7148776&amp;Result=3","7148776")</f>
        <v>0</v>
      </c>
      <c r="B4503" t="s">
        <v>971</v>
      </c>
      <c r="C4503" t="s">
        <v>6396</v>
      </c>
      <c r="D4503" t="s">
        <v>18017</v>
      </c>
      <c r="E4503" t="s">
        <v>22098</v>
      </c>
      <c r="F4503" t="s">
        <v>30900</v>
      </c>
      <c r="G4503" t="s">
        <v>30909</v>
      </c>
      <c r="H4503" t="s">
        <v>30916</v>
      </c>
      <c r="I4503" t="s">
        <v>6396</v>
      </c>
      <c r="J4503" t="s">
        <v>34092</v>
      </c>
      <c r="K4503" t="s">
        <v>40285</v>
      </c>
      <c r="M4503" t="s">
        <v>41558</v>
      </c>
      <c r="N4503" t="s">
        <v>44759</v>
      </c>
      <c r="O4503" t="s">
        <v>44760</v>
      </c>
      <c r="P4503">
        <v>0</v>
      </c>
      <c r="Q4503">
        <v>0</v>
      </c>
      <c r="R4503" t="s">
        <v>44763</v>
      </c>
      <c r="S4503" t="s">
        <v>44876</v>
      </c>
      <c r="T4503" t="s">
        <v>46403</v>
      </c>
      <c r="U4503" t="s">
        <v>50717</v>
      </c>
      <c r="V4503" t="s">
        <v>59345</v>
      </c>
      <c r="W4503" t="s">
        <v>41558</v>
      </c>
      <c r="X4503" t="s">
        <v>44765</v>
      </c>
    </row>
    <row r="4504" spans="1:24">
      <c r="A4504">
        <f>HYPERLINK("https://www.philgeps.gov.ph/GEPSNONPILOT/Tender/SplashBidNoticeAbstractUI.aspx?menuIndex=3&amp;refID=7148773&amp;Result=3","7148773")</f>
        <v>0</v>
      </c>
      <c r="B4504" t="s">
        <v>971</v>
      </c>
      <c r="C4504" t="s">
        <v>8017</v>
      </c>
      <c r="D4504" t="s">
        <v>18017</v>
      </c>
      <c r="E4504" t="s">
        <v>22099</v>
      </c>
      <c r="F4504" t="s">
        <v>30900</v>
      </c>
      <c r="G4504" t="s">
        <v>30908</v>
      </c>
      <c r="H4504" t="s">
        <v>30916</v>
      </c>
      <c r="I4504" t="s">
        <v>8123</v>
      </c>
      <c r="J4504" t="s">
        <v>34093</v>
      </c>
      <c r="K4504" t="s">
        <v>40285</v>
      </c>
      <c r="M4504" t="s">
        <v>41558</v>
      </c>
      <c r="N4504" t="s">
        <v>44759</v>
      </c>
      <c r="O4504" t="s">
        <v>44760</v>
      </c>
      <c r="P4504">
        <v>0</v>
      </c>
      <c r="Q4504">
        <v>0</v>
      </c>
      <c r="R4504" t="s">
        <v>44763</v>
      </c>
      <c r="S4504" t="s">
        <v>44876</v>
      </c>
      <c r="T4504" t="s">
        <v>46403</v>
      </c>
      <c r="U4504" t="s">
        <v>50718</v>
      </c>
      <c r="V4504" t="s">
        <v>59345</v>
      </c>
      <c r="W4504" t="s">
        <v>41558</v>
      </c>
      <c r="X4504" t="s">
        <v>44765</v>
      </c>
    </row>
    <row r="4505" spans="1:24">
      <c r="A4505">
        <f>HYPERLINK("https://www.philgeps.gov.ph/GEPSNONPILOT/Tender/SplashBidNoticeAbstractUI.aspx?menuIndex=3&amp;refID=7148811&amp;Result=3","7148811")</f>
        <v>0</v>
      </c>
      <c r="B4505" t="s">
        <v>1694</v>
      </c>
      <c r="C4505" t="s">
        <v>8018</v>
      </c>
      <c r="D4505" t="s">
        <v>17978</v>
      </c>
      <c r="E4505" t="s">
        <v>8018</v>
      </c>
      <c r="F4505" t="s">
        <v>30900</v>
      </c>
      <c r="G4505" t="s">
        <v>30909</v>
      </c>
      <c r="H4505" t="s">
        <v>30917</v>
      </c>
      <c r="I4505" t="s">
        <v>10602</v>
      </c>
      <c r="J4505" t="s">
        <v>31101</v>
      </c>
      <c r="K4505" t="s">
        <v>40287</v>
      </c>
      <c r="M4505" t="s">
        <v>42354</v>
      </c>
      <c r="N4505" t="s">
        <v>44759</v>
      </c>
      <c r="O4505" t="s">
        <v>44760</v>
      </c>
      <c r="P4505">
        <v>0</v>
      </c>
      <c r="Q4505">
        <v>1</v>
      </c>
      <c r="R4505" t="s">
        <v>44763</v>
      </c>
      <c r="S4505" t="s">
        <v>44876</v>
      </c>
      <c r="T4505" t="s">
        <v>46395</v>
      </c>
      <c r="U4505" t="s">
        <v>50719</v>
      </c>
      <c r="W4505" t="s">
        <v>42354</v>
      </c>
      <c r="X4505" t="s">
        <v>44765</v>
      </c>
    </row>
    <row r="4506" spans="1:24">
      <c r="A4506">
        <f>HYPERLINK("https://www.philgeps.gov.ph/GEPSNONPILOT/Tender/SplashBidNoticeAbstractUI.aspx?menuIndex=3&amp;refID=7148788&amp;Result=3","7148788")</f>
        <v>0</v>
      </c>
      <c r="B4506" t="s">
        <v>1695</v>
      </c>
      <c r="C4506" t="s">
        <v>8019</v>
      </c>
      <c r="D4506" t="s">
        <v>17981</v>
      </c>
      <c r="E4506" t="s">
        <v>22100</v>
      </c>
      <c r="F4506" t="s">
        <v>30900</v>
      </c>
      <c r="G4506" t="s">
        <v>30907</v>
      </c>
      <c r="H4506" t="s">
        <v>30916</v>
      </c>
      <c r="I4506" t="s">
        <v>30927</v>
      </c>
      <c r="J4506" t="s">
        <v>34094</v>
      </c>
      <c r="K4506" t="s">
        <v>40284</v>
      </c>
      <c r="M4506" t="s">
        <v>42355</v>
      </c>
      <c r="N4506" t="s">
        <v>44759</v>
      </c>
      <c r="O4506" t="s">
        <v>44760</v>
      </c>
      <c r="P4506">
        <v>0</v>
      </c>
      <c r="Q4506">
        <v>1</v>
      </c>
      <c r="R4506" t="s">
        <v>44763</v>
      </c>
      <c r="S4506" t="s">
        <v>44876</v>
      </c>
      <c r="T4506" t="s">
        <v>46399</v>
      </c>
      <c r="U4506" t="s">
        <v>50720</v>
      </c>
      <c r="W4506" t="s">
        <v>42355</v>
      </c>
      <c r="X4506" t="s">
        <v>44765</v>
      </c>
    </row>
    <row r="4507" spans="1:24">
      <c r="A4507">
        <f>HYPERLINK("https://www.philgeps.gov.ph/GEPSNONPILOT/Tender/SplashBidNoticeAbstractUI.aspx?menuIndex=3&amp;refID=7148772&amp;Result=3","7148772")</f>
        <v>0</v>
      </c>
      <c r="B4507" t="s">
        <v>610</v>
      </c>
      <c r="C4507" t="s">
        <v>8020</v>
      </c>
      <c r="D4507" t="s">
        <v>17959</v>
      </c>
      <c r="E4507" t="s">
        <v>22101</v>
      </c>
      <c r="F4507" t="s">
        <v>30900</v>
      </c>
      <c r="G4507" t="s">
        <v>30908</v>
      </c>
      <c r="H4507" t="s">
        <v>30916</v>
      </c>
      <c r="I4507" t="s">
        <v>30923</v>
      </c>
      <c r="J4507" t="s">
        <v>34095</v>
      </c>
      <c r="K4507" t="s">
        <v>40287</v>
      </c>
      <c r="M4507" t="s">
        <v>42356</v>
      </c>
      <c r="N4507" t="s">
        <v>44759</v>
      </c>
      <c r="O4507" t="s">
        <v>44760</v>
      </c>
      <c r="P4507">
        <v>0</v>
      </c>
      <c r="Q4507">
        <v>12</v>
      </c>
      <c r="R4507" t="s">
        <v>44763</v>
      </c>
      <c r="S4507" t="s">
        <v>44876</v>
      </c>
      <c r="T4507" t="s">
        <v>46623</v>
      </c>
      <c r="U4507" t="s">
        <v>48017</v>
      </c>
      <c r="W4507" t="s">
        <v>42356</v>
      </c>
      <c r="X4507" t="s">
        <v>44765</v>
      </c>
    </row>
    <row r="4508" spans="1:24">
      <c r="A4508">
        <f>HYPERLINK("https://www.philgeps.gov.ph/GEPSNONPILOT/Tender/SplashBidNoticeAbstractUI.aspx?menuIndex=3&amp;refID=7148770&amp;Result=3","7148770")</f>
        <v>0</v>
      </c>
      <c r="B4508" t="s">
        <v>971</v>
      </c>
      <c r="C4508" t="s">
        <v>8021</v>
      </c>
      <c r="D4508" t="s">
        <v>18017</v>
      </c>
      <c r="E4508" t="s">
        <v>22102</v>
      </c>
      <c r="F4508" t="s">
        <v>30900</v>
      </c>
      <c r="G4508" t="s">
        <v>30908</v>
      </c>
      <c r="H4508" t="s">
        <v>30916</v>
      </c>
      <c r="I4508" t="s">
        <v>8021</v>
      </c>
      <c r="J4508" t="s">
        <v>34096</v>
      </c>
      <c r="K4508" t="s">
        <v>40285</v>
      </c>
      <c r="M4508" t="s">
        <v>41558</v>
      </c>
      <c r="N4508" t="s">
        <v>44759</v>
      </c>
      <c r="O4508" t="s">
        <v>44760</v>
      </c>
      <c r="P4508">
        <v>0</v>
      </c>
      <c r="Q4508">
        <v>0</v>
      </c>
      <c r="R4508" t="s">
        <v>44763</v>
      </c>
      <c r="S4508" t="s">
        <v>44876</v>
      </c>
      <c r="T4508" t="s">
        <v>46403</v>
      </c>
      <c r="U4508" t="s">
        <v>50721</v>
      </c>
      <c r="V4508" t="s">
        <v>59345</v>
      </c>
      <c r="W4508" t="s">
        <v>41558</v>
      </c>
      <c r="X4508" t="s">
        <v>44765</v>
      </c>
    </row>
    <row r="4509" spans="1:24">
      <c r="A4509">
        <f>HYPERLINK("https://www.philgeps.gov.ph/GEPSNONPILOT/Tender/SplashBidNoticeAbstractUI.aspx?menuIndex=3&amp;refID=7148783&amp;Result=3","7148783")</f>
        <v>0</v>
      </c>
      <c r="B4509" t="s">
        <v>1062</v>
      </c>
      <c r="C4509" t="s">
        <v>8022</v>
      </c>
      <c r="D4509" t="s">
        <v>17954</v>
      </c>
      <c r="E4509" t="s">
        <v>18405</v>
      </c>
      <c r="F4509" t="s">
        <v>30900</v>
      </c>
      <c r="G4509" t="s">
        <v>30907</v>
      </c>
      <c r="H4509" t="s">
        <v>30916</v>
      </c>
      <c r="I4509" t="s">
        <v>30933</v>
      </c>
      <c r="J4509" t="s">
        <v>34097</v>
      </c>
      <c r="K4509" t="s">
        <v>40280</v>
      </c>
      <c r="M4509" t="s">
        <v>41659</v>
      </c>
      <c r="N4509" t="s">
        <v>44759</v>
      </c>
      <c r="O4509" t="s">
        <v>44760</v>
      </c>
      <c r="P4509">
        <v>0</v>
      </c>
      <c r="Q4509">
        <v>6</v>
      </c>
      <c r="R4509" t="s">
        <v>44763</v>
      </c>
      <c r="S4509" t="s">
        <v>44876</v>
      </c>
      <c r="T4509" t="s">
        <v>46405</v>
      </c>
      <c r="U4509" t="s">
        <v>50722</v>
      </c>
      <c r="W4509" t="s">
        <v>41659</v>
      </c>
      <c r="X4509" t="s">
        <v>44765</v>
      </c>
    </row>
    <row r="4510" spans="1:24">
      <c r="A4510">
        <f>HYPERLINK("https://www.philgeps.gov.ph/GEPSNONPILOT/Tender/SplashBidNoticeAbstractUI.aspx?menuIndex=3&amp;refID=7148827&amp;Result=3","7148827")</f>
        <v>0</v>
      </c>
      <c r="B4510" t="s">
        <v>1696</v>
      </c>
      <c r="C4510" t="s">
        <v>4142</v>
      </c>
      <c r="D4510" t="s">
        <v>18017</v>
      </c>
      <c r="E4510" t="s">
        <v>22103</v>
      </c>
      <c r="F4510" t="s">
        <v>30900</v>
      </c>
      <c r="G4510" t="s">
        <v>30907</v>
      </c>
      <c r="H4510" t="s">
        <v>30916</v>
      </c>
      <c r="I4510" t="s">
        <v>4142</v>
      </c>
      <c r="J4510" t="s">
        <v>34098</v>
      </c>
      <c r="K4510" t="s">
        <v>40287</v>
      </c>
      <c r="M4510" t="s">
        <v>42357</v>
      </c>
      <c r="N4510" t="s">
        <v>44759</v>
      </c>
      <c r="O4510" t="s">
        <v>44760</v>
      </c>
      <c r="P4510">
        <v>0</v>
      </c>
      <c r="Q4510">
        <v>2</v>
      </c>
      <c r="R4510" t="s">
        <v>44763</v>
      </c>
      <c r="S4510" t="s">
        <v>44876</v>
      </c>
      <c r="T4510" t="s">
        <v>46459</v>
      </c>
      <c r="U4510" t="s">
        <v>50723</v>
      </c>
      <c r="W4510" t="s">
        <v>42357</v>
      </c>
      <c r="X4510" t="s">
        <v>44765</v>
      </c>
    </row>
    <row r="4511" spans="1:24">
      <c r="A4511">
        <f>HYPERLINK("https://www.philgeps.gov.ph/GEPSNONPILOT/Tender/SplashBidNoticeAbstractUI.aspx?menuIndex=3&amp;refID=7148868&amp;Result=3","7148868")</f>
        <v>0</v>
      </c>
      <c r="B4511" t="s">
        <v>1399</v>
      </c>
      <c r="C4511" t="s">
        <v>8023</v>
      </c>
      <c r="D4511" t="s">
        <v>18017</v>
      </c>
      <c r="E4511" t="s">
        <v>22104</v>
      </c>
      <c r="F4511" t="s">
        <v>30900</v>
      </c>
      <c r="G4511" t="s">
        <v>30908</v>
      </c>
      <c r="H4511" t="s">
        <v>30916</v>
      </c>
      <c r="I4511" t="s">
        <v>30962</v>
      </c>
      <c r="J4511" t="s">
        <v>34099</v>
      </c>
      <c r="K4511" t="s">
        <v>40287</v>
      </c>
      <c r="M4511" t="s">
        <v>42358</v>
      </c>
      <c r="N4511" t="s">
        <v>44759</v>
      </c>
      <c r="O4511" t="s">
        <v>44760</v>
      </c>
      <c r="P4511">
        <v>0</v>
      </c>
      <c r="Q4511">
        <v>2</v>
      </c>
      <c r="R4511" t="s">
        <v>44763</v>
      </c>
      <c r="S4511" t="s">
        <v>44876</v>
      </c>
      <c r="T4511" t="s">
        <v>46418</v>
      </c>
      <c r="U4511" t="s">
        <v>50724</v>
      </c>
      <c r="W4511" t="s">
        <v>42358</v>
      </c>
      <c r="X4511" t="s">
        <v>44764</v>
      </c>
    </row>
    <row r="4512" spans="1:24">
      <c r="A4512">
        <f>HYPERLINK("https://www.philgeps.gov.ph/GEPSNONPILOT/Tender/SplashBidNoticeAbstractUI.aspx?menuIndex=3&amp;refID=7148874&amp;Result=3","7148874")</f>
        <v>0</v>
      </c>
      <c r="B4512" t="s">
        <v>1125</v>
      </c>
      <c r="C4512" t="s">
        <v>8024</v>
      </c>
      <c r="D4512" t="s">
        <v>17959</v>
      </c>
      <c r="E4512" t="s">
        <v>22105</v>
      </c>
      <c r="F4512" t="s">
        <v>30900</v>
      </c>
      <c r="G4512" t="s">
        <v>30907</v>
      </c>
      <c r="H4512" t="s">
        <v>30916</v>
      </c>
      <c r="I4512" t="s">
        <v>4965</v>
      </c>
      <c r="J4512" t="s">
        <v>34100</v>
      </c>
      <c r="K4512" t="s">
        <v>40291</v>
      </c>
      <c r="M4512" t="s">
        <v>42359</v>
      </c>
      <c r="N4512" t="s">
        <v>44759</v>
      </c>
      <c r="O4512" t="s">
        <v>44760</v>
      </c>
      <c r="P4512">
        <v>0</v>
      </c>
      <c r="Q4512">
        <v>0</v>
      </c>
      <c r="R4512" t="s">
        <v>44763</v>
      </c>
      <c r="S4512" t="s">
        <v>44876</v>
      </c>
      <c r="T4512" t="s">
        <v>46427</v>
      </c>
      <c r="U4512" t="s">
        <v>50725</v>
      </c>
      <c r="W4512" t="s">
        <v>60851</v>
      </c>
      <c r="X4512" t="s">
        <v>44764</v>
      </c>
    </row>
    <row r="4513" spans="1:24">
      <c r="A4513">
        <f>HYPERLINK("https://www.philgeps.gov.ph/GEPSNONPILOT/Tender/SplashBidNoticeAbstractUI.aspx?menuIndex=3&amp;refID=7148873&amp;Result=3","7148873")</f>
        <v>0</v>
      </c>
      <c r="B4513" t="s">
        <v>1399</v>
      </c>
      <c r="C4513" t="s">
        <v>8025</v>
      </c>
      <c r="D4513" t="s">
        <v>18017</v>
      </c>
      <c r="E4513" t="s">
        <v>22106</v>
      </c>
      <c r="F4513" t="s">
        <v>30900</v>
      </c>
      <c r="G4513" t="s">
        <v>30908</v>
      </c>
      <c r="H4513" t="s">
        <v>30916</v>
      </c>
      <c r="I4513" t="s">
        <v>30920</v>
      </c>
      <c r="J4513" t="s">
        <v>31067</v>
      </c>
      <c r="K4513" t="s">
        <v>40287</v>
      </c>
      <c r="M4513" t="s">
        <v>42358</v>
      </c>
      <c r="N4513" t="s">
        <v>44759</v>
      </c>
      <c r="O4513" t="s">
        <v>44760</v>
      </c>
      <c r="P4513">
        <v>0</v>
      </c>
      <c r="Q4513">
        <v>0</v>
      </c>
      <c r="R4513" t="s">
        <v>44763</v>
      </c>
      <c r="S4513" t="s">
        <v>44876</v>
      </c>
      <c r="T4513" t="s">
        <v>46418</v>
      </c>
      <c r="U4513" t="s">
        <v>50726</v>
      </c>
      <c r="W4513" t="s">
        <v>42358</v>
      </c>
      <c r="X4513" t="s">
        <v>44764</v>
      </c>
    </row>
    <row r="4514" spans="1:24">
      <c r="A4514">
        <f>HYPERLINK("https://www.philgeps.gov.ph/GEPSNONPILOT/Tender/SplashBidNoticeAbstractUI.aspx?menuIndex=3&amp;refID=7148872&amp;Result=3","7148872")</f>
        <v>0</v>
      </c>
      <c r="B4514" t="s">
        <v>1399</v>
      </c>
      <c r="C4514" t="s">
        <v>8026</v>
      </c>
      <c r="D4514" t="s">
        <v>18017</v>
      </c>
      <c r="E4514" t="s">
        <v>22107</v>
      </c>
      <c r="F4514" t="s">
        <v>30900</v>
      </c>
      <c r="G4514" t="s">
        <v>30908</v>
      </c>
      <c r="H4514" t="s">
        <v>30916</v>
      </c>
      <c r="I4514" t="s">
        <v>30924</v>
      </c>
      <c r="J4514" t="s">
        <v>33438</v>
      </c>
      <c r="K4514" t="s">
        <v>40287</v>
      </c>
      <c r="M4514" t="s">
        <v>42358</v>
      </c>
      <c r="N4514" t="s">
        <v>44759</v>
      </c>
      <c r="O4514" t="s">
        <v>44760</v>
      </c>
      <c r="P4514">
        <v>0</v>
      </c>
      <c r="Q4514">
        <v>1</v>
      </c>
      <c r="R4514" t="s">
        <v>44763</v>
      </c>
      <c r="S4514" t="s">
        <v>44876</v>
      </c>
      <c r="T4514" t="s">
        <v>46418</v>
      </c>
      <c r="U4514" t="s">
        <v>50727</v>
      </c>
      <c r="W4514" t="s">
        <v>42358</v>
      </c>
      <c r="X4514" t="s">
        <v>44764</v>
      </c>
    </row>
    <row r="4515" spans="1:24">
      <c r="A4515">
        <f>HYPERLINK("https://www.philgeps.gov.ph/GEPSNONPILOT/Tender/SplashBidNoticeAbstractUI.aspx?menuIndex=3&amp;refID=7148871&amp;Result=3","7148871")</f>
        <v>0</v>
      </c>
      <c r="B4515" t="s">
        <v>1399</v>
      </c>
      <c r="C4515" t="s">
        <v>8027</v>
      </c>
      <c r="D4515" t="s">
        <v>18017</v>
      </c>
      <c r="E4515" t="s">
        <v>22108</v>
      </c>
      <c r="F4515" t="s">
        <v>30900</v>
      </c>
      <c r="G4515" t="s">
        <v>30908</v>
      </c>
      <c r="H4515" t="s">
        <v>30916</v>
      </c>
      <c r="I4515" t="s">
        <v>30923</v>
      </c>
      <c r="J4515" t="s">
        <v>34101</v>
      </c>
      <c r="K4515" t="s">
        <v>40287</v>
      </c>
      <c r="M4515" t="s">
        <v>42358</v>
      </c>
      <c r="N4515" t="s">
        <v>44759</v>
      </c>
      <c r="O4515" t="s">
        <v>44760</v>
      </c>
      <c r="P4515">
        <v>0</v>
      </c>
      <c r="Q4515">
        <v>2</v>
      </c>
      <c r="R4515" t="s">
        <v>44763</v>
      </c>
      <c r="S4515" t="s">
        <v>44876</v>
      </c>
      <c r="T4515" t="s">
        <v>46418</v>
      </c>
      <c r="U4515" t="s">
        <v>50728</v>
      </c>
      <c r="W4515" t="s">
        <v>42358</v>
      </c>
      <c r="X4515" t="s">
        <v>44764</v>
      </c>
    </row>
    <row r="4516" spans="1:24">
      <c r="A4516">
        <f>HYPERLINK("https://www.philgeps.gov.ph/GEPSNONPILOT/Tender/SplashBidNoticeAbstractUI.aspx?menuIndex=3&amp;refID=7148870&amp;Result=3","7148870")</f>
        <v>0</v>
      </c>
      <c r="B4516" t="s">
        <v>1399</v>
      </c>
      <c r="C4516" t="s">
        <v>5416</v>
      </c>
      <c r="D4516" t="s">
        <v>18017</v>
      </c>
      <c r="E4516" t="s">
        <v>22109</v>
      </c>
      <c r="F4516" t="s">
        <v>30900</v>
      </c>
      <c r="G4516" t="s">
        <v>30908</v>
      </c>
      <c r="H4516" t="s">
        <v>30916</v>
      </c>
      <c r="I4516" t="s">
        <v>30923</v>
      </c>
      <c r="J4516" t="s">
        <v>31096</v>
      </c>
      <c r="K4516" t="s">
        <v>40287</v>
      </c>
      <c r="M4516" t="s">
        <v>42358</v>
      </c>
      <c r="N4516" t="s">
        <v>44759</v>
      </c>
      <c r="O4516" t="s">
        <v>44760</v>
      </c>
      <c r="P4516">
        <v>0</v>
      </c>
      <c r="Q4516">
        <v>3</v>
      </c>
      <c r="R4516" t="s">
        <v>44763</v>
      </c>
      <c r="S4516" t="s">
        <v>44876</v>
      </c>
      <c r="T4516" t="s">
        <v>46418</v>
      </c>
      <c r="U4516" t="s">
        <v>50729</v>
      </c>
      <c r="W4516" t="s">
        <v>42358</v>
      </c>
      <c r="X4516" t="s">
        <v>44764</v>
      </c>
    </row>
    <row r="4517" spans="1:24">
      <c r="A4517">
        <f>HYPERLINK("https://www.philgeps.gov.ph/GEPSNONPILOT/Tender/SplashBidNoticeAbstractUI.aspx?menuIndex=3&amp;refID=7148775&amp;Result=3","7148775")</f>
        <v>0</v>
      </c>
      <c r="B4517" t="s">
        <v>971</v>
      </c>
      <c r="C4517" t="s">
        <v>6396</v>
      </c>
      <c r="D4517" t="s">
        <v>18017</v>
      </c>
      <c r="E4517" t="s">
        <v>22110</v>
      </c>
      <c r="F4517" t="s">
        <v>30900</v>
      </c>
      <c r="G4517" t="s">
        <v>30908</v>
      </c>
      <c r="H4517" t="s">
        <v>30916</v>
      </c>
      <c r="I4517" t="s">
        <v>6396</v>
      </c>
      <c r="J4517" t="s">
        <v>34102</v>
      </c>
      <c r="K4517" t="s">
        <v>40285</v>
      </c>
      <c r="M4517" t="s">
        <v>41558</v>
      </c>
      <c r="N4517" t="s">
        <v>44759</v>
      </c>
      <c r="O4517" t="s">
        <v>44760</v>
      </c>
      <c r="P4517">
        <v>0</v>
      </c>
      <c r="Q4517">
        <v>1</v>
      </c>
      <c r="R4517" t="s">
        <v>44763</v>
      </c>
      <c r="S4517" t="s">
        <v>44876</v>
      </c>
      <c r="T4517" t="s">
        <v>46403</v>
      </c>
      <c r="U4517" t="s">
        <v>50730</v>
      </c>
      <c r="V4517" t="s">
        <v>59345</v>
      </c>
      <c r="W4517" t="s">
        <v>41558</v>
      </c>
      <c r="X4517" t="s">
        <v>44765</v>
      </c>
    </row>
    <row r="4518" spans="1:24">
      <c r="A4518">
        <f>HYPERLINK("https://www.philgeps.gov.ph/GEPSNONPILOT/Tender/SplashBidNoticeAbstractUI.aspx?menuIndex=3&amp;refID=7148869&amp;Result=3","7148869")</f>
        <v>0</v>
      </c>
      <c r="B4518" t="s">
        <v>1399</v>
      </c>
      <c r="C4518" t="s">
        <v>8028</v>
      </c>
      <c r="D4518" t="s">
        <v>18017</v>
      </c>
      <c r="E4518" t="s">
        <v>22111</v>
      </c>
      <c r="F4518" t="s">
        <v>30900</v>
      </c>
      <c r="G4518" t="s">
        <v>30908</v>
      </c>
      <c r="H4518" t="s">
        <v>30916</v>
      </c>
      <c r="I4518" t="s">
        <v>30939</v>
      </c>
      <c r="J4518" t="s">
        <v>31052</v>
      </c>
      <c r="K4518" t="s">
        <v>40287</v>
      </c>
      <c r="M4518" t="s">
        <v>42358</v>
      </c>
      <c r="N4518" t="s">
        <v>44759</v>
      </c>
      <c r="O4518" t="s">
        <v>44760</v>
      </c>
      <c r="P4518">
        <v>0</v>
      </c>
      <c r="Q4518">
        <v>0</v>
      </c>
      <c r="R4518" t="s">
        <v>44763</v>
      </c>
      <c r="S4518" t="s">
        <v>44876</v>
      </c>
      <c r="T4518" t="s">
        <v>46418</v>
      </c>
      <c r="U4518" t="s">
        <v>50731</v>
      </c>
      <c r="W4518" t="s">
        <v>42358</v>
      </c>
      <c r="X4518" t="s">
        <v>44764</v>
      </c>
    </row>
    <row r="4519" spans="1:24">
      <c r="A4519">
        <f>HYPERLINK("https://www.philgeps.gov.ph/GEPSNONPILOT/Tender/SplashBidNoticeAbstractUI.aspx?menuIndex=3&amp;refID=7148866&amp;Result=3","7148866")</f>
        <v>0</v>
      </c>
      <c r="B4519" t="s">
        <v>1696</v>
      </c>
      <c r="C4519" t="s">
        <v>5049</v>
      </c>
      <c r="D4519" t="s">
        <v>18017</v>
      </c>
      <c r="E4519" t="s">
        <v>22112</v>
      </c>
      <c r="F4519" t="s">
        <v>30900</v>
      </c>
      <c r="G4519" t="s">
        <v>30907</v>
      </c>
      <c r="H4519" t="s">
        <v>30916</v>
      </c>
      <c r="I4519" t="s">
        <v>30923</v>
      </c>
      <c r="J4519" t="s">
        <v>34103</v>
      </c>
      <c r="K4519" t="s">
        <v>40287</v>
      </c>
      <c r="M4519" t="s">
        <v>42357</v>
      </c>
      <c r="N4519" t="s">
        <v>44759</v>
      </c>
      <c r="O4519" t="s">
        <v>44760</v>
      </c>
      <c r="P4519">
        <v>0</v>
      </c>
      <c r="Q4519">
        <v>0</v>
      </c>
      <c r="R4519" t="s">
        <v>44763</v>
      </c>
      <c r="S4519" t="s">
        <v>44876</v>
      </c>
      <c r="T4519" t="s">
        <v>46361</v>
      </c>
      <c r="U4519" t="s">
        <v>50732</v>
      </c>
      <c r="W4519" t="s">
        <v>42357</v>
      </c>
      <c r="X4519" t="s">
        <v>44765</v>
      </c>
    </row>
    <row r="4520" spans="1:24">
      <c r="A4520">
        <f>HYPERLINK("https://www.philgeps.gov.ph/GEPSNONPILOT/Tender/SplashBidNoticeAbstractUI.aspx?menuIndex=3&amp;refID=7148731&amp;Result=3","7148731")</f>
        <v>0</v>
      </c>
      <c r="B4520" t="s">
        <v>1697</v>
      </c>
      <c r="C4520" t="s">
        <v>8029</v>
      </c>
      <c r="D4520" t="s">
        <v>17990</v>
      </c>
      <c r="E4520" t="s">
        <v>19768</v>
      </c>
      <c r="F4520" t="s">
        <v>30900</v>
      </c>
      <c r="G4520" t="s">
        <v>30907</v>
      </c>
      <c r="H4520" t="s">
        <v>30916</v>
      </c>
      <c r="I4520" t="s">
        <v>30930</v>
      </c>
      <c r="J4520" t="s">
        <v>34104</v>
      </c>
      <c r="K4520" t="s">
        <v>40286</v>
      </c>
      <c r="M4520" t="s">
        <v>42360</v>
      </c>
      <c r="N4520" t="s">
        <v>44759</v>
      </c>
      <c r="O4520" t="s">
        <v>44760</v>
      </c>
      <c r="P4520">
        <v>0</v>
      </c>
      <c r="Q4520">
        <v>4</v>
      </c>
      <c r="R4520" t="s">
        <v>44763</v>
      </c>
      <c r="S4520" t="s">
        <v>44876</v>
      </c>
      <c r="T4520" t="s">
        <v>46682</v>
      </c>
      <c r="U4520" t="s">
        <v>50733</v>
      </c>
      <c r="W4520" t="s">
        <v>42360</v>
      </c>
      <c r="X4520" t="s">
        <v>44765</v>
      </c>
    </row>
    <row r="4521" spans="1:24">
      <c r="A4521">
        <f>HYPERLINK("https://www.philgeps.gov.ph/GEPSNONPILOT/Tender/SplashBidNoticeAbstractUI.aspx?menuIndex=3&amp;refID=7148771&amp;Result=3","7148771")</f>
        <v>0</v>
      </c>
      <c r="B4521" t="s">
        <v>971</v>
      </c>
      <c r="C4521" t="s">
        <v>6396</v>
      </c>
      <c r="D4521" t="s">
        <v>18017</v>
      </c>
      <c r="E4521" t="s">
        <v>22113</v>
      </c>
      <c r="F4521" t="s">
        <v>30900</v>
      </c>
      <c r="G4521" t="s">
        <v>30908</v>
      </c>
      <c r="H4521" t="s">
        <v>30916</v>
      </c>
      <c r="I4521" t="s">
        <v>6396</v>
      </c>
      <c r="J4521" t="s">
        <v>34105</v>
      </c>
      <c r="K4521" t="s">
        <v>40285</v>
      </c>
      <c r="M4521" t="s">
        <v>41558</v>
      </c>
      <c r="N4521" t="s">
        <v>44759</v>
      </c>
      <c r="O4521" t="s">
        <v>44760</v>
      </c>
      <c r="P4521">
        <v>0</v>
      </c>
      <c r="Q4521">
        <v>0</v>
      </c>
      <c r="R4521" t="s">
        <v>44763</v>
      </c>
      <c r="S4521" t="s">
        <v>44876</v>
      </c>
      <c r="T4521" t="s">
        <v>46403</v>
      </c>
      <c r="U4521" t="s">
        <v>50734</v>
      </c>
      <c r="V4521" t="s">
        <v>59345</v>
      </c>
      <c r="W4521" t="s">
        <v>41558</v>
      </c>
      <c r="X4521" t="s">
        <v>44765</v>
      </c>
    </row>
    <row r="4522" spans="1:24">
      <c r="A4522">
        <f>HYPERLINK("https://www.philgeps.gov.ph/GEPSNONPILOT/Tender/SplashBidNoticeAbstractUI.aspx?menuIndex=3&amp;refID=7148862&amp;Result=3","7148862")</f>
        <v>0</v>
      </c>
      <c r="B4522" t="s">
        <v>1696</v>
      </c>
      <c r="C4522" t="s">
        <v>8030</v>
      </c>
      <c r="D4522" t="s">
        <v>18017</v>
      </c>
      <c r="E4522" t="s">
        <v>22114</v>
      </c>
      <c r="F4522" t="s">
        <v>30900</v>
      </c>
      <c r="G4522" t="s">
        <v>30907</v>
      </c>
      <c r="H4522" t="s">
        <v>30916</v>
      </c>
      <c r="I4522" t="s">
        <v>4545</v>
      </c>
      <c r="J4522" t="s">
        <v>34106</v>
      </c>
      <c r="K4522" t="s">
        <v>40287</v>
      </c>
      <c r="M4522" t="s">
        <v>42357</v>
      </c>
      <c r="N4522" t="s">
        <v>44759</v>
      </c>
      <c r="O4522" t="s">
        <v>44760</v>
      </c>
      <c r="P4522">
        <v>0</v>
      </c>
      <c r="Q4522">
        <v>1</v>
      </c>
      <c r="R4522" t="s">
        <v>44763</v>
      </c>
      <c r="S4522" t="s">
        <v>44876</v>
      </c>
      <c r="T4522" t="s">
        <v>46361</v>
      </c>
      <c r="U4522" t="s">
        <v>50732</v>
      </c>
      <c r="W4522" t="s">
        <v>42357</v>
      </c>
      <c r="X4522" t="s">
        <v>44765</v>
      </c>
    </row>
    <row r="4523" spans="1:24">
      <c r="A4523">
        <f>HYPERLINK("https://www.philgeps.gov.ph/GEPSNONPILOT/Tender/SplashBidNoticeAbstractUI.aspx?menuIndex=3&amp;refID=7148859&amp;Result=3","7148859")</f>
        <v>0</v>
      </c>
      <c r="B4523" t="s">
        <v>1696</v>
      </c>
      <c r="C4523" t="s">
        <v>8031</v>
      </c>
      <c r="D4523" t="s">
        <v>18017</v>
      </c>
      <c r="E4523" t="s">
        <v>22115</v>
      </c>
      <c r="F4523" t="s">
        <v>30900</v>
      </c>
      <c r="G4523" t="s">
        <v>30907</v>
      </c>
      <c r="H4523" t="s">
        <v>30916</v>
      </c>
      <c r="I4523" t="s">
        <v>30921</v>
      </c>
      <c r="J4523" t="s">
        <v>34107</v>
      </c>
      <c r="K4523" t="s">
        <v>40287</v>
      </c>
      <c r="M4523" t="s">
        <v>42357</v>
      </c>
      <c r="N4523" t="s">
        <v>44759</v>
      </c>
      <c r="O4523" t="s">
        <v>44760</v>
      </c>
      <c r="P4523">
        <v>0</v>
      </c>
      <c r="Q4523">
        <v>1</v>
      </c>
      <c r="R4523" t="s">
        <v>44763</v>
      </c>
      <c r="S4523" t="s">
        <v>44876</v>
      </c>
      <c r="T4523" t="s">
        <v>46361</v>
      </c>
      <c r="U4523" t="s">
        <v>50735</v>
      </c>
      <c r="W4523" t="s">
        <v>42357</v>
      </c>
      <c r="X4523" t="s">
        <v>44765</v>
      </c>
    </row>
    <row r="4524" spans="1:24">
      <c r="A4524">
        <f>HYPERLINK("https://www.philgeps.gov.ph/GEPSNONPILOT/Tender/SplashBidNoticeAbstractUI.aspx?menuIndex=3&amp;refID=7148853&amp;Result=3","7148853")</f>
        <v>0</v>
      </c>
      <c r="B4524" t="s">
        <v>1181</v>
      </c>
      <c r="C4524" t="s">
        <v>8032</v>
      </c>
      <c r="D4524" t="s">
        <v>17959</v>
      </c>
      <c r="E4524" t="s">
        <v>22116</v>
      </c>
      <c r="F4524" t="s">
        <v>30900</v>
      </c>
      <c r="G4524" t="s">
        <v>30907</v>
      </c>
      <c r="H4524" t="s">
        <v>30916</v>
      </c>
      <c r="I4524" t="s">
        <v>30924</v>
      </c>
      <c r="J4524" t="s">
        <v>31897</v>
      </c>
      <c r="K4524" t="s">
        <v>40289</v>
      </c>
      <c r="M4524" t="s">
        <v>41790</v>
      </c>
      <c r="N4524" t="s">
        <v>44759</v>
      </c>
      <c r="O4524" t="s">
        <v>44760</v>
      </c>
      <c r="P4524">
        <v>0</v>
      </c>
      <c r="Q4524">
        <v>12</v>
      </c>
      <c r="R4524" t="s">
        <v>44763</v>
      </c>
      <c r="S4524" t="s">
        <v>44876</v>
      </c>
      <c r="T4524" t="s">
        <v>46569</v>
      </c>
      <c r="U4524" t="s">
        <v>50736</v>
      </c>
      <c r="W4524" t="s">
        <v>41790</v>
      </c>
      <c r="X4524" t="s">
        <v>44765</v>
      </c>
    </row>
    <row r="4525" spans="1:24">
      <c r="A4525">
        <f>HYPERLINK("https://www.philgeps.gov.ph/GEPSNONPILOT/Tender/SplashBidNoticeAbstractUI.aspx?menuIndex=3&amp;refID=7148850&amp;Result=3","7148850")</f>
        <v>0</v>
      </c>
      <c r="B4525" t="s">
        <v>1698</v>
      </c>
      <c r="C4525" t="s">
        <v>8033</v>
      </c>
      <c r="D4525" t="s">
        <v>17999</v>
      </c>
      <c r="E4525" t="s">
        <v>22117</v>
      </c>
      <c r="F4525" t="s">
        <v>30900</v>
      </c>
      <c r="G4525" t="s">
        <v>30907</v>
      </c>
      <c r="H4525" t="s">
        <v>30915</v>
      </c>
      <c r="I4525" t="s">
        <v>30919</v>
      </c>
      <c r="J4525" t="s">
        <v>34108</v>
      </c>
      <c r="K4525" t="s">
        <v>40343</v>
      </c>
      <c r="M4525" t="s">
        <v>42361</v>
      </c>
      <c r="N4525" t="s">
        <v>44759</v>
      </c>
      <c r="O4525" t="s">
        <v>44760</v>
      </c>
      <c r="P4525">
        <v>0</v>
      </c>
      <c r="Q4525">
        <v>0</v>
      </c>
      <c r="R4525" t="s">
        <v>44763</v>
      </c>
      <c r="S4525" t="s">
        <v>44876</v>
      </c>
      <c r="T4525" t="s">
        <v>46405</v>
      </c>
      <c r="U4525" t="s">
        <v>50737</v>
      </c>
      <c r="W4525" t="s">
        <v>42361</v>
      </c>
      <c r="X4525" t="s">
        <v>44765</v>
      </c>
    </row>
    <row r="4526" spans="1:24">
      <c r="A4526">
        <f>HYPERLINK("https://www.philgeps.gov.ph/GEPSNONPILOT/Tender/SplashBidNoticeAbstractUI.aspx?menuIndex=3&amp;refID=7148845&amp;Result=3","7148845")</f>
        <v>0</v>
      </c>
      <c r="B4526" t="s">
        <v>1698</v>
      </c>
      <c r="C4526" t="s">
        <v>8034</v>
      </c>
      <c r="D4526" t="s">
        <v>17999</v>
      </c>
      <c r="E4526" t="s">
        <v>22118</v>
      </c>
      <c r="F4526" t="s">
        <v>30900</v>
      </c>
      <c r="G4526" t="s">
        <v>30907</v>
      </c>
      <c r="H4526" t="s">
        <v>30915</v>
      </c>
      <c r="I4526" t="s">
        <v>30919</v>
      </c>
      <c r="J4526" t="s">
        <v>34109</v>
      </c>
      <c r="K4526" t="s">
        <v>40339</v>
      </c>
      <c r="M4526" t="s">
        <v>42361</v>
      </c>
      <c r="N4526" t="s">
        <v>44759</v>
      </c>
      <c r="O4526" t="s">
        <v>44760</v>
      </c>
      <c r="P4526">
        <v>0</v>
      </c>
      <c r="Q4526">
        <v>0</v>
      </c>
      <c r="R4526" t="s">
        <v>44763</v>
      </c>
      <c r="S4526" t="s">
        <v>44876</v>
      </c>
      <c r="T4526" t="s">
        <v>46399</v>
      </c>
      <c r="U4526" t="s">
        <v>50738</v>
      </c>
      <c r="W4526" t="s">
        <v>42361</v>
      </c>
      <c r="X4526" t="s">
        <v>44765</v>
      </c>
    </row>
    <row r="4527" spans="1:24">
      <c r="A4527">
        <f>HYPERLINK("https://www.philgeps.gov.ph/GEPSNONPILOT/Tender/SplashBidNoticeAbstractUI.aspx?menuIndex=3&amp;refID=7148838&amp;Result=3","7148838")</f>
        <v>0</v>
      </c>
      <c r="B4527" t="s">
        <v>1699</v>
      </c>
      <c r="C4527" t="s">
        <v>8035</v>
      </c>
      <c r="D4527" t="s">
        <v>17973</v>
      </c>
      <c r="E4527" t="s">
        <v>18066</v>
      </c>
      <c r="F4527" t="s">
        <v>30900</v>
      </c>
      <c r="G4527" t="s">
        <v>30907</v>
      </c>
      <c r="H4527" t="s">
        <v>30916</v>
      </c>
      <c r="I4527" t="s">
        <v>8123</v>
      </c>
      <c r="J4527" t="s">
        <v>34110</v>
      </c>
      <c r="K4527" t="s">
        <v>40286</v>
      </c>
      <c r="M4527" t="s">
        <v>42362</v>
      </c>
      <c r="N4527" t="s">
        <v>44759</v>
      </c>
      <c r="O4527" t="s">
        <v>44760</v>
      </c>
      <c r="P4527">
        <v>0</v>
      </c>
      <c r="Q4527">
        <v>0</v>
      </c>
      <c r="R4527" t="s">
        <v>44763</v>
      </c>
      <c r="S4527" t="s">
        <v>44876</v>
      </c>
      <c r="T4527" t="s">
        <v>46683</v>
      </c>
      <c r="U4527" t="s">
        <v>47008</v>
      </c>
      <c r="V4527" t="s">
        <v>59599</v>
      </c>
      <c r="W4527" t="s">
        <v>42362</v>
      </c>
      <c r="X4527" t="s">
        <v>44765</v>
      </c>
    </row>
    <row r="4528" spans="1:24">
      <c r="A4528">
        <f>HYPERLINK("https://www.philgeps.gov.ph/GEPSNONPILOT/Tender/SplashBidNoticeAbstractUI.aspx?menuIndex=3&amp;refID=7148819&amp;Result=3","7148819")</f>
        <v>0</v>
      </c>
      <c r="B4528" t="s">
        <v>1700</v>
      </c>
      <c r="C4528" t="s">
        <v>8036</v>
      </c>
      <c r="D4528" t="s">
        <v>17961</v>
      </c>
      <c r="E4528" t="s">
        <v>18615</v>
      </c>
      <c r="F4528" t="s">
        <v>30900</v>
      </c>
      <c r="G4528" t="s">
        <v>30910</v>
      </c>
      <c r="H4528" t="s">
        <v>30916</v>
      </c>
      <c r="I4528" t="s">
        <v>4142</v>
      </c>
      <c r="J4528" t="s">
        <v>34111</v>
      </c>
      <c r="K4528" t="s">
        <v>40285</v>
      </c>
      <c r="M4528" t="s">
        <v>42363</v>
      </c>
      <c r="N4528" t="s">
        <v>44759</v>
      </c>
      <c r="O4528" t="s">
        <v>44760</v>
      </c>
      <c r="P4528">
        <v>0</v>
      </c>
      <c r="Q4528">
        <v>0</v>
      </c>
      <c r="R4528" t="s">
        <v>44763</v>
      </c>
      <c r="S4528" t="s">
        <v>44876</v>
      </c>
      <c r="T4528" t="s">
        <v>46684</v>
      </c>
      <c r="U4528" t="s">
        <v>50739</v>
      </c>
      <c r="V4528" t="s">
        <v>59600</v>
      </c>
      <c r="W4528" t="s">
        <v>42363</v>
      </c>
      <c r="X4528" t="s">
        <v>44765</v>
      </c>
    </row>
    <row r="4529" spans="1:24">
      <c r="A4529">
        <f>HYPERLINK("https://www.philgeps.gov.ph/GEPSNONPILOT/Tender/SplashBidNoticeAbstractUI.aspx?menuIndex=3&amp;refID=7148769&amp;Result=3","7148769")</f>
        <v>0</v>
      </c>
      <c r="B4529" t="s">
        <v>1100</v>
      </c>
      <c r="C4529" t="s">
        <v>8037</v>
      </c>
      <c r="D4529" t="s">
        <v>17980</v>
      </c>
      <c r="E4529" t="s">
        <v>22119</v>
      </c>
      <c r="F4529" t="s">
        <v>30900</v>
      </c>
      <c r="G4529" t="s">
        <v>30908</v>
      </c>
      <c r="H4529" t="s">
        <v>30916</v>
      </c>
      <c r="I4529" t="s">
        <v>10602</v>
      </c>
      <c r="J4529" t="s">
        <v>31043</v>
      </c>
      <c r="K4529" t="s">
        <v>40289</v>
      </c>
      <c r="M4529" t="s">
        <v>41789</v>
      </c>
      <c r="N4529" t="s">
        <v>44759</v>
      </c>
      <c r="O4529" t="s">
        <v>44760</v>
      </c>
      <c r="P4529">
        <v>0</v>
      </c>
      <c r="Q4529">
        <v>0</v>
      </c>
      <c r="R4529" t="s">
        <v>44763</v>
      </c>
      <c r="S4529" t="s">
        <v>44876</v>
      </c>
      <c r="T4529" t="s">
        <v>46404</v>
      </c>
      <c r="U4529" t="s">
        <v>50740</v>
      </c>
      <c r="W4529" t="s">
        <v>41789</v>
      </c>
      <c r="X4529" t="s">
        <v>44765</v>
      </c>
    </row>
    <row r="4530" spans="1:24">
      <c r="A4530">
        <f>HYPERLINK("https://www.philgeps.gov.ph/GEPSNONPILOT/Tender/SplashBidNoticeAbstractUI.aspx?menuIndex=3&amp;refID=7148767&amp;Result=3","7148767")</f>
        <v>0</v>
      </c>
      <c r="B4530" t="s">
        <v>1701</v>
      </c>
      <c r="C4530" t="s">
        <v>8038</v>
      </c>
      <c r="D4530" t="s">
        <v>17973</v>
      </c>
      <c r="E4530" t="s">
        <v>22120</v>
      </c>
      <c r="F4530" t="s">
        <v>30900</v>
      </c>
      <c r="G4530" t="s">
        <v>30907</v>
      </c>
      <c r="H4530" t="s">
        <v>30916</v>
      </c>
      <c r="I4530" t="s">
        <v>8123</v>
      </c>
      <c r="J4530" t="s">
        <v>34112</v>
      </c>
      <c r="K4530" t="s">
        <v>40286</v>
      </c>
      <c r="M4530" t="s">
        <v>42364</v>
      </c>
      <c r="N4530" t="s">
        <v>44759</v>
      </c>
      <c r="O4530" t="s">
        <v>44760</v>
      </c>
      <c r="P4530">
        <v>0</v>
      </c>
      <c r="Q4530">
        <v>0</v>
      </c>
      <c r="R4530" t="s">
        <v>44763</v>
      </c>
      <c r="S4530" t="s">
        <v>44876</v>
      </c>
      <c r="T4530" t="s">
        <v>46390</v>
      </c>
      <c r="U4530" t="s">
        <v>50741</v>
      </c>
      <c r="W4530" t="s">
        <v>42364</v>
      </c>
      <c r="X4530" t="s">
        <v>44765</v>
      </c>
    </row>
    <row r="4531" spans="1:24">
      <c r="A4531">
        <f>HYPERLINK("https://www.philgeps.gov.ph/GEPSNONPILOT/Tender/SplashBidNoticeAbstractUI.aspx?menuIndex=3&amp;refID=7148760&amp;Result=3","7148760")</f>
        <v>0</v>
      </c>
      <c r="B4531" t="s">
        <v>1702</v>
      </c>
      <c r="C4531" t="s">
        <v>8039</v>
      </c>
      <c r="D4531" t="s">
        <v>17978</v>
      </c>
      <c r="E4531" t="s">
        <v>22121</v>
      </c>
      <c r="F4531" t="s">
        <v>30900</v>
      </c>
      <c r="G4531" t="s">
        <v>30912</v>
      </c>
      <c r="H4531" t="s">
        <v>30916</v>
      </c>
      <c r="I4531" t="s">
        <v>5501</v>
      </c>
      <c r="J4531" t="s">
        <v>31767</v>
      </c>
      <c r="K4531" t="s">
        <v>40284</v>
      </c>
      <c r="M4531" t="s">
        <v>42365</v>
      </c>
      <c r="N4531" t="s">
        <v>44759</v>
      </c>
      <c r="O4531" t="s">
        <v>44760</v>
      </c>
      <c r="P4531">
        <v>0</v>
      </c>
      <c r="Q4531">
        <v>0</v>
      </c>
      <c r="R4531" t="s">
        <v>44763</v>
      </c>
      <c r="S4531" t="s">
        <v>44876</v>
      </c>
      <c r="T4531" t="s">
        <v>46412</v>
      </c>
      <c r="U4531" t="s">
        <v>50742</v>
      </c>
      <c r="W4531" t="s">
        <v>42365</v>
      </c>
      <c r="X4531" t="s">
        <v>44765</v>
      </c>
    </row>
    <row r="4532" spans="1:24">
      <c r="A4532">
        <f>HYPERLINK("https://www.philgeps.gov.ph/GEPSNONPILOT/Tender/SplashBidNoticeAbstractUI.aspx?menuIndex=3&amp;refID=7148757&amp;Result=3","7148757")</f>
        <v>0</v>
      </c>
      <c r="B4532" t="s">
        <v>521</v>
      </c>
      <c r="C4532" t="s">
        <v>8040</v>
      </c>
      <c r="D4532" t="s">
        <v>17978</v>
      </c>
      <c r="E4532" t="s">
        <v>22122</v>
      </c>
      <c r="F4532" t="s">
        <v>30900</v>
      </c>
      <c r="G4532" t="s">
        <v>30912</v>
      </c>
      <c r="H4532" t="s">
        <v>30916</v>
      </c>
      <c r="I4532" t="s">
        <v>30923</v>
      </c>
      <c r="J4532" t="s">
        <v>34113</v>
      </c>
      <c r="K4532" t="s">
        <v>40284</v>
      </c>
      <c r="M4532" t="s">
        <v>41081</v>
      </c>
      <c r="N4532" t="s">
        <v>44759</v>
      </c>
      <c r="O4532" t="s">
        <v>44760</v>
      </c>
      <c r="P4532">
        <v>0</v>
      </c>
      <c r="Q4532">
        <v>1</v>
      </c>
      <c r="R4532" t="s">
        <v>44763</v>
      </c>
      <c r="S4532" t="s">
        <v>44876</v>
      </c>
      <c r="T4532" t="s">
        <v>46412</v>
      </c>
      <c r="U4532" t="s">
        <v>50743</v>
      </c>
      <c r="W4532" t="s">
        <v>41081</v>
      </c>
      <c r="X4532" t="s">
        <v>44765</v>
      </c>
    </row>
    <row r="4533" spans="1:24">
      <c r="A4533">
        <f>HYPERLINK("https://www.philgeps.gov.ph/GEPSNONPILOT/Tender/SplashBidNoticeAbstractUI.aspx?menuIndex=3&amp;refID=7148601&amp;Result=3","7148601")</f>
        <v>0</v>
      </c>
      <c r="B4533" t="s">
        <v>1703</v>
      </c>
      <c r="C4533" t="s">
        <v>8041</v>
      </c>
      <c r="D4533" t="s">
        <v>17953</v>
      </c>
      <c r="E4533" t="s">
        <v>22123</v>
      </c>
      <c r="F4533" t="s">
        <v>30900</v>
      </c>
      <c r="G4533" t="s">
        <v>30908</v>
      </c>
      <c r="H4533" t="s">
        <v>30916</v>
      </c>
      <c r="I4533" t="s">
        <v>8123</v>
      </c>
      <c r="J4533" t="s">
        <v>34114</v>
      </c>
      <c r="K4533" t="s">
        <v>40280</v>
      </c>
      <c r="M4533" t="s">
        <v>42366</v>
      </c>
      <c r="N4533" t="s">
        <v>44759</v>
      </c>
      <c r="O4533" t="s">
        <v>44760</v>
      </c>
      <c r="P4533">
        <v>0</v>
      </c>
      <c r="Q4533">
        <v>1</v>
      </c>
      <c r="R4533" t="s">
        <v>44763</v>
      </c>
      <c r="S4533" t="s">
        <v>44876</v>
      </c>
      <c r="T4533" t="s">
        <v>46403</v>
      </c>
      <c r="U4533" t="s">
        <v>50744</v>
      </c>
      <c r="V4533" t="s">
        <v>59601</v>
      </c>
      <c r="W4533" t="s">
        <v>42366</v>
      </c>
      <c r="X4533" t="s">
        <v>44765</v>
      </c>
    </row>
    <row r="4534" spans="1:24">
      <c r="A4534">
        <f>HYPERLINK("https://www.philgeps.gov.ph/GEPSNONPILOT/Tender/SplashBidNoticeAbstractUI.aspx?menuIndex=3&amp;refID=7148576&amp;Result=3","7148576")</f>
        <v>0</v>
      </c>
      <c r="B4534" t="s">
        <v>1679</v>
      </c>
      <c r="C4534" t="s">
        <v>8042</v>
      </c>
      <c r="D4534" t="s">
        <v>17953</v>
      </c>
      <c r="E4534" t="s">
        <v>22124</v>
      </c>
      <c r="F4534" t="s">
        <v>30900</v>
      </c>
      <c r="G4534" t="s">
        <v>30907</v>
      </c>
      <c r="H4534" t="s">
        <v>30916</v>
      </c>
      <c r="I4534" t="s">
        <v>11785</v>
      </c>
      <c r="J4534" t="s">
        <v>34113</v>
      </c>
      <c r="K4534" t="s">
        <v>40287</v>
      </c>
      <c r="L4534" t="s">
        <v>1679</v>
      </c>
      <c r="M4534" t="s">
        <v>42338</v>
      </c>
      <c r="N4534" t="s">
        <v>44759</v>
      </c>
      <c r="O4534" t="s">
        <v>44760</v>
      </c>
      <c r="P4534">
        <v>0</v>
      </c>
      <c r="Q4534">
        <v>1</v>
      </c>
      <c r="R4534" t="s">
        <v>44763</v>
      </c>
      <c r="S4534" t="s">
        <v>44876</v>
      </c>
      <c r="T4534" t="s">
        <v>46399</v>
      </c>
      <c r="U4534" t="s">
        <v>50693</v>
      </c>
      <c r="V4534" t="s">
        <v>59595</v>
      </c>
      <c r="W4534" t="s">
        <v>42338</v>
      </c>
      <c r="X4534" t="s">
        <v>44766</v>
      </c>
    </row>
    <row r="4535" spans="1:24">
      <c r="A4535">
        <f>HYPERLINK("https://www.philgeps.gov.ph/GEPSNONPILOT/Tender/SplashBidNoticeAbstractUI.aspx?menuIndex=3&amp;refID=7148599&amp;Result=3","7148599")</f>
        <v>0</v>
      </c>
      <c r="B4535" t="s">
        <v>1704</v>
      </c>
      <c r="C4535" t="s">
        <v>8043</v>
      </c>
      <c r="D4535" t="s">
        <v>17993</v>
      </c>
      <c r="E4535" t="s">
        <v>22125</v>
      </c>
      <c r="F4535" t="s">
        <v>30900</v>
      </c>
      <c r="G4535" t="s">
        <v>30907</v>
      </c>
      <c r="H4535" t="s">
        <v>30916</v>
      </c>
      <c r="I4535" t="s">
        <v>30965</v>
      </c>
      <c r="J4535" t="s">
        <v>31098</v>
      </c>
      <c r="K4535" t="s">
        <v>40286</v>
      </c>
      <c r="M4535" t="s">
        <v>42367</v>
      </c>
      <c r="N4535" t="s">
        <v>44759</v>
      </c>
      <c r="O4535" t="s">
        <v>44760</v>
      </c>
      <c r="P4535">
        <v>0</v>
      </c>
      <c r="Q4535">
        <v>4</v>
      </c>
      <c r="R4535" t="s">
        <v>44763</v>
      </c>
      <c r="S4535" t="s">
        <v>44876</v>
      </c>
      <c r="T4535" t="s">
        <v>46376</v>
      </c>
      <c r="U4535" t="s">
        <v>50745</v>
      </c>
      <c r="W4535" t="s">
        <v>42367</v>
      </c>
      <c r="X4535" t="s">
        <v>44765</v>
      </c>
    </row>
    <row r="4536" spans="1:24">
      <c r="A4536">
        <f>HYPERLINK("https://www.philgeps.gov.ph/GEPSNONPILOT/Tender/SplashBidNoticeAbstractUI.aspx?menuIndex=3&amp;refID=7148867&amp;Result=3","7148867")</f>
        <v>0</v>
      </c>
      <c r="B4536" t="s">
        <v>1696</v>
      </c>
      <c r="C4536" t="s">
        <v>8044</v>
      </c>
      <c r="D4536" t="s">
        <v>18017</v>
      </c>
      <c r="E4536" t="s">
        <v>22126</v>
      </c>
      <c r="F4536" t="s">
        <v>30900</v>
      </c>
      <c r="G4536" t="s">
        <v>30907</v>
      </c>
      <c r="H4536" t="s">
        <v>30916</v>
      </c>
      <c r="I4536" t="s">
        <v>8044</v>
      </c>
      <c r="J4536" t="s">
        <v>34115</v>
      </c>
      <c r="K4536" t="s">
        <v>40287</v>
      </c>
      <c r="M4536" t="s">
        <v>42357</v>
      </c>
      <c r="N4536" t="s">
        <v>44759</v>
      </c>
      <c r="O4536" t="s">
        <v>44760</v>
      </c>
      <c r="P4536">
        <v>0</v>
      </c>
      <c r="Q4536">
        <v>1</v>
      </c>
      <c r="R4536" t="s">
        <v>44763</v>
      </c>
      <c r="S4536" t="s">
        <v>44876</v>
      </c>
      <c r="T4536" t="s">
        <v>46400</v>
      </c>
      <c r="U4536" t="s">
        <v>50732</v>
      </c>
      <c r="W4536" t="s">
        <v>42357</v>
      </c>
      <c r="X4536" t="s">
        <v>44764</v>
      </c>
    </row>
    <row r="4537" spans="1:24">
      <c r="A4537">
        <f>HYPERLINK("https://www.philgeps.gov.ph/GEPSNONPILOT/Tender/SplashBidNoticeAbstractUI.aspx?menuIndex=3&amp;refID=7148590&amp;Result=3","7148590")</f>
        <v>0</v>
      </c>
      <c r="B4537" t="s">
        <v>1705</v>
      </c>
      <c r="C4537" t="s">
        <v>8045</v>
      </c>
      <c r="D4537" t="s">
        <v>17961</v>
      </c>
      <c r="E4537" t="s">
        <v>18149</v>
      </c>
      <c r="F4537" t="s">
        <v>30900</v>
      </c>
      <c r="G4537" t="s">
        <v>30909</v>
      </c>
      <c r="H4537" t="s">
        <v>30916</v>
      </c>
      <c r="I4537" t="s">
        <v>6396</v>
      </c>
      <c r="J4537" t="s">
        <v>31043</v>
      </c>
      <c r="K4537" t="s">
        <v>40285</v>
      </c>
      <c r="M4537" t="s">
        <v>42368</v>
      </c>
      <c r="N4537" t="s">
        <v>44759</v>
      </c>
      <c r="O4537" t="s">
        <v>44760</v>
      </c>
      <c r="P4537">
        <v>0</v>
      </c>
      <c r="Q4537">
        <v>1</v>
      </c>
      <c r="R4537" t="s">
        <v>44763</v>
      </c>
      <c r="S4537" t="s">
        <v>44876</v>
      </c>
      <c r="T4537" t="s">
        <v>46571</v>
      </c>
      <c r="U4537" t="s">
        <v>50746</v>
      </c>
      <c r="W4537" t="s">
        <v>42368</v>
      </c>
      <c r="X4537" t="s">
        <v>44765</v>
      </c>
    </row>
    <row r="4538" spans="1:24">
      <c r="A4538">
        <f>HYPERLINK("https://www.philgeps.gov.ph/GEPSNONPILOT/Tender/SplashBidNoticeAbstractUI.aspx?menuIndex=3&amp;refID=7148432&amp;Result=3","7148432")</f>
        <v>0</v>
      </c>
      <c r="B4538" t="s">
        <v>1684</v>
      </c>
      <c r="C4538" t="s">
        <v>8046</v>
      </c>
      <c r="D4538" t="s">
        <v>18033</v>
      </c>
      <c r="E4538" t="s">
        <v>22127</v>
      </c>
      <c r="F4538" t="s">
        <v>30900</v>
      </c>
      <c r="G4538" t="s">
        <v>30909</v>
      </c>
      <c r="H4538" t="s">
        <v>30916</v>
      </c>
      <c r="I4538" t="s">
        <v>4142</v>
      </c>
      <c r="J4538" t="s">
        <v>31101</v>
      </c>
      <c r="K4538" t="s">
        <v>40289</v>
      </c>
      <c r="M4538" t="s">
        <v>42343</v>
      </c>
      <c r="N4538" t="s">
        <v>44759</v>
      </c>
      <c r="O4538" t="s">
        <v>44760</v>
      </c>
      <c r="P4538">
        <v>0</v>
      </c>
      <c r="Q4538">
        <v>0</v>
      </c>
      <c r="R4538" t="s">
        <v>44763</v>
      </c>
      <c r="S4538" t="s">
        <v>44876</v>
      </c>
      <c r="T4538" t="s">
        <v>46376</v>
      </c>
      <c r="U4538" t="s">
        <v>50698</v>
      </c>
      <c r="V4538" t="s">
        <v>59596</v>
      </c>
      <c r="W4538" t="s">
        <v>42343</v>
      </c>
      <c r="X4538" t="s">
        <v>44766</v>
      </c>
    </row>
    <row r="4539" spans="1:24">
      <c r="A4539">
        <f>HYPERLINK("https://www.philgeps.gov.ph/GEPSNONPILOT/Tender/SplashBidNoticeAbstractUI.aspx?menuIndex=3&amp;refID=7148901&amp;Result=3","7148901")</f>
        <v>0</v>
      </c>
      <c r="B4539" t="s">
        <v>1706</v>
      </c>
      <c r="C4539" t="s">
        <v>8047</v>
      </c>
      <c r="D4539" t="s">
        <v>17999</v>
      </c>
      <c r="E4539" t="s">
        <v>22128</v>
      </c>
      <c r="F4539" t="s">
        <v>30900</v>
      </c>
      <c r="G4539" t="s">
        <v>30908</v>
      </c>
      <c r="H4539" t="s">
        <v>30916</v>
      </c>
      <c r="I4539" t="s">
        <v>30933</v>
      </c>
      <c r="J4539" t="s">
        <v>34116</v>
      </c>
      <c r="K4539" t="s">
        <v>40283</v>
      </c>
      <c r="M4539" t="s">
        <v>42369</v>
      </c>
      <c r="N4539" t="s">
        <v>44759</v>
      </c>
      <c r="O4539" t="s">
        <v>44760</v>
      </c>
      <c r="P4539">
        <v>0</v>
      </c>
      <c r="Q4539">
        <v>0</v>
      </c>
      <c r="R4539" t="s">
        <v>44763</v>
      </c>
      <c r="S4539" t="s">
        <v>44876</v>
      </c>
      <c r="T4539" t="s">
        <v>46414</v>
      </c>
      <c r="U4539" t="s">
        <v>50747</v>
      </c>
      <c r="W4539" t="s">
        <v>42369</v>
      </c>
      <c r="X4539" t="s">
        <v>44764</v>
      </c>
    </row>
    <row r="4540" spans="1:24">
      <c r="A4540">
        <f>HYPERLINK("https://www.philgeps.gov.ph/GEPSNONPILOT/Tender/SplashBidNoticeAbstractUI.aspx?menuIndex=3&amp;refID=7148876&amp;Result=3","7148876")</f>
        <v>0</v>
      </c>
      <c r="B4540" t="s">
        <v>1707</v>
      </c>
      <c r="C4540" t="s">
        <v>8048</v>
      </c>
      <c r="D4540" t="s">
        <v>17973</v>
      </c>
      <c r="E4540" t="s">
        <v>22129</v>
      </c>
      <c r="F4540" t="s">
        <v>30900</v>
      </c>
      <c r="G4540" t="s">
        <v>30907</v>
      </c>
      <c r="H4540" t="s">
        <v>30916</v>
      </c>
      <c r="I4540" t="s">
        <v>8123</v>
      </c>
      <c r="J4540" t="s">
        <v>34117</v>
      </c>
      <c r="K4540" t="s">
        <v>40286</v>
      </c>
      <c r="M4540" t="s">
        <v>42370</v>
      </c>
      <c r="N4540" t="s">
        <v>44759</v>
      </c>
      <c r="O4540" t="s">
        <v>44760</v>
      </c>
      <c r="P4540">
        <v>0</v>
      </c>
      <c r="Q4540">
        <v>0</v>
      </c>
      <c r="R4540" t="s">
        <v>44763</v>
      </c>
      <c r="S4540" t="s">
        <v>44876</v>
      </c>
      <c r="T4540" t="s">
        <v>46499</v>
      </c>
      <c r="U4540" t="s">
        <v>50748</v>
      </c>
      <c r="W4540" t="s">
        <v>42370</v>
      </c>
      <c r="X4540" t="s">
        <v>44764</v>
      </c>
    </row>
    <row r="4541" spans="1:24">
      <c r="A4541">
        <f>HYPERLINK("https://www.philgeps.gov.ph/GEPSNONPILOT/Tender/SplashBidNoticeAbstractUI.aspx?menuIndex=3&amp;refID=7148852&amp;Result=3","7148852")</f>
        <v>0</v>
      </c>
      <c r="B4541" t="s">
        <v>1698</v>
      </c>
      <c r="C4541" t="s">
        <v>8049</v>
      </c>
      <c r="D4541" t="s">
        <v>17999</v>
      </c>
      <c r="E4541" t="s">
        <v>22130</v>
      </c>
      <c r="F4541" t="s">
        <v>30900</v>
      </c>
      <c r="G4541" t="s">
        <v>30907</v>
      </c>
      <c r="H4541" t="s">
        <v>30915</v>
      </c>
      <c r="I4541" t="s">
        <v>30919</v>
      </c>
      <c r="J4541" t="s">
        <v>34118</v>
      </c>
      <c r="K4541" t="s">
        <v>40303</v>
      </c>
      <c r="M4541" t="s">
        <v>42361</v>
      </c>
      <c r="N4541" t="s">
        <v>44759</v>
      </c>
      <c r="O4541" t="s">
        <v>44760</v>
      </c>
      <c r="P4541">
        <v>0</v>
      </c>
      <c r="Q4541">
        <v>0</v>
      </c>
      <c r="R4541" t="s">
        <v>44763</v>
      </c>
      <c r="S4541" t="s">
        <v>44876</v>
      </c>
      <c r="T4541" t="s">
        <v>46399</v>
      </c>
      <c r="U4541" t="s">
        <v>50749</v>
      </c>
      <c r="W4541" t="s">
        <v>42361</v>
      </c>
      <c r="X4541" t="s">
        <v>44765</v>
      </c>
    </row>
    <row r="4542" spans="1:24">
      <c r="A4542">
        <f>HYPERLINK("https://www.philgeps.gov.ph/GEPSNONPILOT/Tender/SplashBidNoticeAbstractUI.aspx?menuIndex=3&amp;refID=7148900&amp;Result=3","7148900")</f>
        <v>0</v>
      </c>
      <c r="B4542" t="s">
        <v>1100</v>
      </c>
      <c r="C4542" t="s">
        <v>8050</v>
      </c>
      <c r="D4542" t="s">
        <v>18004</v>
      </c>
      <c r="E4542" t="s">
        <v>22131</v>
      </c>
      <c r="F4542" t="s">
        <v>30900</v>
      </c>
      <c r="G4542" t="s">
        <v>30908</v>
      </c>
      <c r="H4542" t="s">
        <v>30916</v>
      </c>
      <c r="I4542" t="s">
        <v>10602</v>
      </c>
      <c r="J4542" t="s">
        <v>31355</v>
      </c>
      <c r="K4542" t="s">
        <v>40289</v>
      </c>
      <c r="M4542" t="s">
        <v>41789</v>
      </c>
      <c r="N4542" t="s">
        <v>44759</v>
      </c>
      <c r="O4542" t="s">
        <v>44760</v>
      </c>
      <c r="P4542">
        <v>0</v>
      </c>
      <c r="Q4542">
        <v>0</v>
      </c>
      <c r="R4542" t="s">
        <v>44763</v>
      </c>
      <c r="S4542" t="s">
        <v>44876</v>
      </c>
      <c r="T4542" t="s">
        <v>46404</v>
      </c>
      <c r="U4542" t="s">
        <v>50750</v>
      </c>
      <c r="W4542" t="s">
        <v>41789</v>
      </c>
      <c r="X4542" t="s">
        <v>44764</v>
      </c>
    </row>
    <row r="4543" spans="1:24">
      <c r="A4543">
        <f>HYPERLINK("https://www.philgeps.gov.ph/GEPSNONPILOT/Tender/SplashBidNoticeAbstractUI.aspx?menuIndex=3&amp;refID=7148896&amp;Result=3","7148896")</f>
        <v>0</v>
      </c>
      <c r="B4543" t="s">
        <v>1708</v>
      </c>
      <c r="C4543" t="s">
        <v>8051</v>
      </c>
      <c r="D4543" t="s">
        <v>17975</v>
      </c>
      <c r="E4543" t="s">
        <v>22132</v>
      </c>
      <c r="F4543" t="s">
        <v>30900</v>
      </c>
      <c r="G4543" t="s">
        <v>30909</v>
      </c>
      <c r="H4543" t="s">
        <v>30916</v>
      </c>
      <c r="I4543" t="s">
        <v>8123</v>
      </c>
      <c r="J4543" t="s">
        <v>34119</v>
      </c>
      <c r="K4543" t="s">
        <v>40289</v>
      </c>
      <c r="M4543" t="s">
        <v>42371</v>
      </c>
      <c r="N4543" t="s">
        <v>44759</v>
      </c>
      <c r="O4543" t="s">
        <v>44760</v>
      </c>
      <c r="P4543">
        <v>0</v>
      </c>
      <c r="Q4543">
        <v>0</v>
      </c>
      <c r="R4543" t="s">
        <v>44763</v>
      </c>
      <c r="S4543" t="s">
        <v>44876</v>
      </c>
      <c r="T4543" t="s">
        <v>46591</v>
      </c>
      <c r="U4543" t="s">
        <v>50751</v>
      </c>
      <c r="V4543" t="s">
        <v>59602</v>
      </c>
      <c r="W4543" t="s">
        <v>42371</v>
      </c>
      <c r="X4543" t="s">
        <v>44764</v>
      </c>
    </row>
    <row r="4544" spans="1:24">
      <c r="A4544">
        <f>HYPERLINK("https://www.philgeps.gov.ph/GEPSNONPILOT/Tender/SplashBidNoticeAbstractUI.aspx?menuIndex=3&amp;refID=7148895&amp;Result=3","7148895")</f>
        <v>0</v>
      </c>
      <c r="B4544" t="s">
        <v>1708</v>
      </c>
      <c r="C4544" t="s">
        <v>8052</v>
      </c>
      <c r="D4544" t="s">
        <v>17975</v>
      </c>
      <c r="E4544" t="s">
        <v>22133</v>
      </c>
      <c r="F4544" t="s">
        <v>30900</v>
      </c>
      <c r="G4544" t="s">
        <v>30909</v>
      </c>
      <c r="H4544" t="s">
        <v>30916</v>
      </c>
      <c r="I4544" t="s">
        <v>8123</v>
      </c>
      <c r="J4544" t="s">
        <v>34120</v>
      </c>
      <c r="K4544" t="s">
        <v>40287</v>
      </c>
      <c r="M4544" t="s">
        <v>42371</v>
      </c>
      <c r="N4544" t="s">
        <v>44759</v>
      </c>
      <c r="O4544" t="s">
        <v>44760</v>
      </c>
      <c r="P4544">
        <v>0</v>
      </c>
      <c r="Q4544">
        <v>0</v>
      </c>
      <c r="R4544" t="s">
        <v>44763</v>
      </c>
      <c r="S4544" t="s">
        <v>44876</v>
      </c>
      <c r="T4544" t="s">
        <v>46625</v>
      </c>
      <c r="U4544" t="s">
        <v>50752</v>
      </c>
      <c r="V4544" t="s">
        <v>59602</v>
      </c>
      <c r="W4544" t="s">
        <v>42371</v>
      </c>
      <c r="X4544" t="s">
        <v>44764</v>
      </c>
    </row>
    <row r="4545" spans="1:24">
      <c r="A4545">
        <f>HYPERLINK("https://www.philgeps.gov.ph/GEPSNONPILOT/Tender/SplashBidNoticeAbstractUI.aspx?menuIndex=3&amp;refID=7148894&amp;Result=3","7148894")</f>
        <v>0</v>
      </c>
      <c r="B4545" t="s">
        <v>1709</v>
      </c>
      <c r="C4545" t="s">
        <v>8053</v>
      </c>
      <c r="D4545" t="s">
        <v>18019</v>
      </c>
      <c r="E4545" t="s">
        <v>22134</v>
      </c>
      <c r="F4545" t="s">
        <v>30900</v>
      </c>
      <c r="G4545" t="s">
        <v>30908</v>
      </c>
      <c r="H4545" t="s">
        <v>30916</v>
      </c>
      <c r="I4545" t="s">
        <v>8365</v>
      </c>
      <c r="J4545" t="s">
        <v>34121</v>
      </c>
      <c r="K4545" t="s">
        <v>40288</v>
      </c>
      <c r="M4545" t="s">
        <v>42372</v>
      </c>
      <c r="N4545" t="s">
        <v>44759</v>
      </c>
      <c r="O4545" t="s">
        <v>44760</v>
      </c>
      <c r="P4545">
        <v>0</v>
      </c>
      <c r="Q4545">
        <v>2</v>
      </c>
      <c r="R4545" t="s">
        <v>44763</v>
      </c>
      <c r="S4545" t="s">
        <v>44876</v>
      </c>
      <c r="T4545" t="s">
        <v>46533</v>
      </c>
      <c r="U4545" t="s">
        <v>50753</v>
      </c>
      <c r="W4545" t="s">
        <v>42372</v>
      </c>
      <c r="X4545" t="s">
        <v>44764</v>
      </c>
    </row>
    <row r="4546" spans="1:24">
      <c r="A4546">
        <f>HYPERLINK("https://www.philgeps.gov.ph/GEPSNONPILOT/Tender/SplashBidNoticeAbstractUI.aspx?menuIndex=3&amp;refID=7148864&amp;Result=3","7148864")</f>
        <v>0</v>
      </c>
      <c r="B4546" t="s">
        <v>1696</v>
      </c>
      <c r="C4546" t="s">
        <v>4050</v>
      </c>
      <c r="D4546" t="s">
        <v>18017</v>
      </c>
      <c r="E4546" t="s">
        <v>22135</v>
      </c>
      <c r="F4546" t="s">
        <v>30900</v>
      </c>
      <c r="G4546" t="s">
        <v>30907</v>
      </c>
      <c r="H4546" t="s">
        <v>30916</v>
      </c>
      <c r="I4546" t="s">
        <v>4050</v>
      </c>
      <c r="J4546" t="s">
        <v>34122</v>
      </c>
      <c r="K4546" t="s">
        <v>40287</v>
      </c>
      <c r="M4546" t="s">
        <v>42357</v>
      </c>
      <c r="N4546" t="s">
        <v>44759</v>
      </c>
      <c r="O4546" t="s">
        <v>44760</v>
      </c>
      <c r="P4546">
        <v>0</v>
      </c>
      <c r="Q4546">
        <v>1</v>
      </c>
      <c r="R4546" t="s">
        <v>44763</v>
      </c>
      <c r="S4546" t="s">
        <v>44876</v>
      </c>
      <c r="T4546" t="s">
        <v>46361</v>
      </c>
      <c r="U4546" t="s">
        <v>50732</v>
      </c>
      <c r="W4546" t="s">
        <v>42357</v>
      </c>
      <c r="X4546" t="s">
        <v>44765</v>
      </c>
    </row>
    <row r="4547" spans="1:24">
      <c r="A4547">
        <f>HYPERLINK("https://www.philgeps.gov.ph/GEPSNONPILOT/Tender/SplashBidNoticeAbstractUI.aspx?menuIndex=3&amp;refID=7148893&amp;Result=3","7148893")</f>
        <v>0</v>
      </c>
      <c r="B4547" t="s">
        <v>1710</v>
      </c>
      <c r="C4547" t="s">
        <v>8054</v>
      </c>
      <c r="E4547" t="s">
        <v>22136</v>
      </c>
      <c r="F4547" t="s">
        <v>30900</v>
      </c>
      <c r="G4547" t="s">
        <v>30907</v>
      </c>
      <c r="H4547" t="s">
        <v>30916</v>
      </c>
      <c r="I4547" t="s">
        <v>8123</v>
      </c>
      <c r="J4547" t="s">
        <v>34123</v>
      </c>
      <c r="K4547" t="s">
        <v>40287</v>
      </c>
      <c r="M4547" t="s">
        <v>42373</v>
      </c>
      <c r="N4547" t="s">
        <v>44759</v>
      </c>
      <c r="O4547" t="s">
        <v>44760</v>
      </c>
      <c r="P4547">
        <v>0</v>
      </c>
      <c r="Q4547">
        <v>0</v>
      </c>
      <c r="R4547" t="s">
        <v>44763</v>
      </c>
      <c r="S4547" t="s">
        <v>44876</v>
      </c>
      <c r="T4547" t="s">
        <v>46495</v>
      </c>
      <c r="U4547" t="s">
        <v>50754</v>
      </c>
      <c r="W4547" t="s">
        <v>42373</v>
      </c>
      <c r="X4547" t="s">
        <v>44764</v>
      </c>
    </row>
    <row r="4548" spans="1:24">
      <c r="A4548">
        <f>HYPERLINK("https://www.philgeps.gov.ph/GEPSNONPILOT/Tender/SplashBidNoticeAbstractUI.aspx?menuIndex=3&amp;refID=7148857&amp;Result=3","7148857")</f>
        <v>0</v>
      </c>
      <c r="B4548" t="s">
        <v>1698</v>
      </c>
      <c r="C4548" t="s">
        <v>8055</v>
      </c>
      <c r="D4548" t="s">
        <v>17999</v>
      </c>
      <c r="E4548" t="s">
        <v>22137</v>
      </c>
      <c r="F4548" t="s">
        <v>30900</v>
      </c>
      <c r="G4548" t="s">
        <v>30907</v>
      </c>
      <c r="H4548" t="s">
        <v>30915</v>
      </c>
      <c r="I4548" t="s">
        <v>30919</v>
      </c>
      <c r="J4548" t="s">
        <v>34124</v>
      </c>
      <c r="K4548" t="s">
        <v>40325</v>
      </c>
      <c r="M4548" t="s">
        <v>42361</v>
      </c>
      <c r="N4548" t="s">
        <v>44759</v>
      </c>
      <c r="O4548" t="s">
        <v>44760</v>
      </c>
      <c r="P4548">
        <v>0</v>
      </c>
      <c r="Q4548">
        <v>0</v>
      </c>
      <c r="R4548" t="s">
        <v>44763</v>
      </c>
      <c r="S4548" t="s">
        <v>44876</v>
      </c>
      <c r="T4548" t="s">
        <v>46399</v>
      </c>
      <c r="U4548" t="s">
        <v>50755</v>
      </c>
      <c r="W4548" t="s">
        <v>42361</v>
      </c>
      <c r="X4548" t="s">
        <v>44765</v>
      </c>
    </row>
    <row r="4549" spans="1:24">
      <c r="A4549">
        <f>HYPERLINK("https://www.philgeps.gov.ph/GEPSNONPILOT/Tender/SplashBidNoticeAbstractUI.aspx?menuIndex=3&amp;refID=7148610&amp;Result=3","7148610")</f>
        <v>0</v>
      </c>
      <c r="B4549" t="s">
        <v>1711</v>
      </c>
      <c r="C4549" t="s">
        <v>8056</v>
      </c>
      <c r="D4549" t="s">
        <v>17952</v>
      </c>
      <c r="E4549" t="s">
        <v>22138</v>
      </c>
      <c r="F4549" t="s">
        <v>30900</v>
      </c>
      <c r="G4549" t="s">
        <v>30908</v>
      </c>
      <c r="H4549" t="s">
        <v>30916</v>
      </c>
      <c r="I4549" t="s">
        <v>4108</v>
      </c>
      <c r="J4549" t="s">
        <v>34125</v>
      </c>
      <c r="K4549" t="s">
        <v>40287</v>
      </c>
      <c r="M4549" t="s">
        <v>42374</v>
      </c>
      <c r="N4549" t="s">
        <v>44759</v>
      </c>
      <c r="O4549" t="s">
        <v>44760</v>
      </c>
      <c r="P4549">
        <v>0</v>
      </c>
      <c r="Q4549">
        <v>3</v>
      </c>
      <c r="R4549" t="s">
        <v>44763</v>
      </c>
      <c r="S4549" t="s">
        <v>44876</v>
      </c>
      <c r="T4549" t="s">
        <v>46363</v>
      </c>
      <c r="U4549" t="s">
        <v>50756</v>
      </c>
      <c r="W4549" t="s">
        <v>42374</v>
      </c>
      <c r="X4549" t="s">
        <v>44765</v>
      </c>
    </row>
    <row r="4550" spans="1:24">
      <c r="A4550">
        <f>HYPERLINK("https://www.philgeps.gov.ph/GEPSNONPILOT/Tender/SplashBidNoticeAbstractUI.aspx?menuIndex=3&amp;refID=7148902&amp;Result=3","7148902")</f>
        <v>0</v>
      </c>
      <c r="B4550" t="s">
        <v>1712</v>
      </c>
      <c r="C4550" t="s">
        <v>8057</v>
      </c>
      <c r="D4550" t="s">
        <v>17971</v>
      </c>
      <c r="E4550" t="s">
        <v>22139</v>
      </c>
      <c r="F4550" t="s">
        <v>30899</v>
      </c>
      <c r="G4550" t="s">
        <v>30908</v>
      </c>
      <c r="H4550" t="s">
        <v>30916</v>
      </c>
      <c r="I4550" t="s">
        <v>4108</v>
      </c>
      <c r="J4550" t="s">
        <v>31443</v>
      </c>
      <c r="K4550" t="s">
        <v>40283</v>
      </c>
      <c r="M4550" t="s">
        <v>42375</v>
      </c>
      <c r="N4550" t="s">
        <v>44759</v>
      </c>
      <c r="O4550" t="s">
        <v>44760</v>
      </c>
      <c r="P4550">
        <v>0</v>
      </c>
      <c r="Q4550">
        <v>4</v>
      </c>
      <c r="R4550" t="s">
        <v>44763</v>
      </c>
      <c r="S4550" t="s">
        <v>44876</v>
      </c>
      <c r="T4550" t="s">
        <v>46376</v>
      </c>
      <c r="U4550" t="s">
        <v>50757</v>
      </c>
      <c r="W4550" t="s">
        <v>42375</v>
      </c>
      <c r="X4550" t="s">
        <v>44764</v>
      </c>
    </row>
    <row r="4551" spans="1:24">
      <c r="A4551">
        <f>HYPERLINK("https://www.philgeps.gov.ph/GEPSNONPILOT/Tender/SplashBidNoticeAbstractUI.aspx?menuIndex=3&amp;refID=7148908&amp;Result=3","7148908")</f>
        <v>0</v>
      </c>
      <c r="B4551" t="s">
        <v>1713</v>
      </c>
      <c r="C4551" t="s">
        <v>8058</v>
      </c>
      <c r="D4551" t="s">
        <v>18025</v>
      </c>
      <c r="E4551" t="s">
        <v>22140</v>
      </c>
      <c r="F4551" t="s">
        <v>30900</v>
      </c>
      <c r="G4551" t="s">
        <v>30908</v>
      </c>
      <c r="H4551" t="s">
        <v>30916</v>
      </c>
      <c r="I4551" t="s">
        <v>4142</v>
      </c>
      <c r="J4551" t="s">
        <v>31355</v>
      </c>
      <c r="K4551" t="s">
        <v>40285</v>
      </c>
      <c r="M4551" t="s">
        <v>42376</v>
      </c>
      <c r="N4551" t="s">
        <v>44759</v>
      </c>
      <c r="O4551" t="s">
        <v>44760</v>
      </c>
      <c r="P4551">
        <v>0</v>
      </c>
      <c r="Q4551">
        <v>6</v>
      </c>
      <c r="R4551" t="s">
        <v>44763</v>
      </c>
      <c r="S4551" t="s">
        <v>44876</v>
      </c>
      <c r="T4551" t="s">
        <v>46548</v>
      </c>
      <c r="U4551" t="s">
        <v>50758</v>
      </c>
      <c r="W4551" t="s">
        <v>42376</v>
      </c>
      <c r="X4551" t="s">
        <v>44764</v>
      </c>
    </row>
    <row r="4552" spans="1:24">
      <c r="A4552">
        <f>HYPERLINK("https://www.philgeps.gov.ph/GEPSNONPILOT/Tender/SplashBidNoticeAbstractUI.aspx?menuIndex=3&amp;refID=7148898&amp;Result=3","7148898")</f>
        <v>0</v>
      </c>
      <c r="B4552" t="s">
        <v>578</v>
      </c>
      <c r="C4552" t="s">
        <v>8059</v>
      </c>
      <c r="D4552" t="s">
        <v>17959</v>
      </c>
      <c r="E4552" t="s">
        <v>22141</v>
      </c>
      <c r="F4552" t="s">
        <v>30900</v>
      </c>
      <c r="G4552" t="s">
        <v>30909</v>
      </c>
      <c r="H4552" t="s">
        <v>30916</v>
      </c>
      <c r="I4552" t="s">
        <v>8044</v>
      </c>
      <c r="J4552" t="s">
        <v>31282</v>
      </c>
      <c r="K4552" t="s">
        <v>40285</v>
      </c>
      <c r="M4552" t="s">
        <v>41139</v>
      </c>
      <c r="N4552" t="s">
        <v>44759</v>
      </c>
      <c r="O4552" t="s">
        <v>44760</v>
      </c>
      <c r="P4552">
        <v>0</v>
      </c>
      <c r="Q4552">
        <v>19</v>
      </c>
      <c r="R4552" t="s">
        <v>44763</v>
      </c>
      <c r="S4552" t="s">
        <v>44876</v>
      </c>
      <c r="T4552" t="s">
        <v>46398</v>
      </c>
      <c r="U4552" t="s">
        <v>48814</v>
      </c>
      <c r="W4552" t="s">
        <v>41139</v>
      </c>
      <c r="X4552" t="s">
        <v>44764</v>
      </c>
    </row>
    <row r="4553" spans="1:24">
      <c r="A4553">
        <f>HYPERLINK("https://www.philgeps.gov.ph/GEPSNONPILOT/Tender/SplashBidNoticeAbstractUI.aspx?menuIndex=3&amp;refID=7148906&amp;Result=3","7148906")</f>
        <v>0</v>
      </c>
      <c r="B4553" t="s">
        <v>1714</v>
      </c>
      <c r="C4553" t="s">
        <v>8060</v>
      </c>
      <c r="D4553" t="s">
        <v>18013</v>
      </c>
      <c r="E4553" t="s">
        <v>22142</v>
      </c>
      <c r="F4553" t="s">
        <v>30900</v>
      </c>
      <c r="G4553" t="s">
        <v>30908</v>
      </c>
      <c r="H4553" t="s">
        <v>30916</v>
      </c>
      <c r="I4553" t="s">
        <v>10602</v>
      </c>
      <c r="J4553" t="s">
        <v>32818</v>
      </c>
      <c r="K4553" t="s">
        <v>40285</v>
      </c>
      <c r="M4553" t="s">
        <v>42377</v>
      </c>
      <c r="N4553" t="s">
        <v>44759</v>
      </c>
      <c r="O4553" t="s">
        <v>44760</v>
      </c>
      <c r="P4553">
        <v>0</v>
      </c>
      <c r="Q4553">
        <v>0</v>
      </c>
      <c r="R4553" t="s">
        <v>44763</v>
      </c>
      <c r="S4553" t="s">
        <v>44876</v>
      </c>
      <c r="T4553" t="s">
        <v>46399</v>
      </c>
      <c r="U4553" t="s">
        <v>50759</v>
      </c>
      <c r="W4553" t="s">
        <v>42377</v>
      </c>
      <c r="X4553" t="s">
        <v>44764</v>
      </c>
    </row>
    <row r="4554" spans="1:24">
      <c r="A4554">
        <f>HYPERLINK("https://www.philgeps.gov.ph/GEPSNONPILOT/Tender/SplashBidNoticeAbstractUI.aspx?menuIndex=3&amp;refID=7148903&amp;Result=3","7148903")</f>
        <v>0</v>
      </c>
      <c r="B4554" t="s">
        <v>1164</v>
      </c>
      <c r="C4554" t="s">
        <v>8061</v>
      </c>
      <c r="D4554" t="s">
        <v>17955</v>
      </c>
      <c r="E4554" t="s">
        <v>22143</v>
      </c>
      <c r="F4554" t="s">
        <v>30900</v>
      </c>
      <c r="G4554" t="s">
        <v>30907</v>
      </c>
      <c r="H4554" t="s">
        <v>30915</v>
      </c>
      <c r="I4554" t="s">
        <v>30919</v>
      </c>
      <c r="J4554" t="s">
        <v>34126</v>
      </c>
      <c r="K4554" t="s">
        <v>40289</v>
      </c>
      <c r="M4554" t="s">
        <v>42378</v>
      </c>
      <c r="N4554" t="s">
        <v>44759</v>
      </c>
      <c r="O4554" t="s">
        <v>44760</v>
      </c>
      <c r="P4554">
        <v>0</v>
      </c>
      <c r="Q4554">
        <v>2</v>
      </c>
      <c r="R4554" t="s">
        <v>44763</v>
      </c>
      <c r="S4554" t="s">
        <v>44876</v>
      </c>
      <c r="T4554" t="s">
        <v>46380</v>
      </c>
      <c r="U4554" t="s">
        <v>50760</v>
      </c>
      <c r="W4554" t="s">
        <v>42378</v>
      </c>
      <c r="X4554" t="s">
        <v>44764</v>
      </c>
    </row>
    <row r="4555" spans="1:24">
      <c r="A4555">
        <f>HYPERLINK("https://www.philgeps.gov.ph/GEPSNONPILOT/Tender/SplashBidNoticeAbstractUI.aspx?menuIndex=3&amp;refID=7148890&amp;Result=3","7148890")</f>
        <v>0</v>
      </c>
      <c r="B4555" t="s">
        <v>1708</v>
      </c>
      <c r="C4555" t="s">
        <v>8062</v>
      </c>
      <c r="D4555" t="s">
        <v>17975</v>
      </c>
      <c r="E4555" t="s">
        <v>22144</v>
      </c>
      <c r="F4555" t="s">
        <v>30900</v>
      </c>
      <c r="G4555" t="s">
        <v>30909</v>
      </c>
      <c r="H4555" t="s">
        <v>30916</v>
      </c>
      <c r="I4555" t="s">
        <v>8123</v>
      </c>
      <c r="J4555" t="s">
        <v>34127</v>
      </c>
      <c r="K4555" t="s">
        <v>40287</v>
      </c>
      <c r="M4555" t="s">
        <v>42371</v>
      </c>
      <c r="N4555" t="s">
        <v>44759</v>
      </c>
      <c r="O4555" t="s">
        <v>44760</v>
      </c>
      <c r="P4555">
        <v>0</v>
      </c>
      <c r="Q4555">
        <v>0</v>
      </c>
      <c r="R4555" t="s">
        <v>44763</v>
      </c>
      <c r="S4555" t="s">
        <v>44876</v>
      </c>
      <c r="T4555" t="s">
        <v>46581</v>
      </c>
      <c r="U4555" t="s">
        <v>50761</v>
      </c>
      <c r="V4555" t="s">
        <v>59602</v>
      </c>
      <c r="W4555" t="s">
        <v>42371</v>
      </c>
      <c r="X4555" t="s">
        <v>44764</v>
      </c>
    </row>
    <row r="4556" spans="1:24">
      <c r="A4556">
        <f>HYPERLINK("https://www.philgeps.gov.ph/GEPSNONPILOT/Tender/SplashBidNoticeAbstractUI.aspx?menuIndex=3&amp;refID=7148879&amp;Result=3","7148879")</f>
        <v>0</v>
      </c>
      <c r="B4556" t="s">
        <v>406</v>
      </c>
      <c r="C4556" t="s">
        <v>8063</v>
      </c>
      <c r="D4556" t="s">
        <v>18010</v>
      </c>
      <c r="E4556" t="s">
        <v>22145</v>
      </c>
      <c r="F4556" t="s">
        <v>30900</v>
      </c>
      <c r="G4556" t="s">
        <v>30907</v>
      </c>
      <c r="H4556" t="s">
        <v>30916</v>
      </c>
      <c r="I4556" t="s">
        <v>8123</v>
      </c>
      <c r="J4556" t="s">
        <v>34128</v>
      </c>
      <c r="K4556" t="s">
        <v>40280</v>
      </c>
      <c r="M4556" t="s">
        <v>40962</v>
      </c>
      <c r="N4556" t="s">
        <v>44759</v>
      </c>
      <c r="O4556" t="s">
        <v>44760</v>
      </c>
      <c r="P4556">
        <v>0</v>
      </c>
      <c r="Q4556">
        <v>5</v>
      </c>
      <c r="R4556" t="s">
        <v>44763</v>
      </c>
      <c r="S4556" t="s">
        <v>44876</v>
      </c>
      <c r="T4556" t="s">
        <v>46376</v>
      </c>
      <c r="U4556" t="s">
        <v>50762</v>
      </c>
      <c r="W4556" t="s">
        <v>40962</v>
      </c>
      <c r="X4556" t="s">
        <v>44764</v>
      </c>
    </row>
    <row r="4557" spans="1:24">
      <c r="A4557">
        <f>HYPERLINK("https://www.philgeps.gov.ph/GEPSNONPILOT/Tender/SplashBidNoticeAbstractUI.aspx?menuIndex=3&amp;refID=7148912&amp;Result=3","7148912")</f>
        <v>0</v>
      </c>
      <c r="B4557" t="s">
        <v>1100</v>
      </c>
      <c r="C4557" t="s">
        <v>8064</v>
      </c>
      <c r="D4557" t="s">
        <v>18004</v>
      </c>
      <c r="E4557" t="s">
        <v>22146</v>
      </c>
      <c r="F4557" t="s">
        <v>30900</v>
      </c>
      <c r="G4557" t="s">
        <v>30908</v>
      </c>
      <c r="H4557" t="s">
        <v>30916</v>
      </c>
      <c r="I4557" t="s">
        <v>10602</v>
      </c>
      <c r="J4557" t="s">
        <v>34129</v>
      </c>
      <c r="K4557" t="s">
        <v>40289</v>
      </c>
      <c r="M4557" t="s">
        <v>41789</v>
      </c>
      <c r="N4557" t="s">
        <v>44759</v>
      </c>
      <c r="O4557" t="s">
        <v>44760</v>
      </c>
      <c r="P4557">
        <v>0</v>
      </c>
      <c r="Q4557">
        <v>0</v>
      </c>
      <c r="R4557" t="s">
        <v>44763</v>
      </c>
      <c r="S4557" t="s">
        <v>44876</v>
      </c>
      <c r="T4557" t="s">
        <v>46404</v>
      </c>
      <c r="U4557" t="s">
        <v>50763</v>
      </c>
      <c r="W4557" t="s">
        <v>41789</v>
      </c>
      <c r="X4557" t="s">
        <v>44764</v>
      </c>
    </row>
    <row r="4558" spans="1:24">
      <c r="A4558">
        <f>HYPERLINK("https://www.philgeps.gov.ph/GEPSNONPILOT/Tender/SplashBidNoticeAbstractUI.aspx?menuIndex=3&amp;refID=7148907&amp;Result=3","7148907")</f>
        <v>0</v>
      </c>
      <c r="B4558" t="s">
        <v>1100</v>
      </c>
      <c r="C4558" t="s">
        <v>8065</v>
      </c>
      <c r="D4558" t="s">
        <v>17998</v>
      </c>
      <c r="E4558" t="s">
        <v>22147</v>
      </c>
      <c r="F4558" t="s">
        <v>30900</v>
      </c>
      <c r="G4558" t="s">
        <v>30908</v>
      </c>
      <c r="H4558" t="s">
        <v>30916</v>
      </c>
      <c r="I4558" t="s">
        <v>10602</v>
      </c>
      <c r="J4558" t="s">
        <v>34130</v>
      </c>
      <c r="K4558" t="s">
        <v>40289</v>
      </c>
      <c r="M4558" t="s">
        <v>41789</v>
      </c>
      <c r="N4558" t="s">
        <v>44759</v>
      </c>
      <c r="O4558" t="s">
        <v>44760</v>
      </c>
      <c r="P4558">
        <v>0</v>
      </c>
      <c r="Q4558">
        <v>0</v>
      </c>
      <c r="R4558" t="s">
        <v>44763</v>
      </c>
      <c r="S4558" t="s">
        <v>44876</v>
      </c>
      <c r="T4558" t="s">
        <v>46404</v>
      </c>
      <c r="U4558" t="s">
        <v>50764</v>
      </c>
      <c r="W4558" t="s">
        <v>41789</v>
      </c>
      <c r="X4558" t="s">
        <v>44764</v>
      </c>
    </row>
    <row r="4559" spans="1:24">
      <c r="A4559">
        <f>HYPERLINK("https://www.philgeps.gov.ph/GEPSNONPILOT/Tender/SplashBidNoticeAbstractUI.aspx?menuIndex=3&amp;refID=7148892&amp;Result=3","7148892")</f>
        <v>0</v>
      </c>
      <c r="B4559" t="s">
        <v>1709</v>
      </c>
      <c r="C4559" t="s">
        <v>8066</v>
      </c>
      <c r="D4559" t="s">
        <v>18019</v>
      </c>
      <c r="E4559" t="s">
        <v>22148</v>
      </c>
      <c r="F4559" t="s">
        <v>30900</v>
      </c>
      <c r="G4559" t="s">
        <v>30908</v>
      </c>
      <c r="H4559" t="s">
        <v>30916</v>
      </c>
      <c r="I4559" t="s">
        <v>30943</v>
      </c>
      <c r="J4559" t="s">
        <v>34131</v>
      </c>
      <c r="K4559" t="s">
        <v>40283</v>
      </c>
      <c r="M4559" t="s">
        <v>42372</v>
      </c>
      <c r="N4559" t="s">
        <v>44759</v>
      </c>
      <c r="O4559" t="s">
        <v>44760</v>
      </c>
      <c r="P4559">
        <v>0</v>
      </c>
      <c r="Q4559">
        <v>6</v>
      </c>
      <c r="R4559" t="s">
        <v>44763</v>
      </c>
      <c r="S4559" t="s">
        <v>44876</v>
      </c>
      <c r="T4559" t="s">
        <v>46685</v>
      </c>
      <c r="U4559" t="s">
        <v>50765</v>
      </c>
      <c r="W4559" t="s">
        <v>42372</v>
      </c>
      <c r="X4559" t="s">
        <v>44764</v>
      </c>
    </row>
    <row r="4560" spans="1:24">
      <c r="A4560">
        <f>HYPERLINK("https://www.philgeps.gov.ph/GEPSNONPILOT/Tender/SplashBidNoticeAbstractUI.aspx?menuIndex=3&amp;refID=7148888&amp;Result=3","7148888")</f>
        <v>0</v>
      </c>
      <c r="B4560" t="s">
        <v>1709</v>
      </c>
      <c r="C4560" t="s">
        <v>8067</v>
      </c>
      <c r="D4560" t="s">
        <v>18019</v>
      </c>
      <c r="E4560" t="s">
        <v>22149</v>
      </c>
      <c r="F4560" t="s">
        <v>30900</v>
      </c>
      <c r="G4560" t="s">
        <v>30908</v>
      </c>
      <c r="H4560" t="s">
        <v>30916</v>
      </c>
      <c r="I4560" t="s">
        <v>30965</v>
      </c>
      <c r="J4560" t="s">
        <v>34132</v>
      </c>
      <c r="K4560" t="s">
        <v>40288</v>
      </c>
      <c r="M4560" t="s">
        <v>42372</v>
      </c>
      <c r="N4560" t="s">
        <v>44759</v>
      </c>
      <c r="O4560" t="s">
        <v>44760</v>
      </c>
      <c r="P4560">
        <v>0</v>
      </c>
      <c r="Q4560">
        <v>3</v>
      </c>
      <c r="R4560" t="s">
        <v>44763</v>
      </c>
      <c r="S4560" t="s">
        <v>44876</v>
      </c>
      <c r="T4560" t="s">
        <v>46403</v>
      </c>
      <c r="U4560" t="s">
        <v>50766</v>
      </c>
      <c r="W4560" t="s">
        <v>42372</v>
      </c>
      <c r="X4560" t="s">
        <v>44764</v>
      </c>
    </row>
    <row r="4561" spans="1:24">
      <c r="A4561">
        <f>HYPERLINK("https://www.philgeps.gov.ph/GEPSNONPILOT/Tender/SplashBidNoticeAbstractUI.aspx?menuIndex=3&amp;refID=7148927&amp;Result=3","7148927")</f>
        <v>0</v>
      </c>
      <c r="B4561" t="s">
        <v>1715</v>
      </c>
      <c r="C4561" t="s">
        <v>8068</v>
      </c>
      <c r="D4561" t="s">
        <v>18009</v>
      </c>
      <c r="E4561" t="s">
        <v>22150</v>
      </c>
      <c r="F4561" t="s">
        <v>30900</v>
      </c>
      <c r="G4561" t="s">
        <v>30908</v>
      </c>
      <c r="H4561" t="s">
        <v>7411</v>
      </c>
      <c r="I4561" t="s">
        <v>7411</v>
      </c>
      <c r="J4561" t="s">
        <v>31298</v>
      </c>
      <c r="K4561" t="s">
        <v>40334</v>
      </c>
      <c r="M4561" t="s">
        <v>42379</v>
      </c>
      <c r="N4561" t="s">
        <v>44759</v>
      </c>
      <c r="O4561" t="s">
        <v>44760</v>
      </c>
      <c r="P4561">
        <v>0</v>
      </c>
      <c r="Q4561">
        <v>5</v>
      </c>
      <c r="R4561" t="s">
        <v>44763</v>
      </c>
      <c r="S4561" t="s">
        <v>44876</v>
      </c>
      <c r="T4561" t="s">
        <v>46403</v>
      </c>
      <c r="U4561" t="s">
        <v>50767</v>
      </c>
      <c r="W4561" t="s">
        <v>42379</v>
      </c>
      <c r="X4561" t="s">
        <v>44764</v>
      </c>
    </row>
    <row r="4562" spans="1:24">
      <c r="A4562">
        <f>HYPERLINK("https://www.philgeps.gov.ph/GEPSNONPILOT/Tender/SplashBidNoticeAbstractUI.aspx?menuIndex=3&amp;refID=7148913&amp;Result=3","7148913")</f>
        <v>0</v>
      </c>
      <c r="B4562" t="s">
        <v>1164</v>
      </c>
      <c r="C4562" t="s">
        <v>8069</v>
      </c>
      <c r="D4562" t="s">
        <v>17955</v>
      </c>
      <c r="E4562" t="s">
        <v>22151</v>
      </c>
      <c r="F4562" t="s">
        <v>30900</v>
      </c>
      <c r="G4562" t="s">
        <v>30907</v>
      </c>
      <c r="H4562" t="s">
        <v>30915</v>
      </c>
      <c r="I4562" t="s">
        <v>30919</v>
      </c>
      <c r="J4562" t="s">
        <v>34133</v>
      </c>
      <c r="K4562" t="s">
        <v>40289</v>
      </c>
      <c r="M4562" t="s">
        <v>42378</v>
      </c>
      <c r="N4562" t="s">
        <v>44759</v>
      </c>
      <c r="O4562" t="s">
        <v>44760</v>
      </c>
      <c r="P4562">
        <v>0</v>
      </c>
      <c r="Q4562">
        <v>0</v>
      </c>
      <c r="R4562" t="s">
        <v>44763</v>
      </c>
      <c r="S4562" t="s">
        <v>44876</v>
      </c>
      <c r="T4562" t="s">
        <v>46380</v>
      </c>
      <c r="U4562" t="s">
        <v>50768</v>
      </c>
      <c r="W4562" t="s">
        <v>42378</v>
      </c>
      <c r="X4562" t="s">
        <v>44764</v>
      </c>
    </row>
    <row r="4563" spans="1:24">
      <c r="A4563">
        <f>HYPERLINK("https://www.philgeps.gov.ph/GEPSNONPILOT/Tender/SplashBidNoticeAbstractUI.aspx?menuIndex=3&amp;refID=7148909&amp;Result=3","7148909")</f>
        <v>0</v>
      </c>
      <c r="B4563" t="s">
        <v>1708</v>
      </c>
      <c r="C4563" t="s">
        <v>8070</v>
      </c>
      <c r="D4563" t="s">
        <v>17975</v>
      </c>
      <c r="E4563" t="s">
        <v>22152</v>
      </c>
      <c r="F4563" t="s">
        <v>30900</v>
      </c>
      <c r="G4563" t="s">
        <v>30909</v>
      </c>
      <c r="H4563" t="s">
        <v>30916</v>
      </c>
      <c r="I4563" t="s">
        <v>8123</v>
      </c>
      <c r="J4563" t="s">
        <v>34134</v>
      </c>
      <c r="K4563" t="s">
        <v>40287</v>
      </c>
      <c r="M4563" t="s">
        <v>42371</v>
      </c>
      <c r="N4563" t="s">
        <v>44759</v>
      </c>
      <c r="O4563" t="s">
        <v>44760</v>
      </c>
      <c r="P4563">
        <v>0</v>
      </c>
      <c r="Q4563">
        <v>0</v>
      </c>
      <c r="R4563" t="s">
        <v>44763</v>
      </c>
      <c r="S4563" t="s">
        <v>44876</v>
      </c>
      <c r="T4563" t="s">
        <v>46686</v>
      </c>
      <c r="U4563" t="s">
        <v>50769</v>
      </c>
      <c r="V4563" t="s">
        <v>59602</v>
      </c>
      <c r="W4563" t="s">
        <v>42371</v>
      </c>
      <c r="X4563" t="s">
        <v>44764</v>
      </c>
    </row>
    <row r="4564" spans="1:24">
      <c r="A4564">
        <f>HYPERLINK("https://www.philgeps.gov.ph/GEPSNONPILOT/Tender/SplashBidNoticeAbstractUI.aspx?menuIndex=3&amp;refID=7148926&amp;Result=3","7148926")</f>
        <v>0</v>
      </c>
      <c r="B4564" t="s">
        <v>1716</v>
      </c>
      <c r="C4564" t="s">
        <v>8071</v>
      </c>
      <c r="D4564" t="s">
        <v>17966</v>
      </c>
      <c r="E4564" t="s">
        <v>22153</v>
      </c>
      <c r="F4564" t="s">
        <v>30900</v>
      </c>
      <c r="G4564" t="s">
        <v>30908</v>
      </c>
      <c r="H4564" t="s">
        <v>30916</v>
      </c>
      <c r="I4564" t="s">
        <v>4142</v>
      </c>
      <c r="J4564" t="s">
        <v>34135</v>
      </c>
      <c r="K4564" t="s">
        <v>40283</v>
      </c>
      <c r="M4564" t="s">
        <v>42380</v>
      </c>
      <c r="N4564" t="s">
        <v>44759</v>
      </c>
      <c r="O4564" t="s">
        <v>44760</v>
      </c>
      <c r="P4564">
        <v>0</v>
      </c>
      <c r="Q4564">
        <v>1</v>
      </c>
      <c r="R4564" t="s">
        <v>44763</v>
      </c>
      <c r="S4564" t="s">
        <v>44876</v>
      </c>
      <c r="T4564" t="s">
        <v>46533</v>
      </c>
      <c r="U4564" t="s">
        <v>50770</v>
      </c>
      <c r="W4564" t="s">
        <v>42380</v>
      </c>
      <c r="X4564" t="s">
        <v>44764</v>
      </c>
    </row>
    <row r="4565" spans="1:24">
      <c r="A4565">
        <f>HYPERLINK("https://www.philgeps.gov.ph/GEPSNONPILOT/Tender/SplashBidNoticeAbstractUI.aspx?menuIndex=3&amp;refID=7148925&amp;Result=3","7148925")</f>
        <v>0</v>
      </c>
      <c r="B4565" t="s">
        <v>1164</v>
      </c>
      <c r="C4565" t="s">
        <v>8072</v>
      </c>
      <c r="D4565" t="s">
        <v>17955</v>
      </c>
      <c r="E4565" t="s">
        <v>22154</v>
      </c>
      <c r="F4565" t="s">
        <v>30900</v>
      </c>
      <c r="G4565" t="s">
        <v>30907</v>
      </c>
      <c r="H4565" t="s">
        <v>30915</v>
      </c>
      <c r="I4565" t="s">
        <v>30919</v>
      </c>
      <c r="J4565" t="s">
        <v>34136</v>
      </c>
      <c r="K4565" t="s">
        <v>40289</v>
      </c>
      <c r="M4565" t="s">
        <v>42378</v>
      </c>
      <c r="N4565" t="s">
        <v>44759</v>
      </c>
      <c r="O4565" t="s">
        <v>44760</v>
      </c>
      <c r="P4565">
        <v>0</v>
      </c>
      <c r="Q4565">
        <v>0</v>
      </c>
      <c r="R4565" t="s">
        <v>44763</v>
      </c>
      <c r="S4565" t="s">
        <v>44876</v>
      </c>
      <c r="T4565" t="s">
        <v>46380</v>
      </c>
      <c r="U4565" t="s">
        <v>50771</v>
      </c>
      <c r="W4565" t="s">
        <v>42378</v>
      </c>
      <c r="X4565" t="s">
        <v>44764</v>
      </c>
    </row>
    <row r="4566" spans="1:24">
      <c r="A4566">
        <f>HYPERLINK("https://www.philgeps.gov.ph/GEPSNONPILOT/Tender/SplashBidNoticeAbstractUI.aspx?menuIndex=3&amp;refID=7148930&amp;Result=3","7148930")</f>
        <v>0</v>
      </c>
      <c r="B4566" t="s">
        <v>1708</v>
      </c>
      <c r="C4566" t="s">
        <v>8073</v>
      </c>
      <c r="D4566" t="s">
        <v>17975</v>
      </c>
      <c r="E4566" t="s">
        <v>22155</v>
      </c>
      <c r="F4566" t="s">
        <v>30900</v>
      </c>
      <c r="G4566" t="s">
        <v>30907</v>
      </c>
      <c r="H4566" t="s">
        <v>30916</v>
      </c>
      <c r="I4566" t="s">
        <v>8123</v>
      </c>
      <c r="J4566" t="s">
        <v>34137</v>
      </c>
      <c r="K4566" t="s">
        <v>40287</v>
      </c>
      <c r="M4566" t="s">
        <v>42371</v>
      </c>
      <c r="N4566" t="s">
        <v>44759</v>
      </c>
      <c r="O4566" t="s">
        <v>44760</v>
      </c>
      <c r="P4566">
        <v>0</v>
      </c>
      <c r="Q4566">
        <v>0</v>
      </c>
      <c r="R4566" t="s">
        <v>44763</v>
      </c>
      <c r="S4566" t="s">
        <v>44876</v>
      </c>
      <c r="T4566" t="s">
        <v>46512</v>
      </c>
      <c r="U4566" t="s">
        <v>50772</v>
      </c>
      <c r="V4566" t="s">
        <v>59602</v>
      </c>
      <c r="W4566" t="s">
        <v>42371</v>
      </c>
      <c r="X4566" t="s">
        <v>44764</v>
      </c>
    </row>
    <row r="4567" spans="1:24">
      <c r="A4567">
        <f>HYPERLINK("https://www.philgeps.gov.ph/GEPSNONPILOT/Tender/SplashBidNoticeAbstractUI.aspx?menuIndex=3&amp;refID=7148929&amp;Result=3","7148929")</f>
        <v>0</v>
      </c>
      <c r="B4567" t="s">
        <v>1164</v>
      </c>
      <c r="C4567" t="s">
        <v>8074</v>
      </c>
      <c r="D4567" t="s">
        <v>17955</v>
      </c>
      <c r="E4567" t="s">
        <v>22156</v>
      </c>
      <c r="F4567" t="s">
        <v>30900</v>
      </c>
      <c r="G4567" t="s">
        <v>30907</v>
      </c>
      <c r="H4567" t="s">
        <v>30915</v>
      </c>
      <c r="I4567" t="s">
        <v>30919</v>
      </c>
      <c r="J4567" t="s">
        <v>34138</v>
      </c>
      <c r="K4567" t="s">
        <v>40289</v>
      </c>
      <c r="M4567" t="s">
        <v>42378</v>
      </c>
      <c r="N4567" t="s">
        <v>44759</v>
      </c>
      <c r="O4567" t="s">
        <v>44760</v>
      </c>
      <c r="P4567">
        <v>0</v>
      </c>
      <c r="Q4567">
        <v>1</v>
      </c>
      <c r="R4567" t="s">
        <v>44763</v>
      </c>
      <c r="S4567" t="s">
        <v>44876</v>
      </c>
      <c r="T4567" t="s">
        <v>46380</v>
      </c>
      <c r="U4567" t="s">
        <v>50773</v>
      </c>
      <c r="W4567" t="s">
        <v>42378</v>
      </c>
      <c r="X4567" t="s">
        <v>44764</v>
      </c>
    </row>
    <row r="4568" spans="1:24">
      <c r="A4568">
        <f>HYPERLINK("https://www.philgeps.gov.ph/GEPSNONPILOT/Tender/SplashBidNoticeAbstractUI.aspx?menuIndex=3&amp;refID=7148904&amp;Result=3","7148904")</f>
        <v>0</v>
      </c>
      <c r="B4568" t="s">
        <v>1100</v>
      </c>
      <c r="C4568" t="s">
        <v>8075</v>
      </c>
      <c r="D4568" t="s">
        <v>17980</v>
      </c>
      <c r="E4568" t="s">
        <v>22157</v>
      </c>
      <c r="F4568" t="s">
        <v>30900</v>
      </c>
      <c r="G4568" t="s">
        <v>30908</v>
      </c>
      <c r="H4568" t="s">
        <v>30916</v>
      </c>
      <c r="I4568" t="s">
        <v>10602</v>
      </c>
      <c r="J4568" t="s">
        <v>33914</v>
      </c>
      <c r="K4568" t="s">
        <v>40289</v>
      </c>
      <c r="M4568" t="s">
        <v>41789</v>
      </c>
      <c r="N4568" t="s">
        <v>44759</v>
      </c>
      <c r="O4568" t="s">
        <v>44760</v>
      </c>
      <c r="P4568">
        <v>0</v>
      </c>
      <c r="Q4568">
        <v>0</v>
      </c>
      <c r="R4568" t="s">
        <v>44763</v>
      </c>
      <c r="S4568" t="s">
        <v>44876</v>
      </c>
      <c r="T4568" t="s">
        <v>46404</v>
      </c>
      <c r="U4568" t="s">
        <v>50774</v>
      </c>
      <c r="W4568" t="s">
        <v>41789</v>
      </c>
      <c r="X4568" t="s">
        <v>44764</v>
      </c>
    </row>
    <row r="4569" spans="1:24">
      <c r="A4569">
        <f>HYPERLINK("https://www.philgeps.gov.ph/GEPSNONPILOT/Tender/SplashBidNoticeAbstractUI.aspx?menuIndex=3&amp;refID=7148923&amp;Result=3","7148923")</f>
        <v>0</v>
      </c>
      <c r="B4569" t="s">
        <v>1205</v>
      </c>
      <c r="C4569" t="s">
        <v>8076</v>
      </c>
      <c r="D4569" t="s">
        <v>17998</v>
      </c>
      <c r="E4569" t="s">
        <v>22140</v>
      </c>
      <c r="F4569" t="s">
        <v>30900</v>
      </c>
      <c r="G4569" t="s">
        <v>30907</v>
      </c>
      <c r="H4569" t="s">
        <v>30916</v>
      </c>
      <c r="I4569" t="s">
        <v>30978</v>
      </c>
      <c r="J4569" t="s">
        <v>34139</v>
      </c>
      <c r="K4569" t="s">
        <v>40286</v>
      </c>
      <c r="M4569" t="s">
        <v>41816</v>
      </c>
      <c r="N4569" t="s">
        <v>44759</v>
      </c>
      <c r="O4569" t="s">
        <v>44760</v>
      </c>
      <c r="P4569">
        <v>0</v>
      </c>
      <c r="Q4569">
        <v>1</v>
      </c>
      <c r="R4569" t="s">
        <v>44763</v>
      </c>
      <c r="S4569" t="s">
        <v>44876</v>
      </c>
      <c r="T4569" t="s">
        <v>46396</v>
      </c>
      <c r="U4569" t="s">
        <v>50775</v>
      </c>
      <c r="V4569" t="s">
        <v>59434</v>
      </c>
      <c r="W4569" t="s">
        <v>41816</v>
      </c>
      <c r="X4569" t="s">
        <v>44764</v>
      </c>
    </row>
    <row r="4570" spans="1:24">
      <c r="A4570">
        <f>HYPERLINK("https://www.philgeps.gov.ph/GEPSNONPILOT/Tender/SplashBidNoticeAbstractUI.aspx?menuIndex=3&amp;refID=7148921&amp;Result=3","7148921")</f>
        <v>0</v>
      </c>
      <c r="B4570" t="s">
        <v>1717</v>
      </c>
      <c r="C4570" t="s">
        <v>8077</v>
      </c>
      <c r="D4570" t="s">
        <v>17959</v>
      </c>
      <c r="E4570" t="s">
        <v>18234</v>
      </c>
      <c r="F4570" t="s">
        <v>30900</v>
      </c>
      <c r="G4570" t="s">
        <v>30908</v>
      </c>
      <c r="H4570" t="s">
        <v>30916</v>
      </c>
      <c r="I4570" t="s">
        <v>8365</v>
      </c>
      <c r="J4570" t="s">
        <v>34140</v>
      </c>
      <c r="K4570" t="s">
        <v>40287</v>
      </c>
      <c r="M4570" t="s">
        <v>42381</v>
      </c>
      <c r="N4570" t="s">
        <v>44759</v>
      </c>
      <c r="O4570" t="s">
        <v>44760</v>
      </c>
      <c r="P4570">
        <v>0</v>
      </c>
      <c r="Q4570">
        <v>2</v>
      </c>
      <c r="R4570" t="s">
        <v>44763</v>
      </c>
      <c r="S4570" t="s">
        <v>44876</v>
      </c>
      <c r="T4570" t="s">
        <v>46533</v>
      </c>
      <c r="U4570" t="s">
        <v>50776</v>
      </c>
      <c r="W4570" t="s">
        <v>42381</v>
      </c>
      <c r="X4570" t="s">
        <v>44764</v>
      </c>
    </row>
    <row r="4571" spans="1:24">
      <c r="A4571">
        <f>HYPERLINK("https://www.philgeps.gov.ph/GEPSNONPILOT/Tender/SplashBidNoticeAbstractUI.aspx?menuIndex=3&amp;refID=7148928&amp;Result=3","7148928")</f>
        <v>0</v>
      </c>
      <c r="B4571" t="s">
        <v>1100</v>
      </c>
      <c r="C4571" t="s">
        <v>8078</v>
      </c>
      <c r="D4571" t="s">
        <v>17998</v>
      </c>
      <c r="E4571" t="s">
        <v>22158</v>
      </c>
      <c r="F4571" t="s">
        <v>30900</v>
      </c>
      <c r="G4571" t="s">
        <v>30908</v>
      </c>
      <c r="H4571" t="s">
        <v>30916</v>
      </c>
      <c r="I4571" t="s">
        <v>10602</v>
      </c>
      <c r="J4571" t="s">
        <v>34141</v>
      </c>
      <c r="K4571" t="s">
        <v>40289</v>
      </c>
      <c r="M4571" t="s">
        <v>41789</v>
      </c>
      <c r="N4571" t="s">
        <v>44759</v>
      </c>
      <c r="O4571" t="s">
        <v>44760</v>
      </c>
      <c r="P4571">
        <v>0</v>
      </c>
      <c r="Q4571">
        <v>0</v>
      </c>
      <c r="R4571" t="s">
        <v>44763</v>
      </c>
      <c r="S4571" t="s">
        <v>44876</v>
      </c>
      <c r="T4571" t="s">
        <v>46404</v>
      </c>
      <c r="U4571" t="s">
        <v>50777</v>
      </c>
      <c r="W4571" t="s">
        <v>41789</v>
      </c>
      <c r="X4571" t="s">
        <v>44764</v>
      </c>
    </row>
    <row r="4572" spans="1:24">
      <c r="A4572">
        <f>HYPERLINK("https://www.philgeps.gov.ph/GEPSNONPILOT/Tender/SplashBidNoticeAbstractUI.aspx?menuIndex=3&amp;refID=7148920&amp;Result=3","7148920")</f>
        <v>0</v>
      </c>
      <c r="B4572" t="s">
        <v>1100</v>
      </c>
      <c r="C4572" t="s">
        <v>8079</v>
      </c>
      <c r="D4572" t="s">
        <v>17980</v>
      </c>
      <c r="E4572" t="s">
        <v>22159</v>
      </c>
      <c r="F4572" t="s">
        <v>30900</v>
      </c>
      <c r="G4572" t="s">
        <v>30908</v>
      </c>
      <c r="H4572" t="s">
        <v>30916</v>
      </c>
      <c r="I4572" t="s">
        <v>10602</v>
      </c>
      <c r="J4572" t="s">
        <v>31174</v>
      </c>
      <c r="K4572" t="s">
        <v>40289</v>
      </c>
      <c r="M4572" t="s">
        <v>41789</v>
      </c>
      <c r="N4572" t="s">
        <v>44759</v>
      </c>
      <c r="O4572" t="s">
        <v>44760</v>
      </c>
      <c r="P4572">
        <v>0</v>
      </c>
      <c r="Q4572">
        <v>0</v>
      </c>
      <c r="R4572" t="s">
        <v>44763</v>
      </c>
      <c r="S4572" t="s">
        <v>44876</v>
      </c>
      <c r="T4572" t="s">
        <v>46404</v>
      </c>
      <c r="U4572" t="s">
        <v>50778</v>
      </c>
      <c r="W4572" t="s">
        <v>41789</v>
      </c>
      <c r="X4572" t="s">
        <v>44764</v>
      </c>
    </row>
    <row r="4573" spans="1:24">
      <c r="A4573">
        <f>HYPERLINK("https://www.philgeps.gov.ph/GEPSNONPILOT/Tender/SplashBidNoticeAbstractUI.aspx?menuIndex=3&amp;refID=7148918&amp;Result=3","7148918")</f>
        <v>0</v>
      </c>
      <c r="B4573" t="s">
        <v>1718</v>
      </c>
      <c r="C4573" t="s">
        <v>8080</v>
      </c>
      <c r="D4573" t="s">
        <v>18002</v>
      </c>
      <c r="E4573" t="s">
        <v>18727</v>
      </c>
      <c r="F4573" t="s">
        <v>30900</v>
      </c>
      <c r="G4573" t="s">
        <v>30908</v>
      </c>
      <c r="H4573" t="s">
        <v>30916</v>
      </c>
      <c r="I4573" t="s">
        <v>9385</v>
      </c>
      <c r="J4573" t="s">
        <v>34142</v>
      </c>
      <c r="K4573" t="s">
        <v>40293</v>
      </c>
      <c r="M4573" t="s">
        <v>42382</v>
      </c>
      <c r="N4573" t="s">
        <v>44759</v>
      </c>
      <c r="O4573" t="s">
        <v>44760</v>
      </c>
      <c r="P4573">
        <v>0</v>
      </c>
      <c r="Q4573">
        <v>6</v>
      </c>
      <c r="R4573" t="s">
        <v>44763</v>
      </c>
      <c r="S4573" t="s">
        <v>44876</v>
      </c>
      <c r="T4573" t="s">
        <v>46469</v>
      </c>
      <c r="U4573" t="s">
        <v>50779</v>
      </c>
      <c r="V4573" t="s">
        <v>59603</v>
      </c>
      <c r="W4573" t="s">
        <v>42382</v>
      </c>
      <c r="X4573" t="s">
        <v>44764</v>
      </c>
    </row>
    <row r="4574" spans="1:24">
      <c r="A4574">
        <f>HYPERLINK("https://www.philgeps.gov.ph/GEPSNONPILOT/Tender/SplashBidNoticeAbstractUI.aspx?menuIndex=3&amp;refID=7148911&amp;Result=3","7148911")</f>
        <v>0</v>
      </c>
      <c r="B4574" t="s">
        <v>736</v>
      </c>
      <c r="C4574" t="s">
        <v>8081</v>
      </c>
      <c r="D4574" t="s">
        <v>18013</v>
      </c>
      <c r="E4574" t="s">
        <v>22160</v>
      </c>
      <c r="F4574" t="s">
        <v>30900</v>
      </c>
      <c r="G4574" t="s">
        <v>30908</v>
      </c>
      <c r="H4574" t="s">
        <v>30916</v>
      </c>
      <c r="I4574" t="s">
        <v>4142</v>
      </c>
      <c r="J4574" t="s">
        <v>34143</v>
      </c>
      <c r="K4574" t="s">
        <v>40285</v>
      </c>
      <c r="M4574" t="s">
        <v>41300</v>
      </c>
      <c r="N4574" t="s">
        <v>44759</v>
      </c>
      <c r="O4574" t="s">
        <v>44760</v>
      </c>
      <c r="P4574">
        <v>0</v>
      </c>
      <c r="Q4574">
        <v>1</v>
      </c>
      <c r="R4574" t="s">
        <v>44763</v>
      </c>
      <c r="S4574" t="s">
        <v>44876</v>
      </c>
      <c r="T4574" t="s">
        <v>46403</v>
      </c>
      <c r="U4574" t="s">
        <v>50780</v>
      </c>
      <c r="W4574" t="s">
        <v>41300</v>
      </c>
      <c r="X4574" t="s">
        <v>44764</v>
      </c>
    </row>
    <row r="4575" spans="1:24">
      <c r="A4575">
        <f>HYPERLINK("https://www.philgeps.gov.ph/GEPSNONPILOT/Tender/SplashBidNoticeAbstractUI.aspx?menuIndex=3&amp;refID=7148875&amp;Result=3","7148875")</f>
        <v>0</v>
      </c>
      <c r="B4575" t="s">
        <v>1707</v>
      </c>
      <c r="C4575" t="s">
        <v>8082</v>
      </c>
      <c r="D4575" t="s">
        <v>17973</v>
      </c>
      <c r="E4575" t="s">
        <v>22161</v>
      </c>
      <c r="F4575" t="s">
        <v>30900</v>
      </c>
      <c r="G4575" t="s">
        <v>30907</v>
      </c>
      <c r="H4575" t="s">
        <v>30916</v>
      </c>
      <c r="I4575" t="s">
        <v>8123</v>
      </c>
      <c r="J4575" t="s">
        <v>34144</v>
      </c>
      <c r="K4575" t="s">
        <v>40286</v>
      </c>
      <c r="M4575" t="s">
        <v>42370</v>
      </c>
      <c r="N4575" t="s">
        <v>44759</v>
      </c>
      <c r="O4575" t="s">
        <v>44760</v>
      </c>
      <c r="P4575">
        <v>0</v>
      </c>
      <c r="Q4575">
        <v>0</v>
      </c>
      <c r="R4575" t="s">
        <v>44763</v>
      </c>
      <c r="S4575" t="s">
        <v>44876</v>
      </c>
      <c r="T4575" t="s">
        <v>46400</v>
      </c>
      <c r="U4575" t="s">
        <v>50781</v>
      </c>
      <c r="W4575" t="s">
        <v>42370</v>
      </c>
      <c r="X4575" t="s">
        <v>44764</v>
      </c>
    </row>
    <row r="4576" spans="1:24">
      <c r="A4576">
        <f>HYPERLINK("https://www.philgeps.gov.ph/GEPSNONPILOT/Tender/SplashBidNoticeAbstractUI.aspx?menuIndex=3&amp;refID=7148924&amp;Result=3","7148924")</f>
        <v>0</v>
      </c>
      <c r="B4576" t="s">
        <v>1716</v>
      </c>
      <c r="C4576" t="s">
        <v>8083</v>
      </c>
      <c r="D4576" t="s">
        <v>17966</v>
      </c>
      <c r="E4576" t="s">
        <v>22162</v>
      </c>
      <c r="F4576" t="s">
        <v>30900</v>
      </c>
      <c r="G4576" t="s">
        <v>30908</v>
      </c>
      <c r="H4576" t="s">
        <v>30916</v>
      </c>
      <c r="I4576" t="s">
        <v>4142</v>
      </c>
      <c r="J4576" t="s">
        <v>34145</v>
      </c>
      <c r="K4576" t="s">
        <v>40283</v>
      </c>
      <c r="M4576" t="s">
        <v>42380</v>
      </c>
      <c r="N4576" t="s">
        <v>44759</v>
      </c>
      <c r="O4576" t="s">
        <v>44760</v>
      </c>
      <c r="P4576">
        <v>0</v>
      </c>
      <c r="Q4576">
        <v>1</v>
      </c>
      <c r="R4576" t="s">
        <v>44763</v>
      </c>
      <c r="S4576" t="s">
        <v>44876</v>
      </c>
      <c r="T4576" t="s">
        <v>46533</v>
      </c>
      <c r="U4576" t="s">
        <v>50782</v>
      </c>
      <c r="W4576" t="s">
        <v>42380</v>
      </c>
      <c r="X4576" t="s">
        <v>44764</v>
      </c>
    </row>
    <row r="4577" spans="1:24">
      <c r="A4577">
        <f>HYPERLINK("https://www.philgeps.gov.ph/GEPSNONPILOT/Tender/SplashBidNoticeAbstractUI.aspx?menuIndex=3&amp;refID=7148914&amp;Result=3","7148914")</f>
        <v>0</v>
      </c>
      <c r="B4577" t="s">
        <v>1719</v>
      </c>
      <c r="C4577" t="s">
        <v>8084</v>
      </c>
      <c r="D4577" t="s">
        <v>17991</v>
      </c>
      <c r="E4577" t="s">
        <v>22163</v>
      </c>
      <c r="F4577" t="s">
        <v>30900</v>
      </c>
      <c r="G4577" t="s">
        <v>30907</v>
      </c>
      <c r="H4577" t="s">
        <v>30916</v>
      </c>
      <c r="I4577" t="s">
        <v>30983</v>
      </c>
      <c r="J4577" t="s">
        <v>34146</v>
      </c>
      <c r="K4577" t="s">
        <v>40283</v>
      </c>
      <c r="M4577" t="s">
        <v>42383</v>
      </c>
      <c r="N4577" t="s">
        <v>44759</v>
      </c>
      <c r="O4577" t="s">
        <v>44760</v>
      </c>
      <c r="P4577">
        <v>0</v>
      </c>
      <c r="Q4577">
        <v>0</v>
      </c>
      <c r="R4577" t="s">
        <v>44763</v>
      </c>
      <c r="S4577" t="s">
        <v>44876</v>
      </c>
      <c r="T4577" t="s">
        <v>46421</v>
      </c>
      <c r="U4577" t="s">
        <v>50783</v>
      </c>
      <c r="W4577" t="s">
        <v>42383</v>
      </c>
      <c r="X4577" t="s">
        <v>44764</v>
      </c>
    </row>
    <row r="4578" spans="1:24">
      <c r="A4578">
        <f>HYPERLINK("https://www.philgeps.gov.ph/GEPSNONPILOT/Tender/SplashBidNoticeAbstractUI.aspx?menuIndex=3&amp;refID=7148922&amp;Result=3","7148922")</f>
        <v>0</v>
      </c>
      <c r="B4578" t="s">
        <v>1164</v>
      </c>
      <c r="C4578" t="s">
        <v>8085</v>
      </c>
      <c r="D4578" t="s">
        <v>17955</v>
      </c>
      <c r="E4578" t="s">
        <v>22164</v>
      </c>
      <c r="F4578" t="s">
        <v>30900</v>
      </c>
      <c r="G4578" t="s">
        <v>30907</v>
      </c>
      <c r="H4578" t="s">
        <v>30915</v>
      </c>
      <c r="I4578" t="s">
        <v>30919</v>
      </c>
      <c r="J4578" t="s">
        <v>32487</v>
      </c>
      <c r="K4578" t="s">
        <v>40289</v>
      </c>
      <c r="M4578" t="s">
        <v>42378</v>
      </c>
      <c r="N4578" t="s">
        <v>44759</v>
      </c>
      <c r="O4578" t="s">
        <v>44760</v>
      </c>
      <c r="P4578">
        <v>0</v>
      </c>
      <c r="Q4578">
        <v>0</v>
      </c>
      <c r="R4578" t="s">
        <v>44763</v>
      </c>
      <c r="S4578" t="s">
        <v>44876</v>
      </c>
      <c r="T4578" t="s">
        <v>46380</v>
      </c>
      <c r="U4578" t="s">
        <v>50784</v>
      </c>
      <c r="W4578" t="s">
        <v>42378</v>
      </c>
      <c r="X4578" t="s">
        <v>44764</v>
      </c>
    </row>
    <row r="4579" spans="1:24">
      <c r="A4579">
        <f>HYPERLINK("https://www.philgeps.gov.ph/GEPSNONPILOT/Tender/SplashBidNoticeAbstractUI.aspx?menuIndex=3&amp;refID=7148949&amp;Result=3","7148949")</f>
        <v>0</v>
      </c>
      <c r="B4579" t="s">
        <v>1071</v>
      </c>
      <c r="C4579" t="s">
        <v>8086</v>
      </c>
      <c r="D4579" t="s">
        <v>18003</v>
      </c>
      <c r="E4579" t="s">
        <v>22165</v>
      </c>
      <c r="F4579" t="s">
        <v>30900</v>
      </c>
      <c r="G4579" t="s">
        <v>30908</v>
      </c>
      <c r="H4579" t="s">
        <v>30916</v>
      </c>
      <c r="I4579" t="s">
        <v>30939</v>
      </c>
      <c r="J4579" t="s">
        <v>31077</v>
      </c>
      <c r="K4579" t="s">
        <v>40287</v>
      </c>
      <c r="M4579" t="s">
        <v>41669</v>
      </c>
      <c r="N4579" t="s">
        <v>44759</v>
      </c>
      <c r="O4579" t="s">
        <v>44760</v>
      </c>
      <c r="P4579">
        <v>0</v>
      </c>
      <c r="Q4579">
        <v>0</v>
      </c>
      <c r="R4579" t="s">
        <v>44763</v>
      </c>
      <c r="S4579" t="s">
        <v>44876</v>
      </c>
      <c r="T4579" t="s">
        <v>46398</v>
      </c>
      <c r="U4579" t="s">
        <v>50785</v>
      </c>
      <c r="W4579" t="s">
        <v>41669</v>
      </c>
      <c r="X4579" t="s">
        <v>44764</v>
      </c>
    </row>
    <row r="4580" spans="1:24">
      <c r="A4580">
        <f>HYPERLINK("https://www.philgeps.gov.ph/GEPSNONPILOT/Tender/SplashBidNoticeAbstractUI.aspx?menuIndex=3&amp;refID=7148933&amp;Result=3","7148933")</f>
        <v>0</v>
      </c>
      <c r="B4580" t="s">
        <v>302</v>
      </c>
      <c r="C4580" t="s">
        <v>8087</v>
      </c>
      <c r="D4580" t="s">
        <v>17959</v>
      </c>
      <c r="E4580" t="s">
        <v>22166</v>
      </c>
      <c r="F4580" t="s">
        <v>30900</v>
      </c>
      <c r="G4580" t="s">
        <v>30908</v>
      </c>
      <c r="H4580" t="s">
        <v>30917</v>
      </c>
      <c r="I4580" t="s">
        <v>9385</v>
      </c>
      <c r="J4580" t="s">
        <v>31728</v>
      </c>
      <c r="K4580" t="s">
        <v>40283</v>
      </c>
      <c r="M4580" t="s">
        <v>40851</v>
      </c>
      <c r="N4580" t="s">
        <v>44759</v>
      </c>
      <c r="O4580" t="s">
        <v>44760</v>
      </c>
      <c r="P4580">
        <v>0</v>
      </c>
      <c r="Q4580">
        <v>3</v>
      </c>
      <c r="R4580" t="s">
        <v>44763</v>
      </c>
      <c r="S4580" t="s">
        <v>44876</v>
      </c>
      <c r="T4580" t="s">
        <v>46531</v>
      </c>
      <c r="U4580" t="s">
        <v>50786</v>
      </c>
      <c r="V4580" t="s">
        <v>59325</v>
      </c>
      <c r="W4580" t="s">
        <v>60852</v>
      </c>
      <c r="X4580" t="s">
        <v>44764</v>
      </c>
    </row>
    <row r="4581" spans="1:24">
      <c r="A4581">
        <f>HYPERLINK("https://www.philgeps.gov.ph/GEPSNONPILOT/Tender/SplashBidNoticeAbstractUI.aspx?menuIndex=3&amp;refID=7148948&amp;Result=3","7148948")</f>
        <v>0</v>
      </c>
      <c r="B4581" t="s">
        <v>953</v>
      </c>
      <c r="C4581" t="s">
        <v>8088</v>
      </c>
      <c r="E4581" t="s">
        <v>22167</v>
      </c>
      <c r="F4581" t="s">
        <v>30900</v>
      </c>
      <c r="G4581" t="s">
        <v>30907</v>
      </c>
      <c r="H4581" t="s">
        <v>30916</v>
      </c>
      <c r="I4581" t="s">
        <v>30947</v>
      </c>
      <c r="J4581" t="s">
        <v>34147</v>
      </c>
      <c r="K4581" t="s">
        <v>40289</v>
      </c>
      <c r="M4581" t="s">
        <v>41538</v>
      </c>
      <c r="N4581" t="s">
        <v>44759</v>
      </c>
      <c r="O4581" t="s">
        <v>44760</v>
      </c>
      <c r="P4581">
        <v>0</v>
      </c>
      <c r="Q4581">
        <v>3</v>
      </c>
      <c r="R4581" t="s">
        <v>44763</v>
      </c>
      <c r="S4581" t="s">
        <v>44876</v>
      </c>
      <c r="T4581" t="s">
        <v>46558</v>
      </c>
      <c r="U4581" t="s">
        <v>50787</v>
      </c>
      <c r="W4581" t="s">
        <v>41538</v>
      </c>
      <c r="X4581" t="s">
        <v>44764</v>
      </c>
    </row>
    <row r="4582" spans="1:24">
      <c r="A4582">
        <f>HYPERLINK("https://www.philgeps.gov.ph/GEPSNONPILOT/Tender/SplashBidNoticeAbstractUI.aspx?menuIndex=3&amp;refID=7148947&amp;Result=3","7148947")</f>
        <v>0</v>
      </c>
      <c r="B4582" t="s">
        <v>1720</v>
      </c>
      <c r="C4582" t="s">
        <v>8089</v>
      </c>
      <c r="D4582" t="s">
        <v>17998</v>
      </c>
      <c r="E4582" t="s">
        <v>22168</v>
      </c>
      <c r="F4582" t="s">
        <v>30900</v>
      </c>
      <c r="G4582" t="s">
        <v>30908</v>
      </c>
      <c r="H4582" t="s">
        <v>30916</v>
      </c>
      <c r="I4582" t="s">
        <v>4545</v>
      </c>
      <c r="J4582" t="s">
        <v>31043</v>
      </c>
      <c r="K4582" t="s">
        <v>40284</v>
      </c>
      <c r="M4582" t="s">
        <v>42384</v>
      </c>
      <c r="N4582" t="s">
        <v>44759</v>
      </c>
      <c r="O4582" t="s">
        <v>44760</v>
      </c>
      <c r="P4582">
        <v>0</v>
      </c>
      <c r="Q4582">
        <v>1</v>
      </c>
      <c r="R4582" t="s">
        <v>44763</v>
      </c>
      <c r="S4582" t="s">
        <v>44876</v>
      </c>
      <c r="T4582" t="s">
        <v>46612</v>
      </c>
      <c r="U4582" t="s">
        <v>50788</v>
      </c>
      <c r="V4582" t="s">
        <v>59604</v>
      </c>
      <c r="W4582" t="s">
        <v>42384</v>
      </c>
      <c r="X4582" t="s">
        <v>44764</v>
      </c>
    </row>
    <row r="4583" spans="1:24">
      <c r="A4583">
        <f>HYPERLINK("https://www.philgeps.gov.ph/GEPSNONPILOT/Tender/SplashBidNoticeAbstractUI.aspx?menuIndex=3&amp;refID=7148956&amp;Result=3","7148956")</f>
        <v>0</v>
      </c>
      <c r="B4583" t="s">
        <v>1721</v>
      </c>
      <c r="C4583" t="s">
        <v>8090</v>
      </c>
      <c r="E4583" t="s">
        <v>22169</v>
      </c>
      <c r="F4583" t="s">
        <v>30900</v>
      </c>
      <c r="G4583" t="s">
        <v>30908</v>
      </c>
      <c r="H4583" t="s">
        <v>30916</v>
      </c>
      <c r="I4583" t="s">
        <v>30967</v>
      </c>
      <c r="J4583" t="s">
        <v>33070</v>
      </c>
      <c r="K4583" t="s">
        <v>40289</v>
      </c>
      <c r="M4583" t="s">
        <v>42385</v>
      </c>
      <c r="N4583" t="s">
        <v>44759</v>
      </c>
      <c r="O4583" t="s">
        <v>44760</v>
      </c>
      <c r="P4583">
        <v>0</v>
      </c>
      <c r="Q4583">
        <v>0</v>
      </c>
      <c r="R4583" t="s">
        <v>44763</v>
      </c>
      <c r="S4583" t="s">
        <v>44876</v>
      </c>
      <c r="T4583" t="s">
        <v>46403</v>
      </c>
      <c r="U4583" t="s">
        <v>50789</v>
      </c>
      <c r="W4583" t="s">
        <v>42385</v>
      </c>
      <c r="X4583" t="s">
        <v>44764</v>
      </c>
    </row>
    <row r="4584" spans="1:24">
      <c r="A4584">
        <f>HYPERLINK("https://www.philgeps.gov.ph/GEPSNONPILOT/Tender/SplashBidNoticeAbstractUI.aspx?menuIndex=3&amp;refID=7148919&amp;Result=3","7148919")</f>
        <v>0</v>
      </c>
      <c r="B4584" t="s">
        <v>1716</v>
      </c>
      <c r="C4584" t="s">
        <v>8091</v>
      </c>
      <c r="D4584" t="s">
        <v>17966</v>
      </c>
      <c r="E4584" t="s">
        <v>22170</v>
      </c>
      <c r="F4584" t="s">
        <v>30900</v>
      </c>
      <c r="G4584" t="s">
        <v>30908</v>
      </c>
      <c r="H4584" t="s">
        <v>30916</v>
      </c>
      <c r="I4584" t="s">
        <v>4142</v>
      </c>
      <c r="J4584" t="s">
        <v>34148</v>
      </c>
      <c r="K4584" t="s">
        <v>40283</v>
      </c>
      <c r="M4584" t="s">
        <v>42380</v>
      </c>
      <c r="N4584" t="s">
        <v>44759</v>
      </c>
      <c r="O4584" t="s">
        <v>44760</v>
      </c>
      <c r="P4584">
        <v>0</v>
      </c>
      <c r="Q4584">
        <v>3</v>
      </c>
      <c r="R4584" t="s">
        <v>44763</v>
      </c>
      <c r="S4584" t="s">
        <v>44876</v>
      </c>
      <c r="T4584" t="s">
        <v>46533</v>
      </c>
      <c r="U4584" t="s">
        <v>50790</v>
      </c>
      <c r="W4584" t="s">
        <v>42380</v>
      </c>
      <c r="X4584" t="s">
        <v>44764</v>
      </c>
    </row>
    <row r="4585" spans="1:24">
      <c r="A4585">
        <f>HYPERLINK("https://www.philgeps.gov.ph/GEPSNONPILOT/Tender/SplashBidNoticeAbstractUI.aspx?menuIndex=3&amp;refID=7148955&amp;Result=3","7148955")</f>
        <v>0</v>
      </c>
      <c r="B4585" t="s">
        <v>1722</v>
      </c>
      <c r="C4585" t="s">
        <v>6603</v>
      </c>
      <c r="D4585" t="s">
        <v>17998</v>
      </c>
      <c r="E4585" t="s">
        <v>22140</v>
      </c>
      <c r="F4585" t="s">
        <v>30900</v>
      </c>
      <c r="G4585" t="s">
        <v>30907</v>
      </c>
      <c r="H4585" t="s">
        <v>30916</v>
      </c>
      <c r="I4585" t="s">
        <v>30978</v>
      </c>
      <c r="J4585" t="s">
        <v>34149</v>
      </c>
      <c r="K4585" t="s">
        <v>40286</v>
      </c>
      <c r="M4585" t="s">
        <v>42386</v>
      </c>
      <c r="N4585" t="s">
        <v>44759</v>
      </c>
      <c r="O4585" t="s">
        <v>44760</v>
      </c>
      <c r="P4585">
        <v>0</v>
      </c>
      <c r="Q4585">
        <v>1</v>
      </c>
      <c r="R4585" t="s">
        <v>44763</v>
      </c>
      <c r="S4585" t="s">
        <v>44876</v>
      </c>
      <c r="T4585" t="s">
        <v>46396</v>
      </c>
      <c r="U4585" t="s">
        <v>50791</v>
      </c>
      <c r="V4585" t="s">
        <v>59605</v>
      </c>
      <c r="W4585" t="s">
        <v>42386</v>
      </c>
      <c r="X4585" t="s">
        <v>44764</v>
      </c>
    </row>
    <row r="4586" spans="1:24">
      <c r="A4586">
        <f>HYPERLINK("https://www.philgeps.gov.ph/GEPSNONPILOT/Tender/SplashBidNoticeAbstractUI.aspx?menuIndex=3&amp;refID=7148953&amp;Result=3","7148953")</f>
        <v>0</v>
      </c>
      <c r="B4586" t="s">
        <v>1723</v>
      </c>
      <c r="C4586" t="s">
        <v>8092</v>
      </c>
      <c r="D4586" t="s">
        <v>17957</v>
      </c>
      <c r="E4586" t="s">
        <v>22171</v>
      </c>
      <c r="F4586" t="s">
        <v>30900</v>
      </c>
      <c r="G4586" t="s">
        <v>30909</v>
      </c>
      <c r="H4586" t="s">
        <v>30916</v>
      </c>
      <c r="I4586" t="s">
        <v>6953</v>
      </c>
      <c r="J4586" t="s">
        <v>34150</v>
      </c>
      <c r="K4586" t="s">
        <v>40286</v>
      </c>
      <c r="M4586" t="s">
        <v>42387</v>
      </c>
      <c r="N4586" t="s">
        <v>44759</v>
      </c>
      <c r="O4586" t="s">
        <v>44760</v>
      </c>
      <c r="P4586">
        <v>0</v>
      </c>
      <c r="Q4586">
        <v>0</v>
      </c>
      <c r="R4586" t="s">
        <v>44763</v>
      </c>
      <c r="S4586" t="s">
        <v>44876</v>
      </c>
      <c r="T4586" t="s">
        <v>46412</v>
      </c>
      <c r="U4586" t="s">
        <v>50792</v>
      </c>
      <c r="W4586" t="s">
        <v>42387</v>
      </c>
      <c r="X4586" t="s">
        <v>44764</v>
      </c>
    </row>
    <row r="4587" spans="1:24">
      <c r="A4587">
        <f>HYPERLINK("https://www.philgeps.gov.ph/GEPSNONPILOT/Tender/SplashBidNoticeAbstractUI.aspx?menuIndex=3&amp;refID=7148916&amp;Result=3","7148916")</f>
        <v>0</v>
      </c>
      <c r="B4587" t="s">
        <v>1164</v>
      </c>
      <c r="C4587" t="s">
        <v>8093</v>
      </c>
      <c r="D4587" t="s">
        <v>17955</v>
      </c>
      <c r="E4587" t="s">
        <v>22164</v>
      </c>
      <c r="F4587" t="s">
        <v>30900</v>
      </c>
      <c r="G4587" t="s">
        <v>30907</v>
      </c>
      <c r="H4587" t="s">
        <v>30915</v>
      </c>
      <c r="I4587" t="s">
        <v>30919</v>
      </c>
      <c r="J4587" t="s">
        <v>34151</v>
      </c>
      <c r="K4587" t="s">
        <v>40289</v>
      </c>
      <c r="M4587" t="s">
        <v>42378</v>
      </c>
      <c r="N4587" t="s">
        <v>44759</v>
      </c>
      <c r="O4587" t="s">
        <v>44760</v>
      </c>
      <c r="P4587">
        <v>0</v>
      </c>
      <c r="Q4587">
        <v>1</v>
      </c>
      <c r="R4587" t="s">
        <v>44763</v>
      </c>
      <c r="S4587" t="s">
        <v>44876</v>
      </c>
      <c r="T4587" t="s">
        <v>46380</v>
      </c>
      <c r="U4587" t="s">
        <v>50793</v>
      </c>
      <c r="W4587" t="s">
        <v>42378</v>
      </c>
      <c r="X4587" t="s">
        <v>44764</v>
      </c>
    </row>
    <row r="4588" spans="1:24">
      <c r="A4588">
        <f>HYPERLINK("https://www.philgeps.gov.ph/GEPSNONPILOT/Tender/SplashBidNoticeAbstractUI.aspx?menuIndex=3&amp;refID=7148950&amp;Result=3","7148950")</f>
        <v>0</v>
      </c>
      <c r="B4588" t="s">
        <v>1720</v>
      </c>
      <c r="C4588" t="s">
        <v>8094</v>
      </c>
      <c r="D4588" t="s">
        <v>17998</v>
      </c>
      <c r="E4588" t="s">
        <v>22172</v>
      </c>
      <c r="F4588" t="s">
        <v>30900</v>
      </c>
      <c r="G4588" t="s">
        <v>30908</v>
      </c>
      <c r="H4588" t="s">
        <v>30916</v>
      </c>
      <c r="I4588" t="s">
        <v>30939</v>
      </c>
      <c r="J4588" t="s">
        <v>34152</v>
      </c>
      <c r="K4588" t="s">
        <v>40284</v>
      </c>
      <c r="M4588" t="s">
        <v>42384</v>
      </c>
      <c r="N4588" t="s">
        <v>44759</v>
      </c>
      <c r="O4588" t="s">
        <v>44760</v>
      </c>
      <c r="P4588">
        <v>0</v>
      </c>
      <c r="Q4588">
        <v>0</v>
      </c>
      <c r="R4588" t="s">
        <v>44763</v>
      </c>
      <c r="S4588" t="s">
        <v>44876</v>
      </c>
      <c r="T4588" t="s">
        <v>46612</v>
      </c>
      <c r="U4588" t="s">
        <v>50794</v>
      </c>
      <c r="V4588" t="s">
        <v>59604</v>
      </c>
      <c r="W4588" t="s">
        <v>42384</v>
      </c>
      <c r="X4588" t="s">
        <v>44764</v>
      </c>
    </row>
    <row r="4589" spans="1:24">
      <c r="A4589">
        <f>HYPERLINK("https://www.philgeps.gov.ph/GEPSNONPILOT/Tender/SplashBidNoticeAbstractUI.aspx?menuIndex=3&amp;refID=7148946&amp;Result=3","7148946")</f>
        <v>0</v>
      </c>
      <c r="B4589" t="s">
        <v>1071</v>
      </c>
      <c r="C4589" t="s">
        <v>8095</v>
      </c>
      <c r="D4589" t="s">
        <v>17971</v>
      </c>
      <c r="E4589" t="s">
        <v>22173</v>
      </c>
      <c r="F4589" t="s">
        <v>30900</v>
      </c>
      <c r="G4589" t="s">
        <v>30908</v>
      </c>
      <c r="H4589" t="s">
        <v>30916</v>
      </c>
      <c r="I4589" t="s">
        <v>6746</v>
      </c>
      <c r="J4589" t="s">
        <v>33225</v>
      </c>
      <c r="K4589" t="s">
        <v>40283</v>
      </c>
      <c r="M4589" t="s">
        <v>41669</v>
      </c>
      <c r="N4589" t="s">
        <v>44759</v>
      </c>
      <c r="O4589" t="s">
        <v>44760</v>
      </c>
      <c r="P4589">
        <v>0</v>
      </c>
      <c r="Q4589">
        <v>0</v>
      </c>
      <c r="R4589" t="s">
        <v>44763</v>
      </c>
      <c r="S4589" t="s">
        <v>44876</v>
      </c>
      <c r="T4589" t="s">
        <v>46383</v>
      </c>
      <c r="U4589" t="s">
        <v>50795</v>
      </c>
      <c r="W4589" t="s">
        <v>41669</v>
      </c>
      <c r="X4589" t="s">
        <v>44764</v>
      </c>
    </row>
    <row r="4590" spans="1:24">
      <c r="A4590">
        <f>HYPERLINK("https://www.philgeps.gov.ph/GEPSNONPILOT/Tender/SplashBidNoticeAbstractUI.aspx?menuIndex=3&amp;refID=7148910&amp;Result=3","7148910")</f>
        <v>0</v>
      </c>
      <c r="B4590" t="s">
        <v>1164</v>
      </c>
      <c r="C4590" t="s">
        <v>8096</v>
      </c>
      <c r="D4590" t="s">
        <v>17955</v>
      </c>
      <c r="E4590" t="s">
        <v>22174</v>
      </c>
      <c r="F4590" t="s">
        <v>30900</v>
      </c>
      <c r="G4590" t="s">
        <v>30907</v>
      </c>
      <c r="H4590" t="s">
        <v>30915</v>
      </c>
      <c r="I4590" t="s">
        <v>30919</v>
      </c>
      <c r="J4590" t="s">
        <v>34153</v>
      </c>
      <c r="K4590" t="s">
        <v>40289</v>
      </c>
      <c r="M4590" t="s">
        <v>42378</v>
      </c>
      <c r="N4590" t="s">
        <v>44759</v>
      </c>
      <c r="O4590" t="s">
        <v>44760</v>
      </c>
      <c r="P4590">
        <v>0</v>
      </c>
      <c r="Q4590">
        <v>0</v>
      </c>
      <c r="R4590" t="s">
        <v>44763</v>
      </c>
      <c r="S4590" t="s">
        <v>44876</v>
      </c>
      <c r="T4590" t="s">
        <v>46380</v>
      </c>
      <c r="U4590" t="s">
        <v>50796</v>
      </c>
      <c r="W4590" t="s">
        <v>42378</v>
      </c>
      <c r="X4590" t="s">
        <v>44764</v>
      </c>
    </row>
    <row r="4591" spans="1:24">
      <c r="A4591">
        <f>HYPERLINK("https://www.philgeps.gov.ph/GEPSNONPILOT/Tender/SplashBidNoticeAbstractUI.aspx?menuIndex=3&amp;refID=7148941&amp;Result=3","7148941")</f>
        <v>0</v>
      </c>
      <c r="B4591" t="s">
        <v>302</v>
      </c>
      <c r="C4591" t="s">
        <v>8097</v>
      </c>
      <c r="D4591" t="s">
        <v>17959</v>
      </c>
      <c r="E4591" t="s">
        <v>22175</v>
      </c>
      <c r="F4591" t="s">
        <v>30900</v>
      </c>
      <c r="G4591" t="s">
        <v>30909</v>
      </c>
      <c r="H4591" t="s">
        <v>30916</v>
      </c>
      <c r="I4591" t="s">
        <v>9385</v>
      </c>
      <c r="J4591" t="s">
        <v>34154</v>
      </c>
      <c r="K4591" t="s">
        <v>40283</v>
      </c>
      <c r="M4591" t="s">
        <v>40851</v>
      </c>
      <c r="N4591" t="s">
        <v>44759</v>
      </c>
      <c r="O4591" t="s">
        <v>44760</v>
      </c>
      <c r="P4591">
        <v>0</v>
      </c>
      <c r="Q4591">
        <v>4</v>
      </c>
      <c r="R4591" t="s">
        <v>44763</v>
      </c>
      <c r="S4591" t="s">
        <v>44876</v>
      </c>
      <c r="T4591" t="s">
        <v>46658</v>
      </c>
      <c r="U4591" t="s">
        <v>50797</v>
      </c>
      <c r="V4591" t="s">
        <v>59325</v>
      </c>
      <c r="W4591" t="s">
        <v>60852</v>
      </c>
      <c r="X4591" t="s">
        <v>44764</v>
      </c>
    </row>
    <row r="4592" spans="1:24">
      <c r="A4592">
        <f>HYPERLINK("https://www.philgeps.gov.ph/GEPSNONPILOT/Tender/SplashBidNoticeAbstractUI.aspx?menuIndex=3&amp;refID=7148938&amp;Result=3","7148938")</f>
        <v>0</v>
      </c>
      <c r="B4592" t="s">
        <v>302</v>
      </c>
      <c r="C4592" t="s">
        <v>8098</v>
      </c>
      <c r="D4592" t="s">
        <v>17959</v>
      </c>
      <c r="E4592" t="s">
        <v>22176</v>
      </c>
      <c r="F4592" t="s">
        <v>30900</v>
      </c>
      <c r="G4592" t="s">
        <v>30909</v>
      </c>
      <c r="H4592" t="s">
        <v>30916</v>
      </c>
      <c r="I4592" t="s">
        <v>9385</v>
      </c>
      <c r="J4592" t="s">
        <v>33646</v>
      </c>
      <c r="K4592" t="s">
        <v>40283</v>
      </c>
      <c r="M4592" t="s">
        <v>40851</v>
      </c>
      <c r="N4592" t="s">
        <v>44759</v>
      </c>
      <c r="O4592" t="s">
        <v>44760</v>
      </c>
      <c r="P4592">
        <v>0</v>
      </c>
      <c r="Q4592">
        <v>2</v>
      </c>
      <c r="R4592" t="s">
        <v>44763</v>
      </c>
      <c r="S4592" t="s">
        <v>44876</v>
      </c>
      <c r="T4592" t="s">
        <v>46658</v>
      </c>
      <c r="U4592" t="s">
        <v>50798</v>
      </c>
      <c r="V4592" t="s">
        <v>59325</v>
      </c>
      <c r="W4592" t="s">
        <v>60852</v>
      </c>
      <c r="X4592" t="s">
        <v>44764</v>
      </c>
    </row>
    <row r="4593" spans="1:24">
      <c r="A4593">
        <f>HYPERLINK("https://www.philgeps.gov.ph/GEPSNONPILOT/Tender/SplashBidNoticeAbstractUI.aspx?menuIndex=3&amp;refID=7148945&amp;Result=3","7148945")</f>
        <v>0</v>
      </c>
      <c r="B4593" t="s">
        <v>1720</v>
      </c>
      <c r="C4593" t="s">
        <v>8099</v>
      </c>
      <c r="D4593" t="s">
        <v>18004</v>
      </c>
      <c r="E4593" t="s">
        <v>22177</v>
      </c>
      <c r="F4593" t="s">
        <v>30900</v>
      </c>
      <c r="G4593" t="s">
        <v>30908</v>
      </c>
      <c r="H4593" t="s">
        <v>30916</v>
      </c>
      <c r="I4593" t="s">
        <v>30939</v>
      </c>
      <c r="J4593" t="s">
        <v>32163</v>
      </c>
      <c r="K4593" t="s">
        <v>40284</v>
      </c>
      <c r="M4593" t="s">
        <v>42384</v>
      </c>
      <c r="N4593" t="s">
        <v>44759</v>
      </c>
      <c r="O4593" t="s">
        <v>44760</v>
      </c>
      <c r="P4593">
        <v>0</v>
      </c>
      <c r="Q4593">
        <v>0</v>
      </c>
      <c r="R4593" t="s">
        <v>44763</v>
      </c>
      <c r="S4593" t="s">
        <v>44876</v>
      </c>
      <c r="T4593" t="s">
        <v>46612</v>
      </c>
      <c r="U4593" t="s">
        <v>50799</v>
      </c>
      <c r="V4593" t="s">
        <v>59604</v>
      </c>
      <c r="W4593" t="s">
        <v>42384</v>
      </c>
      <c r="X4593" t="s">
        <v>44764</v>
      </c>
    </row>
    <row r="4594" spans="1:24">
      <c r="A4594">
        <f>HYPERLINK("https://www.philgeps.gov.ph/GEPSNONPILOT/Tender/SplashBidNoticeAbstractUI.aspx?menuIndex=3&amp;refID=7148944&amp;Result=3","7148944")</f>
        <v>0</v>
      </c>
      <c r="B4594" t="s">
        <v>1719</v>
      </c>
      <c r="C4594" t="s">
        <v>8100</v>
      </c>
      <c r="D4594" t="s">
        <v>17991</v>
      </c>
      <c r="E4594" t="s">
        <v>22178</v>
      </c>
      <c r="F4594" t="s">
        <v>30900</v>
      </c>
      <c r="G4594" t="s">
        <v>30907</v>
      </c>
      <c r="H4594" t="s">
        <v>30916</v>
      </c>
      <c r="I4594" t="s">
        <v>30983</v>
      </c>
      <c r="J4594" t="s">
        <v>34155</v>
      </c>
      <c r="K4594" t="s">
        <v>40283</v>
      </c>
      <c r="M4594" t="s">
        <v>42383</v>
      </c>
      <c r="N4594" t="s">
        <v>44759</v>
      </c>
      <c r="O4594" t="s">
        <v>44760</v>
      </c>
      <c r="P4594">
        <v>0</v>
      </c>
      <c r="Q4594">
        <v>0</v>
      </c>
      <c r="R4594" t="s">
        <v>44763</v>
      </c>
      <c r="S4594" t="s">
        <v>44876</v>
      </c>
      <c r="T4594" t="s">
        <v>46421</v>
      </c>
      <c r="U4594" t="s">
        <v>50800</v>
      </c>
      <c r="W4594" t="s">
        <v>42383</v>
      </c>
      <c r="X4594" t="s">
        <v>44764</v>
      </c>
    </row>
    <row r="4595" spans="1:24">
      <c r="A4595">
        <f>HYPERLINK("https://www.philgeps.gov.ph/GEPSNONPILOT/Tender/SplashBidNoticeAbstractUI.aspx?menuIndex=3&amp;refID=7148936&amp;Result=3","7148936")</f>
        <v>0</v>
      </c>
      <c r="B4595" t="s">
        <v>1100</v>
      </c>
      <c r="C4595" t="s">
        <v>8101</v>
      </c>
      <c r="D4595" t="s">
        <v>17980</v>
      </c>
      <c r="E4595" t="s">
        <v>22179</v>
      </c>
      <c r="F4595" t="s">
        <v>30900</v>
      </c>
      <c r="G4595" t="s">
        <v>30909</v>
      </c>
      <c r="H4595" t="s">
        <v>30916</v>
      </c>
      <c r="I4595" t="s">
        <v>30923</v>
      </c>
      <c r="J4595" t="s">
        <v>34156</v>
      </c>
      <c r="K4595" t="s">
        <v>40289</v>
      </c>
      <c r="M4595" t="s">
        <v>41789</v>
      </c>
      <c r="N4595" t="s">
        <v>44759</v>
      </c>
      <c r="O4595" t="s">
        <v>44760</v>
      </c>
      <c r="P4595">
        <v>0</v>
      </c>
      <c r="Q4595">
        <v>14</v>
      </c>
      <c r="R4595" t="s">
        <v>44763</v>
      </c>
      <c r="S4595" t="s">
        <v>44876</v>
      </c>
      <c r="T4595" t="s">
        <v>46404</v>
      </c>
      <c r="U4595" t="s">
        <v>50801</v>
      </c>
      <c r="W4595" t="s">
        <v>41789</v>
      </c>
      <c r="X4595" t="s">
        <v>44764</v>
      </c>
    </row>
    <row r="4596" spans="1:24">
      <c r="A4596">
        <f>HYPERLINK("https://www.philgeps.gov.ph/GEPSNONPILOT/Tender/SplashBidNoticeAbstractUI.aspx?menuIndex=3&amp;refID=7148959&amp;Result=3","7148959")</f>
        <v>0</v>
      </c>
      <c r="B4596" t="s">
        <v>1724</v>
      </c>
      <c r="C4596" t="s">
        <v>8102</v>
      </c>
      <c r="D4596" t="s">
        <v>18016</v>
      </c>
      <c r="E4596" t="s">
        <v>22180</v>
      </c>
      <c r="F4596" t="s">
        <v>30900</v>
      </c>
      <c r="G4596" t="s">
        <v>30909</v>
      </c>
      <c r="H4596" t="s">
        <v>30916</v>
      </c>
      <c r="I4596" t="s">
        <v>30924</v>
      </c>
      <c r="J4596" t="s">
        <v>34157</v>
      </c>
      <c r="K4596" t="s">
        <v>40284</v>
      </c>
      <c r="M4596" t="s">
        <v>42388</v>
      </c>
      <c r="N4596" t="s">
        <v>44759</v>
      </c>
      <c r="O4596" t="s">
        <v>44760</v>
      </c>
      <c r="P4596">
        <v>0</v>
      </c>
      <c r="Q4596">
        <v>1</v>
      </c>
      <c r="R4596" t="s">
        <v>44763</v>
      </c>
      <c r="S4596" t="s">
        <v>44876</v>
      </c>
      <c r="T4596" t="s">
        <v>46403</v>
      </c>
      <c r="U4596" t="s">
        <v>50802</v>
      </c>
      <c r="W4596" t="s">
        <v>42388</v>
      </c>
      <c r="X4596" t="s">
        <v>44764</v>
      </c>
    </row>
    <row r="4597" spans="1:24">
      <c r="A4597">
        <f>HYPERLINK("https://www.philgeps.gov.ph/GEPSNONPILOT/Tender/SplashBidNoticeAbstractUI.aspx?menuIndex=3&amp;refID=7148958&amp;Result=3","7148958")</f>
        <v>0</v>
      </c>
      <c r="B4597" t="s">
        <v>1721</v>
      </c>
      <c r="C4597" t="s">
        <v>8103</v>
      </c>
      <c r="E4597" t="s">
        <v>22181</v>
      </c>
      <c r="F4597" t="s">
        <v>30900</v>
      </c>
      <c r="G4597" t="s">
        <v>30908</v>
      </c>
      <c r="H4597" t="s">
        <v>30916</v>
      </c>
      <c r="I4597" t="s">
        <v>10602</v>
      </c>
      <c r="J4597" t="s">
        <v>31195</v>
      </c>
      <c r="K4597" t="s">
        <v>40289</v>
      </c>
      <c r="M4597" t="s">
        <v>42385</v>
      </c>
      <c r="N4597" t="s">
        <v>44759</v>
      </c>
      <c r="O4597" t="s">
        <v>44760</v>
      </c>
      <c r="P4597">
        <v>0</v>
      </c>
      <c r="Q4597">
        <v>0</v>
      </c>
      <c r="R4597" t="s">
        <v>44763</v>
      </c>
      <c r="S4597" t="s">
        <v>44876</v>
      </c>
      <c r="T4597" t="s">
        <v>46403</v>
      </c>
      <c r="U4597" t="s">
        <v>50803</v>
      </c>
      <c r="W4597" t="s">
        <v>42385</v>
      </c>
      <c r="X4597" t="s">
        <v>44764</v>
      </c>
    </row>
    <row r="4598" spans="1:24">
      <c r="A4598">
        <f>HYPERLINK("https://www.philgeps.gov.ph/GEPSNONPILOT/Tender/SplashBidNoticeAbstractUI.aspx?menuIndex=3&amp;refID=7148940&amp;Result=3","7148940")</f>
        <v>0</v>
      </c>
      <c r="B4598" t="s">
        <v>531</v>
      </c>
      <c r="C4598" t="s">
        <v>8104</v>
      </c>
      <c r="D4598" t="s">
        <v>17955</v>
      </c>
      <c r="E4598" t="s">
        <v>22182</v>
      </c>
      <c r="F4598" t="s">
        <v>30900</v>
      </c>
      <c r="G4598" t="s">
        <v>30909</v>
      </c>
      <c r="H4598" t="s">
        <v>30916</v>
      </c>
      <c r="I4598" t="s">
        <v>8365</v>
      </c>
      <c r="J4598" t="s">
        <v>32052</v>
      </c>
      <c r="K4598" t="s">
        <v>40285</v>
      </c>
      <c r="M4598" t="s">
        <v>42389</v>
      </c>
      <c r="N4598" t="s">
        <v>44759</v>
      </c>
      <c r="O4598" t="s">
        <v>44760</v>
      </c>
      <c r="P4598">
        <v>0</v>
      </c>
      <c r="Q4598">
        <v>1</v>
      </c>
      <c r="R4598" t="s">
        <v>44763</v>
      </c>
      <c r="S4598" t="s">
        <v>44876</v>
      </c>
      <c r="T4598" t="s">
        <v>46533</v>
      </c>
      <c r="U4598" t="s">
        <v>50804</v>
      </c>
      <c r="W4598" t="s">
        <v>42389</v>
      </c>
      <c r="X4598" t="s">
        <v>44764</v>
      </c>
    </row>
    <row r="4599" spans="1:24">
      <c r="A4599">
        <f>HYPERLINK("https://www.philgeps.gov.ph/GEPSNONPILOT/Tender/SplashBidNoticeAbstractUI.aspx?menuIndex=3&amp;refID=7148957&amp;Result=3","7148957")</f>
        <v>0</v>
      </c>
      <c r="B4599" t="s">
        <v>81</v>
      </c>
      <c r="C4599" t="s">
        <v>8105</v>
      </c>
      <c r="D4599" t="s">
        <v>17959</v>
      </c>
      <c r="E4599" t="s">
        <v>22183</v>
      </c>
      <c r="F4599" t="s">
        <v>30900</v>
      </c>
      <c r="G4599" t="s">
        <v>30906</v>
      </c>
      <c r="H4599" t="s">
        <v>30916</v>
      </c>
      <c r="I4599" t="s">
        <v>30942</v>
      </c>
      <c r="J4599" t="s">
        <v>31069</v>
      </c>
      <c r="K4599" t="s">
        <v>40289</v>
      </c>
      <c r="M4599" t="s">
        <v>42390</v>
      </c>
      <c r="N4599" t="s">
        <v>44759</v>
      </c>
      <c r="O4599" t="s">
        <v>44760</v>
      </c>
      <c r="P4599">
        <v>0</v>
      </c>
      <c r="Q4599">
        <v>0</v>
      </c>
      <c r="R4599" t="s">
        <v>44763</v>
      </c>
      <c r="S4599" t="s">
        <v>44876</v>
      </c>
      <c r="T4599" t="s">
        <v>46399</v>
      </c>
      <c r="U4599" t="s">
        <v>50805</v>
      </c>
      <c r="W4599" t="s">
        <v>42390</v>
      </c>
      <c r="X4599" t="s">
        <v>44764</v>
      </c>
    </row>
    <row r="4600" spans="1:24">
      <c r="A4600">
        <f>HYPERLINK("https://www.philgeps.gov.ph/GEPSNONPILOT/Tender/SplashBidNoticeAbstractUI.aspx?menuIndex=3&amp;refID=7148974&amp;Result=3","7148974")</f>
        <v>0</v>
      </c>
      <c r="B4600" t="s">
        <v>1725</v>
      </c>
      <c r="C4600" t="s">
        <v>8106</v>
      </c>
      <c r="D4600" t="s">
        <v>17975</v>
      </c>
      <c r="E4600" t="s">
        <v>22184</v>
      </c>
      <c r="F4600" t="s">
        <v>30900</v>
      </c>
      <c r="G4600" t="s">
        <v>30909</v>
      </c>
      <c r="H4600" t="s">
        <v>30916</v>
      </c>
      <c r="I4600" t="s">
        <v>30974</v>
      </c>
      <c r="J4600" t="s">
        <v>34158</v>
      </c>
      <c r="K4600" t="s">
        <v>40285</v>
      </c>
      <c r="M4600" t="s">
        <v>42391</v>
      </c>
      <c r="N4600" t="s">
        <v>44759</v>
      </c>
      <c r="O4600" t="s">
        <v>44760</v>
      </c>
      <c r="P4600">
        <v>0</v>
      </c>
      <c r="Q4600">
        <v>1</v>
      </c>
      <c r="R4600" t="s">
        <v>44763</v>
      </c>
      <c r="S4600" t="s">
        <v>44876</v>
      </c>
      <c r="T4600" t="s">
        <v>46625</v>
      </c>
      <c r="U4600" t="s">
        <v>50806</v>
      </c>
      <c r="V4600" t="s">
        <v>59606</v>
      </c>
      <c r="W4600" t="s">
        <v>42391</v>
      </c>
      <c r="X4600" t="s">
        <v>44764</v>
      </c>
    </row>
    <row r="4601" spans="1:24">
      <c r="A4601">
        <f>HYPERLINK("https://www.philgeps.gov.ph/GEPSNONPILOT/Tender/SplashBidNoticeAbstractUI.aspx?menuIndex=3&amp;refID=7148934&amp;Result=3","7148934")</f>
        <v>0</v>
      </c>
      <c r="B4601" t="s">
        <v>1164</v>
      </c>
      <c r="C4601" t="s">
        <v>8107</v>
      </c>
      <c r="D4601" t="s">
        <v>17955</v>
      </c>
      <c r="E4601" t="s">
        <v>22185</v>
      </c>
      <c r="F4601" t="s">
        <v>30900</v>
      </c>
      <c r="G4601" t="s">
        <v>30907</v>
      </c>
      <c r="H4601" t="s">
        <v>30915</v>
      </c>
      <c r="I4601" t="s">
        <v>30919</v>
      </c>
      <c r="J4601" t="s">
        <v>34159</v>
      </c>
      <c r="K4601" t="s">
        <v>40289</v>
      </c>
      <c r="M4601" t="s">
        <v>42378</v>
      </c>
      <c r="N4601" t="s">
        <v>44759</v>
      </c>
      <c r="O4601" t="s">
        <v>44760</v>
      </c>
      <c r="P4601">
        <v>0</v>
      </c>
      <c r="Q4601">
        <v>0</v>
      </c>
      <c r="R4601" t="s">
        <v>44763</v>
      </c>
      <c r="S4601" t="s">
        <v>44876</v>
      </c>
      <c r="T4601" t="s">
        <v>46380</v>
      </c>
      <c r="U4601" t="s">
        <v>50807</v>
      </c>
      <c r="W4601" t="s">
        <v>42378</v>
      </c>
      <c r="X4601" t="s">
        <v>44764</v>
      </c>
    </row>
    <row r="4602" spans="1:24">
      <c r="A4602">
        <f>HYPERLINK("https://www.philgeps.gov.ph/GEPSNONPILOT/Tender/SplashBidNoticeAbstractUI.aspx?menuIndex=3&amp;refID=7148978&amp;Result=3","7148978")</f>
        <v>0</v>
      </c>
      <c r="B4602" t="s">
        <v>1726</v>
      </c>
      <c r="C4602" t="s">
        <v>8108</v>
      </c>
      <c r="D4602" t="s">
        <v>18009</v>
      </c>
      <c r="E4602" t="s">
        <v>22186</v>
      </c>
      <c r="F4602" t="s">
        <v>30900</v>
      </c>
      <c r="G4602" t="s">
        <v>30907</v>
      </c>
      <c r="H4602" t="s">
        <v>30916</v>
      </c>
      <c r="I4602" t="s">
        <v>30933</v>
      </c>
      <c r="J4602" t="s">
        <v>31206</v>
      </c>
      <c r="K4602" t="s">
        <v>40286</v>
      </c>
      <c r="M4602" t="s">
        <v>42392</v>
      </c>
      <c r="N4602" t="s">
        <v>44759</v>
      </c>
      <c r="O4602" t="s">
        <v>44760</v>
      </c>
      <c r="P4602">
        <v>0</v>
      </c>
      <c r="Q4602">
        <v>0</v>
      </c>
      <c r="R4602" t="s">
        <v>44763</v>
      </c>
      <c r="S4602" t="s">
        <v>44876</v>
      </c>
      <c r="T4602" t="s">
        <v>46465</v>
      </c>
      <c r="U4602" t="s">
        <v>50808</v>
      </c>
      <c r="W4602" t="s">
        <v>42392</v>
      </c>
      <c r="X4602" t="s">
        <v>44764</v>
      </c>
    </row>
    <row r="4603" spans="1:24">
      <c r="A4603">
        <f>HYPERLINK("https://www.philgeps.gov.ph/GEPSNONPILOT/Tender/SplashBidNoticeAbstractUI.aspx?menuIndex=3&amp;refID=7148977&amp;Result=3","7148977")</f>
        <v>0</v>
      </c>
      <c r="B4603" t="s">
        <v>1727</v>
      </c>
      <c r="C4603" t="s">
        <v>8109</v>
      </c>
      <c r="D4603" t="s">
        <v>18033</v>
      </c>
      <c r="E4603" t="s">
        <v>22187</v>
      </c>
      <c r="F4603" t="s">
        <v>30900</v>
      </c>
      <c r="G4603" t="s">
        <v>30907</v>
      </c>
      <c r="H4603" t="s">
        <v>30916</v>
      </c>
      <c r="I4603" t="s">
        <v>30931</v>
      </c>
      <c r="J4603" t="s">
        <v>34160</v>
      </c>
      <c r="K4603" t="s">
        <v>40291</v>
      </c>
      <c r="M4603" t="s">
        <v>42393</v>
      </c>
      <c r="N4603" t="s">
        <v>44759</v>
      </c>
      <c r="O4603" t="s">
        <v>44760</v>
      </c>
      <c r="P4603">
        <v>0</v>
      </c>
      <c r="Q4603">
        <v>3</v>
      </c>
      <c r="R4603" t="s">
        <v>44763</v>
      </c>
      <c r="S4603" t="s">
        <v>44876</v>
      </c>
      <c r="T4603" t="s">
        <v>46569</v>
      </c>
      <c r="U4603" t="s">
        <v>50809</v>
      </c>
      <c r="W4603" t="s">
        <v>42393</v>
      </c>
      <c r="X4603" t="s">
        <v>44764</v>
      </c>
    </row>
    <row r="4604" spans="1:24">
      <c r="A4604">
        <f>HYPERLINK("https://www.philgeps.gov.ph/GEPSNONPILOT/Tender/SplashBidNoticeAbstractUI.aspx?menuIndex=3&amp;refID=7148976&amp;Result=3","7148976")</f>
        <v>0</v>
      </c>
      <c r="B4604" t="s">
        <v>1725</v>
      </c>
      <c r="C4604" t="s">
        <v>8110</v>
      </c>
      <c r="D4604" t="s">
        <v>17975</v>
      </c>
      <c r="E4604" t="s">
        <v>22188</v>
      </c>
      <c r="F4604" t="s">
        <v>30900</v>
      </c>
      <c r="G4604" t="s">
        <v>30909</v>
      </c>
      <c r="H4604" t="s">
        <v>30916</v>
      </c>
      <c r="I4604" t="s">
        <v>10879</v>
      </c>
      <c r="J4604" t="s">
        <v>33225</v>
      </c>
      <c r="K4604" t="s">
        <v>40285</v>
      </c>
      <c r="M4604" t="s">
        <v>42391</v>
      </c>
      <c r="N4604" t="s">
        <v>44759</v>
      </c>
      <c r="O4604" t="s">
        <v>44760</v>
      </c>
      <c r="P4604">
        <v>0</v>
      </c>
      <c r="Q4604">
        <v>1</v>
      </c>
      <c r="R4604" t="s">
        <v>44763</v>
      </c>
      <c r="S4604" t="s">
        <v>44876</v>
      </c>
      <c r="T4604" t="s">
        <v>46541</v>
      </c>
      <c r="U4604" t="s">
        <v>50810</v>
      </c>
      <c r="V4604" t="s">
        <v>59606</v>
      </c>
      <c r="W4604" t="s">
        <v>42391</v>
      </c>
      <c r="X4604" t="s">
        <v>44764</v>
      </c>
    </row>
    <row r="4605" spans="1:24">
      <c r="A4605">
        <f>HYPERLINK("https://www.philgeps.gov.ph/GEPSNONPILOT/Tender/SplashBidNoticeAbstractUI.aspx?menuIndex=3&amp;refID=7148975&amp;Result=3","7148975")</f>
        <v>0</v>
      </c>
      <c r="B4605" t="s">
        <v>1728</v>
      </c>
      <c r="C4605" t="s">
        <v>8111</v>
      </c>
      <c r="D4605" t="s">
        <v>18016</v>
      </c>
      <c r="E4605" t="s">
        <v>22189</v>
      </c>
      <c r="F4605" t="s">
        <v>30900</v>
      </c>
      <c r="G4605" t="s">
        <v>30908</v>
      </c>
      <c r="H4605" t="s">
        <v>30916</v>
      </c>
      <c r="I4605" t="s">
        <v>4545</v>
      </c>
      <c r="J4605" t="s">
        <v>31067</v>
      </c>
      <c r="K4605" t="s">
        <v>40289</v>
      </c>
      <c r="M4605" t="s">
        <v>42394</v>
      </c>
      <c r="N4605" t="s">
        <v>44759</v>
      </c>
      <c r="O4605" t="s">
        <v>44760</v>
      </c>
      <c r="P4605">
        <v>0</v>
      </c>
      <c r="Q4605">
        <v>3</v>
      </c>
      <c r="R4605" t="s">
        <v>44763</v>
      </c>
      <c r="S4605" t="s">
        <v>44876</v>
      </c>
      <c r="T4605" t="s">
        <v>46531</v>
      </c>
      <c r="U4605" t="s">
        <v>50811</v>
      </c>
      <c r="W4605" t="s">
        <v>42394</v>
      </c>
      <c r="X4605" t="s">
        <v>44764</v>
      </c>
    </row>
    <row r="4606" spans="1:24">
      <c r="A4606">
        <f>HYPERLINK("https://www.philgeps.gov.ph/GEPSNONPILOT/Tender/SplashBidNoticeAbstractUI.aspx?menuIndex=3&amp;refID=7148972&amp;Result=3","7148972")</f>
        <v>0</v>
      </c>
      <c r="B4606" t="s">
        <v>1729</v>
      </c>
      <c r="C4606" t="s">
        <v>8112</v>
      </c>
      <c r="D4606" t="s">
        <v>17984</v>
      </c>
      <c r="E4606" t="s">
        <v>22190</v>
      </c>
      <c r="F4606" t="s">
        <v>30900</v>
      </c>
      <c r="G4606" t="s">
        <v>30907</v>
      </c>
      <c r="H4606" t="s">
        <v>30915</v>
      </c>
      <c r="I4606" t="s">
        <v>30919</v>
      </c>
      <c r="J4606" t="s">
        <v>34161</v>
      </c>
      <c r="K4606" t="s">
        <v>40291</v>
      </c>
      <c r="M4606" t="s">
        <v>42395</v>
      </c>
      <c r="N4606" t="s">
        <v>44759</v>
      </c>
      <c r="O4606" t="s">
        <v>44760</v>
      </c>
      <c r="P4606">
        <v>0</v>
      </c>
      <c r="Q4606">
        <v>0</v>
      </c>
      <c r="R4606" t="s">
        <v>44763</v>
      </c>
      <c r="S4606" t="s">
        <v>44876</v>
      </c>
      <c r="T4606" t="s">
        <v>46376</v>
      </c>
      <c r="U4606" t="s">
        <v>50812</v>
      </c>
      <c r="W4606" t="s">
        <v>42395</v>
      </c>
      <c r="X4606" t="s">
        <v>44764</v>
      </c>
    </row>
    <row r="4607" spans="1:24">
      <c r="A4607">
        <f>HYPERLINK("https://www.philgeps.gov.ph/GEPSNONPILOT/Tender/SplashBidNoticeAbstractUI.aspx?menuIndex=3&amp;refID=7148970&amp;Result=3","7148970")</f>
        <v>0</v>
      </c>
      <c r="B4607" t="s">
        <v>1723</v>
      </c>
      <c r="C4607" t="s">
        <v>8113</v>
      </c>
      <c r="D4607" t="s">
        <v>17957</v>
      </c>
      <c r="E4607" t="s">
        <v>22191</v>
      </c>
      <c r="F4607" t="s">
        <v>30900</v>
      </c>
      <c r="G4607" t="s">
        <v>30909</v>
      </c>
      <c r="H4607" t="s">
        <v>30916</v>
      </c>
      <c r="I4607" t="s">
        <v>30998</v>
      </c>
      <c r="J4607" t="s">
        <v>31247</v>
      </c>
      <c r="K4607" t="s">
        <v>40286</v>
      </c>
      <c r="M4607" t="s">
        <v>42387</v>
      </c>
      <c r="N4607" t="s">
        <v>44759</v>
      </c>
      <c r="O4607" t="s">
        <v>44760</v>
      </c>
      <c r="P4607">
        <v>0</v>
      </c>
      <c r="Q4607">
        <v>1</v>
      </c>
      <c r="R4607" t="s">
        <v>44763</v>
      </c>
      <c r="S4607" t="s">
        <v>44876</v>
      </c>
      <c r="T4607" t="s">
        <v>46412</v>
      </c>
      <c r="U4607" t="s">
        <v>50813</v>
      </c>
      <c r="W4607" t="s">
        <v>42387</v>
      </c>
      <c r="X4607" t="s">
        <v>44764</v>
      </c>
    </row>
    <row r="4608" spans="1:24">
      <c r="A4608">
        <f>HYPERLINK("https://www.philgeps.gov.ph/GEPSNONPILOT/Tender/SplashBidNoticeAbstractUI.aspx?menuIndex=3&amp;refID=7148969&amp;Result=3","7148969")</f>
        <v>0</v>
      </c>
      <c r="B4608" t="s">
        <v>1729</v>
      </c>
      <c r="C4608" t="s">
        <v>8114</v>
      </c>
      <c r="D4608" t="s">
        <v>17984</v>
      </c>
      <c r="E4608" t="s">
        <v>22192</v>
      </c>
      <c r="F4608" t="s">
        <v>30900</v>
      </c>
      <c r="G4608" t="s">
        <v>30907</v>
      </c>
      <c r="H4608" t="s">
        <v>30915</v>
      </c>
      <c r="I4608" t="s">
        <v>30919</v>
      </c>
      <c r="J4608" t="s">
        <v>31066</v>
      </c>
      <c r="K4608" t="s">
        <v>40317</v>
      </c>
      <c r="M4608" t="s">
        <v>42395</v>
      </c>
      <c r="N4608" t="s">
        <v>44759</v>
      </c>
      <c r="O4608" t="s">
        <v>44760</v>
      </c>
      <c r="P4608">
        <v>0</v>
      </c>
      <c r="Q4608">
        <v>0</v>
      </c>
      <c r="R4608" t="s">
        <v>44763</v>
      </c>
      <c r="S4608" t="s">
        <v>44876</v>
      </c>
      <c r="T4608" t="s">
        <v>46376</v>
      </c>
      <c r="U4608" t="s">
        <v>50814</v>
      </c>
      <c r="W4608" t="s">
        <v>42395</v>
      </c>
      <c r="X4608" t="s">
        <v>44764</v>
      </c>
    </row>
    <row r="4609" spans="1:24">
      <c r="A4609">
        <f>HYPERLINK("https://www.philgeps.gov.ph/GEPSNONPILOT/Tender/SplashBidNoticeAbstractUI.aspx?menuIndex=3&amp;refID=7148967&amp;Result=3","7148967")</f>
        <v>0</v>
      </c>
      <c r="B4609" t="s">
        <v>1721</v>
      </c>
      <c r="C4609" t="s">
        <v>8115</v>
      </c>
      <c r="E4609" t="s">
        <v>22193</v>
      </c>
      <c r="F4609" t="s">
        <v>30900</v>
      </c>
      <c r="G4609" t="s">
        <v>30908</v>
      </c>
      <c r="H4609" t="s">
        <v>30916</v>
      </c>
      <c r="I4609" t="s">
        <v>10602</v>
      </c>
      <c r="J4609" t="s">
        <v>31898</v>
      </c>
      <c r="K4609" t="s">
        <v>40289</v>
      </c>
      <c r="M4609" t="s">
        <v>42385</v>
      </c>
      <c r="N4609" t="s">
        <v>44759</v>
      </c>
      <c r="O4609" t="s">
        <v>44760</v>
      </c>
      <c r="P4609">
        <v>0</v>
      </c>
      <c r="Q4609">
        <v>0</v>
      </c>
      <c r="R4609" t="s">
        <v>44763</v>
      </c>
      <c r="S4609" t="s">
        <v>44876</v>
      </c>
      <c r="T4609" t="s">
        <v>46403</v>
      </c>
      <c r="U4609" t="s">
        <v>50815</v>
      </c>
      <c r="W4609" t="s">
        <v>42385</v>
      </c>
      <c r="X4609" t="s">
        <v>44764</v>
      </c>
    </row>
    <row r="4610" spans="1:24">
      <c r="A4610">
        <f>HYPERLINK("https://www.philgeps.gov.ph/GEPSNONPILOT/Tender/SplashBidNoticeAbstractUI.aspx?menuIndex=3&amp;refID=7148973&amp;Result=3","7148973")</f>
        <v>0</v>
      </c>
      <c r="B4610" t="s">
        <v>1728</v>
      </c>
      <c r="C4610" t="s">
        <v>8116</v>
      </c>
      <c r="D4610" t="s">
        <v>18016</v>
      </c>
      <c r="E4610" t="s">
        <v>22194</v>
      </c>
      <c r="F4610" t="s">
        <v>30900</v>
      </c>
      <c r="G4610" t="s">
        <v>30908</v>
      </c>
      <c r="H4610" t="s">
        <v>30916</v>
      </c>
      <c r="I4610" t="s">
        <v>4108</v>
      </c>
      <c r="J4610" t="s">
        <v>34162</v>
      </c>
      <c r="K4610" t="s">
        <v>40289</v>
      </c>
      <c r="M4610" t="s">
        <v>42394</v>
      </c>
      <c r="N4610" t="s">
        <v>44759</v>
      </c>
      <c r="O4610" t="s">
        <v>44760</v>
      </c>
      <c r="P4610">
        <v>0</v>
      </c>
      <c r="Q4610">
        <v>0</v>
      </c>
      <c r="R4610" t="s">
        <v>44763</v>
      </c>
      <c r="S4610" t="s">
        <v>44876</v>
      </c>
      <c r="T4610" t="s">
        <v>46531</v>
      </c>
      <c r="U4610" t="s">
        <v>50811</v>
      </c>
      <c r="W4610" t="s">
        <v>42394</v>
      </c>
      <c r="X4610" t="s">
        <v>44764</v>
      </c>
    </row>
    <row r="4611" spans="1:24">
      <c r="A4611">
        <f>HYPERLINK("https://www.philgeps.gov.ph/GEPSNONPILOT/Tender/SplashBidNoticeAbstractUI.aspx?menuIndex=3&amp;refID=7148935&amp;Result=3","7148935")</f>
        <v>0</v>
      </c>
      <c r="B4611" t="s">
        <v>1100</v>
      </c>
      <c r="C4611" t="s">
        <v>8117</v>
      </c>
      <c r="D4611" t="s">
        <v>18004</v>
      </c>
      <c r="E4611" t="s">
        <v>22195</v>
      </c>
      <c r="F4611" t="s">
        <v>30900</v>
      </c>
      <c r="G4611" t="s">
        <v>30908</v>
      </c>
      <c r="H4611" t="s">
        <v>30916</v>
      </c>
      <c r="I4611" t="s">
        <v>10602</v>
      </c>
      <c r="J4611" t="s">
        <v>34163</v>
      </c>
      <c r="K4611" t="s">
        <v>40289</v>
      </c>
      <c r="M4611" t="s">
        <v>41789</v>
      </c>
      <c r="N4611" t="s">
        <v>44759</v>
      </c>
      <c r="O4611" t="s">
        <v>44760</v>
      </c>
      <c r="P4611">
        <v>0</v>
      </c>
      <c r="Q4611">
        <v>0</v>
      </c>
      <c r="R4611" t="s">
        <v>44763</v>
      </c>
      <c r="S4611" t="s">
        <v>44876</v>
      </c>
      <c r="T4611" t="s">
        <v>46404</v>
      </c>
      <c r="U4611" t="s">
        <v>50816</v>
      </c>
      <c r="W4611" t="s">
        <v>41789</v>
      </c>
      <c r="X4611" t="s">
        <v>44764</v>
      </c>
    </row>
    <row r="4612" spans="1:24">
      <c r="A4612">
        <f>HYPERLINK("https://www.philgeps.gov.ph/GEPSNONPILOT/Tender/SplashBidNoticeAbstractUI.aspx?menuIndex=3&amp;refID=7148965&amp;Result=3","7148965")</f>
        <v>0</v>
      </c>
      <c r="B4612" t="s">
        <v>1729</v>
      </c>
      <c r="C4612" t="s">
        <v>8118</v>
      </c>
      <c r="D4612" t="s">
        <v>17984</v>
      </c>
      <c r="E4612" t="s">
        <v>22196</v>
      </c>
      <c r="F4612" t="s">
        <v>30900</v>
      </c>
      <c r="G4612" t="s">
        <v>30907</v>
      </c>
      <c r="H4612" t="s">
        <v>30915</v>
      </c>
      <c r="I4612" t="s">
        <v>30919</v>
      </c>
      <c r="J4612" t="s">
        <v>34164</v>
      </c>
      <c r="K4612" t="s">
        <v>40289</v>
      </c>
      <c r="M4612" t="s">
        <v>42395</v>
      </c>
      <c r="N4612" t="s">
        <v>44759</v>
      </c>
      <c r="O4612" t="s">
        <v>44760</v>
      </c>
      <c r="P4612">
        <v>0</v>
      </c>
      <c r="Q4612">
        <v>0</v>
      </c>
      <c r="R4612" t="s">
        <v>44763</v>
      </c>
      <c r="S4612" t="s">
        <v>44876</v>
      </c>
      <c r="T4612" t="s">
        <v>46376</v>
      </c>
      <c r="U4612" t="s">
        <v>50817</v>
      </c>
      <c r="W4612" t="s">
        <v>42395</v>
      </c>
      <c r="X4612" t="s">
        <v>44764</v>
      </c>
    </row>
    <row r="4613" spans="1:24">
      <c r="A4613">
        <f>HYPERLINK("https://www.philgeps.gov.ph/GEPSNONPILOT/Tender/SplashBidNoticeAbstractUI.aspx?menuIndex=3&amp;refID=7148971&amp;Result=3","7148971")</f>
        <v>0</v>
      </c>
      <c r="B4613" t="s">
        <v>1721</v>
      </c>
      <c r="C4613" t="s">
        <v>8119</v>
      </c>
      <c r="E4613" t="s">
        <v>22197</v>
      </c>
      <c r="F4613" t="s">
        <v>30900</v>
      </c>
      <c r="G4613" t="s">
        <v>30908</v>
      </c>
      <c r="H4613" t="s">
        <v>30916</v>
      </c>
      <c r="I4613" t="s">
        <v>30967</v>
      </c>
      <c r="J4613" t="s">
        <v>31223</v>
      </c>
      <c r="K4613" t="s">
        <v>40289</v>
      </c>
      <c r="M4613" t="s">
        <v>42385</v>
      </c>
      <c r="N4613" t="s">
        <v>44759</v>
      </c>
      <c r="O4613" t="s">
        <v>44760</v>
      </c>
      <c r="P4613">
        <v>0</v>
      </c>
      <c r="Q4613">
        <v>0</v>
      </c>
      <c r="R4613" t="s">
        <v>44763</v>
      </c>
      <c r="S4613" t="s">
        <v>44876</v>
      </c>
      <c r="T4613" t="s">
        <v>46403</v>
      </c>
      <c r="U4613" t="s">
        <v>50818</v>
      </c>
      <c r="W4613" t="s">
        <v>42385</v>
      </c>
      <c r="X4613" t="s">
        <v>44764</v>
      </c>
    </row>
    <row r="4614" spans="1:24">
      <c r="A4614">
        <f>HYPERLINK("https://www.philgeps.gov.ph/GEPSNONPILOT/Tender/SplashBidNoticeAbstractUI.aspx?menuIndex=3&amp;refID=7149003&amp;Result=3","7149003")</f>
        <v>0</v>
      </c>
      <c r="B4614" t="s">
        <v>1251</v>
      </c>
      <c r="C4614" t="s">
        <v>8120</v>
      </c>
      <c r="D4614" t="s">
        <v>17963</v>
      </c>
      <c r="E4614" t="s">
        <v>22198</v>
      </c>
      <c r="F4614" t="s">
        <v>30900</v>
      </c>
      <c r="G4614" t="s">
        <v>30907</v>
      </c>
      <c r="H4614" t="s">
        <v>30916</v>
      </c>
      <c r="I4614" t="s">
        <v>30924</v>
      </c>
      <c r="J4614" t="s">
        <v>34165</v>
      </c>
      <c r="K4614" t="s">
        <v>40293</v>
      </c>
      <c r="M4614" t="s">
        <v>41863</v>
      </c>
      <c r="N4614" t="s">
        <v>44759</v>
      </c>
      <c r="O4614" t="s">
        <v>44760</v>
      </c>
      <c r="P4614">
        <v>0</v>
      </c>
      <c r="Q4614">
        <v>14</v>
      </c>
      <c r="R4614" t="s">
        <v>44763</v>
      </c>
      <c r="S4614" t="s">
        <v>44876</v>
      </c>
      <c r="T4614" t="s">
        <v>46632</v>
      </c>
      <c r="U4614" t="s">
        <v>50819</v>
      </c>
      <c r="W4614" t="s">
        <v>41863</v>
      </c>
      <c r="X4614" t="s">
        <v>44764</v>
      </c>
    </row>
    <row r="4615" spans="1:24">
      <c r="A4615">
        <f>HYPERLINK("https://www.philgeps.gov.ph/GEPSNONPILOT/Tender/SplashBidNoticeAbstractUI.aspx?menuIndex=3&amp;refID=7148951&amp;Result=3","7148951")</f>
        <v>0</v>
      </c>
      <c r="B4615" t="s">
        <v>1720</v>
      </c>
      <c r="C4615" t="s">
        <v>8121</v>
      </c>
      <c r="D4615" t="s">
        <v>17998</v>
      </c>
      <c r="E4615" t="s">
        <v>22199</v>
      </c>
      <c r="F4615" t="s">
        <v>30900</v>
      </c>
      <c r="G4615" t="s">
        <v>30908</v>
      </c>
      <c r="H4615" t="s">
        <v>30916</v>
      </c>
      <c r="I4615" t="s">
        <v>30939</v>
      </c>
      <c r="J4615" t="s">
        <v>34166</v>
      </c>
      <c r="K4615" t="s">
        <v>40284</v>
      </c>
      <c r="M4615" t="s">
        <v>42384</v>
      </c>
      <c r="N4615" t="s">
        <v>44759</v>
      </c>
      <c r="O4615" t="s">
        <v>44760</v>
      </c>
      <c r="P4615">
        <v>0</v>
      </c>
      <c r="Q4615">
        <v>0</v>
      </c>
      <c r="R4615" t="s">
        <v>44763</v>
      </c>
      <c r="S4615" t="s">
        <v>44876</v>
      </c>
      <c r="T4615" t="s">
        <v>46612</v>
      </c>
      <c r="U4615" t="s">
        <v>50820</v>
      </c>
      <c r="V4615" t="s">
        <v>59604</v>
      </c>
      <c r="W4615" t="s">
        <v>42384</v>
      </c>
      <c r="X4615" t="s">
        <v>44764</v>
      </c>
    </row>
    <row r="4616" spans="1:24">
      <c r="A4616">
        <f>HYPERLINK("https://www.philgeps.gov.ph/GEPSNONPILOT/Tender/SplashBidNoticeAbstractUI.aspx?menuIndex=3&amp;refID=7149001&amp;Result=3","7149001")</f>
        <v>0</v>
      </c>
      <c r="B4616" t="s">
        <v>1723</v>
      </c>
      <c r="C4616" t="s">
        <v>8122</v>
      </c>
      <c r="D4616" t="s">
        <v>17957</v>
      </c>
      <c r="E4616" t="s">
        <v>22200</v>
      </c>
      <c r="F4616" t="s">
        <v>30900</v>
      </c>
      <c r="G4616" t="s">
        <v>30909</v>
      </c>
      <c r="H4616" t="s">
        <v>30916</v>
      </c>
      <c r="I4616" t="s">
        <v>8123</v>
      </c>
      <c r="J4616" t="s">
        <v>34167</v>
      </c>
      <c r="K4616" t="s">
        <v>40286</v>
      </c>
      <c r="M4616" t="s">
        <v>42387</v>
      </c>
      <c r="N4616" t="s">
        <v>44759</v>
      </c>
      <c r="O4616" t="s">
        <v>44760</v>
      </c>
      <c r="P4616">
        <v>0</v>
      </c>
      <c r="Q4616">
        <v>0</v>
      </c>
      <c r="R4616" t="s">
        <v>44763</v>
      </c>
      <c r="S4616" t="s">
        <v>44876</v>
      </c>
      <c r="T4616" t="s">
        <v>46412</v>
      </c>
      <c r="U4616" t="s">
        <v>50821</v>
      </c>
      <c r="W4616" t="s">
        <v>42387</v>
      </c>
      <c r="X4616" t="s">
        <v>44764</v>
      </c>
    </row>
    <row r="4617" spans="1:24">
      <c r="A4617">
        <f>HYPERLINK("https://www.philgeps.gov.ph/GEPSNONPILOT/Tender/SplashBidNoticeAbstractUI.aspx?menuIndex=3&amp;refID=7148966&amp;Result=3","7148966")</f>
        <v>0</v>
      </c>
      <c r="B4617" t="s">
        <v>1696</v>
      </c>
      <c r="C4617" t="s">
        <v>8123</v>
      </c>
      <c r="D4617" t="s">
        <v>18017</v>
      </c>
      <c r="E4617" t="s">
        <v>22201</v>
      </c>
      <c r="F4617" t="s">
        <v>30900</v>
      </c>
      <c r="G4617" t="s">
        <v>30907</v>
      </c>
      <c r="H4617" t="s">
        <v>30916</v>
      </c>
      <c r="I4617" t="s">
        <v>8123</v>
      </c>
      <c r="J4617" t="s">
        <v>34168</v>
      </c>
      <c r="K4617" t="s">
        <v>40287</v>
      </c>
      <c r="M4617" t="s">
        <v>42357</v>
      </c>
      <c r="N4617" t="s">
        <v>44759</v>
      </c>
      <c r="O4617" t="s">
        <v>44760</v>
      </c>
      <c r="P4617">
        <v>0</v>
      </c>
      <c r="Q4617">
        <v>0</v>
      </c>
      <c r="R4617" t="s">
        <v>44763</v>
      </c>
      <c r="S4617" t="s">
        <v>44876</v>
      </c>
      <c r="T4617" t="s">
        <v>46459</v>
      </c>
      <c r="U4617" t="s">
        <v>50732</v>
      </c>
      <c r="W4617" t="s">
        <v>42357</v>
      </c>
      <c r="X4617" t="s">
        <v>44764</v>
      </c>
    </row>
    <row r="4618" spans="1:24">
      <c r="A4618">
        <f>HYPERLINK("https://www.philgeps.gov.ph/GEPSNONPILOT/Tender/SplashBidNoticeAbstractUI.aspx?menuIndex=3&amp;refID=7148999&amp;Result=3","7148999")</f>
        <v>0</v>
      </c>
      <c r="B4618" t="s">
        <v>1723</v>
      </c>
      <c r="C4618" t="s">
        <v>8124</v>
      </c>
      <c r="D4618" t="s">
        <v>17957</v>
      </c>
      <c r="E4618" t="s">
        <v>22202</v>
      </c>
      <c r="F4618" t="s">
        <v>30900</v>
      </c>
      <c r="G4618" t="s">
        <v>30907</v>
      </c>
      <c r="H4618" t="s">
        <v>30915</v>
      </c>
      <c r="I4618" t="s">
        <v>30919</v>
      </c>
      <c r="J4618" t="s">
        <v>34169</v>
      </c>
      <c r="K4618" t="s">
        <v>40304</v>
      </c>
      <c r="M4618" t="s">
        <v>42387</v>
      </c>
      <c r="N4618" t="s">
        <v>44759</v>
      </c>
      <c r="O4618" t="s">
        <v>44760</v>
      </c>
      <c r="P4618">
        <v>0</v>
      </c>
      <c r="Q4618">
        <v>0</v>
      </c>
      <c r="R4618" t="s">
        <v>44763</v>
      </c>
      <c r="S4618" t="s">
        <v>44876</v>
      </c>
      <c r="T4618" t="s">
        <v>46412</v>
      </c>
      <c r="U4618" t="s">
        <v>50822</v>
      </c>
      <c r="W4618" t="s">
        <v>42387</v>
      </c>
      <c r="X4618" t="s">
        <v>44764</v>
      </c>
    </row>
    <row r="4619" spans="1:24">
      <c r="A4619">
        <f>HYPERLINK("https://www.philgeps.gov.ph/GEPSNONPILOT/Tender/SplashBidNoticeAbstractUI.aspx?menuIndex=3&amp;refID=7148997&amp;Result=3","7148997")</f>
        <v>0</v>
      </c>
      <c r="B4619" t="s">
        <v>1723</v>
      </c>
      <c r="C4619" t="s">
        <v>8125</v>
      </c>
      <c r="D4619" t="s">
        <v>17957</v>
      </c>
      <c r="E4619" t="s">
        <v>22203</v>
      </c>
      <c r="F4619" t="s">
        <v>30900</v>
      </c>
      <c r="G4619" t="s">
        <v>30907</v>
      </c>
      <c r="H4619" t="s">
        <v>30915</v>
      </c>
      <c r="I4619" t="s">
        <v>30919</v>
      </c>
      <c r="J4619" t="s">
        <v>31096</v>
      </c>
      <c r="K4619" t="s">
        <v>40280</v>
      </c>
      <c r="M4619" t="s">
        <v>42387</v>
      </c>
      <c r="N4619" t="s">
        <v>44759</v>
      </c>
      <c r="O4619" t="s">
        <v>44760</v>
      </c>
      <c r="P4619">
        <v>0</v>
      </c>
      <c r="Q4619">
        <v>0</v>
      </c>
      <c r="R4619" t="s">
        <v>44763</v>
      </c>
      <c r="S4619" t="s">
        <v>44876</v>
      </c>
      <c r="T4619" t="s">
        <v>46412</v>
      </c>
      <c r="U4619" t="s">
        <v>50823</v>
      </c>
      <c r="W4619" t="s">
        <v>42387</v>
      </c>
      <c r="X4619" t="s">
        <v>44764</v>
      </c>
    </row>
    <row r="4620" spans="1:24">
      <c r="A4620">
        <f>HYPERLINK("https://www.philgeps.gov.ph/GEPSNONPILOT/Tender/SplashBidNoticeAbstractUI.aspx?menuIndex=3&amp;refID=7149002&amp;Result=3","7149002")</f>
        <v>0</v>
      </c>
      <c r="B4620" t="s">
        <v>1721</v>
      </c>
      <c r="C4620" t="s">
        <v>8126</v>
      </c>
      <c r="E4620" t="s">
        <v>22204</v>
      </c>
      <c r="F4620" t="s">
        <v>30900</v>
      </c>
      <c r="G4620" t="s">
        <v>30908</v>
      </c>
      <c r="H4620" t="s">
        <v>30916</v>
      </c>
      <c r="I4620" t="s">
        <v>10602</v>
      </c>
      <c r="J4620" t="s">
        <v>31048</v>
      </c>
      <c r="K4620" t="s">
        <v>40289</v>
      </c>
      <c r="M4620" t="s">
        <v>42385</v>
      </c>
      <c r="N4620" t="s">
        <v>44759</v>
      </c>
      <c r="O4620" t="s">
        <v>44760</v>
      </c>
      <c r="P4620">
        <v>0</v>
      </c>
      <c r="Q4620">
        <v>0</v>
      </c>
      <c r="R4620" t="s">
        <v>44763</v>
      </c>
      <c r="S4620" t="s">
        <v>44876</v>
      </c>
      <c r="T4620" t="s">
        <v>46403</v>
      </c>
      <c r="U4620" t="s">
        <v>50824</v>
      </c>
      <c r="W4620" t="s">
        <v>42385</v>
      </c>
      <c r="X4620" t="s">
        <v>44764</v>
      </c>
    </row>
    <row r="4621" spans="1:24">
      <c r="A4621">
        <f>HYPERLINK("https://www.philgeps.gov.ph/GEPSNONPILOT/Tender/SplashBidNoticeAbstractUI.aspx?menuIndex=3&amp;refID=7148942&amp;Result=3","7148942")</f>
        <v>0</v>
      </c>
      <c r="B4621" t="s">
        <v>302</v>
      </c>
      <c r="C4621" t="s">
        <v>8127</v>
      </c>
      <c r="D4621" t="s">
        <v>17959</v>
      </c>
      <c r="E4621" t="s">
        <v>22175</v>
      </c>
      <c r="F4621" t="s">
        <v>30900</v>
      </c>
      <c r="G4621" t="s">
        <v>30909</v>
      </c>
      <c r="H4621" t="s">
        <v>30916</v>
      </c>
      <c r="I4621" t="s">
        <v>9385</v>
      </c>
      <c r="J4621" t="s">
        <v>31355</v>
      </c>
      <c r="K4621" t="s">
        <v>40283</v>
      </c>
      <c r="M4621" t="s">
        <v>40851</v>
      </c>
      <c r="N4621" t="s">
        <v>44759</v>
      </c>
      <c r="O4621" t="s">
        <v>44760</v>
      </c>
      <c r="P4621">
        <v>0</v>
      </c>
      <c r="Q4621">
        <v>5</v>
      </c>
      <c r="R4621" t="s">
        <v>44763</v>
      </c>
      <c r="S4621" t="s">
        <v>44876</v>
      </c>
      <c r="T4621" t="s">
        <v>46658</v>
      </c>
      <c r="U4621" t="s">
        <v>50825</v>
      </c>
      <c r="V4621" t="s">
        <v>59325</v>
      </c>
      <c r="W4621" t="s">
        <v>60852</v>
      </c>
      <c r="X4621" t="s">
        <v>44764</v>
      </c>
    </row>
    <row r="4622" spans="1:24">
      <c r="A4622">
        <f>HYPERLINK("https://www.philgeps.gov.ph/GEPSNONPILOT/Tender/SplashBidNoticeAbstractUI.aspx?menuIndex=3&amp;refID=7148996&amp;Result=3","7148996")</f>
        <v>0</v>
      </c>
      <c r="B4622" t="s">
        <v>1721</v>
      </c>
      <c r="C4622" t="s">
        <v>8128</v>
      </c>
      <c r="E4622" t="s">
        <v>22205</v>
      </c>
      <c r="F4622" t="s">
        <v>30900</v>
      </c>
      <c r="G4622" t="s">
        <v>30908</v>
      </c>
      <c r="H4622" t="s">
        <v>30916</v>
      </c>
      <c r="I4622" t="s">
        <v>30967</v>
      </c>
      <c r="J4622" t="s">
        <v>31181</v>
      </c>
      <c r="K4622" t="s">
        <v>40289</v>
      </c>
      <c r="M4622" t="s">
        <v>42385</v>
      </c>
      <c r="N4622" t="s">
        <v>44759</v>
      </c>
      <c r="O4622" t="s">
        <v>44760</v>
      </c>
      <c r="P4622">
        <v>0</v>
      </c>
      <c r="Q4622">
        <v>0</v>
      </c>
      <c r="R4622" t="s">
        <v>44763</v>
      </c>
      <c r="S4622" t="s">
        <v>44876</v>
      </c>
      <c r="T4622" t="s">
        <v>46403</v>
      </c>
      <c r="U4622" t="s">
        <v>50826</v>
      </c>
      <c r="W4622" t="s">
        <v>42385</v>
      </c>
      <c r="X4622" t="s">
        <v>44764</v>
      </c>
    </row>
    <row r="4623" spans="1:24">
      <c r="A4623">
        <f>HYPERLINK("https://www.philgeps.gov.ph/GEPSNONPILOT/Tender/SplashBidNoticeAbstractUI.aspx?menuIndex=3&amp;refID=7148994&amp;Result=3","7148994")</f>
        <v>0</v>
      </c>
      <c r="B4623" t="s">
        <v>1723</v>
      </c>
      <c r="C4623" t="s">
        <v>8129</v>
      </c>
      <c r="D4623" t="s">
        <v>17957</v>
      </c>
      <c r="E4623" t="s">
        <v>22206</v>
      </c>
      <c r="F4623" t="s">
        <v>30900</v>
      </c>
      <c r="G4623" t="s">
        <v>30907</v>
      </c>
      <c r="H4623" t="s">
        <v>30915</v>
      </c>
      <c r="I4623" t="s">
        <v>30919</v>
      </c>
      <c r="J4623" t="s">
        <v>31101</v>
      </c>
      <c r="K4623" t="s">
        <v>40280</v>
      </c>
      <c r="M4623" t="s">
        <v>42387</v>
      </c>
      <c r="N4623" t="s">
        <v>44759</v>
      </c>
      <c r="O4623" t="s">
        <v>44760</v>
      </c>
      <c r="P4623">
        <v>0</v>
      </c>
      <c r="Q4623">
        <v>0</v>
      </c>
      <c r="R4623" t="s">
        <v>44763</v>
      </c>
      <c r="S4623" t="s">
        <v>44876</v>
      </c>
      <c r="T4623" t="s">
        <v>46412</v>
      </c>
      <c r="U4623" t="s">
        <v>50827</v>
      </c>
      <c r="W4623" t="s">
        <v>42387</v>
      </c>
      <c r="X4623" t="s">
        <v>44764</v>
      </c>
    </row>
    <row r="4624" spans="1:24">
      <c r="A4624">
        <f>HYPERLINK("https://www.philgeps.gov.ph/GEPSNONPILOT/Tender/SplashBidNoticeAbstractUI.aspx?menuIndex=3&amp;refID=7148992&amp;Result=3","7148992")</f>
        <v>0</v>
      </c>
      <c r="B4624" t="s">
        <v>1696</v>
      </c>
      <c r="C4624" t="s">
        <v>8031</v>
      </c>
      <c r="D4624" t="s">
        <v>18017</v>
      </c>
      <c r="E4624" t="s">
        <v>22207</v>
      </c>
      <c r="F4624" t="s">
        <v>30900</v>
      </c>
      <c r="G4624" t="s">
        <v>30907</v>
      </c>
      <c r="H4624" t="s">
        <v>30916</v>
      </c>
      <c r="I4624" t="s">
        <v>30921</v>
      </c>
      <c r="J4624" t="s">
        <v>34170</v>
      </c>
      <c r="K4624" t="s">
        <v>40287</v>
      </c>
      <c r="M4624" t="s">
        <v>42357</v>
      </c>
      <c r="N4624" t="s">
        <v>44759</v>
      </c>
      <c r="O4624" t="s">
        <v>44760</v>
      </c>
      <c r="P4624">
        <v>0</v>
      </c>
      <c r="Q4624">
        <v>1</v>
      </c>
      <c r="R4624" t="s">
        <v>44763</v>
      </c>
      <c r="S4624" t="s">
        <v>44876</v>
      </c>
      <c r="T4624" t="s">
        <v>46400</v>
      </c>
      <c r="U4624" t="s">
        <v>50828</v>
      </c>
      <c r="W4624" t="s">
        <v>42357</v>
      </c>
      <c r="X4624" t="s">
        <v>44764</v>
      </c>
    </row>
    <row r="4625" spans="1:24">
      <c r="A4625">
        <f>HYPERLINK("https://www.philgeps.gov.ph/GEPSNONPILOT/Tender/SplashBidNoticeAbstractUI.aspx?menuIndex=3&amp;refID=7149000&amp;Result=3","7149000")</f>
        <v>0</v>
      </c>
      <c r="B4625" t="s">
        <v>1721</v>
      </c>
      <c r="C4625" t="s">
        <v>8130</v>
      </c>
      <c r="E4625" t="s">
        <v>22208</v>
      </c>
      <c r="F4625" t="s">
        <v>30900</v>
      </c>
      <c r="G4625" t="s">
        <v>30908</v>
      </c>
      <c r="H4625" t="s">
        <v>30916</v>
      </c>
      <c r="I4625" t="s">
        <v>10602</v>
      </c>
      <c r="J4625" t="s">
        <v>31048</v>
      </c>
      <c r="K4625" t="s">
        <v>40289</v>
      </c>
      <c r="M4625" t="s">
        <v>42385</v>
      </c>
      <c r="N4625" t="s">
        <v>44759</v>
      </c>
      <c r="O4625" t="s">
        <v>44760</v>
      </c>
      <c r="P4625">
        <v>0</v>
      </c>
      <c r="Q4625">
        <v>0</v>
      </c>
      <c r="R4625" t="s">
        <v>44763</v>
      </c>
      <c r="S4625" t="s">
        <v>44876</v>
      </c>
      <c r="T4625" t="s">
        <v>46403</v>
      </c>
      <c r="U4625" t="s">
        <v>50824</v>
      </c>
      <c r="W4625" t="s">
        <v>42385</v>
      </c>
      <c r="X4625" t="s">
        <v>44764</v>
      </c>
    </row>
    <row r="4626" spans="1:24">
      <c r="A4626">
        <f>HYPERLINK("https://www.philgeps.gov.ph/GEPSNONPILOT/Tender/SplashBidNoticeAbstractUI.aspx?menuIndex=3&amp;refID=7148991&amp;Result=3","7148991")</f>
        <v>0</v>
      </c>
      <c r="B4626" t="s">
        <v>1728</v>
      </c>
      <c r="C4626" t="s">
        <v>4269</v>
      </c>
      <c r="D4626" t="s">
        <v>18016</v>
      </c>
      <c r="E4626" t="s">
        <v>22209</v>
      </c>
      <c r="F4626" t="s">
        <v>30900</v>
      </c>
      <c r="G4626" t="s">
        <v>30908</v>
      </c>
      <c r="H4626" t="s">
        <v>30916</v>
      </c>
      <c r="I4626" t="s">
        <v>4545</v>
      </c>
      <c r="J4626" t="s">
        <v>34171</v>
      </c>
      <c r="K4626" t="s">
        <v>40289</v>
      </c>
      <c r="M4626" t="s">
        <v>42394</v>
      </c>
      <c r="N4626" t="s">
        <v>44759</v>
      </c>
      <c r="O4626" t="s">
        <v>44760</v>
      </c>
      <c r="P4626">
        <v>0</v>
      </c>
      <c r="Q4626">
        <v>3</v>
      </c>
      <c r="R4626" t="s">
        <v>44763</v>
      </c>
      <c r="S4626" t="s">
        <v>44876</v>
      </c>
      <c r="T4626" t="s">
        <v>46531</v>
      </c>
      <c r="U4626" t="s">
        <v>50811</v>
      </c>
      <c r="W4626" t="s">
        <v>42394</v>
      </c>
      <c r="X4626" t="s">
        <v>44764</v>
      </c>
    </row>
    <row r="4627" spans="1:24">
      <c r="A4627">
        <f>HYPERLINK("https://www.philgeps.gov.ph/GEPSNONPILOT/Tender/SplashBidNoticeAbstractUI.aspx?menuIndex=3&amp;refID=7148998&amp;Result=3","7148998")</f>
        <v>0</v>
      </c>
      <c r="B4627" t="s">
        <v>1721</v>
      </c>
      <c r="C4627" t="s">
        <v>8131</v>
      </c>
      <c r="E4627" t="s">
        <v>22210</v>
      </c>
      <c r="F4627" t="s">
        <v>30900</v>
      </c>
      <c r="G4627" t="s">
        <v>30908</v>
      </c>
      <c r="H4627" t="s">
        <v>30916</v>
      </c>
      <c r="I4627" t="s">
        <v>10602</v>
      </c>
      <c r="J4627" t="s">
        <v>31423</v>
      </c>
      <c r="K4627" t="s">
        <v>40289</v>
      </c>
      <c r="M4627" t="s">
        <v>42385</v>
      </c>
      <c r="N4627" t="s">
        <v>44759</v>
      </c>
      <c r="O4627" t="s">
        <v>44760</v>
      </c>
      <c r="P4627">
        <v>0</v>
      </c>
      <c r="Q4627">
        <v>0</v>
      </c>
      <c r="R4627" t="s">
        <v>44763</v>
      </c>
      <c r="S4627" t="s">
        <v>44876</v>
      </c>
      <c r="T4627" t="s">
        <v>46403</v>
      </c>
      <c r="U4627" t="s">
        <v>50829</v>
      </c>
      <c r="W4627" t="s">
        <v>42385</v>
      </c>
      <c r="X4627" t="s">
        <v>44764</v>
      </c>
    </row>
    <row r="4628" spans="1:24">
      <c r="A4628">
        <f>HYPERLINK("https://www.philgeps.gov.ph/GEPSNONPILOT/Tender/SplashBidNoticeAbstractUI.aspx?menuIndex=3&amp;refID=7148952&amp;Result=3","7148952")</f>
        <v>0</v>
      </c>
      <c r="B4628" t="s">
        <v>1730</v>
      </c>
      <c r="C4628" t="s">
        <v>8132</v>
      </c>
      <c r="D4628" t="s">
        <v>17997</v>
      </c>
      <c r="E4628" t="s">
        <v>22211</v>
      </c>
      <c r="F4628" t="s">
        <v>30900</v>
      </c>
      <c r="G4628" t="s">
        <v>30908</v>
      </c>
      <c r="H4628" t="s">
        <v>30916</v>
      </c>
      <c r="I4628" t="s">
        <v>30926</v>
      </c>
      <c r="J4628" t="s">
        <v>34172</v>
      </c>
      <c r="K4628" t="s">
        <v>40289</v>
      </c>
      <c r="M4628" t="s">
        <v>42396</v>
      </c>
      <c r="N4628" t="s">
        <v>44759</v>
      </c>
      <c r="O4628" t="s">
        <v>44760</v>
      </c>
      <c r="P4628">
        <v>0</v>
      </c>
      <c r="Q4628">
        <v>0</v>
      </c>
      <c r="R4628" t="s">
        <v>44763</v>
      </c>
      <c r="S4628" t="s">
        <v>44876</v>
      </c>
      <c r="T4628" t="s">
        <v>46457</v>
      </c>
      <c r="U4628" t="s">
        <v>50830</v>
      </c>
      <c r="W4628" t="s">
        <v>42396</v>
      </c>
      <c r="X4628" t="s">
        <v>44764</v>
      </c>
    </row>
    <row r="4629" spans="1:24">
      <c r="A4629">
        <f>HYPERLINK("https://www.philgeps.gov.ph/GEPSNONPILOT/Tender/SplashBidNoticeAbstractUI.aspx?menuIndex=3&amp;refID=7149026&amp;Result=3","7149026")</f>
        <v>0</v>
      </c>
      <c r="B4629" t="s">
        <v>1731</v>
      </c>
      <c r="C4629" t="s">
        <v>8133</v>
      </c>
      <c r="E4629" t="s">
        <v>22212</v>
      </c>
      <c r="F4629" t="s">
        <v>30900</v>
      </c>
      <c r="G4629" t="s">
        <v>30907</v>
      </c>
      <c r="H4629" t="s">
        <v>30915</v>
      </c>
      <c r="I4629" t="s">
        <v>30964</v>
      </c>
      <c r="J4629" t="s">
        <v>34173</v>
      </c>
      <c r="K4629" t="s">
        <v>40283</v>
      </c>
      <c r="M4629" t="s">
        <v>42397</v>
      </c>
      <c r="N4629" t="s">
        <v>44759</v>
      </c>
      <c r="O4629" t="s">
        <v>44760</v>
      </c>
      <c r="P4629">
        <v>0</v>
      </c>
      <c r="Q4629">
        <v>0</v>
      </c>
      <c r="R4629" t="s">
        <v>44763</v>
      </c>
      <c r="S4629" t="s">
        <v>44876</v>
      </c>
      <c r="T4629" t="s">
        <v>46357</v>
      </c>
      <c r="U4629" t="s">
        <v>50831</v>
      </c>
      <c r="W4629" t="s">
        <v>42397</v>
      </c>
      <c r="X4629" t="s">
        <v>44764</v>
      </c>
    </row>
    <row r="4630" spans="1:24">
      <c r="A4630">
        <f>HYPERLINK("https://www.philgeps.gov.ph/GEPSNONPILOT/Tender/SplashBidNoticeAbstractUI.aspx?menuIndex=3&amp;refID=7149027&amp;Result=3","7149027")</f>
        <v>0</v>
      </c>
      <c r="B4630" t="s">
        <v>1718</v>
      </c>
      <c r="C4630" t="s">
        <v>8134</v>
      </c>
      <c r="D4630" t="s">
        <v>18002</v>
      </c>
      <c r="E4630" t="s">
        <v>20657</v>
      </c>
      <c r="F4630" t="s">
        <v>30900</v>
      </c>
      <c r="G4630" t="s">
        <v>30908</v>
      </c>
      <c r="H4630" t="s">
        <v>30916</v>
      </c>
      <c r="I4630" t="s">
        <v>9385</v>
      </c>
      <c r="J4630" t="s">
        <v>34174</v>
      </c>
      <c r="K4630" t="s">
        <v>40293</v>
      </c>
      <c r="M4630" t="s">
        <v>42382</v>
      </c>
      <c r="N4630" t="s">
        <v>44759</v>
      </c>
      <c r="O4630" t="s">
        <v>44760</v>
      </c>
      <c r="P4630">
        <v>0</v>
      </c>
      <c r="Q4630">
        <v>7</v>
      </c>
      <c r="R4630" t="s">
        <v>44763</v>
      </c>
      <c r="S4630" t="s">
        <v>44876</v>
      </c>
      <c r="T4630" t="s">
        <v>46469</v>
      </c>
      <c r="U4630" t="s">
        <v>50832</v>
      </c>
      <c r="V4630" t="s">
        <v>59607</v>
      </c>
      <c r="W4630" t="s">
        <v>42382</v>
      </c>
      <c r="X4630" t="s">
        <v>44764</v>
      </c>
    </row>
    <row r="4631" spans="1:24">
      <c r="A4631">
        <f>HYPERLINK("https://www.philgeps.gov.ph/GEPSNONPILOT/Tender/SplashBidNoticeAbstractUI.aspx?menuIndex=3&amp;refID=7149023&amp;Result=3","7149023")</f>
        <v>0</v>
      </c>
      <c r="B4631" t="s">
        <v>1721</v>
      </c>
      <c r="C4631" t="s">
        <v>8135</v>
      </c>
      <c r="E4631" t="s">
        <v>22213</v>
      </c>
      <c r="F4631" t="s">
        <v>30900</v>
      </c>
      <c r="G4631" t="s">
        <v>30908</v>
      </c>
      <c r="H4631" t="s">
        <v>30916</v>
      </c>
      <c r="I4631" t="s">
        <v>10602</v>
      </c>
      <c r="J4631" t="s">
        <v>31912</v>
      </c>
      <c r="K4631" t="s">
        <v>40289</v>
      </c>
      <c r="M4631" t="s">
        <v>42385</v>
      </c>
      <c r="N4631" t="s">
        <v>44759</v>
      </c>
      <c r="O4631" t="s">
        <v>44760</v>
      </c>
      <c r="P4631">
        <v>0</v>
      </c>
      <c r="Q4631">
        <v>0</v>
      </c>
      <c r="R4631" t="s">
        <v>44763</v>
      </c>
      <c r="S4631" t="s">
        <v>44876</v>
      </c>
      <c r="T4631" t="s">
        <v>46403</v>
      </c>
      <c r="U4631" t="s">
        <v>50833</v>
      </c>
      <c r="W4631" t="s">
        <v>42385</v>
      </c>
      <c r="X4631" t="s">
        <v>44764</v>
      </c>
    </row>
    <row r="4632" spans="1:24">
      <c r="A4632">
        <f>HYPERLINK("https://www.philgeps.gov.ph/GEPSNONPILOT/Tender/SplashBidNoticeAbstractUI.aspx?menuIndex=3&amp;refID=7148993&amp;Result=3","7148993")</f>
        <v>0</v>
      </c>
      <c r="B4632" t="s">
        <v>1721</v>
      </c>
      <c r="C4632" t="s">
        <v>8136</v>
      </c>
      <c r="E4632" t="s">
        <v>22214</v>
      </c>
      <c r="F4632" t="s">
        <v>30900</v>
      </c>
      <c r="G4632" t="s">
        <v>30908</v>
      </c>
      <c r="H4632" t="s">
        <v>30916</v>
      </c>
      <c r="I4632" t="s">
        <v>30967</v>
      </c>
      <c r="J4632" t="s">
        <v>31866</v>
      </c>
      <c r="K4632" t="s">
        <v>40289</v>
      </c>
      <c r="M4632" t="s">
        <v>42385</v>
      </c>
      <c r="N4632" t="s">
        <v>44759</v>
      </c>
      <c r="O4632" t="s">
        <v>44760</v>
      </c>
      <c r="P4632">
        <v>0</v>
      </c>
      <c r="Q4632">
        <v>0</v>
      </c>
      <c r="R4632" t="s">
        <v>44763</v>
      </c>
      <c r="S4632" t="s">
        <v>44876</v>
      </c>
      <c r="T4632" t="s">
        <v>46403</v>
      </c>
      <c r="U4632" t="s">
        <v>50834</v>
      </c>
      <c r="W4632" t="s">
        <v>42385</v>
      </c>
      <c r="X4632" t="s">
        <v>44764</v>
      </c>
    </row>
    <row r="4633" spans="1:24">
      <c r="A4633">
        <f>HYPERLINK("https://www.philgeps.gov.ph/GEPSNONPILOT/Tender/SplashBidNoticeAbstractUI.aspx?menuIndex=3&amp;refID=7149021&amp;Result=3","7149021")</f>
        <v>0</v>
      </c>
      <c r="B4633" t="s">
        <v>1721</v>
      </c>
      <c r="C4633" t="s">
        <v>8137</v>
      </c>
      <c r="E4633" t="s">
        <v>22215</v>
      </c>
      <c r="F4633" t="s">
        <v>30900</v>
      </c>
      <c r="G4633" t="s">
        <v>30908</v>
      </c>
      <c r="H4633" t="s">
        <v>30916</v>
      </c>
      <c r="I4633" t="s">
        <v>10602</v>
      </c>
      <c r="J4633" t="s">
        <v>31912</v>
      </c>
      <c r="K4633" t="s">
        <v>40289</v>
      </c>
      <c r="M4633" t="s">
        <v>42385</v>
      </c>
      <c r="N4633" t="s">
        <v>44759</v>
      </c>
      <c r="O4633" t="s">
        <v>44760</v>
      </c>
      <c r="P4633">
        <v>0</v>
      </c>
      <c r="Q4633">
        <v>0</v>
      </c>
      <c r="R4633" t="s">
        <v>44763</v>
      </c>
      <c r="S4633" t="s">
        <v>44876</v>
      </c>
      <c r="T4633" t="s">
        <v>46403</v>
      </c>
      <c r="U4633" t="s">
        <v>50835</v>
      </c>
      <c r="W4633" t="s">
        <v>42385</v>
      </c>
      <c r="X4633" t="s">
        <v>44764</v>
      </c>
    </row>
    <row r="4634" spans="1:24">
      <c r="A4634">
        <f>HYPERLINK("https://www.philgeps.gov.ph/GEPSNONPILOT/Tender/SplashBidNoticeAbstractUI.aspx?menuIndex=3&amp;refID=7149028&amp;Result=3","7149028")</f>
        <v>0</v>
      </c>
      <c r="B4634" t="s">
        <v>1160</v>
      </c>
      <c r="C4634" t="s">
        <v>8138</v>
      </c>
      <c r="D4634" t="s">
        <v>17996</v>
      </c>
      <c r="E4634" t="s">
        <v>22216</v>
      </c>
      <c r="F4634" t="s">
        <v>30900</v>
      </c>
      <c r="G4634" t="s">
        <v>30907</v>
      </c>
      <c r="H4634" t="s">
        <v>30915</v>
      </c>
      <c r="I4634" t="s">
        <v>30919</v>
      </c>
      <c r="J4634" t="s">
        <v>31049</v>
      </c>
      <c r="K4634" t="s">
        <v>40283</v>
      </c>
      <c r="M4634" t="s">
        <v>41768</v>
      </c>
      <c r="N4634" t="s">
        <v>44759</v>
      </c>
      <c r="O4634" t="s">
        <v>44760</v>
      </c>
      <c r="P4634">
        <v>0</v>
      </c>
      <c r="Q4634">
        <v>0</v>
      </c>
      <c r="R4634" t="s">
        <v>44763</v>
      </c>
      <c r="S4634" t="s">
        <v>44876</v>
      </c>
      <c r="T4634" t="s">
        <v>46357</v>
      </c>
      <c r="U4634" t="s">
        <v>50836</v>
      </c>
      <c r="W4634" t="s">
        <v>41768</v>
      </c>
      <c r="X4634" t="s">
        <v>44764</v>
      </c>
    </row>
    <row r="4635" spans="1:24">
      <c r="A4635">
        <f>HYPERLINK("https://www.philgeps.gov.ph/GEPSNONPILOT/Tender/SplashBidNoticeAbstractUI.aspx?menuIndex=3&amp;refID=7149017&amp;Result=3","7149017")</f>
        <v>0</v>
      </c>
      <c r="B4635" t="s">
        <v>1718</v>
      </c>
      <c r="C4635" t="s">
        <v>8139</v>
      </c>
      <c r="D4635" t="s">
        <v>18002</v>
      </c>
      <c r="E4635" t="s">
        <v>18605</v>
      </c>
      <c r="F4635" t="s">
        <v>30900</v>
      </c>
      <c r="G4635" t="s">
        <v>30908</v>
      </c>
      <c r="H4635" t="s">
        <v>30916</v>
      </c>
      <c r="I4635" t="s">
        <v>31011</v>
      </c>
      <c r="J4635" t="s">
        <v>31303</v>
      </c>
      <c r="K4635" t="s">
        <v>40293</v>
      </c>
      <c r="M4635" t="s">
        <v>42382</v>
      </c>
      <c r="N4635" t="s">
        <v>44759</v>
      </c>
      <c r="O4635" t="s">
        <v>44760</v>
      </c>
      <c r="P4635">
        <v>0</v>
      </c>
      <c r="Q4635">
        <v>3</v>
      </c>
      <c r="R4635" t="s">
        <v>44763</v>
      </c>
      <c r="S4635" t="s">
        <v>44876</v>
      </c>
      <c r="T4635" t="s">
        <v>46469</v>
      </c>
      <c r="U4635" t="s">
        <v>50837</v>
      </c>
      <c r="V4635" t="s">
        <v>59608</v>
      </c>
      <c r="W4635" t="s">
        <v>42382</v>
      </c>
      <c r="X4635" t="s">
        <v>44764</v>
      </c>
    </row>
    <row r="4636" spans="1:24">
      <c r="A4636">
        <f>HYPERLINK("https://www.philgeps.gov.ph/GEPSNONPILOT/Tender/SplashBidNoticeAbstractUI.aspx?menuIndex=3&amp;refID=7149016&amp;Result=3","7149016")</f>
        <v>0</v>
      </c>
      <c r="B4636" t="s">
        <v>1723</v>
      </c>
      <c r="C4636" t="s">
        <v>8140</v>
      </c>
      <c r="D4636" t="s">
        <v>17957</v>
      </c>
      <c r="E4636" t="s">
        <v>22217</v>
      </c>
      <c r="F4636" t="s">
        <v>30900</v>
      </c>
      <c r="G4636" t="s">
        <v>30909</v>
      </c>
      <c r="H4636" t="s">
        <v>30916</v>
      </c>
      <c r="I4636" t="s">
        <v>4545</v>
      </c>
      <c r="J4636" t="s">
        <v>31284</v>
      </c>
      <c r="K4636" t="s">
        <v>40286</v>
      </c>
      <c r="M4636" t="s">
        <v>42387</v>
      </c>
      <c r="N4636" t="s">
        <v>44759</v>
      </c>
      <c r="O4636" t="s">
        <v>44760</v>
      </c>
      <c r="P4636">
        <v>0</v>
      </c>
      <c r="Q4636">
        <v>2</v>
      </c>
      <c r="R4636" t="s">
        <v>44763</v>
      </c>
      <c r="S4636" t="s">
        <v>44876</v>
      </c>
      <c r="T4636" t="s">
        <v>46412</v>
      </c>
      <c r="U4636" t="s">
        <v>50838</v>
      </c>
      <c r="W4636" t="s">
        <v>42387</v>
      </c>
      <c r="X4636" t="s">
        <v>44764</v>
      </c>
    </row>
    <row r="4637" spans="1:24">
      <c r="A4637">
        <f>HYPERLINK("https://www.philgeps.gov.ph/GEPSNONPILOT/Tender/SplashBidNoticeAbstractUI.aspx?menuIndex=3&amp;refID=7149015&amp;Result=3","7149015")</f>
        <v>0</v>
      </c>
      <c r="B4637" t="s">
        <v>1721</v>
      </c>
      <c r="C4637" t="s">
        <v>8141</v>
      </c>
      <c r="E4637" t="s">
        <v>22218</v>
      </c>
      <c r="F4637" t="s">
        <v>30900</v>
      </c>
      <c r="G4637" t="s">
        <v>30908</v>
      </c>
      <c r="H4637" t="s">
        <v>30916</v>
      </c>
      <c r="I4637" t="s">
        <v>30967</v>
      </c>
      <c r="J4637" t="s">
        <v>31139</v>
      </c>
      <c r="K4637" t="s">
        <v>40289</v>
      </c>
      <c r="M4637" t="s">
        <v>42385</v>
      </c>
      <c r="N4637" t="s">
        <v>44759</v>
      </c>
      <c r="O4637" t="s">
        <v>44760</v>
      </c>
      <c r="P4637">
        <v>0</v>
      </c>
      <c r="Q4637">
        <v>0</v>
      </c>
      <c r="R4637" t="s">
        <v>44763</v>
      </c>
      <c r="S4637" t="s">
        <v>44876</v>
      </c>
      <c r="T4637" t="s">
        <v>46403</v>
      </c>
      <c r="U4637" t="s">
        <v>50839</v>
      </c>
      <c r="W4637" t="s">
        <v>42385</v>
      </c>
      <c r="X4637" t="s">
        <v>44764</v>
      </c>
    </row>
    <row r="4638" spans="1:24">
      <c r="A4638">
        <f>HYPERLINK("https://www.philgeps.gov.ph/GEPSNONPILOT/Tender/SplashBidNoticeAbstractUI.aspx?menuIndex=3&amp;refID=7148964&amp;Result=3","7148964")</f>
        <v>0</v>
      </c>
      <c r="B4638" t="s">
        <v>1724</v>
      </c>
      <c r="C4638" t="s">
        <v>8142</v>
      </c>
      <c r="D4638" t="s">
        <v>18016</v>
      </c>
      <c r="E4638" t="s">
        <v>22180</v>
      </c>
      <c r="F4638" t="s">
        <v>30900</v>
      </c>
      <c r="G4638" t="s">
        <v>30909</v>
      </c>
      <c r="H4638" t="s">
        <v>30916</v>
      </c>
      <c r="I4638" t="s">
        <v>30924</v>
      </c>
      <c r="J4638" t="s">
        <v>31206</v>
      </c>
      <c r="K4638" t="s">
        <v>40284</v>
      </c>
      <c r="M4638" t="s">
        <v>42388</v>
      </c>
      <c r="N4638" t="s">
        <v>44759</v>
      </c>
      <c r="O4638" t="s">
        <v>44760</v>
      </c>
      <c r="P4638">
        <v>0</v>
      </c>
      <c r="Q4638">
        <v>1</v>
      </c>
      <c r="R4638" t="s">
        <v>44763</v>
      </c>
      <c r="S4638" t="s">
        <v>44876</v>
      </c>
      <c r="T4638" t="s">
        <v>46403</v>
      </c>
      <c r="U4638" t="s">
        <v>50840</v>
      </c>
      <c r="W4638" t="s">
        <v>42388</v>
      </c>
      <c r="X4638" t="s">
        <v>44764</v>
      </c>
    </row>
    <row r="4639" spans="1:24">
      <c r="A4639">
        <f>HYPERLINK("https://www.philgeps.gov.ph/GEPSNONPILOT/Tender/SplashBidNoticeAbstractUI.aspx?menuIndex=3&amp;refID=7149022&amp;Result=3","7149022")</f>
        <v>0</v>
      </c>
      <c r="B4639" t="s">
        <v>1727</v>
      </c>
      <c r="C4639" t="s">
        <v>8143</v>
      </c>
      <c r="D4639" t="s">
        <v>18033</v>
      </c>
      <c r="E4639" t="s">
        <v>22219</v>
      </c>
      <c r="F4639" t="s">
        <v>30900</v>
      </c>
      <c r="G4639" t="s">
        <v>30907</v>
      </c>
      <c r="H4639" t="s">
        <v>30916</v>
      </c>
      <c r="I4639" t="s">
        <v>30933</v>
      </c>
      <c r="J4639" t="s">
        <v>34175</v>
      </c>
      <c r="K4639" t="s">
        <v>40291</v>
      </c>
      <c r="M4639" t="s">
        <v>42393</v>
      </c>
      <c r="N4639" t="s">
        <v>44759</v>
      </c>
      <c r="O4639" t="s">
        <v>44760</v>
      </c>
      <c r="P4639">
        <v>0</v>
      </c>
      <c r="Q4639">
        <v>1</v>
      </c>
      <c r="R4639" t="s">
        <v>44763</v>
      </c>
      <c r="S4639" t="s">
        <v>44876</v>
      </c>
      <c r="T4639" t="s">
        <v>46569</v>
      </c>
      <c r="U4639" t="s">
        <v>50841</v>
      </c>
      <c r="W4639" t="s">
        <v>42393</v>
      </c>
      <c r="X4639" t="s">
        <v>44764</v>
      </c>
    </row>
    <row r="4640" spans="1:24">
      <c r="A4640">
        <f>HYPERLINK("https://www.philgeps.gov.ph/GEPSNONPILOT/Tender/SplashBidNoticeAbstractUI.aspx?menuIndex=3&amp;refID=7149010&amp;Result=3","7149010")</f>
        <v>0</v>
      </c>
      <c r="B4640" t="s">
        <v>1723</v>
      </c>
      <c r="C4640" t="s">
        <v>8144</v>
      </c>
      <c r="D4640" t="s">
        <v>17957</v>
      </c>
      <c r="E4640" t="s">
        <v>22220</v>
      </c>
      <c r="F4640" t="s">
        <v>30900</v>
      </c>
      <c r="G4640" t="s">
        <v>30909</v>
      </c>
      <c r="H4640" t="s">
        <v>30916</v>
      </c>
      <c r="I4640" t="s">
        <v>10961</v>
      </c>
      <c r="J4640" t="s">
        <v>34176</v>
      </c>
      <c r="K4640" t="s">
        <v>40286</v>
      </c>
      <c r="M4640" t="s">
        <v>42387</v>
      </c>
      <c r="N4640" t="s">
        <v>44759</v>
      </c>
      <c r="O4640" t="s">
        <v>44760</v>
      </c>
      <c r="P4640">
        <v>0</v>
      </c>
      <c r="Q4640">
        <v>0</v>
      </c>
      <c r="R4640" t="s">
        <v>44763</v>
      </c>
      <c r="S4640" t="s">
        <v>44876</v>
      </c>
      <c r="T4640" t="s">
        <v>46412</v>
      </c>
      <c r="U4640" t="s">
        <v>50842</v>
      </c>
      <c r="W4640" t="s">
        <v>42387</v>
      </c>
      <c r="X4640" t="s">
        <v>44764</v>
      </c>
    </row>
    <row r="4641" spans="1:24">
      <c r="A4641">
        <f>HYPERLINK("https://www.philgeps.gov.ph/GEPSNONPILOT/Tender/SplashBidNoticeAbstractUI.aspx?menuIndex=3&amp;refID=7149020&amp;Result=3","7149020")</f>
        <v>0</v>
      </c>
      <c r="B4641" t="s">
        <v>1723</v>
      </c>
      <c r="C4641" t="s">
        <v>8145</v>
      </c>
      <c r="D4641" t="s">
        <v>17957</v>
      </c>
      <c r="E4641" t="s">
        <v>22221</v>
      </c>
      <c r="F4641" t="s">
        <v>30900</v>
      </c>
      <c r="G4641" t="s">
        <v>30909</v>
      </c>
      <c r="H4641" t="s">
        <v>30916</v>
      </c>
      <c r="I4641" t="s">
        <v>30947</v>
      </c>
      <c r="J4641" t="s">
        <v>34177</v>
      </c>
      <c r="K4641" t="s">
        <v>40286</v>
      </c>
      <c r="M4641" t="s">
        <v>42387</v>
      </c>
      <c r="N4641" t="s">
        <v>44759</v>
      </c>
      <c r="O4641" t="s">
        <v>44760</v>
      </c>
      <c r="P4641">
        <v>0</v>
      </c>
      <c r="Q4641">
        <v>1</v>
      </c>
      <c r="R4641" t="s">
        <v>44763</v>
      </c>
      <c r="S4641" t="s">
        <v>44876</v>
      </c>
      <c r="T4641" t="s">
        <v>46412</v>
      </c>
      <c r="U4641" t="s">
        <v>50843</v>
      </c>
      <c r="W4641" t="s">
        <v>42387</v>
      </c>
      <c r="X4641" t="s">
        <v>44764</v>
      </c>
    </row>
    <row r="4642" spans="1:24">
      <c r="A4642">
        <f>HYPERLINK("https://www.philgeps.gov.ph/GEPSNONPILOT/Tender/SplashBidNoticeAbstractUI.aspx?menuIndex=3&amp;refID=7149008&amp;Result=3","7149008")</f>
        <v>0</v>
      </c>
      <c r="B4642" t="s">
        <v>1721</v>
      </c>
      <c r="C4642" t="s">
        <v>8146</v>
      </c>
      <c r="E4642" t="s">
        <v>22222</v>
      </c>
      <c r="F4642" t="s">
        <v>30900</v>
      </c>
      <c r="G4642" t="s">
        <v>30908</v>
      </c>
      <c r="H4642" t="s">
        <v>30916</v>
      </c>
      <c r="I4642" t="s">
        <v>10602</v>
      </c>
      <c r="J4642" t="s">
        <v>34059</v>
      </c>
      <c r="K4642" t="s">
        <v>40289</v>
      </c>
      <c r="M4642" t="s">
        <v>42385</v>
      </c>
      <c r="N4642" t="s">
        <v>44759</v>
      </c>
      <c r="O4642" t="s">
        <v>44760</v>
      </c>
      <c r="P4642">
        <v>0</v>
      </c>
      <c r="Q4642">
        <v>0</v>
      </c>
      <c r="R4642" t="s">
        <v>44763</v>
      </c>
      <c r="S4642" t="s">
        <v>44876</v>
      </c>
      <c r="T4642" t="s">
        <v>46403</v>
      </c>
      <c r="U4642" t="s">
        <v>50844</v>
      </c>
      <c r="W4642" t="s">
        <v>42385</v>
      </c>
      <c r="X4642" t="s">
        <v>44764</v>
      </c>
    </row>
    <row r="4643" spans="1:24">
      <c r="A4643">
        <f>HYPERLINK("https://www.philgeps.gov.ph/GEPSNONPILOT/Tender/SplashBidNoticeAbstractUI.aspx?menuIndex=3&amp;refID=7149009&amp;Result=3","7149009")</f>
        <v>0</v>
      </c>
      <c r="B4643" t="s">
        <v>1584</v>
      </c>
      <c r="C4643" t="s">
        <v>8147</v>
      </c>
      <c r="D4643" t="s">
        <v>18025</v>
      </c>
      <c r="E4643" t="s">
        <v>22223</v>
      </c>
      <c r="F4643" t="s">
        <v>30900</v>
      </c>
      <c r="G4643" t="s">
        <v>30908</v>
      </c>
      <c r="H4643" t="s">
        <v>30916</v>
      </c>
      <c r="I4643" t="s">
        <v>4545</v>
      </c>
      <c r="J4643" t="s">
        <v>34178</v>
      </c>
      <c r="K4643" t="s">
        <v>40283</v>
      </c>
      <c r="M4643" t="s">
        <v>42398</v>
      </c>
      <c r="N4643" t="s">
        <v>44759</v>
      </c>
      <c r="O4643" t="s">
        <v>44760</v>
      </c>
      <c r="P4643">
        <v>0</v>
      </c>
      <c r="Q4643">
        <v>6</v>
      </c>
      <c r="R4643" t="s">
        <v>44763</v>
      </c>
      <c r="S4643" t="s">
        <v>44876</v>
      </c>
      <c r="T4643" t="s">
        <v>46548</v>
      </c>
      <c r="U4643" t="s">
        <v>50845</v>
      </c>
      <c r="V4643" t="s">
        <v>59609</v>
      </c>
      <c r="W4643" t="s">
        <v>42398</v>
      </c>
      <c r="X4643" t="s">
        <v>44764</v>
      </c>
    </row>
    <row r="4644" spans="1:24">
      <c r="A4644">
        <f>HYPERLINK("https://www.philgeps.gov.ph/GEPSNONPILOT/Tender/SplashBidNoticeAbstractUI.aspx?menuIndex=3&amp;refID=7149012&amp;Result=3","7149012")</f>
        <v>0</v>
      </c>
      <c r="B4644" t="s">
        <v>1732</v>
      </c>
      <c r="C4644" t="s">
        <v>8148</v>
      </c>
      <c r="E4644" t="s">
        <v>18417</v>
      </c>
      <c r="F4644" t="s">
        <v>30900</v>
      </c>
      <c r="G4644" t="s">
        <v>30907</v>
      </c>
      <c r="H4644" t="s">
        <v>30916</v>
      </c>
      <c r="I4644" t="s">
        <v>8123</v>
      </c>
      <c r="J4644" t="s">
        <v>34179</v>
      </c>
      <c r="K4644" t="s">
        <v>40289</v>
      </c>
      <c r="M4644" t="s">
        <v>42399</v>
      </c>
      <c r="N4644" t="s">
        <v>44759</v>
      </c>
      <c r="O4644" t="s">
        <v>44760</v>
      </c>
      <c r="P4644">
        <v>0</v>
      </c>
      <c r="Q4644">
        <v>0</v>
      </c>
      <c r="R4644" t="s">
        <v>44763</v>
      </c>
      <c r="S4644" t="s">
        <v>44876</v>
      </c>
      <c r="T4644" t="s">
        <v>46421</v>
      </c>
      <c r="U4644" t="s">
        <v>50846</v>
      </c>
      <c r="W4644" t="s">
        <v>42399</v>
      </c>
      <c r="X4644" t="s">
        <v>44764</v>
      </c>
    </row>
    <row r="4645" spans="1:24">
      <c r="A4645">
        <f>HYPERLINK("https://www.philgeps.gov.ph/GEPSNONPILOT/Tender/SplashBidNoticeAbstractUI.aspx?menuIndex=3&amp;refID=7149006&amp;Result=3","7149006")</f>
        <v>0</v>
      </c>
      <c r="B4645" t="s">
        <v>1723</v>
      </c>
      <c r="C4645" t="s">
        <v>8149</v>
      </c>
      <c r="D4645" t="s">
        <v>17957</v>
      </c>
      <c r="E4645" t="s">
        <v>22224</v>
      </c>
      <c r="F4645" t="s">
        <v>30900</v>
      </c>
      <c r="G4645" t="s">
        <v>30909</v>
      </c>
      <c r="H4645" t="s">
        <v>30916</v>
      </c>
      <c r="I4645" t="s">
        <v>10961</v>
      </c>
      <c r="J4645" t="s">
        <v>32674</v>
      </c>
      <c r="K4645" t="s">
        <v>40286</v>
      </c>
      <c r="M4645" t="s">
        <v>42387</v>
      </c>
      <c r="N4645" t="s">
        <v>44759</v>
      </c>
      <c r="O4645" t="s">
        <v>44760</v>
      </c>
      <c r="P4645">
        <v>0</v>
      </c>
      <c r="Q4645">
        <v>0</v>
      </c>
      <c r="R4645" t="s">
        <v>44763</v>
      </c>
      <c r="S4645" t="s">
        <v>44876</v>
      </c>
      <c r="T4645" t="s">
        <v>46412</v>
      </c>
      <c r="U4645" t="s">
        <v>50847</v>
      </c>
      <c r="W4645" t="s">
        <v>42387</v>
      </c>
      <c r="X4645" t="s">
        <v>44764</v>
      </c>
    </row>
    <row r="4646" spans="1:24">
      <c r="A4646">
        <f>HYPERLINK("https://www.philgeps.gov.ph/GEPSNONPILOT/Tender/SplashBidNoticeAbstractUI.aspx?menuIndex=3&amp;refID=7149007&amp;Result=3","7149007")</f>
        <v>0</v>
      </c>
      <c r="B4646" t="s">
        <v>1733</v>
      </c>
      <c r="C4646" t="s">
        <v>8150</v>
      </c>
      <c r="D4646" t="s">
        <v>18042</v>
      </c>
      <c r="E4646" t="s">
        <v>22225</v>
      </c>
      <c r="F4646" t="s">
        <v>30900</v>
      </c>
      <c r="G4646" t="s">
        <v>30907</v>
      </c>
      <c r="H4646" t="s">
        <v>30917</v>
      </c>
      <c r="I4646" t="s">
        <v>30937</v>
      </c>
      <c r="J4646" t="s">
        <v>34180</v>
      </c>
      <c r="K4646" t="s">
        <v>40330</v>
      </c>
      <c r="M4646" t="s">
        <v>42400</v>
      </c>
      <c r="N4646" t="s">
        <v>44759</v>
      </c>
      <c r="O4646" t="s">
        <v>44760</v>
      </c>
      <c r="P4646">
        <v>0</v>
      </c>
      <c r="Q4646">
        <v>0</v>
      </c>
      <c r="R4646" t="s">
        <v>44763</v>
      </c>
      <c r="S4646" t="s">
        <v>44876</v>
      </c>
      <c r="T4646" t="s">
        <v>46465</v>
      </c>
      <c r="U4646" t="s">
        <v>50848</v>
      </c>
      <c r="W4646" t="s">
        <v>42400</v>
      </c>
      <c r="X4646" t="s">
        <v>44764</v>
      </c>
    </row>
    <row r="4647" spans="1:24">
      <c r="A4647">
        <f>HYPERLINK("https://www.philgeps.gov.ph/GEPSNONPILOT/Tender/SplashBidNoticeAbstractUI.aspx?menuIndex=3&amp;refID=7148990&amp;Result=3","7148990")</f>
        <v>0</v>
      </c>
      <c r="B4647" t="s">
        <v>1721</v>
      </c>
      <c r="C4647" t="s">
        <v>8151</v>
      </c>
      <c r="E4647" t="s">
        <v>22226</v>
      </c>
      <c r="F4647" t="s">
        <v>30900</v>
      </c>
      <c r="G4647" t="s">
        <v>30908</v>
      </c>
      <c r="H4647" t="s">
        <v>30916</v>
      </c>
      <c r="I4647" t="s">
        <v>30967</v>
      </c>
      <c r="J4647" t="s">
        <v>31451</v>
      </c>
      <c r="K4647" t="s">
        <v>40289</v>
      </c>
      <c r="M4647" t="s">
        <v>42385</v>
      </c>
      <c r="N4647" t="s">
        <v>44759</v>
      </c>
      <c r="O4647" t="s">
        <v>44760</v>
      </c>
      <c r="P4647">
        <v>0</v>
      </c>
      <c r="Q4647">
        <v>0</v>
      </c>
      <c r="R4647" t="s">
        <v>44763</v>
      </c>
      <c r="S4647" t="s">
        <v>44876</v>
      </c>
      <c r="T4647" t="s">
        <v>46403</v>
      </c>
      <c r="U4647" t="s">
        <v>50849</v>
      </c>
      <c r="W4647" t="s">
        <v>42385</v>
      </c>
      <c r="X4647" t="s">
        <v>44764</v>
      </c>
    </row>
    <row r="4648" spans="1:24">
      <c r="A4648">
        <f>HYPERLINK("https://www.philgeps.gov.ph/GEPSNONPILOT/Tender/SplashBidNoticeAbstractUI.aspx?menuIndex=3&amp;refID=7149013&amp;Result=3","7149013")</f>
        <v>0</v>
      </c>
      <c r="B4648" t="s">
        <v>1734</v>
      </c>
      <c r="C4648" t="s">
        <v>8152</v>
      </c>
      <c r="D4648" t="s">
        <v>18002</v>
      </c>
      <c r="E4648" t="s">
        <v>22227</v>
      </c>
      <c r="F4648" t="s">
        <v>30900</v>
      </c>
      <c r="G4648" t="s">
        <v>30908</v>
      </c>
      <c r="H4648" t="s">
        <v>30916</v>
      </c>
      <c r="I4648" t="s">
        <v>8365</v>
      </c>
      <c r="J4648" t="s">
        <v>34181</v>
      </c>
      <c r="K4648" t="s">
        <v>40285</v>
      </c>
      <c r="M4648" t="s">
        <v>42401</v>
      </c>
      <c r="N4648" t="s">
        <v>44759</v>
      </c>
      <c r="O4648" t="s">
        <v>44760</v>
      </c>
      <c r="P4648">
        <v>0</v>
      </c>
      <c r="Q4648">
        <v>0</v>
      </c>
      <c r="R4648" t="s">
        <v>44763</v>
      </c>
      <c r="S4648" t="s">
        <v>44876</v>
      </c>
      <c r="T4648" t="s">
        <v>46403</v>
      </c>
      <c r="U4648" t="s">
        <v>50850</v>
      </c>
      <c r="W4648" t="s">
        <v>42401</v>
      </c>
      <c r="X4648" t="s">
        <v>44764</v>
      </c>
    </row>
    <row r="4649" spans="1:24">
      <c r="A4649">
        <f>HYPERLINK("https://www.philgeps.gov.ph/GEPSNONPILOT/Tender/SplashBidNoticeAbstractUI.aspx?menuIndex=3&amp;refID=7148989&amp;Result=3","7148989")</f>
        <v>0</v>
      </c>
      <c r="B4649" t="s">
        <v>1668</v>
      </c>
      <c r="C4649" t="s">
        <v>8153</v>
      </c>
      <c r="D4649" t="s">
        <v>17961</v>
      </c>
      <c r="E4649" t="s">
        <v>22228</v>
      </c>
      <c r="F4649" t="s">
        <v>30900</v>
      </c>
      <c r="G4649" t="s">
        <v>30907</v>
      </c>
      <c r="H4649" t="s">
        <v>30915</v>
      </c>
      <c r="I4649" t="s">
        <v>30919</v>
      </c>
      <c r="J4649" t="s">
        <v>34182</v>
      </c>
      <c r="K4649" t="s">
        <v>40405</v>
      </c>
      <c r="M4649" t="s">
        <v>42326</v>
      </c>
      <c r="N4649" t="s">
        <v>44759</v>
      </c>
      <c r="O4649" t="s">
        <v>44760</v>
      </c>
      <c r="P4649">
        <v>0</v>
      </c>
      <c r="Q4649">
        <v>1</v>
      </c>
      <c r="R4649" t="s">
        <v>44763</v>
      </c>
      <c r="S4649" t="s">
        <v>44876</v>
      </c>
      <c r="T4649" t="s">
        <v>46675</v>
      </c>
      <c r="U4649" t="s">
        <v>50851</v>
      </c>
      <c r="V4649" t="s">
        <v>59593</v>
      </c>
      <c r="W4649" t="s">
        <v>42326</v>
      </c>
      <c r="X4649" t="s">
        <v>44764</v>
      </c>
    </row>
    <row r="4650" spans="1:24">
      <c r="A4650">
        <f>HYPERLINK("https://www.philgeps.gov.ph/GEPSNONPILOT/Tender/SplashBidNoticeAbstractUI.aspx?menuIndex=3&amp;refID=7149011&amp;Result=3","7149011")</f>
        <v>0</v>
      </c>
      <c r="B4650" t="s">
        <v>1721</v>
      </c>
      <c r="C4650" t="s">
        <v>8154</v>
      </c>
      <c r="E4650" t="s">
        <v>22229</v>
      </c>
      <c r="F4650" t="s">
        <v>30900</v>
      </c>
      <c r="G4650" t="s">
        <v>30908</v>
      </c>
      <c r="H4650" t="s">
        <v>30916</v>
      </c>
      <c r="I4650" t="s">
        <v>10602</v>
      </c>
      <c r="J4650" t="s">
        <v>34059</v>
      </c>
      <c r="K4650" t="s">
        <v>40289</v>
      </c>
      <c r="M4650" t="s">
        <v>42385</v>
      </c>
      <c r="N4650" t="s">
        <v>44759</v>
      </c>
      <c r="O4650" t="s">
        <v>44760</v>
      </c>
      <c r="P4650">
        <v>0</v>
      </c>
      <c r="Q4650">
        <v>0</v>
      </c>
      <c r="R4650" t="s">
        <v>44763</v>
      </c>
      <c r="S4650" t="s">
        <v>44876</v>
      </c>
      <c r="T4650" t="s">
        <v>46403</v>
      </c>
      <c r="U4650" t="s">
        <v>50844</v>
      </c>
      <c r="W4650" t="s">
        <v>42385</v>
      </c>
      <c r="X4650" t="s">
        <v>44764</v>
      </c>
    </row>
    <row r="4651" spans="1:24">
      <c r="A4651">
        <f>HYPERLINK("https://www.philgeps.gov.ph/GEPSNONPILOT/Tender/SplashBidNoticeAbstractUI.aspx?menuIndex=3&amp;refID=7149032&amp;Result=3","7149032")</f>
        <v>0</v>
      </c>
      <c r="B4651" t="s">
        <v>1735</v>
      </c>
      <c r="C4651" t="s">
        <v>8155</v>
      </c>
      <c r="E4651" t="s">
        <v>22230</v>
      </c>
      <c r="F4651" t="s">
        <v>30900</v>
      </c>
      <c r="G4651" t="s">
        <v>30907</v>
      </c>
      <c r="H4651" t="s">
        <v>30916</v>
      </c>
      <c r="I4651" t="s">
        <v>4108</v>
      </c>
      <c r="J4651" t="s">
        <v>34183</v>
      </c>
      <c r="K4651" t="s">
        <v>40280</v>
      </c>
      <c r="M4651" t="s">
        <v>42402</v>
      </c>
      <c r="N4651" t="s">
        <v>44759</v>
      </c>
      <c r="O4651" t="s">
        <v>44760</v>
      </c>
      <c r="P4651">
        <v>0</v>
      </c>
      <c r="Q4651">
        <v>3</v>
      </c>
      <c r="R4651" t="s">
        <v>44763</v>
      </c>
      <c r="S4651" t="s">
        <v>44876</v>
      </c>
      <c r="T4651" t="s">
        <v>46441</v>
      </c>
      <c r="U4651" t="s">
        <v>50852</v>
      </c>
      <c r="W4651" t="s">
        <v>42402</v>
      </c>
      <c r="X4651" t="s">
        <v>44764</v>
      </c>
    </row>
    <row r="4652" spans="1:24">
      <c r="A4652">
        <f>HYPERLINK("https://www.philgeps.gov.ph/GEPSNONPILOT/Tender/SplashBidNoticeAbstractUI.aspx?menuIndex=3&amp;refID=7148987&amp;Result=3","7148987")</f>
        <v>0</v>
      </c>
      <c r="B4652" t="s">
        <v>1721</v>
      </c>
      <c r="C4652" t="s">
        <v>8156</v>
      </c>
      <c r="E4652" t="s">
        <v>22231</v>
      </c>
      <c r="F4652" t="s">
        <v>30900</v>
      </c>
      <c r="G4652" t="s">
        <v>30908</v>
      </c>
      <c r="H4652" t="s">
        <v>30916</v>
      </c>
      <c r="I4652" t="s">
        <v>30967</v>
      </c>
      <c r="J4652" t="s">
        <v>34184</v>
      </c>
      <c r="K4652" t="s">
        <v>40289</v>
      </c>
      <c r="M4652" t="s">
        <v>42385</v>
      </c>
      <c r="N4652" t="s">
        <v>44759</v>
      </c>
      <c r="O4652" t="s">
        <v>44760</v>
      </c>
      <c r="P4652">
        <v>0</v>
      </c>
      <c r="Q4652">
        <v>0</v>
      </c>
      <c r="R4652" t="s">
        <v>44763</v>
      </c>
      <c r="S4652" t="s">
        <v>44876</v>
      </c>
      <c r="T4652" t="s">
        <v>46403</v>
      </c>
      <c r="U4652" t="s">
        <v>50853</v>
      </c>
      <c r="W4652" t="s">
        <v>42385</v>
      </c>
      <c r="X4652" t="s">
        <v>44764</v>
      </c>
    </row>
    <row r="4653" spans="1:24">
      <c r="A4653">
        <f>HYPERLINK("https://www.philgeps.gov.ph/GEPSNONPILOT/Tender/SplashBidNoticeAbstractUI.aspx?menuIndex=3&amp;refID=7149018&amp;Result=3","7149018")</f>
        <v>0</v>
      </c>
      <c r="B4653" t="s">
        <v>1721</v>
      </c>
      <c r="C4653" t="s">
        <v>8157</v>
      </c>
      <c r="E4653" t="s">
        <v>22232</v>
      </c>
      <c r="F4653" t="s">
        <v>30900</v>
      </c>
      <c r="G4653" t="s">
        <v>30908</v>
      </c>
      <c r="H4653" t="s">
        <v>30916</v>
      </c>
      <c r="I4653" t="s">
        <v>30967</v>
      </c>
      <c r="J4653" t="s">
        <v>31589</v>
      </c>
      <c r="K4653" t="s">
        <v>40289</v>
      </c>
      <c r="M4653" t="s">
        <v>42385</v>
      </c>
      <c r="N4653" t="s">
        <v>44759</v>
      </c>
      <c r="O4653" t="s">
        <v>44760</v>
      </c>
      <c r="P4653">
        <v>0</v>
      </c>
      <c r="Q4653">
        <v>0</v>
      </c>
      <c r="R4653" t="s">
        <v>44763</v>
      </c>
      <c r="S4653" t="s">
        <v>44876</v>
      </c>
      <c r="T4653" t="s">
        <v>46403</v>
      </c>
      <c r="U4653" t="s">
        <v>50854</v>
      </c>
      <c r="W4653" t="s">
        <v>42385</v>
      </c>
      <c r="X4653" t="s">
        <v>44764</v>
      </c>
    </row>
    <row r="4654" spans="1:24">
      <c r="A4654">
        <f>HYPERLINK("https://www.philgeps.gov.ph/GEPSNONPILOT/Tender/SplashBidNoticeAbstractUI.aspx?menuIndex=3&amp;refID=7149050&amp;Result=3","7149050")</f>
        <v>0</v>
      </c>
      <c r="B4654" t="s">
        <v>1736</v>
      </c>
      <c r="C4654" t="s">
        <v>8158</v>
      </c>
      <c r="D4654" t="s">
        <v>17959</v>
      </c>
      <c r="E4654" t="s">
        <v>19570</v>
      </c>
      <c r="F4654" t="s">
        <v>30900</v>
      </c>
      <c r="G4654" t="s">
        <v>30907</v>
      </c>
      <c r="H4654" t="s">
        <v>30916</v>
      </c>
      <c r="I4654" t="s">
        <v>4108</v>
      </c>
      <c r="J4654" t="s">
        <v>31049</v>
      </c>
      <c r="K4654" t="s">
        <v>40286</v>
      </c>
      <c r="M4654" t="s">
        <v>42403</v>
      </c>
      <c r="N4654" t="s">
        <v>44759</v>
      </c>
      <c r="O4654" t="s">
        <v>44760</v>
      </c>
      <c r="P4654">
        <v>0</v>
      </c>
      <c r="Q4654">
        <v>1</v>
      </c>
      <c r="R4654" t="s">
        <v>44763</v>
      </c>
      <c r="S4654" t="s">
        <v>44876</v>
      </c>
      <c r="T4654" t="s">
        <v>46406</v>
      </c>
      <c r="U4654" t="s">
        <v>50855</v>
      </c>
      <c r="W4654" t="s">
        <v>42403</v>
      </c>
      <c r="X4654" t="s">
        <v>44764</v>
      </c>
    </row>
    <row r="4655" spans="1:24">
      <c r="A4655">
        <f>HYPERLINK("https://www.philgeps.gov.ph/GEPSNONPILOT/Tender/SplashBidNoticeAbstractUI.aspx?menuIndex=3&amp;refID=7148985&amp;Result=3","7148985")</f>
        <v>0</v>
      </c>
      <c r="B4655" t="s">
        <v>1723</v>
      </c>
      <c r="C4655" t="s">
        <v>8159</v>
      </c>
      <c r="D4655" t="s">
        <v>17957</v>
      </c>
      <c r="E4655" t="s">
        <v>22233</v>
      </c>
      <c r="F4655" t="s">
        <v>30900</v>
      </c>
      <c r="G4655" t="s">
        <v>30907</v>
      </c>
      <c r="H4655" t="s">
        <v>30915</v>
      </c>
      <c r="I4655" t="s">
        <v>30919</v>
      </c>
      <c r="J4655" t="s">
        <v>31101</v>
      </c>
      <c r="K4655" t="s">
        <v>40280</v>
      </c>
      <c r="M4655" t="s">
        <v>42387</v>
      </c>
      <c r="N4655" t="s">
        <v>44759</v>
      </c>
      <c r="O4655" t="s">
        <v>44760</v>
      </c>
      <c r="P4655">
        <v>0</v>
      </c>
      <c r="Q4655">
        <v>0</v>
      </c>
      <c r="R4655" t="s">
        <v>44763</v>
      </c>
      <c r="S4655" t="s">
        <v>44876</v>
      </c>
      <c r="T4655" t="s">
        <v>46412</v>
      </c>
      <c r="U4655" t="s">
        <v>50856</v>
      </c>
      <c r="W4655" t="s">
        <v>42387</v>
      </c>
      <c r="X4655" t="s">
        <v>44764</v>
      </c>
    </row>
    <row r="4656" spans="1:24">
      <c r="A4656">
        <f>HYPERLINK("https://www.philgeps.gov.ph/GEPSNONPILOT/Tender/SplashBidNoticeAbstractUI.aspx?menuIndex=3&amp;refID=7149049&amp;Result=3","7149049")</f>
        <v>0</v>
      </c>
      <c r="B4656" t="s">
        <v>1736</v>
      </c>
      <c r="C4656" t="s">
        <v>8160</v>
      </c>
      <c r="D4656" t="s">
        <v>17959</v>
      </c>
      <c r="E4656" t="s">
        <v>20359</v>
      </c>
      <c r="F4656" t="s">
        <v>30900</v>
      </c>
      <c r="G4656" t="s">
        <v>30909</v>
      </c>
      <c r="H4656" t="s">
        <v>30916</v>
      </c>
      <c r="I4656" t="s">
        <v>4108</v>
      </c>
      <c r="J4656" t="s">
        <v>33225</v>
      </c>
      <c r="K4656" t="s">
        <v>40287</v>
      </c>
      <c r="M4656" t="s">
        <v>42403</v>
      </c>
      <c r="N4656" t="s">
        <v>44759</v>
      </c>
      <c r="O4656" t="s">
        <v>44760</v>
      </c>
      <c r="P4656">
        <v>0</v>
      </c>
      <c r="Q4656">
        <v>1</v>
      </c>
      <c r="R4656" t="s">
        <v>44763</v>
      </c>
      <c r="S4656" t="s">
        <v>44876</v>
      </c>
      <c r="T4656" t="s">
        <v>46403</v>
      </c>
      <c r="U4656" t="s">
        <v>50857</v>
      </c>
      <c r="W4656" t="s">
        <v>42403</v>
      </c>
      <c r="X4656" t="s">
        <v>44764</v>
      </c>
    </row>
    <row r="4657" spans="1:24">
      <c r="A4657">
        <f>HYPERLINK("https://www.philgeps.gov.ph/GEPSNONPILOT/Tender/SplashBidNoticeAbstractUI.aspx?menuIndex=3&amp;refID=7149046&amp;Result=3","7149046")</f>
        <v>0</v>
      </c>
      <c r="B4657" t="s">
        <v>1718</v>
      </c>
      <c r="C4657" t="s">
        <v>8161</v>
      </c>
      <c r="D4657" t="s">
        <v>18002</v>
      </c>
      <c r="E4657" t="s">
        <v>22234</v>
      </c>
      <c r="F4657" t="s">
        <v>30900</v>
      </c>
      <c r="G4657" t="s">
        <v>30908</v>
      </c>
      <c r="H4657" t="s">
        <v>30916</v>
      </c>
      <c r="I4657" t="s">
        <v>4545</v>
      </c>
      <c r="J4657" t="s">
        <v>31284</v>
      </c>
      <c r="K4657" t="s">
        <v>40293</v>
      </c>
      <c r="M4657" t="s">
        <v>42382</v>
      </c>
      <c r="N4657" t="s">
        <v>44759</v>
      </c>
      <c r="O4657" t="s">
        <v>44760</v>
      </c>
      <c r="P4657">
        <v>0</v>
      </c>
      <c r="Q4657">
        <v>3</v>
      </c>
      <c r="R4657" t="s">
        <v>44763</v>
      </c>
      <c r="S4657" t="s">
        <v>44876</v>
      </c>
      <c r="T4657" t="s">
        <v>46469</v>
      </c>
      <c r="U4657" t="s">
        <v>50858</v>
      </c>
      <c r="V4657" t="s">
        <v>59607</v>
      </c>
      <c r="W4657" t="s">
        <v>42382</v>
      </c>
      <c r="X4657" t="s">
        <v>44764</v>
      </c>
    </row>
    <row r="4658" spans="1:24">
      <c r="A4658">
        <f>HYPERLINK("https://www.philgeps.gov.ph/GEPSNONPILOT/Tender/SplashBidNoticeAbstractUI.aspx?menuIndex=3&amp;refID=7149053&amp;Result=3","7149053")</f>
        <v>0</v>
      </c>
      <c r="B4658" t="s">
        <v>1736</v>
      </c>
      <c r="C4658" t="s">
        <v>8162</v>
      </c>
      <c r="D4658" t="s">
        <v>17959</v>
      </c>
      <c r="E4658" t="s">
        <v>21012</v>
      </c>
      <c r="F4658" t="s">
        <v>30900</v>
      </c>
      <c r="G4658" t="s">
        <v>30909</v>
      </c>
      <c r="H4658" t="s">
        <v>30916</v>
      </c>
      <c r="I4658" t="s">
        <v>4108</v>
      </c>
      <c r="J4658" t="s">
        <v>34185</v>
      </c>
      <c r="K4658" t="s">
        <v>40287</v>
      </c>
      <c r="M4658" t="s">
        <v>42403</v>
      </c>
      <c r="N4658" t="s">
        <v>44759</v>
      </c>
      <c r="O4658" t="s">
        <v>44760</v>
      </c>
      <c r="P4658">
        <v>0</v>
      </c>
      <c r="Q4658">
        <v>0</v>
      </c>
      <c r="R4658" t="s">
        <v>44763</v>
      </c>
      <c r="S4658" t="s">
        <v>44876</v>
      </c>
      <c r="T4658" t="s">
        <v>46403</v>
      </c>
      <c r="U4658" t="s">
        <v>50859</v>
      </c>
      <c r="W4658" t="s">
        <v>42403</v>
      </c>
      <c r="X4658" t="s">
        <v>44764</v>
      </c>
    </row>
    <row r="4659" spans="1:24">
      <c r="A4659">
        <f>HYPERLINK("https://www.philgeps.gov.ph/GEPSNONPILOT/Tender/SplashBidNoticeAbstractUI.aspx?menuIndex=3&amp;refID=7149005&amp;Result=3","7149005")</f>
        <v>0</v>
      </c>
      <c r="B4659" t="s">
        <v>1721</v>
      </c>
      <c r="C4659" t="s">
        <v>8163</v>
      </c>
      <c r="E4659" t="s">
        <v>22235</v>
      </c>
      <c r="F4659" t="s">
        <v>30900</v>
      </c>
      <c r="G4659" t="s">
        <v>30908</v>
      </c>
      <c r="H4659" t="s">
        <v>30916</v>
      </c>
      <c r="I4659" t="s">
        <v>30967</v>
      </c>
      <c r="J4659" t="s">
        <v>31139</v>
      </c>
      <c r="K4659" t="s">
        <v>40289</v>
      </c>
      <c r="M4659" t="s">
        <v>42385</v>
      </c>
      <c r="N4659" t="s">
        <v>44759</v>
      </c>
      <c r="O4659" t="s">
        <v>44760</v>
      </c>
      <c r="P4659">
        <v>0</v>
      </c>
      <c r="Q4659">
        <v>0</v>
      </c>
      <c r="R4659" t="s">
        <v>44763</v>
      </c>
      <c r="S4659" t="s">
        <v>44876</v>
      </c>
      <c r="T4659" t="s">
        <v>46403</v>
      </c>
      <c r="U4659" t="s">
        <v>50839</v>
      </c>
      <c r="W4659" t="s">
        <v>42385</v>
      </c>
      <c r="X4659" t="s">
        <v>44764</v>
      </c>
    </row>
    <row r="4660" spans="1:24">
      <c r="A4660">
        <f>HYPERLINK("https://www.philgeps.gov.ph/GEPSNONPILOT/Tender/SplashBidNoticeAbstractUI.aspx?menuIndex=3&amp;refID=7149042&amp;Result=3","7149042")</f>
        <v>0</v>
      </c>
      <c r="B4660" t="s">
        <v>1737</v>
      </c>
      <c r="C4660" t="s">
        <v>8164</v>
      </c>
      <c r="D4660" t="s">
        <v>17975</v>
      </c>
      <c r="E4660" t="s">
        <v>22236</v>
      </c>
      <c r="F4660" t="s">
        <v>30900</v>
      </c>
      <c r="G4660" t="s">
        <v>30908</v>
      </c>
      <c r="H4660" t="s">
        <v>30916</v>
      </c>
      <c r="I4660" t="s">
        <v>7708</v>
      </c>
      <c r="J4660" t="s">
        <v>31661</v>
      </c>
      <c r="K4660" t="s">
        <v>40288</v>
      </c>
      <c r="M4660" t="s">
        <v>42404</v>
      </c>
      <c r="N4660" t="s">
        <v>44759</v>
      </c>
      <c r="O4660" t="s">
        <v>44760</v>
      </c>
      <c r="P4660">
        <v>0</v>
      </c>
      <c r="Q4660">
        <v>1</v>
      </c>
      <c r="R4660" t="s">
        <v>44763</v>
      </c>
      <c r="S4660" t="s">
        <v>44876</v>
      </c>
      <c r="T4660" t="s">
        <v>46403</v>
      </c>
      <c r="U4660" t="s">
        <v>50860</v>
      </c>
      <c r="W4660" t="s">
        <v>42404</v>
      </c>
      <c r="X4660" t="s">
        <v>44764</v>
      </c>
    </row>
    <row r="4661" spans="1:24">
      <c r="A4661">
        <f>HYPERLINK("https://www.philgeps.gov.ph/GEPSNONPILOT/Tender/SplashBidNoticeAbstractUI.aspx?menuIndex=3&amp;refID=7149051&amp;Result=3","7149051")</f>
        <v>0</v>
      </c>
      <c r="B4661" t="s">
        <v>1738</v>
      </c>
      <c r="C4661" t="s">
        <v>8165</v>
      </c>
      <c r="D4661" t="s">
        <v>17980</v>
      </c>
      <c r="E4661" t="s">
        <v>22237</v>
      </c>
      <c r="F4661" t="s">
        <v>30900</v>
      </c>
      <c r="G4661" t="s">
        <v>30907</v>
      </c>
      <c r="H4661" t="s">
        <v>30916</v>
      </c>
      <c r="I4661" t="s">
        <v>6396</v>
      </c>
      <c r="J4661" t="s">
        <v>31067</v>
      </c>
      <c r="K4661" t="s">
        <v>40283</v>
      </c>
      <c r="M4661" t="s">
        <v>42405</v>
      </c>
      <c r="N4661" t="s">
        <v>44759</v>
      </c>
      <c r="O4661" t="s">
        <v>44760</v>
      </c>
      <c r="P4661">
        <v>0</v>
      </c>
      <c r="Q4661">
        <v>2</v>
      </c>
      <c r="R4661" t="s">
        <v>44763</v>
      </c>
      <c r="S4661" t="s">
        <v>44876</v>
      </c>
      <c r="T4661" t="s">
        <v>46425</v>
      </c>
      <c r="U4661" t="s">
        <v>50861</v>
      </c>
      <c r="W4661" t="s">
        <v>42405</v>
      </c>
      <c r="X4661" t="s">
        <v>44764</v>
      </c>
    </row>
    <row r="4662" spans="1:24">
      <c r="A4662">
        <f>HYPERLINK("https://www.philgeps.gov.ph/GEPSNONPILOT/Tender/SplashBidNoticeAbstractUI.aspx?menuIndex=3&amp;refID=7149080&amp;Result=3","7149080")</f>
        <v>0</v>
      </c>
      <c r="B4662" t="s">
        <v>1162</v>
      </c>
      <c r="C4662" t="s">
        <v>8166</v>
      </c>
      <c r="E4662" t="s">
        <v>22238</v>
      </c>
      <c r="F4662" t="s">
        <v>30900</v>
      </c>
      <c r="G4662" t="s">
        <v>30908</v>
      </c>
      <c r="H4662" t="s">
        <v>30916</v>
      </c>
      <c r="I4662" t="s">
        <v>8123</v>
      </c>
      <c r="J4662" t="s">
        <v>34186</v>
      </c>
      <c r="K4662" t="s">
        <v>40287</v>
      </c>
      <c r="M4662" t="s">
        <v>42406</v>
      </c>
      <c r="N4662" t="s">
        <v>44759</v>
      </c>
      <c r="O4662" t="s">
        <v>44760</v>
      </c>
      <c r="P4662">
        <v>0</v>
      </c>
      <c r="Q4662">
        <v>0</v>
      </c>
      <c r="R4662" t="s">
        <v>44763</v>
      </c>
      <c r="S4662" t="s">
        <v>44876</v>
      </c>
      <c r="T4662" t="s">
        <v>46641</v>
      </c>
      <c r="U4662" t="s">
        <v>50862</v>
      </c>
      <c r="V4662" t="s">
        <v>59610</v>
      </c>
      <c r="W4662" t="s">
        <v>42406</v>
      </c>
      <c r="X4662" t="s">
        <v>44764</v>
      </c>
    </row>
    <row r="4663" spans="1:24">
      <c r="A4663">
        <f>HYPERLINK("https://www.philgeps.gov.ph/GEPSNONPILOT/Tender/SplashBidNoticeAbstractUI.aspx?menuIndex=3&amp;refID=7149079&amp;Result=3","7149079")</f>
        <v>0</v>
      </c>
      <c r="B4663" t="s">
        <v>1739</v>
      </c>
      <c r="C4663" t="s">
        <v>8167</v>
      </c>
      <c r="D4663" t="s">
        <v>17966</v>
      </c>
      <c r="E4663" t="s">
        <v>22239</v>
      </c>
      <c r="F4663" t="s">
        <v>30900</v>
      </c>
      <c r="G4663" t="s">
        <v>30907</v>
      </c>
      <c r="H4663" t="s">
        <v>30915</v>
      </c>
      <c r="I4663" t="s">
        <v>30919</v>
      </c>
      <c r="J4663" t="s">
        <v>34187</v>
      </c>
      <c r="K4663" t="s">
        <v>40406</v>
      </c>
      <c r="M4663" t="s">
        <v>42407</v>
      </c>
      <c r="N4663" t="s">
        <v>44759</v>
      </c>
      <c r="O4663" t="s">
        <v>44760</v>
      </c>
      <c r="Q4663">
        <v>1</v>
      </c>
      <c r="R4663" t="s">
        <v>44763</v>
      </c>
      <c r="S4663" t="s">
        <v>44887</v>
      </c>
      <c r="T4663" t="s">
        <v>46405</v>
      </c>
      <c r="U4663" t="s">
        <v>50863</v>
      </c>
      <c r="W4663" t="s">
        <v>42407</v>
      </c>
      <c r="X4663" t="s">
        <v>44764</v>
      </c>
    </row>
    <row r="4664" spans="1:24">
      <c r="A4664">
        <f>HYPERLINK("https://www.philgeps.gov.ph/GEPSNONPILOT/Tender/SplashBidNoticeAbstractUI.aspx?menuIndex=3&amp;refID=7149048&amp;Result=3","7149048")</f>
        <v>0</v>
      </c>
      <c r="B4664" t="s">
        <v>1740</v>
      </c>
      <c r="C4664" t="s">
        <v>8168</v>
      </c>
      <c r="D4664" t="s">
        <v>17952</v>
      </c>
      <c r="E4664" t="s">
        <v>18306</v>
      </c>
      <c r="F4664" t="s">
        <v>30900</v>
      </c>
      <c r="G4664" t="s">
        <v>30907</v>
      </c>
      <c r="H4664" t="s">
        <v>30916</v>
      </c>
      <c r="I4664" t="s">
        <v>30919</v>
      </c>
      <c r="J4664" t="s">
        <v>34188</v>
      </c>
      <c r="K4664" t="s">
        <v>40289</v>
      </c>
      <c r="M4664" t="s">
        <v>42408</v>
      </c>
      <c r="N4664" t="s">
        <v>44759</v>
      </c>
      <c r="O4664" t="s">
        <v>44760</v>
      </c>
      <c r="P4664">
        <v>0</v>
      </c>
      <c r="Q4664">
        <v>0</v>
      </c>
      <c r="R4664" t="s">
        <v>44763</v>
      </c>
      <c r="S4664" t="s">
        <v>44876</v>
      </c>
      <c r="T4664" t="s">
        <v>46409</v>
      </c>
      <c r="U4664" t="s">
        <v>50864</v>
      </c>
      <c r="W4664" t="s">
        <v>42408</v>
      </c>
      <c r="X4664" t="s">
        <v>44764</v>
      </c>
    </row>
    <row r="4665" spans="1:24">
      <c r="A4665">
        <f>HYPERLINK("https://www.philgeps.gov.ph/GEPSNONPILOT/Tender/SplashBidNoticeAbstractUI.aspx?menuIndex=3&amp;refID=7149078&amp;Result=3","7149078")</f>
        <v>0</v>
      </c>
      <c r="B4665" t="s">
        <v>1162</v>
      </c>
      <c r="C4665" t="s">
        <v>8169</v>
      </c>
      <c r="E4665" t="s">
        <v>22240</v>
      </c>
      <c r="F4665" t="s">
        <v>30900</v>
      </c>
      <c r="G4665" t="s">
        <v>30908</v>
      </c>
      <c r="H4665" t="s">
        <v>30916</v>
      </c>
      <c r="I4665" t="s">
        <v>4108</v>
      </c>
      <c r="J4665" t="s">
        <v>31043</v>
      </c>
      <c r="K4665" t="s">
        <v>40287</v>
      </c>
      <c r="M4665" t="s">
        <v>42406</v>
      </c>
      <c r="N4665" t="s">
        <v>44759</v>
      </c>
      <c r="O4665" t="s">
        <v>44760</v>
      </c>
      <c r="P4665">
        <v>0</v>
      </c>
      <c r="Q4665">
        <v>0</v>
      </c>
      <c r="R4665" t="s">
        <v>44763</v>
      </c>
      <c r="S4665" t="s">
        <v>44876</v>
      </c>
      <c r="T4665" t="s">
        <v>46641</v>
      </c>
      <c r="U4665" t="s">
        <v>50865</v>
      </c>
      <c r="V4665" t="s">
        <v>59610</v>
      </c>
      <c r="W4665" t="s">
        <v>42406</v>
      </c>
      <c r="X4665" t="s">
        <v>44764</v>
      </c>
    </row>
    <row r="4666" spans="1:24">
      <c r="A4666">
        <f>HYPERLINK("https://www.philgeps.gov.ph/GEPSNONPILOT/Tender/SplashBidNoticeAbstractUI.aspx?menuIndex=3&amp;refID=7149076&amp;Result=3","7149076")</f>
        <v>0</v>
      </c>
      <c r="B4666" t="s">
        <v>1741</v>
      </c>
      <c r="C4666" t="s">
        <v>8170</v>
      </c>
      <c r="E4666" t="s">
        <v>22241</v>
      </c>
      <c r="F4666" t="s">
        <v>30900</v>
      </c>
      <c r="G4666" t="s">
        <v>30907</v>
      </c>
      <c r="H4666" t="s">
        <v>30916</v>
      </c>
      <c r="I4666" t="s">
        <v>4108</v>
      </c>
      <c r="J4666" t="s">
        <v>34189</v>
      </c>
      <c r="K4666" t="s">
        <v>40289</v>
      </c>
      <c r="M4666" t="s">
        <v>42409</v>
      </c>
      <c r="N4666" t="s">
        <v>44759</v>
      </c>
      <c r="O4666" t="s">
        <v>44760</v>
      </c>
      <c r="P4666">
        <v>0</v>
      </c>
      <c r="Q4666">
        <v>0</v>
      </c>
      <c r="R4666" t="s">
        <v>44763</v>
      </c>
      <c r="S4666" t="s">
        <v>44876</v>
      </c>
      <c r="T4666" t="s">
        <v>46376</v>
      </c>
      <c r="U4666" t="s">
        <v>50866</v>
      </c>
      <c r="W4666" t="s">
        <v>42409</v>
      </c>
      <c r="X4666" t="s">
        <v>44764</v>
      </c>
    </row>
    <row r="4667" spans="1:24">
      <c r="A4667">
        <f>HYPERLINK("https://www.philgeps.gov.ph/GEPSNONPILOT/Tender/SplashBidNoticeAbstractUI.aspx?menuIndex=3&amp;refID=7149043&amp;Result=3","7149043")</f>
        <v>0</v>
      </c>
      <c r="B4667" t="s">
        <v>302</v>
      </c>
      <c r="C4667" t="s">
        <v>8171</v>
      </c>
      <c r="D4667" t="s">
        <v>17959</v>
      </c>
      <c r="E4667" t="s">
        <v>22242</v>
      </c>
      <c r="F4667" t="s">
        <v>30900</v>
      </c>
      <c r="G4667" t="s">
        <v>30908</v>
      </c>
      <c r="H4667" t="s">
        <v>30917</v>
      </c>
      <c r="I4667" t="s">
        <v>9385</v>
      </c>
      <c r="J4667" t="s">
        <v>32680</v>
      </c>
      <c r="K4667" t="s">
        <v>40283</v>
      </c>
      <c r="M4667" t="s">
        <v>40851</v>
      </c>
      <c r="N4667" t="s">
        <v>44759</v>
      </c>
      <c r="O4667" t="s">
        <v>44760</v>
      </c>
      <c r="P4667">
        <v>0</v>
      </c>
      <c r="Q4667">
        <v>5</v>
      </c>
      <c r="R4667" t="s">
        <v>44763</v>
      </c>
      <c r="S4667" t="s">
        <v>44876</v>
      </c>
      <c r="T4667" t="s">
        <v>46531</v>
      </c>
      <c r="U4667" t="s">
        <v>50867</v>
      </c>
      <c r="V4667" t="s">
        <v>59325</v>
      </c>
      <c r="W4667" t="s">
        <v>60852</v>
      </c>
      <c r="X4667" t="s">
        <v>44764</v>
      </c>
    </row>
    <row r="4668" spans="1:24">
      <c r="A4668">
        <f>HYPERLINK("https://www.philgeps.gov.ph/GEPSNONPILOT/Tender/SplashBidNoticeAbstractUI.aspx?menuIndex=3&amp;refID=7149074&amp;Result=3","7149074")</f>
        <v>0</v>
      </c>
      <c r="B4668" t="s">
        <v>1742</v>
      </c>
      <c r="C4668" t="s">
        <v>8172</v>
      </c>
      <c r="D4668" t="s">
        <v>18022</v>
      </c>
      <c r="E4668" t="s">
        <v>22243</v>
      </c>
      <c r="F4668" t="s">
        <v>30900</v>
      </c>
      <c r="G4668" t="s">
        <v>30907</v>
      </c>
      <c r="H4668" t="s">
        <v>30916</v>
      </c>
      <c r="I4668" t="s">
        <v>4142</v>
      </c>
      <c r="J4668" t="s">
        <v>34190</v>
      </c>
      <c r="K4668" t="s">
        <v>40283</v>
      </c>
      <c r="L4668" t="s">
        <v>1742</v>
      </c>
      <c r="M4668" t="s">
        <v>42410</v>
      </c>
      <c r="N4668" t="s">
        <v>44759</v>
      </c>
      <c r="O4668" t="s">
        <v>44760</v>
      </c>
      <c r="P4668">
        <v>0</v>
      </c>
      <c r="Q4668">
        <v>3</v>
      </c>
      <c r="R4668" t="s">
        <v>44763</v>
      </c>
      <c r="S4668" t="s">
        <v>44876</v>
      </c>
      <c r="T4668" t="s">
        <v>46425</v>
      </c>
      <c r="U4668" t="s">
        <v>50868</v>
      </c>
      <c r="V4668" t="s">
        <v>59611</v>
      </c>
      <c r="W4668" t="s">
        <v>42410</v>
      </c>
      <c r="X4668" t="s">
        <v>44764</v>
      </c>
    </row>
    <row r="4669" spans="1:24">
      <c r="A4669">
        <f>HYPERLINK("https://www.philgeps.gov.ph/GEPSNONPILOT/Tender/SplashBidNoticeAbstractUI.aspx?menuIndex=3&amp;refID=7149071&amp;Result=3","7149071")</f>
        <v>0</v>
      </c>
      <c r="B4669" t="s">
        <v>1743</v>
      </c>
      <c r="C4669" t="s">
        <v>8173</v>
      </c>
      <c r="D4669" t="s">
        <v>18016</v>
      </c>
      <c r="E4669" t="s">
        <v>22244</v>
      </c>
      <c r="F4669" t="s">
        <v>30900</v>
      </c>
      <c r="G4669" t="s">
        <v>30907</v>
      </c>
      <c r="H4669" t="s">
        <v>30916</v>
      </c>
      <c r="I4669" t="s">
        <v>30933</v>
      </c>
      <c r="J4669" t="s">
        <v>31398</v>
      </c>
      <c r="K4669" t="s">
        <v>40291</v>
      </c>
      <c r="M4669" t="s">
        <v>42411</v>
      </c>
      <c r="N4669" t="s">
        <v>44759</v>
      </c>
      <c r="O4669" t="s">
        <v>44760</v>
      </c>
      <c r="P4669">
        <v>0</v>
      </c>
      <c r="Q4669">
        <v>1</v>
      </c>
      <c r="R4669" t="s">
        <v>44763</v>
      </c>
      <c r="S4669" t="s">
        <v>44876</v>
      </c>
      <c r="T4669" t="s">
        <v>46394</v>
      </c>
      <c r="U4669" t="s">
        <v>50869</v>
      </c>
      <c r="W4669" t="s">
        <v>42411</v>
      </c>
      <c r="X4669" t="s">
        <v>44764</v>
      </c>
    </row>
    <row r="4670" spans="1:24">
      <c r="A4670">
        <f>HYPERLINK("https://www.philgeps.gov.ph/GEPSNONPILOT/Tender/SplashBidNoticeAbstractUI.aspx?menuIndex=3&amp;refID=7149070&amp;Result=3","7149070")</f>
        <v>0</v>
      </c>
      <c r="B4670" t="s">
        <v>1742</v>
      </c>
      <c r="C4670" t="s">
        <v>8174</v>
      </c>
      <c r="D4670" t="s">
        <v>18022</v>
      </c>
      <c r="E4670" t="s">
        <v>22245</v>
      </c>
      <c r="F4670" t="s">
        <v>30900</v>
      </c>
      <c r="G4670" t="s">
        <v>30906</v>
      </c>
      <c r="H4670" t="s">
        <v>30916</v>
      </c>
      <c r="I4670" t="s">
        <v>30933</v>
      </c>
      <c r="J4670" t="s">
        <v>31069</v>
      </c>
      <c r="K4670" t="s">
        <v>40283</v>
      </c>
      <c r="L4670" t="s">
        <v>1742</v>
      </c>
      <c r="M4670" t="s">
        <v>42410</v>
      </c>
      <c r="N4670" t="s">
        <v>44759</v>
      </c>
      <c r="O4670" t="s">
        <v>44760</v>
      </c>
      <c r="P4670">
        <v>0</v>
      </c>
      <c r="Q4670">
        <v>4</v>
      </c>
      <c r="R4670" t="s">
        <v>44763</v>
      </c>
      <c r="S4670" t="s">
        <v>44876</v>
      </c>
      <c r="T4670" t="s">
        <v>46425</v>
      </c>
      <c r="U4670" t="s">
        <v>50870</v>
      </c>
      <c r="V4670" t="s">
        <v>59612</v>
      </c>
      <c r="W4670" t="s">
        <v>42410</v>
      </c>
      <c r="X4670" t="s">
        <v>44764</v>
      </c>
    </row>
    <row r="4671" spans="1:24">
      <c r="A4671">
        <f>HYPERLINK("https://www.philgeps.gov.ph/GEPSNONPILOT/Tender/SplashBidNoticeAbstractUI.aspx?menuIndex=3&amp;refID=7149068&amp;Result=3","7149068")</f>
        <v>0</v>
      </c>
      <c r="B4671" t="s">
        <v>559</v>
      </c>
      <c r="C4671" t="s">
        <v>8175</v>
      </c>
      <c r="D4671" t="s">
        <v>17990</v>
      </c>
      <c r="E4671" t="s">
        <v>22246</v>
      </c>
      <c r="F4671" t="s">
        <v>30900</v>
      </c>
      <c r="G4671" t="s">
        <v>30907</v>
      </c>
      <c r="H4671" t="s">
        <v>30916</v>
      </c>
      <c r="I4671" t="s">
        <v>30924</v>
      </c>
      <c r="J4671" t="s">
        <v>34191</v>
      </c>
      <c r="K4671" t="s">
        <v>40280</v>
      </c>
      <c r="M4671" t="s">
        <v>42412</v>
      </c>
      <c r="N4671" t="s">
        <v>44759</v>
      </c>
      <c r="O4671" t="s">
        <v>44760</v>
      </c>
      <c r="P4671">
        <v>0</v>
      </c>
      <c r="Q4671">
        <v>7</v>
      </c>
      <c r="R4671" t="s">
        <v>44763</v>
      </c>
      <c r="S4671" t="s">
        <v>44876</v>
      </c>
      <c r="T4671" t="s">
        <v>46371</v>
      </c>
      <c r="U4671" t="s">
        <v>50871</v>
      </c>
      <c r="W4671" t="s">
        <v>60872</v>
      </c>
      <c r="X4671" t="s">
        <v>44764</v>
      </c>
    </row>
    <row r="4672" spans="1:24">
      <c r="A4672">
        <f>HYPERLINK("https://www.philgeps.gov.ph/GEPSNONPILOT/Tender/SplashBidNoticeAbstractUI.aspx?menuIndex=3&amp;refID=7149067&amp;Result=3","7149067")</f>
        <v>0</v>
      </c>
      <c r="B4672" t="s">
        <v>1744</v>
      </c>
      <c r="C4672" t="s">
        <v>8176</v>
      </c>
      <c r="D4672" t="s">
        <v>17964</v>
      </c>
      <c r="E4672" t="s">
        <v>22247</v>
      </c>
      <c r="F4672" t="s">
        <v>30900</v>
      </c>
      <c r="G4672" t="s">
        <v>30908</v>
      </c>
      <c r="H4672" t="s">
        <v>30916</v>
      </c>
      <c r="I4672" t="s">
        <v>11785</v>
      </c>
      <c r="J4672" t="s">
        <v>32157</v>
      </c>
      <c r="K4672" t="s">
        <v>40287</v>
      </c>
      <c r="M4672" t="s">
        <v>42413</v>
      </c>
      <c r="N4672" t="s">
        <v>44759</v>
      </c>
      <c r="O4672" t="s">
        <v>44760</v>
      </c>
      <c r="P4672">
        <v>0</v>
      </c>
      <c r="Q4672">
        <v>0</v>
      </c>
      <c r="R4672" t="s">
        <v>44763</v>
      </c>
      <c r="S4672" t="s">
        <v>44876</v>
      </c>
      <c r="T4672" t="s">
        <v>46410</v>
      </c>
      <c r="U4672" t="s">
        <v>50872</v>
      </c>
      <c r="V4672" t="s">
        <v>59613</v>
      </c>
      <c r="W4672" t="s">
        <v>42413</v>
      </c>
      <c r="X4672" t="s">
        <v>44764</v>
      </c>
    </row>
    <row r="4673" spans="1:24">
      <c r="A4673">
        <f>HYPERLINK("https://www.philgeps.gov.ph/GEPSNONPILOT/Tender/SplashBidNoticeAbstractUI.aspx?menuIndex=3&amp;refID=7149066&amp;Result=3","7149066")</f>
        <v>0</v>
      </c>
      <c r="B4673" t="s">
        <v>1742</v>
      </c>
      <c r="C4673" t="s">
        <v>8177</v>
      </c>
      <c r="D4673" t="s">
        <v>18022</v>
      </c>
      <c r="E4673" t="s">
        <v>22248</v>
      </c>
      <c r="F4673" t="s">
        <v>30900</v>
      </c>
      <c r="G4673" t="s">
        <v>30906</v>
      </c>
      <c r="H4673" t="s">
        <v>30916</v>
      </c>
      <c r="I4673" t="s">
        <v>30934</v>
      </c>
      <c r="J4673" t="s">
        <v>31413</v>
      </c>
      <c r="K4673" t="s">
        <v>40283</v>
      </c>
      <c r="L4673" t="s">
        <v>1742</v>
      </c>
      <c r="M4673" t="s">
        <v>42410</v>
      </c>
      <c r="N4673" t="s">
        <v>44759</v>
      </c>
      <c r="O4673" t="s">
        <v>44760</v>
      </c>
      <c r="P4673">
        <v>0</v>
      </c>
      <c r="Q4673">
        <v>2</v>
      </c>
      <c r="R4673" t="s">
        <v>44763</v>
      </c>
      <c r="S4673" t="s">
        <v>44876</v>
      </c>
      <c r="T4673" t="s">
        <v>46425</v>
      </c>
      <c r="U4673" t="s">
        <v>50870</v>
      </c>
      <c r="V4673" t="s">
        <v>59614</v>
      </c>
      <c r="W4673" t="s">
        <v>42410</v>
      </c>
      <c r="X4673" t="s">
        <v>44764</v>
      </c>
    </row>
    <row r="4674" spans="1:24">
      <c r="A4674">
        <f>HYPERLINK("https://www.philgeps.gov.ph/GEPSNONPILOT/Tender/SplashBidNoticeAbstractUI.aspx?menuIndex=3&amp;refID=7149072&amp;Result=3","7149072")</f>
        <v>0</v>
      </c>
      <c r="B4674" t="s">
        <v>1742</v>
      </c>
      <c r="C4674" t="s">
        <v>8178</v>
      </c>
      <c r="D4674" t="s">
        <v>18022</v>
      </c>
      <c r="E4674" t="s">
        <v>22249</v>
      </c>
      <c r="F4674" t="s">
        <v>30900</v>
      </c>
      <c r="G4674" t="s">
        <v>30907</v>
      </c>
      <c r="H4674" t="s">
        <v>30916</v>
      </c>
      <c r="I4674" t="s">
        <v>30934</v>
      </c>
      <c r="J4674" t="s">
        <v>32382</v>
      </c>
      <c r="K4674" t="s">
        <v>40283</v>
      </c>
      <c r="L4674" t="s">
        <v>1742</v>
      </c>
      <c r="M4674" t="s">
        <v>42410</v>
      </c>
      <c r="N4674" t="s">
        <v>44759</v>
      </c>
      <c r="O4674" t="s">
        <v>44760</v>
      </c>
      <c r="P4674">
        <v>0</v>
      </c>
      <c r="Q4674">
        <v>2</v>
      </c>
      <c r="R4674" t="s">
        <v>44763</v>
      </c>
      <c r="S4674" t="s">
        <v>44876</v>
      </c>
      <c r="T4674" t="s">
        <v>46425</v>
      </c>
      <c r="U4674" t="s">
        <v>50868</v>
      </c>
      <c r="V4674" t="s">
        <v>59611</v>
      </c>
      <c r="W4674" t="s">
        <v>42410</v>
      </c>
      <c r="X4674" t="s">
        <v>44764</v>
      </c>
    </row>
    <row r="4675" spans="1:24">
      <c r="A4675">
        <f>HYPERLINK("https://www.philgeps.gov.ph/GEPSNONPILOT/Tender/SplashBidNoticeAbstractUI.aspx?menuIndex=3&amp;refID=7149064&amp;Result=3","7149064")</f>
        <v>0</v>
      </c>
      <c r="B4675" t="s">
        <v>1745</v>
      </c>
      <c r="C4675" t="s">
        <v>8179</v>
      </c>
      <c r="D4675" t="s">
        <v>17978</v>
      </c>
      <c r="E4675" t="s">
        <v>22250</v>
      </c>
      <c r="F4675" t="s">
        <v>30900</v>
      </c>
      <c r="G4675" t="s">
        <v>30907</v>
      </c>
      <c r="H4675" t="s">
        <v>30916</v>
      </c>
      <c r="I4675" t="s">
        <v>8123</v>
      </c>
      <c r="J4675" t="s">
        <v>31049</v>
      </c>
      <c r="K4675" t="s">
        <v>40291</v>
      </c>
      <c r="M4675" t="s">
        <v>42414</v>
      </c>
      <c r="N4675" t="s">
        <v>44759</v>
      </c>
      <c r="O4675" t="s">
        <v>44760</v>
      </c>
      <c r="P4675">
        <v>0</v>
      </c>
      <c r="Q4675">
        <v>0</v>
      </c>
      <c r="R4675" t="s">
        <v>44763</v>
      </c>
      <c r="S4675" t="s">
        <v>44876</v>
      </c>
      <c r="T4675" t="s">
        <v>46412</v>
      </c>
      <c r="U4675" t="s">
        <v>50873</v>
      </c>
      <c r="W4675" t="s">
        <v>42414</v>
      </c>
      <c r="X4675" t="s">
        <v>44764</v>
      </c>
    </row>
    <row r="4676" spans="1:24">
      <c r="A4676">
        <f>HYPERLINK("https://www.philgeps.gov.ph/GEPSNONPILOT/Tender/SplashBidNoticeAbstractUI.aspx?menuIndex=3&amp;refID=7149062&amp;Result=3","7149062")</f>
        <v>0</v>
      </c>
      <c r="B4676" t="s">
        <v>1746</v>
      </c>
      <c r="C4676" t="s">
        <v>8180</v>
      </c>
      <c r="D4676" t="s">
        <v>17971</v>
      </c>
      <c r="E4676" t="s">
        <v>19042</v>
      </c>
      <c r="F4676" t="s">
        <v>30899</v>
      </c>
      <c r="G4676" t="s">
        <v>30913</v>
      </c>
      <c r="H4676" t="s">
        <v>30915</v>
      </c>
      <c r="I4676" t="s">
        <v>30919</v>
      </c>
      <c r="J4676" t="s">
        <v>32153</v>
      </c>
      <c r="K4676" t="s">
        <v>40286</v>
      </c>
      <c r="M4676" t="s">
        <v>42415</v>
      </c>
      <c r="N4676" t="s">
        <v>44759</v>
      </c>
      <c r="O4676" t="s">
        <v>44760</v>
      </c>
      <c r="P4676">
        <v>0</v>
      </c>
      <c r="Q4676">
        <v>3</v>
      </c>
      <c r="R4676" t="s">
        <v>44763</v>
      </c>
      <c r="S4676" t="s">
        <v>44876</v>
      </c>
      <c r="T4676" t="s">
        <v>46459</v>
      </c>
      <c r="U4676" t="s">
        <v>50874</v>
      </c>
      <c r="V4676" t="s">
        <v>59615</v>
      </c>
      <c r="W4676" t="s">
        <v>42415</v>
      </c>
      <c r="X4676" t="s">
        <v>44764</v>
      </c>
    </row>
    <row r="4677" spans="1:24">
      <c r="A4677">
        <f>HYPERLINK("https://www.philgeps.gov.ph/GEPSNONPILOT/Tender/SplashBidNoticeAbstractUI.aspx?menuIndex=3&amp;refID=7149077&amp;Result=3","7149077")</f>
        <v>0</v>
      </c>
      <c r="B4677" t="s">
        <v>1741</v>
      </c>
      <c r="C4677" t="s">
        <v>8181</v>
      </c>
      <c r="E4677" t="s">
        <v>22251</v>
      </c>
      <c r="F4677" t="s">
        <v>30900</v>
      </c>
      <c r="G4677" t="s">
        <v>30907</v>
      </c>
      <c r="H4677" t="s">
        <v>30916</v>
      </c>
      <c r="I4677" t="s">
        <v>4108</v>
      </c>
      <c r="J4677" t="s">
        <v>31049</v>
      </c>
      <c r="K4677" t="s">
        <v>40289</v>
      </c>
      <c r="M4677" t="s">
        <v>42409</v>
      </c>
      <c r="N4677" t="s">
        <v>44759</v>
      </c>
      <c r="O4677" t="s">
        <v>44760</v>
      </c>
      <c r="P4677">
        <v>0</v>
      </c>
      <c r="Q4677">
        <v>1</v>
      </c>
      <c r="R4677" t="s">
        <v>44763</v>
      </c>
      <c r="S4677" t="s">
        <v>44876</v>
      </c>
      <c r="T4677" t="s">
        <v>46376</v>
      </c>
      <c r="U4677" t="s">
        <v>50875</v>
      </c>
      <c r="W4677" t="s">
        <v>42409</v>
      </c>
      <c r="X4677" t="s">
        <v>44764</v>
      </c>
    </row>
    <row r="4678" spans="1:24">
      <c r="A4678">
        <f>HYPERLINK("https://www.philgeps.gov.ph/GEPSNONPILOT/Tender/SplashBidNoticeAbstractUI.aspx?menuIndex=3&amp;refID=7149060&amp;Result=3","7149060")</f>
        <v>0</v>
      </c>
      <c r="B4678" t="s">
        <v>1747</v>
      </c>
      <c r="C4678" t="s">
        <v>8182</v>
      </c>
      <c r="E4678" t="s">
        <v>22252</v>
      </c>
      <c r="F4678" t="s">
        <v>30900</v>
      </c>
      <c r="G4678" t="s">
        <v>30908</v>
      </c>
      <c r="H4678" t="s">
        <v>30916</v>
      </c>
      <c r="I4678" t="s">
        <v>6746</v>
      </c>
      <c r="J4678" t="s">
        <v>31043</v>
      </c>
      <c r="K4678" t="s">
        <v>40289</v>
      </c>
      <c r="M4678" t="s">
        <v>42416</v>
      </c>
      <c r="N4678" t="s">
        <v>44759</v>
      </c>
      <c r="O4678" t="s">
        <v>44760</v>
      </c>
      <c r="P4678">
        <v>0</v>
      </c>
      <c r="Q4678">
        <v>0</v>
      </c>
      <c r="R4678" t="s">
        <v>44763</v>
      </c>
      <c r="S4678" t="s">
        <v>44876</v>
      </c>
      <c r="T4678" t="s">
        <v>46414</v>
      </c>
      <c r="U4678" t="s">
        <v>50876</v>
      </c>
      <c r="W4678" t="s">
        <v>42416</v>
      </c>
      <c r="X4678" t="s">
        <v>44764</v>
      </c>
    </row>
    <row r="4679" spans="1:24">
      <c r="A4679">
        <f>HYPERLINK("https://www.philgeps.gov.ph/GEPSNONPILOT/Tender/SplashBidNoticeAbstractUI.aspx?menuIndex=3&amp;refID=7149058&amp;Result=3","7149058")</f>
        <v>0</v>
      </c>
      <c r="B4679" t="s">
        <v>1738</v>
      </c>
      <c r="C4679" t="s">
        <v>8183</v>
      </c>
      <c r="D4679" t="s">
        <v>17980</v>
      </c>
      <c r="E4679" t="s">
        <v>22253</v>
      </c>
      <c r="F4679" t="s">
        <v>30900</v>
      </c>
      <c r="G4679" t="s">
        <v>30907</v>
      </c>
      <c r="H4679" t="s">
        <v>30916</v>
      </c>
      <c r="I4679" t="s">
        <v>6396</v>
      </c>
      <c r="J4679" t="s">
        <v>34192</v>
      </c>
      <c r="K4679" t="s">
        <v>40283</v>
      </c>
      <c r="M4679" t="s">
        <v>42405</v>
      </c>
      <c r="N4679" t="s">
        <v>44759</v>
      </c>
      <c r="O4679" t="s">
        <v>44760</v>
      </c>
      <c r="P4679">
        <v>0</v>
      </c>
      <c r="Q4679">
        <v>1</v>
      </c>
      <c r="R4679" t="s">
        <v>44763</v>
      </c>
      <c r="S4679" t="s">
        <v>44876</v>
      </c>
      <c r="T4679" t="s">
        <v>46425</v>
      </c>
      <c r="U4679" t="s">
        <v>50861</v>
      </c>
      <c r="W4679" t="s">
        <v>42405</v>
      </c>
      <c r="X4679" t="s">
        <v>44764</v>
      </c>
    </row>
    <row r="4680" spans="1:24">
      <c r="A4680">
        <f>HYPERLINK("https://www.philgeps.gov.ph/GEPSNONPILOT/Tender/SplashBidNoticeAbstractUI.aspx?menuIndex=3&amp;refID=7149056&amp;Result=3","7149056")</f>
        <v>0</v>
      </c>
      <c r="B4680" t="s">
        <v>1748</v>
      </c>
      <c r="C4680" t="s">
        <v>8184</v>
      </c>
      <c r="D4680" t="s">
        <v>17976</v>
      </c>
      <c r="E4680" t="s">
        <v>18872</v>
      </c>
      <c r="F4680" t="s">
        <v>30900</v>
      </c>
      <c r="G4680" t="s">
        <v>30907</v>
      </c>
      <c r="H4680" t="s">
        <v>30916</v>
      </c>
      <c r="I4680" t="s">
        <v>8123</v>
      </c>
      <c r="J4680" t="s">
        <v>34193</v>
      </c>
      <c r="K4680" t="s">
        <v>40289</v>
      </c>
      <c r="M4680" t="s">
        <v>42417</v>
      </c>
      <c r="N4680" t="s">
        <v>44759</v>
      </c>
      <c r="O4680" t="s">
        <v>44760</v>
      </c>
      <c r="P4680">
        <v>0</v>
      </c>
      <c r="Q4680">
        <v>0</v>
      </c>
      <c r="R4680" t="s">
        <v>44763</v>
      </c>
      <c r="S4680" t="s">
        <v>44876</v>
      </c>
      <c r="T4680" t="s">
        <v>46412</v>
      </c>
      <c r="U4680" t="s">
        <v>50877</v>
      </c>
      <c r="W4680" t="s">
        <v>42417</v>
      </c>
      <c r="X4680" t="s">
        <v>44764</v>
      </c>
    </row>
    <row r="4681" spans="1:24">
      <c r="A4681">
        <f>HYPERLINK("https://www.philgeps.gov.ph/GEPSNONPILOT/Tender/SplashBidNoticeAbstractUI.aspx?menuIndex=3&amp;refID=7149089&amp;Result=3","7149089")</f>
        <v>0</v>
      </c>
      <c r="B4681" t="s">
        <v>1162</v>
      </c>
      <c r="C4681" t="s">
        <v>8185</v>
      </c>
      <c r="E4681" t="s">
        <v>22254</v>
      </c>
      <c r="F4681" t="s">
        <v>30900</v>
      </c>
      <c r="G4681" t="s">
        <v>30910</v>
      </c>
      <c r="H4681" t="s">
        <v>30916</v>
      </c>
      <c r="I4681" t="s">
        <v>30926</v>
      </c>
      <c r="J4681" t="s">
        <v>34194</v>
      </c>
      <c r="K4681" t="s">
        <v>40287</v>
      </c>
      <c r="M4681" t="s">
        <v>42406</v>
      </c>
      <c r="N4681" t="s">
        <v>44759</v>
      </c>
      <c r="O4681" t="s">
        <v>44760</v>
      </c>
      <c r="P4681">
        <v>0</v>
      </c>
      <c r="Q4681">
        <v>1</v>
      </c>
      <c r="R4681" t="s">
        <v>44763</v>
      </c>
      <c r="S4681" t="s">
        <v>44876</v>
      </c>
      <c r="T4681" t="s">
        <v>46403</v>
      </c>
      <c r="U4681" t="s">
        <v>50878</v>
      </c>
      <c r="V4681" t="s">
        <v>59610</v>
      </c>
      <c r="W4681" t="s">
        <v>42406</v>
      </c>
      <c r="X4681" t="s">
        <v>44764</v>
      </c>
    </row>
    <row r="4682" spans="1:24">
      <c r="A4682">
        <f>HYPERLINK("https://www.philgeps.gov.ph/GEPSNONPILOT/Tender/SplashBidNoticeAbstractUI.aspx?menuIndex=3&amp;refID=7149065&amp;Result=3","7149065")</f>
        <v>0</v>
      </c>
      <c r="B4682" t="s">
        <v>1749</v>
      </c>
      <c r="C4682" t="s">
        <v>8186</v>
      </c>
      <c r="D4682" t="s">
        <v>17961</v>
      </c>
      <c r="E4682" t="s">
        <v>22255</v>
      </c>
      <c r="F4682" t="s">
        <v>30900</v>
      </c>
      <c r="G4682" t="s">
        <v>30909</v>
      </c>
      <c r="H4682" t="s">
        <v>30916</v>
      </c>
      <c r="I4682" t="s">
        <v>8365</v>
      </c>
      <c r="J4682" t="s">
        <v>34195</v>
      </c>
      <c r="K4682" t="s">
        <v>40285</v>
      </c>
      <c r="L4682" t="s">
        <v>1749</v>
      </c>
      <c r="M4682" t="s">
        <v>42418</v>
      </c>
      <c r="N4682" t="s">
        <v>44759</v>
      </c>
      <c r="O4682" t="s">
        <v>44760</v>
      </c>
      <c r="P4682">
        <v>0</v>
      </c>
      <c r="Q4682">
        <v>0</v>
      </c>
      <c r="R4682" t="s">
        <v>44763</v>
      </c>
      <c r="S4682" t="s">
        <v>44876</v>
      </c>
      <c r="T4682" t="s">
        <v>46398</v>
      </c>
      <c r="U4682" t="s">
        <v>50879</v>
      </c>
      <c r="W4682" t="s">
        <v>42418</v>
      </c>
      <c r="X4682" t="s">
        <v>44764</v>
      </c>
    </row>
    <row r="4683" spans="1:24">
      <c r="A4683">
        <f>HYPERLINK("https://www.philgeps.gov.ph/GEPSNONPILOT/Tender/SplashBidNoticeAbstractUI.aspx?menuIndex=3&amp;refID=7149104&amp;Result=3","7149104")</f>
        <v>0</v>
      </c>
      <c r="B4683" t="s">
        <v>1750</v>
      </c>
      <c r="C4683" t="s">
        <v>8187</v>
      </c>
      <c r="D4683" t="s">
        <v>17966</v>
      </c>
      <c r="E4683" t="s">
        <v>22256</v>
      </c>
      <c r="F4683" t="s">
        <v>30900</v>
      </c>
      <c r="G4683" t="s">
        <v>30907</v>
      </c>
      <c r="H4683" t="s">
        <v>30916</v>
      </c>
      <c r="I4683" t="s">
        <v>30933</v>
      </c>
      <c r="J4683" t="s">
        <v>34196</v>
      </c>
      <c r="K4683" t="s">
        <v>40280</v>
      </c>
      <c r="M4683" t="s">
        <v>42419</v>
      </c>
      <c r="N4683" t="s">
        <v>44759</v>
      </c>
      <c r="O4683" t="s">
        <v>44760</v>
      </c>
      <c r="P4683">
        <v>0</v>
      </c>
      <c r="Q4683">
        <v>2</v>
      </c>
      <c r="R4683" t="s">
        <v>44763</v>
      </c>
      <c r="S4683" t="s">
        <v>44876</v>
      </c>
      <c r="T4683" t="s">
        <v>46402</v>
      </c>
      <c r="U4683" t="s">
        <v>50880</v>
      </c>
      <c r="W4683" t="s">
        <v>60873</v>
      </c>
      <c r="X4683" t="s">
        <v>44764</v>
      </c>
    </row>
    <row r="4684" spans="1:24">
      <c r="A4684">
        <f>HYPERLINK("https://www.philgeps.gov.ph/GEPSNONPILOT/Tender/SplashBidNoticeAbstractUI.aspx?menuIndex=3&amp;refID=7149102&amp;Result=3","7149102")</f>
        <v>0</v>
      </c>
      <c r="B4684" t="s">
        <v>1750</v>
      </c>
      <c r="C4684" t="s">
        <v>8188</v>
      </c>
      <c r="D4684" t="s">
        <v>17966</v>
      </c>
      <c r="E4684" t="s">
        <v>22257</v>
      </c>
      <c r="F4684" t="s">
        <v>30900</v>
      </c>
      <c r="G4684" t="s">
        <v>30907</v>
      </c>
      <c r="H4684" t="s">
        <v>30916</v>
      </c>
      <c r="I4684" t="s">
        <v>30947</v>
      </c>
      <c r="J4684" t="s">
        <v>34197</v>
      </c>
      <c r="K4684" t="s">
        <v>40286</v>
      </c>
      <c r="M4684" t="s">
        <v>42419</v>
      </c>
      <c r="N4684" t="s">
        <v>44759</v>
      </c>
      <c r="O4684" t="s">
        <v>44760</v>
      </c>
      <c r="P4684">
        <v>0</v>
      </c>
      <c r="Q4684">
        <v>2</v>
      </c>
      <c r="R4684" t="s">
        <v>44763</v>
      </c>
      <c r="S4684" t="s">
        <v>44876</v>
      </c>
      <c r="T4684" t="s">
        <v>46402</v>
      </c>
      <c r="U4684" t="s">
        <v>50881</v>
      </c>
      <c r="W4684" t="s">
        <v>60873</v>
      </c>
      <c r="X4684" t="s">
        <v>44764</v>
      </c>
    </row>
    <row r="4685" spans="1:24">
      <c r="A4685">
        <f>HYPERLINK("https://www.philgeps.gov.ph/GEPSNONPILOT/Tender/SplashBidNoticeAbstractUI.aspx?menuIndex=3&amp;refID=7149100&amp;Result=3","7149100")</f>
        <v>0</v>
      </c>
      <c r="B4685" t="s">
        <v>1751</v>
      </c>
      <c r="C4685" t="s">
        <v>8189</v>
      </c>
      <c r="D4685" t="s">
        <v>17977</v>
      </c>
      <c r="E4685" t="s">
        <v>22258</v>
      </c>
      <c r="F4685" t="s">
        <v>30900</v>
      </c>
      <c r="G4685" t="s">
        <v>30909</v>
      </c>
      <c r="H4685" t="s">
        <v>30916</v>
      </c>
      <c r="I4685" t="s">
        <v>6396</v>
      </c>
      <c r="J4685" t="s">
        <v>31767</v>
      </c>
      <c r="K4685" t="s">
        <v>40288</v>
      </c>
      <c r="M4685" t="s">
        <v>42420</v>
      </c>
      <c r="N4685" t="s">
        <v>44759</v>
      </c>
      <c r="O4685" t="s">
        <v>44760</v>
      </c>
      <c r="P4685">
        <v>0</v>
      </c>
      <c r="Q4685">
        <v>2</v>
      </c>
      <c r="R4685" t="s">
        <v>44763</v>
      </c>
      <c r="S4685" t="s">
        <v>44876</v>
      </c>
      <c r="T4685" t="s">
        <v>46687</v>
      </c>
      <c r="U4685" t="s">
        <v>50882</v>
      </c>
      <c r="W4685" t="s">
        <v>42420</v>
      </c>
      <c r="X4685" t="s">
        <v>44764</v>
      </c>
    </row>
    <row r="4686" spans="1:24">
      <c r="A4686">
        <f>HYPERLINK("https://www.philgeps.gov.ph/GEPSNONPILOT/Tender/SplashBidNoticeAbstractUI.aspx?menuIndex=3&amp;refID=7149096&amp;Result=3","7149096")</f>
        <v>0</v>
      </c>
      <c r="B4686" t="s">
        <v>1750</v>
      </c>
      <c r="C4686" t="s">
        <v>8190</v>
      </c>
      <c r="D4686" t="s">
        <v>17966</v>
      </c>
      <c r="E4686" t="s">
        <v>22259</v>
      </c>
      <c r="F4686" t="s">
        <v>30900</v>
      </c>
      <c r="G4686" t="s">
        <v>30907</v>
      </c>
      <c r="H4686" t="s">
        <v>30916</v>
      </c>
      <c r="I4686" t="s">
        <v>30933</v>
      </c>
      <c r="J4686" t="s">
        <v>31577</v>
      </c>
      <c r="K4686" t="s">
        <v>40280</v>
      </c>
      <c r="M4686" t="s">
        <v>42419</v>
      </c>
      <c r="N4686" t="s">
        <v>44759</v>
      </c>
      <c r="O4686" t="s">
        <v>44760</v>
      </c>
      <c r="P4686">
        <v>0</v>
      </c>
      <c r="Q4686">
        <v>2</v>
      </c>
      <c r="R4686" t="s">
        <v>44763</v>
      </c>
      <c r="S4686" t="s">
        <v>44876</v>
      </c>
      <c r="T4686" t="s">
        <v>46402</v>
      </c>
      <c r="U4686" t="s">
        <v>50883</v>
      </c>
      <c r="W4686" t="s">
        <v>60873</v>
      </c>
      <c r="X4686" t="s">
        <v>44764</v>
      </c>
    </row>
    <row r="4687" spans="1:24">
      <c r="A4687">
        <f>HYPERLINK("https://www.philgeps.gov.ph/GEPSNONPILOT/Tender/SplashBidNoticeAbstractUI.aspx?menuIndex=3&amp;refID=7149103&amp;Result=3","7149103")</f>
        <v>0</v>
      </c>
      <c r="B4687" t="s">
        <v>1751</v>
      </c>
      <c r="C4687" t="s">
        <v>8191</v>
      </c>
      <c r="D4687" t="s">
        <v>17977</v>
      </c>
      <c r="E4687" t="s">
        <v>22260</v>
      </c>
      <c r="F4687" t="s">
        <v>30900</v>
      </c>
      <c r="G4687" t="s">
        <v>30909</v>
      </c>
      <c r="H4687" t="s">
        <v>30916</v>
      </c>
      <c r="I4687" t="s">
        <v>8365</v>
      </c>
      <c r="J4687" t="s">
        <v>34198</v>
      </c>
      <c r="K4687" t="s">
        <v>40288</v>
      </c>
      <c r="M4687" t="s">
        <v>42420</v>
      </c>
      <c r="N4687" t="s">
        <v>44759</v>
      </c>
      <c r="O4687" t="s">
        <v>44760</v>
      </c>
      <c r="P4687">
        <v>0</v>
      </c>
      <c r="Q4687">
        <v>0</v>
      </c>
      <c r="R4687" t="s">
        <v>44763</v>
      </c>
      <c r="S4687" t="s">
        <v>44876</v>
      </c>
      <c r="T4687" t="s">
        <v>46687</v>
      </c>
      <c r="U4687" t="s">
        <v>50884</v>
      </c>
      <c r="W4687" t="s">
        <v>42420</v>
      </c>
      <c r="X4687" t="s">
        <v>44764</v>
      </c>
    </row>
    <row r="4688" spans="1:24">
      <c r="A4688">
        <f>HYPERLINK("https://www.philgeps.gov.ph/GEPSNONPILOT/Tender/SplashBidNoticeAbstractUI.aspx?menuIndex=3&amp;refID=7149063&amp;Result=3","7149063")</f>
        <v>0</v>
      </c>
      <c r="B4688" t="s">
        <v>1742</v>
      </c>
      <c r="C4688" t="s">
        <v>8192</v>
      </c>
      <c r="D4688" t="s">
        <v>18022</v>
      </c>
      <c r="E4688" t="s">
        <v>22261</v>
      </c>
      <c r="F4688" t="s">
        <v>30900</v>
      </c>
      <c r="G4688" t="s">
        <v>30906</v>
      </c>
      <c r="H4688" t="s">
        <v>30916</v>
      </c>
      <c r="I4688" t="s">
        <v>30947</v>
      </c>
      <c r="J4688" t="s">
        <v>34199</v>
      </c>
      <c r="K4688" t="s">
        <v>40283</v>
      </c>
      <c r="L4688" t="s">
        <v>1742</v>
      </c>
      <c r="M4688" t="s">
        <v>42410</v>
      </c>
      <c r="N4688" t="s">
        <v>44759</v>
      </c>
      <c r="O4688" t="s">
        <v>44760</v>
      </c>
      <c r="P4688">
        <v>0</v>
      </c>
      <c r="Q4688">
        <v>2</v>
      </c>
      <c r="R4688" t="s">
        <v>44763</v>
      </c>
      <c r="S4688" t="s">
        <v>44876</v>
      </c>
      <c r="T4688" t="s">
        <v>46425</v>
      </c>
      <c r="U4688" t="s">
        <v>50870</v>
      </c>
      <c r="V4688" t="s">
        <v>59614</v>
      </c>
      <c r="W4688" t="s">
        <v>42410</v>
      </c>
      <c r="X4688" t="s">
        <v>44764</v>
      </c>
    </row>
    <row r="4689" spans="1:24">
      <c r="A4689">
        <f>HYPERLINK("https://www.philgeps.gov.ph/GEPSNONPILOT/Tender/SplashBidNoticeAbstractUI.aspx?menuIndex=3&amp;refID=7149094&amp;Result=3","7149094")</f>
        <v>0</v>
      </c>
      <c r="B4689" t="s">
        <v>1739</v>
      </c>
      <c r="C4689" t="s">
        <v>8193</v>
      </c>
      <c r="D4689" t="s">
        <v>17966</v>
      </c>
      <c r="E4689" t="s">
        <v>22262</v>
      </c>
      <c r="F4689" t="s">
        <v>30900</v>
      </c>
      <c r="G4689" t="s">
        <v>30907</v>
      </c>
      <c r="H4689" t="s">
        <v>30915</v>
      </c>
      <c r="I4689" t="s">
        <v>30919</v>
      </c>
      <c r="J4689" t="s">
        <v>34200</v>
      </c>
      <c r="K4689" t="s">
        <v>40301</v>
      </c>
      <c r="M4689" t="s">
        <v>42407</v>
      </c>
      <c r="N4689" t="s">
        <v>44759</v>
      </c>
      <c r="O4689" t="s">
        <v>44760</v>
      </c>
      <c r="P4689">
        <v>0</v>
      </c>
      <c r="Q4689">
        <v>0</v>
      </c>
      <c r="R4689" t="s">
        <v>44763</v>
      </c>
      <c r="S4689" t="s">
        <v>44876</v>
      </c>
      <c r="T4689" t="s">
        <v>46405</v>
      </c>
      <c r="U4689" t="s">
        <v>50885</v>
      </c>
      <c r="W4689" t="s">
        <v>42407</v>
      </c>
      <c r="X4689" t="s">
        <v>44764</v>
      </c>
    </row>
    <row r="4690" spans="1:24">
      <c r="A4690">
        <f>HYPERLINK("https://www.philgeps.gov.ph/GEPSNONPILOT/Tender/SplashBidNoticeAbstractUI.aspx?menuIndex=3&amp;refID=7149093&amp;Result=3","7149093")</f>
        <v>0</v>
      </c>
      <c r="B4690" t="s">
        <v>1718</v>
      </c>
      <c r="C4690" t="s">
        <v>8194</v>
      </c>
      <c r="D4690" t="s">
        <v>18002</v>
      </c>
      <c r="E4690" t="s">
        <v>22263</v>
      </c>
      <c r="F4690" t="s">
        <v>30900</v>
      </c>
      <c r="G4690" t="s">
        <v>30908</v>
      </c>
      <c r="H4690" t="s">
        <v>30916</v>
      </c>
      <c r="I4690" t="s">
        <v>5830</v>
      </c>
      <c r="J4690" t="s">
        <v>31135</v>
      </c>
      <c r="K4690" t="s">
        <v>40293</v>
      </c>
      <c r="M4690" t="s">
        <v>42382</v>
      </c>
      <c r="N4690" t="s">
        <v>44759</v>
      </c>
      <c r="O4690" t="s">
        <v>44760</v>
      </c>
      <c r="P4690">
        <v>0</v>
      </c>
      <c r="Q4690">
        <v>13</v>
      </c>
      <c r="R4690" t="s">
        <v>44763</v>
      </c>
      <c r="S4690" t="s">
        <v>44876</v>
      </c>
      <c r="T4690" t="s">
        <v>46469</v>
      </c>
      <c r="U4690" t="s">
        <v>50886</v>
      </c>
      <c r="W4690" t="s">
        <v>42382</v>
      </c>
      <c r="X4690" t="s">
        <v>44764</v>
      </c>
    </row>
    <row r="4691" spans="1:24">
      <c r="A4691">
        <f>HYPERLINK("https://www.philgeps.gov.ph/GEPSNONPILOT/Tender/SplashBidNoticeAbstractUI.aspx?menuIndex=3&amp;refID=7149090&amp;Result=3","7149090")</f>
        <v>0</v>
      </c>
      <c r="B4691" t="s">
        <v>1162</v>
      </c>
      <c r="C4691" t="s">
        <v>8195</v>
      </c>
      <c r="E4691" t="s">
        <v>22264</v>
      </c>
      <c r="F4691" t="s">
        <v>30900</v>
      </c>
      <c r="G4691" t="s">
        <v>30910</v>
      </c>
      <c r="H4691" t="s">
        <v>30916</v>
      </c>
      <c r="I4691" t="s">
        <v>30926</v>
      </c>
      <c r="J4691" t="s">
        <v>34201</v>
      </c>
      <c r="K4691" t="s">
        <v>40287</v>
      </c>
      <c r="M4691" t="s">
        <v>42406</v>
      </c>
      <c r="N4691" t="s">
        <v>44759</v>
      </c>
      <c r="O4691" t="s">
        <v>44760</v>
      </c>
      <c r="P4691">
        <v>0</v>
      </c>
      <c r="Q4691">
        <v>2</v>
      </c>
      <c r="R4691" t="s">
        <v>44763</v>
      </c>
      <c r="S4691" t="s">
        <v>44876</v>
      </c>
      <c r="T4691" t="s">
        <v>46403</v>
      </c>
      <c r="U4691" t="s">
        <v>50887</v>
      </c>
      <c r="V4691" t="s">
        <v>59610</v>
      </c>
      <c r="W4691" t="s">
        <v>42406</v>
      </c>
      <c r="X4691" t="s">
        <v>44764</v>
      </c>
    </row>
    <row r="4692" spans="1:24">
      <c r="A4692">
        <f>HYPERLINK("https://www.philgeps.gov.ph/GEPSNONPILOT/Tender/SplashBidNoticeAbstractUI.aspx?menuIndex=3&amp;refID=7149047&amp;Result=3","7149047")</f>
        <v>0</v>
      </c>
      <c r="B4692" t="s">
        <v>1503</v>
      </c>
      <c r="C4692" t="s">
        <v>8196</v>
      </c>
      <c r="D4692" t="s">
        <v>17963</v>
      </c>
      <c r="E4692" t="s">
        <v>18359</v>
      </c>
      <c r="F4692" t="s">
        <v>30900</v>
      </c>
      <c r="G4692" t="s">
        <v>30909</v>
      </c>
      <c r="H4692" t="s">
        <v>30916</v>
      </c>
      <c r="I4692" t="s">
        <v>4050</v>
      </c>
      <c r="J4692" t="s">
        <v>31183</v>
      </c>
      <c r="K4692" t="s">
        <v>40289</v>
      </c>
      <c r="M4692" t="s">
        <v>42144</v>
      </c>
      <c r="N4692" t="s">
        <v>44759</v>
      </c>
      <c r="O4692" t="s">
        <v>44760</v>
      </c>
      <c r="P4692">
        <v>0</v>
      </c>
      <c r="Q4692">
        <v>0</v>
      </c>
      <c r="R4692" t="s">
        <v>44763</v>
      </c>
      <c r="S4692" t="s">
        <v>44876</v>
      </c>
      <c r="T4692" t="s">
        <v>46533</v>
      </c>
      <c r="U4692" t="s">
        <v>50888</v>
      </c>
      <c r="W4692" t="s">
        <v>42144</v>
      </c>
      <c r="X4692" t="s">
        <v>44764</v>
      </c>
    </row>
    <row r="4693" spans="1:24">
      <c r="A4693">
        <f>HYPERLINK("https://www.philgeps.gov.ph/GEPSNONPILOT/Tender/SplashBidNoticeAbstractUI.aspx?menuIndex=3&amp;refID=7149087&amp;Result=3","7149087")</f>
        <v>0</v>
      </c>
      <c r="B4693" t="s">
        <v>682</v>
      </c>
      <c r="C4693" t="s">
        <v>5071</v>
      </c>
      <c r="D4693" t="s">
        <v>17959</v>
      </c>
      <c r="E4693" t="s">
        <v>22265</v>
      </c>
      <c r="F4693" t="s">
        <v>30899</v>
      </c>
      <c r="G4693" t="s">
        <v>30907</v>
      </c>
      <c r="H4693" t="s">
        <v>30915</v>
      </c>
      <c r="I4693" t="s">
        <v>8123</v>
      </c>
      <c r="J4693" t="s">
        <v>31800</v>
      </c>
      <c r="K4693" t="s">
        <v>40333</v>
      </c>
      <c r="M4693" t="s">
        <v>41245</v>
      </c>
      <c r="N4693" t="s">
        <v>44759</v>
      </c>
      <c r="O4693" t="s">
        <v>44760</v>
      </c>
      <c r="P4693">
        <v>0</v>
      </c>
      <c r="Q4693">
        <v>0</v>
      </c>
      <c r="R4693" t="s">
        <v>44763</v>
      </c>
      <c r="S4693" t="s">
        <v>44876</v>
      </c>
      <c r="T4693" t="s">
        <v>46688</v>
      </c>
      <c r="U4693" t="s">
        <v>50889</v>
      </c>
      <c r="W4693" t="s">
        <v>41245</v>
      </c>
      <c r="X4693" t="s">
        <v>44764</v>
      </c>
    </row>
    <row r="4694" spans="1:24">
      <c r="A4694">
        <f>HYPERLINK("https://www.philgeps.gov.ph/GEPSNONPILOT/Tender/SplashBidNoticeAbstractUI.aspx?menuIndex=3&amp;refID=7149095&amp;Result=3","7149095")</f>
        <v>0</v>
      </c>
      <c r="B4694" t="s">
        <v>1628</v>
      </c>
      <c r="C4694" t="s">
        <v>8197</v>
      </c>
      <c r="D4694" t="s">
        <v>18000</v>
      </c>
      <c r="E4694" t="s">
        <v>22266</v>
      </c>
      <c r="F4694" t="s">
        <v>30900</v>
      </c>
      <c r="G4694" t="s">
        <v>30908</v>
      </c>
      <c r="H4694" t="s">
        <v>30916</v>
      </c>
      <c r="I4694" t="s">
        <v>4545</v>
      </c>
      <c r="J4694" t="s">
        <v>34202</v>
      </c>
      <c r="K4694" t="s">
        <v>40291</v>
      </c>
      <c r="M4694" t="s">
        <v>42280</v>
      </c>
      <c r="N4694" t="s">
        <v>44759</v>
      </c>
      <c r="O4694" t="s">
        <v>44760</v>
      </c>
      <c r="P4694">
        <v>0</v>
      </c>
      <c r="Q4694">
        <v>1</v>
      </c>
      <c r="R4694" t="s">
        <v>44763</v>
      </c>
      <c r="S4694" t="s">
        <v>44876</v>
      </c>
      <c r="T4694" t="s">
        <v>46399</v>
      </c>
      <c r="U4694" t="s">
        <v>50890</v>
      </c>
      <c r="W4694" t="s">
        <v>42280</v>
      </c>
      <c r="X4694" t="s">
        <v>44764</v>
      </c>
    </row>
    <row r="4695" spans="1:24">
      <c r="A4695">
        <f>HYPERLINK("https://www.philgeps.gov.ph/GEPSNONPILOT/Tender/SplashBidNoticeAbstractUI.aspx?menuIndex=3&amp;refID=7149086&amp;Result=3","7149086")</f>
        <v>0</v>
      </c>
      <c r="B4695" t="s">
        <v>1751</v>
      </c>
      <c r="C4695" t="s">
        <v>8198</v>
      </c>
      <c r="D4695" t="s">
        <v>17977</v>
      </c>
      <c r="E4695" t="s">
        <v>18094</v>
      </c>
      <c r="F4695" t="s">
        <v>30900</v>
      </c>
      <c r="G4695" t="s">
        <v>30909</v>
      </c>
      <c r="H4695" t="s">
        <v>30916</v>
      </c>
      <c r="I4695" t="s">
        <v>4545</v>
      </c>
      <c r="J4695" t="s">
        <v>31863</v>
      </c>
      <c r="K4695" t="s">
        <v>40288</v>
      </c>
      <c r="M4695" t="s">
        <v>42420</v>
      </c>
      <c r="N4695" t="s">
        <v>44759</v>
      </c>
      <c r="O4695" t="s">
        <v>44760</v>
      </c>
      <c r="P4695">
        <v>0</v>
      </c>
      <c r="Q4695">
        <v>0</v>
      </c>
      <c r="R4695" t="s">
        <v>44763</v>
      </c>
      <c r="S4695" t="s">
        <v>44876</v>
      </c>
      <c r="T4695" t="s">
        <v>46687</v>
      </c>
      <c r="U4695" t="s">
        <v>50891</v>
      </c>
      <c r="W4695" t="s">
        <v>42420</v>
      </c>
      <c r="X4695" t="s">
        <v>44764</v>
      </c>
    </row>
    <row r="4696" spans="1:24">
      <c r="A4696">
        <f>HYPERLINK("https://www.philgeps.gov.ph/GEPSNONPILOT/Tender/SplashBidNoticeAbstractUI.aspx?menuIndex=3&amp;refID=7149124&amp;Result=3","7149124")</f>
        <v>0</v>
      </c>
      <c r="B4696" t="s">
        <v>1752</v>
      </c>
      <c r="C4696" t="s">
        <v>8199</v>
      </c>
      <c r="D4696" t="s">
        <v>17994</v>
      </c>
      <c r="E4696" t="s">
        <v>22267</v>
      </c>
      <c r="F4696" t="s">
        <v>30900</v>
      </c>
      <c r="G4696" t="s">
        <v>30908</v>
      </c>
      <c r="H4696" t="s">
        <v>30916</v>
      </c>
      <c r="I4696" t="s">
        <v>30935</v>
      </c>
      <c r="J4696" t="s">
        <v>34203</v>
      </c>
      <c r="K4696" t="s">
        <v>40289</v>
      </c>
      <c r="M4696" t="s">
        <v>42421</v>
      </c>
      <c r="N4696" t="s">
        <v>44759</v>
      </c>
      <c r="O4696" t="s">
        <v>44760</v>
      </c>
      <c r="P4696">
        <v>0</v>
      </c>
      <c r="Q4696">
        <v>7</v>
      </c>
      <c r="R4696" t="s">
        <v>44763</v>
      </c>
      <c r="S4696" t="s">
        <v>44876</v>
      </c>
      <c r="T4696" t="s">
        <v>46374</v>
      </c>
      <c r="U4696" t="s">
        <v>50892</v>
      </c>
      <c r="W4696" t="s">
        <v>42421</v>
      </c>
      <c r="X4696" t="s">
        <v>44764</v>
      </c>
    </row>
    <row r="4697" spans="1:24">
      <c r="A4697">
        <f>HYPERLINK("https://www.philgeps.gov.ph/GEPSNONPILOT/Tender/SplashBidNoticeAbstractUI.aspx?menuIndex=3&amp;refID=7149092&amp;Result=3","7149092")</f>
        <v>0</v>
      </c>
      <c r="B4697" t="s">
        <v>1751</v>
      </c>
      <c r="C4697" t="s">
        <v>8200</v>
      </c>
      <c r="D4697" t="s">
        <v>17977</v>
      </c>
      <c r="E4697" t="s">
        <v>22268</v>
      </c>
      <c r="F4697" t="s">
        <v>30900</v>
      </c>
      <c r="G4697" t="s">
        <v>30909</v>
      </c>
      <c r="H4697" t="s">
        <v>30916</v>
      </c>
      <c r="I4697" t="s">
        <v>6396</v>
      </c>
      <c r="J4697" t="s">
        <v>34204</v>
      </c>
      <c r="K4697" t="s">
        <v>40288</v>
      </c>
      <c r="M4697" t="s">
        <v>42420</v>
      </c>
      <c r="N4697" t="s">
        <v>44759</v>
      </c>
      <c r="O4697" t="s">
        <v>44760</v>
      </c>
      <c r="P4697">
        <v>0</v>
      </c>
      <c r="Q4697">
        <v>1</v>
      </c>
      <c r="R4697" t="s">
        <v>44763</v>
      </c>
      <c r="S4697" t="s">
        <v>44876</v>
      </c>
      <c r="T4697" t="s">
        <v>46687</v>
      </c>
      <c r="U4697" t="s">
        <v>50893</v>
      </c>
      <c r="W4697" t="s">
        <v>42420</v>
      </c>
      <c r="X4697" t="s">
        <v>44764</v>
      </c>
    </row>
    <row r="4698" spans="1:24">
      <c r="A4698">
        <f>HYPERLINK("https://www.philgeps.gov.ph/GEPSNONPILOT/Tender/SplashBidNoticeAbstractUI.aspx?menuIndex=3&amp;refID=7149122&amp;Result=3","7149122")</f>
        <v>0</v>
      </c>
      <c r="B4698" t="s">
        <v>1750</v>
      </c>
      <c r="C4698" t="s">
        <v>8201</v>
      </c>
      <c r="D4698" t="s">
        <v>17966</v>
      </c>
      <c r="E4698" t="s">
        <v>22269</v>
      </c>
      <c r="F4698" t="s">
        <v>30900</v>
      </c>
      <c r="G4698" t="s">
        <v>30907</v>
      </c>
      <c r="H4698" t="s">
        <v>30916</v>
      </c>
      <c r="I4698" t="s">
        <v>30939</v>
      </c>
      <c r="J4698" t="s">
        <v>34205</v>
      </c>
      <c r="K4698" t="s">
        <v>40292</v>
      </c>
      <c r="M4698" t="s">
        <v>42419</v>
      </c>
      <c r="N4698" t="s">
        <v>44759</v>
      </c>
      <c r="O4698" t="s">
        <v>44760</v>
      </c>
      <c r="P4698">
        <v>0</v>
      </c>
      <c r="Q4698">
        <v>0</v>
      </c>
      <c r="R4698" t="s">
        <v>44763</v>
      </c>
      <c r="S4698" t="s">
        <v>44876</v>
      </c>
      <c r="T4698" t="s">
        <v>46443</v>
      </c>
      <c r="U4698" t="s">
        <v>50894</v>
      </c>
      <c r="W4698" t="s">
        <v>60873</v>
      </c>
      <c r="X4698" t="s">
        <v>44764</v>
      </c>
    </row>
    <row r="4699" spans="1:24">
      <c r="A4699">
        <f>HYPERLINK("https://www.philgeps.gov.ph/GEPSNONPILOT/Tender/SplashBidNoticeAbstractUI.aspx?menuIndex=3&amp;refID=7149044&amp;Result=3","7149044")</f>
        <v>0</v>
      </c>
      <c r="B4699" t="s">
        <v>1736</v>
      </c>
      <c r="C4699" t="s">
        <v>8202</v>
      </c>
      <c r="D4699" t="s">
        <v>17959</v>
      </c>
      <c r="E4699" t="s">
        <v>22270</v>
      </c>
      <c r="F4699" t="s">
        <v>30900</v>
      </c>
      <c r="G4699" t="s">
        <v>30907</v>
      </c>
      <c r="H4699" t="s">
        <v>30916</v>
      </c>
      <c r="I4699" t="s">
        <v>4108</v>
      </c>
      <c r="J4699" t="s">
        <v>31066</v>
      </c>
      <c r="K4699" t="s">
        <v>40286</v>
      </c>
      <c r="M4699" t="s">
        <v>42403</v>
      </c>
      <c r="N4699" t="s">
        <v>44759</v>
      </c>
      <c r="O4699" t="s">
        <v>44760</v>
      </c>
      <c r="P4699">
        <v>0</v>
      </c>
      <c r="Q4699">
        <v>1</v>
      </c>
      <c r="R4699" t="s">
        <v>44763</v>
      </c>
      <c r="S4699" t="s">
        <v>44876</v>
      </c>
      <c r="T4699" t="s">
        <v>46406</v>
      </c>
      <c r="U4699" t="s">
        <v>50895</v>
      </c>
      <c r="W4699" t="s">
        <v>42403</v>
      </c>
      <c r="X4699" t="s">
        <v>44764</v>
      </c>
    </row>
    <row r="4700" spans="1:24">
      <c r="A4700">
        <f>HYPERLINK("https://www.philgeps.gov.ph/GEPSNONPILOT/Tender/SplashBidNoticeAbstractUI.aspx?menuIndex=3&amp;refID=7149121&amp;Result=3","7149121")</f>
        <v>0</v>
      </c>
      <c r="B4700" t="s">
        <v>1750</v>
      </c>
      <c r="C4700" t="s">
        <v>8203</v>
      </c>
      <c r="D4700" t="s">
        <v>17966</v>
      </c>
      <c r="E4700" t="s">
        <v>22271</v>
      </c>
      <c r="F4700" t="s">
        <v>30900</v>
      </c>
      <c r="G4700" t="s">
        <v>30907</v>
      </c>
      <c r="H4700" t="s">
        <v>30916</v>
      </c>
      <c r="I4700" t="s">
        <v>30923</v>
      </c>
      <c r="J4700" t="s">
        <v>34206</v>
      </c>
      <c r="K4700" t="s">
        <v>40283</v>
      </c>
      <c r="M4700" t="s">
        <v>42419</v>
      </c>
      <c r="N4700" t="s">
        <v>44759</v>
      </c>
      <c r="O4700" t="s">
        <v>44760</v>
      </c>
      <c r="P4700">
        <v>0</v>
      </c>
      <c r="Q4700">
        <v>6</v>
      </c>
      <c r="R4700" t="s">
        <v>44763</v>
      </c>
      <c r="S4700" t="s">
        <v>44876</v>
      </c>
      <c r="T4700" t="s">
        <v>46443</v>
      </c>
      <c r="U4700" t="s">
        <v>50896</v>
      </c>
      <c r="W4700" t="s">
        <v>60873</v>
      </c>
      <c r="X4700" t="s">
        <v>44764</v>
      </c>
    </row>
    <row r="4701" spans="1:24">
      <c r="A4701">
        <f>HYPERLINK("https://www.philgeps.gov.ph/GEPSNONPILOT/Tender/SplashBidNoticeAbstractUI.aspx?menuIndex=3&amp;refID=7149120&amp;Result=3","7149120")</f>
        <v>0</v>
      </c>
      <c r="B4701" t="s">
        <v>1753</v>
      </c>
      <c r="C4701" t="s">
        <v>8204</v>
      </c>
      <c r="D4701" t="s">
        <v>18013</v>
      </c>
      <c r="E4701" t="s">
        <v>22272</v>
      </c>
      <c r="F4701" t="s">
        <v>30900</v>
      </c>
      <c r="G4701" t="s">
        <v>30908</v>
      </c>
      <c r="H4701" t="s">
        <v>30916</v>
      </c>
      <c r="I4701" t="s">
        <v>6746</v>
      </c>
      <c r="J4701" t="s">
        <v>34207</v>
      </c>
      <c r="K4701" t="s">
        <v>40283</v>
      </c>
      <c r="M4701" t="s">
        <v>42422</v>
      </c>
      <c r="N4701" t="s">
        <v>44759</v>
      </c>
      <c r="O4701" t="s">
        <v>44760</v>
      </c>
      <c r="P4701">
        <v>0</v>
      </c>
      <c r="Q4701">
        <v>1</v>
      </c>
      <c r="R4701" t="s">
        <v>44763</v>
      </c>
      <c r="S4701" t="s">
        <v>44876</v>
      </c>
      <c r="T4701" t="s">
        <v>46533</v>
      </c>
      <c r="U4701" t="s">
        <v>50897</v>
      </c>
      <c r="W4701" t="s">
        <v>42422</v>
      </c>
      <c r="X4701" t="s">
        <v>44764</v>
      </c>
    </row>
    <row r="4702" spans="1:24">
      <c r="A4702">
        <f>HYPERLINK("https://www.philgeps.gov.ph/GEPSNONPILOT/Tender/SplashBidNoticeAbstractUI.aspx?menuIndex=3&amp;refID=7149119&amp;Result=3","7149119")</f>
        <v>0</v>
      </c>
      <c r="B4702" t="s">
        <v>899</v>
      </c>
      <c r="C4702" t="s">
        <v>8205</v>
      </c>
      <c r="E4702" t="s">
        <v>22273</v>
      </c>
      <c r="F4702" t="s">
        <v>30900</v>
      </c>
      <c r="G4702" t="s">
        <v>30908</v>
      </c>
      <c r="H4702" t="s">
        <v>30916</v>
      </c>
      <c r="I4702" t="s">
        <v>4142</v>
      </c>
      <c r="J4702" t="s">
        <v>34208</v>
      </c>
      <c r="K4702" t="s">
        <v>40289</v>
      </c>
      <c r="M4702" t="s">
        <v>42423</v>
      </c>
      <c r="N4702" t="s">
        <v>44759</v>
      </c>
      <c r="O4702" t="s">
        <v>44760</v>
      </c>
      <c r="P4702">
        <v>0</v>
      </c>
      <c r="Q4702">
        <v>4</v>
      </c>
      <c r="R4702" t="s">
        <v>44763</v>
      </c>
      <c r="S4702" t="s">
        <v>44876</v>
      </c>
      <c r="T4702" t="s">
        <v>46534</v>
      </c>
      <c r="U4702" t="s">
        <v>47244</v>
      </c>
      <c r="W4702" t="s">
        <v>42423</v>
      </c>
      <c r="X4702" t="s">
        <v>44764</v>
      </c>
    </row>
    <row r="4703" spans="1:24">
      <c r="A4703">
        <f>HYPERLINK("https://www.philgeps.gov.ph/GEPSNONPILOT/Tender/SplashBidNoticeAbstractUI.aspx?menuIndex=3&amp;refID=7149116&amp;Result=3","7149116")</f>
        <v>0</v>
      </c>
      <c r="B4703" t="s">
        <v>1754</v>
      </c>
      <c r="C4703" t="s">
        <v>8206</v>
      </c>
      <c r="E4703" t="s">
        <v>22274</v>
      </c>
      <c r="F4703" t="s">
        <v>30900</v>
      </c>
      <c r="G4703" t="s">
        <v>30908</v>
      </c>
      <c r="H4703" t="s">
        <v>30916</v>
      </c>
      <c r="I4703" t="s">
        <v>30924</v>
      </c>
      <c r="J4703" t="s">
        <v>31341</v>
      </c>
      <c r="K4703" t="s">
        <v>40293</v>
      </c>
      <c r="M4703" t="s">
        <v>42424</v>
      </c>
      <c r="N4703" t="s">
        <v>44759</v>
      </c>
      <c r="O4703" t="s">
        <v>44760</v>
      </c>
      <c r="Q4703">
        <v>8</v>
      </c>
      <c r="R4703" t="s">
        <v>44763</v>
      </c>
      <c r="S4703" t="s">
        <v>44888</v>
      </c>
      <c r="T4703" t="s">
        <v>46357</v>
      </c>
      <c r="U4703" t="s">
        <v>50898</v>
      </c>
      <c r="W4703" t="s">
        <v>42424</v>
      </c>
      <c r="X4703" t="s">
        <v>44764</v>
      </c>
    </row>
    <row r="4704" spans="1:24">
      <c r="A4704">
        <f>HYPERLINK("https://www.philgeps.gov.ph/GEPSNONPILOT/Tender/SplashBidNoticeAbstractUI.aspx?menuIndex=3&amp;refID=7149099&amp;Result=3","7149099")</f>
        <v>0</v>
      </c>
      <c r="B4704" t="s">
        <v>1755</v>
      </c>
      <c r="C4704" t="s">
        <v>8207</v>
      </c>
      <c r="D4704" t="s">
        <v>18000</v>
      </c>
      <c r="E4704" t="s">
        <v>18306</v>
      </c>
      <c r="F4704" t="s">
        <v>30900</v>
      </c>
      <c r="G4704" t="s">
        <v>30907</v>
      </c>
      <c r="H4704" t="s">
        <v>30916</v>
      </c>
      <c r="I4704" t="s">
        <v>8123</v>
      </c>
      <c r="J4704" t="s">
        <v>32778</v>
      </c>
      <c r="K4704" t="s">
        <v>40287</v>
      </c>
      <c r="M4704" t="s">
        <v>42425</v>
      </c>
      <c r="N4704" t="s">
        <v>44759</v>
      </c>
      <c r="O4704" t="s">
        <v>44760</v>
      </c>
      <c r="P4704">
        <v>0</v>
      </c>
      <c r="Q4704">
        <v>0</v>
      </c>
      <c r="R4704" t="s">
        <v>44763</v>
      </c>
      <c r="S4704" t="s">
        <v>44876</v>
      </c>
      <c r="T4704" t="s">
        <v>46357</v>
      </c>
      <c r="U4704" t="s">
        <v>50899</v>
      </c>
      <c r="V4704" t="s">
        <v>59616</v>
      </c>
      <c r="W4704" t="s">
        <v>42425</v>
      </c>
      <c r="X4704" t="s">
        <v>44764</v>
      </c>
    </row>
    <row r="4705" spans="1:24">
      <c r="A4705">
        <f>HYPERLINK("https://www.philgeps.gov.ph/GEPSNONPILOT/Tender/SplashBidNoticeAbstractUI.aspx?menuIndex=3&amp;refID=7149114&amp;Result=3","7149114")</f>
        <v>0</v>
      </c>
      <c r="B4705" t="s">
        <v>1750</v>
      </c>
      <c r="C4705" t="s">
        <v>8208</v>
      </c>
      <c r="D4705" t="s">
        <v>17966</v>
      </c>
      <c r="E4705" t="s">
        <v>22275</v>
      </c>
      <c r="F4705" t="s">
        <v>30900</v>
      </c>
      <c r="G4705" t="s">
        <v>30907</v>
      </c>
      <c r="H4705" t="s">
        <v>30916</v>
      </c>
      <c r="I4705" t="s">
        <v>5501</v>
      </c>
      <c r="J4705" t="s">
        <v>34209</v>
      </c>
      <c r="K4705" t="s">
        <v>40283</v>
      </c>
      <c r="M4705" t="s">
        <v>42419</v>
      </c>
      <c r="N4705" t="s">
        <v>44759</v>
      </c>
      <c r="O4705" t="s">
        <v>44760</v>
      </c>
      <c r="P4705">
        <v>0</v>
      </c>
      <c r="Q4705">
        <v>2</v>
      </c>
      <c r="R4705" t="s">
        <v>44763</v>
      </c>
      <c r="S4705" t="s">
        <v>44876</v>
      </c>
      <c r="T4705" t="s">
        <v>46443</v>
      </c>
      <c r="U4705" t="s">
        <v>50900</v>
      </c>
      <c r="W4705" t="s">
        <v>60873</v>
      </c>
      <c r="X4705" t="s">
        <v>44764</v>
      </c>
    </row>
    <row r="4706" spans="1:24">
      <c r="A4706">
        <f>HYPERLINK("https://www.philgeps.gov.ph/GEPSNONPILOT/Tender/SplashBidNoticeAbstractUI.aspx?menuIndex=3&amp;refID=7149088&amp;Result=3","7149088")</f>
        <v>0</v>
      </c>
      <c r="B4706" t="s">
        <v>1739</v>
      </c>
      <c r="C4706" t="s">
        <v>8209</v>
      </c>
      <c r="D4706" t="s">
        <v>17966</v>
      </c>
      <c r="E4706" t="s">
        <v>22276</v>
      </c>
      <c r="F4706" t="s">
        <v>30900</v>
      </c>
      <c r="G4706" t="s">
        <v>30907</v>
      </c>
      <c r="H4706" t="s">
        <v>30915</v>
      </c>
      <c r="I4706" t="s">
        <v>30919</v>
      </c>
      <c r="J4706" t="s">
        <v>34210</v>
      </c>
      <c r="K4706" t="s">
        <v>40341</v>
      </c>
      <c r="M4706" t="s">
        <v>42407</v>
      </c>
      <c r="N4706" t="s">
        <v>44759</v>
      </c>
      <c r="O4706" t="s">
        <v>44760</v>
      </c>
      <c r="P4706">
        <v>0</v>
      </c>
      <c r="Q4706">
        <v>0</v>
      </c>
      <c r="R4706" t="s">
        <v>44763</v>
      </c>
      <c r="S4706" t="s">
        <v>44876</v>
      </c>
      <c r="T4706" t="s">
        <v>46405</v>
      </c>
      <c r="U4706" t="s">
        <v>50901</v>
      </c>
      <c r="W4706" t="s">
        <v>42407</v>
      </c>
      <c r="X4706" t="s">
        <v>44764</v>
      </c>
    </row>
    <row r="4707" spans="1:24">
      <c r="A4707">
        <f>HYPERLINK("https://www.philgeps.gov.ph/GEPSNONPILOT/Tender/SplashBidNoticeAbstractUI.aspx?menuIndex=3&amp;refID=7148915&amp;Result=3","7148915")</f>
        <v>0</v>
      </c>
      <c r="B4707" t="s">
        <v>1708</v>
      </c>
      <c r="C4707" t="s">
        <v>8210</v>
      </c>
      <c r="D4707" t="s">
        <v>17975</v>
      </c>
      <c r="E4707" t="s">
        <v>22277</v>
      </c>
      <c r="F4707" t="s">
        <v>30900</v>
      </c>
      <c r="G4707" t="s">
        <v>30907</v>
      </c>
      <c r="H4707" t="s">
        <v>30916</v>
      </c>
      <c r="I4707" t="s">
        <v>30932</v>
      </c>
      <c r="J4707" t="s">
        <v>34211</v>
      </c>
      <c r="K4707" t="s">
        <v>40287</v>
      </c>
      <c r="M4707" t="s">
        <v>42371</v>
      </c>
      <c r="N4707" t="s">
        <v>44759</v>
      </c>
      <c r="O4707" t="s">
        <v>44760</v>
      </c>
      <c r="P4707">
        <v>0</v>
      </c>
      <c r="Q4707">
        <v>2</v>
      </c>
      <c r="R4707" t="s">
        <v>44763</v>
      </c>
      <c r="S4707" t="s">
        <v>44876</v>
      </c>
      <c r="T4707" t="s">
        <v>46689</v>
      </c>
      <c r="U4707" t="s">
        <v>50772</v>
      </c>
      <c r="V4707" t="s">
        <v>59602</v>
      </c>
      <c r="W4707" t="s">
        <v>42371</v>
      </c>
      <c r="X4707" t="s">
        <v>44764</v>
      </c>
    </row>
    <row r="4708" spans="1:24">
      <c r="A4708">
        <f>HYPERLINK("https://www.philgeps.gov.ph/GEPSNONPILOT/Tender/SplashBidNoticeAbstractUI.aspx?menuIndex=3&amp;refID=7149112&amp;Result=3","7149112")</f>
        <v>0</v>
      </c>
      <c r="B4708" t="s">
        <v>1750</v>
      </c>
      <c r="C4708" t="s">
        <v>8211</v>
      </c>
      <c r="D4708" t="s">
        <v>17966</v>
      </c>
      <c r="E4708" t="s">
        <v>22278</v>
      </c>
      <c r="F4708" t="s">
        <v>30900</v>
      </c>
      <c r="G4708" t="s">
        <v>30907</v>
      </c>
      <c r="H4708" t="s">
        <v>30916</v>
      </c>
      <c r="I4708" t="s">
        <v>5501</v>
      </c>
      <c r="J4708" t="s">
        <v>34212</v>
      </c>
      <c r="K4708" t="s">
        <v>40283</v>
      </c>
      <c r="M4708" t="s">
        <v>42419</v>
      </c>
      <c r="N4708" t="s">
        <v>44759</v>
      </c>
      <c r="O4708" t="s">
        <v>44760</v>
      </c>
      <c r="P4708">
        <v>0</v>
      </c>
      <c r="Q4708">
        <v>4</v>
      </c>
      <c r="R4708" t="s">
        <v>44763</v>
      </c>
      <c r="S4708" t="s">
        <v>44876</v>
      </c>
      <c r="T4708" t="s">
        <v>46443</v>
      </c>
      <c r="U4708" t="s">
        <v>50902</v>
      </c>
      <c r="W4708" t="s">
        <v>60873</v>
      </c>
      <c r="X4708" t="s">
        <v>44764</v>
      </c>
    </row>
    <row r="4709" spans="1:24">
      <c r="A4709">
        <f>HYPERLINK("https://www.philgeps.gov.ph/GEPSNONPILOT/Tender/SplashBidNoticeAbstractUI.aspx?menuIndex=3&amp;refID=7149111&amp;Result=3","7149111")</f>
        <v>0</v>
      </c>
      <c r="B4709" t="s">
        <v>1750</v>
      </c>
      <c r="C4709" t="s">
        <v>8212</v>
      </c>
      <c r="D4709" t="s">
        <v>17966</v>
      </c>
      <c r="E4709" t="s">
        <v>22279</v>
      </c>
      <c r="F4709" t="s">
        <v>30900</v>
      </c>
      <c r="G4709" t="s">
        <v>30907</v>
      </c>
      <c r="H4709" t="s">
        <v>30916</v>
      </c>
      <c r="I4709" t="s">
        <v>5501</v>
      </c>
      <c r="J4709" t="s">
        <v>34213</v>
      </c>
      <c r="K4709" t="s">
        <v>40283</v>
      </c>
      <c r="M4709" t="s">
        <v>42419</v>
      </c>
      <c r="N4709" t="s">
        <v>44759</v>
      </c>
      <c r="O4709" t="s">
        <v>44760</v>
      </c>
      <c r="P4709">
        <v>0</v>
      </c>
      <c r="Q4709">
        <v>4</v>
      </c>
      <c r="R4709" t="s">
        <v>44763</v>
      </c>
      <c r="S4709" t="s">
        <v>44876</v>
      </c>
      <c r="T4709" t="s">
        <v>46443</v>
      </c>
      <c r="U4709" t="s">
        <v>50903</v>
      </c>
      <c r="W4709" t="s">
        <v>60873</v>
      </c>
      <c r="X4709" t="s">
        <v>44764</v>
      </c>
    </row>
    <row r="4710" spans="1:24">
      <c r="A4710">
        <f>HYPERLINK("https://www.philgeps.gov.ph/GEPSNONPILOT/Tender/SplashBidNoticeAbstractUI.aspx?menuIndex=3&amp;refID=7149110&amp;Result=3","7149110")</f>
        <v>0</v>
      </c>
      <c r="B4710" t="s">
        <v>1162</v>
      </c>
      <c r="C4710" t="s">
        <v>8213</v>
      </c>
      <c r="E4710" t="s">
        <v>22280</v>
      </c>
      <c r="F4710" t="s">
        <v>30900</v>
      </c>
      <c r="G4710" t="s">
        <v>30908</v>
      </c>
      <c r="H4710" t="s">
        <v>30916</v>
      </c>
      <c r="I4710" t="s">
        <v>4142</v>
      </c>
      <c r="J4710" t="s">
        <v>34214</v>
      </c>
      <c r="K4710" t="s">
        <v>40287</v>
      </c>
      <c r="M4710" t="s">
        <v>42406</v>
      </c>
      <c r="N4710" t="s">
        <v>44759</v>
      </c>
      <c r="O4710" t="s">
        <v>44760</v>
      </c>
      <c r="P4710">
        <v>0</v>
      </c>
      <c r="Q4710">
        <v>0</v>
      </c>
      <c r="R4710" t="s">
        <v>44763</v>
      </c>
      <c r="S4710" t="s">
        <v>44876</v>
      </c>
      <c r="T4710" t="s">
        <v>46403</v>
      </c>
      <c r="U4710" t="s">
        <v>50904</v>
      </c>
      <c r="V4710" t="s">
        <v>59610</v>
      </c>
      <c r="W4710" t="s">
        <v>42406</v>
      </c>
      <c r="X4710" t="s">
        <v>44764</v>
      </c>
    </row>
    <row r="4711" spans="1:24">
      <c r="A4711">
        <f>HYPERLINK("https://www.philgeps.gov.ph/GEPSNONPILOT/Tender/SplashBidNoticeAbstractUI.aspx?menuIndex=3&amp;refID=7149117&amp;Result=3","7149117")</f>
        <v>0</v>
      </c>
      <c r="B4711" t="s">
        <v>1162</v>
      </c>
      <c r="C4711" t="s">
        <v>8214</v>
      </c>
      <c r="E4711" t="s">
        <v>22281</v>
      </c>
      <c r="F4711" t="s">
        <v>30900</v>
      </c>
      <c r="G4711" t="s">
        <v>30908</v>
      </c>
      <c r="H4711" t="s">
        <v>30916</v>
      </c>
      <c r="I4711" t="s">
        <v>6953</v>
      </c>
      <c r="J4711" t="s">
        <v>34215</v>
      </c>
      <c r="K4711" t="s">
        <v>40287</v>
      </c>
      <c r="M4711" t="s">
        <v>42406</v>
      </c>
      <c r="N4711" t="s">
        <v>44759</v>
      </c>
      <c r="O4711" t="s">
        <v>44760</v>
      </c>
      <c r="P4711">
        <v>0</v>
      </c>
      <c r="Q4711">
        <v>0</v>
      </c>
      <c r="R4711" t="s">
        <v>44763</v>
      </c>
      <c r="S4711" t="s">
        <v>44876</v>
      </c>
      <c r="T4711" t="s">
        <v>46403</v>
      </c>
      <c r="U4711" t="s">
        <v>50905</v>
      </c>
      <c r="V4711" t="s">
        <v>59610</v>
      </c>
      <c r="W4711" t="s">
        <v>42406</v>
      </c>
      <c r="X4711" t="s">
        <v>44764</v>
      </c>
    </row>
    <row r="4712" spans="1:24">
      <c r="A4712">
        <f>HYPERLINK("https://www.philgeps.gov.ph/GEPSNONPILOT/Tender/SplashBidNoticeAbstractUI.aspx?menuIndex=3&amp;refID=7149125&amp;Result=3","7149125")</f>
        <v>0</v>
      </c>
      <c r="B4712" t="s">
        <v>1753</v>
      </c>
      <c r="C4712" t="s">
        <v>8215</v>
      </c>
      <c r="D4712" t="s">
        <v>18013</v>
      </c>
      <c r="E4712" t="s">
        <v>22282</v>
      </c>
      <c r="F4712" t="s">
        <v>30900</v>
      </c>
      <c r="G4712" t="s">
        <v>30908</v>
      </c>
      <c r="H4712" t="s">
        <v>30916</v>
      </c>
      <c r="I4712" t="s">
        <v>4142</v>
      </c>
      <c r="J4712" t="s">
        <v>34216</v>
      </c>
      <c r="K4712" t="s">
        <v>40283</v>
      </c>
      <c r="M4712" t="s">
        <v>42422</v>
      </c>
      <c r="N4712" t="s">
        <v>44759</v>
      </c>
      <c r="O4712" t="s">
        <v>44760</v>
      </c>
      <c r="P4712">
        <v>0</v>
      </c>
      <c r="Q4712">
        <v>2</v>
      </c>
      <c r="R4712" t="s">
        <v>44763</v>
      </c>
      <c r="S4712" t="s">
        <v>44876</v>
      </c>
      <c r="T4712" t="s">
        <v>46533</v>
      </c>
      <c r="U4712" t="s">
        <v>50906</v>
      </c>
      <c r="W4712" t="s">
        <v>42422</v>
      </c>
      <c r="X4712" t="s">
        <v>44764</v>
      </c>
    </row>
    <row r="4713" spans="1:24">
      <c r="A4713">
        <f>HYPERLINK("https://www.philgeps.gov.ph/GEPSNONPILOT/Tender/SplashBidNoticeAbstractUI.aspx?menuIndex=3&amp;refID=7149123&amp;Result=3","7149123")</f>
        <v>0</v>
      </c>
      <c r="B4713" t="s">
        <v>1750</v>
      </c>
      <c r="C4713" t="s">
        <v>8216</v>
      </c>
      <c r="D4713" t="s">
        <v>17966</v>
      </c>
      <c r="E4713" t="s">
        <v>22283</v>
      </c>
      <c r="F4713" t="s">
        <v>30900</v>
      </c>
      <c r="G4713" t="s">
        <v>30907</v>
      </c>
      <c r="H4713" t="s">
        <v>30916</v>
      </c>
      <c r="I4713" t="s">
        <v>4108</v>
      </c>
      <c r="J4713" t="s">
        <v>34217</v>
      </c>
      <c r="K4713" t="s">
        <v>40283</v>
      </c>
      <c r="M4713" t="s">
        <v>42419</v>
      </c>
      <c r="N4713" t="s">
        <v>44759</v>
      </c>
      <c r="O4713" t="s">
        <v>44760</v>
      </c>
      <c r="P4713">
        <v>0</v>
      </c>
      <c r="Q4713">
        <v>0</v>
      </c>
      <c r="R4713" t="s">
        <v>44763</v>
      </c>
      <c r="S4713" t="s">
        <v>44876</v>
      </c>
      <c r="T4713" t="s">
        <v>46443</v>
      </c>
      <c r="U4713" t="s">
        <v>50907</v>
      </c>
      <c r="W4713" t="s">
        <v>60873</v>
      </c>
      <c r="X4713" t="s">
        <v>44764</v>
      </c>
    </row>
    <row r="4714" spans="1:24">
      <c r="A4714">
        <f>HYPERLINK("https://www.philgeps.gov.ph/GEPSNONPILOT/Tender/SplashBidNoticeAbstractUI.aspx?menuIndex=3&amp;refID=7149147&amp;Result=3","7149147")</f>
        <v>0</v>
      </c>
      <c r="B4714" t="s">
        <v>1756</v>
      </c>
      <c r="C4714" t="s">
        <v>8123</v>
      </c>
      <c r="D4714" t="s">
        <v>17993</v>
      </c>
      <c r="E4714" t="s">
        <v>22284</v>
      </c>
      <c r="F4714" t="s">
        <v>30900</v>
      </c>
      <c r="G4714" t="s">
        <v>30907</v>
      </c>
      <c r="H4714" t="s">
        <v>30916</v>
      </c>
      <c r="I4714" t="s">
        <v>8123</v>
      </c>
      <c r="J4714" t="s">
        <v>31206</v>
      </c>
      <c r="K4714" t="s">
        <v>40287</v>
      </c>
      <c r="M4714" t="s">
        <v>42426</v>
      </c>
      <c r="N4714" t="s">
        <v>44759</v>
      </c>
      <c r="O4714" t="s">
        <v>44760</v>
      </c>
      <c r="P4714">
        <v>0</v>
      </c>
      <c r="Q4714">
        <v>0</v>
      </c>
      <c r="R4714" t="s">
        <v>44763</v>
      </c>
      <c r="S4714" t="s">
        <v>44876</v>
      </c>
      <c r="T4714" t="s">
        <v>46376</v>
      </c>
      <c r="U4714" t="s">
        <v>50908</v>
      </c>
      <c r="W4714" t="s">
        <v>42426</v>
      </c>
      <c r="X4714" t="s">
        <v>44764</v>
      </c>
    </row>
    <row r="4715" spans="1:24">
      <c r="A4715">
        <f>HYPERLINK("https://www.philgeps.gov.ph/GEPSNONPILOT/Tender/SplashBidNoticeAbstractUI.aspx?menuIndex=3&amp;refID=7149115&amp;Result=3","7149115")</f>
        <v>0</v>
      </c>
      <c r="B4715" t="s">
        <v>1750</v>
      </c>
      <c r="C4715" t="s">
        <v>8217</v>
      </c>
      <c r="D4715" t="s">
        <v>17966</v>
      </c>
      <c r="E4715" t="s">
        <v>22285</v>
      </c>
      <c r="F4715" t="s">
        <v>30900</v>
      </c>
      <c r="G4715" t="s">
        <v>30907</v>
      </c>
      <c r="H4715" t="s">
        <v>30916</v>
      </c>
      <c r="I4715" t="s">
        <v>30923</v>
      </c>
      <c r="J4715" t="s">
        <v>34218</v>
      </c>
      <c r="K4715" t="s">
        <v>40283</v>
      </c>
      <c r="M4715" t="s">
        <v>42419</v>
      </c>
      <c r="N4715" t="s">
        <v>44759</v>
      </c>
      <c r="O4715" t="s">
        <v>44760</v>
      </c>
      <c r="P4715">
        <v>0</v>
      </c>
      <c r="Q4715">
        <v>8</v>
      </c>
      <c r="R4715" t="s">
        <v>44763</v>
      </c>
      <c r="S4715" t="s">
        <v>44876</v>
      </c>
      <c r="T4715" t="s">
        <v>46443</v>
      </c>
      <c r="U4715" t="s">
        <v>50909</v>
      </c>
      <c r="W4715" t="s">
        <v>60873</v>
      </c>
      <c r="X4715" t="s">
        <v>44764</v>
      </c>
    </row>
    <row r="4716" spans="1:24">
      <c r="A4716">
        <f>HYPERLINK("https://www.philgeps.gov.ph/GEPSNONPILOT/Tender/SplashBidNoticeAbstractUI.aspx?menuIndex=3&amp;refID=7149145&amp;Result=3","7149145")</f>
        <v>0</v>
      </c>
      <c r="B4716" t="s">
        <v>1756</v>
      </c>
      <c r="C4716" t="s">
        <v>8123</v>
      </c>
      <c r="D4716" t="s">
        <v>17993</v>
      </c>
      <c r="E4716" t="s">
        <v>22286</v>
      </c>
      <c r="F4716" t="s">
        <v>30900</v>
      </c>
      <c r="G4716" t="s">
        <v>30907</v>
      </c>
      <c r="H4716" t="s">
        <v>30916</v>
      </c>
      <c r="I4716" t="s">
        <v>8123</v>
      </c>
      <c r="J4716" t="s">
        <v>31206</v>
      </c>
      <c r="K4716" t="s">
        <v>40287</v>
      </c>
      <c r="M4716" t="s">
        <v>42426</v>
      </c>
      <c r="N4716" t="s">
        <v>44759</v>
      </c>
      <c r="O4716" t="s">
        <v>44760</v>
      </c>
      <c r="P4716">
        <v>0</v>
      </c>
      <c r="Q4716">
        <v>0</v>
      </c>
      <c r="R4716" t="s">
        <v>44763</v>
      </c>
      <c r="S4716" t="s">
        <v>44876</v>
      </c>
      <c r="T4716" t="s">
        <v>46376</v>
      </c>
      <c r="U4716" t="s">
        <v>50910</v>
      </c>
      <c r="W4716" t="s">
        <v>42426</v>
      </c>
      <c r="X4716" t="s">
        <v>44764</v>
      </c>
    </row>
    <row r="4717" spans="1:24">
      <c r="A4717">
        <f>HYPERLINK("https://www.philgeps.gov.ph/GEPSNONPILOT/Tender/SplashBidNoticeAbstractUI.aspx?menuIndex=3&amp;refID=7149141&amp;Result=3","7149141")</f>
        <v>0</v>
      </c>
      <c r="B4717" t="s">
        <v>1757</v>
      </c>
      <c r="C4717" t="s">
        <v>8218</v>
      </c>
      <c r="D4717" t="s">
        <v>17963</v>
      </c>
      <c r="E4717" t="s">
        <v>18158</v>
      </c>
      <c r="F4717" t="s">
        <v>30900</v>
      </c>
      <c r="G4717" t="s">
        <v>30907</v>
      </c>
      <c r="H4717" t="s">
        <v>30915</v>
      </c>
      <c r="I4717" t="s">
        <v>30919</v>
      </c>
      <c r="J4717" t="s">
        <v>31082</v>
      </c>
      <c r="K4717" t="s">
        <v>40321</v>
      </c>
      <c r="M4717" t="s">
        <v>42427</v>
      </c>
      <c r="N4717" t="s">
        <v>44759</v>
      </c>
      <c r="O4717" t="s">
        <v>44760</v>
      </c>
      <c r="P4717">
        <v>0</v>
      </c>
      <c r="Q4717">
        <v>0</v>
      </c>
      <c r="R4717" t="s">
        <v>44763</v>
      </c>
      <c r="S4717" t="s">
        <v>44876</v>
      </c>
      <c r="T4717" t="s">
        <v>46412</v>
      </c>
      <c r="U4717" t="s">
        <v>50911</v>
      </c>
      <c r="W4717" t="s">
        <v>42427</v>
      </c>
      <c r="X4717" t="s">
        <v>44764</v>
      </c>
    </row>
    <row r="4718" spans="1:24">
      <c r="A4718">
        <f>HYPERLINK("https://www.philgeps.gov.ph/GEPSNONPILOT/Tender/SplashBidNoticeAbstractUI.aspx?menuIndex=3&amp;refID=7149054&amp;Result=3","7149054")</f>
        <v>0</v>
      </c>
      <c r="B4718" t="s">
        <v>1718</v>
      </c>
      <c r="C4718" t="s">
        <v>8219</v>
      </c>
      <c r="D4718" t="s">
        <v>18002</v>
      </c>
      <c r="E4718" t="s">
        <v>22263</v>
      </c>
      <c r="F4718" t="s">
        <v>30900</v>
      </c>
      <c r="G4718" t="s">
        <v>30908</v>
      </c>
      <c r="H4718" t="s">
        <v>30916</v>
      </c>
      <c r="I4718" t="s">
        <v>31011</v>
      </c>
      <c r="J4718" t="s">
        <v>34171</v>
      </c>
      <c r="K4718" t="s">
        <v>40280</v>
      </c>
      <c r="M4718" t="s">
        <v>42382</v>
      </c>
      <c r="N4718" t="s">
        <v>44759</v>
      </c>
      <c r="O4718" t="s">
        <v>44760</v>
      </c>
      <c r="P4718">
        <v>0</v>
      </c>
      <c r="Q4718">
        <v>3</v>
      </c>
      <c r="R4718" t="s">
        <v>44763</v>
      </c>
      <c r="S4718" t="s">
        <v>44876</v>
      </c>
      <c r="T4718" t="s">
        <v>46469</v>
      </c>
      <c r="U4718" t="s">
        <v>50912</v>
      </c>
      <c r="V4718" t="s">
        <v>59607</v>
      </c>
      <c r="W4718" t="s">
        <v>42382</v>
      </c>
      <c r="X4718" t="s">
        <v>44764</v>
      </c>
    </row>
    <row r="4719" spans="1:24">
      <c r="A4719">
        <f>HYPERLINK("https://www.philgeps.gov.ph/GEPSNONPILOT/Tender/SplashBidNoticeAbstractUI.aspx?menuIndex=3&amp;refID=7149140&amp;Result=3","7149140")</f>
        <v>0</v>
      </c>
      <c r="B4719" t="s">
        <v>1108</v>
      </c>
      <c r="C4719" t="s">
        <v>8220</v>
      </c>
      <c r="D4719" t="s">
        <v>17959</v>
      </c>
      <c r="E4719" t="s">
        <v>22287</v>
      </c>
      <c r="F4719" t="s">
        <v>30900</v>
      </c>
      <c r="G4719" t="s">
        <v>30908</v>
      </c>
      <c r="H4719" t="s">
        <v>30916</v>
      </c>
      <c r="I4719" t="s">
        <v>8044</v>
      </c>
      <c r="J4719" t="s">
        <v>31907</v>
      </c>
      <c r="K4719" t="s">
        <v>40286</v>
      </c>
      <c r="M4719" t="s">
        <v>41708</v>
      </c>
      <c r="N4719" t="s">
        <v>44759</v>
      </c>
      <c r="O4719" t="s">
        <v>44760</v>
      </c>
      <c r="P4719">
        <v>0</v>
      </c>
      <c r="Q4719">
        <v>10</v>
      </c>
      <c r="R4719" t="s">
        <v>44763</v>
      </c>
      <c r="S4719" t="s">
        <v>44876</v>
      </c>
      <c r="T4719" t="s">
        <v>46403</v>
      </c>
      <c r="U4719" t="s">
        <v>50913</v>
      </c>
      <c r="W4719" t="s">
        <v>41708</v>
      </c>
      <c r="X4719" t="s">
        <v>44764</v>
      </c>
    </row>
    <row r="4720" spans="1:24">
      <c r="A4720">
        <f>HYPERLINK("https://www.philgeps.gov.ph/GEPSNONPILOT/Tender/SplashBidNoticeAbstractUI.aspx?menuIndex=3&amp;refID=7149149&amp;Result=3","7149149")</f>
        <v>0</v>
      </c>
      <c r="B4720" t="s">
        <v>1104</v>
      </c>
      <c r="C4720" t="s">
        <v>8221</v>
      </c>
      <c r="D4720" t="s">
        <v>17959</v>
      </c>
      <c r="E4720" t="s">
        <v>18608</v>
      </c>
      <c r="F4720" t="s">
        <v>30900</v>
      </c>
      <c r="G4720" t="s">
        <v>30907</v>
      </c>
      <c r="H4720" t="s">
        <v>7411</v>
      </c>
      <c r="I4720" t="s">
        <v>7411</v>
      </c>
      <c r="J4720" t="s">
        <v>34219</v>
      </c>
      <c r="K4720" t="s">
        <v>40292</v>
      </c>
      <c r="M4720" t="s">
        <v>41704</v>
      </c>
      <c r="N4720" t="s">
        <v>44759</v>
      </c>
      <c r="O4720" t="s">
        <v>44760</v>
      </c>
      <c r="P4720">
        <v>0</v>
      </c>
      <c r="Q4720">
        <v>4</v>
      </c>
      <c r="R4720" t="s">
        <v>44763</v>
      </c>
      <c r="S4720" t="s">
        <v>44876</v>
      </c>
      <c r="T4720" t="s">
        <v>46690</v>
      </c>
      <c r="U4720" t="s">
        <v>50914</v>
      </c>
      <c r="V4720" t="s">
        <v>59407</v>
      </c>
      <c r="W4720" t="s">
        <v>41704</v>
      </c>
      <c r="X4720" t="s">
        <v>44764</v>
      </c>
    </row>
    <row r="4721" spans="1:24">
      <c r="A4721">
        <f>HYPERLINK("https://www.philgeps.gov.ph/GEPSNONPILOT/Tender/SplashBidNoticeAbstractUI.aspx?menuIndex=3&amp;refID=7149137&amp;Result=3","7149137")</f>
        <v>0</v>
      </c>
      <c r="B4721" t="s">
        <v>1756</v>
      </c>
      <c r="C4721" t="s">
        <v>8123</v>
      </c>
      <c r="D4721" t="s">
        <v>17993</v>
      </c>
      <c r="E4721" t="s">
        <v>22288</v>
      </c>
      <c r="F4721" t="s">
        <v>30900</v>
      </c>
      <c r="G4721" t="s">
        <v>30907</v>
      </c>
      <c r="H4721" t="s">
        <v>30916</v>
      </c>
      <c r="I4721" t="s">
        <v>8123</v>
      </c>
      <c r="J4721" t="s">
        <v>31206</v>
      </c>
      <c r="K4721" t="s">
        <v>40287</v>
      </c>
      <c r="M4721" t="s">
        <v>42426</v>
      </c>
      <c r="N4721" t="s">
        <v>44759</v>
      </c>
      <c r="O4721" t="s">
        <v>44760</v>
      </c>
      <c r="P4721">
        <v>0</v>
      </c>
      <c r="Q4721">
        <v>0</v>
      </c>
      <c r="R4721" t="s">
        <v>44763</v>
      </c>
      <c r="S4721" t="s">
        <v>44876</v>
      </c>
      <c r="T4721" t="s">
        <v>46376</v>
      </c>
      <c r="U4721" t="s">
        <v>50915</v>
      </c>
      <c r="W4721" t="s">
        <v>42426</v>
      </c>
      <c r="X4721" t="s">
        <v>44764</v>
      </c>
    </row>
    <row r="4722" spans="1:24">
      <c r="A4722">
        <f>HYPERLINK("https://www.philgeps.gov.ph/GEPSNONPILOT/Tender/SplashBidNoticeAbstractUI.aspx?menuIndex=3&amp;refID=7149146&amp;Result=3","7149146")</f>
        <v>0</v>
      </c>
      <c r="B4722" t="s">
        <v>1110</v>
      </c>
      <c r="C4722" t="s">
        <v>8222</v>
      </c>
      <c r="D4722" t="s">
        <v>17957</v>
      </c>
      <c r="E4722" t="s">
        <v>22289</v>
      </c>
      <c r="F4722" t="s">
        <v>30900</v>
      </c>
      <c r="G4722" t="s">
        <v>30907</v>
      </c>
      <c r="H4722" t="s">
        <v>30915</v>
      </c>
      <c r="I4722" t="s">
        <v>30919</v>
      </c>
      <c r="J4722" t="s">
        <v>31270</v>
      </c>
      <c r="K4722" t="s">
        <v>40293</v>
      </c>
      <c r="M4722" t="s">
        <v>41710</v>
      </c>
      <c r="N4722" t="s">
        <v>44759</v>
      </c>
      <c r="O4722" t="s">
        <v>44760</v>
      </c>
      <c r="P4722">
        <v>0</v>
      </c>
      <c r="Q4722">
        <v>0</v>
      </c>
      <c r="R4722" t="s">
        <v>44763</v>
      </c>
      <c r="S4722" t="s">
        <v>44876</v>
      </c>
      <c r="T4722" t="s">
        <v>46453</v>
      </c>
      <c r="U4722" t="s">
        <v>50916</v>
      </c>
      <c r="W4722" t="s">
        <v>60850</v>
      </c>
      <c r="X4722" t="s">
        <v>44764</v>
      </c>
    </row>
    <row r="4723" spans="1:24">
      <c r="A4723">
        <f>HYPERLINK("https://www.philgeps.gov.ph/GEPSNONPILOT/Tender/SplashBidNoticeAbstractUI.aspx?menuIndex=3&amp;refID=7149144&amp;Result=3","7149144")</f>
        <v>0</v>
      </c>
      <c r="B4723" t="s">
        <v>624</v>
      </c>
      <c r="C4723" t="s">
        <v>8223</v>
      </c>
      <c r="D4723" t="s">
        <v>17977</v>
      </c>
      <c r="E4723" t="s">
        <v>20235</v>
      </c>
      <c r="F4723" t="s">
        <v>30900</v>
      </c>
      <c r="G4723" t="s">
        <v>30907</v>
      </c>
      <c r="H4723" t="s">
        <v>30915</v>
      </c>
      <c r="I4723" t="s">
        <v>30919</v>
      </c>
      <c r="J4723" t="s">
        <v>34220</v>
      </c>
      <c r="K4723" t="s">
        <v>40289</v>
      </c>
      <c r="M4723" t="s">
        <v>41186</v>
      </c>
      <c r="N4723" t="s">
        <v>44759</v>
      </c>
      <c r="O4723" t="s">
        <v>44760</v>
      </c>
      <c r="P4723">
        <v>0</v>
      </c>
      <c r="Q4723">
        <v>0</v>
      </c>
      <c r="R4723" t="s">
        <v>44763</v>
      </c>
      <c r="S4723" t="s">
        <v>44876</v>
      </c>
      <c r="T4723" t="s">
        <v>46475</v>
      </c>
      <c r="U4723" t="s">
        <v>50917</v>
      </c>
      <c r="W4723" t="s">
        <v>41186</v>
      </c>
      <c r="X4723" t="s">
        <v>44764</v>
      </c>
    </row>
    <row r="4724" spans="1:24">
      <c r="A4724">
        <f>HYPERLINK("https://www.philgeps.gov.ph/GEPSNONPILOT/Tender/SplashBidNoticeAbstractUI.aspx?menuIndex=3&amp;refID=7149136&amp;Result=3","7149136")</f>
        <v>0</v>
      </c>
      <c r="B4724" t="s">
        <v>1752</v>
      </c>
      <c r="C4724" t="s">
        <v>8224</v>
      </c>
      <c r="D4724" t="s">
        <v>17994</v>
      </c>
      <c r="E4724" t="s">
        <v>22290</v>
      </c>
      <c r="F4724" t="s">
        <v>30900</v>
      </c>
      <c r="G4724" t="s">
        <v>30908</v>
      </c>
      <c r="H4724" t="s">
        <v>30916</v>
      </c>
      <c r="I4724" t="s">
        <v>30934</v>
      </c>
      <c r="J4724" t="s">
        <v>31298</v>
      </c>
      <c r="K4724" t="s">
        <v>40289</v>
      </c>
      <c r="M4724" t="s">
        <v>42421</v>
      </c>
      <c r="N4724" t="s">
        <v>44759</v>
      </c>
      <c r="O4724" t="s">
        <v>44760</v>
      </c>
      <c r="P4724">
        <v>0</v>
      </c>
      <c r="Q4724">
        <v>1</v>
      </c>
      <c r="R4724" t="s">
        <v>44763</v>
      </c>
      <c r="S4724" t="s">
        <v>44876</v>
      </c>
      <c r="T4724" t="s">
        <v>46374</v>
      </c>
      <c r="U4724" t="s">
        <v>50918</v>
      </c>
      <c r="W4724" t="s">
        <v>42421</v>
      </c>
      <c r="X4724" t="s">
        <v>44764</v>
      </c>
    </row>
    <row r="4725" spans="1:24">
      <c r="A4725">
        <f>HYPERLINK("https://www.philgeps.gov.ph/GEPSNONPILOT/Tender/SplashBidNoticeAbstractUI.aspx?menuIndex=3&amp;refID=7149143&amp;Result=3","7149143")</f>
        <v>0</v>
      </c>
      <c r="B4725" t="s">
        <v>1756</v>
      </c>
      <c r="C4725" t="s">
        <v>8123</v>
      </c>
      <c r="D4725" t="s">
        <v>17993</v>
      </c>
      <c r="E4725" t="s">
        <v>22291</v>
      </c>
      <c r="F4725" t="s">
        <v>30900</v>
      </c>
      <c r="G4725" t="s">
        <v>30907</v>
      </c>
      <c r="H4725" t="s">
        <v>30916</v>
      </c>
      <c r="I4725" t="s">
        <v>8123</v>
      </c>
      <c r="J4725" t="s">
        <v>31206</v>
      </c>
      <c r="K4725" t="s">
        <v>40287</v>
      </c>
      <c r="M4725" t="s">
        <v>42426</v>
      </c>
      <c r="N4725" t="s">
        <v>44759</v>
      </c>
      <c r="O4725" t="s">
        <v>44760</v>
      </c>
      <c r="P4725">
        <v>0</v>
      </c>
      <c r="Q4725">
        <v>0</v>
      </c>
      <c r="R4725" t="s">
        <v>44763</v>
      </c>
      <c r="S4725" t="s">
        <v>44876</v>
      </c>
      <c r="T4725" t="s">
        <v>46376</v>
      </c>
      <c r="U4725" t="s">
        <v>50919</v>
      </c>
      <c r="W4725" t="s">
        <v>42426</v>
      </c>
      <c r="X4725" t="s">
        <v>44764</v>
      </c>
    </row>
    <row r="4726" spans="1:24">
      <c r="A4726">
        <f>HYPERLINK("https://www.philgeps.gov.ph/GEPSNONPILOT/Tender/SplashBidNoticeAbstractUI.aspx?menuIndex=3&amp;refID=7149133&amp;Result=3","7149133")</f>
        <v>0</v>
      </c>
      <c r="B4726" t="s">
        <v>1752</v>
      </c>
      <c r="C4726" t="s">
        <v>8225</v>
      </c>
      <c r="D4726" t="s">
        <v>17994</v>
      </c>
      <c r="E4726" t="s">
        <v>22292</v>
      </c>
      <c r="F4726" t="s">
        <v>30900</v>
      </c>
      <c r="G4726" t="s">
        <v>30908</v>
      </c>
      <c r="H4726" t="s">
        <v>30916</v>
      </c>
      <c r="I4726" t="s">
        <v>30934</v>
      </c>
      <c r="J4726" t="s">
        <v>34221</v>
      </c>
      <c r="K4726" t="s">
        <v>40289</v>
      </c>
      <c r="M4726" t="s">
        <v>42421</v>
      </c>
      <c r="N4726" t="s">
        <v>44759</v>
      </c>
      <c r="O4726" t="s">
        <v>44760</v>
      </c>
      <c r="P4726">
        <v>0</v>
      </c>
      <c r="Q4726">
        <v>2</v>
      </c>
      <c r="R4726" t="s">
        <v>44763</v>
      </c>
      <c r="S4726" t="s">
        <v>44876</v>
      </c>
      <c r="T4726" t="s">
        <v>46374</v>
      </c>
      <c r="U4726" t="s">
        <v>50920</v>
      </c>
      <c r="W4726" t="s">
        <v>42421</v>
      </c>
      <c r="X4726" t="s">
        <v>44764</v>
      </c>
    </row>
    <row r="4727" spans="1:24">
      <c r="A4727">
        <f>HYPERLINK("https://www.philgeps.gov.ph/GEPSNONPILOT/Tender/SplashBidNoticeAbstractUI.aspx?menuIndex=3&amp;refID=7149169&amp;Result=3","7149169")</f>
        <v>0</v>
      </c>
      <c r="B4727" t="s">
        <v>1750</v>
      </c>
      <c r="C4727" t="s">
        <v>8226</v>
      </c>
      <c r="D4727" t="s">
        <v>17966</v>
      </c>
      <c r="E4727" t="s">
        <v>22293</v>
      </c>
      <c r="F4727" t="s">
        <v>30900</v>
      </c>
      <c r="G4727" t="s">
        <v>30907</v>
      </c>
      <c r="H4727" t="s">
        <v>30915</v>
      </c>
      <c r="I4727" t="s">
        <v>30919</v>
      </c>
      <c r="J4727" t="s">
        <v>34222</v>
      </c>
      <c r="K4727" t="s">
        <v>40407</v>
      </c>
      <c r="M4727" t="s">
        <v>42419</v>
      </c>
      <c r="N4727" t="s">
        <v>44759</v>
      </c>
      <c r="O4727" t="s">
        <v>44760</v>
      </c>
      <c r="P4727">
        <v>0</v>
      </c>
      <c r="Q4727">
        <v>0</v>
      </c>
      <c r="R4727" t="s">
        <v>44763</v>
      </c>
      <c r="S4727" t="s">
        <v>44876</v>
      </c>
      <c r="T4727" t="s">
        <v>46691</v>
      </c>
      <c r="U4727" t="s">
        <v>50921</v>
      </c>
      <c r="W4727" t="s">
        <v>60874</v>
      </c>
      <c r="X4727" t="s">
        <v>44764</v>
      </c>
    </row>
    <row r="4728" spans="1:24">
      <c r="A4728">
        <f>HYPERLINK("https://www.philgeps.gov.ph/GEPSNONPILOT/Tender/SplashBidNoticeAbstractUI.aspx?menuIndex=3&amp;refID=7149139&amp;Result=3","7149139")</f>
        <v>0</v>
      </c>
      <c r="B4728" t="s">
        <v>1756</v>
      </c>
      <c r="C4728" t="s">
        <v>8123</v>
      </c>
      <c r="D4728" t="s">
        <v>17993</v>
      </c>
      <c r="E4728" t="s">
        <v>22294</v>
      </c>
      <c r="F4728" t="s">
        <v>30900</v>
      </c>
      <c r="G4728" t="s">
        <v>30907</v>
      </c>
      <c r="H4728" t="s">
        <v>30916</v>
      </c>
      <c r="I4728" t="s">
        <v>8123</v>
      </c>
      <c r="J4728" t="s">
        <v>31206</v>
      </c>
      <c r="K4728" t="s">
        <v>40287</v>
      </c>
      <c r="M4728" t="s">
        <v>42426</v>
      </c>
      <c r="N4728" t="s">
        <v>44759</v>
      </c>
      <c r="O4728" t="s">
        <v>44760</v>
      </c>
      <c r="P4728">
        <v>0</v>
      </c>
      <c r="Q4728">
        <v>0</v>
      </c>
      <c r="R4728" t="s">
        <v>44763</v>
      </c>
      <c r="S4728" t="s">
        <v>44876</v>
      </c>
      <c r="T4728" t="s">
        <v>46376</v>
      </c>
      <c r="U4728" t="s">
        <v>50922</v>
      </c>
      <c r="W4728" t="s">
        <v>42426</v>
      </c>
      <c r="X4728" t="s">
        <v>44764</v>
      </c>
    </row>
    <row r="4729" spans="1:24">
      <c r="A4729">
        <f>HYPERLINK("https://www.philgeps.gov.ph/GEPSNONPILOT/Tender/SplashBidNoticeAbstractUI.aspx?menuIndex=3&amp;refID=7149177&amp;Result=3","7149177")</f>
        <v>0</v>
      </c>
      <c r="B4729" t="s">
        <v>1758</v>
      </c>
      <c r="C4729" t="s">
        <v>8227</v>
      </c>
      <c r="D4729" t="s">
        <v>17959</v>
      </c>
      <c r="E4729" t="s">
        <v>22295</v>
      </c>
      <c r="F4729" t="s">
        <v>30900</v>
      </c>
      <c r="G4729" t="s">
        <v>30907</v>
      </c>
      <c r="H4729" t="s">
        <v>30916</v>
      </c>
      <c r="I4729" t="s">
        <v>31020</v>
      </c>
      <c r="J4729" t="s">
        <v>31152</v>
      </c>
      <c r="K4729" t="s">
        <v>40286</v>
      </c>
      <c r="M4729" t="s">
        <v>42428</v>
      </c>
      <c r="N4729" t="s">
        <v>44759</v>
      </c>
      <c r="O4729" t="s">
        <v>44760</v>
      </c>
      <c r="P4729">
        <v>0</v>
      </c>
      <c r="Q4729">
        <v>0</v>
      </c>
      <c r="R4729" t="s">
        <v>44763</v>
      </c>
      <c r="S4729" t="s">
        <v>44876</v>
      </c>
      <c r="T4729" t="s">
        <v>46554</v>
      </c>
      <c r="U4729" t="s">
        <v>50923</v>
      </c>
      <c r="V4729" t="s">
        <v>59617</v>
      </c>
      <c r="W4729" t="s">
        <v>42428</v>
      </c>
      <c r="X4729" t="s">
        <v>44764</v>
      </c>
    </row>
    <row r="4730" spans="1:24">
      <c r="A4730">
        <f>HYPERLINK("https://www.philgeps.gov.ph/GEPSNONPILOT/Tender/SplashBidNoticeAbstractUI.aspx?menuIndex=3&amp;refID=7149138&amp;Result=3","7149138")</f>
        <v>0</v>
      </c>
      <c r="B4730" t="s">
        <v>1104</v>
      </c>
      <c r="C4730" t="s">
        <v>8228</v>
      </c>
      <c r="D4730" t="s">
        <v>17959</v>
      </c>
      <c r="E4730" t="s">
        <v>18484</v>
      </c>
      <c r="F4730" t="s">
        <v>30900</v>
      </c>
      <c r="G4730" t="s">
        <v>30907</v>
      </c>
      <c r="H4730" t="s">
        <v>7411</v>
      </c>
      <c r="I4730" t="s">
        <v>7411</v>
      </c>
      <c r="J4730" t="s">
        <v>32324</v>
      </c>
      <c r="K4730" t="s">
        <v>40292</v>
      </c>
      <c r="M4730" t="s">
        <v>41704</v>
      </c>
      <c r="N4730" t="s">
        <v>44759</v>
      </c>
      <c r="O4730" t="s">
        <v>44760</v>
      </c>
      <c r="P4730">
        <v>0</v>
      </c>
      <c r="Q4730">
        <v>7</v>
      </c>
      <c r="R4730" t="s">
        <v>44763</v>
      </c>
      <c r="S4730" t="s">
        <v>44876</v>
      </c>
      <c r="T4730" t="s">
        <v>46692</v>
      </c>
      <c r="U4730" t="s">
        <v>50924</v>
      </c>
      <c r="V4730" t="s">
        <v>59407</v>
      </c>
      <c r="W4730" t="s">
        <v>41704</v>
      </c>
      <c r="X4730" t="s">
        <v>44764</v>
      </c>
    </row>
    <row r="4731" spans="1:24">
      <c r="A4731">
        <f>HYPERLINK("https://www.philgeps.gov.ph/GEPSNONPILOT/Tender/SplashBidNoticeAbstractUI.aspx?menuIndex=3&amp;refID=7149113&amp;Result=3","7149113")</f>
        <v>0</v>
      </c>
      <c r="B4731" t="s">
        <v>1162</v>
      </c>
      <c r="C4731" t="s">
        <v>8229</v>
      </c>
      <c r="E4731" t="s">
        <v>22296</v>
      </c>
      <c r="F4731" t="s">
        <v>30900</v>
      </c>
      <c r="G4731" t="s">
        <v>30908</v>
      </c>
      <c r="H4731" t="s">
        <v>30916</v>
      </c>
      <c r="I4731" t="s">
        <v>4454</v>
      </c>
      <c r="J4731" t="s">
        <v>34223</v>
      </c>
      <c r="K4731" t="s">
        <v>40287</v>
      </c>
      <c r="M4731" t="s">
        <v>42406</v>
      </c>
      <c r="N4731" t="s">
        <v>44759</v>
      </c>
      <c r="O4731" t="s">
        <v>44760</v>
      </c>
      <c r="P4731">
        <v>0</v>
      </c>
      <c r="Q4731">
        <v>0</v>
      </c>
      <c r="R4731" t="s">
        <v>44763</v>
      </c>
      <c r="S4731" t="s">
        <v>44876</v>
      </c>
      <c r="T4731" t="s">
        <v>46403</v>
      </c>
      <c r="U4731" t="s">
        <v>50925</v>
      </c>
      <c r="V4731" t="s">
        <v>59610</v>
      </c>
      <c r="W4731" t="s">
        <v>42406</v>
      </c>
      <c r="X4731" t="s">
        <v>44764</v>
      </c>
    </row>
    <row r="4732" spans="1:24">
      <c r="A4732">
        <f>HYPERLINK("https://www.philgeps.gov.ph/GEPSNONPILOT/Tender/SplashBidNoticeAbstractUI.aspx?menuIndex=3&amp;refID=7149176&amp;Result=3","7149176")</f>
        <v>0</v>
      </c>
      <c r="B4732" t="s">
        <v>1759</v>
      </c>
      <c r="C4732" t="s">
        <v>5458</v>
      </c>
      <c r="D4732" t="s">
        <v>17972</v>
      </c>
      <c r="E4732" t="s">
        <v>18158</v>
      </c>
      <c r="F4732" t="s">
        <v>30900</v>
      </c>
      <c r="G4732" t="s">
        <v>30907</v>
      </c>
      <c r="H4732" t="s">
        <v>30916</v>
      </c>
      <c r="I4732" t="s">
        <v>8123</v>
      </c>
      <c r="J4732" t="s">
        <v>34224</v>
      </c>
      <c r="K4732" t="s">
        <v>40286</v>
      </c>
      <c r="M4732" t="s">
        <v>42429</v>
      </c>
      <c r="N4732" t="s">
        <v>44759</v>
      </c>
      <c r="O4732" t="s">
        <v>44760</v>
      </c>
      <c r="P4732">
        <v>0</v>
      </c>
      <c r="Q4732">
        <v>1</v>
      </c>
      <c r="R4732" t="s">
        <v>44763</v>
      </c>
      <c r="S4732" t="s">
        <v>44876</v>
      </c>
      <c r="T4732" t="s">
        <v>46429</v>
      </c>
      <c r="U4732" t="s">
        <v>49021</v>
      </c>
      <c r="W4732" t="s">
        <v>42429</v>
      </c>
      <c r="X4732" t="s">
        <v>44764</v>
      </c>
    </row>
    <row r="4733" spans="1:24">
      <c r="A4733">
        <f>HYPERLINK("https://www.philgeps.gov.ph/GEPSNONPILOT/Tender/SplashBidNoticeAbstractUI.aspx?menuIndex=3&amp;refID=7149135&amp;Result=3","7149135")</f>
        <v>0</v>
      </c>
      <c r="B4733" t="s">
        <v>1628</v>
      </c>
      <c r="C4733" t="s">
        <v>8230</v>
      </c>
      <c r="D4733" t="s">
        <v>18000</v>
      </c>
      <c r="E4733" t="s">
        <v>22297</v>
      </c>
      <c r="F4733" t="s">
        <v>30900</v>
      </c>
      <c r="G4733" t="s">
        <v>30908</v>
      </c>
      <c r="H4733" t="s">
        <v>30916</v>
      </c>
      <c r="I4733" t="s">
        <v>30921</v>
      </c>
      <c r="J4733" t="s">
        <v>31049</v>
      </c>
      <c r="K4733" t="s">
        <v>40291</v>
      </c>
      <c r="M4733" t="s">
        <v>42280</v>
      </c>
      <c r="N4733" t="s">
        <v>44759</v>
      </c>
      <c r="O4733" t="s">
        <v>44760</v>
      </c>
      <c r="P4733">
        <v>0</v>
      </c>
      <c r="Q4733">
        <v>1</v>
      </c>
      <c r="R4733" t="s">
        <v>44763</v>
      </c>
      <c r="S4733" t="s">
        <v>44876</v>
      </c>
      <c r="T4733" t="s">
        <v>46399</v>
      </c>
      <c r="U4733" t="s">
        <v>50926</v>
      </c>
      <c r="W4733" t="s">
        <v>42280</v>
      </c>
      <c r="X4733" t="s">
        <v>44764</v>
      </c>
    </row>
    <row r="4734" spans="1:24">
      <c r="A4734">
        <f>HYPERLINK("https://www.philgeps.gov.ph/GEPSNONPILOT/Tender/SplashBidNoticeAbstractUI.aspx?menuIndex=3&amp;refID=7149172&amp;Result=3","7149172")</f>
        <v>0</v>
      </c>
      <c r="B4734" t="s">
        <v>1750</v>
      </c>
      <c r="C4734" t="s">
        <v>8231</v>
      </c>
      <c r="D4734" t="s">
        <v>17966</v>
      </c>
      <c r="E4734" t="s">
        <v>22298</v>
      </c>
      <c r="F4734" t="s">
        <v>30900</v>
      </c>
      <c r="G4734" t="s">
        <v>30907</v>
      </c>
      <c r="H4734" t="s">
        <v>30915</v>
      </c>
      <c r="I4734" t="s">
        <v>30919</v>
      </c>
      <c r="J4734" t="s">
        <v>31241</v>
      </c>
      <c r="K4734" t="s">
        <v>40392</v>
      </c>
      <c r="M4734" t="s">
        <v>42419</v>
      </c>
      <c r="N4734" t="s">
        <v>44759</v>
      </c>
      <c r="O4734" t="s">
        <v>44760</v>
      </c>
      <c r="P4734">
        <v>0</v>
      </c>
      <c r="Q4734">
        <v>0</v>
      </c>
      <c r="R4734" t="s">
        <v>44763</v>
      </c>
      <c r="S4734" t="s">
        <v>44876</v>
      </c>
      <c r="T4734" t="s">
        <v>46691</v>
      </c>
      <c r="U4734" t="s">
        <v>50927</v>
      </c>
      <c r="W4734" t="s">
        <v>60874</v>
      </c>
      <c r="X4734" t="s">
        <v>44764</v>
      </c>
    </row>
    <row r="4735" spans="1:24">
      <c r="A4735">
        <f>HYPERLINK("https://www.philgeps.gov.ph/GEPSNONPILOT/Tender/SplashBidNoticeAbstractUI.aspx?menuIndex=3&amp;refID=7149170&amp;Result=3","7149170")</f>
        <v>0</v>
      </c>
      <c r="B4735" t="s">
        <v>1212</v>
      </c>
      <c r="C4735" t="s">
        <v>8232</v>
      </c>
      <c r="D4735" t="s">
        <v>17952</v>
      </c>
      <c r="E4735" t="s">
        <v>19010</v>
      </c>
      <c r="F4735" t="s">
        <v>30900</v>
      </c>
      <c r="G4735" t="s">
        <v>30907</v>
      </c>
      <c r="H4735" t="s">
        <v>30915</v>
      </c>
      <c r="I4735" t="s">
        <v>30971</v>
      </c>
      <c r="J4735" t="s">
        <v>34225</v>
      </c>
      <c r="K4735" t="s">
        <v>40292</v>
      </c>
      <c r="M4735" t="s">
        <v>41824</v>
      </c>
      <c r="N4735" t="s">
        <v>44759</v>
      </c>
      <c r="O4735" t="s">
        <v>44760</v>
      </c>
      <c r="P4735">
        <v>0</v>
      </c>
      <c r="Q4735">
        <v>0</v>
      </c>
      <c r="R4735" t="s">
        <v>44763</v>
      </c>
      <c r="S4735" t="s">
        <v>44876</v>
      </c>
      <c r="T4735" t="s">
        <v>46395</v>
      </c>
      <c r="U4735" t="s">
        <v>50928</v>
      </c>
      <c r="W4735" t="s">
        <v>41824</v>
      </c>
      <c r="X4735" t="s">
        <v>44764</v>
      </c>
    </row>
    <row r="4736" spans="1:24">
      <c r="A4736">
        <f>HYPERLINK("https://www.philgeps.gov.ph/GEPSNONPILOT/Tender/SplashBidNoticeAbstractUI.aspx?menuIndex=3&amp;refID=7149178&amp;Result=3","7149178")</f>
        <v>0</v>
      </c>
      <c r="B4736" t="s">
        <v>1760</v>
      </c>
      <c r="C4736" t="s">
        <v>8233</v>
      </c>
      <c r="D4736" t="s">
        <v>17999</v>
      </c>
      <c r="E4736" t="s">
        <v>22299</v>
      </c>
      <c r="F4736" t="s">
        <v>30900</v>
      </c>
      <c r="G4736" t="s">
        <v>30907</v>
      </c>
      <c r="H4736" t="s">
        <v>30916</v>
      </c>
      <c r="I4736" t="s">
        <v>30942</v>
      </c>
      <c r="J4736" t="s">
        <v>34226</v>
      </c>
      <c r="K4736" t="s">
        <v>40289</v>
      </c>
      <c r="M4736" t="s">
        <v>42430</v>
      </c>
      <c r="N4736" t="s">
        <v>44759</v>
      </c>
      <c r="O4736" t="s">
        <v>44760</v>
      </c>
      <c r="P4736">
        <v>0</v>
      </c>
      <c r="Q4736">
        <v>0</v>
      </c>
      <c r="R4736" t="s">
        <v>44763</v>
      </c>
      <c r="S4736" t="s">
        <v>44876</v>
      </c>
      <c r="T4736" t="s">
        <v>46553</v>
      </c>
      <c r="U4736" t="s">
        <v>50929</v>
      </c>
      <c r="W4736" t="s">
        <v>42430</v>
      </c>
      <c r="X4736" t="s">
        <v>44764</v>
      </c>
    </row>
    <row r="4737" spans="1:24">
      <c r="A4737">
        <f>HYPERLINK("https://www.philgeps.gov.ph/GEPSNONPILOT/Tender/SplashBidNoticeAbstractUI.aspx?menuIndex=3&amp;refID=7149167&amp;Result=3","7149167")</f>
        <v>0</v>
      </c>
      <c r="B4737" t="s">
        <v>1759</v>
      </c>
      <c r="C4737" t="s">
        <v>8234</v>
      </c>
      <c r="D4737" t="s">
        <v>17972</v>
      </c>
      <c r="E4737" t="s">
        <v>18282</v>
      </c>
      <c r="F4737" t="s">
        <v>30900</v>
      </c>
      <c r="G4737" t="s">
        <v>30907</v>
      </c>
      <c r="H4737" t="s">
        <v>30916</v>
      </c>
      <c r="I4737" t="s">
        <v>4050</v>
      </c>
      <c r="J4737" t="s">
        <v>34227</v>
      </c>
      <c r="K4737" t="s">
        <v>40286</v>
      </c>
      <c r="M4737" t="s">
        <v>42429</v>
      </c>
      <c r="N4737" t="s">
        <v>44759</v>
      </c>
      <c r="O4737" t="s">
        <v>44760</v>
      </c>
      <c r="P4737">
        <v>0</v>
      </c>
      <c r="Q4737">
        <v>0</v>
      </c>
      <c r="R4737" t="s">
        <v>44763</v>
      </c>
      <c r="S4737" t="s">
        <v>44876</v>
      </c>
      <c r="T4737" t="s">
        <v>46429</v>
      </c>
      <c r="U4737" t="s">
        <v>50930</v>
      </c>
      <c r="W4737" t="s">
        <v>42429</v>
      </c>
      <c r="X4737" t="s">
        <v>44764</v>
      </c>
    </row>
    <row r="4738" spans="1:24">
      <c r="A4738">
        <f>HYPERLINK("https://www.philgeps.gov.ph/GEPSNONPILOT/Tender/SplashBidNoticeAbstractUI.aspx?menuIndex=3&amp;refID=7149166&amp;Result=3","7149166")</f>
        <v>0</v>
      </c>
      <c r="B4738" t="s">
        <v>1750</v>
      </c>
      <c r="C4738" t="s">
        <v>8235</v>
      </c>
      <c r="D4738" t="s">
        <v>17966</v>
      </c>
      <c r="E4738" t="s">
        <v>22300</v>
      </c>
      <c r="F4738" t="s">
        <v>30900</v>
      </c>
      <c r="G4738" t="s">
        <v>30907</v>
      </c>
      <c r="H4738" t="s">
        <v>30915</v>
      </c>
      <c r="I4738" t="s">
        <v>30919</v>
      </c>
      <c r="J4738" t="s">
        <v>34228</v>
      </c>
      <c r="K4738" t="s">
        <v>40341</v>
      </c>
      <c r="M4738" t="s">
        <v>42419</v>
      </c>
      <c r="N4738" t="s">
        <v>44759</v>
      </c>
      <c r="O4738" t="s">
        <v>44760</v>
      </c>
      <c r="P4738">
        <v>0</v>
      </c>
      <c r="Q4738">
        <v>0</v>
      </c>
      <c r="R4738" t="s">
        <v>44763</v>
      </c>
      <c r="S4738" t="s">
        <v>44876</v>
      </c>
      <c r="T4738" t="s">
        <v>46693</v>
      </c>
      <c r="U4738" t="s">
        <v>50931</v>
      </c>
      <c r="W4738" t="s">
        <v>60874</v>
      </c>
      <c r="X4738" t="s">
        <v>44764</v>
      </c>
    </row>
    <row r="4739" spans="1:24">
      <c r="A4739">
        <f>HYPERLINK("https://www.philgeps.gov.ph/GEPSNONPILOT/Tender/SplashBidNoticeAbstractUI.aspx?menuIndex=3&amp;refID=7149165&amp;Result=3","7149165")</f>
        <v>0</v>
      </c>
      <c r="B4739" t="s">
        <v>1761</v>
      </c>
      <c r="C4739" t="s">
        <v>8236</v>
      </c>
      <c r="E4739" t="s">
        <v>22301</v>
      </c>
      <c r="F4739" t="s">
        <v>30900</v>
      </c>
      <c r="G4739" t="s">
        <v>30909</v>
      </c>
      <c r="H4739" t="s">
        <v>30916</v>
      </c>
      <c r="I4739" t="s">
        <v>10834</v>
      </c>
      <c r="J4739" t="s">
        <v>31098</v>
      </c>
      <c r="K4739" t="s">
        <v>40288</v>
      </c>
      <c r="M4739" t="s">
        <v>42431</v>
      </c>
      <c r="N4739" t="s">
        <v>44759</v>
      </c>
      <c r="O4739" t="s">
        <v>44760</v>
      </c>
      <c r="P4739">
        <v>0</v>
      </c>
      <c r="Q4739">
        <v>2</v>
      </c>
      <c r="R4739" t="s">
        <v>44763</v>
      </c>
      <c r="S4739" t="s">
        <v>44876</v>
      </c>
      <c r="T4739" t="s">
        <v>46391</v>
      </c>
      <c r="U4739" t="s">
        <v>50932</v>
      </c>
      <c r="W4739" t="s">
        <v>42431</v>
      </c>
      <c r="X4739" t="s">
        <v>44764</v>
      </c>
    </row>
    <row r="4740" spans="1:24">
      <c r="A4740">
        <f>HYPERLINK("https://www.philgeps.gov.ph/GEPSNONPILOT/Tender/SplashBidNoticeAbstractUI.aspx?menuIndex=3&amp;refID=7149162&amp;Result=3","7149162")</f>
        <v>0</v>
      </c>
      <c r="B4740" t="s">
        <v>1762</v>
      </c>
      <c r="C4740" t="s">
        <v>8237</v>
      </c>
      <c r="D4740" t="s">
        <v>17970</v>
      </c>
      <c r="E4740" t="s">
        <v>22302</v>
      </c>
      <c r="F4740" t="s">
        <v>30900</v>
      </c>
      <c r="G4740" t="s">
        <v>30908</v>
      </c>
      <c r="H4740" t="s">
        <v>30916</v>
      </c>
      <c r="I4740" t="s">
        <v>6953</v>
      </c>
      <c r="J4740" t="s">
        <v>34229</v>
      </c>
      <c r="K4740" t="s">
        <v>40288</v>
      </c>
      <c r="M4740" t="s">
        <v>42432</v>
      </c>
      <c r="N4740" t="s">
        <v>44759</v>
      </c>
      <c r="O4740" t="s">
        <v>44760</v>
      </c>
      <c r="P4740">
        <v>0</v>
      </c>
      <c r="Q4740">
        <v>0</v>
      </c>
      <c r="R4740" t="s">
        <v>44763</v>
      </c>
      <c r="S4740" t="s">
        <v>44876</v>
      </c>
      <c r="T4740" t="s">
        <v>46533</v>
      </c>
      <c r="U4740" t="s">
        <v>50933</v>
      </c>
      <c r="W4740" t="s">
        <v>42432</v>
      </c>
      <c r="X4740" t="s">
        <v>44764</v>
      </c>
    </row>
    <row r="4741" spans="1:24">
      <c r="A4741">
        <f>HYPERLINK("https://www.philgeps.gov.ph/GEPSNONPILOT/Tender/SplashBidNoticeAbstractUI.aspx?menuIndex=3&amp;refID=7149132&amp;Result=3","7149132")</f>
        <v>0</v>
      </c>
      <c r="B4741" t="s">
        <v>1110</v>
      </c>
      <c r="C4741" t="s">
        <v>8238</v>
      </c>
      <c r="D4741" t="s">
        <v>17957</v>
      </c>
      <c r="E4741" t="s">
        <v>22303</v>
      </c>
      <c r="F4741" t="s">
        <v>30900</v>
      </c>
      <c r="G4741" t="s">
        <v>30907</v>
      </c>
      <c r="H4741" t="s">
        <v>30915</v>
      </c>
      <c r="I4741" t="s">
        <v>30919</v>
      </c>
      <c r="J4741" t="s">
        <v>31152</v>
      </c>
      <c r="K4741" t="s">
        <v>40293</v>
      </c>
      <c r="M4741" t="s">
        <v>41710</v>
      </c>
      <c r="N4741" t="s">
        <v>44759</v>
      </c>
      <c r="O4741" t="s">
        <v>44760</v>
      </c>
      <c r="P4741">
        <v>0</v>
      </c>
      <c r="Q4741">
        <v>0</v>
      </c>
      <c r="R4741" t="s">
        <v>44763</v>
      </c>
      <c r="S4741" t="s">
        <v>44876</v>
      </c>
      <c r="T4741" t="s">
        <v>46453</v>
      </c>
      <c r="U4741" t="s">
        <v>50934</v>
      </c>
      <c r="W4741" t="s">
        <v>60850</v>
      </c>
      <c r="X4741" t="s">
        <v>44764</v>
      </c>
    </row>
    <row r="4742" spans="1:24">
      <c r="A4742">
        <f>HYPERLINK("https://www.philgeps.gov.ph/GEPSNONPILOT/Tender/SplashBidNoticeAbstractUI.aspx?menuIndex=3&amp;refID=7149168&amp;Result=3","7149168")</f>
        <v>0</v>
      </c>
      <c r="B4742" t="s">
        <v>1763</v>
      </c>
      <c r="C4742" t="s">
        <v>8239</v>
      </c>
      <c r="D4742" t="s">
        <v>17955</v>
      </c>
      <c r="E4742" t="s">
        <v>18158</v>
      </c>
      <c r="F4742" t="s">
        <v>30900</v>
      </c>
      <c r="G4742" t="s">
        <v>30907</v>
      </c>
      <c r="H4742" t="s">
        <v>30915</v>
      </c>
      <c r="I4742" t="s">
        <v>30919</v>
      </c>
      <c r="J4742" t="s">
        <v>34230</v>
      </c>
      <c r="K4742" t="s">
        <v>40287</v>
      </c>
      <c r="M4742" t="s">
        <v>42433</v>
      </c>
      <c r="N4742" t="s">
        <v>44759</v>
      </c>
      <c r="O4742" t="s">
        <v>44760</v>
      </c>
      <c r="P4742">
        <v>0</v>
      </c>
      <c r="Q4742">
        <v>0</v>
      </c>
      <c r="R4742" t="s">
        <v>44763</v>
      </c>
      <c r="S4742" t="s">
        <v>44876</v>
      </c>
      <c r="T4742" t="s">
        <v>46444</v>
      </c>
      <c r="U4742" t="s">
        <v>50935</v>
      </c>
      <c r="W4742" t="s">
        <v>42433</v>
      </c>
      <c r="X4742" t="s">
        <v>44764</v>
      </c>
    </row>
    <row r="4743" spans="1:24">
      <c r="A4743">
        <f>HYPERLINK("https://www.philgeps.gov.ph/GEPSNONPILOT/Tender/SplashBidNoticeAbstractUI.aspx?menuIndex=3&amp;refID=7149156&amp;Result=3","7149156")</f>
        <v>0</v>
      </c>
      <c r="B4743" t="s">
        <v>1066</v>
      </c>
      <c r="C4743" t="s">
        <v>4532</v>
      </c>
      <c r="D4743" t="s">
        <v>17970</v>
      </c>
      <c r="E4743" t="s">
        <v>22304</v>
      </c>
      <c r="F4743" t="s">
        <v>30900</v>
      </c>
      <c r="G4743" t="s">
        <v>30910</v>
      </c>
      <c r="H4743" t="s">
        <v>30916</v>
      </c>
      <c r="I4743" t="s">
        <v>4142</v>
      </c>
      <c r="J4743" t="s">
        <v>34231</v>
      </c>
      <c r="K4743" t="s">
        <v>40288</v>
      </c>
      <c r="M4743" t="s">
        <v>41663</v>
      </c>
      <c r="N4743" t="s">
        <v>44759</v>
      </c>
      <c r="O4743" t="s">
        <v>44760</v>
      </c>
      <c r="P4743">
        <v>0</v>
      </c>
      <c r="Q4743">
        <v>0</v>
      </c>
      <c r="R4743" t="s">
        <v>44763</v>
      </c>
      <c r="S4743" t="s">
        <v>44876</v>
      </c>
      <c r="T4743" t="s">
        <v>46533</v>
      </c>
      <c r="U4743" t="s">
        <v>50936</v>
      </c>
      <c r="W4743" t="s">
        <v>41663</v>
      </c>
      <c r="X4743" t="s">
        <v>44764</v>
      </c>
    </row>
    <row r="4744" spans="1:24">
      <c r="A4744">
        <f>HYPERLINK("https://www.philgeps.gov.ph/GEPSNONPILOT/Tender/SplashBidNoticeAbstractUI.aspx?menuIndex=3&amp;refID=7149155&amp;Result=3","7149155")</f>
        <v>0</v>
      </c>
      <c r="B4744" t="s">
        <v>1110</v>
      </c>
      <c r="C4744" t="s">
        <v>8240</v>
      </c>
      <c r="D4744" t="s">
        <v>17957</v>
      </c>
      <c r="E4744" t="s">
        <v>22305</v>
      </c>
      <c r="F4744" t="s">
        <v>30900</v>
      </c>
      <c r="G4744" t="s">
        <v>30907</v>
      </c>
      <c r="H4744" t="s">
        <v>30915</v>
      </c>
      <c r="I4744" t="s">
        <v>30919</v>
      </c>
      <c r="J4744" t="s">
        <v>31066</v>
      </c>
      <c r="K4744" t="s">
        <v>40286</v>
      </c>
      <c r="M4744" t="s">
        <v>41710</v>
      </c>
      <c r="N4744" t="s">
        <v>44759</v>
      </c>
      <c r="O4744" t="s">
        <v>44760</v>
      </c>
      <c r="P4744">
        <v>0</v>
      </c>
      <c r="Q4744">
        <v>0</v>
      </c>
      <c r="R4744" t="s">
        <v>44763</v>
      </c>
      <c r="S4744" t="s">
        <v>44876</v>
      </c>
      <c r="T4744" t="s">
        <v>46453</v>
      </c>
      <c r="U4744" t="s">
        <v>50937</v>
      </c>
      <c r="W4744" t="s">
        <v>60850</v>
      </c>
      <c r="X4744" t="s">
        <v>44764</v>
      </c>
    </row>
    <row r="4745" spans="1:24">
      <c r="A4745">
        <f>HYPERLINK("https://www.philgeps.gov.ph/GEPSNONPILOT/Tender/SplashBidNoticeAbstractUI.aspx?menuIndex=3&amp;refID=7149151&amp;Result=3","7149151")</f>
        <v>0</v>
      </c>
      <c r="B4745" t="s">
        <v>1756</v>
      </c>
      <c r="C4745" t="s">
        <v>8123</v>
      </c>
      <c r="D4745" t="s">
        <v>17993</v>
      </c>
      <c r="E4745" t="s">
        <v>22306</v>
      </c>
      <c r="F4745" t="s">
        <v>30900</v>
      </c>
      <c r="G4745" t="s">
        <v>30907</v>
      </c>
      <c r="H4745" t="s">
        <v>30916</v>
      </c>
      <c r="I4745" t="s">
        <v>8123</v>
      </c>
      <c r="J4745" t="s">
        <v>31206</v>
      </c>
      <c r="K4745" t="s">
        <v>40287</v>
      </c>
      <c r="M4745" t="s">
        <v>42426</v>
      </c>
      <c r="N4745" t="s">
        <v>44759</v>
      </c>
      <c r="O4745" t="s">
        <v>44760</v>
      </c>
      <c r="P4745">
        <v>0</v>
      </c>
      <c r="Q4745">
        <v>0</v>
      </c>
      <c r="R4745" t="s">
        <v>44763</v>
      </c>
      <c r="S4745" t="s">
        <v>44876</v>
      </c>
      <c r="T4745" t="s">
        <v>46376</v>
      </c>
      <c r="U4745" t="s">
        <v>50938</v>
      </c>
      <c r="W4745" t="s">
        <v>42426</v>
      </c>
      <c r="X4745" t="s">
        <v>44764</v>
      </c>
    </row>
    <row r="4746" spans="1:24">
      <c r="A4746">
        <f>HYPERLINK("https://www.philgeps.gov.ph/GEPSNONPILOT/Tender/SplashBidNoticeAbstractUI.aspx?menuIndex=3&amp;refID=7149150&amp;Result=3","7149150")</f>
        <v>0</v>
      </c>
      <c r="B4746" t="s">
        <v>1764</v>
      </c>
      <c r="C4746" t="s">
        <v>8236</v>
      </c>
      <c r="E4746" t="s">
        <v>22307</v>
      </c>
      <c r="F4746" t="s">
        <v>30900</v>
      </c>
      <c r="G4746" t="s">
        <v>30909</v>
      </c>
      <c r="H4746" t="s">
        <v>30916</v>
      </c>
      <c r="I4746" t="s">
        <v>10834</v>
      </c>
      <c r="J4746" t="s">
        <v>31304</v>
      </c>
      <c r="K4746" t="s">
        <v>40288</v>
      </c>
      <c r="M4746" t="s">
        <v>42434</v>
      </c>
      <c r="N4746" t="s">
        <v>44759</v>
      </c>
      <c r="O4746" t="s">
        <v>44760</v>
      </c>
      <c r="P4746">
        <v>0</v>
      </c>
      <c r="Q4746">
        <v>4</v>
      </c>
      <c r="R4746" t="s">
        <v>44763</v>
      </c>
      <c r="S4746" t="s">
        <v>44876</v>
      </c>
      <c r="T4746" t="s">
        <v>46548</v>
      </c>
      <c r="U4746" t="s">
        <v>50932</v>
      </c>
      <c r="W4746" t="s">
        <v>42434</v>
      </c>
      <c r="X4746" t="s">
        <v>44764</v>
      </c>
    </row>
    <row r="4747" spans="1:24">
      <c r="A4747">
        <f>HYPERLINK("https://www.philgeps.gov.ph/GEPSNONPILOT/Tender/SplashBidNoticeAbstractUI.aspx?menuIndex=3&amp;refID=7149175&amp;Result=3","7149175")</f>
        <v>0</v>
      </c>
      <c r="B4747" t="s">
        <v>1212</v>
      </c>
      <c r="C4747" t="s">
        <v>8241</v>
      </c>
      <c r="D4747" t="s">
        <v>17952</v>
      </c>
      <c r="E4747" t="s">
        <v>22308</v>
      </c>
      <c r="F4747" t="s">
        <v>30900</v>
      </c>
      <c r="G4747" t="s">
        <v>30907</v>
      </c>
      <c r="H4747" t="s">
        <v>30916</v>
      </c>
      <c r="I4747" t="s">
        <v>8123</v>
      </c>
      <c r="J4747" t="s">
        <v>34232</v>
      </c>
      <c r="K4747" t="s">
        <v>40291</v>
      </c>
      <c r="M4747" t="s">
        <v>41824</v>
      </c>
      <c r="N4747" t="s">
        <v>44759</v>
      </c>
      <c r="O4747" t="s">
        <v>44760</v>
      </c>
      <c r="P4747">
        <v>0</v>
      </c>
      <c r="Q4747">
        <v>0</v>
      </c>
      <c r="R4747" t="s">
        <v>44763</v>
      </c>
      <c r="S4747" t="s">
        <v>44876</v>
      </c>
      <c r="T4747" t="s">
        <v>46395</v>
      </c>
      <c r="U4747" t="s">
        <v>50939</v>
      </c>
      <c r="W4747" t="s">
        <v>41824</v>
      </c>
      <c r="X4747" t="s">
        <v>44764</v>
      </c>
    </row>
    <row r="4748" spans="1:24">
      <c r="A4748">
        <f>HYPERLINK("https://www.philgeps.gov.ph/GEPSNONPILOT/Tender/SplashBidNoticeAbstractUI.aspx?menuIndex=3&amp;refID=7149131&amp;Result=3","7149131")</f>
        <v>0</v>
      </c>
      <c r="B4748" t="s">
        <v>1753</v>
      </c>
      <c r="C4748" t="s">
        <v>8242</v>
      </c>
      <c r="D4748" t="s">
        <v>18013</v>
      </c>
      <c r="E4748" t="s">
        <v>22309</v>
      </c>
      <c r="F4748" t="s">
        <v>30900</v>
      </c>
      <c r="G4748" t="s">
        <v>30908</v>
      </c>
      <c r="H4748" t="s">
        <v>30916</v>
      </c>
      <c r="I4748" t="s">
        <v>30927</v>
      </c>
      <c r="J4748" t="s">
        <v>34233</v>
      </c>
      <c r="K4748" t="s">
        <v>40283</v>
      </c>
      <c r="M4748" t="s">
        <v>42422</v>
      </c>
      <c r="N4748" t="s">
        <v>44759</v>
      </c>
      <c r="O4748" t="s">
        <v>44760</v>
      </c>
      <c r="P4748">
        <v>0</v>
      </c>
      <c r="Q4748">
        <v>0</v>
      </c>
      <c r="R4748" t="s">
        <v>44763</v>
      </c>
      <c r="S4748" t="s">
        <v>44876</v>
      </c>
      <c r="T4748" t="s">
        <v>46533</v>
      </c>
      <c r="U4748" t="s">
        <v>50940</v>
      </c>
      <c r="W4748" t="s">
        <v>42422</v>
      </c>
      <c r="X4748" t="s">
        <v>44764</v>
      </c>
    </row>
    <row r="4749" spans="1:24">
      <c r="A4749">
        <f>HYPERLINK("https://www.philgeps.gov.ph/GEPSNONPILOT/Tender/SplashBidNoticeAbstractUI.aspx?menuIndex=3&amp;refID=7149128&amp;Result=3","7149128")</f>
        <v>0</v>
      </c>
      <c r="B4749" t="s">
        <v>1750</v>
      </c>
      <c r="C4749" t="s">
        <v>8243</v>
      </c>
      <c r="D4749" t="s">
        <v>17966</v>
      </c>
      <c r="E4749" t="s">
        <v>22310</v>
      </c>
      <c r="F4749" t="s">
        <v>30900</v>
      </c>
      <c r="G4749" t="s">
        <v>30907</v>
      </c>
      <c r="H4749" t="s">
        <v>30916</v>
      </c>
      <c r="I4749" t="s">
        <v>4545</v>
      </c>
      <c r="J4749" t="s">
        <v>31270</v>
      </c>
      <c r="K4749" t="s">
        <v>40283</v>
      </c>
      <c r="M4749" t="s">
        <v>42419</v>
      </c>
      <c r="N4749" t="s">
        <v>44759</v>
      </c>
      <c r="O4749" t="s">
        <v>44760</v>
      </c>
      <c r="P4749">
        <v>0</v>
      </c>
      <c r="Q4749">
        <v>3</v>
      </c>
      <c r="R4749" t="s">
        <v>44763</v>
      </c>
      <c r="S4749" t="s">
        <v>44876</v>
      </c>
      <c r="T4749" t="s">
        <v>46443</v>
      </c>
      <c r="U4749" t="s">
        <v>50941</v>
      </c>
      <c r="W4749" t="s">
        <v>60873</v>
      </c>
      <c r="X4749" t="s">
        <v>44764</v>
      </c>
    </row>
    <row r="4750" spans="1:24">
      <c r="A4750">
        <f>HYPERLINK("https://www.philgeps.gov.ph/GEPSNONPILOT/Tender/SplashBidNoticeAbstractUI.aspx?menuIndex=3&amp;refID=7149127&amp;Result=3","7149127")</f>
        <v>0</v>
      </c>
      <c r="B4750" t="s">
        <v>1108</v>
      </c>
      <c r="C4750" t="s">
        <v>8244</v>
      </c>
      <c r="D4750" t="s">
        <v>17959</v>
      </c>
      <c r="E4750" t="s">
        <v>22311</v>
      </c>
      <c r="F4750" t="s">
        <v>30900</v>
      </c>
      <c r="G4750" t="s">
        <v>30908</v>
      </c>
      <c r="H4750" t="s">
        <v>30916</v>
      </c>
      <c r="I4750" t="s">
        <v>30923</v>
      </c>
      <c r="J4750" t="s">
        <v>34234</v>
      </c>
      <c r="K4750" t="s">
        <v>40286</v>
      </c>
      <c r="M4750" t="s">
        <v>41708</v>
      </c>
      <c r="N4750" t="s">
        <v>44759</v>
      </c>
      <c r="O4750" t="s">
        <v>44760</v>
      </c>
      <c r="P4750">
        <v>0</v>
      </c>
      <c r="Q4750">
        <v>14</v>
      </c>
      <c r="R4750" t="s">
        <v>44763</v>
      </c>
      <c r="S4750" t="s">
        <v>44876</v>
      </c>
      <c r="T4750" t="s">
        <v>46403</v>
      </c>
      <c r="U4750" t="s">
        <v>50942</v>
      </c>
      <c r="W4750" t="s">
        <v>41708</v>
      </c>
      <c r="X4750" t="s">
        <v>44764</v>
      </c>
    </row>
    <row r="4751" spans="1:24">
      <c r="A4751">
        <f>HYPERLINK("https://www.philgeps.gov.ph/GEPSNONPILOT/Tender/SplashBidNoticeAbstractUI.aspx?menuIndex=3&amp;refID=7149206&amp;Result=3","7149206")</f>
        <v>0</v>
      </c>
      <c r="B4751" t="s">
        <v>1747</v>
      </c>
      <c r="C4751" t="s">
        <v>8245</v>
      </c>
      <c r="E4751" t="s">
        <v>22312</v>
      </c>
      <c r="F4751" t="s">
        <v>30900</v>
      </c>
      <c r="G4751" t="s">
        <v>30908</v>
      </c>
      <c r="H4751" t="s">
        <v>30916</v>
      </c>
      <c r="I4751" t="s">
        <v>30988</v>
      </c>
      <c r="J4751" t="s">
        <v>34235</v>
      </c>
      <c r="K4751" t="s">
        <v>40289</v>
      </c>
      <c r="M4751" t="s">
        <v>42416</v>
      </c>
      <c r="N4751" t="s">
        <v>44759</v>
      </c>
      <c r="O4751" t="s">
        <v>44760</v>
      </c>
      <c r="P4751">
        <v>0</v>
      </c>
      <c r="Q4751">
        <v>1</v>
      </c>
      <c r="R4751" t="s">
        <v>44763</v>
      </c>
      <c r="S4751" t="s">
        <v>44876</v>
      </c>
      <c r="T4751" t="s">
        <v>46414</v>
      </c>
      <c r="U4751" t="s">
        <v>50943</v>
      </c>
      <c r="W4751" t="s">
        <v>42416</v>
      </c>
      <c r="X4751" t="s">
        <v>44764</v>
      </c>
    </row>
    <row r="4752" spans="1:24">
      <c r="A4752">
        <f>HYPERLINK("https://www.philgeps.gov.ph/GEPSNONPILOT/Tender/SplashBidNoticeAbstractUI.aspx?menuIndex=3&amp;refID=7149174&amp;Result=3","7149174")</f>
        <v>0</v>
      </c>
      <c r="B4752" t="s">
        <v>433</v>
      </c>
      <c r="C4752" t="s">
        <v>8246</v>
      </c>
      <c r="D4752" t="s">
        <v>18016</v>
      </c>
      <c r="E4752" t="s">
        <v>18417</v>
      </c>
      <c r="F4752" t="s">
        <v>30900</v>
      </c>
      <c r="G4752" t="s">
        <v>30908</v>
      </c>
      <c r="H4752" t="s">
        <v>30916</v>
      </c>
      <c r="I4752" t="s">
        <v>30924</v>
      </c>
      <c r="J4752" t="s">
        <v>33599</v>
      </c>
      <c r="K4752" t="s">
        <v>40289</v>
      </c>
      <c r="M4752" t="s">
        <v>42435</v>
      </c>
      <c r="N4752" t="s">
        <v>44759</v>
      </c>
      <c r="O4752" t="s">
        <v>44760</v>
      </c>
      <c r="P4752">
        <v>0</v>
      </c>
      <c r="Q4752">
        <v>1</v>
      </c>
      <c r="R4752" t="s">
        <v>44763</v>
      </c>
      <c r="S4752" t="s">
        <v>44876</v>
      </c>
      <c r="T4752" t="s">
        <v>46403</v>
      </c>
      <c r="U4752" t="s">
        <v>50944</v>
      </c>
      <c r="V4752" t="s">
        <v>59618</v>
      </c>
      <c r="W4752" t="s">
        <v>42435</v>
      </c>
      <c r="X4752" t="s">
        <v>44764</v>
      </c>
    </row>
    <row r="4753" spans="1:24">
      <c r="A4753">
        <f>HYPERLINK("https://www.philgeps.gov.ph/GEPSNONPILOT/Tender/SplashBidNoticeAbstractUI.aspx?menuIndex=3&amp;refID=7149204&amp;Result=3","7149204")</f>
        <v>0</v>
      </c>
      <c r="B4753" t="s">
        <v>1765</v>
      </c>
      <c r="C4753" t="s">
        <v>8247</v>
      </c>
      <c r="D4753" t="s">
        <v>17979</v>
      </c>
      <c r="E4753" t="s">
        <v>22313</v>
      </c>
      <c r="F4753" t="s">
        <v>30900</v>
      </c>
      <c r="G4753" t="s">
        <v>30908</v>
      </c>
      <c r="H4753" t="s">
        <v>30916</v>
      </c>
      <c r="I4753" t="s">
        <v>30993</v>
      </c>
      <c r="J4753" t="s">
        <v>31052</v>
      </c>
      <c r="K4753" t="s">
        <v>40287</v>
      </c>
      <c r="M4753" t="s">
        <v>42436</v>
      </c>
      <c r="N4753" t="s">
        <v>44759</v>
      </c>
      <c r="O4753" t="s">
        <v>44760</v>
      </c>
      <c r="P4753">
        <v>0</v>
      </c>
      <c r="Q4753">
        <v>4</v>
      </c>
      <c r="R4753" t="s">
        <v>44763</v>
      </c>
      <c r="S4753" t="s">
        <v>44876</v>
      </c>
      <c r="T4753" t="s">
        <v>46403</v>
      </c>
      <c r="U4753" t="s">
        <v>50945</v>
      </c>
      <c r="V4753" t="s">
        <v>59619</v>
      </c>
      <c r="W4753" t="s">
        <v>42436</v>
      </c>
      <c r="X4753" t="s">
        <v>44764</v>
      </c>
    </row>
    <row r="4754" spans="1:24">
      <c r="A4754">
        <f>HYPERLINK("https://www.philgeps.gov.ph/GEPSNONPILOT/Tender/SplashBidNoticeAbstractUI.aspx?menuIndex=3&amp;refID=7149202&amp;Result=3","7149202")</f>
        <v>0</v>
      </c>
      <c r="B4754" t="s">
        <v>872</v>
      </c>
      <c r="C4754" t="s">
        <v>8248</v>
      </c>
      <c r="D4754" t="s">
        <v>17953</v>
      </c>
      <c r="E4754" t="s">
        <v>18306</v>
      </c>
      <c r="F4754" t="s">
        <v>30900</v>
      </c>
      <c r="G4754" t="s">
        <v>30908</v>
      </c>
      <c r="H4754" t="s">
        <v>30915</v>
      </c>
      <c r="I4754" t="s">
        <v>8123</v>
      </c>
      <c r="J4754" t="s">
        <v>34236</v>
      </c>
      <c r="K4754" t="s">
        <v>40288</v>
      </c>
      <c r="M4754" t="s">
        <v>42437</v>
      </c>
      <c r="N4754" t="s">
        <v>44759</v>
      </c>
      <c r="O4754" t="s">
        <v>44760</v>
      </c>
      <c r="P4754">
        <v>0</v>
      </c>
      <c r="Q4754">
        <v>1</v>
      </c>
      <c r="R4754" t="s">
        <v>44763</v>
      </c>
      <c r="S4754" t="s">
        <v>44876</v>
      </c>
      <c r="T4754" t="s">
        <v>46374</v>
      </c>
      <c r="U4754" t="s">
        <v>50946</v>
      </c>
      <c r="V4754" t="s">
        <v>47383</v>
      </c>
      <c r="W4754" t="s">
        <v>42437</v>
      </c>
      <c r="X4754" t="s">
        <v>44764</v>
      </c>
    </row>
    <row r="4755" spans="1:24">
      <c r="A4755">
        <f>HYPERLINK("https://www.philgeps.gov.ph/GEPSNONPILOT/Tender/SplashBidNoticeAbstractUI.aspx?menuIndex=3&amp;refID=7149201&amp;Result=3","7149201")</f>
        <v>0</v>
      </c>
      <c r="B4755" t="s">
        <v>1765</v>
      </c>
      <c r="C4755" t="s">
        <v>8249</v>
      </c>
      <c r="D4755" t="s">
        <v>17979</v>
      </c>
      <c r="E4755" t="s">
        <v>22314</v>
      </c>
      <c r="F4755" t="s">
        <v>30900</v>
      </c>
      <c r="G4755" t="s">
        <v>30908</v>
      </c>
      <c r="H4755" t="s">
        <v>30916</v>
      </c>
      <c r="I4755" t="s">
        <v>8123</v>
      </c>
      <c r="J4755" t="s">
        <v>34237</v>
      </c>
      <c r="K4755" t="s">
        <v>40287</v>
      </c>
      <c r="M4755" t="s">
        <v>42436</v>
      </c>
      <c r="N4755" t="s">
        <v>44759</v>
      </c>
      <c r="O4755" t="s">
        <v>44760</v>
      </c>
      <c r="P4755">
        <v>0</v>
      </c>
      <c r="Q4755">
        <v>1</v>
      </c>
      <c r="R4755" t="s">
        <v>44763</v>
      </c>
      <c r="S4755" t="s">
        <v>44876</v>
      </c>
      <c r="T4755" t="s">
        <v>46403</v>
      </c>
      <c r="U4755" t="s">
        <v>50947</v>
      </c>
      <c r="V4755" t="s">
        <v>59619</v>
      </c>
      <c r="W4755" t="s">
        <v>42436</v>
      </c>
      <c r="X4755" t="s">
        <v>44764</v>
      </c>
    </row>
    <row r="4756" spans="1:24">
      <c r="A4756">
        <f>HYPERLINK("https://www.philgeps.gov.ph/GEPSNONPILOT/Tender/SplashBidNoticeAbstractUI.aspx?menuIndex=3&amp;refID=7149198&amp;Result=3","7149198")</f>
        <v>0</v>
      </c>
      <c r="B4756" t="s">
        <v>1766</v>
      </c>
      <c r="C4756" t="s">
        <v>8250</v>
      </c>
      <c r="D4756" t="s">
        <v>18017</v>
      </c>
      <c r="E4756" t="s">
        <v>19079</v>
      </c>
      <c r="F4756" t="s">
        <v>30900</v>
      </c>
      <c r="G4756" t="s">
        <v>30908</v>
      </c>
      <c r="H4756" t="s">
        <v>30915</v>
      </c>
      <c r="I4756" t="s">
        <v>4142</v>
      </c>
      <c r="J4756" t="s">
        <v>34238</v>
      </c>
      <c r="K4756" t="s">
        <v>40286</v>
      </c>
      <c r="M4756" t="s">
        <v>42438</v>
      </c>
      <c r="N4756" t="s">
        <v>44759</v>
      </c>
      <c r="O4756" t="s">
        <v>44760</v>
      </c>
      <c r="P4756">
        <v>0</v>
      </c>
      <c r="Q4756">
        <v>0</v>
      </c>
      <c r="R4756" t="s">
        <v>44763</v>
      </c>
      <c r="S4756" t="s">
        <v>44876</v>
      </c>
      <c r="T4756" t="s">
        <v>46547</v>
      </c>
      <c r="U4756" t="s">
        <v>50948</v>
      </c>
      <c r="W4756" t="s">
        <v>42438</v>
      </c>
      <c r="X4756" t="s">
        <v>44764</v>
      </c>
    </row>
    <row r="4757" spans="1:24">
      <c r="A4757">
        <f>HYPERLINK("https://www.philgeps.gov.ph/GEPSNONPILOT/Tender/SplashBidNoticeAbstractUI.aspx?menuIndex=3&amp;refID=7149160&amp;Result=3","7149160")</f>
        <v>0</v>
      </c>
      <c r="B4757" t="s">
        <v>1767</v>
      </c>
      <c r="C4757" t="s">
        <v>8251</v>
      </c>
      <c r="D4757" t="s">
        <v>17959</v>
      </c>
      <c r="E4757" t="s">
        <v>22315</v>
      </c>
      <c r="F4757" t="s">
        <v>30900</v>
      </c>
      <c r="G4757" t="s">
        <v>30907</v>
      </c>
      <c r="H4757" t="s">
        <v>30916</v>
      </c>
      <c r="I4757" t="s">
        <v>4108</v>
      </c>
      <c r="J4757" t="s">
        <v>31096</v>
      </c>
      <c r="K4757" t="s">
        <v>40288</v>
      </c>
      <c r="M4757" t="s">
        <v>42439</v>
      </c>
      <c r="N4757" t="s">
        <v>44759</v>
      </c>
      <c r="O4757" t="s">
        <v>44760</v>
      </c>
      <c r="P4757">
        <v>0</v>
      </c>
      <c r="Q4757">
        <v>3</v>
      </c>
      <c r="R4757" t="s">
        <v>44763</v>
      </c>
      <c r="S4757" t="s">
        <v>44876</v>
      </c>
      <c r="T4757" t="s">
        <v>46409</v>
      </c>
      <c r="U4757" t="s">
        <v>50949</v>
      </c>
      <c r="V4757" t="s">
        <v>59620</v>
      </c>
      <c r="W4757" t="s">
        <v>42439</v>
      </c>
      <c r="X4757" t="s">
        <v>44764</v>
      </c>
    </row>
    <row r="4758" spans="1:24">
      <c r="A4758">
        <f>HYPERLINK("https://www.philgeps.gov.ph/GEPSNONPILOT/Tender/SplashBidNoticeAbstractUI.aspx?menuIndex=3&amp;refID=7149197&amp;Result=3","7149197")</f>
        <v>0</v>
      </c>
      <c r="B4758" t="s">
        <v>1768</v>
      </c>
      <c r="C4758" t="s">
        <v>8252</v>
      </c>
      <c r="D4758" t="s">
        <v>17988</v>
      </c>
      <c r="E4758" t="s">
        <v>22316</v>
      </c>
      <c r="F4758" t="s">
        <v>30900</v>
      </c>
      <c r="G4758" t="s">
        <v>30907</v>
      </c>
      <c r="H4758" t="s">
        <v>30916</v>
      </c>
      <c r="I4758" t="s">
        <v>4545</v>
      </c>
      <c r="J4758" t="s">
        <v>33481</v>
      </c>
      <c r="K4758" t="s">
        <v>40286</v>
      </c>
      <c r="M4758" t="s">
        <v>42440</v>
      </c>
      <c r="N4758" t="s">
        <v>44759</v>
      </c>
      <c r="O4758" t="s">
        <v>44760</v>
      </c>
      <c r="P4758">
        <v>0</v>
      </c>
      <c r="Q4758">
        <v>5</v>
      </c>
      <c r="R4758" t="s">
        <v>44763</v>
      </c>
      <c r="S4758" t="s">
        <v>44876</v>
      </c>
      <c r="T4758" t="s">
        <v>46377</v>
      </c>
      <c r="U4758" t="s">
        <v>50950</v>
      </c>
      <c r="W4758" t="s">
        <v>42440</v>
      </c>
      <c r="X4758" t="s">
        <v>44764</v>
      </c>
    </row>
    <row r="4759" spans="1:24">
      <c r="A4759">
        <f>HYPERLINK("https://www.philgeps.gov.ph/GEPSNONPILOT/Tender/SplashBidNoticeAbstractUI.aspx?menuIndex=3&amp;refID=7149196&amp;Result=3","7149196")</f>
        <v>0</v>
      </c>
      <c r="B4759" t="s">
        <v>1143</v>
      </c>
      <c r="C4759" t="s">
        <v>8253</v>
      </c>
      <c r="D4759" t="s">
        <v>17990</v>
      </c>
      <c r="E4759" t="s">
        <v>22317</v>
      </c>
      <c r="F4759" t="s">
        <v>30900</v>
      </c>
      <c r="G4759" t="s">
        <v>30907</v>
      </c>
      <c r="H4759" t="s">
        <v>30916</v>
      </c>
      <c r="I4759" t="s">
        <v>10602</v>
      </c>
      <c r="J4759" t="s">
        <v>31066</v>
      </c>
      <c r="K4759" t="s">
        <v>40366</v>
      </c>
      <c r="M4759" t="s">
        <v>42441</v>
      </c>
      <c r="N4759" t="s">
        <v>44759</v>
      </c>
      <c r="O4759" t="s">
        <v>44760</v>
      </c>
      <c r="P4759">
        <v>0</v>
      </c>
      <c r="Q4759">
        <v>0</v>
      </c>
      <c r="R4759" t="s">
        <v>44763</v>
      </c>
      <c r="S4759" t="s">
        <v>44876</v>
      </c>
      <c r="T4759" t="s">
        <v>46454</v>
      </c>
      <c r="U4759" t="s">
        <v>50951</v>
      </c>
      <c r="W4759" t="s">
        <v>42441</v>
      </c>
      <c r="X4759" t="s">
        <v>44764</v>
      </c>
    </row>
    <row r="4760" spans="1:24">
      <c r="A4760">
        <f>HYPERLINK("https://www.philgeps.gov.ph/GEPSNONPILOT/Tender/SplashBidNoticeAbstractUI.aspx?menuIndex=3&amp;refID=7149195&amp;Result=3","7149195")</f>
        <v>0</v>
      </c>
      <c r="B4760" t="s">
        <v>1724</v>
      </c>
      <c r="C4760" t="s">
        <v>8254</v>
      </c>
      <c r="D4760" t="s">
        <v>18016</v>
      </c>
      <c r="E4760" t="s">
        <v>22180</v>
      </c>
      <c r="F4760" t="s">
        <v>30900</v>
      </c>
      <c r="G4760" t="s">
        <v>30909</v>
      </c>
      <c r="H4760" t="s">
        <v>30916</v>
      </c>
      <c r="I4760" t="s">
        <v>30929</v>
      </c>
      <c r="J4760" t="s">
        <v>34239</v>
      </c>
      <c r="K4760" t="s">
        <v>40284</v>
      </c>
      <c r="M4760" t="s">
        <v>42388</v>
      </c>
      <c r="N4760" t="s">
        <v>44759</v>
      </c>
      <c r="O4760" t="s">
        <v>44760</v>
      </c>
      <c r="P4760">
        <v>0</v>
      </c>
      <c r="Q4760">
        <v>4</v>
      </c>
      <c r="R4760" t="s">
        <v>44763</v>
      </c>
      <c r="S4760" t="s">
        <v>44876</v>
      </c>
      <c r="T4760" t="s">
        <v>46403</v>
      </c>
      <c r="U4760" t="s">
        <v>50952</v>
      </c>
      <c r="W4760" t="s">
        <v>42388</v>
      </c>
      <c r="X4760" t="s">
        <v>44764</v>
      </c>
    </row>
    <row r="4761" spans="1:24">
      <c r="A4761">
        <f>HYPERLINK("https://www.philgeps.gov.ph/GEPSNONPILOT/Tender/SplashBidNoticeAbstractUI.aspx?menuIndex=3&amp;refID=7149190&amp;Result=3","7149190")</f>
        <v>0</v>
      </c>
      <c r="B4761" t="s">
        <v>1289</v>
      </c>
      <c r="C4761" t="s">
        <v>8255</v>
      </c>
      <c r="D4761" t="s">
        <v>17972</v>
      </c>
      <c r="E4761" t="s">
        <v>22318</v>
      </c>
      <c r="F4761" t="s">
        <v>30900</v>
      </c>
      <c r="G4761" t="s">
        <v>30908</v>
      </c>
      <c r="H4761" t="s">
        <v>30916</v>
      </c>
      <c r="I4761" t="s">
        <v>30967</v>
      </c>
      <c r="J4761" t="s">
        <v>31522</v>
      </c>
      <c r="K4761" t="s">
        <v>40284</v>
      </c>
      <c r="M4761" t="s">
        <v>41906</v>
      </c>
      <c r="N4761" t="s">
        <v>44759</v>
      </c>
      <c r="O4761" t="s">
        <v>44760</v>
      </c>
      <c r="P4761">
        <v>0</v>
      </c>
      <c r="Q4761">
        <v>1</v>
      </c>
      <c r="R4761" t="s">
        <v>44763</v>
      </c>
      <c r="S4761" t="s">
        <v>44876</v>
      </c>
      <c r="T4761" t="s">
        <v>46374</v>
      </c>
      <c r="U4761" t="s">
        <v>50953</v>
      </c>
      <c r="W4761" t="s">
        <v>41906</v>
      </c>
      <c r="X4761" t="s">
        <v>44764</v>
      </c>
    </row>
    <row r="4762" spans="1:24">
      <c r="A4762">
        <f>HYPERLINK("https://www.philgeps.gov.ph/GEPSNONPILOT/Tender/SplashBidNoticeAbstractUI.aspx?menuIndex=3&amp;refID=7149154&amp;Result=3","7149154")</f>
        <v>0</v>
      </c>
      <c r="B4762" t="s">
        <v>1762</v>
      </c>
      <c r="C4762" t="s">
        <v>8256</v>
      </c>
      <c r="D4762" t="s">
        <v>17970</v>
      </c>
      <c r="E4762" t="s">
        <v>8256</v>
      </c>
      <c r="F4762" t="s">
        <v>30900</v>
      </c>
      <c r="G4762" t="s">
        <v>30908</v>
      </c>
      <c r="H4762" t="s">
        <v>30916</v>
      </c>
      <c r="I4762" t="s">
        <v>30939</v>
      </c>
      <c r="J4762" t="s">
        <v>31625</v>
      </c>
      <c r="K4762" t="s">
        <v>40288</v>
      </c>
      <c r="M4762" t="s">
        <v>42432</v>
      </c>
      <c r="N4762" t="s">
        <v>44759</v>
      </c>
      <c r="O4762" t="s">
        <v>44760</v>
      </c>
      <c r="P4762">
        <v>0</v>
      </c>
      <c r="Q4762">
        <v>0</v>
      </c>
      <c r="R4762" t="s">
        <v>44763</v>
      </c>
      <c r="S4762" t="s">
        <v>44876</v>
      </c>
      <c r="T4762" t="s">
        <v>46533</v>
      </c>
      <c r="U4762" t="s">
        <v>50933</v>
      </c>
      <c r="W4762" t="s">
        <v>42432</v>
      </c>
      <c r="X4762" t="s">
        <v>44764</v>
      </c>
    </row>
    <row r="4763" spans="1:24">
      <c r="A4763">
        <f>HYPERLINK("https://www.philgeps.gov.ph/GEPSNONPILOT/Tender/SplashBidNoticeAbstractUI.aspx?menuIndex=3&amp;refID=7149189&amp;Result=3","7149189")</f>
        <v>0</v>
      </c>
      <c r="B4763" t="s">
        <v>1724</v>
      </c>
      <c r="C4763" t="s">
        <v>8257</v>
      </c>
      <c r="D4763" t="s">
        <v>18016</v>
      </c>
      <c r="E4763" t="s">
        <v>22180</v>
      </c>
      <c r="F4763" t="s">
        <v>30900</v>
      </c>
      <c r="G4763" t="s">
        <v>30909</v>
      </c>
      <c r="H4763" t="s">
        <v>30916</v>
      </c>
      <c r="I4763" t="s">
        <v>30939</v>
      </c>
      <c r="J4763" t="s">
        <v>33447</v>
      </c>
      <c r="K4763" t="s">
        <v>40284</v>
      </c>
      <c r="M4763" t="s">
        <v>42388</v>
      </c>
      <c r="N4763" t="s">
        <v>44759</v>
      </c>
      <c r="O4763" t="s">
        <v>44760</v>
      </c>
      <c r="P4763">
        <v>0</v>
      </c>
      <c r="Q4763">
        <v>0</v>
      </c>
      <c r="R4763" t="s">
        <v>44763</v>
      </c>
      <c r="S4763" t="s">
        <v>44876</v>
      </c>
      <c r="T4763" t="s">
        <v>46403</v>
      </c>
      <c r="U4763" t="s">
        <v>50954</v>
      </c>
      <c r="W4763" t="s">
        <v>42388</v>
      </c>
      <c r="X4763" t="s">
        <v>44764</v>
      </c>
    </row>
    <row r="4764" spans="1:24">
      <c r="A4764">
        <f>HYPERLINK("https://www.philgeps.gov.ph/GEPSNONPILOT/Tender/SplashBidNoticeAbstractUI.aspx?menuIndex=3&amp;refID=7149188&amp;Result=3","7149188")</f>
        <v>0</v>
      </c>
      <c r="B4764" t="s">
        <v>1758</v>
      </c>
      <c r="C4764" t="s">
        <v>8258</v>
      </c>
      <c r="D4764" t="s">
        <v>17959</v>
      </c>
      <c r="E4764" t="s">
        <v>22319</v>
      </c>
      <c r="F4764" t="s">
        <v>30900</v>
      </c>
      <c r="G4764" t="s">
        <v>30907</v>
      </c>
      <c r="H4764" t="s">
        <v>30916</v>
      </c>
      <c r="I4764" t="s">
        <v>30980</v>
      </c>
      <c r="J4764" t="s">
        <v>31243</v>
      </c>
      <c r="K4764" t="s">
        <v>40286</v>
      </c>
      <c r="M4764" t="s">
        <v>42428</v>
      </c>
      <c r="N4764" t="s">
        <v>44759</v>
      </c>
      <c r="O4764" t="s">
        <v>44760</v>
      </c>
      <c r="P4764">
        <v>0</v>
      </c>
      <c r="Q4764">
        <v>0</v>
      </c>
      <c r="R4764" t="s">
        <v>44763</v>
      </c>
      <c r="S4764" t="s">
        <v>44876</v>
      </c>
      <c r="T4764" t="s">
        <v>46554</v>
      </c>
      <c r="U4764" t="s">
        <v>50955</v>
      </c>
      <c r="V4764" t="s">
        <v>59617</v>
      </c>
      <c r="W4764" t="s">
        <v>42428</v>
      </c>
      <c r="X4764" t="s">
        <v>44764</v>
      </c>
    </row>
    <row r="4765" spans="1:24">
      <c r="A4765">
        <f>HYPERLINK("https://www.philgeps.gov.ph/GEPSNONPILOT/Tender/SplashBidNoticeAbstractUI.aspx?menuIndex=3&amp;refID=7148284&amp;Result=3","7148284")</f>
        <v>0</v>
      </c>
      <c r="B4765" t="s">
        <v>1769</v>
      </c>
      <c r="C4765" t="s">
        <v>8259</v>
      </c>
      <c r="E4765" t="s">
        <v>22320</v>
      </c>
      <c r="F4765" t="s">
        <v>30899</v>
      </c>
      <c r="G4765" t="s">
        <v>30909</v>
      </c>
      <c r="H4765" t="s">
        <v>30916</v>
      </c>
      <c r="I4765" t="s">
        <v>4108</v>
      </c>
      <c r="J4765" t="s">
        <v>31247</v>
      </c>
      <c r="K4765" t="s">
        <v>40283</v>
      </c>
      <c r="M4765" t="s">
        <v>42442</v>
      </c>
      <c r="N4765" t="s">
        <v>44759</v>
      </c>
      <c r="O4765" t="s">
        <v>44760</v>
      </c>
      <c r="P4765">
        <v>0</v>
      </c>
      <c r="Q4765">
        <v>1</v>
      </c>
      <c r="R4765" t="s">
        <v>44764</v>
      </c>
      <c r="S4765" t="s">
        <v>44889</v>
      </c>
      <c r="T4765" t="s">
        <v>46376</v>
      </c>
      <c r="U4765" t="s">
        <v>50956</v>
      </c>
      <c r="W4765" t="s">
        <v>42442</v>
      </c>
      <c r="X4765" t="s">
        <v>44766</v>
      </c>
    </row>
    <row r="4766" spans="1:24">
      <c r="A4766">
        <f>HYPERLINK("https://www.philgeps.gov.ph/GEPSNONPILOT/Tender/SplashBidNoticeAbstractUI.aspx?menuIndex=3&amp;refID=7148587&amp;Result=3","7148587")</f>
        <v>0</v>
      </c>
      <c r="B4766" t="s">
        <v>1770</v>
      </c>
      <c r="C4766" t="s">
        <v>8260</v>
      </c>
      <c r="D4766" t="s">
        <v>18019</v>
      </c>
      <c r="E4766" t="s">
        <v>22321</v>
      </c>
      <c r="F4766" t="s">
        <v>30900</v>
      </c>
      <c r="G4766" t="s">
        <v>30908</v>
      </c>
      <c r="H4766" t="s">
        <v>30916</v>
      </c>
      <c r="I4766" t="s">
        <v>30921</v>
      </c>
      <c r="J4766" t="s">
        <v>34240</v>
      </c>
      <c r="K4766" t="s">
        <v>40283</v>
      </c>
      <c r="M4766" t="s">
        <v>42443</v>
      </c>
      <c r="N4766" t="s">
        <v>44759</v>
      </c>
      <c r="O4766" t="s">
        <v>44760</v>
      </c>
      <c r="P4766">
        <v>0</v>
      </c>
      <c r="Q4766">
        <v>1</v>
      </c>
      <c r="R4766" t="s">
        <v>44764</v>
      </c>
      <c r="S4766" t="s">
        <v>44889</v>
      </c>
      <c r="T4766" t="s">
        <v>46625</v>
      </c>
      <c r="U4766" t="s">
        <v>50957</v>
      </c>
      <c r="W4766" t="s">
        <v>42443</v>
      </c>
      <c r="X4766" t="s">
        <v>44765</v>
      </c>
    </row>
    <row r="4767" spans="1:24">
      <c r="A4767">
        <f>HYPERLINK("https://www.philgeps.gov.ph/GEPSNONPILOT/Tender/SplashBidNoticeAbstractUI.aspx?menuIndex=3&amp;refID=7148586&amp;Result=3","7148586")</f>
        <v>0</v>
      </c>
      <c r="B4767" t="s">
        <v>1770</v>
      </c>
      <c r="C4767" t="s">
        <v>8261</v>
      </c>
      <c r="D4767" t="s">
        <v>18019</v>
      </c>
      <c r="E4767" t="s">
        <v>22322</v>
      </c>
      <c r="F4767" t="s">
        <v>30900</v>
      </c>
      <c r="G4767" t="s">
        <v>30908</v>
      </c>
      <c r="H4767" t="s">
        <v>30916</v>
      </c>
      <c r="I4767" t="s">
        <v>30921</v>
      </c>
      <c r="J4767" t="s">
        <v>34241</v>
      </c>
      <c r="K4767" t="s">
        <v>40283</v>
      </c>
      <c r="M4767" t="s">
        <v>42443</v>
      </c>
      <c r="N4767" t="s">
        <v>44759</v>
      </c>
      <c r="O4767" t="s">
        <v>44760</v>
      </c>
      <c r="P4767">
        <v>0</v>
      </c>
      <c r="Q4767">
        <v>1</v>
      </c>
      <c r="R4767" t="s">
        <v>44764</v>
      </c>
      <c r="S4767" t="s">
        <v>44889</v>
      </c>
      <c r="T4767" t="s">
        <v>46625</v>
      </c>
      <c r="U4767" t="s">
        <v>50958</v>
      </c>
      <c r="W4767" t="s">
        <v>42443</v>
      </c>
      <c r="X4767" t="s">
        <v>44765</v>
      </c>
    </row>
    <row r="4768" spans="1:24">
      <c r="A4768">
        <f>HYPERLINK("https://www.philgeps.gov.ph/GEPSNONPILOT/Tender/SplashBidNoticeAbstractUI.aspx?menuIndex=3&amp;refID=7149193&amp;Result=3","7149193")</f>
        <v>0</v>
      </c>
      <c r="B4768" t="s">
        <v>1724</v>
      </c>
      <c r="C4768" t="s">
        <v>8262</v>
      </c>
      <c r="D4768" t="s">
        <v>18016</v>
      </c>
      <c r="E4768" t="s">
        <v>22180</v>
      </c>
      <c r="F4768" t="s">
        <v>30900</v>
      </c>
      <c r="G4768" t="s">
        <v>30909</v>
      </c>
      <c r="H4768" t="s">
        <v>30916</v>
      </c>
      <c r="I4768" t="s">
        <v>4108</v>
      </c>
      <c r="J4768" t="s">
        <v>31585</v>
      </c>
      <c r="K4768" t="s">
        <v>40284</v>
      </c>
      <c r="M4768" t="s">
        <v>42388</v>
      </c>
      <c r="N4768" t="s">
        <v>44759</v>
      </c>
      <c r="O4768" t="s">
        <v>44760</v>
      </c>
      <c r="P4768">
        <v>0</v>
      </c>
      <c r="Q4768">
        <v>0</v>
      </c>
      <c r="R4768" t="s">
        <v>44763</v>
      </c>
      <c r="S4768" t="s">
        <v>44876</v>
      </c>
      <c r="T4768" t="s">
        <v>46403</v>
      </c>
      <c r="U4768" t="s">
        <v>50959</v>
      </c>
      <c r="W4768" t="s">
        <v>42388</v>
      </c>
      <c r="X4768" t="s">
        <v>44764</v>
      </c>
    </row>
    <row r="4769" spans="1:24">
      <c r="A4769">
        <f>HYPERLINK("https://www.philgeps.gov.ph/GEPSNONPILOT/Tender/SplashBidNoticeAbstractUI.aspx?menuIndex=3&amp;refID=7148584&amp;Result=3","7148584")</f>
        <v>0</v>
      </c>
      <c r="B4769" t="s">
        <v>1770</v>
      </c>
      <c r="C4769" t="s">
        <v>8260</v>
      </c>
      <c r="D4769" t="s">
        <v>18019</v>
      </c>
      <c r="E4769" t="s">
        <v>22323</v>
      </c>
      <c r="F4769" t="s">
        <v>30900</v>
      </c>
      <c r="G4769" t="s">
        <v>30908</v>
      </c>
      <c r="H4769" t="s">
        <v>30916</v>
      </c>
      <c r="I4769" t="s">
        <v>30921</v>
      </c>
      <c r="J4769" t="s">
        <v>34242</v>
      </c>
      <c r="K4769" t="s">
        <v>40283</v>
      </c>
      <c r="M4769" t="s">
        <v>42443</v>
      </c>
      <c r="N4769" t="s">
        <v>44759</v>
      </c>
      <c r="O4769" t="s">
        <v>44760</v>
      </c>
      <c r="P4769">
        <v>0</v>
      </c>
      <c r="Q4769">
        <v>2</v>
      </c>
      <c r="R4769" t="s">
        <v>44764</v>
      </c>
      <c r="S4769" t="s">
        <v>44889</v>
      </c>
      <c r="T4769" t="s">
        <v>46625</v>
      </c>
      <c r="U4769" t="s">
        <v>50960</v>
      </c>
      <c r="W4769" t="s">
        <v>42443</v>
      </c>
      <c r="X4769" t="s">
        <v>44766</v>
      </c>
    </row>
    <row r="4770" spans="1:24">
      <c r="A4770">
        <f>HYPERLINK("https://www.philgeps.gov.ph/GEPSNONPILOT/Tender/SplashBidNoticeAbstractUI.aspx?menuIndex=3&amp;refID=7148583&amp;Result=3","7148583")</f>
        <v>0</v>
      </c>
      <c r="B4770" t="s">
        <v>1399</v>
      </c>
      <c r="C4770" t="s">
        <v>5383</v>
      </c>
      <c r="D4770" t="s">
        <v>18017</v>
      </c>
      <c r="E4770" t="s">
        <v>22324</v>
      </c>
      <c r="F4770" t="s">
        <v>30900</v>
      </c>
      <c r="G4770" t="s">
        <v>30909</v>
      </c>
      <c r="H4770" t="s">
        <v>30916</v>
      </c>
      <c r="I4770" t="s">
        <v>4142</v>
      </c>
      <c r="J4770" t="s">
        <v>33309</v>
      </c>
      <c r="K4770" t="s">
        <v>40287</v>
      </c>
      <c r="M4770" t="s">
        <v>42358</v>
      </c>
      <c r="N4770" t="s">
        <v>44759</v>
      </c>
      <c r="O4770" t="s">
        <v>44760</v>
      </c>
      <c r="P4770">
        <v>0</v>
      </c>
      <c r="Q4770">
        <v>0</v>
      </c>
      <c r="R4770" t="s">
        <v>44764</v>
      </c>
      <c r="S4770" t="s">
        <v>44889</v>
      </c>
      <c r="T4770" t="s">
        <v>46418</v>
      </c>
      <c r="U4770" t="s">
        <v>50961</v>
      </c>
      <c r="W4770" t="s">
        <v>42358</v>
      </c>
      <c r="X4770" t="s">
        <v>44766</v>
      </c>
    </row>
    <row r="4771" spans="1:24">
      <c r="A4771">
        <f>HYPERLINK("https://www.philgeps.gov.ph/GEPSNONPILOT/Tender/SplashBidNoticeAbstractUI.aspx?menuIndex=3&amp;refID=7148580&amp;Result=3","7148580")</f>
        <v>0</v>
      </c>
      <c r="B4771" t="s">
        <v>1771</v>
      </c>
      <c r="C4771" t="s">
        <v>8263</v>
      </c>
      <c r="D4771" t="s">
        <v>18013</v>
      </c>
      <c r="E4771" t="s">
        <v>18255</v>
      </c>
      <c r="F4771" t="s">
        <v>30900</v>
      </c>
      <c r="G4771" t="s">
        <v>30907</v>
      </c>
      <c r="H4771" t="s">
        <v>30916</v>
      </c>
      <c r="I4771" t="s">
        <v>5830</v>
      </c>
      <c r="J4771" t="s">
        <v>34243</v>
      </c>
      <c r="K4771" t="s">
        <v>40288</v>
      </c>
      <c r="M4771" t="s">
        <v>42444</v>
      </c>
      <c r="N4771" t="s">
        <v>44759</v>
      </c>
      <c r="O4771" t="s">
        <v>44760</v>
      </c>
      <c r="Q4771">
        <v>8</v>
      </c>
      <c r="R4771" t="s">
        <v>44764</v>
      </c>
      <c r="S4771" t="s">
        <v>44890</v>
      </c>
      <c r="T4771" t="s">
        <v>46356</v>
      </c>
      <c r="U4771" t="s">
        <v>50962</v>
      </c>
      <c r="W4771" t="s">
        <v>42444</v>
      </c>
      <c r="X4771" t="s">
        <v>44766</v>
      </c>
    </row>
    <row r="4772" spans="1:24">
      <c r="A4772">
        <f>HYPERLINK("https://www.philgeps.gov.ph/GEPSNONPILOT/Tender/SplashBidNoticeAbstractUI.aspx?menuIndex=3&amp;refID=7149186&amp;Result=3","7149186")</f>
        <v>0</v>
      </c>
      <c r="B4772" t="s">
        <v>1758</v>
      </c>
      <c r="C4772" t="s">
        <v>8264</v>
      </c>
      <c r="D4772" t="s">
        <v>17959</v>
      </c>
      <c r="E4772" t="s">
        <v>22325</v>
      </c>
      <c r="F4772" t="s">
        <v>30900</v>
      </c>
      <c r="G4772" t="s">
        <v>30907</v>
      </c>
      <c r="H4772" t="s">
        <v>30916</v>
      </c>
      <c r="I4772" t="s">
        <v>4142</v>
      </c>
      <c r="J4772" t="s">
        <v>34244</v>
      </c>
      <c r="K4772" t="s">
        <v>40286</v>
      </c>
      <c r="M4772" t="s">
        <v>42428</v>
      </c>
      <c r="N4772" t="s">
        <v>44759</v>
      </c>
      <c r="O4772" t="s">
        <v>44760</v>
      </c>
      <c r="P4772">
        <v>0</v>
      </c>
      <c r="Q4772">
        <v>4</v>
      </c>
      <c r="R4772" t="s">
        <v>44763</v>
      </c>
      <c r="S4772" t="s">
        <v>44876</v>
      </c>
      <c r="T4772" t="s">
        <v>46554</v>
      </c>
      <c r="U4772" t="s">
        <v>50963</v>
      </c>
      <c r="V4772" t="s">
        <v>59617</v>
      </c>
      <c r="W4772" t="s">
        <v>42428</v>
      </c>
      <c r="X4772" t="s">
        <v>44764</v>
      </c>
    </row>
    <row r="4773" spans="1:24">
      <c r="A4773">
        <f>HYPERLINK("https://www.philgeps.gov.ph/GEPSNONPILOT/Tender/SplashBidNoticeAbstractUI.aspx?menuIndex=3&amp;refID=7148574&amp;Result=3","7148574")</f>
        <v>0</v>
      </c>
      <c r="B4773" t="s">
        <v>1399</v>
      </c>
      <c r="C4773" t="s">
        <v>5383</v>
      </c>
      <c r="D4773" t="s">
        <v>18017</v>
      </c>
      <c r="E4773" t="s">
        <v>22326</v>
      </c>
      <c r="F4773" t="s">
        <v>30900</v>
      </c>
      <c r="G4773" t="s">
        <v>30909</v>
      </c>
      <c r="H4773" t="s">
        <v>30916</v>
      </c>
      <c r="I4773" t="s">
        <v>6396</v>
      </c>
      <c r="J4773" t="s">
        <v>34245</v>
      </c>
      <c r="K4773" t="s">
        <v>40287</v>
      </c>
      <c r="M4773" t="s">
        <v>42358</v>
      </c>
      <c r="N4773" t="s">
        <v>44759</v>
      </c>
      <c r="O4773" t="s">
        <v>44760</v>
      </c>
      <c r="P4773">
        <v>0</v>
      </c>
      <c r="Q4773">
        <v>0</v>
      </c>
      <c r="R4773" t="s">
        <v>44764</v>
      </c>
      <c r="S4773" t="s">
        <v>44889</v>
      </c>
      <c r="T4773" t="s">
        <v>46418</v>
      </c>
      <c r="U4773" t="s">
        <v>50964</v>
      </c>
      <c r="W4773" t="s">
        <v>42358</v>
      </c>
      <c r="X4773" t="s">
        <v>44766</v>
      </c>
    </row>
    <row r="4774" spans="1:24">
      <c r="A4774">
        <f>HYPERLINK("https://www.philgeps.gov.ph/GEPSNONPILOT/Tender/SplashBidNoticeAbstractUI.aspx?menuIndex=3&amp;refID=7147639&amp;Result=3","7147639")</f>
        <v>0</v>
      </c>
      <c r="B4774" t="s">
        <v>908</v>
      </c>
      <c r="C4774" t="s">
        <v>8265</v>
      </c>
      <c r="D4774" t="s">
        <v>17952</v>
      </c>
      <c r="E4774" t="s">
        <v>22327</v>
      </c>
      <c r="F4774" t="s">
        <v>30900</v>
      </c>
      <c r="G4774" t="s">
        <v>30908</v>
      </c>
      <c r="H4774" t="s">
        <v>30916</v>
      </c>
      <c r="I4774" t="s">
        <v>6746</v>
      </c>
      <c r="J4774" t="s">
        <v>34246</v>
      </c>
      <c r="K4774" t="s">
        <v>40286</v>
      </c>
      <c r="M4774" t="s">
        <v>41483</v>
      </c>
      <c r="N4774" t="s">
        <v>44759</v>
      </c>
      <c r="O4774" t="s">
        <v>44760</v>
      </c>
      <c r="P4774">
        <v>0</v>
      </c>
      <c r="Q4774">
        <v>0</v>
      </c>
      <c r="R4774" t="s">
        <v>44764</v>
      </c>
      <c r="S4774" t="s">
        <v>44889</v>
      </c>
      <c r="T4774" t="s">
        <v>46658</v>
      </c>
      <c r="U4774" t="s">
        <v>50965</v>
      </c>
      <c r="W4774" t="s">
        <v>41483</v>
      </c>
      <c r="X4774" t="s">
        <v>44767</v>
      </c>
    </row>
    <row r="4775" spans="1:24">
      <c r="A4775">
        <f>HYPERLINK("https://www.philgeps.gov.ph/GEPSNONPILOT/Tender/SplashBidNoticeAbstractUI.aspx?menuIndex=3&amp;refID=7149207&amp;Result=3","7149207")</f>
        <v>0</v>
      </c>
      <c r="B4775" t="s">
        <v>1714</v>
      </c>
      <c r="C4775" t="s">
        <v>8266</v>
      </c>
      <c r="D4775" t="s">
        <v>18013</v>
      </c>
      <c r="E4775" t="s">
        <v>22328</v>
      </c>
      <c r="F4775" t="s">
        <v>30900</v>
      </c>
      <c r="G4775" t="s">
        <v>30908</v>
      </c>
      <c r="H4775" t="s">
        <v>30916</v>
      </c>
      <c r="I4775" t="s">
        <v>30940</v>
      </c>
      <c r="J4775" t="s">
        <v>31713</v>
      </c>
      <c r="K4775" t="s">
        <v>40283</v>
      </c>
      <c r="M4775" t="s">
        <v>42377</v>
      </c>
      <c r="N4775" t="s">
        <v>44759</v>
      </c>
      <c r="O4775" t="s">
        <v>44760</v>
      </c>
      <c r="P4775">
        <v>0</v>
      </c>
      <c r="Q4775">
        <v>1</v>
      </c>
      <c r="R4775" t="s">
        <v>44763</v>
      </c>
      <c r="S4775" t="s">
        <v>44876</v>
      </c>
      <c r="T4775" t="s">
        <v>46357</v>
      </c>
      <c r="U4775" t="s">
        <v>50966</v>
      </c>
      <c r="W4775" t="s">
        <v>42377</v>
      </c>
      <c r="X4775" t="s">
        <v>44764</v>
      </c>
    </row>
    <row r="4776" spans="1:24">
      <c r="A4776">
        <f>HYPERLINK("https://www.philgeps.gov.ph/GEPSNONPILOT/Tender/SplashBidNoticeAbstractUI.aspx?menuIndex=3&amp;refID=7147382&amp;Result=3","7147382")</f>
        <v>0</v>
      </c>
      <c r="B4776" t="s">
        <v>1458</v>
      </c>
      <c r="C4776" t="s">
        <v>8267</v>
      </c>
      <c r="D4776" t="s">
        <v>17977</v>
      </c>
      <c r="E4776" t="s">
        <v>18094</v>
      </c>
      <c r="F4776" t="s">
        <v>30900</v>
      </c>
      <c r="G4776" t="s">
        <v>30907</v>
      </c>
      <c r="H4776" t="s">
        <v>30916</v>
      </c>
      <c r="I4776" t="s">
        <v>8123</v>
      </c>
      <c r="J4776" t="s">
        <v>34247</v>
      </c>
      <c r="K4776" t="s">
        <v>40284</v>
      </c>
      <c r="M4776" t="s">
        <v>42090</v>
      </c>
      <c r="N4776" t="s">
        <v>44759</v>
      </c>
      <c r="O4776" t="s">
        <v>44760</v>
      </c>
      <c r="P4776">
        <v>0</v>
      </c>
      <c r="Q4776">
        <v>1</v>
      </c>
      <c r="R4776" t="s">
        <v>44764</v>
      </c>
      <c r="S4776" t="s">
        <v>44889</v>
      </c>
      <c r="T4776" t="s">
        <v>46376</v>
      </c>
      <c r="U4776" t="s">
        <v>50967</v>
      </c>
      <c r="W4776" t="s">
        <v>42090</v>
      </c>
      <c r="X4776" t="s">
        <v>44767</v>
      </c>
    </row>
    <row r="4777" spans="1:24">
      <c r="A4777">
        <f>HYPERLINK("https://www.philgeps.gov.ph/GEPSNONPILOT/Tender/SplashBidNoticeAbstractUI.aspx?menuIndex=3&amp;refID=7147252&amp;Result=3","7147252")</f>
        <v>0</v>
      </c>
      <c r="B4777" t="s">
        <v>115</v>
      </c>
      <c r="C4777" t="s">
        <v>8268</v>
      </c>
      <c r="D4777" t="s">
        <v>17960</v>
      </c>
      <c r="E4777" t="s">
        <v>22329</v>
      </c>
      <c r="F4777" t="s">
        <v>30900</v>
      </c>
      <c r="G4777" t="s">
        <v>30907</v>
      </c>
      <c r="H4777" t="s">
        <v>30916</v>
      </c>
      <c r="I4777" t="s">
        <v>8123</v>
      </c>
      <c r="J4777" t="s">
        <v>34248</v>
      </c>
      <c r="K4777" t="s">
        <v>40286</v>
      </c>
      <c r="M4777" t="s">
        <v>40662</v>
      </c>
      <c r="N4777" t="s">
        <v>44759</v>
      </c>
      <c r="O4777" t="s">
        <v>44760</v>
      </c>
      <c r="P4777">
        <v>0</v>
      </c>
      <c r="Q4777">
        <v>0</v>
      </c>
      <c r="R4777" t="s">
        <v>44764</v>
      </c>
      <c r="S4777" t="s">
        <v>44889</v>
      </c>
      <c r="T4777" t="s">
        <v>46380</v>
      </c>
      <c r="U4777" t="s">
        <v>50968</v>
      </c>
      <c r="V4777" t="s">
        <v>59621</v>
      </c>
      <c r="W4777" t="s">
        <v>40662</v>
      </c>
      <c r="X4777" t="s">
        <v>44767</v>
      </c>
    </row>
    <row r="4778" spans="1:24">
      <c r="A4778">
        <f>HYPERLINK("https://www.philgeps.gov.ph/GEPSNONPILOT/Tender/SplashBidNoticeAbstractUI.aspx?menuIndex=3&amp;refID=7142742&amp;Result=3","7142742")</f>
        <v>0</v>
      </c>
      <c r="B4778" t="s">
        <v>1772</v>
      </c>
      <c r="C4778" t="s">
        <v>8269</v>
      </c>
      <c r="D4778" t="s">
        <v>18020</v>
      </c>
      <c r="E4778" t="s">
        <v>18094</v>
      </c>
      <c r="F4778" t="s">
        <v>30900</v>
      </c>
      <c r="G4778" t="s">
        <v>30908</v>
      </c>
      <c r="H4778" t="s">
        <v>30916</v>
      </c>
      <c r="I4778" t="s">
        <v>8365</v>
      </c>
      <c r="J4778" t="s">
        <v>34249</v>
      </c>
      <c r="K4778" t="s">
        <v>40283</v>
      </c>
      <c r="L4778" t="s">
        <v>1772</v>
      </c>
      <c r="M4778" t="s">
        <v>42445</v>
      </c>
      <c r="N4778" t="s">
        <v>44759</v>
      </c>
      <c r="O4778" t="s">
        <v>44760</v>
      </c>
      <c r="P4778">
        <v>0</v>
      </c>
      <c r="Q4778">
        <v>3</v>
      </c>
      <c r="R4778" t="s">
        <v>44764</v>
      </c>
      <c r="S4778" t="s">
        <v>44889</v>
      </c>
      <c r="T4778" t="s">
        <v>46581</v>
      </c>
      <c r="U4778" t="s">
        <v>50969</v>
      </c>
      <c r="W4778" t="s">
        <v>42445</v>
      </c>
      <c r="X4778" t="s">
        <v>44768</v>
      </c>
    </row>
    <row r="4779" spans="1:24">
      <c r="A4779">
        <f>HYPERLINK("https://www.philgeps.gov.ph/GEPSNONPILOT/Tender/SplashBidNoticeAbstractUI.aspx?menuIndex=3&amp;refID=7141808&amp;Result=3","7141808")</f>
        <v>0</v>
      </c>
      <c r="B4779" t="s">
        <v>1773</v>
      </c>
      <c r="C4779" t="s">
        <v>8270</v>
      </c>
      <c r="D4779" t="s">
        <v>17953</v>
      </c>
      <c r="E4779" t="s">
        <v>19215</v>
      </c>
      <c r="F4779" t="s">
        <v>30900</v>
      </c>
      <c r="G4779" t="s">
        <v>30907</v>
      </c>
      <c r="H4779" t="s">
        <v>30916</v>
      </c>
      <c r="I4779" t="s">
        <v>30980</v>
      </c>
      <c r="J4779" t="s">
        <v>31257</v>
      </c>
      <c r="K4779" t="s">
        <v>40289</v>
      </c>
      <c r="M4779" t="s">
        <v>42446</v>
      </c>
      <c r="N4779" t="s">
        <v>44759</v>
      </c>
      <c r="O4779" t="s">
        <v>44760</v>
      </c>
      <c r="P4779">
        <v>0</v>
      </c>
      <c r="Q4779">
        <v>0</v>
      </c>
      <c r="R4779" t="s">
        <v>44764</v>
      </c>
      <c r="S4779" t="s">
        <v>44889</v>
      </c>
      <c r="T4779" t="s">
        <v>46694</v>
      </c>
      <c r="U4779" t="s">
        <v>50970</v>
      </c>
      <c r="W4779" t="s">
        <v>42446</v>
      </c>
      <c r="X4779" t="s">
        <v>44769</v>
      </c>
    </row>
    <row r="4780" spans="1:24">
      <c r="A4780">
        <f>HYPERLINK("https://www.philgeps.gov.ph/GEPSNONPILOT/Tender/SplashBidNoticeAbstractUI.aspx?menuIndex=3&amp;refID=7149205&amp;Result=3","7149205")</f>
        <v>0</v>
      </c>
      <c r="B4780" t="s">
        <v>1774</v>
      </c>
      <c r="C4780" t="s">
        <v>8271</v>
      </c>
      <c r="D4780" t="s">
        <v>18000</v>
      </c>
      <c r="E4780" t="s">
        <v>22330</v>
      </c>
      <c r="F4780" t="s">
        <v>30900</v>
      </c>
      <c r="G4780" t="s">
        <v>30907</v>
      </c>
      <c r="H4780" t="s">
        <v>30916</v>
      </c>
      <c r="I4780" t="s">
        <v>30949</v>
      </c>
      <c r="J4780" t="s">
        <v>31204</v>
      </c>
      <c r="K4780" t="s">
        <v>40283</v>
      </c>
      <c r="M4780" t="s">
        <v>42447</v>
      </c>
      <c r="N4780" t="s">
        <v>44759</v>
      </c>
      <c r="O4780" t="s">
        <v>44760</v>
      </c>
      <c r="P4780">
        <v>0</v>
      </c>
      <c r="Q4780">
        <v>3</v>
      </c>
      <c r="R4780" t="s">
        <v>44763</v>
      </c>
      <c r="S4780" t="s">
        <v>44876</v>
      </c>
      <c r="T4780" t="s">
        <v>46393</v>
      </c>
      <c r="U4780" t="s">
        <v>50971</v>
      </c>
      <c r="W4780" t="s">
        <v>42447</v>
      </c>
      <c r="X4780" t="s">
        <v>44764</v>
      </c>
    </row>
    <row r="4781" spans="1:24">
      <c r="A4781">
        <f>HYPERLINK("https://www.philgeps.gov.ph/GEPSNONPILOT/Tender/SplashBidNoticeAbstractUI.aspx?menuIndex=3&amp;refID=7149213&amp;Result=3","7149213")</f>
        <v>0</v>
      </c>
      <c r="B4781" t="s">
        <v>1181</v>
      </c>
      <c r="C4781" t="s">
        <v>8272</v>
      </c>
      <c r="D4781" t="s">
        <v>17959</v>
      </c>
      <c r="E4781" t="s">
        <v>22331</v>
      </c>
      <c r="F4781" t="s">
        <v>30900</v>
      </c>
      <c r="G4781" t="s">
        <v>30906</v>
      </c>
      <c r="H4781" t="s">
        <v>30916</v>
      </c>
      <c r="I4781" t="s">
        <v>5830</v>
      </c>
      <c r="J4781" t="s">
        <v>34250</v>
      </c>
      <c r="K4781" t="s">
        <v>40289</v>
      </c>
      <c r="M4781" t="s">
        <v>41790</v>
      </c>
      <c r="N4781" t="s">
        <v>44759</v>
      </c>
      <c r="O4781" t="s">
        <v>44760</v>
      </c>
      <c r="P4781">
        <v>0</v>
      </c>
      <c r="Q4781">
        <v>4</v>
      </c>
      <c r="R4781" t="s">
        <v>44763</v>
      </c>
      <c r="S4781" t="s">
        <v>44876</v>
      </c>
      <c r="T4781" t="s">
        <v>46393</v>
      </c>
      <c r="U4781" t="s">
        <v>50972</v>
      </c>
      <c r="W4781" t="s">
        <v>41790</v>
      </c>
      <c r="X4781" t="s">
        <v>44764</v>
      </c>
    </row>
    <row r="4782" spans="1:24">
      <c r="A4782">
        <f>HYPERLINK("https://www.philgeps.gov.ph/GEPSNONPILOT/Tender/SplashBidNoticeAbstractUI.aspx?menuIndex=3&amp;refID=7149212&amp;Result=3","7149212")</f>
        <v>0</v>
      </c>
      <c r="B4782" t="s">
        <v>1775</v>
      </c>
      <c r="C4782" t="s">
        <v>8273</v>
      </c>
      <c r="D4782" t="s">
        <v>18032</v>
      </c>
      <c r="E4782" t="s">
        <v>22332</v>
      </c>
      <c r="F4782" t="s">
        <v>30900</v>
      </c>
      <c r="G4782" t="s">
        <v>30909</v>
      </c>
      <c r="H4782" t="s">
        <v>30916</v>
      </c>
      <c r="I4782" t="s">
        <v>4545</v>
      </c>
      <c r="J4782" t="s">
        <v>31518</v>
      </c>
      <c r="K4782" t="s">
        <v>40294</v>
      </c>
      <c r="M4782" t="s">
        <v>42448</v>
      </c>
      <c r="N4782" t="s">
        <v>44759</v>
      </c>
      <c r="O4782" t="s">
        <v>44760</v>
      </c>
      <c r="P4782">
        <v>0</v>
      </c>
      <c r="Q4782">
        <v>1</v>
      </c>
      <c r="R4782" t="s">
        <v>44763</v>
      </c>
      <c r="S4782" t="s">
        <v>44876</v>
      </c>
      <c r="T4782" t="s">
        <v>46533</v>
      </c>
      <c r="U4782" t="s">
        <v>50973</v>
      </c>
      <c r="W4782" t="s">
        <v>42448</v>
      </c>
      <c r="X4782" t="s">
        <v>44764</v>
      </c>
    </row>
    <row r="4783" spans="1:24">
      <c r="A4783">
        <f>HYPERLINK("https://www.philgeps.gov.ph/GEPSNONPILOT/Tender/SplashBidNoticeAbstractUI.aspx?menuIndex=3&amp;refID=7149210&amp;Result=3","7149210")</f>
        <v>0</v>
      </c>
      <c r="B4783" t="s">
        <v>1714</v>
      </c>
      <c r="C4783" t="s">
        <v>8274</v>
      </c>
      <c r="D4783" t="s">
        <v>18013</v>
      </c>
      <c r="E4783" t="s">
        <v>22333</v>
      </c>
      <c r="F4783" t="s">
        <v>30900</v>
      </c>
      <c r="G4783" t="s">
        <v>30908</v>
      </c>
      <c r="H4783" t="s">
        <v>30916</v>
      </c>
      <c r="I4783" t="s">
        <v>30922</v>
      </c>
      <c r="J4783" t="s">
        <v>34251</v>
      </c>
      <c r="K4783" t="s">
        <v>40284</v>
      </c>
      <c r="M4783" t="s">
        <v>42377</v>
      </c>
      <c r="N4783" t="s">
        <v>44759</v>
      </c>
      <c r="O4783" t="s">
        <v>44760</v>
      </c>
      <c r="P4783">
        <v>0</v>
      </c>
      <c r="Q4783">
        <v>0</v>
      </c>
      <c r="R4783" t="s">
        <v>44763</v>
      </c>
      <c r="S4783" t="s">
        <v>44876</v>
      </c>
      <c r="T4783" t="s">
        <v>46421</v>
      </c>
      <c r="U4783" t="s">
        <v>50974</v>
      </c>
      <c r="W4783" t="s">
        <v>42377</v>
      </c>
      <c r="X4783" t="s">
        <v>44764</v>
      </c>
    </row>
    <row r="4784" spans="1:24">
      <c r="A4784">
        <f>HYPERLINK("https://www.philgeps.gov.ph/GEPSNONPILOT/Tender/SplashBidNoticeAbstractUI.aspx?menuIndex=3&amp;refID=7148577&amp;Result=3","7148577")</f>
        <v>0</v>
      </c>
      <c r="B4784" t="s">
        <v>1399</v>
      </c>
      <c r="C4784" t="s">
        <v>8275</v>
      </c>
      <c r="D4784" t="s">
        <v>18017</v>
      </c>
      <c r="E4784" t="s">
        <v>22334</v>
      </c>
      <c r="F4784" t="s">
        <v>30900</v>
      </c>
      <c r="G4784" t="s">
        <v>30908</v>
      </c>
      <c r="H4784" t="s">
        <v>30916</v>
      </c>
      <c r="I4784" t="s">
        <v>4050</v>
      </c>
      <c r="J4784" t="s">
        <v>34252</v>
      </c>
      <c r="K4784" t="s">
        <v>40287</v>
      </c>
      <c r="M4784" t="s">
        <v>42358</v>
      </c>
      <c r="N4784" t="s">
        <v>44759</v>
      </c>
      <c r="O4784" t="s">
        <v>44760</v>
      </c>
      <c r="P4784">
        <v>0</v>
      </c>
      <c r="Q4784">
        <v>1</v>
      </c>
      <c r="R4784" t="s">
        <v>44764</v>
      </c>
      <c r="S4784" t="s">
        <v>44889</v>
      </c>
      <c r="T4784" t="s">
        <v>46418</v>
      </c>
      <c r="U4784" t="s">
        <v>50975</v>
      </c>
      <c r="W4784" t="s">
        <v>42358</v>
      </c>
      <c r="X4784" t="s">
        <v>44766</v>
      </c>
    </row>
    <row r="4785" spans="1:24">
      <c r="A4785">
        <f>HYPERLINK("https://www.philgeps.gov.ph/GEPSNONPILOT/Tender/SplashBidNoticeAbstractUI.aspx?menuIndex=3&amp;refID=7148608&amp;Result=3","7148608")</f>
        <v>0</v>
      </c>
      <c r="B4785" t="s">
        <v>1014</v>
      </c>
      <c r="C4785" t="s">
        <v>8276</v>
      </c>
      <c r="E4785" t="s">
        <v>19396</v>
      </c>
      <c r="F4785" t="s">
        <v>30900</v>
      </c>
      <c r="G4785" t="s">
        <v>30908</v>
      </c>
      <c r="H4785" t="s">
        <v>30916</v>
      </c>
      <c r="I4785" t="s">
        <v>30939</v>
      </c>
      <c r="J4785" t="s">
        <v>33133</v>
      </c>
      <c r="K4785" t="s">
        <v>40283</v>
      </c>
      <c r="M4785" t="s">
        <v>42449</v>
      </c>
      <c r="N4785" t="s">
        <v>44759</v>
      </c>
      <c r="O4785" t="s">
        <v>44760</v>
      </c>
      <c r="P4785">
        <v>0</v>
      </c>
      <c r="Q4785">
        <v>1</v>
      </c>
      <c r="R4785" t="s">
        <v>44764</v>
      </c>
      <c r="S4785" t="s">
        <v>44889</v>
      </c>
      <c r="T4785" t="s">
        <v>46548</v>
      </c>
      <c r="U4785" t="s">
        <v>48848</v>
      </c>
      <c r="V4785" t="s">
        <v>59622</v>
      </c>
      <c r="W4785" t="s">
        <v>42449</v>
      </c>
      <c r="X4785" t="s">
        <v>44765</v>
      </c>
    </row>
    <row r="4786" spans="1:24">
      <c r="A4786">
        <f>HYPERLINK("https://www.philgeps.gov.ph/GEPSNONPILOT/Tender/SplashBidNoticeAbstractUI.aspx?menuIndex=3&amp;refID=7147739&amp;Result=3","7147739")</f>
        <v>0</v>
      </c>
      <c r="B4786" t="s">
        <v>1776</v>
      </c>
      <c r="C4786" t="s">
        <v>8277</v>
      </c>
      <c r="D4786" t="s">
        <v>17989</v>
      </c>
      <c r="E4786" t="s">
        <v>22335</v>
      </c>
      <c r="F4786" t="s">
        <v>30900</v>
      </c>
      <c r="G4786" t="s">
        <v>30909</v>
      </c>
      <c r="H4786" t="s">
        <v>30916</v>
      </c>
      <c r="I4786" t="s">
        <v>10961</v>
      </c>
      <c r="J4786" t="s">
        <v>34253</v>
      </c>
      <c r="K4786" t="s">
        <v>40283</v>
      </c>
      <c r="M4786" t="s">
        <v>42450</v>
      </c>
      <c r="N4786" t="s">
        <v>44759</v>
      </c>
      <c r="O4786" t="s">
        <v>44760</v>
      </c>
      <c r="P4786">
        <v>0</v>
      </c>
      <c r="Q4786">
        <v>5</v>
      </c>
      <c r="R4786" t="s">
        <v>44764</v>
      </c>
      <c r="S4786" t="s">
        <v>44889</v>
      </c>
      <c r="T4786" t="s">
        <v>46399</v>
      </c>
      <c r="U4786" t="s">
        <v>50976</v>
      </c>
      <c r="W4786" t="s">
        <v>42450</v>
      </c>
      <c r="X4786" t="s">
        <v>44767</v>
      </c>
    </row>
    <row r="4787" spans="1:24">
      <c r="A4787">
        <f>HYPERLINK("https://www.philgeps.gov.ph/GEPSNONPILOT/Tender/SplashBidNoticeAbstractUI.aspx?menuIndex=3&amp;refID=7148628&amp;Result=3","7148628")</f>
        <v>0</v>
      </c>
      <c r="B4787" t="s">
        <v>58</v>
      </c>
      <c r="C4787" t="s">
        <v>8278</v>
      </c>
      <c r="D4787" t="s">
        <v>17977</v>
      </c>
      <c r="E4787" t="s">
        <v>22336</v>
      </c>
      <c r="F4787" t="s">
        <v>30900</v>
      </c>
      <c r="G4787" t="s">
        <v>30910</v>
      </c>
      <c r="H4787" t="s">
        <v>30916</v>
      </c>
      <c r="I4787" t="s">
        <v>4142</v>
      </c>
      <c r="J4787" t="s">
        <v>34254</v>
      </c>
      <c r="K4787" t="s">
        <v>40287</v>
      </c>
      <c r="M4787" t="s">
        <v>40604</v>
      </c>
      <c r="N4787" t="s">
        <v>44759</v>
      </c>
      <c r="O4787" t="s">
        <v>44760</v>
      </c>
      <c r="P4787">
        <v>0</v>
      </c>
      <c r="Q4787">
        <v>2</v>
      </c>
      <c r="R4787" t="s">
        <v>44764</v>
      </c>
      <c r="S4787" t="s">
        <v>44889</v>
      </c>
      <c r="T4787" t="s">
        <v>46625</v>
      </c>
      <c r="U4787" t="s">
        <v>50977</v>
      </c>
      <c r="V4787" t="s">
        <v>59623</v>
      </c>
      <c r="W4787" t="s">
        <v>60815</v>
      </c>
      <c r="X4787" t="s">
        <v>44765</v>
      </c>
    </row>
    <row r="4788" spans="1:24">
      <c r="A4788">
        <f>HYPERLINK("https://www.philgeps.gov.ph/GEPSNONPILOT/Tender/SplashBidNoticeAbstractUI.aspx?menuIndex=3&amp;refID=7148627&amp;Result=3","7148627")</f>
        <v>0</v>
      </c>
      <c r="B4788" t="s">
        <v>1777</v>
      </c>
      <c r="C4788" t="s">
        <v>8279</v>
      </c>
      <c r="D4788" t="s">
        <v>17994</v>
      </c>
      <c r="E4788" t="s">
        <v>22337</v>
      </c>
      <c r="F4788" t="s">
        <v>30900</v>
      </c>
      <c r="G4788" t="s">
        <v>30906</v>
      </c>
      <c r="H4788" t="s">
        <v>30916</v>
      </c>
      <c r="I4788" t="s">
        <v>30966</v>
      </c>
      <c r="J4788" t="s">
        <v>34255</v>
      </c>
      <c r="K4788" t="s">
        <v>40281</v>
      </c>
      <c r="M4788" t="s">
        <v>42451</v>
      </c>
      <c r="N4788" t="s">
        <v>44759</v>
      </c>
      <c r="O4788" t="s">
        <v>44760</v>
      </c>
      <c r="P4788">
        <v>0</v>
      </c>
      <c r="Q4788">
        <v>1</v>
      </c>
      <c r="R4788" t="s">
        <v>44764</v>
      </c>
      <c r="S4788" t="s">
        <v>44889</v>
      </c>
      <c r="T4788" t="s">
        <v>46612</v>
      </c>
      <c r="U4788" t="s">
        <v>50978</v>
      </c>
      <c r="W4788" t="s">
        <v>42451</v>
      </c>
      <c r="X4788" t="s">
        <v>44765</v>
      </c>
    </row>
    <row r="4789" spans="1:24">
      <c r="A4789">
        <f>HYPERLINK("https://www.philgeps.gov.ph/GEPSNONPILOT/Tender/SplashBidNoticeAbstractUI.aspx?menuIndex=3&amp;refID=7148625&amp;Result=3","7148625")</f>
        <v>0</v>
      </c>
      <c r="B4789" t="s">
        <v>1777</v>
      </c>
      <c r="C4789" t="s">
        <v>8280</v>
      </c>
      <c r="D4789" t="s">
        <v>17994</v>
      </c>
      <c r="E4789" t="s">
        <v>8280</v>
      </c>
      <c r="F4789" t="s">
        <v>30900</v>
      </c>
      <c r="G4789" t="s">
        <v>30906</v>
      </c>
      <c r="H4789" t="s">
        <v>30916</v>
      </c>
      <c r="I4789" t="s">
        <v>4545</v>
      </c>
      <c r="J4789" t="s">
        <v>31635</v>
      </c>
      <c r="K4789" t="s">
        <v>40286</v>
      </c>
      <c r="M4789" t="s">
        <v>42451</v>
      </c>
      <c r="N4789" t="s">
        <v>44759</v>
      </c>
      <c r="O4789" t="s">
        <v>44760</v>
      </c>
      <c r="P4789">
        <v>0</v>
      </c>
      <c r="Q4789">
        <v>4</v>
      </c>
      <c r="R4789" t="s">
        <v>44764</v>
      </c>
      <c r="S4789" t="s">
        <v>44889</v>
      </c>
      <c r="T4789" t="s">
        <v>46612</v>
      </c>
      <c r="U4789" t="s">
        <v>50979</v>
      </c>
      <c r="W4789" t="s">
        <v>42451</v>
      </c>
      <c r="X4789" t="s">
        <v>44765</v>
      </c>
    </row>
    <row r="4790" spans="1:24">
      <c r="A4790">
        <f>HYPERLINK("https://www.philgeps.gov.ph/GEPSNONPILOT/Tender/SplashBidNoticeAbstractUI.aspx?menuIndex=3&amp;refID=7148588&amp;Result=3","7148588")</f>
        <v>0</v>
      </c>
      <c r="B4790" t="s">
        <v>1778</v>
      </c>
      <c r="C4790" t="s">
        <v>8281</v>
      </c>
      <c r="D4790" t="s">
        <v>17959</v>
      </c>
      <c r="E4790" t="s">
        <v>19236</v>
      </c>
      <c r="F4790" t="s">
        <v>30900</v>
      </c>
      <c r="G4790" t="s">
        <v>30908</v>
      </c>
      <c r="H4790" t="s">
        <v>30916</v>
      </c>
      <c r="I4790" t="s">
        <v>5830</v>
      </c>
      <c r="J4790" t="s">
        <v>34256</v>
      </c>
      <c r="K4790" t="s">
        <v>40287</v>
      </c>
      <c r="M4790" t="s">
        <v>42452</v>
      </c>
      <c r="N4790" t="s">
        <v>44759</v>
      </c>
      <c r="O4790" t="s">
        <v>44760</v>
      </c>
      <c r="P4790">
        <v>0</v>
      </c>
      <c r="Q4790">
        <v>0</v>
      </c>
      <c r="R4790" t="s">
        <v>44764</v>
      </c>
      <c r="S4790" t="s">
        <v>44889</v>
      </c>
      <c r="T4790" t="s">
        <v>46398</v>
      </c>
      <c r="U4790" t="s">
        <v>50980</v>
      </c>
      <c r="V4790" t="s">
        <v>59624</v>
      </c>
      <c r="W4790" t="s">
        <v>42452</v>
      </c>
      <c r="X4790" t="s">
        <v>44765</v>
      </c>
    </row>
    <row r="4791" spans="1:24">
      <c r="A4791">
        <f>HYPERLINK("https://www.philgeps.gov.ph/GEPSNONPILOT/Tender/SplashBidNoticeAbstractUI.aspx?menuIndex=3&amp;refID=7149211&amp;Result=3","7149211")</f>
        <v>0</v>
      </c>
      <c r="B4791" t="s">
        <v>1733</v>
      </c>
      <c r="C4791" t="s">
        <v>8282</v>
      </c>
      <c r="E4791" t="s">
        <v>22338</v>
      </c>
      <c r="F4791" t="s">
        <v>30900</v>
      </c>
      <c r="G4791" t="s">
        <v>30907</v>
      </c>
      <c r="H4791" t="s">
        <v>30917</v>
      </c>
      <c r="I4791" t="s">
        <v>31015</v>
      </c>
      <c r="J4791" t="s">
        <v>34257</v>
      </c>
      <c r="K4791" t="s">
        <v>40366</v>
      </c>
      <c r="M4791" t="s">
        <v>42400</v>
      </c>
      <c r="N4791" t="s">
        <v>44759</v>
      </c>
      <c r="O4791" t="s">
        <v>44760</v>
      </c>
      <c r="P4791">
        <v>0</v>
      </c>
      <c r="Q4791">
        <v>2</v>
      </c>
      <c r="R4791" t="s">
        <v>44763</v>
      </c>
      <c r="S4791" t="s">
        <v>44876</v>
      </c>
      <c r="T4791" t="s">
        <v>46377</v>
      </c>
      <c r="U4791" t="s">
        <v>50981</v>
      </c>
      <c r="W4791" t="s">
        <v>42400</v>
      </c>
      <c r="X4791" t="s">
        <v>44764</v>
      </c>
    </row>
    <row r="4792" spans="1:24">
      <c r="A4792">
        <f>HYPERLINK("https://www.philgeps.gov.ph/GEPSNONPILOT/Tender/SplashBidNoticeAbstractUI.aspx?menuIndex=3&amp;refID=7148622&amp;Result=3","7148622")</f>
        <v>0</v>
      </c>
      <c r="B4792" t="s">
        <v>58</v>
      </c>
      <c r="C4792" t="s">
        <v>8278</v>
      </c>
      <c r="D4792" t="s">
        <v>17977</v>
      </c>
      <c r="E4792" t="s">
        <v>22339</v>
      </c>
      <c r="F4792" t="s">
        <v>30900</v>
      </c>
      <c r="G4792" t="s">
        <v>30910</v>
      </c>
      <c r="H4792" t="s">
        <v>30916</v>
      </c>
      <c r="I4792" t="s">
        <v>4142</v>
      </c>
      <c r="J4792" t="s">
        <v>34258</v>
      </c>
      <c r="K4792" t="s">
        <v>40287</v>
      </c>
      <c r="M4792" t="s">
        <v>40604</v>
      </c>
      <c r="N4792" t="s">
        <v>44759</v>
      </c>
      <c r="O4792" t="s">
        <v>44760</v>
      </c>
      <c r="P4792">
        <v>0</v>
      </c>
      <c r="Q4792">
        <v>2</v>
      </c>
      <c r="R4792" t="s">
        <v>44764</v>
      </c>
      <c r="S4792" t="s">
        <v>44889</v>
      </c>
      <c r="T4792" t="s">
        <v>46625</v>
      </c>
      <c r="U4792" t="s">
        <v>50977</v>
      </c>
      <c r="V4792" t="s">
        <v>59625</v>
      </c>
      <c r="W4792" t="s">
        <v>60815</v>
      </c>
      <c r="X4792" t="s">
        <v>44765</v>
      </c>
    </row>
    <row r="4793" spans="1:24">
      <c r="A4793">
        <f>HYPERLINK("https://www.philgeps.gov.ph/GEPSNONPILOT/Tender/SplashBidNoticeAbstractUI.aspx?menuIndex=3&amp;refID=7148616&amp;Result=3","7148616")</f>
        <v>0</v>
      </c>
      <c r="B4793" t="s">
        <v>270</v>
      </c>
      <c r="C4793" t="s">
        <v>8283</v>
      </c>
      <c r="D4793" t="s">
        <v>17985</v>
      </c>
      <c r="E4793" t="s">
        <v>19250</v>
      </c>
      <c r="F4793" t="s">
        <v>30900</v>
      </c>
      <c r="G4793" t="s">
        <v>30907</v>
      </c>
      <c r="H4793" t="s">
        <v>30916</v>
      </c>
      <c r="I4793" t="s">
        <v>30933</v>
      </c>
      <c r="J4793" t="s">
        <v>31105</v>
      </c>
      <c r="K4793" t="s">
        <v>40286</v>
      </c>
      <c r="L4793" t="s">
        <v>270</v>
      </c>
      <c r="M4793" t="s">
        <v>40817</v>
      </c>
      <c r="N4793" t="s">
        <v>44759</v>
      </c>
      <c r="O4793" t="s">
        <v>44760</v>
      </c>
      <c r="P4793">
        <v>0</v>
      </c>
      <c r="Q4793">
        <v>0</v>
      </c>
      <c r="R4793" t="s">
        <v>44764</v>
      </c>
      <c r="S4793" t="s">
        <v>44889</v>
      </c>
      <c r="T4793" t="s">
        <v>46426</v>
      </c>
      <c r="U4793" t="s">
        <v>50982</v>
      </c>
      <c r="W4793" t="s">
        <v>40817</v>
      </c>
      <c r="X4793" t="s">
        <v>44765</v>
      </c>
    </row>
    <row r="4794" spans="1:24">
      <c r="A4794">
        <f>HYPERLINK("https://www.philgeps.gov.ph/GEPSNONPILOT/Tender/SplashBidNoticeAbstractUI.aspx?menuIndex=3&amp;refID=7148613&amp;Result=3","7148613")</f>
        <v>0</v>
      </c>
      <c r="B4794" t="s">
        <v>953</v>
      </c>
      <c r="C4794" t="s">
        <v>8284</v>
      </c>
      <c r="D4794" t="s">
        <v>17996</v>
      </c>
      <c r="E4794" t="s">
        <v>22340</v>
      </c>
      <c r="F4794" t="s">
        <v>30900</v>
      </c>
      <c r="G4794" t="s">
        <v>30907</v>
      </c>
      <c r="H4794" t="s">
        <v>30916</v>
      </c>
      <c r="I4794" t="s">
        <v>30949</v>
      </c>
      <c r="J4794" t="s">
        <v>31241</v>
      </c>
      <c r="K4794" t="s">
        <v>40292</v>
      </c>
      <c r="M4794" t="s">
        <v>41538</v>
      </c>
      <c r="N4794" t="s">
        <v>44759</v>
      </c>
      <c r="O4794" t="s">
        <v>44760</v>
      </c>
      <c r="P4794">
        <v>0</v>
      </c>
      <c r="Q4794">
        <v>3</v>
      </c>
      <c r="R4794" t="s">
        <v>44764</v>
      </c>
      <c r="S4794" t="s">
        <v>44889</v>
      </c>
      <c r="T4794" t="s">
        <v>46377</v>
      </c>
      <c r="U4794" t="s">
        <v>50983</v>
      </c>
      <c r="W4794" t="s">
        <v>41538</v>
      </c>
      <c r="X4794" t="s">
        <v>44765</v>
      </c>
    </row>
    <row r="4795" spans="1:24">
      <c r="A4795">
        <f>HYPERLINK("https://www.philgeps.gov.ph/GEPSNONPILOT/Tender/SplashBidNoticeAbstractUI.aspx?menuIndex=3&amp;refID=7147694&amp;Result=3","7147694")</f>
        <v>0</v>
      </c>
      <c r="B4795" t="s">
        <v>1776</v>
      </c>
      <c r="C4795" t="s">
        <v>8285</v>
      </c>
      <c r="D4795" t="s">
        <v>17989</v>
      </c>
      <c r="E4795" t="s">
        <v>22341</v>
      </c>
      <c r="F4795" t="s">
        <v>30900</v>
      </c>
      <c r="G4795" t="s">
        <v>30908</v>
      </c>
      <c r="H4795" t="s">
        <v>30917</v>
      </c>
      <c r="I4795" t="s">
        <v>30967</v>
      </c>
      <c r="J4795" t="s">
        <v>31811</v>
      </c>
      <c r="K4795" t="s">
        <v>40288</v>
      </c>
      <c r="M4795" t="s">
        <v>42450</v>
      </c>
      <c r="N4795" t="s">
        <v>44759</v>
      </c>
      <c r="O4795" t="s">
        <v>44760</v>
      </c>
      <c r="P4795">
        <v>0</v>
      </c>
      <c r="Q4795">
        <v>0</v>
      </c>
      <c r="R4795" t="s">
        <v>44764</v>
      </c>
      <c r="S4795" t="s">
        <v>44889</v>
      </c>
      <c r="T4795" t="s">
        <v>46399</v>
      </c>
      <c r="U4795" t="s">
        <v>50984</v>
      </c>
      <c r="W4795" t="s">
        <v>42450</v>
      </c>
      <c r="X4795" t="s">
        <v>44767</v>
      </c>
    </row>
    <row r="4796" spans="1:24">
      <c r="A4796">
        <f>HYPERLINK("https://www.philgeps.gov.ph/GEPSNONPILOT/Tender/SplashBidNoticeAbstractUI.aspx?menuIndex=3&amp;refID=7148611&amp;Result=3","7148611")</f>
        <v>0</v>
      </c>
      <c r="B4796" t="s">
        <v>1014</v>
      </c>
      <c r="C4796" t="s">
        <v>8286</v>
      </c>
      <c r="E4796" t="s">
        <v>22270</v>
      </c>
      <c r="F4796" t="s">
        <v>30900</v>
      </c>
      <c r="G4796" t="s">
        <v>30908</v>
      </c>
      <c r="H4796" t="s">
        <v>30916</v>
      </c>
      <c r="I4796" t="s">
        <v>6746</v>
      </c>
      <c r="J4796" t="s">
        <v>31912</v>
      </c>
      <c r="K4796" t="s">
        <v>40283</v>
      </c>
      <c r="M4796" t="s">
        <v>42449</v>
      </c>
      <c r="N4796" t="s">
        <v>44759</v>
      </c>
      <c r="O4796" t="s">
        <v>44760</v>
      </c>
      <c r="P4796">
        <v>0</v>
      </c>
      <c r="Q4796">
        <v>2</v>
      </c>
      <c r="R4796" t="s">
        <v>44764</v>
      </c>
      <c r="S4796" t="s">
        <v>44889</v>
      </c>
      <c r="T4796" t="s">
        <v>46548</v>
      </c>
      <c r="U4796" t="s">
        <v>48848</v>
      </c>
      <c r="V4796" t="s">
        <v>59622</v>
      </c>
      <c r="W4796" t="s">
        <v>42449</v>
      </c>
      <c r="X4796" t="s">
        <v>44765</v>
      </c>
    </row>
    <row r="4797" spans="1:24">
      <c r="A4797">
        <f>HYPERLINK("https://www.philgeps.gov.ph/GEPSNONPILOT/Tender/SplashBidNoticeAbstractUI.aspx?menuIndex=3&amp;refID=7148600&amp;Result=3","7148600")</f>
        <v>0</v>
      </c>
      <c r="B4797" t="s">
        <v>556</v>
      </c>
      <c r="C4797" t="s">
        <v>3972</v>
      </c>
      <c r="D4797" t="s">
        <v>17959</v>
      </c>
      <c r="E4797" t="s">
        <v>22342</v>
      </c>
      <c r="F4797" t="s">
        <v>30900</v>
      </c>
      <c r="G4797" t="s">
        <v>30907</v>
      </c>
      <c r="H4797" t="s">
        <v>30916</v>
      </c>
      <c r="I4797" t="s">
        <v>8365</v>
      </c>
      <c r="J4797" t="s">
        <v>31270</v>
      </c>
      <c r="K4797" t="s">
        <v>40286</v>
      </c>
      <c r="M4797" t="s">
        <v>41117</v>
      </c>
      <c r="N4797" t="s">
        <v>44759</v>
      </c>
      <c r="O4797" t="s">
        <v>44760</v>
      </c>
      <c r="P4797">
        <v>0</v>
      </c>
      <c r="Q4797">
        <v>1</v>
      </c>
      <c r="R4797" t="s">
        <v>44764</v>
      </c>
      <c r="S4797" t="s">
        <v>44889</v>
      </c>
      <c r="T4797" t="s">
        <v>46474</v>
      </c>
      <c r="U4797" t="s">
        <v>50985</v>
      </c>
      <c r="W4797" t="s">
        <v>41117</v>
      </c>
      <c r="X4797" t="s">
        <v>44765</v>
      </c>
    </row>
    <row r="4798" spans="1:24">
      <c r="A4798">
        <f>HYPERLINK("https://www.philgeps.gov.ph/GEPSNONPILOT/Tender/SplashBidNoticeAbstractUI.aspx?menuIndex=3&amp;refID=7148597&amp;Result=3","7148597")</f>
        <v>0</v>
      </c>
      <c r="B4798" t="s">
        <v>1779</v>
      </c>
      <c r="C4798" t="s">
        <v>8287</v>
      </c>
      <c r="D4798" t="s">
        <v>17970</v>
      </c>
      <c r="E4798" t="s">
        <v>22343</v>
      </c>
      <c r="F4798" t="s">
        <v>30900</v>
      </c>
      <c r="G4798" t="s">
        <v>30907</v>
      </c>
      <c r="H4798" t="s">
        <v>30915</v>
      </c>
      <c r="I4798" t="s">
        <v>30919</v>
      </c>
      <c r="J4798" t="s">
        <v>32046</v>
      </c>
      <c r="K4798" t="s">
        <v>40291</v>
      </c>
      <c r="M4798" t="s">
        <v>42453</v>
      </c>
      <c r="N4798" t="s">
        <v>44759</v>
      </c>
      <c r="O4798" t="s">
        <v>44760</v>
      </c>
      <c r="P4798">
        <v>0</v>
      </c>
      <c r="Q4798">
        <v>0</v>
      </c>
      <c r="R4798" t="s">
        <v>44764</v>
      </c>
      <c r="S4798" t="s">
        <v>44889</v>
      </c>
      <c r="T4798" t="s">
        <v>46490</v>
      </c>
      <c r="U4798" t="s">
        <v>50986</v>
      </c>
      <c r="W4798" t="s">
        <v>42453</v>
      </c>
      <c r="X4798" t="s">
        <v>44765</v>
      </c>
    </row>
    <row r="4799" spans="1:24">
      <c r="A4799">
        <f>HYPERLINK("https://www.philgeps.gov.ph/GEPSNONPILOT/Tender/SplashBidNoticeAbstractUI.aspx?menuIndex=3&amp;refID=7148596&amp;Result=3","7148596")</f>
        <v>0</v>
      </c>
      <c r="B4799" t="s">
        <v>1780</v>
      </c>
      <c r="C4799" t="s">
        <v>8288</v>
      </c>
      <c r="D4799" t="s">
        <v>17972</v>
      </c>
      <c r="E4799" t="s">
        <v>22344</v>
      </c>
      <c r="F4799" t="s">
        <v>30900</v>
      </c>
      <c r="G4799" t="s">
        <v>30907</v>
      </c>
      <c r="H4799" t="s">
        <v>30916</v>
      </c>
      <c r="I4799" t="s">
        <v>4108</v>
      </c>
      <c r="J4799" t="s">
        <v>31043</v>
      </c>
      <c r="K4799" t="s">
        <v>40288</v>
      </c>
      <c r="M4799" t="s">
        <v>42454</v>
      </c>
      <c r="N4799" t="s">
        <v>44759</v>
      </c>
      <c r="O4799" t="s">
        <v>44760</v>
      </c>
      <c r="P4799">
        <v>0</v>
      </c>
      <c r="Q4799">
        <v>0</v>
      </c>
      <c r="R4799" t="s">
        <v>44764</v>
      </c>
      <c r="S4799" t="s">
        <v>44889</v>
      </c>
      <c r="T4799" t="s">
        <v>46695</v>
      </c>
      <c r="U4799" t="s">
        <v>50987</v>
      </c>
      <c r="W4799" t="s">
        <v>42454</v>
      </c>
      <c r="X4799" t="s">
        <v>44765</v>
      </c>
    </row>
    <row r="4800" spans="1:24">
      <c r="A4800">
        <f>HYPERLINK("https://www.philgeps.gov.ph/GEPSNONPILOT/Tender/SplashBidNoticeAbstractUI.aspx?menuIndex=3&amp;refID=7148594&amp;Result=3","7148594")</f>
        <v>0</v>
      </c>
      <c r="B4800" t="s">
        <v>1781</v>
      </c>
      <c r="C4800" t="s">
        <v>8289</v>
      </c>
      <c r="D4800" t="s">
        <v>17963</v>
      </c>
      <c r="E4800" t="s">
        <v>19026</v>
      </c>
      <c r="F4800" t="s">
        <v>30900</v>
      </c>
      <c r="G4800" t="s">
        <v>30910</v>
      </c>
      <c r="H4800" t="s">
        <v>30916</v>
      </c>
      <c r="I4800" t="s">
        <v>6396</v>
      </c>
      <c r="J4800" t="s">
        <v>34259</v>
      </c>
      <c r="K4800" t="s">
        <v>40288</v>
      </c>
      <c r="M4800" t="s">
        <v>42455</v>
      </c>
      <c r="N4800" t="s">
        <v>44759</v>
      </c>
      <c r="O4800" t="s">
        <v>44760</v>
      </c>
      <c r="P4800">
        <v>0</v>
      </c>
      <c r="Q4800">
        <v>5</v>
      </c>
      <c r="R4800" t="s">
        <v>44764</v>
      </c>
      <c r="S4800" t="s">
        <v>44889</v>
      </c>
      <c r="T4800" t="s">
        <v>46625</v>
      </c>
      <c r="U4800" t="s">
        <v>50988</v>
      </c>
      <c r="W4800" t="s">
        <v>42455</v>
      </c>
      <c r="X4800" t="s">
        <v>44765</v>
      </c>
    </row>
    <row r="4801" spans="1:24">
      <c r="A4801">
        <f>HYPERLINK("https://www.philgeps.gov.ph/GEPSNONPILOT/Tender/SplashBidNoticeAbstractUI.aspx?menuIndex=3&amp;refID=7148592&amp;Result=3","7148592")</f>
        <v>0</v>
      </c>
      <c r="B4801" t="s">
        <v>1782</v>
      </c>
      <c r="C4801" t="s">
        <v>8290</v>
      </c>
      <c r="D4801" t="s">
        <v>17971</v>
      </c>
      <c r="E4801" t="s">
        <v>22345</v>
      </c>
      <c r="F4801" t="s">
        <v>30900</v>
      </c>
      <c r="G4801" t="s">
        <v>30907</v>
      </c>
      <c r="H4801" t="s">
        <v>30916</v>
      </c>
      <c r="I4801" t="s">
        <v>31021</v>
      </c>
      <c r="J4801" t="s">
        <v>34260</v>
      </c>
      <c r="K4801" t="s">
        <v>40286</v>
      </c>
      <c r="M4801" t="s">
        <v>42456</v>
      </c>
      <c r="N4801" t="s">
        <v>44759</v>
      </c>
      <c r="O4801" t="s">
        <v>44760</v>
      </c>
      <c r="P4801">
        <v>0</v>
      </c>
      <c r="Q4801">
        <v>0</v>
      </c>
      <c r="R4801" t="s">
        <v>44764</v>
      </c>
      <c r="S4801" t="s">
        <v>44889</v>
      </c>
      <c r="T4801" t="s">
        <v>46696</v>
      </c>
      <c r="U4801" t="s">
        <v>50989</v>
      </c>
      <c r="W4801" t="s">
        <v>42456</v>
      </c>
      <c r="X4801" t="s">
        <v>44765</v>
      </c>
    </row>
    <row r="4802" spans="1:24">
      <c r="A4802">
        <f>HYPERLINK("https://www.philgeps.gov.ph/GEPSNONPILOT/Tender/SplashBidNoticeAbstractUI.aspx?menuIndex=3&amp;refID=7148619&amp;Result=3","7148619")</f>
        <v>0</v>
      </c>
      <c r="B4802" t="s">
        <v>1783</v>
      </c>
      <c r="C4802" t="s">
        <v>8291</v>
      </c>
      <c r="D4802" t="s">
        <v>17959</v>
      </c>
      <c r="E4802" t="s">
        <v>22346</v>
      </c>
      <c r="F4802" t="s">
        <v>30900</v>
      </c>
      <c r="G4802" t="s">
        <v>30908</v>
      </c>
      <c r="H4802" t="s">
        <v>7411</v>
      </c>
      <c r="I4802" t="s">
        <v>30979</v>
      </c>
      <c r="J4802" t="s">
        <v>31066</v>
      </c>
      <c r="K4802" t="s">
        <v>40333</v>
      </c>
      <c r="M4802" t="s">
        <v>42457</v>
      </c>
      <c r="N4802" t="s">
        <v>44759</v>
      </c>
      <c r="O4802" t="s">
        <v>44760</v>
      </c>
      <c r="P4802">
        <v>0</v>
      </c>
      <c r="Q4802">
        <v>6</v>
      </c>
      <c r="R4802" t="s">
        <v>44764</v>
      </c>
      <c r="S4802" t="s">
        <v>44889</v>
      </c>
      <c r="T4802" t="s">
        <v>46625</v>
      </c>
      <c r="U4802" t="s">
        <v>50990</v>
      </c>
      <c r="W4802" t="s">
        <v>42457</v>
      </c>
      <c r="X4802" t="s">
        <v>44765</v>
      </c>
    </row>
    <row r="4803" spans="1:24">
      <c r="A4803">
        <f>HYPERLINK("https://www.philgeps.gov.ph/GEPSNONPILOT/Tender/SplashBidNoticeAbstractUI.aspx?menuIndex=3&amp;refID=7149209&amp;Result=3","7149209")</f>
        <v>0</v>
      </c>
      <c r="B4803" t="s">
        <v>1714</v>
      </c>
      <c r="C4803" t="s">
        <v>8292</v>
      </c>
      <c r="D4803" t="s">
        <v>18013</v>
      </c>
      <c r="E4803" t="s">
        <v>22347</v>
      </c>
      <c r="F4803" t="s">
        <v>30900</v>
      </c>
      <c r="G4803" t="s">
        <v>30908</v>
      </c>
      <c r="H4803" t="s">
        <v>30916</v>
      </c>
      <c r="I4803" t="s">
        <v>30933</v>
      </c>
      <c r="J4803" t="s">
        <v>31070</v>
      </c>
      <c r="K4803" t="s">
        <v>40283</v>
      </c>
      <c r="M4803" t="s">
        <v>42377</v>
      </c>
      <c r="N4803" t="s">
        <v>44759</v>
      </c>
      <c r="O4803" t="s">
        <v>44760</v>
      </c>
      <c r="P4803">
        <v>0</v>
      </c>
      <c r="Q4803">
        <v>0</v>
      </c>
      <c r="R4803" t="s">
        <v>44763</v>
      </c>
      <c r="S4803" t="s">
        <v>44876</v>
      </c>
      <c r="T4803" t="s">
        <v>46443</v>
      </c>
      <c r="U4803" t="s">
        <v>50991</v>
      </c>
      <c r="W4803" t="s">
        <v>42377</v>
      </c>
      <c r="X4803" t="s">
        <v>44764</v>
      </c>
    </row>
    <row r="4804" spans="1:24">
      <c r="A4804">
        <f>HYPERLINK("https://www.philgeps.gov.ph/GEPSNONPILOT/Tender/SplashBidNoticeAbstractUI.aspx?menuIndex=3&amp;refID=7149184&amp;Result=3","7149184")</f>
        <v>0</v>
      </c>
      <c r="B4804" t="s">
        <v>1784</v>
      </c>
      <c r="C4804" t="s">
        <v>3819</v>
      </c>
      <c r="D4804" t="s">
        <v>18002</v>
      </c>
      <c r="E4804" t="s">
        <v>18304</v>
      </c>
      <c r="F4804" t="s">
        <v>30900</v>
      </c>
      <c r="G4804" t="s">
        <v>30909</v>
      </c>
      <c r="H4804" t="s">
        <v>30916</v>
      </c>
      <c r="I4804" t="s">
        <v>4545</v>
      </c>
      <c r="J4804" t="s">
        <v>31077</v>
      </c>
      <c r="K4804" t="s">
        <v>40281</v>
      </c>
      <c r="M4804" t="s">
        <v>42458</v>
      </c>
      <c r="N4804" t="s">
        <v>44759</v>
      </c>
      <c r="O4804" t="s">
        <v>44760</v>
      </c>
      <c r="P4804">
        <v>0</v>
      </c>
      <c r="Q4804">
        <v>0</v>
      </c>
      <c r="R4804" t="s">
        <v>44763</v>
      </c>
      <c r="S4804" t="s">
        <v>44876</v>
      </c>
      <c r="T4804" t="s">
        <v>46571</v>
      </c>
      <c r="U4804" t="s">
        <v>50992</v>
      </c>
      <c r="W4804" t="s">
        <v>42458</v>
      </c>
      <c r="X4804" t="s">
        <v>44764</v>
      </c>
    </row>
    <row r="4805" spans="1:24">
      <c r="A4805">
        <f>HYPERLINK("https://www.philgeps.gov.ph/GEPSNONPILOT/Tender/SplashBidNoticeAbstractUI.aspx?menuIndex=3&amp;refID=7149183&amp;Result=3","7149183")</f>
        <v>0</v>
      </c>
      <c r="B4805" t="s">
        <v>1750</v>
      </c>
      <c r="C4805" t="s">
        <v>8293</v>
      </c>
      <c r="D4805" t="s">
        <v>17966</v>
      </c>
      <c r="E4805" t="s">
        <v>22348</v>
      </c>
      <c r="F4805" t="s">
        <v>30900</v>
      </c>
      <c r="G4805" t="s">
        <v>30907</v>
      </c>
      <c r="H4805" t="s">
        <v>30915</v>
      </c>
      <c r="I4805" t="s">
        <v>30919</v>
      </c>
      <c r="J4805" t="s">
        <v>31897</v>
      </c>
      <c r="K4805" t="s">
        <v>40301</v>
      </c>
      <c r="M4805" t="s">
        <v>42419</v>
      </c>
      <c r="N4805" t="s">
        <v>44759</v>
      </c>
      <c r="O4805" t="s">
        <v>44760</v>
      </c>
      <c r="P4805">
        <v>0</v>
      </c>
      <c r="Q4805">
        <v>0</v>
      </c>
      <c r="R4805" t="s">
        <v>44763</v>
      </c>
      <c r="S4805" t="s">
        <v>44876</v>
      </c>
      <c r="T4805" t="s">
        <v>46691</v>
      </c>
      <c r="U4805" t="s">
        <v>50993</v>
      </c>
      <c r="W4805" t="s">
        <v>60874</v>
      </c>
      <c r="X4805" t="s">
        <v>44764</v>
      </c>
    </row>
    <row r="4806" spans="1:24">
      <c r="A4806">
        <f>HYPERLINK("https://www.philgeps.gov.ph/GEPSNONPILOT/Tender/SplashBidNoticeAbstractUI.aspx?menuIndex=3&amp;refID=7148593&amp;Result=3","7148593")</f>
        <v>0</v>
      </c>
      <c r="B4806" t="s">
        <v>556</v>
      </c>
      <c r="C4806" t="s">
        <v>8294</v>
      </c>
      <c r="D4806" t="s">
        <v>17959</v>
      </c>
      <c r="E4806" t="s">
        <v>22349</v>
      </c>
      <c r="F4806" t="s">
        <v>30900</v>
      </c>
      <c r="G4806" t="s">
        <v>30907</v>
      </c>
      <c r="H4806" t="s">
        <v>30916</v>
      </c>
      <c r="I4806" t="s">
        <v>6396</v>
      </c>
      <c r="J4806" t="s">
        <v>34261</v>
      </c>
      <c r="K4806" t="s">
        <v>40286</v>
      </c>
      <c r="M4806" t="s">
        <v>41117</v>
      </c>
      <c r="N4806" t="s">
        <v>44759</v>
      </c>
      <c r="O4806" t="s">
        <v>44760</v>
      </c>
      <c r="P4806">
        <v>0</v>
      </c>
      <c r="Q4806">
        <v>2</v>
      </c>
      <c r="R4806" t="s">
        <v>44764</v>
      </c>
      <c r="S4806" t="s">
        <v>44889</v>
      </c>
      <c r="T4806" t="s">
        <v>46443</v>
      </c>
      <c r="U4806" t="s">
        <v>50994</v>
      </c>
      <c r="W4806" t="s">
        <v>41117</v>
      </c>
      <c r="X4806" t="s">
        <v>44765</v>
      </c>
    </row>
    <row r="4807" spans="1:24">
      <c r="A4807">
        <f>HYPERLINK("https://www.philgeps.gov.ph/GEPSNONPILOT/Tender/SplashBidNoticeAbstractUI.aspx?menuIndex=3&amp;refID=7148591&amp;Result=3","7148591")</f>
        <v>0</v>
      </c>
      <c r="B4807" t="s">
        <v>1782</v>
      </c>
      <c r="C4807" t="s">
        <v>8295</v>
      </c>
      <c r="D4807" t="s">
        <v>17971</v>
      </c>
      <c r="E4807" t="s">
        <v>22350</v>
      </c>
      <c r="F4807" t="s">
        <v>30900</v>
      </c>
      <c r="G4807" t="s">
        <v>30907</v>
      </c>
      <c r="H4807" t="s">
        <v>30916</v>
      </c>
      <c r="I4807" t="s">
        <v>6396</v>
      </c>
      <c r="J4807" t="s">
        <v>34262</v>
      </c>
      <c r="K4807" t="s">
        <v>40286</v>
      </c>
      <c r="M4807" t="s">
        <v>42456</v>
      </c>
      <c r="N4807" t="s">
        <v>44759</v>
      </c>
      <c r="O4807" t="s">
        <v>44760</v>
      </c>
      <c r="P4807">
        <v>0</v>
      </c>
      <c r="Q4807">
        <v>1</v>
      </c>
      <c r="R4807" t="s">
        <v>44764</v>
      </c>
      <c r="S4807" t="s">
        <v>44889</v>
      </c>
      <c r="T4807" t="s">
        <v>46697</v>
      </c>
      <c r="U4807" t="s">
        <v>50989</v>
      </c>
      <c r="W4807" t="s">
        <v>42456</v>
      </c>
      <c r="X4807" t="s">
        <v>44765</v>
      </c>
    </row>
    <row r="4808" spans="1:24">
      <c r="A4808">
        <f>HYPERLINK("https://www.philgeps.gov.ph/GEPSNONPILOT/Tender/SplashBidNoticeAbstractUI.aspx?menuIndex=3&amp;refID=7148606&amp;Result=3","7148606")</f>
        <v>0</v>
      </c>
      <c r="B4808" t="s">
        <v>1014</v>
      </c>
      <c r="C4808" t="s">
        <v>8296</v>
      </c>
      <c r="E4808" t="s">
        <v>22351</v>
      </c>
      <c r="F4808" t="s">
        <v>30900</v>
      </c>
      <c r="G4808" t="s">
        <v>30908</v>
      </c>
      <c r="H4808" t="s">
        <v>30916</v>
      </c>
      <c r="I4808" t="s">
        <v>30928</v>
      </c>
      <c r="J4808" t="s">
        <v>31259</v>
      </c>
      <c r="K4808" t="s">
        <v>40283</v>
      </c>
      <c r="M4808" t="s">
        <v>42449</v>
      </c>
      <c r="N4808" t="s">
        <v>44759</v>
      </c>
      <c r="O4808" t="s">
        <v>44760</v>
      </c>
      <c r="P4808">
        <v>0</v>
      </c>
      <c r="Q4808">
        <v>7</v>
      </c>
      <c r="R4808" t="s">
        <v>44764</v>
      </c>
      <c r="S4808" t="s">
        <v>44889</v>
      </c>
      <c r="T4808" t="s">
        <v>46548</v>
      </c>
      <c r="U4808" t="s">
        <v>48848</v>
      </c>
      <c r="V4808" t="s">
        <v>59622</v>
      </c>
      <c r="W4808" t="s">
        <v>42449</v>
      </c>
      <c r="X4808" t="s">
        <v>44765</v>
      </c>
    </row>
    <row r="4809" spans="1:24">
      <c r="A4809">
        <f>HYPERLINK("https://www.philgeps.gov.ph/GEPSNONPILOT/Tender/SplashBidNoticeAbstractUI.aspx?menuIndex=3&amp;refID=7149179&amp;Result=3","7149179")</f>
        <v>0</v>
      </c>
      <c r="B4809" t="s">
        <v>1750</v>
      </c>
      <c r="C4809" t="s">
        <v>8297</v>
      </c>
      <c r="D4809" t="s">
        <v>17966</v>
      </c>
      <c r="E4809" t="s">
        <v>22352</v>
      </c>
      <c r="F4809" t="s">
        <v>30900</v>
      </c>
      <c r="G4809" t="s">
        <v>30907</v>
      </c>
      <c r="H4809" t="s">
        <v>30915</v>
      </c>
      <c r="I4809" t="s">
        <v>30919</v>
      </c>
      <c r="J4809" t="s">
        <v>34061</v>
      </c>
      <c r="K4809" t="s">
        <v>40301</v>
      </c>
      <c r="M4809" t="s">
        <v>42419</v>
      </c>
      <c r="N4809" t="s">
        <v>44759</v>
      </c>
      <c r="O4809" t="s">
        <v>44760</v>
      </c>
      <c r="P4809">
        <v>0</v>
      </c>
      <c r="Q4809">
        <v>0</v>
      </c>
      <c r="R4809" t="s">
        <v>44763</v>
      </c>
      <c r="S4809" t="s">
        <v>44876</v>
      </c>
      <c r="T4809" t="s">
        <v>46691</v>
      </c>
      <c r="U4809" t="s">
        <v>50995</v>
      </c>
      <c r="W4809" t="s">
        <v>60874</v>
      </c>
      <c r="X4809" t="s">
        <v>44764</v>
      </c>
    </row>
    <row r="4810" spans="1:24">
      <c r="A4810">
        <f>HYPERLINK("https://www.philgeps.gov.ph/GEPSNONPILOT/Tender/SplashBidNoticeAbstractUI.aspx?menuIndex=3&amp;refID=7149126&amp;Result=3","7149126")</f>
        <v>0</v>
      </c>
      <c r="B4810" t="s">
        <v>1750</v>
      </c>
      <c r="C4810" t="s">
        <v>8298</v>
      </c>
      <c r="D4810" t="s">
        <v>17966</v>
      </c>
      <c r="E4810" t="s">
        <v>22353</v>
      </c>
      <c r="F4810" t="s">
        <v>30900</v>
      </c>
      <c r="G4810" t="s">
        <v>30907</v>
      </c>
      <c r="H4810" t="s">
        <v>30916</v>
      </c>
      <c r="I4810" t="s">
        <v>30965</v>
      </c>
      <c r="J4810" t="s">
        <v>31713</v>
      </c>
      <c r="K4810" t="s">
        <v>40283</v>
      </c>
      <c r="M4810" t="s">
        <v>42419</v>
      </c>
      <c r="N4810" t="s">
        <v>44759</v>
      </c>
      <c r="O4810" t="s">
        <v>44760</v>
      </c>
      <c r="P4810">
        <v>0</v>
      </c>
      <c r="Q4810">
        <v>0</v>
      </c>
      <c r="R4810" t="s">
        <v>44763</v>
      </c>
      <c r="S4810" t="s">
        <v>44876</v>
      </c>
      <c r="T4810" t="s">
        <v>46443</v>
      </c>
      <c r="U4810" t="s">
        <v>50996</v>
      </c>
      <c r="W4810" t="s">
        <v>60873</v>
      </c>
      <c r="X4810" t="s">
        <v>44764</v>
      </c>
    </row>
    <row r="4811" spans="1:24">
      <c r="A4811">
        <f>HYPERLINK("https://www.philgeps.gov.ph/GEPSNONPILOT/Tender/SplashBidNoticeAbstractUI.aspx?menuIndex=3&amp;refID=7149108&amp;Result=3","7149108")</f>
        <v>0</v>
      </c>
      <c r="B4811" t="s">
        <v>1628</v>
      </c>
      <c r="C4811" t="s">
        <v>8299</v>
      </c>
      <c r="D4811" t="s">
        <v>18000</v>
      </c>
      <c r="E4811" t="s">
        <v>22354</v>
      </c>
      <c r="F4811" t="s">
        <v>30900</v>
      </c>
      <c r="G4811" t="s">
        <v>30908</v>
      </c>
      <c r="H4811" t="s">
        <v>30916</v>
      </c>
      <c r="I4811" t="s">
        <v>8044</v>
      </c>
      <c r="J4811" t="s">
        <v>34263</v>
      </c>
      <c r="K4811" t="s">
        <v>40291</v>
      </c>
      <c r="M4811" t="s">
        <v>42280</v>
      </c>
      <c r="N4811" t="s">
        <v>44759</v>
      </c>
      <c r="O4811" t="s">
        <v>44760</v>
      </c>
      <c r="P4811">
        <v>0</v>
      </c>
      <c r="Q4811">
        <v>2</v>
      </c>
      <c r="R4811" t="s">
        <v>44763</v>
      </c>
      <c r="S4811" t="s">
        <v>44876</v>
      </c>
      <c r="T4811" t="s">
        <v>46399</v>
      </c>
      <c r="U4811" t="s">
        <v>50997</v>
      </c>
      <c r="W4811" t="s">
        <v>42280</v>
      </c>
      <c r="X4811" t="s">
        <v>44764</v>
      </c>
    </row>
    <row r="4812" spans="1:24">
      <c r="A4812">
        <f>HYPERLINK("https://www.philgeps.gov.ph/GEPSNONPILOT/Tender/SplashBidNoticeAbstractUI.aspx?menuIndex=3&amp;refID=7149182&amp;Result=3","7149182")</f>
        <v>0</v>
      </c>
      <c r="B4812" t="s">
        <v>1785</v>
      </c>
      <c r="C4812" t="s">
        <v>8300</v>
      </c>
      <c r="D4812" t="s">
        <v>17959</v>
      </c>
      <c r="E4812" t="s">
        <v>22140</v>
      </c>
      <c r="F4812" t="s">
        <v>30900</v>
      </c>
      <c r="G4812" t="s">
        <v>30908</v>
      </c>
      <c r="H4812" t="s">
        <v>30916</v>
      </c>
      <c r="I4812" t="s">
        <v>5830</v>
      </c>
      <c r="J4812" t="s">
        <v>31799</v>
      </c>
      <c r="K4812" t="s">
        <v>40288</v>
      </c>
      <c r="M4812" t="s">
        <v>42459</v>
      </c>
      <c r="N4812" t="s">
        <v>44759</v>
      </c>
      <c r="O4812" t="s">
        <v>44760</v>
      </c>
      <c r="P4812">
        <v>0</v>
      </c>
      <c r="Q4812">
        <v>3</v>
      </c>
      <c r="R4812" t="s">
        <v>44763</v>
      </c>
      <c r="S4812" t="s">
        <v>44876</v>
      </c>
      <c r="T4812" t="s">
        <v>46698</v>
      </c>
      <c r="U4812" t="s">
        <v>50998</v>
      </c>
      <c r="W4812" t="s">
        <v>42459</v>
      </c>
      <c r="X4812" t="s">
        <v>44764</v>
      </c>
    </row>
    <row r="4813" spans="1:24">
      <c r="A4813">
        <f>HYPERLINK("https://www.philgeps.gov.ph/GEPSNONPILOT/Tender/SplashBidNoticeAbstractUI.aspx?menuIndex=3&amp;refID=7149181&amp;Result=3","7149181")</f>
        <v>0</v>
      </c>
      <c r="B4813" t="s">
        <v>1758</v>
      </c>
      <c r="C4813" t="s">
        <v>8301</v>
      </c>
      <c r="D4813" t="s">
        <v>17959</v>
      </c>
      <c r="E4813" t="s">
        <v>22355</v>
      </c>
      <c r="F4813" t="s">
        <v>30900</v>
      </c>
      <c r="G4813" t="s">
        <v>30907</v>
      </c>
      <c r="H4813" t="s">
        <v>30916</v>
      </c>
      <c r="I4813" t="s">
        <v>30980</v>
      </c>
      <c r="J4813" t="s">
        <v>34264</v>
      </c>
      <c r="K4813" t="s">
        <v>40286</v>
      </c>
      <c r="M4813" t="s">
        <v>42428</v>
      </c>
      <c r="N4813" t="s">
        <v>44759</v>
      </c>
      <c r="O4813" t="s">
        <v>44760</v>
      </c>
      <c r="P4813">
        <v>0</v>
      </c>
      <c r="Q4813">
        <v>1</v>
      </c>
      <c r="R4813" t="s">
        <v>44763</v>
      </c>
      <c r="S4813" t="s">
        <v>44876</v>
      </c>
      <c r="T4813" t="s">
        <v>46554</v>
      </c>
      <c r="U4813" t="s">
        <v>50999</v>
      </c>
      <c r="V4813" t="s">
        <v>59617</v>
      </c>
      <c r="W4813" t="s">
        <v>42428</v>
      </c>
      <c r="X4813" t="s">
        <v>44764</v>
      </c>
    </row>
    <row r="4814" spans="1:24">
      <c r="A4814">
        <f>HYPERLINK("https://www.philgeps.gov.ph/GEPSNONPILOT/Tender/SplashBidNoticeAbstractUI.aspx?menuIndex=3&amp;refID=7148669&amp;Result=3","7148669")</f>
        <v>0</v>
      </c>
      <c r="B4814" t="s">
        <v>1777</v>
      </c>
      <c r="C4814" t="s">
        <v>8302</v>
      </c>
      <c r="D4814" t="s">
        <v>17994</v>
      </c>
      <c r="E4814" t="s">
        <v>8302</v>
      </c>
      <c r="F4814" t="s">
        <v>30900</v>
      </c>
      <c r="G4814" t="s">
        <v>30907</v>
      </c>
      <c r="H4814" t="s">
        <v>30916</v>
      </c>
      <c r="I4814" t="s">
        <v>30924</v>
      </c>
      <c r="J4814" t="s">
        <v>34265</v>
      </c>
      <c r="K4814" t="s">
        <v>40286</v>
      </c>
      <c r="M4814" t="s">
        <v>42460</v>
      </c>
      <c r="N4814" t="s">
        <v>44759</v>
      </c>
      <c r="O4814" t="s">
        <v>44760</v>
      </c>
      <c r="P4814">
        <v>0</v>
      </c>
      <c r="Q4814">
        <v>2</v>
      </c>
      <c r="R4814" t="s">
        <v>44764</v>
      </c>
      <c r="S4814" t="s">
        <v>44889</v>
      </c>
      <c r="T4814" t="s">
        <v>46483</v>
      </c>
      <c r="U4814" t="s">
        <v>51000</v>
      </c>
      <c r="W4814" t="s">
        <v>42460</v>
      </c>
      <c r="X4814" t="s">
        <v>44765</v>
      </c>
    </row>
    <row r="4815" spans="1:24">
      <c r="A4815">
        <f>HYPERLINK("https://www.philgeps.gov.ph/GEPSNONPILOT/Tender/SplashBidNoticeAbstractUI.aspx?menuIndex=3&amp;refID=7148668&amp;Result=3","7148668")</f>
        <v>0</v>
      </c>
      <c r="B4815" t="s">
        <v>1777</v>
      </c>
      <c r="C4815" t="s">
        <v>8303</v>
      </c>
      <c r="D4815" t="s">
        <v>17994</v>
      </c>
      <c r="E4815" t="s">
        <v>22356</v>
      </c>
      <c r="F4815" t="s">
        <v>30900</v>
      </c>
      <c r="G4815" t="s">
        <v>30907</v>
      </c>
      <c r="H4815" t="s">
        <v>30916</v>
      </c>
      <c r="I4815" t="s">
        <v>6746</v>
      </c>
      <c r="J4815" t="s">
        <v>34266</v>
      </c>
      <c r="K4815" t="s">
        <v>40286</v>
      </c>
      <c r="M4815" t="s">
        <v>42460</v>
      </c>
      <c r="N4815" t="s">
        <v>44759</v>
      </c>
      <c r="O4815" t="s">
        <v>44760</v>
      </c>
      <c r="P4815">
        <v>0</v>
      </c>
      <c r="Q4815">
        <v>0</v>
      </c>
      <c r="R4815" t="s">
        <v>44764</v>
      </c>
      <c r="S4815" t="s">
        <v>44889</v>
      </c>
      <c r="T4815" t="s">
        <v>46483</v>
      </c>
      <c r="U4815" t="s">
        <v>51001</v>
      </c>
      <c r="W4815" t="s">
        <v>42460</v>
      </c>
      <c r="X4815" t="s">
        <v>44765</v>
      </c>
    </row>
    <row r="4816" spans="1:24">
      <c r="A4816">
        <f>HYPERLINK("https://www.philgeps.gov.ph/GEPSNONPILOT/Tender/SplashBidNoticeAbstractUI.aspx?menuIndex=3&amp;refID=7148665&amp;Result=3","7148665")</f>
        <v>0</v>
      </c>
      <c r="B4816" t="s">
        <v>1786</v>
      </c>
      <c r="C4816" t="s">
        <v>8304</v>
      </c>
      <c r="D4816" t="s">
        <v>18025</v>
      </c>
      <c r="E4816" t="s">
        <v>22357</v>
      </c>
      <c r="F4816" t="s">
        <v>30900</v>
      </c>
      <c r="G4816" t="s">
        <v>30909</v>
      </c>
      <c r="H4816" t="s">
        <v>30916</v>
      </c>
      <c r="I4816" t="s">
        <v>9385</v>
      </c>
      <c r="J4816" t="s">
        <v>34267</v>
      </c>
      <c r="K4816" t="s">
        <v>40289</v>
      </c>
      <c r="M4816" t="s">
        <v>42461</v>
      </c>
      <c r="N4816" t="s">
        <v>44759</v>
      </c>
      <c r="O4816" t="s">
        <v>44760</v>
      </c>
      <c r="Q4816">
        <v>22</v>
      </c>
      <c r="R4816" t="s">
        <v>44764</v>
      </c>
      <c r="S4816" t="s">
        <v>44891</v>
      </c>
      <c r="T4816" t="s">
        <v>46356</v>
      </c>
      <c r="U4816" t="s">
        <v>51002</v>
      </c>
      <c r="V4816" t="s">
        <v>59626</v>
      </c>
      <c r="W4816" t="s">
        <v>42461</v>
      </c>
      <c r="X4816" t="s">
        <v>44765</v>
      </c>
    </row>
    <row r="4817" spans="1:24">
      <c r="A4817">
        <f>HYPERLINK("https://www.philgeps.gov.ph/GEPSNONPILOT/Tender/SplashBidNoticeAbstractUI.aspx?menuIndex=3&amp;refID=7148664&amp;Result=3","7148664")</f>
        <v>0</v>
      </c>
      <c r="B4817" t="s">
        <v>1787</v>
      </c>
      <c r="C4817" t="s">
        <v>8305</v>
      </c>
      <c r="D4817" t="s">
        <v>17962</v>
      </c>
      <c r="E4817" t="s">
        <v>22358</v>
      </c>
      <c r="F4817" t="s">
        <v>30900</v>
      </c>
      <c r="G4817" t="s">
        <v>30907</v>
      </c>
      <c r="H4817" t="s">
        <v>30916</v>
      </c>
      <c r="I4817" t="s">
        <v>8123</v>
      </c>
      <c r="J4817" t="s">
        <v>34268</v>
      </c>
      <c r="K4817" t="s">
        <v>40286</v>
      </c>
      <c r="M4817" t="s">
        <v>42462</v>
      </c>
      <c r="N4817" t="s">
        <v>44759</v>
      </c>
      <c r="O4817" t="s">
        <v>44760</v>
      </c>
      <c r="P4817">
        <v>0</v>
      </c>
      <c r="Q4817">
        <v>0</v>
      </c>
      <c r="R4817" t="s">
        <v>44764</v>
      </c>
      <c r="S4817" t="s">
        <v>44889</v>
      </c>
      <c r="T4817" t="s">
        <v>46465</v>
      </c>
      <c r="U4817" t="s">
        <v>51003</v>
      </c>
      <c r="W4817" t="s">
        <v>42462</v>
      </c>
      <c r="X4817" t="s">
        <v>44765</v>
      </c>
    </row>
    <row r="4818" spans="1:24">
      <c r="A4818">
        <f>HYPERLINK("https://www.philgeps.gov.ph/GEPSNONPILOT/Tender/SplashBidNoticeAbstractUI.aspx?menuIndex=3&amp;refID=7148662&amp;Result=3","7148662")</f>
        <v>0</v>
      </c>
      <c r="B4818" t="s">
        <v>1787</v>
      </c>
      <c r="C4818" t="s">
        <v>8306</v>
      </c>
      <c r="D4818" t="s">
        <v>17962</v>
      </c>
      <c r="E4818" t="s">
        <v>22359</v>
      </c>
      <c r="F4818" t="s">
        <v>30900</v>
      </c>
      <c r="G4818" t="s">
        <v>30907</v>
      </c>
      <c r="H4818" t="s">
        <v>30916</v>
      </c>
      <c r="I4818" t="s">
        <v>4142</v>
      </c>
      <c r="J4818" t="s">
        <v>34269</v>
      </c>
      <c r="K4818" t="s">
        <v>40286</v>
      </c>
      <c r="M4818" t="s">
        <v>42462</v>
      </c>
      <c r="N4818" t="s">
        <v>44759</v>
      </c>
      <c r="O4818" t="s">
        <v>44760</v>
      </c>
      <c r="P4818">
        <v>0</v>
      </c>
      <c r="Q4818">
        <v>1</v>
      </c>
      <c r="R4818" t="s">
        <v>44764</v>
      </c>
      <c r="S4818" t="s">
        <v>44889</v>
      </c>
      <c r="T4818" t="s">
        <v>46465</v>
      </c>
      <c r="U4818" t="s">
        <v>51004</v>
      </c>
      <c r="W4818" t="s">
        <v>42462</v>
      </c>
      <c r="X4818" t="s">
        <v>44765</v>
      </c>
    </row>
    <row r="4819" spans="1:24">
      <c r="A4819">
        <f>HYPERLINK("https://www.philgeps.gov.ph/GEPSNONPILOT/Tender/SplashBidNoticeAbstractUI.aspx?menuIndex=3&amp;refID=7148660&amp;Result=3","7148660")</f>
        <v>0</v>
      </c>
      <c r="B4819" t="s">
        <v>130</v>
      </c>
      <c r="C4819" t="s">
        <v>8307</v>
      </c>
      <c r="D4819" t="s">
        <v>18025</v>
      </c>
      <c r="E4819" t="s">
        <v>19550</v>
      </c>
      <c r="F4819" t="s">
        <v>30900</v>
      </c>
      <c r="G4819" t="s">
        <v>30908</v>
      </c>
      <c r="H4819" t="s">
        <v>30916</v>
      </c>
      <c r="I4819" t="s">
        <v>10602</v>
      </c>
      <c r="J4819" t="s">
        <v>32333</v>
      </c>
      <c r="K4819" t="s">
        <v>40282</v>
      </c>
      <c r="M4819" t="s">
        <v>40677</v>
      </c>
      <c r="N4819" t="s">
        <v>44759</v>
      </c>
      <c r="O4819" t="s">
        <v>44760</v>
      </c>
      <c r="P4819">
        <v>0</v>
      </c>
      <c r="Q4819">
        <v>1</v>
      </c>
      <c r="R4819" t="s">
        <v>44764</v>
      </c>
      <c r="S4819" t="s">
        <v>44889</v>
      </c>
      <c r="T4819" t="s">
        <v>46571</v>
      </c>
      <c r="U4819" t="s">
        <v>51005</v>
      </c>
      <c r="W4819" t="s">
        <v>40677</v>
      </c>
      <c r="X4819" t="s">
        <v>44765</v>
      </c>
    </row>
    <row r="4820" spans="1:24">
      <c r="A4820">
        <f>HYPERLINK("https://www.philgeps.gov.ph/GEPSNONPILOT/Tender/SplashBidNoticeAbstractUI.aspx?menuIndex=3&amp;refID=7148589&amp;Result=3","7148589")</f>
        <v>0</v>
      </c>
      <c r="B4820" t="s">
        <v>1788</v>
      </c>
      <c r="C4820" t="s">
        <v>8308</v>
      </c>
      <c r="D4820" t="s">
        <v>17993</v>
      </c>
      <c r="E4820" t="s">
        <v>22360</v>
      </c>
      <c r="F4820" t="s">
        <v>30900</v>
      </c>
      <c r="G4820" t="s">
        <v>30908</v>
      </c>
      <c r="H4820" t="s">
        <v>30916</v>
      </c>
      <c r="I4820" t="s">
        <v>10847</v>
      </c>
      <c r="J4820" t="s">
        <v>33564</v>
      </c>
      <c r="K4820" t="s">
        <v>40288</v>
      </c>
      <c r="M4820" t="s">
        <v>42463</v>
      </c>
      <c r="N4820" t="s">
        <v>44759</v>
      </c>
      <c r="O4820" t="s">
        <v>44760</v>
      </c>
      <c r="P4820">
        <v>0</v>
      </c>
      <c r="Q4820">
        <v>0</v>
      </c>
      <c r="R4820" t="s">
        <v>44764</v>
      </c>
      <c r="S4820" t="s">
        <v>44889</v>
      </c>
      <c r="T4820" t="s">
        <v>46625</v>
      </c>
      <c r="U4820" t="s">
        <v>51006</v>
      </c>
      <c r="W4820" t="s">
        <v>42463</v>
      </c>
      <c r="X4820" t="s">
        <v>44765</v>
      </c>
    </row>
    <row r="4821" spans="1:24">
      <c r="A4821">
        <f>HYPERLINK("https://www.philgeps.gov.ph/GEPSNONPILOT/Tender/SplashBidNoticeAbstractUI.aspx?menuIndex=3&amp;refID=7148657&amp;Result=3","7148657")</f>
        <v>0</v>
      </c>
      <c r="B4821" t="s">
        <v>1787</v>
      </c>
      <c r="C4821" t="s">
        <v>8309</v>
      </c>
      <c r="D4821" t="s">
        <v>17962</v>
      </c>
      <c r="E4821" t="s">
        <v>19719</v>
      </c>
      <c r="F4821" t="s">
        <v>30900</v>
      </c>
      <c r="G4821" t="s">
        <v>30907</v>
      </c>
      <c r="H4821" t="s">
        <v>30916</v>
      </c>
      <c r="I4821" t="s">
        <v>4545</v>
      </c>
      <c r="J4821" t="s">
        <v>31139</v>
      </c>
      <c r="K4821" t="s">
        <v>40286</v>
      </c>
      <c r="M4821" t="s">
        <v>42462</v>
      </c>
      <c r="N4821" t="s">
        <v>44759</v>
      </c>
      <c r="O4821" t="s">
        <v>44760</v>
      </c>
      <c r="P4821">
        <v>0</v>
      </c>
      <c r="Q4821">
        <v>7</v>
      </c>
      <c r="R4821" t="s">
        <v>44764</v>
      </c>
      <c r="S4821" t="s">
        <v>44889</v>
      </c>
      <c r="T4821" t="s">
        <v>46465</v>
      </c>
      <c r="U4821" t="s">
        <v>51007</v>
      </c>
      <c r="W4821" t="s">
        <v>42462</v>
      </c>
      <c r="X4821" t="s">
        <v>44765</v>
      </c>
    </row>
    <row r="4822" spans="1:24">
      <c r="A4822">
        <f>HYPERLINK("https://www.philgeps.gov.ph/GEPSNONPILOT/Tender/SplashBidNoticeAbstractUI.aspx?menuIndex=3&amp;refID=7148655&amp;Result=3","7148655")</f>
        <v>0</v>
      </c>
      <c r="B4822" t="s">
        <v>1777</v>
      </c>
      <c r="C4822" t="s">
        <v>8310</v>
      </c>
      <c r="D4822" t="s">
        <v>17994</v>
      </c>
      <c r="E4822" t="s">
        <v>8310</v>
      </c>
      <c r="F4822" t="s">
        <v>30900</v>
      </c>
      <c r="G4822" t="s">
        <v>30907</v>
      </c>
      <c r="H4822" t="s">
        <v>30916</v>
      </c>
      <c r="I4822" t="s">
        <v>4545</v>
      </c>
      <c r="J4822" t="s">
        <v>31246</v>
      </c>
      <c r="K4822" t="s">
        <v>40286</v>
      </c>
      <c r="M4822" t="s">
        <v>42460</v>
      </c>
      <c r="N4822" t="s">
        <v>44759</v>
      </c>
      <c r="O4822" t="s">
        <v>44760</v>
      </c>
      <c r="P4822">
        <v>0</v>
      </c>
      <c r="Q4822">
        <v>1</v>
      </c>
      <c r="R4822" t="s">
        <v>44764</v>
      </c>
      <c r="S4822" t="s">
        <v>44889</v>
      </c>
      <c r="T4822" t="s">
        <v>46483</v>
      </c>
      <c r="U4822" t="s">
        <v>51008</v>
      </c>
      <c r="W4822" t="s">
        <v>42460</v>
      </c>
      <c r="X4822" t="s">
        <v>44765</v>
      </c>
    </row>
    <row r="4823" spans="1:24">
      <c r="A4823">
        <f>HYPERLINK("https://www.philgeps.gov.ph/GEPSNONPILOT/Tender/SplashBidNoticeAbstractUI.aspx?menuIndex=3&amp;refID=7148652&amp;Result=3","7148652")</f>
        <v>0</v>
      </c>
      <c r="B4823" t="s">
        <v>1777</v>
      </c>
      <c r="C4823" t="s">
        <v>8311</v>
      </c>
      <c r="D4823" t="s">
        <v>17994</v>
      </c>
      <c r="E4823" t="s">
        <v>8311</v>
      </c>
      <c r="F4823" t="s">
        <v>30900</v>
      </c>
      <c r="G4823" t="s">
        <v>30907</v>
      </c>
      <c r="H4823" t="s">
        <v>30916</v>
      </c>
      <c r="I4823" t="s">
        <v>4004</v>
      </c>
      <c r="J4823" t="s">
        <v>32038</v>
      </c>
      <c r="K4823" t="s">
        <v>40286</v>
      </c>
      <c r="M4823" t="s">
        <v>42460</v>
      </c>
      <c r="N4823" t="s">
        <v>44759</v>
      </c>
      <c r="O4823" t="s">
        <v>44760</v>
      </c>
      <c r="P4823">
        <v>0</v>
      </c>
      <c r="Q4823">
        <v>2</v>
      </c>
      <c r="R4823" t="s">
        <v>44764</v>
      </c>
      <c r="S4823" t="s">
        <v>44889</v>
      </c>
      <c r="T4823" t="s">
        <v>46483</v>
      </c>
      <c r="U4823" t="s">
        <v>51009</v>
      </c>
      <c r="W4823" t="s">
        <v>42460</v>
      </c>
      <c r="X4823" t="s">
        <v>44765</v>
      </c>
    </row>
    <row r="4824" spans="1:24">
      <c r="A4824">
        <f>HYPERLINK("https://www.philgeps.gov.ph/GEPSNONPILOT/Tender/SplashBidNoticeAbstractUI.aspx?menuIndex=3&amp;refID=7148666&amp;Result=3","7148666")</f>
        <v>0</v>
      </c>
      <c r="B4824" t="s">
        <v>1777</v>
      </c>
      <c r="C4824" t="s">
        <v>8312</v>
      </c>
      <c r="D4824" t="s">
        <v>17994</v>
      </c>
      <c r="E4824" t="s">
        <v>8312</v>
      </c>
      <c r="F4824" t="s">
        <v>30900</v>
      </c>
      <c r="G4824" t="s">
        <v>30907</v>
      </c>
      <c r="H4824" t="s">
        <v>30916</v>
      </c>
      <c r="I4824" t="s">
        <v>6953</v>
      </c>
      <c r="J4824" t="s">
        <v>34270</v>
      </c>
      <c r="K4824" t="s">
        <v>40286</v>
      </c>
      <c r="M4824" t="s">
        <v>42460</v>
      </c>
      <c r="N4824" t="s">
        <v>44759</v>
      </c>
      <c r="O4824" t="s">
        <v>44760</v>
      </c>
      <c r="P4824">
        <v>0</v>
      </c>
      <c r="Q4824">
        <v>1</v>
      </c>
      <c r="R4824" t="s">
        <v>44764</v>
      </c>
      <c r="S4824" t="s">
        <v>44889</v>
      </c>
      <c r="T4824" t="s">
        <v>46483</v>
      </c>
      <c r="U4824" t="s">
        <v>51010</v>
      </c>
      <c r="W4824" t="s">
        <v>42460</v>
      </c>
      <c r="X4824" t="s">
        <v>44765</v>
      </c>
    </row>
    <row r="4825" spans="1:24">
      <c r="A4825">
        <f>HYPERLINK("https://www.philgeps.gov.ph/GEPSNONPILOT/Tender/SplashBidNoticeAbstractUI.aspx?menuIndex=3&amp;refID=7148626&amp;Result=3","7148626")</f>
        <v>0</v>
      </c>
      <c r="B4825" t="s">
        <v>1777</v>
      </c>
      <c r="C4825" t="s">
        <v>8313</v>
      </c>
      <c r="D4825" t="s">
        <v>17994</v>
      </c>
      <c r="E4825" t="s">
        <v>8313</v>
      </c>
      <c r="F4825" t="s">
        <v>30900</v>
      </c>
      <c r="G4825" t="s">
        <v>30906</v>
      </c>
      <c r="H4825" t="s">
        <v>30916</v>
      </c>
      <c r="I4825" t="s">
        <v>30981</v>
      </c>
      <c r="J4825" t="s">
        <v>34271</v>
      </c>
      <c r="K4825" t="s">
        <v>40281</v>
      </c>
      <c r="M4825" t="s">
        <v>42451</v>
      </c>
      <c r="N4825" t="s">
        <v>44759</v>
      </c>
      <c r="O4825" t="s">
        <v>44760</v>
      </c>
      <c r="P4825">
        <v>0</v>
      </c>
      <c r="Q4825">
        <v>0</v>
      </c>
      <c r="R4825" t="s">
        <v>44764</v>
      </c>
      <c r="S4825" t="s">
        <v>44889</v>
      </c>
      <c r="T4825" t="s">
        <v>46612</v>
      </c>
      <c r="U4825" t="s">
        <v>51011</v>
      </c>
      <c r="W4825" t="s">
        <v>42451</v>
      </c>
      <c r="X4825" t="s">
        <v>44765</v>
      </c>
    </row>
    <row r="4826" spans="1:24">
      <c r="A4826">
        <f>HYPERLINK("https://www.philgeps.gov.ph/GEPSNONPILOT/Tender/SplashBidNoticeAbstractUI.aspx?menuIndex=3&amp;refID=7148684&amp;Result=3","7148684")</f>
        <v>0</v>
      </c>
      <c r="B4826" t="s">
        <v>1789</v>
      </c>
      <c r="C4826" t="s">
        <v>8314</v>
      </c>
      <c r="D4826" t="s">
        <v>17974</v>
      </c>
      <c r="E4826" t="s">
        <v>22361</v>
      </c>
      <c r="F4826" t="s">
        <v>30900</v>
      </c>
      <c r="G4826" t="s">
        <v>30907</v>
      </c>
      <c r="H4826" t="s">
        <v>30916</v>
      </c>
      <c r="I4826" t="s">
        <v>4050</v>
      </c>
      <c r="J4826" t="s">
        <v>34272</v>
      </c>
      <c r="K4826" t="s">
        <v>40283</v>
      </c>
      <c r="M4826" t="s">
        <v>42464</v>
      </c>
      <c r="N4826" t="s">
        <v>44759</v>
      </c>
      <c r="O4826" t="s">
        <v>44760</v>
      </c>
      <c r="P4826">
        <v>0</v>
      </c>
      <c r="Q4826">
        <v>0</v>
      </c>
      <c r="R4826" t="s">
        <v>44764</v>
      </c>
      <c r="S4826" t="s">
        <v>44889</v>
      </c>
      <c r="T4826" t="s">
        <v>46429</v>
      </c>
      <c r="U4826" t="s">
        <v>51012</v>
      </c>
      <c r="W4826" t="s">
        <v>42464</v>
      </c>
      <c r="X4826" t="s">
        <v>44765</v>
      </c>
    </row>
    <row r="4827" spans="1:24">
      <c r="A4827">
        <f>HYPERLINK("https://www.philgeps.gov.ph/GEPSNONPILOT/Tender/SplashBidNoticeAbstractUI.aspx?menuIndex=3&amp;refID=7148656&amp;Result=3","7148656")</f>
        <v>0</v>
      </c>
      <c r="B4827" t="s">
        <v>1790</v>
      </c>
      <c r="C4827" t="s">
        <v>8315</v>
      </c>
      <c r="D4827" t="s">
        <v>17967</v>
      </c>
      <c r="E4827" t="s">
        <v>19293</v>
      </c>
      <c r="F4827" t="s">
        <v>30900</v>
      </c>
      <c r="G4827" t="s">
        <v>30907</v>
      </c>
      <c r="H4827" t="s">
        <v>30916</v>
      </c>
      <c r="I4827" t="s">
        <v>30936</v>
      </c>
      <c r="J4827" t="s">
        <v>31558</v>
      </c>
      <c r="K4827" t="s">
        <v>40314</v>
      </c>
      <c r="N4827" t="s">
        <v>44759</v>
      </c>
      <c r="O4827" t="s">
        <v>44760</v>
      </c>
      <c r="P4827">
        <v>0</v>
      </c>
      <c r="Q4827">
        <v>0</v>
      </c>
      <c r="R4827" t="s">
        <v>44764</v>
      </c>
      <c r="S4827" t="s">
        <v>44889</v>
      </c>
      <c r="T4827" t="s">
        <v>46357</v>
      </c>
      <c r="U4827" t="s">
        <v>51013</v>
      </c>
      <c r="W4827" t="s">
        <v>60875</v>
      </c>
      <c r="X4827" t="s">
        <v>44765</v>
      </c>
    </row>
    <row r="4828" spans="1:24">
      <c r="A4828">
        <f>HYPERLINK("https://www.philgeps.gov.ph/GEPSNONPILOT/Tender/SplashBidNoticeAbstractUI.aspx?menuIndex=3&amp;refID=7148718&amp;Result=3","7148718")</f>
        <v>0</v>
      </c>
      <c r="B4828" t="s">
        <v>1791</v>
      </c>
      <c r="C4828" t="s">
        <v>8316</v>
      </c>
      <c r="D4828" t="s">
        <v>17966</v>
      </c>
      <c r="E4828" t="s">
        <v>22362</v>
      </c>
      <c r="F4828" t="s">
        <v>30900</v>
      </c>
      <c r="G4828" t="s">
        <v>30907</v>
      </c>
      <c r="H4828" t="s">
        <v>30916</v>
      </c>
      <c r="I4828" t="s">
        <v>30947</v>
      </c>
      <c r="J4828" t="s">
        <v>34273</v>
      </c>
      <c r="K4828" t="s">
        <v>40283</v>
      </c>
      <c r="M4828" t="s">
        <v>42465</v>
      </c>
      <c r="N4828" t="s">
        <v>44759</v>
      </c>
      <c r="O4828" t="s">
        <v>44760</v>
      </c>
      <c r="P4828">
        <v>0</v>
      </c>
      <c r="Q4828">
        <v>1</v>
      </c>
      <c r="R4828" t="s">
        <v>44764</v>
      </c>
      <c r="S4828" t="s">
        <v>44889</v>
      </c>
      <c r="T4828" t="s">
        <v>46357</v>
      </c>
      <c r="U4828" t="s">
        <v>51014</v>
      </c>
      <c r="V4828" t="s">
        <v>59627</v>
      </c>
      <c r="W4828" t="s">
        <v>42465</v>
      </c>
      <c r="X4828" t="s">
        <v>44765</v>
      </c>
    </row>
    <row r="4829" spans="1:24">
      <c r="A4829">
        <f>HYPERLINK("https://www.philgeps.gov.ph/GEPSNONPILOT/Tender/SplashBidNoticeAbstractUI.aspx?menuIndex=3&amp;refID=7148653&amp;Result=3","7148653")</f>
        <v>0</v>
      </c>
      <c r="B4829" t="s">
        <v>1777</v>
      </c>
      <c r="C4829" t="s">
        <v>8317</v>
      </c>
      <c r="D4829" t="s">
        <v>17994</v>
      </c>
      <c r="E4829" t="s">
        <v>8317</v>
      </c>
      <c r="F4829" t="s">
        <v>30900</v>
      </c>
      <c r="G4829" t="s">
        <v>30907</v>
      </c>
      <c r="H4829" t="s">
        <v>30916</v>
      </c>
      <c r="I4829" t="s">
        <v>30939</v>
      </c>
      <c r="J4829" t="s">
        <v>31043</v>
      </c>
      <c r="K4829" t="s">
        <v>40281</v>
      </c>
      <c r="M4829" t="s">
        <v>42460</v>
      </c>
      <c r="N4829" t="s">
        <v>44759</v>
      </c>
      <c r="O4829" t="s">
        <v>44760</v>
      </c>
      <c r="P4829">
        <v>0</v>
      </c>
      <c r="Q4829">
        <v>0</v>
      </c>
      <c r="R4829" t="s">
        <v>44764</v>
      </c>
      <c r="S4829" t="s">
        <v>44889</v>
      </c>
      <c r="T4829" t="s">
        <v>46483</v>
      </c>
      <c r="U4829" t="s">
        <v>51015</v>
      </c>
      <c r="W4829" t="s">
        <v>42460</v>
      </c>
      <c r="X4829" t="s">
        <v>44765</v>
      </c>
    </row>
    <row r="4830" spans="1:24">
      <c r="A4830">
        <f>HYPERLINK("https://www.philgeps.gov.ph/GEPSNONPILOT/Tender/SplashBidNoticeAbstractUI.aspx?menuIndex=3&amp;refID=7148716&amp;Result=3","7148716")</f>
        <v>0</v>
      </c>
      <c r="B4830" t="s">
        <v>1246</v>
      </c>
      <c r="C4830" t="s">
        <v>8318</v>
      </c>
      <c r="E4830" t="s">
        <v>22363</v>
      </c>
      <c r="F4830" t="s">
        <v>30900</v>
      </c>
      <c r="G4830" t="s">
        <v>30908</v>
      </c>
      <c r="H4830" t="s">
        <v>30916</v>
      </c>
      <c r="I4830" t="s">
        <v>30919</v>
      </c>
      <c r="J4830" t="s">
        <v>34274</v>
      </c>
      <c r="K4830" t="s">
        <v>40289</v>
      </c>
      <c r="M4830" t="s">
        <v>41858</v>
      </c>
      <c r="N4830" t="s">
        <v>44759</v>
      </c>
      <c r="O4830" t="s">
        <v>44760</v>
      </c>
      <c r="P4830">
        <v>0</v>
      </c>
      <c r="Q4830">
        <v>0</v>
      </c>
      <c r="R4830" t="s">
        <v>44764</v>
      </c>
      <c r="S4830" t="s">
        <v>44889</v>
      </c>
      <c r="T4830" t="s">
        <v>46662</v>
      </c>
      <c r="U4830" t="s">
        <v>51016</v>
      </c>
      <c r="W4830" t="s">
        <v>41858</v>
      </c>
      <c r="X4830" t="s">
        <v>44765</v>
      </c>
    </row>
    <row r="4831" spans="1:24">
      <c r="A4831">
        <f>HYPERLINK("https://www.philgeps.gov.ph/GEPSNONPILOT/Tender/SplashBidNoticeAbstractUI.aspx?menuIndex=3&amp;refID=7148713&amp;Result=3","7148713")</f>
        <v>0</v>
      </c>
      <c r="B4831" t="s">
        <v>1792</v>
      </c>
      <c r="C4831" t="s">
        <v>8319</v>
      </c>
      <c r="D4831" t="s">
        <v>17959</v>
      </c>
      <c r="E4831" t="s">
        <v>22364</v>
      </c>
      <c r="F4831" t="s">
        <v>30900</v>
      </c>
      <c r="G4831" t="s">
        <v>30908</v>
      </c>
      <c r="H4831" t="s">
        <v>30916</v>
      </c>
      <c r="I4831" t="s">
        <v>4142</v>
      </c>
      <c r="J4831" t="s">
        <v>34275</v>
      </c>
      <c r="K4831" t="s">
        <v>40283</v>
      </c>
      <c r="L4831" t="s">
        <v>1792</v>
      </c>
      <c r="M4831" t="s">
        <v>42466</v>
      </c>
      <c r="N4831" t="s">
        <v>44759</v>
      </c>
      <c r="O4831" t="s">
        <v>44760</v>
      </c>
      <c r="P4831">
        <v>0</v>
      </c>
      <c r="Q4831">
        <v>15</v>
      </c>
      <c r="R4831" t="s">
        <v>44764</v>
      </c>
      <c r="S4831" t="s">
        <v>44889</v>
      </c>
      <c r="T4831" t="s">
        <v>46699</v>
      </c>
      <c r="U4831" t="s">
        <v>51017</v>
      </c>
      <c r="W4831" t="s">
        <v>42466</v>
      </c>
      <c r="X4831" t="s">
        <v>44765</v>
      </c>
    </row>
    <row r="4832" spans="1:24">
      <c r="A4832">
        <f>HYPERLINK("https://www.philgeps.gov.ph/GEPSNONPILOT/Tender/SplashBidNoticeAbstractUI.aspx?menuIndex=3&amp;refID=7148709&amp;Result=3","7148709")</f>
        <v>0</v>
      </c>
      <c r="B4832" t="s">
        <v>1793</v>
      </c>
      <c r="C4832" t="s">
        <v>8320</v>
      </c>
      <c r="D4832" t="s">
        <v>18031</v>
      </c>
      <c r="E4832" t="s">
        <v>22365</v>
      </c>
      <c r="F4832" t="s">
        <v>30900</v>
      </c>
      <c r="G4832" t="s">
        <v>30907</v>
      </c>
      <c r="H4832" t="s">
        <v>30915</v>
      </c>
      <c r="I4832" t="s">
        <v>30919</v>
      </c>
      <c r="J4832" t="s">
        <v>31297</v>
      </c>
      <c r="K4832" t="s">
        <v>40392</v>
      </c>
      <c r="M4832" t="s">
        <v>42467</v>
      </c>
      <c r="N4832" t="s">
        <v>44759</v>
      </c>
      <c r="O4832" t="s">
        <v>44760</v>
      </c>
      <c r="P4832">
        <v>0</v>
      </c>
      <c r="Q4832">
        <v>1</v>
      </c>
      <c r="R4832" t="s">
        <v>44764</v>
      </c>
      <c r="S4832" t="s">
        <v>44889</v>
      </c>
      <c r="T4832" t="s">
        <v>46592</v>
      </c>
      <c r="U4832" t="s">
        <v>51018</v>
      </c>
      <c r="W4832" t="s">
        <v>42467</v>
      </c>
      <c r="X4832" t="s">
        <v>44765</v>
      </c>
    </row>
    <row r="4833" spans="1:24">
      <c r="A4833">
        <f>HYPERLINK("https://www.philgeps.gov.ph/GEPSNONPILOT/Tender/SplashBidNoticeAbstractUI.aspx?menuIndex=3&amp;refID=7149109&amp;Result=3","7149109")</f>
        <v>0</v>
      </c>
      <c r="B4833" t="s">
        <v>1750</v>
      </c>
      <c r="C4833" t="s">
        <v>8321</v>
      </c>
      <c r="D4833" t="s">
        <v>17966</v>
      </c>
      <c r="E4833" t="s">
        <v>22366</v>
      </c>
      <c r="F4833" t="s">
        <v>30900</v>
      </c>
      <c r="G4833" t="s">
        <v>30907</v>
      </c>
      <c r="H4833" t="s">
        <v>30916</v>
      </c>
      <c r="I4833" t="s">
        <v>4545</v>
      </c>
      <c r="J4833" t="s">
        <v>32363</v>
      </c>
      <c r="K4833" t="s">
        <v>40283</v>
      </c>
      <c r="M4833" t="s">
        <v>42419</v>
      </c>
      <c r="N4833" t="s">
        <v>44759</v>
      </c>
      <c r="O4833" t="s">
        <v>44760</v>
      </c>
      <c r="P4833">
        <v>0</v>
      </c>
      <c r="Q4833">
        <v>2</v>
      </c>
      <c r="R4833" t="s">
        <v>44763</v>
      </c>
      <c r="S4833" t="s">
        <v>44876</v>
      </c>
      <c r="T4833" t="s">
        <v>46443</v>
      </c>
      <c r="U4833" t="s">
        <v>51019</v>
      </c>
      <c r="W4833" t="s">
        <v>60873</v>
      </c>
      <c r="X4833" t="s">
        <v>44764</v>
      </c>
    </row>
    <row r="4834" spans="1:24">
      <c r="A4834">
        <f>HYPERLINK("https://www.philgeps.gov.ph/GEPSNONPILOT/Tender/SplashBidNoticeAbstractUI.aspx?menuIndex=3&amp;refID=7148706&amp;Result=3","7148706")</f>
        <v>0</v>
      </c>
      <c r="B4834" t="s">
        <v>1794</v>
      </c>
      <c r="C4834" t="s">
        <v>8322</v>
      </c>
      <c r="D4834" t="s">
        <v>17955</v>
      </c>
      <c r="E4834" t="s">
        <v>18608</v>
      </c>
      <c r="F4834" t="s">
        <v>30900</v>
      </c>
      <c r="G4834" t="s">
        <v>30908</v>
      </c>
      <c r="H4834" t="s">
        <v>30916</v>
      </c>
      <c r="I4834" t="s">
        <v>30934</v>
      </c>
      <c r="J4834" t="s">
        <v>34276</v>
      </c>
      <c r="K4834" t="s">
        <v>40285</v>
      </c>
      <c r="M4834" t="s">
        <v>42468</v>
      </c>
      <c r="N4834" t="s">
        <v>44759</v>
      </c>
      <c r="O4834" t="s">
        <v>44760</v>
      </c>
      <c r="P4834">
        <v>0</v>
      </c>
      <c r="Q4834">
        <v>0</v>
      </c>
      <c r="R4834" t="s">
        <v>44764</v>
      </c>
      <c r="S4834" t="s">
        <v>44889</v>
      </c>
      <c r="T4834" t="s">
        <v>46623</v>
      </c>
      <c r="U4834" t="s">
        <v>51020</v>
      </c>
      <c r="W4834" t="s">
        <v>42468</v>
      </c>
      <c r="X4834" t="s">
        <v>44765</v>
      </c>
    </row>
    <row r="4835" spans="1:24">
      <c r="A4835">
        <f>HYPERLINK("https://www.philgeps.gov.ph/GEPSNONPILOT/Tender/SplashBidNoticeAbstractUI.aspx?menuIndex=3&amp;refID=7148649&amp;Result=3","7148649")</f>
        <v>0</v>
      </c>
      <c r="B4835" t="s">
        <v>1777</v>
      </c>
      <c r="C4835" t="s">
        <v>8323</v>
      </c>
      <c r="D4835" t="s">
        <v>17994</v>
      </c>
      <c r="E4835" t="s">
        <v>22367</v>
      </c>
      <c r="F4835" t="s">
        <v>30900</v>
      </c>
      <c r="G4835" t="s">
        <v>30907</v>
      </c>
      <c r="H4835" t="s">
        <v>30916</v>
      </c>
      <c r="I4835" t="s">
        <v>4108</v>
      </c>
      <c r="J4835" t="s">
        <v>34277</v>
      </c>
      <c r="K4835" t="s">
        <v>40286</v>
      </c>
      <c r="M4835" t="s">
        <v>42460</v>
      </c>
      <c r="N4835" t="s">
        <v>44759</v>
      </c>
      <c r="O4835" t="s">
        <v>44760</v>
      </c>
      <c r="P4835">
        <v>0</v>
      </c>
      <c r="Q4835">
        <v>0</v>
      </c>
      <c r="R4835" t="s">
        <v>44764</v>
      </c>
      <c r="S4835" t="s">
        <v>44889</v>
      </c>
      <c r="T4835" t="s">
        <v>46483</v>
      </c>
      <c r="U4835" t="s">
        <v>51021</v>
      </c>
      <c r="W4835" t="s">
        <v>42460</v>
      </c>
      <c r="X4835" t="s">
        <v>44765</v>
      </c>
    </row>
    <row r="4836" spans="1:24">
      <c r="A4836">
        <f>HYPERLINK("https://www.philgeps.gov.ph/GEPSNONPILOT/Tender/SplashBidNoticeAbstractUI.aspx?menuIndex=3&amp;refID=7148711&amp;Result=3","7148711")</f>
        <v>0</v>
      </c>
      <c r="B4836" t="s">
        <v>1723</v>
      </c>
      <c r="C4836" t="s">
        <v>8324</v>
      </c>
      <c r="D4836" t="s">
        <v>17957</v>
      </c>
      <c r="E4836" t="s">
        <v>22368</v>
      </c>
      <c r="F4836" t="s">
        <v>30900</v>
      </c>
      <c r="G4836" t="s">
        <v>30909</v>
      </c>
      <c r="H4836" t="s">
        <v>30916</v>
      </c>
      <c r="I4836" t="s">
        <v>30928</v>
      </c>
      <c r="J4836" t="s">
        <v>31142</v>
      </c>
      <c r="K4836" t="s">
        <v>40283</v>
      </c>
      <c r="M4836" t="s">
        <v>42387</v>
      </c>
      <c r="N4836" t="s">
        <v>44759</v>
      </c>
      <c r="O4836" t="s">
        <v>44760</v>
      </c>
      <c r="P4836">
        <v>0</v>
      </c>
      <c r="Q4836">
        <v>0</v>
      </c>
      <c r="R4836" t="s">
        <v>44764</v>
      </c>
      <c r="S4836" t="s">
        <v>44889</v>
      </c>
      <c r="T4836" t="s">
        <v>46412</v>
      </c>
      <c r="U4836" t="s">
        <v>51022</v>
      </c>
      <c r="W4836" t="s">
        <v>42387</v>
      </c>
      <c r="X4836" t="s">
        <v>44765</v>
      </c>
    </row>
    <row r="4837" spans="1:24">
      <c r="A4837">
        <f>HYPERLINK("https://www.philgeps.gov.ph/GEPSNONPILOT/Tender/SplashBidNoticeAbstractUI.aspx?menuIndex=3&amp;refID=7148715&amp;Result=3","7148715")</f>
        <v>0</v>
      </c>
      <c r="B4837" t="s">
        <v>1795</v>
      </c>
      <c r="C4837" t="s">
        <v>8325</v>
      </c>
      <c r="D4837" t="s">
        <v>17954</v>
      </c>
      <c r="E4837" t="s">
        <v>19983</v>
      </c>
      <c r="F4837" t="s">
        <v>30900</v>
      </c>
      <c r="G4837" t="s">
        <v>30913</v>
      </c>
      <c r="H4837" t="s">
        <v>30915</v>
      </c>
      <c r="I4837" t="s">
        <v>30919</v>
      </c>
      <c r="J4837" t="s">
        <v>34278</v>
      </c>
      <c r="K4837" t="s">
        <v>40292</v>
      </c>
      <c r="M4837" t="s">
        <v>42469</v>
      </c>
      <c r="N4837" t="s">
        <v>44759</v>
      </c>
      <c r="O4837" t="s">
        <v>44760</v>
      </c>
      <c r="P4837">
        <v>0</v>
      </c>
      <c r="Q4837">
        <v>3</v>
      </c>
      <c r="R4837" t="s">
        <v>44764</v>
      </c>
      <c r="S4837" t="s">
        <v>44889</v>
      </c>
      <c r="T4837" t="s">
        <v>46480</v>
      </c>
      <c r="U4837" t="s">
        <v>51023</v>
      </c>
      <c r="W4837" t="s">
        <v>42469</v>
      </c>
      <c r="X4837" t="s">
        <v>44765</v>
      </c>
    </row>
    <row r="4838" spans="1:24">
      <c r="A4838">
        <f>HYPERLINK("https://www.philgeps.gov.ph/GEPSNONPILOT/Tender/SplashBidNoticeAbstractUI.aspx?menuIndex=3&amp;refID=7148701&amp;Result=3","7148701")</f>
        <v>0</v>
      </c>
      <c r="B4838" t="s">
        <v>1246</v>
      </c>
      <c r="C4838" t="s">
        <v>8326</v>
      </c>
      <c r="E4838" t="s">
        <v>22369</v>
      </c>
      <c r="F4838" t="s">
        <v>30900</v>
      </c>
      <c r="G4838" t="s">
        <v>30908</v>
      </c>
      <c r="H4838" t="s">
        <v>30916</v>
      </c>
      <c r="I4838" t="s">
        <v>8123</v>
      </c>
      <c r="J4838" t="s">
        <v>34279</v>
      </c>
      <c r="K4838" t="s">
        <v>40289</v>
      </c>
      <c r="M4838" t="s">
        <v>41858</v>
      </c>
      <c r="N4838" t="s">
        <v>44759</v>
      </c>
      <c r="O4838" t="s">
        <v>44760</v>
      </c>
      <c r="P4838">
        <v>0</v>
      </c>
      <c r="Q4838">
        <v>1</v>
      </c>
      <c r="R4838" t="s">
        <v>44764</v>
      </c>
      <c r="S4838" t="s">
        <v>44889</v>
      </c>
      <c r="T4838" t="s">
        <v>46662</v>
      </c>
      <c r="U4838" t="s">
        <v>51024</v>
      </c>
      <c r="W4838" t="s">
        <v>41858</v>
      </c>
      <c r="X4838" t="s">
        <v>44765</v>
      </c>
    </row>
    <row r="4839" spans="1:24">
      <c r="A4839">
        <f>HYPERLINK("https://www.philgeps.gov.ph/GEPSNONPILOT/Tender/SplashBidNoticeAbstractUI.aspx?menuIndex=3&amp;refID=7148697&amp;Result=3","7148697")</f>
        <v>0</v>
      </c>
      <c r="B4839" t="s">
        <v>1723</v>
      </c>
      <c r="C4839" t="s">
        <v>4355</v>
      </c>
      <c r="D4839" t="s">
        <v>17957</v>
      </c>
      <c r="E4839" t="s">
        <v>22370</v>
      </c>
      <c r="F4839" t="s">
        <v>30900</v>
      </c>
      <c r="G4839" t="s">
        <v>30909</v>
      </c>
      <c r="H4839" t="s">
        <v>30916</v>
      </c>
      <c r="I4839" t="s">
        <v>4545</v>
      </c>
      <c r="J4839" t="s">
        <v>34280</v>
      </c>
      <c r="K4839" t="s">
        <v>40286</v>
      </c>
      <c r="M4839" t="s">
        <v>42387</v>
      </c>
      <c r="N4839" t="s">
        <v>44759</v>
      </c>
      <c r="O4839" t="s">
        <v>44760</v>
      </c>
      <c r="P4839">
        <v>0</v>
      </c>
      <c r="Q4839">
        <v>0</v>
      </c>
      <c r="R4839" t="s">
        <v>44764</v>
      </c>
      <c r="S4839" t="s">
        <v>44889</v>
      </c>
      <c r="T4839" t="s">
        <v>46412</v>
      </c>
      <c r="U4839" t="s">
        <v>51025</v>
      </c>
      <c r="W4839" t="s">
        <v>42387</v>
      </c>
      <c r="X4839" t="s">
        <v>44765</v>
      </c>
    </row>
    <row r="4840" spans="1:24">
      <c r="A4840">
        <f>HYPERLINK("https://www.philgeps.gov.ph/GEPSNONPILOT/Tender/SplashBidNoticeAbstractUI.aspx?menuIndex=3&amp;refID=7148696&amp;Result=3","7148696")</f>
        <v>0</v>
      </c>
      <c r="B4840" t="s">
        <v>1246</v>
      </c>
      <c r="C4840" t="s">
        <v>8327</v>
      </c>
      <c r="E4840" t="s">
        <v>22371</v>
      </c>
      <c r="F4840" t="s">
        <v>30900</v>
      </c>
      <c r="G4840" t="s">
        <v>30908</v>
      </c>
      <c r="H4840" t="s">
        <v>30916</v>
      </c>
      <c r="I4840" t="s">
        <v>30983</v>
      </c>
      <c r="J4840" t="s">
        <v>31522</v>
      </c>
      <c r="K4840" t="s">
        <v>40289</v>
      </c>
      <c r="M4840" t="s">
        <v>41858</v>
      </c>
      <c r="N4840" t="s">
        <v>44759</v>
      </c>
      <c r="O4840" t="s">
        <v>44760</v>
      </c>
      <c r="P4840">
        <v>0</v>
      </c>
      <c r="Q4840">
        <v>0</v>
      </c>
      <c r="R4840" t="s">
        <v>44764</v>
      </c>
      <c r="S4840" t="s">
        <v>44889</v>
      </c>
      <c r="T4840" t="s">
        <v>46662</v>
      </c>
      <c r="U4840" t="s">
        <v>51026</v>
      </c>
      <c r="W4840" t="s">
        <v>41858</v>
      </c>
      <c r="X4840" t="s">
        <v>44765</v>
      </c>
    </row>
    <row r="4841" spans="1:24">
      <c r="A4841">
        <f>HYPERLINK("https://www.philgeps.gov.ph/GEPSNONPILOT/Tender/SplashBidNoticeAbstractUI.aspx?menuIndex=3&amp;refID=7148693&amp;Result=3","7148693")</f>
        <v>0</v>
      </c>
      <c r="B4841" t="s">
        <v>1796</v>
      </c>
      <c r="C4841" t="s">
        <v>8328</v>
      </c>
      <c r="E4841" t="s">
        <v>19096</v>
      </c>
      <c r="F4841" t="s">
        <v>30900</v>
      </c>
      <c r="G4841" t="s">
        <v>30907</v>
      </c>
      <c r="H4841" t="s">
        <v>30916</v>
      </c>
      <c r="I4841" t="s">
        <v>8123</v>
      </c>
      <c r="J4841" t="s">
        <v>34281</v>
      </c>
      <c r="K4841" t="s">
        <v>40289</v>
      </c>
      <c r="M4841" t="s">
        <v>42470</v>
      </c>
      <c r="N4841" t="s">
        <v>44759</v>
      </c>
      <c r="O4841" t="s">
        <v>44760</v>
      </c>
      <c r="P4841">
        <v>0</v>
      </c>
      <c r="Q4841">
        <v>0</v>
      </c>
      <c r="R4841" t="s">
        <v>44764</v>
      </c>
      <c r="S4841" t="s">
        <v>44889</v>
      </c>
      <c r="T4841" t="s">
        <v>46357</v>
      </c>
      <c r="U4841" t="s">
        <v>51027</v>
      </c>
      <c r="W4841" t="s">
        <v>42470</v>
      </c>
      <c r="X4841" t="s">
        <v>44765</v>
      </c>
    </row>
    <row r="4842" spans="1:24">
      <c r="A4842">
        <f>HYPERLINK("https://www.philgeps.gov.ph/GEPSNONPILOT/Tender/SplashBidNoticeAbstractUI.aspx?menuIndex=3&amp;refID=7148689&amp;Result=3","7148689")</f>
        <v>0</v>
      </c>
      <c r="B4842" t="s">
        <v>1797</v>
      </c>
      <c r="C4842" t="s">
        <v>8329</v>
      </c>
      <c r="E4842" t="s">
        <v>22372</v>
      </c>
      <c r="F4842" t="s">
        <v>30900</v>
      </c>
      <c r="G4842" t="s">
        <v>30907</v>
      </c>
      <c r="H4842" t="s">
        <v>30916</v>
      </c>
      <c r="I4842" t="s">
        <v>8123</v>
      </c>
      <c r="J4842" t="s">
        <v>34282</v>
      </c>
      <c r="K4842" t="s">
        <v>40289</v>
      </c>
      <c r="M4842" t="s">
        <v>42471</v>
      </c>
      <c r="N4842" t="s">
        <v>44759</v>
      </c>
      <c r="O4842" t="s">
        <v>44760</v>
      </c>
      <c r="P4842">
        <v>0</v>
      </c>
      <c r="Q4842">
        <v>0</v>
      </c>
      <c r="R4842" t="s">
        <v>44764</v>
      </c>
      <c r="S4842" t="s">
        <v>44889</v>
      </c>
      <c r="T4842" t="s">
        <v>46357</v>
      </c>
      <c r="U4842" t="s">
        <v>51028</v>
      </c>
      <c r="W4842" t="s">
        <v>42471</v>
      </c>
      <c r="X4842" t="s">
        <v>44765</v>
      </c>
    </row>
    <row r="4843" spans="1:24">
      <c r="A4843">
        <f>HYPERLINK("https://www.philgeps.gov.ph/GEPSNONPILOT/Tender/SplashBidNoticeAbstractUI.aspx?menuIndex=3&amp;refID=7148763&amp;Result=3","7148763")</f>
        <v>0</v>
      </c>
      <c r="B4843" t="s">
        <v>1798</v>
      </c>
      <c r="C4843" t="s">
        <v>8330</v>
      </c>
      <c r="D4843" t="s">
        <v>17961</v>
      </c>
      <c r="E4843" t="s">
        <v>18623</v>
      </c>
      <c r="F4843" t="s">
        <v>30900</v>
      </c>
      <c r="G4843" t="s">
        <v>30909</v>
      </c>
      <c r="H4843" t="s">
        <v>30916</v>
      </c>
      <c r="I4843" t="s">
        <v>8365</v>
      </c>
      <c r="J4843" t="s">
        <v>32501</v>
      </c>
      <c r="K4843" t="s">
        <v>40285</v>
      </c>
      <c r="M4843" t="s">
        <v>42472</v>
      </c>
      <c r="N4843" t="s">
        <v>44759</v>
      </c>
      <c r="O4843" t="s">
        <v>44760</v>
      </c>
      <c r="P4843">
        <v>0</v>
      </c>
      <c r="Q4843">
        <v>0</v>
      </c>
      <c r="R4843" t="s">
        <v>44764</v>
      </c>
      <c r="S4843" t="s">
        <v>44889</v>
      </c>
      <c r="T4843" t="s">
        <v>46662</v>
      </c>
      <c r="U4843" t="s">
        <v>51029</v>
      </c>
      <c r="W4843" t="s">
        <v>42472</v>
      </c>
      <c r="X4843" t="s">
        <v>44765</v>
      </c>
    </row>
    <row r="4844" spans="1:24">
      <c r="A4844">
        <f>HYPERLINK("https://www.philgeps.gov.ph/GEPSNONPILOT/Tender/SplashBidNoticeAbstractUI.aspx?menuIndex=3&amp;refID=7148704&amp;Result=3","7148704")</f>
        <v>0</v>
      </c>
      <c r="B4844" t="s">
        <v>1793</v>
      </c>
      <c r="C4844" t="s">
        <v>8331</v>
      </c>
      <c r="D4844" t="s">
        <v>18031</v>
      </c>
      <c r="E4844" t="s">
        <v>22373</v>
      </c>
      <c r="F4844" t="s">
        <v>30900</v>
      </c>
      <c r="G4844" t="s">
        <v>30907</v>
      </c>
      <c r="H4844" t="s">
        <v>30915</v>
      </c>
      <c r="I4844" t="s">
        <v>30953</v>
      </c>
      <c r="J4844" t="s">
        <v>31297</v>
      </c>
      <c r="K4844" t="s">
        <v>40392</v>
      </c>
      <c r="M4844" t="s">
        <v>42467</v>
      </c>
      <c r="N4844" t="s">
        <v>44759</v>
      </c>
      <c r="O4844" t="s">
        <v>44760</v>
      </c>
      <c r="P4844">
        <v>0</v>
      </c>
      <c r="Q4844">
        <v>0</v>
      </c>
      <c r="R4844" t="s">
        <v>44764</v>
      </c>
      <c r="S4844" t="s">
        <v>44889</v>
      </c>
      <c r="T4844" t="s">
        <v>46592</v>
      </c>
      <c r="U4844" t="s">
        <v>51030</v>
      </c>
      <c r="W4844" t="s">
        <v>42467</v>
      </c>
      <c r="X4844" t="s">
        <v>44765</v>
      </c>
    </row>
    <row r="4845" spans="1:24">
      <c r="A4845">
        <f>HYPERLINK("https://www.philgeps.gov.ph/GEPSNONPILOT/Tender/SplashBidNoticeAbstractUI.aspx?menuIndex=3&amp;refID=7148762&amp;Result=3","7148762")</f>
        <v>0</v>
      </c>
      <c r="B4845" t="s">
        <v>763</v>
      </c>
      <c r="C4845" t="s">
        <v>8332</v>
      </c>
      <c r="D4845" t="s">
        <v>18013</v>
      </c>
      <c r="E4845" t="s">
        <v>22374</v>
      </c>
      <c r="F4845" t="s">
        <v>30900</v>
      </c>
      <c r="G4845" t="s">
        <v>30907</v>
      </c>
      <c r="H4845" t="s">
        <v>30916</v>
      </c>
      <c r="I4845" t="s">
        <v>8123</v>
      </c>
      <c r="J4845" t="s">
        <v>34283</v>
      </c>
      <c r="K4845" t="s">
        <v>40283</v>
      </c>
      <c r="M4845" t="s">
        <v>41329</v>
      </c>
      <c r="N4845" t="s">
        <v>44759</v>
      </c>
      <c r="O4845" t="s">
        <v>44760</v>
      </c>
      <c r="P4845">
        <v>0</v>
      </c>
      <c r="Q4845">
        <v>0</v>
      </c>
      <c r="R4845" t="s">
        <v>44764</v>
      </c>
      <c r="S4845" t="s">
        <v>44889</v>
      </c>
      <c r="T4845" t="s">
        <v>46406</v>
      </c>
      <c r="U4845" t="s">
        <v>51031</v>
      </c>
      <c r="W4845" t="s">
        <v>41329</v>
      </c>
      <c r="X4845" t="s">
        <v>44765</v>
      </c>
    </row>
    <row r="4846" spans="1:24">
      <c r="A4846">
        <f>HYPERLINK("https://www.philgeps.gov.ph/GEPSNONPILOT/Tender/SplashBidNoticeAbstractUI.aspx?menuIndex=3&amp;refID=7148761&amp;Result=3","7148761")</f>
        <v>0</v>
      </c>
      <c r="B4846" t="s">
        <v>763</v>
      </c>
      <c r="C4846" t="s">
        <v>8333</v>
      </c>
      <c r="D4846" t="s">
        <v>18013</v>
      </c>
      <c r="E4846" t="s">
        <v>22375</v>
      </c>
      <c r="F4846" t="s">
        <v>30900</v>
      </c>
      <c r="G4846" t="s">
        <v>30907</v>
      </c>
      <c r="H4846" t="s">
        <v>30916</v>
      </c>
      <c r="I4846" t="s">
        <v>30927</v>
      </c>
      <c r="J4846" t="s">
        <v>31066</v>
      </c>
      <c r="K4846" t="s">
        <v>40283</v>
      </c>
      <c r="M4846" t="s">
        <v>41329</v>
      </c>
      <c r="N4846" t="s">
        <v>44759</v>
      </c>
      <c r="O4846" t="s">
        <v>44760</v>
      </c>
      <c r="P4846">
        <v>0</v>
      </c>
      <c r="Q4846">
        <v>0</v>
      </c>
      <c r="R4846" t="s">
        <v>44764</v>
      </c>
      <c r="S4846" t="s">
        <v>44889</v>
      </c>
      <c r="T4846" t="s">
        <v>46406</v>
      </c>
      <c r="U4846" t="s">
        <v>51031</v>
      </c>
      <c r="W4846" t="s">
        <v>41329</v>
      </c>
      <c r="X4846" t="s">
        <v>44765</v>
      </c>
    </row>
    <row r="4847" spans="1:24">
      <c r="A4847">
        <f>HYPERLINK("https://www.philgeps.gov.ph/GEPSNONPILOT/Tender/SplashBidNoticeAbstractUI.aspx?menuIndex=3&amp;refID=7148764&amp;Result=3","7148764")</f>
        <v>0</v>
      </c>
      <c r="B4847" t="s">
        <v>763</v>
      </c>
      <c r="C4847" t="s">
        <v>8334</v>
      </c>
      <c r="D4847" t="s">
        <v>18013</v>
      </c>
      <c r="E4847" t="s">
        <v>22376</v>
      </c>
      <c r="F4847" t="s">
        <v>30900</v>
      </c>
      <c r="G4847" t="s">
        <v>30907</v>
      </c>
      <c r="H4847" t="s">
        <v>30915</v>
      </c>
      <c r="I4847" t="s">
        <v>30919</v>
      </c>
      <c r="J4847" t="s">
        <v>31243</v>
      </c>
      <c r="K4847" t="s">
        <v>40293</v>
      </c>
      <c r="M4847" t="s">
        <v>41329</v>
      </c>
      <c r="N4847" t="s">
        <v>44759</v>
      </c>
      <c r="O4847" t="s">
        <v>44760</v>
      </c>
      <c r="P4847">
        <v>0</v>
      </c>
      <c r="Q4847">
        <v>0</v>
      </c>
      <c r="R4847" t="s">
        <v>44764</v>
      </c>
      <c r="S4847" t="s">
        <v>44889</v>
      </c>
      <c r="T4847" t="s">
        <v>46406</v>
      </c>
      <c r="U4847" t="s">
        <v>51032</v>
      </c>
      <c r="W4847" t="s">
        <v>41329</v>
      </c>
      <c r="X4847" t="s">
        <v>44765</v>
      </c>
    </row>
    <row r="4848" spans="1:24">
      <c r="A4848">
        <f>HYPERLINK("https://www.philgeps.gov.ph/GEPSNONPILOT/Tender/SplashBidNoticeAbstractUI.aspx?menuIndex=3&amp;refID=7148759&amp;Result=3","7148759")</f>
        <v>0</v>
      </c>
      <c r="B4848" t="s">
        <v>763</v>
      </c>
      <c r="C4848" t="s">
        <v>8335</v>
      </c>
      <c r="D4848" t="s">
        <v>18013</v>
      </c>
      <c r="E4848" t="s">
        <v>22377</v>
      </c>
      <c r="F4848" t="s">
        <v>30900</v>
      </c>
      <c r="G4848" t="s">
        <v>30907</v>
      </c>
      <c r="H4848" t="s">
        <v>30916</v>
      </c>
      <c r="I4848" t="s">
        <v>30927</v>
      </c>
      <c r="J4848" t="s">
        <v>34284</v>
      </c>
      <c r="K4848" t="s">
        <v>40283</v>
      </c>
      <c r="M4848" t="s">
        <v>41329</v>
      </c>
      <c r="N4848" t="s">
        <v>44759</v>
      </c>
      <c r="O4848" t="s">
        <v>44760</v>
      </c>
      <c r="P4848">
        <v>0</v>
      </c>
      <c r="Q4848">
        <v>0</v>
      </c>
      <c r="R4848" t="s">
        <v>44764</v>
      </c>
      <c r="S4848" t="s">
        <v>44889</v>
      </c>
      <c r="T4848" t="s">
        <v>46406</v>
      </c>
      <c r="U4848" t="s">
        <v>51033</v>
      </c>
      <c r="W4848" t="s">
        <v>41329</v>
      </c>
      <c r="X4848" t="s">
        <v>44765</v>
      </c>
    </row>
    <row r="4849" spans="1:24">
      <c r="A4849">
        <f>HYPERLINK("https://www.philgeps.gov.ph/GEPSNONPILOT/Tender/SplashBidNoticeAbstractUI.aspx?menuIndex=3&amp;refID=7148756&amp;Result=3","7148756")</f>
        <v>0</v>
      </c>
      <c r="B4849" t="s">
        <v>1799</v>
      </c>
      <c r="C4849" t="s">
        <v>8336</v>
      </c>
      <c r="D4849" t="s">
        <v>17995</v>
      </c>
      <c r="E4849" t="s">
        <v>22378</v>
      </c>
      <c r="F4849" t="s">
        <v>30900</v>
      </c>
      <c r="G4849" t="s">
        <v>30908</v>
      </c>
      <c r="H4849" t="s">
        <v>30916</v>
      </c>
      <c r="I4849" t="s">
        <v>30961</v>
      </c>
      <c r="J4849" t="s">
        <v>31082</v>
      </c>
      <c r="K4849" t="s">
        <v>40286</v>
      </c>
      <c r="M4849" t="s">
        <v>42473</v>
      </c>
      <c r="N4849" t="s">
        <v>44759</v>
      </c>
      <c r="O4849" t="s">
        <v>44760</v>
      </c>
      <c r="P4849">
        <v>0</v>
      </c>
      <c r="Q4849">
        <v>2</v>
      </c>
      <c r="R4849" t="s">
        <v>44764</v>
      </c>
      <c r="S4849" t="s">
        <v>44889</v>
      </c>
      <c r="T4849" t="s">
        <v>46658</v>
      </c>
      <c r="U4849" t="s">
        <v>51034</v>
      </c>
      <c r="V4849" t="s">
        <v>59628</v>
      </c>
      <c r="W4849" t="s">
        <v>42473</v>
      </c>
      <c r="X4849" t="s">
        <v>44765</v>
      </c>
    </row>
    <row r="4850" spans="1:24">
      <c r="A4850">
        <f>HYPERLINK("https://www.philgeps.gov.ph/GEPSNONPILOT/Tender/SplashBidNoticeAbstractUI.aspx?menuIndex=3&amp;refID=7148755&amp;Result=3","7148755")</f>
        <v>0</v>
      </c>
      <c r="B4850" t="s">
        <v>1799</v>
      </c>
      <c r="C4850" t="s">
        <v>8337</v>
      </c>
      <c r="D4850" t="s">
        <v>17995</v>
      </c>
      <c r="E4850" t="s">
        <v>22379</v>
      </c>
      <c r="F4850" t="s">
        <v>30900</v>
      </c>
      <c r="G4850" t="s">
        <v>30908</v>
      </c>
      <c r="H4850" t="s">
        <v>30916</v>
      </c>
      <c r="I4850" t="s">
        <v>30927</v>
      </c>
      <c r="J4850" t="s">
        <v>34285</v>
      </c>
      <c r="K4850" t="s">
        <v>40286</v>
      </c>
      <c r="M4850" t="s">
        <v>42473</v>
      </c>
      <c r="N4850" t="s">
        <v>44759</v>
      </c>
      <c r="O4850" t="s">
        <v>44760</v>
      </c>
      <c r="P4850">
        <v>0</v>
      </c>
      <c r="Q4850">
        <v>1</v>
      </c>
      <c r="R4850" t="s">
        <v>44764</v>
      </c>
      <c r="S4850" t="s">
        <v>44889</v>
      </c>
      <c r="T4850" t="s">
        <v>46658</v>
      </c>
      <c r="U4850" t="s">
        <v>51034</v>
      </c>
      <c r="V4850" t="s">
        <v>59628</v>
      </c>
      <c r="W4850" t="s">
        <v>42473</v>
      </c>
      <c r="X4850" t="s">
        <v>44765</v>
      </c>
    </row>
    <row r="4851" spans="1:24">
      <c r="A4851">
        <f>HYPERLINK("https://www.philgeps.gov.ph/GEPSNONPILOT/Tender/SplashBidNoticeAbstractUI.aspx?menuIndex=3&amp;refID=7148754&amp;Result=3","7148754")</f>
        <v>0</v>
      </c>
      <c r="B4851" t="s">
        <v>1800</v>
      </c>
      <c r="C4851" t="s">
        <v>8338</v>
      </c>
      <c r="E4851" t="s">
        <v>22380</v>
      </c>
      <c r="F4851" t="s">
        <v>30900</v>
      </c>
      <c r="G4851" t="s">
        <v>30907</v>
      </c>
      <c r="H4851" t="s">
        <v>30915</v>
      </c>
      <c r="I4851" t="s">
        <v>30919</v>
      </c>
      <c r="J4851" t="s">
        <v>31067</v>
      </c>
      <c r="K4851" t="s">
        <v>40280</v>
      </c>
      <c r="M4851" t="s">
        <v>42474</v>
      </c>
      <c r="N4851" t="s">
        <v>44759</v>
      </c>
      <c r="O4851" t="s">
        <v>44760</v>
      </c>
      <c r="P4851">
        <v>0</v>
      </c>
      <c r="Q4851">
        <v>2</v>
      </c>
      <c r="R4851" t="s">
        <v>44764</v>
      </c>
      <c r="S4851" t="s">
        <v>44889</v>
      </c>
      <c r="T4851" t="s">
        <v>46377</v>
      </c>
      <c r="U4851" t="s">
        <v>51035</v>
      </c>
      <c r="W4851" t="s">
        <v>42474</v>
      </c>
      <c r="X4851" t="s">
        <v>44765</v>
      </c>
    </row>
    <row r="4852" spans="1:24">
      <c r="A4852">
        <f>HYPERLINK("https://www.philgeps.gov.ph/GEPSNONPILOT/Tender/SplashBidNoticeAbstractUI.aspx?menuIndex=3&amp;refID=7148753&amp;Result=3","7148753")</f>
        <v>0</v>
      </c>
      <c r="B4852" t="s">
        <v>1799</v>
      </c>
      <c r="C4852" t="s">
        <v>8339</v>
      </c>
      <c r="D4852" t="s">
        <v>17995</v>
      </c>
      <c r="E4852" t="s">
        <v>22381</v>
      </c>
      <c r="F4852" t="s">
        <v>30900</v>
      </c>
      <c r="G4852" t="s">
        <v>30908</v>
      </c>
      <c r="H4852" t="s">
        <v>30916</v>
      </c>
      <c r="I4852" t="s">
        <v>4050</v>
      </c>
      <c r="J4852" t="s">
        <v>34286</v>
      </c>
      <c r="K4852" t="s">
        <v>40286</v>
      </c>
      <c r="M4852" t="s">
        <v>42473</v>
      </c>
      <c r="N4852" t="s">
        <v>44759</v>
      </c>
      <c r="O4852" t="s">
        <v>44760</v>
      </c>
      <c r="P4852">
        <v>0</v>
      </c>
      <c r="Q4852">
        <v>1</v>
      </c>
      <c r="R4852" t="s">
        <v>44764</v>
      </c>
      <c r="S4852" t="s">
        <v>44889</v>
      </c>
      <c r="T4852" t="s">
        <v>46658</v>
      </c>
      <c r="U4852" t="s">
        <v>51034</v>
      </c>
      <c r="V4852" t="s">
        <v>59628</v>
      </c>
      <c r="W4852" t="s">
        <v>42473</v>
      </c>
      <c r="X4852" t="s">
        <v>44765</v>
      </c>
    </row>
    <row r="4853" spans="1:24">
      <c r="A4853">
        <f>HYPERLINK("https://www.philgeps.gov.ph/GEPSNONPILOT/Tender/SplashBidNoticeAbstractUI.aspx?menuIndex=3&amp;refID=7148751&amp;Result=3","7148751")</f>
        <v>0</v>
      </c>
      <c r="B4853" t="s">
        <v>1799</v>
      </c>
      <c r="C4853" t="s">
        <v>8340</v>
      </c>
      <c r="D4853" t="s">
        <v>17995</v>
      </c>
      <c r="E4853" t="s">
        <v>22382</v>
      </c>
      <c r="F4853" t="s">
        <v>30900</v>
      </c>
      <c r="G4853" t="s">
        <v>30908</v>
      </c>
      <c r="H4853" t="s">
        <v>30916</v>
      </c>
      <c r="I4853" t="s">
        <v>30927</v>
      </c>
      <c r="J4853" t="s">
        <v>34287</v>
      </c>
      <c r="K4853" t="s">
        <v>40286</v>
      </c>
      <c r="M4853" t="s">
        <v>42473</v>
      </c>
      <c r="N4853" t="s">
        <v>44759</v>
      </c>
      <c r="O4853" t="s">
        <v>44760</v>
      </c>
      <c r="P4853">
        <v>0</v>
      </c>
      <c r="Q4853">
        <v>0</v>
      </c>
      <c r="R4853" t="s">
        <v>44764</v>
      </c>
      <c r="S4853" t="s">
        <v>44889</v>
      </c>
      <c r="T4853" t="s">
        <v>46658</v>
      </c>
      <c r="U4853" t="s">
        <v>51034</v>
      </c>
      <c r="V4853" t="s">
        <v>59628</v>
      </c>
      <c r="W4853" t="s">
        <v>42473</v>
      </c>
      <c r="X4853" t="s">
        <v>44765</v>
      </c>
    </row>
    <row r="4854" spans="1:24">
      <c r="A4854">
        <f>HYPERLINK("https://www.philgeps.gov.ph/GEPSNONPILOT/Tender/SplashBidNoticeAbstractUI.aspx?menuIndex=3&amp;refID=7148748&amp;Result=3","7148748")</f>
        <v>0</v>
      </c>
      <c r="B4854" t="s">
        <v>1801</v>
      </c>
      <c r="C4854" t="s">
        <v>8341</v>
      </c>
      <c r="D4854" t="s">
        <v>17959</v>
      </c>
      <c r="E4854" t="s">
        <v>22383</v>
      </c>
      <c r="F4854" t="s">
        <v>30900</v>
      </c>
      <c r="G4854" t="s">
        <v>30907</v>
      </c>
      <c r="H4854" t="s">
        <v>30916</v>
      </c>
      <c r="I4854" t="s">
        <v>4108</v>
      </c>
      <c r="J4854" t="s">
        <v>34288</v>
      </c>
      <c r="K4854" t="s">
        <v>40288</v>
      </c>
      <c r="M4854" t="s">
        <v>42475</v>
      </c>
      <c r="N4854" t="s">
        <v>44759</v>
      </c>
      <c r="O4854" t="s">
        <v>44760</v>
      </c>
      <c r="P4854">
        <v>0</v>
      </c>
      <c r="Q4854">
        <v>3</v>
      </c>
      <c r="R4854" t="s">
        <v>44764</v>
      </c>
      <c r="S4854" t="s">
        <v>44889</v>
      </c>
      <c r="T4854" t="s">
        <v>46357</v>
      </c>
      <c r="U4854" t="s">
        <v>51036</v>
      </c>
      <c r="W4854" t="s">
        <v>42475</v>
      </c>
      <c r="X4854" t="s">
        <v>44765</v>
      </c>
    </row>
    <row r="4855" spans="1:24">
      <c r="A4855">
        <f>HYPERLINK("https://www.philgeps.gov.ph/GEPSNONPILOT/Tender/SplashBidNoticeAbstractUI.aspx?menuIndex=3&amp;refID=7148747&amp;Result=3","7148747")</f>
        <v>0</v>
      </c>
      <c r="B4855" t="s">
        <v>1799</v>
      </c>
      <c r="C4855" t="s">
        <v>8342</v>
      </c>
      <c r="D4855" t="s">
        <v>17995</v>
      </c>
      <c r="E4855" t="s">
        <v>22384</v>
      </c>
      <c r="F4855" t="s">
        <v>30900</v>
      </c>
      <c r="G4855" t="s">
        <v>30908</v>
      </c>
      <c r="H4855" t="s">
        <v>30916</v>
      </c>
      <c r="I4855" t="s">
        <v>30927</v>
      </c>
      <c r="J4855" t="s">
        <v>34289</v>
      </c>
      <c r="K4855" t="s">
        <v>40286</v>
      </c>
      <c r="M4855" t="s">
        <v>42473</v>
      </c>
      <c r="N4855" t="s">
        <v>44759</v>
      </c>
      <c r="O4855" t="s">
        <v>44760</v>
      </c>
      <c r="P4855">
        <v>0</v>
      </c>
      <c r="Q4855">
        <v>0</v>
      </c>
      <c r="R4855" t="s">
        <v>44764</v>
      </c>
      <c r="S4855" t="s">
        <v>44889</v>
      </c>
      <c r="T4855" t="s">
        <v>46658</v>
      </c>
      <c r="U4855" t="s">
        <v>51034</v>
      </c>
      <c r="V4855" t="s">
        <v>59628</v>
      </c>
      <c r="W4855" t="s">
        <v>42473</v>
      </c>
      <c r="X4855" t="s">
        <v>44765</v>
      </c>
    </row>
    <row r="4856" spans="1:24">
      <c r="A4856">
        <f>HYPERLINK("https://www.philgeps.gov.ph/GEPSNONPILOT/Tender/SplashBidNoticeAbstractUI.aspx?menuIndex=3&amp;refID=7148746&amp;Result=3","7148746")</f>
        <v>0</v>
      </c>
      <c r="B4856" t="s">
        <v>1801</v>
      </c>
      <c r="C4856" t="s">
        <v>8343</v>
      </c>
      <c r="D4856" t="s">
        <v>17959</v>
      </c>
      <c r="E4856" t="s">
        <v>22383</v>
      </c>
      <c r="F4856" t="s">
        <v>30900</v>
      </c>
      <c r="G4856" t="s">
        <v>30907</v>
      </c>
      <c r="H4856" t="s">
        <v>30916</v>
      </c>
      <c r="I4856" t="s">
        <v>4108</v>
      </c>
      <c r="J4856" t="s">
        <v>31587</v>
      </c>
      <c r="K4856" t="s">
        <v>40288</v>
      </c>
      <c r="M4856" t="s">
        <v>42475</v>
      </c>
      <c r="N4856" t="s">
        <v>44759</v>
      </c>
      <c r="O4856" t="s">
        <v>44760</v>
      </c>
      <c r="P4856">
        <v>0</v>
      </c>
      <c r="Q4856">
        <v>3</v>
      </c>
      <c r="R4856" t="s">
        <v>44764</v>
      </c>
      <c r="S4856" t="s">
        <v>44889</v>
      </c>
      <c r="T4856" t="s">
        <v>46399</v>
      </c>
      <c r="U4856" t="s">
        <v>51037</v>
      </c>
      <c r="W4856" t="s">
        <v>42475</v>
      </c>
      <c r="X4856" t="s">
        <v>44765</v>
      </c>
    </row>
    <row r="4857" spans="1:24">
      <c r="A4857">
        <f>HYPERLINK("https://www.philgeps.gov.ph/GEPSNONPILOT/Tender/SplashBidNoticeAbstractUI.aspx?menuIndex=3&amp;refID=7148758&amp;Result=3","7148758")</f>
        <v>0</v>
      </c>
      <c r="B4857" t="s">
        <v>1799</v>
      </c>
      <c r="C4857" t="s">
        <v>8344</v>
      </c>
      <c r="D4857" t="s">
        <v>17995</v>
      </c>
      <c r="E4857" t="s">
        <v>22385</v>
      </c>
      <c r="F4857" t="s">
        <v>30900</v>
      </c>
      <c r="G4857" t="s">
        <v>30908</v>
      </c>
      <c r="H4857" t="s">
        <v>30916</v>
      </c>
      <c r="I4857" t="s">
        <v>6746</v>
      </c>
      <c r="J4857" t="s">
        <v>34290</v>
      </c>
      <c r="K4857" t="s">
        <v>40286</v>
      </c>
      <c r="M4857" t="s">
        <v>42473</v>
      </c>
      <c r="N4857" t="s">
        <v>44759</v>
      </c>
      <c r="O4857" t="s">
        <v>44760</v>
      </c>
      <c r="P4857">
        <v>0</v>
      </c>
      <c r="Q4857">
        <v>0</v>
      </c>
      <c r="R4857" t="s">
        <v>44764</v>
      </c>
      <c r="S4857" t="s">
        <v>44889</v>
      </c>
      <c r="T4857" t="s">
        <v>46658</v>
      </c>
      <c r="U4857" t="s">
        <v>51034</v>
      </c>
      <c r="V4857" t="s">
        <v>59628</v>
      </c>
      <c r="W4857" t="s">
        <v>42473</v>
      </c>
      <c r="X4857" t="s">
        <v>44765</v>
      </c>
    </row>
    <row r="4858" spans="1:24">
      <c r="A4858">
        <f>HYPERLINK("https://www.philgeps.gov.ph/GEPSNONPILOT/Tender/SplashBidNoticeAbstractUI.aspx?menuIndex=3&amp;refID=7148735&amp;Result=3","7148735")</f>
        <v>0</v>
      </c>
      <c r="B4858" t="s">
        <v>966</v>
      </c>
      <c r="C4858" t="s">
        <v>8345</v>
      </c>
      <c r="D4858" t="s">
        <v>18004</v>
      </c>
      <c r="E4858" t="s">
        <v>22386</v>
      </c>
      <c r="F4858" t="s">
        <v>30900</v>
      </c>
      <c r="G4858" t="s">
        <v>30908</v>
      </c>
      <c r="H4858" t="s">
        <v>30916</v>
      </c>
      <c r="I4858" t="s">
        <v>4545</v>
      </c>
      <c r="J4858" t="s">
        <v>34291</v>
      </c>
      <c r="K4858" t="s">
        <v>40283</v>
      </c>
      <c r="M4858" t="s">
        <v>41553</v>
      </c>
      <c r="N4858" t="s">
        <v>44759</v>
      </c>
      <c r="O4858" t="s">
        <v>44760</v>
      </c>
      <c r="P4858">
        <v>0</v>
      </c>
      <c r="Q4858">
        <v>0</v>
      </c>
      <c r="R4858" t="s">
        <v>44764</v>
      </c>
      <c r="S4858" t="s">
        <v>44889</v>
      </c>
      <c r="T4858" t="s">
        <v>46531</v>
      </c>
      <c r="U4858" t="s">
        <v>51038</v>
      </c>
      <c r="W4858" t="s">
        <v>41553</v>
      </c>
      <c r="X4858" t="s">
        <v>44765</v>
      </c>
    </row>
    <row r="4859" spans="1:24">
      <c r="A4859">
        <f>HYPERLINK("https://www.philgeps.gov.ph/GEPSNONPILOT/Tender/SplashBidNoticeAbstractUI.aspx?menuIndex=3&amp;refID=7148803&amp;Result=3","7148803")</f>
        <v>0</v>
      </c>
      <c r="B4859" t="s">
        <v>1750</v>
      </c>
      <c r="C4859" t="s">
        <v>8346</v>
      </c>
      <c r="D4859" t="s">
        <v>17966</v>
      </c>
      <c r="E4859" t="s">
        <v>22387</v>
      </c>
      <c r="F4859" t="s">
        <v>30900</v>
      </c>
      <c r="G4859" t="s">
        <v>30908</v>
      </c>
      <c r="H4859" t="s">
        <v>30916</v>
      </c>
      <c r="I4859" t="s">
        <v>10602</v>
      </c>
      <c r="J4859" t="s">
        <v>34292</v>
      </c>
      <c r="K4859" t="s">
        <v>40292</v>
      </c>
      <c r="M4859" t="s">
        <v>42419</v>
      </c>
      <c r="N4859" t="s">
        <v>44759</v>
      </c>
      <c r="O4859" t="s">
        <v>44760</v>
      </c>
      <c r="P4859">
        <v>0</v>
      </c>
      <c r="Q4859">
        <v>0</v>
      </c>
      <c r="R4859" t="s">
        <v>44764</v>
      </c>
      <c r="S4859" t="s">
        <v>44889</v>
      </c>
      <c r="T4859" t="s">
        <v>46581</v>
      </c>
      <c r="U4859" t="s">
        <v>51039</v>
      </c>
      <c r="W4859" t="s">
        <v>60873</v>
      </c>
      <c r="X4859" t="s">
        <v>44765</v>
      </c>
    </row>
    <row r="4860" spans="1:24">
      <c r="A4860">
        <f>HYPERLINK("https://www.philgeps.gov.ph/GEPSNONPILOT/Tender/SplashBidNoticeAbstractUI.aspx?menuIndex=3&amp;refID=7148705&amp;Result=3","7148705")</f>
        <v>0</v>
      </c>
      <c r="B4860" t="s">
        <v>1795</v>
      </c>
      <c r="C4860" t="s">
        <v>8347</v>
      </c>
      <c r="D4860" t="s">
        <v>17954</v>
      </c>
      <c r="E4860" t="s">
        <v>19976</v>
      </c>
      <c r="F4860" t="s">
        <v>30900</v>
      </c>
      <c r="G4860" t="s">
        <v>30913</v>
      </c>
      <c r="H4860" t="s">
        <v>30915</v>
      </c>
      <c r="I4860" t="s">
        <v>30919</v>
      </c>
      <c r="J4860" t="s">
        <v>34293</v>
      </c>
      <c r="K4860" t="s">
        <v>40342</v>
      </c>
      <c r="M4860" t="s">
        <v>42469</v>
      </c>
      <c r="N4860" t="s">
        <v>44759</v>
      </c>
      <c r="O4860" t="s">
        <v>44760</v>
      </c>
      <c r="P4860">
        <v>0</v>
      </c>
      <c r="Q4860">
        <v>4</v>
      </c>
      <c r="R4860" t="s">
        <v>44764</v>
      </c>
      <c r="S4860" t="s">
        <v>44889</v>
      </c>
      <c r="T4860" t="s">
        <v>46355</v>
      </c>
      <c r="U4860" t="s">
        <v>51040</v>
      </c>
      <c r="W4860" t="s">
        <v>42469</v>
      </c>
      <c r="X4860" t="s">
        <v>44765</v>
      </c>
    </row>
    <row r="4861" spans="1:24">
      <c r="A4861">
        <f>HYPERLINK("https://www.philgeps.gov.ph/GEPSNONPILOT/Tender/SplashBidNoticeAbstractUI.aspx?menuIndex=3&amp;refID=7148750&amp;Result=3","7148750")</f>
        <v>0</v>
      </c>
      <c r="B4861" t="s">
        <v>1802</v>
      </c>
      <c r="C4861" t="s">
        <v>8348</v>
      </c>
      <c r="D4861" t="s">
        <v>17981</v>
      </c>
      <c r="E4861" t="s">
        <v>22388</v>
      </c>
      <c r="F4861" t="s">
        <v>30900</v>
      </c>
      <c r="G4861" t="s">
        <v>30906</v>
      </c>
      <c r="H4861" t="s">
        <v>30916</v>
      </c>
      <c r="I4861" t="s">
        <v>30949</v>
      </c>
      <c r="J4861" t="s">
        <v>34294</v>
      </c>
      <c r="K4861" t="s">
        <v>40287</v>
      </c>
      <c r="M4861" t="s">
        <v>42476</v>
      </c>
      <c r="N4861" t="s">
        <v>44759</v>
      </c>
      <c r="O4861" t="s">
        <v>44760</v>
      </c>
      <c r="P4861">
        <v>0</v>
      </c>
      <c r="Q4861">
        <v>1</v>
      </c>
      <c r="R4861" t="s">
        <v>44764</v>
      </c>
      <c r="S4861" t="s">
        <v>44889</v>
      </c>
      <c r="T4861" t="s">
        <v>46700</v>
      </c>
      <c r="U4861" t="s">
        <v>51041</v>
      </c>
      <c r="W4861" t="s">
        <v>42476</v>
      </c>
      <c r="X4861" t="s">
        <v>44765</v>
      </c>
    </row>
    <row r="4862" spans="1:24">
      <c r="A4862">
        <f>HYPERLINK("https://www.philgeps.gov.ph/GEPSNONPILOT/Tender/SplashBidNoticeAbstractUI.aspx?menuIndex=3&amp;refID=7148809&amp;Result=3","7148809")</f>
        <v>0</v>
      </c>
      <c r="B4862" t="s">
        <v>1803</v>
      </c>
      <c r="C4862" t="s">
        <v>8349</v>
      </c>
      <c r="D4862" t="s">
        <v>18025</v>
      </c>
      <c r="E4862" t="s">
        <v>18069</v>
      </c>
      <c r="F4862" t="s">
        <v>30900</v>
      </c>
      <c r="G4862" t="s">
        <v>30909</v>
      </c>
      <c r="H4862" t="s">
        <v>30916</v>
      </c>
      <c r="I4862" t="s">
        <v>4142</v>
      </c>
      <c r="J4862" t="s">
        <v>32288</v>
      </c>
      <c r="K4862" t="s">
        <v>40289</v>
      </c>
      <c r="M4862" t="s">
        <v>42477</v>
      </c>
      <c r="N4862" t="s">
        <v>44759</v>
      </c>
      <c r="O4862" t="s">
        <v>44760</v>
      </c>
      <c r="P4862">
        <v>0</v>
      </c>
      <c r="Q4862">
        <v>6</v>
      </c>
      <c r="R4862" t="s">
        <v>44764</v>
      </c>
      <c r="S4862" t="s">
        <v>44889</v>
      </c>
      <c r="T4862" t="s">
        <v>46700</v>
      </c>
      <c r="U4862" t="s">
        <v>51042</v>
      </c>
      <c r="W4862" t="s">
        <v>42477</v>
      </c>
      <c r="X4862" t="s">
        <v>44765</v>
      </c>
    </row>
    <row r="4863" spans="1:24">
      <c r="A4863">
        <f>HYPERLINK("https://www.philgeps.gov.ph/GEPSNONPILOT/Tender/SplashBidNoticeAbstractUI.aspx?menuIndex=3&amp;refID=7148808&amp;Result=3","7148808")</f>
        <v>0</v>
      </c>
      <c r="B4863" t="s">
        <v>302</v>
      </c>
      <c r="C4863" t="s">
        <v>8350</v>
      </c>
      <c r="D4863" t="s">
        <v>17959</v>
      </c>
      <c r="E4863" t="s">
        <v>22389</v>
      </c>
      <c r="F4863" t="s">
        <v>30900</v>
      </c>
      <c r="G4863" t="s">
        <v>30909</v>
      </c>
      <c r="H4863" t="s">
        <v>30916</v>
      </c>
      <c r="I4863" t="s">
        <v>9385</v>
      </c>
      <c r="J4863" t="s">
        <v>34295</v>
      </c>
      <c r="K4863" t="s">
        <v>40283</v>
      </c>
      <c r="M4863" t="s">
        <v>40851</v>
      </c>
      <c r="N4863" t="s">
        <v>44759</v>
      </c>
      <c r="O4863" t="s">
        <v>44760</v>
      </c>
      <c r="P4863">
        <v>0</v>
      </c>
      <c r="Q4863">
        <v>8</v>
      </c>
      <c r="R4863" t="s">
        <v>44764</v>
      </c>
      <c r="S4863" t="s">
        <v>44889</v>
      </c>
      <c r="T4863" t="s">
        <v>46658</v>
      </c>
      <c r="U4863" t="s">
        <v>51043</v>
      </c>
      <c r="V4863" t="s">
        <v>59325</v>
      </c>
      <c r="W4863" t="s">
        <v>60852</v>
      </c>
      <c r="X4863" t="s">
        <v>44765</v>
      </c>
    </row>
    <row r="4864" spans="1:24">
      <c r="A4864">
        <f>HYPERLINK("https://www.philgeps.gov.ph/GEPSNONPILOT/Tender/SplashBidNoticeAbstractUI.aspx?menuIndex=3&amp;refID=7148805&amp;Result=3","7148805")</f>
        <v>0</v>
      </c>
      <c r="B4864" t="s">
        <v>1750</v>
      </c>
      <c r="C4864" t="s">
        <v>8351</v>
      </c>
      <c r="D4864" t="s">
        <v>17966</v>
      </c>
      <c r="E4864" t="s">
        <v>22390</v>
      </c>
      <c r="F4864" t="s">
        <v>30900</v>
      </c>
      <c r="G4864" t="s">
        <v>30908</v>
      </c>
      <c r="H4864" t="s">
        <v>30916</v>
      </c>
      <c r="I4864" t="s">
        <v>10602</v>
      </c>
      <c r="J4864" t="s">
        <v>31935</v>
      </c>
      <c r="K4864" t="s">
        <v>40292</v>
      </c>
      <c r="M4864" t="s">
        <v>42419</v>
      </c>
      <c r="N4864" t="s">
        <v>44759</v>
      </c>
      <c r="O4864" t="s">
        <v>44760</v>
      </c>
      <c r="P4864">
        <v>0</v>
      </c>
      <c r="Q4864">
        <v>0</v>
      </c>
      <c r="R4864" t="s">
        <v>44764</v>
      </c>
      <c r="S4864" t="s">
        <v>44889</v>
      </c>
      <c r="T4864" t="s">
        <v>46581</v>
      </c>
      <c r="U4864" t="s">
        <v>51044</v>
      </c>
      <c r="W4864" t="s">
        <v>60873</v>
      </c>
      <c r="X4864" t="s">
        <v>44765</v>
      </c>
    </row>
    <row r="4865" spans="1:24">
      <c r="A4865">
        <f>HYPERLINK("https://www.philgeps.gov.ph/GEPSNONPILOT/Tender/SplashBidNoticeAbstractUI.aspx?menuIndex=3&amp;refID=7148807&amp;Result=3","7148807")</f>
        <v>0</v>
      </c>
      <c r="B4865" t="s">
        <v>1115</v>
      </c>
      <c r="C4865" t="s">
        <v>8352</v>
      </c>
      <c r="D4865" t="s">
        <v>17989</v>
      </c>
      <c r="E4865" t="s">
        <v>22391</v>
      </c>
      <c r="F4865" t="s">
        <v>30900</v>
      </c>
      <c r="G4865" t="s">
        <v>30907</v>
      </c>
      <c r="H4865" t="s">
        <v>30915</v>
      </c>
      <c r="I4865" t="s">
        <v>30955</v>
      </c>
      <c r="J4865" t="s">
        <v>34296</v>
      </c>
      <c r="K4865" t="s">
        <v>40280</v>
      </c>
      <c r="M4865" t="s">
        <v>41716</v>
      </c>
      <c r="N4865" t="s">
        <v>44759</v>
      </c>
      <c r="O4865" t="s">
        <v>44760</v>
      </c>
      <c r="P4865">
        <v>0</v>
      </c>
      <c r="Q4865">
        <v>0</v>
      </c>
      <c r="R4865" t="s">
        <v>44764</v>
      </c>
      <c r="S4865" t="s">
        <v>44889</v>
      </c>
      <c r="T4865" t="s">
        <v>46357</v>
      </c>
      <c r="U4865" t="s">
        <v>51045</v>
      </c>
      <c r="V4865" t="s">
        <v>59397</v>
      </c>
      <c r="W4865" t="s">
        <v>41716</v>
      </c>
      <c r="X4865" t="s">
        <v>44765</v>
      </c>
    </row>
    <row r="4866" spans="1:24">
      <c r="A4866">
        <f>HYPERLINK("https://www.philgeps.gov.ph/GEPSNONPILOT/Tender/SplashBidNoticeAbstractUI.aspx?menuIndex=3&amp;refID=7148802&amp;Result=3","7148802")</f>
        <v>0</v>
      </c>
      <c r="B4866" t="s">
        <v>1750</v>
      </c>
      <c r="C4866" t="s">
        <v>8353</v>
      </c>
      <c r="D4866" t="s">
        <v>17966</v>
      </c>
      <c r="E4866" t="s">
        <v>22392</v>
      </c>
      <c r="F4866" t="s">
        <v>30900</v>
      </c>
      <c r="G4866" t="s">
        <v>30908</v>
      </c>
      <c r="H4866" t="s">
        <v>30916</v>
      </c>
      <c r="I4866" t="s">
        <v>4108</v>
      </c>
      <c r="J4866" t="s">
        <v>32038</v>
      </c>
      <c r="K4866" t="s">
        <v>40283</v>
      </c>
      <c r="M4866" t="s">
        <v>42419</v>
      </c>
      <c r="N4866" t="s">
        <v>44759</v>
      </c>
      <c r="O4866" t="s">
        <v>44760</v>
      </c>
      <c r="P4866">
        <v>0</v>
      </c>
      <c r="Q4866">
        <v>0</v>
      </c>
      <c r="R4866" t="s">
        <v>44764</v>
      </c>
      <c r="S4866" t="s">
        <v>44889</v>
      </c>
      <c r="T4866" t="s">
        <v>46700</v>
      </c>
      <c r="U4866" t="s">
        <v>51046</v>
      </c>
      <c r="W4866" t="s">
        <v>60873</v>
      </c>
      <c r="X4866" t="s">
        <v>44765</v>
      </c>
    </row>
    <row r="4867" spans="1:24">
      <c r="A4867">
        <f>HYPERLINK("https://www.philgeps.gov.ph/GEPSNONPILOT/Tender/SplashBidNoticeAbstractUI.aspx?menuIndex=3&amp;refID=7148651&amp;Result=3","7148651")</f>
        <v>0</v>
      </c>
      <c r="B4867" t="s">
        <v>1804</v>
      </c>
      <c r="C4867" t="s">
        <v>8354</v>
      </c>
      <c r="D4867" t="s">
        <v>17959</v>
      </c>
      <c r="E4867" t="s">
        <v>18169</v>
      </c>
      <c r="F4867" t="s">
        <v>30900</v>
      </c>
      <c r="G4867" t="s">
        <v>30907</v>
      </c>
      <c r="H4867" t="s">
        <v>30916</v>
      </c>
      <c r="I4867" t="s">
        <v>30932</v>
      </c>
      <c r="J4867" t="s">
        <v>31050</v>
      </c>
      <c r="K4867" t="s">
        <v>40288</v>
      </c>
      <c r="M4867" t="s">
        <v>42478</v>
      </c>
      <c r="N4867" t="s">
        <v>44759</v>
      </c>
      <c r="O4867" t="s">
        <v>44760</v>
      </c>
      <c r="P4867">
        <v>0</v>
      </c>
      <c r="Q4867">
        <v>2</v>
      </c>
      <c r="R4867" t="s">
        <v>44764</v>
      </c>
      <c r="S4867" t="s">
        <v>44889</v>
      </c>
      <c r="T4867" t="s">
        <v>46412</v>
      </c>
      <c r="U4867" t="s">
        <v>51047</v>
      </c>
      <c r="V4867" t="s">
        <v>59629</v>
      </c>
      <c r="W4867" t="s">
        <v>42478</v>
      </c>
      <c r="X4867" t="s">
        <v>44765</v>
      </c>
    </row>
    <row r="4868" spans="1:24">
      <c r="A4868">
        <f>HYPERLINK("https://www.philgeps.gov.ph/GEPSNONPILOT/Tender/SplashBidNoticeAbstractUI.aspx?menuIndex=3&amp;refID=7148800&amp;Result=3","7148800")</f>
        <v>0</v>
      </c>
      <c r="B4868" t="s">
        <v>1750</v>
      </c>
      <c r="C4868" t="s">
        <v>8355</v>
      </c>
      <c r="D4868" t="s">
        <v>17966</v>
      </c>
      <c r="E4868" t="s">
        <v>22393</v>
      </c>
      <c r="F4868" t="s">
        <v>30900</v>
      </c>
      <c r="G4868" t="s">
        <v>30908</v>
      </c>
      <c r="H4868" t="s">
        <v>30916</v>
      </c>
      <c r="I4868" t="s">
        <v>4108</v>
      </c>
      <c r="J4868" t="s">
        <v>34297</v>
      </c>
      <c r="K4868" t="s">
        <v>40283</v>
      </c>
      <c r="M4868" t="s">
        <v>42419</v>
      </c>
      <c r="N4868" t="s">
        <v>44759</v>
      </c>
      <c r="O4868" t="s">
        <v>44760</v>
      </c>
      <c r="P4868">
        <v>0</v>
      </c>
      <c r="Q4868">
        <v>0</v>
      </c>
      <c r="R4868" t="s">
        <v>44764</v>
      </c>
      <c r="S4868" t="s">
        <v>44889</v>
      </c>
      <c r="T4868" t="s">
        <v>46581</v>
      </c>
      <c r="U4868" t="s">
        <v>51048</v>
      </c>
      <c r="W4868" t="s">
        <v>60873</v>
      </c>
      <c r="X4868" t="s">
        <v>44765</v>
      </c>
    </row>
    <row r="4869" spans="1:24">
      <c r="A4869">
        <f>HYPERLINK("https://www.philgeps.gov.ph/GEPSNONPILOT/Tender/SplashBidNoticeAbstractUI.aspx?menuIndex=3&amp;refID=7148798&amp;Result=3","7148798")</f>
        <v>0</v>
      </c>
      <c r="B4869" t="s">
        <v>1750</v>
      </c>
      <c r="C4869" t="s">
        <v>8356</v>
      </c>
      <c r="D4869" t="s">
        <v>17966</v>
      </c>
      <c r="E4869" t="s">
        <v>22394</v>
      </c>
      <c r="F4869" t="s">
        <v>30900</v>
      </c>
      <c r="G4869" t="s">
        <v>30908</v>
      </c>
      <c r="H4869" t="s">
        <v>30916</v>
      </c>
      <c r="I4869" t="s">
        <v>30924</v>
      </c>
      <c r="J4869" t="s">
        <v>31183</v>
      </c>
      <c r="K4869" t="s">
        <v>40283</v>
      </c>
      <c r="M4869" t="s">
        <v>42419</v>
      </c>
      <c r="N4869" t="s">
        <v>44759</v>
      </c>
      <c r="O4869" t="s">
        <v>44760</v>
      </c>
      <c r="P4869">
        <v>0</v>
      </c>
      <c r="Q4869">
        <v>0</v>
      </c>
      <c r="R4869" t="s">
        <v>44764</v>
      </c>
      <c r="S4869" t="s">
        <v>44889</v>
      </c>
      <c r="T4869" t="s">
        <v>46581</v>
      </c>
      <c r="U4869" t="s">
        <v>51049</v>
      </c>
      <c r="W4869" t="s">
        <v>60873</v>
      </c>
      <c r="X4869" t="s">
        <v>44765</v>
      </c>
    </row>
    <row r="4870" spans="1:24">
      <c r="A4870">
        <f>HYPERLINK("https://www.philgeps.gov.ph/GEPSNONPILOT/Tender/SplashBidNoticeAbstractUI.aspx?menuIndex=3&amp;refID=7148806&amp;Result=3","7148806")</f>
        <v>0</v>
      </c>
      <c r="B4870" t="s">
        <v>1458</v>
      </c>
      <c r="C4870" t="s">
        <v>8357</v>
      </c>
      <c r="D4870" t="s">
        <v>17977</v>
      </c>
      <c r="E4870" t="s">
        <v>18608</v>
      </c>
      <c r="F4870" t="s">
        <v>30900</v>
      </c>
      <c r="G4870" t="s">
        <v>30906</v>
      </c>
      <c r="H4870" t="s">
        <v>30916</v>
      </c>
      <c r="I4870" t="s">
        <v>4108</v>
      </c>
      <c r="J4870" t="s">
        <v>32796</v>
      </c>
      <c r="K4870" t="s">
        <v>40294</v>
      </c>
      <c r="M4870" t="s">
        <v>42090</v>
      </c>
      <c r="N4870" t="s">
        <v>44759</v>
      </c>
      <c r="O4870" t="s">
        <v>44760</v>
      </c>
      <c r="P4870">
        <v>0</v>
      </c>
      <c r="Q4870">
        <v>0</v>
      </c>
      <c r="R4870" t="s">
        <v>44764</v>
      </c>
      <c r="S4870" t="s">
        <v>44889</v>
      </c>
      <c r="T4870" t="s">
        <v>46591</v>
      </c>
      <c r="U4870" t="s">
        <v>51050</v>
      </c>
      <c r="W4870" t="s">
        <v>42090</v>
      </c>
      <c r="X4870" t="s">
        <v>44765</v>
      </c>
    </row>
    <row r="4871" spans="1:24">
      <c r="A4871">
        <f>HYPERLINK("https://www.philgeps.gov.ph/GEPSNONPILOT/Tender/SplashBidNoticeAbstractUI.aspx?menuIndex=3&amp;refID=7148797&amp;Result=3","7148797")</f>
        <v>0</v>
      </c>
      <c r="B4871" t="s">
        <v>1750</v>
      </c>
      <c r="C4871" t="s">
        <v>8358</v>
      </c>
      <c r="D4871" t="s">
        <v>17966</v>
      </c>
      <c r="E4871" t="s">
        <v>22395</v>
      </c>
      <c r="F4871" t="s">
        <v>30900</v>
      </c>
      <c r="G4871" t="s">
        <v>30908</v>
      </c>
      <c r="H4871" t="s">
        <v>30916</v>
      </c>
      <c r="I4871" t="s">
        <v>6953</v>
      </c>
      <c r="J4871" t="s">
        <v>34298</v>
      </c>
      <c r="K4871" t="s">
        <v>40283</v>
      </c>
      <c r="M4871" t="s">
        <v>42419</v>
      </c>
      <c r="N4871" t="s">
        <v>44759</v>
      </c>
      <c r="O4871" t="s">
        <v>44760</v>
      </c>
      <c r="P4871">
        <v>0</v>
      </c>
      <c r="Q4871">
        <v>0</v>
      </c>
      <c r="R4871" t="s">
        <v>44764</v>
      </c>
      <c r="S4871" t="s">
        <v>44889</v>
      </c>
      <c r="T4871" t="s">
        <v>46581</v>
      </c>
      <c r="U4871" t="s">
        <v>51051</v>
      </c>
      <c r="W4871" t="s">
        <v>60873</v>
      </c>
      <c r="X4871" t="s">
        <v>44765</v>
      </c>
    </row>
    <row r="4872" spans="1:24">
      <c r="A4872">
        <f>HYPERLINK("https://www.philgeps.gov.ph/GEPSNONPILOT/Tender/SplashBidNoticeAbstractUI.aspx?menuIndex=3&amp;refID=7148796&amp;Result=3","7148796")</f>
        <v>0</v>
      </c>
      <c r="B4872" t="s">
        <v>1750</v>
      </c>
      <c r="C4872" t="s">
        <v>8359</v>
      </c>
      <c r="D4872" t="s">
        <v>17966</v>
      </c>
      <c r="E4872" t="s">
        <v>22396</v>
      </c>
      <c r="F4872" t="s">
        <v>30900</v>
      </c>
      <c r="G4872" t="s">
        <v>30910</v>
      </c>
      <c r="H4872" t="s">
        <v>30916</v>
      </c>
      <c r="I4872" t="s">
        <v>4142</v>
      </c>
      <c r="J4872" t="s">
        <v>34299</v>
      </c>
      <c r="K4872" t="s">
        <v>40283</v>
      </c>
      <c r="M4872" t="s">
        <v>42419</v>
      </c>
      <c r="N4872" t="s">
        <v>44759</v>
      </c>
      <c r="O4872" t="s">
        <v>44760</v>
      </c>
      <c r="P4872">
        <v>0</v>
      </c>
      <c r="Q4872">
        <v>2</v>
      </c>
      <c r="R4872" t="s">
        <v>44764</v>
      </c>
      <c r="S4872" t="s">
        <v>44889</v>
      </c>
      <c r="T4872" t="s">
        <v>46581</v>
      </c>
      <c r="U4872" t="s">
        <v>51052</v>
      </c>
      <c r="W4872" t="s">
        <v>60873</v>
      </c>
      <c r="X4872" t="s">
        <v>44765</v>
      </c>
    </row>
    <row r="4873" spans="1:24">
      <c r="A4873">
        <f>HYPERLINK("https://www.philgeps.gov.ph/GEPSNONPILOT/Tender/SplashBidNoticeAbstractUI.aspx?menuIndex=3&amp;refID=7148835&amp;Result=3","7148835")</f>
        <v>0</v>
      </c>
      <c r="B4873" t="s">
        <v>1805</v>
      </c>
      <c r="C4873" t="s">
        <v>8360</v>
      </c>
      <c r="D4873" t="s">
        <v>18022</v>
      </c>
      <c r="E4873" t="s">
        <v>22397</v>
      </c>
      <c r="F4873" t="s">
        <v>30900</v>
      </c>
      <c r="G4873" t="s">
        <v>30909</v>
      </c>
      <c r="H4873" t="s">
        <v>30916</v>
      </c>
      <c r="I4873" t="s">
        <v>4142</v>
      </c>
      <c r="J4873" t="s">
        <v>34300</v>
      </c>
      <c r="K4873" t="s">
        <v>40289</v>
      </c>
      <c r="M4873" t="s">
        <v>42479</v>
      </c>
      <c r="N4873" t="s">
        <v>44759</v>
      </c>
      <c r="O4873" t="s">
        <v>44760</v>
      </c>
      <c r="P4873">
        <v>0</v>
      </c>
      <c r="Q4873">
        <v>1</v>
      </c>
      <c r="R4873" t="s">
        <v>44764</v>
      </c>
      <c r="S4873" t="s">
        <v>44889</v>
      </c>
      <c r="T4873" t="s">
        <v>46376</v>
      </c>
      <c r="U4873" t="s">
        <v>51053</v>
      </c>
      <c r="W4873" t="s">
        <v>42479</v>
      </c>
      <c r="X4873" t="s">
        <v>44765</v>
      </c>
    </row>
    <row r="4874" spans="1:24">
      <c r="A4874">
        <f>HYPERLINK("https://www.philgeps.gov.ph/GEPSNONPILOT/Tender/SplashBidNoticeAbstractUI.aspx?menuIndex=3&amp;refID=7148804&amp;Result=3","7148804")</f>
        <v>0</v>
      </c>
      <c r="B4874" t="s">
        <v>1750</v>
      </c>
      <c r="C4874" t="s">
        <v>8361</v>
      </c>
      <c r="D4874" t="s">
        <v>17966</v>
      </c>
      <c r="E4874" t="s">
        <v>22398</v>
      </c>
      <c r="F4874" t="s">
        <v>30900</v>
      </c>
      <c r="G4874" t="s">
        <v>30908</v>
      </c>
      <c r="H4874" t="s">
        <v>30916</v>
      </c>
      <c r="I4874" t="s">
        <v>30958</v>
      </c>
      <c r="J4874" t="s">
        <v>31484</v>
      </c>
      <c r="K4874" t="s">
        <v>40292</v>
      </c>
      <c r="M4874" t="s">
        <v>42419</v>
      </c>
      <c r="N4874" t="s">
        <v>44759</v>
      </c>
      <c r="O4874" t="s">
        <v>44760</v>
      </c>
      <c r="P4874">
        <v>0</v>
      </c>
      <c r="Q4874">
        <v>0</v>
      </c>
      <c r="R4874" t="s">
        <v>44764</v>
      </c>
      <c r="S4874" t="s">
        <v>44889</v>
      </c>
      <c r="T4874" t="s">
        <v>46581</v>
      </c>
      <c r="U4874" t="s">
        <v>51054</v>
      </c>
      <c r="W4874" t="s">
        <v>60873</v>
      </c>
      <c r="X4874" t="s">
        <v>44765</v>
      </c>
    </row>
    <row r="4875" spans="1:24">
      <c r="A4875">
        <f>HYPERLINK("https://www.philgeps.gov.ph/GEPSNONPILOT/Tender/SplashBidNoticeAbstractUI.aspx?menuIndex=3&amp;refID=7148847&amp;Result=3","7148847")</f>
        <v>0</v>
      </c>
      <c r="B4875" t="s">
        <v>1806</v>
      </c>
      <c r="C4875" t="s">
        <v>8362</v>
      </c>
      <c r="D4875" t="s">
        <v>18031</v>
      </c>
      <c r="E4875" t="s">
        <v>8362</v>
      </c>
      <c r="F4875" t="s">
        <v>30900</v>
      </c>
      <c r="G4875" t="s">
        <v>30908</v>
      </c>
      <c r="H4875" t="s">
        <v>30916</v>
      </c>
      <c r="I4875" t="s">
        <v>4108</v>
      </c>
      <c r="J4875" t="s">
        <v>31096</v>
      </c>
      <c r="K4875" t="s">
        <v>40283</v>
      </c>
      <c r="L4875" t="s">
        <v>1806</v>
      </c>
      <c r="M4875" t="s">
        <v>42480</v>
      </c>
      <c r="N4875" t="s">
        <v>44759</v>
      </c>
      <c r="O4875" t="s">
        <v>44760</v>
      </c>
      <c r="P4875">
        <v>0</v>
      </c>
      <c r="Q4875">
        <v>1</v>
      </c>
      <c r="R4875" t="s">
        <v>44764</v>
      </c>
      <c r="S4875" t="s">
        <v>44889</v>
      </c>
      <c r="T4875" t="s">
        <v>46571</v>
      </c>
      <c r="U4875" t="s">
        <v>51055</v>
      </c>
      <c r="W4875" t="s">
        <v>42480</v>
      </c>
      <c r="X4875" t="s">
        <v>44765</v>
      </c>
    </row>
    <row r="4876" spans="1:24">
      <c r="A4876">
        <f>HYPERLINK("https://www.philgeps.gov.ph/GEPSNONPILOT/Tender/SplashBidNoticeAbstractUI.aspx?menuIndex=3&amp;refID=7148846&amp;Result=3","7148846")</f>
        <v>0</v>
      </c>
      <c r="B4876" t="s">
        <v>1399</v>
      </c>
      <c r="C4876" t="s">
        <v>8363</v>
      </c>
      <c r="D4876" t="s">
        <v>18017</v>
      </c>
      <c r="E4876" t="s">
        <v>22399</v>
      </c>
      <c r="F4876" t="s">
        <v>30900</v>
      </c>
      <c r="G4876" t="s">
        <v>30908</v>
      </c>
      <c r="H4876" t="s">
        <v>30916</v>
      </c>
      <c r="I4876" t="s">
        <v>5501</v>
      </c>
      <c r="J4876" t="s">
        <v>34301</v>
      </c>
      <c r="K4876" t="s">
        <v>40287</v>
      </c>
      <c r="M4876" t="s">
        <v>42358</v>
      </c>
      <c r="N4876" t="s">
        <v>44759</v>
      </c>
      <c r="O4876" t="s">
        <v>44760</v>
      </c>
      <c r="P4876">
        <v>0</v>
      </c>
      <c r="Q4876">
        <v>1</v>
      </c>
      <c r="R4876" t="s">
        <v>44764</v>
      </c>
      <c r="S4876" t="s">
        <v>44889</v>
      </c>
      <c r="T4876" t="s">
        <v>46418</v>
      </c>
      <c r="U4876" t="s">
        <v>51056</v>
      </c>
      <c r="W4876" t="s">
        <v>42358</v>
      </c>
      <c r="X4876" t="s">
        <v>44765</v>
      </c>
    </row>
    <row r="4877" spans="1:24">
      <c r="A4877">
        <f>HYPERLINK("https://www.philgeps.gov.ph/GEPSNONPILOT/Tender/SplashBidNoticeAbstractUI.aspx?menuIndex=3&amp;refID=7148843&amp;Result=3","7148843")</f>
        <v>0</v>
      </c>
      <c r="B4877" t="s">
        <v>1805</v>
      </c>
      <c r="C4877" t="s">
        <v>8364</v>
      </c>
      <c r="D4877" t="s">
        <v>18022</v>
      </c>
      <c r="E4877" t="s">
        <v>22397</v>
      </c>
      <c r="F4877" t="s">
        <v>30900</v>
      </c>
      <c r="G4877" t="s">
        <v>30909</v>
      </c>
      <c r="H4877" t="s">
        <v>30916</v>
      </c>
      <c r="I4877" t="s">
        <v>30927</v>
      </c>
      <c r="J4877" t="s">
        <v>34302</v>
      </c>
      <c r="K4877" t="s">
        <v>40289</v>
      </c>
      <c r="M4877" t="s">
        <v>42479</v>
      </c>
      <c r="N4877" t="s">
        <v>44759</v>
      </c>
      <c r="O4877" t="s">
        <v>44760</v>
      </c>
      <c r="P4877">
        <v>0</v>
      </c>
      <c r="Q4877">
        <v>1</v>
      </c>
      <c r="R4877" t="s">
        <v>44764</v>
      </c>
      <c r="S4877" t="s">
        <v>44889</v>
      </c>
      <c r="T4877" t="s">
        <v>46376</v>
      </c>
      <c r="U4877" t="s">
        <v>51057</v>
      </c>
      <c r="W4877" t="s">
        <v>42479</v>
      </c>
      <c r="X4877" t="s">
        <v>44765</v>
      </c>
    </row>
    <row r="4878" spans="1:24">
      <c r="A4878">
        <f>HYPERLINK("https://www.philgeps.gov.ph/GEPSNONPILOT/Tender/SplashBidNoticeAbstractUI.aspx?menuIndex=3&amp;refID=7148840&amp;Result=3","7148840")</f>
        <v>0</v>
      </c>
      <c r="B4878" t="s">
        <v>1805</v>
      </c>
      <c r="C4878" t="s">
        <v>8360</v>
      </c>
      <c r="D4878" t="s">
        <v>18022</v>
      </c>
      <c r="E4878" t="s">
        <v>22397</v>
      </c>
      <c r="F4878" t="s">
        <v>30900</v>
      </c>
      <c r="G4878" t="s">
        <v>30909</v>
      </c>
      <c r="H4878" t="s">
        <v>30916</v>
      </c>
      <c r="I4878" t="s">
        <v>4142</v>
      </c>
      <c r="J4878" t="s">
        <v>34303</v>
      </c>
      <c r="K4878" t="s">
        <v>40289</v>
      </c>
      <c r="M4878" t="s">
        <v>42479</v>
      </c>
      <c r="N4878" t="s">
        <v>44759</v>
      </c>
      <c r="O4878" t="s">
        <v>44760</v>
      </c>
      <c r="P4878">
        <v>0</v>
      </c>
      <c r="Q4878">
        <v>1</v>
      </c>
      <c r="R4878" t="s">
        <v>44764</v>
      </c>
      <c r="S4878" t="s">
        <v>44889</v>
      </c>
      <c r="T4878" t="s">
        <v>46376</v>
      </c>
      <c r="U4878" t="s">
        <v>51058</v>
      </c>
      <c r="W4878" t="s">
        <v>42479</v>
      </c>
      <c r="X4878" t="s">
        <v>44765</v>
      </c>
    </row>
    <row r="4879" spans="1:24">
      <c r="A4879">
        <f>HYPERLINK("https://www.philgeps.gov.ph/GEPSNONPILOT/Tender/SplashBidNoticeAbstractUI.aspx?menuIndex=3&amp;refID=7149164&amp;Result=3","7149164")</f>
        <v>0</v>
      </c>
      <c r="B4879" t="s">
        <v>1807</v>
      </c>
      <c r="C4879" t="s">
        <v>8365</v>
      </c>
      <c r="D4879" t="s">
        <v>17993</v>
      </c>
      <c r="E4879" t="s">
        <v>22400</v>
      </c>
      <c r="F4879" t="s">
        <v>30900</v>
      </c>
      <c r="G4879" t="s">
        <v>30907</v>
      </c>
      <c r="H4879" t="s">
        <v>30916</v>
      </c>
      <c r="I4879" t="s">
        <v>8365</v>
      </c>
      <c r="J4879" t="s">
        <v>34304</v>
      </c>
      <c r="K4879" t="s">
        <v>40287</v>
      </c>
      <c r="M4879" t="s">
        <v>42481</v>
      </c>
      <c r="N4879" t="s">
        <v>44759</v>
      </c>
      <c r="O4879" t="s">
        <v>44760</v>
      </c>
      <c r="P4879">
        <v>0</v>
      </c>
      <c r="Q4879">
        <v>0</v>
      </c>
      <c r="R4879" t="s">
        <v>44763</v>
      </c>
      <c r="S4879" t="s">
        <v>44876</v>
      </c>
      <c r="T4879" t="s">
        <v>46376</v>
      </c>
      <c r="U4879" t="s">
        <v>51059</v>
      </c>
      <c r="W4879" t="s">
        <v>42481</v>
      </c>
      <c r="X4879" t="s">
        <v>44764</v>
      </c>
    </row>
    <row r="4880" spans="1:24">
      <c r="A4880">
        <f>HYPERLINK("https://www.philgeps.gov.ph/GEPSNONPILOT/Tender/SplashBidNoticeAbstractUI.aspx?menuIndex=3&amp;refID=7148837&amp;Result=3","7148837")</f>
        <v>0</v>
      </c>
      <c r="B4880" t="s">
        <v>1806</v>
      </c>
      <c r="C4880" t="s">
        <v>8366</v>
      </c>
      <c r="D4880" t="s">
        <v>18031</v>
      </c>
      <c r="E4880" t="s">
        <v>22401</v>
      </c>
      <c r="F4880" t="s">
        <v>30900</v>
      </c>
      <c r="G4880" t="s">
        <v>30908</v>
      </c>
      <c r="H4880" t="s">
        <v>30916</v>
      </c>
      <c r="I4880" t="s">
        <v>30926</v>
      </c>
      <c r="J4880" t="s">
        <v>31912</v>
      </c>
      <c r="K4880" t="s">
        <v>40283</v>
      </c>
      <c r="L4880" t="s">
        <v>1806</v>
      </c>
      <c r="M4880" t="s">
        <v>42480</v>
      </c>
      <c r="N4880" t="s">
        <v>44759</v>
      </c>
      <c r="O4880" t="s">
        <v>44760</v>
      </c>
      <c r="P4880">
        <v>0</v>
      </c>
      <c r="Q4880">
        <v>0</v>
      </c>
      <c r="R4880" t="s">
        <v>44764</v>
      </c>
      <c r="S4880" t="s">
        <v>44889</v>
      </c>
      <c r="T4880" t="s">
        <v>46571</v>
      </c>
      <c r="U4880" t="s">
        <v>51055</v>
      </c>
      <c r="W4880" t="s">
        <v>42480</v>
      </c>
      <c r="X4880" t="s">
        <v>44765</v>
      </c>
    </row>
    <row r="4881" spans="1:24">
      <c r="A4881">
        <f>HYPERLINK("https://www.philgeps.gov.ph/GEPSNONPILOT/Tender/SplashBidNoticeAbstractUI.aspx?menuIndex=3&amp;refID=7148801&amp;Result=3","7148801")</f>
        <v>0</v>
      </c>
      <c r="B4881" t="s">
        <v>1718</v>
      </c>
      <c r="C4881" t="s">
        <v>8367</v>
      </c>
      <c r="D4881" t="s">
        <v>18002</v>
      </c>
      <c r="E4881" t="s">
        <v>20646</v>
      </c>
      <c r="F4881" t="s">
        <v>30900</v>
      </c>
      <c r="G4881" t="s">
        <v>30907</v>
      </c>
      <c r="H4881" t="s">
        <v>30916</v>
      </c>
      <c r="I4881" t="s">
        <v>30924</v>
      </c>
      <c r="J4881" t="s">
        <v>34305</v>
      </c>
      <c r="K4881" t="s">
        <v>40292</v>
      </c>
      <c r="M4881" t="s">
        <v>42382</v>
      </c>
      <c r="N4881" t="s">
        <v>44759</v>
      </c>
      <c r="O4881" t="s">
        <v>44760</v>
      </c>
      <c r="P4881">
        <v>0</v>
      </c>
      <c r="Q4881">
        <v>7</v>
      </c>
      <c r="R4881" t="s">
        <v>44764</v>
      </c>
      <c r="S4881" t="s">
        <v>44889</v>
      </c>
      <c r="T4881" t="s">
        <v>46465</v>
      </c>
      <c r="U4881" t="s">
        <v>51060</v>
      </c>
      <c r="V4881" t="s">
        <v>59630</v>
      </c>
      <c r="W4881" t="s">
        <v>42382</v>
      </c>
      <c r="X4881" t="s">
        <v>44765</v>
      </c>
    </row>
    <row r="4882" spans="1:24">
      <c r="A4882">
        <f>HYPERLINK("https://www.philgeps.gov.ph/GEPSNONPILOT/Tender/SplashBidNoticeAbstractUI.aspx?menuIndex=3&amp;refID=7148831&amp;Result=3","7148831")</f>
        <v>0</v>
      </c>
      <c r="B4882" t="s">
        <v>1399</v>
      </c>
      <c r="C4882" t="s">
        <v>8368</v>
      </c>
      <c r="D4882" t="s">
        <v>18017</v>
      </c>
      <c r="E4882" t="s">
        <v>22402</v>
      </c>
      <c r="F4882" t="s">
        <v>30900</v>
      </c>
      <c r="G4882" t="s">
        <v>30906</v>
      </c>
      <c r="H4882" t="s">
        <v>30916</v>
      </c>
      <c r="I4882" t="s">
        <v>30978</v>
      </c>
      <c r="J4882" t="s">
        <v>31049</v>
      </c>
      <c r="K4882" t="s">
        <v>40287</v>
      </c>
      <c r="M4882" t="s">
        <v>42358</v>
      </c>
      <c r="N4882" t="s">
        <v>44759</v>
      </c>
      <c r="O4882" t="s">
        <v>44760</v>
      </c>
      <c r="P4882">
        <v>0</v>
      </c>
      <c r="Q4882">
        <v>0</v>
      </c>
      <c r="R4882" t="s">
        <v>44764</v>
      </c>
      <c r="S4882" t="s">
        <v>44889</v>
      </c>
      <c r="T4882" t="s">
        <v>46418</v>
      </c>
      <c r="U4882" t="s">
        <v>51061</v>
      </c>
      <c r="W4882" t="s">
        <v>42358</v>
      </c>
      <c r="X4882" t="s">
        <v>44765</v>
      </c>
    </row>
    <row r="4883" spans="1:24">
      <c r="A4883">
        <f>HYPERLINK("https://www.philgeps.gov.ph/GEPSNONPILOT/Tender/SplashBidNoticeAbstractUI.aspx?menuIndex=3&amp;refID=7148828&amp;Result=3","7148828")</f>
        <v>0</v>
      </c>
      <c r="B4883" t="s">
        <v>1808</v>
      </c>
      <c r="C4883" t="s">
        <v>8369</v>
      </c>
      <c r="D4883" t="s">
        <v>17972</v>
      </c>
      <c r="E4883" t="s">
        <v>18158</v>
      </c>
      <c r="F4883" t="s">
        <v>30900</v>
      </c>
      <c r="G4883" t="s">
        <v>30907</v>
      </c>
      <c r="H4883" t="s">
        <v>30916</v>
      </c>
      <c r="I4883" t="s">
        <v>8123</v>
      </c>
      <c r="J4883" t="s">
        <v>34306</v>
      </c>
      <c r="K4883" t="s">
        <v>40286</v>
      </c>
      <c r="M4883" t="s">
        <v>42482</v>
      </c>
      <c r="N4883" t="s">
        <v>44759</v>
      </c>
      <c r="O4883" t="s">
        <v>44760</v>
      </c>
      <c r="P4883">
        <v>0</v>
      </c>
      <c r="Q4883">
        <v>1</v>
      </c>
      <c r="R4883" t="s">
        <v>44764</v>
      </c>
      <c r="S4883" t="s">
        <v>44889</v>
      </c>
      <c r="T4883" t="s">
        <v>46361</v>
      </c>
      <c r="U4883" t="s">
        <v>51062</v>
      </c>
      <c r="W4883" t="s">
        <v>42482</v>
      </c>
      <c r="X4883" t="s">
        <v>44765</v>
      </c>
    </row>
    <row r="4884" spans="1:24">
      <c r="A4884">
        <f>HYPERLINK("https://www.philgeps.gov.ph/GEPSNONPILOT/Tender/SplashBidNoticeAbstractUI.aspx?menuIndex=3&amp;refID=7148841&amp;Result=3","7148841")</f>
        <v>0</v>
      </c>
      <c r="B4884" t="s">
        <v>1806</v>
      </c>
      <c r="C4884" t="s">
        <v>8370</v>
      </c>
      <c r="D4884" t="s">
        <v>18031</v>
      </c>
      <c r="E4884" t="s">
        <v>8370</v>
      </c>
      <c r="F4884" t="s">
        <v>30900</v>
      </c>
      <c r="G4884" t="s">
        <v>30908</v>
      </c>
      <c r="H4884" t="s">
        <v>30916</v>
      </c>
      <c r="I4884" t="s">
        <v>4108</v>
      </c>
      <c r="J4884" t="s">
        <v>31049</v>
      </c>
      <c r="K4884" t="s">
        <v>40283</v>
      </c>
      <c r="L4884" t="s">
        <v>1806</v>
      </c>
      <c r="M4884" t="s">
        <v>42480</v>
      </c>
      <c r="N4884" t="s">
        <v>44759</v>
      </c>
      <c r="O4884" t="s">
        <v>44760</v>
      </c>
      <c r="P4884">
        <v>0</v>
      </c>
      <c r="Q4884">
        <v>1</v>
      </c>
      <c r="R4884" t="s">
        <v>44764</v>
      </c>
      <c r="S4884" t="s">
        <v>44889</v>
      </c>
      <c r="T4884" t="s">
        <v>46571</v>
      </c>
      <c r="U4884" t="s">
        <v>51055</v>
      </c>
      <c r="W4884" t="s">
        <v>42480</v>
      </c>
      <c r="X4884" t="s">
        <v>44765</v>
      </c>
    </row>
    <row r="4885" spans="1:24">
      <c r="A4885">
        <f>HYPERLINK("https://www.philgeps.gov.ph/GEPSNONPILOT/Tender/SplashBidNoticeAbstractUI.aspx?menuIndex=3&amp;refID=7148825&amp;Result=3","7148825")</f>
        <v>0</v>
      </c>
      <c r="B4885" t="s">
        <v>1218</v>
      </c>
      <c r="C4885" t="s">
        <v>8371</v>
      </c>
      <c r="D4885" t="s">
        <v>17961</v>
      </c>
      <c r="E4885" t="s">
        <v>22403</v>
      </c>
      <c r="F4885" t="s">
        <v>30900</v>
      </c>
      <c r="G4885" t="s">
        <v>30907</v>
      </c>
      <c r="H4885" t="s">
        <v>30916</v>
      </c>
      <c r="I4885" t="s">
        <v>4545</v>
      </c>
      <c r="J4885" t="s">
        <v>31577</v>
      </c>
      <c r="K4885" t="s">
        <v>40286</v>
      </c>
      <c r="M4885" t="s">
        <v>41830</v>
      </c>
      <c r="N4885" t="s">
        <v>44759</v>
      </c>
      <c r="O4885" t="s">
        <v>44760</v>
      </c>
      <c r="P4885">
        <v>0</v>
      </c>
      <c r="Q4885">
        <v>7</v>
      </c>
      <c r="R4885" t="s">
        <v>44764</v>
      </c>
      <c r="S4885" t="s">
        <v>44889</v>
      </c>
      <c r="T4885" t="s">
        <v>46352</v>
      </c>
      <c r="U4885" t="s">
        <v>49386</v>
      </c>
      <c r="W4885" t="s">
        <v>41830</v>
      </c>
      <c r="X4885" t="s">
        <v>44765</v>
      </c>
    </row>
    <row r="4886" spans="1:24">
      <c r="A4886">
        <f>HYPERLINK("https://www.philgeps.gov.ph/GEPSNONPILOT/Tender/SplashBidNoticeAbstractUI.aspx?menuIndex=3&amp;refID=7148822&amp;Result=3","7148822")</f>
        <v>0</v>
      </c>
      <c r="B4886" t="s">
        <v>1809</v>
      </c>
      <c r="C4886" t="s">
        <v>8372</v>
      </c>
      <c r="D4886" t="s">
        <v>18021</v>
      </c>
      <c r="E4886" t="s">
        <v>22404</v>
      </c>
      <c r="F4886" t="s">
        <v>30900</v>
      </c>
      <c r="G4886" t="s">
        <v>30908</v>
      </c>
      <c r="H4886" t="s">
        <v>30916</v>
      </c>
      <c r="I4886" t="s">
        <v>10602</v>
      </c>
      <c r="J4886" t="s">
        <v>31204</v>
      </c>
      <c r="K4886" t="s">
        <v>40283</v>
      </c>
      <c r="M4886" t="s">
        <v>42483</v>
      </c>
      <c r="N4886" t="s">
        <v>44759</v>
      </c>
      <c r="O4886" t="s">
        <v>44760</v>
      </c>
      <c r="P4886">
        <v>0</v>
      </c>
      <c r="Q4886">
        <v>0</v>
      </c>
      <c r="R4886" t="s">
        <v>44764</v>
      </c>
      <c r="S4886" t="s">
        <v>44889</v>
      </c>
      <c r="T4886" t="s">
        <v>46625</v>
      </c>
      <c r="U4886" t="s">
        <v>51063</v>
      </c>
      <c r="W4886" t="s">
        <v>42483</v>
      </c>
      <c r="X4886" t="s">
        <v>44765</v>
      </c>
    </row>
    <row r="4887" spans="1:24">
      <c r="A4887">
        <f>HYPERLINK("https://www.philgeps.gov.ph/GEPSNONPILOT/Tender/SplashBidNoticeAbstractUI.aspx?menuIndex=3&amp;refID=7149118&amp;Result=3","7149118")</f>
        <v>0</v>
      </c>
      <c r="B4887" t="s">
        <v>1750</v>
      </c>
      <c r="C4887" t="s">
        <v>8373</v>
      </c>
      <c r="D4887" t="s">
        <v>17966</v>
      </c>
      <c r="E4887" t="s">
        <v>22405</v>
      </c>
      <c r="F4887" t="s">
        <v>30900</v>
      </c>
      <c r="G4887" t="s">
        <v>30907</v>
      </c>
      <c r="H4887" t="s">
        <v>30916</v>
      </c>
      <c r="I4887" t="s">
        <v>30923</v>
      </c>
      <c r="J4887" t="s">
        <v>34307</v>
      </c>
      <c r="K4887" t="s">
        <v>40283</v>
      </c>
      <c r="M4887" t="s">
        <v>42419</v>
      </c>
      <c r="N4887" t="s">
        <v>44759</v>
      </c>
      <c r="O4887" t="s">
        <v>44760</v>
      </c>
      <c r="P4887">
        <v>0</v>
      </c>
      <c r="Q4887">
        <v>5</v>
      </c>
      <c r="R4887" t="s">
        <v>44763</v>
      </c>
      <c r="S4887" t="s">
        <v>44876</v>
      </c>
      <c r="T4887" t="s">
        <v>46443</v>
      </c>
      <c r="U4887" t="s">
        <v>51064</v>
      </c>
      <c r="W4887" t="s">
        <v>60873</v>
      </c>
      <c r="X4887" t="s">
        <v>44764</v>
      </c>
    </row>
    <row r="4888" spans="1:24">
      <c r="A4888">
        <f>HYPERLINK("https://www.philgeps.gov.ph/GEPSNONPILOT/Tender/SplashBidNoticeAbstractUI.aspx?menuIndex=3&amp;refID=7148821&amp;Result=3","7148821")</f>
        <v>0</v>
      </c>
      <c r="B4888" t="s">
        <v>1399</v>
      </c>
      <c r="C4888" t="s">
        <v>8374</v>
      </c>
      <c r="D4888" t="s">
        <v>18017</v>
      </c>
      <c r="E4888" t="s">
        <v>22406</v>
      </c>
      <c r="F4888" t="s">
        <v>30900</v>
      </c>
      <c r="G4888" t="s">
        <v>30908</v>
      </c>
      <c r="H4888" t="s">
        <v>30916</v>
      </c>
      <c r="I4888" t="s">
        <v>8044</v>
      </c>
      <c r="J4888" t="s">
        <v>34308</v>
      </c>
      <c r="K4888" t="s">
        <v>40287</v>
      </c>
      <c r="M4888" t="s">
        <v>42358</v>
      </c>
      <c r="N4888" t="s">
        <v>44759</v>
      </c>
      <c r="O4888" t="s">
        <v>44760</v>
      </c>
      <c r="P4888">
        <v>0</v>
      </c>
      <c r="Q4888">
        <v>0</v>
      </c>
      <c r="R4888" t="s">
        <v>44764</v>
      </c>
      <c r="S4888" t="s">
        <v>44889</v>
      </c>
      <c r="T4888" t="s">
        <v>46418</v>
      </c>
      <c r="U4888" t="s">
        <v>51065</v>
      </c>
      <c r="W4888" t="s">
        <v>42358</v>
      </c>
      <c r="X4888" t="s">
        <v>44765</v>
      </c>
    </row>
    <row r="4889" spans="1:24">
      <c r="A4889">
        <f>HYPERLINK("https://www.philgeps.gov.ph/GEPSNONPILOT/Tender/SplashBidNoticeAbstractUI.aspx?menuIndex=3&amp;refID=7148799&amp;Result=3","7148799")</f>
        <v>0</v>
      </c>
      <c r="B4889" t="s">
        <v>1750</v>
      </c>
      <c r="C4889" t="s">
        <v>8375</v>
      </c>
      <c r="D4889" t="s">
        <v>17966</v>
      </c>
      <c r="E4889" t="s">
        <v>22407</v>
      </c>
      <c r="F4889" t="s">
        <v>30900</v>
      </c>
      <c r="G4889" t="s">
        <v>30908</v>
      </c>
      <c r="H4889" t="s">
        <v>30916</v>
      </c>
      <c r="I4889" t="s">
        <v>4142</v>
      </c>
      <c r="J4889" t="s">
        <v>34309</v>
      </c>
      <c r="K4889" t="s">
        <v>40283</v>
      </c>
      <c r="M4889" t="s">
        <v>42419</v>
      </c>
      <c r="N4889" t="s">
        <v>44759</v>
      </c>
      <c r="O4889" t="s">
        <v>44760</v>
      </c>
      <c r="P4889">
        <v>0</v>
      </c>
      <c r="Q4889">
        <v>2</v>
      </c>
      <c r="R4889" t="s">
        <v>44764</v>
      </c>
      <c r="S4889" t="s">
        <v>44889</v>
      </c>
      <c r="T4889" t="s">
        <v>46581</v>
      </c>
      <c r="U4889" t="s">
        <v>51066</v>
      </c>
      <c r="W4889" t="s">
        <v>60873</v>
      </c>
      <c r="X4889" t="s">
        <v>44765</v>
      </c>
    </row>
    <row r="4890" spans="1:24">
      <c r="A4890">
        <f>HYPERLINK("https://www.philgeps.gov.ph/GEPSNONPILOT/Tender/SplashBidNoticeAbstractUI.aspx?menuIndex=3&amp;refID=7148834&amp;Result=3","7148834")</f>
        <v>0</v>
      </c>
      <c r="B4890" t="s">
        <v>1399</v>
      </c>
      <c r="C4890" t="s">
        <v>8028</v>
      </c>
      <c r="D4890" t="s">
        <v>18017</v>
      </c>
      <c r="E4890" t="s">
        <v>22408</v>
      </c>
      <c r="F4890" t="s">
        <v>30900</v>
      </c>
      <c r="G4890" t="s">
        <v>30908</v>
      </c>
      <c r="H4890" t="s">
        <v>30916</v>
      </c>
      <c r="I4890" t="s">
        <v>30939</v>
      </c>
      <c r="J4890" t="s">
        <v>31098</v>
      </c>
      <c r="K4890" t="s">
        <v>40287</v>
      </c>
      <c r="M4890" t="s">
        <v>42358</v>
      </c>
      <c r="N4890" t="s">
        <v>44759</v>
      </c>
      <c r="O4890" t="s">
        <v>44760</v>
      </c>
      <c r="P4890">
        <v>0</v>
      </c>
      <c r="Q4890">
        <v>0</v>
      </c>
      <c r="R4890" t="s">
        <v>44764</v>
      </c>
      <c r="S4890" t="s">
        <v>44889</v>
      </c>
      <c r="T4890" t="s">
        <v>46418</v>
      </c>
      <c r="U4890" t="s">
        <v>51067</v>
      </c>
      <c r="W4890" t="s">
        <v>42358</v>
      </c>
      <c r="X4890" t="s">
        <v>44765</v>
      </c>
    </row>
    <row r="4891" spans="1:24">
      <c r="A4891">
        <f>HYPERLINK("https://www.philgeps.gov.ph/GEPSNONPILOT/Tender/SplashBidNoticeAbstractUI.aspx?menuIndex=3&amp;refID=7148818&amp;Result=3","7148818")</f>
        <v>0</v>
      </c>
      <c r="B4891" t="s">
        <v>1399</v>
      </c>
      <c r="C4891" t="s">
        <v>8023</v>
      </c>
      <c r="D4891" t="s">
        <v>18017</v>
      </c>
      <c r="E4891" t="s">
        <v>22409</v>
      </c>
      <c r="F4891" t="s">
        <v>30900</v>
      </c>
      <c r="G4891" t="s">
        <v>30908</v>
      </c>
      <c r="H4891" t="s">
        <v>30916</v>
      </c>
      <c r="I4891" t="s">
        <v>30985</v>
      </c>
      <c r="J4891" t="s">
        <v>34310</v>
      </c>
      <c r="K4891" t="s">
        <v>40287</v>
      </c>
      <c r="M4891" t="s">
        <v>42358</v>
      </c>
      <c r="N4891" t="s">
        <v>44759</v>
      </c>
      <c r="O4891" t="s">
        <v>44760</v>
      </c>
      <c r="P4891">
        <v>0</v>
      </c>
      <c r="Q4891">
        <v>4</v>
      </c>
      <c r="R4891" t="s">
        <v>44764</v>
      </c>
      <c r="S4891" t="s">
        <v>44889</v>
      </c>
      <c r="T4891" t="s">
        <v>46418</v>
      </c>
      <c r="U4891" t="s">
        <v>51068</v>
      </c>
      <c r="W4891" t="s">
        <v>42358</v>
      </c>
      <c r="X4891" t="s">
        <v>44765</v>
      </c>
    </row>
    <row r="4892" spans="1:24">
      <c r="A4892">
        <f>HYPERLINK("https://www.philgeps.gov.ph/GEPSNONPILOT/Tender/SplashBidNoticeAbstractUI.aspx?menuIndex=3&amp;refID=7148815&amp;Result=3","7148815")</f>
        <v>0</v>
      </c>
      <c r="B4892" t="s">
        <v>1808</v>
      </c>
      <c r="C4892" t="s">
        <v>8376</v>
      </c>
      <c r="D4892" t="s">
        <v>17972</v>
      </c>
      <c r="E4892" t="s">
        <v>18282</v>
      </c>
      <c r="F4892" t="s">
        <v>30900</v>
      </c>
      <c r="G4892" t="s">
        <v>30907</v>
      </c>
      <c r="H4892" t="s">
        <v>30916</v>
      </c>
      <c r="I4892" t="s">
        <v>8123</v>
      </c>
      <c r="J4892" t="s">
        <v>34311</v>
      </c>
      <c r="K4892" t="s">
        <v>40286</v>
      </c>
      <c r="M4892" t="s">
        <v>42482</v>
      </c>
      <c r="N4892" t="s">
        <v>44759</v>
      </c>
      <c r="O4892" t="s">
        <v>44760</v>
      </c>
      <c r="P4892">
        <v>0</v>
      </c>
      <c r="Q4892">
        <v>1</v>
      </c>
      <c r="R4892" t="s">
        <v>44764</v>
      </c>
      <c r="S4892" t="s">
        <v>44889</v>
      </c>
      <c r="T4892" t="s">
        <v>46352</v>
      </c>
      <c r="U4892" t="s">
        <v>51069</v>
      </c>
      <c r="W4892" t="s">
        <v>42482</v>
      </c>
      <c r="X4892" t="s">
        <v>44765</v>
      </c>
    </row>
    <row r="4893" spans="1:24">
      <c r="A4893">
        <f>HYPERLINK("https://www.philgeps.gov.ph/GEPSNONPILOT/Tender/SplashBidNoticeAbstractUI.aspx?menuIndex=3&amp;refID=7148830&amp;Result=3","7148830")</f>
        <v>0</v>
      </c>
      <c r="B4893" t="s">
        <v>1806</v>
      </c>
      <c r="C4893" t="s">
        <v>8377</v>
      </c>
      <c r="D4893" t="s">
        <v>18031</v>
      </c>
      <c r="E4893" t="s">
        <v>8377</v>
      </c>
      <c r="F4893" t="s">
        <v>30900</v>
      </c>
      <c r="G4893" t="s">
        <v>30908</v>
      </c>
      <c r="H4893" t="s">
        <v>30916</v>
      </c>
      <c r="I4893" t="s">
        <v>6953</v>
      </c>
      <c r="J4893" t="s">
        <v>31495</v>
      </c>
      <c r="K4893" t="s">
        <v>40283</v>
      </c>
      <c r="L4893" t="s">
        <v>1806</v>
      </c>
      <c r="M4893" t="s">
        <v>42480</v>
      </c>
      <c r="N4893" t="s">
        <v>44759</v>
      </c>
      <c r="O4893" t="s">
        <v>44760</v>
      </c>
      <c r="P4893">
        <v>0</v>
      </c>
      <c r="Q4893">
        <v>0</v>
      </c>
      <c r="R4893" t="s">
        <v>44764</v>
      </c>
      <c r="S4893" t="s">
        <v>44889</v>
      </c>
      <c r="T4893" t="s">
        <v>46571</v>
      </c>
      <c r="U4893" t="s">
        <v>51070</v>
      </c>
      <c r="W4893" t="s">
        <v>42480</v>
      </c>
      <c r="X4893" t="s">
        <v>44765</v>
      </c>
    </row>
    <row r="4894" spans="1:24">
      <c r="A4894">
        <f>HYPERLINK("https://www.philgeps.gov.ph/GEPSNONPILOT/Tender/SplashBidNoticeAbstractUI.aspx?menuIndex=3&amp;refID=7148824&amp;Result=3","7148824")</f>
        <v>0</v>
      </c>
      <c r="B4894" t="s">
        <v>1399</v>
      </c>
      <c r="C4894" t="s">
        <v>8378</v>
      </c>
      <c r="D4894" t="s">
        <v>18017</v>
      </c>
      <c r="E4894" t="s">
        <v>22410</v>
      </c>
      <c r="F4894" t="s">
        <v>30900</v>
      </c>
      <c r="G4894" t="s">
        <v>30908</v>
      </c>
      <c r="H4894" t="s">
        <v>30916</v>
      </c>
      <c r="I4894" t="s">
        <v>30924</v>
      </c>
      <c r="J4894" t="s">
        <v>34312</v>
      </c>
      <c r="K4894" t="s">
        <v>40287</v>
      </c>
      <c r="M4894" t="s">
        <v>42358</v>
      </c>
      <c r="N4894" t="s">
        <v>44759</v>
      </c>
      <c r="O4894" t="s">
        <v>44760</v>
      </c>
      <c r="P4894">
        <v>0</v>
      </c>
      <c r="Q4894">
        <v>1</v>
      </c>
      <c r="R4894" t="s">
        <v>44764</v>
      </c>
      <c r="S4894" t="s">
        <v>44889</v>
      </c>
      <c r="T4894" t="s">
        <v>46418</v>
      </c>
      <c r="U4894" t="s">
        <v>51071</v>
      </c>
      <c r="W4894" t="s">
        <v>42358</v>
      </c>
      <c r="X4894" t="s">
        <v>44765</v>
      </c>
    </row>
    <row r="4895" spans="1:24">
      <c r="A4895">
        <f>HYPERLINK("https://www.philgeps.gov.ph/GEPSNONPILOT/Tender/SplashBidNoticeAbstractUI.aspx?menuIndex=3&amp;refID=7148794&amp;Result=3","7148794")</f>
        <v>0</v>
      </c>
      <c r="B4895" t="s">
        <v>1750</v>
      </c>
      <c r="C4895" t="s">
        <v>8379</v>
      </c>
      <c r="D4895" t="s">
        <v>17966</v>
      </c>
      <c r="E4895" t="s">
        <v>22411</v>
      </c>
      <c r="F4895" t="s">
        <v>30900</v>
      </c>
      <c r="G4895" t="s">
        <v>30910</v>
      </c>
      <c r="H4895" t="s">
        <v>30916</v>
      </c>
      <c r="I4895" t="s">
        <v>4142</v>
      </c>
      <c r="J4895" t="s">
        <v>34313</v>
      </c>
      <c r="K4895" t="s">
        <v>40283</v>
      </c>
      <c r="M4895" t="s">
        <v>42419</v>
      </c>
      <c r="N4895" t="s">
        <v>44759</v>
      </c>
      <c r="O4895" t="s">
        <v>44760</v>
      </c>
      <c r="P4895">
        <v>0</v>
      </c>
      <c r="Q4895">
        <v>0</v>
      </c>
      <c r="R4895" t="s">
        <v>44764</v>
      </c>
      <c r="S4895" t="s">
        <v>44889</v>
      </c>
      <c r="T4895" t="s">
        <v>46581</v>
      </c>
      <c r="U4895" t="s">
        <v>51072</v>
      </c>
      <c r="W4895" t="s">
        <v>60873</v>
      </c>
      <c r="X4895" t="s">
        <v>44765</v>
      </c>
    </row>
    <row r="4896" spans="1:24">
      <c r="A4896">
        <f>HYPERLINK("https://www.philgeps.gov.ph/GEPSNONPILOT/Tender/SplashBidNoticeAbstractUI.aspx?menuIndex=3&amp;refID=7148823&amp;Result=3","7148823")</f>
        <v>0</v>
      </c>
      <c r="B4896" t="s">
        <v>1218</v>
      </c>
      <c r="C4896" t="s">
        <v>8380</v>
      </c>
      <c r="D4896" t="s">
        <v>17961</v>
      </c>
      <c r="E4896" t="s">
        <v>22412</v>
      </c>
      <c r="F4896" t="s">
        <v>30900</v>
      </c>
      <c r="G4896" t="s">
        <v>30907</v>
      </c>
      <c r="H4896" t="s">
        <v>30916</v>
      </c>
      <c r="I4896" t="s">
        <v>30985</v>
      </c>
      <c r="J4896" t="s">
        <v>31577</v>
      </c>
      <c r="K4896" t="s">
        <v>40286</v>
      </c>
      <c r="M4896" t="s">
        <v>41830</v>
      </c>
      <c r="N4896" t="s">
        <v>44759</v>
      </c>
      <c r="O4896" t="s">
        <v>44760</v>
      </c>
      <c r="P4896">
        <v>0</v>
      </c>
      <c r="Q4896">
        <v>14</v>
      </c>
      <c r="R4896" t="s">
        <v>44764</v>
      </c>
      <c r="S4896" t="s">
        <v>44889</v>
      </c>
      <c r="T4896" t="s">
        <v>46492</v>
      </c>
      <c r="U4896" t="s">
        <v>49386</v>
      </c>
      <c r="W4896" t="s">
        <v>41830</v>
      </c>
      <c r="X4896" t="s">
        <v>44765</v>
      </c>
    </row>
    <row r="4897" spans="1:24">
      <c r="A4897">
        <f>HYPERLINK("https://www.philgeps.gov.ph/GEPSNONPILOT/Tender/SplashBidNoticeAbstractUI.aspx?menuIndex=3&amp;refID=7145062&amp;Result=3","7145062")</f>
        <v>0</v>
      </c>
      <c r="B4897" t="s">
        <v>1810</v>
      </c>
      <c r="C4897" t="s">
        <v>8381</v>
      </c>
      <c r="D4897" t="s">
        <v>17959</v>
      </c>
      <c r="E4897" t="s">
        <v>22413</v>
      </c>
      <c r="F4897" t="s">
        <v>30900</v>
      </c>
      <c r="G4897" t="s">
        <v>30907</v>
      </c>
      <c r="H4897" t="s">
        <v>30916</v>
      </c>
      <c r="I4897" t="s">
        <v>30973</v>
      </c>
      <c r="J4897" t="s">
        <v>31206</v>
      </c>
      <c r="K4897" t="s">
        <v>40289</v>
      </c>
      <c r="M4897" t="s">
        <v>42484</v>
      </c>
      <c r="N4897" t="s">
        <v>44759</v>
      </c>
      <c r="O4897" t="s">
        <v>44760</v>
      </c>
      <c r="P4897">
        <v>0</v>
      </c>
      <c r="Q4897">
        <v>0</v>
      </c>
      <c r="R4897" t="s">
        <v>44765</v>
      </c>
      <c r="S4897" t="s">
        <v>44892</v>
      </c>
      <c r="T4897" t="s">
        <v>46376</v>
      </c>
      <c r="U4897" t="s">
        <v>51073</v>
      </c>
      <c r="W4897" t="s">
        <v>42484</v>
      </c>
      <c r="X4897" t="s">
        <v>44768</v>
      </c>
    </row>
    <row r="4898" spans="1:24">
      <c r="A4898">
        <f>HYPERLINK("https://www.philgeps.gov.ph/GEPSNONPILOT/Tender/SplashBidNoticeAbstractUI.aspx?menuIndex=3&amp;refID=7143825&amp;Result=3","7143825")</f>
        <v>0</v>
      </c>
      <c r="B4898" t="s">
        <v>641</v>
      </c>
      <c r="C4898" t="s">
        <v>8382</v>
      </c>
      <c r="D4898" t="s">
        <v>18015</v>
      </c>
      <c r="E4898" t="s">
        <v>22414</v>
      </c>
      <c r="F4898" t="s">
        <v>30900</v>
      </c>
      <c r="G4898" t="s">
        <v>30907</v>
      </c>
      <c r="H4898" t="s">
        <v>30916</v>
      </c>
      <c r="I4898" t="s">
        <v>8123</v>
      </c>
      <c r="J4898" t="s">
        <v>34314</v>
      </c>
      <c r="K4898" t="s">
        <v>40285</v>
      </c>
      <c r="M4898" t="s">
        <v>41204</v>
      </c>
      <c r="N4898" t="s">
        <v>44759</v>
      </c>
      <c r="O4898" t="s">
        <v>44760</v>
      </c>
      <c r="P4898">
        <v>0</v>
      </c>
      <c r="Q4898">
        <v>0</v>
      </c>
      <c r="R4898" t="s">
        <v>44765</v>
      </c>
      <c r="S4898" t="s">
        <v>44892</v>
      </c>
      <c r="T4898" t="s">
        <v>46421</v>
      </c>
      <c r="U4898" t="s">
        <v>51074</v>
      </c>
      <c r="W4898" t="s">
        <v>41204</v>
      </c>
      <c r="X4898" t="s">
        <v>44768</v>
      </c>
    </row>
    <row r="4899" spans="1:24">
      <c r="A4899">
        <f>HYPERLINK("https://www.philgeps.gov.ph/GEPSNONPILOT/Tender/SplashBidNoticeAbstractUI.aspx?menuIndex=3&amp;refID=7148738&amp;Result=3","7148738")</f>
        <v>0</v>
      </c>
      <c r="B4899" t="s">
        <v>1792</v>
      </c>
      <c r="C4899" t="s">
        <v>8383</v>
      </c>
      <c r="D4899" t="s">
        <v>17959</v>
      </c>
      <c r="E4899" t="s">
        <v>22415</v>
      </c>
      <c r="F4899" t="s">
        <v>30900</v>
      </c>
      <c r="G4899" t="s">
        <v>30908</v>
      </c>
      <c r="H4899" t="s">
        <v>30916</v>
      </c>
      <c r="I4899" t="s">
        <v>30921</v>
      </c>
      <c r="J4899" t="s">
        <v>34315</v>
      </c>
      <c r="K4899" t="s">
        <v>40283</v>
      </c>
      <c r="L4899" t="s">
        <v>1792</v>
      </c>
      <c r="M4899" t="s">
        <v>42466</v>
      </c>
      <c r="N4899" t="s">
        <v>44759</v>
      </c>
      <c r="O4899" t="s">
        <v>44760</v>
      </c>
      <c r="P4899">
        <v>0</v>
      </c>
      <c r="Q4899">
        <v>9</v>
      </c>
      <c r="R4899" t="s">
        <v>44764</v>
      </c>
      <c r="S4899" t="s">
        <v>44889</v>
      </c>
      <c r="T4899" t="s">
        <v>46699</v>
      </c>
      <c r="U4899" t="s">
        <v>51075</v>
      </c>
      <c r="W4899" t="s">
        <v>42466</v>
      </c>
      <c r="X4899" t="s">
        <v>44765</v>
      </c>
    </row>
    <row r="4900" spans="1:24">
      <c r="A4900">
        <f>HYPERLINK("https://www.philgeps.gov.ph/GEPSNONPILOT/Tender/SplashBidNoticeAbstractUI.aspx?menuIndex=3&amp;refID=7148816&amp;Result=3","7148816")</f>
        <v>0</v>
      </c>
      <c r="B4900" t="s">
        <v>1399</v>
      </c>
      <c r="C4900" t="s">
        <v>8384</v>
      </c>
      <c r="D4900" t="s">
        <v>18017</v>
      </c>
      <c r="E4900" t="s">
        <v>22416</v>
      </c>
      <c r="F4900" t="s">
        <v>30900</v>
      </c>
      <c r="G4900" t="s">
        <v>30908</v>
      </c>
      <c r="H4900" t="s">
        <v>30916</v>
      </c>
      <c r="I4900" t="s">
        <v>4545</v>
      </c>
      <c r="J4900" t="s">
        <v>34316</v>
      </c>
      <c r="K4900" t="s">
        <v>40287</v>
      </c>
      <c r="M4900" t="s">
        <v>42358</v>
      </c>
      <c r="N4900" t="s">
        <v>44759</v>
      </c>
      <c r="O4900" t="s">
        <v>44760</v>
      </c>
      <c r="P4900">
        <v>0</v>
      </c>
      <c r="Q4900">
        <v>1</v>
      </c>
      <c r="R4900" t="s">
        <v>44764</v>
      </c>
      <c r="S4900" t="s">
        <v>44889</v>
      </c>
      <c r="T4900" t="s">
        <v>46418</v>
      </c>
      <c r="U4900" t="s">
        <v>51076</v>
      </c>
      <c r="W4900" t="s">
        <v>42358</v>
      </c>
      <c r="X4900" t="s">
        <v>44765</v>
      </c>
    </row>
    <row r="4901" spans="1:24">
      <c r="A4901">
        <f>HYPERLINK("https://www.philgeps.gov.ph/GEPSNONPILOT/Tender/SplashBidNoticeAbstractUI.aspx?menuIndex=3&amp;refID=7143791&amp;Result=3","7143791")</f>
        <v>0</v>
      </c>
      <c r="B4901" t="s">
        <v>641</v>
      </c>
      <c r="C4901" t="s">
        <v>8385</v>
      </c>
      <c r="D4901" t="s">
        <v>18015</v>
      </c>
      <c r="E4901" t="s">
        <v>22417</v>
      </c>
      <c r="F4901" t="s">
        <v>30900</v>
      </c>
      <c r="G4901" t="s">
        <v>30907</v>
      </c>
      <c r="H4901" t="s">
        <v>30916</v>
      </c>
      <c r="I4901" t="s">
        <v>8123</v>
      </c>
      <c r="J4901" t="s">
        <v>34317</v>
      </c>
      <c r="K4901" t="s">
        <v>40285</v>
      </c>
      <c r="M4901" t="s">
        <v>41204</v>
      </c>
      <c r="N4901" t="s">
        <v>44759</v>
      </c>
      <c r="O4901" t="s">
        <v>44760</v>
      </c>
      <c r="P4901">
        <v>0</v>
      </c>
      <c r="Q4901">
        <v>0</v>
      </c>
      <c r="R4901" t="s">
        <v>44765</v>
      </c>
      <c r="S4901" t="s">
        <v>44892</v>
      </c>
      <c r="T4901" t="s">
        <v>46357</v>
      </c>
      <c r="U4901" t="s">
        <v>48073</v>
      </c>
      <c r="W4901" t="s">
        <v>41204</v>
      </c>
      <c r="X4901" t="s">
        <v>44768</v>
      </c>
    </row>
    <row r="4902" spans="1:24">
      <c r="A4902">
        <f>HYPERLINK("https://www.philgeps.gov.ph/GEPSNONPILOT/Tender/SplashBidNoticeAbstractUI.aspx?menuIndex=3&amp;refID=7143422&amp;Result=3","7143422")</f>
        <v>0</v>
      </c>
      <c r="B4902" t="s">
        <v>1811</v>
      </c>
      <c r="C4902" t="s">
        <v>6776</v>
      </c>
      <c r="D4902" t="s">
        <v>17961</v>
      </c>
      <c r="E4902" t="s">
        <v>22418</v>
      </c>
      <c r="F4902" t="s">
        <v>30900</v>
      </c>
      <c r="G4902" t="s">
        <v>30909</v>
      </c>
      <c r="H4902" t="s">
        <v>30916</v>
      </c>
      <c r="I4902" t="s">
        <v>30978</v>
      </c>
      <c r="J4902" t="s">
        <v>31810</v>
      </c>
      <c r="K4902" t="s">
        <v>40285</v>
      </c>
      <c r="M4902" t="s">
        <v>42485</v>
      </c>
      <c r="N4902" t="s">
        <v>44759</v>
      </c>
      <c r="O4902" t="s">
        <v>44760</v>
      </c>
      <c r="P4902">
        <v>0</v>
      </c>
      <c r="Q4902">
        <v>1</v>
      </c>
      <c r="R4902" t="s">
        <v>44765</v>
      </c>
      <c r="S4902" t="s">
        <v>44892</v>
      </c>
      <c r="T4902" t="s">
        <v>46571</v>
      </c>
      <c r="U4902" t="s">
        <v>51077</v>
      </c>
      <c r="W4902" t="s">
        <v>42485</v>
      </c>
      <c r="X4902" t="s">
        <v>44768</v>
      </c>
    </row>
    <row r="4903" spans="1:24">
      <c r="A4903">
        <f>HYPERLINK("https://www.philgeps.gov.ph/GEPSNONPILOT/Tender/SplashBidNoticeAbstractUI.aspx?menuIndex=3&amp;refID=7148795&amp;Result=3","7148795")</f>
        <v>0</v>
      </c>
      <c r="B4903" t="s">
        <v>1812</v>
      </c>
      <c r="C4903" t="s">
        <v>8386</v>
      </c>
      <c r="D4903" t="s">
        <v>17988</v>
      </c>
      <c r="E4903" t="s">
        <v>22419</v>
      </c>
      <c r="F4903" t="s">
        <v>30900</v>
      </c>
      <c r="G4903" t="s">
        <v>30908</v>
      </c>
      <c r="H4903" t="s">
        <v>30916</v>
      </c>
      <c r="I4903" t="s">
        <v>30988</v>
      </c>
      <c r="J4903" t="s">
        <v>34318</v>
      </c>
      <c r="K4903" t="s">
        <v>40288</v>
      </c>
      <c r="M4903" t="s">
        <v>42486</v>
      </c>
      <c r="N4903" t="s">
        <v>44759</v>
      </c>
      <c r="O4903" t="s">
        <v>44760</v>
      </c>
      <c r="P4903">
        <v>0</v>
      </c>
      <c r="Q4903">
        <v>0</v>
      </c>
      <c r="R4903" t="s">
        <v>44764</v>
      </c>
      <c r="S4903" t="s">
        <v>44889</v>
      </c>
      <c r="T4903" t="s">
        <v>46414</v>
      </c>
      <c r="U4903" t="s">
        <v>51078</v>
      </c>
      <c r="W4903" t="s">
        <v>42486</v>
      </c>
      <c r="X4903" t="s">
        <v>44765</v>
      </c>
    </row>
    <row r="4904" spans="1:24">
      <c r="A4904">
        <f>HYPERLINK("https://www.philgeps.gov.ph/GEPSNONPILOT/Tender/SplashBidNoticeAbstractUI.aspx?menuIndex=3&amp;refID=7143130&amp;Result=3","7143130")</f>
        <v>0</v>
      </c>
      <c r="B4904" t="s">
        <v>1174</v>
      </c>
      <c r="C4904" t="s">
        <v>8387</v>
      </c>
      <c r="D4904" t="s">
        <v>18016</v>
      </c>
      <c r="E4904" t="s">
        <v>20485</v>
      </c>
      <c r="F4904" t="s">
        <v>30900</v>
      </c>
      <c r="G4904" t="s">
        <v>30907</v>
      </c>
      <c r="H4904" t="s">
        <v>30915</v>
      </c>
      <c r="I4904" t="s">
        <v>30919</v>
      </c>
      <c r="J4904" t="s">
        <v>34319</v>
      </c>
      <c r="K4904" t="s">
        <v>40289</v>
      </c>
      <c r="M4904" t="s">
        <v>41781</v>
      </c>
      <c r="N4904" t="s">
        <v>44759</v>
      </c>
      <c r="O4904" t="s">
        <v>44760</v>
      </c>
      <c r="P4904">
        <v>0</v>
      </c>
      <c r="Q4904">
        <v>0</v>
      </c>
      <c r="R4904" t="s">
        <v>44765</v>
      </c>
      <c r="S4904" t="s">
        <v>44892</v>
      </c>
      <c r="T4904" t="s">
        <v>46421</v>
      </c>
      <c r="U4904" t="s">
        <v>51079</v>
      </c>
      <c r="W4904" t="s">
        <v>41781</v>
      </c>
      <c r="X4904" t="s">
        <v>44768</v>
      </c>
    </row>
    <row r="4905" spans="1:24">
      <c r="A4905">
        <f>HYPERLINK("https://www.philgeps.gov.ph/GEPSNONPILOT/Tender/SplashBidNoticeAbstractUI.aspx?menuIndex=3&amp;refID=7143019&amp;Result=3","7143019")</f>
        <v>0</v>
      </c>
      <c r="B4905" t="s">
        <v>1174</v>
      </c>
      <c r="C4905" t="s">
        <v>8388</v>
      </c>
      <c r="D4905" t="s">
        <v>18016</v>
      </c>
      <c r="E4905" t="s">
        <v>20485</v>
      </c>
      <c r="F4905" t="s">
        <v>30900</v>
      </c>
      <c r="G4905" t="s">
        <v>30907</v>
      </c>
      <c r="H4905" t="s">
        <v>30915</v>
      </c>
      <c r="I4905" t="s">
        <v>30919</v>
      </c>
      <c r="J4905" t="s">
        <v>34320</v>
      </c>
      <c r="K4905" t="s">
        <v>40289</v>
      </c>
      <c r="M4905" t="s">
        <v>41781</v>
      </c>
      <c r="N4905" t="s">
        <v>44759</v>
      </c>
      <c r="O4905" t="s">
        <v>44760</v>
      </c>
      <c r="P4905">
        <v>0</v>
      </c>
      <c r="Q4905">
        <v>0</v>
      </c>
      <c r="R4905" t="s">
        <v>44765</v>
      </c>
      <c r="S4905" t="s">
        <v>44892</v>
      </c>
      <c r="T4905" t="s">
        <v>46421</v>
      </c>
      <c r="U4905" t="s">
        <v>51080</v>
      </c>
      <c r="W4905" t="s">
        <v>41781</v>
      </c>
      <c r="X4905" t="s">
        <v>44768</v>
      </c>
    </row>
    <row r="4906" spans="1:24">
      <c r="A4906">
        <f>HYPERLINK("https://www.philgeps.gov.ph/GEPSNONPILOT/Tender/SplashBidNoticeAbstractUI.aspx?menuIndex=3&amp;refID=7139555&amp;Result=3","7139555")</f>
        <v>0</v>
      </c>
      <c r="B4906" t="s">
        <v>1813</v>
      </c>
      <c r="C4906" t="s">
        <v>8389</v>
      </c>
      <c r="D4906" t="s">
        <v>17955</v>
      </c>
      <c r="E4906" t="s">
        <v>22420</v>
      </c>
      <c r="F4906" t="s">
        <v>30900</v>
      </c>
      <c r="G4906" t="s">
        <v>30908</v>
      </c>
      <c r="H4906" t="s">
        <v>30916</v>
      </c>
      <c r="I4906" t="s">
        <v>8365</v>
      </c>
      <c r="J4906" t="s">
        <v>34321</v>
      </c>
      <c r="K4906" t="s">
        <v>40288</v>
      </c>
      <c r="M4906" t="s">
        <v>42487</v>
      </c>
      <c r="N4906" t="s">
        <v>44759</v>
      </c>
      <c r="O4906" t="s">
        <v>44760</v>
      </c>
      <c r="P4906">
        <v>0</v>
      </c>
      <c r="Q4906">
        <v>6</v>
      </c>
      <c r="R4906" t="s">
        <v>44765</v>
      </c>
      <c r="S4906" t="s">
        <v>44892</v>
      </c>
      <c r="T4906" t="s">
        <v>46662</v>
      </c>
      <c r="U4906" t="s">
        <v>51081</v>
      </c>
      <c r="W4906" t="s">
        <v>42487</v>
      </c>
      <c r="X4906" t="s">
        <v>44769</v>
      </c>
    </row>
    <row r="4907" spans="1:24">
      <c r="A4907">
        <f>HYPERLINK("https://www.philgeps.gov.ph/GEPSNONPILOT/Tender/SplashBidNoticeAbstractUI.aspx?menuIndex=3&amp;refID=7130133&amp;Result=3","7130133")</f>
        <v>0</v>
      </c>
      <c r="B4907" t="s">
        <v>1814</v>
      </c>
      <c r="C4907" t="s">
        <v>8390</v>
      </c>
      <c r="D4907" t="s">
        <v>17968</v>
      </c>
      <c r="E4907" t="s">
        <v>18282</v>
      </c>
      <c r="F4907" t="s">
        <v>30900</v>
      </c>
      <c r="G4907" t="s">
        <v>30908</v>
      </c>
      <c r="H4907" t="s">
        <v>30916</v>
      </c>
      <c r="I4907" t="s">
        <v>6396</v>
      </c>
      <c r="J4907" t="s">
        <v>34322</v>
      </c>
      <c r="K4907" t="s">
        <v>40286</v>
      </c>
      <c r="M4907" t="s">
        <v>42488</v>
      </c>
      <c r="N4907" t="s">
        <v>44759</v>
      </c>
      <c r="O4907" t="s">
        <v>44760</v>
      </c>
      <c r="P4907">
        <v>0</v>
      </c>
      <c r="Q4907">
        <v>5</v>
      </c>
      <c r="R4907" t="s">
        <v>44765</v>
      </c>
      <c r="S4907" t="s">
        <v>44892</v>
      </c>
      <c r="T4907" t="s">
        <v>46591</v>
      </c>
      <c r="U4907" t="s">
        <v>51082</v>
      </c>
      <c r="W4907" t="s">
        <v>42488</v>
      </c>
      <c r="X4907" t="s">
        <v>44774</v>
      </c>
    </row>
    <row r="4908" spans="1:24">
      <c r="A4908">
        <f>HYPERLINK("https://www.philgeps.gov.ph/GEPSNONPILOT/Tender/SplashBidNoticeAbstractUI.aspx?menuIndex=3&amp;refID=7148817&amp;Result=3","7148817")</f>
        <v>0</v>
      </c>
      <c r="B4908" t="s">
        <v>499</v>
      </c>
      <c r="C4908" t="s">
        <v>8391</v>
      </c>
      <c r="D4908" t="s">
        <v>17978</v>
      </c>
      <c r="E4908" t="s">
        <v>22421</v>
      </c>
      <c r="F4908" t="s">
        <v>30900</v>
      </c>
      <c r="G4908" t="s">
        <v>30907</v>
      </c>
      <c r="H4908" t="s">
        <v>30916</v>
      </c>
      <c r="I4908" t="s">
        <v>5501</v>
      </c>
      <c r="J4908" t="s">
        <v>34323</v>
      </c>
      <c r="K4908" t="s">
        <v>40286</v>
      </c>
      <c r="M4908" t="s">
        <v>41058</v>
      </c>
      <c r="N4908" t="s">
        <v>44759</v>
      </c>
      <c r="O4908" t="s">
        <v>44760</v>
      </c>
      <c r="P4908">
        <v>0</v>
      </c>
      <c r="Q4908">
        <v>4</v>
      </c>
      <c r="R4908" t="s">
        <v>44764</v>
      </c>
      <c r="S4908" t="s">
        <v>44889</v>
      </c>
      <c r="T4908" t="s">
        <v>46519</v>
      </c>
      <c r="U4908" t="s">
        <v>51083</v>
      </c>
      <c r="W4908" t="s">
        <v>41058</v>
      </c>
      <c r="X4908" t="s">
        <v>44765</v>
      </c>
    </row>
    <row r="4909" spans="1:24">
      <c r="A4909">
        <f>HYPERLINK("https://www.philgeps.gov.ph/GEPSNONPILOT/Tender/SplashBidNoticeAbstractUI.aspx?menuIndex=3&amp;refID=7148865&amp;Result=3","7148865")</f>
        <v>0</v>
      </c>
      <c r="B4909" t="s">
        <v>1399</v>
      </c>
      <c r="C4909" t="s">
        <v>8275</v>
      </c>
      <c r="D4909" t="s">
        <v>18017</v>
      </c>
      <c r="E4909" t="s">
        <v>22422</v>
      </c>
      <c r="F4909" t="s">
        <v>30900</v>
      </c>
      <c r="G4909" t="s">
        <v>30908</v>
      </c>
      <c r="H4909" t="s">
        <v>30916</v>
      </c>
      <c r="I4909" t="s">
        <v>30923</v>
      </c>
      <c r="J4909" t="s">
        <v>34324</v>
      </c>
      <c r="K4909" t="s">
        <v>40287</v>
      </c>
      <c r="M4909" t="s">
        <v>42358</v>
      </c>
      <c r="N4909" t="s">
        <v>44759</v>
      </c>
      <c r="O4909" t="s">
        <v>44760</v>
      </c>
      <c r="P4909">
        <v>0</v>
      </c>
      <c r="Q4909">
        <v>1</v>
      </c>
      <c r="R4909" t="s">
        <v>44764</v>
      </c>
      <c r="S4909" t="s">
        <v>44889</v>
      </c>
      <c r="T4909" t="s">
        <v>46418</v>
      </c>
      <c r="U4909" t="s">
        <v>51084</v>
      </c>
      <c r="W4909" t="s">
        <v>42358</v>
      </c>
      <c r="X4909" t="s">
        <v>44765</v>
      </c>
    </row>
    <row r="4910" spans="1:24">
      <c r="A4910">
        <f>HYPERLINK("https://www.philgeps.gov.ph/GEPSNONPILOT/Tender/SplashBidNoticeAbstractUI.aspx?menuIndex=3&amp;refID=7132953&amp;Result=3","7132953")</f>
        <v>0</v>
      </c>
      <c r="B4910" t="s">
        <v>1815</v>
      </c>
      <c r="C4910" t="s">
        <v>8392</v>
      </c>
      <c r="D4910" t="s">
        <v>17973</v>
      </c>
      <c r="E4910" t="s">
        <v>22423</v>
      </c>
      <c r="F4910" t="s">
        <v>30900</v>
      </c>
      <c r="G4910" t="s">
        <v>30907</v>
      </c>
      <c r="H4910" t="s">
        <v>30916</v>
      </c>
      <c r="I4910" t="s">
        <v>8123</v>
      </c>
      <c r="J4910" t="s">
        <v>31341</v>
      </c>
      <c r="K4910" t="s">
        <v>40286</v>
      </c>
      <c r="M4910" t="s">
        <v>42489</v>
      </c>
      <c r="N4910" t="s">
        <v>44759</v>
      </c>
      <c r="O4910" t="s">
        <v>44760</v>
      </c>
      <c r="P4910">
        <v>0</v>
      </c>
      <c r="Q4910">
        <v>0</v>
      </c>
      <c r="R4910" t="s">
        <v>44765</v>
      </c>
      <c r="S4910" t="s">
        <v>44892</v>
      </c>
      <c r="T4910" t="s">
        <v>46387</v>
      </c>
      <c r="U4910" t="s">
        <v>51085</v>
      </c>
      <c r="W4910" t="s">
        <v>42489</v>
      </c>
      <c r="X4910" t="s">
        <v>44773</v>
      </c>
    </row>
    <row r="4911" spans="1:24">
      <c r="A4911">
        <f>HYPERLINK("https://www.philgeps.gov.ph/GEPSNONPILOT/Tender/SplashBidNoticeAbstractUI.aspx?menuIndex=3&amp;refID=7130388&amp;Result=3","7130388")</f>
        <v>0</v>
      </c>
      <c r="B4911" t="s">
        <v>1816</v>
      </c>
      <c r="C4911" t="s">
        <v>3769</v>
      </c>
      <c r="E4911" t="s">
        <v>22424</v>
      </c>
      <c r="F4911" t="s">
        <v>30900</v>
      </c>
      <c r="G4911" t="s">
        <v>30907</v>
      </c>
      <c r="H4911" t="s">
        <v>30915</v>
      </c>
      <c r="I4911" t="s">
        <v>30919</v>
      </c>
      <c r="J4911" t="s">
        <v>31050</v>
      </c>
      <c r="K4911" t="s">
        <v>40408</v>
      </c>
      <c r="M4911" t="s">
        <v>40836</v>
      </c>
      <c r="N4911" t="s">
        <v>44759</v>
      </c>
      <c r="O4911" t="s">
        <v>44760</v>
      </c>
      <c r="P4911">
        <v>0</v>
      </c>
      <c r="Q4911">
        <v>0</v>
      </c>
      <c r="R4911" t="s">
        <v>44765</v>
      </c>
      <c r="S4911" t="s">
        <v>44892</v>
      </c>
      <c r="T4911" t="s">
        <v>46356</v>
      </c>
      <c r="U4911" t="s">
        <v>51086</v>
      </c>
      <c r="W4911" t="s">
        <v>40836</v>
      </c>
      <c r="X4911" t="s">
        <v>44774</v>
      </c>
    </row>
    <row r="4912" spans="1:24">
      <c r="A4912">
        <f>HYPERLINK("https://www.philgeps.gov.ph/GEPSNONPILOT/Tender/SplashBidNoticeAbstractUI.aspx?menuIndex=3&amp;refID=7148855&amp;Result=3","7148855")</f>
        <v>0</v>
      </c>
      <c r="B4912" t="s">
        <v>1399</v>
      </c>
      <c r="C4912" t="s">
        <v>8363</v>
      </c>
      <c r="D4912" t="s">
        <v>18017</v>
      </c>
      <c r="E4912" t="s">
        <v>22425</v>
      </c>
      <c r="F4912" t="s">
        <v>30900</v>
      </c>
      <c r="G4912" t="s">
        <v>30908</v>
      </c>
      <c r="H4912" t="s">
        <v>30916</v>
      </c>
      <c r="I4912" t="s">
        <v>5501</v>
      </c>
      <c r="J4912" t="s">
        <v>34325</v>
      </c>
      <c r="K4912" t="s">
        <v>40287</v>
      </c>
      <c r="M4912" t="s">
        <v>42358</v>
      </c>
      <c r="N4912" t="s">
        <v>44759</v>
      </c>
      <c r="O4912" t="s">
        <v>44760</v>
      </c>
      <c r="P4912">
        <v>0</v>
      </c>
      <c r="Q4912">
        <v>1</v>
      </c>
      <c r="R4912" t="s">
        <v>44764</v>
      </c>
      <c r="S4912" t="s">
        <v>44889</v>
      </c>
      <c r="T4912" t="s">
        <v>46418</v>
      </c>
      <c r="U4912" t="s">
        <v>51087</v>
      </c>
      <c r="W4912" t="s">
        <v>42358</v>
      </c>
      <c r="X4912" t="s">
        <v>44765</v>
      </c>
    </row>
    <row r="4913" spans="1:24">
      <c r="A4913">
        <f>HYPERLINK("https://www.philgeps.gov.ph/GEPSNONPILOT/Tender/SplashBidNoticeAbstractUI.aspx?menuIndex=3&amp;refID=7130731&amp;Result=3","7130731")</f>
        <v>0</v>
      </c>
      <c r="B4913" t="s">
        <v>843</v>
      </c>
      <c r="C4913" t="s">
        <v>5405</v>
      </c>
      <c r="D4913" t="s">
        <v>17961</v>
      </c>
      <c r="E4913" t="s">
        <v>22426</v>
      </c>
      <c r="F4913" t="s">
        <v>30900</v>
      </c>
      <c r="G4913" t="s">
        <v>30910</v>
      </c>
      <c r="H4913" t="s">
        <v>30916</v>
      </c>
      <c r="I4913" t="s">
        <v>8365</v>
      </c>
      <c r="J4913" t="s">
        <v>32334</v>
      </c>
      <c r="K4913" t="s">
        <v>40289</v>
      </c>
      <c r="M4913" t="s">
        <v>41416</v>
      </c>
      <c r="N4913" t="s">
        <v>44759</v>
      </c>
      <c r="O4913" t="s">
        <v>44760</v>
      </c>
      <c r="P4913">
        <v>0</v>
      </c>
      <c r="Q4913">
        <v>0</v>
      </c>
      <c r="R4913" t="s">
        <v>44765</v>
      </c>
      <c r="S4913" t="s">
        <v>44892</v>
      </c>
      <c r="T4913" t="s">
        <v>46398</v>
      </c>
      <c r="U4913" t="s">
        <v>51088</v>
      </c>
      <c r="W4913" t="s">
        <v>41416</v>
      </c>
      <c r="X4913" t="s">
        <v>44774</v>
      </c>
    </row>
    <row r="4914" spans="1:24">
      <c r="A4914">
        <f>HYPERLINK("https://www.philgeps.gov.ph/GEPSNONPILOT/Tender/SplashBidNoticeAbstractUI.aspx?menuIndex=3&amp;refID=7148854&amp;Result=3","7148854")</f>
        <v>0</v>
      </c>
      <c r="B4914" t="s">
        <v>1805</v>
      </c>
      <c r="C4914" t="s">
        <v>8393</v>
      </c>
      <c r="D4914" t="s">
        <v>18022</v>
      </c>
      <c r="E4914" t="s">
        <v>22397</v>
      </c>
      <c r="F4914" t="s">
        <v>30900</v>
      </c>
      <c r="G4914" t="s">
        <v>30909</v>
      </c>
      <c r="H4914" t="s">
        <v>30916</v>
      </c>
      <c r="I4914" t="s">
        <v>4108</v>
      </c>
      <c r="J4914" t="s">
        <v>33193</v>
      </c>
      <c r="K4914" t="s">
        <v>40289</v>
      </c>
      <c r="M4914" t="s">
        <v>42479</v>
      </c>
      <c r="N4914" t="s">
        <v>44759</v>
      </c>
      <c r="O4914" t="s">
        <v>44760</v>
      </c>
      <c r="P4914">
        <v>0</v>
      </c>
      <c r="Q4914">
        <v>1</v>
      </c>
      <c r="R4914" t="s">
        <v>44764</v>
      </c>
      <c r="S4914" t="s">
        <v>44889</v>
      </c>
      <c r="T4914" t="s">
        <v>46376</v>
      </c>
      <c r="U4914" t="s">
        <v>51089</v>
      </c>
      <c r="W4914" t="s">
        <v>42479</v>
      </c>
      <c r="X4914" t="s">
        <v>44765</v>
      </c>
    </row>
    <row r="4915" spans="1:24">
      <c r="A4915">
        <f>HYPERLINK("https://www.philgeps.gov.ph/GEPSNONPILOT/Tender/SplashBidNoticeAbstractUI.aspx?menuIndex=3&amp;refID=7148849&amp;Result=3","7148849")</f>
        <v>0</v>
      </c>
      <c r="B4915" t="s">
        <v>1805</v>
      </c>
      <c r="C4915" t="s">
        <v>8394</v>
      </c>
      <c r="D4915" t="s">
        <v>18022</v>
      </c>
      <c r="E4915" t="s">
        <v>22397</v>
      </c>
      <c r="F4915" t="s">
        <v>30900</v>
      </c>
      <c r="G4915" t="s">
        <v>30909</v>
      </c>
      <c r="H4915" t="s">
        <v>30916</v>
      </c>
      <c r="I4915" t="s">
        <v>4017</v>
      </c>
      <c r="J4915" t="s">
        <v>34326</v>
      </c>
      <c r="K4915" t="s">
        <v>40289</v>
      </c>
      <c r="M4915" t="s">
        <v>42479</v>
      </c>
      <c r="N4915" t="s">
        <v>44759</v>
      </c>
      <c r="O4915" t="s">
        <v>44760</v>
      </c>
      <c r="P4915">
        <v>0</v>
      </c>
      <c r="Q4915">
        <v>2</v>
      </c>
      <c r="R4915" t="s">
        <v>44764</v>
      </c>
      <c r="S4915" t="s">
        <v>44889</v>
      </c>
      <c r="T4915" t="s">
        <v>46376</v>
      </c>
      <c r="U4915" t="s">
        <v>51090</v>
      </c>
      <c r="W4915" t="s">
        <v>42479</v>
      </c>
      <c r="X4915" t="s">
        <v>44765</v>
      </c>
    </row>
    <row r="4916" spans="1:24">
      <c r="A4916">
        <f>HYPERLINK("https://www.philgeps.gov.ph/GEPSNONPILOT/Tender/SplashBidNoticeAbstractUI.aspx?menuIndex=3&amp;refID=7148768&amp;Result=3","7148768")</f>
        <v>0</v>
      </c>
      <c r="B4916" t="s">
        <v>1799</v>
      </c>
      <c r="C4916" t="s">
        <v>8395</v>
      </c>
      <c r="D4916" t="s">
        <v>17995</v>
      </c>
      <c r="E4916" t="s">
        <v>22427</v>
      </c>
      <c r="F4916" t="s">
        <v>30900</v>
      </c>
      <c r="G4916" t="s">
        <v>30908</v>
      </c>
      <c r="H4916" t="s">
        <v>30916</v>
      </c>
      <c r="I4916" t="s">
        <v>30927</v>
      </c>
      <c r="J4916" t="s">
        <v>34327</v>
      </c>
      <c r="K4916" t="s">
        <v>40286</v>
      </c>
      <c r="M4916" t="s">
        <v>42473</v>
      </c>
      <c r="N4916" t="s">
        <v>44759</v>
      </c>
      <c r="O4916" t="s">
        <v>44760</v>
      </c>
      <c r="P4916">
        <v>0</v>
      </c>
      <c r="Q4916">
        <v>0</v>
      </c>
      <c r="R4916" t="s">
        <v>44764</v>
      </c>
      <c r="S4916" t="s">
        <v>44889</v>
      </c>
      <c r="T4916" t="s">
        <v>46658</v>
      </c>
      <c r="U4916" t="s">
        <v>51034</v>
      </c>
      <c r="V4916" t="s">
        <v>59628</v>
      </c>
      <c r="W4916" t="s">
        <v>42473</v>
      </c>
      <c r="X4916" t="s">
        <v>44765</v>
      </c>
    </row>
    <row r="4917" spans="1:24">
      <c r="A4917">
        <f>HYPERLINK("https://www.philgeps.gov.ph/GEPSNONPILOT/Tender/SplashBidNoticeAbstractUI.aspx?menuIndex=3&amp;refID=7126435&amp;Result=3","7126435")</f>
        <v>0</v>
      </c>
      <c r="B4917" t="s">
        <v>1817</v>
      </c>
      <c r="C4917" t="s">
        <v>8396</v>
      </c>
      <c r="D4917" t="s">
        <v>17961</v>
      </c>
      <c r="E4917" t="s">
        <v>18066</v>
      </c>
      <c r="F4917" t="s">
        <v>30900</v>
      </c>
      <c r="G4917" t="s">
        <v>30909</v>
      </c>
      <c r="H4917" t="s">
        <v>30916</v>
      </c>
      <c r="I4917" t="s">
        <v>4108</v>
      </c>
      <c r="J4917" t="s">
        <v>34328</v>
      </c>
      <c r="K4917" t="s">
        <v>40285</v>
      </c>
      <c r="M4917" t="s">
        <v>42490</v>
      </c>
      <c r="N4917" t="s">
        <v>44759</v>
      </c>
      <c r="O4917" t="s">
        <v>44760</v>
      </c>
      <c r="P4917">
        <v>0</v>
      </c>
      <c r="Q4917">
        <v>1</v>
      </c>
      <c r="R4917" t="s">
        <v>44765</v>
      </c>
      <c r="S4917" t="s">
        <v>44892</v>
      </c>
      <c r="T4917" t="s">
        <v>46374</v>
      </c>
      <c r="U4917" t="s">
        <v>51091</v>
      </c>
      <c r="W4917" t="s">
        <v>42490</v>
      </c>
      <c r="X4917" t="s">
        <v>44775</v>
      </c>
    </row>
    <row r="4918" spans="1:24">
      <c r="A4918">
        <f>HYPERLINK("https://www.philgeps.gov.ph/GEPSNONPILOT/Tender/SplashBidNoticeAbstractUI.aspx?menuIndex=3&amp;refID=7148766&amp;Result=3","7148766")</f>
        <v>0</v>
      </c>
      <c r="B4918" t="s">
        <v>1818</v>
      </c>
      <c r="C4918" t="s">
        <v>8397</v>
      </c>
      <c r="D4918" t="s">
        <v>17952</v>
      </c>
      <c r="E4918" t="s">
        <v>22428</v>
      </c>
      <c r="F4918" t="s">
        <v>30900</v>
      </c>
      <c r="G4918" t="s">
        <v>30909</v>
      </c>
      <c r="H4918" t="s">
        <v>30916</v>
      </c>
      <c r="I4918" t="s">
        <v>30934</v>
      </c>
      <c r="J4918" t="s">
        <v>31912</v>
      </c>
      <c r="K4918" t="s">
        <v>40283</v>
      </c>
      <c r="M4918" t="s">
        <v>42491</v>
      </c>
      <c r="N4918" t="s">
        <v>44759</v>
      </c>
      <c r="O4918" t="s">
        <v>44760</v>
      </c>
      <c r="P4918">
        <v>0</v>
      </c>
      <c r="Q4918">
        <v>0</v>
      </c>
      <c r="R4918" t="s">
        <v>44764</v>
      </c>
      <c r="S4918" t="s">
        <v>44889</v>
      </c>
      <c r="T4918" t="s">
        <v>46581</v>
      </c>
      <c r="U4918" t="s">
        <v>51092</v>
      </c>
      <c r="W4918" t="s">
        <v>42491</v>
      </c>
      <c r="X4918" t="s">
        <v>44765</v>
      </c>
    </row>
    <row r="4919" spans="1:24">
      <c r="A4919">
        <f>HYPERLINK("https://www.philgeps.gov.ph/GEPSNONPILOT/Tender/SplashBidNoticeAbstractUI.aspx?menuIndex=3&amp;refID=7148860&amp;Result=3","7148860")</f>
        <v>0</v>
      </c>
      <c r="B4919" t="s">
        <v>1399</v>
      </c>
      <c r="C4919" t="s">
        <v>8028</v>
      </c>
      <c r="D4919" t="s">
        <v>18017</v>
      </c>
      <c r="E4919" t="s">
        <v>22429</v>
      </c>
      <c r="F4919" t="s">
        <v>30900</v>
      </c>
      <c r="G4919" t="s">
        <v>30908</v>
      </c>
      <c r="H4919" t="s">
        <v>30916</v>
      </c>
      <c r="I4919" t="s">
        <v>30939</v>
      </c>
      <c r="J4919" t="s">
        <v>31066</v>
      </c>
      <c r="K4919" t="s">
        <v>40287</v>
      </c>
      <c r="M4919" t="s">
        <v>42358</v>
      </c>
      <c r="N4919" t="s">
        <v>44759</v>
      </c>
      <c r="O4919" t="s">
        <v>44760</v>
      </c>
      <c r="P4919">
        <v>0</v>
      </c>
      <c r="Q4919">
        <v>0</v>
      </c>
      <c r="R4919" t="s">
        <v>44764</v>
      </c>
      <c r="S4919" t="s">
        <v>44889</v>
      </c>
      <c r="T4919" t="s">
        <v>46418</v>
      </c>
      <c r="U4919" t="s">
        <v>51093</v>
      </c>
      <c r="W4919" t="s">
        <v>42358</v>
      </c>
      <c r="X4919" t="s">
        <v>44765</v>
      </c>
    </row>
    <row r="4920" spans="1:24">
      <c r="A4920">
        <f>HYPERLINK("https://www.philgeps.gov.ph/GEPSNONPILOT/Tender/SplashBidNoticeAbstractUI.aspx?menuIndex=3&amp;refID=7148792&amp;Result=3","7148792")</f>
        <v>0</v>
      </c>
      <c r="B4920" t="s">
        <v>1819</v>
      </c>
      <c r="C4920" t="s">
        <v>8398</v>
      </c>
      <c r="D4920" t="s">
        <v>17981</v>
      </c>
      <c r="E4920" t="s">
        <v>22430</v>
      </c>
      <c r="F4920" t="s">
        <v>30900</v>
      </c>
      <c r="G4920" t="s">
        <v>30907</v>
      </c>
      <c r="H4920" t="s">
        <v>30916</v>
      </c>
      <c r="I4920" t="s">
        <v>30918</v>
      </c>
      <c r="J4920" t="s">
        <v>34329</v>
      </c>
      <c r="K4920" t="s">
        <v>40288</v>
      </c>
      <c r="M4920" t="s">
        <v>42492</v>
      </c>
      <c r="N4920" t="s">
        <v>44759</v>
      </c>
      <c r="O4920" t="s">
        <v>44760</v>
      </c>
      <c r="P4920">
        <v>0</v>
      </c>
      <c r="Q4920">
        <v>8</v>
      </c>
      <c r="R4920" t="s">
        <v>44764</v>
      </c>
      <c r="S4920" t="s">
        <v>44889</v>
      </c>
      <c r="T4920" t="s">
        <v>46357</v>
      </c>
      <c r="U4920" t="s">
        <v>51094</v>
      </c>
      <c r="W4920" t="s">
        <v>42492</v>
      </c>
      <c r="X4920" t="s">
        <v>44765</v>
      </c>
    </row>
    <row r="4921" spans="1:24">
      <c r="A4921">
        <f>HYPERLINK("https://www.philgeps.gov.ph/GEPSNONPILOT/Tender/SplashBidNoticeAbstractUI.aspx?menuIndex=3&amp;refID=7147596&amp;Result=3","7147596")</f>
        <v>0</v>
      </c>
      <c r="B4921" t="s">
        <v>1820</v>
      </c>
      <c r="C4921" t="s">
        <v>4108</v>
      </c>
      <c r="D4921" t="s">
        <v>17959</v>
      </c>
      <c r="E4921" t="s">
        <v>22431</v>
      </c>
      <c r="F4921" t="s">
        <v>30900</v>
      </c>
      <c r="G4921" t="s">
        <v>30909</v>
      </c>
      <c r="H4921" t="s">
        <v>30916</v>
      </c>
      <c r="I4921" t="s">
        <v>4108</v>
      </c>
      <c r="J4921" t="s">
        <v>34330</v>
      </c>
      <c r="K4921" t="s">
        <v>40288</v>
      </c>
      <c r="M4921" t="s">
        <v>42493</v>
      </c>
      <c r="N4921" t="s">
        <v>44759</v>
      </c>
      <c r="O4921" t="s">
        <v>44760</v>
      </c>
      <c r="P4921">
        <v>0</v>
      </c>
      <c r="Q4921">
        <v>5</v>
      </c>
      <c r="R4921" t="s">
        <v>44765</v>
      </c>
      <c r="S4921" t="s">
        <v>44892</v>
      </c>
      <c r="T4921" t="s">
        <v>46410</v>
      </c>
      <c r="U4921" t="s">
        <v>51095</v>
      </c>
      <c r="V4921" t="s">
        <v>59631</v>
      </c>
      <c r="W4921" t="s">
        <v>42493</v>
      </c>
      <c r="X4921" t="s">
        <v>44767</v>
      </c>
    </row>
    <row r="4922" spans="1:24">
      <c r="A4922">
        <f>HYPERLINK("https://www.philgeps.gov.ph/GEPSNONPILOT/Tender/SplashBidNoticeAbstractUI.aspx?menuIndex=3&amp;refID=7146944&amp;Result=3","7146944")</f>
        <v>0</v>
      </c>
      <c r="B4922" t="s">
        <v>1821</v>
      </c>
      <c r="C4922" t="s">
        <v>8399</v>
      </c>
      <c r="E4922" t="s">
        <v>22432</v>
      </c>
      <c r="F4922" t="s">
        <v>30900</v>
      </c>
      <c r="G4922" t="s">
        <v>30908</v>
      </c>
      <c r="H4922" t="s">
        <v>30916</v>
      </c>
      <c r="I4922" t="s">
        <v>4545</v>
      </c>
      <c r="J4922" t="s">
        <v>33225</v>
      </c>
      <c r="K4922" t="s">
        <v>40284</v>
      </c>
      <c r="M4922" t="s">
        <v>42494</v>
      </c>
      <c r="N4922" t="s">
        <v>44759</v>
      </c>
      <c r="O4922" t="s">
        <v>44760</v>
      </c>
      <c r="P4922">
        <v>0</v>
      </c>
      <c r="Q4922">
        <v>0</v>
      </c>
      <c r="R4922" t="s">
        <v>44765</v>
      </c>
      <c r="S4922" t="s">
        <v>44892</v>
      </c>
      <c r="T4922" t="s">
        <v>46383</v>
      </c>
      <c r="U4922" t="s">
        <v>51096</v>
      </c>
      <c r="W4922" t="s">
        <v>42494</v>
      </c>
      <c r="X4922" t="s">
        <v>44767</v>
      </c>
    </row>
    <row r="4923" spans="1:24">
      <c r="A4923">
        <f>HYPERLINK("https://www.philgeps.gov.ph/GEPSNONPILOT/Tender/SplashBidNoticeAbstractUI.aspx?menuIndex=3&amp;refID=7146871&amp;Result=3","7146871")</f>
        <v>0</v>
      </c>
      <c r="B4923" t="s">
        <v>1821</v>
      </c>
      <c r="C4923" t="s">
        <v>8400</v>
      </c>
      <c r="D4923" t="s">
        <v>17973</v>
      </c>
      <c r="E4923" t="s">
        <v>22433</v>
      </c>
      <c r="F4923" t="s">
        <v>30900</v>
      </c>
      <c r="G4923" t="s">
        <v>30908</v>
      </c>
      <c r="H4923" t="s">
        <v>30916</v>
      </c>
      <c r="I4923" t="s">
        <v>4545</v>
      </c>
      <c r="J4923" t="s">
        <v>33325</v>
      </c>
      <c r="K4923" t="s">
        <v>40284</v>
      </c>
      <c r="M4923" t="s">
        <v>42494</v>
      </c>
      <c r="N4923" t="s">
        <v>44759</v>
      </c>
      <c r="O4923" t="s">
        <v>44760</v>
      </c>
      <c r="P4923">
        <v>0</v>
      </c>
      <c r="Q4923">
        <v>0</v>
      </c>
      <c r="R4923" t="s">
        <v>44765</v>
      </c>
      <c r="S4923" t="s">
        <v>44892</v>
      </c>
      <c r="T4923" t="s">
        <v>46383</v>
      </c>
      <c r="U4923" t="s">
        <v>51097</v>
      </c>
      <c r="V4923" t="s">
        <v>59632</v>
      </c>
      <c r="W4923" t="s">
        <v>42494</v>
      </c>
      <c r="X4923" t="s">
        <v>44767</v>
      </c>
    </row>
    <row r="4924" spans="1:24">
      <c r="A4924">
        <f>HYPERLINK("https://www.philgeps.gov.ph/GEPSNONPILOT/Tender/SplashBidNoticeAbstractUI.aspx?menuIndex=3&amp;refID=7148765&amp;Result=3","7148765")</f>
        <v>0</v>
      </c>
      <c r="B4924" t="s">
        <v>1799</v>
      </c>
      <c r="C4924" t="s">
        <v>8401</v>
      </c>
      <c r="D4924" t="s">
        <v>17995</v>
      </c>
      <c r="E4924" t="s">
        <v>22434</v>
      </c>
      <c r="F4924" t="s">
        <v>30900</v>
      </c>
      <c r="G4924" t="s">
        <v>30908</v>
      </c>
      <c r="H4924" t="s">
        <v>30916</v>
      </c>
      <c r="I4924" t="s">
        <v>6746</v>
      </c>
      <c r="J4924" t="s">
        <v>31355</v>
      </c>
      <c r="K4924" t="s">
        <v>40286</v>
      </c>
      <c r="M4924" t="s">
        <v>42473</v>
      </c>
      <c r="N4924" t="s">
        <v>44759</v>
      </c>
      <c r="O4924" t="s">
        <v>44760</v>
      </c>
      <c r="P4924">
        <v>0</v>
      </c>
      <c r="Q4924">
        <v>3</v>
      </c>
      <c r="R4924" t="s">
        <v>44764</v>
      </c>
      <c r="S4924" t="s">
        <v>44889</v>
      </c>
      <c r="T4924" t="s">
        <v>46658</v>
      </c>
      <c r="U4924" t="s">
        <v>51034</v>
      </c>
      <c r="V4924" t="s">
        <v>59628</v>
      </c>
      <c r="W4924" t="s">
        <v>42473</v>
      </c>
      <c r="X4924" t="s">
        <v>44765</v>
      </c>
    </row>
    <row r="4925" spans="1:24">
      <c r="A4925">
        <f>HYPERLINK("https://www.philgeps.gov.ph/GEPSNONPILOT/Tender/SplashBidNoticeAbstractUI.aspx?menuIndex=3&amp;refID=7146830&amp;Result=3","7146830")</f>
        <v>0</v>
      </c>
      <c r="B4925" t="s">
        <v>1822</v>
      </c>
      <c r="C4925" t="s">
        <v>8402</v>
      </c>
      <c r="D4925" t="s">
        <v>18033</v>
      </c>
      <c r="E4925" t="s">
        <v>22435</v>
      </c>
      <c r="F4925" t="s">
        <v>30900</v>
      </c>
      <c r="G4925" t="s">
        <v>30907</v>
      </c>
      <c r="H4925" t="s">
        <v>30916</v>
      </c>
      <c r="I4925" t="s">
        <v>31022</v>
      </c>
      <c r="J4925" t="s">
        <v>34331</v>
      </c>
      <c r="K4925" t="s">
        <v>40291</v>
      </c>
      <c r="M4925" t="s">
        <v>42495</v>
      </c>
      <c r="N4925" t="s">
        <v>44759</v>
      </c>
      <c r="O4925" t="s">
        <v>44760</v>
      </c>
      <c r="P4925">
        <v>0</v>
      </c>
      <c r="Q4925">
        <v>0</v>
      </c>
      <c r="R4925" t="s">
        <v>44765</v>
      </c>
      <c r="S4925" t="s">
        <v>44892</v>
      </c>
      <c r="T4925" t="s">
        <v>46389</v>
      </c>
      <c r="U4925" t="s">
        <v>51098</v>
      </c>
      <c r="W4925" t="s">
        <v>42495</v>
      </c>
      <c r="X4925" t="s">
        <v>44767</v>
      </c>
    </row>
    <row r="4926" spans="1:24">
      <c r="A4926">
        <f>HYPERLINK("https://www.philgeps.gov.ph/GEPSNONPILOT/Tender/SplashBidNoticeAbstractUI.aspx?menuIndex=3&amp;refID=7146761&amp;Result=3","7146761")</f>
        <v>0</v>
      </c>
      <c r="B4926" t="s">
        <v>1821</v>
      </c>
      <c r="C4926" t="s">
        <v>8403</v>
      </c>
      <c r="D4926" t="s">
        <v>17973</v>
      </c>
      <c r="E4926" t="s">
        <v>22436</v>
      </c>
      <c r="F4926" t="s">
        <v>30900</v>
      </c>
      <c r="G4926" t="s">
        <v>30908</v>
      </c>
      <c r="H4926" t="s">
        <v>30916</v>
      </c>
      <c r="I4926" t="s">
        <v>8044</v>
      </c>
      <c r="J4926" t="s">
        <v>31257</v>
      </c>
      <c r="K4926" t="s">
        <v>40284</v>
      </c>
      <c r="M4926" t="s">
        <v>42494</v>
      </c>
      <c r="N4926" t="s">
        <v>44759</v>
      </c>
      <c r="O4926" t="s">
        <v>44760</v>
      </c>
      <c r="P4926">
        <v>0</v>
      </c>
      <c r="Q4926">
        <v>1</v>
      </c>
      <c r="R4926" t="s">
        <v>44765</v>
      </c>
      <c r="S4926" t="s">
        <v>44892</v>
      </c>
      <c r="T4926" t="s">
        <v>46383</v>
      </c>
      <c r="U4926" t="s">
        <v>51099</v>
      </c>
      <c r="V4926" t="s">
        <v>59633</v>
      </c>
      <c r="W4926" t="s">
        <v>42494</v>
      </c>
      <c r="X4926" t="s">
        <v>44767</v>
      </c>
    </row>
    <row r="4927" spans="1:24">
      <c r="A4927">
        <f>HYPERLINK("https://www.philgeps.gov.ph/GEPSNONPILOT/Tender/SplashBidNoticeAbstractUI.aspx?menuIndex=3&amp;refID=7147634&amp;Result=3","7147634")</f>
        <v>0</v>
      </c>
      <c r="B4927" t="s">
        <v>1008</v>
      </c>
      <c r="C4927" t="s">
        <v>8404</v>
      </c>
      <c r="D4927" t="s">
        <v>17993</v>
      </c>
      <c r="E4927" t="s">
        <v>22437</v>
      </c>
      <c r="F4927" t="s">
        <v>30900</v>
      </c>
      <c r="G4927" t="s">
        <v>30908</v>
      </c>
      <c r="H4927" t="s">
        <v>30915</v>
      </c>
      <c r="I4927" t="s">
        <v>30919</v>
      </c>
      <c r="J4927" t="s">
        <v>34332</v>
      </c>
      <c r="K4927" t="s">
        <v>40286</v>
      </c>
      <c r="M4927" t="s">
        <v>41597</v>
      </c>
      <c r="N4927" t="s">
        <v>44759</v>
      </c>
      <c r="O4927" t="s">
        <v>44760</v>
      </c>
      <c r="P4927">
        <v>0</v>
      </c>
      <c r="Q4927">
        <v>0</v>
      </c>
      <c r="R4927" t="s">
        <v>44765</v>
      </c>
      <c r="S4927" t="s">
        <v>44892</v>
      </c>
      <c r="T4927" t="s">
        <v>46585</v>
      </c>
      <c r="U4927" t="s">
        <v>51100</v>
      </c>
      <c r="W4927" t="s">
        <v>41597</v>
      </c>
      <c r="X4927" t="s">
        <v>44767</v>
      </c>
    </row>
    <row r="4928" spans="1:24">
      <c r="A4928">
        <f>HYPERLINK("https://www.philgeps.gov.ph/GEPSNONPILOT/Tender/SplashBidNoticeAbstractUI.aspx?menuIndex=3&amp;refID=7145995&amp;Result=3","7145995")</f>
        <v>0</v>
      </c>
      <c r="B4928" t="s">
        <v>1823</v>
      </c>
      <c r="C4928" t="s">
        <v>8405</v>
      </c>
      <c r="D4928" t="s">
        <v>17959</v>
      </c>
      <c r="E4928" t="s">
        <v>22438</v>
      </c>
      <c r="F4928" t="s">
        <v>30900</v>
      </c>
      <c r="G4928" t="s">
        <v>30907</v>
      </c>
      <c r="H4928" t="s">
        <v>30916</v>
      </c>
      <c r="I4928" t="s">
        <v>31023</v>
      </c>
      <c r="J4928" t="s">
        <v>31247</v>
      </c>
      <c r="K4928" t="s">
        <v>40289</v>
      </c>
      <c r="M4928" t="s">
        <v>42496</v>
      </c>
      <c r="N4928" t="s">
        <v>44759</v>
      </c>
      <c r="O4928" t="s">
        <v>44760</v>
      </c>
      <c r="P4928">
        <v>0</v>
      </c>
      <c r="Q4928">
        <v>3</v>
      </c>
      <c r="R4928" t="s">
        <v>44765</v>
      </c>
      <c r="S4928" t="s">
        <v>44892</v>
      </c>
      <c r="T4928" t="s">
        <v>46486</v>
      </c>
      <c r="U4928" t="s">
        <v>51101</v>
      </c>
      <c r="V4928" t="s">
        <v>59634</v>
      </c>
      <c r="W4928" t="s">
        <v>42496</v>
      </c>
      <c r="X4928" t="s">
        <v>44767</v>
      </c>
    </row>
    <row r="4929" spans="1:24">
      <c r="A4929">
        <f>HYPERLINK("https://www.philgeps.gov.ph/GEPSNONPILOT/Tender/SplashBidNoticeAbstractUI.aspx?menuIndex=3&amp;refID=7148863&amp;Result=3","7148863")</f>
        <v>0</v>
      </c>
      <c r="B4929" t="s">
        <v>1399</v>
      </c>
      <c r="C4929" t="s">
        <v>8406</v>
      </c>
      <c r="D4929" t="s">
        <v>18017</v>
      </c>
      <c r="E4929" t="s">
        <v>22439</v>
      </c>
      <c r="F4929" t="s">
        <v>30900</v>
      </c>
      <c r="G4929" t="s">
        <v>30908</v>
      </c>
      <c r="H4929" t="s">
        <v>30916</v>
      </c>
      <c r="I4929" t="s">
        <v>5830</v>
      </c>
      <c r="J4929" t="s">
        <v>34333</v>
      </c>
      <c r="K4929" t="s">
        <v>40287</v>
      </c>
      <c r="M4929" t="s">
        <v>42358</v>
      </c>
      <c r="N4929" t="s">
        <v>44759</v>
      </c>
      <c r="O4929" t="s">
        <v>44760</v>
      </c>
      <c r="P4929">
        <v>0</v>
      </c>
      <c r="Q4929">
        <v>0</v>
      </c>
      <c r="R4929" t="s">
        <v>44764</v>
      </c>
      <c r="S4929" t="s">
        <v>44889</v>
      </c>
      <c r="T4929" t="s">
        <v>46418</v>
      </c>
      <c r="U4929" t="s">
        <v>51102</v>
      </c>
      <c r="W4929" t="s">
        <v>42358</v>
      </c>
      <c r="X4929" t="s">
        <v>44765</v>
      </c>
    </row>
    <row r="4930" spans="1:24">
      <c r="A4930">
        <f>HYPERLINK("https://www.philgeps.gov.ph/GEPSNONPILOT/Tender/SplashBidNoticeAbstractUI.aspx?menuIndex=3&amp;refID=7147898&amp;Result=3","7147898")</f>
        <v>0</v>
      </c>
      <c r="B4930" t="s">
        <v>417</v>
      </c>
      <c r="C4930" t="s">
        <v>8407</v>
      </c>
      <c r="D4930" t="s">
        <v>17966</v>
      </c>
      <c r="E4930" t="s">
        <v>22440</v>
      </c>
      <c r="F4930" t="s">
        <v>30900</v>
      </c>
      <c r="G4930" t="s">
        <v>30908</v>
      </c>
      <c r="H4930" t="s">
        <v>30916</v>
      </c>
      <c r="I4930" t="s">
        <v>5501</v>
      </c>
      <c r="J4930" t="s">
        <v>34334</v>
      </c>
      <c r="K4930" t="s">
        <v>40283</v>
      </c>
      <c r="M4930" t="s">
        <v>40973</v>
      </c>
      <c r="N4930" t="s">
        <v>44759</v>
      </c>
      <c r="O4930" t="s">
        <v>44760</v>
      </c>
      <c r="P4930">
        <v>0</v>
      </c>
      <c r="Q4930">
        <v>3</v>
      </c>
      <c r="R4930" t="s">
        <v>44765</v>
      </c>
      <c r="S4930" t="s">
        <v>44892</v>
      </c>
      <c r="T4930" t="s">
        <v>46700</v>
      </c>
      <c r="U4930" t="s">
        <v>51103</v>
      </c>
      <c r="W4930" t="s">
        <v>40973</v>
      </c>
      <c r="X4930" t="s">
        <v>44767</v>
      </c>
    </row>
    <row r="4931" spans="1:24">
      <c r="A4931">
        <f>HYPERLINK("https://www.philgeps.gov.ph/GEPSNONPILOT/Tender/SplashBidNoticeAbstractUI.aspx?menuIndex=3&amp;refID=7145316&amp;Result=3","7145316")</f>
        <v>0</v>
      </c>
      <c r="B4931" t="s">
        <v>1824</v>
      </c>
      <c r="C4931" t="s">
        <v>8408</v>
      </c>
      <c r="D4931" t="s">
        <v>18002</v>
      </c>
      <c r="E4931" t="s">
        <v>22441</v>
      </c>
      <c r="F4931" t="s">
        <v>30900</v>
      </c>
      <c r="G4931" t="s">
        <v>30906</v>
      </c>
      <c r="H4931" t="s">
        <v>30916</v>
      </c>
      <c r="I4931" t="s">
        <v>8123</v>
      </c>
      <c r="J4931" t="s">
        <v>34335</v>
      </c>
      <c r="K4931" t="s">
        <v>40287</v>
      </c>
      <c r="M4931" t="s">
        <v>42497</v>
      </c>
      <c r="N4931" t="s">
        <v>44759</v>
      </c>
      <c r="O4931" t="s">
        <v>44760</v>
      </c>
      <c r="P4931">
        <v>0</v>
      </c>
      <c r="Q4931">
        <v>2</v>
      </c>
      <c r="R4931" t="s">
        <v>44765</v>
      </c>
      <c r="S4931" t="s">
        <v>44892</v>
      </c>
      <c r="T4931" t="s">
        <v>46607</v>
      </c>
      <c r="U4931" t="s">
        <v>51104</v>
      </c>
      <c r="V4931" t="s">
        <v>59635</v>
      </c>
      <c r="W4931" t="s">
        <v>42497</v>
      </c>
      <c r="X4931" t="s">
        <v>44767</v>
      </c>
    </row>
    <row r="4932" spans="1:24">
      <c r="A4932">
        <f>HYPERLINK("https://www.philgeps.gov.ph/GEPSNONPILOT/Tender/SplashBidNoticeAbstractUI.aspx?menuIndex=3&amp;refID=7146010&amp;Result=3","7146010")</f>
        <v>0</v>
      </c>
      <c r="B4932" t="s">
        <v>1823</v>
      </c>
      <c r="C4932" t="s">
        <v>8409</v>
      </c>
      <c r="D4932" t="s">
        <v>17959</v>
      </c>
      <c r="E4932" t="s">
        <v>22438</v>
      </c>
      <c r="F4932" t="s">
        <v>30900</v>
      </c>
      <c r="G4932" t="s">
        <v>30907</v>
      </c>
      <c r="H4932" t="s">
        <v>30916</v>
      </c>
      <c r="I4932" t="s">
        <v>31023</v>
      </c>
      <c r="J4932" t="s">
        <v>34336</v>
      </c>
      <c r="K4932" t="s">
        <v>40289</v>
      </c>
      <c r="M4932" t="s">
        <v>42496</v>
      </c>
      <c r="N4932" t="s">
        <v>44759</v>
      </c>
      <c r="O4932" t="s">
        <v>44760</v>
      </c>
      <c r="P4932">
        <v>0</v>
      </c>
      <c r="Q4932">
        <v>4</v>
      </c>
      <c r="R4932" t="s">
        <v>44765</v>
      </c>
      <c r="S4932" t="s">
        <v>44892</v>
      </c>
      <c r="T4932" t="s">
        <v>46486</v>
      </c>
      <c r="U4932" t="s">
        <v>51105</v>
      </c>
      <c r="V4932" t="s">
        <v>59634</v>
      </c>
      <c r="W4932" t="s">
        <v>42496</v>
      </c>
      <c r="X4932" t="s">
        <v>44767</v>
      </c>
    </row>
    <row r="4933" spans="1:24">
      <c r="A4933">
        <f>HYPERLINK("https://www.philgeps.gov.ph/GEPSNONPILOT/Tender/SplashBidNoticeAbstractUI.aspx?menuIndex=3&amp;refID=7148193&amp;Result=3","7148193")</f>
        <v>0</v>
      </c>
      <c r="B4933" t="s">
        <v>1825</v>
      </c>
      <c r="C4933" t="s">
        <v>8410</v>
      </c>
      <c r="E4933" t="s">
        <v>20459</v>
      </c>
      <c r="F4933" t="s">
        <v>30900</v>
      </c>
      <c r="G4933" t="s">
        <v>30908</v>
      </c>
      <c r="H4933" t="s">
        <v>30916</v>
      </c>
      <c r="I4933" t="s">
        <v>8365</v>
      </c>
      <c r="J4933" t="s">
        <v>34337</v>
      </c>
      <c r="K4933" t="s">
        <v>40289</v>
      </c>
      <c r="M4933" t="s">
        <v>42498</v>
      </c>
      <c r="N4933" t="s">
        <v>44759</v>
      </c>
      <c r="O4933" t="s">
        <v>44760</v>
      </c>
      <c r="P4933">
        <v>0</v>
      </c>
      <c r="Q4933">
        <v>0</v>
      </c>
      <c r="R4933" t="s">
        <v>44765</v>
      </c>
      <c r="S4933" t="s">
        <v>44892</v>
      </c>
      <c r="T4933" t="s">
        <v>46400</v>
      </c>
      <c r="U4933" t="s">
        <v>51106</v>
      </c>
      <c r="W4933" t="s">
        <v>42498</v>
      </c>
      <c r="X4933" t="s">
        <v>44766</v>
      </c>
    </row>
    <row r="4934" spans="1:24">
      <c r="A4934">
        <f>HYPERLINK("https://www.philgeps.gov.ph/GEPSNONPILOT/Tender/SplashBidNoticeAbstractUI.aspx?menuIndex=3&amp;refID=7143855&amp;Result=3","7143855")</f>
        <v>0</v>
      </c>
      <c r="B4934" t="s">
        <v>641</v>
      </c>
      <c r="C4934" t="s">
        <v>8411</v>
      </c>
      <c r="D4934" t="s">
        <v>18015</v>
      </c>
      <c r="E4934" t="s">
        <v>22442</v>
      </c>
      <c r="F4934" t="s">
        <v>30900</v>
      </c>
      <c r="G4934" t="s">
        <v>30907</v>
      </c>
      <c r="H4934" t="s">
        <v>30916</v>
      </c>
      <c r="I4934" t="s">
        <v>8123</v>
      </c>
      <c r="J4934" t="s">
        <v>34338</v>
      </c>
      <c r="K4934" t="s">
        <v>40285</v>
      </c>
      <c r="M4934" t="s">
        <v>41204</v>
      </c>
      <c r="N4934" t="s">
        <v>44759</v>
      </c>
      <c r="O4934" t="s">
        <v>44760</v>
      </c>
      <c r="P4934">
        <v>0</v>
      </c>
      <c r="Q4934">
        <v>0</v>
      </c>
      <c r="R4934" t="s">
        <v>44765</v>
      </c>
      <c r="S4934" t="s">
        <v>44892</v>
      </c>
      <c r="T4934" t="s">
        <v>46376</v>
      </c>
      <c r="U4934" t="s">
        <v>48073</v>
      </c>
      <c r="W4934" t="s">
        <v>41204</v>
      </c>
      <c r="X4934" t="s">
        <v>44768</v>
      </c>
    </row>
    <row r="4935" spans="1:24">
      <c r="A4935">
        <f>HYPERLINK("https://www.philgeps.gov.ph/GEPSNONPILOT/Tender/SplashBidNoticeAbstractUI.aspx?menuIndex=3&amp;refID=7148182&amp;Result=3","7148182")</f>
        <v>0</v>
      </c>
      <c r="B4935" t="s">
        <v>188</v>
      </c>
      <c r="C4935" t="s">
        <v>8412</v>
      </c>
      <c r="D4935" t="s">
        <v>17992</v>
      </c>
      <c r="E4935" t="s">
        <v>22443</v>
      </c>
      <c r="F4935" t="s">
        <v>30900</v>
      </c>
      <c r="G4935" t="s">
        <v>30907</v>
      </c>
      <c r="H4935" t="s">
        <v>30916</v>
      </c>
      <c r="I4935" t="s">
        <v>30923</v>
      </c>
      <c r="J4935" t="s">
        <v>34339</v>
      </c>
      <c r="K4935" t="s">
        <v>40287</v>
      </c>
      <c r="M4935" t="s">
        <v>40735</v>
      </c>
      <c r="N4935" t="s">
        <v>44759</v>
      </c>
      <c r="O4935" t="s">
        <v>44760</v>
      </c>
      <c r="P4935">
        <v>0</v>
      </c>
      <c r="Q4935">
        <v>10</v>
      </c>
      <c r="R4935" t="s">
        <v>44765</v>
      </c>
      <c r="S4935" t="s">
        <v>44892</v>
      </c>
      <c r="T4935" t="s">
        <v>46412</v>
      </c>
      <c r="U4935" t="s">
        <v>51107</v>
      </c>
      <c r="V4935" t="s">
        <v>59636</v>
      </c>
      <c r="W4935" t="s">
        <v>40735</v>
      </c>
      <c r="X4935" t="s">
        <v>44766</v>
      </c>
    </row>
    <row r="4936" spans="1:24">
      <c r="A4936">
        <f>HYPERLINK("https://www.philgeps.gov.ph/GEPSNONPILOT/Tender/SplashBidNoticeAbstractUI.aspx?menuIndex=3&amp;refID=7146021&amp;Result=3","7146021")</f>
        <v>0</v>
      </c>
      <c r="B4936" t="s">
        <v>1823</v>
      </c>
      <c r="C4936" t="s">
        <v>8413</v>
      </c>
      <c r="D4936" t="s">
        <v>17959</v>
      </c>
      <c r="E4936" t="s">
        <v>22438</v>
      </c>
      <c r="F4936" t="s">
        <v>30900</v>
      </c>
      <c r="G4936" t="s">
        <v>30907</v>
      </c>
      <c r="H4936" t="s">
        <v>30916</v>
      </c>
      <c r="I4936" t="s">
        <v>31023</v>
      </c>
      <c r="J4936" t="s">
        <v>33532</v>
      </c>
      <c r="K4936" t="s">
        <v>40289</v>
      </c>
      <c r="M4936" t="s">
        <v>42496</v>
      </c>
      <c r="N4936" t="s">
        <v>44759</v>
      </c>
      <c r="O4936" t="s">
        <v>44760</v>
      </c>
      <c r="P4936">
        <v>0</v>
      </c>
      <c r="Q4936">
        <v>2</v>
      </c>
      <c r="R4936" t="s">
        <v>44765</v>
      </c>
      <c r="S4936" t="s">
        <v>44892</v>
      </c>
      <c r="T4936" t="s">
        <v>46486</v>
      </c>
      <c r="U4936" t="s">
        <v>51108</v>
      </c>
      <c r="V4936" t="s">
        <v>59634</v>
      </c>
      <c r="W4936" t="s">
        <v>42496</v>
      </c>
      <c r="X4936" t="s">
        <v>44767</v>
      </c>
    </row>
    <row r="4937" spans="1:24">
      <c r="A4937">
        <f>HYPERLINK("https://www.philgeps.gov.ph/GEPSNONPILOT/Tender/SplashBidNoticeAbstractUI.aspx?menuIndex=3&amp;refID=7148178&amp;Result=3","7148178")</f>
        <v>0</v>
      </c>
      <c r="B4937" t="s">
        <v>1649</v>
      </c>
      <c r="C4937" t="s">
        <v>7932</v>
      </c>
      <c r="D4937" t="s">
        <v>18021</v>
      </c>
      <c r="E4937" t="s">
        <v>22444</v>
      </c>
      <c r="F4937" t="s">
        <v>30900</v>
      </c>
      <c r="G4937" t="s">
        <v>30907</v>
      </c>
      <c r="H4937" t="s">
        <v>30916</v>
      </c>
      <c r="I4937" t="s">
        <v>8123</v>
      </c>
      <c r="J4937" t="s">
        <v>34340</v>
      </c>
      <c r="K4937" t="s">
        <v>40286</v>
      </c>
      <c r="M4937" t="s">
        <v>42305</v>
      </c>
      <c r="N4937" t="s">
        <v>44759</v>
      </c>
      <c r="O4937" t="s">
        <v>44760</v>
      </c>
      <c r="P4937">
        <v>0</v>
      </c>
      <c r="Q4937">
        <v>0</v>
      </c>
      <c r="R4937" t="s">
        <v>44765</v>
      </c>
      <c r="S4937" t="s">
        <v>44892</v>
      </c>
      <c r="T4937" t="s">
        <v>46376</v>
      </c>
      <c r="U4937" t="s">
        <v>51109</v>
      </c>
      <c r="W4937" t="s">
        <v>42305</v>
      </c>
      <c r="X4937" t="s">
        <v>44766</v>
      </c>
    </row>
    <row r="4938" spans="1:24">
      <c r="A4938">
        <f>HYPERLINK("https://www.philgeps.gov.ph/GEPSNONPILOT/Tender/SplashBidNoticeAbstractUI.aspx?menuIndex=3&amp;refID=7148176&amp;Result=3","7148176")</f>
        <v>0</v>
      </c>
      <c r="B4938" t="s">
        <v>1826</v>
      </c>
      <c r="C4938" t="s">
        <v>8414</v>
      </c>
      <c r="D4938" t="s">
        <v>17951</v>
      </c>
      <c r="E4938" t="s">
        <v>22234</v>
      </c>
      <c r="F4938" t="s">
        <v>30900</v>
      </c>
      <c r="G4938" t="s">
        <v>30907</v>
      </c>
      <c r="H4938" t="s">
        <v>30916</v>
      </c>
      <c r="I4938" t="s">
        <v>30923</v>
      </c>
      <c r="J4938" t="s">
        <v>31391</v>
      </c>
      <c r="K4938" t="s">
        <v>40286</v>
      </c>
      <c r="M4938" t="s">
        <v>42499</v>
      </c>
      <c r="N4938" t="s">
        <v>44759</v>
      </c>
      <c r="O4938" t="s">
        <v>44760</v>
      </c>
      <c r="P4938">
        <v>0</v>
      </c>
      <c r="Q4938">
        <v>3</v>
      </c>
      <c r="R4938" t="s">
        <v>44765</v>
      </c>
      <c r="S4938" t="s">
        <v>44892</v>
      </c>
      <c r="T4938" t="s">
        <v>46357</v>
      </c>
      <c r="U4938" t="s">
        <v>51110</v>
      </c>
      <c r="W4938" t="s">
        <v>42499</v>
      </c>
      <c r="X4938" t="s">
        <v>44766</v>
      </c>
    </row>
    <row r="4939" spans="1:24">
      <c r="A4939">
        <f>HYPERLINK("https://www.philgeps.gov.ph/GEPSNONPILOT/Tender/SplashBidNoticeAbstractUI.aspx?menuIndex=3&amp;refID=7148172&amp;Result=3","7148172")</f>
        <v>0</v>
      </c>
      <c r="B4939" t="s">
        <v>1827</v>
      </c>
      <c r="C4939" t="s">
        <v>8415</v>
      </c>
      <c r="D4939" t="s">
        <v>17973</v>
      </c>
      <c r="E4939" t="s">
        <v>22445</v>
      </c>
      <c r="F4939" t="s">
        <v>30900</v>
      </c>
      <c r="G4939" t="s">
        <v>30907</v>
      </c>
      <c r="H4939" t="s">
        <v>30915</v>
      </c>
      <c r="I4939" t="s">
        <v>30919</v>
      </c>
      <c r="J4939" t="s">
        <v>31049</v>
      </c>
      <c r="K4939" t="s">
        <v>40293</v>
      </c>
      <c r="M4939" t="s">
        <v>42500</v>
      </c>
      <c r="N4939" t="s">
        <v>44759</v>
      </c>
      <c r="O4939" t="s">
        <v>44760</v>
      </c>
      <c r="P4939">
        <v>0</v>
      </c>
      <c r="Q4939">
        <v>0</v>
      </c>
      <c r="R4939" t="s">
        <v>44765</v>
      </c>
      <c r="S4939" t="s">
        <v>44892</v>
      </c>
      <c r="T4939" t="s">
        <v>46405</v>
      </c>
      <c r="U4939" t="s">
        <v>51111</v>
      </c>
      <c r="V4939" t="s">
        <v>59637</v>
      </c>
      <c r="W4939" t="s">
        <v>42500</v>
      </c>
      <c r="X4939" t="s">
        <v>44766</v>
      </c>
    </row>
    <row r="4940" spans="1:24">
      <c r="A4940">
        <f>HYPERLINK("https://www.philgeps.gov.ph/GEPSNONPILOT/Tender/SplashBidNoticeAbstractUI.aspx?menuIndex=3&amp;refID=7144303&amp;Result=3","7144303")</f>
        <v>0</v>
      </c>
      <c r="B4940" t="s">
        <v>1828</v>
      </c>
      <c r="C4940" t="s">
        <v>8416</v>
      </c>
      <c r="E4940" t="s">
        <v>22446</v>
      </c>
      <c r="F4940" t="s">
        <v>30900</v>
      </c>
      <c r="G4940" t="s">
        <v>30907</v>
      </c>
      <c r="H4940" t="s">
        <v>30915</v>
      </c>
      <c r="I4940" t="s">
        <v>30919</v>
      </c>
      <c r="J4940" t="s">
        <v>34341</v>
      </c>
      <c r="K4940" t="s">
        <v>40289</v>
      </c>
      <c r="M4940" t="s">
        <v>42501</v>
      </c>
      <c r="N4940" t="s">
        <v>44759</v>
      </c>
      <c r="O4940" t="s">
        <v>44760</v>
      </c>
      <c r="P4940">
        <v>0</v>
      </c>
      <c r="Q4940">
        <v>0</v>
      </c>
      <c r="R4940" t="s">
        <v>44765</v>
      </c>
      <c r="S4940" t="s">
        <v>44892</v>
      </c>
      <c r="T4940" t="s">
        <v>46399</v>
      </c>
      <c r="U4940" t="s">
        <v>51112</v>
      </c>
      <c r="W4940" t="s">
        <v>42501</v>
      </c>
      <c r="X4940" t="s">
        <v>44768</v>
      </c>
    </row>
    <row r="4941" spans="1:24">
      <c r="A4941">
        <f>HYPERLINK("https://www.philgeps.gov.ph/GEPSNONPILOT/Tender/SplashBidNoticeAbstractUI.aspx?menuIndex=3&amp;refID=7148170&amp;Result=3","7148170")</f>
        <v>0</v>
      </c>
      <c r="B4941" t="s">
        <v>1829</v>
      </c>
      <c r="C4941" t="s">
        <v>5049</v>
      </c>
      <c r="D4941" t="s">
        <v>17955</v>
      </c>
      <c r="E4941" t="s">
        <v>22447</v>
      </c>
      <c r="F4941" t="s">
        <v>30900</v>
      </c>
      <c r="G4941" t="s">
        <v>30908</v>
      </c>
      <c r="H4941" t="s">
        <v>30916</v>
      </c>
      <c r="I4941" t="s">
        <v>30923</v>
      </c>
      <c r="J4941" t="s">
        <v>32341</v>
      </c>
      <c r="K4941" t="s">
        <v>40289</v>
      </c>
      <c r="M4941" t="s">
        <v>42502</v>
      </c>
      <c r="N4941" t="s">
        <v>44759</v>
      </c>
      <c r="O4941" t="s">
        <v>44760</v>
      </c>
      <c r="P4941">
        <v>0</v>
      </c>
      <c r="Q4941">
        <v>9</v>
      </c>
      <c r="R4941" t="s">
        <v>44765</v>
      </c>
      <c r="S4941" t="s">
        <v>44892</v>
      </c>
      <c r="T4941" t="s">
        <v>46571</v>
      </c>
      <c r="U4941" t="s">
        <v>51113</v>
      </c>
      <c r="W4941" t="s">
        <v>42502</v>
      </c>
      <c r="X4941" t="s">
        <v>44766</v>
      </c>
    </row>
    <row r="4942" spans="1:24">
      <c r="A4942">
        <f>HYPERLINK("https://www.philgeps.gov.ph/GEPSNONPILOT/Tender/SplashBidNoticeAbstractUI.aspx?menuIndex=3&amp;refID=7148145&amp;Result=3","7148145")</f>
        <v>0</v>
      </c>
      <c r="B4942" t="s">
        <v>1653</v>
      </c>
      <c r="C4942" t="s">
        <v>7946</v>
      </c>
      <c r="D4942" t="s">
        <v>17961</v>
      </c>
      <c r="E4942" t="s">
        <v>22034</v>
      </c>
      <c r="F4942" t="s">
        <v>30899</v>
      </c>
      <c r="G4942" t="s">
        <v>30909</v>
      </c>
      <c r="H4942" t="s">
        <v>30916</v>
      </c>
      <c r="I4942" t="s">
        <v>4142</v>
      </c>
      <c r="J4942" t="s">
        <v>31498</v>
      </c>
      <c r="K4942" t="s">
        <v>40287</v>
      </c>
      <c r="M4942" t="s">
        <v>42309</v>
      </c>
      <c r="N4942" t="s">
        <v>44759</v>
      </c>
      <c r="O4942" t="s">
        <v>44760</v>
      </c>
      <c r="P4942">
        <v>0</v>
      </c>
      <c r="Q4942">
        <v>0</v>
      </c>
      <c r="R4942" t="s">
        <v>44765</v>
      </c>
      <c r="S4942" t="s">
        <v>44892</v>
      </c>
      <c r="T4942" t="s">
        <v>46571</v>
      </c>
      <c r="U4942" t="s">
        <v>51114</v>
      </c>
      <c r="W4942" t="s">
        <v>42309</v>
      </c>
      <c r="X4942" t="s">
        <v>44766</v>
      </c>
    </row>
    <row r="4943" spans="1:24">
      <c r="A4943">
        <f>HYPERLINK("https://www.philgeps.gov.ph/GEPSNONPILOT/Tender/SplashBidNoticeAbstractUI.aspx?menuIndex=3&amp;refID=7148143&amp;Result=3","7148143")</f>
        <v>0</v>
      </c>
      <c r="B4943" t="s">
        <v>1830</v>
      </c>
      <c r="C4943" t="s">
        <v>8417</v>
      </c>
      <c r="E4943" t="s">
        <v>18615</v>
      </c>
      <c r="F4943" t="s">
        <v>30904</v>
      </c>
      <c r="G4943" t="s">
        <v>30910</v>
      </c>
      <c r="H4943" t="s">
        <v>30916</v>
      </c>
      <c r="I4943" t="s">
        <v>6396</v>
      </c>
      <c r="J4943" t="s">
        <v>32163</v>
      </c>
      <c r="K4943" t="s">
        <v>40289</v>
      </c>
      <c r="M4943" t="s">
        <v>42503</v>
      </c>
      <c r="N4943" t="s">
        <v>44759</v>
      </c>
      <c r="O4943" t="s">
        <v>44760</v>
      </c>
      <c r="P4943">
        <v>0</v>
      </c>
      <c r="Q4943">
        <v>0</v>
      </c>
      <c r="R4943" t="s">
        <v>44765</v>
      </c>
      <c r="S4943" t="s">
        <v>44892</v>
      </c>
      <c r="T4943" t="s">
        <v>46485</v>
      </c>
      <c r="U4943" t="s">
        <v>51115</v>
      </c>
      <c r="W4943" t="s">
        <v>42503</v>
      </c>
      <c r="X4943" t="s">
        <v>44766</v>
      </c>
    </row>
    <row r="4944" spans="1:24">
      <c r="A4944">
        <f>HYPERLINK("https://www.philgeps.gov.ph/GEPSNONPILOT/Tender/SplashBidNoticeAbstractUI.aspx?menuIndex=3&amp;refID=7148131&amp;Result=3","7148131")</f>
        <v>0</v>
      </c>
      <c r="B4944" t="s">
        <v>1831</v>
      </c>
      <c r="C4944" t="s">
        <v>8418</v>
      </c>
      <c r="D4944" t="s">
        <v>18015</v>
      </c>
      <c r="E4944" t="s">
        <v>22448</v>
      </c>
      <c r="F4944" t="s">
        <v>30900</v>
      </c>
      <c r="G4944" t="s">
        <v>30906</v>
      </c>
      <c r="H4944" t="s">
        <v>30916</v>
      </c>
      <c r="I4944" t="s">
        <v>4108</v>
      </c>
      <c r="J4944" t="s">
        <v>34342</v>
      </c>
      <c r="K4944" t="s">
        <v>40289</v>
      </c>
      <c r="M4944" t="s">
        <v>42504</v>
      </c>
      <c r="N4944" t="s">
        <v>44759</v>
      </c>
      <c r="O4944" t="s">
        <v>44760</v>
      </c>
      <c r="P4944">
        <v>0</v>
      </c>
      <c r="Q4944">
        <v>1</v>
      </c>
      <c r="R4944" t="s">
        <v>44765</v>
      </c>
      <c r="S4944" t="s">
        <v>44892</v>
      </c>
      <c r="T4944" t="s">
        <v>46363</v>
      </c>
      <c r="U4944" t="s">
        <v>51116</v>
      </c>
      <c r="V4944" t="s">
        <v>59253</v>
      </c>
      <c r="W4944" t="s">
        <v>42504</v>
      </c>
      <c r="X4944" t="s">
        <v>44766</v>
      </c>
    </row>
    <row r="4945" spans="1:24">
      <c r="A4945">
        <f>HYPERLINK("https://www.philgeps.gov.ph/GEPSNONPILOT/Tender/SplashBidNoticeAbstractUI.aspx?menuIndex=3&amp;refID=7148238&amp;Result=3","7148238")</f>
        <v>0</v>
      </c>
      <c r="B4945" t="s">
        <v>1723</v>
      </c>
      <c r="C4945" t="s">
        <v>8419</v>
      </c>
      <c r="D4945" t="s">
        <v>17957</v>
      </c>
      <c r="E4945" t="s">
        <v>22449</v>
      </c>
      <c r="F4945" t="s">
        <v>30900</v>
      </c>
      <c r="G4945" t="s">
        <v>30909</v>
      </c>
      <c r="H4945" t="s">
        <v>30916</v>
      </c>
      <c r="I4945" t="s">
        <v>6953</v>
      </c>
      <c r="J4945" t="s">
        <v>34343</v>
      </c>
      <c r="K4945" t="s">
        <v>40286</v>
      </c>
      <c r="M4945" t="s">
        <v>42387</v>
      </c>
      <c r="N4945" t="s">
        <v>44759</v>
      </c>
      <c r="O4945" t="s">
        <v>44760</v>
      </c>
      <c r="P4945">
        <v>0</v>
      </c>
      <c r="Q4945">
        <v>2</v>
      </c>
      <c r="R4945" t="s">
        <v>44765</v>
      </c>
      <c r="S4945" t="s">
        <v>44892</v>
      </c>
      <c r="T4945" t="s">
        <v>46412</v>
      </c>
      <c r="U4945" t="s">
        <v>51117</v>
      </c>
      <c r="W4945" t="s">
        <v>42387</v>
      </c>
      <c r="X4945" t="s">
        <v>44766</v>
      </c>
    </row>
    <row r="4946" spans="1:24">
      <c r="A4946">
        <f>HYPERLINK("https://www.philgeps.gov.ph/GEPSNONPILOT/Tender/SplashBidNoticeAbstractUI.aspx?menuIndex=3&amp;refID=7148173&amp;Result=3","7148173")</f>
        <v>0</v>
      </c>
      <c r="B4946" t="s">
        <v>1832</v>
      </c>
      <c r="C4946" t="s">
        <v>8420</v>
      </c>
      <c r="D4946" t="s">
        <v>17959</v>
      </c>
      <c r="E4946" t="s">
        <v>22450</v>
      </c>
      <c r="F4946" t="s">
        <v>30900</v>
      </c>
      <c r="G4946" t="s">
        <v>30907</v>
      </c>
      <c r="H4946" t="s">
        <v>30916</v>
      </c>
      <c r="I4946" t="s">
        <v>4108</v>
      </c>
      <c r="J4946" t="s">
        <v>34344</v>
      </c>
      <c r="K4946" t="s">
        <v>40284</v>
      </c>
      <c r="L4946" t="s">
        <v>1832</v>
      </c>
      <c r="M4946" t="s">
        <v>42505</v>
      </c>
      <c r="N4946" t="s">
        <v>44759</v>
      </c>
      <c r="O4946" t="s">
        <v>44760</v>
      </c>
      <c r="P4946">
        <v>0</v>
      </c>
      <c r="Q4946">
        <v>5</v>
      </c>
      <c r="R4946" t="s">
        <v>44765</v>
      </c>
      <c r="S4946" t="s">
        <v>44892</v>
      </c>
      <c r="T4946" t="s">
        <v>46404</v>
      </c>
      <c r="U4946" t="s">
        <v>51118</v>
      </c>
      <c r="V4946" t="s">
        <v>59638</v>
      </c>
      <c r="W4946" t="s">
        <v>42505</v>
      </c>
      <c r="X4946" t="s">
        <v>44766</v>
      </c>
    </row>
    <row r="4947" spans="1:24">
      <c r="A4947">
        <f>HYPERLINK("https://www.philgeps.gov.ph/GEPSNONPILOT/Tender/SplashBidNoticeAbstractUI.aspx?menuIndex=3&amp;refID=7148252&amp;Result=3","7148252")</f>
        <v>0</v>
      </c>
      <c r="B4947" t="s">
        <v>1833</v>
      </c>
      <c r="C4947" t="s">
        <v>8421</v>
      </c>
      <c r="D4947" t="s">
        <v>18020</v>
      </c>
      <c r="E4947" t="s">
        <v>22451</v>
      </c>
      <c r="F4947" t="s">
        <v>30900</v>
      </c>
      <c r="G4947" t="s">
        <v>30907</v>
      </c>
      <c r="H4947" t="s">
        <v>30915</v>
      </c>
      <c r="I4947" t="s">
        <v>30919</v>
      </c>
      <c r="J4947" t="s">
        <v>34345</v>
      </c>
      <c r="K4947" t="s">
        <v>40304</v>
      </c>
      <c r="M4947" t="s">
        <v>42506</v>
      </c>
      <c r="N4947" t="s">
        <v>44759</v>
      </c>
      <c r="O4947" t="s">
        <v>44760</v>
      </c>
      <c r="P4947">
        <v>0</v>
      </c>
      <c r="Q4947">
        <v>0</v>
      </c>
      <c r="R4947" t="s">
        <v>44765</v>
      </c>
      <c r="S4947" t="s">
        <v>44892</v>
      </c>
      <c r="T4947" t="s">
        <v>46495</v>
      </c>
      <c r="U4947" t="s">
        <v>51119</v>
      </c>
      <c r="W4947" t="s">
        <v>42506</v>
      </c>
      <c r="X4947" t="s">
        <v>44766</v>
      </c>
    </row>
    <row r="4948" spans="1:24">
      <c r="A4948">
        <f>HYPERLINK("https://www.philgeps.gov.ph/GEPSNONPILOT/Tender/SplashBidNoticeAbstractUI.aspx?menuIndex=3&amp;refID=7148250&amp;Result=3","7148250")</f>
        <v>0</v>
      </c>
      <c r="B4948" t="s">
        <v>1200</v>
      </c>
      <c r="C4948" t="s">
        <v>8422</v>
      </c>
      <c r="D4948" t="s">
        <v>18003</v>
      </c>
      <c r="E4948" t="s">
        <v>22452</v>
      </c>
      <c r="F4948" t="s">
        <v>30900</v>
      </c>
      <c r="G4948" t="s">
        <v>30907</v>
      </c>
      <c r="H4948" t="s">
        <v>30915</v>
      </c>
      <c r="I4948" t="s">
        <v>30919</v>
      </c>
      <c r="J4948" t="s">
        <v>34346</v>
      </c>
      <c r="K4948" t="s">
        <v>40304</v>
      </c>
      <c r="M4948" t="s">
        <v>41811</v>
      </c>
      <c r="N4948" t="s">
        <v>44759</v>
      </c>
      <c r="O4948" t="s">
        <v>44760</v>
      </c>
      <c r="P4948">
        <v>0</v>
      </c>
      <c r="Q4948">
        <v>2</v>
      </c>
      <c r="R4948" t="s">
        <v>44765</v>
      </c>
      <c r="S4948" t="s">
        <v>44892</v>
      </c>
      <c r="T4948" t="s">
        <v>46465</v>
      </c>
      <c r="U4948" t="s">
        <v>51120</v>
      </c>
      <c r="W4948" t="s">
        <v>41811</v>
      </c>
      <c r="X4948" t="s">
        <v>44766</v>
      </c>
    </row>
    <row r="4949" spans="1:24">
      <c r="A4949">
        <f>HYPERLINK("https://www.philgeps.gov.ph/GEPSNONPILOT/Tender/SplashBidNoticeAbstractUI.aspx?menuIndex=3&amp;refID=7148245&amp;Result=3","7148245")</f>
        <v>0</v>
      </c>
      <c r="B4949" t="s">
        <v>1145</v>
      </c>
      <c r="C4949" t="s">
        <v>8423</v>
      </c>
      <c r="D4949" t="s">
        <v>17959</v>
      </c>
      <c r="E4949" t="s">
        <v>20394</v>
      </c>
      <c r="F4949" t="s">
        <v>30900</v>
      </c>
      <c r="G4949" t="s">
        <v>30908</v>
      </c>
      <c r="H4949" t="s">
        <v>30916</v>
      </c>
      <c r="I4949" t="s">
        <v>30922</v>
      </c>
      <c r="J4949" t="s">
        <v>32124</v>
      </c>
      <c r="K4949" t="s">
        <v>40287</v>
      </c>
      <c r="M4949" t="s">
        <v>41751</v>
      </c>
      <c r="N4949" t="s">
        <v>44759</v>
      </c>
      <c r="O4949" t="s">
        <v>44760</v>
      </c>
      <c r="P4949">
        <v>0</v>
      </c>
      <c r="Q4949">
        <v>5</v>
      </c>
      <c r="R4949" t="s">
        <v>44765</v>
      </c>
      <c r="S4949" t="s">
        <v>44892</v>
      </c>
      <c r="T4949" t="s">
        <v>46591</v>
      </c>
      <c r="U4949" t="s">
        <v>51121</v>
      </c>
      <c r="W4949" t="s">
        <v>41751</v>
      </c>
      <c r="X4949" t="s">
        <v>44766</v>
      </c>
    </row>
    <row r="4950" spans="1:24">
      <c r="A4950">
        <f>HYPERLINK("https://www.philgeps.gov.ph/GEPSNONPILOT/Tender/SplashBidNoticeAbstractUI.aspx?menuIndex=3&amp;refID=7148241&amp;Result=3","7148241")</f>
        <v>0</v>
      </c>
      <c r="B4950" t="s">
        <v>1200</v>
      </c>
      <c r="C4950" t="s">
        <v>8424</v>
      </c>
      <c r="D4950" t="s">
        <v>18003</v>
      </c>
      <c r="E4950" t="s">
        <v>22453</v>
      </c>
      <c r="F4950" t="s">
        <v>30900</v>
      </c>
      <c r="G4950" t="s">
        <v>30907</v>
      </c>
      <c r="H4950" t="s">
        <v>30915</v>
      </c>
      <c r="I4950" t="s">
        <v>30919</v>
      </c>
      <c r="J4950" t="s">
        <v>34346</v>
      </c>
      <c r="K4950" t="s">
        <v>40304</v>
      </c>
      <c r="M4950" t="s">
        <v>41811</v>
      </c>
      <c r="N4950" t="s">
        <v>44759</v>
      </c>
      <c r="O4950" t="s">
        <v>44760</v>
      </c>
      <c r="P4950">
        <v>0</v>
      </c>
      <c r="Q4950">
        <v>3</v>
      </c>
      <c r="R4950" t="s">
        <v>44765</v>
      </c>
      <c r="S4950" t="s">
        <v>44892</v>
      </c>
      <c r="T4950" t="s">
        <v>46465</v>
      </c>
      <c r="U4950" t="s">
        <v>51122</v>
      </c>
      <c r="W4950" t="s">
        <v>41811</v>
      </c>
      <c r="X4950" t="s">
        <v>44766</v>
      </c>
    </row>
    <row r="4951" spans="1:24">
      <c r="A4951">
        <f>HYPERLINK("https://www.philgeps.gov.ph/GEPSNONPILOT/Tender/SplashBidNoticeAbstractUI.aspx?menuIndex=3&amp;refID=7148237&amp;Result=3","7148237")</f>
        <v>0</v>
      </c>
      <c r="B4951" t="s">
        <v>952</v>
      </c>
      <c r="C4951" t="s">
        <v>8425</v>
      </c>
      <c r="D4951" t="s">
        <v>17985</v>
      </c>
      <c r="E4951" t="s">
        <v>22454</v>
      </c>
      <c r="F4951" t="s">
        <v>30900</v>
      </c>
      <c r="G4951" t="s">
        <v>30909</v>
      </c>
      <c r="H4951" t="s">
        <v>30916</v>
      </c>
      <c r="I4951" t="s">
        <v>30923</v>
      </c>
      <c r="J4951" t="s">
        <v>32053</v>
      </c>
      <c r="K4951" t="s">
        <v>40289</v>
      </c>
      <c r="M4951" t="s">
        <v>41537</v>
      </c>
      <c r="N4951" t="s">
        <v>44759</v>
      </c>
      <c r="O4951" t="s">
        <v>44760</v>
      </c>
      <c r="P4951">
        <v>0</v>
      </c>
      <c r="Q4951">
        <v>7</v>
      </c>
      <c r="R4951" t="s">
        <v>44765</v>
      </c>
      <c r="S4951" t="s">
        <v>44892</v>
      </c>
      <c r="T4951" t="s">
        <v>46531</v>
      </c>
      <c r="U4951" t="s">
        <v>51123</v>
      </c>
      <c r="W4951" t="s">
        <v>41537</v>
      </c>
      <c r="X4951" t="s">
        <v>44766</v>
      </c>
    </row>
    <row r="4952" spans="1:24">
      <c r="A4952">
        <f>HYPERLINK("https://www.philgeps.gov.ph/GEPSNONPILOT/Tender/SplashBidNoticeAbstractUI.aspx?menuIndex=3&amp;refID=7148183&amp;Result=3","7148183")</f>
        <v>0</v>
      </c>
      <c r="B4952" t="s">
        <v>1832</v>
      </c>
      <c r="C4952" t="s">
        <v>8426</v>
      </c>
      <c r="D4952" t="s">
        <v>17959</v>
      </c>
      <c r="E4952" t="s">
        <v>22455</v>
      </c>
      <c r="F4952" t="s">
        <v>30900</v>
      </c>
      <c r="G4952" t="s">
        <v>30907</v>
      </c>
      <c r="H4952" t="s">
        <v>30916</v>
      </c>
      <c r="I4952" t="s">
        <v>4108</v>
      </c>
      <c r="J4952" t="s">
        <v>34347</v>
      </c>
      <c r="K4952" t="s">
        <v>40284</v>
      </c>
      <c r="L4952" t="s">
        <v>1832</v>
      </c>
      <c r="M4952" t="s">
        <v>42505</v>
      </c>
      <c r="N4952" t="s">
        <v>44759</v>
      </c>
      <c r="O4952" t="s">
        <v>44760</v>
      </c>
      <c r="P4952">
        <v>0</v>
      </c>
      <c r="Q4952">
        <v>3</v>
      </c>
      <c r="R4952" t="s">
        <v>44765</v>
      </c>
      <c r="S4952" t="s">
        <v>44892</v>
      </c>
      <c r="T4952" t="s">
        <v>46387</v>
      </c>
      <c r="U4952" t="s">
        <v>51124</v>
      </c>
      <c r="V4952" t="s">
        <v>59639</v>
      </c>
      <c r="W4952" t="s">
        <v>42505</v>
      </c>
      <c r="X4952" t="s">
        <v>44766</v>
      </c>
    </row>
    <row r="4953" spans="1:24">
      <c r="A4953">
        <f>HYPERLINK("https://www.philgeps.gov.ph/GEPSNONPILOT/Tender/SplashBidNoticeAbstractUI.aspx?menuIndex=3&amp;refID=7148234&amp;Result=3","7148234")</f>
        <v>0</v>
      </c>
      <c r="B4953" t="s">
        <v>952</v>
      </c>
      <c r="C4953" t="s">
        <v>8427</v>
      </c>
      <c r="D4953" t="s">
        <v>17985</v>
      </c>
      <c r="E4953" t="s">
        <v>22456</v>
      </c>
      <c r="F4953" t="s">
        <v>30900</v>
      </c>
      <c r="G4953" t="s">
        <v>30909</v>
      </c>
      <c r="H4953" t="s">
        <v>30916</v>
      </c>
      <c r="I4953" t="s">
        <v>30923</v>
      </c>
      <c r="J4953" t="s">
        <v>33133</v>
      </c>
      <c r="K4953" t="s">
        <v>40289</v>
      </c>
      <c r="M4953" t="s">
        <v>41537</v>
      </c>
      <c r="N4953" t="s">
        <v>44759</v>
      </c>
      <c r="O4953" t="s">
        <v>44760</v>
      </c>
      <c r="P4953">
        <v>0</v>
      </c>
      <c r="Q4953">
        <v>4</v>
      </c>
      <c r="R4953" t="s">
        <v>44765</v>
      </c>
      <c r="S4953" t="s">
        <v>44892</v>
      </c>
      <c r="T4953" t="s">
        <v>46531</v>
      </c>
      <c r="U4953" t="s">
        <v>51125</v>
      </c>
      <c r="W4953" t="s">
        <v>41537</v>
      </c>
      <c r="X4953" t="s">
        <v>44766</v>
      </c>
    </row>
    <row r="4954" spans="1:24">
      <c r="A4954">
        <f>HYPERLINK("https://www.philgeps.gov.ph/GEPSNONPILOT/Tender/SplashBidNoticeAbstractUI.aspx?menuIndex=3&amp;refID=7148232&amp;Result=3","7148232")</f>
        <v>0</v>
      </c>
      <c r="B4954" t="s">
        <v>1834</v>
      </c>
      <c r="C4954" t="s">
        <v>8428</v>
      </c>
      <c r="D4954" t="s">
        <v>17990</v>
      </c>
      <c r="E4954" t="s">
        <v>22457</v>
      </c>
      <c r="F4954" t="s">
        <v>30899</v>
      </c>
      <c r="G4954" t="s">
        <v>30907</v>
      </c>
      <c r="H4954" t="s">
        <v>30916</v>
      </c>
      <c r="I4954" t="s">
        <v>30949</v>
      </c>
      <c r="J4954" t="s">
        <v>31049</v>
      </c>
      <c r="K4954" t="s">
        <v>40287</v>
      </c>
      <c r="M4954" t="s">
        <v>42507</v>
      </c>
      <c r="N4954" t="s">
        <v>44759</v>
      </c>
      <c r="O4954" t="s">
        <v>44760</v>
      </c>
      <c r="P4954">
        <v>0</v>
      </c>
      <c r="Q4954">
        <v>1</v>
      </c>
      <c r="R4954" t="s">
        <v>44765</v>
      </c>
      <c r="S4954" t="s">
        <v>44892</v>
      </c>
      <c r="T4954" t="s">
        <v>46411</v>
      </c>
      <c r="U4954" t="s">
        <v>51126</v>
      </c>
      <c r="V4954" t="s">
        <v>59640</v>
      </c>
      <c r="W4954" t="s">
        <v>42507</v>
      </c>
      <c r="X4954" t="s">
        <v>44766</v>
      </c>
    </row>
    <row r="4955" spans="1:24">
      <c r="A4955">
        <f>HYPERLINK("https://www.philgeps.gov.ph/GEPSNONPILOT/Tender/SplashBidNoticeAbstractUI.aspx?menuIndex=3&amp;refID=7148230&amp;Result=3","7148230")</f>
        <v>0</v>
      </c>
      <c r="B4955" t="s">
        <v>952</v>
      </c>
      <c r="C4955" t="s">
        <v>8429</v>
      </c>
      <c r="D4955" t="s">
        <v>17985</v>
      </c>
      <c r="E4955" t="s">
        <v>22458</v>
      </c>
      <c r="F4955" t="s">
        <v>30900</v>
      </c>
      <c r="G4955" t="s">
        <v>30909</v>
      </c>
      <c r="H4955" t="s">
        <v>30916</v>
      </c>
      <c r="I4955" t="s">
        <v>30923</v>
      </c>
      <c r="J4955" t="s">
        <v>34348</v>
      </c>
      <c r="K4955" t="s">
        <v>40289</v>
      </c>
      <c r="M4955" t="s">
        <v>41537</v>
      </c>
      <c r="N4955" t="s">
        <v>44759</v>
      </c>
      <c r="O4955" t="s">
        <v>44760</v>
      </c>
      <c r="P4955">
        <v>0</v>
      </c>
      <c r="Q4955">
        <v>15</v>
      </c>
      <c r="R4955" t="s">
        <v>44765</v>
      </c>
      <c r="S4955" t="s">
        <v>44892</v>
      </c>
      <c r="T4955" t="s">
        <v>46531</v>
      </c>
      <c r="U4955" t="s">
        <v>51127</v>
      </c>
      <c r="W4955" t="s">
        <v>41537</v>
      </c>
      <c r="X4955" t="s">
        <v>44766</v>
      </c>
    </row>
    <row r="4956" spans="1:24">
      <c r="A4956">
        <f>HYPERLINK("https://www.philgeps.gov.ph/GEPSNONPILOT/Tender/SplashBidNoticeAbstractUI.aspx?menuIndex=3&amp;refID=7148227&amp;Result=3","7148227")</f>
        <v>0</v>
      </c>
      <c r="B4956" t="s">
        <v>1834</v>
      </c>
      <c r="C4956" t="s">
        <v>8430</v>
      </c>
      <c r="D4956" t="s">
        <v>17990</v>
      </c>
      <c r="E4956" t="s">
        <v>19690</v>
      </c>
      <c r="F4956" t="s">
        <v>30899</v>
      </c>
      <c r="G4956" t="s">
        <v>30907</v>
      </c>
      <c r="H4956" t="s">
        <v>30916</v>
      </c>
      <c r="I4956" t="s">
        <v>30934</v>
      </c>
      <c r="J4956" t="s">
        <v>31049</v>
      </c>
      <c r="K4956" t="s">
        <v>40287</v>
      </c>
      <c r="M4956" t="s">
        <v>42507</v>
      </c>
      <c r="N4956" t="s">
        <v>44759</v>
      </c>
      <c r="O4956" t="s">
        <v>44760</v>
      </c>
      <c r="P4956">
        <v>0</v>
      </c>
      <c r="Q4956">
        <v>1</v>
      </c>
      <c r="R4956" t="s">
        <v>44765</v>
      </c>
      <c r="S4956" t="s">
        <v>44892</v>
      </c>
      <c r="T4956" t="s">
        <v>46411</v>
      </c>
      <c r="U4956" t="s">
        <v>51128</v>
      </c>
      <c r="V4956" t="s">
        <v>59641</v>
      </c>
      <c r="W4956" t="s">
        <v>42507</v>
      </c>
      <c r="X4956" t="s">
        <v>44766</v>
      </c>
    </row>
    <row r="4957" spans="1:24">
      <c r="A4957">
        <f>HYPERLINK("https://www.philgeps.gov.ph/GEPSNONPILOT/Tender/SplashBidNoticeAbstractUI.aspx?menuIndex=3&amp;refID=7148225&amp;Result=3","7148225")</f>
        <v>0</v>
      </c>
      <c r="B4957" t="s">
        <v>1835</v>
      </c>
      <c r="C4957" t="s">
        <v>8431</v>
      </c>
      <c r="D4957" t="s">
        <v>17959</v>
      </c>
      <c r="E4957" t="s">
        <v>22459</v>
      </c>
      <c r="F4957" t="s">
        <v>30900</v>
      </c>
      <c r="G4957" t="s">
        <v>30907</v>
      </c>
      <c r="H4957" t="s">
        <v>30916</v>
      </c>
      <c r="I4957" t="s">
        <v>30956</v>
      </c>
      <c r="J4957" t="s">
        <v>34349</v>
      </c>
      <c r="K4957" t="s">
        <v>40362</v>
      </c>
      <c r="M4957" t="s">
        <v>42508</v>
      </c>
      <c r="N4957" t="s">
        <v>44759</v>
      </c>
      <c r="O4957" t="s">
        <v>44760</v>
      </c>
      <c r="Q4957">
        <v>7</v>
      </c>
      <c r="R4957" t="s">
        <v>44765</v>
      </c>
      <c r="S4957" t="s">
        <v>44893</v>
      </c>
      <c r="T4957" t="s">
        <v>46405</v>
      </c>
      <c r="U4957" t="s">
        <v>51129</v>
      </c>
      <c r="W4957" t="s">
        <v>42508</v>
      </c>
      <c r="X4957" t="s">
        <v>44766</v>
      </c>
    </row>
    <row r="4958" spans="1:24">
      <c r="A4958">
        <f>HYPERLINK("https://www.philgeps.gov.ph/GEPSNONPILOT/Tender/SplashBidNoticeAbstractUI.aspx?menuIndex=3&amp;refID=7148192&amp;Result=3","7148192")</f>
        <v>0</v>
      </c>
      <c r="B4958" t="s">
        <v>240</v>
      </c>
      <c r="C4958" t="s">
        <v>8432</v>
      </c>
      <c r="D4958" t="s">
        <v>17977</v>
      </c>
      <c r="E4958" t="s">
        <v>22460</v>
      </c>
      <c r="F4958" t="s">
        <v>30900</v>
      </c>
      <c r="G4958" t="s">
        <v>30907</v>
      </c>
      <c r="H4958" t="s">
        <v>30916</v>
      </c>
      <c r="I4958" t="s">
        <v>8365</v>
      </c>
      <c r="J4958" t="s">
        <v>34350</v>
      </c>
      <c r="K4958" t="s">
        <v>40284</v>
      </c>
      <c r="M4958" t="s">
        <v>40787</v>
      </c>
      <c r="N4958" t="s">
        <v>44759</v>
      </c>
      <c r="O4958" t="s">
        <v>44760</v>
      </c>
      <c r="P4958">
        <v>0</v>
      </c>
      <c r="Q4958">
        <v>0</v>
      </c>
      <c r="R4958" t="s">
        <v>44765</v>
      </c>
      <c r="S4958" t="s">
        <v>44892</v>
      </c>
      <c r="T4958" t="s">
        <v>46376</v>
      </c>
      <c r="U4958" t="s">
        <v>51130</v>
      </c>
      <c r="W4958" t="s">
        <v>40787</v>
      </c>
      <c r="X4958" t="s">
        <v>44766</v>
      </c>
    </row>
    <row r="4959" spans="1:24">
      <c r="A4959">
        <f>HYPERLINK("https://www.philgeps.gov.ph/GEPSNONPILOT/Tender/SplashBidNoticeAbstractUI.aspx?menuIndex=3&amp;refID=7148222&amp;Result=3","7148222")</f>
        <v>0</v>
      </c>
      <c r="B4959" t="s">
        <v>1723</v>
      </c>
      <c r="C4959" t="s">
        <v>8433</v>
      </c>
      <c r="D4959" t="s">
        <v>17957</v>
      </c>
      <c r="E4959" t="s">
        <v>22449</v>
      </c>
      <c r="F4959" t="s">
        <v>30900</v>
      </c>
      <c r="G4959" t="s">
        <v>30907</v>
      </c>
      <c r="H4959" t="s">
        <v>30915</v>
      </c>
      <c r="I4959" t="s">
        <v>30919</v>
      </c>
      <c r="J4959" t="s">
        <v>31094</v>
      </c>
      <c r="K4959" t="s">
        <v>40304</v>
      </c>
      <c r="M4959" t="s">
        <v>42387</v>
      </c>
      <c r="N4959" t="s">
        <v>44759</v>
      </c>
      <c r="O4959" t="s">
        <v>44760</v>
      </c>
      <c r="P4959">
        <v>0</v>
      </c>
      <c r="Q4959">
        <v>0</v>
      </c>
      <c r="R4959" t="s">
        <v>44765</v>
      </c>
      <c r="S4959" t="s">
        <v>44892</v>
      </c>
      <c r="T4959" t="s">
        <v>46412</v>
      </c>
      <c r="U4959" t="s">
        <v>51131</v>
      </c>
      <c r="W4959" t="s">
        <v>42387</v>
      </c>
      <c r="X4959" t="s">
        <v>44766</v>
      </c>
    </row>
    <row r="4960" spans="1:24">
      <c r="A4960">
        <f>HYPERLINK("https://www.philgeps.gov.ph/GEPSNONPILOT/Tender/SplashBidNoticeAbstractUI.aspx?menuIndex=3&amp;refID=7148206&amp;Result=3","7148206")</f>
        <v>0</v>
      </c>
      <c r="B4960" t="s">
        <v>1836</v>
      </c>
      <c r="C4960" t="s">
        <v>6776</v>
      </c>
      <c r="E4960" t="s">
        <v>22418</v>
      </c>
      <c r="F4960" t="s">
        <v>30899</v>
      </c>
      <c r="G4960" t="s">
        <v>30909</v>
      </c>
      <c r="H4960" t="s">
        <v>30916</v>
      </c>
      <c r="I4960" t="s">
        <v>8365</v>
      </c>
      <c r="J4960" t="s">
        <v>31284</v>
      </c>
      <c r="K4960" t="s">
        <v>40285</v>
      </c>
      <c r="M4960" t="s">
        <v>42485</v>
      </c>
      <c r="N4960" t="s">
        <v>44759</v>
      </c>
      <c r="O4960" t="s">
        <v>44760</v>
      </c>
      <c r="P4960">
        <v>0</v>
      </c>
      <c r="Q4960">
        <v>0</v>
      </c>
      <c r="R4960" t="s">
        <v>44765</v>
      </c>
      <c r="S4960" t="s">
        <v>44892</v>
      </c>
      <c r="T4960" t="s">
        <v>46571</v>
      </c>
      <c r="U4960" t="s">
        <v>51132</v>
      </c>
      <c r="W4960" t="s">
        <v>42485</v>
      </c>
      <c r="X4960" t="s">
        <v>44766</v>
      </c>
    </row>
    <row r="4961" spans="1:24">
      <c r="A4961">
        <f>HYPERLINK("https://www.philgeps.gov.ph/GEPSNONPILOT/Tender/SplashBidNoticeAbstractUI.aspx?menuIndex=3&amp;refID=7148205&amp;Result=3","7148205")</f>
        <v>0</v>
      </c>
      <c r="B4961" t="s">
        <v>1834</v>
      </c>
      <c r="C4961" t="s">
        <v>8434</v>
      </c>
      <c r="D4961" t="s">
        <v>17990</v>
      </c>
      <c r="E4961" t="s">
        <v>18094</v>
      </c>
      <c r="F4961" t="s">
        <v>30899</v>
      </c>
      <c r="G4961" t="s">
        <v>30907</v>
      </c>
      <c r="H4961" t="s">
        <v>30916</v>
      </c>
      <c r="I4961" t="s">
        <v>4050</v>
      </c>
      <c r="J4961" t="s">
        <v>34351</v>
      </c>
      <c r="K4961" t="s">
        <v>40287</v>
      </c>
      <c r="M4961" t="s">
        <v>42507</v>
      </c>
      <c r="N4961" t="s">
        <v>44759</v>
      </c>
      <c r="O4961" t="s">
        <v>44760</v>
      </c>
      <c r="P4961">
        <v>0</v>
      </c>
      <c r="Q4961">
        <v>2</v>
      </c>
      <c r="R4961" t="s">
        <v>44765</v>
      </c>
      <c r="S4961" t="s">
        <v>44892</v>
      </c>
      <c r="T4961" t="s">
        <v>46411</v>
      </c>
      <c r="U4961" t="s">
        <v>51133</v>
      </c>
      <c r="V4961" t="s">
        <v>59640</v>
      </c>
      <c r="W4961" t="s">
        <v>42507</v>
      </c>
      <c r="X4961" t="s">
        <v>44766</v>
      </c>
    </row>
    <row r="4962" spans="1:24">
      <c r="A4962">
        <f>HYPERLINK("https://www.philgeps.gov.ph/GEPSNONPILOT/Tender/SplashBidNoticeAbstractUI.aspx?menuIndex=3&amp;refID=7148196&amp;Result=3","7148196")</f>
        <v>0</v>
      </c>
      <c r="B4962" t="s">
        <v>1837</v>
      </c>
      <c r="C4962" t="s">
        <v>4074</v>
      </c>
      <c r="D4962" t="s">
        <v>17996</v>
      </c>
      <c r="E4962" t="s">
        <v>22461</v>
      </c>
      <c r="F4962" t="s">
        <v>30900</v>
      </c>
      <c r="G4962" t="s">
        <v>30907</v>
      </c>
      <c r="H4962" t="s">
        <v>30916</v>
      </c>
      <c r="I4962" t="s">
        <v>30932</v>
      </c>
      <c r="J4962" t="s">
        <v>33353</v>
      </c>
      <c r="K4962" t="s">
        <v>40284</v>
      </c>
      <c r="M4962" t="s">
        <v>42509</v>
      </c>
      <c r="N4962" t="s">
        <v>44759</v>
      </c>
      <c r="O4962" t="s">
        <v>44760</v>
      </c>
      <c r="P4962">
        <v>0</v>
      </c>
      <c r="Q4962">
        <v>1</v>
      </c>
      <c r="R4962" t="s">
        <v>44765</v>
      </c>
      <c r="S4962" t="s">
        <v>44892</v>
      </c>
      <c r="T4962" t="s">
        <v>46701</v>
      </c>
      <c r="U4962" t="s">
        <v>51134</v>
      </c>
      <c r="W4962" t="s">
        <v>42509</v>
      </c>
      <c r="X4962" t="s">
        <v>44766</v>
      </c>
    </row>
    <row r="4963" spans="1:24">
      <c r="A4963">
        <f>HYPERLINK("https://www.philgeps.gov.ph/GEPSNONPILOT/Tender/SplashBidNoticeAbstractUI.aspx?menuIndex=3&amp;refID=7148195&amp;Result=3","7148195")</f>
        <v>0</v>
      </c>
      <c r="B4963" t="s">
        <v>1649</v>
      </c>
      <c r="C4963" t="s">
        <v>8435</v>
      </c>
      <c r="D4963" t="s">
        <v>18021</v>
      </c>
      <c r="E4963" t="s">
        <v>22462</v>
      </c>
      <c r="F4963" t="s">
        <v>30900</v>
      </c>
      <c r="G4963" t="s">
        <v>30907</v>
      </c>
      <c r="H4963" t="s">
        <v>30916</v>
      </c>
      <c r="I4963" t="s">
        <v>8123</v>
      </c>
      <c r="J4963" t="s">
        <v>33552</v>
      </c>
      <c r="K4963" t="s">
        <v>40286</v>
      </c>
      <c r="M4963" t="s">
        <v>42305</v>
      </c>
      <c r="N4963" t="s">
        <v>44759</v>
      </c>
      <c r="O4963" t="s">
        <v>44760</v>
      </c>
      <c r="P4963">
        <v>0</v>
      </c>
      <c r="Q4963">
        <v>0</v>
      </c>
      <c r="R4963" t="s">
        <v>44765</v>
      </c>
      <c r="S4963" t="s">
        <v>44892</v>
      </c>
      <c r="T4963" t="s">
        <v>46443</v>
      </c>
      <c r="U4963" t="s">
        <v>51135</v>
      </c>
      <c r="W4963" t="s">
        <v>42305</v>
      </c>
      <c r="X4963" t="s">
        <v>44766</v>
      </c>
    </row>
    <row r="4964" spans="1:24">
      <c r="A4964">
        <f>HYPERLINK("https://www.philgeps.gov.ph/GEPSNONPILOT/Tender/SplashBidNoticeAbstractUI.aspx?menuIndex=3&amp;refID=7145924&amp;Result=3","7145924")</f>
        <v>0</v>
      </c>
      <c r="B4964" t="s">
        <v>1823</v>
      </c>
      <c r="C4964" t="s">
        <v>8436</v>
      </c>
      <c r="D4964" t="s">
        <v>17959</v>
      </c>
      <c r="E4964" t="s">
        <v>22438</v>
      </c>
      <c r="F4964" t="s">
        <v>30900</v>
      </c>
      <c r="G4964" t="s">
        <v>30907</v>
      </c>
      <c r="H4964" t="s">
        <v>30916</v>
      </c>
      <c r="I4964" t="s">
        <v>30929</v>
      </c>
      <c r="J4964" t="s">
        <v>34352</v>
      </c>
      <c r="K4964" t="s">
        <v>40289</v>
      </c>
      <c r="M4964" t="s">
        <v>42496</v>
      </c>
      <c r="N4964" t="s">
        <v>44759</v>
      </c>
      <c r="O4964" t="s">
        <v>44760</v>
      </c>
      <c r="P4964">
        <v>0</v>
      </c>
      <c r="Q4964">
        <v>8</v>
      </c>
      <c r="R4964" t="s">
        <v>44765</v>
      </c>
      <c r="S4964" t="s">
        <v>44892</v>
      </c>
      <c r="T4964" t="s">
        <v>46486</v>
      </c>
      <c r="U4964" t="s">
        <v>51136</v>
      </c>
      <c r="V4964" t="s">
        <v>59634</v>
      </c>
      <c r="W4964" t="s">
        <v>42496</v>
      </c>
      <c r="X4964" t="s">
        <v>44767</v>
      </c>
    </row>
    <row r="4965" spans="1:24">
      <c r="A4965">
        <f>HYPERLINK("https://www.philgeps.gov.ph/GEPSNONPILOT/Tender/SplashBidNoticeAbstractUI.aspx?menuIndex=3&amp;refID=7148200&amp;Result=3","7148200")</f>
        <v>0</v>
      </c>
      <c r="B4965" t="s">
        <v>1838</v>
      </c>
      <c r="C4965" t="s">
        <v>8437</v>
      </c>
      <c r="D4965" t="s">
        <v>17961</v>
      </c>
      <c r="E4965" t="s">
        <v>22463</v>
      </c>
      <c r="F4965" t="s">
        <v>30900</v>
      </c>
      <c r="G4965" t="s">
        <v>30907</v>
      </c>
      <c r="H4965" t="s">
        <v>30916</v>
      </c>
      <c r="I4965" t="s">
        <v>8123</v>
      </c>
      <c r="J4965" t="s">
        <v>34353</v>
      </c>
      <c r="K4965" t="s">
        <v>40284</v>
      </c>
      <c r="M4965" t="s">
        <v>42510</v>
      </c>
      <c r="N4965" t="s">
        <v>44759</v>
      </c>
      <c r="O4965" t="s">
        <v>44760</v>
      </c>
      <c r="P4965">
        <v>0</v>
      </c>
      <c r="Q4965">
        <v>1</v>
      </c>
      <c r="R4965" t="s">
        <v>44765</v>
      </c>
      <c r="S4965" t="s">
        <v>44892</v>
      </c>
      <c r="T4965" t="s">
        <v>46495</v>
      </c>
      <c r="U4965" t="s">
        <v>51137</v>
      </c>
      <c r="V4965" t="s">
        <v>59642</v>
      </c>
      <c r="W4965" t="s">
        <v>42510</v>
      </c>
      <c r="X4965" t="s">
        <v>44766</v>
      </c>
    </row>
    <row r="4966" spans="1:24">
      <c r="A4966">
        <f>HYPERLINK("https://www.philgeps.gov.ph/GEPSNONPILOT/Tender/SplashBidNoticeAbstractUI.aspx?menuIndex=3&amp;refID=7148215&amp;Result=3","7148215")</f>
        <v>0</v>
      </c>
      <c r="B4966" t="s">
        <v>1839</v>
      </c>
      <c r="C4966" t="s">
        <v>8438</v>
      </c>
      <c r="D4966" t="s">
        <v>17963</v>
      </c>
      <c r="E4966" t="s">
        <v>22464</v>
      </c>
      <c r="F4966" t="s">
        <v>30900</v>
      </c>
      <c r="G4966" t="s">
        <v>30907</v>
      </c>
      <c r="H4966" t="s">
        <v>30915</v>
      </c>
      <c r="I4966" t="s">
        <v>30919</v>
      </c>
      <c r="J4966" t="s">
        <v>34354</v>
      </c>
      <c r="K4966" t="s">
        <v>40286</v>
      </c>
      <c r="M4966" t="s">
        <v>42511</v>
      </c>
      <c r="N4966" t="s">
        <v>44759</v>
      </c>
      <c r="O4966" t="s">
        <v>44760</v>
      </c>
      <c r="P4966">
        <v>0</v>
      </c>
      <c r="Q4966">
        <v>3</v>
      </c>
      <c r="R4966" t="s">
        <v>44765</v>
      </c>
      <c r="S4966" t="s">
        <v>44892</v>
      </c>
      <c r="T4966" t="s">
        <v>46429</v>
      </c>
      <c r="U4966" t="s">
        <v>51138</v>
      </c>
      <c r="W4966" t="s">
        <v>42511</v>
      </c>
      <c r="X4966" t="s">
        <v>44766</v>
      </c>
    </row>
    <row r="4967" spans="1:24">
      <c r="A4967">
        <f>HYPERLINK("https://www.philgeps.gov.ph/GEPSNONPILOT/Tender/SplashBidNoticeAbstractUI.aspx?menuIndex=3&amp;refID=7148235&amp;Result=3","7148235")</f>
        <v>0</v>
      </c>
      <c r="B4967" t="s">
        <v>1840</v>
      </c>
      <c r="C4967" t="s">
        <v>8439</v>
      </c>
      <c r="D4967" t="s">
        <v>17959</v>
      </c>
      <c r="E4967" t="s">
        <v>22465</v>
      </c>
      <c r="F4967" t="s">
        <v>30900</v>
      </c>
      <c r="G4967" t="s">
        <v>30908</v>
      </c>
      <c r="H4967" t="s">
        <v>30916</v>
      </c>
      <c r="I4967" t="s">
        <v>30942</v>
      </c>
      <c r="J4967" t="s">
        <v>31049</v>
      </c>
      <c r="K4967" t="s">
        <v>40286</v>
      </c>
      <c r="M4967" t="s">
        <v>42512</v>
      </c>
      <c r="N4967" t="s">
        <v>44759</v>
      </c>
      <c r="O4967" t="s">
        <v>44760</v>
      </c>
      <c r="Q4967">
        <v>1</v>
      </c>
      <c r="R4967" t="s">
        <v>44765</v>
      </c>
      <c r="S4967" t="s">
        <v>44894</v>
      </c>
      <c r="T4967" t="s">
        <v>46383</v>
      </c>
      <c r="U4967" t="s">
        <v>51139</v>
      </c>
      <c r="W4967" t="s">
        <v>42512</v>
      </c>
      <c r="X4967" t="s">
        <v>44766</v>
      </c>
    </row>
    <row r="4968" spans="1:24">
      <c r="A4968">
        <f>HYPERLINK("https://www.philgeps.gov.ph/GEPSNONPILOT/Tender/SplashBidNoticeAbstractUI.aspx?menuIndex=3&amp;refID=7148316&amp;Result=3","7148316")</f>
        <v>0</v>
      </c>
      <c r="B4968" t="s">
        <v>1841</v>
      </c>
      <c r="C4968" t="s">
        <v>8440</v>
      </c>
      <c r="E4968" t="s">
        <v>22466</v>
      </c>
      <c r="F4968" t="s">
        <v>30900</v>
      </c>
      <c r="G4968" t="s">
        <v>30907</v>
      </c>
      <c r="H4968" t="s">
        <v>30916</v>
      </c>
      <c r="I4968" t="s">
        <v>30963</v>
      </c>
      <c r="J4968" t="s">
        <v>34355</v>
      </c>
      <c r="K4968" t="s">
        <v>40289</v>
      </c>
      <c r="M4968" t="s">
        <v>42513</v>
      </c>
      <c r="N4968" t="s">
        <v>44759</v>
      </c>
      <c r="O4968" t="s">
        <v>44760</v>
      </c>
      <c r="P4968">
        <v>0</v>
      </c>
      <c r="Q4968">
        <v>0</v>
      </c>
      <c r="R4968" t="s">
        <v>44765</v>
      </c>
      <c r="S4968" t="s">
        <v>44892</v>
      </c>
      <c r="T4968" t="s">
        <v>46412</v>
      </c>
      <c r="U4968" t="s">
        <v>51140</v>
      </c>
      <c r="W4968" t="s">
        <v>42513</v>
      </c>
      <c r="X4968" t="s">
        <v>44766</v>
      </c>
    </row>
    <row r="4969" spans="1:24">
      <c r="A4969">
        <f>HYPERLINK("https://www.philgeps.gov.ph/GEPSNONPILOT/Tender/SplashBidNoticeAbstractUI.aspx?menuIndex=3&amp;refID=7148314&amp;Result=3","7148314")</f>
        <v>0</v>
      </c>
      <c r="B4969" t="s">
        <v>1841</v>
      </c>
      <c r="C4969" t="s">
        <v>8441</v>
      </c>
      <c r="E4969" t="s">
        <v>22467</v>
      </c>
      <c r="F4969" t="s">
        <v>30900</v>
      </c>
      <c r="G4969" t="s">
        <v>30907</v>
      </c>
      <c r="H4969" t="s">
        <v>30916</v>
      </c>
      <c r="I4969" t="s">
        <v>4142</v>
      </c>
      <c r="J4969" t="s">
        <v>34356</v>
      </c>
      <c r="K4969" t="s">
        <v>40289</v>
      </c>
      <c r="M4969" t="s">
        <v>42513</v>
      </c>
      <c r="N4969" t="s">
        <v>44759</v>
      </c>
      <c r="O4969" t="s">
        <v>44760</v>
      </c>
      <c r="P4969">
        <v>0</v>
      </c>
      <c r="Q4969">
        <v>0</v>
      </c>
      <c r="R4969" t="s">
        <v>44765</v>
      </c>
      <c r="S4969" t="s">
        <v>44892</v>
      </c>
      <c r="T4969" t="s">
        <v>46412</v>
      </c>
      <c r="U4969" t="s">
        <v>51140</v>
      </c>
      <c r="W4969" t="s">
        <v>42513</v>
      </c>
      <c r="X4969" t="s">
        <v>44766</v>
      </c>
    </row>
    <row r="4970" spans="1:24">
      <c r="A4970">
        <f>HYPERLINK("https://www.philgeps.gov.ph/GEPSNONPILOT/Tender/SplashBidNoticeAbstractUI.aspx?menuIndex=3&amp;refID=7148244&amp;Result=3","7148244")</f>
        <v>0</v>
      </c>
      <c r="B4970" t="s">
        <v>1842</v>
      </c>
      <c r="C4970" t="s">
        <v>8442</v>
      </c>
      <c r="D4970" t="s">
        <v>17963</v>
      </c>
      <c r="E4970" t="s">
        <v>22464</v>
      </c>
      <c r="F4970" t="s">
        <v>30900</v>
      </c>
      <c r="G4970" t="s">
        <v>30907</v>
      </c>
      <c r="H4970" t="s">
        <v>30915</v>
      </c>
      <c r="I4970" t="s">
        <v>30919</v>
      </c>
      <c r="J4970" t="s">
        <v>34357</v>
      </c>
      <c r="K4970" t="s">
        <v>40286</v>
      </c>
      <c r="M4970" t="s">
        <v>42514</v>
      </c>
      <c r="N4970" t="s">
        <v>44759</v>
      </c>
      <c r="O4970" t="s">
        <v>44760</v>
      </c>
      <c r="P4970">
        <v>0</v>
      </c>
      <c r="Q4970">
        <v>2</v>
      </c>
      <c r="R4970" t="s">
        <v>44765</v>
      </c>
      <c r="S4970" t="s">
        <v>44892</v>
      </c>
      <c r="T4970" t="s">
        <v>46439</v>
      </c>
      <c r="U4970" t="s">
        <v>51141</v>
      </c>
      <c r="W4970" t="s">
        <v>42514</v>
      </c>
      <c r="X4970" t="s">
        <v>44766</v>
      </c>
    </row>
    <row r="4971" spans="1:24">
      <c r="A4971">
        <f>HYPERLINK("https://www.philgeps.gov.ph/GEPSNONPILOT/Tender/SplashBidNoticeAbstractUI.aspx?menuIndex=3&amp;refID=7148305&amp;Result=3","7148305")</f>
        <v>0</v>
      </c>
      <c r="B4971" t="s">
        <v>1843</v>
      </c>
      <c r="C4971" t="s">
        <v>8443</v>
      </c>
      <c r="D4971" t="s">
        <v>17996</v>
      </c>
      <c r="E4971" t="s">
        <v>22468</v>
      </c>
      <c r="F4971" t="s">
        <v>30900</v>
      </c>
      <c r="G4971" t="s">
        <v>30907</v>
      </c>
      <c r="H4971" t="s">
        <v>30915</v>
      </c>
      <c r="I4971" t="s">
        <v>30919</v>
      </c>
      <c r="J4971" t="s">
        <v>34358</v>
      </c>
      <c r="K4971" t="s">
        <v>40308</v>
      </c>
      <c r="M4971" t="s">
        <v>42515</v>
      </c>
      <c r="N4971" t="s">
        <v>44759</v>
      </c>
      <c r="O4971" t="s">
        <v>44760</v>
      </c>
      <c r="P4971">
        <v>0</v>
      </c>
      <c r="Q4971">
        <v>0</v>
      </c>
      <c r="R4971" t="s">
        <v>44765</v>
      </c>
      <c r="S4971" t="s">
        <v>44892</v>
      </c>
      <c r="T4971" t="s">
        <v>46376</v>
      </c>
      <c r="U4971" t="s">
        <v>51142</v>
      </c>
      <c r="W4971" t="s">
        <v>42515</v>
      </c>
      <c r="X4971" t="s">
        <v>44766</v>
      </c>
    </row>
    <row r="4972" spans="1:24">
      <c r="A4972">
        <f>HYPERLINK("https://www.philgeps.gov.ph/GEPSNONPILOT/Tender/SplashBidNoticeAbstractUI.aspx?menuIndex=3&amp;refID=7145961&amp;Result=3","7145961")</f>
        <v>0</v>
      </c>
      <c r="B4972" t="s">
        <v>1823</v>
      </c>
      <c r="C4972" t="s">
        <v>8444</v>
      </c>
      <c r="D4972" t="s">
        <v>17959</v>
      </c>
      <c r="E4972" t="s">
        <v>22438</v>
      </c>
      <c r="F4972" t="s">
        <v>30900</v>
      </c>
      <c r="G4972" t="s">
        <v>30907</v>
      </c>
      <c r="H4972" t="s">
        <v>30916</v>
      </c>
      <c r="I4972" t="s">
        <v>31023</v>
      </c>
      <c r="J4972" t="s">
        <v>34359</v>
      </c>
      <c r="K4972" t="s">
        <v>40289</v>
      </c>
      <c r="M4972" t="s">
        <v>42496</v>
      </c>
      <c r="N4972" t="s">
        <v>44759</v>
      </c>
      <c r="O4972" t="s">
        <v>44760</v>
      </c>
      <c r="P4972">
        <v>0</v>
      </c>
      <c r="Q4972">
        <v>6</v>
      </c>
      <c r="R4972" t="s">
        <v>44765</v>
      </c>
      <c r="S4972" t="s">
        <v>44892</v>
      </c>
      <c r="T4972" t="s">
        <v>46486</v>
      </c>
      <c r="U4972" t="s">
        <v>51143</v>
      </c>
      <c r="V4972" t="s">
        <v>59634</v>
      </c>
      <c r="W4972" t="s">
        <v>42496</v>
      </c>
      <c r="X4972" t="s">
        <v>44767</v>
      </c>
    </row>
    <row r="4973" spans="1:24">
      <c r="A4973">
        <f>HYPERLINK("https://www.philgeps.gov.ph/GEPSNONPILOT/Tender/SplashBidNoticeAbstractUI.aspx?menuIndex=3&amp;refID=7148298&amp;Result=3","7148298")</f>
        <v>0</v>
      </c>
      <c r="B4973" t="s">
        <v>1844</v>
      </c>
      <c r="C4973" t="s">
        <v>8445</v>
      </c>
      <c r="D4973" t="s">
        <v>18018</v>
      </c>
      <c r="E4973" t="s">
        <v>22469</v>
      </c>
      <c r="F4973" t="s">
        <v>30900</v>
      </c>
      <c r="G4973" t="s">
        <v>30907</v>
      </c>
      <c r="H4973" t="s">
        <v>30916</v>
      </c>
      <c r="I4973" t="s">
        <v>30963</v>
      </c>
      <c r="J4973" t="s">
        <v>34360</v>
      </c>
      <c r="K4973" t="s">
        <v>40280</v>
      </c>
      <c r="M4973" t="s">
        <v>42516</v>
      </c>
      <c r="N4973" t="s">
        <v>44759</v>
      </c>
      <c r="O4973" t="s">
        <v>44760</v>
      </c>
      <c r="P4973">
        <v>0</v>
      </c>
      <c r="Q4973">
        <v>4</v>
      </c>
      <c r="R4973" t="s">
        <v>44765</v>
      </c>
      <c r="S4973" t="s">
        <v>44892</v>
      </c>
      <c r="T4973" t="s">
        <v>46429</v>
      </c>
      <c r="U4973" t="s">
        <v>51144</v>
      </c>
      <c r="W4973" t="s">
        <v>42516</v>
      </c>
      <c r="X4973" t="s">
        <v>44766</v>
      </c>
    </row>
    <row r="4974" spans="1:24">
      <c r="A4974">
        <f>HYPERLINK("https://www.philgeps.gov.ph/GEPSNONPILOT/Tender/SplashBidNoticeAbstractUI.aspx?menuIndex=3&amp;refID=7148289&amp;Result=3","7148289")</f>
        <v>0</v>
      </c>
      <c r="B4974" t="s">
        <v>1845</v>
      </c>
      <c r="C4974" t="s">
        <v>8446</v>
      </c>
      <c r="D4974" t="s">
        <v>17959</v>
      </c>
      <c r="E4974" t="s">
        <v>22470</v>
      </c>
      <c r="F4974" t="s">
        <v>30900</v>
      </c>
      <c r="G4974" t="s">
        <v>30909</v>
      </c>
      <c r="H4974" t="s">
        <v>30916</v>
      </c>
      <c r="I4974" t="s">
        <v>4142</v>
      </c>
      <c r="J4974" t="s">
        <v>34361</v>
      </c>
      <c r="K4974" t="s">
        <v>40287</v>
      </c>
      <c r="M4974" t="s">
        <v>42517</v>
      </c>
      <c r="N4974" t="s">
        <v>44759</v>
      </c>
      <c r="O4974" t="s">
        <v>44760</v>
      </c>
      <c r="P4974">
        <v>0</v>
      </c>
      <c r="Q4974">
        <v>5</v>
      </c>
      <c r="R4974" t="s">
        <v>44765</v>
      </c>
      <c r="S4974" t="s">
        <v>44892</v>
      </c>
      <c r="T4974" t="s">
        <v>46591</v>
      </c>
      <c r="U4974" t="s">
        <v>51145</v>
      </c>
      <c r="V4974" t="s">
        <v>47009</v>
      </c>
      <c r="W4974" t="s">
        <v>42517</v>
      </c>
      <c r="X4974" t="s">
        <v>44766</v>
      </c>
    </row>
    <row r="4975" spans="1:24">
      <c r="A4975">
        <f>HYPERLINK("https://www.philgeps.gov.ph/GEPSNONPILOT/Tender/SplashBidNoticeAbstractUI.aspx?menuIndex=3&amp;refID=7148277&amp;Result=3","7148277")</f>
        <v>0</v>
      </c>
      <c r="B4975" t="s">
        <v>1723</v>
      </c>
      <c r="C4975" t="s">
        <v>8447</v>
      </c>
      <c r="D4975" t="s">
        <v>17957</v>
      </c>
      <c r="E4975" t="s">
        <v>22471</v>
      </c>
      <c r="F4975" t="s">
        <v>30900</v>
      </c>
      <c r="G4975" t="s">
        <v>30907</v>
      </c>
      <c r="H4975" t="s">
        <v>30915</v>
      </c>
      <c r="I4975" t="s">
        <v>30919</v>
      </c>
      <c r="J4975" t="s">
        <v>32324</v>
      </c>
      <c r="K4975" t="s">
        <v>40304</v>
      </c>
      <c r="M4975" t="s">
        <v>42387</v>
      </c>
      <c r="N4975" t="s">
        <v>44759</v>
      </c>
      <c r="O4975" t="s">
        <v>44760</v>
      </c>
      <c r="P4975">
        <v>0</v>
      </c>
      <c r="Q4975">
        <v>0</v>
      </c>
      <c r="R4975" t="s">
        <v>44765</v>
      </c>
      <c r="S4975" t="s">
        <v>44892</v>
      </c>
      <c r="T4975" t="s">
        <v>46412</v>
      </c>
      <c r="U4975" t="s">
        <v>51146</v>
      </c>
      <c r="W4975" t="s">
        <v>42387</v>
      </c>
      <c r="X4975" t="s">
        <v>44766</v>
      </c>
    </row>
    <row r="4976" spans="1:24">
      <c r="A4976">
        <f>HYPERLINK("https://www.philgeps.gov.ph/GEPSNONPILOT/Tender/SplashBidNoticeAbstractUI.aspx?menuIndex=3&amp;refID=7148179&amp;Result=3","7148179")</f>
        <v>0</v>
      </c>
      <c r="B4976" t="s">
        <v>1846</v>
      </c>
      <c r="C4976" t="s">
        <v>8448</v>
      </c>
      <c r="D4976" t="s">
        <v>17963</v>
      </c>
      <c r="E4976" t="s">
        <v>22472</v>
      </c>
      <c r="F4976" t="s">
        <v>30900</v>
      </c>
      <c r="G4976" t="s">
        <v>30907</v>
      </c>
      <c r="H4976" t="s">
        <v>30916</v>
      </c>
      <c r="I4976" t="s">
        <v>30940</v>
      </c>
      <c r="J4976" t="s">
        <v>31050</v>
      </c>
      <c r="K4976" t="s">
        <v>40283</v>
      </c>
      <c r="M4976" t="s">
        <v>42518</v>
      </c>
      <c r="N4976" t="s">
        <v>44759</v>
      </c>
      <c r="O4976" t="s">
        <v>44760</v>
      </c>
      <c r="P4976">
        <v>0</v>
      </c>
      <c r="Q4976">
        <v>2</v>
      </c>
      <c r="R4976" t="s">
        <v>44765</v>
      </c>
      <c r="S4976" t="s">
        <v>44892</v>
      </c>
      <c r="T4976" t="s">
        <v>46487</v>
      </c>
      <c r="U4976" t="s">
        <v>51147</v>
      </c>
      <c r="W4976" t="s">
        <v>42518</v>
      </c>
      <c r="X4976" t="s">
        <v>44766</v>
      </c>
    </row>
    <row r="4977" spans="1:24">
      <c r="A4977">
        <f>HYPERLINK("https://www.philgeps.gov.ph/GEPSNONPILOT/Tender/SplashBidNoticeAbstractUI.aspx?menuIndex=3&amp;refID=7148272&amp;Result=3","7148272")</f>
        <v>0</v>
      </c>
      <c r="B4977" t="s">
        <v>1723</v>
      </c>
      <c r="C4977" t="s">
        <v>8449</v>
      </c>
      <c r="D4977" t="s">
        <v>17957</v>
      </c>
      <c r="E4977" t="s">
        <v>22473</v>
      </c>
      <c r="F4977" t="s">
        <v>30900</v>
      </c>
      <c r="G4977" t="s">
        <v>30907</v>
      </c>
      <c r="H4977" t="s">
        <v>30915</v>
      </c>
      <c r="I4977" t="s">
        <v>30919</v>
      </c>
      <c r="J4977" t="s">
        <v>31669</v>
      </c>
      <c r="K4977" t="s">
        <v>40280</v>
      </c>
      <c r="M4977" t="s">
        <v>42387</v>
      </c>
      <c r="N4977" t="s">
        <v>44759</v>
      </c>
      <c r="O4977" t="s">
        <v>44760</v>
      </c>
      <c r="P4977">
        <v>0</v>
      </c>
      <c r="Q4977">
        <v>0</v>
      </c>
      <c r="R4977" t="s">
        <v>44765</v>
      </c>
      <c r="S4977" t="s">
        <v>44892</v>
      </c>
      <c r="T4977" t="s">
        <v>46412</v>
      </c>
      <c r="U4977" t="s">
        <v>51148</v>
      </c>
      <c r="W4977" t="s">
        <v>42387</v>
      </c>
      <c r="X4977" t="s">
        <v>44766</v>
      </c>
    </row>
    <row r="4978" spans="1:24">
      <c r="A4978">
        <f>HYPERLINK("https://www.philgeps.gov.ph/GEPSNONPILOT/Tender/SplashBidNoticeAbstractUI.aspx?menuIndex=3&amp;refID=7148313&amp;Result=3","7148313")</f>
        <v>0</v>
      </c>
      <c r="B4978" t="s">
        <v>1844</v>
      </c>
      <c r="C4978" t="s">
        <v>8450</v>
      </c>
      <c r="D4978" t="s">
        <v>18018</v>
      </c>
      <c r="E4978" t="s">
        <v>22474</v>
      </c>
      <c r="F4978" t="s">
        <v>30900</v>
      </c>
      <c r="G4978" t="s">
        <v>30907</v>
      </c>
      <c r="H4978" t="s">
        <v>30916</v>
      </c>
      <c r="I4978" t="s">
        <v>30963</v>
      </c>
      <c r="J4978" t="s">
        <v>34362</v>
      </c>
      <c r="K4978" t="s">
        <v>40280</v>
      </c>
      <c r="M4978" t="s">
        <v>42516</v>
      </c>
      <c r="N4978" t="s">
        <v>44759</v>
      </c>
      <c r="O4978" t="s">
        <v>44760</v>
      </c>
      <c r="P4978">
        <v>0</v>
      </c>
      <c r="Q4978">
        <v>2</v>
      </c>
      <c r="R4978" t="s">
        <v>44765</v>
      </c>
      <c r="S4978" t="s">
        <v>44892</v>
      </c>
      <c r="T4978" t="s">
        <v>46429</v>
      </c>
      <c r="U4978" t="s">
        <v>51149</v>
      </c>
      <c r="W4978" t="s">
        <v>42516</v>
      </c>
      <c r="X4978" t="s">
        <v>44766</v>
      </c>
    </row>
    <row r="4979" spans="1:24">
      <c r="A4979">
        <f>HYPERLINK("https://www.philgeps.gov.ph/GEPSNONPILOT/Tender/SplashBidNoticeAbstractUI.aspx?menuIndex=3&amp;refID=7148271&amp;Result=3","7148271")</f>
        <v>0</v>
      </c>
      <c r="B4979" t="s">
        <v>1339</v>
      </c>
      <c r="C4979" t="s">
        <v>8451</v>
      </c>
      <c r="D4979" t="s">
        <v>18001</v>
      </c>
      <c r="E4979" t="s">
        <v>22475</v>
      </c>
      <c r="F4979" t="s">
        <v>30900</v>
      </c>
      <c r="G4979" t="s">
        <v>30907</v>
      </c>
      <c r="H4979" t="s">
        <v>30916</v>
      </c>
      <c r="I4979" t="s">
        <v>4142</v>
      </c>
      <c r="J4979" t="s">
        <v>34363</v>
      </c>
      <c r="K4979" t="s">
        <v>40289</v>
      </c>
      <c r="M4979" t="s">
        <v>41960</v>
      </c>
      <c r="N4979" t="s">
        <v>44759</v>
      </c>
      <c r="O4979" t="s">
        <v>44760</v>
      </c>
      <c r="P4979">
        <v>0</v>
      </c>
      <c r="Q4979">
        <v>2</v>
      </c>
      <c r="R4979" t="s">
        <v>44765</v>
      </c>
      <c r="S4979" t="s">
        <v>44892</v>
      </c>
      <c r="T4979" t="s">
        <v>46426</v>
      </c>
      <c r="U4979" t="s">
        <v>51150</v>
      </c>
      <c r="W4979" t="s">
        <v>41960</v>
      </c>
      <c r="X4979" t="s">
        <v>44766</v>
      </c>
    </row>
    <row r="4980" spans="1:24">
      <c r="A4980">
        <f>HYPERLINK("https://www.philgeps.gov.ph/GEPSNONPILOT/Tender/SplashBidNoticeAbstractUI.aspx?menuIndex=3&amp;refID=7148310&amp;Result=3","7148310")</f>
        <v>0</v>
      </c>
      <c r="B4980" t="s">
        <v>1841</v>
      </c>
      <c r="C4980" t="s">
        <v>8452</v>
      </c>
      <c r="E4980" t="s">
        <v>22476</v>
      </c>
      <c r="F4980" t="s">
        <v>30900</v>
      </c>
      <c r="G4980" t="s">
        <v>30907</v>
      </c>
      <c r="H4980" t="s">
        <v>30916</v>
      </c>
      <c r="I4980" t="s">
        <v>4108</v>
      </c>
      <c r="J4980" t="s">
        <v>34364</v>
      </c>
      <c r="K4980" t="s">
        <v>40289</v>
      </c>
      <c r="M4980" t="s">
        <v>42513</v>
      </c>
      <c r="N4980" t="s">
        <v>44759</v>
      </c>
      <c r="O4980" t="s">
        <v>44760</v>
      </c>
      <c r="P4980">
        <v>0</v>
      </c>
      <c r="Q4980">
        <v>0</v>
      </c>
      <c r="R4980" t="s">
        <v>44765</v>
      </c>
      <c r="S4980" t="s">
        <v>44892</v>
      </c>
      <c r="T4980" t="s">
        <v>46412</v>
      </c>
      <c r="U4980" t="s">
        <v>51140</v>
      </c>
      <c r="W4980" t="s">
        <v>42513</v>
      </c>
      <c r="X4980" t="s">
        <v>44766</v>
      </c>
    </row>
    <row r="4981" spans="1:24">
      <c r="A4981">
        <f>HYPERLINK("https://www.philgeps.gov.ph/GEPSNONPILOT/Tender/SplashBidNoticeAbstractUI.aspx?menuIndex=3&amp;refID=7148267&amp;Result=3","7148267")</f>
        <v>0</v>
      </c>
      <c r="B4981" t="s">
        <v>1200</v>
      </c>
      <c r="C4981" t="s">
        <v>8453</v>
      </c>
      <c r="D4981" t="s">
        <v>18003</v>
      </c>
      <c r="E4981" t="s">
        <v>22477</v>
      </c>
      <c r="F4981" t="s">
        <v>30900</v>
      </c>
      <c r="G4981" t="s">
        <v>30908</v>
      </c>
      <c r="H4981" t="s">
        <v>30916</v>
      </c>
      <c r="I4981" t="s">
        <v>4108</v>
      </c>
      <c r="J4981" t="s">
        <v>31043</v>
      </c>
      <c r="K4981" t="s">
        <v>40286</v>
      </c>
      <c r="M4981" t="s">
        <v>41811</v>
      </c>
      <c r="N4981" t="s">
        <v>44759</v>
      </c>
      <c r="O4981" t="s">
        <v>44760</v>
      </c>
      <c r="P4981">
        <v>0</v>
      </c>
      <c r="Q4981">
        <v>3</v>
      </c>
      <c r="R4981" t="s">
        <v>44765</v>
      </c>
      <c r="S4981" t="s">
        <v>44892</v>
      </c>
      <c r="T4981" t="s">
        <v>46421</v>
      </c>
      <c r="U4981" t="s">
        <v>51151</v>
      </c>
      <c r="W4981" t="s">
        <v>41811</v>
      </c>
      <c r="X4981" t="s">
        <v>44766</v>
      </c>
    </row>
    <row r="4982" spans="1:24">
      <c r="A4982">
        <f>HYPERLINK("https://www.philgeps.gov.ph/GEPSNONPILOT/Tender/SplashBidNoticeAbstractUI.aspx?menuIndex=3&amp;refID=7148261&amp;Result=3","7148261")</f>
        <v>0</v>
      </c>
      <c r="B4982" t="s">
        <v>1833</v>
      </c>
      <c r="C4982" t="s">
        <v>8454</v>
      </c>
      <c r="D4982" t="s">
        <v>18020</v>
      </c>
      <c r="E4982" t="s">
        <v>22478</v>
      </c>
      <c r="F4982" t="s">
        <v>30900</v>
      </c>
      <c r="G4982" t="s">
        <v>30907</v>
      </c>
      <c r="H4982" t="s">
        <v>30915</v>
      </c>
      <c r="I4982" t="s">
        <v>30919</v>
      </c>
      <c r="J4982" t="s">
        <v>34365</v>
      </c>
      <c r="K4982" t="s">
        <v>40292</v>
      </c>
      <c r="M4982" t="s">
        <v>42506</v>
      </c>
      <c r="N4982" t="s">
        <v>44759</v>
      </c>
      <c r="O4982" t="s">
        <v>44760</v>
      </c>
      <c r="P4982">
        <v>0</v>
      </c>
      <c r="Q4982">
        <v>1</v>
      </c>
      <c r="R4982" t="s">
        <v>44765</v>
      </c>
      <c r="S4982" t="s">
        <v>44892</v>
      </c>
      <c r="T4982" t="s">
        <v>46495</v>
      </c>
      <c r="U4982" t="s">
        <v>51152</v>
      </c>
      <c r="W4982" t="s">
        <v>42506</v>
      </c>
      <c r="X4982" t="s">
        <v>44766</v>
      </c>
    </row>
    <row r="4983" spans="1:24">
      <c r="A4983">
        <f>HYPERLINK("https://www.philgeps.gov.ph/GEPSNONPILOT/Tender/SplashBidNoticeAbstractUI.aspx?menuIndex=3&amp;refID=7148287&amp;Result=3","7148287")</f>
        <v>0</v>
      </c>
      <c r="B4983" t="s">
        <v>1723</v>
      </c>
      <c r="C4983" t="s">
        <v>8455</v>
      </c>
      <c r="D4983" t="s">
        <v>17957</v>
      </c>
      <c r="E4983" t="s">
        <v>22479</v>
      </c>
      <c r="F4983" t="s">
        <v>30900</v>
      </c>
      <c r="G4983" t="s">
        <v>30907</v>
      </c>
      <c r="H4983" t="s">
        <v>30915</v>
      </c>
      <c r="I4983" t="s">
        <v>30919</v>
      </c>
      <c r="J4983" t="s">
        <v>34366</v>
      </c>
      <c r="K4983" t="s">
        <v>40280</v>
      </c>
      <c r="M4983" t="s">
        <v>42387</v>
      </c>
      <c r="N4983" t="s">
        <v>44759</v>
      </c>
      <c r="O4983" t="s">
        <v>44760</v>
      </c>
      <c r="P4983">
        <v>0</v>
      </c>
      <c r="Q4983">
        <v>0</v>
      </c>
      <c r="R4983" t="s">
        <v>44765</v>
      </c>
      <c r="S4983" t="s">
        <v>44892</v>
      </c>
      <c r="T4983" t="s">
        <v>46412</v>
      </c>
      <c r="U4983" t="s">
        <v>51153</v>
      </c>
      <c r="W4983" t="s">
        <v>42387</v>
      </c>
      <c r="X4983" t="s">
        <v>44766</v>
      </c>
    </row>
    <row r="4984" spans="1:24">
      <c r="A4984">
        <f>HYPERLINK("https://www.philgeps.gov.ph/GEPSNONPILOT/Tender/SplashBidNoticeAbstractUI.aspx?menuIndex=3&amp;refID=7148256&amp;Result=3","7148256")</f>
        <v>0</v>
      </c>
      <c r="B4984" t="s">
        <v>1485</v>
      </c>
      <c r="C4984" t="s">
        <v>8456</v>
      </c>
      <c r="D4984" t="s">
        <v>17973</v>
      </c>
      <c r="E4984" t="s">
        <v>22480</v>
      </c>
      <c r="F4984" t="s">
        <v>30900</v>
      </c>
      <c r="G4984" t="s">
        <v>30908</v>
      </c>
      <c r="H4984" t="s">
        <v>30916</v>
      </c>
      <c r="I4984" t="s">
        <v>6396</v>
      </c>
      <c r="J4984" t="s">
        <v>34367</v>
      </c>
      <c r="K4984" t="s">
        <v>40281</v>
      </c>
      <c r="M4984" t="s">
        <v>42121</v>
      </c>
      <c r="N4984" t="s">
        <v>44759</v>
      </c>
      <c r="O4984" t="s">
        <v>44760</v>
      </c>
      <c r="P4984">
        <v>0</v>
      </c>
      <c r="Q4984">
        <v>4</v>
      </c>
      <c r="R4984" t="s">
        <v>44765</v>
      </c>
      <c r="S4984" t="s">
        <v>44892</v>
      </c>
      <c r="T4984" t="s">
        <v>46571</v>
      </c>
      <c r="U4984" t="s">
        <v>51154</v>
      </c>
      <c r="W4984" t="s">
        <v>42121</v>
      </c>
      <c r="X4984" t="s">
        <v>44766</v>
      </c>
    </row>
    <row r="4985" spans="1:24">
      <c r="A4985">
        <f>HYPERLINK("https://www.philgeps.gov.ph/GEPSNONPILOT/Tender/SplashBidNoticeAbstractUI.aspx?menuIndex=3&amp;refID=7148353&amp;Result=3","7148353")</f>
        <v>0</v>
      </c>
      <c r="B4985" t="s">
        <v>1362</v>
      </c>
      <c r="C4985" t="s">
        <v>8457</v>
      </c>
      <c r="D4985" t="s">
        <v>17993</v>
      </c>
      <c r="E4985" t="s">
        <v>22481</v>
      </c>
      <c r="F4985" t="s">
        <v>30900</v>
      </c>
      <c r="G4985" t="s">
        <v>30908</v>
      </c>
      <c r="H4985" t="s">
        <v>30916</v>
      </c>
      <c r="I4985" t="s">
        <v>9385</v>
      </c>
      <c r="J4985" t="s">
        <v>34368</v>
      </c>
      <c r="K4985" t="s">
        <v>40311</v>
      </c>
      <c r="M4985" t="s">
        <v>41984</v>
      </c>
      <c r="N4985" t="s">
        <v>44759</v>
      </c>
      <c r="O4985" t="s">
        <v>44760</v>
      </c>
      <c r="P4985">
        <v>0</v>
      </c>
      <c r="Q4985">
        <v>5</v>
      </c>
      <c r="R4985" t="s">
        <v>44765</v>
      </c>
      <c r="S4985" t="s">
        <v>44892</v>
      </c>
      <c r="T4985" t="s">
        <v>46571</v>
      </c>
      <c r="U4985" t="s">
        <v>51155</v>
      </c>
      <c r="W4985" t="s">
        <v>41984</v>
      </c>
      <c r="X4985" t="s">
        <v>44766</v>
      </c>
    </row>
    <row r="4986" spans="1:24">
      <c r="A4986">
        <f>HYPERLINK("https://www.philgeps.gov.ph/GEPSNONPILOT/Tender/SplashBidNoticeAbstractUI.aspx?menuIndex=3&amp;refID=7148276&amp;Result=3","7148276")</f>
        <v>0</v>
      </c>
      <c r="B4986" t="s">
        <v>1200</v>
      </c>
      <c r="C4986" t="s">
        <v>8458</v>
      </c>
      <c r="D4986" t="s">
        <v>18003</v>
      </c>
      <c r="E4986" t="s">
        <v>22482</v>
      </c>
      <c r="F4986" t="s">
        <v>30900</v>
      </c>
      <c r="G4986" t="s">
        <v>30908</v>
      </c>
      <c r="H4986" t="s">
        <v>30916</v>
      </c>
      <c r="I4986" t="s">
        <v>30924</v>
      </c>
      <c r="J4986" t="s">
        <v>34369</v>
      </c>
      <c r="K4986" t="s">
        <v>40286</v>
      </c>
      <c r="M4986" t="s">
        <v>41811</v>
      </c>
      <c r="N4986" t="s">
        <v>44759</v>
      </c>
      <c r="O4986" t="s">
        <v>44760</v>
      </c>
      <c r="P4986">
        <v>0</v>
      </c>
      <c r="Q4986">
        <v>2</v>
      </c>
      <c r="R4986" t="s">
        <v>44765</v>
      </c>
      <c r="S4986" t="s">
        <v>44892</v>
      </c>
      <c r="T4986" t="s">
        <v>46421</v>
      </c>
      <c r="U4986" t="s">
        <v>51156</v>
      </c>
      <c r="W4986" t="s">
        <v>41811</v>
      </c>
      <c r="X4986" t="s">
        <v>44766</v>
      </c>
    </row>
    <row r="4987" spans="1:24">
      <c r="A4987">
        <f>HYPERLINK("https://www.philgeps.gov.ph/GEPSNONPILOT/Tender/SplashBidNoticeAbstractUI.aspx?menuIndex=3&amp;refID=7148312&amp;Result=3","7148312")</f>
        <v>0</v>
      </c>
      <c r="B4987" t="s">
        <v>514</v>
      </c>
      <c r="C4987" t="s">
        <v>8459</v>
      </c>
      <c r="D4987" t="s">
        <v>17975</v>
      </c>
      <c r="E4987" t="s">
        <v>22483</v>
      </c>
      <c r="F4987" t="s">
        <v>30900</v>
      </c>
      <c r="G4987" t="s">
        <v>30907</v>
      </c>
      <c r="H4987" t="s">
        <v>30915</v>
      </c>
      <c r="I4987" t="s">
        <v>30919</v>
      </c>
      <c r="J4987" t="s">
        <v>34370</v>
      </c>
      <c r="K4987" t="s">
        <v>40280</v>
      </c>
      <c r="M4987" t="s">
        <v>41074</v>
      </c>
      <c r="N4987" t="s">
        <v>44759</v>
      </c>
      <c r="O4987" t="s">
        <v>44760</v>
      </c>
      <c r="P4987">
        <v>0</v>
      </c>
      <c r="Q4987">
        <v>1</v>
      </c>
      <c r="R4987" t="s">
        <v>44765</v>
      </c>
      <c r="S4987" t="s">
        <v>44892</v>
      </c>
      <c r="T4987" t="s">
        <v>46465</v>
      </c>
      <c r="U4987" t="s">
        <v>51157</v>
      </c>
      <c r="W4987" t="s">
        <v>41074</v>
      </c>
      <c r="X4987" t="s">
        <v>44766</v>
      </c>
    </row>
    <row r="4988" spans="1:24">
      <c r="A4988">
        <f>HYPERLINK("https://www.philgeps.gov.ph/GEPSNONPILOT/Tender/SplashBidNoticeAbstractUI.aspx?menuIndex=3&amp;refID=7148265&amp;Result=3","7148265")</f>
        <v>0</v>
      </c>
      <c r="B4988" t="s">
        <v>1200</v>
      </c>
      <c r="C4988" t="s">
        <v>8460</v>
      </c>
      <c r="D4988" t="s">
        <v>18003</v>
      </c>
      <c r="E4988" t="s">
        <v>22484</v>
      </c>
      <c r="F4988" t="s">
        <v>30900</v>
      </c>
      <c r="G4988" t="s">
        <v>30908</v>
      </c>
      <c r="H4988" t="s">
        <v>30916</v>
      </c>
      <c r="I4988" t="s">
        <v>4017</v>
      </c>
      <c r="J4988" t="s">
        <v>31049</v>
      </c>
      <c r="K4988" t="s">
        <v>40286</v>
      </c>
      <c r="M4988" t="s">
        <v>41811</v>
      </c>
      <c r="N4988" t="s">
        <v>44759</v>
      </c>
      <c r="O4988" t="s">
        <v>44760</v>
      </c>
      <c r="P4988">
        <v>0</v>
      </c>
      <c r="Q4988">
        <v>5</v>
      </c>
      <c r="R4988" t="s">
        <v>44765</v>
      </c>
      <c r="S4988" t="s">
        <v>44892</v>
      </c>
      <c r="T4988" t="s">
        <v>46421</v>
      </c>
      <c r="U4988" t="s">
        <v>51158</v>
      </c>
      <c r="W4988" t="s">
        <v>41811</v>
      </c>
      <c r="X4988" t="s">
        <v>44766</v>
      </c>
    </row>
    <row r="4989" spans="1:24">
      <c r="A4989">
        <f>HYPERLINK("https://www.philgeps.gov.ph/GEPSNONPILOT/Tender/SplashBidNoticeAbstractUI.aspx?menuIndex=3&amp;refID=7148355&amp;Result=3","7148355")</f>
        <v>0</v>
      </c>
      <c r="B4989" t="s">
        <v>1844</v>
      </c>
      <c r="C4989" t="s">
        <v>8461</v>
      </c>
      <c r="D4989" t="s">
        <v>18018</v>
      </c>
      <c r="E4989" t="s">
        <v>22485</v>
      </c>
      <c r="F4989" t="s">
        <v>30900</v>
      </c>
      <c r="G4989" t="s">
        <v>30907</v>
      </c>
      <c r="H4989" t="s">
        <v>30916</v>
      </c>
      <c r="I4989" t="s">
        <v>30963</v>
      </c>
      <c r="J4989" t="s">
        <v>31048</v>
      </c>
      <c r="K4989" t="s">
        <v>40280</v>
      </c>
      <c r="M4989" t="s">
        <v>42516</v>
      </c>
      <c r="N4989" t="s">
        <v>44759</v>
      </c>
      <c r="O4989" t="s">
        <v>44760</v>
      </c>
      <c r="P4989">
        <v>0</v>
      </c>
      <c r="Q4989">
        <v>2</v>
      </c>
      <c r="R4989" t="s">
        <v>44765</v>
      </c>
      <c r="S4989" t="s">
        <v>44892</v>
      </c>
      <c r="T4989" t="s">
        <v>46429</v>
      </c>
      <c r="U4989" t="s">
        <v>51159</v>
      </c>
      <c r="W4989" t="s">
        <v>42516</v>
      </c>
      <c r="X4989" t="s">
        <v>44766</v>
      </c>
    </row>
    <row r="4990" spans="1:24">
      <c r="A4990">
        <f>HYPERLINK("https://www.philgeps.gov.ph/GEPSNONPILOT/Tender/SplashBidNoticeAbstractUI.aspx?menuIndex=3&amp;refID=7148280&amp;Result=3","7148280")</f>
        <v>0</v>
      </c>
      <c r="B4990" t="s">
        <v>1200</v>
      </c>
      <c r="C4990" t="s">
        <v>8462</v>
      </c>
      <c r="D4990" t="s">
        <v>18003</v>
      </c>
      <c r="E4990" t="s">
        <v>22486</v>
      </c>
      <c r="F4990" t="s">
        <v>30900</v>
      </c>
      <c r="G4990" t="s">
        <v>30908</v>
      </c>
      <c r="H4990" t="s">
        <v>30916</v>
      </c>
      <c r="I4990" t="s">
        <v>4108</v>
      </c>
      <c r="J4990" t="s">
        <v>31056</v>
      </c>
      <c r="K4990" t="s">
        <v>40286</v>
      </c>
      <c r="M4990" t="s">
        <v>41811</v>
      </c>
      <c r="N4990" t="s">
        <v>44759</v>
      </c>
      <c r="O4990" t="s">
        <v>44760</v>
      </c>
      <c r="P4990">
        <v>0</v>
      </c>
      <c r="Q4990">
        <v>2</v>
      </c>
      <c r="R4990" t="s">
        <v>44765</v>
      </c>
      <c r="S4990" t="s">
        <v>44892</v>
      </c>
      <c r="T4990" t="s">
        <v>46421</v>
      </c>
      <c r="U4990" t="s">
        <v>51160</v>
      </c>
      <c r="W4990" t="s">
        <v>41811</v>
      </c>
      <c r="X4990" t="s">
        <v>44766</v>
      </c>
    </row>
    <row r="4991" spans="1:24">
      <c r="A4991">
        <f>HYPERLINK("https://www.philgeps.gov.ph/GEPSNONPILOT/Tender/SplashBidNoticeAbstractUI.aspx?menuIndex=3&amp;refID=7148343&amp;Result=3","7148343")</f>
        <v>0</v>
      </c>
      <c r="B4991" t="s">
        <v>1844</v>
      </c>
      <c r="C4991" t="s">
        <v>8463</v>
      </c>
      <c r="D4991" t="s">
        <v>18018</v>
      </c>
      <c r="E4991" t="s">
        <v>22487</v>
      </c>
      <c r="F4991" t="s">
        <v>30900</v>
      </c>
      <c r="G4991" t="s">
        <v>30907</v>
      </c>
      <c r="H4991" t="s">
        <v>30916</v>
      </c>
      <c r="I4991" t="s">
        <v>30963</v>
      </c>
      <c r="J4991" t="s">
        <v>34371</v>
      </c>
      <c r="K4991" t="s">
        <v>40280</v>
      </c>
      <c r="M4991" t="s">
        <v>42516</v>
      </c>
      <c r="N4991" t="s">
        <v>44759</v>
      </c>
      <c r="O4991" t="s">
        <v>44760</v>
      </c>
      <c r="P4991">
        <v>0</v>
      </c>
      <c r="Q4991">
        <v>2</v>
      </c>
      <c r="R4991" t="s">
        <v>44765</v>
      </c>
      <c r="S4991" t="s">
        <v>44892</v>
      </c>
      <c r="T4991" t="s">
        <v>46429</v>
      </c>
      <c r="U4991" t="s">
        <v>51161</v>
      </c>
      <c r="W4991" t="s">
        <v>42516</v>
      </c>
      <c r="X4991" t="s">
        <v>44766</v>
      </c>
    </row>
    <row r="4992" spans="1:24">
      <c r="A4992">
        <f>HYPERLINK("https://www.philgeps.gov.ph/GEPSNONPILOT/Tender/SplashBidNoticeAbstractUI.aspx?menuIndex=3&amp;refID=7148347&amp;Result=3","7148347")</f>
        <v>0</v>
      </c>
      <c r="B4992" t="s">
        <v>1841</v>
      </c>
      <c r="C4992" t="s">
        <v>8464</v>
      </c>
      <c r="E4992" t="s">
        <v>22488</v>
      </c>
      <c r="F4992" t="s">
        <v>30900</v>
      </c>
      <c r="G4992" t="s">
        <v>30907</v>
      </c>
      <c r="H4992" t="s">
        <v>30916</v>
      </c>
      <c r="I4992" t="s">
        <v>30981</v>
      </c>
      <c r="J4992" t="s">
        <v>32515</v>
      </c>
      <c r="K4992" t="s">
        <v>40289</v>
      </c>
      <c r="M4992" t="s">
        <v>42513</v>
      </c>
      <c r="N4992" t="s">
        <v>44759</v>
      </c>
      <c r="O4992" t="s">
        <v>44760</v>
      </c>
      <c r="P4992">
        <v>0</v>
      </c>
      <c r="Q4992">
        <v>0</v>
      </c>
      <c r="R4992" t="s">
        <v>44765</v>
      </c>
      <c r="S4992" t="s">
        <v>44892</v>
      </c>
      <c r="T4992" t="s">
        <v>46412</v>
      </c>
      <c r="U4992" t="s">
        <v>51140</v>
      </c>
      <c r="W4992" t="s">
        <v>42513</v>
      </c>
      <c r="X4992" t="s">
        <v>44766</v>
      </c>
    </row>
    <row r="4993" spans="1:24">
      <c r="A4993">
        <f>HYPERLINK("https://www.philgeps.gov.ph/GEPSNONPILOT/Tender/SplashBidNoticeAbstractUI.aspx?menuIndex=3&amp;refID=7148337&amp;Result=3","7148337")</f>
        <v>0</v>
      </c>
      <c r="B4993" t="s">
        <v>417</v>
      </c>
      <c r="C4993" t="s">
        <v>8465</v>
      </c>
      <c r="D4993" t="s">
        <v>17966</v>
      </c>
      <c r="E4993" t="s">
        <v>22489</v>
      </c>
      <c r="F4993" t="s">
        <v>30900</v>
      </c>
      <c r="G4993" t="s">
        <v>30908</v>
      </c>
      <c r="H4993" t="s">
        <v>30916</v>
      </c>
      <c r="I4993" t="s">
        <v>30923</v>
      </c>
      <c r="J4993" t="s">
        <v>34372</v>
      </c>
      <c r="K4993" t="s">
        <v>40283</v>
      </c>
      <c r="M4993" t="s">
        <v>40973</v>
      </c>
      <c r="N4993" t="s">
        <v>44759</v>
      </c>
      <c r="O4993" t="s">
        <v>44760</v>
      </c>
      <c r="P4993">
        <v>0</v>
      </c>
      <c r="Q4993">
        <v>6</v>
      </c>
      <c r="R4993" t="s">
        <v>44765</v>
      </c>
      <c r="S4993" t="s">
        <v>44892</v>
      </c>
      <c r="T4993" t="s">
        <v>46700</v>
      </c>
      <c r="U4993" t="s">
        <v>51103</v>
      </c>
      <c r="W4993" t="s">
        <v>40973</v>
      </c>
      <c r="X4993" t="s">
        <v>44766</v>
      </c>
    </row>
    <row r="4994" spans="1:24">
      <c r="A4994">
        <f>HYPERLINK("https://www.philgeps.gov.ph/GEPSNONPILOT/Tender/SplashBidNoticeAbstractUI.aspx?menuIndex=3&amp;refID=7148335&amp;Result=3","7148335")</f>
        <v>0</v>
      </c>
      <c r="B4994" t="s">
        <v>1841</v>
      </c>
      <c r="C4994" t="s">
        <v>8466</v>
      </c>
      <c r="E4994" t="s">
        <v>22490</v>
      </c>
      <c r="F4994" t="s">
        <v>30900</v>
      </c>
      <c r="G4994" t="s">
        <v>30907</v>
      </c>
      <c r="H4994" t="s">
        <v>30916</v>
      </c>
      <c r="I4994" t="s">
        <v>30949</v>
      </c>
      <c r="J4994" t="s">
        <v>31270</v>
      </c>
      <c r="K4994" t="s">
        <v>40289</v>
      </c>
      <c r="M4994" t="s">
        <v>42513</v>
      </c>
      <c r="N4994" t="s">
        <v>44759</v>
      </c>
      <c r="O4994" t="s">
        <v>44760</v>
      </c>
      <c r="P4994">
        <v>0</v>
      </c>
      <c r="Q4994">
        <v>4</v>
      </c>
      <c r="R4994" t="s">
        <v>44765</v>
      </c>
      <c r="S4994" t="s">
        <v>44892</v>
      </c>
      <c r="T4994" t="s">
        <v>46412</v>
      </c>
      <c r="U4994" t="s">
        <v>51140</v>
      </c>
      <c r="W4994" t="s">
        <v>42513</v>
      </c>
      <c r="X4994" t="s">
        <v>44766</v>
      </c>
    </row>
    <row r="4995" spans="1:24">
      <c r="A4995">
        <f>HYPERLINK("https://www.philgeps.gov.ph/GEPSNONPILOT/Tender/SplashBidNoticeAbstractUI.aspx?menuIndex=3&amp;refID=7148348&amp;Result=3","7148348")</f>
        <v>0</v>
      </c>
      <c r="B4995" t="s">
        <v>1841</v>
      </c>
      <c r="C4995" t="s">
        <v>8467</v>
      </c>
      <c r="E4995" t="s">
        <v>22491</v>
      </c>
      <c r="F4995" t="s">
        <v>30900</v>
      </c>
      <c r="G4995" t="s">
        <v>30907</v>
      </c>
      <c r="H4995" t="s">
        <v>30916</v>
      </c>
      <c r="I4995" t="s">
        <v>30939</v>
      </c>
      <c r="J4995" t="s">
        <v>31243</v>
      </c>
      <c r="K4995" t="s">
        <v>40289</v>
      </c>
      <c r="M4995" t="s">
        <v>42513</v>
      </c>
      <c r="N4995" t="s">
        <v>44759</v>
      </c>
      <c r="O4995" t="s">
        <v>44760</v>
      </c>
      <c r="P4995">
        <v>0</v>
      </c>
      <c r="Q4995">
        <v>0</v>
      </c>
      <c r="R4995" t="s">
        <v>44765</v>
      </c>
      <c r="S4995" t="s">
        <v>44892</v>
      </c>
      <c r="T4995" t="s">
        <v>46412</v>
      </c>
      <c r="U4995" t="s">
        <v>51140</v>
      </c>
      <c r="W4995" t="s">
        <v>42513</v>
      </c>
      <c r="X4995" t="s">
        <v>44766</v>
      </c>
    </row>
    <row r="4996" spans="1:24">
      <c r="A4996">
        <f>HYPERLINK("https://www.philgeps.gov.ph/GEPSNONPILOT/Tender/SplashBidNoticeAbstractUI.aspx?menuIndex=3&amp;refID=7148333&amp;Result=3","7148333")</f>
        <v>0</v>
      </c>
      <c r="B4996" t="s">
        <v>1847</v>
      </c>
      <c r="C4996" t="s">
        <v>8468</v>
      </c>
      <c r="D4996" t="s">
        <v>17971</v>
      </c>
      <c r="E4996" t="s">
        <v>22492</v>
      </c>
      <c r="F4996" t="s">
        <v>30900</v>
      </c>
      <c r="G4996" t="s">
        <v>30907</v>
      </c>
      <c r="H4996" t="s">
        <v>30916</v>
      </c>
      <c r="I4996" t="s">
        <v>30927</v>
      </c>
      <c r="J4996" t="s">
        <v>34373</v>
      </c>
      <c r="K4996" t="s">
        <v>40284</v>
      </c>
      <c r="M4996" t="s">
        <v>42519</v>
      </c>
      <c r="N4996" t="s">
        <v>44759</v>
      </c>
      <c r="O4996" t="s">
        <v>44760</v>
      </c>
      <c r="P4996">
        <v>0</v>
      </c>
      <c r="Q4996">
        <v>0</v>
      </c>
      <c r="R4996" t="s">
        <v>44765</v>
      </c>
      <c r="S4996" t="s">
        <v>44892</v>
      </c>
      <c r="T4996" t="s">
        <v>46357</v>
      </c>
      <c r="U4996" t="s">
        <v>51162</v>
      </c>
      <c r="W4996" t="s">
        <v>42519</v>
      </c>
      <c r="X4996" t="s">
        <v>44766</v>
      </c>
    </row>
    <row r="4997" spans="1:24">
      <c r="A4997">
        <f>HYPERLINK("https://www.philgeps.gov.ph/GEPSNONPILOT/Tender/SplashBidNoticeAbstractUI.aspx?menuIndex=3&amp;refID=7148330&amp;Result=3","7148330")</f>
        <v>0</v>
      </c>
      <c r="B4997" t="s">
        <v>1723</v>
      </c>
      <c r="C4997" t="s">
        <v>8469</v>
      </c>
      <c r="D4997" t="s">
        <v>17957</v>
      </c>
      <c r="E4997" t="s">
        <v>22493</v>
      </c>
      <c r="F4997" t="s">
        <v>30900</v>
      </c>
      <c r="G4997" t="s">
        <v>30907</v>
      </c>
      <c r="H4997" t="s">
        <v>30915</v>
      </c>
      <c r="I4997" t="s">
        <v>30919</v>
      </c>
      <c r="J4997" t="s">
        <v>32324</v>
      </c>
      <c r="K4997" t="s">
        <v>40304</v>
      </c>
      <c r="M4997" t="s">
        <v>42387</v>
      </c>
      <c r="N4997" t="s">
        <v>44759</v>
      </c>
      <c r="O4997" t="s">
        <v>44760</v>
      </c>
      <c r="P4997">
        <v>0</v>
      </c>
      <c r="Q4997">
        <v>0</v>
      </c>
      <c r="R4997" t="s">
        <v>44765</v>
      </c>
      <c r="S4997" t="s">
        <v>44892</v>
      </c>
      <c r="T4997" t="s">
        <v>46412</v>
      </c>
      <c r="U4997" t="s">
        <v>51163</v>
      </c>
      <c r="W4997" t="s">
        <v>42387</v>
      </c>
      <c r="X4997" t="s">
        <v>44766</v>
      </c>
    </row>
    <row r="4998" spans="1:24">
      <c r="A4998">
        <f>HYPERLINK("https://www.philgeps.gov.ph/GEPSNONPILOT/Tender/SplashBidNoticeAbstractUI.aspx?menuIndex=3&amp;refID=7148338&amp;Result=3","7148338")</f>
        <v>0</v>
      </c>
      <c r="B4998" t="s">
        <v>1848</v>
      </c>
      <c r="C4998" t="s">
        <v>8470</v>
      </c>
      <c r="D4998" t="s">
        <v>18002</v>
      </c>
      <c r="E4998" t="s">
        <v>22494</v>
      </c>
      <c r="F4998" t="s">
        <v>30900</v>
      </c>
      <c r="G4998" t="s">
        <v>30909</v>
      </c>
      <c r="H4998" t="s">
        <v>30916</v>
      </c>
      <c r="I4998" t="s">
        <v>11785</v>
      </c>
      <c r="J4998" t="s">
        <v>33288</v>
      </c>
      <c r="K4998" t="s">
        <v>40288</v>
      </c>
      <c r="M4998" t="s">
        <v>42520</v>
      </c>
      <c r="N4998" t="s">
        <v>44759</v>
      </c>
      <c r="O4998" t="s">
        <v>44760</v>
      </c>
      <c r="P4998">
        <v>0</v>
      </c>
      <c r="Q4998">
        <v>7</v>
      </c>
      <c r="R4998" t="s">
        <v>44765</v>
      </c>
      <c r="S4998" t="s">
        <v>44892</v>
      </c>
      <c r="T4998" t="s">
        <v>46700</v>
      </c>
      <c r="U4998" t="s">
        <v>51164</v>
      </c>
      <c r="W4998" t="s">
        <v>42520</v>
      </c>
      <c r="X4998" t="s">
        <v>44766</v>
      </c>
    </row>
    <row r="4999" spans="1:24">
      <c r="A4999">
        <f>HYPERLINK("https://www.philgeps.gov.ph/GEPSNONPILOT/Tender/SplashBidNoticeAbstractUI.aspx?menuIndex=3&amp;refID=7148394&amp;Result=3","7148394")</f>
        <v>0</v>
      </c>
      <c r="B4999" t="s">
        <v>1723</v>
      </c>
      <c r="C4999" t="s">
        <v>8471</v>
      </c>
      <c r="D4999" t="s">
        <v>17957</v>
      </c>
      <c r="E4999" t="s">
        <v>22495</v>
      </c>
      <c r="F4999" t="s">
        <v>30900</v>
      </c>
      <c r="G4999" t="s">
        <v>30909</v>
      </c>
      <c r="H4999" t="s">
        <v>30916</v>
      </c>
      <c r="I4999" t="s">
        <v>30924</v>
      </c>
      <c r="J4999" t="s">
        <v>31713</v>
      </c>
      <c r="K4999" t="s">
        <v>40286</v>
      </c>
      <c r="M4999" t="s">
        <v>42387</v>
      </c>
      <c r="N4999" t="s">
        <v>44759</v>
      </c>
      <c r="O4999" t="s">
        <v>44760</v>
      </c>
      <c r="P4999">
        <v>0</v>
      </c>
      <c r="Q4999">
        <v>2</v>
      </c>
      <c r="R4999" t="s">
        <v>44765</v>
      </c>
      <c r="S4999" t="s">
        <v>44892</v>
      </c>
      <c r="T4999" t="s">
        <v>46412</v>
      </c>
      <c r="U4999" t="s">
        <v>51165</v>
      </c>
      <c r="W4999" t="s">
        <v>42387</v>
      </c>
      <c r="X4999" t="s">
        <v>44766</v>
      </c>
    </row>
    <row r="5000" spans="1:24">
      <c r="A5000">
        <f>HYPERLINK("https://www.philgeps.gov.ph/GEPSNONPILOT/Tender/SplashBidNoticeAbstractUI.aspx?menuIndex=3&amp;refID=7148393&amp;Result=3","7148393")</f>
        <v>0</v>
      </c>
      <c r="B5000" t="s">
        <v>417</v>
      </c>
      <c r="C5000" t="s">
        <v>8472</v>
      </c>
      <c r="D5000" t="s">
        <v>17966</v>
      </c>
      <c r="E5000" t="s">
        <v>22496</v>
      </c>
      <c r="F5000" t="s">
        <v>30900</v>
      </c>
      <c r="G5000" t="s">
        <v>30910</v>
      </c>
      <c r="H5000" t="s">
        <v>30916</v>
      </c>
      <c r="I5000" t="s">
        <v>4142</v>
      </c>
      <c r="J5000" t="s">
        <v>32019</v>
      </c>
      <c r="K5000" t="s">
        <v>40283</v>
      </c>
      <c r="M5000" t="s">
        <v>40973</v>
      </c>
      <c r="N5000" t="s">
        <v>44759</v>
      </c>
      <c r="O5000" t="s">
        <v>44760</v>
      </c>
      <c r="P5000">
        <v>0</v>
      </c>
      <c r="Q5000">
        <v>2</v>
      </c>
      <c r="R5000" t="s">
        <v>44765</v>
      </c>
      <c r="S5000" t="s">
        <v>44892</v>
      </c>
      <c r="T5000" t="s">
        <v>46700</v>
      </c>
      <c r="U5000" t="s">
        <v>51103</v>
      </c>
      <c r="W5000" t="s">
        <v>40973</v>
      </c>
      <c r="X5000" t="s">
        <v>44766</v>
      </c>
    </row>
    <row r="5001" spans="1:24">
      <c r="A5001">
        <f>HYPERLINK("https://www.philgeps.gov.ph/GEPSNONPILOT/Tender/SplashBidNoticeAbstractUI.aspx?menuIndex=3&amp;refID=7148341&amp;Result=3","7148341")</f>
        <v>0</v>
      </c>
      <c r="B5001" t="s">
        <v>514</v>
      </c>
      <c r="C5001" t="s">
        <v>8473</v>
      </c>
      <c r="D5001" t="s">
        <v>17975</v>
      </c>
      <c r="E5001" t="s">
        <v>22497</v>
      </c>
      <c r="F5001" t="s">
        <v>30900</v>
      </c>
      <c r="G5001" t="s">
        <v>30907</v>
      </c>
      <c r="H5001" t="s">
        <v>30915</v>
      </c>
      <c r="I5001" t="s">
        <v>30919</v>
      </c>
      <c r="J5001" t="s">
        <v>34374</v>
      </c>
      <c r="K5001" t="s">
        <v>40293</v>
      </c>
      <c r="M5001" t="s">
        <v>41074</v>
      </c>
      <c r="N5001" t="s">
        <v>44759</v>
      </c>
      <c r="O5001" t="s">
        <v>44760</v>
      </c>
      <c r="P5001">
        <v>0</v>
      </c>
      <c r="Q5001">
        <v>0</v>
      </c>
      <c r="R5001" t="s">
        <v>44765</v>
      </c>
      <c r="S5001" t="s">
        <v>44892</v>
      </c>
      <c r="T5001" t="s">
        <v>46465</v>
      </c>
      <c r="U5001" t="s">
        <v>51157</v>
      </c>
      <c r="W5001" t="s">
        <v>41074</v>
      </c>
      <c r="X5001" t="s">
        <v>44766</v>
      </c>
    </row>
    <row r="5002" spans="1:24">
      <c r="A5002">
        <f>HYPERLINK("https://www.philgeps.gov.ph/GEPSNONPILOT/Tender/SplashBidNoticeAbstractUI.aspx?menuIndex=3&amp;refID=7148392&amp;Result=3","7148392")</f>
        <v>0</v>
      </c>
      <c r="B5002" t="s">
        <v>1849</v>
      </c>
      <c r="C5002" t="s">
        <v>8474</v>
      </c>
      <c r="D5002" t="s">
        <v>17961</v>
      </c>
      <c r="E5002" t="s">
        <v>22498</v>
      </c>
      <c r="F5002" t="s">
        <v>30900</v>
      </c>
      <c r="G5002" t="s">
        <v>30908</v>
      </c>
      <c r="H5002" t="s">
        <v>30916</v>
      </c>
      <c r="I5002" t="s">
        <v>6396</v>
      </c>
      <c r="J5002" t="s">
        <v>31139</v>
      </c>
      <c r="K5002" t="s">
        <v>40289</v>
      </c>
      <c r="L5002" t="s">
        <v>1849</v>
      </c>
      <c r="M5002" t="s">
        <v>42521</v>
      </c>
      <c r="N5002" t="s">
        <v>44759</v>
      </c>
      <c r="O5002" t="s">
        <v>44760</v>
      </c>
      <c r="P5002">
        <v>0</v>
      </c>
      <c r="Q5002">
        <v>0</v>
      </c>
      <c r="R5002" t="s">
        <v>44765</v>
      </c>
      <c r="S5002" t="s">
        <v>44892</v>
      </c>
      <c r="T5002" t="s">
        <v>46571</v>
      </c>
      <c r="U5002" t="s">
        <v>51166</v>
      </c>
      <c r="W5002" t="s">
        <v>42521</v>
      </c>
      <c r="X5002" t="s">
        <v>44766</v>
      </c>
    </row>
    <row r="5003" spans="1:24">
      <c r="A5003">
        <f>HYPERLINK("https://www.philgeps.gov.ph/GEPSNONPILOT/Tender/SplashBidNoticeAbstractUI.aspx?menuIndex=3&amp;refID=7148390&amp;Result=3","7148390")</f>
        <v>0</v>
      </c>
      <c r="B5003" t="s">
        <v>417</v>
      </c>
      <c r="C5003" t="s">
        <v>8475</v>
      </c>
      <c r="D5003" t="s">
        <v>17966</v>
      </c>
      <c r="E5003" t="s">
        <v>22499</v>
      </c>
      <c r="F5003" t="s">
        <v>30900</v>
      </c>
      <c r="G5003" t="s">
        <v>30908</v>
      </c>
      <c r="H5003" t="s">
        <v>30916</v>
      </c>
      <c r="I5003" t="s">
        <v>6953</v>
      </c>
      <c r="J5003" t="s">
        <v>34375</v>
      </c>
      <c r="K5003" t="s">
        <v>40283</v>
      </c>
      <c r="M5003" t="s">
        <v>40973</v>
      </c>
      <c r="N5003" t="s">
        <v>44759</v>
      </c>
      <c r="O5003" t="s">
        <v>44760</v>
      </c>
      <c r="P5003">
        <v>0</v>
      </c>
      <c r="Q5003">
        <v>0</v>
      </c>
      <c r="R5003" t="s">
        <v>44765</v>
      </c>
      <c r="S5003" t="s">
        <v>44892</v>
      </c>
      <c r="T5003" t="s">
        <v>46700</v>
      </c>
      <c r="U5003" t="s">
        <v>51103</v>
      </c>
      <c r="W5003" t="s">
        <v>40973</v>
      </c>
      <c r="X5003" t="s">
        <v>44766</v>
      </c>
    </row>
    <row r="5004" spans="1:24">
      <c r="A5004">
        <f>HYPERLINK("https://www.philgeps.gov.ph/GEPSNONPILOT/Tender/SplashBidNoticeAbstractUI.aspx?menuIndex=3&amp;refID=7148387&amp;Result=3","7148387")</f>
        <v>0</v>
      </c>
      <c r="B5004" t="s">
        <v>1362</v>
      </c>
      <c r="C5004" t="s">
        <v>8476</v>
      </c>
      <c r="D5004" t="s">
        <v>17993</v>
      </c>
      <c r="E5004" t="s">
        <v>22481</v>
      </c>
      <c r="F5004" t="s">
        <v>30900</v>
      </c>
      <c r="G5004" t="s">
        <v>30909</v>
      </c>
      <c r="H5004" t="s">
        <v>30916</v>
      </c>
      <c r="I5004" t="s">
        <v>30923</v>
      </c>
      <c r="J5004" t="s">
        <v>31271</v>
      </c>
      <c r="K5004" t="s">
        <v>40311</v>
      </c>
      <c r="M5004" t="s">
        <v>41984</v>
      </c>
      <c r="N5004" t="s">
        <v>44759</v>
      </c>
      <c r="O5004" t="s">
        <v>44760</v>
      </c>
      <c r="P5004">
        <v>0</v>
      </c>
      <c r="Q5004">
        <v>19</v>
      </c>
      <c r="R5004" t="s">
        <v>44765</v>
      </c>
      <c r="S5004" t="s">
        <v>44892</v>
      </c>
      <c r="T5004" t="s">
        <v>46571</v>
      </c>
      <c r="U5004" t="s">
        <v>51167</v>
      </c>
      <c r="W5004" t="s">
        <v>41984</v>
      </c>
      <c r="X5004" t="s">
        <v>44766</v>
      </c>
    </row>
    <row r="5005" spans="1:24">
      <c r="A5005">
        <f>HYPERLINK("https://www.philgeps.gov.ph/GEPSNONPILOT/Tender/SplashBidNoticeAbstractUI.aspx?menuIndex=3&amp;refID=7148386&amp;Result=3","7148386")</f>
        <v>0</v>
      </c>
      <c r="B5005" t="s">
        <v>514</v>
      </c>
      <c r="C5005" t="s">
        <v>8477</v>
      </c>
      <c r="D5005" t="s">
        <v>17975</v>
      </c>
      <c r="E5005" t="s">
        <v>22500</v>
      </c>
      <c r="F5005" t="s">
        <v>30900</v>
      </c>
      <c r="G5005" t="s">
        <v>30907</v>
      </c>
      <c r="H5005" t="s">
        <v>30916</v>
      </c>
      <c r="I5005" t="s">
        <v>8123</v>
      </c>
      <c r="J5005" t="s">
        <v>34376</v>
      </c>
      <c r="K5005" t="s">
        <v>40283</v>
      </c>
      <c r="M5005" t="s">
        <v>41074</v>
      </c>
      <c r="N5005" t="s">
        <v>44759</v>
      </c>
      <c r="O5005" t="s">
        <v>44760</v>
      </c>
      <c r="P5005">
        <v>0</v>
      </c>
      <c r="Q5005">
        <v>1</v>
      </c>
      <c r="R5005" t="s">
        <v>44765</v>
      </c>
      <c r="S5005" t="s">
        <v>44892</v>
      </c>
      <c r="T5005" t="s">
        <v>46361</v>
      </c>
      <c r="U5005" t="s">
        <v>51157</v>
      </c>
      <c r="W5005" t="s">
        <v>41074</v>
      </c>
      <c r="X5005" t="s">
        <v>44766</v>
      </c>
    </row>
    <row r="5006" spans="1:24">
      <c r="A5006">
        <f>HYPERLINK("https://www.philgeps.gov.ph/GEPSNONPILOT/Tender/SplashBidNoticeAbstractUI.aspx?menuIndex=3&amp;refID=7148334&amp;Result=3","7148334")</f>
        <v>0</v>
      </c>
      <c r="B5006" t="s">
        <v>1844</v>
      </c>
      <c r="C5006" t="s">
        <v>8478</v>
      </c>
      <c r="D5006" t="s">
        <v>18018</v>
      </c>
      <c r="E5006" t="s">
        <v>22501</v>
      </c>
      <c r="F5006" t="s">
        <v>30900</v>
      </c>
      <c r="G5006" t="s">
        <v>30907</v>
      </c>
      <c r="H5006" t="s">
        <v>30916</v>
      </c>
      <c r="I5006" t="s">
        <v>30963</v>
      </c>
      <c r="J5006" t="s">
        <v>31048</v>
      </c>
      <c r="K5006" t="s">
        <v>40280</v>
      </c>
      <c r="M5006" t="s">
        <v>42516</v>
      </c>
      <c r="N5006" t="s">
        <v>44759</v>
      </c>
      <c r="O5006" t="s">
        <v>44760</v>
      </c>
      <c r="P5006">
        <v>0</v>
      </c>
      <c r="Q5006">
        <v>2</v>
      </c>
      <c r="R5006" t="s">
        <v>44765</v>
      </c>
      <c r="S5006" t="s">
        <v>44892</v>
      </c>
      <c r="T5006" t="s">
        <v>46429</v>
      </c>
      <c r="U5006" t="s">
        <v>51168</v>
      </c>
      <c r="W5006" t="s">
        <v>42516</v>
      </c>
      <c r="X5006" t="s">
        <v>44766</v>
      </c>
    </row>
    <row r="5007" spans="1:24">
      <c r="A5007">
        <f>HYPERLINK("https://www.philgeps.gov.ph/GEPSNONPILOT/Tender/SplashBidNoticeAbstractUI.aspx?menuIndex=3&amp;refID=7148384&amp;Result=3","7148384")</f>
        <v>0</v>
      </c>
      <c r="B5007" t="s">
        <v>417</v>
      </c>
      <c r="C5007" t="s">
        <v>8479</v>
      </c>
      <c r="D5007" t="s">
        <v>17966</v>
      </c>
      <c r="E5007" t="s">
        <v>22502</v>
      </c>
      <c r="F5007" t="s">
        <v>30900</v>
      </c>
      <c r="G5007" t="s">
        <v>30908</v>
      </c>
      <c r="H5007" t="s">
        <v>30916</v>
      </c>
      <c r="I5007" t="s">
        <v>30983</v>
      </c>
      <c r="J5007" t="s">
        <v>31096</v>
      </c>
      <c r="K5007" t="s">
        <v>40283</v>
      </c>
      <c r="M5007" t="s">
        <v>40973</v>
      </c>
      <c r="N5007" t="s">
        <v>44759</v>
      </c>
      <c r="O5007" t="s">
        <v>44760</v>
      </c>
      <c r="P5007">
        <v>0</v>
      </c>
      <c r="Q5007">
        <v>1</v>
      </c>
      <c r="R5007" t="s">
        <v>44765</v>
      </c>
      <c r="S5007" t="s">
        <v>44892</v>
      </c>
      <c r="T5007" t="s">
        <v>46700</v>
      </c>
      <c r="U5007" t="s">
        <v>51103</v>
      </c>
      <c r="W5007" t="s">
        <v>40973</v>
      </c>
      <c r="X5007" t="s">
        <v>44766</v>
      </c>
    </row>
    <row r="5008" spans="1:24">
      <c r="A5008">
        <f>HYPERLINK("https://www.philgeps.gov.ph/GEPSNONPILOT/Tender/SplashBidNoticeAbstractUI.aspx?menuIndex=3&amp;refID=7148352&amp;Result=3","7148352")</f>
        <v>0</v>
      </c>
      <c r="B5008" t="s">
        <v>1841</v>
      </c>
      <c r="C5008" t="s">
        <v>8480</v>
      </c>
      <c r="E5008" t="s">
        <v>22503</v>
      </c>
      <c r="F5008" t="s">
        <v>30900</v>
      </c>
      <c r="G5008" t="s">
        <v>30907</v>
      </c>
      <c r="H5008" t="s">
        <v>30916</v>
      </c>
      <c r="I5008" t="s">
        <v>4108</v>
      </c>
      <c r="J5008" t="s">
        <v>33865</v>
      </c>
      <c r="K5008" t="s">
        <v>40289</v>
      </c>
      <c r="M5008" t="s">
        <v>42513</v>
      </c>
      <c r="N5008" t="s">
        <v>44759</v>
      </c>
      <c r="O5008" t="s">
        <v>44760</v>
      </c>
      <c r="P5008">
        <v>0</v>
      </c>
      <c r="Q5008">
        <v>0</v>
      </c>
      <c r="R5008" t="s">
        <v>44765</v>
      </c>
      <c r="S5008" t="s">
        <v>44892</v>
      </c>
      <c r="T5008" t="s">
        <v>46412</v>
      </c>
      <c r="U5008" t="s">
        <v>51140</v>
      </c>
      <c r="W5008" t="s">
        <v>42513</v>
      </c>
      <c r="X5008" t="s">
        <v>44766</v>
      </c>
    </row>
    <row r="5009" spans="1:24">
      <c r="A5009">
        <f>HYPERLINK("https://www.philgeps.gov.ph/GEPSNONPILOT/Tender/SplashBidNoticeAbstractUI.aspx?menuIndex=3&amp;refID=7148379&amp;Result=3","7148379")</f>
        <v>0</v>
      </c>
      <c r="B5009" t="s">
        <v>1723</v>
      </c>
      <c r="C5009" t="s">
        <v>8481</v>
      </c>
      <c r="D5009" t="s">
        <v>17957</v>
      </c>
      <c r="E5009" t="s">
        <v>22504</v>
      </c>
      <c r="F5009" t="s">
        <v>30900</v>
      </c>
      <c r="G5009" t="s">
        <v>30909</v>
      </c>
      <c r="H5009" t="s">
        <v>30916</v>
      </c>
      <c r="I5009" t="s">
        <v>4017</v>
      </c>
      <c r="J5009" t="s">
        <v>31578</v>
      </c>
      <c r="K5009" t="s">
        <v>40286</v>
      </c>
      <c r="M5009" t="s">
        <v>42387</v>
      </c>
      <c r="N5009" t="s">
        <v>44759</v>
      </c>
      <c r="O5009" t="s">
        <v>44760</v>
      </c>
      <c r="P5009">
        <v>0</v>
      </c>
      <c r="Q5009">
        <v>1</v>
      </c>
      <c r="R5009" t="s">
        <v>44765</v>
      </c>
      <c r="S5009" t="s">
        <v>44892</v>
      </c>
      <c r="T5009" t="s">
        <v>46412</v>
      </c>
      <c r="U5009" t="s">
        <v>51169</v>
      </c>
      <c r="W5009" t="s">
        <v>42387</v>
      </c>
      <c r="X5009" t="s">
        <v>44766</v>
      </c>
    </row>
    <row r="5010" spans="1:24">
      <c r="A5010">
        <f>HYPERLINK("https://www.philgeps.gov.ph/GEPSNONPILOT/Tender/SplashBidNoticeAbstractUI.aspx?menuIndex=3&amp;refID=7148350&amp;Result=3","7148350")</f>
        <v>0</v>
      </c>
      <c r="B5010" t="s">
        <v>1844</v>
      </c>
      <c r="C5010" t="s">
        <v>8482</v>
      </c>
      <c r="D5010" t="s">
        <v>18018</v>
      </c>
      <c r="E5010" t="s">
        <v>22505</v>
      </c>
      <c r="F5010" t="s">
        <v>30900</v>
      </c>
      <c r="G5010" t="s">
        <v>30907</v>
      </c>
      <c r="H5010" t="s">
        <v>30916</v>
      </c>
      <c r="I5010" t="s">
        <v>30963</v>
      </c>
      <c r="J5010" t="s">
        <v>31557</v>
      </c>
      <c r="K5010" t="s">
        <v>40280</v>
      </c>
      <c r="M5010" t="s">
        <v>42516</v>
      </c>
      <c r="N5010" t="s">
        <v>44759</v>
      </c>
      <c r="O5010" t="s">
        <v>44760</v>
      </c>
      <c r="P5010">
        <v>0</v>
      </c>
      <c r="Q5010">
        <v>2</v>
      </c>
      <c r="R5010" t="s">
        <v>44765</v>
      </c>
      <c r="S5010" t="s">
        <v>44892</v>
      </c>
      <c r="T5010" t="s">
        <v>46429</v>
      </c>
      <c r="U5010" t="s">
        <v>51170</v>
      </c>
      <c r="W5010" t="s">
        <v>42516</v>
      </c>
      <c r="X5010" t="s">
        <v>44766</v>
      </c>
    </row>
    <row r="5011" spans="1:24">
      <c r="A5011">
        <f>HYPERLINK("https://www.philgeps.gov.ph/GEPSNONPILOT/Tender/SplashBidNoticeAbstractUI.aspx?menuIndex=3&amp;refID=7148377&amp;Result=3","7148377")</f>
        <v>0</v>
      </c>
      <c r="B5011" t="s">
        <v>1787</v>
      </c>
      <c r="C5011" t="s">
        <v>8483</v>
      </c>
      <c r="D5011" t="s">
        <v>17962</v>
      </c>
      <c r="E5011" t="s">
        <v>22506</v>
      </c>
      <c r="F5011" t="s">
        <v>30900</v>
      </c>
      <c r="G5011" t="s">
        <v>30908</v>
      </c>
      <c r="H5011" t="s">
        <v>30916</v>
      </c>
      <c r="I5011" t="s">
        <v>4142</v>
      </c>
      <c r="J5011" t="s">
        <v>33193</v>
      </c>
      <c r="K5011" t="s">
        <v>40286</v>
      </c>
      <c r="M5011" t="s">
        <v>42462</v>
      </c>
      <c r="N5011" t="s">
        <v>44759</v>
      </c>
      <c r="O5011" t="s">
        <v>44760</v>
      </c>
      <c r="P5011">
        <v>0</v>
      </c>
      <c r="Q5011">
        <v>1</v>
      </c>
      <c r="R5011" t="s">
        <v>44765</v>
      </c>
      <c r="S5011" t="s">
        <v>44892</v>
      </c>
      <c r="T5011" t="s">
        <v>46531</v>
      </c>
      <c r="U5011" t="s">
        <v>51171</v>
      </c>
      <c r="W5011" t="s">
        <v>42462</v>
      </c>
      <c r="X5011" t="s">
        <v>44766</v>
      </c>
    </row>
    <row r="5012" spans="1:24">
      <c r="A5012">
        <f>HYPERLINK("https://www.philgeps.gov.ph/GEPSNONPILOT/Tender/SplashBidNoticeAbstractUI.aspx?menuIndex=3&amp;refID=7148389&amp;Result=3","7148389")</f>
        <v>0</v>
      </c>
      <c r="B5012" t="s">
        <v>1850</v>
      </c>
      <c r="C5012" t="s">
        <v>8484</v>
      </c>
      <c r="D5012" t="s">
        <v>18025</v>
      </c>
      <c r="E5012" t="s">
        <v>22507</v>
      </c>
      <c r="F5012" t="s">
        <v>30900</v>
      </c>
      <c r="G5012" t="s">
        <v>30908</v>
      </c>
      <c r="H5012" t="s">
        <v>30916</v>
      </c>
      <c r="I5012" t="s">
        <v>8123</v>
      </c>
      <c r="J5012" t="s">
        <v>33980</v>
      </c>
      <c r="K5012" t="s">
        <v>40287</v>
      </c>
      <c r="M5012" t="s">
        <v>42522</v>
      </c>
      <c r="N5012" t="s">
        <v>44759</v>
      </c>
      <c r="O5012" t="s">
        <v>44760</v>
      </c>
      <c r="P5012">
        <v>0</v>
      </c>
      <c r="Q5012">
        <v>0</v>
      </c>
      <c r="R5012" t="s">
        <v>44765</v>
      </c>
      <c r="S5012" t="s">
        <v>44892</v>
      </c>
      <c r="T5012" t="s">
        <v>46625</v>
      </c>
      <c r="U5012" t="s">
        <v>51172</v>
      </c>
      <c r="W5012" t="s">
        <v>42522</v>
      </c>
      <c r="X5012" t="s">
        <v>44766</v>
      </c>
    </row>
    <row r="5013" spans="1:24">
      <c r="A5013">
        <f>HYPERLINK("https://www.philgeps.gov.ph/GEPSNONPILOT/Tender/SplashBidNoticeAbstractUI.aspx?menuIndex=3&amp;refID=7148366&amp;Result=3","7148366")</f>
        <v>0</v>
      </c>
      <c r="B5013" t="s">
        <v>514</v>
      </c>
      <c r="C5013" t="s">
        <v>8485</v>
      </c>
      <c r="D5013" t="s">
        <v>17975</v>
      </c>
      <c r="E5013" t="s">
        <v>22508</v>
      </c>
      <c r="F5013" t="s">
        <v>30900</v>
      </c>
      <c r="G5013" t="s">
        <v>30907</v>
      </c>
      <c r="H5013" t="s">
        <v>30915</v>
      </c>
      <c r="I5013" t="s">
        <v>30919</v>
      </c>
      <c r="J5013" t="s">
        <v>34377</v>
      </c>
      <c r="K5013" t="s">
        <v>40292</v>
      </c>
      <c r="M5013" t="s">
        <v>41074</v>
      </c>
      <c r="N5013" t="s">
        <v>44759</v>
      </c>
      <c r="O5013" t="s">
        <v>44760</v>
      </c>
      <c r="P5013">
        <v>0</v>
      </c>
      <c r="Q5013">
        <v>0</v>
      </c>
      <c r="R5013" t="s">
        <v>44765</v>
      </c>
      <c r="S5013" t="s">
        <v>44892</v>
      </c>
      <c r="T5013" t="s">
        <v>46369</v>
      </c>
      <c r="U5013" t="s">
        <v>51157</v>
      </c>
      <c r="W5013" t="s">
        <v>41074</v>
      </c>
      <c r="X5013" t="s">
        <v>44766</v>
      </c>
    </row>
    <row r="5014" spans="1:24">
      <c r="A5014">
        <f>HYPERLINK("https://www.philgeps.gov.ph/GEPSNONPILOT/Tender/SplashBidNoticeAbstractUI.aspx?menuIndex=3&amp;refID=7148346&amp;Result=3","7148346")</f>
        <v>0</v>
      </c>
      <c r="B5014" t="s">
        <v>1851</v>
      </c>
      <c r="C5014" t="s">
        <v>8486</v>
      </c>
      <c r="D5014" t="s">
        <v>17959</v>
      </c>
      <c r="E5014" t="s">
        <v>22509</v>
      </c>
      <c r="F5014" t="s">
        <v>30900</v>
      </c>
      <c r="G5014" t="s">
        <v>30907</v>
      </c>
      <c r="H5014" t="s">
        <v>30917</v>
      </c>
      <c r="I5014" t="s">
        <v>6953</v>
      </c>
      <c r="J5014" t="s">
        <v>34378</v>
      </c>
      <c r="K5014" t="s">
        <v>40301</v>
      </c>
      <c r="M5014" t="s">
        <v>42523</v>
      </c>
      <c r="N5014" t="s">
        <v>44759</v>
      </c>
      <c r="O5014" t="s">
        <v>44760</v>
      </c>
      <c r="Q5014">
        <v>1</v>
      </c>
      <c r="R5014" t="s">
        <v>44765</v>
      </c>
      <c r="S5014" t="s">
        <v>44895</v>
      </c>
      <c r="T5014" t="s">
        <v>46702</v>
      </c>
      <c r="U5014" t="s">
        <v>51173</v>
      </c>
      <c r="V5014" t="s">
        <v>59643</v>
      </c>
      <c r="W5014" t="s">
        <v>42523</v>
      </c>
      <c r="X5014" t="s">
        <v>44766</v>
      </c>
    </row>
    <row r="5015" spans="1:24">
      <c r="A5015">
        <f>HYPERLINK("https://www.philgeps.gov.ph/GEPSNONPILOT/Tender/SplashBidNoticeAbstractUI.aspx?menuIndex=3&amp;refID=7148364&amp;Result=3","7148364")</f>
        <v>0</v>
      </c>
      <c r="B5015" t="s">
        <v>1852</v>
      </c>
      <c r="C5015" t="s">
        <v>8487</v>
      </c>
      <c r="D5015" t="s">
        <v>18014</v>
      </c>
      <c r="E5015" t="s">
        <v>22510</v>
      </c>
      <c r="F5015" t="s">
        <v>30900</v>
      </c>
      <c r="G5015" t="s">
        <v>30910</v>
      </c>
      <c r="H5015" t="s">
        <v>30916</v>
      </c>
      <c r="I5015" t="s">
        <v>6408</v>
      </c>
      <c r="J5015" t="s">
        <v>31043</v>
      </c>
      <c r="K5015" t="s">
        <v>40284</v>
      </c>
      <c r="M5015" t="s">
        <v>42524</v>
      </c>
      <c r="N5015" t="s">
        <v>44759</v>
      </c>
      <c r="O5015" t="s">
        <v>44760</v>
      </c>
      <c r="P5015">
        <v>0</v>
      </c>
      <c r="Q5015">
        <v>0</v>
      </c>
      <c r="R5015" t="s">
        <v>44765</v>
      </c>
      <c r="S5015" t="s">
        <v>44892</v>
      </c>
      <c r="T5015" t="s">
        <v>46591</v>
      </c>
      <c r="U5015" t="s">
        <v>51174</v>
      </c>
      <c r="W5015" t="s">
        <v>42524</v>
      </c>
      <c r="X5015" t="s">
        <v>44766</v>
      </c>
    </row>
    <row r="5016" spans="1:24">
      <c r="A5016">
        <f>HYPERLINK("https://www.philgeps.gov.ph/GEPSNONPILOT/Tender/SplashBidNoticeAbstractUI.aspx?menuIndex=3&amp;refID=7148381&amp;Result=3","7148381")</f>
        <v>0</v>
      </c>
      <c r="B5016" t="s">
        <v>1787</v>
      </c>
      <c r="C5016" t="s">
        <v>8488</v>
      </c>
      <c r="D5016" t="s">
        <v>17962</v>
      </c>
      <c r="E5016" t="s">
        <v>22511</v>
      </c>
      <c r="F5016" t="s">
        <v>30900</v>
      </c>
      <c r="G5016" t="s">
        <v>30908</v>
      </c>
      <c r="H5016" t="s">
        <v>30916</v>
      </c>
      <c r="I5016" t="s">
        <v>5830</v>
      </c>
      <c r="J5016" t="s">
        <v>34379</v>
      </c>
      <c r="K5016" t="s">
        <v>40286</v>
      </c>
      <c r="M5016" t="s">
        <v>42462</v>
      </c>
      <c r="N5016" t="s">
        <v>44759</v>
      </c>
      <c r="O5016" t="s">
        <v>44760</v>
      </c>
      <c r="P5016">
        <v>0</v>
      </c>
      <c r="Q5016">
        <v>0</v>
      </c>
      <c r="R5016" t="s">
        <v>44765</v>
      </c>
      <c r="S5016" t="s">
        <v>44892</v>
      </c>
      <c r="T5016" t="s">
        <v>46531</v>
      </c>
      <c r="U5016" t="s">
        <v>51175</v>
      </c>
      <c r="W5016" t="s">
        <v>42462</v>
      </c>
      <c r="X5016" t="s">
        <v>44766</v>
      </c>
    </row>
    <row r="5017" spans="1:24">
      <c r="A5017">
        <f>HYPERLINK("https://www.philgeps.gov.ph/GEPSNONPILOT/Tender/SplashBidNoticeAbstractUI.aspx?menuIndex=3&amp;refID=7148359&amp;Result=3","7148359")</f>
        <v>0</v>
      </c>
      <c r="B5017" t="s">
        <v>1787</v>
      </c>
      <c r="C5017" t="s">
        <v>8489</v>
      </c>
      <c r="D5017" t="s">
        <v>17962</v>
      </c>
      <c r="E5017" t="s">
        <v>22512</v>
      </c>
      <c r="F5017" t="s">
        <v>30900</v>
      </c>
      <c r="G5017" t="s">
        <v>30908</v>
      </c>
      <c r="H5017" t="s">
        <v>30916</v>
      </c>
      <c r="I5017" t="s">
        <v>4545</v>
      </c>
      <c r="J5017" t="s">
        <v>32033</v>
      </c>
      <c r="K5017" t="s">
        <v>40286</v>
      </c>
      <c r="M5017" t="s">
        <v>42462</v>
      </c>
      <c r="N5017" t="s">
        <v>44759</v>
      </c>
      <c r="O5017" t="s">
        <v>44760</v>
      </c>
      <c r="P5017">
        <v>0</v>
      </c>
      <c r="Q5017">
        <v>2</v>
      </c>
      <c r="R5017" t="s">
        <v>44765</v>
      </c>
      <c r="S5017" t="s">
        <v>44892</v>
      </c>
      <c r="T5017" t="s">
        <v>46531</v>
      </c>
      <c r="U5017" t="s">
        <v>51176</v>
      </c>
      <c r="W5017" t="s">
        <v>42462</v>
      </c>
      <c r="X5017" t="s">
        <v>44766</v>
      </c>
    </row>
    <row r="5018" spans="1:24">
      <c r="A5018">
        <f>HYPERLINK("https://www.philgeps.gov.ph/GEPSNONPILOT/Tender/SplashBidNoticeAbstractUI.aspx?menuIndex=3&amp;refID=7148327&amp;Result=3","7148327")</f>
        <v>0</v>
      </c>
      <c r="B5018" t="s">
        <v>1853</v>
      </c>
      <c r="C5018" t="s">
        <v>8490</v>
      </c>
      <c r="D5018" t="s">
        <v>18016</v>
      </c>
      <c r="E5018" t="s">
        <v>22513</v>
      </c>
      <c r="F5018" t="s">
        <v>30900</v>
      </c>
      <c r="G5018" t="s">
        <v>30908</v>
      </c>
      <c r="H5018" t="s">
        <v>30916</v>
      </c>
      <c r="I5018" t="s">
        <v>30923</v>
      </c>
      <c r="J5018" t="s">
        <v>34380</v>
      </c>
      <c r="K5018" t="s">
        <v>40286</v>
      </c>
      <c r="M5018" t="s">
        <v>42525</v>
      </c>
      <c r="N5018" t="s">
        <v>44759</v>
      </c>
      <c r="O5018" t="s">
        <v>44760</v>
      </c>
      <c r="P5018">
        <v>0</v>
      </c>
      <c r="Q5018">
        <v>8</v>
      </c>
      <c r="R5018" t="s">
        <v>44765</v>
      </c>
      <c r="S5018" t="s">
        <v>44892</v>
      </c>
      <c r="T5018" t="s">
        <v>46571</v>
      </c>
      <c r="U5018" t="s">
        <v>51177</v>
      </c>
      <c r="W5018" t="s">
        <v>42525</v>
      </c>
      <c r="X5018" t="s">
        <v>44766</v>
      </c>
    </row>
    <row r="5019" spans="1:24">
      <c r="A5019">
        <f>HYPERLINK("https://www.philgeps.gov.ph/GEPSNONPILOT/Tender/SplashBidNoticeAbstractUI.aspx?menuIndex=3&amp;refID=7148324&amp;Result=3","7148324")</f>
        <v>0</v>
      </c>
      <c r="B5019" t="s">
        <v>1841</v>
      </c>
      <c r="C5019" t="s">
        <v>8491</v>
      </c>
      <c r="E5019" t="s">
        <v>22514</v>
      </c>
      <c r="F5019" t="s">
        <v>30900</v>
      </c>
      <c r="G5019" t="s">
        <v>30907</v>
      </c>
      <c r="H5019" t="s">
        <v>30916</v>
      </c>
      <c r="I5019" t="s">
        <v>10879</v>
      </c>
      <c r="J5019" t="s">
        <v>34381</v>
      </c>
      <c r="K5019" t="s">
        <v>40289</v>
      </c>
      <c r="M5019" t="s">
        <v>42513</v>
      </c>
      <c r="N5019" t="s">
        <v>44759</v>
      </c>
      <c r="O5019" t="s">
        <v>44760</v>
      </c>
      <c r="P5019">
        <v>0</v>
      </c>
      <c r="Q5019">
        <v>0</v>
      </c>
      <c r="R5019" t="s">
        <v>44765</v>
      </c>
      <c r="S5019" t="s">
        <v>44892</v>
      </c>
      <c r="T5019" t="s">
        <v>46412</v>
      </c>
      <c r="U5019" t="s">
        <v>51140</v>
      </c>
      <c r="W5019" t="s">
        <v>42513</v>
      </c>
      <c r="X5019" t="s">
        <v>44766</v>
      </c>
    </row>
    <row r="5020" spans="1:24">
      <c r="A5020">
        <f>HYPERLINK("https://www.philgeps.gov.ph/GEPSNONPILOT/Tender/SplashBidNoticeAbstractUI.aspx?menuIndex=3&amp;refID=7148371&amp;Result=3","7148371")</f>
        <v>0</v>
      </c>
      <c r="B5020" t="s">
        <v>1787</v>
      </c>
      <c r="C5020" t="s">
        <v>8492</v>
      </c>
      <c r="D5020" t="s">
        <v>17962</v>
      </c>
      <c r="E5020" t="s">
        <v>18813</v>
      </c>
      <c r="F5020" t="s">
        <v>30900</v>
      </c>
      <c r="G5020" t="s">
        <v>30908</v>
      </c>
      <c r="H5020" t="s">
        <v>30916</v>
      </c>
      <c r="I5020" t="s">
        <v>6953</v>
      </c>
      <c r="J5020" t="s">
        <v>31142</v>
      </c>
      <c r="K5020" t="s">
        <v>40286</v>
      </c>
      <c r="M5020" t="s">
        <v>42462</v>
      </c>
      <c r="N5020" t="s">
        <v>44759</v>
      </c>
      <c r="O5020" t="s">
        <v>44760</v>
      </c>
      <c r="P5020">
        <v>0</v>
      </c>
      <c r="Q5020">
        <v>0</v>
      </c>
      <c r="R5020" t="s">
        <v>44765</v>
      </c>
      <c r="S5020" t="s">
        <v>44892</v>
      </c>
      <c r="T5020" t="s">
        <v>46531</v>
      </c>
      <c r="U5020" t="s">
        <v>51178</v>
      </c>
      <c r="W5020" t="s">
        <v>42462</v>
      </c>
      <c r="X5020" t="s">
        <v>44766</v>
      </c>
    </row>
    <row r="5021" spans="1:24">
      <c r="A5021">
        <f>HYPERLINK("https://www.philgeps.gov.ph/GEPSNONPILOT/Tender/SplashBidNoticeAbstractUI.aspx?menuIndex=3&amp;refID=7148322&amp;Result=3","7148322")</f>
        <v>0</v>
      </c>
      <c r="B5021" t="s">
        <v>1841</v>
      </c>
      <c r="C5021" t="s">
        <v>8493</v>
      </c>
      <c r="E5021" t="s">
        <v>22515</v>
      </c>
      <c r="F5021" t="s">
        <v>30900</v>
      </c>
      <c r="G5021" t="s">
        <v>30907</v>
      </c>
      <c r="H5021" t="s">
        <v>30916</v>
      </c>
      <c r="I5021" t="s">
        <v>30924</v>
      </c>
      <c r="J5021" t="s">
        <v>34382</v>
      </c>
      <c r="K5021" t="s">
        <v>40289</v>
      </c>
      <c r="M5021" t="s">
        <v>42513</v>
      </c>
      <c r="N5021" t="s">
        <v>44759</v>
      </c>
      <c r="O5021" t="s">
        <v>44760</v>
      </c>
      <c r="P5021">
        <v>0</v>
      </c>
      <c r="Q5021">
        <v>3</v>
      </c>
      <c r="R5021" t="s">
        <v>44765</v>
      </c>
      <c r="S5021" t="s">
        <v>44892</v>
      </c>
      <c r="T5021" t="s">
        <v>46412</v>
      </c>
      <c r="U5021" t="s">
        <v>51140</v>
      </c>
      <c r="W5021" t="s">
        <v>42513</v>
      </c>
      <c r="X5021" t="s">
        <v>44766</v>
      </c>
    </row>
    <row r="5022" spans="1:24">
      <c r="A5022">
        <f>HYPERLINK("https://www.philgeps.gov.ph/GEPSNONPILOT/Tender/SplashBidNoticeAbstractUI.aspx?menuIndex=3&amp;refID=7148317&amp;Result=3","7148317")</f>
        <v>0</v>
      </c>
      <c r="B5022" t="s">
        <v>1844</v>
      </c>
      <c r="C5022" t="s">
        <v>8494</v>
      </c>
      <c r="D5022" t="s">
        <v>18018</v>
      </c>
      <c r="E5022" t="s">
        <v>22516</v>
      </c>
      <c r="F5022" t="s">
        <v>30900</v>
      </c>
      <c r="G5022" t="s">
        <v>30907</v>
      </c>
      <c r="H5022" t="s">
        <v>30916</v>
      </c>
      <c r="I5022" t="s">
        <v>30963</v>
      </c>
      <c r="J5022" t="s">
        <v>31049</v>
      </c>
      <c r="K5022" t="s">
        <v>40280</v>
      </c>
      <c r="M5022" t="s">
        <v>42516</v>
      </c>
      <c r="N5022" t="s">
        <v>44759</v>
      </c>
      <c r="O5022" t="s">
        <v>44760</v>
      </c>
      <c r="P5022">
        <v>0</v>
      </c>
      <c r="Q5022">
        <v>2</v>
      </c>
      <c r="R5022" t="s">
        <v>44765</v>
      </c>
      <c r="S5022" t="s">
        <v>44892</v>
      </c>
      <c r="T5022" t="s">
        <v>46429</v>
      </c>
      <c r="U5022" t="s">
        <v>51170</v>
      </c>
      <c r="W5022" t="s">
        <v>42516</v>
      </c>
      <c r="X5022" t="s">
        <v>44766</v>
      </c>
    </row>
    <row r="5023" spans="1:24">
      <c r="A5023">
        <f>HYPERLINK("https://www.philgeps.gov.ph/GEPSNONPILOT/Tender/SplashBidNoticeAbstractUI.aspx?menuIndex=3&amp;refID=7148380&amp;Result=3","7148380")</f>
        <v>0</v>
      </c>
      <c r="B5023" t="s">
        <v>1835</v>
      </c>
      <c r="C5023" t="s">
        <v>8495</v>
      </c>
      <c r="D5023" t="s">
        <v>17959</v>
      </c>
      <c r="E5023" t="s">
        <v>22517</v>
      </c>
      <c r="F5023" t="s">
        <v>30900</v>
      </c>
      <c r="G5023" t="s">
        <v>30908</v>
      </c>
      <c r="H5023" t="s">
        <v>30916</v>
      </c>
      <c r="I5023" t="s">
        <v>4142</v>
      </c>
      <c r="J5023" t="s">
        <v>34383</v>
      </c>
      <c r="K5023" t="s">
        <v>40287</v>
      </c>
      <c r="M5023" t="s">
        <v>42508</v>
      </c>
      <c r="N5023" t="s">
        <v>44759</v>
      </c>
      <c r="O5023" t="s">
        <v>44760</v>
      </c>
      <c r="P5023">
        <v>0</v>
      </c>
      <c r="Q5023">
        <v>3</v>
      </c>
      <c r="R5023" t="s">
        <v>44765</v>
      </c>
      <c r="S5023" t="s">
        <v>44892</v>
      </c>
      <c r="T5023" t="s">
        <v>46440</v>
      </c>
      <c r="U5023" t="s">
        <v>51179</v>
      </c>
      <c r="W5023" t="s">
        <v>42508</v>
      </c>
      <c r="X5023" t="s">
        <v>44766</v>
      </c>
    </row>
    <row r="5024" spans="1:24">
      <c r="A5024">
        <f>HYPERLINK("https://www.philgeps.gov.ph/GEPSNONPILOT/Tender/SplashBidNoticeAbstractUI.aspx?menuIndex=3&amp;refID=7148260&amp;Result=3","7148260")</f>
        <v>0</v>
      </c>
      <c r="B5024" t="s">
        <v>1200</v>
      </c>
      <c r="C5024" t="s">
        <v>8496</v>
      </c>
      <c r="D5024" t="s">
        <v>18003</v>
      </c>
      <c r="E5024" t="s">
        <v>22518</v>
      </c>
      <c r="F5024" t="s">
        <v>30900</v>
      </c>
      <c r="G5024" t="s">
        <v>30908</v>
      </c>
      <c r="H5024" t="s">
        <v>30916</v>
      </c>
      <c r="I5024" t="s">
        <v>4108</v>
      </c>
      <c r="J5024" t="s">
        <v>31204</v>
      </c>
      <c r="K5024" t="s">
        <v>40286</v>
      </c>
      <c r="M5024" t="s">
        <v>41811</v>
      </c>
      <c r="N5024" t="s">
        <v>44759</v>
      </c>
      <c r="O5024" t="s">
        <v>44760</v>
      </c>
      <c r="P5024">
        <v>0</v>
      </c>
      <c r="Q5024">
        <v>3</v>
      </c>
      <c r="R5024" t="s">
        <v>44765</v>
      </c>
      <c r="S5024" t="s">
        <v>44892</v>
      </c>
      <c r="T5024" t="s">
        <v>46421</v>
      </c>
      <c r="U5024" t="s">
        <v>51180</v>
      </c>
      <c r="W5024" t="s">
        <v>41811</v>
      </c>
      <c r="X5024" t="s">
        <v>44766</v>
      </c>
    </row>
    <row r="5025" spans="1:24">
      <c r="A5025">
        <f>HYPERLINK("https://www.philgeps.gov.ph/GEPSNONPILOT/Tender/SplashBidNoticeAbstractUI.aspx?menuIndex=3&amp;refID=7148257&amp;Result=3","7148257")</f>
        <v>0</v>
      </c>
      <c r="B5025" t="s">
        <v>1833</v>
      </c>
      <c r="C5025" t="s">
        <v>8497</v>
      </c>
      <c r="D5025" t="s">
        <v>18020</v>
      </c>
      <c r="E5025" t="s">
        <v>22519</v>
      </c>
      <c r="F5025" t="s">
        <v>30900</v>
      </c>
      <c r="G5025" t="s">
        <v>30907</v>
      </c>
      <c r="H5025" t="s">
        <v>30915</v>
      </c>
      <c r="I5025" t="s">
        <v>30919</v>
      </c>
      <c r="J5025" t="s">
        <v>34384</v>
      </c>
      <c r="K5025" t="s">
        <v>40304</v>
      </c>
      <c r="M5025" t="s">
        <v>42506</v>
      </c>
      <c r="N5025" t="s">
        <v>44759</v>
      </c>
      <c r="O5025" t="s">
        <v>44760</v>
      </c>
      <c r="P5025">
        <v>0</v>
      </c>
      <c r="Q5025">
        <v>2</v>
      </c>
      <c r="R5025" t="s">
        <v>44765</v>
      </c>
      <c r="S5025" t="s">
        <v>44892</v>
      </c>
      <c r="T5025" t="s">
        <v>46495</v>
      </c>
      <c r="U5025" t="s">
        <v>51152</v>
      </c>
      <c r="W5025" t="s">
        <v>42506</v>
      </c>
      <c r="X5025" t="s">
        <v>44766</v>
      </c>
    </row>
    <row r="5026" spans="1:24">
      <c r="A5026">
        <f>HYPERLINK("https://www.philgeps.gov.ph/GEPSNONPILOT/Tender/SplashBidNoticeAbstractUI.aspx?menuIndex=3&amp;refID=7148121&amp;Result=3","7148121")</f>
        <v>0</v>
      </c>
      <c r="B5026" t="s">
        <v>1854</v>
      </c>
      <c r="C5026" t="s">
        <v>8498</v>
      </c>
      <c r="D5026" t="s">
        <v>17978</v>
      </c>
      <c r="E5026" t="s">
        <v>22520</v>
      </c>
      <c r="F5026" t="s">
        <v>30900</v>
      </c>
      <c r="G5026" t="s">
        <v>30908</v>
      </c>
      <c r="H5026" t="s">
        <v>30916</v>
      </c>
      <c r="I5026" t="s">
        <v>6408</v>
      </c>
      <c r="J5026" t="s">
        <v>31139</v>
      </c>
      <c r="K5026" t="s">
        <v>40286</v>
      </c>
      <c r="M5026" t="s">
        <v>42526</v>
      </c>
      <c r="N5026" t="s">
        <v>44759</v>
      </c>
      <c r="O5026" t="s">
        <v>44760</v>
      </c>
      <c r="P5026">
        <v>0</v>
      </c>
      <c r="Q5026">
        <v>0</v>
      </c>
      <c r="R5026" t="s">
        <v>44765</v>
      </c>
      <c r="S5026" t="s">
        <v>44892</v>
      </c>
      <c r="T5026" t="s">
        <v>46389</v>
      </c>
      <c r="U5026" t="s">
        <v>51181</v>
      </c>
      <c r="W5026" t="s">
        <v>42526</v>
      </c>
      <c r="X5026" t="s">
        <v>44766</v>
      </c>
    </row>
    <row r="5027" spans="1:24">
      <c r="A5027">
        <f>HYPERLINK("https://www.philgeps.gov.ph/GEPSNONPILOT/Tender/SplashBidNoticeAbstractUI.aspx?menuIndex=3&amp;refID=7148356&amp;Result=3","7148356")</f>
        <v>0</v>
      </c>
      <c r="B5027" t="s">
        <v>514</v>
      </c>
      <c r="C5027" t="s">
        <v>8499</v>
      </c>
      <c r="D5027" t="s">
        <v>17975</v>
      </c>
      <c r="E5027" t="s">
        <v>22521</v>
      </c>
      <c r="F5027" t="s">
        <v>30900</v>
      </c>
      <c r="G5027" t="s">
        <v>30907</v>
      </c>
      <c r="H5027" t="s">
        <v>30915</v>
      </c>
      <c r="I5027" t="s">
        <v>30919</v>
      </c>
      <c r="J5027" t="s">
        <v>34385</v>
      </c>
      <c r="K5027" t="s">
        <v>40292</v>
      </c>
      <c r="M5027" t="s">
        <v>41074</v>
      </c>
      <c r="N5027" t="s">
        <v>44759</v>
      </c>
      <c r="O5027" t="s">
        <v>44760</v>
      </c>
      <c r="Q5027">
        <v>0</v>
      </c>
      <c r="R5027" t="s">
        <v>44765</v>
      </c>
      <c r="S5027" t="s">
        <v>44896</v>
      </c>
      <c r="T5027" t="s">
        <v>46369</v>
      </c>
      <c r="U5027" t="s">
        <v>51157</v>
      </c>
      <c r="W5027" t="s">
        <v>41074</v>
      </c>
      <c r="X5027" t="s">
        <v>44766</v>
      </c>
    </row>
    <row r="5028" spans="1:24">
      <c r="A5028">
        <f>HYPERLINK("https://www.philgeps.gov.ph/GEPSNONPILOT/Tender/SplashBidNoticeAbstractUI.aspx?menuIndex=3&amp;refID=7148120&amp;Result=3","7148120")</f>
        <v>0</v>
      </c>
      <c r="B5028" t="s">
        <v>1854</v>
      </c>
      <c r="C5028" t="s">
        <v>8500</v>
      </c>
      <c r="D5028" t="s">
        <v>17978</v>
      </c>
      <c r="E5028" t="s">
        <v>22522</v>
      </c>
      <c r="F5028" t="s">
        <v>30900</v>
      </c>
      <c r="G5028" t="s">
        <v>30908</v>
      </c>
      <c r="H5028" t="s">
        <v>30916</v>
      </c>
      <c r="I5028" t="s">
        <v>30952</v>
      </c>
      <c r="J5028" t="s">
        <v>33503</v>
      </c>
      <c r="K5028" t="s">
        <v>40286</v>
      </c>
      <c r="M5028" t="s">
        <v>42526</v>
      </c>
      <c r="N5028" t="s">
        <v>44759</v>
      </c>
      <c r="O5028" t="s">
        <v>44760</v>
      </c>
      <c r="P5028">
        <v>0</v>
      </c>
      <c r="Q5028">
        <v>5</v>
      </c>
      <c r="R5028" t="s">
        <v>44765</v>
      </c>
      <c r="S5028" t="s">
        <v>44892</v>
      </c>
      <c r="T5028" t="s">
        <v>46389</v>
      </c>
      <c r="U5028" t="s">
        <v>51182</v>
      </c>
      <c r="W5028" t="s">
        <v>42526</v>
      </c>
      <c r="X5028" t="s">
        <v>44766</v>
      </c>
    </row>
    <row r="5029" spans="1:24">
      <c r="A5029">
        <f>HYPERLINK("https://www.philgeps.gov.ph/GEPSNONPILOT/Tender/SplashBidNoticeAbstractUI.aspx?menuIndex=3&amp;refID=7148112&amp;Result=3","7148112")</f>
        <v>0</v>
      </c>
      <c r="B5029" t="s">
        <v>1399</v>
      </c>
      <c r="C5029" t="s">
        <v>8501</v>
      </c>
      <c r="D5029" t="s">
        <v>18017</v>
      </c>
      <c r="E5029" t="s">
        <v>22523</v>
      </c>
      <c r="F5029" t="s">
        <v>30900</v>
      </c>
      <c r="G5029" t="s">
        <v>30908</v>
      </c>
      <c r="H5029" t="s">
        <v>30916</v>
      </c>
      <c r="I5029" t="s">
        <v>8044</v>
      </c>
      <c r="J5029" t="s">
        <v>34386</v>
      </c>
      <c r="K5029" t="s">
        <v>40287</v>
      </c>
      <c r="M5029" t="s">
        <v>42358</v>
      </c>
      <c r="N5029" t="s">
        <v>44759</v>
      </c>
      <c r="O5029" t="s">
        <v>44760</v>
      </c>
      <c r="P5029">
        <v>0</v>
      </c>
      <c r="Q5029">
        <v>0</v>
      </c>
      <c r="R5029" t="s">
        <v>44765</v>
      </c>
      <c r="S5029" t="s">
        <v>44892</v>
      </c>
      <c r="T5029" t="s">
        <v>46418</v>
      </c>
      <c r="U5029" t="s">
        <v>51183</v>
      </c>
      <c r="W5029" t="s">
        <v>42358</v>
      </c>
      <c r="X5029" t="s">
        <v>44766</v>
      </c>
    </row>
    <row r="5030" spans="1:24">
      <c r="A5030">
        <f>HYPERLINK("https://www.philgeps.gov.ph/GEPSNONPILOT/Tender/SplashBidNoticeAbstractUI.aspx?menuIndex=3&amp;refID=7148372&amp;Result=3","7148372")</f>
        <v>0</v>
      </c>
      <c r="B5030" t="s">
        <v>1855</v>
      </c>
      <c r="C5030" t="s">
        <v>8502</v>
      </c>
      <c r="D5030" t="s">
        <v>17971</v>
      </c>
      <c r="E5030" t="s">
        <v>18306</v>
      </c>
      <c r="F5030" t="s">
        <v>30900</v>
      </c>
      <c r="G5030" t="s">
        <v>30907</v>
      </c>
      <c r="H5030" t="s">
        <v>30916</v>
      </c>
      <c r="I5030" t="s">
        <v>8123</v>
      </c>
      <c r="J5030" t="s">
        <v>34387</v>
      </c>
      <c r="K5030" t="s">
        <v>40283</v>
      </c>
      <c r="M5030" t="s">
        <v>42527</v>
      </c>
      <c r="N5030" t="s">
        <v>44759</v>
      </c>
      <c r="O5030" t="s">
        <v>44760</v>
      </c>
      <c r="P5030">
        <v>0</v>
      </c>
      <c r="Q5030">
        <v>0</v>
      </c>
      <c r="R5030" t="s">
        <v>44765</v>
      </c>
      <c r="S5030" t="s">
        <v>44892</v>
      </c>
      <c r="T5030" t="s">
        <v>46412</v>
      </c>
      <c r="U5030" t="s">
        <v>51184</v>
      </c>
      <c r="W5030" t="s">
        <v>42527</v>
      </c>
      <c r="X5030" t="s">
        <v>44766</v>
      </c>
    </row>
    <row r="5031" spans="1:24">
      <c r="A5031">
        <f>HYPERLINK("https://www.philgeps.gov.ph/GEPSNONPILOT/Tender/SplashBidNoticeAbstractUI.aspx?menuIndex=3&amp;refID=7148111&amp;Result=3","7148111")</f>
        <v>0</v>
      </c>
      <c r="B5031" t="s">
        <v>1399</v>
      </c>
      <c r="C5031" t="s">
        <v>8501</v>
      </c>
      <c r="D5031" t="s">
        <v>18017</v>
      </c>
      <c r="E5031" t="s">
        <v>22524</v>
      </c>
      <c r="F5031" t="s">
        <v>30900</v>
      </c>
      <c r="G5031" t="s">
        <v>30908</v>
      </c>
      <c r="H5031" t="s">
        <v>30916</v>
      </c>
      <c r="I5031" t="s">
        <v>30943</v>
      </c>
      <c r="J5031" t="s">
        <v>31049</v>
      </c>
      <c r="K5031" t="s">
        <v>40287</v>
      </c>
      <c r="M5031" t="s">
        <v>42358</v>
      </c>
      <c r="N5031" t="s">
        <v>44759</v>
      </c>
      <c r="O5031" t="s">
        <v>44760</v>
      </c>
      <c r="P5031">
        <v>0</v>
      </c>
      <c r="Q5031">
        <v>1</v>
      </c>
      <c r="R5031" t="s">
        <v>44765</v>
      </c>
      <c r="S5031" t="s">
        <v>44892</v>
      </c>
      <c r="T5031" t="s">
        <v>46418</v>
      </c>
      <c r="U5031" t="s">
        <v>51185</v>
      </c>
      <c r="W5031" t="s">
        <v>42358</v>
      </c>
      <c r="X5031" t="s">
        <v>44766</v>
      </c>
    </row>
    <row r="5032" spans="1:24">
      <c r="A5032">
        <f>HYPERLINK("https://www.philgeps.gov.ph/GEPSNONPILOT/Tender/SplashBidNoticeAbstractUI.aspx?menuIndex=3&amp;refID=7148320&amp;Result=3","7148320")</f>
        <v>0</v>
      </c>
      <c r="B5032" t="s">
        <v>1841</v>
      </c>
      <c r="C5032" t="s">
        <v>8503</v>
      </c>
      <c r="E5032" t="s">
        <v>22525</v>
      </c>
      <c r="F5032" t="s">
        <v>30900</v>
      </c>
      <c r="G5032" t="s">
        <v>30907</v>
      </c>
      <c r="H5032" t="s">
        <v>30916</v>
      </c>
      <c r="I5032" t="s">
        <v>30939</v>
      </c>
      <c r="J5032" t="s">
        <v>34388</v>
      </c>
      <c r="K5032" t="s">
        <v>40289</v>
      </c>
      <c r="M5032" t="s">
        <v>42513</v>
      </c>
      <c r="N5032" t="s">
        <v>44759</v>
      </c>
      <c r="O5032" t="s">
        <v>44760</v>
      </c>
      <c r="P5032">
        <v>0</v>
      </c>
      <c r="Q5032">
        <v>0</v>
      </c>
      <c r="R5032" t="s">
        <v>44765</v>
      </c>
      <c r="S5032" t="s">
        <v>44892</v>
      </c>
      <c r="T5032" t="s">
        <v>46412</v>
      </c>
      <c r="U5032" t="s">
        <v>51140</v>
      </c>
      <c r="W5032" t="s">
        <v>42513</v>
      </c>
      <c r="X5032" t="s">
        <v>44766</v>
      </c>
    </row>
    <row r="5033" spans="1:24">
      <c r="A5033">
        <f>HYPERLINK("https://www.philgeps.gov.ph/GEPSNONPILOT/Tender/SplashBidNoticeAbstractUI.aspx?menuIndex=3&amp;refID=7148407&amp;Result=3","7148407")</f>
        <v>0</v>
      </c>
      <c r="B5033" t="s">
        <v>1844</v>
      </c>
      <c r="C5033" t="s">
        <v>8504</v>
      </c>
      <c r="D5033" t="s">
        <v>18018</v>
      </c>
      <c r="E5033" t="s">
        <v>22526</v>
      </c>
      <c r="F5033" t="s">
        <v>30900</v>
      </c>
      <c r="G5033" t="s">
        <v>30907</v>
      </c>
      <c r="H5033" t="s">
        <v>30916</v>
      </c>
      <c r="I5033" t="s">
        <v>30963</v>
      </c>
      <c r="J5033" t="s">
        <v>31204</v>
      </c>
      <c r="K5033" t="s">
        <v>40280</v>
      </c>
      <c r="M5033" t="s">
        <v>42516</v>
      </c>
      <c r="N5033" t="s">
        <v>44759</v>
      </c>
      <c r="O5033" t="s">
        <v>44760</v>
      </c>
      <c r="P5033">
        <v>0</v>
      </c>
      <c r="Q5033">
        <v>1</v>
      </c>
      <c r="R5033" t="s">
        <v>44765</v>
      </c>
      <c r="S5033" t="s">
        <v>44892</v>
      </c>
      <c r="T5033" t="s">
        <v>46429</v>
      </c>
      <c r="U5033" t="s">
        <v>51186</v>
      </c>
      <c r="W5033" t="s">
        <v>42516</v>
      </c>
      <c r="X5033" t="s">
        <v>44766</v>
      </c>
    </row>
    <row r="5034" spans="1:24">
      <c r="A5034">
        <f>HYPERLINK("https://www.philgeps.gov.ph/GEPSNONPILOT/Tender/SplashBidNoticeAbstractUI.aspx?menuIndex=3&amp;refID=7148365&amp;Result=3","7148365")</f>
        <v>0</v>
      </c>
      <c r="B5034" t="s">
        <v>1787</v>
      </c>
      <c r="C5034" t="s">
        <v>8505</v>
      </c>
      <c r="D5034" t="s">
        <v>17962</v>
      </c>
      <c r="E5034" t="s">
        <v>22304</v>
      </c>
      <c r="F5034" t="s">
        <v>30900</v>
      </c>
      <c r="G5034" t="s">
        <v>30908</v>
      </c>
      <c r="H5034" t="s">
        <v>30916</v>
      </c>
      <c r="I5034" t="s">
        <v>6953</v>
      </c>
      <c r="J5034" t="s">
        <v>32734</v>
      </c>
      <c r="K5034" t="s">
        <v>40286</v>
      </c>
      <c r="M5034" t="s">
        <v>42462</v>
      </c>
      <c r="N5034" t="s">
        <v>44759</v>
      </c>
      <c r="O5034" t="s">
        <v>44760</v>
      </c>
      <c r="P5034">
        <v>0</v>
      </c>
      <c r="Q5034">
        <v>0</v>
      </c>
      <c r="R5034" t="s">
        <v>44765</v>
      </c>
      <c r="S5034" t="s">
        <v>44892</v>
      </c>
      <c r="T5034" t="s">
        <v>46531</v>
      </c>
      <c r="U5034" t="s">
        <v>51187</v>
      </c>
      <c r="W5034" t="s">
        <v>42462</v>
      </c>
      <c r="X5034" t="s">
        <v>44766</v>
      </c>
    </row>
    <row r="5035" spans="1:24">
      <c r="A5035">
        <f>HYPERLINK("https://www.philgeps.gov.ph/GEPSNONPILOT/Tender/SplashBidNoticeAbstractUI.aspx?menuIndex=3&amp;refID=7148421&amp;Result=3","7148421")</f>
        <v>0</v>
      </c>
      <c r="B5035" t="s">
        <v>1723</v>
      </c>
      <c r="C5035" t="s">
        <v>8506</v>
      </c>
      <c r="D5035" t="s">
        <v>17957</v>
      </c>
      <c r="E5035" t="s">
        <v>22527</v>
      </c>
      <c r="F5035" t="s">
        <v>30900</v>
      </c>
      <c r="G5035" t="s">
        <v>30909</v>
      </c>
      <c r="H5035" t="s">
        <v>30916</v>
      </c>
      <c r="I5035" t="s">
        <v>30998</v>
      </c>
      <c r="J5035" t="s">
        <v>31912</v>
      </c>
      <c r="K5035" t="s">
        <v>40286</v>
      </c>
      <c r="M5035" t="s">
        <v>42387</v>
      </c>
      <c r="N5035" t="s">
        <v>44759</v>
      </c>
      <c r="O5035" t="s">
        <v>44760</v>
      </c>
      <c r="P5035">
        <v>0</v>
      </c>
      <c r="Q5035">
        <v>0</v>
      </c>
      <c r="R5035" t="s">
        <v>44765</v>
      </c>
      <c r="S5035" t="s">
        <v>44892</v>
      </c>
      <c r="T5035" t="s">
        <v>46412</v>
      </c>
      <c r="U5035" t="s">
        <v>51188</v>
      </c>
      <c r="W5035" t="s">
        <v>42387</v>
      </c>
      <c r="X5035" t="s">
        <v>44766</v>
      </c>
    </row>
    <row r="5036" spans="1:24">
      <c r="A5036">
        <f>HYPERLINK("https://www.philgeps.gov.ph/GEPSNONPILOT/Tender/SplashBidNoticeAbstractUI.aspx?menuIndex=3&amp;refID=7148358&amp;Result=3","7148358")</f>
        <v>0</v>
      </c>
      <c r="B5036" t="s">
        <v>1844</v>
      </c>
      <c r="C5036" t="s">
        <v>8507</v>
      </c>
      <c r="D5036" t="s">
        <v>18018</v>
      </c>
      <c r="E5036" t="s">
        <v>22528</v>
      </c>
      <c r="F5036" t="s">
        <v>30900</v>
      </c>
      <c r="G5036" t="s">
        <v>30907</v>
      </c>
      <c r="H5036" t="s">
        <v>30916</v>
      </c>
      <c r="I5036" t="s">
        <v>30963</v>
      </c>
      <c r="J5036" t="s">
        <v>34389</v>
      </c>
      <c r="K5036" t="s">
        <v>40280</v>
      </c>
      <c r="M5036" t="s">
        <v>42516</v>
      </c>
      <c r="N5036" t="s">
        <v>44759</v>
      </c>
      <c r="O5036" t="s">
        <v>44760</v>
      </c>
      <c r="P5036">
        <v>0</v>
      </c>
      <c r="Q5036">
        <v>2</v>
      </c>
      <c r="R5036" t="s">
        <v>44765</v>
      </c>
      <c r="S5036" t="s">
        <v>44892</v>
      </c>
      <c r="T5036" t="s">
        <v>46429</v>
      </c>
      <c r="U5036" t="s">
        <v>51189</v>
      </c>
      <c r="W5036" t="s">
        <v>42516</v>
      </c>
      <c r="X5036" t="s">
        <v>44766</v>
      </c>
    </row>
    <row r="5037" spans="1:24">
      <c r="A5037">
        <f>HYPERLINK("https://www.philgeps.gov.ph/GEPSNONPILOT/Tender/SplashBidNoticeAbstractUI.aspx?menuIndex=3&amp;refID=7148122&amp;Result=3","7148122")</f>
        <v>0</v>
      </c>
      <c r="B5037" t="s">
        <v>1854</v>
      </c>
      <c r="C5037" t="s">
        <v>8508</v>
      </c>
      <c r="D5037" t="s">
        <v>17978</v>
      </c>
      <c r="E5037" t="s">
        <v>22529</v>
      </c>
      <c r="F5037" t="s">
        <v>30900</v>
      </c>
      <c r="G5037" t="s">
        <v>30908</v>
      </c>
      <c r="H5037" t="s">
        <v>30916</v>
      </c>
      <c r="I5037" t="s">
        <v>30922</v>
      </c>
      <c r="J5037" t="s">
        <v>34390</v>
      </c>
      <c r="K5037" t="s">
        <v>40286</v>
      </c>
      <c r="M5037" t="s">
        <v>42526</v>
      </c>
      <c r="N5037" t="s">
        <v>44759</v>
      </c>
      <c r="O5037" t="s">
        <v>44760</v>
      </c>
      <c r="P5037">
        <v>0</v>
      </c>
      <c r="Q5037">
        <v>8</v>
      </c>
      <c r="R5037" t="s">
        <v>44765</v>
      </c>
      <c r="S5037" t="s">
        <v>44892</v>
      </c>
      <c r="T5037" t="s">
        <v>46389</v>
      </c>
      <c r="U5037" t="s">
        <v>51190</v>
      </c>
      <c r="W5037" t="s">
        <v>42526</v>
      </c>
      <c r="X5037" t="s">
        <v>44766</v>
      </c>
    </row>
    <row r="5038" spans="1:24">
      <c r="A5038">
        <f>HYPERLINK("https://www.philgeps.gov.ph/GEPSNONPILOT/Tender/SplashBidNoticeAbstractUI.aspx?menuIndex=3&amp;refID=7148420&amp;Result=3","7148420")</f>
        <v>0</v>
      </c>
      <c r="B5038" t="s">
        <v>1844</v>
      </c>
      <c r="C5038" t="s">
        <v>8509</v>
      </c>
      <c r="D5038" t="s">
        <v>17999</v>
      </c>
      <c r="E5038" t="s">
        <v>22530</v>
      </c>
      <c r="F5038" t="s">
        <v>30900</v>
      </c>
      <c r="G5038" t="s">
        <v>30907</v>
      </c>
      <c r="H5038" t="s">
        <v>30916</v>
      </c>
      <c r="I5038" t="s">
        <v>30963</v>
      </c>
      <c r="J5038" t="s">
        <v>34391</v>
      </c>
      <c r="K5038" t="s">
        <v>40280</v>
      </c>
      <c r="M5038" t="s">
        <v>42516</v>
      </c>
      <c r="N5038" t="s">
        <v>44759</v>
      </c>
      <c r="O5038" t="s">
        <v>44760</v>
      </c>
      <c r="P5038">
        <v>0</v>
      </c>
      <c r="Q5038">
        <v>3</v>
      </c>
      <c r="R5038" t="s">
        <v>44765</v>
      </c>
      <c r="S5038" t="s">
        <v>44892</v>
      </c>
      <c r="T5038" t="s">
        <v>46429</v>
      </c>
      <c r="U5038" t="s">
        <v>51191</v>
      </c>
      <c r="W5038" t="s">
        <v>42516</v>
      </c>
      <c r="X5038" t="s">
        <v>44766</v>
      </c>
    </row>
    <row r="5039" spans="1:24">
      <c r="A5039">
        <f>HYPERLINK("https://www.philgeps.gov.ph/GEPSNONPILOT/Tender/SplashBidNoticeAbstractUI.aspx?menuIndex=3&amp;refID=7148418&amp;Result=3","7148418")</f>
        <v>0</v>
      </c>
      <c r="B5039" t="s">
        <v>417</v>
      </c>
      <c r="C5039" t="s">
        <v>8510</v>
      </c>
      <c r="D5039" t="s">
        <v>17966</v>
      </c>
      <c r="E5039" t="s">
        <v>22531</v>
      </c>
      <c r="F5039" t="s">
        <v>30900</v>
      </c>
      <c r="G5039" t="s">
        <v>30908</v>
      </c>
      <c r="H5039" t="s">
        <v>30916</v>
      </c>
      <c r="I5039" t="s">
        <v>30941</v>
      </c>
      <c r="J5039" t="s">
        <v>33309</v>
      </c>
      <c r="K5039" t="s">
        <v>40283</v>
      </c>
      <c r="M5039" t="s">
        <v>40973</v>
      </c>
      <c r="N5039" t="s">
        <v>44759</v>
      </c>
      <c r="O5039" t="s">
        <v>44760</v>
      </c>
      <c r="P5039">
        <v>0</v>
      </c>
      <c r="Q5039">
        <v>0</v>
      </c>
      <c r="R5039" t="s">
        <v>44765</v>
      </c>
      <c r="S5039" t="s">
        <v>44892</v>
      </c>
      <c r="T5039" t="s">
        <v>46700</v>
      </c>
      <c r="U5039" t="s">
        <v>51103</v>
      </c>
      <c r="W5039" t="s">
        <v>40973</v>
      </c>
      <c r="X5039" t="s">
        <v>44766</v>
      </c>
    </row>
    <row r="5040" spans="1:24">
      <c r="A5040">
        <f>HYPERLINK("https://www.philgeps.gov.ph/GEPSNONPILOT/Tender/SplashBidNoticeAbstractUI.aspx?menuIndex=3&amp;refID=7147724&amp;Result=3","7147724")</f>
        <v>0</v>
      </c>
      <c r="B5040" t="s">
        <v>1012</v>
      </c>
      <c r="C5040" t="s">
        <v>8511</v>
      </c>
      <c r="D5040" t="s">
        <v>17980</v>
      </c>
      <c r="E5040" t="s">
        <v>22532</v>
      </c>
      <c r="F5040" t="s">
        <v>30900</v>
      </c>
      <c r="G5040" t="s">
        <v>30907</v>
      </c>
      <c r="H5040" t="s">
        <v>30916</v>
      </c>
      <c r="I5040" t="s">
        <v>4545</v>
      </c>
      <c r="J5040" t="s">
        <v>32357</v>
      </c>
      <c r="K5040" t="s">
        <v>40293</v>
      </c>
      <c r="M5040" t="s">
        <v>41601</v>
      </c>
      <c r="N5040" t="s">
        <v>44759</v>
      </c>
      <c r="O5040" t="s">
        <v>44760</v>
      </c>
      <c r="P5040">
        <v>0</v>
      </c>
      <c r="Q5040">
        <v>2</v>
      </c>
      <c r="R5040" t="s">
        <v>44765</v>
      </c>
      <c r="S5040" t="s">
        <v>44892</v>
      </c>
      <c r="T5040" t="s">
        <v>46439</v>
      </c>
      <c r="U5040" t="s">
        <v>51192</v>
      </c>
      <c r="W5040" t="s">
        <v>41601</v>
      </c>
      <c r="X5040" t="s">
        <v>44767</v>
      </c>
    </row>
    <row r="5041" spans="1:24">
      <c r="A5041">
        <f>HYPERLINK("https://www.philgeps.gov.ph/GEPSNONPILOT/Tender/SplashBidNoticeAbstractUI.aspx?menuIndex=3&amp;refID=7148413&amp;Result=3","7148413")</f>
        <v>0</v>
      </c>
      <c r="B5041" t="s">
        <v>1844</v>
      </c>
      <c r="C5041" t="s">
        <v>8512</v>
      </c>
      <c r="D5041" t="s">
        <v>17986</v>
      </c>
      <c r="E5041" t="s">
        <v>22533</v>
      </c>
      <c r="F5041" t="s">
        <v>30900</v>
      </c>
      <c r="G5041" t="s">
        <v>30907</v>
      </c>
      <c r="H5041" t="s">
        <v>30916</v>
      </c>
      <c r="I5041" t="s">
        <v>30963</v>
      </c>
      <c r="J5041" t="s">
        <v>34392</v>
      </c>
      <c r="K5041" t="s">
        <v>40280</v>
      </c>
      <c r="M5041" t="s">
        <v>42516</v>
      </c>
      <c r="N5041" t="s">
        <v>44759</v>
      </c>
      <c r="O5041" t="s">
        <v>44760</v>
      </c>
      <c r="P5041">
        <v>0</v>
      </c>
      <c r="Q5041">
        <v>5</v>
      </c>
      <c r="R5041" t="s">
        <v>44765</v>
      </c>
      <c r="S5041" t="s">
        <v>44892</v>
      </c>
      <c r="T5041" t="s">
        <v>46429</v>
      </c>
      <c r="U5041" t="s">
        <v>51193</v>
      </c>
      <c r="W5041" t="s">
        <v>42516</v>
      </c>
      <c r="X5041" t="s">
        <v>44766</v>
      </c>
    </row>
    <row r="5042" spans="1:24">
      <c r="A5042">
        <f>HYPERLINK("https://www.philgeps.gov.ph/GEPSNONPILOT/Tender/SplashBidNoticeAbstractUI.aspx?menuIndex=3&amp;refID=7145670&amp;Result=3","7145670")</f>
        <v>0</v>
      </c>
      <c r="B5042" t="s">
        <v>1833</v>
      </c>
      <c r="C5042" t="s">
        <v>8513</v>
      </c>
      <c r="D5042" t="s">
        <v>18020</v>
      </c>
      <c r="E5042" t="s">
        <v>22534</v>
      </c>
      <c r="F5042" t="s">
        <v>30900</v>
      </c>
      <c r="G5042" t="s">
        <v>30907</v>
      </c>
      <c r="H5042" t="s">
        <v>30915</v>
      </c>
      <c r="I5042" t="s">
        <v>30919</v>
      </c>
      <c r="J5042" t="s">
        <v>34393</v>
      </c>
      <c r="K5042" t="s">
        <v>40301</v>
      </c>
      <c r="M5042" t="s">
        <v>42506</v>
      </c>
      <c r="N5042" t="s">
        <v>44759</v>
      </c>
      <c r="O5042" t="s">
        <v>44760</v>
      </c>
      <c r="P5042">
        <v>0</v>
      </c>
      <c r="Q5042">
        <v>4</v>
      </c>
      <c r="R5042" t="s">
        <v>44765</v>
      </c>
      <c r="S5042" t="s">
        <v>44892</v>
      </c>
      <c r="T5042" t="s">
        <v>46495</v>
      </c>
      <c r="U5042" t="s">
        <v>51194</v>
      </c>
      <c r="W5042" t="s">
        <v>42506</v>
      </c>
      <c r="X5042" t="s">
        <v>44767</v>
      </c>
    </row>
    <row r="5043" spans="1:24">
      <c r="A5043">
        <f>HYPERLINK("https://www.philgeps.gov.ph/GEPSNONPILOT/Tender/SplashBidNoticeAbstractUI.aspx?menuIndex=3&amp;refID=7148412&amp;Result=3","7148412")</f>
        <v>0</v>
      </c>
      <c r="B5043" t="s">
        <v>1119</v>
      </c>
      <c r="C5043" t="s">
        <v>8514</v>
      </c>
      <c r="D5043" t="s">
        <v>17959</v>
      </c>
      <c r="E5043" t="s">
        <v>22535</v>
      </c>
      <c r="F5043" t="s">
        <v>30900</v>
      </c>
      <c r="G5043" t="s">
        <v>30910</v>
      </c>
      <c r="H5043" t="s">
        <v>30916</v>
      </c>
      <c r="I5043" t="s">
        <v>4108</v>
      </c>
      <c r="J5043" t="s">
        <v>34394</v>
      </c>
      <c r="K5043" t="s">
        <v>40291</v>
      </c>
      <c r="M5043" t="s">
        <v>41749</v>
      </c>
      <c r="N5043" t="s">
        <v>44759</v>
      </c>
      <c r="O5043" t="s">
        <v>44760</v>
      </c>
      <c r="P5043">
        <v>0</v>
      </c>
      <c r="Q5043">
        <v>5</v>
      </c>
      <c r="R5043" t="s">
        <v>44765</v>
      </c>
      <c r="S5043" t="s">
        <v>44892</v>
      </c>
      <c r="T5043" t="s">
        <v>46531</v>
      </c>
      <c r="U5043" t="s">
        <v>51195</v>
      </c>
      <c r="V5043" t="s">
        <v>59398</v>
      </c>
      <c r="W5043" t="s">
        <v>41749</v>
      </c>
      <c r="X5043" t="s">
        <v>44766</v>
      </c>
    </row>
    <row r="5044" spans="1:24">
      <c r="A5044">
        <f>HYPERLINK("https://www.philgeps.gov.ph/GEPSNONPILOT/Tender/SplashBidNoticeAbstractUI.aspx?menuIndex=3&amp;refID=7148409&amp;Result=3","7148409")</f>
        <v>0</v>
      </c>
      <c r="B5044" t="s">
        <v>1119</v>
      </c>
      <c r="C5044" t="s">
        <v>8515</v>
      </c>
      <c r="D5044" t="s">
        <v>17959</v>
      </c>
      <c r="E5044" t="s">
        <v>22536</v>
      </c>
      <c r="F5044" t="s">
        <v>30900</v>
      </c>
      <c r="G5044" t="s">
        <v>30910</v>
      </c>
      <c r="H5044" t="s">
        <v>30916</v>
      </c>
      <c r="I5044" t="s">
        <v>31011</v>
      </c>
      <c r="J5044" t="s">
        <v>31101</v>
      </c>
      <c r="K5044" t="s">
        <v>40291</v>
      </c>
      <c r="M5044" t="s">
        <v>41749</v>
      </c>
      <c r="N5044" t="s">
        <v>44759</v>
      </c>
      <c r="O5044" t="s">
        <v>44760</v>
      </c>
      <c r="P5044">
        <v>0</v>
      </c>
      <c r="Q5044">
        <v>6</v>
      </c>
      <c r="R5044" t="s">
        <v>44765</v>
      </c>
      <c r="S5044" t="s">
        <v>44892</v>
      </c>
      <c r="T5044" t="s">
        <v>46658</v>
      </c>
      <c r="U5044" t="s">
        <v>49074</v>
      </c>
      <c r="V5044" t="s">
        <v>59398</v>
      </c>
      <c r="W5044" t="s">
        <v>41749</v>
      </c>
      <c r="X5044" t="s">
        <v>44766</v>
      </c>
    </row>
    <row r="5045" spans="1:24">
      <c r="A5045">
        <f>HYPERLINK("https://www.philgeps.gov.ph/GEPSNONPILOT/Tender/SplashBidNoticeAbstractUI.aspx?menuIndex=3&amp;refID=7148403&amp;Result=3","7148403")</f>
        <v>0</v>
      </c>
      <c r="B5045" t="s">
        <v>1856</v>
      </c>
      <c r="C5045" t="s">
        <v>8516</v>
      </c>
      <c r="D5045" t="s">
        <v>17973</v>
      </c>
      <c r="E5045" t="s">
        <v>22423</v>
      </c>
      <c r="F5045" t="s">
        <v>30900</v>
      </c>
      <c r="G5045" t="s">
        <v>30907</v>
      </c>
      <c r="H5045" t="s">
        <v>30915</v>
      </c>
      <c r="I5045" t="s">
        <v>8123</v>
      </c>
      <c r="J5045" t="s">
        <v>34395</v>
      </c>
      <c r="K5045" t="s">
        <v>40286</v>
      </c>
      <c r="M5045" t="s">
        <v>42528</v>
      </c>
      <c r="N5045" t="s">
        <v>44759</v>
      </c>
      <c r="O5045" t="s">
        <v>44760</v>
      </c>
      <c r="P5045">
        <v>0</v>
      </c>
      <c r="Q5045">
        <v>1</v>
      </c>
      <c r="R5045" t="s">
        <v>44765</v>
      </c>
      <c r="S5045" t="s">
        <v>44892</v>
      </c>
      <c r="T5045" t="s">
        <v>46401</v>
      </c>
      <c r="U5045" t="s">
        <v>51196</v>
      </c>
      <c r="W5045" t="s">
        <v>42528</v>
      </c>
      <c r="X5045" t="s">
        <v>44766</v>
      </c>
    </row>
    <row r="5046" spans="1:24">
      <c r="A5046">
        <f>HYPERLINK("https://www.philgeps.gov.ph/GEPSNONPILOT/Tender/SplashBidNoticeAbstractUI.aspx?menuIndex=3&amp;refID=7148416&amp;Result=3","7148416")</f>
        <v>0</v>
      </c>
      <c r="B5046" t="s">
        <v>1850</v>
      </c>
      <c r="C5046" t="s">
        <v>8517</v>
      </c>
      <c r="D5046" t="s">
        <v>18025</v>
      </c>
      <c r="E5046" t="s">
        <v>22537</v>
      </c>
      <c r="F5046" t="s">
        <v>30900</v>
      </c>
      <c r="G5046" t="s">
        <v>30908</v>
      </c>
      <c r="H5046" t="s">
        <v>30916</v>
      </c>
      <c r="I5046" t="s">
        <v>8123</v>
      </c>
      <c r="J5046" t="s">
        <v>34396</v>
      </c>
      <c r="K5046" t="s">
        <v>40287</v>
      </c>
      <c r="M5046" t="s">
        <v>42522</v>
      </c>
      <c r="N5046" t="s">
        <v>44759</v>
      </c>
      <c r="O5046" t="s">
        <v>44760</v>
      </c>
      <c r="P5046">
        <v>0</v>
      </c>
      <c r="Q5046">
        <v>1</v>
      </c>
      <c r="R5046" t="s">
        <v>44765</v>
      </c>
      <c r="S5046" t="s">
        <v>44892</v>
      </c>
      <c r="T5046" t="s">
        <v>46625</v>
      </c>
      <c r="U5046" t="s">
        <v>51197</v>
      </c>
      <c r="W5046" t="s">
        <v>42522</v>
      </c>
      <c r="X5046" t="s">
        <v>44766</v>
      </c>
    </row>
    <row r="5047" spans="1:24">
      <c r="A5047">
        <f>HYPERLINK("https://www.philgeps.gov.ph/GEPSNONPILOT/Tender/SplashBidNoticeAbstractUI.aspx?menuIndex=3&amp;refID=7148417&amp;Result=3","7148417")</f>
        <v>0</v>
      </c>
      <c r="B5047" t="s">
        <v>1855</v>
      </c>
      <c r="C5047" t="s">
        <v>8518</v>
      </c>
      <c r="D5047" t="s">
        <v>17971</v>
      </c>
      <c r="E5047" t="s">
        <v>18366</v>
      </c>
      <c r="F5047" t="s">
        <v>30900</v>
      </c>
      <c r="G5047" t="s">
        <v>30907</v>
      </c>
      <c r="H5047" t="s">
        <v>30916</v>
      </c>
      <c r="I5047" t="s">
        <v>8123</v>
      </c>
      <c r="J5047" t="s">
        <v>34397</v>
      </c>
      <c r="K5047" t="s">
        <v>40283</v>
      </c>
      <c r="M5047" t="s">
        <v>42527</v>
      </c>
      <c r="N5047" t="s">
        <v>44759</v>
      </c>
      <c r="O5047" t="s">
        <v>44760</v>
      </c>
      <c r="P5047">
        <v>0</v>
      </c>
      <c r="Q5047">
        <v>0</v>
      </c>
      <c r="R5047" t="s">
        <v>44765</v>
      </c>
      <c r="S5047" t="s">
        <v>44892</v>
      </c>
      <c r="T5047" t="s">
        <v>46412</v>
      </c>
      <c r="U5047" t="s">
        <v>51198</v>
      </c>
      <c r="W5047" t="s">
        <v>42527</v>
      </c>
      <c r="X5047" t="s">
        <v>44766</v>
      </c>
    </row>
    <row r="5048" spans="1:24">
      <c r="A5048">
        <f>HYPERLINK("https://www.philgeps.gov.ph/GEPSNONPILOT/Tender/SplashBidNoticeAbstractUI.aspx?menuIndex=3&amp;refID=7148406&amp;Result=3","7148406")</f>
        <v>0</v>
      </c>
      <c r="B5048" t="s">
        <v>1119</v>
      </c>
      <c r="C5048" t="s">
        <v>8519</v>
      </c>
      <c r="D5048" t="s">
        <v>17959</v>
      </c>
      <c r="E5048" t="s">
        <v>22538</v>
      </c>
      <c r="F5048" t="s">
        <v>30900</v>
      </c>
      <c r="G5048" t="s">
        <v>30910</v>
      </c>
      <c r="H5048" t="s">
        <v>30916</v>
      </c>
      <c r="I5048" t="s">
        <v>4050</v>
      </c>
      <c r="J5048" t="s">
        <v>34398</v>
      </c>
      <c r="K5048" t="s">
        <v>40291</v>
      </c>
      <c r="M5048" t="s">
        <v>41749</v>
      </c>
      <c r="N5048" t="s">
        <v>44759</v>
      </c>
      <c r="O5048" t="s">
        <v>44760</v>
      </c>
      <c r="P5048">
        <v>0</v>
      </c>
      <c r="Q5048">
        <v>17</v>
      </c>
      <c r="R5048" t="s">
        <v>44765</v>
      </c>
      <c r="S5048" t="s">
        <v>44892</v>
      </c>
      <c r="T5048" t="s">
        <v>46658</v>
      </c>
      <c r="U5048" t="s">
        <v>49074</v>
      </c>
      <c r="V5048" t="s">
        <v>59398</v>
      </c>
      <c r="W5048" t="s">
        <v>41749</v>
      </c>
      <c r="X5048" t="s">
        <v>44766</v>
      </c>
    </row>
    <row r="5049" spans="1:24">
      <c r="A5049">
        <f>HYPERLINK("https://www.philgeps.gov.ph/GEPSNONPILOT/Tender/SplashBidNoticeAbstractUI.aspx?menuIndex=3&amp;refID=7148398&amp;Result=3","7148398")</f>
        <v>0</v>
      </c>
      <c r="B5049" t="s">
        <v>1850</v>
      </c>
      <c r="C5049" t="s">
        <v>8520</v>
      </c>
      <c r="D5049" t="s">
        <v>18025</v>
      </c>
      <c r="E5049" t="s">
        <v>22539</v>
      </c>
      <c r="F5049" t="s">
        <v>30900</v>
      </c>
      <c r="G5049" t="s">
        <v>30908</v>
      </c>
      <c r="H5049" t="s">
        <v>30916</v>
      </c>
      <c r="I5049" t="s">
        <v>8123</v>
      </c>
      <c r="J5049" t="s">
        <v>34399</v>
      </c>
      <c r="K5049" t="s">
        <v>40287</v>
      </c>
      <c r="M5049" t="s">
        <v>42522</v>
      </c>
      <c r="N5049" t="s">
        <v>44759</v>
      </c>
      <c r="O5049" t="s">
        <v>44760</v>
      </c>
      <c r="P5049">
        <v>0</v>
      </c>
      <c r="Q5049">
        <v>1</v>
      </c>
      <c r="R5049" t="s">
        <v>44765</v>
      </c>
      <c r="S5049" t="s">
        <v>44892</v>
      </c>
      <c r="T5049" t="s">
        <v>46571</v>
      </c>
      <c r="U5049" t="s">
        <v>51199</v>
      </c>
      <c r="W5049" t="s">
        <v>42522</v>
      </c>
      <c r="X5049" t="s">
        <v>44766</v>
      </c>
    </row>
    <row r="5050" spans="1:24">
      <c r="A5050">
        <f>HYPERLINK("https://www.philgeps.gov.ph/GEPSNONPILOT/Tender/SplashBidNoticeAbstractUI.aspx?menuIndex=3&amp;refID=7148411&amp;Result=3","7148411")</f>
        <v>0</v>
      </c>
      <c r="B5050" t="s">
        <v>1119</v>
      </c>
      <c r="C5050" t="s">
        <v>8521</v>
      </c>
      <c r="D5050" t="s">
        <v>17959</v>
      </c>
      <c r="E5050" t="s">
        <v>22540</v>
      </c>
      <c r="F5050" t="s">
        <v>30900</v>
      </c>
      <c r="G5050" t="s">
        <v>30910</v>
      </c>
      <c r="H5050" t="s">
        <v>30916</v>
      </c>
      <c r="I5050" t="s">
        <v>6396</v>
      </c>
      <c r="J5050" t="s">
        <v>34400</v>
      </c>
      <c r="K5050" t="s">
        <v>40291</v>
      </c>
      <c r="M5050" t="s">
        <v>41749</v>
      </c>
      <c r="N5050" t="s">
        <v>44759</v>
      </c>
      <c r="O5050" t="s">
        <v>44760</v>
      </c>
      <c r="P5050">
        <v>0</v>
      </c>
      <c r="Q5050">
        <v>3</v>
      </c>
      <c r="R5050" t="s">
        <v>44765</v>
      </c>
      <c r="S5050" t="s">
        <v>44892</v>
      </c>
      <c r="T5050" t="s">
        <v>46531</v>
      </c>
      <c r="U5050" t="s">
        <v>49074</v>
      </c>
      <c r="V5050" t="s">
        <v>59398</v>
      </c>
      <c r="W5050" t="s">
        <v>41749</v>
      </c>
      <c r="X5050" t="s">
        <v>44766</v>
      </c>
    </row>
    <row r="5051" spans="1:24">
      <c r="A5051">
        <f>HYPERLINK("https://www.philgeps.gov.ph/GEPSNONPILOT/Tender/SplashBidNoticeAbstractUI.aspx?menuIndex=3&amp;refID=7148423&amp;Result=3","7148423")</f>
        <v>0</v>
      </c>
      <c r="B5051" t="s">
        <v>1844</v>
      </c>
      <c r="C5051" t="s">
        <v>8522</v>
      </c>
      <c r="D5051" t="s">
        <v>17988</v>
      </c>
      <c r="E5051" t="s">
        <v>22541</v>
      </c>
      <c r="F5051" t="s">
        <v>30900</v>
      </c>
      <c r="G5051" t="s">
        <v>30907</v>
      </c>
      <c r="H5051" t="s">
        <v>30916</v>
      </c>
      <c r="I5051" t="s">
        <v>30963</v>
      </c>
      <c r="J5051" t="s">
        <v>34401</v>
      </c>
      <c r="K5051" t="s">
        <v>40280</v>
      </c>
      <c r="M5051" t="s">
        <v>42516</v>
      </c>
      <c r="N5051" t="s">
        <v>44759</v>
      </c>
      <c r="O5051" t="s">
        <v>44760</v>
      </c>
      <c r="P5051">
        <v>0</v>
      </c>
      <c r="Q5051">
        <v>1</v>
      </c>
      <c r="R5051" t="s">
        <v>44765</v>
      </c>
      <c r="S5051" t="s">
        <v>44892</v>
      </c>
      <c r="T5051" t="s">
        <v>46429</v>
      </c>
      <c r="U5051" t="s">
        <v>51200</v>
      </c>
      <c r="W5051" t="s">
        <v>42516</v>
      </c>
      <c r="X5051" t="s">
        <v>44766</v>
      </c>
    </row>
    <row r="5052" spans="1:24">
      <c r="A5052">
        <f>HYPERLINK("https://www.philgeps.gov.ph/GEPSNONPILOT/Tender/SplashBidNoticeAbstractUI.aspx?menuIndex=3&amp;refID=7148404&amp;Result=3","7148404")</f>
        <v>0</v>
      </c>
      <c r="B5052" t="s">
        <v>1857</v>
      </c>
      <c r="C5052" t="s">
        <v>8523</v>
      </c>
      <c r="D5052" t="s">
        <v>17975</v>
      </c>
      <c r="E5052" t="s">
        <v>18158</v>
      </c>
      <c r="F5052" t="s">
        <v>30900</v>
      </c>
      <c r="G5052" t="s">
        <v>30909</v>
      </c>
      <c r="H5052" t="s">
        <v>30916</v>
      </c>
      <c r="I5052" t="s">
        <v>4545</v>
      </c>
      <c r="J5052" t="s">
        <v>34402</v>
      </c>
      <c r="K5052" t="s">
        <v>40285</v>
      </c>
      <c r="M5052" t="s">
        <v>42529</v>
      </c>
      <c r="N5052" t="s">
        <v>44759</v>
      </c>
      <c r="O5052" t="s">
        <v>44760</v>
      </c>
      <c r="P5052">
        <v>0</v>
      </c>
      <c r="Q5052">
        <v>1</v>
      </c>
      <c r="R5052" t="s">
        <v>44765</v>
      </c>
      <c r="S5052" t="s">
        <v>44892</v>
      </c>
      <c r="T5052" t="s">
        <v>46383</v>
      </c>
      <c r="U5052" t="s">
        <v>51201</v>
      </c>
      <c r="W5052" t="s">
        <v>42529</v>
      </c>
      <c r="X5052" t="s">
        <v>44766</v>
      </c>
    </row>
    <row r="5053" spans="1:24">
      <c r="A5053">
        <f>HYPERLINK("https://www.philgeps.gov.ph/GEPSNONPILOT/Tender/SplashBidNoticeAbstractUI.aspx?menuIndex=3&amp;refID=7145408&amp;Result=3","7145408")</f>
        <v>0</v>
      </c>
      <c r="B5053" t="s">
        <v>188</v>
      </c>
      <c r="C5053" t="s">
        <v>8524</v>
      </c>
      <c r="D5053" t="s">
        <v>17992</v>
      </c>
      <c r="E5053" t="s">
        <v>22542</v>
      </c>
      <c r="F5053" t="s">
        <v>30900</v>
      </c>
      <c r="G5053" t="s">
        <v>30907</v>
      </c>
      <c r="H5053" t="s">
        <v>30916</v>
      </c>
      <c r="I5053" t="s">
        <v>8123</v>
      </c>
      <c r="J5053" t="s">
        <v>31341</v>
      </c>
      <c r="K5053" t="s">
        <v>40291</v>
      </c>
      <c r="M5053" t="s">
        <v>40735</v>
      </c>
      <c r="N5053" t="s">
        <v>44759</v>
      </c>
      <c r="O5053" t="s">
        <v>44760</v>
      </c>
      <c r="P5053">
        <v>0</v>
      </c>
      <c r="Q5053">
        <v>2</v>
      </c>
      <c r="R5053" t="s">
        <v>44765</v>
      </c>
      <c r="S5053" t="s">
        <v>44892</v>
      </c>
      <c r="T5053" t="s">
        <v>46703</v>
      </c>
      <c r="U5053" t="s">
        <v>51202</v>
      </c>
      <c r="V5053" t="s">
        <v>59644</v>
      </c>
      <c r="W5053" t="s">
        <v>40735</v>
      </c>
      <c r="X5053" t="s">
        <v>44767</v>
      </c>
    </row>
    <row r="5054" spans="1:24">
      <c r="A5054">
        <f>HYPERLINK("https://www.philgeps.gov.ph/GEPSNONPILOT/Tender/SplashBidNoticeAbstractUI.aspx?menuIndex=3&amp;refID=7145147&amp;Result=3","7145147")</f>
        <v>0</v>
      </c>
      <c r="B5054" t="s">
        <v>1810</v>
      </c>
      <c r="C5054" t="s">
        <v>8525</v>
      </c>
      <c r="D5054" t="s">
        <v>17959</v>
      </c>
      <c r="E5054" t="s">
        <v>22543</v>
      </c>
      <c r="F5054" t="s">
        <v>30900</v>
      </c>
      <c r="G5054" t="s">
        <v>30907</v>
      </c>
      <c r="H5054" t="s">
        <v>30916</v>
      </c>
      <c r="I5054" t="s">
        <v>6834</v>
      </c>
      <c r="J5054" t="s">
        <v>31066</v>
      </c>
      <c r="K5054" t="s">
        <v>40289</v>
      </c>
      <c r="M5054" t="s">
        <v>42484</v>
      </c>
      <c r="N5054" t="s">
        <v>44759</v>
      </c>
      <c r="O5054" t="s">
        <v>44760</v>
      </c>
      <c r="P5054">
        <v>0</v>
      </c>
      <c r="Q5054">
        <v>0</v>
      </c>
      <c r="R5054" t="s">
        <v>44765</v>
      </c>
      <c r="S5054" t="s">
        <v>44892</v>
      </c>
      <c r="T5054" t="s">
        <v>46376</v>
      </c>
      <c r="U5054" t="s">
        <v>51203</v>
      </c>
      <c r="W5054" t="s">
        <v>42484</v>
      </c>
      <c r="X5054" t="s">
        <v>44768</v>
      </c>
    </row>
    <row r="5055" spans="1:24">
      <c r="A5055">
        <f>HYPERLINK("https://www.philgeps.gov.ph/GEPSNONPILOT/Tender/SplashBidNoticeAbstractUI.aspx?menuIndex=3&amp;refID=7148402&amp;Result=3","7148402")</f>
        <v>0</v>
      </c>
      <c r="B5055" t="s">
        <v>1119</v>
      </c>
      <c r="C5055" t="s">
        <v>8526</v>
      </c>
      <c r="D5055" t="s">
        <v>17959</v>
      </c>
      <c r="E5055" t="s">
        <v>22544</v>
      </c>
      <c r="F5055" t="s">
        <v>30900</v>
      </c>
      <c r="G5055" t="s">
        <v>30910</v>
      </c>
      <c r="H5055" t="s">
        <v>30916</v>
      </c>
      <c r="I5055" t="s">
        <v>4545</v>
      </c>
      <c r="J5055" t="s">
        <v>32816</v>
      </c>
      <c r="K5055" t="s">
        <v>40291</v>
      </c>
      <c r="M5055" t="s">
        <v>41749</v>
      </c>
      <c r="N5055" t="s">
        <v>44759</v>
      </c>
      <c r="O5055" t="s">
        <v>44760</v>
      </c>
      <c r="P5055">
        <v>0</v>
      </c>
      <c r="Q5055">
        <v>10</v>
      </c>
      <c r="R5055" t="s">
        <v>44765</v>
      </c>
      <c r="S5055" t="s">
        <v>44892</v>
      </c>
      <c r="T5055" t="s">
        <v>46658</v>
      </c>
      <c r="U5055" t="s">
        <v>49074</v>
      </c>
      <c r="V5055" t="s">
        <v>59398</v>
      </c>
      <c r="W5055" t="s">
        <v>41749</v>
      </c>
      <c r="X5055" t="s">
        <v>44766</v>
      </c>
    </row>
    <row r="5056" spans="1:24">
      <c r="A5056">
        <f>HYPERLINK("https://www.philgeps.gov.ph/GEPSNONPILOT/Tender/SplashBidNoticeAbstractUI.aspx?menuIndex=3&amp;refID=7148401&amp;Result=3","7148401")</f>
        <v>0</v>
      </c>
      <c r="B5056" t="s">
        <v>417</v>
      </c>
      <c r="C5056" t="s">
        <v>8527</v>
      </c>
      <c r="D5056" t="s">
        <v>17966</v>
      </c>
      <c r="E5056" t="s">
        <v>22545</v>
      </c>
      <c r="F5056" t="s">
        <v>30900</v>
      </c>
      <c r="G5056" t="s">
        <v>30908</v>
      </c>
      <c r="H5056" t="s">
        <v>30916</v>
      </c>
      <c r="I5056" t="s">
        <v>30924</v>
      </c>
      <c r="J5056" t="s">
        <v>32288</v>
      </c>
      <c r="K5056" t="s">
        <v>40283</v>
      </c>
      <c r="M5056" t="s">
        <v>40973</v>
      </c>
      <c r="N5056" t="s">
        <v>44759</v>
      </c>
      <c r="O5056" t="s">
        <v>44760</v>
      </c>
      <c r="P5056">
        <v>0</v>
      </c>
      <c r="Q5056">
        <v>0</v>
      </c>
      <c r="R5056" t="s">
        <v>44765</v>
      </c>
      <c r="S5056" t="s">
        <v>44892</v>
      </c>
      <c r="T5056" t="s">
        <v>46700</v>
      </c>
      <c r="U5056" t="s">
        <v>51103</v>
      </c>
      <c r="W5056" t="s">
        <v>40973</v>
      </c>
      <c r="X5056" t="s">
        <v>44766</v>
      </c>
    </row>
    <row r="5057" spans="1:24">
      <c r="A5057">
        <f>HYPERLINK("https://www.philgeps.gov.ph/GEPSNONPILOT/Tender/SplashBidNoticeAbstractUI.aspx?menuIndex=3&amp;refID=7148454&amp;Result=3","7148454")</f>
        <v>0</v>
      </c>
      <c r="B5057" t="s">
        <v>1844</v>
      </c>
      <c r="C5057" t="s">
        <v>8528</v>
      </c>
      <c r="D5057" t="s">
        <v>17988</v>
      </c>
      <c r="E5057" t="s">
        <v>22546</v>
      </c>
      <c r="F5057" t="s">
        <v>30900</v>
      </c>
      <c r="G5057" t="s">
        <v>30907</v>
      </c>
      <c r="H5057" t="s">
        <v>30916</v>
      </c>
      <c r="I5057" t="s">
        <v>30963</v>
      </c>
      <c r="J5057" t="s">
        <v>34403</v>
      </c>
      <c r="K5057" t="s">
        <v>40280</v>
      </c>
      <c r="M5057" t="s">
        <v>42516</v>
      </c>
      <c r="N5057" t="s">
        <v>44759</v>
      </c>
      <c r="O5057" t="s">
        <v>44760</v>
      </c>
      <c r="P5057">
        <v>0</v>
      </c>
      <c r="Q5057">
        <v>4</v>
      </c>
      <c r="R5057" t="s">
        <v>44765</v>
      </c>
      <c r="S5057" t="s">
        <v>44892</v>
      </c>
      <c r="T5057" t="s">
        <v>46429</v>
      </c>
      <c r="U5057" t="s">
        <v>51204</v>
      </c>
      <c r="W5057" t="s">
        <v>42516</v>
      </c>
      <c r="X5057" t="s">
        <v>44766</v>
      </c>
    </row>
    <row r="5058" spans="1:24">
      <c r="A5058">
        <f>HYPERLINK("https://www.philgeps.gov.ph/GEPSNONPILOT/Tender/SplashBidNoticeAbstractUI.aspx?menuIndex=3&amp;refID=7148400&amp;Result=3","7148400")</f>
        <v>0</v>
      </c>
      <c r="B5058" t="s">
        <v>1844</v>
      </c>
      <c r="C5058" t="s">
        <v>8529</v>
      </c>
      <c r="D5058" t="s">
        <v>18018</v>
      </c>
      <c r="E5058" t="s">
        <v>22547</v>
      </c>
      <c r="F5058" t="s">
        <v>30900</v>
      </c>
      <c r="G5058" t="s">
        <v>30907</v>
      </c>
      <c r="H5058" t="s">
        <v>30916</v>
      </c>
      <c r="I5058" t="s">
        <v>30963</v>
      </c>
      <c r="J5058" t="s">
        <v>34404</v>
      </c>
      <c r="K5058" t="s">
        <v>40280</v>
      </c>
      <c r="M5058" t="s">
        <v>42516</v>
      </c>
      <c r="N5058" t="s">
        <v>44759</v>
      </c>
      <c r="O5058" t="s">
        <v>44760</v>
      </c>
      <c r="P5058">
        <v>0</v>
      </c>
      <c r="Q5058">
        <v>3</v>
      </c>
      <c r="R5058" t="s">
        <v>44765</v>
      </c>
      <c r="S5058" t="s">
        <v>44892</v>
      </c>
      <c r="T5058" t="s">
        <v>46429</v>
      </c>
      <c r="U5058" t="s">
        <v>51205</v>
      </c>
      <c r="W5058" t="s">
        <v>42516</v>
      </c>
      <c r="X5058" t="s">
        <v>44766</v>
      </c>
    </row>
    <row r="5059" spans="1:24">
      <c r="A5059">
        <f>HYPERLINK("https://www.philgeps.gov.ph/GEPSNONPILOT/Tender/SplashBidNoticeAbstractUI.aspx?menuIndex=3&amp;refID=7148397&amp;Result=3","7148397")</f>
        <v>0</v>
      </c>
      <c r="B5059" t="s">
        <v>1844</v>
      </c>
      <c r="C5059" t="s">
        <v>8530</v>
      </c>
      <c r="D5059" t="s">
        <v>18018</v>
      </c>
      <c r="E5059" t="s">
        <v>22548</v>
      </c>
      <c r="F5059" t="s">
        <v>30900</v>
      </c>
      <c r="G5059" t="s">
        <v>30907</v>
      </c>
      <c r="H5059" t="s">
        <v>30916</v>
      </c>
      <c r="I5059" t="s">
        <v>30963</v>
      </c>
      <c r="J5059" t="s">
        <v>34405</v>
      </c>
      <c r="K5059" t="s">
        <v>40280</v>
      </c>
      <c r="M5059" t="s">
        <v>42516</v>
      </c>
      <c r="N5059" t="s">
        <v>44759</v>
      </c>
      <c r="O5059" t="s">
        <v>44760</v>
      </c>
      <c r="P5059">
        <v>0</v>
      </c>
      <c r="Q5059">
        <v>3</v>
      </c>
      <c r="R5059" t="s">
        <v>44765</v>
      </c>
      <c r="S5059" t="s">
        <v>44892</v>
      </c>
      <c r="T5059" t="s">
        <v>46429</v>
      </c>
      <c r="U5059" t="s">
        <v>51206</v>
      </c>
      <c r="W5059" t="s">
        <v>42516</v>
      </c>
      <c r="X5059" t="s">
        <v>44766</v>
      </c>
    </row>
    <row r="5060" spans="1:24">
      <c r="A5060">
        <f>HYPERLINK("https://www.philgeps.gov.ph/GEPSNONPILOT/Tender/SplashBidNoticeAbstractUI.aspx?menuIndex=3&amp;refID=7148450&amp;Result=3","7148450")</f>
        <v>0</v>
      </c>
      <c r="B5060" t="s">
        <v>1858</v>
      </c>
      <c r="C5060" t="s">
        <v>8531</v>
      </c>
      <c r="D5060" t="s">
        <v>17985</v>
      </c>
      <c r="E5060" t="s">
        <v>22549</v>
      </c>
      <c r="F5060" t="s">
        <v>30900</v>
      </c>
      <c r="G5060" t="s">
        <v>30908</v>
      </c>
      <c r="H5060" t="s">
        <v>30916</v>
      </c>
      <c r="I5060" t="s">
        <v>30929</v>
      </c>
      <c r="J5060" t="s">
        <v>34406</v>
      </c>
      <c r="K5060" t="s">
        <v>40284</v>
      </c>
      <c r="M5060" t="s">
        <v>42530</v>
      </c>
      <c r="N5060" t="s">
        <v>44759</v>
      </c>
      <c r="O5060" t="s">
        <v>44760</v>
      </c>
      <c r="P5060">
        <v>0</v>
      </c>
      <c r="Q5060">
        <v>4</v>
      </c>
      <c r="R5060" t="s">
        <v>44765</v>
      </c>
      <c r="S5060" t="s">
        <v>44892</v>
      </c>
      <c r="T5060" t="s">
        <v>46398</v>
      </c>
      <c r="U5060" t="s">
        <v>51207</v>
      </c>
      <c r="W5060" t="s">
        <v>42530</v>
      </c>
      <c r="X5060" t="s">
        <v>44766</v>
      </c>
    </row>
    <row r="5061" spans="1:24">
      <c r="A5061">
        <f>HYPERLINK("https://www.philgeps.gov.ph/GEPSNONPILOT/Tender/SplashBidNoticeAbstractUI.aspx?menuIndex=3&amp;refID=7148448&amp;Result=3","7148448")</f>
        <v>0</v>
      </c>
      <c r="B5061" t="s">
        <v>1844</v>
      </c>
      <c r="C5061" t="s">
        <v>8532</v>
      </c>
      <c r="D5061" t="s">
        <v>17965</v>
      </c>
      <c r="E5061" t="s">
        <v>22550</v>
      </c>
      <c r="F5061" t="s">
        <v>30900</v>
      </c>
      <c r="G5061" t="s">
        <v>30907</v>
      </c>
      <c r="H5061" t="s">
        <v>30916</v>
      </c>
      <c r="I5061" t="s">
        <v>30963</v>
      </c>
      <c r="J5061" t="s">
        <v>34407</v>
      </c>
      <c r="K5061" t="s">
        <v>40280</v>
      </c>
      <c r="M5061" t="s">
        <v>42516</v>
      </c>
      <c r="N5061" t="s">
        <v>44759</v>
      </c>
      <c r="O5061" t="s">
        <v>44760</v>
      </c>
      <c r="P5061">
        <v>0</v>
      </c>
      <c r="Q5061">
        <v>3</v>
      </c>
      <c r="R5061" t="s">
        <v>44765</v>
      </c>
      <c r="S5061" t="s">
        <v>44892</v>
      </c>
      <c r="T5061" t="s">
        <v>46429</v>
      </c>
      <c r="U5061" t="s">
        <v>51208</v>
      </c>
      <c r="W5061" t="s">
        <v>42516</v>
      </c>
      <c r="X5061" t="s">
        <v>44766</v>
      </c>
    </row>
    <row r="5062" spans="1:24">
      <c r="A5062">
        <f>HYPERLINK("https://www.philgeps.gov.ph/GEPSNONPILOT/Tender/SplashBidNoticeAbstractUI.aspx?menuIndex=3&amp;refID=7148446&amp;Result=3","7148446")</f>
        <v>0</v>
      </c>
      <c r="B5062" t="s">
        <v>1844</v>
      </c>
      <c r="C5062" t="s">
        <v>8533</v>
      </c>
      <c r="D5062" t="s">
        <v>17965</v>
      </c>
      <c r="E5062" t="s">
        <v>22551</v>
      </c>
      <c r="F5062" t="s">
        <v>30900</v>
      </c>
      <c r="G5062" t="s">
        <v>30907</v>
      </c>
      <c r="H5062" t="s">
        <v>30916</v>
      </c>
      <c r="I5062" t="s">
        <v>30963</v>
      </c>
      <c r="J5062" t="s">
        <v>34408</v>
      </c>
      <c r="K5062" t="s">
        <v>40280</v>
      </c>
      <c r="M5062" t="s">
        <v>42516</v>
      </c>
      <c r="N5062" t="s">
        <v>44759</v>
      </c>
      <c r="O5062" t="s">
        <v>44760</v>
      </c>
      <c r="P5062">
        <v>0</v>
      </c>
      <c r="Q5062">
        <v>1</v>
      </c>
      <c r="R5062" t="s">
        <v>44765</v>
      </c>
      <c r="S5062" t="s">
        <v>44892</v>
      </c>
      <c r="T5062" t="s">
        <v>46429</v>
      </c>
      <c r="U5062" t="s">
        <v>51209</v>
      </c>
      <c r="W5062" t="s">
        <v>42516</v>
      </c>
      <c r="X5062" t="s">
        <v>44766</v>
      </c>
    </row>
    <row r="5063" spans="1:24">
      <c r="A5063">
        <f>HYPERLINK("https://www.philgeps.gov.ph/GEPSNONPILOT/Tender/SplashBidNoticeAbstractUI.aspx?menuIndex=3&amp;refID=7145402&amp;Result=3","7145402")</f>
        <v>0</v>
      </c>
      <c r="B5063" t="s">
        <v>520</v>
      </c>
      <c r="C5063" t="s">
        <v>8534</v>
      </c>
      <c r="D5063" t="s">
        <v>18019</v>
      </c>
      <c r="E5063" t="s">
        <v>22552</v>
      </c>
      <c r="F5063" t="s">
        <v>30900</v>
      </c>
      <c r="G5063" t="s">
        <v>30908</v>
      </c>
      <c r="H5063" t="s">
        <v>30916</v>
      </c>
      <c r="I5063" t="s">
        <v>30926</v>
      </c>
      <c r="J5063" t="s">
        <v>34409</v>
      </c>
      <c r="K5063" t="s">
        <v>40283</v>
      </c>
      <c r="M5063" t="s">
        <v>41080</v>
      </c>
      <c r="N5063" t="s">
        <v>44759</v>
      </c>
      <c r="O5063" t="s">
        <v>44760</v>
      </c>
      <c r="P5063">
        <v>0</v>
      </c>
      <c r="Q5063">
        <v>0</v>
      </c>
      <c r="R5063" t="s">
        <v>44765</v>
      </c>
      <c r="S5063" t="s">
        <v>44892</v>
      </c>
      <c r="T5063" t="s">
        <v>46424</v>
      </c>
      <c r="U5063" t="s">
        <v>51210</v>
      </c>
      <c r="W5063" t="s">
        <v>41080</v>
      </c>
      <c r="X5063" t="s">
        <v>44767</v>
      </c>
    </row>
    <row r="5064" spans="1:24">
      <c r="A5064">
        <f>HYPERLINK("https://www.philgeps.gov.ph/GEPSNONPILOT/Tender/SplashBidNoticeAbstractUI.aspx?menuIndex=3&amp;refID=7148445&amp;Result=3","7148445")</f>
        <v>0</v>
      </c>
      <c r="B5064" t="s">
        <v>1222</v>
      </c>
      <c r="C5064" t="s">
        <v>8535</v>
      </c>
      <c r="E5064" t="s">
        <v>22553</v>
      </c>
      <c r="F5064" t="s">
        <v>30900</v>
      </c>
      <c r="G5064" t="s">
        <v>30907</v>
      </c>
      <c r="H5064" t="s">
        <v>30916</v>
      </c>
      <c r="I5064" t="s">
        <v>31018</v>
      </c>
      <c r="J5064" t="s">
        <v>34410</v>
      </c>
      <c r="K5064" t="s">
        <v>40289</v>
      </c>
      <c r="M5064" t="s">
        <v>42531</v>
      </c>
      <c r="N5064" t="s">
        <v>44759</v>
      </c>
      <c r="O5064" t="s">
        <v>44760</v>
      </c>
      <c r="Q5064">
        <v>3</v>
      </c>
      <c r="R5064" t="s">
        <v>44765</v>
      </c>
      <c r="S5064" t="s">
        <v>44897</v>
      </c>
      <c r="T5064" t="s">
        <v>46350</v>
      </c>
      <c r="U5064" t="s">
        <v>51211</v>
      </c>
      <c r="V5064" t="s">
        <v>59645</v>
      </c>
      <c r="W5064" t="s">
        <v>42531</v>
      </c>
      <c r="X5064" t="s">
        <v>44766</v>
      </c>
    </row>
    <row r="5065" spans="1:24">
      <c r="A5065">
        <f>HYPERLINK("https://www.philgeps.gov.ph/GEPSNONPILOT/Tender/SplashBidNoticeAbstractUI.aspx?menuIndex=3&amp;refID=7148443&amp;Result=3","7148443")</f>
        <v>0</v>
      </c>
      <c r="B5065" t="s">
        <v>1844</v>
      </c>
      <c r="C5065" t="s">
        <v>8536</v>
      </c>
      <c r="D5065" t="s">
        <v>17965</v>
      </c>
      <c r="E5065" t="s">
        <v>22554</v>
      </c>
      <c r="F5065" t="s">
        <v>30900</v>
      </c>
      <c r="G5065" t="s">
        <v>30907</v>
      </c>
      <c r="H5065" t="s">
        <v>30916</v>
      </c>
      <c r="I5065" t="s">
        <v>30963</v>
      </c>
      <c r="J5065" t="s">
        <v>33895</v>
      </c>
      <c r="K5065" t="s">
        <v>40280</v>
      </c>
      <c r="M5065" t="s">
        <v>42516</v>
      </c>
      <c r="N5065" t="s">
        <v>44759</v>
      </c>
      <c r="O5065" t="s">
        <v>44760</v>
      </c>
      <c r="P5065">
        <v>0</v>
      </c>
      <c r="Q5065">
        <v>2</v>
      </c>
      <c r="R5065" t="s">
        <v>44765</v>
      </c>
      <c r="S5065" t="s">
        <v>44892</v>
      </c>
      <c r="T5065" t="s">
        <v>46429</v>
      </c>
      <c r="U5065" t="s">
        <v>51212</v>
      </c>
      <c r="W5065" t="s">
        <v>42516</v>
      </c>
      <c r="X5065" t="s">
        <v>44766</v>
      </c>
    </row>
    <row r="5066" spans="1:24">
      <c r="A5066">
        <f>HYPERLINK("https://www.philgeps.gov.ph/GEPSNONPILOT/Tender/SplashBidNoticeAbstractUI.aspx?menuIndex=3&amp;refID=7148442&amp;Result=3","7148442")</f>
        <v>0</v>
      </c>
      <c r="B5066" t="s">
        <v>417</v>
      </c>
      <c r="C5066" t="s">
        <v>8537</v>
      </c>
      <c r="D5066" t="s">
        <v>17966</v>
      </c>
      <c r="E5066" t="s">
        <v>22555</v>
      </c>
      <c r="F5066" t="s">
        <v>30900</v>
      </c>
      <c r="G5066" t="s">
        <v>30908</v>
      </c>
      <c r="H5066" t="s">
        <v>30916</v>
      </c>
      <c r="I5066" t="s">
        <v>30961</v>
      </c>
      <c r="J5066" t="s">
        <v>31830</v>
      </c>
      <c r="K5066" t="s">
        <v>40283</v>
      </c>
      <c r="M5066" t="s">
        <v>40973</v>
      </c>
      <c r="N5066" t="s">
        <v>44759</v>
      </c>
      <c r="O5066" t="s">
        <v>44760</v>
      </c>
      <c r="P5066">
        <v>0</v>
      </c>
      <c r="Q5066">
        <v>2</v>
      </c>
      <c r="R5066" t="s">
        <v>44765</v>
      </c>
      <c r="S5066" t="s">
        <v>44892</v>
      </c>
      <c r="T5066" t="s">
        <v>46700</v>
      </c>
      <c r="U5066" t="s">
        <v>51103</v>
      </c>
      <c r="W5066" t="s">
        <v>40973</v>
      </c>
      <c r="X5066" t="s">
        <v>44766</v>
      </c>
    </row>
    <row r="5067" spans="1:24">
      <c r="A5067">
        <f>HYPERLINK("https://www.philgeps.gov.ph/GEPSNONPILOT/Tender/SplashBidNoticeAbstractUI.aspx?menuIndex=3&amp;refID=7148440&amp;Result=3","7148440")</f>
        <v>0</v>
      </c>
      <c r="B5067" t="s">
        <v>1723</v>
      </c>
      <c r="C5067" t="s">
        <v>8481</v>
      </c>
      <c r="D5067" t="s">
        <v>17957</v>
      </c>
      <c r="E5067" t="s">
        <v>22556</v>
      </c>
      <c r="F5067" t="s">
        <v>30900</v>
      </c>
      <c r="G5067" t="s">
        <v>30909</v>
      </c>
      <c r="H5067" t="s">
        <v>30916</v>
      </c>
      <c r="I5067" t="s">
        <v>4017</v>
      </c>
      <c r="J5067" t="s">
        <v>34411</v>
      </c>
      <c r="K5067" t="s">
        <v>40286</v>
      </c>
      <c r="M5067" t="s">
        <v>42387</v>
      </c>
      <c r="N5067" t="s">
        <v>44759</v>
      </c>
      <c r="O5067" t="s">
        <v>44760</v>
      </c>
      <c r="P5067">
        <v>0</v>
      </c>
      <c r="Q5067">
        <v>1</v>
      </c>
      <c r="R5067" t="s">
        <v>44765</v>
      </c>
      <c r="S5067" t="s">
        <v>44892</v>
      </c>
      <c r="T5067" t="s">
        <v>46412</v>
      </c>
      <c r="U5067" t="s">
        <v>51213</v>
      </c>
      <c r="W5067" t="s">
        <v>42387</v>
      </c>
      <c r="X5067" t="s">
        <v>44766</v>
      </c>
    </row>
    <row r="5068" spans="1:24">
      <c r="A5068">
        <f>HYPERLINK("https://www.philgeps.gov.ph/GEPSNONPILOT/Tender/SplashBidNoticeAbstractUI.aspx?menuIndex=3&amp;refID=7148437&amp;Result=3","7148437")</f>
        <v>0</v>
      </c>
      <c r="B5068" t="s">
        <v>1844</v>
      </c>
      <c r="C5068" t="s">
        <v>8538</v>
      </c>
      <c r="D5068" t="s">
        <v>17965</v>
      </c>
      <c r="E5068" t="s">
        <v>22557</v>
      </c>
      <c r="F5068" t="s">
        <v>30900</v>
      </c>
      <c r="G5068" t="s">
        <v>30907</v>
      </c>
      <c r="H5068" t="s">
        <v>30916</v>
      </c>
      <c r="I5068" t="s">
        <v>30963</v>
      </c>
      <c r="J5068" t="s">
        <v>34408</v>
      </c>
      <c r="K5068" t="s">
        <v>40280</v>
      </c>
      <c r="M5068" t="s">
        <v>42516</v>
      </c>
      <c r="N5068" t="s">
        <v>44759</v>
      </c>
      <c r="O5068" t="s">
        <v>44760</v>
      </c>
      <c r="P5068">
        <v>0</v>
      </c>
      <c r="Q5068">
        <v>1</v>
      </c>
      <c r="R5068" t="s">
        <v>44765</v>
      </c>
      <c r="S5068" t="s">
        <v>44892</v>
      </c>
      <c r="T5068" t="s">
        <v>46429</v>
      </c>
      <c r="U5068" t="s">
        <v>51214</v>
      </c>
      <c r="W5068" t="s">
        <v>42516</v>
      </c>
      <c r="X5068" t="s">
        <v>44766</v>
      </c>
    </row>
    <row r="5069" spans="1:24">
      <c r="A5069">
        <f>HYPERLINK("https://www.philgeps.gov.ph/GEPSNONPILOT/Tender/SplashBidNoticeAbstractUI.aspx?menuIndex=3&amp;refID=7148435&amp;Result=3","7148435")</f>
        <v>0</v>
      </c>
      <c r="B5069" t="s">
        <v>1855</v>
      </c>
      <c r="C5069" t="s">
        <v>8539</v>
      </c>
      <c r="D5069" t="s">
        <v>17971</v>
      </c>
      <c r="E5069" t="s">
        <v>18420</v>
      </c>
      <c r="F5069" t="s">
        <v>30900</v>
      </c>
      <c r="G5069" t="s">
        <v>30907</v>
      </c>
      <c r="H5069" t="s">
        <v>30916</v>
      </c>
      <c r="I5069" t="s">
        <v>30942</v>
      </c>
      <c r="J5069" t="s">
        <v>32166</v>
      </c>
      <c r="K5069" t="s">
        <v>40343</v>
      </c>
      <c r="M5069" t="s">
        <v>42527</v>
      </c>
      <c r="N5069" t="s">
        <v>44759</v>
      </c>
      <c r="O5069" t="s">
        <v>44760</v>
      </c>
      <c r="P5069">
        <v>0</v>
      </c>
      <c r="Q5069">
        <v>0</v>
      </c>
      <c r="R5069" t="s">
        <v>44765</v>
      </c>
      <c r="S5069" t="s">
        <v>44892</v>
      </c>
      <c r="T5069" t="s">
        <v>46412</v>
      </c>
      <c r="U5069" t="s">
        <v>51215</v>
      </c>
      <c r="W5069" t="s">
        <v>42527</v>
      </c>
      <c r="X5069" t="s">
        <v>44766</v>
      </c>
    </row>
    <row r="5070" spans="1:24">
      <c r="A5070">
        <f>HYPERLINK("https://www.philgeps.gov.ph/GEPSNONPILOT/Tender/SplashBidNoticeAbstractUI.aspx?menuIndex=3&amp;refID=7148452&amp;Result=3","7148452")</f>
        <v>0</v>
      </c>
      <c r="B5070" t="s">
        <v>1844</v>
      </c>
      <c r="C5070" t="s">
        <v>8540</v>
      </c>
      <c r="D5070" t="s">
        <v>17986</v>
      </c>
      <c r="E5070" t="s">
        <v>22558</v>
      </c>
      <c r="F5070" t="s">
        <v>30900</v>
      </c>
      <c r="G5070" t="s">
        <v>30907</v>
      </c>
      <c r="H5070" t="s">
        <v>30916</v>
      </c>
      <c r="I5070" t="s">
        <v>30963</v>
      </c>
      <c r="J5070" t="s">
        <v>34412</v>
      </c>
      <c r="K5070" t="s">
        <v>40280</v>
      </c>
      <c r="M5070" t="s">
        <v>42516</v>
      </c>
      <c r="N5070" t="s">
        <v>44759</v>
      </c>
      <c r="O5070" t="s">
        <v>44760</v>
      </c>
      <c r="P5070">
        <v>0</v>
      </c>
      <c r="Q5070">
        <v>1</v>
      </c>
      <c r="R5070" t="s">
        <v>44765</v>
      </c>
      <c r="S5070" t="s">
        <v>44892</v>
      </c>
      <c r="T5070" t="s">
        <v>46429</v>
      </c>
      <c r="U5070" t="s">
        <v>51216</v>
      </c>
      <c r="W5070" t="s">
        <v>42516</v>
      </c>
      <c r="X5070" t="s">
        <v>44766</v>
      </c>
    </row>
    <row r="5071" spans="1:24">
      <c r="A5071">
        <f>HYPERLINK("https://www.philgeps.gov.ph/GEPSNONPILOT/Tender/SplashBidNoticeAbstractUI.aspx?menuIndex=3&amp;refID=7148434&amp;Result=3","7148434")</f>
        <v>0</v>
      </c>
      <c r="B5071" t="s">
        <v>1850</v>
      </c>
      <c r="C5071" t="s">
        <v>8541</v>
      </c>
      <c r="D5071" t="s">
        <v>18025</v>
      </c>
      <c r="E5071" t="s">
        <v>22559</v>
      </c>
      <c r="F5071" t="s">
        <v>30900</v>
      </c>
      <c r="G5071" t="s">
        <v>30908</v>
      </c>
      <c r="H5071" t="s">
        <v>30915</v>
      </c>
      <c r="I5071" t="s">
        <v>30919</v>
      </c>
      <c r="J5071" t="s">
        <v>34413</v>
      </c>
      <c r="K5071" t="s">
        <v>40286</v>
      </c>
      <c r="M5071" t="s">
        <v>42522</v>
      </c>
      <c r="N5071" t="s">
        <v>44759</v>
      </c>
      <c r="O5071" t="s">
        <v>44760</v>
      </c>
      <c r="P5071">
        <v>0</v>
      </c>
      <c r="Q5071">
        <v>0</v>
      </c>
      <c r="R5071" t="s">
        <v>44765</v>
      </c>
      <c r="S5071" t="s">
        <v>44892</v>
      </c>
      <c r="T5071" t="s">
        <v>46625</v>
      </c>
      <c r="U5071" t="s">
        <v>51217</v>
      </c>
      <c r="W5071" t="s">
        <v>42522</v>
      </c>
      <c r="X5071" t="s">
        <v>44766</v>
      </c>
    </row>
    <row r="5072" spans="1:24">
      <c r="A5072">
        <f>HYPERLINK("https://www.philgeps.gov.ph/GEPSNONPILOT/Tender/SplashBidNoticeAbstractUI.aspx?menuIndex=3&amp;refID=7148433&amp;Result=3","7148433")</f>
        <v>0</v>
      </c>
      <c r="B5072" t="s">
        <v>1844</v>
      </c>
      <c r="C5072" t="s">
        <v>8542</v>
      </c>
      <c r="D5072" t="s">
        <v>17988</v>
      </c>
      <c r="E5072" t="s">
        <v>22560</v>
      </c>
      <c r="F5072" t="s">
        <v>30900</v>
      </c>
      <c r="G5072" t="s">
        <v>30907</v>
      </c>
      <c r="H5072" t="s">
        <v>30916</v>
      </c>
      <c r="I5072" t="s">
        <v>30963</v>
      </c>
      <c r="J5072" t="s">
        <v>34414</v>
      </c>
      <c r="K5072" t="s">
        <v>40280</v>
      </c>
      <c r="M5072" t="s">
        <v>42516</v>
      </c>
      <c r="N5072" t="s">
        <v>44759</v>
      </c>
      <c r="O5072" t="s">
        <v>44760</v>
      </c>
      <c r="P5072">
        <v>0</v>
      </c>
      <c r="Q5072">
        <v>4</v>
      </c>
      <c r="R5072" t="s">
        <v>44765</v>
      </c>
      <c r="S5072" t="s">
        <v>44892</v>
      </c>
      <c r="T5072" t="s">
        <v>46429</v>
      </c>
      <c r="U5072" t="s">
        <v>51218</v>
      </c>
      <c r="W5072" t="s">
        <v>42516</v>
      </c>
      <c r="X5072" t="s">
        <v>44766</v>
      </c>
    </row>
    <row r="5073" spans="1:24">
      <c r="A5073">
        <f>HYPERLINK("https://www.philgeps.gov.ph/GEPSNONPILOT/Tender/SplashBidNoticeAbstractUI.aspx?menuIndex=3&amp;refID=7148447&amp;Result=3","7148447")</f>
        <v>0</v>
      </c>
      <c r="B5073" t="s">
        <v>417</v>
      </c>
      <c r="C5073" t="s">
        <v>8543</v>
      </c>
      <c r="D5073" t="s">
        <v>17966</v>
      </c>
      <c r="E5073" t="s">
        <v>22561</v>
      </c>
      <c r="F5073" t="s">
        <v>30900</v>
      </c>
      <c r="G5073" t="s">
        <v>30908</v>
      </c>
      <c r="H5073" t="s">
        <v>30916</v>
      </c>
      <c r="I5073" t="s">
        <v>30941</v>
      </c>
      <c r="J5073" t="s">
        <v>31082</v>
      </c>
      <c r="K5073" t="s">
        <v>40283</v>
      </c>
      <c r="M5073" t="s">
        <v>40973</v>
      </c>
      <c r="N5073" t="s">
        <v>44759</v>
      </c>
      <c r="O5073" t="s">
        <v>44760</v>
      </c>
      <c r="P5073">
        <v>0</v>
      </c>
      <c r="Q5073">
        <v>1</v>
      </c>
      <c r="R5073" t="s">
        <v>44765</v>
      </c>
      <c r="S5073" t="s">
        <v>44892</v>
      </c>
      <c r="T5073" t="s">
        <v>46700</v>
      </c>
      <c r="U5073" t="s">
        <v>51103</v>
      </c>
      <c r="W5073" t="s">
        <v>40973</v>
      </c>
      <c r="X5073" t="s">
        <v>44766</v>
      </c>
    </row>
    <row r="5074" spans="1:24">
      <c r="A5074">
        <f>HYPERLINK("https://www.philgeps.gov.ph/GEPSNONPILOT/Tender/SplashBidNoticeAbstractUI.aspx?menuIndex=3&amp;refID=7148475&amp;Result=3","7148475")</f>
        <v>0</v>
      </c>
      <c r="B5074" t="s">
        <v>1723</v>
      </c>
      <c r="C5074" t="s">
        <v>8544</v>
      </c>
      <c r="D5074" t="s">
        <v>17957</v>
      </c>
      <c r="E5074" t="s">
        <v>22562</v>
      </c>
      <c r="F5074" t="s">
        <v>30900</v>
      </c>
      <c r="G5074" t="s">
        <v>30909</v>
      </c>
      <c r="H5074" t="s">
        <v>30916</v>
      </c>
      <c r="I5074" t="s">
        <v>10961</v>
      </c>
      <c r="J5074" t="s">
        <v>31247</v>
      </c>
      <c r="K5074" t="s">
        <v>40286</v>
      </c>
      <c r="M5074" t="s">
        <v>42387</v>
      </c>
      <c r="N5074" t="s">
        <v>44759</v>
      </c>
      <c r="O5074" t="s">
        <v>44760</v>
      </c>
      <c r="P5074">
        <v>0</v>
      </c>
      <c r="Q5074">
        <v>0</v>
      </c>
      <c r="R5074" t="s">
        <v>44765</v>
      </c>
      <c r="S5074" t="s">
        <v>44892</v>
      </c>
      <c r="T5074" t="s">
        <v>46412</v>
      </c>
      <c r="U5074" t="s">
        <v>51219</v>
      </c>
      <c r="W5074" t="s">
        <v>42387</v>
      </c>
      <c r="X5074" t="s">
        <v>44766</v>
      </c>
    </row>
    <row r="5075" spans="1:24">
      <c r="A5075">
        <f>HYPERLINK("https://www.philgeps.gov.ph/GEPSNONPILOT/Tender/SplashBidNoticeAbstractUI.aspx?menuIndex=3&amp;refID=7148431&amp;Result=3","7148431")</f>
        <v>0</v>
      </c>
      <c r="B5075" t="s">
        <v>788</v>
      </c>
      <c r="C5075" t="s">
        <v>8545</v>
      </c>
      <c r="E5075" t="s">
        <v>22563</v>
      </c>
      <c r="F5075" t="s">
        <v>30900</v>
      </c>
      <c r="G5075" t="s">
        <v>30908</v>
      </c>
      <c r="H5075" t="s">
        <v>30916</v>
      </c>
      <c r="I5075" t="s">
        <v>7411</v>
      </c>
      <c r="J5075" t="s">
        <v>34415</v>
      </c>
      <c r="K5075" t="s">
        <v>40289</v>
      </c>
      <c r="M5075" t="s">
        <v>42532</v>
      </c>
      <c r="N5075" t="s">
        <v>44759</v>
      </c>
      <c r="O5075" t="s">
        <v>44760</v>
      </c>
      <c r="Q5075">
        <v>1</v>
      </c>
      <c r="R5075" t="s">
        <v>44765</v>
      </c>
      <c r="S5075" t="s">
        <v>44898</v>
      </c>
      <c r="T5075" t="s">
        <v>46704</v>
      </c>
      <c r="U5075" t="s">
        <v>51220</v>
      </c>
      <c r="W5075" t="s">
        <v>42532</v>
      </c>
      <c r="X5075" t="s">
        <v>44766</v>
      </c>
    </row>
    <row r="5076" spans="1:24">
      <c r="A5076">
        <f>HYPERLINK("https://www.philgeps.gov.ph/GEPSNONPILOT/Tender/SplashBidNoticeAbstractUI.aspx?menuIndex=3&amp;refID=7148491&amp;Result=3","7148491")</f>
        <v>0</v>
      </c>
      <c r="B5076" t="s">
        <v>1859</v>
      </c>
      <c r="C5076" t="s">
        <v>8546</v>
      </c>
      <c r="E5076" t="s">
        <v>22564</v>
      </c>
      <c r="F5076" t="s">
        <v>30900</v>
      </c>
      <c r="G5076" t="s">
        <v>30907</v>
      </c>
      <c r="H5076" t="s">
        <v>7411</v>
      </c>
      <c r="I5076" t="s">
        <v>7411</v>
      </c>
      <c r="J5076" t="s">
        <v>34416</v>
      </c>
      <c r="K5076" t="s">
        <v>40315</v>
      </c>
      <c r="M5076" t="s">
        <v>42533</v>
      </c>
      <c r="N5076" t="s">
        <v>44759</v>
      </c>
      <c r="O5076" t="s">
        <v>44760</v>
      </c>
      <c r="Q5076">
        <v>2</v>
      </c>
      <c r="R5076" t="s">
        <v>44765</v>
      </c>
      <c r="S5076" t="s">
        <v>44899</v>
      </c>
      <c r="T5076" t="s">
        <v>46389</v>
      </c>
      <c r="U5076" t="s">
        <v>51221</v>
      </c>
      <c r="W5076" t="s">
        <v>42533</v>
      </c>
      <c r="X5076" t="s">
        <v>44766</v>
      </c>
    </row>
    <row r="5077" spans="1:24">
      <c r="A5077">
        <f>HYPERLINK("https://www.philgeps.gov.ph/GEPSNONPILOT/Tender/SplashBidNoticeAbstractUI.aspx?menuIndex=3&amp;refID=7148441&amp;Result=3","7148441")</f>
        <v>0</v>
      </c>
      <c r="B5077" t="s">
        <v>1844</v>
      </c>
      <c r="C5077" t="s">
        <v>8547</v>
      </c>
      <c r="D5077" t="s">
        <v>17965</v>
      </c>
      <c r="E5077" t="s">
        <v>22565</v>
      </c>
      <c r="F5077" t="s">
        <v>30900</v>
      </c>
      <c r="G5077" t="s">
        <v>30907</v>
      </c>
      <c r="H5077" t="s">
        <v>30916</v>
      </c>
      <c r="I5077" t="s">
        <v>30963</v>
      </c>
      <c r="J5077" t="s">
        <v>34417</v>
      </c>
      <c r="K5077" t="s">
        <v>40280</v>
      </c>
      <c r="M5077" t="s">
        <v>42516</v>
      </c>
      <c r="N5077" t="s">
        <v>44759</v>
      </c>
      <c r="O5077" t="s">
        <v>44760</v>
      </c>
      <c r="P5077">
        <v>0</v>
      </c>
      <c r="Q5077">
        <v>1</v>
      </c>
      <c r="R5077" t="s">
        <v>44765</v>
      </c>
      <c r="S5077" t="s">
        <v>44892</v>
      </c>
      <c r="T5077" t="s">
        <v>46429</v>
      </c>
      <c r="U5077" t="s">
        <v>51222</v>
      </c>
      <c r="W5077" t="s">
        <v>42516</v>
      </c>
      <c r="X5077" t="s">
        <v>44766</v>
      </c>
    </row>
    <row r="5078" spans="1:24">
      <c r="A5078">
        <f>HYPERLINK("https://www.philgeps.gov.ph/GEPSNONPILOT/Tender/SplashBidNoticeAbstractUI.aspx?menuIndex=3&amp;refID=7148439&amp;Result=3","7148439")</f>
        <v>0</v>
      </c>
      <c r="B5078" t="s">
        <v>1850</v>
      </c>
      <c r="C5078" t="s">
        <v>8548</v>
      </c>
      <c r="D5078" t="s">
        <v>18025</v>
      </c>
      <c r="E5078" t="s">
        <v>22566</v>
      </c>
      <c r="F5078" t="s">
        <v>30900</v>
      </c>
      <c r="G5078" t="s">
        <v>30908</v>
      </c>
      <c r="H5078" t="s">
        <v>30915</v>
      </c>
      <c r="I5078" t="s">
        <v>30919</v>
      </c>
      <c r="J5078" t="s">
        <v>34418</v>
      </c>
      <c r="K5078" t="s">
        <v>40286</v>
      </c>
      <c r="M5078" t="s">
        <v>42522</v>
      </c>
      <c r="N5078" t="s">
        <v>44759</v>
      </c>
      <c r="O5078" t="s">
        <v>44760</v>
      </c>
      <c r="P5078">
        <v>0</v>
      </c>
      <c r="Q5078">
        <v>0</v>
      </c>
      <c r="R5078" t="s">
        <v>44765</v>
      </c>
      <c r="S5078" t="s">
        <v>44892</v>
      </c>
      <c r="T5078" t="s">
        <v>46625</v>
      </c>
      <c r="U5078" t="s">
        <v>51217</v>
      </c>
      <c r="W5078" t="s">
        <v>42522</v>
      </c>
      <c r="X5078" t="s">
        <v>44766</v>
      </c>
    </row>
    <row r="5079" spans="1:24">
      <c r="A5079">
        <f>HYPERLINK("https://www.philgeps.gov.ph/GEPSNONPILOT/Tender/SplashBidNoticeAbstractUI.aspx?menuIndex=3&amp;refID=7148483&amp;Result=3","7148483")</f>
        <v>0</v>
      </c>
      <c r="B5079" t="s">
        <v>899</v>
      </c>
      <c r="C5079" t="s">
        <v>8549</v>
      </c>
      <c r="E5079" t="s">
        <v>22567</v>
      </c>
      <c r="F5079" t="s">
        <v>30900</v>
      </c>
      <c r="G5079" t="s">
        <v>30908</v>
      </c>
      <c r="H5079" t="s">
        <v>30916</v>
      </c>
      <c r="I5079" t="s">
        <v>30923</v>
      </c>
      <c r="J5079" t="s">
        <v>34419</v>
      </c>
      <c r="K5079" t="s">
        <v>40289</v>
      </c>
      <c r="M5079" t="s">
        <v>42423</v>
      </c>
      <c r="N5079" t="s">
        <v>44759</v>
      </c>
      <c r="O5079" t="s">
        <v>44760</v>
      </c>
      <c r="P5079">
        <v>0</v>
      </c>
      <c r="Q5079">
        <v>9</v>
      </c>
      <c r="R5079" t="s">
        <v>44765</v>
      </c>
      <c r="S5079" t="s">
        <v>44892</v>
      </c>
      <c r="T5079" t="s">
        <v>46534</v>
      </c>
      <c r="U5079" t="s">
        <v>47461</v>
      </c>
      <c r="W5079" t="s">
        <v>42423</v>
      </c>
      <c r="X5079" t="s">
        <v>44766</v>
      </c>
    </row>
    <row r="5080" spans="1:24">
      <c r="A5080">
        <f>HYPERLINK("https://www.philgeps.gov.ph/GEPSNONPILOT/Tender/SplashBidNoticeAbstractUI.aspx?menuIndex=3&amp;refID=7148474&amp;Result=3","7148474")</f>
        <v>0</v>
      </c>
      <c r="B5080" t="s">
        <v>1841</v>
      </c>
      <c r="C5080" t="s">
        <v>8550</v>
      </c>
      <c r="E5080" t="s">
        <v>22568</v>
      </c>
      <c r="F5080" t="s">
        <v>30900</v>
      </c>
      <c r="G5080" t="s">
        <v>30906</v>
      </c>
      <c r="H5080" t="s">
        <v>30916</v>
      </c>
      <c r="I5080" t="s">
        <v>4142</v>
      </c>
      <c r="J5080" t="s">
        <v>31674</v>
      </c>
      <c r="K5080" t="s">
        <v>40289</v>
      </c>
      <c r="M5080" t="s">
        <v>42513</v>
      </c>
      <c r="N5080" t="s">
        <v>44759</v>
      </c>
      <c r="O5080" t="s">
        <v>44760</v>
      </c>
      <c r="P5080">
        <v>0</v>
      </c>
      <c r="Q5080">
        <v>1</v>
      </c>
      <c r="R5080" t="s">
        <v>44765</v>
      </c>
      <c r="S5080" t="s">
        <v>44892</v>
      </c>
      <c r="T5080" t="s">
        <v>46410</v>
      </c>
      <c r="U5080" t="s">
        <v>51223</v>
      </c>
      <c r="W5080" t="s">
        <v>42513</v>
      </c>
      <c r="X5080" t="s">
        <v>44766</v>
      </c>
    </row>
    <row r="5081" spans="1:24">
      <c r="A5081">
        <f>HYPERLINK("https://www.philgeps.gov.ph/GEPSNONPILOT/Tender/SplashBidNoticeAbstractUI.aspx?menuIndex=3&amp;refID=7148473&amp;Result=3","7148473")</f>
        <v>0</v>
      </c>
      <c r="B5081" t="s">
        <v>1841</v>
      </c>
      <c r="C5081" t="s">
        <v>8550</v>
      </c>
      <c r="E5081" t="s">
        <v>22569</v>
      </c>
      <c r="F5081" t="s">
        <v>30900</v>
      </c>
      <c r="G5081" t="s">
        <v>30906</v>
      </c>
      <c r="H5081" t="s">
        <v>30916</v>
      </c>
      <c r="I5081" t="s">
        <v>4142</v>
      </c>
      <c r="J5081" t="s">
        <v>34420</v>
      </c>
      <c r="K5081" t="s">
        <v>40289</v>
      </c>
      <c r="M5081" t="s">
        <v>42513</v>
      </c>
      <c r="N5081" t="s">
        <v>44759</v>
      </c>
      <c r="O5081" t="s">
        <v>44760</v>
      </c>
      <c r="P5081">
        <v>0</v>
      </c>
      <c r="Q5081">
        <v>2</v>
      </c>
      <c r="R5081" t="s">
        <v>44765</v>
      </c>
      <c r="S5081" t="s">
        <v>44892</v>
      </c>
      <c r="T5081" t="s">
        <v>46410</v>
      </c>
      <c r="U5081" t="s">
        <v>51224</v>
      </c>
      <c r="W5081" t="s">
        <v>42513</v>
      </c>
      <c r="X5081" t="s">
        <v>44766</v>
      </c>
    </row>
    <row r="5082" spans="1:24">
      <c r="A5082">
        <f>HYPERLINK("https://www.philgeps.gov.ph/GEPSNONPILOT/Tender/SplashBidNoticeAbstractUI.aspx?menuIndex=3&amp;refID=7145106&amp;Result=3","7145106")</f>
        <v>0</v>
      </c>
      <c r="B5082" t="s">
        <v>1810</v>
      </c>
      <c r="C5082" t="s">
        <v>8551</v>
      </c>
      <c r="D5082" t="s">
        <v>17959</v>
      </c>
      <c r="E5082" t="s">
        <v>22570</v>
      </c>
      <c r="F5082" t="s">
        <v>30900</v>
      </c>
      <c r="G5082" t="s">
        <v>30907</v>
      </c>
      <c r="H5082" t="s">
        <v>30916</v>
      </c>
      <c r="I5082" t="s">
        <v>30927</v>
      </c>
      <c r="J5082" t="s">
        <v>31105</v>
      </c>
      <c r="K5082" t="s">
        <v>40289</v>
      </c>
      <c r="M5082" t="s">
        <v>42484</v>
      </c>
      <c r="N5082" t="s">
        <v>44759</v>
      </c>
      <c r="O5082" t="s">
        <v>44760</v>
      </c>
      <c r="P5082">
        <v>0</v>
      </c>
      <c r="Q5082">
        <v>0</v>
      </c>
      <c r="R5082" t="s">
        <v>44765</v>
      </c>
      <c r="S5082" t="s">
        <v>44892</v>
      </c>
      <c r="T5082" t="s">
        <v>46376</v>
      </c>
      <c r="U5082" t="s">
        <v>51225</v>
      </c>
      <c r="W5082" t="s">
        <v>42484</v>
      </c>
      <c r="X5082" t="s">
        <v>44768</v>
      </c>
    </row>
    <row r="5083" spans="1:24">
      <c r="A5083">
        <f>HYPERLINK("https://www.philgeps.gov.ph/GEPSNONPILOT/Tender/SplashBidNoticeAbstractUI.aspx?menuIndex=3&amp;refID=7148430&amp;Result=3","7148430")</f>
        <v>0</v>
      </c>
      <c r="B5083" t="s">
        <v>1855</v>
      </c>
      <c r="C5083" t="s">
        <v>8552</v>
      </c>
      <c r="D5083" t="s">
        <v>17971</v>
      </c>
      <c r="E5083" t="s">
        <v>19629</v>
      </c>
      <c r="F5083" t="s">
        <v>30900</v>
      </c>
      <c r="G5083" t="s">
        <v>30907</v>
      </c>
      <c r="H5083" t="s">
        <v>30916</v>
      </c>
      <c r="I5083" t="s">
        <v>30942</v>
      </c>
      <c r="J5083" t="s">
        <v>34421</v>
      </c>
      <c r="K5083" t="s">
        <v>40314</v>
      </c>
      <c r="M5083" t="s">
        <v>42527</v>
      </c>
      <c r="N5083" t="s">
        <v>44759</v>
      </c>
      <c r="O5083" t="s">
        <v>44760</v>
      </c>
      <c r="P5083">
        <v>0</v>
      </c>
      <c r="Q5083">
        <v>0</v>
      </c>
      <c r="R5083" t="s">
        <v>44765</v>
      </c>
      <c r="S5083" t="s">
        <v>44892</v>
      </c>
      <c r="T5083" t="s">
        <v>46412</v>
      </c>
      <c r="U5083" t="s">
        <v>51226</v>
      </c>
      <c r="W5083" t="s">
        <v>42527</v>
      </c>
      <c r="X5083" t="s">
        <v>44766</v>
      </c>
    </row>
    <row r="5084" spans="1:24">
      <c r="A5084">
        <f>HYPERLINK("https://www.philgeps.gov.ph/GEPSNONPILOT/Tender/SplashBidNoticeAbstractUI.aspx?menuIndex=3&amp;refID=7148470&amp;Result=3","7148470")</f>
        <v>0</v>
      </c>
      <c r="B5084" t="s">
        <v>1841</v>
      </c>
      <c r="C5084" t="s">
        <v>8553</v>
      </c>
      <c r="E5084" t="s">
        <v>22571</v>
      </c>
      <c r="F5084" t="s">
        <v>30900</v>
      </c>
      <c r="G5084" t="s">
        <v>30906</v>
      </c>
      <c r="H5084" t="s">
        <v>30916</v>
      </c>
      <c r="I5084" t="s">
        <v>5501</v>
      </c>
      <c r="J5084" t="s">
        <v>34422</v>
      </c>
      <c r="K5084" t="s">
        <v>40289</v>
      </c>
      <c r="M5084" t="s">
        <v>42513</v>
      </c>
      <c r="N5084" t="s">
        <v>44759</v>
      </c>
      <c r="O5084" t="s">
        <v>44760</v>
      </c>
      <c r="P5084">
        <v>0</v>
      </c>
      <c r="Q5084">
        <v>2</v>
      </c>
      <c r="R5084" t="s">
        <v>44765</v>
      </c>
      <c r="S5084" t="s">
        <v>44892</v>
      </c>
      <c r="T5084" t="s">
        <v>46410</v>
      </c>
      <c r="U5084" t="s">
        <v>51227</v>
      </c>
      <c r="W5084" t="s">
        <v>42513</v>
      </c>
      <c r="X5084" t="s">
        <v>44766</v>
      </c>
    </row>
    <row r="5085" spans="1:24">
      <c r="A5085">
        <f>HYPERLINK("https://www.philgeps.gov.ph/GEPSNONPILOT/Tender/SplashBidNoticeAbstractUI.aspx?menuIndex=3&amp;refID=7148395&amp;Result=3","7148395")</f>
        <v>0</v>
      </c>
      <c r="B5085" t="s">
        <v>1850</v>
      </c>
      <c r="C5085" t="s">
        <v>8554</v>
      </c>
      <c r="D5085" t="s">
        <v>18025</v>
      </c>
      <c r="E5085" t="s">
        <v>22572</v>
      </c>
      <c r="F5085" t="s">
        <v>30900</v>
      </c>
      <c r="G5085" t="s">
        <v>30908</v>
      </c>
      <c r="H5085" t="s">
        <v>30916</v>
      </c>
      <c r="I5085" t="s">
        <v>8123</v>
      </c>
      <c r="J5085" t="s">
        <v>33980</v>
      </c>
      <c r="K5085" t="s">
        <v>40287</v>
      </c>
      <c r="M5085" t="s">
        <v>42522</v>
      </c>
      <c r="N5085" t="s">
        <v>44759</v>
      </c>
      <c r="O5085" t="s">
        <v>44760</v>
      </c>
      <c r="P5085">
        <v>0</v>
      </c>
      <c r="Q5085">
        <v>0</v>
      </c>
      <c r="R5085" t="s">
        <v>44765</v>
      </c>
      <c r="S5085" t="s">
        <v>44892</v>
      </c>
      <c r="T5085" t="s">
        <v>46625</v>
      </c>
      <c r="U5085" t="s">
        <v>51228</v>
      </c>
      <c r="W5085" t="s">
        <v>42522</v>
      </c>
      <c r="X5085" t="s">
        <v>44766</v>
      </c>
    </row>
    <row r="5086" spans="1:24">
      <c r="A5086">
        <f>HYPERLINK("https://www.philgeps.gov.ph/GEPSNONPILOT/Tender/SplashBidNoticeAbstractUI.aspx?menuIndex=3&amp;refID=7148466&amp;Result=3","7148466")</f>
        <v>0</v>
      </c>
      <c r="B5086" t="s">
        <v>1841</v>
      </c>
      <c r="C5086" t="s">
        <v>8555</v>
      </c>
      <c r="E5086" t="s">
        <v>22573</v>
      </c>
      <c r="F5086" t="s">
        <v>30900</v>
      </c>
      <c r="G5086" t="s">
        <v>30906</v>
      </c>
      <c r="H5086" t="s">
        <v>30916</v>
      </c>
      <c r="I5086" t="s">
        <v>6953</v>
      </c>
      <c r="J5086" t="s">
        <v>34423</v>
      </c>
      <c r="K5086" t="s">
        <v>40289</v>
      </c>
      <c r="M5086" t="s">
        <v>42513</v>
      </c>
      <c r="N5086" t="s">
        <v>44759</v>
      </c>
      <c r="O5086" t="s">
        <v>44760</v>
      </c>
      <c r="P5086">
        <v>0</v>
      </c>
      <c r="Q5086">
        <v>0</v>
      </c>
      <c r="R5086" t="s">
        <v>44765</v>
      </c>
      <c r="S5086" t="s">
        <v>44892</v>
      </c>
      <c r="T5086" t="s">
        <v>46410</v>
      </c>
      <c r="U5086" t="s">
        <v>51229</v>
      </c>
      <c r="W5086" t="s">
        <v>42513</v>
      </c>
      <c r="X5086" t="s">
        <v>44766</v>
      </c>
    </row>
    <row r="5087" spans="1:24">
      <c r="A5087">
        <f>HYPERLINK("https://www.philgeps.gov.ph/GEPSNONPILOT/Tender/SplashBidNoticeAbstractUI.aspx?menuIndex=3&amp;refID=7148487&amp;Result=3","7148487")</f>
        <v>0</v>
      </c>
      <c r="B5087" t="s">
        <v>1860</v>
      </c>
      <c r="C5087" t="s">
        <v>8556</v>
      </c>
      <c r="D5087" t="s">
        <v>17959</v>
      </c>
      <c r="E5087" t="s">
        <v>22574</v>
      </c>
      <c r="F5087" t="s">
        <v>30900</v>
      </c>
      <c r="G5087" t="s">
        <v>30908</v>
      </c>
      <c r="H5087" t="s">
        <v>30916</v>
      </c>
      <c r="I5087" t="s">
        <v>5501</v>
      </c>
      <c r="J5087" t="s">
        <v>34424</v>
      </c>
      <c r="K5087" t="s">
        <v>40283</v>
      </c>
      <c r="M5087" t="s">
        <v>42534</v>
      </c>
      <c r="N5087" t="s">
        <v>44759</v>
      </c>
      <c r="O5087" t="s">
        <v>44760</v>
      </c>
      <c r="Q5087">
        <v>6</v>
      </c>
      <c r="R5087" t="s">
        <v>44765</v>
      </c>
      <c r="S5087" t="s">
        <v>44900</v>
      </c>
      <c r="T5087" t="s">
        <v>46414</v>
      </c>
      <c r="U5087" t="s">
        <v>51230</v>
      </c>
      <c r="W5087" t="s">
        <v>42534</v>
      </c>
      <c r="X5087" t="s">
        <v>44766</v>
      </c>
    </row>
    <row r="5088" spans="1:24">
      <c r="A5088">
        <f>HYPERLINK("https://www.philgeps.gov.ph/GEPSNONPILOT/Tender/SplashBidNoticeAbstractUI.aspx?menuIndex=3&amp;refID=7148464&amp;Result=3","7148464")</f>
        <v>0</v>
      </c>
      <c r="B5088" t="s">
        <v>1861</v>
      </c>
      <c r="C5088" t="s">
        <v>8557</v>
      </c>
      <c r="D5088" t="s">
        <v>17974</v>
      </c>
      <c r="E5088" t="s">
        <v>22575</v>
      </c>
      <c r="F5088" t="s">
        <v>30900</v>
      </c>
      <c r="G5088" t="s">
        <v>30907</v>
      </c>
      <c r="H5088" t="s">
        <v>30915</v>
      </c>
      <c r="I5088" t="s">
        <v>30919</v>
      </c>
      <c r="J5088" t="s">
        <v>31243</v>
      </c>
      <c r="K5088" t="s">
        <v>40280</v>
      </c>
      <c r="M5088" t="s">
        <v>42535</v>
      </c>
      <c r="N5088" t="s">
        <v>44759</v>
      </c>
      <c r="O5088" t="s">
        <v>44760</v>
      </c>
      <c r="P5088">
        <v>0</v>
      </c>
      <c r="Q5088">
        <v>0</v>
      </c>
      <c r="R5088" t="s">
        <v>44765</v>
      </c>
      <c r="S5088" t="s">
        <v>44892</v>
      </c>
      <c r="T5088" t="s">
        <v>46421</v>
      </c>
      <c r="U5088" t="s">
        <v>51231</v>
      </c>
      <c r="W5088" t="s">
        <v>42535</v>
      </c>
      <c r="X5088" t="s">
        <v>44766</v>
      </c>
    </row>
    <row r="5089" spans="1:24">
      <c r="A5089">
        <f>HYPERLINK("https://www.philgeps.gov.ph/GEPSNONPILOT/Tender/SplashBidNoticeAbstractUI.aspx?menuIndex=3&amp;refID=7148461&amp;Result=3","7148461")</f>
        <v>0</v>
      </c>
      <c r="B5089" t="s">
        <v>1844</v>
      </c>
      <c r="C5089" t="s">
        <v>8558</v>
      </c>
      <c r="D5089" t="s">
        <v>17999</v>
      </c>
      <c r="E5089" t="s">
        <v>22576</v>
      </c>
      <c r="F5089" t="s">
        <v>30900</v>
      </c>
      <c r="G5089" t="s">
        <v>30907</v>
      </c>
      <c r="H5089" t="s">
        <v>30916</v>
      </c>
      <c r="I5089" t="s">
        <v>30963</v>
      </c>
      <c r="J5089" t="s">
        <v>34425</v>
      </c>
      <c r="K5089" t="s">
        <v>40280</v>
      </c>
      <c r="M5089" t="s">
        <v>42516</v>
      </c>
      <c r="N5089" t="s">
        <v>44759</v>
      </c>
      <c r="O5089" t="s">
        <v>44760</v>
      </c>
      <c r="P5089">
        <v>0</v>
      </c>
      <c r="Q5089">
        <v>1</v>
      </c>
      <c r="R5089" t="s">
        <v>44765</v>
      </c>
      <c r="S5089" t="s">
        <v>44892</v>
      </c>
      <c r="T5089" t="s">
        <v>46429</v>
      </c>
      <c r="U5089" t="s">
        <v>51232</v>
      </c>
      <c r="W5089" t="s">
        <v>42516</v>
      </c>
      <c r="X5089" t="s">
        <v>44766</v>
      </c>
    </row>
    <row r="5090" spans="1:24">
      <c r="A5090">
        <f>HYPERLINK("https://www.philgeps.gov.ph/GEPSNONPILOT/Tender/SplashBidNoticeAbstractUI.aspx?menuIndex=3&amp;refID=7148459&amp;Result=3","7148459")</f>
        <v>0</v>
      </c>
      <c r="B5090" t="s">
        <v>1844</v>
      </c>
      <c r="C5090" t="s">
        <v>8559</v>
      </c>
      <c r="D5090" t="s">
        <v>17999</v>
      </c>
      <c r="E5090" t="s">
        <v>22577</v>
      </c>
      <c r="F5090" t="s">
        <v>30900</v>
      </c>
      <c r="G5090" t="s">
        <v>30907</v>
      </c>
      <c r="H5090" t="s">
        <v>30916</v>
      </c>
      <c r="I5090" t="s">
        <v>30963</v>
      </c>
      <c r="J5090" t="s">
        <v>34426</v>
      </c>
      <c r="K5090" t="s">
        <v>40280</v>
      </c>
      <c r="M5090" t="s">
        <v>42516</v>
      </c>
      <c r="N5090" t="s">
        <v>44759</v>
      </c>
      <c r="O5090" t="s">
        <v>44760</v>
      </c>
      <c r="P5090">
        <v>0</v>
      </c>
      <c r="Q5090">
        <v>2</v>
      </c>
      <c r="R5090" t="s">
        <v>44765</v>
      </c>
      <c r="S5090" t="s">
        <v>44892</v>
      </c>
      <c r="T5090" t="s">
        <v>46429</v>
      </c>
      <c r="U5090" t="s">
        <v>51233</v>
      </c>
      <c r="W5090" t="s">
        <v>42516</v>
      </c>
      <c r="X5090" t="s">
        <v>44766</v>
      </c>
    </row>
    <row r="5091" spans="1:24">
      <c r="A5091">
        <f>HYPERLINK("https://www.philgeps.gov.ph/GEPSNONPILOT/Tender/SplashBidNoticeAbstractUI.aspx?menuIndex=3&amp;refID=7148458&amp;Result=3","7148458")</f>
        <v>0</v>
      </c>
      <c r="B5091" t="s">
        <v>1723</v>
      </c>
      <c r="C5091" t="s">
        <v>8560</v>
      </c>
      <c r="D5091" t="s">
        <v>17957</v>
      </c>
      <c r="E5091" t="s">
        <v>22578</v>
      </c>
      <c r="F5091" t="s">
        <v>30900</v>
      </c>
      <c r="G5091" t="s">
        <v>30909</v>
      </c>
      <c r="H5091" t="s">
        <v>30916</v>
      </c>
      <c r="I5091" t="s">
        <v>30924</v>
      </c>
      <c r="J5091" t="s">
        <v>34427</v>
      </c>
      <c r="K5091" t="s">
        <v>40286</v>
      </c>
      <c r="M5091" t="s">
        <v>42387</v>
      </c>
      <c r="N5091" t="s">
        <v>44759</v>
      </c>
      <c r="O5091" t="s">
        <v>44760</v>
      </c>
      <c r="P5091">
        <v>0</v>
      </c>
      <c r="Q5091">
        <v>2</v>
      </c>
      <c r="R5091" t="s">
        <v>44765</v>
      </c>
      <c r="S5091" t="s">
        <v>44892</v>
      </c>
      <c r="T5091" t="s">
        <v>46412</v>
      </c>
      <c r="U5091" t="s">
        <v>51234</v>
      </c>
      <c r="W5091" t="s">
        <v>42387</v>
      </c>
      <c r="X5091" t="s">
        <v>44766</v>
      </c>
    </row>
    <row r="5092" spans="1:24">
      <c r="A5092">
        <f>HYPERLINK("https://www.philgeps.gov.ph/GEPSNONPILOT/Tender/SplashBidNoticeAbstractUI.aspx?menuIndex=3&amp;refID=7148472&amp;Result=3","7148472")</f>
        <v>0</v>
      </c>
      <c r="B5092" t="s">
        <v>1841</v>
      </c>
      <c r="C5092" t="s">
        <v>8561</v>
      </c>
      <c r="E5092" t="s">
        <v>22579</v>
      </c>
      <c r="F5092" t="s">
        <v>30900</v>
      </c>
      <c r="G5092" t="s">
        <v>30906</v>
      </c>
      <c r="H5092" t="s">
        <v>30916</v>
      </c>
      <c r="I5092" t="s">
        <v>4142</v>
      </c>
      <c r="J5092" t="s">
        <v>34428</v>
      </c>
      <c r="K5092" t="s">
        <v>40289</v>
      </c>
      <c r="M5092" t="s">
        <v>42513</v>
      </c>
      <c r="N5092" t="s">
        <v>44759</v>
      </c>
      <c r="O5092" t="s">
        <v>44760</v>
      </c>
      <c r="P5092">
        <v>0</v>
      </c>
      <c r="Q5092">
        <v>0</v>
      </c>
      <c r="R5092" t="s">
        <v>44765</v>
      </c>
      <c r="S5092" t="s">
        <v>44892</v>
      </c>
      <c r="T5092" t="s">
        <v>46410</v>
      </c>
      <c r="U5092" t="s">
        <v>51235</v>
      </c>
      <c r="W5092" t="s">
        <v>42513</v>
      </c>
      <c r="X5092" t="s">
        <v>44766</v>
      </c>
    </row>
    <row r="5093" spans="1:24">
      <c r="A5093">
        <f>HYPERLINK("https://www.philgeps.gov.ph/GEPSNONPILOT/Tender/SplashBidNoticeAbstractUI.aspx?menuIndex=3&amp;refID=7148467&amp;Result=3","7148467")</f>
        <v>0</v>
      </c>
      <c r="B5093" t="s">
        <v>1841</v>
      </c>
      <c r="C5093" t="s">
        <v>8562</v>
      </c>
      <c r="E5093" t="s">
        <v>22580</v>
      </c>
      <c r="F5093" t="s">
        <v>30900</v>
      </c>
      <c r="G5093" t="s">
        <v>30906</v>
      </c>
      <c r="H5093" t="s">
        <v>30916</v>
      </c>
      <c r="I5093" t="s">
        <v>4545</v>
      </c>
      <c r="J5093" t="s">
        <v>31050</v>
      </c>
      <c r="K5093" t="s">
        <v>40289</v>
      </c>
      <c r="M5093" t="s">
        <v>42513</v>
      </c>
      <c r="N5093" t="s">
        <v>44759</v>
      </c>
      <c r="O5093" t="s">
        <v>44760</v>
      </c>
      <c r="P5093">
        <v>0</v>
      </c>
      <c r="Q5093">
        <v>3</v>
      </c>
      <c r="R5093" t="s">
        <v>44765</v>
      </c>
      <c r="S5093" t="s">
        <v>44892</v>
      </c>
      <c r="T5093" t="s">
        <v>46410</v>
      </c>
      <c r="U5093" t="s">
        <v>51236</v>
      </c>
      <c r="W5093" t="s">
        <v>42513</v>
      </c>
      <c r="X5093" t="s">
        <v>44766</v>
      </c>
    </row>
    <row r="5094" spans="1:24">
      <c r="A5094">
        <f>HYPERLINK("https://www.philgeps.gov.ph/GEPSNONPILOT/Tender/SplashBidNoticeAbstractUI.aspx?menuIndex=3&amp;refID=7148529&amp;Result=3","7148529")</f>
        <v>0</v>
      </c>
      <c r="B5094" t="s">
        <v>1862</v>
      </c>
      <c r="C5094" t="s">
        <v>8563</v>
      </c>
      <c r="D5094" t="s">
        <v>17962</v>
      </c>
      <c r="E5094" t="s">
        <v>22581</v>
      </c>
      <c r="F5094" t="s">
        <v>30900</v>
      </c>
      <c r="G5094" t="s">
        <v>30907</v>
      </c>
      <c r="H5094" t="s">
        <v>30915</v>
      </c>
      <c r="I5094" t="s">
        <v>30919</v>
      </c>
      <c r="J5094" t="s">
        <v>34429</v>
      </c>
      <c r="K5094" t="s">
        <v>40283</v>
      </c>
      <c r="M5094" t="s">
        <v>42536</v>
      </c>
      <c r="N5094" t="s">
        <v>44759</v>
      </c>
      <c r="O5094" t="s">
        <v>44760</v>
      </c>
      <c r="P5094">
        <v>0</v>
      </c>
      <c r="Q5094">
        <v>0</v>
      </c>
      <c r="R5094" t="s">
        <v>44765</v>
      </c>
      <c r="S5094" t="s">
        <v>44892</v>
      </c>
      <c r="T5094" t="s">
        <v>46361</v>
      </c>
      <c r="U5094" t="s">
        <v>51237</v>
      </c>
      <c r="W5094" t="s">
        <v>42536</v>
      </c>
      <c r="X5094" t="s">
        <v>44766</v>
      </c>
    </row>
    <row r="5095" spans="1:24">
      <c r="A5095">
        <f>HYPERLINK("https://www.philgeps.gov.ph/GEPSNONPILOT/Tender/SplashBidNoticeAbstractUI.aspx?menuIndex=3&amp;refID=7148527&amp;Result=3","7148527")</f>
        <v>0</v>
      </c>
      <c r="B5095" t="s">
        <v>1723</v>
      </c>
      <c r="C5095" t="s">
        <v>8564</v>
      </c>
      <c r="D5095" t="s">
        <v>17957</v>
      </c>
      <c r="E5095" t="s">
        <v>22582</v>
      </c>
      <c r="F5095" t="s">
        <v>30900</v>
      </c>
      <c r="G5095" t="s">
        <v>30909</v>
      </c>
      <c r="H5095" t="s">
        <v>30916</v>
      </c>
      <c r="I5095" t="s">
        <v>6408</v>
      </c>
      <c r="J5095" t="s">
        <v>31728</v>
      </c>
      <c r="K5095" t="s">
        <v>40286</v>
      </c>
      <c r="M5095" t="s">
        <v>42387</v>
      </c>
      <c r="N5095" t="s">
        <v>44759</v>
      </c>
      <c r="O5095" t="s">
        <v>44760</v>
      </c>
      <c r="P5095">
        <v>0</v>
      </c>
      <c r="Q5095">
        <v>0</v>
      </c>
      <c r="R5095" t="s">
        <v>44765</v>
      </c>
      <c r="S5095" t="s">
        <v>44892</v>
      </c>
      <c r="T5095" t="s">
        <v>46412</v>
      </c>
      <c r="U5095" t="s">
        <v>51238</v>
      </c>
      <c r="W5095" t="s">
        <v>42387</v>
      </c>
      <c r="X5095" t="s">
        <v>44766</v>
      </c>
    </row>
    <row r="5096" spans="1:24">
      <c r="A5096">
        <f>HYPERLINK("https://www.philgeps.gov.ph/GEPSNONPILOT/Tender/SplashBidNoticeAbstractUI.aspx?menuIndex=3&amp;refID=7148465&amp;Result=3","7148465")</f>
        <v>0</v>
      </c>
      <c r="B5096" t="s">
        <v>1723</v>
      </c>
      <c r="C5096" t="s">
        <v>8565</v>
      </c>
      <c r="D5096" t="s">
        <v>17957</v>
      </c>
      <c r="E5096" t="s">
        <v>22583</v>
      </c>
      <c r="F5096" t="s">
        <v>30900</v>
      </c>
      <c r="G5096" t="s">
        <v>30909</v>
      </c>
      <c r="H5096" t="s">
        <v>30916</v>
      </c>
      <c r="I5096" t="s">
        <v>30934</v>
      </c>
      <c r="J5096" t="s">
        <v>31183</v>
      </c>
      <c r="K5096" t="s">
        <v>40286</v>
      </c>
      <c r="M5096" t="s">
        <v>42387</v>
      </c>
      <c r="N5096" t="s">
        <v>44759</v>
      </c>
      <c r="O5096" t="s">
        <v>44760</v>
      </c>
      <c r="P5096">
        <v>0</v>
      </c>
      <c r="Q5096">
        <v>0</v>
      </c>
      <c r="R5096" t="s">
        <v>44765</v>
      </c>
      <c r="S5096" t="s">
        <v>44892</v>
      </c>
      <c r="T5096" t="s">
        <v>46412</v>
      </c>
      <c r="U5096" t="s">
        <v>51239</v>
      </c>
      <c r="W5096" t="s">
        <v>42387</v>
      </c>
      <c r="X5096" t="s">
        <v>44766</v>
      </c>
    </row>
    <row r="5097" spans="1:24">
      <c r="A5097">
        <f>HYPERLINK("https://www.philgeps.gov.ph/GEPSNONPILOT/Tender/SplashBidNoticeAbstractUI.aspx?menuIndex=3&amp;refID=7148526&amp;Result=3","7148526")</f>
        <v>0</v>
      </c>
      <c r="B5097" t="s">
        <v>1863</v>
      </c>
      <c r="C5097" t="s">
        <v>8566</v>
      </c>
      <c r="D5097" t="s">
        <v>18013</v>
      </c>
      <c r="E5097" t="s">
        <v>22584</v>
      </c>
      <c r="F5097" t="s">
        <v>30900</v>
      </c>
      <c r="G5097" t="s">
        <v>30908</v>
      </c>
      <c r="H5097" t="s">
        <v>30916</v>
      </c>
      <c r="I5097" t="s">
        <v>4017</v>
      </c>
      <c r="J5097" t="s">
        <v>31183</v>
      </c>
      <c r="K5097" t="s">
        <v>40286</v>
      </c>
      <c r="M5097" t="s">
        <v>42537</v>
      </c>
      <c r="N5097" t="s">
        <v>44759</v>
      </c>
      <c r="O5097" t="s">
        <v>44760</v>
      </c>
      <c r="P5097">
        <v>0</v>
      </c>
      <c r="Q5097">
        <v>2</v>
      </c>
      <c r="R5097" t="s">
        <v>44765</v>
      </c>
      <c r="S5097" t="s">
        <v>44892</v>
      </c>
      <c r="T5097" t="s">
        <v>46363</v>
      </c>
      <c r="U5097" t="s">
        <v>51240</v>
      </c>
      <c r="W5097" t="s">
        <v>42537</v>
      </c>
      <c r="X5097" t="s">
        <v>44766</v>
      </c>
    </row>
    <row r="5098" spans="1:24">
      <c r="A5098">
        <f>HYPERLINK("https://www.philgeps.gov.ph/GEPSNONPILOT/Tender/SplashBidNoticeAbstractUI.aspx?menuIndex=3&amp;refID=7148524&amp;Result=3","7148524")</f>
        <v>0</v>
      </c>
      <c r="B5098" t="s">
        <v>733</v>
      </c>
      <c r="C5098" t="s">
        <v>8567</v>
      </c>
      <c r="D5098" t="s">
        <v>17962</v>
      </c>
      <c r="E5098" t="s">
        <v>18306</v>
      </c>
      <c r="F5098" t="s">
        <v>30900</v>
      </c>
      <c r="G5098" t="s">
        <v>30907</v>
      </c>
      <c r="H5098" t="s">
        <v>30916</v>
      </c>
      <c r="I5098" t="s">
        <v>4545</v>
      </c>
      <c r="J5098" t="s">
        <v>32770</v>
      </c>
      <c r="K5098" t="s">
        <v>40287</v>
      </c>
      <c r="M5098" t="s">
        <v>41297</v>
      </c>
      <c r="N5098" t="s">
        <v>44759</v>
      </c>
      <c r="O5098" t="s">
        <v>44760</v>
      </c>
      <c r="P5098">
        <v>0</v>
      </c>
      <c r="Q5098">
        <v>3</v>
      </c>
      <c r="R5098" t="s">
        <v>44765</v>
      </c>
      <c r="S5098" t="s">
        <v>44892</v>
      </c>
      <c r="T5098" t="s">
        <v>46694</v>
      </c>
      <c r="U5098" t="s">
        <v>51241</v>
      </c>
      <c r="W5098" t="s">
        <v>41297</v>
      </c>
      <c r="X5098" t="s">
        <v>44766</v>
      </c>
    </row>
    <row r="5099" spans="1:24">
      <c r="A5099">
        <f>HYPERLINK("https://www.philgeps.gov.ph/GEPSNONPILOT/Tender/SplashBidNoticeAbstractUI.aspx?menuIndex=3&amp;refID=7148471&amp;Result=3","7148471")</f>
        <v>0</v>
      </c>
      <c r="B5099" t="s">
        <v>1271</v>
      </c>
      <c r="C5099" t="s">
        <v>8568</v>
      </c>
      <c r="D5099" t="s">
        <v>18019</v>
      </c>
      <c r="E5099" t="s">
        <v>22585</v>
      </c>
      <c r="F5099" t="s">
        <v>30900</v>
      </c>
      <c r="G5099" t="s">
        <v>30908</v>
      </c>
      <c r="H5099" t="s">
        <v>30915</v>
      </c>
      <c r="I5099" t="s">
        <v>30919</v>
      </c>
      <c r="J5099" t="s">
        <v>31288</v>
      </c>
      <c r="K5099" t="s">
        <v>40289</v>
      </c>
      <c r="M5099" t="s">
        <v>41887</v>
      </c>
      <c r="N5099" t="s">
        <v>44759</v>
      </c>
      <c r="O5099" t="s">
        <v>44760</v>
      </c>
      <c r="P5099">
        <v>0</v>
      </c>
      <c r="Q5099">
        <v>0</v>
      </c>
      <c r="R5099" t="s">
        <v>44765</v>
      </c>
      <c r="S5099" t="s">
        <v>44892</v>
      </c>
      <c r="T5099" t="s">
        <v>46612</v>
      </c>
      <c r="U5099" t="s">
        <v>51242</v>
      </c>
      <c r="W5099" t="s">
        <v>41887</v>
      </c>
      <c r="X5099" t="s">
        <v>44766</v>
      </c>
    </row>
    <row r="5100" spans="1:24">
      <c r="A5100">
        <f>HYPERLINK("https://www.philgeps.gov.ph/GEPSNONPILOT/Tender/SplashBidNoticeAbstractUI.aspx?menuIndex=3&amp;refID=7148520&amp;Result=3","7148520")</f>
        <v>0</v>
      </c>
      <c r="B5100" t="s">
        <v>1864</v>
      </c>
      <c r="C5100" t="s">
        <v>8569</v>
      </c>
      <c r="D5100" t="s">
        <v>18020</v>
      </c>
      <c r="E5100" t="s">
        <v>22586</v>
      </c>
      <c r="F5100" t="s">
        <v>30900</v>
      </c>
      <c r="G5100" t="s">
        <v>30907</v>
      </c>
      <c r="H5100" t="s">
        <v>30916</v>
      </c>
      <c r="I5100" t="s">
        <v>6396</v>
      </c>
      <c r="J5100" t="s">
        <v>31270</v>
      </c>
      <c r="K5100" t="s">
        <v>40284</v>
      </c>
      <c r="M5100" t="s">
        <v>42538</v>
      </c>
      <c r="N5100" t="s">
        <v>44759</v>
      </c>
      <c r="O5100" t="s">
        <v>44760</v>
      </c>
      <c r="P5100">
        <v>0</v>
      </c>
      <c r="Q5100">
        <v>2</v>
      </c>
      <c r="R5100" t="s">
        <v>44765</v>
      </c>
      <c r="S5100" t="s">
        <v>44892</v>
      </c>
      <c r="T5100" t="s">
        <v>46451</v>
      </c>
      <c r="U5100" t="s">
        <v>51243</v>
      </c>
      <c r="W5100" t="s">
        <v>42538</v>
      </c>
      <c r="X5100" t="s">
        <v>44766</v>
      </c>
    </row>
    <row r="5101" spans="1:24">
      <c r="A5101">
        <f>HYPERLINK("https://www.philgeps.gov.ph/GEPSNONPILOT/Tender/SplashBidNoticeAbstractUI.aspx?menuIndex=3&amp;refID=7148457&amp;Result=3","7148457")</f>
        <v>0</v>
      </c>
      <c r="B5101" t="s">
        <v>417</v>
      </c>
      <c r="C5101" t="s">
        <v>8570</v>
      </c>
      <c r="D5101" t="s">
        <v>17966</v>
      </c>
      <c r="E5101" t="s">
        <v>22587</v>
      </c>
      <c r="F5101" t="s">
        <v>30900</v>
      </c>
      <c r="G5101" t="s">
        <v>30908</v>
      </c>
      <c r="H5101" t="s">
        <v>30916</v>
      </c>
      <c r="I5101" t="s">
        <v>30936</v>
      </c>
      <c r="J5101" t="s">
        <v>31966</v>
      </c>
      <c r="K5101" t="s">
        <v>40283</v>
      </c>
      <c r="M5101" t="s">
        <v>40973</v>
      </c>
      <c r="N5101" t="s">
        <v>44759</v>
      </c>
      <c r="O5101" t="s">
        <v>44760</v>
      </c>
      <c r="P5101">
        <v>0</v>
      </c>
      <c r="Q5101">
        <v>2</v>
      </c>
      <c r="R5101" t="s">
        <v>44765</v>
      </c>
      <c r="S5101" t="s">
        <v>44892</v>
      </c>
      <c r="T5101" t="s">
        <v>46700</v>
      </c>
      <c r="U5101" t="s">
        <v>51103</v>
      </c>
      <c r="W5101" t="s">
        <v>40973</v>
      </c>
      <c r="X5101" t="s">
        <v>44766</v>
      </c>
    </row>
    <row r="5102" spans="1:24">
      <c r="A5102">
        <f>HYPERLINK("https://www.philgeps.gov.ph/GEPSNONPILOT/Tender/SplashBidNoticeAbstractUI.aspx?menuIndex=3&amp;refID=7148517&amp;Result=3","7148517")</f>
        <v>0</v>
      </c>
      <c r="B5102" t="s">
        <v>1865</v>
      </c>
      <c r="C5102" t="s">
        <v>8571</v>
      </c>
      <c r="D5102" t="s">
        <v>17952</v>
      </c>
      <c r="E5102" t="s">
        <v>22588</v>
      </c>
      <c r="F5102" t="s">
        <v>30900</v>
      </c>
      <c r="G5102" t="s">
        <v>30908</v>
      </c>
      <c r="H5102" t="s">
        <v>30917</v>
      </c>
      <c r="I5102" t="s">
        <v>8123</v>
      </c>
      <c r="J5102" t="s">
        <v>34430</v>
      </c>
      <c r="K5102" t="s">
        <v>40284</v>
      </c>
      <c r="M5102" t="s">
        <v>42539</v>
      </c>
      <c r="N5102" t="s">
        <v>44759</v>
      </c>
      <c r="O5102" t="s">
        <v>44760</v>
      </c>
      <c r="P5102">
        <v>0</v>
      </c>
      <c r="Q5102">
        <v>0</v>
      </c>
      <c r="R5102" t="s">
        <v>44765</v>
      </c>
      <c r="S5102" t="s">
        <v>44892</v>
      </c>
      <c r="T5102" t="s">
        <v>46625</v>
      </c>
      <c r="U5102" t="s">
        <v>51244</v>
      </c>
      <c r="V5102" t="s">
        <v>59646</v>
      </c>
      <c r="W5102" t="s">
        <v>42539</v>
      </c>
      <c r="X5102" t="s">
        <v>44766</v>
      </c>
    </row>
    <row r="5103" spans="1:24">
      <c r="A5103">
        <f>HYPERLINK("https://www.philgeps.gov.ph/GEPSNONPILOT/Tender/SplashBidNoticeAbstractUI.aspx?menuIndex=3&amp;refID=7148516&amp;Result=3","7148516")</f>
        <v>0</v>
      </c>
      <c r="B5103" t="s">
        <v>1865</v>
      </c>
      <c r="C5103" t="s">
        <v>8572</v>
      </c>
      <c r="D5103" t="s">
        <v>17952</v>
      </c>
      <c r="E5103" t="s">
        <v>22589</v>
      </c>
      <c r="F5103" t="s">
        <v>30900</v>
      </c>
      <c r="G5103" t="s">
        <v>30908</v>
      </c>
      <c r="H5103" t="s">
        <v>30917</v>
      </c>
      <c r="I5103" t="s">
        <v>8123</v>
      </c>
      <c r="J5103" t="s">
        <v>34431</v>
      </c>
      <c r="K5103" t="s">
        <v>40284</v>
      </c>
      <c r="M5103" t="s">
        <v>42539</v>
      </c>
      <c r="N5103" t="s">
        <v>44759</v>
      </c>
      <c r="O5103" t="s">
        <v>44760</v>
      </c>
      <c r="P5103">
        <v>0</v>
      </c>
      <c r="Q5103">
        <v>0</v>
      </c>
      <c r="R5103" t="s">
        <v>44765</v>
      </c>
      <c r="S5103" t="s">
        <v>44892</v>
      </c>
      <c r="T5103" t="s">
        <v>46625</v>
      </c>
      <c r="U5103" t="s">
        <v>51244</v>
      </c>
      <c r="V5103" t="s">
        <v>59646</v>
      </c>
      <c r="W5103" t="s">
        <v>42539</v>
      </c>
      <c r="X5103" t="s">
        <v>44766</v>
      </c>
    </row>
    <row r="5104" spans="1:24">
      <c r="A5104">
        <f>HYPERLINK("https://www.philgeps.gov.ph/GEPSNONPILOT/Tender/SplashBidNoticeAbstractUI.aspx?menuIndex=3&amp;refID=7148514&amp;Result=3","7148514")</f>
        <v>0</v>
      </c>
      <c r="B5104" t="s">
        <v>1865</v>
      </c>
      <c r="C5104" t="s">
        <v>8573</v>
      </c>
      <c r="D5104" t="s">
        <v>17952</v>
      </c>
      <c r="E5104" t="s">
        <v>22590</v>
      </c>
      <c r="F5104" t="s">
        <v>30900</v>
      </c>
      <c r="G5104" t="s">
        <v>30908</v>
      </c>
      <c r="H5104" t="s">
        <v>30917</v>
      </c>
      <c r="I5104" t="s">
        <v>8123</v>
      </c>
      <c r="J5104" t="s">
        <v>34432</v>
      </c>
      <c r="K5104" t="s">
        <v>40284</v>
      </c>
      <c r="M5104" t="s">
        <v>42539</v>
      </c>
      <c r="N5104" t="s">
        <v>44759</v>
      </c>
      <c r="O5104" t="s">
        <v>44760</v>
      </c>
      <c r="P5104">
        <v>0</v>
      </c>
      <c r="Q5104">
        <v>0</v>
      </c>
      <c r="R5104" t="s">
        <v>44765</v>
      </c>
      <c r="S5104" t="s">
        <v>44892</v>
      </c>
      <c r="T5104" t="s">
        <v>46625</v>
      </c>
      <c r="U5104" t="s">
        <v>51244</v>
      </c>
      <c r="V5104" t="s">
        <v>59646</v>
      </c>
      <c r="W5104" t="s">
        <v>42539</v>
      </c>
      <c r="X5104" t="s">
        <v>44766</v>
      </c>
    </row>
    <row r="5105" spans="1:24">
      <c r="A5105">
        <f>HYPERLINK("https://www.philgeps.gov.ph/GEPSNONPILOT/Tender/SplashBidNoticeAbstractUI.aspx?menuIndex=3&amp;refID=7148521&amp;Result=3","7148521")</f>
        <v>0</v>
      </c>
      <c r="B5105" t="s">
        <v>1865</v>
      </c>
      <c r="C5105" t="s">
        <v>8574</v>
      </c>
      <c r="D5105" t="s">
        <v>17952</v>
      </c>
      <c r="E5105" t="s">
        <v>22591</v>
      </c>
      <c r="F5105" t="s">
        <v>30900</v>
      </c>
      <c r="G5105" t="s">
        <v>30908</v>
      </c>
      <c r="H5105" t="s">
        <v>30917</v>
      </c>
      <c r="I5105" t="s">
        <v>8123</v>
      </c>
      <c r="J5105" t="s">
        <v>34433</v>
      </c>
      <c r="K5105" t="s">
        <v>40284</v>
      </c>
      <c r="M5105" t="s">
        <v>42539</v>
      </c>
      <c r="N5105" t="s">
        <v>44759</v>
      </c>
      <c r="O5105" t="s">
        <v>44760</v>
      </c>
      <c r="P5105">
        <v>0</v>
      </c>
      <c r="Q5105">
        <v>0</v>
      </c>
      <c r="R5105" t="s">
        <v>44765</v>
      </c>
      <c r="S5105" t="s">
        <v>44892</v>
      </c>
      <c r="T5105" t="s">
        <v>46625</v>
      </c>
      <c r="U5105" t="s">
        <v>51244</v>
      </c>
      <c r="V5105" t="s">
        <v>59646</v>
      </c>
      <c r="W5105" t="s">
        <v>42539</v>
      </c>
      <c r="X5105" t="s">
        <v>44766</v>
      </c>
    </row>
    <row r="5106" spans="1:24">
      <c r="A5106">
        <f>HYPERLINK("https://www.philgeps.gov.ph/GEPSNONPILOT/Tender/SplashBidNoticeAbstractUI.aspx?menuIndex=3&amp;refID=7148522&amp;Result=3","7148522")</f>
        <v>0</v>
      </c>
      <c r="B5106" t="s">
        <v>1831</v>
      </c>
      <c r="C5106" t="s">
        <v>8575</v>
      </c>
      <c r="D5106" t="s">
        <v>18015</v>
      </c>
      <c r="E5106" t="s">
        <v>22592</v>
      </c>
      <c r="F5106" t="s">
        <v>30900</v>
      </c>
      <c r="G5106" t="s">
        <v>30906</v>
      </c>
      <c r="H5106" t="s">
        <v>30916</v>
      </c>
      <c r="I5106" t="s">
        <v>4108</v>
      </c>
      <c r="J5106" t="s">
        <v>34434</v>
      </c>
      <c r="K5106" t="s">
        <v>40289</v>
      </c>
      <c r="M5106" t="s">
        <v>42504</v>
      </c>
      <c r="N5106" t="s">
        <v>44759</v>
      </c>
      <c r="O5106" t="s">
        <v>44760</v>
      </c>
      <c r="P5106">
        <v>0</v>
      </c>
      <c r="Q5106">
        <v>0</v>
      </c>
      <c r="R5106" t="s">
        <v>44765</v>
      </c>
      <c r="S5106" t="s">
        <v>44892</v>
      </c>
      <c r="T5106" t="s">
        <v>46363</v>
      </c>
      <c r="U5106" t="s">
        <v>51116</v>
      </c>
      <c r="V5106" t="s">
        <v>59253</v>
      </c>
      <c r="W5106" t="s">
        <v>42504</v>
      </c>
      <c r="X5106" t="s">
        <v>44766</v>
      </c>
    </row>
    <row r="5107" spans="1:24">
      <c r="A5107">
        <f>HYPERLINK("https://www.philgeps.gov.ph/GEPSNONPILOT/Tender/SplashBidNoticeAbstractUI.aspx?menuIndex=3&amp;refID=7148509&amp;Result=3","7148509")</f>
        <v>0</v>
      </c>
      <c r="B5107" t="s">
        <v>1723</v>
      </c>
      <c r="C5107" t="s">
        <v>8576</v>
      </c>
      <c r="D5107" t="s">
        <v>17957</v>
      </c>
      <c r="E5107" t="s">
        <v>22593</v>
      </c>
      <c r="F5107" t="s">
        <v>30900</v>
      </c>
      <c r="G5107" t="s">
        <v>30907</v>
      </c>
      <c r="H5107" t="s">
        <v>30915</v>
      </c>
      <c r="I5107" t="s">
        <v>30919</v>
      </c>
      <c r="J5107" t="s">
        <v>31687</v>
      </c>
      <c r="K5107" t="s">
        <v>40304</v>
      </c>
      <c r="M5107" t="s">
        <v>42387</v>
      </c>
      <c r="N5107" t="s">
        <v>44759</v>
      </c>
      <c r="O5107" t="s">
        <v>44760</v>
      </c>
      <c r="P5107">
        <v>0</v>
      </c>
      <c r="Q5107">
        <v>0</v>
      </c>
      <c r="R5107" t="s">
        <v>44765</v>
      </c>
      <c r="S5107" t="s">
        <v>44892</v>
      </c>
      <c r="T5107" t="s">
        <v>46412</v>
      </c>
      <c r="U5107" t="s">
        <v>51245</v>
      </c>
      <c r="W5107" t="s">
        <v>42387</v>
      </c>
      <c r="X5107" t="s">
        <v>44766</v>
      </c>
    </row>
    <row r="5108" spans="1:24">
      <c r="A5108">
        <f>HYPERLINK("https://www.philgeps.gov.ph/GEPSNONPILOT/Tender/SplashBidNoticeAbstractUI.aspx?menuIndex=3&amp;refID=7148502&amp;Result=3","7148502")</f>
        <v>0</v>
      </c>
      <c r="B5108" t="s">
        <v>1866</v>
      </c>
      <c r="C5108" t="s">
        <v>8577</v>
      </c>
      <c r="D5108" t="s">
        <v>17953</v>
      </c>
      <c r="E5108" t="s">
        <v>22594</v>
      </c>
      <c r="F5108" t="s">
        <v>30904</v>
      </c>
      <c r="G5108" t="s">
        <v>30908</v>
      </c>
      <c r="H5108" t="s">
        <v>30916</v>
      </c>
      <c r="I5108" t="s">
        <v>6396</v>
      </c>
      <c r="J5108" t="s">
        <v>34435</v>
      </c>
      <c r="K5108" t="s">
        <v>40285</v>
      </c>
      <c r="M5108" t="s">
        <v>42540</v>
      </c>
      <c r="N5108" t="s">
        <v>44759</v>
      </c>
      <c r="O5108" t="s">
        <v>44760</v>
      </c>
      <c r="P5108">
        <v>0</v>
      </c>
      <c r="Q5108">
        <v>0</v>
      </c>
      <c r="R5108" t="s">
        <v>44765</v>
      </c>
      <c r="S5108" t="s">
        <v>44892</v>
      </c>
      <c r="T5108" t="s">
        <v>46485</v>
      </c>
      <c r="U5108" t="s">
        <v>51246</v>
      </c>
      <c r="W5108" t="s">
        <v>42540</v>
      </c>
      <c r="X5108" t="s">
        <v>44766</v>
      </c>
    </row>
    <row r="5109" spans="1:24">
      <c r="A5109">
        <f>HYPERLINK("https://www.philgeps.gov.ph/GEPSNONPILOT/Tender/SplashBidNoticeAbstractUI.aspx?menuIndex=3&amp;refID=7148499&amp;Result=3","7148499")</f>
        <v>0</v>
      </c>
      <c r="B5109" t="s">
        <v>1866</v>
      </c>
      <c r="C5109" t="s">
        <v>8578</v>
      </c>
      <c r="D5109" t="s">
        <v>17953</v>
      </c>
      <c r="E5109" t="s">
        <v>22594</v>
      </c>
      <c r="F5109" t="s">
        <v>30904</v>
      </c>
      <c r="G5109" t="s">
        <v>30908</v>
      </c>
      <c r="H5109" t="s">
        <v>30916</v>
      </c>
      <c r="I5109" t="s">
        <v>4108</v>
      </c>
      <c r="J5109" t="s">
        <v>31092</v>
      </c>
      <c r="K5109" t="s">
        <v>40285</v>
      </c>
      <c r="M5109" t="s">
        <v>42540</v>
      </c>
      <c r="N5109" t="s">
        <v>44759</v>
      </c>
      <c r="O5109" t="s">
        <v>44760</v>
      </c>
      <c r="P5109">
        <v>0</v>
      </c>
      <c r="Q5109">
        <v>0</v>
      </c>
      <c r="R5109" t="s">
        <v>44765</v>
      </c>
      <c r="S5109" t="s">
        <v>44892</v>
      </c>
      <c r="T5109" t="s">
        <v>46485</v>
      </c>
      <c r="U5109" t="s">
        <v>51247</v>
      </c>
      <c r="W5109" t="s">
        <v>42540</v>
      </c>
      <c r="X5109" t="s">
        <v>44766</v>
      </c>
    </row>
    <row r="5110" spans="1:24">
      <c r="A5110">
        <f>HYPERLINK("https://www.philgeps.gov.ph/GEPSNONPILOT/Tender/SplashBidNoticeAbstractUI.aspx?menuIndex=3&amp;refID=7148518&amp;Result=3","7148518")</f>
        <v>0</v>
      </c>
      <c r="B5110" t="s">
        <v>1865</v>
      </c>
      <c r="C5110" t="s">
        <v>8579</v>
      </c>
      <c r="D5110" t="s">
        <v>17952</v>
      </c>
      <c r="E5110" t="s">
        <v>22595</v>
      </c>
      <c r="F5110" t="s">
        <v>30900</v>
      </c>
      <c r="G5110" t="s">
        <v>30908</v>
      </c>
      <c r="H5110" t="s">
        <v>30917</v>
      </c>
      <c r="I5110" t="s">
        <v>8123</v>
      </c>
      <c r="J5110" t="s">
        <v>32121</v>
      </c>
      <c r="K5110" t="s">
        <v>40284</v>
      </c>
      <c r="M5110" t="s">
        <v>42539</v>
      </c>
      <c r="N5110" t="s">
        <v>44759</v>
      </c>
      <c r="O5110" t="s">
        <v>44760</v>
      </c>
      <c r="P5110">
        <v>0</v>
      </c>
      <c r="Q5110">
        <v>0</v>
      </c>
      <c r="R5110" t="s">
        <v>44765</v>
      </c>
      <c r="S5110" t="s">
        <v>44892</v>
      </c>
      <c r="T5110" t="s">
        <v>46625</v>
      </c>
      <c r="U5110" t="s">
        <v>51244</v>
      </c>
      <c r="V5110" t="s">
        <v>59646</v>
      </c>
      <c r="W5110" t="s">
        <v>42539</v>
      </c>
      <c r="X5110" t="s">
        <v>44766</v>
      </c>
    </row>
    <row r="5111" spans="1:24">
      <c r="A5111">
        <f>HYPERLINK("https://www.philgeps.gov.ph/GEPSNONPILOT/Tender/SplashBidNoticeAbstractUI.aspx?menuIndex=3&amp;refID=7148497&amp;Result=3","7148497")</f>
        <v>0</v>
      </c>
      <c r="B5111" t="s">
        <v>1577</v>
      </c>
      <c r="C5111" t="s">
        <v>8580</v>
      </c>
      <c r="D5111" t="s">
        <v>18002</v>
      </c>
      <c r="E5111" t="s">
        <v>22596</v>
      </c>
      <c r="F5111" t="s">
        <v>30900</v>
      </c>
      <c r="G5111" t="s">
        <v>30907</v>
      </c>
      <c r="H5111" t="s">
        <v>30915</v>
      </c>
      <c r="I5111" t="s">
        <v>30919</v>
      </c>
      <c r="J5111" t="s">
        <v>31152</v>
      </c>
      <c r="K5111" t="s">
        <v>40280</v>
      </c>
      <c r="M5111" t="s">
        <v>42224</v>
      </c>
      <c r="N5111" t="s">
        <v>44759</v>
      </c>
      <c r="O5111" t="s">
        <v>44760</v>
      </c>
      <c r="P5111">
        <v>0</v>
      </c>
      <c r="Q5111">
        <v>0</v>
      </c>
      <c r="R5111" t="s">
        <v>44765</v>
      </c>
      <c r="S5111" t="s">
        <v>44892</v>
      </c>
      <c r="T5111" t="s">
        <v>46450</v>
      </c>
      <c r="U5111" t="s">
        <v>51248</v>
      </c>
      <c r="W5111" t="s">
        <v>42224</v>
      </c>
      <c r="X5111" t="s">
        <v>44766</v>
      </c>
    </row>
    <row r="5112" spans="1:24">
      <c r="A5112">
        <f>HYPERLINK("https://www.philgeps.gov.ph/GEPSNONPILOT/Tender/SplashBidNoticeAbstractUI.aspx?menuIndex=3&amp;refID=7148495&amp;Result=3","7148495")</f>
        <v>0</v>
      </c>
      <c r="B5112" t="s">
        <v>1866</v>
      </c>
      <c r="C5112" t="s">
        <v>8581</v>
      </c>
      <c r="D5112" t="s">
        <v>17953</v>
      </c>
      <c r="E5112" t="s">
        <v>22594</v>
      </c>
      <c r="F5112" t="s">
        <v>30904</v>
      </c>
      <c r="G5112" t="s">
        <v>30908</v>
      </c>
      <c r="H5112" t="s">
        <v>30916</v>
      </c>
      <c r="I5112" t="s">
        <v>4108</v>
      </c>
      <c r="J5112" t="s">
        <v>32161</v>
      </c>
      <c r="K5112" t="s">
        <v>40285</v>
      </c>
      <c r="M5112" t="s">
        <v>42540</v>
      </c>
      <c r="N5112" t="s">
        <v>44759</v>
      </c>
      <c r="O5112" t="s">
        <v>44760</v>
      </c>
      <c r="P5112">
        <v>0</v>
      </c>
      <c r="Q5112">
        <v>0</v>
      </c>
      <c r="R5112" t="s">
        <v>44765</v>
      </c>
      <c r="S5112" t="s">
        <v>44892</v>
      </c>
      <c r="T5112" t="s">
        <v>46485</v>
      </c>
      <c r="U5112" t="s">
        <v>51249</v>
      </c>
      <c r="W5112" t="s">
        <v>42540</v>
      </c>
      <c r="X5112" t="s">
        <v>44766</v>
      </c>
    </row>
    <row r="5113" spans="1:24">
      <c r="A5113">
        <f>HYPERLINK("https://www.philgeps.gov.ph/GEPSNONPILOT/Tender/SplashBidNoticeAbstractUI.aspx?menuIndex=3&amp;refID=7148492&amp;Result=3","7148492")</f>
        <v>0</v>
      </c>
      <c r="B5113" t="s">
        <v>1786</v>
      </c>
      <c r="C5113" t="s">
        <v>8582</v>
      </c>
      <c r="D5113" t="s">
        <v>18025</v>
      </c>
      <c r="E5113" t="s">
        <v>22597</v>
      </c>
      <c r="F5113" t="s">
        <v>30900</v>
      </c>
      <c r="G5113" t="s">
        <v>30909</v>
      </c>
      <c r="H5113" t="s">
        <v>30916</v>
      </c>
      <c r="I5113" t="s">
        <v>9385</v>
      </c>
      <c r="J5113" t="s">
        <v>34436</v>
      </c>
      <c r="K5113" t="s">
        <v>40289</v>
      </c>
      <c r="M5113" t="s">
        <v>42461</v>
      </c>
      <c r="N5113" t="s">
        <v>44759</v>
      </c>
      <c r="O5113" t="s">
        <v>44760</v>
      </c>
      <c r="P5113">
        <v>0</v>
      </c>
      <c r="Q5113">
        <v>18</v>
      </c>
      <c r="R5113" t="s">
        <v>44765</v>
      </c>
      <c r="S5113" t="s">
        <v>44892</v>
      </c>
      <c r="T5113" t="s">
        <v>46356</v>
      </c>
      <c r="U5113" t="s">
        <v>51250</v>
      </c>
      <c r="V5113" t="s">
        <v>59626</v>
      </c>
      <c r="W5113" t="s">
        <v>42461</v>
      </c>
      <c r="X5113" t="s">
        <v>44766</v>
      </c>
    </row>
    <row r="5114" spans="1:24">
      <c r="A5114">
        <f>HYPERLINK("https://www.philgeps.gov.ph/GEPSNONPILOT/Tender/SplashBidNoticeAbstractUI.aspx?menuIndex=3&amp;refID=7148456&amp;Result=3","7148456")</f>
        <v>0</v>
      </c>
      <c r="B5114" t="s">
        <v>1858</v>
      </c>
      <c r="C5114" t="s">
        <v>8583</v>
      </c>
      <c r="D5114" t="s">
        <v>17985</v>
      </c>
      <c r="E5114" t="s">
        <v>22598</v>
      </c>
      <c r="F5114" t="s">
        <v>30900</v>
      </c>
      <c r="G5114" t="s">
        <v>30908</v>
      </c>
      <c r="H5114" t="s">
        <v>30916</v>
      </c>
      <c r="I5114" t="s">
        <v>30923</v>
      </c>
      <c r="J5114" t="s">
        <v>34437</v>
      </c>
      <c r="K5114" t="s">
        <v>40288</v>
      </c>
      <c r="M5114" t="s">
        <v>42530</v>
      </c>
      <c r="N5114" t="s">
        <v>44759</v>
      </c>
      <c r="O5114" t="s">
        <v>44760</v>
      </c>
      <c r="P5114">
        <v>0</v>
      </c>
      <c r="Q5114">
        <v>3</v>
      </c>
      <c r="R5114" t="s">
        <v>44765</v>
      </c>
      <c r="S5114" t="s">
        <v>44892</v>
      </c>
      <c r="T5114" t="s">
        <v>46398</v>
      </c>
      <c r="U5114" t="s">
        <v>51251</v>
      </c>
      <c r="W5114" t="s">
        <v>42530</v>
      </c>
      <c r="X5114" t="s">
        <v>44766</v>
      </c>
    </row>
    <row r="5115" spans="1:24">
      <c r="A5115">
        <f>HYPERLINK("https://www.philgeps.gov.ph/GEPSNONPILOT/Tender/SplashBidNoticeAbstractUI.aspx?menuIndex=3&amp;refID=7148512&amp;Result=3","7148512")</f>
        <v>0</v>
      </c>
      <c r="B5115" t="s">
        <v>1865</v>
      </c>
      <c r="C5115" t="s">
        <v>8584</v>
      </c>
      <c r="D5115" t="s">
        <v>17952</v>
      </c>
      <c r="E5115" t="s">
        <v>22599</v>
      </c>
      <c r="F5115" t="s">
        <v>30900</v>
      </c>
      <c r="G5115" t="s">
        <v>30908</v>
      </c>
      <c r="H5115" t="s">
        <v>30917</v>
      </c>
      <c r="I5115" t="s">
        <v>8123</v>
      </c>
      <c r="J5115" t="s">
        <v>34438</v>
      </c>
      <c r="K5115" t="s">
        <v>40284</v>
      </c>
      <c r="M5115" t="s">
        <v>42539</v>
      </c>
      <c r="N5115" t="s">
        <v>44759</v>
      </c>
      <c r="O5115" t="s">
        <v>44760</v>
      </c>
      <c r="P5115">
        <v>0</v>
      </c>
      <c r="Q5115">
        <v>0</v>
      </c>
      <c r="R5115" t="s">
        <v>44765</v>
      </c>
      <c r="S5115" t="s">
        <v>44892</v>
      </c>
      <c r="T5115" t="s">
        <v>46625</v>
      </c>
      <c r="U5115" t="s">
        <v>51244</v>
      </c>
      <c r="V5115" t="s">
        <v>59646</v>
      </c>
      <c r="W5115" t="s">
        <v>42539</v>
      </c>
      <c r="X5115" t="s">
        <v>44766</v>
      </c>
    </row>
    <row r="5116" spans="1:24">
      <c r="A5116">
        <f>HYPERLINK("https://www.philgeps.gov.ph/GEPSNONPILOT/Tender/SplashBidNoticeAbstractUI.aspx?menuIndex=3&amp;refID=7148425&amp;Result=3","7148425")</f>
        <v>0</v>
      </c>
      <c r="B5116" t="s">
        <v>1844</v>
      </c>
      <c r="C5116" t="s">
        <v>8585</v>
      </c>
      <c r="D5116" t="s">
        <v>17988</v>
      </c>
      <c r="E5116" t="s">
        <v>22600</v>
      </c>
      <c r="F5116" t="s">
        <v>30900</v>
      </c>
      <c r="G5116" t="s">
        <v>30907</v>
      </c>
      <c r="H5116" t="s">
        <v>30916</v>
      </c>
      <c r="I5116" t="s">
        <v>30963</v>
      </c>
      <c r="J5116" t="s">
        <v>34439</v>
      </c>
      <c r="K5116" t="s">
        <v>40280</v>
      </c>
      <c r="M5116" t="s">
        <v>42516</v>
      </c>
      <c r="N5116" t="s">
        <v>44759</v>
      </c>
      <c r="O5116" t="s">
        <v>44760</v>
      </c>
      <c r="P5116">
        <v>0</v>
      </c>
      <c r="Q5116">
        <v>2</v>
      </c>
      <c r="R5116" t="s">
        <v>44765</v>
      </c>
      <c r="S5116" t="s">
        <v>44892</v>
      </c>
      <c r="T5116" t="s">
        <v>46429</v>
      </c>
      <c r="U5116" t="s">
        <v>51252</v>
      </c>
      <c r="W5116" t="s">
        <v>42516</v>
      </c>
      <c r="X5116" t="s">
        <v>44766</v>
      </c>
    </row>
    <row r="5117" spans="1:24">
      <c r="A5117">
        <f>HYPERLINK("https://www.philgeps.gov.ph/GEPSNONPILOT/Tender/SplashBidNoticeAbstractUI.aspx?menuIndex=3&amp;refID=7148511&amp;Result=3","7148511")</f>
        <v>0</v>
      </c>
      <c r="B5117" t="s">
        <v>1865</v>
      </c>
      <c r="C5117" t="s">
        <v>8586</v>
      </c>
      <c r="D5117" t="s">
        <v>17952</v>
      </c>
      <c r="E5117" t="s">
        <v>22601</v>
      </c>
      <c r="F5117" t="s">
        <v>30900</v>
      </c>
      <c r="G5117" t="s">
        <v>30908</v>
      </c>
      <c r="H5117" t="s">
        <v>30917</v>
      </c>
      <c r="I5117" t="s">
        <v>8123</v>
      </c>
      <c r="J5117" t="s">
        <v>34440</v>
      </c>
      <c r="K5117" t="s">
        <v>40284</v>
      </c>
      <c r="M5117" t="s">
        <v>42539</v>
      </c>
      <c r="N5117" t="s">
        <v>44759</v>
      </c>
      <c r="O5117" t="s">
        <v>44760</v>
      </c>
      <c r="P5117">
        <v>0</v>
      </c>
      <c r="Q5117">
        <v>0</v>
      </c>
      <c r="R5117" t="s">
        <v>44765</v>
      </c>
      <c r="S5117" t="s">
        <v>44892</v>
      </c>
      <c r="T5117" t="s">
        <v>46625</v>
      </c>
      <c r="U5117" t="s">
        <v>51244</v>
      </c>
      <c r="V5117" t="s">
        <v>59646</v>
      </c>
      <c r="W5117" t="s">
        <v>42539</v>
      </c>
      <c r="X5117" t="s">
        <v>44766</v>
      </c>
    </row>
    <row r="5118" spans="1:24">
      <c r="A5118">
        <f>HYPERLINK("https://www.philgeps.gov.ph/GEPSNONPILOT/Tender/SplashBidNoticeAbstractUI.aspx?menuIndex=3&amp;refID=7145093&amp;Result=3","7145093")</f>
        <v>0</v>
      </c>
      <c r="B5118" t="s">
        <v>1810</v>
      </c>
      <c r="C5118" t="s">
        <v>8587</v>
      </c>
      <c r="D5118" t="s">
        <v>17959</v>
      </c>
      <c r="E5118" t="s">
        <v>22570</v>
      </c>
      <c r="F5118" t="s">
        <v>30900</v>
      </c>
      <c r="G5118" t="s">
        <v>30907</v>
      </c>
      <c r="H5118" t="s">
        <v>30916</v>
      </c>
      <c r="I5118" t="s">
        <v>17295</v>
      </c>
      <c r="J5118" t="s">
        <v>31049</v>
      </c>
      <c r="K5118" t="s">
        <v>40289</v>
      </c>
      <c r="M5118" t="s">
        <v>42484</v>
      </c>
      <c r="N5118" t="s">
        <v>44759</v>
      </c>
      <c r="O5118" t="s">
        <v>44760</v>
      </c>
      <c r="P5118">
        <v>0</v>
      </c>
      <c r="Q5118">
        <v>0</v>
      </c>
      <c r="R5118" t="s">
        <v>44765</v>
      </c>
      <c r="S5118" t="s">
        <v>44892</v>
      </c>
      <c r="T5118" t="s">
        <v>46376</v>
      </c>
      <c r="U5118" t="s">
        <v>51253</v>
      </c>
      <c r="W5118" t="s">
        <v>42484</v>
      </c>
      <c r="X5118" t="s">
        <v>44768</v>
      </c>
    </row>
    <row r="5119" spans="1:24">
      <c r="A5119">
        <f>HYPERLINK("https://www.philgeps.gov.ph/GEPSNONPILOT/Tender/SplashBidNoticeAbstractUI.aspx?menuIndex=3&amp;refID=7148530&amp;Result=3","7148530")</f>
        <v>0</v>
      </c>
      <c r="B5119" t="s">
        <v>1867</v>
      </c>
      <c r="C5119" t="s">
        <v>8588</v>
      </c>
      <c r="D5119" t="s">
        <v>17965</v>
      </c>
      <c r="E5119" t="s">
        <v>18239</v>
      </c>
      <c r="F5119" t="s">
        <v>30900</v>
      </c>
      <c r="G5119" t="s">
        <v>30909</v>
      </c>
      <c r="H5119" t="s">
        <v>30916</v>
      </c>
      <c r="I5119" t="s">
        <v>10602</v>
      </c>
      <c r="J5119" t="s">
        <v>34441</v>
      </c>
      <c r="K5119" t="s">
        <v>40282</v>
      </c>
      <c r="M5119" t="s">
        <v>42541</v>
      </c>
      <c r="N5119" t="s">
        <v>44759</v>
      </c>
      <c r="O5119" t="s">
        <v>44760</v>
      </c>
      <c r="P5119">
        <v>0</v>
      </c>
      <c r="Q5119">
        <v>0</v>
      </c>
      <c r="R5119" t="s">
        <v>44765</v>
      </c>
      <c r="S5119" t="s">
        <v>44892</v>
      </c>
      <c r="T5119" t="s">
        <v>46429</v>
      </c>
      <c r="U5119" t="s">
        <v>51254</v>
      </c>
      <c r="W5119" t="s">
        <v>42541</v>
      </c>
      <c r="X5119" t="s">
        <v>44766</v>
      </c>
    </row>
    <row r="5120" spans="1:24">
      <c r="A5120">
        <f>HYPERLINK("https://www.philgeps.gov.ph/GEPSNONPILOT/Tender/SplashBidNoticeAbstractUI.aspx?menuIndex=3&amp;refID=7148485&amp;Result=3","7148485")</f>
        <v>0</v>
      </c>
      <c r="B5120" t="s">
        <v>1868</v>
      </c>
      <c r="C5120" t="s">
        <v>8589</v>
      </c>
      <c r="D5120" t="s">
        <v>17959</v>
      </c>
      <c r="E5120" t="s">
        <v>22602</v>
      </c>
      <c r="F5120" t="s">
        <v>30900</v>
      </c>
      <c r="G5120" t="s">
        <v>30908</v>
      </c>
      <c r="H5120" t="s">
        <v>30917</v>
      </c>
      <c r="I5120" t="s">
        <v>31016</v>
      </c>
      <c r="J5120" t="s">
        <v>31879</v>
      </c>
      <c r="K5120" t="s">
        <v>40286</v>
      </c>
      <c r="M5120" t="s">
        <v>42542</v>
      </c>
      <c r="N5120" t="s">
        <v>44759</v>
      </c>
      <c r="O5120" t="s">
        <v>44760</v>
      </c>
      <c r="P5120">
        <v>0</v>
      </c>
      <c r="Q5120">
        <v>8</v>
      </c>
      <c r="R5120" t="s">
        <v>44765</v>
      </c>
      <c r="S5120" t="s">
        <v>44892</v>
      </c>
      <c r="T5120" t="s">
        <v>46700</v>
      </c>
      <c r="U5120" t="s">
        <v>51255</v>
      </c>
      <c r="W5120" t="s">
        <v>42542</v>
      </c>
      <c r="X5120" t="s">
        <v>44766</v>
      </c>
    </row>
    <row r="5121" spans="1:24">
      <c r="A5121">
        <f>HYPERLINK("https://www.philgeps.gov.ph/GEPSNONPILOT/Tender/SplashBidNoticeAbstractUI.aspx?menuIndex=3&amp;refID=7148508&amp;Result=3","7148508")</f>
        <v>0</v>
      </c>
      <c r="B5121" t="s">
        <v>1867</v>
      </c>
      <c r="C5121" t="s">
        <v>8588</v>
      </c>
      <c r="D5121" t="s">
        <v>17965</v>
      </c>
      <c r="E5121" t="s">
        <v>19042</v>
      </c>
      <c r="F5121" t="s">
        <v>30900</v>
      </c>
      <c r="G5121" t="s">
        <v>30909</v>
      </c>
      <c r="H5121" t="s">
        <v>30916</v>
      </c>
      <c r="I5121" t="s">
        <v>10602</v>
      </c>
      <c r="J5121" t="s">
        <v>34442</v>
      </c>
      <c r="K5121" t="s">
        <v>40317</v>
      </c>
      <c r="M5121" t="s">
        <v>42541</v>
      </c>
      <c r="N5121" t="s">
        <v>44759</v>
      </c>
      <c r="O5121" t="s">
        <v>44760</v>
      </c>
      <c r="P5121">
        <v>0</v>
      </c>
      <c r="Q5121">
        <v>0</v>
      </c>
      <c r="R5121" t="s">
        <v>44765</v>
      </c>
      <c r="S5121" t="s">
        <v>44892</v>
      </c>
      <c r="T5121" t="s">
        <v>46414</v>
      </c>
      <c r="U5121" t="s">
        <v>51256</v>
      </c>
      <c r="V5121" t="s">
        <v>59647</v>
      </c>
      <c r="W5121" t="s">
        <v>42541</v>
      </c>
      <c r="X5121" t="s">
        <v>44766</v>
      </c>
    </row>
    <row r="5122" spans="1:24">
      <c r="A5122">
        <f>HYPERLINK("https://www.philgeps.gov.ph/GEPSNONPILOT/Tender/SplashBidNoticeAbstractUI.aspx?menuIndex=3&amp;refID=7148460&amp;Result=3","7148460")</f>
        <v>0</v>
      </c>
      <c r="B5122" t="s">
        <v>417</v>
      </c>
      <c r="C5122" t="s">
        <v>8590</v>
      </c>
      <c r="D5122" t="s">
        <v>17966</v>
      </c>
      <c r="E5122" t="s">
        <v>22603</v>
      </c>
      <c r="F5122" t="s">
        <v>30900</v>
      </c>
      <c r="G5122" t="s">
        <v>30908</v>
      </c>
      <c r="H5122" t="s">
        <v>30916</v>
      </c>
      <c r="I5122" t="s">
        <v>8123</v>
      </c>
      <c r="J5122" t="s">
        <v>34443</v>
      </c>
      <c r="K5122" t="s">
        <v>40283</v>
      </c>
      <c r="M5122" t="s">
        <v>40973</v>
      </c>
      <c r="N5122" t="s">
        <v>44759</v>
      </c>
      <c r="O5122" t="s">
        <v>44760</v>
      </c>
      <c r="P5122">
        <v>0</v>
      </c>
      <c r="Q5122">
        <v>0</v>
      </c>
      <c r="R5122" t="s">
        <v>44765</v>
      </c>
      <c r="S5122" t="s">
        <v>44892</v>
      </c>
      <c r="T5122" t="s">
        <v>46700</v>
      </c>
      <c r="U5122" t="s">
        <v>51103</v>
      </c>
      <c r="W5122" t="s">
        <v>40973</v>
      </c>
      <c r="X5122" t="s">
        <v>44766</v>
      </c>
    </row>
    <row r="5123" spans="1:24">
      <c r="A5123">
        <f>HYPERLINK("https://www.philgeps.gov.ph/GEPSNONPILOT/Tender/SplashBidNoticeAbstractUI.aspx?menuIndex=3&amp;refID=7148555&amp;Result=3","7148555")</f>
        <v>0</v>
      </c>
      <c r="B5123" t="s">
        <v>1869</v>
      </c>
      <c r="C5123" t="s">
        <v>8591</v>
      </c>
      <c r="D5123" t="s">
        <v>17986</v>
      </c>
      <c r="E5123" t="s">
        <v>22604</v>
      </c>
      <c r="F5123" t="s">
        <v>30900</v>
      </c>
      <c r="G5123" t="s">
        <v>30907</v>
      </c>
      <c r="H5123" t="s">
        <v>30915</v>
      </c>
      <c r="I5123" t="s">
        <v>30919</v>
      </c>
      <c r="J5123" t="s">
        <v>34444</v>
      </c>
      <c r="K5123" t="s">
        <v>40370</v>
      </c>
      <c r="M5123" t="s">
        <v>42543</v>
      </c>
      <c r="N5123" t="s">
        <v>44759</v>
      </c>
      <c r="O5123" t="s">
        <v>44760</v>
      </c>
      <c r="P5123">
        <v>0</v>
      </c>
      <c r="Q5123">
        <v>0</v>
      </c>
      <c r="R5123" t="s">
        <v>44765</v>
      </c>
      <c r="S5123" t="s">
        <v>44892</v>
      </c>
      <c r="T5123" t="s">
        <v>46421</v>
      </c>
      <c r="U5123" t="s">
        <v>51257</v>
      </c>
      <c r="V5123" t="s">
        <v>59648</v>
      </c>
      <c r="W5123" t="s">
        <v>42543</v>
      </c>
      <c r="X5123" t="s">
        <v>44766</v>
      </c>
    </row>
    <row r="5124" spans="1:24">
      <c r="A5124">
        <f>HYPERLINK("https://www.philgeps.gov.ph/GEPSNONPILOT/Tender/SplashBidNoticeAbstractUI.aspx?menuIndex=3&amp;refID=7148556&amp;Result=3","7148556")</f>
        <v>0</v>
      </c>
      <c r="B5124" t="s">
        <v>1869</v>
      </c>
      <c r="C5124" t="s">
        <v>8592</v>
      </c>
      <c r="D5124" t="s">
        <v>17986</v>
      </c>
      <c r="E5124" t="s">
        <v>22605</v>
      </c>
      <c r="F5124" t="s">
        <v>30900</v>
      </c>
      <c r="G5124" t="s">
        <v>30907</v>
      </c>
      <c r="H5124" t="s">
        <v>30915</v>
      </c>
      <c r="I5124" t="s">
        <v>30919</v>
      </c>
      <c r="J5124" t="s">
        <v>34445</v>
      </c>
      <c r="K5124" t="s">
        <v>40286</v>
      </c>
      <c r="M5124" t="s">
        <v>42543</v>
      </c>
      <c r="N5124" t="s">
        <v>44759</v>
      </c>
      <c r="O5124" t="s">
        <v>44760</v>
      </c>
      <c r="P5124">
        <v>0</v>
      </c>
      <c r="Q5124">
        <v>0</v>
      </c>
      <c r="R5124" t="s">
        <v>44765</v>
      </c>
      <c r="S5124" t="s">
        <v>44892</v>
      </c>
      <c r="T5124" t="s">
        <v>46421</v>
      </c>
      <c r="U5124" t="s">
        <v>51258</v>
      </c>
      <c r="V5124" t="s">
        <v>59648</v>
      </c>
      <c r="W5124" t="s">
        <v>42543</v>
      </c>
      <c r="X5124" t="s">
        <v>44766</v>
      </c>
    </row>
    <row r="5125" spans="1:24">
      <c r="A5125">
        <f>HYPERLINK("https://www.philgeps.gov.ph/GEPSNONPILOT/Tender/SplashBidNoticeAbstractUI.aspx?menuIndex=3&amp;refID=7148554&amp;Result=3","7148554")</f>
        <v>0</v>
      </c>
      <c r="B5125" t="s">
        <v>1870</v>
      </c>
      <c r="C5125" t="s">
        <v>8593</v>
      </c>
      <c r="D5125" t="s">
        <v>17992</v>
      </c>
      <c r="E5125" t="s">
        <v>22606</v>
      </c>
      <c r="F5125" t="s">
        <v>30900</v>
      </c>
      <c r="G5125" t="s">
        <v>30907</v>
      </c>
      <c r="H5125" t="s">
        <v>30915</v>
      </c>
      <c r="I5125" t="s">
        <v>30919</v>
      </c>
      <c r="J5125" t="s">
        <v>31096</v>
      </c>
      <c r="K5125" t="s">
        <v>40327</v>
      </c>
      <c r="M5125" t="s">
        <v>42544</v>
      </c>
      <c r="N5125" t="s">
        <v>44759</v>
      </c>
      <c r="O5125" t="s">
        <v>44760</v>
      </c>
      <c r="P5125">
        <v>0</v>
      </c>
      <c r="Q5125">
        <v>0</v>
      </c>
      <c r="R5125" t="s">
        <v>44765</v>
      </c>
      <c r="S5125" t="s">
        <v>44892</v>
      </c>
      <c r="T5125" t="s">
        <v>46357</v>
      </c>
      <c r="U5125" t="s">
        <v>51259</v>
      </c>
      <c r="W5125" t="s">
        <v>42544</v>
      </c>
      <c r="X5125" t="s">
        <v>44766</v>
      </c>
    </row>
    <row r="5126" spans="1:24">
      <c r="A5126">
        <f>HYPERLINK("https://www.philgeps.gov.ph/GEPSNONPILOT/Tender/SplashBidNoticeAbstractUI.aspx?menuIndex=3&amp;refID=7148426&amp;Result=3","7148426")</f>
        <v>0</v>
      </c>
      <c r="B5126" t="s">
        <v>1850</v>
      </c>
      <c r="C5126" t="s">
        <v>8484</v>
      </c>
      <c r="D5126" t="s">
        <v>18025</v>
      </c>
      <c r="E5126" t="s">
        <v>22607</v>
      </c>
      <c r="F5126" t="s">
        <v>30900</v>
      </c>
      <c r="G5126" t="s">
        <v>30908</v>
      </c>
      <c r="H5126" t="s">
        <v>30916</v>
      </c>
      <c r="I5126" t="s">
        <v>8123</v>
      </c>
      <c r="J5126" t="s">
        <v>34446</v>
      </c>
      <c r="K5126" t="s">
        <v>40287</v>
      </c>
      <c r="M5126" t="s">
        <v>42522</v>
      </c>
      <c r="N5126" t="s">
        <v>44759</v>
      </c>
      <c r="O5126" t="s">
        <v>44760</v>
      </c>
      <c r="P5126">
        <v>0</v>
      </c>
      <c r="Q5126">
        <v>0</v>
      </c>
      <c r="R5126" t="s">
        <v>44765</v>
      </c>
      <c r="S5126" t="s">
        <v>44892</v>
      </c>
      <c r="T5126" t="s">
        <v>46625</v>
      </c>
      <c r="U5126" t="s">
        <v>51260</v>
      </c>
      <c r="W5126" t="s">
        <v>42522</v>
      </c>
      <c r="X5126" t="s">
        <v>44766</v>
      </c>
    </row>
    <row r="5127" spans="1:24">
      <c r="A5127">
        <f>HYPERLINK("https://www.philgeps.gov.ph/GEPSNONPILOT/Tender/SplashBidNoticeAbstractUI.aspx?menuIndex=3&amp;refID=7148549&amp;Result=3","7148549")</f>
        <v>0</v>
      </c>
      <c r="B5127" t="s">
        <v>1870</v>
      </c>
      <c r="C5127" t="s">
        <v>4545</v>
      </c>
      <c r="D5127" t="s">
        <v>17992</v>
      </c>
      <c r="E5127" t="s">
        <v>22608</v>
      </c>
      <c r="F5127" t="s">
        <v>30900</v>
      </c>
      <c r="G5127" t="s">
        <v>30908</v>
      </c>
      <c r="H5127" t="s">
        <v>30916</v>
      </c>
      <c r="I5127" t="s">
        <v>4545</v>
      </c>
      <c r="J5127" t="s">
        <v>31182</v>
      </c>
      <c r="K5127" t="s">
        <v>40287</v>
      </c>
      <c r="M5127" t="s">
        <v>42544</v>
      </c>
      <c r="N5127" t="s">
        <v>44759</v>
      </c>
      <c r="O5127" t="s">
        <v>44760</v>
      </c>
      <c r="P5127">
        <v>0</v>
      </c>
      <c r="Q5127">
        <v>4</v>
      </c>
      <c r="R5127" t="s">
        <v>44765</v>
      </c>
      <c r="S5127" t="s">
        <v>44892</v>
      </c>
      <c r="T5127" t="s">
        <v>46625</v>
      </c>
      <c r="U5127" t="s">
        <v>51261</v>
      </c>
      <c r="W5127" t="s">
        <v>42544</v>
      </c>
      <c r="X5127" t="s">
        <v>44766</v>
      </c>
    </row>
    <row r="5128" spans="1:24">
      <c r="A5128">
        <f>HYPERLINK("https://www.philgeps.gov.ph/GEPSNONPILOT/Tender/SplashBidNoticeAbstractUI.aspx?menuIndex=3&amp;refID=7148546&amp;Result=3","7148546")</f>
        <v>0</v>
      </c>
      <c r="B5128" t="s">
        <v>1871</v>
      </c>
      <c r="C5128" t="s">
        <v>8594</v>
      </c>
      <c r="D5128" t="s">
        <v>18016</v>
      </c>
      <c r="E5128" t="s">
        <v>22609</v>
      </c>
      <c r="F5128" t="s">
        <v>30900</v>
      </c>
      <c r="G5128" t="s">
        <v>30909</v>
      </c>
      <c r="H5128" t="s">
        <v>30916</v>
      </c>
      <c r="I5128" t="s">
        <v>30923</v>
      </c>
      <c r="J5128" t="s">
        <v>34447</v>
      </c>
      <c r="K5128" t="s">
        <v>40283</v>
      </c>
      <c r="M5128" t="s">
        <v>42545</v>
      </c>
      <c r="N5128" t="s">
        <v>44759</v>
      </c>
      <c r="O5128" t="s">
        <v>44760</v>
      </c>
      <c r="P5128">
        <v>0</v>
      </c>
      <c r="Q5128">
        <v>3</v>
      </c>
      <c r="R5128" t="s">
        <v>44765</v>
      </c>
      <c r="S5128" t="s">
        <v>44892</v>
      </c>
      <c r="T5128" t="s">
        <v>46391</v>
      </c>
      <c r="U5128" t="s">
        <v>51262</v>
      </c>
      <c r="V5128" t="s">
        <v>59649</v>
      </c>
      <c r="W5128" t="s">
        <v>42545</v>
      </c>
      <c r="X5128" t="s">
        <v>44766</v>
      </c>
    </row>
    <row r="5129" spans="1:24">
      <c r="A5129">
        <f>HYPERLINK("https://www.philgeps.gov.ph/GEPSNONPILOT/Tender/SplashBidNoticeAbstractUI.aspx?menuIndex=3&amp;refID=7148545&amp;Result=3","7148545")</f>
        <v>0</v>
      </c>
      <c r="B5129" t="s">
        <v>1872</v>
      </c>
      <c r="C5129" t="s">
        <v>8595</v>
      </c>
      <c r="D5129" t="s">
        <v>17999</v>
      </c>
      <c r="E5129" t="s">
        <v>22610</v>
      </c>
      <c r="F5129" t="s">
        <v>30900</v>
      </c>
      <c r="G5129" t="s">
        <v>30908</v>
      </c>
      <c r="H5129" t="s">
        <v>30916</v>
      </c>
      <c r="I5129" t="s">
        <v>30940</v>
      </c>
      <c r="J5129" t="s">
        <v>34448</v>
      </c>
      <c r="K5129" t="s">
        <v>40285</v>
      </c>
      <c r="M5129" t="s">
        <v>42546</v>
      </c>
      <c r="N5129" t="s">
        <v>44759</v>
      </c>
      <c r="O5129" t="s">
        <v>44760</v>
      </c>
      <c r="P5129">
        <v>0</v>
      </c>
      <c r="Q5129">
        <v>2</v>
      </c>
      <c r="R5129" t="s">
        <v>44765</v>
      </c>
      <c r="S5129" t="s">
        <v>44892</v>
      </c>
      <c r="T5129" t="s">
        <v>46383</v>
      </c>
      <c r="U5129" t="s">
        <v>51263</v>
      </c>
      <c r="W5129" t="s">
        <v>42546</v>
      </c>
      <c r="X5129" t="s">
        <v>44766</v>
      </c>
    </row>
    <row r="5130" spans="1:24">
      <c r="A5130">
        <f>HYPERLINK("https://www.philgeps.gov.ph/GEPSNONPILOT/Tender/SplashBidNoticeAbstractUI.aspx?menuIndex=3&amp;refID=7148544&amp;Result=3","7148544")</f>
        <v>0</v>
      </c>
      <c r="B5130" t="s">
        <v>1873</v>
      </c>
      <c r="C5130" t="s">
        <v>8596</v>
      </c>
      <c r="D5130" t="s">
        <v>17962</v>
      </c>
      <c r="E5130" t="s">
        <v>22611</v>
      </c>
      <c r="F5130" t="s">
        <v>30900</v>
      </c>
      <c r="G5130" t="s">
        <v>30907</v>
      </c>
      <c r="H5130" t="s">
        <v>30916</v>
      </c>
      <c r="I5130" t="s">
        <v>5830</v>
      </c>
      <c r="J5130" t="s">
        <v>34449</v>
      </c>
      <c r="K5130" t="s">
        <v>40283</v>
      </c>
      <c r="M5130" t="s">
        <v>42547</v>
      </c>
      <c r="N5130" t="s">
        <v>44759</v>
      </c>
      <c r="O5130" t="s">
        <v>44760</v>
      </c>
      <c r="Q5130">
        <v>6</v>
      </c>
      <c r="R5130" t="s">
        <v>44765</v>
      </c>
      <c r="S5130" t="s">
        <v>44901</v>
      </c>
      <c r="T5130" t="s">
        <v>46428</v>
      </c>
      <c r="U5130" t="s">
        <v>51264</v>
      </c>
      <c r="W5130" t="s">
        <v>42547</v>
      </c>
      <c r="X5130" t="s">
        <v>44766</v>
      </c>
    </row>
    <row r="5131" spans="1:24">
      <c r="A5131">
        <f>HYPERLINK("https://www.philgeps.gov.ph/GEPSNONPILOT/Tender/SplashBidNoticeAbstractUI.aspx?menuIndex=3&amp;refID=7148543&amp;Result=3","7148543")</f>
        <v>0</v>
      </c>
      <c r="B5131" t="s">
        <v>1872</v>
      </c>
      <c r="C5131" t="s">
        <v>8597</v>
      </c>
      <c r="D5131" t="s">
        <v>17999</v>
      </c>
      <c r="E5131" t="s">
        <v>22612</v>
      </c>
      <c r="F5131" t="s">
        <v>30900</v>
      </c>
      <c r="G5131" t="s">
        <v>30908</v>
      </c>
      <c r="H5131" t="s">
        <v>30916</v>
      </c>
      <c r="I5131" t="s">
        <v>30940</v>
      </c>
      <c r="J5131" t="s">
        <v>34450</v>
      </c>
      <c r="K5131" t="s">
        <v>40285</v>
      </c>
      <c r="M5131" t="s">
        <v>42546</v>
      </c>
      <c r="N5131" t="s">
        <v>44759</v>
      </c>
      <c r="O5131" t="s">
        <v>44760</v>
      </c>
      <c r="P5131">
        <v>0</v>
      </c>
      <c r="Q5131">
        <v>2</v>
      </c>
      <c r="R5131" t="s">
        <v>44765</v>
      </c>
      <c r="S5131" t="s">
        <v>44892</v>
      </c>
      <c r="T5131" t="s">
        <v>46383</v>
      </c>
      <c r="U5131" t="s">
        <v>51265</v>
      </c>
      <c r="W5131" t="s">
        <v>42546</v>
      </c>
      <c r="X5131" t="s">
        <v>44766</v>
      </c>
    </row>
    <row r="5132" spans="1:24">
      <c r="A5132">
        <f>HYPERLINK("https://www.philgeps.gov.ph/GEPSNONPILOT/Tender/SplashBidNoticeAbstractUI.aspx?menuIndex=3&amp;refID=7148541&amp;Result=3","7148541")</f>
        <v>0</v>
      </c>
      <c r="B5132" t="s">
        <v>679</v>
      </c>
      <c r="C5132" t="s">
        <v>8598</v>
      </c>
      <c r="D5132" t="s">
        <v>17993</v>
      </c>
      <c r="E5132" t="s">
        <v>22613</v>
      </c>
      <c r="F5132" t="s">
        <v>30900</v>
      </c>
      <c r="G5132" t="s">
        <v>30908</v>
      </c>
      <c r="H5132" t="s">
        <v>30916</v>
      </c>
      <c r="I5132" t="s">
        <v>4545</v>
      </c>
      <c r="J5132" t="s">
        <v>31204</v>
      </c>
      <c r="K5132" t="s">
        <v>40283</v>
      </c>
      <c r="M5132" t="s">
        <v>41242</v>
      </c>
      <c r="N5132" t="s">
        <v>44759</v>
      </c>
      <c r="O5132" t="s">
        <v>44760</v>
      </c>
      <c r="P5132">
        <v>0</v>
      </c>
      <c r="Q5132">
        <v>1</v>
      </c>
      <c r="R5132" t="s">
        <v>44765</v>
      </c>
      <c r="S5132" t="s">
        <v>44892</v>
      </c>
      <c r="T5132" t="s">
        <v>46398</v>
      </c>
      <c r="U5132" t="s">
        <v>51266</v>
      </c>
      <c r="W5132" t="s">
        <v>41242</v>
      </c>
      <c r="X5132" t="s">
        <v>44766</v>
      </c>
    </row>
    <row r="5133" spans="1:24">
      <c r="A5133">
        <f>HYPERLINK("https://www.philgeps.gov.ph/GEPSNONPILOT/Tender/SplashBidNoticeAbstractUI.aspx?menuIndex=3&amp;refID=7148539&amp;Result=3","7148539")</f>
        <v>0</v>
      </c>
      <c r="B5133" t="s">
        <v>1775</v>
      </c>
      <c r="C5133" t="s">
        <v>8599</v>
      </c>
      <c r="D5133" t="s">
        <v>18014</v>
      </c>
      <c r="E5133" t="s">
        <v>22614</v>
      </c>
      <c r="F5133" t="s">
        <v>30900</v>
      </c>
      <c r="G5133" t="s">
        <v>30907</v>
      </c>
      <c r="H5133" t="s">
        <v>30915</v>
      </c>
      <c r="I5133" t="s">
        <v>30919</v>
      </c>
      <c r="J5133" t="s">
        <v>31069</v>
      </c>
      <c r="K5133" t="s">
        <v>40354</v>
      </c>
      <c r="M5133" t="s">
        <v>42448</v>
      </c>
      <c r="N5133" t="s">
        <v>44759</v>
      </c>
      <c r="O5133" t="s">
        <v>44760</v>
      </c>
      <c r="P5133">
        <v>0</v>
      </c>
      <c r="Q5133">
        <v>0</v>
      </c>
      <c r="R5133" t="s">
        <v>44765</v>
      </c>
      <c r="S5133" t="s">
        <v>44892</v>
      </c>
      <c r="T5133" t="s">
        <v>46519</v>
      </c>
      <c r="U5133" t="s">
        <v>51267</v>
      </c>
      <c r="W5133" t="s">
        <v>42448</v>
      </c>
      <c r="X5133" t="s">
        <v>44766</v>
      </c>
    </row>
    <row r="5134" spans="1:24">
      <c r="A5134">
        <f>HYPERLINK("https://www.philgeps.gov.ph/GEPSNONPILOT/Tender/SplashBidNoticeAbstractUI.aspx?menuIndex=3&amp;refID=7148538&amp;Result=3","7148538")</f>
        <v>0</v>
      </c>
      <c r="B5134" t="s">
        <v>1872</v>
      </c>
      <c r="C5134" t="s">
        <v>8600</v>
      </c>
      <c r="D5134" t="s">
        <v>17999</v>
      </c>
      <c r="E5134" t="s">
        <v>22615</v>
      </c>
      <c r="F5134" t="s">
        <v>30900</v>
      </c>
      <c r="G5134" t="s">
        <v>30908</v>
      </c>
      <c r="H5134" t="s">
        <v>30916</v>
      </c>
      <c r="I5134" t="s">
        <v>30940</v>
      </c>
      <c r="J5134" t="s">
        <v>34451</v>
      </c>
      <c r="K5134" t="s">
        <v>40285</v>
      </c>
      <c r="M5134" t="s">
        <v>42546</v>
      </c>
      <c r="N5134" t="s">
        <v>44759</v>
      </c>
      <c r="O5134" t="s">
        <v>44760</v>
      </c>
      <c r="P5134">
        <v>0</v>
      </c>
      <c r="Q5134">
        <v>2</v>
      </c>
      <c r="R5134" t="s">
        <v>44765</v>
      </c>
      <c r="S5134" t="s">
        <v>44892</v>
      </c>
      <c r="T5134" t="s">
        <v>46383</v>
      </c>
      <c r="U5134" t="s">
        <v>51268</v>
      </c>
      <c r="W5134" t="s">
        <v>42546</v>
      </c>
      <c r="X5134" t="s">
        <v>44766</v>
      </c>
    </row>
    <row r="5135" spans="1:24">
      <c r="A5135">
        <f>HYPERLINK("https://www.philgeps.gov.ph/GEPSNONPILOT/Tender/SplashBidNoticeAbstractUI.aspx?menuIndex=3&amp;refID=7148548&amp;Result=3","7148548")</f>
        <v>0</v>
      </c>
      <c r="B5135" t="s">
        <v>1869</v>
      </c>
      <c r="C5135" t="s">
        <v>8601</v>
      </c>
      <c r="D5135" t="s">
        <v>17986</v>
      </c>
      <c r="E5135" t="s">
        <v>22616</v>
      </c>
      <c r="F5135" t="s">
        <v>30900</v>
      </c>
      <c r="G5135" t="s">
        <v>30907</v>
      </c>
      <c r="H5135" t="s">
        <v>30915</v>
      </c>
      <c r="I5135" t="s">
        <v>30919</v>
      </c>
      <c r="J5135" t="s">
        <v>34452</v>
      </c>
      <c r="K5135" t="s">
        <v>40286</v>
      </c>
      <c r="M5135" t="s">
        <v>42543</v>
      </c>
      <c r="N5135" t="s">
        <v>44759</v>
      </c>
      <c r="O5135" t="s">
        <v>44760</v>
      </c>
      <c r="P5135">
        <v>0</v>
      </c>
      <c r="Q5135">
        <v>0</v>
      </c>
      <c r="R5135" t="s">
        <v>44765</v>
      </c>
      <c r="S5135" t="s">
        <v>44892</v>
      </c>
      <c r="T5135" t="s">
        <v>46421</v>
      </c>
      <c r="U5135" t="s">
        <v>51269</v>
      </c>
      <c r="V5135" t="s">
        <v>59648</v>
      </c>
      <c r="W5135" t="s">
        <v>42543</v>
      </c>
      <c r="X5135" t="s">
        <v>44766</v>
      </c>
    </row>
    <row r="5136" spans="1:24">
      <c r="A5136">
        <f>HYPERLINK("https://www.philgeps.gov.ph/GEPSNONPILOT/Tender/SplashBidNoticeAbstractUI.aspx?menuIndex=3&amp;refID=7148557&amp;Result=3","7148557")</f>
        <v>0</v>
      </c>
      <c r="B5136" t="s">
        <v>1869</v>
      </c>
      <c r="C5136" t="s">
        <v>8602</v>
      </c>
      <c r="D5136" t="s">
        <v>17986</v>
      </c>
      <c r="E5136" t="s">
        <v>22617</v>
      </c>
      <c r="F5136" t="s">
        <v>30900</v>
      </c>
      <c r="G5136" t="s">
        <v>30907</v>
      </c>
      <c r="H5136" t="s">
        <v>30915</v>
      </c>
      <c r="I5136" t="s">
        <v>30919</v>
      </c>
      <c r="J5136" t="s">
        <v>34453</v>
      </c>
      <c r="K5136" t="s">
        <v>40286</v>
      </c>
      <c r="M5136" t="s">
        <v>42543</v>
      </c>
      <c r="N5136" t="s">
        <v>44759</v>
      </c>
      <c r="O5136" t="s">
        <v>44760</v>
      </c>
      <c r="P5136">
        <v>0</v>
      </c>
      <c r="Q5136">
        <v>0</v>
      </c>
      <c r="R5136" t="s">
        <v>44765</v>
      </c>
      <c r="S5136" t="s">
        <v>44892</v>
      </c>
      <c r="T5136" t="s">
        <v>46421</v>
      </c>
      <c r="U5136" t="s">
        <v>51270</v>
      </c>
      <c r="V5136" t="s">
        <v>59648</v>
      </c>
      <c r="W5136" t="s">
        <v>42543</v>
      </c>
      <c r="X5136" t="s">
        <v>44766</v>
      </c>
    </row>
    <row r="5137" spans="1:24">
      <c r="A5137">
        <f>HYPERLINK("https://www.philgeps.gov.ph/GEPSNONPILOT/Tender/SplashBidNoticeAbstractUI.aspx?menuIndex=3&amp;refID=7148560&amp;Result=3","7148560")</f>
        <v>0</v>
      </c>
      <c r="B5137" t="s">
        <v>1874</v>
      </c>
      <c r="C5137" t="s">
        <v>8603</v>
      </c>
      <c r="D5137" t="s">
        <v>17955</v>
      </c>
      <c r="E5137" t="s">
        <v>22618</v>
      </c>
      <c r="F5137" t="s">
        <v>30900</v>
      </c>
      <c r="G5137" t="s">
        <v>30907</v>
      </c>
      <c r="H5137" t="s">
        <v>30915</v>
      </c>
      <c r="I5137" t="s">
        <v>30919</v>
      </c>
      <c r="J5137" t="s">
        <v>34454</v>
      </c>
      <c r="K5137" t="s">
        <v>40346</v>
      </c>
      <c r="M5137" t="s">
        <v>42548</v>
      </c>
      <c r="N5137" t="s">
        <v>44759</v>
      </c>
      <c r="O5137" t="s">
        <v>44760</v>
      </c>
      <c r="P5137">
        <v>0</v>
      </c>
      <c r="Q5137">
        <v>0</v>
      </c>
      <c r="R5137" t="s">
        <v>44765</v>
      </c>
      <c r="S5137" t="s">
        <v>44892</v>
      </c>
      <c r="T5137" t="s">
        <v>46421</v>
      </c>
      <c r="U5137" t="s">
        <v>51271</v>
      </c>
      <c r="W5137" t="s">
        <v>42548</v>
      </c>
      <c r="X5137" t="s">
        <v>44766</v>
      </c>
    </row>
    <row r="5138" spans="1:24">
      <c r="A5138">
        <f>HYPERLINK("https://www.philgeps.gov.ph/GEPSNONPILOT/Tender/SplashBidNoticeAbstractUI.aspx?menuIndex=3&amp;refID=7126069-2&amp;Result=3","7126069-2")</f>
        <v>0</v>
      </c>
      <c r="B5138" t="s">
        <v>1875</v>
      </c>
      <c r="C5138" t="s">
        <v>8604</v>
      </c>
      <c r="D5138" t="s">
        <v>17955</v>
      </c>
      <c r="E5138" t="s">
        <v>22619</v>
      </c>
      <c r="F5138" t="s">
        <v>30900</v>
      </c>
      <c r="G5138" t="s">
        <v>30907</v>
      </c>
      <c r="H5138" t="s">
        <v>7411</v>
      </c>
      <c r="I5138" t="s">
        <v>7411</v>
      </c>
      <c r="J5138" t="s">
        <v>34455</v>
      </c>
      <c r="K5138" t="s">
        <v>40395</v>
      </c>
      <c r="M5138" t="s">
        <v>42549</v>
      </c>
      <c r="N5138" t="s">
        <v>44759</v>
      </c>
      <c r="O5138" t="s">
        <v>44760</v>
      </c>
      <c r="P5138">
        <v>0</v>
      </c>
      <c r="Q5138">
        <v>2</v>
      </c>
      <c r="R5138" t="s">
        <v>44766</v>
      </c>
      <c r="S5138" t="s">
        <v>44902</v>
      </c>
      <c r="T5138" t="s">
        <v>46428</v>
      </c>
      <c r="U5138" t="s">
        <v>51272</v>
      </c>
      <c r="V5138" t="s">
        <v>59650</v>
      </c>
      <c r="W5138" t="s">
        <v>42549</v>
      </c>
      <c r="X5138" t="s">
        <v>44767</v>
      </c>
    </row>
    <row r="5139" spans="1:24">
      <c r="A5139">
        <f>HYPERLINK("https://www.philgeps.gov.ph/GEPSNONPILOT/Tender/SplashBidNoticeAbstractUI.aspx?menuIndex=3&amp;refID=7148540&amp;Result=3","7148540")</f>
        <v>0</v>
      </c>
      <c r="B5139" t="s">
        <v>1871</v>
      </c>
      <c r="C5139" t="s">
        <v>8605</v>
      </c>
      <c r="D5139" t="s">
        <v>18016</v>
      </c>
      <c r="E5139" t="s">
        <v>22620</v>
      </c>
      <c r="F5139" t="s">
        <v>30900</v>
      </c>
      <c r="G5139" t="s">
        <v>30909</v>
      </c>
      <c r="H5139" t="s">
        <v>30916</v>
      </c>
      <c r="I5139" t="s">
        <v>10602</v>
      </c>
      <c r="J5139" t="s">
        <v>32204</v>
      </c>
      <c r="K5139" t="s">
        <v>40311</v>
      </c>
      <c r="M5139" t="s">
        <v>42545</v>
      </c>
      <c r="N5139" t="s">
        <v>44759</v>
      </c>
      <c r="O5139" t="s">
        <v>44760</v>
      </c>
      <c r="P5139">
        <v>0</v>
      </c>
      <c r="Q5139">
        <v>0</v>
      </c>
      <c r="R5139" t="s">
        <v>44765</v>
      </c>
      <c r="S5139" t="s">
        <v>44892</v>
      </c>
      <c r="T5139" t="s">
        <v>46391</v>
      </c>
      <c r="U5139" t="s">
        <v>51273</v>
      </c>
      <c r="V5139" t="s">
        <v>59651</v>
      </c>
      <c r="W5139" t="s">
        <v>42545</v>
      </c>
      <c r="X5139" t="s">
        <v>44766</v>
      </c>
    </row>
    <row r="5140" spans="1:24">
      <c r="A5140">
        <f>HYPERLINK("https://www.philgeps.gov.ph/GEPSNONPILOT/Tender/SplashBidNoticeAbstractUI.aspx?menuIndex=3&amp;refID=7123159&amp;Result=3","7123159")</f>
        <v>0</v>
      </c>
      <c r="B5140" t="s">
        <v>1876</v>
      </c>
      <c r="C5140" t="s">
        <v>4074</v>
      </c>
      <c r="E5140" t="s">
        <v>22621</v>
      </c>
      <c r="F5140" t="s">
        <v>30900</v>
      </c>
      <c r="G5140" t="s">
        <v>30907</v>
      </c>
      <c r="H5140" t="s">
        <v>30915</v>
      </c>
      <c r="I5140" t="s">
        <v>30932</v>
      </c>
      <c r="J5140" t="s">
        <v>31096</v>
      </c>
      <c r="K5140" t="s">
        <v>40289</v>
      </c>
      <c r="M5140" t="s">
        <v>42550</v>
      </c>
      <c r="N5140" t="s">
        <v>44759</v>
      </c>
      <c r="O5140" t="s">
        <v>44760</v>
      </c>
      <c r="P5140">
        <v>0</v>
      </c>
      <c r="Q5140">
        <v>0</v>
      </c>
      <c r="R5140" t="s">
        <v>44766</v>
      </c>
      <c r="S5140" t="s">
        <v>44902</v>
      </c>
      <c r="T5140" t="s">
        <v>46651</v>
      </c>
      <c r="U5140" t="s">
        <v>51274</v>
      </c>
      <c r="W5140" t="s">
        <v>42550</v>
      </c>
      <c r="X5140" t="s">
        <v>44776</v>
      </c>
    </row>
    <row r="5141" spans="1:24">
      <c r="A5141">
        <f>HYPERLINK("https://www.philgeps.gov.ph/GEPSNONPILOT/Tender/SplashBidNoticeAbstractUI.aspx?menuIndex=3&amp;refID=7148552&amp;Result=3","7148552")</f>
        <v>0</v>
      </c>
      <c r="B5141" t="s">
        <v>1869</v>
      </c>
      <c r="C5141" t="s">
        <v>8606</v>
      </c>
      <c r="D5141" t="s">
        <v>17986</v>
      </c>
      <c r="E5141" t="s">
        <v>22622</v>
      </c>
      <c r="F5141" t="s">
        <v>30900</v>
      </c>
      <c r="G5141" t="s">
        <v>30907</v>
      </c>
      <c r="H5141" t="s">
        <v>30915</v>
      </c>
      <c r="I5141" t="s">
        <v>30919</v>
      </c>
      <c r="J5141" t="s">
        <v>34456</v>
      </c>
      <c r="K5141" t="s">
        <v>40308</v>
      </c>
      <c r="M5141" t="s">
        <v>42543</v>
      </c>
      <c r="N5141" t="s">
        <v>44759</v>
      </c>
      <c r="O5141" t="s">
        <v>44760</v>
      </c>
      <c r="P5141">
        <v>0</v>
      </c>
      <c r="Q5141">
        <v>0</v>
      </c>
      <c r="R5141" t="s">
        <v>44765</v>
      </c>
      <c r="S5141" t="s">
        <v>44892</v>
      </c>
      <c r="T5141" t="s">
        <v>46421</v>
      </c>
      <c r="U5141" t="s">
        <v>51275</v>
      </c>
      <c r="V5141" t="s">
        <v>59648</v>
      </c>
      <c r="W5141" t="s">
        <v>42543</v>
      </c>
      <c r="X5141" t="s">
        <v>44766</v>
      </c>
    </row>
    <row r="5142" spans="1:24">
      <c r="A5142">
        <f>HYPERLINK("https://www.philgeps.gov.ph/GEPSNONPILOT/Tender/SplashBidNoticeAbstractUI.aspx?menuIndex=3&amp;refID=7126128-2&amp;Result=3","7126128-2")</f>
        <v>0</v>
      </c>
      <c r="B5142" t="s">
        <v>1875</v>
      </c>
      <c r="C5142" t="s">
        <v>8607</v>
      </c>
      <c r="D5142" t="s">
        <v>17955</v>
      </c>
      <c r="E5142" t="s">
        <v>22623</v>
      </c>
      <c r="F5142" t="s">
        <v>30900</v>
      </c>
      <c r="G5142" t="s">
        <v>30907</v>
      </c>
      <c r="H5142" t="s">
        <v>7411</v>
      </c>
      <c r="I5142" t="s">
        <v>7411</v>
      </c>
      <c r="J5142" t="s">
        <v>34457</v>
      </c>
      <c r="K5142" t="s">
        <v>40342</v>
      </c>
      <c r="M5142" t="s">
        <v>42549</v>
      </c>
      <c r="N5142" t="s">
        <v>44759</v>
      </c>
      <c r="O5142" t="s">
        <v>44760</v>
      </c>
      <c r="P5142">
        <v>0</v>
      </c>
      <c r="Q5142">
        <v>0</v>
      </c>
      <c r="R5142" t="s">
        <v>44766</v>
      </c>
      <c r="S5142" t="s">
        <v>44902</v>
      </c>
      <c r="T5142" t="s">
        <v>46428</v>
      </c>
      <c r="U5142" t="s">
        <v>51276</v>
      </c>
      <c r="V5142" t="s">
        <v>59652</v>
      </c>
      <c r="W5142" t="s">
        <v>42549</v>
      </c>
      <c r="X5142" t="s">
        <v>44767</v>
      </c>
    </row>
    <row r="5143" spans="1:24">
      <c r="A5143">
        <f>HYPERLINK("https://www.philgeps.gov.ph/GEPSNONPILOT/Tender/SplashBidNoticeAbstractUI.aspx?menuIndex=3&amp;refID=7126118-2&amp;Result=3","7126118-2")</f>
        <v>0</v>
      </c>
      <c r="B5143" t="s">
        <v>1875</v>
      </c>
      <c r="C5143" t="s">
        <v>8608</v>
      </c>
      <c r="D5143" t="s">
        <v>17955</v>
      </c>
      <c r="E5143" t="s">
        <v>22624</v>
      </c>
      <c r="F5143" t="s">
        <v>30900</v>
      </c>
      <c r="G5143" t="s">
        <v>30907</v>
      </c>
      <c r="H5143" t="s">
        <v>7411</v>
      </c>
      <c r="I5143" t="s">
        <v>7411</v>
      </c>
      <c r="J5143" t="s">
        <v>34458</v>
      </c>
      <c r="K5143" t="s">
        <v>40387</v>
      </c>
      <c r="M5143" t="s">
        <v>42549</v>
      </c>
      <c r="N5143" t="s">
        <v>44759</v>
      </c>
      <c r="O5143" t="s">
        <v>44760</v>
      </c>
      <c r="P5143">
        <v>0</v>
      </c>
      <c r="Q5143">
        <v>0</v>
      </c>
      <c r="R5143" t="s">
        <v>44766</v>
      </c>
      <c r="S5143" t="s">
        <v>44902</v>
      </c>
      <c r="T5143" t="s">
        <v>46428</v>
      </c>
      <c r="U5143" t="s">
        <v>51277</v>
      </c>
      <c r="V5143" t="s">
        <v>59652</v>
      </c>
      <c r="W5143" t="s">
        <v>42549</v>
      </c>
      <c r="X5143" t="s">
        <v>44767</v>
      </c>
    </row>
    <row r="5144" spans="1:24">
      <c r="A5144">
        <f>HYPERLINK("https://www.philgeps.gov.ph/GEPSNONPILOT/Tender/SplashBidNoticeAbstractUI.aspx?menuIndex=3&amp;refID=7117273&amp;Result=3","7117273")</f>
        <v>0</v>
      </c>
      <c r="B5144" t="s">
        <v>1877</v>
      </c>
      <c r="C5144" t="s">
        <v>8609</v>
      </c>
      <c r="D5144" t="s">
        <v>18005</v>
      </c>
      <c r="E5144" t="s">
        <v>22625</v>
      </c>
      <c r="F5144" t="s">
        <v>30900</v>
      </c>
      <c r="G5144" t="s">
        <v>30912</v>
      </c>
      <c r="H5144" t="s">
        <v>30916</v>
      </c>
      <c r="I5144" t="s">
        <v>4017</v>
      </c>
      <c r="J5144" t="s">
        <v>31686</v>
      </c>
      <c r="K5144" t="s">
        <v>40289</v>
      </c>
      <c r="M5144" t="s">
        <v>42551</v>
      </c>
      <c r="N5144" t="s">
        <v>44759</v>
      </c>
      <c r="O5144" t="s">
        <v>44760</v>
      </c>
      <c r="P5144">
        <v>0</v>
      </c>
      <c r="Q5144">
        <v>7</v>
      </c>
      <c r="R5144" t="s">
        <v>44766</v>
      </c>
      <c r="S5144" t="s">
        <v>44902</v>
      </c>
      <c r="T5144" t="s">
        <v>46383</v>
      </c>
      <c r="U5144" t="s">
        <v>51278</v>
      </c>
      <c r="W5144" t="s">
        <v>42551</v>
      </c>
      <c r="X5144" t="s">
        <v>44780</v>
      </c>
    </row>
    <row r="5145" spans="1:24">
      <c r="A5145">
        <f>HYPERLINK("https://www.philgeps.gov.ph/GEPSNONPILOT/Tender/SplashBidNoticeAbstractUI.aspx?menuIndex=3&amp;refID=7137592&amp;Result=3","7137592")</f>
        <v>0</v>
      </c>
      <c r="B5145" t="s">
        <v>115</v>
      </c>
      <c r="C5145" t="s">
        <v>8610</v>
      </c>
      <c r="D5145" t="s">
        <v>17960</v>
      </c>
      <c r="E5145" t="s">
        <v>22626</v>
      </c>
      <c r="F5145" t="s">
        <v>30900</v>
      </c>
      <c r="G5145" t="s">
        <v>30907</v>
      </c>
      <c r="H5145" t="s">
        <v>30915</v>
      </c>
      <c r="I5145" t="s">
        <v>30919</v>
      </c>
      <c r="J5145" t="s">
        <v>32967</v>
      </c>
      <c r="K5145" t="s">
        <v>40304</v>
      </c>
      <c r="M5145" t="s">
        <v>40662</v>
      </c>
      <c r="N5145" t="s">
        <v>44759</v>
      </c>
      <c r="O5145" t="s">
        <v>44760</v>
      </c>
      <c r="P5145">
        <v>0</v>
      </c>
      <c r="Q5145">
        <v>1</v>
      </c>
      <c r="R5145" t="s">
        <v>44766</v>
      </c>
      <c r="S5145" t="s">
        <v>44902</v>
      </c>
      <c r="T5145" t="s">
        <v>46380</v>
      </c>
      <c r="U5145" t="s">
        <v>51279</v>
      </c>
      <c r="V5145" t="s">
        <v>59653</v>
      </c>
      <c r="W5145" t="s">
        <v>40662</v>
      </c>
      <c r="X5145" t="s">
        <v>44770</v>
      </c>
    </row>
    <row r="5146" spans="1:24">
      <c r="A5146">
        <f>HYPERLINK("https://www.philgeps.gov.ph/GEPSNONPILOT/Tender/SplashBidNoticeAbstractUI.aspx?menuIndex=3&amp;refID=7148559&amp;Result=3","7148559")</f>
        <v>0</v>
      </c>
      <c r="B5146" t="s">
        <v>1878</v>
      </c>
      <c r="C5146" t="s">
        <v>8611</v>
      </c>
      <c r="D5146" t="s">
        <v>17978</v>
      </c>
      <c r="E5146" t="s">
        <v>22627</v>
      </c>
      <c r="F5146" t="s">
        <v>30900</v>
      </c>
      <c r="G5146" t="s">
        <v>30907</v>
      </c>
      <c r="H5146" t="s">
        <v>30915</v>
      </c>
      <c r="I5146" t="s">
        <v>30919</v>
      </c>
      <c r="J5146" t="s">
        <v>31048</v>
      </c>
      <c r="K5146" t="s">
        <v>40294</v>
      </c>
      <c r="M5146" t="s">
        <v>42552</v>
      </c>
      <c r="N5146" t="s">
        <v>44759</v>
      </c>
      <c r="O5146" t="s">
        <v>44760</v>
      </c>
      <c r="P5146">
        <v>0</v>
      </c>
      <c r="Q5146">
        <v>0</v>
      </c>
      <c r="R5146" t="s">
        <v>44765</v>
      </c>
      <c r="S5146" t="s">
        <v>44892</v>
      </c>
      <c r="T5146" t="s">
        <v>46429</v>
      </c>
      <c r="U5146" t="s">
        <v>51280</v>
      </c>
      <c r="W5146" t="s">
        <v>42552</v>
      </c>
      <c r="X5146" t="s">
        <v>44766</v>
      </c>
    </row>
    <row r="5147" spans="1:24">
      <c r="A5147">
        <f>HYPERLINK("https://www.philgeps.gov.ph/GEPSNONPILOT/Tender/SplashBidNoticeAbstractUI.aspx?menuIndex=3&amp;refID=7123189&amp;Result=3","7123189")</f>
        <v>0</v>
      </c>
      <c r="B5147" t="s">
        <v>1518</v>
      </c>
      <c r="C5147" t="s">
        <v>8612</v>
      </c>
      <c r="D5147" t="s">
        <v>18019</v>
      </c>
      <c r="E5147" t="s">
        <v>18158</v>
      </c>
      <c r="F5147" t="s">
        <v>30900</v>
      </c>
      <c r="G5147" t="s">
        <v>30908</v>
      </c>
      <c r="H5147" t="s">
        <v>30916</v>
      </c>
      <c r="I5147" t="s">
        <v>30927</v>
      </c>
      <c r="J5147" t="s">
        <v>34459</v>
      </c>
      <c r="K5147" t="s">
        <v>40288</v>
      </c>
      <c r="M5147" t="s">
        <v>42159</v>
      </c>
      <c r="N5147" t="s">
        <v>44759</v>
      </c>
      <c r="O5147" t="s">
        <v>44760</v>
      </c>
      <c r="P5147">
        <v>0</v>
      </c>
      <c r="Q5147">
        <v>0</v>
      </c>
      <c r="R5147" t="s">
        <v>44766</v>
      </c>
      <c r="S5147" t="s">
        <v>44902</v>
      </c>
      <c r="T5147" t="s">
        <v>46391</v>
      </c>
      <c r="U5147" t="s">
        <v>51281</v>
      </c>
      <c r="W5147" t="s">
        <v>42159</v>
      </c>
      <c r="X5147" t="s">
        <v>44776</v>
      </c>
    </row>
    <row r="5148" spans="1:24">
      <c r="A5148">
        <f>HYPERLINK("https://www.philgeps.gov.ph/GEPSNONPILOT/Tender/SplashBidNoticeAbstractUI.aspx?menuIndex=3&amp;refID=7137874&amp;Result=3","7137874")</f>
        <v>0</v>
      </c>
      <c r="B5148" t="s">
        <v>115</v>
      </c>
      <c r="C5148" t="s">
        <v>8613</v>
      </c>
      <c r="D5148" t="s">
        <v>17960</v>
      </c>
      <c r="E5148" t="s">
        <v>22628</v>
      </c>
      <c r="F5148" t="s">
        <v>30900</v>
      </c>
      <c r="G5148" t="s">
        <v>30907</v>
      </c>
      <c r="H5148" t="s">
        <v>30915</v>
      </c>
      <c r="I5148" t="s">
        <v>30919</v>
      </c>
      <c r="J5148" t="s">
        <v>32967</v>
      </c>
      <c r="K5148" t="s">
        <v>40304</v>
      </c>
      <c r="M5148" t="s">
        <v>40662</v>
      </c>
      <c r="N5148" t="s">
        <v>44759</v>
      </c>
      <c r="O5148" t="s">
        <v>44760</v>
      </c>
      <c r="P5148">
        <v>0</v>
      </c>
      <c r="Q5148">
        <v>0</v>
      </c>
      <c r="R5148" t="s">
        <v>44766</v>
      </c>
      <c r="S5148" t="s">
        <v>44902</v>
      </c>
      <c r="T5148" t="s">
        <v>46380</v>
      </c>
      <c r="U5148" t="s">
        <v>51279</v>
      </c>
      <c r="V5148" t="s">
        <v>59654</v>
      </c>
      <c r="W5148" t="s">
        <v>40662</v>
      </c>
      <c r="X5148" t="s">
        <v>44770</v>
      </c>
    </row>
    <row r="5149" spans="1:24">
      <c r="A5149">
        <f>HYPERLINK("https://www.philgeps.gov.ph/GEPSNONPILOT/Tender/SplashBidNoticeAbstractUI.aspx?menuIndex=3&amp;refID=7123155&amp;Result=3","7123155")</f>
        <v>0</v>
      </c>
      <c r="B5149" t="s">
        <v>1876</v>
      </c>
      <c r="C5149" t="s">
        <v>4074</v>
      </c>
      <c r="E5149" t="s">
        <v>22629</v>
      </c>
      <c r="F5149" t="s">
        <v>30900</v>
      </c>
      <c r="G5149" t="s">
        <v>30907</v>
      </c>
      <c r="H5149" t="s">
        <v>30915</v>
      </c>
      <c r="I5149" t="s">
        <v>30932</v>
      </c>
      <c r="J5149" t="s">
        <v>34460</v>
      </c>
      <c r="K5149" t="s">
        <v>40289</v>
      </c>
      <c r="M5149" t="s">
        <v>42550</v>
      </c>
      <c r="N5149" t="s">
        <v>44759</v>
      </c>
      <c r="O5149" t="s">
        <v>44760</v>
      </c>
      <c r="P5149">
        <v>0</v>
      </c>
      <c r="Q5149">
        <v>0</v>
      </c>
      <c r="R5149" t="s">
        <v>44766</v>
      </c>
      <c r="S5149" t="s">
        <v>44902</v>
      </c>
      <c r="T5149" t="s">
        <v>46469</v>
      </c>
      <c r="U5149" t="s">
        <v>51274</v>
      </c>
      <c r="W5149" t="s">
        <v>42550</v>
      </c>
      <c r="X5149" t="s">
        <v>44776</v>
      </c>
    </row>
    <row r="5150" spans="1:24">
      <c r="A5150">
        <f>HYPERLINK("https://www.philgeps.gov.ph/GEPSNONPILOT/Tender/SplashBidNoticeAbstractUI.aspx?menuIndex=3&amp;refID=7137711&amp;Result=3","7137711")</f>
        <v>0</v>
      </c>
      <c r="B5150" t="s">
        <v>115</v>
      </c>
      <c r="C5150" t="s">
        <v>8614</v>
      </c>
      <c r="D5150" t="s">
        <v>17960</v>
      </c>
      <c r="E5150" t="s">
        <v>22630</v>
      </c>
      <c r="F5150" t="s">
        <v>30900</v>
      </c>
      <c r="G5150" t="s">
        <v>30907</v>
      </c>
      <c r="H5150" t="s">
        <v>30915</v>
      </c>
      <c r="I5150" t="s">
        <v>30919</v>
      </c>
      <c r="J5150" t="s">
        <v>32967</v>
      </c>
      <c r="K5150" t="s">
        <v>40304</v>
      </c>
      <c r="M5150" t="s">
        <v>40662</v>
      </c>
      <c r="N5150" t="s">
        <v>44759</v>
      </c>
      <c r="O5150" t="s">
        <v>44760</v>
      </c>
      <c r="P5150">
        <v>0</v>
      </c>
      <c r="Q5150">
        <v>0</v>
      </c>
      <c r="R5150" t="s">
        <v>44766</v>
      </c>
      <c r="S5150" t="s">
        <v>44902</v>
      </c>
      <c r="T5150" t="s">
        <v>46380</v>
      </c>
      <c r="U5150" t="s">
        <v>51279</v>
      </c>
      <c r="V5150" t="s">
        <v>59655</v>
      </c>
      <c r="W5150" t="s">
        <v>40662</v>
      </c>
      <c r="X5150" t="s">
        <v>44770</v>
      </c>
    </row>
    <row r="5151" spans="1:24">
      <c r="A5151">
        <f>HYPERLINK("https://www.philgeps.gov.ph/GEPSNONPILOT/Tender/SplashBidNoticeAbstractUI.aspx?menuIndex=3&amp;refID=7120984&amp;Result=3","7120984")</f>
        <v>0</v>
      </c>
      <c r="B5151" t="s">
        <v>1879</v>
      </c>
      <c r="C5151" t="s">
        <v>8615</v>
      </c>
      <c r="D5151" t="s">
        <v>17963</v>
      </c>
      <c r="E5151" t="s">
        <v>22631</v>
      </c>
      <c r="F5151" t="s">
        <v>30900</v>
      </c>
      <c r="G5151" t="s">
        <v>30907</v>
      </c>
      <c r="H5151" t="s">
        <v>30915</v>
      </c>
      <c r="I5151" t="s">
        <v>30919</v>
      </c>
      <c r="J5151" t="s">
        <v>34461</v>
      </c>
      <c r="K5151" t="s">
        <v>40280</v>
      </c>
      <c r="M5151" t="s">
        <v>42553</v>
      </c>
      <c r="N5151" t="s">
        <v>44759</v>
      </c>
      <c r="O5151" t="s">
        <v>44760</v>
      </c>
      <c r="P5151">
        <v>0</v>
      </c>
      <c r="Q5151">
        <v>0</v>
      </c>
      <c r="R5151" t="s">
        <v>44766</v>
      </c>
      <c r="S5151" t="s">
        <v>44902</v>
      </c>
      <c r="T5151" t="s">
        <v>46357</v>
      </c>
      <c r="U5151" t="s">
        <v>51282</v>
      </c>
      <c r="W5151" t="s">
        <v>42553</v>
      </c>
      <c r="X5151" t="s">
        <v>44777</v>
      </c>
    </row>
    <row r="5152" spans="1:24">
      <c r="A5152">
        <f>HYPERLINK("https://www.philgeps.gov.ph/GEPSNONPILOT/Tender/SplashBidNoticeAbstractUI.aspx?menuIndex=3&amp;refID=7137192&amp;Result=3","7137192")</f>
        <v>0</v>
      </c>
      <c r="B5152" t="s">
        <v>1880</v>
      </c>
      <c r="C5152" t="s">
        <v>8616</v>
      </c>
      <c r="D5152" t="s">
        <v>18011</v>
      </c>
      <c r="E5152" t="s">
        <v>22632</v>
      </c>
      <c r="F5152" t="s">
        <v>30900</v>
      </c>
      <c r="G5152" t="s">
        <v>30908</v>
      </c>
      <c r="H5152" t="s">
        <v>30916</v>
      </c>
      <c r="I5152" t="s">
        <v>30943</v>
      </c>
      <c r="J5152" t="s">
        <v>34462</v>
      </c>
      <c r="K5152" t="s">
        <v>40283</v>
      </c>
      <c r="M5152" t="s">
        <v>42554</v>
      </c>
      <c r="N5152" t="s">
        <v>44759</v>
      </c>
      <c r="O5152" t="s">
        <v>44760</v>
      </c>
      <c r="P5152">
        <v>0</v>
      </c>
      <c r="Q5152">
        <v>6</v>
      </c>
      <c r="R5152" t="s">
        <v>44766</v>
      </c>
      <c r="S5152" t="s">
        <v>44902</v>
      </c>
      <c r="T5152" t="s">
        <v>46403</v>
      </c>
      <c r="U5152" t="s">
        <v>51283</v>
      </c>
      <c r="W5152" t="s">
        <v>42554</v>
      </c>
      <c r="X5152" t="s">
        <v>44770</v>
      </c>
    </row>
    <row r="5153" spans="1:24">
      <c r="A5153">
        <f>HYPERLINK("https://www.philgeps.gov.ph/GEPSNONPILOT/Tender/SplashBidNoticeAbstractUI.aspx?menuIndex=3&amp;refID=7113902&amp;Result=3","7113902")</f>
        <v>0</v>
      </c>
      <c r="B5153" t="s">
        <v>1881</v>
      </c>
      <c r="C5153" t="s">
        <v>8617</v>
      </c>
      <c r="D5153" t="s">
        <v>17997</v>
      </c>
      <c r="E5153" t="s">
        <v>22633</v>
      </c>
      <c r="F5153" t="s">
        <v>30900</v>
      </c>
      <c r="G5153" t="s">
        <v>30909</v>
      </c>
      <c r="H5153" t="s">
        <v>30916</v>
      </c>
      <c r="I5153" t="s">
        <v>4050</v>
      </c>
      <c r="J5153" t="s">
        <v>33809</v>
      </c>
      <c r="K5153" t="s">
        <v>40314</v>
      </c>
      <c r="M5153" t="s">
        <v>42555</v>
      </c>
      <c r="N5153" t="s">
        <v>44759</v>
      </c>
      <c r="O5153" t="s">
        <v>44760</v>
      </c>
      <c r="P5153">
        <v>0</v>
      </c>
      <c r="Q5153">
        <v>0</v>
      </c>
      <c r="R5153" t="s">
        <v>44766</v>
      </c>
      <c r="S5153" t="s">
        <v>44902</v>
      </c>
      <c r="T5153" t="s">
        <v>46511</v>
      </c>
      <c r="U5153" t="s">
        <v>51284</v>
      </c>
      <c r="W5153" t="s">
        <v>42555</v>
      </c>
      <c r="X5153" t="s">
        <v>44781</v>
      </c>
    </row>
    <row r="5154" spans="1:24">
      <c r="A5154">
        <f>HYPERLINK("https://www.philgeps.gov.ph/GEPSNONPILOT/Tender/SplashBidNoticeAbstractUI.aspx?menuIndex=3&amp;refID=7133127&amp;Result=3","7133127")</f>
        <v>0</v>
      </c>
      <c r="B5154" t="s">
        <v>348</v>
      </c>
      <c r="C5154" t="s">
        <v>8618</v>
      </c>
      <c r="D5154" t="s">
        <v>17957</v>
      </c>
      <c r="E5154" t="s">
        <v>22634</v>
      </c>
      <c r="F5154" t="s">
        <v>30900</v>
      </c>
      <c r="G5154" t="s">
        <v>30908</v>
      </c>
      <c r="H5154" t="s">
        <v>30917</v>
      </c>
      <c r="I5154" t="s">
        <v>7411</v>
      </c>
      <c r="J5154" t="s">
        <v>31398</v>
      </c>
      <c r="K5154" t="s">
        <v>40284</v>
      </c>
      <c r="M5154" t="s">
        <v>42556</v>
      </c>
      <c r="N5154" t="s">
        <v>44759</v>
      </c>
      <c r="O5154" t="s">
        <v>44760</v>
      </c>
      <c r="P5154">
        <v>0</v>
      </c>
      <c r="Q5154">
        <v>7</v>
      </c>
      <c r="R5154" t="s">
        <v>44766</v>
      </c>
      <c r="S5154" t="s">
        <v>44902</v>
      </c>
      <c r="T5154" t="s">
        <v>46705</v>
      </c>
      <c r="U5154" t="s">
        <v>51285</v>
      </c>
      <c r="W5154" t="s">
        <v>42556</v>
      </c>
      <c r="X5154" t="s">
        <v>44773</v>
      </c>
    </row>
    <row r="5155" spans="1:24">
      <c r="A5155">
        <f>HYPERLINK("https://www.philgeps.gov.ph/GEPSNONPILOT/Tender/SplashBidNoticeAbstractUI.aspx?menuIndex=3&amp;refID=7132125&amp;Result=3","7132125")</f>
        <v>0</v>
      </c>
      <c r="B5155" t="s">
        <v>889</v>
      </c>
      <c r="C5155" t="s">
        <v>8619</v>
      </c>
      <c r="D5155" t="s">
        <v>17991</v>
      </c>
      <c r="E5155" t="s">
        <v>22635</v>
      </c>
      <c r="F5155" t="s">
        <v>30900</v>
      </c>
      <c r="G5155" t="s">
        <v>30907</v>
      </c>
      <c r="H5155" t="s">
        <v>30916</v>
      </c>
      <c r="I5155" t="s">
        <v>8123</v>
      </c>
      <c r="J5155" t="s">
        <v>34463</v>
      </c>
      <c r="K5155" t="s">
        <v>40294</v>
      </c>
      <c r="M5155" t="s">
        <v>41462</v>
      </c>
      <c r="N5155" t="s">
        <v>44759</v>
      </c>
      <c r="O5155" t="s">
        <v>44760</v>
      </c>
      <c r="P5155">
        <v>0</v>
      </c>
      <c r="Q5155">
        <v>0</v>
      </c>
      <c r="R5155" t="s">
        <v>44766</v>
      </c>
      <c r="S5155" t="s">
        <v>44902</v>
      </c>
      <c r="T5155" t="s">
        <v>46425</v>
      </c>
      <c r="U5155" t="s">
        <v>51286</v>
      </c>
      <c r="W5155" t="s">
        <v>41462</v>
      </c>
      <c r="X5155" t="s">
        <v>44774</v>
      </c>
    </row>
    <row r="5156" spans="1:24">
      <c r="A5156">
        <f>HYPERLINK("https://www.philgeps.gov.ph/GEPSNONPILOT/Tender/SplashBidNoticeAbstractUI.aspx?menuIndex=3&amp;refID=7137819&amp;Result=3","7137819")</f>
        <v>0</v>
      </c>
      <c r="B5156" t="s">
        <v>115</v>
      </c>
      <c r="C5156" t="s">
        <v>8620</v>
      </c>
      <c r="D5156" t="s">
        <v>17960</v>
      </c>
      <c r="E5156" t="s">
        <v>22636</v>
      </c>
      <c r="F5156" t="s">
        <v>30900</v>
      </c>
      <c r="G5156" t="s">
        <v>30907</v>
      </c>
      <c r="H5156" t="s">
        <v>30915</v>
      </c>
      <c r="I5156" t="s">
        <v>30919</v>
      </c>
      <c r="J5156" t="s">
        <v>32967</v>
      </c>
      <c r="K5156" t="s">
        <v>40304</v>
      </c>
      <c r="M5156" t="s">
        <v>40662</v>
      </c>
      <c r="N5156" t="s">
        <v>44759</v>
      </c>
      <c r="O5156" t="s">
        <v>44760</v>
      </c>
      <c r="P5156">
        <v>0</v>
      </c>
      <c r="Q5156">
        <v>0</v>
      </c>
      <c r="R5156" t="s">
        <v>44766</v>
      </c>
      <c r="S5156" t="s">
        <v>44902</v>
      </c>
      <c r="T5156" t="s">
        <v>46380</v>
      </c>
      <c r="U5156" t="s">
        <v>51279</v>
      </c>
      <c r="V5156" t="s">
        <v>59656</v>
      </c>
      <c r="W5156" t="s">
        <v>40662</v>
      </c>
      <c r="X5156" t="s">
        <v>44770</v>
      </c>
    </row>
    <row r="5157" spans="1:24">
      <c r="A5157">
        <f>HYPERLINK("https://www.philgeps.gov.ph/GEPSNONPILOT/Tender/SplashBidNoticeAbstractUI.aspx?menuIndex=3&amp;refID=7132004&amp;Result=3","7132004")</f>
        <v>0</v>
      </c>
      <c r="B5157" t="s">
        <v>889</v>
      </c>
      <c r="C5157" t="s">
        <v>8621</v>
      </c>
      <c r="D5157" t="s">
        <v>17991</v>
      </c>
      <c r="E5157" t="s">
        <v>19080</v>
      </c>
      <c r="F5157" t="s">
        <v>30900</v>
      </c>
      <c r="G5157" t="s">
        <v>30907</v>
      </c>
      <c r="H5157" t="s">
        <v>30916</v>
      </c>
      <c r="I5157" t="s">
        <v>4142</v>
      </c>
      <c r="J5157" t="s">
        <v>34464</v>
      </c>
      <c r="K5157" t="s">
        <v>40294</v>
      </c>
      <c r="M5157" t="s">
        <v>41462</v>
      </c>
      <c r="N5157" t="s">
        <v>44759</v>
      </c>
      <c r="O5157" t="s">
        <v>44760</v>
      </c>
      <c r="P5157">
        <v>0</v>
      </c>
      <c r="Q5157">
        <v>2</v>
      </c>
      <c r="R5157" t="s">
        <v>44766</v>
      </c>
      <c r="S5157" t="s">
        <v>44902</v>
      </c>
      <c r="T5157" t="s">
        <v>46425</v>
      </c>
      <c r="U5157" t="s">
        <v>51287</v>
      </c>
      <c r="W5157" t="s">
        <v>41462</v>
      </c>
      <c r="X5157" t="s">
        <v>44774</v>
      </c>
    </row>
    <row r="5158" spans="1:24">
      <c r="A5158">
        <f>HYPERLINK("https://www.philgeps.gov.ph/GEPSNONPILOT/Tender/SplashBidNoticeAbstractUI.aspx?menuIndex=3&amp;refID=7137783&amp;Result=3","7137783")</f>
        <v>0</v>
      </c>
      <c r="B5158" t="s">
        <v>115</v>
      </c>
      <c r="C5158" t="s">
        <v>8622</v>
      </c>
      <c r="D5158" t="s">
        <v>17960</v>
      </c>
      <c r="E5158" t="s">
        <v>22637</v>
      </c>
      <c r="F5158" t="s">
        <v>30900</v>
      </c>
      <c r="G5158" t="s">
        <v>30907</v>
      </c>
      <c r="H5158" t="s">
        <v>30915</v>
      </c>
      <c r="I5158" t="s">
        <v>30919</v>
      </c>
      <c r="J5158" t="s">
        <v>32967</v>
      </c>
      <c r="K5158" t="s">
        <v>40304</v>
      </c>
      <c r="M5158" t="s">
        <v>40662</v>
      </c>
      <c r="N5158" t="s">
        <v>44759</v>
      </c>
      <c r="O5158" t="s">
        <v>44760</v>
      </c>
      <c r="P5158">
        <v>0</v>
      </c>
      <c r="Q5158">
        <v>0</v>
      </c>
      <c r="R5158" t="s">
        <v>44766</v>
      </c>
      <c r="S5158" t="s">
        <v>44902</v>
      </c>
      <c r="T5158" t="s">
        <v>46380</v>
      </c>
      <c r="U5158" t="s">
        <v>51279</v>
      </c>
      <c r="V5158" t="s">
        <v>59657</v>
      </c>
      <c r="W5158" t="s">
        <v>40662</v>
      </c>
      <c r="X5158" t="s">
        <v>44770</v>
      </c>
    </row>
    <row r="5159" spans="1:24">
      <c r="A5159">
        <f>HYPERLINK("https://www.philgeps.gov.ph/GEPSNONPILOT/Tender/SplashBidNoticeAbstractUI.aspx?menuIndex=3&amp;refID=7129124&amp;Result=3","7129124")</f>
        <v>0</v>
      </c>
      <c r="B5159" t="s">
        <v>1882</v>
      </c>
      <c r="C5159" t="s">
        <v>8623</v>
      </c>
      <c r="D5159" t="s">
        <v>17968</v>
      </c>
      <c r="E5159" t="s">
        <v>22638</v>
      </c>
      <c r="F5159" t="s">
        <v>30900</v>
      </c>
      <c r="G5159" t="s">
        <v>30907</v>
      </c>
      <c r="H5159" t="s">
        <v>30915</v>
      </c>
      <c r="I5159" t="s">
        <v>30919</v>
      </c>
      <c r="J5159" t="s">
        <v>31243</v>
      </c>
      <c r="K5159" t="s">
        <v>40280</v>
      </c>
      <c r="M5159" t="s">
        <v>42557</v>
      </c>
      <c r="N5159" t="s">
        <v>44759</v>
      </c>
      <c r="O5159" t="s">
        <v>44760</v>
      </c>
      <c r="P5159">
        <v>0</v>
      </c>
      <c r="Q5159">
        <v>0</v>
      </c>
      <c r="R5159" t="s">
        <v>44766</v>
      </c>
      <c r="S5159" t="s">
        <v>44902</v>
      </c>
      <c r="T5159" t="s">
        <v>46421</v>
      </c>
      <c r="U5159" t="s">
        <v>51288</v>
      </c>
      <c r="W5159" t="s">
        <v>42557</v>
      </c>
      <c r="X5159" t="s">
        <v>44775</v>
      </c>
    </row>
    <row r="5160" spans="1:24">
      <c r="A5160">
        <f>HYPERLINK("https://www.philgeps.gov.ph/GEPSNONPILOT/Tender/SplashBidNoticeAbstractUI.aspx?menuIndex=3&amp;refID=7136689&amp;Result=3","7136689")</f>
        <v>0</v>
      </c>
      <c r="B5160" t="s">
        <v>58</v>
      </c>
      <c r="C5160" t="s">
        <v>8624</v>
      </c>
      <c r="D5160" t="s">
        <v>17977</v>
      </c>
      <c r="E5160" t="s">
        <v>22639</v>
      </c>
      <c r="F5160" t="s">
        <v>30900</v>
      </c>
      <c r="G5160" t="s">
        <v>30908</v>
      </c>
      <c r="H5160" t="s">
        <v>30916</v>
      </c>
      <c r="I5160" t="s">
        <v>6746</v>
      </c>
      <c r="J5160" t="s">
        <v>34465</v>
      </c>
      <c r="K5160" t="s">
        <v>40286</v>
      </c>
      <c r="M5160" t="s">
        <v>40604</v>
      </c>
      <c r="N5160" t="s">
        <v>44759</v>
      </c>
      <c r="O5160" t="s">
        <v>44760</v>
      </c>
      <c r="P5160">
        <v>0</v>
      </c>
      <c r="Q5160">
        <v>1</v>
      </c>
      <c r="R5160" t="s">
        <v>44766</v>
      </c>
      <c r="S5160" t="s">
        <v>44902</v>
      </c>
      <c r="T5160" t="s">
        <v>46414</v>
      </c>
      <c r="U5160" t="s">
        <v>51289</v>
      </c>
      <c r="V5160" t="s">
        <v>59658</v>
      </c>
      <c r="W5160" t="s">
        <v>60815</v>
      </c>
      <c r="X5160" t="s">
        <v>44770</v>
      </c>
    </row>
    <row r="5161" spans="1:24">
      <c r="A5161">
        <f>HYPERLINK("https://www.philgeps.gov.ph/GEPSNONPILOT/Tender/SplashBidNoticeAbstractUI.aspx?menuIndex=3&amp;refID=7128213&amp;Result=3","7128213")</f>
        <v>0</v>
      </c>
      <c r="B5161" t="s">
        <v>1882</v>
      </c>
      <c r="C5161" t="s">
        <v>8625</v>
      </c>
      <c r="D5161" t="s">
        <v>17968</v>
      </c>
      <c r="E5161" t="s">
        <v>22640</v>
      </c>
      <c r="F5161" t="s">
        <v>30900</v>
      </c>
      <c r="G5161" t="s">
        <v>30907</v>
      </c>
      <c r="H5161" t="s">
        <v>30916</v>
      </c>
      <c r="I5161" t="s">
        <v>4545</v>
      </c>
      <c r="J5161" t="s">
        <v>34466</v>
      </c>
      <c r="K5161" t="s">
        <v>40286</v>
      </c>
      <c r="M5161" t="s">
        <v>42557</v>
      </c>
      <c r="N5161" t="s">
        <v>44759</v>
      </c>
      <c r="O5161" t="s">
        <v>44760</v>
      </c>
      <c r="P5161">
        <v>0</v>
      </c>
      <c r="Q5161">
        <v>3</v>
      </c>
      <c r="R5161" t="s">
        <v>44766</v>
      </c>
      <c r="S5161" t="s">
        <v>44902</v>
      </c>
      <c r="T5161" t="s">
        <v>46363</v>
      </c>
      <c r="U5161" t="s">
        <v>51290</v>
      </c>
      <c r="W5161" t="s">
        <v>42557</v>
      </c>
      <c r="X5161" t="s">
        <v>44775</v>
      </c>
    </row>
    <row r="5162" spans="1:24">
      <c r="A5162">
        <f>HYPERLINK("https://www.philgeps.gov.ph/GEPSNONPILOT/Tender/SplashBidNoticeAbstractUI.aspx?menuIndex=3&amp;refID=7127867&amp;Result=3","7127867")</f>
        <v>0</v>
      </c>
      <c r="B5162" t="s">
        <v>1883</v>
      </c>
      <c r="C5162" t="s">
        <v>8626</v>
      </c>
      <c r="D5162" t="s">
        <v>17973</v>
      </c>
      <c r="E5162" t="s">
        <v>22641</v>
      </c>
      <c r="F5162" t="s">
        <v>30899</v>
      </c>
      <c r="G5162" t="s">
        <v>30910</v>
      </c>
      <c r="H5162" t="s">
        <v>30916</v>
      </c>
      <c r="I5162" t="s">
        <v>30921</v>
      </c>
      <c r="J5162" t="s">
        <v>32200</v>
      </c>
      <c r="K5162" t="s">
        <v>40289</v>
      </c>
      <c r="M5162" t="s">
        <v>42558</v>
      </c>
      <c r="N5162" t="s">
        <v>44759</v>
      </c>
      <c r="O5162" t="s">
        <v>44760</v>
      </c>
      <c r="P5162">
        <v>0</v>
      </c>
      <c r="Q5162">
        <v>0</v>
      </c>
      <c r="R5162" t="s">
        <v>44766</v>
      </c>
      <c r="S5162" t="s">
        <v>44902</v>
      </c>
      <c r="T5162" t="s">
        <v>46412</v>
      </c>
      <c r="U5162" t="s">
        <v>51291</v>
      </c>
      <c r="W5162" t="s">
        <v>42558</v>
      </c>
      <c r="X5162" t="s">
        <v>44775</v>
      </c>
    </row>
    <row r="5163" spans="1:24">
      <c r="A5163">
        <f>HYPERLINK("https://www.philgeps.gov.ph/GEPSNONPILOT/Tender/SplashBidNoticeAbstractUI.aspx?menuIndex=3&amp;refID=7127019&amp;Result=3","7127019")</f>
        <v>0</v>
      </c>
      <c r="B5163" t="s">
        <v>637</v>
      </c>
      <c r="C5163" t="s">
        <v>3769</v>
      </c>
      <c r="D5163" t="s">
        <v>17954</v>
      </c>
      <c r="E5163" t="s">
        <v>22642</v>
      </c>
      <c r="F5163" t="s">
        <v>30900</v>
      </c>
      <c r="G5163" t="s">
        <v>30907</v>
      </c>
      <c r="H5163" t="s">
        <v>30915</v>
      </c>
      <c r="I5163" t="s">
        <v>30919</v>
      </c>
      <c r="J5163" t="s">
        <v>31522</v>
      </c>
      <c r="K5163" t="s">
        <v>40282</v>
      </c>
      <c r="M5163" t="s">
        <v>41200</v>
      </c>
      <c r="N5163" t="s">
        <v>44759</v>
      </c>
      <c r="O5163" t="s">
        <v>44760</v>
      </c>
      <c r="P5163">
        <v>0</v>
      </c>
      <c r="Q5163">
        <v>0</v>
      </c>
      <c r="R5163" t="s">
        <v>44766</v>
      </c>
      <c r="S5163" t="s">
        <v>44902</v>
      </c>
      <c r="T5163" t="s">
        <v>46414</v>
      </c>
      <c r="U5163" t="s">
        <v>48098</v>
      </c>
      <c r="W5163" t="s">
        <v>41200</v>
      </c>
      <c r="X5163" t="s">
        <v>44775</v>
      </c>
    </row>
    <row r="5164" spans="1:24">
      <c r="A5164">
        <f>HYPERLINK("https://www.philgeps.gov.ph/GEPSNONPILOT/Tender/SplashBidNoticeAbstractUI.aspx?menuIndex=3&amp;refID=7132954&amp;Result=3","7132954")</f>
        <v>0</v>
      </c>
      <c r="B5164" t="s">
        <v>1884</v>
      </c>
      <c r="C5164" t="s">
        <v>8627</v>
      </c>
      <c r="D5164" t="s">
        <v>18019</v>
      </c>
      <c r="E5164" t="s">
        <v>22643</v>
      </c>
      <c r="F5164" t="s">
        <v>30899</v>
      </c>
      <c r="G5164" t="s">
        <v>30907</v>
      </c>
      <c r="H5164" t="s">
        <v>30915</v>
      </c>
      <c r="I5164" t="s">
        <v>30919</v>
      </c>
      <c r="J5164" t="s">
        <v>32707</v>
      </c>
      <c r="K5164" t="s">
        <v>40280</v>
      </c>
      <c r="M5164" t="s">
        <v>42559</v>
      </c>
      <c r="N5164" t="s">
        <v>44759</v>
      </c>
      <c r="O5164" t="s">
        <v>44760</v>
      </c>
      <c r="P5164">
        <v>0</v>
      </c>
      <c r="Q5164">
        <v>3</v>
      </c>
      <c r="R5164" t="s">
        <v>44766</v>
      </c>
      <c r="S5164" t="s">
        <v>44902</v>
      </c>
      <c r="T5164" t="s">
        <v>46439</v>
      </c>
      <c r="U5164" t="s">
        <v>51292</v>
      </c>
      <c r="W5164" t="s">
        <v>42559</v>
      </c>
      <c r="X5164" t="s">
        <v>44773</v>
      </c>
    </row>
    <row r="5165" spans="1:24">
      <c r="A5165">
        <f>HYPERLINK("https://www.philgeps.gov.ph/GEPSNONPILOT/Tender/SplashBidNoticeAbstractUI.aspx?menuIndex=3&amp;refID=7126953&amp;Result=3","7126953")</f>
        <v>0</v>
      </c>
      <c r="B5165" t="s">
        <v>219</v>
      </c>
      <c r="C5165" t="s">
        <v>8628</v>
      </c>
      <c r="D5165" t="s">
        <v>17955</v>
      </c>
      <c r="E5165" t="s">
        <v>8628</v>
      </c>
      <c r="F5165" t="s">
        <v>30900</v>
      </c>
      <c r="G5165" t="s">
        <v>30909</v>
      </c>
      <c r="H5165" t="s">
        <v>30916</v>
      </c>
      <c r="I5165" t="s">
        <v>4108</v>
      </c>
      <c r="J5165" t="s">
        <v>34467</v>
      </c>
      <c r="K5165" t="s">
        <v>40286</v>
      </c>
      <c r="M5165" t="s">
        <v>42031</v>
      </c>
      <c r="N5165" t="s">
        <v>44759</v>
      </c>
      <c r="O5165" t="s">
        <v>44760</v>
      </c>
      <c r="P5165">
        <v>0</v>
      </c>
      <c r="Q5165">
        <v>0</v>
      </c>
      <c r="R5165" t="s">
        <v>44766</v>
      </c>
      <c r="S5165" t="s">
        <v>44902</v>
      </c>
      <c r="T5165" t="s">
        <v>46403</v>
      </c>
      <c r="U5165" t="s">
        <v>51293</v>
      </c>
      <c r="W5165" t="s">
        <v>42031</v>
      </c>
      <c r="X5165" t="s">
        <v>44775</v>
      </c>
    </row>
    <row r="5166" spans="1:24">
      <c r="A5166">
        <f>HYPERLINK("https://www.philgeps.gov.ph/GEPSNONPILOT/Tender/SplashBidNoticeAbstractUI.aspx?menuIndex=3&amp;refID=7126148-2&amp;Result=3","7126148-2")</f>
        <v>0</v>
      </c>
      <c r="B5166" t="s">
        <v>1875</v>
      </c>
      <c r="C5166" t="s">
        <v>8629</v>
      </c>
      <c r="D5166" t="s">
        <v>17955</v>
      </c>
      <c r="E5166" t="s">
        <v>22644</v>
      </c>
      <c r="F5166" t="s">
        <v>30900</v>
      </c>
      <c r="G5166" t="s">
        <v>30907</v>
      </c>
      <c r="H5166" t="s">
        <v>7411</v>
      </c>
      <c r="I5166" t="s">
        <v>7411</v>
      </c>
      <c r="J5166" t="s">
        <v>34468</v>
      </c>
      <c r="K5166" t="s">
        <v>40409</v>
      </c>
      <c r="M5166" t="s">
        <v>42549</v>
      </c>
      <c r="N5166" t="s">
        <v>44759</v>
      </c>
      <c r="O5166" t="s">
        <v>44760</v>
      </c>
      <c r="P5166">
        <v>0</v>
      </c>
      <c r="Q5166">
        <v>0</v>
      </c>
      <c r="R5166" t="s">
        <v>44766</v>
      </c>
      <c r="S5166" t="s">
        <v>44902</v>
      </c>
      <c r="T5166" t="s">
        <v>46428</v>
      </c>
      <c r="U5166" t="s">
        <v>51294</v>
      </c>
      <c r="V5166" t="s">
        <v>59652</v>
      </c>
      <c r="W5166" t="s">
        <v>42549</v>
      </c>
      <c r="X5166" t="s">
        <v>44767</v>
      </c>
    </row>
    <row r="5167" spans="1:24">
      <c r="A5167">
        <f>HYPERLINK("https://www.philgeps.gov.ph/GEPSNONPILOT/Tender/SplashBidNoticeAbstractUI.aspx?menuIndex=3&amp;refID=7112929&amp;Result=3","7112929")</f>
        <v>0</v>
      </c>
      <c r="B5167" t="s">
        <v>1885</v>
      </c>
      <c r="C5167" t="s">
        <v>8630</v>
      </c>
      <c r="D5167" t="s">
        <v>17953</v>
      </c>
      <c r="E5167" t="s">
        <v>20657</v>
      </c>
      <c r="F5167" t="s">
        <v>30900</v>
      </c>
      <c r="G5167" t="s">
        <v>30907</v>
      </c>
      <c r="H5167" t="s">
        <v>30916</v>
      </c>
      <c r="I5167" t="s">
        <v>11785</v>
      </c>
      <c r="J5167" t="s">
        <v>31299</v>
      </c>
      <c r="K5167" t="s">
        <v>40281</v>
      </c>
      <c r="M5167" t="s">
        <v>42560</v>
      </c>
      <c r="N5167" t="s">
        <v>44759</v>
      </c>
      <c r="O5167" t="s">
        <v>44760</v>
      </c>
      <c r="P5167">
        <v>0</v>
      </c>
      <c r="Q5167">
        <v>0</v>
      </c>
      <c r="R5167" t="s">
        <v>44766</v>
      </c>
      <c r="S5167" t="s">
        <v>44902</v>
      </c>
      <c r="T5167" t="s">
        <v>46398</v>
      </c>
      <c r="U5167" t="s">
        <v>51295</v>
      </c>
      <c r="W5167" t="s">
        <v>42560</v>
      </c>
      <c r="X5167" t="s">
        <v>44782</v>
      </c>
    </row>
    <row r="5168" spans="1:24">
      <c r="A5168">
        <f>HYPERLINK("https://www.philgeps.gov.ph/GEPSNONPILOT/Tender/SplashBidNoticeAbstractUI.aspx?menuIndex=3&amp;refID=7112737&amp;Result=3","7112737")</f>
        <v>0</v>
      </c>
      <c r="B5168" t="s">
        <v>1885</v>
      </c>
      <c r="C5168" t="s">
        <v>8631</v>
      </c>
      <c r="D5168" t="s">
        <v>17953</v>
      </c>
      <c r="E5168" t="s">
        <v>18605</v>
      </c>
      <c r="F5168" t="s">
        <v>30900</v>
      </c>
      <c r="G5168" t="s">
        <v>30907</v>
      </c>
      <c r="H5168" t="s">
        <v>30916</v>
      </c>
      <c r="I5168" t="s">
        <v>30999</v>
      </c>
      <c r="J5168" t="s">
        <v>32098</v>
      </c>
      <c r="K5168" t="s">
        <v>40281</v>
      </c>
      <c r="M5168" t="s">
        <v>42560</v>
      </c>
      <c r="N5168" t="s">
        <v>44759</v>
      </c>
      <c r="O5168" t="s">
        <v>44760</v>
      </c>
      <c r="P5168">
        <v>0</v>
      </c>
      <c r="Q5168">
        <v>0</v>
      </c>
      <c r="R5168" t="s">
        <v>44766</v>
      </c>
      <c r="S5168" t="s">
        <v>44902</v>
      </c>
      <c r="T5168" t="s">
        <v>46398</v>
      </c>
      <c r="U5168" t="s">
        <v>51296</v>
      </c>
      <c r="W5168" t="s">
        <v>42560</v>
      </c>
      <c r="X5168" t="s">
        <v>44782</v>
      </c>
    </row>
    <row r="5169" spans="1:24">
      <c r="A5169">
        <f>HYPERLINK("https://www.philgeps.gov.ph/GEPSNONPILOT/Tender/SplashBidNoticeAbstractUI.aspx?menuIndex=3&amp;refID=7148581&amp;Result=3","7148581")</f>
        <v>0</v>
      </c>
      <c r="B5169" t="s">
        <v>1886</v>
      </c>
      <c r="C5169" t="s">
        <v>8632</v>
      </c>
      <c r="D5169" t="s">
        <v>17985</v>
      </c>
      <c r="E5169" t="s">
        <v>22645</v>
      </c>
      <c r="F5169" t="s">
        <v>30900</v>
      </c>
      <c r="G5169" t="s">
        <v>30907</v>
      </c>
      <c r="H5169" t="s">
        <v>30916</v>
      </c>
      <c r="I5169" t="s">
        <v>8123</v>
      </c>
      <c r="J5169" t="s">
        <v>34469</v>
      </c>
      <c r="K5169" t="s">
        <v>40286</v>
      </c>
      <c r="M5169" t="s">
        <v>42561</v>
      </c>
      <c r="N5169" t="s">
        <v>44759</v>
      </c>
      <c r="O5169" t="s">
        <v>44760</v>
      </c>
      <c r="P5169">
        <v>0</v>
      </c>
      <c r="Q5169">
        <v>4</v>
      </c>
      <c r="R5169" t="s">
        <v>44765</v>
      </c>
      <c r="S5169" t="s">
        <v>44892</v>
      </c>
      <c r="T5169" t="s">
        <v>46428</v>
      </c>
      <c r="U5169" t="s">
        <v>51297</v>
      </c>
      <c r="W5169" t="s">
        <v>42561</v>
      </c>
      <c r="X5169" t="s">
        <v>44766</v>
      </c>
    </row>
    <row r="5170" spans="1:24">
      <c r="A5170">
        <f>HYPERLINK("https://www.philgeps.gov.ph/GEPSNONPILOT/Tender/SplashBidNoticeAbstractUI.aspx?menuIndex=3&amp;refID=7134275&amp;Result=3","7134275")</f>
        <v>0</v>
      </c>
      <c r="B5170" t="s">
        <v>1887</v>
      </c>
      <c r="C5170" t="s">
        <v>6064</v>
      </c>
      <c r="D5170" t="s">
        <v>18039</v>
      </c>
      <c r="E5170" t="s">
        <v>6064</v>
      </c>
      <c r="F5170" t="s">
        <v>30900</v>
      </c>
      <c r="G5170" t="s">
        <v>30907</v>
      </c>
      <c r="H5170" t="s">
        <v>30916</v>
      </c>
      <c r="I5170" t="s">
        <v>30923</v>
      </c>
      <c r="J5170" t="s">
        <v>34470</v>
      </c>
      <c r="K5170" t="s">
        <v>40289</v>
      </c>
      <c r="M5170" t="s">
        <v>42562</v>
      </c>
      <c r="N5170" t="s">
        <v>44759</v>
      </c>
      <c r="O5170" t="s">
        <v>44760</v>
      </c>
      <c r="P5170">
        <v>0</v>
      </c>
      <c r="Q5170">
        <v>15</v>
      </c>
      <c r="R5170" t="s">
        <v>44766</v>
      </c>
      <c r="S5170" t="s">
        <v>44902</v>
      </c>
      <c r="T5170" t="s">
        <v>46465</v>
      </c>
      <c r="U5170" t="s">
        <v>51298</v>
      </c>
      <c r="V5170" t="s">
        <v>59226</v>
      </c>
      <c r="W5170" t="s">
        <v>42562</v>
      </c>
      <c r="X5170" t="s">
        <v>44773</v>
      </c>
    </row>
    <row r="5171" spans="1:24">
      <c r="A5171">
        <f>HYPERLINK("https://www.philgeps.gov.ph/GEPSNONPILOT/Tender/SplashBidNoticeAbstractUI.aspx?menuIndex=3&amp;refID=7131923&amp;Result=3","7131923")</f>
        <v>0</v>
      </c>
      <c r="B5171" t="s">
        <v>1888</v>
      </c>
      <c r="C5171" t="s">
        <v>8633</v>
      </c>
      <c r="D5171" t="s">
        <v>18033</v>
      </c>
      <c r="E5171" t="s">
        <v>22646</v>
      </c>
      <c r="F5171" t="s">
        <v>30900</v>
      </c>
      <c r="G5171" t="s">
        <v>30907</v>
      </c>
      <c r="H5171" t="s">
        <v>30916</v>
      </c>
      <c r="I5171" t="s">
        <v>5830</v>
      </c>
      <c r="J5171" t="s">
        <v>34471</v>
      </c>
      <c r="K5171" t="s">
        <v>40286</v>
      </c>
      <c r="M5171" t="s">
        <v>42563</v>
      </c>
      <c r="N5171" t="s">
        <v>44759</v>
      </c>
      <c r="O5171" t="s">
        <v>44760</v>
      </c>
      <c r="P5171">
        <v>0</v>
      </c>
      <c r="Q5171">
        <v>6</v>
      </c>
      <c r="R5171" t="s">
        <v>44766</v>
      </c>
      <c r="S5171" t="s">
        <v>44902</v>
      </c>
      <c r="T5171" t="s">
        <v>46465</v>
      </c>
      <c r="U5171" t="s">
        <v>51299</v>
      </c>
      <c r="W5171" t="s">
        <v>42563</v>
      </c>
      <c r="X5171" t="s">
        <v>44774</v>
      </c>
    </row>
    <row r="5172" spans="1:24">
      <c r="A5172">
        <f>HYPERLINK("https://www.philgeps.gov.ph/GEPSNONPILOT/Tender/SplashBidNoticeAbstractUI.aspx?menuIndex=3&amp;refID=7148578&amp;Result=3","7148578")</f>
        <v>0</v>
      </c>
      <c r="B5172" t="s">
        <v>1886</v>
      </c>
      <c r="C5172" t="s">
        <v>8634</v>
      </c>
      <c r="D5172" t="s">
        <v>17985</v>
      </c>
      <c r="E5172" t="s">
        <v>22647</v>
      </c>
      <c r="F5172" t="s">
        <v>30900</v>
      </c>
      <c r="G5172" t="s">
        <v>30907</v>
      </c>
      <c r="H5172" t="s">
        <v>30916</v>
      </c>
      <c r="I5172" t="s">
        <v>30947</v>
      </c>
      <c r="J5172" t="s">
        <v>34472</v>
      </c>
      <c r="K5172" t="s">
        <v>40280</v>
      </c>
      <c r="M5172" t="s">
        <v>42561</v>
      </c>
      <c r="N5172" t="s">
        <v>44759</v>
      </c>
      <c r="O5172" t="s">
        <v>44760</v>
      </c>
      <c r="P5172">
        <v>0</v>
      </c>
      <c r="Q5172">
        <v>5</v>
      </c>
      <c r="R5172" t="s">
        <v>44765</v>
      </c>
      <c r="S5172" t="s">
        <v>44892</v>
      </c>
      <c r="T5172" t="s">
        <v>46428</v>
      </c>
      <c r="U5172" t="s">
        <v>51297</v>
      </c>
      <c r="W5172" t="s">
        <v>42561</v>
      </c>
      <c r="X5172" t="s">
        <v>44766</v>
      </c>
    </row>
    <row r="5173" spans="1:24">
      <c r="A5173">
        <f>HYPERLINK("https://www.philgeps.gov.ph/GEPSNONPILOT/Tender/SplashBidNoticeAbstractUI.aspx?menuIndex=3&amp;refID=7127512&amp;Result=3","7127512")</f>
        <v>0</v>
      </c>
      <c r="B5173" t="s">
        <v>1883</v>
      </c>
      <c r="C5173" t="s">
        <v>8635</v>
      </c>
      <c r="D5173" t="s">
        <v>17979</v>
      </c>
      <c r="E5173" t="s">
        <v>22648</v>
      </c>
      <c r="F5173" t="s">
        <v>30899</v>
      </c>
      <c r="G5173" t="s">
        <v>30909</v>
      </c>
      <c r="H5173" t="s">
        <v>30916</v>
      </c>
      <c r="I5173" t="s">
        <v>5501</v>
      </c>
      <c r="J5173" t="s">
        <v>34473</v>
      </c>
      <c r="K5173" t="s">
        <v>40289</v>
      </c>
      <c r="M5173" t="s">
        <v>42558</v>
      </c>
      <c r="N5173" t="s">
        <v>44759</v>
      </c>
      <c r="O5173" t="s">
        <v>44760</v>
      </c>
      <c r="P5173">
        <v>0</v>
      </c>
      <c r="Q5173">
        <v>1</v>
      </c>
      <c r="R5173" t="s">
        <v>44766</v>
      </c>
      <c r="S5173" t="s">
        <v>44902</v>
      </c>
      <c r="T5173" t="s">
        <v>46376</v>
      </c>
      <c r="U5173" t="s">
        <v>51300</v>
      </c>
      <c r="W5173" t="s">
        <v>42558</v>
      </c>
      <c r="X5173" t="s">
        <v>44775</v>
      </c>
    </row>
    <row r="5174" spans="1:24">
      <c r="A5174">
        <f>HYPERLINK("https://www.philgeps.gov.ph/GEPSNONPILOT/Tender/SplashBidNoticeAbstractUI.aspx?menuIndex=3&amp;refID=7148568&amp;Result=3","7148568")</f>
        <v>0</v>
      </c>
      <c r="B5174" t="s">
        <v>1889</v>
      </c>
      <c r="C5174" t="s">
        <v>8636</v>
      </c>
      <c r="D5174" t="s">
        <v>17978</v>
      </c>
      <c r="E5174" t="s">
        <v>22649</v>
      </c>
      <c r="F5174" t="s">
        <v>30900</v>
      </c>
      <c r="G5174" t="s">
        <v>30907</v>
      </c>
      <c r="H5174" t="s">
        <v>30915</v>
      </c>
      <c r="I5174" t="s">
        <v>30919</v>
      </c>
      <c r="J5174" t="s">
        <v>31101</v>
      </c>
      <c r="K5174" t="s">
        <v>40293</v>
      </c>
      <c r="M5174" t="s">
        <v>42564</v>
      </c>
      <c r="N5174" t="s">
        <v>44759</v>
      </c>
      <c r="O5174" t="s">
        <v>44760</v>
      </c>
      <c r="P5174">
        <v>0</v>
      </c>
      <c r="Q5174">
        <v>0</v>
      </c>
      <c r="R5174" t="s">
        <v>44765</v>
      </c>
      <c r="S5174" t="s">
        <v>44892</v>
      </c>
      <c r="T5174" t="s">
        <v>46429</v>
      </c>
      <c r="U5174" t="s">
        <v>51301</v>
      </c>
      <c r="W5174" t="s">
        <v>42564</v>
      </c>
      <c r="X5174" t="s">
        <v>44766</v>
      </c>
    </row>
    <row r="5175" spans="1:24">
      <c r="A5175">
        <f>HYPERLINK("https://www.philgeps.gov.ph/GEPSNONPILOT/Tender/SplashBidNoticeAbstractUI.aspx?menuIndex=3&amp;refID=7148567&amp;Result=3","7148567")</f>
        <v>0</v>
      </c>
      <c r="B5175" t="s">
        <v>1890</v>
      </c>
      <c r="C5175" t="s">
        <v>8637</v>
      </c>
      <c r="D5175" t="s">
        <v>17970</v>
      </c>
      <c r="E5175" t="s">
        <v>22650</v>
      </c>
      <c r="F5175" t="s">
        <v>30900</v>
      </c>
      <c r="G5175" t="s">
        <v>30908</v>
      </c>
      <c r="H5175" t="s">
        <v>30916</v>
      </c>
      <c r="I5175" t="s">
        <v>30944</v>
      </c>
      <c r="J5175" t="s">
        <v>31490</v>
      </c>
      <c r="K5175" t="s">
        <v>40283</v>
      </c>
      <c r="M5175" t="s">
        <v>42565</v>
      </c>
      <c r="N5175" t="s">
        <v>44759</v>
      </c>
      <c r="O5175" t="s">
        <v>44760</v>
      </c>
      <c r="P5175">
        <v>0</v>
      </c>
      <c r="Q5175">
        <v>1</v>
      </c>
      <c r="R5175" t="s">
        <v>44765</v>
      </c>
      <c r="S5175" t="s">
        <v>44892</v>
      </c>
      <c r="T5175" t="s">
        <v>46581</v>
      </c>
      <c r="U5175" t="s">
        <v>51302</v>
      </c>
      <c r="W5175" t="s">
        <v>42565</v>
      </c>
      <c r="X5175" t="s">
        <v>44766</v>
      </c>
    </row>
    <row r="5176" spans="1:24">
      <c r="A5176">
        <f>HYPERLINK("https://www.philgeps.gov.ph/GEPSNONPILOT/Tender/SplashBidNoticeAbstractUI.aspx?menuIndex=3&amp;refID=7148565&amp;Result=3","7148565")</f>
        <v>0</v>
      </c>
      <c r="B5176" t="s">
        <v>1890</v>
      </c>
      <c r="C5176" t="s">
        <v>8638</v>
      </c>
      <c r="D5176" t="s">
        <v>17970</v>
      </c>
      <c r="E5176" t="s">
        <v>22651</v>
      </c>
      <c r="F5176" t="s">
        <v>30900</v>
      </c>
      <c r="G5176" t="s">
        <v>30908</v>
      </c>
      <c r="H5176" t="s">
        <v>30916</v>
      </c>
      <c r="I5176" t="s">
        <v>30926</v>
      </c>
      <c r="J5176" t="s">
        <v>34474</v>
      </c>
      <c r="K5176" t="s">
        <v>40283</v>
      </c>
      <c r="M5176" t="s">
        <v>42565</v>
      </c>
      <c r="N5176" t="s">
        <v>44759</v>
      </c>
      <c r="O5176" t="s">
        <v>44760</v>
      </c>
      <c r="P5176">
        <v>0</v>
      </c>
      <c r="Q5176">
        <v>0</v>
      </c>
      <c r="R5176" t="s">
        <v>44765</v>
      </c>
      <c r="S5176" t="s">
        <v>44892</v>
      </c>
      <c r="T5176" t="s">
        <v>46581</v>
      </c>
      <c r="U5176" t="s">
        <v>51303</v>
      </c>
      <c r="W5176" t="s">
        <v>42565</v>
      </c>
      <c r="X5176" t="s">
        <v>44766</v>
      </c>
    </row>
    <row r="5177" spans="1:24">
      <c r="A5177">
        <f>HYPERLINK("https://www.philgeps.gov.ph/GEPSNONPILOT/Tender/SplashBidNoticeAbstractUI.aspx?menuIndex=3&amp;refID=7148535&amp;Result=3","7148535")</f>
        <v>0</v>
      </c>
      <c r="B5177" t="s">
        <v>1890</v>
      </c>
      <c r="C5177" t="s">
        <v>8639</v>
      </c>
      <c r="D5177" t="s">
        <v>17970</v>
      </c>
      <c r="E5177" t="s">
        <v>22652</v>
      </c>
      <c r="F5177" t="s">
        <v>30900</v>
      </c>
      <c r="G5177" t="s">
        <v>30907</v>
      </c>
      <c r="H5177" t="s">
        <v>30916</v>
      </c>
      <c r="I5177" t="s">
        <v>4545</v>
      </c>
      <c r="J5177" t="s">
        <v>34475</v>
      </c>
      <c r="K5177" t="s">
        <v>40283</v>
      </c>
      <c r="M5177" t="s">
        <v>42565</v>
      </c>
      <c r="N5177" t="s">
        <v>44759</v>
      </c>
      <c r="O5177" t="s">
        <v>44760</v>
      </c>
      <c r="P5177">
        <v>0</v>
      </c>
      <c r="Q5177">
        <v>6</v>
      </c>
      <c r="R5177" t="s">
        <v>44765</v>
      </c>
      <c r="S5177" t="s">
        <v>44892</v>
      </c>
      <c r="T5177" t="s">
        <v>46539</v>
      </c>
      <c r="U5177" t="s">
        <v>51304</v>
      </c>
      <c r="W5177" t="s">
        <v>42565</v>
      </c>
      <c r="X5177" t="s">
        <v>44766</v>
      </c>
    </row>
    <row r="5178" spans="1:24">
      <c r="A5178">
        <f>HYPERLINK("https://www.philgeps.gov.ph/GEPSNONPILOT/Tender/SplashBidNoticeAbstractUI.aspx?menuIndex=3&amp;refID=7112597&amp;Result=3","7112597")</f>
        <v>0</v>
      </c>
      <c r="B5178" t="s">
        <v>1885</v>
      </c>
      <c r="C5178" t="s">
        <v>8640</v>
      </c>
      <c r="D5178" t="s">
        <v>17953</v>
      </c>
      <c r="E5178" t="s">
        <v>20646</v>
      </c>
      <c r="F5178" t="s">
        <v>30900</v>
      </c>
      <c r="G5178" t="s">
        <v>30907</v>
      </c>
      <c r="H5178" t="s">
        <v>30916</v>
      </c>
      <c r="I5178" t="s">
        <v>30935</v>
      </c>
      <c r="J5178" t="s">
        <v>32307</v>
      </c>
      <c r="K5178" t="s">
        <v>40281</v>
      </c>
      <c r="M5178" t="s">
        <v>42560</v>
      </c>
      <c r="N5178" t="s">
        <v>44759</v>
      </c>
      <c r="O5178" t="s">
        <v>44760</v>
      </c>
      <c r="P5178">
        <v>0</v>
      </c>
      <c r="Q5178">
        <v>2</v>
      </c>
      <c r="R5178" t="s">
        <v>44766</v>
      </c>
      <c r="S5178" t="s">
        <v>44902</v>
      </c>
      <c r="T5178" t="s">
        <v>46398</v>
      </c>
      <c r="U5178" t="s">
        <v>51305</v>
      </c>
      <c r="W5178" t="s">
        <v>42560</v>
      </c>
      <c r="X5178" t="s">
        <v>44782</v>
      </c>
    </row>
    <row r="5179" spans="1:24">
      <c r="A5179">
        <f>HYPERLINK("https://www.philgeps.gov.ph/GEPSNONPILOT/Tender/SplashBidNoticeAbstractUI.aspx?menuIndex=3&amp;refID=7145071&amp;Result=3","7145071")</f>
        <v>0</v>
      </c>
      <c r="B5179" t="s">
        <v>1810</v>
      </c>
      <c r="C5179" t="s">
        <v>8641</v>
      </c>
      <c r="D5179" t="s">
        <v>17959</v>
      </c>
      <c r="E5179" t="s">
        <v>22653</v>
      </c>
      <c r="F5179" t="s">
        <v>30900</v>
      </c>
      <c r="G5179" t="s">
        <v>30907</v>
      </c>
      <c r="H5179" t="s">
        <v>30916</v>
      </c>
      <c r="I5179" t="s">
        <v>30918</v>
      </c>
      <c r="J5179" t="s">
        <v>34476</v>
      </c>
      <c r="K5179" t="s">
        <v>40289</v>
      </c>
      <c r="M5179" t="s">
        <v>42484</v>
      </c>
      <c r="N5179" t="s">
        <v>44759</v>
      </c>
      <c r="O5179" t="s">
        <v>44760</v>
      </c>
      <c r="P5179">
        <v>0</v>
      </c>
      <c r="Q5179">
        <v>3</v>
      </c>
      <c r="R5179" t="s">
        <v>44765</v>
      </c>
      <c r="S5179" t="s">
        <v>44892</v>
      </c>
      <c r="T5179" t="s">
        <v>46376</v>
      </c>
      <c r="U5179" t="s">
        <v>51306</v>
      </c>
      <c r="W5179" t="s">
        <v>42484</v>
      </c>
      <c r="X5179" t="s">
        <v>44768</v>
      </c>
    </row>
    <row r="5180" spans="1:24">
      <c r="A5180">
        <f>HYPERLINK("https://www.philgeps.gov.ph/GEPSNONPILOT/Tender/SplashBidNoticeAbstractUI.aspx?menuIndex=3&amp;refID=7106985-2&amp;Result=3","7106985-2")</f>
        <v>0</v>
      </c>
      <c r="B5180" t="s">
        <v>1859</v>
      </c>
      <c r="C5180" t="s">
        <v>8642</v>
      </c>
      <c r="E5180" t="s">
        <v>22654</v>
      </c>
      <c r="F5180" t="s">
        <v>30900</v>
      </c>
      <c r="G5180" t="s">
        <v>30907</v>
      </c>
      <c r="H5180" t="s">
        <v>7411</v>
      </c>
      <c r="I5180" t="s">
        <v>7411</v>
      </c>
      <c r="J5180" t="s">
        <v>34477</v>
      </c>
      <c r="K5180" t="s">
        <v>40342</v>
      </c>
      <c r="M5180" t="s">
        <v>42533</v>
      </c>
      <c r="N5180" t="s">
        <v>44759</v>
      </c>
      <c r="O5180" t="s">
        <v>44760</v>
      </c>
      <c r="P5180">
        <v>0</v>
      </c>
      <c r="Q5180">
        <v>2</v>
      </c>
      <c r="R5180" t="s">
        <v>44766</v>
      </c>
      <c r="S5180" t="s">
        <v>44902</v>
      </c>
      <c r="T5180" t="s">
        <v>46389</v>
      </c>
      <c r="U5180" t="s">
        <v>51307</v>
      </c>
      <c r="W5180" t="s">
        <v>42533</v>
      </c>
      <c r="X5180" t="s">
        <v>44767</v>
      </c>
    </row>
    <row r="5181" spans="1:24">
      <c r="A5181">
        <f>HYPERLINK("https://www.philgeps.gov.ph/GEPSNONPILOT/Tender/SplashBidNoticeAbstractUI.aspx?menuIndex=3&amp;refID=7148728&amp;Result=3","7148728")</f>
        <v>0</v>
      </c>
      <c r="B5181" t="s">
        <v>1791</v>
      </c>
      <c r="C5181" t="s">
        <v>8643</v>
      </c>
      <c r="D5181" t="s">
        <v>17966</v>
      </c>
      <c r="E5181" t="s">
        <v>22655</v>
      </c>
      <c r="F5181" t="s">
        <v>30900</v>
      </c>
      <c r="G5181" t="s">
        <v>30907</v>
      </c>
      <c r="H5181" t="s">
        <v>30916</v>
      </c>
      <c r="I5181" t="s">
        <v>30983</v>
      </c>
      <c r="J5181" t="s">
        <v>34478</v>
      </c>
      <c r="K5181" t="s">
        <v>40283</v>
      </c>
      <c r="M5181" t="s">
        <v>42465</v>
      </c>
      <c r="N5181" t="s">
        <v>44759</v>
      </c>
      <c r="O5181" t="s">
        <v>44760</v>
      </c>
      <c r="P5181">
        <v>0</v>
      </c>
      <c r="Q5181">
        <v>0</v>
      </c>
      <c r="R5181" t="s">
        <v>44764</v>
      </c>
      <c r="S5181" t="s">
        <v>44889</v>
      </c>
      <c r="T5181" t="s">
        <v>46357</v>
      </c>
      <c r="U5181" t="s">
        <v>51308</v>
      </c>
      <c r="V5181" t="s">
        <v>59627</v>
      </c>
      <c r="W5181" t="s">
        <v>42465</v>
      </c>
      <c r="X5181" t="s">
        <v>44765</v>
      </c>
    </row>
    <row r="5182" spans="1:24">
      <c r="A5182">
        <f>HYPERLINK("https://www.philgeps.gov.ph/GEPSNONPILOT/Tender/SplashBidNoticeAbstractUI.aspx?menuIndex=3&amp;refID=7121659&amp;Result=3","7121659")</f>
        <v>0</v>
      </c>
      <c r="B5182" t="s">
        <v>1891</v>
      </c>
      <c r="C5182" t="s">
        <v>8644</v>
      </c>
      <c r="D5182" t="s">
        <v>17959</v>
      </c>
      <c r="E5182" t="s">
        <v>22656</v>
      </c>
      <c r="F5182" t="s">
        <v>30900</v>
      </c>
      <c r="G5182" t="s">
        <v>30908</v>
      </c>
      <c r="H5182" t="s">
        <v>30916</v>
      </c>
      <c r="I5182" t="s">
        <v>7411</v>
      </c>
      <c r="J5182" t="s">
        <v>34479</v>
      </c>
      <c r="K5182" t="s">
        <v>40283</v>
      </c>
      <c r="M5182" t="s">
        <v>42566</v>
      </c>
      <c r="N5182" t="s">
        <v>44759</v>
      </c>
      <c r="O5182" t="s">
        <v>44760</v>
      </c>
      <c r="P5182">
        <v>0</v>
      </c>
      <c r="Q5182">
        <v>3</v>
      </c>
      <c r="R5182" t="s">
        <v>44766</v>
      </c>
      <c r="S5182" t="s">
        <v>44902</v>
      </c>
      <c r="T5182" t="s">
        <v>46533</v>
      </c>
      <c r="U5182" t="s">
        <v>51309</v>
      </c>
      <c r="W5182" t="s">
        <v>42566</v>
      </c>
      <c r="X5182" t="s">
        <v>44777</v>
      </c>
    </row>
    <row r="5183" spans="1:24">
      <c r="A5183">
        <f>HYPERLINK("https://www.philgeps.gov.ph/GEPSNONPILOT/Tender/SplashBidNoticeAbstractUI.aspx?menuIndex=3&amp;refID=7148687&amp;Result=3","7148687")</f>
        <v>0</v>
      </c>
      <c r="B5183" t="s">
        <v>1793</v>
      </c>
      <c r="C5183" t="s">
        <v>8645</v>
      </c>
      <c r="D5183" t="s">
        <v>18031</v>
      </c>
      <c r="E5183" t="s">
        <v>22048</v>
      </c>
      <c r="F5183" t="s">
        <v>30900</v>
      </c>
      <c r="G5183" t="s">
        <v>30907</v>
      </c>
      <c r="H5183" t="s">
        <v>30917</v>
      </c>
      <c r="I5183" t="s">
        <v>30933</v>
      </c>
      <c r="J5183" t="s">
        <v>31297</v>
      </c>
      <c r="K5183" t="s">
        <v>40283</v>
      </c>
      <c r="M5183" t="s">
        <v>42467</v>
      </c>
      <c r="N5183" t="s">
        <v>44759</v>
      </c>
      <c r="O5183" t="s">
        <v>44760</v>
      </c>
      <c r="P5183">
        <v>0</v>
      </c>
      <c r="Q5183">
        <v>2</v>
      </c>
      <c r="R5183" t="s">
        <v>44764</v>
      </c>
      <c r="S5183" t="s">
        <v>44889</v>
      </c>
      <c r="T5183" t="s">
        <v>46592</v>
      </c>
      <c r="U5183" t="s">
        <v>51310</v>
      </c>
      <c r="W5183" t="s">
        <v>42467</v>
      </c>
      <c r="X5183" t="s">
        <v>44765</v>
      </c>
    </row>
    <row r="5184" spans="1:24">
      <c r="A5184">
        <f>HYPERLINK("https://www.philgeps.gov.ph/GEPSNONPILOT/Tender/SplashBidNoticeAbstractUI.aspx?menuIndex=3&amp;refID=7148570&amp;Result=3","7148570")</f>
        <v>0</v>
      </c>
      <c r="B5184" t="s">
        <v>1892</v>
      </c>
      <c r="C5184" t="s">
        <v>8646</v>
      </c>
      <c r="D5184" t="s">
        <v>17977</v>
      </c>
      <c r="E5184" t="s">
        <v>22657</v>
      </c>
      <c r="F5184" t="s">
        <v>30900</v>
      </c>
      <c r="G5184" t="s">
        <v>30910</v>
      </c>
      <c r="H5184" t="s">
        <v>30916</v>
      </c>
      <c r="I5184" t="s">
        <v>4545</v>
      </c>
      <c r="J5184" t="s">
        <v>31501</v>
      </c>
      <c r="K5184" t="s">
        <v>40289</v>
      </c>
      <c r="M5184" t="s">
        <v>42567</v>
      </c>
      <c r="N5184" t="s">
        <v>44759</v>
      </c>
      <c r="O5184" t="s">
        <v>44760</v>
      </c>
      <c r="P5184">
        <v>0</v>
      </c>
      <c r="Q5184">
        <v>0</v>
      </c>
      <c r="R5184" t="s">
        <v>44765</v>
      </c>
      <c r="S5184" t="s">
        <v>44892</v>
      </c>
      <c r="T5184" t="s">
        <v>46581</v>
      </c>
      <c r="U5184" t="s">
        <v>51311</v>
      </c>
      <c r="W5184" t="s">
        <v>42567</v>
      </c>
      <c r="X5184" t="s">
        <v>44766</v>
      </c>
    </row>
    <row r="5185" spans="1:24">
      <c r="A5185">
        <f>HYPERLINK("https://www.philgeps.gov.ph/GEPSNONPILOT/Tender/SplashBidNoticeAbstractUI.aspx?menuIndex=3&amp;refID=7148683&amp;Result=3","7148683")</f>
        <v>0</v>
      </c>
      <c r="B5185" t="s">
        <v>1893</v>
      </c>
      <c r="C5185" t="s">
        <v>8647</v>
      </c>
      <c r="E5185" t="s">
        <v>22372</v>
      </c>
      <c r="F5185" t="s">
        <v>30900</v>
      </c>
      <c r="G5185" t="s">
        <v>30907</v>
      </c>
      <c r="H5185" t="s">
        <v>30916</v>
      </c>
      <c r="I5185" t="s">
        <v>8123</v>
      </c>
      <c r="J5185" t="s">
        <v>34480</v>
      </c>
      <c r="K5185" t="s">
        <v>40289</v>
      </c>
      <c r="M5185" t="s">
        <v>42568</v>
      </c>
      <c r="N5185" t="s">
        <v>44759</v>
      </c>
      <c r="O5185" t="s">
        <v>44760</v>
      </c>
      <c r="P5185">
        <v>0</v>
      </c>
      <c r="Q5185">
        <v>0</v>
      </c>
      <c r="R5185" t="s">
        <v>44764</v>
      </c>
      <c r="S5185" t="s">
        <v>44889</v>
      </c>
      <c r="T5185" t="s">
        <v>46357</v>
      </c>
      <c r="U5185" t="s">
        <v>51312</v>
      </c>
      <c r="W5185" t="s">
        <v>42568</v>
      </c>
      <c r="X5185" t="s">
        <v>44765</v>
      </c>
    </row>
    <row r="5186" spans="1:24">
      <c r="A5186">
        <f>HYPERLINK("https://www.philgeps.gov.ph/GEPSNONPILOT/Tender/SplashBidNoticeAbstractUI.aspx?menuIndex=3&amp;refID=7148674&amp;Result=3","7148674")</f>
        <v>0</v>
      </c>
      <c r="B5186" t="s">
        <v>771</v>
      </c>
      <c r="C5186" t="s">
        <v>8648</v>
      </c>
      <c r="D5186" t="s">
        <v>17981</v>
      </c>
      <c r="E5186" t="s">
        <v>22658</v>
      </c>
      <c r="F5186" t="s">
        <v>30900</v>
      </c>
      <c r="G5186" t="s">
        <v>30907</v>
      </c>
      <c r="H5186" t="s">
        <v>30916</v>
      </c>
      <c r="I5186" t="s">
        <v>5830</v>
      </c>
      <c r="J5186" t="s">
        <v>34481</v>
      </c>
      <c r="K5186" t="s">
        <v>40289</v>
      </c>
      <c r="M5186" t="s">
        <v>41337</v>
      </c>
      <c r="N5186" t="s">
        <v>44759</v>
      </c>
      <c r="O5186" t="s">
        <v>44760</v>
      </c>
      <c r="P5186">
        <v>0</v>
      </c>
      <c r="Q5186">
        <v>15</v>
      </c>
      <c r="R5186" t="s">
        <v>44764</v>
      </c>
      <c r="S5186" t="s">
        <v>44889</v>
      </c>
      <c r="T5186" t="s">
        <v>46389</v>
      </c>
      <c r="U5186" t="s">
        <v>51313</v>
      </c>
      <c r="W5186" t="s">
        <v>41337</v>
      </c>
      <c r="X5186" t="s">
        <v>44765</v>
      </c>
    </row>
    <row r="5187" spans="1:24">
      <c r="A5187">
        <f>HYPERLINK("https://www.philgeps.gov.ph/GEPSNONPILOT/Tender/SplashBidNoticeAbstractUI.aspx?menuIndex=3&amp;refID=7145076&amp;Result=3","7145076")</f>
        <v>0</v>
      </c>
      <c r="B5187" t="s">
        <v>1810</v>
      </c>
      <c r="C5187" t="s">
        <v>8649</v>
      </c>
      <c r="D5187" t="s">
        <v>17959</v>
      </c>
      <c r="E5187" t="s">
        <v>22659</v>
      </c>
      <c r="F5187" t="s">
        <v>30900</v>
      </c>
      <c r="G5187" t="s">
        <v>30907</v>
      </c>
      <c r="H5187" t="s">
        <v>30916</v>
      </c>
      <c r="I5187" t="s">
        <v>30952</v>
      </c>
      <c r="J5187" t="s">
        <v>34482</v>
      </c>
      <c r="K5187" t="s">
        <v>40289</v>
      </c>
      <c r="M5187" t="s">
        <v>42484</v>
      </c>
      <c r="N5187" t="s">
        <v>44759</v>
      </c>
      <c r="O5187" t="s">
        <v>44760</v>
      </c>
      <c r="P5187">
        <v>0</v>
      </c>
      <c r="Q5187">
        <v>3</v>
      </c>
      <c r="R5187" t="s">
        <v>44765</v>
      </c>
      <c r="S5187" t="s">
        <v>44892</v>
      </c>
      <c r="T5187" t="s">
        <v>46376</v>
      </c>
      <c r="U5187" t="s">
        <v>51314</v>
      </c>
      <c r="W5187" t="s">
        <v>42484</v>
      </c>
      <c r="X5187" t="s">
        <v>44768</v>
      </c>
    </row>
    <row r="5188" spans="1:24">
      <c r="A5188">
        <f>HYPERLINK("https://www.philgeps.gov.ph/GEPSNONPILOT/Tender/SplashBidNoticeAbstractUI.aspx?menuIndex=3&amp;refID=7148733&amp;Result=3","7148733")</f>
        <v>0</v>
      </c>
      <c r="B5188" t="s">
        <v>1791</v>
      </c>
      <c r="C5188" t="s">
        <v>8650</v>
      </c>
      <c r="D5188" t="s">
        <v>17966</v>
      </c>
      <c r="E5188" t="s">
        <v>22660</v>
      </c>
      <c r="F5188" t="s">
        <v>30900</v>
      </c>
      <c r="G5188" t="s">
        <v>30907</v>
      </c>
      <c r="H5188" t="s">
        <v>30916</v>
      </c>
      <c r="I5188" t="s">
        <v>30949</v>
      </c>
      <c r="J5188" t="s">
        <v>34483</v>
      </c>
      <c r="K5188" t="s">
        <v>40283</v>
      </c>
      <c r="M5188" t="s">
        <v>42465</v>
      </c>
      <c r="N5188" t="s">
        <v>44759</v>
      </c>
      <c r="O5188" t="s">
        <v>44760</v>
      </c>
      <c r="P5188">
        <v>0</v>
      </c>
      <c r="Q5188">
        <v>0</v>
      </c>
      <c r="R5188" t="s">
        <v>44764</v>
      </c>
      <c r="S5188" t="s">
        <v>44889</v>
      </c>
      <c r="T5188" t="s">
        <v>46357</v>
      </c>
      <c r="U5188" t="s">
        <v>51315</v>
      </c>
      <c r="V5188" t="s">
        <v>59627</v>
      </c>
      <c r="W5188" t="s">
        <v>42465</v>
      </c>
      <c r="X5188" t="s">
        <v>44765</v>
      </c>
    </row>
    <row r="5189" spans="1:24">
      <c r="A5189">
        <f>HYPERLINK("https://www.philgeps.gov.ph/GEPSNONPILOT/Tender/SplashBidNoticeAbstractUI.aspx?menuIndex=3&amp;refID=7148635&amp;Result=3","7148635")</f>
        <v>0</v>
      </c>
      <c r="B5189" t="s">
        <v>556</v>
      </c>
      <c r="C5189" t="s">
        <v>8651</v>
      </c>
      <c r="D5189" t="s">
        <v>17959</v>
      </c>
      <c r="E5189" t="s">
        <v>22661</v>
      </c>
      <c r="F5189" t="s">
        <v>30900</v>
      </c>
      <c r="G5189" t="s">
        <v>30907</v>
      </c>
      <c r="H5189" t="s">
        <v>30916</v>
      </c>
      <c r="I5189" t="s">
        <v>30955</v>
      </c>
      <c r="J5189" t="s">
        <v>34484</v>
      </c>
      <c r="K5189" t="s">
        <v>40286</v>
      </c>
      <c r="M5189" t="s">
        <v>41117</v>
      </c>
      <c r="N5189" t="s">
        <v>44759</v>
      </c>
      <c r="O5189" t="s">
        <v>44760</v>
      </c>
      <c r="P5189">
        <v>0</v>
      </c>
      <c r="Q5189">
        <v>3</v>
      </c>
      <c r="R5189" t="s">
        <v>44764</v>
      </c>
      <c r="S5189" t="s">
        <v>44889</v>
      </c>
      <c r="T5189" t="s">
        <v>46424</v>
      </c>
      <c r="U5189" t="s">
        <v>51316</v>
      </c>
      <c r="W5189" t="s">
        <v>41117</v>
      </c>
      <c r="X5189" t="s">
        <v>44765</v>
      </c>
    </row>
    <row r="5190" spans="1:24">
      <c r="A5190">
        <f>HYPERLINK("https://www.philgeps.gov.ph/GEPSNONPILOT/Tender/SplashBidNoticeAbstractUI.aspx?menuIndex=3&amp;refID=7148634&amp;Result=3","7148634")</f>
        <v>0</v>
      </c>
      <c r="B5190" t="s">
        <v>58</v>
      </c>
      <c r="C5190" t="s">
        <v>8278</v>
      </c>
      <c r="D5190" t="s">
        <v>17977</v>
      </c>
      <c r="E5190" t="s">
        <v>22662</v>
      </c>
      <c r="F5190" t="s">
        <v>30900</v>
      </c>
      <c r="G5190" t="s">
        <v>30910</v>
      </c>
      <c r="H5190" t="s">
        <v>30916</v>
      </c>
      <c r="I5190" t="s">
        <v>4142</v>
      </c>
      <c r="J5190" t="s">
        <v>34485</v>
      </c>
      <c r="K5190" t="s">
        <v>40287</v>
      </c>
      <c r="M5190" t="s">
        <v>40604</v>
      </c>
      <c r="N5190" t="s">
        <v>44759</v>
      </c>
      <c r="O5190" t="s">
        <v>44760</v>
      </c>
      <c r="P5190">
        <v>0</v>
      </c>
      <c r="Q5190">
        <v>2</v>
      </c>
      <c r="R5190" t="s">
        <v>44764</v>
      </c>
      <c r="S5190" t="s">
        <v>44889</v>
      </c>
      <c r="T5190" t="s">
        <v>46625</v>
      </c>
      <c r="U5190" t="s">
        <v>50977</v>
      </c>
      <c r="W5190" t="s">
        <v>60815</v>
      </c>
      <c r="X5190" t="s">
        <v>44765</v>
      </c>
    </row>
    <row r="5191" spans="1:24">
      <c r="A5191">
        <f>HYPERLINK("https://www.philgeps.gov.ph/GEPSNONPILOT/Tender/SplashBidNoticeAbstractUI.aspx?menuIndex=3&amp;refID=7138413&amp;Result=3","7138413")</f>
        <v>0</v>
      </c>
      <c r="B5191" t="s">
        <v>523</v>
      </c>
      <c r="C5191" t="s">
        <v>8652</v>
      </c>
      <c r="D5191" t="s">
        <v>17985</v>
      </c>
      <c r="E5191" t="s">
        <v>22663</v>
      </c>
      <c r="F5191" t="s">
        <v>30900</v>
      </c>
      <c r="G5191" t="s">
        <v>30907</v>
      </c>
      <c r="H5191" t="s">
        <v>30916</v>
      </c>
      <c r="I5191" t="s">
        <v>30947</v>
      </c>
      <c r="J5191" t="s">
        <v>34486</v>
      </c>
      <c r="K5191" t="s">
        <v>40286</v>
      </c>
      <c r="M5191" t="s">
        <v>42169</v>
      </c>
      <c r="N5191" t="s">
        <v>44759</v>
      </c>
      <c r="O5191" t="s">
        <v>44760</v>
      </c>
      <c r="P5191">
        <v>0</v>
      </c>
      <c r="Q5191">
        <v>3</v>
      </c>
      <c r="R5191" t="s">
        <v>44766</v>
      </c>
      <c r="S5191" t="s">
        <v>44902</v>
      </c>
      <c r="T5191" t="s">
        <v>46377</v>
      </c>
      <c r="U5191" t="s">
        <v>51317</v>
      </c>
      <c r="W5191" t="s">
        <v>60865</v>
      </c>
      <c r="X5191" t="s">
        <v>44770</v>
      </c>
    </row>
    <row r="5192" spans="1:24">
      <c r="A5192">
        <f>HYPERLINK("https://www.philgeps.gov.ph/GEPSNONPILOT/Tender/SplashBidNoticeAbstractUI.aspx?menuIndex=3&amp;refID=7141127&amp;Result=3","7141127")</f>
        <v>0</v>
      </c>
      <c r="B5192" t="s">
        <v>1894</v>
      </c>
      <c r="C5192" t="s">
        <v>8653</v>
      </c>
      <c r="D5192" t="s">
        <v>17986</v>
      </c>
      <c r="E5192" t="s">
        <v>22664</v>
      </c>
      <c r="F5192" t="s">
        <v>30900</v>
      </c>
      <c r="G5192" t="s">
        <v>30909</v>
      </c>
      <c r="H5192" t="s">
        <v>30916</v>
      </c>
      <c r="I5192" t="s">
        <v>8123</v>
      </c>
      <c r="J5192" t="s">
        <v>34487</v>
      </c>
      <c r="K5192" t="s">
        <v>40283</v>
      </c>
      <c r="M5192" t="s">
        <v>42569</v>
      </c>
      <c r="N5192" t="s">
        <v>44759</v>
      </c>
      <c r="O5192" t="s">
        <v>44760</v>
      </c>
      <c r="P5192">
        <v>0</v>
      </c>
      <c r="Q5192">
        <v>0</v>
      </c>
      <c r="R5192" t="s">
        <v>44766</v>
      </c>
      <c r="S5192" t="s">
        <v>44902</v>
      </c>
      <c r="T5192" t="s">
        <v>46658</v>
      </c>
      <c r="U5192" t="s">
        <v>51318</v>
      </c>
      <c r="W5192" t="s">
        <v>42569</v>
      </c>
      <c r="X5192" t="s">
        <v>44769</v>
      </c>
    </row>
    <row r="5193" spans="1:24">
      <c r="A5193">
        <f>HYPERLINK("https://www.philgeps.gov.ph/GEPSNONPILOT/Tender/SplashBidNoticeAbstractUI.aspx?menuIndex=3&amp;refID=7148681&amp;Result=3","7148681")</f>
        <v>0</v>
      </c>
      <c r="B5193" t="s">
        <v>1777</v>
      </c>
      <c r="C5193" t="s">
        <v>8654</v>
      </c>
      <c r="D5193" t="s">
        <v>17994</v>
      </c>
      <c r="E5193" t="s">
        <v>8654</v>
      </c>
      <c r="F5193" t="s">
        <v>30900</v>
      </c>
      <c r="G5193" t="s">
        <v>30907</v>
      </c>
      <c r="H5193" t="s">
        <v>30916</v>
      </c>
      <c r="I5193" t="s">
        <v>30924</v>
      </c>
      <c r="J5193" t="s">
        <v>34488</v>
      </c>
      <c r="K5193" t="s">
        <v>40286</v>
      </c>
      <c r="M5193" t="s">
        <v>42460</v>
      </c>
      <c r="N5193" t="s">
        <v>44759</v>
      </c>
      <c r="O5193" t="s">
        <v>44760</v>
      </c>
      <c r="P5193">
        <v>0</v>
      </c>
      <c r="Q5193">
        <v>1</v>
      </c>
      <c r="R5193" t="s">
        <v>44764</v>
      </c>
      <c r="S5193" t="s">
        <v>44889</v>
      </c>
      <c r="T5193" t="s">
        <v>46483</v>
      </c>
      <c r="U5193" t="s">
        <v>51319</v>
      </c>
      <c r="W5193" t="s">
        <v>42460</v>
      </c>
      <c r="X5193" t="s">
        <v>44765</v>
      </c>
    </row>
    <row r="5194" spans="1:24">
      <c r="A5194">
        <f>HYPERLINK("https://www.philgeps.gov.ph/GEPSNONPILOT/Tender/SplashBidNoticeAbstractUI.aspx?menuIndex=3&amp;refID=7140919&amp;Result=3","7140919")</f>
        <v>0</v>
      </c>
      <c r="B5194" t="s">
        <v>115</v>
      </c>
      <c r="C5194" t="s">
        <v>8655</v>
      </c>
      <c r="D5194" t="s">
        <v>17960</v>
      </c>
      <c r="E5194" t="s">
        <v>22665</v>
      </c>
      <c r="F5194" t="s">
        <v>30900</v>
      </c>
      <c r="G5194" t="s">
        <v>30907</v>
      </c>
      <c r="H5194" t="s">
        <v>30915</v>
      </c>
      <c r="I5194" t="s">
        <v>30919</v>
      </c>
      <c r="J5194" t="s">
        <v>32967</v>
      </c>
      <c r="K5194" t="s">
        <v>40304</v>
      </c>
      <c r="M5194" t="s">
        <v>40662</v>
      </c>
      <c r="N5194" t="s">
        <v>44759</v>
      </c>
      <c r="O5194" t="s">
        <v>44760</v>
      </c>
      <c r="P5194">
        <v>0</v>
      </c>
      <c r="Q5194">
        <v>0</v>
      </c>
      <c r="R5194" t="s">
        <v>44766</v>
      </c>
      <c r="S5194" t="s">
        <v>44902</v>
      </c>
      <c r="T5194" t="s">
        <v>46380</v>
      </c>
      <c r="U5194" t="s">
        <v>51279</v>
      </c>
      <c r="V5194" t="s">
        <v>59659</v>
      </c>
      <c r="W5194" t="s">
        <v>40662</v>
      </c>
      <c r="X5194" t="s">
        <v>44769</v>
      </c>
    </row>
    <row r="5195" spans="1:24">
      <c r="A5195">
        <f>HYPERLINK("https://www.philgeps.gov.ph/GEPSNONPILOT/Tender/SplashBidNoticeAbstractUI.aspx?menuIndex=3&amp;refID=7140861&amp;Result=3","7140861")</f>
        <v>0</v>
      </c>
      <c r="B5195" t="s">
        <v>115</v>
      </c>
      <c r="C5195" t="s">
        <v>8656</v>
      </c>
      <c r="D5195" t="s">
        <v>17960</v>
      </c>
      <c r="E5195" t="s">
        <v>22666</v>
      </c>
      <c r="F5195" t="s">
        <v>30900</v>
      </c>
      <c r="G5195" t="s">
        <v>30907</v>
      </c>
      <c r="H5195" t="s">
        <v>30915</v>
      </c>
      <c r="I5195" t="s">
        <v>30919</v>
      </c>
      <c r="J5195" t="s">
        <v>32967</v>
      </c>
      <c r="K5195" t="s">
        <v>40304</v>
      </c>
      <c r="M5195" t="s">
        <v>40662</v>
      </c>
      <c r="N5195" t="s">
        <v>44759</v>
      </c>
      <c r="O5195" t="s">
        <v>44760</v>
      </c>
      <c r="P5195">
        <v>0</v>
      </c>
      <c r="Q5195">
        <v>0</v>
      </c>
      <c r="R5195" t="s">
        <v>44766</v>
      </c>
      <c r="S5195" t="s">
        <v>44902</v>
      </c>
      <c r="T5195" t="s">
        <v>46380</v>
      </c>
      <c r="U5195" t="s">
        <v>51279</v>
      </c>
      <c r="V5195" t="s">
        <v>59660</v>
      </c>
      <c r="W5195" t="s">
        <v>40662</v>
      </c>
      <c r="X5195" t="s">
        <v>44769</v>
      </c>
    </row>
    <row r="5196" spans="1:24">
      <c r="A5196">
        <f>HYPERLINK("https://www.philgeps.gov.ph/GEPSNONPILOT/Tender/SplashBidNoticeAbstractUI.aspx?menuIndex=3&amp;refID=7148720&amp;Result=3","7148720")</f>
        <v>0</v>
      </c>
      <c r="B5196" t="s">
        <v>1246</v>
      </c>
      <c r="C5196" t="s">
        <v>8657</v>
      </c>
      <c r="E5196" t="s">
        <v>22667</v>
      </c>
      <c r="F5196" t="s">
        <v>30900</v>
      </c>
      <c r="G5196" t="s">
        <v>30908</v>
      </c>
      <c r="H5196" t="s">
        <v>30916</v>
      </c>
      <c r="I5196" t="s">
        <v>4545</v>
      </c>
      <c r="J5196" t="s">
        <v>31043</v>
      </c>
      <c r="K5196" t="s">
        <v>40289</v>
      </c>
      <c r="M5196" t="s">
        <v>41858</v>
      </c>
      <c r="N5196" t="s">
        <v>44759</v>
      </c>
      <c r="O5196" t="s">
        <v>44760</v>
      </c>
      <c r="P5196">
        <v>0</v>
      </c>
      <c r="Q5196">
        <v>0</v>
      </c>
      <c r="R5196" t="s">
        <v>44764</v>
      </c>
      <c r="S5196" t="s">
        <v>44889</v>
      </c>
      <c r="T5196" t="s">
        <v>46662</v>
      </c>
      <c r="U5196" t="s">
        <v>51320</v>
      </c>
      <c r="W5196" t="s">
        <v>41858</v>
      </c>
      <c r="X5196" t="s">
        <v>44765</v>
      </c>
    </row>
    <row r="5197" spans="1:24">
      <c r="A5197">
        <f>HYPERLINK("https://www.philgeps.gov.ph/GEPSNONPILOT/Tender/SplashBidNoticeAbstractUI.aspx?menuIndex=3&amp;refID=7148688&amp;Result=3","7148688")</f>
        <v>0</v>
      </c>
      <c r="B5197" t="s">
        <v>1723</v>
      </c>
      <c r="C5197" t="s">
        <v>8658</v>
      </c>
      <c r="D5197" t="s">
        <v>17957</v>
      </c>
      <c r="E5197" t="s">
        <v>22668</v>
      </c>
      <c r="F5197" t="s">
        <v>30900</v>
      </c>
      <c r="G5197" t="s">
        <v>30909</v>
      </c>
      <c r="H5197" t="s">
        <v>30916</v>
      </c>
      <c r="I5197" t="s">
        <v>6408</v>
      </c>
      <c r="J5197" t="s">
        <v>31585</v>
      </c>
      <c r="K5197" t="s">
        <v>40286</v>
      </c>
      <c r="M5197" t="s">
        <v>42387</v>
      </c>
      <c r="N5197" t="s">
        <v>44759</v>
      </c>
      <c r="O5197" t="s">
        <v>44760</v>
      </c>
      <c r="P5197">
        <v>0</v>
      </c>
      <c r="Q5197">
        <v>1</v>
      </c>
      <c r="R5197" t="s">
        <v>44764</v>
      </c>
      <c r="S5197" t="s">
        <v>44889</v>
      </c>
      <c r="T5197" t="s">
        <v>46412</v>
      </c>
      <c r="U5197" t="s">
        <v>51321</v>
      </c>
      <c r="W5197" t="s">
        <v>42387</v>
      </c>
      <c r="X5197" t="s">
        <v>44765</v>
      </c>
    </row>
    <row r="5198" spans="1:24">
      <c r="A5198">
        <f>HYPERLINK("https://www.philgeps.gov.ph/GEPSNONPILOT/Tender/SplashBidNoticeAbstractUI.aspx?menuIndex=3&amp;refID=7140090&amp;Result=3","7140090")</f>
        <v>0</v>
      </c>
      <c r="B5198" t="s">
        <v>432</v>
      </c>
      <c r="C5198" t="s">
        <v>8659</v>
      </c>
      <c r="D5198" t="s">
        <v>17955</v>
      </c>
      <c r="E5198" t="s">
        <v>22669</v>
      </c>
      <c r="F5198" t="s">
        <v>30900</v>
      </c>
      <c r="G5198" t="s">
        <v>30907</v>
      </c>
      <c r="H5198" t="s">
        <v>30916</v>
      </c>
      <c r="I5198" t="s">
        <v>30929</v>
      </c>
      <c r="J5198" t="s">
        <v>32130</v>
      </c>
      <c r="K5198" t="s">
        <v>40286</v>
      </c>
      <c r="M5198" t="s">
        <v>40989</v>
      </c>
      <c r="N5198" t="s">
        <v>44759</v>
      </c>
      <c r="O5198" t="s">
        <v>44760</v>
      </c>
      <c r="P5198">
        <v>0</v>
      </c>
      <c r="Q5198">
        <v>9</v>
      </c>
      <c r="R5198" t="s">
        <v>44766</v>
      </c>
      <c r="S5198" t="s">
        <v>44902</v>
      </c>
      <c r="T5198" t="s">
        <v>46377</v>
      </c>
      <c r="U5198" t="s">
        <v>51322</v>
      </c>
      <c r="V5198" t="s">
        <v>59661</v>
      </c>
      <c r="W5198" t="s">
        <v>40989</v>
      </c>
      <c r="X5198" t="s">
        <v>44769</v>
      </c>
    </row>
    <row r="5199" spans="1:24">
      <c r="A5199">
        <f>HYPERLINK("https://www.philgeps.gov.ph/GEPSNONPILOT/Tender/SplashBidNoticeAbstractUI.aspx?menuIndex=3&amp;refID=7141110&amp;Result=3","7141110")</f>
        <v>0</v>
      </c>
      <c r="B5199" t="s">
        <v>1895</v>
      </c>
      <c r="C5199" t="s">
        <v>8660</v>
      </c>
      <c r="D5199" t="s">
        <v>17963</v>
      </c>
      <c r="E5199" t="s">
        <v>18066</v>
      </c>
      <c r="F5199" t="s">
        <v>30900</v>
      </c>
      <c r="G5199" t="s">
        <v>30907</v>
      </c>
      <c r="H5199" t="s">
        <v>30916</v>
      </c>
      <c r="I5199" t="s">
        <v>30983</v>
      </c>
      <c r="J5199" t="s">
        <v>31101</v>
      </c>
      <c r="K5199" t="s">
        <v>40287</v>
      </c>
      <c r="M5199" t="s">
        <v>42570</v>
      </c>
      <c r="N5199" t="s">
        <v>44759</v>
      </c>
      <c r="O5199" t="s">
        <v>44760</v>
      </c>
      <c r="P5199">
        <v>0</v>
      </c>
      <c r="Q5199">
        <v>1</v>
      </c>
      <c r="R5199" t="s">
        <v>44766</v>
      </c>
      <c r="S5199" t="s">
        <v>44902</v>
      </c>
      <c r="T5199" t="s">
        <v>46495</v>
      </c>
      <c r="U5199" t="s">
        <v>51323</v>
      </c>
      <c r="W5199" t="s">
        <v>42570</v>
      </c>
      <c r="X5199" t="s">
        <v>44769</v>
      </c>
    </row>
    <row r="5200" spans="1:24">
      <c r="A5200">
        <f>HYPERLINK("https://www.philgeps.gov.ph/GEPSNONPILOT/Tender/SplashBidNoticeAbstractUI.aspx?menuIndex=3&amp;refID=7140196&amp;Result=3","7140196")</f>
        <v>0</v>
      </c>
      <c r="B5200" t="s">
        <v>1896</v>
      </c>
      <c r="C5200" t="s">
        <v>8661</v>
      </c>
      <c r="D5200" t="s">
        <v>18005</v>
      </c>
      <c r="E5200" t="s">
        <v>22670</v>
      </c>
      <c r="F5200" t="s">
        <v>30900</v>
      </c>
      <c r="G5200" t="s">
        <v>30909</v>
      </c>
      <c r="H5200" t="s">
        <v>30916</v>
      </c>
      <c r="I5200" t="s">
        <v>30922</v>
      </c>
      <c r="J5200" t="s">
        <v>31066</v>
      </c>
      <c r="K5200" t="s">
        <v>40284</v>
      </c>
      <c r="M5200" t="s">
        <v>42571</v>
      </c>
      <c r="N5200" t="s">
        <v>44759</v>
      </c>
      <c r="O5200" t="s">
        <v>44760</v>
      </c>
      <c r="P5200">
        <v>0</v>
      </c>
      <c r="Q5200">
        <v>11</v>
      </c>
      <c r="R5200" t="s">
        <v>44766</v>
      </c>
      <c r="S5200" t="s">
        <v>44902</v>
      </c>
      <c r="T5200" t="s">
        <v>46662</v>
      </c>
      <c r="U5200" t="s">
        <v>51324</v>
      </c>
      <c r="W5200" t="s">
        <v>42571</v>
      </c>
      <c r="X5200" t="s">
        <v>44769</v>
      </c>
    </row>
    <row r="5201" spans="1:24">
      <c r="A5201">
        <f>HYPERLINK("https://www.philgeps.gov.ph/GEPSNONPILOT/Tender/SplashBidNoticeAbstractUI.aspx?menuIndex=3&amp;refID=7140181&amp;Result=3","7140181")</f>
        <v>0</v>
      </c>
      <c r="B5201" t="s">
        <v>1897</v>
      </c>
      <c r="C5201" t="s">
        <v>8662</v>
      </c>
      <c r="D5201" t="s">
        <v>18002</v>
      </c>
      <c r="E5201" t="s">
        <v>22671</v>
      </c>
      <c r="F5201" t="s">
        <v>30900</v>
      </c>
      <c r="G5201" t="s">
        <v>30907</v>
      </c>
      <c r="H5201" t="s">
        <v>30915</v>
      </c>
      <c r="I5201" t="s">
        <v>30971</v>
      </c>
      <c r="J5201" t="s">
        <v>34489</v>
      </c>
      <c r="K5201" t="s">
        <v>40410</v>
      </c>
      <c r="M5201" t="s">
        <v>42572</v>
      </c>
      <c r="N5201" t="s">
        <v>44759</v>
      </c>
      <c r="O5201" t="s">
        <v>44760</v>
      </c>
      <c r="Q5201">
        <v>4</v>
      </c>
      <c r="R5201" t="s">
        <v>44766</v>
      </c>
      <c r="S5201" t="s">
        <v>44903</v>
      </c>
      <c r="T5201" t="s">
        <v>46706</v>
      </c>
      <c r="U5201" t="s">
        <v>51325</v>
      </c>
      <c r="V5201" t="s">
        <v>59662</v>
      </c>
      <c r="W5201" t="s">
        <v>42572</v>
      </c>
      <c r="X5201" t="s">
        <v>44769</v>
      </c>
    </row>
    <row r="5202" spans="1:24">
      <c r="A5202">
        <f>HYPERLINK("https://www.philgeps.gov.ph/GEPSNONPILOT/Tender/SplashBidNoticeAbstractUI.aspx?menuIndex=3&amp;refID=7148641&amp;Result=3","7148641")</f>
        <v>0</v>
      </c>
      <c r="B5202" t="s">
        <v>1898</v>
      </c>
      <c r="C5202" t="s">
        <v>8663</v>
      </c>
      <c r="E5202" t="s">
        <v>18306</v>
      </c>
      <c r="F5202" t="s">
        <v>30900</v>
      </c>
      <c r="G5202" t="s">
        <v>30907</v>
      </c>
      <c r="H5202" t="s">
        <v>30915</v>
      </c>
      <c r="I5202" t="s">
        <v>30919</v>
      </c>
      <c r="J5202" t="s">
        <v>31101</v>
      </c>
      <c r="K5202" t="s">
        <v>40291</v>
      </c>
      <c r="M5202" t="s">
        <v>42573</v>
      </c>
      <c r="N5202" t="s">
        <v>44759</v>
      </c>
      <c r="O5202" t="s">
        <v>44760</v>
      </c>
      <c r="P5202">
        <v>0</v>
      </c>
      <c r="Q5202">
        <v>0</v>
      </c>
      <c r="R5202" t="s">
        <v>44764</v>
      </c>
      <c r="S5202" t="s">
        <v>44889</v>
      </c>
      <c r="T5202" t="s">
        <v>46511</v>
      </c>
      <c r="U5202" t="s">
        <v>51326</v>
      </c>
      <c r="W5202" t="s">
        <v>42573</v>
      </c>
      <c r="X5202" t="s">
        <v>44765</v>
      </c>
    </row>
    <row r="5203" spans="1:24">
      <c r="A5203">
        <f>HYPERLINK("https://www.philgeps.gov.ph/GEPSNONPILOT/Tender/SplashBidNoticeAbstractUI.aspx?menuIndex=3&amp;refID=7139274&amp;Result=3","7139274")</f>
        <v>0</v>
      </c>
      <c r="B5203" t="s">
        <v>235</v>
      </c>
      <c r="C5203" t="s">
        <v>8664</v>
      </c>
      <c r="D5203" t="s">
        <v>17959</v>
      </c>
      <c r="E5203" t="s">
        <v>22672</v>
      </c>
      <c r="F5203" t="s">
        <v>30900</v>
      </c>
      <c r="G5203" t="s">
        <v>30907</v>
      </c>
      <c r="H5203" t="s">
        <v>30916</v>
      </c>
      <c r="I5203" t="s">
        <v>5501</v>
      </c>
      <c r="J5203" t="s">
        <v>34490</v>
      </c>
      <c r="K5203" t="s">
        <v>40284</v>
      </c>
      <c r="M5203" t="s">
        <v>42574</v>
      </c>
      <c r="N5203" t="s">
        <v>44759</v>
      </c>
      <c r="O5203" t="s">
        <v>44760</v>
      </c>
      <c r="P5203">
        <v>0</v>
      </c>
      <c r="Q5203">
        <v>15</v>
      </c>
      <c r="R5203" t="s">
        <v>44766</v>
      </c>
      <c r="S5203" t="s">
        <v>44902</v>
      </c>
      <c r="T5203" t="s">
        <v>46380</v>
      </c>
      <c r="U5203" t="s">
        <v>51327</v>
      </c>
      <c r="W5203" t="s">
        <v>42574</v>
      </c>
      <c r="X5203" t="s">
        <v>44769</v>
      </c>
    </row>
    <row r="5204" spans="1:24">
      <c r="A5204">
        <f>HYPERLINK("https://www.philgeps.gov.ph/GEPSNONPILOT/Tender/SplashBidNoticeAbstractUI.aspx?menuIndex=3&amp;refID=7138755&amp;Result=3","7138755")</f>
        <v>0</v>
      </c>
      <c r="B5204" t="s">
        <v>1275</v>
      </c>
      <c r="C5204" t="s">
        <v>8665</v>
      </c>
      <c r="D5204" t="s">
        <v>17980</v>
      </c>
      <c r="E5204" t="s">
        <v>22673</v>
      </c>
      <c r="F5204" t="s">
        <v>30900</v>
      </c>
      <c r="G5204" t="s">
        <v>30907</v>
      </c>
      <c r="H5204" t="s">
        <v>30915</v>
      </c>
      <c r="I5204" t="s">
        <v>30919</v>
      </c>
      <c r="J5204" t="s">
        <v>34491</v>
      </c>
      <c r="K5204" t="s">
        <v>40354</v>
      </c>
      <c r="M5204" t="s">
        <v>41891</v>
      </c>
      <c r="N5204" t="s">
        <v>44759</v>
      </c>
      <c r="O5204" t="s">
        <v>44760</v>
      </c>
      <c r="P5204">
        <v>0</v>
      </c>
      <c r="Q5204">
        <v>0</v>
      </c>
      <c r="R5204" t="s">
        <v>44766</v>
      </c>
      <c r="S5204" t="s">
        <v>44902</v>
      </c>
      <c r="T5204" t="s">
        <v>46363</v>
      </c>
      <c r="U5204" t="s">
        <v>51328</v>
      </c>
      <c r="W5204" t="s">
        <v>41891</v>
      </c>
      <c r="X5204" t="s">
        <v>44770</v>
      </c>
    </row>
    <row r="5205" spans="1:24">
      <c r="A5205">
        <f>HYPERLINK("https://www.philgeps.gov.ph/GEPSNONPILOT/Tender/SplashBidNoticeAbstractUI.aspx?menuIndex=3&amp;refID=7139512&amp;Result=3","7139512")</f>
        <v>0</v>
      </c>
      <c r="B5205" t="s">
        <v>1899</v>
      </c>
      <c r="C5205" t="s">
        <v>8666</v>
      </c>
      <c r="D5205" t="s">
        <v>17992</v>
      </c>
      <c r="E5205" t="s">
        <v>22674</v>
      </c>
      <c r="F5205" t="s">
        <v>30900</v>
      </c>
      <c r="G5205" t="s">
        <v>30907</v>
      </c>
      <c r="H5205" t="s">
        <v>30916</v>
      </c>
      <c r="I5205" t="s">
        <v>8123</v>
      </c>
      <c r="J5205" t="s">
        <v>34492</v>
      </c>
      <c r="K5205" t="s">
        <v>40283</v>
      </c>
      <c r="M5205" t="s">
        <v>42575</v>
      </c>
      <c r="N5205" t="s">
        <v>44759</v>
      </c>
      <c r="O5205" t="s">
        <v>44760</v>
      </c>
      <c r="P5205">
        <v>0</v>
      </c>
      <c r="Q5205">
        <v>0</v>
      </c>
      <c r="R5205" t="s">
        <v>44766</v>
      </c>
      <c r="S5205" t="s">
        <v>44902</v>
      </c>
      <c r="T5205" t="s">
        <v>46414</v>
      </c>
      <c r="U5205" t="s">
        <v>51329</v>
      </c>
      <c r="V5205" t="s">
        <v>59663</v>
      </c>
      <c r="W5205" t="s">
        <v>42575</v>
      </c>
      <c r="X5205" t="s">
        <v>44769</v>
      </c>
    </row>
    <row r="5206" spans="1:24">
      <c r="A5206">
        <f>HYPERLINK("https://www.philgeps.gov.ph/GEPSNONPILOT/Tender/SplashBidNoticeAbstractUI.aspx?menuIndex=3&amp;refID=7144743&amp;Result=3","7144743")</f>
        <v>0</v>
      </c>
      <c r="B5206" t="s">
        <v>1900</v>
      </c>
      <c r="C5206" t="s">
        <v>8667</v>
      </c>
      <c r="D5206" t="s">
        <v>17990</v>
      </c>
      <c r="E5206" t="s">
        <v>22675</v>
      </c>
      <c r="F5206" t="s">
        <v>30900</v>
      </c>
      <c r="G5206" t="s">
        <v>30907</v>
      </c>
      <c r="H5206" t="s">
        <v>30915</v>
      </c>
      <c r="I5206" t="s">
        <v>30919</v>
      </c>
      <c r="J5206" t="s">
        <v>34493</v>
      </c>
      <c r="K5206" t="s">
        <v>40342</v>
      </c>
      <c r="M5206" t="s">
        <v>42576</v>
      </c>
      <c r="N5206" t="s">
        <v>44759</v>
      </c>
      <c r="O5206" t="s">
        <v>44760</v>
      </c>
      <c r="P5206">
        <v>0</v>
      </c>
      <c r="Q5206">
        <v>5</v>
      </c>
      <c r="R5206" t="s">
        <v>44766</v>
      </c>
      <c r="S5206" t="s">
        <v>44902</v>
      </c>
      <c r="T5206" t="s">
        <v>46450</v>
      </c>
      <c r="U5206" t="s">
        <v>51330</v>
      </c>
      <c r="W5206" t="s">
        <v>42576</v>
      </c>
      <c r="X5206" t="s">
        <v>44768</v>
      </c>
    </row>
    <row r="5207" spans="1:24">
      <c r="A5207">
        <f>HYPERLINK("https://www.philgeps.gov.ph/GEPSNONPILOT/Tender/SplashBidNoticeAbstractUI.aspx?menuIndex=3&amp;refID=7144717&amp;Result=3","7144717")</f>
        <v>0</v>
      </c>
      <c r="B5207" t="s">
        <v>496</v>
      </c>
      <c r="C5207" t="s">
        <v>8668</v>
      </c>
      <c r="D5207" t="s">
        <v>18019</v>
      </c>
      <c r="E5207" t="s">
        <v>22676</v>
      </c>
      <c r="F5207" t="s">
        <v>30900</v>
      </c>
      <c r="G5207" t="s">
        <v>30907</v>
      </c>
      <c r="H5207" t="s">
        <v>30915</v>
      </c>
      <c r="I5207" t="s">
        <v>30919</v>
      </c>
      <c r="J5207" t="s">
        <v>32276</v>
      </c>
      <c r="K5207" t="s">
        <v>40377</v>
      </c>
      <c r="M5207" t="s">
        <v>42577</v>
      </c>
      <c r="N5207" t="s">
        <v>44759</v>
      </c>
      <c r="O5207" t="s">
        <v>44760</v>
      </c>
      <c r="P5207">
        <v>0</v>
      </c>
      <c r="Q5207">
        <v>3</v>
      </c>
      <c r="R5207" t="s">
        <v>44766</v>
      </c>
      <c r="S5207" t="s">
        <v>44902</v>
      </c>
      <c r="T5207" t="s">
        <v>46515</v>
      </c>
      <c r="U5207" t="s">
        <v>51331</v>
      </c>
      <c r="W5207" t="s">
        <v>42577</v>
      </c>
      <c r="X5207" t="s">
        <v>44768</v>
      </c>
    </row>
    <row r="5208" spans="1:24">
      <c r="A5208">
        <f>HYPERLINK("https://www.philgeps.gov.ph/GEPSNONPILOT/Tender/SplashBidNoticeAbstractUI.aspx?menuIndex=3&amp;refID=7144626&amp;Result=3","7144626")</f>
        <v>0</v>
      </c>
      <c r="B5208" t="s">
        <v>1901</v>
      </c>
      <c r="C5208" t="s">
        <v>8669</v>
      </c>
      <c r="D5208" t="s">
        <v>17984</v>
      </c>
      <c r="E5208" t="s">
        <v>19755</v>
      </c>
      <c r="F5208" t="s">
        <v>30900</v>
      </c>
      <c r="G5208" t="s">
        <v>30907</v>
      </c>
      <c r="H5208" t="s">
        <v>30915</v>
      </c>
      <c r="I5208" t="s">
        <v>30919</v>
      </c>
      <c r="J5208" t="s">
        <v>34494</v>
      </c>
      <c r="K5208" t="s">
        <v>40342</v>
      </c>
      <c r="M5208" t="s">
        <v>42578</v>
      </c>
      <c r="N5208" t="s">
        <v>44759</v>
      </c>
      <c r="O5208" t="s">
        <v>44760</v>
      </c>
      <c r="P5208">
        <v>0</v>
      </c>
      <c r="Q5208">
        <v>1</v>
      </c>
      <c r="R5208" t="s">
        <v>44766</v>
      </c>
      <c r="S5208" t="s">
        <v>44902</v>
      </c>
      <c r="T5208" t="s">
        <v>46450</v>
      </c>
      <c r="U5208" t="s">
        <v>51332</v>
      </c>
      <c r="W5208" t="s">
        <v>42578</v>
      </c>
      <c r="X5208" t="s">
        <v>44768</v>
      </c>
    </row>
    <row r="5209" spans="1:24">
      <c r="A5209">
        <f>HYPERLINK("https://www.philgeps.gov.ph/GEPSNONPILOT/Tender/SplashBidNoticeAbstractUI.aspx?menuIndex=3&amp;refID=7144622&amp;Result=3","7144622")</f>
        <v>0</v>
      </c>
      <c r="B5209" t="s">
        <v>662</v>
      </c>
      <c r="C5209" t="s">
        <v>8670</v>
      </c>
      <c r="D5209" t="s">
        <v>18025</v>
      </c>
      <c r="E5209" t="s">
        <v>22677</v>
      </c>
      <c r="F5209" t="s">
        <v>30900</v>
      </c>
      <c r="G5209" t="s">
        <v>30909</v>
      </c>
      <c r="H5209" t="s">
        <v>30916</v>
      </c>
      <c r="I5209" t="s">
        <v>30924</v>
      </c>
      <c r="J5209" t="s">
        <v>31335</v>
      </c>
      <c r="K5209" t="s">
        <v>40283</v>
      </c>
      <c r="M5209" t="s">
        <v>41225</v>
      </c>
      <c r="N5209" t="s">
        <v>44759</v>
      </c>
      <c r="O5209" t="s">
        <v>44760</v>
      </c>
      <c r="P5209">
        <v>0</v>
      </c>
      <c r="Q5209">
        <v>2</v>
      </c>
      <c r="R5209" t="s">
        <v>44766</v>
      </c>
      <c r="S5209" t="s">
        <v>44902</v>
      </c>
      <c r="T5209" t="s">
        <v>46398</v>
      </c>
      <c r="U5209" t="s">
        <v>51333</v>
      </c>
      <c r="W5209" t="s">
        <v>41225</v>
      </c>
      <c r="X5209" t="s">
        <v>44768</v>
      </c>
    </row>
    <row r="5210" spans="1:24">
      <c r="A5210">
        <f>HYPERLINK("https://www.philgeps.gov.ph/GEPSNONPILOT/Tender/SplashBidNoticeAbstractUI.aspx?menuIndex=3&amp;refID=7139469&amp;Result=3","7139469")</f>
        <v>0</v>
      </c>
      <c r="B5210" t="s">
        <v>1822</v>
      </c>
      <c r="C5210" t="s">
        <v>8671</v>
      </c>
      <c r="D5210" t="s">
        <v>18033</v>
      </c>
      <c r="E5210" t="s">
        <v>22678</v>
      </c>
      <c r="F5210" t="s">
        <v>30900</v>
      </c>
      <c r="G5210" t="s">
        <v>30907</v>
      </c>
      <c r="H5210" t="s">
        <v>30916</v>
      </c>
      <c r="I5210" t="s">
        <v>30939</v>
      </c>
      <c r="J5210" t="s">
        <v>34495</v>
      </c>
      <c r="K5210" t="s">
        <v>40291</v>
      </c>
      <c r="M5210" t="s">
        <v>42495</v>
      </c>
      <c r="N5210" t="s">
        <v>44759</v>
      </c>
      <c r="O5210" t="s">
        <v>44760</v>
      </c>
      <c r="P5210">
        <v>0</v>
      </c>
      <c r="Q5210">
        <v>0</v>
      </c>
      <c r="R5210" t="s">
        <v>44766</v>
      </c>
      <c r="S5210" t="s">
        <v>44902</v>
      </c>
      <c r="T5210" t="s">
        <v>46450</v>
      </c>
      <c r="U5210" t="s">
        <v>51098</v>
      </c>
      <c r="W5210" t="s">
        <v>42495</v>
      </c>
      <c r="X5210" t="s">
        <v>44769</v>
      </c>
    </row>
    <row r="5211" spans="1:24">
      <c r="A5211">
        <f>HYPERLINK("https://www.philgeps.gov.ph/GEPSNONPILOT/Tender/SplashBidNoticeAbstractUI.aspx?menuIndex=3&amp;refID=7144515&amp;Result=3","7144515")</f>
        <v>0</v>
      </c>
      <c r="B5211" t="s">
        <v>1901</v>
      </c>
      <c r="C5211" t="s">
        <v>8672</v>
      </c>
      <c r="D5211" t="s">
        <v>17984</v>
      </c>
      <c r="E5211" t="s">
        <v>19215</v>
      </c>
      <c r="F5211" t="s">
        <v>30900</v>
      </c>
      <c r="G5211" t="s">
        <v>30907</v>
      </c>
      <c r="H5211" t="s">
        <v>30915</v>
      </c>
      <c r="I5211" t="s">
        <v>30919</v>
      </c>
      <c r="J5211" t="s">
        <v>34496</v>
      </c>
      <c r="K5211" t="s">
        <v>40286</v>
      </c>
      <c r="M5211" t="s">
        <v>42578</v>
      </c>
      <c r="N5211" t="s">
        <v>44759</v>
      </c>
      <c r="O5211" t="s">
        <v>44760</v>
      </c>
      <c r="P5211">
        <v>0</v>
      </c>
      <c r="Q5211">
        <v>0</v>
      </c>
      <c r="R5211" t="s">
        <v>44766</v>
      </c>
      <c r="S5211" t="s">
        <v>44902</v>
      </c>
      <c r="T5211" t="s">
        <v>46450</v>
      </c>
      <c r="U5211" t="s">
        <v>51334</v>
      </c>
      <c r="W5211" t="s">
        <v>42578</v>
      </c>
      <c r="X5211" t="s">
        <v>44768</v>
      </c>
    </row>
    <row r="5212" spans="1:24">
      <c r="A5212">
        <f>HYPERLINK("https://www.philgeps.gov.ph/GEPSNONPILOT/Tender/SplashBidNoticeAbstractUI.aspx?menuIndex=3&amp;refID=7139655&amp;Result=3","7139655")</f>
        <v>0</v>
      </c>
      <c r="B5212" t="s">
        <v>1902</v>
      </c>
      <c r="C5212" t="s">
        <v>8673</v>
      </c>
      <c r="D5212" t="s">
        <v>17971</v>
      </c>
      <c r="E5212" t="s">
        <v>22679</v>
      </c>
      <c r="F5212" t="s">
        <v>30900</v>
      </c>
      <c r="G5212" t="s">
        <v>30908</v>
      </c>
      <c r="H5212" t="s">
        <v>30916</v>
      </c>
      <c r="I5212" t="s">
        <v>9385</v>
      </c>
      <c r="J5212" t="s">
        <v>34497</v>
      </c>
      <c r="K5212" t="s">
        <v>40288</v>
      </c>
      <c r="M5212" t="s">
        <v>42579</v>
      </c>
      <c r="N5212" t="s">
        <v>44759</v>
      </c>
      <c r="O5212" t="s">
        <v>44760</v>
      </c>
      <c r="P5212">
        <v>0</v>
      </c>
      <c r="Q5212">
        <v>10</v>
      </c>
      <c r="R5212" t="s">
        <v>44766</v>
      </c>
      <c r="S5212" t="s">
        <v>44902</v>
      </c>
      <c r="T5212" t="s">
        <v>46571</v>
      </c>
      <c r="U5212" t="s">
        <v>51335</v>
      </c>
      <c r="W5212" t="s">
        <v>42579</v>
      </c>
      <c r="X5212" t="s">
        <v>44769</v>
      </c>
    </row>
    <row r="5213" spans="1:24">
      <c r="A5213">
        <f>HYPERLINK("https://www.philgeps.gov.ph/GEPSNONPILOT/Tender/SplashBidNoticeAbstractUI.aspx?menuIndex=3&amp;refID=7144603&amp;Result=3","7144603")</f>
        <v>0</v>
      </c>
      <c r="B5213" t="s">
        <v>1903</v>
      </c>
      <c r="C5213" t="s">
        <v>8674</v>
      </c>
      <c r="D5213" t="s">
        <v>17979</v>
      </c>
      <c r="E5213" t="s">
        <v>22680</v>
      </c>
      <c r="F5213" t="s">
        <v>30900</v>
      </c>
      <c r="G5213" t="s">
        <v>30907</v>
      </c>
      <c r="H5213" t="s">
        <v>30916</v>
      </c>
      <c r="I5213" t="s">
        <v>8365</v>
      </c>
      <c r="J5213" t="s">
        <v>34498</v>
      </c>
      <c r="K5213" t="s">
        <v>40292</v>
      </c>
      <c r="M5213" t="s">
        <v>42580</v>
      </c>
      <c r="N5213" t="s">
        <v>44759</v>
      </c>
      <c r="O5213" t="s">
        <v>44760</v>
      </c>
      <c r="P5213">
        <v>0</v>
      </c>
      <c r="Q5213">
        <v>0</v>
      </c>
      <c r="R5213" t="s">
        <v>44766</v>
      </c>
      <c r="S5213" t="s">
        <v>44902</v>
      </c>
      <c r="T5213" t="s">
        <v>46428</v>
      </c>
      <c r="U5213" t="s">
        <v>51336</v>
      </c>
      <c r="W5213" t="s">
        <v>42580</v>
      </c>
      <c r="X5213" t="s">
        <v>44768</v>
      </c>
    </row>
    <row r="5214" spans="1:24">
      <c r="A5214">
        <f>HYPERLINK("https://www.philgeps.gov.ph/GEPSNONPILOT/Tender/SplashBidNoticeAbstractUI.aspx?menuIndex=3&amp;refID=7144381&amp;Result=3","7144381")</f>
        <v>0</v>
      </c>
      <c r="B5214" t="s">
        <v>1901</v>
      </c>
      <c r="C5214" t="s">
        <v>8675</v>
      </c>
      <c r="D5214" t="s">
        <v>17984</v>
      </c>
      <c r="E5214" t="s">
        <v>18493</v>
      </c>
      <c r="F5214" t="s">
        <v>30900</v>
      </c>
      <c r="G5214" t="s">
        <v>30907</v>
      </c>
      <c r="H5214" t="s">
        <v>30916</v>
      </c>
      <c r="I5214" t="s">
        <v>30949</v>
      </c>
      <c r="J5214" t="s">
        <v>34499</v>
      </c>
      <c r="K5214" t="s">
        <v>40292</v>
      </c>
      <c r="M5214" t="s">
        <v>42578</v>
      </c>
      <c r="N5214" t="s">
        <v>44759</v>
      </c>
      <c r="O5214" t="s">
        <v>44760</v>
      </c>
      <c r="P5214">
        <v>0</v>
      </c>
      <c r="Q5214">
        <v>4</v>
      </c>
      <c r="R5214" t="s">
        <v>44766</v>
      </c>
      <c r="S5214" t="s">
        <v>44902</v>
      </c>
      <c r="T5214" t="s">
        <v>46450</v>
      </c>
      <c r="U5214" t="s">
        <v>51337</v>
      </c>
      <c r="W5214" t="s">
        <v>42578</v>
      </c>
      <c r="X5214" t="s">
        <v>44768</v>
      </c>
    </row>
    <row r="5215" spans="1:24">
      <c r="A5215">
        <f>HYPERLINK("https://www.philgeps.gov.ph/GEPSNONPILOT/Tender/SplashBidNoticeAbstractUI.aspx?menuIndex=3&amp;refID=7138758&amp;Result=3","7138758")</f>
        <v>0</v>
      </c>
      <c r="B5215" t="s">
        <v>1275</v>
      </c>
      <c r="C5215" t="s">
        <v>8676</v>
      </c>
      <c r="D5215" t="s">
        <v>17980</v>
      </c>
      <c r="E5215" t="s">
        <v>22681</v>
      </c>
      <c r="F5215" t="s">
        <v>30900</v>
      </c>
      <c r="G5215" t="s">
        <v>30907</v>
      </c>
      <c r="H5215" t="s">
        <v>30915</v>
      </c>
      <c r="I5215" t="s">
        <v>30919</v>
      </c>
      <c r="J5215" t="s">
        <v>34500</v>
      </c>
      <c r="K5215" t="s">
        <v>40280</v>
      </c>
      <c r="M5215" t="s">
        <v>41891</v>
      </c>
      <c r="N5215" t="s">
        <v>44759</v>
      </c>
      <c r="O5215" t="s">
        <v>44760</v>
      </c>
      <c r="P5215">
        <v>0</v>
      </c>
      <c r="Q5215">
        <v>0</v>
      </c>
      <c r="R5215" t="s">
        <v>44766</v>
      </c>
      <c r="S5215" t="s">
        <v>44902</v>
      </c>
      <c r="T5215" t="s">
        <v>46363</v>
      </c>
      <c r="U5215" t="s">
        <v>51338</v>
      </c>
      <c r="W5215" t="s">
        <v>41891</v>
      </c>
      <c r="X5215" t="s">
        <v>44770</v>
      </c>
    </row>
    <row r="5216" spans="1:24">
      <c r="A5216">
        <f>HYPERLINK("https://www.philgeps.gov.ph/GEPSNONPILOT/Tender/SplashBidNoticeAbstractUI.aspx?menuIndex=3&amp;refID=7144360&amp;Result=3","7144360")</f>
        <v>0</v>
      </c>
      <c r="B5216" t="s">
        <v>523</v>
      </c>
      <c r="C5216" t="s">
        <v>8677</v>
      </c>
      <c r="D5216" t="s">
        <v>18041</v>
      </c>
      <c r="E5216" t="s">
        <v>22682</v>
      </c>
      <c r="F5216" t="s">
        <v>30900</v>
      </c>
      <c r="G5216" t="s">
        <v>30907</v>
      </c>
      <c r="H5216" t="s">
        <v>30916</v>
      </c>
      <c r="I5216" t="s">
        <v>30947</v>
      </c>
      <c r="J5216" t="s">
        <v>34501</v>
      </c>
      <c r="K5216" t="s">
        <v>40293</v>
      </c>
      <c r="M5216" t="s">
        <v>42169</v>
      </c>
      <c r="N5216" t="s">
        <v>44759</v>
      </c>
      <c r="O5216" t="s">
        <v>44760</v>
      </c>
      <c r="P5216">
        <v>0</v>
      </c>
      <c r="Q5216">
        <v>1</v>
      </c>
      <c r="R5216" t="s">
        <v>44766</v>
      </c>
      <c r="S5216" t="s">
        <v>44902</v>
      </c>
      <c r="T5216" t="s">
        <v>46377</v>
      </c>
      <c r="U5216" t="s">
        <v>51339</v>
      </c>
      <c r="W5216" t="s">
        <v>60865</v>
      </c>
      <c r="X5216" t="s">
        <v>44768</v>
      </c>
    </row>
    <row r="5217" spans="1:24">
      <c r="A5217">
        <f>HYPERLINK("https://www.philgeps.gov.ph/GEPSNONPILOT/Tender/SplashBidNoticeAbstractUI.aspx?menuIndex=3&amp;refID=7144570&amp;Result=3","7144570")</f>
        <v>0</v>
      </c>
      <c r="B5217" t="s">
        <v>1901</v>
      </c>
      <c r="C5217" t="s">
        <v>8678</v>
      </c>
      <c r="D5217" t="s">
        <v>17984</v>
      </c>
      <c r="E5217" t="s">
        <v>18852</v>
      </c>
      <c r="F5217" t="s">
        <v>30900</v>
      </c>
      <c r="G5217" t="s">
        <v>30907</v>
      </c>
      <c r="H5217" t="s">
        <v>30915</v>
      </c>
      <c r="I5217" t="s">
        <v>30919</v>
      </c>
      <c r="J5217" t="s">
        <v>34502</v>
      </c>
      <c r="K5217" t="s">
        <v>40308</v>
      </c>
      <c r="M5217" t="s">
        <v>42578</v>
      </c>
      <c r="N5217" t="s">
        <v>44759</v>
      </c>
      <c r="O5217" t="s">
        <v>44760</v>
      </c>
      <c r="P5217">
        <v>0</v>
      </c>
      <c r="Q5217">
        <v>0</v>
      </c>
      <c r="R5217" t="s">
        <v>44766</v>
      </c>
      <c r="S5217" t="s">
        <v>44902</v>
      </c>
      <c r="T5217" t="s">
        <v>46450</v>
      </c>
      <c r="U5217" t="s">
        <v>51340</v>
      </c>
      <c r="W5217" t="s">
        <v>42578</v>
      </c>
      <c r="X5217" t="s">
        <v>44768</v>
      </c>
    </row>
    <row r="5218" spans="1:24">
      <c r="A5218">
        <f>HYPERLINK("https://www.philgeps.gov.ph/GEPSNONPILOT/Tender/SplashBidNoticeAbstractUI.aspx?menuIndex=3&amp;refID=7144351&amp;Result=3","7144351")</f>
        <v>0</v>
      </c>
      <c r="B5218" t="s">
        <v>1882</v>
      </c>
      <c r="C5218" t="s">
        <v>8679</v>
      </c>
      <c r="D5218" t="s">
        <v>17968</v>
      </c>
      <c r="E5218" t="s">
        <v>22683</v>
      </c>
      <c r="F5218" t="s">
        <v>30900</v>
      </c>
      <c r="G5218" t="s">
        <v>30907</v>
      </c>
      <c r="H5218" t="s">
        <v>30916</v>
      </c>
      <c r="I5218" t="s">
        <v>4142</v>
      </c>
      <c r="J5218" t="s">
        <v>34503</v>
      </c>
      <c r="K5218" t="s">
        <v>40286</v>
      </c>
      <c r="M5218" t="s">
        <v>42557</v>
      </c>
      <c r="N5218" t="s">
        <v>44759</v>
      </c>
      <c r="O5218" t="s">
        <v>44760</v>
      </c>
      <c r="P5218">
        <v>0</v>
      </c>
      <c r="Q5218">
        <v>4</v>
      </c>
      <c r="R5218" t="s">
        <v>44766</v>
      </c>
      <c r="S5218" t="s">
        <v>44902</v>
      </c>
      <c r="T5218" t="s">
        <v>46535</v>
      </c>
      <c r="U5218" t="s">
        <v>51341</v>
      </c>
      <c r="W5218" t="s">
        <v>42557</v>
      </c>
      <c r="X5218" t="s">
        <v>44768</v>
      </c>
    </row>
    <row r="5219" spans="1:24">
      <c r="A5219">
        <f>HYPERLINK("https://www.philgeps.gov.ph/GEPSNONPILOT/Tender/SplashBidNoticeAbstractUI.aspx?menuIndex=3&amp;refID=7144259&amp;Result=3","7144259")</f>
        <v>0</v>
      </c>
      <c r="B5219" t="s">
        <v>1904</v>
      </c>
      <c r="C5219" t="s">
        <v>8680</v>
      </c>
      <c r="D5219" t="s">
        <v>17959</v>
      </c>
      <c r="E5219" t="s">
        <v>22684</v>
      </c>
      <c r="F5219" t="s">
        <v>30900</v>
      </c>
      <c r="G5219" t="s">
        <v>30908</v>
      </c>
      <c r="H5219" t="s">
        <v>30916</v>
      </c>
      <c r="I5219" t="s">
        <v>30957</v>
      </c>
      <c r="J5219" t="s">
        <v>31066</v>
      </c>
      <c r="K5219" t="s">
        <v>40289</v>
      </c>
      <c r="M5219" t="s">
        <v>42581</v>
      </c>
      <c r="N5219" t="s">
        <v>44759</v>
      </c>
      <c r="O5219" t="s">
        <v>44760</v>
      </c>
      <c r="P5219">
        <v>0</v>
      </c>
      <c r="Q5219">
        <v>10</v>
      </c>
      <c r="R5219" t="s">
        <v>44766</v>
      </c>
      <c r="S5219" t="s">
        <v>44902</v>
      </c>
      <c r="T5219" t="s">
        <v>46625</v>
      </c>
      <c r="U5219" t="s">
        <v>51342</v>
      </c>
      <c r="W5219" t="s">
        <v>42581</v>
      </c>
      <c r="X5219" t="s">
        <v>44768</v>
      </c>
    </row>
    <row r="5220" spans="1:24">
      <c r="A5220">
        <f>HYPERLINK("https://www.philgeps.gov.ph/GEPSNONPILOT/Tender/SplashBidNoticeAbstractUI.aspx?menuIndex=3&amp;refID=7144470&amp;Result=3","7144470")</f>
        <v>0</v>
      </c>
      <c r="B5220" t="s">
        <v>1901</v>
      </c>
      <c r="C5220" t="s">
        <v>8681</v>
      </c>
      <c r="D5220" t="s">
        <v>17984</v>
      </c>
      <c r="E5220" t="s">
        <v>20058</v>
      </c>
      <c r="F5220" t="s">
        <v>30900</v>
      </c>
      <c r="G5220" t="s">
        <v>30907</v>
      </c>
      <c r="H5220" t="s">
        <v>30916</v>
      </c>
      <c r="I5220" t="s">
        <v>4061</v>
      </c>
      <c r="J5220" t="s">
        <v>34504</v>
      </c>
      <c r="K5220" t="s">
        <v>40292</v>
      </c>
      <c r="M5220" t="s">
        <v>42578</v>
      </c>
      <c r="N5220" t="s">
        <v>44759</v>
      </c>
      <c r="O5220" t="s">
        <v>44760</v>
      </c>
      <c r="P5220">
        <v>0</v>
      </c>
      <c r="Q5220">
        <v>2</v>
      </c>
      <c r="R5220" t="s">
        <v>44766</v>
      </c>
      <c r="S5220" t="s">
        <v>44902</v>
      </c>
      <c r="T5220" t="s">
        <v>46450</v>
      </c>
      <c r="U5220" t="s">
        <v>51343</v>
      </c>
      <c r="W5220" t="s">
        <v>42578</v>
      </c>
      <c r="X5220" t="s">
        <v>44768</v>
      </c>
    </row>
    <row r="5221" spans="1:24">
      <c r="A5221">
        <f>HYPERLINK("https://www.philgeps.gov.ph/GEPSNONPILOT/Tender/SplashBidNoticeAbstractUI.aspx?menuIndex=3&amp;refID=7145111&amp;Result=3","7145111")</f>
        <v>0</v>
      </c>
      <c r="B5221" t="s">
        <v>1905</v>
      </c>
      <c r="C5221" t="s">
        <v>8682</v>
      </c>
      <c r="D5221" t="s">
        <v>18002</v>
      </c>
      <c r="E5221" t="s">
        <v>22685</v>
      </c>
      <c r="F5221" t="s">
        <v>30900</v>
      </c>
      <c r="G5221" t="s">
        <v>30908</v>
      </c>
      <c r="H5221" t="s">
        <v>30916</v>
      </c>
      <c r="I5221" t="s">
        <v>4108</v>
      </c>
      <c r="J5221" t="s">
        <v>34505</v>
      </c>
      <c r="K5221" t="s">
        <v>40287</v>
      </c>
      <c r="M5221" t="s">
        <v>42582</v>
      </c>
      <c r="N5221" t="s">
        <v>44759</v>
      </c>
      <c r="O5221" t="s">
        <v>44760</v>
      </c>
      <c r="P5221">
        <v>0</v>
      </c>
      <c r="Q5221">
        <v>3</v>
      </c>
      <c r="R5221" t="s">
        <v>44766</v>
      </c>
      <c r="S5221" t="s">
        <v>44902</v>
      </c>
      <c r="T5221" t="s">
        <v>46658</v>
      </c>
      <c r="U5221" t="s">
        <v>51344</v>
      </c>
      <c r="V5221" t="s">
        <v>59664</v>
      </c>
      <c r="W5221" t="s">
        <v>42582</v>
      </c>
      <c r="X5221" t="s">
        <v>44768</v>
      </c>
    </row>
    <row r="5222" spans="1:24">
      <c r="A5222">
        <f>HYPERLINK("https://www.philgeps.gov.ph/GEPSNONPILOT/Tender/SplashBidNoticeAbstractUI.aspx?menuIndex=3&amp;refID=7139199&amp;Result=3","7139199")</f>
        <v>0</v>
      </c>
      <c r="B5222" t="s">
        <v>235</v>
      </c>
      <c r="C5222" t="s">
        <v>8683</v>
      </c>
      <c r="D5222" t="s">
        <v>17959</v>
      </c>
      <c r="E5222" t="s">
        <v>22686</v>
      </c>
      <c r="F5222" t="s">
        <v>30900</v>
      </c>
      <c r="G5222" t="s">
        <v>30907</v>
      </c>
      <c r="H5222" t="s">
        <v>30916</v>
      </c>
      <c r="I5222" t="s">
        <v>5501</v>
      </c>
      <c r="J5222" t="s">
        <v>34506</v>
      </c>
      <c r="K5222" t="s">
        <v>40284</v>
      </c>
      <c r="M5222" t="s">
        <v>42574</v>
      </c>
      <c r="N5222" t="s">
        <v>44759</v>
      </c>
      <c r="O5222" t="s">
        <v>44760</v>
      </c>
      <c r="P5222">
        <v>0</v>
      </c>
      <c r="Q5222">
        <v>10</v>
      </c>
      <c r="R5222" t="s">
        <v>44766</v>
      </c>
      <c r="S5222" t="s">
        <v>44902</v>
      </c>
      <c r="T5222" t="s">
        <v>46380</v>
      </c>
      <c r="U5222" t="s">
        <v>51345</v>
      </c>
      <c r="W5222" t="s">
        <v>42574</v>
      </c>
      <c r="X5222" t="s">
        <v>44769</v>
      </c>
    </row>
    <row r="5223" spans="1:24">
      <c r="A5223">
        <f>HYPERLINK("https://www.philgeps.gov.ph/GEPSNONPILOT/Tender/SplashBidNoticeAbstractUI.aspx?menuIndex=3&amp;refID=7145105&amp;Result=3","7145105")</f>
        <v>0</v>
      </c>
      <c r="B5223" t="s">
        <v>1905</v>
      </c>
      <c r="C5223" t="s">
        <v>8684</v>
      </c>
      <c r="D5223" t="s">
        <v>18002</v>
      </c>
      <c r="E5223" t="s">
        <v>22687</v>
      </c>
      <c r="F5223" t="s">
        <v>30900</v>
      </c>
      <c r="G5223" t="s">
        <v>30910</v>
      </c>
      <c r="H5223" t="s">
        <v>30916</v>
      </c>
      <c r="I5223" t="s">
        <v>8044</v>
      </c>
      <c r="J5223" t="s">
        <v>34507</v>
      </c>
      <c r="K5223" t="s">
        <v>40294</v>
      </c>
      <c r="M5223" t="s">
        <v>42582</v>
      </c>
      <c r="N5223" t="s">
        <v>44759</v>
      </c>
      <c r="O5223" t="s">
        <v>44760</v>
      </c>
      <c r="P5223">
        <v>0</v>
      </c>
      <c r="Q5223">
        <v>6</v>
      </c>
      <c r="R5223" t="s">
        <v>44766</v>
      </c>
      <c r="S5223" t="s">
        <v>44902</v>
      </c>
      <c r="T5223" t="s">
        <v>46658</v>
      </c>
      <c r="U5223" t="s">
        <v>51346</v>
      </c>
      <c r="V5223" t="s">
        <v>59664</v>
      </c>
      <c r="W5223" t="s">
        <v>42582</v>
      </c>
      <c r="X5223" t="s">
        <v>44768</v>
      </c>
    </row>
    <row r="5224" spans="1:24">
      <c r="A5224">
        <f>HYPERLINK("https://www.philgeps.gov.ph/GEPSNONPILOT/Tender/SplashBidNoticeAbstractUI.aspx?menuIndex=3&amp;refID=7145094&amp;Result=3","7145094")</f>
        <v>0</v>
      </c>
      <c r="B5224" t="s">
        <v>1905</v>
      </c>
      <c r="C5224" t="s">
        <v>8685</v>
      </c>
      <c r="D5224" t="s">
        <v>18002</v>
      </c>
      <c r="E5224" t="s">
        <v>22688</v>
      </c>
      <c r="F5224" t="s">
        <v>30900</v>
      </c>
      <c r="G5224" t="s">
        <v>30908</v>
      </c>
      <c r="H5224" t="s">
        <v>30916</v>
      </c>
      <c r="I5224" t="s">
        <v>30959</v>
      </c>
      <c r="J5224" t="s">
        <v>31052</v>
      </c>
      <c r="K5224" t="s">
        <v>40287</v>
      </c>
      <c r="M5224" t="s">
        <v>42582</v>
      </c>
      <c r="N5224" t="s">
        <v>44759</v>
      </c>
      <c r="O5224" t="s">
        <v>44760</v>
      </c>
      <c r="P5224">
        <v>0</v>
      </c>
      <c r="Q5224">
        <v>3</v>
      </c>
      <c r="R5224" t="s">
        <v>44766</v>
      </c>
      <c r="S5224" t="s">
        <v>44902</v>
      </c>
      <c r="T5224" t="s">
        <v>46658</v>
      </c>
      <c r="U5224" t="s">
        <v>51347</v>
      </c>
      <c r="V5224" t="s">
        <v>59664</v>
      </c>
      <c r="W5224" t="s">
        <v>42582</v>
      </c>
      <c r="X5224" t="s">
        <v>44768</v>
      </c>
    </row>
    <row r="5225" spans="1:24">
      <c r="A5225">
        <f>HYPERLINK("https://www.philgeps.gov.ph/GEPSNONPILOT/Tender/SplashBidNoticeAbstractUI.aspx?menuIndex=3&amp;refID=7139753&amp;Result=3","7139753")</f>
        <v>0</v>
      </c>
      <c r="B5225" t="s">
        <v>1906</v>
      </c>
      <c r="C5225" t="s">
        <v>8686</v>
      </c>
      <c r="D5225" t="s">
        <v>17952</v>
      </c>
      <c r="E5225" t="s">
        <v>22689</v>
      </c>
      <c r="F5225" t="s">
        <v>30899</v>
      </c>
      <c r="G5225" t="s">
        <v>30909</v>
      </c>
      <c r="H5225" t="s">
        <v>30916</v>
      </c>
      <c r="I5225" t="s">
        <v>6396</v>
      </c>
      <c r="J5225" t="s">
        <v>34508</v>
      </c>
      <c r="K5225" t="s">
        <v>40288</v>
      </c>
      <c r="M5225" t="s">
        <v>42583</v>
      </c>
      <c r="N5225" t="s">
        <v>44759</v>
      </c>
      <c r="O5225" t="s">
        <v>44760</v>
      </c>
      <c r="P5225">
        <v>0</v>
      </c>
      <c r="Q5225">
        <v>1</v>
      </c>
      <c r="R5225" t="s">
        <v>44766</v>
      </c>
      <c r="S5225" t="s">
        <v>44902</v>
      </c>
      <c r="T5225" t="s">
        <v>46707</v>
      </c>
      <c r="U5225" t="s">
        <v>51348</v>
      </c>
      <c r="W5225" t="s">
        <v>42583</v>
      </c>
      <c r="X5225" t="s">
        <v>44769</v>
      </c>
    </row>
    <row r="5226" spans="1:24">
      <c r="A5226">
        <f>HYPERLINK("https://www.philgeps.gov.ph/GEPSNONPILOT/Tender/SplashBidNoticeAbstractUI.aspx?menuIndex=3&amp;refID=7144322&amp;Result=3","7144322")</f>
        <v>0</v>
      </c>
      <c r="B5226" t="s">
        <v>115</v>
      </c>
      <c r="C5226" t="s">
        <v>8687</v>
      </c>
      <c r="D5226" t="s">
        <v>17960</v>
      </c>
      <c r="E5226" t="s">
        <v>22690</v>
      </c>
      <c r="F5226" t="s">
        <v>30900</v>
      </c>
      <c r="G5226" t="s">
        <v>30907</v>
      </c>
      <c r="H5226" t="s">
        <v>30915</v>
      </c>
      <c r="I5226" t="s">
        <v>30919</v>
      </c>
      <c r="J5226" t="s">
        <v>34509</v>
      </c>
      <c r="K5226" t="s">
        <v>40359</v>
      </c>
      <c r="M5226" t="s">
        <v>40662</v>
      </c>
      <c r="N5226" t="s">
        <v>44759</v>
      </c>
      <c r="O5226" t="s">
        <v>44760</v>
      </c>
      <c r="P5226">
        <v>0</v>
      </c>
      <c r="Q5226">
        <v>1</v>
      </c>
      <c r="R5226" t="s">
        <v>44766</v>
      </c>
      <c r="S5226" t="s">
        <v>44902</v>
      </c>
      <c r="T5226" t="s">
        <v>46380</v>
      </c>
      <c r="U5226" t="s">
        <v>51349</v>
      </c>
      <c r="V5226" t="s">
        <v>59665</v>
      </c>
      <c r="W5226" t="s">
        <v>40662</v>
      </c>
      <c r="X5226" t="s">
        <v>44768</v>
      </c>
    </row>
    <row r="5227" spans="1:24">
      <c r="A5227">
        <f>HYPERLINK("https://www.philgeps.gov.ph/GEPSNONPILOT/Tender/SplashBidNoticeAbstractUI.aspx?menuIndex=3&amp;refID=7145079&amp;Result=3","7145079")</f>
        <v>0</v>
      </c>
      <c r="B5227" t="s">
        <v>1905</v>
      </c>
      <c r="C5227" t="s">
        <v>8688</v>
      </c>
      <c r="D5227" t="s">
        <v>18002</v>
      </c>
      <c r="E5227" t="s">
        <v>22691</v>
      </c>
      <c r="F5227" t="s">
        <v>30900</v>
      </c>
      <c r="G5227" t="s">
        <v>30908</v>
      </c>
      <c r="H5227" t="s">
        <v>30916</v>
      </c>
      <c r="I5227" t="s">
        <v>4108</v>
      </c>
      <c r="J5227" t="s">
        <v>34510</v>
      </c>
      <c r="K5227" t="s">
        <v>40321</v>
      </c>
      <c r="M5227" t="s">
        <v>42582</v>
      </c>
      <c r="N5227" t="s">
        <v>44759</v>
      </c>
      <c r="O5227" t="s">
        <v>44760</v>
      </c>
      <c r="P5227">
        <v>0</v>
      </c>
      <c r="Q5227">
        <v>5</v>
      </c>
      <c r="R5227" t="s">
        <v>44766</v>
      </c>
      <c r="S5227" t="s">
        <v>44902</v>
      </c>
      <c r="T5227" t="s">
        <v>46658</v>
      </c>
      <c r="U5227" t="s">
        <v>51350</v>
      </c>
      <c r="V5227" t="s">
        <v>59664</v>
      </c>
      <c r="W5227" t="s">
        <v>42582</v>
      </c>
      <c r="X5227" t="s">
        <v>44768</v>
      </c>
    </row>
    <row r="5228" spans="1:24">
      <c r="A5228">
        <f>HYPERLINK("https://www.philgeps.gov.ph/GEPSNONPILOT/Tender/SplashBidNoticeAbstractUI.aspx?menuIndex=3&amp;refID=7144399&amp;Result=3","7144399")</f>
        <v>0</v>
      </c>
      <c r="B5228" t="s">
        <v>1635</v>
      </c>
      <c r="C5228" t="s">
        <v>8689</v>
      </c>
      <c r="D5228" t="s">
        <v>17959</v>
      </c>
      <c r="E5228" t="s">
        <v>22692</v>
      </c>
      <c r="F5228" t="s">
        <v>30900</v>
      </c>
      <c r="G5228" t="s">
        <v>30907</v>
      </c>
      <c r="H5228" t="s">
        <v>30916</v>
      </c>
      <c r="I5228" t="s">
        <v>30970</v>
      </c>
      <c r="J5228" t="s">
        <v>34511</v>
      </c>
      <c r="K5228" t="s">
        <v>40319</v>
      </c>
      <c r="M5228" t="s">
        <v>42584</v>
      </c>
      <c r="N5228" t="s">
        <v>44759</v>
      </c>
      <c r="O5228" t="s">
        <v>44760</v>
      </c>
      <c r="Q5228">
        <v>2</v>
      </c>
      <c r="R5228" t="s">
        <v>44766</v>
      </c>
      <c r="S5228" t="s">
        <v>44904</v>
      </c>
      <c r="T5228" t="s">
        <v>46708</v>
      </c>
      <c r="U5228" t="s">
        <v>51351</v>
      </c>
      <c r="W5228" t="s">
        <v>42584</v>
      </c>
      <c r="X5228" t="s">
        <v>44768</v>
      </c>
    </row>
    <row r="5229" spans="1:24">
      <c r="A5229">
        <f>HYPERLINK("https://www.philgeps.gov.ph/GEPSNONPILOT/Tender/SplashBidNoticeAbstractUI.aspx?menuIndex=3&amp;refID=7145075&amp;Result=3","7145075")</f>
        <v>0</v>
      </c>
      <c r="B5229" t="s">
        <v>1905</v>
      </c>
      <c r="C5229" t="s">
        <v>8690</v>
      </c>
      <c r="D5229" t="s">
        <v>18002</v>
      </c>
      <c r="E5229" t="s">
        <v>22693</v>
      </c>
      <c r="F5229" t="s">
        <v>30900</v>
      </c>
      <c r="G5229" t="s">
        <v>30908</v>
      </c>
      <c r="H5229" t="s">
        <v>30916</v>
      </c>
      <c r="I5229" t="s">
        <v>5501</v>
      </c>
      <c r="J5229" t="s">
        <v>34512</v>
      </c>
      <c r="K5229" t="s">
        <v>40287</v>
      </c>
      <c r="M5229" t="s">
        <v>42582</v>
      </c>
      <c r="N5229" t="s">
        <v>44759</v>
      </c>
      <c r="O5229" t="s">
        <v>44760</v>
      </c>
      <c r="P5229">
        <v>0</v>
      </c>
      <c r="Q5229">
        <v>3</v>
      </c>
      <c r="R5229" t="s">
        <v>44766</v>
      </c>
      <c r="S5229" t="s">
        <v>44902</v>
      </c>
      <c r="T5229" t="s">
        <v>46658</v>
      </c>
      <c r="U5229" t="s">
        <v>51352</v>
      </c>
      <c r="V5229" t="s">
        <v>59664</v>
      </c>
      <c r="W5229" t="s">
        <v>42582</v>
      </c>
      <c r="X5229" t="s">
        <v>44768</v>
      </c>
    </row>
    <row r="5230" spans="1:24">
      <c r="A5230">
        <f>HYPERLINK("https://www.philgeps.gov.ph/GEPSNONPILOT/Tender/SplashBidNoticeAbstractUI.aspx?menuIndex=3&amp;refID=7145066&amp;Result=3","7145066")</f>
        <v>0</v>
      </c>
      <c r="B5230" t="s">
        <v>1905</v>
      </c>
      <c r="C5230" t="s">
        <v>8691</v>
      </c>
      <c r="D5230" t="s">
        <v>18002</v>
      </c>
      <c r="E5230" t="s">
        <v>22694</v>
      </c>
      <c r="F5230" t="s">
        <v>30900</v>
      </c>
      <c r="G5230" t="s">
        <v>30910</v>
      </c>
      <c r="H5230" t="s">
        <v>30916</v>
      </c>
      <c r="I5230" t="s">
        <v>4545</v>
      </c>
      <c r="J5230" t="s">
        <v>31049</v>
      </c>
      <c r="K5230" t="s">
        <v>40287</v>
      </c>
      <c r="M5230" t="s">
        <v>42582</v>
      </c>
      <c r="N5230" t="s">
        <v>44759</v>
      </c>
      <c r="O5230" t="s">
        <v>44760</v>
      </c>
      <c r="P5230">
        <v>0</v>
      </c>
      <c r="Q5230">
        <v>5</v>
      </c>
      <c r="R5230" t="s">
        <v>44766</v>
      </c>
      <c r="S5230" t="s">
        <v>44902</v>
      </c>
      <c r="T5230" t="s">
        <v>46658</v>
      </c>
      <c r="U5230" t="s">
        <v>51353</v>
      </c>
      <c r="V5230" t="s">
        <v>59664</v>
      </c>
      <c r="W5230" t="s">
        <v>42582</v>
      </c>
      <c r="X5230" t="s">
        <v>44768</v>
      </c>
    </row>
    <row r="5231" spans="1:24">
      <c r="A5231">
        <f>HYPERLINK("https://www.philgeps.gov.ph/GEPSNONPILOT/Tender/SplashBidNoticeAbstractUI.aspx?menuIndex=3&amp;refID=7145060&amp;Result=3","7145060")</f>
        <v>0</v>
      </c>
      <c r="B5231" t="s">
        <v>1905</v>
      </c>
      <c r="C5231" t="s">
        <v>8692</v>
      </c>
      <c r="D5231" t="s">
        <v>18002</v>
      </c>
      <c r="E5231" t="s">
        <v>22695</v>
      </c>
      <c r="F5231" t="s">
        <v>30900</v>
      </c>
      <c r="G5231" t="s">
        <v>30908</v>
      </c>
      <c r="H5231" t="s">
        <v>30916</v>
      </c>
      <c r="I5231" t="s">
        <v>5830</v>
      </c>
      <c r="J5231" t="s">
        <v>33171</v>
      </c>
      <c r="K5231" t="s">
        <v>40294</v>
      </c>
      <c r="M5231" t="s">
        <v>42582</v>
      </c>
      <c r="N5231" t="s">
        <v>44759</v>
      </c>
      <c r="O5231" t="s">
        <v>44760</v>
      </c>
      <c r="P5231">
        <v>0</v>
      </c>
      <c r="Q5231">
        <v>6</v>
      </c>
      <c r="R5231" t="s">
        <v>44766</v>
      </c>
      <c r="S5231" t="s">
        <v>44902</v>
      </c>
      <c r="T5231" t="s">
        <v>46658</v>
      </c>
      <c r="U5231" t="s">
        <v>51354</v>
      </c>
      <c r="V5231" t="s">
        <v>59664</v>
      </c>
      <c r="W5231" t="s">
        <v>42582</v>
      </c>
      <c r="X5231" t="s">
        <v>44768</v>
      </c>
    </row>
    <row r="5232" spans="1:24">
      <c r="A5232">
        <f>HYPERLINK("https://www.philgeps.gov.ph/GEPSNONPILOT/Tender/SplashBidNoticeAbstractUI.aspx?menuIndex=3&amp;refID=7145047&amp;Result=3","7145047")</f>
        <v>0</v>
      </c>
      <c r="B5232" t="s">
        <v>1907</v>
      </c>
      <c r="C5232" t="s">
        <v>8693</v>
      </c>
      <c r="D5232" t="s">
        <v>17989</v>
      </c>
      <c r="E5232" t="s">
        <v>22696</v>
      </c>
      <c r="F5232" t="s">
        <v>30900</v>
      </c>
      <c r="G5232" t="s">
        <v>30907</v>
      </c>
      <c r="H5232" t="s">
        <v>30916</v>
      </c>
      <c r="I5232" t="s">
        <v>31024</v>
      </c>
      <c r="J5232" t="s">
        <v>31407</v>
      </c>
      <c r="K5232" t="s">
        <v>40286</v>
      </c>
      <c r="M5232" t="s">
        <v>42585</v>
      </c>
      <c r="N5232" t="s">
        <v>44759</v>
      </c>
      <c r="O5232" t="s">
        <v>44760</v>
      </c>
      <c r="P5232">
        <v>0</v>
      </c>
      <c r="Q5232">
        <v>0</v>
      </c>
      <c r="R5232" t="s">
        <v>44766</v>
      </c>
      <c r="S5232" t="s">
        <v>44902</v>
      </c>
      <c r="T5232" t="s">
        <v>46399</v>
      </c>
      <c r="U5232" t="s">
        <v>51355</v>
      </c>
      <c r="V5232" t="s">
        <v>59666</v>
      </c>
      <c r="W5232" t="s">
        <v>42585</v>
      </c>
      <c r="X5232" t="s">
        <v>44768</v>
      </c>
    </row>
    <row r="5233" spans="1:24">
      <c r="A5233">
        <f>HYPERLINK("https://www.philgeps.gov.ph/GEPSNONPILOT/Tender/SplashBidNoticeAbstractUI.aspx?menuIndex=3&amp;refID=7145041&amp;Result=3","7145041")</f>
        <v>0</v>
      </c>
      <c r="B5233" t="s">
        <v>1908</v>
      </c>
      <c r="C5233" t="s">
        <v>8694</v>
      </c>
      <c r="D5233" t="s">
        <v>17963</v>
      </c>
      <c r="E5233" t="s">
        <v>22697</v>
      </c>
      <c r="F5233" t="s">
        <v>30900</v>
      </c>
      <c r="G5233" t="s">
        <v>30907</v>
      </c>
      <c r="H5233" t="s">
        <v>30915</v>
      </c>
      <c r="I5233" t="s">
        <v>30919</v>
      </c>
      <c r="J5233" t="s">
        <v>34513</v>
      </c>
      <c r="K5233" t="s">
        <v>40304</v>
      </c>
      <c r="M5233" t="s">
        <v>42586</v>
      </c>
      <c r="N5233" t="s">
        <v>44759</v>
      </c>
      <c r="O5233" t="s">
        <v>44760</v>
      </c>
      <c r="P5233">
        <v>0</v>
      </c>
      <c r="Q5233">
        <v>0</v>
      </c>
      <c r="R5233" t="s">
        <v>44766</v>
      </c>
      <c r="S5233" t="s">
        <v>44902</v>
      </c>
      <c r="T5233" t="s">
        <v>46455</v>
      </c>
      <c r="U5233" t="s">
        <v>51356</v>
      </c>
      <c r="W5233" t="s">
        <v>42586</v>
      </c>
      <c r="X5233" t="s">
        <v>44768</v>
      </c>
    </row>
    <row r="5234" spans="1:24">
      <c r="A5234">
        <f>HYPERLINK("https://www.philgeps.gov.ph/GEPSNONPILOT/Tender/SplashBidNoticeAbstractUI.aspx?menuIndex=3&amp;refID=7145024&amp;Result=3","7145024")</f>
        <v>0</v>
      </c>
      <c r="B5234" t="s">
        <v>1909</v>
      </c>
      <c r="C5234" t="s">
        <v>8695</v>
      </c>
      <c r="D5234" t="s">
        <v>17971</v>
      </c>
      <c r="E5234" t="s">
        <v>18094</v>
      </c>
      <c r="F5234" t="s">
        <v>30899</v>
      </c>
      <c r="G5234" t="s">
        <v>30909</v>
      </c>
      <c r="H5234" t="s">
        <v>30916</v>
      </c>
      <c r="I5234" t="s">
        <v>5830</v>
      </c>
      <c r="J5234" t="s">
        <v>33095</v>
      </c>
      <c r="K5234" t="s">
        <v>40291</v>
      </c>
      <c r="M5234" t="s">
        <v>42587</v>
      </c>
      <c r="N5234" t="s">
        <v>44759</v>
      </c>
      <c r="O5234" t="s">
        <v>44760</v>
      </c>
      <c r="P5234">
        <v>0</v>
      </c>
      <c r="Q5234">
        <v>4</v>
      </c>
      <c r="R5234" t="s">
        <v>44766</v>
      </c>
      <c r="S5234" t="s">
        <v>44902</v>
      </c>
      <c r="T5234" t="s">
        <v>46700</v>
      </c>
      <c r="U5234" t="s">
        <v>51357</v>
      </c>
      <c r="W5234" t="s">
        <v>42587</v>
      </c>
      <c r="X5234" t="s">
        <v>44768</v>
      </c>
    </row>
    <row r="5235" spans="1:24">
      <c r="A5235">
        <f>HYPERLINK("https://www.philgeps.gov.ph/GEPSNONPILOT/Tender/SplashBidNoticeAbstractUI.aspx?menuIndex=3&amp;refID=7145009&amp;Result=3","7145009")</f>
        <v>0</v>
      </c>
      <c r="B5235" t="s">
        <v>1089</v>
      </c>
      <c r="C5235" t="s">
        <v>8696</v>
      </c>
      <c r="D5235" t="s">
        <v>17959</v>
      </c>
      <c r="E5235" t="s">
        <v>22698</v>
      </c>
      <c r="F5235" t="s">
        <v>30900</v>
      </c>
      <c r="G5235" t="s">
        <v>30910</v>
      </c>
      <c r="H5235" t="s">
        <v>30916</v>
      </c>
      <c r="I5235" t="s">
        <v>6396</v>
      </c>
      <c r="J5235" t="s">
        <v>34514</v>
      </c>
      <c r="K5235" t="s">
        <v>40284</v>
      </c>
      <c r="M5235" t="s">
        <v>41689</v>
      </c>
      <c r="N5235" t="s">
        <v>44759</v>
      </c>
      <c r="O5235" t="s">
        <v>44760</v>
      </c>
      <c r="P5235">
        <v>0</v>
      </c>
      <c r="Q5235">
        <v>6</v>
      </c>
      <c r="R5235" t="s">
        <v>44766</v>
      </c>
      <c r="S5235" t="s">
        <v>44902</v>
      </c>
      <c r="T5235" t="s">
        <v>46363</v>
      </c>
      <c r="U5235" t="s">
        <v>51358</v>
      </c>
      <c r="W5235" t="s">
        <v>41689</v>
      </c>
      <c r="X5235" t="s">
        <v>44768</v>
      </c>
    </row>
    <row r="5236" spans="1:24">
      <c r="A5236">
        <f>HYPERLINK("https://www.philgeps.gov.ph/GEPSNONPILOT/Tender/SplashBidNoticeAbstractUI.aspx?menuIndex=3&amp;refID=7144240&amp;Result=3","7144240")</f>
        <v>0</v>
      </c>
      <c r="B5236" t="s">
        <v>115</v>
      </c>
      <c r="C5236" t="s">
        <v>8697</v>
      </c>
      <c r="D5236" t="s">
        <v>17960</v>
      </c>
      <c r="E5236" t="s">
        <v>22699</v>
      </c>
      <c r="F5236" t="s">
        <v>30900</v>
      </c>
      <c r="G5236" t="s">
        <v>30907</v>
      </c>
      <c r="H5236" t="s">
        <v>30915</v>
      </c>
      <c r="I5236" t="s">
        <v>30919</v>
      </c>
      <c r="J5236" t="s">
        <v>34515</v>
      </c>
      <c r="K5236" t="s">
        <v>40359</v>
      </c>
      <c r="M5236" t="s">
        <v>40662</v>
      </c>
      <c r="N5236" t="s">
        <v>44759</v>
      </c>
      <c r="O5236" t="s">
        <v>44760</v>
      </c>
      <c r="P5236">
        <v>0</v>
      </c>
      <c r="Q5236">
        <v>1</v>
      </c>
      <c r="R5236" t="s">
        <v>44766</v>
      </c>
      <c r="S5236" t="s">
        <v>44902</v>
      </c>
      <c r="T5236" t="s">
        <v>46380</v>
      </c>
      <c r="U5236" t="s">
        <v>51359</v>
      </c>
      <c r="V5236" t="s">
        <v>59667</v>
      </c>
      <c r="W5236" t="s">
        <v>40662</v>
      </c>
      <c r="X5236" t="s">
        <v>44768</v>
      </c>
    </row>
    <row r="5237" spans="1:24">
      <c r="A5237">
        <f>HYPERLINK("https://www.philgeps.gov.ph/GEPSNONPILOT/Tender/SplashBidNoticeAbstractUI.aspx?menuIndex=3&amp;refID=7144964&amp;Result=3","7144964")</f>
        <v>0</v>
      </c>
      <c r="B5237" t="s">
        <v>1910</v>
      </c>
      <c r="C5237" t="s">
        <v>8698</v>
      </c>
      <c r="D5237" t="s">
        <v>18019</v>
      </c>
      <c r="E5237" t="s">
        <v>19262</v>
      </c>
      <c r="F5237" t="s">
        <v>30900</v>
      </c>
      <c r="G5237" t="s">
        <v>30909</v>
      </c>
      <c r="H5237" t="s">
        <v>30916</v>
      </c>
      <c r="I5237" t="s">
        <v>8365</v>
      </c>
      <c r="J5237" t="s">
        <v>34516</v>
      </c>
      <c r="K5237" t="s">
        <v>40281</v>
      </c>
      <c r="M5237" t="s">
        <v>42588</v>
      </c>
      <c r="N5237" t="s">
        <v>44759</v>
      </c>
      <c r="O5237" t="s">
        <v>44760</v>
      </c>
      <c r="P5237">
        <v>0</v>
      </c>
      <c r="Q5237">
        <v>1</v>
      </c>
      <c r="R5237" t="s">
        <v>44766</v>
      </c>
      <c r="S5237" t="s">
        <v>44902</v>
      </c>
      <c r="T5237" t="s">
        <v>46356</v>
      </c>
      <c r="U5237" t="s">
        <v>51360</v>
      </c>
      <c r="V5237" t="s">
        <v>59668</v>
      </c>
      <c r="W5237" t="s">
        <v>42588</v>
      </c>
      <c r="X5237" t="s">
        <v>44768</v>
      </c>
    </row>
    <row r="5238" spans="1:24">
      <c r="A5238">
        <f>HYPERLINK("https://www.philgeps.gov.ph/GEPSNONPILOT/Tender/SplashBidNoticeAbstractUI.aspx?menuIndex=3&amp;refID=7145073&amp;Result=3","7145073")</f>
        <v>0</v>
      </c>
      <c r="B5238" t="s">
        <v>1100</v>
      </c>
      <c r="C5238" t="s">
        <v>8699</v>
      </c>
      <c r="D5238" t="s">
        <v>17980</v>
      </c>
      <c r="E5238" t="s">
        <v>22700</v>
      </c>
      <c r="F5238" t="s">
        <v>30900</v>
      </c>
      <c r="G5238" t="s">
        <v>30908</v>
      </c>
      <c r="H5238" t="s">
        <v>30916</v>
      </c>
      <c r="I5238" t="s">
        <v>30960</v>
      </c>
      <c r="J5238" t="s">
        <v>34517</v>
      </c>
      <c r="K5238" t="s">
        <v>40289</v>
      </c>
      <c r="M5238" t="s">
        <v>41789</v>
      </c>
      <c r="N5238" t="s">
        <v>44759</v>
      </c>
      <c r="O5238" t="s">
        <v>44760</v>
      </c>
      <c r="P5238">
        <v>0</v>
      </c>
      <c r="Q5238">
        <v>2</v>
      </c>
      <c r="R5238" t="s">
        <v>44766</v>
      </c>
      <c r="S5238" t="s">
        <v>44902</v>
      </c>
      <c r="T5238" t="s">
        <v>46364</v>
      </c>
      <c r="U5238" t="s">
        <v>51361</v>
      </c>
      <c r="W5238" t="s">
        <v>41789</v>
      </c>
      <c r="X5238" t="s">
        <v>44768</v>
      </c>
    </row>
    <row r="5239" spans="1:24">
      <c r="A5239">
        <f>HYPERLINK("https://www.philgeps.gov.ph/GEPSNONPILOT/Tender/SplashBidNoticeAbstractUI.aspx?menuIndex=3&amp;refID=7144941&amp;Result=3","7144941")</f>
        <v>0</v>
      </c>
      <c r="B5239" t="s">
        <v>1100</v>
      </c>
      <c r="C5239" t="s">
        <v>8700</v>
      </c>
      <c r="D5239" t="s">
        <v>17980</v>
      </c>
      <c r="E5239" t="s">
        <v>22701</v>
      </c>
      <c r="F5239" t="s">
        <v>30900</v>
      </c>
      <c r="G5239" t="s">
        <v>30908</v>
      </c>
      <c r="H5239" t="s">
        <v>30916</v>
      </c>
      <c r="I5239" t="s">
        <v>30923</v>
      </c>
      <c r="J5239" t="s">
        <v>33070</v>
      </c>
      <c r="K5239" t="s">
        <v>40289</v>
      </c>
      <c r="M5239" t="s">
        <v>41789</v>
      </c>
      <c r="N5239" t="s">
        <v>44759</v>
      </c>
      <c r="O5239" t="s">
        <v>44760</v>
      </c>
      <c r="P5239">
        <v>0</v>
      </c>
      <c r="Q5239">
        <v>2</v>
      </c>
      <c r="R5239" t="s">
        <v>44766</v>
      </c>
      <c r="S5239" t="s">
        <v>44902</v>
      </c>
      <c r="T5239" t="s">
        <v>46364</v>
      </c>
      <c r="U5239" t="s">
        <v>51362</v>
      </c>
      <c r="W5239" t="s">
        <v>41789</v>
      </c>
      <c r="X5239" t="s">
        <v>44768</v>
      </c>
    </row>
    <row r="5240" spans="1:24">
      <c r="A5240">
        <f>HYPERLINK("https://www.philgeps.gov.ph/GEPSNONPILOT/Tender/SplashBidNoticeAbstractUI.aspx?menuIndex=3&amp;refID=7144819&amp;Result=3","7144819")</f>
        <v>0</v>
      </c>
      <c r="B5240" t="s">
        <v>1911</v>
      </c>
      <c r="C5240" t="s">
        <v>8701</v>
      </c>
      <c r="D5240" t="s">
        <v>17977</v>
      </c>
      <c r="E5240" t="s">
        <v>22702</v>
      </c>
      <c r="F5240" t="s">
        <v>30900</v>
      </c>
      <c r="G5240" t="s">
        <v>30907</v>
      </c>
      <c r="H5240" t="s">
        <v>30915</v>
      </c>
      <c r="I5240" t="s">
        <v>30919</v>
      </c>
      <c r="J5240" t="s">
        <v>32324</v>
      </c>
      <c r="K5240" t="s">
        <v>40304</v>
      </c>
      <c r="M5240" t="s">
        <v>42589</v>
      </c>
      <c r="N5240" t="s">
        <v>44759</v>
      </c>
      <c r="O5240" t="s">
        <v>44760</v>
      </c>
      <c r="P5240">
        <v>0</v>
      </c>
      <c r="Q5240">
        <v>0</v>
      </c>
      <c r="R5240" t="s">
        <v>44766</v>
      </c>
      <c r="S5240" t="s">
        <v>44902</v>
      </c>
      <c r="T5240" t="s">
        <v>46709</v>
      </c>
      <c r="U5240" t="s">
        <v>51363</v>
      </c>
      <c r="W5240" t="s">
        <v>42589</v>
      </c>
      <c r="X5240" t="s">
        <v>44768</v>
      </c>
    </row>
    <row r="5241" spans="1:24">
      <c r="A5241">
        <f>HYPERLINK("https://www.philgeps.gov.ph/GEPSNONPILOT/Tender/SplashBidNoticeAbstractUI.aspx?menuIndex=3&amp;refID=7144168&amp;Result=3","7144168")</f>
        <v>0</v>
      </c>
      <c r="B5241" t="s">
        <v>115</v>
      </c>
      <c r="C5241" t="s">
        <v>8702</v>
      </c>
      <c r="D5241" t="s">
        <v>17960</v>
      </c>
      <c r="E5241" t="s">
        <v>22703</v>
      </c>
      <c r="F5241" t="s">
        <v>30900</v>
      </c>
      <c r="G5241" t="s">
        <v>30907</v>
      </c>
      <c r="H5241" t="s">
        <v>30915</v>
      </c>
      <c r="I5241" t="s">
        <v>30919</v>
      </c>
      <c r="J5241" t="s">
        <v>34518</v>
      </c>
      <c r="K5241" t="s">
        <v>40335</v>
      </c>
      <c r="M5241" t="s">
        <v>40662</v>
      </c>
      <c r="N5241" t="s">
        <v>44759</v>
      </c>
      <c r="O5241" t="s">
        <v>44760</v>
      </c>
      <c r="P5241">
        <v>0</v>
      </c>
      <c r="Q5241">
        <v>1</v>
      </c>
      <c r="R5241" t="s">
        <v>44766</v>
      </c>
      <c r="S5241" t="s">
        <v>44902</v>
      </c>
      <c r="T5241" t="s">
        <v>46380</v>
      </c>
      <c r="U5241" t="s">
        <v>51364</v>
      </c>
      <c r="V5241" t="s">
        <v>59669</v>
      </c>
      <c r="W5241" t="s">
        <v>40662</v>
      </c>
      <c r="X5241" t="s">
        <v>44768</v>
      </c>
    </row>
    <row r="5242" spans="1:24">
      <c r="A5242">
        <f>HYPERLINK("https://www.philgeps.gov.ph/GEPSNONPILOT/Tender/SplashBidNoticeAbstractUI.aspx?menuIndex=3&amp;refID=7145088&amp;Result=3","7145088")</f>
        <v>0</v>
      </c>
      <c r="B5242" t="s">
        <v>1905</v>
      </c>
      <c r="C5242" t="s">
        <v>8703</v>
      </c>
      <c r="D5242" t="s">
        <v>18002</v>
      </c>
      <c r="E5242" t="s">
        <v>22704</v>
      </c>
      <c r="F5242" t="s">
        <v>30900</v>
      </c>
      <c r="G5242" t="s">
        <v>30910</v>
      </c>
      <c r="H5242" t="s">
        <v>30916</v>
      </c>
      <c r="I5242" t="s">
        <v>4142</v>
      </c>
      <c r="J5242" t="s">
        <v>34519</v>
      </c>
      <c r="K5242" t="s">
        <v>40287</v>
      </c>
      <c r="M5242" t="s">
        <v>42582</v>
      </c>
      <c r="N5242" t="s">
        <v>44759</v>
      </c>
      <c r="O5242" t="s">
        <v>44760</v>
      </c>
      <c r="P5242">
        <v>0</v>
      </c>
      <c r="Q5242">
        <v>3</v>
      </c>
      <c r="R5242" t="s">
        <v>44766</v>
      </c>
      <c r="S5242" t="s">
        <v>44902</v>
      </c>
      <c r="T5242" t="s">
        <v>46658</v>
      </c>
      <c r="U5242" t="s">
        <v>51365</v>
      </c>
      <c r="V5242" t="s">
        <v>59664</v>
      </c>
      <c r="W5242" t="s">
        <v>42582</v>
      </c>
      <c r="X5242" t="s">
        <v>44768</v>
      </c>
    </row>
    <row r="5243" spans="1:24">
      <c r="A5243">
        <f>HYPERLINK("https://www.philgeps.gov.ph/GEPSNONPILOT/Tender/SplashBidNoticeAbstractUI.aspx?menuIndex=3&amp;refID=7144049&amp;Result=3","7144049")</f>
        <v>0</v>
      </c>
      <c r="B5243" t="s">
        <v>1912</v>
      </c>
      <c r="C5243" t="s">
        <v>8704</v>
      </c>
      <c r="D5243" t="s">
        <v>17985</v>
      </c>
      <c r="E5243" t="s">
        <v>22705</v>
      </c>
      <c r="F5243" t="s">
        <v>30900</v>
      </c>
      <c r="G5243" t="s">
        <v>30907</v>
      </c>
      <c r="H5243" t="s">
        <v>30916</v>
      </c>
      <c r="I5243" t="s">
        <v>8123</v>
      </c>
      <c r="J5243" t="s">
        <v>34520</v>
      </c>
      <c r="K5243" t="s">
        <v>40291</v>
      </c>
      <c r="M5243" t="s">
        <v>42590</v>
      </c>
      <c r="N5243" t="s">
        <v>44759</v>
      </c>
      <c r="O5243" t="s">
        <v>44760</v>
      </c>
      <c r="P5243">
        <v>0</v>
      </c>
      <c r="Q5243">
        <v>2</v>
      </c>
      <c r="R5243" t="s">
        <v>44766</v>
      </c>
      <c r="S5243" t="s">
        <v>44902</v>
      </c>
      <c r="T5243" t="s">
        <v>46455</v>
      </c>
      <c r="U5243" t="s">
        <v>51366</v>
      </c>
      <c r="V5243" t="s">
        <v>59670</v>
      </c>
      <c r="W5243" t="s">
        <v>42590</v>
      </c>
      <c r="X5243" t="s">
        <v>44768</v>
      </c>
    </row>
    <row r="5244" spans="1:24">
      <c r="A5244">
        <f>HYPERLINK("https://www.philgeps.gov.ph/GEPSNONPILOT/Tender/SplashBidNoticeAbstractUI.aspx?menuIndex=3&amp;refID=7148531&amp;Result=3","7148531")</f>
        <v>0</v>
      </c>
      <c r="B5244" t="s">
        <v>1863</v>
      </c>
      <c r="C5244" t="s">
        <v>8705</v>
      </c>
      <c r="D5244" t="s">
        <v>18013</v>
      </c>
      <c r="E5244" t="s">
        <v>22706</v>
      </c>
      <c r="F5244" t="s">
        <v>30900</v>
      </c>
      <c r="G5244" t="s">
        <v>30908</v>
      </c>
      <c r="H5244" t="s">
        <v>30916</v>
      </c>
      <c r="I5244" t="s">
        <v>10847</v>
      </c>
      <c r="J5244" t="s">
        <v>34184</v>
      </c>
      <c r="K5244" t="s">
        <v>40291</v>
      </c>
      <c r="M5244" t="s">
        <v>42537</v>
      </c>
      <c r="N5244" t="s">
        <v>44759</v>
      </c>
      <c r="O5244" t="s">
        <v>44760</v>
      </c>
      <c r="P5244">
        <v>0</v>
      </c>
      <c r="Q5244">
        <v>0</v>
      </c>
      <c r="R5244" t="s">
        <v>44765</v>
      </c>
      <c r="S5244" t="s">
        <v>44892</v>
      </c>
      <c r="T5244" t="s">
        <v>46363</v>
      </c>
      <c r="U5244" t="s">
        <v>51367</v>
      </c>
      <c r="W5244" t="s">
        <v>42537</v>
      </c>
      <c r="X5244" t="s">
        <v>44766</v>
      </c>
    </row>
    <row r="5245" spans="1:24">
      <c r="A5245">
        <f>HYPERLINK("https://www.philgeps.gov.ph/GEPSNONPILOT/Tender/SplashBidNoticeAbstractUI.aspx?menuIndex=3&amp;refID=7144844&amp;Result=3","7144844")</f>
        <v>0</v>
      </c>
      <c r="B5245" t="s">
        <v>1913</v>
      </c>
      <c r="C5245" t="s">
        <v>8706</v>
      </c>
      <c r="D5245" t="s">
        <v>17972</v>
      </c>
      <c r="E5245" t="s">
        <v>22707</v>
      </c>
      <c r="F5245" t="s">
        <v>30900</v>
      </c>
      <c r="G5245" t="s">
        <v>30908</v>
      </c>
      <c r="H5245" t="s">
        <v>30916</v>
      </c>
      <c r="I5245" t="s">
        <v>9385</v>
      </c>
      <c r="J5245" t="s">
        <v>31204</v>
      </c>
      <c r="K5245" t="s">
        <v>40286</v>
      </c>
      <c r="M5245" t="s">
        <v>42591</v>
      </c>
      <c r="N5245" t="s">
        <v>44759</v>
      </c>
      <c r="O5245" t="s">
        <v>44760</v>
      </c>
      <c r="P5245">
        <v>0</v>
      </c>
      <c r="Q5245">
        <v>10</v>
      </c>
      <c r="R5245" t="s">
        <v>44766</v>
      </c>
      <c r="S5245" t="s">
        <v>44902</v>
      </c>
      <c r="T5245" t="s">
        <v>46410</v>
      </c>
      <c r="U5245" t="s">
        <v>51368</v>
      </c>
      <c r="W5245" t="s">
        <v>42591</v>
      </c>
      <c r="X5245" t="s">
        <v>44768</v>
      </c>
    </row>
    <row r="5246" spans="1:24">
      <c r="A5246">
        <f>HYPERLINK("https://www.philgeps.gov.ph/GEPSNONPILOT/Tender/SplashBidNoticeAbstractUI.aspx?menuIndex=3&amp;refID=7145233&amp;Result=3","7145233")</f>
        <v>0</v>
      </c>
      <c r="B5246" t="s">
        <v>1914</v>
      </c>
      <c r="C5246" t="s">
        <v>8707</v>
      </c>
      <c r="D5246" t="s">
        <v>17953</v>
      </c>
      <c r="E5246" t="s">
        <v>19382</v>
      </c>
      <c r="F5246" t="s">
        <v>30900</v>
      </c>
      <c r="G5246" t="s">
        <v>30908</v>
      </c>
      <c r="H5246" t="s">
        <v>30916</v>
      </c>
      <c r="I5246" t="s">
        <v>6396</v>
      </c>
      <c r="J5246" t="s">
        <v>34521</v>
      </c>
      <c r="K5246" t="s">
        <v>40283</v>
      </c>
      <c r="M5246" t="s">
        <v>42592</v>
      </c>
      <c r="N5246" t="s">
        <v>44759</v>
      </c>
      <c r="O5246" t="s">
        <v>44760</v>
      </c>
      <c r="P5246">
        <v>0</v>
      </c>
      <c r="Q5246">
        <v>2</v>
      </c>
      <c r="R5246" t="s">
        <v>44766</v>
      </c>
      <c r="S5246" t="s">
        <v>44902</v>
      </c>
      <c r="T5246" t="s">
        <v>46398</v>
      </c>
      <c r="U5246" t="s">
        <v>51369</v>
      </c>
      <c r="V5246" t="s">
        <v>59671</v>
      </c>
      <c r="W5246" t="s">
        <v>42592</v>
      </c>
      <c r="X5246" t="s">
        <v>44767</v>
      </c>
    </row>
    <row r="5247" spans="1:24">
      <c r="A5247">
        <f>HYPERLINK("https://www.philgeps.gov.ph/GEPSNONPILOT/Tender/SplashBidNoticeAbstractUI.aspx?menuIndex=3&amp;refID=7144986&amp;Result=3","7144986")</f>
        <v>0</v>
      </c>
      <c r="B5247" t="s">
        <v>1915</v>
      </c>
      <c r="C5247" t="s">
        <v>8708</v>
      </c>
      <c r="D5247" t="s">
        <v>17959</v>
      </c>
      <c r="E5247" t="s">
        <v>19026</v>
      </c>
      <c r="F5247" t="s">
        <v>30900</v>
      </c>
      <c r="G5247" t="s">
        <v>30907</v>
      </c>
      <c r="H5247" t="s">
        <v>30916</v>
      </c>
      <c r="I5247" t="s">
        <v>30970</v>
      </c>
      <c r="J5247" t="s">
        <v>31341</v>
      </c>
      <c r="K5247" t="s">
        <v>40287</v>
      </c>
      <c r="M5247" t="s">
        <v>42593</v>
      </c>
      <c r="N5247" t="s">
        <v>44759</v>
      </c>
      <c r="O5247" t="s">
        <v>44760</v>
      </c>
      <c r="P5247">
        <v>0</v>
      </c>
      <c r="Q5247">
        <v>0</v>
      </c>
      <c r="R5247" t="s">
        <v>44766</v>
      </c>
      <c r="S5247" t="s">
        <v>44902</v>
      </c>
      <c r="T5247" t="s">
        <v>46474</v>
      </c>
      <c r="U5247" t="s">
        <v>51370</v>
      </c>
      <c r="W5247" t="s">
        <v>42593</v>
      </c>
      <c r="X5247" t="s">
        <v>44768</v>
      </c>
    </row>
    <row r="5248" spans="1:24">
      <c r="A5248">
        <f>HYPERLINK("https://www.philgeps.gov.ph/GEPSNONPILOT/Tender/SplashBidNoticeAbstractUI.aspx?menuIndex=3&amp;refID=7145210&amp;Result=3","7145210")</f>
        <v>0</v>
      </c>
      <c r="B5248" t="s">
        <v>1916</v>
      </c>
      <c r="C5248" t="s">
        <v>8709</v>
      </c>
      <c r="D5248" t="s">
        <v>18032</v>
      </c>
      <c r="E5248" t="s">
        <v>22708</v>
      </c>
      <c r="F5248" t="s">
        <v>30900</v>
      </c>
      <c r="G5248" t="s">
        <v>30909</v>
      </c>
      <c r="H5248" t="s">
        <v>30916</v>
      </c>
      <c r="I5248" t="s">
        <v>11785</v>
      </c>
      <c r="J5248" t="s">
        <v>31101</v>
      </c>
      <c r="K5248" t="s">
        <v>40288</v>
      </c>
      <c r="M5248" t="s">
        <v>42594</v>
      </c>
      <c r="N5248" t="s">
        <v>44759</v>
      </c>
      <c r="O5248" t="s">
        <v>44760</v>
      </c>
      <c r="P5248">
        <v>0</v>
      </c>
      <c r="Q5248">
        <v>0</v>
      </c>
      <c r="R5248" t="s">
        <v>44766</v>
      </c>
      <c r="S5248" t="s">
        <v>44902</v>
      </c>
      <c r="T5248" t="s">
        <v>46572</v>
      </c>
      <c r="U5248" t="s">
        <v>51371</v>
      </c>
      <c r="V5248" t="s">
        <v>59672</v>
      </c>
      <c r="W5248" t="s">
        <v>42594</v>
      </c>
      <c r="X5248" t="s">
        <v>44767</v>
      </c>
    </row>
    <row r="5249" spans="1:24">
      <c r="A5249">
        <f>HYPERLINK("https://www.philgeps.gov.ph/GEPSNONPILOT/Tender/SplashBidNoticeAbstractUI.aspx?menuIndex=3&amp;refID=7145215&amp;Result=3","7145215")</f>
        <v>0</v>
      </c>
      <c r="B5249" t="s">
        <v>1917</v>
      </c>
      <c r="C5249" t="s">
        <v>8710</v>
      </c>
      <c r="D5249" t="s">
        <v>18029</v>
      </c>
      <c r="E5249" t="s">
        <v>22709</v>
      </c>
      <c r="F5249" t="s">
        <v>30900</v>
      </c>
      <c r="G5249" t="s">
        <v>30907</v>
      </c>
      <c r="H5249" t="s">
        <v>30916</v>
      </c>
      <c r="I5249" t="s">
        <v>8123</v>
      </c>
      <c r="J5249" t="s">
        <v>34522</v>
      </c>
      <c r="K5249" t="s">
        <v>40289</v>
      </c>
      <c r="M5249" t="s">
        <v>42595</v>
      </c>
      <c r="N5249" t="s">
        <v>44759</v>
      </c>
      <c r="O5249" t="s">
        <v>44760</v>
      </c>
      <c r="P5249">
        <v>0</v>
      </c>
      <c r="Q5249">
        <v>0</v>
      </c>
      <c r="R5249" t="s">
        <v>44766</v>
      </c>
      <c r="S5249" t="s">
        <v>44902</v>
      </c>
      <c r="T5249" t="s">
        <v>46452</v>
      </c>
      <c r="U5249" t="s">
        <v>51372</v>
      </c>
      <c r="W5249" t="s">
        <v>42595</v>
      </c>
      <c r="X5249" t="s">
        <v>44767</v>
      </c>
    </row>
    <row r="5250" spans="1:24">
      <c r="A5250">
        <f>HYPERLINK("https://www.philgeps.gov.ph/GEPSNONPILOT/Tender/SplashBidNoticeAbstractUI.aspx?menuIndex=3&amp;refID=7145212&amp;Result=3","7145212")</f>
        <v>0</v>
      </c>
      <c r="B5250" t="s">
        <v>1918</v>
      </c>
      <c r="C5250" t="s">
        <v>8711</v>
      </c>
      <c r="D5250" t="s">
        <v>17954</v>
      </c>
      <c r="E5250" t="s">
        <v>20225</v>
      </c>
      <c r="F5250" t="s">
        <v>30900</v>
      </c>
      <c r="G5250" t="s">
        <v>30907</v>
      </c>
      <c r="H5250" t="s">
        <v>30916</v>
      </c>
      <c r="I5250" t="s">
        <v>30923</v>
      </c>
      <c r="J5250" t="s">
        <v>34523</v>
      </c>
      <c r="K5250" t="s">
        <v>40283</v>
      </c>
      <c r="M5250" t="s">
        <v>42596</v>
      </c>
      <c r="N5250" t="s">
        <v>44759</v>
      </c>
      <c r="O5250" t="s">
        <v>44760</v>
      </c>
      <c r="P5250">
        <v>0</v>
      </c>
      <c r="Q5250">
        <v>1</v>
      </c>
      <c r="R5250" t="s">
        <v>44766</v>
      </c>
      <c r="S5250" t="s">
        <v>44902</v>
      </c>
      <c r="T5250" t="s">
        <v>46495</v>
      </c>
      <c r="U5250" t="s">
        <v>51373</v>
      </c>
      <c r="V5250" t="s">
        <v>59673</v>
      </c>
      <c r="W5250" t="s">
        <v>42596</v>
      </c>
      <c r="X5250" t="s">
        <v>44767</v>
      </c>
    </row>
    <row r="5251" spans="1:24">
      <c r="A5251">
        <f>HYPERLINK("https://www.philgeps.gov.ph/GEPSNONPILOT/Tender/SplashBidNoticeAbstractUI.aspx?menuIndex=3&amp;refID=7145195&amp;Result=3","7145195")</f>
        <v>0</v>
      </c>
      <c r="B5251" t="s">
        <v>1919</v>
      </c>
      <c r="C5251" t="s">
        <v>8712</v>
      </c>
      <c r="D5251" t="s">
        <v>17953</v>
      </c>
      <c r="E5251" t="s">
        <v>22710</v>
      </c>
      <c r="F5251" t="s">
        <v>30900</v>
      </c>
      <c r="G5251" t="s">
        <v>30908</v>
      </c>
      <c r="H5251" t="s">
        <v>30916</v>
      </c>
      <c r="I5251" t="s">
        <v>30985</v>
      </c>
      <c r="J5251" t="s">
        <v>34524</v>
      </c>
      <c r="K5251" t="s">
        <v>40286</v>
      </c>
      <c r="M5251" t="s">
        <v>42597</v>
      </c>
      <c r="N5251" t="s">
        <v>44759</v>
      </c>
      <c r="O5251" t="s">
        <v>44760</v>
      </c>
      <c r="P5251">
        <v>0</v>
      </c>
      <c r="Q5251">
        <v>1</v>
      </c>
      <c r="R5251" t="s">
        <v>44766</v>
      </c>
      <c r="S5251" t="s">
        <v>44902</v>
      </c>
      <c r="T5251" t="s">
        <v>46531</v>
      </c>
      <c r="U5251" t="s">
        <v>51374</v>
      </c>
      <c r="V5251" t="s">
        <v>51724</v>
      </c>
      <c r="W5251" t="s">
        <v>60876</v>
      </c>
      <c r="X5251" t="s">
        <v>44768</v>
      </c>
    </row>
    <row r="5252" spans="1:24">
      <c r="A5252">
        <f>HYPERLINK("https://www.philgeps.gov.ph/GEPSNONPILOT/Tender/SplashBidNoticeAbstractUI.aspx?menuIndex=3&amp;refID=7144174&amp;Result=3","7144174")</f>
        <v>0</v>
      </c>
      <c r="B5252" t="s">
        <v>1232</v>
      </c>
      <c r="C5252" t="s">
        <v>8713</v>
      </c>
      <c r="D5252" t="s">
        <v>17969</v>
      </c>
      <c r="E5252" t="s">
        <v>22711</v>
      </c>
      <c r="F5252" t="s">
        <v>30900</v>
      </c>
      <c r="G5252" t="s">
        <v>30907</v>
      </c>
      <c r="H5252" t="s">
        <v>30915</v>
      </c>
      <c r="I5252" t="s">
        <v>30919</v>
      </c>
      <c r="J5252" t="s">
        <v>34525</v>
      </c>
      <c r="K5252" t="s">
        <v>40358</v>
      </c>
      <c r="M5252" t="s">
        <v>42598</v>
      </c>
      <c r="N5252" t="s">
        <v>44759</v>
      </c>
      <c r="O5252" t="s">
        <v>44760</v>
      </c>
      <c r="P5252">
        <v>0</v>
      </c>
      <c r="Q5252">
        <v>1</v>
      </c>
      <c r="R5252" t="s">
        <v>44766</v>
      </c>
      <c r="S5252" t="s">
        <v>44902</v>
      </c>
      <c r="T5252" t="s">
        <v>46504</v>
      </c>
      <c r="U5252" t="s">
        <v>51375</v>
      </c>
      <c r="W5252" t="s">
        <v>42598</v>
      </c>
      <c r="X5252" t="s">
        <v>44768</v>
      </c>
    </row>
    <row r="5253" spans="1:24">
      <c r="A5253">
        <f>HYPERLINK("https://www.philgeps.gov.ph/GEPSNONPILOT/Tender/SplashBidNoticeAbstractUI.aspx?menuIndex=3&amp;refID=7145231&amp;Result=3","7145231")</f>
        <v>0</v>
      </c>
      <c r="B5253" t="s">
        <v>1920</v>
      </c>
      <c r="C5253" t="s">
        <v>8714</v>
      </c>
      <c r="D5253" t="s">
        <v>17953</v>
      </c>
      <c r="E5253" t="s">
        <v>18608</v>
      </c>
      <c r="F5253" t="s">
        <v>30900</v>
      </c>
      <c r="G5253" t="s">
        <v>30908</v>
      </c>
      <c r="H5253" t="s">
        <v>30916</v>
      </c>
      <c r="I5253" t="s">
        <v>4142</v>
      </c>
      <c r="J5253" t="s">
        <v>34526</v>
      </c>
      <c r="K5253" t="s">
        <v>40283</v>
      </c>
      <c r="M5253" t="s">
        <v>42599</v>
      </c>
      <c r="N5253" t="s">
        <v>44759</v>
      </c>
      <c r="O5253" t="s">
        <v>44760</v>
      </c>
      <c r="P5253">
        <v>0</v>
      </c>
      <c r="Q5253">
        <v>1</v>
      </c>
      <c r="R5253" t="s">
        <v>44766</v>
      </c>
      <c r="S5253" t="s">
        <v>44902</v>
      </c>
      <c r="T5253" t="s">
        <v>46374</v>
      </c>
      <c r="U5253" t="s">
        <v>51376</v>
      </c>
      <c r="V5253" t="s">
        <v>59674</v>
      </c>
      <c r="W5253" t="s">
        <v>42599</v>
      </c>
      <c r="X5253" t="s">
        <v>44767</v>
      </c>
    </row>
    <row r="5254" spans="1:24">
      <c r="A5254">
        <f>HYPERLINK("https://www.philgeps.gov.ph/GEPSNONPILOT/Tender/SplashBidNoticeAbstractUI.aspx?menuIndex=3&amp;refID=7145220&amp;Result=3","7145220")</f>
        <v>0</v>
      </c>
      <c r="B5254" t="s">
        <v>1921</v>
      </c>
      <c r="C5254" t="s">
        <v>8714</v>
      </c>
      <c r="D5254" t="s">
        <v>17953</v>
      </c>
      <c r="E5254" t="s">
        <v>18608</v>
      </c>
      <c r="F5254" t="s">
        <v>30900</v>
      </c>
      <c r="G5254" t="s">
        <v>30908</v>
      </c>
      <c r="H5254" t="s">
        <v>30916</v>
      </c>
      <c r="I5254" t="s">
        <v>4142</v>
      </c>
      <c r="J5254" t="s">
        <v>34527</v>
      </c>
      <c r="K5254" t="s">
        <v>40283</v>
      </c>
      <c r="M5254" t="s">
        <v>42600</v>
      </c>
      <c r="N5254" t="s">
        <v>44759</v>
      </c>
      <c r="O5254" t="s">
        <v>44760</v>
      </c>
      <c r="P5254">
        <v>0</v>
      </c>
      <c r="Q5254">
        <v>1</v>
      </c>
      <c r="R5254" t="s">
        <v>44766</v>
      </c>
      <c r="S5254" t="s">
        <v>44902</v>
      </c>
      <c r="T5254" t="s">
        <v>46398</v>
      </c>
      <c r="U5254" t="s">
        <v>51377</v>
      </c>
      <c r="V5254" t="s">
        <v>59671</v>
      </c>
      <c r="W5254" t="s">
        <v>42600</v>
      </c>
      <c r="X5254" t="s">
        <v>44767</v>
      </c>
    </row>
    <row r="5255" spans="1:24">
      <c r="A5255">
        <f>HYPERLINK("https://www.philgeps.gov.ph/GEPSNONPILOT/Tender/SplashBidNoticeAbstractUI.aspx?menuIndex=3&amp;refID=7145160&amp;Result=3","7145160")</f>
        <v>0</v>
      </c>
      <c r="B5255" t="s">
        <v>1922</v>
      </c>
      <c r="C5255" t="s">
        <v>8715</v>
      </c>
      <c r="E5255" t="s">
        <v>22712</v>
      </c>
      <c r="F5255" t="s">
        <v>30900</v>
      </c>
      <c r="G5255" t="s">
        <v>30908</v>
      </c>
      <c r="H5255" t="s">
        <v>30916</v>
      </c>
      <c r="I5255" t="s">
        <v>10602</v>
      </c>
      <c r="J5255" t="s">
        <v>34528</v>
      </c>
      <c r="K5255" t="s">
        <v>40281</v>
      </c>
      <c r="M5255" t="s">
        <v>42601</v>
      </c>
      <c r="N5255" t="s">
        <v>44759</v>
      </c>
      <c r="O5255" t="s">
        <v>44760</v>
      </c>
      <c r="P5255">
        <v>0</v>
      </c>
      <c r="Q5255">
        <v>2</v>
      </c>
      <c r="R5255" t="s">
        <v>44766</v>
      </c>
      <c r="S5255" t="s">
        <v>44902</v>
      </c>
      <c r="T5255" t="s">
        <v>46379</v>
      </c>
      <c r="U5255" t="s">
        <v>51378</v>
      </c>
      <c r="V5255" t="s">
        <v>59675</v>
      </c>
      <c r="W5255" t="s">
        <v>42601</v>
      </c>
      <c r="X5255" t="s">
        <v>44768</v>
      </c>
    </row>
    <row r="5256" spans="1:24">
      <c r="A5256">
        <f>HYPERLINK("https://www.philgeps.gov.ph/GEPSNONPILOT/Tender/SplashBidNoticeAbstractUI.aspx?menuIndex=3&amp;refID=7145136&amp;Result=3","7145136")</f>
        <v>0</v>
      </c>
      <c r="B5256" t="s">
        <v>1119</v>
      </c>
      <c r="C5256" t="s">
        <v>8716</v>
      </c>
      <c r="D5256" t="s">
        <v>18038</v>
      </c>
      <c r="E5256" t="s">
        <v>22713</v>
      </c>
      <c r="F5256" t="s">
        <v>30900</v>
      </c>
      <c r="G5256" t="s">
        <v>30907</v>
      </c>
      <c r="H5256" t="s">
        <v>30916</v>
      </c>
      <c r="I5256" t="s">
        <v>7708</v>
      </c>
      <c r="J5256" t="s">
        <v>34529</v>
      </c>
      <c r="K5256" t="s">
        <v>40280</v>
      </c>
      <c r="M5256" t="s">
        <v>42602</v>
      </c>
      <c r="N5256" t="s">
        <v>44759</v>
      </c>
      <c r="O5256" t="s">
        <v>44760</v>
      </c>
      <c r="Q5256">
        <v>5</v>
      </c>
      <c r="R5256" t="s">
        <v>44766</v>
      </c>
      <c r="S5256" t="s">
        <v>44905</v>
      </c>
      <c r="T5256" t="s">
        <v>46486</v>
      </c>
      <c r="U5256" t="s">
        <v>51379</v>
      </c>
      <c r="V5256" t="s">
        <v>59676</v>
      </c>
      <c r="W5256" t="s">
        <v>42602</v>
      </c>
      <c r="X5256" t="s">
        <v>44768</v>
      </c>
    </row>
    <row r="5257" spans="1:24">
      <c r="A5257">
        <f>HYPERLINK("https://www.philgeps.gov.ph/GEPSNONPILOT/Tender/SplashBidNoticeAbstractUI.aspx?menuIndex=3&amp;refID=7145300&amp;Result=3","7145300")</f>
        <v>0</v>
      </c>
      <c r="B5257" t="s">
        <v>1923</v>
      </c>
      <c r="C5257" t="s">
        <v>8717</v>
      </c>
      <c r="D5257" t="s">
        <v>18022</v>
      </c>
      <c r="E5257" t="s">
        <v>22714</v>
      </c>
      <c r="F5257" t="s">
        <v>30900</v>
      </c>
      <c r="G5257" t="s">
        <v>30910</v>
      </c>
      <c r="H5257" t="s">
        <v>30916</v>
      </c>
      <c r="I5257" t="s">
        <v>6396</v>
      </c>
      <c r="J5257" t="s">
        <v>34530</v>
      </c>
      <c r="K5257" t="s">
        <v>40284</v>
      </c>
      <c r="M5257" t="s">
        <v>42603</v>
      </c>
      <c r="N5257" t="s">
        <v>44759</v>
      </c>
      <c r="O5257" t="s">
        <v>44760</v>
      </c>
      <c r="P5257">
        <v>0</v>
      </c>
      <c r="Q5257">
        <v>5</v>
      </c>
      <c r="R5257" t="s">
        <v>44766</v>
      </c>
      <c r="S5257" t="s">
        <v>44902</v>
      </c>
      <c r="T5257" t="s">
        <v>46625</v>
      </c>
      <c r="U5257" t="s">
        <v>51380</v>
      </c>
      <c r="W5257" t="s">
        <v>42603</v>
      </c>
      <c r="X5257" t="s">
        <v>44767</v>
      </c>
    </row>
    <row r="5258" spans="1:24">
      <c r="A5258">
        <f>HYPERLINK("https://www.philgeps.gov.ph/GEPSNONPILOT/Tender/SplashBidNoticeAbstractUI.aspx?menuIndex=3&amp;refID=7145209&amp;Result=3","7145209")</f>
        <v>0</v>
      </c>
      <c r="B5258" t="s">
        <v>1918</v>
      </c>
      <c r="C5258" t="s">
        <v>8718</v>
      </c>
      <c r="D5258" t="s">
        <v>17954</v>
      </c>
      <c r="E5258" t="s">
        <v>20226</v>
      </c>
      <c r="F5258" t="s">
        <v>30900</v>
      </c>
      <c r="G5258" t="s">
        <v>30907</v>
      </c>
      <c r="H5258" t="s">
        <v>30916</v>
      </c>
      <c r="I5258" t="s">
        <v>30927</v>
      </c>
      <c r="J5258" t="s">
        <v>34531</v>
      </c>
      <c r="K5258" t="s">
        <v>40283</v>
      </c>
      <c r="M5258" t="s">
        <v>42596</v>
      </c>
      <c r="N5258" t="s">
        <v>44759</v>
      </c>
      <c r="O5258" t="s">
        <v>44760</v>
      </c>
      <c r="P5258">
        <v>0</v>
      </c>
      <c r="Q5258">
        <v>0</v>
      </c>
      <c r="R5258" t="s">
        <v>44766</v>
      </c>
      <c r="S5258" t="s">
        <v>44902</v>
      </c>
      <c r="T5258" t="s">
        <v>46495</v>
      </c>
      <c r="U5258" t="s">
        <v>51381</v>
      </c>
      <c r="V5258" t="s">
        <v>59677</v>
      </c>
      <c r="W5258" t="s">
        <v>42596</v>
      </c>
      <c r="X5258" t="s">
        <v>44767</v>
      </c>
    </row>
    <row r="5259" spans="1:24">
      <c r="A5259">
        <f>HYPERLINK("https://www.philgeps.gov.ph/GEPSNONPILOT/Tender/SplashBidNoticeAbstractUI.aspx?menuIndex=3&amp;refID=7145298&amp;Result=3","7145298")</f>
        <v>0</v>
      </c>
      <c r="B5259" t="s">
        <v>1924</v>
      </c>
      <c r="C5259" t="s">
        <v>8719</v>
      </c>
      <c r="D5259" t="s">
        <v>17973</v>
      </c>
      <c r="E5259" t="s">
        <v>18565</v>
      </c>
      <c r="F5259" t="s">
        <v>30900</v>
      </c>
      <c r="G5259" t="s">
        <v>30907</v>
      </c>
      <c r="H5259" t="s">
        <v>30916</v>
      </c>
      <c r="I5259" t="s">
        <v>8123</v>
      </c>
      <c r="J5259" t="s">
        <v>34532</v>
      </c>
      <c r="K5259" t="s">
        <v>40288</v>
      </c>
      <c r="M5259" t="s">
        <v>42604</v>
      </c>
      <c r="N5259" t="s">
        <v>44759</v>
      </c>
      <c r="O5259" t="s">
        <v>44760</v>
      </c>
      <c r="P5259">
        <v>0</v>
      </c>
      <c r="Q5259">
        <v>0</v>
      </c>
      <c r="R5259" t="s">
        <v>44766</v>
      </c>
      <c r="S5259" t="s">
        <v>44902</v>
      </c>
      <c r="T5259" t="s">
        <v>46383</v>
      </c>
      <c r="U5259" t="s">
        <v>51382</v>
      </c>
      <c r="W5259" t="s">
        <v>42604</v>
      </c>
      <c r="X5259" t="s">
        <v>44767</v>
      </c>
    </row>
    <row r="5260" spans="1:24">
      <c r="A5260">
        <f>HYPERLINK("https://www.philgeps.gov.ph/GEPSNONPILOT/Tender/SplashBidNoticeAbstractUI.aspx?menuIndex=3&amp;refID=7145026&amp;Result=3","7145026")</f>
        <v>0</v>
      </c>
      <c r="B5260" t="s">
        <v>1925</v>
      </c>
      <c r="C5260" t="s">
        <v>8720</v>
      </c>
      <c r="D5260" t="s">
        <v>18002</v>
      </c>
      <c r="E5260" t="s">
        <v>22715</v>
      </c>
      <c r="F5260" t="s">
        <v>30900</v>
      </c>
      <c r="G5260" t="s">
        <v>30913</v>
      </c>
      <c r="H5260" t="s">
        <v>30916</v>
      </c>
      <c r="I5260" t="s">
        <v>30949</v>
      </c>
      <c r="J5260" t="s">
        <v>31653</v>
      </c>
      <c r="K5260" t="s">
        <v>40293</v>
      </c>
      <c r="M5260" t="s">
        <v>42605</v>
      </c>
      <c r="N5260" t="s">
        <v>44759</v>
      </c>
      <c r="O5260" t="s">
        <v>44760</v>
      </c>
      <c r="P5260">
        <v>0</v>
      </c>
      <c r="Q5260">
        <v>5</v>
      </c>
      <c r="R5260" t="s">
        <v>44766</v>
      </c>
      <c r="S5260" t="s">
        <v>44902</v>
      </c>
      <c r="T5260" t="s">
        <v>46456</v>
      </c>
      <c r="U5260" t="s">
        <v>51383</v>
      </c>
      <c r="W5260" t="s">
        <v>42605</v>
      </c>
      <c r="X5260" t="s">
        <v>44768</v>
      </c>
    </row>
    <row r="5261" spans="1:24">
      <c r="A5261">
        <f>HYPERLINK("https://www.philgeps.gov.ph/GEPSNONPILOT/Tender/SplashBidNoticeAbstractUI.aspx?menuIndex=3&amp;refID=7145288&amp;Result=3","7145288")</f>
        <v>0</v>
      </c>
      <c r="B5261" t="s">
        <v>164</v>
      </c>
      <c r="C5261" t="s">
        <v>8721</v>
      </c>
      <c r="D5261" t="s">
        <v>17961</v>
      </c>
      <c r="E5261" t="s">
        <v>22716</v>
      </c>
      <c r="F5261" t="s">
        <v>30900</v>
      </c>
      <c r="G5261" t="s">
        <v>30908</v>
      </c>
      <c r="H5261" t="s">
        <v>30916</v>
      </c>
      <c r="I5261" t="s">
        <v>30921</v>
      </c>
      <c r="J5261" t="s">
        <v>34059</v>
      </c>
      <c r="K5261" t="s">
        <v>40294</v>
      </c>
      <c r="M5261" t="s">
        <v>40711</v>
      </c>
      <c r="N5261" t="s">
        <v>44759</v>
      </c>
      <c r="O5261" t="s">
        <v>44760</v>
      </c>
      <c r="P5261">
        <v>0</v>
      </c>
      <c r="Q5261">
        <v>1</v>
      </c>
      <c r="R5261" t="s">
        <v>44766</v>
      </c>
      <c r="S5261" t="s">
        <v>44902</v>
      </c>
      <c r="T5261" t="s">
        <v>46531</v>
      </c>
      <c r="U5261" t="s">
        <v>51384</v>
      </c>
      <c r="W5261" t="s">
        <v>40711</v>
      </c>
      <c r="X5261" t="s">
        <v>44767</v>
      </c>
    </row>
    <row r="5262" spans="1:24">
      <c r="A5262">
        <f>HYPERLINK("https://www.philgeps.gov.ph/GEPSNONPILOT/Tender/SplashBidNoticeAbstractUI.aspx?menuIndex=3&amp;refID=7145226&amp;Result=3","7145226")</f>
        <v>0</v>
      </c>
      <c r="B5262" t="s">
        <v>1926</v>
      </c>
      <c r="C5262" t="s">
        <v>8714</v>
      </c>
      <c r="D5262" t="s">
        <v>17953</v>
      </c>
      <c r="E5262" t="s">
        <v>18484</v>
      </c>
      <c r="F5262" t="s">
        <v>30900</v>
      </c>
      <c r="G5262" t="s">
        <v>30908</v>
      </c>
      <c r="H5262" t="s">
        <v>30916</v>
      </c>
      <c r="I5262" t="s">
        <v>4142</v>
      </c>
      <c r="J5262" t="s">
        <v>34533</v>
      </c>
      <c r="K5262" t="s">
        <v>40283</v>
      </c>
      <c r="M5262" t="s">
        <v>42606</v>
      </c>
      <c r="N5262" t="s">
        <v>44759</v>
      </c>
      <c r="O5262" t="s">
        <v>44760</v>
      </c>
      <c r="P5262">
        <v>0</v>
      </c>
      <c r="Q5262">
        <v>1</v>
      </c>
      <c r="R5262" t="s">
        <v>44766</v>
      </c>
      <c r="S5262" t="s">
        <v>44902</v>
      </c>
      <c r="T5262" t="s">
        <v>46398</v>
      </c>
      <c r="U5262" t="s">
        <v>51385</v>
      </c>
      <c r="W5262" t="s">
        <v>42606</v>
      </c>
      <c r="X5262" t="s">
        <v>44767</v>
      </c>
    </row>
    <row r="5263" spans="1:24">
      <c r="A5263">
        <f>HYPERLINK("https://www.philgeps.gov.ph/GEPSNONPILOT/Tender/SplashBidNoticeAbstractUI.aspx?menuIndex=3&amp;refID=7145284&amp;Result=3","7145284")</f>
        <v>0</v>
      </c>
      <c r="B5263" t="s">
        <v>1927</v>
      </c>
      <c r="C5263" t="s">
        <v>8722</v>
      </c>
      <c r="D5263" t="s">
        <v>17952</v>
      </c>
      <c r="E5263" t="s">
        <v>22717</v>
      </c>
      <c r="F5263" t="s">
        <v>30900</v>
      </c>
      <c r="G5263" t="s">
        <v>30907</v>
      </c>
      <c r="H5263" t="s">
        <v>30915</v>
      </c>
      <c r="I5263" t="s">
        <v>8123</v>
      </c>
      <c r="J5263" t="s">
        <v>33171</v>
      </c>
      <c r="K5263" t="s">
        <v>40304</v>
      </c>
      <c r="M5263" t="s">
        <v>42607</v>
      </c>
      <c r="N5263" t="s">
        <v>44759</v>
      </c>
      <c r="O5263" t="s">
        <v>44760</v>
      </c>
      <c r="P5263">
        <v>0</v>
      </c>
      <c r="Q5263">
        <v>0</v>
      </c>
      <c r="R5263" t="s">
        <v>44766</v>
      </c>
      <c r="S5263" t="s">
        <v>44902</v>
      </c>
      <c r="T5263" t="s">
        <v>46488</v>
      </c>
      <c r="U5263" t="s">
        <v>51386</v>
      </c>
      <c r="V5263" t="s">
        <v>59678</v>
      </c>
      <c r="W5263" t="s">
        <v>42607</v>
      </c>
      <c r="X5263" t="s">
        <v>44767</v>
      </c>
    </row>
    <row r="5264" spans="1:24">
      <c r="A5264">
        <f>HYPERLINK("https://www.philgeps.gov.ph/GEPSNONPILOT/Tender/SplashBidNoticeAbstractUI.aspx?menuIndex=3&amp;refID=7145281&amp;Result=3","7145281")</f>
        <v>0</v>
      </c>
      <c r="B5264" t="s">
        <v>1923</v>
      </c>
      <c r="C5264" t="s">
        <v>8723</v>
      </c>
      <c r="D5264" t="s">
        <v>18022</v>
      </c>
      <c r="E5264" t="s">
        <v>22718</v>
      </c>
      <c r="F5264" t="s">
        <v>30900</v>
      </c>
      <c r="G5264" t="s">
        <v>30910</v>
      </c>
      <c r="H5264" t="s">
        <v>30916</v>
      </c>
      <c r="I5264" t="s">
        <v>6396</v>
      </c>
      <c r="J5264" t="s">
        <v>34534</v>
      </c>
      <c r="K5264" t="s">
        <v>40284</v>
      </c>
      <c r="M5264" t="s">
        <v>42603</v>
      </c>
      <c r="N5264" t="s">
        <v>44759</v>
      </c>
      <c r="O5264" t="s">
        <v>44760</v>
      </c>
      <c r="P5264">
        <v>0</v>
      </c>
      <c r="Q5264">
        <v>5</v>
      </c>
      <c r="R5264" t="s">
        <v>44766</v>
      </c>
      <c r="S5264" t="s">
        <v>44902</v>
      </c>
      <c r="T5264" t="s">
        <v>46625</v>
      </c>
      <c r="U5264" t="s">
        <v>51380</v>
      </c>
      <c r="W5264" t="s">
        <v>42603</v>
      </c>
      <c r="X5264" t="s">
        <v>44767</v>
      </c>
    </row>
    <row r="5265" spans="1:24">
      <c r="A5265">
        <f>HYPERLINK("https://www.philgeps.gov.ph/GEPSNONPILOT/Tender/SplashBidNoticeAbstractUI.aspx?menuIndex=3&amp;refID=7145278&amp;Result=3","7145278")</f>
        <v>0</v>
      </c>
      <c r="B5265" t="s">
        <v>1523</v>
      </c>
      <c r="C5265" t="s">
        <v>8724</v>
      </c>
      <c r="D5265" t="s">
        <v>18010</v>
      </c>
      <c r="E5265" t="s">
        <v>22719</v>
      </c>
      <c r="F5265" t="s">
        <v>30900</v>
      </c>
      <c r="G5265" t="s">
        <v>30908</v>
      </c>
      <c r="H5265" t="s">
        <v>30916</v>
      </c>
      <c r="I5265" t="s">
        <v>30945</v>
      </c>
      <c r="J5265" t="s">
        <v>31423</v>
      </c>
      <c r="K5265" t="s">
        <v>40283</v>
      </c>
      <c r="L5265" t="s">
        <v>1523</v>
      </c>
      <c r="M5265" t="s">
        <v>42165</v>
      </c>
      <c r="N5265" t="s">
        <v>44759</v>
      </c>
      <c r="O5265" t="s">
        <v>44760</v>
      </c>
      <c r="P5265">
        <v>0</v>
      </c>
      <c r="Q5265">
        <v>2</v>
      </c>
      <c r="R5265" t="s">
        <v>44766</v>
      </c>
      <c r="S5265" t="s">
        <v>44902</v>
      </c>
      <c r="T5265" t="s">
        <v>46625</v>
      </c>
      <c r="U5265" t="s">
        <v>51387</v>
      </c>
      <c r="W5265" t="s">
        <v>42165</v>
      </c>
      <c r="X5265" t="s">
        <v>44767</v>
      </c>
    </row>
    <row r="5266" spans="1:24">
      <c r="A5266">
        <f>HYPERLINK("https://www.philgeps.gov.ph/GEPSNONPILOT/Tender/SplashBidNoticeAbstractUI.aspx?menuIndex=3&amp;refID=7145273&amp;Result=3","7145273")</f>
        <v>0</v>
      </c>
      <c r="B5266" t="s">
        <v>1928</v>
      </c>
      <c r="C5266" t="s">
        <v>8725</v>
      </c>
      <c r="D5266" t="s">
        <v>18011</v>
      </c>
      <c r="E5266" t="s">
        <v>22720</v>
      </c>
      <c r="F5266" t="s">
        <v>30900</v>
      </c>
      <c r="G5266" t="s">
        <v>30908</v>
      </c>
      <c r="H5266" t="s">
        <v>30916</v>
      </c>
      <c r="I5266" t="s">
        <v>30941</v>
      </c>
      <c r="J5266" t="s">
        <v>31043</v>
      </c>
      <c r="K5266" t="s">
        <v>40291</v>
      </c>
      <c r="M5266" t="s">
        <v>42608</v>
      </c>
      <c r="N5266" t="s">
        <v>44759</v>
      </c>
      <c r="O5266" t="s">
        <v>44760</v>
      </c>
      <c r="P5266">
        <v>0</v>
      </c>
      <c r="Q5266">
        <v>0</v>
      </c>
      <c r="R5266" t="s">
        <v>44766</v>
      </c>
      <c r="S5266" t="s">
        <v>44902</v>
      </c>
      <c r="T5266" t="s">
        <v>46398</v>
      </c>
      <c r="U5266" t="s">
        <v>51388</v>
      </c>
      <c r="W5266" t="s">
        <v>42608</v>
      </c>
      <c r="X5266" t="s">
        <v>44767</v>
      </c>
    </row>
    <row r="5267" spans="1:24">
      <c r="A5267">
        <f>HYPERLINK("https://www.philgeps.gov.ph/GEPSNONPILOT/Tender/SplashBidNoticeAbstractUI.aspx?menuIndex=3&amp;refID=7145289&amp;Result=3","7145289")</f>
        <v>0</v>
      </c>
      <c r="B5267" t="s">
        <v>172</v>
      </c>
      <c r="C5267" t="s">
        <v>8726</v>
      </c>
      <c r="D5267" t="s">
        <v>17979</v>
      </c>
      <c r="E5267" t="s">
        <v>22721</v>
      </c>
      <c r="F5267" t="s">
        <v>30900</v>
      </c>
      <c r="G5267" t="s">
        <v>30907</v>
      </c>
      <c r="H5267" t="s">
        <v>30916</v>
      </c>
      <c r="I5267" t="s">
        <v>30924</v>
      </c>
      <c r="J5267" t="s">
        <v>31152</v>
      </c>
      <c r="K5267" t="s">
        <v>40293</v>
      </c>
      <c r="M5267" t="s">
        <v>42609</v>
      </c>
      <c r="N5267" t="s">
        <v>44759</v>
      </c>
      <c r="O5267" t="s">
        <v>44760</v>
      </c>
      <c r="P5267">
        <v>0</v>
      </c>
      <c r="Q5267">
        <v>5</v>
      </c>
      <c r="R5267" t="s">
        <v>44766</v>
      </c>
      <c r="S5267" t="s">
        <v>44902</v>
      </c>
      <c r="T5267" t="s">
        <v>46449</v>
      </c>
      <c r="U5267" t="s">
        <v>51389</v>
      </c>
      <c r="W5267" t="s">
        <v>42609</v>
      </c>
      <c r="X5267" t="s">
        <v>44767</v>
      </c>
    </row>
    <row r="5268" spans="1:24">
      <c r="A5268">
        <f>HYPERLINK("https://www.philgeps.gov.ph/GEPSNONPILOT/Tender/SplashBidNoticeAbstractUI.aspx?menuIndex=3&amp;refID=7145262&amp;Result=3","7145262")</f>
        <v>0</v>
      </c>
      <c r="B5268" t="s">
        <v>1929</v>
      </c>
      <c r="C5268" t="s">
        <v>8727</v>
      </c>
      <c r="D5268" t="s">
        <v>17985</v>
      </c>
      <c r="E5268" t="s">
        <v>22722</v>
      </c>
      <c r="F5268" t="s">
        <v>30900</v>
      </c>
      <c r="G5268" t="s">
        <v>30908</v>
      </c>
      <c r="H5268" t="s">
        <v>30916</v>
      </c>
      <c r="I5268" t="s">
        <v>10847</v>
      </c>
      <c r="J5268" t="s">
        <v>31183</v>
      </c>
      <c r="K5268" t="s">
        <v>40287</v>
      </c>
      <c r="M5268" t="s">
        <v>42610</v>
      </c>
      <c r="N5268" t="s">
        <v>44759</v>
      </c>
      <c r="O5268" t="s">
        <v>44760</v>
      </c>
      <c r="P5268">
        <v>0</v>
      </c>
      <c r="Q5268">
        <v>0</v>
      </c>
      <c r="R5268" t="s">
        <v>44766</v>
      </c>
      <c r="S5268" t="s">
        <v>44902</v>
      </c>
      <c r="T5268" t="s">
        <v>46414</v>
      </c>
      <c r="U5268" t="s">
        <v>51390</v>
      </c>
      <c r="W5268" t="s">
        <v>42610</v>
      </c>
      <c r="X5268" t="s">
        <v>44767</v>
      </c>
    </row>
    <row r="5269" spans="1:24">
      <c r="A5269">
        <f>HYPERLINK("https://www.philgeps.gov.ph/GEPSNONPILOT/Tender/SplashBidNoticeAbstractUI.aspx?menuIndex=3&amp;refID=7145261&amp;Result=3","7145261")</f>
        <v>0</v>
      </c>
      <c r="B5269" t="s">
        <v>1930</v>
      </c>
      <c r="C5269" t="s">
        <v>8728</v>
      </c>
      <c r="D5269" t="s">
        <v>17969</v>
      </c>
      <c r="E5269" t="s">
        <v>22723</v>
      </c>
      <c r="F5269" t="s">
        <v>30900</v>
      </c>
      <c r="G5269" t="s">
        <v>30907</v>
      </c>
      <c r="H5269" t="s">
        <v>30916</v>
      </c>
      <c r="I5269" t="s">
        <v>30924</v>
      </c>
      <c r="J5269" t="s">
        <v>33038</v>
      </c>
      <c r="K5269" t="s">
        <v>40283</v>
      </c>
      <c r="M5269" t="s">
        <v>42611</v>
      </c>
      <c r="N5269" t="s">
        <v>44759</v>
      </c>
      <c r="O5269" t="s">
        <v>44760</v>
      </c>
      <c r="P5269">
        <v>0</v>
      </c>
      <c r="Q5269">
        <v>1</v>
      </c>
      <c r="R5269" t="s">
        <v>44766</v>
      </c>
      <c r="S5269" t="s">
        <v>44902</v>
      </c>
      <c r="T5269" t="s">
        <v>46512</v>
      </c>
      <c r="U5269" t="s">
        <v>51391</v>
      </c>
      <c r="V5269" t="s">
        <v>59679</v>
      </c>
      <c r="W5269" t="s">
        <v>42611</v>
      </c>
      <c r="X5269" t="s">
        <v>44767</v>
      </c>
    </row>
    <row r="5270" spans="1:24">
      <c r="A5270">
        <f>HYPERLINK("https://www.philgeps.gov.ph/GEPSNONPILOT/Tender/SplashBidNoticeAbstractUI.aspx?menuIndex=3&amp;refID=7145180&amp;Result=3","7145180")</f>
        <v>0</v>
      </c>
      <c r="B5270" t="s">
        <v>1931</v>
      </c>
      <c r="C5270" t="s">
        <v>8729</v>
      </c>
      <c r="D5270" t="s">
        <v>17959</v>
      </c>
      <c r="E5270" t="s">
        <v>22724</v>
      </c>
      <c r="F5270" t="s">
        <v>30900</v>
      </c>
      <c r="G5270" t="s">
        <v>30908</v>
      </c>
      <c r="H5270" t="s">
        <v>30916</v>
      </c>
      <c r="I5270" t="s">
        <v>30927</v>
      </c>
      <c r="J5270" t="s">
        <v>34535</v>
      </c>
      <c r="K5270" t="s">
        <v>40287</v>
      </c>
      <c r="M5270" t="s">
        <v>42612</v>
      </c>
      <c r="N5270" t="s">
        <v>44759</v>
      </c>
      <c r="O5270" t="s">
        <v>44760</v>
      </c>
      <c r="P5270">
        <v>0</v>
      </c>
      <c r="Q5270">
        <v>7</v>
      </c>
      <c r="R5270" t="s">
        <v>44766</v>
      </c>
      <c r="S5270" t="s">
        <v>44902</v>
      </c>
      <c r="T5270" t="s">
        <v>46541</v>
      </c>
      <c r="U5270" t="s">
        <v>51392</v>
      </c>
      <c r="W5270" t="s">
        <v>42612</v>
      </c>
      <c r="X5270" t="s">
        <v>44768</v>
      </c>
    </row>
    <row r="5271" spans="1:24">
      <c r="A5271">
        <f>HYPERLINK("https://www.philgeps.gov.ph/GEPSNONPILOT/Tender/SplashBidNoticeAbstractUI.aspx?menuIndex=3&amp;refID=7145257&amp;Result=3","7145257")</f>
        <v>0</v>
      </c>
      <c r="B5271" t="s">
        <v>1932</v>
      </c>
      <c r="C5271" t="s">
        <v>8730</v>
      </c>
      <c r="D5271" t="s">
        <v>17973</v>
      </c>
      <c r="E5271" t="s">
        <v>22725</v>
      </c>
      <c r="F5271" t="s">
        <v>30900</v>
      </c>
      <c r="G5271" t="s">
        <v>30907</v>
      </c>
      <c r="H5271" t="s">
        <v>30915</v>
      </c>
      <c r="I5271" t="s">
        <v>30919</v>
      </c>
      <c r="J5271" t="s">
        <v>31049</v>
      </c>
      <c r="K5271" t="s">
        <v>40286</v>
      </c>
      <c r="M5271" t="s">
        <v>42613</v>
      </c>
      <c r="N5271" t="s">
        <v>44759</v>
      </c>
      <c r="O5271" t="s">
        <v>44760</v>
      </c>
      <c r="P5271">
        <v>0</v>
      </c>
      <c r="Q5271">
        <v>0</v>
      </c>
      <c r="R5271" t="s">
        <v>44766</v>
      </c>
      <c r="S5271" t="s">
        <v>44902</v>
      </c>
      <c r="T5271" t="s">
        <v>46698</v>
      </c>
      <c r="U5271" t="s">
        <v>51393</v>
      </c>
      <c r="W5271" t="s">
        <v>42613</v>
      </c>
      <c r="X5271" t="s">
        <v>44767</v>
      </c>
    </row>
    <row r="5272" spans="1:24">
      <c r="A5272">
        <f>HYPERLINK("https://www.philgeps.gov.ph/GEPSNONPILOT/Tender/SplashBidNoticeAbstractUI.aspx?menuIndex=3&amp;refID=7145251&amp;Result=3","7145251")</f>
        <v>0</v>
      </c>
      <c r="B5272" t="s">
        <v>1933</v>
      </c>
      <c r="C5272" t="s">
        <v>8731</v>
      </c>
      <c r="D5272" t="s">
        <v>17952</v>
      </c>
      <c r="E5272" t="s">
        <v>22726</v>
      </c>
      <c r="F5272" t="s">
        <v>30900</v>
      </c>
      <c r="G5272" t="s">
        <v>30907</v>
      </c>
      <c r="H5272" t="s">
        <v>30916</v>
      </c>
      <c r="I5272" t="s">
        <v>4142</v>
      </c>
      <c r="J5272" t="s">
        <v>31049</v>
      </c>
      <c r="K5272" t="s">
        <v>40289</v>
      </c>
      <c r="M5272" t="s">
        <v>42614</v>
      </c>
      <c r="N5272" t="s">
        <v>44759</v>
      </c>
      <c r="O5272" t="s">
        <v>44760</v>
      </c>
      <c r="P5272">
        <v>0</v>
      </c>
      <c r="Q5272">
        <v>1</v>
      </c>
      <c r="R5272" t="s">
        <v>44766</v>
      </c>
      <c r="S5272" t="s">
        <v>44902</v>
      </c>
      <c r="T5272" t="s">
        <v>46421</v>
      </c>
      <c r="U5272" t="s">
        <v>51394</v>
      </c>
      <c r="V5272" t="s">
        <v>51394</v>
      </c>
      <c r="W5272" t="s">
        <v>42614</v>
      </c>
      <c r="X5272" t="s">
        <v>44767</v>
      </c>
    </row>
    <row r="5273" spans="1:24">
      <c r="A5273">
        <f>HYPERLINK("https://www.philgeps.gov.ph/GEPSNONPILOT/Tender/SplashBidNoticeAbstractUI.aspx?menuIndex=3&amp;refID=7145247&amp;Result=3","7145247")</f>
        <v>0</v>
      </c>
      <c r="B5273" t="s">
        <v>237</v>
      </c>
      <c r="C5273" t="s">
        <v>8732</v>
      </c>
      <c r="D5273" t="s">
        <v>17977</v>
      </c>
      <c r="E5273" t="s">
        <v>22727</v>
      </c>
      <c r="F5273" t="s">
        <v>30900</v>
      </c>
      <c r="G5273" t="s">
        <v>30906</v>
      </c>
      <c r="H5273" t="s">
        <v>30916</v>
      </c>
      <c r="I5273" t="s">
        <v>6396</v>
      </c>
      <c r="J5273" t="s">
        <v>34536</v>
      </c>
      <c r="K5273" t="s">
        <v>40289</v>
      </c>
      <c r="M5273" t="s">
        <v>40784</v>
      </c>
      <c r="N5273" t="s">
        <v>44759</v>
      </c>
      <c r="O5273" t="s">
        <v>44760</v>
      </c>
      <c r="P5273">
        <v>0</v>
      </c>
      <c r="Q5273">
        <v>4</v>
      </c>
      <c r="R5273" t="s">
        <v>44766</v>
      </c>
      <c r="S5273" t="s">
        <v>44902</v>
      </c>
      <c r="T5273" t="s">
        <v>46704</v>
      </c>
      <c r="U5273" t="s">
        <v>51395</v>
      </c>
      <c r="W5273" t="s">
        <v>40784</v>
      </c>
      <c r="X5273" t="s">
        <v>44767</v>
      </c>
    </row>
    <row r="5274" spans="1:24">
      <c r="A5274">
        <f>HYPERLINK("https://www.philgeps.gov.ph/GEPSNONPILOT/Tender/SplashBidNoticeAbstractUI.aspx?menuIndex=3&amp;refID=7145279&amp;Result=3","7145279")</f>
        <v>0</v>
      </c>
      <c r="B5274" t="s">
        <v>1934</v>
      </c>
      <c r="C5274" t="s">
        <v>8733</v>
      </c>
      <c r="D5274" t="s">
        <v>17984</v>
      </c>
      <c r="E5274" t="s">
        <v>22728</v>
      </c>
      <c r="F5274" t="s">
        <v>30900</v>
      </c>
      <c r="G5274" t="s">
        <v>30907</v>
      </c>
      <c r="H5274" t="s">
        <v>30915</v>
      </c>
      <c r="I5274" t="s">
        <v>30919</v>
      </c>
      <c r="J5274" t="s">
        <v>34537</v>
      </c>
      <c r="K5274" t="s">
        <v>40411</v>
      </c>
      <c r="M5274" t="s">
        <v>42615</v>
      </c>
      <c r="N5274" t="s">
        <v>44759</v>
      </c>
      <c r="O5274" t="s">
        <v>44760</v>
      </c>
      <c r="P5274">
        <v>0</v>
      </c>
      <c r="Q5274">
        <v>1</v>
      </c>
      <c r="R5274" t="s">
        <v>44766</v>
      </c>
      <c r="S5274" t="s">
        <v>44902</v>
      </c>
      <c r="T5274" t="s">
        <v>46710</v>
      </c>
      <c r="U5274" t="s">
        <v>51396</v>
      </c>
      <c r="W5274" t="s">
        <v>42615</v>
      </c>
      <c r="X5274" t="s">
        <v>44767</v>
      </c>
    </row>
    <row r="5275" spans="1:24">
      <c r="A5275">
        <f>HYPERLINK("https://www.philgeps.gov.ph/GEPSNONPILOT/Tender/SplashBidNoticeAbstractUI.aspx?menuIndex=3&amp;refID=7145243&amp;Result=3","7145243")</f>
        <v>0</v>
      </c>
      <c r="B5275" t="s">
        <v>1324</v>
      </c>
      <c r="C5275" t="s">
        <v>8734</v>
      </c>
      <c r="D5275" t="s">
        <v>17969</v>
      </c>
      <c r="E5275" t="s">
        <v>22729</v>
      </c>
      <c r="F5275" t="s">
        <v>30900</v>
      </c>
      <c r="G5275" t="s">
        <v>30908</v>
      </c>
      <c r="H5275" t="s">
        <v>30916</v>
      </c>
      <c r="I5275" t="s">
        <v>8123</v>
      </c>
      <c r="J5275" t="s">
        <v>32621</v>
      </c>
      <c r="K5275" t="s">
        <v>40286</v>
      </c>
      <c r="M5275" t="s">
        <v>41943</v>
      </c>
      <c r="N5275" t="s">
        <v>44759</v>
      </c>
      <c r="O5275" t="s">
        <v>44760</v>
      </c>
      <c r="P5275">
        <v>0</v>
      </c>
      <c r="Q5275">
        <v>1</v>
      </c>
      <c r="R5275" t="s">
        <v>44766</v>
      </c>
      <c r="S5275" t="s">
        <v>44902</v>
      </c>
      <c r="T5275" t="s">
        <v>46379</v>
      </c>
      <c r="U5275" t="s">
        <v>51397</v>
      </c>
      <c r="W5275" t="s">
        <v>41943</v>
      </c>
      <c r="X5275" t="s">
        <v>44767</v>
      </c>
    </row>
    <row r="5276" spans="1:24">
      <c r="A5276">
        <f>HYPERLINK("https://www.philgeps.gov.ph/GEPSNONPILOT/Tender/SplashBidNoticeAbstractUI.aspx?menuIndex=3&amp;refID=7145084&amp;Result=3","7145084")</f>
        <v>0</v>
      </c>
      <c r="B5276" t="s">
        <v>1905</v>
      </c>
      <c r="C5276" t="s">
        <v>8735</v>
      </c>
      <c r="D5276" t="s">
        <v>18002</v>
      </c>
      <c r="E5276" t="s">
        <v>22730</v>
      </c>
      <c r="F5276" t="s">
        <v>30900</v>
      </c>
      <c r="G5276" t="s">
        <v>30908</v>
      </c>
      <c r="H5276" t="s">
        <v>30916</v>
      </c>
      <c r="I5276" t="s">
        <v>30947</v>
      </c>
      <c r="J5276" t="s">
        <v>34538</v>
      </c>
      <c r="K5276" t="s">
        <v>40287</v>
      </c>
      <c r="M5276" t="s">
        <v>42582</v>
      </c>
      <c r="N5276" t="s">
        <v>44759</v>
      </c>
      <c r="O5276" t="s">
        <v>44760</v>
      </c>
      <c r="P5276">
        <v>0</v>
      </c>
      <c r="Q5276">
        <v>2</v>
      </c>
      <c r="R5276" t="s">
        <v>44766</v>
      </c>
      <c r="S5276" t="s">
        <v>44902</v>
      </c>
      <c r="T5276" t="s">
        <v>46658</v>
      </c>
      <c r="U5276" t="s">
        <v>51398</v>
      </c>
      <c r="V5276" t="s">
        <v>59664</v>
      </c>
      <c r="W5276" t="s">
        <v>42582</v>
      </c>
      <c r="X5276" t="s">
        <v>44768</v>
      </c>
    </row>
    <row r="5277" spans="1:24">
      <c r="A5277">
        <f>HYPERLINK("https://www.philgeps.gov.ph/GEPSNONPILOT/Tender/SplashBidNoticeAbstractUI.aspx?menuIndex=3&amp;refID=7145234&amp;Result=3","7145234")</f>
        <v>0</v>
      </c>
      <c r="B5277" t="s">
        <v>1935</v>
      </c>
      <c r="C5277" t="s">
        <v>8736</v>
      </c>
      <c r="D5277" t="s">
        <v>17951</v>
      </c>
      <c r="E5277" t="s">
        <v>22731</v>
      </c>
      <c r="F5277" t="s">
        <v>30900</v>
      </c>
      <c r="G5277" t="s">
        <v>30907</v>
      </c>
      <c r="H5277" t="s">
        <v>30916</v>
      </c>
      <c r="I5277" t="s">
        <v>4004</v>
      </c>
      <c r="J5277" t="s">
        <v>31082</v>
      </c>
      <c r="K5277" t="s">
        <v>40283</v>
      </c>
      <c r="M5277" t="s">
        <v>42616</v>
      </c>
      <c r="N5277" t="s">
        <v>44759</v>
      </c>
      <c r="O5277" t="s">
        <v>44760</v>
      </c>
      <c r="P5277">
        <v>0</v>
      </c>
      <c r="Q5277">
        <v>0</v>
      </c>
      <c r="R5277" t="s">
        <v>44766</v>
      </c>
      <c r="S5277" t="s">
        <v>44902</v>
      </c>
      <c r="T5277" t="s">
        <v>46353</v>
      </c>
      <c r="U5277" t="s">
        <v>51399</v>
      </c>
      <c r="W5277" t="s">
        <v>42616</v>
      </c>
      <c r="X5277" t="s">
        <v>44767</v>
      </c>
    </row>
    <row r="5278" spans="1:24">
      <c r="A5278">
        <f>HYPERLINK("https://www.philgeps.gov.ph/GEPSNONPILOT/Tender/SplashBidNoticeAbstractUI.aspx?menuIndex=3&amp;refID=7145260&amp;Result=3","7145260")</f>
        <v>0</v>
      </c>
      <c r="B5278" t="s">
        <v>1936</v>
      </c>
      <c r="C5278" t="s">
        <v>8737</v>
      </c>
      <c r="D5278" t="s">
        <v>17964</v>
      </c>
      <c r="E5278" t="s">
        <v>22732</v>
      </c>
      <c r="F5278" t="s">
        <v>30900</v>
      </c>
      <c r="G5278" t="s">
        <v>30908</v>
      </c>
      <c r="H5278" t="s">
        <v>30916</v>
      </c>
      <c r="I5278" t="s">
        <v>30924</v>
      </c>
      <c r="J5278" t="s">
        <v>34539</v>
      </c>
      <c r="K5278" t="s">
        <v>40288</v>
      </c>
      <c r="M5278" t="s">
        <v>42617</v>
      </c>
      <c r="N5278" t="s">
        <v>44759</v>
      </c>
      <c r="O5278" t="s">
        <v>44760</v>
      </c>
      <c r="P5278">
        <v>0</v>
      </c>
      <c r="Q5278">
        <v>1</v>
      </c>
      <c r="R5278" t="s">
        <v>44766</v>
      </c>
      <c r="S5278" t="s">
        <v>44902</v>
      </c>
      <c r="T5278" t="s">
        <v>46374</v>
      </c>
      <c r="U5278" t="s">
        <v>51400</v>
      </c>
      <c r="W5278" t="s">
        <v>42617</v>
      </c>
      <c r="X5278" t="s">
        <v>44767</v>
      </c>
    </row>
    <row r="5279" spans="1:24">
      <c r="A5279">
        <f>HYPERLINK("https://www.philgeps.gov.ph/GEPSNONPILOT/Tender/SplashBidNoticeAbstractUI.aspx?menuIndex=3&amp;refID=7145133&amp;Result=3","7145133")</f>
        <v>0</v>
      </c>
      <c r="B5279" t="s">
        <v>1905</v>
      </c>
      <c r="C5279" t="s">
        <v>8738</v>
      </c>
      <c r="D5279" t="s">
        <v>18002</v>
      </c>
      <c r="E5279" t="s">
        <v>22733</v>
      </c>
      <c r="F5279" t="s">
        <v>30900</v>
      </c>
      <c r="G5279" t="s">
        <v>30908</v>
      </c>
      <c r="H5279" t="s">
        <v>30916</v>
      </c>
      <c r="I5279" t="s">
        <v>4108</v>
      </c>
      <c r="J5279" t="s">
        <v>34540</v>
      </c>
      <c r="K5279" t="s">
        <v>40287</v>
      </c>
      <c r="M5279" t="s">
        <v>42582</v>
      </c>
      <c r="N5279" t="s">
        <v>44759</v>
      </c>
      <c r="O5279" t="s">
        <v>44760</v>
      </c>
      <c r="P5279">
        <v>0</v>
      </c>
      <c r="Q5279">
        <v>1</v>
      </c>
      <c r="R5279" t="s">
        <v>44766</v>
      </c>
      <c r="S5279" t="s">
        <v>44902</v>
      </c>
      <c r="T5279" t="s">
        <v>46658</v>
      </c>
      <c r="U5279" t="s">
        <v>51401</v>
      </c>
      <c r="V5279" t="s">
        <v>59664</v>
      </c>
      <c r="W5279" t="s">
        <v>42582</v>
      </c>
      <c r="X5279" t="s">
        <v>44768</v>
      </c>
    </row>
    <row r="5280" spans="1:24">
      <c r="A5280">
        <f>HYPERLINK("https://www.philgeps.gov.ph/GEPSNONPILOT/Tender/SplashBidNoticeAbstractUI.aspx?menuIndex=3&amp;refID=7145301&amp;Result=3","7145301")</f>
        <v>0</v>
      </c>
      <c r="B5280" t="s">
        <v>164</v>
      </c>
      <c r="C5280" t="s">
        <v>8739</v>
      </c>
      <c r="D5280" t="s">
        <v>17961</v>
      </c>
      <c r="E5280" t="s">
        <v>19963</v>
      </c>
      <c r="F5280" t="s">
        <v>30900</v>
      </c>
      <c r="G5280" t="s">
        <v>30908</v>
      </c>
      <c r="H5280" t="s">
        <v>30915</v>
      </c>
      <c r="I5280" t="s">
        <v>30919</v>
      </c>
      <c r="J5280" t="s">
        <v>34541</v>
      </c>
      <c r="K5280" t="s">
        <v>40280</v>
      </c>
      <c r="M5280" t="s">
        <v>40711</v>
      </c>
      <c r="N5280" t="s">
        <v>44759</v>
      </c>
      <c r="O5280" t="s">
        <v>44760</v>
      </c>
      <c r="Q5280">
        <v>0</v>
      </c>
      <c r="R5280" t="s">
        <v>44766</v>
      </c>
      <c r="S5280" t="s">
        <v>44906</v>
      </c>
      <c r="T5280" t="s">
        <v>46658</v>
      </c>
      <c r="U5280" t="s">
        <v>51402</v>
      </c>
      <c r="W5280" t="s">
        <v>40711</v>
      </c>
      <c r="X5280" t="s">
        <v>44767</v>
      </c>
    </row>
    <row r="5281" spans="1:24">
      <c r="A5281">
        <f>HYPERLINK("https://www.philgeps.gov.ph/GEPSNONPILOT/Tender/SplashBidNoticeAbstractUI.aspx?menuIndex=3&amp;refID=7145139&amp;Result=3","7145139")</f>
        <v>0</v>
      </c>
      <c r="B5281" t="s">
        <v>1119</v>
      </c>
      <c r="C5281" t="s">
        <v>8740</v>
      </c>
      <c r="D5281" t="s">
        <v>18038</v>
      </c>
      <c r="E5281" t="s">
        <v>22734</v>
      </c>
      <c r="F5281" t="s">
        <v>30900</v>
      </c>
      <c r="G5281" t="s">
        <v>30907</v>
      </c>
      <c r="H5281" t="s">
        <v>30916</v>
      </c>
      <c r="I5281" t="s">
        <v>7708</v>
      </c>
      <c r="J5281" t="s">
        <v>34542</v>
      </c>
      <c r="K5281" t="s">
        <v>40280</v>
      </c>
      <c r="M5281" t="s">
        <v>42602</v>
      </c>
      <c r="N5281" t="s">
        <v>44759</v>
      </c>
      <c r="O5281" t="s">
        <v>44760</v>
      </c>
      <c r="Q5281">
        <v>5</v>
      </c>
      <c r="R5281" t="s">
        <v>44766</v>
      </c>
      <c r="S5281" t="s">
        <v>44907</v>
      </c>
      <c r="T5281" t="s">
        <v>46486</v>
      </c>
      <c r="U5281" t="s">
        <v>51403</v>
      </c>
      <c r="V5281" t="s">
        <v>59680</v>
      </c>
      <c r="W5281" t="s">
        <v>42602</v>
      </c>
      <c r="X5281" t="s">
        <v>44768</v>
      </c>
    </row>
    <row r="5282" spans="1:24">
      <c r="A5282">
        <f>HYPERLINK("https://www.philgeps.gov.ph/GEPSNONPILOT/Tender/SplashBidNoticeAbstractUI.aspx?menuIndex=3&amp;refID=7145355&amp;Result=3","7145355")</f>
        <v>0</v>
      </c>
      <c r="B5282" t="s">
        <v>952</v>
      </c>
      <c r="C5282" t="s">
        <v>8741</v>
      </c>
      <c r="D5282" t="s">
        <v>17985</v>
      </c>
      <c r="E5282" t="s">
        <v>22735</v>
      </c>
      <c r="F5282" t="s">
        <v>30900</v>
      </c>
      <c r="G5282" t="s">
        <v>30909</v>
      </c>
      <c r="H5282" t="s">
        <v>30916</v>
      </c>
      <c r="I5282" t="s">
        <v>6953</v>
      </c>
      <c r="J5282" t="s">
        <v>34543</v>
      </c>
      <c r="K5282" t="s">
        <v>40289</v>
      </c>
      <c r="M5282" t="s">
        <v>41537</v>
      </c>
      <c r="N5282" t="s">
        <v>44759</v>
      </c>
      <c r="O5282" t="s">
        <v>44760</v>
      </c>
      <c r="P5282">
        <v>0</v>
      </c>
      <c r="Q5282">
        <v>0</v>
      </c>
      <c r="R5282" t="s">
        <v>44766</v>
      </c>
      <c r="S5282" t="s">
        <v>44902</v>
      </c>
      <c r="T5282" t="s">
        <v>46658</v>
      </c>
      <c r="U5282" t="s">
        <v>51404</v>
      </c>
      <c r="W5282" t="s">
        <v>41537</v>
      </c>
      <c r="X5282" t="s">
        <v>44767</v>
      </c>
    </row>
    <row r="5283" spans="1:24">
      <c r="A5283">
        <f>HYPERLINK("https://www.philgeps.gov.ph/GEPSNONPILOT/Tender/SplashBidNoticeAbstractUI.aspx?menuIndex=3&amp;refID=7145353&amp;Result=3","7145353")</f>
        <v>0</v>
      </c>
      <c r="B5283" t="s">
        <v>1937</v>
      </c>
      <c r="C5283" t="s">
        <v>8742</v>
      </c>
      <c r="D5283" t="s">
        <v>17961</v>
      </c>
      <c r="E5283" t="s">
        <v>22736</v>
      </c>
      <c r="F5283" t="s">
        <v>30900</v>
      </c>
      <c r="G5283" t="s">
        <v>30907</v>
      </c>
      <c r="H5283" t="s">
        <v>30916</v>
      </c>
      <c r="I5283" t="s">
        <v>30949</v>
      </c>
      <c r="J5283" t="s">
        <v>31788</v>
      </c>
      <c r="K5283" t="s">
        <v>40283</v>
      </c>
      <c r="M5283" t="s">
        <v>42618</v>
      </c>
      <c r="N5283" t="s">
        <v>44759</v>
      </c>
      <c r="O5283" t="s">
        <v>44760</v>
      </c>
      <c r="P5283">
        <v>0</v>
      </c>
      <c r="Q5283">
        <v>3</v>
      </c>
      <c r="R5283" t="s">
        <v>44766</v>
      </c>
      <c r="S5283" t="s">
        <v>44902</v>
      </c>
      <c r="T5283" t="s">
        <v>46351</v>
      </c>
      <c r="U5283" t="s">
        <v>51405</v>
      </c>
      <c r="W5283" t="s">
        <v>42618</v>
      </c>
      <c r="X5283" t="s">
        <v>44767</v>
      </c>
    </row>
    <row r="5284" spans="1:24">
      <c r="A5284">
        <f>HYPERLINK("https://www.philgeps.gov.ph/GEPSNONPILOT/Tender/SplashBidNoticeAbstractUI.aspx?menuIndex=3&amp;refID=7145349&amp;Result=3","7145349")</f>
        <v>0</v>
      </c>
      <c r="B5284" t="s">
        <v>1938</v>
      </c>
      <c r="C5284" t="s">
        <v>8743</v>
      </c>
      <c r="D5284" t="s">
        <v>18043</v>
      </c>
      <c r="E5284" t="s">
        <v>22737</v>
      </c>
      <c r="F5284" t="s">
        <v>30900</v>
      </c>
      <c r="G5284" t="s">
        <v>30908</v>
      </c>
      <c r="H5284" t="s">
        <v>7411</v>
      </c>
      <c r="I5284" t="s">
        <v>7411</v>
      </c>
      <c r="J5284" t="s">
        <v>31912</v>
      </c>
      <c r="K5284" t="s">
        <v>40286</v>
      </c>
      <c r="M5284" t="s">
        <v>42619</v>
      </c>
      <c r="N5284" t="s">
        <v>44759</v>
      </c>
      <c r="O5284" t="s">
        <v>44760</v>
      </c>
      <c r="P5284">
        <v>0</v>
      </c>
      <c r="Q5284">
        <v>4</v>
      </c>
      <c r="R5284" t="s">
        <v>44766</v>
      </c>
      <c r="S5284" t="s">
        <v>44902</v>
      </c>
      <c r="T5284" t="s">
        <v>46625</v>
      </c>
      <c r="U5284" t="s">
        <v>51406</v>
      </c>
      <c r="W5284" t="s">
        <v>42619</v>
      </c>
      <c r="X5284" t="s">
        <v>44767</v>
      </c>
    </row>
    <row r="5285" spans="1:24">
      <c r="A5285">
        <f>HYPERLINK("https://www.philgeps.gov.ph/GEPSNONPILOT/Tender/SplashBidNoticeAbstractUI.aspx?menuIndex=3&amp;refID=7145343&amp;Result=3","7145343")</f>
        <v>0</v>
      </c>
      <c r="B5285" t="s">
        <v>624</v>
      </c>
      <c r="C5285" t="s">
        <v>8744</v>
      </c>
      <c r="D5285" t="s">
        <v>17977</v>
      </c>
      <c r="E5285" t="s">
        <v>22738</v>
      </c>
      <c r="F5285" t="s">
        <v>30900</v>
      </c>
      <c r="G5285" t="s">
        <v>30908</v>
      </c>
      <c r="H5285" t="s">
        <v>30916</v>
      </c>
      <c r="I5285" t="s">
        <v>6746</v>
      </c>
      <c r="J5285" t="s">
        <v>34544</v>
      </c>
      <c r="K5285" t="s">
        <v>40289</v>
      </c>
      <c r="M5285" t="s">
        <v>41186</v>
      </c>
      <c r="N5285" t="s">
        <v>44759</v>
      </c>
      <c r="O5285" t="s">
        <v>44760</v>
      </c>
      <c r="P5285">
        <v>0</v>
      </c>
      <c r="Q5285">
        <v>0</v>
      </c>
      <c r="R5285" t="s">
        <v>44766</v>
      </c>
      <c r="S5285" t="s">
        <v>44902</v>
      </c>
      <c r="T5285" t="s">
        <v>46641</v>
      </c>
      <c r="U5285" t="s">
        <v>51407</v>
      </c>
      <c r="W5285" t="s">
        <v>41186</v>
      </c>
      <c r="X5285" t="s">
        <v>44767</v>
      </c>
    </row>
    <row r="5286" spans="1:24">
      <c r="A5286">
        <f>HYPERLINK("https://www.philgeps.gov.ph/GEPSNONPILOT/Tender/SplashBidNoticeAbstractUI.aspx?menuIndex=3&amp;refID=7145339&amp;Result=3","7145339")</f>
        <v>0</v>
      </c>
      <c r="B5286" t="s">
        <v>1939</v>
      </c>
      <c r="C5286" t="s">
        <v>8745</v>
      </c>
      <c r="D5286" t="s">
        <v>18029</v>
      </c>
      <c r="E5286" t="s">
        <v>22739</v>
      </c>
      <c r="F5286" t="s">
        <v>30900</v>
      </c>
      <c r="G5286" t="s">
        <v>30909</v>
      </c>
      <c r="H5286" t="s">
        <v>30916</v>
      </c>
      <c r="I5286" t="s">
        <v>30939</v>
      </c>
      <c r="J5286" t="s">
        <v>31282</v>
      </c>
      <c r="K5286" t="s">
        <v>40286</v>
      </c>
      <c r="M5286" t="s">
        <v>42620</v>
      </c>
      <c r="N5286" t="s">
        <v>44759</v>
      </c>
      <c r="O5286" t="s">
        <v>44760</v>
      </c>
      <c r="P5286">
        <v>0</v>
      </c>
      <c r="Q5286">
        <v>0</v>
      </c>
      <c r="R5286" t="s">
        <v>44766</v>
      </c>
      <c r="S5286" t="s">
        <v>44902</v>
      </c>
      <c r="T5286" t="s">
        <v>46398</v>
      </c>
      <c r="U5286" t="s">
        <v>51408</v>
      </c>
      <c r="W5286" t="s">
        <v>42620</v>
      </c>
      <c r="X5286" t="s">
        <v>44767</v>
      </c>
    </row>
    <row r="5287" spans="1:24">
      <c r="A5287">
        <f>HYPERLINK("https://www.philgeps.gov.ph/GEPSNONPILOT/Tender/SplashBidNoticeAbstractUI.aspx?menuIndex=3&amp;refID=7145337&amp;Result=3","7145337")</f>
        <v>0</v>
      </c>
      <c r="B5287" t="s">
        <v>1940</v>
      </c>
      <c r="C5287" t="s">
        <v>8746</v>
      </c>
      <c r="D5287" t="s">
        <v>17973</v>
      </c>
      <c r="E5287" t="s">
        <v>19262</v>
      </c>
      <c r="F5287" t="s">
        <v>30900</v>
      </c>
      <c r="G5287" t="s">
        <v>30906</v>
      </c>
      <c r="H5287" t="s">
        <v>30916</v>
      </c>
      <c r="I5287" t="s">
        <v>8123</v>
      </c>
      <c r="J5287" t="s">
        <v>34545</v>
      </c>
      <c r="K5287" t="s">
        <v>40286</v>
      </c>
      <c r="M5287" t="s">
        <v>42621</v>
      </c>
      <c r="N5287" t="s">
        <v>44759</v>
      </c>
      <c r="O5287" t="s">
        <v>44760</v>
      </c>
      <c r="P5287">
        <v>0</v>
      </c>
      <c r="Q5287">
        <v>0</v>
      </c>
      <c r="R5287" t="s">
        <v>44766</v>
      </c>
      <c r="S5287" t="s">
        <v>44902</v>
      </c>
      <c r="T5287" t="s">
        <v>46366</v>
      </c>
      <c r="U5287" t="s">
        <v>51409</v>
      </c>
      <c r="W5287" t="s">
        <v>42621</v>
      </c>
      <c r="X5287" t="s">
        <v>44767</v>
      </c>
    </row>
    <row r="5288" spans="1:24">
      <c r="A5288">
        <f>HYPERLINK("https://www.philgeps.gov.ph/GEPSNONPILOT/Tender/SplashBidNoticeAbstractUI.aspx?menuIndex=3&amp;refID=7145236&amp;Result=3","7145236")</f>
        <v>0</v>
      </c>
      <c r="B5288" t="s">
        <v>1941</v>
      </c>
      <c r="C5288" t="s">
        <v>8747</v>
      </c>
      <c r="D5288" t="s">
        <v>17973</v>
      </c>
      <c r="E5288" t="s">
        <v>22120</v>
      </c>
      <c r="F5288" t="s">
        <v>30900</v>
      </c>
      <c r="G5288" t="s">
        <v>30907</v>
      </c>
      <c r="H5288" t="s">
        <v>30916</v>
      </c>
      <c r="I5288" t="s">
        <v>8123</v>
      </c>
      <c r="J5288" t="s">
        <v>34546</v>
      </c>
      <c r="K5288" t="s">
        <v>40286</v>
      </c>
      <c r="M5288" t="s">
        <v>42622</v>
      </c>
      <c r="N5288" t="s">
        <v>44759</v>
      </c>
      <c r="O5288" t="s">
        <v>44760</v>
      </c>
      <c r="P5288">
        <v>0</v>
      </c>
      <c r="Q5288">
        <v>0</v>
      </c>
      <c r="R5288" t="s">
        <v>44766</v>
      </c>
      <c r="S5288" t="s">
        <v>44902</v>
      </c>
      <c r="T5288" t="s">
        <v>46410</v>
      </c>
      <c r="U5288" t="s">
        <v>51410</v>
      </c>
      <c r="W5288" t="s">
        <v>42622</v>
      </c>
      <c r="X5288" t="s">
        <v>44767</v>
      </c>
    </row>
    <row r="5289" spans="1:24">
      <c r="A5289">
        <f>HYPERLINK("https://www.philgeps.gov.ph/GEPSNONPILOT/Tender/SplashBidNoticeAbstractUI.aspx?menuIndex=3&amp;refID=7145336&amp;Result=3","7145336")</f>
        <v>0</v>
      </c>
      <c r="B5289" t="s">
        <v>568</v>
      </c>
      <c r="C5289" t="s">
        <v>8748</v>
      </c>
      <c r="D5289" t="s">
        <v>17981</v>
      </c>
      <c r="E5289" t="s">
        <v>22740</v>
      </c>
      <c r="F5289" t="s">
        <v>30900</v>
      </c>
      <c r="G5289" t="s">
        <v>30907</v>
      </c>
      <c r="H5289" t="s">
        <v>30915</v>
      </c>
      <c r="I5289" t="s">
        <v>30919</v>
      </c>
      <c r="J5289" t="s">
        <v>34547</v>
      </c>
      <c r="K5289" t="s">
        <v>40289</v>
      </c>
      <c r="M5289" t="s">
        <v>41129</v>
      </c>
      <c r="N5289" t="s">
        <v>44759</v>
      </c>
      <c r="O5289" t="s">
        <v>44760</v>
      </c>
      <c r="P5289">
        <v>0</v>
      </c>
      <c r="Q5289">
        <v>88</v>
      </c>
      <c r="R5289" t="s">
        <v>44766</v>
      </c>
      <c r="S5289" t="s">
        <v>44902</v>
      </c>
      <c r="T5289" t="s">
        <v>46357</v>
      </c>
      <c r="U5289" t="s">
        <v>51411</v>
      </c>
      <c r="W5289" t="s">
        <v>41129</v>
      </c>
      <c r="X5289" t="s">
        <v>44767</v>
      </c>
    </row>
    <row r="5290" spans="1:24">
      <c r="A5290">
        <f>HYPERLINK("https://www.philgeps.gov.ph/GEPSNONPILOT/Tender/SplashBidNoticeAbstractUI.aspx?menuIndex=3&amp;refID=7145328&amp;Result=3","7145328")</f>
        <v>0</v>
      </c>
      <c r="B5290" t="s">
        <v>1109</v>
      </c>
      <c r="C5290" t="s">
        <v>8749</v>
      </c>
      <c r="D5290" t="s">
        <v>17959</v>
      </c>
      <c r="E5290" t="s">
        <v>22741</v>
      </c>
      <c r="F5290" t="s">
        <v>30900</v>
      </c>
      <c r="G5290" t="s">
        <v>30908</v>
      </c>
      <c r="H5290" t="s">
        <v>30916</v>
      </c>
      <c r="I5290" t="s">
        <v>8123</v>
      </c>
      <c r="J5290" t="s">
        <v>34548</v>
      </c>
      <c r="K5290" t="s">
        <v>40286</v>
      </c>
      <c r="M5290" t="s">
        <v>42623</v>
      </c>
      <c r="N5290" t="s">
        <v>44759</v>
      </c>
      <c r="O5290" t="s">
        <v>44760</v>
      </c>
      <c r="P5290">
        <v>0</v>
      </c>
      <c r="Q5290">
        <v>6</v>
      </c>
      <c r="R5290" t="s">
        <v>44766</v>
      </c>
      <c r="S5290" t="s">
        <v>44902</v>
      </c>
      <c r="T5290" t="s">
        <v>46686</v>
      </c>
      <c r="U5290" t="s">
        <v>51412</v>
      </c>
      <c r="W5290" t="s">
        <v>42623</v>
      </c>
      <c r="X5290" t="s">
        <v>44767</v>
      </c>
    </row>
    <row r="5291" spans="1:24">
      <c r="A5291">
        <f>HYPERLINK("https://www.philgeps.gov.ph/GEPSNONPILOT/Tender/SplashBidNoticeAbstractUI.aspx?menuIndex=3&amp;refID=7145249&amp;Result=3","7145249")</f>
        <v>0</v>
      </c>
      <c r="B5291" t="s">
        <v>1319</v>
      </c>
      <c r="C5291" t="s">
        <v>8750</v>
      </c>
      <c r="D5291" t="s">
        <v>17999</v>
      </c>
      <c r="E5291" t="s">
        <v>22742</v>
      </c>
      <c r="F5291" t="s">
        <v>30900</v>
      </c>
      <c r="G5291" t="s">
        <v>30910</v>
      </c>
      <c r="H5291" t="s">
        <v>30916</v>
      </c>
      <c r="I5291" t="s">
        <v>30924</v>
      </c>
      <c r="J5291" t="s">
        <v>34549</v>
      </c>
      <c r="K5291" t="s">
        <v>40291</v>
      </c>
      <c r="M5291" t="s">
        <v>41937</v>
      </c>
      <c r="N5291" t="s">
        <v>44759</v>
      </c>
      <c r="O5291" t="s">
        <v>44760</v>
      </c>
      <c r="P5291">
        <v>0</v>
      </c>
      <c r="Q5291">
        <v>13</v>
      </c>
      <c r="R5291" t="s">
        <v>44766</v>
      </c>
      <c r="S5291" t="s">
        <v>44902</v>
      </c>
      <c r="T5291" t="s">
        <v>46686</v>
      </c>
      <c r="U5291" t="s">
        <v>51413</v>
      </c>
      <c r="V5291" t="s">
        <v>59681</v>
      </c>
      <c r="W5291" t="s">
        <v>41937</v>
      </c>
      <c r="X5291" t="s">
        <v>44767</v>
      </c>
    </row>
    <row r="5292" spans="1:24">
      <c r="A5292">
        <f>HYPERLINK("https://www.philgeps.gov.ph/GEPSNONPILOT/Tender/SplashBidNoticeAbstractUI.aspx?menuIndex=3&amp;refID=7145342&amp;Result=3","7145342")</f>
        <v>0</v>
      </c>
      <c r="B5292" t="s">
        <v>1942</v>
      </c>
      <c r="C5292" t="s">
        <v>8751</v>
      </c>
      <c r="D5292" t="s">
        <v>17959</v>
      </c>
      <c r="E5292" t="s">
        <v>18094</v>
      </c>
      <c r="F5292" t="s">
        <v>30900</v>
      </c>
      <c r="G5292" t="s">
        <v>30908</v>
      </c>
      <c r="H5292" t="s">
        <v>30916</v>
      </c>
      <c r="I5292" t="s">
        <v>5830</v>
      </c>
      <c r="J5292" t="s">
        <v>34550</v>
      </c>
      <c r="K5292" t="s">
        <v>40287</v>
      </c>
      <c r="M5292" t="s">
        <v>42624</v>
      </c>
      <c r="N5292" t="s">
        <v>44759</v>
      </c>
      <c r="O5292" t="s">
        <v>44760</v>
      </c>
      <c r="P5292">
        <v>0</v>
      </c>
      <c r="Q5292">
        <v>4</v>
      </c>
      <c r="R5292" t="s">
        <v>44766</v>
      </c>
      <c r="S5292" t="s">
        <v>44902</v>
      </c>
      <c r="T5292" t="s">
        <v>46623</v>
      </c>
      <c r="U5292" t="s">
        <v>51414</v>
      </c>
      <c r="W5292" t="s">
        <v>42624</v>
      </c>
      <c r="X5292" t="s">
        <v>44767</v>
      </c>
    </row>
    <row r="5293" spans="1:24">
      <c r="A5293">
        <f>HYPERLINK("https://www.philgeps.gov.ph/GEPSNONPILOT/Tender/SplashBidNoticeAbstractUI.aspx?menuIndex=3&amp;refID=7145313&amp;Result=3","7145313")</f>
        <v>0</v>
      </c>
      <c r="B5293" t="s">
        <v>1943</v>
      </c>
      <c r="C5293" t="s">
        <v>8752</v>
      </c>
      <c r="D5293" t="s">
        <v>17956</v>
      </c>
      <c r="E5293" t="s">
        <v>19690</v>
      </c>
      <c r="F5293" t="s">
        <v>30900</v>
      </c>
      <c r="G5293" t="s">
        <v>30907</v>
      </c>
      <c r="H5293" t="s">
        <v>30915</v>
      </c>
      <c r="I5293" t="s">
        <v>30919</v>
      </c>
      <c r="J5293" t="s">
        <v>34061</v>
      </c>
      <c r="K5293" t="s">
        <v>40304</v>
      </c>
      <c r="M5293" t="s">
        <v>42625</v>
      </c>
      <c r="N5293" t="s">
        <v>44759</v>
      </c>
      <c r="O5293" t="s">
        <v>44760</v>
      </c>
      <c r="P5293">
        <v>0</v>
      </c>
      <c r="Q5293">
        <v>1</v>
      </c>
      <c r="R5293" t="s">
        <v>44766</v>
      </c>
      <c r="S5293" t="s">
        <v>44902</v>
      </c>
      <c r="T5293" t="s">
        <v>46401</v>
      </c>
      <c r="U5293" t="s">
        <v>51415</v>
      </c>
      <c r="W5293" t="s">
        <v>42625</v>
      </c>
      <c r="X5293" t="s">
        <v>44767</v>
      </c>
    </row>
    <row r="5294" spans="1:24">
      <c r="A5294">
        <f>HYPERLINK("https://www.philgeps.gov.ph/GEPSNONPILOT/Tender/SplashBidNoticeAbstractUI.aspx?menuIndex=3&amp;refID=7145294&amp;Result=3","7145294")</f>
        <v>0</v>
      </c>
      <c r="B5294" t="s">
        <v>1943</v>
      </c>
      <c r="C5294" t="s">
        <v>8753</v>
      </c>
      <c r="D5294" t="s">
        <v>17956</v>
      </c>
      <c r="E5294" t="s">
        <v>18094</v>
      </c>
      <c r="F5294" t="s">
        <v>30900</v>
      </c>
      <c r="G5294" t="s">
        <v>30907</v>
      </c>
      <c r="H5294" t="s">
        <v>30915</v>
      </c>
      <c r="I5294" t="s">
        <v>30919</v>
      </c>
      <c r="J5294" t="s">
        <v>32616</v>
      </c>
      <c r="K5294" t="s">
        <v>40280</v>
      </c>
      <c r="M5294" t="s">
        <v>42625</v>
      </c>
      <c r="N5294" t="s">
        <v>44759</v>
      </c>
      <c r="O5294" t="s">
        <v>44760</v>
      </c>
      <c r="Q5294">
        <v>1</v>
      </c>
      <c r="R5294" t="s">
        <v>44766</v>
      </c>
      <c r="S5294" t="s">
        <v>44908</v>
      </c>
      <c r="T5294" t="s">
        <v>46401</v>
      </c>
      <c r="U5294" t="s">
        <v>51416</v>
      </c>
      <c r="W5294" t="s">
        <v>42625</v>
      </c>
      <c r="X5294" t="s">
        <v>44767</v>
      </c>
    </row>
    <row r="5295" spans="1:24">
      <c r="A5295">
        <f>HYPERLINK("https://www.philgeps.gov.ph/GEPSNONPILOT/Tender/SplashBidNoticeAbstractUI.aspx?menuIndex=3&amp;refID=7145134&amp;Result=3","7145134")</f>
        <v>0</v>
      </c>
      <c r="B5295" t="s">
        <v>1119</v>
      </c>
      <c r="C5295" t="s">
        <v>8754</v>
      </c>
      <c r="D5295" t="s">
        <v>18038</v>
      </c>
      <c r="E5295" t="s">
        <v>22743</v>
      </c>
      <c r="F5295" t="s">
        <v>30900</v>
      </c>
      <c r="G5295" t="s">
        <v>30907</v>
      </c>
      <c r="H5295" t="s">
        <v>30915</v>
      </c>
      <c r="I5295" t="s">
        <v>30919</v>
      </c>
      <c r="J5295" t="s">
        <v>34551</v>
      </c>
      <c r="K5295" t="s">
        <v>40341</v>
      </c>
      <c r="M5295" t="s">
        <v>42602</v>
      </c>
      <c r="N5295" t="s">
        <v>44759</v>
      </c>
      <c r="O5295" t="s">
        <v>44760</v>
      </c>
      <c r="P5295">
        <v>0</v>
      </c>
      <c r="Q5295">
        <v>2</v>
      </c>
      <c r="R5295" t="s">
        <v>44766</v>
      </c>
      <c r="S5295" t="s">
        <v>44902</v>
      </c>
      <c r="T5295" t="s">
        <v>46561</v>
      </c>
      <c r="U5295" t="s">
        <v>51379</v>
      </c>
      <c r="V5295" t="s">
        <v>59682</v>
      </c>
      <c r="W5295" t="s">
        <v>42602</v>
      </c>
      <c r="X5295" t="s">
        <v>44768</v>
      </c>
    </row>
    <row r="5296" spans="1:24">
      <c r="A5296">
        <f>HYPERLINK("https://www.philgeps.gov.ph/GEPSNONPILOT/Tender/SplashBidNoticeAbstractUI.aspx?menuIndex=3&amp;refID=7145335&amp;Result=3","7145335")</f>
        <v>0</v>
      </c>
      <c r="B5296" t="s">
        <v>393</v>
      </c>
      <c r="C5296" t="s">
        <v>8755</v>
      </c>
      <c r="E5296" t="s">
        <v>22744</v>
      </c>
      <c r="F5296" t="s">
        <v>30900</v>
      </c>
      <c r="G5296" t="s">
        <v>30909</v>
      </c>
      <c r="H5296" t="s">
        <v>30916</v>
      </c>
      <c r="I5296" t="s">
        <v>8123</v>
      </c>
      <c r="J5296" t="s">
        <v>34552</v>
      </c>
      <c r="K5296" t="s">
        <v>40289</v>
      </c>
      <c r="M5296" t="s">
        <v>40948</v>
      </c>
      <c r="N5296" t="s">
        <v>44759</v>
      </c>
      <c r="O5296" t="s">
        <v>44760</v>
      </c>
      <c r="P5296">
        <v>0</v>
      </c>
      <c r="Q5296">
        <v>2</v>
      </c>
      <c r="R5296" t="s">
        <v>44766</v>
      </c>
      <c r="S5296" t="s">
        <v>44902</v>
      </c>
      <c r="T5296" t="s">
        <v>46623</v>
      </c>
      <c r="U5296" t="s">
        <v>51417</v>
      </c>
      <c r="V5296" t="s">
        <v>59683</v>
      </c>
      <c r="W5296" t="s">
        <v>40948</v>
      </c>
      <c r="X5296" t="s">
        <v>44767</v>
      </c>
    </row>
    <row r="5297" spans="1:24">
      <c r="A5297">
        <f>HYPERLINK("https://www.philgeps.gov.ph/GEPSNONPILOT/Tender/SplashBidNoticeAbstractUI.aspx?menuIndex=3&amp;refID=7145308&amp;Result=3","7145308")</f>
        <v>0</v>
      </c>
      <c r="B5297" t="s">
        <v>706</v>
      </c>
      <c r="C5297" t="s">
        <v>8756</v>
      </c>
      <c r="D5297" t="s">
        <v>17982</v>
      </c>
      <c r="E5297" t="s">
        <v>22745</v>
      </c>
      <c r="F5297" t="s">
        <v>30900</v>
      </c>
      <c r="G5297" t="s">
        <v>30907</v>
      </c>
      <c r="H5297" t="s">
        <v>30915</v>
      </c>
      <c r="I5297" t="s">
        <v>30919</v>
      </c>
      <c r="J5297" t="s">
        <v>31243</v>
      </c>
      <c r="K5297" t="s">
        <v>40293</v>
      </c>
      <c r="L5297" t="s">
        <v>706</v>
      </c>
      <c r="M5297" t="s">
        <v>41270</v>
      </c>
      <c r="N5297" t="s">
        <v>44759</v>
      </c>
      <c r="O5297" t="s">
        <v>44760</v>
      </c>
      <c r="P5297">
        <v>0</v>
      </c>
      <c r="Q5297">
        <v>0</v>
      </c>
      <c r="R5297" t="s">
        <v>44766</v>
      </c>
      <c r="S5297" t="s">
        <v>44902</v>
      </c>
      <c r="T5297" t="s">
        <v>46414</v>
      </c>
      <c r="U5297" t="s">
        <v>49998</v>
      </c>
      <c r="W5297" t="s">
        <v>41270</v>
      </c>
      <c r="X5297" t="s">
        <v>44767</v>
      </c>
    </row>
    <row r="5298" spans="1:24">
      <c r="A5298">
        <f>HYPERLINK("https://www.philgeps.gov.ph/GEPSNONPILOT/Tender/SplashBidNoticeAbstractUI.aspx?menuIndex=3&amp;refID=7145306&amp;Result=3","7145306")</f>
        <v>0</v>
      </c>
      <c r="B5298" t="s">
        <v>393</v>
      </c>
      <c r="C5298" t="s">
        <v>8757</v>
      </c>
      <c r="E5298" t="s">
        <v>22746</v>
      </c>
      <c r="F5298" t="s">
        <v>30900</v>
      </c>
      <c r="G5298" t="s">
        <v>30909</v>
      </c>
      <c r="H5298" t="s">
        <v>30916</v>
      </c>
      <c r="I5298" t="s">
        <v>8123</v>
      </c>
      <c r="J5298" t="s">
        <v>34553</v>
      </c>
      <c r="K5298" t="s">
        <v>40289</v>
      </c>
      <c r="M5298" t="s">
        <v>40948</v>
      </c>
      <c r="N5298" t="s">
        <v>44759</v>
      </c>
      <c r="O5298" t="s">
        <v>44760</v>
      </c>
      <c r="P5298">
        <v>0</v>
      </c>
      <c r="Q5298">
        <v>3</v>
      </c>
      <c r="R5298" t="s">
        <v>44766</v>
      </c>
      <c r="S5298" t="s">
        <v>44902</v>
      </c>
      <c r="T5298" t="s">
        <v>46623</v>
      </c>
      <c r="U5298" t="s">
        <v>51418</v>
      </c>
      <c r="V5298" t="s">
        <v>59683</v>
      </c>
      <c r="W5298" t="s">
        <v>40948</v>
      </c>
      <c r="X5298" t="s">
        <v>44767</v>
      </c>
    </row>
    <row r="5299" spans="1:24">
      <c r="A5299">
        <f>HYPERLINK("https://www.philgeps.gov.ph/GEPSNONPILOT/Tender/SplashBidNoticeAbstractUI.aspx?menuIndex=3&amp;refID=7145302&amp;Result=3","7145302")</f>
        <v>0</v>
      </c>
      <c r="B5299" t="s">
        <v>1944</v>
      </c>
      <c r="C5299" t="s">
        <v>4553</v>
      </c>
      <c r="D5299" t="s">
        <v>17973</v>
      </c>
      <c r="E5299" t="s">
        <v>19111</v>
      </c>
      <c r="F5299" t="s">
        <v>30900</v>
      </c>
      <c r="G5299" t="s">
        <v>30907</v>
      </c>
      <c r="H5299" t="s">
        <v>30916</v>
      </c>
      <c r="I5299" t="s">
        <v>6396</v>
      </c>
      <c r="J5299" t="s">
        <v>32438</v>
      </c>
      <c r="K5299" t="s">
        <v>40284</v>
      </c>
      <c r="M5299" t="s">
        <v>42626</v>
      </c>
      <c r="N5299" t="s">
        <v>44759</v>
      </c>
      <c r="O5299" t="s">
        <v>44760</v>
      </c>
      <c r="P5299">
        <v>0</v>
      </c>
      <c r="Q5299">
        <v>2</v>
      </c>
      <c r="R5299" t="s">
        <v>44766</v>
      </c>
      <c r="S5299" t="s">
        <v>44902</v>
      </c>
      <c r="T5299" t="s">
        <v>46410</v>
      </c>
      <c r="U5299" t="s">
        <v>51419</v>
      </c>
      <c r="W5299" t="s">
        <v>42626</v>
      </c>
      <c r="X5299" t="s">
        <v>44767</v>
      </c>
    </row>
    <row r="5300" spans="1:24">
      <c r="A5300">
        <f>HYPERLINK("https://www.philgeps.gov.ph/GEPSNONPILOT/Tender/SplashBidNoticeAbstractUI.aspx?menuIndex=3&amp;refID=7145400&amp;Result=3","7145400")</f>
        <v>0</v>
      </c>
      <c r="B5300" t="s">
        <v>258</v>
      </c>
      <c r="C5300" t="s">
        <v>8758</v>
      </c>
      <c r="D5300" t="s">
        <v>18005</v>
      </c>
      <c r="E5300" t="s">
        <v>22747</v>
      </c>
      <c r="F5300" t="s">
        <v>30900</v>
      </c>
      <c r="G5300" t="s">
        <v>30909</v>
      </c>
      <c r="H5300" t="s">
        <v>30916</v>
      </c>
      <c r="I5300" t="s">
        <v>4545</v>
      </c>
      <c r="J5300" t="s">
        <v>34318</v>
      </c>
      <c r="K5300" t="s">
        <v>40283</v>
      </c>
      <c r="M5300" t="s">
        <v>40805</v>
      </c>
      <c r="N5300" t="s">
        <v>44759</v>
      </c>
      <c r="O5300" t="s">
        <v>44760</v>
      </c>
      <c r="P5300">
        <v>0</v>
      </c>
      <c r="Q5300">
        <v>2</v>
      </c>
      <c r="R5300" t="s">
        <v>44766</v>
      </c>
      <c r="S5300" t="s">
        <v>44902</v>
      </c>
      <c r="T5300" t="s">
        <v>46457</v>
      </c>
      <c r="U5300" t="s">
        <v>51420</v>
      </c>
      <c r="W5300" t="s">
        <v>40805</v>
      </c>
      <c r="X5300" t="s">
        <v>44767</v>
      </c>
    </row>
    <row r="5301" spans="1:24">
      <c r="A5301">
        <f>HYPERLINK("https://www.philgeps.gov.ph/GEPSNONPILOT/Tender/SplashBidNoticeAbstractUI.aspx?menuIndex=3&amp;refID=7145322&amp;Result=3","7145322")</f>
        <v>0</v>
      </c>
      <c r="B5301" t="s">
        <v>1945</v>
      </c>
      <c r="C5301" t="s">
        <v>8759</v>
      </c>
      <c r="D5301" t="s">
        <v>17999</v>
      </c>
      <c r="E5301" t="s">
        <v>18149</v>
      </c>
      <c r="F5301" t="s">
        <v>30900</v>
      </c>
      <c r="G5301" t="s">
        <v>30907</v>
      </c>
      <c r="H5301" t="s">
        <v>30916</v>
      </c>
      <c r="I5301" t="s">
        <v>7708</v>
      </c>
      <c r="J5301" t="s">
        <v>31204</v>
      </c>
      <c r="K5301" t="s">
        <v>40294</v>
      </c>
      <c r="M5301" t="s">
        <v>42627</v>
      </c>
      <c r="N5301" t="s">
        <v>44759</v>
      </c>
      <c r="O5301" t="s">
        <v>44760</v>
      </c>
      <c r="P5301">
        <v>0</v>
      </c>
      <c r="Q5301">
        <v>1</v>
      </c>
      <c r="R5301" t="s">
        <v>44766</v>
      </c>
      <c r="S5301" t="s">
        <v>44902</v>
      </c>
      <c r="T5301" t="s">
        <v>46414</v>
      </c>
      <c r="U5301" t="s">
        <v>51421</v>
      </c>
      <c r="W5301" t="s">
        <v>60877</v>
      </c>
      <c r="X5301" t="s">
        <v>44767</v>
      </c>
    </row>
    <row r="5302" spans="1:24">
      <c r="A5302">
        <f>HYPERLINK("https://www.philgeps.gov.ph/GEPSNONPILOT/Tender/SplashBidNoticeAbstractUI.aspx?menuIndex=3&amp;refID=7145411&amp;Result=3","7145411")</f>
        <v>0</v>
      </c>
      <c r="B5302" t="s">
        <v>1946</v>
      </c>
      <c r="C5302" t="s">
        <v>8760</v>
      </c>
      <c r="D5302" t="s">
        <v>18002</v>
      </c>
      <c r="E5302" t="s">
        <v>18304</v>
      </c>
      <c r="F5302" t="s">
        <v>30900</v>
      </c>
      <c r="G5302" t="s">
        <v>30907</v>
      </c>
      <c r="H5302" t="s">
        <v>30916</v>
      </c>
      <c r="I5302" t="s">
        <v>8123</v>
      </c>
      <c r="J5302" t="s">
        <v>31490</v>
      </c>
      <c r="K5302" t="s">
        <v>40285</v>
      </c>
      <c r="M5302" t="s">
        <v>42628</v>
      </c>
      <c r="N5302" t="s">
        <v>44759</v>
      </c>
      <c r="O5302" t="s">
        <v>44760</v>
      </c>
      <c r="P5302">
        <v>0</v>
      </c>
      <c r="Q5302">
        <v>0</v>
      </c>
      <c r="R5302" t="s">
        <v>44766</v>
      </c>
      <c r="S5302" t="s">
        <v>44902</v>
      </c>
      <c r="T5302" t="s">
        <v>46398</v>
      </c>
      <c r="U5302" t="s">
        <v>51422</v>
      </c>
      <c r="W5302" t="s">
        <v>42628</v>
      </c>
      <c r="X5302" t="s">
        <v>44767</v>
      </c>
    </row>
    <row r="5303" spans="1:24">
      <c r="A5303">
        <f>HYPERLINK("https://www.philgeps.gov.ph/GEPSNONPILOT/Tender/SplashBidNoticeAbstractUI.aspx?menuIndex=3&amp;refID=7145318&amp;Result=3","7145318")</f>
        <v>0</v>
      </c>
      <c r="B5303" t="s">
        <v>1923</v>
      </c>
      <c r="C5303" t="s">
        <v>8761</v>
      </c>
      <c r="D5303" t="s">
        <v>18022</v>
      </c>
      <c r="E5303" t="s">
        <v>22748</v>
      </c>
      <c r="F5303" t="s">
        <v>30900</v>
      </c>
      <c r="G5303" t="s">
        <v>30910</v>
      </c>
      <c r="H5303" t="s">
        <v>30916</v>
      </c>
      <c r="I5303" t="s">
        <v>6396</v>
      </c>
      <c r="J5303" t="s">
        <v>34554</v>
      </c>
      <c r="K5303" t="s">
        <v>40284</v>
      </c>
      <c r="M5303" t="s">
        <v>42603</v>
      </c>
      <c r="N5303" t="s">
        <v>44759</v>
      </c>
      <c r="O5303" t="s">
        <v>44760</v>
      </c>
      <c r="P5303">
        <v>0</v>
      </c>
      <c r="Q5303">
        <v>5</v>
      </c>
      <c r="R5303" t="s">
        <v>44766</v>
      </c>
      <c r="S5303" t="s">
        <v>44902</v>
      </c>
      <c r="T5303" t="s">
        <v>46625</v>
      </c>
      <c r="U5303" t="s">
        <v>51380</v>
      </c>
      <c r="W5303" t="s">
        <v>42603</v>
      </c>
      <c r="X5303" t="s">
        <v>44767</v>
      </c>
    </row>
    <row r="5304" spans="1:24">
      <c r="A5304">
        <f>HYPERLINK("https://www.philgeps.gov.ph/GEPSNONPILOT/Tender/SplashBidNoticeAbstractUI.aspx?menuIndex=3&amp;refID=7145325&amp;Result=3","7145325")</f>
        <v>0</v>
      </c>
      <c r="B5304" t="s">
        <v>1523</v>
      </c>
      <c r="C5304" t="s">
        <v>8762</v>
      </c>
      <c r="D5304" t="s">
        <v>18010</v>
      </c>
      <c r="E5304" t="s">
        <v>22749</v>
      </c>
      <c r="F5304" t="s">
        <v>30900</v>
      </c>
      <c r="G5304" t="s">
        <v>30908</v>
      </c>
      <c r="H5304" t="s">
        <v>30916</v>
      </c>
      <c r="I5304" t="s">
        <v>4545</v>
      </c>
      <c r="J5304" t="s">
        <v>34555</v>
      </c>
      <c r="K5304" t="s">
        <v>40283</v>
      </c>
      <c r="L5304" t="s">
        <v>1523</v>
      </c>
      <c r="M5304" t="s">
        <v>42165</v>
      </c>
      <c r="N5304" t="s">
        <v>44759</v>
      </c>
      <c r="O5304" t="s">
        <v>44760</v>
      </c>
      <c r="P5304">
        <v>0</v>
      </c>
      <c r="Q5304">
        <v>3</v>
      </c>
      <c r="R5304" t="s">
        <v>44766</v>
      </c>
      <c r="S5304" t="s">
        <v>44902</v>
      </c>
      <c r="T5304" t="s">
        <v>46625</v>
      </c>
      <c r="U5304" t="s">
        <v>51423</v>
      </c>
      <c r="W5304" t="s">
        <v>42165</v>
      </c>
      <c r="X5304" t="s">
        <v>44767</v>
      </c>
    </row>
    <row r="5305" spans="1:24">
      <c r="A5305">
        <f>HYPERLINK("https://www.philgeps.gov.ph/GEPSNONPILOT/Tender/SplashBidNoticeAbstractUI.aspx?menuIndex=3&amp;refID=7145407&amp;Result=3","7145407")</f>
        <v>0</v>
      </c>
      <c r="B5305" t="s">
        <v>1947</v>
      </c>
      <c r="C5305" t="s">
        <v>8763</v>
      </c>
      <c r="D5305" t="s">
        <v>17951</v>
      </c>
      <c r="E5305" t="s">
        <v>22750</v>
      </c>
      <c r="F5305" t="s">
        <v>30900</v>
      </c>
      <c r="G5305" t="s">
        <v>30907</v>
      </c>
      <c r="H5305" t="s">
        <v>30916</v>
      </c>
      <c r="I5305" t="s">
        <v>8123</v>
      </c>
      <c r="J5305" t="s">
        <v>31101</v>
      </c>
      <c r="K5305" t="s">
        <v>40283</v>
      </c>
      <c r="M5305" t="s">
        <v>42629</v>
      </c>
      <c r="N5305" t="s">
        <v>44759</v>
      </c>
      <c r="O5305" t="s">
        <v>44760</v>
      </c>
      <c r="P5305">
        <v>0</v>
      </c>
      <c r="Q5305">
        <v>0</v>
      </c>
      <c r="R5305" t="s">
        <v>44766</v>
      </c>
      <c r="S5305" t="s">
        <v>44902</v>
      </c>
      <c r="T5305" t="s">
        <v>46414</v>
      </c>
      <c r="U5305" t="s">
        <v>51424</v>
      </c>
      <c r="W5305" t="s">
        <v>42629</v>
      </c>
      <c r="X5305" t="s">
        <v>44767</v>
      </c>
    </row>
    <row r="5306" spans="1:24">
      <c r="A5306">
        <f>HYPERLINK("https://www.philgeps.gov.ph/GEPSNONPILOT/Tender/SplashBidNoticeAbstractUI.aspx?menuIndex=3&amp;refID=7145309&amp;Result=3","7145309")</f>
        <v>0</v>
      </c>
      <c r="B5306" t="s">
        <v>1948</v>
      </c>
      <c r="C5306" t="s">
        <v>8764</v>
      </c>
      <c r="D5306" t="s">
        <v>17959</v>
      </c>
      <c r="E5306" t="s">
        <v>22751</v>
      </c>
      <c r="F5306" t="s">
        <v>30900</v>
      </c>
      <c r="G5306" t="s">
        <v>30908</v>
      </c>
      <c r="H5306" t="s">
        <v>30916</v>
      </c>
      <c r="I5306" t="s">
        <v>6396</v>
      </c>
      <c r="J5306" t="s">
        <v>34556</v>
      </c>
      <c r="K5306" t="s">
        <v>40287</v>
      </c>
      <c r="M5306" t="s">
        <v>42630</v>
      </c>
      <c r="N5306" t="s">
        <v>44759</v>
      </c>
      <c r="O5306" t="s">
        <v>44760</v>
      </c>
      <c r="P5306">
        <v>0</v>
      </c>
      <c r="Q5306">
        <v>6</v>
      </c>
      <c r="R5306" t="s">
        <v>44766</v>
      </c>
      <c r="S5306" t="s">
        <v>44902</v>
      </c>
      <c r="T5306" t="s">
        <v>46374</v>
      </c>
      <c r="U5306" t="s">
        <v>51425</v>
      </c>
      <c r="V5306" t="s">
        <v>59684</v>
      </c>
      <c r="W5306" t="s">
        <v>42630</v>
      </c>
      <c r="X5306" t="s">
        <v>44767</v>
      </c>
    </row>
    <row r="5307" spans="1:24">
      <c r="A5307">
        <f>HYPERLINK("https://www.philgeps.gov.ph/GEPSNONPILOT/Tender/SplashBidNoticeAbstractUI.aspx?menuIndex=3&amp;refID=7145394&amp;Result=3","7145394")</f>
        <v>0</v>
      </c>
      <c r="B5307" t="s">
        <v>842</v>
      </c>
      <c r="C5307" t="s">
        <v>8765</v>
      </c>
      <c r="D5307" t="s">
        <v>17957</v>
      </c>
      <c r="E5307" t="s">
        <v>22022</v>
      </c>
      <c r="F5307" t="s">
        <v>30900</v>
      </c>
      <c r="G5307" t="s">
        <v>30907</v>
      </c>
      <c r="H5307" t="s">
        <v>30915</v>
      </c>
      <c r="I5307" t="s">
        <v>30949</v>
      </c>
      <c r="J5307" t="s">
        <v>32404</v>
      </c>
      <c r="K5307" t="s">
        <v>40286</v>
      </c>
      <c r="M5307" t="s">
        <v>41415</v>
      </c>
      <c r="N5307" t="s">
        <v>44759</v>
      </c>
      <c r="O5307" t="s">
        <v>44760</v>
      </c>
      <c r="P5307">
        <v>0</v>
      </c>
      <c r="Q5307">
        <v>1</v>
      </c>
      <c r="R5307" t="s">
        <v>44766</v>
      </c>
      <c r="S5307" t="s">
        <v>44902</v>
      </c>
      <c r="T5307" t="s">
        <v>46574</v>
      </c>
      <c r="U5307" t="s">
        <v>51426</v>
      </c>
      <c r="W5307" t="s">
        <v>41415</v>
      </c>
      <c r="X5307" t="s">
        <v>44767</v>
      </c>
    </row>
    <row r="5308" spans="1:24">
      <c r="A5308">
        <f>HYPERLINK("https://www.philgeps.gov.ph/GEPSNONPILOT/Tender/SplashBidNoticeAbstractUI.aspx?menuIndex=3&amp;refID=7145321&amp;Result=3","7145321")</f>
        <v>0</v>
      </c>
      <c r="B5308" t="s">
        <v>1934</v>
      </c>
      <c r="C5308" t="s">
        <v>8766</v>
      </c>
      <c r="D5308" t="s">
        <v>17984</v>
      </c>
      <c r="E5308" t="s">
        <v>22752</v>
      </c>
      <c r="F5308" t="s">
        <v>30900</v>
      </c>
      <c r="G5308" t="s">
        <v>30907</v>
      </c>
      <c r="H5308" t="s">
        <v>30915</v>
      </c>
      <c r="I5308" t="s">
        <v>30919</v>
      </c>
      <c r="J5308" t="s">
        <v>34557</v>
      </c>
      <c r="K5308" t="s">
        <v>40342</v>
      </c>
      <c r="M5308" t="s">
        <v>42615</v>
      </c>
      <c r="N5308" t="s">
        <v>44759</v>
      </c>
      <c r="O5308" t="s">
        <v>44760</v>
      </c>
      <c r="P5308">
        <v>0</v>
      </c>
      <c r="Q5308">
        <v>2</v>
      </c>
      <c r="R5308" t="s">
        <v>44766</v>
      </c>
      <c r="S5308" t="s">
        <v>44902</v>
      </c>
      <c r="T5308" t="s">
        <v>46710</v>
      </c>
      <c r="U5308" t="s">
        <v>51427</v>
      </c>
      <c r="W5308" t="s">
        <v>42615</v>
      </c>
      <c r="X5308" t="s">
        <v>44767</v>
      </c>
    </row>
    <row r="5309" spans="1:24">
      <c r="A5309">
        <f>HYPERLINK("https://www.philgeps.gov.ph/GEPSNONPILOT/Tender/SplashBidNoticeAbstractUI.aspx?menuIndex=3&amp;refID=7145391&amp;Result=3","7145391")</f>
        <v>0</v>
      </c>
      <c r="B5309" t="s">
        <v>1948</v>
      </c>
      <c r="C5309" t="s">
        <v>8767</v>
      </c>
      <c r="D5309" t="s">
        <v>17959</v>
      </c>
      <c r="E5309" t="s">
        <v>22753</v>
      </c>
      <c r="F5309" t="s">
        <v>30900</v>
      </c>
      <c r="G5309" t="s">
        <v>30908</v>
      </c>
      <c r="H5309" t="s">
        <v>30916</v>
      </c>
      <c r="I5309" t="s">
        <v>30982</v>
      </c>
      <c r="J5309" t="s">
        <v>34558</v>
      </c>
      <c r="K5309" t="s">
        <v>40287</v>
      </c>
      <c r="M5309" t="s">
        <v>42630</v>
      </c>
      <c r="N5309" t="s">
        <v>44759</v>
      </c>
      <c r="O5309" t="s">
        <v>44760</v>
      </c>
      <c r="P5309">
        <v>0</v>
      </c>
      <c r="Q5309">
        <v>1</v>
      </c>
      <c r="R5309" t="s">
        <v>44766</v>
      </c>
      <c r="S5309" t="s">
        <v>44902</v>
      </c>
      <c r="T5309" t="s">
        <v>46374</v>
      </c>
      <c r="U5309" t="s">
        <v>51428</v>
      </c>
      <c r="V5309" t="s">
        <v>59684</v>
      </c>
      <c r="W5309" t="s">
        <v>42630</v>
      </c>
      <c r="X5309" t="s">
        <v>44767</v>
      </c>
    </row>
    <row r="5310" spans="1:24">
      <c r="A5310">
        <f>HYPERLINK("https://www.philgeps.gov.ph/GEPSNONPILOT/Tender/SplashBidNoticeAbstractUI.aspx?menuIndex=3&amp;refID=7145390&amp;Result=3","7145390")</f>
        <v>0</v>
      </c>
      <c r="B5310" t="s">
        <v>1677</v>
      </c>
      <c r="C5310" t="s">
        <v>8768</v>
      </c>
      <c r="D5310" t="s">
        <v>17952</v>
      </c>
      <c r="E5310" t="s">
        <v>18066</v>
      </c>
      <c r="F5310" t="s">
        <v>30900</v>
      </c>
      <c r="G5310" t="s">
        <v>30907</v>
      </c>
      <c r="H5310" t="s">
        <v>30915</v>
      </c>
      <c r="I5310" t="s">
        <v>8123</v>
      </c>
      <c r="J5310" t="s">
        <v>31101</v>
      </c>
      <c r="K5310" t="s">
        <v>40291</v>
      </c>
      <c r="M5310" t="s">
        <v>42335</v>
      </c>
      <c r="N5310" t="s">
        <v>44759</v>
      </c>
      <c r="O5310" t="s">
        <v>44760</v>
      </c>
      <c r="P5310">
        <v>0</v>
      </c>
      <c r="Q5310">
        <v>0</v>
      </c>
      <c r="R5310" t="s">
        <v>44766</v>
      </c>
      <c r="S5310" t="s">
        <v>44902</v>
      </c>
      <c r="T5310" t="s">
        <v>46414</v>
      </c>
      <c r="U5310" t="s">
        <v>51429</v>
      </c>
      <c r="W5310" t="s">
        <v>42335</v>
      </c>
      <c r="X5310" t="s">
        <v>44767</v>
      </c>
    </row>
    <row r="5311" spans="1:24">
      <c r="A5311">
        <f>HYPERLINK("https://www.philgeps.gov.ph/GEPSNONPILOT/Tender/SplashBidNoticeAbstractUI.aspx?menuIndex=3&amp;refID=7145409&amp;Result=3","7145409")</f>
        <v>0</v>
      </c>
      <c r="B5311" t="s">
        <v>1523</v>
      </c>
      <c r="C5311" t="s">
        <v>8769</v>
      </c>
      <c r="E5311" t="s">
        <v>22754</v>
      </c>
      <c r="F5311" t="s">
        <v>30900</v>
      </c>
      <c r="G5311" t="s">
        <v>30908</v>
      </c>
      <c r="H5311" t="s">
        <v>30916</v>
      </c>
      <c r="I5311" t="s">
        <v>30947</v>
      </c>
      <c r="J5311" t="s">
        <v>34559</v>
      </c>
      <c r="K5311" t="s">
        <v>40286</v>
      </c>
      <c r="L5311" t="s">
        <v>1523</v>
      </c>
      <c r="M5311" t="s">
        <v>42165</v>
      </c>
      <c r="N5311" t="s">
        <v>44759</v>
      </c>
      <c r="O5311" t="s">
        <v>44760</v>
      </c>
      <c r="P5311">
        <v>0</v>
      </c>
      <c r="Q5311">
        <v>4</v>
      </c>
      <c r="R5311" t="s">
        <v>44766</v>
      </c>
      <c r="S5311" t="s">
        <v>44902</v>
      </c>
      <c r="T5311" t="s">
        <v>46533</v>
      </c>
      <c r="U5311" t="s">
        <v>51430</v>
      </c>
      <c r="W5311" t="s">
        <v>42165</v>
      </c>
      <c r="X5311" t="s">
        <v>44767</v>
      </c>
    </row>
    <row r="5312" spans="1:24">
      <c r="A5312">
        <f>HYPERLINK("https://www.philgeps.gov.ph/GEPSNONPILOT/Tender/SplashBidNoticeAbstractUI.aspx?menuIndex=3&amp;refID=7145388&amp;Result=3","7145388")</f>
        <v>0</v>
      </c>
      <c r="B5312" t="s">
        <v>1949</v>
      </c>
      <c r="C5312" t="s">
        <v>8770</v>
      </c>
      <c r="D5312" t="s">
        <v>17979</v>
      </c>
      <c r="E5312" t="s">
        <v>22755</v>
      </c>
      <c r="F5312" t="s">
        <v>30900</v>
      </c>
      <c r="G5312" t="s">
        <v>30909</v>
      </c>
      <c r="H5312" t="s">
        <v>30916</v>
      </c>
      <c r="I5312" t="s">
        <v>8123</v>
      </c>
      <c r="J5312" t="s">
        <v>34560</v>
      </c>
      <c r="K5312" t="s">
        <v>40284</v>
      </c>
      <c r="M5312" t="s">
        <v>42631</v>
      </c>
      <c r="N5312" t="s">
        <v>44759</v>
      </c>
      <c r="O5312" t="s">
        <v>44760</v>
      </c>
      <c r="P5312">
        <v>0</v>
      </c>
      <c r="Q5312">
        <v>1</v>
      </c>
      <c r="R5312" t="s">
        <v>44766</v>
      </c>
      <c r="S5312" t="s">
        <v>44902</v>
      </c>
      <c r="T5312" t="s">
        <v>46533</v>
      </c>
      <c r="U5312" t="s">
        <v>51431</v>
      </c>
      <c r="W5312" t="s">
        <v>42631</v>
      </c>
      <c r="X5312" t="s">
        <v>44767</v>
      </c>
    </row>
    <row r="5313" spans="1:24">
      <c r="A5313">
        <f>HYPERLINK("https://www.philgeps.gov.ph/GEPSNONPILOT/Tender/SplashBidNoticeAbstractUI.aspx?menuIndex=3&amp;refID=7145387&amp;Result=3","7145387")</f>
        <v>0</v>
      </c>
      <c r="B5313" t="s">
        <v>1950</v>
      </c>
      <c r="C5313" t="s">
        <v>8771</v>
      </c>
      <c r="D5313" t="s">
        <v>17978</v>
      </c>
      <c r="E5313" t="s">
        <v>22756</v>
      </c>
      <c r="F5313" t="s">
        <v>30900</v>
      </c>
      <c r="G5313" t="s">
        <v>30908</v>
      </c>
      <c r="H5313" t="s">
        <v>30916</v>
      </c>
      <c r="I5313" t="s">
        <v>10602</v>
      </c>
      <c r="J5313" t="s">
        <v>34561</v>
      </c>
      <c r="K5313" t="s">
        <v>40344</v>
      </c>
      <c r="M5313" t="s">
        <v>42632</v>
      </c>
      <c r="N5313" t="s">
        <v>44759</v>
      </c>
      <c r="O5313" t="s">
        <v>44760</v>
      </c>
      <c r="P5313">
        <v>0</v>
      </c>
      <c r="Q5313">
        <v>5</v>
      </c>
      <c r="R5313" t="s">
        <v>44766</v>
      </c>
      <c r="S5313" t="s">
        <v>44902</v>
      </c>
      <c r="T5313" t="s">
        <v>46612</v>
      </c>
      <c r="U5313" t="s">
        <v>51432</v>
      </c>
      <c r="W5313" t="s">
        <v>42632</v>
      </c>
      <c r="X5313" t="s">
        <v>44767</v>
      </c>
    </row>
    <row r="5314" spans="1:24">
      <c r="A5314">
        <f>HYPERLINK("https://www.philgeps.gov.ph/GEPSNONPILOT/Tender/SplashBidNoticeAbstractUI.aspx?menuIndex=3&amp;refID=7145373&amp;Result=3","7145373")</f>
        <v>0</v>
      </c>
      <c r="B5314" t="s">
        <v>207</v>
      </c>
      <c r="C5314" t="s">
        <v>8772</v>
      </c>
      <c r="D5314" t="s">
        <v>17985</v>
      </c>
      <c r="E5314" t="s">
        <v>22757</v>
      </c>
      <c r="F5314" t="s">
        <v>30900</v>
      </c>
      <c r="G5314" t="s">
        <v>30908</v>
      </c>
      <c r="H5314" t="s">
        <v>30916</v>
      </c>
      <c r="I5314" t="s">
        <v>4545</v>
      </c>
      <c r="J5314" t="s">
        <v>31211</v>
      </c>
      <c r="K5314" t="s">
        <v>40285</v>
      </c>
      <c r="M5314" t="s">
        <v>42633</v>
      </c>
      <c r="N5314" t="s">
        <v>44759</v>
      </c>
      <c r="O5314" t="s">
        <v>44760</v>
      </c>
      <c r="P5314">
        <v>0</v>
      </c>
      <c r="Q5314">
        <v>10</v>
      </c>
      <c r="R5314" t="s">
        <v>44766</v>
      </c>
      <c r="S5314" t="s">
        <v>44902</v>
      </c>
      <c r="T5314" t="s">
        <v>46662</v>
      </c>
      <c r="U5314" t="s">
        <v>51433</v>
      </c>
      <c r="W5314" t="s">
        <v>42633</v>
      </c>
      <c r="X5314" t="s">
        <v>44767</v>
      </c>
    </row>
    <row r="5315" spans="1:24">
      <c r="A5315">
        <f>HYPERLINK("https://www.philgeps.gov.ph/GEPSNONPILOT/Tender/SplashBidNoticeAbstractUI.aspx?menuIndex=3&amp;refID=7145401&amp;Result=3","7145401")</f>
        <v>0</v>
      </c>
      <c r="B5315" t="s">
        <v>1243</v>
      </c>
      <c r="C5315" t="s">
        <v>8773</v>
      </c>
      <c r="E5315" t="s">
        <v>18518</v>
      </c>
      <c r="F5315" t="s">
        <v>30900</v>
      </c>
      <c r="G5315" t="s">
        <v>30908</v>
      </c>
      <c r="H5315" t="s">
        <v>30916</v>
      </c>
      <c r="I5315" t="s">
        <v>4108</v>
      </c>
      <c r="J5315" t="s">
        <v>31461</v>
      </c>
      <c r="K5315" t="s">
        <v>40286</v>
      </c>
      <c r="M5315" t="s">
        <v>41855</v>
      </c>
      <c r="N5315" t="s">
        <v>44759</v>
      </c>
      <c r="O5315" t="s">
        <v>44760</v>
      </c>
      <c r="P5315">
        <v>0</v>
      </c>
      <c r="Q5315">
        <v>7</v>
      </c>
      <c r="R5315" t="s">
        <v>44766</v>
      </c>
      <c r="S5315" t="s">
        <v>44902</v>
      </c>
      <c r="T5315" t="s">
        <v>46403</v>
      </c>
      <c r="U5315" t="s">
        <v>51434</v>
      </c>
      <c r="W5315" t="s">
        <v>41855</v>
      </c>
      <c r="X5315" t="s">
        <v>44767</v>
      </c>
    </row>
    <row r="5316" spans="1:24">
      <c r="A5316">
        <f>HYPERLINK("https://www.philgeps.gov.ph/GEPSNONPILOT/Tender/SplashBidNoticeAbstractUI.aspx?menuIndex=3&amp;refID=7145393&amp;Result=3","7145393")</f>
        <v>0</v>
      </c>
      <c r="B5316" t="s">
        <v>1584</v>
      </c>
      <c r="C5316" t="s">
        <v>8774</v>
      </c>
      <c r="E5316" t="s">
        <v>22758</v>
      </c>
      <c r="F5316" t="s">
        <v>30900</v>
      </c>
      <c r="G5316" t="s">
        <v>30908</v>
      </c>
      <c r="H5316" t="s">
        <v>30916</v>
      </c>
      <c r="I5316" t="s">
        <v>30933</v>
      </c>
      <c r="J5316" t="s">
        <v>32707</v>
      </c>
      <c r="K5316" t="s">
        <v>40283</v>
      </c>
      <c r="M5316" t="s">
        <v>42634</v>
      </c>
      <c r="N5316" t="s">
        <v>44759</v>
      </c>
      <c r="O5316" t="s">
        <v>44760</v>
      </c>
      <c r="P5316">
        <v>0</v>
      </c>
      <c r="Q5316">
        <v>1</v>
      </c>
      <c r="R5316" t="s">
        <v>44766</v>
      </c>
      <c r="S5316" t="s">
        <v>44902</v>
      </c>
      <c r="T5316" t="s">
        <v>46534</v>
      </c>
      <c r="U5316" t="s">
        <v>51435</v>
      </c>
      <c r="W5316" t="s">
        <v>42634</v>
      </c>
      <c r="X5316" t="s">
        <v>44767</v>
      </c>
    </row>
    <row r="5317" spans="1:24">
      <c r="A5317">
        <f>HYPERLINK("https://www.philgeps.gov.ph/GEPSNONPILOT/Tender/SplashBidNoticeAbstractUI.aspx?menuIndex=3&amp;refID=7145392&amp;Result=3","7145392")</f>
        <v>0</v>
      </c>
      <c r="B5317" t="s">
        <v>1290</v>
      </c>
      <c r="C5317" t="s">
        <v>8775</v>
      </c>
      <c r="D5317" t="s">
        <v>17995</v>
      </c>
      <c r="E5317" t="s">
        <v>22759</v>
      </c>
      <c r="F5317" t="s">
        <v>30900</v>
      </c>
      <c r="G5317" t="s">
        <v>30908</v>
      </c>
      <c r="H5317" t="s">
        <v>30916</v>
      </c>
      <c r="I5317" t="s">
        <v>11785</v>
      </c>
      <c r="J5317" t="s">
        <v>31912</v>
      </c>
      <c r="K5317" t="s">
        <v>40287</v>
      </c>
      <c r="M5317" t="s">
        <v>41907</v>
      </c>
      <c r="N5317" t="s">
        <v>44759</v>
      </c>
      <c r="O5317" t="s">
        <v>44760</v>
      </c>
      <c r="P5317">
        <v>0</v>
      </c>
      <c r="Q5317">
        <v>1</v>
      </c>
      <c r="R5317" t="s">
        <v>44766</v>
      </c>
      <c r="S5317" t="s">
        <v>44902</v>
      </c>
      <c r="T5317" t="s">
        <v>46376</v>
      </c>
      <c r="U5317" t="s">
        <v>51436</v>
      </c>
      <c r="W5317" t="s">
        <v>41907</v>
      </c>
      <c r="X5317" t="s">
        <v>44767</v>
      </c>
    </row>
    <row r="5318" spans="1:24">
      <c r="A5318">
        <f>HYPERLINK("https://www.philgeps.gov.ph/GEPSNONPILOT/Tender/SplashBidNoticeAbstractUI.aspx?menuIndex=3&amp;refID=7145369&amp;Result=3","7145369")</f>
        <v>0</v>
      </c>
      <c r="B5318" t="s">
        <v>1951</v>
      </c>
      <c r="C5318" t="s">
        <v>8776</v>
      </c>
      <c r="D5318" t="s">
        <v>17959</v>
      </c>
      <c r="E5318" t="s">
        <v>18094</v>
      </c>
      <c r="F5318" t="s">
        <v>30900</v>
      </c>
      <c r="G5318" t="s">
        <v>30908</v>
      </c>
      <c r="H5318" t="s">
        <v>30916</v>
      </c>
      <c r="I5318" t="s">
        <v>5830</v>
      </c>
      <c r="J5318" t="s">
        <v>34562</v>
      </c>
      <c r="K5318" t="s">
        <v>40287</v>
      </c>
      <c r="M5318" t="s">
        <v>42635</v>
      </c>
      <c r="N5318" t="s">
        <v>44759</v>
      </c>
      <c r="O5318" t="s">
        <v>44760</v>
      </c>
      <c r="P5318">
        <v>0</v>
      </c>
      <c r="Q5318">
        <v>2</v>
      </c>
      <c r="R5318" t="s">
        <v>44766</v>
      </c>
      <c r="S5318" t="s">
        <v>44902</v>
      </c>
      <c r="T5318" t="s">
        <v>46623</v>
      </c>
      <c r="U5318" t="s">
        <v>51437</v>
      </c>
      <c r="W5318" t="s">
        <v>42635</v>
      </c>
      <c r="X5318" t="s">
        <v>44767</v>
      </c>
    </row>
    <row r="5319" spans="1:24">
      <c r="A5319">
        <f>HYPERLINK("https://www.philgeps.gov.ph/GEPSNONPILOT/Tender/SplashBidNoticeAbstractUI.aspx?menuIndex=3&amp;refID=7145389&amp;Result=3","7145389")</f>
        <v>0</v>
      </c>
      <c r="B5319" t="s">
        <v>1952</v>
      </c>
      <c r="C5319" t="s">
        <v>8776</v>
      </c>
      <c r="D5319" t="s">
        <v>17959</v>
      </c>
      <c r="E5319" t="s">
        <v>18094</v>
      </c>
      <c r="F5319" t="s">
        <v>30900</v>
      </c>
      <c r="G5319" t="s">
        <v>30908</v>
      </c>
      <c r="H5319" t="s">
        <v>30916</v>
      </c>
      <c r="I5319" t="s">
        <v>5830</v>
      </c>
      <c r="J5319" t="s">
        <v>31522</v>
      </c>
      <c r="K5319" t="s">
        <v>40287</v>
      </c>
      <c r="M5319" t="s">
        <v>42636</v>
      </c>
      <c r="N5319" t="s">
        <v>44759</v>
      </c>
      <c r="O5319" t="s">
        <v>44760</v>
      </c>
      <c r="P5319">
        <v>0</v>
      </c>
      <c r="Q5319">
        <v>0</v>
      </c>
      <c r="R5319" t="s">
        <v>44766</v>
      </c>
      <c r="S5319" t="s">
        <v>44902</v>
      </c>
      <c r="T5319" t="s">
        <v>46623</v>
      </c>
      <c r="U5319" t="s">
        <v>51438</v>
      </c>
      <c r="W5319" t="s">
        <v>42636</v>
      </c>
      <c r="X5319" t="s">
        <v>44767</v>
      </c>
    </row>
    <row r="5320" spans="1:24">
      <c r="A5320">
        <f>HYPERLINK("https://www.philgeps.gov.ph/GEPSNONPILOT/Tender/SplashBidNoticeAbstractUI.aspx?menuIndex=3&amp;refID=7145363&amp;Result=3","7145363")</f>
        <v>0</v>
      </c>
      <c r="B5320" t="s">
        <v>1953</v>
      </c>
      <c r="C5320" t="s">
        <v>8777</v>
      </c>
      <c r="D5320" t="s">
        <v>17969</v>
      </c>
      <c r="E5320" t="s">
        <v>22760</v>
      </c>
      <c r="F5320" t="s">
        <v>30900</v>
      </c>
      <c r="G5320" t="s">
        <v>30908</v>
      </c>
      <c r="H5320" t="s">
        <v>30915</v>
      </c>
      <c r="I5320" t="s">
        <v>30919</v>
      </c>
      <c r="J5320" t="s">
        <v>34563</v>
      </c>
      <c r="K5320" t="s">
        <v>40302</v>
      </c>
      <c r="M5320" t="s">
        <v>42637</v>
      </c>
      <c r="N5320" t="s">
        <v>44759</v>
      </c>
      <c r="O5320" t="s">
        <v>44760</v>
      </c>
      <c r="P5320">
        <v>0</v>
      </c>
      <c r="Q5320">
        <v>0</v>
      </c>
      <c r="R5320" t="s">
        <v>44766</v>
      </c>
      <c r="S5320" t="s">
        <v>44902</v>
      </c>
      <c r="T5320" t="s">
        <v>46414</v>
      </c>
      <c r="U5320" t="s">
        <v>51439</v>
      </c>
      <c r="V5320" t="s">
        <v>48109</v>
      </c>
      <c r="W5320" t="s">
        <v>42637</v>
      </c>
      <c r="X5320" t="s">
        <v>44767</v>
      </c>
    </row>
    <row r="5321" spans="1:24">
      <c r="A5321">
        <f>HYPERLINK("https://www.philgeps.gov.ph/GEPSNONPILOT/Tender/SplashBidNoticeAbstractUI.aspx?menuIndex=3&amp;refID=7145398&amp;Result=3","7145398")</f>
        <v>0</v>
      </c>
      <c r="B5321" t="s">
        <v>309</v>
      </c>
      <c r="C5321" t="s">
        <v>8778</v>
      </c>
      <c r="D5321" t="s">
        <v>17995</v>
      </c>
      <c r="E5321" t="s">
        <v>22761</v>
      </c>
      <c r="F5321" t="s">
        <v>30900</v>
      </c>
      <c r="G5321" t="s">
        <v>30908</v>
      </c>
      <c r="H5321" t="s">
        <v>30916</v>
      </c>
      <c r="I5321" t="s">
        <v>30923</v>
      </c>
      <c r="J5321" t="s">
        <v>31341</v>
      </c>
      <c r="K5321" t="s">
        <v>40283</v>
      </c>
      <c r="M5321" t="s">
        <v>40859</v>
      </c>
      <c r="N5321" t="s">
        <v>44759</v>
      </c>
      <c r="O5321" t="s">
        <v>44760</v>
      </c>
      <c r="P5321">
        <v>0</v>
      </c>
      <c r="Q5321">
        <v>2</v>
      </c>
      <c r="R5321" t="s">
        <v>44766</v>
      </c>
      <c r="S5321" t="s">
        <v>44902</v>
      </c>
      <c r="T5321" t="s">
        <v>46531</v>
      </c>
      <c r="U5321" t="s">
        <v>51440</v>
      </c>
      <c r="W5321" t="s">
        <v>40859</v>
      </c>
      <c r="X5321" t="s">
        <v>44767</v>
      </c>
    </row>
    <row r="5322" spans="1:24">
      <c r="A5322">
        <f>HYPERLINK("https://www.philgeps.gov.ph/GEPSNONPILOT/Tender/SplashBidNoticeAbstractUI.aspx?menuIndex=3&amp;refID=7145127&amp;Result=3","7145127")</f>
        <v>0</v>
      </c>
      <c r="B5322" t="s">
        <v>1119</v>
      </c>
      <c r="C5322" t="s">
        <v>8779</v>
      </c>
      <c r="D5322" t="s">
        <v>18038</v>
      </c>
      <c r="E5322" t="s">
        <v>22762</v>
      </c>
      <c r="F5322" t="s">
        <v>30900</v>
      </c>
      <c r="G5322" t="s">
        <v>30907</v>
      </c>
      <c r="H5322" t="s">
        <v>30916</v>
      </c>
      <c r="I5322" t="s">
        <v>7708</v>
      </c>
      <c r="J5322" t="s">
        <v>34564</v>
      </c>
      <c r="K5322" t="s">
        <v>40280</v>
      </c>
      <c r="M5322" t="s">
        <v>42602</v>
      </c>
      <c r="N5322" t="s">
        <v>44759</v>
      </c>
      <c r="O5322" t="s">
        <v>44760</v>
      </c>
      <c r="Q5322">
        <v>6</v>
      </c>
      <c r="R5322" t="s">
        <v>44766</v>
      </c>
      <c r="S5322" t="s">
        <v>44909</v>
      </c>
      <c r="T5322" t="s">
        <v>46370</v>
      </c>
      <c r="U5322" t="s">
        <v>51379</v>
      </c>
      <c r="V5322" t="s">
        <v>59685</v>
      </c>
      <c r="W5322" t="s">
        <v>42602</v>
      </c>
      <c r="X5322" t="s">
        <v>44768</v>
      </c>
    </row>
    <row r="5323" spans="1:24">
      <c r="A5323">
        <f>HYPERLINK("https://www.philgeps.gov.ph/GEPSNONPILOT/Tender/SplashBidNoticeAbstractUI.aspx?menuIndex=3&amp;refID=7145377&amp;Result=3","7145377")</f>
        <v>0</v>
      </c>
      <c r="B5323" t="s">
        <v>1954</v>
      </c>
      <c r="C5323" t="s">
        <v>8780</v>
      </c>
      <c r="D5323" t="s">
        <v>17951</v>
      </c>
      <c r="E5323" t="s">
        <v>18752</v>
      </c>
      <c r="F5323" t="s">
        <v>30900</v>
      </c>
      <c r="G5323" t="s">
        <v>30907</v>
      </c>
      <c r="H5323" t="s">
        <v>30916</v>
      </c>
      <c r="I5323" t="s">
        <v>8123</v>
      </c>
      <c r="J5323" t="s">
        <v>34565</v>
      </c>
      <c r="K5323" t="s">
        <v>40287</v>
      </c>
      <c r="L5323" t="s">
        <v>1954</v>
      </c>
      <c r="M5323" t="s">
        <v>42638</v>
      </c>
      <c r="N5323" t="s">
        <v>44759</v>
      </c>
      <c r="O5323" t="s">
        <v>44760</v>
      </c>
      <c r="P5323">
        <v>0</v>
      </c>
      <c r="Q5323">
        <v>0</v>
      </c>
      <c r="R5323" t="s">
        <v>44766</v>
      </c>
      <c r="S5323" t="s">
        <v>44902</v>
      </c>
      <c r="T5323" t="s">
        <v>46410</v>
      </c>
      <c r="U5323" t="s">
        <v>51441</v>
      </c>
      <c r="W5323" t="s">
        <v>42638</v>
      </c>
      <c r="X5323" t="s">
        <v>44767</v>
      </c>
    </row>
    <row r="5324" spans="1:24">
      <c r="A5324">
        <f>HYPERLINK("https://www.philgeps.gov.ph/GEPSNONPILOT/Tender/SplashBidNoticeAbstractUI.aspx?menuIndex=3&amp;refID=7145123&amp;Result=3","7145123")</f>
        <v>0</v>
      </c>
      <c r="B5324" t="s">
        <v>1905</v>
      </c>
      <c r="C5324" t="s">
        <v>8781</v>
      </c>
      <c r="D5324" t="s">
        <v>18002</v>
      </c>
      <c r="E5324" t="s">
        <v>22763</v>
      </c>
      <c r="F5324" t="s">
        <v>30900</v>
      </c>
      <c r="G5324" t="s">
        <v>30910</v>
      </c>
      <c r="H5324" t="s">
        <v>30916</v>
      </c>
      <c r="I5324" t="s">
        <v>8044</v>
      </c>
      <c r="J5324" t="s">
        <v>34566</v>
      </c>
      <c r="K5324" t="s">
        <v>40287</v>
      </c>
      <c r="M5324" t="s">
        <v>42582</v>
      </c>
      <c r="N5324" t="s">
        <v>44759</v>
      </c>
      <c r="O5324" t="s">
        <v>44760</v>
      </c>
      <c r="P5324">
        <v>0</v>
      </c>
      <c r="Q5324">
        <v>4</v>
      </c>
      <c r="R5324" t="s">
        <v>44766</v>
      </c>
      <c r="S5324" t="s">
        <v>44902</v>
      </c>
      <c r="T5324" t="s">
        <v>46658</v>
      </c>
      <c r="U5324" t="s">
        <v>51442</v>
      </c>
      <c r="V5324" t="s">
        <v>59664</v>
      </c>
      <c r="W5324" t="s">
        <v>42582</v>
      </c>
      <c r="X5324" t="s">
        <v>44768</v>
      </c>
    </row>
    <row r="5325" spans="1:24">
      <c r="A5325">
        <f>HYPERLINK("https://www.philgeps.gov.ph/GEPSNONPILOT/Tender/SplashBidNoticeAbstractUI.aspx?menuIndex=3&amp;refID=7145117&amp;Result=3","7145117")</f>
        <v>0</v>
      </c>
      <c r="B5325" t="s">
        <v>1905</v>
      </c>
      <c r="C5325" t="s">
        <v>8782</v>
      </c>
      <c r="D5325" t="s">
        <v>18002</v>
      </c>
      <c r="E5325" t="s">
        <v>22764</v>
      </c>
      <c r="F5325" t="s">
        <v>30900</v>
      </c>
      <c r="G5325" t="s">
        <v>30908</v>
      </c>
      <c r="H5325" t="s">
        <v>30916</v>
      </c>
      <c r="I5325" t="s">
        <v>5501</v>
      </c>
      <c r="J5325" t="s">
        <v>34567</v>
      </c>
      <c r="K5325" t="s">
        <v>40287</v>
      </c>
      <c r="M5325" t="s">
        <v>42582</v>
      </c>
      <c r="N5325" t="s">
        <v>44759</v>
      </c>
      <c r="O5325" t="s">
        <v>44760</v>
      </c>
      <c r="P5325">
        <v>0</v>
      </c>
      <c r="Q5325">
        <v>1</v>
      </c>
      <c r="R5325" t="s">
        <v>44766</v>
      </c>
      <c r="S5325" t="s">
        <v>44902</v>
      </c>
      <c r="T5325" t="s">
        <v>46658</v>
      </c>
      <c r="U5325" t="s">
        <v>51443</v>
      </c>
      <c r="V5325" t="s">
        <v>59664</v>
      </c>
      <c r="W5325" t="s">
        <v>42582</v>
      </c>
      <c r="X5325" t="s">
        <v>44768</v>
      </c>
    </row>
    <row r="5326" spans="1:24">
      <c r="A5326">
        <f>HYPERLINK("https://www.philgeps.gov.ph/GEPSNONPILOT/Tender/SplashBidNoticeAbstractUI.aspx?menuIndex=3&amp;refID=7143949&amp;Result=3","7143949")</f>
        <v>0</v>
      </c>
      <c r="B5326" t="s">
        <v>1955</v>
      </c>
      <c r="C5326" t="s">
        <v>8783</v>
      </c>
      <c r="D5326" t="s">
        <v>18020</v>
      </c>
      <c r="E5326" t="s">
        <v>22765</v>
      </c>
      <c r="F5326" t="s">
        <v>30900</v>
      </c>
      <c r="G5326" t="s">
        <v>30908</v>
      </c>
      <c r="H5326" t="s">
        <v>30916</v>
      </c>
      <c r="I5326" t="s">
        <v>8123</v>
      </c>
      <c r="J5326" t="s">
        <v>34568</v>
      </c>
      <c r="K5326" t="s">
        <v>40287</v>
      </c>
      <c r="M5326" t="s">
        <v>42639</v>
      </c>
      <c r="N5326" t="s">
        <v>44759</v>
      </c>
      <c r="O5326" t="s">
        <v>44760</v>
      </c>
      <c r="P5326">
        <v>0</v>
      </c>
      <c r="Q5326">
        <v>7</v>
      </c>
      <c r="R5326" t="s">
        <v>44766</v>
      </c>
      <c r="S5326" t="s">
        <v>44902</v>
      </c>
      <c r="T5326" t="s">
        <v>46457</v>
      </c>
      <c r="U5326" t="s">
        <v>51444</v>
      </c>
      <c r="W5326" t="s">
        <v>42639</v>
      </c>
      <c r="X5326" t="s">
        <v>44768</v>
      </c>
    </row>
    <row r="5327" spans="1:24">
      <c r="A5327">
        <f>HYPERLINK("https://www.philgeps.gov.ph/GEPSNONPILOT/Tender/SplashBidNoticeAbstractUI.aspx?menuIndex=3&amp;refID=7138749&amp;Result=3","7138749")</f>
        <v>0</v>
      </c>
      <c r="B5327" t="s">
        <v>1275</v>
      </c>
      <c r="C5327" t="s">
        <v>8784</v>
      </c>
      <c r="D5327" t="s">
        <v>17980</v>
      </c>
      <c r="E5327" t="s">
        <v>22766</v>
      </c>
      <c r="F5327" t="s">
        <v>30900</v>
      </c>
      <c r="G5327" t="s">
        <v>30907</v>
      </c>
      <c r="H5327" t="s">
        <v>30915</v>
      </c>
      <c r="I5327" t="s">
        <v>30919</v>
      </c>
      <c r="J5327" t="s">
        <v>34569</v>
      </c>
      <c r="K5327" t="s">
        <v>40292</v>
      </c>
      <c r="M5327" t="s">
        <v>41891</v>
      </c>
      <c r="N5327" t="s">
        <v>44759</v>
      </c>
      <c r="O5327" t="s">
        <v>44760</v>
      </c>
      <c r="P5327">
        <v>0</v>
      </c>
      <c r="Q5327">
        <v>0</v>
      </c>
      <c r="R5327" t="s">
        <v>44766</v>
      </c>
      <c r="S5327" t="s">
        <v>44902</v>
      </c>
      <c r="T5327" t="s">
        <v>46363</v>
      </c>
      <c r="U5327" t="s">
        <v>51445</v>
      </c>
      <c r="W5327" t="s">
        <v>41891</v>
      </c>
      <c r="X5327" t="s">
        <v>44770</v>
      </c>
    </row>
    <row r="5328" spans="1:24">
      <c r="A5328">
        <f>HYPERLINK("https://www.philgeps.gov.ph/GEPSNONPILOT/Tender/SplashBidNoticeAbstractUI.aspx?menuIndex=3&amp;refID=7145132&amp;Result=3","7145132")</f>
        <v>0</v>
      </c>
      <c r="B5328" t="s">
        <v>1119</v>
      </c>
      <c r="C5328" t="s">
        <v>8785</v>
      </c>
      <c r="D5328" t="s">
        <v>18038</v>
      </c>
      <c r="E5328" t="s">
        <v>22767</v>
      </c>
      <c r="F5328" t="s">
        <v>30900</v>
      </c>
      <c r="G5328" t="s">
        <v>30907</v>
      </c>
      <c r="H5328" t="s">
        <v>30916</v>
      </c>
      <c r="I5328" t="s">
        <v>30942</v>
      </c>
      <c r="J5328" t="s">
        <v>34570</v>
      </c>
      <c r="K5328" t="s">
        <v>40289</v>
      </c>
      <c r="M5328" t="s">
        <v>42602</v>
      </c>
      <c r="N5328" t="s">
        <v>44759</v>
      </c>
      <c r="O5328" t="s">
        <v>44760</v>
      </c>
      <c r="Q5328">
        <v>1</v>
      </c>
      <c r="R5328" t="s">
        <v>44766</v>
      </c>
      <c r="S5328" t="s">
        <v>44878</v>
      </c>
      <c r="T5328" t="s">
        <v>46370</v>
      </c>
      <c r="U5328" t="s">
        <v>51379</v>
      </c>
      <c r="V5328" t="s">
        <v>59686</v>
      </c>
      <c r="W5328" t="s">
        <v>42602</v>
      </c>
      <c r="X5328" t="s">
        <v>44768</v>
      </c>
    </row>
    <row r="5329" spans="1:24">
      <c r="A5329">
        <f>HYPERLINK("https://www.philgeps.gov.ph/GEPSNONPILOT/Tender/SplashBidNoticeAbstractUI.aspx?menuIndex=3&amp;refID=7138284&amp;Result=3","7138284")</f>
        <v>0</v>
      </c>
      <c r="B5329" t="s">
        <v>523</v>
      </c>
      <c r="C5329" t="s">
        <v>8786</v>
      </c>
      <c r="D5329" t="s">
        <v>18044</v>
      </c>
      <c r="E5329" t="s">
        <v>22768</v>
      </c>
      <c r="F5329" t="s">
        <v>30900</v>
      </c>
      <c r="G5329" t="s">
        <v>30907</v>
      </c>
      <c r="H5329" t="s">
        <v>30916</v>
      </c>
      <c r="I5329" t="s">
        <v>4061</v>
      </c>
      <c r="J5329" t="s">
        <v>34571</v>
      </c>
      <c r="K5329" t="s">
        <v>40286</v>
      </c>
      <c r="M5329" t="s">
        <v>42169</v>
      </c>
      <c r="N5329" t="s">
        <v>44759</v>
      </c>
      <c r="O5329" t="s">
        <v>44760</v>
      </c>
      <c r="P5329">
        <v>0</v>
      </c>
      <c r="Q5329">
        <v>1</v>
      </c>
      <c r="R5329" t="s">
        <v>44766</v>
      </c>
      <c r="S5329" t="s">
        <v>44902</v>
      </c>
      <c r="T5329" t="s">
        <v>46377</v>
      </c>
      <c r="U5329" t="s">
        <v>51446</v>
      </c>
      <c r="W5329" t="s">
        <v>60865</v>
      </c>
      <c r="X5329" t="s">
        <v>44770</v>
      </c>
    </row>
    <row r="5330" spans="1:24">
      <c r="A5330">
        <f>HYPERLINK("https://www.philgeps.gov.ph/GEPSNONPILOT/Tender/SplashBidNoticeAbstractUI.aspx?menuIndex=3&amp;refID=7138243&amp;Result=3","7138243")</f>
        <v>0</v>
      </c>
      <c r="B5330" t="s">
        <v>523</v>
      </c>
      <c r="C5330" t="s">
        <v>8787</v>
      </c>
      <c r="D5330" t="s">
        <v>18041</v>
      </c>
      <c r="E5330" t="s">
        <v>22769</v>
      </c>
      <c r="F5330" t="s">
        <v>30900</v>
      </c>
      <c r="G5330" t="s">
        <v>30907</v>
      </c>
      <c r="H5330" t="s">
        <v>30916</v>
      </c>
      <c r="I5330" t="s">
        <v>30947</v>
      </c>
      <c r="J5330" t="s">
        <v>34572</v>
      </c>
      <c r="K5330" t="s">
        <v>40293</v>
      </c>
      <c r="M5330" t="s">
        <v>42169</v>
      </c>
      <c r="N5330" t="s">
        <v>44759</v>
      </c>
      <c r="O5330" t="s">
        <v>44760</v>
      </c>
      <c r="P5330">
        <v>0</v>
      </c>
      <c r="Q5330">
        <v>1</v>
      </c>
      <c r="R5330" t="s">
        <v>44766</v>
      </c>
      <c r="S5330" t="s">
        <v>44902</v>
      </c>
      <c r="T5330" t="s">
        <v>46401</v>
      </c>
      <c r="U5330" t="s">
        <v>51447</v>
      </c>
      <c r="W5330" t="s">
        <v>60865</v>
      </c>
      <c r="X5330" t="s">
        <v>44770</v>
      </c>
    </row>
    <row r="5331" spans="1:24">
      <c r="A5331">
        <f>HYPERLINK("https://www.philgeps.gov.ph/GEPSNONPILOT/Tender/SplashBidNoticeAbstractUI.aspx?menuIndex=3&amp;refID=7148630&amp;Result=3","7148630")</f>
        <v>0</v>
      </c>
      <c r="B5331" t="s">
        <v>1777</v>
      </c>
      <c r="C5331" t="s">
        <v>8788</v>
      </c>
      <c r="D5331" t="s">
        <v>17994</v>
      </c>
      <c r="E5331" t="s">
        <v>8788</v>
      </c>
      <c r="F5331" t="s">
        <v>30900</v>
      </c>
      <c r="G5331" t="s">
        <v>30908</v>
      </c>
      <c r="H5331" t="s">
        <v>30916</v>
      </c>
      <c r="I5331" t="s">
        <v>4108</v>
      </c>
      <c r="J5331" t="s">
        <v>31830</v>
      </c>
      <c r="K5331" t="s">
        <v>40286</v>
      </c>
      <c r="M5331" t="s">
        <v>42451</v>
      </c>
      <c r="N5331" t="s">
        <v>44759</v>
      </c>
      <c r="O5331" t="s">
        <v>44760</v>
      </c>
      <c r="P5331">
        <v>0</v>
      </c>
      <c r="Q5331">
        <v>0</v>
      </c>
      <c r="R5331" t="s">
        <v>44764</v>
      </c>
      <c r="S5331" t="s">
        <v>44889</v>
      </c>
      <c r="T5331" t="s">
        <v>46612</v>
      </c>
      <c r="U5331" t="s">
        <v>51448</v>
      </c>
      <c r="W5331" t="s">
        <v>42451</v>
      </c>
      <c r="X5331" t="s">
        <v>44765</v>
      </c>
    </row>
    <row r="5332" spans="1:24">
      <c r="A5332">
        <f>HYPERLINK("https://www.philgeps.gov.ph/GEPSNONPILOT/Tender/SplashBidNoticeAbstractUI.aspx?menuIndex=3&amp;refID=7148629&amp;Result=3","7148629")</f>
        <v>0</v>
      </c>
      <c r="B5332" t="s">
        <v>1777</v>
      </c>
      <c r="C5332" t="s">
        <v>8789</v>
      </c>
      <c r="D5332" t="s">
        <v>17994</v>
      </c>
      <c r="E5332" t="s">
        <v>8789</v>
      </c>
      <c r="F5332" t="s">
        <v>30900</v>
      </c>
      <c r="G5332" t="s">
        <v>30906</v>
      </c>
      <c r="H5332" t="s">
        <v>30916</v>
      </c>
      <c r="I5332" t="s">
        <v>5830</v>
      </c>
      <c r="J5332" t="s">
        <v>34573</v>
      </c>
      <c r="K5332" t="s">
        <v>40286</v>
      </c>
      <c r="M5332" t="s">
        <v>42451</v>
      </c>
      <c r="N5332" t="s">
        <v>44759</v>
      </c>
      <c r="O5332" t="s">
        <v>44760</v>
      </c>
      <c r="P5332">
        <v>0</v>
      </c>
      <c r="Q5332">
        <v>1</v>
      </c>
      <c r="R5332" t="s">
        <v>44764</v>
      </c>
      <c r="S5332" t="s">
        <v>44889</v>
      </c>
      <c r="T5332" t="s">
        <v>46612</v>
      </c>
      <c r="U5332" t="s">
        <v>51449</v>
      </c>
      <c r="W5332" t="s">
        <v>42451</v>
      </c>
      <c r="X5332" t="s">
        <v>44765</v>
      </c>
    </row>
    <row r="5333" spans="1:24">
      <c r="A5333">
        <f>HYPERLINK("https://www.philgeps.gov.ph/GEPSNONPILOT/Tender/SplashBidNoticeAbstractUI.aspx?menuIndex=3&amp;refID=7149107&amp;Result=3","7149107")</f>
        <v>0</v>
      </c>
      <c r="B5333" t="s">
        <v>1162</v>
      </c>
      <c r="C5333" t="s">
        <v>8790</v>
      </c>
      <c r="E5333" t="s">
        <v>22770</v>
      </c>
      <c r="F5333" t="s">
        <v>30900</v>
      </c>
      <c r="G5333" t="s">
        <v>30910</v>
      </c>
      <c r="H5333" t="s">
        <v>30916</v>
      </c>
      <c r="I5333" t="s">
        <v>30926</v>
      </c>
      <c r="J5333" t="s">
        <v>34574</v>
      </c>
      <c r="K5333" t="s">
        <v>40287</v>
      </c>
      <c r="M5333" t="s">
        <v>42406</v>
      </c>
      <c r="N5333" t="s">
        <v>44759</v>
      </c>
      <c r="O5333" t="s">
        <v>44760</v>
      </c>
      <c r="P5333">
        <v>0</v>
      </c>
      <c r="Q5333">
        <v>2</v>
      </c>
      <c r="R5333" t="s">
        <v>44763</v>
      </c>
      <c r="S5333" t="s">
        <v>44876</v>
      </c>
      <c r="T5333" t="s">
        <v>46403</v>
      </c>
      <c r="U5333" t="s">
        <v>51450</v>
      </c>
      <c r="V5333" t="s">
        <v>59610</v>
      </c>
      <c r="W5333" t="s">
        <v>42406</v>
      </c>
      <c r="X5333" t="s">
        <v>44764</v>
      </c>
    </row>
    <row r="5334" spans="1:24">
      <c r="A5334">
        <f>HYPERLINK("https://www.philgeps.gov.ph/GEPSNONPILOT/Tender/SplashBidNoticeAbstractUI.aspx?menuIndex=3&amp;refID=7149106&amp;Result=3","7149106")</f>
        <v>0</v>
      </c>
      <c r="B5334" t="s">
        <v>1718</v>
      </c>
      <c r="C5334" t="s">
        <v>8791</v>
      </c>
      <c r="D5334" t="s">
        <v>18002</v>
      </c>
      <c r="E5334" t="s">
        <v>22351</v>
      </c>
      <c r="F5334" t="s">
        <v>30900</v>
      </c>
      <c r="G5334" t="s">
        <v>30908</v>
      </c>
      <c r="H5334" t="s">
        <v>30916</v>
      </c>
      <c r="I5334" t="s">
        <v>9385</v>
      </c>
      <c r="J5334" t="s">
        <v>31495</v>
      </c>
      <c r="K5334" t="s">
        <v>40293</v>
      </c>
      <c r="M5334" t="s">
        <v>42382</v>
      </c>
      <c r="N5334" t="s">
        <v>44759</v>
      </c>
      <c r="O5334" t="s">
        <v>44760</v>
      </c>
      <c r="P5334">
        <v>0</v>
      </c>
      <c r="Q5334">
        <v>5</v>
      </c>
      <c r="R5334" t="s">
        <v>44763</v>
      </c>
      <c r="S5334" t="s">
        <v>44876</v>
      </c>
      <c r="T5334" t="s">
        <v>46469</v>
      </c>
      <c r="U5334" t="s">
        <v>51451</v>
      </c>
      <c r="W5334" t="s">
        <v>42382</v>
      </c>
      <c r="X5334" t="s">
        <v>44764</v>
      </c>
    </row>
    <row r="5335" spans="1:24">
      <c r="A5335">
        <f>HYPERLINK("https://www.philgeps.gov.ph/GEPSNONPILOT/Tender/SplashBidNoticeAbstractUI.aspx?menuIndex=3&amp;refID=7149105&amp;Result=3","7149105")</f>
        <v>0</v>
      </c>
      <c r="B5335" t="s">
        <v>1628</v>
      </c>
      <c r="C5335" t="s">
        <v>8792</v>
      </c>
      <c r="D5335" t="s">
        <v>18000</v>
      </c>
      <c r="E5335" t="s">
        <v>22771</v>
      </c>
      <c r="F5335" t="s">
        <v>30900</v>
      </c>
      <c r="G5335" t="s">
        <v>30908</v>
      </c>
      <c r="H5335" t="s">
        <v>30916</v>
      </c>
      <c r="I5335" t="s">
        <v>8123</v>
      </c>
      <c r="J5335" t="s">
        <v>34575</v>
      </c>
      <c r="K5335" t="s">
        <v>40291</v>
      </c>
      <c r="M5335" t="s">
        <v>42280</v>
      </c>
      <c r="N5335" t="s">
        <v>44759</v>
      </c>
      <c r="O5335" t="s">
        <v>44760</v>
      </c>
      <c r="P5335">
        <v>0</v>
      </c>
      <c r="Q5335">
        <v>0</v>
      </c>
      <c r="R5335" t="s">
        <v>44763</v>
      </c>
      <c r="S5335" t="s">
        <v>44876</v>
      </c>
      <c r="T5335" t="s">
        <v>46399</v>
      </c>
      <c r="U5335" t="s">
        <v>51452</v>
      </c>
      <c r="W5335" t="s">
        <v>42280</v>
      </c>
      <c r="X5335" t="s">
        <v>44764</v>
      </c>
    </row>
    <row r="5336" spans="1:24">
      <c r="A5336">
        <f>HYPERLINK("https://www.philgeps.gov.ph/GEPSNONPILOT/Tender/SplashBidNoticeAbstractUI.aspx?menuIndex=3&amp;refID=7149084&amp;Result=3","7149084")</f>
        <v>0</v>
      </c>
      <c r="B5336" t="s">
        <v>1956</v>
      </c>
      <c r="C5336" t="s">
        <v>8793</v>
      </c>
      <c r="D5336" t="s">
        <v>17973</v>
      </c>
      <c r="E5336" t="s">
        <v>22772</v>
      </c>
      <c r="F5336" t="s">
        <v>30900</v>
      </c>
      <c r="G5336" t="s">
        <v>30908</v>
      </c>
      <c r="H5336" t="s">
        <v>30916</v>
      </c>
      <c r="I5336" t="s">
        <v>30941</v>
      </c>
      <c r="J5336" t="s">
        <v>32658</v>
      </c>
      <c r="K5336" t="s">
        <v>40285</v>
      </c>
      <c r="M5336" t="s">
        <v>42640</v>
      </c>
      <c r="N5336" t="s">
        <v>44759</v>
      </c>
      <c r="O5336" t="s">
        <v>44760</v>
      </c>
      <c r="P5336">
        <v>0</v>
      </c>
      <c r="Q5336">
        <v>0</v>
      </c>
      <c r="R5336" t="s">
        <v>44763</v>
      </c>
      <c r="S5336" t="s">
        <v>44876</v>
      </c>
      <c r="T5336" t="s">
        <v>46711</v>
      </c>
      <c r="U5336" t="s">
        <v>51453</v>
      </c>
      <c r="W5336" t="s">
        <v>42640</v>
      </c>
      <c r="X5336" t="s">
        <v>44764</v>
      </c>
    </row>
    <row r="5337" spans="1:24">
      <c r="A5337">
        <f>HYPERLINK("https://www.philgeps.gov.ph/GEPSNONPILOT/Tender/SplashBidNoticeAbstractUI.aspx?menuIndex=3&amp;refID=7145126&amp;Result=3","7145126")</f>
        <v>0</v>
      </c>
      <c r="B5337" t="s">
        <v>1905</v>
      </c>
      <c r="C5337" t="s">
        <v>8794</v>
      </c>
      <c r="D5337" t="s">
        <v>18002</v>
      </c>
      <c r="E5337" t="s">
        <v>22773</v>
      </c>
      <c r="F5337" t="s">
        <v>30900</v>
      </c>
      <c r="G5337" t="s">
        <v>30908</v>
      </c>
      <c r="H5337" t="s">
        <v>30916</v>
      </c>
      <c r="I5337" t="s">
        <v>30960</v>
      </c>
      <c r="J5337" t="s">
        <v>34576</v>
      </c>
      <c r="K5337" t="s">
        <v>40294</v>
      </c>
      <c r="M5337" t="s">
        <v>42582</v>
      </c>
      <c r="N5337" t="s">
        <v>44759</v>
      </c>
      <c r="O5337" t="s">
        <v>44760</v>
      </c>
      <c r="P5337">
        <v>0</v>
      </c>
      <c r="Q5337">
        <v>5</v>
      </c>
      <c r="R5337" t="s">
        <v>44766</v>
      </c>
      <c r="S5337" t="s">
        <v>44902</v>
      </c>
      <c r="T5337" t="s">
        <v>46658</v>
      </c>
      <c r="U5337" t="s">
        <v>51454</v>
      </c>
      <c r="V5337" t="s">
        <v>59664</v>
      </c>
      <c r="W5337" t="s">
        <v>42582</v>
      </c>
      <c r="X5337" t="s">
        <v>44768</v>
      </c>
    </row>
    <row r="5338" spans="1:24">
      <c r="A5338">
        <f>HYPERLINK("https://www.philgeps.gov.ph/GEPSNONPILOT/Tender/SplashBidNoticeAbstractUI.aspx?menuIndex=3&amp;refID=7148631&amp;Result=3","7148631")</f>
        <v>0</v>
      </c>
      <c r="B5338" t="s">
        <v>1777</v>
      </c>
      <c r="C5338" t="s">
        <v>8795</v>
      </c>
      <c r="D5338" t="s">
        <v>17994</v>
      </c>
      <c r="E5338" t="s">
        <v>8795</v>
      </c>
      <c r="F5338" t="s">
        <v>30900</v>
      </c>
      <c r="G5338" t="s">
        <v>30908</v>
      </c>
      <c r="H5338" t="s">
        <v>30916</v>
      </c>
      <c r="I5338" t="s">
        <v>10602</v>
      </c>
      <c r="J5338" t="s">
        <v>31135</v>
      </c>
      <c r="K5338" t="s">
        <v>40281</v>
      </c>
      <c r="M5338" t="s">
        <v>42451</v>
      </c>
      <c r="N5338" t="s">
        <v>44759</v>
      </c>
      <c r="O5338" t="s">
        <v>44760</v>
      </c>
      <c r="P5338">
        <v>0</v>
      </c>
      <c r="Q5338">
        <v>0</v>
      </c>
      <c r="R5338" t="s">
        <v>44764</v>
      </c>
      <c r="S5338" t="s">
        <v>44889</v>
      </c>
      <c r="T5338" t="s">
        <v>46612</v>
      </c>
      <c r="U5338" t="s">
        <v>51455</v>
      </c>
      <c r="W5338" t="s">
        <v>42451</v>
      </c>
      <c r="X5338" t="s">
        <v>44765</v>
      </c>
    </row>
    <row r="5339" spans="1:24">
      <c r="A5339">
        <f>HYPERLINK("https://www.philgeps.gov.ph/GEPSNONPILOT/Tender/SplashBidNoticeAbstractUI.aspx?menuIndex=3&amp;refID=7149083&amp;Result=3","7149083")</f>
        <v>0</v>
      </c>
      <c r="B5339" t="s">
        <v>1739</v>
      </c>
      <c r="C5339" t="s">
        <v>8796</v>
      </c>
      <c r="D5339" t="s">
        <v>17966</v>
      </c>
      <c r="E5339" t="s">
        <v>22774</v>
      </c>
      <c r="F5339" t="s">
        <v>30900</v>
      </c>
      <c r="G5339" t="s">
        <v>30907</v>
      </c>
      <c r="H5339" t="s">
        <v>30915</v>
      </c>
      <c r="I5339" t="s">
        <v>30919</v>
      </c>
      <c r="J5339" t="s">
        <v>34577</v>
      </c>
      <c r="K5339" t="s">
        <v>40341</v>
      </c>
      <c r="M5339" t="s">
        <v>42407</v>
      </c>
      <c r="N5339" t="s">
        <v>44759</v>
      </c>
      <c r="O5339" t="s">
        <v>44760</v>
      </c>
      <c r="P5339">
        <v>0</v>
      </c>
      <c r="Q5339">
        <v>0</v>
      </c>
      <c r="R5339" t="s">
        <v>44763</v>
      </c>
      <c r="S5339" t="s">
        <v>44876</v>
      </c>
      <c r="T5339" t="s">
        <v>46405</v>
      </c>
      <c r="U5339" t="s">
        <v>51456</v>
      </c>
      <c r="W5339" t="s">
        <v>42407</v>
      </c>
      <c r="X5339" t="s">
        <v>44764</v>
      </c>
    </row>
    <row r="5340" spans="1:24">
      <c r="A5340">
        <f>HYPERLINK("https://www.philgeps.gov.ph/GEPSNONPILOT/Tender/SplashBidNoticeAbstractUI.aspx?menuIndex=3&amp;refID=7149081&amp;Result=3","7149081")</f>
        <v>0</v>
      </c>
      <c r="B5340" t="s">
        <v>1162</v>
      </c>
      <c r="C5340" t="s">
        <v>8797</v>
      </c>
      <c r="E5340" t="s">
        <v>22775</v>
      </c>
      <c r="F5340" t="s">
        <v>30900</v>
      </c>
      <c r="G5340" t="s">
        <v>30908</v>
      </c>
      <c r="H5340" t="s">
        <v>30916</v>
      </c>
      <c r="I5340" t="s">
        <v>30923</v>
      </c>
      <c r="J5340" t="s">
        <v>34578</v>
      </c>
      <c r="K5340" t="s">
        <v>40287</v>
      </c>
      <c r="M5340" t="s">
        <v>42406</v>
      </c>
      <c r="N5340" t="s">
        <v>44759</v>
      </c>
      <c r="O5340" t="s">
        <v>44760</v>
      </c>
      <c r="P5340">
        <v>0</v>
      </c>
      <c r="Q5340">
        <v>6</v>
      </c>
      <c r="R5340" t="s">
        <v>44763</v>
      </c>
      <c r="S5340" t="s">
        <v>44876</v>
      </c>
      <c r="T5340" t="s">
        <v>46641</v>
      </c>
      <c r="U5340" t="s">
        <v>51457</v>
      </c>
      <c r="V5340" t="s">
        <v>59610</v>
      </c>
      <c r="W5340" t="s">
        <v>42406</v>
      </c>
      <c r="X5340" t="s">
        <v>44764</v>
      </c>
    </row>
    <row r="5341" spans="1:24">
      <c r="A5341">
        <f>HYPERLINK("https://www.philgeps.gov.ph/GEPSNONPILOT/Tender/SplashBidNoticeAbstractUI.aspx?menuIndex=3&amp;refID=7143809&amp;Result=3","7143809")</f>
        <v>0</v>
      </c>
      <c r="B5341" t="s">
        <v>1321</v>
      </c>
      <c r="C5341" t="s">
        <v>8798</v>
      </c>
      <c r="D5341" t="s">
        <v>17976</v>
      </c>
      <c r="E5341" t="s">
        <v>22776</v>
      </c>
      <c r="F5341" t="s">
        <v>30900</v>
      </c>
      <c r="G5341" t="s">
        <v>30907</v>
      </c>
      <c r="H5341" t="s">
        <v>30916</v>
      </c>
      <c r="I5341" t="s">
        <v>30922</v>
      </c>
      <c r="J5341" t="s">
        <v>34579</v>
      </c>
      <c r="K5341" t="s">
        <v>40283</v>
      </c>
      <c r="M5341" t="s">
        <v>41940</v>
      </c>
      <c r="N5341" t="s">
        <v>44759</v>
      </c>
      <c r="O5341" t="s">
        <v>44760</v>
      </c>
      <c r="P5341">
        <v>0</v>
      </c>
      <c r="Q5341">
        <v>1</v>
      </c>
      <c r="R5341" t="s">
        <v>44766</v>
      </c>
      <c r="S5341" t="s">
        <v>44902</v>
      </c>
      <c r="T5341" t="s">
        <v>46497</v>
      </c>
      <c r="U5341" t="s">
        <v>51458</v>
      </c>
      <c r="W5341" t="s">
        <v>41940</v>
      </c>
      <c r="X5341" t="s">
        <v>44768</v>
      </c>
    </row>
    <row r="5342" spans="1:24">
      <c r="A5342">
        <f>HYPERLINK("https://www.philgeps.gov.ph/GEPSNONPILOT/Tender/SplashBidNoticeAbstractUI.aspx?menuIndex=3&amp;refID=7138737&amp;Result=3","7138737")</f>
        <v>0</v>
      </c>
      <c r="B5342" t="s">
        <v>1275</v>
      </c>
      <c r="C5342" t="s">
        <v>8799</v>
      </c>
      <c r="D5342" t="s">
        <v>17980</v>
      </c>
      <c r="E5342" t="s">
        <v>22777</v>
      </c>
      <c r="F5342" t="s">
        <v>30900</v>
      </c>
      <c r="G5342" t="s">
        <v>30907</v>
      </c>
      <c r="H5342" t="s">
        <v>30915</v>
      </c>
      <c r="I5342" t="s">
        <v>30919</v>
      </c>
      <c r="J5342" t="s">
        <v>34580</v>
      </c>
      <c r="K5342" t="s">
        <v>40292</v>
      </c>
      <c r="M5342" t="s">
        <v>41891</v>
      </c>
      <c r="N5342" t="s">
        <v>44759</v>
      </c>
      <c r="O5342" t="s">
        <v>44760</v>
      </c>
      <c r="P5342">
        <v>0</v>
      </c>
      <c r="Q5342">
        <v>0</v>
      </c>
      <c r="R5342" t="s">
        <v>44766</v>
      </c>
      <c r="S5342" t="s">
        <v>44902</v>
      </c>
      <c r="T5342" t="s">
        <v>46363</v>
      </c>
      <c r="U5342" t="s">
        <v>51459</v>
      </c>
      <c r="W5342" t="s">
        <v>41891</v>
      </c>
      <c r="X5342" t="s">
        <v>44770</v>
      </c>
    </row>
    <row r="5343" spans="1:24">
      <c r="A5343">
        <f>HYPERLINK("https://www.philgeps.gov.ph/GEPSNONPILOT/Tender/SplashBidNoticeAbstractUI.aspx?menuIndex=3&amp;refID=7149085&amp;Result=3","7149085")</f>
        <v>0</v>
      </c>
      <c r="B5343" t="s">
        <v>1162</v>
      </c>
      <c r="C5343" t="s">
        <v>8800</v>
      </c>
      <c r="E5343" t="s">
        <v>22778</v>
      </c>
      <c r="F5343" t="s">
        <v>30900</v>
      </c>
      <c r="G5343" t="s">
        <v>30908</v>
      </c>
      <c r="H5343" t="s">
        <v>30916</v>
      </c>
      <c r="I5343" t="s">
        <v>8365</v>
      </c>
      <c r="J5343" t="s">
        <v>31112</v>
      </c>
      <c r="K5343" t="s">
        <v>40287</v>
      </c>
      <c r="M5343" t="s">
        <v>42406</v>
      </c>
      <c r="N5343" t="s">
        <v>44759</v>
      </c>
      <c r="O5343" t="s">
        <v>44760</v>
      </c>
      <c r="P5343">
        <v>0</v>
      </c>
      <c r="Q5343">
        <v>0</v>
      </c>
      <c r="R5343" t="s">
        <v>44763</v>
      </c>
      <c r="S5343" t="s">
        <v>44876</v>
      </c>
      <c r="T5343" t="s">
        <v>46641</v>
      </c>
      <c r="U5343" t="s">
        <v>51460</v>
      </c>
      <c r="V5343" t="s">
        <v>59610</v>
      </c>
      <c r="W5343" t="s">
        <v>42406</v>
      </c>
      <c r="X5343" t="s">
        <v>44764</v>
      </c>
    </row>
    <row r="5344" spans="1:24">
      <c r="A5344">
        <f>HYPERLINK("https://www.philgeps.gov.ph/GEPSNONPILOT/Tender/SplashBidNoticeAbstractUI.aspx?menuIndex=3&amp;refID=7145472&amp;Result=3","7145472")</f>
        <v>0</v>
      </c>
      <c r="B5344" t="s">
        <v>1957</v>
      </c>
      <c r="C5344" t="s">
        <v>8801</v>
      </c>
      <c r="D5344" t="s">
        <v>17994</v>
      </c>
      <c r="E5344" t="s">
        <v>22779</v>
      </c>
      <c r="F5344" t="s">
        <v>30900</v>
      </c>
      <c r="G5344" t="s">
        <v>30907</v>
      </c>
      <c r="H5344" t="s">
        <v>30916</v>
      </c>
      <c r="I5344" t="s">
        <v>8123</v>
      </c>
      <c r="J5344" t="s">
        <v>34581</v>
      </c>
      <c r="K5344" t="s">
        <v>40283</v>
      </c>
      <c r="M5344" t="s">
        <v>42641</v>
      </c>
      <c r="N5344" t="s">
        <v>44759</v>
      </c>
      <c r="O5344" t="s">
        <v>44760</v>
      </c>
      <c r="P5344">
        <v>0</v>
      </c>
      <c r="Q5344">
        <v>0</v>
      </c>
      <c r="R5344" t="s">
        <v>44766</v>
      </c>
      <c r="S5344" t="s">
        <v>44902</v>
      </c>
      <c r="T5344" t="s">
        <v>46712</v>
      </c>
      <c r="U5344" t="s">
        <v>51461</v>
      </c>
      <c r="W5344" t="s">
        <v>42641</v>
      </c>
      <c r="X5344" t="s">
        <v>44767</v>
      </c>
    </row>
    <row r="5345" spans="1:24">
      <c r="A5345">
        <f>HYPERLINK("https://www.philgeps.gov.ph/GEPSNONPILOT/Tender/SplashBidNoticeAbstractUI.aspx?menuIndex=3&amp;refID=7145471&amp;Result=3","7145471")</f>
        <v>0</v>
      </c>
      <c r="B5345" t="s">
        <v>1958</v>
      </c>
      <c r="C5345" t="s">
        <v>8802</v>
      </c>
      <c r="E5345" t="s">
        <v>22780</v>
      </c>
      <c r="F5345" t="s">
        <v>30900</v>
      </c>
      <c r="G5345" t="s">
        <v>30907</v>
      </c>
      <c r="H5345" t="s">
        <v>30916</v>
      </c>
      <c r="I5345" t="s">
        <v>30919</v>
      </c>
      <c r="J5345" t="s">
        <v>31049</v>
      </c>
      <c r="K5345" t="s">
        <v>40289</v>
      </c>
      <c r="M5345" t="s">
        <v>42642</v>
      </c>
      <c r="N5345" t="s">
        <v>44759</v>
      </c>
      <c r="O5345" t="s">
        <v>44760</v>
      </c>
      <c r="P5345">
        <v>0</v>
      </c>
      <c r="Q5345">
        <v>0</v>
      </c>
      <c r="R5345" t="s">
        <v>44766</v>
      </c>
      <c r="S5345" t="s">
        <v>44902</v>
      </c>
      <c r="T5345" t="s">
        <v>46455</v>
      </c>
      <c r="U5345" t="s">
        <v>51462</v>
      </c>
      <c r="W5345" t="s">
        <v>42642</v>
      </c>
      <c r="X5345" t="s">
        <v>44767</v>
      </c>
    </row>
    <row r="5346" spans="1:24">
      <c r="A5346">
        <f>HYPERLINK("https://www.philgeps.gov.ph/GEPSNONPILOT/Tender/SplashBidNoticeAbstractUI.aspx?menuIndex=3&amp;refID=7145470&amp;Result=3","7145470")</f>
        <v>0</v>
      </c>
      <c r="B5346" t="s">
        <v>1959</v>
      </c>
      <c r="C5346" t="s">
        <v>8803</v>
      </c>
      <c r="D5346" t="s">
        <v>17972</v>
      </c>
      <c r="E5346" t="s">
        <v>22781</v>
      </c>
      <c r="F5346" t="s">
        <v>30900</v>
      </c>
      <c r="G5346" t="s">
        <v>30908</v>
      </c>
      <c r="H5346" t="s">
        <v>30916</v>
      </c>
      <c r="I5346" t="s">
        <v>8123</v>
      </c>
      <c r="J5346" t="s">
        <v>34582</v>
      </c>
      <c r="K5346" t="s">
        <v>40287</v>
      </c>
      <c r="M5346" t="s">
        <v>42643</v>
      </c>
      <c r="N5346" t="s">
        <v>44759</v>
      </c>
      <c r="O5346" t="s">
        <v>44760</v>
      </c>
      <c r="P5346">
        <v>0</v>
      </c>
      <c r="Q5346">
        <v>0</v>
      </c>
      <c r="R5346" t="s">
        <v>44766</v>
      </c>
      <c r="S5346" t="s">
        <v>44902</v>
      </c>
      <c r="T5346" t="s">
        <v>46363</v>
      </c>
      <c r="U5346" t="s">
        <v>51463</v>
      </c>
      <c r="W5346" t="s">
        <v>42643</v>
      </c>
      <c r="X5346" t="s">
        <v>44767</v>
      </c>
    </row>
    <row r="5347" spans="1:24">
      <c r="A5347">
        <f>HYPERLINK("https://www.philgeps.gov.ph/GEPSNONPILOT/Tender/SplashBidNoticeAbstractUI.aspx?menuIndex=3&amp;refID=7145469&amp;Result=3","7145469")</f>
        <v>0</v>
      </c>
      <c r="B5347" t="s">
        <v>1960</v>
      </c>
      <c r="C5347" t="s">
        <v>8804</v>
      </c>
      <c r="D5347" t="s">
        <v>17975</v>
      </c>
      <c r="E5347" t="s">
        <v>22782</v>
      </c>
      <c r="F5347" t="s">
        <v>30900</v>
      </c>
      <c r="G5347" t="s">
        <v>30907</v>
      </c>
      <c r="H5347" t="s">
        <v>30915</v>
      </c>
      <c r="I5347" t="s">
        <v>30919</v>
      </c>
      <c r="J5347" t="s">
        <v>34583</v>
      </c>
      <c r="K5347" t="s">
        <v>40295</v>
      </c>
      <c r="M5347" t="s">
        <v>42644</v>
      </c>
      <c r="N5347" t="s">
        <v>44759</v>
      </c>
      <c r="O5347" t="s">
        <v>44760</v>
      </c>
      <c r="P5347">
        <v>0</v>
      </c>
      <c r="Q5347">
        <v>0</v>
      </c>
      <c r="R5347" t="s">
        <v>44766</v>
      </c>
      <c r="S5347" t="s">
        <v>44902</v>
      </c>
      <c r="T5347" t="s">
        <v>46497</v>
      </c>
      <c r="U5347" t="s">
        <v>51464</v>
      </c>
      <c r="W5347" t="s">
        <v>42644</v>
      </c>
      <c r="X5347" t="s">
        <v>44767</v>
      </c>
    </row>
    <row r="5348" spans="1:24">
      <c r="A5348">
        <f>HYPERLINK("https://www.philgeps.gov.ph/GEPSNONPILOT/Tender/SplashBidNoticeAbstractUI.aspx?menuIndex=3&amp;refID=7145460&amp;Result=3","7145460")</f>
        <v>0</v>
      </c>
      <c r="B5348" t="s">
        <v>758</v>
      </c>
      <c r="C5348" t="s">
        <v>8805</v>
      </c>
      <c r="D5348" t="s">
        <v>17998</v>
      </c>
      <c r="E5348" t="s">
        <v>22783</v>
      </c>
      <c r="F5348" t="s">
        <v>30900</v>
      </c>
      <c r="G5348" t="s">
        <v>30908</v>
      </c>
      <c r="H5348" t="s">
        <v>30916</v>
      </c>
      <c r="I5348" t="s">
        <v>30921</v>
      </c>
      <c r="J5348" t="s">
        <v>33767</v>
      </c>
      <c r="K5348" t="s">
        <v>40289</v>
      </c>
      <c r="M5348" t="s">
        <v>41323</v>
      </c>
      <c r="N5348" t="s">
        <v>44759</v>
      </c>
      <c r="O5348" t="s">
        <v>44760</v>
      </c>
      <c r="P5348">
        <v>0</v>
      </c>
      <c r="Q5348">
        <v>1</v>
      </c>
      <c r="R5348" t="s">
        <v>44766</v>
      </c>
      <c r="S5348" t="s">
        <v>44902</v>
      </c>
      <c r="T5348" t="s">
        <v>46398</v>
      </c>
      <c r="U5348" t="s">
        <v>51465</v>
      </c>
      <c r="W5348" t="s">
        <v>41323</v>
      </c>
      <c r="X5348" t="s">
        <v>44767</v>
      </c>
    </row>
    <row r="5349" spans="1:24">
      <c r="A5349">
        <f>HYPERLINK("https://www.philgeps.gov.ph/GEPSNONPILOT/Tender/SplashBidNoticeAbstractUI.aspx?menuIndex=3&amp;refID=7145456&amp;Result=3","7145456")</f>
        <v>0</v>
      </c>
      <c r="B5349" t="s">
        <v>1959</v>
      </c>
      <c r="C5349" t="s">
        <v>8806</v>
      </c>
      <c r="D5349" t="s">
        <v>17972</v>
      </c>
      <c r="E5349" t="s">
        <v>22784</v>
      </c>
      <c r="F5349" t="s">
        <v>30900</v>
      </c>
      <c r="G5349" t="s">
        <v>30908</v>
      </c>
      <c r="H5349" t="s">
        <v>30916</v>
      </c>
      <c r="I5349" t="s">
        <v>30926</v>
      </c>
      <c r="J5349" t="s">
        <v>34584</v>
      </c>
      <c r="K5349" t="s">
        <v>40287</v>
      </c>
      <c r="M5349" t="s">
        <v>42643</v>
      </c>
      <c r="N5349" t="s">
        <v>44759</v>
      </c>
      <c r="O5349" t="s">
        <v>44760</v>
      </c>
      <c r="P5349">
        <v>0</v>
      </c>
      <c r="Q5349">
        <v>0</v>
      </c>
      <c r="R5349" t="s">
        <v>44766</v>
      </c>
      <c r="S5349" t="s">
        <v>44902</v>
      </c>
      <c r="T5349" t="s">
        <v>46363</v>
      </c>
      <c r="U5349" t="s">
        <v>51466</v>
      </c>
      <c r="W5349" t="s">
        <v>42643</v>
      </c>
      <c r="X5349" t="s">
        <v>44767</v>
      </c>
    </row>
    <row r="5350" spans="1:24">
      <c r="A5350">
        <f>HYPERLINK("https://www.philgeps.gov.ph/GEPSNONPILOT/Tender/SplashBidNoticeAbstractUI.aspx?menuIndex=3&amp;refID=7145451&amp;Result=3","7145451")</f>
        <v>0</v>
      </c>
      <c r="B5350" t="s">
        <v>1961</v>
      </c>
      <c r="C5350" t="s">
        <v>8807</v>
      </c>
      <c r="D5350" t="s">
        <v>17982</v>
      </c>
      <c r="E5350" t="s">
        <v>22785</v>
      </c>
      <c r="F5350" t="s">
        <v>30900</v>
      </c>
      <c r="G5350" t="s">
        <v>30907</v>
      </c>
      <c r="H5350" t="s">
        <v>30916</v>
      </c>
      <c r="I5350" t="s">
        <v>31024</v>
      </c>
      <c r="J5350" t="s">
        <v>34585</v>
      </c>
      <c r="K5350" t="s">
        <v>40280</v>
      </c>
      <c r="M5350" t="s">
        <v>42645</v>
      </c>
      <c r="N5350" t="s">
        <v>44759</v>
      </c>
      <c r="O5350" t="s">
        <v>44760</v>
      </c>
      <c r="P5350">
        <v>0</v>
      </c>
      <c r="Q5350">
        <v>2</v>
      </c>
      <c r="R5350" t="s">
        <v>44766</v>
      </c>
      <c r="S5350" t="s">
        <v>44902</v>
      </c>
      <c r="T5350" t="s">
        <v>46713</v>
      </c>
      <c r="U5350" t="s">
        <v>51467</v>
      </c>
      <c r="W5350" t="s">
        <v>42645</v>
      </c>
      <c r="X5350" t="s">
        <v>44767</v>
      </c>
    </row>
    <row r="5351" spans="1:24">
      <c r="A5351">
        <f>HYPERLINK("https://www.philgeps.gov.ph/GEPSNONPILOT/Tender/SplashBidNoticeAbstractUI.aspx?menuIndex=3&amp;refID=7145446&amp;Result=3","7145446")</f>
        <v>0</v>
      </c>
      <c r="B5351" t="s">
        <v>1962</v>
      </c>
      <c r="C5351" t="s">
        <v>8808</v>
      </c>
      <c r="D5351" t="s">
        <v>17978</v>
      </c>
      <c r="E5351" t="s">
        <v>22786</v>
      </c>
      <c r="F5351" t="s">
        <v>30900</v>
      </c>
      <c r="G5351" t="s">
        <v>30908</v>
      </c>
      <c r="H5351" t="s">
        <v>30915</v>
      </c>
      <c r="I5351" t="s">
        <v>30919</v>
      </c>
      <c r="J5351" t="s">
        <v>31096</v>
      </c>
      <c r="K5351" t="s">
        <v>40289</v>
      </c>
      <c r="M5351" t="s">
        <v>42646</v>
      </c>
      <c r="N5351" t="s">
        <v>44759</v>
      </c>
      <c r="O5351" t="s">
        <v>44760</v>
      </c>
      <c r="P5351">
        <v>0</v>
      </c>
      <c r="Q5351">
        <v>1</v>
      </c>
      <c r="R5351" t="s">
        <v>44766</v>
      </c>
      <c r="S5351" t="s">
        <v>44902</v>
      </c>
      <c r="T5351" t="s">
        <v>46457</v>
      </c>
      <c r="U5351" t="s">
        <v>51468</v>
      </c>
      <c r="W5351" t="s">
        <v>42646</v>
      </c>
      <c r="X5351" t="s">
        <v>44767</v>
      </c>
    </row>
    <row r="5352" spans="1:24">
      <c r="A5352">
        <f>HYPERLINK("https://www.philgeps.gov.ph/GEPSNONPILOT/Tender/SplashBidNoticeAbstractUI.aspx?menuIndex=3&amp;refID=7145445&amp;Result=3","7145445")</f>
        <v>0</v>
      </c>
      <c r="B5352" t="s">
        <v>1963</v>
      </c>
      <c r="C5352" t="s">
        <v>8809</v>
      </c>
      <c r="D5352" t="s">
        <v>18018</v>
      </c>
      <c r="E5352" t="s">
        <v>22787</v>
      </c>
      <c r="F5352" t="s">
        <v>30900</v>
      </c>
      <c r="G5352" t="s">
        <v>30907</v>
      </c>
      <c r="H5352" t="s">
        <v>30915</v>
      </c>
      <c r="I5352" t="s">
        <v>30919</v>
      </c>
      <c r="J5352" t="s">
        <v>34586</v>
      </c>
      <c r="K5352" t="s">
        <v>40342</v>
      </c>
      <c r="M5352" t="s">
        <v>42647</v>
      </c>
      <c r="N5352" t="s">
        <v>44759</v>
      </c>
      <c r="O5352" t="s">
        <v>44760</v>
      </c>
      <c r="P5352">
        <v>0</v>
      </c>
      <c r="Q5352">
        <v>0</v>
      </c>
      <c r="R5352" t="s">
        <v>44766</v>
      </c>
      <c r="S5352" t="s">
        <v>44902</v>
      </c>
      <c r="T5352" t="s">
        <v>46366</v>
      </c>
      <c r="U5352" t="s">
        <v>51469</v>
      </c>
      <c r="W5352" t="s">
        <v>42647</v>
      </c>
      <c r="X5352" t="s">
        <v>44767</v>
      </c>
    </row>
    <row r="5353" spans="1:24">
      <c r="A5353">
        <f>HYPERLINK("https://www.philgeps.gov.ph/GEPSNONPILOT/Tender/SplashBidNoticeAbstractUI.aspx?menuIndex=3&amp;refID=7149082&amp;Result=3","7149082")</f>
        <v>0</v>
      </c>
      <c r="B5353" t="s">
        <v>1964</v>
      </c>
      <c r="C5353" t="s">
        <v>8810</v>
      </c>
      <c r="D5353" t="s">
        <v>17959</v>
      </c>
      <c r="E5353" t="s">
        <v>22788</v>
      </c>
      <c r="F5353" t="s">
        <v>30900</v>
      </c>
      <c r="G5353" t="s">
        <v>30908</v>
      </c>
      <c r="H5353" t="s">
        <v>30917</v>
      </c>
      <c r="I5353" t="s">
        <v>30988</v>
      </c>
      <c r="J5353" t="s">
        <v>34587</v>
      </c>
      <c r="K5353" t="s">
        <v>40324</v>
      </c>
      <c r="M5353" t="s">
        <v>42648</v>
      </c>
      <c r="N5353" t="s">
        <v>44759</v>
      </c>
      <c r="O5353" t="s">
        <v>44760</v>
      </c>
      <c r="P5353">
        <v>0</v>
      </c>
      <c r="Q5353">
        <v>2</v>
      </c>
      <c r="R5353" t="s">
        <v>44763</v>
      </c>
      <c r="S5353" t="s">
        <v>44876</v>
      </c>
      <c r="T5353" t="s">
        <v>46548</v>
      </c>
      <c r="U5353" t="s">
        <v>51470</v>
      </c>
      <c r="W5353" t="s">
        <v>42648</v>
      </c>
      <c r="X5353" t="s">
        <v>44764</v>
      </c>
    </row>
    <row r="5354" spans="1:24">
      <c r="A5354">
        <f>HYPERLINK("https://www.philgeps.gov.ph/GEPSNONPILOT/Tender/SplashBidNoticeAbstractUI.aspx?menuIndex=3&amp;refID=7145461&amp;Result=3","7145461")</f>
        <v>0</v>
      </c>
      <c r="B5354" t="s">
        <v>1965</v>
      </c>
      <c r="C5354" t="s">
        <v>8811</v>
      </c>
      <c r="D5354" t="s">
        <v>17952</v>
      </c>
      <c r="E5354" t="s">
        <v>18066</v>
      </c>
      <c r="F5354" t="s">
        <v>30900</v>
      </c>
      <c r="G5354" t="s">
        <v>30907</v>
      </c>
      <c r="H5354" t="s">
        <v>30915</v>
      </c>
      <c r="I5354" t="s">
        <v>8123</v>
      </c>
      <c r="J5354" t="s">
        <v>34588</v>
      </c>
      <c r="K5354" t="s">
        <v>40283</v>
      </c>
      <c r="M5354" t="s">
        <v>42649</v>
      </c>
      <c r="N5354" t="s">
        <v>44759</v>
      </c>
      <c r="O5354" t="s">
        <v>44760</v>
      </c>
      <c r="P5354">
        <v>0</v>
      </c>
      <c r="Q5354">
        <v>1</v>
      </c>
      <c r="R5354" t="s">
        <v>44766</v>
      </c>
      <c r="S5354" t="s">
        <v>44902</v>
      </c>
      <c r="T5354" t="s">
        <v>46414</v>
      </c>
      <c r="U5354" t="s">
        <v>51471</v>
      </c>
      <c r="W5354" t="s">
        <v>42649</v>
      </c>
      <c r="X5354" t="s">
        <v>44767</v>
      </c>
    </row>
    <row r="5355" spans="1:24">
      <c r="A5355">
        <f>HYPERLINK("https://www.philgeps.gov.ph/GEPSNONPILOT/Tender/SplashBidNoticeAbstractUI.aspx?menuIndex=3&amp;refID=7145438&amp;Result=3","7145438")</f>
        <v>0</v>
      </c>
      <c r="B5355" t="s">
        <v>1966</v>
      </c>
      <c r="C5355" t="s">
        <v>7748</v>
      </c>
      <c r="D5355" t="s">
        <v>17958</v>
      </c>
      <c r="E5355" t="s">
        <v>22789</v>
      </c>
      <c r="F5355" t="s">
        <v>30900</v>
      </c>
      <c r="G5355" t="s">
        <v>30907</v>
      </c>
      <c r="H5355" t="s">
        <v>30916</v>
      </c>
      <c r="I5355" t="s">
        <v>17295</v>
      </c>
      <c r="J5355" t="s">
        <v>34589</v>
      </c>
      <c r="K5355" t="s">
        <v>40319</v>
      </c>
      <c r="M5355" t="s">
        <v>42650</v>
      </c>
      <c r="N5355" t="s">
        <v>44759</v>
      </c>
      <c r="O5355" t="s">
        <v>44760</v>
      </c>
      <c r="P5355">
        <v>0</v>
      </c>
      <c r="Q5355">
        <v>1</v>
      </c>
      <c r="R5355" t="s">
        <v>44766</v>
      </c>
      <c r="S5355" t="s">
        <v>44902</v>
      </c>
      <c r="T5355" t="s">
        <v>46420</v>
      </c>
      <c r="U5355" t="s">
        <v>51472</v>
      </c>
      <c r="W5355" t="s">
        <v>42650</v>
      </c>
      <c r="X5355" t="s">
        <v>44767</v>
      </c>
    </row>
    <row r="5356" spans="1:24">
      <c r="A5356">
        <f>HYPERLINK("https://www.philgeps.gov.ph/GEPSNONPILOT/Tender/SplashBidNoticeAbstractUI.aspx?menuIndex=3&amp;refID=7145506&amp;Result=3","7145506")</f>
        <v>0</v>
      </c>
      <c r="B5356" t="s">
        <v>1776</v>
      </c>
      <c r="C5356" t="s">
        <v>8812</v>
      </c>
      <c r="D5356" t="s">
        <v>17989</v>
      </c>
      <c r="E5356" t="s">
        <v>22790</v>
      </c>
      <c r="F5356" t="s">
        <v>30900</v>
      </c>
      <c r="G5356" t="s">
        <v>30908</v>
      </c>
      <c r="H5356" t="s">
        <v>30916</v>
      </c>
      <c r="I5356" t="s">
        <v>30938</v>
      </c>
      <c r="J5356" t="s">
        <v>34590</v>
      </c>
      <c r="K5356" t="s">
        <v>40289</v>
      </c>
      <c r="M5356" t="s">
        <v>42651</v>
      </c>
      <c r="N5356" t="s">
        <v>44759</v>
      </c>
      <c r="O5356" t="s">
        <v>44760</v>
      </c>
      <c r="P5356">
        <v>0</v>
      </c>
      <c r="Q5356">
        <v>4</v>
      </c>
      <c r="R5356" t="s">
        <v>44766</v>
      </c>
      <c r="S5356" t="s">
        <v>44902</v>
      </c>
      <c r="T5356" t="s">
        <v>46398</v>
      </c>
      <c r="U5356" t="s">
        <v>51473</v>
      </c>
      <c r="W5356" t="s">
        <v>42651</v>
      </c>
      <c r="X5356" t="s">
        <v>44767</v>
      </c>
    </row>
    <row r="5357" spans="1:24">
      <c r="A5357">
        <f>HYPERLINK("https://www.philgeps.gov.ph/GEPSNONPILOT/Tender/SplashBidNoticeAbstractUI.aspx?menuIndex=3&amp;refID=7145474&amp;Result=3","7145474")</f>
        <v>0</v>
      </c>
      <c r="B5357" t="s">
        <v>523</v>
      </c>
      <c r="C5357" t="s">
        <v>8813</v>
      </c>
      <c r="E5357" t="s">
        <v>22791</v>
      </c>
      <c r="F5357" t="s">
        <v>30900</v>
      </c>
      <c r="G5357" t="s">
        <v>30908</v>
      </c>
      <c r="H5357" t="s">
        <v>30917</v>
      </c>
      <c r="I5357" t="s">
        <v>30958</v>
      </c>
      <c r="J5357" t="s">
        <v>31070</v>
      </c>
      <c r="K5357" t="s">
        <v>40288</v>
      </c>
      <c r="M5357" t="s">
        <v>41083</v>
      </c>
      <c r="N5357" t="s">
        <v>44759</v>
      </c>
      <c r="O5357" t="s">
        <v>44760</v>
      </c>
      <c r="P5357">
        <v>0</v>
      </c>
      <c r="Q5357">
        <v>0</v>
      </c>
      <c r="R5357" t="s">
        <v>44766</v>
      </c>
      <c r="S5357" t="s">
        <v>44902</v>
      </c>
      <c r="T5357" t="s">
        <v>46623</v>
      </c>
      <c r="U5357" t="s">
        <v>51474</v>
      </c>
      <c r="W5357" t="s">
        <v>42805</v>
      </c>
      <c r="X5357" t="s">
        <v>44767</v>
      </c>
    </row>
    <row r="5358" spans="1:24">
      <c r="A5358">
        <f>HYPERLINK("https://www.philgeps.gov.ph/GEPSNONPILOT/Tender/SplashBidNoticeAbstractUI.aspx?menuIndex=3&amp;refID=7145524&amp;Result=3","7145524")</f>
        <v>0</v>
      </c>
      <c r="B5358" t="s">
        <v>479</v>
      </c>
      <c r="C5358" t="s">
        <v>8814</v>
      </c>
      <c r="D5358" t="s">
        <v>17959</v>
      </c>
      <c r="E5358" t="s">
        <v>22792</v>
      </c>
      <c r="F5358" t="s">
        <v>30900</v>
      </c>
      <c r="G5358" t="s">
        <v>30908</v>
      </c>
      <c r="H5358" t="s">
        <v>30916</v>
      </c>
      <c r="I5358" t="s">
        <v>4142</v>
      </c>
      <c r="J5358" t="s">
        <v>31098</v>
      </c>
      <c r="K5358" t="s">
        <v>40289</v>
      </c>
      <c r="M5358" t="s">
        <v>42652</v>
      </c>
      <c r="N5358" t="s">
        <v>44759</v>
      </c>
      <c r="O5358" t="s">
        <v>44760</v>
      </c>
      <c r="P5358">
        <v>0</v>
      </c>
      <c r="Q5358">
        <v>6</v>
      </c>
      <c r="R5358" t="s">
        <v>44766</v>
      </c>
      <c r="S5358" t="s">
        <v>44902</v>
      </c>
      <c r="T5358" t="s">
        <v>46714</v>
      </c>
      <c r="U5358" t="s">
        <v>51475</v>
      </c>
      <c r="W5358" t="s">
        <v>42652</v>
      </c>
      <c r="X5358" t="s">
        <v>44767</v>
      </c>
    </row>
    <row r="5359" spans="1:24">
      <c r="A5359">
        <f>HYPERLINK("https://www.philgeps.gov.ph/GEPSNONPILOT/Tender/SplashBidNoticeAbstractUI.aspx?menuIndex=3&amp;refID=7145441&amp;Result=3","7145441")</f>
        <v>0</v>
      </c>
      <c r="B5359" t="s">
        <v>1011</v>
      </c>
      <c r="C5359" t="s">
        <v>8815</v>
      </c>
      <c r="D5359" t="s">
        <v>17997</v>
      </c>
      <c r="E5359" t="s">
        <v>22793</v>
      </c>
      <c r="F5359" t="s">
        <v>30900</v>
      </c>
      <c r="G5359" t="s">
        <v>30907</v>
      </c>
      <c r="H5359" t="s">
        <v>30916</v>
      </c>
      <c r="I5359" t="s">
        <v>5501</v>
      </c>
      <c r="J5359" t="s">
        <v>31066</v>
      </c>
      <c r="K5359" t="s">
        <v>40283</v>
      </c>
      <c r="M5359" t="s">
        <v>41600</v>
      </c>
      <c r="N5359" t="s">
        <v>44759</v>
      </c>
      <c r="O5359" t="s">
        <v>44760</v>
      </c>
      <c r="P5359">
        <v>0</v>
      </c>
      <c r="Q5359">
        <v>1</v>
      </c>
      <c r="R5359" t="s">
        <v>44766</v>
      </c>
      <c r="S5359" t="s">
        <v>44902</v>
      </c>
      <c r="T5359" t="s">
        <v>46428</v>
      </c>
      <c r="U5359" t="s">
        <v>51476</v>
      </c>
      <c r="W5359" t="s">
        <v>41600</v>
      </c>
      <c r="X5359" t="s">
        <v>44767</v>
      </c>
    </row>
    <row r="5360" spans="1:24">
      <c r="A5360">
        <f>HYPERLINK("https://www.philgeps.gov.ph/GEPSNONPILOT/Tender/SplashBidNoticeAbstractUI.aspx?menuIndex=3&amp;refID=7145521&amp;Result=3","7145521")</f>
        <v>0</v>
      </c>
      <c r="B5360" t="s">
        <v>1967</v>
      </c>
      <c r="C5360" t="s">
        <v>8816</v>
      </c>
      <c r="D5360" t="s">
        <v>17988</v>
      </c>
      <c r="E5360" t="s">
        <v>22794</v>
      </c>
      <c r="F5360" t="s">
        <v>30900</v>
      </c>
      <c r="G5360" t="s">
        <v>30908</v>
      </c>
      <c r="H5360" t="s">
        <v>30915</v>
      </c>
      <c r="I5360" t="s">
        <v>30919</v>
      </c>
      <c r="J5360" t="s">
        <v>34591</v>
      </c>
      <c r="K5360" t="s">
        <v>40289</v>
      </c>
      <c r="M5360" t="s">
        <v>42653</v>
      </c>
      <c r="N5360" t="s">
        <v>44759</v>
      </c>
      <c r="O5360" t="s">
        <v>44760</v>
      </c>
      <c r="P5360">
        <v>0</v>
      </c>
      <c r="Q5360">
        <v>0</v>
      </c>
      <c r="R5360" t="s">
        <v>44766</v>
      </c>
      <c r="S5360" t="s">
        <v>44902</v>
      </c>
      <c r="T5360" t="s">
        <v>46625</v>
      </c>
      <c r="U5360" t="s">
        <v>51477</v>
      </c>
      <c r="W5360" t="s">
        <v>42653</v>
      </c>
      <c r="X5360" t="s">
        <v>44767</v>
      </c>
    </row>
    <row r="5361" spans="1:24">
      <c r="A5361">
        <f>HYPERLINK("https://www.philgeps.gov.ph/GEPSNONPILOT/Tender/SplashBidNoticeAbstractUI.aspx?menuIndex=3&amp;refID=7145520&amp;Result=3","7145520")</f>
        <v>0</v>
      </c>
      <c r="B5361" t="s">
        <v>1968</v>
      </c>
      <c r="C5361" t="s">
        <v>8817</v>
      </c>
      <c r="D5361" t="s">
        <v>17998</v>
      </c>
      <c r="E5361" t="s">
        <v>22795</v>
      </c>
      <c r="F5361" t="s">
        <v>30900</v>
      </c>
      <c r="G5361" t="s">
        <v>30910</v>
      </c>
      <c r="H5361" t="s">
        <v>30916</v>
      </c>
      <c r="I5361" t="s">
        <v>8123</v>
      </c>
      <c r="J5361" t="s">
        <v>31048</v>
      </c>
      <c r="K5361" t="s">
        <v>40283</v>
      </c>
      <c r="M5361" t="s">
        <v>42654</v>
      </c>
      <c r="N5361" t="s">
        <v>44759</v>
      </c>
      <c r="O5361" t="s">
        <v>44760</v>
      </c>
      <c r="P5361">
        <v>0</v>
      </c>
      <c r="Q5361">
        <v>0</v>
      </c>
      <c r="R5361" t="s">
        <v>44766</v>
      </c>
      <c r="S5361" t="s">
        <v>44902</v>
      </c>
      <c r="T5361" t="s">
        <v>46534</v>
      </c>
      <c r="U5361" t="s">
        <v>51478</v>
      </c>
      <c r="V5361" t="s">
        <v>59687</v>
      </c>
      <c r="W5361" t="s">
        <v>42654</v>
      </c>
      <c r="X5361" t="s">
        <v>44767</v>
      </c>
    </row>
    <row r="5362" spans="1:24">
      <c r="A5362">
        <f>HYPERLINK("https://www.philgeps.gov.ph/GEPSNONPILOT/Tender/SplashBidNoticeAbstractUI.aspx?menuIndex=3&amp;refID=7145515&amp;Result=3","7145515")</f>
        <v>0</v>
      </c>
      <c r="B5362" t="s">
        <v>869</v>
      </c>
      <c r="C5362" t="s">
        <v>8818</v>
      </c>
      <c r="D5362" t="s">
        <v>17988</v>
      </c>
      <c r="E5362" t="s">
        <v>22796</v>
      </c>
      <c r="F5362" t="s">
        <v>30900</v>
      </c>
      <c r="G5362" t="s">
        <v>30908</v>
      </c>
      <c r="H5362" t="s">
        <v>30916</v>
      </c>
      <c r="I5362" t="s">
        <v>6396</v>
      </c>
      <c r="J5362" t="s">
        <v>31522</v>
      </c>
      <c r="K5362" t="s">
        <v>40287</v>
      </c>
      <c r="M5362" t="s">
        <v>42655</v>
      </c>
      <c r="N5362" t="s">
        <v>44759</v>
      </c>
      <c r="O5362" t="s">
        <v>44760</v>
      </c>
      <c r="P5362">
        <v>0</v>
      </c>
      <c r="Q5362">
        <v>1</v>
      </c>
      <c r="R5362" t="s">
        <v>44766</v>
      </c>
      <c r="S5362" t="s">
        <v>44902</v>
      </c>
      <c r="T5362" t="s">
        <v>46700</v>
      </c>
      <c r="U5362" t="s">
        <v>51479</v>
      </c>
      <c r="W5362" t="s">
        <v>42655</v>
      </c>
      <c r="X5362" t="s">
        <v>44767</v>
      </c>
    </row>
    <row r="5363" spans="1:24">
      <c r="A5363">
        <f>HYPERLINK("https://www.philgeps.gov.ph/GEPSNONPILOT/Tender/SplashBidNoticeAbstractUI.aspx?menuIndex=3&amp;refID=7145433&amp;Result=3","7145433")</f>
        <v>0</v>
      </c>
      <c r="B5363" t="s">
        <v>1938</v>
      </c>
      <c r="C5363" t="s">
        <v>8819</v>
      </c>
      <c r="D5363" t="s">
        <v>18043</v>
      </c>
      <c r="E5363" t="s">
        <v>22797</v>
      </c>
      <c r="F5363" t="s">
        <v>30900</v>
      </c>
      <c r="G5363" t="s">
        <v>30908</v>
      </c>
      <c r="H5363" t="s">
        <v>7411</v>
      </c>
      <c r="I5363" t="s">
        <v>7411</v>
      </c>
      <c r="J5363" t="s">
        <v>31052</v>
      </c>
      <c r="K5363" t="s">
        <v>40286</v>
      </c>
      <c r="M5363" t="s">
        <v>42619</v>
      </c>
      <c r="N5363" t="s">
        <v>44759</v>
      </c>
      <c r="O5363" t="s">
        <v>44760</v>
      </c>
      <c r="P5363">
        <v>0</v>
      </c>
      <c r="Q5363">
        <v>5</v>
      </c>
      <c r="R5363" t="s">
        <v>44766</v>
      </c>
      <c r="S5363" t="s">
        <v>44902</v>
      </c>
      <c r="T5363" t="s">
        <v>46625</v>
      </c>
      <c r="U5363" t="s">
        <v>51480</v>
      </c>
      <c r="W5363" t="s">
        <v>42619</v>
      </c>
      <c r="X5363" t="s">
        <v>44767</v>
      </c>
    </row>
    <row r="5364" spans="1:24">
      <c r="A5364">
        <f>HYPERLINK("https://www.philgeps.gov.ph/GEPSNONPILOT/Tender/SplashBidNoticeAbstractUI.aspx?menuIndex=3&amp;refID=7145364&amp;Result=3","7145364")</f>
        <v>0</v>
      </c>
      <c r="B5364" t="s">
        <v>258</v>
      </c>
      <c r="C5364" t="s">
        <v>8820</v>
      </c>
      <c r="D5364" t="s">
        <v>18005</v>
      </c>
      <c r="E5364" t="s">
        <v>22798</v>
      </c>
      <c r="F5364" t="s">
        <v>30900</v>
      </c>
      <c r="G5364" t="s">
        <v>30909</v>
      </c>
      <c r="H5364" t="s">
        <v>30916</v>
      </c>
      <c r="I5364" t="s">
        <v>4545</v>
      </c>
      <c r="J5364" t="s">
        <v>32658</v>
      </c>
      <c r="K5364" t="s">
        <v>40283</v>
      </c>
      <c r="M5364" t="s">
        <v>40805</v>
      </c>
      <c r="N5364" t="s">
        <v>44759</v>
      </c>
      <c r="O5364" t="s">
        <v>44760</v>
      </c>
      <c r="P5364">
        <v>0</v>
      </c>
      <c r="Q5364">
        <v>3</v>
      </c>
      <c r="R5364" t="s">
        <v>44766</v>
      </c>
      <c r="S5364" t="s">
        <v>44902</v>
      </c>
      <c r="T5364" t="s">
        <v>46398</v>
      </c>
      <c r="U5364" t="s">
        <v>51481</v>
      </c>
      <c r="W5364" t="s">
        <v>40805</v>
      </c>
      <c r="X5364" t="s">
        <v>44767</v>
      </c>
    </row>
    <row r="5365" spans="1:24">
      <c r="A5365">
        <f>HYPERLINK("https://www.philgeps.gov.ph/GEPSNONPILOT/Tender/SplashBidNoticeAbstractUI.aspx?menuIndex=3&amp;refID=7145439&amp;Result=3","7145439")</f>
        <v>0</v>
      </c>
      <c r="B5365" t="s">
        <v>729</v>
      </c>
      <c r="C5365" t="s">
        <v>8821</v>
      </c>
      <c r="D5365" t="s">
        <v>18018</v>
      </c>
      <c r="E5365" t="s">
        <v>22799</v>
      </c>
      <c r="F5365" t="s">
        <v>30900</v>
      </c>
      <c r="G5365" t="s">
        <v>30907</v>
      </c>
      <c r="H5365" t="s">
        <v>30915</v>
      </c>
      <c r="I5365" t="s">
        <v>30919</v>
      </c>
      <c r="J5365" t="s">
        <v>34592</v>
      </c>
      <c r="K5365" t="s">
        <v>40280</v>
      </c>
      <c r="M5365" t="s">
        <v>41293</v>
      </c>
      <c r="N5365" t="s">
        <v>44759</v>
      </c>
      <c r="O5365" t="s">
        <v>44760</v>
      </c>
      <c r="P5365">
        <v>0</v>
      </c>
      <c r="Q5365">
        <v>0</v>
      </c>
      <c r="R5365" t="s">
        <v>44766</v>
      </c>
      <c r="S5365" t="s">
        <v>44902</v>
      </c>
      <c r="T5365" t="s">
        <v>46495</v>
      </c>
      <c r="U5365" t="s">
        <v>51482</v>
      </c>
      <c r="W5365" t="s">
        <v>41293</v>
      </c>
      <c r="X5365" t="s">
        <v>44767</v>
      </c>
    </row>
    <row r="5366" spans="1:24">
      <c r="A5366">
        <f>HYPERLINK("https://www.philgeps.gov.ph/GEPSNONPILOT/Tender/SplashBidNoticeAbstractUI.aspx?menuIndex=3&amp;refID=7145503&amp;Result=3","7145503")</f>
        <v>0</v>
      </c>
      <c r="B5366" t="s">
        <v>1969</v>
      </c>
      <c r="C5366" t="s">
        <v>8822</v>
      </c>
      <c r="D5366" t="s">
        <v>17985</v>
      </c>
      <c r="E5366" t="s">
        <v>22800</v>
      </c>
      <c r="F5366" t="s">
        <v>30900</v>
      </c>
      <c r="G5366" t="s">
        <v>30910</v>
      </c>
      <c r="H5366" t="s">
        <v>30916</v>
      </c>
      <c r="I5366" t="s">
        <v>30934</v>
      </c>
      <c r="J5366" t="s">
        <v>31293</v>
      </c>
      <c r="K5366" t="s">
        <v>40286</v>
      </c>
      <c r="M5366" t="s">
        <v>42656</v>
      </c>
      <c r="N5366" t="s">
        <v>44759</v>
      </c>
      <c r="O5366" t="s">
        <v>44760</v>
      </c>
      <c r="P5366">
        <v>0</v>
      </c>
      <c r="Q5366">
        <v>2</v>
      </c>
      <c r="R5366" t="s">
        <v>44766</v>
      </c>
      <c r="S5366" t="s">
        <v>44902</v>
      </c>
      <c r="T5366" t="s">
        <v>46625</v>
      </c>
      <c r="U5366" t="s">
        <v>51483</v>
      </c>
      <c r="W5366" t="s">
        <v>42656</v>
      </c>
      <c r="X5366" t="s">
        <v>44767</v>
      </c>
    </row>
    <row r="5367" spans="1:24">
      <c r="A5367">
        <f>HYPERLINK("https://www.philgeps.gov.ph/GEPSNONPILOT/Tender/SplashBidNoticeAbstractUI.aspx?menuIndex=3&amp;refID=7145500&amp;Result=3","7145500")</f>
        <v>0</v>
      </c>
      <c r="B5367" t="s">
        <v>506</v>
      </c>
      <c r="C5367" t="s">
        <v>8823</v>
      </c>
      <c r="D5367" t="s">
        <v>17966</v>
      </c>
      <c r="E5367" t="s">
        <v>22801</v>
      </c>
      <c r="F5367" t="s">
        <v>30900</v>
      </c>
      <c r="G5367" t="s">
        <v>30908</v>
      </c>
      <c r="H5367" t="s">
        <v>30916</v>
      </c>
      <c r="I5367" t="s">
        <v>30921</v>
      </c>
      <c r="J5367" t="s">
        <v>34593</v>
      </c>
      <c r="K5367" t="s">
        <v>40286</v>
      </c>
      <c r="M5367" t="s">
        <v>41066</v>
      </c>
      <c r="N5367" t="s">
        <v>44759</v>
      </c>
      <c r="O5367" t="s">
        <v>44760</v>
      </c>
      <c r="P5367">
        <v>0</v>
      </c>
      <c r="Q5367">
        <v>0</v>
      </c>
      <c r="R5367" t="s">
        <v>44766</v>
      </c>
      <c r="S5367" t="s">
        <v>44902</v>
      </c>
      <c r="T5367" t="s">
        <v>46548</v>
      </c>
      <c r="U5367" t="s">
        <v>51484</v>
      </c>
      <c r="W5367" t="s">
        <v>41066</v>
      </c>
      <c r="X5367" t="s">
        <v>44767</v>
      </c>
    </row>
    <row r="5368" spans="1:24">
      <c r="A5368">
        <f>HYPERLINK("https://www.philgeps.gov.ph/GEPSNONPILOT/Tender/SplashBidNoticeAbstractUI.aspx?menuIndex=3&amp;refID=7145497&amp;Result=3","7145497")</f>
        <v>0</v>
      </c>
      <c r="B5368" t="s">
        <v>479</v>
      </c>
      <c r="C5368" t="s">
        <v>8824</v>
      </c>
      <c r="D5368" t="s">
        <v>17959</v>
      </c>
      <c r="E5368" t="s">
        <v>22802</v>
      </c>
      <c r="F5368" t="s">
        <v>30900</v>
      </c>
      <c r="G5368" t="s">
        <v>30908</v>
      </c>
      <c r="H5368" t="s">
        <v>30916</v>
      </c>
      <c r="I5368" t="s">
        <v>4142</v>
      </c>
      <c r="J5368" t="s">
        <v>34594</v>
      </c>
      <c r="K5368" t="s">
        <v>40289</v>
      </c>
      <c r="M5368" t="s">
        <v>42652</v>
      </c>
      <c r="N5368" t="s">
        <v>44759</v>
      </c>
      <c r="O5368" t="s">
        <v>44760</v>
      </c>
      <c r="P5368">
        <v>0</v>
      </c>
      <c r="Q5368">
        <v>12</v>
      </c>
      <c r="R5368" t="s">
        <v>44766</v>
      </c>
      <c r="S5368" t="s">
        <v>44902</v>
      </c>
      <c r="T5368" t="s">
        <v>46714</v>
      </c>
      <c r="U5368" t="s">
        <v>51485</v>
      </c>
      <c r="W5368" t="s">
        <v>42652</v>
      </c>
      <c r="X5368" t="s">
        <v>44767</v>
      </c>
    </row>
    <row r="5369" spans="1:24">
      <c r="A5369">
        <f>HYPERLINK("https://www.philgeps.gov.ph/GEPSNONPILOT/Tender/SplashBidNoticeAbstractUI.aspx?menuIndex=3&amp;refID=7145495&amp;Result=3","7145495")</f>
        <v>0</v>
      </c>
      <c r="B5369" t="s">
        <v>44</v>
      </c>
      <c r="C5369" t="s">
        <v>8825</v>
      </c>
      <c r="D5369" t="s">
        <v>17969</v>
      </c>
      <c r="E5369" t="s">
        <v>22803</v>
      </c>
      <c r="F5369" t="s">
        <v>30900</v>
      </c>
      <c r="G5369" t="s">
        <v>30907</v>
      </c>
      <c r="H5369" t="s">
        <v>30915</v>
      </c>
      <c r="I5369" t="s">
        <v>30919</v>
      </c>
      <c r="J5369" t="s">
        <v>34595</v>
      </c>
      <c r="K5369" t="s">
        <v>40304</v>
      </c>
      <c r="M5369" t="s">
        <v>42657</v>
      </c>
      <c r="N5369" t="s">
        <v>44759</v>
      </c>
      <c r="O5369" t="s">
        <v>44760</v>
      </c>
      <c r="P5369">
        <v>0</v>
      </c>
      <c r="Q5369">
        <v>0</v>
      </c>
      <c r="R5369" t="s">
        <v>44766</v>
      </c>
      <c r="S5369" t="s">
        <v>44902</v>
      </c>
      <c r="T5369" t="s">
        <v>46715</v>
      </c>
      <c r="U5369" t="s">
        <v>51486</v>
      </c>
      <c r="W5369" t="s">
        <v>42657</v>
      </c>
      <c r="X5369" t="s">
        <v>44767</v>
      </c>
    </row>
    <row r="5370" spans="1:24">
      <c r="A5370">
        <f>HYPERLINK("https://www.philgeps.gov.ph/GEPSNONPILOT/Tender/SplashBidNoticeAbstractUI.aspx?menuIndex=3&amp;refID=7145493&amp;Result=3","7145493")</f>
        <v>0</v>
      </c>
      <c r="B5370" t="s">
        <v>278</v>
      </c>
      <c r="C5370" t="s">
        <v>8826</v>
      </c>
      <c r="D5370" t="s">
        <v>17995</v>
      </c>
      <c r="E5370" t="s">
        <v>22804</v>
      </c>
      <c r="F5370" t="s">
        <v>30900</v>
      </c>
      <c r="G5370" t="s">
        <v>30907</v>
      </c>
      <c r="H5370" t="s">
        <v>30916</v>
      </c>
      <c r="I5370" t="s">
        <v>4142</v>
      </c>
      <c r="J5370" t="s">
        <v>34596</v>
      </c>
      <c r="K5370" t="s">
        <v>40289</v>
      </c>
      <c r="M5370" t="s">
        <v>40887</v>
      </c>
      <c r="N5370" t="s">
        <v>44759</v>
      </c>
      <c r="O5370" t="s">
        <v>44760</v>
      </c>
      <c r="P5370">
        <v>0</v>
      </c>
      <c r="Q5370">
        <v>3</v>
      </c>
      <c r="R5370" t="s">
        <v>44766</v>
      </c>
      <c r="S5370" t="s">
        <v>44902</v>
      </c>
      <c r="T5370" t="s">
        <v>46357</v>
      </c>
      <c r="U5370" t="s">
        <v>51487</v>
      </c>
      <c r="W5370" t="s">
        <v>60825</v>
      </c>
      <c r="X5370" t="s">
        <v>44767</v>
      </c>
    </row>
    <row r="5371" spans="1:24">
      <c r="A5371">
        <f>HYPERLINK("https://www.philgeps.gov.ph/GEPSNONPILOT/Tender/SplashBidNoticeAbstractUI.aspx?menuIndex=3&amp;refID=7145487&amp;Result=3","7145487")</f>
        <v>0</v>
      </c>
      <c r="B5371" t="s">
        <v>1970</v>
      </c>
      <c r="C5371" t="s">
        <v>8827</v>
      </c>
      <c r="D5371" t="s">
        <v>17984</v>
      </c>
      <c r="E5371" t="s">
        <v>22805</v>
      </c>
      <c r="F5371" t="s">
        <v>30900</v>
      </c>
      <c r="G5371" t="s">
        <v>30908</v>
      </c>
      <c r="H5371" t="s">
        <v>30916</v>
      </c>
      <c r="I5371" t="s">
        <v>4545</v>
      </c>
      <c r="J5371" t="s">
        <v>34597</v>
      </c>
      <c r="K5371" t="s">
        <v>40283</v>
      </c>
      <c r="M5371" t="s">
        <v>42658</v>
      </c>
      <c r="N5371" t="s">
        <v>44759</v>
      </c>
      <c r="O5371" t="s">
        <v>44760</v>
      </c>
      <c r="P5371">
        <v>0</v>
      </c>
      <c r="Q5371">
        <v>0</v>
      </c>
      <c r="R5371" t="s">
        <v>44766</v>
      </c>
      <c r="S5371" t="s">
        <v>44902</v>
      </c>
      <c r="T5371" t="s">
        <v>46376</v>
      </c>
      <c r="U5371" t="s">
        <v>51488</v>
      </c>
      <c r="W5371" t="s">
        <v>42658</v>
      </c>
      <c r="X5371" t="s">
        <v>44767</v>
      </c>
    </row>
    <row r="5372" spans="1:24">
      <c r="A5372">
        <f>HYPERLINK("https://www.philgeps.gov.ph/GEPSNONPILOT/Tender/SplashBidNoticeAbstractUI.aspx?menuIndex=3&amp;refID=7145508&amp;Result=3","7145508")</f>
        <v>0</v>
      </c>
      <c r="B5372" t="s">
        <v>842</v>
      </c>
      <c r="C5372" t="s">
        <v>8828</v>
      </c>
      <c r="D5372" t="s">
        <v>17957</v>
      </c>
      <c r="E5372" t="s">
        <v>22806</v>
      </c>
      <c r="F5372" t="s">
        <v>30900</v>
      </c>
      <c r="G5372" t="s">
        <v>30909</v>
      </c>
      <c r="H5372" t="s">
        <v>30916</v>
      </c>
      <c r="I5372" t="s">
        <v>4142</v>
      </c>
      <c r="J5372" t="s">
        <v>31713</v>
      </c>
      <c r="K5372" t="s">
        <v>40283</v>
      </c>
      <c r="M5372" t="s">
        <v>41415</v>
      </c>
      <c r="N5372" t="s">
        <v>44759</v>
      </c>
      <c r="O5372" t="s">
        <v>44760</v>
      </c>
      <c r="P5372">
        <v>0</v>
      </c>
      <c r="Q5372">
        <v>1</v>
      </c>
      <c r="R5372" t="s">
        <v>44766</v>
      </c>
      <c r="S5372" t="s">
        <v>44902</v>
      </c>
      <c r="T5372" t="s">
        <v>46548</v>
      </c>
      <c r="U5372" t="s">
        <v>51489</v>
      </c>
      <c r="W5372" t="s">
        <v>41415</v>
      </c>
      <c r="X5372" t="s">
        <v>44767</v>
      </c>
    </row>
    <row r="5373" spans="1:24">
      <c r="A5373">
        <f>HYPERLINK("https://www.philgeps.gov.ph/GEPSNONPILOT/Tender/SplashBidNoticeAbstractUI.aspx?menuIndex=3&amp;refID=7145585&amp;Result=3","7145585")</f>
        <v>0</v>
      </c>
      <c r="B5373" t="s">
        <v>400</v>
      </c>
      <c r="C5373" t="s">
        <v>8829</v>
      </c>
      <c r="D5373" t="s">
        <v>17971</v>
      </c>
      <c r="E5373" t="s">
        <v>22807</v>
      </c>
      <c r="F5373" t="s">
        <v>30900</v>
      </c>
      <c r="G5373" t="s">
        <v>30908</v>
      </c>
      <c r="H5373" t="s">
        <v>30916</v>
      </c>
      <c r="I5373" t="s">
        <v>8044</v>
      </c>
      <c r="J5373" t="s">
        <v>34598</v>
      </c>
      <c r="K5373" t="s">
        <v>40289</v>
      </c>
      <c r="M5373" t="s">
        <v>40955</v>
      </c>
      <c r="N5373" t="s">
        <v>44759</v>
      </c>
      <c r="O5373" t="s">
        <v>44760</v>
      </c>
      <c r="P5373">
        <v>0</v>
      </c>
      <c r="Q5373">
        <v>0</v>
      </c>
      <c r="R5373" t="s">
        <v>44766</v>
      </c>
      <c r="S5373" t="s">
        <v>44902</v>
      </c>
      <c r="T5373" t="s">
        <v>46391</v>
      </c>
      <c r="U5373" t="s">
        <v>51490</v>
      </c>
      <c r="W5373" t="s">
        <v>40955</v>
      </c>
      <c r="X5373" t="s">
        <v>44767</v>
      </c>
    </row>
    <row r="5374" spans="1:24">
      <c r="A5374">
        <f>HYPERLINK("https://www.philgeps.gov.ph/GEPSNONPILOT/Tender/SplashBidNoticeAbstractUI.aspx?menuIndex=3&amp;refID=7145583&amp;Result=3","7145583")</f>
        <v>0</v>
      </c>
      <c r="B5374" t="s">
        <v>1971</v>
      </c>
      <c r="C5374" t="s">
        <v>8830</v>
      </c>
      <c r="D5374" t="s">
        <v>17971</v>
      </c>
      <c r="E5374" t="s">
        <v>22808</v>
      </c>
      <c r="F5374" t="s">
        <v>30900</v>
      </c>
      <c r="G5374" t="s">
        <v>30907</v>
      </c>
      <c r="H5374" t="s">
        <v>30916</v>
      </c>
      <c r="I5374" t="s">
        <v>4108</v>
      </c>
      <c r="J5374" t="s">
        <v>34599</v>
      </c>
      <c r="K5374" t="s">
        <v>40283</v>
      </c>
      <c r="M5374" t="s">
        <v>42659</v>
      </c>
      <c r="N5374" t="s">
        <v>44759</v>
      </c>
      <c r="O5374" t="s">
        <v>44760</v>
      </c>
      <c r="P5374">
        <v>0</v>
      </c>
      <c r="Q5374">
        <v>4</v>
      </c>
      <c r="R5374" t="s">
        <v>44766</v>
      </c>
      <c r="S5374" t="s">
        <v>44902</v>
      </c>
      <c r="T5374" t="s">
        <v>46383</v>
      </c>
      <c r="U5374" t="s">
        <v>51491</v>
      </c>
      <c r="V5374" t="s">
        <v>59688</v>
      </c>
      <c r="W5374" t="s">
        <v>42659</v>
      </c>
      <c r="X5374" t="s">
        <v>44767</v>
      </c>
    </row>
    <row r="5375" spans="1:24">
      <c r="A5375">
        <f>HYPERLINK("https://www.philgeps.gov.ph/GEPSNONPILOT/Tender/SplashBidNoticeAbstractUI.aspx?menuIndex=3&amp;refID=7145581&amp;Result=3","7145581")</f>
        <v>0</v>
      </c>
      <c r="B5375" t="s">
        <v>237</v>
      </c>
      <c r="C5375" t="s">
        <v>8831</v>
      </c>
      <c r="D5375" t="s">
        <v>17977</v>
      </c>
      <c r="E5375" t="s">
        <v>22809</v>
      </c>
      <c r="F5375" t="s">
        <v>30900</v>
      </c>
      <c r="G5375" t="s">
        <v>30906</v>
      </c>
      <c r="H5375" t="s">
        <v>30916</v>
      </c>
      <c r="I5375" t="s">
        <v>6396</v>
      </c>
      <c r="J5375" t="s">
        <v>34600</v>
      </c>
      <c r="K5375" t="s">
        <v>40289</v>
      </c>
      <c r="M5375" t="s">
        <v>40784</v>
      </c>
      <c r="N5375" t="s">
        <v>44759</v>
      </c>
      <c r="O5375" t="s">
        <v>44760</v>
      </c>
      <c r="P5375">
        <v>0</v>
      </c>
      <c r="Q5375">
        <v>4</v>
      </c>
      <c r="R5375" t="s">
        <v>44766</v>
      </c>
      <c r="S5375" t="s">
        <v>44902</v>
      </c>
      <c r="T5375" t="s">
        <v>46704</v>
      </c>
      <c r="U5375" t="s">
        <v>51492</v>
      </c>
      <c r="W5375" t="s">
        <v>40784</v>
      </c>
      <c r="X5375" t="s">
        <v>44767</v>
      </c>
    </row>
    <row r="5376" spans="1:24">
      <c r="A5376">
        <f>HYPERLINK("https://www.philgeps.gov.ph/GEPSNONPILOT/Tender/SplashBidNoticeAbstractUI.aspx?menuIndex=3&amp;refID=7145579&amp;Result=3","7145579")</f>
        <v>0</v>
      </c>
      <c r="B5376" t="s">
        <v>523</v>
      </c>
      <c r="C5376" t="s">
        <v>8832</v>
      </c>
      <c r="E5376" t="s">
        <v>22810</v>
      </c>
      <c r="F5376" t="s">
        <v>30900</v>
      </c>
      <c r="G5376" t="s">
        <v>30908</v>
      </c>
      <c r="H5376" t="s">
        <v>30917</v>
      </c>
      <c r="I5376" t="s">
        <v>30958</v>
      </c>
      <c r="J5376" t="s">
        <v>31070</v>
      </c>
      <c r="K5376" t="s">
        <v>40288</v>
      </c>
      <c r="M5376" t="s">
        <v>41083</v>
      </c>
      <c r="N5376" t="s">
        <v>44759</v>
      </c>
      <c r="O5376" t="s">
        <v>44760</v>
      </c>
      <c r="P5376">
        <v>0</v>
      </c>
      <c r="Q5376">
        <v>0</v>
      </c>
      <c r="R5376" t="s">
        <v>44766</v>
      </c>
      <c r="S5376" t="s">
        <v>44902</v>
      </c>
      <c r="T5376" t="s">
        <v>46356</v>
      </c>
      <c r="U5376" t="s">
        <v>51493</v>
      </c>
      <c r="W5376" t="s">
        <v>42805</v>
      </c>
      <c r="X5376" t="s">
        <v>44767</v>
      </c>
    </row>
    <row r="5377" spans="1:24">
      <c r="A5377">
        <f>HYPERLINK("https://www.philgeps.gov.ph/GEPSNONPILOT/Tender/SplashBidNoticeAbstractUI.aspx?menuIndex=3&amp;refID=7145578&amp;Result=3","7145578")</f>
        <v>0</v>
      </c>
      <c r="B5377" t="s">
        <v>1972</v>
      </c>
      <c r="C5377" t="s">
        <v>8833</v>
      </c>
      <c r="D5377" t="s">
        <v>17971</v>
      </c>
      <c r="E5377" t="s">
        <v>22811</v>
      </c>
      <c r="F5377" t="s">
        <v>30900</v>
      </c>
      <c r="G5377" t="s">
        <v>30907</v>
      </c>
      <c r="H5377" t="s">
        <v>30915</v>
      </c>
      <c r="I5377" t="s">
        <v>30919</v>
      </c>
      <c r="J5377" t="s">
        <v>31152</v>
      </c>
      <c r="K5377" t="s">
        <v>40293</v>
      </c>
      <c r="L5377" t="s">
        <v>1972</v>
      </c>
      <c r="M5377" t="s">
        <v>42660</v>
      </c>
      <c r="N5377" t="s">
        <v>44759</v>
      </c>
      <c r="O5377" t="s">
        <v>44760</v>
      </c>
      <c r="P5377">
        <v>0</v>
      </c>
      <c r="Q5377">
        <v>48</v>
      </c>
      <c r="R5377" t="s">
        <v>44766</v>
      </c>
      <c r="S5377" t="s">
        <v>44902</v>
      </c>
      <c r="T5377" t="s">
        <v>46689</v>
      </c>
      <c r="U5377" t="s">
        <v>51494</v>
      </c>
      <c r="W5377" t="s">
        <v>42660</v>
      </c>
      <c r="X5377" t="s">
        <v>44767</v>
      </c>
    </row>
    <row r="5378" spans="1:24">
      <c r="A5378">
        <f>HYPERLINK("https://www.philgeps.gov.ph/GEPSNONPILOT/Tender/SplashBidNoticeAbstractUI.aspx?menuIndex=3&amp;refID=7145577&amp;Result=3","7145577")</f>
        <v>0</v>
      </c>
      <c r="B5378" t="s">
        <v>1973</v>
      </c>
      <c r="C5378" t="s">
        <v>8834</v>
      </c>
      <c r="D5378" t="s">
        <v>18012</v>
      </c>
      <c r="E5378" t="s">
        <v>22812</v>
      </c>
      <c r="F5378" t="s">
        <v>30900</v>
      </c>
      <c r="G5378" t="s">
        <v>30906</v>
      </c>
      <c r="H5378" t="s">
        <v>30916</v>
      </c>
      <c r="I5378" t="s">
        <v>4142</v>
      </c>
      <c r="J5378" t="s">
        <v>31767</v>
      </c>
      <c r="K5378" t="s">
        <v>40284</v>
      </c>
      <c r="M5378" t="s">
        <v>42661</v>
      </c>
      <c r="N5378" t="s">
        <v>44759</v>
      </c>
      <c r="O5378" t="s">
        <v>44760</v>
      </c>
      <c r="P5378">
        <v>0</v>
      </c>
      <c r="Q5378">
        <v>0</v>
      </c>
      <c r="R5378" t="s">
        <v>44766</v>
      </c>
      <c r="S5378" t="s">
        <v>44902</v>
      </c>
      <c r="T5378" t="s">
        <v>46607</v>
      </c>
      <c r="U5378" t="s">
        <v>51495</v>
      </c>
      <c r="W5378" t="s">
        <v>42661</v>
      </c>
      <c r="X5378" t="s">
        <v>44767</v>
      </c>
    </row>
    <row r="5379" spans="1:24">
      <c r="A5379">
        <f>HYPERLINK("https://www.philgeps.gov.ph/GEPSNONPILOT/Tender/SplashBidNoticeAbstractUI.aspx?menuIndex=3&amp;refID=7145560&amp;Result=3","7145560")</f>
        <v>0</v>
      </c>
      <c r="B5379" t="s">
        <v>1974</v>
      </c>
      <c r="C5379" t="s">
        <v>8835</v>
      </c>
      <c r="D5379" t="s">
        <v>18027</v>
      </c>
      <c r="E5379" t="s">
        <v>22813</v>
      </c>
      <c r="F5379" t="s">
        <v>30900</v>
      </c>
      <c r="G5379" t="s">
        <v>30908</v>
      </c>
      <c r="H5379" t="s">
        <v>30916</v>
      </c>
      <c r="I5379" t="s">
        <v>30939</v>
      </c>
      <c r="J5379" t="s">
        <v>34601</v>
      </c>
      <c r="K5379" t="s">
        <v>40289</v>
      </c>
      <c r="M5379" t="s">
        <v>42662</v>
      </c>
      <c r="N5379" t="s">
        <v>44759</v>
      </c>
      <c r="O5379" t="s">
        <v>44760</v>
      </c>
      <c r="P5379">
        <v>0</v>
      </c>
      <c r="Q5379">
        <v>3</v>
      </c>
      <c r="R5379" t="s">
        <v>44766</v>
      </c>
      <c r="S5379" t="s">
        <v>44902</v>
      </c>
      <c r="T5379" t="s">
        <v>46700</v>
      </c>
      <c r="U5379" t="s">
        <v>51496</v>
      </c>
      <c r="V5379" t="s">
        <v>59689</v>
      </c>
      <c r="W5379" t="s">
        <v>42662</v>
      </c>
      <c r="X5379" t="s">
        <v>44767</v>
      </c>
    </row>
    <row r="5380" spans="1:24">
      <c r="A5380">
        <f>HYPERLINK("https://www.philgeps.gov.ph/GEPSNONPILOT/Tender/SplashBidNoticeAbstractUI.aspx?menuIndex=3&amp;refID=7145418&amp;Result=3","7145418")</f>
        <v>0</v>
      </c>
      <c r="B5380" t="s">
        <v>758</v>
      </c>
      <c r="C5380" t="s">
        <v>8836</v>
      </c>
      <c r="D5380" t="s">
        <v>17998</v>
      </c>
      <c r="E5380" t="s">
        <v>22814</v>
      </c>
      <c r="F5380" t="s">
        <v>30900</v>
      </c>
      <c r="G5380" t="s">
        <v>30908</v>
      </c>
      <c r="H5380" t="s">
        <v>30916</v>
      </c>
      <c r="I5380" t="s">
        <v>8365</v>
      </c>
      <c r="J5380" t="s">
        <v>34602</v>
      </c>
      <c r="K5380" t="s">
        <v>40289</v>
      </c>
      <c r="M5380" t="s">
        <v>41323</v>
      </c>
      <c r="N5380" t="s">
        <v>44759</v>
      </c>
      <c r="O5380" t="s">
        <v>44760</v>
      </c>
      <c r="P5380">
        <v>0</v>
      </c>
      <c r="Q5380">
        <v>2</v>
      </c>
      <c r="R5380" t="s">
        <v>44766</v>
      </c>
      <c r="S5380" t="s">
        <v>44902</v>
      </c>
      <c r="T5380" t="s">
        <v>46398</v>
      </c>
      <c r="U5380" t="s">
        <v>51497</v>
      </c>
      <c r="W5380" t="s">
        <v>41323</v>
      </c>
      <c r="X5380" t="s">
        <v>44767</v>
      </c>
    </row>
    <row r="5381" spans="1:24">
      <c r="A5381">
        <f>HYPERLINK("https://www.philgeps.gov.ph/GEPSNONPILOT/Tender/SplashBidNoticeAbstractUI.aspx?menuIndex=3&amp;refID=7145555&amp;Result=3","7145555")</f>
        <v>0</v>
      </c>
      <c r="B5381" t="s">
        <v>1975</v>
      </c>
      <c r="C5381" t="s">
        <v>8837</v>
      </c>
      <c r="D5381" t="s">
        <v>18012</v>
      </c>
      <c r="E5381" t="s">
        <v>20527</v>
      </c>
      <c r="F5381" t="s">
        <v>30900</v>
      </c>
      <c r="G5381" t="s">
        <v>30907</v>
      </c>
      <c r="H5381" t="s">
        <v>30915</v>
      </c>
      <c r="I5381" t="s">
        <v>8123</v>
      </c>
      <c r="J5381" t="s">
        <v>34603</v>
      </c>
      <c r="K5381" t="s">
        <v>40284</v>
      </c>
      <c r="M5381" t="s">
        <v>42663</v>
      </c>
      <c r="N5381" t="s">
        <v>44759</v>
      </c>
      <c r="O5381" t="s">
        <v>44760</v>
      </c>
      <c r="P5381">
        <v>0</v>
      </c>
      <c r="Q5381">
        <v>0</v>
      </c>
      <c r="R5381" t="s">
        <v>44766</v>
      </c>
      <c r="S5381" t="s">
        <v>44902</v>
      </c>
      <c r="T5381" t="s">
        <v>46411</v>
      </c>
      <c r="U5381" t="s">
        <v>51498</v>
      </c>
      <c r="V5381" t="s">
        <v>59421</v>
      </c>
      <c r="W5381" t="s">
        <v>42663</v>
      </c>
      <c r="X5381" t="s">
        <v>44767</v>
      </c>
    </row>
    <row r="5382" spans="1:24">
      <c r="A5382">
        <f>HYPERLINK("https://www.philgeps.gov.ph/GEPSNONPILOT/Tender/SplashBidNoticeAbstractUI.aspx?menuIndex=3&amp;refID=7145553&amp;Result=3","7145553")</f>
        <v>0</v>
      </c>
      <c r="B5382" t="s">
        <v>479</v>
      </c>
      <c r="C5382" t="s">
        <v>8838</v>
      </c>
      <c r="D5382" t="s">
        <v>17959</v>
      </c>
      <c r="E5382" t="s">
        <v>22815</v>
      </c>
      <c r="F5382" t="s">
        <v>30900</v>
      </c>
      <c r="G5382" t="s">
        <v>30908</v>
      </c>
      <c r="H5382" t="s">
        <v>30917</v>
      </c>
      <c r="I5382" t="s">
        <v>6746</v>
      </c>
      <c r="J5382" t="s">
        <v>31247</v>
      </c>
      <c r="K5382" t="s">
        <v>40284</v>
      </c>
      <c r="M5382" t="s">
        <v>41037</v>
      </c>
      <c r="N5382" t="s">
        <v>44759</v>
      </c>
      <c r="O5382" t="s">
        <v>44760</v>
      </c>
      <c r="P5382">
        <v>0</v>
      </c>
      <c r="Q5382">
        <v>1</v>
      </c>
      <c r="R5382" t="s">
        <v>44766</v>
      </c>
      <c r="S5382" t="s">
        <v>44902</v>
      </c>
      <c r="T5382" t="s">
        <v>46714</v>
      </c>
      <c r="U5382" t="s">
        <v>51499</v>
      </c>
      <c r="W5382" t="s">
        <v>42652</v>
      </c>
      <c r="X5382" t="s">
        <v>44767</v>
      </c>
    </row>
    <row r="5383" spans="1:24">
      <c r="A5383">
        <f>HYPERLINK("https://www.philgeps.gov.ph/GEPSNONPILOT/Tender/SplashBidNoticeAbstractUI.aspx?menuIndex=3&amp;refID=7145551&amp;Result=3","7145551")</f>
        <v>0</v>
      </c>
      <c r="B5383" t="s">
        <v>1972</v>
      </c>
      <c r="C5383" t="s">
        <v>8839</v>
      </c>
      <c r="D5383" t="s">
        <v>17971</v>
      </c>
      <c r="E5383" t="s">
        <v>22816</v>
      </c>
      <c r="F5383" t="s">
        <v>30900</v>
      </c>
      <c r="G5383" t="s">
        <v>30907</v>
      </c>
      <c r="H5383" t="s">
        <v>30915</v>
      </c>
      <c r="I5383" t="s">
        <v>30919</v>
      </c>
      <c r="J5383" t="s">
        <v>31243</v>
      </c>
      <c r="K5383" t="s">
        <v>40302</v>
      </c>
      <c r="L5383" t="s">
        <v>1972</v>
      </c>
      <c r="M5383" t="s">
        <v>42660</v>
      </c>
      <c r="N5383" t="s">
        <v>44759</v>
      </c>
      <c r="O5383" t="s">
        <v>44760</v>
      </c>
      <c r="P5383">
        <v>0</v>
      </c>
      <c r="Q5383">
        <v>40</v>
      </c>
      <c r="R5383" t="s">
        <v>44766</v>
      </c>
      <c r="S5383" t="s">
        <v>44902</v>
      </c>
      <c r="T5383" t="s">
        <v>46414</v>
      </c>
      <c r="U5383" t="s">
        <v>51500</v>
      </c>
      <c r="W5383" t="s">
        <v>42660</v>
      </c>
      <c r="X5383" t="s">
        <v>44767</v>
      </c>
    </row>
    <row r="5384" spans="1:24">
      <c r="A5384">
        <f>HYPERLINK("https://www.philgeps.gov.ph/GEPSNONPILOT/Tender/SplashBidNoticeAbstractUI.aspx?menuIndex=3&amp;refID=7145576&amp;Result=3","7145576")</f>
        <v>0</v>
      </c>
      <c r="B5384" t="s">
        <v>869</v>
      </c>
      <c r="C5384" t="s">
        <v>8840</v>
      </c>
      <c r="D5384" t="s">
        <v>17988</v>
      </c>
      <c r="E5384" t="s">
        <v>22817</v>
      </c>
      <c r="F5384" t="s">
        <v>30900</v>
      </c>
      <c r="G5384" t="s">
        <v>30908</v>
      </c>
      <c r="H5384" t="s">
        <v>30916</v>
      </c>
      <c r="I5384" t="s">
        <v>10847</v>
      </c>
      <c r="J5384" t="s">
        <v>34604</v>
      </c>
      <c r="K5384" t="s">
        <v>40285</v>
      </c>
      <c r="M5384" t="s">
        <v>42655</v>
      </c>
      <c r="N5384" t="s">
        <v>44759</v>
      </c>
      <c r="O5384" t="s">
        <v>44760</v>
      </c>
      <c r="P5384">
        <v>0</v>
      </c>
      <c r="Q5384">
        <v>0</v>
      </c>
      <c r="R5384" t="s">
        <v>44766</v>
      </c>
      <c r="S5384" t="s">
        <v>44902</v>
      </c>
      <c r="T5384" t="s">
        <v>46700</v>
      </c>
      <c r="U5384" t="s">
        <v>51501</v>
      </c>
      <c r="W5384" t="s">
        <v>42655</v>
      </c>
      <c r="X5384" t="s">
        <v>44767</v>
      </c>
    </row>
    <row r="5385" spans="1:24">
      <c r="A5385">
        <f>HYPERLINK("https://www.philgeps.gov.ph/GEPSNONPILOT/Tender/SplashBidNoticeAbstractUI.aspx?menuIndex=3&amp;refID=7145509&amp;Result=3","7145509")</f>
        <v>0</v>
      </c>
      <c r="B5385" t="s">
        <v>1976</v>
      </c>
      <c r="C5385" t="s">
        <v>8841</v>
      </c>
      <c r="D5385" t="s">
        <v>18019</v>
      </c>
      <c r="E5385" t="s">
        <v>22818</v>
      </c>
      <c r="F5385" t="s">
        <v>30900</v>
      </c>
      <c r="G5385" t="s">
        <v>30907</v>
      </c>
      <c r="H5385" t="s">
        <v>30916</v>
      </c>
      <c r="I5385" t="s">
        <v>8123</v>
      </c>
      <c r="J5385" t="s">
        <v>34605</v>
      </c>
      <c r="K5385" t="s">
        <v>40314</v>
      </c>
      <c r="M5385" t="s">
        <v>42664</v>
      </c>
      <c r="N5385" t="s">
        <v>44759</v>
      </c>
      <c r="O5385" t="s">
        <v>44760</v>
      </c>
      <c r="P5385">
        <v>0</v>
      </c>
      <c r="Q5385">
        <v>1</v>
      </c>
      <c r="R5385" t="s">
        <v>44766</v>
      </c>
      <c r="S5385" t="s">
        <v>44902</v>
      </c>
      <c r="T5385" t="s">
        <v>46369</v>
      </c>
      <c r="U5385" t="s">
        <v>51502</v>
      </c>
      <c r="W5385" t="s">
        <v>42664</v>
      </c>
      <c r="X5385" t="s">
        <v>44767</v>
      </c>
    </row>
    <row r="5386" spans="1:24">
      <c r="A5386">
        <f>HYPERLINK("https://www.philgeps.gov.ph/GEPSNONPILOT/Tender/SplashBidNoticeAbstractUI.aspx?menuIndex=3&amp;refID=7145550&amp;Result=3","7145550")</f>
        <v>0</v>
      </c>
      <c r="B5386" t="s">
        <v>841</v>
      </c>
      <c r="C5386" t="s">
        <v>8842</v>
      </c>
      <c r="D5386" t="s">
        <v>17978</v>
      </c>
      <c r="E5386" t="s">
        <v>22819</v>
      </c>
      <c r="F5386" t="s">
        <v>30900</v>
      </c>
      <c r="G5386" t="s">
        <v>30910</v>
      </c>
      <c r="H5386" t="s">
        <v>30916</v>
      </c>
      <c r="I5386" t="s">
        <v>4142</v>
      </c>
      <c r="J5386" t="s">
        <v>32298</v>
      </c>
      <c r="K5386" t="s">
        <v>40284</v>
      </c>
      <c r="M5386" t="s">
        <v>41414</v>
      </c>
      <c r="N5386" t="s">
        <v>44759</v>
      </c>
      <c r="O5386" t="s">
        <v>44760</v>
      </c>
      <c r="P5386">
        <v>0</v>
      </c>
      <c r="Q5386">
        <v>0</v>
      </c>
      <c r="R5386" t="s">
        <v>44766</v>
      </c>
      <c r="S5386" t="s">
        <v>44902</v>
      </c>
      <c r="T5386" t="s">
        <v>46398</v>
      </c>
      <c r="U5386" t="s">
        <v>51503</v>
      </c>
      <c r="W5386" t="s">
        <v>41414</v>
      </c>
      <c r="X5386" t="s">
        <v>44767</v>
      </c>
    </row>
    <row r="5387" spans="1:24">
      <c r="A5387">
        <f>HYPERLINK("https://www.philgeps.gov.ph/GEPSNONPILOT/Tender/SplashBidNoticeAbstractUI.aspx?menuIndex=3&amp;refID=7145544&amp;Result=3","7145544")</f>
        <v>0</v>
      </c>
      <c r="B5387" t="s">
        <v>1972</v>
      </c>
      <c r="C5387" t="s">
        <v>8843</v>
      </c>
      <c r="D5387" t="s">
        <v>17971</v>
      </c>
      <c r="E5387" t="s">
        <v>22820</v>
      </c>
      <c r="F5387" t="s">
        <v>30900</v>
      </c>
      <c r="G5387" t="s">
        <v>30907</v>
      </c>
      <c r="H5387" t="s">
        <v>30915</v>
      </c>
      <c r="I5387" t="s">
        <v>30919</v>
      </c>
      <c r="J5387" t="s">
        <v>31243</v>
      </c>
      <c r="K5387" t="s">
        <v>40302</v>
      </c>
      <c r="L5387" t="s">
        <v>1972</v>
      </c>
      <c r="M5387" t="s">
        <v>42660</v>
      </c>
      <c r="N5387" t="s">
        <v>44759</v>
      </c>
      <c r="O5387" t="s">
        <v>44760</v>
      </c>
      <c r="P5387">
        <v>0</v>
      </c>
      <c r="Q5387">
        <v>41</v>
      </c>
      <c r="R5387" t="s">
        <v>44766</v>
      </c>
      <c r="S5387" t="s">
        <v>44902</v>
      </c>
      <c r="T5387" t="s">
        <v>46383</v>
      </c>
      <c r="U5387" t="s">
        <v>51504</v>
      </c>
      <c r="W5387" t="s">
        <v>42660</v>
      </c>
      <c r="X5387" t="s">
        <v>44767</v>
      </c>
    </row>
    <row r="5388" spans="1:24">
      <c r="A5388">
        <f>HYPERLINK("https://www.philgeps.gov.ph/GEPSNONPILOT/Tender/SplashBidNoticeAbstractUI.aspx?menuIndex=3&amp;refID=7145543&amp;Result=3","7145543")</f>
        <v>0</v>
      </c>
      <c r="B5388" t="s">
        <v>838</v>
      </c>
      <c r="C5388" t="s">
        <v>8844</v>
      </c>
      <c r="D5388" t="s">
        <v>17975</v>
      </c>
      <c r="E5388" t="s">
        <v>22622</v>
      </c>
      <c r="F5388" t="s">
        <v>30900</v>
      </c>
      <c r="G5388" t="s">
        <v>30907</v>
      </c>
      <c r="H5388" t="s">
        <v>30915</v>
      </c>
      <c r="I5388" t="s">
        <v>30919</v>
      </c>
      <c r="J5388" t="s">
        <v>34606</v>
      </c>
      <c r="K5388" t="s">
        <v>40292</v>
      </c>
      <c r="M5388" t="s">
        <v>41411</v>
      </c>
      <c r="N5388" t="s">
        <v>44759</v>
      </c>
      <c r="O5388" t="s">
        <v>44760</v>
      </c>
      <c r="P5388">
        <v>0</v>
      </c>
      <c r="Q5388">
        <v>1</v>
      </c>
      <c r="R5388" t="s">
        <v>44766</v>
      </c>
      <c r="S5388" t="s">
        <v>44902</v>
      </c>
      <c r="T5388" t="s">
        <v>46495</v>
      </c>
      <c r="U5388" t="s">
        <v>51505</v>
      </c>
      <c r="W5388" t="s">
        <v>41411</v>
      </c>
      <c r="X5388" t="s">
        <v>44767</v>
      </c>
    </row>
    <row r="5389" spans="1:24">
      <c r="A5389">
        <f>HYPERLINK("https://www.philgeps.gov.ph/GEPSNONPILOT/Tender/SplashBidNoticeAbstractUI.aspx?menuIndex=3&amp;refID=7145552&amp;Result=3","7145552")</f>
        <v>0</v>
      </c>
      <c r="B5389" t="s">
        <v>1100</v>
      </c>
      <c r="C5389" t="s">
        <v>8845</v>
      </c>
      <c r="D5389" t="s">
        <v>17980</v>
      </c>
      <c r="E5389" t="s">
        <v>22821</v>
      </c>
      <c r="F5389" t="s">
        <v>30900</v>
      </c>
      <c r="G5389" t="s">
        <v>30909</v>
      </c>
      <c r="H5389" t="s">
        <v>30916</v>
      </c>
      <c r="I5389" t="s">
        <v>10847</v>
      </c>
      <c r="J5389" t="s">
        <v>34607</v>
      </c>
      <c r="K5389" t="s">
        <v>40289</v>
      </c>
      <c r="M5389" t="s">
        <v>41789</v>
      </c>
      <c r="N5389" t="s">
        <v>44759</v>
      </c>
      <c r="O5389" t="s">
        <v>44760</v>
      </c>
      <c r="P5389">
        <v>0</v>
      </c>
      <c r="Q5389">
        <v>1</v>
      </c>
      <c r="R5389" t="s">
        <v>44766</v>
      </c>
      <c r="S5389" t="s">
        <v>44902</v>
      </c>
      <c r="T5389" t="s">
        <v>46364</v>
      </c>
      <c r="U5389" t="s">
        <v>51506</v>
      </c>
      <c r="W5389" t="s">
        <v>41789</v>
      </c>
      <c r="X5389" t="s">
        <v>44767</v>
      </c>
    </row>
    <row r="5390" spans="1:24">
      <c r="A5390">
        <f>HYPERLINK("https://www.philgeps.gov.ph/GEPSNONPILOT/Tender/SplashBidNoticeAbstractUI.aspx?menuIndex=3&amp;refID=7145517&amp;Result=3","7145517")</f>
        <v>0</v>
      </c>
      <c r="B5390" t="s">
        <v>155</v>
      </c>
      <c r="C5390" t="s">
        <v>8846</v>
      </c>
      <c r="D5390" t="s">
        <v>17985</v>
      </c>
      <c r="E5390" t="s">
        <v>22822</v>
      </c>
      <c r="F5390" t="s">
        <v>30900</v>
      </c>
      <c r="G5390" t="s">
        <v>30908</v>
      </c>
      <c r="H5390" t="s">
        <v>30915</v>
      </c>
      <c r="I5390" t="s">
        <v>30919</v>
      </c>
      <c r="J5390" t="s">
        <v>32242</v>
      </c>
      <c r="K5390" t="s">
        <v>40304</v>
      </c>
      <c r="M5390" t="s">
        <v>40702</v>
      </c>
      <c r="N5390" t="s">
        <v>44759</v>
      </c>
      <c r="O5390" t="s">
        <v>44760</v>
      </c>
      <c r="P5390">
        <v>0</v>
      </c>
      <c r="Q5390">
        <v>1</v>
      </c>
      <c r="R5390" t="s">
        <v>44766</v>
      </c>
      <c r="S5390" t="s">
        <v>44902</v>
      </c>
      <c r="T5390" t="s">
        <v>46699</v>
      </c>
      <c r="U5390" t="s">
        <v>47173</v>
      </c>
      <c r="V5390" t="s">
        <v>59132</v>
      </c>
      <c r="W5390" t="s">
        <v>40702</v>
      </c>
      <c r="X5390" t="s">
        <v>44767</v>
      </c>
    </row>
    <row r="5391" spans="1:24">
      <c r="A5391">
        <f>HYPERLINK("https://www.philgeps.gov.ph/GEPSNONPILOT/Tender/SplashBidNoticeAbstractUI.aspx?menuIndex=3&amp;refID=7145640&amp;Result=3","7145640")</f>
        <v>0</v>
      </c>
      <c r="B5391" t="s">
        <v>926</v>
      </c>
      <c r="C5391" t="s">
        <v>8847</v>
      </c>
      <c r="D5391" t="s">
        <v>17999</v>
      </c>
      <c r="E5391" t="s">
        <v>22823</v>
      </c>
      <c r="F5391" t="s">
        <v>30900</v>
      </c>
      <c r="G5391" t="s">
        <v>30907</v>
      </c>
      <c r="H5391" t="s">
        <v>30916</v>
      </c>
      <c r="I5391" t="s">
        <v>30947</v>
      </c>
      <c r="J5391" t="s">
        <v>31153</v>
      </c>
      <c r="K5391" t="s">
        <v>40412</v>
      </c>
      <c r="M5391" t="s">
        <v>42665</v>
      </c>
      <c r="N5391" t="s">
        <v>44759</v>
      </c>
      <c r="O5391" t="s">
        <v>44760</v>
      </c>
      <c r="P5391">
        <v>0</v>
      </c>
      <c r="Q5391">
        <v>2</v>
      </c>
      <c r="R5391" t="s">
        <v>44766</v>
      </c>
      <c r="S5391" t="s">
        <v>44902</v>
      </c>
      <c r="T5391" t="s">
        <v>46539</v>
      </c>
      <c r="U5391" t="s">
        <v>51507</v>
      </c>
      <c r="W5391" t="s">
        <v>42665</v>
      </c>
      <c r="X5391" t="s">
        <v>44767</v>
      </c>
    </row>
    <row r="5392" spans="1:24">
      <c r="A5392">
        <f>HYPERLINK("https://www.philgeps.gov.ph/GEPSNONPILOT/Tender/SplashBidNoticeAbstractUI.aspx?menuIndex=3&amp;refID=7145507&amp;Result=3","7145507")</f>
        <v>0</v>
      </c>
      <c r="B5392" t="s">
        <v>739</v>
      </c>
      <c r="C5392" t="s">
        <v>8848</v>
      </c>
      <c r="D5392" t="s">
        <v>17972</v>
      </c>
      <c r="E5392" t="s">
        <v>22824</v>
      </c>
      <c r="F5392" t="s">
        <v>30900</v>
      </c>
      <c r="G5392" t="s">
        <v>30909</v>
      </c>
      <c r="H5392" t="s">
        <v>30916</v>
      </c>
      <c r="I5392" t="s">
        <v>4545</v>
      </c>
      <c r="J5392" t="s">
        <v>31443</v>
      </c>
      <c r="K5392" t="s">
        <v>40286</v>
      </c>
      <c r="L5392" t="s">
        <v>739</v>
      </c>
      <c r="M5392" t="s">
        <v>41303</v>
      </c>
      <c r="N5392" t="s">
        <v>44759</v>
      </c>
      <c r="O5392" t="s">
        <v>44760</v>
      </c>
      <c r="P5392">
        <v>0</v>
      </c>
      <c r="Q5392">
        <v>7</v>
      </c>
      <c r="R5392" t="s">
        <v>44766</v>
      </c>
      <c r="S5392" t="s">
        <v>44902</v>
      </c>
      <c r="T5392" t="s">
        <v>46686</v>
      </c>
      <c r="U5392" t="s">
        <v>51508</v>
      </c>
      <c r="V5392" t="s">
        <v>59291</v>
      </c>
      <c r="W5392" t="s">
        <v>41303</v>
      </c>
      <c r="X5392" t="s">
        <v>44767</v>
      </c>
    </row>
    <row r="5393" spans="1:24">
      <c r="A5393">
        <f>HYPERLINK("https://www.philgeps.gov.ph/GEPSNONPILOT/Tender/SplashBidNoticeAbstractUI.aspx?menuIndex=3&amp;refID=7145630&amp;Result=3","7145630")</f>
        <v>0</v>
      </c>
      <c r="B5393" t="s">
        <v>258</v>
      </c>
      <c r="C5393" t="s">
        <v>8849</v>
      </c>
      <c r="D5393" t="s">
        <v>18005</v>
      </c>
      <c r="E5393" t="s">
        <v>22825</v>
      </c>
      <c r="F5393" t="s">
        <v>30900</v>
      </c>
      <c r="G5393" t="s">
        <v>30909</v>
      </c>
      <c r="H5393" t="s">
        <v>30916</v>
      </c>
      <c r="I5393" t="s">
        <v>10847</v>
      </c>
      <c r="J5393" t="s">
        <v>34608</v>
      </c>
      <c r="K5393" t="s">
        <v>40283</v>
      </c>
      <c r="M5393" t="s">
        <v>40805</v>
      </c>
      <c r="N5393" t="s">
        <v>44759</v>
      </c>
      <c r="O5393" t="s">
        <v>44760</v>
      </c>
      <c r="P5393">
        <v>0</v>
      </c>
      <c r="Q5393">
        <v>0</v>
      </c>
      <c r="R5393" t="s">
        <v>44766</v>
      </c>
      <c r="S5393" t="s">
        <v>44902</v>
      </c>
      <c r="T5393" t="s">
        <v>46457</v>
      </c>
      <c r="U5393" t="s">
        <v>51509</v>
      </c>
      <c r="W5393" t="s">
        <v>40805</v>
      </c>
      <c r="X5393" t="s">
        <v>44767</v>
      </c>
    </row>
    <row r="5394" spans="1:24">
      <c r="A5394">
        <f>HYPERLINK("https://www.philgeps.gov.ph/GEPSNONPILOT/Tender/SplashBidNoticeAbstractUI.aspx?menuIndex=3&amp;refID=7145587&amp;Result=3","7145587")</f>
        <v>0</v>
      </c>
      <c r="B5394" t="s">
        <v>1977</v>
      </c>
      <c r="C5394" t="s">
        <v>8850</v>
      </c>
      <c r="D5394" t="s">
        <v>17976</v>
      </c>
      <c r="E5394" t="s">
        <v>22826</v>
      </c>
      <c r="F5394" t="s">
        <v>30900</v>
      </c>
      <c r="G5394" t="s">
        <v>30909</v>
      </c>
      <c r="H5394" t="s">
        <v>30916</v>
      </c>
      <c r="I5394" t="s">
        <v>30921</v>
      </c>
      <c r="J5394" t="s">
        <v>34609</v>
      </c>
      <c r="K5394" t="s">
        <v>40293</v>
      </c>
      <c r="M5394" t="s">
        <v>42666</v>
      </c>
      <c r="N5394" t="s">
        <v>44759</v>
      </c>
      <c r="O5394" t="s">
        <v>44760</v>
      </c>
      <c r="P5394">
        <v>0</v>
      </c>
      <c r="Q5394">
        <v>1</v>
      </c>
      <c r="R5394" t="s">
        <v>44766</v>
      </c>
      <c r="S5394" t="s">
        <v>44902</v>
      </c>
      <c r="T5394" t="s">
        <v>46658</v>
      </c>
      <c r="U5394" t="s">
        <v>51510</v>
      </c>
      <c r="W5394" t="s">
        <v>42666</v>
      </c>
      <c r="X5394" t="s">
        <v>44767</v>
      </c>
    </row>
    <row r="5395" spans="1:24">
      <c r="A5395">
        <f>HYPERLINK("https://www.philgeps.gov.ph/GEPSNONPILOT/Tender/SplashBidNoticeAbstractUI.aspx?menuIndex=3&amp;refID=7145649&amp;Result=3","7145649")</f>
        <v>0</v>
      </c>
      <c r="B5395" t="s">
        <v>486</v>
      </c>
      <c r="C5395" t="s">
        <v>8851</v>
      </c>
      <c r="D5395" t="s">
        <v>17977</v>
      </c>
      <c r="E5395" t="s">
        <v>22827</v>
      </c>
      <c r="F5395" t="s">
        <v>30900</v>
      </c>
      <c r="G5395" t="s">
        <v>30907</v>
      </c>
      <c r="H5395" t="s">
        <v>30916</v>
      </c>
      <c r="I5395" t="s">
        <v>30939</v>
      </c>
      <c r="J5395" t="s">
        <v>31271</v>
      </c>
      <c r="K5395" t="s">
        <v>40285</v>
      </c>
      <c r="M5395" t="s">
        <v>41059</v>
      </c>
      <c r="N5395" t="s">
        <v>44759</v>
      </c>
      <c r="O5395" t="s">
        <v>44760</v>
      </c>
      <c r="P5395">
        <v>0</v>
      </c>
      <c r="Q5395">
        <v>0</v>
      </c>
      <c r="R5395" t="s">
        <v>44766</v>
      </c>
      <c r="S5395" t="s">
        <v>44902</v>
      </c>
      <c r="T5395" t="s">
        <v>46703</v>
      </c>
      <c r="U5395" t="s">
        <v>51511</v>
      </c>
      <c r="W5395" t="s">
        <v>41059</v>
      </c>
      <c r="X5395" t="s">
        <v>44767</v>
      </c>
    </row>
    <row r="5396" spans="1:24">
      <c r="A5396">
        <f>HYPERLINK("https://www.philgeps.gov.ph/GEPSNONPILOT/Tender/SplashBidNoticeAbstractUI.aspx?menuIndex=3&amp;refID=7145619&amp;Result=3","7145619")</f>
        <v>0</v>
      </c>
      <c r="B5396" t="s">
        <v>568</v>
      </c>
      <c r="C5396" t="s">
        <v>8852</v>
      </c>
      <c r="D5396" t="s">
        <v>17981</v>
      </c>
      <c r="E5396" t="s">
        <v>22828</v>
      </c>
      <c r="F5396" t="s">
        <v>30900</v>
      </c>
      <c r="G5396" t="s">
        <v>30907</v>
      </c>
      <c r="H5396" t="s">
        <v>30916</v>
      </c>
      <c r="I5396" t="s">
        <v>4965</v>
      </c>
      <c r="J5396" t="s">
        <v>31653</v>
      </c>
      <c r="K5396" t="s">
        <v>40289</v>
      </c>
      <c r="M5396" t="s">
        <v>41129</v>
      </c>
      <c r="N5396" t="s">
        <v>44759</v>
      </c>
      <c r="O5396" t="s">
        <v>44760</v>
      </c>
      <c r="P5396">
        <v>0</v>
      </c>
      <c r="Q5396">
        <v>19</v>
      </c>
      <c r="R5396" t="s">
        <v>44766</v>
      </c>
      <c r="S5396" t="s">
        <v>44902</v>
      </c>
      <c r="T5396" t="s">
        <v>46357</v>
      </c>
      <c r="U5396" t="s">
        <v>51512</v>
      </c>
      <c r="W5396" t="s">
        <v>41129</v>
      </c>
      <c r="X5396" t="s">
        <v>44767</v>
      </c>
    </row>
    <row r="5397" spans="1:24">
      <c r="A5397">
        <f>HYPERLINK("https://www.philgeps.gov.ph/GEPSNONPILOT/Tender/SplashBidNoticeAbstractUI.aspx?menuIndex=3&amp;refID=7145643&amp;Result=3","7145643")</f>
        <v>0</v>
      </c>
      <c r="B5397" t="s">
        <v>1978</v>
      </c>
      <c r="C5397" t="s">
        <v>8853</v>
      </c>
      <c r="D5397" t="s">
        <v>17993</v>
      </c>
      <c r="E5397" t="s">
        <v>22829</v>
      </c>
      <c r="F5397" t="s">
        <v>30900</v>
      </c>
      <c r="G5397" t="s">
        <v>30908</v>
      </c>
      <c r="H5397" t="s">
        <v>30916</v>
      </c>
      <c r="I5397" t="s">
        <v>8123</v>
      </c>
      <c r="J5397" t="s">
        <v>31270</v>
      </c>
      <c r="K5397" t="s">
        <v>40289</v>
      </c>
      <c r="M5397" t="s">
        <v>42667</v>
      </c>
      <c r="N5397" t="s">
        <v>44759</v>
      </c>
      <c r="O5397" t="s">
        <v>44760</v>
      </c>
      <c r="P5397">
        <v>0</v>
      </c>
      <c r="Q5397">
        <v>1</v>
      </c>
      <c r="R5397" t="s">
        <v>44766</v>
      </c>
      <c r="S5397" t="s">
        <v>44902</v>
      </c>
      <c r="T5397" t="s">
        <v>46662</v>
      </c>
      <c r="U5397" t="s">
        <v>51513</v>
      </c>
      <c r="W5397" t="s">
        <v>42667</v>
      </c>
      <c r="X5397" t="s">
        <v>44767</v>
      </c>
    </row>
    <row r="5398" spans="1:24">
      <c r="A5398">
        <f>HYPERLINK("https://www.philgeps.gov.ph/GEPSNONPILOT/Tender/SplashBidNoticeAbstractUI.aspx?menuIndex=3&amp;refID=7145372&amp;Result=3","7145372")</f>
        <v>0</v>
      </c>
      <c r="B5398" t="s">
        <v>114</v>
      </c>
      <c r="C5398" t="s">
        <v>3937</v>
      </c>
      <c r="D5398" t="s">
        <v>17966</v>
      </c>
      <c r="E5398" t="s">
        <v>22830</v>
      </c>
      <c r="F5398" t="s">
        <v>30900</v>
      </c>
      <c r="G5398" t="s">
        <v>30909</v>
      </c>
      <c r="H5398" t="s">
        <v>30916</v>
      </c>
      <c r="I5398" t="s">
        <v>8123</v>
      </c>
      <c r="J5398" t="s">
        <v>34610</v>
      </c>
      <c r="K5398" t="s">
        <v>40286</v>
      </c>
      <c r="M5398" t="s">
        <v>40661</v>
      </c>
      <c r="N5398" t="s">
        <v>44759</v>
      </c>
      <c r="O5398" t="s">
        <v>44760</v>
      </c>
      <c r="P5398">
        <v>0</v>
      </c>
      <c r="Q5398">
        <v>1</v>
      </c>
      <c r="R5398" t="s">
        <v>44766</v>
      </c>
      <c r="S5398" t="s">
        <v>44902</v>
      </c>
      <c r="T5398" t="s">
        <v>46414</v>
      </c>
      <c r="U5398" t="s">
        <v>51514</v>
      </c>
      <c r="W5398" t="s">
        <v>40661</v>
      </c>
      <c r="X5398" t="s">
        <v>44767</v>
      </c>
    </row>
    <row r="5399" spans="1:24">
      <c r="A5399">
        <f>HYPERLINK("https://www.philgeps.gov.ph/GEPSNONPILOT/Tender/SplashBidNoticeAbstractUI.aspx?menuIndex=3&amp;refID=7145608&amp;Result=3","7145608")</f>
        <v>0</v>
      </c>
      <c r="B5399" t="s">
        <v>322</v>
      </c>
      <c r="C5399" t="s">
        <v>8854</v>
      </c>
      <c r="D5399" t="s">
        <v>17959</v>
      </c>
      <c r="E5399" t="s">
        <v>22831</v>
      </c>
      <c r="F5399" t="s">
        <v>30900</v>
      </c>
      <c r="G5399" t="s">
        <v>30908</v>
      </c>
      <c r="H5399" t="s">
        <v>30916</v>
      </c>
      <c r="I5399" t="s">
        <v>30957</v>
      </c>
      <c r="J5399" t="s">
        <v>31896</v>
      </c>
      <c r="K5399" t="s">
        <v>40304</v>
      </c>
      <c r="M5399" t="s">
        <v>42668</v>
      </c>
      <c r="N5399" t="s">
        <v>44759</v>
      </c>
      <c r="O5399" t="s">
        <v>44760</v>
      </c>
      <c r="P5399">
        <v>0</v>
      </c>
      <c r="Q5399">
        <v>4</v>
      </c>
      <c r="R5399" t="s">
        <v>44766</v>
      </c>
      <c r="S5399" t="s">
        <v>44902</v>
      </c>
      <c r="T5399" t="s">
        <v>46704</v>
      </c>
      <c r="U5399" t="s">
        <v>51515</v>
      </c>
      <c r="V5399" t="s">
        <v>59690</v>
      </c>
      <c r="W5399" t="s">
        <v>42668</v>
      </c>
      <c r="X5399" t="s">
        <v>44767</v>
      </c>
    </row>
    <row r="5400" spans="1:24">
      <c r="A5400">
        <f>HYPERLINK("https://www.philgeps.gov.ph/GEPSNONPILOT/Tender/SplashBidNoticeAbstractUI.aspx?menuIndex=3&amp;refID=7145624&amp;Result=3","7145624")</f>
        <v>0</v>
      </c>
      <c r="B5400" t="s">
        <v>869</v>
      </c>
      <c r="C5400" t="s">
        <v>8855</v>
      </c>
      <c r="D5400" t="s">
        <v>17988</v>
      </c>
      <c r="E5400" t="s">
        <v>22832</v>
      </c>
      <c r="F5400" t="s">
        <v>30900</v>
      </c>
      <c r="G5400" t="s">
        <v>30908</v>
      </c>
      <c r="H5400" t="s">
        <v>30916</v>
      </c>
      <c r="I5400" t="s">
        <v>6953</v>
      </c>
      <c r="J5400" t="s">
        <v>34611</v>
      </c>
      <c r="K5400" t="s">
        <v>40285</v>
      </c>
      <c r="M5400" t="s">
        <v>42655</v>
      </c>
      <c r="N5400" t="s">
        <v>44759</v>
      </c>
      <c r="O5400" t="s">
        <v>44760</v>
      </c>
      <c r="P5400">
        <v>0</v>
      </c>
      <c r="Q5400">
        <v>0</v>
      </c>
      <c r="R5400" t="s">
        <v>44766</v>
      </c>
      <c r="S5400" t="s">
        <v>44902</v>
      </c>
      <c r="T5400" t="s">
        <v>46700</v>
      </c>
      <c r="U5400" t="s">
        <v>51516</v>
      </c>
      <c r="W5400" t="s">
        <v>42655</v>
      </c>
      <c r="X5400" t="s">
        <v>44767</v>
      </c>
    </row>
    <row r="5401" spans="1:24">
      <c r="A5401">
        <f>HYPERLINK("https://www.philgeps.gov.ph/GEPSNONPILOT/Tender/SplashBidNoticeAbstractUI.aspx?menuIndex=3&amp;refID=7145606&amp;Result=3","7145606")</f>
        <v>0</v>
      </c>
      <c r="B5401" t="s">
        <v>1972</v>
      </c>
      <c r="C5401" t="s">
        <v>8856</v>
      </c>
      <c r="D5401" t="s">
        <v>17971</v>
      </c>
      <c r="E5401" t="s">
        <v>22833</v>
      </c>
      <c r="F5401" t="s">
        <v>30900</v>
      </c>
      <c r="G5401" t="s">
        <v>30907</v>
      </c>
      <c r="H5401" t="s">
        <v>30915</v>
      </c>
      <c r="I5401" t="s">
        <v>30919</v>
      </c>
      <c r="J5401" t="s">
        <v>31243</v>
      </c>
      <c r="K5401" t="s">
        <v>40308</v>
      </c>
      <c r="L5401" t="s">
        <v>1972</v>
      </c>
      <c r="M5401" t="s">
        <v>42660</v>
      </c>
      <c r="N5401" t="s">
        <v>44759</v>
      </c>
      <c r="O5401" t="s">
        <v>44760</v>
      </c>
      <c r="P5401">
        <v>0</v>
      </c>
      <c r="Q5401">
        <v>41</v>
      </c>
      <c r="R5401" t="s">
        <v>44766</v>
      </c>
      <c r="S5401" t="s">
        <v>44902</v>
      </c>
      <c r="T5401" t="s">
        <v>46363</v>
      </c>
      <c r="U5401" t="s">
        <v>51517</v>
      </c>
      <c r="W5401" t="s">
        <v>42660</v>
      </c>
      <c r="X5401" t="s">
        <v>44767</v>
      </c>
    </row>
    <row r="5402" spans="1:24">
      <c r="A5402">
        <f>HYPERLINK("https://www.philgeps.gov.ph/GEPSNONPILOT/Tender/SplashBidNoticeAbstractUI.aspx?menuIndex=3&amp;refID=7145612&amp;Result=3","7145612")</f>
        <v>0</v>
      </c>
      <c r="B5402" t="s">
        <v>1979</v>
      </c>
      <c r="C5402" t="s">
        <v>8857</v>
      </c>
      <c r="D5402" t="s">
        <v>17978</v>
      </c>
      <c r="E5402" t="s">
        <v>22834</v>
      </c>
      <c r="F5402" t="s">
        <v>30900</v>
      </c>
      <c r="G5402" t="s">
        <v>30908</v>
      </c>
      <c r="H5402" t="s">
        <v>30916</v>
      </c>
      <c r="I5402" t="s">
        <v>30927</v>
      </c>
      <c r="J5402" t="s">
        <v>32532</v>
      </c>
      <c r="K5402" t="s">
        <v>40289</v>
      </c>
      <c r="M5402" t="s">
        <v>42669</v>
      </c>
      <c r="N5402" t="s">
        <v>44759</v>
      </c>
      <c r="O5402" t="s">
        <v>44760</v>
      </c>
      <c r="P5402">
        <v>0</v>
      </c>
      <c r="Q5402">
        <v>1</v>
      </c>
      <c r="R5402" t="s">
        <v>44766</v>
      </c>
      <c r="S5402" t="s">
        <v>44902</v>
      </c>
      <c r="T5402" t="s">
        <v>46457</v>
      </c>
      <c r="U5402" t="s">
        <v>51518</v>
      </c>
      <c r="W5402" t="s">
        <v>42669</v>
      </c>
      <c r="X5402" t="s">
        <v>44767</v>
      </c>
    </row>
    <row r="5403" spans="1:24">
      <c r="A5403">
        <f>HYPERLINK("https://www.philgeps.gov.ph/GEPSNONPILOT/Tender/SplashBidNoticeAbstractUI.aspx?menuIndex=3&amp;refID=7145707&amp;Result=3","7145707")</f>
        <v>0</v>
      </c>
      <c r="B5403" t="s">
        <v>1523</v>
      </c>
      <c r="C5403" t="s">
        <v>8858</v>
      </c>
      <c r="D5403" t="s">
        <v>18010</v>
      </c>
      <c r="E5403" t="s">
        <v>22835</v>
      </c>
      <c r="F5403" t="s">
        <v>30900</v>
      </c>
      <c r="G5403" t="s">
        <v>30907</v>
      </c>
      <c r="H5403" t="s">
        <v>30916</v>
      </c>
      <c r="I5403" t="s">
        <v>6746</v>
      </c>
      <c r="J5403" t="s">
        <v>34612</v>
      </c>
      <c r="K5403" t="s">
        <v>40289</v>
      </c>
      <c r="L5403" t="s">
        <v>1523</v>
      </c>
      <c r="M5403" t="s">
        <v>42165</v>
      </c>
      <c r="N5403" t="s">
        <v>44759</v>
      </c>
      <c r="O5403" t="s">
        <v>44760</v>
      </c>
      <c r="P5403">
        <v>0</v>
      </c>
      <c r="Q5403">
        <v>2</v>
      </c>
      <c r="R5403" t="s">
        <v>44766</v>
      </c>
      <c r="S5403" t="s">
        <v>44902</v>
      </c>
      <c r="T5403" t="s">
        <v>46380</v>
      </c>
      <c r="U5403" t="s">
        <v>51519</v>
      </c>
      <c r="W5403" t="s">
        <v>42165</v>
      </c>
      <c r="X5403" t="s">
        <v>44767</v>
      </c>
    </row>
    <row r="5404" spans="1:24">
      <c r="A5404">
        <f>HYPERLINK("https://www.philgeps.gov.ph/GEPSNONPILOT/Tender/SplashBidNoticeAbstractUI.aspx?menuIndex=3&amp;refID=7145706&amp;Result=3","7145706")</f>
        <v>0</v>
      </c>
      <c r="B5404" t="s">
        <v>1380</v>
      </c>
      <c r="C5404" t="s">
        <v>8859</v>
      </c>
      <c r="D5404" t="s">
        <v>18025</v>
      </c>
      <c r="E5404" t="s">
        <v>22836</v>
      </c>
      <c r="F5404" t="s">
        <v>30900</v>
      </c>
      <c r="G5404" t="s">
        <v>30907</v>
      </c>
      <c r="H5404" t="s">
        <v>30915</v>
      </c>
      <c r="I5404" t="s">
        <v>30919</v>
      </c>
      <c r="J5404" t="s">
        <v>34613</v>
      </c>
      <c r="K5404" t="s">
        <v>40317</v>
      </c>
      <c r="M5404" t="s">
        <v>42004</v>
      </c>
      <c r="N5404" t="s">
        <v>44759</v>
      </c>
      <c r="O5404" t="s">
        <v>44760</v>
      </c>
      <c r="P5404">
        <v>0</v>
      </c>
      <c r="Q5404">
        <v>1</v>
      </c>
      <c r="R5404" t="s">
        <v>44766</v>
      </c>
      <c r="S5404" t="s">
        <v>44902</v>
      </c>
      <c r="T5404" t="s">
        <v>46409</v>
      </c>
      <c r="U5404" t="s">
        <v>51520</v>
      </c>
      <c r="V5404" t="s">
        <v>59691</v>
      </c>
      <c r="W5404" t="s">
        <v>42004</v>
      </c>
      <c r="X5404" t="s">
        <v>44767</v>
      </c>
    </row>
    <row r="5405" spans="1:24">
      <c r="A5405">
        <f>HYPERLINK("https://www.philgeps.gov.ph/GEPSNONPILOT/Tender/SplashBidNoticeAbstractUI.aspx?menuIndex=3&amp;refID=7145609&amp;Result=3","7145609")</f>
        <v>0</v>
      </c>
      <c r="B5405" t="s">
        <v>1980</v>
      </c>
      <c r="C5405" t="s">
        <v>8860</v>
      </c>
      <c r="D5405" t="s">
        <v>18003</v>
      </c>
      <c r="E5405" t="s">
        <v>22837</v>
      </c>
      <c r="F5405" t="s">
        <v>30900</v>
      </c>
      <c r="G5405" t="s">
        <v>30907</v>
      </c>
      <c r="H5405" t="s">
        <v>30915</v>
      </c>
      <c r="I5405" t="s">
        <v>8123</v>
      </c>
      <c r="J5405" t="s">
        <v>34614</v>
      </c>
      <c r="K5405" t="s">
        <v>40287</v>
      </c>
      <c r="M5405" t="s">
        <v>42670</v>
      </c>
      <c r="N5405" t="s">
        <v>44759</v>
      </c>
      <c r="O5405" t="s">
        <v>44760</v>
      </c>
      <c r="P5405">
        <v>0</v>
      </c>
      <c r="Q5405">
        <v>0</v>
      </c>
      <c r="R5405" t="s">
        <v>44766</v>
      </c>
      <c r="S5405" t="s">
        <v>44902</v>
      </c>
      <c r="T5405" t="s">
        <v>46398</v>
      </c>
      <c r="U5405" t="s">
        <v>51521</v>
      </c>
      <c r="W5405" t="s">
        <v>42670</v>
      </c>
      <c r="X5405" t="s">
        <v>44767</v>
      </c>
    </row>
    <row r="5406" spans="1:24">
      <c r="A5406">
        <f>HYPERLINK("https://www.philgeps.gov.ph/GEPSNONPILOT/Tender/SplashBidNoticeAbstractUI.aspx?menuIndex=3&amp;refID=7145704&amp;Result=3","7145704")</f>
        <v>0</v>
      </c>
      <c r="B5406" t="s">
        <v>44</v>
      </c>
      <c r="C5406" t="s">
        <v>8861</v>
      </c>
      <c r="D5406" t="s">
        <v>17969</v>
      </c>
      <c r="E5406" t="s">
        <v>22838</v>
      </c>
      <c r="F5406" t="s">
        <v>30900</v>
      </c>
      <c r="G5406" t="s">
        <v>30910</v>
      </c>
      <c r="H5406" t="s">
        <v>30916</v>
      </c>
      <c r="I5406" t="s">
        <v>6396</v>
      </c>
      <c r="J5406" t="s">
        <v>33309</v>
      </c>
      <c r="K5406" t="s">
        <v>40289</v>
      </c>
      <c r="M5406" t="s">
        <v>41947</v>
      </c>
      <c r="N5406" t="s">
        <v>44759</v>
      </c>
      <c r="O5406" t="s">
        <v>44760</v>
      </c>
      <c r="P5406">
        <v>0</v>
      </c>
      <c r="Q5406">
        <v>1</v>
      </c>
      <c r="R5406" t="s">
        <v>44766</v>
      </c>
      <c r="S5406" t="s">
        <v>44902</v>
      </c>
      <c r="T5406" t="s">
        <v>46548</v>
      </c>
      <c r="U5406" t="s">
        <v>51522</v>
      </c>
      <c r="W5406" t="s">
        <v>41947</v>
      </c>
      <c r="X5406" t="s">
        <v>44767</v>
      </c>
    </row>
    <row r="5407" spans="1:24">
      <c r="A5407">
        <f>HYPERLINK("https://www.philgeps.gov.ph/GEPSNONPILOT/Tender/SplashBidNoticeAbstractUI.aspx?menuIndex=3&amp;refID=7145693&amp;Result=3","7145693")</f>
        <v>0</v>
      </c>
      <c r="B5407" t="s">
        <v>258</v>
      </c>
      <c r="C5407" t="s">
        <v>8862</v>
      </c>
      <c r="D5407" t="s">
        <v>18005</v>
      </c>
      <c r="E5407" t="s">
        <v>22839</v>
      </c>
      <c r="F5407" t="s">
        <v>30900</v>
      </c>
      <c r="G5407" t="s">
        <v>30909</v>
      </c>
      <c r="H5407" t="s">
        <v>30916</v>
      </c>
      <c r="I5407" t="s">
        <v>8044</v>
      </c>
      <c r="J5407" t="s">
        <v>34615</v>
      </c>
      <c r="K5407" t="s">
        <v>40283</v>
      </c>
      <c r="M5407" t="s">
        <v>40805</v>
      </c>
      <c r="N5407" t="s">
        <v>44759</v>
      </c>
      <c r="O5407" t="s">
        <v>44760</v>
      </c>
      <c r="P5407">
        <v>0</v>
      </c>
      <c r="Q5407">
        <v>1</v>
      </c>
      <c r="R5407" t="s">
        <v>44766</v>
      </c>
      <c r="S5407" t="s">
        <v>44902</v>
      </c>
      <c r="T5407" t="s">
        <v>46457</v>
      </c>
      <c r="U5407" t="s">
        <v>51523</v>
      </c>
      <c r="W5407" t="s">
        <v>40805</v>
      </c>
      <c r="X5407" t="s">
        <v>44767</v>
      </c>
    </row>
    <row r="5408" spans="1:24">
      <c r="A5408">
        <f>HYPERLINK("https://www.philgeps.gov.ph/GEPSNONPILOT/Tender/SplashBidNoticeAbstractUI.aspx?menuIndex=3&amp;refID=7145614&amp;Result=3","7145614")</f>
        <v>0</v>
      </c>
      <c r="B5408" t="s">
        <v>1981</v>
      </c>
      <c r="C5408" t="s">
        <v>8863</v>
      </c>
      <c r="D5408" t="s">
        <v>17978</v>
      </c>
      <c r="E5408" t="s">
        <v>22840</v>
      </c>
      <c r="F5408" t="s">
        <v>30900</v>
      </c>
      <c r="G5408" t="s">
        <v>30907</v>
      </c>
      <c r="H5408" t="s">
        <v>30916</v>
      </c>
      <c r="I5408" t="s">
        <v>30927</v>
      </c>
      <c r="J5408" t="s">
        <v>31518</v>
      </c>
      <c r="K5408" t="s">
        <v>40293</v>
      </c>
      <c r="M5408" t="s">
        <v>42671</v>
      </c>
      <c r="N5408" t="s">
        <v>44759</v>
      </c>
      <c r="O5408" t="s">
        <v>44760</v>
      </c>
      <c r="P5408">
        <v>0</v>
      </c>
      <c r="Q5408">
        <v>2</v>
      </c>
      <c r="R5408" t="s">
        <v>44766</v>
      </c>
      <c r="S5408" t="s">
        <v>44902</v>
      </c>
      <c r="T5408" t="s">
        <v>46592</v>
      </c>
      <c r="U5408" t="s">
        <v>47850</v>
      </c>
      <c r="V5408" t="s">
        <v>59692</v>
      </c>
      <c r="W5408" t="s">
        <v>42671</v>
      </c>
      <c r="X5408" t="s">
        <v>44767</v>
      </c>
    </row>
    <row r="5409" spans="1:24">
      <c r="A5409">
        <f>HYPERLINK("https://www.philgeps.gov.ph/GEPSNONPILOT/Tender/SplashBidNoticeAbstractUI.aspx?menuIndex=3&amp;refID=7145691&amp;Result=3","7145691")</f>
        <v>0</v>
      </c>
      <c r="B5409" t="s">
        <v>1899</v>
      </c>
      <c r="C5409" t="s">
        <v>8864</v>
      </c>
      <c r="D5409" t="s">
        <v>17992</v>
      </c>
      <c r="E5409" t="s">
        <v>22841</v>
      </c>
      <c r="F5409" t="s">
        <v>30900</v>
      </c>
      <c r="G5409" t="s">
        <v>30907</v>
      </c>
      <c r="H5409" t="s">
        <v>30916</v>
      </c>
      <c r="I5409" t="s">
        <v>8123</v>
      </c>
      <c r="J5409" t="s">
        <v>34616</v>
      </c>
      <c r="K5409" t="s">
        <v>40283</v>
      </c>
      <c r="M5409" t="s">
        <v>42575</v>
      </c>
      <c r="N5409" t="s">
        <v>44759</v>
      </c>
      <c r="O5409" t="s">
        <v>44760</v>
      </c>
      <c r="P5409">
        <v>0</v>
      </c>
      <c r="Q5409">
        <v>0</v>
      </c>
      <c r="R5409" t="s">
        <v>44766</v>
      </c>
      <c r="S5409" t="s">
        <v>44902</v>
      </c>
      <c r="T5409" t="s">
        <v>46414</v>
      </c>
      <c r="U5409" t="s">
        <v>51524</v>
      </c>
      <c r="V5409" t="s">
        <v>59693</v>
      </c>
      <c r="W5409" t="s">
        <v>42575</v>
      </c>
      <c r="X5409" t="s">
        <v>44767</v>
      </c>
    </row>
    <row r="5410" spans="1:24">
      <c r="A5410">
        <f>HYPERLINK("https://www.philgeps.gov.ph/GEPSNONPILOT/Tender/SplashBidNoticeAbstractUI.aspx?menuIndex=3&amp;refID=7145690&amp;Result=3","7145690")</f>
        <v>0</v>
      </c>
      <c r="B5410" t="s">
        <v>736</v>
      </c>
      <c r="C5410" t="s">
        <v>8865</v>
      </c>
      <c r="D5410" t="s">
        <v>18013</v>
      </c>
      <c r="E5410" t="s">
        <v>22842</v>
      </c>
      <c r="F5410" t="s">
        <v>30900</v>
      </c>
      <c r="G5410" t="s">
        <v>30907</v>
      </c>
      <c r="H5410" t="s">
        <v>30916</v>
      </c>
      <c r="I5410" t="s">
        <v>8123</v>
      </c>
      <c r="J5410" t="s">
        <v>34617</v>
      </c>
      <c r="K5410" t="s">
        <v>40293</v>
      </c>
      <c r="M5410" t="s">
        <v>41300</v>
      </c>
      <c r="N5410" t="s">
        <v>44759</v>
      </c>
      <c r="O5410" t="s">
        <v>44760</v>
      </c>
      <c r="P5410">
        <v>0</v>
      </c>
      <c r="Q5410">
        <v>0</v>
      </c>
      <c r="R5410" t="s">
        <v>44766</v>
      </c>
      <c r="S5410" t="s">
        <v>44902</v>
      </c>
      <c r="T5410" t="s">
        <v>46540</v>
      </c>
      <c r="U5410" t="s">
        <v>51525</v>
      </c>
      <c r="W5410" t="s">
        <v>41300</v>
      </c>
      <c r="X5410" t="s">
        <v>44767</v>
      </c>
    </row>
    <row r="5411" spans="1:24">
      <c r="A5411">
        <f>HYPERLINK("https://www.philgeps.gov.ph/GEPSNONPILOT/Tender/SplashBidNoticeAbstractUI.aspx?menuIndex=3&amp;refID=7145687&amp;Result=3","7145687")</f>
        <v>0</v>
      </c>
      <c r="B5411" t="s">
        <v>407</v>
      </c>
      <c r="C5411" t="s">
        <v>8866</v>
      </c>
      <c r="D5411" t="s">
        <v>18018</v>
      </c>
      <c r="E5411" t="s">
        <v>22843</v>
      </c>
      <c r="F5411" t="s">
        <v>30900</v>
      </c>
      <c r="G5411" t="s">
        <v>30907</v>
      </c>
      <c r="H5411" t="s">
        <v>30916</v>
      </c>
      <c r="I5411" t="s">
        <v>8123</v>
      </c>
      <c r="J5411" t="s">
        <v>34618</v>
      </c>
      <c r="K5411" t="s">
        <v>40283</v>
      </c>
      <c r="M5411" t="s">
        <v>40963</v>
      </c>
      <c r="N5411" t="s">
        <v>44759</v>
      </c>
      <c r="O5411" t="s">
        <v>44760</v>
      </c>
      <c r="P5411">
        <v>0</v>
      </c>
      <c r="Q5411">
        <v>0</v>
      </c>
      <c r="R5411" t="s">
        <v>44766</v>
      </c>
      <c r="S5411" t="s">
        <v>44902</v>
      </c>
      <c r="T5411" t="s">
        <v>46379</v>
      </c>
      <c r="U5411" t="s">
        <v>51526</v>
      </c>
      <c r="W5411" t="s">
        <v>40963</v>
      </c>
      <c r="X5411" t="s">
        <v>44767</v>
      </c>
    </row>
    <row r="5412" spans="1:24">
      <c r="A5412">
        <f>HYPERLINK("https://www.philgeps.gov.ph/GEPSNONPILOT/Tender/SplashBidNoticeAbstractUI.aspx?menuIndex=3&amp;refID=7145676&amp;Result=3","7145676")</f>
        <v>0</v>
      </c>
      <c r="B5412" t="s">
        <v>115</v>
      </c>
      <c r="C5412" t="s">
        <v>8867</v>
      </c>
      <c r="D5412" t="s">
        <v>17960</v>
      </c>
      <c r="E5412" t="s">
        <v>22844</v>
      </c>
      <c r="F5412" t="s">
        <v>30900</v>
      </c>
      <c r="G5412" t="s">
        <v>30907</v>
      </c>
      <c r="H5412" t="s">
        <v>30915</v>
      </c>
      <c r="I5412" t="s">
        <v>30919</v>
      </c>
      <c r="J5412" t="s">
        <v>32967</v>
      </c>
      <c r="K5412" t="s">
        <v>40301</v>
      </c>
      <c r="M5412" t="s">
        <v>40662</v>
      </c>
      <c r="N5412" t="s">
        <v>44759</v>
      </c>
      <c r="O5412" t="s">
        <v>44760</v>
      </c>
      <c r="P5412">
        <v>0</v>
      </c>
      <c r="Q5412">
        <v>0</v>
      </c>
      <c r="R5412" t="s">
        <v>44766</v>
      </c>
      <c r="S5412" t="s">
        <v>44902</v>
      </c>
      <c r="T5412" t="s">
        <v>46380</v>
      </c>
      <c r="U5412" t="s">
        <v>51527</v>
      </c>
      <c r="V5412" t="s">
        <v>59694</v>
      </c>
      <c r="W5412" t="s">
        <v>40662</v>
      </c>
      <c r="X5412" t="s">
        <v>44767</v>
      </c>
    </row>
    <row r="5413" spans="1:24">
      <c r="A5413">
        <f>HYPERLINK("https://www.philgeps.gov.ph/GEPSNONPILOT/Tender/SplashBidNoticeAbstractUI.aspx?menuIndex=3&amp;refID=7145696&amp;Result=3","7145696")</f>
        <v>0</v>
      </c>
      <c r="B5413" t="s">
        <v>233</v>
      </c>
      <c r="C5413" t="s">
        <v>8868</v>
      </c>
      <c r="E5413" t="s">
        <v>22845</v>
      </c>
      <c r="F5413" t="s">
        <v>30900</v>
      </c>
      <c r="G5413" t="s">
        <v>30908</v>
      </c>
      <c r="H5413" t="s">
        <v>30916</v>
      </c>
      <c r="I5413" t="s">
        <v>10847</v>
      </c>
      <c r="J5413" t="s">
        <v>31101</v>
      </c>
      <c r="K5413" t="s">
        <v>40289</v>
      </c>
      <c r="M5413" t="s">
        <v>40780</v>
      </c>
      <c r="N5413" t="s">
        <v>44759</v>
      </c>
      <c r="O5413" t="s">
        <v>44760</v>
      </c>
      <c r="P5413">
        <v>0</v>
      </c>
      <c r="Q5413">
        <v>0</v>
      </c>
      <c r="R5413" t="s">
        <v>44766</v>
      </c>
      <c r="S5413" t="s">
        <v>44902</v>
      </c>
      <c r="T5413" t="s">
        <v>46699</v>
      </c>
      <c r="U5413" t="s">
        <v>51528</v>
      </c>
      <c r="W5413" t="s">
        <v>40780</v>
      </c>
      <c r="X5413" t="s">
        <v>44767</v>
      </c>
    </row>
    <row r="5414" spans="1:24">
      <c r="A5414">
        <f>HYPERLINK("https://www.philgeps.gov.ph/GEPSNONPILOT/Tender/SplashBidNoticeAbstractUI.aspx?menuIndex=3&amp;refID=7145671&amp;Result=3","7145671")</f>
        <v>0</v>
      </c>
      <c r="B5414" t="s">
        <v>1285</v>
      </c>
      <c r="C5414" t="s">
        <v>8869</v>
      </c>
      <c r="D5414" t="s">
        <v>17958</v>
      </c>
      <c r="E5414" t="s">
        <v>22846</v>
      </c>
      <c r="F5414" t="s">
        <v>30900</v>
      </c>
      <c r="G5414" t="s">
        <v>30907</v>
      </c>
      <c r="H5414" t="s">
        <v>30916</v>
      </c>
      <c r="I5414" t="s">
        <v>10602</v>
      </c>
      <c r="J5414" t="s">
        <v>31050</v>
      </c>
      <c r="K5414" t="s">
        <v>40287</v>
      </c>
      <c r="M5414" t="s">
        <v>41902</v>
      </c>
      <c r="N5414" t="s">
        <v>44759</v>
      </c>
      <c r="O5414" t="s">
        <v>44760</v>
      </c>
      <c r="P5414">
        <v>0</v>
      </c>
      <c r="Q5414">
        <v>0</v>
      </c>
      <c r="R5414" t="s">
        <v>44766</v>
      </c>
      <c r="S5414" t="s">
        <v>44902</v>
      </c>
      <c r="T5414" t="s">
        <v>46421</v>
      </c>
      <c r="U5414" t="s">
        <v>51529</v>
      </c>
      <c r="V5414" t="s">
        <v>59695</v>
      </c>
      <c r="W5414" t="s">
        <v>41902</v>
      </c>
      <c r="X5414" t="s">
        <v>44767</v>
      </c>
    </row>
    <row r="5415" spans="1:24">
      <c r="A5415">
        <f>HYPERLINK("https://www.philgeps.gov.ph/GEPSNONPILOT/Tender/SplashBidNoticeAbstractUI.aspx?menuIndex=3&amp;refID=7145569&amp;Result=3","7145569")</f>
        <v>0</v>
      </c>
      <c r="B5415" t="s">
        <v>1982</v>
      </c>
      <c r="C5415" t="s">
        <v>8870</v>
      </c>
      <c r="D5415" t="s">
        <v>17951</v>
      </c>
      <c r="E5415" t="s">
        <v>18066</v>
      </c>
      <c r="F5415" t="s">
        <v>30900</v>
      </c>
      <c r="G5415" t="s">
        <v>30907</v>
      </c>
      <c r="H5415" t="s">
        <v>30916</v>
      </c>
      <c r="I5415" t="s">
        <v>8123</v>
      </c>
      <c r="J5415" t="s">
        <v>34619</v>
      </c>
      <c r="K5415" t="s">
        <v>40289</v>
      </c>
      <c r="M5415" t="s">
        <v>42672</v>
      </c>
      <c r="N5415" t="s">
        <v>44759</v>
      </c>
      <c r="O5415" t="s">
        <v>44760</v>
      </c>
      <c r="P5415">
        <v>0</v>
      </c>
      <c r="Q5415">
        <v>0</v>
      </c>
      <c r="R5415" t="s">
        <v>44766</v>
      </c>
      <c r="S5415" t="s">
        <v>44902</v>
      </c>
      <c r="T5415" t="s">
        <v>46410</v>
      </c>
      <c r="U5415" t="s">
        <v>51530</v>
      </c>
      <c r="V5415" t="s">
        <v>59696</v>
      </c>
      <c r="W5415" t="s">
        <v>42672</v>
      </c>
      <c r="X5415" t="s">
        <v>44767</v>
      </c>
    </row>
    <row r="5416" spans="1:24">
      <c r="A5416">
        <f>HYPERLINK("https://www.philgeps.gov.ph/GEPSNONPILOT/Tender/SplashBidNoticeAbstractUI.aspx?menuIndex=3&amp;refID=7145752&amp;Result=3","7145752")</f>
        <v>0</v>
      </c>
      <c r="B5416" t="s">
        <v>1974</v>
      </c>
      <c r="C5416" t="s">
        <v>8871</v>
      </c>
      <c r="D5416" t="s">
        <v>17985</v>
      </c>
      <c r="E5416" t="s">
        <v>22847</v>
      </c>
      <c r="F5416" t="s">
        <v>30900</v>
      </c>
      <c r="G5416" t="s">
        <v>30910</v>
      </c>
      <c r="H5416" t="s">
        <v>30916</v>
      </c>
      <c r="I5416" t="s">
        <v>4545</v>
      </c>
      <c r="J5416" t="s">
        <v>34620</v>
      </c>
      <c r="K5416" t="s">
        <v>40289</v>
      </c>
      <c r="M5416" t="s">
        <v>42673</v>
      </c>
      <c r="N5416" t="s">
        <v>44759</v>
      </c>
      <c r="O5416" t="s">
        <v>44760</v>
      </c>
      <c r="P5416">
        <v>0</v>
      </c>
      <c r="Q5416">
        <v>7</v>
      </c>
      <c r="R5416" t="s">
        <v>44766</v>
      </c>
      <c r="S5416" t="s">
        <v>44902</v>
      </c>
      <c r="T5416" t="s">
        <v>46662</v>
      </c>
      <c r="U5416" t="s">
        <v>51531</v>
      </c>
      <c r="W5416" t="s">
        <v>42673</v>
      </c>
      <c r="X5416" t="s">
        <v>44767</v>
      </c>
    </row>
    <row r="5417" spans="1:24">
      <c r="A5417">
        <f>HYPERLINK("https://www.philgeps.gov.ph/GEPSNONPILOT/Tender/SplashBidNoticeAbstractUI.aspx?menuIndex=3&amp;refID=7145684&amp;Result=3","7145684")</f>
        <v>0</v>
      </c>
      <c r="B5417" t="s">
        <v>400</v>
      </c>
      <c r="C5417" t="s">
        <v>8872</v>
      </c>
      <c r="D5417" t="s">
        <v>17971</v>
      </c>
      <c r="E5417" t="s">
        <v>22848</v>
      </c>
      <c r="F5417" t="s">
        <v>30900</v>
      </c>
      <c r="G5417" t="s">
        <v>30908</v>
      </c>
      <c r="H5417" t="s">
        <v>30916</v>
      </c>
      <c r="I5417" t="s">
        <v>30927</v>
      </c>
      <c r="J5417" t="s">
        <v>34621</v>
      </c>
      <c r="K5417" t="s">
        <v>40289</v>
      </c>
      <c r="M5417" t="s">
        <v>40955</v>
      </c>
      <c r="N5417" t="s">
        <v>44759</v>
      </c>
      <c r="O5417" t="s">
        <v>44760</v>
      </c>
      <c r="P5417">
        <v>0</v>
      </c>
      <c r="Q5417">
        <v>0</v>
      </c>
      <c r="R5417" t="s">
        <v>44766</v>
      </c>
      <c r="S5417" t="s">
        <v>44902</v>
      </c>
      <c r="T5417" t="s">
        <v>46391</v>
      </c>
      <c r="U5417" t="s">
        <v>51532</v>
      </c>
      <c r="W5417" t="s">
        <v>40955</v>
      </c>
      <c r="X5417" t="s">
        <v>44767</v>
      </c>
    </row>
    <row r="5418" spans="1:24">
      <c r="A5418">
        <f>HYPERLINK("https://www.philgeps.gov.ph/GEPSNONPILOT/Tender/SplashBidNoticeAbstractUI.aspx?menuIndex=3&amp;refID=7145700&amp;Result=3","7145700")</f>
        <v>0</v>
      </c>
      <c r="B5418" t="s">
        <v>1978</v>
      </c>
      <c r="C5418" t="s">
        <v>8873</v>
      </c>
      <c r="D5418" t="s">
        <v>17993</v>
      </c>
      <c r="E5418" t="s">
        <v>22849</v>
      </c>
      <c r="F5418" t="s">
        <v>30900</v>
      </c>
      <c r="G5418" t="s">
        <v>30908</v>
      </c>
      <c r="H5418" t="s">
        <v>30916</v>
      </c>
      <c r="I5418" t="s">
        <v>30939</v>
      </c>
      <c r="J5418" t="s">
        <v>34622</v>
      </c>
      <c r="K5418" t="s">
        <v>40289</v>
      </c>
      <c r="M5418" t="s">
        <v>42667</v>
      </c>
      <c r="N5418" t="s">
        <v>44759</v>
      </c>
      <c r="O5418" t="s">
        <v>44760</v>
      </c>
      <c r="P5418">
        <v>0</v>
      </c>
      <c r="Q5418">
        <v>0</v>
      </c>
      <c r="R5418" t="s">
        <v>44766</v>
      </c>
      <c r="S5418" t="s">
        <v>44902</v>
      </c>
      <c r="T5418" t="s">
        <v>46662</v>
      </c>
      <c r="U5418" t="s">
        <v>51533</v>
      </c>
      <c r="W5418" t="s">
        <v>42667</v>
      </c>
      <c r="X5418" t="s">
        <v>44767</v>
      </c>
    </row>
    <row r="5419" spans="1:24">
      <c r="A5419">
        <f>HYPERLINK("https://www.philgeps.gov.ph/GEPSNONPILOT/Tender/SplashBidNoticeAbstractUI.aspx?menuIndex=3&amp;refID=7145669&amp;Result=3","7145669")</f>
        <v>0</v>
      </c>
      <c r="B5419" t="s">
        <v>1983</v>
      </c>
      <c r="C5419" t="s">
        <v>8874</v>
      </c>
      <c r="D5419" t="s">
        <v>18019</v>
      </c>
      <c r="E5419" t="s">
        <v>22850</v>
      </c>
      <c r="F5419" t="s">
        <v>30900</v>
      </c>
      <c r="G5419" t="s">
        <v>30907</v>
      </c>
      <c r="H5419" t="s">
        <v>30915</v>
      </c>
      <c r="I5419" t="s">
        <v>30919</v>
      </c>
      <c r="J5419" t="s">
        <v>34623</v>
      </c>
      <c r="K5419" t="s">
        <v>40304</v>
      </c>
      <c r="M5419" t="s">
        <v>42674</v>
      </c>
      <c r="N5419" t="s">
        <v>44759</v>
      </c>
      <c r="O5419" t="s">
        <v>44760</v>
      </c>
      <c r="P5419">
        <v>0</v>
      </c>
      <c r="Q5419">
        <v>0</v>
      </c>
      <c r="R5419" t="s">
        <v>44766</v>
      </c>
      <c r="S5419" t="s">
        <v>44902</v>
      </c>
      <c r="T5419" t="s">
        <v>46515</v>
      </c>
      <c r="U5419" t="s">
        <v>51534</v>
      </c>
      <c r="W5419" t="s">
        <v>42674</v>
      </c>
      <c r="X5419" t="s">
        <v>44767</v>
      </c>
    </row>
    <row r="5420" spans="1:24">
      <c r="A5420">
        <f>HYPERLINK("https://www.philgeps.gov.ph/GEPSNONPILOT/Tender/SplashBidNoticeAbstractUI.aspx?menuIndex=3&amp;refID=7145756&amp;Result=3","7145756")</f>
        <v>0</v>
      </c>
      <c r="B5420" t="s">
        <v>1984</v>
      </c>
      <c r="C5420" t="s">
        <v>8875</v>
      </c>
      <c r="D5420" t="s">
        <v>17968</v>
      </c>
      <c r="E5420" t="s">
        <v>22851</v>
      </c>
      <c r="F5420" t="s">
        <v>30900</v>
      </c>
      <c r="G5420" t="s">
        <v>30907</v>
      </c>
      <c r="H5420" t="s">
        <v>30915</v>
      </c>
      <c r="I5420" t="s">
        <v>30919</v>
      </c>
      <c r="J5420" t="s">
        <v>34624</v>
      </c>
      <c r="K5420" t="s">
        <v>40342</v>
      </c>
      <c r="M5420" t="s">
        <v>42675</v>
      </c>
      <c r="N5420" t="s">
        <v>44759</v>
      </c>
      <c r="O5420" t="s">
        <v>44760</v>
      </c>
      <c r="P5420">
        <v>0</v>
      </c>
      <c r="Q5420">
        <v>1</v>
      </c>
      <c r="R5420" t="s">
        <v>44766</v>
      </c>
      <c r="S5420" t="s">
        <v>44902</v>
      </c>
      <c r="T5420" t="s">
        <v>46363</v>
      </c>
      <c r="U5420" t="s">
        <v>51535</v>
      </c>
      <c r="W5420" t="s">
        <v>42675</v>
      </c>
      <c r="X5420" t="s">
        <v>44767</v>
      </c>
    </row>
    <row r="5421" spans="1:24">
      <c r="A5421">
        <f>HYPERLINK("https://www.philgeps.gov.ph/GEPSNONPILOT/Tender/SplashBidNoticeAbstractUI.aspx?menuIndex=3&amp;refID=7145755&amp;Result=3","7145755")</f>
        <v>0</v>
      </c>
      <c r="B5421" t="s">
        <v>1985</v>
      </c>
      <c r="C5421" t="s">
        <v>8876</v>
      </c>
      <c r="D5421" t="s">
        <v>17952</v>
      </c>
      <c r="E5421" t="s">
        <v>18883</v>
      </c>
      <c r="F5421" t="s">
        <v>30900</v>
      </c>
      <c r="G5421" t="s">
        <v>30909</v>
      </c>
      <c r="H5421" t="s">
        <v>30916</v>
      </c>
      <c r="I5421" t="s">
        <v>10847</v>
      </c>
      <c r="J5421" t="s">
        <v>32282</v>
      </c>
      <c r="K5421" t="s">
        <v>40287</v>
      </c>
      <c r="M5421" t="s">
        <v>42676</v>
      </c>
      <c r="N5421" t="s">
        <v>44759</v>
      </c>
      <c r="O5421" t="s">
        <v>44760</v>
      </c>
      <c r="P5421">
        <v>0</v>
      </c>
      <c r="Q5421">
        <v>2</v>
      </c>
      <c r="R5421" t="s">
        <v>44766</v>
      </c>
      <c r="S5421" t="s">
        <v>44902</v>
      </c>
      <c r="T5421" t="s">
        <v>46374</v>
      </c>
      <c r="U5421" t="s">
        <v>51536</v>
      </c>
      <c r="W5421" t="s">
        <v>42676</v>
      </c>
      <c r="X5421" t="s">
        <v>44767</v>
      </c>
    </row>
    <row r="5422" spans="1:24">
      <c r="A5422">
        <f>HYPERLINK("https://www.philgeps.gov.ph/GEPSNONPILOT/Tender/SplashBidNoticeAbstractUI.aspx?menuIndex=3&amp;refID=7145764&amp;Result=3","7145764")</f>
        <v>0</v>
      </c>
      <c r="B5422" t="s">
        <v>1986</v>
      </c>
      <c r="C5422" t="s">
        <v>8877</v>
      </c>
      <c r="D5422" t="s">
        <v>17978</v>
      </c>
      <c r="E5422" t="s">
        <v>22852</v>
      </c>
      <c r="F5422" t="s">
        <v>30900</v>
      </c>
      <c r="G5422" t="s">
        <v>30908</v>
      </c>
      <c r="H5422" t="s">
        <v>30916</v>
      </c>
      <c r="I5422" t="s">
        <v>8123</v>
      </c>
      <c r="J5422" t="s">
        <v>34625</v>
      </c>
      <c r="K5422" t="s">
        <v>40284</v>
      </c>
      <c r="M5422" t="s">
        <v>42677</v>
      </c>
      <c r="N5422" t="s">
        <v>44759</v>
      </c>
      <c r="O5422" t="s">
        <v>44760</v>
      </c>
      <c r="P5422">
        <v>0</v>
      </c>
      <c r="Q5422">
        <v>0</v>
      </c>
      <c r="R5422" t="s">
        <v>44766</v>
      </c>
      <c r="S5422" t="s">
        <v>44902</v>
      </c>
      <c r="T5422" t="s">
        <v>46376</v>
      </c>
      <c r="U5422" t="s">
        <v>51537</v>
      </c>
      <c r="W5422" t="s">
        <v>42677</v>
      </c>
      <c r="X5422" t="s">
        <v>44767</v>
      </c>
    </row>
    <row r="5423" spans="1:24">
      <c r="A5423">
        <f>HYPERLINK("https://www.philgeps.gov.ph/GEPSNONPILOT/Tender/SplashBidNoticeAbstractUI.aspx?menuIndex=3&amp;refID=7145765&amp;Result=3","7145765")</f>
        <v>0</v>
      </c>
      <c r="B5423" t="s">
        <v>1987</v>
      </c>
      <c r="C5423" t="s">
        <v>8878</v>
      </c>
      <c r="D5423" t="s">
        <v>17974</v>
      </c>
      <c r="E5423" t="s">
        <v>22853</v>
      </c>
      <c r="F5423" t="s">
        <v>30900</v>
      </c>
      <c r="G5423" t="s">
        <v>30907</v>
      </c>
      <c r="H5423" t="s">
        <v>30915</v>
      </c>
      <c r="I5423" t="s">
        <v>30919</v>
      </c>
      <c r="J5423" t="s">
        <v>34626</v>
      </c>
      <c r="K5423" t="s">
        <v>40286</v>
      </c>
      <c r="M5423" t="s">
        <v>42678</v>
      </c>
      <c r="N5423" t="s">
        <v>44759</v>
      </c>
      <c r="O5423" t="s">
        <v>44760</v>
      </c>
      <c r="P5423">
        <v>0</v>
      </c>
      <c r="Q5423">
        <v>1</v>
      </c>
      <c r="R5423" t="s">
        <v>44766</v>
      </c>
      <c r="S5423" t="s">
        <v>44902</v>
      </c>
      <c r="T5423" t="s">
        <v>46716</v>
      </c>
      <c r="U5423" t="s">
        <v>51538</v>
      </c>
      <c r="V5423" t="s">
        <v>59697</v>
      </c>
      <c r="W5423" t="s">
        <v>42678</v>
      </c>
      <c r="X5423" t="s">
        <v>44767</v>
      </c>
    </row>
    <row r="5424" spans="1:24">
      <c r="A5424">
        <f>HYPERLINK("https://www.philgeps.gov.ph/GEPSNONPILOT/Tender/SplashBidNoticeAbstractUI.aspx?menuIndex=3&amp;refID=7145747&amp;Result=3","7145747")</f>
        <v>0</v>
      </c>
      <c r="B5424" t="s">
        <v>1988</v>
      </c>
      <c r="C5424" t="s">
        <v>8879</v>
      </c>
      <c r="D5424" t="s">
        <v>17959</v>
      </c>
      <c r="E5424" t="s">
        <v>22854</v>
      </c>
      <c r="F5424" t="s">
        <v>30900</v>
      </c>
      <c r="G5424" t="s">
        <v>30907</v>
      </c>
      <c r="H5424" t="s">
        <v>30916</v>
      </c>
      <c r="I5424" t="s">
        <v>8123</v>
      </c>
      <c r="J5424" t="s">
        <v>34627</v>
      </c>
      <c r="K5424" t="s">
        <v>40289</v>
      </c>
      <c r="L5424" t="s">
        <v>1988</v>
      </c>
      <c r="M5424" t="s">
        <v>42679</v>
      </c>
      <c r="N5424" t="s">
        <v>44759</v>
      </c>
      <c r="O5424" t="s">
        <v>44760</v>
      </c>
      <c r="Q5424">
        <v>2</v>
      </c>
      <c r="R5424" t="s">
        <v>44766</v>
      </c>
      <c r="S5424" t="s">
        <v>44910</v>
      </c>
      <c r="T5424" t="s">
        <v>46497</v>
      </c>
      <c r="U5424" t="s">
        <v>51539</v>
      </c>
      <c r="W5424" t="s">
        <v>42679</v>
      </c>
      <c r="X5424" t="s">
        <v>44767</v>
      </c>
    </row>
    <row r="5425" spans="1:24">
      <c r="A5425">
        <f>HYPERLINK("https://www.philgeps.gov.ph/GEPSNONPILOT/Tender/SplashBidNoticeAbstractUI.aspx?menuIndex=3&amp;refID=7145602&amp;Result=3","7145602")</f>
        <v>0</v>
      </c>
      <c r="B5425" t="s">
        <v>234</v>
      </c>
      <c r="C5425" t="s">
        <v>8880</v>
      </c>
      <c r="D5425" t="s">
        <v>17961</v>
      </c>
      <c r="E5425" t="s">
        <v>22855</v>
      </c>
      <c r="F5425" t="s">
        <v>30900</v>
      </c>
      <c r="G5425" t="s">
        <v>30907</v>
      </c>
      <c r="H5425" t="s">
        <v>30916</v>
      </c>
      <c r="I5425" t="s">
        <v>30921</v>
      </c>
      <c r="J5425" t="s">
        <v>34628</v>
      </c>
      <c r="K5425" t="s">
        <v>40286</v>
      </c>
      <c r="M5425" t="s">
        <v>40781</v>
      </c>
      <c r="N5425" t="s">
        <v>44759</v>
      </c>
      <c r="O5425" t="s">
        <v>44760</v>
      </c>
      <c r="P5425">
        <v>0</v>
      </c>
      <c r="Q5425">
        <v>2</v>
      </c>
      <c r="R5425" t="s">
        <v>44766</v>
      </c>
      <c r="S5425" t="s">
        <v>44902</v>
      </c>
      <c r="T5425" t="s">
        <v>46414</v>
      </c>
      <c r="U5425" t="s">
        <v>51540</v>
      </c>
      <c r="V5425" t="s">
        <v>59150</v>
      </c>
      <c r="W5425" t="s">
        <v>40781</v>
      </c>
      <c r="X5425" t="s">
        <v>44767</v>
      </c>
    </row>
    <row r="5426" spans="1:24">
      <c r="A5426">
        <f>HYPERLINK("https://www.philgeps.gov.ph/GEPSNONPILOT/Tender/SplashBidNoticeAbstractUI.aspx?menuIndex=3&amp;refID=7145761&amp;Result=3","7145761")</f>
        <v>0</v>
      </c>
      <c r="B5426" t="s">
        <v>1989</v>
      </c>
      <c r="C5426" t="s">
        <v>5004</v>
      </c>
      <c r="D5426" t="s">
        <v>17973</v>
      </c>
      <c r="E5426" t="s">
        <v>22856</v>
      </c>
      <c r="F5426" t="s">
        <v>30900</v>
      </c>
      <c r="G5426" t="s">
        <v>30907</v>
      </c>
      <c r="H5426" t="s">
        <v>30915</v>
      </c>
      <c r="I5426" t="s">
        <v>30919</v>
      </c>
      <c r="J5426" t="s">
        <v>31049</v>
      </c>
      <c r="K5426" t="s">
        <v>40413</v>
      </c>
      <c r="M5426" t="s">
        <v>42680</v>
      </c>
      <c r="N5426" t="s">
        <v>44759</v>
      </c>
      <c r="O5426" t="s">
        <v>44760</v>
      </c>
      <c r="P5426">
        <v>0</v>
      </c>
      <c r="Q5426">
        <v>0</v>
      </c>
      <c r="R5426" t="s">
        <v>44766</v>
      </c>
      <c r="S5426" t="s">
        <v>44902</v>
      </c>
      <c r="T5426" t="s">
        <v>46398</v>
      </c>
      <c r="U5426" t="s">
        <v>51541</v>
      </c>
      <c r="W5426" t="s">
        <v>42680</v>
      </c>
      <c r="X5426" t="s">
        <v>44767</v>
      </c>
    </row>
    <row r="5427" spans="1:24">
      <c r="A5427">
        <f>HYPERLINK("https://www.philgeps.gov.ph/GEPSNONPILOT/Tender/SplashBidNoticeAbstractUI.aspx?menuIndex=3&amp;refID=7145745&amp;Result=3","7145745")</f>
        <v>0</v>
      </c>
      <c r="B5427" t="s">
        <v>1990</v>
      </c>
      <c r="C5427" t="s">
        <v>8881</v>
      </c>
      <c r="D5427" t="s">
        <v>17967</v>
      </c>
      <c r="E5427" t="s">
        <v>22857</v>
      </c>
      <c r="F5427" t="s">
        <v>30900</v>
      </c>
      <c r="G5427" t="s">
        <v>30907</v>
      </c>
      <c r="H5427" t="s">
        <v>30916</v>
      </c>
      <c r="I5427" t="s">
        <v>30939</v>
      </c>
      <c r="J5427" t="s">
        <v>34629</v>
      </c>
      <c r="K5427" t="s">
        <v>40291</v>
      </c>
      <c r="M5427" t="s">
        <v>42681</v>
      </c>
      <c r="N5427" t="s">
        <v>44759</v>
      </c>
      <c r="O5427" t="s">
        <v>44760</v>
      </c>
      <c r="P5427">
        <v>0</v>
      </c>
      <c r="Q5427">
        <v>0</v>
      </c>
      <c r="R5427" t="s">
        <v>44766</v>
      </c>
      <c r="S5427" t="s">
        <v>44902</v>
      </c>
      <c r="T5427" t="s">
        <v>46383</v>
      </c>
      <c r="U5427" t="s">
        <v>51542</v>
      </c>
      <c r="W5427" t="s">
        <v>42681</v>
      </c>
      <c r="X5427" t="s">
        <v>44767</v>
      </c>
    </row>
    <row r="5428" spans="1:24">
      <c r="A5428">
        <f>HYPERLINK("https://www.philgeps.gov.ph/GEPSNONPILOT/Tender/SplashBidNoticeAbstractUI.aspx?menuIndex=3&amp;refID=7145623&amp;Result=3","7145623")</f>
        <v>0</v>
      </c>
      <c r="B5428" t="s">
        <v>1991</v>
      </c>
      <c r="C5428" t="s">
        <v>8882</v>
      </c>
      <c r="D5428" t="s">
        <v>18012</v>
      </c>
      <c r="E5428" t="s">
        <v>22858</v>
      </c>
      <c r="F5428" t="s">
        <v>30900</v>
      </c>
      <c r="G5428" t="s">
        <v>30907</v>
      </c>
      <c r="H5428" t="s">
        <v>30916</v>
      </c>
      <c r="I5428" t="s">
        <v>8123</v>
      </c>
      <c r="J5428" t="s">
        <v>34630</v>
      </c>
      <c r="K5428" t="s">
        <v>40289</v>
      </c>
      <c r="M5428" t="s">
        <v>42682</v>
      </c>
      <c r="N5428" t="s">
        <v>44759</v>
      </c>
      <c r="O5428" t="s">
        <v>44760</v>
      </c>
      <c r="P5428">
        <v>0</v>
      </c>
      <c r="Q5428">
        <v>1</v>
      </c>
      <c r="R5428" t="s">
        <v>44766</v>
      </c>
      <c r="S5428" t="s">
        <v>44902</v>
      </c>
      <c r="T5428" t="s">
        <v>46411</v>
      </c>
      <c r="U5428" t="s">
        <v>51543</v>
      </c>
      <c r="W5428" t="s">
        <v>42682</v>
      </c>
      <c r="X5428" t="s">
        <v>44767</v>
      </c>
    </row>
    <row r="5429" spans="1:24">
      <c r="A5429">
        <f>HYPERLINK("https://www.philgeps.gov.ph/GEPSNONPILOT/Tender/SplashBidNoticeAbstractUI.aspx?menuIndex=3&amp;refID=7145742&amp;Result=3","7145742")</f>
        <v>0</v>
      </c>
      <c r="B5429" t="s">
        <v>1992</v>
      </c>
      <c r="C5429" t="s">
        <v>8883</v>
      </c>
      <c r="D5429" t="s">
        <v>17993</v>
      </c>
      <c r="E5429" t="s">
        <v>22859</v>
      </c>
      <c r="F5429" t="s">
        <v>30900</v>
      </c>
      <c r="G5429" t="s">
        <v>30907</v>
      </c>
      <c r="H5429" t="s">
        <v>30916</v>
      </c>
      <c r="I5429" t="s">
        <v>30924</v>
      </c>
      <c r="J5429" t="s">
        <v>34631</v>
      </c>
      <c r="K5429" t="s">
        <v>40286</v>
      </c>
      <c r="M5429" t="s">
        <v>42683</v>
      </c>
      <c r="N5429" t="s">
        <v>44759</v>
      </c>
      <c r="O5429" t="s">
        <v>44760</v>
      </c>
      <c r="P5429">
        <v>0</v>
      </c>
      <c r="Q5429">
        <v>10</v>
      </c>
      <c r="R5429" t="s">
        <v>44766</v>
      </c>
      <c r="S5429" t="s">
        <v>44902</v>
      </c>
      <c r="T5429" t="s">
        <v>46455</v>
      </c>
      <c r="U5429" t="s">
        <v>51544</v>
      </c>
      <c r="V5429" t="s">
        <v>59698</v>
      </c>
      <c r="W5429" t="s">
        <v>42683</v>
      </c>
      <c r="X5429" t="s">
        <v>44767</v>
      </c>
    </row>
    <row r="5430" spans="1:24">
      <c r="A5430">
        <f>HYPERLINK("https://www.philgeps.gov.ph/GEPSNONPILOT/Tender/SplashBidNoticeAbstractUI.aspx?menuIndex=3&amp;refID=7145750&amp;Result=3","7145750")</f>
        <v>0</v>
      </c>
      <c r="B5430" t="s">
        <v>1899</v>
      </c>
      <c r="C5430" t="s">
        <v>8884</v>
      </c>
      <c r="D5430" t="s">
        <v>17992</v>
      </c>
      <c r="E5430" t="s">
        <v>22860</v>
      </c>
      <c r="F5430" t="s">
        <v>30900</v>
      </c>
      <c r="G5430" t="s">
        <v>30907</v>
      </c>
      <c r="H5430" t="s">
        <v>30916</v>
      </c>
      <c r="I5430" t="s">
        <v>8123</v>
      </c>
      <c r="J5430" t="s">
        <v>34632</v>
      </c>
      <c r="K5430" t="s">
        <v>40283</v>
      </c>
      <c r="M5430" t="s">
        <v>42575</v>
      </c>
      <c r="N5430" t="s">
        <v>44759</v>
      </c>
      <c r="O5430" t="s">
        <v>44760</v>
      </c>
      <c r="P5430">
        <v>0</v>
      </c>
      <c r="Q5430">
        <v>0</v>
      </c>
      <c r="R5430" t="s">
        <v>44766</v>
      </c>
      <c r="S5430" t="s">
        <v>44902</v>
      </c>
      <c r="T5430" t="s">
        <v>46414</v>
      </c>
      <c r="U5430" t="s">
        <v>51545</v>
      </c>
      <c r="V5430" t="s">
        <v>59699</v>
      </c>
      <c r="W5430" t="s">
        <v>42575</v>
      </c>
      <c r="X5430" t="s">
        <v>44767</v>
      </c>
    </row>
    <row r="5431" spans="1:24">
      <c r="A5431">
        <f>HYPERLINK("https://www.philgeps.gov.ph/GEPSNONPILOT/Tender/SplashBidNoticeAbstractUI.aspx?menuIndex=3&amp;refID=7145748&amp;Result=3","7145748")</f>
        <v>0</v>
      </c>
      <c r="B5431" t="s">
        <v>1478</v>
      </c>
      <c r="C5431" t="s">
        <v>8885</v>
      </c>
      <c r="E5431" t="s">
        <v>22861</v>
      </c>
      <c r="F5431" t="s">
        <v>30900</v>
      </c>
      <c r="G5431" t="s">
        <v>30908</v>
      </c>
      <c r="H5431" t="s">
        <v>30916</v>
      </c>
      <c r="I5431" t="s">
        <v>30924</v>
      </c>
      <c r="J5431" t="s">
        <v>31048</v>
      </c>
      <c r="K5431" t="s">
        <v>40289</v>
      </c>
      <c r="M5431" t="s">
        <v>42684</v>
      </c>
      <c r="N5431" t="s">
        <v>44759</v>
      </c>
      <c r="O5431" t="s">
        <v>44760</v>
      </c>
      <c r="P5431">
        <v>0</v>
      </c>
      <c r="Q5431">
        <v>5</v>
      </c>
      <c r="R5431" t="s">
        <v>44766</v>
      </c>
      <c r="S5431" t="s">
        <v>44902</v>
      </c>
      <c r="T5431" t="s">
        <v>46590</v>
      </c>
      <c r="U5431" t="s">
        <v>51546</v>
      </c>
      <c r="W5431" t="s">
        <v>42684</v>
      </c>
      <c r="X5431" t="s">
        <v>44767</v>
      </c>
    </row>
    <row r="5432" spans="1:24">
      <c r="A5432">
        <f>HYPERLINK("https://www.philgeps.gov.ph/GEPSNONPILOT/Tender/SplashBidNoticeAbstractUI.aspx?menuIndex=3&amp;refID=7145769&amp;Result=3","7145769")</f>
        <v>0</v>
      </c>
      <c r="B5432" t="s">
        <v>926</v>
      </c>
      <c r="C5432" t="s">
        <v>8886</v>
      </c>
      <c r="D5432" t="s">
        <v>17999</v>
      </c>
      <c r="E5432" t="s">
        <v>22862</v>
      </c>
      <c r="F5432" t="s">
        <v>30900</v>
      </c>
      <c r="G5432" t="s">
        <v>30907</v>
      </c>
      <c r="H5432" t="s">
        <v>30916</v>
      </c>
      <c r="I5432" t="s">
        <v>4545</v>
      </c>
      <c r="J5432" t="s">
        <v>34097</v>
      </c>
      <c r="K5432" t="s">
        <v>40292</v>
      </c>
      <c r="M5432" t="s">
        <v>42665</v>
      </c>
      <c r="N5432" t="s">
        <v>44759</v>
      </c>
      <c r="O5432" t="s">
        <v>44760</v>
      </c>
      <c r="P5432">
        <v>0</v>
      </c>
      <c r="Q5432">
        <v>4</v>
      </c>
      <c r="R5432" t="s">
        <v>44766</v>
      </c>
      <c r="S5432" t="s">
        <v>44902</v>
      </c>
      <c r="T5432" t="s">
        <v>46539</v>
      </c>
      <c r="U5432" t="s">
        <v>51547</v>
      </c>
      <c r="W5432" t="s">
        <v>42665</v>
      </c>
      <c r="X5432" t="s">
        <v>44767</v>
      </c>
    </row>
    <row r="5433" spans="1:24">
      <c r="A5433">
        <f>HYPERLINK("https://www.philgeps.gov.ph/GEPSNONPILOT/Tender/SplashBidNoticeAbstractUI.aspx?menuIndex=3&amp;refID=7145802&amp;Result=3","7145802")</f>
        <v>0</v>
      </c>
      <c r="B5433" t="s">
        <v>573</v>
      </c>
      <c r="C5433" t="s">
        <v>8887</v>
      </c>
      <c r="D5433" t="s">
        <v>18023</v>
      </c>
      <c r="E5433" t="s">
        <v>22863</v>
      </c>
      <c r="F5433" t="s">
        <v>30900</v>
      </c>
      <c r="G5433" t="s">
        <v>30907</v>
      </c>
      <c r="H5433" t="s">
        <v>30916</v>
      </c>
      <c r="I5433" t="s">
        <v>9385</v>
      </c>
      <c r="J5433" t="s">
        <v>34633</v>
      </c>
      <c r="K5433" t="s">
        <v>40280</v>
      </c>
      <c r="M5433" t="s">
        <v>41141</v>
      </c>
      <c r="N5433" t="s">
        <v>44759</v>
      </c>
      <c r="O5433" t="s">
        <v>44760</v>
      </c>
      <c r="P5433">
        <v>0</v>
      </c>
      <c r="Q5433">
        <v>17</v>
      </c>
      <c r="R5433" t="s">
        <v>44766</v>
      </c>
      <c r="S5433" t="s">
        <v>44902</v>
      </c>
      <c r="T5433" t="s">
        <v>46450</v>
      </c>
      <c r="U5433" t="s">
        <v>51548</v>
      </c>
      <c r="V5433" t="s">
        <v>59700</v>
      </c>
      <c r="W5433" t="s">
        <v>41141</v>
      </c>
      <c r="X5433" t="s">
        <v>44767</v>
      </c>
    </row>
    <row r="5434" spans="1:24">
      <c r="A5434">
        <f>HYPERLINK("https://www.philgeps.gov.ph/GEPSNONPILOT/Tender/SplashBidNoticeAbstractUI.aspx?menuIndex=3&amp;refID=7145797&amp;Result=3","7145797")</f>
        <v>0</v>
      </c>
      <c r="B5434" t="s">
        <v>115</v>
      </c>
      <c r="C5434" t="s">
        <v>8888</v>
      </c>
      <c r="D5434" t="s">
        <v>17960</v>
      </c>
      <c r="E5434" t="s">
        <v>22864</v>
      </c>
      <c r="F5434" t="s">
        <v>30900</v>
      </c>
      <c r="G5434" t="s">
        <v>30907</v>
      </c>
      <c r="H5434" t="s">
        <v>30915</v>
      </c>
      <c r="I5434" t="s">
        <v>30919</v>
      </c>
      <c r="J5434" t="s">
        <v>32967</v>
      </c>
      <c r="K5434" t="s">
        <v>40301</v>
      </c>
      <c r="M5434" t="s">
        <v>40662</v>
      </c>
      <c r="N5434" t="s">
        <v>44759</v>
      </c>
      <c r="O5434" t="s">
        <v>44760</v>
      </c>
      <c r="P5434">
        <v>0</v>
      </c>
      <c r="Q5434">
        <v>0</v>
      </c>
      <c r="R5434" t="s">
        <v>44766</v>
      </c>
      <c r="S5434" t="s">
        <v>44902</v>
      </c>
      <c r="T5434" t="s">
        <v>46380</v>
      </c>
      <c r="U5434" t="s">
        <v>51279</v>
      </c>
      <c r="V5434" t="s">
        <v>59701</v>
      </c>
      <c r="W5434" t="s">
        <v>40662</v>
      </c>
      <c r="X5434" t="s">
        <v>44767</v>
      </c>
    </row>
    <row r="5435" spans="1:24">
      <c r="A5435">
        <f>HYPERLINK("https://www.philgeps.gov.ph/GEPSNONPILOT/Tender/SplashBidNoticeAbstractUI.aspx?menuIndex=3&amp;refID=7145795&amp;Result=3","7145795")</f>
        <v>0</v>
      </c>
      <c r="B5435" t="s">
        <v>841</v>
      </c>
      <c r="C5435" t="s">
        <v>8889</v>
      </c>
      <c r="D5435" t="s">
        <v>17978</v>
      </c>
      <c r="E5435" t="s">
        <v>22865</v>
      </c>
      <c r="F5435" t="s">
        <v>30900</v>
      </c>
      <c r="G5435" t="s">
        <v>30910</v>
      </c>
      <c r="H5435" t="s">
        <v>30916</v>
      </c>
      <c r="I5435" t="s">
        <v>4142</v>
      </c>
      <c r="J5435" t="s">
        <v>34634</v>
      </c>
      <c r="K5435" t="s">
        <v>40283</v>
      </c>
      <c r="M5435" t="s">
        <v>41414</v>
      </c>
      <c r="N5435" t="s">
        <v>44759</v>
      </c>
      <c r="O5435" t="s">
        <v>44760</v>
      </c>
      <c r="P5435">
        <v>0</v>
      </c>
      <c r="Q5435">
        <v>0</v>
      </c>
      <c r="R5435" t="s">
        <v>44766</v>
      </c>
      <c r="S5435" t="s">
        <v>44902</v>
      </c>
      <c r="T5435" t="s">
        <v>46398</v>
      </c>
      <c r="U5435" t="s">
        <v>51549</v>
      </c>
      <c r="W5435" t="s">
        <v>41414</v>
      </c>
      <c r="X5435" t="s">
        <v>44767</v>
      </c>
    </row>
    <row r="5436" spans="1:24">
      <c r="A5436">
        <f>HYPERLINK("https://www.philgeps.gov.ph/GEPSNONPILOT/Tender/SplashBidNoticeAbstractUI.aspx?menuIndex=3&amp;refID=7145746&amp;Result=3","7145746")</f>
        <v>0</v>
      </c>
      <c r="B5436" t="s">
        <v>115</v>
      </c>
      <c r="C5436" t="s">
        <v>8890</v>
      </c>
      <c r="D5436" t="s">
        <v>17960</v>
      </c>
      <c r="E5436" t="s">
        <v>22866</v>
      </c>
      <c r="F5436" t="s">
        <v>30900</v>
      </c>
      <c r="G5436" t="s">
        <v>30907</v>
      </c>
      <c r="H5436" t="s">
        <v>30915</v>
      </c>
      <c r="I5436" t="s">
        <v>30919</v>
      </c>
      <c r="J5436" t="s">
        <v>32967</v>
      </c>
      <c r="K5436" t="s">
        <v>40301</v>
      </c>
      <c r="M5436" t="s">
        <v>40662</v>
      </c>
      <c r="N5436" t="s">
        <v>44759</v>
      </c>
      <c r="O5436" t="s">
        <v>44760</v>
      </c>
      <c r="P5436">
        <v>0</v>
      </c>
      <c r="Q5436">
        <v>0</v>
      </c>
      <c r="R5436" t="s">
        <v>44766</v>
      </c>
      <c r="S5436" t="s">
        <v>44902</v>
      </c>
      <c r="T5436" t="s">
        <v>46380</v>
      </c>
      <c r="U5436" t="s">
        <v>51279</v>
      </c>
      <c r="V5436" t="s">
        <v>59702</v>
      </c>
      <c r="W5436" t="s">
        <v>40662</v>
      </c>
      <c r="X5436" t="s">
        <v>44767</v>
      </c>
    </row>
    <row r="5437" spans="1:24">
      <c r="A5437">
        <f>HYPERLINK("https://www.philgeps.gov.ph/GEPSNONPILOT/Tender/SplashBidNoticeAbstractUI.aspx?menuIndex=3&amp;refID=7145792&amp;Result=3","7145792")</f>
        <v>0</v>
      </c>
      <c r="B5437" t="s">
        <v>1992</v>
      </c>
      <c r="C5437" t="s">
        <v>8891</v>
      </c>
      <c r="D5437" t="s">
        <v>17993</v>
      </c>
      <c r="E5437" t="s">
        <v>22867</v>
      </c>
      <c r="F5437" t="s">
        <v>30900</v>
      </c>
      <c r="G5437" t="s">
        <v>30907</v>
      </c>
      <c r="H5437" t="s">
        <v>30916</v>
      </c>
      <c r="I5437" t="s">
        <v>4545</v>
      </c>
      <c r="J5437" t="s">
        <v>34635</v>
      </c>
      <c r="K5437" t="s">
        <v>40286</v>
      </c>
      <c r="M5437" t="s">
        <v>42683</v>
      </c>
      <c r="N5437" t="s">
        <v>44759</v>
      </c>
      <c r="O5437" t="s">
        <v>44760</v>
      </c>
      <c r="P5437">
        <v>0</v>
      </c>
      <c r="Q5437">
        <v>4</v>
      </c>
      <c r="R5437" t="s">
        <v>44766</v>
      </c>
      <c r="S5437" t="s">
        <v>44902</v>
      </c>
      <c r="T5437" t="s">
        <v>46455</v>
      </c>
      <c r="U5437" t="s">
        <v>51550</v>
      </c>
      <c r="V5437" t="s">
        <v>59698</v>
      </c>
      <c r="W5437" t="s">
        <v>42683</v>
      </c>
      <c r="X5437" t="s">
        <v>44767</v>
      </c>
    </row>
    <row r="5438" spans="1:24">
      <c r="A5438">
        <f>HYPERLINK("https://www.philgeps.gov.ph/GEPSNONPILOT/Tender/SplashBidNoticeAbstractUI.aspx?menuIndex=3&amp;refID=7145737&amp;Result=3","7145737")</f>
        <v>0</v>
      </c>
      <c r="B5438" t="s">
        <v>1535</v>
      </c>
      <c r="C5438" t="s">
        <v>8892</v>
      </c>
      <c r="D5438" t="s">
        <v>17993</v>
      </c>
      <c r="E5438" t="s">
        <v>22868</v>
      </c>
      <c r="F5438" t="s">
        <v>30900</v>
      </c>
      <c r="G5438" t="s">
        <v>30908</v>
      </c>
      <c r="H5438" t="s">
        <v>30916</v>
      </c>
      <c r="I5438" t="s">
        <v>4545</v>
      </c>
      <c r="J5438" t="s">
        <v>31713</v>
      </c>
      <c r="K5438" t="s">
        <v>40287</v>
      </c>
      <c r="M5438" t="s">
        <v>42178</v>
      </c>
      <c r="N5438" t="s">
        <v>44759</v>
      </c>
      <c r="O5438" t="s">
        <v>44760</v>
      </c>
      <c r="P5438">
        <v>0</v>
      </c>
      <c r="Q5438">
        <v>0</v>
      </c>
      <c r="R5438" t="s">
        <v>44766</v>
      </c>
      <c r="S5438" t="s">
        <v>44902</v>
      </c>
      <c r="T5438" t="s">
        <v>46457</v>
      </c>
      <c r="U5438" t="s">
        <v>51551</v>
      </c>
      <c r="W5438" t="s">
        <v>42178</v>
      </c>
      <c r="X5438" t="s">
        <v>44767</v>
      </c>
    </row>
    <row r="5439" spans="1:24">
      <c r="A5439">
        <f>HYPERLINK("https://www.philgeps.gov.ph/GEPSNONPILOT/Tender/SplashBidNoticeAbstractUI.aspx?menuIndex=3&amp;refID=7145618&amp;Result=3","7145618")</f>
        <v>0</v>
      </c>
      <c r="B5439" t="s">
        <v>841</v>
      </c>
      <c r="C5439" t="s">
        <v>8893</v>
      </c>
      <c r="D5439" t="s">
        <v>17978</v>
      </c>
      <c r="E5439" t="s">
        <v>22869</v>
      </c>
      <c r="F5439" t="s">
        <v>30900</v>
      </c>
      <c r="G5439" t="s">
        <v>30910</v>
      </c>
      <c r="H5439" t="s">
        <v>30916</v>
      </c>
      <c r="I5439" t="s">
        <v>6396</v>
      </c>
      <c r="J5439" t="s">
        <v>31142</v>
      </c>
      <c r="K5439" t="s">
        <v>40283</v>
      </c>
      <c r="M5439" t="s">
        <v>41414</v>
      </c>
      <c r="N5439" t="s">
        <v>44759</v>
      </c>
      <c r="O5439" t="s">
        <v>44760</v>
      </c>
      <c r="P5439">
        <v>0</v>
      </c>
      <c r="Q5439">
        <v>0</v>
      </c>
      <c r="R5439" t="s">
        <v>44766</v>
      </c>
      <c r="S5439" t="s">
        <v>44902</v>
      </c>
      <c r="T5439" t="s">
        <v>46398</v>
      </c>
      <c r="U5439" t="s">
        <v>51552</v>
      </c>
      <c r="W5439" t="s">
        <v>41414</v>
      </c>
      <c r="X5439" t="s">
        <v>44767</v>
      </c>
    </row>
    <row r="5440" spans="1:24">
      <c r="A5440">
        <f>HYPERLINK("https://www.philgeps.gov.ph/GEPSNONPILOT/Tender/SplashBidNoticeAbstractUI.aspx?menuIndex=3&amp;refID=7145788&amp;Result=3","7145788")</f>
        <v>0</v>
      </c>
      <c r="B5440" t="s">
        <v>1441</v>
      </c>
      <c r="C5440" t="s">
        <v>8894</v>
      </c>
      <c r="E5440" t="s">
        <v>22870</v>
      </c>
      <c r="F5440" t="s">
        <v>30900</v>
      </c>
      <c r="G5440" t="s">
        <v>30909</v>
      </c>
      <c r="H5440" t="s">
        <v>30916</v>
      </c>
      <c r="I5440" t="s">
        <v>8044</v>
      </c>
      <c r="J5440" t="s">
        <v>34636</v>
      </c>
      <c r="K5440" t="s">
        <v>40284</v>
      </c>
      <c r="M5440" t="s">
        <v>42073</v>
      </c>
      <c r="N5440" t="s">
        <v>44759</v>
      </c>
      <c r="O5440" t="s">
        <v>44760</v>
      </c>
      <c r="P5440">
        <v>0</v>
      </c>
      <c r="Q5440">
        <v>0</v>
      </c>
      <c r="R5440" t="s">
        <v>44766</v>
      </c>
      <c r="S5440" t="s">
        <v>44902</v>
      </c>
      <c r="T5440" t="s">
        <v>46548</v>
      </c>
      <c r="U5440" t="s">
        <v>51553</v>
      </c>
      <c r="V5440" t="s">
        <v>59703</v>
      </c>
      <c r="W5440" t="s">
        <v>42073</v>
      </c>
      <c r="X5440" t="s">
        <v>44767</v>
      </c>
    </row>
    <row r="5441" spans="1:24">
      <c r="A5441">
        <f>HYPERLINK("https://www.philgeps.gov.ph/GEPSNONPILOT/Tender/SplashBidNoticeAbstractUI.aspx?menuIndex=3&amp;refID=7145803&amp;Result=3","7145803")</f>
        <v>0</v>
      </c>
      <c r="B5441" t="s">
        <v>1993</v>
      </c>
      <c r="C5441" t="s">
        <v>8895</v>
      </c>
      <c r="D5441" t="s">
        <v>17981</v>
      </c>
      <c r="E5441" t="s">
        <v>22871</v>
      </c>
      <c r="F5441" t="s">
        <v>30900</v>
      </c>
      <c r="G5441" t="s">
        <v>30907</v>
      </c>
      <c r="H5441" t="s">
        <v>30916</v>
      </c>
      <c r="I5441" t="s">
        <v>4061</v>
      </c>
      <c r="J5441" t="s">
        <v>31211</v>
      </c>
      <c r="K5441" t="s">
        <v>40284</v>
      </c>
      <c r="M5441" t="s">
        <v>42685</v>
      </c>
      <c r="N5441" t="s">
        <v>44759</v>
      </c>
      <c r="O5441" t="s">
        <v>44760</v>
      </c>
      <c r="P5441">
        <v>0</v>
      </c>
      <c r="Q5441">
        <v>1</v>
      </c>
      <c r="R5441" t="s">
        <v>44766</v>
      </c>
      <c r="S5441" t="s">
        <v>44902</v>
      </c>
      <c r="T5441" t="s">
        <v>46398</v>
      </c>
      <c r="U5441" t="s">
        <v>51554</v>
      </c>
      <c r="V5441" t="s">
        <v>59704</v>
      </c>
      <c r="W5441" t="s">
        <v>42685</v>
      </c>
      <c r="X5441" t="s">
        <v>44767</v>
      </c>
    </row>
    <row r="5442" spans="1:24">
      <c r="A5442">
        <f>HYPERLINK("https://www.philgeps.gov.ph/GEPSNONPILOT/Tender/SplashBidNoticeAbstractUI.aspx?menuIndex=3&amp;refID=7145785&amp;Result=3","7145785")</f>
        <v>0</v>
      </c>
      <c r="B5442" t="s">
        <v>290</v>
      </c>
      <c r="C5442" t="s">
        <v>8896</v>
      </c>
      <c r="D5442" t="s">
        <v>17993</v>
      </c>
      <c r="E5442" t="s">
        <v>22872</v>
      </c>
      <c r="F5442" t="s">
        <v>30900</v>
      </c>
      <c r="G5442" t="s">
        <v>30908</v>
      </c>
      <c r="H5442" t="s">
        <v>30916</v>
      </c>
      <c r="I5442" t="s">
        <v>5501</v>
      </c>
      <c r="J5442" t="s">
        <v>34637</v>
      </c>
      <c r="K5442" t="s">
        <v>40286</v>
      </c>
      <c r="M5442" t="s">
        <v>40838</v>
      </c>
      <c r="N5442" t="s">
        <v>44759</v>
      </c>
      <c r="O5442" t="s">
        <v>44760</v>
      </c>
      <c r="P5442">
        <v>0</v>
      </c>
      <c r="Q5442">
        <v>4</v>
      </c>
      <c r="R5442" t="s">
        <v>44766</v>
      </c>
      <c r="S5442" t="s">
        <v>44902</v>
      </c>
      <c r="T5442" t="s">
        <v>46625</v>
      </c>
      <c r="U5442" t="s">
        <v>51555</v>
      </c>
      <c r="W5442" t="s">
        <v>40838</v>
      </c>
      <c r="X5442" t="s">
        <v>44767</v>
      </c>
    </row>
    <row r="5443" spans="1:24">
      <c r="A5443">
        <f>HYPERLINK("https://www.philgeps.gov.ph/GEPSNONPILOT/Tender/SplashBidNoticeAbstractUI.aspx?menuIndex=3&amp;refID=7145784&amp;Result=3","7145784")</f>
        <v>0</v>
      </c>
      <c r="B5443" t="s">
        <v>1994</v>
      </c>
      <c r="C5443" t="s">
        <v>8897</v>
      </c>
      <c r="D5443" t="s">
        <v>17968</v>
      </c>
      <c r="E5443" t="s">
        <v>22873</v>
      </c>
      <c r="F5443" t="s">
        <v>30900</v>
      </c>
      <c r="G5443" t="s">
        <v>30909</v>
      </c>
      <c r="H5443" t="s">
        <v>30916</v>
      </c>
      <c r="I5443" t="s">
        <v>4108</v>
      </c>
      <c r="J5443" t="s">
        <v>31043</v>
      </c>
      <c r="K5443" t="s">
        <v>40285</v>
      </c>
      <c r="M5443" t="s">
        <v>42686</v>
      </c>
      <c r="N5443" t="s">
        <v>44759</v>
      </c>
      <c r="O5443" t="s">
        <v>44760</v>
      </c>
      <c r="P5443">
        <v>0</v>
      </c>
      <c r="Q5443">
        <v>0</v>
      </c>
      <c r="R5443" t="s">
        <v>44766</v>
      </c>
      <c r="S5443" t="s">
        <v>44902</v>
      </c>
      <c r="T5443" t="s">
        <v>46383</v>
      </c>
      <c r="U5443" t="s">
        <v>51556</v>
      </c>
      <c r="W5443" t="s">
        <v>42686</v>
      </c>
      <c r="X5443" t="s">
        <v>44767</v>
      </c>
    </row>
    <row r="5444" spans="1:24">
      <c r="A5444">
        <f>HYPERLINK("https://www.philgeps.gov.ph/GEPSNONPILOT/Tender/SplashBidNoticeAbstractUI.aspx?menuIndex=3&amp;refID=7145793&amp;Result=3","7145793")</f>
        <v>0</v>
      </c>
      <c r="B5444" t="s">
        <v>1538</v>
      </c>
      <c r="C5444" t="s">
        <v>8898</v>
      </c>
      <c r="D5444" t="s">
        <v>17954</v>
      </c>
      <c r="E5444" t="s">
        <v>22874</v>
      </c>
      <c r="F5444" t="s">
        <v>30900</v>
      </c>
      <c r="G5444" t="s">
        <v>30908</v>
      </c>
      <c r="H5444" t="s">
        <v>30916</v>
      </c>
      <c r="I5444" t="s">
        <v>6396</v>
      </c>
      <c r="J5444" t="s">
        <v>31096</v>
      </c>
      <c r="K5444" t="s">
        <v>40284</v>
      </c>
      <c r="M5444" t="s">
        <v>42181</v>
      </c>
      <c r="N5444" t="s">
        <v>44759</v>
      </c>
      <c r="O5444" t="s">
        <v>44760</v>
      </c>
      <c r="P5444">
        <v>0</v>
      </c>
      <c r="Q5444">
        <v>1</v>
      </c>
      <c r="R5444" t="s">
        <v>44766</v>
      </c>
      <c r="S5444" t="s">
        <v>44902</v>
      </c>
      <c r="T5444" t="s">
        <v>46662</v>
      </c>
      <c r="U5444" t="s">
        <v>51557</v>
      </c>
      <c r="W5444" t="s">
        <v>42181</v>
      </c>
      <c r="X5444" t="s">
        <v>44767</v>
      </c>
    </row>
    <row r="5445" spans="1:24">
      <c r="A5445">
        <f>HYPERLINK("https://www.philgeps.gov.ph/GEPSNONPILOT/Tender/SplashBidNoticeAbstractUI.aspx?menuIndex=3&amp;refID=7145782&amp;Result=3","7145782")</f>
        <v>0</v>
      </c>
      <c r="B5445" t="s">
        <v>1995</v>
      </c>
      <c r="C5445" t="s">
        <v>8899</v>
      </c>
      <c r="D5445" t="s">
        <v>17976</v>
      </c>
      <c r="E5445" t="s">
        <v>22875</v>
      </c>
      <c r="F5445" t="s">
        <v>30900</v>
      </c>
      <c r="G5445" t="s">
        <v>30908</v>
      </c>
      <c r="H5445" t="s">
        <v>30916</v>
      </c>
      <c r="I5445" t="s">
        <v>30919</v>
      </c>
      <c r="J5445" t="s">
        <v>34638</v>
      </c>
      <c r="K5445" t="s">
        <v>40280</v>
      </c>
      <c r="M5445" t="s">
        <v>42687</v>
      </c>
      <c r="N5445" t="s">
        <v>44759</v>
      </c>
      <c r="O5445" t="s">
        <v>44760</v>
      </c>
      <c r="P5445">
        <v>0</v>
      </c>
      <c r="Q5445">
        <v>1</v>
      </c>
      <c r="R5445" t="s">
        <v>44766</v>
      </c>
      <c r="S5445" t="s">
        <v>44902</v>
      </c>
      <c r="T5445" t="s">
        <v>46374</v>
      </c>
      <c r="U5445" t="s">
        <v>51558</v>
      </c>
      <c r="W5445" t="s">
        <v>42687</v>
      </c>
      <c r="X5445" t="s">
        <v>44767</v>
      </c>
    </row>
    <row r="5446" spans="1:24">
      <c r="A5446">
        <f>HYPERLINK("https://www.philgeps.gov.ph/GEPSNONPILOT/Tender/SplashBidNoticeAbstractUI.aspx?menuIndex=3&amp;refID=7145790&amp;Result=3","7145790")</f>
        <v>0</v>
      </c>
      <c r="B5446" t="s">
        <v>1996</v>
      </c>
      <c r="C5446" t="s">
        <v>8900</v>
      </c>
      <c r="D5446" t="s">
        <v>18010</v>
      </c>
      <c r="E5446" t="s">
        <v>22876</v>
      </c>
      <c r="F5446" t="s">
        <v>30900</v>
      </c>
      <c r="G5446" t="s">
        <v>30908</v>
      </c>
      <c r="H5446" t="s">
        <v>30916</v>
      </c>
      <c r="I5446" t="s">
        <v>4545</v>
      </c>
      <c r="J5446" t="s">
        <v>31101</v>
      </c>
      <c r="K5446" t="s">
        <v>40287</v>
      </c>
      <c r="M5446" t="s">
        <v>42688</v>
      </c>
      <c r="N5446" t="s">
        <v>44759</v>
      </c>
      <c r="O5446" t="s">
        <v>44760</v>
      </c>
      <c r="P5446">
        <v>0</v>
      </c>
      <c r="Q5446">
        <v>1</v>
      </c>
      <c r="R5446" t="s">
        <v>44766</v>
      </c>
      <c r="S5446" t="s">
        <v>44902</v>
      </c>
      <c r="T5446" t="s">
        <v>46383</v>
      </c>
      <c r="U5446" t="s">
        <v>51559</v>
      </c>
      <c r="W5446" t="s">
        <v>42688</v>
      </c>
      <c r="X5446" t="s">
        <v>44767</v>
      </c>
    </row>
    <row r="5447" spans="1:24">
      <c r="A5447">
        <f>HYPERLINK("https://www.philgeps.gov.ph/GEPSNONPILOT/Tender/SplashBidNoticeAbstractUI.aspx?menuIndex=3&amp;refID=7145777&amp;Result=3","7145777")</f>
        <v>0</v>
      </c>
      <c r="B5447" t="s">
        <v>44</v>
      </c>
      <c r="C5447" t="s">
        <v>6402</v>
      </c>
      <c r="D5447" t="s">
        <v>17969</v>
      </c>
      <c r="E5447" t="s">
        <v>22877</v>
      </c>
      <c r="F5447" t="s">
        <v>30900</v>
      </c>
      <c r="G5447" t="s">
        <v>30908</v>
      </c>
      <c r="H5447" t="s">
        <v>30916</v>
      </c>
      <c r="I5447" t="s">
        <v>8123</v>
      </c>
      <c r="J5447" t="s">
        <v>31052</v>
      </c>
      <c r="K5447" t="s">
        <v>40289</v>
      </c>
      <c r="M5447" t="s">
        <v>41947</v>
      </c>
      <c r="N5447" t="s">
        <v>44759</v>
      </c>
      <c r="O5447" t="s">
        <v>44760</v>
      </c>
      <c r="P5447">
        <v>0</v>
      </c>
      <c r="Q5447">
        <v>0</v>
      </c>
      <c r="R5447" t="s">
        <v>44766</v>
      </c>
      <c r="S5447" t="s">
        <v>44902</v>
      </c>
      <c r="T5447" t="s">
        <v>46548</v>
      </c>
      <c r="U5447" t="s">
        <v>51560</v>
      </c>
      <c r="W5447" t="s">
        <v>41947</v>
      </c>
      <c r="X5447" t="s">
        <v>44767</v>
      </c>
    </row>
    <row r="5448" spans="1:24">
      <c r="A5448">
        <f>HYPERLINK("https://www.philgeps.gov.ph/GEPSNONPILOT/Tender/SplashBidNoticeAbstractUI.aspx?menuIndex=3&amp;refID=7145789&amp;Result=3","7145789")</f>
        <v>0</v>
      </c>
      <c r="B5448" t="s">
        <v>1997</v>
      </c>
      <c r="C5448" t="s">
        <v>8901</v>
      </c>
      <c r="D5448" t="s">
        <v>17953</v>
      </c>
      <c r="E5448" t="s">
        <v>22878</v>
      </c>
      <c r="F5448" t="s">
        <v>30900</v>
      </c>
      <c r="G5448" t="s">
        <v>30908</v>
      </c>
      <c r="H5448" t="s">
        <v>30916</v>
      </c>
      <c r="I5448" t="s">
        <v>30988</v>
      </c>
      <c r="J5448" t="s">
        <v>34639</v>
      </c>
      <c r="K5448" t="s">
        <v>40366</v>
      </c>
      <c r="M5448" t="s">
        <v>42689</v>
      </c>
      <c r="N5448" t="s">
        <v>44759</v>
      </c>
      <c r="O5448" t="s">
        <v>44760</v>
      </c>
      <c r="P5448">
        <v>0</v>
      </c>
      <c r="Q5448">
        <v>1</v>
      </c>
      <c r="R5448" t="s">
        <v>44766</v>
      </c>
      <c r="S5448" t="s">
        <v>44902</v>
      </c>
      <c r="T5448" t="s">
        <v>46581</v>
      </c>
      <c r="U5448" t="s">
        <v>51561</v>
      </c>
      <c r="W5448" t="s">
        <v>44481</v>
      </c>
      <c r="X5448" t="s">
        <v>44767</v>
      </c>
    </row>
    <row r="5449" spans="1:24">
      <c r="A5449">
        <f>HYPERLINK("https://www.philgeps.gov.ph/GEPSNONPILOT/Tender/SplashBidNoticeAbstractUI.aspx?menuIndex=3&amp;refID=7145768&amp;Result=3","7145768")</f>
        <v>0</v>
      </c>
      <c r="B5449" t="s">
        <v>313</v>
      </c>
      <c r="C5449" t="s">
        <v>8902</v>
      </c>
      <c r="E5449" t="s">
        <v>22879</v>
      </c>
      <c r="F5449" t="s">
        <v>30900</v>
      </c>
      <c r="G5449" t="s">
        <v>30908</v>
      </c>
      <c r="H5449" t="s">
        <v>30916</v>
      </c>
      <c r="I5449" t="s">
        <v>6953</v>
      </c>
      <c r="J5449" t="s">
        <v>31363</v>
      </c>
      <c r="K5449" t="s">
        <v>40289</v>
      </c>
      <c r="M5449" t="s">
        <v>40909</v>
      </c>
      <c r="N5449" t="s">
        <v>44759</v>
      </c>
      <c r="O5449" t="s">
        <v>44760</v>
      </c>
      <c r="P5449">
        <v>0</v>
      </c>
      <c r="Q5449">
        <v>1</v>
      </c>
      <c r="R5449" t="s">
        <v>44766</v>
      </c>
      <c r="S5449" t="s">
        <v>44902</v>
      </c>
      <c r="T5449" t="s">
        <v>46403</v>
      </c>
      <c r="U5449" t="s">
        <v>51562</v>
      </c>
      <c r="W5449" t="s">
        <v>40909</v>
      </c>
      <c r="X5449" t="s">
        <v>44767</v>
      </c>
    </row>
    <row r="5450" spans="1:24">
      <c r="A5450">
        <f>HYPERLINK("https://www.philgeps.gov.ph/GEPSNONPILOT/Tender/SplashBidNoticeAbstractUI.aspx?menuIndex=3&amp;refID=7145787&amp;Result=3","7145787")</f>
        <v>0</v>
      </c>
      <c r="B5450" t="s">
        <v>1998</v>
      </c>
      <c r="C5450" t="s">
        <v>8903</v>
      </c>
      <c r="D5450" t="s">
        <v>17961</v>
      </c>
      <c r="E5450" t="s">
        <v>22880</v>
      </c>
      <c r="F5450" t="s">
        <v>30899</v>
      </c>
      <c r="G5450" t="s">
        <v>30908</v>
      </c>
      <c r="H5450" t="s">
        <v>30916</v>
      </c>
      <c r="I5450" t="s">
        <v>6396</v>
      </c>
      <c r="J5450" t="s">
        <v>34640</v>
      </c>
      <c r="K5450" t="s">
        <v>40285</v>
      </c>
      <c r="M5450" t="s">
        <v>42690</v>
      </c>
      <c r="N5450" t="s">
        <v>44759</v>
      </c>
      <c r="O5450" t="s">
        <v>44760</v>
      </c>
      <c r="P5450">
        <v>0</v>
      </c>
      <c r="Q5450">
        <v>1</v>
      </c>
      <c r="R5450" t="s">
        <v>44766</v>
      </c>
      <c r="S5450" t="s">
        <v>44902</v>
      </c>
      <c r="T5450" t="s">
        <v>46414</v>
      </c>
      <c r="U5450" t="s">
        <v>51563</v>
      </c>
      <c r="W5450" t="s">
        <v>42690</v>
      </c>
      <c r="X5450" t="s">
        <v>44767</v>
      </c>
    </row>
    <row r="5451" spans="1:24">
      <c r="A5451">
        <f>HYPERLINK("https://www.philgeps.gov.ph/GEPSNONPILOT/Tender/SplashBidNoticeAbstractUI.aspx?menuIndex=3&amp;refID=7145736&amp;Result=3","7145736")</f>
        <v>0</v>
      </c>
      <c r="B5451" t="s">
        <v>869</v>
      </c>
      <c r="C5451" t="s">
        <v>8904</v>
      </c>
      <c r="D5451" t="s">
        <v>17988</v>
      </c>
      <c r="E5451" t="s">
        <v>22881</v>
      </c>
      <c r="F5451" t="s">
        <v>30900</v>
      </c>
      <c r="G5451" t="s">
        <v>30908</v>
      </c>
      <c r="H5451" t="s">
        <v>30916</v>
      </c>
      <c r="I5451" t="s">
        <v>6953</v>
      </c>
      <c r="J5451" t="s">
        <v>34641</v>
      </c>
      <c r="K5451" t="s">
        <v>40285</v>
      </c>
      <c r="M5451" t="s">
        <v>42655</v>
      </c>
      <c r="N5451" t="s">
        <v>44759</v>
      </c>
      <c r="O5451" t="s">
        <v>44760</v>
      </c>
      <c r="P5451">
        <v>0</v>
      </c>
      <c r="Q5451">
        <v>2</v>
      </c>
      <c r="R5451" t="s">
        <v>44766</v>
      </c>
      <c r="S5451" t="s">
        <v>44902</v>
      </c>
      <c r="T5451" t="s">
        <v>46700</v>
      </c>
      <c r="U5451" t="s">
        <v>51564</v>
      </c>
      <c r="W5451" t="s">
        <v>42655</v>
      </c>
      <c r="X5451" t="s">
        <v>44767</v>
      </c>
    </row>
    <row r="5452" spans="1:24">
      <c r="A5452">
        <f>HYPERLINK("https://www.philgeps.gov.ph/GEPSNONPILOT/Tender/SplashBidNoticeAbstractUI.aspx?menuIndex=3&amp;refID=7145731&amp;Result=3","7145731")</f>
        <v>0</v>
      </c>
      <c r="B5452" t="s">
        <v>412</v>
      </c>
      <c r="C5452" t="s">
        <v>3804</v>
      </c>
      <c r="D5452" t="s">
        <v>18015</v>
      </c>
      <c r="E5452" t="s">
        <v>18141</v>
      </c>
      <c r="F5452" t="s">
        <v>30900</v>
      </c>
      <c r="G5452" t="s">
        <v>30907</v>
      </c>
      <c r="H5452" t="s">
        <v>30916</v>
      </c>
      <c r="I5452" t="s">
        <v>30923</v>
      </c>
      <c r="J5452" t="s">
        <v>34642</v>
      </c>
      <c r="K5452" t="s">
        <v>40314</v>
      </c>
      <c r="M5452" t="s">
        <v>40968</v>
      </c>
      <c r="N5452" t="s">
        <v>44759</v>
      </c>
      <c r="O5452" t="s">
        <v>44760</v>
      </c>
      <c r="P5452">
        <v>0</v>
      </c>
      <c r="Q5452">
        <v>1</v>
      </c>
      <c r="R5452" t="s">
        <v>44766</v>
      </c>
      <c r="S5452" t="s">
        <v>44902</v>
      </c>
      <c r="T5452" t="s">
        <v>46412</v>
      </c>
      <c r="U5452" t="s">
        <v>51565</v>
      </c>
      <c r="W5452" t="s">
        <v>40968</v>
      </c>
      <c r="X5452" t="s">
        <v>44767</v>
      </c>
    </row>
    <row r="5453" spans="1:24">
      <c r="A5453">
        <f>HYPERLINK("https://www.philgeps.gov.ph/GEPSNONPILOT/Tender/SplashBidNoticeAbstractUI.aspx?menuIndex=3&amp;refID=7145724&amp;Result=3","7145724")</f>
        <v>0</v>
      </c>
      <c r="B5453" t="s">
        <v>926</v>
      </c>
      <c r="C5453" t="s">
        <v>8905</v>
      </c>
      <c r="D5453" t="s">
        <v>17999</v>
      </c>
      <c r="E5453" t="s">
        <v>22882</v>
      </c>
      <c r="F5453" t="s">
        <v>30900</v>
      </c>
      <c r="G5453" t="s">
        <v>30907</v>
      </c>
      <c r="H5453" t="s">
        <v>30916</v>
      </c>
      <c r="I5453" t="s">
        <v>31006</v>
      </c>
      <c r="J5453" t="s">
        <v>34643</v>
      </c>
      <c r="K5453" t="s">
        <v>40397</v>
      </c>
      <c r="M5453" t="s">
        <v>42665</v>
      </c>
      <c r="N5453" t="s">
        <v>44759</v>
      </c>
      <c r="O5453" t="s">
        <v>44760</v>
      </c>
      <c r="P5453">
        <v>0</v>
      </c>
      <c r="Q5453">
        <v>1</v>
      </c>
      <c r="R5453" t="s">
        <v>44766</v>
      </c>
      <c r="S5453" t="s">
        <v>44902</v>
      </c>
      <c r="T5453" t="s">
        <v>46539</v>
      </c>
      <c r="U5453" t="s">
        <v>51566</v>
      </c>
      <c r="W5453" t="s">
        <v>42665</v>
      </c>
      <c r="X5453" t="s">
        <v>44767</v>
      </c>
    </row>
    <row r="5454" spans="1:24">
      <c r="A5454">
        <f>HYPERLINK("https://www.philgeps.gov.ph/GEPSNONPILOT/Tender/SplashBidNoticeAbstractUI.aspx?menuIndex=3&amp;refID=7145783&amp;Result=3","7145783")</f>
        <v>0</v>
      </c>
      <c r="B5454" t="s">
        <v>1899</v>
      </c>
      <c r="C5454" t="s">
        <v>8906</v>
      </c>
      <c r="D5454" t="s">
        <v>17992</v>
      </c>
      <c r="E5454" t="s">
        <v>22883</v>
      </c>
      <c r="F5454" t="s">
        <v>30900</v>
      </c>
      <c r="G5454" t="s">
        <v>30907</v>
      </c>
      <c r="H5454" t="s">
        <v>30916</v>
      </c>
      <c r="I5454" t="s">
        <v>8123</v>
      </c>
      <c r="J5454" t="s">
        <v>34644</v>
      </c>
      <c r="K5454" t="s">
        <v>40283</v>
      </c>
      <c r="M5454" t="s">
        <v>42575</v>
      </c>
      <c r="N5454" t="s">
        <v>44759</v>
      </c>
      <c r="O5454" t="s">
        <v>44760</v>
      </c>
      <c r="P5454">
        <v>0</v>
      </c>
      <c r="Q5454">
        <v>0</v>
      </c>
      <c r="R5454" t="s">
        <v>44766</v>
      </c>
      <c r="S5454" t="s">
        <v>44902</v>
      </c>
      <c r="T5454" t="s">
        <v>46414</v>
      </c>
      <c r="U5454" t="s">
        <v>51567</v>
      </c>
      <c r="V5454" t="s">
        <v>59705</v>
      </c>
      <c r="W5454" t="s">
        <v>42575</v>
      </c>
      <c r="X5454" t="s">
        <v>44767</v>
      </c>
    </row>
    <row r="5455" spans="1:24">
      <c r="A5455">
        <f>HYPERLINK("https://www.philgeps.gov.ph/GEPSNONPILOT/Tender/SplashBidNoticeAbstractUI.aspx?menuIndex=3&amp;refID=7145827&amp;Result=3","7145827")</f>
        <v>0</v>
      </c>
      <c r="B5455" t="s">
        <v>1988</v>
      </c>
      <c r="C5455" t="s">
        <v>8907</v>
      </c>
      <c r="D5455" t="s">
        <v>17959</v>
      </c>
      <c r="E5455" t="s">
        <v>22884</v>
      </c>
      <c r="F5455" t="s">
        <v>30900</v>
      </c>
      <c r="G5455" t="s">
        <v>30906</v>
      </c>
      <c r="H5455" t="s">
        <v>30916</v>
      </c>
      <c r="I5455" t="s">
        <v>9385</v>
      </c>
      <c r="J5455" t="s">
        <v>34645</v>
      </c>
      <c r="K5455" t="s">
        <v>40289</v>
      </c>
      <c r="L5455" t="s">
        <v>1988</v>
      </c>
      <c r="M5455" t="s">
        <v>42679</v>
      </c>
      <c r="N5455" t="s">
        <v>44759</v>
      </c>
      <c r="O5455" t="s">
        <v>44760</v>
      </c>
      <c r="Q5455">
        <v>13</v>
      </c>
      <c r="R5455" t="s">
        <v>44766</v>
      </c>
      <c r="S5455" t="s">
        <v>44911</v>
      </c>
      <c r="T5455" t="s">
        <v>46497</v>
      </c>
      <c r="U5455" t="s">
        <v>51539</v>
      </c>
      <c r="W5455" t="s">
        <v>42679</v>
      </c>
      <c r="X5455" t="s">
        <v>44767</v>
      </c>
    </row>
    <row r="5456" spans="1:24">
      <c r="A5456">
        <f>HYPERLINK("https://www.philgeps.gov.ph/GEPSNONPILOT/Tender/SplashBidNoticeAbstractUI.aspx?menuIndex=3&amp;refID=7145779&amp;Result=3","7145779")</f>
        <v>0</v>
      </c>
      <c r="B5456" t="s">
        <v>1988</v>
      </c>
      <c r="C5456" t="s">
        <v>8908</v>
      </c>
      <c r="D5456" t="s">
        <v>17959</v>
      </c>
      <c r="E5456" t="s">
        <v>22885</v>
      </c>
      <c r="F5456" t="s">
        <v>30900</v>
      </c>
      <c r="G5456" t="s">
        <v>30907</v>
      </c>
      <c r="H5456" t="s">
        <v>30916</v>
      </c>
      <c r="I5456" t="s">
        <v>8123</v>
      </c>
      <c r="J5456" t="s">
        <v>34646</v>
      </c>
      <c r="K5456" t="s">
        <v>40289</v>
      </c>
      <c r="L5456" t="s">
        <v>1988</v>
      </c>
      <c r="M5456" t="s">
        <v>42679</v>
      </c>
      <c r="N5456" t="s">
        <v>44759</v>
      </c>
      <c r="O5456" t="s">
        <v>44760</v>
      </c>
      <c r="Q5456">
        <v>2</v>
      </c>
      <c r="R5456" t="s">
        <v>44766</v>
      </c>
      <c r="S5456" t="s">
        <v>44912</v>
      </c>
      <c r="T5456" t="s">
        <v>46497</v>
      </c>
      <c r="U5456" t="s">
        <v>51539</v>
      </c>
      <c r="W5456" t="s">
        <v>42679</v>
      </c>
      <c r="X5456" t="s">
        <v>44767</v>
      </c>
    </row>
    <row r="5457" spans="1:24">
      <c r="A5457">
        <f>HYPERLINK("https://www.philgeps.gov.ph/GEPSNONPILOT/Tender/SplashBidNoticeAbstractUI.aspx?menuIndex=3&amp;refID=7145847&amp;Result=3","7145847")</f>
        <v>0</v>
      </c>
      <c r="B5457" t="s">
        <v>1999</v>
      </c>
      <c r="C5457" t="s">
        <v>8909</v>
      </c>
      <c r="D5457" t="s">
        <v>18017</v>
      </c>
      <c r="E5457" t="s">
        <v>22886</v>
      </c>
      <c r="F5457" t="s">
        <v>30900</v>
      </c>
      <c r="G5457" t="s">
        <v>30907</v>
      </c>
      <c r="H5457" t="s">
        <v>30916</v>
      </c>
      <c r="I5457" t="s">
        <v>6396</v>
      </c>
      <c r="J5457" t="s">
        <v>34647</v>
      </c>
      <c r="K5457" t="s">
        <v>40286</v>
      </c>
      <c r="M5457" t="s">
        <v>42691</v>
      </c>
      <c r="N5457" t="s">
        <v>44759</v>
      </c>
      <c r="O5457" t="s">
        <v>44760</v>
      </c>
      <c r="P5457">
        <v>0</v>
      </c>
      <c r="Q5457">
        <v>3</v>
      </c>
      <c r="R5457" t="s">
        <v>44766</v>
      </c>
      <c r="S5457" t="s">
        <v>44902</v>
      </c>
      <c r="T5457" t="s">
        <v>46519</v>
      </c>
      <c r="U5457" t="s">
        <v>51568</v>
      </c>
      <c r="V5457" t="s">
        <v>59706</v>
      </c>
      <c r="W5457" t="s">
        <v>42691</v>
      </c>
      <c r="X5457" t="s">
        <v>44767</v>
      </c>
    </row>
    <row r="5458" spans="1:24">
      <c r="A5458">
        <f>HYPERLINK("https://www.philgeps.gov.ph/GEPSNONPILOT/Tender/SplashBidNoticeAbstractUI.aspx?menuIndex=3&amp;refID=7145773&amp;Result=3","7145773")</f>
        <v>0</v>
      </c>
      <c r="B5458" t="s">
        <v>1983</v>
      </c>
      <c r="C5458" t="s">
        <v>8910</v>
      </c>
      <c r="D5458" t="s">
        <v>18019</v>
      </c>
      <c r="E5458" t="s">
        <v>22887</v>
      </c>
      <c r="F5458" t="s">
        <v>30900</v>
      </c>
      <c r="G5458" t="s">
        <v>30907</v>
      </c>
      <c r="H5458" t="s">
        <v>30916</v>
      </c>
      <c r="I5458" t="s">
        <v>8123</v>
      </c>
      <c r="J5458" t="s">
        <v>34648</v>
      </c>
      <c r="K5458" t="s">
        <v>40294</v>
      </c>
      <c r="M5458" t="s">
        <v>42674</v>
      </c>
      <c r="N5458" t="s">
        <v>44759</v>
      </c>
      <c r="O5458" t="s">
        <v>44760</v>
      </c>
      <c r="P5458">
        <v>0</v>
      </c>
      <c r="Q5458">
        <v>0</v>
      </c>
      <c r="R5458" t="s">
        <v>44766</v>
      </c>
      <c r="S5458" t="s">
        <v>44902</v>
      </c>
      <c r="T5458" t="s">
        <v>46363</v>
      </c>
      <c r="U5458" t="s">
        <v>51569</v>
      </c>
      <c r="W5458" t="s">
        <v>42674</v>
      </c>
      <c r="X5458" t="s">
        <v>44767</v>
      </c>
    </row>
    <row r="5459" spans="1:24">
      <c r="A5459">
        <f>HYPERLINK("https://www.philgeps.gov.ph/GEPSNONPILOT/Tender/SplashBidNoticeAbstractUI.aspx?menuIndex=3&amp;refID=7145743&amp;Result=3","7145743")</f>
        <v>0</v>
      </c>
      <c r="B5459" t="s">
        <v>400</v>
      </c>
      <c r="C5459" t="s">
        <v>8911</v>
      </c>
      <c r="D5459" t="s">
        <v>17971</v>
      </c>
      <c r="E5459" t="s">
        <v>22888</v>
      </c>
      <c r="F5459" t="s">
        <v>30900</v>
      </c>
      <c r="G5459" t="s">
        <v>30908</v>
      </c>
      <c r="H5459" t="s">
        <v>30916</v>
      </c>
      <c r="I5459" t="s">
        <v>8123</v>
      </c>
      <c r="J5459" t="s">
        <v>34649</v>
      </c>
      <c r="K5459" t="s">
        <v>40289</v>
      </c>
      <c r="M5459" t="s">
        <v>40955</v>
      </c>
      <c r="N5459" t="s">
        <v>44759</v>
      </c>
      <c r="O5459" t="s">
        <v>44760</v>
      </c>
      <c r="P5459">
        <v>0</v>
      </c>
      <c r="Q5459">
        <v>0</v>
      </c>
      <c r="R5459" t="s">
        <v>44766</v>
      </c>
      <c r="S5459" t="s">
        <v>44902</v>
      </c>
      <c r="T5459" t="s">
        <v>46391</v>
      </c>
      <c r="U5459" t="s">
        <v>51570</v>
      </c>
      <c r="W5459" t="s">
        <v>40955</v>
      </c>
      <c r="X5459" t="s">
        <v>44767</v>
      </c>
    </row>
    <row r="5460" spans="1:24">
      <c r="A5460">
        <f>HYPERLINK("https://www.philgeps.gov.ph/GEPSNONPILOT/Tender/SplashBidNoticeAbstractUI.aspx?menuIndex=3&amp;refID=7145844&amp;Result=3","7145844")</f>
        <v>0</v>
      </c>
      <c r="B5460" t="s">
        <v>1973</v>
      </c>
      <c r="C5460" t="s">
        <v>8912</v>
      </c>
      <c r="D5460" t="s">
        <v>18012</v>
      </c>
      <c r="E5460" t="s">
        <v>22889</v>
      </c>
      <c r="F5460" t="s">
        <v>30900</v>
      </c>
      <c r="G5460" t="s">
        <v>30906</v>
      </c>
      <c r="H5460" t="s">
        <v>30916</v>
      </c>
      <c r="I5460" t="s">
        <v>4545</v>
      </c>
      <c r="J5460" t="s">
        <v>34650</v>
      </c>
      <c r="K5460" t="s">
        <v>40284</v>
      </c>
      <c r="M5460" t="s">
        <v>42661</v>
      </c>
      <c r="N5460" t="s">
        <v>44759</v>
      </c>
      <c r="O5460" t="s">
        <v>44760</v>
      </c>
      <c r="P5460">
        <v>0</v>
      </c>
      <c r="Q5460">
        <v>0</v>
      </c>
      <c r="R5460" t="s">
        <v>44766</v>
      </c>
      <c r="S5460" t="s">
        <v>44902</v>
      </c>
      <c r="T5460" t="s">
        <v>46536</v>
      </c>
      <c r="U5460" t="s">
        <v>51571</v>
      </c>
      <c r="W5460" t="s">
        <v>42661</v>
      </c>
      <c r="X5460" t="s">
        <v>44767</v>
      </c>
    </row>
    <row r="5461" spans="1:24">
      <c r="A5461">
        <f>HYPERLINK("https://www.philgeps.gov.ph/GEPSNONPILOT/Tender/SplashBidNoticeAbstractUI.aspx?menuIndex=3&amp;refID=7145726&amp;Result=3","7145726")</f>
        <v>0</v>
      </c>
      <c r="B5461" t="s">
        <v>1944</v>
      </c>
      <c r="C5461" t="s">
        <v>8913</v>
      </c>
      <c r="D5461" t="s">
        <v>17973</v>
      </c>
      <c r="E5461" t="s">
        <v>22890</v>
      </c>
      <c r="F5461" t="s">
        <v>30900</v>
      </c>
      <c r="G5461" t="s">
        <v>30907</v>
      </c>
      <c r="H5461" t="s">
        <v>30916</v>
      </c>
      <c r="I5461" t="s">
        <v>30926</v>
      </c>
      <c r="J5461" t="s">
        <v>31138</v>
      </c>
      <c r="K5461" t="s">
        <v>40284</v>
      </c>
      <c r="M5461" t="s">
        <v>42626</v>
      </c>
      <c r="N5461" t="s">
        <v>44759</v>
      </c>
      <c r="O5461" t="s">
        <v>44760</v>
      </c>
      <c r="P5461">
        <v>0</v>
      </c>
      <c r="Q5461">
        <v>0</v>
      </c>
      <c r="R5461" t="s">
        <v>44766</v>
      </c>
      <c r="S5461" t="s">
        <v>44902</v>
      </c>
      <c r="T5461" t="s">
        <v>46410</v>
      </c>
      <c r="U5461" t="s">
        <v>51572</v>
      </c>
      <c r="W5461" t="s">
        <v>42626</v>
      </c>
      <c r="X5461" t="s">
        <v>44767</v>
      </c>
    </row>
    <row r="5462" spans="1:24">
      <c r="A5462">
        <f>HYPERLINK("https://www.philgeps.gov.ph/GEPSNONPILOT/Tender/SplashBidNoticeAbstractUI.aspx?menuIndex=3&amp;refID=7145843&amp;Result=3","7145843")</f>
        <v>0</v>
      </c>
      <c r="B5462" t="s">
        <v>1948</v>
      </c>
      <c r="C5462" t="s">
        <v>8914</v>
      </c>
      <c r="D5462" t="s">
        <v>17959</v>
      </c>
      <c r="E5462" t="s">
        <v>22891</v>
      </c>
      <c r="F5462" t="s">
        <v>30900</v>
      </c>
      <c r="G5462" t="s">
        <v>30908</v>
      </c>
      <c r="H5462" t="s">
        <v>30916</v>
      </c>
      <c r="I5462" t="s">
        <v>30918</v>
      </c>
      <c r="J5462" t="s">
        <v>31313</v>
      </c>
      <c r="K5462" t="s">
        <v>40287</v>
      </c>
      <c r="M5462" t="s">
        <v>42630</v>
      </c>
      <c r="N5462" t="s">
        <v>44759</v>
      </c>
      <c r="O5462" t="s">
        <v>44760</v>
      </c>
      <c r="P5462">
        <v>0</v>
      </c>
      <c r="Q5462">
        <v>4</v>
      </c>
      <c r="R5462" t="s">
        <v>44766</v>
      </c>
      <c r="S5462" t="s">
        <v>44902</v>
      </c>
      <c r="T5462" t="s">
        <v>46374</v>
      </c>
      <c r="U5462" t="s">
        <v>51573</v>
      </c>
      <c r="V5462" t="s">
        <v>59684</v>
      </c>
      <c r="W5462" t="s">
        <v>42630</v>
      </c>
      <c r="X5462" t="s">
        <v>44767</v>
      </c>
    </row>
    <row r="5463" spans="1:24">
      <c r="A5463">
        <f>HYPERLINK("https://www.philgeps.gov.ph/GEPSNONPILOT/Tender/SplashBidNoticeAbstractUI.aspx?menuIndex=3&amp;refID=7145804&amp;Result=3","7145804")</f>
        <v>0</v>
      </c>
      <c r="B5463" t="s">
        <v>2000</v>
      </c>
      <c r="C5463" t="s">
        <v>6635</v>
      </c>
      <c r="D5463" t="s">
        <v>17978</v>
      </c>
      <c r="E5463" t="s">
        <v>18249</v>
      </c>
      <c r="F5463" t="s">
        <v>30900</v>
      </c>
      <c r="G5463" t="s">
        <v>30907</v>
      </c>
      <c r="H5463" t="s">
        <v>30916</v>
      </c>
      <c r="I5463" t="s">
        <v>8123</v>
      </c>
      <c r="J5463" t="s">
        <v>31105</v>
      </c>
      <c r="K5463" t="s">
        <v>40289</v>
      </c>
      <c r="L5463" t="s">
        <v>2000</v>
      </c>
      <c r="M5463" t="s">
        <v>42692</v>
      </c>
      <c r="N5463" t="s">
        <v>44759</v>
      </c>
      <c r="O5463" t="s">
        <v>44760</v>
      </c>
      <c r="P5463">
        <v>0</v>
      </c>
      <c r="Q5463">
        <v>0</v>
      </c>
      <c r="R5463" t="s">
        <v>44766</v>
      </c>
      <c r="S5463" t="s">
        <v>44902</v>
      </c>
      <c r="T5463" t="s">
        <v>46383</v>
      </c>
      <c r="U5463" t="s">
        <v>51574</v>
      </c>
      <c r="V5463" t="s">
        <v>59707</v>
      </c>
      <c r="W5463" t="s">
        <v>42692</v>
      </c>
      <c r="X5463" t="s">
        <v>44767</v>
      </c>
    </row>
    <row r="5464" spans="1:24">
      <c r="A5464">
        <f>HYPERLINK("https://www.philgeps.gov.ph/GEPSNONPILOT/Tender/SplashBidNoticeAbstractUI.aspx?menuIndex=3&amp;refID=7145826&amp;Result=3","7145826")</f>
        <v>0</v>
      </c>
      <c r="B5464" t="s">
        <v>1511</v>
      </c>
      <c r="C5464" t="s">
        <v>8915</v>
      </c>
      <c r="D5464" t="s">
        <v>18019</v>
      </c>
      <c r="E5464" t="s">
        <v>22892</v>
      </c>
      <c r="F5464" t="s">
        <v>30900</v>
      </c>
      <c r="G5464" t="s">
        <v>30908</v>
      </c>
      <c r="H5464" t="s">
        <v>30916</v>
      </c>
      <c r="I5464" t="s">
        <v>30934</v>
      </c>
      <c r="J5464" t="s">
        <v>31413</v>
      </c>
      <c r="K5464" t="s">
        <v>40287</v>
      </c>
      <c r="M5464" t="s">
        <v>42152</v>
      </c>
      <c r="N5464" t="s">
        <v>44759</v>
      </c>
      <c r="O5464" t="s">
        <v>44760</v>
      </c>
      <c r="P5464">
        <v>0</v>
      </c>
      <c r="Q5464">
        <v>0</v>
      </c>
      <c r="R5464" t="s">
        <v>44766</v>
      </c>
      <c r="S5464" t="s">
        <v>44902</v>
      </c>
      <c r="T5464" t="s">
        <v>46704</v>
      </c>
      <c r="U5464" t="s">
        <v>50068</v>
      </c>
      <c r="W5464" t="s">
        <v>42152</v>
      </c>
      <c r="X5464" t="s">
        <v>44767</v>
      </c>
    </row>
    <row r="5465" spans="1:24">
      <c r="A5465">
        <f>HYPERLINK("https://www.philgeps.gov.ph/GEPSNONPILOT/Tender/SplashBidNoticeAbstractUI.aspx?menuIndex=3&amp;refID=7145830&amp;Result=3","7145830")</f>
        <v>0</v>
      </c>
      <c r="B5465" t="s">
        <v>58</v>
      </c>
      <c r="C5465" t="s">
        <v>8916</v>
      </c>
      <c r="D5465" t="s">
        <v>17977</v>
      </c>
      <c r="E5465" t="s">
        <v>22893</v>
      </c>
      <c r="F5465" t="s">
        <v>30900</v>
      </c>
      <c r="G5465" t="s">
        <v>30908</v>
      </c>
      <c r="H5465" t="s">
        <v>30916</v>
      </c>
      <c r="I5465" t="s">
        <v>30999</v>
      </c>
      <c r="J5465" t="s">
        <v>32298</v>
      </c>
      <c r="K5465" t="s">
        <v>40287</v>
      </c>
      <c r="M5465" t="s">
        <v>40604</v>
      </c>
      <c r="N5465" t="s">
        <v>44759</v>
      </c>
      <c r="O5465" t="s">
        <v>44760</v>
      </c>
      <c r="P5465">
        <v>0</v>
      </c>
      <c r="Q5465">
        <v>0</v>
      </c>
      <c r="R5465" t="s">
        <v>44766</v>
      </c>
      <c r="S5465" t="s">
        <v>44902</v>
      </c>
      <c r="T5465" t="s">
        <v>46625</v>
      </c>
      <c r="U5465" t="s">
        <v>51289</v>
      </c>
      <c r="W5465" t="s">
        <v>60815</v>
      </c>
      <c r="X5465" t="s">
        <v>44767</v>
      </c>
    </row>
    <row r="5466" spans="1:24">
      <c r="A5466">
        <f>HYPERLINK("https://www.philgeps.gov.ph/GEPSNONPILOT/Tender/SplashBidNoticeAbstractUI.aspx?menuIndex=3&amp;refID=7145770&amp;Result=3","7145770")</f>
        <v>0</v>
      </c>
      <c r="B5466" t="s">
        <v>1441</v>
      </c>
      <c r="C5466" t="s">
        <v>8917</v>
      </c>
      <c r="E5466" t="s">
        <v>22894</v>
      </c>
      <c r="F5466" t="s">
        <v>30900</v>
      </c>
      <c r="G5466" t="s">
        <v>30909</v>
      </c>
      <c r="H5466" t="s">
        <v>30916</v>
      </c>
      <c r="I5466" t="s">
        <v>4142</v>
      </c>
      <c r="J5466" t="s">
        <v>34651</v>
      </c>
      <c r="K5466" t="s">
        <v>40284</v>
      </c>
      <c r="M5466" t="s">
        <v>42073</v>
      </c>
      <c r="N5466" t="s">
        <v>44759</v>
      </c>
      <c r="O5466" t="s">
        <v>44760</v>
      </c>
      <c r="P5466">
        <v>0</v>
      </c>
      <c r="Q5466">
        <v>0</v>
      </c>
      <c r="R5466" t="s">
        <v>44766</v>
      </c>
      <c r="S5466" t="s">
        <v>44902</v>
      </c>
      <c r="T5466" t="s">
        <v>46548</v>
      </c>
      <c r="U5466" t="s">
        <v>51575</v>
      </c>
      <c r="V5466" t="s">
        <v>59703</v>
      </c>
      <c r="W5466" t="s">
        <v>42073</v>
      </c>
      <c r="X5466" t="s">
        <v>44767</v>
      </c>
    </row>
    <row r="5467" spans="1:24">
      <c r="A5467">
        <f>HYPERLINK("https://www.philgeps.gov.ph/GEPSNONPILOT/Tender/SplashBidNoticeAbstractUI.aspx?menuIndex=3&amp;refID=7145846&amp;Result=3","7145846")</f>
        <v>0</v>
      </c>
      <c r="B5467" t="s">
        <v>81</v>
      </c>
      <c r="C5467" t="s">
        <v>8918</v>
      </c>
      <c r="D5467" t="s">
        <v>17959</v>
      </c>
      <c r="E5467" t="s">
        <v>22895</v>
      </c>
      <c r="F5467" t="s">
        <v>30900</v>
      </c>
      <c r="G5467" t="s">
        <v>30909</v>
      </c>
      <c r="H5467" t="s">
        <v>30916</v>
      </c>
      <c r="I5467" t="s">
        <v>4142</v>
      </c>
      <c r="J5467" t="s">
        <v>34652</v>
      </c>
      <c r="K5467" t="s">
        <v>40289</v>
      </c>
      <c r="M5467" t="s">
        <v>42693</v>
      </c>
      <c r="N5467" t="s">
        <v>44759</v>
      </c>
      <c r="O5467" t="s">
        <v>44760</v>
      </c>
      <c r="P5467">
        <v>0</v>
      </c>
      <c r="Q5467">
        <v>2</v>
      </c>
      <c r="R5467" t="s">
        <v>44766</v>
      </c>
      <c r="S5467" t="s">
        <v>44902</v>
      </c>
      <c r="T5467" t="s">
        <v>46403</v>
      </c>
      <c r="U5467" t="s">
        <v>51576</v>
      </c>
      <c r="W5467" t="s">
        <v>42693</v>
      </c>
      <c r="X5467" t="s">
        <v>44767</v>
      </c>
    </row>
    <row r="5468" spans="1:24">
      <c r="A5468">
        <f>HYPERLINK("https://www.philgeps.gov.ph/GEPSNONPILOT/Tender/SplashBidNoticeAbstractUI.aspx?menuIndex=3&amp;refID=7145823&amp;Result=3","7145823")</f>
        <v>0</v>
      </c>
      <c r="B5468" t="s">
        <v>1997</v>
      </c>
      <c r="C5468" t="s">
        <v>8919</v>
      </c>
      <c r="D5468" t="s">
        <v>17953</v>
      </c>
      <c r="E5468" t="s">
        <v>22896</v>
      </c>
      <c r="F5468" t="s">
        <v>30900</v>
      </c>
      <c r="G5468" t="s">
        <v>30908</v>
      </c>
      <c r="H5468" t="s">
        <v>30916</v>
      </c>
      <c r="I5468" t="s">
        <v>31025</v>
      </c>
      <c r="J5468" t="s">
        <v>34653</v>
      </c>
      <c r="K5468" t="s">
        <v>40284</v>
      </c>
      <c r="M5468" t="s">
        <v>42689</v>
      </c>
      <c r="N5468" t="s">
        <v>44759</v>
      </c>
      <c r="O5468" t="s">
        <v>44760</v>
      </c>
      <c r="P5468">
        <v>0</v>
      </c>
      <c r="Q5468">
        <v>2</v>
      </c>
      <c r="R5468" t="s">
        <v>44766</v>
      </c>
      <c r="S5468" t="s">
        <v>44902</v>
      </c>
      <c r="T5468" t="s">
        <v>46581</v>
      </c>
      <c r="U5468" t="s">
        <v>51577</v>
      </c>
      <c r="W5468" t="s">
        <v>44481</v>
      </c>
      <c r="X5468" t="s">
        <v>44767</v>
      </c>
    </row>
    <row r="5469" spans="1:24">
      <c r="A5469">
        <f>HYPERLINK("https://www.philgeps.gov.ph/GEPSNONPILOT/Tender/SplashBidNoticeAbstractUI.aspx?menuIndex=3&amp;refID=7145845&amp;Result=3","7145845")</f>
        <v>0</v>
      </c>
      <c r="B5469" t="s">
        <v>2001</v>
      </c>
      <c r="C5469" t="s">
        <v>8920</v>
      </c>
      <c r="E5469" t="s">
        <v>22897</v>
      </c>
      <c r="F5469" t="s">
        <v>30900</v>
      </c>
      <c r="G5469" t="s">
        <v>30907</v>
      </c>
      <c r="H5469" t="s">
        <v>30916</v>
      </c>
      <c r="I5469" t="s">
        <v>6834</v>
      </c>
      <c r="J5469" t="s">
        <v>34654</v>
      </c>
      <c r="K5469" t="s">
        <v>40283</v>
      </c>
      <c r="M5469" t="s">
        <v>42694</v>
      </c>
      <c r="N5469" t="s">
        <v>44759</v>
      </c>
      <c r="O5469" t="s">
        <v>44760</v>
      </c>
      <c r="P5469">
        <v>0</v>
      </c>
      <c r="Q5469">
        <v>2</v>
      </c>
      <c r="R5469" t="s">
        <v>44766</v>
      </c>
      <c r="S5469" t="s">
        <v>44902</v>
      </c>
      <c r="T5469" t="s">
        <v>46398</v>
      </c>
      <c r="U5469" t="s">
        <v>51578</v>
      </c>
      <c r="W5469" t="s">
        <v>42694</v>
      </c>
      <c r="X5469" t="s">
        <v>44767</v>
      </c>
    </row>
    <row r="5470" spans="1:24">
      <c r="A5470">
        <f>HYPERLINK("https://www.philgeps.gov.ph/GEPSNONPILOT/Tender/SplashBidNoticeAbstractUI.aspx?menuIndex=3&amp;refID=7145817&amp;Result=3","7145817")</f>
        <v>0</v>
      </c>
      <c r="B5470" t="s">
        <v>2002</v>
      </c>
      <c r="C5470" t="s">
        <v>8921</v>
      </c>
      <c r="D5470" t="s">
        <v>17971</v>
      </c>
      <c r="E5470" t="s">
        <v>22898</v>
      </c>
      <c r="F5470" t="s">
        <v>30900</v>
      </c>
      <c r="G5470" t="s">
        <v>30908</v>
      </c>
      <c r="H5470" t="s">
        <v>30916</v>
      </c>
      <c r="I5470" t="s">
        <v>30921</v>
      </c>
      <c r="J5470" t="s">
        <v>31048</v>
      </c>
      <c r="K5470" t="s">
        <v>40287</v>
      </c>
      <c r="M5470" t="s">
        <v>42695</v>
      </c>
      <c r="N5470" t="s">
        <v>44759</v>
      </c>
      <c r="O5470" t="s">
        <v>44760</v>
      </c>
      <c r="P5470">
        <v>0</v>
      </c>
      <c r="Q5470">
        <v>3</v>
      </c>
      <c r="R5470" t="s">
        <v>44766</v>
      </c>
      <c r="S5470" t="s">
        <v>44902</v>
      </c>
      <c r="T5470" t="s">
        <v>46403</v>
      </c>
      <c r="U5470" t="s">
        <v>51579</v>
      </c>
      <c r="W5470" t="s">
        <v>42695</v>
      </c>
      <c r="X5470" t="s">
        <v>44767</v>
      </c>
    </row>
    <row r="5471" spans="1:24">
      <c r="A5471">
        <f>HYPERLINK("https://www.philgeps.gov.ph/GEPSNONPILOT/Tender/SplashBidNoticeAbstractUI.aspx?menuIndex=3&amp;refID=7145816&amp;Result=3","7145816")</f>
        <v>0</v>
      </c>
      <c r="B5471" t="s">
        <v>926</v>
      </c>
      <c r="C5471" t="s">
        <v>8922</v>
      </c>
      <c r="D5471" t="s">
        <v>17999</v>
      </c>
      <c r="E5471" t="s">
        <v>22899</v>
      </c>
      <c r="F5471" t="s">
        <v>30900</v>
      </c>
      <c r="G5471" t="s">
        <v>30907</v>
      </c>
      <c r="H5471" t="s">
        <v>30916</v>
      </c>
      <c r="I5471" t="s">
        <v>6953</v>
      </c>
      <c r="J5471" t="s">
        <v>34655</v>
      </c>
      <c r="K5471" t="s">
        <v>40283</v>
      </c>
      <c r="M5471" t="s">
        <v>42665</v>
      </c>
      <c r="N5471" t="s">
        <v>44759</v>
      </c>
      <c r="O5471" t="s">
        <v>44760</v>
      </c>
      <c r="P5471">
        <v>0</v>
      </c>
      <c r="Q5471">
        <v>4</v>
      </c>
      <c r="R5471" t="s">
        <v>44766</v>
      </c>
      <c r="S5471" t="s">
        <v>44902</v>
      </c>
      <c r="T5471" t="s">
        <v>46539</v>
      </c>
      <c r="U5471" t="s">
        <v>51580</v>
      </c>
      <c r="W5471" t="s">
        <v>42665</v>
      </c>
      <c r="X5471" t="s">
        <v>44767</v>
      </c>
    </row>
    <row r="5472" spans="1:24">
      <c r="A5472">
        <f>HYPERLINK("https://www.philgeps.gov.ph/GEPSNONPILOT/Tender/SplashBidNoticeAbstractUI.aspx?menuIndex=3&amp;refID=7145815&amp;Result=3","7145815")</f>
        <v>0</v>
      </c>
      <c r="B5472" t="s">
        <v>1478</v>
      </c>
      <c r="C5472" t="s">
        <v>8923</v>
      </c>
      <c r="E5472" t="s">
        <v>22900</v>
      </c>
      <c r="F5472" t="s">
        <v>30900</v>
      </c>
      <c r="G5472" t="s">
        <v>30909</v>
      </c>
      <c r="H5472" t="s">
        <v>30916</v>
      </c>
      <c r="I5472" t="s">
        <v>10961</v>
      </c>
      <c r="J5472" t="s">
        <v>31116</v>
      </c>
      <c r="K5472" t="s">
        <v>40289</v>
      </c>
      <c r="M5472" t="s">
        <v>42684</v>
      </c>
      <c r="N5472" t="s">
        <v>44759</v>
      </c>
      <c r="O5472" t="s">
        <v>44760</v>
      </c>
      <c r="P5472">
        <v>0</v>
      </c>
      <c r="Q5472">
        <v>3</v>
      </c>
      <c r="R5472" t="s">
        <v>44766</v>
      </c>
      <c r="S5472" t="s">
        <v>44902</v>
      </c>
      <c r="T5472" t="s">
        <v>46590</v>
      </c>
      <c r="U5472" t="s">
        <v>51581</v>
      </c>
      <c r="W5472" t="s">
        <v>42684</v>
      </c>
      <c r="X5472" t="s">
        <v>44767</v>
      </c>
    </row>
    <row r="5473" spans="1:24">
      <c r="A5473">
        <f>HYPERLINK("https://www.philgeps.gov.ph/GEPSNONPILOT/Tender/SplashBidNoticeAbstractUI.aspx?menuIndex=3&amp;refID=7145893&amp;Result=3","7145893")</f>
        <v>0</v>
      </c>
      <c r="B5473" t="s">
        <v>2003</v>
      </c>
      <c r="C5473" t="s">
        <v>8924</v>
      </c>
      <c r="D5473" t="s">
        <v>18023</v>
      </c>
      <c r="E5473" t="s">
        <v>22725</v>
      </c>
      <c r="F5473" t="s">
        <v>30899</v>
      </c>
      <c r="G5473" t="s">
        <v>30908</v>
      </c>
      <c r="H5473" t="s">
        <v>30916</v>
      </c>
      <c r="I5473" t="s">
        <v>30922</v>
      </c>
      <c r="J5473" t="s">
        <v>33225</v>
      </c>
      <c r="K5473" t="s">
        <v>40294</v>
      </c>
      <c r="M5473" t="s">
        <v>42696</v>
      </c>
      <c r="N5473" t="s">
        <v>44759</v>
      </c>
      <c r="O5473" t="s">
        <v>44760</v>
      </c>
      <c r="P5473">
        <v>0</v>
      </c>
      <c r="Q5473">
        <v>7</v>
      </c>
      <c r="R5473" t="s">
        <v>44766</v>
      </c>
      <c r="S5473" t="s">
        <v>44902</v>
      </c>
      <c r="T5473" t="s">
        <v>46410</v>
      </c>
      <c r="U5473" t="s">
        <v>51582</v>
      </c>
      <c r="W5473" t="s">
        <v>42696</v>
      </c>
      <c r="X5473" t="s">
        <v>44767</v>
      </c>
    </row>
    <row r="5474" spans="1:24">
      <c r="A5474">
        <f>HYPERLINK("https://www.philgeps.gov.ph/GEPSNONPILOT/Tender/SplashBidNoticeAbstractUI.aspx?menuIndex=3&amp;refID=7145904&amp;Result=3","7145904")</f>
        <v>0</v>
      </c>
      <c r="B5474" t="s">
        <v>1285</v>
      </c>
      <c r="C5474" t="s">
        <v>8925</v>
      </c>
      <c r="D5474" t="s">
        <v>17958</v>
      </c>
      <c r="E5474" t="s">
        <v>22901</v>
      </c>
      <c r="F5474" t="s">
        <v>30900</v>
      </c>
      <c r="G5474" t="s">
        <v>30907</v>
      </c>
      <c r="H5474" t="s">
        <v>30916</v>
      </c>
      <c r="I5474" t="s">
        <v>30961</v>
      </c>
      <c r="J5474" t="s">
        <v>34656</v>
      </c>
      <c r="K5474" t="s">
        <v>40287</v>
      </c>
      <c r="M5474" t="s">
        <v>41902</v>
      </c>
      <c r="N5474" t="s">
        <v>44759</v>
      </c>
      <c r="O5474" t="s">
        <v>44760</v>
      </c>
      <c r="P5474">
        <v>0</v>
      </c>
      <c r="Q5474">
        <v>1</v>
      </c>
      <c r="R5474" t="s">
        <v>44766</v>
      </c>
      <c r="S5474" t="s">
        <v>44902</v>
      </c>
      <c r="T5474" t="s">
        <v>46421</v>
      </c>
      <c r="U5474" t="s">
        <v>51583</v>
      </c>
      <c r="V5474" t="s">
        <v>59708</v>
      </c>
      <c r="W5474" t="s">
        <v>41902</v>
      </c>
      <c r="X5474" t="s">
        <v>44767</v>
      </c>
    </row>
    <row r="5475" spans="1:24">
      <c r="A5475">
        <f>HYPERLINK("https://www.philgeps.gov.ph/GEPSNONPILOT/Tender/SplashBidNoticeAbstractUI.aspx?menuIndex=3&amp;refID=7145824&amp;Result=3","7145824")</f>
        <v>0</v>
      </c>
      <c r="B5475" t="s">
        <v>729</v>
      </c>
      <c r="C5475" t="s">
        <v>8926</v>
      </c>
      <c r="D5475" t="s">
        <v>18018</v>
      </c>
      <c r="E5475" t="s">
        <v>22799</v>
      </c>
      <c r="F5475" t="s">
        <v>30900</v>
      </c>
      <c r="G5475" t="s">
        <v>30907</v>
      </c>
      <c r="H5475" t="s">
        <v>30915</v>
      </c>
      <c r="I5475" t="s">
        <v>30919</v>
      </c>
      <c r="J5475" t="s">
        <v>34657</v>
      </c>
      <c r="K5475" t="s">
        <v>40395</v>
      </c>
      <c r="M5475" t="s">
        <v>41293</v>
      </c>
      <c r="N5475" t="s">
        <v>44759</v>
      </c>
      <c r="O5475" t="s">
        <v>44760</v>
      </c>
      <c r="P5475">
        <v>0</v>
      </c>
      <c r="Q5475">
        <v>0</v>
      </c>
      <c r="R5475" t="s">
        <v>44766</v>
      </c>
      <c r="S5475" t="s">
        <v>44902</v>
      </c>
      <c r="T5475" t="s">
        <v>46495</v>
      </c>
      <c r="U5475" t="s">
        <v>51584</v>
      </c>
      <c r="W5475" t="s">
        <v>41293</v>
      </c>
      <c r="X5475" t="s">
        <v>44767</v>
      </c>
    </row>
    <row r="5476" spans="1:24">
      <c r="A5476">
        <f>HYPERLINK("https://www.philgeps.gov.ph/GEPSNONPILOT/Tender/SplashBidNoticeAbstractUI.aspx?menuIndex=3&amp;refID=7145900&amp;Result=3","7145900")</f>
        <v>0</v>
      </c>
      <c r="B5476" t="s">
        <v>1724</v>
      </c>
      <c r="C5476" t="s">
        <v>8927</v>
      </c>
      <c r="D5476" t="s">
        <v>18016</v>
      </c>
      <c r="E5476" t="s">
        <v>22902</v>
      </c>
      <c r="F5476" t="s">
        <v>30900</v>
      </c>
      <c r="G5476" t="s">
        <v>30907</v>
      </c>
      <c r="H5476" t="s">
        <v>30916</v>
      </c>
      <c r="I5476" t="s">
        <v>30923</v>
      </c>
      <c r="J5476" t="s">
        <v>34658</v>
      </c>
      <c r="K5476" t="s">
        <v>40284</v>
      </c>
      <c r="M5476" t="s">
        <v>42697</v>
      </c>
      <c r="N5476" t="s">
        <v>44759</v>
      </c>
      <c r="O5476" t="s">
        <v>44760</v>
      </c>
      <c r="P5476">
        <v>0</v>
      </c>
      <c r="Q5476">
        <v>4</v>
      </c>
      <c r="R5476" t="s">
        <v>44766</v>
      </c>
      <c r="S5476" t="s">
        <v>44902</v>
      </c>
      <c r="T5476" t="s">
        <v>46377</v>
      </c>
      <c r="U5476" t="s">
        <v>51585</v>
      </c>
      <c r="V5476" t="s">
        <v>59709</v>
      </c>
      <c r="W5476" t="s">
        <v>60878</v>
      </c>
      <c r="X5476" t="s">
        <v>44767</v>
      </c>
    </row>
    <row r="5477" spans="1:24">
      <c r="A5477">
        <f>HYPERLINK("https://www.philgeps.gov.ph/GEPSNONPILOT/Tender/SplashBidNoticeAbstractUI.aspx?menuIndex=3&amp;refID=7145895&amp;Result=3","7145895")</f>
        <v>0</v>
      </c>
      <c r="B5477" t="s">
        <v>1618</v>
      </c>
      <c r="C5477" t="s">
        <v>8928</v>
      </c>
      <c r="D5477" t="s">
        <v>17959</v>
      </c>
      <c r="E5477" t="s">
        <v>18935</v>
      </c>
      <c r="F5477" t="s">
        <v>30900</v>
      </c>
      <c r="G5477" t="s">
        <v>30908</v>
      </c>
      <c r="H5477" t="s">
        <v>30916</v>
      </c>
      <c r="I5477" t="s">
        <v>30924</v>
      </c>
      <c r="J5477" t="s">
        <v>31484</v>
      </c>
      <c r="K5477" t="s">
        <v>40283</v>
      </c>
      <c r="M5477" t="s">
        <v>42268</v>
      </c>
      <c r="N5477" t="s">
        <v>44759</v>
      </c>
      <c r="O5477" t="s">
        <v>44760</v>
      </c>
      <c r="P5477">
        <v>0</v>
      </c>
      <c r="Q5477">
        <v>16</v>
      </c>
      <c r="R5477" t="s">
        <v>44766</v>
      </c>
      <c r="S5477" t="s">
        <v>44902</v>
      </c>
      <c r="T5477" t="s">
        <v>46470</v>
      </c>
      <c r="U5477" t="s">
        <v>51586</v>
      </c>
      <c r="W5477" t="s">
        <v>42268</v>
      </c>
      <c r="X5477" t="s">
        <v>44767</v>
      </c>
    </row>
    <row r="5478" spans="1:24">
      <c r="A5478">
        <f>HYPERLINK("https://www.philgeps.gov.ph/GEPSNONPILOT/Tender/SplashBidNoticeAbstractUI.aspx?menuIndex=3&amp;refID=7145814&amp;Result=3","7145814")</f>
        <v>0</v>
      </c>
      <c r="B5478" t="s">
        <v>2004</v>
      </c>
      <c r="C5478" t="s">
        <v>8929</v>
      </c>
      <c r="D5478" t="s">
        <v>17959</v>
      </c>
      <c r="E5478" t="s">
        <v>22903</v>
      </c>
      <c r="F5478" t="s">
        <v>30900</v>
      </c>
      <c r="G5478" t="s">
        <v>30908</v>
      </c>
      <c r="H5478" t="s">
        <v>30916</v>
      </c>
      <c r="I5478" t="s">
        <v>4142</v>
      </c>
      <c r="J5478" t="s">
        <v>31206</v>
      </c>
      <c r="K5478" t="s">
        <v>40287</v>
      </c>
      <c r="M5478" t="s">
        <v>42698</v>
      </c>
      <c r="N5478" t="s">
        <v>44759</v>
      </c>
      <c r="O5478" t="s">
        <v>44760</v>
      </c>
      <c r="P5478">
        <v>0</v>
      </c>
      <c r="Q5478">
        <v>11</v>
      </c>
      <c r="R5478" t="s">
        <v>44766</v>
      </c>
      <c r="S5478" t="s">
        <v>44902</v>
      </c>
      <c r="T5478" t="s">
        <v>46398</v>
      </c>
      <c r="U5478" t="s">
        <v>51587</v>
      </c>
      <c r="W5478" t="s">
        <v>42698</v>
      </c>
      <c r="X5478" t="s">
        <v>44767</v>
      </c>
    </row>
    <row r="5479" spans="1:24">
      <c r="A5479">
        <f>HYPERLINK("https://www.philgeps.gov.ph/GEPSNONPILOT/Tender/SplashBidNoticeAbstractUI.aspx?menuIndex=3&amp;refID=7145887&amp;Result=3","7145887")</f>
        <v>0</v>
      </c>
      <c r="B5479" t="s">
        <v>1973</v>
      </c>
      <c r="C5479" t="s">
        <v>8912</v>
      </c>
      <c r="D5479" t="s">
        <v>18012</v>
      </c>
      <c r="E5479" t="s">
        <v>22889</v>
      </c>
      <c r="F5479" t="s">
        <v>30900</v>
      </c>
      <c r="G5479" t="s">
        <v>30906</v>
      </c>
      <c r="H5479" t="s">
        <v>30916</v>
      </c>
      <c r="I5479" t="s">
        <v>4142</v>
      </c>
      <c r="J5479" t="s">
        <v>34650</v>
      </c>
      <c r="K5479" t="s">
        <v>40284</v>
      </c>
      <c r="M5479" t="s">
        <v>42661</v>
      </c>
      <c r="N5479" t="s">
        <v>44759</v>
      </c>
      <c r="O5479" t="s">
        <v>44760</v>
      </c>
      <c r="P5479">
        <v>0</v>
      </c>
      <c r="Q5479">
        <v>0</v>
      </c>
      <c r="R5479" t="s">
        <v>44766</v>
      </c>
      <c r="S5479" t="s">
        <v>44902</v>
      </c>
      <c r="T5479" t="s">
        <v>46607</v>
      </c>
      <c r="U5479" t="s">
        <v>51571</v>
      </c>
      <c r="W5479" t="s">
        <v>42661</v>
      </c>
      <c r="X5479" t="s">
        <v>44767</v>
      </c>
    </row>
    <row r="5480" spans="1:24">
      <c r="A5480">
        <f>HYPERLINK("https://www.philgeps.gov.ph/GEPSNONPILOT/Tender/SplashBidNoticeAbstractUI.aspx?menuIndex=3&amp;refID=7145885&amp;Result=3","7145885")</f>
        <v>0</v>
      </c>
      <c r="B5480" t="s">
        <v>1285</v>
      </c>
      <c r="C5480" t="s">
        <v>8930</v>
      </c>
      <c r="D5480" t="s">
        <v>17958</v>
      </c>
      <c r="E5480" t="s">
        <v>22904</v>
      </c>
      <c r="F5480" t="s">
        <v>30900</v>
      </c>
      <c r="G5480" t="s">
        <v>30907</v>
      </c>
      <c r="H5480" t="s">
        <v>30916</v>
      </c>
      <c r="I5480" t="s">
        <v>10602</v>
      </c>
      <c r="J5480" t="s">
        <v>31413</v>
      </c>
      <c r="K5480" t="s">
        <v>40287</v>
      </c>
      <c r="M5480" t="s">
        <v>41902</v>
      </c>
      <c r="N5480" t="s">
        <v>44759</v>
      </c>
      <c r="O5480" t="s">
        <v>44760</v>
      </c>
      <c r="P5480">
        <v>0</v>
      </c>
      <c r="Q5480">
        <v>0</v>
      </c>
      <c r="R5480" t="s">
        <v>44766</v>
      </c>
      <c r="S5480" t="s">
        <v>44902</v>
      </c>
      <c r="T5480" t="s">
        <v>46421</v>
      </c>
      <c r="U5480" t="s">
        <v>51588</v>
      </c>
      <c r="V5480" t="s">
        <v>59710</v>
      </c>
      <c r="W5480" t="s">
        <v>41902</v>
      </c>
      <c r="X5480" t="s">
        <v>44767</v>
      </c>
    </row>
    <row r="5481" spans="1:24">
      <c r="A5481">
        <f>HYPERLINK("https://www.philgeps.gov.ph/GEPSNONPILOT/Tender/SplashBidNoticeAbstractUI.aspx?menuIndex=3&amp;refID=7145881&amp;Result=3","7145881")</f>
        <v>0</v>
      </c>
      <c r="B5481" t="s">
        <v>2005</v>
      </c>
      <c r="C5481" t="s">
        <v>8931</v>
      </c>
      <c r="E5481" t="s">
        <v>22905</v>
      </c>
      <c r="F5481" t="s">
        <v>30900</v>
      </c>
      <c r="G5481" t="s">
        <v>30907</v>
      </c>
      <c r="H5481" t="s">
        <v>30916</v>
      </c>
      <c r="I5481" t="s">
        <v>4545</v>
      </c>
      <c r="J5481" t="s">
        <v>34659</v>
      </c>
      <c r="K5481" t="s">
        <v>40291</v>
      </c>
      <c r="M5481" t="s">
        <v>42699</v>
      </c>
      <c r="N5481" t="s">
        <v>44759</v>
      </c>
      <c r="O5481" t="s">
        <v>44760</v>
      </c>
      <c r="P5481">
        <v>0</v>
      </c>
      <c r="Q5481">
        <v>5</v>
      </c>
      <c r="R5481" t="s">
        <v>44766</v>
      </c>
      <c r="S5481" t="s">
        <v>44902</v>
      </c>
      <c r="T5481" t="s">
        <v>46547</v>
      </c>
      <c r="U5481" t="s">
        <v>51589</v>
      </c>
      <c r="W5481" t="s">
        <v>42699</v>
      </c>
      <c r="X5481" t="s">
        <v>44767</v>
      </c>
    </row>
    <row r="5482" spans="1:24">
      <c r="A5482">
        <f>HYPERLINK("https://www.philgeps.gov.ph/GEPSNONPILOT/Tender/SplashBidNoticeAbstractUI.aspx?menuIndex=3&amp;refID=7145880&amp;Result=3","7145880")</f>
        <v>0</v>
      </c>
      <c r="B5482" t="s">
        <v>1536</v>
      </c>
      <c r="C5482" t="s">
        <v>8932</v>
      </c>
      <c r="D5482" t="s">
        <v>17966</v>
      </c>
      <c r="E5482" t="s">
        <v>21471</v>
      </c>
      <c r="F5482" t="s">
        <v>30900</v>
      </c>
      <c r="G5482" t="s">
        <v>30907</v>
      </c>
      <c r="H5482" t="s">
        <v>30916</v>
      </c>
      <c r="I5482" t="s">
        <v>8123</v>
      </c>
      <c r="J5482" t="s">
        <v>31101</v>
      </c>
      <c r="K5482" t="s">
        <v>40289</v>
      </c>
      <c r="M5482" t="s">
        <v>42179</v>
      </c>
      <c r="N5482" t="s">
        <v>44759</v>
      </c>
      <c r="O5482" t="s">
        <v>44760</v>
      </c>
      <c r="P5482">
        <v>0</v>
      </c>
      <c r="Q5482">
        <v>0</v>
      </c>
      <c r="R5482" t="s">
        <v>44766</v>
      </c>
      <c r="S5482" t="s">
        <v>44902</v>
      </c>
      <c r="T5482" t="s">
        <v>46379</v>
      </c>
      <c r="U5482" t="s">
        <v>51590</v>
      </c>
      <c r="W5482" t="s">
        <v>42179</v>
      </c>
      <c r="X5482" t="s">
        <v>44767</v>
      </c>
    </row>
    <row r="5483" spans="1:24">
      <c r="A5483">
        <f>HYPERLINK("https://www.philgeps.gov.ph/GEPSNONPILOT/Tender/SplashBidNoticeAbstractUI.aspx?menuIndex=3&amp;refID=7145897&amp;Result=3","7145897")</f>
        <v>0</v>
      </c>
      <c r="B5483" t="s">
        <v>1960</v>
      </c>
      <c r="C5483" t="s">
        <v>8933</v>
      </c>
      <c r="D5483" t="s">
        <v>17975</v>
      </c>
      <c r="E5483" t="s">
        <v>22906</v>
      </c>
      <c r="F5483" t="s">
        <v>30900</v>
      </c>
      <c r="G5483" t="s">
        <v>30907</v>
      </c>
      <c r="H5483" t="s">
        <v>30915</v>
      </c>
      <c r="I5483" t="s">
        <v>30919</v>
      </c>
      <c r="J5483" t="s">
        <v>34660</v>
      </c>
      <c r="K5483" t="s">
        <v>40335</v>
      </c>
      <c r="M5483" t="s">
        <v>42644</v>
      </c>
      <c r="N5483" t="s">
        <v>44759</v>
      </c>
      <c r="O5483" t="s">
        <v>44760</v>
      </c>
      <c r="P5483">
        <v>0</v>
      </c>
      <c r="Q5483">
        <v>0</v>
      </c>
      <c r="R5483" t="s">
        <v>44766</v>
      </c>
      <c r="S5483" t="s">
        <v>44902</v>
      </c>
      <c r="T5483" t="s">
        <v>46497</v>
      </c>
      <c r="U5483" t="s">
        <v>51591</v>
      </c>
      <c r="W5483" t="s">
        <v>42644</v>
      </c>
      <c r="X5483" t="s">
        <v>44767</v>
      </c>
    </row>
    <row r="5484" spans="1:24">
      <c r="A5484">
        <f>HYPERLINK("https://www.philgeps.gov.ph/GEPSNONPILOT/Tender/SplashBidNoticeAbstractUI.aspx?menuIndex=3&amp;refID=7145892&amp;Result=3","7145892")</f>
        <v>0</v>
      </c>
      <c r="B5484" t="s">
        <v>1988</v>
      </c>
      <c r="C5484" t="s">
        <v>8934</v>
      </c>
      <c r="D5484" t="s">
        <v>17959</v>
      </c>
      <c r="E5484" t="s">
        <v>22907</v>
      </c>
      <c r="F5484" t="s">
        <v>30900</v>
      </c>
      <c r="G5484" t="s">
        <v>30906</v>
      </c>
      <c r="H5484" t="s">
        <v>30916</v>
      </c>
      <c r="I5484" t="s">
        <v>9385</v>
      </c>
      <c r="J5484" t="s">
        <v>31236</v>
      </c>
      <c r="K5484" t="s">
        <v>40289</v>
      </c>
      <c r="L5484" t="s">
        <v>1988</v>
      </c>
      <c r="M5484" t="s">
        <v>42679</v>
      </c>
      <c r="N5484" t="s">
        <v>44759</v>
      </c>
      <c r="O5484" t="s">
        <v>44760</v>
      </c>
      <c r="Q5484">
        <v>4</v>
      </c>
      <c r="R5484" t="s">
        <v>44766</v>
      </c>
      <c r="S5484" t="s">
        <v>44913</v>
      </c>
      <c r="T5484" t="s">
        <v>46497</v>
      </c>
      <c r="U5484" t="s">
        <v>51539</v>
      </c>
      <c r="W5484" t="s">
        <v>42679</v>
      </c>
      <c r="X5484" t="s">
        <v>44767</v>
      </c>
    </row>
    <row r="5485" spans="1:24">
      <c r="A5485">
        <f>HYPERLINK("https://www.philgeps.gov.ph/GEPSNONPILOT/Tender/SplashBidNoticeAbstractUI.aspx?menuIndex=3&amp;refID=7145875&amp;Result=3","7145875")</f>
        <v>0</v>
      </c>
      <c r="B5485" t="s">
        <v>1511</v>
      </c>
      <c r="C5485" t="s">
        <v>8935</v>
      </c>
      <c r="D5485" t="s">
        <v>18019</v>
      </c>
      <c r="E5485" t="s">
        <v>22908</v>
      </c>
      <c r="F5485" t="s">
        <v>30900</v>
      </c>
      <c r="G5485" t="s">
        <v>30908</v>
      </c>
      <c r="H5485" t="s">
        <v>30916</v>
      </c>
      <c r="I5485" t="s">
        <v>5830</v>
      </c>
      <c r="J5485" t="s">
        <v>34661</v>
      </c>
      <c r="K5485" t="s">
        <v>40287</v>
      </c>
      <c r="M5485" t="s">
        <v>42152</v>
      </c>
      <c r="N5485" t="s">
        <v>44759</v>
      </c>
      <c r="O5485" t="s">
        <v>44760</v>
      </c>
      <c r="P5485">
        <v>0</v>
      </c>
      <c r="Q5485">
        <v>14</v>
      </c>
      <c r="R5485" t="s">
        <v>44766</v>
      </c>
      <c r="S5485" t="s">
        <v>44902</v>
      </c>
      <c r="T5485" t="s">
        <v>46704</v>
      </c>
      <c r="U5485" t="s">
        <v>50068</v>
      </c>
      <c r="W5485" t="s">
        <v>42152</v>
      </c>
      <c r="X5485" t="s">
        <v>44767</v>
      </c>
    </row>
    <row r="5486" spans="1:24">
      <c r="A5486">
        <f>HYPERLINK("https://www.philgeps.gov.ph/GEPSNONPILOT/Tender/SplashBidNoticeAbstractUI.aspx?menuIndex=3&amp;refID=7145888&amp;Result=3","7145888")</f>
        <v>0</v>
      </c>
      <c r="B5486" t="s">
        <v>2006</v>
      </c>
      <c r="C5486" t="s">
        <v>8936</v>
      </c>
      <c r="D5486" t="s">
        <v>17980</v>
      </c>
      <c r="E5486" t="s">
        <v>22909</v>
      </c>
      <c r="F5486" t="s">
        <v>30900</v>
      </c>
      <c r="G5486" t="s">
        <v>30907</v>
      </c>
      <c r="H5486" t="s">
        <v>30916</v>
      </c>
      <c r="I5486" t="s">
        <v>30939</v>
      </c>
      <c r="J5486" t="s">
        <v>34662</v>
      </c>
      <c r="K5486" t="s">
        <v>40362</v>
      </c>
      <c r="M5486" t="s">
        <v>42700</v>
      </c>
      <c r="N5486" t="s">
        <v>44759</v>
      </c>
      <c r="O5486" t="s">
        <v>44760</v>
      </c>
      <c r="P5486">
        <v>0</v>
      </c>
      <c r="Q5486">
        <v>1</v>
      </c>
      <c r="R5486" t="s">
        <v>44766</v>
      </c>
      <c r="S5486" t="s">
        <v>44902</v>
      </c>
      <c r="T5486" t="s">
        <v>46717</v>
      </c>
      <c r="U5486" t="s">
        <v>51592</v>
      </c>
      <c r="V5486" t="s">
        <v>59711</v>
      </c>
      <c r="W5486" t="s">
        <v>42700</v>
      </c>
      <c r="X5486" t="s">
        <v>44767</v>
      </c>
    </row>
    <row r="5487" spans="1:24">
      <c r="A5487">
        <f>HYPERLINK("https://www.philgeps.gov.ph/GEPSNONPILOT/Tender/SplashBidNoticeAbstractUI.aspx?menuIndex=3&amp;refID=7145874&amp;Result=3","7145874")</f>
        <v>0</v>
      </c>
      <c r="B5487" t="s">
        <v>400</v>
      </c>
      <c r="C5487" t="s">
        <v>8937</v>
      </c>
      <c r="D5487" t="s">
        <v>17971</v>
      </c>
      <c r="E5487" t="s">
        <v>22910</v>
      </c>
      <c r="F5487" t="s">
        <v>30900</v>
      </c>
      <c r="G5487" t="s">
        <v>30908</v>
      </c>
      <c r="H5487" t="s">
        <v>30916</v>
      </c>
      <c r="I5487" t="s">
        <v>10602</v>
      </c>
      <c r="J5487" t="s">
        <v>32163</v>
      </c>
      <c r="K5487" t="s">
        <v>40289</v>
      </c>
      <c r="M5487" t="s">
        <v>40955</v>
      </c>
      <c r="N5487" t="s">
        <v>44759</v>
      </c>
      <c r="O5487" t="s">
        <v>44760</v>
      </c>
      <c r="P5487">
        <v>0</v>
      </c>
      <c r="Q5487">
        <v>2</v>
      </c>
      <c r="R5487" t="s">
        <v>44766</v>
      </c>
      <c r="S5487" t="s">
        <v>44902</v>
      </c>
      <c r="T5487" t="s">
        <v>46391</v>
      </c>
      <c r="U5487" t="s">
        <v>51593</v>
      </c>
      <c r="W5487" t="s">
        <v>40955</v>
      </c>
      <c r="X5487" t="s">
        <v>44767</v>
      </c>
    </row>
    <row r="5488" spans="1:24">
      <c r="A5488">
        <f>HYPERLINK("https://www.philgeps.gov.ph/GEPSNONPILOT/Tender/SplashBidNoticeAbstractUI.aspx?menuIndex=3&amp;refID=7145948&amp;Result=3","7145948")</f>
        <v>0</v>
      </c>
      <c r="B5488" t="s">
        <v>167</v>
      </c>
      <c r="C5488" t="s">
        <v>8938</v>
      </c>
      <c r="D5488" t="s">
        <v>17990</v>
      </c>
      <c r="E5488" t="s">
        <v>22911</v>
      </c>
      <c r="F5488" t="s">
        <v>30900</v>
      </c>
      <c r="G5488" t="s">
        <v>30908</v>
      </c>
      <c r="H5488" t="s">
        <v>30916</v>
      </c>
      <c r="I5488" t="s">
        <v>9385</v>
      </c>
      <c r="J5488" t="s">
        <v>34658</v>
      </c>
      <c r="K5488" t="s">
        <v>40286</v>
      </c>
      <c r="M5488" t="s">
        <v>42701</v>
      </c>
      <c r="N5488" t="s">
        <v>44759</v>
      </c>
      <c r="O5488" t="s">
        <v>44760</v>
      </c>
      <c r="P5488">
        <v>0</v>
      </c>
      <c r="Q5488">
        <v>8</v>
      </c>
      <c r="R5488" t="s">
        <v>44766</v>
      </c>
      <c r="S5488" t="s">
        <v>44902</v>
      </c>
      <c r="T5488" t="s">
        <v>46623</v>
      </c>
      <c r="U5488" t="s">
        <v>51594</v>
      </c>
      <c r="W5488" t="s">
        <v>42701</v>
      </c>
      <c r="X5488" t="s">
        <v>44767</v>
      </c>
    </row>
    <row r="5489" spans="1:24">
      <c r="A5489">
        <f>HYPERLINK("https://www.philgeps.gov.ph/GEPSNONPILOT/Tender/SplashBidNoticeAbstractUI.aspx?menuIndex=3&amp;refID=7145831&amp;Result=3","7145831")</f>
        <v>0</v>
      </c>
      <c r="B5489" t="s">
        <v>2007</v>
      </c>
      <c r="C5489" t="s">
        <v>8939</v>
      </c>
      <c r="D5489" t="s">
        <v>18002</v>
      </c>
      <c r="E5489" t="s">
        <v>22457</v>
      </c>
      <c r="F5489" t="s">
        <v>30899</v>
      </c>
      <c r="G5489" t="s">
        <v>30907</v>
      </c>
      <c r="H5489" t="s">
        <v>30916</v>
      </c>
      <c r="I5489" t="s">
        <v>4142</v>
      </c>
      <c r="J5489" t="s">
        <v>31204</v>
      </c>
      <c r="K5489" t="s">
        <v>40285</v>
      </c>
      <c r="M5489" t="s">
        <v>42702</v>
      </c>
      <c r="N5489" t="s">
        <v>44759</v>
      </c>
      <c r="O5489" t="s">
        <v>44760</v>
      </c>
      <c r="P5489">
        <v>0</v>
      </c>
      <c r="Q5489">
        <v>1</v>
      </c>
      <c r="R5489" t="s">
        <v>44766</v>
      </c>
      <c r="S5489" t="s">
        <v>44902</v>
      </c>
      <c r="T5489" t="s">
        <v>46429</v>
      </c>
      <c r="U5489" t="s">
        <v>51595</v>
      </c>
      <c r="V5489" t="s">
        <v>59712</v>
      </c>
      <c r="W5489" t="s">
        <v>42702</v>
      </c>
      <c r="X5489" t="s">
        <v>44767</v>
      </c>
    </row>
    <row r="5490" spans="1:24">
      <c r="A5490">
        <f>HYPERLINK("https://www.philgeps.gov.ph/GEPSNONPILOT/Tender/SplashBidNoticeAbstractUI.aspx?menuIndex=3&amp;refID=7145947&amp;Result=3","7145947")</f>
        <v>0</v>
      </c>
      <c r="B5490" t="s">
        <v>44</v>
      </c>
      <c r="C5490" t="s">
        <v>8940</v>
      </c>
      <c r="D5490" t="s">
        <v>17969</v>
      </c>
      <c r="E5490" t="s">
        <v>22912</v>
      </c>
      <c r="F5490" t="s">
        <v>30900</v>
      </c>
      <c r="G5490" t="s">
        <v>30908</v>
      </c>
      <c r="H5490" t="s">
        <v>30916</v>
      </c>
      <c r="I5490" t="s">
        <v>6408</v>
      </c>
      <c r="J5490" t="s">
        <v>31614</v>
      </c>
      <c r="K5490" t="s">
        <v>40289</v>
      </c>
      <c r="M5490" t="s">
        <v>41947</v>
      </c>
      <c r="N5490" t="s">
        <v>44759</v>
      </c>
      <c r="O5490" t="s">
        <v>44760</v>
      </c>
      <c r="P5490">
        <v>0</v>
      </c>
      <c r="Q5490">
        <v>0</v>
      </c>
      <c r="R5490" t="s">
        <v>44766</v>
      </c>
      <c r="S5490" t="s">
        <v>44902</v>
      </c>
      <c r="T5490" t="s">
        <v>46548</v>
      </c>
      <c r="U5490" t="s">
        <v>51596</v>
      </c>
      <c r="W5490" t="s">
        <v>41947</v>
      </c>
      <c r="X5490" t="s">
        <v>44767</v>
      </c>
    </row>
    <row r="5491" spans="1:24">
      <c r="A5491">
        <f>HYPERLINK("https://www.philgeps.gov.ph/GEPSNONPILOT/Tender/SplashBidNoticeAbstractUI.aspx?menuIndex=3&amp;refID=7145878&amp;Result=3","7145878")</f>
        <v>0</v>
      </c>
      <c r="B5491" t="s">
        <v>412</v>
      </c>
      <c r="C5491" t="s">
        <v>8941</v>
      </c>
      <c r="D5491" t="s">
        <v>18015</v>
      </c>
      <c r="E5491" t="s">
        <v>18545</v>
      </c>
      <c r="F5491" t="s">
        <v>30900</v>
      </c>
      <c r="G5491" t="s">
        <v>30908</v>
      </c>
      <c r="H5491" t="s">
        <v>30916</v>
      </c>
      <c r="I5491" t="s">
        <v>30947</v>
      </c>
      <c r="J5491" t="s">
        <v>31303</v>
      </c>
      <c r="K5491" t="s">
        <v>40314</v>
      </c>
      <c r="M5491" t="s">
        <v>40968</v>
      </c>
      <c r="N5491" t="s">
        <v>44759</v>
      </c>
      <c r="O5491" t="s">
        <v>44760</v>
      </c>
      <c r="P5491">
        <v>0</v>
      </c>
      <c r="Q5491">
        <v>1</v>
      </c>
      <c r="R5491" t="s">
        <v>44766</v>
      </c>
      <c r="S5491" t="s">
        <v>44902</v>
      </c>
      <c r="T5491" t="s">
        <v>46412</v>
      </c>
      <c r="U5491" t="s">
        <v>51597</v>
      </c>
      <c r="W5491" t="s">
        <v>40968</v>
      </c>
      <c r="X5491" t="s">
        <v>44767</v>
      </c>
    </row>
    <row r="5492" spans="1:24">
      <c r="A5492">
        <f>HYPERLINK("https://www.philgeps.gov.ph/GEPSNONPILOT/Tender/SplashBidNoticeAbstractUI.aspx?menuIndex=3&amp;refID=7145940&amp;Result=3","7145940")</f>
        <v>0</v>
      </c>
      <c r="B5492" t="s">
        <v>1973</v>
      </c>
      <c r="C5492" t="s">
        <v>8942</v>
      </c>
      <c r="D5492" t="s">
        <v>18012</v>
      </c>
      <c r="E5492" t="s">
        <v>22913</v>
      </c>
      <c r="F5492" t="s">
        <v>30900</v>
      </c>
      <c r="G5492" t="s">
        <v>30906</v>
      </c>
      <c r="H5492" t="s">
        <v>30916</v>
      </c>
      <c r="I5492" t="s">
        <v>4142</v>
      </c>
      <c r="J5492" t="s">
        <v>31090</v>
      </c>
      <c r="K5492" t="s">
        <v>40284</v>
      </c>
      <c r="M5492" t="s">
        <v>42661</v>
      </c>
      <c r="N5492" t="s">
        <v>44759</v>
      </c>
      <c r="O5492" t="s">
        <v>44760</v>
      </c>
      <c r="P5492">
        <v>0</v>
      </c>
      <c r="Q5492">
        <v>0</v>
      </c>
      <c r="R5492" t="s">
        <v>44766</v>
      </c>
      <c r="S5492" t="s">
        <v>44902</v>
      </c>
      <c r="T5492" t="s">
        <v>46607</v>
      </c>
      <c r="U5492" t="s">
        <v>51598</v>
      </c>
      <c r="W5492" t="s">
        <v>42661</v>
      </c>
      <c r="X5492" t="s">
        <v>44767</v>
      </c>
    </row>
    <row r="5493" spans="1:24">
      <c r="A5493">
        <f>HYPERLINK("https://www.philgeps.gov.ph/GEPSNONPILOT/Tender/SplashBidNoticeAbstractUI.aspx?menuIndex=3&amp;refID=7145936&amp;Result=3","7145936")</f>
        <v>0</v>
      </c>
      <c r="B5493" t="s">
        <v>2008</v>
      </c>
      <c r="C5493" t="s">
        <v>8943</v>
      </c>
      <c r="D5493" t="s">
        <v>17971</v>
      </c>
      <c r="E5493" t="s">
        <v>22914</v>
      </c>
      <c r="F5493" t="s">
        <v>30900</v>
      </c>
      <c r="G5493" t="s">
        <v>30907</v>
      </c>
      <c r="H5493" t="s">
        <v>30916</v>
      </c>
      <c r="I5493" t="s">
        <v>4545</v>
      </c>
      <c r="J5493" t="s">
        <v>31139</v>
      </c>
      <c r="K5493" t="s">
        <v>40284</v>
      </c>
      <c r="M5493" t="s">
        <v>42703</v>
      </c>
      <c r="N5493" t="s">
        <v>44759</v>
      </c>
      <c r="O5493" t="s">
        <v>44760</v>
      </c>
      <c r="P5493">
        <v>0</v>
      </c>
      <c r="Q5493">
        <v>2</v>
      </c>
      <c r="R5493" t="s">
        <v>44766</v>
      </c>
      <c r="S5493" t="s">
        <v>44902</v>
      </c>
      <c r="T5493" t="s">
        <v>46376</v>
      </c>
      <c r="U5493" t="s">
        <v>51599</v>
      </c>
      <c r="W5493" t="s">
        <v>42703</v>
      </c>
      <c r="X5493" t="s">
        <v>44767</v>
      </c>
    </row>
    <row r="5494" spans="1:24">
      <c r="A5494">
        <f>HYPERLINK("https://www.philgeps.gov.ph/GEPSNONPILOT/Tender/SplashBidNoticeAbstractUI.aspx?menuIndex=3&amp;refID=7145935&amp;Result=3","7145935")</f>
        <v>0</v>
      </c>
      <c r="B5494" t="s">
        <v>400</v>
      </c>
      <c r="C5494" t="s">
        <v>8944</v>
      </c>
      <c r="D5494" t="s">
        <v>17971</v>
      </c>
      <c r="E5494" t="s">
        <v>22915</v>
      </c>
      <c r="F5494" t="s">
        <v>30900</v>
      </c>
      <c r="G5494" t="s">
        <v>30908</v>
      </c>
      <c r="H5494" t="s">
        <v>30916</v>
      </c>
      <c r="I5494" t="s">
        <v>10602</v>
      </c>
      <c r="J5494" t="s">
        <v>33225</v>
      </c>
      <c r="K5494" t="s">
        <v>40289</v>
      </c>
      <c r="M5494" t="s">
        <v>40955</v>
      </c>
      <c r="N5494" t="s">
        <v>44759</v>
      </c>
      <c r="O5494" t="s">
        <v>44760</v>
      </c>
      <c r="P5494">
        <v>0</v>
      </c>
      <c r="Q5494">
        <v>1</v>
      </c>
      <c r="R5494" t="s">
        <v>44766</v>
      </c>
      <c r="S5494" t="s">
        <v>44902</v>
      </c>
      <c r="T5494" t="s">
        <v>46391</v>
      </c>
      <c r="U5494" t="s">
        <v>51600</v>
      </c>
      <c r="W5494" t="s">
        <v>40955</v>
      </c>
      <c r="X5494" t="s">
        <v>44767</v>
      </c>
    </row>
    <row r="5495" spans="1:24">
      <c r="A5495">
        <f>HYPERLINK("https://www.philgeps.gov.ph/GEPSNONPILOT/Tender/SplashBidNoticeAbstractUI.aspx?menuIndex=3&amp;refID=7145933&amp;Result=3","7145933")</f>
        <v>0</v>
      </c>
      <c r="B5495" t="s">
        <v>1988</v>
      </c>
      <c r="C5495" t="s">
        <v>8945</v>
      </c>
      <c r="D5495" t="s">
        <v>17959</v>
      </c>
      <c r="E5495" t="s">
        <v>22916</v>
      </c>
      <c r="F5495" t="s">
        <v>30900</v>
      </c>
      <c r="G5495" t="s">
        <v>30906</v>
      </c>
      <c r="H5495" t="s">
        <v>30916</v>
      </c>
      <c r="I5495" t="s">
        <v>9385</v>
      </c>
      <c r="J5495" t="s">
        <v>34663</v>
      </c>
      <c r="K5495" t="s">
        <v>40289</v>
      </c>
      <c r="L5495" t="s">
        <v>1988</v>
      </c>
      <c r="M5495" t="s">
        <v>42679</v>
      </c>
      <c r="N5495" t="s">
        <v>44759</v>
      </c>
      <c r="O5495" t="s">
        <v>44760</v>
      </c>
      <c r="Q5495">
        <v>13</v>
      </c>
      <c r="R5495" t="s">
        <v>44766</v>
      </c>
      <c r="S5495" t="s">
        <v>44914</v>
      </c>
      <c r="T5495" t="s">
        <v>46497</v>
      </c>
      <c r="U5495" t="s">
        <v>51539</v>
      </c>
      <c r="W5495" t="s">
        <v>42679</v>
      </c>
      <c r="X5495" t="s">
        <v>44767</v>
      </c>
    </row>
    <row r="5496" spans="1:24">
      <c r="A5496">
        <f>HYPERLINK("https://www.philgeps.gov.ph/GEPSNONPILOT/Tender/SplashBidNoticeAbstractUI.aspx?menuIndex=3&amp;refID=7145946&amp;Result=3","7145946")</f>
        <v>0</v>
      </c>
      <c r="B5496" t="s">
        <v>263</v>
      </c>
      <c r="C5496" t="s">
        <v>8946</v>
      </c>
      <c r="D5496" t="s">
        <v>17998</v>
      </c>
      <c r="E5496" t="s">
        <v>22917</v>
      </c>
      <c r="F5496" t="s">
        <v>30899</v>
      </c>
      <c r="G5496" t="s">
        <v>30908</v>
      </c>
      <c r="H5496" t="s">
        <v>30916</v>
      </c>
      <c r="I5496" t="s">
        <v>4454</v>
      </c>
      <c r="J5496" t="s">
        <v>31052</v>
      </c>
      <c r="K5496" t="s">
        <v>40287</v>
      </c>
      <c r="M5496" t="s">
        <v>40810</v>
      </c>
      <c r="N5496" t="s">
        <v>44759</v>
      </c>
      <c r="O5496" t="s">
        <v>44760</v>
      </c>
      <c r="P5496">
        <v>0</v>
      </c>
      <c r="Q5496">
        <v>2</v>
      </c>
      <c r="R5496" t="s">
        <v>44766</v>
      </c>
      <c r="S5496" t="s">
        <v>44902</v>
      </c>
      <c r="T5496" t="s">
        <v>46369</v>
      </c>
      <c r="U5496" t="s">
        <v>47358</v>
      </c>
      <c r="V5496" t="s">
        <v>59159</v>
      </c>
      <c r="W5496" t="s">
        <v>60822</v>
      </c>
      <c r="X5496" t="s">
        <v>44767</v>
      </c>
    </row>
    <row r="5497" spans="1:24">
      <c r="A5497">
        <f>HYPERLINK("https://www.philgeps.gov.ph/GEPSNONPILOT/Tender/SplashBidNoticeAbstractUI.aspx?menuIndex=3&amp;refID=7145942&amp;Result=3","7145942")</f>
        <v>0</v>
      </c>
      <c r="B5497" t="s">
        <v>313</v>
      </c>
      <c r="C5497" t="s">
        <v>8947</v>
      </c>
      <c r="E5497" t="s">
        <v>22918</v>
      </c>
      <c r="F5497" t="s">
        <v>30900</v>
      </c>
      <c r="G5497" t="s">
        <v>30908</v>
      </c>
      <c r="H5497" t="s">
        <v>30916</v>
      </c>
      <c r="I5497" t="s">
        <v>30942</v>
      </c>
      <c r="J5497" t="s">
        <v>34664</v>
      </c>
      <c r="K5497" t="s">
        <v>40289</v>
      </c>
      <c r="M5497" t="s">
        <v>40909</v>
      </c>
      <c r="N5497" t="s">
        <v>44759</v>
      </c>
      <c r="O5497" t="s">
        <v>44760</v>
      </c>
      <c r="P5497">
        <v>0</v>
      </c>
      <c r="Q5497">
        <v>0</v>
      </c>
      <c r="R5497" t="s">
        <v>44766</v>
      </c>
      <c r="S5497" t="s">
        <v>44902</v>
      </c>
      <c r="T5497" t="s">
        <v>46403</v>
      </c>
      <c r="U5497" t="s">
        <v>51601</v>
      </c>
      <c r="W5497" t="s">
        <v>40909</v>
      </c>
      <c r="X5497" t="s">
        <v>44767</v>
      </c>
    </row>
    <row r="5498" spans="1:24">
      <c r="A5498">
        <f>HYPERLINK("https://www.philgeps.gov.ph/GEPSNONPILOT/Tender/SplashBidNoticeAbstractUI.aspx?menuIndex=3&amp;refID=7145928&amp;Result=3","7145928")</f>
        <v>0</v>
      </c>
      <c r="B5498" t="s">
        <v>2009</v>
      </c>
      <c r="C5498" t="s">
        <v>8948</v>
      </c>
      <c r="D5498" t="s">
        <v>17962</v>
      </c>
      <c r="E5498" t="s">
        <v>18094</v>
      </c>
      <c r="F5498" t="s">
        <v>30900</v>
      </c>
      <c r="G5498" t="s">
        <v>30907</v>
      </c>
      <c r="H5498" t="s">
        <v>30916</v>
      </c>
      <c r="I5498" t="s">
        <v>4108</v>
      </c>
      <c r="J5498" t="s">
        <v>31049</v>
      </c>
      <c r="K5498" t="s">
        <v>40287</v>
      </c>
      <c r="M5498" t="s">
        <v>42704</v>
      </c>
      <c r="N5498" t="s">
        <v>44759</v>
      </c>
      <c r="O5498" t="s">
        <v>44760</v>
      </c>
      <c r="P5498">
        <v>0</v>
      </c>
      <c r="Q5498">
        <v>2</v>
      </c>
      <c r="R5498" t="s">
        <v>44766</v>
      </c>
      <c r="S5498" t="s">
        <v>44902</v>
      </c>
      <c r="T5498" t="s">
        <v>46414</v>
      </c>
      <c r="U5498" t="s">
        <v>47259</v>
      </c>
      <c r="W5498" t="s">
        <v>42704</v>
      </c>
      <c r="X5498" t="s">
        <v>44767</v>
      </c>
    </row>
    <row r="5499" spans="1:24">
      <c r="A5499">
        <f>HYPERLINK("https://www.philgeps.gov.ph/GEPSNONPILOT/Tender/SplashBidNoticeAbstractUI.aspx?menuIndex=3&amp;refID=7145922&amp;Result=3","7145922")</f>
        <v>0</v>
      </c>
      <c r="B5499" t="s">
        <v>1886</v>
      </c>
      <c r="C5499" t="s">
        <v>8949</v>
      </c>
      <c r="D5499" t="s">
        <v>17985</v>
      </c>
      <c r="E5499" t="s">
        <v>22919</v>
      </c>
      <c r="F5499" t="s">
        <v>30900</v>
      </c>
      <c r="G5499" t="s">
        <v>30913</v>
      </c>
      <c r="H5499" t="s">
        <v>30915</v>
      </c>
      <c r="I5499" t="s">
        <v>30919</v>
      </c>
      <c r="J5499" t="s">
        <v>34665</v>
      </c>
      <c r="K5499" t="s">
        <v>40414</v>
      </c>
      <c r="M5499" t="s">
        <v>42561</v>
      </c>
      <c r="N5499" t="s">
        <v>44759</v>
      </c>
      <c r="O5499" t="s">
        <v>44760</v>
      </c>
      <c r="P5499">
        <v>0</v>
      </c>
      <c r="Q5499">
        <v>1</v>
      </c>
      <c r="R5499" t="s">
        <v>44766</v>
      </c>
      <c r="S5499" t="s">
        <v>44902</v>
      </c>
      <c r="T5499" t="s">
        <v>46495</v>
      </c>
      <c r="U5499" t="s">
        <v>48623</v>
      </c>
      <c r="W5499" t="s">
        <v>42561</v>
      </c>
      <c r="X5499" t="s">
        <v>44767</v>
      </c>
    </row>
    <row r="5500" spans="1:24">
      <c r="A5500">
        <f>HYPERLINK("https://www.philgeps.gov.ph/GEPSNONPILOT/Tender/SplashBidNoticeAbstractUI.aspx?menuIndex=3&amp;refID=7145921&amp;Result=3","7145921")</f>
        <v>0</v>
      </c>
      <c r="B5500" t="s">
        <v>2010</v>
      </c>
      <c r="C5500" t="s">
        <v>8950</v>
      </c>
      <c r="D5500" t="s">
        <v>18009</v>
      </c>
      <c r="E5500" t="s">
        <v>22920</v>
      </c>
      <c r="F5500" t="s">
        <v>30900</v>
      </c>
      <c r="G5500" t="s">
        <v>30907</v>
      </c>
      <c r="H5500" t="s">
        <v>30916</v>
      </c>
      <c r="I5500" t="s">
        <v>4545</v>
      </c>
      <c r="J5500" t="s">
        <v>34666</v>
      </c>
      <c r="K5500" t="s">
        <v>40284</v>
      </c>
      <c r="M5500" t="s">
        <v>42705</v>
      </c>
      <c r="N5500" t="s">
        <v>44759</v>
      </c>
      <c r="O5500" t="s">
        <v>44760</v>
      </c>
      <c r="P5500">
        <v>0</v>
      </c>
      <c r="Q5500">
        <v>4</v>
      </c>
      <c r="R5500" t="s">
        <v>44766</v>
      </c>
      <c r="S5500" t="s">
        <v>44902</v>
      </c>
      <c r="T5500" t="s">
        <v>46706</v>
      </c>
      <c r="U5500" t="s">
        <v>51602</v>
      </c>
      <c r="W5500" t="s">
        <v>42705</v>
      </c>
      <c r="X5500" t="s">
        <v>44767</v>
      </c>
    </row>
    <row r="5501" spans="1:24">
      <c r="A5501">
        <f>HYPERLINK("https://www.philgeps.gov.ph/GEPSNONPILOT/Tender/SplashBidNoticeAbstractUI.aspx?menuIndex=3&amp;refID=7145917&amp;Result=3","7145917")</f>
        <v>0</v>
      </c>
      <c r="B5501" t="s">
        <v>1285</v>
      </c>
      <c r="C5501" t="s">
        <v>8951</v>
      </c>
      <c r="D5501" t="s">
        <v>17958</v>
      </c>
      <c r="E5501" t="s">
        <v>22921</v>
      </c>
      <c r="F5501" t="s">
        <v>30900</v>
      </c>
      <c r="G5501" t="s">
        <v>30907</v>
      </c>
      <c r="H5501" t="s">
        <v>30916</v>
      </c>
      <c r="I5501" t="s">
        <v>10602</v>
      </c>
      <c r="J5501" t="s">
        <v>34667</v>
      </c>
      <c r="K5501" t="s">
        <v>40287</v>
      </c>
      <c r="M5501" t="s">
        <v>41902</v>
      </c>
      <c r="N5501" t="s">
        <v>44759</v>
      </c>
      <c r="O5501" t="s">
        <v>44760</v>
      </c>
      <c r="P5501">
        <v>0</v>
      </c>
      <c r="Q5501">
        <v>0</v>
      </c>
      <c r="R5501" t="s">
        <v>44766</v>
      </c>
      <c r="S5501" t="s">
        <v>44902</v>
      </c>
      <c r="T5501" t="s">
        <v>46421</v>
      </c>
      <c r="U5501" t="s">
        <v>51603</v>
      </c>
      <c r="V5501" t="s">
        <v>59713</v>
      </c>
      <c r="W5501" t="s">
        <v>41902</v>
      </c>
      <c r="X5501" t="s">
        <v>44767</v>
      </c>
    </row>
    <row r="5502" spans="1:24">
      <c r="A5502">
        <f>HYPERLINK("https://www.philgeps.gov.ph/GEPSNONPILOT/Tender/SplashBidNoticeAbstractUI.aspx?menuIndex=3&amp;refID=7145951&amp;Result=3","7145951")</f>
        <v>0</v>
      </c>
      <c r="B5502" t="s">
        <v>2011</v>
      </c>
      <c r="C5502" t="s">
        <v>8952</v>
      </c>
      <c r="D5502" t="s">
        <v>17961</v>
      </c>
      <c r="E5502" t="s">
        <v>19274</v>
      </c>
      <c r="F5502" t="s">
        <v>30900</v>
      </c>
      <c r="G5502" t="s">
        <v>30909</v>
      </c>
      <c r="H5502" t="s">
        <v>30916</v>
      </c>
      <c r="I5502" t="s">
        <v>4142</v>
      </c>
      <c r="J5502" t="s">
        <v>34668</v>
      </c>
      <c r="K5502" t="s">
        <v>40285</v>
      </c>
      <c r="M5502" t="s">
        <v>42706</v>
      </c>
      <c r="N5502" t="s">
        <v>44759</v>
      </c>
      <c r="O5502" t="s">
        <v>44760</v>
      </c>
      <c r="P5502">
        <v>0</v>
      </c>
      <c r="Q5502">
        <v>0</v>
      </c>
      <c r="R5502" t="s">
        <v>44766</v>
      </c>
      <c r="S5502" t="s">
        <v>44902</v>
      </c>
      <c r="T5502" t="s">
        <v>46398</v>
      </c>
      <c r="U5502" t="s">
        <v>51604</v>
      </c>
      <c r="W5502" t="s">
        <v>42706</v>
      </c>
      <c r="X5502" t="s">
        <v>44767</v>
      </c>
    </row>
    <row r="5503" spans="1:24">
      <c r="A5503">
        <f>HYPERLINK("https://www.philgeps.gov.ph/GEPSNONPILOT/Tender/SplashBidNoticeAbstractUI.aspx?menuIndex=3&amp;refID=7145931&amp;Result=3","7145931")</f>
        <v>0</v>
      </c>
      <c r="B5503" t="s">
        <v>1997</v>
      </c>
      <c r="C5503" t="s">
        <v>8953</v>
      </c>
      <c r="D5503" t="s">
        <v>17953</v>
      </c>
      <c r="E5503" t="s">
        <v>22922</v>
      </c>
      <c r="F5503" t="s">
        <v>30900</v>
      </c>
      <c r="G5503" t="s">
        <v>30908</v>
      </c>
      <c r="H5503" t="s">
        <v>30917</v>
      </c>
      <c r="I5503" t="s">
        <v>30957</v>
      </c>
      <c r="J5503" t="s">
        <v>34669</v>
      </c>
      <c r="K5503" t="s">
        <v>40332</v>
      </c>
      <c r="M5503" t="s">
        <v>42689</v>
      </c>
      <c r="N5503" t="s">
        <v>44759</v>
      </c>
      <c r="O5503" t="s">
        <v>44760</v>
      </c>
      <c r="P5503">
        <v>0</v>
      </c>
      <c r="Q5503">
        <v>1</v>
      </c>
      <c r="R5503" t="s">
        <v>44766</v>
      </c>
      <c r="S5503" t="s">
        <v>44902</v>
      </c>
      <c r="T5503" t="s">
        <v>46581</v>
      </c>
      <c r="U5503" t="s">
        <v>51605</v>
      </c>
      <c r="W5503" t="s">
        <v>44481</v>
      </c>
      <c r="X5503" t="s">
        <v>44767</v>
      </c>
    </row>
    <row r="5504" spans="1:24">
      <c r="A5504">
        <f>HYPERLINK("https://www.philgeps.gov.ph/GEPSNONPILOT/Tender/SplashBidNoticeAbstractUI.aspx?menuIndex=3&amp;refID=7146009&amp;Result=3","7146009")</f>
        <v>0</v>
      </c>
      <c r="B5504" t="s">
        <v>400</v>
      </c>
      <c r="C5504" t="s">
        <v>8954</v>
      </c>
      <c r="D5504" t="s">
        <v>17971</v>
      </c>
      <c r="E5504" t="s">
        <v>22923</v>
      </c>
      <c r="F5504" t="s">
        <v>30900</v>
      </c>
      <c r="G5504" t="s">
        <v>30908</v>
      </c>
      <c r="H5504" t="s">
        <v>30916</v>
      </c>
      <c r="I5504" t="s">
        <v>6953</v>
      </c>
      <c r="J5504" t="s">
        <v>34670</v>
      </c>
      <c r="K5504" t="s">
        <v>40289</v>
      </c>
      <c r="M5504" t="s">
        <v>40955</v>
      </c>
      <c r="N5504" t="s">
        <v>44759</v>
      </c>
      <c r="O5504" t="s">
        <v>44760</v>
      </c>
      <c r="P5504">
        <v>0</v>
      </c>
      <c r="Q5504">
        <v>0</v>
      </c>
      <c r="R5504" t="s">
        <v>44766</v>
      </c>
      <c r="S5504" t="s">
        <v>44902</v>
      </c>
      <c r="T5504" t="s">
        <v>46391</v>
      </c>
      <c r="U5504" t="s">
        <v>51606</v>
      </c>
      <c r="W5504" t="s">
        <v>40955</v>
      </c>
      <c r="X5504" t="s">
        <v>44767</v>
      </c>
    </row>
    <row r="5505" spans="1:24">
      <c r="A5505">
        <f>HYPERLINK("https://www.philgeps.gov.ph/GEPSNONPILOT/Tender/SplashBidNoticeAbstractUI.aspx?menuIndex=3&amp;refID=7145930&amp;Result=3","7145930")</f>
        <v>0</v>
      </c>
      <c r="B5505" t="s">
        <v>309</v>
      </c>
      <c r="C5505" t="s">
        <v>8955</v>
      </c>
      <c r="D5505" t="s">
        <v>17995</v>
      </c>
      <c r="E5505" t="s">
        <v>22924</v>
      </c>
      <c r="F5505" t="s">
        <v>30900</v>
      </c>
      <c r="G5505" t="s">
        <v>30908</v>
      </c>
      <c r="H5505" t="s">
        <v>30916</v>
      </c>
      <c r="I5505" t="s">
        <v>30939</v>
      </c>
      <c r="J5505" t="s">
        <v>34671</v>
      </c>
      <c r="K5505" t="s">
        <v>40283</v>
      </c>
      <c r="M5505" t="s">
        <v>40859</v>
      </c>
      <c r="N5505" t="s">
        <v>44759</v>
      </c>
      <c r="O5505" t="s">
        <v>44760</v>
      </c>
      <c r="P5505">
        <v>0</v>
      </c>
      <c r="Q5505">
        <v>0</v>
      </c>
      <c r="R5505" t="s">
        <v>44766</v>
      </c>
      <c r="S5505" t="s">
        <v>44902</v>
      </c>
      <c r="T5505" t="s">
        <v>46531</v>
      </c>
      <c r="U5505" t="s">
        <v>51607</v>
      </c>
      <c r="W5505" t="s">
        <v>40859</v>
      </c>
      <c r="X5505" t="s">
        <v>44767</v>
      </c>
    </row>
    <row r="5506" spans="1:24">
      <c r="A5506">
        <f>HYPERLINK("https://www.philgeps.gov.ph/GEPSNONPILOT/Tender/SplashBidNoticeAbstractUI.aspx?menuIndex=3&amp;refID=7146006&amp;Result=3","7146006")</f>
        <v>0</v>
      </c>
      <c r="B5506" t="s">
        <v>1285</v>
      </c>
      <c r="C5506" t="s">
        <v>8956</v>
      </c>
      <c r="D5506" t="s">
        <v>17958</v>
      </c>
      <c r="E5506" t="s">
        <v>22925</v>
      </c>
      <c r="F5506" t="s">
        <v>30900</v>
      </c>
      <c r="G5506" t="s">
        <v>30907</v>
      </c>
      <c r="H5506" t="s">
        <v>30916</v>
      </c>
      <c r="I5506" t="s">
        <v>30947</v>
      </c>
      <c r="J5506" t="s">
        <v>32213</v>
      </c>
      <c r="K5506" t="s">
        <v>40287</v>
      </c>
      <c r="M5506" t="s">
        <v>41902</v>
      </c>
      <c r="N5506" t="s">
        <v>44759</v>
      </c>
      <c r="O5506" t="s">
        <v>44760</v>
      </c>
      <c r="P5506">
        <v>0</v>
      </c>
      <c r="Q5506">
        <v>0</v>
      </c>
      <c r="R5506" t="s">
        <v>44766</v>
      </c>
      <c r="S5506" t="s">
        <v>44902</v>
      </c>
      <c r="T5506" t="s">
        <v>46421</v>
      </c>
      <c r="U5506" t="s">
        <v>51608</v>
      </c>
      <c r="V5506" t="s">
        <v>59714</v>
      </c>
      <c r="W5506" t="s">
        <v>41902</v>
      </c>
      <c r="X5506" t="s">
        <v>44767</v>
      </c>
    </row>
    <row r="5507" spans="1:24">
      <c r="A5507">
        <f>HYPERLINK("https://www.philgeps.gov.ph/GEPSNONPILOT/Tender/SplashBidNoticeAbstractUI.aspx?menuIndex=3&amp;refID=7145944&amp;Result=3","7145944")</f>
        <v>0</v>
      </c>
      <c r="B5507" t="s">
        <v>1285</v>
      </c>
      <c r="C5507" t="s">
        <v>8957</v>
      </c>
      <c r="D5507" t="s">
        <v>17958</v>
      </c>
      <c r="E5507" t="s">
        <v>22926</v>
      </c>
      <c r="F5507" t="s">
        <v>30900</v>
      </c>
      <c r="G5507" t="s">
        <v>30907</v>
      </c>
      <c r="H5507" t="s">
        <v>30916</v>
      </c>
      <c r="I5507" t="s">
        <v>9385</v>
      </c>
      <c r="J5507" t="s">
        <v>34672</v>
      </c>
      <c r="K5507" t="s">
        <v>40287</v>
      </c>
      <c r="M5507" t="s">
        <v>41902</v>
      </c>
      <c r="N5507" t="s">
        <v>44759</v>
      </c>
      <c r="O5507" t="s">
        <v>44760</v>
      </c>
      <c r="P5507">
        <v>0</v>
      </c>
      <c r="Q5507">
        <v>6</v>
      </c>
      <c r="R5507" t="s">
        <v>44766</v>
      </c>
      <c r="S5507" t="s">
        <v>44902</v>
      </c>
      <c r="T5507" t="s">
        <v>46421</v>
      </c>
      <c r="U5507" t="s">
        <v>51609</v>
      </c>
      <c r="V5507" t="s">
        <v>59715</v>
      </c>
      <c r="W5507" t="s">
        <v>41902</v>
      </c>
      <c r="X5507" t="s">
        <v>44767</v>
      </c>
    </row>
    <row r="5508" spans="1:24">
      <c r="A5508">
        <f>HYPERLINK("https://www.philgeps.gov.ph/GEPSNONPILOT/Tender/SplashBidNoticeAbstractUI.aspx?menuIndex=3&amp;refID=7146004&amp;Result=3","7146004")</f>
        <v>0</v>
      </c>
      <c r="B5508" t="s">
        <v>2012</v>
      </c>
      <c r="C5508" t="s">
        <v>8958</v>
      </c>
      <c r="D5508" t="s">
        <v>17998</v>
      </c>
      <c r="E5508" t="s">
        <v>22927</v>
      </c>
      <c r="F5508" t="s">
        <v>30900</v>
      </c>
      <c r="G5508" t="s">
        <v>30907</v>
      </c>
      <c r="H5508" t="s">
        <v>30916</v>
      </c>
      <c r="I5508" t="s">
        <v>30924</v>
      </c>
      <c r="J5508" t="s">
        <v>31308</v>
      </c>
      <c r="K5508" t="s">
        <v>40286</v>
      </c>
      <c r="M5508" t="s">
        <v>42707</v>
      </c>
      <c r="N5508" t="s">
        <v>44759</v>
      </c>
      <c r="O5508" t="s">
        <v>44760</v>
      </c>
      <c r="P5508">
        <v>0</v>
      </c>
      <c r="Q5508">
        <v>0</v>
      </c>
      <c r="R5508" t="s">
        <v>44766</v>
      </c>
      <c r="S5508" t="s">
        <v>44902</v>
      </c>
      <c r="T5508" t="s">
        <v>46359</v>
      </c>
      <c r="U5508" t="s">
        <v>51610</v>
      </c>
      <c r="W5508" t="s">
        <v>42707</v>
      </c>
      <c r="X5508" t="s">
        <v>44767</v>
      </c>
    </row>
    <row r="5509" spans="1:24">
      <c r="A5509">
        <f>HYPERLINK("https://www.philgeps.gov.ph/GEPSNONPILOT/Tender/SplashBidNoticeAbstractUI.aspx?menuIndex=3&amp;refID=7145998&amp;Result=3","7145998")</f>
        <v>0</v>
      </c>
      <c r="B5509" t="s">
        <v>2013</v>
      </c>
      <c r="C5509" t="s">
        <v>8959</v>
      </c>
      <c r="D5509" t="s">
        <v>17971</v>
      </c>
      <c r="E5509" t="s">
        <v>22928</v>
      </c>
      <c r="F5509" t="s">
        <v>30900</v>
      </c>
      <c r="G5509" t="s">
        <v>30907</v>
      </c>
      <c r="H5509" t="s">
        <v>30915</v>
      </c>
      <c r="I5509" t="s">
        <v>30919</v>
      </c>
      <c r="J5509" t="s">
        <v>31152</v>
      </c>
      <c r="K5509" t="s">
        <v>40280</v>
      </c>
      <c r="M5509" t="s">
        <v>42708</v>
      </c>
      <c r="N5509" t="s">
        <v>44759</v>
      </c>
      <c r="O5509" t="s">
        <v>44760</v>
      </c>
      <c r="P5509">
        <v>0</v>
      </c>
      <c r="Q5509">
        <v>21</v>
      </c>
      <c r="R5509" t="s">
        <v>44766</v>
      </c>
      <c r="S5509" t="s">
        <v>44902</v>
      </c>
      <c r="T5509" t="s">
        <v>46409</v>
      </c>
      <c r="U5509" t="s">
        <v>51611</v>
      </c>
      <c r="V5509" t="s">
        <v>59716</v>
      </c>
      <c r="W5509" t="s">
        <v>42708</v>
      </c>
      <c r="X5509" t="s">
        <v>44767</v>
      </c>
    </row>
    <row r="5510" spans="1:24">
      <c r="A5510">
        <f>HYPERLINK("https://www.philgeps.gov.ph/GEPSNONPILOT/Tender/SplashBidNoticeAbstractUI.aspx?menuIndex=3&amp;refID=7145996&amp;Result=3","7145996")</f>
        <v>0</v>
      </c>
      <c r="B5510" t="s">
        <v>44</v>
      </c>
      <c r="C5510" t="s">
        <v>7839</v>
      </c>
      <c r="D5510" t="s">
        <v>17969</v>
      </c>
      <c r="E5510" t="s">
        <v>22929</v>
      </c>
      <c r="F5510" t="s">
        <v>30900</v>
      </c>
      <c r="G5510" t="s">
        <v>30908</v>
      </c>
      <c r="H5510" t="s">
        <v>30916</v>
      </c>
      <c r="I5510" t="s">
        <v>10847</v>
      </c>
      <c r="J5510" t="s">
        <v>31183</v>
      </c>
      <c r="K5510" t="s">
        <v>40289</v>
      </c>
      <c r="M5510" t="s">
        <v>41947</v>
      </c>
      <c r="N5510" t="s">
        <v>44759</v>
      </c>
      <c r="O5510" t="s">
        <v>44760</v>
      </c>
      <c r="P5510">
        <v>0</v>
      </c>
      <c r="Q5510">
        <v>0</v>
      </c>
      <c r="R5510" t="s">
        <v>44766</v>
      </c>
      <c r="S5510" t="s">
        <v>44902</v>
      </c>
      <c r="T5510" t="s">
        <v>46548</v>
      </c>
      <c r="U5510" t="s">
        <v>51612</v>
      </c>
      <c r="W5510" t="s">
        <v>41947</v>
      </c>
      <c r="X5510" t="s">
        <v>44767</v>
      </c>
    </row>
    <row r="5511" spans="1:24">
      <c r="A5511">
        <f>HYPERLINK("https://www.philgeps.gov.ph/GEPSNONPILOT/Tender/SplashBidNoticeAbstractUI.aspx?menuIndex=3&amp;refID=7145990&amp;Result=3","7145990")</f>
        <v>0</v>
      </c>
      <c r="B5511" t="s">
        <v>1999</v>
      </c>
      <c r="C5511" t="s">
        <v>8960</v>
      </c>
      <c r="D5511" t="s">
        <v>18017</v>
      </c>
      <c r="E5511" t="s">
        <v>22930</v>
      </c>
      <c r="F5511" t="s">
        <v>30900</v>
      </c>
      <c r="G5511" t="s">
        <v>30910</v>
      </c>
      <c r="H5511" t="s">
        <v>30916</v>
      </c>
      <c r="I5511" t="s">
        <v>6953</v>
      </c>
      <c r="J5511" t="s">
        <v>34673</v>
      </c>
      <c r="K5511" t="s">
        <v>40286</v>
      </c>
      <c r="M5511" t="s">
        <v>42691</v>
      </c>
      <c r="N5511" t="s">
        <v>44759</v>
      </c>
      <c r="O5511" t="s">
        <v>44760</v>
      </c>
      <c r="P5511">
        <v>0</v>
      </c>
      <c r="Q5511">
        <v>1</v>
      </c>
      <c r="R5511" t="s">
        <v>44766</v>
      </c>
      <c r="S5511" t="s">
        <v>44902</v>
      </c>
      <c r="T5511" t="s">
        <v>46414</v>
      </c>
      <c r="U5511" t="s">
        <v>51613</v>
      </c>
      <c r="V5511" t="s">
        <v>59717</v>
      </c>
      <c r="W5511" t="s">
        <v>42691</v>
      </c>
      <c r="X5511" t="s">
        <v>44767</v>
      </c>
    </row>
    <row r="5512" spans="1:24">
      <c r="A5512">
        <f>HYPERLINK("https://www.philgeps.gov.ph/GEPSNONPILOT/Tender/SplashBidNoticeAbstractUI.aspx?menuIndex=3&amp;refID=7145982&amp;Result=3","7145982")</f>
        <v>0</v>
      </c>
      <c r="B5512" t="s">
        <v>955</v>
      </c>
      <c r="C5512" t="s">
        <v>8961</v>
      </c>
      <c r="D5512" t="s">
        <v>17990</v>
      </c>
      <c r="E5512" t="s">
        <v>22931</v>
      </c>
      <c r="F5512" t="s">
        <v>30900</v>
      </c>
      <c r="G5512" t="s">
        <v>30908</v>
      </c>
      <c r="H5512" t="s">
        <v>30917</v>
      </c>
      <c r="I5512" t="s">
        <v>30942</v>
      </c>
      <c r="J5512" t="s">
        <v>34674</v>
      </c>
      <c r="K5512" t="s">
        <v>40286</v>
      </c>
      <c r="M5512" t="s">
        <v>41540</v>
      </c>
      <c r="N5512" t="s">
        <v>44759</v>
      </c>
      <c r="O5512" t="s">
        <v>44760</v>
      </c>
      <c r="P5512">
        <v>0</v>
      </c>
      <c r="Q5512">
        <v>0</v>
      </c>
      <c r="R5512" t="s">
        <v>44766</v>
      </c>
      <c r="S5512" t="s">
        <v>44902</v>
      </c>
      <c r="T5512" t="s">
        <v>46457</v>
      </c>
      <c r="U5512" t="s">
        <v>51614</v>
      </c>
      <c r="W5512" t="s">
        <v>41540</v>
      </c>
      <c r="X5512" t="s">
        <v>44767</v>
      </c>
    </row>
    <row r="5513" spans="1:24">
      <c r="A5513">
        <f>HYPERLINK("https://www.philgeps.gov.ph/GEPSNONPILOT/Tender/SplashBidNoticeAbstractUI.aspx?menuIndex=3&amp;refID=7145980&amp;Result=3","7145980")</f>
        <v>0</v>
      </c>
      <c r="B5513" t="s">
        <v>1973</v>
      </c>
      <c r="C5513" t="s">
        <v>8962</v>
      </c>
      <c r="D5513" t="s">
        <v>18012</v>
      </c>
      <c r="E5513" t="s">
        <v>22932</v>
      </c>
      <c r="F5513" t="s">
        <v>30900</v>
      </c>
      <c r="G5513" t="s">
        <v>30906</v>
      </c>
      <c r="H5513" t="s">
        <v>30916</v>
      </c>
      <c r="I5513" t="s">
        <v>4142</v>
      </c>
      <c r="J5513" t="s">
        <v>31142</v>
      </c>
      <c r="K5513" t="s">
        <v>40284</v>
      </c>
      <c r="M5513" t="s">
        <v>42661</v>
      </c>
      <c r="N5513" t="s">
        <v>44759</v>
      </c>
      <c r="O5513" t="s">
        <v>44760</v>
      </c>
      <c r="P5513">
        <v>0</v>
      </c>
      <c r="Q5513">
        <v>0</v>
      </c>
      <c r="R5513" t="s">
        <v>44766</v>
      </c>
      <c r="S5513" t="s">
        <v>44902</v>
      </c>
      <c r="T5513" t="s">
        <v>46607</v>
      </c>
      <c r="U5513" t="s">
        <v>51615</v>
      </c>
      <c r="W5513" t="s">
        <v>42661</v>
      </c>
      <c r="X5513" t="s">
        <v>44767</v>
      </c>
    </row>
    <row r="5514" spans="1:24">
      <c r="A5514">
        <f>HYPERLINK("https://www.philgeps.gov.ph/GEPSNONPILOT/Tender/SplashBidNoticeAbstractUI.aspx?menuIndex=3&amp;refID=7145979&amp;Result=3","7145979")</f>
        <v>0</v>
      </c>
      <c r="B5514" t="s">
        <v>739</v>
      </c>
      <c r="C5514" t="s">
        <v>8963</v>
      </c>
      <c r="D5514" t="s">
        <v>17972</v>
      </c>
      <c r="E5514" t="s">
        <v>22933</v>
      </c>
      <c r="F5514" t="s">
        <v>30900</v>
      </c>
      <c r="G5514" t="s">
        <v>30909</v>
      </c>
      <c r="H5514" t="s">
        <v>30916</v>
      </c>
      <c r="I5514" t="s">
        <v>30947</v>
      </c>
      <c r="J5514" t="s">
        <v>34675</v>
      </c>
      <c r="K5514" t="s">
        <v>40286</v>
      </c>
      <c r="L5514" t="s">
        <v>739</v>
      </c>
      <c r="M5514" t="s">
        <v>41303</v>
      </c>
      <c r="N5514" t="s">
        <v>44759</v>
      </c>
      <c r="O5514" t="s">
        <v>44760</v>
      </c>
      <c r="P5514">
        <v>0</v>
      </c>
      <c r="Q5514">
        <v>1</v>
      </c>
      <c r="R5514" t="s">
        <v>44766</v>
      </c>
      <c r="S5514" t="s">
        <v>44902</v>
      </c>
      <c r="T5514" t="s">
        <v>46686</v>
      </c>
      <c r="U5514" t="s">
        <v>51616</v>
      </c>
      <c r="V5514" t="s">
        <v>59291</v>
      </c>
      <c r="W5514" t="s">
        <v>41303</v>
      </c>
      <c r="X5514" t="s">
        <v>44767</v>
      </c>
    </row>
    <row r="5515" spans="1:24">
      <c r="A5515">
        <f>HYPERLINK("https://www.philgeps.gov.ph/GEPSNONPILOT/Tender/SplashBidNoticeAbstractUI.aspx?menuIndex=3&amp;refID=7146002&amp;Result=3","7146002")</f>
        <v>0</v>
      </c>
      <c r="B5515" t="s">
        <v>2014</v>
      </c>
      <c r="C5515" t="s">
        <v>8964</v>
      </c>
      <c r="D5515" t="s">
        <v>17973</v>
      </c>
      <c r="E5515" t="s">
        <v>19250</v>
      </c>
      <c r="F5515" t="s">
        <v>30900</v>
      </c>
      <c r="G5515" t="s">
        <v>30907</v>
      </c>
      <c r="H5515" t="s">
        <v>30915</v>
      </c>
      <c r="I5515" t="s">
        <v>30919</v>
      </c>
      <c r="J5515" t="s">
        <v>31886</v>
      </c>
      <c r="K5515" t="s">
        <v>40415</v>
      </c>
      <c r="M5515" t="s">
        <v>42709</v>
      </c>
      <c r="N5515" t="s">
        <v>44759</v>
      </c>
      <c r="O5515" t="s">
        <v>44760</v>
      </c>
      <c r="P5515">
        <v>0</v>
      </c>
      <c r="Q5515">
        <v>0</v>
      </c>
      <c r="R5515" t="s">
        <v>44766</v>
      </c>
      <c r="S5515" t="s">
        <v>44902</v>
      </c>
      <c r="T5515" t="s">
        <v>46390</v>
      </c>
      <c r="U5515" t="s">
        <v>51617</v>
      </c>
      <c r="W5515" t="s">
        <v>42709</v>
      </c>
      <c r="X5515" t="s">
        <v>44767</v>
      </c>
    </row>
    <row r="5516" spans="1:24">
      <c r="A5516">
        <f>HYPERLINK("https://www.philgeps.gov.ph/GEPSNONPILOT/Tender/SplashBidNoticeAbstractUI.aspx?menuIndex=3&amp;refID=7145977&amp;Result=3","7145977")</f>
        <v>0</v>
      </c>
      <c r="B5516" t="s">
        <v>2015</v>
      </c>
      <c r="C5516" t="s">
        <v>8965</v>
      </c>
      <c r="D5516" t="s">
        <v>17998</v>
      </c>
      <c r="E5516" t="s">
        <v>22934</v>
      </c>
      <c r="F5516" t="s">
        <v>30900</v>
      </c>
      <c r="G5516" t="s">
        <v>30907</v>
      </c>
      <c r="H5516" t="s">
        <v>30916</v>
      </c>
      <c r="I5516" t="s">
        <v>30933</v>
      </c>
      <c r="J5516" t="s">
        <v>31577</v>
      </c>
      <c r="K5516" t="s">
        <v>40286</v>
      </c>
      <c r="M5516" t="s">
        <v>42710</v>
      </c>
      <c r="N5516" t="s">
        <v>44759</v>
      </c>
      <c r="O5516" t="s">
        <v>44760</v>
      </c>
      <c r="P5516">
        <v>0</v>
      </c>
      <c r="Q5516">
        <v>0</v>
      </c>
      <c r="R5516" t="s">
        <v>44766</v>
      </c>
      <c r="S5516" t="s">
        <v>44902</v>
      </c>
      <c r="T5516" t="s">
        <v>46363</v>
      </c>
      <c r="U5516" t="s">
        <v>51618</v>
      </c>
      <c r="W5516" t="s">
        <v>42710</v>
      </c>
      <c r="X5516" t="s">
        <v>44767</v>
      </c>
    </row>
    <row r="5517" spans="1:24">
      <c r="A5517">
        <f>HYPERLINK("https://www.philgeps.gov.ph/GEPSNONPILOT/Tender/SplashBidNoticeAbstractUI.aspx?menuIndex=3&amp;refID=7145966&amp;Result=3","7145966")</f>
        <v>0</v>
      </c>
      <c r="B5517" t="s">
        <v>1285</v>
      </c>
      <c r="C5517" t="s">
        <v>8966</v>
      </c>
      <c r="D5517" t="s">
        <v>17958</v>
      </c>
      <c r="E5517" t="s">
        <v>22935</v>
      </c>
      <c r="F5517" t="s">
        <v>30900</v>
      </c>
      <c r="G5517" t="s">
        <v>30907</v>
      </c>
      <c r="H5517" t="s">
        <v>30916</v>
      </c>
      <c r="I5517" t="s">
        <v>6953</v>
      </c>
      <c r="J5517" t="s">
        <v>34676</v>
      </c>
      <c r="K5517" t="s">
        <v>40287</v>
      </c>
      <c r="M5517" t="s">
        <v>41902</v>
      </c>
      <c r="N5517" t="s">
        <v>44759</v>
      </c>
      <c r="O5517" t="s">
        <v>44760</v>
      </c>
      <c r="P5517">
        <v>0</v>
      </c>
      <c r="Q5517">
        <v>0</v>
      </c>
      <c r="R5517" t="s">
        <v>44766</v>
      </c>
      <c r="S5517" t="s">
        <v>44902</v>
      </c>
      <c r="T5517" t="s">
        <v>46421</v>
      </c>
      <c r="U5517" t="s">
        <v>51619</v>
      </c>
      <c r="V5517" t="s">
        <v>59718</v>
      </c>
      <c r="W5517" t="s">
        <v>41902</v>
      </c>
      <c r="X5517" t="s">
        <v>44767</v>
      </c>
    </row>
    <row r="5518" spans="1:24">
      <c r="A5518">
        <f>HYPERLINK("https://www.philgeps.gov.ph/GEPSNONPILOT/Tender/SplashBidNoticeAbstractUI.aspx?menuIndex=3&amp;refID=7145955&amp;Result=3","7145955")</f>
        <v>0</v>
      </c>
      <c r="B5518" t="s">
        <v>1724</v>
      </c>
      <c r="C5518" t="s">
        <v>8967</v>
      </c>
      <c r="D5518" t="s">
        <v>18016</v>
      </c>
      <c r="E5518" t="s">
        <v>22936</v>
      </c>
      <c r="F5518" t="s">
        <v>30900</v>
      </c>
      <c r="G5518" t="s">
        <v>30907</v>
      </c>
      <c r="H5518" t="s">
        <v>30916</v>
      </c>
      <c r="I5518" t="s">
        <v>30947</v>
      </c>
      <c r="J5518" t="s">
        <v>34677</v>
      </c>
      <c r="K5518" t="s">
        <v>40284</v>
      </c>
      <c r="M5518" t="s">
        <v>42697</v>
      </c>
      <c r="N5518" t="s">
        <v>44759</v>
      </c>
      <c r="O5518" t="s">
        <v>44760</v>
      </c>
      <c r="P5518">
        <v>0</v>
      </c>
      <c r="Q5518">
        <v>2</v>
      </c>
      <c r="R5518" t="s">
        <v>44766</v>
      </c>
      <c r="S5518" t="s">
        <v>44902</v>
      </c>
      <c r="T5518" t="s">
        <v>46377</v>
      </c>
      <c r="U5518" t="s">
        <v>51585</v>
      </c>
      <c r="V5518" t="s">
        <v>59709</v>
      </c>
      <c r="W5518" t="s">
        <v>60878</v>
      </c>
      <c r="X5518" t="s">
        <v>44767</v>
      </c>
    </row>
    <row r="5519" spans="1:24">
      <c r="A5519">
        <f>HYPERLINK("https://www.philgeps.gov.ph/GEPSNONPILOT/Tender/SplashBidNoticeAbstractUI.aspx?menuIndex=3&amp;refID=7145954&amp;Result=3","7145954")</f>
        <v>0</v>
      </c>
      <c r="B5519" t="s">
        <v>1480</v>
      </c>
      <c r="C5519" t="s">
        <v>8968</v>
      </c>
      <c r="E5519" t="s">
        <v>22937</v>
      </c>
      <c r="F5519" t="s">
        <v>30900</v>
      </c>
      <c r="G5519" t="s">
        <v>30909</v>
      </c>
      <c r="H5519" t="s">
        <v>30916</v>
      </c>
      <c r="I5519" t="s">
        <v>8365</v>
      </c>
      <c r="J5519" t="s">
        <v>34678</v>
      </c>
      <c r="K5519" t="s">
        <v>40289</v>
      </c>
      <c r="M5519" t="s">
        <v>42115</v>
      </c>
      <c r="N5519" t="s">
        <v>44759</v>
      </c>
      <c r="O5519" t="s">
        <v>44760</v>
      </c>
      <c r="P5519">
        <v>0</v>
      </c>
      <c r="Q5519">
        <v>1</v>
      </c>
      <c r="R5519" t="s">
        <v>44766</v>
      </c>
      <c r="S5519" t="s">
        <v>44902</v>
      </c>
      <c r="T5519" t="s">
        <v>46533</v>
      </c>
      <c r="U5519" t="s">
        <v>51620</v>
      </c>
      <c r="W5519" t="s">
        <v>42115</v>
      </c>
      <c r="X5519" t="s">
        <v>44767</v>
      </c>
    </row>
    <row r="5520" spans="1:24">
      <c r="A5520">
        <f>HYPERLINK("https://www.philgeps.gov.ph/GEPSNONPILOT/Tender/SplashBidNoticeAbstractUI.aspx?menuIndex=3&amp;refID=7145997&amp;Result=3","7145997")</f>
        <v>0</v>
      </c>
      <c r="B5520" t="s">
        <v>160</v>
      </c>
      <c r="C5520" t="s">
        <v>8969</v>
      </c>
      <c r="D5520" t="s">
        <v>18007</v>
      </c>
      <c r="E5520" t="s">
        <v>22938</v>
      </c>
      <c r="F5520" t="s">
        <v>30900</v>
      </c>
      <c r="G5520" t="s">
        <v>30908</v>
      </c>
      <c r="H5520" t="s">
        <v>30916</v>
      </c>
      <c r="I5520" t="s">
        <v>4142</v>
      </c>
      <c r="J5520" t="s">
        <v>34679</v>
      </c>
      <c r="K5520" t="s">
        <v>40289</v>
      </c>
      <c r="M5520" t="s">
        <v>40707</v>
      </c>
      <c r="N5520" t="s">
        <v>44759</v>
      </c>
      <c r="O5520" t="s">
        <v>44760</v>
      </c>
      <c r="P5520">
        <v>0</v>
      </c>
      <c r="Q5520">
        <v>1</v>
      </c>
      <c r="R5520" t="s">
        <v>44766</v>
      </c>
      <c r="S5520" t="s">
        <v>44902</v>
      </c>
      <c r="T5520" t="s">
        <v>46700</v>
      </c>
      <c r="U5520" t="s">
        <v>51621</v>
      </c>
      <c r="W5520" t="s">
        <v>40707</v>
      </c>
      <c r="X5520" t="s">
        <v>44767</v>
      </c>
    </row>
    <row r="5521" spans="1:24">
      <c r="A5521">
        <f>HYPERLINK("https://www.philgeps.gov.ph/GEPSNONPILOT/Tender/SplashBidNoticeAbstractUI.aspx?menuIndex=3&amp;refID=7145915&amp;Result=3","7145915")</f>
        <v>0</v>
      </c>
      <c r="B5521" t="s">
        <v>1624</v>
      </c>
      <c r="C5521" t="s">
        <v>8970</v>
      </c>
      <c r="D5521" t="s">
        <v>17995</v>
      </c>
      <c r="E5521" t="s">
        <v>22939</v>
      </c>
      <c r="F5521" t="s">
        <v>30900</v>
      </c>
      <c r="G5521" t="s">
        <v>30907</v>
      </c>
      <c r="H5521" t="s">
        <v>30915</v>
      </c>
      <c r="I5521" t="s">
        <v>30919</v>
      </c>
      <c r="J5521" t="s">
        <v>32558</v>
      </c>
      <c r="K5521" t="s">
        <v>40378</v>
      </c>
      <c r="M5521" t="s">
        <v>42711</v>
      </c>
      <c r="N5521" t="s">
        <v>44759</v>
      </c>
      <c r="O5521" t="s">
        <v>44760</v>
      </c>
      <c r="P5521">
        <v>0</v>
      </c>
      <c r="Q5521">
        <v>0</v>
      </c>
      <c r="R5521" t="s">
        <v>44766</v>
      </c>
      <c r="S5521" t="s">
        <v>44902</v>
      </c>
      <c r="T5521" t="s">
        <v>46455</v>
      </c>
      <c r="U5521" t="s">
        <v>51622</v>
      </c>
      <c r="V5521" t="s">
        <v>47461</v>
      </c>
      <c r="W5521" t="s">
        <v>42711</v>
      </c>
      <c r="X5521" t="s">
        <v>44767</v>
      </c>
    </row>
    <row r="5522" spans="1:24">
      <c r="A5522">
        <f>HYPERLINK("https://www.philgeps.gov.ph/GEPSNONPILOT/Tender/SplashBidNoticeAbstractUI.aspx?menuIndex=3&amp;refID=7145968&amp;Result=3","7145968")</f>
        <v>0</v>
      </c>
      <c r="B5522" t="s">
        <v>309</v>
      </c>
      <c r="C5522" t="s">
        <v>8971</v>
      </c>
      <c r="D5522" t="s">
        <v>17995</v>
      </c>
      <c r="E5522" t="s">
        <v>22940</v>
      </c>
      <c r="F5522" t="s">
        <v>30900</v>
      </c>
      <c r="G5522" t="s">
        <v>30908</v>
      </c>
      <c r="H5522" t="s">
        <v>30916</v>
      </c>
      <c r="I5522" t="s">
        <v>4545</v>
      </c>
      <c r="J5522" t="s">
        <v>31271</v>
      </c>
      <c r="K5522" t="s">
        <v>40283</v>
      </c>
      <c r="M5522" t="s">
        <v>40859</v>
      </c>
      <c r="N5522" t="s">
        <v>44759</v>
      </c>
      <c r="O5522" t="s">
        <v>44760</v>
      </c>
      <c r="P5522">
        <v>0</v>
      </c>
      <c r="Q5522">
        <v>0</v>
      </c>
      <c r="R5522" t="s">
        <v>44766</v>
      </c>
      <c r="S5522" t="s">
        <v>44902</v>
      </c>
      <c r="T5522" t="s">
        <v>46531</v>
      </c>
      <c r="U5522" t="s">
        <v>51623</v>
      </c>
      <c r="W5522" t="s">
        <v>40859</v>
      </c>
      <c r="X5522" t="s">
        <v>44767</v>
      </c>
    </row>
    <row r="5523" spans="1:24">
      <c r="A5523">
        <f>HYPERLINK("https://www.philgeps.gov.ph/GEPSNONPILOT/Tender/SplashBidNoticeAbstractUI.aspx?menuIndex=3&amp;refID=7145912&amp;Result=3","7145912")</f>
        <v>0</v>
      </c>
      <c r="B5523" t="s">
        <v>1997</v>
      </c>
      <c r="C5523" t="s">
        <v>8972</v>
      </c>
      <c r="D5523" t="s">
        <v>17953</v>
      </c>
      <c r="E5523" t="s">
        <v>22465</v>
      </c>
      <c r="F5523" t="s">
        <v>30900</v>
      </c>
      <c r="G5523" t="s">
        <v>30908</v>
      </c>
      <c r="H5523" t="s">
        <v>30916</v>
      </c>
      <c r="I5523" t="s">
        <v>30926</v>
      </c>
      <c r="J5523" t="s">
        <v>34680</v>
      </c>
      <c r="K5523" t="s">
        <v>40284</v>
      </c>
      <c r="M5523" t="s">
        <v>42689</v>
      </c>
      <c r="N5523" t="s">
        <v>44759</v>
      </c>
      <c r="O5523" t="s">
        <v>44760</v>
      </c>
      <c r="P5523">
        <v>0</v>
      </c>
      <c r="Q5523">
        <v>0</v>
      </c>
      <c r="R5523" t="s">
        <v>44766</v>
      </c>
      <c r="S5523" t="s">
        <v>44902</v>
      </c>
      <c r="T5523" t="s">
        <v>46581</v>
      </c>
      <c r="U5523" t="s">
        <v>51624</v>
      </c>
      <c r="W5523" t="s">
        <v>44481</v>
      </c>
      <c r="X5523" t="s">
        <v>44767</v>
      </c>
    </row>
    <row r="5524" spans="1:24">
      <c r="A5524">
        <f>HYPERLINK("https://www.philgeps.gov.ph/GEPSNONPILOT/Tender/SplashBidNoticeAbstractUI.aspx?menuIndex=3&amp;refID=7145957&amp;Result=3","7145957")</f>
        <v>0</v>
      </c>
      <c r="B5524" t="s">
        <v>1999</v>
      </c>
      <c r="C5524" t="s">
        <v>8973</v>
      </c>
      <c r="D5524" t="s">
        <v>18017</v>
      </c>
      <c r="E5524" t="s">
        <v>22941</v>
      </c>
      <c r="F5524" t="s">
        <v>30900</v>
      </c>
      <c r="G5524" t="s">
        <v>30910</v>
      </c>
      <c r="H5524" t="s">
        <v>30916</v>
      </c>
      <c r="I5524" t="s">
        <v>8123</v>
      </c>
      <c r="J5524" t="s">
        <v>34681</v>
      </c>
      <c r="K5524" t="s">
        <v>40286</v>
      </c>
      <c r="M5524" t="s">
        <v>42691</v>
      </c>
      <c r="N5524" t="s">
        <v>44759</v>
      </c>
      <c r="O5524" t="s">
        <v>44760</v>
      </c>
      <c r="P5524">
        <v>0</v>
      </c>
      <c r="Q5524">
        <v>1</v>
      </c>
      <c r="R5524" t="s">
        <v>44766</v>
      </c>
      <c r="S5524" t="s">
        <v>44902</v>
      </c>
      <c r="T5524" t="s">
        <v>46414</v>
      </c>
      <c r="U5524" t="s">
        <v>51625</v>
      </c>
      <c r="V5524" t="s">
        <v>59717</v>
      </c>
      <c r="W5524" t="s">
        <v>42691</v>
      </c>
      <c r="X5524" t="s">
        <v>44767</v>
      </c>
    </row>
    <row r="5525" spans="1:24">
      <c r="A5525">
        <f>HYPERLINK("https://www.philgeps.gov.ph/GEPSNONPILOT/Tender/SplashBidNoticeAbstractUI.aspx?menuIndex=3&amp;refID=7145908&amp;Result=3","7145908")</f>
        <v>0</v>
      </c>
      <c r="B5525" t="s">
        <v>1999</v>
      </c>
      <c r="C5525" t="s">
        <v>8974</v>
      </c>
      <c r="D5525" t="s">
        <v>18017</v>
      </c>
      <c r="E5525" t="s">
        <v>22942</v>
      </c>
      <c r="F5525" t="s">
        <v>30900</v>
      </c>
      <c r="G5525" t="s">
        <v>30907</v>
      </c>
      <c r="H5525" t="s">
        <v>30916</v>
      </c>
      <c r="I5525" t="s">
        <v>30924</v>
      </c>
      <c r="J5525" t="s">
        <v>34682</v>
      </c>
      <c r="K5525" t="s">
        <v>40286</v>
      </c>
      <c r="M5525" t="s">
        <v>42691</v>
      </c>
      <c r="N5525" t="s">
        <v>44759</v>
      </c>
      <c r="O5525" t="s">
        <v>44760</v>
      </c>
      <c r="P5525">
        <v>0</v>
      </c>
      <c r="Q5525">
        <v>4</v>
      </c>
      <c r="R5525" t="s">
        <v>44766</v>
      </c>
      <c r="S5525" t="s">
        <v>44902</v>
      </c>
      <c r="T5525" t="s">
        <v>46519</v>
      </c>
      <c r="U5525" t="s">
        <v>51626</v>
      </c>
      <c r="V5525" t="s">
        <v>59706</v>
      </c>
      <c r="W5525" t="s">
        <v>42691</v>
      </c>
      <c r="X5525" t="s">
        <v>44767</v>
      </c>
    </row>
    <row r="5526" spans="1:24">
      <c r="A5526">
        <f>HYPERLINK("https://www.philgeps.gov.ph/GEPSNONPILOT/Tender/SplashBidNoticeAbstractUI.aspx?menuIndex=3&amp;refID=7145952&amp;Result=3","7145952")</f>
        <v>0</v>
      </c>
      <c r="B5526" t="s">
        <v>2013</v>
      </c>
      <c r="C5526" t="s">
        <v>8975</v>
      </c>
      <c r="D5526" t="s">
        <v>17971</v>
      </c>
      <c r="E5526" t="s">
        <v>22943</v>
      </c>
      <c r="F5526" t="s">
        <v>30900</v>
      </c>
      <c r="G5526" t="s">
        <v>30907</v>
      </c>
      <c r="H5526" t="s">
        <v>30915</v>
      </c>
      <c r="I5526" t="s">
        <v>30919</v>
      </c>
      <c r="J5526" t="s">
        <v>31241</v>
      </c>
      <c r="K5526" t="s">
        <v>40342</v>
      </c>
      <c r="M5526" t="s">
        <v>42708</v>
      </c>
      <c r="N5526" t="s">
        <v>44759</v>
      </c>
      <c r="O5526" t="s">
        <v>44760</v>
      </c>
      <c r="P5526">
        <v>0</v>
      </c>
      <c r="Q5526">
        <v>30</v>
      </c>
      <c r="R5526" t="s">
        <v>44766</v>
      </c>
      <c r="S5526" t="s">
        <v>44902</v>
      </c>
      <c r="T5526" t="s">
        <v>46411</v>
      </c>
      <c r="U5526" t="s">
        <v>51627</v>
      </c>
      <c r="V5526" t="s">
        <v>59719</v>
      </c>
      <c r="W5526" t="s">
        <v>42708</v>
      </c>
      <c r="X5526" t="s">
        <v>44767</v>
      </c>
    </row>
    <row r="5527" spans="1:24">
      <c r="A5527">
        <f>HYPERLINK("https://www.philgeps.gov.ph/GEPSNONPILOT/Tender/SplashBidNoticeAbstractUI.aspx?menuIndex=3&amp;refID=7146056&amp;Result=3","7146056")</f>
        <v>0</v>
      </c>
      <c r="B5527" t="s">
        <v>1973</v>
      </c>
      <c r="C5527" t="s">
        <v>8976</v>
      </c>
      <c r="D5527" t="s">
        <v>18012</v>
      </c>
      <c r="E5527" t="s">
        <v>22944</v>
      </c>
      <c r="F5527" t="s">
        <v>30900</v>
      </c>
      <c r="G5527" t="s">
        <v>30906</v>
      </c>
      <c r="H5527" t="s">
        <v>30916</v>
      </c>
      <c r="I5527" t="s">
        <v>4545</v>
      </c>
      <c r="J5527" t="s">
        <v>31043</v>
      </c>
      <c r="K5527" t="s">
        <v>40284</v>
      </c>
      <c r="M5527" t="s">
        <v>42661</v>
      </c>
      <c r="N5527" t="s">
        <v>44759</v>
      </c>
      <c r="O5527" t="s">
        <v>44760</v>
      </c>
      <c r="P5527">
        <v>0</v>
      </c>
      <c r="Q5527">
        <v>0</v>
      </c>
      <c r="R5527" t="s">
        <v>44766</v>
      </c>
      <c r="S5527" t="s">
        <v>44902</v>
      </c>
      <c r="T5527" t="s">
        <v>46607</v>
      </c>
      <c r="U5527" t="s">
        <v>51628</v>
      </c>
      <c r="W5527" t="s">
        <v>42661</v>
      </c>
      <c r="X5527" t="s">
        <v>44767</v>
      </c>
    </row>
    <row r="5528" spans="1:24">
      <c r="A5528">
        <f>HYPERLINK("https://www.philgeps.gov.ph/GEPSNONPILOT/Tender/SplashBidNoticeAbstractUI.aspx?menuIndex=3&amp;refID=7145910&amp;Result=3","7145910")</f>
        <v>0</v>
      </c>
      <c r="B5528" t="s">
        <v>411</v>
      </c>
      <c r="C5528" t="s">
        <v>8977</v>
      </c>
      <c r="D5528" t="s">
        <v>17959</v>
      </c>
      <c r="E5528" t="s">
        <v>22945</v>
      </c>
      <c r="F5528" t="s">
        <v>30900</v>
      </c>
      <c r="G5528" t="s">
        <v>30909</v>
      </c>
      <c r="H5528" t="s">
        <v>30916</v>
      </c>
      <c r="I5528" t="s">
        <v>4142</v>
      </c>
      <c r="J5528" t="s">
        <v>34683</v>
      </c>
      <c r="K5528" t="s">
        <v>40287</v>
      </c>
      <c r="M5528" t="s">
        <v>40967</v>
      </c>
      <c r="N5528" t="s">
        <v>44759</v>
      </c>
      <c r="O5528" t="s">
        <v>44760</v>
      </c>
      <c r="Q5528">
        <v>10</v>
      </c>
      <c r="R5528" t="s">
        <v>44766</v>
      </c>
      <c r="S5528" t="s">
        <v>44915</v>
      </c>
      <c r="T5528" t="s">
        <v>46424</v>
      </c>
      <c r="U5528" t="s">
        <v>51629</v>
      </c>
      <c r="V5528" t="s">
        <v>59720</v>
      </c>
      <c r="W5528" t="s">
        <v>40967</v>
      </c>
      <c r="X5528" t="s">
        <v>44767</v>
      </c>
    </row>
    <row r="5529" spans="1:24">
      <c r="A5529">
        <f>HYPERLINK("https://www.philgeps.gov.ph/GEPSNONPILOT/Tender/SplashBidNoticeAbstractUI.aspx?menuIndex=3&amp;refID=7145981&amp;Result=3","7145981")</f>
        <v>0</v>
      </c>
      <c r="B5529" t="s">
        <v>1285</v>
      </c>
      <c r="C5529" t="s">
        <v>8978</v>
      </c>
      <c r="D5529" t="s">
        <v>17958</v>
      </c>
      <c r="E5529" t="s">
        <v>22946</v>
      </c>
      <c r="F5529" t="s">
        <v>30900</v>
      </c>
      <c r="G5529" t="s">
        <v>30907</v>
      </c>
      <c r="H5529" t="s">
        <v>30916</v>
      </c>
      <c r="I5529" t="s">
        <v>6953</v>
      </c>
      <c r="J5529" t="s">
        <v>32019</v>
      </c>
      <c r="K5529" t="s">
        <v>40287</v>
      </c>
      <c r="M5529" t="s">
        <v>41902</v>
      </c>
      <c r="N5529" t="s">
        <v>44759</v>
      </c>
      <c r="O5529" t="s">
        <v>44760</v>
      </c>
      <c r="P5529">
        <v>0</v>
      </c>
      <c r="Q5529">
        <v>0</v>
      </c>
      <c r="R5529" t="s">
        <v>44766</v>
      </c>
      <c r="S5529" t="s">
        <v>44902</v>
      </c>
      <c r="T5529" t="s">
        <v>46421</v>
      </c>
      <c r="U5529" t="s">
        <v>51630</v>
      </c>
      <c r="V5529" t="s">
        <v>59721</v>
      </c>
      <c r="W5529" t="s">
        <v>41902</v>
      </c>
      <c r="X5529" t="s">
        <v>44767</v>
      </c>
    </row>
    <row r="5530" spans="1:24">
      <c r="A5530">
        <f>HYPERLINK("https://www.philgeps.gov.ph/GEPSNONPILOT/Tender/SplashBidNoticeAbstractUI.aspx?menuIndex=3&amp;refID=7146054&amp;Result=3","7146054")</f>
        <v>0</v>
      </c>
      <c r="B5530" t="s">
        <v>479</v>
      </c>
      <c r="C5530" t="s">
        <v>8979</v>
      </c>
      <c r="E5530" t="s">
        <v>22947</v>
      </c>
      <c r="F5530" t="s">
        <v>30900</v>
      </c>
      <c r="G5530" t="s">
        <v>30907</v>
      </c>
      <c r="H5530" t="s">
        <v>30915</v>
      </c>
      <c r="I5530" t="s">
        <v>30957</v>
      </c>
      <c r="J5530" t="s">
        <v>34684</v>
      </c>
      <c r="K5530" t="s">
        <v>40289</v>
      </c>
      <c r="M5530" t="s">
        <v>41037</v>
      </c>
      <c r="N5530" t="s">
        <v>44759</v>
      </c>
      <c r="O5530" t="s">
        <v>44760</v>
      </c>
      <c r="P5530">
        <v>0</v>
      </c>
      <c r="Q5530">
        <v>6</v>
      </c>
      <c r="R5530" t="s">
        <v>44766</v>
      </c>
      <c r="S5530" t="s">
        <v>44902</v>
      </c>
      <c r="T5530" t="s">
        <v>46702</v>
      </c>
      <c r="U5530" t="s">
        <v>51631</v>
      </c>
      <c r="W5530" t="s">
        <v>42652</v>
      </c>
      <c r="X5530" t="s">
        <v>44767</v>
      </c>
    </row>
    <row r="5531" spans="1:24">
      <c r="A5531">
        <f>HYPERLINK("https://www.philgeps.gov.ph/GEPSNONPILOT/Tender/SplashBidNoticeAbstractUI.aspx?menuIndex=3&amp;refID=7146048&amp;Result=3","7146048")</f>
        <v>0</v>
      </c>
      <c r="B5531" t="s">
        <v>167</v>
      </c>
      <c r="C5531" t="s">
        <v>8980</v>
      </c>
      <c r="D5531" t="s">
        <v>17990</v>
      </c>
      <c r="E5531" t="s">
        <v>22948</v>
      </c>
      <c r="F5531" t="s">
        <v>30900</v>
      </c>
      <c r="G5531" t="s">
        <v>30908</v>
      </c>
      <c r="H5531" t="s">
        <v>30916</v>
      </c>
      <c r="I5531" t="s">
        <v>9385</v>
      </c>
      <c r="J5531" t="s">
        <v>34685</v>
      </c>
      <c r="K5531" t="s">
        <v>40286</v>
      </c>
      <c r="M5531" t="s">
        <v>42701</v>
      </c>
      <c r="N5531" t="s">
        <v>44759</v>
      </c>
      <c r="O5531" t="s">
        <v>44760</v>
      </c>
      <c r="Q5531">
        <v>5</v>
      </c>
      <c r="R5531" t="s">
        <v>44766</v>
      </c>
      <c r="S5531" t="s">
        <v>44916</v>
      </c>
      <c r="T5531" t="s">
        <v>46623</v>
      </c>
      <c r="U5531" t="s">
        <v>51632</v>
      </c>
      <c r="W5531" t="s">
        <v>42701</v>
      </c>
      <c r="X5531" t="s">
        <v>44767</v>
      </c>
    </row>
    <row r="5532" spans="1:24">
      <c r="A5532">
        <f>HYPERLINK("https://www.philgeps.gov.ph/GEPSNONPILOT/Tender/SplashBidNoticeAbstractUI.aspx?menuIndex=3&amp;refID=7146049&amp;Result=3","7146049")</f>
        <v>0</v>
      </c>
      <c r="B5532" t="s">
        <v>1321</v>
      </c>
      <c r="C5532" t="s">
        <v>8981</v>
      </c>
      <c r="D5532" t="s">
        <v>17976</v>
      </c>
      <c r="E5532" t="s">
        <v>22949</v>
      </c>
      <c r="F5532" t="s">
        <v>30900</v>
      </c>
      <c r="G5532" t="s">
        <v>30907</v>
      </c>
      <c r="H5532" t="s">
        <v>30916</v>
      </c>
      <c r="I5532" t="s">
        <v>30928</v>
      </c>
      <c r="J5532" t="s">
        <v>34329</v>
      </c>
      <c r="K5532" t="s">
        <v>40286</v>
      </c>
      <c r="M5532" t="s">
        <v>41940</v>
      </c>
      <c r="N5532" t="s">
        <v>44759</v>
      </c>
      <c r="O5532" t="s">
        <v>44760</v>
      </c>
      <c r="P5532">
        <v>0</v>
      </c>
      <c r="Q5532">
        <v>2</v>
      </c>
      <c r="R5532" t="s">
        <v>44766</v>
      </c>
      <c r="S5532" t="s">
        <v>44902</v>
      </c>
      <c r="T5532" t="s">
        <v>46497</v>
      </c>
      <c r="U5532" t="s">
        <v>51633</v>
      </c>
      <c r="W5532" t="s">
        <v>41940</v>
      </c>
      <c r="X5532" t="s">
        <v>44767</v>
      </c>
    </row>
    <row r="5533" spans="1:24">
      <c r="A5533">
        <f>HYPERLINK("https://www.philgeps.gov.ph/GEPSNONPILOT/Tender/SplashBidNoticeAbstractUI.aspx?menuIndex=3&amp;refID=7146043&amp;Result=3","7146043")</f>
        <v>0</v>
      </c>
      <c r="B5533" t="s">
        <v>313</v>
      </c>
      <c r="C5533" t="s">
        <v>8982</v>
      </c>
      <c r="E5533" t="s">
        <v>22950</v>
      </c>
      <c r="F5533" t="s">
        <v>30900</v>
      </c>
      <c r="G5533" t="s">
        <v>30908</v>
      </c>
      <c r="H5533" t="s">
        <v>30916</v>
      </c>
      <c r="I5533" t="s">
        <v>30947</v>
      </c>
      <c r="J5533" t="s">
        <v>34686</v>
      </c>
      <c r="K5533" t="s">
        <v>40289</v>
      </c>
      <c r="M5533" t="s">
        <v>40909</v>
      </c>
      <c r="N5533" t="s">
        <v>44759</v>
      </c>
      <c r="O5533" t="s">
        <v>44760</v>
      </c>
      <c r="P5533">
        <v>0</v>
      </c>
      <c r="Q5533">
        <v>2</v>
      </c>
      <c r="R5533" t="s">
        <v>44766</v>
      </c>
      <c r="S5533" t="s">
        <v>44902</v>
      </c>
      <c r="T5533" t="s">
        <v>46403</v>
      </c>
      <c r="U5533" t="s">
        <v>51634</v>
      </c>
      <c r="W5533" t="s">
        <v>40909</v>
      </c>
      <c r="X5533" t="s">
        <v>44767</v>
      </c>
    </row>
    <row r="5534" spans="1:24">
      <c r="A5534">
        <f>HYPERLINK("https://www.philgeps.gov.ph/GEPSNONPILOT/Tender/SplashBidNoticeAbstractUI.aspx?menuIndex=3&amp;refID=7146038&amp;Result=3","7146038")</f>
        <v>0</v>
      </c>
      <c r="B5534" t="s">
        <v>263</v>
      </c>
      <c r="C5534" t="s">
        <v>8983</v>
      </c>
      <c r="D5534" t="s">
        <v>17998</v>
      </c>
      <c r="E5534" t="s">
        <v>22951</v>
      </c>
      <c r="F5534" t="s">
        <v>30899</v>
      </c>
      <c r="G5534" t="s">
        <v>30908</v>
      </c>
      <c r="H5534" t="s">
        <v>30916</v>
      </c>
      <c r="I5534" t="s">
        <v>4142</v>
      </c>
      <c r="J5534" t="s">
        <v>31271</v>
      </c>
      <c r="K5534" t="s">
        <v>40287</v>
      </c>
      <c r="M5534" t="s">
        <v>40810</v>
      </c>
      <c r="N5534" t="s">
        <v>44759</v>
      </c>
      <c r="O5534" t="s">
        <v>44760</v>
      </c>
      <c r="P5534">
        <v>0</v>
      </c>
      <c r="Q5534">
        <v>0</v>
      </c>
      <c r="R5534" t="s">
        <v>44766</v>
      </c>
      <c r="S5534" t="s">
        <v>44902</v>
      </c>
      <c r="T5534" t="s">
        <v>46369</v>
      </c>
      <c r="U5534" t="s">
        <v>47358</v>
      </c>
      <c r="V5534" t="s">
        <v>59159</v>
      </c>
      <c r="W5534" t="s">
        <v>60822</v>
      </c>
      <c r="X5534" t="s">
        <v>44767</v>
      </c>
    </row>
    <row r="5535" spans="1:24">
      <c r="A5535">
        <f>HYPERLINK("https://www.philgeps.gov.ph/GEPSNONPILOT/Tender/SplashBidNoticeAbstractUI.aspx?menuIndex=3&amp;refID=7146031&amp;Result=3","7146031")</f>
        <v>0</v>
      </c>
      <c r="B5535" t="s">
        <v>1724</v>
      </c>
      <c r="C5535" t="s">
        <v>8984</v>
      </c>
      <c r="D5535" t="s">
        <v>18016</v>
      </c>
      <c r="E5535" t="s">
        <v>22952</v>
      </c>
      <c r="F5535" t="s">
        <v>30900</v>
      </c>
      <c r="G5535" t="s">
        <v>30907</v>
      </c>
      <c r="H5535" t="s">
        <v>30916</v>
      </c>
      <c r="I5535" t="s">
        <v>4017</v>
      </c>
      <c r="J5535" t="s">
        <v>34687</v>
      </c>
      <c r="K5535" t="s">
        <v>40284</v>
      </c>
      <c r="M5535" t="s">
        <v>42697</v>
      </c>
      <c r="N5535" t="s">
        <v>44759</v>
      </c>
      <c r="O5535" t="s">
        <v>44760</v>
      </c>
      <c r="P5535">
        <v>0</v>
      </c>
      <c r="Q5535">
        <v>9</v>
      </c>
      <c r="R5535" t="s">
        <v>44766</v>
      </c>
      <c r="S5535" t="s">
        <v>44902</v>
      </c>
      <c r="T5535" t="s">
        <v>46377</v>
      </c>
      <c r="U5535" t="s">
        <v>51585</v>
      </c>
      <c r="V5535" t="s">
        <v>59709</v>
      </c>
      <c r="W5535" t="s">
        <v>60878</v>
      </c>
      <c r="X5535" t="s">
        <v>44767</v>
      </c>
    </row>
    <row r="5536" spans="1:24">
      <c r="A5536">
        <f>HYPERLINK("https://www.philgeps.gov.ph/GEPSNONPILOT/Tender/SplashBidNoticeAbstractUI.aspx?menuIndex=3&amp;refID=7146030&amp;Result=3","7146030")</f>
        <v>0</v>
      </c>
      <c r="B5536" t="s">
        <v>629</v>
      </c>
      <c r="C5536" t="s">
        <v>8985</v>
      </c>
      <c r="D5536" t="s">
        <v>17992</v>
      </c>
      <c r="E5536" t="s">
        <v>22953</v>
      </c>
      <c r="F5536" t="s">
        <v>30900</v>
      </c>
      <c r="G5536" t="s">
        <v>30910</v>
      </c>
      <c r="H5536" t="s">
        <v>30916</v>
      </c>
      <c r="I5536" t="s">
        <v>4142</v>
      </c>
      <c r="J5536" t="s">
        <v>34322</v>
      </c>
      <c r="K5536" t="s">
        <v>40283</v>
      </c>
      <c r="M5536" t="s">
        <v>41195</v>
      </c>
      <c r="N5536" t="s">
        <v>44759</v>
      </c>
      <c r="O5536" t="s">
        <v>44760</v>
      </c>
      <c r="P5536">
        <v>0</v>
      </c>
      <c r="Q5536">
        <v>1</v>
      </c>
      <c r="R5536" t="s">
        <v>44766</v>
      </c>
      <c r="S5536" t="s">
        <v>44902</v>
      </c>
      <c r="T5536" t="s">
        <v>46403</v>
      </c>
      <c r="U5536" t="s">
        <v>51635</v>
      </c>
      <c r="V5536" t="s">
        <v>59226</v>
      </c>
      <c r="W5536" t="s">
        <v>41195</v>
      </c>
      <c r="X5536" t="s">
        <v>44767</v>
      </c>
    </row>
    <row r="5537" spans="1:24">
      <c r="A5537">
        <f>HYPERLINK("https://www.philgeps.gov.ph/GEPSNONPILOT/Tender/SplashBidNoticeAbstractUI.aspx?menuIndex=3&amp;refID=7146055&amp;Result=3","7146055")</f>
        <v>0</v>
      </c>
      <c r="B5537" t="s">
        <v>1541</v>
      </c>
      <c r="C5537" t="s">
        <v>8986</v>
      </c>
      <c r="D5537" t="s">
        <v>17999</v>
      </c>
      <c r="E5537" t="s">
        <v>22954</v>
      </c>
      <c r="F5537" t="s">
        <v>30900</v>
      </c>
      <c r="G5537" t="s">
        <v>30908</v>
      </c>
      <c r="H5537" t="s">
        <v>30916</v>
      </c>
      <c r="I5537" t="s">
        <v>4142</v>
      </c>
      <c r="J5537" t="s">
        <v>34688</v>
      </c>
      <c r="K5537" t="s">
        <v>40286</v>
      </c>
      <c r="M5537" t="s">
        <v>42184</v>
      </c>
      <c r="N5537" t="s">
        <v>44759</v>
      </c>
      <c r="O5537" t="s">
        <v>44760</v>
      </c>
      <c r="P5537">
        <v>0</v>
      </c>
      <c r="Q5537">
        <v>4</v>
      </c>
      <c r="R5537" t="s">
        <v>44766</v>
      </c>
      <c r="S5537" t="s">
        <v>44902</v>
      </c>
      <c r="T5537" t="s">
        <v>46704</v>
      </c>
      <c r="U5537" t="s">
        <v>51636</v>
      </c>
      <c r="W5537" t="s">
        <v>42184</v>
      </c>
      <c r="X5537" t="s">
        <v>44767</v>
      </c>
    </row>
    <row r="5538" spans="1:24">
      <c r="A5538">
        <f>HYPERLINK("https://www.philgeps.gov.ph/GEPSNONPILOT/Tender/SplashBidNoticeAbstractUI.aspx?menuIndex=3&amp;refID=7146050&amp;Result=3","7146050")</f>
        <v>0</v>
      </c>
      <c r="B5538" t="s">
        <v>2016</v>
      </c>
      <c r="C5538" t="s">
        <v>8987</v>
      </c>
      <c r="E5538" t="s">
        <v>22955</v>
      </c>
      <c r="F5538" t="s">
        <v>30900</v>
      </c>
      <c r="G5538" t="s">
        <v>30911</v>
      </c>
      <c r="H5538" t="s">
        <v>7411</v>
      </c>
      <c r="I5538" t="s">
        <v>7411</v>
      </c>
      <c r="J5538" t="s">
        <v>31552</v>
      </c>
      <c r="K5538" t="s">
        <v>40324</v>
      </c>
      <c r="M5538" t="s">
        <v>42712</v>
      </c>
      <c r="N5538" t="s">
        <v>44759</v>
      </c>
      <c r="O5538" t="s">
        <v>44760</v>
      </c>
      <c r="P5538">
        <v>0</v>
      </c>
      <c r="Q5538">
        <v>6</v>
      </c>
      <c r="R5538" t="s">
        <v>44766</v>
      </c>
      <c r="S5538" t="s">
        <v>44902</v>
      </c>
      <c r="T5538" t="s">
        <v>46538</v>
      </c>
      <c r="U5538" t="s">
        <v>51637</v>
      </c>
      <c r="W5538" t="s">
        <v>42712</v>
      </c>
      <c r="X5538" t="s">
        <v>44767</v>
      </c>
    </row>
    <row r="5539" spans="1:24">
      <c r="A5539">
        <f>HYPERLINK("https://www.philgeps.gov.ph/GEPSNONPILOT/Tender/SplashBidNoticeAbstractUI.aspx?menuIndex=3&amp;refID=7146023&amp;Result=3","7146023")</f>
        <v>0</v>
      </c>
      <c r="B5539" t="s">
        <v>2017</v>
      </c>
      <c r="C5539" t="s">
        <v>8988</v>
      </c>
      <c r="D5539" t="s">
        <v>18003</v>
      </c>
      <c r="E5539" t="s">
        <v>22956</v>
      </c>
      <c r="F5539" t="s">
        <v>30900</v>
      </c>
      <c r="G5539" t="s">
        <v>30907</v>
      </c>
      <c r="H5539" t="s">
        <v>30916</v>
      </c>
      <c r="I5539" t="s">
        <v>30939</v>
      </c>
      <c r="J5539" t="s">
        <v>34689</v>
      </c>
      <c r="K5539" t="s">
        <v>40289</v>
      </c>
      <c r="M5539" t="s">
        <v>42713</v>
      </c>
      <c r="N5539" t="s">
        <v>44759</v>
      </c>
      <c r="O5539" t="s">
        <v>44760</v>
      </c>
      <c r="P5539">
        <v>0</v>
      </c>
      <c r="Q5539">
        <v>0</v>
      </c>
      <c r="R5539" t="s">
        <v>44766</v>
      </c>
      <c r="S5539" t="s">
        <v>44902</v>
      </c>
      <c r="T5539" t="s">
        <v>46421</v>
      </c>
      <c r="U5539" t="s">
        <v>51638</v>
      </c>
      <c r="W5539" t="s">
        <v>42713</v>
      </c>
      <c r="X5539" t="s">
        <v>44767</v>
      </c>
    </row>
    <row r="5540" spans="1:24">
      <c r="A5540">
        <f>HYPERLINK("https://www.philgeps.gov.ph/GEPSNONPILOT/Tender/SplashBidNoticeAbstractUI.aspx?menuIndex=3&amp;refID=7146040&amp;Result=3","7146040")</f>
        <v>0</v>
      </c>
      <c r="B5540" t="s">
        <v>400</v>
      </c>
      <c r="C5540" t="s">
        <v>8989</v>
      </c>
      <c r="D5540" t="s">
        <v>17971</v>
      </c>
      <c r="E5540" t="s">
        <v>22957</v>
      </c>
      <c r="F5540" t="s">
        <v>30900</v>
      </c>
      <c r="G5540" t="s">
        <v>30908</v>
      </c>
      <c r="H5540" t="s">
        <v>30916</v>
      </c>
      <c r="I5540" t="s">
        <v>4050</v>
      </c>
      <c r="J5540" t="s">
        <v>32298</v>
      </c>
      <c r="K5540" t="s">
        <v>40289</v>
      </c>
      <c r="M5540" t="s">
        <v>40955</v>
      </c>
      <c r="N5540" t="s">
        <v>44759</v>
      </c>
      <c r="O5540" t="s">
        <v>44760</v>
      </c>
      <c r="P5540">
        <v>0</v>
      </c>
      <c r="Q5540">
        <v>0</v>
      </c>
      <c r="R5540" t="s">
        <v>44766</v>
      </c>
      <c r="S5540" t="s">
        <v>44902</v>
      </c>
      <c r="T5540" t="s">
        <v>46391</v>
      </c>
      <c r="U5540" t="s">
        <v>51639</v>
      </c>
      <c r="W5540" t="s">
        <v>40955</v>
      </c>
      <c r="X5540" t="s">
        <v>44767</v>
      </c>
    </row>
    <row r="5541" spans="1:24">
      <c r="A5541">
        <f>HYPERLINK("https://www.philgeps.gov.ph/GEPSNONPILOT/Tender/SplashBidNoticeAbstractUI.aspx?menuIndex=3&amp;refID=7146020&amp;Result=3","7146020")</f>
        <v>0</v>
      </c>
      <c r="B5541" t="s">
        <v>1574</v>
      </c>
      <c r="C5541" t="s">
        <v>8990</v>
      </c>
      <c r="D5541" t="s">
        <v>18019</v>
      </c>
      <c r="E5541" t="s">
        <v>22958</v>
      </c>
      <c r="F5541" t="s">
        <v>30900</v>
      </c>
      <c r="G5541" t="s">
        <v>30907</v>
      </c>
      <c r="H5541" t="s">
        <v>30916</v>
      </c>
      <c r="I5541" t="s">
        <v>30947</v>
      </c>
      <c r="J5541" t="s">
        <v>34690</v>
      </c>
      <c r="K5541" t="s">
        <v>40286</v>
      </c>
      <c r="M5541" t="s">
        <v>42222</v>
      </c>
      <c r="N5541" t="s">
        <v>44759</v>
      </c>
      <c r="O5541" t="s">
        <v>44760</v>
      </c>
      <c r="P5541">
        <v>0</v>
      </c>
      <c r="Q5541">
        <v>1</v>
      </c>
      <c r="R5541" t="s">
        <v>44766</v>
      </c>
      <c r="S5541" t="s">
        <v>44902</v>
      </c>
      <c r="T5541" t="s">
        <v>46480</v>
      </c>
      <c r="U5541" t="s">
        <v>51640</v>
      </c>
      <c r="W5541" t="s">
        <v>42222</v>
      </c>
      <c r="X5541" t="s">
        <v>44767</v>
      </c>
    </row>
    <row r="5542" spans="1:24">
      <c r="A5542">
        <f>HYPERLINK("https://www.philgeps.gov.ph/GEPSNONPILOT/Tender/SplashBidNoticeAbstractUI.aspx?menuIndex=3&amp;refID=7146019&amp;Result=3","7146019")</f>
        <v>0</v>
      </c>
      <c r="B5542" t="s">
        <v>44</v>
      </c>
      <c r="C5542" t="s">
        <v>8991</v>
      </c>
      <c r="D5542" t="s">
        <v>17969</v>
      </c>
      <c r="E5542" t="s">
        <v>22959</v>
      </c>
      <c r="F5542" t="s">
        <v>30900</v>
      </c>
      <c r="G5542" t="s">
        <v>30908</v>
      </c>
      <c r="H5542" t="s">
        <v>30916</v>
      </c>
      <c r="I5542" t="s">
        <v>30951</v>
      </c>
      <c r="J5542" t="s">
        <v>31284</v>
      </c>
      <c r="K5542" t="s">
        <v>40289</v>
      </c>
      <c r="M5542" t="s">
        <v>41947</v>
      </c>
      <c r="N5542" t="s">
        <v>44759</v>
      </c>
      <c r="O5542" t="s">
        <v>44760</v>
      </c>
      <c r="P5542">
        <v>0</v>
      </c>
      <c r="Q5542">
        <v>1</v>
      </c>
      <c r="R5542" t="s">
        <v>44766</v>
      </c>
      <c r="S5542" t="s">
        <v>44902</v>
      </c>
      <c r="T5542" t="s">
        <v>46548</v>
      </c>
      <c r="U5542" t="s">
        <v>51641</v>
      </c>
      <c r="W5542" t="s">
        <v>41947</v>
      </c>
      <c r="X5542" t="s">
        <v>44767</v>
      </c>
    </row>
    <row r="5543" spans="1:24">
      <c r="A5543">
        <f>HYPERLINK("https://www.philgeps.gov.ph/GEPSNONPILOT/Tender/SplashBidNoticeAbstractUI.aspx?menuIndex=3&amp;refID=7146018&amp;Result=3","7146018")</f>
        <v>0</v>
      </c>
      <c r="B5543" t="s">
        <v>1973</v>
      </c>
      <c r="C5543" t="s">
        <v>8992</v>
      </c>
      <c r="D5543" t="s">
        <v>18012</v>
      </c>
      <c r="E5543" t="s">
        <v>22960</v>
      </c>
      <c r="F5543" t="s">
        <v>30900</v>
      </c>
      <c r="G5543" t="s">
        <v>30906</v>
      </c>
      <c r="H5543" t="s">
        <v>30916</v>
      </c>
      <c r="I5543" t="s">
        <v>4142</v>
      </c>
      <c r="J5543" t="s">
        <v>34691</v>
      </c>
      <c r="K5543" t="s">
        <v>40284</v>
      </c>
      <c r="M5543" t="s">
        <v>42661</v>
      </c>
      <c r="N5543" t="s">
        <v>44759</v>
      </c>
      <c r="O5543" t="s">
        <v>44760</v>
      </c>
      <c r="P5543">
        <v>0</v>
      </c>
      <c r="Q5543">
        <v>0</v>
      </c>
      <c r="R5543" t="s">
        <v>44766</v>
      </c>
      <c r="S5543" t="s">
        <v>44902</v>
      </c>
      <c r="T5543" t="s">
        <v>46607</v>
      </c>
      <c r="U5543" t="s">
        <v>51642</v>
      </c>
      <c r="W5543" t="s">
        <v>42661</v>
      </c>
      <c r="X5543" t="s">
        <v>44767</v>
      </c>
    </row>
    <row r="5544" spans="1:24">
      <c r="A5544">
        <f>HYPERLINK("https://www.philgeps.gov.ph/GEPSNONPILOT/Tender/SplashBidNoticeAbstractUI.aspx?menuIndex=3&amp;refID=7146026&amp;Result=3","7146026")</f>
        <v>0</v>
      </c>
      <c r="B5544" t="s">
        <v>2018</v>
      </c>
      <c r="C5544" t="s">
        <v>8993</v>
      </c>
      <c r="D5544" t="s">
        <v>17951</v>
      </c>
      <c r="E5544" t="s">
        <v>20646</v>
      </c>
      <c r="F5544" t="s">
        <v>30900</v>
      </c>
      <c r="G5544" t="s">
        <v>30907</v>
      </c>
      <c r="H5544" t="s">
        <v>30916</v>
      </c>
      <c r="I5544" t="s">
        <v>4142</v>
      </c>
      <c r="J5544" t="s">
        <v>31256</v>
      </c>
      <c r="K5544" t="s">
        <v>40284</v>
      </c>
      <c r="M5544" t="s">
        <v>42714</v>
      </c>
      <c r="N5544" t="s">
        <v>44759</v>
      </c>
      <c r="O5544" t="s">
        <v>44760</v>
      </c>
      <c r="P5544">
        <v>0</v>
      </c>
      <c r="Q5544">
        <v>1</v>
      </c>
      <c r="R5544" t="s">
        <v>44766</v>
      </c>
      <c r="S5544" t="s">
        <v>44902</v>
      </c>
      <c r="T5544" t="s">
        <v>46425</v>
      </c>
      <c r="U5544" t="s">
        <v>51643</v>
      </c>
      <c r="W5544" t="s">
        <v>42714</v>
      </c>
      <c r="X5544" t="s">
        <v>44767</v>
      </c>
    </row>
    <row r="5545" spans="1:24">
      <c r="A5545">
        <f>HYPERLINK("https://www.philgeps.gov.ph/GEPSNONPILOT/Tender/SplashBidNoticeAbstractUI.aspx?menuIndex=3&amp;refID=7146012&amp;Result=3","7146012")</f>
        <v>0</v>
      </c>
      <c r="B5545" t="s">
        <v>629</v>
      </c>
      <c r="C5545" t="s">
        <v>8994</v>
      </c>
      <c r="D5545" t="s">
        <v>17992</v>
      </c>
      <c r="E5545" t="s">
        <v>22961</v>
      </c>
      <c r="F5545" t="s">
        <v>30900</v>
      </c>
      <c r="G5545" t="s">
        <v>30910</v>
      </c>
      <c r="H5545" t="s">
        <v>30916</v>
      </c>
      <c r="I5545" t="s">
        <v>4142</v>
      </c>
      <c r="J5545" t="s">
        <v>34692</v>
      </c>
      <c r="K5545" t="s">
        <v>40283</v>
      </c>
      <c r="M5545" t="s">
        <v>41195</v>
      </c>
      <c r="N5545" t="s">
        <v>44759</v>
      </c>
      <c r="O5545" t="s">
        <v>44760</v>
      </c>
      <c r="P5545">
        <v>0</v>
      </c>
      <c r="Q5545">
        <v>4</v>
      </c>
      <c r="R5545" t="s">
        <v>44766</v>
      </c>
      <c r="S5545" t="s">
        <v>44902</v>
      </c>
      <c r="T5545" t="s">
        <v>46403</v>
      </c>
      <c r="U5545" t="s">
        <v>51644</v>
      </c>
      <c r="V5545" t="s">
        <v>59226</v>
      </c>
      <c r="W5545" t="s">
        <v>41195</v>
      </c>
      <c r="X5545" t="s">
        <v>44767</v>
      </c>
    </row>
    <row r="5546" spans="1:24">
      <c r="A5546">
        <f>HYPERLINK("https://www.philgeps.gov.ph/GEPSNONPILOT/Tender/SplashBidNoticeAbstractUI.aspx?menuIndex=3&amp;refID=7146114&amp;Result=3","7146114")</f>
        <v>0</v>
      </c>
      <c r="B5546" t="s">
        <v>1901</v>
      </c>
      <c r="C5546" t="s">
        <v>8995</v>
      </c>
      <c r="D5546" t="s">
        <v>17984</v>
      </c>
      <c r="E5546" t="s">
        <v>18787</v>
      </c>
      <c r="F5546" t="s">
        <v>30900</v>
      </c>
      <c r="G5546" t="s">
        <v>30907</v>
      </c>
      <c r="H5546" t="s">
        <v>30915</v>
      </c>
      <c r="I5546" t="s">
        <v>30919</v>
      </c>
      <c r="J5546" t="s">
        <v>34693</v>
      </c>
      <c r="K5546" t="s">
        <v>40308</v>
      </c>
      <c r="M5546" t="s">
        <v>42578</v>
      </c>
      <c r="N5546" t="s">
        <v>44759</v>
      </c>
      <c r="O5546" t="s">
        <v>44760</v>
      </c>
      <c r="P5546">
        <v>0</v>
      </c>
      <c r="Q5546">
        <v>0</v>
      </c>
      <c r="R5546" t="s">
        <v>44766</v>
      </c>
      <c r="S5546" t="s">
        <v>44902</v>
      </c>
      <c r="T5546" t="s">
        <v>46450</v>
      </c>
      <c r="U5546" t="s">
        <v>51645</v>
      </c>
      <c r="W5546" t="s">
        <v>42578</v>
      </c>
      <c r="X5546" t="s">
        <v>44767</v>
      </c>
    </row>
    <row r="5547" spans="1:24">
      <c r="A5547">
        <f>HYPERLINK("https://www.philgeps.gov.ph/GEPSNONPILOT/Tender/SplashBidNoticeAbstractUI.aspx?menuIndex=3&amp;refID=7146102&amp;Result=3","7146102")</f>
        <v>0</v>
      </c>
      <c r="B5547" t="s">
        <v>1558</v>
      </c>
      <c r="C5547" t="s">
        <v>8996</v>
      </c>
      <c r="D5547" t="s">
        <v>17996</v>
      </c>
      <c r="E5547" t="s">
        <v>22962</v>
      </c>
      <c r="F5547" t="s">
        <v>30900</v>
      </c>
      <c r="G5547" t="s">
        <v>30907</v>
      </c>
      <c r="H5547" t="s">
        <v>30916</v>
      </c>
      <c r="I5547" t="s">
        <v>8123</v>
      </c>
      <c r="J5547" t="s">
        <v>34694</v>
      </c>
      <c r="K5547" t="s">
        <v>40288</v>
      </c>
      <c r="M5547" t="s">
        <v>42204</v>
      </c>
      <c r="N5547" t="s">
        <v>44759</v>
      </c>
      <c r="O5547" t="s">
        <v>44760</v>
      </c>
      <c r="P5547">
        <v>0</v>
      </c>
      <c r="Q5547">
        <v>0</v>
      </c>
      <c r="R5547" t="s">
        <v>44766</v>
      </c>
      <c r="S5547" t="s">
        <v>44902</v>
      </c>
      <c r="T5547" t="s">
        <v>46353</v>
      </c>
      <c r="U5547" t="s">
        <v>51646</v>
      </c>
      <c r="V5547" t="s">
        <v>59722</v>
      </c>
      <c r="W5547" t="s">
        <v>42204</v>
      </c>
      <c r="X5547" t="s">
        <v>44767</v>
      </c>
    </row>
    <row r="5548" spans="1:24">
      <c r="A5548">
        <f>HYPERLINK("https://www.philgeps.gov.ph/GEPSNONPILOT/Tender/SplashBidNoticeAbstractUI.aspx?menuIndex=3&amp;refID=7146014&amp;Result=3","7146014")</f>
        <v>0</v>
      </c>
      <c r="B5548" t="s">
        <v>2019</v>
      </c>
      <c r="C5548" t="s">
        <v>8997</v>
      </c>
      <c r="D5548" t="s">
        <v>17959</v>
      </c>
      <c r="E5548" t="s">
        <v>22963</v>
      </c>
      <c r="F5548" t="s">
        <v>30900</v>
      </c>
      <c r="G5548" t="s">
        <v>30908</v>
      </c>
      <c r="H5548" t="s">
        <v>30916</v>
      </c>
      <c r="I5548" t="s">
        <v>10961</v>
      </c>
      <c r="J5548" t="s">
        <v>34695</v>
      </c>
      <c r="K5548" t="s">
        <v>40287</v>
      </c>
      <c r="M5548" t="s">
        <v>42715</v>
      </c>
      <c r="N5548" t="s">
        <v>44759</v>
      </c>
      <c r="O5548" t="s">
        <v>44760</v>
      </c>
      <c r="P5548">
        <v>0</v>
      </c>
      <c r="Q5548">
        <v>7</v>
      </c>
      <c r="R5548" t="s">
        <v>44766</v>
      </c>
      <c r="S5548" t="s">
        <v>44902</v>
      </c>
      <c r="T5548" t="s">
        <v>46607</v>
      </c>
      <c r="U5548" t="s">
        <v>51647</v>
      </c>
      <c r="W5548" t="s">
        <v>42715</v>
      </c>
      <c r="X5548" t="s">
        <v>44767</v>
      </c>
    </row>
    <row r="5549" spans="1:24">
      <c r="A5549">
        <f>HYPERLINK("https://www.philgeps.gov.ph/GEPSNONPILOT/Tender/SplashBidNoticeAbstractUI.aspx?menuIndex=3&amp;refID=7146097&amp;Result=3","7146097")</f>
        <v>0</v>
      </c>
      <c r="B5549" t="s">
        <v>1973</v>
      </c>
      <c r="C5549" t="s">
        <v>8998</v>
      </c>
      <c r="D5549" t="s">
        <v>18012</v>
      </c>
      <c r="E5549" t="s">
        <v>22964</v>
      </c>
      <c r="F5549" t="s">
        <v>30900</v>
      </c>
      <c r="G5549" t="s">
        <v>30906</v>
      </c>
      <c r="H5549" t="s">
        <v>30916</v>
      </c>
      <c r="I5549" t="s">
        <v>4545</v>
      </c>
      <c r="J5549" t="s">
        <v>31863</v>
      </c>
      <c r="K5549" t="s">
        <v>40284</v>
      </c>
      <c r="M5549" t="s">
        <v>42661</v>
      </c>
      <c r="N5549" t="s">
        <v>44759</v>
      </c>
      <c r="O5549" t="s">
        <v>44760</v>
      </c>
      <c r="P5549">
        <v>0</v>
      </c>
      <c r="Q5549">
        <v>0</v>
      </c>
      <c r="R5549" t="s">
        <v>44766</v>
      </c>
      <c r="S5549" t="s">
        <v>44902</v>
      </c>
      <c r="T5549" t="s">
        <v>46607</v>
      </c>
      <c r="U5549" t="s">
        <v>51648</v>
      </c>
      <c r="W5549" t="s">
        <v>42661</v>
      </c>
      <c r="X5549" t="s">
        <v>44767</v>
      </c>
    </row>
    <row r="5550" spans="1:24">
      <c r="A5550">
        <f>HYPERLINK("https://www.philgeps.gov.ph/GEPSNONPILOT/Tender/SplashBidNoticeAbstractUI.aspx?menuIndex=3&amp;refID=7146095&amp;Result=3","7146095")</f>
        <v>0</v>
      </c>
      <c r="B5550" t="s">
        <v>1541</v>
      </c>
      <c r="C5550" t="s">
        <v>8999</v>
      </c>
      <c r="D5550" t="s">
        <v>17999</v>
      </c>
      <c r="E5550" t="s">
        <v>22965</v>
      </c>
      <c r="F5550" t="s">
        <v>30900</v>
      </c>
      <c r="G5550" t="s">
        <v>30908</v>
      </c>
      <c r="H5550" t="s">
        <v>30916</v>
      </c>
      <c r="I5550" t="s">
        <v>5830</v>
      </c>
      <c r="J5550" t="s">
        <v>31049</v>
      </c>
      <c r="K5550" t="s">
        <v>40286</v>
      </c>
      <c r="M5550" t="s">
        <v>42184</v>
      </c>
      <c r="N5550" t="s">
        <v>44759</v>
      </c>
      <c r="O5550" t="s">
        <v>44760</v>
      </c>
      <c r="P5550">
        <v>0</v>
      </c>
      <c r="Q5550">
        <v>13</v>
      </c>
      <c r="R5550" t="s">
        <v>44766</v>
      </c>
      <c r="S5550" t="s">
        <v>44902</v>
      </c>
      <c r="T5550" t="s">
        <v>46704</v>
      </c>
      <c r="U5550" t="s">
        <v>51649</v>
      </c>
      <c r="W5550" t="s">
        <v>42184</v>
      </c>
      <c r="X5550" t="s">
        <v>44767</v>
      </c>
    </row>
    <row r="5551" spans="1:24">
      <c r="A5551">
        <f>HYPERLINK("https://www.philgeps.gov.ph/GEPSNONPILOT/Tender/SplashBidNoticeAbstractUI.aspx?menuIndex=3&amp;refID=7146025&amp;Result=3","7146025")</f>
        <v>0</v>
      </c>
      <c r="B5551" t="s">
        <v>1886</v>
      </c>
      <c r="C5551" t="s">
        <v>9000</v>
      </c>
      <c r="D5551" t="s">
        <v>17985</v>
      </c>
      <c r="E5551" t="s">
        <v>22966</v>
      </c>
      <c r="F5551" t="s">
        <v>30900</v>
      </c>
      <c r="G5551" t="s">
        <v>30913</v>
      </c>
      <c r="H5551" t="s">
        <v>30915</v>
      </c>
      <c r="I5551" t="s">
        <v>30919</v>
      </c>
      <c r="J5551" t="s">
        <v>32558</v>
      </c>
      <c r="K5551" t="s">
        <v>40372</v>
      </c>
      <c r="M5551" t="s">
        <v>42561</v>
      </c>
      <c r="N5551" t="s">
        <v>44759</v>
      </c>
      <c r="O5551" t="s">
        <v>44760</v>
      </c>
      <c r="P5551">
        <v>0</v>
      </c>
      <c r="Q5551">
        <v>2</v>
      </c>
      <c r="R5551" t="s">
        <v>44766</v>
      </c>
      <c r="S5551" t="s">
        <v>44902</v>
      </c>
      <c r="T5551" t="s">
        <v>46495</v>
      </c>
      <c r="U5551" t="s">
        <v>48623</v>
      </c>
      <c r="W5551" t="s">
        <v>42561</v>
      </c>
      <c r="X5551" t="s">
        <v>44767</v>
      </c>
    </row>
    <row r="5552" spans="1:24">
      <c r="A5552">
        <f>HYPERLINK("https://www.philgeps.gov.ph/GEPSNONPILOT/Tender/SplashBidNoticeAbstractUI.aspx?menuIndex=3&amp;refID=7146092&amp;Result=3","7146092")</f>
        <v>0</v>
      </c>
      <c r="B5552" t="s">
        <v>729</v>
      </c>
      <c r="C5552" t="s">
        <v>9001</v>
      </c>
      <c r="D5552" t="s">
        <v>18018</v>
      </c>
      <c r="E5552" t="s">
        <v>22967</v>
      </c>
      <c r="F5552" t="s">
        <v>30900</v>
      </c>
      <c r="G5552" t="s">
        <v>30907</v>
      </c>
      <c r="H5552" t="s">
        <v>30916</v>
      </c>
      <c r="I5552" t="s">
        <v>31011</v>
      </c>
      <c r="J5552" t="s">
        <v>31653</v>
      </c>
      <c r="K5552" t="s">
        <v>40280</v>
      </c>
      <c r="M5552" t="s">
        <v>41293</v>
      </c>
      <c r="N5552" t="s">
        <v>44759</v>
      </c>
      <c r="O5552" t="s">
        <v>44760</v>
      </c>
      <c r="P5552">
        <v>0</v>
      </c>
      <c r="Q5552">
        <v>9</v>
      </c>
      <c r="R5552" t="s">
        <v>44766</v>
      </c>
      <c r="S5552" t="s">
        <v>44902</v>
      </c>
      <c r="T5552" t="s">
        <v>46495</v>
      </c>
      <c r="U5552" t="s">
        <v>51650</v>
      </c>
      <c r="W5552" t="s">
        <v>41293</v>
      </c>
      <c r="X5552" t="s">
        <v>44767</v>
      </c>
    </row>
    <row r="5553" spans="1:24">
      <c r="A5553">
        <f>HYPERLINK("https://www.philgeps.gov.ph/GEPSNONPILOT/Tender/SplashBidNoticeAbstractUI.aspx?menuIndex=3&amp;refID=7146085&amp;Result=3","7146085")</f>
        <v>0</v>
      </c>
      <c r="B5553" t="s">
        <v>313</v>
      </c>
      <c r="C5553" t="s">
        <v>9002</v>
      </c>
      <c r="E5553" t="s">
        <v>22968</v>
      </c>
      <c r="F5553" t="s">
        <v>30900</v>
      </c>
      <c r="G5553" t="s">
        <v>30908</v>
      </c>
      <c r="H5553" t="s">
        <v>30916</v>
      </c>
      <c r="I5553" t="s">
        <v>30947</v>
      </c>
      <c r="J5553" t="s">
        <v>31096</v>
      </c>
      <c r="K5553" t="s">
        <v>40289</v>
      </c>
      <c r="M5553" t="s">
        <v>40909</v>
      </c>
      <c r="N5553" t="s">
        <v>44759</v>
      </c>
      <c r="O5553" t="s">
        <v>44760</v>
      </c>
      <c r="P5553">
        <v>0</v>
      </c>
      <c r="Q5553">
        <v>2</v>
      </c>
      <c r="R5553" t="s">
        <v>44766</v>
      </c>
      <c r="S5553" t="s">
        <v>44902</v>
      </c>
      <c r="T5553" t="s">
        <v>46403</v>
      </c>
      <c r="U5553" t="s">
        <v>51651</v>
      </c>
      <c r="W5553" t="s">
        <v>40909</v>
      </c>
      <c r="X5553" t="s">
        <v>44767</v>
      </c>
    </row>
    <row r="5554" spans="1:24">
      <c r="A5554">
        <f>HYPERLINK("https://www.philgeps.gov.ph/GEPSNONPILOT/Tender/SplashBidNoticeAbstractUI.aspx?menuIndex=3&amp;refID=7146080&amp;Result=3","7146080")</f>
        <v>0</v>
      </c>
      <c r="B5554" t="s">
        <v>1383</v>
      </c>
      <c r="C5554" t="s">
        <v>9003</v>
      </c>
      <c r="D5554" t="s">
        <v>18032</v>
      </c>
      <c r="E5554" t="s">
        <v>22969</v>
      </c>
      <c r="F5554" t="s">
        <v>30900</v>
      </c>
      <c r="G5554" t="s">
        <v>30908</v>
      </c>
      <c r="H5554" t="s">
        <v>30916</v>
      </c>
      <c r="I5554" t="s">
        <v>4050</v>
      </c>
      <c r="J5554" t="s">
        <v>34696</v>
      </c>
      <c r="K5554" t="s">
        <v>40289</v>
      </c>
      <c r="M5554" t="s">
        <v>42007</v>
      </c>
      <c r="N5554" t="s">
        <v>44759</v>
      </c>
      <c r="O5554" t="s">
        <v>44760</v>
      </c>
      <c r="P5554">
        <v>0</v>
      </c>
      <c r="Q5554">
        <v>0</v>
      </c>
      <c r="R5554" t="s">
        <v>44766</v>
      </c>
      <c r="S5554" t="s">
        <v>44902</v>
      </c>
      <c r="T5554" t="s">
        <v>46581</v>
      </c>
      <c r="U5554" t="s">
        <v>51652</v>
      </c>
      <c r="W5554" t="s">
        <v>42007</v>
      </c>
      <c r="X5554" t="s">
        <v>44767</v>
      </c>
    </row>
    <row r="5555" spans="1:24">
      <c r="A5555">
        <f>HYPERLINK("https://www.philgeps.gov.ph/GEPSNONPILOT/Tender/SplashBidNoticeAbstractUI.aspx?menuIndex=3&amp;refID=7146077&amp;Result=3","7146077")</f>
        <v>0</v>
      </c>
      <c r="B5555" t="s">
        <v>1973</v>
      </c>
      <c r="C5555" t="s">
        <v>9004</v>
      </c>
      <c r="D5555" t="s">
        <v>18012</v>
      </c>
      <c r="E5555" t="s">
        <v>22970</v>
      </c>
      <c r="F5555" t="s">
        <v>30900</v>
      </c>
      <c r="G5555" t="s">
        <v>30906</v>
      </c>
      <c r="H5555" t="s">
        <v>30916</v>
      </c>
      <c r="I5555" t="s">
        <v>4142</v>
      </c>
      <c r="J5555" t="s">
        <v>34697</v>
      </c>
      <c r="K5555" t="s">
        <v>40284</v>
      </c>
      <c r="M5555" t="s">
        <v>42661</v>
      </c>
      <c r="N5555" t="s">
        <v>44759</v>
      </c>
      <c r="O5555" t="s">
        <v>44760</v>
      </c>
      <c r="P5555">
        <v>0</v>
      </c>
      <c r="Q5555">
        <v>0</v>
      </c>
      <c r="R5555" t="s">
        <v>44766</v>
      </c>
      <c r="S5555" t="s">
        <v>44902</v>
      </c>
      <c r="T5555" t="s">
        <v>46607</v>
      </c>
      <c r="U5555" t="s">
        <v>51653</v>
      </c>
      <c r="W5555" t="s">
        <v>42661</v>
      </c>
      <c r="X5555" t="s">
        <v>44767</v>
      </c>
    </row>
    <row r="5556" spans="1:24">
      <c r="A5556">
        <f>HYPERLINK("https://www.philgeps.gov.ph/GEPSNONPILOT/Tender/SplashBidNoticeAbstractUI.aspx?menuIndex=3&amp;refID=7146090&amp;Result=3","7146090")</f>
        <v>0</v>
      </c>
      <c r="B5556" t="s">
        <v>2020</v>
      </c>
      <c r="C5556" t="s">
        <v>9005</v>
      </c>
      <c r="D5556" t="s">
        <v>17959</v>
      </c>
      <c r="E5556" t="s">
        <v>22971</v>
      </c>
      <c r="F5556" t="s">
        <v>30902</v>
      </c>
      <c r="G5556" t="s">
        <v>30911</v>
      </c>
      <c r="H5556" t="s">
        <v>7411</v>
      </c>
      <c r="I5556" t="s">
        <v>7411</v>
      </c>
      <c r="J5556" t="s">
        <v>31800</v>
      </c>
      <c r="K5556" t="s">
        <v>40289</v>
      </c>
      <c r="M5556" t="s">
        <v>42716</v>
      </c>
      <c r="N5556" t="s">
        <v>44759</v>
      </c>
      <c r="O5556" t="s">
        <v>44760</v>
      </c>
      <c r="P5556">
        <v>0</v>
      </c>
      <c r="Q5556">
        <v>5</v>
      </c>
      <c r="R5556" t="s">
        <v>44766</v>
      </c>
      <c r="S5556" t="s">
        <v>44902</v>
      </c>
      <c r="T5556" t="s">
        <v>46516</v>
      </c>
      <c r="U5556" t="s">
        <v>51654</v>
      </c>
      <c r="W5556" t="s">
        <v>42716</v>
      </c>
      <c r="X5556" t="s">
        <v>44767</v>
      </c>
    </row>
    <row r="5557" spans="1:24">
      <c r="A5557">
        <f>HYPERLINK("https://www.philgeps.gov.ph/GEPSNONPILOT/Tender/SplashBidNoticeAbstractUI.aspx?menuIndex=3&amp;refID=7146075&amp;Result=3","7146075")</f>
        <v>0</v>
      </c>
      <c r="B5557" t="s">
        <v>2018</v>
      </c>
      <c r="C5557" t="s">
        <v>9006</v>
      </c>
      <c r="D5557" t="s">
        <v>17951</v>
      </c>
      <c r="E5557" t="s">
        <v>18727</v>
      </c>
      <c r="F5557" t="s">
        <v>30900</v>
      </c>
      <c r="G5557" t="s">
        <v>30907</v>
      </c>
      <c r="H5557" t="s">
        <v>30916</v>
      </c>
      <c r="I5557" t="s">
        <v>10961</v>
      </c>
      <c r="J5557" t="s">
        <v>31096</v>
      </c>
      <c r="K5557" t="s">
        <v>40283</v>
      </c>
      <c r="M5557" t="s">
        <v>42714</v>
      </c>
      <c r="N5557" t="s">
        <v>44759</v>
      </c>
      <c r="O5557" t="s">
        <v>44760</v>
      </c>
      <c r="P5557">
        <v>0</v>
      </c>
      <c r="Q5557">
        <v>1</v>
      </c>
      <c r="R5557" t="s">
        <v>44766</v>
      </c>
      <c r="S5557" t="s">
        <v>44902</v>
      </c>
      <c r="T5557" t="s">
        <v>46425</v>
      </c>
      <c r="U5557" t="s">
        <v>51655</v>
      </c>
      <c r="W5557" t="s">
        <v>42714</v>
      </c>
      <c r="X5557" t="s">
        <v>44767</v>
      </c>
    </row>
    <row r="5558" spans="1:24">
      <c r="A5558">
        <f>HYPERLINK("https://www.philgeps.gov.ph/GEPSNONPILOT/Tender/SplashBidNoticeAbstractUI.aspx?menuIndex=3&amp;refID=7146089&amp;Result=3","7146089")</f>
        <v>0</v>
      </c>
      <c r="B5558" t="s">
        <v>1201</v>
      </c>
      <c r="C5558" t="s">
        <v>9007</v>
      </c>
      <c r="D5558" t="s">
        <v>17978</v>
      </c>
      <c r="E5558" t="s">
        <v>20609</v>
      </c>
      <c r="F5558" t="s">
        <v>30900</v>
      </c>
      <c r="G5558" t="s">
        <v>30908</v>
      </c>
      <c r="H5558" t="s">
        <v>30916</v>
      </c>
      <c r="I5558" t="s">
        <v>30923</v>
      </c>
      <c r="J5558" t="s">
        <v>34698</v>
      </c>
      <c r="K5558" t="s">
        <v>40283</v>
      </c>
      <c r="M5558" t="s">
        <v>41812</v>
      </c>
      <c r="N5558" t="s">
        <v>44759</v>
      </c>
      <c r="O5558" t="s">
        <v>44760</v>
      </c>
      <c r="P5558">
        <v>0</v>
      </c>
      <c r="Q5558">
        <v>12</v>
      </c>
      <c r="R5558" t="s">
        <v>44766</v>
      </c>
      <c r="S5558" t="s">
        <v>44902</v>
      </c>
      <c r="T5558" t="s">
        <v>46383</v>
      </c>
      <c r="U5558" t="s">
        <v>51656</v>
      </c>
      <c r="W5558" t="s">
        <v>41812</v>
      </c>
      <c r="X5558" t="s">
        <v>44767</v>
      </c>
    </row>
    <row r="5559" spans="1:24">
      <c r="A5559">
        <f>HYPERLINK("https://www.philgeps.gov.ph/GEPSNONPILOT/Tender/SplashBidNoticeAbstractUI.aspx?menuIndex=3&amp;refID=7146117&amp;Result=3","7146117")</f>
        <v>0</v>
      </c>
      <c r="B5559" t="s">
        <v>1973</v>
      </c>
      <c r="C5559" t="s">
        <v>9008</v>
      </c>
      <c r="D5559" t="s">
        <v>18012</v>
      </c>
      <c r="E5559" t="s">
        <v>22972</v>
      </c>
      <c r="F5559" t="s">
        <v>30900</v>
      </c>
      <c r="G5559" t="s">
        <v>30906</v>
      </c>
      <c r="H5559" t="s">
        <v>30916</v>
      </c>
      <c r="I5559" t="s">
        <v>8123</v>
      </c>
      <c r="J5559" t="s">
        <v>34699</v>
      </c>
      <c r="K5559" t="s">
        <v>40284</v>
      </c>
      <c r="M5559" t="s">
        <v>42661</v>
      </c>
      <c r="N5559" t="s">
        <v>44759</v>
      </c>
      <c r="O5559" t="s">
        <v>44760</v>
      </c>
      <c r="P5559">
        <v>0</v>
      </c>
      <c r="Q5559">
        <v>0</v>
      </c>
      <c r="R5559" t="s">
        <v>44766</v>
      </c>
      <c r="S5559" t="s">
        <v>44902</v>
      </c>
      <c r="T5559" t="s">
        <v>46607</v>
      </c>
      <c r="U5559" t="s">
        <v>51657</v>
      </c>
      <c r="W5559" t="s">
        <v>42661</v>
      </c>
      <c r="X5559" t="s">
        <v>44767</v>
      </c>
    </row>
    <row r="5560" spans="1:24">
      <c r="A5560">
        <f>HYPERLINK("https://www.philgeps.gov.ph/GEPSNONPILOT/Tender/SplashBidNoticeAbstractUI.aspx?menuIndex=3&amp;refID=7146180&amp;Result=3","7146180")</f>
        <v>0</v>
      </c>
      <c r="B5560" t="s">
        <v>1724</v>
      </c>
      <c r="C5560" t="s">
        <v>9009</v>
      </c>
      <c r="D5560" t="s">
        <v>18016</v>
      </c>
      <c r="E5560" t="s">
        <v>22973</v>
      </c>
      <c r="F5560" t="s">
        <v>30900</v>
      </c>
      <c r="G5560" t="s">
        <v>30907</v>
      </c>
      <c r="H5560" t="s">
        <v>30916</v>
      </c>
      <c r="I5560" t="s">
        <v>30924</v>
      </c>
      <c r="J5560" t="s">
        <v>34700</v>
      </c>
      <c r="K5560" t="s">
        <v>40284</v>
      </c>
      <c r="M5560" t="s">
        <v>42697</v>
      </c>
      <c r="N5560" t="s">
        <v>44759</v>
      </c>
      <c r="O5560" t="s">
        <v>44760</v>
      </c>
      <c r="P5560">
        <v>0</v>
      </c>
      <c r="Q5560">
        <v>7</v>
      </c>
      <c r="R5560" t="s">
        <v>44766</v>
      </c>
      <c r="S5560" t="s">
        <v>44902</v>
      </c>
      <c r="T5560" t="s">
        <v>46377</v>
      </c>
      <c r="U5560" t="s">
        <v>51585</v>
      </c>
      <c r="V5560" t="s">
        <v>59709</v>
      </c>
      <c r="W5560" t="s">
        <v>60878</v>
      </c>
      <c r="X5560" t="s">
        <v>44767</v>
      </c>
    </row>
    <row r="5561" spans="1:24">
      <c r="A5561">
        <f>HYPERLINK("https://www.philgeps.gov.ph/GEPSNONPILOT/Tender/SplashBidNoticeAbstractUI.aspx?menuIndex=3&amp;refID=7146101&amp;Result=3","7146101")</f>
        <v>0</v>
      </c>
      <c r="B5561" t="s">
        <v>1724</v>
      </c>
      <c r="C5561" t="s">
        <v>9010</v>
      </c>
      <c r="D5561" t="s">
        <v>18016</v>
      </c>
      <c r="E5561" t="s">
        <v>22974</v>
      </c>
      <c r="F5561" t="s">
        <v>30900</v>
      </c>
      <c r="G5561" t="s">
        <v>30907</v>
      </c>
      <c r="H5561" t="s">
        <v>30916</v>
      </c>
      <c r="I5561" t="s">
        <v>5501</v>
      </c>
      <c r="J5561" t="s">
        <v>34701</v>
      </c>
      <c r="K5561" t="s">
        <v>40284</v>
      </c>
      <c r="M5561" t="s">
        <v>42697</v>
      </c>
      <c r="N5561" t="s">
        <v>44759</v>
      </c>
      <c r="O5561" t="s">
        <v>44760</v>
      </c>
      <c r="P5561">
        <v>0</v>
      </c>
      <c r="Q5561">
        <v>1</v>
      </c>
      <c r="R5561" t="s">
        <v>44766</v>
      </c>
      <c r="S5561" t="s">
        <v>44902</v>
      </c>
      <c r="T5561" t="s">
        <v>46377</v>
      </c>
      <c r="U5561" t="s">
        <v>51585</v>
      </c>
      <c r="V5561" t="s">
        <v>59709</v>
      </c>
      <c r="W5561" t="s">
        <v>60878</v>
      </c>
      <c r="X5561" t="s">
        <v>44767</v>
      </c>
    </row>
    <row r="5562" spans="1:24">
      <c r="A5562">
        <f>HYPERLINK("https://www.philgeps.gov.ph/GEPSNONPILOT/Tender/SplashBidNoticeAbstractUI.aspx?menuIndex=3&amp;refID=7146022&amp;Result=3","7146022")</f>
        <v>0</v>
      </c>
      <c r="B5562" t="s">
        <v>2021</v>
      </c>
      <c r="C5562" t="s">
        <v>9011</v>
      </c>
      <c r="D5562" t="s">
        <v>17963</v>
      </c>
      <c r="E5562" t="s">
        <v>22975</v>
      </c>
      <c r="F5562" t="s">
        <v>30900</v>
      </c>
      <c r="G5562" t="s">
        <v>30908</v>
      </c>
      <c r="H5562" t="s">
        <v>30916</v>
      </c>
      <c r="I5562" t="s">
        <v>4108</v>
      </c>
      <c r="J5562" t="s">
        <v>34702</v>
      </c>
      <c r="K5562" t="s">
        <v>40283</v>
      </c>
      <c r="M5562" t="s">
        <v>42717</v>
      </c>
      <c r="N5562" t="s">
        <v>44759</v>
      </c>
      <c r="O5562" t="s">
        <v>44760</v>
      </c>
      <c r="P5562">
        <v>0</v>
      </c>
      <c r="Q5562">
        <v>2</v>
      </c>
      <c r="R5562" t="s">
        <v>44766</v>
      </c>
      <c r="S5562" t="s">
        <v>44902</v>
      </c>
      <c r="T5562" t="s">
        <v>46391</v>
      </c>
      <c r="U5562" t="s">
        <v>51658</v>
      </c>
      <c r="W5562" t="s">
        <v>42717</v>
      </c>
      <c r="X5562" t="s">
        <v>44767</v>
      </c>
    </row>
    <row r="5563" spans="1:24">
      <c r="A5563">
        <f>HYPERLINK("https://www.philgeps.gov.ph/GEPSNONPILOT/Tender/SplashBidNoticeAbstractUI.aspx?menuIndex=3&amp;refID=7146163&amp;Result=3","7146163")</f>
        <v>0</v>
      </c>
      <c r="B5563" t="s">
        <v>1100</v>
      </c>
      <c r="C5563" t="s">
        <v>9012</v>
      </c>
      <c r="D5563" t="s">
        <v>17980</v>
      </c>
      <c r="E5563" t="s">
        <v>22976</v>
      </c>
      <c r="F5563" t="s">
        <v>30900</v>
      </c>
      <c r="G5563" t="s">
        <v>30908</v>
      </c>
      <c r="H5563" t="s">
        <v>30916</v>
      </c>
      <c r="I5563" t="s">
        <v>30942</v>
      </c>
      <c r="J5563" t="s">
        <v>31224</v>
      </c>
      <c r="K5563" t="s">
        <v>40289</v>
      </c>
      <c r="M5563" t="s">
        <v>41789</v>
      </c>
      <c r="N5563" t="s">
        <v>44759</v>
      </c>
      <c r="O5563" t="s">
        <v>44760</v>
      </c>
      <c r="P5563">
        <v>0</v>
      </c>
      <c r="Q5563">
        <v>0</v>
      </c>
      <c r="R5563" t="s">
        <v>44766</v>
      </c>
      <c r="S5563" t="s">
        <v>44902</v>
      </c>
      <c r="T5563" t="s">
        <v>46364</v>
      </c>
      <c r="U5563" t="s">
        <v>51659</v>
      </c>
      <c r="W5563" t="s">
        <v>41789</v>
      </c>
      <c r="X5563" t="s">
        <v>44767</v>
      </c>
    </row>
    <row r="5564" spans="1:24">
      <c r="A5564">
        <f>HYPERLINK("https://www.philgeps.gov.ph/GEPSNONPILOT/Tender/SplashBidNoticeAbstractUI.aspx?menuIndex=3&amp;refID=7146162&amp;Result=3","7146162")</f>
        <v>0</v>
      </c>
      <c r="B5564" t="s">
        <v>1944</v>
      </c>
      <c r="C5564" t="s">
        <v>9013</v>
      </c>
      <c r="D5564" t="s">
        <v>17973</v>
      </c>
      <c r="E5564" t="s">
        <v>21173</v>
      </c>
      <c r="F5564" t="s">
        <v>30900</v>
      </c>
      <c r="G5564" t="s">
        <v>30907</v>
      </c>
      <c r="H5564" t="s">
        <v>30915</v>
      </c>
      <c r="I5564" t="s">
        <v>30919</v>
      </c>
      <c r="J5564" t="s">
        <v>31341</v>
      </c>
      <c r="K5564" t="s">
        <v>40286</v>
      </c>
      <c r="M5564" t="s">
        <v>42626</v>
      </c>
      <c r="N5564" t="s">
        <v>44759</v>
      </c>
      <c r="O5564" t="s">
        <v>44760</v>
      </c>
      <c r="P5564">
        <v>0</v>
      </c>
      <c r="Q5564">
        <v>0</v>
      </c>
      <c r="R5564" t="s">
        <v>44766</v>
      </c>
      <c r="S5564" t="s">
        <v>44902</v>
      </c>
      <c r="T5564" t="s">
        <v>46410</v>
      </c>
      <c r="U5564" t="s">
        <v>51419</v>
      </c>
      <c r="W5564" t="s">
        <v>42626</v>
      </c>
      <c r="X5564" t="s">
        <v>44767</v>
      </c>
    </row>
    <row r="5565" spans="1:24">
      <c r="A5565">
        <f>HYPERLINK("https://www.philgeps.gov.ph/GEPSNONPILOT/Tender/SplashBidNoticeAbstractUI.aspx?menuIndex=3&amp;refID=7146160&amp;Result=3","7146160")</f>
        <v>0</v>
      </c>
      <c r="B5565" t="s">
        <v>2022</v>
      </c>
      <c r="C5565" t="s">
        <v>9014</v>
      </c>
      <c r="D5565" t="s">
        <v>17990</v>
      </c>
      <c r="E5565" t="s">
        <v>22977</v>
      </c>
      <c r="F5565" t="s">
        <v>30900</v>
      </c>
      <c r="G5565" t="s">
        <v>30908</v>
      </c>
      <c r="H5565" t="s">
        <v>30916</v>
      </c>
      <c r="I5565" t="s">
        <v>30934</v>
      </c>
      <c r="J5565" t="s">
        <v>34703</v>
      </c>
      <c r="K5565" t="s">
        <v>40286</v>
      </c>
      <c r="M5565" t="s">
        <v>42718</v>
      </c>
      <c r="N5565" t="s">
        <v>44759</v>
      </c>
      <c r="O5565" t="s">
        <v>44760</v>
      </c>
      <c r="P5565">
        <v>0</v>
      </c>
      <c r="Q5565">
        <v>4</v>
      </c>
      <c r="R5565" t="s">
        <v>44766</v>
      </c>
      <c r="S5565" t="s">
        <v>44902</v>
      </c>
      <c r="T5565" t="s">
        <v>46662</v>
      </c>
      <c r="U5565" t="s">
        <v>51660</v>
      </c>
      <c r="W5565" t="s">
        <v>42718</v>
      </c>
      <c r="X5565" t="s">
        <v>44767</v>
      </c>
    </row>
    <row r="5566" spans="1:24">
      <c r="A5566">
        <f>HYPERLINK("https://www.philgeps.gov.ph/GEPSNONPILOT/Tender/SplashBidNoticeAbstractUI.aspx?menuIndex=3&amp;refID=7146076&amp;Result=3","7146076")</f>
        <v>0</v>
      </c>
      <c r="B5566" t="s">
        <v>1724</v>
      </c>
      <c r="C5566" t="s">
        <v>9015</v>
      </c>
      <c r="D5566" t="s">
        <v>18016</v>
      </c>
      <c r="E5566" t="s">
        <v>22978</v>
      </c>
      <c r="F5566" t="s">
        <v>30900</v>
      </c>
      <c r="G5566" t="s">
        <v>30907</v>
      </c>
      <c r="H5566" t="s">
        <v>30916</v>
      </c>
      <c r="I5566" t="s">
        <v>4017</v>
      </c>
      <c r="J5566" t="s">
        <v>31552</v>
      </c>
      <c r="K5566" t="s">
        <v>40284</v>
      </c>
      <c r="M5566" t="s">
        <v>42697</v>
      </c>
      <c r="N5566" t="s">
        <v>44759</v>
      </c>
      <c r="O5566" t="s">
        <v>44760</v>
      </c>
      <c r="P5566">
        <v>0</v>
      </c>
      <c r="Q5566">
        <v>5</v>
      </c>
      <c r="R5566" t="s">
        <v>44766</v>
      </c>
      <c r="S5566" t="s">
        <v>44902</v>
      </c>
      <c r="T5566" t="s">
        <v>46377</v>
      </c>
      <c r="U5566" t="s">
        <v>51585</v>
      </c>
      <c r="V5566" t="s">
        <v>59709</v>
      </c>
      <c r="W5566" t="s">
        <v>60878</v>
      </c>
      <c r="X5566" t="s">
        <v>44767</v>
      </c>
    </row>
    <row r="5567" spans="1:24">
      <c r="A5567">
        <f>HYPERLINK("https://www.philgeps.gov.ph/GEPSNONPILOT/Tender/SplashBidNoticeAbstractUI.aspx?menuIndex=3&amp;refID=7146157&amp;Result=3","7146157")</f>
        <v>0</v>
      </c>
      <c r="B5567" t="s">
        <v>2023</v>
      </c>
      <c r="C5567" t="s">
        <v>9016</v>
      </c>
      <c r="D5567" t="s">
        <v>17951</v>
      </c>
      <c r="E5567" t="s">
        <v>22979</v>
      </c>
      <c r="F5567" t="s">
        <v>30900</v>
      </c>
      <c r="G5567" t="s">
        <v>30907</v>
      </c>
      <c r="H5567" t="s">
        <v>30916</v>
      </c>
      <c r="I5567" t="s">
        <v>8123</v>
      </c>
      <c r="J5567" t="s">
        <v>31893</v>
      </c>
      <c r="K5567" t="s">
        <v>40283</v>
      </c>
      <c r="M5567" t="s">
        <v>42719</v>
      </c>
      <c r="N5567" t="s">
        <v>44759</v>
      </c>
      <c r="O5567" t="s">
        <v>44760</v>
      </c>
      <c r="P5567">
        <v>0</v>
      </c>
      <c r="Q5567">
        <v>0</v>
      </c>
      <c r="R5567" t="s">
        <v>44766</v>
      </c>
      <c r="S5567" t="s">
        <v>44902</v>
      </c>
      <c r="T5567" t="s">
        <v>46352</v>
      </c>
      <c r="U5567" t="s">
        <v>51661</v>
      </c>
      <c r="W5567" t="s">
        <v>42719</v>
      </c>
      <c r="X5567" t="s">
        <v>44767</v>
      </c>
    </row>
    <row r="5568" spans="1:24">
      <c r="A5568">
        <f>HYPERLINK("https://www.philgeps.gov.ph/GEPSNONPILOT/Tender/SplashBidNoticeAbstractUI.aspx?menuIndex=3&amp;refID=7146156&amp;Result=3","7146156")</f>
        <v>0</v>
      </c>
      <c r="B5568" t="s">
        <v>1901</v>
      </c>
      <c r="C5568" t="s">
        <v>9017</v>
      </c>
      <c r="D5568" t="s">
        <v>17984</v>
      </c>
      <c r="E5568" t="s">
        <v>18846</v>
      </c>
      <c r="F5568" t="s">
        <v>30900</v>
      </c>
      <c r="G5568" t="s">
        <v>30907</v>
      </c>
      <c r="H5568" t="s">
        <v>30915</v>
      </c>
      <c r="I5568" t="s">
        <v>30919</v>
      </c>
      <c r="J5568" t="s">
        <v>34704</v>
      </c>
      <c r="K5568" t="s">
        <v>40308</v>
      </c>
      <c r="M5568" t="s">
        <v>42578</v>
      </c>
      <c r="N5568" t="s">
        <v>44759</v>
      </c>
      <c r="O5568" t="s">
        <v>44760</v>
      </c>
      <c r="P5568">
        <v>0</v>
      </c>
      <c r="Q5568">
        <v>0</v>
      </c>
      <c r="R5568" t="s">
        <v>44766</v>
      </c>
      <c r="S5568" t="s">
        <v>44902</v>
      </c>
      <c r="T5568" t="s">
        <v>46450</v>
      </c>
      <c r="U5568" t="s">
        <v>51662</v>
      </c>
      <c r="W5568" t="s">
        <v>42578</v>
      </c>
      <c r="X5568" t="s">
        <v>44767</v>
      </c>
    </row>
    <row r="5569" spans="1:24">
      <c r="A5569">
        <f>HYPERLINK("https://www.philgeps.gov.ph/GEPSNONPILOT/Tender/SplashBidNoticeAbstractUI.aspx?menuIndex=3&amp;refID=7146152&amp;Result=3","7146152")</f>
        <v>0</v>
      </c>
      <c r="B5569" t="s">
        <v>739</v>
      </c>
      <c r="C5569" t="s">
        <v>9018</v>
      </c>
      <c r="D5569" t="s">
        <v>17972</v>
      </c>
      <c r="E5569" t="s">
        <v>22980</v>
      </c>
      <c r="F5569" t="s">
        <v>30900</v>
      </c>
      <c r="G5569" t="s">
        <v>30909</v>
      </c>
      <c r="H5569" t="s">
        <v>30916</v>
      </c>
      <c r="I5569" t="s">
        <v>30923</v>
      </c>
      <c r="J5569" t="s">
        <v>34705</v>
      </c>
      <c r="K5569" t="s">
        <v>40286</v>
      </c>
      <c r="L5569" t="s">
        <v>739</v>
      </c>
      <c r="M5569" t="s">
        <v>41303</v>
      </c>
      <c r="N5569" t="s">
        <v>44759</v>
      </c>
      <c r="O5569" t="s">
        <v>44760</v>
      </c>
      <c r="P5569">
        <v>0</v>
      </c>
      <c r="Q5569">
        <v>2</v>
      </c>
      <c r="R5569" t="s">
        <v>44766</v>
      </c>
      <c r="S5569" t="s">
        <v>44902</v>
      </c>
      <c r="T5569" t="s">
        <v>46686</v>
      </c>
      <c r="U5569" t="s">
        <v>51663</v>
      </c>
      <c r="V5569" t="s">
        <v>59291</v>
      </c>
      <c r="W5569" t="s">
        <v>41303</v>
      </c>
      <c r="X5569" t="s">
        <v>44767</v>
      </c>
    </row>
    <row r="5570" spans="1:24">
      <c r="A5570">
        <f>HYPERLINK("https://www.philgeps.gov.ph/GEPSNONPILOT/Tender/SplashBidNoticeAbstractUI.aspx?menuIndex=3&amp;refID=7146150&amp;Result=3","7146150")</f>
        <v>0</v>
      </c>
      <c r="B5570" t="s">
        <v>58</v>
      </c>
      <c r="C5570" t="s">
        <v>9019</v>
      </c>
      <c r="D5570" t="s">
        <v>17977</v>
      </c>
      <c r="E5570" t="s">
        <v>22981</v>
      </c>
      <c r="F5570" t="s">
        <v>30900</v>
      </c>
      <c r="G5570" t="s">
        <v>30908</v>
      </c>
      <c r="H5570" t="s">
        <v>30916</v>
      </c>
      <c r="I5570" t="s">
        <v>30939</v>
      </c>
      <c r="J5570" t="s">
        <v>34706</v>
      </c>
      <c r="K5570" t="s">
        <v>40287</v>
      </c>
      <c r="M5570" t="s">
        <v>40604</v>
      </c>
      <c r="N5570" t="s">
        <v>44759</v>
      </c>
      <c r="O5570" t="s">
        <v>44760</v>
      </c>
      <c r="P5570">
        <v>0</v>
      </c>
      <c r="Q5570">
        <v>0</v>
      </c>
      <c r="R5570" t="s">
        <v>44766</v>
      </c>
      <c r="S5570" t="s">
        <v>44902</v>
      </c>
      <c r="T5570" t="s">
        <v>46625</v>
      </c>
      <c r="U5570" t="s">
        <v>51664</v>
      </c>
      <c r="W5570" t="s">
        <v>60815</v>
      </c>
      <c r="X5570" t="s">
        <v>44767</v>
      </c>
    </row>
    <row r="5571" spans="1:24">
      <c r="A5571">
        <f>HYPERLINK("https://www.philgeps.gov.ph/GEPSNONPILOT/Tender/SplashBidNoticeAbstractUI.aspx?menuIndex=3&amp;refID=7146148&amp;Result=3","7146148")</f>
        <v>0</v>
      </c>
      <c r="B5571" t="s">
        <v>2024</v>
      </c>
      <c r="C5571" t="s">
        <v>9020</v>
      </c>
      <c r="D5571" t="s">
        <v>17973</v>
      </c>
      <c r="E5571" t="s">
        <v>22982</v>
      </c>
      <c r="F5571" t="s">
        <v>30900</v>
      </c>
      <c r="G5571" t="s">
        <v>30908</v>
      </c>
      <c r="H5571" t="s">
        <v>30916</v>
      </c>
      <c r="I5571" t="s">
        <v>4108</v>
      </c>
      <c r="J5571" t="s">
        <v>34707</v>
      </c>
      <c r="K5571" t="s">
        <v>40289</v>
      </c>
      <c r="M5571" t="s">
        <v>42720</v>
      </c>
      <c r="N5571" t="s">
        <v>44759</v>
      </c>
      <c r="O5571" t="s">
        <v>44760</v>
      </c>
      <c r="P5571">
        <v>0</v>
      </c>
      <c r="Q5571">
        <v>5</v>
      </c>
      <c r="R5571" t="s">
        <v>44766</v>
      </c>
      <c r="S5571" t="s">
        <v>44902</v>
      </c>
      <c r="T5571" t="s">
        <v>46625</v>
      </c>
      <c r="U5571" t="s">
        <v>51665</v>
      </c>
      <c r="W5571" t="s">
        <v>42720</v>
      </c>
      <c r="X5571" t="s">
        <v>44767</v>
      </c>
    </row>
    <row r="5572" spans="1:24">
      <c r="A5572">
        <f>HYPERLINK("https://www.philgeps.gov.ph/GEPSNONPILOT/Tender/SplashBidNoticeAbstractUI.aspx?menuIndex=3&amp;refID=7145876&amp;Result=3","7145876")</f>
        <v>0</v>
      </c>
      <c r="B5572" t="s">
        <v>1997</v>
      </c>
      <c r="C5572" t="s">
        <v>9021</v>
      </c>
      <c r="D5572" t="s">
        <v>17953</v>
      </c>
      <c r="E5572" t="s">
        <v>22983</v>
      </c>
      <c r="F5572" t="s">
        <v>30900</v>
      </c>
      <c r="G5572" t="s">
        <v>30908</v>
      </c>
      <c r="H5572" t="s">
        <v>30916</v>
      </c>
      <c r="I5572" t="s">
        <v>10847</v>
      </c>
      <c r="J5572" t="s">
        <v>34708</v>
      </c>
      <c r="K5572" t="s">
        <v>40362</v>
      </c>
      <c r="M5572" t="s">
        <v>42689</v>
      </c>
      <c r="N5572" t="s">
        <v>44759</v>
      </c>
      <c r="O5572" t="s">
        <v>44760</v>
      </c>
      <c r="P5572">
        <v>0</v>
      </c>
      <c r="Q5572">
        <v>0</v>
      </c>
      <c r="R5572" t="s">
        <v>44766</v>
      </c>
      <c r="S5572" t="s">
        <v>44902</v>
      </c>
      <c r="T5572" t="s">
        <v>46581</v>
      </c>
      <c r="U5572" t="s">
        <v>51666</v>
      </c>
      <c r="W5572" t="s">
        <v>44481</v>
      </c>
      <c r="X5572" t="s">
        <v>44767</v>
      </c>
    </row>
    <row r="5573" spans="1:24">
      <c r="A5573">
        <f>HYPERLINK("https://www.philgeps.gov.ph/GEPSNONPILOT/Tender/SplashBidNoticeAbstractUI.aspx?menuIndex=3&amp;refID=7146139&amp;Result=3","7146139")</f>
        <v>0</v>
      </c>
      <c r="B5573" t="s">
        <v>2025</v>
      </c>
      <c r="C5573" t="s">
        <v>5383</v>
      </c>
      <c r="D5573" t="s">
        <v>17953</v>
      </c>
      <c r="E5573" t="s">
        <v>22984</v>
      </c>
      <c r="F5573" t="s">
        <v>30900</v>
      </c>
      <c r="G5573" t="s">
        <v>30908</v>
      </c>
      <c r="H5573" t="s">
        <v>30916</v>
      </c>
      <c r="I5573" t="s">
        <v>6396</v>
      </c>
      <c r="J5573" t="s">
        <v>31271</v>
      </c>
      <c r="K5573" t="s">
        <v>40283</v>
      </c>
      <c r="M5573" t="s">
        <v>42721</v>
      </c>
      <c r="N5573" t="s">
        <v>44759</v>
      </c>
      <c r="O5573" t="s">
        <v>44760</v>
      </c>
      <c r="P5573">
        <v>0</v>
      </c>
      <c r="Q5573">
        <v>4</v>
      </c>
      <c r="R5573" t="s">
        <v>44766</v>
      </c>
      <c r="S5573" t="s">
        <v>44902</v>
      </c>
      <c r="T5573" t="s">
        <v>46424</v>
      </c>
      <c r="U5573" t="s">
        <v>51667</v>
      </c>
      <c r="W5573" t="s">
        <v>42721</v>
      </c>
      <c r="X5573" t="s">
        <v>44767</v>
      </c>
    </row>
    <row r="5574" spans="1:24">
      <c r="A5574">
        <f>HYPERLINK("https://www.philgeps.gov.ph/GEPSNONPILOT/Tender/SplashBidNoticeAbstractUI.aspx?menuIndex=3&amp;refID=7146158&amp;Result=3","7146158")</f>
        <v>0</v>
      </c>
      <c r="B5574" t="s">
        <v>1724</v>
      </c>
      <c r="C5574" t="s">
        <v>9022</v>
      </c>
      <c r="D5574" t="s">
        <v>18016</v>
      </c>
      <c r="E5574" t="s">
        <v>22985</v>
      </c>
      <c r="F5574" t="s">
        <v>30900</v>
      </c>
      <c r="G5574" t="s">
        <v>30907</v>
      </c>
      <c r="H5574" t="s">
        <v>30916</v>
      </c>
      <c r="I5574" t="s">
        <v>30947</v>
      </c>
      <c r="J5574" t="s">
        <v>31105</v>
      </c>
      <c r="K5574" t="s">
        <v>40284</v>
      </c>
      <c r="M5574" t="s">
        <v>42697</v>
      </c>
      <c r="N5574" t="s">
        <v>44759</v>
      </c>
      <c r="O5574" t="s">
        <v>44760</v>
      </c>
      <c r="P5574">
        <v>0</v>
      </c>
      <c r="Q5574">
        <v>1</v>
      </c>
      <c r="R5574" t="s">
        <v>44766</v>
      </c>
      <c r="S5574" t="s">
        <v>44902</v>
      </c>
      <c r="T5574" t="s">
        <v>46377</v>
      </c>
      <c r="U5574" t="s">
        <v>51585</v>
      </c>
      <c r="V5574" t="s">
        <v>59709</v>
      </c>
      <c r="W5574" t="s">
        <v>60878</v>
      </c>
      <c r="X5574" t="s">
        <v>44767</v>
      </c>
    </row>
    <row r="5575" spans="1:24">
      <c r="A5575">
        <f>HYPERLINK("https://www.philgeps.gov.ph/GEPSNONPILOT/Tender/SplashBidNoticeAbstractUI.aspx?menuIndex=3&amp;refID=7146130&amp;Result=3","7146130")</f>
        <v>0</v>
      </c>
      <c r="B5575" t="s">
        <v>1973</v>
      </c>
      <c r="C5575" t="s">
        <v>9023</v>
      </c>
      <c r="D5575" t="s">
        <v>18012</v>
      </c>
      <c r="E5575" t="s">
        <v>22986</v>
      </c>
      <c r="F5575" t="s">
        <v>30900</v>
      </c>
      <c r="G5575" t="s">
        <v>30906</v>
      </c>
      <c r="H5575" t="s">
        <v>30916</v>
      </c>
      <c r="I5575" t="s">
        <v>4142</v>
      </c>
      <c r="J5575" t="s">
        <v>34709</v>
      </c>
      <c r="K5575" t="s">
        <v>40284</v>
      </c>
      <c r="M5575" t="s">
        <v>42661</v>
      </c>
      <c r="N5575" t="s">
        <v>44759</v>
      </c>
      <c r="O5575" t="s">
        <v>44760</v>
      </c>
      <c r="P5575">
        <v>0</v>
      </c>
      <c r="Q5575">
        <v>0</v>
      </c>
      <c r="R5575" t="s">
        <v>44766</v>
      </c>
      <c r="S5575" t="s">
        <v>44902</v>
      </c>
      <c r="T5575" t="s">
        <v>46607</v>
      </c>
      <c r="U5575" t="s">
        <v>51668</v>
      </c>
      <c r="W5575" t="s">
        <v>42661</v>
      </c>
      <c r="X5575" t="s">
        <v>44767</v>
      </c>
    </row>
    <row r="5576" spans="1:24">
      <c r="A5576">
        <f>HYPERLINK("https://www.philgeps.gov.ph/GEPSNONPILOT/Tender/SplashBidNoticeAbstractUI.aspx?menuIndex=3&amp;refID=7146127&amp;Result=3","7146127")</f>
        <v>0</v>
      </c>
      <c r="B5576" t="s">
        <v>980</v>
      </c>
      <c r="C5576" t="s">
        <v>9024</v>
      </c>
      <c r="D5576" t="s">
        <v>17952</v>
      </c>
      <c r="E5576" t="s">
        <v>22987</v>
      </c>
      <c r="F5576" t="s">
        <v>30900</v>
      </c>
      <c r="G5576" t="s">
        <v>30908</v>
      </c>
      <c r="H5576" t="s">
        <v>30916</v>
      </c>
      <c r="I5576" t="s">
        <v>30924</v>
      </c>
      <c r="J5576" t="s">
        <v>32588</v>
      </c>
      <c r="K5576" t="s">
        <v>40293</v>
      </c>
      <c r="M5576" t="s">
        <v>41568</v>
      </c>
      <c r="N5576" t="s">
        <v>44759</v>
      </c>
      <c r="O5576" t="s">
        <v>44760</v>
      </c>
      <c r="P5576">
        <v>0</v>
      </c>
      <c r="Q5576">
        <v>1</v>
      </c>
      <c r="R5576" t="s">
        <v>44766</v>
      </c>
      <c r="S5576" t="s">
        <v>44902</v>
      </c>
      <c r="T5576" t="s">
        <v>46625</v>
      </c>
      <c r="U5576" t="s">
        <v>51669</v>
      </c>
      <c r="W5576" t="s">
        <v>41568</v>
      </c>
      <c r="X5576" t="s">
        <v>44767</v>
      </c>
    </row>
    <row r="5577" spans="1:24">
      <c r="A5577">
        <f>HYPERLINK("https://www.philgeps.gov.ph/GEPSNONPILOT/Tender/SplashBidNoticeAbstractUI.aspx?menuIndex=3&amp;refID=7146125&amp;Result=3","7146125")</f>
        <v>0</v>
      </c>
      <c r="B5577" t="s">
        <v>2026</v>
      </c>
      <c r="C5577" t="s">
        <v>9025</v>
      </c>
      <c r="D5577" t="s">
        <v>18004</v>
      </c>
      <c r="E5577" t="s">
        <v>22988</v>
      </c>
      <c r="F5577" t="s">
        <v>30900</v>
      </c>
      <c r="G5577" t="s">
        <v>30907</v>
      </c>
      <c r="H5577" t="s">
        <v>30916</v>
      </c>
      <c r="I5577" t="s">
        <v>6953</v>
      </c>
      <c r="J5577" t="s">
        <v>34710</v>
      </c>
      <c r="K5577" t="s">
        <v>40287</v>
      </c>
      <c r="M5577" t="s">
        <v>42722</v>
      </c>
      <c r="N5577" t="s">
        <v>44759</v>
      </c>
      <c r="O5577" t="s">
        <v>44760</v>
      </c>
      <c r="P5577">
        <v>0</v>
      </c>
      <c r="Q5577">
        <v>0</v>
      </c>
      <c r="R5577" t="s">
        <v>44766</v>
      </c>
      <c r="S5577" t="s">
        <v>44902</v>
      </c>
      <c r="T5577" t="s">
        <v>46545</v>
      </c>
      <c r="U5577" t="s">
        <v>51670</v>
      </c>
      <c r="W5577" t="s">
        <v>42722</v>
      </c>
      <c r="X5577" t="s">
        <v>44767</v>
      </c>
    </row>
    <row r="5578" spans="1:24">
      <c r="A5578">
        <f>HYPERLINK("https://www.philgeps.gov.ph/GEPSNONPILOT/Tender/SplashBidNoticeAbstractUI.aspx?menuIndex=3&amp;refID=7146153&amp;Result=3","7146153")</f>
        <v>0</v>
      </c>
      <c r="B5578" t="s">
        <v>2025</v>
      </c>
      <c r="C5578" t="s">
        <v>9026</v>
      </c>
      <c r="D5578" t="s">
        <v>17953</v>
      </c>
      <c r="E5578" t="s">
        <v>22989</v>
      </c>
      <c r="F5578" t="s">
        <v>30900</v>
      </c>
      <c r="G5578" t="s">
        <v>30908</v>
      </c>
      <c r="H5578" t="s">
        <v>30916</v>
      </c>
      <c r="I5578" t="s">
        <v>4545</v>
      </c>
      <c r="J5578" t="s">
        <v>31179</v>
      </c>
      <c r="K5578" t="s">
        <v>40283</v>
      </c>
      <c r="M5578" t="s">
        <v>42721</v>
      </c>
      <c r="N5578" t="s">
        <v>44759</v>
      </c>
      <c r="O5578" t="s">
        <v>44760</v>
      </c>
      <c r="P5578">
        <v>0</v>
      </c>
      <c r="Q5578">
        <v>1</v>
      </c>
      <c r="R5578" t="s">
        <v>44766</v>
      </c>
      <c r="S5578" t="s">
        <v>44902</v>
      </c>
      <c r="T5578" t="s">
        <v>46376</v>
      </c>
      <c r="U5578" t="s">
        <v>51671</v>
      </c>
      <c r="W5578" t="s">
        <v>42721</v>
      </c>
      <c r="X5578" t="s">
        <v>44767</v>
      </c>
    </row>
    <row r="5579" spans="1:24">
      <c r="A5579">
        <f>HYPERLINK("https://www.philgeps.gov.ph/GEPSNONPILOT/Tender/SplashBidNoticeAbstractUI.aspx?menuIndex=3&amp;refID=7146120&amp;Result=3","7146120")</f>
        <v>0</v>
      </c>
      <c r="B5579" t="s">
        <v>2008</v>
      </c>
      <c r="C5579" t="s">
        <v>9027</v>
      </c>
      <c r="E5579" t="s">
        <v>22990</v>
      </c>
      <c r="F5579" t="s">
        <v>30900</v>
      </c>
      <c r="G5579" t="s">
        <v>30907</v>
      </c>
      <c r="H5579" t="s">
        <v>30916</v>
      </c>
      <c r="I5579" t="s">
        <v>4142</v>
      </c>
      <c r="J5579" t="s">
        <v>34711</v>
      </c>
      <c r="K5579" t="s">
        <v>40286</v>
      </c>
      <c r="M5579" t="s">
        <v>42703</v>
      </c>
      <c r="N5579" t="s">
        <v>44759</v>
      </c>
      <c r="O5579" t="s">
        <v>44760</v>
      </c>
      <c r="P5579">
        <v>0</v>
      </c>
      <c r="Q5579">
        <v>0</v>
      </c>
      <c r="R5579" t="s">
        <v>44766</v>
      </c>
      <c r="S5579" t="s">
        <v>44902</v>
      </c>
      <c r="T5579" t="s">
        <v>46376</v>
      </c>
      <c r="U5579" t="s">
        <v>51672</v>
      </c>
      <c r="W5579" t="s">
        <v>42703</v>
      </c>
      <c r="X5579" t="s">
        <v>44767</v>
      </c>
    </row>
    <row r="5580" spans="1:24">
      <c r="A5580">
        <f>HYPERLINK("https://www.philgeps.gov.ph/GEPSNONPILOT/Tender/SplashBidNoticeAbstractUI.aspx?menuIndex=3&amp;refID=7145835&amp;Result=3","7145835")</f>
        <v>0</v>
      </c>
      <c r="B5580" t="s">
        <v>1724</v>
      </c>
      <c r="C5580" t="s">
        <v>9028</v>
      </c>
      <c r="D5580" t="s">
        <v>18016</v>
      </c>
      <c r="E5580" t="s">
        <v>22991</v>
      </c>
      <c r="F5580" t="s">
        <v>30900</v>
      </c>
      <c r="G5580" t="s">
        <v>30907</v>
      </c>
      <c r="H5580" t="s">
        <v>30916</v>
      </c>
      <c r="I5580" t="s">
        <v>30960</v>
      </c>
      <c r="J5580" t="s">
        <v>34712</v>
      </c>
      <c r="K5580" t="s">
        <v>40284</v>
      </c>
      <c r="M5580" t="s">
        <v>42697</v>
      </c>
      <c r="N5580" t="s">
        <v>44759</v>
      </c>
      <c r="O5580" t="s">
        <v>44760</v>
      </c>
      <c r="P5580">
        <v>0</v>
      </c>
      <c r="Q5580">
        <v>4</v>
      </c>
      <c r="R5580" t="s">
        <v>44766</v>
      </c>
      <c r="S5580" t="s">
        <v>44902</v>
      </c>
      <c r="T5580" t="s">
        <v>46377</v>
      </c>
      <c r="U5580" t="s">
        <v>51585</v>
      </c>
      <c r="V5580" t="s">
        <v>59709</v>
      </c>
      <c r="W5580" t="s">
        <v>60878</v>
      </c>
      <c r="X5580" t="s">
        <v>44767</v>
      </c>
    </row>
    <row r="5581" spans="1:24">
      <c r="A5581">
        <f>HYPERLINK("https://www.philgeps.gov.ph/GEPSNONPILOT/Tender/SplashBidNoticeAbstractUI.aspx?menuIndex=3&amp;refID=7146072&amp;Result=3","7146072")</f>
        <v>0</v>
      </c>
      <c r="B5581" t="s">
        <v>1901</v>
      </c>
      <c r="C5581" t="s">
        <v>9029</v>
      </c>
      <c r="D5581" t="s">
        <v>17984</v>
      </c>
      <c r="E5581" t="s">
        <v>22992</v>
      </c>
      <c r="F5581" t="s">
        <v>30900</v>
      </c>
      <c r="G5581" t="s">
        <v>30907</v>
      </c>
      <c r="H5581" t="s">
        <v>30915</v>
      </c>
      <c r="I5581" t="s">
        <v>30919</v>
      </c>
      <c r="J5581" t="s">
        <v>34713</v>
      </c>
      <c r="K5581" t="s">
        <v>40308</v>
      </c>
      <c r="M5581" t="s">
        <v>42578</v>
      </c>
      <c r="N5581" t="s">
        <v>44759</v>
      </c>
      <c r="O5581" t="s">
        <v>44760</v>
      </c>
      <c r="P5581">
        <v>0</v>
      </c>
      <c r="Q5581">
        <v>1</v>
      </c>
      <c r="R5581" t="s">
        <v>44766</v>
      </c>
      <c r="S5581" t="s">
        <v>44902</v>
      </c>
      <c r="T5581" t="s">
        <v>46450</v>
      </c>
      <c r="U5581" t="s">
        <v>51673</v>
      </c>
      <c r="W5581" t="s">
        <v>42578</v>
      </c>
      <c r="X5581" t="s">
        <v>44767</v>
      </c>
    </row>
    <row r="5582" spans="1:24">
      <c r="A5582">
        <f>HYPERLINK("https://www.philgeps.gov.ph/GEPSNONPILOT/Tender/SplashBidNoticeAbstractUI.aspx?menuIndex=3&amp;refID=7146068&amp;Result=3","7146068")</f>
        <v>0</v>
      </c>
      <c r="B5582" t="s">
        <v>167</v>
      </c>
      <c r="C5582" t="s">
        <v>9030</v>
      </c>
      <c r="D5582" t="s">
        <v>17990</v>
      </c>
      <c r="E5582" t="s">
        <v>22993</v>
      </c>
      <c r="F5582" t="s">
        <v>30900</v>
      </c>
      <c r="G5582" t="s">
        <v>30908</v>
      </c>
      <c r="H5582" t="s">
        <v>30916</v>
      </c>
      <c r="I5582" t="s">
        <v>9385</v>
      </c>
      <c r="J5582" t="s">
        <v>34714</v>
      </c>
      <c r="K5582" t="s">
        <v>40286</v>
      </c>
      <c r="M5582" t="s">
        <v>42701</v>
      </c>
      <c r="N5582" t="s">
        <v>44759</v>
      </c>
      <c r="O5582" t="s">
        <v>44760</v>
      </c>
      <c r="Q5582">
        <v>6</v>
      </c>
      <c r="R5582" t="s">
        <v>44766</v>
      </c>
      <c r="S5582" t="s">
        <v>44917</v>
      </c>
      <c r="T5582" t="s">
        <v>46623</v>
      </c>
      <c r="U5582" t="s">
        <v>51674</v>
      </c>
      <c r="W5582" t="s">
        <v>42701</v>
      </c>
      <c r="X5582" t="s">
        <v>44767</v>
      </c>
    </row>
    <row r="5583" spans="1:24">
      <c r="A5583">
        <f>HYPERLINK("https://www.philgeps.gov.ph/GEPSNONPILOT/Tender/SplashBidNoticeAbstractUI.aspx?menuIndex=3&amp;refID=7146134&amp;Result=3","7146134")</f>
        <v>0</v>
      </c>
      <c r="B5583" t="s">
        <v>1724</v>
      </c>
      <c r="C5583" t="s">
        <v>9031</v>
      </c>
      <c r="D5583" t="s">
        <v>18016</v>
      </c>
      <c r="E5583" t="s">
        <v>22994</v>
      </c>
      <c r="F5583" t="s">
        <v>30900</v>
      </c>
      <c r="G5583" t="s">
        <v>30907</v>
      </c>
      <c r="H5583" t="s">
        <v>30916</v>
      </c>
      <c r="I5583" t="s">
        <v>4108</v>
      </c>
      <c r="J5583" t="s">
        <v>34715</v>
      </c>
      <c r="K5583" t="s">
        <v>40284</v>
      </c>
      <c r="M5583" t="s">
        <v>42697</v>
      </c>
      <c r="N5583" t="s">
        <v>44759</v>
      </c>
      <c r="O5583" t="s">
        <v>44760</v>
      </c>
      <c r="P5583">
        <v>0</v>
      </c>
      <c r="Q5583">
        <v>6</v>
      </c>
      <c r="R5583" t="s">
        <v>44766</v>
      </c>
      <c r="S5583" t="s">
        <v>44902</v>
      </c>
      <c r="T5583" t="s">
        <v>46377</v>
      </c>
      <c r="U5583" t="s">
        <v>51585</v>
      </c>
      <c r="V5583" t="s">
        <v>59709</v>
      </c>
      <c r="W5583" t="s">
        <v>60878</v>
      </c>
      <c r="X5583" t="s">
        <v>44767</v>
      </c>
    </row>
    <row r="5584" spans="1:24">
      <c r="A5584">
        <f>HYPERLINK("https://www.philgeps.gov.ph/GEPSNONPILOT/Tender/SplashBidNoticeAbstractUI.aspx?menuIndex=3&amp;refID=7146060&amp;Result=3","7146060")</f>
        <v>0</v>
      </c>
      <c r="B5584" t="s">
        <v>1463</v>
      </c>
      <c r="C5584" t="s">
        <v>9032</v>
      </c>
      <c r="D5584" t="s">
        <v>17978</v>
      </c>
      <c r="E5584" t="s">
        <v>22995</v>
      </c>
      <c r="F5584" t="s">
        <v>30900</v>
      </c>
      <c r="G5584" t="s">
        <v>30908</v>
      </c>
      <c r="H5584" t="s">
        <v>30916</v>
      </c>
      <c r="I5584" t="s">
        <v>30927</v>
      </c>
      <c r="J5584" t="s">
        <v>31293</v>
      </c>
      <c r="K5584" t="s">
        <v>40287</v>
      </c>
      <c r="M5584" t="s">
        <v>42097</v>
      </c>
      <c r="N5584" t="s">
        <v>44759</v>
      </c>
      <c r="O5584" t="s">
        <v>44760</v>
      </c>
      <c r="P5584">
        <v>0</v>
      </c>
      <c r="Q5584">
        <v>0</v>
      </c>
      <c r="R5584" t="s">
        <v>44766</v>
      </c>
      <c r="S5584" t="s">
        <v>44902</v>
      </c>
      <c r="T5584" t="s">
        <v>46403</v>
      </c>
      <c r="U5584" t="s">
        <v>51675</v>
      </c>
      <c r="W5584" t="s">
        <v>42097</v>
      </c>
      <c r="X5584" t="s">
        <v>44767</v>
      </c>
    </row>
    <row r="5585" spans="1:24">
      <c r="A5585">
        <f>HYPERLINK("https://www.philgeps.gov.ph/GEPSNONPILOT/Tender/SplashBidNoticeAbstractUI.aspx?menuIndex=3&amp;refID=7146129&amp;Result=3","7146129")</f>
        <v>0</v>
      </c>
      <c r="B5585" t="s">
        <v>2027</v>
      </c>
      <c r="C5585" t="s">
        <v>9033</v>
      </c>
      <c r="D5585" t="s">
        <v>17973</v>
      </c>
      <c r="E5585" t="s">
        <v>22996</v>
      </c>
      <c r="F5585" t="s">
        <v>30900</v>
      </c>
      <c r="G5585" t="s">
        <v>30907</v>
      </c>
      <c r="H5585" t="s">
        <v>30916</v>
      </c>
      <c r="I5585" t="s">
        <v>4545</v>
      </c>
      <c r="J5585" t="s">
        <v>34716</v>
      </c>
      <c r="K5585" t="s">
        <v>40280</v>
      </c>
      <c r="M5585" t="s">
        <v>42723</v>
      </c>
      <c r="N5585" t="s">
        <v>44759</v>
      </c>
      <c r="O5585" t="s">
        <v>44760</v>
      </c>
      <c r="P5585">
        <v>0</v>
      </c>
      <c r="Q5585">
        <v>4</v>
      </c>
      <c r="R5585" t="s">
        <v>44766</v>
      </c>
      <c r="S5585" t="s">
        <v>44902</v>
      </c>
      <c r="T5585" t="s">
        <v>46413</v>
      </c>
      <c r="U5585" t="s">
        <v>51676</v>
      </c>
      <c r="W5585" t="s">
        <v>42723</v>
      </c>
      <c r="X5585" t="s">
        <v>44767</v>
      </c>
    </row>
    <row r="5586" spans="1:24">
      <c r="A5586">
        <f>HYPERLINK("https://www.philgeps.gov.ph/GEPSNONPILOT/Tender/SplashBidNoticeAbstractUI.aspx?menuIndex=3&amp;refID=7145840&amp;Result=3","7145840")</f>
        <v>0</v>
      </c>
      <c r="B5586" t="s">
        <v>1997</v>
      </c>
      <c r="C5586" t="s">
        <v>9034</v>
      </c>
      <c r="D5586" t="s">
        <v>17953</v>
      </c>
      <c r="E5586" t="s">
        <v>22997</v>
      </c>
      <c r="F5586" t="s">
        <v>30900</v>
      </c>
      <c r="G5586" t="s">
        <v>30908</v>
      </c>
      <c r="H5586" t="s">
        <v>30917</v>
      </c>
      <c r="I5586" t="s">
        <v>30957</v>
      </c>
      <c r="J5586" t="s">
        <v>31382</v>
      </c>
      <c r="K5586" t="s">
        <v>40301</v>
      </c>
      <c r="M5586" t="s">
        <v>42689</v>
      </c>
      <c r="N5586" t="s">
        <v>44759</v>
      </c>
      <c r="O5586" t="s">
        <v>44760</v>
      </c>
      <c r="P5586">
        <v>0</v>
      </c>
      <c r="Q5586">
        <v>2</v>
      </c>
      <c r="R5586" t="s">
        <v>44766</v>
      </c>
      <c r="S5586" t="s">
        <v>44902</v>
      </c>
      <c r="T5586" t="s">
        <v>46581</v>
      </c>
      <c r="U5586" t="s">
        <v>51677</v>
      </c>
      <c r="W5586" t="s">
        <v>44481</v>
      </c>
      <c r="X5586" t="s">
        <v>44767</v>
      </c>
    </row>
    <row r="5587" spans="1:24">
      <c r="A5587">
        <f>HYPERLINK("https://www.philgeps.gov.ph/GEPSNONPILOT/Tender/SplashBidNoticeAbstractUI.aspx?menuIndex=3&amp;refID=7145867&amp;Result=3","7145867")</f>
        <v>0</v>
      </c>
      <c r="B5587" t="s">
        <v>44</v>
      </c>
      <c r="C5587" t="s">
        <v>7839</v>
      </c>
      <c r="D5587" t="s">
        <v>17969</v>
      </c>
      <c r="E5587" t="s">
        <v>22998</v>
      </c>
      <c r="F5587" t="s">
        <v>30900</v>
      </c>
      <c r="G5587" t="s">
        <v>30908</v>
      </c>
      <c r="H5587" t="s">
        <v>30916</v>
      </c>
      <c r="I5587" t="s">
        <v>10847</v>
      </c>
      <c r="J5587" t="s">
        <v>31049</v>
      </c>
      <c r="K5587" t="s">
        <v>40289</v>
      </c>
      <c r="M5587" t="s">
        <v>41947</v>
      </c>
      <c r="N5587" t="s">
        <v>44759</v>
      </c>
      <c r="O5587" t="s">
        <v>44760</v>
      </c>
      <c r="P5587">
        <v>0</v>
      </c>
      <c r="Q5587">
        <v>0</v>
      </c>
      <c r="R5587" t="s">
        <v>44766</v>
      </c>
      <c r="S5587" t="s">
        <v>44902</v>
      </c>
      <c r="T5587" t="s">
        <v>46548</v>
      </c>
      <c r="U5587" t="s">
        <v>51678</v>
      </c>
      <c r="W5587" t="s">
        <v>41947</v>
      </c>
      <c r="X5587" t="s">
        <v>44767</v>
      </c>
    </row>
    <row r="5588" spans="1:24">
      <c r="A5588">
        <f>HYPERLINK("https://www.philgeps.gov.ph/GEPSNONPILOT/Tender/SplashBidNoticeAbstractUI.aspx?menuIndex=3&amp;refID=7146147&amp;Result=3","7146147")</f>
        <v>0</v>
      </c>
      <c r="B5588" t="s">
        <v>1053</v>
      </c>
      <c r="C5588" t="s">
        <v>9035</v>
      </c>
      <c r="D5588" t="s">
        <v>17982</v>
      </c>
      <c r="E5588" t="s">
        <v>22999</v>
      </c>
      <c r="F5588" t="s">
        <v>30900</v>
      </c>
      <c r="G5588" t="s">
        <v>30908</v>
      </c>
      <c r="H5588" t="s">
        <v>30916</v>
      </c>
      <c r="I5588" t="s">
        <v>30924</v>
      </c>
      <c r="J5588" t="s">
        <v>31243</v>
      </c>
      <c r="K5588" t="s">
        <v>40283</v>
      </c>
      <c r="M5588" t="s">
        <v>41649</v>
      </c>
      <c r="N5588" t="s">
        <v>44759</v>
      </c>
      <c r="O5588" t="s">
        <v>44760</v>
      </c>
      <c r="P5588">
        <v>0</v>
      </c>
      <c r="Q5588">
        <v>3</v>
      </c>
      <c r="R5588" t="s">
        <v>44766</v>
      </c>
      <c r="S5588" t="s">
        <v>44902</v>
      </c>
      <c r="T5588" t="s">
        <v>46536</v>
      </c>
      <c r="U5588" t="s">
        <v>51679</v>
      </c>
      <c r="W5588" t="s">
        <v>41649</v>
      </c>
      <c r="X5588" t="s">
        <v>44767</v>
      </c>
    </row>
    <row r="5589" spans="1:24">
      <c r="A5589">
        <f>HYPERLINK("https://www.philgeps.gov.ph/GEPSNONPILOT/Tender/SplashBidNoticeAbstractUI.aspx?menuIndex=3&amp;refID=7146066&amp;Result=3","7146066")</f>
        <v>0</v>
      </c>
      <c r="B5589" t="s">
        <v>2028</v>
      </c>
      <c r="C5589" t="s">
        <v>9036</v>
      </c>
      <c r="D5589" t="s">
        <v>17959</v>
      </c>
      <c r="E5589" t="s">
        <v>23000</v>
      </c>
      <c r="F5589" t="s">
        <v>30900</v>
      </c>
      <c r="G5589" t="s">
        <v>30909</v>
      </c>
      <c r="H5589" t="s">
        <v>30916</v>
      </c>
      <c r="I5589" t="s">
        <v>30924</v>
      </c>
      <c r="J5589" t="s">
        <v>34717</v>
      </c>
      <c r="K5589" t="s">
        <v>40289</v>
      </c>
      <c r="M5589" t="s">
        <v>42724</v>
      </c>
      <c r="N5589" t="s">
        <v>44759</v>
      </c>
      <c r="O5589" t="s">
        <v>44760</v>
      </c>
      <c r="P5589">
        <v>0</v>
      </c>
      <c r="Q5589">
        <v>8</v>
      </c>
      <c r="R5589" t="s">
        <v>44766</v>
      </c>
      <c r="S5589" t="s">
        <v>44902</v>
      </c>
      <c r="T5589" t="s">
        <v>46414</v>
      </c>
      <c r="U5589" t="s">
        <v>51680</v>
      </c>
      <c r="V5589" t="s">
        <v>59723</v>
      </c>
      <c r="W5589" t="s">
        <v>42724</v>
      </c>
      <c r="X5589" t="s">
        <v>44767</v>
      </c>
    </row>
    <row r="5590" spans="1:24">
      <c r="A5590">
        <f>HYPERLINK("https://www.philgeps.gov.ph/GEPSNONPILOT/Tender/SplashBidNoticeAbstractUI.aspx?menuIndex=3&amp;refID=7146070&amp;Result=3","7146070")</f>
        <v>0</v>
      </c>
      <c r="B5590" t="s">
        <v>1463</v>
      </c>
      <c r="C5590" t="s">
        <v>9037</v>
      </c>
      <c r="D5590" t="s">
        <v>17978</v>
      </c>
      <c r="E5590" t="s">
        <v>23001</v>
      </c>
      <c r="F5590" t="s">
        <v>30900</v>
      </c>
      <c r="G5590" t="s">
        <v>30908</v>
      </c>
      <c r="H5590" t="s">
        <v>30916</v>
      </c>
      <c r="I5590" t="s">
        <v>30947</v>
      </c>
      <c r="J5590" t="s">
        <v>31423</v>
      </c>
      <c r="K5590" t="s">
        <v>40287</v>
      </c>
      <c r="M5590" t="s">
        <v>42097</v>
      </c>
      <c r="N5590" t="s">
        <v>44759</v>
      </c>
      <c r="O5590" t="s">
        <v>44760</v>
      </c>
      <c r="P5590">
        <v>0</v>
      </c>
      <c r="Q5590">
        <v>0</v>
      </c>
      <c r="R5590" t="s">
        <v>44766</v>
      </c>
      <c r="S5590" t="s">
        <v>44902</v>
      </c>
      <c r="T5590" t="s">
        <v>46403</v>
      </c>
      <c r="U5590" t="s">
        <v>51681</v>
      </c>
      <c r="W5590" t="s">
        <v>42097</v>
      </c>
      <c r="X5590" t="s">
        <v>44767</v>
      </c>
    </row>
    <row r="5591" spans="1:24">
      <c r="A5591">
        <f>HYPERLINK("https://www.philgeps.gov.ph/GEPSNONPILOT/Tender/SplashBidNoticeAbstractUI.aspx?menuIndex=3&amp;refID=7146241&amp;Result=3","7146241")</f>
        <v>0</v>
      </c>
      <c r="B5591" t="s">
        <v>2029</v>
      </c>
      <c r="C5591" t="s">
        <v>9038</v>
      </c>
      <c r="D5591" t="s">
        <v>18002</v>
      </c>
      <c r="E5591" t="s">
        <v>23002</v>
      </c>
      <c r="F5591" t="s">
        <v>30900</v>
      </c>
      <c r="G5591" t="s">
        <v>30907</v>
      </c>
      <c r="H5591" t="s">
        <v>30916</v>
      </c>
      <c r="I5591" t="s">
        <v>4142</v>
      </c>
      <c r="J5591" t="s">
        <v>34718</v>
      </c>
      <c r="K5591" t="s">
        <v>40286</v>
      </c>
      <c r="M5591" t="s">
        <v>42725</v>
      </c>
      <c r="N5591" t="s">
        <v>44759</v>
      </c>
      <c r="O5591" t="s">
        <v>44760</v>
      </c>
      <c r="P5591">
        <v>0</v>
      </c>
      <c r="Q5591">
        <v>5</v>
      </c>
      <c r="R5591" t="s">
        <v>44766</v>
      </c>
      <c r="S5591" t="s">
        <v>44902</v>
      </c>
      <c r="T5591" t="s">
        <v>46421</v>
      </c>
      <c r="U5591" t="s">
        <v>51682</v>
      </c>
      <c r="W5591" t="s">
        <v>60879</v>
      </c>
      <c r="X5591" t="s">
        <v>44767</v>
      </c>
    </row>
    <row r="5592" spans="1:24">
      <c r="A5592">
        <f>HYPERLINK("https://www.philgeps.gov.ph/GEPSNONPILOT/Tender/SplashBidNoticeAbstractUI.aspx?menuIndex=3&amp;refID=7146235&amp;Result=3","7146235")</f>
        <v>0</v>
      </c>
      <c r="B5592" t="s">
        <v>1172</v>
      </c>
      <c r="C5592" t="s">
        <v>9039</v>
      </c>
      <c r="D5592" t="s">
        <v>18035</v>
      </c>
      <c r="E5592" t="s">
        <v>23003</v>
      </c>
      <c r="F5592" t="s">
        <v>30900</v>
      </c>
      <c r="G5592" t="s">
        <v>30907</v>
      </c>
      <c r="H5592" t="s">
        <v>30915</v>
      </c>
      <c r="I5592" t="s">
        <v>30919</v>
      </c>
      <c r="J5592" t="s">
        <v>34719</v>
      </c>
      <c r="K5592" t="s">
        <v>40369</v>
      </c>
      <c r="M5592" t="s">
        <v>42726</v>
      </c>
      <c r="N5592" t="s">
        <v>44759</v>
      </c>
      <c r="O5592" t="s">
        <v>44760</v>
      </c>
      <c r="P5592">
        <v>0</v>
      </c>
      <c r="Q5592">
        <v>1</v>
      </c>
      <c r="R5592" t="s">
        <v>44766</v>
      </c>
      <c r="S5592" t="s">
        <v>44902</v>
      </c>
      <c r="T5592" t="s">
        <v>46606</v>
      </c>
      <c r="U5592" t="s">
        <v>51683</v>
      </c>
      <c r="W5592" t="s">
        <v>42726</v>
      </c>
      <c r="X5592" t="s">
        <v>44767</v>
      </c>
    </row>
    <row r="5593" spans="1:24">
      <c r="A5593">
        <f>HYPERLINK("https://www.philgeps.gov.ph/GEPSNONPILOT/Tender/SplashBidNoticeAbstractUI.aspx?menuIndex=3&amp;refID=7146229&amp;Result=3","7146229")</f>
        <v>0</v>
      </c>
      <c r="B5593" t="s">
        <v>2030</v>
      </c>
      <c r="C5593" t="s">
        <v>9040</v>
      </c>
      <c r="D5593" t="s">
        <v>17999</v>
      </c>
      <c r="E5593" t="s">
        <v>23004</v>
      </c>
      <c r="F5593" t="s">
        <v>30900</v>
      </c>
      <c r="G5593" t="s">
        <v>30908</v>
      </c>
      <c r="H5593" t="s">
        <v>30916</v>
      </c>
      <c r="I5593" t="s">
        <v>10847</v>
      </c>
      <c r="J5593" t="s">
        <v>31182</v>
      </c>
      <c r="K5593" t="s">
        <v>40294</v>
      </c>
      <c r="M5593" t="s">
        <v>42727</v>
      </c>
      <c r="N5593" t="s">
        <v>44759</v>
      </c>
      <c r="O5593" t="s">
        <v>44760</v>
      </c>
      <c r="P5593">
        <v>0</v>
      </c>
      <c r="Q5593">
        <v>2</v>
      </c>
      <c r="R5593" t="s">
        <v>44766</v>
      </c>
      <c r="S5593" t="s">
        <v>44902</v>
      </c>
      <c r="T5593" t="s">
        <v>46704</v>
      </c>
      <c r="U5593" t="s">
        <v>51684</v>
      </c>
      <c r="W5593" t="s">
        <v>42727</v>
      </c>
      <c r="X5593" t="s">
        <v>44767</v>
      </c>
    </row>
    <row r="5594" spans="1:24">
      <c r="A5594">
        <f>HYPERLINK("https://www.philgeps.gov.ph/GEPSNONPILOT/Tender/SplashBidNoticeAbstractUI.aspx?menuIndex=3&amp;refID=7146222&amp;Result=3","7146222")</f>
        <v>0</v>
      </c>
      <c r="B5594" t="s">
        <v>58</v>
      </c>
      <c r="C5594" t="s">
        <v>9041</v>
      </c>
      <c r="D5594" t="s">
        <v>17977</v>
      </c>
      <c r="E5594" t="s">
        <v>23005</v>
      </c>
      <c r="F5594" t="s">
        <v>30900</v>
      </c>
      <c r="G5594" t="s">
        <v>30908</v>
      </c>
      <c r="H5594" t="s">
        <v>30916</v>
      </c>
      <c r="I5594" t="s">
        <v>30933</v>
      </c>
      <c r="J5594" t="s">
        <v>31271</v>
      </c>
      <c r="K5594" t="s">
        <v>40287</v>
      </c>
      <c r="M5594" t="s">
        <v>40604</v>
      </c>
      <c r="N5594" t="s">
        <v>44759</v>
      </c>
      <c r="O5594" t="s">
        <v>44760</v>
      </c>
      <c r="P5594">
        <v>0</v>
      </c>
      <c r="Q5594">
        <v>0</v>
      </c>
      <c r="R5594" t="s">
        <v>44766</v>
      </c>
      <c r="S5594" t="s">
        <v>44902</v>
      </c>
      <c r="T5594" t="s">
        <v>46625</v>
      </c>
      <c r="U5594" t="s">
        <v>51289</v>
      </c>
      <c r="W5594" t="s">
        <v>60815</v>
      </c>
      <c r="X5594" t="s">
        <v>44767</v>
      </c>
    </row>
    <row r="5595" spans="1:24">
      <c r="A5595">
        <f>HYPERLINK("https://www.philgeps.gov.ph/GEPSNONPILOT/Tender/SplashBidNoticeAbstractUI.aspx?menuIndex=3&amp;refID=7146074&amp;Result=3","7146074")</f>
        <v>0</v>
      </c>
      <c r="B5595" t="s">
        <v>1589</v>
      </c>
      <c r="C5595" t="s">
        <v>9042</v>
      </c>
      <c r="D5595" t="s">
        <v>17992</v>
      </c>
      <c r="E5595" t="s">
        <v>23006</v>
      </c>
      <c r="F5595" t="s">
        <v>30900</v>
      </c>
      <c r="G5595" t="s">
        <v>30907</v>
      </c>
      <c r="H5595" t="s">
        <v>30915</v>
      </c>
      <c r="I5595" t="s">
        <v>30919</v>
      </c>
      <c r="J5595" t="s">
        <v>32276</v>
      </c>
      <c r="K5595" t="s">
        <v>40384</v>
      </c>
      <c r="M5595" t="s">
        <v>42236</v>
      </c>
      <c r="N5595" t="s">
        <v>44759</v>
      </c>
      <c r="O5595" t="s">
        <v>44760</v>
      </c>
      <c r="P5595">
        <v>0</v>
      </c>
      <c r="Q5595">
        <v>0</v>
      </c>
      <c r="R5595" t="s">
        <v>44766</v>
      </c>
      <c r="S5595" t="s">
        <v>44902</v>
      </c>
      <c r="T5595" t="s">
        <v>46357</v>
      </c>
      <c r="U5595" t="s">
        <v>51685</v>
      </c>
      <c r="V5595" t="s">
        <v>59724</v>
      </c>
      <c r="W5595" t="s">
        <v>42236</v>
      </c>
      <c r="X5595" t="s">
        <v>44767</v>
      </c>
    </row>
    <row r="5596" spans="1:24">
      <c r="A5596">
        <f>HYPERLINK("https://www.philgeps.gov.ph/GEPSNONPILOT/Tender/SplashBidNoticeAbstractUI.aspx?menuIndex=3&amp;refID=7146221&amp;Result=3","7146221")</f>
        <v>0</v>
      </c>
      <c r="B5596" t="s">
        <v>2031</v>
      </c>
      <c r="C5596" t="s">
        <v>9043</v>
      </c>
      <c r="D5596" t="s">
        <v>17982</v>
      </c>
      <c r="E5596" t="s">
        <v>23007</v>
      </c>
      <c r="F5596" t="s">
        <v>30900</v>
      </c>
      <c r="G5596" t="s">
        <v>30907</v>
      </c>
      <c r="H5596" t="s">
        <v>30915</v>
      </c>
      <c r="I5596" t="s">
        <v>30919</v>
      </c>
      <c r="J5596" t="s">
        <v>34720</v>
      </c>
      <c r="K5596" t="s">
        <v>40286</v>
      </c>
      <c r="M5596" t="s">
        <v>42728</v>
      </c>
      <c r="N5596" t="s">
        <v>44759</v>
      </c>
      <c r="O5596" t="s">
        <v>44760</v>
      </c>
      <c r="Q5596">
        <v>0</v>
      </c>
      <c r="R5596" t="s">
        <v>44766</v>
      </c>
      <c r="S5596" t="s">
        <v>44918</v>
      </c>
      <c r="T5596" t="s">
        <v>46519</v>
      </c>
      <c r="U5596" t="s">
        <v>51686</v>
      </c>
      <c r="W5596" t="s">
        <v>42728</v>
      </c>
      <c r="X5596" t="s">
        <v>44767</v>
      </c>
    </row>
    <row r="5597" spans="1:24">
      <c r="A5597">
        <f>HYPERLINK("https://www.philgeps.gov.ph/GEPSNONPILOT/Tender/SplashBidNoticeAbstractUI.aspx?menuIndex=3&amp;refID=7146192&amp;Result=3","7146192")</f>
        <v>0</v>
      </c>
      <c r="B5597" t="s">
        <v>2032</v>
      </c>
      <c r="C5597" t="s">
        <v>9044</v>
      </c>
      <c r="D5597" t="s">
        <v>17985</v>
      </c>
      <c r="E5597" t="s">
        <v>23008</v>
      </c>
      <c r="F5597" t="s">
        <v>30900</v>
      </c>
      <c r="G5597" t="s">
        <v>30908</v>
      </c>
      <c r="H5597" t="s">
        <v>30916</v>
      </c>
      <c r="I5597" t="s">
        <v>6746</v>
      </c>
      <c r="J5597" t="s">
        <v>34721</v>
      </c>
      <c r="K5597" t="s">
        <v>40286</v>
      </c>
      <c r="M5597" t="s">
        <v>42729</v>
      </c>
      <c r="N5597" t="s">
        <v>44759</v>
      </c>
      <c r="O5597" t="s">
        <v>44760</v>
      </c>
      <c r="P5597">
        <v>0</v>
      </c>
      <c r="Q5597">
        <v>0</v>
      </c>
      <c r="R5597" t="s">
        <v>44766</v>
      </c>
      <c r="S5597" t="s">
        <v>44902</v>
      </c>
      <c r="T5597" t="s">
        <v>46662</v>
      </c>
      <c r="U5597" t="s">
        <v>47009</v>
      </c>
      <c r="W5597" t="s">
        <v>42729</v>
      </c>
      <c r="X5597" t="s">
        <v>44767</v>
      </c>
    </row>
    <row r="5598" spans="1:24">
      <c r="A5598">
        <f>HYPERLINK("https://www.philgeps.gov.ph/GEPSNONPILOT/Tender/SplashBidNoticeAbstractUI.aspx?menuIndex=3&amp;refID=7146219&amp;Result=3","7146219")</f>
        <v>0</v>
      </c>
      <c r="B5598" t="s">
        <v>1927</v>
      </c>
      <c r="C5598" t="s">
        <v>9045</v>
      </c>
      <c r="D5598" t="s">
        <v>17952</v>
      </c>
      <c r="E5598" t="s">
        <v>23009</v>
      </c>
      <c r="F5598" t="s">
        <v>30900</v>
      </c>
      <c r="G5598" t="s">
        <v>30909</v>
      </c>
      <c r="H5598" t="s">
        <v>30916</v>
      </c>
      <c r="I5598" t="s">
        <v>6746</v>
      </c>
      <c r="J5598" t="s">
        <v>34722</v>
      </c>
      <c r="K5598" t="s">
        <v>40287</v>
      </c>
      <c r="M5598" t="s">
        <v>42607</v>
      </c>
      <c r="N5598" t="s">
        <v>44759</v>
      </c>
      <c r="O5598" t="s">
        <v>44760</v>
      </c>
      <c r="P5598">
        <v>0</v>
      </c>
      <c r="Q5598">
        <v>0</v>
      </c>
      <c r="R5598" t="s">
        <v>44766</v>
      </c>
      <c r="S5598" t="s">
        <v>44902</v>
      </c>
      <c r="T5598" t="s">
        <v>46374</v>
      </c>
      <c r="U5598" t="s">
        <v>51687</v>
      </c>
      <c r="W5598" t="s">
        <v>42607</v>
      </c>
      <c r="X5598" t="s">
        <v>44767</v>
      </c>
    </row>
    <row r="5599" spans="1:24">
      <c r="A5599">
        <f>HYPERLINK("https://www.philgeps.gov.ph/GEPSNONPILOT/Tender/SplashBidNoticeAbstractUI.aspx?menuIndex=3&amp;refID=7146234&amp;Result=3","7146234")</f>
        <v>0</v>
      </c>
      <c r="B5599" t="s">
        <v>172</v>
      </c>
      <c r="C5599" t="s">
        <v>9046</v>
      </c>
      <c r="D5599" t="s">
        <v>17973</v>
      </c>
      <c r="E5599" t="s">
        <v>23010</v>
      </c>
      <c r="F5599" t="s">
        <v>30900</v>
      </c>
      <c r="G5599" t="s">
        <v>30910</v>
      </c>
      <c r="H5599" t="s">
        <v>30916</v>
      </c>
      <c r="I5599" t="s">
        <v>4108</v>
      </c>
      <c r="J5599" t="s">
        <v>34723</v>
      </c>
      <c r="K5599" t="s">
        <v>40321</v>
      </c>
      <c r="M5599" t="s">
        <v>40719</v>
      </c>
      <c r="N5599" t="s">
        <v>44759</v>
      </c>
      <c r="O5599" t="s">
        <v>44760</v>
      </c>
      <c r="P5599">
        <v>0</v>
      </c>
      <c r="Q5599">
        <v>1</v>
      </c>
      <c r="R5599" t="s">
        <v>44766</v>
      </c>
      <c r="S5599" t="s">
        <v>44902</v>
      </c>
      <c r="T5599" t="s">
        <v>46547</v>
      </c>
      <c r="U5599" t="s">
        <v>47201</v>
      </c>
      <c r="W5599" t="s">
        <v>40719</v>
      </c>
      <c r="X5599" t="s">
        <v>44767</v>
      </c>
    </row>
    <row r="5600" spans="1:24">
      <c r="A5600">
        <f>HYPERLINK("https://www.philgeps.gov.ph/GEPSNONPILOT/Tender/SplashBidNoticeAbstractUI.aspx?menuIndex=3&amp;refID=7146211&amp;Result=3","7146211")</f>
        <v>0</v>
      </c>
      <c r="B5600" t="s">
        <v>284</v>
      </c>
      <c r="C5600" t="s">
        <v>9047</v>
      </c>
      <c r="D5600" t="s">
        <v>18009</v>
      </c>
      <c r="E5600" t="s">
        <v>23011</v>
      </c>
      <c r="F5600" t="s">
        <v>30900</v>
      </c>
      <c r="G5600" t="s">
        <v>30907</v>
      </c>
      <c r="H5600" t="s">
        <v>30916</v>
      </c>
      <c r="I5600" t="s">
        <v>5501</v>
      </c>
      <c r="J5600" t="s">
        <v>34724</v>
      </c>
      <c r="K5600" t="s">
        <v>40286</v>
      </c>
      <c r="M5600" t="s">
        <v>40832</v>
      </c>
      <c r="N5600" t="s">
        <v>44759</v>
      </c>
      <c r="O5600" t="s">
        <v>44760</v>
      </c>
      <c r="P5600">
        <v>0</v>
      </c>
      <c r="Q5600">
        <v>2</v>
      </c>
      <c r="R5600" t="s">
        <v>44766</v>
      </c>
      <c r="S5600" t="s">
        <v>44902</v>
      </c>
      <c r="T5600" t="s">
        <v>46689</v>
      </c>
      <c r="U5600" t="s">
        <v>51688</v>
      </c>
      <c r="W5600" t="s">
        <v>40832</v>
      </c>
      <c r="X5600" t="s">
        <v>44767</v>
      </c>
    </row>
    <row r="5601" spans="1:24">
      <c r="A5601">
        <f>HYPERLINK("https://www.philgeps.gov.ph/GEPSNONPILOT/Tender/SplashBidNoticeAbstractUI.aspx?menuIndex=3&amp;refID=7146061&amp;Result=3","7146061")</f>
        <v>0</v>
      </c>
      <c r="B5601" t="s">
        <v>1899</v>
      </c>
      <c r="C5601" t="s">
        <v>9048</v>
      </c>
      <c r="D5601" t="s">
        <v>17992</v>
      </c>
      <c r="E5601" t="s">
        <v>23012</v>
      </c>
      <c r="F5601" t="s">
        <v>30900</v>
      </c>
      <c r="G5601" t="s">
        <v>30907</v>
      </c>
      <c r="H5601" t="s">
        <v>30916</v>
      </c>
      <c r="I5601" t="s">
        <v>8123</v>
      </c>
      <c r="J5601" t="s">
        <v>34725</v>
      </c>
      <c r="K5601" t="s">
        <v>40283</v>
      </c>
      <c r="M5601" t="s">
        <v>42575</v>
      </c>
      <c r="N5601" t="s">
        <v>44759</v>
      </c>
      <c r="O5601" t="s">
        <v>44760</v>
      </c>
      <c r="P5601">
        <v>0</v>
      </c>
      <c r="Q5601">
        <v>0</v>
      </c>
      <c r="R5601" t="s">
        <v>44766</v>
      </c>
      <c r="S5601" t="s">
        <v>44902</v>
      </c>
      <c r="T5601" t="s">
        <v>46414</v>
      </c>
      <c r="U5601" t="s">
        <v>51689</v>
      </c>
      <c r="V5601" t="s">
        <v>59699</v>
      </c>
      <c r="W5601" t="s">
        <v>42575</v>
      </c>
      <c r="X5601" t="s">
        <v>44767</v>
      </c>
    </row>
    <row r="5602" spans="1:24">
      <c r="A5602">
        <f>HYPERLINK("https://www.philgeps.gov.ph/GEPSNONPILOT/Tender/SplashBidNoticeAbstractUI.aspx?menuIndex=3&amp;refID=7146207&amp;Result=3","7146207")</f>
        <v>0</v>
      </c>
      <c r="B5602" t="s">
        <v>172</v>
      </c>
      <c r="C5602" t="s">
        <v>9049</v>
      </c>
      <c r="D5602" t="s">
        <v>17979</v>
      </c>
      <c r="E5602" t="s">
        <v>23013</v>
      </c>
      <c r="F5602" t="s">
        <v>30900</v>
      </c>
      <c r="G5602" t="s">
        <v>30910</v>
      </c>
      <c r="H5602" t="s">
        <v>30916</v>
      </c>
      <c r="I5602" t="s">
        <v>30963</v>
      </c>
      <c r="J5602" t="s">
        <v>32040</v>
      </c>
      <c r="K5602" t="s">
        <v>40286</v>
      </c>
      <c r="M5602" t="s">
        <v>40719</v>
      </c>
      <c r="N5602" t="s">
        <v>44759</v>
      </c>
      <c r="O5602" t="s">
        <v>44760</v>
      </c>
      <c r="P5602">
        <v>0</v>
      </c>
      <c r="Q5602">
        <v>3</v>
      </c>
      <c r="R5602" t="s">
        <v>44766</v>
      </c>
      <c r="S5602" t="s">
        <v>44902</v>
      </c>
      <c r="T5602" t="s">
        <v>46547</v>
      </c>
      <c r="U5602" t="s">
        <v>47201</v>
      </c>
      <c r="W5602" t="s">
        <v>40719</v>
      </c>
      <c r="X5602" t="s">
        <v>44767</v>
      </c>
    </row>
    <row r="5603" spans="1:24">
      <c r="A5603">
        <f>HYPERLINK("https://www.philgeps.gov.ph/GEPSNONPILOT/Tender/SplashBidNoticeAbstractUI.aspx?menuIndex=3&amp;refID=7145907&amp;Result=3","7145907")</f>
        <v>0</v>
      </c>
      <c r="B5603" t="s">
        <v>2013</v>
      </c>
      <c r="C5603" t="s">
        <v>9050</v>
      </c>
      <c r="D5603" t="s">
        <v>17971</v>
      </c>
      <c r="E5603" t="s">
        <v>23014</v>
      </c>
      <c r="F5603" t="s">
        <v>30900</v>
      </c>
      <c r="G5603" t="s">
        <v>30907</v>
      </c>
      <c r="H5603" t="s">
        <v>30915</v>
      </c>
      <c r="I5603" t="s">
        <v>30919</v>
      </c>
      <c r="J5603" t="s">
        <v>34726</v>
      </c>
      <c r="K5603" t="s">
        <v>40304</v>
      </c>
      <c r="M5603" t="s">
        <v>42708</v>
      </c>
      <c r="N5603" t="s">
        <v>44759</v>
      </c>
      <c r="O5603" t="s">
        <v>44760</v>
      </c>
      <c r="P5603">
        <v>0</v>
      </c>
      <c r="Q5603">
        <v>30</v>
      </c>
      <c r="R5603" t="s">
        <v>44766</v>
      </c>
      <c r="S5603" t="s">
        <v>44902</v>
      </c>
      <c r="T5603" t="s">
        <v>46411</v>
      </c>
      <c r="U5603" t="s">
        <v>51690</v>
      </c>
      <c r="V5603" t="s">
        <v>59719</v>
      </c>
      <c r="W5603" t="s">
        <v>42708</v>
      </c>
      <c r="X5603" t="s">
        <v>44767</v>
      </c>
    </row>
    <row r="5604" spans="1:24">
      <c r="A5604">
        <f>HYPERLINK("https://www.philgeps.gov.ph/GEPSNONPILOT/Tender/SplashBidNoticeAbstractUI.aspx?menuIndex=3&amp;refID=7146203&amp;Result=3","7146203")</f>
        <v>0</v>
      </c>
      <c r="B5604" t="s">
        <v>1886</v>
      </c>
      <c r="C5604" t="s">
        <v>9051</v>
      </c>
      <c r="D5604" t="s">
        <v>17985</v>
      </c>
      <c r="E5604" t="s">
        <v>23015</v>
      </c>
      <c r="F5604" t="s">
        <v>30900</v>
      </c>
      <c r="G5604" t="s">
        <v>30913</v>
      </c>
      <c r="H5604" t="s">
        <v>30915</v>
      </c>
      <c r="I5604" t="s">
        <v>30919</v>
      </c>
      <c r="J5604" t="s">
        <v>32523</v>
      </c>
      <c r="K5604" t="s">
        <v>40416</v>
      </c>
      <c r="M5604" t="s">
        <v>42561</v>
      </c>
      <c r="N5604" t="s">
        <v>44759</v>
      </c>
      <c r="O5604" t="s">
        <v>44760</v>
      </c>
      <c r="P5604">
        <v>0</v>
      </c>
      <c r="Q5604">
        <v>2</v>
      </c>
      <c r="R5604" t="s">
        <v>44766</v>
      </c>
      <c r="S5604" t="s">
        <v>44902</v>
      </c>
      <c r="T5604" t="s">
        <v>46495</v>
      </c>
      <c r="U5604" t="s">
        <v>48623</v>
      </c>
      <c r="W5604" t="s">
        <v>42561</v>
      </c>
      <c r="X5604" t="s">
        <v>44767</v>
      </c>
    </row>
    <row r="5605" spans="1:24">
      <c r="A5605">
        <f>HYPERLINK("https://www.philgeps.gov.ph/GEPSNONPILOT/Tender/SplashBidNoticeAbstractUI.aspx?menuIndex=3&amp;refID=7146220&amp;Result=3","7146220")</f>
        <v>0</v>
      </c>
      <c r="B5605" t="s">
        <v>2033</v>
      </c>
      <c r="C5605" t="s">
        <v>9052</v>
      </c>
      <c r="D5605" t="s">
        <v>17998</v>
      </c>
      <c r="E5605" t="s">
        <v>23016</v>
      </c>
      <c r="F5605" t="s">
        <v>30900</v>
      </c>
      <c r="G5605" t="s">
        <v>30907</v>
      </c>
      <c r="H5605" t="s">
        <v>30916</v>
      </c>
      <c r="I5605" t="s">
        <v>30947</v>
      </c>
      <c r="J5605" t="s">
        <v>34727</v>
      </c>
      <c r="K5605" t="s">
        <v>40293</v>
      </c>
      <c r="M5605" t="s">
        <v>42730</v>
      </c>
      <c r="N5605" t="s">
        <v>44759</v>
      </c>
      <c r="O5605" t="s">
        <v>44760</v>
      </c>
      <c r="P5605">
        <v>0</v>
      </c>
      <c r="Q5605">
        <v>1</v>
      </c>
      <c r="R5605" t="s">
        <v>44766</v>
      </c>
      <c r="S5605" t="s">
        <v>44902</v>
      </c>
      <c r="T5605" t="s">
        <v>46377</v>
      </c>
      <c r="U5605" t="s">
        <v>51691</v>
      </c>
      <c r="W5605" t="s">
        <v>42730</v>
      </c>
      <c r="X5605" t="s">
        <v>44767</v>
      </c>
    </row>
    <row r="5606" spans="1:24">
      <c r="A5606">
        <f>HYPERLINK("https://www.philgeps.gov.ph/GEPSNONPILOT/Tender/SplashBidNoticeAbstractUI.aspx?menuIndex=3&amp;refID=7146246&amp;Result=3","7146246")</f>
        <v>0</v>
      </c>
      <c r="B5606" t="s">
        <v>2034</v>
      </c>
      <c r="C5606" t="s">
        <v>9053</v>
      </c>
      <c r="D5606" t="s">
        <v>17960</v>
      </c>
      <c r="E5606" t="s">
        <v>23017</v>
      </c>
      <c r="F5606" t="s">
        <v>30900</v>
      </c>
      <c r="G5606" t="s">
        <v>30907</v>
      </c>
      <c r="H5606" t="s">
        <v>30916</v>
      </c>
      <c r="I5606" t="s">
        <v>30963</v>
      </c>
      <c r="J5606" t="s">
        <v>34728</v>
      </c>
      <c r="K5606" t="s">
        <v>40288</v>
      </c>
      <c r="M5606" t="s">
        <v>42731</v>
      </c>
      <c r="N5606" t="s">
        <v>44759</v>
      </c>
      <c r="O5606" t="s">
        <v>44760</v>
      </c>
      <c r="P5606">
        <v>0</v>
      </c>
      <c r="Q5606">
        <v>4</v>
      </c>
      <c r="R5606" t="s">
        <v>44766</v>
      </c>
      <c r="S5606" t="s">
        <v>44902</v>
      </c>
      <c r="T5606" t="s">
        <v>46383</v>
      </c>
      <c r="U5606" t="s">
        <v>51692</v>
      </c>
      <c r="V5606" t="s">
        <v>59253</v>
      </c>
      <c r="W5606" t="s">
        <v>42731</v>
      </c>
      <c r="X5606" t="s">
        <v>44767</v>
      </c>
    </row>
    <row r="5607" spans="1:24">
      <c r="A5607">
        <f>HYPERLINK("https://www.philgeps.gov.ph/GEPSNONPILOT/Tender/SplashBidNoticeAbstractUI.aspx?menuIndex=3&amp;refID=7146218&amp;Result=3","7146218")</f>
        <v>0</v>
      </c>
      <c r="B5607" t="s">
        <v>172</v>
      </c>
      <c r="C5607" t="s">
        <v>9054</v>
      </c>
      <c r="D5607" t="s">
        <v>17979</v>
      </c>
      <c r="E5607" t="s">
        <v>23018</v>
      </c>
      <c r="F5607" t="s">
        <v>30900</v>
      </c>
      <c r="G5607" t="s">
        <v>30910</v>
      </c>
      <c r="H5607" t="s">
        <v>30916</v>
      </c>
      <c r="I5607" t="s">
        <v>10961</v>
      </c>
      <c r="J5607" t="s">
        <v>33225</v>
      </c>
      <c r="K5607" t="s">
        <v>40286</v>
      </c>
      <c r="M5607" t="s">
        <v>40719</v>
      </c>
      <c r="N5607" t="s">
        <v>44759</v>
      </c>
      <c r="O5607" t="s">
        <v>44760</v>
      </c>
      <c r="P5607">
        <v>0</v>
      </c>
      <c r="Q5607">
        <v>7</v>
      </c>
      <c r="R5607" t="s">
        <v>44766</v>
      </c>
      <c r="S5607" t="s">
        <v>44902</v>
      </c>
      <c r="T5607" t="s">
        <v>46547</v>
      </c>
      <c r="U5607" t="s">
        <v>47201</v>
      </c>
      <c r="W5607" t="s">
        <v>40719</v>
      </c>
      <c r="X5607" t="s">
        <v>44767</v>
      </c>
    </row>
    <row r="5608" spans="1:24">
      <c r="A5608">
        <f>HYPERLINK("https://www.philgeps.gov.ph/GEPSNONPILOT/Tender/SplashBidNoticeAbstractUI.aspx?menuIndex=3&amp;refID=7146302&amp;Result=3","7146302")</f>
        <v>0</v>
      </c>
      <c r="B5608" t="s">
        <v>2035</v>
      </c>
      <c r="C5608" t="s">
        <v>9055</v>
      </c>
      <c r="D5608" t="s">
        <v>17981</v>
      </c>
      <c r="E5608" t="s">
        <v>23019</v>
      </c>
      <c r="F5608" t="s">
        <v>30900</v>
      </c>
      <c r="G5608" t="s">
        <v>30907</v>
      </c>
      <c r="H5608" t="s">
        <v>30915</v>
      </c>
      <c r="I5608" t="s">
        <v>30948</v>
      </c>
      <c r="J5608" t="s">
        <v>34729</v>
      </c>
      <c r="K5608" t="s">
        <v>40292</v>
      </c>
      <c r="M5608" t="s">
        <v>42732</v>
      </c>
      <c r="N5608" t="s">
        <v>44759</v>
      </c>
      <c r="O5608" t="s">
        <v>44760</v>
      </c>
      <c r="P5608">
        <v>0</v>
      </c>
      <c r="Q5608">
        <v>2</v>
      </c>
      <c r="R5608" t="s">
        <v>44766</v>
      </c>
      <c r="S5608" t="s">
        <v>44902</v>
      </c>
      <c r="T5608" t="s">
        <v>46547</v>
      </c>
      <c r="U5608" t="s">
        <v>51693</v>
      </c>
      <c r="V5608" t="s">
        <v>59725</v>
      </c>
      <c r="W5608" t="s">
        <v>42732</v>
      </c>
      <c r="X5608" t="s">
        <v>44767</v>
      </c>
    </row>
    <row r="5609" spans="1:24">
      <c r="A5609">
        <f>HYPERLINK("https://www.philgeps.gov.ph/GEPSNONPILOT/Tender/SplashBidNoticeAbstractUI.aspx?menuIndex=3&amp;refID=7146297&amp;Result=3","7146297")</f>
        <v>0</v>
      </c>
      <c r="B5609" t="s">
        <v>2036</v>
      </c>
      <c r="C5609" t="s">
        <v>9056</v>
      </c>
      <c r="D5609" t="s">
        <v>17959</v>
      </c>
      <c r="E5609" t="s">
        <v>23020</v>
      </c>
      <c r="F5609" t="s">
        <v>30900</v>
      </c>
      <c r="G5609" t="s">
        <v>30910</v>
      </c>
      <c r="H5609" t="s">
        <v>30916</v>
      </c>
      <c r="I5609" t="s">
        <v>11785</v>
      </c>
      <c r="J5609" t="s">
        <v>34730</v>
      </c>
      <c r="K5609" t="s">
        <v>40283</v>
      </c>
      <c r="M5609" t="s">
        <v>42733</v>
      </c>
      <c r="N5609" t="s">
        <v>44759</v>
      </c>
      <c r="O5609" t="s">
        <v>44760</v>
      </c>
      <c r="P5609">
        <v>0</v>
      </c>
      <c r="Q5609">
        <v>5</v>
      </c>
      <c r="R5609" t="s">
        <v>44766</v>
      </c>
      <c r="S5609" t="s">
        <v>44902</v>
      </c>
      <c r="T5609" t="s">
        <v>46390</v>
      </c>
      <c r="U5609" t="s">
        <v>51694</v>
      </c>
      <c r="W5609" t="s">
        <v>42733</v>
      </c>
      <c r="X5609" t="s">
        <v>44767</v>
      </c>
    </row>
    <row r="5610" spans="1:24">
      <c r="A5610">
        <f>HYPERLINK("https://www.philgeps.gov.ph/GEPSNONPILOT/Tender/SplashBidNoticeAbstractUI.aspx?menuIndex=3&amp;refID=7146296&amp;Result=3","7146296")</f>
        <v>0</v>
      </c>
      <c r="B5610" t="s">
        <v>842</v>
      </c>
      <c r="C5610" t="s">
        <v>9057</v>
      </c>
      <c r="D5610" t="s">
        <v>17957</v>
      </c>
      <c r="E5610" t="s">
        <v>23021</v>
      </c>
      <c r="F5610" t="s">
        <v>30900</v>
      </c>
      <c r="G5610" t="s">
        <v>30909</v>
      </c>
      <c r="H5610" t="s">
        <v>30916</v>
      </c>
      <c r="I5610" t="s">
        <v>4545</v>
      </c>
      <c r="J5610" t="s">
        <v>31043</v>
      </c>
      <c r="K5610" t="s">
        <v>40287</v>
      </c>
      <c r="M5610" t="s">
        <v>41415</v>
      </c>
      <c r="N5610" t="s">
        <v>44759</v>
      </c>
      <c r="O5610" t="s">
        <v>44760</v>
      </c>
      <c r="P5610">
        <v>0</v>
      </c>
      <c r="Q5610">
        <v>0</v>
      </c>
      <c r="R5610" t="s">
        <v>44766</v>
      </c>
      <c r="S5610" t="s">
        <v>44902</v>
      </c>
      <c r="T5610" t="s">
        <v>46457</v>
      </c>
      <c r="U5610" t="s">
        <v>51695</v>
      </c>
      <c r="W5610" t="s">
        <v>41415</v>
      </c>
      <c r="X5610" t="s">
        <v>44767</v>
      </c>
    </row>
    <row r="5611" spans="1:24">
      <c r="A5611">
        <f>HYPERLINK("https://www.philgeps.gov.ph/GEPSNONPILOT/Tender/SplashBidNoticeAbstractUI.aspx?menuIndex=3&amp;refID=7146295&amp;Result=3","7146295")</f>
        <v>0</v>
      </c>
      <c r="B5611" t="s">
        <v>172</v>
      </c>
      <c r="C5611" t="s">
        <v>9058</v>
      </c>
      <c r="D5611" t="s">
        <v>17973</v>
      </c>
      <c r="E5611" t="s">
        <v>23022</v>
      </c>
      <c r="F5611" t="s">
        <v>30900</v>
      </c>
      <c r="G5611" t="s">
        <v>30910</v>
      </c>
      <c r="H5611" t="s">
        <v>30916</v>
      </c>
      <c r="I5611" t="s">
        <v>30963</v>
      </c>
      <c r="J5611" t="s">
        <v>34731</v>
      </c>
      <c r="K5611" t="s">
        <v>40321</v>
      </c>
      <c r="M5611" t="s">
        <v>40719</v>
      </c>
      <c r="N5611" t="s">
        <v>44759</v>
      </c>
      <c r="O5611" t="s">
        <v>44760</v>
      </c>
      <c r="P5611">
        <v>0</v>
      </c>
      <c r="Q5611">
        <v>2</v>
      </c>
      <c r="R5611" t="s">
        <v>44766</v>
      </c>
      <c r="S5611" t="s">
        <v>44902</v>
      </c>
      <c r="T5611" t="s">
        <v>46547</v>
      </c>
      <c r="U5611" t="s">
        <v>47201</v>
      </c>
      <c r="W5611" t="s">
        <v>40719</v>
      </c>
      <c r="X5611" t="s">
        <v>44767</v>
      </c>
    </row>
    <row r="5612" spans="1:24">
      <c r="A5612">
        <f>HYPERLINK("https://www.philgeps.gov.ph/GEPSNONPILOT/Tender/SplashBidNoticeAbstractUI.aspx?menuIndex=3&amp;refID=7146208&amp;Result=3","7146208")</f>
        <v>0</v>
      </c>
      <c r="B5612" t="s">
        <v>2033</v>
      </c>
      <c r="C5612" t="s">
        <v>9059</v>
      </c>
      <c r="D5612" t="s">
        <v>17998</v>
      </c>
      <c r="E5612" t="s">
        <v>23023</v>
      </c>
      <c r="F5612" t="s">
        <v>30900</v>
      </c>
      <c r="G5612" t="s">
        <v>30907</v>
      </c>
      <c r="H5612" t="s">
        <v>30916</v>
      </c>
      <c r="I5612" t="s">
        <v>30975</v>
      </c>
      <c r="J5612" t="s">
        <v>31256</v>
      </c>
      <c r="K5612" t="s">
        <v>40293</v>
      </c>
      <c r="M5612" t="s">
        <v>42730</v>
      </c>
      <c r="N5612" t="s">
        <v>44759</v>
      </c>
      <c r="O5612" t="s">
        <v>44760</v>
      </c>
      <c r="P5612">
        <v>0</v>
      </c>
      <c r="Q5612">
        <v>1</v>
      </c>
      <c r="R5612" t="s">
        <v>44766</v>
      </c>
      <c r="S5612" t="s">
        <v>44902</v>
      </c>
      <c r="T5612" t="s">
        <v>46377</v>
      </c>
      <c r="U5612" t="s">
        <v>51696</v>
      </c>
      <c r="W5612" t="s">
        <v>42730</v>
      </c>
      <c r="X5612" t="s">
        <v>44767</v>
      </c>
    </row>
    <row r="5613" spans="1:24">
      <c r="A5613">
        <f>HYPERLINK("https://www.philgeps.gov.ph/GEPSNONPILOT/Tender/SplashBidNoticeAbstractUI.aspx?menuIndex=3&amp;refID=7146293&amp;Result=3","7146293")</f>
        <v>0</v>
      </c>
      <c r="B5613" t="s">
        <v>2037</v>
      </c>
      <c r="C5613" t="s">
        <v>9060</v>
      </c>
      <c r="D5613" t="s">
        <v>18034</v>
      </c>
      <c r="E5613" t="s">
        <v>23024</v>
      </c>
      <c r="F5613" t="s">
        <v>30900</v>
      </c>
      <c r="G5613" t="s">
        <v>30907</v>
      </c>
      <c r="H5613" t="s">
        <v>30916</v>
      </c>
      <c r="I5613" t="s">
        <v>30935</v>
      </c>
      <c r="J5613" t="s">
        <v>31518</v>
      </c>
      <c r="K5613" t="s">
        <v>40283</v>
      </c>
      <c r="M5613" t="s">
        <v>42734</v>
      </c>
      <c r="N5613" t="s">
        <v>44759</v>
      </c>
      <c r="O5613" t="s">
        <v>44760</v>
      </c>
      <c r="P5613">
        <v>0</v>
      </c>
      <c r="Q5613">
        <v>3</v>
      </c>
      <c r="R5613" t="s">
        <v>44766</v>
      </c>
      <c r="S5613" t="s">
        <v>44902</v>
      </c>
      <c r="T5613" t="s">
        <v>46561</v>
      </c>
      <c r="U5613" t="s">
        <v>51697</v>
      </c>
      <c r="V5613" t="s">
        <v>59726</v>
      </c>
      <c r="W5613" t="s">
        <v>42734</v>
      </c>
      <c r="X5613" t="s">
        <v>44767</v>
      </c>
    </row>
    <row r="5614" spans="1:24">
      <c r="A5614">
        <f>HYPERLINK("https://www.philgeps.gov.ph/GEPSNONPILOT/Tender/SplashBidNoticeAbstractUI.aspx?menuIndex=3&amp;refID=7146285&amp;Result=3","7146285")</f>
        <v>0</v>
      </c>
      <c r="B5614" t="s">
        <v>387</v>
      </c>
      <c r="C5614" t="s">
        <v>9061</v>
      </c>
      <c r="D5614" t="s">
        <v>17977</v>
      </c>
      <c r="E5614" t="s">
        <v>23025</v>
      </c>
      <c r="F5614" t="s">
        <v>30900</v>
      </c>
      <c r="G5614" t="s">
        <v>30908</v>
      </c>
      <c r="H5614" t="s">
        <v>30916</v>
      </c>
      <c r="I5614" t="s">
        <v>8123</v>
      </c>
      <c r="J5614" t="s">
        <v>34732</v>
      </c>
      <c r="K5614" t="s">
        <v>40291</v>
      </c>
      <c r="M5614" t="s">
        <v>40942</v>
      </c>
      <c r="N5614" t="s">
        <v>44759</v>
      </c>
      <c r="O5614" t="s">
        <v>44760</v>
      </c>
      <c r="P5614">
        <v>0</v>
      </c>
      <c r="Q5614">
        <v>0</v>
      </c>
      <c r="R5614" t="s">
        <v>44766</v>
      </c>
      <c r="S5614" t="s">
        <v>44902</v>
      </c>
      <c r="T5614" t="s">
        <v>46548</v>
      </c>
      <c r="U5614" t="s">
        <v>51698</v>
      </c>
      <c r="W5614" t="s">
        <v>40942</v>
      </c>
      <c r="X5614" t="s">
        <v>44767</v>
      </c>
    </row>
    <row r="5615" spans="1:24">
      <c r="A5615">
        <f>HYPERLINK("https://www.philgeps.gov.ph/GEPSNONPILOT/Tender/SplashBidNoticeAbstractUI.aspx?menuIndex=3&amp;refID=7146280&amp;Result=3","7146280")</f>
        <v>0</v>
      </c>
      <c r="B5615" t="s">
        <v>2036</v>
      </c>
      <c r="C5615" t="s">
        <v>9062</v>
      </c>
      <c r="D5615" t="s">
        <v>17959</v>
      </c>
      <c r="E5615" t="s">
        <v>23026</v>
      </c>
      <c r="F5615" t="s">
        <v>30900</v>
      </c>
      <c r="G5615" t="s">
        <v>30908</v>
      </c>
      <c r="H5615" t="s">
        <v>30916</v>
      </c>
      <c r="I5615" t="s">
        <v>30924</v>
      </c>
      <c r="J5615" t="s">
        <v>34733</v>
      </c>
      <c r="K5615" t="s">
        <v>40286</v>
      </c>
      <c r="M5615" t="s">
        <v>42733</v>
      </c>
      <c r="N5615" t="s">
        <v>44759</v>
      </c>
      <c r="O5615" t="s">
        <v>44760</v>
      </c>
      <c r="P5615">
        <v>0</v>
      </c>
      <c r="Q5615">
        <v>14</v>
      </c>
      <c r="R5615" t="s">
        <v>44766</v>
      </c>
      <c r="S5615" t="s">
        <v>44902</v>
      </c>
      <c r="T5615" t="s">
        <v>46390</v>
      </c>
      <c r="U5615" t="s">
        <v>51694</v>
      </c>
      <c r="W5615" t="s">
        <v>42733</v>
      </c>
      <c r="X5615" t="s">
        <v>44767</v>
      </c>
    </row>
    <row r="5616" spans="1:24">
      <c r="A5616">
        <f>HYPERLINK("https://www.philgeps.gov.ph/GEPSNONPILOT/Tender/SplashBidNoticeAbstractUI.aspx?menuIndex=3&amp;refID=7146275&amp;Result=3","7146275")</f>
        <v>0</v>
      </c>
      <c r="B5616" t="s">
        <v>2038</v>
      </c>
      <c r="C5616" t="s">
        <v>4240</v>
      </c>
      <c r="D5616" t="s">
        <v>17971</v>
      </c>
      <c r="E5616" t="s">
        <v>23027</v>
      </c>
      <c r="F5616" t="s">
        <v>30900</v>
      </c>
      <c r="G5616" t="s">
        <v>30907</v>
      </c>
      <c r="H5616" t="s">
        <v>30916</v>
      </c>
      <c r="I5616" t="s">
        <v>30923</v>
      </c>
      <c r="J5616" t="s">
        <v>34734</v>
      </c>
      <c r="K5616" t="s">
        <v>40283</v>
      </c>
      <c r="M5616" t="s">
        <v>42735</v>
      </c>
      <c r="N5616" t="s">
        <v>44759</v>
      </c>
      <c r="O5616" t="s">
        <v>44760</v>
      </c>
      <c r="P5616">
        <v>0</v>
      </c>
      <c r="Q5616">
        <v>5</v>
      </c>
      <c r="R5616" t="s">
        <v>44766</v>
      </c>
      <c r="S5616" t="s">
        <v>44902</v>
      </c>
      <c r="T5616" t="s">
        <v>46572</v>
      </c>
      <c r="U5616" t="s">
        <v>51699</v>
      </c>
      <c r="W5616" t="s">
        <v>42735</v>
      </c>
      <c r="X5616" t="s">
        <v>44767</v>
      </c>
    </row>
    <row r="5617" spans="1:24">
      <c r="A5617">
        <f>HYPERLINK("https://www.philgeps.gov.ph/GEPSNONPILOT/Tender/SplashBidNoticeAbstractUI.aspx?menuIndex=3&amp;refID=7146272&amp;Result=3","7146272")</f>
        <v>0</v>
      </c>
      <c r="B5617" t="s">
        <v>2039</v>
      </c>
      <c r="C5617" t="s">
        <v>9063</v>
      </c>
      <c r="D5617" t="s">
        <v>17956</v>
      </c>
      <c r="E5617" t="s">
        <v>18282</v>
      </c>
      <c r="F5617" t="s">
        <v>30900</v>
      </c>
      <c r="G5617" t="s">
        <v>30913</v>
      </c>
      <c r="H5617" t="s">
        <v>30915</v>
      </c>
      <c r="I5617" t="s">
        <v>30919</v>
      </c>
      <c r="J5617" t="s">
        <v>32808</v>
      </c>
      <c r="K5617" t="s">
        <v>40342</v>
      </c>
      <c r="M5617" t="s">
        <v>42736</v>
      </c>
      <c r="N5617" t="s">
        <v>44759</v>
      </c>
      <c r="O5617" t="s">
        <v>44760</v>
      </c>
      <c r="P5617">
        <v>0</v>
      </c>
      <c r="Q5617">
        <v>1</v>
      </c>
      <c r="R5617" t="s">
        <v>44766</v>
      </c>
      <c r="S5617" t="s">
        <v>44902</v>
      </c>
      <c r="T5617" t="s">
        <v>46429</v>
      </c>
      <c r="U5617" t="s">
        <v>51700</v>
      </c>
      <c r="W5617" t="s">
        <v>42736</v>
      </c>
      <c r="X5617" t="s">
        <v>44767</v>
      </c>
    </row>
    <row r="5618" spans="1:24">
      <c r="A5618">
        <f>HYPERLINK("https://www.philgeps.gov.ph/GEPSNONPILOT/Tender/SplashBidNoticeAbstractUI.aspx?menuIndex=3&amp;refID=7146268&amp;Result=3","7146268")</f>
        <v>0</v>
      </c>
      <c r="B5618" t="s">
        <v>842</v>
      </c>
      <c r="C5618" t="s">
        <v>9064</v>
      </c>
      <c r="D5618" t="s">
        <v>17957</v>
      </c>
      <c r="E5618" t="s">
        <v>23028</v>
      </c>
      <c r="F5618" t="s">
        <v>30900</v>
      </c>
      <c r="G5618" t="s">
        <v>30909</v>
      </c>
      <c r="H5618" t="s">
        <v>30916</v>
      </c>
      <c r="I5618" t="s">
        <v>4545</v>
      </c>
      <c r="J5618" t="s">
        <v>31043</v>
      </c>
      <c r="K5618" t="s">
        <v>40287</v>
      </c>
      <c r="M5618" t="s">
        <v>41415</v>
      </c>
      <c r="N5618" t="s">
        <v>44759</v>
      </c>
      <c r="O5618" t="s">
        <v>44760</v>
      </c>
      <c r="P5618">
        <v>0</v>
      </c>
      <c r="Q5618">
        <v>1</v>
      </c>
      <c r="R5618" t="s">
        <v>44766</v>
      </c>
      <c r="S5618" t="s">
        <v>44902</v>
      </c>
      <c r="T5618" t="s">
        <v>46457</v>
      </c>
      <c r="U5618" t="s">
        <v>51701</v>
      </c>
      <c r="W5618" t="s">
        <v>41415</v>
      </c>
      <c r="X5618" t="s">
        <v>44767</v>
      </c>
    </row>
    <row r="5619" spans="1:24">
      <c r="A5619">
        <f>HYPERLINK("https://www.philgeps.gov.ph/GEPSNONPILOT/Tender/SplashBidNoticeAbstractUI.aspx?menuIndex=3&amp;refID=7146287&amp;Result=3","7146287")</f>
        <v>0</v>
      </c>
      <c r="B5619" t="s">
        <v>58</v>
      </c>
      <c r="C5619" t="s">
        <v>9065</v>
      </c>
      <c r="D5619" t="s">
        <v>17977</v>
      </c>
      <c r="E5619" t="s">
        <v>23029</v>
      </c>
      <c r="F5619" t="s">
        <v>30900</v>
      </c>
      <c r="G5619" t="s">
        <v>30908</v>
      </c>
      <c r="H5619" t="s">
        <v>30916</v>
      </c>
      <c r="I5619" t="s">
        <v>10602</v>
      </c>
      <c r="J5619" t="s">
        <v>32161</v>
      </c>
      <c r="K5619" t="s">
        <v>40287</v>
      </c>
      <c r="M5619" t="s">
        <v>40604</v>
      </c>
      <c r="N5619" t="s">
        <v>44759</v>
      </c>
      <c r="O5619" t="s">
        <v>44760</v>
      </c>
      <c r="P5619">
        <v>0</v>
      </c>
      <c r="Q5619">
        <v>0</v>
      </c>
      <c r="R5619" t="s">
        <v>44766</v>
      </c>
      <c r="S5619" t="s">
        <v>44902</v>
      </c>
      <c r="T5619" t="s">
        <v>46625</v>
      </c>
      <c r="U5619" t="s">
        <v>51289</v>
      </c>
      <c r="V5619" t="s">
        <v>59727</v>
      </c>
      <c r="W5619" t="s">
        <v>60815</v>
      </c>
      <c r="X5619" t="s">
        <v>44767</v>
      </c>
    </row>
    <row r="5620" spans="1:24">
      <c r="A5620">
        <f>HYPERLINK("https://www.philgeps.gov.ph/GEPSNONPILOT/Tender/SplashBidNoticeAbstractUI.aspx?menuIndex=3&amp;refID=7146267&amp;Result=3","7146267")</f>
        <v>0</v>
      </c>
      <c r="B5620" t="s">
        <v>58</v>
      </c>
      <c r="C5620" t="s">
        <v>9066</v>
      </c>
      <c r="D5620" t="s">
        <v>17977</v>
      </c>
      <c r="E5620" t="s">
        <v>23030</v>
      </c>
      <c r="F5620" t="s">
        <v>30900</v>
      </c>
      <c r="G5620" t="s">
        <v>30908</v>
      </c>
      <c r="H5620" t="s">
        <v>30916</v>
      </c>
      <c r="I5620" t="s">
        <v>30926</v>
      </c>
      <c r="J5620" t="s">
        <v>34735</v>
      </c>
      <c r="K5620" t="s">
        <v>40287</v>
      </c>
      <c r="M5620" t="s">
        <v>40604</v>
      </c>
      <c r="N5620" t="s">
        <v>44759</v>
      </c>
      <c r="O5620" t="s">
        <v>44760</v>
      </c>
      <c r="P5620">
        <v>0</v>
      </c>
      <c r="Q5620">
        <v>1</v>
      </c>
      <c r="R5620" t="s">
        <v>44766</v>
      </c>
      <c r="S5620" t="s">
        <v>44902</v>
      </c>
      <c r="T5620" t="s">
        <v>46625</v>
      </c>
      <c r="U5620" t="s">
        <v>51289</v>
      </c>
      <c r="W5620" t="s">
        <v>60815</v>
      </c>
      <c r="X5620" t="s">
        <v>44767</v>
      </c>
    </row>
    <row r="5621" spans="1:24">
      <c r="A5621">
        <f>HYPERLINK("https://www.philgeps.gov.ph/GEPSNONPILOT/Tender/SplashBidNoticeAbstractUI.aspx?menuIndex=3&amp;refID=7146265&amp;Result=3","7146265")</f>
        <v>0</v>
      </c>
      <c r="B5621" t="s">
        <v>2040</v>
      </c>
      <c r="C5621" t="s">
        <v>9067</v>
      </c>
      <c r="D5621" t="s">
        <v>17975</v>
      </c>
      <c r="E5621" t="s">
        <v>18066</v>
      </c>
      <c r="F5621" t="s">
        <v>30900</v>
      </c>
      <c r="G5621" t="s">
        <v>30907</v>
      </c>
      <c r="H5621" t="s">
        <v>30916</v>
      </c>
      <c r="I5621" t="s">
        <v>8123</v>
      </c>
      <c r="J5621" t="s">
        <v>31049</v>
      </c>
      <c r="K5621" t="s">
        <v>40283</v>
      </c>
      <c r="M5621" t="s">
        <v>42737</v>
      </c>
      <c r="N5621" t="s">
        <v>44759</v>
      </c>
      <c r="O5621" t="s">
        <v>44760</v>
      </c>
      <c r="P5621">
        <v>0</v>
      </c>
      <c r="Q5621">
        <v>1</v>
      </c>
      <c r="R5621" t="s">
        <v>44766</v>
      </c>
      <c r="S5621" t="s">
        <v>44902</v>
      </c>
      <c r="T5621" t="s">
        <v>46412</v>
      </c>
      <c r="U5621" t="s">
        <v>51702</v>
      </c>
      <c r="W5621" t="s">
        <v>42737</v>
      </c>
      <c r="X5621" t="s">
        <v>44767</v>
      </c>
    </row>
    <row r="5622" spans="1:24">
      <c r="A5622">
        <f>HYPERLINK("https://www.philgeps.gov.ph/GEPSNONPILOT/Tender/SplashBidNoticeAbstractUI.aspx?menuIndex=3&amp;refID=7146251&amp;Result=3","7146251")</f>
        <v>0</v>
      </c>
      <c r="B5622" t="s">
        <v>2041</v>
      </c>
      <c r="C5622" t="s">
        <v>5803</v>
      </c>
      <c r="D5622" t="s">
        <v>17964</v>
      </c>
      <c r="E5622" t="s">
        <v>23031</v>
      </c>
      <c r="F5622" t="s">
        <v>30900</v>
      </c>
      <c r="G5622" t="s">
        <v>30908</v>
      </c>
      <c r="H5622" t="s">
        <v>30916</v>
      </c>
      <c r="I5622" t="s">
        <v>8123</v>
      </c>
      <c r="J5622" t="s">
        <v>34736</v>
      </c>
      <c r="K5622" t="s">
        <v>40284</v>
      </c>
      <c r="M5622" t="s">
        <v>42738</v>
      </c>
      <c r="N5622" t="s">
        <v>44759</v>
      </c>
      <c r="O5622" t="s">
        <v>44760</v>
      </c>
      <c r="P5622">
        <v>0</v>
      </c>
      <c r="Q5622">
        <v>0</v>
      </c>
      <c r="R5622" t="s">
        <v>44766</v>
      </c>
      <c r="S5622" t="s">
        <v>44902</v>
      </c>
      <c r="T5622" t="s">
        <v>46452</v>
      </c>
      <c r="U5622" t="s">
        <v>51703</v>
      </c>
      <c r="W5622" t="s">
        <v>42738</v>
      </c>
      <c r="X5622" t="s">
        <v>44767</v>
      </c>
    </row>
    <row r="5623" spans="1:24">
      <c r="A5623">
        <f>HYPERLINK("https://www.philgeps.gov.ph/GEPSNONPILOT/Tender/SplashBidNoticeAbstractUI.aspx?menuIndex=3&amp;refID=7146249&amp;Result=3","7146249")</f>
        <v>0</v>
      </c>
      <c r="B5623" t="s">
        <v>172</v>
      </c>
      <c r="C5623" t="s">
        <v>9068</v>
      </c>
      <c r="D5623" t="s">
        <v>18022</v>
      </c>
      <c r="E5623" t="s">
        <v>23032</v>
      </c>
      <c r="F5623" t="s">
        <v>30900</v>
      </c>
      <c r="G5623" t="s">
        <v>30910</v>
      </c>
      <c r="H5623" t="s">
        <v>30916</v>
      </c>
      <c r="I5623" t="s">
        <v>4108</v>
      </c>
      <c r="J5623" t="s">
        <v>34737</v>
      </c>
      <c r="K5623" t="s">
        <v>40283</v>
      </c>
      <c r="M5623" t="s">
        <v>40719</v>
      </c>
      <c r="N5623" t="s">
        <v>44759</v>
      </c>
      <c r="O5623" t="s">
        <v>44760</v>
      </c>
      <c r="P5623">
        <v>0</v>
      </c>
      <c r="Q5623">
        <v>3</v>
      </c>
      <c r="R5623" t="s">
        <v>44766</v>
      </c>
      <c r="S5623" t="s">
        <v>44902</v>
      </c>
      <c r="T5623" t="s">
        <v>46547</v>
      </c>
      <c r="U5623" t="s">
        <v>47201</v>
      </c>
      <c r="W5623" t="s">
        <v>40719</v>
      </c>
      <c r="X5623" t="s">
        <v>44767</v>
      </c>
    </row>
    <row r="5624" spans="1:24">
      <c r="A5624">
        <f>HYPERLINK("https://www.philgeps.gov.ph/GEPSNONPILOT/Tender/SplashBidNoticeAbstractUI.aspx?menuIndex=3&amp;refID=7146202&amp;Result=3","7146202")</f>
        <v>0</v>
      </c>
      <c r="B5624" t="s">
        <v>58</v>
      </c>
      <c r="C5624" t="s">
        <v>9069</v>
      </c>
      <c r="D5624" t="s">
        <v>17977</v>
      </c>
      <c r="E5624" t="s">
        <v>23033</v>
      </c>
      <c r="F5624" t="s">
        <v>30900</v>
      </c>
      <c r="G5624" t="s">
        <v>30908</v>
      </c>
      <c r="H5624" t="s">
        <v>30916</v>
      </c>
      <c r="I5624" t="s">
        <v>30939</v>
      </c>
      <c r="J5624" t="s">
        <v>34738</v>
      </c>
      <c r="K5624" t="s">
        <v>40287</v>
      </c>
      <c r="M5624" t="s">
        <v>40604</v>
      </c>
      <c r="N5624" t="s">
        <v>44759</v>
      </c>
      <c r="O5624" t="s">
        <v>44760</v>
      </c>
      <c r="P5624">
        <v>0</v>
      </c>
      <c r="Q5624">
        <v>0</v>
      </c>
      <c r="R5624" t="s">
        <v>44766</v>
      </c>
      <c r="S5624" t="s">
        <v>44902</v>
      </c>
      <c r="T5624" t="s">
        <v>46625</v>
      </c>
      <c r="U5624" t="s">
        <v>51289</v>
      </c>
      <c r="W5624" t="s">
        <v>60815</v>
      </c>
      <c r="X5624" t="s">
        <v>44767</v>
      </c>
    </row>
    <row r="5625" spans="1:24">
      <c r="A5625">
        <f>HYPERLINK("https://www.philgeps.gov.ph/GEPSNONPILOT/Tender/SplashBidNoticeAbstractUI.aspx?menuIndex=3&amp;refID=7146245&amp;Result=3","7146245")</f>
        <v>0</v>
      </c>
      <c r="B5625" t="s">
        <v>2031</v>
      </c>
      <c r="C5625" t="s">
        <v>9070</v>
      </c>
      <c r="D5625" t="s">
        <v>17982</v>
      </c>
      <c r="E5625" t="s">
        <v>23034</v>
      </c>
      <c r="F5625" t="s">
        <v>30900</v>
      </c>
      <c r="G5625" t="s">
        <v>30907</v>
      </c>
      <c r="H5625" t="s">
        <v>30915</v>
      </c>
      <c r="I5625" t="s">
        <v>30919</v>
      </c>
      <c r="J5625" t="s">
        <v>34739</v>
      </c>
      <c r="K5625" t="s">
        <v>40280</v>
      </c>
      <c r="M5625" t="s">
        <v>42728</v>
      </c>
      <c r="N5625" t="s">
        <v>44759</v>
      </c>
      <c r="O5625" t="s">
        <v>44760</v>
      </c>
      <c r="Q5625">
        <v>0</v>
      </c>
      <c r="R5625" t="s">
        <v>44766</v>
      </c>
      <c r="S5625" t="s">
        <v>44919</v>
      </c>
      <c r="T5625" t="s">
        <v>46519</v>
      </c>
      <c r="U5625" t="s">
        <v>51704</v>
      </c>
      <c r="W5625" t="s">
        <v>42728</v>
      </c>
      <c r="X5625" t="s">
        <v>44767</v>
      </c>
    </row>
    <row r="5626" spans="1:24">
      <c r="A5626">
        <f>HYPERLINK("https://www.philgeps.gov.ph/GEPSNONPILOT/Tender/SplashBidNoticeAbstractUI.aspx?menuIndex=3&amp;refID=7146255&amp;Result=3","7146255")</f>
        <v>0</v>
      </c>
      <c r="B5626" t="s">
        <v>2042</v>
      </c>
      <c r="C5626" t="s">
        <v>9071</v>
      </c>
      <c r="D5626" t="s">
        <v>17969</v>
      </c>
      <c r="E5626" t="s">
        <v>23035</v>
      </c>
      <c r="F5626" t="s">
        <v>30900</v>
      </c>
      <c r="G5626" t="s">
        <v>30907</v>
      </c>
      <c r="H5626" t="s">
        <v>7411</v>
      </c>
      <c r="I5626" t="s">
        <v>30919</v>
      </c>
      <c r="J5626" t="s">
        <v>31214</v>
      </c>
      <c r="K5626" t="s">
        <v>40289</v>
      </c>
      <c r="M5626" t="s">
        <v>42739</v>
      </c>
      <c r="N5626" t="s">
        <v>44759</v>
      </c>
      <c r="O5626" t="s">
        <v>44760</v>
      </c>
      <c r="P5626">
        <v>0</v>
      </c>
      <c r="Q5626">
        <v>0</v>
      </c>
      <c r="R5626" t="s">
        <v>44766</v>
      </c>
      <c r="S5626" t="s">
        <v>44902</v>
      </c>
      <c r="T5626" t="s">
        <v>46718</v>
      </c>
      <c r="U5626" t="s">
        <v>51705</v>
      </c>
      <c r="V5626" t="s">
        <v>59728</v>
      </c>
      <c r="W5626" t="s">
        <v>42739</v>
      </c>
      <c r="X5626" t="s">
        <v>44767</v>
      </c>
    </row>
    <row r="5627" spans="1:24">
      <c r="A5627">
        <f>HYPERLINK("https://www.philgeps.gov.ph/GEPSNONPILOT/Tender/SplashBidNoticeAbstractUI.aspx?menuIndex=3&amp;refID=7146263&amp;Result=3","7146263")</f>
        <v>0</v>
      </c>
      <c r="B5627" t="s">
        <v>920</v>
      </c>
      <c r="C5627" t="s">
        <v>9072</v>
      </c>
      <c r="D5627" t="s">
        <v>17959</v>
      </c>
      <c r="E5627" t="s">
        <v>23036</v>
      </c>
      <c r="F5627" t="s">
        <v>30900</v>
      </c>
      <c r="G5627" t="s">
        <v>30910</v>
      </c>
      <c r="H5627" t="s">
        <v>30916</v>
      </c>
      <c r="I5627" t="s">
        <v>30921</v>
      </c>
      <c r="J5627" t="s">
        <v>31223</v>
      </c>
      <c r="K5627" t="s">
        <v>40289</v>
      </c>
      <c r="M5627" t="s">
        <v>41500</v>
      </c>
      <c r="N5627" t="s">
        <v>44759</v>
      </c>
      <c r="O5627" t="s">
        <v>44760</v>
      </c>
      <c r="P5627">
        <v>0</v>
      </c>
      <c r="Q5627">
        <v>9</v>
      </c>
      <c r="R5627" t="s">
        <v>44766</v>
      </c>
      <c r="S5627" t="s">
        <v>44902</v>
      </c>
      <c r="T5627" t="s">
        <v>46612</v>
      </c>
      <c r="U5627" t="s">
        <v>51706</v>
      </c>
      <c r="W5627" t="s">
        <v>41500</v>
      </c>
      <c r="X5627" t="s">
        <v>44767</v>
      </c>
    </row>
    <row r="5628" spans="1:24">
      <c r="A5628">
        <f>HYPERLINK("https://www.philgeps.gov.ph/GEPSNONPILOT/Tender/SplashBidNoticeAbstractUI.aspx?menuIndex=3&amp;refID=7146195&amp;Result=3","7146195")</f>
        <v>0</v>
      </c>
      <c r="B5628" t="s">
        <v>1724</v>
      </c>
      <c r="C5628" t="s">
        <v>9073</v>
      </c>
      <c r="D5628" t="s">
        <v>18016</v>
      </c>
      <c r="E5628" t="s">
        <v>23037</v>
      </c>
      <c r="F5628" t="s">
        <v>30900</v>
      </c>
      <c r="G5628" t="s">
        <v>30907</v>
      </c>
      <c r="H5628" t="s">
        <v>30916</v>
      </c>
      <c r="I5628" t="s">
        <v>30939</v>
      </c>
      <c r="J5628" t="s">
        <v>34740</v>
      </c>
      <c r="K5628" t="s">
        <v>40284</v>
      </c>
      <c r="M5628" t="s">
        <v>42697</v>
      </c>
      <c r="N5628" t="s">
        <v>44759</v>
      </c>
      <c r="O5628" t="s">
        <v>44760</v>
      </c>
      <c r="P5628">
        <v>0</v>
      </c>
      <c r="Q5628">
        <v>1</v>
      </c>
      <c r="R5628" t="s">
        <v>44766</v>
      </c>
      <c r="S5628" t="s">
        <v>44902</v>
      </c>
      <c r="T5628" t="s">
        <v>46377</v>
      </c>
      <c r="U5628" t="s">
        <v>51585</v>
      </c>
      <c r="V5628" t="s">
        <v>59709</v>
      </c>
      <c r="W5628" t="s">
        <v>60878</v>
      </c>
      <c r="X5628" t="s">
        <v>44767</v>
      </c>
    </row>
    <row r="5629" spans="1:24">
      <c r="A5629">
        <f>HYPERLINK("https://www.philgeps.gov.ph/GEPSNONPILOT/Tender/SplashBidNoticeAbstractUI.aspx?menuIndex=3&amp;refID=7146186&amp;Result=3","7146186")</f>
        <v>0</v>
      </c>
      <c r="B5629" t="s">
        <v>920</v>
      </c>
      <c r="C5629" t="s">
        <v>9074</v>
      </c>
      <c r="D5629" t="s">
        <v>17959</v>
      </c>
      <c r="E5629" t="s">
        <v>23038</v>
      </c>
      <c r="F5629" t="s">
        <v>30900</v>
      </c>
      <c r="G5629" t="s">
        <v>30908</v>
      </c>
      <c r="H5629" t="s">
        <v>30916</v>
      </c>
      <c r="I5629" t="s">
        <v>30924</v>
      </c>
      <c r="J5629" t="s">
        <v>31101</v>
      </c>
      <c r="K5629" t="s">
        <v>40289</v>
      </c>
      <c r="M5629" t="s">
        <v>41500</v>
      </c>
      <c r="N5629" t="s">
        <v>44759</v>
      </c>
      <c r="O5629" t="s">
        <v>44760</v>
      </c>
      <c r="P5629">
        <v>0</v>
      </c>
      <c r="Q5629">
        <v>14</v>
      </c>
      <c r="R5629" t="s">
        <v>44766</v>
      </c>
      <c r="S5629" t="s">
        <v>44902</v>
      </c>
      <c r="T5629" t="s">
        <v>46612</v>
      </c>
      <c r="U5629" t="s">
        <v>51707</v>
      </c>
      <c r="W5629" t="s">
        <v>41500</v>
      </c>
      <c r="X5629" t="s">
        <v>44767</v>
      </c>
    </row>
    <row r="5630" spans="1:24">
      <c r="A5630">
        <f>HYPERLINK("https://www.philgeps.gov.ph/GEPSNONPILOT/Tender/SplashBidNoticeAbstractUI.aspx?menuIndex=3&amp;refID=7145862&amp;Result=3","7145862")</f>
        <v>0</v>
      </c>
      <c r="B5630" t="s">
        <v>313</v>
      </c>
      <c r="C5630" t="s">
        <v>9075</v>
      </c>
      <c r="E5630" t="s">
        <v>23039</v>
      </c>
      <c r="F5630" t="s">
        <v>30900</v>
      </c>
      <c r="G5630" t="s">
        <v>30908</v>
      </c>
      <c r="H5630" t="s">
        <v>30916</v>
      </c>
      <c r="I5630" t="s">
        <v>30949</v>
      </c>
      <c r="J5630" t="s">
        <v>34741</v>
      </c>
      <c r="K5630" t="s">
        <v>40289</v>
      </c>
      <c r="M5630" t="s">
        <v>40909</v>
      </c>
      <c r="N5630" t="s">
        <v>44759</v>
      </c>
      <c r="O5630" t="s">
        <v>44760</v>
      </c>
      <c r="P5630">
        <v>0</v>
      </c>
      <c r="Q5630">
        <v>1</v>
      </c>
      <c r="R5630" t="s">
        <v>44766</v>
      </c>
      <c r="S5630" t="s">
        <v>44902</v>
      </c>
      <c r="T5630" t="s">
        <v>46403</v>
      </c>
      <c r="U5630" t="s">
        <v>51708</v>
      </c>
      <c r="W5630" t="s">
        <v>40909</v>
      </c>
      <c r="X5630" t="s">
        <v>44767</v>
      </c>
    </row>
    <row r="5631" spans="1:24">
      <c r="A5631">
        <f>HYPERLINK("https://www.philgeps.gov.ph/GEPSNONPILOT/Tender/SplashBidNoticeAbstractUI.aspx?menuIndex=3&amp;refID=7145860&amp;Result=3","7145860")</f>
        <v>0</v>
      </c>
      <c r="B5631" t="s">
        <v>1997</v>
      </c>
      <c r="C5631" t="s">
        <v>9076</v>
      </c>
      <c r="D5631" t="s">
        <v>17953</v>
      </c>
      <c r="E5631" t="s">
        <v>18992</v>
      </c>
      <c r="F5631" t="s">
        <v>30900</v>
      </c>
      <c r="G5631" t="s">
        <v>30908</v>
      </c>
      <c r="H5631" t="s">
        <v>30916</v>
      </c>
      <c r="I5631" t="s">
        <v>10847</v>
      </c>
      <c r="J5631" t="s">
        <v>34742</v>
      </c>
      <c r="K5631" t="s">
        <v>40324</v>
      </c>
      <c r="M5631" t="s">
        <v>42689</v>
      </c>
      <c r="N5631" t="s">
        <v>44759</v>
      </c>
      <c r="O5631" t="s">
        <v>44760</v>
      </c>
      <c r="P5631">
        <v>0</v>
      </c>
      <c r="Q5631">
        <v>0</v>
      </c>
      <c r="R5631" t="s">
        <v>44766</v>
      </c>
      <c r="S5631" t="s">
        <v>44902</v>
      </c>
      <c r="T5631" t="s">
        <v>46581</v>
      </c>
      <c r="U5631" t="s">
        <v>51709</v>
      </c>
      <c r="W5631" t="s">
        <v>44481</v>
      </c>
      <c r="X5631" t="s">
        <v>44767</v>
      </c>
    </row>
    <row r="5632" spans="1:24">
      <c r="A5632">
        <f>HYPERLINK("https://www.philgeps.gov.ph/GEPSNONPILOT/Tender/SplashBidNoticeAbstractUI.aspx?menuIndex=3&amp;refID=7146273&amp;Result=3","7146273")</f>
        <v>0</v>
      </c>
      <c r="B5632" t="s">
        <v>172</v>
      </c>
      <c r="C5632" t="s">
        <v>9077</v>
      </c>
      <c r="D5632" t="s">
        <v>17979</v>
      </c>
      <c r="E5632" t="s">
        <v>23040</v>
      </c>
      <c r="F5632" t="s">
        <v>30900</v>
      </c>
      <c r="G5632" t="s">
        <v>30910</v>
      </c>
      <c r="H5632" t="s">
        <v>30916</v>
      </c>
      <c r="I5632" t="s">
        <v>30932</v>
      </c>
      <c r="J5632" t="s">
        <v>33907</v>
      </c>
      <c r="K5632" t="s">
        <v>40293</v>
      </c>
      <c r="M5632" t="s">
        <v>40719</v>
      </c>
      <c r="N5632" t="s">
        <v>44759</v>
      </c>
      <c r="O5632" t="s">
        <v>44760</v>
      </c>
      <c r="P5632">
        <v>0</v>
      </c>
      <c r="Q5632">
        <v>2</v>
      </c>
      <c r="R5632" t="s">
        <v>44766</v>
      </c>
      <c r="S5632" t="s">
        <v>44902</v>
      </c>
      <c r="T5632" t="s">
        <v>46547</v>
      </c>
      <c r="U5632" t="s">
        <v>47201</v>
      </c>
      <c r="W5632" t="s">
        <v>40719</v>
      </c>
      <c r="X5632" t="s">
        <v>44767</v>
      </c>
    </row>
    <row r="5633" spans="1:24">
      <c r="A5633">
        <f>HYPERLINK("https://www.philgeps.gov.ph/GEPSNONPILOT/Tender/SplashBidNoticeAbstractUI.aspx?menuIndex=3&amp;refID=7145806&amp;Result=3","7145806")</f>
        <v>0</v>
      </c>
      <c r="B5633" t="s">
        <v>1988</v>
      </c>
      <c r="C5633" t="s">
        <v>9078</v>
      </c>
      <c r="D5633" t="s">
        <v>17959</v>
      </c>
      <c r="E5633" t="s">
        <v>23041</v>
      </c>
      <c r="F5633" t="s">
        <v>30900</v>
      </c>
      <c r="G5633" t="s">
        <v>30907</v>
      </c>
      <c r="H5633" t="s">
        <v>30916</v>
      </c>
      <c r="I5633" t="s">
        <v>9385</v>
      </c>
      <c r="J5633" t="s">
        <v>34345</v>
      </c>
      <c r="K5633" t="s">
        <v>40289</v>
      </c>
      <c r="L5633" t="s">
        <v>1988</v>
      </c>
      <c r="M5633" t="s">
        <v>42679</v>
      </c>
      <c r="N5633" t="s">
        <v>44759</v>
      </c>
      <c r="O5633" t="s">
        <v>44760</v>
      </c>
      <c r="Q5633">
        <v>14</v>
      </c>
      <c r="R5633" t="s">
        <v>44766</v>
      </c>
      <c r="S5633" t="s">
        <v>44920</v>
      </c>
      <c r="T5633" t="s">
        <v>46497</v>
      </c>
      <c r="U5633" t="s">
        <v>51539</v>
      </c>
      <c r="W5633" t="s">
        <v>42679</v>
      </c>
      <c r="X5633" t="s">
        <v>44767</v>
      </c>
    </row>
    <row r="5634" spans="1:24">
      <c r="A5634">
        <f>HYPERLINK("https://www.philgeps.gov.ph/GEPSNONPILOT/Tender/SplashBidNoticeAbstractUI.aspx?menuIndex=3&amp;refID=7146194&amp;Result=3","7146194")</f>
        <v>0</v>
      </c>
      <c r="B5634" t="s">
        <v>2043</v>
      </c>
      <c r="C5634" t="s">
        <v>9079</v>
      </c>
      <c r="D5634" t="s">
        <v>17957</v>
      </c>
      <c r="E5634" t="s">
        <v>23042</v>
      </c>
      <c r="F5634" t="s">
        <v>30900</v>
      </c>
      <c r="G5634" t="s">
        <v>30908</v>
      </c>
      <c r="H5634" t="s">
        <v>30916</v>
      </c>
      <c r="I5634" t="s">
        <v>30947</v>
      </c>
      <c r="J5634" t="s">
        <v>34743</v>
      </c>
      <c r="K5634" t="s">
        <v>40291</v>
      </c>
      <c r="M5634" t="s">
        <v>42740</v>
      </c>
      <c r="N5634" t="s">
        <v>44759</v>
      </c>
      <c r="O5634" t="s">
        <v>44760</v>
      </c>
      <c r="P5634">
        <v>0</v>
      </c>
      <c r="Q5634">
        <v>7</v>
      </c>
      <c r="R5634" t="s">
        <v>44766</v>
      </c>
      <c r="S5634" t="s">
        <v>44902</v>
      </c>
      <c r="T5634" t="s">
        <v>46412</v>
      </c>
      <c r="U5634" t="s">
        <v>51710</v>
      </c>
      <c r="V5634" t="s">
        <v>59729</v>
      </c>
      <c r="W5634" t="s">
        <v>42740</v>
      </c>
      <c r="X5634" t="s">
        <v>44767</v>
      </c>
    </row>
    <row r="5635" spans="1:24">
      <c r="A5635">
        <f>HYPERLINK("https://www.philgeps.gov.ph/GEPSNONPILOT/Tender/SplashBidNoticeAbstractUI.aspx?menuIndex=3&amp;refID=7145715&amp;Result=3","7145715")</f>
        <v>0</v>
      </c>
      <c r="B5635" t="s">
        <v>407</v>
      </c>
      <c r="C5635" t="s">
        <v>9080</v>
      </c>
      <c r="D5635" t="s">
        <v>18018</v>
      </c>
      <c r="E5635" t="s">
        <v>23043</v>
      </c>
      <c r="F5635" t="s">
        <v>30900</v>
      </c>
      <c r="G5635" t="s">
        <v>30907</v>
      </c>
      <c r="H5635" t="s">
        <v>30916</v>
      </c>
      <c r="I5635" t="s">
        <v>8123</v>
      </c>
      <c r="J5635" t="s">
        <v>34744</v>
      </c>
      <c r="K5635" t="s">
        <v>40283</v>
      </c>
      <c r="M5635" t="s">
        <v>40963</v>
      </c>
      <c r="N5635" t="s">
        <v>44759</v>
      </c>
      <c r="O5635" t="s">
        <v>44760</v>
      </c>
      <c r="P5635">
        <v>0</v>
      </c>
      <c r="Q5635">
        <v>0</v>
      </c>
      <c r="R5635" t="s">
        <v>44766</v>
      </c>
      <c r="S5635" t="s">
        <v>44902</v>
      </c>
      <c r="T5635" t="s">
        <v>46379</v>
      </c>
      <c r="U5635" t="s">
        <v>51526</v>
      </c>
      <c r="W5635" t="s">
        <v>40963</v>
      </c>
      <c r="X5635" t="s">
        <v>44767</v>
      </c>
    </row>
    <row r="5636" spans="1:24">
      <c r="A5636">
        <f>HYPERLINK("https://www.philgeps.gov.ph/GEPSNONPILOT/Tender/SplashBidNoticeAbstractUI.aspx?menuIndex=3&amp;refID=7145858&amp;Result=3","7145858")</f>
        <v>0</v>
      </c>
      <c r="B5636" t="s">
        <v>926</v>
      </c>
      <c r="C5636" t="s">
        <v>9081</v>
      </c>
      <c r="D5636" t="s">
        <v>17999</v>
      </c>
      <c r="E5636" t="s">
        <v>23044</v>
      </c>
      <c r="F5636" t="s">
        <v>30900</v>
      </c>
      <c r="G5636" t="s">
        <v>30907</v>
      </c>
      <c r="H5636" t="s">
        <v>30916</v>
      </c>
      <c r="I5636" t="s">
        <v>30933</v>
      </c>
      <c r="J5636" t="s">
        <v>34745</v>
      </c>
      <c r="K5636" t="s">
        <v>40341</v>
      </c>
      <c r="M5636" t="s">
        <v>42665</v>
      </c>
      <c r="N5636" t="s">
        <v>44759</v>
      </c>
      <c r="O5636" t="s">
        <v>44760</v>
      </c>
      <c r="P5636">
        <v>0</v>
      </c>
      <c r="Q5636">
        <v>13</v>
      </c>
      <c r="R5636" t="s">
        <v>44766</v>
      </c>
      <c r="S5636" t="s">
        <v>44902</v>
      </c>
      <c r="T5636" t="s">
        <v>46592</v>
      </c>
      <c r="U5636" t="s">
        <v>51711</v>
      </c>
      <c r="W5636" t="s">
        <v>42665</v>
      </c>
      <c r="X5636" t="s">
        <v>44767</v>
      </c>
    </row>
    <row r="5637" spans="1:24">
      <c r="A5637">
        <f>HYPERLINK("https://www.philgeps.gov.ph/GEPSNONPILOT/Tender/SplashBidNoticeAbstractUI.aspx?menuIndex=3&amp;refID=7145658&amp;Result=3","7145658")</f>
        <v>0</v>
      </c>
      <c r="B5637" t="s">
        <v>2044</v>
      </c>
      <c r="C5637" t="s">
        <v>9082</v>
      </c>
      <c r="E5637" t="s">
        <v>23045</v>
      </c>
      <c r="F5637" t="s">
        <v>30899</v>
      </c>
      <c r="G5637" t="s">
        <v>30908</v>
      </c>
      <c r="H5637" t="s">
        <v>30916</v>
      </c>
      <c r="I5637" t="s">
        <v>4017</v>
      </c>
      <c r="J5637" t="s">
        <v>31204</v>
      </c>
      <c r="K5637" t="s">
        <v>40287</v>
      </c>
      <c r="M5637" t="s">
        <v>42741</v>
      </c>
      <c r="N5637" t="s">
        <v>44759</v>
      </c>
      <c r="O5637" t="s">
        <v>44760</v>
      </c>
      <c r="P5637">
        <v>0</v>
      </c>
      <c r="Q5637">
        <v>1</v>
      </c>
      <c r="R5637" t="s">
        <v>44766</v>
      </c>
      <c r="S5637" t="s">
        <v>44902</v>
      </c>
      <c r="T5637" t="s">
        <v>46414</v>
      </c>
      <c r="U5637" t="s">
        <v>51712</v>
      </c>
      <c r="W5637" t="s">
        <v>42741</v>
      </c>
      <c r="X5637" t="s">
        <v>44767</v>
      </c>
    </row>
    <row r="5638" spans="1:24">
      <c r="A5638">
        <f>HYPERLINK("https://www.philgeps.gov.ph/GEPSNONPILOT/Tender/SplashBidNoticeAbstractUI.aspx?menuIndex=3&amp;refID=7145657&amp;Result=3","7145657")</f>
        <v>0</v>
      </c>
      <c r="B5638" t="s">
        <v>233</v>
      </c>
      <c r="C5638" t="s">
        <v>9083</v>
      </c>
      <c r="E5638" t="s">
        <v>23046</v>
      </c>
      <c r="F5638" t="s">
        <v>30900</v>
      </c>
      <c r="G5638" t="s">
        <v>30908</v>
      </c>
      <c r="H5638" t="s">
        <v>30916</v>
      </c>
      <c r="I5638" t="s">
        <v>30939</v>
      </c>
      <c r="J5638" t="s">
        <v>34746</v>
      </c>
      <c r="K5638" t="s">
        <v>40289</v>
      </c>
      <c r="M5638" t="s">
        <v>40780</v>
      </c>
      <c r="N5638" t="s">
        <v>44759</v>
      </c>
      <c r="O5638" t="s">
        <v>44760</v>
      </c>
      <c r="P5638">
        <v>0</v>
      </c>
      <c r="Q5638">
        <v>0</v>
      </c>
      <c r="R5638" t="s">
        <v>44766</v>
      </c>
      <c r="S5638" t="s">
        <v>44902</v>
      </c>
      <c r="T5638" t="s">
        <v>46699</v>
      </c>
      <c r="U5638" t="s">
        <v>51713</v>
      </c>
      <c r="W5638" t="s">
        <v>40780</v>
      </c>
      <c r="X5638" t="s">
        <v>44767</v>
      </c>
    </row>
    <row r="5639" spans="1:24">
      <c r="A5639">
        <f>HYPERLINK("https://www.philgeps.gov.ph/GEPSNONPILOT/Tender/SplashBidNoticeAbstractUI.aspx?menuIndex=3&amp;refID=7145654&amp;Result=3","7145654")</f>
        <v>0</v>
      </c>
      <c r="B5639" t="s">
        <v>107</v>
      </c>
      <c r="C5639" t="s">
        <v>9084</v>
      </c>
      <c r="D5639" t="s">
        <v>17984</v>
      </c>
      <c r="E5639" t="s">
        <v>23047</v>
      </c>
      <c r="F5639" t="s">
        <v>30900</v>
      </c>
      <c r="G5639" t="s">
        <v>30909</v>
      </c>
      <c r="H5639" t="s">
        <v>30916</v>
      </c>
      <c r="I5639" t="s">
        <v>4108</v>
      </c>
      <c r="J5639" t="s">
        <v>34747</v>
      </c>
      <c r="K5639" t="s">
        <v>40289</v>
      </c>
      <c r="L5639" t="s">
        <v>107</v>
      </c>
      <c r="M5639" t="s">
        <v>40654</v>
      </c>
      <c r="N5639" t="s">
        <v>44759</v>
      </c>
      <c r="O5639" t="s">
        <v>44760</v>
      </c>
      <c r="P5639">
        <v>0</v>
      </c>
      <c r="Q5639">
        <v>1</v>
      </c>
      <c r="R5639" t="s">
        <v>44766</v>
      </c>
      <c r="S5639" t="s">
        <v>44902</v>
      </c>
      <c r="T5639" t="s">
        <v>46403</v>
      </c>
      <c r="U5639" t="s">
        <v>47177</v>
      </c>
      <c r="W5639" t="s">
        <v>40654</v>
      </c>
      <c r="X5639" t="s">
        <v>44767</v>
      </c>
    </row>
    <row r="5640" spans="1:24">
      <c r="A5640">
        <f>HYPERLINK("https://www.philgeps.gov.ph/GEPSNONPILOT/Tender/SplashBidNoticeAbstractUI.aspx?menuIndex=3&amp;refID=7145653&amp;Result=3","7145653")</f>
        <v>0</v>
      </c>
      <c r="B5640" t="s">
        <v>2045</v>
      </c>
      <c r="C5640" t="s">
        <v>9085</v>
      </c>
      <c r="D5640" t="s">
        <v>18022</v>
      </c>
      <c r="E5640" t="s">
        <v>23048</v>
      </c>
      <c r="F5640" t="s">
        <v>30900</v>
      </c>
      <c r="G5640" t="s">
        <v>30907</v>
      </c>
      <c r="H5640" t="s">
        <v>30916</v>
      </c>
      <c r="I5640" t="s">
        <v>30921</v>
      </c>
      <c r="J5640" t="s">
        <v>33727</v>
      </c>
      <c r="K5640" t="s">
        <v>40284</v>
      </c>
      <c r="M5640" t="s">
        <v>42742</v>
      </c>
      <c r="N5640" t="s">
        <v>44759</v>
      </c>
      <c r="O5640" t="s">
        <v>44760</v>
      </c>
      <c r="P5640">
        <v>0</v>
      </c>
      <c r="Q5640">
        <v>5</v>
      </c>
      <c r="R5640" t="s">
        <v>44766</v>
      </c>
      <c r="S5640" t="s">
        <v>44902</v>
      </c>
      <c r="T5640" t="s">
        <v>46470</v>
      </c>
      <c r="U5640" t="s">
        <v>51714</v>
      </c>
      <c r="W5640" t="s">
        <v>42742</v>
      </c>
      <c r="X5640" t="s">
        <v>44767</v>
      </c>
    </row>
    <row r="5641" spans="1:24">
      <c r="A5641">
        <f>HYPERLINK("https://www.philgeps.gov.ph/GEPSNONPILOT/Tender/SplashBidNoticeAbstractUI.aspx?menuIndex=3&amp;refID=7145856&amp;Result=3","7145856")</f>
        <v>0</v>
      </c>
      <c r="B5641" t="s">
        <v>2046</v>
      </c>
      <c r="C5641" t="s">
        <v>9086</v>
      </c>
      <c r="D5641" t="s">
        <v>18011</v>
      </c>
      <c r="E5641" t="s">
        <v>23049</v>
      </c>
      <c r="F5641" t="s">
        <v>30900</v>
      </c>
      <c r="G5641" t="s">
        <v>30908</v>
      </c>
      <c r="H5641" t="s">
        <v>7411</v>
      </c>
      <c r="I5641" t="s">
        <v>7411</v>
      </c>
      <c r="J5641" t="s">
        <v>31271</v>
      </c>
      <c r="K5641" t="s">
        <v>40366</v>
      </c>
      <c r="M5641" t="s">
        <v>42743</v>
      </c>
      <c r="N5641" t="s">
        <v>44759</v>
      </c>
      <c r="O5641" t="s">
        <v>44760</v>
      </c>
      <c r="P5641">
        <v>0</v>
      </c>
      <c r="Q5641">
        <v>3</v>
      </c>
      <c r="R5641" t="s">
        <v>44766</v>
      </c>
      <c r="S5641" t="s">
        <v>44902</v>
      </c>
      <c r="T5641" t="s">
        <v>46658</v>
      </c>
      <c r="U5641" t="s">
        <v>51715</v>
      </c>
      <c r="W5641" t="s">
        <v>42743</v>
      </c>
      <c r="X5641" t="s">
        <v>44767</v>
      </c>
    </row>
    <row r="5642" spans="1:24">
      <c r="A5642">
        <f>HYPERLINK("https://www.philgeps.gov.ph/GEPSNONPILOT/Tender/SplashBidNoticeAbstractUI.aspx?menuIndex=3&amp;refID=7145660&amp;Result=3","7145660")</f>
        <v>0</v>
      </c>
      <c r="B5642" t="s">
        <v>1981</v>
      </c>
      <c r="C5642" t="s">
        <v>9087</v>
      </c>
      <c r="D5642" t="s">
        <v>17978</v>
      </c>
      <c r="E5642" t="s">
        <v>22840</v>
      </c>
      <c r="F5642" t="s">
        <v>30900</v>
      </c>
      <c r="G5642" t="s">
        <v>30907</v>
      </c>
      <c r="H5642" t="s">
        <v>30915</v>
      </c>
      <c r="I5642" t="s">
        <v>30919</v>
      </c>
      <c r="J5642" t="s">
        <v>31243</v>
      </c>
      <c r="K5642" t="s">
        <v>40292</v>
      </c>
      <c r="M5642" t="s">
        <v>42671</v>
      </c>
      <c r="N5642" t="s">
        <v>44759</v>
      </c>
      <c r="O5642" t="s">
        <v>44760</v>
      </c>
      <c r="P5642">
        <v>0</v>
      </c>
      <c r="Q5642">
        <v>2</v>
      </c>
      <c r="R5642" t="s">
        <v>44766</v>
      </c>
      <c r="S5642" t="s">
        <v>44902</v>
      </c>
      <c r="T5642" t="s">
        <v>46539</v>
      </c>
      <c r="U5642" t="s">
        <v>51716</v>
      </c>
      <c r="V5642" t="s">
        <v>59692</v>
      </c>
      <c r="W5642" t="s">
        <v>42671</v>
      </c>
      <c r="X5642" t="s">
        <v>44767</v>
      </c>
    </row>
    <row r="5643" spans="1:24">
      <c r="A5643">
        <f>HYPERLINK("https://www.philgeps.gov.ph/GEPSNONPILOT/Tender/SplashBidNoticeAbstractUI.aspx?menuIndex=3&amp;refID=7145592&amp;Result=3","7145592")</f>
        <v>0</v>
      </c>
      <c r="B5643" t="s">
        <v>43</v>
      </c>
      <c r="C5643" t="s">
        <v>9088</v>
      </c>
      <c r="D5643" t="s">
        <v>17968</v>
      </c>
      <c r="E5643" t="s">
        <v>23050</v>
      </c>
      <c r="F5643" t="s">
        <v>30900</v>
      </c>
      <c r="G5643" t="s">
        <v>30908</v>
      </c>
      <c r="H5643" t="s">
        <v>30916</v>
      </c>
      <c r="I5643" t="s">
        <v>30981</v>
      </c>
      <c r="J5643" t="s">
        <v>31407</v>
      </c>
      <c r="K5643" t="s">
        <v>40286</v>
      </c>
      <c r="M5643" t="s">
        <v>42744</v>
      </c>
      <c r="N5643" t="s">
        <v>44759</v>
      </c>
      <c r="O5643" t="s">
        <v>44760</v>
      </c>
      <c r="P5643">
        <v>0</v>
      </c>
      <c r="Q5643">
        <v>1</v>
      </c>
      <c r="R5643" t="s">
        <v>44766</v>
      </c>
      <c r="S5643" t="s">
        <v>44902</v>
      </c>
      <c r="T5643" t="s">
        <v>46548</v>
      </c>
      <c r="U5643" t="s">
        <v>51717</v>
      </c>
      <c r="V5643" t="s">
        <v>59730</v>
      </c>
      <c r="W5643" t="s">
        <v>42744</v>
      </c>
      <c r="X5643" t="s">
        <v>44767</v>
      </c>
    </row>
    <row r="5644" spans="1:24">
      <c r="A5644">
        <f>HYPERLINK("https://www.philgeps.gov.ph/GEPSNONPILOT/Tender/SplashBidNoticeAbstractUI.aspx?menuIndex=3&amp;refID=7145722&amp;Result=3","7145722")</f>
        <v>0</v>
      </c>
      <c r="B5644" t="s">
        <v>2047</v>
      </c>
      <c r="C5644" t="s">
        <v>9089</v>
      </c>
      <c r="D5644" t="s">
        <v>17960</v>
      </c>
      <c r="E5644" t="s">
        <v>23051</v>
      </c>
      <c r="F5644" t="s">
        <v>30900</v>
      </c>
      <c r="G5644" t="s">
        <v>30907</v>
      </c>
      <c r="H5644" t="s">
        <v>30915</v>
      </c>
      <c r="I5644" t="s">
        <v>30919</v>
      </c>
      <c r="J5644" t="s">
        <v>34748</v>
      </c>
      <c r="K5644" t="s">
        <v>40292</v>
      </c>
      <c r="M5644" t="s">
        <v>42745</v>
      </c>
      <c r="N5644" t="s">
        <v>44759</v>
      </c>
      <c r="O5644" t="s">
        <v>44760</v>
      </c>
      <c r="P5644">
        <v>0</v>
      </c>
      <c r="Q5644">
        <v>1</v>
      </c>
      <c r="R5644" t="s">
        <v>44766</v>
      </c>
      <c r="S5644" t="s">
        <v>44902</v>
      </c>
      <c r="T5644" t="s">
        <v>46357</v>
      </c>
      <c r="U5644" t="s">
        <v>50004</v>
      </c>
      <c r="W5644" t="s">
        <v>42745</v>
      </c>
      <c r="X5644" t="s">
        <v>44767</v>
      </c>
    </row>
    <row r="5645" spans="1:24">
      <c r="A5645">
        <f>HYPERLINK("https://www.philgeps.gov.ph/GEPSNONPILOT/Tender/SplashBidNoticeAbstractUI.aspx?menuIndex=3&amp;refID=7145651&amp;Result=3","7145651")</f>
        <v>0</v>
      </c>
      <c r="B5645" t="s">
        <v>1991</v>
      </c>
      <c r="C5645" t="s">
        <v>9090</v>
      </c>
      <c r="D5645" t="s">
        <v>18012</v>
      </c>
      <c r="E5645" t="s">
        <v>23052</v>
      </c>
      <c r="F5645" t="s">
        <v>30900</v>
      </c>
      <c r="G5645" t="s">
        <v>30907</v>
      </c>
      <c r="H5645" t="s">
        <v>30916</v>
      </c>
      <c r="I5645" t="s">
        <v>8123</v>
      </c>
      <c r="J5645" t="s">
        <v>34749</v>
      </c>
      <c r="K5645" t="s">
        <v>40289</v>
      </c>
      <c r="M5645" t="s">
        <v>42682</v>
      </c>
      <c r="N5645" t="s">
        <v>44759</v>
      </c>
      <c r="O5645" t="s">
        <v>44760</v>
      </c>
      <c r="P5645">
        <v>0</v>
      </c>
      <c r="Q5645">
        <v>1</v>
      </c>
      <c r="R5645" t="s">
        <v>44766</v>
      </c>
      <c r="S5645" t="s">
        <v>44902</v>
      </c>
      <c r="T5645" t="s">
        <v>46411</v>
      </c>
      <c r="U5645" t="s">
        <v>51718</v>
      </c>
      <c r="W5645" t="s">
        <v>42682</v>
      </c>
      <c r="X5645" t="s">
        <v>44767</v>
      </c>
    </row>
    <row r="5646" spans="1:24">
      <c r="A5646">
        <f>HYPERLINK("https://www.philgeps.gov.ph/GEPSNONPILOT/Tender/SplashBidNoticeAbstractUI.aspx?menuIndex=3&amp;refID=7145590&amp;Result=3","7145590")</f>
        <v>0</v>
      </c>
      <c r="B5646" t="s">
        <v>1960</v>
      </c>
      <c r="C5646" t="s">
        <v>9091</v>
      </c>
      <c r="E5646" t="s">
        <v>23053</v>
      </c>
      <c r="F5646" t="s">
        <v>30900</v>
      </c>
      <c r="G5646" t="s">
        <v>30907</v>
      </c>
      <c r="H5646" t="s">
        <v>30915</v>
      </c>
      <c r="I5646" t="s">
        <v>30919</v>
      </c>
      <c r="J5646" t="s">
        <v>34660</v>
      </c>
      <c r="K5646" t="s">
        <v>40335</v>
      </c>
      <c r="M5646" t="s">
        <v>42644</v>
      </c>
      <c r="N5646" t="s">
        <v>44759</v>
      </c>
      <c r="O5646" t="s">
        <v>44760</v>
      </c>
      <c r="P5646">
        <v>0</v>
      </c>
      <c r="Q5646">
        <v>0</v>
      </c>
      <c r="R5646" t="s">
        <v>44766</v>
      </c>
      <c r="S5646" t="s">
        <v>44902</v>
      </c>
      <c r="T5646" t="s">
        <v>46524</v>
      </c>
      <c r="U5646" t="s">
        <v>51719</v>
      </c>
      <c r="W5646" t="s">
        <v>42644</v>
      </c>
      <c r="X5646" t="s">
        <v>44767</v>
      </c>
    </row>
    <row r="5647" spans="1:24">
      <c r="A5647">
        <f>HYPERLINK("https://www.philgeps.gov.ph/GEPSNONPILOT/Tender/SplashBidNoticeAbstractUI.aspx?menuIndex=3&amp;refID=7146307&amp;Result=3","7146307")</f>
        <v>0</v>
      </c>
      <c r="B5647" t="s">
        <v>2048</v>
      </c>
      <c r="C5647" t="s">
        <v>9092</v>
      </c>
      <c r="D5647" t="s">
        <v>17962</v>
      </c>
      <c r="E5647" t="s">
        <v>23054</v>
      </c>
      <c r="F5647" t="s">
        <v>30900</v>
      </c>
      <c r="G5647" t="s">
        <v>30907</v>
      </c>
      <c r="H5647" t="s">
        <v>30916</v>
      </c>
      <c r="I5647" t="s">
        <v>30927</v>
      </c>
      <c r="J5647" t="s">
        <v>34750</v>
      </c>
      <c r="K5647" t="s">
        <v>40284</v>
      </c>
      <c r="M5647" t="s">
        <v>42746</v>
      </c>
      <c r="N5647" t="s">
        <v>44759</v>
      </c>
      <c r="O5647" t="s">
        <v>44760</v>
      </c>
      <c r="Q5647">
        <v>0</v>
      </c>
      <c r="R5647" t="s">
        <v>44766</v>
      </c>
      <c r="S5647" t="s">
        <v>44921</v>
      </c>
      <c r="T5647" t="s">
        <v>46572</v>
      </c>
      <c r="U5647" t="s">
        <v>51720</v>
      </c>
      <c r="V5647" t="s">
        <v>59731</v>
      </c>
      <c r="W5647" t="s">
        <v>42746</v>
      </c>
      <c r="X5647" t="s">
        <v>44767</v>
      </c>
    </row>
    <row r="5648" spans="1:24">
      <c r="A5648">
        <f>HYPERLINK("https://www.philgeps.gov.ph/GEPSNONPILOT/Tender/SplashBidNoticeAbstractUI.aspx?menuIndex=3&amp;refID=7145596&amp;Result=3","7145596")</f>
        <v>0</v>
      </c>
      <c r="B5648" t="s">
        <v>2010</v>
      </c>
      <c r="C5648" t="s">
        <v>9093</v>
      </c>
      <c r="D5648" t="s">
        <v>18009</v>
      </c>
      <c r="E5648" t="s">
        <v>23055</v>
      </c>
      <c r="F5648" t="s">
        <v>30901</v>
      </c>
      <c r="G5648" t="s">
        <v>30907</v>
      </c>
      <c r="H5648" t="s">
        <v>30916</v>
      </c>
      <c r="I5648" t="s">
        <v>8123</v>
      </c>
      <c r="J5648" t="s">
        <v>34751</v>
      </c>
      <c r="K5648" t="s">
        <v>40314</v>
      </c>
      <c r="M5648" t="s">
        <v>42705</v>
      </c>
      <c r="N5648" t="s">
        <v>44759</v>
      </c>
      <c r="O5648" t="s">
        <v>44760</v>
      </c>
      <c r="P5648">
        <v>0</v>
      </c>
      <c r="Q5648">
        <v>0</v>
      </c>
      <c r="R5648" t="s">
        <v>44766</v>
      </c>
      <c r="S5648" t="s">
        <v>44902</v>
      </c>
      <c r="T5648" t="s">
        <v>46719</v>
      </c>
      <c r="U5648" t="s">
        <v>51721</v>
      </c>
      <c r="W5648" t="s">
        <v>42705</v>
      </c>
      <c r="X5648" t="s">
        <v>44767</v>
      </c>
    </row>
    <row r="5649" spans="1:24">
      <c r="A5649">
        <f>HYPERLINK("https://www.philgeps.gov.ph/GEPSNONPILOT/Tender/SplashBidNoticeAbstractUI.aspx?menuIndex=3&amp;refID=7146356&amp;Result=3","7146356")</f>
        <v>0</v>
      </c>
      <c r="B5649" t="s">
        <v>1589</v>
      </c>
      <c r="C5649" t="s">
        <v>9094</v>
      </c>
      <c r="D5649" t="s">
        <v>17992</v>
      </c>
      <c r="E5649" t="s">
        <v>23056</v>
      </c>
      <c r="F5649" t="s">
        <v>30900</v>
      </c>
      <c r="G5649" t="s">
        <v>30907</v>
      </c>
      <c r="H5649" t="s">
        <v>30915</v>
      </c>
      <c r="I5649" t="s">
        <v>30919</v>
      </c>
      <c r="J5649" t="s">
        <v>32276</v>
      </c>
      <c r="K5649" t="s">
        <v>40384</v>
      </c>
      <c r="M5649" t="s">
        <v>42236</v>
      </c>
      <c r="N5649" t="s">
        <v>44759</v>
      </c>
      <c r="O5649" t="s">
        <v>44760</v>
      </c>
      <c r="P5649">
        <v>0</v>
      </c>
      <c r="Q5649">
        <v>0</v>
      </c>
      <c r="R5649" t="s">
        <v>44766</v>
      </c>
      <c r="S5649" t="s">
        <v>44902</v>
      </c>
      <c r="T5649" t="s">
        <v>46357</v>
      </c>
      <c r="U5649" t="s">
        <v>51685</v>
      </c>
      <c r="V5649" t="s">
        <v>59732</v>
      </c>
      <c r="W5649" t="s">
        <v>42236</v>
      </c>
      <c r="X5649" t="s">
        <v>44767</v>
      </c>
    </row>
    <row r="5650" spans="1:24">
      <c r="A5650">
        <f>HYPERLINK("https://www.philgeps.gov.ph/GEPSNONPILOT/Tender/SplashBidNoticeAbstractUI.aspx?menuIndex=3&amp;refID=7145591&amp;Result=3","7145591")</f>
        <v>0</v>
      </c>
      <c r="B5650" t="s">
        <v>1972</v>
      </c>
      <c r="C5650" t="s">
        <v>9095</v>
      </c>
      <c r="D5650" t="s">
        <v>17971</v>
      </c>
      <c r="E5650" t="s">
        <v>23057</v>
      </c>
      <c r="F5650" t="s">
        <v>30900</v>
      </c>
      <c r="G5650" t="s">
        <v>30907</v>
      </c>
      <c r="H5650" t="s">
        <v>30915</v>
      </c>
      <c r="I5650" t="s">
        <v>30919</v>
      </c>
      <c r="J5650" t="s">
        <v>31243</v>
      </c>
      <c r="K5650" t="s">
        <v>40286</v>
      </c>
      <c r="L5650" t="s">
        <v>1972</v>
      </c>
      <c r="M5650" t="s">
        <v>42660</v>
      </c>
      <c r="N5650" t="s">
        <v>44759</v>
      </c>
      <c r="O5650" t="s">
        <v>44760</v>
      </c>
      <c r="P5650">
        <v>0</v>
      </c>
      <c r="Q5650">
        <v>41</v>
      </c>
      <c r="R5650" t="s">
        <v>44766</v>
      </c>
      <c r="S5650" t="s">
        <v>44902</v>
      </c>
      <c r="T5650" t="s">
        <v>46536</v>
      </c>
      <c r="U5650" t="s">
        <v>51722</v>
      </c>
      <c r="W5650" t="s">
        <v>42660</v>
      </c>
      <c r="X5650" t="s">
        <v>44767</v>
      </c>
    </row>
    <row r="5651" spans="1:24">
      <c r="A5651">
        <f>HYPERLINK("https://www.philgeps.gov.ph/GEPSNONPILOT/Tender/SplashBidNoticeAbstractUI.aspx?menuIndex=3&amp;refID=7146354&amp;Result=3","7146354")</f>
        <v>0</v>
      </c>
      <c r="B5651" t="s">
        <v>2049</v>
      </c>
      <c r="C5651" t="s">
        <v>9096</v>
      </c>
      <c r="D5651" t="s">
        <v>17977</v>
      </c>
      <c r="E5651" t="s">
        <v>23058</v>
      </c>
      <c r="F5651" t="s">
        <v>30900</v>
      </c>
      <c r="G5651" t="s">
        <v>30908</v>
      </c>
      <c r="H5651" t="s">
        <v>30916</v>
      </c>
      <c r="I5651" t="s">
        <v>30940</v>
      </c>
      <c r="J5651" t="s">
        <v>34752</v>
      </c>
      <c r="K5651" t="s">
        <v>40287</v>
      </c>
      <c r="M5651" t="s">
        <v>42747</v>
      </c>
      <c r="N5651" t="s">
        <v>44759</v>
      </c>
      <c r="O5651" t="s">
        <v>44760</v>
      </c>
      <c r="P5651">
        <v>0</v>
      </c>
      <c r="Q5651">
        <v>2</v>
      </c>
      <c r="R5651" t="s">
        <v>44766</v>
      </c>
      <c r="S5651" t="s">
        <v>44902</v>
      </c>
      <c r="T5651" t="s">
        <v>46356</v>
      </c>
      <c r="U5651" t="s">
        <v>51723</v>
      </c>
      <c r="W5651" t="s">
        <v>42747</v>
      </c>
      <c r="X5651" t="s">
        <v>44767</v>
      </c>
    </row>
    <row r="5652" spans="1:24">
      <c r="A5652">
        <f>HYPERLINK("https://www.philgeps.gov.ph/GEPSNONPILOT/Tender/SplashBidNoticeAbstractUI.aspx?menuIndex=3&amp;refID=7146345&amp;Result=3","7146345")</f>
        <v>0</v>
      </c>
      <c r="B5652" t="s">
        <v>2050</v>
      </c>
      <c r="C5652" t="s">
        <v>9097</v>
      </c>
      <c r="D5652" t="s">
        <v>17952</v>
      </c>
      <c r="E5652" t="s">
        <v>23059</v>
      </c>
      <c r="F5652" t="s">
        <v>30900</v>
      </c>
      <c r="G5652" t="s">
        <v>30906</v>
      </c>
      <c r="H5652" t="s">
        <v>30916</v>
      </c>
      <c r="I5652" t="s">
        <v>9385</v>
      </c>
      <c r="J5652" t="s">
        <v>34753</v>
      </c>
      <c r="K5652" t="s">
        <v>40280</v>
      </c>
      <c r="M5652" t="s">
        <v>42748</v>
      </c>
      <c r="N5652" t="s">
        <v>44759</v>
      </c>
      <c r="O5652" t="s">
        <v>44760</v>
      </c>
      <c r="P5652">
        <v>0</v>
      </c>
      <c r="Q5652">
        <v>19</v>
      </c>
      <c r="R5652" t="s">
        <v>44766</v>
      </c>
      <c r="S5652" t="s">
        <v>44902</v>
      </c>
      <c r="T5652" t="s">
        <v>46700</v>
      </c>
      <c r="U5652" t="s">
        <v>51724</v>
      </c>
      <c r="W5652" t="s">
        <v>42748</v>
      </c>
      <c r="X5652" t="s">
        <v>44767</v>
      </c>
    </row>
    <row r="5653" spans="1:24">
      <c r="A5653">
        <f>HYPERLINK("https://www.philgeps.gov.ph/GEPSNONPILOT/Tender/SplashBidNoticeAbstractUI.aspx?menuIndex=3&amp;refID=7146341&amp;Result=3","7146341")</f>
        <v>0</v>
      </c>
      <c r="B5653" t="s">
        <v>172</v>
      </c>
      <c r="C5653" t="s">
        <v>9098</v>
      </c>
      <c r="D5653" t="s">
        <v>17979</v>
      </c>
      <c r="E5653" t="s">
        <v>23060</v>
      </c>
      <c r="F5653" t="s">
        <v>30900</v>
      </c>
      <c r="G5653" t="s">
        <v>30910</v>
      </c>
      <c r="H5653" t="s">
        <v>30916</v>
      </c>
      <c r="I5653" t="s">
        <v>30950</v>
      </c>
      <c r="J5653" t="s">
        <v>31056</v>
      </c>
      <c r="K5653" t="s">
        <v>40286</v>
      </c>
      <c r="M5653" t="s">
        <v>40719</v>
      </c>
      <c r="N5653" t="s">
        <v>44759</v>
      </c>
      <c r="O5653" t="s">
        <v>44760</v>
      </c>
      <c r="P5653">
        <v>0</v>
      </c>
      <c r="Q5653">
        <v>9</v>
      </c>
      <c r="R5653" t="s">
        <v>44766</v>
      </c>
      <c r="S5653" t="s">
        <v>44902</v>
      </c>
      <c r="T5653" t="s">
        <v>46547</v>
      </c>
      <c r="U5653" t="s">
        <v>47201</v>
      </c>
      <c r="W5653" t="s">
        <v>40719</v>
      </c>
      <c r="X5653" t="s">
        <v>44767</v>
      </c>
    </row>
    <row r="5654" spans="1:24">
      <c r="A5654">
        <f>HYPERLINK("https://www.philgeps.gov.ph/GEPSNONPILOT/Tender/SplashBidNoticeAbstractUI.aspx?menuIndex=3&amp;refID=7146333&amp;Result=3","7146333")</f>
        <v>0</v>
      </c>
      <c r="B5654" t="s">
        <v>748</v>
      </c>
      <c r="C5654" t="s">
        <v>9099</v>
      </c>
      <c r="D5654" t="s">
        <v>18019</v>
      </c>
      <c r="E5654" t="s">
        <v>23061</v>
      </c>
      <c r="F5654" t="s">
        <v>30900</v>
      </c>
      <c r="G5654" t="s">
        <v>30908</v>
      </c>
      <c r="H5654" t="s">
        <v>30916</v>
      </c>
      <c r="I5654" t="s">
        <v>4545</v>
      </c>
      <c r="J5654" t="s">
        <v>33171</v>
      </c>
      <c r="K5654" t="s">
        <v>40283</v>
      </c>
      <c r="M5654" t="s">
        <v>41312</v>
      </c>
      <c r="N5654" t="s">
        <v>44759</v>
      </c>
      <c r="O5654" t="s">
        <v>44760</v>
      </c>
      <c r="Q5654">
        <v>2</v>
      </c>
      <c r="R5654" t="s">
        <v>44766</v>
      </c>
      <c r="S5654" t="s">
        <v>44922</v>
      </c>
      <c r="T5654" t="s">
        <v>46720</v>
      </c>
      <c r="U5654" t="s">
        <v>51725</v>
      </c>
      <c r="W5654" t="s">
        <v>41312</v>
      </c>
      <c r="X5654" t="s">
        <v>44767</v>
      </c>
    </row>
    <row r="5655" spans="1:24">
      <c r="A5655">
        <f>HYPERLINK("https://www.philgeps.gov.ph/GEPSNONPILOT/Tender/SplashBidNoticeAbstractUI.aspx?menuIndex=3&amp;refID=7145650&amp;Result=3","7145650")</f>
        <v>0</v>
      </c>
      <c r="B5655" t="s">
        <v>222</v>
      </c>
      <c r="C5655" t="s">
        <v>9100</v>
      </c>
      <c r="D5655" t="s">
        <v>17973</v>
      </c>
      <c r="E5655" t="s">
        <v>22025</v>
      </c>
      <c r="F5655" t="s">
        <v>30900</v>
      </c>
      <c r="G5655" t="s">
        <v>30907</v>
      </c>
      <c r="H5655" t="s">
        <v>30916</v>
      </c>
      <c r="I5655" t="s">
        <v>30936</v>
      </c>
      <c r="J5655" t="s">
        <v>34754</v>
      </c>
      <c r="K5655" t="s">
        <v>40280</v>
      </c>
      <c r="M5655" t="s">
        <v>42749</v>
      </c>
      <c r="N5655" t="s">
        <v>44759</v>
      </c>
      <c r="O5655" t="s">
        <v>44760</v>
      </c>
      <c r="P5655">
        <v>0</v>
      </c>
      <c r="Q5655">
        <v>1</v>
      </c>
      <c r="R5655" t="s">
        <v>44766</v>
      </c>
      <c r="S5655" t="s">
        <v>44902</v>
      </c>
      <c r="T5655" t="s">
        <v>46616</v>
      </c>
      <c r="U5655" t="s">
        <v>51726</v>
      </c>
      <c r="V5655" t="s">
        <v>59733</v>
      </c>
      <c r="W5655" t="s">
        <v>42749</v>
      </c>
      <c r="X5655" t="s">
        <v>44767</v>
      </c>
    </row>
    <row r="5656" spans="1:24">
      <c r="A5656">
        <f>HYPERLINK("https://www.philgeps.gov.ph/GEPSNONPILOT/Tender/SplashBidNoticeAbstractUI.aspx?menuIndex=3&amp;refID=7146332&amp;Result=3","7146332")</f>
        <v>0</v>
      </c>
      <c r="B5656" t="s">
        <v>869</v>
      </c>
      <c r="C5656" t="s">
        <v>9101</v>
      </c>
      <c r="D5656" t="s">
        <v>17988</v>
      </c>
      <c r="E5656" t="s">
        <v>23062</v>
      </c>
      <c r="F5656" t="s">
        <v>30900</v>
      </c>
      <c r="G5656" t="s">
        <v>30908</v>
      </c>
      <c r="H5656" t="s">
        <v>30916</v>
      </c>
      <c r="I5656" t="s">
        <v>30926</v>
      </c>
      <c r="J5656" t="s">
        <v>34755</v>
      </c>
      <c r="K5656" t="s">
        <v>40287</v>
      </c>
      <c r="M5656" t="s">
        <v>42655</v>
      </c>
      <c r="N5656" t="s">
        <v>44759</v>
      </c>
      <c r="O5656" t="s">
        <v>44760</v>
      </c>
      <c r="P5656">
        <v>0</v>
      </c>
      <c r="Q5656">
        <v>0</v>
      </c>
      <c r="R5656" t="s">
        <v>44766</v>
      </c>
      <c r="S5656" t="s">
        <v>44902</v>
      </c>
      <c r="T5656" t="s">
        <v>46700</v>
      </c>
      <c r="U5656" t="s">
        <v>51727</v>
      </c>
      <c r="W5656" t="s">
        <v>42655</v>
      </c>
      <c r="X5656" t="s">
        <v>44767</v>
      </c>
    </row>
    <row r="5657" spans="1:24">
      <c r="A5657">
        <f>HYPERLINK("https://www.philgeps.gov.ph/GEPSNONPILOT/Tender/SplashBidNoticeAbstractUI.aspx?menuIndex=3&amp;refID=7146363&amp;Result=3","7146363")</f>
        <v>0</v>
      </c>
      <c r="B5657" t="s">
        <v>2051</v>
      </c>
      <c r="C5657" t="s">
        <v>9102</v>
      </c>
      <c r="D5657" t="s">
        <v>17963</v>
      </c>
      <c r="E5657" t="s">
        <v>23063</v>
      </c>
      <c r="F5657" t="s">
        <v>30900</v>
      </c>
      <c r="G5657" t="s">
        <v>30907</v>
      </c>
      <c r="H5657" t="s">
        <v>30916</v>
      </c>
      <c r="I5657" t="s">
        <v>4545</v>
      </c>
      <c r="J5657" t="s">
        <v>34756</v>
      </c>
      <c r="K5657" t="s">
        <v>40283</v>
      </c>
      <c r="M5657" t="s">
        <v>42750</v>
      </c>
      <c r="N5657" t="s">
        <v>44759</v>
      </c>
      <c r="O5657" t="s">
        <v>44760</v>
      </c>
      <c r="P5657">
        <v>0</v>
      </c>
      <c r="Q5657">
        <v>5</v>
      </c>
      <c r="R5657" t="s">
        <v>44766</v>
      </c>
      <c r="S5657" t="s">
        <v>44902</v>
      </c>
      <c r="T5657" t="s">
        <v>46379</v>
      </c>
      <c r="U5657" t="s">
        <v>51728</v>
      </c>
      <c r="V5657" t="s">
        <v>59734</v>
      </c>
      <c r="W5657" t="s">
        <v>42750</v>
      </c>
      <c r="X5657" t="s">
        <v>44767</v>
      </c>
    </row>
    <row r="5658" spans="1:24">
      <c r="A5658">
        <f>HYPERLINK("https://www.philgeps.gov.ph/GEPSNONPILOT/Tender/SplashBidNoticeAbstractUI.aspx?menuIndex=3&amp;refID=7146325&amp;Result=3","7146325")</f>
        <v>0</v>
      </c>
      <c r="B5658" t="s">
        <v>58</v>
      </c>
      <c r="C5658" t="s">
        <v>9065</v>
      </c>
      <c r="D5658" t="s">
        <v>17977</v>
      </c>
      <c r="E5658" t="s">
        <v>23064</v>
      </c>
      <c r="F5658" t="s">
        <v>30900</v>
      </c>
      <c r="G5658" t="s">
        <v>30908</v>
      </c>
      <c r="H5658" t="s">
        <v>30916</v>
      </c>
      <c r="I5658" t="s">
        <v>10602</v>
      </c>
      <c r="J5658" t="s">
        <v>34757</v>
      </c>
      <c r="K5658" t="s">
        <v>40287</v>
      </c>
      <c r="M5658" t="s">
        <v>40604</v>
      </c>
      <c r="N5658" t="s">
        <v>44759</v>
      </c>
      <c r="O5658" t="s">
        <v>44760</v>
      </c>
      <c r="P5658">
        <v>0</v>
      </c>
      <c r="Q5658">
        <v>0</v>
      </c>
      <c r="R5658" t="s">
        <v>44766</v>
      </c>
      <c r="S5658" t="s">
        <v>44902</v>
      </c>
      <c r="T5658" t="s">
        <v>46625</v>
      </c>
      <c r="U5658" t="s">
        <v>51289</v>
      </c>
      <c r="V5658" t="s">
        <v>59735</v>
      </c>
      <c r="W5658" t="s">
        <v>60815</v>
      </c>
      <c r="X5658" t="s">
        <v>44767</v>
      </c>
    </row>
    <row r="5659" spans="1:24">
      <c r="A5659">
        <f>HYPERLINK("https://www.philgeps.gov.ph/GEPSNONPILOT/Tender/SplashBidNoticeAbstractUI.aspx?menuIndex=3&amp;refID=7146319&amp;Result=3","7146319")</f>
        <v>0</v>
      </c>
      <c r="B5659" t="s">
        <v>2052</v>
      </c>
      <c r="C5659" t="s">
        <v>9103</v>
      </c>
      <c r="D5659" t="s">
        <v>17967</v>
      </c>
      <c r="E5659" t="s">
        <v>23065</v>
      </c>
      <c r="F5659" t="s">
        <v>30900</v>
      </c>
      <c r="G5659" t="s">
        <v>30907</v>
      </c>
      <c r="H5659" t="s">
        <v>30916</v>
      </c>
      <c r="I5659" t="s">
        <v>4142</v>
      </c>
      <c r="J5659" t="s">
        <v>34758</v>
      </c>
      <c r="K5659" t="s">
        <v>40284</v>
      </c>
      <c r="M5659" t="s">
        <v>42751</v>
      </c>
      <c r="N5659" t="s">
        <v>44759</v>
      </c>
      <c r="O5659" t="s">
        <v>44760</v>
      </c>
      <c r="P5659">
        <v>0</v>
      </c>
      <c r="Q5659">
        <v>0</v>
      </c>
      <c r="R5659" t="s">
        <v>44766</v>
      </c>
      <c r="S5659" t="s">
        <v>44902</v>
      </c>
      <c r="T5659" t="s">
        <v>46357</v>
      </c>
      <c r="U5659" t="s">
        <v>48263</v>
      </c>
      <c r="V5659" t="s">
        <v>59736</v>
      </c>
      <c r="W5659" t="s">
        <v>42751</v>
      </c>
      <c r="X5659" t="s">
        <v>44767</v>
      </c>
    </row>
    <row r="5660" spans="1:24">
      <c r="A5660">
        <f>HYPERLINK("https://www.philgeps.gov.ph/GEPSNONPILOT/Tender/SplashBidNoticeAbstractUI.aspx?menuIndex=3&amp;refID=7146337&amp;Result=3","7146337")</f>
        <v>0</v>
      </c>
      <c r="B5660" t="s">
        <v>920</v>
      </c>
      <c r="C5660" t="s">
        <v>9104</v>
      </c>
      <c r="D5660" t="s">
        <v>17959</v>
      </c>
      <c r="E5660" t="s">
        <v>23066</v>
      </c>
      <c r="F5660" t="s">
        <v>30900</v>
      </c>
      <c r="G5660" t="s">
        <v>30910</v>
      </c>
      <c r="H5660" t="s">
        <v>30916</v>
      </c>
      <c r="I5660" t="s">
        <v>4017</v>
      </c>
      <c r="J5660" t="s">
        <v>33352</v>
      </c>
      <c r="K5660" t="s">
        <v>40289</v>
      </c>
      <c r="M5660" t="s">
        <v>41500</v>
      </c>
      <c r="N5660" t="s">
        <v>44759</v>
      </c>
      <c r="O5660" t="s">
        <v>44760</v>
      </c>
      <c r="P5660">
        <v>0</v>
      </c>
      <c r="Q5660">
        <v>18</v>
      </c>
      <c r="R5660" t="s">
        <v>44766</v>
      </c>
      <c r="S5660" t="s">
        <v>44902</v>
      </c>
      <c r="T5660" t="s">
        <v>46440</v>
      </c>
      <c r="U5660" t="s">
        <v>51729</v>
      </c>
      <c r="W5660" t="s">
        <v>41500</v>
      </c>
      <c r="X5660" t="s">
        <v>44767</v>
      </c>
    </row>
    <row r="5661" spans="1:24">
      <c r="A5661">
        <f>HYPERLINK("https://www.philgeps.gov.ph/GEPSNONPILOT/Tender/SplashBidNoticeAbstractUI.aspx?menuIndex=3&amp;refID=7146318&amp;Result=3","7146318")</f>
        <v>0</v>
      </c>
      <c r="B5661" t="s">
        <v>2053</v>
      </c>
      <c r="C5661" t="s">
        <v>9105</v>
      </c>
      <c r="D5661" t="s">
        <v>17980</v>
      </c>
      <c r="E5661" t="s">
        <v>23067</v>
      </c>
      <c r="F5661" t="s">
        <v>30900</v>
      </c>
      <c r="G5661" t="s">
        <v>30907</v>
      </c>
      <c r="H5661" t="s">
        <v>30916</v>
      </c>
      <c r="I5661" t="s">
        <v>30961</v>
      </c>
      <c r="J5661" t="s">
        <v>34759</v>
      </c>
      <c r="K5661" t="s">
        <v>40280</v>
      </c>
      <c r="M5661" t="s">
        <v>42752</v>
      </c>
      <c r="N5661" t="s">
        <v>44759</v>
      </c>
      <c r="O5661" t="s">
        <v>44760</v>
      </c>
      <c r="Q5661">
        <v>4</v>
      </c>
      <c r="R5661" t="s">
        <v>44766</v>
      </c>
      <c r="S5661" t="s">
        <v>44923</v>
      </c>
      <c r="T5661" t="s">
        <v>46561</v>
      </c>
      <c r="U5661" t="s">
        <v>51730</v>
      </c>
      <c r="W5661" t="s">
        <v>42752</v>
      </c>
      <c r="X5661" t="s">
        <v>44767</v>
      </c>
    </row>
    <row r="5662" spans="1:24">
      <c r="A5662">
        <f>HYPERLINK("https://www.philgeps.gov.ph/GEPSNONPILOT/Tender/SplashBidNoticeAbstractUI.aspx?menuIndex=3&amp;refID=7146317&amp;Result=3","7146317")</f>
        <v>0</v>
      </c>
      <c r="B5662" t="s">
        <v>2054</v>
      </c>
      <c r="C5662" t="s">
        <v>9106</v>
      </c>
      <c r="D5662" t="s">
        <v>17975</v>
      </c>
      <c r="E5662" t="s">
        <v>18149</v>
      </c>
      <c r="F5662" t="s">
        <v>30900</v>
      </c>
      <c r="G5662" t="s">
        <v>30907</v>
      </c>
      <c r="H5662" t="s">
        <v>30916</v>
      </c>
      <c r="I5662" t="s">
        <v>8123</v>
      </c>
      <c r="J5662" t="s">
        <v>34760</v>
      </c>
      <c r="K5662" t="s">
        <v>40283</v>
      </c>
      <c r="M5662" t="s">
        <v>42753</v>
      </c>
      <c r="N5662" t="s">
        <v>44759</v>
      </c>
      <c r="O5662" t="s">
        <v>44760</v>
      </c>
      <c r="P5662">
        <v>0</v>
      </c>
      <c r="Q5662">
        <v>1</v>
      </c>
      <c r="R5662" t="s">
        <v>44766</v>
      </c>
      <c r="S5662" t="s">
        <v>44902</v>
      </c>
      <c r="T5662" t="s">
        <v>46376</v>
      </c>
      <c r="U5662" t="s">
        <v>51702</v>
      </c>
      <c r="W5662" t="s">
        <v>42753</v>
      </c>
      <c r="X5662" t="s">
        <v>44767</v>
      </c>
    </row>
    <row r="5663" spans="1:24">
      <c r="A5663">
        <f>HYPERLINK("https://www.philgeps.gov.ph/GEPSNONPILOT/Tender/SplashBidNoticeAbstractUI.aspx?menuIndex=3&amp;refID=7146425&amp;Result=3","7146425")</f>
        <v>0</v>
      </c>
      <c r="B5663" t="s">
        <v>1424</v>
      </c>
      <c r="C5663" t="s">
        <v>9107</v>
      </c>
      <c r="D5663" t="s">
        <v>17976</v>
      </c>
      <c r="E5663" t="s">
        <v>23068</v>
      </c>
      <c r="F5663" t="s">
        <v>30900</v>
      </c>
      <c r="G5663" t="s">
        <v>30908</v>
      </c>
      <c r="H5663" t="s">
        <v>30916</v>
      </c>
      <c r="I5663" t="s">
        <v>8365</v>
      </c>
      <c r="J5663" t="s">
        <v>34761</v>
      </c>
      <c r="K5663" t="s">
        <v>40288</v>
      </c>
      <c r="M5663" t="s">
        <v>42054</v>
      </c>
      <c r="N5663" t="s">
        <v>44759</v>
      </c>
      <c r="O5663" t="s">
        <v>44760</v>
      </c>
      <c r="P5663">
        <v>0</v>
      </c>
      <c r="Q5663">
        <v>0</v>
      </c>
      <c r="R5663" t="s">
        <v>44766</v>
      </c>
      <c r="S5663" t="s">
        <v>44902</v>
      </c>
      <c r="T5663" t="s">
        <v>46591</v>
      </c>
      <c r="U5663" t="s">
        <v>51731</v>
      </c>
      <c r="V5663" t="s">
        <v>59200</v>
      </c>
      <c r="W5663" t="s">
        <v>42054</v>
      </c>
      <c r="X5663" t="s">
        <v>44767</v>
      </c>
    </row>
    <row r="5664" spans="1:24">
      <c r="A5664">
        <f>HYPERLINK("https://www.philgeps.gov.ph/GEPSNONPILOT/Tender/SplashBidNoticeAbstractUI.aspx?menuIndex=3&amp;refID=7145805&amp;Result=3","7145805")</f>
        <v>0</v>
      </c>
      <c r="B5664" t="s">
        <v>1511</v>
      </c>
      <c r="C5664" t="s">
        <v>9108</v>
      </c>
      <c r="D5664" t="s">
        <v>18019</v>
      </c>
      <c r="E5664" t="s">
        <v>23069</v>
      </c>
      <c r="F5664" t="s">
        <v>30900</v>
      </c>
      <c r="G5664" t="s">
        <v>30908</v>
      </c>
      <c r="H5664" t="s">
        <v>30916</v>
      </c>
      <c r="I5664" t="s">
        <v>30981</v>
      </c>
      <c r="J5664" t="s">
        <v>31313</v>
      </c>
      <c r="K5664" t="s">
        <v>40289</v>
      </c>
      <c r="M5664" t="s">
        <v>42152</v>
      </c>
      <c r="N5664" t="s">
        <v>44759</v>
      </c>
      <c r="O5664" t="s">
        <v>44760</v>
      </c>
      <c r="P5664">
        <v>0</v>
      </c>
      <c r="Q5664">
        <v>1</v>
      </c>
      <c r="R5664" t="s">
        <v>44766</v>
      </c>
      <c r="S5664" t="s">
        <v>44902</v>
      </c>
      <c r="T5664" t="s">
        <v>46704</v>
      </c>
      <c r="U5664" t="s">
        <v>50068</v>
      </c>
      <c r="W5664" t="s">
        <v>42152</v>
      </c>
      <c r="X5664" t="s">
        <v>44767</v>
      </c>
    </row>
    <row r="5665" spans="1:24">
      <c r="A5665">
        <f>HYPERLINK("https://www.philgeps.gov.ph/GEPSNONPILOT/Tender/SplashBidNoticeAbstractUI.aspx?menuIndex=3&amp;refID=7146437&amp;Result=3","7146437")</f>
        <v>0</v>
      </c>
      <c r="B5665" t="s">
        <v>172</v>
      </c>
      <c r="C5665" t="s">
        <v>9109</v>
      </c>
      <c r="D5665" t="s">
        <v>18006</v>
      </c>
      <c r="E5665" t="s">
        <v>23070</v>
      </c>
      <c r="F5665" t="s">
        <v>30900</v>
      </c>
      <c r="G5665" t="s">
        <v>30908</v>
      </c>
      <c r="H5665" t="s">
        <v>30916</v>
      </c>
      <c r="I5665" t="s">
        <v>30963</v>
      </c>
      <c r="J5665" t="s">
        <v>31341</v>
      </c>
      <c r="K5665" t="s">
        <v>40286</v>
      </c>
      <c r="M5665" t="s">
        <v>40719</v>
      </c>
      <c r="N5665" t="s">
        <v>44759</v>
      </c>
      <c r="O5665" t="s">
        <v>44760</v>
      </c>
      <c r="P5665">
        <v>0</v>
      </c>
      <c r="Q5665">
        <v>4</v>
      </c>
      <c r="R5665" t="s">
        <v>44766</v>
      </c>
      <c r="S5665" t="s">
        <v>44902</v>
      </c>
      <c r="T5665" t="s">
        <v>46547</v>
      </c>
      <c r="U5665" t="s">
        <v>47201</v>
      </c>
      <c r="W5665" t="s">
        <v>40719</v>
      </c>
      <c r="X5665" t="s">
        <v>44767</v>
      </c>
    </row>
    <row r="5666" spans="1:24">
      <c r="A5666">
        <f>HYPERLINK("https://www.philgeps.gov.ph/GEPSNONPILOT/Tender/SplashBidNoticeAbstractUI.aspx?menuIndex=3&amp;refID=7146435&amp;Result=3","7146435")</f>
        <v>0</v>
      </c>
      <c r="B5666" t="s">
        <v>748</v>
      </c>
      <c r="C5666" t="s">
        <v>9110</v>
      </c>
      <c r="D5666" t="s">
        <v>18019</v>
      </c>
      <c r="E5666" t="s">
        <v>23071</v>
      </c>
      <c r="F5666" t="s">
        <v>30900</v>
      </c>
      <c r="G5666" t="s">
        <v>30908</v>
      </c>
      <c r="H5666" t="s">
        <v>30916</v>
      </c>
      <c r="I5666" t="s">
        <v>8123</v>
      </c>
      <c r="J5666" t="s">
        <v>34762</v>
      </c>
      <c r="K5666" t="s">
        <v>40283</v>
      </c>
      <c r="M5666" t="s">
        <v>41312</v>
      </c>
      <c r="N5666" t="s">
        <v>44759</v>
      </c>
      <c r="O5666" t="s">
        <v>44760</v>
      </c>
      <c r="Q5666">
        <v>1</v>
      </c>
      <c r="R5666" t="s">
        <v>44766</v>
      </c>
      <c r="S5666" t="s">
        <v>44873</v>
      </c>
      <c r="T5666" t="s">
        <v>46658</v>
      </c>
      <c r="U5666" t="s">
        <v>51732</v>
      </c>
      <c r="W5666" t="s">
        <v>41312</v>
      </c>
      <c r="X5666" t="s">
        <v>44767</v>
      </c>
    </row>
    <row r="5667" spans="1:24">
      <c r="A5667">
        <f>HYPERLINK("https://www.philgeps.gov.ph/GEPSNONPILOT/Tender/SplashBidNoticeAbstractUI.aspx?menuIndex=3&amp;refID=7146331&amp;Result=3","7146331")</f>
        <v>0</v>
      </c>
      <c r="B5667" t="s">
        <v>847</v>
      </c>
      <c r="C5667" t="s">
        <v>9111</v>
      </c>
      <c r="D5667" t="s">
        <v>17963</v>
      </c>
      <c r="E5667" t="s">
        <v>23072</v>
      </c>
      <c r="F5667" t="s">
        <v>30900</v>
      </c>
      <c r="G5667" t="s">
        <v>30908</v>
      </c>
      <c r="H5667" t="s">
        <v>30916</v>
      </c>
      <c r="I5667" t="s">
        <v>6746</v>
      </c>
      <c r="J5667" t="s">
        <v>34763</v>
      </c>
      <c r="K5667" t="s">
        <v>40289</v>
      </c>
      <c r="M5667" t="s">
        <v>41420</v>
      </c>
      <c r="N5667" t="s">
        <v>44759</v>
      </c>
      <c r="O5667" t="s">
        <v>44760</v>
      </c>
      <c r="P5667">
        <v>0</v>
      </c>
      <c r="Q5667">
        <v>0</v>
      </c>
      <c r="R5667" t="s">
        <v>44766</v>
      </c>
      <c r="S5667" t="s">
        <v>44902</v>
      </c>
      <c r="T5667" t="s">
        <v>46704</v>
      </c>
      <c r="U5667" t="s">
        <v>51733</v>
      </c>
      <c r="W5667" t="s">
        <v>41420</v>
      </c>
      <c r="X5667" t="s">
        <v>44767</v>
      </c>
    </row>
    <row r="5668" spans="1:24">
      <c r="A5668">
        <f>HYPERLINK("https://www.philgeps.gov.ph/GEPSNONPILOT/Tender/SplashBidNoticeAbstractUI.aspx?menuIndex=3&amp;refID=7146315&amp;Result=3","7146315")</f>
        <v>0</v>
      </c>
      <c r="B5668" t="s">
        <v>2055</v>
      </c>
      <c r="C5668" t="s">
        <v>9112</v>
      </c>
      <c r="D5668" t="s">
        <v>17975</v>
      </c>
      <c r="E5668" t="s">
        <v>18243</v>
      </c>
      <c r="F5668" t="s">
        <v>30900</v>
      </c>
      <c r="G5668" t="s">
        <v>30907</v>
      </c>
      <c r="H5668" t="s">
        <v>30916</v>
      </c>
      <c r="I5668" t="s">
        <v>4108</v>
      </c>
      <c r="J5668" t="s">
        <v>34764</v>
      </c>
      <c r="K5668" t="s">
        <v>40289</v>
      </c>
      <c r="M5668" t="s">
        <v>42754</v>
      </c>
      <c r="N5668" t="s">
        <v>44759</v>
      </c>
      <c r="O5668" t="s">
        <v>44760</v>
      </c>
      <c r="P5668">
        <v>0</v>
      </c>
      <c r="Q5668">
        <v>0</v>
      </c>
      <c r="R5668" t="s">
        <v>44766</v>
      </c>
      <c r="S5668" t="s">
        <v>44902</v>
      </c>
      <c r="T5668" t="s">
        <v>46383</v>
      </c>
      <c r="U5668" t="s">
        <v>51734</v>
      </c>
      <c r="W5668" t="s">
        <v>42754</v>
      </c>
      <c r="X5668" t="s">
        <v>44767</v>
      </c>
    </row>
    <row r="5669" spans="1:24">
      <c r="A5669">
        <f>HYPERLINK("https://www.philgeps.gov.ph/GEPSNONPILOT/Tender/SplashBidNoticeAbstractUI.aspx?menuIndex=3&amp;refID=7146429&amp;Result=3","7146429")</f>
        <v>0</v>
      </c>
      <c r="B5669" t="s">
        <v>2056</v>
      </c>
      <c r="C5669" t="s">
        <v>9113</v>
      </c>
      <c r="D5669" t="s">
        <v>17999</v>
      </c>
      <c r="E5669" t="s">
        <v>23073</v>
      </c>
      <c r="F5669" t="s">
        <v>30900</v>
      </c>
      <c r="G5669" t="s">
        <v>30907</v>
      </c>
      <c r="H5669" t="s">
        <v>30916</v>
      </c>
      <c r="I5669" t="s">
        <v>30935</v>
      </c>
      <c r="J5669" t="s">
        <v>32404</v>
      </c>
      <c r="K5669" t="s">
        <v>40289</v>
      </c>
      <c r="M5669" t="s">
        <v>42755</v>
      </c>
      <c r="N5669" t="s">
        <v>44759</v>
      </c>
      <c r="O5669" t="s">
        <v>44760</v>
      </c>
      <c r="P5669">
        <v>0</v>
      </c>
      <c r="Q5669">
        <v>3</v>
      </c>
      <c r="R5669" t="s">
        <v>44766</v>
      </c>
      <c r="S5669" t="s">
        <v>44902</v>
      </c>
      <c r="T5669" t="s">
        <v>46418</v>
      </c>
      <c r="U5669" t="s">
        <v>51735</v>
      </c>
      <c r="V5669" t="s">
        <v>59737</v>
      </c>
      <c r="W5669" t="s">
        <v>42755</v>
      </c>
      <c r="X5669" t="s">
        <v>44767</v>
      </c>
    </row>
    <row r="5670" spans="1:24">
      <c r="A5670">
        <f>HYPERLINK("https://www.philgeps.gov.ph/GEPSNONPILOT/Tender/SplashBidNoticeAbstractUI.aspx?menuIndex=3&amp;refID=7146426&amp;Result=3","7146426")</f>
        <v>0</v>
      </c>
      <c r="B5670" t="s">
        <v>591</v>
      </c>
      <c r="C5670" t="s">
        <v>9114</v>
      </c>
      <c r="D5670" t="s">
        <v>17998</v>
      </c>
      <c r="E5670" t="s">
        <v>23074</v>
      </c>
      <c r="F5670" t="s">
        <v>30900</v>
      </c>
      <c r="G5670" t="s">
        <v>30907</v>
      </c>
      <c r="H5670" t="s">
        <v>30916</v>
      </c>
      <c r="I5670" t="s">
        <v>8123</v>
      </c>
      <c r="J5670" t="s">
        <v>34765</v>
      </c>
      <c r="K5670" t="s">
        <v>40286</v>
      </c>
      <c r="M5670" t="s">
        <v>41247</v>
      </c>
      <c r="N5670" t="s">
        <v>44759</v>
      </c>
      <c r="O5670" t="s">
        <v>44760</v>
      </c>
      <c r="P5670">
        <v>0</v>
      </c>
      <c r="Q5670">
        <v>0</v>
      </c>
      <c r="R5670" t="s">
        <v>44766</v>
      </c>
      <c r="S5670" t="s">
        <v>44902</v>
      </c>
      <c r="T5670" t="s">
        <v>46350</v>
      </c>
      <c r="U5670" t="s">
        <v>47981</v>
      </c>
      <c r="V5670" t="s">
        <v>59259</v>
      </c>
      <c r="W5670" t="s">
        <v>41247</v>
      </c>
      <c r="X5670" t="s">
        <v>44767</v>
      </c>
    </row>
    <row r="5671" spans="1:24">
      <c r="A5671">
        <f>HYPERLINK("https://www.philgeps.gov.ph/GEPSNONPILOT/Tender/SplashBidNoticeAbstractUI.aspx?menuIndex=3&amp;refID=7146423&amp;Result=3","7146423")</f>
        <v>0</v>
      </c>
      <c r="B5671" t="s">
        <v>311</v>
      </c>
      <c r="C5671" t="s">
        <v>9115</v>
      </c>
      <c r="E5671" t="s">
        <v>23075</v>
      </c>
      <c r="F5671" t="s">
        <v>30900</v>
      </c>
      <c r="G5671" t="s">
        <v>30908</v>
      </c>
      <c r="H5671" t="s">
        <v>30916</v>
      </c>
      <c r="I5671" t="s">
        <v>10602</v>
      </c>
      <c r="J5671" t="s">
        <v>34766</v>
      </c>
      <c r="K5671" t="s">
        <v>40289</v>
      </c>
      <c r="M5671" t="s">
        <v>40861</v>
      </c>
      <c r="N5671" t="s">
        <v>44759</v>
      </c>
      <c r="O5671" t="s">
        <v>44760</v>
      </c>
      <c r="P5671">
        <v>0</v>
      </c>
      <c r="Q5671">
        <v>0</v>
      </c>
      <c r="R5671" t="s">
        <v>44766</v>
      </c>
      <c r="S5671" t="s">
        <v>44902</v>
      </c>
      <c r="T5671" t="s">
        <v>46403</v>
      </c>
      <c r="U5671" t="s">
        <v>51736</v>
      </c>
      <c r="W5671" t="s">
        <v>40861</v>
      </c>
      <c r="X5671" t="s">
        <v>44767</v>
      </c>
    </row>
    <row r="5672" spans="1:24">
      <c r="A5672">
        <f>HYPERLINK("https://www.philgeps.gov.ph/GEPSNONPILOT/Tender/SplashBidNoticeAbstractUI.aspx?menuIndex=3&amp;refID=7146418&amp;Result=3","7146418")</f>
        <v>0</v>
      </c>
      <c r="B5672" t="s">
        <v>58</v>
      </c>
      <c r="C5672" t="s">
        <v>9116</v>
      </c>
      <c r="D5672" t="s">
        <v>17977</v>
      </c>
      <c r="E5672" t="s">
        <v>23076</v>
      </c>
      <c r="F5672" t="s">
        <v>30900</v>
      </c>
      <c r="G5672" t="s">
        <v>30908</v>
      </c>
      <c r="H5672" t="s">
        <v>30916</v>
      </c>
      <c r="I5672" t="s">
        <v>10961</v>
      </c>
      <c r="J5672" t="s">
        <v>34767</v>
      </c>
      <c r="K5672" t="s">
        <v>40287</v>
      </c>
      <c r="M5672" t="s">
        <v>40604</v>
      </c>
      <c r="N5672" t="s">
        <v>44759</v>
      </c>
      <c r="O5672" t="s">
        <v>44760</v>
      </c>
      <c r="P5672">
        <v>0</v>
      </c>
      <c r="Q5672">
        <v>2</v>
      </c>
      <c r="R5672" t="s">
        <v>44766</v>
      </c>
      <c r="S5672" t="s">
        <v>44902</v>
      </c>
      <c r="T5672" t="s">
        <v>46352</v>
      </c>
      <c r="U5672" t="s">
        <v>51289</v>
      </c>
      <c r="V5672" t="s">
        <v>59738</v>
      </c>
      <c r="W5672" t="s">
        <v>60815</v>
      </c>
      <c r="X5672" t="s">
        <v>44767</v>
      </c>
    </row>
    <row r="5673" spans="1:24">
      <c r="A5673">
        <f>HYPERLINK("https://www.philgeps.gov.ph/GEPSNONPILOT/Tender/SplashBidNoticeAbstractUI.aspx?menuIndex=3&amp;refID=7146431&amp;Result=3","7146431")</f>
        <v>0</v>
      </c>
      <c r="B5673" t="s">
        <v>1490</v>
      </c>
      <c r="C5673" t="s">
        <v>9117</v>
      </c>
      <c r="D5673" t="s">
        <v>18001</v>
      </c>
      <c r="E5673" t="s">
        <v>23077</v>
      </c>
      <c r="F5673" t="s">
        <v>30900</v>
      </c>
      <c r="G5673" t="s">
        <v>30908</v>
      </c>
      <c r="H5673" t="s">
        <v>30915</v>
      </c>
      <c r="I5673" t="s">
        <v>30972</v>
      </c>
      <c r="J5673" t="s">
        <v>34768</v>
      </c>
      <c r="K5673" t="s">
        <v>40304</v>
      </c>
      <c r="M5673" t="s">
        <v>42128</v>
      </c>
      <c r="N5673" t="s">
        <v>44759</v>
      </c>
      <c r="O5673" t="s">
        <v>44760</v>
      </c>
      <c r="P5673">
        <v>0</v>
      </c>
      <c r="Q5673">
        <v>1</v>
      </c>
      <c r="R5673" t="s">
        <v>44766</v>
      </c>
      <c r="S5673" t="s">
        <v>44902</v>
      </c>
      <c r="T5673" t="s">
        <v>46398</v>
      </c>
      <c r="U5673" t="s">
        <v>51737</v>
      </c>
      <c r="W5673" t="s">
        <v>42128</v>
      </c>
      <c r="X5673" t="s">
        <v>44767</v>
      </c>
    </row>
    <row r="5674" spans="1:24">
      <c r="A5674">
        <f>HYPERLINK("https://www.philgeps.gov.ph/GEPSNONPILOT/Tender/SplashBidNoticeAbstractUI.aspx?menuIndex=3&amp;refID=7146416&amp;Result=3","7146416")</f>
        <v>0</v>
      </c>
      <c r="B5674" t="s">
        <v>2018</v>
      </c>
      <c r="C5674" t="s">
        <v>9118</v>
      </c>
      <c r="D5674" t="s">
        <v>17951</v>
      </c>
      <c r="E5674" t="s">
        <v>18605</v>
      </c>
      <c r="F5674" t="s">
        <v>30900</v>
      </c>
      <c r="G5674" t="s">
        <v>30907</v>
      </c>
      <c r="H5674" t="s">
        <v>30916</v>
      </c>
      <c r="I5674" t="s">
        <v>10961</v>
      </c>
      <c r="J5674" t="s">
        <v>31341</v>
      </c>
      <c r="K5674" t="s">
        <v>40283</v>
      </c>
      <c r="M5674" t="s">
        <v>42714</v>
      </c>
      <c r="N5674" t="s">
        <v>44759</v>
      </c>
      <c r="O5674" t="s">
        <v>44760</v>
      </c>
      <c r="P5674">
        <v>0</v>
      </c>
      <c r="Q5674">
        <v>2</v>
      </c>
      <c r="R5674" t="s">
        <v>44766</v>
      </c>
      <c r="S5674" t="s">
        <v>44902</v>
      </c>
      <c r="T5674" t="s">
        <v>46425</v>
      </c>
      <c r="U5674" t="s">
        <v>51655</v>
      </c>
      <c r="W5674" t="s">
        <v>42714</v>
      </c>
      <c r="X5674" t="s">
        <v>44767</v>
      </c>
    </row>
    <row r="5675" spans="1:24">
      <c r="A5675">
        <f>HYPERLINK("https://www.philgeps.gov.ph/GEPSNONPILOT/Tender/SplashBidNoticeAbstractUI.aspx?menuIndex=3&amp;refID=7146406&amp;Result=3","7146406")</f>
        <v>0</v>
      </c>
      <c r="B5675" t="s">
        <v>387</v>
      </c>
      <c r="C5675" t="s">
        <v>9119</v>
      </c>
      <c r="D5675" t="s">
        <v>17977</v>
      </c>
      <c r="E5675" t="s">
        <v>23078</v>
      </c>
      <c r="F5675" t="s">
        <v>30900</v>
      </c>
      <c r="G5675" t="s">
        <v>30908</v>
      </c>
      <c r="H5675" t="s">
        <v>30916</v>
      </c>
      <c r="I5675" t="s">
        <v>8123</v>
      </c>
      <c r="J5675" t="s">
        <v>34769</v>
      </c>
      <c r="K5675" t="s">
        <v>40286</v>
      </c>
      <c r="M5675" t="s">
        <v>40942</v>
      </c>
      <c r="N5675" t="s">
        <v>44759</v>
      </c>
      <c r="O5675" t="s">
        <v>44760</v>
      </c>
      <c r="P5675">
        <v>0</v>
      </c>
      <c r="Q5675">
        <v>0</v>
      </c>
      <c r="R5675" t="s">
        <v>44766</v>
      </c>
      <c r="S5675" t="s">
        <v>44902</v>
      </c>
      <c r="T5675" t="s">
        <v>46548</v>
      </c>
      <c r="U5675" t="s">
        <v>51738</v>
      </c>
      <c r="W5675" t="s">
        <v>40942</v>
      </c>
      <c r="X5675" t="s">
        <v>44767</v>
      </c>
    </row>
    <row r="5676" spans="1:24">
      <c r="A5676">
        <f>HYPERLINK("https://www.philgeps.gov.ph/GEPSNONPILOT/Tender/SplashBidNoticeAbstractUI.aspx?menuIndex=3&amp;refID=7146340&amp;Result=3","7146340")</f>
        <v>0</v>
      </c>
      <c r="B5676" t="s">
        <v>605</v>
      </c>
      <c r="C5676" t="s">
        <v>9120</v>
      </c>
      <c r="D5676" t="s">
        <v>18020</v>
      </c>
      <c r="E5676" t="s">
        <v>23079</v>
      </c>
      <c r="F5676" t="s">
        <v>30900</v>
      </c>
      <c r="G5676" t="s">
        <v>30907</v>
      </c>
      <c r="H5676" t="s">
        <v>30916</v>
      </c>
      <c r="I5676" t="s">
        <v>6834</v>
      </c>
      <c r="J5676" t="s">
        <v>34770</v>
      </c>
      <c r="K5676" t="s">
        <v>40286</v>
      </c>
      <c r="M5676" t="s">
        <v>41166</v>
      </c>
      <c r="N5676" t="s">
        <v>44759</v>
      </c>
      <c r="O5676" t="s">
        <v>44760</v>
      </c>
      <c r="P5676">
        <v>0</v>
      </c>
      <c r="Q5676">
        <v>5</v>
      </c>
      <c r="R5676" t="s">
        <v>44766</v>
      </c>
      <c r="S5676" t="s">
        <v>44902</v>
      </c>
      <c r="T5676" t="s">
        <v>46428</v>
      </c>
      <c r="U5676" t="s">
        <v>51739</v>
      </c>
      <c r="W5676" t="s">
        <v>41166</v>
      </c>
      <c r="X5676" t="s">
        <v>44767</v>
      </c>
    </row>
    <row r="5677" spans="1:24">
      <c r="A5677">
        <f>HYPERLINK("https://www.philgeps.gov.ph/GEPSNONPILOT/Tender/SplashBidNoticeAbstractUI.aspx?menuIndex=3&amp;refID=7146405&amp;Result=3","7146405")</f>
        <v>0</v>
      </c>
      <c r="B5677" t="s">
        <v>172</v>
      </c>
      <c r="C5677" t="s">
        <v>9121</v>
      </c>
      <c r="D5677" t="s">
        <v>17979</v>
      </c>
      <c r="E5677" t="s">
        <v>23080</v>
      </c>
      <c r="F5677" t="s">
        <v>30900</v>
      </c>
      <c r="G5677" t="s">
        <v>30910</v>
      </c>
      <c r="H5677" t="s">
        <v>30916</v>
      </c>
      <c r="I5677" t="s">
        <v>30923</v>
      </c>
      <c r="J5677" t="s">
        <v>34771</v>
      </c>
      <c r="K5677" t="s">
        <v>40283</v>
      </c>
      <c r="M5677" t="s">
        <v>40719</v>
      </c>
      <c r="N5677" t="s">
        <v>44759</v>
      </c>
      <c r="O5677" t="s">
        <v>44760</v>
      </c>
      <c r="P5677">
        <v>0</v>
      </c>
      <c r="Q5677">
        <v>12</v>
      </c>
      <c r="R5677" t="s">
        <v>44766</v>
      </c>
      <c r="S5677" t="s">
        <v>44902</v>
      </c>
      <c r="T5677" t="s">
        <v>46547</v>
      </c>
      <c r="U5677" t="s">
        <v>47201</v>
      </c>
      <c r="W5677" t="s">
        <v>40719</v>
      </c>
      <c r="X5677" t="s">
        <v>44767</v>
      </c>
    </row>
    <row r="5678" spans="1:24">
      <c r="A5678">
        <f>HYPERLINK("https://www.philgeps.gov.ph/GEPSNONPILOT/Tender/SplashBidNoticeAbstractUI.aspx?menuIndex=3&amp;refID=7146390&amp;Result=3","7146390")</f>
        <v>0</v>
      </c>
      <c r="B5678" t="s">
        <v>2051</v>
      </c>
      <c r="C5678" t="s">
        <v>9122</v>
      </c>
      <c r="D5678" t="s">
        <v>17963</v>
      </c>
      <c r="E5678" t="s">
        <v>23081</v>
      </c>
      <c r="F5678" t="s">
        <v>30900</v>
      </c>
      <c r="G5678" t="s">
        <v>30909</v>
      </c>
      <c r="H5678" t="s">
        <v>30915</v>
      </c>
      <c r="I5678" t="s">
        <v>30919</v>
      </c>
      <c r="J5678" t="s">
        <v>34772</v>
      </c>
      <c r="K5678" t="s">
        <v>40286</v>
      </c>
      <c r="M5678" t="s">
        <v>42750</v>
      </c>
      <c r="N5678" t="s">
        <v>44759</v>
      </c>
      <c r="O5678" t="s">
        <v>44760</v>
      </c>
      <c r="P5678">
        <v>0</v>
      </c>
      <c r="Q5678">
        <v>0</v>
      </c>
      <c r="R5678" t="s">
        <v>44766</v>
      </c>
      <c r="S5678" t="s">
        <v>44902</v>
      </c>
      <c r="T5678" t="s">
        <v>46379</v>
      </c>
      <c r="U5678" t="s">
        <v>51740</v>
      </c>
      <c r="V5678" t="s">
        <v>59739</v>
      </c>
      <c r="W5678" t="s">
        <v>42750</v>
      </c>
      <c r="X5678" t="s">
        <v>44767</v>
      </c>
    </row>
    <row r="5679" spans="1:24">
      <c r="A5679">
        <f>HYPERLINK("https://www.philgeps.gov.ph/GEPSNONPILOT/Tender/SplashBidNoticeAbstractUI.aspx?menuIndex=3&amp;refID=7146384&amp;Result=3","7146384")</f>
        <v>0</v>
      </c>
      <c r="B5679" t="s">
        <v>172</v>
      </c>
      <c r="C5679" t="s">
        <v>9123</v>
      </c>
      <c r="D5679" t="s">
        <v>17973</v>
      </c>
      <c r="E5679" t="s">
        <v>23082</v>
      </c>
      <c r="F5679" t="s">
        <v>30900</v>
      </c>
      <c r="G5679" t="s">
        <v>30910</v>
      </c>
      <c r="H5679" t="s">
        <v>30916</v>
      </c>
      <c r="I5679" t="s">
        <v>4108</v>
      </c>
      <c r="J5679" t="s">
        <v>34773</v>
      </c>
      <c r="K5679" t="s">
        <v>40321</v>
      </c>
      <c r="M5679" t="s">
        <v>40719</v>
      </c>
      <c r="N5679" t="s">
        <v>44759</v>
      </c>
      <c r="O5679" t="s">
        <v>44760</v>
      </c>
      <c r="P5679">
        <v>0</v>
      </c>
      <c r="Q5679">
        <v>2</v>
      </c>
      <c r="R5679" t="s">
        <v>44766</v>
      </c>
      <c r="S5679" t="s">
        <v>44902</v>
      </c>
      <c r="T5679" t="s">
        <v>46547</v>
      </c>
      <c r="U5679" t="s">
        <v>47201</v>
      </c>
      <c r="W5679" t="s">
        <v>40719</v>
      </c>
      <c r="X5679" t="s">
        <v>44767</v>
      </c>
    </row>
    <row r="5680" spans="1:24">
      <c r="A5680">
        <f>HYPERLINK("https://www.philgeps.gov.ph/GEPSNONPILOT/Tender/SplashBidNoticeAbstractUI.aspx?menuIndex=3&amp;refID=7146383&amp;Result=3","7146383")</f>
        <v>0</v>
      </c>
      <c r="B5680" t="s">
        <v>405</v>
      </c>
      <c r="C5680" t="s">
        <v>9124</v>
      </c>
      <c r="D5680" t="s">
        <v>17971</v>
      </c>
      <c r="E5680" t="s">
        <v>23083</v>
      </c>
      <c r="F5680" t="s">
        <v>30900</v>
      </c>
      <c r="G5680" t="s">
        <v>30908</v>
      </c>
      <c r="H5680" t="s">
        <v>30916</v>
      </c>
      <c r="I5680" t="s">
        <v>30921</v>
      </c>
      <c r="J5680" t="s">
        <v>34774</v>
      </c>
      <c r="K5680" t="s">
        <v>40287</v>
      </c>
      <c r="M5680" t="s">
        <v>40961</v>
      </c>
      <c r="N5680" t="s">
        <v>44759</v>
      </c>
      <c r="O5680" t="s">
        <v>44760</v>
      </c>
      <c r="P5680">
        <v>0</v>
      </c>
      <c r="Q5680">
        <v>0</v>
      </c>
      <c r="R5680" t="s">
        <v>44766</v>
      </c>
      <c r="S5680" t="s">
        <v>44902</v>
      </c>
      <c r="T5680" t="s">
        <v>46383</v>
      </c>
      <c r="U5680" t="s">
        <v>51741</v>
      </c>
      <c r="W5680" t="s">
        <v>40961</v>
      </c>
      <c r="X5680" t="s">
        <v>44767</v>
      </c>
    </row>
    <row r="5681" spans="1:24">
      <c r="A5681">
        <f>HYPERLINK("https://www.philgeps.gov.ph/GEPSNONPILOT/Tender/SplashBidNoticeAbstractUI.aspx?menuIndex=3&amp;refID=7146370&amp;Result=3","7146370")</f>
        <v>0</v>
      </c>
      <c r="B5681" t="s">
        <v>869</v>
      </c>
      <c r="C5681" t="s">
        <v>9125</v>
      </c>
      <c r="D5681" t="s">
        <v>17988</v>
      </c>
      <c r="E5681" t="s">
        <v>23084</v>
      </c>
      <c r="F5681" t="s">
        <v>30900</v>
      </c>
      <c r="G5681" t="s">
        <v>30908</v>
      </c>
      <c r="H5681" t="s">
        <v>30916</v>
      </c>
      <c r="I5681" t="s">
        <v>10847</v>
      </c>
      <c r="J5681" t="s">
        <v>34775</v>
      </c>
      <c r="K5681" t="s">
        <v>40285</v>
      </c>
      <c r="M5681" t="s">
        <v>42655</v>
      </c>
      <c r="N5681" t="s">
        <v>44759</v>
      </c>
      <c r="O5681" t="s">
        <v>44760</v>
      </c>
      <c r="P5681">
        <v>0</v>
      </c>
      <c r="Q5681">
        <v>0</v>
      </c>
      <c r="R5681" t="s">
        <v>44766</v>
      </c>
      <c r="S5681" t="s">
        <v>44902</v>
      </c>
      <c r="T5681" t="s">
        <v>46700</v>
      </c>
      <c r="U5681" t="s">
        <v>51742</v>
      </c>
      <c r="W5681" t="s">
        <v>42655</v>
      </c>
      <c r="X5681" t="s">
        <v>44767</v>
      </c>
    </row>
    <row r="5682" spans="1:24">
      <c r="A5682">
        <f>HYPERLINK("https://www.philgeps.gov.ph/GEPSNONPILOT/Tender/SplashBidNoticeAbstractUI.aspx?menuIndex=3&amp;refID=7146321&amp;Result=3","7146321")</f>
        <v>0</v>
      </c>
      <c r="B5682" t="s">
        <v>2057</v>
      </c>
      <c r="C5682" t="s">
        <v>9126</v>
      </c>
      <c r="D5682" t="s">
        <v>18004</v>
      </c>
      <c r="E5682" t="s">
        <v>23085</v>
      </c>
      <c r="F5682" t="s">
        <v>30900</v>
      </c>
      <c r="G5682" t="s">
        <v>30907</v>
      </c>
      <c r="H5682" t="s">
        <v>30915</v>
      </c>
      <c r="I5682" t="s">
        <v>8123</v>
      </c>
      <c r="J5682" t="s">
        <v>34776</v>
      </c>
      <c r="K5682" t="s">
        <v>40286</v>
      </c>
      <c r="M5682" t="s">
        <v>42756</v>
      </c>
      <c r="N5682" t="s">
        <v>44759</v>
      </c>
      <c r="O5682" t="s">
        <v>44760</v>
      </c>
      <c r="P5682">
        <v>0</v>
      </c>
      <c r="Q5682">
        <v>2</v>
      </c>
      <c r="R5682" t="s">
        <v>44766</v>
      </c>
      <c r="S5682" t="s">
        <v>44902</v>
      </c>
      <c r="T5682" t="s">
        <v>46691</v>
      </c>
      <c r="U5682" t="s">
        <v>51743</v>
      </c>
      <c r="W5682" t="s">
        <v>42756</v>
      </c>
      <c r="X5682" t="s">
        <v>44767</v>
      </c>
    </row>
    <row r="5683" spans="1:24">
      <c r="A5683">
        <f>HYPERLINK("https://www.philgeps.gov.ph/GEPSNONPILOT/Tender/SplashBidNoticeAbstractUI.aspx?menuIndex=3&amp;refID=7146369&amp;Result=3","7146369")</f>
        <v>0</v>
      </c>
      <c r="B5683" t="s">
        <v>2058</v>
      </c>
      <c r="C5683" t="s">
        <v>9127</v>
      </c>
      <c r="D5683" t="s">
        <v>17954</v>
      </c>
      <c r="E5683" t="s">
        <v>8326</v>
      </c>
      <c r="F5683" t="s">
        <v>30900</v>
      </c>
      <c r="G5683" t="s">
        <v>30908</v>
      </c>
      <c r="H5683" t="s">
        <v>30916</v>
      </c>
      <c r="I5683" t="s">
        <v>8123</v>
      </c>
      <c r="J5683" t="s">
        <v>34777</v>
      </c>
      <c r="K5683" t="s">
        <v>40283</v>
      </c>
      <c r="M5683" t="s">
        <v>42757</v>
      </c>
      <c r="N5683" t="s">
        <v>44759</v>
      </c>
      <c r="O5683" t="s">
        <v>44760</v>
      </c>
      <c r="P5683">
        <v>0</v>
      </c>
      <c r="Q5683">
        <v>0</v>
      </c>
      <c r="R5683" t="s">
        <v>44766</v>
      </c>
      <c r="S5683" t="s">
        <v>44902</v>
      </c>
      <c r="T5683" t="s">
        <v>46581</v>
      </c>
      <c r="U5683" t="s">
        <v>51744</v>
      </c>
      <c r="V5683" t="s">
        <v>59740</v>
      </c>
      <c r="W5683" t="s">
        <v>42757</v>
      </c>
      <c r="X5683" t="s">
        <v>44767</v>
      </c>
    </row>
    <row r="5684" spans="1:24">
      <c r="A5684">
        <f>HYPERLINK("https://www.philgeps.gov.ph/GEPSNONPILOT/Tender/SplashBidNoticeAbstractUI.aspx?menuIndex=3&amp;refID=7146364&amp;Result=3","7146364")</f>
        <v>0</v>
      </c>
      <c r="B5684" t="s">
        <v>172</v>
      </c>
      <c r="C5684" t="s">
        <v>9128</v>
      </c>
      <c r="D5684" t="s">
        <v>17979</v>
      </c>
      <c r="E5684" t="s">
        <v>23086</v>
      </c>
      <c r="F5684" t="s">
        <v>30900</v>
      </c>
      <c r="G5684" t="s">
        <v>30910</v>
      </c>
      <c r="H5684" t="s">
        <v>30916</v>
      </c>
      <c r="I5684" t="s">
        <v>9385</v>
      </c>
      <c r="J5684" t="s">
        <v>31271</v>
      </c>
      <c r="K5684" t="s">
        <v>40286</v>
      </c>
      <c r="M5684" t="s">
        <v>40719</v>
      </c>
      <c r="N5684" t="s">
        <v>44759</v>
      </c>
      <c r="O5684" t="s">
        <v>44760</v>
      </c>
      <c r="P5684">
        <v>0</v>
      </c>
      <c r="Q5684">
        <v>9</v>
      </c>
      <c r="R5684" t="s">
        <v>44766</v>
      </c>
      <c r="S5684" t="s">
        <v>44902</v>
      </c>
      <c r="T5684" t="s">
        <v>46547</v>
      </c>
      <c r="U5684" t="s">
        <v>47201</v>
      </c>
      <c r="W5684" t="s">
        <v>40719</v>
      </c>
      <c r="X5684" t="s">
        <v>44767</v>
      </c>
    </row>
    <row r="5685" spans="1:24">
      <c r="A5685">
        <f>HYPERLINK("https://www.philgeps.gov.ph/GEPSNONPILOT/Tender/SplashBidNoticeAbstractUI.aspx?menuIndex=3&amp;refID=7146312&amp;Result=3","7146312")</f>
        <v>0</v>
      </c>
      <c r="B5685" t="s">
        <v>172</v>
      </c>
      <c r="C5685" t="s">
        <v>9129</v>
      </c>
      <c r="D5685" t="s">
        <v>17973</v>
      </c>
      <c r="E5685" t="s">
        <v>23087</v>
      </c>
      <c r="F5685" t="s">
        <v>30900</v>
      </c>
      <c r="G5685" t="s">
        <v>30910</v>
      </c>
      <c r="H5685" t="s">
        <v>30916</v>
      </c>
      <c r="I5685" t="s">
        <v>30930</v>
      </c>
      <c r="J5685" t="s">
        <v>31674</v>
      </c>
      <c r="K5685" t="s">
        <v>40321</v>
      </c>
      <c r="M5685" t="s">
        <v>40719</v>
      </c>
      <c r="N5685" t="s">
        <v>44759</v>
      </c>
      <c r="O5685" t="s">
        <v>44760</v>
      </c>
      <c r="P5685">
        <v>0</v>
      </c>
      <c r="Q5685">
        <v>2</v>
      </c>
      <c r="R5685" t="s">
        <v>44766</v>
      </c>
      <c r="S5685" t="s">
        <v>44902</v>
      </c>
      <c r="T5685" t="s">
        <v>46547</v>
      </c>
      <c r="U5685" t="s">
        <v>47201</v>
      </c>
      <c r="W5685" t="s">
        <v>40719</v>
      </c>
      <c r="X5685" t="s">
        <v>44767</v>
      </c>
    </row>
    <row r="5686" spans="1:24">
      <c r="A5686">
        <f>HYPERLINK("https://www.philgeps.gov.ph/GEPSNONPILOT/Tender/SplashBidNoticeAbstractUI.aspx?menuIndex=3&amp;refID=7146445&amp;Result=3","7146445")</f>
        <v>0</v>
      </c>
      <c r="B5686" t="s">
        <v>706</v>
      </c>
      <c r="C5686" t="s">
        <v>9130</v>
      </c>
      <c r="D5686" t="s">
        <v>17982</v>
      </c>
      <c r="E5686" t="s">
        <v>21264</v>
      </c>
      <c r="F5686" t="s">
        <v>30900</v>
      </c>
      <c r="G5686" t="s">
        <v>30907</v>
      </c>
      <c r="H5686" t="s">
        <v>30915</v>
      </c>
      <c r="I5686" t="s">
        <v>30919</v>
      </c>
      <c r="J5686" t="s">
        <v>34778</v>
      </c>
      <c r="K5686" t="s">
        <v>40283</v>
      </c>
      <c r="L5686" t="s">
        <v>706</v>
      </c>
      <c r="M5686" t="s">
        <v>41270</v>
      </c>
      <c r="N5686" t="s">
        <v>44759</v>
      </c>
      <c r="O5686" t="s">
        <v>44760</v>
      </c>
      <c r="P5686">
        <v>0</v>
      </c>
      <c r="Q5686">
        <v>0</v>
      </c>
      <c r="R5686" t="s">
        <v>44766</v>
      </c>
      <c r="S5686" t="s">
        <v>44902</v>
      </c>
      <c r="T5686" t="s">
        <v>46414</v>
      </c>
      <c r="U5686" t="s">
        <v>51745</v>
      </c>
      <c r="W5686" t="s">
        <v>41270</v>
      </c>
      <c r="X5686" t="s">
        <v>44767</v>
      </c>
    </row>
    <row r="5687" spans="1:24">
      <c r="A5687">
        <f>HYPERLINK("https://www.philgeps.gov.ph/GEPSNONPILOT/Tender/SplashBidNoticeAbstractUI.aspx?menuIndex=3&amp;refID=7146470&amp;Result=3","7146470")</f>
        <v>0</v>
      </c>
      <c r="B5687" t="s">
        <v>58</v>
      </c>
      <c r="C5687" t="s">
        <v>9131</v>
      </c>
      <c r="D5687" t="s">
        <v>17977</v>
      </c>
      <c r="E5687" t="s">
        <v>23088</v>
      </c>
      <c r="F5687" t="s">
        <v>30900</v>
      </c>
      <c r="G5687" t="s">
        <v>30908</v>
      </c>
      <c r="H5687" t="s">
        <v>30916</v>
      </c>
      <c r="I5687" t="s">
        <v>4142</v>
      </c>
      <c r="J5687" t="s">
        <v>31271</v>
      </c>
      <c r="K5687" t="s">
        <v>40287</v>
      </c>
      <c r="M5687" t="s">
        <v>40604</v>
      </c>
      <c r="N5687" t="s">
        <v>44759</v>
      </c>
      <c r="O5687" t="s">
        <v>44760</v>
      </c>
      <c r="P5687">
        <v>0</v>
      </c>
      <c r="Q5687">
        <v>0</v>
      </c>
      <c r="R5687" t="s">
        <v>44766</v>
      </c>
      <c r="S5687" t="s">
        <v>44902</v>
      </c>
      <c r="T5687" t="s">
        <v>46625</v>
      </c>
      <c r="U5687" t="s">
        <v>51289</v>
      </c>
      <c r="V5687" t="s">
        <v>59741</v>
      </c>
      <c r="W5687" t="s">
        <v>60815</v>
      </c>
      <c r="X5687" t="s">
        <v>44767</v>
      </c>
    </row>
    <row r="5688" spans="1:24">
      <c r="A5688">
        <f>HYPERLINK("https://www.philgeps.gov.ph/GEPSNONPILOT/Tender/SplashBidNoticeAbstractUI.aspx?menuIndex=3&amp;refID=7146401&amp;Result=3","7146401")</f>
        <v>0</v>
      </c>
      <c r="B5688" t="s">
        <v>348</v>
      </c>
      <c r="C5688" t="s">
        <v>9132</v>
      </c>
      <c r="D5688" t="s">
        <v>17957</v>
      </c>
      <c r="E5688" t="s">
        <v>23089</v>
      </c>
      <c r="F5688" t="s">
        <v>30900</v>
      </c>
      <c r="G5688" t="s">
        <v>30908</v>
      </c>
      <c r="H5688" t="s">
        <v>30917</v>
      </c>
      <c r="I5688" t="s">
        <v>30934</v>
      </c>
      <c r="J5688" t="s">
        <v>31120</v>
      </c>
      <c r="K5688" t="s">
        <v>40284</v>
      </c>
      <c r="M5688" t="s">
        <v>42325</v>
      </c>
      <c r="N5688" t="s">
        <v>44759</v>
      </c>
      <c r="O5688" t="s">
        <v>44760</v>
      </c>
      <c r="P5688">
        <v>0</v>
      </c>
      <c r="Q5688">
        <v>1</v>
      </c>
      <c r="R5688" t="s">
        <v>44766</v>
      </c>
      <c r="S5688" t="s">
        <v>44902</v>
      </c>
      <c r="T5688" t="s">
        <v>46410</v>
      </c>
      <c r="U5688" t="s">
        <v>51746</v>
      </c>
      <c r="W5688" t="s">
        <v>42325</v>
      </c>
      <c r="X5688" t="s">
        <v>44767</v>
      </c>
    </row>
    <row r="5689" spans="1:24">
      <c r="A5689">
        <f>HYPERLINK("https://www.philgeps.gov.ph/GEPSNONPILOT/Tender/SplashBidNoticeAbstractUI.aspx?menuIndex=3&amp;refID=7146485&amp;Result=3","7146485")</f>
        <v>0</v>
      </c>
      <c r="B5689" t="s">
        <v>311</v>
      </c>
      <c r="C5689" t="s">
        <v>9133</v>
      </c>
      <c r="E5689" t="s">
        <v>23090</v>
      </c>
      <c r="F5689" t="s">
        <v>30900</v>
      </c>
      <c r="G5689" t="s">
        <v>30908</v>
      </c>
      <c r="H5689" t="s">
        <v>30916</v>
      </c>
      <c r="I5689" t="s">
        <v>30921</v>
      </c>
      <c r="J5689" t="s">
        <v>34779</v>
      </c>
      <c r="K5689" t="s">
        <v>40289</v>
      </c>
      <c r="M5689" t="s">
        <v>40861</v>
      </c>
      <c r="N5689" t="s">
        <v>44759</v>
      </c>
      <c r="O5689" t="s">
        <v>44760</v>
      </c>
      <c r="P5689">
        <v>0</v>
      </c>
      <c r="Q5689">
        <v>2</v>
      </c>
      <c r="R5689" t="s">
        <v>44766</v>
      </c>
      <c r="S5689" t="s">
        <v>44902</v>
      </c>
      <c r="T5689" t="s">
        <v>46403</v>
      </c>
      <c r="U5689" t="s">
        <v>51747</v>
      </c>
      <c r="W5689" t="s">
        <v>40861</v>
      </c>
      <c r="X5689" t="s">
        <v>44767</v>
      </c>
    </row>
    <row r="5690" spans="1:24">
      <c r="A5690">
        <f>HYPERLINK("https://www.philgeps.gov.ph/GEPSNONPILOT/Tender/SplashBidNoticeAbstractUI.aspx?menuIndex=3&amp;refID=7146213&amp;Result=3","7146213")</f>
        <v>0</v>
      </c>
      <c r="B5690" t="s">
        <v>400</v>
      </c>
      <c r="C5690" t="s">
        <v>9134</v>
      </c>
      <c r="D5690" t="s">
        <v>17971</v>
      </c>
      <c r="E5690" t="s">
        <v>23091</v>
      </c>
      <c r="F5690" t="s">
        <v>30900</v>
      </c>
      <c r="G5690" t="s">
        <v>30907</v>
      </c>
      <c r="H5690" t="s">
        <v>30916</v>
      </c>
      <c r="I5690" t="s">
        <v>4142</v>
      </c>
      <c r="J5690" t="s">
        <v>34780</v>
      </c>
      <c r="K5690" t="s">
        <v>40289</v>
      </c>
      <c r="M5690" t="s">
        <v>40955</v>
      </c>
      <c r="N5690" t="s">
        <v>44759</v>
      </c>
      <c r="O5690" t="s">
        <v>44760</v>
      </c>
      <c r="P5690">
        <v>0</v>
      </c>
      <c r="Q5690">
        <v>0</v>
      </c>
      <c r="R5690" t="s">
        <v>44766</v>
      </c>
      <c r="S5690" t="s">
        <v>44902</v>
      </c>
      <c r="T5690" t="s">
        <v>46421</v>
      </c>
      <c r="U5690" t="s">
        <v>51748</v>
      </c>
      <c r="W5690" t="s">
        <v>40955</v>
      </c>
      <c r="X5690" t="s">
        <v>44767</v>
      </c>
    </row>
    <row r="5691" spans="1:24">
      <c r="A5691">
        <f>HYPERLINK("https://www.philgeps.gov.ph/GEPSNONPILOT/Tender/SplashBidNoticeAbstractUI.aspx?menuIndex=3&amp;refID=7146484&amp;Result=3","7146484")</f>
        <v>0</v>
      </c>
      <c r="B5691" t="s">
        <v>1173</v>
      </c>
      <c r="C5691" t="s">
        <v>9135</v>
      </c>
      <c r="D5691" t="s">
        <v>18013</v>
      </c>
      <c r="E5691" t="s">
        <v>23092</v>
      </c>
      <c r="F5691" t="s">
        <v>30900</v>
      </c>
      <c r="G5691" t="s">
        <v>30907</v>
      </c>
      <c r="H5691" t="s">
        <v>30916</v>
      </c>
      <c r="I5691" t="s">
        <v>30923</v>
      </c>
      <c r="J5691" t="s">
        <v>34781</v>
      </c>
      <c r="K5691" t="s">
        <v>40286</v>
      </c>
      <c r="M5691" t="s">
        <v>41780</v>
      </c>
      <c r="N5691" t="s">
        <v>44759</v>
      </c>
      <c r="O5691" t="s">
        <v>44760</v>
      </c>
      <c r="P5691">
        <v>0</v>
      </c>
      <c r="Q5691">
        <v>0</v>
      </c>
      <c r="R5691" t="s">
        <v>44766</v>
      </c>
      <c r="S5691" t="s">
        <v>44902</v>
      </c>
      <c r="T5691" t="s">
        <v>46350</v>
      </c>
      <c r="U5691" t="s">
        <v>51749</v>
      </c>
      <c r="W5691" t="s">
        <v>41780</v>
      </c>
      <c r="X5691" t="s">
        <v>44767</v>
      </c>
    </row>
    <row r="5692" spans="1:24">
      <c r="A5692">
        <f>HYPERLINK("https://www.philgeps.gov.ph/GEPSNONPILOT/Tender/SplashBidNoticeAbstractUI.aspx?menuIndex=3&amp;refID=7146480&amp;Result=3","7146480")</f>
        <v>0</v>
      </c>
      <c r="B5692" t="s">
        <v>1339</v>
      </c>
      <c r="C5692" t="s">
        <v>9136</v>
      </c>
      <c r="D5692" t="s">
        <v>18001</v>
      </c>
      <c r="E5692" t="s">
        <v>23093</v>
      </c>
      <c r="F5692" t="s">
        <v>30900</v>
      </c>
      <c r="G5692" t="s">
        <v>30907</v>
      </c>
      <c r="H5692" t="s">
        <v>30915</v>
      </c>
      <c r="I5692" t="s">
        <v>30919</v>
      </c>
      <c r="J5692" t="s">
        <v>34782</v>
      </c>
      <c r="K5692" t="s">
        <v>40286</v>
      </c>
      <c r="M5692" t="s">
        <v>41960</v>
      </c>
      <c r="N5692" t="s">
        <v>44759</v>
      </c>
      <c r="O5692" t="s">
        <v>44760</v>
      </c>
      <c r="P5692">
        <v>0</v>
      </c>
      <c r="Q5692">
        <v>0</v>
      </c>
      <c r="R5692" t="s">
        <v>44766</v>
      </c>
      <c r="S5692" t="s">
        <v>44902</v>
      </c>
      <c r="T5692" t="s">
        <v>46364</v>
      </c>
      <c r="U5692" t="s">
        <v>51750</v>
      </c>
      <c r="W5692" t="s">
        <v>41960</v>
      </c>
      <c r="X5692" t="s">
        <v>44767</v>
      </c>
    </row>
    <row r="5693" spans="1:24">
      <c r="A5693">
        <f>HYPERLINK("https://www.philgeps.gov.ph/GEPSNONPILOT/Tender/SplashBidNoticeAbstractUI.aspx?menuIndex=3&amp;refID=7146367&amp;Result=3","7146367")</f>
        <v>0</v>
      </c>
      <c r="B5693" t="s">
        <v>2059</v>
      </c>
      <c r="C5693" t="s">
        <v>9137</v>
      </c>
      <c r="D5693" t="s">
        <v>17995</v>
      </c>
      <c r="E5693" t="s">
        <v>23094</v>
      </c>
      <c r="F5693" t="s">
        <v>30900</v>
      </c>
      <c r="G5693" t="s">
        <v>30908</v>
      </c>
      <c r="H5693" t="s">
        <v>30916</v>
      </c>
      <c r="I5693" t="s">
        <v>30923</v>
      </c>
      <c r="J5693" t="s">
        <v>31498</v>
      </c>
      <c r="K5693" t="s">
        <v>40287</v>
      </c>
      <c r="M5693" t="s">
        <v>42758</v>
      </c>
      <c r="N5693" t="s">
        <v>44759</v>
      </c>
      <c r="O5693" t="s">
        <v>44760</v>
      </c>
      <c r="P5693">
        <v>0</v>
      </c>
      <c r="Q5693">
        <v>14</v>
      </c>
      <c r="R5693" t="s">
        <v>44766</v>
      </c>
      <c r="S5693" t="s">
        <v>44902</v>
      </c>
      <c r="T5693" t="s">
        <v>46363</v>
      </c>
      <c r="U5693" t="s">
        <v>51751</v>
      </c>
      <c r="W5693" t="s">
        <v>42758</v>
      </c>
      <c r="X5693" t="s">
        <v>44767</v>
      </c>
    </row>
    <row r="5694" spans="1:24">
      <c r="A5694">
        <f>HYPERLINK("https://www.philgeps.gov.ph/GEPSNONPILOT/Tender/SplashBidNoticeAbstractUI.aspx?menuIndex=3&amp;refID=7146478&amp;Result=3","7146478")</f>
        <v>0</v>
      </c>
      <c r="B5694" t="s">
        <v>2060</v>
      </c>
      <c r="C5694" t="s">
        <v>9138</v>
      </c>
      <c r="D5694" t="s">
        <v>17986</v>
      </c>
      <c r="E5694" t="s">
        <v>23095</v>
      </c>
      <c r="F5694" t="s">
        <v>30900</v>
      </c>
      <c r="G5694" t="s">
        <v>30907</v>
      </c>
      <c r="H5694" t="s">
        <v>30916</v>
      </c>
      <c r="I5694" t="s">
        <v>30923</v>
      </c>
      <c r="J5694" t="s">
        <v>31096</v>
      </c>
      <c r="K5694" t="s">
        <v>40287</v>
      </c>
      <c r="M5694" t="s">
        <v>42759</v>
      </c>
      <c r="N5694" t="s">
        <v>44759</v>
      </c>
      <c r="O5694" t="s">
        <v>44760</v>
      </c>
      <c r="P5694">
        <v>0</v>
      </c>
      <c r="Q5694">
        <v>1</v>
      </c>
      <c r="R5694" t="s">
        <v>44766</v>
      </c>
      <c r="S5694" t="s">
        <v>44902</v>
      </c>
      <c r="T5694" t="s">
        <v>46411</v>
      </c>
      <c r="U5694" t="s">
        <v>51752</v>
      </c>
      <c r="W5694" t="s">
        <v>42759</v>
      </c>
      <c r="X5694" t="s">
        <v>44767</v>
      </c>
    </row>
    <row r="5695" spans="1:24">
      <c r="A5695">
        <f>HYPERLINK("https://www.philgeps.gov.ph/GEPSNONPILOT/Tender/SplashBidNoticeAbstractUI.aspx?menuIndex=3&amp;refID=7146467&amp;Result=3","7146467")</f>
        <v>0</v>
      </c>
      <c r="B5695" t="s">
        <v>2061</v>
      </c>
      <c r="C5695" t="s">
        <v>9139</v>
      </c>
      <c r="D5695" t="s">
        <v>17960</v>
      </c>
      <c r="E5695" t="s">
        <v>23096</v>
      </c>
      <c r="F5695" t="s">
        <v>30900</v>
      </c>
      <c r="G5695" t="s">
        <v>30907</v>
      </c>
      <c r="H5695" t="s">
        <v>30915</v>
      </c>
      <c r="I5695" t="s">
        <v>8123</v>
      </c>
      <c r="J5695" t="s">
        <v>34783</v>
      </c>
      <c r="K5695" t="s">
        <v>40417</v>
      </c>
      <c r="L5695" t="s">
        <v>2061</v>
      </c>
      <c r="M5695" t="s">
        <v>42760</v>
      </c>
      <c r="N5695" t="s">
        <v>44759</v>
      </c>
      <c r="O5695" t="s">
        <v>44760</v>
      </c>
      <c r="P5695">
        <v>0</v>
      </c>
      <c r="Q5695">
        <v>0</v>
      </c>
      <c r="R5695" t="s">
        <v>44766</v>
      </c>
      <c r="S5695" t="s">
        <v>44902</v>
      </c>
      <c r="T5695" t="s">
        <v>46519</v>
      </c>
      <c r="U5695" t="s">
        <v>51753</v>
      </c>
      <c r="W5695" t="s">
        <v>60880</v>
      </c>
      <c r="X5695" t="s">
        <v>44767</v>
      </c>
    </row>
    <row r="5696" spans="1:24">
      <c r="A5696">
        <f>HYPERLINK("https://www.philgeps.gov.ph/GEPSNONPILOT/Tender/SplashBidNoticeAbstractUI.aspx?menuIndex=3&amp;refID=7146466&amp;Result=3","7146466")</f>
        <v>0</v>
      </c>
      <c r="B5696" t="s">
        <v>748</v>
      </c>
      <c r="C5696" t="s">
        <v>9140</v>
      </c>
      <c r="D5696" t="s">
        <v>18019</v>
      </c>
      <c r="E5696" t="s">
        <v>23097</v>
      </c>
      <c r="F5696" t="s">
        <v>30900</v>
      </c>
      <c r="G5696" t="s">
        <v>30908</v>
      </c>
      <c r="H5696" t="s">
        <v>30916</v>
      </c>
      <c r="I5696" t="s">
        <v>30923</v>
      </c>
      <c r="J5696" t="s">
        <v>34784</v>
      </c>
      <c r="K5696" t="s">
        <v>40283</v>
      </c>
      <c r="M5696" t="s">
        <v>41312</v>
      </c>
      <c r="N5696" t="s">
        <v>44759</v>
      </c>
      <c r="O5696" t="s">
        <v>44760</v>
      </c>
      <c r="Q5696">
        <v>2</v>
      </c>
      <c r="R5696" t="s">
        <v>44766</v>
      </c>
      <c r="S5696" t="s">
        <v>44924</v>
      </c>
      <c r="T5696" t="s">
        <v>46658</v>
      </c>
      <c r="U5696" t="s">
        <v>51754</v>
      </c>
      <c r="W5696" t="s">
        <v>41312</v>
      </c>
      <c r="X5696" t="s">
        <v>44767</v>
      </c>
    </row>
    <row r="5697" spans="1:24">
      <c r="A5697">
        <f>HYPERLINK("https://www.philgeps.gov.ph/GEPSNONPILOT/Tender/SplashBidNoticeAbstractUI.aspx?menuIndex=3&amp;refID=7146463&amp;Result=3","7146463")</f>
        <v>0</v>
      </c>
      <c r="B5697" t="s">
        <v>121</v>
      </c>
      <c r="C5697" t="s">
        <v>9141</v>
      </c>
      <c r="D5697" t="s">
        <v>18010</v>
      </c>
      <c r="E5697" t="s">
        <v>23098</v>
      </c>
      <c r="F5697" t="s">
        <v>30900</v>
      </c>
      <c r="G5697" t="s">
        <v>30910</v>
      </c>
      <c r="H5697" t="s">
        <v>30916</v>
      </c>
      <c r="I5697" t="s">
        <v>4108</v>
      </c>
      <c r="J5697" t="s">
        <v>34785</v>
      </c>
      <c r="K5697" t="s">
        <v>40291</v>
      </c>
      <c r="M5697" t="s">
        <v>40668</v>
      </c>
      <c r="N5697" t="s">
        <v>44759</v>
      </c>
      <c r="O5697" t="s">
        <v>44760</v>
      </c>
      <c r="P5697">
        <v>0</v>
      </c>
      <c r="Q5697">
        <v>1</v>
      </c>
      <c r="R5697" t="s">
        <v>44766</v>
      </c>
      <c r="S5697" t="s">
        <v>44902</v>
      </c>
      <c r="T5697" t="s">
        <v>46357</v>
      </c>
      <c r="U5697" t="s">
        <v>51755</v>
      </c>
      <c r="W5697" t="s">
        <v>40668</v>
      </c>
      <c r="X5697" t="s">
        <v>44767</v>
      </c>
    </row>
    <row r="5698" spans="1:24">
      <c r="A5698">
        <f>HYPERLINK("https://www.philgeps.gov.ph/GEPSNONPILOT/Tender/SplashBidNoticeAbstractUI.aspx?menuIndex=3&amp;refID=7146488&amp;Result=3","7146488")</f>
        <v>0</v>
      </c>
      <c r="B5698" t="s">
        <v>172</v>
      </c>
      <c r="C5698" t="s">
        <v>9142</v>
      </c>
      <c r="D5698" t="s">
        <v>17973</v>
      </c>
      <c r="E5698" t="s">
        <v>23099</v>
      </c>
      <c r="F5698" t="s">
        <v>30900</v>
      </c>
      <c r="G5698" t="s">
        <v>30908</v>
      </c>
      <c r="H5698" t="s">
        <v>30916</v>
      </c>
      <c r="I5698" t="s">
        <v>30935</v>
      </c>
      <c r="J5698" t="s">
        <v>31497</v>
      </c>
      <c r="K5698" t="s">
        <v>40280</v>
      </c>
      <c r="M5698" t="s">
        <v>40719</v>
      </c>
      <c r="N5698" t="s">
        <v>44759</v>
      </c>
      <c r="O5698" t="s">
        <v>44760</v>
      </c>
      <c r="P5698">
        <v>0</v>
      </c>
      <c r="Q5698">
        <v>2</v>
      </c>
      <c r="R5698" t="s">
        <v>44766</v>
      </c>
      <c r="S5698" t="s">
        <v>44902</v>
      </c>
      <c r="T5698" t="s">
        <v>46547</v>
      </c>
      <c r="U5698" t="s">
        <v>47201</v>
      </c>
      <c r="W5698" t="s">
        <v>40719</v>
      </c>
      <c r="X5698" t="s">
        <v>44767</v>
      </c>
    </row>
    <row r="5699" spans="1:24">
      <c r="A5699">
        <f>HYPERLINK("https://www.philgeps.gov.ph/GEPSNONPILOT/Tender/SplashBidNoticeAbstractUI.aspx?menuIndex=3&amp;refID=7146461&amp;Result=3","7146461")</f>
        <v>0</v>
      </c>
      <c r="B5699" t="s">
        <v>2062</v>
      </c>
      <c r="C5699" t="s">
        <v>9143</v>
      </c>
      <c r="E5699" t="s">
        <v>23100</v>
      </c>
      <c r="F5699" t="s">
        <v>30900</v>
      </c>
      <c r="G5699" t="s">
        <v>30907</v>
      </c>
      <c r="H5699" t="s">
        <v>30916</v>
      </c>
      <c r="I5699" t="s">
        <v>6834</v>
      </c>
      <c r="J5699" t="s">
        <v>31096</v>
      </c>
      <c r="K5699" t="s">
        <v>40289</v>
      </c>
      <c r="M5699" t="s">
        <v>42761</v>
      </c>
      <c r="N5699" t="s">
        <v>44759</v>
      </c>
      <c r="O5699" t="s">
        <v>44760</v>
      </c>
      <c r="P5699">
        <v>0</v>
      </c>
      <c r="Q5699">
        <v>0</v>
      </c>
      <c r="R5699" t="s">
        <v>44766</v>
      </c>
      <c r="S5699" t="s">
        <v>44902</v>
      </c>
      <c r="T5699" t="s">
        <v>46383</v>
      </c>
      <c r="U5699" t="s">
        <v>51756</v>
      </c>
      <c r="W5699" t="s">
        <v>42761</v>
      </c>
      <c r="X5699" t="s">
        <v>44767</v>
      </c>
    </row>
    <row r="5700" spans="1:24">
      <c r="A5700">
        <f>HYPERLINK("https://www.philgeps.gov.ph/GEPSNONPILOT/Tender/SplashBidNoticeAbstractUI.aspx?menuIndex=3&amp;refID=7146483&amp;Result=3","7146483")</f>
        <v>0</v>
      </c>
      <c r="B5700" t="s">
        <v>2063</v>
      </c>
      <c r="C5700" t="s">
        <v>9144</v>
      </c>
      <c r="D5700" t="s">
        <v>17977</v>
      </c>
      <c r="E5700" t="s">
        <v>23101</v>
      </c>
      <c r="F5700" t="s">
        <v>30900</v>
      </c>
      <c r="G5700" t="s">
        <v>30908</v>
      </c>
      <c r="H5700" t="s">
        <v>30916</v>
      </c>
      <c r="I5700" t="s">
        <v>30933</v>
      </c>
      <c r="J5700" t="s">
        <v>34786</v>
      </c>
      <c r="K5700" t="s">
        <v>40283</v>
      </c>
      <c r="L5700" t="s">
        <v>2063</v>
      </c>
      <c r="M5700" t="s">
        <v>42762</v>
      </c>
      <c r="N5700" t="s">
        <v>44759</v>
      </c>
      <c r="O5700" t="s">
        <v>44760</v>
      </c>
      <c r="P5700">
        <v>0</v>
      </c>
      <c r="Q5700">
        <v>0</v>
      </c>
      <c r="R5700" t="s">
        <v>44766</v>
      </c>
      <c r="S5700" t="s">
        <v>44902</v>
      </c>
      <c r="T5700" t="s">
        <v>46533</v>
      </c>
      <c r="U5700" t="s">
        <v>51757</v>
      </c>
      <c r="W5700" t="s">
        <v>42762</v>
      </c>
      <c r="X5700" t="s">
        <v>44767</v>
      </c>
    </row>
    <row r="5701" spans="1:24">
      <c r="A5701">
        <f>HYPERLINK("https://www.philgeps.gov.ph/GEPSNONPILOT/Tender/SplashBidNoticeAbstractUI.aspx?menuIndex=3&amp;refID=7146419&amp;Result=3","7146419")</f>
        <v>0</v>
      </c>
      <c r="B5701" t="s">
        <v>706</v>
      </c>
      <c r="C5701" t="s">
        <v>9145</v>
      </c>
      <c r="D5701" t="s">
        <v>17982</v>
      </c>
      <c r="E5701" t="s">
        <v>23102</v>
      </c>
      <c r="F5701" t="s">
        <v>30900</v>
      </c>
      <c r="G5701" t="s">
        <v>30907</v>
      </c>
      <c r="H5701" t="s">
        <v>30916</v>
      </c>
      <c r="I5701" t="s">
        <v>30922</v>
      </c>
      <c r="J5701" t="s">
        <v>34787</v>
      </c>
      <c r="K5701" t="s">
        <v>40288</v>
      </c>
      <c r="L5701" t="s">
        <v>706</v>
      </c>
      <c r="M5701" t="s">
        <v>41270</v>
      </c>
      <c r="N5701" t="s">
        <v>44759</v>
      </c>
      <c r="O5701" t="s">
        <v>44760</v>
      </c>
      <c r="P5701">
        <v>0</v>
      </c>
      <c r="Q5701">
        <v>0</v>
      </c>
      <c r="R5701" t="s">
        <v>44766</v>
      </c>
      <c r="S5701" t="s">
        <v>44902</v>
      </c>
      <c r="T5701" t="s">
        <v>46414</v>
      </c>
      <c r="U5701" t="s">
        <v>51758</v>
      </c>
      <c r="W5701" t="s">
        <v>41270</v>
      </c>
      <c r="X5701" t="s">
        <v>44767</v>
      </c>
    </row>
    <row r="5702" spans="1:24">
      <c r="A5702">
        <f>HYPERLINK("https://www.philgeps.gov.ph/GEPSNONPILOT/Tender/SplashBidNoticeAbstractUI.aspx?menuIndex=3&amp;refID=7146472&amp;Result=3","7146472")</f>
        <v>0</v>
      </c>
      <c r="B5702" t="s">
        <v>2063</v>
      </c>
      <c r="C5702" t="s">
        <v>9146</v>
      </c>
      <c r="D5702" t="s">
        <v>17977</v>
      </c>
      <c r="E5702" t="s">
        <v>23103</v>
      </c>
      <c r="F5702" t="s">
        <v>30900</v>
      </c>
      <c r="G5702" t="s">
        <v>30908</v>
      </c>
      <c r="H5702" t="s">
        <v>30916</v>
      </c>
      <c r="I5702" t="s">
        <v>30933</v>
      </c>
      <c r="J5702" t="s">
        <v>34788</v>
      </c>
      <c r="K5702" t="s">
        <v>40283</v>
      </c>
      <c r="L5702" t="s">
        <v>2063</v>
      </c>
      <c r="M5702" t="s">
        <v>42762</v>
      </c>
      <c r="N5702" t="s">
        <v>44759</v>
      </c>
      <c r="O5702" t="s">
        <v>44760</v>
      </c>
      <c r="P5702">
        <v>0</v>
      </c>
      <c r="Q5702">
        <v>0</v>
      </c>
      <c r="R5702" t="s">
        <v>44766</v>
      </c>
      <c r="S5702" t="s">
        <v>44902</v>
      </c>
      <c r="T5702" t="s">
        <v>46533</v>
      </c>
      <c r="U5702" t="s">
        <v>51757</v>
      </c>
      <c r="W5702" t="s">
        <v>42762</v>
      </c>
      <c r="X5702" t="s">
        <v>44767</v>
      </c>
    </row>
    <row r="5703" spans="1:24">
      <c r="A5703">
        <f>HYPERLINK("https://www.philgeps.gov.ph/GEPSNONPILOT/Tender/SplashBidNoticeAbstractUI.aspx?menuIndex=3&amp;refID=7146449&amp;Result=3","7146449")</f>
        <v>0</v>
      </c>
      <c r="B5703" t="s">
        <v>180</v>
      </c>
      <c r="C5703" t="s">
        <v>9147</v>
      </c>
      <c r="D5703" t="s">
        <v>17987</v>
      </c>
      <c r="E5703" t="s">
        <v>23104</v>
      </c>
      <c r="F5703" t="s">
        <v>30900</v>
      </c>
      <c r="G5703" t="s">
        <v>30907</v>
      </c>
      <c r="H5703" t="s">
        <v>30916</v>
      </c>
      <c r="I5703" t="s">
        <v>8123</v>
      </c>
      <c r="J5703" t="s">
        <v>34789</v>
      </c>
      <c r="K5703" t="s">
        <v>40284</v>
      </c>
      <c r="M5703" t="s">
        <v>40727</v>
      </c>
      <c r="N5703" t="s">
        <v>44759</v>
      </c>
      <c r="O5703" t="s">
        <v>44760</v>
      </c>
      <c r="P5703">
        <v>0</v>
      </c>
      <c r="Q5703">
        <v>0</v>
      </c>
      <c r="R5703" t="s">
        <v>44766</v>
      </c>
      <c r="S5703" t="s">
        <v>44902</v>
      </c>
      <c r="T5703" t="s">
        <v>46409</v>
      </c>
      <c r="U5703" t="s">
        <v>51759</v>
      </c>
      <c r="W5703" t="s">
        <v>40727</v>
      </c>
      <c r="X5703" t="s">
        <v>44767</v>
      </c>
    </row>
    <row r="5704" spans="1:24">
      <c r="A5704">
        <f>HYPERLINK("https://www.philgeps.gov.ph/GEPSNONPILOT/Tender/SplashBidNoticeAbstractUI.aspx?menuIndex=3&amp;refID=7146465&amp;Result=3","7146465")</f>
        <v>0</v>
      </c>
      <c r="B5704" t="s">
        <v>889</v>
      </c>
      <c r="C5704" t="s">
        <v>9148</v>
      </c>
      <c r="D5704" t="s">
        <v>17991</v>
      </c>
      <c r="E5704" t="s">
        <v>23105</v>
      </c>
      <c r="F5704" t="s">
        <v>30900</v>
      </c>
      <c r="G5704" t="s">
        <v>30907</v>
      </c>
      <c r="H5704" t="s">
        <v>30916</v>
      </c>
      <c r="I5704" t="s">
        <v>30939</v>
      </c>
      <c r="J5704" t="s">
        <v>31944</v>
      </c>
      <c r="K5704" t="s">
        <v>40294</v>
      </c>
      <c r="M5704" t="s">
        <v>41462</v>
      </c>
      <c r="N5704" t="s">
        <v>44759</v>
      </c>
      <c r="O5704" t="s">
        <v>44760</v>
      </c>
      <c r="P5704">
        <v>0</v>
      </c>
      <c r="Q5704">
        <v>0</v>
      </c>
      <c r="R5704" t="s">
        <v>44766</v>
      </c>
      <c r="S5704" t="s">
        <v>44902</v>
      </c>
      <c r="T5704" t="s">
        <v>46441</v>
      </c>
      <c r="U5704" t="s">
        <v>51760</v>
      </c>
      <c r="W5704" t="s">
        <v>41462</v>
      </c>
      <c r="X5704" t="s">
        <v>44767</v>
      </c>
    </row>
    <row r="5705" spans="1:24">
      <c r="A5705">
        <f>HYPERLINK("https://www.philgeps.gov.ph/GEPSNONPILOT/Tender/SplashBidNoticeAbstractUI.aspx?menuIndex=3&amp;refID=7146231&amp;Result=3","7146231")</f>
        <v>0</v>
      </c>
      <c r="B5705" t="s">
        <v>2031</v>
      </c>
      <c r="C5705" t="s">
        <v>9149</v>
      </c>
      <c r="D5705" t="s">
        <v>17982</v>
      </c>
      <c r="E5705" t="s">
        <v>23106</v>
      </c>
      <c r="F5705" t="s">
        <v>30900</v>
      </c>
      <c r="G5705" t="s">
        <v>30907</v>
      </c>
      <c r="H5705" t="s">
        <v>30915</v>
      </c>
      <c r="I5705" t="s">
        <v>30919</v>
      </c>
      <c r="J5705" t="s">
        <v>34790</v>
      </c>
      <c r="K5705" t="s">
        <v>40280</v>
      </c>
      <c r="M5705" t="s">
        <v>42728</v>
      </c>
      <c r="N5705" t="s">
        <v>44759</v>
      </c>
      <c r="O5705" t="s">
        <v>44760</v>
      </c>
      <c r="Q5705">
        <v>1</v>
      </c>
      <c r="R5705" t="s">
        <v>44766</v>
      </c>
      <c r="S5705" t="s">
        <v>44925</v>
      </c>
      <c r="T5705" t="s">
        <v>46519</v>
      </c>
      <c r="U5705" t="s">
        <v>51761</v>
      </c>
      <c r="W5705" t="s">
        <v>42728</v>
      </c>
      <c r="X5705" t="s">
        <v>44767</v>
      </c>
    </row>
    <row r="5706" spans="1:24">
      <c r="A5706">
        <f>HYPERLINK("https://www.philgeps.gov.ph/GEPSNONPILOT/Tender/SplashBidNoticeAbstractUI.aspx?menuIndex=3&amp;refID=7146556&amp;Result=3","7146556")</f>
        <v>0</v>
      </c>
      <c r="B5706" t="s">
        <v>1879</v>
      </c>
      <c r="C5706" t="s">
        <v>9150</v>
      </c>
      <c r="D5706" t="s">
        <v>17963</v>
      </c>
      <c r="E5706" t="s">
        <v>23107</v>
      </c>
      <c r="F5706" t="s">
        <v>30900</v>
      </c>
      <c r="G5706" t="s">
        <v>30907</v>
      </c>
      <c r="H5706" t="s">
        <v>30917</v>
      </c>
      <c r="I5706" t="s">
        <v>30919</v>
      </c>
      <c r="J5706" t="s">
        <v>31043</v>
      </c>
      <c r="K5706" t="s">
        <v>40286</v>
      </c>
      <c r="M5706" t="s">
        <v>42553</v>
      </c>
      <c r="N5706" t="s">
        <v>44759</v>
      </c>
      <c r="O5706" t="s">
        <v>44760</v>
      </c>
      <c r="P5706">
        <v>0</v>
      </c>
      <c r="Q5706">
        <v>0</v>
      </c>
      <c r="R5706" t="s">
        <v>44766</v>
      </c>
      <c r="S5706" t="s">
        <v>44902</v>
      </c>
      <c r="T5706" t="s">
        <v>46357</v>
      </c>
      <c r="U5706" t="s">
        <v>51762</v>
      </c>
      <c r="W5706" t="s">
        <v>42553</v>
      </c>
      <c r="X5706" t="s">
        <v>44767</v>
      </c>
    </row>
    <row r="5707" spans="1:24">
      <c r="A5707">
        <f>HYPERLINK("https://www.philgeps.gov.ph/GEPSNONPILOT/Tender/SplashBidNoticeAbstractUI.aspx?menuIndex=3&amp;refID=7146454&amp;Result=3","7146454")</f>
        <v>0</v>
      </c>
      <c r="B5707" t="s">
        <v>591</v>
      </c>
      <c r="C5707" t="s">
        <v>9151</v>
      </c>
      <c r="D5707" t="s">
        <v>17998</v>
      </c>
      <c r="E5707" t="s">
        <v>23108</v>
      </c>
      <c r="F5707" t="s">
        <v>30900</v>
      </c>
      <c r="G5707" t="s">
        <v>30907</v>
      </c>
      <c r="H5707" t="s">
        <v>30916</v>
      </c>
      <c r="I5707" t="s">
        <v>8123</v>
      </c>
      <c r="J5707" t="s">
        <v>34791</v>
      </c>
      <c r="K5707" t="s">
        <v>40286</v>
      </c>
      <c r="M5707" t="s">
        <v>41247</v>
      </c>
      <c r="N5707" t="s">
        <v>44759</v>
      </c>
      <c r="O5707" t="s">
        <v>44760</v>
      </c>
      <c r="P5707">
        <v>0</v>
      </c>
      <c r="Q5707">
        <v>0</v>
      </c>
      <c r="R5707" t="s">
        <v>44766</v>
      </c>
      <c r="S5707" t="s">
        <v>44902</v>
      </c>
      <c r="T5707" t="s">
        <v>46389</v>
      </c>
      <c r="U5707" t="s">
        <v>47975</v>
      </c>
      <c r="V5707" t="s">
        <v>59259</v>
      </c>
      <c r="W5707" t="s">
        <v>41247</v>
      </c>
      <c r="X5707" t="s">
        <v>44767</v>
      </c>
    </row>
    <row r="5708" spans="1:24">
      <c r="A5708">
        <f>HYPERLINK("https://www.philgeps.gov.ph/GEPSNONPILOT/Tender/SplashBidNoticeAbstractUI.aspx?menuIndex=3&amp;refID=7146543&amp;Result=3","7146543")</f>
        <v>0</v>
      </c>
      <c r="B5708" t="s">
        <v>2063</v>
      </c>
      <c r="C5708" t="s">
        <v>9152</v>
      </c>
      <c r="D5708" t="s">
        <v>17977</v>
      </c>
      <c r="E5708" t="s">
        <v>23109</v>
      </c>
      <c r="F5708" t="s">
        <v>30900</v>
      </c>
      <c r="G5708" t="s">
        <v>30908</v>
      </c>
      <c r="H5708" t="s">
        <v>30916</v>
      </c>
      <c r="I5708" t="s">
        <v>4142</v>
      </c>
      <c r="J5708" t="s">
        <v>34792</v>
      </c>
      <c r="K5708" t="s">
        <v>40283</v>
      </c>
      <c r="L5708" t="s">
        <v>2063</v>
      </c>
      <c r="M5708" t="s">
        <v>42762</v>
      </c>
      <c r="N5708" t="s">
        <v>44759</v>
      </c>
      <c r="O5708" t="s">
        <v>44760</v>
      </c>
      <c r="P5708">
        <v>0</v>
      </c>
      <c r="Q5708">
        <v>1</v>
      </c>
      <c r="R5708" t="s">
        <v>44766</v>
      </c>
      <c r="S5708" t="s">
        <v>44902</v>
      </c>
      <c r="T5708" t="s">
        <v>46533</v>
      </c>
      <c r="U5708" t="s">
        <v>51757</v>
      </c>
      <c r="W5708" t="s">
        <v>42762</v>
      </c>
      <c r="X5708" t="s">
        <v>44767</v>
      </c>
    </row>
    <row r="5709" spans="1:24">
      <c r="A5709">
        <f>HYPERLINK("https://www.philgeps.gov.ph/GEPSNONPILOT/Tender/SplashBidNoticeAbstractUI.aspx?menuIndex=3&amp;refID=7146540&amp;Result=3","7146540")</f>
        <v>0</v>
      </c>
      <c r="B5709" t="s">
        <v>2064</v>
      </c>
      <c r="C5709" t="s">
        <v>9153</v>
      </c>
      <c r="D5709" t="s">
        <v>17951</v>
      </c>
      <c r="E5709" t="s">
        <v>23110</v>
      </c>
      <c r="F5709" t="s">
        <v>30900</v>
      </c>
      <c r="G5709" t="s">
        <v>30908</v>
      </c>
      <c r="H5709" t="s">
        <v>30916</v>
      </c>
      <c r="I5709" t="s">
        <v>4142</v>
      </c>
      <c r="J5709" t="s">
        <v>34793</v>
      </c>
      <c r="K5709" t="s">
        <v>40286</v>
      </c>
      <c r="M5709" t="s">
        <v>42763</v>
      </c>
      <c r="N5709" t="s">
        <v>44759</v>
      </c>
      <c r="O5709" t="s">
        <v>44760</v>
      </c>
      <c r="P5709">
        <v>0</v>
      </c>
      <c r="Q5709">
        <v>0</v>
      </c>
      <c r="R5709" t="s">
        <v>44766</v>
      </c>
      <c r="S5709" t="s">
        <v>44902</v>
      </c>
      <c r="T5709" t="s">
        <v>46700</v>
      </c>
      <c r="U5709" t="s">
        <v>51763</v>
      </c>
      <c r="W5709" t="s">
        <v>42763</v>
      </c>
      <c r="X5709" t="s">
        <v>44767</v>
      </c>
    </row>
    <row r="5710" spans="1:24">
      <c r="A5710">
        <f>HYPERLINK("https://www.philgeps.gov.ph/GEPSNONPILOT/Tender/SplashBidNoticeAbstractUI.aspx?menuIndex=3&amp;refID=7146533&amp;Result=3","7146533")</f>
        <v>0</v>
      </c>
      <c r="B5710" t="s">
        <v>1501</v>
      </c>
      <c r="C5710" t="s">
        <v>9154</v>
      </c>
      <c r="D5710" t="s">
        <v>18002</v>
      </c>
      <c r="E5710" t="s">
        <v>23111</v>
      </c>
      <c r="F5710" t="s">
        <v>30900</v>
      </c>
      <c r="G5710" t="s">
        <v>30907</v>
      </c>
      <c r="H5710" t="s">
        <v>30916</v>
      </c>
      <c r="I5710" t="s">
        <v>30924</v>
      </c>
      <c r="J5710" t="s">
        <v>31352</v>
      </c>
      <c r="K5710" t="s">
        <v>40287</v>
      </c>
      <c r="M5710" t="s">
        <v>42142</v>
      </c>
      <c r="N5710" t="s">
        <v>44759</v>
      </c>
      <c r="O5710" t="s">
        <v>44760</v>
      </c>
      <c r="P5710">
        <v>0</v>
      </c>
      <c r="Q5710">
        <v>7</v>
      </c>
      <c r="R5710" t="s">
        <v>44766</v>
      </c>
      <c r="S5710" t="s">
        <v>44902</v>
      </c>
      <c r="T5710" t="s">
        <v>46519</v>
      </c>
      <c r="U5710" t="s">
        <v>47829</v>
      </c>
      <c r="W5710" t="s">
        <v>42142</v>
      </c>
      <c r="X5710" t="s">
        <v>44767</v>
      </c>
    </row>
    <row r="5711" spans="1:24">
      <c r="A5711">
        <f>HYPERLINK("https://www.philgeps.gov.ph/GEPSNONPILOT/Tender/SplashBidNoticeAbstractUI.aspx?menuIndex=3&amp;refID=7146439&amp;Result=3","7146439")</f>
        <v>0</v>
      </c>
      <c r="B5711" t="s">
        <v>2065</v>
      </c>
      <c r="C5711" t="s">
        <v>9155</v>
      </c>
      <c r="D5711" t="s">
        <v>18028</v>
      </c>
      <c r="E5711" t="s">
        <v>23112</v>
      </c>
      <c r="F5711" t="s">
        <v>30900</v>
      </c>
      <c r="G5711" t="s">
        <v>30907</v>
      </c>
      <c r="H5711" t="s">
        <v>30916</v>
      </c>
      <c r="I5711" t="s">
        <v>30919</v>
      </c>
      <c r="J5711" t="s">
        <v>32125</v>
      </c>
      <c r="K5711" t="s">
        <v>40418</v>
      </c>
      <c r="M5711" t="s">
        <v>42764</v>
      </c>
      <c r="N5711" t="s">
        <v>44759</v>
      </c>
      <c r="O5711" t="s">
        <v>44760</v>
      </c>
      <c r="P5711">
        <v>0</v>
      </c>
      <c r="Q5711">
        <v>0</v>
      </c>
      <c r="R5711" t="s">
        <v>44766</v>
      </c>
      <c r="S5711" t="s">
        <v>44902</v>
      </c>
      <c r="T5711" t="s">
        <v>46702</v>
      </c>
      <c r="U5711" t="s">
        <v>51764</v>
      </c>
      <c r="W5711" t="s">
        <v>42764</v>
      </c>
      <c r="X5711" t="s">
        <v>44767</v>
      </c>
    </row>
    <row r="5712" spans="1:24">
      <c r="A5712">
        <f>HYPERLINK("https://www.philgeps.gov.ph/GEPSNONPILOT/Tender/SplashBidNoticeAbstractUI.aspx?menuIndex=3&amp;refID=7146532&amp;Result=3","7146532")</f>
        <v>0</v>
      </c>
      <c r="B5712" t="s">
        <v>2063</v>
      </c>
      <c r="C5712" t="s">
        <v>9156</v>
      </c>
      <c r="D5712" t="s">
        <v>17977</v>
      </c>
      <c r="E5712" t="s">
        <v>23113</v>
      </c>
      <c r="F5712" t="s">
        <v>30900</v>
      </c>
      <c r="G5712" t="s">
        <v>30908</v>
      </c>
      <c r="H5712" t="s">
        <v>30916</v>
      </c>
      <c r="I5712" t="s">
        <v>30933</v>
      </c>
      <c r="J5712" t="s">
        <v>34794</v>
      </c>
      <c r="K5712" t="s">
        <v>40283</v>
      </c>
      <c r="L5712" t="s">
        <v>2063</v>
      </c>
      <c r="M5712" t="s">
        <v>42762</v>
      </c>
      <c r="N5712" t="s">
        <v>44759</v>
      </c>
      <c r="O5712" t="s">
        <v>44760</v>
      </c>
      <c r="P5712">
        <v>0</v>
      </c>
      <c r="Q5712">
        <v>0</v>
      </c>
      <c r="R5712" t="s">
        <v>44766</v>
      </c>
      <c r="S5712" t="s">
        <v>44902</v>
      </c>
      <c r="T5712" t="s">
        <v>46533</v>
      </c>
      <c r="U5712" t="s">
        <v>51757</v>
      </c>
      <c r="W5712" t="s">
        <v>42762</v>
      </c>
      <c r="X5712" t="s">
        <v>44767</v>
      </c>
    </row>
    <row r="5713" spans="1:24">
      <c r="A5713">
        <f>HYPERLINK("https://www.philgeps.gov.ph/GEPSNONPILOT/Tender/SplashBidNoticeAbstractUI.aspx?menuIndex=3&amp;refID=7146522&amp;Result=3","7146522")</f>
        <v>0</v>
      </c>
      <c r="B5713" t="s">
        <v>1339</v>
      </c>
      <c r="C5713" t="s">
        <v>9157</v>
      </c>
      <c r="D5713" t="s">
        <v>18001</v>
      </c>
      <c r="E5713" t="s">
        <v>23114</v>
      </c>
      <c r="F5713" t="s">
        <v>30900</v>
      </c>
      <c r="G5713" t="s">
        <v>30907</v>
      </c>
      <c r="H5713" t="s">
        <v>30915</v>
      </c>
      <c r="I5713" t="s">
        <v>30919</v>
      </c>
      <c r="J5713" t="s">
        <v>34795</v>
      </c>
      <c r="K5713" t="s">
        <v>40286</v>
      </c>
      <c r="M5713" t="s">
        <v>41960</v>
      </c>
      <c r="N5713" t="s">
        <v>44759</v>
      </c>
      <c r="O5713" t="s">
        <v>44760</v>
      </c>
      <c r="P5713">
        <v>0</v>
      </c>
      <c r="Q5713">
        <v>0</v>
      </c>
      <c r="R5713" t="s">
        <v>44766</v>
      </c>
      <c r="S5713" t="s">
        <v>44902</v>
      </c>
      <c r="T5713" t="s">
        <v>46364</v>
      </c>
      <c r="U5713" t="s">
        <v>51765</v>
      </c>
      <c r="W5713" t="s">
        <v>41960</v>
      </c>
      <c r="X5713" t="s">
        <v>44767</v>
      </c>
    </row>
    <row r="5714" spans="1:24">
      <c r="A5714">
        <f>HYPERLINK("https://www.philgeps.gov.ph/GEPSNONPILOT/Tender/SplashBidNoticeAbstractUI.aspx?menuIndex=3&amp;refID=7146518&amp;Result=3","7146518")</f>
        <v>0</v>
      </c>
      <c r="B5714" t="s">
        <v>2063</v>
      </c>
      <c r="C5714" t="s">
        <v>9158</v>
      </c>
      <c r="D5714" t="s">
        <v>17977</v>
      </c>
      <c r="E5714" t="s">
        <v>23115</v>
      </c>
      <c r="F5714" t="s">
        <v>30900</v>
      </c>
      <c r="G5714" t="s">
        <v>30908</v>
      </c>
      <c r="H5714" t="s">
        <v>30916</v>
      </c>
      <c r="I5714" t="s">
        <v>30933</v>
      </c>
      <c r="J5714" t="s">
        <v>34794</v>
      </c>
      <c r="K5714" t="s">
        <v>40283</v>
      </c>
      <c r="L5714" t="s">
        <v>2063</v>
      </c>
      <c r="M5714" t="s">
        <v>42762</v>
      </c>
      <c r="N5714" t="s">
        <v>44759</v>
      </c>
      <c r="O5714" t="s">
        <v>44760</v>
      </c>
      <c r="P5714">
        <v>0</v>
      </c>
      <c r="Q5714">
        <v>0</v>
      </c>
      <c r="R5714" t="s">
        <v>44766</v>
      </c>
      <c r="S5714" t="s">
        <v>44902</v>
      </c>
      <c r="T5714" t="s">
        <v>46533</v>
      </c>
      <c r="U5714" t="s">
        <v>51757</v>
      </c>
      <c r="W5714" t="s">
        <v>42762</v>
      </c>
      <c r="X5714" t="s">
        <v>44767</v>
      </c>
    </row>
    <row r="5715" spans="1:24">
      <c r="A5715">
        <f>HYPERLINK("https://www.philgeps.gov.ph/GEPSNONPILOT/Tender/SplashBidNoticeAbstractUI.aspx?menuIndex=3&amp;refID=7146516&amp;Result=3","7146516")</f>
        <v>0</v>
      </c>
      <c r="B5715" t="s">
        <v>2066</v>
      </c>
      <c r="C5715" t="s">
        <v>9159</v>
      </c>
      <c r="D5715" t="s">
        <v>17971</v>
      </c>
      <c r="E5715" t="s">
        <v>23116</v>
      </c>
      <c r="F5715" t="s">
        <v>30900</v>
      </c>
      <c r="G5715" t="s">
        <v>30907</v>
      </c>
      <c r="H5715" t="s">
        <v>30916</v>
      </c>
      <c r="I5715" t="s">
        <v>8123</v>
      </c>
      <c r="J5715" t="s">
        <v>34796</v>
      </c>
      <c r="K5715" t="s">
        <v>40286</v>
      </c>
      <c r="L5715" t="s">
        <v>2066</v>
      </c>
      <c r="M5715" t="s">
        <v>42765</v>
      </c>
      <c r="N5715" t="s">
        <v>44759</v>
      </c>
      <c r="O5715" t="s">
        <v>44760</v>
      </c>
      <c r="P5715">
        <v>0</v>
      </c>
      <c r="Q5715">
        <v>9</v>
      </c>
      <c r="R5715" t="s">
        <v>44766</v>
      </c>
      <c r="S5715" t="s">
        <v>44902</v>
      </c>
      <c r="T5715" t="s">
        <v>46405</v>
      </c>
      <c r="U5715" t="s">
        <v>51766</v>
      </c>
      <c r="W5715" t="s">
        <v>42765</v>
      </c>
      <c r="X5715" t="s">
        <v>44767</v>
      </c>
    </row>
    <row r="5716" spans="1:24">
      <c r="A5716">
        <f>HYPERLINK("https://www.philgeps.gov.ph/GEPSNONPILOT/Tender/SplashBidNoticeAbstractUI.aspx?menuIndex=3&amp;refID=7146552&amp;Result=3","7146552")</f>
        <v>0</v>
      </c>
      <c r="B5716" t="s">
        <v>1930</v>
      </c>
      <c r="C5716" t="s">
        <v>9160</v>
      </c>
      <c r="D5716" t="s">
        <v>17969</v>
      </c>
      <c r="E5716" t="s">
        <v>23117</v>
      </c>
      <c r="F5716" t="s">
        <v>30900</v>
      </c>
      <c r="G5716" t="s">
        <v>30907</v>
      </c>
      <c r="H5716" t="s">
        <v>30915</v>
      </c>
      <c r="I5716" t="s">
        <v>30919</v>
      </c>
      <c r="J5716" t="s">
        <v>34797</v>
      </c>
      <c r="K5716" t="s">
        <v>40328</v>
      </c>
      <c r="M5716" t="s">
        <v>42611</v>
      </c>
      <c r="N5716" t="s">
        <v>44759</v>
      </c>
      <c r="O5716" t="s">
        <v>44760</v>
      </c>
      <c r="P5716">
        <v>0</v>
      </c>
      <c r="Q5716">
        <v>1</v>
      </c>
      <c r="R5716" t="s">
        <v>44766</v>
      </c>
      <c r="S5716" t="s">
        <v>44902</v>
      </c>
      <c r="T5716" t="s">
        <v>46512</v>
      </c>
      <c r="U5716" t="s">
        <v>51767</v>
      </c>
      <c r="V5716" t="s">
        <v>59742</v>
      </c>
      <c r="W5716" t="s">
        <v>42611</v>
      </c>
      <c r="X5716" t="s">
        <v>44767</v>
      </c>
    </row>
    <row r="5717" spans="1:24">
      <c r="A5717">
        <f>HYPERLINK("https://www.philgeps.gov.ph/GEPSNONPILOT/Tender/SplashBidNoticeAbstractUI.aspx?menuIndex=3&amp;refID=7146512&amp;Result=3","7146512")</f>
        <v>0</v>
      </c>
      <c r="B5717" t="s">
        <v>188</v>
      </c>
      <c r="C5717" t="s">
        <v>9161</v>
      </c>
      <c r="D5717" t="s">
        <v>17992</v>
      </c>
      <c r="E5717" t="s">
        <v>23118</v>
      </c>
      <c r="F5717" t="s">
        <v>30900</v>
      </c>
      <c r="G5717" t="s">
        <v>30906</v>
      </c>
      <c r="H5717" t="s">
        <v>30915</v>
      </c>
      <c r="I5717" t="s">
        <v>30919</v>
      </c>
      <c r="J5717" t="s">
        <v>34798</v>
      </c>
      <c r="K5717" t="s">
        <v>40301</v>
      </c>
      <c r="M5717" t="s">
        <v>40735</v>
      </c>
      <c r="N5717" t="s">
        <v>44759</v>
      </c>
      <c r="O5717" t="s">
        <v>44760</v>
      </c>
      <c r="P5717">
        <v>0</v>
      </c>
      <c r="Q5717">
        <v>1</v>
      </c>
      <c r="R5717" t="s">
        <v>44766</v>
      </c>
      <c r="S5717" t="s">
        <v>44902</v>
      </c>
      <c r="T5717" t="s">
        <v>46393</v>
      </c>
      <c r="U5717" t="s">
        <v>51768</v>
      </c>
      <c r="V5717" t="s">
        <v>59743</v>
      </c>
      <c r="W5717" t="s">
        <v>40735</v>
      </c>
      <c r="X5717" t="s">
        <v>44767</v>
      </c>
    </row>
    <row r="5718" spans="1:24">
      <c r="A5718">
        <f>HYPERLINK("https://www.philgeps.gov.ph/GEPSNONPILOT/Tender/SplashBidNoticeAbstractUI.aspx?menuIndex=3&amp;refID=7146506&amp;Result=3","7146506")</f>
        <v>0</v>
      </c>
      <c r="B5718" t="s">
        <v>2067</v>
      </c>
      <c r="C5718" t="s">
        <v>9162</v>
      </c>
      <c r="D5718" t="s">
        <v>18013</v>
      </c>
      <c r="E5718" t="s">
        <v>18169</v>
      </c>
      <c r="F5718" t="s">
        <v>30900</v>
      </c>
      <c r="G5718" t="s">
        <v>30906</v>
      </c>
      <c r="H5718" t="s">
        <v>30916</v>
      </c>
      <c r="I5718" t="s">
        <v>8123</v>
      </c>
      <c r="J5718" t="s">
        <v>34799</v>
      </c>
      <c r="K5718" t="s">
        <v>40283</v>
      </c>
      <c r="M5718" t="s">
        <v>42766</v>
      </c>
      <c r="N5718" t="s">
        <v>44759</v>
      </c>
      <c r="O5718" t="s">
        <v>44760</v>
      </c>
      <c r="P5718">
        <v>0</v>
      </c>
      <c r="Q5718">
        <v>0</v>
      </c>
      <c r="R5718" t="s">
        <v>44766</v>
      </c>
      <c r="S5718" t="s">
        <v>44902</v>
      </c>
      <c r="T5718" t="s">
        <v>46374</v>
      </c>
      <c r="U5718" t="s">
        <v>51769</v>
      </c>
      <c r="W5718" t="s">
        <v>42766</v>
      </c>
      <c r="X5718" t="s">
        <v>44767</v>
      </c>
    </row>
    <row r="5719" spans="1:24">
      <c r="A5719">
        <f>HYPERLINK("https://www.philgeps.gov.ph/GEPSNONPILOT/Tender/SplashBidNoticeAbstractUI.aspx?menuIndex=3&amp;refID=7146503&amp;Result=3","7146503")</f>
        <v>0</v>
      </c>
      <c r="B5719" t="s">
        <v>2063</v>
      </c>
      <c r="C5719" t="s">
        <v>9163</v>
      </c>
      <c r="D5719" t="s">
        <v>17977</v>
      </c>
      <c r="E5719" t="s">
        <v>23119</v>
      </c>
      <c r="F5719" t="s">
        <v>30900</v>
      </c>
      <c r="G5719" t="s">
        <v>30908</v>
      </c>
      <c r="H5719" t="s">
        <v>30916</v>
      </c>
      <c r="I5719" t="s">
        <v>30933</v>
      </c>
      <c r="J5719" t="s">
        <v>34800</v>
      </c>
      <c r="K5719" t="s">
        <v>40283</v>
      </c>
      <c r="L5719" t="s">
        <v>2063</v>
      </c>
      <c r="M5719" t="s">
        <v>42762</v>
      </c>
      <c r="N5719" t="s">
        <v>44759</v>
      </c>
      <c r="O5719" t="s">
        <v>44760</v>
      </c>
      <c r="P5719">
        <v>0</v>
      </c>
      <c r="Q5719">
        <v>0</v>
      </c>
      <c r="R5719" t="s">
        <v>44766</v>
      </c>
      <c r="S5719" t="s">
        <v>44902</v>
      </c>
      <c r="T5719" t="s">
        <v>46533</v>
      </c>
      <c r="U5719" t="s">
        <v>51757</v>
      </c>
      <c r="W5719" t="s">
        <v>42762</v>
      </c>
      <c r="X5719" t="s">
        <v>44767</v>
      </c>
    </row>
    <row r="5720" spans="1:24">
      <c r="A5720">
        <f>HYPERLINK("https://www.philgeps.gov.ph/GEPSNONPILOT/Tender/SplashBidNoticeAbstractUI.aspx?menuIndex=3&amp;refID=7146446&amp;Result=3","7146446")</f>
        <v>0</v>
      </c>
      <c r="B5720" t="s">
        <v>2068</v>
      </c>
      <c r="C5720" t="s">
        <v>9164</v>
      </c>
      <c r="D5720" t="s">
        <v>17992</v>
      </c>
      <c r="E5720" t="s">
        <v>20249</v>
      </c>
      <c r="F5720" t="s">
        <v>30900</v>
      </c>
      <c r="G5720" t="s">
        <v>30908</v>
      </c>
      <c r="H5720" t="s">
        <v>30916</v>
      </c>
      <c r="I5720" t="s">
        <v>30924</v>
      </c>
      <c r="J5720" t="s">
        <v>31713</v>
      </c>
      <c r="K5720" t="s">
        <v>40283</v>
      </c>
      <c r="M5720" t="s">
        <v>42767</v>
      </c>
      <c r="N5720" t="s">
        <v>44759</v>
      </c>
      <c r="O5720" t="s">
        <v>44760</v>
      </c>
      <c r="P5720">
        <v>0</v>
      </c>
      <c r="Q5720">
        <v>2</v>
      </c>
      <c r="R5720" t="s">
        <v>44766</v>
      </c>
      <c r="S5720" t="s">
        <v>44902</v>
      </c>
      <c r="T5720" t="s">
        <v>46403</v>
      </c>
      <c r="U5720" t="s">
        <v>47737</v>
      </c>
      <c r="W5720" t="s">
        <v>42767</v>
      </c>
      <c r="X5720" t="s">
        <v>44767</v>
      </c>
    </row>
    <row r="5721" spans="1:24">
      <c r="A5721">
        <f>HYPERLINK("https://www.philgeps.gov.ph/GEPSNONPILOT/Tender/SplashBidNoticeAbstractUI.aspx?menuIndex=3&amp;refID=7146520&amp;Result=3","7146520")</f>
        <v>0</v>
      </c>
      <c r="B5721" t="s">
        <v>172</v>
      </c>
      <c r="C5721" t="s">
        <v>9165</v>
      </c>
      <c r="D5721" t="s">
        <v>17979</v>
      </c>
      <c r="E5721" t="s">
        <v>23120</v>
      </c>
      <c r="F5721" t="s">
        <v>30900</v>
      </c>
      <c r="G5721" t="s">
        <v>30908</v>
      </c>
      <c r="H5721" t="s">
        <v>30916</v>
      </c>
      <c r="I5721" t="s">
        <v>30964</v>
      </c>
      <c r="J5721" t="s">
        <v>34801</v>
      </c>
      <c r="K5721" t="s">
        <v>40280</v>
      </c>
      <c r="M5721" t="s">
        <v>40719</v>
      </c>
      <c r="N5721" t="s">
        <v>44759</v>
      </c>
      <c r="O5721" t="s">
        <v>44760</v>
      </c>
      <c r="P5721">
        <v>0</v>
      </c>
      <c r="Q5721">
        <v>1</v>
      </c>
      <c r="R5721" t="s">
        <v>44766</v>
      </c>
      <c r="S5721" t="s">
        <v>44902</v>
      </c>
      <c r="T5721" t="s">
        <v>46547</v>
      </c>
      <c r="U5721" t="s">
        <v>47201</v>
      </c>
      <c r="W5721" t="s">
        <v>40719</v>
      </c>
      <c r="X5721" t="s">
        <v>44767</v>
      </c>
    </row>
    <row r="5722" spans="1:24">
      <c r="A5722">
        <f>HYPERLINK("https://www.philgeps.gov.ph/GEPSNONPILOT/Tender/SplashBidNoticeAbstractUI.aspx?menuIndex=3&amp;refID=7146498&amp;Result=3","7146498")</f>
        <v>0</v>
      </c>
      <c r="B5722" t="s">
        <v>748</v>
      </c>
      <c r="C5722" t="s">
        <v>9166</v>
      </c>
      <c r="D5722" t="s">
        <v>18019</v>
      </c>
      <c r="E5722" t="s">
        <v>23121</v>
      </c>
      <c r="F5722" t="s">
        <v>30900</v>
      </c>
      <c r="G5722" t="s">
        <v>30908</v>
      </c>
      <c r="H5722" t="s">
        <v>30916</v>
      </c>
      <c r="I5722" t="s">
        <v>8123</v>
      </c>
      <c r="J5722" t="s">
        <v>34802</v>
      </c>
      <c r="K5722" t="s">
        <v>40283</v>
      </c>
      <c r="M5722" t="s">
        <v>41312</v>
      </c>
      <c r="N5722" t="s">
        <v>44759</v>
      </c>
      <c r="O5722" t="s">
        <v>44760</v>
      </c>
      <c r="Q5722">
        <v>0</v>
      </c>
      <c r="R5722" t="s">
        <v>44766</v>
      </c>
      <c r="S5722" t="s">
        <v>44926</v>
      </c>
      <c r="T5722" t="s">
        <v>46658</v>
      </c>
      <c r="U5722" t="s">
        <v>51770</v>
      </c>
      <c r="W5722" t="s">
        <v>41312</v>
      </c>
      <c r="X5722" t="s">
        <v>44767</v>
      </c>
    </row>
    <row r="5723" spans="1:24">
      <c r="A5723">
        <f>HYPERLINK("https://www.philgeps.gov.ph/GEPSNONPILOT/Tender/SplashBidNoticeAbstractUI.aspx?menuIndex=3&amp;refID=7146456&amp;Result=3","7146456")</f>
        <v>0</v>
      </c>
      <c r="B5723" t="s">
        <v>1070</v>
      </c>
      <c r="C5723" t="s">
        <v>9167</v>
      </c>
      <c r="D5723" t="s">
        <v>18017</v>
      </c>
      <c r="E5723" t="s">
        <v>23122</v>
      </c>
      <c r="F5723" t="s">
        <v>30900</v>
      </c>
      <c r="G5723" t="s">
        <v>30908</v>
      </c>
      <c r="H5723" t="s">
        <v>30916</v>
      </c>
      <c r="I5723" t="s">
        <v>6953</v>
      </c>
      <c r="J5723" t="s">
        <v>31355</v>
      </c>
      <c r="K5723" t="s">
        <v>40284</v>
      </c>
      <c r="M5723" t="s">
        <v>41668</v>
      </c>
      <c r="N5723" t="s">
        <v>44759</v>
      </c>
      <c r="O5723" t="s">
        <v>44760</v>
      </c>
      <c r="P5723">
        <v>0</v>
      </c>
      <c r="Q5723">
        <v>0</v>
      </c>
      <c r="R5723" t="s">
        <v>44766</v>
      </c>
      <c r="S5723" t="s">
        <v>44902</v>
      </c>
      <c r="T5723" t="s">
        <v>46721</v>
      </c>
      <c r="U5723" t="s">
        <v>51771</v>
      </c>
      <c r="V5723" t="s">
        <v>59744</v>
      </c>
      <c r="W5723" t="s">
        <v>41668</v>
      </c>
      <c r="X5723" t="s">
        <v>44767</v>
      </c>
    </row>
    <row r="5724" spans="1:24">
      <c r="A5724">
        <f>HYPERLINK("https://www.philgeps.gov.ph/GEPSNONPILOT/Tender/SplashBidNoticeAbstractUI.aspx?menuIndex=3&amp;refID=7146504&amp;Result=3","7146504")</f>
        <v>0</v>
      </c>
      <c r="B5724" t="s">
        <v>2069</v>
      </c>
      <c r="C5724" t="s">
        <v>9168</v>
      </c>
      <c r="D5724" t="s">
        <v>17968</v>
      </c>
      <c r="E5724" t="s">
        <v>23123</v>
      </c>
      <c r="F5724" t="s">
        <v>30900</v>
      </c>
      <c r="G5724" t="s">
        <v>30907</v>
      </c>
      <c r="H5724" t="s">
        <v>30915</v>
      </c>
      <c r="I5724" t="s">
        <v>30919</v>
      </c>
      <c r="J5724" t="s">
        <v>34803</v>
      </c>
      <c r="K5724" t="s">
        <v>40280</v>
      </c>
      <c r="M5724" t="s">
        <v>42768</v>
      </c>
      <c r="N5724" t="s">
        <v>44759</v>
      </c>
      <c r="O5724" t="s">
        <v>44760</v>
      </c>
      <c r="P5724">
        <v>0</v>
      </c>
      <c r="Q5724">
        <v>0</v>
      </c>
      <c r="R5724" t="s">
        <v>44766</v>
      </c>
      <c r="S5724" t="s">
        <v>44902</v>
      </c>
      <c r="T5724" t="s">
        <v>46405</v>
      </c>
      <c r="U5724" t="s">
        <v>51772</v>
      </c>
      <c r="W5724" t="s">
        <v>42768</v>
      </c>
      <c r="X5724" t="s">
        <v>44767</v>
      </c>
    </row>
    <row r="5725" spans="1:24">
      <c r="A5725">
        <f>HYPERLINK("https://www.philgeps.gov.ph/GEPSNONPILOT/Tender/SplashBidNoticeAbstractUI.aspx?menuIndex=3&amp;refID=7146309&amp;Result=3","7146309")</f>
        <v>0</v>
      </c>
      <c r="B5725" t="s">
        <v>2070</v>
      </c>
      <c r="C5725" t="s">
        <v>9169</v>
      </c>
      <c r="D5725" t="s">
        <v>17981</v>
      </c>
      <c r="E5725" t="s">
        <v>23124</v>
      </c>
      <c r="F5725" t="s">
        <v>30900</v>
      </c>
      <c r="G5725" t="s">
        <v>30909</v>
      </c>
      <c r="H5725" t="s">
        <v>30915</v>
      </c>
      <c r="I5725" t="s">
        <v>30919</v>
      </c>
      <c r="J5725" t="s">
        <v>34804</v>
      </c>
      <c r="K5725" t="s">
        <v>40284</v>
      </c>
      <c r="M5725" t="s">
        <v>42769</v>
      </c>
      <c r="N5725" t="s">
        <v>44759</v>
      </c>
      <c r="O5725" t="s">
        <v>44760</v>
      </c>
      <c r="P5725">
        <v>0</v>
      </c>
      <c r="Q5725">
        <v>1</v>
      </c>
      <c r="R5725" t="s">
        <v>44766</v>
      </c>
      <c r="S5725" t="s">
        <v>44902</v>
      </c>
      <c r="T5725" t="s">
        <v>46374</v>
      </c>
      <c r="U5725" t="s">
        <v>51773</v>
      </c>
      <c r="W5725" t="s">
        <v>42769</v>
      </c>
      <c r="X5725" t="s">
        <v>44767</v>
      </c>
    </row>
    <row r="5726" spans="1:24">
      <c r="A5726">
        <f>HYPERLINK("https://www.philgeps.gov.ph/GEPSNONPILOT/Tender/SplashBidNoticeAbstractUI.aspx?menuIndex=3&amp;refID=7146490&amp;Result=3","7146490")</f>
        <v>0</v>
      </c>
      <c r="B5726" t="s">
        <v>2071</v>
      </c>
      <c r="C5726" t="s">
        <v>9170</v>
      </c>
      <c r="D5726" t="s">
        <v>17963</v>
      </c>
      <c r="E5726" t="s">
        <v>23125</v>
      </c>
      <c r="F5726" t="s">
        <v>30900</v>
      </c>
      <c r="G5726" t="s">
        <v>30907</v>
      </c>
      <c r="H5726" t="s">
        <v>30916</v>
      </c>
      <c r="I5726" t="s">
        <v>30939</v>
      </c>
      <c r="J5726" t="s">
        <v>34805</v>
      </c>
      <c r="K5726" t="s">
        <v>40286</v>
      </c>
      <c r="M5726" t="s">
        <v>42770</v>
      </c>
      <c r="N5726" t="s">
        <v>44759</v>
      </c>
      <c r="O5726" t="s">
        <v>44760</v>
      </c>
      <c r="P5726">
        <v>0</v>
      </c>
      <c r="Q5726">
        <v>0</v>
      </c>
      <c r="R5726" t="s">
        <v>44766</v>
      </c>
      <c r="S5726" t="s">
        <v>44902</v>
      </c>
      <c r="T5726" t="s">
        <v>46410</v>
      </c>
      <c r="U5726" t="s">
        <v>51774</v>
      </c>
      <c r="W5726" t="s">
        <v>42770</v>
      </c>
      <c r="X5726" t="s">
        <v>44767</v>
      </c>
    </row>
    <row r="5727" spans="1:24">
      <c r="A5727">
        <f>HYPERLINK("https://www.philgeps.gov.ph/GEPSNONPILOT/Tender/SplashBidNoticeAbstractUI.aspx?menuIndex=3&amp;refID=7146308&amp;Result=3","7146308")</f>
        <v>0</v>
      </c>
      <c r="B5727" t="s">
        <v>1949</v>
      </c>
      <c r="C5727" t="s">
        <v>9171</v>
      </c>
      <c r="D5727" t="s">
        <v>17979</v>
      </c>
      <c r="E5727" t="s">
        <v>23126</v>
      </c>
      <c r="F5727" t="s">
        <v>30900</v>
      </c>
      <c r="G5727" t="s">
        <v>30909</v>
      </c>
      <c r="H5727" t="s">
        <v>30916</v>
      </c>
      <c r="I5727" t="s">
        <v>6396</v>
      </c>
      <c r="J5727" t="s">
        <v>32778</v>
      </c>
      <c r="K5727" t="s">
        <v>40284</v>
      </c>
      <c r="M5727" t="s">
        <v>42631</v>
      </c>
      <c r="N5727" t="s">
        <v>44759</v>
      </c>
      <c r="O5727" t="s">
        <v>44760</v>
      </c>
      <c r="P5727">
        <v>0</v>
      </c>
      <c r="Q5727">
        <v>1</v>
      </c>
      <c r="R5727" t="s">
        <v>44766</v>
      </c>
      <c r="S5727" t="s">
        <v>44902</v>
      </c>
      <c r="T5727" t="s">
        <v>46533</v>
      </c>
      <c r="U5727" t="s">
        <v>51775</v>
      </c>
      <c r="W5727" t="s">
        <v>42631</v>
      </c>
      <c r="X5727" t="s">
        <v>44767</v>
      </c>
    </row>
    <row r="5728" spans="1:24">
      <c r="A5728">
        <f>HYPERLINK("https://www.philgeps.gov.ph/GEPSNONPILOT/Tender/SplashBidNoticeAbstractUI.aspx?menuIndex=3&amp;refID=7145541&amp;Result=3","7145541")</f>
        <v>0</v>
      </c>
      <c r="B5728" t="s">
        <v>2072</v>
      </c>
      <c r="C5728" t="s">
        <v>9172</v>
      </c>
      <c r="D5728" t="s">
        <v>17951</v>
      </c>
      <c r="E5728" t="s">
        <v>23127</v>
      </c>
      <c r="F5728" t="s">
        <v>30900</v>
      </c>
      <c r="G5728" t="s">
        <v>30910</v>
      </c>
      <c r="H5728" t="s">
        <v>30916</v>
      </c>
      <c r="I5728" t="s">
        <v>5501</v>
      </c>
      <c r="J5728" t="s">
        <v>34806</v>
      </c>
      <c r="K5728" t="s">
        <v>40286</v>
      </c>
      <c r="M5728" t="s">
        <v>42771</v>
      </c>
      <c r="N5728" t="s">
        <v>44759</v>
      </c>
      <c r="O5728" t="s">
        <v>44760</v>
      </c>
      <c r="P5728">
        <v>0</v>
      </c>
      <c r="Q5728">
        <v>1</v>
      </c>
      <c r="R5728" t="s">
        <v>44766</v>
      </c>
      <c r="S5728" t="s">
        <v>44902</v>
      </c>
      <c r="T5728" t="s">
        <v>46644</v>
      </c>
      <c r="U5728" t="s">
        <v>51776</v>
      </c>
      <c r="W5728" t="s">
        <v>42771</v>
      </c>
      <c r="X5728" t="s">
        <v>44767</v>
      </c>
    </row>
    <row r="5729" spans="1:24">
      <c r="A5729">
        <f>HYPERLINK("https://www.philgeps.gov.ph/GEPSNONPILOT/Tender/SplashBidNoticeAbstractUI.aspx?menuIndex=3&amp;refID=7146460&amp;Result=3","7146460")</f>
        <v>0</v>
      </c>
      <c r="B5729" t="s">
        <v>2063</v>
      </c>
      <c r="C5729" t="s">
        <v>9173</v>
      </c>
      <c r="D5729" t="s">
        <v>17977</v>
      </c>
      <c r="E5729" t="s">
        <v>23128</v>
      </c>
      <c r="F5729" t="s">
        <v>30900</v>
      </c>
      <c r="G5729" t="s">
        <v>30908</v>
      </c>
      <c r="H5729" t="s">
        <v>30916</v>
      </c>
      <c r="I5729" t="s">
        <v>30933</v>
      </c>
      <c r="J5729" t="s">
        <v>34788</v>
      </c>
      <c r="K5729" t="s">
        <v>40283</v>
      </c>
      <c r="L5729" t="s">
        <v>2063</v>
      </c>
      <c r="M5729" t="s">
        <v>42762</v>
      </c>
      <c r="N5729" t="s">
        <v>44759</v>
      </c>
      <c r="O5729" t="s">
        <v>44760</v>
      </c>
      <c r="P5729">
        <v>0</v>
      </c>
      <c r="Q5729">
        <v>0</v>
      </c>
      <c r="R5729" t="s">
        <v>44766</v>
      </c>
      <c r="S5729" t="s">
        <v>44902</v>
      </c>
      <c r="T5729" t="s">
        <v>46533</v>
      </c>
      <c r="U5729" t="s">
        <v>51757</v>
      </c>
      <c r="W5729" t="s">
        <v>42762</v>
      </c>
      <c r="X5729" t="s">
        <v>44767</v>
      </c>
    </row>
    <row r="5730" spans="1:24">
      <c r="A5730">
        <f>HYPERLINK("https://www.philgeps.gov.ph/GEPSNONPILOT/Tender/SplashBidNoticeAbstractUI.aspx?menuIndex=3&amp;refID=7145526&amp;Result=3","7145526")</f>
        <v>0</v>
      </c>
      <c r="B5730" t="s">
        <v>2073</v>
      </c>
      <c r="C5730" t="s">
        <v>9174</v>
      </c>
      <c r="D5730" t="s">
        <v>17951</v>
      </c>
      <c r="E5730" t="s">
        <v>23129</v>
      </c>
      <c r="F5730" t="s">
        <v>30900</v>
      </c>
      <c r="G5730" t="s">
        <v>30907</v>
      </c>
      <c r="H5730" t="s">
        <v>30916</v>
      </c>
      <c r="I5730" t="s">
        <v>8123</v>
      </c>
      <c r="J5730" t="s">
        <v>31284</v>
      </c>
      <c r="K5730" t="s">
        <v>40289</v>
      </c>
      <c r="M5730" t="s">
        <v>42772</v>
      </c>
      <c r="N5730" t="s">
        <v>44759</v>
      </c>
      <c r="O5730" t="s">
        <v>44760</v>
      </c>
      <c r="P5730">
        <v>0</v>
      </c>
      <c r="Q5730">
        <v>0</v>
      </c>
      <c r="R5730" t="s">
        <v>44766</v>
      </c>
      <c r="S5730" t="s">
        <v>44902</v>
      </c>
      <c r="T5730" t="s">
        <v>46352</v>
      </c>
      <c r="U5730" t="s">
        <v>51777</v>
      </c>
      <c r="W5730" t="s">
        <v>42772</v>
      </c>
      <c r="X5730" t="s">
        <v>44767</v>
      </c>
    </row>
    <row r="5731" spans="1:24">
      <c r="A5731">
        <f>HYPERLINK("https://www.philgeps.gov.ph/GEPSNONPILOT/Tender/SplashBidNoticeAbstractUI.aspx?menuIndex=3&amp;refID=7145486&amp;Result=3","7145486")</f>
        <v>0</v>
      </c>
      <c r="B5731" t="s">
        <v>1959</v>
      </c>
      <c r="C5731" t="s">
        <v>9175</v>
      </c>
      <c r="D5731" t="s">
        <v>17972</v>
      </c>
      <c r="E5731" t="s">
        <v>23130</v>
      </c>
      <c r="F5731" t="s">
        <v>30900</v>
      </c>
      <c r="G5731" t="s">
        <v>30908</v>
      </c>
      <c r="H5731" t="s">
        <v>30916</v>
      </c>
      <c r="I5731" t="s">
        <v>30960</v>
      </c>
      <c r="J5731" t="s">
        <v>31443</v>
      </c>
      <c r="K5731" t="s">
        <v>40287</v>
      </c>
      <c r="M5731" t="s">
        <v>42643</v>
      </c>
      <c r="N5731" t="s">
        <v>44759</v>
      </c>
      <c r="O5731" t="s">
        <v>44760</v>
      </c>
      <c r="P5731">
        <v>0</v>
      </c>
      <c r="Q5731">
        <v>4</v>
      </c>
      <c r="R5731" t="s">
        <v>44766</v>
      </c>
      <c r="S5731" t="s">
        <v>44902</v>
      </c>
      <c r="T5731" t="s">
        <v>46363</v>
      </c>
      <c r="U5731" t="s">
        <v>51778</v>
      </c>
      <c r="W5731" t="s">
        <v>42643</v>
      </c>
      <c r="X5731" t="s">
        <v>44767</v>
      </c>
    </row>
    <row r="5732" spans="1:24">
      <c r="A5732">
        <f>HYPERLINK("https://www.philgeps.gov.ph/GEPSNONPILOT/Tender/SplashBidNoticeAbstractUI.aspx?menuIndex=3&amp;refID=7146495&amp;Result=3","7146495")</f>
        <v>0</v>
      </c>
      <c r="B5732" t="s">
        <v>2018</v>
      </c>
      <c r="C5732" t="s">
        <v>9176</v>
      </c>
      <c r="D5732" t="s">
        <v>17951</v>
      </c>
      <c r="E5732" t="s">
        <v>20657</v>
      </c>
      <c r="F5732" t="s">
        <v>30900</v>
      </c>
      <c r="G5732" t="s">
        <v>30907</v>
      </c>
      <c r="H5732" t="s">
        <v>30915</v>
      </c>
      <c r="I5732" t="s">
        <v>30927</v>
      </c>
      <c r="J5732" t="s">
        <v>31070</v>
      </c>
      <c r="K5732" t="s">
        <v>40284</v>
      </c>
      <c r="M5732" t="s">
        <v>42714</v>
      </c>
      <c r="N5732" t="s">
        <v>44759</v>
      </c>
      <c r="O5732" t="s">
        <v>44760</v>
      </c>
      <c r="P5732">
        <v>0</v>
      </c>
      <c r="Q5732">
        <v>1</v>
      </c>
      <c r="R5732" t="s">
        <v>44766</v>
      </c>
      <c r="S5732" t="s">
        <v>44902</v>
      </c>
      <c r="T5732" t="s">
        <v>46425</v>
      </c>
      <c r="U5732" t="s">
        <v>51655</v>
      </c>
      <c r="W5732" t="s">
        <v>42714</v>
      </c>
      <c r="X5732" t="s">
        <v>44767</v>
      </c>
    </row>
    <row r="5733" spans="1:24">
      <c r="A5733">
        <f>HYPERLINK("https://www.philgeps.gov.ph/GEPSNONPILOT/Tender/SplashBidNoticeAbstractUI.aspx?menuIndex=3&amp;refID=7145485&amp;Result=3","7145485")</f>
        <v>0</v>
      </c>
      <c r="B5733" t="s">
        <v>1963</v>
      </c>
      <c r="C5733" t="s">
        <v>9177</v>
      </c>
      <c r="D5733" t="s">
        <v>18018</v>
      </c>
      <c r="E5733" t="s">
        <v>23131</v>
      </c>
      <c r="F5733" t="s">
        <v>30900</v>
      </c>
      <c r="G5733" t="s">
        <v>30907</v>
      </c>
      <c r="H5733" t="s">
        <v>30915</v>
      </c>
      <c r="I5733" t="s">
        <v>30919</v>
      </c>
      <c r="J5733" t="s">
        <v>34807</v>
      </c>
      <c r="K5733" t="s">
        <v>40304</v>
      </c>
      <c r="M5733" t="s">
        <v>42647</v>
      </c>
      <c r="N5733" t="s">
        <v>44759</v>
      </c>
      <c r="O5733" t="s">
        <v>44760</v>
      </c>
      <c r="P5733">
        <v>0</v>
      </c>
      <c r="Q5733">
        <v>0</v>
      </c>
      <c r="R5733" t="s">
        <v>44766</v>
      </c>
      <c r="S5733" t="s">
        <v>44902</v>
      </c>
      <c r="T5733" t="s">
        <v>46366</v>
      </c>
      <c r="U5733" t="s">
        <v>51779</v>
      </c>
      <c r="W5733" t="s">
        <v>42647</v>
      </c>
      <c r="X5733" t="s">
        <v>44767</v>
      </c>
    </row>
    <row r="5734" spans="1:24">
      <c r="A5734">
        <f>HYPERLINK("https://www.philgeps.gov.ph/GEPSNONPILOT/Tender/SplashBidNoticeAbstractUI.aspx?menuIndex=3&amp;refID=7146501&amp;Result=3","7146501")</f>
        <v>0</v>
      </c>
      <c r="B5734" t="s">
        <v>2061</v>
      </c>
      <c r="C5734" t="s">
        <v>9178</v>
      </c>
      <c r="D5734" t="s">
        <v>17960</v>
      </c>
      <c r="E5734" t="s">
        <v>23132</v>
      </c>
      <c r="F5734" t="s">
        <v>30900</v>
      </c>
      <c r="G5734" t="s">
        <v>30907</v>
      </c>
      <c r="H5734" t="s">
        <v>30915</v>
      </c>
      <c r="I5734" t="s">
        <v>8123</v>
      </c>
      <c r="J5734" t="s">
        <v>34808</v>
      </c>
      <c r="K5734" t="s">
        <v>40419</v>
      </c>
      <c r="L5734" t="s">
        <v>2061</v>
      </c>
      <c r="M5734" t="s">
        <v>42760</v>
      </c>
      <c r="N5734" t="s">
        <v>44759</v>
      </c>
      <c r="O5734" t="s">
        <v>44760</v>
      </c>
      <c r="P5734">
        <v>0</v>
      </c>
      <c r="Q5734">
        <v>0</v>
      </c>
      <c r="R5734" t="s">
        <v>44766</v>
      </c>
      <c r="S5734" t="s">
        <v>44902</v>
      </c>
      <c r="T5734" t="s">
        <v>46519</v>
      </c>
      <c r="U5734" t="s">
        <v>51780</v>
      </c>
      <c r="W5734" t="s">
        <v>60880</v>
      </c>
      <c r="X5734" t="s">
        <v>44767</v>
      </c>
    </row>
    <row r="5735" spans="1:24">
      <c r="A5735">
        <f>HYPERLINK("https://www.philgeps.gov.ph/GEPSNONPILOT/Tender/SplashBidNoticeAbstractUI.aspx?menuIndex=3&amp;refID=7145528&amp;Result=3","7145528")</f>
        <v>0</v>
      </c>
      <c r="B5735" t="s">
        <v>2074</v>
      </c>
      <c r="C5735" t="s">
        <v>8615</v>
      </c>
      <c r="E5735" t="s">
        <v>18935</v>
      </c>
      <c r="F5735" t="s">
        <v>30900</v>
      </c>
      <c r="G5735" t="s">
        <v>30907</v>
      </c>
      <c r="H5735" t="s">
        <v>30916</v>
      </c>
      <c r="I5735" t="s">
        <v>30919</v>
      </c>
      <c r="J5735" t="s">
        <v>34809</v>
      </c>
      <c r="K5735" t="s">
        <v>40289</v>
      </c>
      <c r="M5735" t="s">
        <v>42773</v>
      </c>
      <c r="N5735" t="s">
        <v>44759</v>
      </c>
      <c r="O5735" t="s">
        <v>44760</v>
      </c>
      <c r="P5735">
        <v>0</v>
      </c>
      <c r="Q5735">
        <v>0</v>
      </c>
      <c r="R5735" t="s">
        <v>44766</v>
      </c>
      <c r="S5735" t="s">
        <v>44902</v>
      </c>
      <c r="T5735" t="s">
        <v>46357</v>
      </c>
      <c r="U5735" t="s">
        <v>51781</v>
      </c>
      <c r="V5735" t="s">
        <v>59745</v>
      </c>
      <c r="W5735" t="s">
        <v>42773</v>
      </c>
      <c r="X5735" t="s">
        <v>44767</v>
      </c>
    </row>
    <row r="5736" spans="1:24">
      <c r="A5736">
        <f>HYPERLINK("https://www.philgeps.gov.ph/GEPSNONPILOT/Tender/SplashBidNoticeAbstractUI.aspx?menuIndex=3&amp;refID=7146603&amp;Result=3","7146603")</f>
        <v>0</v>
      </c>
      <c r="B5736" t="s">
        <v>1537</v>
      </c>
      <c r="C5736" t="s">
        <v>9179</v>
      </c>
      <c r="D5736" t="s">
        <v>17978</v>
      </c>
      <c r="E5736" t="s">
        <v>23133</v>
      </c>
      <c r="F5736" t="s">
        <v>30900</v>
      </c>
      <c r="G5736" t="s">
        <v>30910</v>
      </c>
      <c r="H5736" t="s">
        <v>30916</v>
      </c>
      <c r="I5736" t="s">
        <v>4142</v>
      </c>
      <c r="J5736" t="s">
        <v>34810</v>
      </c>
      <c r="K5736" t="s">
        <v>40286</v>
      </c>
      <c r="M5736" t="s">
        <v>42180</v>
      </c>
      <c r="N5736" t="s">
        <v>44759</v>
      </c>
      <c r="O5736" t="s">
        <v>44760</v>
      </c>
      <c r="P5736">
        <v>0</v>
      </c>
      <c r="Q5736">
        <v>4</v>
      </c>
      <c r="R5736" t="s">
        <v>44766</v>
      </c>
      <c r="S5736" t="s">
        <v>44902</v>
      </c>
      <c r="T5736" t="s">
        <v>46403</v>
      </c>
      <c r="U5736" t="s">
        <v>51782</v>
      </c>
      <c r="W5736" t="s">
        <v>42180</v>
      </c>
      <c r="X5736" t="s">
        <v>44767</v>
      </c>
    </row>
    <row r="5737" spans="1:24">
      <c r="A5737">
        <f>HYPERLINK("https://www.philgeps.gov.ph/GEPSNONPILOT/Tender/SplashBidNoticeAbstractUI.aspx?menuIndex=3&amp;refID=7146601&amp;Result=3","7146601")</f>
        <v>0</v>
      </c>
      <c r="B5737" t="s">
        <v>2075</v>
      </c>
      <c r="C5737" t="s">
        <v>9180</v>
      </c>
      <c r="D5737" t="s">
        <v>17982</v>
      </c>
      <c r="E5737" t="s">
        <v>23134</v>
      </c>
      <c r="F5737" t="s">
        <v>30900</v>
      </c>
      <c r="G5737" t="s">
        <v>30909</v>
      </c>
      <c r="H5737" t="s">
        <v>30916</v>
      </c>
      <c r="I5737" t="s">
        <v>30924</v>
      </c>
      <c r="J5737" t="s">
        <v>34811</v>
      </c>
      <c r="K5737" t="s">
        <v>40287</v>
      </c>
      <c r="M5737" t="s">
        <v>42774</v>
      </c>
      <c r="N5737" t="s">
        <v>44759</v>
      </c>
      <c r="O5737" t="s">
        <v>44760</v>
      </c>
      <c r="P5737">
        <v>0</v>
      </c>
      <c r="Q5737">
        <v>8</v>
      </c>
      <c r="R5737" t="s">
        <v>44766</v>
      </c>
      <c r="S5737" t="s">
        <v>44902</v>
      </c>
      <c r="T5737" t="s">
        <v>46391</v>
      </c>
      <c r="U5737" t="s">
        <v>51783</v>
      </c>
      <c r="W5737" t="s">
        <v>42774</v>
      </c>
      <c r="X5737" t="s">
        <v>44767</v>
      </c>
    </row>
    <row r="5738" spans="1:24">
      <c r="A5738">
        <f>HYPERLINK("https://www.philgeps.gov.ph/GEPSNONPILOT/Tender/SplashBidNoticeAbstractUI.aspx?menuIndex=3&amp;refID=7145482&amp;Result=3","7145482")</f>
        <v>0</v>
      </c>
      <c r="B5738" t="s">
        <v>2076</v>
      </c>
      <c r="C5738" t="s">
        <v>9181</v>
      </c>
      <c r="D5738" t="s">
        <v>17987</v>
      </c>
      <c r="E5738" t="s">
        <v>23135</v>
      </c>
      <c r="F5738" t="s">
        <v>30904</v>
      </c>
      <c r="G5738" t="s">
        <v>30907</v>
      </c>
      <c r="H5738" t="s">
        <v>30916</v>
      </c>
      <c r="I5738" t="s">
        <v>4142</v>
      </c>
      <c r="J5738" t="s">
        <v>31070</v>
      </c>
      <c r="K5738" t="s">
        <v>40283</v>
      </c>
      <c r="M5738" t="s">
        <v>42775</v>
      </c>
      <c r="N5738" t="s">
        <v>44759</v>
      </c>
      <c r="O5738" t="s">
        <v>44760</v>
      </c>
      <c r="P5738">
        <v>0</v>
      </c>
      <c r="Q5738">
        <v>1</v>
      </c>
      <c r="R5738" t="s">
        <v>44766</v>
      </c>
      <c r="S5738" t="s">
        <v>44902</v>
      </c>
      <c r="T5738" t="s">
        <v>46452</v>
      </c>
      <c r="U5738" t="s">
        <v>51784</v>
      </c>
      <c r="W5738" t="s">
        <v>42775</v>
      </c>
      <c r="X5738" t="s">
        <v>44767</v>
      </c>
    </row>
    <row r="5739" spans="1:24">
      <c r="A5739">
        <f>HYPERLINK("https://www.philgeps.gov.ph/GEPSNONPILOT/Tender/SplashBidNoticeAbstractUI.aspx?menuIndex=3&amp;refID=7146600&amp;Result=3","7146600")</f>
        <v>0</v>
      </c>
      <c r="B5739" t="s">
        <v>2077</v>
      </c>
      <c r="C5739" t="s">
        <v>9182</v>
      </c>
      <c r="D5739" t="s">
        <v>17981</v>
      </c>
      <c r="E5739" t="s">
        <v>19779</v>
      </c>
      <c r="F5739" t="s">
        <v>30900</v>
      </c>
      <c r="G5739" t="s">
        <v>30908</v>
      </c>
      <c r="H5739" t="s">
        <v>30917</v>
      </c>
      <c r="I5739" t="s">
        <v>30919</v>
      </c>
      <c r="J5739" t="s">
        <v>34812</v>
      </c>
      <c r="K5739" t="s">
        <v>40286</v>
      </c>
      <c r="M5739" t="s">
        <v>42776</v>
      </c>
      <c r="N5739" t="s">
        <v>44759</v>
      </c>
      <c r="O5739" t="s">
        <v>44760</v>
      </c>
      <c r="P5739">
        <v>0</v>
      </c>
      <c r="Q5739">
        <v>2</v>
      </c>
      <c r="R5739" t="s">
        <v>44766</v>
      </c>
      <c r="S5739" t="s">
        <v>44902</v>
      </c>
      <c r="T5739" t="s">
        <v>46410</v>
      </c>
      <c r="U5739" t="s">
        <v>51785</v>
      </c>
      <c r="V5739" t="s">
        <v>51785</v>
      </c>
      <c r="W5739" t="s">
        <v>42776</v>
      </c>
      <c r="X5739" t="s">
        <v>44767</v>
      </c>
    </row>
    <row r="5740" spans="1:24">
      <c r="A5740">
        <f>HYPERLINK("https://www.philgeps.gov.ph/GEPSNONPILOT/Tender/SplashBidNoticeAbstractUI.aspx?menuIndex=3&amp;refID=7146597&amp;Result=3","7146597")</f>
        <v>0</v>
      </c>
      <c r="B5740" t="s">
        <v>714</v>
      </c>
      <c r="C5740" t="s">
        <v>9183</v>
      </c>
      <c r="E5740" t="s">
        <v>23136</v>
      </c>
      <c r="F5740" t="s">
        <v>30900</v>
      </c>
      <c r="G5740" t="s">
        <v>30908</v>
      </c>
      <c r="H5740" t="s">
        <v>30916</v>
      </c>
      <c r="I5740" t="s">
        <v>30921</v>
      </c>
      <c r="J5740" t="s">
        <v>34813</v>
      </c>
      <c r="K5740" t="s">
        <v>40289</v>
      </c>
      <c r="M5740" t="s">
        <v>41278</v>
      </c>
      <c r="N5740" t="s">
        <v>44759</v>
      </c>
      <c r="O5740" t="s">
        <v>44760</v>
      </c>
      <c r="P5740">
        <v>0</v>
      </c>
      <c r="Q5740">
        <v>15</v>
      </c>
      <c r="R5740" t="s">
        <v>44766</v>
      </c>
      <c r="S5740" t="s">
        <v>44902</v>
      </c>
      <c r="T5740" t="s">
        <v>46658</v>
      </c>
      <c r="U5740" t="s">
        <v>47009</v>
      </c>
      <c r="W5740" t="s">
        <v>41278</v>
      </c>
      <c r="X5740" t="s">
        <v>44767</v>
      </c>
    </row>
    <row r="5741" spans="1:24">
      <c r="A5741">
        <f>HYPERLINK("https://www.philgeps.gov.ph/GEPSNONPILOT/Tender/SplashBidNoticeAbstractUI.aspx?menuIndex=3&amp;refID=7146594&amp;Result=3","7146594")</f>
        <v>0</v>
      </c>
      <c r="B5741" t="s">
        <v>58</v>
      </c>
      <c r="C5741" t="s">
        <v>9184</v>
      </c>
      <c r="D5741" t="s">
        <v>17977</v>
      </c>
      <c r="E5741" t="s">
        <v>23137</v>
      </c>
      <c r="F5741" t="s">
        <v>30900</v>
      </c>
      <c r="G5741" t="s">
        <v>30908</v>
      </c>
      <c r="H5741" t="s">
        <v>30916</v>
      </c>
      <c r="I5741" t="s">
        <v>30923</v>
      </c>
      <c r="J5741" t="s">
        <v>31341</v>
      </c>
      <c r="K5741" t="s">
        <v>40287</v>
      </c>
      <c r="M5741" t="s">
        <v>40604</v>
      </c>
      <c r="N5741" t="s">
        <v>44759</v>
      </c>
      <c r="O5741" t="s">
        <v>44760</v>
      </c>
      <c r="P5741">
        <v>0</v>
      </c>
      <c r="Q5741">
        <v>4</v>
      </c>
      <c r="R5741" t="s">
        <v>44766</v>
      </c>
      <c r="S5741" t="s">
        <v>44902</v>
      </c>
      <c r="T5741" t="s">
        <v>46625</v>
      </c>
      <c r="U5741" t="s">
        <v>51289</v>
      </c>
      <c r="V5741" t="s">
        <v>59746</v>
      </c>
      <c r="W5741" t="s">
        <v>60815</v>
      </c>
      <c r="X5741" t="s">
        <v>44767</v>
      </c>
    </row>
    <row r="5742" spans="1:24">
      <c r="A5742">
        <f>HYPERLINK("https://www.philgeps.gov.ph/GEPSNONPILOT/Tender/SplashBidNoticeAbstractUI.aspx?menuIndex=3&amp;refID=7146586&amp;Result=3","7146586")</f>
        <v>0</v>
      </c>
      <c r="B5742" t="s">
        <v>2013</v>
      </c>
      <c r="C5742" t="s">
        <v>9185</v>
      </c>
      <c r="D5742" t="s">
        <v>17971</v>
      </c>
      <c r="E5742" t="s">
        <v>23138</v>
      </c>
      <c r="F5742" t="s">
        <v>30900</v>
      </c>
      <c r="G5742" t="s">
        <v>30907</v>
      </c>
      <c r="H5742" t="s">
        <v>30916</v>
      </c>
      <c r="I5742" t="s">
        <v>6396</v>
      </c>
      <c r="J5742" t="s">
        <v>34814</v>
      </c>
      <c r="K5742" t="s">
        <v>40284</v>
      </c>
      <c r="M5742" t="s">
        <v>42708</v>
      </c>
      <c r="N5742" t="s">
        <v>44759</v>
      </c>
      <c r="O5742" t="s">
        <v>44760</v>
      </c>
      <c r="P5742">
        <v>0</v>
      </c>
      <c r="Q5742">
        <v>2</v>
      </c>
      <c r="R5742" t="s">
        <v>44766</v>
      </c>
      <c r="S5742" t="s">
        <v>44902</v>
      </c>
      <c r="T5742" t="s">
        <v>46409</v>
      </c>
      <c r="U5742" t="s">
        <v>51786</v>
      </c>
      <c r="V5742" t="s">
        <v>59747</v>
      </c>
      <c r="W5742" t="s">
        <v>42708</v>
      </c>
      <c r="X5742" t="s">
        <v>44767</v>
      </c>
    </row>
    <row r="5743" spans="1:24">
      <c r="A5743">
        <f>HYPERLINK("https://www.philgeps.gov.ph/GEPSNONPILOT/Tender/SplashBidNoticeAbstractUI.aspx?menuIndex=3&amp;refID=7146614&amp;Result=3","7146614")</f>
        <v>0</v>
      </c>
      <c r="B5743" t="s">
        <v>2013</v>
      </c>
      <c r="C5743" t="s">
        <v>7595</v>
      </c>
      <c r="D5743" t="s">
        <v>17971</v>
      </c>
      <c r="E5743" t="s">
        <v>23139</v>
      </c>
      <c r="F5743" t="s">
        <v>30900</v>
      </c>
      <c r="G5743" t="s">
        <v>30907</v>
      </c>
      <c r="H5743" t="s">
        <v>30916</v>
      </c>
      <c r="I5743" t="s">
        <v>6396</v>
      </c>
      <c r="J5743" t="s">
        <v>34815</v>
      </c>
      <c r="K5743" t="s">
        <v>40283</v>
      </c>
      <c r="M5743" t="s">
        <v>42708</v>
      </c>
      <c r="N5743" t="s">
        <v>44759</v>
      </c>
      <c r="O5743" t="s">
        <v>44760</v>
      </c>
      <c r="P5743">
        <v>0</v>
      </c>
      <c r="Q5743">
        <v>1</v>
      </c>
      <c r="R5743" t="s">
        <v>44766</v>
      </c>
      <c r="S5743" t="s">
        <v>44902</v>
      </c>
      <c r="T5743" t="s">
        <v>46409</v>
      </c>
      <c r="U5743" t="s">
        <v>51787</v>
      </c>
      <c r="V5743" t="s">
        <v>59747</v>
      </c>
      <c r="W5743" t="s">
        <v>42708</v>
      </c>
      <c r="X5743" t="s">
        <v>44767</v>
      </c>
    </row>
    <row r="5744" spans="1:24">
      <c r="A5744">
        <f>HYPERLINK("https://www.philgeps.gov.ph/GEPSNONPILOT/Tender/SplashBidNoticeAbstractUI.aspx?menuIndex=3&amp;refID=7146585&amp;Result=3","7146585")</f>
        <v>0</v>
      </c>
      <c r="B5744" t="s">
        <v>2045</v>
      </c>
      <c r="C5744" t="s">
        <v>9186</v>
      </c>
      <c r="D5744" t="s">
        <v>18022</v>
      </c>
      <c r="E5744" t="s">
        <v>23140</v>
      </c>
      <c r="F5744" t="s">
        <v>30900</v>
      </c>
      <c r="G5744" t="s">
        <v>30907</v>
      </c>
      <c r="H5744" t="s">
        <v>30916</v>
      </c>
      <c r="I5744" t="s">
        <v>4108</v>
      </c>
      <c r="J5744" t="s">
        <v>34816</v>
      </c>
      <c r="K5744" t="s">
        <v>40293</v>
      </c>
      <c r="M5744" t="s">
        <v>42742</v>
      </c>
      <c r="N5744" t="s">
        <v>44759</v>
      </c>
      <c r="O5744" t="s">
        <v>44760</v>
      </c>
      <c r="P5744">
        <v>0</v>
      </c>
      <c r="Q5744">
        <v>6</v>
      </c>
      <c r="R5744" t="s">
        <v>44766</v>
      </c>
      <c r="S5744" t="s">
        <v>44902</v>
      </c>
      <c r="T5744" t="s">
        <v>46470</v>
      </c>
      <c r="U5744" t="s">
        <v>51788</v>
      </c>
      <c r="W5744" t="s">
        <v>42742</v>
      </c>
      <c r="X5744" t="s">
        <v>44767</v>
      </c>
    </row>
    <row r="5745" spans="1:24">
      <c r="A5745">
        <f>HYPERLINK("https://www.philgeps.gov.ph/GEPSNONPILOT/Tender/SplashBidNoticeAbstractUI.aspx?menuIndex=3&amp;refID=7146582&amp;Result=3","7146582")</f>
        <v>0</v>
      </c>
      <c r="B5745" t="s">
        <v>2075</v>
      </c>
      <c r="C5745" t="s">
        <v>9187</v>
      </c>
      <c r="D5745" t="s">
        <v>17959</v>
      </c>
      <c r="E5745" t="s">
        <v>23141</v>
      </c>
      <c r="F5745" t="s">
        <v>30900</v>
      </c>
      <c r="G5745" t="s">
        <v>30909</v>
      </c>
      <c r="H5745" t="s">
        <v>30916</v>
      </c>
      <c r="I5745" t="s">
        <v>30924</v>
      </c>
      <c r="J5745" t="s">
        <v>34817</v>
      </c>
      <c r="K5745" t="s">
        <v>40287</v>
      </c>
      <c r="M5745" t="s">
        <v>42774</v>
      </c>
      <c r="N5745" t="s">
        <v>44759</v>
      </c>
      <c r="O5745" t="s">
        <v>44760</v>
      </c>
      <c r="P5745">
        <v>0</v>
      </c>
      <c r="Q5745">
        <v>11</v>
      </c>
      <c r="R5745" t="s">
        <v>44766</v>
      </c>
      <c r="S5745" t="s">
        <v>44902</v>
      </c>
      <c r="T5745" t="s">
        <v>46391</v>
      </c>
      <c r="U5745" t="s">
        <v>51783</v>
      </c>
      <c r="W5745" t="s">
        <v>42774</v>
      </c>
      <c r="X5745" t="s">
        <v>44767</v>
      </c>
    </row>
    <row r="5746" spans="1:24">
      <c r="A5746">
        <f>HYPERLINK("https://www.philgeps.gov.ph/GEPSNONPILOT/Tender/SplashBidNoticeAbstractUI.aspx?menuIndex=3&amp;refID=7146576&amp;Result=3","7146576")</f>
        <v>0</v>
      </c>
      <c r="B5746" t="s">
        <v>1339</v>
      </c>
      <c r="C5746" t="s">
        <v>9188</v>
      </c>
      <c r="D5746" t="s">
        <v>18001</v>
      </c>
      <c r="E5746" t="s">
        <v>23142</v>
      </c>
      <c r="F5746" t="s">
        <v>30900</v>
      </c>
      <c r="G5746" t="s">
        <v>30907</v>
      </c>
      <c r="H5746" t="s">
        <v>30915</v>
      </c>
      <c r="I5746" t="s">
        <v>30919</v>
      </c>
      <c r="J5746" t="s">
        <v>34818</v>
      </c>
      <c r="K5746" t="s">
        <v>40293</v>
      </c>
      <c r="M5746" t="s">
        <v>41960</v>
      </c>
      <c r="N5746" t="s">
        <v>44759</v>
      </c>
      <c r="O5746" t="s">
        <v>44760</v>
      </c>
      <c r="P5746">
        <v>0</v>
      </c>
      <c r="Q5746">
        <v>0</v>
      </c>
      <c r="R5746" t="s">
        <v>44766</v>
      </c>
      <c r="S5746" t="s">
        <v>44902</v>
      </c>
      <c r="T5746" t="s">
        <v>46364</v>
      </c>
      <c r="U5746" t="s">
        <v>51789</v>
      </c>
      <c r="W5746" t="s">
        <v>41960</v>
      </c>
      <c r="X5746" t="s">
        <v>44767</v>
      </c>
    </row>
    <row r="5747" spans="1:24">
      <c r="A5747">
        <f>HYPERLINK("https://www.philgeps.gov.ph/GEPSNONPILOT/Tender/SplashBidNoticeAbstractUI.aspx?menuIndex=3&amp;refID=7146671&amp;Result=3","7146671")</f>
        <v>0</v>
      </c>
      <c r="B5747" t="s">
        <v>1988</v>
      </c>
      <c r="C5747" t="s">
        <v>9189</v>
      </c>
      <c r="D5747" t="s">
        <v>17959</v>
      </c>
      <c r="E5747" t="s">
        <v>23143</v>
      </c>
      <c r="F5747" t="s">
        <v>30900</v>
      </c>
      <c r="G5747" t="s">
        <v>30906</v>
      </c>
      <c r="H5747" t="s">
        <v>30916</v>
      </c>
      <c r="I5747" t="s">
        <v>9385</v>
      </c>
      <c r="J5747" t="s">
        <v>34819</v>
      </c>
      <c r="K5747" t="s">
        <v>40289</v>
      </c>
      <c r="L5747" t="s">
        <v>1988</v>
      </c>
      <c r="M5747" t="s">
        <v>42679</v>
      </c>
      <c r="N5747" t="s">
        <v>44759</v>
      </c>
      <c r="O5747" t="s">
        <v>44760</v>
      </c>
      <c r="Q5747">
        <v>4</v>
      </c>
      <c r="R5747" t="s">
        <v>44766</v>
      </c>
      <c r="S5747" t="s">
        <v>44927</v>
      </c>
      <c r="T5747" t="s">
        <v>46497</v>
      </c>
      <c r="U5747" t="s">
        <v>51539</v>
      </c>
      <c r="W5747" t="s">
        <v>42679</v>
      </c>
      <c r="X5747" t="s">
        <v>44767</v>
      </c>
    </row>
    <row r="5748" spans="1:24">
      <c r="A5748">
        <f>HYPERLINK("https://www.philgeps.gov.ph/GEPSNONPILOT/Tender/SplashBidNoticeAbstractUI.aspx?menuIndex=3&amp;refID=7146502&amp;Result=3","7146502")</f>
        <v>0</v>
      </c>
      <c r="B5748" t="s">
        <v>405</v>
      </c>
      <c r="C5748" t="s">
        <v>9190</v>
      </c>
      <c r="D5748" t="s">
        <v>17971</v>
      </c>
      <c r="E5748" t="s">
        <v>23144</v>
      </c>
      <c r="F5748" t="s">
        <v>30900</v>
      </c>
      <c r="G5748" t="s">
        <v>30908</v>
      </c>
      <c r="H5748" t="s">
        <v>30916</v>
      </c>
      <c r="I5748" t="s">
        <v>8123</v>
      </c>
      <c r="J5748" t="s">
        <v>34820</v>
      </c>
      <c r="K5748" t="s">
        <v>40284</v>
      </c>
      <c r="M5748" t="s">
        <v>40961</v>
      </c>
      <c r="N5748" t="s">
        <v>44759</v>
      </c>
      <c r="O5748" t="s">
        <v>44760</v>
      </c>
      <c r="P5748">
        <v>0</v>
      </c>
      <c r="Q5748">
        <v>1</v>
      </c>
      <c r="R5748" t="s">
        <v>44766</v>
      </c>
      <c r="S5748" t="s">
        <v>44902</v>
      </c>
      <c r="T5748" t="s">
        <v>46414</v>
      </c>
      <c r="U5748" t="s">
        <v>51790</v>
      </c>
      <c r="W5748" t="s">
        <v>40961</v>
      </c>
      <c r="X5748" t="s">
        <v>44767</v>
      </c>
    </row>
    <row r="5749" spans="1:24">
      <c r="A5749">
        <f>HYPERLINK("https://www.philgeps.gov.ph/GEPSNONPILOT/Tender/SplashBidNoticeAbstractUI.aspx?menuIndex=3&amp;refID=7146676&amp;Result=3","7146676")</f>
        <v>0</v>
      </c>
      <c r="B5749" t="s">
        <v>58</v>
      </c>
      <c r="C5749" t="s">
        <v>9191</v>
      </c>
      <c r="D5749" t="s">
        <v>17977</v>
      </c>
      <c r="E5749" t="s">
        <v>23145</v>
      </c>
      <c r="F5749" t="s">
        <v>30900</v>
      </c>
      <c r="G5749" t="s">
        <v>30910</v>
      </c>
      <c r="H5749" t="s">
        <v>30916</v>
      </c>
      <c r="I5749" t="s">
        <v>8044</v>
      </c>
      <c r="J5749" t="s">
        <v>34821</v>
      </c>
      <c r="K5749" t="s">
        <v>40287</v>
      </c>
      <c r="M5749" t="s">
        <v>40604</v>
      </c>
      <c r="N5749" t="s">
        <v>44759</v>
      </c>
      <c r="O5749" t="s">
        <v>44760</v>
      </c>
      <c r="P5749">
        <v>0</v>
      </c>
      <c r="Q5749">
        <v>0</v>
      </c>
      <c r="R5749" t="s">
        <v>44766</v>
      </c>
      <c r="S5749" t="s">
        <v>44902</v>
      </c>
      <c r="T5749" t="s">
        <v>46625</v>
      </c>
      <c r="U5749" t="s">
        <v>50977</v>
      </c>
      <c r="W5749" t="s">
        <v>60815</v>
      </c>
      <c r="X5749" t="s">
        <v>44767</v>
      </c>
    </row>
    <row r="5750" spans="1:24">
      <c r="A5750">
        <f>HYPERLINK("https://www.philgeps.gov.ph/GEPSNONPILOT/Tender/SplashBidNoticeAbstractUI.aspx?menuIndex=3&amp;refID=7146588&amp;Result=3","7146588")</f>
        <v>0</v>
      </c>
      <c r="B5750" t="s">
        <v>2078</v>
      </c>
      <c r="C5750" t="s">
        <v>9192</v>
      </c>
      <c r="D5750" t="s">
        <v>18010</v>
      </c>
      <c r="E5750" t="s">
        <v>23146</v>
      </c>
      <c r="F5750" t="s">
        <v>30900</v>
      </c>
      <c r="G5750" t="s">
        <v>30908</v>
      </c>
      <c r="H5750" t="s">
        <v>30915</v>
      </c>
      <c r="I5750" t="s">
        <v>30957</v>
      </c>
      <c r="J5750" t="s">
        <v>34822</v>
      </c>
      <c r="K5750" t="s">
        <v>40339</v>
      </c>
      <c r="M5750" t="s">
        <v>42777</v>
      </c>
      <c r="N5750" t="s">
        <v>44759</v>
      </c>
      <c r="O5750" t="s">
        <v>44760</v>
      </c>
      <c r="P5750">
        <v>0</v>
      </c>
      <c r="Q5750">
        <v>1</v>
      </c>
      <c r="R5750" t="s">
        <v>44766</v>
      </c>
      <c r="S5750" t="s">
        <v>44902</v>
      </c>
      <c r="T5750" t="s">
        <v>46425</v>
      </c>
      <c r="U5750" t="s">
        <v>51791</v>
      </c>
      <c r="W5750" t="s">
        <v>42777</v>
      </c>
      <c r="X5750" t="s">
        <v>44767</v>
      </c>
    </row>
    <row r="5751" spans="1:24">
      <c r="A5751">
        <f>HYPERLINK("https://www.philgeps.gov.ph/GEPSNONPILOT/Tender/SplashBidNoticeAbstractUI.aspx?menuIndex=3&amp;refID=7146505&amp;Result=3","7146505")</f>
        <v>0</v>
      </c>
      <c r="B5751" t="s">
        <v>2053</v>
      </c>
      <c r="C5751" t="s">
        <v>9193</v>
      </c>
      <c r="D5751" t="s">
        <v>17980</v>
      </c>
      <c r="E5751" t="s">
        <v>23147</v>
      </c>
      <c r="F5751" t="s">
        <v>30900</v>
      </c>
      <c r="G5751" t="s">
        <v>30907</v>
      </c>
      <c r="H5751" t="s">
        <v>30916</v>
      </c>
      <c r="I5751" t="s">
        <v>30947</v>
      </c>
      <c r="J5751" t="s">
        <v>34823</v>
      </c>
      <c r="K5751" t="s">
        <v>40286</v>
      </c>
      <c r="M5751" t="s">
        <v>42752</v>
      </c>
      <c r="N5751" t="s">
        <v>44759</v>
      </c>
      <c r="O5751" t="s">
        <v>44760</v>
      </c>
      <c r="Q5751">
        <v>2</v>
      </c>
      <c r="R5751" t="s">
        <v>44766</v>
      </c>
      <c r="S5751" t="s">
        <v>44928</v>
      </c>
      <c r="T5751" t="s">
        <v>46561</v>
      </c>
      <c r="U5751" t="s">
        <v>51792</v>
      </c>
      <c r="W5751" t="s">
        <v>42752</v>
      </c>
      <c r="X5751" t="s">
        <v>44767</v>
      </c>
    </row>
    <row r="5752" spans="1:24">
      <c r="A5752">
        <f>HYPERLINK("https://www.philgeps.gov.ph/GEPSNONPILOT/Tender/SplashBidNoticeAbstractUI.aspx?menuIndex=3&amp;refID=7146673&amp;Result=3","7146673")</f>
        <v>0</v>
      </c>
      <c r="B5752" t="s">
        <v>2079</v>
      </c>
      <c r="C5752" t="s">
        <v>9194</v>
      </c>
      <c r="D5752" t="s">
        <v>17953</v>
      </c>
      <c r="E5752" t="s">
        <v>23148</v>
      </c>
      <c r="F5752" t="s">
        <v>30900</v>
      </c>
      <c r="G5752" t="s">
        <v>30909</v>
      </c>
      <c r="H5752" t="s">
        <v>30916</v>
      </c>
      <c r="I5752" t="s">
        <v>6396</v>
      </c>
      <c r="J5752" t="s">
        <v>31310</v>
      </c>
      <c r="K5752" t="s">
        <v>40283</v>
      </c>
      <c r="M5752" t="s">
        <v>42778</v>
      </c>
      <c r="N5752" t="s">
        <v>44759</v>
      </c>
      <c r="O5752" t="s">
        <v>44760</v>
      </c>
      <c r="Q5752">
        <v>2</v>
      </c>
      <c r="R5752" t="s">
        <v>44766</v>
      </c>
      <c r="S5752" t="s">
        <v>44929</v>
      </c>
      <c r="T5752" t="s">
        <v>46581</v>
      </c>
      <c r="U5752" t="s">
        <v>51793</v>
      </c>
      <c r="W5752" t="s">
        <v>42778</v>
      </c>
      <c r="X5752" t="s">
        <v>44767</v>
      </c>
    </row>
    <row r="5753" spans="1:24">
      <c r="A5753">
        <f>HYPERLINK("https://www.philgeps.gov.ph/GEPSNONPILOT/Tender/SplashBidNoticeAbstractUI.aspx?menuIndex=3&amp;refID=7146666&amp;Result=3","7146666")</f>
        <v>0</v>
      </c>
      <c r="B5753" t="s">
        <v>463</v>
      </c>
      <c r="C5753" t="s">
        <v>9195</v>
      </c>
      <c r="D5753" t="s">
        <v>18028</v>
      </c>
      <c r="E5753" t="s">
        <v>23149</v>
      </c>
      <c r="F5753" t="s">
        <v>30900</v>
      </c>
      <c r="G5753" t="s">
        <v>30907</v>
      </c>
      <c r="H5753" t="s">
        <v>30916</v>
      </c>
      <c r="I5753" t="s">
        <v>30939</v>
      </c>
      <c r="J5753" t="s">
        <v>34824</v>
      </c>
      <c r="K5753" t="s">
        <v>40280</v>
      </c>
      <c r="L5753" t="s">
        <v>463</v>
      </c>
      <c r="M5753" t="s">
        <v>41021</v>
      </c>
      <c r="N5753" t="s">
        <v>44759</v>
      </c>
      <c r="O5753" t="s">
        <v>44760</v>
      </c>
      <c r="P5753">
        <v>0</v>
      </c>
      <c r="Q5753">
        <v>0</v>
      </c>
      <c r="R5753" t="s">
        <v>44766</v>
      </c>
      <c r="S5753" t="s">
        <v>44902</v>
      </c>
      <c r="T5753" t="s">
        <v>46472</v>
      </c>
      <c r="U5753" t="s">
        <v>51794</v>
      </c>
      <c r="V5753" t="s">
        <v>59748</v>
      </c>
      <c r="W5753" t="s">
        <v>41021</v>
      </c>
      <c r="X5753" t="s">
        <v>44767</v>
      </c>
    </row>
    <row r="5754" spans="1:24">
      <c r="A5754">
        <f>HYPERLINK("https://www.philgeps.gov.ph/GEPSNONPILOT/Tender/SplashBidNoticeAbstractUI.aspx?menuIndex=3&amp;refID=7146656&amp;Result=3","7146656")</f>
        <v>0</v>
      </c>
      <c r="B5754" t="s">
        <v>1897</v>
      </c>
      <c r="C5754" t="s">
        <v>9196</v>
      </c>
      <c r="D5754" t="s">
        <v>18002</v>
      </c>
      <c r="E5754" t="s">
        <v>23150</v>
      </c>
      <c r="F5754" t="s">
        <v>30900</v>
      </c>
      <c r="G5754" t="s">
        <v>30907</v>
      </c>
      <c r="H5754" t="s">
        <v>30916</v>
      </c>
      <c r="I5754" t="s">
        <v>4545</v>
      </c>
      <c r="J5754" t="s">
        <v>34825</v>
      </c>
      <c r="K5754" t="s">
        <v>40333</v>
      </c>
      <c r="M5754" t="s">
        <v>42572</v>
      </c>
      <c r="N5754" t="s">
        <v>44759</v>
      </c>
      <c r="O5754" t="s">
        <v>44760</v>
      </c>
      <c r="Q5754">
        <v>5</v>
      </c>
      <c r="R5754" t="s">
        <v>44766</v>
      </c>
      <c r="S5754" t="s">
        <v>44930</v>
      </c>
      <c r="T5754" t="s">
        <v>46508</v>
      </c>
      <c r="U5754" t="s">
        <v>51795</v>
      </c>
      <c r="V5754" t="s">
        <v>59749</v>
      </c>
      <c r="W5754" t="s">
        <v>42572</v>
      </c>
      <c r="X5754" t="s">
        <v>44767</v>
      </c>
    </row>
    <row r="5755" spans="1:24">
      <c r="A5755">
        <f>HYPERLINK("https://www.philgeps.gov.ph/GEPSNONPILOT/Tender/SplashBidNoticeAbstractUI.aspx?menuIndex=3&amp;refID=7146581&amp;Result=3","7146581")</f>
        <v>0</v>
      </c>
      <c r="B5755" t="s">
        <v>2080</v>
      </c>
      <c r="C5755" t="s">
        <v>9197</v>
      </c>
      <c r="D5755" t="s">
        <v>17961</v>
      </c>
      <c r="E5755" t="s">
        <v>23151</v>
      </c>
      <c r="F5755" t="s">
        <v>30899</v>
      </c>
      <c r="G5755" t="s">
        <v>30908</v>
      </c>
      <c r="H5755" t="s">
        <v>30916</v>
      </c>
      <c r="I5755" t="s">
        <v>4142</v>
      </c>
      <c r="J5755" t="s">
        <v>34826</v>
      </c>
      <c r="K5755" t="s">
        <v>40285</v>
      </c>
      <c r="L5755" t="s">
        <v>2080</v>
      </c>
      <c r="M5755" t="s">
        <v>42779</v>
      </c>
      <c r="N5755" t="s">
        <v>44759</v>
      </c>
      <c r="O5755" t="s">
        <v>44760</v>
      </c>
      <c r="P5755">
        <v>0</v>
      </c>
      <c r="Q5755">
        <v>0</v>
      </c>
      <c r="R5755" t="s">
        <v>44766</v>
      </c>
      <c r="S5755" t="s">
        <v>44902</v>
      </c>
      <c r="T5755" t="s">
        <v>46376</v>
      </c>
      <c r="U5755" t="s">
        <v>51796</v>
      </c>
      <c r="W5755" t="s">
        <v>42779</v>
      </c>
      <c r="X5755" t="s">
        <v>44767</v>
      </c>
    </row>
    <row r="5756" spans="1:24">
      <c r="A5756">
        <f>HYPERLINK("https://www.philgeps.gov.ph/GEPSNONPILOT/Tender/SplashBidNoticeAbstractUI.aspx?menuIndex=3&amp;refID=7146653&amp;Result=3","7146653")</f>
        <v>0</v>
      </c>
      <c r="B5756" t="s">
        <v>172</v>
      </c>
      <c r="C5756" t="s">
        <v>9198</v>
      </c>
      <c r="D5756" t="s">
        <v>17979</v>
      </c>
      <c r="E5756" t="s">
        <v>23152</v>
      </c>
      <c r="F5756" t="s">
        <v>30900</v>
      </c>
      <c r="G5756" t="s">
        <v>30910</v>
      </c>
      <c r="H5756" t="s">
        <v>30916</v>
      </c>
      <c r="I5756" t="s">
        <v>4108</v>
      </c>
      <c r="J5756" t="s">
        <v>34827</v>
      </c>
      <c r="K5756" t="s">
        <v>40286</v>
      </c>
      <c r="M5756" t="s">
        <v>40719</v>
      </c>
      <c r="N5756" t="s">
        <v>44759</v>
      </c>
      <c r="O5756" t="s">
        <v>44760</v>
      </c>
      <c r="P5756">
        <v>0</v>
      </c>
      <c r="Q5756">
        <v>4</v>
      </c>
      <c r="R5756" t="s">
        <v>44766</v>
      </c>
      <c r="S5756" t="s">
        <v>44902</v>
      </c>
      <c r="T5756" t="s">
        <v>46547</v>
      </c>
      <c r="U5756" t="s">
        <v>47201</v>
      </c>
      <c r="W5756" t="s">
        <v>40719</v>
      </c>
      <c r="X5756" t="s">
        <v>44767</v>
      </c>
    </row>
    <row r="5757" spans="1:24">
      <c r="A5757">
        <f>HYPERLINK("https://www.philgeps.gov.ph/GEPSNONPILOT/Tender/SplashBidNoticeAbstractUI.aspx?menuIndex=3&amp;refID=7146651&amp;Result=3","7146651")</f>
        <v>0</v>
      </c>
      <c r="B5757" t="s">
        <v>2081</v>
      </c>
      <c r="C5757" t="s">
        <v>9199</v>
      </c>
      <c r="D5757" t="s">
        <v>17980</v>
      </c>
      <c r="E5757" t="s">
        <v>23153</v>
      </c>
      <c r="F5757" t="s">
        <v>30900</v>
      </c>
      <c r="G5757" t="s">
        <v>30907</v>
      </c>
      <c r="H5757" t="s">
        <v>30916</v>
      </c>
      <c r="I5757" t="s">
        <v>30963</v>
      </c>
      <c r="J5757" t="s">
        <v>34828</v>
      </c>
      <c r="K5757" t="s">
        <v>40280</v>
      </c>
      <c r="M5757" t="s">
        <v>42780</v>
      </c>
      <c r="N5757" t="s">
        <v>44759</v>
      </c>
      <c r="O5757" t="s">
        <v>44760</v>
      </c>
      <c r="P5757">
        <v>0</v>
      </c>
      <c r="Q5757">
        <v>7</v>
      </c>
      <c r="R5757" t="s">
        <v>44766</v>
      </c>
      <c r="S5757" t="s">
        <v>44902</v>
      </c>
      <c r="T5757" t="s">
        <v>46389</v>
      </c>
      <c r="U5757" t="s">
        <v>51797</v>
      </c>
      <c r="V5757" t="s">
        <v>59750</v>
      </c>
      <c r="W5757" t="s">
        <v>42780</v>
      </c>
      <c r="X5757" t="s">
        <v>44767</v>
      </c>
    </row>
    <row r="5758" spans="1:24">
      <c r="A5758">
        <f>HYPERLINK("https://www.philgeps.gov.ph/GEPSNONPILOT/Tender/SplashBidNoticeAbstractUI.aspx?menuIndex=3&amp;refID=7146685&amp;Result=3","7146685")</f>
        <v>0</v>
      </c>
      <c r="B5758" t="s">
        <v>2082</v>
      </c>
      <c r="C5758" t="s">
        <v>9200</v>
      </c>
      <c r="D5758" t="s">
        <v>18009</v>
      </c>
      <c r="E5758" t="s">
        <v>23154</v>
      </c>
      <c r="F5758" t="s">
        <v>30900</v>
      </c>
      <c r="G5758" t="s">
        <v>30907</v>
      </c>
      <c r="H5758" t="s">
        <v>30915</v>
      </c>
      <c r="I5758" t="s">
        <v>30919</v>
      </c>
      <c r="J5758" t="s">
        <v>34829</v>
      </c>
      <c r="K5758" t="s">
        <v>40354</v>
      </c>
      <c r="M5758" t="s">
        <v>42781</v>
      </c>
      <c r="N5758" t="s">
        <v>44759</v>
      </c>
      <c r="O5758" t="s">
        <v>44760</v>
      </c>
      <c r="P5758">
        <v>0</v>
      </c>
      <c r="Q5758">
        <v>0</v>
      </c>
      <c r="R5758" t="s">
        <v>44766</v>
      </c>
      <c r="S5758" t="s">
        <v>44902</v>
      </c>
      <c r="T5758" t="s">
        <v>46450</v>
      </c>
      <c r="U5758" t="s">
        <v>51798</v>
      </c>
      <c r="W5758" t="s">
        <v>42781</v>
      </c>
      <c r="X5758" t="s">
        <v>44767</v>
      </c>
    </row>
    <row r="5759" spans="1:24">
      <c r="A5759">
        <f>HYPERLINK("https://www.philgeps.gov.ph/GEPSNONPILOT/Tender/SplashBidNoticeAbstractUI.aspx?menuIndex=3&amp;refID=7146644&amp;Result=3","7146644")</f>
        <v>0</v>
      </c>
      <c r="B5759" t="s">
        <v>1480</v>
      </c>
      <c r="C5759" t="s">
        <v>9201</v>
      </c>
      <c r="E5759" t="s">
        <v>23155</v>
      </c>
      <c r="F5759" t="s">
        <v>30900</v>
      </c>
      <c r="G5759" t="s">
        <v>30908</v>
      </c>
      <c r="H5759" t="s">
        <v>30916</v>
      </c>
      <c r="I5759" t="s">
        <v>31021</v>
      </c>
      <c r="J5759" t="s">
        <v>34830</v>
      </c>
      <c r="K5759" t="s">
        <v>40289</v>
      </c>
      <c r="M5759" t="s">
        <v>42115</v>
      </c>
      <c r="N5759" t="s">
        <v>44759</v>
      </c>
      <c r="O5759" t="s">
        <v>44760</v>
      </c>
      <c r="P5759">
        <v>0</v>
      </c>
      <c r="Q5759">
        <v>4</v>
      </c>
      <c r="R5759" t="s">
        <v>44766</v>
      </c>
      <c r="S5759" t="s">
        <v>44902</v>
      </c>
      <c r="T5759" t="s">
        <v>46533</v>
      </c>
      <c r="U5759" t="s">
        <v>51799</v>
      </c>
      <c r="W5759" t="s">
        <v>42115</v>
      </c>
      <c r="X5759" t="s">
        <v>44767</v>
      </c>
    </row>
    <row r="5760" spans="1:24">
      <c r="A5760">
        <f>HYPERLINK("https://www.philgeps.gov.ph/GEPSNONPILOT/Tender/SplashBidNoticeAbstractUI.aspx?menuIndex=3&amp;refID=7146674&amp;Result=3","7146674")</f>
        <v>0</v>
      </c>
      <c r="B5760" t="s">
        <v>2083</v>
      </c>
      <c r="C5760" t="s">
        <v>9202</v>
      </c>
      <c r="D5760" t="s">
        <v>17959</v>
      </c>
      <c r="E5760" t="s">
        <v>23156</v>
      </c>
      <c r="F5760" t="s">
        <v>30900</v>
      </c>
      <c r="G5760" t="s">
        <v>30907</v>
      </c>
      <c r="H5760" t="s">
        <v>30915</v>
      </c>
      <c r="I5760" t="s">
        <v>30919</v>
      </c>
      <c r="J5760" t="s">
        <v>34831</v>
      </c>
      <c r="K5760" t="s">
        <v>40304</v>
      </c>
      <c r="M5760" t="s">
        <v>42782</v>
      </c>
      <c r="N5760" t="s">
        <v>44759</v>
      </c>
      <c r="O5760" t="s">
        <v>44760</v>
      </c>
      <c r="P5760">
        <v>0</v>
      </c>
      <c r="Q5760">
        <v>27</v>
      </c>
      <c r="R5760" t="s">
        <v>44766</v>
      </c>
      <c r="S5760" t="s">
        <v>44902</v>
      </c>
      <c r="T5760" t="s">
        <v>46453</v>
      </c>
      <c r="U5760" t="s">
        <v>51800</v>
      </c>
      <c r="V5760" t="s">
        <v>59751</v>
      </c>
      <c r="W5760" t="s">
        <v>42782</v>
      </c>
      <c r="X5760" t="s">
        <v>44767</v>
      </c>
    </row>
    <row r="5761" spans="1:24">
      <c r="A5761">
        <f>HYPERLINK("https://www.philgeps.gov.ph/GEPSNONPILOT/Tender/SplashBidNoticeAbstractUI.aspx?menuIndex=3&amp;refID=7146640&amp;Result=3","7146640")</f>
        <v>0</v>
      </c>
      <c r="B5761" t="s">
        <v>2078</v>
      </c>
      <c r="C5761" t="s">
        <v>9203</v>
      </c>
      <c r="D5761" t="s">
        <v>18010</v>
      </c>
      <c r="E5761" t="s">
        <v>23157</v>
      </c>
      <c r="F5761" t="s">
        <v>30900</v>
      </c>
      <c r="G5761" t="s">
        <v>30908</v>
      </c>
      <c r="H5761" t="s">
        <v>30915</v>
      </c>
      <c r="I5761" t="s">
        <v>30957</v>
      </c>
      <c r="J5761" t="s">
        <v>34832</v>
      </c>
      <c r="K5761" t="s">
        <v>40327</v>
      </c>
      <c r="M5761" t="s">
        <v>42777</v>
      </c>
      <c r="N5761" t="s">
        <v>44759</v>
      </c>
      <c r="O5761" t="s">
        <v>44760</v>
      </c>
      <c r="P5761">
        <v>0</v>
      </c>
      <c r="Q5761">
        <v>1</v>
      </c>
      <c r="R5761" t="s">
        <v>44766</v>
      </c>
      <c r="S5761" t="s">
        <v>44902</v>
      </c>
      <c r="T5761" t="s">
        <v>46425</v>
      </c>
      <c r="U5761" t="s">
        <v>51801</v>
      </c>
      <c r="W5761" t="s">
        <v>42777</v>
      </c>
      <c r="X5761" t="s">
        <v>44767</v>
      </c>
    </row>
    <row r="5762" spans="1:24">
      <c r="A5762">
        <f>HYPERLINK("https://www.philgeps.gov.ph/GEPSNONPILOT/Tender/SplashBidNoticeAbstractUI.aspx?menuIndex=3&amp;refID=7146627&amp;Result=3","7146627")</f>
        <v>0</v>
      </c>
      <c r="B5762" t="s">
        <v>2084</v>
      </c>
      <c r="C5762" t="s">
        <v>9204</v>
      </c>
      <c r="D5762" t="s">
        <v>17981</v>
      </c>
      <c r="E5762" t="s">
        <v>23158</v>
      </c>
      <c r="F5762" t="s">
        <v>30900</v>
      </c>
      <c r="G5762" t="s">
        <v>30908</v>
      </c>
      <c r="H5762" t="s">
        <v>30916</v>
      </c>
      <c r="I5762" t="s">
        <v>4545</v>
      </c>
      <c r="J5762" t="s">
        <v>31048</v>
      </c>
      <c r="K5762" t="s">
        <v>40287</v>
      </c>
      <c r="M5762" t="s">
        <v>42783</v>
      </c>
      <c r="N5762" t="s">
        <v>44759</v>
      </c>
      <c r="O5762" t="s">
        <v>44760</v>
      </c>
      <c r="P5762">
        <v>0</v>
      </c>
      <c r="Q5762">
        <v>2</v>
      </c>
      <c r="R5762" t="s">
        <v>44766</v>
      </c>
      <c r="S5762" t="s">
        <v>44902</v>
      </c>
      <c r="T5762" t="s">
        <v>46612</v>
      </c>
      <c r="U5762" t="s">
        <v>51802</v>
      </c>
      <c r="W5762" t="s">
        <v>42783</v>
      </c>
      <c r="X5762" t="s">
        <v>44767</v>
      </c>
    </row>
    <row r="5763" spans="1:24">
      <c r="A5763">
        <f>HYPERLINK("https://www.philgeps.gov.ph/GEPSNONPILOT/Tender/SplashBidNoticeAbstractUI.aspx?menuIndex=3&amp;refID=7146687&amp;Result=3","7146687")</f>
        <v>0</v>
      </c>
      <c r="B5763" t="s">
        <v>2085</v>
      </c>
      <c r="C5763" t="s">
        <v>9205</v>
      </c>
      <c r="D5763" t="s">
        <v>17960</v>
      </c>
      <c r="E5763" t="s">
        <v>23159</v>
      </c>
      <c r="F5763" t="s">
        <v>30900</v>
      </c>
      <c r="G5763" t="s">
        <v>30908</v>
      </c>
      <c r="H5763" t="s">
        <v>30915</v>
      </c>
      <c r="I5763" t="s">
        <v>30942</v>
      </c>
      <c r="J5763" t="s">
        <v>34833</v>
      </c>
      <c r="K5763" t="s">
        <v>40304</v>
      </c>
      <c r="M5763" t="s">
        <v>42784</v>
      </c>
      <c r="N5763" t="s">
        <v>44759</v>
      </c>
      <c r="O5763" t="s">
        <v>44760</v>
      </c>
      <c r="P5763">
        <v>0</v>
      </c>
      <c r="Q5763">
        <v>0</v>
      </c>
      <c r="R5763" t="s">
        <v>44766</v>
      </c>
      <c r="S5763" t="s">
        <v>44902</v>
      </c>
      <c r="T5763" t="s">
        <v>46410</v>
      </c>
      <c r="U5763" t="s">
        <v>51803</v>
      </c>
      <c r="W5763" t="s">
        <v>42784</v>
      </c>
      <c r="X5763" t="s">
        <v>44767</v>
      </c>
    </row>
    <row r="5764" spans="1:24">
      <c r="A5764">
        <f>HYPERLINK("https://www.philgeps.gov.ph/GEPSNONPILOT/Tender/SplashBidNoticeAbstractUI.aspx?menuIndex=3&amp;refID=7146711&amp;Result=3","7146711")</f>
        <v>0</v>
      </c>
      <c r="B5764" t="s">
        <v>430</v>
      </c>
      <c r="C5764" t="s">
        <v>9206</v>
      </c>
      <c r="D5764" t="s">
        <v>18000</v>
      </c>
      <c r="E5764" t="s">
        <v>23160</v>
      </c>
      <c r="F5764" t="s">
        <v>30899</v>
      </c>
      <c r="G5764" t="s">
        <v>30908</v>
      </c>
      <c r="H5764" t="s">
        <v>30916</v>
      </c>
      <c r="I5764" t="s">
        <v>8123</v>
      </c>
      <c r="J5764" t="s">
        <v>31043</v>
      </c>
      <c r="K5764" t="s">
        <v>40287</v>
      </c>
      <c r="M5764" t="s">
        <v>40987</v>
      </c>
      <c r="N5764" t="s">
        <v>44759</v>
      </c>
      <c r="O5764" t="s">
        <v>44760</v>
      </c>
      <c r="P5764">
        <v>0</v>
      </c>
      <c r="Q5764">
        <v>1</v>
      </c>
      <c r="R5764" t="s">
        <v>44766</v>
      </c>
      <c r="S5764" t="s">
        <v>44902</v>
      </c>
      <c r="T5764" t="s">
        <v>46379</v>
      </c>
      <c r="U5764" t="s">
        <v>51804</v>
      </c>
      <c r="V5764" t="s">
        <v>59752</v>
      </c>
      <c r="W5764" t="s">
        <v>40987</v>
      </c>
      <c r="X5764" t="s">
        <v>44767</v>
      </c>
    </row>
    <row r="5765" spans="1:24">
      <c r="A5765">
        <f>HYPERLINK("https://www.philgeps.gov.ph/GEPSNONPILOT/Tender/SplashBidNoticeAbstractUI.aspx?menuIndex=3&amp;refID=7146642&amp;Result=3","7146642")</f>
        <v>0</v>
      </c>
      <c r="B5765" t="s">
        <v>2086</v>
      </c>
      <c r="C5765" t="s">
        <v>9207</v>
      </c>
      <c r="D5765" t="s">
        <v>18017</v>
      </c>
      <c r="E5765" t="s">
        <v>23161</v>
      </c>
      <c r="F5765" t="s">
        <v>30900</v>
      </c>
      <c r="G5765" t="s">
        <v>30908</v>
      </c>
      <c r="H5765" t="s">
        <v>30916</v>
      </c>
      <c r="I5765" t="s">
        <v>6834</v>
      </c>
      <c r="J5765" t="s">
        <v>31101</v>
      </c>
      <c r="K5765" t="s">
        <v>40286</v>
      </c>
      <c r="M5765" t="s">
        <v>42785</v>
      </c>
      <c r="N5765" t="s">
        <v>44759</v>
      </c>
      <c r="O5765" t="s">
        <v>44760</v>
      </c>
      <c r="P5765">
        <v>0</v>
      </c>
      <c r="Q5765">
        <v>4</v>
      </c>
      <c r="R5765" t="s">
        <v>44766</v>
      </c>
      <c r="S5765" t="s">
        <v>44902</v>
      </c>
      <c r="T5765" t="s">
        <v>46562</v>
      </c>
      <c r="U5765" t="s">
        <v>51805</v>
      </c>
      <c r="W5765" t="s">
        <v>42785</v>
      </c>
      <c r="X5765" t="s">
        <v>44767</v>
      </c>
    </row>
    <row r="5766" spans="1:24">
      <c r="A5766">
        <f>HYPERLINK("https://www.philgeps.gov.ph/GEPSNONPILOT/Tender/SplashBidNoticeAbstractUI.aspx?menuIndex=3&amp;refID=7146723&amp;Result=3","7146723")</f>
        <v>0</v>
      </c>
      <c r="B5766" t="s">
        <v>2087</v>
      </c>
      <c r="C5766" t="s">
        <v>9208</v>
      </c>
      <c r="D5766" t="s">
        <v>17959</v>
      </c>
      <c r="E5766" t="s">
        <v>23162</v>
      </c>
      <c r="F5766" t="s">
        <v>30900</v>
      </c>
      <c r="G5766" t="s">
        <v>30907</v>
      </c>
      <c r="H5766" t="s">
        <v>30916</v>
      </c>
      <c r="I5766" t="s">
        <v>9385</v>
      </c>
      <c r="J5766" t="s">
        <v>32324</v>
      </c>
      <c r="K5766" t="s">
        <v>40292</v>
      </c>
      <c r="M5766" t="s">
        <v>42786</v>
      </c>
      <c r="N5766" t="s">
        <v>44759</v>
      </c>
      <c r="O5766" t="s">
        <v>44760</v>
      </c>
      <c r="P5766">
        <v>0</v>
      </c>
      <c r="Q5766">
        <v>13</v>
      </c>
      <c r="R5766" t="s">
        <v>44766</v>
      </c>
      <c r="S5766" t="s">
        <v>44902</v>
      </c>
      <c r="T5766" t="s">
        <v>46405</v>
      </c>
      <c r="U5766" t="s">
        <v>51806</v>
      </c>
      <c r="W5766" t="s">
        <v>42786</v>
      </c>
      <c r="X5766" t="s">
        <v>44767</v>
      </c>
    </row>
    <row r="5767" spans="1:24">
      <c r="A5767">
        <f>HYPERLINK("https://www.philgeps.gov.ph/GEPSNONPILOT/Tender/SplashBidNoticeAbstractUI.aspx?menuIndex=3&amp;refID=7146639&amp;Result=3","7146639")</f>
        <v>0</v>
      </c>
      <c r="B5767" t="s">
        <v>920</v>
      </c>
      <c r="C5767" t="s">
        <v>9209</v>
      </c>
      <c r="D5767" t="s">
        <v>17959</v>
      </c>
      <c r="E5767" t="s">
        <v>23163</v>
      </c>
      <c r="F5767" t="s">
        <v>30900</v>
      </c>
      <c r="G5767" t="s">
        <v>30909</v>
      </c>
      <c r="H5767" t="s">
        <v>30916</v>
      </c>
      <c r="I5767" t="s">
        <v>4017</v>
      </c>
      <c r="J5767" t="s">
        <v>31112</v>
      </c>
      <c r="K5767" t="s">
        <v>40289</v>
      </c>
      <c r="M5767" t="s">
        <v>41500</v>
      </c>
      <c r="N5767" t="s">
        <v>44759</v>
      </c>
      <c r="O5767" t="s">
        <v>44760</v>
      </c>
      <c r="P5767">
        <v>0</v>
      </c>
      <c r="Q5767">
        <v>7</v>
      </c>
      <c r="R5767" t="s">
        <v>44766</v>
      </c>
      <c r="S5767" t="s">
        <v>44902</v>
      </c>
      <c r="T5767" t="s">
        <v>46704</v>
      </c>
      <c r="U5767" t="s">
        <v>51807</v>
      </c>
      <c r="W5767" t="s">
        <v>41500</v>
      </c>
      <c r="X5767" t="s">
        <v>44767</v>
      </c>
    </row>
    <row r="5768" spans="1:24">
      <c r="A5768">
        <f>HYPERLINK("https://www.philgeps.gov.ph/GEPSNONPILOT/Tender/SplashBidNoticeAbstractUI.aspx?menuIndex=3&amp;refID=7146654&amp;Result=3","7146654")</f>
        <v>0</v>
      </c>
      <c r="B5768" t="s">
        <v>2088</v>
      </c>
      <c r="C5768" t="s">
        <v>9210</v>
      </c>
      <c r="D5768" t="s">
        <v>17978</v>
      </c>
      <c r="E5768" t="s">
        <v>23164</v>
      </c>
      <c r="F5768" t="s">
        <v>30900</v>
      </c>
      <c r="G5768" t="s">
        <v>30907</v>
      </c>
      <c r="H5768" t="s">
        <v>30915</v>
      </c>
      <c r="I5768" t="s">
        <v>30919</v>
      </c>
      <c r="J5768" t="s">
        <v>31907</v>
      </c>
      <c r="K5768" t="s">
        <v>40293</v>
      </c>
      <c r="M5768" t="s">
        <v>42787</v>
      </c>
      <c r="N5768" t="s">
        <v>44759</v>
      </c>
      <c r="O5768" t="s">
        <v>44760</v>
      </c>
      <c r="P5768">
        <v>0</v>
      </c>
      <c r="Q5768">
        <v>0</v>
      </c>
      <c r="R5768" t="s">
        <v>44766</v>
      </c>
      <c r="S5768" t="s">
        <v>44902</v>
      </c>
      <c r="T5768" t="s">
        <v>46428</v>
      </c>
      <c r="U5768" t="s">
        <v>51808</v>
      </c>
      <c r="V5768" t="s">
        <v>59753</v>
      </c>
      <c r="W5768" t="s">
        <v>60881</v>
      </c>
      <c r="X5768" t="s">
        <v>44767</v>
      </c>
    </row>
    <row r="5769" spans="1:24">
      <c r="A5769">
        <f>HYPERLINK("https://www.philgeps.gov.ph/GEPSNONPILOT/Tender/SplashBidNoticeAbstractUI.aspx?menuIndex=3&amp;refID=7146719&amp;Result=3","7146719")</f>
        <v>0</v>
      </c>
      <c r="B5769" t="s">
        <v>2089</v>
      </c>
      <c r="C5769" t="s">
        <v>9211</v>
      </c>
      <c r="D5769" t="s">
        <v>18013</v>
      </c>
      <c r="E5769" t="s">
        <v>18282</v>
      </c>
      <c r="F5769" t="s">
        <v>30900</v>
      </c>
      <c r="G5769" t="s">
        <v>30908</v>
      </c>
      <c r="H5769" t="s">
        <v>30916</v>
      </c>
      <c r="I5769" t="s">
        <v>8123</v>
      </c>
      <c r="J5769" t="s">
        <v>34834</v>
      </c>
      <c r="K5769" t="s">
        <v>40283</v>
      </c>
      <c r="M5769" t="s">
        <v>42788</v>
      </c>
      <c r="N5769" t="s">
        <v>44759</v>
      </c>
      <c r="O5769" t="s">
        <v>44760</v>
      </c>
      <c r="P5769">
        <v>0</v>
      </c>
      <c r="Q5769">
        <v>0</v>
      </c>
      <c r="R5769" t="s">
        <v>44766</v>
      </c>
      <c r="S5769" t="s">
        <v>44902</v>
      </c>
      <c r="T5769" t="s">
        <v>46612</v>
      </c>
      <c r="U5769" t="s">
        <v>51809</v>
      </c>
      <c r="W5769" t="s">
        <v>42788</v>
      </c>
      <c r="X5769" t="s">
        <v>44767</v>
      </c>
    </row>
    <row r="5770" spans="1:24">
      <c r="A5770">
        <f>HYPERLINK("https://www.philgeps.gov.ph/GEPSNONPILOT/Tender/SplashBidNoticeAbstractUI.aspx?menuIndex=3&amp;refID=7146714&amp;Result=3","7146714")</f>
        <v>0</v>
      </c>
      <c r="B5770" t="s">
        <v>591</v>
      </c>
      <c r="C5770" t="s">
        <v>9212</v>
      </c>
      <c r="D5770" t="s">
        <v>17998</v>
      </c>
      <c r="E5770" t="s">
        <v>23165</v>
      </c>
      <c r="F5770" t="s">
        <v>30900</v>
      </c>
      <c r="G5770" t="s">
        <v>30907</v>
      </c>
      <c r="H5770" t="s">
        <v>30916</v>
      </c>
      <c r="I5770" t="s">
        <v>8123</v>
      </c>
      <c r="J5770" t="s">
        <v>31257</v>
      </c>
      <c r="K5770" t="s">
        <v>40286</v>
      </c>
      <c r="M5770" t="s">
        <v>41247</v>
      </c>
      <c r="N5770" t="s">
        <v>44759</v>
      </c>
      <c r="O5770" t="s">
        <v>44760</v>
      </c>
      <c r="P5770">
        <v>0</v>
      </c>
      <c r="Q5770">
        <v>0</v>
      </c>
      <c r="R5770" t="s">
        <v>44766</v>
      </c>
      <c r="S5770" t="s">
        <v>44902</v>
      </c>
      <c r="T5770" t="s">
        <v>46389</v>
      </c>
      <c r="U5770" t="s">
        <v>47975</v>
      </c>
      <c r="V5770" t="s">
        <v>59259</v>
      </c>
      <c r="W5770" t="s">
        <v>41247</v>
      </c>
      <c r="X5770" t="s">
        <v>44767</v>
      </c>
    </row>
    <row r="5771" spans="1:24">
      <c r="A5771">
        <f>HYPERLINK("https://www.philgeps.gov.ph/GEPSNONPILOT/Tender/SplashBidNoticeAbstractUI.aspx?menuIndex=3&amp;refID=7146643&amp;Result=3","7146643")</f>
        <v>0</v>
      </c>
      <c r="B5771" t="s">
        <v>2090</v>
      </c>
      <c r="C5771" t="s">
        <v>9213</v>
      </c>
      <c r="D5771" t="s">
        <v>17987</v>
      </c>
      <c r="E5771" t="s">
        <v>23166</v>
      </c>
      <c r="F5771" t="s">
        <v>30900</v>
      </c>
      <c r="G5771" t="s">
        <v>30908</v>
      </c>
      <c r="H5771" t="s">
        <v>30916</v>
      </c>
      <c r="I5771" t="s">
        <v>4545</v>
      </c>
      <c r="J5771" t="s">
        <v>31951</v>
      </c>
      <c r="K5771" t="s">
        <v>40344</v>
      </c>
      <c r="L5771" t="s">
        <v>2090</v>
      </c>
      <c r="M5771" t="s">
        <v>42789</v>
      </c>
      <c r="N5771" t="s">
        <v>44759</v>
      </c>
      <c r="O5771" t="s">
        <v>44760</v>
      </c>
      <c r="P5771">
        <v>0</v>
      </c>
      <c r="Q5771">
        <v>1</v>
      </c>
      <c r="R5771" t="s">
        <v>44766</v>
      </c>
      <c r="S5771" t="s">
        <v>44902</v>
      </c>
      <c r="T5771" t="s">
        <v>46398</v>
      </c>
      <c r="U5771" t="s">
        <v>51810</v>
      </c>
      <c r="V5771" t="s">
        <v>59754</v>
      </c>
      <c r="W5771" t="s">
        <v>42789</v>
      </c>
      <c r="X5771" t="s">
        <v>44767</v>
      </c>
    </row>
    <row r="5772" spans="1:24">
      <c r="A5772">
        <f>HYPERLINK("https://www.philgeps.gov.ph/GEPSNONPILOT/Tender/SplashBidNoticeAbstractUI.aspx?menuIndex=3&amp;refID=7146665&amp;Result=3","7146665")</f>
        <v>0</v>
      </c>
      <c r="B5772" t="s">
        <v>348</v>
      </c>
      <c r="C5772" t="s">
        <v>9214</v>
      </c>
      <c r="D5772" t="s">
        <v>17957</v>
      </c>
      <c r="E5772" t="s">
        <v>23167</v>
      </c>
      <c r="F5772" t="s">
        <v>30900</v>
      </c>
      <c r="G5772" t="s">
        <v>30908</v>
      </c>
      <c r="H5772" t="s">
        <v>30917</v>
      </c>
      <c r="I5772" t="s">
        <v>4545</v>
      </c>
      <c r="J5772" t="s">
        <v>31717</v>
      </c>
      <c r="K5772" t="s">
        <v>40284</v>
      </c>
      <c r="M5772" t="s">
        <v>42325</v>
      </c>
      <c r="N5772" t="s">
        <v>44759</v>
      </c>
      <c r="O5772" t="s">
        <v>44760</v>
      </c>
      <c r="P5772">
        <v>0</v>
      </c>
      <c r="Q5772">
        <v>1</v>
      </c>
      <c r="R5772" t="s">
        <v>44766</v>
      </c>
      <c r="S5772" t="s">
        <v>44902</v>
      </c>
      <c r="T5772" t="s">
        <v>46410</v>
      </c>
      <c r="U5772" t="s">
        <v>51811</v>
      </c>
      <c r="W5772" t="s">
        <v>42325</v>
      </c>
      <c r="X5772" t="s">
        <v>44767</v>
      </c>
    </row>
    <row r="5773" spans="1:24">
      <c r="A5773">
        <f>HYPERLINK("https://www.philgeps.gov.ph/GEPSNONPILOT/Tender/SplashBidNoticeAbstractUI.aspx?menuIndex=3&amp;refID=7146721&amp;Result=3","7146721")</f>
        <v>0</v>
      </c>
      <c r="B5773" t="s">
        <v>768</v>
      </c>
      <c r="C5773" t="s">
        <v>9215</v>
      </c>
      <c r="D5773" t="s">
        <v>17979</v>
      </c>
      <c r="E5773" t="s">
        <v>23168</v>
      </c>
      <c r="F5773" t="s">
        <v>30900</v>
      </c>
      <c r="G5773" t="s">
        <v>30908</v>
      </c>
      <c r="H5773" t="s">
        <v>30916</v>
      </c>
      <c r="I5773" t="s">
        <v>30923</v>
      </c>
      <c r="J5773" t="s">
        <v>34835</v>
      </c>
      <c r="K5773" t="s">
        <v>40286</v>
      </c>
      <c r="M5773" t="s">
        <v>41334</v>
      </c>
      <c r="N5773" t="s">
        <v>44759</v>
      </c>
      <c r="O5773" t="s">
        <v>44760</v>
      </c>
      <c r="P5773">
        <v>0</v>
      </c>
      <c r="Q5773">
        <v>8</v>
      </c>
      <c r="R5773" t="s">
        <v>44766</v>
      </c>
      <c r="S5773" t="s">
        <v>44902</v>
      </c>
      <c r="T5773" t="s">
        <v>46612</v>
      </c>
      <c r="U5773" t="s">
        <v>51812</v>
      </c>
      <c r="W5773" t="s">
        <v>41334</v>
      </c>
      <c r="X5773" t="s">
        <v>44767</v>
      </c>
    </row>
    <row r="5774" spans="1:24">
      <c r="A5774">
        <f>HYPERLINK("https://www.philgeps.gov.ph/GEPSNONPILOT/Tender/SplashBidNoticeAbstractUI.aspx?menuIndex=3&amp;refID=7146705&amp;Result=3","7146705")</f>
        <v>0</v>
      </c>
      <c r="B5774" t="s">
        <v>1899</v>
      </c>
      <c r="C5774" t="s">
        <v>9216</v>
      </c>
      <c r="D5774" t="s">
        <v>17992</v>
      </c>
      <c r="E5774" t="s">
        <v>23012</v>
      </c>
      <c r="F5774" t="s">
        <v>30900</v>
      </c>
      <c r="G5774" t="s">
        <v>30907</v>
      </c>
      <c r="H5774" t="s">
        <v>30915</v>
      </c>
      <c r="I5774" t="s">
        <v>30919</v>
      </c>
      <c r="J5774" t="s">
        <v>34836</v>
      </c>
      <c r="K5774" t="s">
        <v>40283</v>
      </c>
      <c r="M5774" t="s">
        <v>42575</v>
      </c>
      <c r="N5774" t="s">
        <v>44759</v>
      </c>
      <c r="O5774" t="s">
        <v>44760</v>
      </c>
      <c r="P5774">
        <v>0</v>
      </c>
      <c r="Q5774">
        <v>0</v>
      </c>
      <c r="R5774" t="s">
        <v>44766</v>
      </c>
      <c r="S5774" t="s">
        <v>44902</v>
      </c>
      <c r="T5774" t="s">
        <v>46519</v>
      </c>
      <c r="U5774" t="s">
        <v>51813</v>
      </c>
      <c r="V5774" t="s">
        <v>59755</v>
      </c>
      <c r="W5774" t="s">
        <v>42575</v>
      </c>
      <c r="X5774" t="s">
        <v>44767</v>
      </c>
    </row>
    <row r="5775" spans="1:24">
      <c r="A5775">
        <f>HYPERLINK("https://www.philgeps.gov.ph/GEPSNONPILOT/Tender/SplashBidNoticeAbstractUI.aspx?menuIndex=3&amp;refID=7146718&amp;Result=3","7146718")</f>
        <v>0</v>
      </c>
      <c r="B5775" t="s">
        <v>2091</v>
      </c>
      <c r="C5775" t="s">
        <v>9217</v>
      </c>
      <c r="D5775" t="s">
        <v>17952</v>
      </c>
      <c r="E5775" t="s">
        <v>23169</v>
      </c>
      <c r="F5775" t="s">
        <v>30900</v>
      </c>
      <c r="G5775" t="s">
        <v>30910</v>
      </c>
      <c r="H5775" t="s">
        <v>30916</v>
      </c>
      <c r="I5775" t="s">
        <v>30924</v>
      </c>
      <c r="J5775" t="s">
        <v>31096</v>
      </c>
      <c r="K5775" t="s">
        <v>40287</v>
      </c>
      <c r="M5775" t="s">
        <v>42790</v>
      </c>
      <c r="N5775" t="s">
        <v>44759</v>
      </c>
      <c r="O5775" t="s">
        <v>44760</v>
      </c>
      <c r="P5775">
        <v>0</v>
      </c>
      <c r="Q5775">
        <v>2</v>
      </c>
      <c r="R5775" t="s">
        <v>44766</v>
      </c>
      <c r="S5775" t="s">
        <v>44902</v>
      </c>
      <c r="T5775" t="s">
        <v>46403</v>
      </c>
      <c r="U5775" t="s">
        <v>51814</v>
      </c>
      <c r="W5775" t="s">
        <v>42790</v>
      </c>
      <c r="X5775" t="s">
        <v>44767</v>
      </c>
    </row>
    <row r="5776" spans="1:24">
      <c r="A5776">
        <f>HYPERLINK("https://www.philgeps.gov.ph/GEPSNONPILOT/Tender/SplashBidNoticeAbstractUI.aspx?menuIndex=3&amp;refID=7146701&amp;Result=3","7146701")</f>
        <v>0</v>
      </c>
      <c r="B5776" t="s">
        <v>2091</v>
      </c>
      <c r="C5776" t="s">
        <v>9218</v>
      </c>
      <c r="D5776" t="s">
        <v>17952</v>
      </c>
      <c r="E5776" t="s">
        <v>23170</v>
      </c>
      <c r="F5776" t="s">
        <v>30900</v>
      </c>
      <c r="G5776" t="s">
        <v>30908</v>
      </c>
      <c r="H5776" t="s">
        <v>30916</v>
      </c>
      <c r="I5776" t="s">
        <v>30919</v>
      </c>
      <c r="J5776" t="s">
        <v>32332</v>
      </c>
      <c r="K5776" t="s">
        <v>40287</v>
      </c>
      <c r="M5776" t="s">
        <v>42790</v>
      </c>
      <c r="N5776" t="s">
        <v>44759</v>
      </c>
      <c r="O5776" t="s">
        <v>44760</v>
      </c>
      <c r="P5776">
        <v>0</v>
      </c>
      <c r="Q5776">
        <v>1</v>
      </c>
      <c r="R5776" t="s">
        <v>44766</v>
      </c>
      <c r="S5776" t="s">
        <v>44902</v>
      </c>
      <c r="T5776" t="s">
        <v>46403</v>
      </c>
      <c r="U5776" t="s">
        <v>51815</v>
      </c>
      <c r="W5776" t="s">
        <v>42790</v>
      </c>
      <c r="X5776" t="s">
        <v>44767</v>
      </c>
    </row>
    <row r="5777" spans="1:24">
      <c r="A5777">
        <f>HYPERLINK("https://www.philgeps.gov.ph/GEPSNONPILOT/Tender/SplashBidNoticeAbstractUI.aspx?menuIndex=3&amp;refID=7146698&amp;Result=3","7146698")</f>
        <v>0</v>
      </c>
      <c r="B5777" t="s">
        <v>2092</v>
      </c>
      <c r="C5777" t="s">
        <v>9219</v>
      </c>
      <c r="D5777" t="s">
        <v>17981</v>
      </c>
      <c r="E5777" t="s">
        <v>23171</v>
      </c>
      <c r="F5777" t="s">
        <v>30900</v>
      </c>
      <c r="G5777" t="s">
        <v>30907</v>
      </c>
      <c r="H5777" t="s">
        <v>30916</v>
      </c>
      <c r="I5777" t="s">
        <v>8123</v>
      </c>
      <c r="J5777" t="s">
        <v>34837</v>
      </c>
      <c r="K5777" t="s">
        <v>40284</v>
      </c>
      <c r="L5777" t="s">
        <v>2092</v>
      </c>
      <c r="M5777" t="s">
        <v>42791</v>
      </c>
      <c r="N5777" t="s">
        <v>44759</v>
      </c>
      <c r="O5777" t="s">
        <v>44760</v>
      </c>
      <c r="P5777">
        <v>0</v>
      </c>
      <c r="Q5777">
        <v>4</v>
      </c>
      <c r="R5777" t="s">
        <v>44766</v>
      </c>
      <c r="S5777" t="s">
        <v>44902</v>
      </c>
      <c r="T5777" t="s">
        <v>46421</v>
      </c>
      <c r="U5777" t="s">
        <v>51816</v>
      </c>
      <c r="W5777" t="s">
        <v>42791</v>
      </c>
      <c r="X5777" t="s">
        <v>44767</v>
      </c>
    </row>
    <row r="5778" spans="1:24">
      <c r="A5778">
        <f>HYPERLINK("https://www.philgeps.gov.ph/GEPSNONPILOT/Tender/SplashBidNoticeAbstractUI.aspx?menuIndex=3&amp;refID=7146710&amp;Result=3","7146710")</f>
        <v>0</v>
      </c>
      <c r="B5778" t="s">
        <v>1414</v>
      </c>
      <c r="C5778" t="s">
        <v>9220</v>
      </c>
      <c r="D5778" t="s">
        <v>17977</v>
      </c>
      <c r="E5778" t="s">
        <v>23172</v>
      </c>
      <c r="F5778" t="s">
        <v>30900</v>
      </c>
      <c r="G5778" t="s">
        <v>30909</v>
      </c>
      <c r="H5778" t="s">
        <v>30916</v>
      </c>
      <c r="I5778" t="s">
        <v>30924</v>
      </c>
      <c r="J5778" t="s">
        <v>31101</v>
      </c>
      <c r="K5778" t="s">
        <v>40286</v>
      </c>
      <c r="M5778" t="s">
        <v>42043</v>
      </c>
      <c r="N5778" t="s">
        <v>44759</v>
      </c>
      <c r="O5778" t="s">
        <v>44760</v>
      </c>
      <c r="Q5778">
        <v>8</v>
      </c>
      <c r="R5778" t="s">
        <v>44766</v>
      </c>
      <c r="S5778" t="s">
        <v>44931</v>
      </c>
      <c r="T5778" t="s">
        <v>46391</v>
      </c>
      <c r="U5778" t="s">
        <v>49834</v>
      </c>
      <c r="W5778" t="s">
        <v>42043</v>
      </c>
      <c r="X5778" t="s">
        <v>44767</v>
      </c>
    </row>
    <row r="5779" spans="1:24">
      <c r="A5779">
        <f>HYPERLINK("https://www.philgeps.gov.ph/GEPSNONPILOT/Tender/SplashBidNoticeAbstractUI.aspx?menuIndex=3&amp;refID=7146695&amp;Result=3","7146695")</f>
        <v>0</v>
      </c>
      <c r="B5779" t="s">
        <v>172</v>
      </c>
      <c r="C5779" t="s">
        <v>9221</v>
      </c>
      <c r="D5779" t="s">
        <v>17979</v>
      </c>
      <c r="E5779" t="s">
        <v>23173</v>
      </c>
      <c r="F5779" t="s">
        <v>30900</v>
      </c>
      <c r="G5779" t="s">
        <v>30910</v>
      </c>
      <c r="H5779" t="s">
        <v>30916</v>
      </c>
      <c r="I5779" t="s">
        <v>6953</v>
      </c>
      <c r="J5779" t="s">
        <v>34838</v>
      </c>
      <c r="K5779" t="s">
        <v>40286</v>
      </c>
      <c r="M5779" t="s">
        <v>40719</v>
      </c>
      <c r="N5779" t="s">
        <v>44759</v>
      </c>
      <c r="O5779" t="s">
        <v>44760</v>
      </c>
      <c r="P5779">
        <v>0</v>
      </c>
      <c r="Q5779">
        <v>3</v>
      </c>
      <c r="R5779" t="s">
        <v>44766</v>
      </c>
      <c r="S5779" t="s">
        <v>44902</v>
      </c>
      <c r="T5779" t="s">
        <v>46547</v>
      </c>
      <c r="U5779" t="s">
        <v>47201</v>
      </c>
      <c r="W5779" t="s">
        <v>40719</v>
      </c>
      <c r="X5779" t="s">
        <v>44767</v>
      </c>
    </row>
    <row r="5780" spans="1:24">
      <c r="A5780">
        <f>HYPERLINK("https://www.philgeps.gov.ph/GEPSNONPILOT/Tender/SplashBidNoticeAbstractUI.aspx?menuIndex=3&amp;refID=7146706&amp;Result=3","7146706")</f>
        <v>0</v>
      </c>
      <c r="B5780" t="s">
        <v>2093</v>
      </c>
      <c r="C5780" t="s">
        <v>9222</v>
      </c>
      <c r="D5780" t="s">
        <v>17955</v>
      </c>
      <c r="E5780" t="s">
        <v>18158</v>
      </c>
      <c r="F5780" t="s">
        <v>30900</v>
      </c>
      <c r="G5780" t="s">
        <v>30907</v>
      </c>
      <c r="H5780" t="s">
        <v>30917</v>
      </c>
      <c r="I5780" t="s">
        <v>30942</v>
      </c>
      <c r="J5780" t="s">
        <v>34839</v>
      </c>
      <c r="K5780" t="s">
        <v>40287</v>
      </c>
      <c r="M5780" t="s">
        <v>42792</v>
      </c>
      <c r="N5780" t="s">
        <v>44759</v>
      </c>
      <c r="O5780" t="s">
        <v>44760</v>
      </c>
      <c r="P5780">
        <v>0</v>
      </c>
      <c r="Q5780">
        <v>2</v>
      </c>
      <c r="R5780" t="s">
        <v>44766</v>
      </c>
      <c r="S5780" t="s">
        <v>44902</v>
      </c>
      <c r="T5780" t="s">
        <v>46398</v>
      </c>
      <c r="U5780" t="s">
        <v>51817</v>
      </c>
      <c r="W5780" t="s">
        <v>42792</v>
      </c>
      <c r="X5780" t="s">
        <v>44767</v>
      </c>
    </row>
    <row r="5781" spans="1:24">
      <c r="A5781">
        <f>HYPERLINK("https://www.philgeps.gov.ph/GEPSNONPILOT/Tender/SplashBidNoticeAbstractUI.aspx?menuIndex=3&amp;refID=7146691&amp;Result=3","7146691")</f>
        <v>0</v>
      </c>
      <c r="B5781" t="s">
        <v>2094</v>
      </c>
      <c r="C5781" t="s">
        <v>9223</v>
      </c>
      <c r="D5781" t="s">
        <v>17962</v>
      </c>
      <c r="E5781" t="s">
        <v>23174</v>
      </c>
      <c r="F5781" t="s">
        <v>30900</v>
      </c>
      <c r="G5781" t="s">
        <v>30907</v>
      </c>
      <c r="H5781" t="s">
        <v>30915</v>
      </c>
      <c r="I5781" t="s">
        <v>30919</v>
      </c>
      <c r="J5781" t="s">
        <v>34840</v>
      </c>
      <c r="K5781" t="s">
        <v>40391</v>
      </c>
      <c r="M5781" t="s">
        <v>42793</v>
      </c>
      <c r="N5781" t="s">
        <v>44759</v>
      </c>
      <c r="O5781" t="s">
        <v>44760</v>
      </c>
      <c r="P5781">
        <v>0</v>
      </c>
      <c r="Q5781">
        <v>0</v>
      </c>
      <c r="R5781" t="s">
        <v>44766</v>
      </c>
      <c r="S5781" t="s">
        <v>44902</v>
      </c>
      <c r="T5781" t="s">
        <v>46455</v>
      </c>
      <c r="U5781" t="s">
        <v>51818</v>
      </c>
      <c r="V5781" t="s">
        <v>59756</v>
      </c>
      <c r="W5781" t="s">
        <v>42793</v>
      </c>
      <c r="X5781" t="s">
        <v>44767</v>
      </c>
    </row>
    <row r="5782" spans="1:24">
      <c r="A5782">
        <f>HYPERLINK("https://www.philgeps.gov.ph/GEPSNONPILOT/Tender/SplashBidNoticeAbstractUI.aspx?menuIndex=3&amp;refID=7146702&amp;Result=3","7146702")</f>
        <v>0</v>
      </c>
      <c r="B5782" t="s">
        <v>2095</v>
      </c>
      <c r="C5782" t="s">
        <v>9224</v>
      </c>
      <c r="D5782" t="s">
        <v>17975</v>
      </c>
      <c r="E5782" t="s">
        <v>20247</v>
      </c>
      <c r="F5782" t="s">
        <v>30900</v>
      </c>
      <c r="G5782" t="s">
        <v>30907</v>
      </c>
      <c r="H5782" t="s">
        <v>30915</v>
      </c>
      <c r="I5782" t="s">
        <v>30919</v>
      </c>
      <c r="J5782" t="s">
        <v>34841</v>
      </c>
      <c r="K5782" t="s">
        <v>40358</v>
      </c>
      <c r="M5782" t="s">
        <v>42794</v>
      </c>
      <c r="N5782" t="s">
        <v>44759</v>
      </c>
      <c r="O5782" t="s">
        <v>44760</v>
      </c>
      <c r="P5782">
        <v>0</v>
      </c>
      <c r="Q5782">
        <v>2</v>
      </c>
      <c r="R5782" t="s">
        <v>44766</v>
      </c>
      <c r="S5782" t="s">
        <v>44902</v>
      </c>
      <c r="T5782" t="s">
        <v>46450</v>
      </c>
      <c r="U5782" t="s">
        <v>51819</v>
      </c>
      <c r="W5782" t="s">
        <v>42794</v>
      </c>
      <c r="X5782" t="s">
        <v>44767</v>
      </c>
    </row>
    <row r="5783" spans="1:24">
      <c r="A5783">
        <f>HYPERLINK("https://www.philgeps.gov.ph/GEPSNONPILOT/Tender/SplashBidNoticeAbstractUI.aspx?menuIndex=3&amp;refID=7145542&amp;Result=3","7145542")</f>
        <v>0</v>
      </c>
      <c r="B5783" t="s">
        <v>1949</v>
      </c>
      <c r="C5783" t="s">
        <v>9225</v>
      </c>
      <c r="D5783" t="s">
        <v>17979</v>
      </c>
      <c r="E5783" t="s">
        <v>23175</v>
      </c>
      <c r="F5783" t="s">
        <v>30900</v>
      </c>
      <c r="G5783" t="s">
        <v>30909</v>
      </c>
      <c r="H5783" t="s">
        <v>30916</v>
      </c>
      <c r="I5783" t="s">
        <v>8123</v>
      </c>
      <c r="J5783" t="s">
        <v>34842</v>
      </c>
      <c r="K5783" t="s">
        <v>40284</v>
      </c>
      <c r="M5783" t="s">
        <v>42631</v>
      </c>
      <c r="N5783" t="s">
        <v>44759</v>
      </c>
      <c r="O5783" t="s">
        <v>44760</v>
      </c>
      <c r="P5783">
        <v>0</v>
      </c>
      <c r="Q5783">
        <v>1</v>
      </c>
      <c r="R5783" t="s">
        <v>44766</v>
      </c>
      <c r="S5783" t="s">
        <v>44902</v>
      </c>
      <c r="T5783" t="s">
        <v>46533</v>
      </c>
      <c r="U5783" t="s">
        <v>51820</v>
      </c>
      <c r="W5783" t="s">
        <v>42631</v>
      </c>
      <c r="X5783" t="s">
        <v>44767</v>
      </c>
    </row>
    <row r="5784" spans="1:24">
      <c r="A5784">
        <f>HYPERLINK("https://www.philgeps.gov.ph/GEPSNONPILOT/Tender/SplashBidNoticeAbstractUI.aspx?menuIndex=3&amp;refID=7146747&amp;Result=3","7146747")</f>
        <v>0</v>
      </c>
      <c r="B5784" t="s">
        <v>2096</v>
      </c>
      <c r="C5784" t="s">
        <v>9226</v>
      </c>
      <c r="D5784" t="s">
        <v>17959</v>
      </c>
      <c r="E5784" t="s">
        <v>23176</v>
      </c>
      <c r="F5784" t="s">
        <v>30900</v>
      </c>
      <c r="G5784" t="s">
        <v>30907</v>
      </c>
      <c r="H5784" t="s">
        <v>30916</v>
      </c>
      <c r="I5784" t="s">
        <v>4108</v>
      </c>
      <c r="J5784" t="s">
        <v>31243</v>
      </c>
      <c r="K5784" t="s">
        <v>40289</v>
      </c>
      <c r="M5784" t="s">
        <v>42795</v>
      </c>
      <c r="N5784" t="s">
        <v>44759</v>
      </c>
      <c r="O5784" t="s">
        <v>44760</v>
      </c>
      <c r="P5784">
        <v>0</v>
      </c>
      <c r="Q5784">
        <v>2</v>
      </c>
      <c r="R5784" t="s">
        <v>44766</v>
      </c>
      <c r="S5784" t="s">
        <v>44902</v>
      </c>
      <c r="T5784" t="s">
        <v>46457</v>
      </c>
      <c r="U5784" t="s">
        <v>51821</v>
      </c>
      <c r="W5784" t="s">
        <v>42795</v>
      </c>
      <c r="X5784" t="s">
        <v>44767</v>
      </c>
    </row>
    <row r="5785" spans="1:24">
      <c r="A5785">
        <f>HYPERLINK("https://www.philgeps.gov.ph/GEPSNONPILOT/Tender/SplashBidNoticeAbstractUI.aspx?menuIndex=3&amp;refID=7146696&amp;Result=3","7146696")</f>
        <v>0</v>
      </c>
      <c r="B5785" t="s">
        <v>595</v>
      </c>
      <c r="C5785" t="s">
        <v>9227</v>
      </c>
      <c r="D5785" t="s">
        <v>17953</v>
      </c>
      <c r="E5785" t="s">
        <v>23177</v>
      </c>
      <c r="F5785" t="s">
        <v>30900</v>
      </c>
      <c r="G5785" t="s">
        <v>30908</v>
      </c>
      <c r="H5785" t="s">
        <v>30916</v>
      </c>
      <c r="I5785" t="s">
        <v>30939</v>
      </c>
      <c r="J5785" t="s">
        <v>32321</v>
      </c>
      <c r="K5785" t="s">
        <v>40283</v>
      </c>
      <c r="M5785" t="s">
        <v>41157</v>
      </c>
      <c r="N5785" t="s">
        <v>44759</v>
      </c>
      <c r="O5785" t="s">
        <v>44760</v>
      </c>
      <c r="P5785">
        <v>0</v>
      </c>
      <c r="Q5785">
        <v>0</v>
      </c>
      <c r="R5785" t="s">
        <v>44766</v>
      </c>
      <c r="S5785" t="s">
        <v>44902</v>
      </c>
      <c r="T5785" t="s">
        <v>46722</v>
      </c>
      <c r="U5785" t="s">
        <v>51822</v>
      </c>
      <c r="W5785" t="s">
        <v>41157</v>
      </c>
      <c r="X5785" t="s">
        <v>44767</v>
      </c>
    </row>
    <row r="5786" spans="1:24">
      <c r="A5786">
        <f>HYPERLINK("https://www.philgeps.gov.ph/GEPSNONPILOT/Tender/SplashBidNoticeAbstractUI.aspx?menuIndex=3&amp;refID=7146708&amp;Result=3","7146708")</f>
        <v>0</v>
      </c>
      <c r="B5786" t="s">
        <v>2097</v>
      </c>
      <c r="C5786" t="s">
        <v>9228</v>
      </c>
      <c r="D5786" t="s">
        <v>18012</v>
      </c>
      <c r="E5786" t="s">
        <v>18214</v>
      </c>
      <c r="F5786" t="s">
        <v>30900</v>
      </c>
      <c r="G5786" t="s">
        <v>30907</v>
      </c>
      <c r="H5786" t="s">
        <v>30916</v>
      </c>
      <c r="I5786" t="s">
        <v>8123</v>
      </c>
      <c r="J5786" t="s">
        <v>31204</v>
      </c>
      <c r="K5786" t="s">
        <v>40284</v>
      </c>
      <c r="M5786" t="s">
        <v>42796</v>
      </c>
      <c r="N5786" t="s">
        <v>44759</v>
      </c>
      <c r="O5786" t="s">
        <v>44760</v>
      </c>
      <c r="P5786">
        <v>0</v>
      </c>
      <c r="Q5786">
        <v>1</v>
      </c>
      <c r="R5786" t="s">
        <v>44766</v>
      </c>
      <c r="S5786" t="s">
        <v>44902</v>
      </c>
      <c r="T5786" t="s">
        <v>46412</v>
      </c>
      <c r="U5786" t="s">
        <v>51823</v>
      </c>
      <c r="V5786" t="s">
        <v>59322</v>
      </c>
      <c r="W5786" t="s">
        <v>42796</v>
      </c>
      <c r="X5786" t="s">
        <v>44767</v>
      </c>
    </row>
    <row r="5787" spans="1:24">
      <c r="A5787">
        <f>HYPERLINK("https://www.philgeps.gov.ph/GEPSNONPILOT/Tender/SplashBidNoticeAbstractUI.aspx?menuIndex=3&amp;refID=7146757&amp;Result=3","7146757")</f>
        <v>0</v>
      </c>
      <c r="B5787" t="s">
        <v>591</v>
      </c>
      <c r="C5787" t="s">
        <v>9229</v>
      </c>
      <c r="D5787" t="s">
        <v>17998</v>
      </c>
      <c r="E5787" t="s">
        <v>23178</v>
      </c>
      <c r="F5787" t="s">
        <v>30900</v>
      </c>
      <c r="G5787" t="s">
        <v>30907</v>
      </c>
      <c r="H5787" t="s">
        <v>30916</v>
      </c>
      <c r="I5787" t="s">
        <v>8123</v>
      </c>
      <c r="J5787" t="s">
        <v>31257</v>
      </c>
      <c r="K5787" t="s">
        <v>40286</v>
      </c>
      <c r="M5787" t="s">
        <v>41247</v>
      </c>
      <c r="N5787" t="s">
        <v>44759</v>
      </c>
      <c r="O5787" t="s">
        <v>44760</v>
      </c>
      <c r="P5787">
        <v>0</v>
      </c>
      <c r="Q5787">
        <v>0</v>
      </c>
      <c r="R5787" t="s">
        <v>44766</v>
      </c>
      <c r="S5787" t="s">
        <v>44902</v>
      </c>
      <c r="T5787" t="s">
        <v>46389</v>
      </c>
      <c r="U5787" t="s">
        <v>47975</v>
      </c>
      <c r="V5787" t="s">
        <v>59259</v>
      </c>
      <c r="W5787" t="s">
        <v>41247</v>
      </c>
      <c r="X5787" t="s">
        <v>44767</v>
      </c>
    </row>
    <row r="5788" spans="1:24">
      <c r="A5788">
        <f>HYPERLINK("https://www.philgeps.gov.ph/GEPSNONPILOT/Tender/SplashBidNoticeAbstractUI.aspx?menuIndex=3&amp;refID=7146694&amp;Result=3","7146694")</f>
        <v>0</v>
      </c>
      <c r="B5788" t="s">
        <v>1414</v>
      </c>
      <c r="C5788" t="s">
        <v>9230</v>
      </c>
      <c r="D5788" t="s">
        <v>17977</v>
      </c>
      <c r="E5788" t="s">
        <v>23179</v>
      </c>
      <c r="F5788" t="s">
        <v>30900</v>
      </c>
      <c r="G5788" t="s">
        <v>30909</v>
      </c>
      <c r="H5788" t="s">
        <v>30916</v>
      </c>
      <c r="I5788" t="s">
        <v>30970</v>
      </c>
      <c r="J5788" t="s">
        <v>31552</v>
      </c>
      <c r="K5788" t="s">
        <v>40286</v>
      </c>
      <c r="M5788" t="s">
        <v>42043</v>
      </c>
      <c r="N5788" t="s">
        <v>44759</v>
      </c>
      <c r="O5788" t="s">
        <v>44760</v>
      </c>
      <c r="Q5788">
        <v>6</v>
      </c>
      <c r="R5788" t="s">
        <v>44766</v>
      </c>
      <c r="S5788" t="s">
        <v>44931</v>
      </c>
      <c r="T5788" t="s">
        <v>46391</v>
      </c>
      <c r="U5788" t="s">
        <v>49834</v>
      </c>
      <c r="W5788" t="s">
        <v>42043</v>
      </c>
      <c r="X5788" t="s">
        <v>44767</v>
      </c>
    </row>
    <row r="5789" spans="1:24">
      <c r="A5789">
        <f>HYPERLINK("https://www.philgeps.gov.ph/GEPSNONPILOT/Tender/SplashBidNoticeAbstractUI.aspx?menuIndex=3&amp;refID=7146692&amp;Result=3","7146692")</f>
        <v>0</v>
      </c>
      <c r="B5789" t="s">
        <v>2098</v>
      </c>
      <c r="C5789" t="s">
        <v>9231</v>
      </c>
      <c r="E5789" t="s">
        <v>23180</v>
      </c>
      <c r="F5789" t="s">
        <v>30900</v>
      </c>
      <c r="G5789" t="s">
        <v>30909</v>
      </c>
      <c r="H5789" t="s">
        <v>30916</v>
      </c>
      <c r="I5789" t="s">
        <v>4108</v>
      </c>
      <c r="J5789" t="s">
        <v>34843</v>
      </c>
      <c r="K5789" t="s">
        <v>40288</v>
      </c>
      <c r="M5789" t="s">
        <v>42797</v>
      </c>
      <c r="N5789" t="s">
        <v>44759</v>
      </c>
      <c r="O5789" t="s">
        <v>44760</v>
      </c>
      <c r="P5789">
        <v>0</v>
      </c>
      <c r="Q5789">
        <v>0</v>
      </c>
      <c r="R5789" t="s">
        <v>44766</v>
      </c>
      <c r="S5789" t="s">
        <v>44902</v>
      </c>
      <c r="T5789" t="s">
        <v>46625</v>
      </c>
      <c r="U5789" t="s">
        <v>51824</v>
      </c>
      <c r="W5789" t="s">
        <v>42797</v>
      </c>
      <c r="X5789" t="s">
        <v>44767</v>
      </c>
    </row>
    <row r="5790" spans="1:24">
      <c r="A5790">
        <f>HYPERLINK("https://www.philgeps.gov.ph/GEPSNONPILOT/Tender/SplashBidNoticeAbstractUI.aspx?menuIndex=3&amp;refID=7146755&amp;Result=3","7146755")</f>
        <v>0</v>
      </c>
      <c r="B5790" t="s">
        <v>1414</v>
      </c>
      <c r="C5790" t="s">
        <v>9232</v>
      </c>
      <c r="D5790" t="s">
        <v>17977</v>
      </c>
      <c r="E5790" t="s">
        <v>23181</v>
      </c>
      <c r="F5790" t="s">
        <v>30900</v>
      </c>
      <c r="G5790" t="s">
        <v>30908</v>
      </c>
      <c r="H5790" t="s">
        <v>30916</v>
      </c>
      <c r="I5790" t="s">
        <v>31000</v>
      </c>
      <c r="J5790" t="s">
        <v>34844</v>
      </c>
      <c r="K5790" t="s">
        <v>40286</v>
      </c>
      <c r="M5790" t="s">
        <v>42043</v>
      </c>
      <c r="N5790" t="s">
        <v>44759</v>
      </c>
      <c r="O5790" t="s">
        <v>44760</v>
      </c>
      <c r="Q5790">
        <v>1</v>
      </c>
      <c r="R5790" t="s">
        <v>44766</v>
      </c>
      <c r="S5790" t="s">
        <v>44875</v>
      </c>
      <c r="T5790" t="s">
        <v>46398</v>
      </c>
      <c r="U5790" t="s">
        <v>49834</v>
      </c>
      <c r="W5790" t="s">
        <v>42043</v>
      </c>
      <c r="X5790" t="s">
        <v>44767</v>
      </c>
    </row>
    <row r="5791" spans="1:24">
      <c r="A5791">
        <f>HYPERLINK("https://www.philgeps.gov.ph/GEPSNONPILOT/Tender/SplashBidNoticeAbstractUI.aspx?menuIndex=3&amp;refID=7146686&amp;Result=3","7146686")</f>
        <v>0</v>
      </c>
      <c r="B5791" t="s">
        <v>748</v>
      </c>
      <c r="C5791" t="s">
        <v>9233</v>
      </c>
      <c r="D5791" t="s">
        <v>18019</v>
      </c>
      <c r="E5791" t="s">
        <v>23182</v>
      </c>
      <c r="F5791" t="s">
        <v>30900</v>
      </c>
      <c r="G5791" t="s">
        <v>30908</v>
      </c>
      <c r="H5791" t="s">
        <v>30916</v>
      </c>
      <c r="I5791" t="s">
        <v>30947</v>
      </c>
      <c r="J5791" t="s">
        <v>34816</v>
      </c>
      <c r="K5791" t="s">
        <v>40283</v>
      </c>
      <c r="M5791" t="s">
        <v>41312</v>
      </c>
      <c r="N5791" t="s">
        <v>44759</v>
      </c>
      <c r="O5791" t="s">
        <v>44760</v>
      </c>
      <c r="Q5791">
        <v>1</v>
      </c>
      <c r="R5791" t="s">
        <v>44766</v>
      </c>
      <c r="S5791" t="s">
        <v>44924</v>
      </c>
      <c r="T5791" t="s">
        <v>46658</v>
      </c>
      <c r="U5791" t="s">
        <v>51825</v>
      </c>
      <c r="W5791" t="s">
        <v>41312</v>
      </c>
      <c r="X5791" t="s">
        <v>44767</v>
      </c>
    </row>
    <row r="5792" spans="1:24">
      <c r="A5792">
        <f>HYPERLINK("https://www.philgeps.gov.ph/GEPSNONPILOT/Tender/SplashBidNoticeAbstractUI.aspx?menuIndex=3&amp;refID=7146745&amp;Result=3","7146745")</f>
        <v>0</v>
      </c>
      <c r="B5792" t="s">
        <v>591</v>
      </c>
      <c r="C5792" t="s">
        <v>9234</v>
      </c>
      <c r="D5792" t="s">
        <v>17998</v>
      </c>
      <c r="E5792" t="s">
        <v>23183</v>
      </c>
      <c r="F5792" t="s">
        <v>30900</v>
      </c>
      <c r="G5792" t="s">
        <v>30907</v>
      </c>
      <c r="H5792" t="s">
        <v>30916</v>
      </c>
      <c r="I5792" t="s">
        <v>8123</v>
      </c>
      <c r="J5792" t="s">
        <v>31257</v>
      </c>
      <c r="K5792" t="s">
        <v>40286</v>
      </c>
      <c r="M5792" t="s">
        <v>41247</v>
      </c>
      <c r="N5792" t="s">
        <v>44759</v>
      </c>
      <c r="O5792" t="s">
        <v>44760</v>
      </c>
      <c r="P5792">
        <v>0</v>
      </c>
      <c r="Q5792">
        <v>0</v>
      </c>
      <c r="R5792" t="s">
        <v>44766</v>
      </c>
      <c r="S5792" t="s">
        <v>44902</v>
      </c>
      <c r="T5792" t="s">
        <v>46389</v>
      </c>
      <c r="U5792" t="s">
        <v>47975</v>
      </c>
      <c r="V5792" t="s">
        <v>59259</v>
      </c>
      <c r="W5792" t="s">
        <v>41247</v>
      </c>
      <c r="X5792" t="s">
        <v>44767</v>
      </c>
    </row>
    <row r="5793" spans="1:24">
      <c r="A5793">
        <f>HYPERLINK("https://www.philgeps.gov.ph/GEPSNONPILOT/Tender/SplashBidNoticeAbstractUI.aspx?menuIndex=3&amp;refID=7146758&amp;Result=3","7146758")</f>
        <v>0</v>
      </c>
      <c r="B5793" t="s">
        <v>1974</v>
      </c>
      <c r="C5793" t="s">
        <v>9235</v>
      </c>
      <c r="D5793" t="s">
        <v>17985</v>
      </c>
      <c r="E5793" t="s">
        <v>23184</v>
      </c>
      <c r="F5793" t="s">
        <v>30900</v>
      </c>
      <c r="G5793" t="s">
        <v>30908</v>
      </c>
      <c r="H5793" t="s">
        <v>30916</v>
      </c>
      <c r="I5793" t="s">
        <v>30923</v>
      </c>
      <c r="J5793" t="s">
        <v>34845</v>
      </c>
      <c r="K5793" t="s">
        <v>40289</v>
      </c>
      <c r="M5793" t="s">
        <v>42673</v>
      </c>
      <c r="N5793" t="s">
        <v>44759</v>
      </c>
      <c r="O5793" t="s">
        <v>44760</v>
      </c>
      <c r="P5793">
        <v>0</v>
      </c>
      <c r="Q5793">
        <v>3</v>
      </c>
      <c r="R5793" t="s">
        <v>44766</v>
      </c>
      <c r="S5793" t="s">
        <v>44902</v>
      </c>
      <c r="T5793" t="s">
        <v>46662</v>
      </c>
      <c r="U5793" t="s">
        <v>51826</v>
      </c>
      <c r="W5793" t="s">
        <v>42673</v>
      </c>
      <c r="X5793" t="s">
        <v>44767</v>
      </c>
    </row>
    <row r="5794" spans="1:24">
      <c r="A5794">
        <f>HYPERLINK("https://www.philgeps.gov.ph/GEPSNONPILOT/Tender/SplashBidNoticeAbstractUI.aspx?menuIndex=3&amp;refID=7146738&amp;Result=3","7146738")</f>
        <v>0</v>
      </c>
      <c r="B5794" t="s">
        <v>595</v>
      </c>
      <c r="C5794" t="s">
        <v>9236</v>
      </c>
      <c r="D5794" t="s">
        <v>17953</v>
      </c>
      <c r="E5794" t="s">
        <v>23185</v>
      </c>
      <c r="F5794" t="s">
        <v>30900</v>
      </c>
      <c r="G5794" t="s">
        <v>30908</v>
      </c>
      <c r="H5794" t="s">
        <v>30916</v>
      </c>
      <c r="I5794" t="s">
        <v>30939</v>
      </c>
      <c r="J5794" t="s">
        <v>31686</v>
      </c>
      <c r="K5794" t="s">
        <v>40283</v>
      </c>
      <c r="M5794" t="s">
        <v>41157</v>
      </c>
      <c r="N5794" t="s">
        <v>44759</v>
      </c>
      <c r="O5794" t="s">
        <v>44760</v>
      </c>
      <c r="P5794">
        <v>0</v>
      </c>
      <c r="Q5794">
        <v>0</v>
      </c>
      <c r="R5794" t="s">
        <v>44766</v>
      </c>
      <c r="S5794" t="s">
        <v>44902</v>
      </c>
      <c r="T5794" t="s">
        <v>46722</v>
      </c>
      <c r="U5794" t="s">
        <v>51822</v>
      </c>
      <c r="W5794" t="s">
        <v>41157</v>
      </c>
      <c r="X5794" t="s">
        <v>44767</v>
      </c>
    </row>
    <row r="5795" spans="1:24">
      <c r="A5795">
        <f>HYPERLINK("https://www.philgeps.gov.ph/GEPSNONPILOT/Tender/SplashBidNoticeAbstractUI.aspx?menuIndex=3&amp;refID=7146737&amp;Result=3","7146737")</f>
        <v>0</v>
      </c>
      <c r="B5795" t="s">
        <v>2093</v>
      </c>
      <c r="C5795" t="s">
        <v>9237</v>
      </c>
      <c r="D5795" t="s">
        <v>17955</v>
      </c>
      <c r="E5795" t="s">
        <v>18169</v>
      </c>
      <c r="F5795" t="s">
        <v>30900</v>
      </c>
      <c r="G5795" t="s">
        <v>30907</v>
      </c>
      <c r="H5795" t="s">
        <v>30915</v>
      </c>
      <c r="I5795" t="s">
        <v>30932</v>
      </c>
      <c r="J5795" t="s">
        <v>34846</v>
      </c>
      <c r="K5795" t="s">
        <v>40287</v>
      </c>
      <c r="M5795" t="s">
        <v>42792</v>
      </c>
      <c r="N5795" t="s">
        <v>44759</v>
      </c>
      <c r="O5795" t="s">
        <v>44760</v>
      </c>
      <c r="P5795">
        <v>0</v>
      </c>
      <c r="Q5795">
        <v>0</v>
      </c>
      <c r="R5795" t="s">
        <v>44766</v>
      </c>
      <c r="S5795" t="s">
        <v>44902</v>
      </c>
      <c r="T5795" t="s">
        <v>46398</v>
      </c>
      <c r="U5795" t="s">
        <v>51827</v>
      </c>
      <c r="W5795" t="s">
        <v>42792</v>
      </c>
      <c r="X5795" t="s">
        <v>44767</v>
      </c>
    </row>
    <row r="5796" spans="1:24">
      <c r="A5796">
        <f>HYPERLINK("https://www.philgeps.gov.ph/GEPSNONPILOT/Tender/SplashBidNoticeAbstractUI.aspx?menuIndex=3&amp;refID=7146749&amp;Result=3","7146749")</f>
        <v>0</v>
      </c>
      <c r="B5796" t="s">
        <v>1831</v>
      </c>
      <c r="C5796" t="s">
        <v>9238</v>
      </c>
      <c r="D5796" t="s">
        <v>18015</v>
      </c>
      <c r="E5796" t="s">
        <v>23186</v>
      </c>
      <c r="F5796" t="s">
        <v>30900</v>
      </c>
      <c r="G5796" t="s">
        <v>30907</v>
      </c>
      <c r="H5796" t="s">
        <v>30917</v>
      </c>
      <c r="I5796" t="s">
        <v>4108</v>
      </c>
      <c r="J5796" t="s">
        <v>34847</v>
      </c>
      <c r="K5796" t="s">
        <v>40283</v>
      </c>
      <c r="M5796" t="s">
        <v>42504</v>
      </c>
      <c r="N5796" t="s">
        <v>44759</v>
      </c>
      <c r="O5796" t="s">
        <v>44760</v>
      </c>
      <c r="P5796">
        <v>0</v>
      </c>
      <c r="Q5796">
        <v>0</v>
      </c>
      <c r="R5796" t="s">
        <v>44766</v>
      </c>
      <c r="S5796" t="s">
        <v>44902</v>
      </c>
      <c r="T5796" t="s">
        <v>46421</v>
      </c>
      <c r="U5796" t="s">
        <v>51116</v>
      </c>
      <c r="V5796" t="s">
        <v>59253</v>
      </c>
      <c r="W5796" t="s">
        <v>42504</v>
      </c>
      <c r="X5796" t="s">
        <v>44767</v>
      </c>
    </row>
    <row r="5797" spans="1:24">
      <c r="A5797">
        <f>HYPERLINK("https://www.philgeps.gov.ph/GEPSNONPILOT/Tender/SplashBidNoticeAbstractUI.aspx?menuIndex=3&amp;refID=7146744&amp;Result=3","7146744")</f>
        <v>0</v>
      </c>
      <c r="B5797" t="s">
        <v>1856</v>
      </c>
      <c r="C5797" t="s">
        <v>8615</v>
      </c>
      <c r="D5797" t="s">
        <v>17973</v>
      </c>
      <c r="E5797" t="s">
        <v>23187</v>
      </c>
      <c r="F5797" t="s">
        <v>30900</v>
      </c>
      <c r="G5797" t="s">
        <v>30907</v>
      </c>
      <c r="H5797" t="s">
        <v>30915</v>
      </c>
      <c r="I5797" t="s">
        <v>30919</v>
      </c>
      <c r="J5797" t="s">
        <v>34848</v>
      </c>
      <c r="K5797" t="s">
        <v>40286</v>
      </c>
      <c r="M5797" t="s">
        <v>42528</v>
      </c>
      <c r="N5797" t="s">
        <v>44759</v>
      </c>
      <c r="O5797" t="s">
        <v>44760</v>
      </c>
      <c r="P5797">
        <v>0</v>
      </c>
      <c r="Q5797">
        <v>1</v>
      </c>
      <c r="R5797" t="s">
        <v>44766</v>
      </c>
      <c r="S5797" t="s">
        <v>44902</v>
      </c>
      <c r="T5797" t="s">
        <v>46356</v>
      </c>
      <c r="U5797" t="s">
        <v>51828</v>
      </c>
      <c r="W5797" t="s">
        <v>42528</v>
      </c>
      <c r="X5797" t="s">
        <v>44767</v>
      </c>
    </row>
    <row r="5798" spans="1:24">
      <c r="A5798">
        <f>HYPERLINK("https://www.philgeps.gov.ph/GEPSNONPILOT/Tender/SplashBidNoticeAbstractUI.aspx?menuIndex=3&amp;refID=7146735&amp;Result=3","7146735")</f>
        <v>0</v>
      </c>
      <c r="B5798" t="s">
        <v>591</v>
      </c>
      <c r="C5798" t="s">
        <v>9239</v>
      </c>
      <c r="D5798" t="s">
        <v>17998</v>
      </c>
      <c r="E5798" t="s">
        <v>23188</v>
      </c>
      <c r="F5798" t="s">
        <v>30900</v>
      </c>
      <c r="G5798" t="s">
        <v>30907</v>
      </c>
      <c r="H5798" t="s">
        <v>30916</v>
      </c>
      <c r="I5798" t="s">
        <v>8123</v>
      </c>
      <c r="J5798" t="s">
        <v>31257</v>
      </c>
      <c r="K5798" t="s">
        <v>40286</v>
      </c>
      <c r="M5798" t="s">
        <v>41247</v>
      </c>
      <c r="N5798" t="s">
        <v>44759</v>
      </c>
      <c r="O5798" t="s">
        <v>44760</v>
      </c>
      <c r="P5798">
        <v>0</v>
      </c>
      <c r="Q5798">
        <v>0</v>
      </c>
      <c r="R5798" t="s">
        <v>44766</v>
      </c>
      <c r="S5798" t="s">
        <v>44902</v>
      </c>
      <c r="T5798" t="s">
        <v>46389</v>
      </c>
      <c r="U5798" t="s">
        <v>47975</v>
      </c>
      <c r="V5798" t="s">
        <v>59259</v>
      </c>
      <c r="W5798" t="s">
        <v>41247</v>
      </c>
      <c r="X5798" t="s">
        <v>44767</v>
      </c>
    </row>
    <row r="5799" spans="1:24">
      <c r="A5799">
        <f>HYPERLINK("https://www.philgeps.gov.ph/GEPSNONPILOT/Tender/SplashBidNoticeAbstractUI.aspx?menuIndex=3&amp;refID=7146741&amp;Result=3","7146741")</f>
        <v>0</v>
      </c>
      <c r="B5799" t="s">
        <v>380</v>
      </c>
      <c r="C5799" t="s">
        <v>9240</v>
      </c>
      <c r="D5799" t="s">
        <v>18003</v>
      </c>
      <c r="E5799" t="s">
        <v>23189</v>
      </c>
      <c r="F5799" t="s">
        <v>30900</v>
      </c>
      <c r="G5799" t="s">
        <v>30907</v>
      </c>
      <c r="H5799" t="s">
        <v>30915</v>
      </c>
      <c r="I5799" t="s">
        <v>30919</v>
      </c>
      <c r="J5799" t="s">
        <v>31152</v>
      </c>
      <c r="K5799" t="s">
        <v>40304</v>
      </c>
      <c r="M5799" t="s">
        <v>40934</v>
      </c>
      <c r="N5799" t="s">
        <v>44759</v>
      </c>
      <c r="O5799" t="s">
        <v>44760</v>
      </c>
      <c r="P5799">
        <v>0</v>
      </c>
      <c r="Q5799">
        <v>0</v>
      </c>
      <c r="R5799" t="s">
        <v>44766</v>
      </c>
      <c r="S5799" t="s">
        <v>44902</v>
      </c>
      <c r="T5799" t="s">
        <v>46719</v>
      </c>
      <c r="U5799" t="s">
        <v>51829</v>
      </c>
      <c r="W5799" t="s">
        <v>40934</v>
      </c>
      <c r="X5799" t="s">
        <v>44767</v>
      </c>
    </row>
    <row r="5800" spans="1:24">
      <c r="A5800">
        <f>HYPERLINK("https://www.philgeps.gov.ph/GEPSNONPILOT/Tender/SplashBidNoticeAbstractUI.aspx?menuIndex=3&amp;refID=7146732&amp;Result=3","7146732")</f>
        <v>0</v>
      </c>
      <c r="B5800" t="s">
        <v>1863</v>
      </c>
      <c r="C5800" t="s">
        <v>9241</v>
      </c>
      <c r="D5800" t="s">
        <v>18013</v>
      </c>
      <c r="E5800" t="s">
        <v>23190</v>
      </c>
      <c r="F5800" t="s">
        <v>30900</v>
      </c>
      <c r="G5800" t="s">
        <v>30907</v>
      </c>
      <c r="H5800" t="s">
        <v>30916</v>
      </c>
      <c r="I5800" t="s">
        <v>6953</v>
      </c>
      <c r="J5800" t="s">
        <v>34849</v>
      </c>
      <c r="K5800" t="s">
        <v>40283</v>
      </c>
      <c r="M5800" t="s">
        <v>42537</v>
      </c>
      <c r="N5800" t="s">
        <v>44759</v>
      </c>
      <c r="O5800" t="s">
        <v>44760</v>
      </c>
      <c r="P5800">
        <v>0</v>
      </c>
      <c r="Q5800">
        <v>0</v>
      </c>
      <c r="R5800" t="s">
        <v>44766</v>
      </c>
      <c r="S5800" t="s">
        <v>44902</v>
      </c>
      <c r="T5800" t="s">
        <v>46455</v>
      </c>
      <c r="U5800" t="s">
        <v>51830</v>
      </c>
      <c r="W5800" t="s">
        <v>42537</v>
      </c>
      <c r="X5800" t="s">
        <v>44767</v>
      </c>
    </row>
    <row r="5801" spans="1:24">
      <c r="A5801">
        <f>HYPERLINK("https://www.philgeps.gov.ph/GEPSNONPILOT/Tender/SplashBidNoticeAbstractUI.aspx?menuIndex=3&amp;refID=7146733&amp;Result=3","7146733")</f>
        <v>0</v>
      </c>
      <c r="B5801" t="s">
        <v>1383</v>
      </c>
      <c r="C5801" t="s">
        <v>9242</v>
      </c>
      <c r="D5801" t="s">
        <v>18032</v>
      </c>
      <c r="E5801" t="s">
        <v>23191</v>
      </c>
      <c r="F5801" t="s">
        <v>30900</v>
      </c>
      <c r="G5801" t="s">
        <v>30910</v>
      </c>
      <c r="H5801" t="s">
        <v>30916</v>
      </c>
      <c r="I5801" t="s">
        <v>6396</v>
      </c>
      <c r="J5801" t="s">
        <v>33481</v>
      </c>
      <c r="K5801" t="s">
        <v>40289</v>
      </c>
      <c r="M5801" t="s">
        <v>42007</v>
      </c>
      <c r="N5801" t="s">
        <v>44759</v>
      </c>
      <c r="O5801" t="s">
        <v>44760</v>
      </c>
      <c r="P5801">
        <v>0</v>
      </c>
      <c r="Q5801">
        <v>3</v>
      </c>
      <c r="R5801" t="s">
        <v>44766</v>
      </c>
      <c r="S5801" t="s">
        <v>44902</v>
      </c>
      <c r="T5801" t="s">
        <v>46581</v>
      </c>
      <c r="U5801" t="s">
        <v>51652</v>
      </c>
      <c r="W5801" t="s">
        <v>42007</v>
      </c>
      <c r="X5801" t="s">
        <v>44767</v>
      </c>
    </row>
    <row r="5802" spans="1:24">
      <c r="A5802">
        <f>HYPERLINK("https://www.philgeps.gov.ph/GEPSNONPILOT/Tender/SplashBidNoticeAbstractUI.aspx?menuIndex=3&amp;refID=7146730&amp;Result=3","7146730")</f>
        <v>0</v>
      </c>
      <c r="B5802" t="s">
        <v>2098</v>
      </c>
      <c r="C5802" t="s">
        <v>9243</v>
      </c>
      <c r="E5802" t="s">
        <v>23192</v>
      </c>
      <c r="F5802" t="s">
        <v>30900</v>
      </c>
      <c r="G5802" t="s">
        <v>30909</v>
      </c>
      <c r="H5802" t="s">
        <v>30916</v>
      </c>
      <c r="I5802" t="s">
        <v>4108</v>
      </c>
      <c r="J5802" t="s">
        <v>34850</v>
      </c>
      <c r="K5802" t="s">
        <v>40288</v>
      </c>
      <c r="M5802" t="s">
        <v>42797</v>
      </c>
      <c r="N5802" t="s">
        <v>44759</v>
      </c>
      <c r="O5802" t="s">
        <v>44760</v>
      </c>
      <c r="P5802">
        <v>0</v>
      </c>
      <c r="Q5802">
        <v>0</v>
      </c>
      <c r="R5802" t="s">
        <v>44766</v>
      </c>
      <c r="S5802" t="s">
        <v>44902</v>
      </c>
      <c r="T5802" t="s">
        <v>46625</v>
      </c>
      <c r="U5802" t="s">
        <v>51824</v>
      </c>
      <c r="W5802" t="s">
        <v>42797</v>
      </c>
      <c r="X5802" t="s">
        <v>44767</v>
      </c>
    </row>
    <row r="5803" spans="1:24">
      <c r="A5803">
        <f>HYPERLINK("https://www.philgeps.gov.ph/GEPSNONPILOT/Tender/SplashBidNoticeAbstractUI.aspx?menuIndex=3&amp;refID=7146729&amp;Result=3","7146729")</f>
        <v>0</v>
      </c>
      <c r="B5803" t="s">
        <v>1414</v>
      </c>
      <c r="C5803" t="s">
        <v>9244</v>
      </c>
      <c r="D5803" t="s">
        <v>17977</v>
      </c>
      <c r="E5803" t="s">
        <v>23193</v>
      </c>
      <c r="F5803" t="s">
        <v>30900</v>
      </c>
      <c r="G5803" t="s">
        <v>30909</v>
      </c>
      <c r="H5803" t="s">
        <v>30916</v>
      </c>
      <c r="I5803" t="s">
        <v>30922</v>
      </c>
      <c r="J5803" t="s">
        <v>33038</v>
      </c>
      <c r="K5803" t="s">
        <v>40286</v>
      </c>
      <c r="M5803" t="s">
        <v>42043</v>
      </c>
      <c r="N5803" t="s">
        <v>44759</v>
      </c>
      <c r="O5803" t="s">
        <v>44760</v>
      </c>
      <c r="Q5803">
        <v>1</v>
      </c>
      <c r="R5803" t="s">
        <v>44766</v>
      </c>
      <c r="S5803" t="s">
        <v>44932</v>
      </c>
      <c r="T5803" t="s">
        <v>46391</v>
      </c>
      <c r="U5803" t="s">
        <v>49834</v>
      </c>
      <c r="W5803" t="s">
        <v>42043</v>
      </c>
      <c r="X5803" t="s">
        <v>44767</v>
      </c>
    </row>
    <row r="5804" spans="1:24">
      <c r="A5804">
        <f>HYPERLINK("https://www.philgeps.gov.ph/GEPSNONPILOT/Tender/SplashBidNoticeAbstractUI.aspx?menuIndex=3&amp;refID=7146625&amp;Result=3","7146625")</f>
        <v>0</v>
      </c>
      <c r="B5804" t="s">
        <v>2066</v>
      </c>
      <c r="C5804" t="s">
        <v>9245</v>
      </c>
      <c r="D5804" t="s">
        <v>17971</v>
      </c>
      <c r="E5804" t="s">
        <v>23194</v>
      </c>
      <c r="F5804" t="s">
        <v>30900</v>
      </c>
      <c r="G5804" t="s">
        <v>30907</v>
      </c>
      <c r="H5804" t="s">
        <v>30916</v>
      </c>
      <c r="I5804" t="s">
        <v>8123</v>
      </c>
      <c r="J5804" t="s">
        <v>34851</v>
      </c>
      <c r="K5804" t="s">
        <v>40286</v>
      </c>
      <c r="L5804" t="s">
        <v>2066</v>
      </c>
      <c r="M5804" t="s">
        <v>42765</v>
      </c>
      <c r="N5804" t="s">
        <v>44759</v>
      </c>
      <c r="O5804" t="s">
        <v>44760</v>
      </c>
      <c r="P5804">
        <v>0</v>
      </c>
      <c r="Q5804">
        <v>1</v>
      </c>
      <c r="R5804" t="s">
        <v>44766</v>
      </c>
      <c r="S5804" t="s">
        <v>44902</v>
      </c>
      <c r="T5804" t="s">
        <v>46405</v>
      </c>
      <c r="U5804" t="s">
        <v>51831</v>
      </c>
      <c r="W5804" t="s">
        <v>42765</v>
      </c>
      <c r="X5804" t="s">
        <v>44767</v>
      </c>
    </row>
    <row r="5805" spans="1:24">
      <c r="A5805">
        <f>HYPERLINK("https://www.philgeps.gov.ph/GEPSNONPILOT/Tender/SplashBidNoticeAbstractUI.aspx?menuIndex=3&amp;refID=7146623&amp;Result=3","7146623")</f>
        <v>0</v>
      </c>
      <c r="B5805" t="s">
        <v>313</v>
      </c>
      <c r="C5805" t="s">
        <v>9246</v>
      </c>
      <c r="E5805" t="s">
        <v>23195</v>
      </c>
      <c r="F5805" t="s">
        <v>30900</v>
      </c>
      <c r="G5805" t="s">
        <v>30908</v>
      </c>
      <c r="H5805" t="s">
        <v>30916</v>
      </c>
      <c r="I5805" t="s">
        <v>10602</v>
      </c>
      <c r="J5805" t="s">
        <v>31713</v>
      </c>
      <c r="K5805" t="s">
        <v>40289</v>
      </c>
      <c r="M5805" t="s">
        <v>40909</v>
      </c>
      <c r="N5805" t="s">
        <v>44759</v>
      </c>
      <c r="O5805" t="s">
        <v>44760</v>
      </c>
      <c r="P5805">
        <v>0</v>
      </c>
      <c r="Q5805">
        <v>2</v>
      </c>
      <c r="R5805" t="s">
        <v>44766</v>
      </c>
      <c r="S5805" t="s">
        <v>44902</v>
      </c>
      <c r="T5805" t="s">
        <v>46403</v>
      </c>
      <c r="U5805" t="s">
        <v>51832</v>
      </c>
      <c r="W5805" t="s">
        <v>40909</v>
      </c>
      <c r="X5805" t="s">
        <v>44767</v>
      </c>
    </row>
    <row r="5806" spans="1:24">
      <c r="A5806">
        <f>HYPERLINK("https://www.philgeps.gov.ph/GEPSNONPILOT/Tender/SplashBidNoticeAbstractUI.aspx?menuIndex=3&amp;refID=7146575&amp;Result=3","7146575")</f>
        <v>0</v>
      </c>
      <c r="B5806" t="s">
        <v>2030</v>
      </c>
      <c r="C5806" t="s">
        <v>9247</v>
      </c>
      <c r="D5806" t="s">
        <v>17999</v>
      </c>
      <c r="E5806" t="s">
        <v>23004</v>
      </c>
      <c r="F5806" t="s">
        <v>30900</v>
      </c>
      <c r="G5806" t="s">
        <v>30908</v>
      </c>
      <c r="H5806" t="s">
        <v>30916</v>
      </c>
      <c r="I5806" t="s">
        <v>30923</v>
      </c>
      <c r="J5806" t="s">
        <v>34852</v>
      </c>
      <c r="K5806" t="s">
        <v>40294</v>
      </c>
      <c r="M5806" t="s">
        <v>42727</v>
      </c>
      <c r="N5806" t="s">
        <v>44759</v>
      </c>
      <c r="O5806" t="s">
        <v>44760</v>
      </c>
      <c r="P5806">
        <v>0</v>
      </c>
      <c r="Q5806">
        <v>3</v>
      </c>
      <c r="R5806" t="s">
        <v>44766</v>
      </c>
      <c r="S5806" t="s">
        <v>44902</v>
      </c>
      <c r="T5806" t="s">
        <v>46704</v>
      </c>
      <c r="U5806" t="s">
        <v>51833</v>
      </c>
      <c r="W5806" t="s">
        <v>42727</v>
      </c>
      <c r="X5806" t="s">
        <v>44767</v>
      </c>
    </row>
    <row r="5807" spans="1:24">
      <c r="A5807">
        <f>HYPERLINK("https://www.philgeps.gov.ph/GEPSNONPILOT/Tender/SplashBidNoticeAbstractUI.aspx?menuIndex=3&amp;refID=7146736&amp;Result=3","7146736")</f>
        <v>0</v>
      </c>
      <c r="B5807" t="s">
        <v>1988</v>
      </c>
      <c r="C5807" t="s">
        <v>9248</v>
      </c>
      <c r="D5807" t="s">
        <v>17959</v>
      </c>
      <c r="E5807" t="s">
        <v>23196</v>
      </c>
      <c r="F5807" t="s">
        <v>30900</v>
      </c>
      <c r="G5807" t="s">
        <v>30906</v>
      </c>
      <c r="H5807" t="s">
        <v>30916</v>
      </c>
      <c r="I5807" t="s">
        <v>9385</v>
      </c>
      <c r="J5807" t="s">
        <v>34853</v>
      </c>
      <c r="K5807" t="s">
        <v>40289</v>
      </c>
      <c r="L5807" t="s">
        <v>1988</v>
      </c>
      <c r="M5807" t="s">
        <v>42679</v>
      </c>
      <c r="N5807" t="s">
        <v>44759</v>
      </c>
      <c r="O5807" t="s">
        <v>44760</v>
      </c>
      <c r="Q5807">
        <v>9</v>
      </c>
      <c r="R5807" t="s">
        <v>44766</v>
      </c>
      <c r="S5807" t="s">
        <v>44933</v>
      </c>
      <c r="T5807" t="s">
        <v>46497</v>
      </c>
      <c r="U5807" t="s">
        <v>51539</v>
      </c>
      <c r="W5807" t="s">
        <v>42679</v>
      </c>
      <c r="X5807" t="s">
        <v>44767</v>
      </c>
    </row>
    <row r="5808" spans="1:24">
      <c r="A5808">
        <f>HYPERLINK("https://www.philgeps.gov.ph/GEPSNONPILOT/Tender/SplashBidNoticeAbstractUI.aspx?menuIndex=3&amp;refID=7146756&amp;Result=3","7146756")</f>
        <v>0</v>
      </c>
      <c r="B5808" t="s">
        <v>430</v>
      </c>
      <c r="C5808" t="s">
        <v>9206</v>
      </c>
      <c r="D5808" t="s">
        <v>18000</v>
      </c>
      <c r="E5808" t="s">
        <v>23197</v>
      </c>
      <c r="F5808" t="s">
        <v>30899</v>
      </c>
      <c r="G5808" t="s">
        <v>30908</v>
      </c>
      <c r="H5808" t="s">
        <v>30916</v>
      </c>
      <c r="I5808" t="s">
        <v>8123</v>
      </c>
      <c r="J5808" t="s">
        <v>31630</v>
      </c>
      <c r="K5808" t="s">
        <v>40287</v>
      </c>
      <c r="M5808" t="s">
        <v>40987</v>
      </c>
      <c r="N5808" t="s">
        <v>44759</v>
      </c>
      <c r="O5808" t="s">
        <v>44760</v>
      </c>
      <c r="P5808">
        <v>0</v>
      </c>
      <c r="Q5808">
        <v>1</v>
      </c>
      <c r="R5808" t="s">
        <v>44766</v>
      </c>
      <c r="S5808" t="s">
        <v>44902</v>
      </c>
      <c r="T5808" t="s">
        <v>46379</v>
      </c>
      <c r="U5808" t="s">
        <v>51834</v>
      </c>
      <c r="V5808" t="s">
        <v>59210</v>
      </c>
      <c r="W5808" t="s">
        <v>40987</v>
      </c>
      <c r="X5808" t="s">
        <v>44767</v>
      </c>
    </row>
    <row r="5809" spans="1:24">
      <c r="A5809">
        <f>HYPERLINK("https://www.philgeps.gov.ph/GEPSNONPILOT/Tender/SplashBidNoticeAbstractUI.aspx?menuIndex=3&amp;refID=7146785&amp;Result=3","7146785")</f>
        <v>0</v>
      </c>
      <c r="B5809" t="s">
        <v>2091</v>
      </c>
      <c r="C5809" t="s">
        <v>9249</v>
      </c>
      <c r="D5809" t="s">
        <v>17952</v>
      </c>
      <c r="E5809" t="s">
        <v>23198</v>
      </c>
      <c r="F5809" t="s">
        <v>30900</v>
      </c>
      <c r="G5809" t="s">
        <v>30908</v>
      </c>
      <c r="H5809" t="s">
        <v>30916</v>
      </c>
      <c r="I5809" t="s">
        <v>30919</v>
      </c>
      <c r="J5809" t="s">
        <v>31043</v>
      </c>
      <c r="K5809" t="s">
        <v>40289</v>
      </c>
      <c r="M5809" t="s">
        <v>42790</v>
      </c>
      <c r="N5809" t="s">
        <v>44759</v>
      </c>
      <c r="O5809" t="s">
        <v>44760</v>
      </c>
      <c r="P5809">
        <v>0</v>
      </c>
      <c r="Q5809">
        <v>0</v>
      </c>
      <c r="R5809" t="s">
        <v>44766</v>
      </c>
      <c r="S5809" t="s">
        <v>44902</v>
      </c>
      <c r="T5809" t="s">
        <v>46403</v>
      </c>
      <c r="U5809" t="s">
        <v>51814</v>
      </c>
      <c r="W5809" t="s">
        <v>42790</v>
      </c>
      <c r="X5809" t="s">
        <v>44767</v>
      </c>
    </row>
    <row r="5810" spans="1:24">
      <c r="A5810">
        <f>HYPERLINK("https://www.philgeps.gov.ph/GEPSNONPILOT/Tender/SplashBidNoticeAbstractUI.aspx?menuIndex=3&amp;refID=7146792&amp;Result=3","7146792")</f>
        <v>0</v>
      </c>
      <c r="B5810" t="s">
        <v>2099</v>
      </c>
      <c r="C5810" t="s">
        <v>9250</v>
      </c>
      <c r="D5810" t="s">
        <v>17961</v>
      </c>
      <c r="E5810" t="s">
        <v>23199</v>
      </c>
      <c r="F5810" t="s">
        <v>30900</v>
      </c>
      <c r="G5810" t="s">
        <v>30907</v>
      </c>
      <c r="H5810" t="s">
        <v>30915</v>
      </c>
      <c r="I5810" t="s">
        <v>30919</v>
      </c>
      <c r="J5810" t="s">
        <v>31897</v>
      </c>
      <c r="K5810" t="s">
        <v>40407</v>
      </c>
      <c r="M5810" t="s">
        <v>42798</v>
      </c>
      <c r="N5810" t="s">
        <v>44759</v>
      </c>
      <c r="O5810" t="s">
        <v>44760</v>
      </c>
      <c r="P5810">
        <v>0</v>
      </c>
      <c r="Q5810">
        <v>5</v>
      </c>
      <c r="R5810" t="s">
        <v>44766</v>
      </c>
      <c r="S5810" t="s">
        <v>44902</v>
      </c>
      <c r="T5810" t="s">
        <v>46497</v>
      </c>
      <c r="U5810" t="s">
        <v>51835</v>
      </c>
      <c r="W5810" t="s">
        <v>42798</v>
      </c>
      <c r="X5810" t="s">
        <v>44767</v>
      </c>
    </row>
    <row r="5811" spans="1:24">
      <c r="A5811">
        <f>HYPERLINK("https://www.philgeps.gov.ph/GEPSNONPILOT/Tender/SplashBidNoticeAbstractUI.aspx?menuIndex=3&amp;refID=7146724&amp;Result=3","7146724")</f>
        <v>0</v>
      </c>
      <c r="B5811" t="s">
        <v>1831</v>
      </c>
      <c r="C5811" t="s">
        <v>9251</v>
      </c>
      <c r="D5811" t="s">
        <v>18015</v>
      </c>
      <c r="E5811" t="s">
        <v>23186</v>
      </c>
      <c r="F5811" t="s">
        <v>30900</v>
      </c>
      <c r="G5811" t="s">
        <v>30907</v>
      </c>
      <c r="H5811" t="s">
        <v>30916</v>
      </c>
      <c r="I5811" t="s">
        <v>4108</v>
      </c>
      <c r="J5811" t="s">
        <v>34854</v>
      </c>
      <c r="K5811" t="s">
        <v>40289</v>
      </c>
      <c r="M5811" t="s">
        <v>42504</v>
      </c>
      <c r="N5811" t="s">
        <v>44759</v>
      </c>
      <c r="O5811" t="s">
        <v>44760</v>
      </c>
      <c r="P5811">
        <v>0</v>
      </c>
      <c r="Q5811">
        <v>0</v>
      </c>
      <c r="R5811" t="s">
        <v>44766</v>
      </c>
      <c r="S5811" t="s">
        <v>44902</v>
      </c>
      <c r="T5811" t="s">
        <v>46421</v>
      </c>
      <c r="U5811" t="s">
        <v>51116</v>
      </c>
      <c r="V5811" t="s">
        <v>59253</v>
      </c>
      <c r="W5811" t="s">
        <v>42504</v>
      </c>
      <c r="X5811" t="s">
        <v>44767</v>
      </c>
    </row>
    <row r="5812" spans="1:24">
      <c r="A5812">
        <f>HYPERLINK("https://www.philgeps.gov.ph/GEPSNONPILOT/Tender/SplashBidNoticeAbstractUI.aspx?menuIndex=3&amp;refID=7145586&amp;Result=3","7145586")</f>
        <v>0</v>
      </c>
      <c r="B5812" t="s">
        <v>2100</v>
      </c>
      <c r="C5812" t="s">
        <v>9252</v>
      </c>
      <c r="D5812" t="s">
        <v>17970</v>
      </c>
      <c r="E5812" t="s">
        <v>23200</v>
      </c>
      <c r="F5812" t="s">
        <v>30900</v>
      </c>
      <c r="G5812" t="s">
        <v>30907</v>
      </c>
      <c r="H5812" t="s">
        <v>30916</v>
      </c>
      <c r="I5812" t="s">
        <v>30960</v>
      </c>
      <c r="J5812" t="s">
        <v>34855</v>
      </c>
      <c r="K5812" t="s">
        <v>40283</v>
      </c>
      <c r="M5812" t="s">
        <v>42799</v>
      </c>
      <c r="N5812" t="s">
        <v>44759</v>
      </c>
      <c r="O5812" t="s">
        <v>44760</v>
      </c>
      <c r="P5812">
        <v>0</v>
      </c>
      <c r="Q5812">
        <v>1</v>
      </c>
      <c r="R5812" t="s">
        <v>44766</v>
      </c>
      <c r="S5812" t="s">
        <v>44902</v>
      </c>
      <c r="T5812" t="s">
        <v>46723</v>
      </c>
      <c r="U5812" t="s">
        <v>51836</v>
      </c>
      <c r="V5812" t="s">
        <v>59757</v>
      </c>
      <c r="W5812" t="s">
        <v>42799</v>
      </c>
      <c r="X5812" t="s">
        <v>44767</v>
      </c>
    </row>
    <row r="5813" spans="1:24">
      <c r="A5813">
        <f>HYPERLINK("https://www.philgeps.gov.ph/GEPSNONPILOT/Tender/SplashBidNoticeAbstractUI.aspx?menuIndex=3&amp;refID=7146791&amp;Result=3","7146791")</f>
        <v>0</v>
      </c>
      <c r="B5813" t="s">
        <v>290</v>
      </c>
      <c r="C5813" t="s">
        <v>9253</v>
      </c>
      <c r="D5813" t="s">
        <v>17993</v>
      </c>
      <c r="E5813" t="s">
        <v>23201</v>
      </c>
      <c r="F5813" t="s">
        <v>30900</v>
      </c>
      <c r="G5813" t="s">
        <v>30908</v>
      </c>
      <c r="H5813" t="s">
        <v>30916</v>
      </c>
      <c r="I5813" t="s">
        <v>9385</v>
      </c>
      <c r="J5813" t="s">
        <v>31183</v>
      </c>
      <c r="K5813" t="s">
        <v>40287</v>
      </c>
      <c r="M5813" t="s">
        <v>40838</v>
      </c>
      <c r="N5813" t="s">
        <v>44759</v>
      </c>
      <c r="O5813" t="s">
        <v>44760</v>
      </c>
      <c r="P5813">
        <v>0</v>
      </c>
      <c r="Q5813">
        <v>6</v>
      </c>
      <c r="R5813" t="s">
        <v>44766</v>
      </c>
      <c r="S5813" t="s">
        <v>44902</v>
      </c>
      <c r="T5813" t="s">
        <v>46625</v>
      </c>
      <c r="U5813" t="s">
        <v>51837</v>
      </c>
      <c r="W5813" t="s">
        <v>40838</v>
      </c>
      <c r="X5813" t="s">
        <v>44767</v>
      </c>
    </row>
    <row r="5814" spans="1:24">
      <c r="A5814">
        <f>HYPERLINK("https://www.philgeps.gov.ph/GEPSNONPILOT/Tender/SplashBidNoticeAbstractUI.aspx?menuIndex=3&amp;refID=7146788&amp;Result=3","7146788")</f>
        <v>0</v>
      </c>
      <c r="B5814" t="s">
        <v>1831</v>
      </c>
      <c r="C5814" t="s">
        <v>9254</v>
      </c>
      <c r="D5814" t="s">
        <v>18015</v>
      </c>
      <c r="E5814" t="s">
        <v>23202</v>
      </c>
      <c r="F5814" t="s">
        <v>30900</v>
      </c>
      <c r="G5814" t="s">
        <v>30909</v>
      </c>
      <c r="H5814" t="s">
        <v>30916</v>
      </c>
      <c r="I5814" t="s">
        <v>4108</v>
      </c>
      <c r="J5814" t="s">
        <v>31070</v>
      </c>
      <c r="K5814" t="s">
        <v>40289</v>
      </c>
      <c r="M5814" t="s">
        <v>42504</v>
      </c>
      <c r="N5814" t="s">
        <v>44759</v>
      </c>
      <c r="O5814" t="s">
        <v>44760</v>
      </c>
      <c r="P5814">
        <v>0</v>
      </c>
      <c r="Q5814">
        <v>0</v>
      </c>
      <c r="R5814" t="s">
        <v>44766</v>
      </c>
      <c r="S5814" t="s">
        <v>44902</v>
      </c>
      <c r="T5814" t="s">
        <v>46421</v>
      </c>
      <c r="U5814" t="s">
        <v>51116</v>
      </c>
      <c r="V5814" t="s">
        <v>59253</v>
      </c>
      <c r="W5814" t="s">
        <v>42504</v>
      </c>
      <c r="X5814" t="s">
        <v>44767</v>
      </c>
    </row>
    <row r="5815" spans="1:24">
      <c r="A5815">
        <f>HYPERLINK("https://www.philgeps.gov.ph/GEPSNONPILOT/Tender/SplashBidNoticeAbstractUI.aspx?menuIndex=3&amp;refID=7146783&amp;Result=3","7146783")</f>
        <v>0</v>
      </c>
      <c r="B5815" t="s">
        <v>591</v>
      </c>
      <c r="C5815" t="s">
        <v>9255</v>
      </c>
      <c r="D5815" t="s">
        <v>17998</v>
      </c>
      <c r="E5815" t="s">
        <v>23203</v>
      </c>
      <c r="F5815" t="s">
        <v>30900</v>
      </c>
      <c r="G5815" t="s">
        <v>30907</v>
      </c>
      <c r="H5815" t="s">
        <v>30916</v>
      </c>
      <c r="I5815" t="s">
        <v>8123</v>
      </c>
      <c r="J5815" t="s">
        <v>32438</v>
      </c>
      <c r="K5815" t="s">
        <v>40286</v>
      </c>
      <c r="M5815" t="s">
        <v>41247</v>
      </c>
      <c r="N5815" t="s">
        <v>44759</v>
      </c>
      <c r="O5815" t="s">
        <v>44760</v>
      </c>
      <c r="P5815">
        <v>0</v>
      </c>
      <c r="Q5815">
        <v>0</v>
      </c>
      <c r="R5815" t="s">
        <v>44766</v>
      </c>
      <c r="S5815" t="s">
        <v>44902</v>
      </c>
      <c r="T5815" t="s">
        <v>46389</v>
      </c>
      <c r="U5815" t="s">
        <v>47975</v>
      </c>
      <c r="V5815" t="s">
        <v>59259</v>
      </c>
      <c r="W5815" t="s">
        <v>41247</v>
      </c>
      <c r="X5815" t="s">
        <v>44767</v>
      </c>
    </row>
    <row r="5816" spans="1:24">
      <c r="A5816">
        <f>HYPERLINK("https://www.philgeps.gov.ph/GEPSNONPILOT/Tender/SplashBidNoticeAbstractUI.aspx?menuIndex=3&amp;refID=7146794&amp;Result=3","7146794")</f>
        <v>0</v>
      </c>
      <c r="B5816" t="s">
        <v>2101</v>
      </c>
      <c r="C5816" t="s">
        <v>9256</v>
      </c>
      <c r="D5816" t="s">
        <v>17979</v>
      </c>
      <c r="E5816" t="s">
        <v>23204</v>
      </c>
      <c r="F5816" t="s">
        <v>30900</v>
      </c>
      <c r="G5816" t="s">
        <v>30907</v>
      </c>
      <c r="H5816" t="s">
        <v>30916</v>
      </c>
      <c r="I5816" t="s">
        <v>30933</v>
      </c>
      <c r="J5816" t="s">
        <v>31069</v>
      </c>
      <c r="K5816" t="s">
        <v>40289</v>
      </c>
      <c r="M5816" t="s">
        <v>42800</v>
      </c>
      <c r="N5816" t="s">
        <v>44759</v>
      </c>
      <c r="O5816" t="s">
        <v>44760</v>
      </c>
      <c r="P5816">
        <v>0</v>
      </c>
      <c r="Q5816">
        <v>11</v>
      </c>
      <c r="R5816" t="s">
        <v>44766</v>
      </c>
      <c r="S5816" t="s">
        <v>44902</v>
      </c>
      <c r="T5816" t="s">
        <v>46380</v>
      </c>
      <c r="U5816" t="s">
        <v>51838</v>
      </c>
      <c r="V5816" t="s">
        <v>59758</v>
      </c>
      <c r="W5816" t="s">
        <v>42800</v>
      </c>
      <c r="X5816" t="s">
        <v>44767</v>
      </c>
    </row>
    <row r="5817" spans="1:24">
      <c r="A5817">
        <f>HYPERLINK("https://www.philgeps.gov.ph/GEPSNONPILOT/Tender/SplashBidNoticeAbstractUI.aspx?menuIndex=3&amp;refID=7146780&amp;Result=3","7146780")</f>
        <v>0</v>
      </c>
      <c r="B5817" t="s">
        <v>1414</v>
      </c>
      <c r="C5817" t="s">
        <v>9257</v>
      </c>
      <c r="D5817" t="s">
        <v>17977</v>
      </c>
      <c r="E5817" t="s">
        <v>23205</v>
      </c>
      <c r="F5817" t="s">
        <v>30900</v>
      </c>
      <c r="G5817" t="s">
        <v>30908</v>
      </c>
      <c r="H5817" t="s">
        <v>30916</v>
      </c>
      <c r="I5817" t="s">
        <v>31000</v>
      </c>
      <c r="J5817" t="s">
        <v>33701</v>
      </c>
      <c r="K5817" t="s">
        <v>40289</v>
      </c>
      <c r="M5817" t="s">
        <v>42043</v>
      </c>
      <c r="N5817" t="s">
        <v>44759</v>
      </c>
      <c r="O5817" t="s">
        <v>44760</v>
      </c>
      <c r="Q5817">
        <v>0</v>
      </c>
      <c r="R5817" t="s">
        <v>44766</v>
      </c>
      <c r="S5817" t="s">
        <v>44934</v>
      </c>
      <c r="T5817" t="s">
        <v>46410</v>
      </c>
      <c r="U5817" t="s">
        <v>49834</v>
      </c>
      <c r="W5817" t="s">
        <v>42043</v>
      </c>
      <c r="X5817" t="s">
        <v>44767</v>
      </c>
    </row>
    <row r="5818" spans="1:24">
      <c r="A5818">
        <f>HYPERLINK("https://www.philgeps.gov.ph/GEPSNONPILOT/Tender/SplashBidNoticeAbstractUI.aspx?menuIndex=3&amp;refID=7146777&amp;Result=3","7146777")</f>
        <v>0</v>
      </c>
      <c r="B5818" t="s">
        <v>2102</v>
      </c>
      <c r="C5818" t="s">
        <v>9258</v>
      </c>
      <c r="D5818" t="s">
        <v>18001</v>
      </c>
      <c r="E5818" t="s">
        <v>23206</v>
      </c>
      <c r="F5818" t="s">
        <v>30900</v>
      </c>
      <c r="G5818" t="s">
        <v>30907</v>
      </c>
      <c r="H5818" t="s">
        <v>30916</v>
      </c>
      <c r="I5818" t="s">
        <v>30924</v>
      </c>
      <c r="J5818" t="s">
        <v>34305</v>
      </c>
      <c r="K5818" t="s">
        <v>40286</v>
      </c>
      <c r="M5818" t="s">
        <v>42801</v>
      </c>
      <c r="N5818" t="s">
        <v>44759</v>
      </c>
      <c r="O5818" t="s">
        <v>44760</v>
      </c>
      <c r="P5818">
        <v>0</v>
      </c>
      <c r="Q5818">
        <v>7</v>
      </c>
      <c r="R5818" t="s">
        <v>44766</v>
      </c>
      <c r="S5818" t="s">
        <v>44902</v>
      </c>
      <c r="T5818" t="s">
        <v>46724</v>
      </c>
      <c r="U5818" t="s">
        <v>51839</v>
      </c>
      <c r="V5818" t="s">
        <v>59759</v>
      </c>
      <c r="W5818" t="s">
        <v>42801</v>
      </c>
      <c r="X5818" t="s">
        <v>44767</v>
      </c>
    </row>
    <row r="5819" spans="1:24">
      <c r="A5819">
        <f>HYPERLINK("https://www.philgeps.gov.ph/GEPSNONPILOT/Tender/SplashBidNoticeAbstractUI.aspx?menuIndex=3&amp;refID=7146775&amp;Result=3","7146775")</f>
        <v>0</v>
      </c>
      <c r="B5819" t="s">
        <v>2060</v>
      </c>
      <c r="C5819" t="s">
        <v>5416</v>
      </c>
      <c r="D5819" t="s">
        <v>17986</v>
      </c>
      <c r="E5819" t="s">
        <v>23207</v>
      </c>
      <c r="F5819" t="s">
        <v>30900</v>
      </c>
      <c r="G5819" t="s">
        <v>30907</v>
      </c>
      <c r="H5819" t="s">
        <v>30916</v>
      </c>
      <c r="I5819" t="s">
        <v>30923</v>
      </c>
      <c r="J5819" t="s">
        <v>31101</v>
      </c>
      <c r="K5819" t="s">
        <v>40287</v>
      </c>
      <c r="M5819" t="s">
        <v>42759</v>
      </c>
      <c r="N5819" t="s">
        <v>44759</v>
      </c>
      <c r="O5819" t="s">
        <v>44760</v>
      </c>
      <c r="P5819">
        <v>0</v>
      </c>
      <c r="Q5819">
        <v>1</v>
      </c>
      <c r="R5819" t="s">
        <v>44766</v>
      </c>
      <c r="S5819" t="s">
        <v>44902</v>
      </c>
      <c r="T5819" t="s">
        <v>46411</v>
      </c>
      <c r="U5819" t="s">
        <v>51840</v>
      </c>
      <c r="W5819" t="s">
        <v>42759</v>
      </c>
      <c r="X5819" t="s">
        <v>44767</v>
      </c>
    </row>
    <row r="5820" spans="1:24">
      <c r="A5820">
        <f>HYPERLINK("https://www.philgeps.gov.ph/GEPSNONPILOT/Tender/SplashBidNoticeAbstractUI.aspx?menuIndex=3&amp;refID=7146770&amp;Result=3","7146770")</f>
        <v>0</v>
      </c>
      <c r="B5820" t="s">
        <v>167</v>
      </c>
      <c r="C5820" t="s">
        <v>9259</v>
      </c>
      <c r="D5820" t="s">
        <v>17990</v>
      </c>
      <c r="E5820" t="s">
        <v>23208</v>
      </c>
      <c r="F5820" t="s">
        <v>30900</v>
      </c>
      <c r="G5820" t="s">
        <v>30908</v>
      </c>
      <c r="H5820" t="s">
        <v>30916</v>
      </c>
      <c r="I5820" t="s">
        <v>10834</v>
      </c>
      <c r="J5820" t="s">
        <v>34856</v>
      </c>
      <c r="K5820" t="s">
        <v>40283</v>
      </c>
      <c r="M5820" t="s">
        <v>40714</v>
      </c>
      <c r="N5820" t="s">
        <v>44759</v>
      </c>
      <c r="O5820" t="s">
        <v>44760</v>
      </c>
      <c r="P5820">
        <v>0</v>
      </c>
      <c r="Q5820">
        <v>6</v>
      </c>
      <c r="R5820" t="s">
        <v>44766</v>
      </c>
      <c r="S5820" t="s">
        <v>44902</v>
      </c>
      <c r="T5820" t="s">
        <v>46625</v>
      </c>
      <c r="U5820" t="s">
        <v>51841</v>
      </c>
      <c r="W5820" t="s">
        <v>40714</v>
      </c>
      <c r="X5820" t="s">
        <v>44767</v>
      </c>
    </row>
    <row r="5821" spans="1:24">
      <c r="A5821">
        <f>HYPERLINK("https://www.philgeps.gov.ph/GEPSNONPILOT/Tender/SplashBidNoticeAbstractUI.aspx?menuIndex=3&amp;refID=7146769&amp;Result=3","7146769")</f>
        <v>0</v>
      </c>
      <c r="B5821" t="s">
        <v>2091</v>
      </c>
      <c r="C5821" t="s">
        <v>9260</v>
      </c>
      <c r="D5821" t="s">
        <v>17952</v>
      </c>
      <c r="E5821" t="s">
        <v>23209</v>
      </c>
      <c r="F5821" t="s">
        <v>30900</v>
      </c>
      <c r="G5821" t="s">
        <v>30910</v>
      </c>
      <c r="H5821" t="s">
        <v>30916</v>
      </c>
      <c r="I5821" t="s">
        <v>30921</v>
      </c>
      <c r="J5821" t="s">
        <v>31048</v>
      </c>
      <c r="K5821" t="s">
        <v>40289</v>
      </c>
      <c r="M5821" t="s">
        <v>42790</v>
      </c>
      <c r="N5821" t="s">
        <v>44759</v>
      </c>
      <c r="O5821" t="s">
        <v>44760</v>
      </c>
      <c r="P5821">
        <v>0</v>
      </c>
      <c r="Q5821">
        <v>5</v>
      </c>
      <c r="R5821" t="s">
        <v>44766</v>
      </c>
      <c r="S5821" t="s">
        <v>44902</v>
      </c>
      <c r="T5821" t="s">
        <v>46374</v>
      </c>
      <c r="U5821" t="s">
        <v>51814</v>
      </c>
      <c r="W5821" t="s">
        <v>42790</v>
      </c>
      <c r="X5821" t="s">
        <v>44767</v>
      </c>
    </row>
    <row r="5822" spans="1:24">
      <c r="A5822">
        <f>HYPERLINK("https://www.philgeps.gov.ph/GEPSNONPILOT/Tender/SplashBidNoticeAbstractUI.aspx?menuIndex=3&amp;refID=7146768&amp;Result=3","7146768")</f>
        <v>0</v>
      </c>
      <c r="B5822" t="s">
        <v>2103</v>
      </c>
      <c r="C5822" t="s">
        <v>5407</v>
      </c>
      <c r="D5822" t="s">
        <v>17992</v>
      </c>
      <c r="E5822" t="s">
        <v>23210</v>
      </c>
      <c r="F5822" t="s">
        <v>30900</v>
      </c>
      <c r="G5822" t="s">
        <v>30908</v>
      </c>
      <c r="H5822" t="s">
        <v>30915</v>
      </c>
      <c r="I5822" t="s">
        <v>4050</v>
      </c>
      <c r="J5822" t="s">
        <v>34857</v>
      </c>
      <c r="K5822" t="s">
        <v>40285</v>
      </c>
      <c r="M5822" t="s">
        <v>42802</v>
      </c>
      <c r="N5822" t="s">
        <v>44759</v>
      </c>
      <c r="O5822" t="s">
        <v>44760</v>
      </c>
      <c r="P5822">
        <v>0</v>
      </c>
      <c r="Q5822">
        <v>0</v>
      </c>
      <c r="R5822" t="s">
        <v>44766</v>
      </c>
      <c r="S5822" t="s">
        <v>44902</v>
      </c>
      <c r="T5822" t="s">
        <v>46581</v>
      </c>
      <c r="U5822" t="s">
        <v>51842</v>
      </c>
      <c r="W5822" t="s">
        <v>42802</v>
      </c>
      <c r="X5822" t="s">
        <v>44767</v>
      </c>
    </row>
    <row r="5823" spans="1:24">
      <c r="A5823">
        <f>HYPERLINK("https://www.philgeps.gov.ph/GEPSNONPILOT/Tender/SplashBidNoticeAbstractUI.aspx?menuIndex=3&amp;refID=7146782&amp;Result=3","7146782")</f>
        <v>0</v>
      </c>
      <c r="B5823" t="s">
        <v>2104</v>
      </c>
      <c r="C5823" t="s">
        <v>9261</v>
      </c>
      <c r="D5823" t="s">
        <v>18009</v>
      </c>
      <c r="E5823" t="s">
        <v>23211</v>
      </c>
      <c r="F5823" t="s">
        <v>30900</v>
      </c>
      <c r="G5823" t="s">
        <v>30907</v>
      </c>
      <c r="H5823" t="s">
        <v>30916</v>
      </c>
      <c r="I5823" t="s">
        <v>4017</v>
      </c>
      <c r="J5823" t="s">
        <v>31049</v>
      </c>
      <c r="K5823" t="s">
        <v>40283</v>
      </c>
      <c r="M5823" t="s">
        <v>42803</v>
      </c>
      <c r="N5823" t="s">
        <v>44759</v>
      </c>
      <c r="O5823" t="s">
        <v>44760</v>
      </c>
      <c r="P5823">
        <v>0</v>
      </c>
      <c r="Q5823">
        <v>1</v>
      </c>
      <c r="R5823" t="s">
        <v>44766</v>
      </c>
      <c r="S5823" t="s">
        <v>44902</v>
      </c>
      <c r="T5823" t="s">
        <v>46519</v>
      </c>
      <c r="U5823" t="s">
        <v>51843</v>
      </c>
      <c r="W5823" t="s">
        <v>42803</v>
      </c>
      <c r="X5823" t="s">
        <v>44767</v>
      </c>
    </row>
    <row r="5824" spans="1:24">
      <c r="A5824">
        <f>HYPERLINK("https://www.philgeps.gov.ph/GEPSNONPILOT/Tender/SplashBidNoticeAbstractUI.aspx?menuIndex=3&amp;refID=7146765&amp;Result=3","7146765")</f>
        <v>0</v>
      </c>
      <c r="B5824" t="s">
        <v>604</v>
      </c>
      <c r="C5824" t="s">
        <v>9262</v>
      </c>
      <c r="D5824" t="s">
        <v>17985</v>
      </c>
      <c r="E5824" t="s">
        <v>23212</v>
      </c>
      <c r="F5824" t="s">
        <v>30900</v>
      </c>
      <c r="G5824" t="s">
        <v>30907</v>
      </c>
      <c r="H5824" t="s">
        <v>30916</v>
      </c>
      <c r="I5824" t="s">
        <v>30928</v>
      </c>
      <c r="J5824" t="s">
        <v>34858</v>
      </c>
      <c r="K5824" t="s">
        <v>40286</v>
      </c>
      <c r="M5824" t="s">
        <v>41165</v>
      </c>
      <c r="N5824" t="s">
        <v>44759</v>
      </c>
      <c r="O5824" t="s">
        <v>44760</v>
      </c>
      <c r="P5824">
        <v>0</v>
      </c>
      <c r="Q5824">
        <v>4</v>
      </c>
      <c r="R5824" t="s">
        <v>44766</v>
      </c>
      <c r="S5824" t="s">
        <v>44902</v>
      </c>
      <c r="T5824" t="s">
        <v>46689</v>
      </c>
      <c r="U5824" t="s">
        <v>51844</v>
      </c>
      <c r="V5824" t="s">
        <v>59760</v>
      </c>
      <c r="W5824" t="s">
        <v>41165</v>
      </c>
      <c r="X5824" t="s">
        <v>44767</v>
      </c>
    </row>
    <row r="5825" spans="1:24">
      <c r="A5825">
        <f>HYPERLINK("https://www.philgeps.gov.ph/GEPSNONPILOT/Tender/SplashBidNoticeAbstractUI.aspx?menuIndex=3&amp;refID=7146763&amp;Result=3","7146763")</f>
        <v>0</v>
      </c>
      <c r="B5825" t="s">
        <v>2098</v>
      </c>
      <c r="C5825" t="s">
        <v>9263</v>
      </c>
      <c r="D5825" t="s">
        <v>18014</v>
      </c>
      <c r="E5825" t="s">
        <v>23213</v>
      </c>
      <c r="F5825" t="s">
        <v>30900</v>
      </c>
      <c r="G5825" t="s">
        <v>30909</v>
      </c>
      <c r="H5825" t="s">
        <v>30916</v>
      </c>
      <c r="I5825" t="s">
        <v>30957</v>
      </c>
      <c r="J5825" t="s">
        <v>34859</v>
      </c>
      <c r="K5825" t="s">
        <v>40288</v>
      </c>
      <c r="M5825" t="s">
        <v>42797</v>
      </c>
      <c r="N5825" t="s">
        <v>44759</v>
      </c>
      <c r="O5825" t="s">
        <v>44760</v>
      </c>
      <c r="P5825">
        <v>0</v>
      </c>
      <c r="Q5825">
        <v>0</v>
      </c>
      <c r="R5825" t="s">
        <v>44766</v>
      </c>
      <c r="S5825" t="s">
        <v>44902</v>
      </c>
      <c r="T5825" t="s">
        <v>46625</v>
      </c>
      <c r="U5825" t="s">
        <v>51824</v>
      </c>
      <c r="W5825" t="s">
        <v>42797</v>
      </c>
      <c r="X5825" t="s">
        <v>44767</v>
      </c>
    </row>
    <row r="5826" spans="1:24">
      <c r="A5826">
        <f>HYPERLINK("https://www.philgeps.gov.ph/GEPSNONPILOT/Tender/SplashBidNoticeAbstractUI.aspx?menuIndex=3&amp;refID=7146760&amp;Result=3","7146760")</f>
        <v>0</v>
      </c>
      <c r="B5826" t="s">
        <v>2097</v>
      </c>
      <c r="C5826" t="s">
        <v>9264</v>
      </c>
      <c r="D5826" t="s">
        <v>18012</v>
      </c>
      <c r="E5826" t="s">
        <v>20379</v>
      </c>
      <c r="F5826" t="s">
        <v>30900</v>
      </c>
      <c r="G5826" t="s">
        <v>30907</v>
      </c>
      <c r="H5826" t="s">
        <v>30916</v>
      </c>
      <c r="I5826" t="s">
        <v>8123</v>
      </c>
      <c r="J5826" t="s">
        <v>32246</v>
      </c>
      <c r="K5826" t="s">
        <v>40284</v>
      </c>
      <c r="M5826" t="s">
        <v>42796</v>
      </c>
      <c r="N5826" t="s">
        <v>44759</v>
      </c>
      <c r="O5826" t="s">
        <v>44760</v>
      </c>
      <c r="P5826">
        <v>0</v>
      </c>
      <c r="Q5826">
        <v>1</v>
      </c>
      <c r="R5826" t="s">
        <v>44766</v>
      </c>
      <c r="S5826" t="s">
        <v>44902</v>
      </c>
      <c r="T5826" t="s">
        <v>46412</v>
      </c>
      <c r="U5826" t="s">
        <v>51845</v>
      </c>
      <c r="V5826" t="s">
        <v>59322</v>
      </c>
      <c r="W5826" t="s">
        <v>42796</v>
      </c>
      <c r="X5826" t="s">
        <v>44767</v>
      </c>
    </row>
    <row r="5827" spans="1:24">
      <c r="A5827">
        <f>HYPERLINK("https://www.philgeps.gov.ph/GEPSNONPILOT/Tender/SplashBidNoticeAbstractUI.aspx?menuIndex=3&amp;refID=7146617&amp;Result=3","7146617")</f>
        <v>0</v>
      </c>
      <c r="B5827" t="s">
        <v>1070</v>
      </c>
      <c r="C5827" t="s">
        <v>9265</v>
      </c>
      <c r="D5827" t="s">
        <v>18017</v>
      </c>
      <c r="E5827" t="s">
        <v>23214</v>
      </c>
      <c r="F5827" t="s">
        <v>30900</v>
      </c>
      <c r="G5827" t="s">
        <v>30908</v>
      </c>
      <c r="H5827" t="s">
        <v>30916</v>
      </c>
      <c r="I5827" t="s">
        <v>30947</v>
      </c>
      <c r="J5827" t="s">
        <v>33599</v>
      </c>
      <c r="K5827" t="s">
        <v>40287</v>
      </c>
      <c r="M5827" t="s">
        <v>41668</v>
      </c>
      <c r="N5827" t="s">
        <v>44759</v>
      </c>
      <c r="O5827" t="s">
        <v>44760</v>
      </c>
      <c r="P5827">
        <v>0</v>
      </c>
      <c r="Q5827">
        <v>1</v>
      </c>
      <c r="R5827" t="s">
        <v>44766</v>
      </c>
      <c r="S5827" t="s">
        <v>44902</v>
      </c>
      <c r="T5827" t="s">
        <v>46581</v>
      </c>
      <c r="U5827" t="s">
        <v>51846</v>
      </c>
      <c r="V5827" t="s">
        <v>59744</v>
      </c>
      <c r="W5827" t="s">
        <v>41668</v>
      </c>
      <c r="X5827" t="s">
        <v>44767</v>
      </c>
    </row>
    <row r="5828" spans="1:24">
      <c r="A5828">
        <f>HYPERLINK("https://www.philgeps.gov.ph/GEPSNONPILOT/Tender/SplashBidNoticeAbstractUI.aspx?menuIndex=3&amp;refID=7146759&amp;Result=3","7146759")</f>
        <v>0</v>
      </c>
      <c r="B5828" t="s">
        <v>2091</v>
      </c>
      <c r="C5828" t="s">
        <v>9266</v>
      </c>
      <c r="D5828" t="s">
        <v>17952</v>
      </c>
      <c r="E5828" t="s">
        <v>23215</v>
      </c>
      <c r="F5828" t="s">
        <v>30900</v>
      </c>
      <c r="G5828" t="s">
        <v>30908</v>
      </c>
      <c r="H5828" t="s">
        <v>30916</v>
      </c>
      <c r="I5828" t="s">
        <v>4108</v>
      </c>
      <c r="J5828" t="s">
        <v>31050</v>
      </c>
      <c r="K5828" t="s">
        <v>40289</v>
      </c>
      <c r="M5828" t="s">
        <v>42790</v>
      </c>
      <c r="N5828" t="s">
        <v>44759</v>
      </c>
      <c r="O5828" t="s">
        <v>44760</v>
      </c>
      <c r="P5828">
        <v>0</v>
      </c>
      <c r="Q5828">
        <v>0</v>
      </c>
      <c r="R5828" t="s">
        <v>44766</v>
      </c>
      <c r="S5828" t="s">
        <v>44902</v>
      </c>
      <c r="T5828" t="s">
        <v>46374</v>
      </c>
      <c r="U5828" t="s">
        <v>51814</v>
      </c>
      <c r="W5828" t="s">
        <v>42790</v>
      </c>
      <c r="X5828" t="s">
        <v>44767</v>
      </c>
    </row>
    <row r="5829" spans="1:24">
      <c r="A5829">
        <f>HYPERLINK("https://www.philgeps.gov.ph/GEPSNONPILOT/Tender/SplashBidNoticeAbstractUI.aspx?menuIndex=3&amp;refID=7146568&amp;Result=3","7146568")</f>
        <v>0</v>
      </c>
      <c r="B5829" t="s">
        <v>2053</v>
      </c>
      <c r="C5829" t="s">
        <v>9267</v>
      </c>
      <c r="D5829" t="s">
        <v>17980</v>
      </c>
      <c r="E5829" t="s">
        <v>23216</v>
      </c>
      <c r="F5829" t="s">
        <v>30900</v>
      </c>
      <c r="G5829" t="s">
        <v>30907</v>
      </c>
      <c r="H5829" t="s">
        <v>30916</v>
      </c>
      <c r="I5829" t="s">
        <v>30947</v>
      </c>
      <c r="J5829" t="s">
        <v>34860</v>
      </c>
      <c r="K5829" t="s">
        <v>40283</v>
      </c>
      <c r="M5829" t="s">
        <v>42752</v>
      </c>
      <c r="N5829" t="s">
        <v>44759</v>
      </c>
      <c r="O5829" t="s">
        <v>44760</v>
      </c>
      <c r="Q5829">
        <v>3</v>
      </c>
      <c r="R5829" t="s">
        <v>44766</v>
      </c>
      <c r="S5829" t="s">
        <v>44935</v>
      </c>
      <c r="T5829" t="s">
        <v>46561</v>
      </c>
      <c r="U5829" t="s">
        <v>51847</v>
      </c>
      <c r="W5829" t="s">
        <v>42752</v>
      </c>
      <c r="X5829" t="s">
        <v>44767</v>
      </c>
    </row>
    <row r="5830" spans="1:24">
      <c r="A5830">
        <f>HYPERLINK("https://www.philgeps.gov.ph/GEPSNONPILOT/Tender/SplashBidNoticeAbstractUI.aspx?menuIndex=3&amp;refID=7146564&amp;Result=3","7146564")</f>
        <v>0</v>
      </c>
      <c r="B5830" t="s">
        <v>2105</v>
      </c>
      <c r="C5830" t="s">
        <v>9268</v>
      </c>
      <c r="D5830" t="s">
        <v>17979</v>
      </c>
      <c r="E5830" t="s">
        <v>18282</v>
      </c>
      <c r="F5830" t="s">
        <v>30900</v>
      </c>
      <c r="G5830" t="s">
        <v>30907</v>
      </c>
      <c r="H5830" t="s">
        <v>30916</v>
      </c>
      <c r="I5830" t="s">
        <v>8123</v>
      </c>
      <c r="J5830" t="s">
        <v>34861</v>
      </c>
      <c r="K5830" t="s">
        <v>40283</v>
      </c>
      <c r="M5830" t="s">
        <v>42804</v>
      </c>
      <c r="N5830" t="s">
        <v>44759</v>
      </c>
      <c r="O5830" t="s">
        <v>44760</v>
      </c>
      <c r="P5830">
        <v>0</v>
      </c>
      <c r="Q5830">
        <v>0</v>
      </c>
      <c r="R5830" t="s">
        <v>44766</v>
      </c>
      <c r="S5830" t="s">
        <v>44902</v>
      </c>
      <c r="T5830" t="s">
        <v>46357</v>
      </c>
      <c r="U5830" t="s">
        <v>51848</v>
      </c>
      <c r="W5830" t="s">
        <v>42804</v>
      </c>
      <c r="X5830" t="s">
        <v>44767</v>
      </c>
    </row>
    <row r="5831" spans="1:24">
      <c r="A5831">
        <f>HYPERLINK("https://www.philgeps.gov.ph/GEPSNONPILOT/Tender/SplashBidNoticeAbstractUI.aspx?menuIndex=3&amp;refID=7146563&amp;Result=3","7146563")</f>
        <v>0</v>
      </c>
      <c r="B5831" t="s">
        <v>523</v>
      </c>
      <c r="C5831" t="s">
        <v>9269</v>
      </c>
      <c r="E5831" t="s">
        <v>23217</v>
      </c>
      <c r="F5831" t="s">
        <v>30900</v>
      </c>
      <c r="G5831" t="s">
        <v>30908</v>
      </c>
      <c r="H5831" t="s">
        <v>30916</v>
      </c>
      <c r="I5831" t="s">
        <v>9385</v>
      </c>
      <c r="J5831" t="s">
        <v>31070</v>
      </c>
      <c r="K5831" t="s">
        <v>40286</v>
      </c>
      <c r="M5831" t="s">
        <v>42805</v>
      </c>
      <c r="N5831" t="s">
        <v>44759</v>
      </c>
      <c r="O5831" t="s">
        <v>44760</v>
      </c>
      <c r="P5831">
        <v>0</v>
      </c>
      <c r="Q5831">
        <v>7</v>
      </c>
      <c r="R5831" t="s">
        <v>44766</v>
      </c>
      <c r="S5831" t="s">
        <v>44902</v>
      </c>
      <c r="T5831" t="s">
        <v>46700</v>
      </c>
      <c r="U5831" t="s">
        <v>51849</v>
      </c>
      <c r="W5831" t="s">
        <v>42805</v>
      </c>
      <c r="X5831" t="s">
        <v>44767</v>
      </c>
    </row>
    <row r="5832" spans="1:24">
      <c r="A5832">
        <f>HYPERLINK("https://www.philgeps.gov.ph/GEPSNONPILOT/Tender/SplashBidNoticeAbstractUI.aspx?menuIndex=3&amp;refID=7146762&amp;Result=3","7146762")</f>
        <v>0</v>
      </c>
      <c r="B5832" t="s">
        <v>1988</v>
      </c>
      <c r="C5832" t="s">
        <v>9270</v>
      </c>
      <c r="D5832" t="s">
        <v>17959</v>
      </c>
      <c r="E5832" t="s">
        <v>23218</v>
      </c>
      <c r="F5832" t="s">
        <v>30900</v>
      </c>
      <c r="G5832" t="s">
        <v>30906</v>
      </c>
      <c r="H5832" t="s">
        <v>30916</v>
      </c>
      <c r="I5832" t="s">
        <v>10847</v>
      </c>
      <c r="J5832" t="s">
        <v>34862</v>
      </c>
      <c r="K5832" t="s">
        <v>40289</v>
      </c>
      <c r="L5832" t="s">
        <v>1988</v>
      </c>
      <c r="M5832" t="s">
        <v>42679</v>
      </c>
      <c r="N5832" t="s">
        <v>44759</v>
      </c>
      <c r="O5832" t="s">
        <v>44760</v>
      </c>
      <c r="Q5832">
        <v>1</v>
      </c>
      <c r="R5832" t="s">
        <v>44766</v>
      </c>
      <c r="S5832" t="s">
        <v>44936</v>
      </c>
      <c r="T5832" t="s">
        <v>46497</v>
      </c>
      <c r="U5832" t="s">
        <v>51539</v>
      </c>
      <c r="W5832" t="s">
        <v>42679</v>
      </c>
      <c r="X5832" t="s">
        <v>44767</v>
      </c>
    </row>
    <row r="5833" spans="1:24">
      <c r="A5833">
        <f>HYPERLINK("https://www.philgeps.gov.ph/GEPSNONPILOT/Tender/SplashBidNoticeAbstractUI.aspx?menuIndex=3&amp;refID=7146562&amp;Result=3","7146562")</f>
        <v>0</v>
      </c>
      <c r="B5833" t="s">
        <v>2106</v>
      </c>
      <c r="C5833" t="s">
        <v>9271</v>
      </c>
      <c r="D5833" t="s">
        <v>18013</v>
      </c>
      <c r="E5833" t="s">
        <v>18169</v>
      </c>
      <c r="F5833" t="s">
        <v>30900</v>
      </c>
      <c r="G5833" t="s">
        <v>30907</v>
      </c>
      <c r="H5833" t="s">
        <v>30916</v>
      </c>
      <c r="I5833" t="s">
        <v>8123</v>
      </c>
      <c r="J5833" t="s">
        <v>34863</v>
      </c>
      <c r="K5833" t="s">
        <v>40283</v>
      </c>
      <c r="M5833" t="s">
        <v>42806</v>
      </c>
      <c r="N5833" t="s">
        <v>44759</v>
      </c>
      <c r="O5833" t="s">
        <v>44760</v>
      </c>
      <c r="P5833">
        <v>0</v>
      </c>
      <c r="Q5833">
        <v>0</v>
      </c>
      <c r="R5833" t="s">
        <v>44766</v>
      </c>
      <c r="S5833" t="s">
        <v>44902</v>
      </c>
      <c r="T5833" t="s">
        <v>46725</v>
      </c>
      <c r="U5833" t="s">
        <v>51850</v>
      </c>
      <c r="W5833" t="s">
        <v>42806</v>
      </c>
      <c r="X5833" t="s">
        <v>44767</v>
      </c>
    </row>
    <row r="5834" spans="1:24">
      <c r="A5834">
        <f>HYPERLINK("https://www.philgeps.gov.ph/GEPSNONPILOT/Tender/SplashBidNoticeAbstractUI.aspx?menuIndex=3&amp;refID=7146561&amp;Result=3","7146561")</f>
        <v>0</v>
      </c>
      <c r="B5834" t="s">
        <v>714</v>
      </c>
      <c r="C5834" t="s">
        <v>9272</v>
      </c>
      <c r="E5834" t="s">
        <v>23219</v>
      </c>
      <c r="F5834" t="s">
        <v>30900</v>
      </c>
      <c r="G5834" t="s">
        <v>30908</v>
      </c>
      <c r="H5834" t="s">
        <v>30916</v>
      </c>
      <c r="I5834" t="s">
        <v>30921</v>
      </c>
      <c r="J5834" t="s">
        <v>31135</v>
      </c>
      <c r="K5834" t="s">
        <v>40289</v>
      </c>
      <c r="M5834" t="s">
        <v>41278</v>
      </c>
      <c r="N5834" t="s">
        <v>44759</v>
      </c>
      <c r="O5834" t="s">
        <v>44760</v>
      </c>
      <c r="P5834">
        <v>0</v>
      </c>
      <c r="Q5834">
        <v>11</v>
      </c>
      <c r="R5834" t="s">
        <v>44766</v>
      </c>
      <c r="S5834" t="s">
        <v>44902</v>
      </c>
      <c r="T5834" t="s">
        <v>46658</v>
      </c>
      <c r="U5834" t="s">
        <v>47009</v>
      </c>
      <c r="W5834" t="s">
        <v>41278</v>
      </c>
      <c r="X5834" t="s">
        <v>44767</v>
      </c>
    </row>
    <row r="5835" spans="1:24">
      <c r="A5835">
        <f>HYPERLINK("https://www.philgeps.gov.ph/GEPSNONPILOT/Tender/SplashBidNoticeAbstractUI.aspx?menuIndex=3&amp;refID=7145478&amp;Result=3","7145478")</f>
        <v>0</v>
      </c>
      <c r="B5835" t="s">
        <v>1292</v>
      </c>
      <c r="C5835" t="s">
        <v>9273</v>
      </c>
      <c r="D5835" t="s">
        <v>17959</v>
      </c>
      <c r="E5835" t="s">
        <v>23220</v>
      </c>
      <c r="F5835" t="s">
        <v>30900</v>
      </c>
      <c r="G5835" t="s">
        <v>30907</v>
      </c>
      <c r="H5835" t="s">
        <v>30916</v>
      </c>
      <c r="I5835" t="s">
        <v>4108</v>
      </c>
      <c r="J5835" t="s">
        <v>34864</v>
      </c>
      <c r="K5835" t="s">
        <v>40286</v>
      </c>
      <c r="M5835" t="s">
        <v>41909</v>
      </c>
      <c r="N5835" t="s">
        <v>44759</v>
      </c>
      <c r="O5835" t="s">
        <v>44760</v>
      </c>
      <c r="P5835">
        <v>0</v>
      </c>
      <c r="Q5835">
        <v>2</v>
      </c>
      <c r="R5835" t="s">
        <v>44766</v>
      </c>
      <c r="S5835" t="s">
        <v>44902</v>
      </c>
      <c r="T5835" t="s">
        <v>46398</v>
      </c>
      <c r="U5835" t="s">
        <v>51851</v>
      </c>
      <c r="W5835" t="s">
        <v>41909</v>
      </c>
      <c r="X5835" t="s">
        <v>44767</v>
      </c>
    </row>
    <row r="5836" spans="1:24">
      <c r="A5836">
        <f>HYPERLINK("https://www.philgeps.gov.ph/GEPSNONPILOT/Tender/SplashBidNoticeAbstractUI.aspx?menuIndex=3&amp;refID=7145475&amp;Result=3","7145475")</f>
        <v>0</v>
      </c>
      <c r="B5836" t="s">
        <v>1966</v>
      </c>
      <c r="C5836" t="s">
        <v>9274</v>
      </c>
      <c r="D5836" t="s">
        <v>17958</v>
      </c>
      <c r="E5836" t="s">
        <v>23221</v>
      </c>
      <c r="F5836" t="s">
        <v>30900</v>
      </c>
      <c r="G5836" t="s">
        <v>30907</v>
      </c>
      <c r="H5836" t="s">
        <v>30916</v>
      </c>
      <c r="I5836" t="s">
        <v>4017</v>
      </c>
      <c r="J5836" t="s">
        <v>34865</v>
      </c>
      <c r="K5836" t="s">
        <v>40280</v>
      </c>
      <c r="M5836" t="s">
        <v>42650</v>
      </c>
      <c r="N5836" t="s">
        <v>44759</v>
      </c>
      <c r="O5836" t="s">
        <v>44760</v>
      </c>
      <c r="P5836">
        <v>0</v>
      </c>
      <c r="Q5836">
        <v>6</v>
      </c>
      <c r="R5836" t="s">
        <v>44766</v>
      </c>
      <c r="S5836" t="s">
        <v>44902</v>
      </c>
      <c r="T5836" t="s">
        <v>46420</v>
      </c>
      <c r="U5836" t="s">
        <v>51852</v>
      </c>
      <c r="W5836" t="s">
        <v>42650</v>
      </c>
      <c r="X5836" t="s">
        <v>44767</v>
      </c>
    </row>
    <row r="5837" spans="1:24">
      <c r="A5837">
        <f>HYPERLINK("https://www.philgeps.gov.ph/GEPSNONPILOT/Tender/SplashBidNoticeAbstractUI.aspx?menuIndex=3&amp;refID=7145432&amp;Result=3","7145432")</f>
        <v>0</v>
      </c>
      <c r="B5837" t="s">
        <v>1962</v>
      </c>
      <c r="C5837" t="s">
        <v>4678</v>
      </c>
      <c r="D5837" t="s">
        <v>17978</v>
      </c>
      <c r="E5837" t="s">
        <v>23222</v>
      </c>
      <c r="F5837" t="s">
        <v>30900</v>
      </c>
      <c r="G5837" t="s">
        <v>30908</v>
      </c>
      <c r="H5837" t="s">
        <v>30915</v>
      </c>
      <c r="I5837" t="s">
        <v>30919</v>
      </c>
      <c r="J5837" t="s">
        <v>31341</v>
      </c>
      <c r="K5837" t="s">
        <v>40289</v>
      </c>
      <c r="M5837" t="s">
        <v>42646</v>
      </c>
      <c r="N5837" t="s">
        <v>44759</v>
      </c>
      <c r="O5837" t="s">
        <v>44760</v>
      </c>
      <c r="P5837">
        <v>0</v>
      </c>
      <c r="Q5837">
        <v>1</v>
      </c>
      <c r="R5837" t="s">
        <v>44766</v>
      </c>
      <c r="S5837" t="s">
        <v>44902</v>
      </c>
      <c r="T5837" t="s">
        <v>46457</v>
      </c>
      <c r="U5837" t="s">
        <v>51853</v>
      </c>
      <c r="W5837" t="s">
        <v>42646</v>
      </c>
      <c r="X5837" t="s">
        <v>44767</v>
      </c>
    </row>
    <row r="5838" spans="1:24">
      <c r="A5838">
        <f>HYPERLINK("https://www.philgeps.gov.ph/GEPSNONPILOT/Tender/SplashBidNoticeAbstractUI.aspx?menuIndex=3&amp;refID=7145425&amp;Result=3","7145425")</f>
        <v>0</v>
      </c>
      <c r="B5838" t="s">
        <v>1971</v>
      </c>
      <c r="C5838" t="s">
        <v>9275</v>
      </c>
      <c r="D5838" t="s">
        <v>17971</v>
      </c>
      <c r="E5838" t="s">
        <v>23223</v>
      </c>
      <c r="F5838" t="s">
        <v>30900</v>
      </c>
      <c r="G5838" t="s">
        <v>30907</v>
      </c>
      <c r="H5838" t="s">
        <v>30916</v>
      </c>
      <c r="I5838" t="s">
        <v>30939</v>
      </c>
      <c r="J5838" t="s">
        <v>31211</v>
      </c>
      <c r="K5838" t="s">
        <v>40283</v>
      </c>
      <c r="M5838" t="s">
        <v>42659</v>
      </c>
      <c r="N5838" t="s">
        <v>44759</v>
      </c>
      <c r="O5838" t="s">
        <v>44760</v>
      </c>
      <c r="P5838">
        <v>0</v>
      </c>
      <c r="Q5838">
        <v>0</v>
      </c>
      <c r="R5838" t="s">
        <v>44766</v>
      </c>
      <c r="S5838" t="s">
        <v>44902</v>
      </c>
      <c r="T5838" t="s">
        <v>46383</v>
      </c>
      <c r="U5838" t="s">
        <v>51854</v>
      </c>
      <c r="V5838" t="s">
        <v>59688</v>
      </c>
      <c r="W5838" t="s">
        <v>42659</v>
      </c>
      <c r="X5838" t="s">
        <v>44767</v>
      </c>
    </row>
    <row r="5839" spans="1:24">
      <c r="A5839">
        <f>HYPERLINK("https://www.philgeps.gov.ph/GEPSNONPILOT/Tender/SplashBidNoticeAbstractUI.aspx?menuIndex=3&amp;refID=7146789&amp;Result=3","7146789")</f>
        <v>0</v>
      </c>
      <c r="B5839" t="s">
        <v>1988</v>
      </c>
      <c r="C5839" t="s">
        <v>9276</v>
      </c>
      <c r="D5839" t="s">
        <v>17959</v>
      </c>
      <c r="E5839" t="s">
        <v>23224</v>
      </c>
      <c r="F5839" t="s">
        <v>30900</v>
      </c>
      <c r="G5839" t="s">
        <v>30906</v>
      </c>
      <c r="H5839" t="s">
        <v>30916</v>
      </c>
      <c r="I5839" t="s">
        <v>10847</v>
      </c>
      <c r="J5839" t="s">
        <v>34866</v>
      </c>
      <c r="K5839" t="s">
        <v>40289</v>
      </c>
      <c r="L5839" t="s">
        <v>1988</v>
      </c>
      <c r="M5839" t="s">
        <v>42679</v>
      </c>
      <c r="N5839" t="s">
        <v>44759</v>
      </c>
      <c r="O5839" t="s">
        <v>44760</v>
      </c>
      <c r="Q5839">
        <v>2</v>
      </c>
      <c r="R5839" t="s">
        <v>44766</v>
      </c>
      <c r="S5839" t="s">
        <v>44937</v>
      </c>
      <c r="T5839" t="s">
        <v>46497</v>
      </c>
      <c r="U5839" t="s">
        <v>51539</v>
      </c>
      <c r="W5839" t="s">
        <v>42679</v>
      </c>
      <c r="X5839" t="s">
        <v>44767</v>
      </c>
    </row>
    <row r="5840" spans="1:24">
      <c r="A5840">
        <f>HYPERLINK("https://www.philgeps.gov.ph/GEPSNONPILOT/Tender/SplashBidNoticeAbstractUI.aspx?menuIndex=3&amp;refID=7146840&amp;Result=3","7146840")</f>
        <v>0</v>
      </c>
      <c r="B5840" t="s">
        <v>1414</v>
      </c>
      <c r="C5840" t="s">
        <v>9277</v>
      </c>
      <c r="D5840" t="s">
        <v>17977</v>
      </c>
      <c r="E5840" t="s">
        <v>23225</v>
      </c>
      <c r="F5840" t="s">
        <v>30900</v>
      </c>
      <c r="G5840" t="s">
        <v>30908</v>
      </c>
      <c r="H5840" t="s">
        <v>30916</v>
      </c>
      <c r="I5840" t="s">
        <v>31000</v>
      </c>
      <c r="J5840" t="s">
        <v>31426</v>
      </c>
      <c r="K5840" t="s">
        <v>40289</v>
      </c>
      <c r="M5840" t="s">
        <v>42043</v>
      </c>
      <c r="N5840" t="s">
        <v>44759</v>
      </c>
      <c r="O5840" t="s">
        <v>44760</v>
      </c>
      <c r="Q5840">
        <v>0</v>
      </c>
      <c r="R5840" t="s">
        <v>44766</v>
      </c>
      <c r="S5840" t="s">
        <v>44938</v>
      </c>
      <c r="T5840" t="s">
        <v>46410</v>
      </c>
      <c r="U5840" t="s">
        <v>49834</v>
      </c>
      <c r="W5840" t="s">
        <v>42043</v>
      </c>
      <c r="X5840" t="s">
        <v>44767</v>
      </c>
    </row>
    <row r="5841" spans="1:24">
      <c r="A5841">
        <f>HYPERLINK("https://www.philgeps.gov.ph/GEPSNONPILOT/Tender/SplashBidNoticeAbstractUI.aspx?menuIndex=3&amp;refID=7146767&amp;Result=3","7146767")</f>
        <v>0</v>
      </c>
      <c r="B5841" t="s">
        <v>2099</v>
      </c>
      <c r="C5841" t="s">
        <v>9278</v>
      </c>
      <c r="D5841" t="s">
        <v>17961</v>
      </c>
      <c r="E5841" t="s">
        <v>23226</v>
      </c>
      <c r="F5841" t="s">
        <v>30900</v>
      </c>
      <c r="G5841" t="s">
        <v>30907</v>
      </c>
      <c r="H5841" t="s">
        <v>30916</v>
      </c>
      <c r="I5841" t="s">
        <v>8123</v>
      </c>
      <c r="J5841" t="s">
        <v>34867</v>
      </c>
      <c r="K5841" t="s">
        <v>40284</v>
      </c>
      <c r="M5841" t="s">
        <v>42798</v>
      </c>
      <c r="N5841" t="s">
        <v>44759</v>
      </c>
      <c r="O5841" t="s">
        <v>44760</v>
      </c>
      <c r="P5841">
        <v>0</v>
      </c>
      <c r="Q5841">
        <v>0</v>
      </c>
      <c r="R5841" t="s">
        <v>44766</v>
      </c>
      <c r="S5841" t="s">
        <v>44902</v>
      </c>
      <c r="T5841" t="s">
        <v>46363</v>
      </c>
      <c r="U5841" t="s">
        <v>51855</v>
      </c>
      <c r="W5841" t="s">
        <v>42798</v>
      </c>
      <c r="X5841" t="s">
        <v>44767</v>
      </c>
    </row>
    <row r="5842" spans="1:24">
      <c r="A5842">
        <f>HYPERLINK("https://www.philgeps.gov.ph/GEPSNONPILOT/Tender/SplashBidNoticeAbstractUI.aspx?menuIndex=3&amp;refID=7146825&amp;Result=3","7146825")</f>
        <v>0</v>
      </c>
      <c r="B5842" t="s">
        <v>167</v>
      </c>
      <c r="C5842" t="s">
        <v>9279</v>
      </c>
      <c r="D5842" t="s">
        <v>17990</v>
      </c>
      <c r="E5842" t="s">
        <v>23227</v>
      </c>
      <c r="F5842" t="s">
        <v>30900</v>
      </c>
      <c r="G5842" t="s">
        <v>30908</v>
      </c>
      <c r="H5842" t="s">
        <v>30916</v>
      </c>
      <c r="I5842" t="s">
        <v>9385</v>
      </c>
      <c r="J5842" t="s">
        <v>31616</v>
      </c>
      <c r="K5842" t="s">
        <v>40283</v>
      </c>
      <c r="M5842" t="s">
        <v>40714</v>
      </c>
      <c r="N5842" t="s">
        <v>44759</v>
      </c>
      <c r="O5842" t="s">
        <v>44760</v>
      </c>
      <c r="P5842">
        <v>0</v>
      </c>
      <c r="Q5842">
        <v>5</v>
      </c>
      <c r="R5842" t="s">
        <v>44766</v>
      </c>
      <c r="S5842" t="s">
        <v>44902</v>
      </c>
      <c r="T5842" t="s">
        <v>46625</v>
      </c>
      <c r="U5842" t="s">
        <v>51856</v>
      </c>
      <c r="V5842" t="s">
        <v>59761</v>
      </c>
      <c r="W5842" t="s">
        <v>40714</v>
      </c>
      <c r="X5842" t="s">
        <v>44767</v>
      </c>
    </row>
    <row r="5843" spans="1:24">
      <c r="A5843">
        <f>HYPERLINK("https://www.philgeps.gov.ph/GEPSNONPILOT/Tender/SplashBidNoticeAbstractUI.aspx?menuIndex=3&amp;refID=7146836&amp;Result=3","7146836")</f>
        <v>0</v>
      </c>
      <c r="B5843" t="s">
        <v>2085</v>
      </c>
      <c r="C5843" t="s">
        <v>9280</v>
      </c>
      <c r="D5843" t="s">
        <v>17960</v>
      </c>
      <c r="E5843" t="s">
        <v>23228</v>
      </c>
      <c r="F5843" t="s">
        <v>30900</v>
      </c>
      <c r="G5843" t="s">
        <v>30908</v>
      </c>
      <c r="H5843" t="s">
        <v>30916</v>
      </c>
      <c r="I5843" t="s">
        <v>4108</v>
      </c>
      <c r="J5843" t="s">
        <v>33995</v>
      </c>
      <c r="K5843" t="s">
        <v>40304</v>
      </c>
      <c r="M5843" t="s">
        <v>42784</v>
      </c>
      <c r="N5843" t="s">
        <v>44759</v>
      </c>
      <c r="O5843" t="s">
        <v>44760</v>
      </c>
      <c r="P5843">
        <v>0</v>
      </c>
      <c r="Q5843">
        <v>2</v>
      </c>
      <c r="R5843" t="s">
        <v>44766</v>
      </c>
      <c r="S5843" t="s">
        <v>44902</v>
      </c>
      <c r="T5843" t="s">
        <v>46410</v>
      </c>
      <c r="U5843" t="s">
        <v>51857</v>
      </c>
      <c r="W5843" t="s">
        <v>42784</v>
      </c>
      <c r="X5843" t="s">
        <v>44767</v>
      </c>
    </row>
    <row r="5844" spans="1:24">
      <c r="A5844">
        <f>HYPERLINK("https://www.philgeps.gov.ph/GEPSNONPILOT/Tender/SplashBidNoticeAbstractUI.aspx?menuIndex=3&amp;refID=7146835&amp;Result=3","7146835")</f>
        <v>0</v>
      </c>
      <c r="B5844" t="s">
        <v>2091</v>
      </c>
      <c r="C5844" t="s">
        <v>9281</v>
      </c>
      <c r="D5844" t="s">
        <v>17952</v>
      </c>
      <c r="E5844" t="s">
        <v>23229</v>
      </c>
      <c r="F5844" t="s">
        <v>30900</v>
      </c>
      <c r="G5844" t="s">
        <v>30908</v>
      </c>
      <c r="H5844" t="s">
        <v>30916</v>
      </c>
      <c r="I5844" t="s">
        <v>10847</v>
      </c>
      <c r="J5844" t="s">
        <v>31498</v>
      </c>
      <c r="K5844" t="s">
        <v>40287</v>
      </c>
      <c r="M5844" t="s">
        <v>42790</v>
      </c>
      <c r="N5844" t="s">
        <v>44759</v>
      </c>
      <c r="O5844" t="s">
        <v>44760</v>
      </c>
      <c r="P5844">
        <v>0</v>
      </c>
      <c r="Q5844">
        <v>1</v>
      </c>
      <c r="R5844" t="s">
        <v>44766</v>
      </c>
      <c r="S5844" t="s">
        <v>44902</v>
      </c>
      <c r="T5844" t="s">
        <v>46374</v>
      </c>
      <c r="U5844" t="s">
        <v>51814</v>
      </c>
      <c r="W5844" t="s">
        <v>42790</v>
      </c>
      <c r="X5844" t="s">
        <v>44767</v>
      </c>
    </row>
    <row r="5845" spans="1:24">
      <c r="A5845">
        <f>HYPERLINK("https://www.philgeps.gov.ph/GEPSNONPILOT/Tender/SplashBidNoticeAbstractUI.aspx?menuIndex=3&amp;refID=7146834&amp;Result=3","7146834")</f>
        <v>0</v>
      </c>
      <c r="B5845" t="s">
        <v>788</v>
      </c>
      <c r="C5845" t="s">
        <v>9282</v>
      </c>
      <c r="D5845" t="s">
        <v>17959</v>
      </c>
      <c r="E5845" t="s">
        <v>23230</v>
      </c>
      <c r="F5845" t="s">
        <v>30900</v>
      </c>
      <c r="G5845" t="s">
        <v>30908</v>
      </c>
      <c r="H5845" t="s">
        <v>30916</v>
      </c>
      <c r="I5845" t="s">
        <v>30965</v>
      </c>
      <c r="J5845" t="s">
        <v>31441</v>
      </c>
      <c r="K5845" t="s">
        <v>40289</v>
      </c>
      <c r="M5845" t="s">
        <v>42807</v>
      </c>
      <c r="N5845" t="s">
        <v>44759</v>
      </c>
      <c r="O5845" t="s">
        <v>44760</v>
      </c>
      <c r="P5845">
        <v>0</v>
      </c>
      <c r="Q5845">
        <v>5</v>
      </c>
      <c r="R5845" t="s">
        <v>44766</v>
      </c>
      <c r="S5845" t="s">
        <v>44902</v>
      </c>
      <c r="T5845" t="s">
        <v>46548</v>
      </c>
      <c r="U5845" t="s">
        <v>51858</v>
      </c>
      <c r="V5845" t="s">
        <v>59762</v>
      </c>
      <c r="W5845" t="s">
        <v>42807</v>
      </c>
      <c r="X5845" t="s">
        <v>44767</v>
      </c>
    </row>
    <row r="5846" spans="1:24">
      <c r="A5846">
        <f>HYPERLINK("https://www.philgeps.gov.ph/GEPSNONPILOT/Tender/SplashBidNoticeAbstractUI.aspx?menuIndex=3&amp;refID=7146827&amp;Result=3","7146827")</f>
        <v>0</v>
      </c>
      <c r="B5846" t="s">
        <v>2066</v>
      </c>
      <c r="C5846" t="s">
        <v>9283</v>
      </c>
      <c r="D5846" t="s">
        <v>17971</v>
      </c>
      <c r="E5846" t="s">
        <v>23231</v>
      </c>
      <c r="F5846" t="s">
        <v>30900</v>
      </c>
      <c r="G5846" t="s">
        <v>30907</v>
      </c>
      <c r="H5846" t="s">
        <v>30916</v>
      </c>
      <c r="I5846" t="s">
        <v>8123</v>
      </c>
      <c r="J5846" t="s">
        <v>34868</v>
      </c>
      <c r="K5846" t="s">
        <v>40286</v>
      </c>
      <c r="L5846" t="s">
        <v>2066</v>
      </c>
      <c r="M5846" t="s">
        <v>42765</v>
      </c>
      <c r="N5846" t="s">
        <v>44759</v>
      </c>
      <c r="O5846" t="s">
        <v>44760</v>
      </c>
      <c r="P5846">
        <v>0</v>
      </c>
      <c r="Q5846">
        <v>1</v>
      </c>
      <c r="R5846" t="s">
        <v>44766</v>
      </c>
      <c r="S5846" t="s">
        <v>44902</v>
      </c>
      <c r="T5846" t="s">
        <v>46405</v>
      </c>
      <c r="U5846" t="s">
        <v>51831</v>
      </c>
      <c r="W5846" t="s">
        <v>42765</v>
      </c>
      <c r="X5846" t="s">
        <v>44767</v>
      </c>
    </row>
    <row r="5847" spans="1:24">
      <c r="A5847">
        <f>HYPERLINK("https://www.philgeps.gov.ph/GEPSNONPILOT/Tender/SplashBidNoticeAbstractUI.aspx?menuIndex=3&amp;refID=7146557&amp;Result=3","7146557")</f>
        <v>0</v>
      </c>
      <c r="B5847" t="s">
        <v>2104</v>
      </c>
      <c r="C5847" t="s">
        <v>9284</v>
      </c>
      <c r="D5847" t="s">
        <v>18009</v>
      </c>
      <c r="E5847" t="s">
        <v>23232</v>
      </c>
      <c r="F5847" t="s">
        <v>30900</v>
      </c>
      <c r="G5847" t="s">
        <v>30907</v>
      </c>
      <c r="H5847" t="s">
        <v>30916</v>
      </c>
      <c r="I5847" t="s">
        <v>4545</v>
      </c>
      <c r="J5847" t="s">
        <v>31183</v>
      </c>
      <c r="K5847" t="s">
        <v>40283</v>
      </c>
      <c r="M5847" t="s">
        <v>42803</v>
      </c>
      <c r="N5847" t="s">
        <v>44759</v>
      </c>
      <c r="O5847" t="s">
        <v>44760</v>
      </c>
      <c r="P5847">
        <v>0</v>
      </c>
      <c r="Q5847">
        <v>1</v>
      </c>
      <c r="R5847" t="s">
        <v>44766</v>
      </c>
      <c r="S5847" t="s">
        <v>44902</v>
      </c>
      <c r="T5847" t="s">
        <v>46519</v>
      </c>
      <c r="U5847" t="s">
        <v>51859</v>
      </c>
      <c r="W5847" t="s">
        <v>42803</v>
      </c>
      <c r="X5847" t="s">
        <v>44767</v>
      </c>
    </row>
    <row r="5848" spans="1:24">
      <c r="A5848">
        <f>HYPERLINK("https://www.philgeps.gov.ph/GEPSNONPILOT/Tender/SplashBidNoticeAbstractUI.aspx?menuIndex=3&amp;refID=7146824&amp;Result=3","7146824")</f>
        <v>0</v>
      </c>
      <c r="B5848" t="s">
        <v>2081</v>
      </c>
      <c r="C5848" t="s">
        <v>9285</v>
      </c>
      <c r="D5848" t="s">
        <v>18040</v>
      </c>
      <c r="E5848" t="s">
        <v>23233</v>
      </c>
      <c r="F5848" t="s">
        <v>30900</v>
      </c>
      <c r="G5848" t="s">
        <v>30907</v>
      </c>
      <c r="H5848" t="s">
        <v>30916</v>
      </c>
      <c r="I5848" t="s">
        <v>31005</v>
      </c>
      <c r="J5848" t="s">
        <v>31204</v>
      </c>
      <c r="K5848" t="s">
        <v>40286</v>
      </c>
      <c r="M5848" t="s">
        <v>42780</v>
      </c>
      <c r="N5848" t="s">
        <v>44759</v>
      </c>
      <c r="O5848" t="s">
        <v>44760</v>
      </c>
      <c r="P5848">
        <v>0</v>
      </c>
      <c r="Q5848">
        <v>1</v>
      </c>
      <c r="R5848" t="s">
        <v>44766</v>
      </c>
      <c r="S5848" t="s">
        <v>44902</v>
      </c>
      <c r="T5848" t="s">
        <v>46389</v>
      </c>
      <c r="U5848" t="s">
        <v>51797</v>
      </c>
      <c r="V5848" t="s">
        <v>59763</v>
      </c>
      <c r="W5848" t="s">
        <v>42780</v>
      </c>
      <c r="X5848" t="s">
        <v>44767</v>
      </c>
    </row>
    <row r="5849" spans="1:24">
      <c r="A5849">
        <f>HYPERLINK("https://www.philgeps.gov.ph/GEPSNONPILOT/Tender/SplashBidNoticeAbstractUI.aspx?menuIndex=3&amp;refID=7146823&amp;Result=3","7146823")</f>
        <v>0</v>
      </c>
      <c r="B5849" t="s">
        <v>2107</v>
      </c>
      <c r="C5849" t="s">
        <v>5049</v>
      </c>
      <c r="D5849" t="s">
        <v>17987</v>
      </c>
      <c r="E5849" t="s">
        <v>23234</v>
      </c>
      <c r="F5849" t="s">
        <v>30900</v>
      </c>
      <c r="G5849" t="s">
        <v>30908</v>
      </c>
      <c r="H5849" t="s">
        <v>30916</v>
      </c>
      <c r="I5849" t="s">
        <v>30923</v>
      </c>
      <c r="J5849" t="s">
        <v>34869</v>
      </c>
      <c r="K5849" t="s">
        <v>40289</v>
      </c>
      <c r="M5849" t="s">
        <v>42808</v>
      </c>
      <c r="N5849" t="s">
        <v>44759</v>
      </c>
      <c r="O5849" t="s">
        <v>44760</v>
      </c>
      <c r="P5849">
        <v>0</v>
      </c>
      <c r="Q5849">
        <v>5</v>
      </c>
      <c r="R5849" t="s">
        <v>44766</v>
      </c>
      <c r="S5849" t="s">
        <v>44902</v>
      </c>
      <c r="T5849" t="s">
        <v>46414</v>
      </c>
      <c r="U5849" t="s">
        <v>48897</v>
      </c>
      <c r="W5849" t="s">
        <v>42808</v>
      </c>
      <c r="X5849" t="s">
        <v>44767</v>
      </c>
    </row>
    <row r="5850" spans="1:24">
      <c r="A5850">
        <f>HYPERLINK("https://www.philgeps.gov.ph/GEPSNONPILOT/Tender/SplashBidNoticeAbstractUI.aspx?menuIndex=3&amp;refID=7146874&amp;Result=3","7146874")</f>
        <v>0</v>
      </c>
      <c r="B5850" t="s">
        <v>2108</v>
      </c>
      <c r="C5850" t="s">
        <v>9286</v>
      </c>
      <c r="D5850" t="s">
        <v>17967</v>
      </c>
      <c r="E5850" t="s">
        <v>23235</v>
      </c>
      <c r="F5850" t="s">
        <v>30900</v>
      </c>
      <c r="G5850" t="s">
        <v>30907</v>
      </c>
      <c r="H5850" t="s">
        <v>30916</v>
      </c>
      <c r="I5850" t="s">
        <v>4545</v>
      </c>
      <c r="J5850" t="s">
        <v>31341</v>
      </c>
      <c r="K5850" t="s">
        <v>40289</v>
      </c>
      <c r="M5850" t="s">
        <v>42809</v>
      </c>
      <c r="N5850" t="s">
        <v>44759</v>
      </c>
      <c r="O5850" t="s">
        <v>44760</v>
      </c>
      <c r="P5850">
        <v>0</v>
      </c>
      <c r="Q5850">
        <v>0</v>
      </c>
      <c r="R5850" t="s">
        <v>44766</v>
      </c>
      <c r="S5850" t="s">
        <v>44902</v>
      </c>
      <c r="T5850" t="s">
        <v>46414</v>
      </c>
      <c r="U5850" t="s">
        <v>51860</v>
      </c>
      <c r="W5850" t="s">
        <v>42809</v>
      </c>
      <c r="X5850" t="s">
        <v>44767</v>
      </c>
    </row>
    <row r="5851" spans="1:24">
      <c r="A5851">
        <f>HYPERLINK("https://www.philgeps.gov.ph/GEPSNONPILOT/Tender/SplashBidNoticeAbstractUI.aspx?menuIndex=3&amp;refID=7146837&amp;Result=3","7146837")</f>
        <v>0</v>
      </c>
      <c r="B5851" t="s">
        <v>2109</v>
      </c>
      <c r="C5851" t="s">
        <v>9287</v>
      </c>
      <c r="D5851" t="s">
        <v>17985</v>
      </c>
      <c r="E5851" t="s">
        <v>23236</v>
      </c>
      <c r="F5851" t="s">
        <v>30900</v>
      </c>
      <c r="G5851" t="s">
        <v>30907</v>
      </c>
      <c r="H5851" t="s">
        <v>30915</v>
      </c>
      <c r="I5851" t="s">
        <v>30948</v>
      </c>
      <c r="J5851" t="s">
        <v>34870</v>
      </c>
      <c r="K5851" t="s">
        <v>40384</v>
      </c>
      <c r="M5851" t="s">
        <v>42810</v>
      </c>
      <c r="N5851" t="s">
        <v>44759</v>
      </c>
      <c r="O5851" t="s">
        <v>44760</v>
      </c>
      <c r="P5851">
        <v>0</v>
      </c>
      <c r="Q5851">
        <v>3</v>
      </c>
      <c r="R5851" t="s">
        <v>44766</v>
      </c>
      <c r="S5851" t="s">
        <v>44902</v>
      </c>
      <c r="T5851" t="s">
        <v>46379</v>
      </c>
      <c r="U5851" t="s">
        <v>51861</v>
      </c>
      <c r="W5851" t="s">
        <v>42810</v>
      </c>
      <c r="X5851" t="s">
        <v>44767</v>
      </c>
    </row>
    <row r="5852" spans="1:24">
      <c r="A5852">
        <f>HYPERLINK("https://www.philgeps.gov.ph/GEPSNONPILOT/Tender/SplashBidNoticeAbstractUI.aspx?menuIndex=3&amp;refID=7146883&amp;Result=3","7146883")</f>
        <v>0</v>
      </c>
      <c r="B5852" t="s">
        <v>2109</v>
      </c>
      <c r="C5852" t="s">
        <v>9288</v>
      </c>
      <c r="D5852" t="s">
        <v>17985</v>
      </c>
      <c r="E5852" t="s">
        <v>23237</v>
      </c>
      <c r="F5852" t="s">
        <v>30900</v>
      </c>
      <c r="G5852" t="s">
        <v>30907</v>
      </c>
      <c r="H5852" t="s">
        <v>30915</v>
      </c>
      <c r="I5852" t="s">
        <v>30948</v>
      </c>
      <c r="J5852" t="s">
        <v>34871</v>
      </c>
      <c r="K5852" t="s">
        <v>40398</v>
      </c>
      <c r="M5852" t="s">
        <v>42810</v>
      </c>
      <c r="N5852" t="s">
        <v>44759</v>
      </c>
      <c r="O5852" t="s">
        <v>44760</v>
      </c>
      <c r="P5852">
        <v>0</v>
      </c>
      <c r="Q5852">
        <v>4</v>
      </c>
      <c r="R5852" t="s">
        <v>44766</v>
      </c>
      <c r="S5852" t="s">
        <v>44902</v>
      </c>
      <c r="T5852" t="s">
        <v>46379</v>
      </c>
      <c r="U5852" t="s">
        <v>51862</v>
      </c>
      <c r="W5852" t="s">
        <v>42810</v>
      </c>
      <c r="X5852" t="s">
        <v>44767</v>
      </c>
    </row>
    <row r="5853" spans="1:24">
      <c r="A5853">
        <f>HYPERLINK("https://www.philgeps.gov.ph/GEPSNONPILOT/Tender/SplashBidNoticeAbstractUI.aspx?menuIndex=3&amp;refID=7146882&amp;Result=3","7146882")</f>
        <v>0</v>
      </c>
      <c r="B5853" t="s">
        <v>591</v>
      </c>
      <c r="C5853" t="s">
        <v>9289</v>
      </c>
      <c r="D5853" t="s">
        <v>17998</v>
      </c>
      <c r="E5853" t="s">
        <v>23238</v>
      </c>
      <c r="F5853" t="s">
        <v>30900</v>
      </c>
      <c r="G5853" t="s">
        <v>30907</v>
      </c>
      <c r="H5853" t="s">
        <v>30916</v>
      </c>
      <c r="I5853" t="s">
        <v>8123</v>
      </c>
      <c r="J5853" t="s">
        <v>31257</v>
      </c>
      <c r="K5853" t="s">
        <v>40286</v>
      </c>
      <c r="M5853" t="s">
        <v>41247</v>
      </c>
      <c r="N5853" t="s">
        <v>44759</v>
      </c>
      <c r="O5853" t="s">
        <v>44760</v>
      </c>
      <c r="P5853">
        <v>0</v>
      </c>
      <c r="Q5853">
        <v>0</v>
      </c>
      <c r="R5853" t="s">
        <v>44766</v>
      </c>
      <c r="S5853" t="s">
        <v>44902</v>
      </c>
      <c r="T5853" t="s">
        <v>46389</v>
      </c>
      <c r="U5853" t="s">
        <v>47975</v>
      </c>
      <c r="V5853" t="s">
        <v>59259</v>
      </c>
      <c r="W5853" t="s">
        <v>41247</v>
      </c>
      <c r="X5853" t="s">
        <v>44767</v>
      </c>
    </row>
    <row r="5854" spans="1:24">
      <c r="A5854">
        <f>HYPERLINK("https://www.philgeps.gov.ph/GEPSNONPILOT/Tender/SplashBidNoticeAbstractUI.aspx?menuIndex=3&amp;refID=7146829&amp;Result=3","7146829")</f>
        <v>0</v>
      </c>
      <c r="B5854" t="s">
        <v>2099</v>
      </c>
      <c r="C5854" t="s">
        <v>9290</v>
      </c>
      <c r="D5854" t="s">
        <v>17961</v>
      </c>
      <c r="E5854" t="s">
        <v>23239</v>
      </c>
      <c r="F5854" t="s">
        <v>30900</v>
      </c>
      <c r="G5854" t="s">
        <v>30907</v>
      </c>
      <c r="H5854" t="s">
        <v>30915</v>
      </c>
      <c r="I5854" t="s">
        <v>30919</v>
      </c>
      <c r="J5854" t="s">
        <v>34872</v>
      </c>
      <c r="K5854" t="s">
        <v>40292</v>
      </c>
      <c r="M5854" t="s">
        <v>42798</v>
      </c>
      <c r="N5854" t="s">
        <v>44759</v>
      </c>
      <c r="O5854" t="s">
        <v>44760</v>
      </c>
      <c r="P5854">
        <v>0</v>
      </c>
      <c r="Q5854">
        <v>1</v>
      </c>
      <c r="R5854" t="s">
        <v>44766</v>
      </c>
      <c r="S5854" t="s">
        <v>44902</v>
      </c>
      <c r="T5854" t="s">
        <v>46497</v>
      </c>
      <c r="U5854" t="s">
        <v>51863</v>
      </c>
      <c r="W5854" t="s">
        <v>42798</v>
      </c>
      <c r="X5854" t="s">
        <v>44767</v>
      </c>
    </row>
    <row r="5855" spans="1:24">
      <c r="A5855">
        <f>HYPERLINK("https://www.philgeps.gov.ph/GEPSNONPILOT/Tender/SplashBidNoticeAbstractUI.aspx?menuIndex=3&amp;refID=7146734&amp;Result=3","7146734")</f>
        <v>0</v>
      </c>
      <c r="B5855" t="s">
        <v>2066</v>
      </c>
      <c r="C5855" t="s">
        <v>9291</v>
      </c>
      <c r="D5855" t="s">
        <v>17971</v>
      </c>
      <c r="E5855" t="s">
        <v>23240</v>
      </c>
      <c r="F5855" t="s">
        <v>30900</v>
      </c>
      <c r="G5855" t="s">
        <v>30907</v>
      </c>
      <c r="H5855" t="s">
        <v>30916</v>
      </c>
      <c r="I5855" t="s">
        <v>8123</v>
      </c>
      <c r="J5855" t="s">
        <v>34873</v>
      </c>
      <c r="K5855" t="s">
        <v>40286</v>
      </c>
      <c r="L5855" t="s">
        <v>2066</v>
      </c>
      <c r="M5855" t="s">
        <v>42765</v>
      </c>
      <c r="N5855" t="s">
        <v>44759</v>
      </c>
      <c r="O5855" t="s">
        <v>44760</v>
      </c>
      <c r="P5855">
        <v>0</v>
      </c>
      <c r="Q5855">
        <v>1</v>
      </c>
      <c r="R5855" t="s">
        <v>44766</v>
      </c>
      <c r="S5855" t="s">
        <v>44902</v>
      </c>
      <c r="T5855" t="s">
        <v>46405</v>
      </c>
      <c r="U5855" t="s">
        <v>51831</v>
      </c>
      <c r="W5855" t="s">
        <v>42765</v>
      </c>
      <c r="X5855" t="s">
        <v>44767</v>
      </c>
    </row>
    <row r="5856" spans="1:24">
      <c r="A5856">
        <f>HYPERLINK("https://www.philgeps.gov.ph/GEPSNONPILOT/Tender/SplashBidNoticeAbstractUI.aspx?menuIndex=3&amp;refID=7146880&amp;Result=3","7146880")</f>
        <v>0</v>
      </c>
      <c r="B5856" t="s">
        <v>1967</v>
      </c>
      <c r="C5856" t="s">
        <v>9292</v>
      </c>
      <c r="D5856" t="s">
        <v>17988</v>
      </c>
      <c r="E5856" t="s">
        <v>23241</v>
      </c>
      <c r="F5856" t="s">
        <v>30900</v>
      </c>
      <c r="G5856" t="s">
        <v>30908</v>
      </c>
      <c r="H5856" t="s">
        <v>30915</v>
      </c>
      <c r="I5856" t="s">
        <v>30919</v>
      </c>
      <c r="J5856" t="s">
        <v>34874</v>
      </c>
      <c r="K5856" t="s">
        <v>40289</v>
      </c>
      <c r="M5856" t="s">
        <v>42653</v>
      </c>
      <c r="N5856" t="s">
        <v>44759</v>
      </c>
      <c r="O5856" t="s">
        <v>44760</v>
      </c>
      <c r="P5856">
        <v>0</v>
      </c>
      <c r="Q5856">
        <v>0</v>
      </c>
      <c r="R5856" t="s">
        <v>44766</v>
      </c>
      <c r="S5856" t="s">
        <v>44902</v>
      </c>
      <c r="T5856" t="s">
        <v>46625</v>
      </c>
      <c r="U5856" t="s">
        <v>51477</v>
      </c>
      <c r="W5856" t="s">
        <v>42653</v>
      </c>
      <c r="X5856" t="s">
        <v>44767</v>
      </c>
    </row>
    <row r="5857" spans="1:24">
      <c r="A5857">
        <f>HYPERLINK("https://www.philgeps.gov.ph/GEPSNONPILOT/Tender/SplashBidNoticeAbstractUI.aspx?menuIndex=3&amp;refID=7146572&amp;Result=3","7146572")</f>
        <v>0</v>
      </c>
      <c r="B5857" t="s">
        <v>2084</v>
      </c>
      <c r="C5857" t="s">
        <v>9293</v>
      </c>
      <c r="D5857" t="s">
        <v>17981</v>
      </c>
      <c r="E5857" t="s">
        <v>23242</v>
      </c>
      <c r="F5857" t="s">
        <v>30900</v>
      </c>
      <c r="G5857" t="s">
        <v>30908</v>
      </c>
      <c r="H5857" t="s">
        <v>30916</v>
      </c>
      <c r="I5857" t="s">
        <v>4545</v>
      </c>
      <c r="J5857" t="s">
        <v>31067</v>
      </c>
      <c r="K5857" t="s">
        <v>40287</v>
      </c>
      <c r="M5857" t="s">
        <v>42783</v>
      </c>
      <c r="N5857" t="s">
        <v>44759</v>
      </c>
      <c r="O5857" t="s">
        <v>44760</v>
      </c>
      <c r="P5857">
        <v>0</v>
      </c>
      <c r="Q5857">
        <v>2</v>
      </c>
      <c r="R5857" t="s">
        <v>44766</v>
      </c>
      <c r="S5857" t="s">
        <v>44902</v>
      </c>
      <c r="T5857" t="s">
        <v>46612</v>
      </c>
      <c r="U5857" t="s">
        <v>51864</v>
      </c>
      <c r="W5857" t="s">
        <v>42783</v>
      </c>
      <c r="X5857" t="s">
        <v>44767</v>
      </c>
    </row>
    <row r="5858" spans="1:24">
      <c r="A5858">
        <f>HYPERLINK("https://www.philgeps.gov.ph/GEPSNONPILOT/Tender/SplashBidNoticeAbstractUI.aspx?menuIndex=3&amp;refID=7146820&amp;Result=3","7146820")</f>
        <v>0</v>
      </c>
      <c r="B5858" t="s">
        <v>1944</v>
      </c>
      <c r="C5858" t="s">
        <v>9294</v>
      </c>
      <c r="D5858" t="s">
        <v>17973</v>
      </c>
      <c r="E5858" t="s">
        <v>22806</v>
      </c>
      <c r="F5858" t="s">
        <v>30900</v>
      </c>
      <c r="G5858" t="s">
        <v>30907</v>
      </c>
      <c r="H5858" t="s">
        <v>30916</v>
      </c>
      <c r="I5858" t="s">
        <v>5501</v>
      </c>
      <c r="J5858" t="s">
        <v>31270</v>
      </c>
      <c r="K5858" t="s">
        <v>40284</v>
      </c>
      <c r="M5858" t="s">
        <v>42626</v>
      </c>
      <c r="N5858" t="s">
        <v>44759</v>
      </c>
      <c r="O5858" t="s">
        <v>44760</v>
      </c>
      <c r="P5858">
        <v>0</v>
      </c>
      <c r="Q5858">
        <v>4</v>
      </c>
      <c r="R5858" t="s">
        <v>44766</v>
      </c>
      <c r="S5858" t="s">
        <v>44902</v>
      </c>
      <c r="T5858" t="s">
        <v>46390</v>
      </c>
      <c r="U5858" t="s">
        <v>51419</v>
      </c>
      <c r="W5858" t="s">
        <v>42626</v>
      </c>
      <c r="X5858" t="s">
        <v>44767</v>
      </c>
    </row>
    <row r="5859" spans="1:24">
      <c r="A5859">
        <f>HYPERLINK("https://www.philgeps.gov.ph/GEPSNONPILOT/Tender/SplashBidNoticeAbstractUI.aspx?menuIndex=3&amp;refID=7146876&amp;Result=3","7146876")</f>
        <v>0</v>
      </c>
      <c r="B5859" t="s">
        <v>2110</v>
      </c>
      <c r="C5859" t="s">
        <v>9295</v>
      </c>
      <c r="D5859" t="s">
        <v>17963</v>
      </c>
      <c r="E5859" t="s">
        <v>23243</v>
      </c>
      <c r="F5859" t="s">
        <v>30900</v>
      </c>
      <c r="G5859" t="s">
        <v>30907</v>
      </c>
      <c r="H5859" t="s">
        <v>30915</v>
      </c>
      <c r="I5859" t="s">
        <v>30919</v>
      </c>
      <c r="J5859" t="s">
        <v>34875</v>
      </c>
      <c r="K5859" t="s">
        <v>40346</v>
      </c>
      <c r="M5859" t="s">
        <v>42811</v>
      </c>
      <c r="N5859" t="s">
        <v>44759</v>
      </c>
      <c r="O5859" t="s">
        <v>44760</v>
      </c>
      <c r="P5859">
        <v>0</v>
      </c>
      <c r="Q5859">
        <v>0</v>
      </c>
      <c r="R5859" t="s">
        <v>44766</v>
      </c>
      <c r="S5859" t="s">
        <v>44902</v>
      </c>
      <c r="T5859" t="s">
        <v>46398</v>
      </c>
      <c r="U5859" t="s">
        <v>51865</v>
      </c>
      <c r="W5859" t="s">
        <v>42811</v>
      </c>
      <c r="X5859" t="s">
        <v>44767</v>
      </c>
    </row>
    <row r="5860" spans="1:24">
      <c r="A5860">
        <f>HYPERLINK("https://www.philgeps.gov.ph/GEPSNONPILOT/Tender/SplashBidNoticeAbstractUI.aspx?menuIndex=3&amp;refID=7146872&amp;Result=3","7146872")</f>
        <v>0</v>
      </c>
      <c r="B5860" t="s">
        <v>1383</v>
      </c>
      <c r="C5860" t="s">
        <v>9296</v>
      </c>
      <c r="D5860" t="s">
        <v>18032</v>
      </c>
      <c r="E5860" t="s">
        <v>23244</v>
      </c>
      <c r="F5860" t="s">
        <v>30900</v>
      </c>
      <c r="G5860" t="s">
        <v>30908</v>
      </c>
      <c r="H5860" t="s">
        <v>30916</v>
      </c>
      <c r="I5860" t="s">
        <v>30923</v>
      </c>
      <c r="J5860" t="s">
        <v>34876</v>
      </c>
      <c r="K5860" t="s">
        <v>40289</v>
      </c>
      <c r="M5860" t="s">
        <v>42007</v>
      </c>
      <c r="N5860" t="s">
        <v>44759</v>
      </c>
      <c r="O5860" t="s">
        <v>44760</v>
      </c>
      <c r="P5860">
        <v>0</v>
      </c>
      <c r="Q5860">
        <v>2</v>
      </c>
      <c r="R5860" t="s">
        <v>44766</v>
      </c>
      <c r="S5860" t="s">
        <v>44902</v>
      </c>
      <c r="T5860" t="s">
        <v>46581</v>
      </c>
      <c r="U5860" t="s">
        <v>51652</v>
      </c>
      <c r="W5860" t="s">
        <v>42007</v>
      </c>
      <c r="X5860" t="s">
        <v>44767</v>
      </c>
    </row>
    <row r="5861" spans="1:24">
      <c r="A5861">
        <f>HYPERLINK("https://www.philgeps.gov.ph/GEPSNONPILOT/Tender/SplashBidNoticeAbstractUI.aspx?menuIndex=3&amp;refID=7146870&amp;Result=3","7146870")</f>
        <v>0</v>
      </c>
      <c r="B5861" t="s">
        <v>2111</v>
      </c>
      <c r="C5861" t="s">
        <v>9297</v>
      </c>
      <c r="D5861" t="s">
        <v>17993</v>
      </c>
      <c r="E5861" t="s">
        <v>23245</v>
      </c>
      <c r="F5861" t="s">
        <v>30900</v>
      </c>
      <c r="G5861" t="s">
        <v>30908</v>
      </c>
      <c r="H5861" t="s">
        <v>30916</v>
      </c>
      <c r="I5861" t="s">
        <v>8123</v>
      </c>
      <c r="J5861" t="s">
        <v>33980</v>
      </c>
      <c r="K5861" t="s">
        <v>40287</v>
      </c>
      <c r="M5861" t="s">
        <v>42812</v>
      </c>
      <c r="N5861" t="s">
        <v>44759</v>
      </c>
      <c r="O5861" t="s">
        <v>44760</v>
      </c>
      <c r="P5861">
        <v>0</v>
      </c>
      <c r="Q5861">
        <v>0</v>
      </c>
      <c r="R5861" t="s">
        <v>44766</v>
      </c>
      <c r="S5861" t="s">
        <v>44902</v>
      </c>
      <c r="T5861" t="s">
        <v>46390</v>
      </c>
      <c r="U5861" t="s">
        <v>51866</v>
      </c>
      <c r="W5861" t="s">
        <v>42812</v>
      </c>
      <c r="X5861" t="s">
        <v>44767</v>
      </c>
    </row>
    <row r="5862" spans="1:24">
      <c r="A5862">
        <f>HYPERLINK("https://www.philgeps.gov.ph/GEPSNONPILOT/Tender/SplashBidNoticeAbstractUI.aspx?menuIndex=3&amp;refID=7146868&amp;Result=3","7146868")</f>
        <v>0</v>
      </c>
      <c r="B5862" t="s">
        <v>1944</v>
      </c>
      <c r="C5862" t="s">
        <v>9298</v>
      </c>
      <c r="D5862" t="s">
        <v>17973</v>
      </c>
      <c r="E5862" t="s">
        <v>23028</v>
      </c>
      <c r="F5862" t="s">
        <v>30900</v>
      </c>
      <c r="G5862" t="s">
        <v>30907</v>
      </c>
      <c r="H5862" t="s">
        <v>30916</v>
      </c>
      <c r="I5862" t="s">
        <v>30957</v>
      </c>
      <c r="J5862" t="s">
        <v>34877</v>
      </c>
      <c r="K5862" t="s">
        <v>40287</v>
      </c>
      <c r="M5862" t="s">
        <v>42626</v>
      </c>
      <c r="N5862" t="s">
        <v>44759</v>
      </c>
      <c r="O5862" t="s">
        <v>44760</v>
      </c>
      <c r="P5862">
        <v>0</v>
      </c>
      <c r="Q5862">
        <v>0</v>
      </c>
      <c r="R5862" t="s">
        <v>44766</v>
      </c>
      <c r="S5862" t="s">
        <v>44902</v>
      </c>
      <c r="T5862" t="s">
        <v>46390</v>
      </c>
      <c r="U5862" t="s">
        <v>51572</v>
      </c>
      <c r="W5862" t="s">
        <v>42626</v>
      </c>
      <c r="X5862" t="s">
        <v>44767</v>
      </c>
    </row>
    <row r="5863" spans="1:24">
      <c r="A5863">
        <f>HYPERLINK("https://www.philgeps.gov.ph/GEPSNONPILOT/Tender/SplashBidNoticeAbstractUI.aspx?menuIndex=3&amp;refID=7146867&amp;Result=3","7146867")</f>
        <v>0</v>
      </c>
      <c r="B5863" t="s">
        <v>2112</v>
      </c>
      <c r="C5863" t="s">
        <v>8123</v>
      </c>
      <c r="D5863" t="s">
        <v>17961</v>
      </c>
      <c r="E5863" t="s">
        <v>23246</v>
      </c>
      <c r="F5863" t="s">
        <v>30900</v>
      </c>
      <c r="G5863" t="s">
        <v>30908</v>
      </c>
      <c r="H5863" t="s">
        <v>30916</v>
      </c>
      <c r="I5863" t="s">
        <v>8123</v>
      </c>
      <c r="J5863" t="s">
        <v>31423</v>
      </c>
      <c r="K5863" t="s">
        <v>40283</v>
      </c>
      <c r="M5863" t="s">
        <v>42813</v>
      </c>
      <c r="N5863" t="s">
        <v>44759</v>
      </c>
      <c r="O5863" t="s">
        <v>44760</v>
      </c>
      <c r="P5863">
        <v>0</v>
      </c>
      <c r="Q5863">
        <v>2</v>
      </c>
      <c r="R5863" t="s">
        <v>44766</v>
      </c>
      <c r="S5863" t="s">
        <v>44902</v>
      </c>
      <c r="T5863" t="s">
        <v>46662</v>
      </c>
      <c r="U5863" t="s">
        <v>51867</v>
      </c>
      <c r="W5863" t="s">
        <v>42813</v>
      </c>
      <c r="X5863" t="s">
        <v>44767</v>
      </c>
    </row>
    <row r="5864" spans="1:24">
      <c r="A5864">
        <f>HYPERLINK("https://www.philgeps.gov.ph/GEPSNONPILOT/Tender/SplashBidNoticeAbstractUI.aspx?menuIndex=3&amp;refID=7146864&amp;Result=3","7146864")</f>
        <v>0</v>
      </c>
      <c r="B5864" t="s">
        <v>2113</v>
      </c>
      <c r="C5864" t="s">
        <v>9299</v>
      </c>
      <c r="D5864" t="s">
        <v>18023</v>
      </c>
      <c r="E5864" t="s">
        <v>23247</v>
      </c>
      <c r="F5864" t="s">
        <v>30900</v>
      </c>
      <c r="G5864" t="s">
        <v>30907</v>
      </c>
      <c r="H5864" t="s">
        <v>30916</v>
      </c>
      <c r="I5864" t="s">
        <v>30949</v>
      </c>
      <c r="J5864" t="s">
        <v>34878</v>
      </c>
      <c r="K5864" t="s">
        <v>40286</v>
      </c>
      <c r="M5864" t="s">
        <v>42814</v>
      </c>
      <c r="N5864" t="s">
        <v>44759</v>
      </c>
      <c r="O5864" t="s">
        <v>44760</v>
      </c>
      <c r="P5864">
        <v>0</v>
      </c>
      <c r="Q5864">
        <v>1</v>
      </c>
      <c r="R5864" t="s">
        <v>44766</v>
      </c>
      <c r="S5864" t="s">
        <v>44902</v>
      </c>
      <c r="T5864" t="s">
        <v>46395</v>
      </c>
      <c r="U5864" t="s">
        <v>51868</v>
      </c>
      <c r="W5864" t="s">
        <v>42814</v>
      </c>
      <c r="X5864" t="s">
        <v>44767</v>
      </c>
    </row>
    <row r="5865" spans="1:24">
      <c r="A5865">
        <f>HYPERLINK("https://www.philgeps.gov.ph/GEPSNONPILOT/Tender/SplashBidNoticeAbstractUI.aspx?menuIndex=3&amp;refID=7146859&amp;Result=3","7146859")</f>
        <v>0</v>
      </c>
      <c r="B5865" t="s">
        <v>2099</v>
      </c>
      <c r="C5865" t="s">
        <v>9300</v>
      </c>
      <c r="D5865" t="s">
        <v>17961</v>
      </c>
      <c r="E5865" t="s">
        <v>23248</v>
      </c>
      <c r="F5865" t="s">
        <v>30900</v>
      </c>
      <c r="G5865" t="s">
        <v>30907</v>
      </c>
      <c r="H5865" t="s">
        <v>30915</v>
      </c>
      <c r="I5865" t="s">
        <v>30919</v>
      </c>
      <c r="J5865" t="s">
        <v>34879</v>
      </c>
      <c r="K5865" t="s">
        <v>40420</v>
      </c>
      <c r="M5865" t="s">
        <v>42798</v>
      </c>
      <c r="N5865" t="s">
        <v>44759</v>
      </c>
      <c r="O5865" t="s">
        <v>44760</v>
      </c>
      <c r="P5865">
        <v>0</v>
      </c>
      <c r="Q5865">
        <v>1</v>
      </c>
      <c r="R5865" t="s">
        <v>44766</v>
      </c>
      <c r="S5865" t="s">
        <v>44902</v>
      </c>
      <c r="T5865" t="s">
        <v>46497</v>
      </c>
      <c r="U5865" t="s">
        <v>51869</v>
      </c>
      <c r="W5865" t="s">
        <v>42798</v>
      </c>
      <c r="X5865" t="s">
        <v>44767</v>
      </c>
    </row>
    <row r="5866" spans="1:24">
      <c r="A5866">
        <f>HYPERLINK("https://www.philgeps.gov.ph/GEPSNONPILOT/Tender/SplashBidNoticeAbstractUI.aspx?menuIndex=3&amp;refID=7146856&amp;Result=3","7146856")</f>
        <v>0</v>
      </c>
      <c r="B5866" t="s">
        <v>180</v>
      </c>
      <c r="C5866" t="s">
        <v>9301</v>
      </c>
      <c r="D5866" t="s">
        <v>17987</v>
      </c>
      <c r="E5866" t="s">
        <v>23249</v>
      </c>
      <c r="F5866" t="s">
        <v>30900</v>
      </c>
      <c r="G5866" t="s">
        <v>30907</v>
      </c>
      <c r="H5866" t="s">
        <v>30916</v>
      </c>
      <c r="I5866" t="s">
        <v>8123</v>
      </c>
      <c r="J5866" t="s">
        <v>34880</v>
      </c>
      <c r="K5866" t="s">
        <v>40284</v>
      </c>
      <c r="M5866" t="s">
        <v>40727</v>
      </c>
      <c r="N5866" t="s">
        <v>44759</v>
      </c>
      <c r="O5866" t="s">
        <v>44760</v>
      </c>
      <c r="P5866">
        <v>0</v>
      </c>
      <c r="Q5866">
        <v>0</v>
      </c>
      <c r="R5866" t="s">
        <v>44766</v>
      </c>
      <c r="S5866" t="s">
        <v>44902</v>
      </c>
      <c r="T5866" t="s">
        <v>46409</v>
      </c>
      <c r="U5866" t="s">
        <v>51870</v>
      </c>
      <c r="W5866" t="s">
        <v>40727</v>
      </c>
      <c r="X5866" t="s">
        <v>44767</v>
      </c>
    </row>
    <row r="5867" spans="1:24">
      <c r="A5867">
        <f>HYPERLINK("https://www.philgeps.gov.ph/GEPSNONPILOT/Tender/SplashBidNoticeAbstractUI.aspx?menuIndex=3&amp;refID=7146855&amp;Result=3","7146855")</f>
        <v>0</v>
      </c>
      <c r="B5867" t="s">
        <v>380</v>
      </c>
      <c r="C5867" t="s">
        <v>9302</v>
      </c>
      <c r="D5867" t="s">
        <v>18003</v>
      </c>
      <c r="E5867" t="s">
        <v>23250</v>
      </c>
      <c r="F5867" t="s">
        <v>30900</v>
      </c>
      <c r="G5867" t="s">
        <v>30907</v>
      </c>
      <c r="H5867" t="s">
        <v>30915</v>
      </c>
      <c r="I5867" t="s">
        <v>30919</v>
      </c>
      <c r="J5867" t="s">
        <v>31101</v>
      </c>
      <c r="K5867" t="s">
        <v>40280</v>
      </c>
      <c r="M5867" t="s">
        <v>40934</v>
      </c>
      <c r="N5867" t="s">
        <v>44759</v>
      </c>
      <c r="O5867" t="s">
        <v>44760</v>
      </c>
      <c r="P5867">
        <v>0</v>
      </c>
      <c r="Q5867">
        <v>0</v>
      </c>
      <c r="R5867" t="s">
        <v>44766</v>
      </c>
      <c r="S5867" t="s">
        <v>44902</v>
      </c>
      <c r="T5867" t="s">
        <v>46719</v>
      </c>
      <c r="U5867" t="s">
        <v>51829</v>
      </c>
      <c r="W5867" t="s">
        <v>40934</v>
      </c>
      <c r="X5867" t="s">
        <v>44767</v>
      </c>
    </row>
    <row r="5868" spans="1:24">
      <c r="A5868">
        <f>HYPERLINK("https://www.philgeps.gov.ph/GEPSNONPILOT/Tender/SplashBidNoticeAbstractUI.aspx?menuIndex=3&amp;refID=7146853&amp;Result=3","7146853")</f>
        <v>0</v>
      </c>
      <c r="B5868" t="s">
        <v>1988</v>
      </c>
      <c r="C5868" t="s">
        <v>9303</v>
      </c>
      <c r="D5868" t="s">
        <v>17959</v>
      </c>
      <c r="E5868" t="s">
        <v>23251</v>
      </c>
      <c r="F5868" t="s">
        <v>30900</v>
      </c>
      <c r="G5868" t="s">
        <v>30906</v>
      </c>
      <c r="H5868" t="s">
        <v>30916</v>
      </c>
      <c r="I5868" t="s">
        <v>8123</v>
      </c>
      <c r="J5868" t="s">
        <v>34573</v>
      </c>
      <c r="K5868" t="s">
        <v>40289</v>
      </c>
      <c r="L5868" t="s">
        <v>1988</v>
      </c>
      <c r="M5868" t="s">
        <v>42679</v>
      </c>
      <c r="N5868" t="s">
        <v>44759</v>
      </c>
      <c r="O5868" t="s">
        <v>44760</v>
      </c>
      <c r="Q5868">
        <v>1</v>
      </c>
      <c r="R5868" t="s">
        <v>44766</v>
      </c>
      <c r="S5868" t="s">
        <v>44939</v>
      </c>
      <c r="T5868" t="s">
        <v>46497</v>
      </c>
      <c r="U5868" t="s">
        <v>51539</v>
      </c>
      <c r="W5868" t="s">
        <v>42679</v>
      </c>
      <c r="X5868" t="s">
        <v>44767</v>
      </c>
    </row>
    <row r="5869" spans="1:24">
      <c r="A5869">
        <f>HYPERLINK("https://www.philgeps.gov.ph/GEPSNONPILOT/Tender/SplashBidNoticeAbstractUI.aspx?menuIndex=3&amp;refID=7146850&amp;Result=3","7146850")</f>
        <v>0</v>
      </c>
      <c r="B5869" t="s">
        <v>1967</v>
      </c>
      <c r="C5869" t="s">
        <v>9304</v>
      </c>
      <c r="D5869" t="s">
        <v>17988</v>
      </c>
      <c r="E5869" t="s">
        <v>23252</v>
      </c>
      <c r="F5869" t="s">
        <v>30900</v>
      </c>
      <c r="G5869" t="s">
        <v>30908</v>
      </c>
      <c r="H5869" t="s">
        <v>30915</v>
      </c>
      <c r="I5869" t="s">
        <v>30919</v>
      </c>
      <c r="J5869" t="s">
        <v>34881</v>
      </c>
      <c r="K5869" t="s">
        <v>40289</v>
      </c>
      <c r="M5869" t="s">
        <v>42653</v>
      </c>
      <c r="N5869" t="s">
        <v>44759</v>
      </c>
      <c r="O5869" t="s">
        <v>44760</v>
      </c>
      <c r="P5869">
        <v>0</v>
      </c>
      <c r="Q5869">
        <v>0</v>
      </c>
      <c r="R5869" t="s">
        <v>44766</v>
      </c>
      <c r="S5869" t="s">
        <v>44902</v>
      </c>
      <c r="T5869" t="s">
        <v>46625</v>
      </c>
      <c r="U5869" t="s">
        <v>51477</v>
      </c>
      <c r="W5869" t="s">
        <v>42653</v>
      </c>
      <c r="X5869" t="s">
        <v>44767</v>
      </c>
    </row>
    <row r="5870" spans="1:24">
      <c r="A5870">
        <f>HYPERLINK("https://www.philgeps.gov.ph/GEPSNONPILOT/Tender/SplashBidNoticeAbstractUI.aspx?menuIndex=3&amp;refID=7146843&amp;Result=3","7146843")</f>
        <v>0</v>
      </c>
      <c r="B5870" t="s">
        <v>2002</v>
      </c>
      <c r="C5870" t="s">
        <v>9305</v>
      </c>
      <c r="D5870" t="s">
        <v>17971</v>
      </c>
      <c r="E5870" t="s">
        <v>23253</v>
      </c>
      <c r="F5870" t="s">
        <v>30900</v>
      </c>
      <c r="G5870" t="s">
        <v>30908</v>
      </c>
      <c r="H5870" t="s">
        <v>30916</v>
      </c>
      <c r="I5870" t="s">
        <v>30981</v>
      </c>
      <c r="J5870" t="s">
        <v>33133</v>
      </c>
      <c r="K5870" t="s">
        <v>40287</v>
      </c>
      <c r="M5870" t="s">
        <v>42695</v>
      </c>
      <c r="N5870" t="s">
        <v>44759</v>
      </c>
      <c r="O5870" t="s">
        <v>44760</v>
      </c>
      <c r="Q5870">
        <v>0</v>
      </c>
      <c r="R5870" t="s">
        <v>44766</v>
      </c>
      <c r="S5870" t="s">
        <v>44940</v>
      </c>
      <c r="T5870" t="s">
        <v>46403</v>
      </c>
      <c r="U5870" t="s">
        <v>51579</v>
      </c>
      <c r="W5870" t="s">
        <v>42695</v>
      </c>
      <c r="X5870" t="s">
        <v>44767</v>
      </c>
    </row>
    <row r="5871" spans="1:24">
      <c r="A5871">
        <f>HYPERLINK("https://www.philgeps.gov.ph/GEPSNONPILOT/Tender/SplashBidNoticeAbstractUI.aspx?menuIndex=3&amp;refID=7146743&amp;Result=3","7146743")</f>
        <v>0</v>
      </c>
      <c r="B5871" t="s">
        <v>2099</v>
      </c>
      <c r="C5871" t="s">
        <v>9306</v>
      </c>
      <c r="D5871" t="s">
        <v>17961</v>
      </c>
      <c r="E5871" t="s">
        <v>23254</v>
      </c>
      <c r="F5871" t="s">
        <v>30900</v>
      </c>
      <c r="G5871" t="s">
        <v>30907</v>
      </c>
      <c r="H5871" t="s">
        <v>30916</v>
      </c>
      <c r="I5871" t="s">
        <v>6396</v>
      </c>
      <c r="J5871" t="s">
        <v>34882</v>
      </c>
      <c r="K5871" t="s">
        <v>40284</v>
      </c>
      <c r="M5871" t="s">
        <v>42798</v>
      </c>
      <c r="N5871" t="s">
        <v>44759</v>
      </c>
      <c r="O5871" t="s">
        <v>44760</v>
      </c>
      <c r="P5871">
        <v>0</v>
      </c>
      <c r="Q5871">
        <v>4</v>
      </c>
      <c r="R5871" t="s">
        <v>44766</v>
      </c>
      <c r="S5871" t="s">
        <v>44902</v>
      </c>
      <c r="T5871" t="s">
        <v>46363</v>
      </c>
      <c r="U5871" t="s">
        <v>51871</v>
      </c>
      <c r="W5871" t="s">
        <v>42798</v>
      </c>
      <c r="X5871" t="s">
        <v>44767</v>
      </c>
    </row>
    <row r="5872" spans="1:24">
      <c r="A5872">
        <f>HYPERLINK("https://www.philgeps.gov.ph/GEPSNONPILOT/Tender/SplashBidNoticeAbstractUI.aspx?menuIndex=3&amp;refID=7146863&amp;Result=3","7146863")</f>
        <v>0</v>
      </c>
      <c r="B5872" t="s">
        <v>2114</v>
      </c>
      <c r="C5872" t="s">
        <v>9307</v>
      </c>
      <c r="D5872" t="s">
        <v>17963</v>
      </c>
      <c r="E5872" t="s">
        <v>18094</v>
      </c>
      <c r="F5872" t="s">
        <v>30900</v>
      </c>
      <c r="G5872" t="s">
        <v>30908</v>
      </c>
      <c r="H5872" t="s">
        <v>30916</v>
      </c>
      <c r="I5872" t="s">
        <v>5830</v>
      </c>
      <c r="J5872" t="s">
        <v>34883</v>
      </c>
      <c r="K5872" t="s">
        <v>40288</v>
      </c>
      <c r="M5872" t="s">
        <v>42815</v>
      </c>
      <c r="N5872" t="s">
        <v>44759</v>
      </c>
      <c r="O5872" t="s">
        <v>44760</v>
      </c>
      <c r="P5872">
        <v>0</v>
      </c>
      <c r="Q5872">
        <v>2</v>
      </c>
      <c r="R5872" t="s">
        <v>44766</v>
      </c>
      <c r="S5872" t="s">
        <v>44902</v>
      </c>
      <c r="T5872" t="s">
        <v>46379</v>
      </c>
      <c r="U5872" t="s">
        <v>51872</v>
      </c>
      <c r="W5872" t="s">
        <v>42815</v>
      </c>
      <c r="X5872" t="s">
        <v>44767</v>
      </c>
    </row>
    <row r="5873" spans="1:24">
      <c r="A5873">
        <f>HYPERLINK("https://www.philgeps.gov.ph/GEPSNONPILOT/Tender/SplashBidNoticeAbstractUI.aspx?menuIndex=3&amp;refID=7146881&amp;Result=3","7146881")</f>
        <v>0</v>
      </c>
      <c r="B5873" t="s">
        <v>604</v>
      </c>
      <c r="C5873" t="s">
        <v>9308</v>
      </c>
      <c r="D5873" t="s">
        <v>17985</v>
      </c>
      <c r="E5873" t="s">
        <v>23255</v>
      </c>
      <c r="F5873" t="s">
        <v>30900</v>
      </c>
      <c r="G5873" t="s">
        <v>30907</v>
      </c>
      <c r="H5873" t="s">
        <v>30916</v>
      </c>
      <c r="I5873" t="s">
        <v>5501</v>
      </c>
      <c r="J5873" t="s">
        <v>34884</v>
      </c>
      <c r="K5873" t="s">
        <v>40286</v>
      </c>
      <c r="M5873" t="s">
        <v>41165</v>
      </c>
      <c r="N5873" t="s">
        <v>44759</v>
      </c>
      <c r="O5873" t="s">
        <v>44760</v>
      </c>
      <c r="P5873">
        <v>0</v>
      </c>
      <c r="Q5873">
        <v>4</v>
      </c>
      <c r="R5873" t="s">
        <v>44766</v>
      </c>
      <c r="S5873" t="s">
        <v>44902</v>
      </c>
      <c r="T5873" t="s">
        <v>46689</v>
      </c>
      <c r="U5873" t="s">
        <v>51844</v>
      </c>
      <c r="V5873" t="s">
        <v>59760</v>
      </c>
      <c r="W5873" t="s">
        <v>41165</v>
      </c>
      <c r="X5873" t="s">
        <v>44767</v>
      </c>
    </row>
    <row r="5874" spans="1:24">
      <c r="A5874">
        <f>HYPERLINK("https://www.philgeps.gov.ph/GEPSNONPILOT/Tender/SplashBidNoticeAbstractUI.aspx?menuIndex=3&amp;refID=7146813&amp;Result=3","7146813")</f>
        <v>0</v>
      </c>
      <c r="B5874" t="s">
        <v>1414</v>
      </c>
      <c r="C5874" t="s">
        <v>9309</v>
      </c>
      <c r="D5874" t="s">
        <v>17977</v>
      </c>
      <c r="E5874" t="s">
        <v>23256</v>
      </c>
      <c r="F5874" t="s">
        <v>30900</v>
      </c>
      <c r="G5874" t="s">
        <v>30908</v>
      </c>
      <c r="H5874" t="s">
        <v>30916</v>
      </c>
      <c r="I5874" t="s">
        <v>31000</v>
      </c>
      <c r="J5874" t="s">
        <v>34597</v>
      </c>
      <c r="K5874" t="s">
        <v>40289</v>
      </c>
      <c r="M5874" t="s">
        <v>42043</v>
      </c>
      <c r="N5874" t="s">
        <v>44759</v>
      </c>
      <c r="O5874" t="s">
        <v>44760</v>
      </c>
      <c r="Q5874">
        <v>0</v>
      </c>
      <c r="R5874" t="s">
        <v>44766</v>
      </c>
      <c r="S5874" t="s">
        <v>44934</v>
      </c>
      <c r="T5874" t="s">
        <v>46410</v>
      </c>
      <c r="U5874" t="s">
        <v>49834</v>
      </c>
      <c r="W5874" t="s">
        <v>42043</v>
      </c>
      <c r="X5874" t="s">
        <v>44767</v>
      </c>
    </row>
    <row r="5875" spans="1:24">
      <c r="A5875">
        <f>HYPERLINK("https://www.philgeps.gov.ph/GEPSNONPILOT/Tender/SplashBidNoticeAbstractUI.aspx?menuIndex=3&amp;refID=7146809&amp;Result=3","7146809")</f>
        <v>0</v>
      </c>
      <c r="B5875" t="s">
        <v>2115</v>
      </c>
      <c r="C5875" t="s">
        <v>9310</v>
      </c>
      <c r="D5875" t="s">
        <v>17959</v>
      </c>
      <c r="E5875" t="s">
        <v>23257</v>
      </c>
      <c r="F5875" t="s">
        <v>30900</v>
      </c>
      <c r="G5875" t="s">
        <v>30908</v>
      </c>
      <c r="H5875" t="s">
        <v>30916</v>
      </c>
      <c r="I5875" t="s">
        <v>8123</v>
      </c>
      <c r="J5875" t="s">
        <v>34885</v>
      </c>
      <c r="K5875" t="s">
        <v>40283</v>
      </c>
      <c r="M5875" t="s">
        <v>42816</v>
      </c>
      <c r="N5875" t="s">
        <v>44759</v>
      </c>
      <c r="O5875" t="s">
        <v>44760</v>
      </c>
      <c r="P5875">
        <v>0</v>
      </c>
      <c r="Q5875">
        <v>5</v>
      </c>
      <c r="R5875" t="s">
        <v>44766</v>
      </c>
      <c r="S5875" t="s">
        <v>44902</v>
      </c>
      <c r="T5875" t="s">
        <v>46704</v>
      </c>
      <c r="U5875" t="s">
        <v>51873</v>
      </c>
      <c r="W5875" t="s">
        <v>42816</v>
      </c>
      <c r="X5875" t="s">
        <v>44767</v>
      </c>
    </row>
    <row r="5876" spans="1:24">
      <c r="A5876">
        <f>HYPERLINK("https://www.philgeps.gov.ph/GEPSNONPILOT/Tender/SplashBidNoticeAbstractUI.aspx?menuIndex=3&amp;refID=7146879&amp;Result=3","7146879")</f>
        <v>0</v>
      </c>
      <c r="B5876" t="s">
        <v>2116</v>
      </c>
      <c r="C5876" t="s">
        <v>9311</v>
      </c>
      <c r="D5876" t="s">
        <v>18007</v>
      </c>
      <c r="E5876" t="s">
        <v>23258</v>
      </c>
      <c r="F5876" t="s">
        <v>30900</v>
      </c>
      <c r="G5876" t="s">
        <v>30907</v>
      </c>
      <c r="H5876" t="s">
        <v>7411</v>
      </c>
      <c r="I5876" t="s">
        <v>7411</v>
      </c>
      <c r="J5876" t="s">
        <v>31152</v>
      </c>
      <c r="K5876" t="s">
        <v>40292</v>
      </c>
      <c r="M5876" t="s">
        <v>42817</v>
      </c>
      <c r="N5876" t="s">
        <v>44759</v>
      </c>
      <c r="O5876" t="s">
        <v>44760</v>
      </c>
      <c r="P5876">
        <v>0</v>
      </c>
      <c r="Q5876">
        <v>1</v>
      </c>
      <c r="R5876" t="s">
        <v>44766</v>
      </c>
      <c r="S5876" t="s">
        <v>44902</v>
      </c>
      <c r="T5876" t="s">
        <v>46363</v>
      </c>
      <c r="U5876" t="s">
        <v>51874</v>
      </c>
      <c r="W5876" t="s">
        <v>42817</v>
      </c>
      <c r="X5876" t="s">
        <v>44767</v>
      </c>
    </row>
    <row r="5877" spans="1:24">
      <c r="A5877">
        <f>HYPERLINK("https://www.philgeps.gov.ph/GEPSNONPILOT/Tender/SplashBidNoticeAbstractUI.aspx?menuIndex=3&amp;refID=7146804&amp;Result=3","7146804")</f>
        <v>0</v>
      </c>
      <c r="B5877" t="s">
        <v>2117</v>
      </c>
      <c r="C5877" t="s">
        <v>9312</v>
      </c>
      <c r="E5877" t="s">
        <v>23259</v>
      </c>
      <c r="F5877" t="s">
        <v>30900</v>
      </c>
      <c r="G5877" t="s">
        <v>30907</v>
      </c>
      <c r="H5877" t="s">
        <v>30915</v>
      </c>
      <c r="I5877" t="s">
        <v>30919</v>
      </c>
      <c r="J5877" t="s">
        <v>31243</v>
      </c>
      <c r="K5877" t="s">
        <v>40289</v>
      </c>
      <c r="M5877" t="s">
        <v>42818</v>
      </c>
      <c r="N5877" t="s">
        <v>44759</v>
      </c>
      <c r="O5877" t="s">
        <v>44760</v>
      </c>
      <c r="P5877">
        <v>0</v>
      </c>
      <c r="Q5877">
        <v>0</v>
      </c>
      <c r="R5877" t="s">
        <v>44766</v>
      </c>
      <c r="S5877" t="s">
        <v>44902</v>
      </c>
      <c r="T5877" t="s">
        <v>46389</v>
      </c>
      <c r="U5877" t="s">
        <v>51875</v>
      </c>
      <c r="W5877" t="s">
        <v>42818</v>
      </c>
      <c r="X5877" t="s">
        <v>44767</v>
      </c>
    </row>
    <row r="5878" spans="1:24">
      <c r="A5878">
        <f>HYPERLINK("https://www.philgeps.gov.ph/GEPSNONPILOT/Tender/SplashBidNoticeAbstractUI.aspx?menuIndex=3&amp;refID=7146801&amp;Result=3","7146801")</f>
        <v>0</v>
      </c>
      <c r="B5878" t="s">
        <v>2118</v>
      </c>
      <c r="C5878" t="s">
        <v>9313</v>
      </c>
      <c r="D5878" t="s">
        <v>18033</v>
      </c>
      <c r="E5878" t="s">
        <v>23260</v>
      </c>
      <c r="F5878" t="s">
        <v>30900</v>
      </c>
      <c r="G5878" t="s">
        <v>30907</v>
      </c>
      <c r="H5878" t="s">
        <v>30915</v>
      </c>
      <c r="I5878" t="s">
        <v>30971</v>
      </c>
      <c r="J5878" t="s">
        <v>34886</v>
      </c>
      <c r="K5878" t="s">
        <v>40398</v>
      </c>
      <c r="M5878" t="s">
        <v>42819</v>
      </c>
      <c r="N5878" t="s">
        <v>44759</v>
      </c>
      <c r="O5878" t="s">
        <v>44760</v>
      </c>
      <c r="P5878">
        <v>0</v>
      </c>
      <c r="Q5878">
        <v>0</v>
      </c>
      <c r="R5878" t="s">
        <v>44766</v>
      </c>
      <c r="S5878" t="s">
        <v>44902</v>
      </c>
      <c r="T5878" t="s">
        <v>46524</v>
      </c>
      <c r="U5878" t="s">
        <v>51876</v>
      </c>
      <c r="W5878" t="s">
        <v>42819</v>
      </c>
      <c r="X5878" t="s">
        <v>44767</v>
      </c>
    </row>
    <row r="5879" spans="1:24">
      <c r="A5879">
        <f>HYPERLINK("https://www.philgeps.gov.ph/GEPSNONPILOT/Tender/SplashBidNoticeAbstractUI.aspx?menuIndex=3&amp;refID=7146799&amp;Result=3","7146799")</f>
        <v>0</v>
      </c>
      <c r="B5879" t="s">
        <v>2119</v>
      </c>
      <c r="C5879" t="s">
        <v>9314</v>
      </c>
      <c r="D5879" t="s">
        <v>18009</v>
      </c>
      <c r="E5879" t="s">
        <v>23261</v>
      </c>
      <c r="F5879" t="s">
        <v>30900</v>
      </c>
      <c r="G5879" t="s">
        <v>30907</v>
      </c>
      <c r="H5879" t="s">
        <v>30915</v>
      </c>
      <c r="I5879" t="s">
        <v>30919</v>
      </c>
      <c r="J5879" t="s">
        <v>31297</v>
      </c>
      <c r="K5879" t="s">
        <v>40392</v>
      </c>
      <c r="M5879" t="s">
        <v>42820</v>
      </c>
      <c r="N5879" t="s">
        <v>44759</v>
      </c>
      <c r="O5879" t="s">
        <v>44760</v>
      </c>
      <c r="P5879">
        <v>0</v>
      </c>
      <c r="Q5879">
        <v>0</v>
      </c>
      <c r="R5879" t="s">
        <v>44766</v>
      </c>
      <c r="S5879" t="s">
        <v>44902</v>
      </c>
      <c r="T5879" t="s">
        <v>46376</v>
      </c>
      <c r="U5879" t="s">
        <v>51877</v>
      </c>
      <c r="W5879" t="s">
        <v>42820</v>
      </c>
      <c r="X5879" t="s">
        <v>44767</v>
      </c>
    </row>
    <row r="5880" spans="1:24">
      <c r="A5880">
        <f>HYPERLINK("https://www.philgeps.gov.ph/GEPSNONPILOT/Tender/SplashBidNoticeAbstractUI.aspx?menuIndex=3&amp;refID=7146795&amp;Result=3","7146795")</f>
        <v>0</v>
      </c>
      <c r="B5880" t="s">
        <v>1967</v>
      </c>
      <c r="C5880" t="s">
        <v>9315</v>
      </c>
      <c r="D5880" t="s">
        <v>17988</v>
      </c>
      <c r="E5880" t="s">
        <v>23241</v>
      </c>
      <c r="F5880" t="s">
        <v>30900</v>
      </c>
      <c r="G5880" t="s">
        <v>30908</v>
      </c>
      <c r="H5880" t="s">
        <v>30915</v>
      </c>
      <c r="I5880" t="s">
        <v>30919</v>
      </c>
      <c r="J5880" t="s">
        <v>34887</v>
      </c>
      <c r="K5880" t="s">
        <v>40289</v>
      </c>
      <c r="M5880" t="s">
        <v>42653</v>
      </c>
      <c r="N5880" t="s">
        <v>44759</v>
      </c>
      <c r="O5880" t="s">
        <v>44760</v>
      </c>
      <c r="P5880">
        <v>0</v>
      </c>
      <c r="Q5880">
        <v>0</v>
      </c>
      <c r="R5880" t="s">
        <v>44766</v>
      </c>
      <c r="S5880" t="s">
        <v>44902</v>
      </c>
      <c r="T5880" t="s">
        <v>46625</v>
      </c>
      <c r="U5880" t="s">
        <v>51477</v>
      </c>
      <c r="W5880" t="s">
        <v>42653</v>
      </c>
      <c r="X5880" t="s">
        <v>44767</v>
      </c>
    </row>
    <row r="5881" spans="1:24">
      <c r="A5881">
        <f>HYPERLINK("https://www.philgeps.gov.ph/GEPSNONPILOT/Tender/SplashBidNoticeAbstractUI.aspx?menuIndex=3&amp;refID=7145424&amp;Result=3","7145424")</f>
        <v>0</v>
      </c>
      <c r="B5881" t="s">
        <v>258</v>
      </c>
      <c r="C5881" t="s">
        <v>9316</v>
      </c>
      <c r="D5881" t="s">
        <v>18005</v>
      </c>
      <c r="E5881" t="s">
        <v>23262</v>
      </c>
      <c r="F5881" t="s">
        <v>30900</v>
      </c>
      <c r="G5881" t="s">
        <v>30909</v>
      </c>
      <c r="H5881" t="s">
        <v>30916</v>
      </c>
      <c r="I5881" t="s">
        <v>30935</v>
      </c>
      <c r="J5881" t="s">
        <v>34888</v>
      </c>
      <c r="K5881" t="s">
        <v>40283</v>
      </c>
      <c r="M5881" t="s">
        <v>40805</v>
      </c>
      <c r="N5881" t="s">
        <v>44759</v>
      </c>
      <c r="O5881" t="s">
        <v>44760</v>
      </c>
      <c r="P5881">
        <v>0</v>
      </c>
      <c r="Q5881">
        <v>4</v>
      </c>
      <c r="R5881" t="s">
        <v>44766</v>
      </c>
      <c r="S5881" t="s">
        <v>44902</v>
      </c>
      <c r="T5881" t="s">
        <v>46457</v>
      </c>
      <c r="U5881" t="s">
        <v>51878</v>
      </c>
      <c r="W5881" t="s">
        <v>40805</v>
      </c>
      <c r="X5881" t="s">
        <v>44767</v>
      </c>
    </row>
    <row r="5882" spans="1:24">
      <c r="A5882">
        <f>HYPERLINK("https://www.philgeps.gov.ph/GEPSNONPILOT/Tender/SplashBidNoticeAbstractUI.aspx?menuIndex=3&amp;refID=7145422&amp;Result=3","7145422")</f>
        <v>0</v>
      </c>
      <c r="B5882" t="s">
        <v>1100</v>
      </c>
      <c r="C5882" t="s">
        <v>9317</v>
      </c>
      <c r="D5882" t="s">
        <v>17998</v>
      </c>
      <c r="E5882" t="s">
        <v>23263</v>
      </c>
      <c r="F5882" t="s">
        <v>30900</v>
      </c>
      <c r="G5882" t="s">
        <v>30909</v>
      </c>
      <c r="H5882" t="s">
        <v>30916</v>
      </c>
      <c r="I5882" t="s">
        <v>30923</v>
      </c>
      <c r="J5882" t="s">
        <v>34889</v>
      </c>
      <c r="K5882" t="s">
        <v>40289</v>
      </c>
      <c r="M5882" t="s">
        <v>42821</v>
      </c>
      <c r="N5882" t="s">
        <v>44759</v>
      </c>
      <c r="O5882" t="s">
        <v>44760</v>
      </c>
      <c r="P5882">
        <v>0</v>
      </c>
      <c r="Q5882">
        <v>2</v>
      </c>
      <c r="R5882" t="s">
        <v>44766</v>
      </c>
      <c r="S5882" t="s">
        <v>44902</v>
      </c>
      <c r="T5882" t="s">
        <v>46662</v>
      </c>
      <c r="U5882" t="s">
        <v>51879</v>
      </c>
      <c r="W5882" t="s">
        <v>42821</v>
      </c>
      <c r="X5882" t="s">
        <v>44767</v>
      </c>
    </row>
    <row r="5883" spans="1:24">
      <c r="A5883">
        <f>HYPERLINK("https://www.philgeps.gov.ph/GEPSNONPILOT/Tender/SplashBidNoticeAbstractUI.aspx?menuIndex=3&amp;refID=7149040&amp;Result=3","7149040")</f>
        <v>0</v>
      </c>
      <c r="B5883" t="s">
        <v>1736</v>
      </c>
      <c r="C5883" t="s">
        <v>9318</v>
      </c>
      <c r="D5883" t="s">
        <v>17959</v>
      </c>
      <c r="E5883" t="s">
        <v>19396</v>
      </c>
      <c r="F5883" t="s">
        <v>30900</v>
      </c>
      <c r="G5883" t="s">
        <v>30907</v>
      </c>
      <c r="H5883" t="s">
        <v>30916</v>
      </c>
      <c r="I5883" t="s">
        <v>4108</v>
      </c>
      <c r="J5883" t="s">
        <v>31297</v>
      </c>
      <c r="K5883" t="s">
        <v>40292</v>
      </c>
      <c r="M5883" t="s">
        <v>42403</v>
      </c>
      <c r="N5883" t="s">
        <v>44759</v>
      </c>
      <c r="O5883" t="s">
        <v>44760</v>
      </c>
      <c r="P5883">
        <v>0</v>
      </c>
      <c r="Q5883">
        <v>0</v>
      </c>
      <c r="R5883" t="s">
        <v>44763</v>
      </c>
      <c r="S5883" t="s">
        <v>44876</v>
      </c>
      <c r="T5883" t="s">
        <v>46406</v>
      </c>
      <c r="U5883" t="s">
        <v>51880</v>
      </c>
      <c r="W5883" t="s">
        <v>42403</v>
      </c>
      <c r="X5883" t="s">
        <v>44764</v>
      </c>
    </row>
    <row r="5884" spans="1:24">
      <c r="A5884">
        <f>HYPERLINK("https://www.philgeps.gov.ph/GEPSNONPILOT/Tender/SplashBidNoticeAbstractUI.aspx?menuIndex=3&amp;refID=7149039&amp;Result=3","7149039")</f>
        <v>0</v>
      </c>
      <c r="B5884" t="s">
        <v>2120</v>
      </c>
      <c r="C5884" t="s">
        <v>9319</v>
      </c>
      <c r="E5884" t="s">
        <v>22457</v>
      </c>
      <c r="F5884" t="s">
        <v>30900</v>
      </c>
      <c r="G5884" t="s">
        <v>30909</v>
      </c>
      <c r="H5884" t="s">
        <v>30916</v>
      </c>
      <c r="I5884" t="s">
        <v>30923</v>
      </c>
      <c r="J5884" t="s">
        <v>34890</v>
      </c>
      <c r="K5884" t="s">
        <v>40287</v>
      </c>
      <c r="M5884" t="s">
        <v>42822</v>
      </c>
      <c r="N5884" t="s">
        <v>44759</v>
      </c>
      <c r="O5884" t="s">
        <v>44760</v>
      </c>
      <c r="P5884">
        <v>0</v>
      </c>
      <c r="Q5884">
        <v>4</v>
      </c>
      <c r="R5884" t="s">
        <v>44763</v>
      </c>
      <c r="S5884" t="s">
        <v>44876</v>
      </c>
      <c r="T5884" t="s">
        <v>46425</v>
      </c>
      <c r="U5884" t="s">
        <v>51881</v>
      </c>
      <c r="W5884" t="s">
        <v>42822</v>
      </c>
      <c r="X5884" t="s">
        <v>44764</v>
      </c>
    </row>
    <row r="5885" spans="1:24">
      <c r="A5885">
        <f>HYPERLINK("https://www.philgeps.gov.ph/GEPSNONPILOT/Tender/SplashBidNoticeAbstractUI.aspx?menuIndex=3&amp;refID=7146821&amp;Result=3","7146821")</f>
        <v>0</v>
      </c>
      <c r="B5885" t="s">
        <v>1988</v>
      </c>
      <c r="C5885" t="s">
        <v>9320</v>
      </c>
      <c r="D5885" t="s">
        <v>17959</v>
      </c>
      <c r="E5885" t="s">
        <v>23264</v>
      </c>
      <c r="F5885" t="s">
        <v>30900</v>
      </c>
      <c r="G5885" t="s">
        <v>30906</v>
      </c>
      <c r="H5885" t="s">
        <v>30916</v>
      </c>
      <c r="I5885" t="s">
        <v>10847</v>
      </c>
      <c r="J5885" t="s">
        <v>34891</v>
      </c>
      <c r="K5885" t="s">
        <v>40289</v>
      </c>
      <c r="L5885" t="s">
        <v>1988</v>
      </c>
      <c r="M5885" t="s">
        <v>42679</v>
      </c>
      <c r="N5885" t="s">
        <v>44759</v>
      </c>
      <c r="O5885" t="s">
        <v>44760</v>
      </c>
      <c r="Q5885">
        <v>1</v>
      </c>
      <c r="R5885" t="s">
        <v>44766</v>
      </c>
      <c r="S5885" t="s">
        <v>44941</v>
      </c>
      <c r="T5885" t="s">
        <v>46497</v>
      </c>
      <c r="U5885" t="s">
        <v>51539</v>
      </c>
      <c r="W5885" t="s">
        <v>42679</v>
      </c>
      <c r="X5885" t="s">
        <v>44767</v>
      </c>
    </row>
    <row r="5886" spans="1:24">
      <c r="A5886">
        <f>HYPERLINK("https://www.philgeps.gov.ph/GEPSNONPILOT/Tender/SplashBidNoticeAbstractUI.aspx?menuIndex=3&amp;refID=7146808&amp;Result=3","7146808")</f>
        <v>0</v>
      </c>
      <c r="B5886" t="s">
        <v>604</v>
      </c>
      <c r="C5886" t="s">
        <v>6133</v>
      </c>
      <c r="D5886" t="s">
        <v>17985</v>
      </c>
      <c r="E5886" t="s">
        <v>23265</v>
      </c>
      <c r="F5886" t="s">
        <v>30900</v>
      </c>
      <c r="G5886" t="s">
        <v>30907</v>
      </c>
      <c r="H5886" t="s">
        <v>30916</v>
      </c>
      <c r="I5886" t="s">
        <v>4545</v>
      </c>
      <c r="J5886" t="s">
        <v>34892</v>
      </c>
      <c r="K5886" t="s">
        <v>40286</v>
      </c>
      <c r="M5886" t="s">
        <v>41165</v>
      </c>
      <c r="N5886" t="s">
        <v>44759</v>
      </c>
      <c r="O5886" t="s">
        <v>44760</v>
      </c>
      <c r="P5886">
        <v>0</v>
      </c>
      <c r="Q5886">
        <v>6</v>
      </c>
      <c r="R5886" t="s">
        <v>44766</v>
      </c>
      <c r="S5886" t="s">
        <v>44902</v>
      </c>
      <c r="T5886" t="s">
        <v>46689</v>
      </c>
      <c r="U5886" t="s">
        <v>51844</v>
      </c>
      <c r="W5886" t="s">
        <v>41165</v>
      </c>
      <c r="X5886" t="s">
        <v>44767</v>
      </c>
    </row>
    <row r="5887" spans="1:24">
      <c r="A5887">
        <f>HYPERLINK("https://www.philgeps.gov.ph/GEPSNONPILOT/Tender/SplashBidNoticeAbstractUI.aspx?menuIndex=3&amp;refID=7149034&amp;Result=3","7149034")</f>
        <v>0</v>
      </c>
      <c r="B5887" t="s">
        <v>1727</v>
      </c>
      <c r="C5887" t="s">
        <v>9321</v>
      </c>
      <c r="D5887" t="s">
        <v>18033</v>
      </c>
      <c r="E5887" t="s">
        <v>23266</v>
      </c>
      <c r="F5887" t="s">
        <v>30900</v>
      </c>
      <c r="G5887" t="s">
        <v>30907</v>
      </c>
      <c r="H5887" t="s">
        <v>30916</v>
      </c>
      <c r="I5887" t="s">
        <v>30928</v>
      </c>
      <c r="J5887" t="s">
        <v>31341</v>
      </c>
      <c r="K5887" t="s">
        <v>40291</v>
      </c>
      <c r="M5887" t="s">
        <v>42393</v>
      </c>
      <c r="N5887" t="s">
        <v>44759</v>
      </c>
      <c r="O5887" t="s">
        <v>44760</v>
      </c>
      <c r="P5887">
        <v>0</v>
      </c>
      <c r="Q5887">
        <v>0</v>
      </c>
      <c r="R5887" t="s">
        <v>44763</v>
      </c>
      <c r="S5887" t="s">
        <v>44876</v>
      </c>
      <c r="T5887" t="s">
        <v>46569</v>
      </c>
      <c r="U5887" t="s">
        <v>51882</v>
      </c>
      <c r="W5887" t="s">
        <v>42393</v>
      </c>
      <c r="X5887" t="s">
        <v>44764</v>
      </c>
    </row>
    <row r="5888" spans="1:24">
      <c r="A5888">
        <f>HYPERLINK("https://www.philgeps.gov.ph/GEPSNONPILOT/Tender/SplashBidNoticeAbstractUI.aspx?menuIndex=3&amp;refID=7146845&amp;Result=3","7146845")</f>
        <v>0</v>
      </c>
      <c r="B5888" t="s">
        <v>591</v>
      </c>
      <c r="C5888" t="s">
        <v>9322</v>
      </c>
      <c r="D5888" t="s">
        <v>17998</v>
      </c>
      <c r="E5888" t="s">
        <v>23267</v>
      </c>
      <c r="F5888" t="s">
        <v>30900</v>
      </c>
      <c r="G5888" t="s">
        <v>30907</v>
      </c>
      <c r="H5888" t="s">
        <v>30916</v>
      </c>
      <c r="I5888" t="s">
        <v>8123</v>
      </c>
      <c r="J5888" t="s">
        <v>31257</v>
      </c>
      <c r="K5888" t="s">
        <v>40286</v>
      </c>
      <c r="M5888" t="s">
        <v>41247</v>
      </c>
      <c r="N5888" t="s">
        <v>44759</v>
      </c>
      <c r="O5888" t="s">
        <v>44760</v>
      </c>
      <c r="P5888">
        <v>0</v>
      </c>
      <c r="Q5888">
        <v>0</v>
      </c>
      <c r="R5888" t="s">
        <v>44766</v>
      </c>
      <c r="S5888" t="s">
        <v>44902</v>
      </c>
      <c r="T5888" t="s">
        <v>46389</v>
      </c>
      <c r="U5888" t="s">
        <v>47975</v>
      </c>
      <c r="V5888" t="s">
        <v>59259</v>
      </c>
      <c r="W5888" t="s">
        <v>41247</v>
      </c>
      <c r="X5888" t="s">
        <v>44767</v>
      </c>
    </row>
    <row r="5889" spans="1:24">
      <c r="A5889">
        <f>HYPERLINK("https://www.philgeps.gov.ph/GEPSNONPILOT/Tender/SplashBidNoticeAbstractUI.aspx?menuIndex=3&amp;refID=7149031&amp;Result=3","7149031")</f>
        <v>0</v>
      </c>
      <c r="B5889" t="s">
        <v>1735</v>
      </c>
      <c r="C5889" t="s">
        <v>9323</v>
      </c>
      <c r="D5889" t="s">
        <v>17959</v>
      </c>
      <c r="E5889" t="s">
        <v>23268</v>
      </c>
      <c r="F5889" t="s">
        <v>30900</v>
      </c>
      <c r="G5889" t="s">
        <v>30907</v>
      </c>
      <c r="H5889" t="s">
        <v>30916</v>
      </c>
      <c r="I5889" t="s">
        <v>4108</v>
      </c>
      <c r="J5889" t="s">
        <v>34893</v>
      </c>
      <c r="K5889" t="s">
        <v>40280</v>
      </c>
      <c r="M5889" t="s">
        <v>42402</v>
      </c>
      <c r="N5889" t="s">
        <v>44759</v>
      </c>
      <c r="O5889" t="s">
        <v>44760</v>
      </c>
      <c r="P5889">
        <v>0</v>
      </c>
      <c r="Q5889">
        <v>4</v>
      </c>
      <c r="R5889" t="s">
        <v>44763</v>
      </c>
      <c r="S5889" t="s">
        <v>44876</v>
      </c>
      <c r="T5889" t="s">
        <v>46441</v>
      </c>
      <c r="U5889" t="s">
        <v>51883</v>
      </c>
      <c r="W5889" t="s">
        <v>42402</v>
      </c>
      <c r="X5889" t="s">
        <v>44764</v>
      </c>
    </row>
    <row r="5890" spans="1:24">
      <c r="A5890">
        <f>HYPERLINK("https://www.philgeps.gov.ph/GEPSNONPILOT/Tender/SplashBidNoticeAbstractUI.aspx?menuIndex=3&amp;refID=7149029&amp;Result=3","7149029")</f>
        <v>0</v>
      </c>
      <c r="B5890" t="s">
        <v>1160</v>
      </c>
      <c r="C5890" t="s">
        <v>9324</v>
      </c>
      <c r="D5890" t="s">
        <v>17996</v>
      </c>
      <c r="E5890" t="s">
        <v>23269</v>
      </c>
      <c r="F5890" t="s">
        <v>30900</v>
      </c>
      <c r="G5890" t="s">
        <v>30907</v>
      </c>
      <c r="H5890" t="s">
        <v>30915</v>
      </c>
      <c r="I5890" t="s">
        <v>30932</v>
      </c>
      <c r="J5890" t="s">
        <v>33288</v>
      </c>
      <c r="K5890" t="s">
        <v>40283</v>
      </c>
      <c r="M5890" t="s">
        <v>41768</v>
      </c>
      <c r="N5890" t="s">
        <v>44759</v>
      </c>
      <c r="O5890" t="s">
        <v>44760</v>
      </c>
      <c r="P5890">
        <v>0</v>
      </c>
      <c r="Q5890">
        <v>0</v>
      </c>
      <c r="R5890" t="s">
        <v>44763</v>
      </c>
      <c r="S5890" t="s">
        <v>44876</v>
      </c>
      <c r="T5890" t="s">
        <v>46357</v>
      </c>
      <c r="U5890" t="s">
        <v>51884</v>
      </c>
      <c r="W5890" t="s">
        <v>41768</v>
      </c>
      <c r="X5890" t="s">
        <v>44764</v>
      </c>
    </row>
    <row r="5891" spans="1:24">
      <c r="A5891">
        <f>HYPERLINK("https://www.philgeps.gov.ph/GEPSNONPILOT/Tender/SplashBidNoticeAbstractUI.aspx?menuIndex=3&amp;refID=7148984&amp;Result=3","7148984")</f>
        <v>0</v>
      </c>
      <c r="B5891" t="s">
        <v>1721</v>
      </c>
      <c r="C5891" t="s">
        <v>9325</v>
      </c>
      <c r="E5891" t="s">
        <v>23270</v>
      </c>
      <c r="F5891" t="s">
        <v>30900</v>
      </c>
      <c r="G5891" t="s">
        <v>30908</v>
      </c>
      <c r="H5891" t="s">
        <v>30916</v>
      </c>
      <c r="I5891" t="s">
        <v>30967</v>
      </c>
      <c r="J5891" t="s">
        <v>31223</v>
      </c>
      <c r="K5891" t="s">
        <v>40289</v>
      </c>
      <c r="M5891" t="s">
        <v>42385</v>
      </c>
      <c r="N5891" t="s">
        <v>44759</v>
      </c>
      <c r="O5891" t="s">
        <v>44760</v>
      </c>
      <c r="P5891">
        <v>0</v>
      </c>
      <c r="Q5891">
        <v>0</v>
      </c>
      <c r="R5891" t="s">
        <v>44763</v>
      </c>
      <c r="S5891" t="s">
        <v>44876</v>
      </c>
      <c r="T5891" t="s">
        <v>46403</v>
      </c>
      <c r="U5891" t="s">
        <v>51885</v>
      </c>
      <c r="W5891" t="s">
        <v>42385</v>
      </c>
      <c r="X5891" t="s">
        <v>44764</v>
      </c>
    </row>
    <row r="5892" spans="1:24">
      <c r="A5892">
        <f>HYPERLINK("https://www.philgeps.gov.ph/GEPSNONPILOT/Tender/SplashBidNoticeAbstractUI.aspx?menuIndex=3&amp;refID=7149055&amp;Result=3","7149055")</f>
        <v>0</v>
      </c>
      <c r="B5892" t="s">
        <v>302</v>
      </c>
      <c r="C5892" t="s">
        <v>6270</v>
      </c>
      <c r="D5892" t="s">
        <v>17959</v>
      </c>
      <c r="E5892" t="s">
        <v>20422</v>
      </c>
      <c r="F5892" t="s">
        <v>30900</v>
      </c>
      <c r="G5892" t="s">
        <v>30909</v>
      </c>
      <c r="H5892" t="s">
        <v>30916</v>
      </c>
      <c r="I5892" t="s">
        <v>9385</v>
      </c>
      <c r="J5892" t="s">
        <v>32943</v>
      </c>
      <c r="K5892" t="s">
        <v>40283</v>
      </c>
      <c r="M5892" t="s">
        <v>40851</v>
      </c>
      <c r="N5892" t="s">
        <v>44759</v>
      </c>
      <c r="O5892" t="s">
        <v>44760</v>
      </c>
      <c r="P5892">
        <v>0</v>
      </c>
      <c r="Q5892">
        <v>7</v>
      </c>
      <c r="R5892" t="s">
        <v>44763</v>
      </c>
      <c r="S5892" t="s">
        <v>44876</v>
      </c>
      <c r="T5892" t="s">
        <v>46658</v>
      </c>
      <c r="U5892" t="s">
        <v>49168</v>
      </c>
      <c r="V5892" t="s">
        <v>59325</v>
      </c>
      <c r="W5892" t="s">
        <v>60852</v>
      </c>
      <c r="X5892" t="s">
        <v>44764</v>
      </c>
    </row>
    <row r="5893" spans="1:24">
      <c r="A5893">
        <f>HYPERLINK("https://www.philgeps.gov.ph/GEPSNONPILOT/Tender/SplashBidNoticeAbstractUI.aspx?menuIndex=3&amp;refID=7149037&amp;Result=3","7149037")</f>
        <v>0</v>
      </c>
      <c r="B5893" t="s">
        <v>1718</v>
      </c>
      <c r="C5893" t="s">
        <v>9326</v>
      </c>
      <c r="D5893" t="s">
        <v>18002</v>
      </c>
      <c r="E5893" t="s">
        <v>19807</v>
      </c>
      <c r="F5893" t="s">
        <v>30900</v>
      </c>
      <c r="G5893" t="s">
        <v>30908</v>
      </c>
      <c r="H5893" t="s">
        <v>30916</v>
      </c>
      <c r="I5893" t="s">
        <v>31011</v>
      </c>
      <c r="J5893" t="s">
        <v>31271</v>
      </c>
      <c r="K5893" t="s">
        <v>40280</v>
      </c>
      <c r="M5893" t="s">
        <v>42382</v>
      </c>
      <c r="N5893" t="s">
        <v>44759</v>
      </c>
      <c r="O5893" t="s">
        <v>44760</v>
      </c>
      <c r="P5893">
        <v>0</v>
      </c>
      <c r="Q5893">
        <v>2</v>
      </c>
      <c r="R5893" t="s">
        <v>44763</v>
      </c>
      <c r="S5893" t="s">
        <v>44876</v>
      </c>
      <c r="T5893" t="s">
        <v>46469</v>
      </c>
      <c r="U5893" t="s">
        <v>51886</v>
      </c>
      <c r="V5893" t="s">
        <v>59608</v>
      </c>
      <c r="W5893" t="s">
        <v>42382</v>
      </c>
      <c r="X5893" t="s">
        <v>44764</v>
      </c>
    </row>
    <row r="5894" spans="1:24">
      <c r="A5894">
        <f>HYPERLINK("https://www.philgeps.gov.ph/GEPSNONPILOT/Tender/SplashBidNoticeAbstractUI.aspx?menuIndex=3&amp;refID=7149035&amp;Result=3","7149035")</f>
        <v>0</v>
      </c>
      <c r="B5894" t="s">
        <v>1736</v>
      </c>
      <c r="C5894" t="s">
        <v>9327</v>
      </c>
      <c r="D5894" t="s">
        <v>17959</v>
      </c>
      <c r="E5894" t="s">
        <v>22263</v>
      </c>
      <c r="F5894" t="s">
        <v>30900</v>
      </c>
      <c r="G5894" t="s">
        <v>30907</v>
      </c>
      <c r="H5894" t="s">
        <v>30916</v>
      </c>
      <c r="I5894" t="s">
        <v>4108</v>
      </c>
      <c r="J5894" t="s">
        <v>31288</v>
      </c>
      <c r="K5894" t="s">
        <v>40280</v>
      </c>
      <c r="M5894" t="s">
        <v>42403</v>
      </c>
      <c r="N5894" t="s">
        <v>44759</v>
      </c>
      <c r="O5894" t="s">
        <v>44760</v>
      </c>
      <c r="P5894">
        <v>0</v>
      </c>
      <c r="Q5894">
        <v>1</v>
      </c>
      <c r="R5894" t="s">
        <v>44763</v>
      </c>
      <c r="S5894" t="s">
        <v>44876</v>
      </c>
      <c r="T5894" t="s">
        <v>46406</v>
      </c>
      <c r="U5894" t="s">
        <v>51887</v>
      </c>
      <c r="W5894" t="s">
        <v>42403</v>
      </c>
      <c r="X5894" t="s">
        <v>44764</v>
      </c>
    </row>
    <row r="5895" spans="1:24">
      <c r="A5895">
        <f>HYPERLINK("https://www.philgeps.gov.ph/GEPSNONPILOT/Tender/SplashBidNoticeAbstractUI.aspx?menuIndex=3&amp;refID=7148961&amp;Result=3","7148961")</f>
        <v>0</v>
      </c>
      <c r="B5895" t="s">
        <v>1209</v>
      </c>
      <c r="C5895" t="s">
        <v>9328</v>
      </c>
      <c r="D5895" t="s">
        <v>17976</v>
      </c>
      <c r="E5895" t="s">
        <v>21088</v>
      </c>
      <c r="F5895" t="s">
        <v>30900</v>
      </c>
      <c r="G5895" t="s">
        <v>30909</v>
      </c>
      <c r="H5895" t="s">
        <v>30916</v>
      </c>
      <c r="I5895" t="s">
        <v>10602</v>
      </c>
      <c r="J5895" t="s">
        <v>31043</v>
      </c>
      <c r="K5895" t="s">
        <v>40284</v>
      </c>
      <c r="M5895" t="s">
        <v>41820</v>
      </c>
      <c r="N5895" t="s">
        <v>44759</v>
      </c>
      <c r="O5895" t="s">
        <v>44760</v>
      </c>
      <c r="P5895">
        <v>0</v>
      </c>
      <c r="Q5895">
        <v>0</v>
      </c>
      <c r="R5895" t="s">
        <v>44763</v>
      </c>
      <c r="S5895" t="s">
        <v>44876</v>
      </c>
      <c r="T5895" t="s">
        <v>46533</v>
      </c>
      <c r="U5895" t="s">
        <v>51888</v>
      </c>
      <c r="V5895" t="s">
        <v>59574</v>
      </c>
      <c r="W5895" t="s">
        <v>41820</v>
      </c>
      <c r="X5895" t="s">
        <v>44764</v>
      </c>
    </row>
    <row r="5896" spans="1:24">
      <c r="A5896">
        <f>HYPERLINK("https://www.philgeps.gov.ph/GEPSNONPILOT/Tender/SplashBidNoticeAbstractUI.aspx?menuIndex=3&amp;refID=7148983&amp;Result=3","7148983")</f>
        <v>0</v>
      </c>
      <c r="B5896" t="s">
        <v>1548</v>
      </c>
      <c r="C5896" t="s">
        <v>9329</v>
      </c>
      <c r="D5896" t="s">
        <v>17974</v>
      </c>
      <c r="E5896" t="s">
        <v>23271</v>
      </c>
      <c r="F5896" t="s">
        <v>30900</v>
      </c>
      <c r="G5896" t="s">
        <v>30907</v>
      </c>
      <c r="H5896" t="s">
        <v>30916</v>
      </c>
      <c r="I5896" t="s">
        <v>5501</v>
      </c>
      <c r="J5896" t="s">
        <v>31101</v>
      </c>
      <c r="K5896" t="s">
        <v>40287</v>
      </c>
      <c r="M5896" t="s">
        <v>42192</v>
      </c>
      <c r="N5896" t="s">
        <v>44759</v>
      </c>
      <c r="O5896" t="s">
        <v>44760</v>
      </c>
      <c r="P5896">
        <v>0</v>
      </c>
      <c r="Q5896">
        <v>2</v>
      </c>
      <c r="R5896" t="s">
        <v>44763</v>
      </c>
      <c r="S5896" t="s">
        <v>44876</v>
      </c>
      <c r="T5896" t="s">
        <v>46421</v>
      </c>
      <c r="U5896" t="s">
        <v>51889</v>
      </c>
      <c r="W5896" t="s">
        <v>42192</v>
      </c>
      <c r="X5896" t="s">
        <v>44764</v>
      </c>
    </row>
    <row r="5897" spans="1:24">
      <c r="A5897">
        <f>HYPERLINK("https://www.philgeps.gov.ph/GEPSNONPILOT/Tender/SplashBidNoticeAbstractUI.aspx?menuIndex=3&amp;refID=7146884&amp;Result=3","7146884")</f>
        <v>0</v>
      </c>
      <c r="B5897" t="s">
        <v>2121</v>
      </c>
      <c r="C5897" t="s">
        <v>9330</v>
      </c>
      <c r="D5897" t="s">
        <v>17964</v>
      </c>
      <c r="E5897" t="s">
        <v>23272</v>
      </c>
      <c r="F5897" t="s">
        <v>30900</v>
      </c>
      <c r="G5897" t="s">
        <v>30909</v>
      </c>
      <c r="H5897" t="s">
        <v>30916</v>
      </c>
      <c r="I5897" t="s">
        <v>6396</v>
      </c>
      <c r="J5897" t="s">
        <v>34894</v>
      </c>
      <c r="K5897" t="s">
        <v>40284</v>
      </c>
      <c r="M5897" t="s">
        <v>42823</v>
      </c>
      <c r="N5897" t="s">
        <v>44759</v>
      </c>
      <c r="O5897" t="s">
        <v>44760</v>
      </c>
      <c r="P5897">
        <v>0</v>
      </c>
      <c r="Q5897">
        <v>0</v>
      </c>
      <c r="R5897" t="s">
        <v>44766</v>
      </c>
      <c r="S5897" t="s">
        <v>44902</v>
      </c>
      <c r="T5897" t="s">
        <v>46591</v>
      </c>
      <c r="U5897" t="s">
        <v>51890</v>
      </c>
      <c r="W5897" t="s">
        <v>42823</v>
      </c>
      <c r="X5897" t="s">
        <v>44767</v>
      </c>
    </row>
    <row r="5898" spans="1:24">
      <c r="A5898">
        <f>HYPERLINK("https://www.philgeps.gov.ph/GEPSNONPILOT/Tender/SplashBidNoticeAbstractUI.aspx?menuIndex=3&amp;refID=7146814&amp;Result=3","7146814")</f>
        <v>0</v>
      </c>
      <c r="B5898" t="s">
        <v>591</v>
      </c>
      <c r="C5898" t="s">
        <v>9331</v>
      </c>
      <c r="D5898" t="s">
        <v>17998</v>
      </c>
      <c r="E5898" t="s">
        <v>23273</v>
      </c>
      <c r="F5898" t="s">
        <v>30900</v>
      </c>
      <c r="G5898" t="s">
        <v>30907</v>
      </c>
      <c r="H5898" t="s">
        <v>30916</v>
      </c>
      <c r="I5898" t="s">
        <v>8123</v>
      </c>
      <c r="J5898" t="s">
        <v>34895</v>
      </c>
      <c r="K5898" t="s">
        <v>40286</v>
      </c>
      <c r="M5898" t="s">
        <v>41247</v>
      </c>
      <c r="N5898" t="s">
        <v>44759</v>
      </c>
      <c r="O5898" t="s">
        <v>44760</v>
      </c>
      <c r="P5898">
        <v>0</v>
      </c>
      <c r="Q5898">
        <v>0</v>
      </c>
      <c r="R5898" t="s">
        <v>44766</v>
      </c>
      <c r="S5898" t="s">
        <v>44902</v>
      </c>
      <c r="T5898" t="s">
        <v>46389</v>
      </c>
      <c r="U5898" t="s">
        <v>47975</v>
      </c>
      <c r="V5898" t="s">
        <v>59259</v>
      </c>
      <c r="W5898" t="s">
        <v>41247</v>
      </c>
      <c r="X5898" t="s">
        <v>44767</v>
      </c>
    </row>
    <row r="5899" spans="1:24">
      <c r="A5899">
        <f>HYPERLINK("https://www.philgeps.gov.ph/GEPSNONPILOT/Tender/SplashBidNoticeAbstractUI.aspx?menuIndex=3&amp;refID=7146916&amp;Result=3","7146916")</f>
        <v>0</v>
      </c>
      <c r="B5899" t="s">
        <v>2108</v>
      </c>
      <c r="C5899" t="s">
        <v>9332</v>
      </c>
      <c r="D5899" t="s">
        <v>17967</v>
      </c>
      <c r="E5899" t="s">
        <v>23274</v>
      </c>
      <c r="F5899" t="s">
        <v>30900</v>
      </c>
      <c r="G5899" t="s">
        <v>30907</v>
      </c>
      <c r="H5899" t="s">
        <v>30916</v>
      </c>
      <c r="I5899" t="s">
        <v>6953</v>
      </c>
      <c r="J5899" t="s">
        <v>34896</v>
      </c>
      <c r="K5899" t="s">
        <v>40289</v>
      </c>
      <c r="M5899" t="s">
        <v>42809</v>
      </c>
      <c r="N5899" t="s">
        <v>44759</v>
      </c>
      <c r="O5899" t="s">
        <v>44760</v>
      </c>
      <c r="P5899">
        <v>0</v>
      </c>
      <c r="Q5899">
        <v>2</v>
      </c>
      <c r="R5899" t="s">
        <v>44766</v>
      </c>
      <c r="S5899" t="s">
        <v>44902</v>
      </c>
      <c r="T5899" t="s">
        <v>46414</v>
      </c>
      <c r="U5899" t="s">
        <v>51891</v>
      </c>
      <c r="W5899" t="s">
        <v>42809</v>
      </c>
      <c r="X5899" t="s">
        <v>44767</v>
      </c>
    </row>
    <row r="5900" spans="1:24">
      <c r="A5900">
        <f>HYPERLINK("https://www.philgeps.gov.ph/GEPSNONPILOT/Tender/SplashBidNoticeAbstractUI.aspx?menuIndex=3&amp;refID=7148980&amp;Result=3","7148980")</f>
        <v>0</v>
      </c>
      <c r="B5900" t="s">
        <v>2122</v>
      </c>
      <c r="C5900" t="s">
        <v>9333</v>
      </c>
      <c r="D5900" t="s">
        <v>18009</v>
      </c>
      <c r="E5900" t="s">
        <v>23275</v>
      </c>
      <c r="F5900" t="s">
        <v>30900</v>
      </c>
      <c r="G5900" t="s">
        <v>30907</v>
      </c>
      <c r="H5900" t="s">
        <v>30916</v>
      </c>
      <c r="I5900" t="s">
        <v>30933</v>
      </c>
      <c r="J5900" t="s">
        <v>31049</v>
      </c>
      <c r="K5900" t="s">
        <v>40286</v>
      </c>
      <c r="M5900" t="s">
        <v>42824</v>
      </c>
      <c r="N5900" t="s">
        <v>44759</v>
      </c>
      <c r="O5900" t="s">
        <v>44760</v>
      </c>
      <c r="P5900">
        <v>0</v>
      </c>
      <c r="Q5900">
        <v>0</v>
      </c>
      <c r="R5900" t="s">
        <v>44763</v>
      </c>
      <c r="S5900" t="s">
        <v>44876</v>
      </c>
      <c r="T5900" t="s">
        <v>46465</v>
      </c>
      <c r="U5900" t="s">
        <v>51892</v>
      </c>
      <c r="W5900" t="s">
        <v>42824</v>
      </c>
      <c r="X5900" t="s">
        <v>44764</v>
      </c>
    </row>
    <row r="5901" spans="1:24">
      <c r="A5901">
        <f>HYPERLINK("https://www.philgeps.gov.ph/GEPSNONPILOT/Tender/SplashBidNoticeAbstractUI.aspx?menuIndex=3&amp;refID=7146913&amp;Result=3","7146913")</f>
        <v>0</v>
      </c>
      <c r="B5901" t="s">
        <v>1944</v>
      </c>
      <c r="C5901" t="s">
        <v>9334</v>
      </c>
      <c r="D5901" t="s">
        <v>17973</v>
      </c>
      <c r="E5901" t="s">
        <v>23021</v>
      </c>
      <c r="F5901" t="s">
        <v>30900</v>
      </c>
      <c r="G5901" t="s">
        <v>30908</v>
      </c>
      <c r="H5901" t="s">
        <v>30916</v>
      </c>
      <c r="I5901" t="s">
        <v>30997</v>
      </c>
      <c r="J5901" t="s">
        <v>34897</v>
      </c>
      <c r="K5901" t="s">
        <v>40287</v>
      </c>
      <c r="M5901" t="s">
        <v>42626</v>
      </c>
      <c r="N5901" t="s">
        <v>44759</v>
      </c>
      <c r="O5901" t="s">
        <v>44760</v>
      </c>
      <c r="P5901">
        <v>0</v>
      </c>
      <c r="Q5901">
        <v>0</v>
      </c>
      <c r="R5901" t="s">
        <v>44766</v>
      </c>
      <c r="S5901" t="s">
        <v>44902</v>
      </c>
      <c r="T5901" t="s">
        <v>46391</v>
      </c>
      <c r="U5901" t="s">
        <v>51893</v>
      </c>
      <c r="W5901" t="s">
        <v>42626</v>
      </c>
      <c r="X5901" t="s">
        <v>44767</v>
      </c>
    </row>
    <row r="5902" spans="1:24">
      <c r="A5902">
        <f>HYPERLINK("https://www.philgeps.gov.ph/GEPSNONPILOT/Tender/SplashBidNoticeAbstractUI.aspx?menuIndex=3&amp;refID=7148981&amp;Result=3","7148981")</f>
        <v>0</v>
      </c>
      <c r="B5902" t="s">
        <v>1723</v>
      </c>
      <c r="C5902" t="s">
        <v>9335</v>
      </c>
      <c r="D5902" t="s">
        <v>17957</v>
      </c>
      <c r="E5902" t="s">
        <v>23276</v>
      </c>
      <c r="F5902" t="s">
        <v>30900</v>
      </c>
      <c r="G5902" t="s">
        <v>30909</v>
      </c>
      <c r="H5902" t="s">
        <v>30916</v>
      </c>
      <c r="I5902" t="s">
        <v>5830</v>
      </c>
      <c r="J5902" t="s">
        <v>34898</v>
      </c>
      <c r="K5902" t="s">
        <v>40286</v>
      </c>
      <c r="M5902" t="s">
        <v>42387</v>
      </c>
      <c r="N5902" t="s">
        <v>44759</v>
      </c>
      <c r="O5902" t="s">
        <v>44760</v>
      </c>
      <c r="P5902">
        <v>0</v>
      </c>
      <c r="Q5902">
        <v>3</v>
      </c>
      <c r="R5902" t="s">
        <v>44763</v>
      </c>
      <c r="S5902" t="s">
        <v>44876</v>
      </c>
      <c r="T5902" t="s">
        <v>46412</v>
      </c>
      <c r="U5902" t="s">
        <v>51894</v>
      </c>
      <c r="W5902" t="s">
        <v>42387</v>
      </c>
      <c r="X5902" t="s">
        <v>44764</v>
      </c>
    </row>
    <row r="5903" spans="1:24">
      <c r="A5903">
        <f>HYPERLINK("https://www.philgeps.gov.ph/GEPSNONPILOT/Tender/SplashBidNoticeAbstractUI.aspx?menuIndex=3&amp;refID=7146907&amp;Result=3","7146907")</f>
        <v>0</v>
      </c>
      <c r="B5903" t="s">
        <v>1626</v>
      </c>
      <c r="C5903" t="s">
        <v>9336</v>
      </c>
      <c r="D5903" t="s">
        <v>17993</v>
      </c>
      <c r="E5903" t="s">
        <v>21897</v>
      </c>
      <c r="F5903" t="s">
        <v>30900</v>
      </c>
      <c r="G5903" t="s">
        <v>30907</v>
      </c>
      <c r="H5903" t="s">
        <v>30915</v>
      </c>
      <c r="I5903" t="s">
        <v>30919</v>
      </c>
      <c r="J5903" t="s">
        <v>32324</v>
      </c>
      <c r="K5903" t="s">
        <v>40280</v>
      </c>
      <c r="M5903" t="s">
        <v>42277</v>
      </c>
      <c r="N5903" t="s">
        <v>44759</v>
      </c>
      <c r="O5903" t="s">
        <v>44760</v>
      </c>
      <c r="P5903">
        <v>0</v>
      </c>
      <c r="Q5903">
        <v>0</v>
      </c>
      <c r="R5903" t="s">
        <v>44766</v>
      </c>
      <c r="S5903" t="s">
        <v>44902</v>
      </c>
      <c r="T5903" t="s">
        <v>46383</v>
      </c>
      <c r="U5903" t="s">
        <v>51895</v>
      </c>
      <c r="W5903" t="s">
        <v>42277</v>
      </c>
      <c r="X5903" t="s">
        <v>44767</v>
      </c>
    </row>
    <row r="5904" spans="1:24">
      <c r="A5904">
        <f>HYPERLINK("https://www.philgeps.gov.ph/GEPSNONPILOT/Tender/SplashBidNoticeAbstractUI.aspx?menuIndex=3&amp;refID=7146922&amp;Result=3","7146922")</f>
        <v>0</v>
      </c>
      <c r="B5904" t="s">
        <v>2123</v>
      </c>
      <c r="C5904" t="s">
        <v>9337</v>
      </c>
      <c r="D5904" t="s">
        <v>18014</v>
      </c>
      <c r="E5904" t="s">
        <v>23277</v>
      </c>
      <c r="F5904" t="s">
        <v>30900</v>
      </c>
      <c r="G5904" t="s">
        <v>30907</v>
      </c>
      <c r="H5904" t="s">
        <v>30915</v>
      </c>
      <c r="I5904" t="s">
        <v>30948</v>
      </c>
      <c r="J5904" t="s">
        <v>31341</v>
      </c>
      <c r="K5904" t="s">
        <v>40293</v>
      </c>
      <c r="M5904" t="s">
        <v>42825</v>
      </c>
      <c r="N5904" t="s">
        <v>44759</v>
      </c>
      <c r="O5904" t="s">
        <v>44760</v>
      </c>
      <c r="P5904">
        <v>0</v>
      </c>
      <c r="Q5904">
        <v>3</v>
      </c>
      <c r="R5904" t="s">
        <v>44766</v>
      </c>
      <c r="S5904" t="s">
        <v>44902</v>
      </c>
      <c r="T5904" t="s">
        <v>46457</v>
      </c>
      <c r="U5904" t="s">
        <v>51896</v>
      </c>
      <c r="W5904" t="s">
        <v>42825</v>
      </c>
      <c r="X5904" t="s">
        <v>44767</v>
      </c>
    </row>
    <row r="5905" spans="1:24">
      <c r="A5905">
        <f>HYPERLINK("https://www.philgeps.gov.ph/GEPSNONPILOT/Tender/SplashBidNoticeAbstractUI.aspx?menuIndex=3&amp;refID=7146914&amp;Result=3","7146914")</f>
        <v>0</v>
      </c>
      <c r="B5905" t="s">
        <v>2099</v>
      </c>
      <c r="C5905" t="s">
        <v>9338</v>
      </c>
      <c r="D5905" t="s">
        <v>17961</v>
      </c>
      <c r="E5905" t="s">
        <v>23278</v>
      </c>
      <c r="F5905" t="s">
        <v>30900</v>
      </c>
      <c r="G5905" t="s">
        <v>30907</v>
      </c>
      <c r="H5905" t="s">
        <v>7411</v>
      </c>
      <c r="I5905" t="s">
        <v>7411</v>
      </c>
      <c r="J5905" t="s">
        <v>32808</v>
      </c>
      <c r="K5905" t="s">
        <v>40301</v>
      </c>
      <c r="M5905" t="s">
        <v>42798</v>
      </c>
      <c r="N5905" t="s">
        <v>44759</v>
      </c>
      <c r="O5905" t="s">
        <v>44760</v>
      </c>
      <c r="P5905">
        <v>0</v>
      </c>
      <c r="Q5905">
        <v>3</v>
      </c>
      <c r="R5905" t="s">
        <v>44766</v>
      </c>
      <c r="S5905" t="s">
        <v>44902</v>
      </c>
      <c r="T5905" t="s">
        <v>46726</v>
      </c>
      <c r="U5905" t="s">
        <v>51897</v>
      </c>
      <c r="W5905" t="s">
        <v>42798</v>
      </c>
      <c r="X5905" t="s">
        <v>44767</v>
      </c>
    </row>
    <row r="5906" spans="1:24">
      <c r="A5906">
        <f>HYPERLINK("https://www.philgeps.gov.ph/GEPSNONPILOT/Tender/SplashBidNoticeAbstractUI.aspx?menuIndex=3&amp;refID=7149038&amp;Result=3","7149038")</f>
        <v>0</v>
      </c>
      <c r="B5906" t="s">
        <v>1736</v>
      </c>
      <c r="C5906" t="s">
        <v>9339</v>
      </c>
      <c r="D5906" t="s">
        <v>17959</v>
      </c>
      <c r="E5906" t="s">
        <v>22351</v>
      </c>
      <c r="F5906" t="s">
        <v>30900</v>
      </c>
      <c r="G5906" t="s">
        <v>30909</v>
      </c>
      <c r="H5906" t="s">
        <v>30916</v>
      </c>
      <c r="I5906" t="s">
        <v>4108</v>
      </c>
      <c r="J5906" t="s">
        <v>31183</v>
      </c>
      <c r="K5906" t="s">
        <v>40283</v>
      </c>
      <c r="M5906" t="s">
        <v>42403</v>
      </c>
      <c r="N5906" t="s">
        <v>44759</v>
      </c>
      <c r="O5906" t="s">
        <v>44760</v>
      </c>
      <c r="P5906">
        <v>0</v>
      </c>
      <c r="Q5906">
        <v>1</v>
      </c>
      <c r="R5906" t="s">
        <v>44763</v>
      </c>
      <c r="S5906" t="s">
        <v>44876</v>
      </c>
      <c r="T5906" t="s">
        <v>46403</v>
      </c>
      <c r="U5906" t="s">
        <v>51898</v>
      </c>
      <c r="W5906" t="s">
        <v>42403</v>
      </c>
      <c r="X5906" t="s">
        <v>44764</v>
      </c>
    </row>
    <row r="5907" spans="1:24">
      <c r="A5907">
        <f>HYPERLINK("https://www.philgeps.gov.ph/GEPSNONPILOT/Tender/SplashBidNoticeAbstractUI.aspx?menuIndex=3&amp;refID=7146910&amp;Result=3","7146910")</f>
        <v>0</v>
      </c>
      <c r="B5907" t="s">
        <v>416</v>
      </c>
      <c r="C5907" t="s">
        <v>9340</v>
      </c>
      <c r="D5907" t="s">
        <v>17976</v>
      </c>
      <c r="E5907" t="s">
        <v>23279</v>
      </c>
      <c r="F5907" t="s">
        <v>30900</v>
      </c>
      <c r="G5907" t="s">
        <v>30907</v>
      </c>
      <c r="H5907" t="s">
        <v>30916</v>
      </c>
      <c r="I5907" t="s">
        <v>30939</v>
      </c>
      <c r="J5907" t="s">
        <v>34899</v>
      </c>
      <c r="K5907" t="s">
        <v>40283</v>
      </c>
      <c r="M5907" t="s">
        <v>40972</v>
      </c>
      <c r="N5907" t="s">
        <v>44759</v>
      </c>
      <c r="O5907" t="s">
        <v>44760</v>
      </c>
      <c r="P5907">
        <v>0</v>
      </c>
      <c r="Q5907">
        <v>0</v>
      </c>
      <c r="R5907" t="s">
        <v>44766</v>
      </c>
      <c r="S5907" t="s">
        <v>44902</v>
      </c>
      <c r="T5907" t="s">
        <v>46363</v>
      </c>
      <c r="U5907" t="s">
        <v>51899</v>
      </c>
      <c r="W5907" t="s">
        <v>40972</v>
      </c>
      <c r="X5907" t="s">
        <v>44767</v>
      </c>
    </row>
    <row r="5908" spans="1:24">
      <c r="A5908">
        <f>HYPERLINK("https://www.philgeps.gov.ph/GEPSNONPILOT/Tender/SplashBidNoticeAbstractUI.aspx?menuIndex=3&amp;refID=7146917&amp;Result=3","7146917")</f>
        <v>0</v>
      </c>
      <c r="B5908" t="s">
        <v>179</v>
      </c>
      <c r="C5908" t="s">
        <v>9341</v>
      </c>
      <c r="D5908" t="s">
        <v>17953</v>
      </c>
      <c r="E5908" t="s">
        <v>23280</v>
      </c>
      <c r="F5908" t="s">
        <v>30900</v>
      </c>
      <c r="G5908" t="s">
        <v>30907</v>
      </c>
      <c r="H5908" t="s">
        <v>30915</v>
      </c>
      <c r="I5908" t="s">
        <v>30919</v>
      </c>
      <c r="J5908" t="s">
        <v>34900</v>
      </c>
      <c r="K5908" t="s">
        <v>40304</v>
      </c>
      <c r="M5908" t="s">
        <v>40726</v>
      </c>
      <c r="N5908" t="s">
        <v>44759</v>
      </c>
      <c r="O5908" t="s">
        <v>44760</v>
      </c>
      <c r="P5908">
        <v>0</v>
      </c>
      <c r="Q5908">
        <v>0</v>
      </c>
      <c r="R5908" t="s">
        <v>44766</v>
      </c>
      <c r="S5908" t="s">
        <v>44902</v>
      </c>
      <c r="T5908" t="s">
        <v>46409</v>
      </c>
      <c r="U5908" t="s">
        <v>51900</v>
      </c>
      <c r="W5908" t="s">
        <v>40726</v>
      </c>
      <c r="X5908" t="s">
        <v>44767</v>
      </c>
    </row>
    <row r="5909" spans="1:24">
      <c r="A5909">
        <f>HYPERLINK("https://www.philgeps.gov.ph/GEPSNONPILOT/Tender/SplashBidNoticeAbstractUI.aspx?menuIndex=3&amp;refID=7146905&amp;Result=3","7146905")</f>
        <v>0</v>
      </c>
      <c r="B5909" t="s">
        <v>2124</v>
      </c>
      <c r="C5909" t="s">
        <v>9342</v>
      </c>
      <c r="D5909" t="s">
        <v>17994</v>
      </c>
      <c r="E5909" t="s">
        <v>19061</v>
      </c>
      <c r="F5909" t="s">
        <v>30900</v>
      </c>
      <c r="G5909" t="s">
        <v>30907</v>
      </c>
      <c r="H5909" t="s">
        <v>30916</v>
      </c>
      <c r="I5909" t="s">
        <v>8123</v>
      </c>
      <c r="J5909" t="s">
        <v>31049</v>
      </c>
      <c r="K5909" t="s">
        <v>40288</v>
      </c>
      <c r="M5909" t="s">
        <v>42826</v>
      </c>
      <c r="N5909" t="s">
        <v>44759</v>
      </c>
      <c r="O5909" t="s">
        <v>44760</v>
      </c>
      <c r="P5909">
        <v>0</v>
      </c>
      <c r="Q5909">
        <v>0</v>
      </c>
      <c r="R5909" t="s">
        <v>44766</v>
      </c>
      <c r="S5909" t="s">
        <v>44902</v>
      </c>
      <c r="T5909" t="s">
        <v>46414</v>
      </c>
      <c r="U5909" t="s">
        <v>51901</v>
      </c>
      <c r="W5909" t="s">
        <v>42826</v>
      </c>
      <c r="X5909" t="s">
        <v>44767</v>
      </c>
    </row>
    <row r="5910" spans="1:24">
      <c r="A5910">
        <f>HYPERLINK("https://www.philgeps.gov.ph/GEPSNONPILOT/Tender/SplashBidNoticeAbstractUI.aspx?menuIndex=3&amp;refID=7146921&amp;Result=3","7146921")</f>
        <v>0</v>
      </c>
      <c r="B5910" t="s">
        <v>1967</v>
      </c>
      <c r="C5910" t="s">
        <v>9343</v>
      </c>
      <c r="D5910" t="s">
        <v>17988</v>
      </c>
      <c r="E5910" t="s">
        <v>23281</v>
      </c>
      <c r="F5910" t="s">
        <v>30900</v>
      </c>
      <c r="G5910" t="s">
        <v>30908</v>
      </c>
      <c r="H5910" t="s">
        <v>30915</v>
      </c>
      <c r="I5910" t="s">
        <v>30919</v>
      </c>
      <c r="J5910" t="s">
        <v>34887</v>
      </c>
      <c r="K5910" t="s">
        <v>40289</v>
      </c>
      <c r="M5910" t="s">
        <v>42653</v>
      </c>
      <c r="N5910" t="s">
        <v>44759</v>
      </c>
      <c r="O5910" t="s">
        <v>44760</v>
      </c>
      <c r="P5910">
        <v>0</v>
      </c>
      <c r="Q5910">
        <v>0</v>
      </c>
      <c r="R5910" t="s">
        <v>44766</v>
      </c>
      <c r="S5910" t="s">
        <v>44902</v>
      </c>
      <c r="T5910" t="s">
        <v>46625</v>
      </c>
      <c r="U5910" t="s">
        <v>51477</v>
      </c>
      <c r="W5910" t="s">
        <v>42653</v>
      </c>
      <c r="X5910" t="s">
        <v>44767</v>
      </c>
    </row>
    <row r="5911" spans="1:24">
      <c r="A5911">
        <f>HYPERLINK("https://www.philgeps.gov.ph/GEPSNONPILOT/Tender/SplashBidNoticeAbstractUI.aspx?menuIndex=3&amp;refID=7146902&amp;Result=3","7146902")</f>
        <v>0</v>
      </c>
      <c r="B5911" t="s">
        <v>2125</v>
      </c>
      <c r="C5911" t="s">
        <v>9344</v>
      </c>
      <c r="D5911" t="s">
        <v>17975</v>
      </c>
      <c r="E5911" t="s">
        <v>18484</v>
      </c>
      <c r="F5911" t="s">
        <v>30900</v>
      </c>
      <c r="G5911" t="s">
        <v>30907</v>
      </c>
      <c r="H5911" t="s">
        <v>30915</v>
      </c>
      <c r="I5911" t="s">
        <v>30919</v>
      </c>
      <c r="J5911" t="s">
        <v>34901</v>
      </c>
      <c r="K5911" t="s">
        <v>40289</v>
      </c>
      <c r="M5911" t="s">
        <v>42827</v>
      </c>
      <c r="N5911" t="s">
        <v>44759</v>
      </c>
      <c r="O5911" t="s">
        <v>44760</v>
      </c>
      <c r="P5911">
        <v>0</v>
      </c>
      <c r="Q5911">
        <v>0</v>
      </c>
      <c r="R5911" t="s">
        <v>44766</v>
      </c>
      <c r="S5911" t="s">
        <v>44902</v>
      </c>
      <c r="T5911" t="s">
        <v>46398</v>
      </c>
      <c r="U5911" t="s">
        <v>51902</v>
      </c>
      <c r="W5911" t="s">
        <v>42827</v>
      </c>
      <c r="X5911" t="s">
        <v>44767</v>
      </c>
    </row>
    <row r="5912" spans="1:24">
      <c r="A5912">
        <f>HYPERLINK("https://www.philgeps.gov.ph/GEPSNONPILOT/Tender/SplashBidNoticeAbstractUI.aspx?menuIndex=3&amp;refID=7146920&amp;Result=3","7146920")</f>
        <v>0</v>
      </c>
      <c r="B5912" t="s">
        <v>2109</v>
      </c>
      <c r="C5912" t="s">
        <v>9345</v>
      </c>
      <c r="D5912" t="s">
        <v>17985</v>
      </c>
      <c r="E5912" t="s">
        <v>23282</v>
      </c>
      <c r="F5912" t="s">
        <v>30900</v>
      </c>
      <c r="G5912" t="s">
        <v>30907</v>
      </c>
      <c r="H5912" t="s">
        <v>30915</v>
      </c>
      <c r="I5912" t="s">
        <v>30948</v>
      </c>
      <c r="J5912" t="s">
        <v>34902</v>
      </c>
      <c r="K5912" t="s">
        <v>40280</v>
      </c>
      <c r="M5912" t="s">
        <v>42810</v>
      </c>
      <c r="N5912" t="s">
        <v>44759</v>
      </c>
      <c r="O5912" t="s">
        <v>44760</v>
      </c>
      <c r="P5912">
        <v>0</v>
      </c>
      <c r="Q5912">
        <v>2</v>
      </c>
      <c r="R5912" t="s">
        <v>44766</v>
      </c>
      <c r="S5912" t="s">
        <v>44902</v>
      </c>
      <c r="T5912" t="s">
        <v>46379</v>
      </c>
      <c r="U5912" t="s">
        <v>51903</v>
      </c>
      <c r="W5912" t="s">
        <v>42810</v>
      </c>
      <c r="X5912" t="s">
        <v>44767</v>
      </c>
    </row>
    <row r="5913" spans="1:24">
      <c r="A5913">
        <f>HYPERLINK("https://www.philgeps.gov.ph/GEPSNONPILOT/Tender/SplashBidNoticeAbstractUI.aspx?menuIndex=3&amp;refID=7146919&amp;Result=3","7146919")</f>
        <v>0</v>
      </c>
      <c r="B5913" t="s">
        <v>1988</v>
      </c>
      <c r="C5913" t="s">
        <v>9346</v>
      </c>
      <c r="D5913" t="s">
        <v>17959</v>
      </c>
      <c r="E5913" t="s">
        <v>23283</v>
      </c>
      <c r="F5913" t="s">
        <v>30900</v>
      </c>
      <c r="G5913" t="s">
        <v>30906</v>
      </c>
      <c r="H5913" t="s">
        <v>30916</v>
      </c>
      <c r="I5913" t="s">
        <v>30989</v>
      </c>
      <c r="J5913" t="s">
        <v>33238</v>
      </c>
      <c r="K5913" t="s">
        <v>40289</v>
      </c>
      <c r="L5913" t="s">
        <v>1988</v>
      </c>
      <c r="M5913" t="s">
        <v>42679</v>
      </c>
      <c r="N5913" t="s">
        <v>44759</v>
      </c>
      <c r="O5913" t="s">
        <v>44760</v>
      </c>
      <c r="Q5913">
        <v>2</v>
      </c>
      <c r="R5913" t="s">
        <v>44766</v>
      </c>
      <c r="S5913" t="s">
        <v>44942</v>
      </c>
      <c r="T5913" t="s">
        <v>46497</v>
      </c>
      <c r="U5913" t="s">
        <v>51539</v>
      </c>
      <c r="W5913" t="s">
        <v>42679</v>
      </c>
      <c r="X5913" t="s">
        <v>44767</v>
      </c>
    </row>
    <row r="5914" spans="1:24">
      <c r="A5914">
        <f>HYPERLINK("https://www.philgeps.gov.ph/GEPSNONPILOT/Tender/SplashBidNoticeAbstractUI.aspx?menuIndex=3&amp;refID=7146886&amp;Result=3","7146886")</f>
        <v>0</v>
      </c>
      <c r="B5914" t="s">
        <v>1414</v>
      </c>
      <c r="C5914" t="s">
        <v>9347</v>
      </c>
      <c r="D5914" t="s">
        <v>17977</v>
      </c>
      <c r="E5914" t="s">
        <v>23284</v>
      </c>
      <c r="F5914" t="s">
        <v>30900</v>
      </c>
      <c r="G5914" t="s">
        <v>30908</v>
      </c>
      <c r="H5914" t="s">
        <v>30916</v>
      </c>
      <c r="I5914" t="s">
        <v>31000</v>
      </c>
      <c r="J5914" t="s">
        <v>31632</v>
      </c>
      <c r="K5914" t="s">
        <v>40286</v>
      </c>
      <c r="M5914" t="s">
        <v>42043</v>
      </c>
      <c r="N5914" t="s">
        <v>44759</v>
      </c>
      <c r="O5914" t="s">
        <v>44760</v>
      </c>
      <c r="Q5914">
        <v>0</v>
      </c>
      <c r="R5914" t="s">
        <v>44766</v>
      </c>
      <c r="S5914" t="s">
        <v>44938</v>
      </c>
      <c r="T5914" t="s">
        <v>46410</v>
      </c>
      <c r="U5914" t="s">
        <v>49834</v>
      </c>
      <c r="W5914" t="s">
        <v>42043</v>
      </c>
      <c r="X5914" t="s">
        <v>44767</v>
      </c>
    </row>
    <row r="5915" spans="1:24">
      <c r="A5915">
        <f>HYPERLINK("https://www.philgeps.gov.ph/GEPSNONPILOT/Tender/SplashBidNoticeAbstractUI.aspx?menuIndex=3&amp;refID=7148960&amp;Result=3","7148960")</f>
        <v>0</v>
      </c>
      <c r="B5915" t="s">
        <v>1724</v>
      </c>
      <c r="C5915" t="s">
        <v>9348</v>
      </c>
      <c r="D5915" t="s">
        <v>18016</v>
      </c>
      <c r="E5915" t="s">
        <v>22180</v>
      </c>
      <c r="F5915" t="s">
        <v>30900</v>
      </c>
      <c r="G5915" t="s">
        <v>30909</v>
      </c>
      <c r="H5915" t="s">
        <v>30916</v>
      </c>
      <c r="I5915" t="s">
        <v>30923</v>
      </c>
      <c r="J5915" t="s">
        <v>34903</v>
      </c>
      <c r="K5915" t="s">
        <v>40284</v>
      </c>
      <c r="M5915" t="s">
        <v>42388</v>
      </c>
      <c r="N5915" t="s">
        <v>44759</v>
      </c>
      <c r="O5915" t="s">
        <v>44760</v>
      </c>
      <c r="P5915">
        <v>0</v>
      </c>
      <c r="Q5915">
        <v>0</v>
      </c>
      <c r="R5915" t="s">
        <v>44763</v>
      </c>
      <c r="S5915" t="s">
        <v>44876</v>
      </c>
      <c r="T5915" t="s">
        <v>46403</v>
      </c>
      <c r="U5915" t="s">
        <v>51904</v>
      </c>
      <c r="W5915" t="s">
        <v>42388</v>
      </c>
      <c r="X5915" t="s">
        <v>44764</v>
      </c>
    </row>
    <row r="5916" spans="1:24">
      <c r="A5916">
        <f>HYPERLINK("https://www.philgeps.gov.ph/GEPSNONPILOT/Tender/SplashBidNoticeAbstractUI.aspx?menuIndex=3&amp;refID=7146906&amp;Result=3","7146906")</f>
        <v>0</v>
      </c>
      <c r="B5916" t="s">
        <v>2126</v>
      </c>
      <c r="C5916" t="s">
        <v>9349</v>
      </c>
      <c r="D5916" t="s">
        <v>17963</v>
      </c>
      <c r="E5916" t="s">
        <v>23285</v>
      </c>
      <c r="F5916" t="s">
        <v>30900</v>
      </c>
      <c r="G5916" t="s">
        <v>30907</v>
      </c>
      <c r="H5916" t="s">
        <v>30916</v>
      </c>
      <c r="I5916" t="s">
        <v>4050</v>
      </c>
      <c r="J5916" t="s">
        <v>31407</v>
      </c>
      <c r="K5916" t="s">
        <v>40289</v>
      </c>
      <c r="M5916" t="s">
        <v>42828</v>
      </c>
      <c r="N5916" t="s">
        <v>44759</v>
      </c>
      <c r="O5916" t="s">
        <v>44760</v>
      </c>
      <c r="P5916">
        <v>0</v>
      </c>
      <c r="Q5916">
        <v>1</v>
      </c>
      <c r="R5916" t="s">
        <v>44766</v>
      </c>
      <c r="S5916" t="s">
        <v>44902</v>
      </c>
      <c r="T5916" t="s">
        <v>46474</v>
      </c>
      <c r="U5916" t="s">
        <v>51905</v>
      </c>
      <c r="W5916" t="s">
        <v>42828</v>
      </c>
      <c r="X5916" t="s">
        <v>44767</v>
      </c>
    </row>
    <row r="5917" spans="1:24">
      <c r="A5917">
        <f>HYPERLINK("https://www.philgeps.gov.ph/GEPSNONPILOT/Tender/SplashBidNoticeAbstractUI.aspx?menuIndex=3&amp;refID=7146885&amp;Result=3","7146885")</f>
        <v>0</v>
      </c>
      <c r="B5917" t="s">
        <v>269</v>
      </c>
      <c r="C5917" t="s">
        <v>9350</v>
      </c>
      <c r="D5917" t="s">
        <v>17971</v>
      </c>
      <c r="E5917" t="s">
        <v>23286</v>
      </c>
      <c r="F5917" t="s">
        <v>30900</v>
      </c>
      <c r="G5917" t="s">
        <v>30908</v>
      </c>
      <c r="H5917" t="s">
        <v>30916</v>
      </c>
      <c r="I5917" t="s">
        <v>30991</v>
      </c>
      <c r="J5917" t="s">
        <v>31686</v>
      </c>
      <c r="K5917" t="s">
        <v>40289</v>
      </c>
      <c r="M5917" t="s">
        <v>40816</v>
      </c>
      <c r="N5917" t="s">
        <v>44759</v>
      </c>
      <c r="O5917" t="s">
        <v>44760</v>
      </c>
      <c r="P5917">
        <v>0</v>
      </c>
      <c r="Q5917">
        <v>1</v>
      </c>
      <c r="R5917" t="s">
        <v>44766</v>
      </c>
      <c r="S5917" t="s">
        <v>44902</v>
      </c>
      <c r="T5917" t="s">
        <v>46457</v>
      </c>
      <c r="U5917" t="s">
        <v>51906</v>
      </c>
      <c r="W5917" t="s">
        <v>40816</v>
      </c>
      <c r="X5917" t="s">
        <v>44767</v>
      </c>
    </row>
    <row r="5918" spans="1:24">
      <c r="A5918">
        <f>HYPERLINK("https://www.philgeps.gov.ph/GEPSNONPILOT/Tender/SplashBidNoticeAbstractUI.aspx?menuIndex=3&amp;refID=7146900&amp;Result=3","7146900")</f>
        <v>0</v>
      </c>
      <c r="B5918" t="s">
        <v>2127</v>
      </c>
      <c r="C5918" t="s">
        <v>9351</v>
      </c>
      <c r="D5918" t="s">
        <v>17989</v>
      </c>
      <c r="E5918" t="s">
        <v>23287</v>
      </c>
      <c r="F5918" t="s">
        <v>30900</v>
      </c>
      <c r="G5918" t="s">
        <v>30907</v>
      </c>
      <c r="H5918" t="s">
        <v>30915</v>
      </c>
      <c r="I5918" t="s">
        <v>30919</v>
      </c>
      <c r="J5918" t="s">
        <v>34904</v>
      </c>
      <c r="K5918" t="s">
        <v>40280</v>
      </c>
      <c r="M5918" t="s">
        <v>42829</v>
      </c>
      <c r="N5918" t="s">
        <v>44759</v>
      </c>
      <c r="O5918" t="s">
        <v>44760</v>
      </c>
      <c r="P5918">
        <v>0</v>
      </c>
      <c r="Q5918">
        <v>0</v>
      </c>
      <c r="R5918" t="s">
        <v>44766</v>
      </c>
      <c r="S5918" t="s">
        <v>44902</v>
      </c>
      <c r="T5918" t="s">
        <v>46450</v>
      </c>
      <c r="U5918" t="s">
        <v>51907</v>
      </c>
      <c r="W5918" t="s">
        <v>42829</v>
      </c>
      <c r="X5918" t="s">
        <v>44767</v>
      </c>
    </row>
    <row r="5919" spans="1:24">
      <c r="A5919">
        <f>HYPERLINK("https://www.philgeps.gov.ph/GEPSNONPILOT/Tender/SplashBidNoticeAbstractUI.aspx?menuIndex=3&amp;refID=7146956&amp;Result=3","7146956")</f>
        <v>0</v>
      </c>
      <c r="B5919" t="s">
        <v>1883</v>
      </c>
      <c r="C5919" t="s">
        <v>9352</v>
      </c>
      <c r="D5919" t="s">
        <v>17973</v>
      </c>
      <c r="E5919" t="s">
        <v>23288</v>
      </c>
      <c r="F5919" t="s">
        <v>30899</v>
      </c>
      <c r="G5919" t="s">
        <v>30907</v>
      </c>
      <c r="H5919" t="s">
        <v>30916</v>
      </c>
      <c r="I5919" t="s">
        <v>8123</v>
      </c>
      <c r="J5919" t="s">
        <v>31049</v>
      </c>
      <c r="K5919" t="s">
        <v>40289</v>
      </c>
      <c r="M5919" t="s">
        <v>42558</v>
      </c>
      <c r="N5919" t="s">
        <v>44759</v>
      </c>
      <c r="O5919" t="s">
        <v>44760</v>
      </c>
      <c r="P5919">
        <v>0</v>
      </c>
      <c r="Q5919">
        <v>0</v>
      </c>
      <c r="R5919" t="s">
        <v>44766</v>
      </c>
      <c r="S5919" t="s">
        <v>44902</v>
      </c>
      <c r="T5919" t="s">
        <v>46488</v>
      </c>
      <c r="U5919" t="s">
        <v>51908</v>
      </c>
      <c r="W5919" t="s">
        <v>42558</v>
      </c>
      <c r="X5919" t="s">
        <v>44767</v>
      </c>
    </row>
    <row r="5920" spans="1:24">
      <c r="A5920">
        <f>HYPERLINK("https://www.philgeps.gov.ph/GEPSNONPILOT/Tender/SplashBidNoticeAbstractUI.aspx?menuIndex=3&amp;refID=7146894&amp;Result=3","7146894")</f>
        <v>0</v>
      </c>
      <c r="B5920" t="s">
        <v>2128</v>
      </c>
      <c r="C5920" t="s">
        <v>9353</v>
      </c>
      <c r="D5920" t="s">
        <v>18010</v>
      </c>
      <c r="E5920" t="s">
        <v>23289</v>
      </c>
      <c r="F5920" t="s">
        <v>30900</v>
      </c>
      <c r="G5920" t="s">
        <v>30907</v>
      </c>
      <c r="H5920" t="s">
        <v>30915</v>
      </c>
      <c r="I5920" t="s">
        <v>30919</v>
      </c>
      <c r="J5920" t="s">
        <v>31337</v>
      </c>
      <c r="K5920" t="s">
        <v>40293</v>
      </c>
      <c r="M5920" t="s">
        <v>42830</v>
      </c>
      <c r="N5920" t="s">
        <v>44759</v>
      </c>
      <c r="O5920" t="s">
        <v>44760</v>
      </c>
      <c r="P5920">
        <v>0</v>
      </c>
      <c r="Q5920">
        <v>0</v>
      </c>
      <c r="R5920" t="s">
        <v>44766</v>
      </c>
      <c r="S5920" t="s">
        <v>44902</v>
      </c>
      <c r="T5920" t="s">
        <v>46357</v>
      </c>
      <c r="U5920" t="s">
        <v>51909</v>
      </c>
      <c r="W5920" t="s">
        <v>42830</v>
      </c>
      <c r="X5920" t="s">
        <v>44767</v>
      </c>
    </row>
    <row r="5921" spans="1:24">
      <c r="A5921">
        <f>HYPERLINK("https://www.philgeps.gov.ph/GEPSNONPILOT/Tender/SplashBidNoticeAbstractUI.aspx?menuIndex=3&amp;refID=7146954&amp;Result=3","7146954")</f>
        <v>0</v>
      </c>
      <c r="B5921" t="s">
        <v>1532</v>
      </c>
      <c r="C5921" t="s">
        <v>9354</v>
      </c>
      <c r="D5921" t="s">
        <v>17993</v>
      </c>
      <c r="E5921" t="s">
        <v>23290</v>
      </c>
      <c r="F5921" t="s">
        <v>30900</v>
      </c>
      <c r="G5921" t="s">
        <v>30908</v>
      </c>
      <c r="H5921" t="s">
        <v>30916</v>
      </c>
      <c r="I5921" t="s">
        <v>5501</v>
      </c>
      <c r="J5921" t="s">
        <v>34905</v>
      </c>
      <c r="K5921" t="s">
        <v>40286</v>
      </c>
      <c r="M5921" t="s">
        <v>42175</v>
      </c>
      <c r="N5921" t="s">
        <v>44759</v>
      </c>
      <c r="O5921" t="s">
        <v>44760</v>
      </c>
      <c r="P5921">
        <v>0</v>
      </c>
      <c r="Q5921">
        <v>1</v>
      </c>
      <c r="R5921" t="s">
        <v>44766</v>
      </c>
      <c r="S5921" t="s">
        <v>44902</v>
      </c>
      <c r="T5921" t="s">
        <v>46591</v>
      </c>
      <c r="U5921" t="s">
        <v>51910</v>
      </c>
      <c r="W5921" t="s">
        <v>42175</v>
      </c>
      <c r="X5921" t="s">
        <v>44767</v>
      </c>
    </row>
    <row r="5922" spans="1:24">
      <c r="A5922">
        <f>HYPERLINK("https://www.philgeps.gov.ph/GEPSNONPILOT/Tender/SplashBidNoticeAbstractUI.aspx?menuIndex=3&amp;refID=7146949&amp;Result=3","7146949")</f>
        <v>0</v>
      </c>
      <c r="B5922" t="s">
        <v>1967</v>
      </c>
      <c r="C5922" t="s">
        <v>9355</v>
      </c>
      <c r="D5922" t="s">
        <v>17988</v>
      </c>
      <c r="E5922" t="s">
        <v>23291</v>
      </c>
      <c r="F5922" t="s">
        <v>30900</v>
      </c>
      <c r="G5922" t="s">
        <v>30908</v>
      </c>
      <c r="H5922" t="s">
        <v>30915</v>
      </c>
      <c r="I5922" t="s">
        <v>30919</v>
      </c>
      <c r="J5922" t="s">
        <v>34874</v>
      </c>
      <c r="K5922" t="s">
        <v>40289</v>
      </c>
      <c r="M5922" t="s">
        <v>42653</v>
      </c>
      <c r="N5922" t="s">
        <v>44759</v>
      </c>
      <c r="O5922" t="s">
        <v>44760</v>
      </c>
      <c r="P5922">
        <v>0</v>
      </c>
      <c r="Q5922">
        <v>0</v>
      </c>
      <c r="R5922" t="s">
        <v>44766</v>
      </c>
      <c r="S5922" t="s">
        <v>44902</v>
      </c>
      <c r="T5922" t="s">
        <v>46625</v>
      </c>
      <c r="U5922" t="s">
        <v>51477</v>
      </c>
      <c r="W5922" t="s">
        <v>42653</v>
      </c>
      <c r="X5922" t="s">
        <v>44767</v>
      </c>
    </row>
    <row r="5923" spans="1:24">
      <c r="A5923">
        <f>HYPERLINK("https://www.philgeps.gov.ph/GEPSNONPILOT/Tender/SplashBidNoticeAbstractUI.aspx?menuIndex=3&amp;refID=7146903&amp;Result=3","7146903")</f>
        <v>0</v>
      </c>
      <c r="B5923" t="s">
        <v>2117</v>
      </c>
      <c r="C5923" t="s">
        <v>9356</v>
      </c>
      <c r="E5923" t="s">
        <v>23292</v>
      </c>
      <c r="F5923" t="s">
        <v>30900</v>
      </c>
      <c r="G5923" t="s">
        <v>30907</v>
      </c>
      <c r="H5923" t="s">
        <v>30916</v>
      </c>
      <c r="I5923" t="s">
        <v>30933</v>
      </c>
      <c r="J5923" t="s">
        <v>31653</v>
      </c>
      <c r="K5923" t="s">
        <v>40289</v>
      </c>
      <c r="M5923" t="s">
        <v>42818</v>
      </c>
      <c r="N5923" t="s">
        <v>44759</v>
      </c>
      <c r="O5923" t="s">
        <v>44760</v>
      </c>
      <c r="P5923">
        <v>0</v>
      </c>
      <c r="Q5923">
        <v>2</v>
      </c>
      <c r="R5923" t="s">
        <v>44766</v>
      </c>
      <c r="S5923" t="s">
        <v>44902</v>
      </c>
      <c r="T5923" t="s">
        <v>46350</v>
      </c>
      <c r="U5923" t="s">
        <v>51911</v>
      </c>
      <c r="W5923" t="s">
        <v>42818</v>
      </c>
      <c r="X5923" t="s">
        <v>44767</v>
      </c>
    </row>
    <row r="5924" spans="1:24">
      <c r="A5924">
        <f>HYPERLINK("https://www.philgeps.gov.ph/GEPSNONPILOT/Tender/SplashBidNoticeAbstractUI.aspx?menuIndex=3&amp;refID=7146945&amp;Result=3","7146945")</f>
        <v>0</v>
      </c>
      <c r="B5924" t="s">
        <v>2129</v>
      </c>
      <c r="C5924" t="s">
        <v>9357</v>
      </c>
      <c r="D5924" t="s">
        <v>17993</v>
      </c>
      <c r="E5924" t="s">
        <v>18935</v>
      </c>
      <c r="F5924" t="s">
        <v>30900</v>
      </c>
      <c r="G5924" t="s">
        <v>30907</v>
      </c>
      <c r="H5924" t="s">
        <v>30916</v>
      </c>
      <c r="I5924" t="s">
        <v>8123</v>
      </c>
      <c r="J5924" t="s">
        <v>34906</v>
      </c>
      <c r="K5924" t="s">
        <v>40289</v>
      </c>
      <c r="M5924" t="s">
        <v>42831</v>
      </c>
      <c r="N5924" t="s">
        <v>44759</v>
      </c>
      <c r="O5924" t="s">
        <v>44760</v>
      </c>
      <c r="P5924">
        <v>0</v>
      </c>
      <c r="Q5924">
        <v>0</v>
      </c>
      <c r="R5924" t="s">
        <v>44766</v>
      </c>
      <c r="S5924" t="s">
        <v>44902</v>
      </c>
      <c r="T5924" t="s">
        <v>46414</v>
      </c>
      <c r="U5924" t="s">
        <v>51912</v>
      </c>
      <c r="W5924" t="s">
        <v>42831</v>
      </c>
      <c r="X5924" t="s">
        <v>44767</v>
      </c>
    </row>
    <row r="5925" spans="1:24">
      <c r="A5925">
        <f>HYPERLINK("https://www.philgeps.gov.ph/GEPSNONPILOT/Tender/SplashBidNoticeAbstractUI.aspx?menuIndex=3&amp;refID=7146957&amp;Result=3","7146957")</f>
        <v>0</v>
      </c>
      <c r="B5925" t="s">
        <v>788</v>
      </c>
      <c r="C5925" t="s">
        <v>9358</v>
      </c>
      <c r="D5925" t="s">
        <v>17959</v>
      </c>
      <c r="E5925" t="s">
        <v>23293</v>
      </c>
      <c r="F5925" t="s">
        <v>30900</v>
      </c>
      <c r="G5925" t="s">
        <v>30908</v>
      </c>
      <c r="H5925" t="s">
        <v>30916</v>
      </c>
      <c r="I5925" t="s">
        <v>8123</v>
      </c>
      <c r="J5925" t="s">
        <v>34907</v>
      </c>
      <c r="K5925" t="s">
        <v>40289</v>
      </c>
      <c r="M5925" t="s">
        <v>42807</v>
      </c>
      <c r="N5925" t="s">
        <v>44759</v>
      </c>
      <c r="O5925" t="s">
        <v>44760</v>
      </c>
      <c r="P5925">
        <v>0</v>
      </c>
      <c r="Q5925">
        <v>4</v>
      </c>
      <c r="R5925" t="s">
        <v>44766</v>
      </c>
      <c r="S5925" t="s">
        <v>44902</v>
      </c>
      <c r="T5925" t="s">
        <v>46548</v>
      </c>
      <c r="U5925" t="s">
        <v>51858</v>
      </c>
      <c r="V5925" t="s">
        <v>59764</v>
      </c>
      <c r="W5925" t="s">
        <v>42807</v>
      </c>
      <c r="X5925" t="s">
        <v>44767</v>
      </c>
    </row>
    <row r="5926" spans="1:24">
      <c r="A5926">
        <f>HYPERLINK("https://www.philgeps.gov.ph/GEPSNONPILOT/Tender/SplashBidNoticeAbstractUI.aspx?menuIndex=3&amp;refID=7146941&amp;Result=3","7146941")</f>
        <v>0</v>
      </c>
      <c r="B5926" t="s">
        <v>2094</v>
      </c>
      <c r="C5926" t="s">
        <v>9359</v>
      </c>
      <c r="D5926" t="s">
        <v>17962</v>
      </c>
      <c r="E5926" t="s">
        <v>23294</v>
      </c>
      <c r="F5926" t="s">
        <v>30900</v>
      </c>
      <c r="G5926" t="s">
        <v>30907</v>
      </c>
      <c r="H5926" t="s">
        <v>30916</v>
      </c>
      <c r="I5926" t="s">
        <v>4454</v>
      </c>
      <c r="J5926" t="s">
        <v>34908</v>
      </c>
      <c r="K5926" t="s">
        <v>40286</v>
      </c>
      <c r="M5926" t="s">
        <v>42793</v>
      </c>
      <c r="N5926" t="s">
        <v>44759</v>
      </c>
      <c r="O5926" t="s">
        <v>44760</v>
      </c>
      <c r="P5926">
        <v>0</v>
      </c>
      <c r="Q5926">
        <v>7</v>
      </c>
      <c r="R5926" t="s">
        <v>44766</v>
      </c>
      <c r="S5926" t="s">
        <v>44902</v>
      </c>
      <c r="T5926" t="s">
        <v>46455</v>
      </c>
      <c r="U5926" t="s">
        <v>51913</v>
      </c>
      <c r="V5926" t="s">
        <v>59765</v>
      </c>
      <c r="W5926" t="s">
        <v>42793</v>
      </c>
      <c r="X5926" t="s">
        <v>44767</v>
      </c>
    </row>
    <row r="5927" spans="1:24">
      <c r="A5927">
        <f>HYPERLINK("https://www.philgeps.gov.ph/GEPSNONPILOT/Tender/SplashBidNoticeAbstractUI.aspx?menuIndex=3&amp;refID=7146951&amp;Result=3","7146951")</f>
        <v>0</v>
      </c>
      <c r="B5927" t="s">
        <v>2130</v>
      </c>
      <c r="C5927" t="s">
        <v>9360</v>
      </c>
      <c r="D5927" t="s">
        <v>17995</v>
      </c>
      <c r="E5927" t="s">
        <v>23295</v>
      </c>
      <c r="F5927" t="s">
        <v>30900</v>
      </c>
      <c r="G5927" t="s">
        <v>30908</v>
      </c>
      <c r="H5927" t="s">
        <v>30916</v>
      </c>
      <c r="I5927" t="s">
        <v>8123</v>
      </c>
      <c r="J5927" t="s">
        <v>31204</v>
      </c>
      <c r="K5927" t="s">
        <v>40283</v>
      </c>
      <c r="M5927" t="s">
        <v>42832</v>
      </c>
      <c r="N5927" t="s">
        <v>44759</v>
      </c>
      <c r="O5927" t="s">
        <v>44760</v>
      </c>
      <c r="P5927">
        <v>0</v>
      </c>
      <c r="Q5927">
        <v>1</v>
      </c>
      <c r="R5927" t="s">
        <v>44766</v>
      </c>
      <c r="S5927" t="s">
        <v>44902</v>
      </c>
      <c r="T5927" t="s">
        <v>46538</v>
      </c>
      <c r="U5927" t="s">
        <v>51914</v>
      </c>
      <c r="W5927" t="s">
        <v>42832</v>
      </c>
      <c r="X5927" t="s">
        <v>44767</v>
      </c>
    </row>
    <row r="5928" spans="1:24">
      <c r="A5928">
        <f>HYPERLINK("https://www.philgeps.gov.ph/GEPSNONPILOT/Tender/SplashBidNoticeAbstractUI.aspx?menuIndex=3&amp;refID=7146940&amp;Result=3","7146940")</f>
        <v>0</v>
      </c>
      <c r="B5928" t="s">
        <v>2109</v>
      </c>
      <c r="C5928" t="s">
        <v>9361</v>
      </c>
      <c r="D5928" t="s">
        <v>17985</v>
      </c>
      <c r="E5928" t="s">
        <v>23296</v>
      </c>
      <c r="F5928" t="s">
        <v>30900</v>
      </c>
      <c r="G5928" t="s">
        <v>30907</v>
      </c>
      <c r="H5928" t="s">
        <v>30915</v>
      </c>
      <c r="I5928" t="s">
        <v>30948</v>
      </c>
      <c r="J5928" t="s">
        <v>34909</v>
      </c>
      <c r="K5928" t="s">
        <v>40286</v>
      </c>
      <c r="M5928" t="s">
        <v>42810</v>
      </c>
      <c r="N5928" t="s">
        <v>44759</v>
      </c>
      <c r="O5928" t="s">
        <v>44760</v>
      </c>
      <c r="P5928">
        <v>0</v>
      </c>
      <c r="Q5928">
        <v>1</v>
      </c>
      <c r="R5928" t="s">
        <v>44766</v>
      </c>
      <c r="S5928" t="s">
        <v>44902</v>
      </c>
      <c r="T5928" t="s">
        <v>46379</v>
      </c>
      <c r="U5928" t="s">
        <v>51915</v>
      </c>
      <c r="W5928" t="s">
        <v>42810</v>
      </c>
      <c r="X5928" t="s">
        <v>44767</v>
      </c>
    </row>
    <row r="5929" spans="1:24">
      <c r="A5929">
        <f>HYPERLINK("https://www.philgeps.gov.ph/GEPSNONPILOT/Tender/SplashBidNoticeAbstractUI.aspx?menuIndex=3&amp;refID=7146946&amp;Result=3","7146946")</f>
        <v>0</v>
      </c>
      <c r="B5929" t="s">
        <v>463</v>
      </c>
      <c r="C5929" t="s">
        <v>9362</v>
      </c>
      <c r="D5929" t="s">
        <v>18028</v>
      </c>
      <c r="E5929" t="s">
        <v>23297</v>
      </c>
      <c r="F5929" t="s">
        <v>30900</v>
      </c>
      <c r="G5929" t="s">
        <v>30907</v>
      </c>
      <c r="H5929" t="s">
        <v>30916</v>
      </c>
      <c r="I5929" t="s">
        <v>30933</v>
      </c>
      <c r="J5929" t="s">
        <v>34910</v>
      </c>
      <c r="K5929" t="s">
        <v>40286</v>
      </c>
      <c r="L5929" t="s">
        <v>463</v>
      </c>
      <c r="M5929" t="s">
        <v>41021</v>
      </c>
      <c r="N5929" t="s">
        <v>44759</v>
      </c>
      <c r="O5929" t="s">
        <v>44760</v>
      </c>
      <c r="P5929">
        <v>0</v>
      </c>
      <c r="Q5929">
        <v>2</v>
      </c>
      <c r="R5929" t="s">
        <v>44766</v>
      </c>
      <c r="S5929" t="s">
        <v>44902</v>
      </c>
      <c r="T5929" t="s">
        <v>46399</v>
      </c>
      <c r="U5929" t="s">
        <v>51916</v>
      </c>
      <c r="V5929" t="s">
        <v>59766</v>
      </c>
      <c r="W5929" t="s">
        <v>41021</v>
      </c>
      <c r="X5929" t="s">
        <v>44767</v>
      </c>
    </row>
    <row r="5930" spans="1:24">
      <c r="A5930">
        <f>HYPERLINK("https://www.philgeps.gov.ph/GEPSNONPILOT/Tender/SplashBidNoticeAbstractUI.aspx?menuIndex=3&amp;refID=7146934&amp;Result=3","7146934")</f>
        <v>0</v>
      </c>
      <c r="B5930" t="s">
        <v>604</v>
      </c>
      <c r="C5930" t="s">
        <v>9363</v>
      </c>
      <c r="D5930" t="s">
        <v>17985</v>
      </c>
      <c r="E5930" t="s">
        <v>23298</v>
      </c>
      <c r="F5930" t="s">
        <v>30900</v>
      </c>
      <c r="G5930" t="s">
        <v>30907</v>
      </c>
      <c r="H5930" t="s">
        <v>30916</v>
      </c>
      <c r="I5930" t="s">
        <v>10834</v>
      </c>
      <c r="J5930" t="s">
        <v>34911</v>
      </c>
      <c r="K5930" t="s">
        <v>40286</v>
      </c>
      <c r="M5930" t="s">
        <v>41165</v>
      </c>
      <c r="N5930" t="s">
        <v>44759</v>
      </c>
      <c r="O5930" t="s">
        <v>44760</v>
      </c>
      <c r="P5930">
        <v>0</v>
      </c>
      <c r="Q5930">
        <v>0</v>
      </c>
      <c r="R5930" t="s">
        <v>44766</v>
      </c>
      <c r="S5930" t="s">
        <v>44902</v>
      </c>
      <c r="T5930" t="s">
        <v>46689</v>
      </c>
      <c r="U5930" t="s">
        <v>51844</v>
      </c>
      <c r="V5930" t="s">
        <v>59760</v>
      </c>
      <c r="W5930" t="s">
        <v>41165</v>
      </c>
      <c r="X5930" t="s">
        <v>44767</v>
      </c>
    </row>
    <row r="5931" spans="1:24">
      <c r="A5931">
        <f>HYPERLINK("https://www.philgeps.gov.ph/GEPSNONPILOT/Tender/SplashBidNoticeAbstractUI.aspx?menuIndex=3&amp;refID=7146932&amp;Result=3","7146932")</f>
        <v>0</v>
      </c>
      <c r="B5931" t="s">
        <v>2131</v>
      </c>
      <c r="C5931" t="s">
        <v>9364</v>
      </c>
      <c r="D5931" t="s">
        <v>17959</v>
      </c>
      <c r="E5931" t="s">
        <v>23299</v>
      </c>
      <c r="F5931" t="s">
        <v>30900</v>
      </c>
      <c r="G5931" t="s">
        <v>30909</v>
      </c>
      <c r="H5931" t="s">
        <v>30916</v>
      </c>
      <c r="I5931" t="s">
        <v>4108</v>
      </c>
      <c r="J5931" t="s">
        <v>34912</v>
      </c>
      <c r="K5931" t="s">
        <v>40287</v>
      </c>
      <c r="M5931" t="s">
        <v>42833</v>
      </c>
      <c r="N5931" t="s">
        <v>44759</v>
      </c>
      <c r="O5931" t="s">
        <v>44760</v>
      </c>
      <c r="P5931">
        <v>0</v>
      </c>
      <c r="Q5931">
        <v>5</v>
      </c>
      <c r="R5931" t="s">
        <v>44766</v>
      </c>
      <c r="S5931" t="s">
        <v>44902</v>
      </c>
      <c r="T5931" t="s">
        <v>46379</v>
      </c>
      <c r="U5931" t="s">
        <v>51917</v>
      </c>
      <c r="W5931" t="s">
        <v>42833</v>
      </c>
      <c r="X5931" t="s">
        <v>44767</v>
      </c>
    </row>
    <row r="5932" spans="1:24">
      <c r="A5932">
        <f>HYPERLINK("https://www.philgeps.gov.ph/GEPSNONPILOT/Tender/SplashBidNoticeAbstractUI.aspx?menuIndex=3&amp;refID=7146943&amp;Result=3","7146943")</f>
        <v>0</v>
      </c>
      <c r="B5932" t="s">
        <v>2132</v>
      </c>
      <c r="C5932" t="s">
        <v>9365</v>
      </c>
      <c r="D5932" t="s">
        <v>18033</v>
      </c>
      <c r="E5932" t="s">
        <v>23300</v>
      </c>
      <c r="F5932" t="s">
        <v>30900</v>
      </c>
      <c r="G5932" t="s">
        <v>30907</v>
      </c>
      <c r="H5932" t="s">
        <v>30915</v>
      </c>
      <c r="I5932" t="s">
        <v>30919</v>
      </c>
      <c r="J5932" t="s">
        <v>32110</v>
      </c>
      <c r="K5932" t="s">
        <v>40292</v>
      </c>
      <c r="M5932" t="s">
        <v>42834</v>
      </c>
      <c r="N5932" t="s">
        <v>44759</v>
      </c>
      <c r="O5932" t="s">
        <v>44760</v>
      </c>
      <c r="P5932">
        <v>0</v>
      </c>
      <c r="Q5932">
        <v>0</v>
      </c>
      <c r="R5932" t="s">
        <v>44766</v>
      </c>
      <c r="S5932" t="s">
        <v>44902</v>
      </c>
      <c r="T5932" t="s">
        <v>46394</v>
      </c>
      <c r="U5932" t="s">
        <v>51918</v>
      </c>
      <c r="W5932" t="s">
        <v>42834</v>
      </c>
      <c r="X5932" t="s">
        <v>44767</v>
      </c>
    </row>
    <row r="5933" spans="1:24">
      <c r="A5933">
        <f>HYPERLINK("https://www.philgeps.gov.ph/GEPSNONPILOT/Tender/SplashBidNoticeAbstractUI.aspx?menuIndex=3&amp;refID=7146930&amp;Result=3","7146930")</f>
        <v>0</v>
      </c>
      <c r="B5933" t="s">
        <v>2133</v>
      </c>
      <c r="C5933" t="s">
        <v>9366</v>
      </c>
      <c r="D5933" t="s">
        <v>17981</v>
      </c>
      <c r="E5933" t="s">
        <v>23301</v>
      </c>
      <c r="F5933" t="s">
        <v>30900</v>
      </c>
      <c r="G5933" t="s">
        <v>30908</v>
      </c>
      <c r="H5933" t="s">
        <v>30915</v>
      </c>
      <c r="I5933" t="s">
        <v>30919</v>
      </c>
      <c r="J5933" t="s">
        <v>33980</v>
      </c>
      <c r="K5933" t="s">
        <v>40287</v>
      </c>
      <c r="M5933" t="s">
        <v>42835</v>
      </c>
      <c r="N5933" t="s">
        <v>44759</v>
      </c>
      <c r="O5933" t="s">
        <v>44760</v>
      </c>
      <c r="P5933">
        <v>0</v>
      </c>
      <c r="Q5933">
        <v>6</v>
      </c>
      <c r="R5933" t="s">
        <v>44766</v>
      </c>
      <c r="S5933" t="s">
        <v>44902</v>
      </c>
      <c r="T5933" t="s">
        <v>46700</v>
      </c>
      <c r="U5933" t="s">
        <v>51919</v>
      </c>
      <c r="W5933" t="s">
        <v>42835</v>
      </c>
      <c r="X5933" t="s">
        <v>44767</v>
      </c>
    </row>
    <row r="5934" spans="1:24">
      <c r="A5934">
        <f>HYPERLINK("https://www.philgeps.gov.ph/GEPSNONPILOT/Tender/SplashBidNoticeAbstractUI.aspx?menuIndex=3&amp;refID=7146928&amp;Result=3","7146928")</f>
        <v>0</v>
      </c>
      <c r="B5934" t="s">
        <v>1414</v>
      </c>
      <c r="C5934" t="s">
        <v>9367</v>
      </c>
      <c r="D5934" t="s">
        <v>17977</v>
      </c>
      <c r="E5934" t="s">
        <v>23302</v>
      </c>
      <c r="F5934" t="s">
        <v>30900</v>
      </c>
      <c r="G5934" t="s">
        <v>30908</v>
      </c>
      <c r="H5934" t="s">
        <v>30916</v>
      </c>
      <c r="I5934" t="s">
        <v>31000</v>
      </c>
      <c r="J5934" t="s">
        <v>32222</v>
      </c>
      <c r="K5934" t="s">
        <v>40286</v>
      </c>
      <c r="M5934" t="s">
        <v>42043</v>
      </c>
      <c r="N5934" t="s">
        <v>44759</v>
      </c>
      <c r="O5934" t="s">
        <v>44760</v>
      </c>
      <c r="Q5934">
        <v>0</v>
      </c>
      <c r="R5934" t="s">
        <v>44766</v>
      </c>
      <c r="S5934" t="s">
        <v>44943</v>
      </c>
      <c r="T5934" t="s">
        <v>46410</v>
      </c>
      <c r="U5934" t="s">
        <v>49834</v>
      </c>
      <c r="W5934" t="s">
        <v>42043</v>
      </c>
      <c r="X5934" t="s">
        <v>44767</v>
      </c>
    </row>
    <row r="5935" spans="1:24">
      <c r="A5935">
        <f>HYPERLINK("https://www.philgeps.gov.ph/GEPSNONPILOT/Tender/SplashBidNoticeAbstractUI.aspx?menuIndex=3&amp;refID=7146939&amp;Result=3","7146939")</f>
        <v>0</v>
      </c>
      <c r="B5935" t="s">
        <v>416</v>
      </c>
      <c r="C5935" t="s">
        <v>9368</v>
      </c>
      <c r="D5935" t="s">
        <v>17976</v>
      </c>
      <c r="E5935" t="s">
        <v>23303</v>
      </c>
      <c r="F5935" t="s">
        <v>30900</v>
      </c>
      <c r="G5935" t="s">
        <v>30907</v>
      </c>
      <c r="H5935" t="s">
        <v>30916</v>
      </c>
      <c r="I5935" t="s">
        <v>4142</v>
      </c>
      <c r="J5935" t="s">
        <v>34913</v>
      </c>
      <c r="K5935" t="s">
        <v>40283</v>
      </c>
      <c r="M5935" t="s">
        <v>40972</v>
      </c>
      <c r="N5935" t="s">
        <v>44759</v>
      </c>
      <c r="O5935" t="s">
        <v>44760</v>
      </c>
      <c r="P5935">
        <v>0</v>
      </c>
      <c r="Q5935">
        <v>2</v>
      </c>
      <c r="R5935" t="s">
        <v>44766</v>
      </c>
      <c r="S5935" t="s">
        <v>44902</v>
      </c>
      <c r="T5935" t="s">
        <v>46363</v>
      </c>
      <c r="U5935" t="s">
        <v>51920</v>
      </c>
      <c r="W5935" t="s">
        <v>40972</v>
      </c>
      <c r="X5935" t="s">
        <v>44767</v>
      </c>
    </row>
    <row r="5936" spans="1:24">
      <c r="A5936">
        <f>HYPERLINK("https://www.philgeps.gov.ph/GEPSNONPILOT/Tender/SplashBidNoticeAbstractUI.aspx?menuIndex=3&amp;refID=7146924&amp;Result=3","7146924")</f>
        <v>0</v>
      </c>
      <c r="B5936" t="s">
        <v>2134</v>
      </c>
      <c r="C5936" t="s">
        <v>9369</v>
      </c>
      <c r="D5936" t="s">
        <v>17981</v>
      </c>
      <c r="E5936" t="s">
        <v>23171</v>
      </c>
      <c r="F5936" t="s">
        <v>30900</v>
      </c>
      <c r="G5936" t="s">
        <v>30907</v>
      </c>
      <c r="H5936" t="s">
        <v>30916</v>
      </c>
      <c r="I5936" t="s">
        <v>8123</v>
      </c>
      <c r="J5936" t="s">
        <v>34914</v>
      </c>
      <c r="K5936" t="s">
        <v>40284</v>
      </c>
      <c r="L5936" t="s">
        <v>2134</v>
      </c>
      <c r="M5936" t="s">
        <v>42836</v>
      </c>
      <c r="N5936" t="s">
        <v>44759</v>
      </c>
      <c r="O5936" t="s">
        <v>44760</v>
      </c>
      <c r="P5936">
        <v>0</v>
      </c>
      <c r="Q5936">
        <v>3</v>
      </c>
      <c r="R5936" t="s">
        <v>44766</v>
      </c>
      <c r="S5936" t="s">
        <v>44902</v>
      </c>
      <c r="T5936" t="s">
        <v>46421</v>
      </c>
      <c r="U5936" t="s">
        <v>51921</v>
      </c>
      <c r="W5936" t="s">
        <v>42836</v>
      </c>
      <c r="X5936" t="s">
        <v>44767</v>
      </c>
    </row>
    <row r="5937" spans="1:24">
      <c r="A5937">
        <f>HYPERLINK("https://www.philgeps.gov.ph/GEPSNONPILOT/Tender/SplashBidNoticeAbstractUI.aspx?menuIndex=3&amp;refID=7146933&amp;Result=3","7146933")</f>
        <v>0</v>
      </c>
      <c r="B5937" t="s">
        <v>2135</v>
      </c>
      <c r="C5937" t="s">
        <v>9370</v>
      </c>
      <c r="E5937" t="s">
        <v>23304</v>
      </c>
      <c r="F5937" t="s">
        <v>30900</v>
      </c>
      <c r="G5937" t="s">
        <v>30909</v>
      </c>
      <c r="H5937" t="s">
        <v>30916</v>
      </c>
      <c r="I5937" t="s">
        <v>31007</v>
      </c>
      <c r="J5937" t="s">
        <v>32006</v>
      </c>
      <c r="K5937" t="s">
        <v>40289</v>
      </c>
      <c r="M5937" t="s">
        <v>42837</v>
      </c>
      <c r="N5937" t="s">
        <v>44759</v>
      </c>
      <c r="O5937" t="s">
        <v>44760</v>
      </c>
      <c r="P5937">
        <v>0</v>
      </c>
      <c r="Q5937">
        <v>0</v>
      </c>
      <c r="R5937" t="s">
        <v>44766</v>
      </c>
      <c r="S5937" t="s">
        <v>44902</v>
      </c>
      <c r="T5937" t="s">
        <v>46398</v>
      </c>
      <c r="U5937" t="s">
        <v>51922</v>
      </c>
      <c r="W5937" t="s">
        <v>42837</v>
      </c>
      <c r="X5937" t="s">
        <v>44767</v>
      </c>
    </row>
    <row r="5938" spans="1:24">
      <c r="A5938">
        <f>HYPERLINK("https://www.philgeps.gov.ph/GEPSNONPILOT/Tender/SplashBidNoticeAbstractUI.aspx?menuIndex=3&amp;refID=7146958&amp;Result=3","7146958")</f>
        <v>0</v>
      </c>
      <c r="B5938" t="s">
        <v>1414</v>
      </c>
      <c r="C5938" t="s">
        <v>9371</v>
      </c>
      <c r="D5938" t="s">
        <v>17977</v>
      </c>
      <c r="E5938" t="s">
        <v>23305</v>
      </c>
      <c r="F5938" t="s">
        <v>30900</v>
      </c>
      <c r="G5938" t="s">
        <v>30909</v>
      </c>
      <c r="H5938" t="s">
        <v>30916</v>
      </c>
      <c r="I5938" t="s">
        <v>30924</v>
      </c>
      <c r="J5938" t="s">
        <v>31070</v>
      </c>
      <c r="K5938" t="s">
        <v>40286</v>
      </c>
      <c r="M5938" t="s">
        <v>42043</v>
      </c>
      <c r="N5938" t="s">
        <v>44759</v>
      </c>
      <c r="O5938" t="s">
        <v>44760</v>
      </c>
      <c r="P5938">
        <v>0</v>
      </c>
      <c r="Q5938">
        <v>1</v>
      </c>
      <c r="R5938" t="s">
        <v>44766</v>
      </c>
      <c r="S5938" t="s">
        <v>44902</v>
      </c>
      <c r="T5938" t="s">
        <v>46662</v>
      </c>
      <c r="U5938" t="s">
        <v>49834</v>
      </c>
      <c r="W5938" t="s">
        <v>42043</v>
      </c>
      <c r="X5938" t="s">
        <v>44767</v>
      </c>
    </row>
    <row r="5939" spans="1:24">
      <c r="A5939">
        <f>HYPERLINK("https://www.philgeps.gov.ph/GEPSNONPILOT/Tender/SplashBidNoticeAbstractUI.aspx?menuIndex=3&amp;refID=7146942&amp;Result=3","7146942")</f>
        <v>0</v>
      </c>
      <c r="B5939" t="s">
        <v>2136</v>
      </c>
      <c r="C5939" t="s">
        <v>9372</v>
      </c>
      <c r="D5939" t="s">
        <v>18010</v>
      </c>
      <c r="E5939" t="s">
        <v>23289</v>
      </c>
      <c r="F5939" t="s">
        <v>30900</v>
      </c>
      <c r="G5939" t="s">
        <v>30907</v>
      </c>
      <c r="H5939" t="s">
        <v>30915</v>
      </c>
      <c r="I5939" t="s">
        <v>30919</v>
      </c>
      <c r="J5939" t="s">
        <v>31101</v>
      </c>
      <c r="K5939" t="s">
        <v>40293</v>
      </c>
      <c r="M5939" t="s">
        <v>42838</v>
      </c>
      <c r="N5939" t="s">
        <v>44759</v>
      </c>
      <c r="O5939" t="s">
        <v>44760</v>
      </c>
      <c r="P5939">
        <v>0</v>
      </c>
      <c r="Q5939">
        <v>1</v>
      </c>
      <c r="R5939" t="s">
        <v>44766</v>
      </c>
      <c r="S5939" t="s">
        <v>44902</v>
      </c>
      <c r="T5939" t="s">
        <v>46357</v>
      </c>
      <c r="U5939" t="s">
        <v>51923</v>
      </c>
      <c r="W5939" t="s">
        <v>42838</v>
      </c>
      <c r="X5939" t="s">
        <v>44767</v>
      </c>
    </row>
    <row r="5940" spans="1:24">
      <c r="A5940">
        <f>HYPERLINK("https://www.philgeps.gov.ph/GEPSNONPILOT/Tender/SplashBidNoticeAbstractUI.aspx?menuIndex=3&amp;refID=7146980&amp;Result=3","7146980")</f>
        <v>0</v>
      </c>
      <c r="B5940" t="s">
        <v>229</v>
      </c>
      <c r="C5940" t="s">
        <v>9373</v>
      </c>
      <c r="D5940" t="s">
        <v>18018</v>
      </c>
      <c r="E5940" t="s">
        <v>23306</v>
      </c>
      <c r="F5940" t="s">
        <v>30900</v>
      </c>
      <c r="G5940" t="s">
        <v>30907</v>
      </c>
      <c r="H5940" t="s">
        <v>30915</v>
      </c>
      <c r="I5940" t="s">
        <v>30919</v>
      </c>
      <c r="J5940" t="s">
        <v>34915</v>
      </c>
      <c r="K5940" t="s">
        <v>40341</v>
      </c>
      <c r="M5940" t="s">
        <v>40776</v>
      </c>
      <c r="N5940" t="s">
        <v>44759</v>
      </c>
      <c r="O5940" t="s">
        <v>44760</v>
      </c>
      <c r="P5940">
        <v>0</v>
      </c>
      <c r="Q5940">
        <v>0</v>
      </c>
      <c r="R5940" t="s">
        <v>44766</v>
      </c>
      <c r="S5940" t="s">
        <v>44902</v>
      </c>
      <c r="T5940" t="s">
        <v>46519</v>
      </c>
      <c r="U5940" t="s">
        <v>51924</v>
      </c>
      <c r="V5940" t="s">
        <v>59767</v>
      </c>
      <c r="W5940" t="s">
        <v>40776</v>
      </c>
      <c r="X5940" t="s">
        <v>44767</v>
      </c>
    </row>
    <row r="5941" spans="1:24">
      <c r="A5941">
        <f>HYPERLINK("https://www.philgeps.gov.ph/GEPSNONPILOT/Tender/SplashBidNoticeAbstractUI.aspx?menuIndex=3&amp;refID=7146978&amp;Result=3","7146978")</f>
        <v>0</v>
      </c>
      <c r="B5941" t="s">
        <v>79</v>
      </c>
      <c r="C5941" t="s">
        <v>9374</v>
      </c>
      <c r="D5941" t="s">
        <v>17988</v>
      </c>
      <c r="E5941" t="s">
        <v>20050</v>
      </c>
      <c r="F5941" t="s">
        <v>30900</v>
      </c>
      <c r="G5941" t="s">
        <v>30907</v>
      </c>
      <c r="H5941" t="s">
        <v>30915</v>
      </c>
      <c r="I5941" t="s">
        <v>30919</v>
      </c>
      <c r="J5941" t="s">
        <v>34916</v>
      </c>
      <c r="K5941" t="s">
        <v>40355</v>
      </c>
      <c r="M5941" t="s">
        <v>40626</v>
      </c>
      <c r="N5941" t="s">
        <v>44759</v>
      </c>
      <c r="O5941" t="s">
        <v>44760</v>
      </c>
      <c r="P5941">
        <v>0</v>
      </c>
      <c r="Q5941">
        <v>0</v>
      </c>
      <c r="R5941" t="s">
        <v>44766</v>
      </c>
      <c r="S5941" t="s">
        <v>44902</v>
      </c>
      <c r="T5941" t="s">
        <v>46727</v>
      </c>
      <c r="U5941" t="s">
        <v>51925</v>
      </c>
      <c r="V5941" t="s">
        <v>59768</v>
      </c>
      <c r="W5941" t="s">
        <v>40626</v>
      </c>
      <c r="X5941" t="s">
        <v>44767</v>
      </c>
    </row>
    <row r="5942" spans="1:24">
      <c r="A5942">
        <f>HYPERLINK("https://www.philgeps.gov.ph/GEPSNONPILOT/Tender/SplashBidNoticeAbstractUI.aspx?menuIndex=3&amp;refID=7147005&amp;Result=3","7147005")</f>
        <v>0</v>
      </c>
      <c r="B5942" t="s">
        <v>2137</v>
      </c>
      <c r="C5942" t="s">
        <v>9375</v>
      </c>
      <c r="D5942" t="s">
        <v>17979</v>
      </c>
      <c r="E5942" t="s">
        <v>23307</v>
      </c>
      <c r="F5942" t="s">
        <v>30900</v>
      </c>
      <c r="G5942" t="s">
        <v>30909</v>
      </c>
      <c r="H5942" t="s">
        <v>30916</v>
      </c>
      <c r="I5942" t="s">
        <v>30962</v>
      </c>
      <c r="J5942" t="s">
        <v>31284</v>
      </c>
      <c r="K5942" t="s">
        <v>40286</v>
      </c>
      <c r="M5942" t="s">
        <v>42839</v>
      </c>
      <c r="N5942" t="s">
        <v>44759</v>
      </c>
      <c r="O5942" t="s">
        <v>44760</v>
      </c>
      <c r="P5942">
        <v>0</v>
      </c>
      <c r="Q5942">
        <v>2</v>
      </c>
      <c r="R5942" t="s">
        <v>44766</v>
      </c>
      <c r="S5942" t="s">
        <v>44902</v>
      </c>
      <c r="T5942" t="s">
        <v>46391</v>
      </c>
      <c r="U5942" t="s">
        <v>51926</v>
      </c>
      <c r="V5942" t="s">
        <v>59769</v>
      </c>
      <c r="W5942" t="s">
        <v>42839</v>
      </c>
      <c r="X5942" t="s">
        <v>44767</v>
      </c>
    </row>
    <row r="5943" spans="1:24">
      <c r="A5943">
        <f>HYPERLINK("https://www.philgeps.gov.ph/GEPSNONPILOT/Tender/SplashBidNoticeAbstractUI.aspx?menuIndex=3&amp;refID=7146998&amp;Result=3","7146998")</f>
        <v>0</v>
      </c>
      <c r="B5943" t="s">
        <v>58</v>
      </c>
      <c r="C5943" t="s">
        <v>8278</v>
      </c>
      <c r="D5943" t="s">
        <v>17977</v>
      </c>
      <c r="E5943" t="s">
        <v>23308</v>
      </c>
      <c r="F5943" t="s">
        <v>30900</v>
      </c>
      <c r="G5943" t="s">
        <v>30910</v>
      </c>
      <c r="H5943" t="s">
        <v>30916</v>
      </c>
      <c r="I5943" t="s">
        <v>4142</v>
      </c>
      <c r="J5943" t="s">
        <v>34917</v>
      </c>
      <c r="K5943" t="s">
        <v>40287</v>
      </c>
      <c r="M5943" t="s">
        <v>40604</v>
      </c>
      <c r="N5943" t="s">
        <v>44759</v>
      </c>
      <c r="O5943" t="s">
        <v>44760</v>
      </c>
      <c r="P5943">
        <v>0</v>
      </c>
      <c r="Q5943">
        <v>1</v>
      </c>
      <c r="R5943" t="s">
        <v>44766</v>
      </c>
      <c r="S5943" t="s">
        <v>44902</v>
      </c>
      <c r="T5943" t="s">
        <v>46625</v>
      </c>
      <c r="U5943" t="s">
        <v>50977</v>
      </c>
      <c r="V5943" t="s">
        <v>59770</v>
      </c>
      <c r="W5943" t="s">
        <v>60815</v>
      </c>
      <c r="X5943" t="s">
        <v>44767</v>
      </c>
    </row>
    <row r="5944" spans="1:24">
      <c r="A5944">
        <f>HYPERLINK("https://www.philgeps.gov.ph/GEPSNONPILOT/Tender/SplashBidNoticeAbstractUI.aspx?menuIndex=3&amp;refID=7146929&amp;Result=3","7146929")</f>
        <v>0</v>
      </c>
      <c r="B5944" t="s">
        <v>2045</v>
      </c>
      <c r="C5944" t="s">
        <v>9376</v>
      </c>
      <c r="D5944" t="s">
        <v>18022</v>
      </c>
      <c r="E5944" t="s">
        <v>23309</v>
      </c>
      <c r="F5944" t="s">
        <v>30900</v>
      </c>
      <c r="G5944" t="s">
        <v>30907</v>
      </c>
      <c r="H5944" t="s">
        <v>30916</v>
      </c>
      <c r="I5944" t="s">
        <v>8123</v>
      </c>
      <c r="J5944" t="s">
        <v>34918</v>
      </c>
      <c r="K5944" t="s">
        <v>40284</v>
      </c>
      <c r="M5944" t="s">
        <v>42742</v>
      </c>
      <c r="N5944" t="s">
        <v>44759</v>
      </c>
      <c r="O5944" t="s">
        <v>44760</v>
      </c>
      <c r="P5944">
        <v>0</v>
      </c>
      <c r="Q5944">
        <v>3</v>
      </c>
      <c r="R5944" t="s">
        <v>44766</v>
      </c>
      <c r="S5944" t="s">
        <v>44902</v>
      </c>
      <c r="T5944" t="s">
        <v>46470</v>
      </c>
      <c r="U5944" t="s">
        <v>51927</v>
      </c>
      <c r="W5944" t="s">
        <v>42742</v>
      </c>
      <c r="X5944" t="s">
        <v>44767</v>
      </c>
    </row>
    <row r="5945" spans="1:24">
      <c r="A5945">
        <f>HYPERLINK("https://www.philgeps.gov.ph/GEPSNONPILOT/Tender/SplashBidNoticeAbstractUI.aspx?menuIndex=3&amp;refID=7146997&amp;Result=3","7146997")</f>
        <v>0</v>
      </c>
      <c r="B5945" t="s">
        <v>2138</v>
      </c>
      <c r="C5945" t="s">
        <v>9377</v>
      </c>
      <c r="D5945" t="s">
        <v>17975</v>
      </c>
      <c r="E5945" t="s">
        <v>18608</v>
      </c>
      <c r="F5945" t="s">
        <v>30900</v>
      </c>
      <c r="G5945" t="s">
        <v>30907</v>
      </c>
      <c r="H5945" t="s">
        <v>30915</v>
      </c>
      <c r="I5945" t="s">
        <v>30919</v>
      </c>
      <c r="J5945" t="s">
        <v>34919</v>
      </c>
      <c r="K5945" t="s">
        <v>40289</v>
      </c>
      <c r="M5945" t="s">
        <v>42840</v>
      </c>
      <c r="N5945" t="s">
        <v>44759</v>
      </c>
      <c r="O5945" t="s">
        <v>44760</v>
      </c>
      <c r="P5945">
        <v>0</v>
      </c>
      <c r="Q5945">
        <v>0</v>
      </c>
      <c r="R5945" t="s">
        <v>44766</v>
      </c>
      <c r="S5945" t="s">
        <v>44902</v>
      </c>
      <c r="T5945" t="s">
        <v>46376</v>
      </c>
      <c r="U5945" t="s">
        <v>51928</v>
      </c>
      <c r="W5945" t="s">
        <v>42840</v>
      </c>
      <c r="X5945" t="s">
        <v>44767</v>
      </c>
    </row>
    <row r="5946" spans="1:24">
      <c r="A5946">
        <f>HYPERLINK("https://www.philgeps.gov.ph/GEPSNONPILOT/Tender/SplashBidNoticeAbstractUI.aspx?menuIndex=3&amp;refID=7146937&amp;Result=3","7146937")</f>
        <v>0</v>
      </c>
      <c r="B5946" t="s">
        <v>1119</v>
      </c>
      <c r="C5946" t="s">
        <v>9378</v>
      </c>
      <c r="D5946" t="s">
        <v>17959</v>
      </c>
      <c r="E5946" t="s">
        <v>23310</v>
      </c>
      <c r="F5946" t="s">
        <v>30900</v>
      </c>
      <c r="G5946" t="s">
        <v>30908</v>
      </c>
      <c r="H5946" t="s">
        <v>30916</v>
      </c>
      <c r="I5946" t="s">
        <v>31011</v>
      </c>
      <c r="J5946" t="s">
        <v>31101</v>
      </c>
      <c r="K5946" t="s">
        <v>40280</v>
      </c>
      <c r="M5946" t="s">
        <v>41721</v>
      </c>
      <c r="N5946" t="s">
        <v>44759</v>
      </c>
      <c r="O5946" t="s">
        <v>44760</v>
      </c>
      <c r="P5946">
        <v>0</v>
      </c>
      <c r="Q5946">
        <v>5</v>
      </c>
      <c r="R5946" t="s">
        <v>44766</v>
      </c>
      <c r="S5946" t="s">
        <v>44902</v>
      </c>
      <c r="T5946" t="s">
        <v>46363</v>
      </c>
      <c r="U5946" t="s">
        <v>49074</v>
      </c>
      <c r="V5946" t="s">
        <v>59771</v>
      </c>
      <c r="W5946" t="s">
        <v>41721</v>
      </c>
      <c r="X5946" t="s">
        <v>44767</v>
      </c>
    </row>
    <row r="5947" spans="1:24">
      <c r="A5947">
        <f>HYPERLINK("https://www.philgeps.gov.ph/GEPSNONPILOT/Tender/SplashBidNoticeAbstractUI.aspx?menuIndex=3&amp;refID=7146996&amp;Result=3","7146996")</f>
        <v>0</v>
      </c>
      <c r="B5947" t="s">
        <v>604</v>
      </c>
      <c r="C5947" t="s">
        <v>9379</v>
      </c>
      <c r="D5947" t="s">
        <v>17985</v>
      </c>
      <c r="E5947" t="s">
        <v>23311</v>
      </c>
      <c r="F5947" t="s">
        <v>30900</v>
      </c>
      <c r="G5947" t="s">
        <v>30907</v>
      </c>
      <c r="H5947" t="s">
        <v>30916</v>
      </c>
      <c r="I5947" t="s">
        <v>30927</v>
      </c>
      <c r="J5947" t="s">
        <v>34920</v>
      </c>
      <c r="K5947" t="s">
        <v>40286</v>
      </c>
      <c r="M5947" t="s">
        <v>41165</v>
      </c>
      <c r="N5947" t="s">
        <v>44759</v>
      </c>
      <c r="O5947" t="s">
        <v>44760</v>
      </c>
      <c r="P5947">
        <v>0</v>
      </c>
      <c r="Q5947">
        <v>0</v>
      </c>
      <c r="R5947" t="s">
        <v>44766</v>
      </c>
      <c r="S5947" t="s">
        <v>44902</v>
      </c>
      <c r="T5947" t="s">
        <v>46689</v>
      </c>
      <c r="U5947" t="s">
        <v>51844</v>
      </c>
      <c r="V5947" t="s">
        <v>59760</v>
      </c>
      <c r="W5947" t="s">
        <v>41165</v>
      </c>
      <c r="X5947" t="s">
        <v>44767</v>
      </c>
    </row>
    <row r="5948" spans="1:24">
      <c r="A5948">
        <f>HYPERLINK("https://www.philgeps.gov.ph/GEPSNONPILOT/Tender/SplashBidNoticeAbstractUI.aspx?menuIndex=3&amp;refID=7146993&amp;Result=3","7146993")</f>
        <v>0</v>
      </c>
      <c r="B5948" t="s">
        <v>2139</v>
      </c>
      <c r="C5948" t="s">
        <v>9380</v>
      </c>
      <c r="D5948" t="s">
        <v>17998</v>
      </c>
      <c r="E5948" t="s">
        <v>23312</v>
      </c>
      <c r="F5948" t="s">
        <v>30900</v>
      </c>
      <c r="G5948" t="s">
        <v>30908</v>
      </c>
      <c r="H5948" t="s">
        <v>30916</v>
      </c>
      <c r="I5948" t="s">
        <v>4545</v>
      </c>
      <c r="J5948" t="s">
        <v>31138</v>
      </c>
      <c r="K5948" t="s">
        <v>40286</v>
      </c>
      <c r="M5948" t="s">
        <v>42841</v>
      </c>
      <c r="N5948" t="s">
        <v>44759</v>
      </c>
      <c r="O5948" t="s">
        <v>44760</v>
      </c>
      <c r="P5948">
        <v>0</v>
      </c>
      <c r="Q5948">
        <v>0</v>
      </c>
      <c r="R5948" t="s">
        <v>44766</v>
      </c>
      <c r="S5948" t="s">
        <v>44902</v>
      </c>
      <c r="T5948" t="s">
        <v>46625</v>
      </c>
      <c r="U5948" t="s">
        <v>51929</v>
      </c>
      <c r="V5948" t="s">
        <v>59772</v>
      </c>
      <c r="W5948" t="s">
        <v>42841</v>
      </c>
      <c r="X5948" t="s">
        <v>44767</v>
      </c>
    </row>
    <row r="5949" spans="1:24">
      <c r="A5949">
        <f>HYPERLINK("https://www.philgeps.gov.ph/GEPSNONPILOT/Tender/SplashBidNoticeAbstractUI.aspx?menuIndex=3&amp;refID=7146982&amp;Result=3","7146982")</f>
        <v>0</v>
      </c>
      <c r="B5949" t="s">
        <v>1967</v>
      </c>
      <c r="C5949" t="s">
        <v>9381</v>
      </c>
      <c r="D5949" t="s">
        <v>17988</v>
      </c>
      <c r="E5949" t="s">
        <v>23281</v>
      </c>
      <c r="F5949" t="s">
        <v>30900</v>
      </c>
      <c r="G5949" t="s">
        <v>30908</v>
      </c>
      <c r="H5949" t="s">
        <v>30915</v>
      </c>
      <c r="I5949" t="s">
        <v>30919</v>
      </c>
      <c r="J5949" t="s">
        <v>34887</v>
      </c>
      <c r="K5949" t="s">
        <v>40289</v>
      </c>
      <c r="M5949" t="s">
        <v>42653</v>
      </c>
      <c r="N5949" t="s">
        <v>44759</v>
      </c>
      <c r="O5949" t="s">
        <v>44760</v>
      </c>
      <c r="P5949">
        <v>0</v>
      </c>
      <c r="Q5949">
        <v>0</v>
      </c>
      <c r="R5949" t="s">
        <v>44766</v>
      </c>
      <c r="S5949" t="s">
        <v>44902</v>
      </c>
      <c r="T5949" t="s">
        <v>46625</v>
      </c>
      <c r="U5949" t="s">
        <v>51477</v>
      </c>
      <c r="W5949" t="s">
        <v>42653</v>
      </c>
      <c r="X5949" t="s">
        <v>44767</v>
      </c>
    </row>
    <row r="5950" spans="1:24">
      <c r="A5950">
        <f>HYPERLINK("https://www.philgeps.gov.ph/GEPSNONPILOT/Tender/SplashBidNoticeAbstractUI.aspx?menuIndex=3&amp;refID=7146990&amp;Result=3","7146990")</f>
        <v>0</v>
      </c>
      <c r="B5950" t="s">
        <v>348</v>
      </c>
      <c r="C5950" t="s">
        <v>9382</v>
      </c>
      <c r="D5950" t="s">
        <v>17957</v>
      </c>
      <c r="E5950" t="s">
        <v>23313</v>
      </c>
      <c r="F5950" t="s">
        <v>30900</v>
      </c>
      <c r="G5950" t="s">
        <v>30908</v>
      </c>
      <c r="H5950" t="s">
        <v>30917</v>
      </c>
      <c r="I5950" t="s">
        <v>30970</v>
      </c>
      <c r="J5950" t="s">
        <v>32333</v>
      </c>
      <c r="K5950" t="s">
        <v>40284</v>
      </c>
      <c r="M5950" t="s">
        <v>42325</v>
      </c>
      <c r="N5950" t="s">
        <v>44759</v>
      </c>
      <c r="O5950" t="s">
        <v>44760</v>
      </c>
      <c r="P5950">
        <v>0</v>
      </c>
      <c r="Q5950">
        <v>0</v>
      </c>
      <c r="R5950" t="s">
        <v>44766</v>
      </c>
      <c r="S5950" t="s">
        <v>44902</v>
      </c>
      <c r="T5950" t="s">
        <v>46410</v>
      </c>
      <c r="U5950" t="s">
        <v>51930</v>
      </c>
      <c r="W5950" t="s">
        <v>42325</v>
      </c>
      <c r="X5950" t="s">
        <v>44767</v>
      </c>
    </row>
    <row r="5951" spans="1:24">
      <c r="A5951">
        <f>HYPERLINK("https://www.philgeps.gov.ph/GEPSNONPILOT/Tender/SplashBidNoticeAbstractUI.aspx?menuIndex=3&amp;refID=7146976&amp;Result=3","7146976")</f>
        <v>0</v>
      </c>
      <c r="B5951" t="s">
        <v>463</v>
      </c>
      <c r="C5951" t="s">
        <v>9383</v>
      </c>
      <c r="D5951" t="s">
        <v>18028</v>
      </c>
      <c r="E5951" t="s">
        <v>23314</v>
      </c>
      <c r="F5951" t="s">
        <v>30900</v>
      </c>
      <c r="G5951" t="s">
        <v>30907</v>
      </c>
      <c r="H5951" t="s">
        <v>30916</v>
      </c>
      <c r="I5951" t="s">
        <v>30939</v>
      </c>
      <c r="J5951" t="s">
        <v>34921</v>
      </c>
      <c r="K5951" t="s">
        <v>40286</v>
      </c>
      <c r="L5951" t="s">
        <v>463</v>
      </c>
      <c r="M5951" t="s">
        <v>41021</v>
      </c>
      <c r="N5951" t="s">
        <v>44759</v>
      </c>
      <c r="O5951" t="s">
        <v>44760</v>
      </c>
      <c r="P5951">
        <v>0</v>
      </c>
      <c r="Q5951">
        <v>0</v>
      </c>
      <c r="R5951" t="s">
        <v>44766</v>
      </c>
      <c r="S5951" t="s">
        <v>44902</v>
      </c>
      <c r="T5951" t="s">
        <v>46399</v>
      </c>
      <c r="U5951" t="s">
        <v>51931</v>
      </c>
      <c r="V5951" t="s">
        <v>59766</v>
      </c>
      <c r="W5951" t="s">
        <v>41021</v>
      </c>
      <c r="X5951" t="s">
        <v>44767</v>
      </c>
    </row>
    <row r="5952" spans="1:24">
      <c r="A5952">
        <f>HYPERLINK("https://www.philgeps.gov.ph/GEPSNONPILOT/Tender/SplashBidNoticeAbstractUI.aspx?menuIndex=3&amp;refID=7146974&amp;Result=3","7146974")</f>
        <v>0</v>
      </c>
      <c r="B5952" t="s">
        <v>2140</v>
      </c>
      <c r="C5952" t="s">
        <v>3773</v>
      </c>
      <c r="D5952" t="s">
        <v>17953</v>
      </c>
      <c r="E5952" t="s">
        <v>23315</v>
      </c>
      <c r="F5952" t="s">
        <v>30900</v>
      </c>
      <c r="G5952" t="s">
        <v>30908</v>
      </c>
      <c r="H5952" t="s">
        <v>30916</v>
      </c>
      <c r="I5952" t="s">
        <v>6396</v>
      </c>
      <c r="J5952" t="s">
        <v>34561</v>
      </c>
      <c r="K5952" t="s">
        <v>40284</v>
      </c>
      <c r="M5952" t="s">
        <v>42842</v>
      </c>
      <c r="N5952" t="s">
        <v>44759</v>
      </c>
      <c r="O5952" t="s">
        <v>44760</v>
      </c>
      <c r="P5952">
        <v>0</v>
      </c>
      <c r="Q5952">
        <v>2</v>
      </c>
      <c r="R5952" t="s">
        <v>44766</v>
      </c>
      <c r="S5952" t="s">
        <v>44902</v>
      </c>
      <c r="T5952" t="s">
        <v>46414</v>
      </c>
      <c r="U5952" t="s">
        <v>51932</v>
      </c>
      <c r="W5952" t="s">
        <v>42842</v>
      </c>
      <c r="X5952" t="s">
        <v>44767</v>
      </c>
    </row>
    <row r="5953" spans="1:24">
      <c r="A5953">
        <f>HYPERLINK("https://www.philgeps.gov.ph/GEPSNONPILOT/Tender/SplashBidNoticeAbstractUI.aspx?menuIndex=3&amp;refID=7146970&amp;Result=3","7146970")</f>
        <v>0</v>
      </c>
      <c r="B5953" t="s">
        <v>380</v>
      </c>
      <c r="C5953" t="s">
        <v>9384</v>
      </c>
      <c r="D5953" t="s">
        <v>18003</v>
      </c>
      <c r="E5953" t="s">
        <v>23316</v>
      </c>
      <c r="F5953" t="s">
        <v>30900</v>
      </c>
      <c r="G5953" t="s">
        <v>30907</v>
      </c>
      <c r="H5953" t="s">
        <v>30916</v>
      </c>
      <c r="I5953" t="s">
        <v>30939</v>
      </c>
      <c r="J5953" t="s">
        <v>34922</v>
      </c>
      <c r="K5953" t="s">
        <v>40286</v>
      </c>
      <c r="M5953" t="s">
        <v>40934</v>
      </c>
      <c r="N5953" t="s">
        <v>44759</v>
      </c>
      <c r="O5953" t="s">
        <v>44760</v>
      </c>
      <c r="P5953">
        <v>0</v>
      </c>
      <c r="Q5953">
        <v>0</v>
      </c>
      <c r="R5953" t="s">
        <v>44766</v>
      </c>
      <c r="S5953" t="s">
        <v>44902</v>
      </c>
      <c r="T5953" t="s">
        <v>46719</v>
      </c>
      <c r="U5953" t="s">
        <v>51829</v>
      </c>
      <c r="W5953" t="s">
        <v>40934</v>
      </c>
      <c r="X5953" t="s">
        <v>44767</v>
      </c>
    </row>
    <row r="5954" spans="1:24">
      <c r="A5954">
        <f>HYPERLINK("https://www.philgeps.gov.ph/GEPSNONPILOT/Tender/SplashBidNoticeAbstractUI.aspx?menuIndex=3&amp;refID=7146967&amp;Result=3","7146967")</f>
        <v>0</v>
      </c>
      <c r="B5954" t="s">
        <v>2141</v>
      </c>
      <c r="C5954" t="s">
        <v>9385</v>
      </c>
      <c r="D5954" t="s">
        <v>17959</v>
      </c>
      <c r="E5954" t="s">
        <v>23317</v>
      </c>
      <c r="F5954" t="s">
        <v>30900</v>
      </c>
      <c r="G5954" t="s">
        <v>30908</v>
      </c>
      <c r="H5954" t="s">
        <v>30916</v>
      </c>
      <c r="I5954" t="s">
        <v>9385</v>
      </c>
      <c r="J5954" t="s">
        <v>33907</v>
      </c>
      <c r="K5954" t="s">
        <v>40283</v>
      </c>
      <c r="M5954" t="s">
        <v>42843</v>
      </c>
      <c r="N5954" t="s">
        <v>44759</v>
      </c>
      <c r="O5954" t="s">
        <v>44760</v>
      </c>
      <c r="P5954">
        <v>0</v>
      </c>
      <c r="Q5954">
        <v>2</v>
      </c>
      <c r="R5954" t="s">
        <v>44766</v>
      </c>
      <c r="S5954" t="s">
        <v>44902</v>
      </c>
      <c r="T5954" t="s">
        <v>46704</v>
      </c>
      <c r="U5954" t="s">
        <v>51933</v>
      </c>
      <c r="W5954" t="s">
        <v>42843</v>
      </c>
      <c r="X5954" t="s">
        <v>44767</v>
      </c>
    </row>
    <row r="5955" spans="1:24">
      <c r="A5955">
        <f>HYPERLINK("https://www.philgeps.gov.ph/GEPSNONPILOT/Tender/SplashBidNoticeAbstractUI.aspx?menuIndex=3&amp;refID=7146965&amp;Result=3","7146965")</f>
        <v>0</v>
      </c>
      <c r="B5955" t="s">
        <v>766</v>
      </c>
      <c r="C5955" t="s">
        <v>9386</v>
      </c>
      <c r="D5955" t="s">
        <v>18045</v>
      </c>
      <c r="E5955" t="s">
        <v>23318</v>
      </c>
      <c r="F5955" t="s">
        <v>30900</v>
      </c>
      <c r="G5955" t="s">
        <v>30910</v>
      </c>
      <c r="H5955" t="s">
        <v>30916</v>
      </c>
      <c r="I5955" t="s">
        <v>4545</v>
      </c>
      <c r="J5955" t="s">
        <v>34923</v>
      </c>
      <c r="K5955" t="s">
        <v>40287</v>
      </c>
      <c r="M5955" t="s">
        <v>42844</v>
      </c>
      <c r="N5955" t="s">
        <v>44759</v>
      </c>
      <c r="O5955" t="s">
        <v>44760</v>
      </c>
      <c r="P5955">
        <v>0</v>
      </c>
      <c r="Q5955">
        <v>2</v>
      </c>
      <c r="R5955" t="s">
        <v>44766</v>
      </c>
      <c r="S5955" t="s">
        <v>44902</v>
      </c>
      <c r="T5955" t="s">
        <v>46728</v>
      </c>
      <c r="U5955" t="s">
        <v>51934</v>
      </c>
      <c r="V5955" t="s">
        <v>59773</v>
      </c>
      <c r="W5955" t="s">
        <v>42844</v>
      </c>
      <c r="X5955" t="s">
        <v>44767</v>
      </c>
    </row>
    <row r="5956" spans="1:24">
      <c r="A5956">
        <f>HYPERLINK("https://www.philgeps.gov.ph/GEPSNONPILOT/Tender/SplashBidNoticeAbstractUI.aspx?menuIndex=3&amp;refID=7146962&amp;Result=3","7146962")</f>
        <v>0</v>
      </c>
      <c r="B5956" t="s">
        <v>2109</v>
      </c>
      <c r="C5956" t="s">
        <v>9387</v>
      </c>
      <c r="D5956" t="s">
        <v>17985</v>
      </c>
      <c r="E5956" t="s">
        <v>23319</v>
      </c>
      <c r="F5956" t="s">
        <v>30900</v>
      </c>
      <c r="G5956" t="s">
        <v>30907</v>
      </c>
      <c r="H5956" t="s">
        <v>30915</v>
      </c>
      <c r="I5956" t="s">
        <v>30948</v>
      </c>
      <c r="J5956" t="s">
        <v>34924</v>
      </c>
      <c r="K5956" t="s">
        <v>40421</v>
      </c>
      <c r="M5956" t="s">
        <v>42810</v>
      </c>
      <c r="N5956" t="s">
        <v>44759</v>
      </c>
      <c r="O5956" t="s">
        <v>44760</v>
      </c>
      <c r="P5956">
        <v>0</v>
      </c>
      <c r="Q5956">
        <v>2</v>
      </c>
      <c r="R5956" t="s">
        <v>44766</v>
      </c>
      <c r="S5956" t="s">
        <v>44902</v>
      </c>
      <c r="T5956" t="s">
        <v>46379</v>
      </c>
      <c r="U5956" t="s">
        <v>51935</v>
      </c>
      <c r="W5956" t="s">
        <v>42810</v>
      </c>
      <c r="X5956" t="s">
        <v>44767</v>
      </c>
    </row>
    <row r="5957" spans="1:24">
      <c r="A5957">
        <f>HYPERLINK("https://www.philgeps.gov.ph/GEPSNONPILOT/Tender/SplashBidNoticeAbstractUI.aspx?menuIndex=3&amp;refID=7146991&amp;Result=3","7146991")</f>
        <v>0</v>
      </c>
      <c r="B5957" t="s">
        <v>821</v>
      </c>
      <c r="C5957" t="s">
        <v>9388</v>
      </c>
      <c r="D5957" t="s">
        <v>18009</v>
      </c>
      <c r="E5957" t="s">
        <v>23320</v>
      </c>
      <c r="F5957" t="s">
        <v>30901</v>
      </c>
      <c r="G5957" t="s">
        <v>30908</v>
      </c>
      <c r="H5957" t="s">
        <v>30916</v>
      </c>
      <c r="I5957" t="s">
        <v>4454</v>
      </c>
      <c r="J5957" t="s">
        <v>32305</v>
      </c>
      <c r="K5957" t="s">
        <v>40289</v>
      </c>
      <c r="M5957" t="s">
        <v>41393</v>
      </c>
      <c r="N5957" t="s">
        <v>44759</v>
      </c>
      <c r="O5957" t="s">
        <v>44760</v>
      </c>
      <c r="P5957">
        <v>0</v>
      </c>
      <c r="Q5957">
        <v>1</v>
      </c>
      <c r="R5957" t="s">
        <v>44766</v>
      </c>
      <c r="S5957" t="s">
        <v>44902</v>
      </c>
      <c r="T5957" t="s">
        <v>46399</v>
      </c>
      <c r="U5957" t="s">
        <v>51936</v>
      </c>
      <c r="W5957" t="s">
        <v>41393</v>
      </c>
      <c r="X5957" t="s">
        <v>44767</v>
      </c>
    </row>
    <row r="5958" spans="1:24">
      <c r="A5958">
        <f>HYPERLINK("https://www.philgeps.gov.ph/GEPSNONPILOT/Tender/SplashBidNoticeAbstractUI.aspx?menuIndex=3&amp;refID=7147010&amp;Result=3","7147010")</f>
        <v>0</v>
      </c>
      <c r="B5958" t="s">
        <v>2142</v>
      </c>
      <c r="C5958" t="s">
        <v>9389</v>
      </c>
      <c r="E5958" t="s">
        <v>23321</v>
      </c>
      <c r="F5958" t="s">
        <v>30900</v>
      </c>
      <c r="G5958" t="s">
        <v>30906</v>
      </c>
      <c r="H5958" t="s">
        <v>30916</v>
      </c>
      <c r="I5958" t="s">
        <v>10847</v>
      </c>
      <c r="J5958" t="s">
        <v>34925</v>
      </c>
      <c r="K5958" t="s">
        <v>40289</v>
      </c>
      <c r="M5958" t="s">
        <v>42845</v>
      </c>
      <c r="N5958" t="s">
        <v>44759</v>
      </c>
      <c r="O5958" t="s">
        <v>44760</v>
      </c>
      <c r="P5958">
        <v>0</v>
      </c>
      <c r="Q5958">
        <v>1</v>
      </c>
      <c r="R5958" t="s">
        <v>44766</v>
      </c>
      <c r="S5958" t="s">
        <v>44902</v>
      </c>
      <c r="T5958" t="s">
        <v>46581</v>
      </c>
      <c r="U5958" t="s">
        <v>51937</v>
      </c>
      <c r="W5958" t="s">
        <v>42845</v>
      </c>
      <c r="X5958" t="s">
        <v>44767</v>
      </c>
    </row>
    <row r="5959" spans="1:24">
      <c r="A5959">
        <f>HYPERLINK("https://www.philgeps.gov.ph/GEPSNONPILOT/Tender/SplashBidNoticeAbstractUI.aspx?menuIndex=3&amp;refID=7147003&amp;Result=3","7147003")</f>
        <v>0</v>
      </c>
      <c r="B5959" t="s">
        <v>223</v>
      </c>
      <c r="C5959" t="s">
        <v>9390</v>
      </c>
      <c r="D5959" t="s">
        <v>18002</v>
      </c>
      <c r="E5959" t="s">
        <v>23322</v>
      </c>
      <c r="F5959" t="s">
        <v>30900</v>
      </c>
      <c r="G5959" t="s">
        <v>30908</v>
      </c>
      <c r="H5959" t="s">
        <v>30916</v>
      </c>
      <c r="I5959" t="s">
        <v>30924</v>
      </c>
      <c r="J5959" t="s">
        <v>34926</v>
      </c>
      <c r="K5959" t="s">
        <v>40289</v>
      </c>
      <c r="M5959" t="s">
        <v>40770</v>
      </c>
      <c r="N5959" t="s">
        <v>44759</v>
      </c>
      <c r="O5959" t="s">
        <v>44760</v>
      </c>
      <c r="P5959">
        <v>0</v>
      </c>
      <c r="Q5959">
        <v>4</v>
      </c>
      <c r="R5959" t="s">
        <v>44766</v>
      </c>
      <c r="S5959" t="s">
        <v>44902</v>
      </c>
      <c r="T5959" t="s">
        <v>46581</v>
      </c>
      <c r="U5959" t="s">
        <v>47286</v>
      </c>
      <c r="W5959" t="s">
        <v>40770</v>
      </c>
      <c r="X5959" t="s">
        <v>44767</v>
      </c>
    </row>
    <row r="5960" spans="1:24">
      <c r="A5960">
        <f>HYPERLINK("https://www.philgeps.gov.ph/GEPSNONPILOT/Tender/SplashBidNoticeAbstractUI.aspx?menuIndex=3&amp;refID=7147008&amp;Result=3","7147008")</f>
        <v>0</v>
      </c>
      <c r="B5960" t="s">
        <v>463</v>
      </c>
      <c r="C5960" t="s">
        <v>9391</v>
      </c>
      <c r="D5960" t="s">
        <v>18028</v>
      </c>
      <c r="E5960" t="s">
        <v>23323</v>
      </c>
      <c r="F5960" t="s">
        <v>30900</v>
      </c>
      <c r="G5960" t="s">
        <v>30907</v>
      </c>
      <c r="H5960" t="s">
        <v>30916</v>
      </c>
      <c r="I5960" t="s">
        <v>30939</v>
      </c>
      <c r="J5960" t="s">
        <v>34927</v>
      </c>
      <c r="K5960" t="s">
        <v>40321</v>
      </c>
      <c r="L5960" t="s">
        <v>463</v>
      </c>
      <c r="M5960" t="s">
        <v>41021</v>
      </c>
      <c r="N5960" t="s">
        <v>44759</v>
      </c>
      <c r="O5960" t="s">
        <v>44760</v>
      </c>
      <c r="P5960">
        <v>0</v>
      </c>
      <c r="Q5960">
        <v>0</v>
      </c>
      <c r="R5960" t="s">
        <v>44766</v>
      </c>
      <c r="S5960" t="s">
        <v>44902</v>
      </c>
      <c r="T5960" t="s">
        <v>46399</v>
      </c>
      <c r="U5960" t="s">
        <v>51938</v>
      </c>
      <c r="V5960" t="s">
        <v>59766</v>
      </c>
      <c r="W5960" t="s">
        <v>41021</v>
      </c>
      <c r="X5960" t="s">
        <v>44767</v>
      </c>
    </row>
    <row r="5961" spans="1:24">
      <c r="A5961">
        <f>HYPERLINK("https://www.philgeps.gov.ph/GEPSNONPILOT/Tender/SplashBidNoticeAbstractUI.aspx?menuIndex=3&amp;refID=7147006&amp;Result=3","7147006")</f>
        <v>0</v>
      </c>
      <c r="B5961" t="s">
        <v>179</v>
      </c>
      <c r="C5961" t="s">
        <v>9392</v>
      </c>
      <c r="D5961" t="s">
        <v>17953</v>
      </c>
      <c r="E5961" t="s">
        <v>23324</v>
      </c>
      <c r="F5961" t="s">
        <v>30900</v>
      </c>
      <c r="G5961" t="s">
        <v>30907</v>
      </c>
      <c r="H5961" t="s">
        <v>30915</v>
      </c>
      <c r="I5961" t="s">
        <v>30919</v>
      </c>
      <c r="J5961" t="s">
        <v>34928</v>
      </c>
      <c r="K5961" t="s">
        <v>40280</v>
      </c>
      <c r="M5961" t="s">
        <v>40726</v>
      </c>
      <c r="N5961" t="s">
        <v>44759</v>
      </c>
      <c r="O5961" t="s">
        <v>44760</v>
      </c>
      <c r="P5961">
        <v>0</v>
      </c>
      <c r="Q5961">
        <v>0</v>
      </c>
      <c r="R5961" t="s">
        <v>44766</v>
      </c>
      <c r="S5961" t="s">
        <v>44902</v>
      </c>
      <c r="T5961" t="s">
        <v>46409</v>
      </c>
      <c r="U5961" t="s">
        <v>51939</v>
      </c>
      <c r="W5961" t="s">
        <v>40726</v>
      </c>
      <c r="X5961" t="s">
        <v>44767</v>
      </c>
    </row>
    <row r="5962" spans="1:24">
      <c r="A5962">
        <f>HYPERLINK("https://www.philgeps.gov.ph/GEPSNONPILOT/Tender/SplashBidNoticeAbstractUI.aspx?menuIndex=3&amp;refID=7147035&amp;Result=3","7147035")</f>
        <v>0</v>
      </c>
      <c r="B5962" t="s">
        <v>2143</v>
      </c>
      <c r="C5962" t="s">
        <v>9393</v>
      </c>
      <c r="D5962" t="s">
        <v>17973</v>
      </c>
      <c r="E5962" t="s">
        <v>9393</v>
      </c>
      <c r="F5962" t="s">
        <v>30899</v>
      </c>
      <c r="G5962" t="s">
        <v>30909</v>
      </c>
      <c r="H5962" t="s">
        <v>30916</v>
      </c>
      <c r="I5962" t="s">
        <v>5501</v>
      </c>
      <c r="J5962" t="s">
        <v>31583</v>
      </c>
      <c r="K5962" t="s">
        <v>40289</v>
      </c>
      <c r="M5962" t="s">
        <v>42846</v>
      </c>
      <c r="N5962" t="s">
        <v>44759</v>
      </c>
      <c r="O5962" t="s">
        <v>44760</v>
      </c>
      <c r="P5962">
        <v>0</v>
      </c>
      <c r="Q5962">
        <v>0</v>
      </c>
      <c r="R5962" t="s">
        <v>44766</v>
      </c>
      <c r="S5962" t="s">
        <v>44902</v>
      </c>
      <c r="T5962" t="s">
        <v>46729</v>
      </c>
      <c r="U5962" t="s">
        <v>51940</v>
      </c>
      <c r="W5962" t="s">
        <v>42846</v>
      </c>
      <c r="X5962" t="s">
        <v>44767</v>
      </c>
    </row>
    <row r="5963" spans="1:24">
      <c r="A5963">
        <f>HYPERLINK("https://www.philgeps.gov.ph/GEPSNONPILOT/Tender/SplashBidNoticeAbstractUI.aspx?menuIndex=3&amp;refID=7147034&amp;Result=3","7147034")</f>
        <v>0</v>
      </c>
      <c r="B5963" t="s">
        <v>948</v>
      </c>
      <c r="C5963" t="s">
        <v>9394</v>
      </c>
      <c r="D5963" t="s">
        <v>17953</v>
      </c>
      <c r="E5963" t="s">
        <v>23325</v>
      </c>
      <c r="F5963" t="s">
        <v>30900</v>
      </c>
      <c r="G5963" t="s">
        <v>30907</v>
      </c>
      <c r="H5963" t="s">
        <v>30915</v>
      </c>
      <c r="I5963" t="s">
        <v>30919</v>
      </c>
      <c r="J5963" t="s">
        <v>34929</v>
      </c>
      <c r="K5963" t="s">
        <v>40289</v>
      </c>
      <c r="M5963" t="s">
        <v>41533</v>
      </c>
      <c r="N5963" t="s">
        <v>44759</v>
      </c>
      <c r="O5963" t="s">
        <v>44760</v>
      </c>
      <c r="P5963">
        <v>0</v>
      </c>
      <c r="Q5963">
        <v>3</v>
      </c>
      <c r="R5963" t="s">
        <v>44766</v>
      </c>
      <c r="S5963" t="s">
        <v>44902</v>
      </c>
      <c r="T5963" t="s">
        <v>46421</v>
      </c>
      <c r="U5963" t="s">
        <v>48668</v>
      </c>
      <c r="W5963" t="s">
        <v>41533</v>
      </c>
      <c r="X5963" t="s">
        <v>44767</v>
      </c>
    </row>
    <row r="5964" spans="1:24">
      <c r="A5964">
        <f>HYPERLINK("https://www.philgeps.gov.ph/GEPSNONPILOT/Tender/SplashBidNoticeAbstractUI.aspx?menuIndex=3&amp;refID=7147032&amp;Result=3","7147032")</f>
        <v>0</v>
      </c>
      <c r="B5964" t="s">
        <v>2144</v>
      </c>
      <c r="C5964" t="s">
        <v>9395</v>
      </c>
      <c r="D5964" t="s">
        <v>17957</v>
      </c>
      <c r="E5964" t="s">
        <v>23326</v>
      </c>
      <c r="F5964" t="s">
        <v>30900</v>
      </c>
      <c r="G5964" t="s">
        <v>30907</v>
      </c>
      <c r="H5964" t="s">
        <v>30916</v>
      </c>
      <c r="I5964" t="s">
        <v>4142</v>
      </c>
      <c r="J5964" t="s">
        <v>31152</v>
      </c>
      <c r="K5964" t="s">
        <v>40286</v>
      </c>
      <c r="M5964" t="s">
        <v>42847</v>
      </c>
      <c r="N5964" t="s">
        <v>44759</v>
      </c>
      <c r="O5964" t="s">
        <v>44760</v>
      </c>
      <c r="P5964">
        <v>0</v>
      </c>
      <c r="Q5964">
        <v>1</v>
      </c>
      <c r="R5964" t="s">
        <v>44766</v>
      </c>
      <c r="S5964" t="s">
        <v>44902</v>
      </c>
      <c r="T5964" t="s">
        <v>46363</v>
      </c>
      <c r="U5964" t="s">
        <v>51941</v>
      </c>
      <c r="W5964" t="s">
        <v>42847</v>
      </c>
      <c r="X5964" t="s">
        <v>44767</v>
      </c>
    </row>
    <row r="5965" spans="1:24">
      <c r="A5965">
        <f>HYPERLINK("https://www.philgeps.gov.ph/GEPSNONPILOT/Tender/SplashBidNoticeAbstractUI.aspx?menuIndex=3&amp;refID=7146888&amp;Result=3","7146888")</f>
        <v>0</v>
      </c>
      <c r="B5965" t="s">
        <v>1988</v>
      </c>
      <c r="C5965" t="s">
        <v>9396</v>
      </c>
      <c r="D5965" t="s">
        <v>17959</v>
      </c>
      <c r="E5965" t="s">
        <v>23327</v>
      </c>
      <c r="F5965" t="s">
        <v>30900</v>
      </c>
      <c r="G5965" t="s">
        <v>30906</v>
      </c>
      <c r="H5965" t="s">
        <v>30916</v>
      </c>
      <c r="I5965" t="s">
        <v>8123</v>
      </c>
      <c r="J5965" t="s">
        <v>34930</v>
      </c>
      <c r="K5965" t="s">
        <v>40289</v>
      </c>
      <c r="L5965" t="s">
        <v>1988</v>
      </c>
      <c r="M5965" t="s">
        <v>42679</v>
      </c>
      <c r="N5965" t="s">
        <v>44759</v>
      </c>
      <c r="O5965" t="s">
        <v>44760</v>
      </c>
      <c r="Q5965">
        <v>0</v>
      </c>
      <c r="R5965" t="s">
        <v>44766</v>
      </c>
      <c r="S5965" t="s">
        <v>44885</v>
      </c>
      <c r="T5965" t="s">
        <v>46497</v>
      </c>
      <c r="U5965" t="s">
        <v>51539</v>
      </c>
      <c r="W5965" t="s">
        <v>42679</v>
      </c>
      <c r="X5965" t="s">
        <v>44767</v>
      </c>
    </row>
    <row r="5966" spans="1:24">
      <c r="A5966">
        <f>HYPERLINK("https://www.philgeps.gov.ph/GEPSNONPILOT/Tender/SplashBidNoticeAbstractUI.aspx?menuIndex=3&amp;refID=7147027&amp;Result=3","7147027")</f>
        <v>0</v>
      </c>
      <c r="B5966" t="s">
        <v>2145</v>
      </c>
      <c r="C5966" t="s">
        <v>9397</v>
      </c>
      <c r="D5966" t="s">
        <v>17973</v>
      </c>
      <c r="E5966" t="s">
        <v>23328</v>
      </c>
      <c r="F5966" t="s">
        <v>30900</v>
      </c>
      <c r="G5966" t="s">
        <v>30907</v>
      </c>
      <c r="H5966" t="s">
        <v>30916</v>
      </c>
      <c r="I5966" t="s">
        <v>4545</v>
      </c>
      <c r="J5966" t="s">
        <v>34931</v>
      </c>
      <c r="K5966" t="s">
        <v>40289</v>
      </c>
      <c r="M5966" t="s">
        <v>42848</v>
      </c>
      <c r="N5966" t="s">
        <v>44759</v>
      </c>
      <c r="O5966" t="s">
        <v>44760</v>
      </c>
      <c r="P5966">
        <v>0</v>
      </c>
      <c r="Q5966">
        <v>5</v>
      </c>
      <c r="R5966" t="s">
        <v>44766</v>
      </c>
      <c r="S5966" t="s">
        <v>44902</v>
      </c>
      <c r="T5966" t="s">
        <v>46405</v>
      </c>
      <c r="U5966" t="s">
        <v>51942</v>
      </c>
      <c r="W5966" t="s">
        <v>42848</v>
      </c>
      <c r="X5966" t="s">
        <v>44767</v>
      </c>
    </row>
    <row r="5967" spans="1:24">
      <c r="A5967">
        <f>HYPERLINK("https://www.philgeps.gov.ph/GEPSNONPILOT/Tender/SplashBidNoticeAbstractUI.aspx?menuIndex=3&amp;refID=7147024&amp;Result=3","7147024")</f>
        <v>0</v>
      </c>
      <c r="B5967" t="s">
        <v>180</v>
      </c>
      <c r="C5967" t="s">
        <v>9398</v>
      </c>
      <c r="D5967" t="s">
        <v>17987</v>
      </c>
      <c r="E5967" t="s">
        <v>23329</v>
      </c>
      <c r="F5967" t="s">
        <v>30900</v>
      </c>
      <c r="G5967" t="s">
        <v>30907</v>
      </c>
      <c r="H5967" t="s">
        <v>30916</v>
      </c>
      <c r="I5967" t="s">
        <v>30932</v>
      </c>
      <c r="J5967" t="s">
        <v>34932</v>
      </c>
      <c r="K5967" t="s">
        <v>40284</v>
      </c>
      <c r="M5967" t="s">
        <v>40727</v>
      </c>
      <c r="N5967" t="s">
        <v>44759</v>
      </c>
      <c r="O5967" t="s">
        <v>44760</v>
      </c>
      <c r="P5967">
        <v>0</v>
      </c>
      <c r="Q5967">
        <v>0</v>
      </c>
      <c r="R5967" t="s">
        <v>44766</v>
      </c>
      <c r="S5967" t="s">
        <v>44902</v>
      </c>
      <c r="T5967" t="s">
        <v>46409</v>
      </c>
      <c r="U5967" t="s">
        <v>51943</v>
      </c>
      <c r="W5967" t="s">
        <v>40727</v>
      </c>
      <c r="X5967" t="s">
        <v>44767</v>
      </c>
    </row>
    <row r="5968" spans="1:24">
      <c r="A5968">
        <f>HYPERLINK("https://www.philgeps.gov.ph/GEPSNONPILOT/Tender/SplashBidNoticeAbstractUI.aspx?menuIndex=3&amp;refID=7146973&amp;Result=3","7146973")</f>
        <v>0</v>
      </c>
      <c r="B5968" t="s">
        <v>2142</v>
      </c>
      <c r="C5968" t="s">
        <v>9399</v>
      </c>
      <c r="E5968" t="s">
        <v>23330</v>
      </c>
      <c r="F5968" t="s">
        <v>30900</v>
      </c>
      <c r="G5968" t="s">
        <v>30907</v>
      </c>
      <c r="H5968" t="s">
        <v>30916</v>
      </c>
      <c r="I5968" t="s">
        <v>4142</v>
      </c>
      <c r="J5968" t="s">
        <v>34933</v>
      </c>
      <c r="K5968" t="s">
        <v>40289</v>
      </c>
      <c r="M5968" t="s">
        <v>42845</v>
      </c>
      <c r="N5968" t="s">
        <v>44759</v>
      </c>
      <c r="O5968" t="s">
        <v>44760</v>
      </c>
      <c r="P5968">
        <v>0</v>
      </c>
      <c r="Q5968">
        <v>0</v>
      </c>
      <c r="R5968" t="s">
        <v>44766</v>
      </c>
      <c r="S5968" t="s">
        <v>44902</v>
      </c>
      <c r="T5968" t="s">
        <v>46383</v>
      </c>
      <c r="U5968" t="s">
        <v>51944</v>
      </c>
      <c r="W5968" t="s">
        <v>42845</v>
      </c>
      <c r="X5968" t="s">
        <v>44767</v>
      </c>
    </row>
    <row r="5969" spans="1:24">
      <c r="A5969">
        <f>HYPERLINK("https://www.philgeps.gov.ph/GEPSNONPILOT/Tender/SplashBidNoticeAbstractUI.aspx?menuIndex=3&amp;refID=7147009&amp;Result=3","7147009")</f>
        <v>0</v>
      </c>
      <c r="B5969" t="s">
        <v>903</v>
      </c>
      <c r="C5969" t="s">
        <v>9400</v>
      </c>
      <c r="D5969" t="s">
        <v>17962</v>
      </c>
      <c r="E5969" t="s">
        <v>23331</v>
      </c>
      <c r="F5969" t="s">
        <v>30900</v>
      </c>
      <c r="G5969" t="s">
        <v>30911</v>
      </c>
      <c r="H5969" t="s">
        <v>7411</v>
      </c>
      <c r="I5969" t="s">
        <v>7411</v>
      </c>
      <c r="J5969" t="s">
        <v>31669</v>
      </c>
      <c r="K5969" t="s">
        <v>40286</v>
      </c>
      <c r="M5969" t="s">
        <v>41478</v>
      </c>
      <c r="N5969" t="s">
        <v>44759</v>
      </c>
      <c r="O5969" t="s">
        <v>44760</v>
      </c>
      <c r="P5969">
        <v>0</v>
      </c>
      <c r="Q5969">
        <v>3</v>
      </c>
      <c r="R5969" t="s">
        <v>44766</v>
      </c>
      <c r="S5969" t="s">
        <v>44902</v>
      </c>
      <c r="T5969" t="s">
        <v>46577</v>
      </c>
      <c r="U5969" t="s">
        <v>51945</v>
      </c>
      <c r="W5969" t="s">
        <v>41478</v>
      </c>
      <c r="X5969" t="s">
        <v>44767</v>
      </c>
    </row>
    <row r="5970" spans="1:24">
      <c r="A5970">
        <f>HYPERLINK("https://www.philgeps.gov.ph/GEPSNONPILOT/Tender/SplashBidNoticeAbstractUI.aspx?menuIndex=3&amp;refID=7147047&amp;Result=3","7147047")</f>
        <v>0</v>
      </c>
      <c r="B5970" t="s">
        <v>788</v>
      </c>
      <c r="C5970" t="s">
        <v>9401</v>
      </c>
      <c r="D5970" t="s">
        <v>17959</v>
      </c>
      <c r="E5970" t="s">
        <v>23332</v>
      </c>
      <c r="F5970" t="s">
        <v>30900</v>
      </c>
      <c r="G5970" t="s">
        <v>30908</v>
      </c>
      <c r="H5970" t="s">
        <v>30916</v>
      </c>
      <c r="I5970" t="s">
        <v>6746</v>
      </c>
      <c r="J5970" t="s">
        <v>31585</v>
      </c>
      <c r="K5970" t="s">
        <v>40289</v>
      </c>
      <c r="M5970" t="s">
        <v>42807</v>
      </c>
      <c r="N5970" t="s">
        <v>44759</v>
      </c>
      <c r="O5970" t="s">
        <v>44760</v>
      </c>
      <c r="P5970">
        <v>0</v>
      </c>
      <c r="Q5970">
        <v>2</v>
      </c>
      <c r="R5970" t="s">
        <v>44766</v>
      </c>
      <c r="S5970" t="s">
        <v>44902</v>
      </c>
      <c r="T5970" t="s">
        <v>46531</v>
      </c>
      <c r="U5970" t="s">
        <v>51858</v>
      </c>
      <c r="V5970" t="s">
        <v>59774</v>
      </c>
      <c r="W5970" t="s">
        <v>42807</v>
      </c>
      <c r="X5970" t="s">
        <v>44767</v>
      </c>
    </row>
    <row r="5971" spans="1:24">
      <c r="A5971">
        <f>HYPERLINK("https://www.philgeps.gov.ph/GEPSNONPILOT/Tender/SplashBidNoticeAbstractUI.aspx?menuIndex=3&amp;refID=7147022&amp;Result=3","7147022")</f>
        <v>0</v>
      </c>
      <c r="B5971" t="s">
        <v>1844</v>
      </c>
      <c r="C5971" t="s">
        <v>9402</v>
      </c>
      <c r="D5971" t="s">
        <v>17999</v>
      </c>
      <c r="E5971" t="s">
        <v>23333</v>
      </c>
      <c r="F5971" t="s">
        <v>30900</v>
      </c>
      <c r="G5971" t="s">
        <v>30908</v>
      </c>
      <c r="H5971" t="s">
        <v>30916</v>
      </c>
      <c r="I5971" t="s">
        <v>30942</v>
      </c>
      <c r="J5971" t="s">
        <v>31451</v>
      </c>
      <c r="K5971" t="s">
        <v>40369</v>
      </c>
      <c r="M5971" t="s">
        <v>42516</v>
      </c>
      <c r="N5971" t="s">
        <v>44759</v>
      </c>
      <c r="O5971" t="s">
        <v>44760</v>
      </c>
      <c r="P5971">
        <v>0</v>
      </c>
      <c r="Q5971">
        <v>0</v>
      </c>
      <c r="R5971" t="s">
        <v>44766</v>
      </c>
      <c r="S5971" t="s">
        <v>44902</v>
      </c>
      <c r="T5971" t="s">
        <v>46379</v>
      </c>
      <c r="U5971" t="s">
        <v>51946</v>
      </c>
      <c r="W5971" t="s">
        <v>42516</v>
      </c>
      <c r="X5971" t="s">
        <v>44767</v>
      </c>
    </row>
    <row r="5972" spans="1:24">
      <c r="A5972">
        <f>HYPERLINK("https://www.philgeps.gov.ph/GEPSNONPILOT/Tender/SplashBidNoticeAbstractUI.aspx?menuIndex=3&amp;refID=7148962&amp;Result=3","7148962")</f>
        <v>0</v>
      </c>
      <c r="B5972" t="s">
        <v>1721</v>
      </c>
      <c r="C5972" t="s">
        <v>9403</v>
      </c>
      <c r="E5972" t="s">
        <v>23334</v>
      </c>
      <c r="F5972" t="s">
        <v>30900</v>
      </c>
      <c r="G5972" t="s">
        <v>30908</v>
      </c>
      <c r="H5972" t="s">
        <v>30916</v>
      </c>
      <c r="I5972" t="s">
        <v>30967</v>
      </c>
      <c r="J5972" t="s">
        <v>33447</v>
      </c>
      <c r="K5972" t="s">
        <v>40289</v>
      </c>
      <c r="M5972" t="s">
        <v>42385</v>
      </c>
      <c r="N5972" t="s">
        <v>44759</v>
      </c>
      <c r="O5972" t="s">
        <v>44760</v>
      </c>
      <c r="P5972">
        <v>0</v>
      </c>
      <c r="Q5972">
        <v>0</v>
      </c>
      <c r="R5972" t="s">
        <v>44763</v>
      </c>
      <c r="S5972" t="s">
        <v>44876</v>
      </c>
      <c r="T5972" t="s">
        <v>46403</v>
      </c>
      <c r="U5972" t="s">
        <v>51947</v>
      </c>
      <c r="W5972" t="s">
        <v>42385</v>
      </c>
      <c r="X5972" t="s">
        <v>44764</v>
      </c>
    </row>
    <row r="5973" spans="1:24">
      <c r="A5973">
        <f>HYPERLINK("https://www.philgeps.gov.ph/GEPSNONPILOT/Tender/SplashBidNoticeAbstractUI.aspx?menuIndex=3&amp;refID=7147036&amp;Result=3","7147036")</f>
        <v>0</v>
      </c>
      <c r="B5973" t="s">
        <v>2138</v>
      </c>
      <c r="C5973" t="s">
        <v>9404</v>
      </c>
      <c r="D5973" t="s">
        <v>17975</v>
      </c>
      <c r="E5973" t="s">
        <v>18484</v>
      </c>
      <c r="F5973" t="s">
        <v>30900</v>
      </c>
      <c r="G5973" t="s">
        <v>30907</v>
      </c>
      <c r="H5973" t="s">
        <v>30915</v>
      </c>
      <c r="I5973" t="s">
        <v>30919</v>
      </c>
      <c r="J5973" t="s">
        <v>34934</v>
      </c>
      <c r="K5973" t="s">
        <v>40289</v>
      </c>
      <c r="M5973" t="s">
        <v>42840</v>
      </c>
      <c r="N5973" t="s">
        <v>44759</v>
      </c>
      <c r="O5973" t="s">
        <v>44760</v>
      </c>
      <c r="P5973">
        <v>0</v>
      </c>
      <c r="Q5973">
        <v>0</v>
      </c>
      <c r="R5973" t="s">
        <v>44766</v>
      </c>
      <c r="S5973" t="s">
        <v>44902</v>
      </c>
      <c r="T5973" t="s">
        <v>46376</v>
      </c>
      <c r="U5973" t="s">
        <v>51948</v>
      </c>
      <c r="W5973" t="s">
        <v>42840</v>
      </c>
      <c r="X5973" t="s">
        <v>44767</v>
      </c>
    </row>
    <row r="5974" spans="1:24">
      <c r="A5974">
        <f>HYPERLINK("https://www.philgeps.gov.ph/GEPSNONPILOT/Tender/SplashBidNoticeAbstractUI.aspx?menuIndex=3&amp;refID=7147019&amp;Result=3","7147019")</f>
        <v>0</v>
      </c>
      <c r="B5974" t="s">
        <v>2146</v>
      </c>
      <c r="C5974" t="s">
        <v>9405</v>
      </c>
      <c r="D5974" t="s">
        <v>17960</v>
      </c>
      <c r="E5974" t="s">
        <v>23335</v>
      </c>
      <c r="F5974" t="s">
        <v>30900</v>
      </c>
      <c r="G5974" t="s">
        <v>30907</v>
      </c>
      <c r="H5974" t="s">
        <v>30915</v>
      </c>
      <c r="I5974" t="s">
        <v>30919</v>
      </c>
      <c r="J5974" t="s">
        <v>34935</v>
      </c>
      <c r="K5974" t="s">
        <v>40392</v>
      </c>
      <c r="M5974" t="s">
        <v>42849</v>
      </c>
      <c r="N5974" t="s">
        <v>44759</v>
      </c>
      <c r="O5974" t="s">
        <v>44760</v>
      </c>
      <c r="P5974">
        <v>0</v>
      </c>
      <c r="Q5974">
        <v>1</v>
      </c>
      <c r="R5974" t="s">
        <v>44766</v>
      </c>
      <c r="S5974" t="s">
        <v>44902</v>
      </c>
      <c r="T5974" t="s">
        <v>46375</v>
      </c>
      <c r="U5974" t="s">
        <v>51949</v>
      </c>
      <c r="W5974" t="s">
        <v>42849</v>
      </c>
      <c r="X5974" t="s">
        <v>44767</v>
      </c>
    </row>
    <row r="5975" spans="1:24">
      <c r="A5975">
        <f>HYPERLINK("https://www.philgeps.gov.ph/GEPSNONPILOT/Tender/SplashBidNoticeAbstractUI.aspx?menuIndex=3&amp;refID=7147018&amp;Result=3","7147018")</f>
        <v>0</v>
      </c>
      <c r="B5975" t="s">
        <v>2147</v>
      </c>
      <c r="C5975" t="s">
        <v>9406</v>
      </c>
      <c r="D5975" t="s">
        <v>17953</v>
      </c>
      <c r="E5975" t="s">
        <v>18615</v>
      </c>
      <c r="F5975" t="s">
        <v>30899</v>
      </c>
      <c r="G5975" t="s">
        <v>30907</v>
      </c>
      <c r="H5975" t="s">
        <v>30916</v>
      </c>
      <c r="I5975" t="s">
        <v>4142</v>
      </c>
      <c r="J5975" t="s">
        <v>34936</v>
      </c>
      <c r="K5975" t="s">
        <v>40281</v>
      </c>
      <c r="M5975" t="s">
        <v>42850</v>
      </c>
      <c r="N5975" t="s">
        <v>44759</v>
      </c>
      <c r="O5975" t="s">
        <v>44760</v>
      </c>
      <c r="P5975">
        <v>0</v>
      </c>
      <c r="Q5975">
        <v>1</v>
      </c>
      <c r="R5975" t="s">
        <v>44766</v>
      </c>
      <c r="S5975" t="s">
        <v>44902</v>
      </c>
      <c r="T5975" t="s">
        <v>46488</v>
      </c>
      <c r="U5975" t="s">
        <v>51950</v>
      </c>
      <c r="V5975" t="s">
        <v>59775</v>
      </c>
      <c r="W5975" t="s">
        <v>42850</v>
      </c>
      <c r="X5975" t="s">
        <v>44767</v>
      </c>
    </row>
    <row r="5976" spans="1:24">
      <c r="A5976">
        <f>HYPERLINK("https://www.philgeps.gov.ph/GEPSNONPILOT/Tender/SplashBidNoticeAbstractUI.aspx?menuIndex=3&amp;refID=7147017&amp;Result=3","7147017")</f>
        <v>0</v>
      </c>
      <c r="B5976" t="s">
        <v>1823</v>
      </c>
      <c r="C5976" t="s">
        <v>9407</v>
      </c>
      <c r="D5976" t="s">
        <v>17959</v>
      </c>
      <c r="E5976" t="s">
        <v>23336</v>
      </c>
      <c r="F5976" t="s">
        <v>30900</v>
      </c>
      <c r="G5976" t="s">
        <v>30908</v>
      </c>
      <c r="H5976" t="s">
        <v>30916</v>
      </c>
      <c r="I5976" t="s">
        <v>30923</v>
      </c>
      <c r="J5976" t="s">
        <v>31049</v>
      </c>
      <c r="K5976" t="s">
        <v>40283</v>
      </c>
      <c r="M5976" t="s">
        <v>42851</v>
      </c>
      <c r="N5976" t="s">
        <v>44759</v>
      </c>
      <c r="O5976" t="s">
        <v>44760</v>
      </c>
      <c r="P5976">
        <v>0</v>
      </c>
      <c r="Q5976">
        <v>2</v>
      </c>
      <c r="R5976" t="s">
        <v>44766</v>
      </c>
      <c r="S5976" t="s">
        <v>44902</v>
      </c>
      <c r="T5976" t="s">
        <v>46374</v>
      </c>
      <c r="U5976" t="s">
        <v>51951</v>
      </c>
      <c r="V5976" t="s">
        <v>59776</v>
      </c>
      <c r="W5976" t="s">
        <v>42851</v>
      </c>
      <c r="X5976" t="s">
        <v>44767</v>
      </c>
    </row>
    <row r="5977" spans="1:24">
      <c r="A5977">
        <f>HYPERLINK("https://www.philgeps.gov.ph/GEPSNONPILOT/Tender/SplashBidNoticeAbstractUI.aspx?menuIndex=3&amp;refID=7146959&amp;Result=3","7146959")</f>
        <v>0</v>
      </c>
      <c r="B5977" t="s">
        <v>2148</v>
      </c>
      <c r="C5977" t="s">
        <v>9408</v>
      </c>
      <c r="D5977" t="s">
        <v>18020</v>
      </c>
      <c r="E5977" t="s">
        <v>23285</v>
      </c>
      <c r="F5977" t="s">
        <v>30900</v>
      </c>
      <c r="G5977" t="s">
        <v>30907</v>
      </c>
      <c r="H5977" t="s">
        <v>30916</v>
      </c>
      <c r="I5977" t="s">
        <v>8365</v>
      </c>
      <c r="J5977" t="s">
        <v>34937</v>
      </c>
      <c r="K5977" t="s">
        <v>40286</v>
      </c>
      <c r="M5977" t="s">
        <v>42852</v>
      </c>
      <c r="N5977" t="s">
        <v>44759</v>
      </c>
      <c r="O5977" t="s">
        <v>44760</v>
      </c>
      <c r="P5977">
        <v>0</v>
      </c>
      <c r="Q5977">
        <v>4</v>
      </c>
      <c r="R5977" t="s">
        <v>44766</v>
      </c>
      <c r="S5977" t="s">
        <v>44902</v>
      </c>
      <c r="T5977" t="s">
        <v>46405</v>
      </c>
      <c r="U5977" t="s">
        <v>51952</v>
      </c>
      <c r="W5977" t="s">
        <v>42852</v>
      </c>
      <c r="X5977" t="s">
        <v>44767</v>
      </c>
    </row>
    <row r="5978" spans="1:24">
      <c r="A5978">
        <f>HYPERLINK("https://www.philgeps.gov.ph/GEPSNONPILOT/Tender/SplashBidNoticeAbstractUI.aspx?menuIndex=3&amp;refID=7147016&amp;Result=3","7147016")</f>
        <v>0</v>
      </c>
      <c r="B5978" t="s">
        <v>2149</v>
      </c>
      <c r="C5978" t="s">
        <v>9409</v>
      </c>
      <c r="D5978" t="s">
        <v>17957</v>
      </c>
      <c r="E5978" t="s">
        <v>23337</v>
      </c>
      <c r="F5978" t="s">
        <v>30900</v>
      </c>
      <c r="G5978" t="s">
        <v>30908</v>
      </c>
      <c r="H5978" t="s">
        <v>30916</v>
      </c>
      <c r="I5978" t="s">
        <v>10879</v>
      </c>
      <c r="J5978" t="s">
        <v>34938</v>
      </c>
      <c r="K5978" t="s">
        <v>40289</v>
      </c>
      <c r="M5978" t="s">
        <v>42853</v>
      </c>
      <c r="N5978" t="s">
        <v>44759</v>
      </c>
      <c r="O5978" t="s">
        <v>44760</v>
      </c>
      <c r="P5978">
        <v>0</v>
      </c>
      <c r="Q5978">
        <v>3</v>
      </c>
      <c r="R5978" t="s">
        <v>44766</v>
      </c>
      <c r="S5978" t="s">
        <v>44902</v>
      </c>
      <c r="T5978" t="s">
        <v>46403</v>
      </c>
      <c r="U5978" t="s">
        <v>51953</v>
      </c>
      <c r="W5978" t="s">
        <v>42853</v>
      </c>
      <c r="X5978" t="s">
        <v>44767</v>
      </c>
    </row>
    <row r="5979" spans="1:24">
      <c r="A5979">
        <f>HYPERLINK("https://www.philgeps.gov.ph/GEPSNONPILOT/Tender/SplashBidNoticeAbstractUI.aspx?menuIndex=3&amp;refID=7147015&amp;Result=3","7147015")</f>
        <v>0</v>
      </c>
      <c r="B5979" t="s">
        <v>1967</v>
      </c>
      <c r="C5979" t="s">
        <v>9410</v>
      </c>
      <c r="D5979" t="s">
        <v>17988</v>
      </c>
      <c r="E5979" t="s">
        <v>23291</v>
      </c>
      <c r="F5979" t="s">
        <v>30900</v>
      </c>
      <c r="G5979" t="s">
        <v>30908</v>
      </c>
      <c r="H5979" t="s">
        <v>30915</v>
      </c>
      <c r="I5979" t="s">
        <v>30919</v>
      </c>
      <c r="J5979" t="s">
        <v>34874</v>
      </c>
      <c r="K5979" t="s">
        <v>40289</v>
      </c>
      <c r="M5979" t="s">
        <v>42653</v>
      </c>
      <c r="N5979" t="s">
        <v>44759</v>
      </c>
      <c r="O5979" t="s">
        <v>44760</v>
      </c>
      <c r="P5979">
        <v>0</v>
      </c>
      <c r="Q5979">
        <v>0</v>
      </c>
      <c r="R5979" t="s">
        <v>44766</v>
      </c>
      <c r="S5979" t="s">
        <v>44902</v>
      </c>
      <c r="T5979" t="s">
        <v>46625</v>
      </c>
      <c r="U5979" t="s">
        <v>51477</v>
      </c>
      <c r="W5979" t="s">
        <v>42653</v>
      </c>
      <c r="X5979" t="s">
        <v>44767</v>
      </c>
    </row>
    <row r="5980" spans="1:24">
      <c r="A5980">
        <f>HYPERLINK("https://www.philgeps.gov.ph/GEPSNONPILOT/Tender/SplashBidNoticeAbstractUI.aspx?menuIndex=3&amp;refID=7147025&amp;Result=3","7147025")</f>
        <v>0</v>
      </c>
      <c r="B5980" t="s">
        <v>1973</v>
      </c>
      <c r="C5980" t="s">
        <v>9411</v>
      </c>
      <c r="D5980" t="s">
        <v>18012</v>
      </c>
      <c r="E5980" t="s">
        <v>22913</v>
      </c>
      <c r="F5980" t="s">
        <v>30900</v>
      </c>
      <c r="G5980" t="s">
        <v>30906</v>
      </c>
      <c r="H5980" t="s">
        <v>30916</v>
      </c>
      <c r="I5980" t="s">
        <v>4142</v>
      </c>
      <c r="J5980" t="s">
        <v>31090</v>
      </c>
      <c r="K5980" t="s">
        <v>40284</v>
      </c>
      <c r="M5980" t="s">
        <v>42661</v>
      </c>
      <c r="N5980" t="s">
        <v>44759</v>
      </c>
      <c r="O5980" t="s">
        <v>44760</v>
      </c>
      <c r="P5980">
        <v>0</v>
      </c>
      <c r="Q5980">
        <v>0</v>
      </c>
      <c r="R5980" t="s">
        <v>44766</v>
      </c>
      <c r="S5980" t="s">
        <v>44902</v>
      </c>
      <c r="T5980" t="s">
        <v>46607</v>
      </c>
      <c r="U5980" t="s">
        <v>51598</v>
      </c>
      <c r="W5980" t="s">
        <v>42661</v>
      </c>
      <c r="X5980" t="s">
        <v>44767</v>
      </c>
    </row>
    <row r="5981" spans="1:24">
      <c r="A5981">
        <f>HYPERLINK("https://www.philgeps.gov.ph/GEPSNONPILOT/Tender/SplashBidNoticeAbstractUI.aspx?menuIndex=3&amp;refID=7147051&amp;Result=3","7147051")</f>
        <v>0</v>
      </c>
      <c r="B5981" t="s">
        <v>766</v>
      </c>
      <c r="C5981" t="s">
        <v>9412</v>
      </c>
      <c r="D5981" t="s">
        <v>17959</v>
      </c>
      <c r="E5981" t="s">
        <v>23338</v>
      </c>
      <c r="F5981" t="s">
        <v>30900</v>
      </c>
      <c r="G5981" t="s">
        <v>30910</v>
      </c>
      <c r="H5981" t="s">
        <v>30916</v>
      </c>
      <c r="I5981" t="s">
        <v>4545</v>
      </c>
      <c r="J5981" t="s">
        <v>31912</v>
      </c>
      <c r="K5981" t="s">
        <v>40287</v>
      </c>
      <c r="M5981" t="s">
        <v>42844</v>
      </c>
      <c r="N5981" t="s">
        <v>44759</v>
      </c>
      <c r="O5981" t="s">
        <v>44760</v>
      </c>
      <c r="P5981">
        <v>0</v>
      </c>
      <c r="Q5981">
        <v>2</v>
      </c>
      <c r="R5981" t="s">
        <v>44766</v>
      </c>
      <c r="S5981" t="s">
        <v>44902</v>
      </c>
      <c r="T5981" t="s">
        <v>46590</v>
      </c>
      <c r="U5981" t="s">
        <v>51954</v>
      </c>
      <c r="V5981" t="s">
        <v>59773</v>
      </c>
      <c r="W5981" t="s">
        <v>42844</v>
      </c>
      <c r="X5981" t="s">
        <v>44767</v>
      </c>
    </row>
    <row r="5982" spans="1:24">
      <c r="A5982">
        <f>HYPERLINK("https://www.philgeps.gov.ph/GEPSNONPILOT/Tender/SplashBidNoticeAbstractUI.aspx?menuIndex=3&amp;refID=7147072&amp;Result=3","7147072")</f>
        <v>0</v>
      </c>
      <c r="B5982" t="s">
        <v>2149</v>
      </c>
      <c r="C5982" t="s">
        <v>9413</v>
      </c>
      <c r="D5982" t="s">
        <v>17957</v>
      </c>
      <c r="E5982" t="s">
        <v>23339</v>
      </c>
      <c r="F5982" t="s">
        <v>30900</v>
      </c>
      <c r="G5982" t="s">
        <v>30908</v>
      </c>
      <c r="H5982" t="s">
        <v>30916</v>
      </c>
      <c r="I5982" t="s">
        <v>30929</v>
      </c>
      <c r="J5982" t="s">
        <v>33588</v>
      </c>
      <c r="K5982" t="s">
        <v>40289</v>
      </c>
      <c r="M5982" t="s">
        <v>42853</v>
      </c>
      <c r="N5982" t="s">
        <v>44759</v>
      </c>
      <c r="O5982" t="s">
        <v>44760</v>
      </c>
      <c r="P5982">
        <v>0</v>
      </c>
      <c r="Q5982">
        <v>11</v>
      </c>
      <c r="R5982" t="s">
        <v>44766</v>
      </c>
      <c r="S5982" t="s">
        <v>44902</v>
      </c>
      <c r="T5982" t="s">
        <v>46403</v>
      </c>
      <c r="U5982" t="s">
        <v>51953</v>
      </c>
      <c r="W5982" t="s">
        <v>42853</v>
      </c>
      <c r="X5982" t="s">
        <v>44767</v>
      </c>
    </row>
    <row r="5983" spans="1:24">
      <c r="A5983">
        <f>HYPERLINK("https://www.philgeps.gov.ph/GEPSNONPILOT/Tender/SplashBidNoticeAbstractUI.aspx?menuIndex=3&amp;refID=7147080&amp;Result=3","7147080")</f>
        <v>0</v>
      </c>
      <c r="B5983" t="s">
        <v>903</v>
      </c>
      <c r="C5983" t="s">
        <v>9414</v>
      </c>
      <c r="D5983" t="s">
        <v>17962</v>
      </c>
      <c r="E5983" t="s">
        <v>23340</v>
      </c>
      <c r="F5983" t="s">
        <v>30900</v>
      </c>
      <c r="G5983" t="s">
        <v>30907</v>
      </c>
      <c r="H5983" t="s">
        <v>30916</v>
      </c>
      <c r="I5983" t="s">
        <v>8123</v>
      </c>
      <c r="J5983" t="s">
        <v>34939</v>
      </c>
      <c r="K5983" t="s">
        <v>40283</v>
      </c>
      <c r="M5983" t="s">
        <v>41478</v>
      </c>
      <c r="N5983" t="s">
        <v>44759</v>
      </c>
      <c r="O5983" t="s">
        <v>44760</v>
      </c>
      <c r="P5983">
        <v>0</v>
      </c>
      <c r="Q5983">
        <v>0</v>
      </c>
      <c r="R5983" t="s">
        <v>44766</v>
      </c>
      <c r="S5983" t="s">
        <v>44902</v>
      </c>
      <c r="T5983" t="s">
        <v>46577</v>
      </c>
      <c r="U5983" t="s">
        <v>51955</v>
      </c>
      <c r="V5983" t="s">
        <v>59328</v>
      </c>
      <c r="W5983" t="s">
        <v>41478</v>
      </c>
      <c r="X5983" t="s">
        <v>44767</v>
      </c>
    </row>
    <row r="5984" spans="1:24">
      <c r="A5984">
        <f>HYPERLINK("https://www.philgeps.gov.ph/GEPSNONPILOT/Tender/SplashBidNoticeAbstractUI.aspx?menuIndex=3&amp;refID=7147071&amp;Result=3","7147071")</f>
        <v>0</v>
      </c>
      <c r="B5984" t="s">
        <v>2150</v>
      </c>
      <c r="C5984" t="s">
        <v>9415</v>
      </c>
      <c r="D5984" t="s">
        <v>17951</v>
      </c>
      <c r="E5984" t="s">
        <v>20259</v>
      </c>
      <c r="F5984" t="s">
        <v>30900</v>
      </c>
      <c r="G5984" t="s">
        <v>30908</v>
      </c>
      <c r="H5984" t="s">
        <v>30916</v>
      </c>
      <c r="I5984" t="s">
        <v>30923</v>
      </c>
      <c r="J5984" t="s">
        <v>34940</v>
      </c>
      <c r="K5984" t="s">
        <v>40291</v>
      </c>
      <c r="M5984" t="s">
        <v>42854</v>
      </c>
      <c r="N5984" t="s">
        <v>44759</v>
      </c>
      <c r="O5984" t="s">
        <v>44760</v>
      </c>
      <c r="P5984">
        <v>0</v>
      </c>
      <c r="Q5984">
        <v>14</v>
      </c>
      <c r="R5984" t="s">
        <v>44766</v>
      </c>
      <c r="S5984" t="s">
        <v>44902</v>
      </c>
      <c r="T5984" t="s">
        <v>46612</v>
      </c>
      <c r="U5984" t="s">
        <v>51956</v>
      </c>
      <c r="W5984" t="s">
        <v>42854</v>
      </c>
      <c r="X5984" t="s">
        <v>44767</v>
      </c>
    </row>
    <row r="5985" spans="1:24">
      <c r="A5985">
        <f>HYPERLINK("https://www.philgeps.gov.ph/GEPSNONPILOT/Tender/SplashBidNoticeAbstractUI.aspx?menuIndex=3&amp;refID=7147070&amp;Result=3","7147070")</f>
        <v>0</v>
      </c>
      <c r="B5985" t="s">
        <v>78</v>
      </c>
      <c r="C5985" t="s">
        <v>9416</v>
      </c>
      <c r="D5985" t="s">
        <v>17987</v>
      </c>
      <c r="E5985" t="s">
        <v>23341</v>
      </c>
      <c r="F5985" t="s">
        <v>30900</v>
      </c>
      <c r="G5985" t="s">
        <v>30907</v>
      </c>
      <c r="H5985" t="s">
        <v>30916</v>
      </c>
      <c r="I5985" t="s">
        <v>9385</v>
      </c>
      <c r="J5985" t="s">
        <v>33038</v>
      </c>
      <c r="K5985" t="s">
        <v>40289</v>
      </c>
      <c r="M5985" t="s">
        <v>40625</v>
      </c>
      <c r="N5985" t="s">
        <v>44759</v>
      </c>
      <c r="O5985" t="s">
        <v>44760</v>
      </c>
      <c r="P5985">
        <v>0</v>
      </c>
      <c r="Q5985">
        <v>6</v>
      </c>
      <c r="R5985" t="s">
        <v>44766</v>
      </c>
      <c r="S5985" t="s">
        <v>44902</v>
      </c>
      <c r="T5985" t="s">
        <v>46470</v>
      </c>
      <c r="U5985" t="s">
        <v>51957</v>
      </c>
      <c r="W5985" t="s">
        <v>40625</v>
      </c>
      <c r="X5985" t="s">
        <v>44767</v>
      </c>
    </row>
    <row r="5986" spans="1:24">
      <c r="A5986">
        <f>HYPERLINK("https://www.philgeps.gov.ph/GEPSNONPILOT/Tender/SplashBidNoticeAbstractUI.aspx?menuIndex=3&amp;refID=7147046&amp;Result=3","7147046")</f>
        <v>0</v>
      </c>
      <c r="B5986" t="s">
        <v>2151</v>
      </c>
      <c r="C5986" t="s">
        <v>9417</v>
      </c>
      <c r="D5986" t="s">
        <v>17980</v>
      </c>
      <c r="E5986" t="s">
        <v>19010</v>
      </c>
      <c r="F5986" t="s">
        <v>30900</v>
      </c>
      <c r="G5986" t="s">
        <v>30907</v>
      </c>
      <c r="H5986" t="s">
        <v>30915</v>
      </c>
      <c r="I5986" t="s">
        <v>30919</v>
      </c>
      <c r="J5986" t="s">
        <v>34941</v>
      </c>
      <c r="K5986" t="s">
        <v>40290</v>
      </c>
      <c r="M5986" t="s">
        <v>42855</v>
      </c>
      <c r="N5986" t="s">
        <v>44759</v>
      </c>
      <c r="O5986" t="s">
        <v>44760</v>
      </c>
      <c r="P5986">
        <v>0</v>
      </c>
      <c r="Q5986">
        <v>7</v>
      </c>
      <c r="R5986" t="s">
        <v>44766</v>
      </c>
      <c r="S5986" t="s">
        <v>44902</v>
      </c>
      <c r="T5986" t="s">
        <v>46519</v>
      </c>
      <c r="U5986" t="s">
        <v>51958</v>
      </c>
      <c r="W5986" t="s">
        <v>42855</v>
      </c>
      <c r="X5986" t="s">
        <v>44767</v>
      </c>
    </row>
    <row r="5987" spans="1:24">
      <c r="A5987">
        <f>HYPERLINK("https://www.philgeps.gov.ph/GEPSNONPILOT/Tender/SplashBidNoticeAbstractUI.aspx?menuIndex=3&amp;refID=7147064&amp;Result=3","7147064")</f>
        <v>0</v>
      </c>
      <c r="B5987" t="s">
        <v>1346</v>
      </c>
      <c r="C5987" t="s">
        <v>9418</v>
      </c>
      <c r="D5987" t="s">
        <v>17965</v>
      </c>
      <c r="E5987" t="s">
        <v>23342</v>
      </c>
      <c r="F5987" t="s">
        <v>30900</v>
      </c>
      <c r="G5987" t="s">
        <v>30907</v>
      </c>
      <c r="H5987" t="s">
        <v>30915</v>
      </c>
      <c r="I5987" t="s">
        <v>30919</v>
      </c>
      <c r="J5987" t="s">
        <v>34942</v>
      </c>
      <c r="K5987" t="s">
        <v>40342</v>
      </c>
      <c r="M5987" t="s">
        <v>41968</v>
      </c>
      <c r="N5987" t="s">
        <v>44759</v>
      </c>
      <c r="O5987" t="s">
        <v>44760</v>
      </c>
      <c r="P5987">
        <v>0</v>
      </c>
      <c r="Q5987">
        <v>0</v>
      </c>
      <c r="R5987" t="s">
        <v>44766</v>
      </c>
      <c r="S5987" t="s">
        <v>44902</v>
      </c>
      <c r="T5987" t="s">
        <v>46515</v>
      </c>
      <c r="U5987" t="s">
        <v>51959</v>
      </c>
      <c r="V5987" t="s">
        <v>59777</v>
      </c>
      <c r="W5987" t="s">
        <v>41968</v>
      </c>
      <c r="X5987" t="s">
        <v>44767</v>
      </c>
    </row>
    <row r="5988" spans="1:24">
      <c r="A5988">
        <f>HYPERLINK("https://www.philgeps.gov.ph/GEPSNONPILOT/Tender/SplashBidNoticeAbstractUI.aspx?menuIndex=3&amp;refID=7147062&amp;Result=3","7147062")</f>
        <v>0</v>
      </c>
      <c r="B5988" t="s">
        <v>2152</v>
      </c>
      <c r="C5988" t="s">
        <v>9419</v>
      </c>
      <c r="D5988" t="s">
        <v>18019</v>
      </c>
      <c r="E5988" t="s">
        <v>23343</v>
      </c>
      <c r="F5988" t="s">
        <v>30900</v>
      </c>
      <c r="G5988" t="s">
        <v>30908</v>
      </c>
      <c r="H5988" t="s">
        <v>30916</v>
      </c>
      <c r="I5988" t="s">
        <v>6408</v>
      </c>
      <c r="J5988" t="s">
        <v>34943</v>
      </c>
      <c r="K5988" t="s">
        <v>40287</v>
      </c>
      <c r="M5988" t="s">
        <v>42856</v>
      </c>
      <c r="N5988" t="s">
        <v>44759</v>
      </c>
      <c r="O5988" t="s">
        <v>44760</v>
      </c>
      <c r="P5988">
        <v>0</v>
      </c>
      <c r="Q5988">
        <v>0</v>
      </c>
      <c r="R5988" t="s">
        <v>44766</v>
      </c>
      <c r="S5988" t="s">
        <v>44902</v>
      </c>
      <c r="T5988" t="s">
        <v>46548</v>
      </c>
      <c r="U5988" t="s">
        <v>51960</v>
      </c>
      <c r="W5988" t="s">
        <v>42856</v>
      </c>
      <c r="X5988" t="s">
        <v>44767</v>
      </c>
    </row>
    <row r="5989" spans="1:24">
      <c r="A5989">
        <f>HYPERLINK("https://www.philgeps.gov.ph/GEPSNONPILOT/Tender/SplashBidNoticeAbstractUI.aspx?menuIndex=3&amp;refID=7147060&amp;Result=3","7147060")</f>
        <v>0</v>
      </c>
      <c r="B5989" t="s">
        <v>209</v>
      </c>
      <c r="C5989" t="s">
        <v>9420</v>
      </c>
      <c r="D5989" t="s">
        <v>17985</v>
      </c>
      <c r="E5989" t="s">
        <v>23344</v>
      </c>
      <c r="F5989" t="s">
        <v>30900</v>
      </c>
      <c r="G5989" t="s">
        <v>30907</v>
      </c>
      <c r="H5989" t="s">
        <v>30915</v>
      </c>
      <c r="I5989" t="s">
        <v>30919</v>
      </c>
      <c r="J5989" t="s">
        <v>31096</v>
      </c>
      <c r="K5989" t="s">
        <v>40291</v>
      </c>
      <c r="M5989" t="s">
        <v>40756</v>
      </c>
      <c r="N5989" t="s">
        <v>44759</v>
      </c>
      <c r="O5989" t="s">
        <v>44760</v>
      </c>
      <c r="P5989">
        <v>0</v>
      </c>
      <c r="Q5989">
        <v>0</v>
      </c>
      <c r="R5989" t="s">
        <v>44766</v>
      </c>
      <c r="S5989" t="s">
        <v>44902</v>
      </c>
      <c r="T5989" t="s">
        <v>46730</v>
      </c>
      <c r="U5989" t="s">
        <v>51961</v>
      </c>
      <c r="V5989" t="s">
        <v>59778</v>
      </c>
      <c r="W5989" t="s">
        <v>40756</v>
      </c>
      <c r="X5989" t="s">
        <v>44767</v>
      </c>
    </row>
    <row r="5990" spans="1:24">
      <c r="A5990">
        <f>HYPERLINK("https://www.philgeps.gov.ph/GEPSNONPILOT/Tender/SplashBidNoticeAbstractUI.aspx?menuIndex=3&amp;refID=7147075&amp;Result=3","7147075")</f>
        <v>0</v>
      </c>
      <c r="B5990" t="s">
        <v>2146</v>
      </c>
      <c r="C5990" t="s">
        <v>9421</v>
      </c>
      <c r="D5990" t="s">
        <v>17960</v>
      </c>
      <c r="E5990" t="s">
        <v>23345</v>
      </c>
      <c r="F5990" t="s">
        <v>30900</v>
      </c>
      <c r="G5990" t="s">
        <v>30907</v>
      </c>
      <c r="H5990" t="s">
        <v>30915</v>
      </c>
      <c r="I5990" t="s">
        <v>30919</v>
      </c>
      <c r="J5990" t="s">
        <v>34944</v>
      </c>
      <c r="K5990" t="s">
        <v>40422</v>
      </c>
      <c r="M5990" t="s">
        <v>42849</v>
      </c>
      <c r="N5990" t="s">
        <v>44759</v>
      </c>
      <c r="O5990" t="s">
        <v>44760</v>
      </c>
      <c r="P5990">
        <v>0</v>
      </c>
      <c r="Q5990">
        <v>1</v>
      </c>
      <c r="R5990" t="s">
        <v>44766</v>
      </c>
      <c r="S5990" t="s">
        <v>44902</v>
      </c>
      <c r="T5990" t="s">
        <v>46375</v>
      </c>
      <c r="U5990" t="s">
        <v>51962</v>
      </c>
      <c r="W5990" t="s">
        <v>42849</v>
      </c>
      <c r="X5990" t="s">
        <v>44767</v>
      </c>
    </row>
    <row r="5991" spans="1:24">
      <c r="A5991">
        <f>HYPERLINK("https://www.philgeps.gov.ph/GEPSNONPILOT/Tender/SplashBidNoticeAbstractUI.aspx?menuIndex=3&amp;refID=7147091&amp;Result=3","7147091")</f>
        <v>0</v>
      </c>
      <c r="B5991" t="s">
        <v>1584</v>
      </c>
      <c r="C5991" t="s">
        <v>9422</v>
      </c>
      <c r="D5991" t="s">
        <v>18025</v>
      </c>
      <c r="E5991" t="s">
        <v>23346</v>
      </c>
      <c r="F5991" t="s">
        <v>30900</v>
      </c>
      <c r="G5991" t="s">
        <v>30907</v>
      </c>
      <c r="H5991" t="s">
        <v>30915</v>
      </c>
      <c r="I5991" t="s">
        <v>30964</v>
      </c>
      <c r="J5991" t="s">
        <v>34945</v>
      </c>
      <c r="K5991" t="s">
        <v>40280</v>
      </c>
      <c r="M5991" t="s">
        <v>42857</v>
      </c>
      <c r="N5991" t="s">
        <v>44759</v>
      </c>
      <c r="O5991" t="s">
        <v>44760</v>
      </c>
      <c r="P5991">
        <v>0</v>
      </c>
      <c r="Q5991">
        <v>0</v>
      </c>
      <c r="R5991" t="s">
        <v>44766</v>
      </c>
      <c r="S5991" t="s">
        <v>44902</v>
      </c>
      <c r="T5991" t="s">
        <v>46377</v>
      </c>
      <c r="U5991" t="s">
        <v>51963</v>
      </c>
      <c r="W5991" t="s">
        <v>42857</v>
      </c>
      <c r="X5991" t="s">
        <v>44767</v>
      </c>
    </row>
    <row r="5992" spans="1:24">
      <c r="A5992">
        <f>HYPERLINK("https://www.philgeps.gov.ph/GEPSNONPILOT/Tender/SplashBidNoticeAbstractUI.aspx?menuIndex=3&amp;refID=7147020&amp;Result=3","7147020")</f>
        <v>0</v>
      </c>
      <c r="B5992" t="s">
        <v>2066</v>
      </c>
      <c r="C5992" t="s">
        <v>9423</v>
      </c>
      <c r="D5992" t="s">
        <v>17971</v>
      </c>
      <c r="E5992" t="s">
        <v>23347</v>
      </c>
      <c r="F5992" t="s">
        <v>30900</v>
      </c>
      <c r="G5992" t="s">
        <v>30907</v>
      </c>
      <c r="H5992" t="s">
        <v>30916</v>
      </c>
      <c r="I5992" t="s">
        <v>4050</v>
      </c>
      <c r="J5992" t="s">
        <v>34946</v>
      </c>
      <c r="K5992" t="s">
        <v>40286</v>
      </c>
      <c r="L5992" t="s">
        <v>2066</v>
      </c>
      <c r="M5992" t="s">
        <v>42765</v>
      </c>
      <c r="N5992" t="s">
        <v>44759</v>
      </c>
      <c r="O5992" t="s">
        <v>44760</v>
      </c>
      <c r="P5992">
        <v>0</v>
      </c>
      <c r="Q5992">
        <v>1</v>
      </c>
      <c r="R5992" t="s">
        <v>44766</v>
      </c>
      <c r="S5992" t="s">
        <v>44902</v>
      </c>
      <c r="T5992" t="s">
        <v>46405</v>
      </c>
      <c r="U5992" t="s">
        <v>51831</v>
      </c>
      <c r="W5992" t="s">
        <v>42765</v>
      </c>
      <c r="X5992" t="s">
        <v>44767</v>
      </c>
    </row>
    <row r="5993" spans="1:24">
      <c r="A5993">
        <f>HYPERLINK("https://www.philgeps.gov.ph/GEPSNONPILOT/Tender/SplashBidNoticeAbstractUI.aspx?menuIndex=3&amp;refID=7147086&amp;Result=3","7147086")</f>
        <v>0</v>
      </c>
      <c r="B5993" t="s">
        <v>1973</v>
      </c>
      <c r="C5993" t="s">
        <v>9424</v>
      </c>
      <c r="D5993" t="s">
        <v>18012</v>
      </c>
      <c r="E5993" t="s">
        <v>23348</v>
      </c>
      <c r="F5993" t="s">
        <v>30900</v>
      </c>
      <c r="G5993" t="s">
        <v>30906</v>
      </c>
      <c r="H5993" t="s">
        <v>30916</v>
      </c>
      <c r="I5993" t="s">
        <v>4050</v>
      </c>
      <c r="J5993" t="s">
        <v>34947</v>
      </c>
      <c r="K5993" t="s">
        <v>40284</v>
      </c>
      <c r="M5993" t="s">
        <v>42661</v>
      </c>
      <c r="N5993" t="s">
        <v>44759</v>
      </c>
      <c r="O5993" t="s">
        <v>44760</v>
      </c>
      <c r="P5993">
        <v>0</v>
      </c>
      <c r="Q5993">
        <v>1</v>
      </c>
      <c r="R5993" t="s">
        <v>44766</v>
      </c>
      <c r="S5993" t="s">
        <v>44902</v>
      </c>
      <c r="T5993" t="s">
        <v>46607</v>
      </c>
      <c r="U5993" t="s">
        <v>51964</v>
      </c>
      <c r="W5993" t="s">
        <v>42661</v>
      </c>
      <c r="X5993" t="s">
        <v>44767</v>
      </c>
    </row>
    <row r="5994" spans="1:24">
      <c r="A5994">
        <f>HYPERLINK("https://www.philgeps.gov.ph/GEPSNONPILOT/Tender/SplashBidNoticeAbstractUI.aspx?menuIndex=3&amp;refID=7147085&amp;Result=3","7147085")</f>
        <v>0</v>
      </c>
      <c r="B5994" t="s">
        <v>2151</v>
      </c>
      <c r="C5994" t="s">
        <v>9425</v>
      </c>
      <c r="D5994" t="s">
        <v>17959</v>
      </c>
      <c r="E5994" t="s">
        <v>22308</v>
      </c>
      <c r="F5994" t="s">
        <v>30900</v>
      </c>
      <c r="G5994" t="s">
        <v>30907</v>
      </c>
      <c r="H5994" t="s">
        <v>30915</v>
      </c>
      <c r="I5994" t="s">
        <v>30919</v>
      </c>
      <c r="J5994" t="s">
        <v>34948</v>
      </c>
      <c r="K5994" t="s">
        <v>40301</v>
      </c>
      <c r="M5994" t="s">
        <v>42855</v>
      </c>
      <c r="N5994" t="s">
        <v>44759</v>
      </c>
      <c r="O5994" t="s">
        <v>44760</v>
      </c>
      <c r="P5994">
        <v>0</v>
      </c>
      <c r="Q5994">
        <v>4</v>
      </c>
      <c r="R5994" t="s">
        <v>44766</v>
      </c>
      <c r="S5994" t="s">
        <v>44902</v>
      </c>
      <c r="T5994" t="s">
        <v>46519</v>
      </c>
      <c r="U5994" t="s">
        <v>51965</v>
      </c>
      <c r="W5994" t="s">
        <v>42855</v>
      </c>
      <c r="X5994" t="s">
        <v>44767</v>
      </c>
    </row>
    <row r="5995" spans="1:24">
      <c r="A5995">
        <f>HYPERLINK("https://www.philgeps.gov.ph/GEPSNONPILOT/Tender/SplashBidNoticeAbstractUI.aspx?menuIndex=3&amp;refID=7147059&amp;Result=3","7147059")</f>
        <v>0</v>
      </c>
      <c r="B5995" t="s">
        <v>179</v>
      </c>
      <c r="C5995" t="s">
        <v>9426</v>
      </c>
      <c r="D5995" t="s">
        <v>17953</v>
      </c>
      <c r="E5995" t="s">
        <v>23349</v>
      </c>
      <c r="F5995" t="s">
        <v>30900</v>
      </c>
      <c r="G5995" t="s">
        <v>30907</v>
      </c>
      <c r="H5995" t="s">
        <v>30915</v>
      </c>
      <c r="I5995" t="s">
        <v>30919</v>
      </c>
      <c r="J5995" t="s">
        <v>34949</v>
      </c>
      <c r="K5995" t="s">
        <v>40280</v>
      </c>
      <c r="M5995" t="s">
        <v>40726</v>
      </c>
      <c r="N5995" t="s">
        <v>44759</v>
      </c>
      <c r="O5995" t="s">
        <v>44760</v>
      </c>
      <c r="P5995">
        <v>0</v>
      </c>
      <c r="Q5995">
        <v>0</v>
      </c>
      <c r="R5995" t="s">
        <v>44766</v>
      </c>
      <c r="S5995" t="s">
        <v>44902</v>
      </c>
      <c r="T5995" t="s">
        <v>46409</v>
      </c>
      <c r="U5995" t="s">
        <v>51966</v>
      </c>
      <c r="W5995" t="s">
        <v>40726</v>
      </c>
      <c r="X5995" t="s">
        <v>44767</v>
      </c>
    </row>
    <row r="5996" spans="1:24">
      <c r="A5996">
        <f>HYPERLINK("https://www.philgeps.gov.ph/GEPSNONPILOT/Tender/SplashBidNoticeAbstractUI.aspx?menuIndex=3&amp;refID=7147081&amp;Result=3","7147081")</f>
        <v>0</v>
      </c>
      <c r="B5996" t="s">
        <v>2141</v>
      </c>
      <c r="C5996" t="s">
        <v>3773</v>
      </c>
      <c r="D5996" t="s">
        <v>17959</v>
      </c>
      <c r="E5996" t="s">
        <v>23350</v>
      </c>
      <c r="F5996" t="s">
        <v>30900</v>
      </c>
      <c r="G5996" t="s">
        <v>30908</v>
      </c>
      <c r="H5996" t="s">
        <v>30916</v>
      </c>
      <c r="I5996" t="s">
        <v>4142</v>
      </c>
      <c r="J5996" t="s">
        <v>31453</v>
      </c>
      <c r="K5996" t="s">
        <v>40283</v>
      </c>
      <c r="M5996" t="s">
        <v>42843</v>
      </c>
      <c r="N5996" t="s">
        <v>44759</v>
      </c>
      <c r="O5996" t="s">
        <v>44760</v>
      </c>
      <c r="P5996">
        <v>0</v>
      </c>
      <c r="Q5996">
        <v>1</v>
      </c>
      <c r="R5996" t="s">
        <v>44766</v>
      </c>
      <c r="S5996" t="s">
        <v>44902</v>
      </c>
      <c r="T5996" t="s">
        <v>46704</v>
      </c>
      <c r="U5996" t="s">
        <v>51967</v>
      </c>
      <c r="W5996" t="s">
        <v>42843</v>
      </c>
      <c r="X5996" t="s">
        <v>44767</v>
      </c>
    </row>
    <row r="5997" spans="1:24">
      <c r="A5997">
        <f>HYPERLINK("https://www.philgeps.gov.ph/GEPSNONPILOT/Tender/SplashBidNoticeAbstractUI.aspx?menuIndex=3&amp;refID=7147058&amp;Result=3","7147058")</f>
        <v>0</v>
      </c>
      <c r="B5997" t="s">
        <v>2153</v>
      </c>
      <c r="C5997" t="s">
        <v>9427</v>
      </c>
      <c r="D5997" t="s">
        <v>18013</v>
      </c>
      <c r="E5997" t="s">
        <v>20897</v>
      </c>
      <c r="F5997" t="s">
        <v>30900</v>
      </c>
      <c r="G5997" t="s">
        <v>30908</v>
      </c>
      <c r="H5997" t="s">
        <v>30916</v>
      </c>
      <c r="I5997" t="s">
        <v>30919</v>
      </c>
      <c r="J5997" t="s">
        <v>34950</v>
      </c>
      <c r="K5997" t="s">
        <v>40283</v>
      </c>
      <c r="M5997" t="s">
        <v>42858</v>
      </c>
      <c r="N5997" t="s">
        <v>44759</v>
      </c>
      <c r="O5997" t="s">
        <v>44760</v>
      </c>
      <c r="P5997">
        <v>0</v>
      </c>
      <c r="Q5997">
        <v>0</v>
      </c>
      <c r="R5997" t="s">
        <v>44766</v>
      </c>
      <c r="S5997" t="s">
        <v>44902</v>
      </c>
      <c r="T5997" t="s">
        <v>46374</v>
      </c>
      <c r="U5997" t="s">
        <v>51968</v>
      </c>
      <c r="W5997" t="s">
        <v>42858</v>
      </c>
      <c r="X5997" t="s">
        <v>44767</v>
      </c>
    </row>
    <row r="5998" spans="1:24">
      <c r="A5998">
        <f>HYPERLINK("https://www.philgeps.gov.ph/GEPSNONPILOT/Tender/SplashBidNoticeAbstractUI.aspx?menuIndex=3&amp;refID=7147094&amp;Result=3","7147094")</f>
        <v>0</v>
      </c>
      <c r="B5998" t="s">
        <v>2154</v>
      </c>
      <c r="C5998" t="s">
        <v>9428</v>
      </c>
      <c r="D5998" t="s">
        <v>17965</v>
      </c>
      <c r="E5998" t="s">
        <v>23351</v>
      </c>
      <c r="F5998" t="s">
        <v>30900</v>
      </c>
      <c r="G5998" t="s">
        <v>30907</v>
      </c>
      <c r="H5998" t="s">
        <v>30916</v>
      </c>
      <c r="I5998" t="s">
        <v>4545</v>
      </c>
      <c r="J5998" t="s">
        <v>31101</v>
      </c>
      <c r="K5998" t="s">
        <v>40283</v>
      </c>
      <c r="M5998" t="s">
        <v>42859</v>
      </c>
      <c r="N5998" t="s">
        <v>44759</v>
      </c>
      <c r="O5998" t="s">
        <v>44760</v>
      </c>
      <c r="P5998">
        <v>0</v>
      </c>
      <c r="Q5998">
        <v>1</v>
      </c>
      <c r="R5998" t="s">
        <v>44766</v>
      </c>
      <c r="S5998" t="s">
        <v>44902</v>
      </c>
      <c r="T5998" t="s">
        <v>46431</v>
      </c>
      <c r="U5998" t="s">
        <v>51969</v>
      </c>
      <c r="W5998" t="s">
        <v>43936</v>
      </c>
      <c r="X5998" t="s">
        <v>44767</v>
      </c>
    </row>
    <row r="5999" spans="1:24">
      <c r="A5999">
        <f>HYPERLINK("https://www.philgeps.gov.ph/GEPSNONPILOT/Tender/SplashBidNoticeAbstractUI.aspx?menuIndex=3&amp;refID=7147105&amp;Result=3","7147105")</f>
        <v>0</v>
      </c>
      <c r="B5999" t="s">
        <v>2155</v>
      </c>
      <c r="C5999" t="s">
        <v>9429</v>
      </c>
      <c r="D5999" t="s">
        <v>17953</v>
      </c>
      <c r="E5999" t="s">
        <v>23352</v>
      </c>
      <c r="F5999" t="s">
        <v>30900</v>
      </c>
      <c r="G5999" t="s">
        <v>30908</v>
      </c>
      <c r="H5999" t="s">
        <v>30916</v>
      </c>
      <c r="I5999" t="s">
        <v>6396</v>
      </c>
      <c r="J5999" t="s">
        <v>34951</v>
      </c>
      <c r="K5999" t="s">
        <v>40288</v>
      </c>
      <c r="L5999" t="s">
        <v>2155</v>
      </c>
      <c r="M5999" t="s">
        <v>42860</v>
      </c>
      <c r="N5999" t="s">
        <v>44759</v>
      </c>
      <c r="O5999" t="s">
        <v>44760</v>
      </c>
      <c r="P5999">
        <v>0</v>
      </c>
      <c r="Q5999">
        <v>4</v>
      </c>
      <c r="R5999" t="s">
        <v>44766</v>
      </c>
      <c r="S5999" t="s">
        <v>44902</v>
      </c>
      <c r="T5999" t="s">
        <v>46591</v>
      </c>
      <c r="U5999" t="s">
        <v>51970</v>
      </c>
      <c r="V5999" t="s">
        <v>59779</v>
      </c>
      <c r="W5999" t="s">
        <v>42860</v>
      </c>
      <c r="X5999" t="s">
        <v>44767</v>
      </c>
    </row>
    <row r="6000" spans="1:24">
      <c r="A6000">
        <f>HYPERLINK("https://www.philgeps.gov.ph/GEPSNONPILOT/Tender/SplashBidNoticeAbstractUI.aspx?menuIndex=3&amp;refID=7147098&amp;Result=3","7147098")</f>
        <v>0</v>
      </c>
      <c r="B6000" t="s">
        <v>179</v>
      </c>
      <c r="C6000" t="s">
        <v>9430</v>
      </c>
      <c r="D6000" t="s">
        <v>17953</v>
      </c>
      <c r="E6000" t="s">
        <v>23353</v>
      </c>
      <c r="F6000" t="s">
        <v>30900</v>
      </c>
      <c r="G6000" t="s">
        <v>30907</v>
      </c>
      <c r="H6000" t="s">
        <v>30915</v>
      </c>
      <c r="I6000" t="s">
        <v>30919</v>
      </c>
      <c r="J6000" t="s">
        <v>34952</v>
      </c>
      <c r="K6000" t="s">
        <v>40280</v>
      </c>
      <c r="M6000" t="s">
        <v>40726</v>
      </c>
      <c r="N6000" t="s">
        <v>44759</v>
      </c>
      <c r="O6000" t="s">
        <v>44760</v>
      </c>
      <c r="P6000">
        <v>0</v>
      </c>
      <c r="Q6000">
        <v>0</v>
      </c>
      <c r="R6000" t="s">
        <v>44766</v>
      </c>
      <c r="S6000" t="s">
        <v>44902</v>
      </c>
      <c r="T6000" t="s">
        <v>46409</v>
      </c>
      <c r="U6000" t="s">
        <v>51971</v>
      </c>
      <c r="V6000" t="s">
        <v>59780</v>
      </c>
      <c r="W6000" t="s">
        <v>40726</v>
      </c>
      <c r="X6000" t="s">
        <v>44767</v>
      </c>
    </row>
    <row r="6001" spans="1:24">
      <c r="A6001">
        <f>HYPERLINK("https://www.philgeps.gov.ph/GEPSNONPILOT/Tender/SplashBidNoticeAbstractUI.aspx?menuIndex=3&amp;refID=7147136&amp;Result=3","7147136")</f>
        <v>0</v>
      </c>
      <c r="B6001" t="s">
        <v>2156</v>
      </c>
      <c r="C6001" t="s">
        <v>9431</v>
      </c>
      <c r="D6001" t="s">
        <v>17993</v>
      </c>
      <c r="E6001" t="s">
        <v>23354</v>
      </c>
      <c r="F6001" t="s">
        <v>30900</v>
      </c>
      <c r="G6001" t="s">
        <v>30907</v>
      </c>
      <c r="H6001" t="s">
        <v>30915</v>
      </c>
      <c r="I6001" t="s">
        <v>30932</v>
      </c>
      <c r="J6001" t="s">
        <v>31049</v>
      </c>
      <c r="K6001" t="s">
        <v>40287</v>
      </c>
      <c r="M6001" t="s">
        <v>42861</v>
      </c>
      <c r="N6001" t="s">
        <v>44759</v>
      </c>
      <c r="O6001" t="s">
        <v>44760</v>
      </c>
      <c r="P6001">
        <v>0</v>
      </c>
      <c r="Q6001">
        <v>1</v>
      </c>
      <c r="R6001" t="s">
        <v>44766</v>
      </c>
      <c r="S6001" t="s">
        <v>44902</v>
      </c>
      <c r="T6001" t="s">
        <v>46398</v>
      </c>
      <c r="U6001" t="s">
        <v>51972</v>
      </c>
      <c r="V6001" t="s">
        <v>59781</v>
      </c>
      <c r="W6001" t="s">
        <v>42861</v>
      </c>
      <c r="X6001" t="s">
        <v>44767</v>
      </c>
    </row>
    <row r="6002" spans="1:24">
      <c r="A6002">
        <f>HYPERLINK("https://www.philgeps.gov.ph/GEPSNONPILOT/Tender/SplashBidNoticeAbstractUI.aspx?menuIndex=3&amp;refID=7147065&amp;Result=3","7147065")</f>
        <v>0</v>
      </c>
      <c r="B6002" t="s">
        <v>1967</v>
      </c>
      <c r="C6002" t="s">
        <v>9432</v>
      </c>
      <c r="D6002" t="s">
        <v>17988</v>
      </c>
      <c r="E6002" t="s">
        <v>23291</v>
      </c>
      <c r="F6002" t="s">
        <v>30900</v>
      </c>
      <c r="G6002" t="s">
        <v>30908</v>
      </c>
      <c r="H6002" t="s">
        <v>30915</v>
      </c>
      <c r="I6002" t="s">
        <v>30919</v>
      </c>
      <c r="J6002" t="s">
        <v>34887</v>
      </c>
      <c r="K6002" t="s">
        <v>40289</v>
      </c>
      <c r="M6002" t="s">
        <v>42653</v>
      </c>
      <c r="N6002" t="s">
        <v>44759</v>
      </c>
      <c r="O6002" t="s">
        <v>44760</v>
      </c>
      <c r="P6002">
        <v>0</v>
      </c>
      <c r="Q6002">
        <v>0</v>
      </c>
      <c r="R6002" t="s">
        <v>44766</v>
      </c>
      <c r="S6002" t="s">
        <v>44902</v>
      </c>
      <c r="T6002" t="s">
        <v>46625</v>
      </c>
      <c r="U6002" t="s">
        <v>51477</v>
      </c>
      <c r="W6002" t="s">
        <v>42653</v>
      </c>
      <c r="X6002" t="s">
        <v>44767</v>
      </c>
    </row>
    <row r="6003" spans="1:24">
      <c r="A6003">
        <f>HYPERLINK("https://www.philgeps.gov.ph/GEPSNONPILOT/Tender/SplashBidNoticeAbstractUI.aspx?menuIndex=3&amp;refID=7147128&amp;Result=3","7147128")</f>
        <v>0</v>
      </c>
      <c r="B6003" t="s">
        <v>2157</v>
      </c>
      <c r="C6003" t="s">
        <v>9433</v>
      </c>
      <c r="D6003" t="s">
        <v>17955</v>
      </c>
      <c r="E6003" t="s">
        <v>23355</v>
      </c>
      <c r="F6003" t="s">
        <v>30900</v>
      </c>
      <c r="G6003" t="s">
        <v>30907</v>
      </c>
      <c r="H6003" t="s">
        <v>30915</v>
      </c>
      <c r="I6003" t="s">
        <v>30919</v>
      </c>
      <c r="J6003" t="s">
        <v>34953</v>
      </c>
      <c r="K6003" t="s">
        <v>40407</v>
      </c>
      <c r="M6003" t="s">
        <v>42862</v>
      </c>
      <c r="N6003" t="s">
        <v>44759</v>
      </c>
      <c r="O6003" t="s">
        <v>44760</v>
      </c>
      <c r="P6003">
        <v>0</v>
      </c>
      <c r="Q6003">
        <v>0</v>
      </c>
      <c r="R6003" t="s">
        <v>44766</v>
      </c>
      <c r="S6003" t="s">
        <v>44902</v>
      </c>
      <c r="T6003" t="s">
        <v>46731</v>
      </c>
      <c r="U6003" t="s">
        <v>51973</v>
      </c>
      <c r="W6003" t="s">
        <v>42862</v>
      </c>
      <c r="X6003" t="s">
        <v>44767</v>
      </c>
    </row>
    <row r="6004" spans="1:24">
      <c r="A6004">
        <f>HYPERLINK("https://www.philgeps.gov.ph/GEPSNONPILOT/Tender/SplashBidNoticeAbstractUI.aspx?menuIndex=3&amp;refID=7147088&amp;Result=3","7147088")</f>
        <v>0</v>
      </c>
      <c r="B6004" t="s">
        <v>2066</v>
      </c>
      <c r="C6004" t="s">
        <v>9434</v>
      </c>
      <c r="D6004" t="s">
        <v>17971</v>
      </c>
      <c r="E6004" t="s">
        <v>23356</v>
      </c>
      <c r="F6004" t="s">
        <v>30900</v>
      </c>
      <c r="G6004" t="s">
        <v>30907</v>
      </c>
      <c r="H6004" t="s">
        <v>30916</v>
      </c>
      <c r="I6004" t="s">
        <v>8123</v>
      </c>
      <c r="J6004" t="s">
        <v>34954</v>
      </c>
      <c r="K6004" t="s">
        <v>40286</v>
      </c>
      <c r="L6004" t="s">
        <v>2066</v>
      </c>
      <c r="M6004" t="s">
        <v>42765</v>
      </c>
      <c r="N6004" t="s">
        <v>44759</v>
      </c>
      <c r="O6004" t="s">
        <v>44760</v>
      </c>
      <c r="P6004">
        <v>0</v>
      </c>
      <c r="Q6004">
        <v>1</v>
      </c>
      <c r="R6004" t="s">
        <v>44766</v>
      </c>
      <c r="S6004" t="s">
        <v>44902</v>
      </c>
      <c r="T6004" t="s">
        <v>46405</v>
      </c>
      <c r="U6004" t="s">
        <v>51831</v>
      </c>
      <c r="W6004" t="s">
        <v>42765</v>
      </c>
      <c r="X6004" t="s">
        <v>44767</v>
      </c>
    </row>
    <row r="6005" spans="1:24">
      <c r="A6005">
        <f>HYPERLINK("https://www.philgeps.gov.ph/GEPSNONPILOT/Tender/SplashBidNoticeAbstractUI.aspx?menuIndex=3&amp;refID=7147147&amp;Result=3","7147147")</f>
        <v>0</v>
      </c>
      <c r="B6005" t="s">
        <v>2158</v>
      </c>
      <c r="C6005" t="s">
        <v>9435</v>
      </c>
      <c r="D6005" t="s">
        <v>17963</v>
      </c>
      <c r="E6005" t="s">
        <v>23357</v>
      </c>
      <c r="F6005" t="s">
        <v>30900</v>
      </c>
      <c r="G6005" t="s">
        <v>30907</v>
      </c>
      <c r="H6005" t="s">
        <v>30916</v>
      </c>
      <c r="I6005" t="s">
        <v>30931</v>
      </c>
      <c r="J6005" t="s">
        <v>34955</v>
      </c>
      <c r="K6005" t="s">
        <v>40289</v>
      </c>
      <c r="M6005" t="s">
        <v>42863</v>
      </c>
      <c r="N6005" t="s">
        <v>44759</v>
      </c>
      <c r="O6005" t="s">
        <v>44760</v>
      </c>
      <c r="P6005">
        <v>0</v>
      </c>
      <c r="Q6005">
        <v>0</v>
      </c>
      <c r="R6005" t="s">
        <v>44766</v>
      </c>
      <c r="S6005" t="s">
        <v>44902</v>
      </c>
      <c r="T6005" t="s">
        <v>46371</v>
      </c>
      <c r="U6005" t="s">
        <v>51974</v>
      </c>
      <c r="W6005" t="s">
        <v>42863</v>
      </c>
      <c r="X6005" t="s">
        <v>44767</v>
      </c>
    </row>
    <row r="6006" spans="1:24">
      <c r="A6006">
        <f>HYPERLINK("https://www.philgeps.gov.ph/GEPSNONPILOT/Tender/SplashBidNoticeAbstractUI.aspx?menuIndex=3&amp;refID=7147146&amp;Result=3","7147146")</f>
        <v>0</v>
      </c>
      <c r="B6006" t="s">
        <v>1831</v>
      </c>
      <c r="C6006" t="s">
        <v>9436</v>
      </c>
      <c r="D6006" t="s">
        <v>18015</v>
      </c>
      <c r="E6006" t="s">
        <v>23358</v>
      </c>
      <c r="F6006" t="s">
        <v>30900</v>
      </c>
      <c r="G6006" t="s">
        <v>30907</v>
      </c>
      <c r="H6006" t="s">
        <v>30916</v>
      </c>
      <c r="I6006" t="s">
        <v>4108</v>
      </c>
      <c r="J6006" t="s">
        <v>31243</v>
      </c>
      <c r="K6006" t="s">
        <v>40289</v>
      </c>
      <c r="M6006" t="s">
        <v>42504</v>
      </c>
      <c r="N6006" t="s">
        <v>44759</v>
      </c>
      <c r="O6006" t="s">
        <v>44760</v>
      </c>
      <c r="P6006">
        <v>0</v>
      </c>
      <c r="Q6006">
        <v>0</v>
      </c>
      <c r="R6006" t="s">
        <v>44766</v>
      </c>
      <c r="S6006" t="s">
        <v>44902</v>
      </c>
      <c r="T6006" t="s">
        <v>46421</v>
      </c>
      <c r="U6006" t="s">
        <v>51116</v>
      </c>
      <c r="V6006" t="s">
        <v>59253</v>
      </c>
      <c r="W6006" t="s">
        <v>42504</v>
      </c>
      <c r="X6006" t="s">
        <v>44767</v>
      </c>
    </row>
    <row r="6007" spans="1:24">
      <c r="A6007">
        <f>HYPERLINK("https://www.philgeps.gov.ph/GEPSNONPILOT/Tender/SplashBidNoticeAbstractUI.aspx?menuIndex=3&amp;refID=7147145&amp;Result=3","7147145")</f>
        <v>0</v>
      </c>
      <c r="B6007" t="s">
        <v>286</v>
      </c>
      <c r="C6007" t="s">
        <v>9437</v>
      </c>
      <c r="D6007" t="s">
        <v>18028</v>
      </c>
      <c r="E6007" t="s">
        <v>23359</v>
      </c>
      <c r="F6007" t="s">
        <v>30900</v>
      </c>
      <c r="G6007" t="s">
        <v>30908</v>
      </c>
      <c r="H6007" t="s">
        <v>30916</v>
      </c>
      <c r="I6007" t="s">
        <v>8123</v>
      </c>
      <c r="J6007" t="s">
        <v>34956</v>
      </c>
      <c r="K6007" t="s">
        <v>40283</v>
      </c>
      <c r="M6007" t="s">
        <v>40834</v>
      </c>
      <c r="N6007" t="s">
        <v>44759</v>
      </c>
      <c r="O6007" t="s">
        <v>44760</v>
      </c>
      <c r="P6007">
        <v>0</v>
      </c>
      <c r="Q6007">
        <v>1</v>
      </c>
      <c r="R6007" t="s">
        <v>44766</v>
      </c>
      <c r="S6007" t="s">
        <v>44902</v>
      </c>
      <c r="T6007" t="s">
        <v>46414</v>
      </c>
      <c r="U6007" t="s">
        <v>51975</v>
      </c>
      <c r="V6007" t="s">
        <v>59782</v>
      </c>
      <c r="W6007" t="s">
        <v>40834</v>
      </c>
      <c r="X6007" t="s">
        <v>44767</v>
      </c>
    </row>
    <row r="6008" spans="1:24">
      <c r="A6008">
        <f>HYPERLINK("https://www.philgeps.gov.ph/GEPSNONPILOT/Tender/SplashBidNoticeAbstractUI.aspx?menuIndex=3&amp;refID=7147144&amp;Result=3","7147144")</f>
        <v>0</v>
      </c>
      <c r="B6008" t="s">
        <v>2159</v>
      </c>
      <c r="C6008" t="s">
        <v>9438</v>
      </c>
      <c r="D6008" t="s">
        <v>18000</v>
      </c>
      <c r="E6008" t="s">
        <v>22268</v>
      </c>
      <c r="F6008" t="s">
        <v>30900</v>
      </c>
      <c r="G6008" t="s">
        <v>30907</v>
      </c>
      <c r="H6008" t="s">
        <v>30916</v>
      </c>
      <c r="I6008" t="s">
        <v>8123</v>
      </c>
      <c r="J6008" t="s">
        <v>34957</v>
      </c>
      <c r="K6008" t="s">
        <v>40283</v>
      </c>
      <c r="M6008" t="s">
        <v>42864</v>
      </c>
      <c r="N6008" t="s">
        <v>44759</v>
      </c>
      <c r="O6008" t="s">
        <v>44760</v>
      </c>
      <c r="P6008">
        <v>0</v>
      </c>
      <c r="Q6008">
        <v>1</v>
      </c>
      <c r="R6008" t="s">
        <v>44766</v>
      </c>
      <c r="S6008" t="s">
        <v>44902</v>
      </c>
      <c r="T6008" t="s">
        <v>46457</v>
      </c>
      <c r="U6008" t="s">
        <v>51976</v>
      </c>
      <c r="W6008" t="s">
        <v>42864</v>
      </c>
      <c r="X6008" t="s">
        <v>44767</v>
      </c>
    </row>
    <row r="6009" spans="1:24">
      <c r="A6009">
        <f>HYPERLINK("https://www.philgeps.gov.ph/GEPSNONPILOT/Tender/SplashBidNoticeAbstractUI.aspx?menuIndex=3&amp;refID=7147100&amp;Result=3","7147100")</f>
        <v>0</v>
      </c>
      <c r="B6009" t="s">
        <v>2119</v>
      </c>
      <c r="C6009" t="s">
        <v>9439</v>
      </c>
      <c r="D6009" t="s">
        <v>18009</v>
      </c>
      <c r="E6009" t="s">
        <v>23360</v>
      </c>
      <c r="F6009" t="s">
        <v>30900</v>
      </c>
      <c r="G6009" t="s">
        <v>30907</v>
      </c>
      <c r="H6009" t="s">
        <v>30915</v>
      </c>
      <c r="I6009" t="s">
        <v>30919</v>
      </c>
      <c r="J6009" t="s">
        <v>31297</v>
      </c>
      <c r="K6009" t="s">
        <v>40322</v>
      </c>
      <c r="M6009" t="s">
        <v>42820</v>
      </c>
      <c r="N6009" t="s">
        <v>44759</v>
      </c>
      <c r="O6009" t="s">
        <v>44760</v>
      </c>
      <c r="P6009">
        <v>0</v>
      </c>
      <c r="Q6009">
        <v>0</v>
      </c>
      <c r="R6009" t="s">
        <v>44766</v>
      </c>
      <c r="S6009" t="s">
        <v>44902</v>
      </c>
      <c r="T6009" t="s">
        <v>46376</v>
      </c>
      <c r="U6009" t="s">
        <v>51977</v>
      </c>
      <c r="W6009" t="s">
        <v>42820</v>
      </c>
      <c r="X6009" t="s">
        <v>44767</v>
      </c>
    </row>
    <row r="6010" spans="1:24">
      <c r="A6010">
        <f>HYPERLINK("https://www.philgeps.gov.ph/GEPSNONPILOT/Tender/SplashBidNoticeAbstractUI.aspx?menuIndex=3&amp;refID=7147125&amp;Result=3","7147125")</f>
        <v>0</v>
      </c>
      <c r="B6010" t="s">
        <v>2160</v>
      </c>
      <c r="C6010" t="s">
        <v>9440</v>
      </c>
      <c r="D6010" t="s">
        <v>18002</v>
      </c>
      <c r="E6010" t="s">
        <v>23361</v>
      </c>
      <c r="F6010" t="s">
        <v>30900</v>
      </c>
      <c r="G6010" t="s">
        <v>30907</v>
      </c>
      <c r="H6010" t="s">
        <v>30916</v>
      </c>
      <c r="I6010" t="s">
        <v>30944</v>
      </c>
      <c r="J6010" t="s">
        <v>34958</v>
      </c>
      <c r="K6010" t="s">
        <v>40289</v>
      </c>
      <c r="M6010" t="s">
        <v>42865</v>
      </c>
      <c r="N6010" t="s">
        <v>44759</v>
      </c>
      <c r="O6010" t="s">
        <v>44760</v>
      </c>
      <c r="P6010">
        <v>0</v>
      </c>
      <c r="Q6010">
        <v>0</v>
      </c>
      <c r="R6010" t="s">
        <v>44766</v>
      </c>
      <c r="S6010" t="s">
        <v>44902</v>
      </c>
      <c r="T6010" t="s">
        <v>46577</v>
      </c>
      <c r="U6010" t="s">
        <v>51978</v>
      </c>
      <c r="W6010" t="s">
        <v>42865</v>
      </c>
      <c r="X6010" t="s">
        <v>44767</v>
      </c>
    </row>
    <row r="6011" spans="1:24">
      <c r="A6011">
        <f>HYPERLINK("https://www.philgeps.gov.ph/GEPSNONPILOT/Tender/SplashBidNoticeAbstractUI.aspx?menuIndex=3&amp;refID=7147141&amp;Result=3","7147141")</f>
        <v>0</v>
      </c>
      <c r="B6011" t="s">
        <v>180</v>
      </c>
      <c r="C6011" t="s">
        <v>9441</v>
      </c>
      <c r="D6011" t="s">
        <v>17987</v>
      </c>
      <c r="E6011" t="s">
        <v>23362</v>
      </c>
      <c r="F6011" t="s">
        <v>30900</v>
      </c>
      <c r="G6011" t="s">
        <v>30907</v>
      </c>
      <c r="H6011" t="s">
        <v>30916</v>
      </c>
      <c r="I6011" t="s">
        <v>8123</v>
      </c>
      <c r="J6011" t="s">
        <v>34959</v>
      </c>
      <c r="K6011" t="s">
        <v>40284</v>
      </c>
      <c r="M6011" t="s">
        <v>40727</v>
      </c>
      <c r="N6011" t="s">
        <v>44759</v>
      </c>
      <c r="O6011" t="s">
        <v>44760</v>
      </c>
      <c r="P6011">
        <v>0</v>
      </c>
      <c r="Q6011">
        <v>0</v>
      </c>
      <c r="R6011" t="s">
        <v>44766</v>
      </c>
      <c r="S6011" t="s">
        <v>44902</v>
      </c>
      <c r="T6011" t="s">
        <v>46409</v>
      </c>
      <c r="U6011" t="s">
        <v>51979</v>
      </c>
      <c r="W6011" t="s">
        <v>40727</v>
      </c>
      <c r="X6011" t="s">
        <v>44767</v>
      </c>
    </row>
    <row r="6012" spans="1:24">
      <c r="A6012">
        <f>HYPERLINK("https://www.philgeps.gov.ph/GEPSNONPILOT/Tender/SplashBidNoticeAbstractUI.aspx?menuIndex=3&amp;refID=7147129&amp;Result=3","7147129")</f>
        <v>0</v>
      </c>
      <c r="B6012" t="s">
        <v>258</v>
      </c>
      <c r="C6012" t="s">
        <v>9442</v>
      </c>
      <c r="D6012" t="s">
        <v>18005</v>
      </c>
      <c r="E6012" t="s">
        <v>23363</v>
      </c>
      <c r="F6012" t="s">
        <v>30900</v>
      </c>
      <c r="G6012" t="s">
        <v>30909</v>
      </c>
      <c r="H6012" t="s">
        <v>30916</v>
      </c>
      <c r="I6012" t="s">
        <v>30923</v>
      </c>
      <c r="J6012" t="s">
        <v>34960</v>
      </c>
      <c r="K6012" t="s">
        <v>40283</v>
      </c>
      <c r="M6012" t="s">
        <v>40805</v>
      </c>
      <c r="N6012" t="s">
        <v>44759</v>
      </c>
      <c r="O6012" t="s">
        <v>44760</v>
      </c>
      <c r="P6012">
        <v>0</v>
      </c>
      <c r="Q6012">
        <v>0</v>
      </c>
      <c r="R6012" t="s">
        <v>44766</v>
      </c>
      <c r="S6012" t="s">
        <v>44902</v>
      </c>
      <c r="T6012" t="s">
        <v>46457</v>
      </c>
      <c r="U6012" t="s">
        <v>51980</v>
      </c>
      <c r="W6012" t="s">
        <v>40805</v>
      </c>
      <c r="X6012" t="s">
        <v>44767</v>
      </c>
    </row>
    <row r="6013" spans="1:24">
      <c r="A6013">
        <f>HYPERLINK("https://www.philgeps.gov.ph/GEPSNONPILOT/Tender/SplashBidNoticeAbstractUI.aspx?menuIndex=3&amp;refID=7147124&amp;Result=3","7147124")</f>
        <v>0</v>
      </c>
      <c r="B6013" t="s">
        <v>2141</v>
      </c>
      <c r="C6013" t="s">
        <v>9443</v>
      </c>
      <c r="D6013" t="s">
        <v>17971</v>
      </c>
      <c r="E6013" t="s">
        <v>23364</v>
      </c>
      <c r="F6013" t="s">
        <v>30900</v>
      </c>
      <c r="G6013" t="s">
        <v>30908</v>
      </c>
      <c r="H6013" t="s">
        <v>30916</v>
      </c>
      <c r="I6013" t="s">
        <v>30956</v>
      </c>
      <c r="J6013" t="s">
        <v>34961</v>
      </c>
      <c r="K6013" t="s">
        <v>40283</v>
      </c>
      <c r="M6013" t="s">
        <v>42843</v>
      </c>
      <c r="N6013" t="s">
        <v>44759</v>
      </c>
      <c r="O6013" t="s">
        <v>44760</v>
      </c>
      <c r="P6013">
        <v>0</v>
      </c>
      <c r="Q6013">
        <v>3</v>
      </c>
      <c r="R6013" t="s">
        <v>44766</v>
      </c>
      <c r="S6013" t="s">
        <v>44902</v>
      </c>
      <c r="T6013" t="s">
        <v>46704</v>
      </c>
      <c r="U6013" t="s">
        <v>51981</v>
      </c>
      <c r="W6013" t="s">
        <v>42843</v>
      </c>
      <c r="X6013" t="s">
        <v>44767</v>
      </c>
    </row>
    <row r="6014" spans="1:24">
      <c r="A6014">
        <f>HYPERLINK("https://www.philgeps.gov.ph/GEPSNONPILOT/Tender/SplashBidNoticeAbstractUI.aspx?menuIndex=3&amp;refID=7147120&amp;Result=3","7147120")</f>
        <v>0</v>
      </c>
      <c r="B6014" t="s">
        <v>2161</v>
      </c>
      <c r="C6014" t="s">
        <v>9444</v>
      </c>
      <c r="D6014" t="s">
        <v>17957</v>
      </c>
      <c r="E6014" t="s">
        <v>23365</v>
      </c>
      <c r="F6014" t="s">
        <v>30900</v>
      </c>
      <c r="G6014" t="s">
        <v>30907</v>
      </c>
      <c r="H6014" t="s">
        <v>30915</v>
      </c>
      <c r="I6014" t="s">
        <v>30919</v>
      </c>
      <c r="J6014" t="s">
        <v>31886</v>
      </c>
      <c r="K6014" t="s">
        <v>40312</v>
      </c>
      <c r="M6014" t="s">
        <v>42866</v>
      </c>
      <c r="N6014" t="s">
        <v>44759</v>
      </c>
      <c r="O6014" t="s">
        <v>44760</v>
      </c>
      <c r="P6014">
        <v>0</v>
      </c>
      <c r="Q6014">
        <v>0</v>
      </c>
      <c r="R6014" t="s">
        <v>44766</v>
      </c>
      <c r="S6014" t="s">
        <v>44902</v>
      </c>
      <c r="T6014" t="s">
        <v>46732</v>
      </c>
      <c r="U6014" t="s">
        <v>51982</v>
      </c>
      <c r="W6014" t="s">
        <v>42866</v>
      </c>
      <c r="X6014" t="s">
        <v>44767</v>
      </c>
    </row>
    <row r="6015" spans="1:24">
      <c r="A6015">
        <f>HYPERLINK("https://www.philgeps.gov.ph/GEPSNONPILOT/Tender/SplashBidNoticeAbstractUI.aspx?menuIndex=3&amp;refID=7147079&amp;Result=3","7147079")</f>
        <v>0</v>
      </c>
      <c r="B6015" t="s">
        <v>2162</v>
      </c>
      <c r="C6015" t="s">
        <v>9445</v>
      </c>
      <c r="D6015" t="s">
        <v>17982</v>
      </c>
      <c r="E6015" t="s">
        <v>18158</v>
      </c>
      <c r="F6015" t="s">
        <v>30900</v>
      </c>
      <c r="G6015" t="s">
        <v>30907</v>
      </c>
      <c r="H6015" t="s">
        <v>30917</v>
      </c>
      <c r="I6015" t="s">
        <v>30919</v>
      </c>
      <c r="J6015" t="s">
        <v>31243</v>
      </c>
      <c r="K6015" t="s">
        <v>40280</v>
      </c>
      <c r="L6015" t="s">
        <v>2162</v>
      </c>
      <c r="M6015" t="s">
        <v>42867</v>
      </c>
      <c r="N6015" t="s">
        <v>44759</v>
      </c>
      <c r="O6015" t="s">
        <v>44760</v>
      </c>
      <c r="P6015">
        <v>0</v>
      </c>
      <c r="Q6015">
        <v>0</v>
      </c>
      <c r="R6015" t="s">
        <v>44766</v>
      </c>
      <c r="S6015" t="s">
        <v>44902</v>
      </c>
      <c r="T6015" t="s">
        <v>46395</v>
      </c>
      <c r="U6015" t="s">
        <v>51983</v>
      </c>
      <c r="W6015" t="s">
        <v>42867</v>
      </c>
      <c r="X6015" t="s">
        <v>44767</v>
      </c>
    </row>
    <row r="6016" spans="1:24">
      <c r="A6016">
        <f>HYPERLINK("https://www.philgeps.gov.ph/GEPSNONPILOT/Tender/SplashBidNoticeAbstractUI.aspx?menuIndex=3&amp;refID=7147115&amp;Result=3","7147115")</f>
        <v>0</v>
      </c>
      <c r="B6016" t="s">
        <v>2163</v>
      </c>
      <c r="C6016" t="s">
        <v>9446</v>
      </c>
      <c r="D6016" t="s">
        <v>17999</v>
      </c>
      <c r="E6016" t="s">
        <v>23366</v>
      </c>
      <c r="F6016" t="s">
        <v>30900</v>
      </c>
      <c r="G6016" t="s">
        <v>30910</v>
      </c>
      <c r="H6016" t="s">
        <v>30916</v>
      </c>
      <c r="I6016" t="s">
        <v>4142</v>
      </c>
      <c r="J6016" t="s">
        <v>34962</v>
      </c>
      <c r="K6016" t="s">
        <v>40286</v>
      </c>
      <c r="M6016" t="s">
        <v>42868</v>
      </c>
      <c r="N6016" t="s">
        <v>44759</v>
      </c>
      <c r="O6016" t="s">
        <v>44760</v>
      </c>
      <c r="P6016">
        <v>0</v>
      </c>
      <c r="Q6016">
        <v>1</v>
      </c>
      <c r="R6016" t="s">
        <v>44766</v>
      </c>
      <c r="S6016" t="s">
        <v>44902</v>
      </c>
      <c r="T6016" t="s">
        <v>46357</v>
      </c>
      <c r="U6016" t="s">
        <v>51984</v>
      </c>
      <c r="W6016" t="s">
        <v>42868</v>
      </c>
      <c r="X6016" t="s">
        <v>44767</v>
      </c>
    </row>
    <row r="6017" spans="1:24">
      <c r="A6017">
        <f>HYPERLINK("https://www.philgeps.gov.ph/GEPSNONPILOT/Tender/SplashBidNoticeAbstractUI.aspx?menuIndex=3&amp;refID=7147114&amp;Result=3","7147114")</f>
        <v>0</v>
      </c>
      <c r="B6017" t="s">
        <v>805</v>
      </c>
      <c r="C6017" t="s">
        <v>9447</v>
      </c>
      <c r="D6017" t="s">
        <v>18006</v>
      </c>
      <c r="E6017" t="s">
        <v>23367</v>
      </c>
      <c r="F6017" t="s">
        <v>30900</v>
      </c>
      <c r="G6017" t="s">
        <v>30907</v>
      </c>
      <c r="H6017" t="s">
        <v>7411</v>
      </c>
      <c r="I6017" t="s">
        <v>7411</v>
      </c>
      <c r="J6017" t="s">
        <v>34963</v>
      </c>
      <c r="K6017" t="s">
        <v>40322</v>
      </c>
      <c r="M6017" t="s">
        <v>41375</v>
      </c>
      <c r="N6017" t="s">
        <v>44759</v>
      </c>
      <c r="O6017" t="s">
        <v>44760</v>
      </c>
      <c r="P6017">
        <v>0</v>
      </c>
      <c r="Q6017">
        <v>5</v>
      </c>
      <c r="R6017" t="s">
        <v>44766</v>
      </c>
      <c r="S6017" t="s">
        <v>44902</v>
      </c>
      <c r="T6017" t="s">
        <v>46456</v>
      </c>
      <c r="U6017" t="s">
        <v>51985</v>
      </c>
      <c r="W6017" t="s">
        <v>41375</v>
      </c>
      <c r="X6017" t="s">
        <v>44767</v>
      </c>
    </row>
    <row r="6018" spans="1:24">
      <c r="A6018">
        <f>HYPERLINK("https://www.philgeps.gov.ph/GEPSNONPILOT/Tender/SplashBidNoticeAbstractUI.aspx?menuIndex=3&amp;refID=7147106&amp;Result=3","7147106")</f>
        <v>0</v>
      </c>
      <c r="B6018" t="s">
        <v>411</v>
      </c>
      <c r="C6018" t="s">
        <v>9448</v>
      </c>
      <c r="D6018" t="s">
        <v>17959</v>
      </c>
      <c r="E6018" t="s">
        <v>23368</v>
      </c>
      <c r="F6018" t="s">
        <v>30900</v>
      </c>
      <c r="G6018" t="s">
        <v>30908</v>
      </c>
      <c r="H6018" t="s">
        <v>30916</v>
      </c>
      <c r="I6018" t="s">
        <v>30921</v>
      </c>
      <c r="J6018" t="s">
        <v>31296</v>
      </c>
      <c r="K6018" t="s">
        <v>40283</v>
      </c>
      <c r="M6018" t="s">
        <v>40967</v>
      </c>
      <c r="N6018" t="s">
        <v>44759</v>
      </c>
      <c r="O6018" t="s">
        <v>44760</v>
      </c>
      <c r="Q6018">
        <v>6</v>
      </c>
      <c r="R6018" t="s">
        <v>44766</v>
      </c>
      <c r="S6018" t="s">
        <v>44915</v>
      </c>
      <c r="T6018" t="s">
        <v>46424</v>
      </c>
      <c r="U6018" t="s">
        <v>51986</v>
      </c>
      <c r="V6018" t="s">
        <v>59783</v>
      </c>
      <c r="W6018" t="s">
        <v>40967</v>
      </c>
      <c r="X6018" t="s">
        <v>44767</v>
      </c>
    </row>
    <row r="6019" spans="1:24">
      <c r="A6019">
        <f>HYPERLINK("https://www.philgeps.gov.ph/GEPSNONPILOT/Tender/SplashBidNoticeAbstractUI.aspx?menuIndex=3&amp;refID=7147142&amp;Result=3","7147142")</f>
        <v>0</v>
      </c>
      <c r="B6019" t="s">
        <v>2096</v>
      </c>
      <c r="C6019" t="s">
        <v>9449</v>
      </c>
      <c r="E6019" t="s">
        <v>23369</v>
      </c>
      <c r="F6019" t="s">
        <v>30900</v>
      </c>
      <c r="G6019" t="s">
        <v>30907</v>
      </c>
      <c r="H6019" t="s">
        <v>30916</v>
      </c>
      <c r="I6019" t="s">
        <v>4108</v>
      </c>
      <c r="J6019" t="s">
        <v>31043</v>
      </c>
      <c r="K6019" t="s">
        <v>40289</v>
      </c>
      <c r="M6019" t="s">
        <v>42795</v>
      </c>
      <c r="N6019" t="s">
        <v>44759</v>
      </c>
      <c r="O6019" t="s">
        <v>44760</v>
      </c>
      <c r="P6019">
        <v>0</v>
      </c>
      <c r="Q6019">
        <v>1</v>
      </c>
      <c r="R6019" t="s">
        <v>44766</v>
      </c>
      <c r="S6019" t="s">
        <v>44902</v>
      </c>
      <c r="T6019" t="s">
        <v>46457</v>
      </c>
      <c r="U6019" t="s">
        <v>51987</v>
      </c>
      <c r="W6019" t="s">
        <v>42795</v>
      </c>
      <c r="X6019" t="s">
        <v>44767</v>
      </c>
    </row>
    <row r="6020" spans="1:24">
      <c r="A6020">
        <f>HYPERLINK("https://www.philgeps.gov.ph/GEPSNONPILOT/Tender/SplashBidNoticeAbstractUI.aspx?menuIndex=3&amp;refID=7147127&amp;Result=3","7147127")</f>
        <v>0</v>
      </c>
      <c r="B6020" t="s">
        <v>2164</v>
      </c>
      <c r="C6020" t="s">
        <v>9450</v>
      </c>
      <c r="D6020" t="s">
        <v>17974</v>
      </c>
      <c r="E6020" t="s">
        <v>23370</v>
      </c>
      <c r="F6020" t="s">
        <v>30900</v>
      </c>
      <c r="G6020" t="s">
        <v>30907</v>
      </c>
      <c r="H6020" t="s">
        <v>30916</v>
      </c>
      <c r="I6020" t="s">
        <v>30942</v>
      </c>
      <c r="J6020" t="s">
        <v>31082</v>
      </c>
      <c r="K6020" t="s">
        <v>40286</v>
      </c>
      <c r="M6020" t="s">
        <v>42869</v>
      </c>
      <c r="N6020" t="s">
        <v>44759</v>
      </c>
      <c r="O6020" t="s">
        <v>44760</v>
      </c>
      <c r="P6020">
        <v>0</v>
      </c>
      <c r="Q6020">
        <v>0</v>
      </c>
      <c r="R6020" t="s">
        <v>44766</v>
      </c>
      <c r="S6020" t="s">
        <v>44902</v>
      </c>
      <c r="T6020" t="s">
        <v>46363</v>
      </c>
      <c r="U6020" t="s">
        <v>51988</v>
      </c>
      <c r="W6020" t="s">
        <v>42869</v>
      </c>
      <c r="X6020" t="s">
        <v>44767</v>
      </c>
    </row>
    <row r="6021" spans="1:24">
      <c r="A6021">
        <f>HYPERLINK("https://www.philgeps.gov.ph/GEPSNONPILOT/Tender/SplashBidNoticeAbstractUI.aspx?menuIndex=3&amp;refID=7147117&amp;Result=3","7147117")</f>
        <v>0</v>
      </c>
      <c r="B6021" t="s">
        <v>380</v>
      </c>
      <c r="C6021" t="s">
        <v>9451</v>
      </c>
      <c r="D6021" t="s">
        <v>18003</v>
      </c>
      <c r="E6021" t="s">
        <v>23371</v>
      </c>
      <c r="F6021" t="s">
        <v>30900</v>
      </c>
      <c r="G6021" t="s">
        <v>30907</v>
      </c>
      <c r="H6021" t="s">
        <v>30916</v>
      </c>
      <c r="I6021" t="s">
        <v>5501</v>
      </c>
      <c r="J6021" t="s">
        <v>34964</v>
      </c>
      <c r="K6021" t="s">
        <v>40294</v>
      </c>
      <c r="M6021" t="s">
        <v>40934</v>
      </c>
      <c r="N6021" t="s">
        <v>44759</v>
      </c>
      <c r="O6021" t="s">
        <v>44760</v>
      </c>
      <c r="P6021">
        <v>0</v>
      </c>
      <c r="Q6021">
        <v>7</v>
      </c>
      <c r="R6021" t="s">
        <v>44766</v>
      </c>
      <c r="S6021" t="s">
        <v>44902</v>
      </c>
      <c r="T6021" t="s">
        <v>46719</v>
      </c>
      <c r="U6021" t="s">
        <v>51829</v>
      </c>
      <c r="W6021" t="s">
        <v>40934</v>
      </c>
      <c r="X6021" t="s">
        <v>44767</v>
      </c>
    </row>
    <row r="6022" spans="1:24">
      <c r="A6022">
        <f>HYPERLINK("https://www.philgeps.gov.ph/GEPSNONPILOT/Tender/SplashBidNoticeAbstractUI.aspx?menuIndex=3&amp;refID=7147076&amp;Result=3","7147076")</f>
        <v>0</v>
      </c>
      <c r="B6022" t="s">
        <v>2165</v>
      </c>
      <c r="C6022" t="s">
        <v>9452</v>
      </c>
      <c r="D6022" t="s">
        <v>17995</v>
      </c>
      <c r="E6022" t="s">
        <v>23372</v>
      </c>
      <c r="F6022" t="s">
        <v>30900</v>
      </c>
      <c r="G6022" t="s">
        <v>30907</v>
      </c>
      <c r="H6022" t="s">
        <v>30916</v>
      </c>
      <c r="I6022" t="s">
        <v>8123</v>
      </c>
      <c r="J6022" t="s">
        <v>34965</v>
      </c>
      <c r="K6022" t="s">
        <v>40286</v>
      </c>
      <c r="M6022" t="s">
        <v>42870</v>
      </c>
      <c r="N6022" t="s">
        <v>44759</v>
      </c>
      <c r="O6022" t="s">
        <v>44760</v>
      </c>
      <c r="P6022">
        <v>0</v>
      </c>
      <c r="Q6022">
        <v>0</v>
      </c>
      <c r="R6022" t="s">
        <v>44766</v>
      </c>
      <c r="S6022" t="s">
        <v>44902</v>
      </c>
      <c r="T6022" t="s">
        <v>46497</v>
      </c>
      <c r="U6022" t="s">
        <v>51989</v>
      </c>
      <c r="W6022" t="s">
        <v>42870</v>
      </c>
      <c r="X6022" t="s">
        <v>44767</v>
      </c>
    </row>
    <row r="6023" spans="1:24">
      <c r="A6023">
        <f>HYPERLINK("https://www.philgeps.gov.ph/GEPSNONPILOT/Tender/SplashBidNoticeAbstractUI.aspx?menuIndex=3&amp;refID=7147149&amp;Result=3","7147149")</f>
        <v>0</v>
      </c>
      <c r="B6023" t="s">
        <v>2151</v>
      </c>
      <c r="C6023" t="s">
        <v>9453</v>
      </c>
      <c r="D6023" t="s">
        <v>18017</v>
      </c>
      <c r="E6023" t="s">
        <v>20646</v>
      </c>
      <c r="F6023" t="s">
        <v>30900</v>
      </c>
      <c r="G6023" t="s">
        <v>30907</v>
      </c>
      <c r="H6023" t="s">
        <v>30915</v>
      </c>
      <c r="I6023" t="s">
        <v>30919</v>
      </c>
      <c r="J6023" t="s">
        <v>34966</v>
      </c>
      <c r="K6023" t="s">
        <v>40423</v>
      </c>
      <c r="M6023" t="s">
        <v>42855</v>
      </c>
      <c r="N6023" t="s">
        <v>44759</v>
      </c>
      <c r="O6023" t="s">
        <v>44760</v>
      </c>
      <c r="P6023">
        <v>0</v>
      </c>
      <c r="Q6023">
        <v>4</v>
      </c>
      <c r="R6023" t="s">
        <v>44766</v>
      </c>
      <c r="S6023" t="s">
        <v>44902</v>
      </c>
      <c r="T6023" t="s">
        <v>46520</v>
      </c>
      <c r="U6023" t="s">
        <v>51990</v>
      </c>
      <c r="W6023" t="s">
        <v>42855</v>
      </c>
      <c r="X6023" t="s">
        <v>44767</v>
      </c>
    </row>
    <row r="6024" spans="1:24">
      <c r="A6024">
        <f>HYPERLINK("https://www.philgeps.gov.ph/GEPSNONPILOT/Tender/SplashBidNoticeAbstractUI.aspx?menuIndex=3&amp;refID=7147171&amp;Result=3","7147171")</f>
        <v>0</v>
      </c>
      <c r="B6024" t="s">
        <v>788</v>
      </c>
      <c r="C6024" t="s">
        <v>9454</v>
      </c>
      <c r="D6024" t="s">
        <v>17959</v>
      </c>
      <c r="E6024" t="s">
        <v>23373</v>
      </c>
      <c r="F6024" t="s">
        <v>30900</v>
      </c>
      <c r="G6024" t="s">
        <v>30908</v>
      </c>
      <c r="H6024" t="s">
        <v>30916</v>
      </c>
      <c r="I6024" t="s">
        <v>6746</v>
      </c>
      <c r="J6024" t="s">
        <v>31495</v>
      </c>
      <c r="K6024" t="s">
        <v>40289</v>
      </c>
      <c r="M6024" t="s">
        <v>42807</v>
      </c>
      <c r="N6024" t="s">
        <v>44759</v>
      </c>
      <c r="O6024" t="s">
        <v>44760</v>
      </c>
      <c r="P6024">
        <v>0</v>
      </c>
      <c r="Q6024">
        <v>1</v>
      </c>
      <c r="R6024" t="s">
        <v>44766</v>
      </c>
      <c r="S6024" t="s">
        <v>44902</v>
      </c>
      <c r="T6024" t="s">
        <v>46531</v>
      </c>
      <c r="U6024" t="s">
        <v>51858</v>
      </c>
      <c r="V6024" t="s">
        <v>59784</v>
      </c>
      <c r="W6024" t="s">
        <v>42807</v>
      </c>
      <c r="X6024" t="s">
        <v>44767</v>
      </c>
    </row>
    <row r="6025" spans="1:24">
      <c r="A6025">
        <f>HYPERLINK("https://www.philgeps.gov.ph/GEPSNONPILOT/Tender/SplashBidNoticeAbstractUI.aspx?menuIndex=3&amp;refID=7147161&amp;Result=3","7147161")</f>
        <v>0</v>
      </c>
      <c r="B6025" t="s">
        <v>230</v>
      </c>
      <c r="C6025" t="s">
        <v>9455</v>
      </c>
      <c r="D6025" t="s">
        <v>18019</v>
      </c>
      <c r="E6025" t="s">
        <v>23299</v>
      </c>
      <c r="F6025" t="s">
        <v>30900</v>
      </c>
      <c r="G6025" t="s">
        <v>30909</v>
      </c>
      <c r="H6025" t="s">
        <v>30916</v>
      </c>
      <c r="I6025" t="s">
        <v>30938</v>
      </c>
      <c r="J6025" t="s">
        <v>32664</v>
      </c>
      <c r="K6025" t="s">
        <v>40333</v>
      </c>
      <c r="M6025" t="s">
        <v>40777</v>
      </c>
      <c r="N6025" t="s">
        <v>44759</v>
      </c>
      <c r="O6025" t="s">
        <v>44760</v>
      </c>
      <c r="P6025">
        <v>0</v>
      </c>
      <c r="Q6025">
        <v>1</v>
      </c>
      <c r="R6025" t="s">
        <v>44766</v>
      </c>
      <c r="S6025" t="s">
        <v>44902</v>
      </c>
      <c r="T6025" t="s">
        <v>46623</v>
      </c>
      <c r="U6025" t="s">
        <v>51991</v>
      </c>
      <c r="W6025" t="s">
        <v>40777</v>
      </c>
      <c r="X6025" t="s">
        <v>44767</v>
      </c>
    </row>
    <row r="6026" spans="1:24">
      <c r="A6026">
        <f>HYPERLINK("https://www.philgeps.gov.ph/GEPSNONPILOT/Tender/SplashBidNoticeAbstractUI.aspx?menuIndex=3&amp;refID=7147160&amp;Result=3","7147160")</f>
        <v>0</v>
      </c>
      <c r="B6026" t="s">
        <v>2116</v>
      </c>
      <c r="C6026" t="s">
        <v>9456</v>
      </c>
      <c r="D6026" t="s">
        <v>18007</v>
      </c>
      <c r="E6026" t="s">
        <v>23374</v>
      </c>
      <c r="F6026" t="s">
        <v>30900</v>
      </c>
      <c r="G6026" t="s">
        <v>30911</v>
      </c>
      <c r="H6026" t="s">
        <v>7411</v>
      </c>
      <c r="I6026" t="s">
        <v>7411</v>
      </c>
      <c r="J6026" t="s">
        <v>32199</v>
      </c>
      <c r="K6026" t="s">
        <v>40335</v>
      </c>
      <c r="M6026" t="s">
        <v>42817</v>
      </c>
      <c r="N6026" t="s">
        <v>44759</v>
      </c>
      <c r="O6026" t="s">
        <v>44760</v>
      </c>
      <c r="P6026">
        <v>0</v>
      </c>
      <c r="Q6026">
        <v>0</v>
      </c>
      <c r="R6026" t="s">
        <v>44766</v>
      </c>
      <c r="S6026" t="s">
        <v>44902</v>
      </c>
      <c r="T6026" t="s">
        <v>46455</v>
      </c>
      <c r="U6026" t="s">
        <v>51992</v>
      </c>
      <c r="W6026" t="s">
        <v>42817</v>
      </c>
      <c r="X6026" t="s">
        <v>44767</v>
      </c>
    </row>
    <row r="6027" spans="1:24">
      <c r="A6027">
        <f>HYPERLINK("https://www.philgeps.gov.ph/GEPSNONPILOT/Tender/SplashBidNoticeAbstractUI.aspx?menuIndex=3&amp;refID=7147157&amp;Result=3","7147157")</f>
        <v>0</v>
      </c>
      <c r="B6027" t="s">
        <v>2166</v>
      </c>
      <c r="C6027" t="s">
        <v>9457</v>
      </c>
      <c r="D6027" t="s">
        <v>18002</v>
      </c>
      <c r="E6027" t="s">
        <v>23375</v>
      </c>
      <c r="F6027" t="s">
        <v>30900</v>
      </c>
      <c r="G6027" t="s">
        <v>30909</v>
      </c>
      <c r="H6027" t="s">
        <v>30916</v>
      </c>
      <c r="I6027" t="s">
        <v>10847</v>
      </c>
      <c r="J6027" t="s">
        <v>34967</v>
      </c>
      <c r="K6027" t="s">
        <v>40287</v>
      </c>
      <c r="M6027" t="s">
        <v>42871</v>
      </c>
      <c r="N6027" t="s">
        <v>44759</v>
      </c>
      <c r="O6027" t="s">
        <v>44760</v>
      </c>
      <c r="P6027">
        <v>0</v>
      </c>
      <c r="Q6027">
        <v>0</v>
      </c>
      <c r="R6027" t="s">
        <v>44766</v>
      </c>
      <c r="S6027" t="s">
        <v>44902</v>
      </c>
      <c r="T6027" t="s">
        <v>46376</v>
      </c>
      <c r="U6027" t="s">
        <v>51993</v>
      </c>
      <c r="W6027" t="s">
        <v>60882</v>
      </c>
      <c r="X6027" t="s">
        <v>44767</v>
      </c>
    </row>
    <row r="6028" spans="1:24">
      <c r="A6028">
        <f>HYPERLINK("https://www.philgeps.gov.ph/GEPSNONPILOT/Tender/SplashBidNoticeAbstractUI.aspx?menuIndex=3&amp;refID=7147150&amp;Result=3","7147150")</f>
        <v>0</v>
      </c>
      <c r="B6028" t="s">
        <v>58</v>
      </c>
      <c r="C6028" t="s">
        <v>8278</v>
      </c>
      <c r="D6028" t="s">
        <v>17977</v>
      </c>
      <c r="E6028" t="s">
        <v>23376</v>
      </c>
      <c r="F6028" t="s">
        <v>30900</v>
      </c>
      <c r="G6028" t="s">
        <v>30910</v>
      </c>
      <c r="H6028" t="s">
        <v>30916</v>
      </c>
      <c r="I6028" t="s">
        <v>4142</v>
      </c>
      <c r="J6028" t="s">
        <v>34968</v>
      </c>
      <c r="K6028" t="s">
        <v>40287</v>
      </c>
      <c r="M6028" t="s">
        <v>40604</v>
      </c>
      <c r="N6028" t="s">
        <v>44759</v>
      </c>
      <c r="O6028" t="s">
        <v>44760</v>
      </c>
      <c r="P6028">
        <v>0</v>
      </c>
      <c r="Q6028">
        <v>1</v>
      </c>
      <c r="R6028" t="s">
        <v>44766</v>
      </c>
      <c r="S6028" t="s">
        <v>44902</v>
      </c>
      <c r="T6028" t="s">
        <v>46625</v>
      </c>
      <c r="U6028" t="s">
        <v>50977</v>
      </c>
      <c r="W6028" t="s">
        <v>60815</v>
      </c>
      <c r="X6028" t="s">
        <v>44767</v>
      </c>
    </row>
    <row r="6029" spans="1:24">
      <c r="A6029">
        <f>HYPERLINK("https://www.philgeps.gov.ph/GEPSNONPILOT/Tender/SplashBidNoticeAbstractUI.aspx?menuIndex=3&amp;refID=7147154&amp;Result=3","7147154")</f>
        <v>0</v>
      </c>
      <c r="B6029" t="s">
        <v>1863</v>
      </c>
      <c r="C6029" t="s">
        <v>9458</v>
      </c>
      <c r="D6029" t="s">
        <v>18013</v>
      </c>
      <c r="E6029" t="s">
        <v>23377</v>
      </c>
      <c r="F6029" t="s">
        <v>30900</v>
      </c>
      <c r="G6029" t="s">
        <v>30907</v>
      </c>
      <c r="H6029" t="s">
        <v>30915</v>
      </c>
      <c r="I6029" t="s">
        <v>30919</v>
      </c>
      <c r="J6029" t="s">
        <v>34969</v>
      </c>
      <c r="K6029" t="s">
        <v>40304</v>
      </c>
      <c r="M6029" t="s">
        <v>42537</v>
      </c>
      <c r="N6029" t="s">
        <v>44759</v>
      </c>
      <c r="O6029" t="s">
        <v>44760</v>
      </c>
      <c r="P6029">
        <v>0</v>
      </c>
      <c r="Q6029">
        <v>1</v>
      </c>
      <c r="R6029" t="s">
        <v>44766</v>
      </c>
      <c r="S6029" t="s">
        <v>44902</v>
      </c>
      <c r="T6029" t="s">
        <v>46455</v>
      </c>
      <c r="U6029" t="s">
        <v>51994</v>
      </c>
      <c r="W6029" t="s">
        <v>42537</v>
      </c>
      <c r="X6029" t="s">
        <v>44767</v>
      </c>
    </row>
    <row r="6030" spans="1:24">
      <c r="A6030">
        <f>HYPERLINK("https://www.philgeps.gov.ph/GEPSNONPILOT/Tender/SplashBidNoticeAbstractUI.aspx?menuIndex=3&amp;refID=7147168&amp;Result=3","7147168")</f>
        <v>0</v>
      </c>
      <c r="B6030" t="s">
        <v>348</v>
      </c>
      <c r="C6030" t="s">
        <v>9459</v>
      </c>
      <c r="D6030" t="s">
        <v>17957</v>
      </c>
      <c r="E6030" t="s">
        <v>23378</v>
      </c>
      <c r="F6030" t="s">
        <v>30900</v>
      </c>
      <c r="G6030" t="s">
        <v>30908</v>
      </c>
      <c r="H6030" t="s">
        <v>30917</v>
      </c>
      <c r="I6030" t="s">
        <v>30955</v>
      </c>
      <c r="J6030" t="s">
        <v>31635</v>
      </c>
      <c r="K6030" t="s">
        <v>40284</v>
      </c>
      <c r="M6030" t="s">
        <v>42325</v>
      </c>
      <c r="N6030" t="s">
        <v>44759</v>
      </c>
      <c r="O6030" t="s">
        <v>44760</v>
      </c>
      <c r="P6030">
        <v>0</v>
      </c>
      <c r="Q6030">
        <v>2</v>
      </c>
      <c r="R6030" t="s">
        <v>44766</v>
      </c>
      <c r="S6030" t="s">
        <v>44902</v>
      </c>
      <c r="T6030" t="s">
        <v>46410</v>
      </c>
      <c r="U6030" t="s">
        <v>51995</v>
      </c>
      <c r="W6030" t="s">
        <v>42325</v>
      </c>
      <c r="X6030" t="s">
        <v>44767</v>
      </c>
    </row>
    <row r="6031" spans="1:24">
      <c r="A6031">
        <f>HYPERLINK("https://www.philgeps.gov.ph/GEPSNONPILOT/Tender/SplashBidNoticeAbstractUI.aspx?menuIndex=3&amp;refID=7147153&amp;Result=3","7147153")</f>
        <v>0</v>
      </c>
      <c r="B6031" t="s">
        <v>2144</v>
      </c>
      <c r="C6031" t="s">
        <v>9460</v>
      </c>
      <c r="D6031" t="s">
        <v>17957</v>
      </c>
      <c r="E6031" t="s">
        <v>23379</v>
      </c>
      <c r="F6031" t="s">
        <v>30900</v>
      </c>
      <c r="G6031" t="s">
        <v>30907</v>
      </c>
      <c r="H6031" t="s">
        <v>30916</v>
      </c>
      <c r="I6031" t="s">
        <v>4142</v>
      </c>
      <c r="J6031" t="s">
        <v>31391</v>
      </c>
      <c r="K6031" t="s">
        <v>40286</v>
      </c>
      <c r="M6031" t="s">
        <v>42847</v>
      </c>
      <c r="N6031" t="s">
        <v>44759</v>
      </c>
      <c r="O6031" t="s">
        <v>44760</v>
      </c>
      <c r="P6031">
        <v>0</v>
      </c>
      <c r="Q6031">
        <v>3</v>
      </c>
      <c r="R6031" t="s">
        <v>44766</v>
      </c>
      <c r="S6031" t="s">
        <v>44902</v>
      </c>
      <c r="T6031" t="s">
        <v>46733</v>
      </c>
      <c r="U6031" t="s">
        <v>51996</v>
      </c>
      <c r="W6031" t="s">
        <v>42847</v>
      </c>
      <c r="X6031" t="s">
        <v>44767</v>
      </c>
    </row>
    <row r="6032" spans="1:24">
      <c r="A6032">
        <f>HYPERLINK("https://www.philgeps.gov.ph/GEPSNONPILOT/Tender/SplashBidNoticeAbstractUI.aspx?menuIndex=3&amp;refID=7147179&amp;Result=3","7147179")</f>
        <v>0</v>
      </c>
      <c r="B6032" t="s">
        <v>1339</v>
      </c>
      <c r="C6032" t="s">
        <v>9461</v>
      </c>
      <c r="D6032" t="s">
        <v>18001</v>
      </c>
      <c r="E6032" t="s">
        <v>23380</v>
      </c>
      <c r="F6032" t="s">
        <v>30900</v>
      </c>
      <c r="G6032" t="s">
        <v>30907</v>
      </c>
      <c r="H6032" t="s">
        <v>30915</v>
      </c>
      <c r="I6032" t="s">
        <v>30919</v>
      </c>
      <c r="J6032" t="s">
        <v>34970</v>
      </c>
      <c r="K6032" t="s">
        <v>40314</v>
      </c>
      <c r="M6032" t="s">
        <v>41960</v>
      </c>
      <c r="N6032" t="s">
        <v>44759</v>
      </c>
      <c r="O6032" t="s">
        <v>44760</v>
      </c>
      <c r="P6032">
        <v>0</v>
      </c>
      <c r="Q6032">
        <v>0</v>
      </c>
      <c r="R6032" t="s">
        <v>44766</v>
      </c>
      <c r="S6032" t="s">
        <v>44902</v>
      </c>
      <c r="T6032" t="s">
        <v>46457</v>
      </c>
      <c r="U6032" t="s">
        <v>51997</v>
      </c>
      <c r="W6032" t="s">
        <v>41960</v>
      </c>
      <c r="X6032" t="s">
        <v>44767</v>
      </c>
    </row>
    <row r="6033" spans="1:24">
      <c r="A6033">
        <f>HYPERLINK("https://www.philgeps.gov.ph/GEPSNONPILOT/Tender/SplashBidNoticeAbstractUI.aspx?menuIndex=3&amp;refID=7147158&amp;Result=3","7147158")</f>
        <v>0</v>
      </c>
      <c r="B6033" t="s">
        <v>258</v>
      </c>
      <c r="C6033" t="s">
        <v>9462</v>
      </c>
      <c r="D6033" t="s">
        <v>18005</v>
      </c>
      <c r="E6033" t="s">
        <v>23381</v>
      </c>
      <c r="F6033" t="s">
        <v>30900</v>
      </c>
      <c r="G6033" t="s">
        <v>30909</v>
      </c>
      <c r="H6033" t="s">
        <v>30916</v>
      </c>
      <c r="I6033" t="s">
        <v>30923</v>
      </c>
      <c r="J6033" t="s">
        <v>34971</v>
      </c>
      <c r="K6033" t="s">
        <v>40283</v>
      </c>
      <c r="M6033" t="s">
        <v>40805</v>
      </c>
      <c r="N6033" t="s">
        <v>44759</v>
      </c>
      <c r="O6033" t="s">
        <v>44760</v>
      </c>
      <c r="P6033">
        <v>0</v>
      </c>
      <c r="Q6033">
        <v>0</v>
      </c>
      <c r="R6033" t="s">
        <v>44766</v>
      </c>
      <c r="S6033" t="s">
        <v>44902</v>
      </c>
      <c r="T6033" t="s">
        <v>46457</v>
      </c>
      <c r="U6033" t="s">
        <v>51998</v>
      </c>
      <c r="W6033" t="s">
        <v>40805</v>
      </c>
      <c r="X6033" t="s">
        <v>44767</v>
      </c>
    </row>
    <row r="6034" spans="1:24">
      <c r="A6034">
        <f>HYPERLINK("https://www.philgeps.gov.ph/GEPSNONPILOT/Tender/SplashBidNoticeAbstractUI.aspx?menuIndex=3&amp;refID=7147178&amp;Result=3","7147178")</f>
        <v>0</v>
      </c>
      <c r="B6034" t="s">
        <v>841</v>
      </c>
      <c r="C6034" t="s">
        <v>9463</v>
      </c>
      <c r="D6034" t="s">
        <v>17978</v>
      </c>
      <c r="E6034" t="s">
        <v>23382</v>
      </c>
      <c r="F6034" t="s">
        <v>30900</v>
      </c>
      <c r="G6034" t="s">
        <v>30910</v>
      </c>
      <c r="H6034" t="s">
        <v>30916</v>
      </c>
      <c r="I6034" t="s">
        <v>4142</v>
      </c>
      <c r="J6034" t="s">
        <v>34972</v>
      </c>
      <c r="K6034" t="s">
        <v>40283</v>
      </c>
      <c r="M6034" t="s">
        <v>41414</v>
      </c>
      <c r="N6034" t="s">
        <v>44759</v>
      </c>
      <c r="O6034" t="s">
        <v>44760</v>
      </c>
      <c r="P6034">
        <v>0</v>
      </c>
      <c r="Q6034">
        <v>1</v>
      </c>
      <c r="R6034" t="s">
        <v>44766</v>
      </c>
      <c r="S6034" t="s">
        <v>44902</v>
      </c>
      <c r="T6034" t="s">
        <v>46398</v>
      </c>
      <c r="U6034" t="s">
        <v>51999</v>
      </c>
      <c r="W6034" t="s">
        <v>41414</v>
      </c>
      <c r="X6034" t="s">
        <v>44767</v>
      </c>
    </row>
    <row r="6035" spans="1:24">
      <c r="A6035">
        <f>HYPERLINK("https://www.philgeps.gov.ph/GEPSNONPILOT/Tender/SplashBidNoticeAbstractUI.aspx?menuIndex=3&amp;refID=7147174&amp;Result=3","7147174")</f>
        <v>0</v>
      </c>
      <c r="B6035" t="s">
        <v>2157</v>
      </c>
      <c r="C6035" t="s">
        <v>9464</v>
      </c>
      <c r="D6035" t="s">
        <v>17955</v>
      </c>
      <c r="E6035" t="s">
        <v>23383</v>
      </c>
      <c r="F6035" t="s">
        <v>30900</v>
      </c>
      <c r="G6035" t="s">
        <v>30907</v>
      </c>
      <c r="H6035" t="s">
        <v>30915</v>
      </c>
      <c r="I6035" t="s">
        <v>30919</v>
      </c>
      <c r="J6035" t="s">
        <v>32324</v>
      </c>
      <c r="K6035" t="s">
        <v>40407</v>
      </c>
      <c r="M6035" t="s">
        <v>42862</v>
      </c>
      <c r="N6035" t="s">
        <v>44759</v>
      </c>
      <c r="O6035" t="s">
        <v>44760</v>
      </c>
      <c r="P6035">
        <v>0</v>
      </c>
      <c r="Q6035">
        <v>0</v>
      </c>
      <c r="R6035" t="s">
        <v>44766</v>
      </c>
      <c r="S6035" t="s">
        <v>44902</v>
      </c>
      <c r="T6035" t="s">
        <v>46731</v>
      </c>
      <c r="U6035" t="s">
        <v>52000</v>
      </c>
      <c r="W6035" t="s">
        <v>42862</v>
      </c>
      <c r="X6035" t="s">
        <v>44767</v>
      </c>
    </row>
    <row r="6036" spans="1:24">
      <c r="A6036">
        <f>HYPERLINK("https://www.philgeps.gov.ph/GEPSNONPILOT/Tender/SplashBidNoticeAbstractUI.aspx?menuIndex=3&amp;refID=7147173&amp;Result=3","7147173")</f>
        <v>0</v>
      </c>
      <c r="B6036" t="s">
        <v>2167</v>
      </c>
      <c r="C6036" t="s">
        <v>9465</v>
      </c>
      <c r="D6036" t="s">
        <v>17960</v>
      </c>
      <c r="E6036" t="s">
        <v>23384</v>
      </c>
      <c r="F6036" t="s">
        <v>30900</v>
      </c>
      <c r="G6036" t="s">
        <v>30907</v>
      </c>
      <c r="H6036" t="s">
        <v>30916</v>
      </c>
      <c r="I6036" t="s">
        <v>8365</v>
      </c>
      <c r="J6036" t="s">
        <v>34973</v>
      </c>
      <c r="K6036" t="s">
        <v>40283</v>
      </c>
      <c r="M6036" t="s">
        <v>42872</v>
      </c>
      <c r="N6036" t="s">
        <v>44759</v>
      </c>
      <c r="O6036" t="s">
        <v>44760</v>
      </c>
      <c r="P6036">
        <v>0</v>
      </c>
      <c r="Q6036">
        <v>4</v>
      </c>
      <c r="R6036" t="s">
        <v>44766</v>
      </c>
      <c r="S6036" t="s">
        <v>44902</v>
      </c>
      <c r="T6036" t="s">
        <v>46450</v>
      </c>
      <c r="U6036" t="s">
        <v>52001</v>
      </c>
      <c r="W6036" t="s">
        <v>42872</v>
      </c>
      <c r="X6036" t="s">
        <v>44767</v>
      </c>
    </row>
    <row r="6037" spans="1:24">
      <c r="A6037">
        <f>HYPERLINK("https://www.philgeps.gov.ph/GEPSNONPILOT/Tender/SplashBidNoticeAbstractUI.aspx?menuIndex=3&amp;refID=7147152&amp;Result=3","7147152")</f>
        <v>0</v>
      </c>
      <c r="B6037" t="s">
        <v>2168</v>
      </c>
      <c r="C6037" t="s">
        <v>9466</v>
      </c>
      <c r="D6037" t="s">
        <v>17973</v>
      </c>
      <c r="E6037" t="s">
        <v>23385</v>
      </c>
      <c r="F6037" t="s">
        <v>30900</v>
      </c>
      <c r="G6037" t="s">
        <v>30910</v>
      </c>
      <c r="H6037" t="s">
        <v>30916</v>
      </c>
      <c r="I6037" t="s">
        <v>6396</v>
      </c>
      <c r="J6037" t="s">
        <v>34974</v>
      </c>
      <c r="K6037" t="s">
        <v>40284</v>
      </c>
      <c r="M6037" t="s">
        <v>42873</v>
      </c>
      <c r="N6037" t="s">
        <v>44759</v>
      </c>
      <c r="O6037" t="s">
        <v>44760</v>
      </c>
      <c r="P6037">
        <v>0</v>
      </c>
      <c r="Q6037">
        <v>3</v>
      </c>
      <c r="R6037" t="s">
        <v>44766</v>
      </c>
      <c r="S6037" t="s">
        <v>44902</v>
      </c>
      <c r="T6037" t="s">
        <v>46686</v>
      </c>
      <c r="U6037" t="s">
        <v>52002</v>
      </c>
      <c r="V6037" t="s">
        <v>59785</v>
      </c>
      <c r="W6037" t="s">
        <v>42873</v>
      </c>
      <c r="X6037" t="s">
        <v>44767</v>
      </c>
    </row>
    <row r="6038" spans="1:24">
      <c r="A6038">
        <f>HYPERLINK("https://www.philgeps.gov.ph/GEPSNONPILOT/Tender/SplashBidNoticeAbstractUI.aspx?menuIndex=3&amp;refID=7147175&amp;Result=3","7147175")</f>
        <v>0</v>
      </c>
      <c r="B6038" t="s">
        <v>2169</v>
      </c>
      <c r="C6038" t="s">
        <v>9467</v>
      </c>
      <c r="E6038" t="s">
        <v>23386</v>
      </c>
      <c r="F6038" t="s">
        <v>30900</v>
      </c>
      <c r="G6038" t="s">
        <v>30908</v>
      </c>
      <c r="H6038" t="s">
        <v>30916</v>
      </c>
      <c r="I6038" t="s">
        <v>6746</v>
      </c>
      <c r="J6038" t="s">
        <v>31498</v>
      </c>
      <c r="K6038" t="s">
        <v>40284</v>
      </c>
      <c r="M6038" t="s">
        <v>42874</v>
      </c>
      <c r="N6038" t="s">
        <v>44759</v>
      </c>
      <c r="O6038" t="s">
        <v>44760</v>
      </c>
      <c r="P6038">
        <v>0</v>
      </c>
      <c r="Q6038">
        <v>1</v>
      </c>
      <c r="R6038" t="s">
        <v>44766</v>
      </c>
      <c r="S6038" t="s">
        <v>44902</v>
      </c>
      <c r="T6038" t="s">
        <v>46545</v>
      </c>
      <c r="U6038" t="s">
        <v>52003</v>
      </c>
      <c r="W6038" t="s">
        <v>42874</v>
      </c>
      <c r="X6038" t="s">
        <v>44767</v>
      </c>
    </row>
    <row r="6039" spans="1:24">
      <c r="A6039">
        <f>HYPERLINK("https://www.philgeps.gov.ph/GEPSNONPILOT/Tender/SplashBidNoticeAbstractUI.aspx?menuIndex=3&amp;refID=7147207&amp;Result=3","7147207")</f>
        <v>0</v>
      </c>
      <c r="B6039" t="s">
        <v>2150</v>
      </c>
      <c r="C6039" t="s">
        <v>9468</v>
      </c>
      <c r="D6039" t="s">
        <v>17951</v>
      </c>
      <c r="E6039" t="s">
        <v>23387</v>
      </c>
      <c r="F6039" t="s">
        <v>30900</v>
      </c>
      <c r="G6039" t="s">
        <v>30908</v>
      </c>
      <c r="H6039" t="s">
        <v>30916</v>
      </c>
      <c r="I6039" t="s">
        <v>30923</v>
      </c>
      <c r="J6039" t="s">
        <v>34975</v>
      </c>
      <c r="K6039" t="s">
        <v>40291</v>
      </c>
      <c r="M6039" t="s">
        <v>42854</v>
      </c>
      <c r="N6039" t="s">
        <v>44759</v>
      </c>
      <c r="O6039" t="s">
        <v>44760</v>
      </c>
      <c r="P6039">
        <v>0</v>
      </c>
      <c r="Q6039">
        <v>3</v>
      </c>
      <c r="R6039" t="s">
        <v>44766</v>
      </c>
      <c r="S6039" t="s">
        <v>44902</v>
      </c>
      <c r="T6039" t="s">
        <v>46612</v>
      </c>
      <c r="U6039" t="s">
        <v>52004</v>
      </c>
      <c r="W6039" t="s">
        <v>42854</v>
      </c>
      <c r="X6039" t="s">
        <v>44767</v>
      </c>
    </row>
    <row r="6040" spans="1:24">
      <c r="A6040">
        <f>HYPERLINK("https://www.philgeps.gov.ph/GEPSNONPILOT/Tender/SplashBidNoticeAbstractUI.aspx?menuIndex=3&amp;refID=7147186&amp;Result=3","7147186")</f>
        <v>0</v>
      </c>
      <c r="B6040" t="s">
        <v>2141</v>
      </c>
      <c r="C6040" t="s">
        <v>9443</v>
      </c>
      <c r="D6040" t="s">
        <v>17959</v>
      </c>
      <c r="E6040" t="s">
        <v>23388</v>
      </c>
      <c r="F6040" t="s">
        <v>30900</v>
      </c>
      <c r="G6040" t="s">
        <v>30908</v>
      </c>
      <c r="H6040" t="s">
        <v>30916</v>
      </c>
      <c r="I6040" t="s">
        <v>30956</v>
      </c>
      <c r="J6040" t="s">
        <v>31447</v>
      </c>
      <c r="K6040" t="s">
        <v>40283</v>
      </c>
      <c r="M6040" t="s">
        <v>42843</v>
      </c>
      <c r="N6040" t="s">
        <v>44759</v>
      </c>
      <c r="O6040" t="s">
        <v>44760</v>
      </c>
      <c r="P6040">
        <v>0</v>
      </c>
      <c r="Q6040">
        <v>3</v>
      </c>
      <c r="R6040" t="s">
        <v>44766</v>
      </c>
      <c r="S6040" t="s">
        <v>44902</v>
      </c>
      <c r="T6040" t="s">
        <v>46704</v>
      </c>
      <c r="U6040" t="s">
        <v>52005</v>
      </c>
      <c r="W6040" t="s">
        <v>42843</v>
      </c>
      <c r="X6040" t="s">
        <v>44767</v>
      </c>
    </row>
    <row r="6041" spans="1:24">
      <c r="A6041">
        <f>HYPERLINK("https://www.philgeps.gov.ph/GEPSNONPILOT/Tender/SplashBidNoticeAbstractUI.aspx?menuIndex=3&amp;refID=7147205&amp;Result=3","7147205")</f>
        <v>0</v>
      </c>
      <c r="B6041" t="s">
        <v>2170</v>
      </c>
      <c r="C6041" t="s">
        <v>9469</v>
      </c>
      <c r="D6041" t="s">
        <v>18002</v>
      </c>
      <c r="E6041" t="s">
        <v>23389</v>
      </c>
      <c r="F6041" t="s">
        <v>30900</v>
      </c>
      <c r="G6041" t="s">
        <v>30908</v>
      </c>
      <c r="H6041" t="s">
        <v>30916</v>
      </c>
      <c r="I6041" t="s">
        <v>4108</v>
      </c>
      <c r="J6041" t="s">
        <v>34976</v>
      </c>
      <c r="K6041" t="s">
        <v>40287</v>
      </c>
      <c r="M6041" t="s">
        <v>42875</v>
      </c>
      <c r="N6041" t="s">
        <v>44759</v>
      </c>
      <c r="O6041" t="s">
        <v>44760</v>
      </c>
      <c r="P6041">
        <v>0</v>
      </c>
      <c r="Q6041">
        <v>2</v>
      </c>
      <c r="R6041" t="s">
        <v>44766</v>
      </c>
      <c r="S6041" t="s">
        <v>44902</v>
      </c>
      <c r="T6041" t="s">
        <v>46699</v>
      </c>
      <c r="U6041" t="s">
        <v>52006</v>
      </c>
      <c r="W6041" t="s">
        <v>42875</v>
      </c>
      <c r="X6041" t="s">
        <v>44767</v>
      </c>
    </row>
    <row r="6042" spans="1:24">
      <c r="A6042">
        <f>HYPERLINK("https://www.philgeps.gov.ph/GEPSNONPILOT/Tender/SplashBidNoticeAbstractUI.aspx?menuIndex=3&amp;refID=7147204&amp;Result=3","7147204")</f>
        <v>0</v>
      </c>
      <c r="B6042" t="s">
        <v>2171</v>
      </c>
      <c r="C6042" t="s">
        <v>9470</v>
      </c>
      <c r="D6042" t="s">
        <v>17995</v>
      </c>
      <c r="E6042" t="s">
        <v>23390</v>
      </c>
      <c r="F6042" t="s">
        <v>30900</v>
      </c>
      <c r="G6042" t="s">
        <v>30907</v>
      </c>
      <c r="H6042" t="s">
        <v>30916</v>
      </c>
      <c r="I6042" t="s">
        <v>6953</v>
      </c>
      <c r="J6042" t="s">
        <v>31152</v>
      </c>
      <c r="K6042" t="s">
        <v>40289</v>
      </c>
      <c r="L6042" t="s">
        <v>2171</v>
      </c>
      <c r="M6042" t="s">
        <v>42876</v>
      </c>
      <c r="N6042" t="s">
        <v>44759</v>
      </c>
      <c r="O6042" t="s">
        <v>44760</v>
      </c>
      <c r="P6042">
        <v>0</v>
      </c>
      <c r="Q6042">
        <v>0</v>
      </c>
      <c r="R6042" t="s">
        <v>44766</v>
      </c>
      <c r="S6042" t="s">
        <v>44902</v>
      </c>
      <c r="T6042" t="s">
        <v>46410</v>
      </c>
      <c r="U6042" t="s">
        <v>52007</v>
      </c>
      <c r="W6042" t="s">
        <v>42876</v>
      </c>
      <c r="X6042" t="s">
        <v>44767</v>
      </c>
    </row>
    <row r="6043" spans="1:24">
      <c r="A6043">
        <f>HYPERLINK("https://www.philgeps.gov.ph/GEPSNONPILOT/Tender/SplashBidNoticeAbstractUI.aspx?menuIndex=3&amp;refID=7147203&amp;Result=3","7147203")</f>
        <v>0</v>
      </c>
      <c r="B6043" t="s">
        <v>2157</v>
      </c>
      <c r="C6043" t="s">
        <v>9471</v>
      </c>
      <c r="D6043" t="s">
        <v>17955</v>
      </c>
      <c r="E6043" t="s">
        <v>23391</v>
      </c>
      <c r="F6043" t="s">
        <v>30900</v>
      </c>
      <c r="G6043" t="s">
        <v>30907</v>
      </c>
      <c r="H6043" t="s">
        <v>30915</v>
      </c>
      <c r="I6043" t="s">
        <v>30919</v>
      </c>
      <c r="J6043" t="s">
        <v>31297</v>
      </c>
      <c r="K6043" t="s">
        <v>40304</v>
      </c>
      <c r="M6043" t="s">
        <v>42862</v>
      </c>
      <c r="N6043" t="s">
        <v>44759</v>
      </c>
      <c r="O6043" t="s">
        <v>44760</v>
      </c>
      <c r="P6043">
        <v>0</v>
      </c>
      <c r="Q6043">
        <v>0</v>
      </c>
      <c r="R6043" t="s">
        <v>44766</v>
      </c>
      <c r="S6043" t="s">
        <v>44902</v>
      </c>
      <c r="T6043" t="s">
        <v>46734</v>
      </c>
      <c r="U6043" t="s">
        <v>52008</v>
      </c>
      <c r="W6043" t="s">
        <v>42862</v>
      </c>
      <c r="X6043" t="s">
        <v>44767</v>
      </c>
    </row>
    <row r="6044" spans="1:24">
      <c r="A6044">
        <f>HYPERLINK("https://www.philgeps.gov.ph/GEPSNONPILOT/Tender/SplashBidNoticeAbstractUI.aspx?menuIndex=3&amp;refID=7147202&amp;Result=3","7147202")</f>
        <v>0</v>
      </c>
      <c r="B6044" t="s">
        <v>2165</v>
      </c>
      <c r="C6044" t="s">
        <v>9472</v>
      </c>
      <c r="D6044" t="s">
        <v>17995</v>
      </c>
      <c r="E6044" t="s">
        <v>23392</v>
      </c>
      <c r="F6044" t="s">
        <v>30900</v>
      </c>
      <c r="G6044" t="s">
        <v>30907</v>
      </c>
      <c r="H6044" t="s">
        <v>30916</v>
      </c>
      <c r="I6044" t="s">
        <v>8123</v>
      </c>
      <c r="J6044" t="s">
        <v>34977</v>
      </c>
      <c r="K6044" t="s">
        <v>40286</v>
      </c>
      <c r="M6044" t="s">
        <v>42870</v>
      </c>
      <c r="N6044" t="s">
        <v>44759</v>
      </c>
      <c r="O6044" t="s">
        <v>44760</v>
      </c>
      <c r="P6044">
        <v>0</v>
      </c>
      <c r="Q6044">
        <v>0</v>
      </c>
      <c r="R6044" t="s">
        <v>44766</v>
      </c>
      <c r="S6044" t="s">
        <v>44902</v>
      </c>
      <c r="T6044" t="s">
        <v>46497</v>
      </c>
      <c r="U6044" t="s">
        <v>52009</v>
      </c>
      <c r="W6044" t="s">
        <v>42870</v>
      </c>
      <c r="X6044" t="s">
        <v>44767</v>
      </c>
    </row>
    <row r="6045" spans="1:24">
      <c r="A6045">
        <f>HYPERLINK("https://www.philgeps.gov.ph/GEPSNONPILOT/Tender/SplashBidNoticeAbstractUI.aspx?menuIndex=3&amp;refID=7147200&amp;Result=3","7147200")</f>
        <v>0</v>
      </c>
      <c r="B6045" t="s">
        <v>1401</v>
      </c>
      <c r="C6045" t="s">
        <v>9473</v>
      </c>
      <c r="D6045" t="s">
        <v>17982</v>
      </c>
      <c r="E6045" t="s">
        <v>23393</v>
      </c>
      <c r="F6045" t="s">
        <v>30900</v>
      </c>
      <c r="G6045" t="s">
        <v>30907</v>
      </c>
      <c r="H6045" t="s">
        <v>30916</v>
      </c>
      <c r="I6045" t="s">
        <v>30924</v>
      </c>
      <c r="J6045" t="s">
        <v>32437</v>
      </c>
      <c r="K6045" t="s">
        <v>40286</v>
      </c>
      <c r="M6045" t="s">
        <v>42027</v>
      </c>
      <c r="N6045" t="s">
        <v>44759</v>
      </c>
      <c r="O6045" t="s">
        <v>44760</v>
      </c>
      <c r="P6045">
        <v>0</v>
      </c>
      <c r="Q6045">
        <v>1</v>
      </c>
      <c r="R6045" t="s">
        <v>44766</v>
      </c>
      <c r="S6045" t="s">
        <v>44902</v>
      </c>
      <c r="T6045" t="s">
        <v>46357</v>
      </c>
      <c r="U6045" t="s">
        <v>52010</v>
      </c>
      <c r="V6045" t="s">
        <v>59786</v>
      </c>
      <c r="W6045" t="s">
        <v>42027</v>
      </c>
      <c r="X6045" t="s">
        <v>44767</v>
      </c>
    </row>
    <row r="6046" spans="1:24">
      <c r="A6046">
        <f>HYPERLINK("https://www.philgeps.gov.ph/GEPSNONPILOT/Tender/SplashBidNoticeAbstractUI.aspx?menuIndex=3&amp;refID=7147196&amp;Result=3","7147196")</f>
        <v>0</v>
      </c>
      <c r="B6046" t="s">
        <v>2151</v>
      </c>
      <c r="C6046" t="s">
        <v>9474</v>
      </c>
      <c r="D6046" t="s">
        <v>18017</v>
      </c>
      <c r="E6046" t="s">
        <v>18727</v>
      </c>
      <c r="F6046" t="s">
        <v>30900</v>
      </c>
      <c r="G6046" t="s">
        <v>30907</v>
      </c>
      <c r="H6046" t="s">
        <v>30915</v>
      </c>
      <c r="I6046" t="s">
        <v>30919</v>
      </c>
      <c r="J6046" t="s">
        <v>34978</v>
      </c>
      <c r="K6046" t="s">
        <v>40424</v>
      </c>
      <c r="M6046" t="s">
        <v>42855</v>
      </c>
      <c r="N6046" t="s">
        <v>44759</v>
      </c>
      <c r="O6046" t="s">
        <v>44760</v>
      </c>
      <c r="P6046">
        <v>0</v>
      </c>
      <c r="Q6046">
        <v>3</v>
      </c>
      <c r="R6046" t="s">
        <v>44766</v>
      </c>
      <c r="S6046" t="s">
        <v>44902</v>
      </c>
      <c r="T6046" t="s">
        <v>46520</v>
      </c>
      <c r="U6046" t="s">
        <v>51990</v>
      </c>
      <c r="W6046" t="s">
        <v>42855</v>
      </c>
      <c r="X6046" t="s">
        <v>44767</v>
      </c>
    </row>
    <row r="6047" spans="1:24">
      <c r="A6047">
        <f>HYPERLINK("https://www.philgeps.gov.ph/GEPSNONPILOT/Tender/SplashBidNoticeAbstractUI.aspx?menuIndex=3&amp;refID=7147195&amp;Result=3","7147195")</f>
        <v>0</v>
      </c>
      <c r="B6047" t="s">
        <v>2160</v>
      </c>
      <c r="C6047" t="s">
        <v>9475</v>
      </c>
      <c r="D6047" t="s">
        <v>18002</v>
      </c>
      <c r="E6047" t="s">
        <v>23394</v>
      </c>
      <c r="F6047" t="s">
        <v>30900</v>
      </c>
      <c r="G6047" t="s">
        <v>30907</v>
      </c>
      <c r="H6047" t="s">
        <v>30915</v>
      </c>
      <c r="I6047" t="s">
        <v>30919</v>
      </c>
      <c r="J6047" t="s">
        <v>34979</v>
      </c>
      <c r="K6047" t="s">
        <v>40289</v>
      </c>
      <c r="M6047" t="s">
        <v>42865</v>
      </c>
      <c r="N6047" t="s">
        <v>44759</v>
      </c>
      <c r="O6047" t="s">
        <v>44760</v>
      </c>
      <c r="P6047">
        <v>0</v>
      </c>
      <c r="Q6047">
        <v>1</v>
      </c>
      <c r="R6047" t="s">
        <v>44766</v>
      </c>
      <c r="S6047" t="s">
        <v>44902</v>
      </c>
      <c r="T6047" t="s">
        <v>46398</v>
      </c>
      <c r="U6047" t="s">
        <v>52011</v>
      </c>
      <c r="W6047" t="s">
        <v>42865</v>
      </c>
      <c r="X6047" t="s">
        <v>44767</v>
      </c>
    </row>
    <row r="6048" spans="1:24">
      <c r="A6048">
        <f>HYPERLINK("https://www.philgeps.gov.ph/GEPSNONPILOT/Tender/SplashBidNoticeAbstractUI.aspx?menuIndex=3&amp;refID=7147184&amp;Result=3","7147184")</f>
        <v>0</v>
      </c>
      <c r="B6048" t="s">
        <v>2172</v>
      </c>
      <c r="C6048" t="s">
        <v>9476</v>
      </c>
      <c r="D6048" t="s">
        <v>17998</v>
      </c>
      <c r="E6048" t="s">
        <v>23395</v>
      </c>
      <c r="F6048" t="s">
        <v>30900</v>
      </c>
      <c r="G6048" t="s">
        <v>30908</v>
      </c>
      <c r="H6048" t="s">
        <v>30916</v>
      </c>
      <c r="I6048" t="s">
        <v>6953</v>
      </c>
      <c r="J6048" t="s">
        <v>34980</v>
      </c>
      <c r="K6048" t="s">
        <v>40284</v>
      </c>
      <c r="M6048" t="s">
        <v>42877</v>
      </c>
      <c r="N6048" t="s">
        <v>44759</v>
      </c>
      <c r="O6048" t="s">
        <v>44760</v>
      </c>
      <c r="P6048">
        <v>0</v>
      </c>
      <c r="Q6048">
        <v>0</v>
      </c>
      <c r="R6048" t="s">
        <v>44766</v>
      </c>
      <c r="S6048" t="s">
        <v>44902</v>
      </c>
      <c r="T6048" t="s">
        <v>46374</v>
      </c>
      <c r="U6048" t="s">
        <v>52012</v>
      </c>
      <c r="V6048" t="s">
        <v>59787</v>
      </c>
      <c r="W6048" t="s">
        <v>42877</v>
      </c>
      <c r="X6048" t="s">
        <v>44767</v>
      </c>
    </row>
    <row r="6049" spans="1:24">
      <c r="A6049">
        <f>HYPERLINK("https://www.philgeps.gov.ph/GEPSNONPILOT/Tender/SplashBidNoticeAbstractUI.aspx?menuIndex=3&amp;refID=7147194&amp;Result=3","7147194")</f>
        <v>0</v>
      </c>
      <c r="B6049" t="s">
        <v>1668</v>
      </c>
      <c r="C6049" t="s">
        <v>9477</v>
      </c>
      <c r="D6049" t="s">
        <v>17961</v>
      </c>
      <c r="E6049" t="s">
        <v>23396</v>
      </c>
      <c r="F6049" t="s">
        <v>30900</v>
      </c>
      <c r="G6049" t="s">
        <v>30906</v>
      </c>
      <c r="H6049" t="s">
        <v>30916</v>
      </c>
      <c r="I6049" t="s">
        <v>4545</v>
      </c>
      <c r="J6049" t="s">
        <v>34981</v>
      </c>
      <c r="K6049" t="s">
        <v>40286</v>
      </c>
      <c r="M6049" t="s">
        <v>42326</v>
      </c>
      <c r="N6049" t="s">
        <v>44759</v>
      </c>
      <c r="O6049" t="s">
        <v>44760</v>
      </c>
      <c r="P6049">
        <v>0</v>
      </c>
      <c r="Q6049">
        <v>0</v>
      </c>
      <c r="R6049" t="s">
        <v>44766</v>
      </c>
      <c r="S6049" t="s">
        <v>44902</v>
      </c>
      <c r="T6049" t="s">
        <v>46390</v>
      </c>
      <c r="U6049" t="s">
        <v>52013</v>
      </c>
      <c r="V6049" t="s">
        <v>59593</v>
      </c>
      <c r="W6049" t="s">
        <v>42326</v>
      </c>
      <c r="X6049" t="s">
        <v>44767</v>
      </c>
    </row>
    <row r="6050" spans="1:24">
      <c r="A6050">
        <f>HYPERLINK("https://www.philgeps.gov.ph/GEPSNONPILOT/Tender/SplashBidNoticeAbstractUI.aspx?menuIndex=3&amp;refID=7147216&amp;Result=3","7147216")</f>
        <v>0</v>
      </c>
      <c r="B6050" t="s">
        <v>2173</v>
      </c>
      <c r="C6050" t="s">
        <v>9478</v>
      </c>
      <c r="D6050" t="s">
        <v>17955</v>
      </c>
      <c r="E6050" t="s">
        <v>23397</v>
      </c>
      <c r="F6050" t="s">
        <v>30900</v>
      </c>
      <c r="G6050" t="s">
        <v>30908</v>
      </c>
      <c r="H6050" t="s">
        <v>30916</v>
      </c>
      <c r="I6050" t="s">
        <v>30971</v>
      </c>
      <c r="J6050" t="s">
        <v>31958</v>
      </c>
      <c r="K6050" t="s">
        <v>40289</v>
      </c>
      <c r="M6050" t="s">
        <v>42878</v>
      </c>
      <c r="N6050" t="s">
        <v>44759</v>
      </c>
      <c r="O6050" t="s">
        <v>44760</v>
      </c>
      <c r="P6050">
        <v>0</v>
      </c>
      <c r="Q6050">
        <v>4</v>
      </c>
      <c r="R6050" t="s">
        <v>44766</v>
      </c>
      <c r="S6050" t="s">
        <v>44902</v>
      </c>
      <c r="T6050" t="s">
        <v>46533</v>
      </c>
      <c r="U6050" t="s">
        <v>52014</v>
      </c>
      <c r="W6050" t="s">
        <v>42878</v>
      </c>
      <c r="X6050" t="s">
        <v>44767</v>
      </c>
    </row>
    <row r="6051" spans="1:24">
      <c r="A6051">
        <f>HYPERLINK("https://www.philgeps.gov.ph/GEPSNONPILOT/Tender/SplashBidNoticeAbstractUI.aspx?menuIndex=3&amp;refID=7147165&amp;Result=3","7147165")</f>
        <v>0</v>
      </c>
      <c r="B6051" t="s">
        <v>1831</v>
      </c>
      <c r="C6051" t="s">
        <v>9479</v>
      </c>
      <c r="D6051" t="s">
        <v>18015</v>
      </c>
      <c r="E6051" t="s">
        <v>23398</v>
      </c>
      <c r="F6051" t="s">
        <v>30900</v>
      </c>
      <c r="G6051" t="s">
        <v>30907</v>
      </c>
      <c r="H6051" t="s">
        <v>30916</v>
      </c>
      <c r="I6051" t="s">
        <v>4108</v>
      </c>
      <c r="J6051" t="s">
        <v>31096</v>
      </c>
      <c r="K6051" t="s">
        <v>40289</v>
      </c>
      <c r="M6051" t="s">
        <v>42504</v>
      </c>
      <c r="N6051" t="s">
        <v>44759</v>
      </c>
      <c r="O6051" t="s">
        <v>44760</v>
      </c>
      <c r="P6051">
        <v>0</v>
      </c>
      <c r="Q6051">
        <v>1</v>
      </c>
      <c r="R6051" t="s">
        <v>44766</v>
      </c>
      <c r="S6051" t="s">
        <v>44902</v>
      </c>
      <c r="T6051" t="s">
        <v>46363</v>
      </c>
      <c r="U6051" t="s">
        <v>51116</v>
      </c>
      <c r="V6051" t="s">
        <v>59253</v>
      </c>
      <c r="W6051" t="s">
        <v>42504</v>
      </c>
      <c r="X6051" t="s">
        <v>44767</v>
      </c>
    </row>
    <row r="6052" spans="1:24">
      <c r="A6052">
        <f>HYPERLINK("https://www.philgeps.gov.ph/GEPSNONPILOT/Tender/SplashBidNoticeAbstractUI.aspx?menuIndex=3&amp;refID=7147209&amp;Result=3","7147209")</f>
        <v>0</v>
      </c>
      <c r="B6052" t="s">
        <v>1202</v>
      </c>
      <c r="C6052" t="s">
        <v>9480</v>
      </c>
      <c r="D6052" t="s">
        <v>17957</v>
      </c>
      <c r="E6052" t="s">
        <v>23399</v>
      </c>
      <c r="F6052" t="s">
        <v>30900</v>
      </c>
      <c r="G6052" t="s">
        <v>30908</v>
      </c>
      <c r="H6052" t="s">
        <v>30916</v>
      </c>
      <c r="I6052" t="s">
        <v>8365</v>
      </c>
      <c r="J6052" t="s">
        <v>32467</v>
      </c>
      <c r="K6052" t="s">
        <v>40287</v>
      </c>
      <c r="M6052" t="s">
        <v>41813</v>
      </c>
      <c r="N6052" t="s">
        <v>44759</v>
      </c>
      <c r="O6052" t="s">
        <v>44760</v>
      </c>
      <c r="P6052">
        <v>0</v>
      </c>
      <c r="Q6052">
        <v>0</v>
      </c>
      <c r="R6052" t="s">
        <v>44766</v>
      </c>
      <c r="S6052" t="s">
        <v>44902</v>
      </c>
      <c r="T6052" t="s">
        <v>46398</v>
      </c>
      <c r="U6052" t="s">
        <v>52015</v>
      </c>
      <c r="W6052" t="s">
        <v>41813</v>
      </c>
      <c r="X6052" t="s">
        <v>44767</v>
      </c>
    </row>
    <row r="6053" spans="1:24">
      <c r="A6053">
        <f>HYPERLINK("https://www.philgeps.gov.ph/GEPSNONPILOT/Tender/SplashBidNoticeAbstractUI.aspx?menuIndex=3&amp;refID=7147187&amp;Result=3","7147187")</f>
        <v>0</v>
      </c>
      <c r="B6053" t="s">
        <v>286</v>
      </c>
      <c r="C6053" t="s">
        <v>9481</v>
      </c>
      <c r="D6053" t="s">
        <v>17966</v>
      </c>
      <c r="E6053" t="s">
        <v>23400</v>
      </c>
      <c r="F6053" t="s">
        <v>30900</v>
      </c>
      <c r="G6053" t="s">
        <v>30908</v>
      </c>
      <c r="H6053" t="s">
        <v>30916</v>
      </c>
      <c r="I6053" t="s">
        <v>8123</v>
      </c>
      <c r="J6053" t="s">
        <v>34982</v>
      </c>
      <c r="K6053" t="s">
        <v>40283</v>
      </c>
      <c r="M6053" t="s">
        <v>40834</v>
      </c>
      <c r="N6053" t="s">
        <v>44759</v>
      </c>
      <c r="O6053" t="s">
        <v>44760</v>
      </c>
      <c r="P6053">
        <v>0</v>
      </c>
      <c r="Q6053">
        <v>0</v>
      </c>
      <c r="R6053" t="s">
        <v>44766</v>
      </c>
      <c r="S6053" t="s">
        <v>44902</v>
      </c>
      <c r="T6053" t="s">
        <v>46414</v>
      </c>
      <c r="U6053" t="s">
        <v>52016</v>
      </c>
      <c r="V6053" t="s">
        <v>59788</v>
      </c>
      <c r="W6053" t="s">
        <v>40834</v>
      </c>
      <c r="X6053" t="s">
        <v>44767</v>
      </c>
    </row>
    <row r="6054" spans="1:24">
      <c r="A6054">
        <f>HYPERLINK("https://www.philgeps.gov.ph/GEPSNONPILOT/Tender/SplashBidNoticeAbstractUI.aspx?menuIndex=3&amp;refID=7147193&amp;Result=3","7147193")</f>
        <v>0</v>
      </c>
      <c r="B6054" t="s">
        <v>258</v>
      </c>
      <c r="C6054" t="s">
        <v>9482</v>
      </c>
      <c r="D6054" t="s">
        <v>18005</v>
      </c>
      <c r="E6054" t="s">
        <v>23401</v>
      </c>
      <c r="F6054" t="s">
        <v>30900</v>
      </c>
      <c r="G6054" t="s">
        <v>30909</v>
      </c>
      <c r="H6054" t="s">
        <v>30916</v>
      </c>
      <c r="I6054" t="s">
        <v>30923</v>
      </c>
      <c r="J6054" t="s">
        <v>34983</v>
      </c>
      <c r="K6054" t="s">
        <v>40283</v>
      </c>
      <c r="M6054" t="s">
        <v>40805</v>
      </c>
      <c r="N6054" t="s">
        <v>44759</v>
      </c>
      <c r="O6054" t="s">
        <v>44760</v>
      </c>
      <c r="P6054">
        <v>0</v>
      </c>
      <c r="Q6054">
        <v>3</v>
      </c>
      <c r="R6054" t="s">
        <v>44766</v>
      </c>
      <c r="S6054" t="s">
        <v>44902</v>
      </c>
      <c r="T6054" t="s">
        <v>46457</v>
      </c>
      <c r="U6054" t="s">
        <v>52017</v>
      </c>
      <c r="W6054" t="s">
        <v>40805</v>
      </c>
      <c r="X6054" t="s">
        <v>44767</v>
      </c>
    </row>
    <row r="6055" spans="1:24">
      <c r="A6055">
        <f>HYPERLINK("https://www.philgeps.gov.ph/GEPSNONPILOT/Tender/SplashBidNoticeAbstractUI.aspx?menuIndex=3&amp;refID=7147215&amp;Result=3","7147215")</f>
        <v>0</v>
      </c>
      <c r="B6055" t="s">
        <v>2174</v>
      </c>
      <c r="C6055" t="s">
        <v>4561</v>
      </c>
      <c r="E6055" t="s">
        <v>21872</v>
      </c>
      <c r="F6055" t="s">
        <v>30900</v>
      </c>
      <c r="G6055" t="s">
        <v>30908</v>
      </c>
      <c r="H6055" t="s">
        <v>30916</v>
      </c>
      <c r="I6055" t="s">
        <v>4061</v>
      </c>
      <c r="J6055" t="s">
        <v>34984</v>
      </c>
      <c r="K6055" t="s">
        <v>40284</v>
      </c>
      <c r="M6055" t="s">
        <v>42879</v>
      </c>
      <c r="N6055" t="s">
        <v>44759</v>
      </c>
      <c r="O6055" t="s">
        <v>44760</v>
      </c>
      <c r="P6055">
        <v>0</v>
      </c>
      <c r="Q6055">
        <v>2</v>
      </c>
      <c r="R6055" t="s">
        <v>44766</v>
      </c>
      <c r="S6055" t="s">
        <v>44902</v>
      </c>
      <c r="T6055" t="s">
        <v>46403</v>
      </c>
      <c r="U6055" t="s">
        <v>52018</v>
      </c>
      <c r="W6055" t="s">
        <v>42879</v>
      </c>
      <c r="X6055" t="s">
        <v>44767</v>
      </c>
    </row>
    <row r="6056" spans="1:24">
      <c r="A6056">
        <f>HYPERLINK("https://www.philgeps.gov.ph/GEPSNONPILOT/Tender/SplashBidNoticeAbstractUI.aspx?menuIndex=3&amp;refID=7147163&amp;Result=3","7147163")</f>
        <v>0</v>
      </c>
      <c r="B6056" t="s">
        <v>2150</v>
      </c>
      <c r="C6056" t="s">
        <v>9483</v>
      </c>
      <c r="D6056" t="s">
        <v>17951</v>
      </c>
      <c r="E6056" t="s">
        <v>23402</v>
      </c>
      <c r="F6056" t="s">
        <v>30900</v>
      </c>
      <c r="G6056" t="s">
        <v>30908</v>
      </c>
      <c r="H6056" t="s">
        <v>30916</v>
      </c>
      <c r="I6056" t="s">
        <v>30933</v>
      </c>
      <c r="J6056" t="s">
        <v>34985</v>
      </c>
      <c r="K6056" t="s">
        <v>40286</v>
      </c>
      <c r="M6056" t="s">
        <v>42854</v>
      </c>
      <c r="N6056" t="s">
        <v>44759</v>
      </c>
      <c r="O6056" t="s">
        <v>44760</v>
      </c>
      <c r="P6056">
        <v>0</v>
      </c>
      <c r="Q6056">
        <v>0</v>
      </c>
      <c r="R6056" t="s">
        <v>44766</v>
      </c>
      <c r="S6056" t="s">
        <v>44902</v>
      </c>
      <c r="T6056" t="s">
        <v>46612</v>
      </c>
      <c r="U6056" t="s">
        <v>52019</v>
      </c>
      <c r="W6056" t="s">
        <v>42854</v>
      </c>
      <c r="X6056" t="s">
        <v>44767</v>
      </c>
    </row>
    <row r="6057" spans="1:24">
      <c r="A6057">
        <f>HYPERLINK("https://www.philgeps.gov.ph/GEPSNONPILOT/Tender/SplashBidNoticeAbstractUI.aspx?menuIndex=3&amp;refID=7147211&amp;Result=3","7147211")</f>
        <v>0</v>
      </c>
      <c r="B6057" t="s">
        <v>380</v>
      </c>
      <c r="C6057" t="s">
        <v>9484</v>
      </c>
      <c r="D6057" t="s">
        <v>18003</v>
      </c>
      <c r="E6057" t="s">
        <v>23403</v>
      </c>
      <c r="F6057" t="s">
        <v>30900</v>
      </c>
      <c r="G6057" t="s">
        <v>30906</v>
      </c>
      <c r="H6057" t="s">
        <v>30916</v>
      </c>
      <c r="I6057" t="s">
        <v>30933</v>
      </c>
      <c r="J6057" t="s">
        <v>31153</v>
      </c>
      <c r="K6057" t="s">
        <v>40294</v>
      </c>
      <c r="M6057" t="s">
        <v>40934</v>
      </c>
      <c r="N6057" t="s">
        <v>44759</v>
      </c>
      <c r="O6057" t="s">
        <v>44760</v>
      </c>
      <c r="P6057">
        <v>0</v>
      </c>
      <c r="Q6057">
        <v>2</v>
      </c>
      <c r="R6057" t="s">
        <v>44766</v>
      </c>
      <c r="S6057" t="s">
        <v>44902</v>
      </c>
      <c r="T6057" t="s">
        <v>46457</v>
      </c>
      <c r="U6057" t="s">
        <v>52020</v>
      </c>
      <c r="W6057" t="s">
        <v>40934</v>
      </c>
      <c r="X6057" t="s">
        <v>44767</v>
      </c>
    </row>
    <row r="6058" spans="1:24">
      <c r="A6058">
        <f>HYPERLINK("https://www.philgeps.gov.ph/GEPSNONPILOT/Tender/SplashBidNoticeAbstractUI.aspx?menuIndex=3&amp;refID=7147220&amp;Result=3","7147220")</f>
        <v>0</v>
      </c>
      <c r="B6058" t="s">
        <v>2175</v>
      </c>
      <c r="C6058" t="s">
        <v>9485</v>
      </c>
      <c r="E6058" t="s">
        <v>23404</v>
      </c>
      <c r="F6058" t="s">
        <v>30900</v>
      </c>
      <c r="G6058" t="s">
        <v>30908</v>
      </c>
      <c r="H6058" t="s">
        <v>30916</v>
      </c>
      <c r="I6058" t="s">
        <v>30919</v>
      </c>
      <c r="J6058" t="s">
        <v>34986</v>
      </c>
      <c r="K6058" t="s">
        <v>40289</v>
      </c>
      <c r="M6058" t="s">
        <v>42880</v>
      </c>
      <c r="N6058" t="s">
        <v>44759</v>
      </c>
      <c r="O6058" t="s">
        <v>44760</v>
      </c>
      <c r="P6058">
        <v>0</v>
      </c>
      <c r="Q6058">
        <v>1</v>
      </c>
      <c r="R6058" t="s">
        <v>44766</v>
      </c>
      <c r="S6058" t="s">
        <v>44902</v>
      </c>
      <c r="T6058" t="s">
        <v>46363</v>
      </c>
      <c r="U6058" t="s">
        <v>52021</v>
      </c>
      <c r="W6058" t="s">
        <v>42880</v>
      </c>
      <c r="X6058" t="s">
        <v>44767</v>
      </c>
    </row>
    <row r="6059" spans="1:24">
      <c r="A6059">
        <f>HYPERLINK("https://www.philgeps.gov.ph/GEPSNONPILOT/Tender/SplashBidNoticeAbstractUI.aspx?menuIndex=3&amp;refID=7147191&amp;Result=3","7147191")</f>
        <v>0</v>
      </c>
      <c r="B6059" t="s">
        <v>1877</v>
      </c>
      <c r="C6059" t="s">
        <v>9486</v>
      </c>
      <c r="D6059" t="s">
        <v>18005</v>
      </c>
      <c r="E6059" t="s">
        <v>20095</v>
      </c>
      <c r="F6059" t="s">
        <v>30900</v>
      </c>
      <c r="G6059" t="s">
        <v>30907</v>
      </c>
      <c r="H6059" t="s">
        <v>30915</v>
      </c>
      <c r="I6059" t="s">
        <v>30932</v>
      </c>
      <c r="J6059" t="s">
        <v>31341</v>
      </c>
      <c r="K6059" t="s">
        <v>40286</v>
      </c>
      <c r="M6059" t="s">
        <v>42551</v>
      </c>
      <c r="N6059" t="s">
        <v>44759</v>
      </c>
      <c r="O6059" t="s">
        <v>44760</v>
      </c>
      <c r="P6059">
        <v>0</v>
      </c>
      <c r="Q6059">
        <v>2</v>
      </c>
      <c r="R6059" t="s">
        <v>44766</v>
      </c>
      <c r="S6059" t="s">
        <v>44902</v>
      </c>
      <c r="T6059" t="s">
        <v>46405</v>
      </c>
      <c r="U6059" t="s">
        <v>52022</v>
      </c>
      <c r="W6059" t="s">
        <v>42551</v>
      </c>
      <c r="X6059" t="s">
        <v>44767</v>
      </c>
    </row>
    <row r="6060" spans="1:24">
      <c r="A6060">
        <f>HYPERLINK("https://www.philgeps.gov.ph/GEPSNONPILOT/Tender/SplashBidNoticeAbstractUI.aspx?menuIndex=3&amp;refID=7147170&amp;Result=3","7147170")</f>
        <v>0</v>
      </c>
      <c r="B6060" t="s">
        <v>768</v>
      </c>
      <c r="C6060" t="s">
        <v>9487</v>
      </c>
      <c r="D6060" t="s">
        <v>17979</v>
      </c>
      <c r="E6060" t="s">
        <v>23405</v>
      </c>
      <c r="F6060" t="s">
        <v>30900</v>
      </c>
      <c r="G6060" t="s">
        <v>30908</v>
      </c>
      <c r="H6060" t="s">
        <v>30916</v>
      </c>
      <c r="I6060" t="s">
        <v>30991</v>
      </c>
      <c r="J6060" t="s">
        <v>34987</v>
      </c>
      <c r="K6060" t="s">
        <v>40286</v>
      </c>
      <c r="M6060" t="s">
        <v>41334</v>
      </c>
      <c r="N6060" t="s">
        <v>44759</v>
      </c>
      <c r="O6060" t="s">
        <v>44760</v>
      </c>
      <c r="P6060">
        <v>0</v>
      </c>
      <c r="Q6060">
        <v>2</v>
      </c>
      <c r="R6060" t="s">
        <v>44766</v>
      </c>
      <c r="S6060" t="s">
        <v>44902</v>
      </c>
      <c r="T6060" t="s">
        <v>46612</v>
      </c>
      <c r="U6060" t="s">
        <v>52023</v>
      </c>
      <c r="W6060" t="s">
        <v>41334</v>
      </c>
      <c r="X6060" t="s">
        <v>44767</v>
      </c>
    </row>
    <row r="6061" spans="1:24">
      <c r="A6061">
        <f>HYPERLINK("https://www.philgeps.gov.ph/GEPSNONPILOT/Tender/SplashBidNoticeAbstractUI.aspx?menuIndex=3&amp;refID=7147240&amp;Result=3","7147240")</f>
        <v>0</v>
      </c>
      <c r="B6061" t="s">
        <v>416</v>
      </c>
      <c r="C6061" t="s">
        <v>9488</v>
      </c>
      <c r="D6061" t="s">
        <v>17976</v>
      </c>
      <c r="E6061" t="s">
        <v>23406</v>
      </c>
      <c r="F6061" t="s">
        <v>30900</v>
      </c>
      <c r="G6061" t="s">
        <v>30907</v>
      </c>
      <c r="H6061" t="s">
        <v>30916</v>
      </c>
      <c r="I6061" t="s">
        <v>30927</v>
      </c>
      <c r="J6061" t="s">
        <v>34988</v>
      </c>
      <c r="K6061" t="s">
        <v>40283</v>
      </c>
      <c r="M6061" t="s">
        <v>40972</v>
      </c>
      <c r="N6061" t="s">
        <v>44759</v>
      </c>
      <c r="O6061" t="s">
        <v>44760</v>
      </c>
      <c r="P6061">
        <v>0</v>
      </c>
      <c r="Q6061">
        <v>1</v>
      </c>
      <c r="R6061" t="s">
        <v>44766</v>
      </c>
      <c r="S6061" t="s">
        <v>44902</v>
      </c>
      <c r="T6061" t="s">
        <v>46363</v>
      </c>
      <c r="U6061" t="s">
        <v>52024</v>
      </c>
      <c r="W6061" t="s">
        <v>40972</v>
      </c>
      <c r="X6061" t="s">
        <v>44767</v>
      </c>
    </row>
    <row r="6062" spans="1:24">
      <c r="A6062">
        <f>HYPERLINK("https://www.philgeps.gov.ph/GEPSNONPILOT/Tender/SplashBidNoticeAbstractUI.aspx?menuIndex=3&amp;refID=7147237&amp;Result=3","7147237")</f>
        <v>0</v>
      </c>
      <c r="B6062" t="s">
        <v>2141</v>
      </c>
      <c r="C6062" t="s">
        <v>9443</v>
      </c>
      <c r="D6062" t="s">
        <v>18005</v>
      </c>
      <c r="E6062" t="s">
        <v>23407</v>
      </c>
      <c r="F6062" t="s">
        <v>30900</v>
      </c>
      <c r="G6062" t="s">
        <v>30908</v>
      </c>
      <c r="H6062" t="s">
        <v>30916</v>
      </c>
      <c r="I6062" t="s">
        <v>30956</v>
      </c>
      <c r="J6062" t="s">
        <v>33503</v>
      </c>
      <c r="K6062" t="s">
        <v>40294</v>
      </c>
      <c r="M6062" t="s">
        <v>42843</v>
      </c>
      <c r="N6062" t="s">
        <v>44759</v>
      </c>
      <c r="O6062" t="s">
        <v>44760</v>
      </c>
      <c r="P6062">
        <v>0</v>
      </c>
      <c r="Q6062">
        <v>2</v>
      </c>
      <c r="R6062" t="s">
        <v>44766</v>
      </c>
      <c r="S6062" t="s">
        <v>44902</v>
      </c>
      <c r="T6062" t="s">
        <v>46704</v>
      </c>
      <c r="U6062" t="s">
        <v>52025</v>
      </c>
      <c r="W6062" t="s">
        <v>42843</v>
      </c>
      <c r="X6062" t="s">
        <v>44767</v>
      </c>
    </row>
    <row r="6063" spans="1:24">
      <c r="A6063">
        <f>HYPERLINK("https://www.philgeps.gov.ph/GEPSNONPILOT/Tender/SplashBidNoticeAbstractUI.aspx?menuIndex=3&amp;refID=7147190&amp;Result=3","7147190")</f>
        <v>0</v>
      </c>
      <c r="B6063" t="s">
        <v>416</v>
      </c>
      <c r="C6063" t="s">
        <v>9489</v>
      </c>
      <c r="D6063" t="s">
        <v>17976</v>
      </c>
      <c r="E6063" t="s">
        <v>23408</v>
      </c>
      <c r="F6063" t="s">
        <v>30900</v>
      </c>
      <c r="G6063" t="s">
        <v>30907</v>
      </c>
      <c r="H6063" t="s">
        <v>30916</v>
      </c>
      <c r="I6063" t="s">
        <v>6953</v>
      </c>
      <c r="J6063" t="s">
        <v>34989</v>
      </c>
      <c r="K6063" t="s">
        <v>40283</v>
      </c>
      <c r="M6063" t="s">
        <v>40972</v>
      </c>
      <c r="N6063" t="s">
        <v>44759</v>
      </c>
      <c r="O6063" t="s">
        <v>44760</v>
      </c>
      <c r="P6063">
        <v>0</v>
      </c>
      <c r="Q6063">
        <v>0</v>
      </c>
      <c r="R6063" t="s">
        <v>44766</v>
      </c>
      <c r="S6063" t="s">
        <v>44902</v>
      </c>
      <c r="T6063" t="s">
        <v>46363</v>
      </c>
      <c r="U6063" t="s">
        <v>52026</v>
      </c>
      <c r="W6063" t="s">
        <v>40972</v>
      </c>
      <c r="X6063" t="s">
        <v>44767</v>
      </c>
    </row>
    <row r="6064" spans="1:24">
      <c r="A6064">
        <f>HYPERLINK("https://www.philgeps.gov.ph/GEPSNONPILOT/Tender/SplashBidNoticeAbstractUI.aspx?menuIndex=3&amp;refID=7147236&amp;Result=3","7147236")</f>
        <v>0</v>
      </c>
      <c r="B6064" t="s">
        <v>2176</v>
      </c>
      <c r="C6064" t="s">
        <v>9490</v>
      </c>
      <c r="D6064" t="s">
        <v>18005</v>
      </c>
      <c r="E6064" t="s">
        <v>18752</v>
      </c>
      <c r="F6064" t="s">
        <v>30900</v>
      </c>
      <c r="G6064" t="s">
        <v>30907</v>
      </c>
      <c r="H6064" t="s">
        <v>30915</v>
      </c>
      <c r="I6064" t="s">
        <v>30971</v>
      </c>
      <c r="J6064" t="s">
        <v>34990</v>
      </c>
      <c r="K6064" t="s">
        <v>40297</v>
      </c>
      <c r="M6064" t="s">
        <v>42881</v>
      </c>
      <c r="N6064" t="s">
        <v>44759</v>
      </c>
      <c r="O6064" t="s">
        <v>44760</v>
      </c>
      <c r="P6064">
        <v>0</v>
      </c>
      <c r="Q6064">
        <v>3</v>
      </c>
      <c r="R6064" t="s">
        <v>44766</v>
      </c>
      <c r="S6064" t="s">
        <v>44902</v>
      </c>
      <c r="T6064" t="s">
        <v>46735</v>
      </c>
      <c r="U6064" t="s">
        <v>52027</v>
      </c>
      <c r="W6064" t="s">
        <v>42881</v>
      </c>
      <c r="X6064" t="s">
        <v>44767</v>
      </c>
    </row>
    <row r="6065" spans="1:24">
      <c r="A6065">
        <f>HYPERLINK("https://www.philgeps.gov.ph/GEPSNONPILOT/Tender/SplashBidNoticeAbstractUI.aspx?menuIndex=3&amp;refID=7147219&amp;Result=3","7147219")</f>
        <v>0</v>
      </c>
      <c r="B6065" t="s">
        <v>107</v>
      </c>
      <c r="C6065" t="s">
        <v>9491</v>
      </c>
      <c r="D6065" t="s">
        <v>17984</v>
      </c>
      <c r="E6065" t="s">
        <v>23409</v>
      </c>
      <c r="F6065" t="s">
        <v>30900</v>
      </c>
      <c r="G6065" t="s">
        <v>30908</v>
      </c>
      <c r="H6065" t="s">
        <v>30916</v>
      </c>
      <c r="I6065" t="s">
        <v>4108</v>
      </c>
      <c r="J6065" t="s">
        <v>34658</v>
      </c>
      <c r="K6065" t="s">
        <v>40289</v>
      </c>
      <c r="L6065" t="s">
        <v>107</v>
      </c>
      <c r="M6065" t="s">
        <v>40654</v>
      </c>
      <c r="N6065" t="s">
        <v>44759</v>
      </c>
      <c r="O6065" t="s">
        <v>44760</v>
      </c>
      <c r="P6065">
        <v>0</v>
      </c>
      <c r="Q6065">
        <v>1</v>
      </c>
      <c r="R6065" t="s">
        <v>44766</v>
      </c>
      <c r="S6065" t="s">
        <v>44902</v>
      </c>
      <c r="T6065" t="s">
        <v>46403</v>
      </c>
      <c r="U6065" t="s">
        <v>47177</v>
      </c>
      <c r="W6065" t="s">
        <v>40654</v>
      </c>
      <c r="X6065" t="s">
        <v>44767</v>
      </c>
    </row>
    <row r="6066" spans="1:24">
      <c r="A6066">
        <f>HYPERLINK("https://www.philgeps.gov.ph/GEPSNONPILOT/Tender/SplashBidNoticeAbstractUI.aspx?menuIndex=3&amp;refID=7147235&amp;Result=3","7147235")</f>
        <v>0</v>
      </c>
      <c r="B6066" t="s">
        <v>660</v>
      </c>
      <c r="C6066" t="s">
        <v>9492</v>
      </c>
      <c r="D6066" t="s">
        <v>17964</v>
      </c>
      <c r="E6066" t="s">
        <v>23410</v>
      </c>
      <c r="F6066" t="s">
        <v>30900</v>
      </c>
      <c r="G6066" t="s">
        <v>30907</v>
      </c>
      <c r="H6066" t="s">
        <v>30915</v>
      </c>
      <c r="I6066" t="s">
        <v>30948</v>
      </c>
      <c r="J6066" t="s">
        <v>34991</v>
      </c>
      <c r="K6066" t="s">
        <v>40289</v>
      </c>
      <c r="M6066" t="s">
        <v>42882</v>
      </c>
      <c r="N6066" t="s">
        <v>44759</v>
      </c>
      <c r="O6066" t="s">
        <v>44760</v>
      </c>
      <c r="P6066">
        <v>0</v>
      </c>
      <c r="Q6066">
        <v>0</v>
      </c>
      <c r="R6066" t="s">
        <v>44766</v>
      </c>
      <c r="S6066" t="s">
        <v>44902</v>
      </c>
      <c r="T6066" t="s">
        <v>46736</v>
      </c>
      <c r="U6066" t="s">
        <v>52028</v>
      </c>
      <c r="V6066" t="s">
        <v>59789</v>
      </c>
      <c r="W6066" t="s">
        <v>41223</v>
      </c>
      <c r="X6066" t="s">
        <v>44767</v>
      </c>
    </row>
    <row r="6067" spans="1:24">
      <c r="A6067">
        <f>HYPERLINK("https://www.philgeps.gov.ph/GEPSNONPILOT/Tender/SplashBidNoticeAbstractUI.aspx?menuIndex=3&amp;refID=7147247&amp;Result=3","7147247")</f>
        <v>0</v>
      </c>
      <c r="B6067" t="s">
        <v>1362</v>
      </c>
      <c r="C6067" t="s">
        <v>9493</v>
      </c>
      <c r="D6067" t="s">
        <v>17993</v>
      </c>
      <c r="E6067" t="s">
        <v>23299</v>
      </c>
      <c r="F6067" t="s">
        <v>30900</v>
      </c>
      <c r="G6067" t="s">
        <v>30909</v>
      </c>
      <c r="H6067" t="s">
        <v>30916</v>
      </c>
      <c r="I6067" t="s">
        <v>30986</v>
      </c>
      <c r="J6067" t="s">
        <v>34992</v>
      </c>
      <c r="K6067" t="s">
        <v>40287</v>
      </c>
      <c r="M6067" t="s">
        <v>41984</v>
      </c>
      <c r="N6067" t="s">
        <v>44759</v>
      </c>
      <c r="O6067" t="s">
        <v>44760</v>
      </c>
      <c r="P6067">
        <v>0</v>
      </c>
      <c r="Q6067">
        <v>6</v>
      </c>
      <c r="R6067" t="s">
        <v>44766</v>
      </c>
      <c r="S6067" t="s">
        <v>44902</v>
      </c>
      <c r="T6067" t="s">
        <v>46396</v>
      </c>
      <c r="U6067" t="s">
        <v>52029</v>
      </c>
      <c r="W6067" t="s">
        <v>41984</v>
      </c>
      <c r="X6067" t="s">
        <v>44767</v>
      </c>
    </row>
    <row r="6068" spans="1:24">
      <c r="A6068">
        <f>HYPERLINK("https://www.philgeps.gov.ph/GEPSNONPILOT/Tender/SplashBidNoticeAbstractUI.aspx?menuIndex=3&amp;refID=7147241&amp;Result=3","7147241")</f>
        <v>0</v>
      </c>
      <c r="B6068" t="s">
        <v>2166</v>
      </c>
      <c r="C6068" t="s">
        <v>9494</v>
      </c>
      <c r="D6068" t="s">
        <v>18002</v>
      </c>
      <c r="E6068" t="s">
        <v>23411</v>
      </c>
      <c r="F6068" t="s">
        <v>30900</v>
      </c>
      <c r="G6068" t="s">
        <v>30909</v>
      </c>
      <c r="H6068" t="s">
        <v>30916</v>
      </c>
      <c r="I6068" t="s">
        <v>30921</v>
      </c>
      <c r="J6068" t="s">
        <v>34993</v>
      </c>
      <c r="K6068" t="s">
        <v>40287</v>
      </c>
      <c r="M6068" t="s">
        <v>42871</v>
      </c>
      <c r="N6068" t="s">
        <v>44759</v>
      </c>
      <c r="O6068" t="s">
        <v>44760</v>
      </c>
      <c r="P6068">
        <v>0</v>
      </c>
      <c r="Q6068">
        <v>1</v>
      </c>
      <c r="R6068" t="s">
        <v>44766</v>
      </c>
      <c r="S6068" t="s">
        <v>44902</v>
      </c>
      <c r="T6068" t="s">
        <v>46376</v>
      </c>
      <c r="U6068" t="s">
        <v>52030</v>
      </c>
      <c r="W6068" t="s">
        <v>60882</v>
      </c>
      <c r="X6068" t="s">
        <v>44767</v>
      </c>
    </row>
    <row r="6069" spans="1:24">
      <c r="A6069">
        <f>HYPERLINK("https://www.philgeps.gov.ph/GEPSNONPILOT/Tender/SplashBidNoticeAbstractUI.aspx?menuIndex=3&amp;refID=7147167&amp;Result=3","7147167")</f>
        <v>0</v>
      </c>
      <c r="B6069" t="s">
        <v>766</v>
      </c>
      <c r="C6069" t="s">
        <v>9495</v>
      </c>
      <c r="D6069" t="s">
        <v>17959</v>
      </c>
      <c r="E6069" t="s">
        <v>23412</v>
      </c>
      <c r="F6069" t="s">
        <v>30900</v>
      </c>
      <c r="G6069" t="s">
        <v>30910</v>
      </c>
      <c r="H6069" t="s">
        <v>30916</v>
      </c>
      <c r="I6069" t="s">
        <v>4454</v>
      </c>
      <c r="J6069" t="s">
        <v>34994</v>
      </c>
      <c r="K6069" t="s">
        <v>40287</v>
      </c>
      <c r="M6069" t="s">
        <v>41332</v>
      </c>
      <c r="N6069" t="s">
        <v>44759</v>
      </c>
      <c r="O6069" t="s">
        <v>44760</v>
      </c>
      <c r="P6069">
        <v>0</v>
      </c>
      <c r="Q6069">
        <v>3</v>
      </c>
      <c r="R6069" t="s">
        <v>44766</v>
      </c>
      <c r="S6069" t="s">
        <v>44902</v>
      </c>
      <c r="T6069" t="s">
        <v>46531</v>
      </c>
      <c r="U6069" t="s">
        <v>52031</v>
      </c>
      <c r="V6069" t="s">
        <v>59298</v>
      </c>
      <c r="W6069" t="s">
        <v>41332</v>
      </c>
      <c r="X6069" t="s">
        <v>44767</v>
      </c>
    </row>
    <row r="6070" spans="1:24">
      <c r="A6070">
        <f>HYPERLINK("https://www.philgeps.gov.ph/GEPSNONPILOT/Tender/SplashBidNoticeAbstractUI.aspx?menuIndex=3&amp;refID=7147243&amp;Result=3","7147243")</f>
        <v>0</v>
      </c>
      <c r="B6070" t="s">
        <v>2150</v>
      </c>
      <c r="C6070" t="s">
        <v>9496</v>
      </c>
      <c r="D6070" t="s">
        <v>17951</v>
      </c>
      <c r="E6070" t="s">
        <v>21805</v>
      </c>
      <c r="F6070" t="s">
        <v>30900</v>
      </c>
      <c r="G6070" t="s">
        <v>30908</v>
      </c>
      <c r="H6070" t="s">
        <v>30916</v>
      </c>
      <c r="I6070" t="s">
        <v>5830</v>
      </c>
      <c r="J6070" t="s">
        <v>34995</v>
      </c>
      <c r="K6070" t="s">
        <v>40291</v>
      </c>
      <c r="M6070" t="s">
        <v>42854</v>
      </c>
      <c r="N6070" t="s">
        <v>44759</v>
      </c>
      <c r="O6070" t="s">
        <v>44760</v>
      </c>
      <c r="P6070">
        <v>0</v>
      </c>
      <c r="Q6070">
        <v>1</v>
      </c>
      <c r="R6070" t="s">
        <v>44766</v>
      </c>
      <c r="S6070" t="s">
        <v>44902</v>
      </c>
      <c r="T6070" t="s">
        <v>46612</v>
      </c>
      <c r="U6070" t="s">
        <v>52032</v>
      </c>
      <c r="W6070" t="s">
        <v>42854</v>
      </c>
      <c r="X6070" t="s">
        <v>44767</v>
      </c>
    </row>
    <row r="6071" spans="1:24">
      <c r="A6071">
        <f>HYPERLINK("https://www.philgeps.gov.ph/GEPSNONPILOT/Tender/SplashBidNoticeAbstractUI.aspx?menuIndex=3&amp;refID=7147189&amp;Result=3","7147189")</f>
        <v>0</v>
      </c>
      <c r="B6071" t="s">
        <v>2166</v>
      </c>
      <c r="C6071" t="s">
        <v>9497</v>
      </c>
      <c r="D6071" t="s">
        <v>18002</v>
      </c>
      <c r="E6071" t="s">
        <v>23413</v>
      </c>
      <c r="F6071" t="s">
        <v>30900</v>
      </c>
      <c r="G6071" t="s">
        <v>30909</v>
      </c>
      <c r="H6071" t="s">
        <v>30916</v>
      </c>
      <c r="I6071" t="s">
        <v>10847</v>
      </c>
      <c r="J6071" t="s">
        <v>34617</v>
      </c>
      <c r="K6071" t="s">
        <v>40331</v>
      </c>
      <c r="M6071" t="s">
        <v>42883</v>
      </c>
      <c r="N6071" t="s">
        <v>44759</v>
      </c>
      <c r="O6071" t="s">
        <v>44760</v>
      </c>
      <c r="P6071">
        <v>0</v>
      </c>
      <c r="Q6071">
        <v>1</v>
      </c>
      <c r="R6071" t="s">
        <v>44766</v>
      </c>
      <c r="S6071" t="s">
        <v>44902</v>
      </c>
      <c r="T6071" t="s">
        <v>46376</v>
      </c>
      <c r="U6071" t="s">
        <v>52033</v>
      </c>
      <c r="W6071" t="s">
        <v>60882</v>
      </c>
      <c r="X6071" t="s">
        <v>44767</v>
      </c>
    </row>
    <row r="6072" spans="1:24">
      <c r="A6072">
        <f>HYPERLINK("https://www.philgeps.gov.ph/GEPSNONPILOT/Tender/SplashBidNoticeAbstractUI.aspx?menuIndex=3&amp;refID=7147234&amp;Result=3","7147234")</f>
        <v>0</v>
      </c>
      <c r="B6072" t="s">
        <v>341</v>
      </c>
      <c r="C6072" t="s">
        <v>9498</v>
      </c>
      <c r="D6072" t="s">
        <v>17951</v>
      </c>
      <c r="E6072" t="s">
        <v>23414</v>
      </c>
      <c r="F6072" t="s">
        <v>30900</v>
      </c>
      <c r="G6072" t="s">
        <v>30907</v>
      </c>
      <c r="H6072" t="s">
        <v>30916</v>
      </c>
      <c r="I6072" t="s">
        <v>6746</v>
      </c>
      <c r="J6072" t="s">
        <v>34996</v>
      </c>
      <c r="K6072" t="s">
        <v>40286</v>
      </c>
      <c r="L6072" t="s">
        <v>341</v>
      </c>
      <c r="M6072" t="s">
        <v>40894</v>
      </c>
      <c r="N6072" t="s">
        <v>44759</v>
      </c>
      <c r="O6072" t="s">
        <v>44760</v>
      </c>
      <c r="P6072">
        <v>0</v>
      </c>
      <c r="Q6072">
        <v>0</v>
      </c>
      <c r="R6072" t="s">
        <v>44766</v>
      </c>
      <c r="S6072" t="s">
        <v>44902</v>
      </c>
      <c r="T6072" t="s">
        <v>46404</v>
      </c>
      <c r="U6072" t="s">
        <v>52034</v>
      </c>
      <c r="V6072" t="s">
        <v>48109</v>
      </c>
      <c r="W6072" t="s">
        <v>40894</v>
      </c>
      <c r="X6072" t="s">
        <v>44767</v>
      </c>
    </row>
    <row r="6073" spans="1:24">
      <c r="A6073">
        <f>HYPERLINK("https://www.philgeps.gov.ph/GEPSNONPILOT/Tender/SplashBidNoticeAbstractUI.aspx?menuIndex=3&amp;refID=7147231&amp;Result=3","7147231")</f>
        <v>0</v>
      </c>
      <c r="B6073" t="s">
        <v>2150</v>
      </c>
      <c r="C6073" t="s">
        <v>9499</v>
      </c>
      <c r="D6073" t="s">
        <v>17951</v>
      </c>
      <c r="E6073" t="s">
        <v>23415</v>
      </c>
      <c r="F6073" t="s">
        <v>30900</v>
      </c>
      <c r="G6073" t="s">
        <v>30908</v>
      </c>
      <c r="H6073" t="s">
        <v>30916</v>
      </c>
      <c r="I6073" t="s">
        <v>4108</v>
      </c>
      <c r="J6073" t="s">
        <v>33314</v>
      </c>
      <c r="K6073" t="s">
        <v>40291</v>
      </c>
      <c r="M6073" t="s">
        <v>42854</v>
      </c>
      <c r="N6073" t="s">
        <v>44759</v>
      </c>
      <c r="O6073" t="s">
        <v>44760</v>
      </c>
      <c r="P6073">
        <v>0</v>
      </c>
      <c r="Q6073">
        <v>0</v>
      </c>
      <c r="R6073" t="s">
        <v>44766</v>
      </c>
      <c r="S6073" t="s">
        <v>44902</v>
      </c>
      <c r="T6073" t="s">
        <v>46612</v>
      </c>
      <c r="U6073" t="s">
        <v>52035</v>
      </c>
      <c r="W6073" t="s">
        <v>42854</v>
      </c>
      <c r="X6073" t="s">
        <v>44767</v>
      </c>
    </row>
    <row r="6074" spans="1:24">
      <c r="A6074">
        <f>HYPERLINK("https://www.philgeps.gov.ph/GEPSNONPILOT/Tender/SplashBidNoticeAbstractUI.aspx?menuIndex=3&amp;refID=7147227&amp;Result=3","7147227")</f>
        <v>0</v>
      </c>
      <c r="B6074" t="s">
        <v>766</v>
      </c>
      <c r="C6074" t="s">
        <v>9500</v>
      </c>
      <c r="D6074" t="s">
        <v>17959</v>
      </c>
      <c r="E6074" t="s">
        <v>23416</v>
      </c>
      <c r="F6074" t="s">
        <v>30900</v>
      </c>
      <c r="G6074" t="s">
        <v>30910</v>
      </c>
      <c r="H6074" t="s">
        <v>30916</v>
      </c>
      <c r="I6074" t="s">
        <v>4545</v>
      </c>
      <c r="J6074" t="s">
        <v>34997</v>
      </c>
      <c r="K6074" t="s">
        <v>40287</v>
      </c>
      <c r="M6074" t="s">
        <v>42844</v>
      </c>
      <c r="N6074" t="s">
        <v>44759</v>
      </c>
      <c r="O6074" t="s">
        <v>44760</v>
      </c>
      <c r="P6074">
        <v>0</v>
      </c>
      <c r="Q6074">
        <v>6</v>
      </c>
      <c r="R6074" t="s">
        <v>44766</v>
      </c>
      <c r="S6074" t="s">
        <v>44902</v>
      </c>
      <c r="T6074" t="s">
        <v>46590</v>
      </c>
      <c r="U6074" t="s">
        <v>52036</v>
      </c>
      <c r="V6074" t="s">
        <v>59773</v>
      </c>
      <c r="W6074" t="s">
        <v>42844</v>
      </c>
      <c r="X6074" t="s">
        <v>44767</v>
      </c>
    </row>
    <row r="6075" spans="1:24">
      <c r="A6075">
        <f>HYPERLINK("https://www.philgeps.gov.ph/GEPSNONPILOT/Tender/SplashBidNoticeAbstractUI.aspx?menuIndex=3&amp;refID=7147225&amp;Result=3","7147225")</f>
        <v>0</v>
      </c>
      <c r="B6075" t="s">
        <v>2177</v>
      </c>
      <c r="C6075" t="s">
        <v>9501</v>
      </c>
      <c r="D6075" t="s">
        <v>17959</v>
      </c>
      <c r="E6075" t="s">
        <v>23417</v>
      </c>
      <c r="F6075" t="s">
        <v>30900</v>
      </c>
      <c r="G6075" t="s">
        <v>30906</v>
      </c>
      <c r="H6075" t="s">
        <v>30916</v>
      </c>
      <c r="I6075" t="s">
        <v>31023</v>
      </c>
      <c r="J6075" t="s">
        <v>34998</v>
      </c>
      <c r="K6075" t="s">
        <v>40287</v>
      </c>
      <c r="M6075" t="s">
        <v>42884</v>
      </c>
      <c r="N6075" t="s">
        <v>44759</v>
      </c>
      <c r="O6075" t="s">
        <v>44760</v>
      </c>
      <c r="Q6075">
        <v>5</v>
      </c>
      <c r="R6075" t="s">
        <v>44766</v>
      </c>
      <c r="S6075" t="s">
        <v>44944</v>
      </c>
      <c r="T6075" t="s">
        <v>46380</v>
      </c>
      <c r="U6075" t="s">
        <v>52037</v>
      </c>
      <c r="W6075" t="s">
        <v>42884</v>
      </c>
      <c r="X6075" t="s">
        <v>44767</v>
      </c>
    </row>
    <row r="6076" spans="1:24">
      <c r="A6076">
        <f>HYPERLINK("https://www.philgeps.gov.ph/GEPSNONPILOT/Tender/SplashBidNoticeAbstractUI.aspx?menuIndex=3&amp;refID=7147223&amp;Result=3","7147223")</f>
        <v>0</v>
      </c>
      <c r="B6076" t="s">
        <v>309</v>
      </c>
      <c r="C6076" t="s">
        <v>9502</v>
      </c>
      <c r="D6076" t="s">
        <v>17995</v>
      </c>
      <c r="E6076" t="s">
        <v>23418</v>
      </c>
      <c r="F6076" t="s">
        <v>30900</v>
      </c>
      <c r="G6076" t="s">
        <v>30908</v>
      </c>
      <c r="H6076" t="s">
        <v>30916</v>
      </c>
      <c r="I6076" t="s">
        <v>30934</v>
      </c>
      <c r="J6076" t="s">
        <v>31585</v>
      </c>
      <c r="K6076" t="s">
        <v>40283</v>
      </c>
      <c r="M6076" t="s">
        <v>40859</v>
      </c>
      <c r="N6076" t="s">
        <v>44759</v>
      </c>
      <c r="O6076" t="s">
        <v>44760</v>
      </c>
      <c r="P6076">
        <v>0</v>
      </c>
      <c r="Q6076">
        <v>0</v>
      </c>
      <c r="R6076" t="s">
        <v>44766</v>
      </c>
      <c r="S6076" t="s">
        <v>44902</v>
      </c>
      <c r="T6076" t="s">
        <v>46531</v>
      </c>
      <c r="U6076" t="s">
        <v>52038</v>
      </c>
      <c r="W6076" t="s">
        <v>40859</v>
      </c>
      <c r="X6076" t="s">
        <v>44767</v>
      </c>
    </row>
    <row r="6077" spans="1:24">
      <c r="A6077">
        <f>HYPERLINK("https://www.philgeps.gov.ph/GEPSNONPILOT/Tender/SplashBidNoticeAbstractUI.aspx?menuIndex=3&amp;refID=7147230&amp;Result=3","7147230")</f>
        <v>0</v>
      </c>
      <c r="B6077" t="s">
        <v>2178</v>
      </c>
      <c r="C6077" t="s">
        <v>9503</v>
      </c>
      <c r="D6077" t="s">
        <v>17963</v>
      </c>
      <c r="E6077" t="s">
        <v>23419</v>
      </c>
      <c r="F6077" t="s">
        <v>30900</v>
      </c>
      <c r="G6077" t="s">
        <v>30909</v>
      </c>
      <c r="H6077" t="s">
        <v>30916</v>
      </c>
      <c r="I6077" t="s">
        <v>30928</v>
      </c>
      <c r="J6077" t="s">
        <v>31581</v>
      </c>
      <c r="K6077" t="s">
        <v>40283</v>
      </c>
      <c r="M6077" t="s">
        <v>42885</v>
      </c>
      <c r="N6077" t="s">
        <v>44759</v>
      </c>
      <c r="O6077" t="s">
        <v>44760</v>
      </c>
      <c r="P6077">
        <v>0</v>
      </c>
      <c r="Q6077">
        <v>0</v>
      </c>
      <c r="R6077" t="s">
        <v>44766</v>
      </c>
      <c r="S6077" t="s">
        <v>44902</v>
      </c>
      <c r="T6077" t="s">
        <v>46399</v>
      </c>
      <c r="U6077" t="s">
        <v>52039</v>
      </c>
      <c r="W6077" t="s">
        <v>42885</v>
      </c>
      <c r="X6077" t="s">
        <v>44767</v>
      </c>
    </row>
    <row r="6078" spans="1:24">
      <c r="A6078">
        <f>HYPERLINK("https://www.philgeps.gov.ph/GEPSNONPILOT/Tender/SplashBidNoticeAbstractUI.aspx?menuIndex=3&amp;refID=7147218&amp;Result=3","7147218")</f>
        <v>0</v>
      </c>
      <c r="B6078" t="s">
        <v>2166</v>
      </c>
      <c r="C6078" t="s">
        <v>9504</v>
      </c>
      <c r="D6078" t="s">
        <v>18002</v>
      </c>
      <c r="E6078" t="s">
        <v>23420</v>
      </c>
      <c r="F6078" t="s">
        <v>30900</v>
      </c>
      <c r="G6078" t="s">
        <v>30909</v>
      </c>
      <c r="H6078" t="s">
        <v>30916</v>
      </c>
      <c r="I6078" t="s">
        <v>10847</v>
      </c>
      <c r="J6078" t="s">
        <v>34999</v>
      </c>
      <c r="K6078" t="s">
        <v>40344</v>
      </c>
      <c r="M6078" t="s">
        <v>42871</v>
      </c>
      <c r="N6078" t="s">
        <v>44759</v>
      </c>
      <c r="O6078" t="s">
        <v>44760</v>
      </c>
      <c r="P6078">
        <v>0</v>
      </c>
      <c r="Q6078">
        <v>0</v>
      </c>
      <c r="R6078" t="s">
        <v>44766</v>
      </c>
      <c r="S6078" t="s">
        <v>44902</v>
      </c>
      <c r="T6078" t="s">
        <v>46376</v>
      </c>
      <c r="U6078" t="s">
        <v>52040</v>
      </c>
      <c r="W6078" t="s">
        <v>60882</v>
      </c>
      <c r="X6078" t="s">
        <v>44767</v>
      </c>
    </row>
    <row r="6079" spans="1:24">
      <c r="A6079">
        <f>HYPERLINK("https://www.philgeps.gov.ph/GEPSNONPILOT/Tender/SplashBidNoticeAbstractUI.aspx?menuIndex=3&amp;refID=7147276&amp;Result=3","7147276")</f>
        <v>0</v>
      </c>
      <c r="B6079" t="s">
        <v>1786</v>
      </c>
      <c r="C6079" t="s">
        <v>9505</v>
      </c>
      <c r="D6079" t="s">
        <v>18025</v>
      </c>
      <c r="E6079" t="s">
        <v>23421</v>
      </c>
      <c r="F6079" t="s">
        <v>30900</v>
      </c>
      <c r="G6079" t="s">
        <v>30909</v>
      </c>
      <c r="H6079" t="s">
        <v>30916</v>
      </c>
      <c r="I6079" t="s">
        <v>10834</v>
      </c>
      <c r="J6079" t="s">
        <v>35000</v>
      </c>
      <c r="K6079" t="s">
        <v>40289</v>
      </c>
      <c r="M6079" t="s">
        <v>42461</v>
      </c>
      <c r="N6079" t="s">
        <v>44759</v>
      </c>
      <c r="O6079" t="s">
        <v>44760</v>
      </c>
      <c r="Q6079">
        <v>6</v>
      </c>
      <c r="R6079" t="s">
        <v>44766</v>
      </c>
      <c r="S6079" t="s">
        <v>44945</v>
      </c>
      <c r="T6079" t="s">
        <v>46379</v>
      </c>
      <c r="U6079" t="s">
        <v>52041</v>
      </c>
      <c r="V6079" t="s">
        <v>59626</v>
      </c>
      <c r="W6079" t="s">
        <v>42461</v>
      </c>
      <c r="X6079" t="s">
        <v>44767</v>
      </c>
    </row>
    <row r="6080" spans="1:24">
      <c r="A6080">
        <f>HYPERLINK("https://www.philgeps.gov.ph/GEPSNONPILOT/Tender/SplashBidNoticeAbstractUI.aspx?menuIndex=3&amp;refID=7147251&amp;Result=3","7147251")</f>
        <v>0</v>
      </c>
      <c r="B6080" t="s">
        <v>179</v>
      </c>
      <c r="C6080" t="s">
        <v>9506</v>
      </c>
      <c r="D6080" t="s">
        <v>17953</v>
      </c>
      <c r="E6080" t="s">
        <v>23422</v>
      </c>
      <c r="F6080" t="s">
        <v>30900</v>
      </c>
      <c r="G6080" t="s">
        <v>30907</v>
      </c>
      <c r="H6080" t="s">
        <v>30915</v>
      </c>
      <c r="I6080" t="s">
        <v>30919</v>
      </c>
      <c r="J6080" t="s">
        <v>35001</v>
      </c>
      <c r="K6080" t="s">
        <v>40280</v>
      </c>
      <c r="M6080" t="s">
        <v>40726</v>
      </c>
      <c r="N6080" t="s">
        <v>44759</v>
      </c>
      <c r="O6080" t="s">
        <v>44760</v>
      </c>
      <c r="P6080">
        <v>0</v>
      </c>
      <c r="Q6080">
        <v>0</v>
      </c>
      <c r="R6080" t="s">
        <v>44766</v>
      </c>
      <c r="S6080" t="s">
        <v>44902</v>
      </c>
      <c r="T6080" t="s">
        <v>46409</v>
      </c>
      <c r="U6080" t="s">
        <v>52042</v>
      </c>
      <c r="W6080" t="s">
        <v>40726</v>
      </c>
      <c r="X6080" t="s">
        <v>44767</v>
      </c>
    </row>
    <row r="6081" spans="1:24">
      <c r="A6081">
        <f>HYPERLINK("https://www.philgeps.gov.ph/GEPSNONPILOT/Tender/SplashBidNoticeAbstractUI.aspx?menuIndex=3&amp;refID=7147221&amp;Result=3","7147221")</f>
        <v>0</v>
      </c>
      <c r="B6081" t="s">
        <v>2179</v>
      </c>
      <c r="C6081" t="s">
        <v>9507</v>
      </c>
      <c r="D6081" t="s">
        <v>17973</v>
      </c>
      <c r="E6081" t="s">
        <v>23423</v>
      </c>
      <c r="F6081" t="s">
        <v>30900</v>
      </c>
      <c r="G6081" t="s">
        <v>30907</v>
      </c>
      <c r="H6081" t="s">
        <v>30916</v>
      </c>
      <c r="I6081" t="s">
        <v>10847</v>
      </c>
      <c r="J6081" t="s">
        <v>35002</v>
      </c>
      <c r="K6081" t="s">
        <v>40303</v>
      </c>
      <c r="M6081" t="s">
        <v>42886</v>
      </c>
      <c r="N6081" t="s">
        <v>44759</v>
      </c>
      <c r="O6081" t="s">
        <v>44760</v>
      </c>
      <c r="P6081">
        <v>0</v>
      </c>
      <c r="Q6081">
        <v>3</v>
      </c>
      <c r="R6081" t="s">
        <v>44766</v>
      </c>
      <c r="S6081" t="s">
        <v>44902</v>
      </c>
      <c r="T6081" t="s">
        <v>46465</v>
      </c>
      <c r="U6081" t="s">
        <v>52043</v>
      </c>
      <c r="W6081" t="s">
        <v>42886</v>
      </c>
      <c r="X6081" t="s">
        <v>44767</v>
      </c>
    </row>
    <row r="6082" spans="1:24">
      <c r="A6082">
        <f>HYPERLINK("https://www.philgeps.gov.ph/GEPSNONPILOT/Tender/SplashBidNoticeAbstractUI.aspx?menuIndex=3&amp;refID=7147272&amp;Result=3","7147272")</f>
        <v>0</v>
      </c>
      <c r="B6082" t="s">
        <v>2151</v>
      </c>
      <c r="C6082" t="s">
        <v>9508</v>
      </c>
      <c r="D6082" t="s">
        <v>17978</v>
      </c>
      <c r="E6082" t="s">
        <v>20657</v>
      </c>
      <c r="F6082" t="s">
        <v>30900</v>
      </c>
      <c r="G6082" t="s">
        <v>30907</v>
      </c>
      <c r="H6082" t="s">
        <v>30915</v>
      </c>
      <c r="I6082" t="s">
        <v>30919</v>
      </c>
      <c r="J6082" t="s">
        <v>35003</v>
      </c>
      <c r="K6082" t="s">
        <v>40425</v>
      </c>
      <c r="M6082" t="s">
        <v>42855</v>
      </c>
      <c r="N6082" t="s">
        <v>44759</v>
      </c>
      <c r="O6082" t="s">
        <v>44760</v>
      </c>
      <c r="P6082">
        <v>0</v>
      </c>
      <c r="Q6082">
        <v>2</v>
      </c>
      <c r="R6082" t="s">
        <v>44766</v>
      </c>
      <c r="S6082" t="s">
        <v>44902</v>
      </c>
      <c r="T6082" t="s">
        <v>46520</v>
      </c>
      <c r="U6082" t="s">
        <v>51990</v>
      </c>
      <c r="W6082" t="s">
        <v>42855</v>
      </c>
      <c r="X6082" t="s">
        <v>44767</v>
      </c>
    </row>
    <row r="6083" spans="1:24">
      <c r="A6083">
        <f>HYPERLINK("https://www.philgeps.gov.ph/GEPSNONPILOT/Tender/SplashBidNoticeAbstractUI.aspx?menuIndex=3&amp;refID=7147270&amp;Result=3","7147270")</f>
        <v>0</v>
      </c>
      <c r="B6083" t="s">
        <v>766</v>
      </c>
      <c r="C6083" t="s">
        <v>9509</v>
      </c>
      <c r="D6083" t="s">
        <v>17959</v>
      </c>
      <c r="E6083" t="s">
        <v>23424</v>
      </c>
      <c r="F6083" t="s">
        <v>30900</v>
      </c>
      <c r="G6083" t="s">
        <v>30910</v>
      </c>
      <c r="H6083" t="s">
        <v>30916</v>
      </c>
      <c r="I6083" t="s">
        <v>4108</v>
      </c>
      <c r="J6083" t="s">
        <v>32102</v>
      </c>
      <c r="K6083" t="s">
        <v>40287</v>
      </c>
      <c r="M6083" t="s">
        <v>41332</v>
      </c>
      <c r="N6083" t="s">
        <v>44759</v>
      </c>
      <c r="O6083" t="s">
        <v>44760</v>
      </c>
      <c r="P6083">
        <v>0</v>
      </c>
      <c r="Q6083">
        <v>4</v>
      </c>
      <c r="R6083" t="s">
        <v>44766</v>
      </c>
      <c r="S6083" t="s">
        <v>44902</v>
      </c>
      <c r="T6083" t="s">
        <v>46737</v>
      </c>
      <c r="U6083" t="s">
        <v>52044</v>
      </c>
      <c r="V6083" t="s">
        <v>59298</v>
      </c>
      <c r="W6083" t="s">
        <v>41332</v>
      </c>
      <c r="X6083" t="s">
        <v>44767</v>
      </c>
    </row>
    <row r="6084" spans="1:24">
      <c r="A6084">
        <f>HYPERLINK("https://www.philgeps.gov.ph/GEPSNONPILOT/Tender/SplashBidNoticeAbstractUI.aspx?menuIndex=3&amp;refID=7147269&amp;Result=3","7147269")</f>
        <v>0</v>
      </c>
      <c r="B6084" t="s">
        <v>2141</v>
      </c>
      <c r="C6084" t="s">
        <v>9443</v>
      </c>
      <c r="D6084" t="s">
        <v>17965</v>
      </c>
      <c r="E6084" t="s">
        <v>23425</v>
      </c>
      <c r="F6084" t="s">
        <v>30900</v>
      </c>
      <c r="G6084" t="s">
        <v>30908</v>
      </c>
      <c r="H6084" t="s">
        <v>30916</v>
      </c>
      <c r="I6084" t="s">
        <v>30956</v>
      </c>
      <c r="J6084" t="s">
        <v>35004</v>
      </c>
      <c r="K6084" t="s">
        <v>40283</v>
      </c>
      <c r="M6084" t="s">
        <v>42843</v>
      </c>
      <c r="N6084" t="s">
        <v>44759</v>
      </c>
      <c r="O6084" t="s">
        <v>44760</v>
      </c>
      <c r="P6084">
        <v>0</v>
      </c>
      <c r="Q6084">
        <v>1</v>
      </c>
      <c r="R6084" t="s">
        <v>44766</v>
      </c>
      <c r="S6084" t="s">
        <v>44902</v>
      </c>
      <c r="T6084" t="s">
        <v>46704</v>
      </c>
      <c r="U6084" t="s">
        <v>52045</v>
      </c>
      <c r="W6084" t="s">
        <v>42843</v>
      </c>
      <c r="X6084" t="s">
        <v>44767</v>
      </c>
    </row>
    <row r="6085" spans="1:24">
      <c r="A6085">
        <f>HYPERLINK("https://www.philgeps.gov.ph/GEPSNONPILOT/Tender/SplashBidNoticeAbstractUI.aspx?menuIndex=3&amp;refID=7147267&amp;Result=3","7147267")</f>
        <v>0</v>
      </c>
      <c r="B6085" t="s">
        <v>2166</v>
      </c>
      <c r="C6085" t="s">
        <v>9510</v>
      </c>
      <c r="D6085" t="s">
        <v>18002</v>
      </c>
      <c r="E6085" t="s">
        <v>23426</v>
      </c>
      <c r="F6085" t="s">
        <v>30900</v>
      </c>
      <c r="G6085" t="s">
        <v>30909</v>
      </c>
      <c r="H6085" t="s">
        <v>30916</v>
      </c>
      <c r="I6085" t="s">
        <v>4108</v>
      </c>
      <c r="J6085" t="s">
        <v>35005</v>
      </c>
      <c r="K6085" t="s">
        <v>40283</v>
      </c>
      <c r="M6085" t="s">
        <v>42883</v>
      </c>
      <c r="N6085" t="s">
        <v>44759</v>
      </c>
      <c r="O6085" t="s">
        <v>44760</v>
      </c>
      <c r="P6085">
        <v>0</v>
      </c>
      <c r="Q6085">
        <v>0</v>
      </c>
      <c r="R6085" t="s">
        <v>44766</v>
      </c>
      <c r="S6085" t="s">
        <v>44902</v>
      </c>
      <c r="T6085" t="s">
        <v>46376</v>
      </c>
      <c r="U6085" t="s">
        <v>52046</v>
      </c>
      <c r="W6085" t="s">
        <v>60882</v>
      </c>
      <c r="X6085" t="s">
        <v>44767</v>
      </c>
    </row>
    <row r="6086" spans="1:24">
      <c r="A6086">
        <f>HYPERLINK("https://www.philgeps.gov.ph/GEPSNONPILOT/Tender/SplashBidNoticeAbstractUI.aspx?menuIndex=3&amp;refID=7147229&amp;Result=3","7147229")</f>
        <v>0</v>
      </c>
      <c r="B6086" t="s">
        <v>2157</v>
      </c>
      <c r="C6086" t="s">
        <v>9511</v>
      </c>
      <c r="D6086" t="s">
        <v>17955</v>
      </c>
      <c r="E6086" t="s">
        <v>23427</v>
      </c>
      <c r="F6086" t="s">
        <v>30900</v>
      </c>
      <c r="G6086" t="s">
        <v>30907</v>
      </c>
      <c r="H6086" t="s">
        <v>30915</v>
      </c>
      <c r="I6086" t="s">
        <v>30919</v>
      </c>
      <c r="J6086" t="s">
        <v>31152</v>
      </c>
      <c r="K6086" t="s">
        <v>40304</v>
      </c>
      <c r="M6086" t="s">
        <v>42862</v>
      </c>
      <c r="N6086" t="s">
        <v>44759</v>
      </c>
      <c r="O6086" t="s">
        <v>44760</v>
      </c>
      <c r="P6086">
        <v>0</v>
      </c>
      <c r="Q6086">
        <v>0</v>
      </c>
      <c r="R6086" t="s">
        <v>44766</v>
      </c>
      <c r="S6086" t="s">
        <v>44902</v>
      </c>
      <c r="T6086" t="s">
        <v>46734</v>
      </c>
      <c r="U6086" t="s">
        <v>52047</v>
      </c>
      <c r="W6086" t="s">
        <v>42862</v>
      </c>
      <c r="X6086" t="s">
        <v>44767</v>
      </c>
    </row>
    <row r="6087" spans="1:24">
      <c r="A6087">
        <f>HYPERLINK("https://www.philgeps.gov.ph/GEPSNONPILOT/Tender/SplashBidNoticeAbstractUI.aspx?menuIndex=3&amp;refID=7147264&amp;Result=3","7147264")</f>
        <v>0</v>
      </c>
      <c r="B6087" t="s">
        <v>1079</v>
      </c>
      <c r="C6087" t="s">
        <v>9512</v>
      </c>
      <c r="D6087" t="s">
        <v>17971</v>
      </c>
      <c r="E6087" t="s">
        <v>23428</v>
      </c>
      <c r="F6087" t="s">
        <v>30900</v>
      </c>
      <c r="G6087" t="s">
        <v>30907</v>
      </c>
      <c r="H6087" t="s">
        <v>30915</v>
      </c>
      <c r="I6087" t="s">
        <v>30919</v>
      </c>
      <c r="J6087" t="s">
        <v>32324</v>
      </c>
      <c r="K6087" t="s">
        <v>40289</v>
      </c>
      <c r="M6087" t="s">
        <v>41678</v>
      </c>
      <c r="N6087" t="s">
        <v>44759</v>
      </c>
      <c r="O6087" t="s">
        <v>44760</v>
      </c>
      <c r="P6087">
        <v>0</v>
      </c>
      <c r="Q6087">
        <v>15</v>
      </c>
      <c r="R6087" t="s">
        <v>44766</v>
      </c>
      <c r="S6087" t="s">
        <v>44902</v>
      </c>
      <c r="T6087" t="s">
        <v>46540</v>
      </c>
      <c r="U6087" t="s">
        <v>49016</v>
      </c>
      <c r="V6087" t="s">
        <v>59382</v>
      </c>
      <c r="W6087" t="s">
        <v>41678</v>
      </c>
      <c r="X6087" t="s">
        <v>44767</v>
      </c>
    </row>
    <row r="6088" spans="1:24">
      <c r="A6088">
        <f>HYPERLINK("https://www.philgeps.gov.ph/GEPSNONPILOT/Tender/SplashBidNoticeAbstractUI.aspx?menuIndex=3&amp;refID=7147261&amp;Result=3","7147261")</f>
        <v>0</v>
      </c>
      <c r="B6088" t="s">
        <v>2119</v>
      </c>
      <c r="C6088" t="s">
        <v>9513</v>
      </c>
      <c r="D6088" t="s">
        <v>18009</v>
      </c>
      <c r="E6088" t="s">
        <v>23429</v>
      </c>
      <c r="F6088" t="s">
        <v>30900</v>
      </c>
      <c r="G6088" t="s">
        <v>30907</v>
      </c>
      <c r="H6088" t="s">
        <v>30915</v>
      </c>
      <c r="I6088" t="s">
        <v>30919</v>
      </c>
      <c r="J6088" t="s">
        <v>31243</v>
      </c>
      <c r="K6088" t="s">
        <v>40426</v>
      </c>
      <c r="M6088" t="s">
        <v>42820</v>
      </c>
      <c r="N6088" t="s">
        <v>44759</v>
      </c>
      <c r="O6088" t="s">
        <v>44760</v>
      </c>
      <c r="P6088">
        <v>0</v>
      </c>
      <c r="Q6088">
        <v>0</v>
      </c>
      <c r="R6088" t="s">
        <v>44766</v>
      </c>
      <c r="S6088" t="s">
        <v>44902</v>
      </c>
      <c r="T6088" t="s">
        <v>46357</v>
      </c>
      <c r="U6088" t="s">
        <v>52048</v>
      </c>
      <c r="W6088" t="s">
        <v>42820</v>
      </c>
      <c r="X6088" t="s">
        <v>44767</v>
      </c>
    </row>
    <row r="6089" spans="1:24">
      <c r="A6089">
        <f>HYPERLINK("https://www.philgeps.gov.ph/GEPSNONPILOT/Tender/SplashBidNoticeAbstractUI.aspx?menuIndex=3&amp;refID=7147288&amp;Result=3","7147288")</f>
        <v>0</v>
      </c>
      <c r="B6089" t="s">
        <v>258</v>
      </c>
      <c r="C6089" t="s">
        <v>9514</v>
      </c>
      <c r="D6089" t="s">
        <v>18005</v>
      </c>
      <c r="E6089" t="s">
        <v>18475</v>
      </c>
      <c r="F6089" t="s">
        <v>30900</v>
      </c>
      <c r="G6089" t="s">
        <v>30909</v>
      </c>
      <c r="H6089" t="s">
        <v>30916</v>
      </c>
      <c r="I6089" t="s">
        <v>30923</v>
      </c>
      <c r="J6089" t="s">
        <v>35006</v>
      </c>
      <c r="K6089" t="s">
        <v>40283</v>
      </c>
      <c r="M6089" t="s">
        <v>40805</v>
      </c>
      <c r="N6089" t="s">
        <v>44759</v>
      </c>
      <c r="O6089" t="s">
        <v>44760</v>
      </c>
      <c r="P6089">
        <v>0</v>
      </c>
      <c r="Q6089">
        <v>1</v>
      </c>
      <c r="R6089" t="s">
        <v>44766</v>
      </c>
      <c r="S6089" t="s">
        <v>44902</v>
      </c>
      <c r="T6089" t="s">
        <v>46398</v>
      </c>
      <c r="U6089" t="s">
        <v>52049</v>
      </c>
      <c r="W6089" t="s">
        <v>40805</v>
      </c>
      <c r="X6089" t="s">
        <v>44767</v>
      </c>
    </row>
    <row r="6090" spans="1:24">
      <c r="A6090">
        <f>HYPERLINK("https://www.philgeps.gov.ph/GEPSNONPILOT/Tender/SplashBidNoticeAbstractUI.aspx?menuIndex=3&amp;refID=7147284&amp;Result=3","7147284")</f>
        <v>0</v>
      </c>
      <c r="B6090" t="s">
        <v>2166</v>
      </c>
      <c r="C6090" t="s">
        <v>9515</v>
      </c>
      <c r="D6090" t="s">
        <v>18002</v>
      </c>
      <c r="E6090" t="s">
        <v>23430</v>
      </c>
      <c r="F6090" t="s">
        <v>30900</v>
      </c>
      <c r="G6090" t="s">
        <v>30908</v>
      </c>
      <c r="H6090" t="s">
        <v>30916</v>
      </c>
      <c r="I6090" t="s">
        <v>30923</v>
      </c>
      <c r="J6090" t="s">
        <v>31243</v>
      </c>
      <c r="K6090" t="s">
        <v>40284</v>
      </c>
      <c r="M6090" t="s">
        <v>42883</v>
      </c>
      <c r="N6090" t="s">
        <v>44759</v>
      </c>
      <c r="O6090" t="s">
        <v>44760</v>
      </c>
      <c r="P6090">
        <v>0</v>
      </c>
      <c r="Q6090">
        <v>11</v>
      </c>
      <c r="R6090" t="s">
        <v>44766</v>
      </c>
      <c r="S6090" t="s">
        <v>44902</v>
      </c>
      <c r="T6090" t="s">
        <v>46376</v>
      </c>
      <c r="U6090" t="s">
        <v>52050</v>
      </c>
      <c r="W6090" t="s">
        <v>60882</v>
      </c>
      <c r="X6090" t="s">
        <v>44767</v>
      </c>
    </row>
    <row r="6091" spans="1:24">
      <c r="A6091">
        <f>HYPERLINK("https://www.philgeps.gov.ph/GEPSNONPILOT/Tender/SplashBidNoticeAbstractUI.aspx?menuIndex=3&amp;refID=7147283&amp;Result=3","7147283")</f>
        <v>0</v>
      </c>
      <c r="B6091" t="s">
        <v>2150</v>
      </c>
      <c r="C6091" t="s">
        <v>9516</v>
      </c>
      <c r="D6091" t="s">
        <v>17951</v>
      </c>
      <c r="E6091" t="s">
        <v>23431</v>
      </c>
      <c r="F6091" t="s">
        <v>30900</v>
      </c>
      <c r="G6091" t="s">
        <v>30908</v>
      </c>
      <c r="H6091" t="s">
        <v>30916</v>
      </c>
      <c r="I6091" t="s">
        <v>30933</v>
      </c>
      <c r="J6091" t="s">
        <v>32642</v>
      </c>
      <c r="K6091" t="s">
        <v>40293</v>
      </c>
      <c r="M6091" t="s">
        <v>42854</v>
      </c>
      <c r="N6091" t="s">
        <v>44759</v>
      </c>
      <c r="O6091" t="s">
        <v>44760</v>
      </c>
      <c r="P6091">
        <v>0</v>
      </c>
      <c r="Q6091">
        <v>0</v>
      </c>
      <c r="R6091" t="s">
        <v>44766</v>
      </c>
      <c r="S6091" t="s">
        <v>44902</v>
      </c>
      <c r="T6091" t="s">
        <v>46612</v>
      </c>
      <c r="U6091" t="s">
        <v>52051</v>
      </c>
      <c r="W6091" t="s">
        <v>42854</v>
      </c>
      <c r="X6091" t="s">
        <v>44767</v>
      </c>
    </row>
    <row r="6092" spans="1:24">
      <c r="A6092">
        <f>HYPERLINK("https://www.philgeps.gov.ph/GEPSNONPILOT/Tender/SplashBidNoticeAbstractUI.aspx?menuIndex=3&amp;refID=7147282&amp;Result=3","7147282")</f>
        <v>0</v>
      </c>
      <c r="B6092" t="s">
        <v>380</v>
      </c>
      <c r="C6092" t="s">
        <v>9517</v>
      </c>
      <c r="D6092" t="s">
        <v>18003</v>
      </c>
      <c r="E6092" t="s">
        <v>23432</v>
      </c>
      <c r="F6092" t="s">
        <v>30900</v>
      </c>
      <c r="G6092" t="s">
        <v>30906</v>
      </c>
      <c r="H6092" t="s">
        <v>30916</v>
      </c>
      <c r="I6092" t="s">
        <v>30933</v>
      </c>
      <c r="J6092" t="s">
        <v>31153</v>
      </c>
      <c r="K6092" t="s">
        <v>40294</v>
      </c>
      <c r="M6092" t="s">
        <v>40934</v>
      </c>
      <c r="N6092" t="s">
        <v>44759</v>
      </c>
      <c r="O6092" t="s">
        <v>44760</v>
      </c>
      <c r="P6092">
        <v>0</v>
      </c>
      <c r="Q6092">
        <v>1</v>
      </c>
      <c r="R6092" t="s">
        <v>44766</v>
      </c>
      <c r="S6092" t="s">
        <v>44902</v>
      </c>
      <c r="T6092" t="s">
        <v>46457</v>
      </c>
      <c r="U6092" t="s">
        <v>52020</v>
      </c>
      <c r="W6092" t="s">
        <v>40934</v>
      </c>
      <c r="X6092" t="s">
        <v>44767</v>
      </c>
    </row>
    <row r="6093" spans="1:24">
      <c r="A6093">
        <f>HYPERLINK("https://www.philgeps.gov.ph/GEPSNONPILOT/Tender/SplashBidNoticeAbstractUI.aspx?menuIndex=3&amp;refID=7147280&amp;Result=3","7147280")</f>
        <v>0</v>
      </c>
      <c r="B6093" t="s">
        <v>2174</v>
      </c>
      <c r="C6093" t="s">
        <v>9518</v>
      </c>
      <c r="E6093" t="s">
        <v>23433</v>
      </c>
      <c r="F6093" t="s">
        <v>30900</v>
      </c>
      <c r="G6093" t="s">
        <v>30908</v>
      </c>
      <c r="H6093" t="s">
        <v>30916</v>
      </c>
      <c r="I6093" t="s">
        <v>30942</v>
      </c>
      <c r="J6093" t="s">
        <v>31066</v>
      </c>
      <c r="K6093" t="s">
        <v>40284</v>
      </c>
      <c r="M6093" t="s">
        <v>42879</v>
      </c>
      <c r="N6093" t="s">
        <v>44759</v>
      </c>
      <c r="O6093" t="s">
        <v>44760</v>
      </c>
      <c r="P6093">
        <v>0</v>
      </c>
      <c r="Q6093">
        <v>0</v>
      </c>
      <c r="R6093" t="s">
        <v>44766</v>
      </c>
      <c r="S6093" t="s">
        <v>44902</v>
      </c>
      <c r="T6093" t="s">
        <v>46403</v>
      </c>
      <c r="U6093" t="s">
        <v>52018</v>
      </c>
      <c r="W6093" t="s">
        <v>42879</v>
      </c>
      <c r="X6093" t="s">
        <v>44767</v>
      </c>
    </row>
    <row r="6094" spans="1:24">
      <c r="A6094">
        <f>HYPERLINK("https://www.philgeps.gov.ph/GEPSNONPILOT/Tender/SplashBidNoticeAbstractUI.aspx?menuIndex=3&amp;refID=7147268&amp;Result=3","7147268")</f>
        <v>0</v>
      </c>
      <c r="B6094" t="s">
        <v>2167</v>
      </c>
      <c r="C6094" t="s">
        <v>9519</v>
      </c>
      <c r="D6094" t="s">
        <v>17960</v>
      </c>
      <c r="E6094" t="s">
        <v>23434</v>
      </c>
      <c r="F6094" t="s">
        <v>30900</v>
      </c>
      <c r="G6094" t="s">
        <v>30907</v>
      </c>
      <c r="H6094" t="s">
        <v>30916</v>
      </c>
      <c r="I6094" t="s">
        <v>30965</v>
      </c>
      <c r="J6094" t="s">
        <v>35007</v>
      </c>
      <c r="K6094" t="s">
        <v>40283</v>
      </c>
      <c r="M6094" t="s">
        <v>42872</v>
      </c>
      <c r="N6094" t="s">
        <v>44759</v>
      </c>
      <c r="O6094" t="s">
        <v>44760</v>
      </c>
      <c r="P6094">
        <v>0</v>
      </c>
      <c r="Q6094">
        <v>5</v>
      </c>
      <c r="R6094" t="s">
        <v>44766</v>
      </c>
      <c r="S6094" t="s">
        <v>44902</v>
      </c>
      <c r="T6094" t="s">
        <v>46450</v>
      </c>
      <c r="U6094" t="s">
        <v>52052</v>
      </c>
      <c r="W6094" t="s">
        <v>42872</v>
      </c>
      <c r="X6094" t="s">
        <v>44767</v>
      </c>
    </row>
    <row r="6095" spans="1:24">
      <c r="A6095">
        <f>HYPERLINK("https://www.philgeps.gov.ph/GEPSNONPILOT/Tender/SplashBidNoticeAbstractUI.aspx?menuIndex=3&amp;refID=7147265&amp;Result=3","7147265")</f>
        <v>0</v>
      </c>
      <c r="B6095" t="s">
        <v>2180</v>
      </c>
      <c r="C6095" t="s">
        <v>9520</v>
      </c>
      <c r="D6095" t="s">
        <v>17963</v>
      </c>
      <c r="E6095" t="s">
        <v>23435</v>
      </c>
      <c r="F6095" t="s">
        <v>30900</v>
      </c>
      <c r="G6095" t="s">
        <v>30909</v>
      </c>
      <c r="H6095" t="s">
        <v>30916</v>
      </c>
      <c r="I6095" t="s">
        <v>5830</v>
      </c>
      <c r="J6095" t="s">
        <v>35008</v>
      </c>
      <c r="K6095" t="s">
        <v>40289</v>
      </c>
      <c r="M6095" t="s">
        <v>42887</v>
      </c>
      <c r="N6095" t="s">
        <v>44759</v>
      </c>
      <c r="O6095" t="s">
        <v>44760</v>
      </c>
      <c r="P6095">
        <v>0</v>
      </c>
      <c r="Q6095">
        <v>2</v>
      </c>
      <c r="R6095" t="s">
        <v>44766</v>
      </c>
      <c r="S6095" t="s">
        <v>44902</v>
      </c>
      <c r="T6095" t="s">
        <v>46533</v>
      </c>
      <c r="U6095" t="s">
        <v>52053</v>
      </c>
      <c r="W6095" t="s">
        <v>42887</v>
      </c>
      <c r="X6095" t="s">
        <v>44767</v>
      </c>
    </row>
    <row r="6096" spans="1:24">
      <c r="A6096">
        <f>HYPERLINK("https://www.philgeps.gov.ph/GEPSNONPILOT/Tender/SplashBidNoticeAbstractUI.aspx?menuIndex=3&amp;refID=7147258&amp;Result=3","7147258")</f>
        <v>0</v>
      </c>
      <c r="B6096" t="s">
        <v>2150</v>
      </c>
      <c r="C6096" t="s">
        <v>9521</v>
      </c>
      <c r="D6096" t="s">
        <v>17951</v>
      </c>
      <c r="E6096" t="s">
        <v>23436</v>
      </c>
      <c r="F6096" t="s">
        <v>30900</v>
      </c>
      <c r="G6096" t="s">
        <v>30908</v>
      </c>
      <c r="H6096" t="s">
        <v>30916</v>
      </c>
      <c r="I6096" t="s">
        <v>11785</v>
      </c>
      <c r="J6096" t="s">
        <v>35009</v>
      </c>
      <c r="K6096" t="s">
        <v>40283</v>
      </c>
      <c r="M6096" t="s">
        <v>42854</v>
      </c>
      <c r="N6096" t="s">
        <v>44759</v>
      </c>
      <c r="O6096" t="s">
        <v>44760</v>
      </c>
      <c r="P6096">
        <v>0</v>
      </c>
      <c r="Q6096">
        <v>1</v>
      </c>
      <c r="R6096" t="s">
        <v>44766</v>
      </c>
      <c r="S6096" t="s">
        <v>44902</v>
      </c>
      <c r="T6096" t="s">
        <v>46612</v>
      </c>
      <c r="U6096" t="s">
        <v>52054</v>
      </c>
      <c r="W6096" t="s">
        <v>42854</v>
      </c>
      <c r="X6096" t="s">
        <v>44767</v>
      </c>
    </row>
    <row r="6097" spans="1:24">
      <c r="A6097">
        <f>HYPERLINK("https://www.philgeps.gov.ph/GEPSNONPILOT/Tender/SplashBidNoticeAbstractUI.aspx?menuIndex=3&amp;refID=7147273&amp;Result=3","7147273")</f>
        <v>0</v>
      </c>
      <c r="B6097" t="s">
        <v>309</v>
      </c>
      <c r="C6097" t="s">
        <v>9522</v>
      </c>
      <c r="D6097" t="s">
        <v>17995</v>
      </c>
      <c r="E6097" t="s">
        <v>23437</v>
      </c>
      <c r="F6097" t="s">
        <v>30900</v>
      </c>
      <c r="G6097" t="s">
        <v>30908</v>
      </c>
      <c r="H6097" t="s">
        <v>30916</v>
      </c>
      <c r="I6097" t="s">
        <v>30939</v>
      </c>
      <c r="J6097" t="s">
        <v>33070</v>
      </c>
      <c r="K6097" t="s">
        <v>40283</v>
      </c>
      <c r="M6097" t="s">
        <v>40859</v>
      </c>
      <c r="N6097" t="s">
        <v>44759</v>
      </c>
      <c r="O6097" t="s">
        <v>44760</v>
      </c>
      <c r="P6097">
        <v>0</v>
      </c>
      <c r="Q6097">
        <v>0</v>
      </c>
      <c r="R6097" t="s">
        <v>44766</v>
      </c>
      <c r="S6097" t="s">
        <v>44902</v>
      </c>
      <c r="T6097" t="s">
        <v>46531</v>
      </c>
      <c r="U6097" t="s">
        <v>52055</v>
      </c>
      <c r="W6097" t="s">
        <v>40859</v>
      </c>
      <c r="X6097" t="s">
        <v>44767</v>
      </c>
    </row>
    <row r="6098" spans="1:24">
      <c r="A6098">
        <f>HYPERLINK("https://www.philgeps.gov.ph/GEPSNONPILOT/Tender/SplashBidNoticeAbstractUI.aspx?menuIndex=3&amp;refID=7147296&amp;Result=3","7147296")</f>
        <v>0</v>
      </c>
      <c r="B6098" t="s">
        <v>2151</v>
      </c>
      <c r="C6098" t="s">
        <v>9523</v>
      </c>
      <c r="D6098" t="s">
        <v>17978</v>
      </c>
      <c r="E6098" t="s">
        <v>19807</v>
      </c>
      <c r="F6098" t="s">
        <v>30900</v>
      </c>
      <c r="G6098" t="s">
        <v>30907</v>
      </c>
      <c r="H6098" t="s">
        <v>30915</v>
      </c>
      <c r="I6098" t="s">
        <v>30919</v>
      </c>
      <c r="J6098" t="s">
        <v>35010</v>
      </c>
      <c r="K6098" t="s">
        <v>40427</v>
      </c>
      <c r="M6098" t="s">
        <v>42855</v>
      </c>
      <c r="N6098" t="s">
        <v>44759</v>
      </c>
      <c r="O6098" t="s">
        <v>44760</v>
      </c>
      <c r="P6098">
        <v>0</v>
      </c>
      <c r="Q6098">
        <v>2</v>
      </c>
      <c r="R6098" t="s">
        <v>44766</v>
      </c>
      <c r="S6098" t="s">
        <v>44902</v>
      </c>
      <c r="T6098" t="s">
        <v>46520</v>
      </c>
      <c r="U6098" t="s">
        <v>51990</v>
      </c>
      <c r="W6098" t="s">
        <v>42855</v>
      </c>
      <c r="X6098" t="s">
        <v>44767</v>
      </c>
    </row>
    <row r="6099" spans="1:24">
      <c r="A6099">
        <f>HYPERLINK("https://www.philgeps.gov.ph/GEPSNONPILOT/Tender/SplashBidNoticeAbstractUI.aspx?menuIndex=3&amp;refID=7147327&amp;Result=3","7147327")</f>
        <v>0</v>
      </c>
      <c r="B6099" t="s">
        <v>2181</v>
      </c>
      <c r="C6099" t="s">
        <v>9524</v>
      </c>
      <c r="D6099" t="s">
        <v>17988</v>
      </c>
      <c r="E6099" t="s">
        <v>20657</v>
      </c>
      <c r="F6099" t="s">
        <v>30900</v>
      </c>
      <c r="G6099" t="s">
        <v>30908</v>
      </c>
      <c r="H6099" t="s">
        <v>30916</v>
      </c>
      <c r="I6099" t="s">
        <v>10602</v>
      </c>
      <c r="J6099" t="s">
        <v>35011</v>
      </c>
      <c r="K6099" t="s">
        <v>40288</v>
      </c>
      <c r="M6099" t="s">
        <v>42888</v>
      </c>
      <c r="N6099" t="s">
        <v>44759</v>
      </c>
      <c r="O6099" t="s">
        <v>44760</v>
      </c>
      <c r="P6099">
        <v>0</v>
      </c>
      <c r="Q6099">
        <v>0</v>
      </c>
      <c r="R6099" t="s">
        <v>44766</v>
      </c>
      <c r="S6099" t="s">
        <v>44902</v>
      </c>
      <c r="T6099" t="s">
        <v>46711</v>
      </c>
      <c r="U6099" t="s">
        <v>52056</v>
      </c>
      <c r="W6099" t="s">
        <v>42888</v>
      </c>
      <c r="X6099" t="s">
        <v>44767</v>
      </c>
    </row>
    <row r="6100" spans="1:24">
      <c r="A6100">
        <f>HYPERLINK("https://www.philgeps.gov.ph/GEPSNONPILOT/Tender/SplashBidNoticeAbstractUI.aspx?menuIndex=3&amp;refID=7147281&amp;Result=3","7147281")</f>
        <v>0</v>
      </c>
      <c r="B6100" t="s">
        <v>2157</v>
      </c>
      <c r="C6100" t="s">
        <v>9525</v>
      </c>
      <c r="D6100" t="s">
        <v>17955</v>
      </c>
      <c r="E6100" t="s">
        <v>23438</v>
      </c>
      <c r="F6100" t="s">
        <v>30900</v>
      </c>
      <c r="G6100" t="s">
        <v>30907</v>
      </c>
      <c r="H6100" t="s">
        <v>30915</v>
      </c>
      <c r="I6100" t="s">
        <v>30919</v>
      </c>
      <c r="J6100" t="s">
        <v>31297</v>
      </c>
      <c r="K6100" t="s">
        <v>40407</v>
      </c>
      <c r="M6100" t="s">
        <v>42862</v>
      </c>
      <c r="N6100" t="s">
        <v>44759</v>
      </c>
      <c r="O6100" t="s">
        <v>44760</v>
      </c>
      <c r="P6100">
        <v>0</v>
      </c>
      <c r="Q6100">
        <v>0</v>
      </c>
      <c r="R6100" t="s">
        <v>44766</v>
      </c>
      <c r="S6100" t="s">
        <v>44902</v>
      </c>
      <c r="T6100" t="s">
        <v>46734</v>
      </c>
      <c r="U6100" t="s">
        <v>52057</v>
      </c>
      <c r="W6100" t="s">
        <v>42862</v>
      </c>
      <c r="X6100" t="s">
        <v>44767</v>
      </c>
    </row>
    <row r="6101" spans="1:24">
      <c r="A6101">
        <f>HYPERLINK("https://www.philgeps.gov.ph/GEPSNONPILOT/Tender/SplashBidNoticeAbstractUI.aspx?menuIndex=3&amp;refID=7147255&amp;Result=3","7147255")</f>
        <v>0</v>
      </c>
      <c r="B6101" t="s">
        <v>2166</v>
      </c>
      <c r="C6101" t="s">
        <v>9526</v>
      </c>
      <c r="D6101" t="s">
        <v>18002</v>
      </c>
      <c r="E6101" t="s">
        <v>23439</v>
      </c>
      <c r="F6101" t="s">
        <v>30900</v>
      </c>
      <c r="G6101" t="s">
        <v>30909</v>
      </c>
      <c r="H6101" t="s">
        <v>30916</v>
      </c>
      <c r="I6101" t="s">
        <v>30923</v>
      </c>
      <c r="J6101" t="s">
        <v>35012</v>
      </c>
      <c r="K6101" t="s">
        <v>40287</v>
      </c>
      <c r="M6101" t="s">
        <v>42871</v>
      </c>
      <c r="N6101" t="s">
        <v>44759</v>
      </c>
      <c r="O6101" t="s">
        <v>44760</v>
      </c>
      <c r="P6101">
        <v>0</v>
      </c>
      <c r="Q6101">
        <v>0</v>
      </c>
      <c r="R6101" t="s">
        <v>44766</v>
      </c>
      <c r="S6101" t="s">
        <v>44902</v>
      </c>
      <c r="T6101" t="s">
        <v>46376</v>
      </c>
      <c r="U6101" t="s">
        <v>52058</v>
      </c>
      <c r="W6101" t="s">
        <v>60882</v>
      </c>
      <c r="X6101" t="s">
        <v>44767</v>
      </c>
    </row>
    <row r="6102" spans="1:24">
      <c r="A6102">
        <f>HYPERLINK("https://www.philgeps.gov.ph/GEPSNONPILOT/Tender/SplashBidNoticeAbstractUI.aspx?menuIndex=3&amp;refID=7147316&amp;Result=3","7147316")</f>
        <v>0</v>
      </c>
      <c r="B6102" t="s">
        <v>2165</v>
      </c>
      <c r="C6102" t="s">
        <v>9527</v>
      </c>
      <c r="D6102" t="s">
        <v>17995</v>
      </c>
      <c r="E6102" t="s">
        <v>23440</v>
      </c>
      <c r="F6102" t="s">
        <v>30900</v>
      </c>
      <c r="G6102" t="s">
        <v>30907</v>
      </c>
      <c r="H6102" t="s">
        <v>30916</v>
      </c>
      <c r="I6102" t="s">
        <v>6408</v>
      </c>
      <c r="J6102" t="s">
        <v>35013</v>
      </c>
      <c r="K6102" t="s">
        <v>40286</v>
      </c>
      <c r="M6102" t="s">
        <v>42870</v>
      </c>
      <c r="N6102" t="s">
        <v>44759</v>
      </c>
      <c r="O6102" t="s">
        <v>44760</v>
      </c>
      <c r="P6102">
        <v>0</v>
      </c>
      <c r="Q6102">
        <v>0</v>
      </c>
      <c r="R6102" t="s">
        <v>44766</v>
      </c>
      <c r="S6102" t="s">
        <v>44902</v>
      </c>
      <c r="T6102" t="s">
        <v>46497</v>
      </c>
      <c r="U6102" t="s">
        <v>52059</v>
      </c>
      <c r="W6102" t="s">
        <v>42870</v>
      </c>
      <c r="X6102" t="s">
        <v>44767</v>
      </c>
    </row>
    <row r="6103" spans="1:24">
      <c r="A6103">
        <f>HYPERLINK("https://www.philgeps.gov.ph/GEPSNONPILOT/Tender/SplashBidNoticeAbstractUI.aspx?menuIndex=3&amp;refID=7147292&amp;Result=3","7147292")</f>
        <v>0</v>
      </c>
      <c r="B6103" t="s">
        <v>2182</v>
      </c>
      <c r="C6103" t="s">
        <v>9528</v>
      </c>
      <c r="D6103" t="s">
        <v>17959</v>
      </c>
      <c r="E6103" t="s">
        <v>23441</v>
      </c>
      <c r="F6103" t="s">
        <v>30900</v>
      </c>
      <c r="G6103" t="s">
        <v>30908</v>
      </c>
      <c r="H6103" t="s">
        <v>30916</v>
      </c>
      <c r="I6103" t="s">
        <v>30952</v>
      </c>
      <c r="J6103" t="s">
        <v>35014</v>
      </c>
      <c r="K6103" t="s">
        <v>40287</v>
      </c>
      <c r="M6103" t="s">
        <v>42889</v>
      </c>
      <c r="N6103" t="s">
        <v>44759</v>
      </c>
      <c r="O6103" t="s">
        <v>44760</v>
      </c>
      <c r="P6103">
        <v>0</v>
      </c>
      <c r="Q6103">
        <v>4</v>
      </c>
      <c r="R6103" t="s">
        <v>44766</v>
      </c>
      <c r="S6103" t="s">
        <v>44902</v>
      </c>
      <c r="T6103" t="s">
        <v>46686</v>
      </c>
      <c r="U6103" t="s">
        <v>52060</v>
      </c>
      <c r="W6103" t="s">
        <v>42889</v>
      </c>
      <c r="X6103" t="s">
        <v>44767</v>
      </c>
    </row>
    <row r="6104" spans="1:24">
      <c r="A6104">
        <f>HYPERLINK("https://www.philgeps.gov.ph/GEPSNONPILOT/Tender/SplashBidNoticeAbstractUI.aspx?menuIndex=3&amp;refID=7147244&amp;Result=3","7147244")</f>
        <v>0</v>
      </c>
      <c r="B6104" t="s">
        <v>2164</v>
      </c>
      <c r="C6104" t="s">
        <v>9529</v>
      </c>
      <c r="D6104" t="s">
        <v>17974</v>
      </c>
      <c r="E6104" t="s">
        <v>23442</v>
      </c>
      <c r="F6104" t="s">
        <v>30900</v>
      </c>
      <c r="G6104" t="s">
        <v>30907</v>
      </c>
      <c r="H6104" t="s">
        <v>30916</v>
      </c>
      <c r="I6104" t="s">
        <v>30924</v>
      </c>
      <c r="J6104" t="s">
        <v>35015</v>
      </c>
      <c r="K6104" t="s">
        <v>40286</v>
      </c>
      <c r="M6104" t="s">
        <v>42869</v>
      </c>
      <c r="N6104" t="s">
        <v>44759</v>
      </c>
      <c r="O6104" t="s">
        <v>44760</v>
      </c>
      <c r="P6104">
        <v>0</v>
      </c>
      <c r="Q6104">
        <v>2</v>
      </c>
      <c r="R6104" t="s">
        <v>44766</v>
      </c>
      <c r="S6104" t="s">
        <v>44902</v>
      </c>
      <c r="T6104" t="s">
        <v>46363</v>
      </c>
      <c r="U6104" t="s">
        <v>52061</v>
      </c>
      <c r="W6104" t="s">
        <v>42869</v>
      </c>
      <c r="X6104" t="s">
        <v>44767</v>
      </c>
    </row>
    <row r="6105" spans="1:24">
      <c r="A6105">
        <f>HYPERLINK("https://www.philgeps.gov.ph/GEPSNONPILOT/Tender/SplashBidNoticeAbstractUI.aspx?menuIndex=3&amp;refID=7147329&amp;Result=3","7147329")</f>
        <v>0</v>
      </c>
      <c r="B6105" t="s">
        <v>1324</v>
      </c>
      <c r="C6105" t="s">
        <v>9530</v>
      </c>
      <c r="D6105" t="s">
        <v>17969</v>
      </c>
      <c r="E6105" t="s">
        <v>22510</v>
      </c>
      <c r="F6105" t="s">
        <v>30900</v>
      </c>
      <c r="G6105" t="s">
        <v>30908</v>
      </c>
      <c r="H6105" t="s">
        <v>30916</v>
      </c>
      <c r="I6105" t="s">
        <v>30919</v>
      </c>
      <c r="J6105" t="s">
        <v>31288</v>
      </c>
      <c r="K6105" t="s">
        <v>40286</v>
      </c>
      <c r="M6105" t="s">
        <v>41943</v>
      </c>
      <c r="N6105" t="s">
        <v>44759</v>
      </c>
      <c r="O6105" t="s">
        <v>44760</v>
      </c>
      <c r="P6105">
        <v>0</v>
      </c>
      <c r="Q6105">
        <v>0</v>
      </c>
      <c r="R6105" t="s">
        <v>44766</v>
      </c>
      <c r="S6105" t="s">
        <v>44902</v>
      </c>
      <c r="T6105" t="s">
        <v>46379</v>
      </c>
      <c r="U6105" t="s">
        <v>47737</v>
      </c>
      <c r="W6105" t="s">
        <v>41943</v>
      </c>
      <c r="X6105" t="s">
        <v>44767</v>
      </c>
    </row>
    <row r="6106" spans="1:24">
      <c r="A6106">
        <f>HYPERLINK("https://www.philgeps.gov.ph/GEPSNONPILOT/Tender/SplashBidNoticeAbstractUI.aspx?menuIndex=3&amp;refID=7147315&amp;Result=3","7147315")</f>
        <v>0</v>
      </c>
      <c r="B6106" t="s">
        <v>2183</v>
      </c>
      <c r="C6106" t="s">
        <v>9531</v>
      </c>
      <c r="D6106" t="s">
        <v>18016</v>
      </c>
      <c r="E6106" t="s">
        <v>23443</v>
      </c>
      <c r="F6106" t="s">
        <v>30900</v>
      </c>
      <c r="G6106" t="s">
        <v>30908</v>
      </c>
      <c r="H6106" t="s">
        <v>30916</v>
      </c>
      <c r="I6106" t="s">
        <v>4017</v>
      </c>
      <c r="J6106" t="s">
        <v>35016</v>
      </c>
      <c r="K6106" t="s">
        <v>40293</v>
      </c>
      <c r="M6106" t="s">
        <v>42890</v>
      </c>
      <c r="N6106" t="s">
        <v>44759</v>
      </c>
      <c r="O6106" t="s">
        <v>44760</v>
      </c>
      <c r="P6106">
        <v>0</v>
      </c>
      <c r="Q6106">
        <v>0</v>
      </c>
      <c r="R6106" t="s">
        <v>44766</v>
      </c>
      <c r="S6106" t="s">
        <v>44902</v>
      </c>
      <c r="T6106" t="s">
        <v>46738</v>
      </c>
      <c r="U6106" t="s">
        <v>52062</v>
      </c>
      <c r="W6106" t="s">
        <v>42890</v>
      </c>
      <c r="X6106" t="s">
        <v>44767</v>
      </c>
    </row>
    <row r="6107" spans="1:24">
      <c r="A6107">
        <f>HYPERLINK("https://www.philgeps.gov.ph/GEPSNONPILOT/Tender/SplashBidNoticeAbstractUI.aspx?menuIndex=3&amp;refID=7147340&amp;Result=3","7147340")</f>
        <v>0</v>
      </c>
      <c r="B6107" t="s">
        <v>2184</v>
      </c>
      <c r="C6107" t="s">
        <v>9532</v>
      </c>
      <c r="D6107" t="s">
        <v>17972</v>
      </c>
      <c r="E6107" t="s">
        <v>23444</v>
      </c>
      <c r="F6107" t="s">
        <v>30900</v>
      </c>
      <c r="G6107" t="s">
        <v>30907</v>
      </c>
      <c r="H6107" t="s">
        <v>30915</v>
      </c>
      <c r="I6107" t="s">
        <v>30919</v>
      </c>
      <c r="J6107" t="s">
        <v>35017</v>
      </c>
      <c r="K6107" t="s">
        <v>40428</v>
      </c>
      <c r="L6107" t="s">
        <v>2184</v>
      </c>
      <c r="M6107" t="s">
        <v>42891</v>
      </c>
      <c r="N6107" t="s">
        <v>44759</v>
      </c>
      <c r="O6107" t="s">
        <v>44760</v>
      </c>
      <c r="P6107">
        <v>0</v>
      </c>
      <c r="Q6107">
        <v>0</v>
      </c>
      <c r="R6107" t="s">
        <v>44766</v>
      </c>
      <c r="S6107" t="s">
        <v>44902</v>
      </c>
      <c r="T6107" t="s">
        <v>46519</v>
      </c>
      <c r="U6107" t="s">
        <v>52063</v>
      </c>
      <c r="W6107" t="s">
        <v>42891</v>
      </c>
      <c r="X6107" t="s">
        <v>44767</v>
      </c>
    </row>
    <row r="6108" spans="1:24">
      <c r="A6108">
        <f>HYPERLINK("https://www.philgeps.gov.ph/GEPSNONPILOT/Tender/SplashBidNoticeAbstractUI.aspx?menuIndex=3&amp;refID=7147325&amp;Result=3","7147325")</f>
        <v>0</v>
      </c>
      <c r="B6108" t="s">
        <v>2151</v>
      </c>
      <c r="C6108" t="s">
        <v>9533</v>
      </c>
      <c r="D6108" t="s">
        <v>17978</v>
      </c>
      <c r="E6108" t="s">
        <v>22234</v>
      </c>
      <c r="F6108" t="s">
        <v>30900</v>
      </c>
      <c r="G6108" t="s">
        <v>30907</v>
      </c>
      <c r="H6108" t="s">
        <v>30915</v>
      </c>
      <c r="I6108" t="s">
        <v>30919</v>
      </c>
      <c r="J6108" t="s">
        <v>35018</v>
      </c>
      <c r="K6108" t="s">
        <v>40427</v>
      </c>
      <c r="M6108" t="s">
        <v>42855</v>
      </c>
      <c r="N6108" t="s">
        <v>44759</v>
      </c>
      <c r="O6108" t="s">
        <v>44760</v>
      </c>
      <c r="P6108">
        <v>0</v>
      </c>
      <c r="Q6108">
        <v>1</v>
      </c>
      <c r="R6108" t="s">
        <v>44766</v>
      </c>
      <c r="S6108" t="s">
        <v>44902</v>
      </c>
      <c r="T6108" t="s">
        <v>46520</v>
      </c>
      <c r="U6108" t="s">
        <v>51990</v>
      </c>
      <c r="W6108" t="s">
        <v>42855</v>
      </c>
      <c r="X6108" t="s">
        <v>44767</v>
      </c>
    </row>
    <row r="6109" spans="1:24">
      <c r="A6109">
        <f>HYPERLINK("https://www.philgeps.gov.ph/GEPSNONPILOT/Tender/SplashBidNoticeAbstractUI.aspx?menuIndex=3&amp;refID=7147339&amp;Result=3","7147339")</f>
        <v>0</v>
      </c>
      <c r="B6109" t="s">
        <v>2165</v>
      </c>
      <c r="C6109" t="s">
        <v>9534</v>
      </c>
      <c r="D6109" t="s">
        <v>17995</v>
      </c>
      <c r="E6109" t="s">
        <v>23445</v>
      </c>
      <c r="F6109" t="s">
        <v>30900</v>
      </c>
      <c r="G6109" t="s">
        <v>30907</v>
      </c>
      <c r="H6109" t="s">
        <v>30916</v>
      </c>
      <c r="I6109" t="s">
        <v>8123</v>
      </c>
      <c r="J6109" t="s">
        <v>35019</v>
      </c>
      <c r="K6109" t="s">
        <v>40286</v>
      </c>
      <c r="M6109" t="s">
        <v>42870</v>
      </c>
      <c r="N6109" t="s">
        <v>44759</v>
      </c>
      <c r="O6109" t="s">
        <v>44760</v>
      </c>
      <c r="P6109">
        <v>0</v>
      </c>
      <c r="Q6109">
        <v>0</v>
      </c>
      <c r="R6109" t="s">
        <v>44766</v>
      </c>
      <c r="S6109" t="s">
        <v>44902</v>
      </c>
      <c r="T6109" t="s">
        <v>46497</v>
      </c>
      <c r="U6109" t="s">
        <v>52064</v>
      </c>
      <c r="W6109" t="s">
        <v>42870</v>
      </c>
      <c r="X6109" t="s">
        <v>44767</v>
      </c>
    </row>
    <row r="6110" spans="1:24">
      <c r="A6110">
        <f>HYPERLINK("https://www.philgeps.gov.ph/GEPSNONPILOT/Tender/SplashBidNoticeAbstractUI.aspx?menuIndex=3&amp;refID=7147337&amp;Result=3","7147337")</f>
        <v>0</v>
      </c>
      <c r="B6110" t="s">
        <v>835</v>
      </c>
      <c r="C6110" t="s">
        <v>9535</v>
      </c>
      <c r="D6110" t="s">
        <v>18029</v>
      </c>
      <c r="E6110" t="s">
        <v>23446</v>
      </c>
      <c r="F6110" t="s">
        <v>30900</v>
      </c>
      <c r="G6110" t="s">
        <v>30907</v>
      </c>
      <c r="H6110" t="s">
        <v>30916</v>
      </c>
      <c r="I6110" t="s">
        <v>30933</v>
      </c>
      <c r="J6110" t="s">
        <v>33323</v>
      </c>
      <c r="K6110" t="s">
        <v>40289</v>
      </c>
      <c r="M6110" t="s">
        <v>41408</v>
      </c>
      <c r="N6110" t="s">
        <v>44759</v>
      </c>
      <c r="O6110" t="s">
        <v>44760</v>
      </c>
      <c r="P6110">
        <v>0</v>
      </c>
      <c r="Q6110">
        <v>1</v>
      </c>
      <c r="R6110" t="s">
        <v>44766</v>
      </c>
      <c r="S6110" t="s">
        <v>44902</v>
      </c>
      <c r="T6110" t="s">
        <v>46398</v>
      </c>
      <c r="U6110" t="s">
        <v>52065</v>
      </c>
      <c r="W6110" t="s">
        <v>41408</v>
      </c>
      <c r="X6110" t="s">
        <v>44767</v>
      </c>
    </row>
    <row r="6111" spans="1:24">
      <c r="A6111">
        <f>HYPERLINK("https://www.philgeps.gov.ph/GEPSNONPILOT/Tender/SplashBidNoticeAbstractUI.aspx?menuIndex=3&amp;refID=7147245&amp;Result=3","7147245")</f>
        <v>0</v>
      </c>
      <c r="B6111" t="s">
        <v>2151</v>
      </c>
      <c r="C6111" t="s">
        <v>9536</v>
      </c>
      <c r="D6111" t="s">
        <v>17978</v>
      </c>
      <c r="E6111" t="s">
        <v>18605</v>
      </c>
      <c r="F6111" t="s">
        <v>30900</v>
      </c>
      <c r="G6111" t="s">
        <v>30907</v>
      </c>
      <c r="H6111" t="s">
        <v>30915</v>
      </c>
      <c r="I6111" t="s">
        <v>30919</v>
      </c>
      <c r="J6111" t="s">
        <v>35020</v>
      </c>
      <c r="K6111" t="s">
        <v>40429</v>
      </c>
      <c r="M6111" t="s">
        <v>42855</v>
      </c>
      <c r="N6111" t="s">
        <v>44759</v>
      </c>
      <c r="O6111" t="s">
        <v>44760</v>
      </c>
      <c r="P6111">
        <v>0</v>
      </c>
      <c r="Q6111">
        <v>2</v>
      </c>
      <c r="R6111" t="s">
        <v>44766</v>
      </c>
      <c r="S6111" t="s">
        <v>44902</v>
      </c>
      <c r="T6111" t="s">
        <v>46520</v>
      </c>
      <c r="U6111" t="s">
        <v>51990</v>
      </c>
      <c r="W6111" t="s">
        <v>42855</v>
      </c>
      <c r="X6111" t="s">
        <v>44767</v>
      </c>
    </row>
    <row r="6112" spans="1:24">
      <c r="A6112">
        <f>HYPERLINK("https://www.philgeps.gov.ph/GEPSNONPILOT/Tender/SplashBidNoticeAbstractUI.aspx?menuIndex=3&amp;refID=7147336&amp;Result=3","7147336")</f>
        <v>0</v>
      </c>
      <c r="B6112" t="s">
        <v>903</v>
      </c>
      <c r="C6112" t="s">
        <v>9537</v>
      </c>
      <c r="D6112" t="s">
        <v>17962</v>
      </c>
      <c r="E6112" t="s">
        <v>23447</v>
      </c>
      <c r="F6112" t="s">
        <v>30900</v>
      </c>
      <c r="G6112" t="s">
        <v>30907</v>
      </c>
      <c r="H6112" t="s">
        <v>30916</v>
      </c>
      <c r="I6112" t="s">
        <v>4004</v>
      </c>
      <c r="J6112" t="s">
        <v>31585</v>
      </c>
      <c r="K6112" t="s">
        <v>40283</v>
      </c>
      <c r="M6112" t="s">
        <v>41478</v>
      </c>
      <c r="N6112" t="s">
        <v>44759</v>
      </c>
      <c r="O6112" t="s">
        <v>44760</v>
      </c>
      <c r="P6112">
        <v>0</v>
      </c>
      <c r="Q6112">
        <v>7</v>
      </c>
      <c r="R6112" t="s">
        <v>44766</v>
      </c>
      <c r="S6112" t="s">
        <v>44902</v>
      </c>
      <c r="T6112" t="s">
        <v>46577</v>
      </c>
      <c r="U6112" t="s">
        <v>52066</v>
      </c>
      <c r="W6112" t="s">
        <v>41478</v>
      </c>
      <c r="X6112" t="s">
        <v>44767</v>
      </c>
    </row>
    <row r="6113" spans="1:24">
      <c r="A6113">
        <f>HYPERLINK("https://www.philgeps.gov.ph/GEPSNONPILOT/Tender/SplashBidNoticeAbstractUI.aspx?menuIndex=3&amp;refID=7147333&amp;Result=3","7147333")</f>
        <v>0</v>
      </c>
      <c r="B6113" t="s">
        <v>2144</v>
      </c>
      <c r="C6113" t="s">
        <v>9538</v>
      </c>
      <c r="D6113" t="s">
        <v>17957</v>
      </c>
      <c r="E6113" t="s">
        <v>23448</v>
      </c>
      <c r="F6113" t="s">
        <v>30900</v>
      </c>
      <c r="G6113" t="s">
        <v>30907</v>
      </c>
      <c r="H6113" t="s">
        <v>30916</v>
      </c>
      <c r="I6113" t="s">
        <v>10847</v>
      </c>
      <c r="J6113" t="s">
        <v>35021</v>
      </c>
      <c r="K6113" t="s">
        <v>40286</v>
      </c>
      <c r="M6113" t="s">
        <v>42847</v>
      </c>
      <c r="N6113" t="s">
        <v>44759</v>
      </c>
      <c r="O6113" t="s">
        <v>44760</v>
      </c>
      <c r="P6113">
        <v>0</v>
      </c>
      <c r="Q6113">
        <v>1</v>
      </c>
      <c r="R6113" t="s">
        <v>44766</v>
      </c>
      <c r="S6113" t="s">
        <v>44902</v>
      </c>
      <c r="T6113" t="s">
        <v>46739</v>
      </c>
      <c r="U6113" t="s">
        <v>52067</v>
      </c>
      <c r="W6113" t="s">
        <v>42847</v>
      </c>
      <c r="X6113" t="s">
        <v>44767</v>
      </c>
    </row>
    <row r="6114" spans="1:24">
      <c r="A6114">
        <f>HYPERLINK("https://www.philgeps.gov.ph/GEPSNONPILOT/Tender/SplashBidNoticeAbstractUI.aspx?menuIndex=3&amp;refID=7147306&amp;Result=3","7147306")</f>
        <v>0</v>
      </c>
      <c r="B6114" t="s">
        <v>2184</v>
      </c>
      <c r="C6114" t="s">
        <v>9539</v>
      </c>
      <c r="D6114" t="s">
        <v>17972</v>
      </c>
      <c r="E6114" t="s">
        <v>23449</v>
      </c>
      <c r="F6114" t="s">
        <v>30900</v>
      </c>
      <c r="G6114" t="s">
        <v>30907</v>
      </c>
      <c r="H6114" t="s">
        <v>30915</v>
      </c>
      <c r="I6114" t="s">
        <v>30919</v>
      </c>
      <c r="J6114" t="s">
        <v>32276</v>
      </c>
      <c r="K6114" t="s">
        <v>40428</v>
      </c>
      <c r="L6114" t="s">
        <v>2184</v>
      </c>
      <c r="M6114" t="s">
        <v>42891</v>
      </c>
      <c r="N6114" t="s">
        <v>44759</v>
      </c>
      <c r="O6114" t="s">
        <v>44760</v>
      </c>
      <c r="P6114">
        <v>0</v>
      </c>
      <c r="Q6114">
        <v>0</v>
      </c>
      <c r="R6114" t="s">
        <v>44766</v>
      </c>
      <c r="S6114" t="s">
        <v>44902</v>
      </c>
      <c r="T6114" t="s">
        <v>46519</v>
      </c>
      <c r="U6114" t="s">
        <v>52068</v>
      </c>
      <c r="W6114" t="s">
        <v>42891</v>
      </c>
      <c r="X6114" t="s">
        <v>44767</v>
      </c>
    </row>
    <row r="6115" spans="1:24">
      <c r="A6115">
        <f>HYPERLINK("https://www.philgeps.gov.ph/GEPSNONPILOT/Tender/SplashBidNoticeAbstractUI.aspx?menuIndex=3&amp;refID=7147312&amp;Result=3","7147312")</f>
        <v>0</v>
      </c>
      <c r="B6115" t="s">
        <v>1877</v>
      </c>
      <c r="C6115" t="s">
        <v>9540</v>
      </c>
      <c r="D6115" t="s">
        <v>18005</v>
      </c>
      <c r="E6115" t="s">
        <v>23450</v>
      </c>
      <c r="F6115" t="s">
        <v>30900</v>
      </c>
      <c r="G6115" t="s">
        <v>30907</v>
      </c>
      <c r="H6115" t="s">
        <v>30915</v>
      </c>
      <c r="I6115" t="s">
        <v>30919</v>
      </c>
      <c r="J6115" t="s">
        <v>35022</v>
      </c>
      <c r="K6115" t="s">
        <v>40286</v>
      </c>
      <c r="M6115" t="s">
        <v>42551</v>
      </c>
      <c r="N6115" t="s">
        <v>44759</v>
      </c>
      <c r="O6115" t="s">
        <v>44760</v>
      </c>
      <c r="P6115">
        <v>0</v>
      </c>
      <c r="Q6115">
        <v>0</v>
      </c>
      <c r="R6115" t="s">
        <v>44766</v>
      </c>
      <c r="S6115" t="s">
        <v>44902</v>
      </c>
      <c r="T6115" t="s">
        <v>46405</v>
      </c>
      <c r="U6115" t="s">
        <v>52069</v>
      </c>
      <c r="W6115" t="s">
        <v>42551</v>
      </c>
      <c r="X6115" t="s">
        <v>44767</v>
      </c>
    </row>
    <row r="6116" spans="1:24">
      <c r="A6116">
        <f>HYPERLINK("https://www.philgeps.gov.ph/GEPSNONPILOT/Tender/SplashBidNoticeAbstractUI.aspx?menuIndex=3&amp;refID=7147304&amp;Result=3","7147304")</f>
        <v>0</v>
      </c>
      <c r="B6116" t="s">
        <v>2185</v>
      </c>
      <c r="C6116" t="s">
        <v>9541</v>
      </c>
      <c r="D6116" t="s">
        <v>17951</v>
      </c>
      <c r="E6116" t="s">
        <v>23451</v>
      </c>
      <c r="F6116" t="s">
        <v>30900</v>
      </c>
      <c r="G6116" t="s">
        <v>30907</v>
      </c>
      <c r="H6116" t="s">
        <v>30915</v>
      </c>
      <c r="I6116" t="s">
        <v>30922</v>
      </c>
      <c r="J6116" t="s">
        <v>31152</v>
      </c>
      <c r="K6116" t="s">
        <v>40280</v>
      </c>
      <c r="M6116" t="s">
        <v>42892</v>
      </c>
      <c r="N6116" t="s">
        <v>44759</v>
      </c>
      <c r="O6116" t="s">
        <v>44760</v>
      </c>
      <c r="P6116">
        <v>0</v>
      </c>
      <c r="Q6116">
        <v>0</v>
      </c>
      <c r="R6116" t="s">
        <v>44766</v>
      </c>
      <c r="S6116" t="s">
        <v>44902</v>
      </c>
      <c r="T6116" t="s">
        <v>46428</v>
      </c>
      <c r="U6116" t="s">
        <v>52070</v>
      </c>
      <c r="W6116" t="s">
        <v>42892</v>
      </c>
      <c r="X6116" t="s">
        <v>44767</v>
      </c>
    </row>
    <row r="6117" spans="1:24">
      <c r="A6117">
        <f>HYPERLINK("https://www.philgeps.gov.ph/GEPSNONPILOT/Tender/SplashBidNoticeAbstractUI.aspx?menuIndex=3&amp;refID=7147302&amp;Result=3","7147302")</f>
        <v>0</v>
      </c>
      <c r="B6117" t="s">
        <v>2166</v>
      </c>
      <c r="C6117" t="s">
        <v>9542</v>
      </c>
      <c r="D6117" t="s">
        <v>18002</v>
      </c>
      <c r="E6117" t="s">
        <v>23452</v>
      </c>
      <c r="F6117" t="s">
        <v>30900</v>
      </c>
      <c r="G6117" t="s">
        <v>30908</v>
      </c>
      <c r="H6117" t="s">
        <v>30916</v>
      </c>
      <c r="I6117" t="s">
        <v>30923</v>
      </c>
      <c r="J6117" t="s">
        <v>31243</v>
      </c>
      <c r="K6117" t="s">
        <v>40284</v>
      </c>
      <c r="M6117" t="s">
        <v>42883</v>
      </c>
      <c r="N6117" t="s">
        <v>44759</v>
      </c>
      <c r="O6117" t="s">
        <v>44760</v>
      </c>
      <c r="P6117">
        <v>0</v>
      </c>
      <c r="Q6117">
        <v>10</v>
      </c>
      <c r="R6117" t="s">
        <v>44766</v>
      </c>
      <c r="S6117" t="s">
        <v>44902</v>
      </c>
      <c r="T6117" t="s">
        <v>46376</v>
      </c>
      <c r="U6117" t="s">
        <v>52071</v>
      </c>
      <c r="W6117" t="s">
        <v>60882</v>
      </c>
      <c r="X6117" t="s">
        <v>44767</v>
      </c>
    </row>
    <row r="6118" spans="1:24">
      <c r="A6118">
        <f>HYPERLINK("https://www.philgeps.gov.ph/GEPSNONPILOT/Tender/SplashBidNoticeAbstractUI.aspx?menuIndex=3&amp;refID=7147301&amp;Result=3","7147301")</f>
        <v>0</v>
      </c>
      <c r="B6118" t="s">
        <v>948</v>
      </c>
      <c r="C6118" t="s">
        <v>9543</v>
      </c>
      <c r="D6118" t="s">
        <v>17953</v>
      </c>
      <c r="E6118" t="s">
        <v>23453</v>
      </c>
      <c r="F6118" t="s">
        <v>30900</v>
      </c>
      <c r="G6118" t="s">
        <v>30907</v>
      </c>
      <c r="H6118" t="s">
        <v>30915</v>
      </c>
      <c r="I6118" t="s">
        <v>30919</v>
      </c>
      <c r="J6118" t="s">
        <v>35023</v>
      </c>
      <c r="K6118" t="s">
        <v>40289</v>
      </c>
      <c r="M6118" t="s">
        <v>41533</v>
      </c>
      <c r="N6118" t="s">
        <v>44759</v>
      </c>
      <c r="O6118" t="s">
        <v>44760</v>
      </c>
      <c r="P6118">
        <v>0</v>
      </c>
      <c r="Q6118">
        <v>2</v>
      </c>
      <c r="R6118" t="s">
        <v>44766</v>
      </c>
      <c r="S6118" t="s">
        <v>44902</v>
      </c>
      <c r="T6118" t="s">
        <v>46465</v>
      </c>
      <c r="U6118" t="s">
        <v>48668</v>
      </c>
      <c r="W6118" t="s">
        <v>41533</v>
      </c>
      <c r="X6118" t="s">
        <v>44767</v>
      </c>
    </row>
    <row r="6119" spans="1:24">
      <c r="A6119">
        <f>HYPERLINK("https://www.philgeps.gov.ph/GEPSNONPILOT/Tender/SplashBidNoticeAbstractUI.aspx?menuIndex=3&amp;refID=7147322&amp;Result=3","7147322")</f>
        <v>0</v>
      </c>
      <c r="B6119" t="s">
        <v>2186</v>
      </c>
      <c r="C6119" t="s">
        <v>9544</v>
      </c>
      <c r="E6119" t="s">
        <v>18169</v>
      </c>
      <c r="F6119" t="s">
        <v>30900</v>
      </c>
      <c r="G6119" t="s">
        <v>30907</v>
      </c>
      <c r="H6119" t="s">
        <v>30915</v>
      </c>
      <c r="I6119" t="s">
        <v>30919</v>
      </c>
      <c r="J6119" t="s">
        <v>31096</v>
      </c>
      <c r="K6119" t="s">
        <v>40289</v>
      </c>
      <c r="M6119" t="s">
        <v>42893</v>
      </c>
      <c r="N6119" t="s">
        <v>44759</v>
      </c>
      <c r="O6119" t="s">
        <v>44760</v>
      </c>
      <c r="P6119">
        <v>0</v>
      </c>
      <c r="Q6119">
        <v>0</v>
      </c>
      <c r="R6119" t="s">
        <v>44766</v>
      </c>
      <c r="S6119" t="s">
        <v>44902</v>
      </c>
      <c r="T6119" t="s">
        <v>46439</v>
      </c>
      <c r="U6119" t="s">
        <v>52072</v>
      </c>
      <c r="W6119" t="s">
        <v>42893</v>
      </c>
      <c r="X6119" t="s">
        <v>44767</v>
      </c>
    </row>
    <row r="6120" spans="1:24">
      <c r="A6120">
        <f>HYPERLINK("https://www.philgeps.gov.ph/GEPSNONPILOT/Tender/SplashBidNoticeAbstractUI.aspx?menuIndex=3&amp;refID=7147307&amp;Result=3","7147307")</f>
        <v>0</v>
      </c>
      <c r="B6120" t="s">
        <v>2187</v>
      </c>
      <c r="C6120" t="s">
        <v>9545</v>
      </c>
      <c r="D6120" t="s">
        <v>17955</v>
      </c>
      <c r="E6120" t="s">
        <v>23454</v>
      </c>
      <c r="F6120" t="s">
        <v>30900</v>
      </c>
      <c r="G6120" t="s">
        <v>30907</v>
      </c>
      <c r="H6120" t="s">
        <v>30916</v>
      </c>
      <c r="I6120" t="s">
        <v>30919</v>
      </c>
      <c r="J6120" t="s">
        <v>32324</v>
      </c>
      <c r="K6120" t="s">
        <v>40289</v>
      </c>
      <c r="M6120" t="s">
        <v>42894</v>
      </c>
      <c r="N6120" t="s">
        <v>44759</v>
      </c>
      <c r="O6120" t="s">
        <v>44760</v>
      </c>
      <c r="P6120">
        <v>0</v>
      </c>
      <c r="Q6120">
        <v>1</v>
      </c>
      <c r="R6120" t="s">
        <v>44766</v>
      </c>
      <c r="S6120" t="s">
        <v>44902</v>
      </c>
      <c r="T6120" t="s">
        <v>46409</v>
      </c>
      <c r="U6120" t="s">
        <v>52073</v>
      </c>
      <c r="W6120" t="s">
        <v>42894</v>
      </c>
      <c r="X6120" t="s">
        <v>44767</v>
      </c>
    </row>
    <row r="6121" spans="1:24">
      <c r="A6121">
        <f>HYPERLINK("https://www.philgeps.gov.ph/GEPSNONPILOT/Tender/SplashBidNoticeAbstractUI.aspx?menuIndex=3&amp;refID=7147259&amp;Result=3","7147259")</f>
        <v>0</v>
      </c>
      <c r="B6121" t="s">
        <v>2188</v>
      </c>
      <c r="C6121" t="s">
        <v>9546</v>
      </c>
      <c r="D6121" t="s">
        <v>18005</v>
      </c>
      <c r="E6121" t="s">
        <v>18752</v>
      </c>
      <c r="F6121" t="s">
        <v>30900</v>
      </c>
      <c r="G6121" t="s">
        <v>30907</v>
      </c>
      <c r="H6121" t="s">
        <v>30915</v>
      </c>
      <c r="I6121" t="s">
        <v>30971</v>
      </c>
      <c r="J6121" t="s">
        <v>35024</v>
      </c>
      <c r="K6121" t="s">
        <v>40430</v>
      </c>
      <c r="M6121" t="s">
        <v>42895</v>
      </c>
      <c r="N6121" t="s">
        <v>44759</v>
      </c>
      <c r="O6121" t="s">
        <v>44760</v>
      </c>
      <c r="P6121">
        <v>0</v>
      </c>
      <c r="Q6121">
        <v>2</v>
      </c>
      <c r="R6121" t="s">
        <v>44766</v>
      </c>
      <c r="S6121" t="s">
        <v>44902</v>
      </c>
      <c r="T6121" t="s">
        <v>46740</v>
      </c>
      <c r="U6121" t="s">
        <v>52074</v>
      </c>
      <c r="W6121" t="s">
        <v>42895</v>
      </c>
      <c r="X6121" t="s">
        <v>44767</v>
      </c>
    </row>
    <row r="6122" spans="1:24">
      <c r="A6122">
        <f>HYPERLINK("https://www.philgeps.gov.ph/GEPSNONPILOT/Tender/SplashBidNoticeAbstractUI.aspx?menuIndex=3&amp;refID=7147341&amp;Result=3","7147341")</f>
        <v>0</v>
      </c>
      <c r="B6122" t="s">
        <v>2189</v>
      </c>
      <c r="C6122" t="s">
        <v>9547</v>
      </c>
      <c r="D6122" t="s">
        <v>18007</v>
      </c>
      <c r="E6122" t="s">
        <v>19585</v>
      </c>
      <c r="F6122" t="s">
        <v>30900</v>
      </c>
      <c r="G6122" t="s">
        <v>30907</v>
      </c>
      <c r="H6122" t="s">
        <v>30916</v>
      </c>
      <c r="I6122" t="s">
        <v>30931</v>
      </c>
      <c r="J6122" t="s">
        <v>31896</v>
      </c>
      <c r="K6122" t="s">
        <v>40286</v>
      </c>
      <c r="M6122" t="s">
        <v>42896</v>
      </c>
      <c r="N6122" t="s">
        <v>44759</v>
      </c>
      <c r="O6122" t="s">
        <v>44760</v>
      </c>
      <c r="P6122">
        <v>0</v>
      </c>
      <c r="Q6122">
        <v>3</v>
      </c>
      <c r="R6122" t="s">
        <v>44766</v>
      </c>
      <c r="S6122" t="s">
        <v>44902</v>
      </c>
      <c r="T6122" t="s">
        <v>46519</v>
      </c>
      <c r="U6122" t="s">
        <v>52075</v>
      </c>
      <c r="W6122" t="s">
        <v>42896</v>
      </c>
      <c r="X6122" t="s">
        <v>44767</v>
      </c>
    </row>
    <row r="6123" spans="1:24">
      <c r="A6123">
        <f>HYPERLINK("https://www.philgeps.gov.ph/GEPSNONPILOT/Tender/SplashBidNoticeAbstractUI.aspx?menuIndex=3&amp;refID=7147354&amp;Result=3","7147354")</f>
        <v>0</v>
      </c>
      <c r="B6123" t="s">
        <v>2026</v>
      </c>
      <c r="C6123" t="s">
        <v>9548</v>
      </c>
      <c r="D6123" t="s">
        <v>18004</v>
      </c>
      <c r="E6123" t="s">
        <v>23455</v>
      </c>
      <c r="F6123" t="s">
        <v>30900</v>
      </c>
      <c r="G6123" t="s">
        <v>30907</v>
      </c>
      <c r="H6123" t="s">
        <v>30916</v>
      </c>
      <c r="I6123" t="s">
        <v>30941</v>
      </c>
      <c r="J6123" t="s">
        <v>35025</v>
      </c>
      <c r="K6123" t="s">
        <v>40287</v>
      </c>
      <c r="M6123" t="s">
        <v>42722</v>
      </c>
      <c r="N6123" t="s">
        <v>44759</v>
      </c>
      <c r="O6123" t="s">
        <v>44760</v>
      </c>
      <c r="P6123">
        <v>0</v>
      </c>
      <c r="Q6123">
        <v>0</v>
      </c>
      <c r="R6123" t="s">
        <v>44766</v>
      </c>
      <c r="S6123" t="s">
        <v>44902</v>
      </c>
      <c r="T6123" t="s">
        <v>46545</v>
      </c>
      <c r="U6123" t="s">
        <v>51670</v>
      </c>
      <c r="W6123" t="s">
        <v>42722</v>
      </c>
      <c r="X6123" t="s">
        <v>44767</v>
      </c>
    </row>
    <row r="6124" spans="1:24">
      <c r="A6124">
        <f>HYPERLINK("https://www.philgeps.gov.ph/GEPSNONPILOT/Tender/SplashBidNoticeAbstractUI.aspx?menuIndex=3&amp;refID=7147367&amp;Result=3","7147367")</f>
        <v>0</v>
      </c>
      <c r="B6124" t="s">
        <v>291</v>
      </c>
      <c r="C6124" t="s">
        <v>9549</v>
      </c>
      <c r="D6124" t="s">
        <v>17959</v>
      </c>
      <c r="E6124" t="s">
        <v>23456</v>
      </c>
      <c r="F6124" t="s">
        <v>30900</v>
      </c>
      <c r="G6124" t="s">
        <v>30906</v>
      </c>
      <c r="H6124" t="s">
        <v>30916</v>
      </c>
      <c r="I6124" t="s">
        <v>4142</v>
      </c>
      <c r="J6124" t="s">
        <v>35026</v>
      </c>
      <c r="K6124" t="s">
        <v>40287</v>
      </c>
      <c r="M6124" t="s">
        <v>40839</v>
      </c>
      <c r="N6124" t="s">
        <v>44759</v>
      </c>
      <c r="O6124" t="s">
        <v>44760</v>
      </c>
      <c r="P6124">
        <v>0</v>
      </c>
      <c r="Q6124">
        <v>6</v>
      </c>
      <c r="R6124" t="s">
        <v>44766</v>
      </c>
      <c r="S6124" t="s">
        <v>44902</v>
      </c>
      <c r="T6124" t="s">
        <v>46399</v>
      </c>
      <c r="U6124" t="s">
        <v>52076</v>
      </c>
      <c r="V6124" t="s">
        <v>59790</v>
      </c>
      <c r="W6124" t="s">
        <v>40839</v>
      </c>
      <c r="X6124" t="s">
        <v>44767</v>
      </c>
    </row>
    <row r="6125" spans="1:24">
      <c r="A6125">
        <f>HYPERLINK("https://www.philgeps.gov.ph/GEPSNONPILOT/Tender/SplashBidNoticeAbstractUI.aspx?menuIndex=3&amp;refID=7147352&amp;Result=3","7147352")</f>
        <v>0</v>
      </c>
      <c r="B6125" t="s">
        <v>2185</v>
      </c>
      <c r="C6125" t="s">
        <v>9550</v>
      </c>
      <c r="D6125" t="s">
        <v>17951</v>
      </c>
      <c r="E6125" t="s">
        <v>23451</v>
      </c>
      <c r="F6125" t="s">
        <v>30900</v>
      </c>
      <c r="G6125" t="s">
        <v>30907</v>
      </c>
      <c r="H6125" t="s">
        <v>30916</v>
      </c>
      <c r="I6125" t="s">
        <v>30962</v>
      </c>
      <c r="J6125" t="s">
        <v>31341</v>
      </c>
      <c r="K6125" t="s">
        <v>40280</v>
      </c>
      <c r="M6125" t="s">
        <v>42892</v>
      </c>
      <c r="N6125" t="s">
        <v>44759</v>
      </c>
      <c r="O6125" t="s">
        <v>44760</v>
      </c>
      <c r="P6125">
        <v>0</v>
      </c>
      <c r="Q6125">
        <v>2</v>
      </c>
      <c r="R6125" t="s">
        <v>44766</v>
      </c>
      <c r="S6125" t="s">
        <v>44902</v>
      </c>
      <c r="T6125" t="s">
        <v>46428</v>
      </c>
      <c r="U6125" t="s">
        <v>52077</v>
      </c>
      <c r="W6125" t="s">
        <v>42892</v>
      </c>
      <c r="X6125" t="s">
        <v>44767</v>
      </c>
    </row>
    <row r="6126" spans="1:24">
      <c r="A6126">
        <f>HYPERLINK("https://www.philgeps.gov.ph/GEPSNONPILOT/Tender/SplashBidNoticeAbstractUI.aspx?menuIndex=3&amp;refID=7147348&amp;Result=3","7147348")</f>
        <v>0</v>
      </c>
      <c r="B6126" t="s">
        <v>257</v>
      </c>
      <c r="C6126" t="s">
        <v>9551</v>
      </c>
      <c r="D6126" t="s">
        <v>17985</v>
      </c>
      <c r="E6126" t="s">
        <v>23457</v>
      </c>
      <c r="F6126" t="s">
        <v>30900</v>
      </c>
      <c r="G6126" t="s">
        <v>30907</v>
      </c>
      <c r="H6126" t="s">
        <v>30916</v>
      </c>
      <c r="I6126" t="s">
        <v>8123</v>
      </c>
      <c r="J6126" t="s">
        <v>35027</v>
      </c>
      <c r="K6126" t="s">
        <v>40286</v>
      </c>
      <c r="M6126" t="s">
        <v>40804</v>
      </c>
      <c r="N6126" t="s">
        <v>44759</v>
      </c>
      <c r="O6126" t="s">
        <v>44760</v>
      </c>
      <c r="P6126">
        <v>0</v>
      </c>
      <c r="Q6126">
        <v>1</v>
      </c>
      <c r="R6126" t="s">
        <v>44766</v>
      </c>
      <c r="S6126" t="s">
        <v>44902</v>
      </c>
      <c r="T6126" t="s">
        <v>46356</v>
      </c>
      <c r="U6126" t="s">
        <v>52078</v>
      </c>
      <c r="V6126" t="s">
        <v>59791</v>
      </c>
      <c r="W6126" t="s">
        <v>40804</v>
      </c>
      <c r="X6126" t="s">
        <v>44767</v>
      </c>
    </row>
    <row r="6127" spans="1:24">
      <c r="A6127">
        <f>HYPERLINK("https://www.philgeps.gov.ph/GEPSNONPILOT/Tender/SplashBidNoticeAbstractUI.aspx?menuIndex=3&amp;refID=7147347&amp;Result=3","7147347")</f>
        <v>0</v>
      </c>
      <c r="B6127" t="s">
        <v>2190</v>
      </c>
      <c r="C6127" t="s">
        <v>9552</v>
      </c>
      <c r="D6127" t="s">
        <v>17952</v>
      </c>
      <c r="E6127" t="s">
        <v>20253</v>
      </c>
      <c r="F6127" t="s">
        <v>30900</v>
      </c>
      <c r="G6127" t="s">
        <v>30907</v>
      </c>
      <c r="H6127" t="s">
        <v>30916</v>
      </c>
      <c r="I6127" t="s">
        <v>30933</v>
      </c>
      <c r="J6127" t="s">
        <v>31241</v>
      </c>
      <c r="K6127" t="s">
        <v>40289</v>
      </c>
      <c r="M6127" t="s">
        <v>42897</v>
      </c>
      <c r="N6127" t="s">
        <v>44759</v>
      </c>
      <c r="O6127" t="s">
        <v>44760</v>
      </c>
      <c r="P6127">
        <v>0</v>
      </c>
      <c r="Q6127">
        <v>3</v>
      </c>
      <c r="R6127" t="s">
        <v>44766</v>
      </c>
      <c r="S6127" t="s">
        <v>44902</v>
      </c>
      <c r="T6127" t="s">
        <v>46411</v>
      </c>
      <c r="U6127" t="s">
        <v>52079</v>
      </c>
      <c r="W6127" t="s">
        <v>42897</v>
      </c>
      <c r="X6127" t="s">
        <v>44767</v>
      </c>
    </row>
    <row r="6128" spans="1:24">
      <c r="A6128">
        <f>HYPERLINK("https://www.philgeps.gov.ph/GEPSNONPILOT/Tender/SplashBidNoticeAbstractUI.aspx?menuIndex=3&amp;refID=7147345&amp;Result=3","7147345")</f>
        <v>0</v>
      </c>
      <c r="B6128" t="s">
        <v>2191</v>
      </c>
      <c r="C6128" t="s">
        <v>9553</v>
      </c>
      <c r="D6128" t="s">
        <v>18019</v>
      </c>
      <c r="E6128" t="s">
        <v>22492</v>
      </c>
      <c r="F6128" t="s">
        <v>30900</v>
      </c>
      <c r="G6128" t="s">
        <v>30908</v>
      </c>
      <c r="H6128" t="s">
        <v>30916</v>
      </c>
      <c r="I6128" t="s">
        <v>8365</v>
      </c>
      <c r="J6128" t="s">
        <v>35028</v>
      </c>
      <c r="K6128" t="s">
        <v>40287</v>
      </c>
      <c r="M6128" t="s">
        <v>42898</v>
      </c>
      <c r="N6128" t="s">
        <v>44759</v>
      </c>
      <c r="O6128" t="s">
        <v>44760</v>
      </c>
      <c r="P6128">
        <v>0</v>
      </c>
      <c r="Q6128">
        <v>3</v>
      </c>
      <c r="R6128" t="s">
        <v>44766</v>
      </c>
      <c r="S6128" t="s">
        <v>44902</v>
      </c>
      <c r="T6128" t="s">
        <v>46741</v>
      </c>
      <c r="U6128" t="s">
        <v>52080</v>
      </c>
      <c r="V6128" t="s">
        <v>59792</v>
      </c>
      <c r="W6128" t="s">
        <v>42898</v>
      </c>
      <c r="X6128" t="s">
        <v>44767</v>
      </c>
    </row>
    <row r="6129" spans="1:24">
      <c r="A6129">
        <f>HYPERLINK("https://www.philgeps.gov.ph/GEPSNONPILOT/Tender/SplashBidNoticeAbstractUI.aspx?menuIndex=3&amp;refID=7147343&amp;Result=3","7147343")</f>
        <v>0</v>
      </c>
      <c r="B6129" t="s">
        <v>2141</v>
      </c>
      <c r="C6129" t="s">
        <v>9554</v>
      </c>
      <c r="D6129" t="s">
        <v>17959</v>
      </c>
      <c r="E6129" t="s">
        <v>23458</v>
      </c>
      <c r="F6129" t="s">
        <v>30900</v>
      </c>
      <c r="G6129" t="s">
        <v>30908</v>
      </c>
      <c r="H6129" t="s">
        <v>30916</v>
      </c>
      <c r="I6129" t="s">
        <v>30925</v>
      </c>
      <c r="J6129" t="s">
        <v>35029</v>
      </c>
      <c r="K6129" t="s">
        <v>40283</v>
      </c>
      <c r="M6129" t="s">
        <v>42843</v>
      </c>
      <c r="N6129" t="s">
        <v>44759</v>
      </c>
      <c r="O6129" t="s">
        <v>44760</v>
      </c>
      <c r="P6129">
        <v>0</v>
      </c>
      <c r="Q6129">
        <v>3</v>
      </c>
      <c r="R6129" t="s">
        <v>44766</v>
      </c>
      <c r="S6129" t="s">
        <v>44902</v>
      </c>
      <c r="T6129" t="s">
        <v>46704</v>
      </c>
      <c r="U6129" t="s">
        <v>52081</v>
      </c>
      <c r="W6129" t="s">
        <v>42843</v>
      </c>
      <c r="X6129" t="s">
        <v>44767</v>
      </c>
    </row>
    <row r="6130" spans="1:24">
      <c r="A6130">
        <f>HYPERLINK("https://www.philgeps.gov.ph/GEPSNONPILOT/Tender/SplashBidNoticeAbstractUI.aspx?menuIndex=3&amp;refID=7147358&amp;Result=3","7147358")</f>
        <v>0</v>
      </c>
      <c r="B6130" t="s">
        <v>1534</v>
      </c>
      <c r="C6130" t="s">
        <v>9555</v>
      </c>
      <c r="D6130" t="s">
        <v>18004</v>
      </c>
      <c r="E6130" t="s">
        <v>23459</v>
      </c>
      <c r="F6130" t="s">
        <v>30900</v>
      </c>
      <c r="G6130" t="s">
        <v>30907</v>
      </c>
      <c r="H6130" t="s">
        <v>30916</v>
      </c>
      <c r="I6130" t="s">
        <v>30933</v>
      </c>
      <c r="J6130" t="s">
        <v>31152</v>
      </c>
      <c r="K6130" t="s">
        <v>40287</v>
      </c>
      <c r="M6130" t="s">
        <v>42177</v>
      </c>
      <c r="N6130" t="s">
        <v>44759</v>
      </c>
      <c r="O6130" t="s">
        <v>44760</v>
      </c>
      <c r="P6130">
        <v>0</v>
      </c>
      <c r="Q6130">
        <v>2</v>
      </c>
      <c r="R6130" t="s">
        <v>44766</v>
      </c>
      <c r="S6130" t="s">
        <v>44902</v>
      </c>
      <c r="T6130" t="s">
        <v>46742</v>
      </c>
      <c r="U6130" t="s">
        <v>52082</v>
      </c>
      <c r="W6130" t="s">
        <v>42177</v>
      </c>
      <c r="X6130" t="s">
        <v>44767</v>
      </c>
    </row>
    <row r="6131" spans="1:24">
      <c r="A6131">
        <f>HYPERLINK("https://www.philgeps.gov.ph/GEPSNONPILOT/Tender/SplashBidNoticeAbstractUI.aspx?menuIndex=3&amp;refID=7147353&amp;Result=3","7147353")</f>
        <v>0</v>
      </c>
      <c r="B6131" t="s">
        <v>2166</v>
      </c>
      <c r="C6131" t="s">
        <v>9556</v>
      </c>
      <c r="D6131" t="s">
        <v>18002</v>
      </c>
      <c r="E6131" t="s">
        <v>23460</v>
      </c>
      <c r="F6131" t="s">
        <v>30900</v>
      </c>
      <c r="G6131" t="s">
        <v>30908</v>
      </c>
      <c r="H6131" t="s">
        <v>30916</v>
      </c>
      <c r="I6131" t="s">
        <v>30923</v>
      </c>
      <c r="J6131" t="s">
        <v>33684</v>
      </c>
      <c r="K6131" t="s">
        <v>40284</v>
      </c>
      <c r="M6131" t="s">
        <v>42883</v>
      </c>
      <c r="N6131" t="s">
        <v>44759</v>
      </c>
      <c r="O6131" t="s">
        <v>44760</v>
      </c>
      <c r="P6131">
        <v>0</v>
      </c>
      <c r="Q6131">
        <v>5</v>
      </c>
      <c r="R6131" t="s">
        <v>44766</v>
      </c>
      <c r="S6131" t="s">
        <v>44902</v>
      </c>
      <c r="T6131" t="s">
        <v>46376</v>
      </c>
      <c r="U6131" t="s">
        <v>52083</v>
      </c>
      <c r="W6131" t="s">
        <v>60882</v>
      </c>
      <c r="X6131" t="s">
        <v>44767</v>
      </c>
    </row>
    <row r="6132" spans="1:24">
      <c r="A6132">
        <f>HYPERLINK("https://www.philgeps.gov.ph/GEPSNONPILOT/Tender/SplashBidNoticeAbstractUI.aspx?menuIndex=3&amp;refID=7147372&amp;Result=3","7147372")</f>
        <v>0</v>
      </c>
      <c r="B6132" t="s">
        <v>179</v>
      </c>
      <c r="C6132" t="s">
        <v>9557</v>
      </c>
      <c r="D6132" t="s">
        <v>17953</v>
      </c>
      <c r="E6132" t="s">
        <v>23461</v>
      </c>
      <c r="F6132" t="s">
        <v>30900</v>
      </c>
      <c r="G6132" t="s">
        <v>30907</v>
      </c>
      <c r="H6132" t="s">
        <v>30915</v>
      </c>
      <c r="I6132" t="s">
        <v>30919</v>
      </c>
      <c r="J6132" t="s">
        <v>31101</v>
      </c>
      <c r="K6132" t="s">
        <v>40280</v>
      </c>
      <c r="M6132" t="s">
        <v>40726</v>
      </c>
      <c r="N6132" t="s">
        <v>44759</v>
      </c>
      <c r="O6132" t="s">
        <v>44760</v>
      </c>
      <c r="P6132">
        <v>0</v>
      </c>
      <c r="Q6132">
        <v>0</v>
      </c>
      <c r="R6132" t="s">
        <v>44766</v>
      </c>
      <c r="S6132" t="s">
        <v>44902</v>
      </c>
      <c r="T6132" t="s">
        <v>46400</v>
      </c>
      <c r="U6132" t="s">
        <v>52084</v>
      </c>
      <c r="W6132" t="s">
        <v>40726</v>
      </c>
      <c r="X6132" t="s">
        <v>44767</v>
      </c>
    </row>
    <row r="6133" spans="1:24">
      <c r="A6133">
        <f>HYPERLINK("https://www.philgeps.gov.ph/GEPSNONPILOT/Tender/SplashBidNoticeAbstractUI.aspx?menuIndex=3&amp;refID=7147371&amp;Result=3","7147371")</f>
        <v>0</v>
      </c>
      <c r="B6133" t="s">
        <v>2141</v>
      </c>
      <c r="C6133" t="s">
        <v>9443</v>
      </c>
      <c r="D6133" t="s">
        <v>18021</v>
      </c>
      <c r="E6133" t="s">
        <v>23462</v>
      </c>
      <c r="F6133" t="s">
        <v>30900</v>
      </c>
      <c r="G6133" t="s">
        <v>30908</v>
      </c>
      <c r="H6133" t="s">
        <v>30916</v>
      </c>
      <c r="I6133" t="s">
        <v>30956</v>
      </c>
      <c r="J6133" t="s">
        <v>34961</v>
      </c>
      <c r="K6133" t="s">
        <v>40283</v>
      </c>
      <c r="M6133" t="s">
        <v>42843</v>
      </c>
      <c r="N6133" t="s">
        <v>44759</v>
      </c>
      <c r="O6133" t="s">
        <v>44760</v>
      </c>
      <c r="P6133">
        <v>0</v>
      </c>
      <c r="Q6133">
        <v>4</v>
      </c>
      <c r="R6133" t="s">
        <v>44766</v>
      </c>
      <c r="S6133" t="s">
        <v>44902</v>
      </c>
      <c r="T6133" t="s">
        <v>46704</v>
      </c>
      <c r="U6133" t="s">
        <v>52085</v>
      </c>
      <c r="W6133" t="s">
        <v>42843</v>
      </c>
      <c r="X6133" t="s">
        <v>44767</v>
      </c>
    </row>
    <row r="6134" spans="1:24">
      <c r="A6134">
        <f>HYPERLINK("https://www.philgeps.gov.ph/GEPSNONPILOT/Tender/SplashBidNoticeAbstractUI.aspx?menuIndex=3&amp;refID=7147370&amp;Result=3","7147370")</f>
        <v>0</v>
      </c>
      <c r="B6134" t="s">
        <v>2151</v>
      </c>
      <c r="C6134" t="s">
        <v>9558</v>
      </c>
      <c r="D6134" t="s">
        <v>18007</v>
      </c>
      <c r="E6134" t="s">
        <v>22263</v>
      </c>
      <c r="F6134" t="s">
        <v>30900</v>
      </c>
      <c r="G6134" t="s">
        <v>30907</v>
      </c>
      <c r="H6134" t="s">
        <v>30915</v>
      </c>
      <c r="I6134" t="s">
        <v>30919</v>
      </c>
      <c r="J6134" t="s">
        <v>35030</v>
      </c>
      <c r="K6134" t="s">
        <v>40425</v>
      </c>
      <c r="M6134" t="s">
        <v>42855</v>
      </c>
      <c r="N6134" t="s">
        <v>44759</v>
      </c>
      <c r="O6134" t="s">
        <v>44760</v>
      </c>
      <c r="P6134">
        <v>0</v>
      </c>
      <c r="Q6134">
        <v>3</v>
      </c>
      <c r="R6134" t="s">
        <v>44766</v>
      </c>
      <c r="S6134" t="s">
        <v>44902</v>
      </c>
      <c r="T6134" t="s">
        <v>46520</v>
      </c>
      <c r="U6134" t="s">
        <v>51990</v>
      </c>
      <c r="W6134" t="s">
        <v>42855</v>
      </c>
      <c r="X6134" t="s">
        <v>44767</v>
      </c>
    </row>
    <row r="6135" spans="1:24">
      <c r="A6135">
        <f>HYPERLINK("https://www.philgeps.gov.ph/GEPSNONPILOT/Tender/SplashBidNoticeAbstractUI.aspx?menuIndex=3&amp;refID=7147369&amp;Result=3","7147369")</f>
        <v>0</v>
      </c>
      <c r="B6135" t="s">
        <v>43</v>
      </c>
      <c r="C6135" t="s">
        <v>9559</v>
      </c>
      <c r="D6135" t="s">
        <v>17968</v>
      </c>
      <c r="E6135" t="s">
        <v>23463</v>
      </c>
      <c r="F6135" t="s">
        <v>30900</v>
      </c>
      <c r="G6135" t="s">
        <v>30908</v>
      </c>
      <c r="H6135" t="s">
        <v>30916</v>
      </c>
      <c r="I6135" t="s">
        <v>30923</v>
      </c>
      <c r="J6135" t="s">
        <v>31049</v>
      </c>
      <c r="K6135" t="s">
        <v>40286</v>
      </c>
      <c r="M6135" t="s">
        <v>42744</v>
      </c>
      <c r="N6135" t="s">
        <v>44759</v>
      </c>
      <c r="O6135" t="s">
        <v>44760</v>
      </c>
      <c r="P6135">
        <v>0</v>
      </c>
      <c r="Q6135">
        <v>12</v>
      </c>
      <c r="R6135" t="s">
        <v>44766</v>
      </c>
      <c r="S6135" t="s">
        <v>44902</v>
      </c>
      <c r="T6135" t="s">
        <v>46548</v>
      </c>
      <c r="U6135" t="s">
        <v>52086</v>
      </c>
      <c r="V6135" t="s">
        <v>59730</v>
      </c>
      <c r="W6135" t="s">
        <v>42744</v>
      </c>
      <c r="X6135" t="s">
        <v>44767</v>
      </c>
    </row>
    <row r="6136" spans="1:24">
      <c r="A6136">
        <f>HYPERLINK("https://www.philgeps.gov.ph/GEPSNONPILOT/Tender/SplashBidNoticeAbstractUI.aspx?menuIndex=3&amp;refID=7147368&amp;Result=3","7147368")</f>
        <v>0</v>
      </c>
      <c r="B6136" t="s">
        <v>2192</v>
      </c>
      <c r="C6136" t="s">
        <v>9560</v>
      </c>
      <c r="D6136" t="s">
        <v>17961</v>
      </c>
      <c r="E6136" t="s">
        <v>23464</v>
      </c>
      <c r="F6136" t="s">
        <v>30900</v>
      </c>
      <c r="G6136" t="s">
        <v>30908</v>
      </c>
      <c r="H6136" t="s">
        <v>30916</v>
      </c>
      <c r="I6136" t="s">
        <v>30957</v>
      </c>
      <c r="J6136" t="s">
        <v>31341</v>
      </c>
      <c r="K6136" t="s">
        <v>40286</v>
      </c>
      <c r="M6136" t="s">
        <v>42899</v>
      </c>
      <c r="N6136" t="s">
        <v>44759</v>
      </c>
      <c r="O6136" t="s">
        <v>44760</v>
      </c>
      <c r="P6136">
        <v>0</v>
      </c>
      <c r="Q6136">
        <v>0</v>
      </c>
      <c r="R6136" t="s">
        <v>44766</v>
      </c>
      <c r="S6136" t="s">
        <v>44902</v>
      </c>
      <c r="T6136" t="s">
        <v>46457</v>
      </c>
      <c r="U6136" t="s">
        <v>52087</v>
      </c>
      <c r="V6136" t="s">
        <v>59793</v>
      </c>
      <c r="W6136" t="s">
        <v>42899</v>
      </c>
      <c r="X6136" t="s">
        <v>44767</v>
      </c>
    </row>
    <row r="6137" spans="1:24">
      <c r="A6137">
        <f>HYPERLINK("https://www.philgeps.gov.ph/GEPSNONPILOT/Tender/SplashBidNoticeAbstractUI.aspx?menuIndex=3&amp;refID=7147374&amp;Result=3","7147374")</f>
        <v>0</v>
      </c>
      <c r="B6137" t="s">
        <v>830</v>
      </c>
      <c r="C6137" t="s">
        <v>9561</v>
      </c>
      <c r="D6137" t="s">
        <v>18027</v>
      </c>
      <c r="E6137" t="s">
        <v>23465</v>
      </c>
      <c r="F6137" t="s">
        <v>30900</v>
      </c>
      <c r="G6137" t="s">
        <v>30907</v>
      </c>
      <c r="H6137" t="s">
        <v>30915</v>
      </c>
      <c r="I6137" t="s">
        <v>30971</v>
      </c>
      <c r="J6137" t="s">
        <v>35031</v>
      </c>
      <c r="K6137" t="s">
        <v>40395</v>
      </c>
      <c r="M6137" t="s">
        <v>41403</v>
      </c>
      <c r="N6137" t="s">
        <v>44759</v>
      </c>
      <c r="O6137" t="s">
        <v>44760</v>
      </c>
      <c r="P6137">
        <v>0</v>
      </c>
      <c r="Q6137">
        <v>0</v>
      </c>
      <c r="R6137" t="s">
        <v>44766</v>
      </c>
      <c r="S6137" t="s">
        <v>44902</v>
      </c>
      <c r="T6137" t="s">
        <v>46743</v>
      </c>
      <c r="U6137" t="s">
        <v>52088</v>
      </c>
      <c r="V6137" t="s">
        <v>59794</v>
      </c>
      <c r="W6137" t="s">
        <v>41403</v>
      </c>
      <c r="X6137" t="s">
        <v>44767</v>
      </c>
    </row>
    <row r="6138" spans="1:24">
      <c r="A6138">
        <f>HYPERLINK("https://www.philgeps.gov.ph/GEPSNONPILOT/Tender/SplashBidNoticeAbstractUI.aspx?menuIndex=3&amp;refID=7147373&amp;Result=3","7147373")</f>
        <v>0</v>
      </c>
      <c r="B6138" t="s">
        <v>2165</v>
      </c>
      <c r="C6138" t="s">
        <v>9562</v>
      </c>
      <c r="D6138" t="s">
        <v>17995</v>
      </c>
      <c r="E6138" t="s">
        <v>23466</v>
      </c>
      <c r="F6138" t="s">
        <v>30900</v>
      </c>
      <c r="G6138" t="s">
        <v>30907</v>
      </c>
      <c r="H6138" t="s">
        <v>30916</v>
      </c>
      <c r="I6138" t="s">
        <v>8123</v>
      </c>
      <c r="J6138" t="s">
        <v>35032</v>
      </c>
      <c r="K6138" t="s">
        <v>40286</v>
      </c>
      <c r="M6138" t="s">
        <v>42870</v>
      </c>
      <c r="N6138" t="s">
        <v>44759</v>
      </c>
      <c r="O6138" t="s">
        <v>44760</v>
      </c>
      <c r="P6138">
        <v>0</v>
      </c>
      <c r="Q6138">
        <v>1</v>
      </c>
      <c r="R6138" t="s">
        <v>44766</v>
      </c>
      <c r="S6138" t="s">
        <v>44902</v>
      </c>
      <c r="T6138" t="s">
        <v>46744</v>
      </c>
      <c r="U6138" t="s">
        <v>52089</v>
      </c>
      <c r="W6138" t="s">
        <v>42870</v>
      </c>
      <c r="X6138" t="s">
        <v>44767</v>
      </c>
    </row>
    <row r="6139" spans="1:24">
      <c r="A6139">
        <f>HYPERLINK("https://www.philgeps.gov.ph/GEPSNONPILOT/Tender/SplashBidNoticeAbstractUI.aspx?menuIndex=3&amp;refID=7147313&amp;Result=3","7147313")</f>
        <v>0</v>
      </c>
      <c r="B6139" t="s">
        <v>2193</v>
      </c>
      <c r="C6139" t="s">
        <v>9563</v>
      </c>
      <c r="D6139" t="s">
        <v>17999</v>
      </c>
      <c r="E6139" t="s">
        <v>19256</v>
      </c>
      <c r="F6139" t="s">
        <v>30900</v>
      </c>
      <c r="G6139" t="s">
        <v>30908</v>
      </c>
      <c r="H6139" t="s">
        <v>30916</v>
      </c>
      <c r="I6139" t="s">
        <v>4454</v>
      </c>
      <c r="J6139" t="s">
        <v>31522</v>
      </c>
      <c r="K6139" t="s">
        <v>40287</v>
      </c>
      <c r="M6139" t="s">
        <v>42900</v>
      </c>
      <c r="N6139" t="s">
        <v>44759</v>
      </c>
      <c r="O6139" t="s">
        <v>44760</v>
      </c>
      <c r="P6139">
        <v>0</v>
      </c>
      <c r="Q6139">
        <v>2</v>
      </c>
      <c r="R6139" t="s">
        <v>44766</v>
      </c>
      <c r="S6139" t="s">
        <v>44902</v>
      </c>
      <c r="T6139" t="s">
        <v>46581</v>
      </c>
      <c r="U6139" t="s">
        <v>52090</v>
      </c>
      <c r="V6139" t="s">
        <v>59795</v>
      </c>
      <c r="W6139" t="s">
        <v>42900</v>
      </c>
      <c r="X6139" t="s">
        <v>44767</v>
      </c>
    </row>
    <row r="6140" spans="1:24">
      <c r="A6140">
        <f>HYPERLINK("https://www.philgeps.gov.ph/GEPSNONPILOT/Tender/SplashBidNoticeAbstractUI.aspx?menuIndex=3&amp;refID=7147413&amp;Result=3","7147413")</f>
        <v>0</v>
      </c>
      <c r="B6140" t="s">
        <v>2194</v>
      </c>
      <c r="C6140" t="s">
        <v>9564</v>
      </c>
      <c r="D6140" t="s">
        <v>17953</v>
      </c>
      <c r="E6140" t="s">
        <v>23467</v>
      </c>
      <c r="F6140" t="s">
        <v>30900</v>
      </c>
      <c r="G6140" t="s">
        <v>30908</v>
      </c>
      <c r="H6140" t="s">
        <v>30916</v>
      </c>
      <c r="I6140" t="s">
        <v>30940</v>
      </c>
      <c r="J6140" t="s">
        <v>35033</v>
      </c>
      <c r="K6140" t="s">
        <v>40319</v>
      </c>
      <c r="M6140" t="s">
        <v>42901</v>
      </c>
      <c r="N6140" t="s">
        <v>44759</v>
      </c>
      <c r="O6140" t="s">
        <v>44760</v>
      </c>
      <c r="P6140">
        <v>0</v>
      </c>
      <c r="Q6140">
        <v>2</v>
      </c>
      <c r="R6140" t="s">
        <v>44766</v>
      </c>
      <c r="S6140" t="s">
        <v>44902</v>
      </c>
      <c r="T6140" t="s">
        <v>46625</v>
      </c>
      <c r="U6140" t="s">
        <v>52091</v>
      </c>
      <c r="W6140" t="s">
        <v>42901</v>
      </c>
      <c r="X6140" t="s">
        <v>44767</v>
      </c>
    </row>
    <row r="6141" spans="1:24">
      <c r="A6141">
        <f>HYPERLINK("https://www.philgeps.gov.ph/GEPSNONPILOT/Tender/SplashBidNoticeAbstractUI.aspx?menuIndex=3&amp;refID=7147408&amp;Result=3","7147408")</f>
        <v>0</v>
      </c>
      <c r="B6141" t="s">
        <v>164</v>
      </c>
      <c r="C6141" t="s">
        <v>9565</v>
      </c>
      <c r="D6141" t="s">
        <v>17961</v>
      </c>
      <c r="E6141" t="s">
        <v>23468</v>
      </c>
      <c r="F6141" t="s">
        <v>30900</v>
      </c>
      <c r="G6141" t="s">
        <v>30908</v>
      </c>
      <c r="H6141" t="s">
        <v>30916</v>
      </c>
      <c r="I6141" t="s">
        <v>8123</v>
      </c>
      <c r="J6141" t="s">
        <v>31101</v>
      </c>
      <c r="K6141" t="s">
        <v>40294</v>
      </c>
      <c r="M6141" t="s">
        <v>40711</v>
      </c>
      <c r="N6141" t="s">
        <v>44759</v>
      </c>
      <c r="O6141" t="s">
        <v>44760</v>
      </c>
      <c r="P6141">
        <v>0</v>
      </c>
      <c r="Q6141">
        <v>0</v>
      </c>
      <c r="R6141" t="s">
        <v>44766</v>
      </c>
      <c r="S6141" t="s">
        <v>44902</v>
      </c>
      <c r="T6141" t="s">
        <v>46363</v>
      </c>
      <c r="U6141" t="s">
        <v>52092</v>
      </c>
      <c r="W6141" t="s">
        <v>40711</v>
      </c>
      <c r="X6141" t="s">
        <v>44767</v>
      </c>
    </row>
    <row r="6142" spans="1:24">
      <c r="A6142">
        <f>HYPERLINK("https://www.philgeps.gov.ph/GEPSNONPILOT/Tender/SplashBidNoticeAbstractUI.aspx?menuIndex=3&amp;refID=7147406&amp;Result=3","7147406")</f>
        <v>0</v>
      </c>
      <c r="B6142" t="s">
        <v>2195</v>
      </c>
      <c r="C6142" t="s">
        <v>9566</v>
      </c>
      <c r="D6142" t="s">
        <v>17970</v>
      </c>
      <c r="E6142" t="s">
        <v>23469</v>
      </c>
      <c r="F6142" t="s">
        <v>30900</v>
      </c>
      <c r="G6142" t="s">
        <v>30907</v>
      </c>
      <c r="H6142" t="s">
        <v>30915</v>
      </c>
      <c r="I6142" t="s">
        <v>30919</v>
      </c>
      <c r="J6142" t="s">
        <v>35034</v>
      </c>
      <c r="K6142" t="s">
        <v>40292</v>
      </c>
      <c r="M6142" t="s">
        <v>42902</v>
      </c>
      <c r="N6142" t="s">
        <v>44759</v>
      </c>
      <c r="O6142" t="s">
        <v>44760</v>
      </c>
      <c r="P6142">
        <v>0</v>
      </c>
      <c r="Q6142">
        <v>10</v>
      </c>
      <c r="R6142" t="s">
        <v>44766</v>
      </c>
      <c r="S6142" t="s">
        <v>44902</v>
      </c>
      <c r="T6142" t="s">
        <v>46377</v>
      </c>
      <c r="U6142" t="s">
        <v>52093</v>
      </c>
      <c r="W6142" t="s">
        <v>42902</v>
      </c>
      <c r="X6142" t="s">
        <v>44767</v>
      </c>
    </row>
    <row r="6143" spans="1:24">
      <c r="A6143">
        <f>HYPERLINK("https://www.philgeps.gov.ph/GEPSNONPILOT/Tender/SplashBidNoticeAbstractUI.aspx?menuIndex=3&amp;refID=7147404&amp;Result=3","7147404")</f>
        <v>0</v>
      </c>
      <c r="B6143" t="s">
        <v>2196</v>
      </c>
      <c r="C6143" t="s">
        <v>9567</v>
      </c>
      <c r="D6143" t="s">
        <v>17963</v>
      </c>
      <c r="E6143" t="s">
        <v>23470</v>
      </c>
      <c r="F6143" t="s">
        <v>30900</v>
      </c>
      <c r="G6143" t="s">
        <v>30909</v>
      </c>
      <c r="H6143" t="s">
        <v>30916</v>
      </c>
      <c r="I6143" t="s">
        <v>30957</v>
      </c>
      <c r="J6143" t="s">
        <v>33373</v>
      </c>
      <c r="K6143" t="s">
        <v>40287</v>
      </c>
      <c r="M6143" t="s">
        <v>42903</v>
      </c>
      <c r="N6143" t="s">
        <v>44759</v>
      </c>
      <c r="O6143" t="s">
        <v>44760</v>
      </c>
      <c r="P6143">
        <v>0</v>
      </c>
      <c r="Q6143">
        <v>1</v>
      </c>
      <c r="R6143" t="s">
        <v>44766</v>
      </c>
      <c r="S6143" t="s">
        <v>44902</v>
      </c>
      <c r="T6143" t="s">
        <v>46548</v>
      </c>
      <c r="U6143" t="s">
        <v>52094</v>
      </c>
      <c r="W6143" t="s">
        <v>42903</v>
      </c>
      <c r="X6143" t="s">
        <v>44767</v>
      </c>
    </row>
    <row r="6144" spans="1:24">
      <c r="A6144">
        <f>HYPERLINK("https://www.philgeps.gov.ph/GEPSNONPILOT/Tender/SplashBidNoticeAbstractUI.aspx?menuIndex=3&amp;refID=7147342&amp;Result=3","7147342")</f>
        <v>0</v>
      </c>
      <c r="B6144" t="s">
        <v>2197</v>
      </c>
      <c r="C6144" t="s">
        <v>9568</v>
      </c>
      <c r="D6144" t="s">
        <v>17972</v>
      </c>
      <c r="E6144" t="s">
        <v>23471</v>
      </c>
      <c r="F6144" t="s">
        <v>30900</v>
      </c>
      <c r="G6144" t="s">
        <v>30908</v>
      </c>
      <c r="H6144" t="s">
        <v>30916</v>
      </c>
      <c r="I6144" t="s">
        <v>5501</v>
      </c>
      <c r="J6144" t="s">
        <v>35035</v>
      </c>
      <c r="K6144" t="s">
        <v>40283</v>
      </c>
      <c r="M6144" t="s">
        <v>42904</v>
      </c>
      <c r="N6144" t="s">
        <v>44759</v>
      </c>
      <c r="O6144" t="s">
        <v>44760</v>
      </c>
      <c r="P6144">
        <v>0</v>
      </c>
      <c r="Q6144">
        <v>1</v>
      </c>
      <c r="R6144" t="s">
        <v>44766</v>
      </c>
      <c r="S6144" t="s">
        <v>44902</v>
      </c>
      <c r="T6144" t="s">
        <v>46625</v>
      </c>
      <c r="U6144" t="s">
        <v>52095</v>
      </c>
      <c r="W6144" t="s">
        <v>42904</v>
      </c>
      <c r="X6144" t="s">
        <v>44767</v>
      </c>
    </row>
    <row r="6145" spans="1:24">
      <c r="A6145">
        <f>HYPERLINK("https://www.philgeps.gov.ph/GEPSNONPILOT/Tender/SplashBidNoticeAbstractUI.aspx?menuIndex=3&amp;refID=7147377&amp;Result=3","7147377")</f>
        <v>0</v>
      </c>
      <c r="B6145" t="s">
        <v>2198</v>
      </c>
      <c r="C6145" t="s">
        <v>9569</v>
      </c>
      <c r="D6145" t="s">
        <v>17974</v>
      </c>
      <c r="E6145" t="s">
        <v>23472</v>
      </c>
      <c r="F6145" t="s">
        <v>30900</v>
      </c>
      <c r="G6145" t="s">
        <v>30907</v>
      </c>
      <c r="H6145" t="s">
        <v>30915</v>
      </c>
      <c r="I6145" t="s">
        <v>30919</v>
      </c>
      <c r="J6145" t="s">
        <v>31211</v>
      </c>
      <c r="K6145" t="s">
        <v>40292</v>
      </c>
      <c r="M6145" t="s">
        <v>42905</v>
      </c>
      <c r="N6145" t="s">
        <v>44759</v>
      </c>
      <c r="O6145" t="s">
        <v>44760</v>
      </c>
      <c r="P6145">
        <v>0</v>
      </c>
      <c r="Q6145">
        <v>2</v>
      </c>
      <c r="R6145" t="s">
        <v>44766</v>
      </c>
      <c r="S6145" t="s">
        <v>44902</v>
      </c>
      <c r="T6145" t="s">
        <v>46414</v>
      </c>
      <c r="U6145" t="s">
        <v>52096</v>
      </c>
      <c r="W6145" t="s">
        <v>42905</v>
      </c>
      <c r="X6145" t="s">
        <v>44767</v>
      </c>
    </row>
    <row r="6146" spans="1:24">
      <c r="A6146">
        <f>HYPERLINK("https://www.philgeps.gov.ph/GEPSNONPILOT/Tender/SplashBidNoticeAbstractUI.aspx?menuIndex=3&amp;refID=7147417&amp;Result=3","7147417")</f>
        <v>0</v>
      </c>
      <c r="B6146" t="s">
        <v>2192</v>
      </c>
      <c r="C6146" t="s">
        <v>9570</v>
      </c>
      <c r="D6146" t="s">
        <v>17961</v>
      </c>
      <c r="E6146" t="s">
        <v>23473</v>
      </c>
      <c r="F6146" t="s">
        <v>30900</v>
      </c>
      <c r="G6146" t="s">
        <v>30910</v>
      </c>
      <c r="H6146" t="s">
        <v>30916</v>
      </c>
      <c r="I6146" t="s">
        <v>30932</v>
      </c>
      <c r="J6146" t="s">
        <v>31407</v>
      </c>
      <c r="K6146" t="s">
        <v>40286</v>
      </c>
      <c r="M6146" t="s">
        <v>42899</v>
      </c>
      <c r="N6146" t="s">
        <v>44759</v>
      </c>
      <c r="O6146" t="s">
        <v>44760</v>
      </c>
      <c r="P6146">
        <v>0</v>
      </c>
      <c r="Q6146">
        <v>3</v>
      </c>
      <c r="R6146" t="s">
        <v>44766</v>
      </c>
      <c r="S6146" t="s">
        <v>44902</v>
      </c>
      <c r="T6146" t="s">
        <v>46457</v>
      </c>
      <c r="U6146" t="s">
        <v>52097</v>
      </c>
      <c r="V6146" t="s">
        <v>59793</v>
      </c>
      <c r="W6146" t="s">
        <v>42899</v>
      </c>
      <c r="X6146" t="s">
        <v>44767</v>
      </c>
    </row>
    <row r="6147" spans="1:24">
      <c r="A6147">
        <f>HYPERLINK("https://www.philgeps.gov.ph/GEPSNONPILOT/Tender/SplashBidNoticeAbstractUI.aspx?menuIndex=3&amp;refID=7147422&amp;Result=3","7147422")</f>
        <v>0</v>
      </c>
      <c r="B6147" t="s">
        <v>2199</v>
      </c>
      <c r="C6147" t="s">
        <v>9571</v>
      </c>
      <c r="D6147" t="s">
        <v>17952</v>
      </c>
      <c r="E6147" t="s">
        <v>23474</v>
      </c>
      <c r="F6147" t="s">
        <v>30900</v>
      </c>
      <c r="G6147" t="s">
        <v>30907</v>
      </c>
      <c r="H6147" t="s">
        <v>30916</v>
      </c>
      <c r="I6147" t="s">
        <v>8123</v>
      </c>
      <c r="J6147" t="s">
        <v>35036</v>
      </c>
      <c r="K6147" t="s">
        <v>40284</v>
      </c>
      <c r="M6147" t="s">
        <v>42906</v>
      </c>
      <c r="N6147" t="s">
        <v>44759</v>
      </c>
      <c r="O6147" t="s">
        <v>44760</v>
      </c>
      <c r="P6147">
        <v>0</v>
      </c>
      <c r="Q6147">
        <v>0</v>
      </c>
      <c r="R6147" t="s">
        <v>44766</v>
      </c>
      <c r="S6147" t="s">
        <v>44902</v>
      </c>
      <c r="T6147" t="s">
        <v>46694</v>
      </c>
      <c r="U6147" t="s">
        <v>52098</v>
      </c>
      <c r="V6147" t="s">
        <v>59226</v>
      </c>
      <c r="W6147" t="s">
        <v>42906</v>
      </c>
      <c r="X6147" t="s">
        <v>44767</v>
      </c>
    </row>
    <row r="6148" spans="1:24">
      <c r="A6148">
        <f>HYPERLINK("https://www.philgeps.gov.ph/GEPSNONPILOT/Tender/SplashBidNoticeAbstractUI.aspx?menuIndex=3&amp;refID=7147415&amp;Result=3","7147415")</f>
        <v>0</v>
      </c>
      <c r="B6148" t="s">
        <v>2082</v>
      </c>
      <c r="C6148" t="s">
        <v>9572</v>
      </c>
      <c r="D6148" t="s">
        <v>18009</v>
      </c>
      <c r="E6148" t="s">
        <v>23475</v>
      </c>
      <c r="F6148" t="s">
        <v>30900</v>
      </c>
      <c r="G6148" t="s">
        <v>30907</v>
      </c>
      <c r="H6148" t="s">
        <v>30915</v>
      </c>
      <c r="I6148" t="s">
        <v>30919</v>
      </c>
      <c r="J6148" t="s">
        <v>32049</v>
      </c>
      <c r="K6148" t="s">
        <v>40431</v>
      </c>
      <c r="M6148" t="s">
        <v>42781</v>
      </c>
      <c r="N6148" t="s">
        <v>44759</v>
      </c>
      <c r="O6148" t="s">
        <v>44760</v>
      </c>
      <c r="P6148">
        <v>0</v>
      </c>
      <c r="Q6148">
        <v>0</v>
      </c>
      <c r="R6148" t="s">
        <v>44766</v>
      </c>
      <c r="S6148" t="s">
        <v>44902</v>
      </c>
      <c r="T6148" t="s">
        <v>46455</v>
      </c>
      <c r="U6148" t="s">
        <v>52099</v>
      </c>
      <c r="W6148" t="s">
        <v>42781</v>
      </c>
      <c r="X6148" t="s">
        <v>44767</v>
      </c>
    </row>
    <row r="6149" spans="1:24">
      <c r="A6149">
        <f>HYPERLINK("https://www.philgeps.gov.ph/GEPSNONPILOT/Tender/SplashBidNoticeAbstractUI.aspx?menuIndex=3&amp;refID=7147405&amp;Result=3","7147405")</f>
        <v>0</v>
      </c>
      <c r="B6149" t="s">
        <v>2192</v>
      </c>
      <c r="C6149" t="s">
        <v>9573</v>
      </c>
      <c r="D6149" t="s">
        <v>17961</v>
      </c>
      <c r="E6149" t="s">
        <v>23476</v>
      </c>
      <c r="F6149" t="s">
        <v>30900</v>
      </c>
      <c r="G6149" t="s">
        <v>30910</v>
      </c>
      <c r="H6149" t="s">
        <v>30916</v>
      </c>
      <c r="I6149" t="s">
        <v>30997</v>
      </c>
      <c r="J6149" t="s">
        <v>31050</v>
      </c>
      <c r="K6149" t="s">
        <v>40286</v>
      </c>
      <c r="M6149" t="s">
        <v>42899</v>
      </c>
      <c r="N6149" t="s">
        <v>44759</v>
      </c>
      <c r="O6149" t="s">
        <v>44760</v>
      </c>
      <c r="P6149">
        <v>0</v>
      </c>
      <c r="Q6149">
        <v>4</v>
      </c>
      <c r="R6149" t="s">
        <v>44766</v>
      </c>
      <c r="S6149" t="s">
        <v>44902</v>
      </c>
      <c r="T6149" t="s">
        <v>46457</v>
      </c>
      <c r="U6149" t="s">
        <v>52100</v>
      </c>
      <c r="V6149" t="s">
        <v>59793</v>
      </c>
      <c r="W6149" t="s">
        <v>42899</v>
      </c>
      <c r="X6149" t="s">
        <v>44767</v>
      </c>
    </row>
    <row r="6150" spans="1:24">
      <c r="A6150">
        <f>HYPERLINK("https://www.philgeps.gov.ph/GEPSNONPILOT/Tender/SplashBidNoticeAbstractUI.aspx?menuIndex=3&amp;refID=7147424&amp;Result=3","7147424")</f>
        <v>0</v>
      </c>
      <c r="B6150" t="s">
        <v>2166</v>
      </c>
      <c r="C6150" t="s">
        <v>9574</v>
      </c>
      <c r="D6150" t="s">
        <v>18002</v>
      </c>
      <c r="E6150" t="s">
        <v>23477</v>
      </c>
      <c r="F6150" t="s">
        <v>30900</v>
      </c>
      <c r="G6150" t="s">
        <v>30907</v>
      </c>
      <c r="H6150" t="s">
        <v>30916</v>
      </c>
      <c r="I6150" t="s">
        <v>30922</v>
      </c>
      <c r="J6150" t="s">
        <v>35037</v>
      </c>
      <c r="K6150" t="s">
        <v>40284</v>
      </c>
      <c r="M6150" t="s">
        <v>42883</v>
      </c>
      <c r="N6150" t="s">
        <v>44759</v>
      </c>
      <c r="O6150" t="s">
        <v>44760</v>
      </c>
      <c r="P6150">
        <v>0</v>
      </c>
      <c r="Q6150">
        <v>1</v>
      </c>
      <c r="R6150" t="s">
        <v>44766</v>
      </c>
      <c r="S6150" t="s">
        <v>44902</v>
      </c>
      <c r="T6150" t="s">
        <v>46376</v>
      </c>
      <c r="U6150" t="s">
        <v>52101</v>
      </c>
      <c r="V6150" t="s">
        <v>59796</v>
      </c>
      <c r="W6150" t="s">
        <v>60882</v>
      </c>
      <c r="X6150" t="s">
        <v>44767</v>
      </c>
    </row>
    <row r="6151" spans="1:24">
      <c r="A6151">
        <f>HYPERLINK("https://www.philgeps.gov.ph/GEPSNONPILOT/Tender/SplashBidNoticeAbstractUI.aspx?menuIndex=3&amp;refID=7147393&amp;Result=3","7147393")</f>
        <v>0</v>
      </c>
      <c r="B6151" t="s">
        <v>2151</v>
      </c>
      <c r="C6151" t="s">
        <v>9575</v>
      </c>
      <c r="D6151" t="s">
        <v>18000</v>
      </c>
      <c r="E6151" t="s">
        <v>22351</v>
      </c>
      <c r="F6151" t="s">
        <v>30900</v>
      </c>
      <c r="G6151" t="s">
        <v>30907</v>
      </c>
      <c r="H6151" t="s">
        <v>30915</v>
      </c>
      <c r="I6151" t="s">
        <v>30919</v>
      </c>
      <c r="J6151" t="s">
        <v>35038</v>
      </c>
      <c r="K6151" t="s">
        <v>40432</v>
      </c>
      <c r="M6151" t="s">
        <v>42855</v>
      </c>
      <c r="N6151" t="s">
        <v>44759</v>
      </c>
      <c r="O6151" t="s">
        <v>44760</v>
      </c>
      <c r="P6151">
        <v>0</v>
      </c>
      <c r="Q6151">
        <v>2</v>
      </c>
      <c r="R6151" t="s">
        <v>44766</v>
      </c>
      <c r="S6151" t="s">
        <v>44902</v>
      </c>
      <c r="T6151" t="s">
        <v>46520</v>
      </c>
      <c r="U6151" t="s">
        <v>51990</v>
      </c>
      <c r="W6151" t="s">
        <v>42855</v>
      </c>
      <c r="X6151" t="s">
        <v>44767</v>
      </c>
    </row>
    <row r="6152" spans="1:24">
      <c r="A6152">
        <f>HYPERLINK("https://www.philgeps.gov.ph/GEPSNONPILOT/Tender/SplashBidNoticeAbstractUI.aspx?menuIndex=3&amp;refID=7147389&amp;Result=3","7147389")</f>
        <v>0</v>
      </c>
      <c r="B6152" t="s">
        <v>2200</v>
      </c>
      <c r="C6152" t="s">
        <v>9576</v>
      </c>
      <c r="D6152" t="s">
        <v>17971</v>
      </c>
      <c r="E6152" t="s">
        <v>18752</v>
      </c>
      <c r="F6152" t="s">
        <v>30900</v>
      </c>
      <c r="G6152" t="s">
        <v>30907</v>
      </c>
      <c r="H6152" t="s">
        <v>30916</v>
      </c>
      <c r="I6152" t="s">
        <v>8123</v>
      </c>
      <c r="J6152" t="s">
        <v>31135</v>
      </c>
      <c r="K6152" t="s">
        <v>40287</v>
      </c>
      <c r="M6152" t="s">
        <v>42907</v>
      </c>
      <c r="N6152" t="s">
        <v>44759</v>
      </c>
      <c r="O6152" t="s">
        <v>44760</v>
      </c>
      <c r="P6152">
        <v>0</v>
      </c>
      <c r="Q6152">
        <v>0</v>
      </c>
      <c r="R6152" t="s">
        <v>44766</v>
      </c>
      <c r="S6152" t="s">
        <v>44902</v>
      </c>
      <c r="T6152" t="s">
        <v>46379</v>
      </c>
      <c r="U6152" t="s">
        <v>52102</v>
      </c>
      <c r="W6152" t="s">
        <v>42907</v>
      </c>
      <c r="X6152" t="s">
        <v>44767</v>
      </c>
    </row>
    <row r="6153" spans="1:24">
      <c r="A6153">
        <f>HYPERLINK("https://www.philgeps.gov.ph/GEPSNONPILOT/Tender/SplashBidNoticeAbstractUI.aspx?menuIndex=3&amp;refID=7147416&amp;Result=3","7147416")</f>
        <v>0</v>
      </c>
      <c r="B6153" t="s">
        <v>190</v>
      </c>
      <c r="C6153" t="s">
        <v>9577</v>
      </c>
      <c r="D6153" t="s">
        <v>17989</v>
      </c>
      <c r="E6153" t="s">
        <v>23478</v>
      </c>
      <c r="F6153" t="s">
        <v>30900</v>
      </c>
      <c r="G6153" t="s">
        <v>30907</v>
      </c>
      <c r="H6153" t="s">
        <v>30915</v>
      </c>
      <c r="I6153" t="s">
        <v>30919</v>
      </c>
      <c r="J6153" t="s">
        <v>35039</v>
      </c>
      <c r="K6153" t="s">
        <v>40292</v>
      </c>
      <c r="M6153" t="s">
        <v>40737</v>
      </c>
      <c r="N6153" t="s">
        <v>44759</v>
      </c>
      <c r="O6153" t="s">
        <v>44760</v>
      </c>
      <c r="P6153">
        <v>0</v>
      </c>
      <c r="Q6153">
        <v>0</v>
      </c>
      <c r="R6153" t="s">
        <v>44766</v>
      </c>
      <c r="S6153" t="s">
        <v>44902</v>
      </c>
      <c r="T6153" t="s">
        <v>46377</v>
      </c>
      <c r="U6153" t="s">
        <v>52103</v>
      </c>
      <c r="W6153" t="s">
        <v>40737</v>
      </c>
      <c r="X6153" t="s">
        <v>44767</v>
      </c>
    </row>
    <row r="6154" spans="1:24">
      <c r="A6154">
        <f>HYPERLINK("https://www.philgeps.gov.ph/GEPSNONPILOT/Tender/SplashBidNoticeAbstractUI.aspx?menuIndex=3&amp;refID=7147388&amp;Result=3","7147388")</f>
        <v>0</v>
      </c>
      <c r="B6154" t="s">
        <v>2158</v>
      </c>
      <c r="C6154" t="s">
        <v>9578</v>
      </c>
      <c r="D6154" t="s">
        <v>17963</v>
      </c>
      <c r="E6154" t="s">
        <v>23479</v>
      </c>
      <c r="F6154" t="s">
        <v>30900</v>
      </c>
      <c r="G6154" t="s">
        <v>30907</v>
      </c>
      <c r="H6154" t="s">
        <v>30916</v>
      </c>
      <c r="I6154" t="s">
        <v>30984</v>
      </c>
      <c r="J6154" t="s">
        <v>35040</v>
      </c>
      <c r="K6154" t="s">
        <v>40286</v>
      </c>
      <c r="M6154" t="s">
        <v>42863</v>
      </c>
      <c r="N6154" t="s">
        <v>44759</v>
      </c>
      <c r="O6154" t="s">
        <v>44760</v>
      </c>
      <c r="P6154">
        <v>0</v>
      </c>
      <c r="Q6154">
        <v>1</v>
      </c>
      <c r="R6154" t="s">
        <v>44766</v>
      </c>
      <c r="S6154" t="s">
        <v>44902</v>
      </c>
      <c r="T6154" t="s">
        <v>46410</v>
      </c>
      <c r="U6154" t="s">
        <v>51974</v>
      </c>
      <c r="W6154" t="s">
        <v>42863</v>
      </c>
      <c r="X6154" t="s">
        <v>44767</v>
      </c>
    </row>
    <row r="6155" spans="1:24">
      <c r="A6155">
        <f>HYPERLINK("https://www.philgeps.gov.ph/GEPSNONPILOT/Tender/SplashBidNoticeAbstractUI.aspx?menuIndex=3&amp;refID=7147378&amp;Result=3","7147378")</f>
        <v>0</v>
      </c>
      <c r="B6155" t="s">
        <v>2201</v>
      </c>
      <c r="C6155" t="s">
        <v>9579</v>
      </c>
      <c r="D6155" t="s">
        <v>18018</v>
      </c>
      <c r="E6155" t="s">
        <v>23480</v>
      </c>
      <c r="F6155" t="s">
        <v>30900</v>
      </c>
      <c r="G6155" t="s">
        <v>30907</v>
      </c>
      <c r="H6155" t="s">
        <v>30915</v>
      </c>
      <c r="I6155" t="s">
        <v>30919</v>
      </c>
      <c r="J6155" t="s">
        <v>35041</v>
      </c>
      <c r="K6155" t="s">
        <v>40289</v>
      </c>
      <c r="L6155" t="s">
        <v>2201</v>
      </c>
      <c r="M6155" t="s">
        <v>42908</v>
      </c>
      <c r="N6155" t="s">
        <v>44759</v>
      </c>
      <c r="O6155" t="s">
        <v>44760</v>
      </c>
      <c r="P6155">
        <v>0</v>
      </c>
      <c r="Q6155">
        <v>0</v>
      </c>
      <c r="R6155" t="s">
        <v>44766</v>
      </c>
      <c r="S6155" t="s">
        <v>44902</v>
      </c>
      <c r="T6155" t="s">
        <v>46559</v>
      </c>
      <c r="U6155" t="s">
        <v>52104</v>
      </c>
      <c r="W6155" t="s">
        <v>42908</v>
      </c>
      <c r="X6155" t="s">
        <v>44767</v>
      </c>
    </row>
    <row r="6156" spans="1:24">
      <c r="A6156">
        <f>HYPERLINK("https://www.philgeps.gov.ph/GEPSNONPILOT/Tender/SplashBidNoticeAbstractUI.aspx?menuIndex=3&amp;refID=7147386&amp;Result=3","7147386")</f>
        <v>0</v>
      </c>
      <c r="B6156" t="s">
        <v>1877</v>
      </c>
      <c r="C6156" t="s">
        <v>9580</v>
      </c>
      <c r="D6156" t="s">
        <v>18005</v>
      </c>
      <c r="E6156" t="s">
        <v>20831</v>
      </c>
      <c r="F6156" t="s">
        <v>30900</v>
      </c>
      <c r="G6156" t="s">
        <v>30907</v>
      </c>
      <c r="H6156" t="s">
        <v>30915</v>
      </c>
      <c r="I6156" t="s">
        <v>30919</v>
      </c>
      <c r="J6156" t="s">
        <v>35042</v>
      </c>
      <c r="K6156" t="s">
        <v>40280</v>
      </c>
      <c r="M6156" t="s">
        <v>42551</v>
      </c>
      <c r="N6156" t="s">
        <v>44759</v>
      </c>
      <c r="O6156" t="s">
        <v>44760</v>
      </c>
      <c r="P6156">
        <v>0</v>
      </c>
      <c r="Q6156">
        <v>0</v>
      </c>
      <c r="R6156" t="s">
        <v>44766</v>
      </c>
      <c r="S6156" t="s">
        <v>44902</v>
      </c>
      <c r="T6156" t="s">
        <v>46405</v>
      </c>
      <c r="U6156" t="s">
        <v>52105</v>
      </c>
      <c r="W6156" t="s">
        <v>42551</v>
      </c>
      <c r="X6156" t="s">
        <v>44767</v>
      </c>
    </row>
    <row r="6157" spans="1:24">
      <c r="A6157">
        <f>HYPERLINK("https://www.philgeps.gov.ph/GEPSNONPILOT/Tender/SplashBidNoticeAbstractUI.aspx?menuIndex=3&amp;refID=7147390&amp;Result=3","7147390")</f>
        <v>0</v>
      </c>
      <c r="B6157" t="s">
        <v>2183</v>
      </c>
      <c r="C6157" t="s">
        <v>9581</v>
      </c>
      <c r="D6157" t="s">
        <v>17977</v>
      </c>
      <c r="E6157" t="s">
        <v>23481</v>
      </c>
      <c r="F6157" t="s">
        <v>30900</v>
      </c>
      <c r="G6157" t="s">
        <v>30908</v>
      </c>
      <c r="H6157" t="s">
        <v>30917</v>
      </c>
      <c r="I6157" t="s">
        <v>6746</v>
      </c>
      <c r="J6157" t="s">
        <v>35043</v>
      </c>
      <c r="K6157" t="s">
        <v>40286</v>
      </c>
      <c r="M6157" t="s">
        <v>42890</v>
      </c>
      <c r="N6157" t="s">
        <v>44759</v>
      </c>
      <c r="O6157" t="s">
        <v>44760</v>
      </c>
      <c r="P6157">
        <v>0</v>
      </c>
      <c r="Q6157">
        <v>1</v>
      </c>
      <c r="R6157" t="s">
        <v>44766</v>
      </c>
      <c r="S6157" t="s">
        <v>44902</v>
      </c>
      <c r="T6157" t="s">
        <v>46738</v>
      </c>
      <c r="U6157" t="s">
        <v>52062</v>
      </c>
      <c r="W6157" t="s">
        <v>42890</v>
      </c>
      <c r="X6157" t="s">
        <v>44767</v>
      </c>
    </row>
    <row r="6158" spans="1:24">
      <c r="A6158">
        <f>HYPERLINK("https://www.philgeps.gov.ph/GEPSNONPILOT/Tender/SplashBidNoticeAbstractUI.aspx?menuIndex=3&amp;refID=7147425&amp;Result=3","7147425")</f>
        <v>0</v>
      </c>
      <c r="B6158" t="s">
        <v>1966</v>
      </c>
      <c r="C6158" t="s">
        <v>9582</v>
      </c>
      <c r="D6158" t="s">
        <v>18046</v>
      </c>
      <c r="E6158" t="s">
        <v>23221</v>
      </c>
      <c r="F6158" t="s">
        <v>30900</v>
      </c>
      <c r="G6158" t="s">
        <v>30910</v>
      </c>
      <c r="H6158" t="s">
        <v>30916</v>
      </c>
      <c r="I6158" t="s">
        <v>6396</v>
      </c>
      <c r="J6158" t="s">
        <v>35044</v>
      </c>
      <c r="K6158" t="s">
        <v>40286</v>
      </c>
      <c r="M6158" t="s">
        <v>42650</v>
      </c>
      <c r="N6158" t="s">
        <v>44759</v>
      </c>
      <c r="O6158" t="s">
        <v>44760</v>
      </c>
      <c r="P6158">
        <v>0</v>
      </c>
      <c r="Q6158">
        <v>1</v>
      </c>
      <c r="R6158" t="s">
        <v>44766</v>
      </c>
      <c r="S6158" t="s">
        <v>44902</v>
      </c>
      <c r="T6158" t="s">
        <v>46662</v>
      </c>
      <c r="U6158" t="s">
        <v>52106</v>
      </c>
      <c r="W6158" t="s">
        <v>42650</v>
      </c>
      <c r="X6158" t="s">
        <v>44767</v>
      </c>
    </row>
    <row r="6159" spans="1:24">
      <c r="A6159">
        <f>HYPERLINK("https://www.philgeps.gov.ph/GEPSNONPILOT/Tender/SplashBidNoticeAbstractUI.aspx?menuIndex=3&amp;refID=7147450&amp;Result=3","7147450")</f>
        <v>0</v>
      </c>
      <c r="B6159" t="s">
        <v>2192</v>
      </c>
      <c r="C6159" t="s">
        <v>9583</v>
      </c>
      <c r="D6159" t="s">
        <v>17961</v>
      </c>
      <c r="E6159" t="s">
        <v>23482</v>
      </c>
      <c r="F6159" t="s">
        <v>30900</v>
      </c>
      <c r="G6159" t="s">
        <v>30910</v>
      </c>
      <c r="H6159" t="s">
        <v>30916</v>
      </c>
      <c r="I6159" t="s">
        <v>4050</v>
      </c>
      <c r="J6159" t="s">
        <v>31341</v>
      </c>
      <c r="K6159" t="s">
        <v>40286</v>
      </c>
      <c r="M6159" t="s">
        <v>42899</v>
      </c>
      <c r="N6159" t="s">
        <v>44759</v>
      </c>
      <c r="O6159" t="s">
        <v>44760</v>
      </c>
      <c r="P6159">
        <v>0</v>
      </c>
      <c r="Q6159">
        <v>2</v>
      </c>
      <c r="R6159" t="s">
        <v>44766</v>
      </c>
      <c r="S6159" t="s">
        <v>44902</v>
      </c>
      <c r="T6159" t="s">
        <v>46457</v>
      </c>
      <c r="U6159" t="s">
        <v>52107</v>
      </c>
      <c r="V6159" t="s">
        <v>59793</v>
      </c>
      <c r="W6159" t="s">
        <v>42899</v>
      </c>
      <c r="X6159" t="s">
        <v>44767</v>
      </c>
    </row>
    <row r="6160" spans="1:24">
      <c r="A6160">
        <f>HYPERLINK("https://www.philgeps.gov.ph/GEPSNONPILOT/Tender/SplashBidNoticeAbstractUI.aspx?menuIndex=3&amp;refID=7147449&amp;Result=3","7147449")</f>
        <v>0</v>
      </c>
      <c r="B6160" t="s">
        <v>179</v>
      </c>
      <c r="C6160" t="s">
        <v>9584</v>
      </c>
      <c r="D6160" t="s">
        <v>17953</v>
      </c>
      <c r="E6160" t="s">
        <v>23483</v>
      </c>
      <c r="F6160" t="s">
        <v>30900</v>
      </c>
      <c r="G6160" t="s">
        <v>30907</v>
      </c>
      <c r="H6160" t="s">
        <v>30915</v>
      </c>
      <c r="I6160" t="s">
        <v>30919</v>
      </c>
      <c r="J6160" t="s">
        <v>31105</v>
      </c>
      <c r="K6160" t="s">
        <v>40280</v>
      </c>
      <c r="M6160" t="s">
        <v>40726</v>
      </c>
      <c r="N6160" t="s">
        <v>44759</v>
      </c>
      <c r="O6160" t="s">
        <v>44760</v>
      </c>
      <c r="P6160">
        <v>0</v>
      </c>
      <c r="Q6160">
        <v>0</v>
      </c>
      <c r="R6160" t="s">
        <v>44766</v>
      </c>
      <c r="S6160" t="s">
        <v>44902</v>
      </c>
      <c r="T6160" t="s">
        <v>46409</v>
      </c>
      <c r="U6160" t="s">
        <v>52108</v>
      </c>
      <c r="W6160" t="s">
        <v>40726</v>
      </c>
      <c r="X6160" t="s">
        <v>44767</v>
      </c>
    </row>
    <row r="6161" spans="1:24">
      <c r="A6161">
        <f>HYPERLINK("https://www.philgeps.gov.ph/GEPSNONPILOT/Tender/SplashBidNoticeAbstractUI.aspx?menuIndex=3&amp;refID=7147398&amp;Result=3","7147398")</f>
        <v>0</v>
      </c>
      <c r="B6161" t="s">
        <v>2026</v>
      </c>
      <c r="C6161" t="s">
        <v>9585</v>
      </c>
      <c r="D6161" t="s">
        <v>18004</v>
      </c>
      <c r="E6161" t="s">
        <v>23484</v>
      </c>
      <c r="F6161" t="s">
        <v>30900</v>
      </c>
      <c r="G6161" t="s">
        <v>30907</v>
      </c>
      <c r="H6161" t="s">
        <v>30916</v>
      </c>
      <c r="I6161" t="s">
        <v>4142</v>
      </c>
      <c r="J6161" t="s">
        <v>35045</v>
      </c>
      <c r="K6161" t="s">
        <v>40287</v>
      </c>
      <c r="M6161" t="s">
        <v>42722</v>
      </c>
      <c r="N6161" t="s">
        <v>44759</v>
      </c>
      <c r="O6161" t="s">
        <v>44760</v>
      </c>
      <c r="P6161">
        <v>0</v>
      </c>
      <c r="Q6161">
        <v>0</v>
      </c>
      <c r="R6161" t="s">
        <v>44766</v>
      </c>
      <c r="S6161" t="s">
        <v>44902</v>
      </c>
      <c r="T6161" t="s">
        <v>46545</v>
      </c>
      <c r="U6161" t="s">
        <v>51670</v>
      </c>
      <c r="W6161" t="s">
        <v>42722</v>
      </c>
      <c r="X6161" t="s">
        <v>44767</v>
      </c>
    </row>
    <row r="6162" spans="1:24">
      <c r="A6162">
        <f>HYPERLINK("https://www.philgeps.gov.ph/GEPSNONPILOT/Tender/SplashBidNoticeAbstractUI.aspx?menuIndex=3&amp;refID=7147457&amp;Result=3","7147457")</f>
        <v>0</v>
      </c>
      <c r="B6162" t="s">
        <v>2081</v>
      </c>
      <c r="C6162" t="s">
        <v>9586</v>
      </c>
      <c r="D6162" t="s">
        <v>18039</v>
      </c>
      <c r="E6162" t="s">
        <v>23485</v>
      </c>
      <c r="F6162" t="s">
        <v>30900</v>
      </c>
      <c r="G6162" t="s">
        <v>30906</v>
      </c>
      <c r="H6162" t="s">
        <v>30916</v>
      </c>
      <c r="I6162" t="s">
        <v>30964</v>
      </c>
      <c r="J6162" t="s">
        <v>32707</v>
      </c>
      <c r="K6162" t="s">
        <v>40286</v>
      </c>
      <c r="M6162" t="s">
        <v>42780</v>
      </c>
      <c r="N6162" t="s">
        <v>44759</v>
      </c>
      <c r="O6162" t="s">
        <v>44760</v>
      </c>
      <c r="P6162">
        <v>0</v>
      </c>
      <c r="Q6162">
        <v>1</v>
      </c>
      <c r="R6162" t="s">
        <v>44766</v>
      </c>
      <c r="S6162" t="s">
        <v>44902</v>
      </c>
      <c r="T6162" t="s">
        <v>46387</v>
      </c>
      <c r="U6162" t="s">
        <v>51797</v>
      </c>
      <c r="V6162" t="s">
        <v>59797</v>
      </c>
      <c r="W6162" t="s">
        <v>42780</v>
      </c>
      <c r="X6162" t="s">
        <v>44767</v>
      </c>
    </row>
    <row r="6163" spans="1:24">
      <c r="A6163">
        <f>HYPERLINK("https://www.philgeps.gov.ph/GEPSNONPILOT/Tender/SplashBidNoticeAbstractUI.aspx?menuIndex=3&amp;refID=7147426&amp;Result=3","7147426")</f>
        <v>0</v>
      </c>
      <c r="B6163" t="s">
        <v>2202</v>
      </c>
      <c r="C6163" t="s">
        <v>8326</v>
      </c>
      <c r="D6163" t="s">
        <v>17990</v>
      </c>
      <c r="E6163" t="s">
        <v>23486</v>
      </c>
      <c r="F6163" t="s">
        <v>30900</v>
      </c>
      <c r="G6163" t="s">
        <v>30907</v>
      </c>
      <c r="H6163" t="s">
        <v>30916</v>
      </c>
      <c r="I6163" t="s">
        <v>8123</v>
      </c>
      <c r="J6163" t="s">
        <v>35046</v>
      </c>
      <c r="K6163" t="s">
        <v>40287</v>
      </c>
      <c r="M6163" t="s">
        <v>42909</v>
      </c>
      <c r="N6163" t="s">
        <v>44759</v>
      </c>
      <c r="O6163" t="s">
        <v>44760</v>
      </c>
      <c r="P6163">
        <v>0</v>
      </c>
      <c r="Q6163">
        <v>1</v>
      </c>
      <c r="R6163" t="s">
        <v>44766</v>
      </c>
      <c r="S6163" t="s">
        <v>44902</v>
      </c>
      <c r="T6163" t="s">
        <v>46689</v>
      </c>
      <c r="U6163" t="s">
        <v>52109</v>
      </c>
      <c r="W6163" t="s">
        <v>42909</v>
      </c>
      <c r="X6163" t="s">
        <v>44767</v>
      </c>
    </row>
    <row r="6164" spans="1:24">
      <c r="A6164">
        <f>HYPERLINK("https://www.philgeps.gov.ph/GEPSNONPILOT/Tender/SplashBidNoticeAbstractUI.aspx?menuIndex=3&amp;refID=7147455&amp;Result=3","7147455")</f>
        <v>0</v>
      </c>
      <c r="B6164" t="s">
        <v>2203</v>
      </c>
      <c r="C6164" t="s">
        <v>9587</v>
      </c>
      <c r="D6164" t="s">
        <v>17981</v>
      </c>
      <c r="E6164" t="s">
        <v>23487</v>
      </c>
      <c r="F6164" t="s">
        <v>30900</v>
      </c>
      <c r="G6164" t="s">
        <v>30906</v>
      </c>
      <c r="H6164" t="s">
        <v>30915</v>
      </c>
      <c r="I6164" t="s">
        <v>30919</v>
      </c>
      <c r="J6164" t="s">
        <v>31413</v>
      </c>
      <c r="K6164" t="s">
        <v>40289</v>
      </c>
      <c r="M6164" t="s">
        <v>42910</v>
      </c>
      <c r="N6164" t="s">
        <v>44759</v>
      </c>
      <c r="O6164" t="s">
        <v>44760</v>
      </c>
      <c r="P6164">
        <v>0</v>
      </c>
      <c r="Q6164">
        <v>1</v>
      </c>
      <c r="R6164" t="s">
        <v>44766</v>
      </c>
      <c r="S6164" t="s">
        <v>44902</v>
      </c>
      <c r="T6164" t="s">
        <v>46410</v>
      </c>
      <c r="U6164" t="s">
        <v>52110</v>
      </c>
      <c r="W6164" t="s">
        <v>42910</v>
      </c>
      <c r="X6164" t="s">
        <v>44767</v>
      </c>
    </row>
    <row r="6165" spans="1:24">
      <c r="A6165">
        <f>HYPERLINK("https://www.philgeps.gov.ph/GEPSNONPILOT/Tender/SplashBidNoticeAbstractUI.aspx?menuIndex=3&amp;refID=7147454&amp;Result=3","7147454")</f>
        <v>0</v>
      </c>
      <c r="B6165" t="s">
        <v>1997</v>
      </c>
      <c r="C6165" t="s">
        <v>9588</v>
      </c>
      <c r="D6165" t="s">
        <v>17953</v>
      </c>
      <c r="E6165" t="s">
        <v>23488</v>
      </c>
      <c r="F6165" t="s">
        <v>30900</v>
      </c>
      <c r="G6165" t="s">
        <v>30908</v>
      </c>
      <c r="H6165" t="s">
        <v>30916</v>
      </c>
      <c r="I6165" t="s">
        <v>30923</v>
      </c>
      <c r="J6165" t="s">
        <v>31270</v>
      </c>
      <c r="K6165" t="s">
        <v>40284</v>
      </c>
      <c r="M6165" t="s">
        <v>42689</v>
      </c>
      <c r="N6165" t="s">
        <v>44759</v>
      </c>
      <c r="O6165" t="s">
        <v>44760</v>
      </c>
      <c r="P6165">
        <v>0</v>
      </c>
      <c r="Q6165">
        <v>3</v>
      </c>
      <c r="R6165" t="s">
        <v>44766</v>
      </c>
      <c r="S6165" t="s">
        <v>44902</v>
      </c>
      <c r="T6165" t="s">
        <v>46581</v>
      </c>
      <c r="U6165" t="s">
        <v>52111</v>
      </c>
      <c r="W6165" t="s">
        <v>44481</v>
      </c>
      <c r="X6165" t="s">
        <v>44767</v>
      </c>
    </row>
    <row r="6166" spans="1:24">
      <c r="A6166">
        <f>HYPERLINK("https://www.philgeps.gov.ph/GEPSNONPILOT/Tender/SplashBidNoticeAbstractUI.aspx?menuIndex=3&amp;refID=7147453&amp;Result=3","7147453")</f>
        <v>0</v>
      </c>
      <c r="B6166" t="s">
        <v>2166</v>
      </c>
      <c r="C6166" t="s">
        <v>9589</v>
      </c>
      <c r="D6166" t="s">
        <v>18002</v>
      </c>
      <c r="E6166" t="s">
        <v>23489</v>
      </c>
      <c r="F6166" t="s">
        <v>30900</v>
      </c>
      <c r="G6166" t="s">
        <v>30907</v>
      </c>
      <c r="H6166" t="s">
        <v>30916</v>
      </c>
      <c r="I6166" t="s">
        <v>30932</v>
      </c>
      <c r="J6166" t="s">
        <v>31152</v>
      </c>
      <c r="K6166" t="s">
        <v>40283</v>
      </c>
      <c r="M6166" t="s">
        <v>42883</v>
      </c>
      <c r="N6166" t="s">
        <v>44759</v>
      </c>
      <c r="O6166" t="s">
        <v>44760</v>
      </c>
      <c r="P6166">
        <v>0</v>
      </c>
      <c r="Q6166">
        <v>3</v>
      </c>
      <c r="R6166" t="s">
        <v>44766</v>
      </c>
      <c r="S6166" t="s">
        <v>44902</v>
      </c>
      <c r="T6166" t="s">
        <v>46376</v>
      </c>
      <c r="U6166" t="s">
        <v>52112</v>
      </c>
      <c r="V6166" t="s">
        <v>59796</v>
      </c>
      <c r="W6166" t="s">
        <v>60882</v>
      </c>
      <c r="X6166" t="s">
        <v>44767</v>
      </c>
    </row>
    <row r="6167" spans="1:24">
      <c r="A6167">
        <f>HYPERLINK("https://www.philgeps.gov.ph/GEPSNONPILOT/Tender/SplashBidNoticeAbstractUI.aspx?menuIndex=3&amp;refID=7147452&amp;Result=3","7147452")</f>
        <v>0</v>
      </c>
      <c r="B6167" t="s">
        <v>2204</v>
      </c>
      <c r="C6167" t="s">
        <v>9590</v>
      </c>
      <c r="D6167" t="s">
        <v>17973</v>
      </c>
      <c r="E6167" t="s">
        <v>23490</v>
      </c>
      <c r="F6167" t="s">
        <v>30900</v>
      </c>
      <c r="G6167" t="s">
        <v>30908</v>
      </c>
      <c r="H6167" t="s">
        <v>30915</v>
      </c>
      <c r="I6167" t="s">
        <v>30919</v>
      </c>
      <c r="J6167" t="s">
        <v>35047</v>
      </c>
      <c r="K6167" t="s">
        <v>40286</v>
      </c>
      <c r="M6167" t="s">
        <v>42911</v>
      </c>
      <c r="N6167" t="s">
        <v>44759</v>
      </c>
      <c r="O6167" t="s">
        <v>44760</v>
      </c>
      <c r="P6167">
        <v>0</v>
      </c>
      <c r="Q6167">
        <v>3</v>
      </c>
      <c r="R6167" t="s">
        <v>44766</v>
      </c>
      <c r="S6167" t="s">
        <v>44902</v>
      </c>
      <c r="T6167" t="s">
        <v>46625</v>
      </c>
      <c r="U6167" t="s">
        <v>52113</v>
      </c>
      <c r="W6167" t="s">
        <v>42911</v>
      </c>
      <c r="X6167" t="s">
        <v>44767</v>
      </c>
    </row>
    <row r="6168" spans="1:24">
      <c r="A6168">
        <f>HYPERLINK("https://www.philgeps.gov.ph/GEPSNONPILOT/Tender/SplashBidNoticeAbstractUI.aspx?menuIndex=3&amp;refID=7147445&amp;Result=3","7147445")</f>
        <v>0</v>
      </c>
      <c r="B6168" t="s">
        <v>2163</v>
      </c>
      <c r="C6168" t="s">
        <v>9591</v>
      </c>
      <c r="D6168" t="s">
        <v>17999</v>
      </c>
      <c r="E6168" t="s">
        <v>23491</v>
      </c>
      <c r="F6168" t="s">
        <v>30900</v>
      </c>
      <c r="G6168" t="s">
        <v>30909</v>
      </c>
      <c r="H6168" t="s">
        <v>30916</v>
      </c>
      <c r="I6168" t="s">
        <v>4142</v>
      </c>
      <c r="J6168" t="s">
        <v>35048</v>
      </c>
      <c r="K6168" t="s">
        <v>40286</v>
      </c>
      <c r="M6168" t="s">
        <v>42868</v>
      </c>
      <c r="N6168" t="s">
        <v>44759</v>
      </c>
      <c r="O6168" t="s">
        <v>44760</v>
      </c>
      <c r="P6168">
        <v>0</v>
      </c>
      <c r="Q6168">
        <v>1</v>
      </c>
      <c r="R6168" t="s">
        <v>44766</v>
      </c>
      <c r="S6168" t="s">
        <v>44902</v>
      </c>
      <c r="T6168" t="s">
        <v>46357</v>
      </c>
      <c r="U6168" t="s">
        <v>52114</v>
      </c>
      <c r="W6168" t="s">
        <v>42868</v>
      </c>
      <c r="X6168" t="s">
        <v>44767</v>
      </c>
    </row>
    <row r="6169" spans="1:24">
      <c r="A6169">
        <f>HYPERLINK("https://www.philgeps.gov.ph/GEPSNONPILOT/Tender/SplashBidNoticeAbstractUI.aspx?menuIndex=3&amp;refID=7147362&amp;Result=3","7147362")</f>
        <v>0</v>
      </c>
      <c r="B6169" t="s">
        <v>1877</v>
      </c>
      <c r="C6169" t="s">
        <v>9592</v>
      </c>
      <c r="D6169" t="s">
        <v>18005</v>
      </c>
      <c r="E6169" t="s">
        <v>20812</v>
      </c>
      <c r="F6169" t="s">
        <v>30900</v>
      </c>
      <c r="G6169" t="s">
        <v>30907</v>
      </c>
      <c r="H6169" t="s">
        <v>30915</v>
      </c>
      <c r="I6169" t="s">
        <v>30919</v>
      </c>
      <c r="J6169" t="s">
        <v>31243</v>
      </c>
      <c r="K6169" t="s">
        <v>40280</v>
      </c>
      <c r="M6169" t="s">
        <v>42551</v>
      </c>
      <c r="N6169" t="s">
        <v>44759</v>
      </c>
      <c r="O6169" t="s">
        <v>44760</v>
      </c>
      <c r="P6169">
        <v>0</v>
      </c>
      <c r="Q6169">
        <v>0</v>
      </c>
      <c r="R6169" t="s">
        <v>44766</v>
      </c>
      <c r="S6169" t="s">
        <v>44902</v>
      </c>
      <c r="T6169" t="s">
        <v>46405</v>
      </c>
      <c r="U6169" t="s">
        <v>52105</v>
      </c>
      <c r="W6169" t="s">
        <v>42551</v>
      </c>
      <c r="X6169" t="s">
        <v>44767</v>
      </c>
    </row>
    <row r="6170" spans="1:24">
      <c r="A6170">
        <f>HYPERLINK("https://www.philgeps.gov.ph/GEPSNONPILOT/Tender/SplashBidNoticeAbstractUI.aspx?menuIndex=3&amp;refID=7147440&amp;Result=3","7147440")</f>
        <v>0</v>
      </c>
      <c r="B6170" t="s">
        <v>2205</v>
      </c>
      <c r="C6170" t="s">
        <v>9593</v>
      </c>
      <c r="D6170" t="s">
        <v>17959</v>
      </c>
      <c r="E6170" t="s">
        <v>18484</v>
      </c>
      <c r="F6170" t="s">
        <v>30900</v>
      </c>
      <c r="G6170" t="s">
        <v>30907</v>
      </c>
      <c r="H6170" t="s">
        <v>30917</v>
      </c>
      <c r="I6170" t="s">
        <v>4017</v>
      </c>
      <c r="J6170" t="s">
        <v>31341</v>
      </c>
      <c r="K6170" t="s">
        <v>40288</v>
      </c>
      <c r="M6170" t="s">
        <v>42912</v>
      </c>
      <c r="N6170" t="s">
        <v>44759</v>
      </c>
      <c r="O6170" t="s">
        <v>44760</v>
      </c>
      <c r="P6170">
        <v>0</v>
      </c>
      <c r="Q6170">
        <v>6</v>
      </c>
      <c r="R6170" t="s">
        <v>44766</v>
      </c>
      <c r="S6170" t="s">
        <v>44902</v>
      </c>
      <c r="T6170" t="s">
        <v>46379</v>
      </c>
      <c r="U6170" t="s">
        <v>52115</v>
      </c>
      <c r="W6170" t="s">
        <v>42912</v>
      </c>
      <c r="X6170" t="s">
        <v>44767</v>
      </c>
    </row>
    <row r="6171" spans="1:24">
      <c r="A6171">
        <f>HYPERLINK("https://www.philgeps.gov.ph/GEPSNONPILOT/Tender/SplashBidNoticeAbstractUI.aspx?menuIndex=3&amp;refID=7147435&amp;Result=3","7147435")</f>
        <v>0</v>
      </c>
      <c r="B6171" t="s">
        <v>433</v>
      </c>
      <c r="C6171" t="s">
        <v>9594</v>
      </c>
      <c r="D6171" t="s">
        <v>18025</v>
      </c>
      <c r="E6171" t="s">
        <v>23492</v>
      </c>
      <c r="F6171" t="s">
        <v>30900</v>
      </c>
      <c r="G6171" t="s">
        <v>30908</v>
      </c>
      <c r="H6171" t="s">
        <v>30916</v>
      </c>
      <c r="I6171" t="s">
        <v>30942</v>
      </c>
      <c r="J6171" t="s">
        <v>31096</v>
      </c>
      <c r="K6171" t="s">
        <v>40287</v>
      </c>
      <c r="M6171" t="s">
        <v>42913</v>
      </c>
      <c r="N6171" t="s">
        <v>44759</v>
      </c>
      <c r="O6171" t="s">
        <v>44760</v>
      </c>
      <c r="P6171">
        <v>0</v>
      </c>
      <c r="Q6171">
        <v>1</v>
      </c>
      <c r="R6171" t="s">
        <v>44766</v>
      </c>
      <c r="S6171" t="s">
        <v>44902</v>
      </c>
      <c r="T6171" t="s">
        <v>46625</v>
      </c>
      <c r="U6171" t="s">
        <v>52116</v>
      </c>
      <c r="V6171" t="s">
        <v>59798</v>
      </c>
      <c r="W6171" t="s">
        <v>42913</v>
      </c>
      <c r="X6171" t="s">
        <v>44767</v>
      </c>
    </row>
    <row r="6172" spans="1:24">
      <c r="A6172">
        <f>HYPERLINK("https://www.philgeps.gov.ph/GEPSNONPILOT/Tender/SplashBidNoticeAbstractUI.aspx?menuIndex=3&amp;refID=7147447&amp;Result=3","7147447")</f>
        <v>0</v>
      </c>
      <c r="B6172" t="s">
        <v>2206</v>
      </c>
      <c r="C6172" t="s">
        <v>9595</v>
      </c>
      <c r="D6172" t="s">
        <v>17992</v>
      </c>
      <c r="E6172" t="s">
        <v>23493</v>
      </c>
      <c r="F6172" t="s">
        <v>30900</v>
      </c>
      <c r="G6172" t="s">
        <v>30907</v>
      </c>
      <c r="H6172" t="s">
        <v>30916</v>
      </c>
      <c r="I6172" t="s">
        <v>6396</v>
      </c>
      <c r="J6172" t="s">
        <v>35049</v>
      </c>
      <c r="K6172" t="s">
        <v>40283</v>
      </c>
      <c r="M6172" t="s">
        <v>42914</v>
      </c>
      <c r="N6172" t="s">
        <v>44759</v>
      </c>
      <c r="O6172" t="s">
        <v>44760</v>
      </c>
      <c r="P6172">
        <v>0</v>
      </c>
      <c r="Q6172">
        <v>4</v>
      </c>
      <c r="R6172" t="s">
        <v>44766</v>
      </c>
      <c r="S6172" t="s">
        <v>44902</v>
      </c>
      <c r="T6172" t="s">
        <v>46380</v>
      </c>
      <c r="U6172" t="s">
        <v>52117</v>
      </c>
      <c r="W6172" t="s">
        <v>42914</v>
      </c>
      <c r="X6172" t="s">
        <v>44767</v>
      </c>
    </row>
    <row r="6173" spans="1:24">
      <c r="A6173">
        <f>HYPERLINK("https://www.philgeps.gov.ph/GEPSNONPILOT/Tender/SplashBidNoticeAbstractUI.aspx?menuIndex=3&amp;refID=7147430&amp;Result=3","7147430")</f>
        <v>0</v>
      </c>
      <c r="B6173" t="s">
        <v>2192</v>
      </c>
      <c r="C6173" t="s">
        <v>9596</v>
      </c>
      <c r="D6173" t="s">
        <v>17961</v>
      </c>
      <c r="E6173" t="s">
        <v>23494</v>
      </c>
      <c r="F6173" t="s">
        <v>30900</v>
      </c>
      <c r="G6173" t="s">
        <v>30910</v>
      </c>
      <c r="H6173" t="s">
        <v>30916</v>
      </c>
      <c r="I6173" t="s">
        <v>6396</v>
      </c>
      <c r="J6173" t="s">
        <v>35050</v>
      </c>
      <c r="K6173" t="s">
        <v>40286</v>
      </c>
      <c r="M6173" t="s">
        <v>42899</v>
      </c>
      <c r="N6173" t="s">
        <v>44759</v>
      </c>
      <c r="O6173" t="s">
        <v>44760</v>
      </c>
      <c r="P6173">
        <v>0</v>
      </c>
      <c r="Q6173">
        <v>1</v>
      </c>
      <c r="R6173" t="s">
        <v>44766</v>
      </c>
      <c r="S6173" t="s">
        <v>44902</v>
      </c>
      <c r="T6173" t="s">
        <v>46457</v>
      </c>
      <c r="U6173" t="s">
        <v>52118</v>
      </c>
      <c r="V6173" t="s">
        <v>59793</v>
      </c>
      <c r="W6173" t="s">
        <v>42899</v>
      </c>
      <c r="X6173" t="s">
        <v>44767</v>
      </c>
    </row>
    <row r="6174" spans="1:24">
      <c r="A6174">
        <f>HYPERLINK("https://www.philgeps.gov.ph/GEPSNONPILOT/Tender/SplashBidNoticeAbstractUI.aspx?menuIndex=3&amp;refID=7147429&amp;Result=3","7147429")</f>
        <v>0</v>
      </c>
      <c r="B6174" t="s">
        <v>164</v>
      </c>
      <c r="C6174" t="s">
        <v>9597</v>
      </c>
      <c r="D6174" t="s">
        <v>17961</v>
      </c>
      <c r="E6174" t="s">
        <v>23495</v>
      </c>
      <c r="F6174" t="s">
        <v>30900</v>
      </c>
      <c r="G6174" t="s">
        <v>30908</v>
      </c>
      <c r="H6174" t="s">
        <v>30916</v>
      </c>
      <c r="I6174" t="s">
        <v>30976</v>
      </c>
      <c r="J6174" t="s">
        <v>31211</v>
      </c>
      <c r="K6174" t="s">
        <v>40294</v>
      </c>
      <c r="M6174" t="s">
        <v>40711</v>
      </c>
      <c r="N6174" t="s">
        <v>44759</v>
      </c>
      <c r="O6174" t="s">
        <v>44760</v>
      </c>
      <c r="P6174">
        <v>0</v>
      </c>
      <c r="Q6174">
        <v>4</v>
      </c>
      <c r="R6174" t="s">
        <v>44766</v>
      </c>
      <c r="S6174" t="s">
        <v>44902</v>
      </c>
      <c r="T6174" t="s">
        <v>46363</v>
      </c>
      <c r="U6174" t="s">
        <v>52119</v>
      </c>
      <c r="W6174" t="s">
        <v>40711</v>
      </c>
      <c r="X6174" t="s">
        <v>44767</v>
      </c>
    </row>
    <row r="6175" spans="1:24">
      <c r="A6175">
        <f>HYPERLINK("https://www.philgeps.gov.ph/GEPSNONPILOT/Tender/SplashBidNoticeAbstractUI.aspx?menuIndex=3&amp;refID=7147428&amp;Result=3","7147428")</f>
        <v>0</v>
      </c>
      <c r="B6175" t="s">
        <v>2150</v>
      </c>
      <c r="C6175" t="s">
        <v>9598</v>
      </c>
      <c r="D6175" t="s">
        <v>17951</v>
      </c>
      <c r="E6175" t="s">
        <v>23496</v>
      </c>
      <c r="F6175" t="s">
        <v>30900</v>
      </c>
      <c r="G6175" t="s">
        <v>30908</v>
      </c>
      <c r="H6175" t="s">
        <v>30916</v>
      </c>
      <c r="I6175" t="s">
        <v>30927</v>
      </c>
      <c r="J6175" t="s">
        <v>35051</v>
      </c>
      <c r="K6175" t="s">
        <v>40291</v>
      </c>
      <c r="M6175" t="s">
        <v>42854</v>
      </c>
      <c r="N6175" t="s">
        <v>44759</v>
      </c>
      <c r="O6175" t="s">
        <v>44760</v>
      </c>
      <c r="P6175">
        <v>0</v>
      </c>
      <c r="Q6175">
        <v>0</v>
      </c>
      <c r="R6175" t="s">
        <v>44766</v>
      </c>
      <c r="S6175" t="s">
        <v>44902</v>
      </c>
      <c r="T6175" t="s">
        <v>46612</v>
      </c>
      <c r="U6175" t="s">
        <v>52120</v>
      </c>
      <c r="W6175" t="s">
        <v>42854</v>
      </c>
      <c r="X6175" t="s">
        <v>44767</v>
      </c>
    </row>
    <row r="6176" spans="1:24">
      <c r="A6176">
        <f>HYPERLINK("https://www.philgeps.gov.ph/GEPSNONPILOT/Tender/SplashBidNoticeAbstractUI.aspx?menuIndex=3&amp;refID=7147442&amp;Result=3","7147442")</f>
        <v>0</v>
      </c>
      <c r="B6176" t="s">
        <v>2183</v>
      </c>
      <c r="C6176" t="s">
        <v>9599</v>
      </c>
      <c r="D6176" t="s">
        <v>17977</v>
      </c>
      <c r="E6176" t="s">
        <v>23497</v>
      </c>
      <c r="F6176" t="s">
        <v>30900</v>
      </c>
      <c r="G6176" t="s">
        <v>30908</v>
      </c>
      <c r="H6176" t="s">
        <v>30917</v>
      </c>
      <c r="I6176" t="s">
        <v>6746</v>
      </c>
      <c r="J6176" t="s">
        <v>35052</v>
      </c>
      <c r="K6176" t="s">
        <v>40286</v>
      </c>
      <c r="M6176" t="s">
        <v>42890</v>
      </c>
      <c r="N6176" t="s">
        <v>44759</v>
      </c>
      <c r="O6176" t="s">
        <v>44760</v>
      </c>
      <c r="P6176">
        <v>0</v>
      </c>
      <c r="Q6176">
        <v>1</v>
      </c>
      <c r="R6176" t="s">
        <v>44766</v>
      </c>
      <c r="S6176" t="s">
        <v>44902</v>
      </c>
      <c r="T6176" t="s">
        <v>46738</v>
      </c>
      <c r="U6176" t="s">
        <v>52062</v>
      </c>
      <c r="W6176" t="s">
        <v>42890</v>
      </c>
      <c r="X6176" t="s">
        <v>44767</v>
      </c>
    </row>
    <row r="6177" spans="1:24">
      <c r="A6177">
        <f>HYPERLINK("https://www.philgeps.gov.ph/GEPSNONPILOT/Tender/SplashBidNoticeAbstractUI.aspx?menuIndex=3&amp;refID=7147427&amp;Result=3","7147427")</f>
        <v>0</v>
      </c>
      <c r="B6177" t="s">
        <v>2096</v>
      </c>
      <c r="C6177" t="s">
        <v>9600</v>
      </c>
      <c r="E6177" t="s">
        <v>23498</v>
      </c>
      <c r="F6177" t="s">
        <v>30900</v>
      </c>
      <c r="G6177" t="s">
        <v>30907</v>
      </c>
      <c r="H6177" t="s">
        <v>30916</v>
      </c>
      <c r="I6177" t="s">
        <v>4108</v>
      </c>
      <c r="J6177" t="s">
        <v>31105</v>
      </c>
      <c r="K6177" t="s">
        <v>40289</v>
      </c>
      <c r="M6177" t="s">
        <v>42795</v>
      </c>
      <c r="N6177" t="s">
        <v>44759</v>
      </c>
      <c r="O6177" t="s">
        <v>44760</v>
      </c>
      <c r="P6177">
        <v>0</v>
      </c>
      <c r="Q6177">
        <v>1</v>
      </c>
      <c r="R6177" t="s">
        <v>44766</v>
      </c>
      <c r="S6177" t="s">
        <v>44902</v>
      </c>
      <c r="T6177" t="s">
        <v>46457</v>
      </c>
      <c r="U6177" t="s">
        <v>52121</v>
      </c>
      <c r="W6177" t="s">
        <v>42795</v>
      </c>
      <c r="X6177" t="s">
        <v>44767</v>
      </c>
    </row>
    <row r="6178" spans="1:24">
      <c r="A6178">
        <f>HYPERLINK("https://www.philgeps.gov.ph/GEPSNONPILOT/Tender/SplashBidNoticeAbstractUI.aspx?menuIndex=3&amp;refID=7147462&amp;Result=3","7147462")</f>
        <v>0</v>
      </c>
      <c r="B6178" t="s">
        <v>1877</v>
      </c>
      <c r="C6178" t="s">
        <v>9601</v>
      </c>
      <c r="D6178" t="s">
        <v>18005</v>
      </c>
      <c r="E6178" t="s">
        <v>20855</v>
      </c>
      <c r="F6178" t="s">
        <v>30900</v>
      </c>
      <c r="G6178" t="s">
        <v>30907</v>
      </c>
      <c r="H6178" t="s">
        <v>30916</v>
      </c>
      <c r="I6178" t="s">
        <v>30933</v>
      </c>
      <c r="J6178" t="s">
        <v>31069</v>
      </c>
      <c r="K6178" t="s">
        <v>40286</v>
      </c>
      <c r="M6178" t="s">
        <v>42551</v>
      </c>
      <c r="N6178" t="s">
        <v>44759</v>
      </c>
      <c r="O6178" t="s">
        <v>44760</v>
      </c>
      <c r="P6178">
        <v>0</v>
      </c>
      <c r="Q6178">
        <v>4</v>
      </c>
      <c r="R6178" t="s">
        <v>44766</v>
      </c>
      <c r="S6178" t="s">
        <v>44902</v>
      </c>
      <c r="T6178" t="s">
        <v>46465</v>
      </c>
      <c r="U6178" t="s">
        <v>52122</v>
      </c>
      <c r="W6178" t="s">
        <v>42551</v>
      </c>
      <c r="X6178" t="s">
        <v>44767</v>
      </c>
    </row>
    <row r="6179" spans="1:24">
      <c r="A6179">
        <f>HYPERLINK("https://www.philgeps.gov.ph/GEPSNONPILOT/Tender/SplashBidNoticeAbstractUI.aspx?menuIndex=3&amp;refID=7147487&amp;Result=3","7147487")</f>
        <v>0</v>
      </c>
      <c r="B6179" t="s">
        <v>2165</v>
      </c>
      <c r="C6179" t="s">
        <v>9602</v>
      </c>
      <c r="E6179" t="s">
        <v>23499</v>
      </c>
      <c r="F6179" t="s">
        <v>30900</v>
      </c>
      <c r="G6179" t="s">
        <v>30907</v>
      </c>
      <c r="H6179" t="s">
        <v>30916</v>
      </c>
      <c r="I6179" t="s">
        <v>30947</v>
      </c>
      <c r="J6179" t="s">
        <v>33919</v>
      </c>
      <c r="K6179" t="s">
        <v>40286</v>
      </c>
      <c r="M6179" t="s">
        <v>42870</v>
      </c>
      <c r="N6179" t="s">
        <v>44759</v>
      </c>
      <c r="O6179" t="s">
        <v>44760</v>
      </c>
      <c r="P6179">
        <v>0</v>
      </c>
      <c r="Q6179">
        <v>0</v>
      </c>
      <c r="R6179" t="s">
        <v>44766</v>
      </c>
      <c r="S6179" t="s">
        <v>44902</v>
      </c>
      <c r="T6179" t="s">
        <v>46497</v>
      </c>
      <c r="U6179" t="s">
        <v>52123</v>
      </c>
      <c r="W6179" t="s">
        <v>42870</v>
      </c>
      <c r="X6179" t="s">
        <v>44767</v>
      </c>
    </row>
    <row r="6180" spans="1:24">
      <c r="A6180">
        <f>HYPERLINK("https://www.philgeps.gov.ph/GEPSNONPILOT/Tender/SplashBidNoticeAbstractUI.aspx?menuIndex=3&amp;refID=7147394&amp;Result=3","7147394")</f>
        <v>0</v>
      </c>
      <c r="B6180" t="s">
        <v>2165</v>
      </c>
      <c r="C6180" t="s">
        <v>9603</v>
      </c>
      <c r="D6180" t="s">
        <v>17995</v>
      </c>
      <c r="E6180" t="s">
        <v>23500</v>
      </c>
      <c r="F6180" t="s">
        <v>30900</v>
      </c>
      <c r="G6180" t="s">
        <v>30907</v>
      </c>
      <c r="H6180" t="s">
        <v>30916</v>
      </c>
      <c r="I6180" t="s">
        <v>4545</v>
      </c>
      <c r="J6180" t="s">
        <v>33275</v>
      </c>
      <c r="K6180" t="s">
        <v>40286</v>
      </c>
      <c r="M6180" t="s">
        <v>42870</v>
      </c>
      <c r="N6180" t="s">
        <v>44759</v>
      </c>
      <c r="O6180" t="s">
        <v>44760</v>
      </c>
      <c r="P6180">
        <v>0</v>
      </c>
      <c r="Q6180">
        <v>1</v>
      </c>
      <c r="R6180" t="s">
        <v>44766</v>
      </c>
      <c r="S6180" t="s">
        <v>44902</v>
      </c>
      <c r="T6180" t="s">
        <v>46497</v>
      </c>
      <c r="U6180" t="s">
        <v>52124</v>
      </c>
      <c r="W6180" t="s">
        <v>42870</v>
      </c>
      <c r="X6180" t="s">
        <v>44767</v>
      </c>
    </row>
    <row r="6181" spans="1:24">
      <c r="A6181">
        <f>HYPERLINK("https://www.philgeps.gov.ph/GEPSNONPILOT/Tender/SplashBidNoticeAbstractUI.aspx?menuIndex=3&amp;refID=7147485&amp;Result=3","7147485")</f>
        <v>0</v>
      </c>
      <c r="B6181" t="s">
        <v>179</v>
      </c>
      <c r="C6181" t="s">
        <v>9604</v>
      </c>
      <c r="D6181" t="s">
        <v>17953</v>
      </c>
      <c r="E6181" t="s">
        <v>23501</v>
      </c>
      <c r="F6181" t="s">
        <v>30900</v>
      </c>
      <c r="G6181" t="s">
        <v>30907</v>
      </c>
      <c r="H6181" t="s">
        <v>30915</v>
      </c>
      <c r="I6181" t="s">
        <v>30919</v>
      </c>
      <c r="J6181" t="s">
        <v>31105</v>
      </c>
      <c r="K6181" t="s">
        <v>40280</v>
      </c>
      <c r="M6181" t="s">
        <v>40726</v>
      </c>
      <c r="N6181" t="s">
        <v>44759</v>
      </c>
      <c r="O6181" t="s">
        <v>44760</v>
      </c>
      <c r="P6181">
        <v>0</v>
      </c>
      <c r="Q6181">
        <v>0</v>
      </c>
      <c r="R6181" t="s">
        <v>44766</v>
      </c>
      <c r="S6181" t="s">
        <v>44902</v>
      </c>
      <c r="T6181" t="s">
        <v>46409</v>
      </c>
      <c r="U6181" t="s">
        <v>52125</v>
      </c>
      <c r="W6181" t="s">
        <v>40726</v>
      </c>
      <c r="X6181" t="s">
        <v>44767</v>
      </c>
    </row>
    <row r="6182" spans="1:24">
      <c r="A6182">
        <f>HYPERLINK("https://www.philgeps.gov.ph/GEPSNONPILOT/Tender/SplashBidNoticeAbstractUI.aspx?menuIndex=3&amp;refID=7147484&amp;Result=3","7147484")</f>
        <v>0</v>
      </c>
      <c r="B6182" t="s">
        <v>1425</v>
      </c>
      <c r="C6182" t="s">
        <v>9605</v>
      </c>
      <c r="D6182" t="s">
        <v>18029</v>
      </c>
      <c r="E6182" t="s">
        <v>23502</v>
      </c>
      <c r="F6182" t="s">
        <v>30900</v>
      </c>
      <c r="G6182" t="s">
        <v>30907</v>
      </c>
      <c r="H6182" t="s">
        <v>30916</v>
      </c>
      <c r="I6182" t="s">
        <v>4108</v>
      </c>
      <c r="J6182" t="s">
        <v>35053</v>
      </c>
      <c r="K6182" t="s">
        <v>40286</v>
      </c>
      <c r="M6182" t="s">
        <v>42055</v>
      </c>
      <c r="N6182" t="s">
        <v>44759</v>
      </c>
      <c r="O6182" t="s">
        <v>44760</v>
      </c>
      <c r="P6182">
        <v>0</v>
      </c>
      <c r="Q6182">
        <v>0</v>
      </c>
      <c r="R6182" t="s">
        <v>44766</v>
      </c>
      <c r="S6182" t="s">
        <v>44902</v>
      </c>
      <c r="T6182" t="s">
        <v>46414</v>
      </c>
      <c r="U6182" t="s">
        <v>52126</v>
      </c>
      <c r="W6182" t="s">
        <v>42055</v>
      </c>
      <c r="X6182" t="s">
        <v>44767</v>
      </c>
    </row>
    <row r="6183" spans="1:24">
      <c r="A6183">
        <f>HYPERLINK("https://www.philgeps.gov.ph/GEPSNONPILOT/Tender/SplashBidNoticeAbstractUI.aspx?menuIndex=3&amp;refID=7147448&amp;Result=3","7147448")</f>
        <v>0</v>
      </c>
      <c r="B6183" t="s">
        <v>2150</v>
      </c>
      <c r="C6183" t="s">
        <v>9606</v>
      </c>
      <c r="D6183" t="s">
        <v>17951</v>
      </c>
      <c r="E6183" t="s">
        <v>23503</v>
      </c>
      <c r="F6183" t="s">
        <v>30900</v>
      </c>
      <c r="G6183" t="s">
        <v>30908</v>
      </c>
      <c r="H6183" t="s">
        <v>30916</v>
      </c>
      <c r="I6183" t="s">
        <v>4108</v>
      </c>
      <c r="J6183" t="s">
        <v>31288</v>
      </c>
      <c r="K6183" t="s">
        <v>40291</v>
      </c>
      <c r="M6183" t="s">
        <v>42854</v>
      </c>
      <c r="N6183" t="s">
        <v>44759</v>
      </c>
      <c r="O6183" t="s">
        <v>44760</v>
      </c>
      <c r="P6183">
        <v>0</v>
      </c>
      <c r="Q6183">
        <v>0</v>
      </c>
      <c r="R6183" t="s">
        <v>44766</v>
      </c>
      <c r="S6183" t="s">
        <v>44902</v>
      </c>
      <c r="T6183" t="s">
        <v>46612</v>
      </c>
      <c r="U6183" t="s">
        <v>52127</v>
      </c>
      <c r="W6183" t="s">
        <v>42854</v>
      </c>
      <c r="X6183" t="s">
        <v>44767</v>
      </c>
    </row>
    <row r="6184" spans="1:24">
      <c r="A6184">
        <f>HYPERLINK("https://www.philgeps.gov.ph/GEPSNONPILOT/Tender/SplashBidNoticeAbstractUI.aspx?menuIndex=3&amp;refID=7147498&amp;Result=3","7147498")</f>
        <v>0</v>
      </c>
      <c r="B6184" t="s">
        <v>2207</v>
      </c>
      <c r="C6184" t="s">
        <v>9607</v>
      </c>
      <c r="D6184" t="s">
        <v>17994</v>
      </c>
      <c r="E6184" t="s">
        <v>23504</v>
      </c>
      <c r="F6184" t="s">
        <v>30900</v>
      </c>
      <c r="G6184" t="s">
        <v>30907</v>
      </c>
      <c r="H6184" t="s">
        <v>30916</v>
      </c>
      <c r="I6184" t="s">
        <v>4142</v>
      </c>
      <c r="J6184" t="s">
        <v>35054</v>
      </c>
      <c r="K6184" t="s">
        <v>40287</v>
      </c>
      <c r="M6184" t="s">
        <v>42915</v>
      </c>
      <c r="N6184" t="s">
        <v>44759</v>
      </c>
      <c r="O6184" t="s">
        <v>44760</v>
      </c>
      <c r="P6184">
        <v>0</v>
      </c>
      <c r="Q6184">
        <v>2</v>
      </c>
      <c r="R6184" t="s">
        <v>44766</v>
      </c>
      <c r="S6184" t="s">
        <v>44902</v>
      </c>
      <c r="T6184" t="s">
        <v>46425</v>
      </c>
      <c r="U6184" t="s">
        <v>52128</v>
      </c>
      <c r="W6184" t="s">
        <v>42915</v>
      </c>
      <c r="X6184" t="s">
        <v>44767</v>
      </c>
    </row>
    <row r="6185" spans="1:24">
      <c r="A6185">
        <f>HYPERLINK("https://www.philgeps.gov.ph/GEPSNONPILOT/Tender/SplashBidNoticeAbstractUI.aspx?menuIndex=3&amp;refID=7147496&amp;Result=3","7147496")</f>
        <v>0</v>
      </c>
      <c r="B6185" t="s">
        <v>43</v>
      </c>
      <c r="C6185" t="s">
        <v>9608</v>
      </c>
      <c r="D6185" t="s">
        <v>17968</v>
      </c>
      <c r="E6185" t="s">
        <v>23505</v>
      </c>
      <c r="F6185" t="s">
        <v>30900</v>
      </c>
      <c r="G6185" t="s">
        <v>30908</v>
      </c>
      <c r="H6185" t="s">
        <v>30916</v>
      </c>
      <c r="I6185" t="s">
        <v>8044</v>
      </c>
      <c r="J6185" t="s">
        <v>35055</v>
      </c>
      <c r="K6185" t="s">
        <v>40286</v>
      </c>
      <c r="M6185" t="s">
        <v>42744</v>
      </c>
      <c r="N6185" t="s">
        <v>44759</v>
      </c>
      <c r="O6185" t="s">
        <v>44760</v>
      </c>
      <c r="P6185">
        <v>0</v>
      </c>
      <c r="Q6185">
        <v>6</v>
      </c>
      <c r="R6185" t="s">
        <v>44766</v>
      </c>
      <c r="S6185" t="s">
        <v>44902</v>
      </c>
      <c r="T6185" t="s">
        <v>46548</v>
      </c>
      <c r="U6185" t="s">
        <v>52129</v>
      </c>
      <c r="V6185" t="s">
        <v>59730</v>
      </c>
      <c r="W6185" t="s">
        <v>42744</v>
      </c>
      <c r="X6185" t="s">
        <v>44767</v>
      </c>
    </row>
    <row r="6186" spans="1:24">
      <c r="A6186">
        <f>HYPERLINK("https://www.philgeps.gov.ph/GEPSNONPILOT/Tender/SplashBidNoticeAbstractUI.aspx?menuIndex=3&amp;refID=7147493&amp;Result=3","7147493")</f>
        <v>0</v>
      </c>
      <c r="B6186" t="s">
        <v>867</v>
      </c>
      <c r="C6186" t="s">
        <v>5458</v>
      </c>
      <c r="D6186" t="s">
        <v>17973</v>
      </c>
      <c r="E6186" t="s">
        <v>18094</v>
      </c>
      <c r="F6186" t="s">
        <v>30900</v>
      </c>
      <c r="G6186" t="s">
        <v>30907</v>
      </c>
      <c r="H6186" t="s">
        <v>30915</v>
      </c>
      <c r="I6186" t="s">
        <v>30919</v>
      </c>
      <c r="J6186" t="s">
        <v>31204</v>
      </c>
      <c r="K6186" t="s">
        <v>40284</v>
      </c>
      <c r="M6186" t="s">
        <v>41440</v>
      </c>
      <c r="N6186" t="s">
        <v>44759</v>
      </c>
      <c r="O6186" t="s">
        <v>44760</v>
      </c>
      <c r="P6186">
        <v>0</v>
      </c>
      <c r="Q6186">
        <v>0</v>
      </c>
      <c r="R6186" t="s">
        <v>44766</v>
      </c>
      <c r="S6186" t="s">
        <v>44902</v>
      </c>
      <c r="T6186" t="s">
        <v>46745</v>
      </c>
      <c r="U6186" t="s">
        <v>52130</v>
      </c>
      <c r="W6186" t="s">
        <v>41440</v>
      </c>
      <c r="X6186" t="s">
        <v>44767</v>
      </c>
    </row>
    <row r="6187" spans="1:24">
      <c r="A6187">
        <f>HYPERLINK("https://www.philgeps.gov.ph/GEPSNONPILOT/Tender/SplashBidNoticeAbstractUI.aspx?menuIndex=3&amp;refID=7147488&amp;Result=3","7147488")</f>
        <v>0</v>
      </c>
      <c r="B6187" t="s">
        <v>2202</v>
      </c>
      <c r="C6187" t="s">
        <v>8326</v>
      </c>
      <c r="D6187" t="s">
        <v>17990</v>
      </c>
      <c r="E6187" t="s">
        <v>23506</v>
      </c>
      <c r="F6187" t="s">
        <v>30900</v>
      </c>
      <c r="G6187" t="s">
        <v>30907</v>
      </c>
      <c r="H6187" t="s">
        <v>30916</v>
      </c>
      <c r="I6187" t="s">
        <v>8123</v>
      </c>
      <c r="J6187" t="s">
        <v>31070</v>
      </c>
      <c r="K6187" t="s">
        <v>40287</v>
      </c>
      <c r="M6187" t="s">
        <v>42909</v>
      </c>
      <c r="N6187" t="s">
        <v>44759</v>
      </c>
      <c r="O6187" t="s">
        <v>44760</v>
      </c>
      <c r="P6187">
        <v>0</v>
      </c>
      <c r="Q6187">
        <v>2</v>
      </c>
      <c r="R6187" t="s">
        <v>44766</v>
      </c>
      <c r="S6187" t="s">
        <v>44902</v>
      </c>
      <c r="T6187" t="s">
        <v>46519</v>
      </c>
      <c r="U6187" t="s">
        <v>52131</v>
      </c>
      <c r="W6187" t="s">
        <v>42909</v>
      </c>
      <c r="X6187" t="s">
        <v>44767</v>
      </c>
    </row>
    <row r="6188" spans="1:24">
      <c r="A6188">
        <f>HYPERLINK("https://www.philgeps.gov.ph/GEPSNONPILOT/Tender/SplashBidNoticeAbstractUI.aspx?menuIndex=3&amp;refID=7147478&amp;Result=3","7147478")</f>
        <v>0</v>
      </c>
      <c r="B6188" t="s">
        <v>2208</v>
      </c>
      <c r="C6188" t="s">
        <v>9609</v>
      </c>
      <c r="D6188" t="s">
        <v>18025</v>
      </c>
      <c r="E6188" t="s">
        <v>23507</v>
      </c>
      <c r="F6188" t="s">
        <v>30900</v>
      </c>
      <c r="G6188" t="s">
        <v>30907</v>
      </c>
      <c r="H6188" t="s">
        <v>30915</v>
      </c>
      <c r="I6188" t="s">
        <v>30919</v>
      </c>
      <c r="J6188" t="s">
        <v>31152</v>
      </c>
      <c r="K6188" t="s">
        <v>40289</v>
      </c>
      <c r="M6188" t="s">
        <v>42916</v>
      </c>
      <c r="N6188" t="s">
        <v>44759</v>
      </c>
      <c r="O6188" t="s">
        <v>44760</v>
      </c>
      <c r="P6188">
        <v>0</v>
      </c>
      <c r="Q6188">
        <v>0</v>
      </c>
      <c r="R6188" t="s">
        <v>44766</v>
      </c>
      <c r="S6188" t="s">
        <v>44902</v>
      </c>
      <c r="T6188" t="s">
        <v>46421</v>
      </c>
      <c r="U6188" t="s">
        <v>52132</v>
      </c>
      <c r="V6188" t="s">
        <v>59799</v>
      </c>
      <c r="W6188" t="s">
        <v>42916</v>
      </c>
      <c r="X6188" t="s">
        <v>44767</v>
      </c>
    </row>
    <row r="6189" spans="1:24">
      <c r="A6189">
        <f>HYPERLINK("https://www.philgeps.gov.ph/GEPSNONPILOT/Tender/SplashBidNoticeAbstractUI.aspx?menuIndex=3&amp;refID=7147458&amp;Result=3","7147458")</f>
        <v>0</v>
      </c>
      <c r="B6189" t="s">
        <v>2209</v>
      </c>
      <c r="C6189" t="s">
        <v>9610</v>
      </c>
      <c r="D6189" t="s">
        <v>17959</v>
      </c>
      <c r="E6189" t="s">
        <v>9610</v>
      </c>
      <c r="F6189" t="s">
        <v>30900</v>
      </c>
      <c r="G6189" t="s">
        <v>30907</v>
      </c>
      <c r="H6189" t="s">
        <v>30916</v>
      </c>
      <c r="I6189" t="s">
        <v>6396</v>
      </c>
      <c r="J6189" t="s">
        <v>35056</v>
      </c>
      <c r="K6189" t="s">
        <v>40286</v>
      </c>
      <c r="M6189" t="s">
        <v>42917</v>
      </c>
      <c r="N6189" t="s">
        <v>44759</v>
      </c>
      <c r="O6189" t="s">
        <v>44760</v>
      </c>
      <c r="P6189">
        <v>0</v>
      </c>
      <c r="Q6189">
        <v>0</v>
      </c>
      <c r="R6189" t="s">
        <v>44766</v>
      </c>
      <c r="S6189" t="s">
        <v>44902</v>
      </c>
      <c r="T6189" t="s">
        <v>46515</v>
      </c>
      <c r="U6189" t="s">
        <v>52133</v>
      </c>
      <c r="W6189" t="s">
        <v>42917</v>
      </c>
      <c r="X6189" t="s">
        <v>44767</v>
      </c>
    </row>
    <row r="6190" spans="1:24">
      <c r="A6190">
        <f>HYPERLINK("https://www.philgeps.gov.ph/GEPSNONPILOT/Tender/SplashBidNoticeAbstractUI.aspx?menuIndex=3&amp;refID=7147439&amp;Result=3","7147439")</f>
        <v>0</v>
      </c>
      <c r="B6190" t="s">
        <v>2203</v>
      </c>
      <c r="C6190" t="s">
        <v>9611</v>
      </c>
      <c r="D6190" t="s">
        <v>17981</v>
      </c>
      <c r="E6190" t="s">
        <v>23508</v>
      </c>
      <c r="F6190" t="s">
        <v>30900</v>
      </c>
      <c r="G6190" t="s">
        <v>30906</v>
      </c>
      <c r="H6190" t="s">
        <v>30915</v>
      </c>
      <c r="I6190" t="s">
        <v>30919</v>
      </c>
      <c r="J6190" t="s">
        <v>35057</v>
      </c>
      <c r="K6190" t="s">
        <v>40289</v>
      </c>
      <c r="M6190" t="s">
        <v>42910</v>
      </c>
      <c r="N6190" t="s">
        <v>44759</v>
      </c>
      <c r="O6190" t="s">
        <v>44760</v>
      </c>
      <c r="P6190">
        <v>0</v>
      </c>
      <c r="Q6190">
        <v>1</v>
      </c>
      <c r="R6190" t="s">
        <v>44766</v>
      </c>
      <c r="S6190" t="s">
        <v>44902</v>
      </c>
      <c r="T6190" t="s">
        <v>46410</v>
      </c>
      <c r="U6190" t="s">
        <v>52134</v>
      </c>
      <c r="W6190" t="s">
        <v>42910</v>
      </c>
      <c r="X6190" t="s">
        <v>44767</v>
      </c>
    </row>
    <row r="6191" spans="1:24">
      <c r="A6191">
        <f>HYPERLINK("https://www.philgeps.gov.ph/GEPSNONPILOT/Tender/SplashBidNoticeAbstractUI.aspx?menuIndex=3&amp;refID=7147477&amp;Result=3","7147477")</f>
        <v>0</v>
      </c>
      <c r="B6191" t="s">
        <v>2192</v>
      </c>
      <c r="C6191" t="s">
        <v>9612</v>
      </c>
      <c r="D6191" t="s">
        <v>17961</v>
      </c>
      <c r="E6191" t="s">
        <v>23509</v>
      </c>
      <c r="F6191" t="s">
        <v>30900</v>
      </c>
      <c r="G6191" t="s">
        <v>30910</v>
      </c>
      <c r="H6191" t="s">
        <v>30916</v>
      </c>
      <c r="I6191" t="s">
        <v>30963</v>
      </c>
      <c r="J6191" t="s">
        <v>31050</v>
      </c>
      <c r="K6191" t="s">
        <v>40286</v>
      </c>
      <c r="M6191" t="s">
        <v>42899</v>
      </c>
      <c r="N6191" t="s">
        <v>44759</v>
      </c>
      <c r="O6191" t="s">
        <v>44760</v>
      </c>
      <c r="P6191">
        <v>0</v>
      </c>
      <c r="Q6191">
        <v>2</v>
      </c>
      <c r="R6191" t="s">
        <v>44766</v>
      </c>
      <c r="S6191" t="s">
        <v>44902</v>
      </c>
      <c r="T6191" t="s">
        <v>46457</v>
      </c>
      <c r="U6191" t="s">
        <v>52135</v>
      </c>
      <c r="V6191" t="s">
        <v>59793</v>
      </c>
      <c r="W6191" t="s">
        <v>42899</v>
      </c>
      <c r="X6191" t="s">
        <v>44767</v>
      </c>
    </row>
    <row r="6192" spans="1:24">
      <c r="A6192">
        <f>HYPERLINK("https://www.philgeps.gov.ph/GEPSNONPILOT/Tender/SplashBidNoticeAbstractUI.aspx?menuIndex=3&amp;refID=7147475&amp;Result=3","7147475")</f>
        <v>0</v>
      </c>
      <c r="B6192" t="s">
        <v>1966</v>
      </c>
      <c r="C6192" t="s">
        <v>9613</v>
      </c>
      <c r="D6192" t="s">
        <v>17958</v>
      </c>
      <c r="E6192" t="s">
        <v>23510</v>
      </c>
      <c r="F6192" t="s">
        <v>30900</v>
      </c>
      <c r="G6192" t="s">
        <v>30908</v>
      </c>
      <c r="H6192" t="s">
        <v>30916</v>
      </c>
      <c r="I6192" t="s">
        <v>4050</v>
      </c>
      <c r="J6192" t="s">
        <v>35058</v>
      </c>
      <c r="K6192" t="s">
        <v>40286</v>
      </c>
      <c r="M6192" t="s">
        <v>42650</v>
      </c>
      <c r="N6192" t="s">
        <v>44759</v>
      </c>
      <c r="O6192" t="s">
        <v>44760</v>
      </c>
      <c r="P6192">
        <v>0</v>
      </c>
      <c r="Q6192">
        <v>3</v>
      </c>
      <c r="R6192" t="s">
        <v>44766</v>
      </c>
      <c r="S6192" t="s">
        <v>44902</v>
      </c>
      <c r="T6192" t="s">
        <v>46662</v>
      </c>
      <c r="U6192" t="s">
        <v>52136</v>
      </c>
      <c r="W6192" t="s">
        <v>42650</v>
      </c>
      <c r="X6192" t="s">
        <v>44767</v>
      </c>
    </row>
    <row r="6193" spans="1:24">
      <c r="A6193">
        <f>HYPERLINK("https://www.philgeps.gov.ph/GEPSNONPILOT/Tender/SplashBidNoticeAbstractUI.aspx?menuIndex=3&amp;refID=7147474&amp;Result=3","7147474")</f>
        <v>0</v>
      </c>
      <c r="B6193" t="s">
        <v>2210</v>
      </c>
      <c r="C6193" t="s">
        <v>9614</v>
      </c>
      <c r="D6193" t="s">
        <v>18010</v>
      </c>
      <c r="E6193" t="s">
        <v>20527</v>
      </c>
      <c r="F6193" t="s">
        <v>30900</v>
      </c>
      <c r="G6193" t="s">
        <v>30907</v>
      </c>
      <c r="H6193" t="s">
        <v>30915</v>
      </c>
      <c r="I6193" t="s">
        <v>8123</v>
      </c>
      <c r="J6193" t="s">
        <v>35059</v>
      </c>
      <c r="K6193" t="s">
        <v>40283</v>
      </c>
      <c r="M6193" t="s">
        <v>42918</v>
      </c>
      <c r="N6193" t="s">
        <v>44759</v>
      </c>
      <c r="O6193" t="s">
        <v>44760</v>
      </c>
      <c r="P6193">
        <v>0</v>
      </c>
      <c r="Q6193">
        <v>3</v>
      </c>
      <c r="R6193" t="s">
        <v>44766</v>
      </c>
      <c r="S6193" t="s">
        <v>44902</v>
      </c>
      <c r="T6193" t="s">
        <v>46445</v>
      </c>
      <c r="U6193" t="s">
        <v>52137</v>
      </c>
      <c r="W6193" t="s">
        <v>42918</v>
      </c>
      <c r="X6193" t="s">
        <v>44767</v>
      </c>
    </row>
    <row r="6194" spans="1:24">
      <c r="A6194">
        <f>HYPERLINK("https://www.philgeps.gov.ph/GEPSNONPILOT/Tender/SplashBidNoticeAbstractUI.aspx?menuIndex=3&amp;refID=7147472&amp;Result=3","7147472")</f>
        <v>0</v>
      </c>
      <c r="B6194" t="s">
        <v>1997</v>
      </c>
      <c r="C6194" t="s">
        <v>9615</v>
      </c>
      <c r="D6194" t="s">
        <v>17953</v>
      </c>
      <c r="E6194" t="s">
        <v>23511</v>
      </c>
      <c r="F6194" t="s">
        <v>30900</v>
      </c>
      <c r="G6194" t="s">
        <v>30908</v>
      </c>
      <c r="H6194" t="s">
        <v>30916</v>
      </c>
      <c r="I6194" t="s">
        <v>30923</v>
      </c>
      <c r="J6194" t="s">
        <v>35060</v>
      </c>
      <c r="K6194" t="s">
        <v>40284</v>
      </c>
      <c r="M6194" t="s">
        <v>42689</v>
      </c>
      <c r="N6194" t="s">
        <v>44759</v>
      </c>
      <c r="O6194" t="s">
        <v>44760</v>
      </c>
      <c r="P6194">
        <v>0</v>
      </c>
      <c r="Q6194">
        <v>3</v>
      </c>
      <c r="R6194" t="s">
        <v>44766</v>
      </c>
      <c r="S6194" t="s">
        <v>44902</v>
      </c>
      <c r="T6194" t="s">
        <v>46581</v>
      </c>
      <c r="U6194" t="s">
        <v>52138</v>
      </c>
      <c r="W6194" t="s">
        <v>44481</v>
      </c>
      <c r="X6194" t="s">
        <v>44767</v>
      </c>
    </row>
    <row r="6195" spans="1:24">
      <c r="A6195">
        <f>HYPERLINK("https://www.philgeps.gov.ph/GEPSNONPILOT/Tender/SplashBidNoticeAbstractUI.aspx?menuIndex=3&amp;refID=7147471&amp;Result=3","7147471")</f>
        <v>0</v>
      </c>
      <c r="B6195" t="s">
        <v>1511</v>
      </c>
      <c r="C6195" t="s">
        <v>9616</v>
      </c>
      <c r="D6195" t="s">
        <v>18019</v>
      </c>
      <c r="E6195" t="s">
        <v>23512</v>
      </c>
      <c r="F6195" t="s">
        <v>30900</v>
      </c>
      <c r="G6195" t="s">
        <v>30908</v>
      </c>
      <c r="H6195" t="s">
        <v>30916</v>
      </c>
      <c r="I6195" t="s">
        <v>7411</v>
      </c>
      <c r="J6195" t="s">
        <v>31243</v>
      </c>
      <c r="K6195" t="s">
        <v>40287</v>
      </c>
      <c r="M6195" t="s">
        <v>42152</v>
      </c>
      <c r="N6195" t="s">
        <v>44759</v>
      </c>
      <c r="O6195" t="s">
        <v>44760</v>
      </c>
      <c r="P6195">
        <v>0</v>
      </c>
      <c r="Q6195">
        <v>6</v>
      </c>
      <c r="R6195" t="s">
        <v>44766</v>
      </c>
      <c r="S6195" t="s">
        <v>44902</v>
      </c>
      <c r="T6195" t="s">
        <v>46704</v>
      </c>
      <c r="U6195" t="s">
        <v>52139</v>
      </c>
      <c r="W6195" t="s">
        <v>42152</v>
      </c>
      <c r="X6195" t="s">
        <v>44767</v>
      </c>
    </row>
    <row r="6196" spans="1:24">
      <c r="A6196">
        <f>HYPERLINK("https://www.philgeps.gov.ph/GEPSNONPILOT/Tender/SplashBidNoticeAbstractUI.aspx?menuIndex=3&amp;refID=7147466&amp;Result=3","7147466")</f>
        <v>0</v>
      </c>
      <c r="B6196" t="s">
        <v>2150</v>
      </c>
      <c r="C6196" t="s">
        <v>9617</v>
      </c>
      <c r="D6196" t="s">
        <v>17951</v>
      </c>
      <c r="E6196" t="s">
        <v>23513</v>
      </c>
      <c r="F6196" t="s">
        <v>30900</v>
      </c>
      <c r="G6196" t="s">
        <v>30908</v>
      </c>
      <c r="H6196" t="s">
        <v>30916</v>
      </c>
      <c r="I6196" t="s">
        <v>30944</v>
      </c>
      <c r="J6196" t="s">
        <v>35061</v>
      </c>
      <c r="K6196" t="s">
        <v>40280</v>
      </c>
      <c r="M6196" t="s">
        <v>42854</v>
      </c>
      <c r="N6196" t="s">
        <v>44759</v>
      </c>
      <c r="O6196" t="s">
        <v>44760</v>
      </c>
      <c r="P6196">
        <v>0</v>
      </c>
      <c r="Q6196">
        <v>3</v>
      </c>
      <c r="R6196" t="s">
        <v>44766</v>
      </c>
      <c r="S6196" t="s">
        <v>44902</v>
      </c>
      <c r="T6196" t="s">
        <v>46612</v>
      </c>
      <c r="U6196" t="s">
        <v>52140</v>
      </c>
      <c r="W6196" t="s">
        <v>42854</v>
      </c>
      <c r="X6196" t="s">
        <v>44767</v>
      </c>
    </row>
    <row r="6197" spans="1:24">
      <c r="A6197">
        <f>HYPERLINK("https://www.philgeps.gov.ph/GEPSNONPILOT/Tender/SplashBidNoticeAbstractUI.aspx?menuIndex=3&amp;refID=7147501&amp;Result=3","7147501")</f>
        <v>0</v>
      </c>
      <c r="B6197" t="s">
        <v>1365</v>
      </c>
      <c r="C6197" t="s">
        <v>9618</v>
      </c>
      <c r="D6197" t="s">
        <v>17978</v>
      </c>
      <c r="E6197" t="s">
        <v>23514</v>
      </c>
      <c r="F6197" t="s">
        <v>30900</v>
      </c>
      <c r="G6197" t="s">
        <v>30909</v>
      </c>
      <c r="H6197" t="s">
        <v>30916</v>
      </c>
      <c r="I6197" t="s">
        <v>4142</v>
      </c>
      <c r="J6197" t="s">
        <v>31811</v>
      </c>
      <c r="K6197" t="s">
        <v>40289</v>
      </c>
      <c r="M6197" t="s">
        <v>41987</v>
      </c>
      <c r="N6197" t="s">
        <v>44759</v>
      </c>
      <c r="O6197" t="s">
        <v>44760</v>
      </c>
      <c r="P6197">
        <v>0</v>
      </c>
      <c r="Q6197">
        <v>2</v>
      </c>
      <c r="R6197" t="s">
        <v>44766</v>
      </c>
      <c r="S6197" t="s">
        <v>44902</v>
      </c>
      <c r="T6197" t="s">
        <v>46746</v>
      </c>
      <c r="U6197" t="s">
        <v>52141</v>
      </c>
      <c r="W6197" t="s">
        <v>41987</v>
      </c>
      <c r="X6197" t="s">
        <v>44767</v>
      </c>
    </row>
    <row r="6198" spans="1:24">
      <c r="A6198">
        <f>HYPERLINK("https://www.philgeps.gov.ph/GEPSNONPILOT/Tender/SplashBidNoticeAbstractUI.aspx?menuIndex=3&amp;refID=7147540&amp;Result=3","7147540")</f>
        <v>0</v>
      </c>
      <c r="B6198" t="s">
        <v>1242</v>
      </c>
      <c r="C6198" t="s">
        <v>9619</v>
      </c>
      <c r="D6198" t="s">
        <v>17959</v>
      </c>
      <c r="E6198" t="s">
        <v>23515</v>
      </c>
      <c r="F6198" t="s">
        <v>30900</v>
      </c>
      <c r="G6198" t="s">
        <v>30908</v>
      </c>
      <c r="H6198" t="s">
        <v>30916</v>
      </c>
      <c r="I6198" t="s">
        <v>30918</v>
      </c>
      <c r="J6198" t="s">
        <v>31135</v>
      </c>
      <c r="K6198" t="s">
        <v>40287</v>
      </c>
      <c r="M6198" t="s">
        <v>42919</v>
      </c>
      <c r="N6198" t="s">
        <v>44759</v>
      </c>
      <c r="O6198" t="s">
        <v>44760</v>
      </c>
      <c r="P6198">
        <v>0</v>
      </c>
      <c r="Q6198">
        <v>12</v>
      </c>
      <c r="R6198" t="s">
        <v>44766</v>
      </c>
      <c r="S6198" t="s">
        <v>44902</v>
      </c>
      <c r="T6198" t="s">
        <v>46531</v>
      </c>
      <c r="U6198" t="s">
        <v>52142</v>
      </c>
      <c r="W6198" t="s">
        <v>42919</v>
      </c>
      <c r="X6198" t="s">
        <v>44767</v>
      </c>
    </row>
    <row r="6199" spans="1:24">
      <c r="A6199">
        <f>HYPERLINK("https://www.philgeps.gov.ph/GEPSNONPILOT/Tender/SplashBidNoticeAbstractUI.aspx?menuIndex=3&amp;refID=7147536&amp;Result=3","7147536")</f>
        <v>0</v>
      </c>
      <c r="B6199" t="s">
        <v>1968</v>
      </c>
      <c r="C6199" t="s">
        <v>9620</v>
      </c>
      <c r="D6199" t="s">
        <v>17998</v>
      </c>
      <c r="E6199" t="s">
        <v>23516</v>
      </c>
      <c r="F6199" t="s">
        <v>30900</v>
      </c>
      <c r="G6199" t="s">
        <v>30910</v>
      </c>
      <c r="H6199" t="s">
        <v>30916</v>
      </c>
      <c r="I6199" t="s">
        <v>30922</v>
      </c>
      <c r="J6199" t="s">
        <v>31101</v>
      </c>
      <c r="K6199" t="s">
        <v>40286</v>
      </c>
      <c r="M6199" t="s">
        <v>42654</v>
      </c>
      <c r="N6199" t="s">
        <v>44759</v>
      </c>
      <c r="O6199" t="s">
        <v>44760</v>
      </c>
      <c r="P6199">
        <v>0</v>
      </c>
      <c r="Q6199">
        <v>5</v>
      </c>
      <c r="R6199" t="s">
        <v>44766</v>
      </c>
      <c r="S6199" t="s">
        <v>44902</v>
      </c>
      <c r="T6199" t="s">
        <v>46414</v>
      </c>
      <c r="U6199" t="s">
        <v>52143</v>
      </c>
      <c r="V6199" t="s">
        <v>59687</v>
      </c>
      <c r="W6199" t="s">
        <v>42654</v>
      </c>
      <c r="X6199" t="s">
        <v>44767</v>
      </c>
    </row>
    <row r="6200" spans="1:24">
      <c r="A6200">
        <f>HYPERLINK("https://www.philgeps.gov.ph/GEPSNONPILOT/Tender/SplashBidNoticeAbstractUI.aspx?menuIndex=3&amp;refID=7147476&amp;Result=3","7147476")</f>
        <v>0</v>
      </c>
      <c r="B6200" t="s">
        <v>2211</v>
      </c>
      <c r="C6200" t="s">
        <v>9621</v>
      </c>
      <c r="D6200" t="s">
        <v>17995</v>
      </c>
      <c r="E6200" t="s">
        <v>23517</v>
      </c>
      <c r="F6200" t="s">
        <v>30900</v>
      </c>
      <c r="G6200" t="s">
        <v>30909</v>
      </c>
      <c r="H6200" t="s">
        <v>30916</v>
      </c>
      <c r="I6200" t="s">
        <v>30927</v>
      </c>
      <c r="J6200" t="s">
        <v>35062</v>
      </c>
      <c r="K6200" t="s">
        <v>40286</v>
      </c>
      <c r="M6200" t="s">
        <v>42920</v>
      </c>
      <c r="N6200" t="s">
        <v>44759</v>
      </c>
      <c r="O6200" t="s">
        <v>44760</v>
      </c>
      <c r="P6200">
        <v>0</v>
      </c>
      <c r="Q6200">
        <v>0</v>
      </c>
      <c r="R6200" t="s">
        <v>44766</v>
      </c>
      <c r="S6200" t="s">
        <v>44902</v>
      </c>
      <c r="T6200" t="s">
        <v>46403</v>
      </c>
      <c r="U6200" t="s">
        <v>52144</v>
      </c>
      <c r="W6200" t="s">
        <v>42920</v>
      </c>
      <c r="X6200" t="s">
        <v>44767</v>
      </c>
    </row>
    <row r="6201" spans="1:24">
      <c r="A6201">
        <f>HYPERLINK("https://www.philgeps.gov.ph/GEPSNONPILOT/Tender/SplashBidNoticeAbstractUI.aspx?menuIndex=3&amp;refID=7147473&amp;Result=3","7147473")</f>
        <v>0</v>
      </c>
      <c r="B6201" t="s">
        <v>965</v>
      </c>
      <c r="C6201" t="s">
        <v>9622</v>
      </c>
      <c r="D6201" t="s">
        <v>18010</v>
      </c>
      <c r="E6201" t="s">
        <v>23518</v>
      </c>
      <c r="F6201" t="s">
        <v>30900</v>
      </c>
      <c r="G6201" t="s">
        <v>30908</v>
      </c>
      <c r="H6201" t="s">
        <v>30916</v>
      </c>
      <c r="I6201" t="s">
        <v>30923</v>
      </c>
      <c r="J6201" t="s">
        <v>35063</v>
      </c>
      <c r="K6201" t="s">
        <v>40287</v>
      </c>
      <c r="M6201" t="s">
        <v>41552</v>
      </c>
      <c r="N6201" t="s">
        <v>44759</v>
      </c>
      <c r="O6201" t="s">
        <v>44760</v>
      </c>
      <c r="P6201">
        <v>0</v>
      </c>
      <c r="Q6201">
        <v>4</v>
      </c>
      <c r="R6201" t="s">
        <v>44766</v>
      </c>
      <c r="S6201" t="s">
        <v>44902</v>
      </c>
      <c r="T6201" t="s">
        <v>46581</v>
      </c>
      <c r="U6201" t="s">
        <v>52145</v>
      </c>
      <c r="V6201" t="s">
        <v>59800</v>
      </c>
      <c r="W6201" t="s">
        <v>41552</v>
      </c>
      <c r="X6201" t="s">
        <v>44767</v>
      </c>
    </row>
    <row r="6202" spans="1:24">
      <c r="A6202">
        <f>HYPERLINK("https://www.philgeps.gov.ph/GEPSNONPILOT/Tender/SplashBidNoticeAbstractUI.aspx?menuIndex=3&amp;refID=7147489&amp;Result=3","7147489")</f>
        <v>0</v>
      </c>
      <c r="B6202" t="s">
        <v>2212</v>
      </c>
      <c r="C6202" t="s">
        <v>9623</v>
      </c>
      <c r="D6202" t="s">
        <v>17971</v>
      </c>
      <c r="E6202" t="s">
        <v>23519</v>
      </c>
      <c r="F6202" t="s">
        <v>30900</v>
      </c>
      <c r="G6202" t="s">
        <v>30907</v>
      </c>
      <c r="H6202" t="s">
        <v>30915</v>
      </c>
      <c r="I6202" t="s">
        <v>30919</v>
      </c>
      <c r="J6202" t="s">
        <v>35064</v>
      </c>
      <c r="K6202" t="s">
        <v>40286</v>
      </c>
      <c r="M6202" t="s">
        <v>42921</v>
      </c>
      <c r="N6202" t="s">
        <v>44759</v>
      </c>
      <c r="O6202" t="s">
        <v>44760</v>
      </c>
      <c r="P6202">
        <v>0</v>
      </c>
      <c r="Q6202">
        <v>0</v>
      </c>
      <c r="R6202" t="s">
        <v>44766</v>
      </c>
      <c r="S6202" t="s">
        <v>44902</v>
      </c>
      <c r="T6202" t="s">
        <v>46363</v>
      </c>
      <c r="U6202" t="s">
        <v>52146</v>
      </c>
      <c r="W6202" t="s">
        <v>42921</v>
      </c>
      <c r="X6202" t="s">
        <v>44767</v>
      </c>
    </row>
    <row r="6203" spans="1:24">
      <c r="A6203">
        <f>HYPERLINK("https://www.philgeps.gov.ph/GEPSNONPILOT/Tender/SplashBidNoticeAbstractUI.aspx?menuIndex=3&amp;refID=7147482&amp;Result=3","7147482")</f>
        <v>0</v>
      </c>
      <c r="B6203" t="s">
        <v>2213</v>
      </c>
      <c r="C6203" t="s">
        <v>9624</v>
      </c>
      <c r="E6203" t="s">
        <v>20242</v>
      </c>
      <c r="F6203" t="s">
        <v>30900</v>
      </c>
      <c r="G6203" t="s">
        <v>30907</v>
      </c>
      <c r="H6203" t="s">
        <v>30916</v>
      </c>
      <c r="I6203" t="s">
        <v>4545</v>
      </c>
      <c r="J6203" t="s">
        <v>35065</v>
      </c>
      <c r="K6203" t="s">
        <v>40283</v>
      </c>
      <c r="M6203" t="s">
        <v>42922</v>
      </c>
      <c r="N6203" t="s">
        <v>44759</v>
      </c>
      <c r="O6203" t="s">
        <v>44760</v>
      </c>
      <c r="P6203">
        <v>0</v>
      </c>
      <c r="Q6203">
        <v>2</v>
      </c>
      <c r="R6203" t="s">
        <v>44766</v>
      </c>
      <c r="S6203" t="s">
        <v>44902</v>
      </c>
      <c r="T6203" t="s">
        <v>46376</v>
      </c>
      <c r="U6203" t="s">
        <v>52147</v>
      </c>
      <c r="W6203" t="s">
        <v>42922</v>
      </c>
      <c r="X6203" t="s">
        <v>44767</v>
      </c>
    </row>
    <row r="6204" spans="1:24">
      <c r="A6204">
        <f>HYPERLINK("https://www.philgeps.gov.ph/GEPSNONPILOT/Tender/SplashBidNoticeAbstractUI.aspx?menuIndex=3&amp;refID=7147547&amp;Result=3","7147547")</f>
        <v>0</v>
      </c>
      <c r="B6204" t="s">
        <v>2166</v>
      </c>
      <c r="C6204" t="s">
        <v>9625</v>
      </c>
      <c r="D6204" t="s">
        <v>18002</v>
      </c>
      <c r="E6204" t="s">
        <v>23520</v>
      </c>
      <c r="F6204" t="s">
        <v>30900</v>
      </c>
      <c r="G6204" t="s">
        <v>30907</v>
      </c>
      <c r="H6204" t="s">
        <v>30916</v>
      </c>
      <c r="I6204" t="s">
        <v>30932</v>
      </c>
      <c r="J6204" t="s">
        <v>35066</v>
      </c>
      <c r="K6204" t="s">
        <v>40283</v>
      </c>
      <c r="M6204" t="s">
        <v>42883</v>
      </c>
      <c r="N6204" t="s">
        <v>44759</v>
      </c>
      <c r="O6204" t="s">
        <v>44760</v>
      </c>
      <c r="P6204">
        <v>0</v>
      </c>
      <c r="Q6204">
        <v>2</v>
      </c>
      <c r="R6204" t="s">
        <v>44766</v>
      </c>
      <c r="S6204" t="s">
        <v>44902</v>
      </c>
      <c r="T6204" t="s">
        <v>46503</v>
      </c>
      <c r="U6204" t="s">
        <v>52148</v>
      </c>
      <c r="V6204" t="s">
        <v>59801</v>
      </c>
      <c r="W6204" t="s">
        <v>60882</v>
      </c>
      <c r="X6204" t="s">
        <v>44767</v>
      </c>
    </row>
    <row r="6205" spans="1:24">
      <c r="A6205">
        <f>HYPERLINK("https://www.philgeps.gov.ph/GEPSNONPILOT/Tender/SplashBidNoticeAbstractUI.aspx?menuIndex=3&amp;refID=7147541&amp;Result=3","7147541")</f>
        <v>0</v>
      </c>
      <c r="B6205" t="s">
        <v>2081</v>
      </c>
      <c r="C6205" t="s">
        <v>9626</v>
      </c>
      <c r="D6205" t="s">
        <v>17980</v>
      </c>
      <c r="E6205" t="s">
        <v>23521</v>
      </c>
      <c r="F6205" t="s">
        <v>30900</v>
      </c>
      <c r="G6205" t="s">
        <v>30906</v>
      </c>
      <c r="H6205" t="s">
        <v>30916</v>
      </c>
      <c r="I6205" t="s">
        <v>31007</v>
      </c>
      <c r="J6205" t="s">
        <v>31243</v>
      </c>
      <c r="K6205" t="s">
        <v>40280</v>
      </c>
      <c r="M6205" t="s">
        <v>42780</v>
      </c>
      <c r="N6205" t="s">
        <v>44759</v>
      </c>
      <c r="O6205" t="s">
        <v>44760</v>
      </c>
      <c r="P6205">
        <v>0</v>
      </c>
      <c r="Q6205">
        <v>6</v>
      </c>
      <c r="R6205" t="s">
        <v>44766</v>
      </c>
      <c r="S6205" t="s">
        <v>44902</v>
      </c>
      <c r="T6205" t="s">
        <v>46387</v>
      </c>
      <c r="U6205" t="s">
        <v>51797</v>
      </c>
      <c r="V6205" t="s">
        <v>59750</v>
      </c>
      <c r="W6205" t="s">
        <v>42780</v>
      </c>
      <c r="X6205" t="s">
        <v>44767</v>
      </c>
    </row>
    <row r="6206" spans="1:24">
      <c r="A6206">
        <f>HYPERLINK("https://www.philgeps.gov.ph/GEPSNONPILOT/Tender/SplashBidNoticeAbstractUI.aspx?menuIndex=3&amp;refID=7147534&amp;Result=3","7147534")</f>
        <v>0</v>
      </c>
      <c r="B6206" t="s">
        <v>2214</v>
      </c>
      <c r="C6206" t="s">
        <v>6538</v>
      </c>
      <c r="D6206" t="s">
        <v>17981</v>
      </c>
      <c r="E6206" t="s">
        <v>23522</v>
      </c>
      <c r="F6206" t="s">
        <v>30900</v>
      </c>
      <c r="G6206" t="s">
        <v>30907</v>
      </c>
      <c r="H6206" t="s">
        <v>30916</v>
      </c>
      <c r="I6206" t="s">
        <v>5501</v>
      </c>
      <c r="J6206" t="s">
        <v>31043</v>
      </c>
      <c r="K6206" t="s">
        <v>40289</v>
      </c>
      <c r="M6206" t="s">
        <v>42923</v>
      </c>
      <c r="N6206" t="s">
        <v>44759</v>
      </c>
      <c r="O6206" t="s">
        <v>44760</v>
      </c>
      <c r="P6206">
        <v>0</v>
      </c>
      <c r="Q6206">
        <v>1</v>
      </c>
      <c r="R6206" t="s">
        <v>44766</v>
      </c>
      <c r="S6206" t="s">
        <v>44902</v>
      </c>
      <c r="T6206" t="s">
        <v>46538</v>
      </c>
      <c r="U6206" t="s">
        <v>52149</v>
      </c>
      <c r="V6206" t="s">
        <v>59802</v>
      </c>
      <c r="W6206" t="s">
        <v>42923</v>
      </c>
      <c r="X6206" t="s">
        <v>44767</v>
      </c>
    </row>
    <row r="6207" spans="1:24">
      <c r="A6207">
        <f>HYPERLINK("https://www.philgeps.gov.ph/GEPSNONPILOT/Tender/SplashBidNoticeAbstractUI.aspx?menuIndex=3&amp;refID=7147533&amp;Result=3","7147533")</f>
        <v>0</v>
      </c>
      <c r="B6207" t="s">
        <v>2211</v>
      </c>
      <c r="C6207" t="s">
        <v>9627</v>
      </c>
      <c r="D6207" t="s">
        <v>17995</v>
      </c>
      <c r="E6207" t="s">
        <v>23523</v>
      </c>
      <c r="F6207" t="s">
        <v>30900</v>
      </c>
      <c r="G6207" t="s">
        <v>30909</v>
      </c>
      <c r="H6207" t="s">
        <v>30916</v>
      </c>
      <c r="I6207" t="s">
        <v>6953</v>
      </c>
      <c r="J6207" t="s">
        <v>35067</v>
      </c>
      <c r="K6207" t="s">
        <v>40293</v>
      </c>
      <c r="M6207" t="s">
        <v>42920</v>
      </c>
      <c r="N6207" t="s">
        <v>44759</v>
      </c>
      <c r="O6207" t="s">
        <v>44760</v>
      </c>
      <c r="P6207">
        <v>0</v>
      </c>
      <c r="Q6207">
        <v>0</v>
      </c>
      <c r="R6207" t="s">
        <v>44766</v>
      </c>
      <c r="S6207" t="s">
        <v>44902</v>
      </c>
      <c r="T6207" t="s">
        <v>46533</v>
      </c>
      <c r="U6207" t="s">
        <v>52150</v>
      </c>
      <c r="W6207" t="s">
        <v>42920</v>
      </c>
      <c r="X6207" t="s">
        <v>44767</v>
      </c>
    </row>
    <row r="6208" spans="1:24">
      <c r="A6208">
        <f>HYPERLINK("https://www.philgeps.gov.ph/GEPSNONPILOT/Tender/SplashBidNoticeAbstractUI.aspx?menuIndex=3&amp;refID=7147555&amp;Result=3","7147555")</f>
        <v>0</v>
      </c>
      <c r="B6208" t="s">
        <v>2165</v>
      </c>
      <c r="C6208" t="s">
        <v>9628</v>
      </c>
      <c r="D6208" t="s">
        <v>17995</v>
      </c>
      <c r="E6208" t="s">
        <v>23524</v>
      </c>
      <c r="F6208" t="s">
        <v>30900</v>
      </c>
      <c r="G6208" t="s">
        <v>30907</v>
      </c>
      <c r="H6208" t="s">
        <v>30916</v>
      </c>
      <c r="I6208" t="s">
        <v>8123</v>
      </c>
      <c r="J6208" t="s">
        <v>35068</v>
      </c>
      <c r="K6208" t="s">
        <v>40286</v>
      </c>
      <c r="M6208" t="s">
        <v>42870</v>
      </c>
      <c r="N6208" t="s">
        <v>44759</v>
      </c>
      <c r="O6208" t="s">
        <v>44760</v>
      </c>
      <c r="P6208">
        <v>0</v>
      </c>
      <c r="Q6208">
        <v>0</v>
      </c>
      <c r="R6208" t="s">
        <v>44766</v>
      </c>
      <c r="S6208" t="s">
        <v>44902</v>
      </c>
      <c r="T6208" t="s">
        <v>46497</v>
      </c>
      <c r="U6208" t="s">
        <v>52151</v>
      </c>
      <c r="W6208" t="s">
        <v>42870</v>
      </c>
      <c r="X6208" t="s">
        <v>44767</v>
      </c>
    </row>
    <row r="6209" spans="1:24">
      <c r="A6209">
        <f>HYPERLINK("https://www.philgeps.gov.ph/GEPSNONPILOT/Tender/SplashBidNoticeAbstractUI.aspx?menuIndex=3&amp;refID=7147528&amp;Result=3","7147528")</f>
        <v>0</v>
      </c>
      <c r="B6209" t="s">
        <v>2215</v>
      </c>
      <c r="C6209" t="s">
        <v>9629</v>
      </c>
      <c r="E6209" t="s">
        <v>23525</v>
      </c>
      <c r="F6209" t="s">
        <v>30900</v>
      </c>
      <c r="G6209" t="s">
        <v>30907</v>
      </c>
      <c r="H6209" t="s">
        <v>30915</v>
      </c>
      <c r="I6209" t="s">
        <v>30919</v>
      </c>
      <c r="J6209" t="s">
        <v>31158</v>
      </c>
      <c r="K6209" t="s">
        <v>40422</v>
      </c>
      <c r="M6209" t="s">
        <v>42924</v>
      </c>
      <c r="N6209" t="s">
        <v>44759</v>
      </c>
      <c r="O6209" t="s">
        <v>44760</v>
      </c>
      <c r="P6209">
        <v>0</v>
      </c>
      <c r="Q6209">
        <v>0</v>
      </c>
      <c r="R6209" t="s">
        <v>44766</v>
      </c>
      <c r="S6209" t="s">
        <v>44902</v>
      </c>
      <c r="T6209" t="s">
        <v>46377</v>
      </c>
      <c r="U6209" t="s">
        <v>52152</v>
      </c>
      <c r="W6209" t="s">
        <v>42924</v>
      </c>
      <c r="X6209" t="s">
        <v>44767</v>
      </c>
    </row>
    <row r="6210" spans="1:24">
      <c r="A6210">
        <f>HYPERLINK("https://www.philgeps.gov.ph/GEPSNONPILOT/Tender/SplashBidNoticeAbstractUI.aspx?menuIndex=3&amp;refID=7147550&amp;Result=3","7147550")</f>
        <v>0</v>
      </c>
      <c r="B6210" t="s">
        <v>2216</v>
      </c>
      <c r="C6210" t="s">
        <v>9630</v>
      </c>
      <c r="D6210" t="s">
        <v>17993</v>
      </c>
      <c r="E6210" t="s">
        <v>23526</v>
      </c>
      <c r="F6210" t="s">
        <v>30900</v>
      </c>
      <c r="G6210" t="s">
        <v>30910</v>
      </c>
      <c r="H6210" t="s">
        <v>30916</v>
      </c>
      <c r="I6210" t="s">
        <v>4142</v>
      </c>
      <c r="J6210" t="s">
        <v>35069</v>
      </c>
      <c r="K6210" t="s">
        <v>40286</v>
      </c>
      <c r="M6210" t="s">
        <v>42925</v>
      </c>
      <c r="N6210" t="s">
        <v>44759</v>
      </c>
      <c r="O6210" t="s">
        <v>44760</v>
      </c>
      <c r="P6210">
        <v>0</v>
      </c>
      <c r="Q6210">
        <v>4</v>
      </c>
      <c r="R6210" t="s">
        <v>44766</v>
      </c>
      <c r="S6210" t="s">
        <v>44902</v>
      </c>
      <c r="T6210" t="s">
        <v>46414</v>
      </c>
      <c r="U6210" t="s">
        <v>52153</v>
      </c>
      <c r="W6210" t="s">
        <v>42925</v>
      </c>
      <c r="X6210" t="s">
        <v>44767</v>
      </c>
    </row>
    <row r="6211" spans="1:24">
      <c r="A6211">
        <f>HYPERLINK("https://www.philgeps.gov.ph/GEPSNONPILOT/Tender/SplashBidNoticeAbstractUI.aspx?menuIndex=3&amp;refID=7147527&amp;Result=3","7147527")</f>
        <v>0</v>
      </c>
      <c r="B6211" t="s">
        <v>2217</v>
      </c>
      <c r="C6211" t="s">
        <v>9631</v>
      </c>
      <c r="D6211" t="s">
        <v>17960</v>
      </c>
      <c r="E6211" t="s">
        <v>23527</v>
      </c>
      <c r="F6211" t="s">
        <v>30900</v>
      </c>
      <c r="G6211" t="s">
        <v>30907</v>
      </c>
      <c r="H6211" t="s">
        <v>30916</v>
      </c>
      <c r="I6211" t="s">
        <v>4108</v>
      </c>
      <c r="J6211" t="s">
        <v>35070</v>
      </c>
      <c r="K6211" t="s">
        <v>40287</v>
      </c>
      <c r="M6211" t="s">
        <v>42926</v>
      </c>
      <c r="N6211" t="s">
        <v>44759</v>
      </c>
      <c r="O6211" t="s">
        <v>44760</v>
      </c>
      <c r="P6211">
        <v>0</v>
      </c>
      <c r="Q6211">
        <v>2</v>
      </c>
      <c r="R6211" t="s">
        <v>44766</v>
      </c>
      <c r="S6211" t="s">
        <v>44902</v>
      </c>
      <c r="T6211" t="s">
        <v>46421</v>
      </c>
      <c r="U6211" t="s">
        <v>52154</v>
      </c>
      <c r="W6211" t="s">
        <v>42926</v>
      </c>
      <c r="X6211" t="s">
        <v>44767</v>
      </c>
    </row>
    <row r="6212" spans="1:24">
      <c r="A6212">
        <f>HYPERLINK("https://www.philgeps.gov.ph/GEPSNONPILOT/Tender/SplashBidNoticeAbstractUI.aspx?menuIndex=3&amp;refID=7147507&amp;Result=3","7147507")</f>
        <v>0</v>
      </c>
      <c r="B6212" t="s">
        <v>666</v>
      </c>
      <c r="C6212" t="s">
        <v>9632</v>
      </c>
      <c r="D6212" t="s">
        <v>17973</v>
      </c>
      <c r="E6212" t="s">
        <v>23528</v>
      </c>
      <c r="F6212" t="s">
        <v>30900</v>
      </c>
      <c r="G6212" t="s">
        <v>30907</v>
      </c>
      <c r="H6212" t="s">
        <v>30916</v>
      </c>
      <c r="I6212" t="s">
        <v>30929</v>
      </c>
      <c r="J6212" t="s">
        <v>33238</v>
      </c>
      <c r="K6212" t="s">
        <v>40289</v>
      </c>
      <c r="M6212" t="s">
        <v>41229</v>
      </c>
      <c r="N6212" t="s">
        <v>44759</v>
      </c>
      <c r="O6212" t="s">
        <v>44760</v>
      </c>
      <c r="P6212">
        <v>0</v>
      </c>
      <c r="Q6212">
        <v>19</v>
      </c>
      <c r="R6212" t="s">
        <v>44766</v>
      </c>
      <c r="S6212" t="s">
        <v>44902</v>
      </c>
      <c r="T6212" t="s">
        <v>46405</v>
      </c>
      <c r="U6212" t="s">
        <v>52155</v>
      </c>
      <c r="W6212" t="s">
        <v>41229</v>
      </c>
      <c r="X6212" t="s">
        <v>44767</v>
      </c>
    </row>
    <row r="6213" spans="1:24">
      <c r="A6213">
        <f>HYPERLINK("https://www.philgeps.gov.ph/GEPSNONPILOT/Tender/SplashBidNoticeAbstractUI.aspx?menuIndex=3&amp;refID=7147544&amp;Result=3","7147544")</f>
        <v>0</v>
      </c>
      <c r="B6213" t="s">
        <v>1307</v>
      </c>
      <c r="C6213" t="s">
        <v>9633</v>
      </c>
      <c r="D6213" t="s">
        <v>17953</v>
      </c>
      <c r="E6213" t="s">
        <v>21687</v>
      </c>
      <c r="F6213" t="s">
        <v>30900</v>
      </c>
      <c r="G6213" t="s">
        <v>30907</v>
      </c>
      <c r="H6213" t="s">
        <v>30916</v>
      </c>
      <c r="I6213" t="s">
        <v>4545</v>
      </c>
      <c r="J6213" t="s">
        <v>31066</v>
      </c>
      <c r="K6213" t="s">
        <v>40289</v>
      </c>
      <c r="M6213" t="s">
        <v>41925</v>
      </c>
      <c r="N6213" t="s">
        <v>44759</v>
      </c>
      <c r="O6213" t="s">
        <v>44760</v>
      </c>
      <c r="P6213">
        <v>0</v>
      </c>
      <c r="Q6213">
        <v>0</v>
      </c>
      <c r="R6213" t="s">
        <v>44766</v>
      </c>
      <c r="S6213" t="s">
        <v>44902</v>
      </c>
      <c r="T6213" t="s">
        <v>46357</v>
      </c>
      <c r="U6213" t="s">
        <v>52156</v>
      </c>
      <c r="W6213" t="s">
        <v>41925</v>
      </c>
      <c r="X6213" t="s">
        <v>44767</v>
      </c>
    </row>
    <row r="6214" spans="1:24">
      <c r="A6214">
        <f>HYPERLINK("https://www.philgeps.gov.ph/GEPSNONPILOT/Tender/SplashBidNoticeAbstractUI.aspx?menuIndex=3&amp;refID=7147361&amp;Result=3","7147361")</f>
        <v>0</v>
      </c>
      <c r="B6214" t="s">
        <v>2177</v>
      </c>
      <c r="C6214" t="s">
        <v>9634</v>
      </c>
      <c r="D6214" t="s">
        <v>17959</v>
      </c>
      <c r="E6214" t="s">
        <v>23529</v>
      </c>
      <c r="F6214" t="s">
        <v>30900</v>
      </c>
      <c r="G6214" t="s">
        <v>30906</v>
      </c>
      <c r="H6214" t="s">
        <v>30916</v>
      </c>
      <c r="I6214" t="s">
        <v>30923</v>
      </c>
      <c r="J6214" t="s">
        <v>35071</v>
      </c>
      <c r="K6214" t="s">
        <v>40287</v>
      </c>
      <c r="M6214" t="s">
        <v>42884</v>
      </c>
      <c r="N6214" t="s">
        <v>44759</v>
      </c>
      <c r="O6214" t="s">
        <v>44760</v>
      </c>
      <c r="Q6214">
        <v>7</v>
      </c>
      <c r="R6214" t="s">
        <v>44766</v>
      </c>
      <c r="S6214" t="s">
        <v>44946</v>
      </c>
      <c r="T6214" t="s">
        <v>46350</v>
      </c>
      <c r="U6214" t="s">
        <v>52157</v>
      </c>
      <c r="V6214" t="s">
        <v>59803</v>
      </c>
      <c r="W6214" t="s">
        <v>42884</v>
      </c>
      <c r="X6214" t="s">
        <v>44767</v>
      </c>
    </row>
    <row r="6215" spans="1:24">
      <c r="A6215">
        <f>HYPERLINK("https://www.philgeps.gov.ph/GEPSNONPILOT/Tender/SplashBidNoticeAbstractUI.aspx?menuIndex=3&amp;refID=7147504&amp;Result=3","7147504")</f>
        <v>0</v>
      </c>
      <c r="B6215" t="s">
        <v>1966</v>
      </c>
      <c r="C6215" t="s">
        <v>9635</v>
      </c>
      <c r="D6215" t="s">
        <v>17958</v>
      </c>
      <c r="E6215" t="s">
        <v>23530</v>
      </c>
      <c r="F6215" t="s">
        <v>30900</v>
      </c>
      <c r="G6215" t="s">
        <v>30910</v>
      </c>
      <c r="H6215" t="s">
        <v>30916</v>
      </c>
      <c r="I6215" t="s">
        <v>4142</v>
      </c>
      <c r="J6215" t="s">
        <v>35072</v>
      </c>
      <c r="K6215" t="s">
        <v>40286</v>
      </c>
      <c r="M6215" t="s">
        <v>42650</v>
      </c>
      <c r="N6215" t="s">
        <v>44759</v>
      </c>
      <c r="O6215" t="s">
        <v>44760</v>
      </c>
      <c r="P6215">
        <v>0</v>
      </c>
      <c r="Q6215">
        <v>0</v>
      </c>
      <c r="R6215" t="s">
        <v>44766</v>
      </c>
      <c r="S6215" t="s">
        <v>44902</v>
      </c>
      <c r="T6215" t="s">
        <v>46662</v>
      </c>
      <c r="U6215" t="s">
        <v>52158</v>
      </c>
      <c r="W6215" t="s">
        <v>42650</v>
      </c>
      <c r="X6215" t="s">
        <v>44767</v>
      </c>
    </row>
    <row r="6216" spans="1:24">
      <c r="A6216">
        <f>HYPERLINK("https://www.philgeps.gov.ph/GEPSNONPILOT/Tender/SplashBidNoticeAbstractUI.aspx?menuIndex=3&amp;refID=7147531&amp;Result=3","7147531")</f>
        <v>0</v>
      </c>
      <c r="B6216" t="s">
        <v>1511</v>
      </c>
      <c r="C6216" t="s">
        <v>9636</v>
      </c>
      <c r="D6216" t="s">
        <v>18019</v>
      </c>
      <c r="E6216" t="s">
        <v>23531</v>
      </c>
      <c r="F6216" t="s">
        <v>30900</v>
      </c>
      <c r="G6216" t="s">
        <v>30908</v>
      </c>
      <c r="H6216" t="s">
        <v>30916</v>
      </c>
      <c r="I6216" t="s">
        <v>4017</v>
      </c>
      <c r="J6216" t="s">
        <v>35073</v>
      </c>
      <c r="K6216" t="s">
        <v>40287</v>
      </c>
      <c r="M6216" t="s">
        <v>42152</v>
      </c>
      <c r="N6216" t="s">
        <v>44759</v>
      </c>
      <c r="O6216" t="s">
        <v>44760</v>
      </c>
      <c r="P6216">
        <v>0</v>
      </c>
      <c r="Q6216">
        <v>1</v>
      </c>
      <c r="R6216" t="s">
        <v>44766</v>
      </c>
      <c r="S6216" t="s">
        <v>44902</v>
      </c>
      <c r="T6216" t="s">
        <v>46704</v>
      </c>
      <c r="U6216" t="s">
        <v>50068</v>
      </c>
      <c r="W6216" t="s">
        <v>42152</v>
      </c>
      <c r="X6216" t="s">
        <v>44767</v>
      </c>
    </row>
    <row r="6217" spans="1:24">
      <c r="A6217">
        <f>HYPERLINK("https://www.philgeps.gov.ph/GEPSNONPILOT/Tender/SplashBidNoticeAbstractUI.aspx?menuIndex=3&amp;refID=7147600&amp;Result=3","7147600")</f>
        <v>0</v>
      </c>
      <c r="B6217" t="s">
        <v>387</v>
      </c>
      <c r="C6217" t="s">
        <v>9637</v>
      </c>
      <c r="D6217" t="s">
        <v>17977</v>
      </c>
      <c r="E6217" t="s">
        <v>23532</v>
      </c>
      <c r="F6217" t="s">
        <v>30900</v>
      </c>
      <c r="G6217" t="s">
        <v>30908</v>
      </c>
      <c r="H6217" t="s">
        <v>30916</v>
      </c>
      <c r="I6217" t="s">
        <v>30939</v>
      </c>
      <c r="J6217" t="s">
        <v>31049</v>
      </c>
      <c r="K6217" t="s">
        <v>40291</v>
      </c>
      <c r="M6217" t="s">
        <v>40942</v>
      </c>
      <c r="N6217" t="s">
        <v>44759</v>
      </c>
      <c r="O6217" t="s">
        <v>44760</v>
      </c>
      <c r="P6217">
        <v>0</v>
      </c>
      <c r="Q6217">
        <v>0</v>
      </c>
      <c r="R6217" t="s">
        <v>44766</v>
      </c>
      <c r="S6217" t="s">
        <v>44902</v>
      </c>
      <c r="T6217" t="s">
        <v>46548</v>
      </c>
      <c r="U6217" t="s">
        <v>52159</v>
      </c>
      <c r="W6217" t="s">
        <v>40942</v>
      </c>
      <c r="X6217" t="s">
        <v>44767</v>
      </c>
    </row>
    <row r="6218" spans="1:24">
      <c r="A6218">
        <f>HYPERLINK("https://www.philgeps.gov.ph/GEPSNONPILOT/Tender/SplashBidNoticeAbstractUI.aspx?menuIndex=3&amp;refID=7147594&amp;Result=3","7147594")</f>
        <v>0</v>
      </c>
      <c r="B6218" t="s">
        <v>2218</v>
      </c>
      <c r="C6218" t="s">
        <v>9638</v>
      </c>
      <c r="D6218" t="s">
        <v>17952</v>
      </c>
      <c r="E6218" t="s">
        <v>23533</v>
      </c>
      <c r="F6218" t="s">
        <v>30899</v>
      </c>
      <c r="G6218" t="s">
        <v>30909</v>
      </c>
      <c r="H6218" t="s">
        <v>30916</v>
      </c>
      <c r="I6218" t="s">
        <v>4545</v>
      </c>
      <c r="J6218" t="s">
        <v>31043</v>
      </c>
      <c r="K6218" t="s">
        <v>40284</v>
      </c>
      <c r="M6218" t="s">
        <v>42927</v>
      </c>
      <c r="N6218" t="s">
        <v>44759</v>
      </c>
      <c r="O6218" t="s">
        <v>44760</v>
      </c>
      <c r="P6218">
        <v>0</v>
      </c>
      <c r="Q6218">
        <v>4</v>
      </c>
      <c r="R6218" t="s">
        <v>44766</v>
      </c>
      <c r="S6218" t="s">
        <v>44902</v>
      </c>
      <c r="T6218" t="s">
        <v>46625</v>
      </c>
      <c r="U6218" t="s">
        <v>52160</v>
      </c>
      <c r="V6218" t="s">
        <v>59804</v>
      </c>
      <c r="W6218" t="s">
        <v>42927</v>
      </c>
      <c r="X6218" t="s">
        <v>44767</v>
      </c>
    </row>
    <row r="6219" spans="1:24">
      <c r="A6219">
        <f>HYPERLINK("https://www.philgeps.gov.ph/GEPSNONPILOT/Tender/SplashBidNoticeAbstractUI.aspx?menuIndex=3&amp;refID=7147513&amp;Result=3","7147513")</f>
        <v>0</v>
      </c>
      <c r="B6219" t="s">
        <v>1511</v>
      </c>
      <c r="C6219" t="s">
        <v>9639</v>
      </c>
      <c r="D6219" t="s">
        <v>18019</v>
      </c>
      <c r="E6219" t="s">
        <v>23534</v>
      </c>
      <c r="F6219" t="s">
        <v>30900</v>
      </c>
      <c r="G6219" t="s">
        <v>30908</v>
      </c>
      <c r="H6219" t="s">
        <v>30916</v>
      </c>
      <c r="I6219" t="s">
        <v>30924</v>
      </c>
      <c r="J6219" t="s">
        <v>31384</v>
      </c>
      <c r="K6219" t="s">
        <v>40287</v>
      </c>
      <c r="M6219" t="s">
        <v>42152</v>
      </c>
      <c r="N6219" t="s">
        <v>44759</v>
      </c>
      <c r="O6219" t="s">
        <v>44760</v>
      </c>
      <c r="P6219">
        <v>0</v>
      </c>
      <c r="Q6219">
        <v>3</v>
      </c>
      <c r="R6219" t="s">
        <v>44766</v>
      </c>
      <c r="S6219" t="s">
        <v>44902</v>
      </c>
      <c r="T6219" t="s">
        <v>46704</v>
      </c>
      <c r="U6219" t="s">
        <v>50068</v>
      </c>
      <c r="W6219" t="s">
        <v>42152</v>
      </c>
      <c r="X6219" t="s">
        <v>44767</v>
      </c>
    </row>
    <row r="6220" spans="1:24">
      <c r="A6220">
        <f>HYPERLINK("https://www.philgeps.gov.ph/GEPSNONPILOT/Tender/SplashBidNoticeAbstractUI.aspx?menuIndex=3&amp;refID=7147591&amp;Result=3","7147591")</f>
        <v>0</v>
      </c>
      <c r="B6220" t="s">
        <v>400</v>
      </c>
      <c r="C6220" t="s">
        <v>9640</v>
      </c>
      <c r="D6220" t="s">
        <v>17971</v>
      </c>
      <c r="E6220" t="s">
        <v>23535</v>
      </c>
      <c r="F6220" t="s">
        <v>30900</v>
      </c>
      <c r="G6220" t="s">
        <v>30908</v>
      </c>
      <c r="H6220" t="s">
        <v>30916</v>
      </c>
      <c r="I6220" t="s">
        <v>30939</v>
      </c>
      <c r="J6220" t="s">
        <v>35074</v>
      </c>
      <c r="K6220" t="s">
        <v>40289</v>
      </c>
      <c r="M6220" t="s">
        <v>40955</v>
      </c>
      <c r="N6220" t="s">
        <v>44759</v>
      </c>
      <c r="O6220" t="s">
        <v>44760</v>
      </c>
      <c r="P6220">
        <v>0</v>
      </c>
      <c r="Q6220">
        <v>0</v>
      </c>
      <c r="R6220" t="s">
        <v>44766</v>
      </c>
      <c r="S6220" t="s">
        <v>44902</v>
      </c>
      <c r="T6220" t="s">
        <v>46391</v>
      </c>
      <c r="U6220" t="s">
        <v>52161</v>
      </c>
      <c r="W6220" t="s">
        <v>40955</v>
      </c>
      <c r="X6220" t="s">
        <v>44767</v>
      </c>
    </row>
    <row r="6221" spans="1:24">
      <c r="A6221">
        <f>HYPERLINK("https://www.philgeps.gov.ph/GEPSNONPILOT/Tender/SplashBidNoticeAbstractUI.aspx?menuIndex=3&amp;refID=7147542&amp;Result=3","7147542")</f>
        <v>0</v>
      </c>
      <c r="B6221" t="s">
        <v>2219</v>
      </c>
      <c r="C6221" t="s">
        <v>9641</v>
      </c>
      <c r="D6221" t="s">
        <v>17963</v>
      </c>
      <c r="E6221" t="s">
        <v>23536</v>
      </c>
      <c r="F6221" t="s">
        <v>30900</v>
      </c>
      <c r="G6221" t="s">
        <v>30907</v>
      </c>
      <c r="H6221" t="s">
        <v>30915</v>
      </c>
      <c r="I6221" t="s">
        <v>30919</v>
      </c>
      <c r="J6221" t="s">
        <v>35075</v>
      </c>
      <c r="K6221" t="s">
        <v>40293</v>
      </c>
      <c r="M6221" t="s">
        <v>42928</v>
      </c>
      <c r="N6221" t="s">
        <v>44759</v>
      </c>
      <c r="O6221" t="s">
        <v>44760</v>
      </c>
      <c r="P6221">
        <v>0</v>
      </c>
      <c r="Q6221">
        <v>0</v>
      </c>
      <c r="R6221" t="s">
        <v>44766</v>
      </c>
      <c r="S6221" t="s">
        <v>44902</v>
      </c>
      <c r="T6221" t="s">
        <v>46398</v>
      </c>
      <c r="U6221" t="s">
        <v>52162</v>
      </c>
      <c r="W6221" t="s">
        <v>42928</v>
      </c>
      <c r="X6221" t="s">
        <v>44767</v>
      </c>
    </row>
    <row r="6222" spans="1:24">
      <c r="A6222">
        <f>HYPERLINK("https://www.philgeps.gov.ph/GEPSNONPILOT/Tender/SplashBidNoticeAbstractUI.aspx?menuIndex=3&amp;refID=7147589&amp;Result=3","7147589")</f>
        <v>0</v>
      </c>
      <c r="B6222" t="s">
        <v>1100</v>
      </c>
      <c r="C6222" t="s">
        <v>9642</v>
      </c>
      <c r="D6222" t="s">
        <v>17980</v>
      </c>
      <c r="E6222" t="s">
        <v>23537</v>
      </c>
      <c r="F6222" t="s">
        <v>30900</v>
      </c>
      <c r="G6222" t="s">
        <v>30909</v>
      </c>
      <c r="H6222" t="s">
        <v>30916</v>
      </c>
      <c r="I6222" t="s">
        <v>30929</v>
      </c>
      <c r="J6222" t="s">
        <v>35076</v>
      </c>
      <c r="K6222" t="s">
        <v>40289</v>
      </c>
      <c r="M6222" t="s">
        <v>41789</v>
      </c>
      <c r="N6222" t="s">
        <v>44759</v>
      </c>
      <c r="O6222" t="s">
        <v>44760</v>
      </c>
      <c r="P6222">
        <v>0</v>
      </c>
      <c r="Q6222">
        <v>7</v>
      </c>
      <c r="R6222" t="s">
        <v>44766</v>
      </c>
      <c r="S6222" t="s">
        <v>44902</v>
      </c>
      <c r="T6222" t="s">
        <v>46548</v>
      </c>
      <c r="U6222" t="s">
        <v>52163</v>
      </c>
      <c r="W6222" t="s">
        <v>41789</v>
      </c>
      <c r="X6222" t="s">
        <v>44767</v>
      </c>
    </row>
    <row r="6223" spans="1:24">
      <c r="A6223">
        <f>HYPERLINK("https://www.philgeps.gov.ph/GEPSNONPILOT/Tender/SplashBidNoticeAbstractUI.aspx?menuIndex=3&amp;refID=7147588&amp;Result=3","7147588")</f>
        <v>0</v>
      </c>
      <c r="B6223" t="s">
        <v>2209</v>
      </c>
      <c r="C6223" t="s">
        <v>9643</v>
      </c>
      <c r="D6223" t="s">
        <v>17959</v>
      </c>
      <c r="E6223" t="s">
        <v>9643</v>
      </c>
      <c r="F6223" t="s">
        <v>30900</v>
      </c>
      <c r="G6223" t="s">
        <v>30907</v>
      </c>
      <c r="H6223" t="s">
        <v>30916</v>
      </c>
      <c r="I6223" t="s">
        <v>6396</v>
      </c>
      <c r="J6223" t="s">
        <v>35077</v>
      </c>
      <c r="K6223" t="s">
        <v>40286</v>
      </c>
      <c r="M6223" t="s">
        <v>42917</v>
      </c>
      <c r="N6223" t="s">
        <v>44759</v>
      </c>
      <c r="O6223" t="s">
        <v>44760</v>
      </c>
      <c r="P6223">
        <v>0</v>
      </c>
      <c r="Q6223">
        <v>0</v>
      </c>
      <c r="R6223" t="s">
        <v>44766</v>
      </c>
      <c r="S6223" t="s">
        <v>44902</v>
      </c>
      <c r="T6223" t="s">
        <v>46515</v>
      </c>
      <c r="U6223" t="s">
        <v>48263</v>
      </c>
      <c r="W6223" t="s">
        <v>42917</v>
      </c>
      <c r="X6223" t="s">
        <v>44767</v>
      </c>
    </row>
    <row r="6224" spans="1:24">
      <c r="A6224">
        <f>HYPERLINK("https://www.philgeps.gov.ph/GEPSNONPILOT/Tender/SplashBidNoticeAbstractUI.aspx?menuIndex=3&amp;refID=7147599&amp;Result=3","7147599")</f>
        <v>0</v>
      </c>
      <c r="B6224" t="s">
        <v>2219</v>
      </c>
      <c r="C6224" t="s">
        <v>9644</v>
      </c>
      <c r="D6224" t="s">
        <v>17963</v>
      </c>
      <c r="E6224" t="s">
        <v>23538</v>
      </c>
      <c r="F6224" t="s">
        <v>30900</v>
      </c>
      <c r="G6224" t="s">
        <v>30907</v>
      </c>
      <c r="H6224" t="s">
        <v>30915</v>
      </c>
      <c r="I6224" t="s">
        <v>30919</v>
      </c>
      <c r="J6224" t="s">
        <v>35078</v>
      </c>
      <c r="K6224" t="s">
        <v>40293</v>
      </c>
      <c r="M6224" t="s">
        <v>42928</v>
      </c>
      <c r="N6224" t="s">
        <v>44759</v>
      </c>
      <c r="O6224" t="s">
        <v>44760</v>
      </c>
      <c r="P6224">
        <v>0</v>
      </c>
      <c r="Q6224">
        <v>0</v>
      </c>
      <c r="R6224" t="s">
        <v>44766</v>
      </c>
      <c r="S6224" t="s">
        <v>44902</v>
      </c>
      <c r="T6224" t="s">
        <v>46398</v>
      </c>
      <c r="U6224" t="s">
        <v>52162</v>
      </c>
      <c r="W6224" t="s">
        <v>42928</v>
      </c>
      <c r="X6224" t="s">
        <v>44767</v>
      </c>
    </row>
    <row r="6225" spans="1:24">
      <c r="A6225">
        <f>HYPERLINK("https://www.philgeps.gov.ph/GEPSNONPILOT/Tender/SplashBidNoticeAbstractUI.aspx?menuIndex=3&amp;refID=7147584&amp;Result=3","7147584")</f>
        <v>0</v>
      </c>
      <c r="B6225" t="s">
        <v>514</v>
      </c>
      <c r="C6225" t="s">
        <v>9645</v>
      </c>
      <c r="D6225" t="s">
        <v>17975</v>
      </c>
      <c r="E6225" t="s">
        <v>23539</v>
      </c>
      <c r="F6225" t="s">
        <v>30900</v>
      </c>
      <c r="G6225" t="s">
        <v>30907</v>
      </c>
      <c r="H6225" t="s">
        <v>30916</v>
      </c>
      <c r="I6225" t="s">
        <v>30933</v>
      </c>
      <c r="J6225" t="s">
        <v>31297</v>
      </c>
      <c r="K6225" t="s">
        <v>40286</v>
      </c>
      <c r="M6225" t="s">
        <v>41074</v>
      </c>
      <c r="N6225" t="s">
        <v>44759</v>
      </c>
      <c r="O6225" t="s">
        <v>44760</v>
      </c>
      <c r="P6225">
        <v>0</v>
      </c>
      <c r="Q6225">
        <v>1</v>
      </c>
      <c r="R6225" t="s">
        <v>44766</v>
      </c>
      <c r="S6225" t="s">
        <v>44902</v>
      </c>
      <c r="T6225" t="s">
        <v>46465</v>
      </c>
      <c r="U6225" t="s">
        <v>52164</v>
      </c>
      <c r="W6225" t="s">
        <v>41074</v>
      </c>
      <c r="X6225" t="s">
        <v>44767</v>
      </c>
    </row>
    <row r="6226" spans="1:24">
      <c r="A6226">
        <f>HYPERLINK("https://www.philgeps.gov.ph/GEPSNONPILOT/Tender/SplashBidNoticeAbstractUI.aspx?menuIndex=3&amp;refID=7147573&amp;Result=3","7147573")</f>
        <v>0</v>
      </c>
      <c r="B6226" t="s">
        <v>2220</v>
      </c>
      <c r="C6226" t="s">
        <v>6538</v>
      </c>
      <c r="D6226" t="s">
        <v>17981</v>
      </c>
      <c r="E6226" t="s">
        <v>23540</v>
      </c>
      <c r="F6226" t="s">
        <v>30900</v>
      </c>
      <c r="G6226" t="s">
        <v>30907</v>
      </c>
      <c r="H6226" t="s">
        <v>30916</v>
      </c>
      <c r="I6226" t="s">
        <v>5501</v>
      </c>
      <c r="J6226" t="s">
        <v>31070</v>
      </c>
      <c r="K6226" t="s">
        <v>40289</v>
      </c>
      <c r="M6226" t="s">
        <v>42929</v>
      </c>
      <c r="N6226" t="s">
        <v>44759</v>
      </c>
      <c r="O6226" t="s">
        <v>44760</v>
      </c>
      <c r="P6226">
        <v>0</v>
      </c>
      <c r="Q6226">
        <v>1</v>
      </c>
      <c r="R6226" t="s">
        <v>44766</v>
      </c>
      <c r="S6226" t="s">
        <v>44902</v>
      </c>
      <c r="T6226" t="s">
        <v>46410</v>
      </c>
      <c r="U6226" t="s">
        <v>52165</v>
      </c>
      <c r="V6226" t="s">
        <v>59802</v>
      </c>
      <c r="W6226" t="s">
        <v>42929</v>
      </c>
      <c r="X6226" t="s">
        <v>44767</v>
      </c>
    </row>
    <row r="6227" spans="1:24">
      <c r="A6227">
        <f>HYPERLINK("https://www.philgeps.gov.ph/GEPSNONPILOT/Tender/SplashBidNoticeAbstractUI.aspx?menuIndex=3&amp;refID=7147592&amp;Result=3","7147592")</f>
        <v>0</v>
      </c>
      <c r="B6227" t="s">
        <v>209</v>
      </c>
      <c r="C6227" t="s">
        <v>9646</v>
      </c>
      <c r="D6227" t="s">
        <v>17985</v>
      </c>
      <c r="E6227" t="s">
        <v>23541</v>
      </c>
      <c r="F6227" t="s">
        <v>30900</v>
      </c>
      <c r="G6227" t="s">
        <v>30907</v>
      </c>
      <c r="H6227" t="s">
        <v>30915</v>
      </c>
      <c r="I6227" t="s">
        <v>30919</v>
      </c>
      <c r="J6227" t="s">
        <v>31443</v>
      </c>
      <c r="K6227" t="s">
        <v>40343</v>
      </c>
      <c r="M6227" t="s">
        <v>40756</v>
      </c>
      <c r="N6227" t="s">
        <v>44759</v>
      </c>
      <c r="O6227" t="s">
        <v>44760</v>
      </c>
      <c r="P6227">
        <v>0</v>
      </c>
      <c r="Q6227">
        <v>0</v>
      </c>
      <c r="R6227" t="s">
        <v>44766</v>
      </c>
      <c r="S6227" t="s">
        <v>44902</v>
      </c>
      <c r="T6227" t="s">
        <v>46495</v>
      </c>
      <c r="U6227" t="s">
        <v>52166</v>
      </c>
      <c r="V6227" t="s">
        <v>59778</v>
      </c>
      <c r="W6227" t="s">
        <v>40756</v>
      </c>
      <c r="X6227" t="s">
        <v>44767</v>
      </c>
    </row>
    <row r="6228" spans="1:24">
      <c r="A6228">
        <f>HYPERLINK("https://www.philgeps.gov.ph/GEPSNONPILOT/Tender/SplashBidNoticeAbstractUI.aspx?menuIndex=3&amp;refID=7147570&amp;Result=3","7147570")</f>
        <v>0</v>
      </c>
      <c r="B6228" t="s">
        <v>2209</v>
      </c>
      <c r="C6228" t="s">
        <v>9647</v>
      </c>
      <c r="D6228" t="s">
        <v>17959</v>
      </c>
      <c r="E6228" t="s">
        <v>9647</v>
      </c>
      <c r="F6228" t="s">
        <v>30900</v>
      </c>
      <c r="G6228" t="s">
        <v>30907</v>
      </c>
      <c r="H6228" t="s">
        <v>30916</v>
      </c>
      <c r="I6228" t="s">
        <v>6396</v>
      </c>
      <c r="J6228" t="s">
        <v>31096</v>
      </c>
      <c r="K6228" t="s">
        <v>40286</v>
      </c>
      <c r="M6228" t="s">
        <v>42917</v>
      </c>
      <c r="N6228" t="s">
        <v>44759</v>
      </c>
      <c r="O6228" t="s">
        <v>44760</v>
      </c>
      <c r="P6228">
        <v>0</v>
      </c>
      <c r="Q6228">
        <v>0</v>
      </c>
      <c r="R6228" t="s">
        <v>44766</v>
      </c>
      <c r="S6228" t="s">
        <v>44902</v>
      </c>
      <c r="T6228" t="s">
        <v>46515</v>
      </c>
      <c r="U6228" t="s">
        <v>48263</v>
      </c>
      <c r="W6228" t="s">
        <v>42917</v>
      </c>
      <c r="X6228" t="s">
        <v>44767</v>
      </c>
    </row>
    <row r="6229" spans="1:24">
      <c r="A6229">
        <f>HYPERLINK("https://www.philgeps.gov.ph/GEPSNONPILOT/Tender/SplashBidNoticeAbstractUI.aspx?menuIndex=3&amp;refID=7147565&amp;Result=3","7147565")</f>
        <v>0</v>
      </c>
      <c r="B6229" t="s">
        <v>2217</v>
      </c>
      <c r="C6229" t="s">
        <v>9648</v>
      </c>
      <c r="D6229" t="s">
        <v>17960</v>
      </c>
      <c r="E6229" t="s">
        <v>23542</v>
      </c>
      <c r="F6229" t="s">
        <v>30900</v>
      </c>
      <c r="G6229" t="s">
        <v>30907</v>
      </c>
      <c r="H6229" t="s">
        <v>30916</v>
      </c>
      <c r="I6229" t="s">
        <v>8123</v>
      </c>
      <c r="J6229" t="s">
        <v>35079</v>
      </c>
      <c r="K6229" t="s">
        <v>40287</v>
      </c>
      <c r="M6229" t="s">
        <v>42926</v>
      </c>
      <c r="N6229" t="s">
        <v>44759</v>
      </c>
      <c r="O6229" t="s">
        <v>44760</v>
      </c>
      <c r="P6229">
        <v>0</v>
      </c>
      <c r="Q6229">
        <v>0</v>
      </c>
      <c r="R6229" t="s">
        <v>44766</v>
      </c>
      <c r="S6229" t="s">
        <v>44902</v>
      </c>
      <c r="T6229" t="s">
        <v>46421</v>
      </c>
      <c r="U6229" t="s">
        <v>52167</v>
      </c>
      <c r="W6229" t="s">
        <v>42926</v>
      </c>
      <c r="X6229" t="s">
        <v>44767</v>
      </c>
    </row>
    <row r="6230" spans="1:24">
      <c r="A6230">
        <f>HYPERLINK("https://www.philgeps.gov.ph/GEPSNONPILOT/Tender/SplashBidNoticeAbstractUI.aspx?menuIndex=3&amp;refID=7147561&amp;Result=3","7147561")</f>
        <v>0</v>
      </c>
      <c r="B6230" t="s">
        <v>248</v>
      </c>
      <c r="C6230" t="s">
        <v>9649</v>
      </c>
      <c r="D6230" t="s">
        <v>17966</v>
      </c>
      <c r="E6230" t="s">
        <v>23543</v>
      </c>
      <c r="F6230" t="s">
        <v>30900</v>
      </c>
      <c r="G6230" t="s">
        <v>30909</v>
      </c>
      <c r="H6230" t="s">
        <v>30916</v>
      </c>
      <c r="I6230" t="s">
        <v>10602</v>
      </c>
      <c r="J6230" t="s">
        <v>35080</v>
      </c>
      <c r="K6230" t="s">
        <v>40286</v>
      </c>
      <c r="M6230" t="s">
        <v>40795</v>
      </c>
      <c r="N6230" t="s">
        <v>44759</v>
      </c>
      <c r="O6230" t="s">
        <v>44760</v>
      </c>
      <c r="P6230">
        <v>0</v>
      </c>
      <c r="Q6230">
        <v>0</v>
      </c>
      <c r="R6230" t="s">
        <v>44766</v>
      </c>
      <c r="S6230" t="s">
        <v>44902</v>
      </c>
      <c r="T6230" t="s">
        <v>46533</v>
      </c>
      <c r="U6230" t="s">
        <v>52168</v>
      </c>
      <c r="W6230" t="s">
        <v>40795</v>
      </c>
      <c r="X6230" t="s">
        <v>44767</v>
      </c>
    </row>
    <row r="6231" spans="1:24">
      <c r="A6231">
        <f>HYPERLINK("https://www.philgeps.gov.ph/GEPSNONPILOT/Tender/SplashBidNoticeAbstractUI.aspx?menuIndex=3&amp;refID=7147657&amp;Result=3","7147657")</f>
        <v>0</v>
      </c>
      <c r="B6231" t="s">
        <v>2217</v>
      </c>
      <c r="C6231" t="s">
        <v>9650</v>
      </c>
      <c r="D6231" t="s">
        <v>17960</v>
      </c>
      <c r="E6231" t="s">
        <v>23544</v>
      </c>
      <c r="F6231" t="s">
        <v>30900</v>
      </c>
      <c r="G6231" t="s">
        <v>30907</v>
      </c>
      <c r="H6231" t="s">
        <v>30916</v>
      </c>
      <c r="I6231" t="s">
        <v>11785</v>
      </c>
      <c r="J6231" t="s">
        <v>35081</v>
      </c>
      <c r="K6231" t="s">
        <v>40287</v>
      </c>
      <c r="M6231" t="s">
        <v>42926</v>
      </c>
      <c r="N6231" t="s">
        <v>44759</v>
      </c>
      <c r="O6231" t="s">
        <v>44760</v>
      </c>
      <c r="P6231">
        <v>0</v>
      </c>
      <c r="Q6231">
        <v>1</v>
      </c>
      <c r="R6231" t="s">
        <v>44766</v>
      </c>
      <c r="S6231" t="s">
        <v>44902</v>
      </c>
      <c r="T6231" t="s">
        <v>46421</v>
      </c>
      <c r="U6231" t="s">
        <v>52169</v>
      </c>
      <c r="W6231" t="s">
        <v>42926</v>
      </c>
      <c r="X6231" t="s">
        <v>44767</v>
      </c>
    </row>
    <row r="6232" spans="1:24">
      <c r="A6232">
        <f>HYPERLINK("https://www.philgeps.gov.ph/GEPSNONPILOT/Tender/SplashBidNoticeAbstractUI.aspx?menuIndex=3&amp;refID=7147578&amp;Result=3","7147578")</f>
        <v>0</v>
      </c>
      <c r="B6232" t="s">
        <v>2209</v>
      </c>
      <c r="C6232" t="s">
        <v>9651</v>
      </c>
      <c r="D6232" t="s">
        <v>17959</v>
      </c>
      <c r="E6232" t="s">
        <v>9651</v>
      </c>
      <c r="F6232" t="s">
        <v>30900</v>
      </c>
      <c r="G6232" t="s">
        <v>30907</v>
      </c>
      <c r="H6232" t="s">
        <v>30916</v>
      </c>
      <c r="I6232" t="s">
        <v>6396</v>
      </c>
      <c r="J6232" t="s">
        <v>35082</v>
      </c>
      <c r="K6232" t="s">
        <v>40286</v>
      </c>
      <c r="M6232" t="s">
        <v>42917</v>
      </c>
      <c r="N6232" t="s">
        <v>44759</v>
      </c>
      <c r="O6232" t="s">
        <v>44760</v>
      </c>
      <c r="P6232">
        <v>0</v>
      </c>
      <c r="Q6232">
        <v>1</v>
      </c>
      <c r="R6232" t="s">
        <v>44766</v>
      </c>
      <c r="S6232" t="s">
        <v>44902</v>
      </c>
      <c r="T6232" t="s">
        <v>46515</v>
      </c>
      <c r="U6232" t="s">
        <v>48263</v>
      </c>
      <c r="W6232" t="s">
        <v>42917</v>
      </c>
      <c r="X6232" t="s">
        <v>44767</v>
      </c>
    </row>
    <row r="6233" spans="1:24">
      <c r="A6233">
        <f>HYPERLINK("https://www.philgeps.gov.ph/GEPSNONPILOT/Tender/SplashBidNoticeAbstractUI.aspx?menuIndex=3&amp;refID=7147654&amp;Result=3","7147654")</f>
        <v>0</v>
      </c>
      <c r="B6233" t="s">
        <v>34</v>
      </c>
      <c r="C6233" t="s">
        <v>9652</v>
      </c>
      <c r="D6233" t="s">
        <v>17961</v>
      </c>
      <c r="E6233" t="s">
        <v>23545</v>
      </c>
      <c r="F6233" t="s">
        <v>30900</v>
      </c>
      <c r="G6233" t="s">
        <v>30907</v>
      </c>
      <c r="H6233" t="s">
        <v>30916</v>
      </c>
      <c r="I6233" t="s">
        <v>4965</v>
      </c>
      <c r="J6233" t="s">
        <v>35083</v>
      </c>
      <c r="K6233" t="s">
        <v>40284</v>
      </c>
      <c r="M6233" t="s">
        <v>40580</v>
      </c>
      <c r="N6233" t="s">
        <v>44759</v>
      </c>
      <c r="O6233" t="s">
        <v>44760</v>
      </c>
      <c r="P6233">
        <v>0</v>
      </c>
      <c r="Q6233">
        <v>2</v>
      </c>
      <c r="R6233" t="s">
        <v>44766</v>
      </c>
      <c r="S6233" t="s">
        <v>44902</v>
      </c>
      <c r="T6233" t="s">
        <v>46449</v>
      </c>
      <c r="U6233" t="s">
        <v>46968</v>
      </c>
      <c r="V6233" t="s">
        <v>59093</v>
      </c>
      <c r="W6233" t="s">
        <v>40580</v>
      </c>
      <c r="X6233" t="s">
        <v>44767</v>
      </c>
    </row>
    <row r="6234" spans="1:24">
      <c r="A6234">
        <f>HYPERLINK("https://www.philgeps.gov.ph/GEPSNONPILOT/Tender/SplashBidNoticeAbstractUI.aspx?menuIndex=3&amp;refID=7147650&amp;Result=3","7147650")</f>
        <v>0</v>
      </c>
      <c r="B6234" t="s">
        <v>400</v>
      </c>
      <c r="C6234" t="s">
        <v>9653</v>
      </c>
      <c r="D6234" t="s">
        <v>17971</v>
      </c>
      <c r="E6234" t="s">
        <v>23546</v>
      </c>
      <c r="F6234" t="s">
        <v>30900</v>
      </c>
      <c r="G6234" t="s">
        <v>30908</v>
      </c>
      <c r="H6234" t="s">
        <v>30916</v>
      </c>
      <c r="I6234" t="s">
        <v>30939</v>
      </c>
      <c r="J6234" t="s">
        <v>35084</v>
      </c>
      <c r="K6234" t="s">
        <v>40289</v>
      </c>
      <c r="M6234" t="s">
        <v>40955</v>
      </c>
      <c r="N6234" t="s">
        <v>44759</v>
      </c>
      <c r="O6234" t="s">
        <v>44760</v>
      </c>
      <c r="P6234">
        <v>0</v>
      </c>
      <c r="Q6234">
        <v>0</v>
      </c>
      <c r="R6234" t="s">
        <v>44766</v>
      </c>
      <c r="S6234" t="s">
        <v>44902</v>
      </c>
      <c r="T6234" t="s">
        <v>46391</v>
      </c>
      <c r="U6234" t="s">
        <v>52170</v>
      </c>
      <c r="W6234" t="s">
        <v>40955</v>
      </c>
      <c r="X6234" t="s">
        <v>44767</v>
      </c>
    </row>
    <row r="6235" spans="1:24">
      <c r="A6235">
        <f>HYPERLINK("https://www.philgeps.gov.ph/GEPSNONPILOT/Tender/SplashBidNoticeAbstractUI.aspx?menuIndex=3&amp;refID=7147514&amp;Result=3","7147514")</f>
        <v>0</v>
      </c>
      <c r="B6235" t="s">
        <v>2165</v>
      </c>
      <c r="C6235" t="s">
        <v>9654</v>
      </c>
      <c r="D6235" t="s">
        <v>17995</v>
      </c>
      <c r="E6235" t="s">
        <v>23499</v>
      </c>
      <c r="F6235" t="s">
        <v>30900</v>
      </c>
      <c r="G6235" t="s">
        <v>30907</v>
      </c>
      <c r="H6235" t="s">
        <v>30916</v>
      </c>
      <c r="I6235" t="s">
        <v>8123</v>
      </c>
      <c r="J6235" t="s">
        <v>35085</v>
      </c>
      <c r="K6235" t="s">
        <v>40286</v>
      </c>
      <c r="M6235" t="s">
        <v>42870</v>
      </c>
      <c r="N6235" t="s">
        <v>44759</v>
      </c>
      <c r="O6235" t="s">
        <v>44760</v>
      </c>
      <c r="P6235">
        <v>0</v>
      </c>
      <c r="Q6235">
        <v>0</v>
      </c>
      <c r="R6235" t="s">
        <v>44766</v>
      </c>
      <c r="S6235" t="s">
        <v>44902</v>
      </c>
      <c r="T6235" t="s">
        <v>46497</v>
      </c>
      <c r="U6235" t="s">
        <v>52171</v>
      </c>
      <c r="W6235" t="s">
        <v>42870</v>
      </c>
      <c r="X6235" t="s">
        <v>44767</v>
      </c>
    </row>
    <row r="6236" spans="1:24">
      <c r="A6236">
        <f>HYPERLINK("https://www.philgeps.gov.ph/GEPSNONPILOT/Tender/SplashBidNoticeAbstractUI.aspx?menuIndex=3&amp;refID=7147648&amp;Result=3","7147648")</f>
        <v>0</v>
      </c>
      <c r="B6236" t="s">
        <v>2221</v>
      </c>
      <c r="C6236" t="s">
        <v>9655</v>
      </c>
      <c r="E6236" t="s">
        <v>23547</v>
      </c>
      <c r="F6236" t="s">
        <v>30900</v>
      </c>
      <c r="G6236" t="s">
        <v>30907</v>
      </c>
      <c r="H6236" t="s">
        <v>30916</v>
      </c>
      <c r="I6236" t="s">
        <v>8123</v>
      </c>
      <c r="J6236" t="s">
        <v>35009</v>
      </c>
      <c r="K6236" t="s">
        <v>40283</v>
      </c>
      <c r="M6236" t="s">
        <v>42930</v>
      </c>
      <c r="N6236" t="s">
        <v>44759</v>
      </c>
      <c r="O6236" t="s">
        <v>44760</v>
      </c>
      <c r="P6236">
        <v>0</v>
      </c>
      <c r="Q6236">
        <v>0</v>
      </c>
      <c r="R6236" t="s">
        <v>44766</v>
      </c>
      <c r="S6236" t="s">
        <v>44902</v>
      </c>
      <c r="T6236" t="s">
        <v>46561</v>
      </c>
      <c r="U6236" t="s">
        <v>52172</v>
      </c>
      <c r="W6236" t="s">
        <v>42930</v>
      </c>
      <c r="X6236" t="s">
        <v>44767</v>
      </c>
    </row>
    <row r="6237" spans="1:24">
      <c r="A6237">
        <f>HYPERLINK("https://www.philgeps.gov.ph/GEPSNONPILOT/Tender/SplashBidNoticeAbstractUI.aspx?menuIndex=3&amp;refID=7147647&amp;Result=3","7147647")</f>
        <v>0</v>
      </c>
      <c r="B6237" t="s">
        <v>2222</v>
      </c>
      <c r="C6237" t="s">
        <v>9656</v>
      </c>
      <c r="D6237" t="s">
        <v>17955</v>
      </c>
      <c r="E6237" t="s">
        <v>23548</v>
      </c>
      <c r="F6237" t="s">
        <v>30900</v>
      </c>
      <c r="G6237" t="s">
        <v>30907</v>
      </c>
      <c r="H6237" t="s">
        <v>30915</v>
      </c>
      <c r="I6237" t="s">
        <v>30919</v>
      </c>
      <c r="J6237" t="s">
        <v>35086</v>
      </c>
      <c r="K6237" t="s">
        <v>40289</v>
      </c>
      <c r="M6237" t="s">
        <v>42931</v>
      </c>
      <c r="N6237" t="s">
        <v>44759</v>
      </c>
      <c r="O6237" t="s">
        <v>44760</v>
      </c>
      <c r="P6237">
        <v>0</v>
      </c>
      <c r="Q6237">
        <v>1</v>
      </c>
      <c r="R6237" t="s">
        <v>44766</v>
      </c>
      <c r="S6237" t="s">
        <v>44902</v>
      </c>
      <c r="T6237" t="s">
        <v>46417</v>
      </c>
      <c r="U6237" t="s">
        <v>52173</v>
      </c>
      <c r="W6237" t="s">
        <v>42931</v>
      </c>
      <c r="X6237" t="s">
        <v>44767</v>
      </c>
    </row>
    <row r="6238" spans="1:24">
      <c r="A6238">
        <f>HYPERLINK("https://www.philgeps.gov.ph/GEPSNONPILOT/Tender/SplashBidNoticeAbstractUI.aspx?menuIndex=3&amp;refID=7147646&amp;Result=3","7147646")</f>
        <v>0</v>
      </c>
      <c r="B6238" t="s">
        <v>2209</v>
      </c>
      <c r="C6238" t="s">
        <v>9657</v>
      </c>
      <c r="D6238" t="s">
        <v>17959</v>
      </c>
      <c r="E6238" t="s">
        <v>9657</v>
      </c>
      <c r="F6238" t="s">
        <v>30900</v>
      </c>
      <c r="G6238" t="s">
        <v>30907</v>
      </c>
      <c r="H6238" t="s">
        <v>30916</v>
      </c>
      <c r="I6238" t="s">
        <v>6396</v>
      </c>
      <c r="J6238" t="s">
        <v>32049</v>
      </c>
      <c r="K6238" t="s">
        <v>40286</v>
      </c>
      <c r="M6238" t="s">
        <v>42917</v>
      </c>
      <c r="N6238" t="s">
        <v>44759</v>
      </c>
      <c r="O6238" t="s">
        <v>44760</v>
      </c>
      <c r="P6238">
        <v>0</v>
      </c>
      <c r="Q6238">
        <v>3</v>
      </c>
      <c r="R6238" t="s">
        <v>44766</v>
      </c>
      <c r="S6238" t="s">
        <v>44902</v>
      </c>
      <c r="T6238" t="s">
        <v>46515</v>
      </c>
      <c r="U6238" t="s">
        <v>48263</v>
      </c>
      <c r="W6238" t="s">
        <v>42917</v>
      </c>
      <c r="X6238" t="s">
        <v>44767</v>
      </c>
    </row>
    <row r="6239" spans="1:24">
      <c r="A6239">
        <f>HYPERLINK("https://www.philgeps.gov.ph/GEPSNONPILOT/Tender/SplashBidNoticeAbstractUI.aspx?menuIndex=3&amp;refID=7147642&amp;Result=3","7147642")</f>
        <v>0</v>
      </c>
      <c r="B6239" t="s">
        <v>2223</v>
      </c>
      <c r="C6239" t="s">
        <v>9658</v>
      </c>
      <c r="D6239" t="s">
        <v>17959</v>
      </c>
      <c r="E6239" t="s">
        <v>20897</v>
      </c>
      <c r="F6239" t="s">
        <v>30900</v>
      </c>
      <c r="G6239" t="s">
        <v>30908</v>
      </c>
      <c r="H6239" t="s">
        <v>30917</v>
      </c>
      <c r="I6239" t="s">
        <v>8123</v>
      </c>
      <c r="J6239" t="s">
        <v>35087</v>
      </c>
      <c r="K6239" t="s">
        <v>40286</v>
      </c>
      <c r="M6239" t="s">
        <v>42932</v>
      </c>
      <c r="N6239" t="s">
        <v>44759</v>
      </c>
      <c r="O6239" t="s">
        <v>44760</v>
      </c>
      <c r="P6239">
        <v>0</v>
      </c>
      <c r="Q6239">
        <v>4</v>
      </c>
      <c r="R6239" t="s">
        <v>44766</v>
      </c>
      <c r="S6239" t="s">
        <v>44902</v>
      </c>
      <c r="T6239" t="s">
        <v>46374</v>
      </c>
      <c r="U6239" t="s">
        <v>52174</v>
      </c>
      <c r="W6239" t="s">
        <v>42932</v>
      </c>
      <c r="X6239" t="s">
        <v>44767</v>
      </c>
    </row>
    <row r="6240" spans="1:24">
      <c r="A6240">
        <f>HYPERLINK("https://www.philgeps.gov.ph/GEPSNONPILOT/Tender/SplashBidNoticeAbstractUI.aspx?menuIndex=3&amp;refID=7147638&amp;Result=3","7147638")</f>
        <v>0</v>
      </c>
      <c r="B6240" t="s">
        <v>997</v>
      </c>
      <c r="C6240" t="s">
        <v>9659</v>
      </c>
      <c r="D6240" t="s">
        <v>17959</v>
      </c>
      <c r="E6240" t="s">
        <v>23549</v>
      </c>
      <c r="F6240" t="s">
        <v>30900</v>
      </c>
      <c r="G6240" t="s">
        <v>30908</v>
      </c>
      <c r="H6240" t="s">
        <v>30916</v>
      </c>
      <c r="I6240" t="s">
        <v>30927</v>
      </c>
      <c r="J6240" t="s">
        <v>35088</v>
      </c>
      <c r="K6240" t="s">
        <v>40283</v>
      </c>
      <c r="M6240" t="s">
        <v>42933</v>
      </c>
      <c r="N6240" t="s">
        <v>44759</v>
      </c>
      <c r="O6240" t="s">
        <v>44760</v>
      </c>
      <c r="P6240">
        <v>0</v>
      </c>
      <c r="Q6240">
        <v>2</v>
      </c>
      <c r="R6240" t="s">
        <v>44766</v>
      </c>
      <c r="S6240" t="s">
        <v>44902</v>
      </c>
      <c r="T6240" t="s">
        <v>46440</v>
      </c>
      <c r="U6240" t="s">
        <v>52175</v>
      </c>
      <c r="W6240" t="s">
        <v>42933</v>
      </c>
      <c r="X6240" t="s">
        <v>44767</v>
      </c>
    </row>
    <row r="6241" spans="1:24">
      <c r="A6241">
        <f>HYPERLINK("https://www.philgeps.gov.ph/GEPSNONPILOT/Tender/SplashBidNoticeAbstractUI.aspx?menuIndex=3&amp;refID=7147636&amp;Result=3","7147636")</f>
        <v>0</v>
      </c>
      <c r="B6241" t="s">
        <v>2224</v>
      </c>
      <c r="C6241" t="s">
        <v>9660</v>
      </c>
      <c r="D6241" t="s">
        <v>18019</v>
      </c>
      <c r="E6241" t="s">
        <v>21567</v>
      </c>
      <c r="F6241" t="s">
        <v>30900</v>
      </c>
      <c r="G6241" t="s">
        <v>30907</v>
      </c>
      <c r="H6241" t="s">
        <v>30916</v>
      </c>
      <c r="I6241" t="s">
        <v>8123</v>
      </c>
      <c r="J6241" t="s">
        <v>35089</v>
      </c>
      <c r="K6241" t="s">
        <v>40287</v>
      </c>
      <c r="M6241" t="s">
        <v>42934</v>
      </c>
      <c r="N6241" t="s">
        <v>44759</v>
      </c>
      <c r="O6241" t="s">
        <v>44760</v>
      </c>
      <c r="P6241">
        <v>0</v>
      </c>
      <c r="Q6241">
        <v>0</v>
      </c>
      <c r="R6241" t="s">
        <v>44766</v>
      </c>
      <c r="S6241" t="s">
        <v>44902</v>
      </c>
      <c r="T6241" t="s">
        <v>46425</v>
      </c>
      <c r="U6241" t="s">
        <v>52176</v>
      </c>
      <c r="W6241" t="s">
        <v>42934</v>
      </c>
      <c r="X6241" t="s">
        <v>44767</v>
      </c>
    </row>
    <row r="6242" spans="1:24">
      <c r="A6242">
        <f>HYPERLINK("https://www.philgeps.gov.ph/GEPSNONPILOT/Tender/SplashBidNoticeAbstractUI.aspx?menuIndex=3&amp;refID=7147630&amp;Result=3","7147630")</f>
        <v>0</v>
      </c>
      <c r="B6242" t="s">
        <v>2225</v>
      </c>
      <c r="C6242" t="s">
        <v>9661</v>
      </c>
      <c r="D6242" t="s">
        <v>17980</v>
      </c>
      <c r="E6242" t="s">
        <v>23550</v>
      </c>
      <c r="F6242" t="s">
        <v>30900</v>
      </c>
      <c r="G6242" t="s">
        <v>30907</v>
      </c>
      <c r="H6242" t="s">
        <v>30916</v>
      </c>
      <c r="I6242" t="s">
        <v>6396</v>
      </c>
      <c r="J6242" t="s">
        <v>35090</v>
      </c>
      <c r="K6242" t="s">
        <v>40280</v>
      </c>
      <c r="M6242" t="s">
        <v>42935</v>
      </c>
      <c r="N6242" t="s">
        <v>44759</v>
      </c>
      <c r="O6242" t="s">
        <v>44760</v>
      </c>
      <c r="P6242">
        <v>0</v>
      </c>
      <c r="Q6242">
        <v>0</v>
      </c>
      <c r="R6242" t="s">
        <v>44766</v>
      </c>
      <c r="S6242" t="s">
        <v>44902</v>
      </c>
      <c r="T6242" t="s">
        <v>46414</v>
      </c>
      <c r="U6242" t="s">
        <v>52177</v>
      </c>
      <c r="W6242" t="s">
        <v>42935</v>
      </c>
      <c r="X6242" t="s">
        <v>44767</v>
      </c>
    </row>
    <row r="6243" spans="1:24">
      <c r="A6243">
        <f>HYPERLINK("https://www.philgeps.gov.ph/GEPSNONPILOT/Tender/SplashBidNoticeAbstractUI.aspx?menuIndex=3&amp;refID=7147629&amp;Result=3","7147629")</f>
        <v>0</v>
      </c>
      <c r="B6243" t="s">
        <v>400</v>
      </c>
      <c r="C6243" t="s">
        <v>9662</v>
      </c>
      <c r="D6243" t="s">
        <v>17971</v>
      </c>
      <c r="E6243" t="s">
        <v>23551</v>
      </c>
      <c r="F6243" t="s">
        <v>30900</v>
      </c>
      <c r="G6243" t="s">
        <v>30908</v>
      </c>
      <c r="H6243" t="s">
        <v>30916</v>
      </c>
      <c r="I6243" t="s">
        <v>30939</v>
      </c>
      <c r="J6243" t="s">
        <v>35091</v>
      </c>
      <c r="K6243" t="s">
        <v>40289</v>
      </c>
      <c r="M6243" t="s">
        <v>40955</v>
      </c>
      <c r="N6243" t="s">
        <v>44759</v>
      </c>
      <c r="O6243" t="s">
        <v>44760</v>
      </c>
      <c r="P6243">
        <v>0</v>
      </c>
      <c r="Q6243">
        <v>0</v>
      </c>
      <c r="R6243" t="s">
        <v>44766</v>
      </c>
      <c r="S6243" t="s">
        <v>44902</v>
      </c>
      <c r="T6243" t="s">
        <v>46391</v>
      </c>
      <c r="U6243" t="s">
        <v>52178</v>
      </c>
      <c r="W6243" t="s">
        <v>40955</v>
      </c>
      <c r="X6243" t="s">
        <v>44767</v>
      </c>
    </row>
    <row r="6244" spans="1:24">
      <c r="A6244">
        <f>HYPERLINK("https://www.philgeps.gov.ph/GEPSNONPILOT/Tender/SplashBidNoticeAbstractUI.aspx?menuIndex=3&amp;refID=7147640&amp;Result=3","7147640")</f>
        <v>0</v>
      </c>
      <c r="B6244" t="s">
        <v>2226</v>
      </c>
      <c r="C6244" t="s">
        <v>9663</v>
      </c>
      <c r="D6244" t="s">
        <v>17955</v>
      </c>
      <c r="E6244" t="s">
        <v>23552</v>
      </c>
      <c r="F6244" t="s">
        <v>30900</v>
      </c>
      <c r="G6244" t="s">
        <v>30910</v>
      </c>
      <c r="H6244" t="s">
        <v>30916</v>
      </c>
      <c r="I6244" t="s">
        <v>30945</v>
      </c>
      <c r="J6244" t="s">
        <v>31050</v>
      </c>
      <c r="K6244" t="s">
        <v>40284</v>
      </c>
      <c r="M6244" t="s">
        <v>42936</v>
      </c>
      <c r="N6244" t="s">
        <v>44759</v>
      </c>
      <c r="O6244" t="s">
        <v>44760</v>
      </c>
      <c r="P6244">
        <v>0</v>
      </c>
      <c r="Q6244">
        <v>3</v>
      </c>
      <c r="R6244" t="s">
        <v>44766</v>
      </c>
      <c r="S6244" t="s">
        <v>44902</v>
      </c>
      <c r="T6244" t="s">
        <v>46410</v>
      </c>
      <c r="U6244" t="s">
        <v>52179</v>
      </c>
      <c r="W6244" t="s">
        <v>42936</v>
      </c>
      <c r="X6244" t="s">
        <v>44767</v>
      </c>
    </row>
    <row r="6245" spans="1:24">
      <c r="A6245">
        <f>HYPERLINK("https://www.philgeps.gov.ph/GEPSNONPILOT/Tender/SplashBidNoticeAbstractUI.aspx?menuIndex=3&amp;refID=7147612&amp;Result=3","7147612")</f>
        <v>0</v>
      </c>
      <c r="B6245" t="s">
        <v>2227</v>
      </c>
      <c r="C6245" t="s">
        <v>9664</v>
      </c>
      <c r="D6245" t="s">
        <v>18016</v>
      </c>
      <c r="E6245" t="s">
        <v>23553</v>
      </c>
      <c r="F6245" t="s">
        <v>30904</v>
      </c>
      <c r="G6245" t="s">
        <v>30908</v>
      </c>
      <c r="H6245" t="s">
        <v>30916</v>
      </c>
      <c r="I6245" t="s">
        <v>4108</v>
      </c>
      <c r="J6245" t="s">
        <v>31355</v>
      </c>
      <c r="K6245" t="s">
        <v>40287</v>
      </c>
      <c r="M6245" t="s">
        <v>42937</v>
      </c>
      <c r="N6245" t="s">
        <v>44759</v>
      </c>
      <c r="O6245" t="s">
        <v>44760</v>
      </c>
      <c r="P6245">
        <v>0</v>
      </c>
      <c r="Q6245">
        <v>0</v>
      </c>
      <c r="R6245" t="s">
        <v>44766</v>
      </c>
      <c r="S6245" t="s">
        <v>44902</v>
      </c>
      <c r="T6245" t="s">
        <v>46747</v>
      </c>
      <c r="U6245" t="s">
        <v>52180</v>
      </c>
      <c r="W6245" t="s">
        <v>42937</v>
      </c>
      <c r="X6245" t="s">
        <v>44767</v>
      </c>
    </row>
    <row r="6246" spans="1:24">
      <c r="A6246">
        <f>HYPERLINK("https://www.philgeps.gov.ph/GEPSNONPILOT/Tender/SplashBidNoticeAbstractUI.aspx?menuIndex=3&amp;refID=7147366&amp;Result=3","7147366")</f>
        <v>0</v>
      </c>
      <c r="B6246" t="s">
        <v>2158</v>
      </c>
      <c r="C6246" t="s">
        <v>9665</v>
      </c>
      <c r="D6246" t="s">
        <v>17963</v>
      </c>
      <c r="E6246" t="s">
        <v>23554</v>
      </c>
      <c r="F6246" t="s">
        <v>30900</v>
      </c>
      <c r="G6246" t="s">
        <v>30907</v>
      </c>
      <c r="H6246" t="s">
        <v>30916</v>
      </c>
      <c r="I6246" t="s">
        <v>30984</v>
      </c>
      <c r="J6246" t="s">
        <v>35092</v>
      </c>
      <c r="K6246" t="s">
        <v>40286</v>
      </c>
      <c r="M6246" t="s">
        <v>42863</v>
      </c>
      <c r="N6246" t="s">
        <v>44759</v>
      </c>
      <c r="O6246" t="s">
        <v>44760</v>
      </c>
      <c r="P6246">
        <v>0</v>
      </c>
      <c r="Q6246">
        <v>1</v>
      </c>
      <c r="R6246" t="s">
        <v>44766</v>
      </c>
      <c r="S6246" t="s">
        <v>44902</v>
      </c>
      <c r="T6246" t="s">
        <v>46410</v>
      </c>
      <c r="U6246" t="s">
        <v>51974</v>
      </c>
      <c r="W6246" t="s">
        <v>42863</v>
      </c>
      <c r="X6246" t="s">
        <v>44767</v>
      </c>
    </row>
    <row r="6247" spans="1:24">
      <c r="A6247">
        <f>HYPERLINK("https://www.philgeps.gov.ph/GEPSNONPILOT/Tender/SplashBidNoticeAbstractUI.aspx?menuIndex=3&amp;refID=7147611&amp;Result=3","7147611")</f>
        <v>0</v>
      </c>
      <c r="B6247" t="s">
        <v>2165</v>
      </c>
      <c r="C6247" t="s">
        <v>9666</v>
      </c>
      <c r="D6247" t="s">
        <v>17995</v>
      </c>
      <c r="E6247" t="s">
        <v>23555</v>
      </c>
      <c r="F6247" t="s">
        <v>30900</v>
      </c>
      <c r="G6247" t="s">
        <v>30907</v>
      </c>
      <c r="H6247" t="s">
        <v>30916</v>
      </c>
      <c r="I6247" t="s">
        <v>8123</v>
      </c>
      <c r="J6247" t="s">
        <v>35093</v>
      </c>
      <c r="K6247" t="s">
        <v>40286</v>
      </c>
      <c r="M6247" t="s">
        <v>42870</v>
      </c>
      <c r="N6247" t="s">
        <v>44759</v>
      </c>
      <c r="O6247" t="s">
        <v>44760</v>
      </c>
      <c r="P6247">
        <v>0</v>
      </c>
      <c r="Q6247">
        <v>0</v>
      </c>
      <c r="R6247" t="s">
        <v>44766</v>
      </c>
      <c r="S6247" t="s">
        <v>44902</v>
      </c>
      <c r="T6247" t="s">
        <v>46497</v>
      </c>
      <c r="U6247" t="s">
        <v>52181</v>
      </c>
      <c r="W6247" t="s">
        <v>42870</v>
      </c>
      <c r="X6247" t="s">
        <v>44767</v>
      </c>
    </row>
    <row r="6248" spans="1:24">
      <c r="A6248">
        <f>HYPERLINK("https://www.philgeps.gov.ph/GEPSNONPILOT/Tender/SplashBidNoticeAbstractUI.aspx?menuIndex=3&amp;refID=7147608&amp;Result=3","7147608")</f>
        <v>0</v>
      </c>
      <c r="B6248" t="s">
        <v>681</v>
      </c>
      <c r="C6248" t="s">
        <v>6187</v>
      </c>
      <c r="D6248" t="s">
        <v>17982</v>
      </c>
      <c r="E6248" t="s">
        <v>22726</v>
      </c>
      <c r="F6248" t="s">
        <v>30900</v>
      </c>
      <c r="G6248" t="s">
        <v>30907</v>
      </c>
      <c r="H6248" t="s">
        <v>30916</v>
      </c>
      <c r="I6248" t="s">
        <v>8123</v>
      </c>
      <c r="J6248" t="s">
        <v>35094</v>
      </c>
      <c r="K6248" t="s">
        <v>40283</v>
      </c>
      <c r="M6248" t="s">
        <v>41244</v>
      </c>
      <c r="N6248" t="s">
        <v>44759</v>
      </c>
      <c r="O6248" t="s">
        <v>44760</v>
      </c>
      <c r="P6248">
        <v>0</v>
      </c>
      <c r="Q6248">
        <v>0</v>
      </c>
      <c r="R6248" t="s">
        <v>44766</v>
      </c>
      <c r="S6248" t="s">
        <v>44902</v>
      </c>
      <c r="T6248" t="s">
        <v>46439</v>
      </c>
      <c r="U6248" t="s">
        <v>52182</v>
      </c>
      <c r="V6248" t="s">
        <v>59805</v>
      </c>
      <c r="W6248" t="s">
        <v>41244</v>
      </c>
      <c r="X6248" t="s">
        <v>44767</v>
      </c>
    </row>
    <row r="6249" spans="1:24">
      <c r="A6249">
        <f>HYPERLINK("https://www.philgeps.gov.ph/GEPSNONPILOT/Tender/SplashBidNoticeAbstractUI.aspx?menuIndex=3&amp;refID=7147631&amp;Result=3","7147631")</f>
        <v>0</v>
      </c>
      <c r="B6249" t="s">
        <v>2228</v>
      </c>
      <c r="C6249" t="s">
        <v>9667</v>
      </c>
      <c r="E6249" t="s">
        <v>23556</v>
      </c>
      <c r="F6249" t="s">
        <v>30900</v>
      </c>
      <c r="G6249" t="s">
        <v>30908</v>
      </c>
      <c r="H6249" t="s">
        <v>30915</v>
      </c>
      <c r="I6249" t="s">
        <v>8123</v>
      </c>
      <c r="J6249" t="s">
        <v>35095</v>
      </c>
      <c r="K6249" t="s">
        <v>40289</v>
      </c>
      <c r="M6249" t="s">
        <v>42938</v>
      </c>
      <c r="N6249" t="s">
        <v>44759</v>
      </c>
      <c r="O6249" t="s">
        <v>44760</v>
      </c>
      <c r="P6249">
        <v>0</v>
      </c>
      <c r="Q6249">
        <v>0</v>
      </c>
      <c r="R6249" t="s">
        <v>44766</v>
      </c>
      <c r="S6249" t="s">
        <v>44902</v>
      </c>
      <c r="T6249" t="s">
        <v>46414</v>
      </c>
      <c r="U6249" t="s">
        <v>52183</v>
      </c>
      <c r="W6249" t="s">
        <v>42938</v>
      </c>
      <c r="X6249" t="s">
        <v>44767</v>
      </c>
    </row>
    <row r="6250" spans="1:24">
      <c r="A6250">
        <f>HYPERLINK("https://www.philgeps.gov.ph/GEPSNONPILOT/Tender/SplashBidNoticeAbstractUI.aspx?menuIndex=3&amp;refID=7147606&amp;Result=3","7147606")</f>
        <v>0</v>
      </c>
      <c r="B6250" t="s">
        <v>2217</v>
      </c>
      <c r="C6250" t="s">
        <v>9668</v>
      </c>
      <c r="D6250" t="s">
        <v>17960</v>
      </c>
      <c r="E6250" t="s">
        <v>23557</v>
      </c>
      <c r="F6250" t="s">
        <v>30900</v>
      </c>
      <c r="G6250" t="s">
        <v>30907</v>
      </c>
      <c r="H6250" t="s">
        <v>30916</v>
      </c>
      <c r="I6250" t="s">
        <v>8123</v>
      </c>
      <c r="J6250" t="s">
        <v>35096</v>
      </c>
      <c r="K6250" t="s">
        <v>40287</v>
      </c>
      <c r="M6250" t="s">
        <v>42926</v>
      </c>
      <c r="N6250" t="s">
        <v>44759</v>
      </c>
      <c r="O6250" t="s">
        <v>44760</v>
      </c>
      <c r="P6250">
        <v>0</v>
      </c>
      <c r="Q6250">
        <v>0</v>
      </c>
      <c r="R6250" t="s">
        <v>44766</v>
      </c>
      <c r="S6250" t="s">
        <v>44902</v>
      </c>
      <c r="T6250" t="s">
        <v>46421</v>
      </c>
      <c r="U6250" t="s">
        <v>52184</v>
      </c>
      <c r="W6250" t="s">
        <v>42926</v>
      </c>
      <c r="X6250" t="s">
        <v>44767</v>
      </c>
    </row>
    <row r="6251" spans="1:24">
      <c r="A6251">
        <f>HYPERLINK("https://www.philgeps.gov.ph/GEPSNONPILOT/Tender/SplashBidNoticeAbstractUI.aspx?menuIndex=3&amp;refID=7147568&amp;Result=3","7147568")</f>
        <v>0</v>
      </c>
      <c r="B6251" t="s">
        <v>2226</v>
      </c>
      <c r="C6251" t="s">
        <v>9669</v>
      </c>
      <c r="D6251" t="s">
        <v>17955</v>
      </c>
      <c r="E6251" t="s">
        <v>23558</v>
      </c>
      <c r="F6251" t="s">
        <v>30900</v>
      </c>
      <c r="G6251" t="s">
        <v>30910</v>
      </c>
      <c r="H6251" t="s">
        <v>30916</v>
      </c>
      <c r="I6251" t="s">
        <v>30963</v>
      </c>
      <c r="J6251" t="s">
        <v>31298</v>
      </c>
      <c r="K6251" t="s">
        <v>40284</v>
      </c>
      <c r="M6251" t="s">
        <v>42936</v>
      </c>
      <c r="N6251" t="s">
        <v>44759</v>
      </c>
      <c r="O6251" t="s">
        <v>44760</v>
      </c>
      <c r="P6251">
        <v>0</v>
      </c>
      <c r="Q6251">
        <v>2</v>
      </c>
      <c r="R6251" t="s">
        <v>44766</v>
      </c>
      <c r="S6251" t="s">
        <v>44902</v>
      </c>
      <c r="T6251" t="s">
        <v>46410</v>
      </c>
      <c r="U6251" t="s">
        <v>52185</v>
      </c>
      <c r="W6251" t="s">
        <v>42936</v>
      </c>
      <c r="X6251" t="s">
        <v>44767</v>
      </c>
    </row>
    <row r="6252" spans="1:24">
      <c r="A6252">
        <f>HYPERLINK("https://www.philgeps.gov.ph/GEPSNONPILOT/Tender/SplashBidNoticeAbstractUI.aspx?menuIndex=3&amp;refID=7147693&amp;Result=3","7147693")</f>
        <v>0</v>
      </c>
      <c r="B6252" t="s">
        <v>2209</v>
      </c>
      <c r="C6252" t="s">
        <v>9670</v>
      </c>
      <c r="D6252" t="s">
        <v>17959</v>
      </c>
      <c r="E6252" t="s">
        <v>9670</v>
      </c>
      <c r="F6252" t="s">
        <v>30900</v>
      </c>
      <c r="G6252" t="s">
        <v>30907</v>
      </c>
      <c r="H6252" t="s">
        <v>30916</v>
      </c>
      <c r="I6252" t="s">
        <v>10847</v>
      </c>
      <c r="J6252" t="s">
        <v>35097</v>
      </c>
      <c r="K6252" t="s">
        <v>40286</v>
      </c>
      <c r="M6252" t="s">
        <v>42917</v>
      </c>
      <c r="N6252" t="s">
        <v>44759</v>
      </c>
      <c r="O6252" t="s">
        <v>44760</v>
      </c>
      <c r="P6252">
        <v>0</v>
      </c>
      <c r="Q6252">
        <v>1</v>
      </c>
      <c r="R6252" t="s">
        <v>44766</v>
      </c>
      <c r="S6252" t="s">
        <v>44902</v>
      </c>
      <c r="T6252" t="s">
        <v>46515</v>
      </c>
      <c r="U6252" t="s">
        <v>48718</v>
      </c>
      <c r="W6252" t="s">
        <v>42917</v>
      </c>
      <c r="X6252" t="s">
        <v>44767</v>
      </c>
    </row>
    <row r="6253" spans="1:24">
      <c r="A6253">
        <f>HYPERLINK("https://www.philgeps.gov.ph/GEPSNONPILOT/Tender/SplashBidNoticeAbstractUI.aspx?menuIndex=3&amp;refID=7147614&amp;Result=3","7147614")</f>
        <v>0</v>
      </c>
      <c r="B6253" t="s">
        <v>2229</v>
      </c>
      <c r="C6253" t="s">
        <v>9671</v>
      </c>
      <c r="D6253" t="s">
        <v>17979</v>
      </c>
      <c r="E6253" t="s">
        <v>23559</v>
      </c>
      <c r="F6253" t="s">
        <v>30900</v>
      </c>
      <c r="G6253" t="s">
        <v>30909</v>
      </c>
      <c r="H6253" t="s">
        <v>30916</v>
      </c>
      <c r="I6253" t="s">
        <v>30922</v>
      </c>
      <c r="J6253" t="s">
        <v>31518</v>
      </c>
      <c r="K6253" t="s">
        <v>40286</v>
      </c>
      <c r="M6253" t="s">
        <v>42939</v>
      </c>
      <c r="N6253" t="s">
        <v>44759</v>
      </c>
      <c r="O6253" t="s">
        <v>44760</v>
      </c>
      <c r="P6253">
        <v>0</v>
      </c>
      <c r="Q6253">
        <v>9</v>
      </c>
      <c r="R6253" t="s">
        <v>44766</v>
      </c>
      <c r="S6253" t="s">
        <v>44902</v>
      </c>
      <c r="T6253" t="s">
        <v>46591</v>
      </c>
      <c r="U6253" t="s">
        <v>52186</v>
      </c>
      <c r="W6253" t="s">
        <v>42939</v>
      </c>
      <c r="X6253" t="s">
        <v>44767</v>
      </c>
    </row>
    <row r="6254" spans="1:24">
      <c r="A6254">
        <f>HYPERLINK("https://www.philgeps.gov.ph/GEPSNONPILOT/Tender/SplashBidNoticeAbstractUI.aspx?menuIndex=3&amp;refID=7147704&amp;Result=3","7147704")</f>
        <v>0</v>
      </c>
      <c r="B6254" t="s">
        <v>209</v>
      </c>
      <c r="C6254" t="s">
        <v>9672</v>
      </c>
      <c r="D6254" t="s">
        <v>17985</v>
      </c>
      <c r="E6254" t="s">
        <v>23560</v>
      </c>
      <c r="F6254" t="s">
        <v>30900</v>
      </c>
      <c r="G6254" t="s">
        <v>30907</v>
      </c>
      <c r="H6254" t="s">
        <v>30916</v>
      </c>
      <c r="I6254" t="s">
        <v>8123</v>
      </c>
      <c r="J6254" t="s">
        <v>31096</v>
      </c>
      <c r="K6254" t="s">
        <v>40291</v>
      </c>
      <c r="M6254" t="s">
        <v>40756</v>
      </c>
      <c r="N6254" t="s">
        <v>44759</v>
      </c>
      <c r="O6254" t="s">
        <v>44760</v>
      </c>
      <c r="P6254">
        <v>0</v>
      </c>
      <c r="Q6254">
        <v>2</v>
      </c>
      <c r="R6254" t="s">
        <v>44766</v>
      </c>
      <c r="S6254" t="s">
        <v>44902</v>
      </c>
      <c r="T6254" t="s">
        <v>46495</v>
      </c>
      <c r="U6254" t="s">
        <v>52187</v>
      </c>
      <c r="W6254" t="s">
        <v>40756</v>
      </c>
      <c r="X6254" t="s">
        <v>44767</v>
      </c>
    </row>
    <row r="6255" spans="1:24">
      <c r="A6255">
        <f>HYPERLINK("https://www.philgeps.gov.ph/GEPSNONPILOT/Tender/SplashBidNoticeAbstractUI.aspx?menuIndex=3&amp;refID=7147701&amp;Result=3","7147701")</f>
        <v>0</v>
      </c>
      <c r="B6255" t="s">
        <v>1511</v>
      </c>
      <c r="C6255" t="s">
        <v>9673</v>
      </c>
      <c r="D6255" t="s">
        <v>18019</v>
      </c>
      <c r="E6255" t="s">
        <v>23561</v>
      </c>
      <c r="F6255" t="s">
        <v>30900</v>
      </c>
      <c r="G6255" t="s">
        <v>30908</v>
      </c>
      <c r="H6255" t="s">
        <v>30916</v>
      </c>
      <c r="I6255" t="s">
        <v>6834</v>
      </c>
      <c r="J6255" t="s">
        <v>31615</v>
      </c>
      <c r="K6255" t="s">
        <v>40287</v>
      </c>
      <c r="M6255" t="s">
        <v>42152</v>
      </c>
      <c r="N6255" t="s">
        <v>44759</v>
      </c>
      <c r="O6255" t="s">
        <v>44760</v>
      </c>
      <c r="P6255">
        <v>0</v>
      </c>
      <c r="Q6255">
        <v>5</v>
      </c>
      <c r="R6255" t="s">
        <v>44766</v>
      </c>
      <c r="S6255" t="s">
        <v>44902</v>
      </c>
      <c r="T6255" t="s">
        <v>46704</v>
      </c>
      <c r="U6255" t="s">
        <v>50068</v>
      </c>
      <c r="W6255" t="s">
        <v>42152</v>
      </c>
      <c r="X6255" t="s">
        <v>44767</v>
      </c>
    </row>
    <row r="6256" spans="1:24">
      <c r="A6256">
        <f>HYPERLINK("https://www.philgeps.gov.ph/GEPSNONPILOT/Tender/SplashBidNoticeAbstractUI.aspx?menuIndex=3&amp;refID=7147607&amp;Result=3","7147607")</f>
        <v>0</v>
      </c>
      <c r="B6256" t="s">
        <v>2226</v>
      </c>
      <c r="C6256" t="s">
        <v>9674</v>
      </c>
      <c r="D6256" t="s">
        <v>17955</v>
      </c>
      <c r="E6256" t="s">
        <v>23562</v>
      </c>
      <c r="F6256" t="s">
        <v>30900</v>
      </c>
      <c r="G6256" t="s">
        <v>30910</v>
      </c>
      <c r="H6256" t="s">
        <v>30916</v>
      </c>
      <c r="I6256" t="s">
        <v>30934</v>
      </c>
      <c r="J6256" t="s">
        <v>35098</v>
      </c>
      <c r="K6256" t="s">
        <v>40284</v>
      </c>
      <c r="M6256" t="s">
        <v>42936</v>
      </c>
      <c r="N6256" t="s">
        <v>44759</v>
      </c>
      <c r="O6256" t="s">
        <v>44760</v>
      </c>
      <c r="P6256">
        <v>0</v>
      </c>
      <c r="Q6256">
        <v>3</v>
      </c>
      <c r="R6256" t="s">
        <v>44766</v>
      </c>
      <c r="S6256" t="s">
        <v>44902</v>
      </c>
      <c r="T6256" t="s">
        <v>46410</v>
      </c>
      <c r="U6256" t="s">
        <v>52188</v>
      </c>
      <c r="W6256" t="s">
        <v>42936</v>
      </c>
      <c r="X6256" t="s">
        <v>44767</v>
      </c>
    </row>
    <row r="6257" spans="1:24">
      <c r="A6257">
        <f>HYPERLINK("https://www.philgeps.gov.ph/GEPSNONPILOT/Tender/SplashBidNoticeAbstractUI.aspx?menuIndex=3&amp;refID=7147644&amp;Result=3","7147644")</f>
        <v>0</v>
      </c>
      <c r="B6257" t="s">
        <v>58</v>
      </c>
      <c r="C6257" t="s">
        <v>9675</v>
      </c>
      <c r="D6257" t="s">
        <v>17977</v>
      </c>
      <c r="E6257" t="s">
        <v>23563</v>
      </c>
      <c r="F6257" t="s">
        <v>30900</v>
      </c>
      <c r="G6257" t="s">
        <v>30907</v>
      </c>
      <c r="H6257" t="s">
        <v>30916</v>
      </c>
      <c r="I6257" t="s">
        <v>30918</v>
      </c>
      <c r="J6257" t="s">
        <v>35099</v>
      </c>
      <c r="K6257" t="s">
        <v>40287</v>
      </c>
      <c r="M6257" t="s">
        <v>40604</v>
      </c>
      <c r="N6257" t="s">
        <v>44759</v>
      </c>
      <c r="O6257" t="s">
        <v>44760</v>
      </c>
      <c r="P6257">
        <v>0</v>
      </c>
      <c r="Q6257">
        <v>6</v>
      </c>
      <c r="R6257" t="s">
        <v>44766</v>
      </c>
      <c r="S6257" t="s">
        <v>44902</v>
      </c>
      <c r="T6257" t="s">
        <v>46414</v>
      </c>
      <c r="U6257" t="s">
        <v>52189</v>
      </c>
      <c r="W6257" t="s">
        <v>60815</v>
      </c>
      <c r="X6257" t="s">
        <v>44767</v>
      </c>
    </row>
    <row r="6258" spans="1:24">
      <c r="A6258">
        <f>HYPERLINK("https://www.philgeps.gov.ph/GEPSNONPILOT/Tender/SplashBidNoticeAbstractUI.aspx?menuIndex=3&amp;refID=7147691&amp;Result=3","7147691")</f>
        <v>0</v>
      </c>
      <c r="B6258" t="s">
        <v>2230</v>
      </c>
      <c r="C6258" t="s">
        <v>9676</v>
      </c>
      <c r="D6258" t="s">
        <v>18018</v>
      </c>
      <c r="E6258" t="s">
        <v>23564</v>
      </c>
      <c r="F6258" t="s">
        <v>30900</v>
      </c>
      <c r="G6258" t="s">
        <v>30907</v>
      </c>
      <c r="H6258" t="s">
        <v>30916</v>
      </c>
      <c r="I6258" t="s">
        <v>30919</v>
      </c>
      <c r="J6258" t="s">
        <v>31391</v>
      </c>
      <c r="K6258" t="s">
        <v>40304</v>
      </c>
      <c r="M6258" t="s">
        <v>42940</v>
      </c>
      <c r="N6258" t="s">
        <v>44759</v>
      </c>
      <c r="O6258" t="s">
        <v>44760</v>
      </c>
      <c r="P6258">
        <v>0</v>
      </c>
      <c r="Q6258">
        <v>0</v>
      </c>
      <c r="R6258" t="s">
        <v>44766</v>
      </c>
      <c r="S6258" t="s">
        <v>44902</v>
      </c>
      <c r="T6258" t="s">
        <v>46495</v>
      </c>
      <c r="U6258" t="s">
        <v>52190</v>
      </c>
      <c r="V6258" t="s">
        <v>59806</v>
      </c>
      <c r="W6258" t="s">
        <v>42940</v>
      </c>
      <c r="X6258" t="s">
        <v>44767</v>
      </c>
    </row>
    <row r="6259" spans="1:24">
      <c r="A6259">
        <f>HYPERLINK("https://www.philgeps.gov.ph/GEPSNONPILOT/Tender/SplashBidNoticeAbstractUI.aspx?menuIndex=3&amp;refID=7147560&amp;Result=3","7147560")</f>
        <v>0</v>
      </c>
      <c r="B6259" t="s">
        <v>2222</v>
      </c>
      <c r="C6259" t="s">
        <v>9677</v>
      </c>
      <c r="D6259" t="s">
        <v>17955</v>
      </c>
      <c r="E6259" t="s">
        <v>23565</v>
      </c>
      <c r="F6259" t="s">
        <v>30900</v>
      </c>
      <c r="G6259" t="s">
        <v>30907</v>
      </c>
      <c r="H6259" t="s">
        <v>30915</v>
      </c>
      <c r="I6259" t="s">
        <v>30919</v>
      </c>
      <c r="J6259" t="s">
        <v>35100</v>
      </c>
      <c r="K6259" t="s">
        <v>40289</v>
      </c>
      <c r="M6259" t="s">
        <v>42931</v>
      </c>
      <c r="N6259" t="s">
        <v>44759</v>
      </c>
      <c r="O6259" t="s">
        <v>44760</v>
      </c>
      <c r="P6259">
        <v>0</v>
      </c>
      <c r="Q6259">
        <v>0</v>
      </c>
      <c r="R6259" t="s">
        <v>44766</v>
      </c>
      <c r="S6259" t="s">
        <v>44902</v>
      </c>
      <c r="T6259" t="s">
        <v>46487</v>
      </c>
      <c r="U6259" t="s">
        <v>52191</v>
      </c>
      <c r="W6259" t="s">
        <v>42931</v>
      </c>
      <c r="X6259" t="s">
        <v>44767</v>
      </c>
    </row>
    <row r="6260" spans="1:24">
      <c r="A6260">
        <f>HYPERLINK("https://www.philgeps.gov.ph/GEPSNONPILOT/Tender/SplashBidNoticeAbstractUI.aspx?menuIndex=3&amp;refID=7147687&amp;Result=3","7147687")</f>
        <v>0</v>
      </c>
      <c r="B6260" t="s">
        <v>2209</v>
      </c>
      <c r="C6260" t="s">
        <v>9678</v>
      </c>
      <c r="E6260" t="s">
        <v>9678</v>
      </c>
      <c r="F6260" t="s">
        <v>30900</v>
      </c>
      <c r="G6260" t="s">
        <v>30907</v>
      </c>
      <c r="H6260" t="s">
        <v>30916</v>
      </c>
      <c r="I6260" t="s">
        <v>6396</v>
      </c>
      <c r="J6260" t="s">
        <v>31341</v>
      </c>
      <c r="K6260" t="s">
        <v>40286</v>
      </c>
      <c r="M6260" t="s">
        <v>42917</v>
      </c>
      <c r="N6260" t="s">
        <v>44759</v>
      </c>
      <c r="O6260" t="s">
        <v>44760</v>
      </c>
      <c r="P6260">
        <v>0</v>
      </c>
      <c r="Q6260">
        <v>0</v>
      </c>
      <c r="R6260" t="s">
        <v>44766</v>
      </c>
      <c r="S6260" t="s">
        <v>44902</v>
      </c>
      <c r="T6260" t="s">
        <v>46515</v>
      </c>
      <c r="U6260" t="s">
        <v>48263</v>
      </c>
      <c r="W6260" t="s">
        <v>42917</v>
      </c>
      <c r="X6260" t="s">
        <v>44767</v>
      </c>
    </row>
    <row r="6261" spans="1:24">
      <c r="A6261">
        <f>HYPERLINK("https://www.philgeps.gov.ph/GEPSNONPILOT/Tender/SplashBidNoticeAbstractUI.aspx?menuIndex=3&amp;refID=7147681&amp;Result=3","7147681")</f>
        <v>0</v>
      </c>
      <c r="B6261" t="s">
        <v>2226</v>
      </c>
      <c r="C6261" t="s">
        <v>9679</v>
      </c>
      <c r="D6261" t="s">
        <v>17955</v>
      </c>
      <c r="E6261" t="s">
        <v>23566</v>
      </c>
      <c r="F6261" t="s">
        <v>30900</v>
      </c>
      <c r="G6261" t="s">
        <v>30908</v>
      </c>
      <c r="H6261" t="s">
        <v>30915</v>
      </c>
      <c r="I6261" t="s">
        <v>30919</v>
      </c>
      <c r="J6261" t="s">
        <v>34558</v>
      </c>
      <c r="K6261" t="s">
        <v>40291</v>
      </c>
      <c r="M6261" t="s">
        <v>42936</v>
      </c>
      <c r="N6261" t="s">
        <v>44759</v>
      </c>
      <c r="O6261" t="s">
        <v>44760</v>
      </c>
      <c r="P6261">
        <v>0</v>
      </c>
      <c r="Q6261">
        <v>1</v>
      </c>
      <c r="R6261" t="s">
        <v>44766</v>
      </c>
      <c r="S6261" t="s">
        <v>44902</v>
      </c>
      <c r="T6261" t="s">
        <v>46410</v>
      </c>
      <c r="U6261" t="s">
        <v>52192</v>
      </c>
      <c r="W6261" t="s">
        <v>42936</v>
      </c>
      <c r="X6261" t="s">
        <v>44767</v>
      </c>
    </row>
    <row r="6262" spans="1:24">
      <c r="A6262">
        <f>HYPERLINK("https://www.philgeps.gov.ph/GEPSNONPILOT/Tender/SplashBidNoticeAbstractUI.aspx?menuIndex=3&amp;refID=7147582&amp;Result=3","7147582")</f>
        <v>0</v>
      </c>
      <c r="B6262" t="s">
        <v>2165</v>
      </c>
      <c r="C6262" t="s">
        <v>9680</v>
      </c>
      <c r="D6262" t="s">
        <v>17995</v>
      </c>
      <c r="E6262" t="s">
        <v>23567</v>
      </c>
      <c r="F6262" t="s">
        <v>30900</v>
      </c>
      <c r="G6262" t="s">
        <v>30907</v>
      </c>
      <c r="H6262" t="s">
        <v>30916</v>
      </c>
      <c r="I6262" t="s">
        <v>8123</v>
      </c>
      <c r="J6262" t="s">
        <v>35101</v>
      </c>
      <c r="K6262" t="s">
        <v>40286</v>
      </c>
      <c r="M6262" t="s">
        <v>42870</v>
      </c>
      <c r="N6262" t="s">
        <v>44759</v>
      </c>
      <c r="O6262" t="s">
        <v>44760</v>
      </c>
      <c r="P6262">
        <v>0</v>
      </c>
      <c r="Q6262">
        <v>0</v>
      </c>
      <c r="R6262" t="s">
        <v>44766</v>
      </c>
      <c r="S6262" t="s">
        <v>44902</v>
      </c>
      <c r="T6262" t="s">
        <v>46497</v>
      </c>
      <c r="U6262" t="s">
        <v>52193</v>
      </c>
      <c r="W6262" t="s">
        <v>42870</v>
      </c>
      <c r="X6262" t="s">
        <v>44767</v>
      </c>
    </row>
    <row r="6263" spans="1:24">
      <c r="A6263">
        <f>HYPERLINK("https://www.philgeps.gov.ph/GEPSNONPILOT/Tender/SplashBidNoticeAbstractUI.aspx?menuIndex=3&amp;refID=7147679&amp;Result=3","7147679")</f>
        <v>0</v>
      </c>
      <c r="B6263" t="s">
        <v>58</v>
      </c>
      <c r="C6263" t="s">
        <v>9681</v>
      </c>
      <c r="D6263" t="s">
        <v>17977</v>
      </c>
      <c r="E6263" t="s">
        <v>23568</v>
      </c>
      <c r="F6263" t="s">
        <v>30900</v>
      </c>
      <c r="G6263" t="s">
        <v>30907</v>
      </c>
      <c r="H6263" t="s">
        <v>30916</v>
      </c>
      <c r="I6263" t="s">
        <v>30918</v>
      </c>
      <c r="J6263" t="s">
        <v>32830</v>
      </c>
      <c r="K6263" t="s">
        <v>40287</v>
      </c>
      <c r="M6263" t="s">
        <v>40604</v>
      </c>
      <c r="N6263" t="s">
        <v>44759</v>
      </c>
      <c r="O6263" t="s">
        <v>44760</v>
      </c>
      <c r="P6263">
        <v>0</v>
      </c>
      <c r="Q6263">
        <v>2</v>
      </c>
      <c r="R6263" t="s">
        <v>44766</v>
      </c>
      <c r="S6263" t="s">
        <v>44902</v>
      </c>
      <c r="T6263" t="s">
        <v>46414</v>
      </c>
      <c r="U6263" t="s">
        <v>52189</v>
      </c>
      <c r="W6263" t="s">
        <v>60815</v>
      </c>
      <c r="X6263" t="s">
        <v>44767</v>
      </c>
    </row>
    <row r="6264" spans="1:24">
      <c r="A6264">
        <f>HYPERLINK("https://www.philgeps.gov.ph/GEPSNONPILOT/Tender/SplashBidNoticeAbstractUI.aspx?menuIndex=3&amp;refID=7147677&amp;Result=3","7147677")</f>
        <v>0</v>
      </c>
      <c r="B6264" t="s">
        <v>2209</v>
      </c>
      <c r="C6264" t="s">
        <v>9682</v>
      </c>
      <c r="D6264" t="s">
        <v>17959</v>
      </c>
      <c r="E6264" t="s">
        <v>9682</v>
      </c>
      <c r="F6264" t="s">
        <v>30900</v>
      </c>
      <c r="G6264" t="s">
        <v>30907</v>
      </c>
      <c r="H6264" t="s">
        <v>30916</v>
      </c>
      <c r="I6264" t="s">
        <v>6396</v>
      </c>
      <c r="J6264" t="s">
        <v>35102</v>
      </c>
      <c r="K6264" t="s">
        <v>40286</v>
      </c>
      <c r="M6264" t="s">
        <v>42917</v>
      </c>
      <c r="N6264" t="s">
        <v>44759</v>
      </c>
      <c r="O6264" t="s">
        <v>44760</v>
      </c>
      <c r="P6264">
        <v>0</v>
      </c>
      <c r="Q6264">
        <v>0</v>
      </c>
      <c r="R6264" t="s">
        <v>44766</v>
      </c>
      <c r="S6264" t="s">
        <v>44902</v>
      </c>
      <c r="T6264" t="s">
        <v>46515</v>
      </c>
      <c r="U6264" t="s">
        <v>48263</v>
      </c>
      <c r="W6264" t="s">
        <v>42917</v>
      </c>
      <c r="X6264" t="s">
        <v>44767</v>
      </c>
    </row>
    <row r="6265" spans="1:24">
      <c r="A6265">
        <f>HYPERLINK("https://www.philgeps.gov.ph/GEPSNONPILOT/Tender/SplashBidNoticeAbstractUI.aspx?menuIndex=3&amp;refID=7147674&amp;Result=3","7147674")</f>
        <v>0</v>
      </c>
      <c r="B6265" t="s">
        <v>2231</v>
      </c>
      <c r="C6265" t="s">
        <v>9683</v>
      </c>
      <c r="D6265" t="s">
        <v>17959</v>
      </c>
      <c r="E6265" t="s">
        <v>23569</v>
      </c>
      <c r="F6265" t="s">
        <v>30900</v>
      </c>
      <c r="G6265" t="s">
        <v>30909</v>
      </c>
      <c r="H6265" t="s">
        <v>30916</v>
      </c>
      <c r="I6265" t="s">
        <v>8123</v>
      </c>
      <c r="J6265" t="s">
        <v>31049</v>
      </c>
      <c r="K6265" t="s">
        <v>40285</v>
      </c>
      <c r="M6265" t="s">
        <v>42941</v>
      </c>
      <c r="N6265" t="s">
        <v>44759</v>
      </c>
      <c r="O6265" t="s">
        <v>44760</v>
      </c>
      <c r="P6265">
        <v>0</v>
      </c>
      <c r="Q6265">
        <v>3</v>
      </c>
      <c r="R6265" t="s">
        <v>44766</v>
      </c>
      <c r="S6265" t="s">
        <v>44902</v>
      </c>
      <c r="T6265" t="s">
        <v>46625</v>
      </c>
      <c r="U6265" t="s">
        <v>52194</v>
      </c>
      <c r="W6265" t="s">
        <v>42941</v>
      </c>
      <c r="X6265" t="s">
        <v>44767</v>
      </c>
    </row>
    <row r="6266" spans="1:24">
      <c r="A6266">
        <f>HYPERLINK("https://www.philgeps.gov.ph/GEPSNONPILOT/Tender/SplashBidNoticeAbstractUI.aspx?menuIndex=3&amp;refID=7147689&amp;Result=3","7147689")</f>
        <v>0</v>
      </c>
      <c r="B6266" t="s">
        <v>911</v>
      </c>
      <c r="C6266" t="s">
        <v>9684</v>
      </c>
      <c r="D6266" t="s">
        <v>17961</v>
      </c>
      <c r="E6266" t="s">
        <v>23570</v>
      </c>
      <c r="F6266" t="s">
        <v>30900</v>
      </c>
      <c r="G6266" t="s">
        <v>30907</v>
      </c>
      <c r="H6266" t="s">
        <v>30915</v>
      </c>
      <c r="I6266" t="s">
        <v>30919</v>
      </c>
      <c r="J6266" t="s">
        <v>35103</v>
      </c>
      <c r="K6266" t="s">
        <v>40286</v>
      </c>
      <c r="M6266" t="s">
        <v>41490</v>
      </c>
      <c r="N6266" t="s">
        <v>44759</v>
      </c>
      <c r="O6266" t="s">
        <v>44760</v>
      </c>
      <c r="Q6266">
        <v>0</v>
      </c>
      <c r="R6266" t="s">
        <v>44766</v>
      </c>
      <c r="S6266" t="s">
        <v>44947</v>
      </c>
      <c r="T6266" t="s">
        <v>46519</v>
      </c>
      <c r="U6266" t="s">
        <v>52195</v>
      </c>
      <c r="W6266" t="s">
        <v>41490</v>
      </c>
      <c r="X6266" t="s">
        <v>44767</v>
      </c>
    </row>
    <row r="6267" spans="1:24">
      <c r="A6267">
        <f>HYPERLINK("https://www.philgeps.gov.ph/GEPSNONPILOT/Tender/SplashBidNoticeAbstractUI.aspx?menuIndex=3&amp;refID=7147667&amp;Result=3","7147667")</f>
        <v>0</v>
      </c>
      <c r="B6267" t="s">
        <v>2221</v>
      </c>
      <c r="C6267" t="s">
        <v>9685</v>
      </c>
      <c r="E6267" t="s">
        <v>23571</v>
      </c>
      <c r="F6267" t="s">
        <v>30900</v>
      </c>
      <c r="G6267" t="s">
        <v>30907</v>
      </c>
      <c r="H6267" t="s">
        <v>30916</v>
      </c>
      <c r="I6267" t="s">
        <v>8123</v>
      </c>
      <c r="J6267" t="s">
        <v>35104</v>
      </c>
      <c r="K6267" t="s">
        <v>40283</v>
      </c>
      <c r="M6267" t="s">
        <v>42930</v>
      </c>
      <c r="N6267" t="s">
        <v>44759</v>
      </c>
      <c r="O6267" t="s">
        <v>44760</v>
      </c>
      <c r="P6267">
        <v>0</v>
      </c>
      <c r="Q6267">
        <v>0</v>
      </c>
      <c r="R6267" t="s">
        <v>44766</v>
      </c>
      <c r="S6267" t="s">
        <v>44902</v>
      </c>
      <c r="T6267" t="s">
        <v>46561</v>
      </c>
      <c r="U6267" t="s">
        <v>52172</v>
      </c>
      <c r="W6267" t="s">
        <v>42930</v>
      </c>
      <c r="X6267" t="s">
        <v>44767</v>
      </c>
    </row>
    <row r="6268" spans="1:24">
      <c r="A6268">
        <f>HYPERLINK("https://www.philgeps.gov.ph/GEPSNONPILOT/Tender/SplashBidNoticeAbstractUI.aspx?menuIndex=3&amp;refID=7147685&amp;Result=3","7147685")</f>
        <v>0</v>
      </c>
      <c r="B6268" t="s">
        <v>2221</v>
      </c>
      <c r="C6268" t="s">
        <v>9686</v>
      </c>
      <c r="E6268" t="s">
        <v>23572</v>
      </c>
      <c r="F6268" t="s">
        <v>30900</v>
      </c>
      <c r="G6268" t="s">
        <v>30907</v>
      </c>
      <c r="H6268" t="s">
        <v>30916</v>
      </c>
      <c r="I6268" t="s">
        <v>8123</v>
      </c>
      <c r="J6268" t="s">
        <v>35105</v>
      </c>
      <c r="K6268" t="s">
        <v>40283</v>
      </c>
      <c r="M6268" t="s">
        <v>42930</v>
      </c>
      <c r="N6268" t="s">
        <v>44759</v>
      </c>
      <c r="O6268" t="s">
        <v>44760</v>
      </c>
      <c r="P6268">
        <v>0</v>
      </c>
      <c r="Q6268">
        <v>0</v>
      </c>
      <c r="R6268" t="s">
        <v>44766</v>
      </c>
      <c r="S6268" t="s">
        <v>44902</v>
      </c>
      <c r="T6268" t="s">
        <v>46561</v>
      </c>
      <c r="U6268" t="s">
        <v>52172</v>
      </c>
      <c r="W6268" t="s">
        <v>42930</v>
      </c>
      <c r="X6268" t="s">
        <v>44767</v>
      </c>
    </row>
    <row r="6269" spans="1:24">
      <c r="A6269">
        <f>HYPERLINK("https://www.philgeps.gov.ph/GEPSNONPILOT/Tender/SplashBidNoticeAbstractUI.aspx?menuIndex=3&amp;refID=7147698&amp;Result=3","7147698")</f>
        <v>0</v>
      </c>
      <c r="B6269" t="s">
        <v>2209</v>
      </c>
      <c r="C6269" t="s">
        <v>9687</v>
      </c>
      <c r="D6269" t="s">
        <v>17959</v>
      </c>
      <c r="E6269" t="s">
        <v>9687</v>
      </c>
      <c r="F6269" t="s">
        <v>30900</v>
      </c>
      <c r="G6269" t="s">
        <v>30907</v>
      </c>
      <c r="H6269" t="s">
        <v>30916</v>
      </c>
      <c r="I6269" t="s">
        <v>10847</v>
      </c>
      <c r="J6269" t="s">
        <v>35106</v>
      </c>
      <c r="K6269" t="s">
        <v>40286</v>
      </c>
      <c r="M6269" t="s">
        <v>42917</v>
      </c>
      <c r="N6269" t="s">
        <v>44759</v>
      </c>
      <c r="O6269" t="s">
        <v>44760</v>
      </c>
      <c r="P6269">
        <v>0</v>
      </c>
      <c r="Q6269">
        <v>0</v>
      </c>
      <c r="R6269" t="s">
        <v>44766</v>
      </c>
      <c r="S6269" t="s">
        <v>44902</v>
      </c>
      <c r="T6269" t="s">
        <v>46515</v>
      </c>
      <c r="U6269" t="s">
        <v>48718</v>
      </c>
      <c r="W6269" t="s">
        <v>42917</v>
      </c>
      <c r="X6269" t="s">
        <v>44767</v>
      </c>
    </row>
    <row r="6270" spans="1:24">
      <c r="A6270">
        <f>HYPERLINK("https://www.philgeps.gov.ph/GEPSNONPILOT/Tender/SplashBidNoticeAbstractUI.aspx?menuIndex=3&amp;refID=7147670&amp;Result=3","7147670")</f>
        <v>0</v>
      </c>
      <c r="B6270" t="s">
        <v>179</v>
      </c>
      <c r="C6270" t="s">
        <v>9688</v>
      </c>
      <c r="D6270" t="s">
        <v>17953</v>
      </c>
      <c r="E6270" t="s">
        <v>23573</v>
      </c>
      <c r="F6270" t="s">
        <v>30900</v>
      </c>
      <c r="G6270" t="s">
        <v>30907</v>
      </c>
      <c r="H6270" t="s">
        <v>30915</v>
      </c>
      <c r="I6270" t="s">
        <v>30919</v>
      </c>
      <c r="J6270" t="s">
        <v>31243</v>
      </c>
      <c r="K6270" t="s">
        <v>40280</v>
      </c>
      <c r="M6270" t="s">
        <v>40726</v>
      </c>
      <c r="N6270" t="s">
        <v>44759</v>
      </c>
      <c r="O6270" t="s">
        <v>44760</v>
      </c>
      <c r="P6270">
        <v>0</v>
      </c>
      <c r="Q6270">
        <v>0</v>
      </c>
      <c r="R6270" t="s">
        <v>44766</v>
      </c>
      <c r="S6270" t="s">
        <v>44902</v>
      </c>
      <c r="T6270" t="s">
        <v>46428</v>
      </c>
      <c r="U6270" t="s">
        <v>52196</v>
      </c>
      <c r="W6270" t="s">
        <v>40726</v>
      </c>
      <c r="X6270" t="s">
        <v>44767</v>
      </c>
    </row>
    <row r="6271" spans="1:24">
      <c r="A6271">
        <f>HYPERLINK("https://www.philgeps.gov.ph/GEPSNONPILOT/Tender/SplashBidNoticeAbstractUI.aspx?menuIndex=3&amp;refID=7147659&amp;Result=3","7147659")</f>
        <v>0</v>
      </c>
      <c r="B6271" t="s">
        <v>2222</v>
      </c>
      <c r="C6271" t="s">
        <v>9689</v>
      </c>
      <c r="D6271" t="s">
        <v>17955</v>
      </c>
      <c r="E6271" t="s">
        <v>23574</v>
      </c>
      <c r="F6271" t="s">
        <v>30900</v>
      </c>
      <c r="G6271" t="s">
        <v>30907</v>
      </c>
      <c r="H6271" t="s">
        <v>30915</v>
      </c>
      <c r="I6271" t="s">
        <v>30919</v>
      </c>
      <c r="J6271" t="s">
        <v>35107</v>
      </c>
      <c r="K6271" t="s">
        <v>40289</v>
      </c>
      <c r="M6271" t="s">
        <v>42931</v>
      </c>
      <c r="N6271" t="s">
        <v>44759</v>
      </c>
      <c r="O6271" t="s">
        <v>44760</v>
      </c>
      <c r="P6271">
        <v>0</v>
      </c>
      <c r="Q6271">
        <v>1</v>
      </c>
      <c r="R6271" t="s">
        <v>44766</v>
      </c>
      <c r="S6271" t="s">
        <v>44902</v>
      </c>
      <c r="T6271" t="s">
        <v>46487</v>
      </c>
      <c r="U6271" t="s">
        <v>52197</v>
      </c>
      <c r="W6271" t="s">
        <v>42931</v>
      </c>
      <c r="X6271" t="s">
        <v>44767</v>
      </c>
    </row>
    <row r="6272" spans="1:24">
      <c r="A6272">
        <f>HYPERLINK("https://www.philgeps.gov.ph/GEPSNONPILOT/Tender/SplashBidNoticeAbstractUI.aspx?menuIndex=3&amp;refID=7147669&amp;Result=3","7147669")</f>
        <v>0</v>
      </c>
      <c r="B6272" t="s">
        <v>1012</v>
      </c>
      <c r="C6272" t="s">
        <v>9690</v>
      </c>
      <c r="D6272" t="s">
        <v>17980</v>
      </c>
      <c r="E6272" t="s">
        <v>23575</v>
      </c>
      <c r="F6272" t="s">
        <v>30900</v>
      </c>
      <c r="G6272" t="s">
        <v>30906</v>
      </c>
      <c r="H6272" t="s">
        <v>30916</v>
      </c>
      <c r="I6272" t="s">
        <v>30924</v>
      </c>
      <c r="J6272" t="s">
        <v>35108</v>
      </c>
      <c r="K6272" t="s">
        <v>40293</v>
      </c>
      <c r="M6272" t="s">
        <v>41601</v>
      </c>
      <c r="N6272" t="s">
        <v>44759</v>
      </c>
      <c r="O6272" t="s">
        <v>44760</v>
      </c>
      <c r="Q6272">
        <v>3</v>
      </c>
      <c r="R6272" t="s">
        <v>44766</v>
      </c>
      <c r="S6272" t="s">
        <v>44948</v>
      </c>
      <c r="T6272" t="s">
        <v>46465</v>
      </c>
      <c r="U6272" t="s">
        <v>52198</v>
      </c>
      <c r="W6272" t="s">
        <v>41601</v>
      </c>
      <c r="X6272" t="s">
        <v>44767</v>
      </c>
    </row>
    <row r="6273" spans="1:24">
      <c r="A6273">
        <f>HYPERLINK("https://www.philgeps.gov.ph/GEPSNONPILOT/Tender/SplashBidNoticeAbstractUI.aspx?menuIndex=3&amp;refID=7147559&amp;Result=3","7147559")</f>
        <v>0</v>
      </c>
      <c r="B6273" t="s">
        <v>179</v>
      </c>
      <c r="C6273" t="s">
        <v>9691</v>
      </c>
      <c r="D6273" t="s">
        <v>17987</v>
      </c>
      <c r="E6273" t="s">
        <v>23573</v>
      </c>
      <c r="F6273" t="s">
        <v>30900</v>
      </c>
      <c r="G6273" t="s">
        <v>30907</v>
      </c>
      <c r="H6273" t="s">
        <v>30915</v>
      </c>
      <c r="I6273" t="s">
        <v>30919</v>
      </c>
      <c r="J6273" t="s">
        <v>31105</v>
      </c>
      <c r="K6273" t="s">
        <v>40280</v>
      </c>
      <c r="M6273" t="s">
        <v>40726</v>
      </c>
      <c r="N6273" t="s">
        <v>44759</v>
      </c>
      <c r="O6273" t="s">
        <v>44760</v>
      </c>
      <c r="P6273">
        <v>0</v>
      </c>
      <c r="Q6273">
        <v>0</v>
      </c>
      <c r="R6273" t="s">
        <v>44766</v>
      </c>
      <c r="S6273" t="s">
        <v>44902</v>
      </c>
      <c r="T6273" t="s">
        <v>46409</v>
      </c>
      <c r="U6273" t="s">
        <v>52199</v>
      </c>
      <c r="W6273" t="s">
        <v>40726</v>
      </c>
      <c r="X6273" t="s">
        <v>44767</v>
      </c>
    </row>
    <row r="6274" spans="1:24">
      <c r="A6274">
        <f>HYPERLINK("https://www.philgeps.gov.ph/GEPSNONPILOT/Tender/SplashBidNoticeAbstractUI.aspx?menuIndex=3&amp;refID=7147662&amp;Result=3","7147662")</f>
        <v>0</v>
      </c>
      <c r="B6274" t="s">
        <v>1401</v>
      </c>
      <c r="C6274" t="s">
        <v>9692</v>
      </c>
      <c r="D6274" t="s">
        <v>17982</v>
      </c>
      <c r="E6274" t="s">
        <v>23576</v>
      </c>
      <c r="F6274" t="s">
        <v>30900</v>
      </c>
      <c r="G6274" t="s">
        <v>30908</v>
      </c>
      <c r="H6274" t="s">
        <v>30916</v>
      </c>
      <c r="I6274" t="s">
        <v>4108</v>
      </c>
      <c r="J6274" t="s">
        <v>35109</v>
      </c>
      <c r="K6274" t="s">
        <v>40283</v>
      </c>
      <c r="M6274" t="s">
        <v>42027</v>
      </c>
      <c r="N6274" t="s">
        <v>44759</v>
      </c>
      <c r="O6274" t="s">
        <v>44760</v>
      </c>
      <c r="P6274">
        <v>0</v>
      </c>
      <c r="Q6274">
        <v>0</v>
      </c>
      <c r="R6274" t="s">
        <v>44766</v>
      </c>
      <c r="S6274" t="s">
        <v>44902</v>
      </c>
      <c r="T6274" t="s">
        <v>46533</v>
      </c>
      <c r="U6274" t="s">
        <v>52200</v>
      </c>
      <c r="V6274" t="s">
        <v>59786</v>
      </c>
      <c r="W6274" t="s">
        <v>42027</v>
      </c>
      <c r="X6274" t="s">
        <v>44767</v>
      </c>
    </row>
    <row r="6275" spans="1:24">
      <c r="A6275">
        <f>HYPERLINK("https://www.philgeps.gov.ph/GEPSNONPILOT/Tender/SplashBidNoticeAbstractUI.aspx?menuIndex=3&amp;refID=7147661&amp;Result=3","7147661")</f>
        <v>0</v>
      </c>
      <c r="B6275" t="s">
        <v>2226</v>
      </c>
      <c r="C6275" t="s">
        <v>9693</v>
      </c>
      <c r="D6275" t="s">
        <v>17955</v>
      </c>
      <c r="E6275" t="s">
        <v>23577</v>
      </c>
      <c r="F6275" t="s">
        <v>30900</v>
      </c>
      <c r="G6275" t="s">
        <v>30908</v>
      </c>
      <c r="H6275" t="s">
        <v>30915</v>
      </c>
      <c r="I6275" t="s">
        <v>30919</v>
      </c>
      <c r="J6275" t="s">
        <v>31105</v>
      </c>
      <c r="K6275" t="s">
        <v>40291</v>
      </c>
      <c r="M6275" t="s">
        <v>42936</v>
      </c>
      <c r="N6275" t="s">
        <v>44759</v>
      </c>
      <c r="O6275" t="s">
        <v>44760</v>
      </c>
      <c r="P6275">
        <v>0</v>
      </c>
      <c r="Q6275">
        <v>1</v>
      </c>
      <c r="R6275" t="s">
        <v>44766</v>
      </c>
      <c r="S6275" t="s">
        <v>44902</v>
      </c>
      <c r="T6275" t="s">
        <v>46410</v>
      </c>
      <c r="U6275" t="s">
        <v>52201</v>
      </c>
      <c r="W6275" t="s">
        <v>42936</v>
      </c>
      <c r="X6275" t="s">
        <v>44767</v>
      </c>
    </row>
    <row r="6276" spans="1:24">
      <c r="A6276">
        <f>HYPERLINK("https://www.philgeps.gov.ph/GEPSNONPILOT/Tender/SplashBidNoticeAbstractUI.aspx?menuIndex=3&amp;refID=7147503&amp;Result=3","7147503")</f>
        <v>0</v>
      </c>
      <c r="B6276" t="s">
        <v>172</v>
      </c>
      <c r="C6276" t="s">
        <v>9694</v>
      </c>
      <c r="D6276" t="s">
        <v>17979</v>
      </c>
      <c r="E6276" t="s">
        <v>23578</v>
      </c>
      <c r="F6276" t="s">
        <v>30900</v>
      </c>
      <c r="G6276" t="s">
        <v>30910</v>
      </c>
      <c r="H6276" t="s">
        <v>30916</v>
      </c>
      <c r="I6276" t="s">
        <v>6953</v>
      </c>
      <c r="J6276" t="s">
        <v>31050</v>
      </c>
      <c r="K6276" t="s">
        <v>40321</v>
      </c>
      <c r="M6276" t="s">
        <v>40719</v>
      </c>
      <c r="N6276" t="s">
        <v>44759</v>
      </c>
      <c r="O6276" t="s">
        <v>44760</v>
      </c>
      <c r="P6276">
        <v>0</v>
      </c>
      <c r="Q6276">
        <v>5</v>
      </c>
      <c r="R6276" t="s">
        <v>44766</v>
      </c>
      <c r="S6276" t="s">
        <v>44902</v>
      </c>
      <c r="T6276" t="s">
        <v>46547</v>
      </c>
      <c r="U6276" t="s">
        <v>47201</v>
      </c>
      <c r="W6276" t="s">
        <v>40719</v>
      </c>
      <c r="X6276" t="s">
        <v>44767</v>
      </c>
    </row>
    <row r="6277" spans="1:24">
      <c r="A6277">
        <f>HYPERLINK("https://www.philgeps.gov.ph/GEPSNONPILOT/Tender/SplashBidNoticeAbstractUI.aspx?menuIndex=3&amp;refID=7147502&amp;Result=3","7147502")</f>
        <v>0</v>
      </c>
      <c r="B6277" t="s">
        <v>2081</v>
      </c>
      <c r="C6277" t="s">
        <v>9695</v>
      </c>
      <c r="D6277" t="s">
        <v>17980</v>
      </c>
      <c r="E6277" t="s">
        <v>23579</v>
      </c>
      <c r="F6277" t="s">
        <v>30900</v>
      </c>
      <c r="G6277" t="s">
        <v>30906</v>
      </c>
      <c r="H6277" t="s">
        <v>30916</v>
      </c>
      <c r="I6277" t="s">
        <v>4050</v>
      </c>
      <c r="J6277" t="s">
        <v>35110</v>
      </c>
      <c r="K6277" t="s">
        <v>40280</v>
      </c>
      <c r="M6277" t="s">
        <v>42780</v>
      </c>
      <c r="N6277" t="s">
        <v>44759</v>
      </c>
      <c r="O6277" t="s">
        <v>44760</v>
      </c>
      <c r="P6277">
        <v>0</v>
      </c>
      <c r="Q6277">
        <v>3</v>
      </c>
      <c r="R6277" t="s">
        <v>44766</v>
      </c>
      <c r="S6277" t="s">
        <v>44902</v>
      </c>
      <c r="T6277" t="s">
        <v>46387</v>
      </c>
      <c r="U6277" t="s">
        <v>51797</v>
      </c>
      <c r="V6277" t="s">
        <v>59750</v>
      </c>
      <c r="W6277" t="s">
        <v>42780</v>
      </c>
      <c r="X6277" t="s">
        <v>44767</v>
      </c>
    </row>
    <row r="6278" spans="1:24">
      <c r="A6278">
        <f>HYPERLINK("https://www.philgeps.gov.ph/GEPSNONPILOT/Tender/SplashBidNoticeAbstractUI.aspx?menuIndex=3&amp;refID=7147556&amp;Result=3","7147556")</f>
        <v>0</v>
      </c>
      <c r="B6278" t="s">
        <v>1401</v>
      </c>
      <c r="C6278" t="s">
        <v>9696</v>
      </c>
      <c r="D6278" t="s">
        <v>17982</v>
      </c>
      <c r="E6278" t="s">
        <v>23580</v>
      </c>
      <c r="F6278" t="s">
        <v>30900</v>
      </c>
      <c r="G6278" t="s">
        <v>30908</v>
      </c>
      <c r="H6278" t="s">
        <v>30916</v>
      </c>
      <c r="I6278" t="s">
        <v>30997</v>
      </c>
      <c r="J6278" t="s">
        <v>35111</v>
      </c>
      <c r="K6278" t="s">
        <v>40283</v>
      </c>
      <c r="M6278" t="s">
        <v>42027</v>
      </c>
      <c r="N6278" t="s">
        <v>44759</v>
      </c>
      <c r="O6278" t="s">
        <v>44760</v>
      </c>
      <c r="P6278">
        <v>0</v>
      </c>
      <c r="Q6278">
        <v>1</v>
      </c>
      <c r="R6278" t="s">
        <v>44766</v>
      </c>
      <c r="S6278" t="s">
        <v>44902</v>
      </c>
      <c r="T6278" t="s">
        <v>46533</v>
      </c>
      <c r="U6278" t="s">
        <v>52202</v>
      </c>
      <c r="V6278" t="s">
        <v>59786</v>
      </c>
      <c r="W6278" t="s">
        <v>42027</v>
      </c>
      <c r="X6278" t="s">
        <v>44767</v>
      </c>
    </row>
    <row r="6279" spans="1:24">
      <c r="A6279">
        <f>HYPERLINK("https://www.philgeps.gov.ph/GEPSNONPILOT/Tender/SplashBidNoticeAbstractUI.aspx?menuIndex=3&amp;refID=7147658&amp;Result=3","7147658")</f>
        <v>0</v>
      </c>
      <c r="B6279" t="s">
        <v>2232</v>
      </c>
      <c r="C6279" t="s">
        <v>9697</v>
      </c>
      <c r="D6279" t="s">
        <v>17973</v>
      </c>
      <c r="E6279" t="s">
        <v>23581</v>
      </c>
      <c r="F6279" t="s">
        <v>30900</v>
      </c>
      <c r="G6279" t="s">
        <v>30908</v>
      </c>
      <c r="H6279" t="s">
        <v>30916</v>
      </c>
      <c r="I6279" t="s">
        <v>4142</v>
      </c>
      <c r="J6279" t="s">
        <v>35112</v>
      </c>
      <c r="K6279" t="s">
        <v>40283</v>
      </c>
      <c r="M6279" t="s">
        <v>42942</v>
      </c>
      <c r="N6279" t="s">
        <v>44759</v>
      </c>
      <c r="O6279" t="s">
        <v>44760</v>
      </c>
      <c r="P6279">
        <v>0</v>
      </c>
      <c r="Q6279">
        <v>2</v>
      </c>
      <c r="R6279" t="s">
        <v>44766</v>
      </c>
      <c r="S6279" t="s">
        <v>44902</v>
      </c>
      <c r="T6279" t="s">
        <v>46572</v>
      </c>
      <c r="U6279" t="s">
        <v>52203</v>
      </c>
      <c r="W6279" t="s">
        <v>42942</v>
      </c>
      <c r="X6279" t="s">
        <v>44767</v>
      </c>
    </row>
    <row r="6280" spans="1:24">
      <c r="A6280">
        <f>HYPERLINK("https://www.philgeps.gov.ph/GEPSNONPILOT/Tender/SplashBidNoticeAbstractUI.aspx?menuIndex=3&amp;refID=7147557&amp;Result=3","7147557")</f>
        <v>0</v>
      </c>
      <c r="B6280" t="s">
        <v>458</v>
      </c>
      <c r="C6280" t="s">
        <v>9698</v>
      </c>
      <c r="D6280" t="s">
        <v>17951</v>
      </c>
      <c r="E6280" t="s">
        <v>23582</v>
      </c>
      <c r="F6280" t="s">
        <v>30900</v>
      </c>
      <c r="G6280" t="s">
        <v>30906</v>
      </c>
      <c r="H6280" t="s">
        <v>30916</v>
      </c>
      <c r="I6280" t="s">
        <v>4004</v>
      </c>
      <c r="J6280" t="s">
        <v>34019</v>
      </c>
      <c r="K6280" t="s">
        <v>40283</v>
      </c>
      <c r="M6280" t="s">
        <v>41016</v>
      </c>
      <c r="N6280" t="s">
        <v>44759</v>
      </c>
      <c r="O6280" t="s">
        <v>44760</v>
      </c>
      <c r="P6280">
        <v>0</v>
      </c>
      <c r="Q6280">
        <v>0</v>
      </c>
      <c r="R6280" t="s">
        <v>44766</v>
      </c>
      <c r="S6280" t="s">
        <v>44902</v>
      </c>
      <c r="T6280" t="s">
        <v>46474</v>
      </c>
      <c r="U6280" t="s">
        <v>52204</v>
      </c>
      <c r="V6280" t="s">
        <v>59807</v>
      </c>
      <c r="W6280" t="s">
        <v>41016</v>
      </c>
      <c r="X6280" t="s">
        <v>44767</v>
      </c>
    </row>
    <row r="6281" spans="1:24">
      <c r="A6281">
        <f>HYPERLINK("https://www.philgeps.gov.ph/GEPSNONPILOT/Tender/SplashBidNoticeAbstractUI.aspx?menuIndex=3&amp;refID=7147703&amp;Result=3","7147703")</f>
        <v>0</v>
      </c>
      <c r="B6281" t="s">
        <v>2223</v>
      </c>
      <c r="C6281" t="s">
        <v>9699</v>
      </c>
      <c r="D6281" t="s">
        <v>17959</v>
      </c>
      <c r="E6281" t="s">
        <v>18758</v>
      </c>
      <c r="F6281" t="s">
        <v>30900</v>
      </c>
      <c r="G6281" t="s">
        <v>30908</v>
      </c>
      <c r="H6281" t="s">
        <v>30917</v>
      </c>
      <c r="I6281" t="s">
        <v>8123</v>
      </c>
      <c r="J6281" t="s">
        <v>35113</v>
      </c>
      <c r="K6281" t="s">
        <v>40286</v>
      </c>
      <c r="M6281" t="s">
        <v>42932</v>
      </c>
      <c r="N6281" t="s">
        <v>44759</v>
      </c>
      <c r="O6281" t="s">
        <v>44760</v>
      </c>
      <c r="P6281">
        <v>0</v>
      </c>
      <c r="Q6281">
        <v>4</v>
      </c>
      <c r="R6281" t="s">
        <v>44766</v>
      </c>
      <c r="S6281" t="s">
        <v>44902</v>
      </c>
      <c r="T6281" t="s">
        <v>46374</v>
      </c>
      <c r="U6281" t="s">
        <v>52205</v>
      </c>
      <c r="W6281" t="s">
        <v>42932</v>
      </c>
      <c r="X6281" t="s">
        <v>44767</v>
      </c>
    </row>
    <row r="6282" spans="1:24">
      <c r="A6282">
        <f>HYPERLINK("https://www.philgeps.gov.ph/GEPSNONPILOT/Tender/SplashBidNoticeAbstractUI.aspx?menuIndex=3&amp;refID=7147707&amp;Result=3","7147707")</f>
        <v>0</v>
      </c>
      <c r="B6282" t="s">
        <v>2226</v>
      </c>
      <c r="C6282" t="s">
        <v>9700</v>
      </c>
      <c r="D6282" t="s">
        <v>17955</v>
      </c>
      <c r="E6282" t="s">
        <v>23583</v>
      </c>
      <c r="F6282" t="s">
        <v>30900</v>
      </c>
      <c r="G6282" t="s">
        <v>30908</v>
      </c>
      <c r="H6282" t="s">
        <v>30915</v>
      </c>
      <c r="I6282" t="s">
        <v>30919</v>
      </c>
      <c r="J6282" t="s">
        <v>35114</v>
      </c>
      <c r="K6282" t="s">
        <v>40291</v>
      </c>
      <c r="M6282" t="s">
        <v>42936</v>
      </c>
      <c r="N6282" t="s">
        <v>44759</v>
      </c>
      <c r="O6282" t="s">
        <v>44760</v>
      </c>
      <c r="P6282">
        <v>0</v>
      </c>
      <c r="Q6282">
        <v>0</v>
      </c>
      <c r="R6282" t="s">
        <v>44766</v>
      </c>
      <c r="S6282" t="s">
        <v>44902</v>
      </c>
      <c r="T6282" t="s">
        <v>46410</v>
      </c>
      <c r="U6282" t="s">
        <v>52206</v>
      </c>
      <c r="W6282" t="s">
        <v>42936</v>
      </c>
      <c r="X6282" t="s">
        <v>44767</v>
      </c>
    </row>
    <row r="6283" spans="1:24">
      <c r="A6283">
        <f>HYPERLINK("https://www.philgeps.gov.ph/GEPSNONPILOT/Tender/SplashBidNoticeAbstractUI.aspx?menuIndex=3&amp;refID=7147727&amp;Result=3","7147727")</f>
        <v>0</v>
      </c>
      <c r="B6283" t="s">
        <v>2233</v>
      </c>
      <c r="C6283" t="s">
        <v>9701</v>
      </c>
      <c r="D6283" t="s">
        <v>18013</v>
      </c>
      <c r="E6283" t="s">
        <v>23584</v>
      </c>
      <c r="F6283" t="s">
        <v>30900</v>
      </c>
      <c r="G6283" t="s">
        <v>30913</v>
      </c>
      <c r="H6283" t="s">
        <v>7411</v>
      </c>
      <c r="I6283" t="s">
        <v>30942</v>
      </c>
      <c r="J6283" t="s">
        <v>31211</v>
      </c>
      <c r="K6283" t="s">
        <v>40334</v>
      </c>
      <c r="M6283" t="s">
        <v>42943</v>
      </c>
      <c r="N6283" t="s">
        <v>44759</v>
      </c>
      <c r="O6283" t="s">
        <v>44760</v>
      </c>
      <c r="P6283">
        <v>0</v>
      </c>
      <c r="Q6283">
        <v>0</v>
      </c>
      <c r="R6283" t="s">
        <v>44766</v>
      </c>
      <c r="S6283" t="s">
        <v>44902</v>
      </c>
      <c r="T6283" t="s">
        <v>46378</v>
      </c>
      <c r="U6283" t="s">
        <v>52207</v>
      </c>
      <c r="W6283" t="s">
        <v>42943</v>
      </c>
      <c r="X6283" t="s">
        <v>44767</v>
      </c>
    </row>
    <row r="6284" spans="1:24">
      <c r="A6284">
        <f>HYPERLINK("https://www.philgeps.gov.ph/GEPSNONPILOT/Tender/SplashBidNoticeAbstractUI.aspx?menuIndex=3&amp;refID=7147725&amp;Result=3","7147725")</f>
        <v>0</v>
      </c>
      <c r="B6284" t="s">
        <v>2234</v>
      </c>
      <c r="C6284" t="s">
        <v>9702</v>
      </c>
      <c r="D6284" t="s">
        <v>17959</v>
      </c>
      <c r="E6284" t="s">
        <v>23585</v>
      </c>
      <c r="F6284" t="s">
        <v>30900</v>
      </c>
      <c r="G6284" t="s">
        <v>30908</v>
      </c>
      <c r="H6284" t="s">
        <v>30916</v>
      </c>
      <c r="I6284" t="s">
        <v>7411</v>
      </c>
      <c r="J6284" t="s">
        <v>32333</v>
      </c>
      <c r="K6284" t="s">
        <v>40289</v>
      </c>
      <c r="M6284" t="s">
        <v>42944</v>
      </c>
      <c r="N6284" t="s">
        <v>44759</v>
      </c>
      <c r="O6284" t="s">
        <v>44760</v>
      </c>
      <c r="P6284">
        <v>0</v>
      </c>
      <c r="Q6284">
        <v>5</v>
      </c>
      <c r="R6284" t="s">
        <v>44766</v>
      </c>
      <c r="S6284" t="s">
        <v>44902</v>
      </c>
      <c r="T6284" t="s">
        <v>46591</v>
      </c>
      <c r="U6284" t="s">
        <v>50643</v>
      </c>
      <c r="W6284" t="s">
        <v>42944</v>
      </c>
      <c r="X6284" t="s">
        <v>44767</v>
      </c>
    </row>
    <row r="6285" spans="1:24">
      <c r="A6285">
        <f>HYPERLINK("https://www.philgeps.gov.ph/GEPSNONPILOT/Tender/SplashBidNoticeAbstractUI.aspx?menuIndex=3&amp;refID=7147719&amp;Result=3","7147719")</f>
        <v>0</v>
      </c>
      <c r="B6285" t="s">
        <v>2223</v>
      </c>
      <c r="C6285" t="s">
        <v>9703</v>
      </c>
      <c r="D6285" t="s">
        <v>17959</v>
      </c>
      <c r="E6285" t="s">
        <v>18271</v>
      </c>
      <c r="F6285" t="s">
        <v>30900</v>
      </c>
      <c r="G6285" t="s">
        <v>30908</v>
      </c>
      <c r="H6285" t="s">
        <v>30917</v>
      </c>
      <c r="I6285" t="s">
        <v>8123</v>
      </c>
      <c r="J6285" t="s">
        <v>35087</v>
      </c>
      <c r="K6285" t="s">
        <v>40286</v>
      </c>
      <c r="M6285" t="s">
        <v>42932</v>
      </c>
      <c r="N6285" t="s">
        <v>44759</v>
      </c>
      <c r="O6285" t="s">
        <v>44760</v>
      </c>
      <c r="P6285">
        <v>0</v>
      </c>
      <c r="Q6285">
        <v>4</v>
      </c>
      <c r="R6285" t="s">
        <v>44766</v>
      </c>
      <c r="S6285" t="s">
        <v>44902</v>
      </c>
      <c r="T6285" t="s">
        <v>46374</v>
      </c>
      <c r="U6285" t="s">
        <v>52208</v>
      </c>
      <c r="W6285" t="s">
        <v>42932</v>
      </c>
      <c r="X6285" t="s">
        <v>44767</v>
      </c>
    </row>
    <row r="6286" spans="1:24">
      <c r="A6286">
        <f>HYPERLINK("https://www.philgeps.gov.ph/GEPSNONPILOT/Tender/SplashBidNoticeAbstractUI.aspx?menuIndex=3&amp;refID=7147717&amp;Result=3","7147717")</f>
        <v>0</v>
      </c>
      <c r="B6286" t="s">
        <v>2235</v>
      </c>
      <c r="C6286" t="s">
        <v>9704</v>
      </c>
      <c r="D6286" t="s">
        <v>18013</v>
      </c>
      <c r="E6286" t="s">
        <v>23586</v>
      </c>
      <c r="F6286" t="s">
        <v>30900</v>
      </c>
      <c r="G6286" t="s">
        <v>30907</v>
      </c>
      <c r="H6286" t="s">
        <v>30916</v>
      </c>
      <c r="I6286" t="s">
        <v>10602</v>
      </c>
      <c r="J6286" t="s">
        <v>35115</v>
      </c>
      <c r="K6286" t="s">
        <v>40286</v>
      </c>
      <c r="M6286" t="s">
        <v>42945</v>
      </c>
      <c r="N6286" t="s">
        <v>44759</v>
      </c>
      <c r="O6286" t="s">
        <v>44760</v>
      </c>
      <c r="P6286">
        <v>0</v>
      </c>
      <c r="Q6286">
        <v>0</v>
      </c>
      <c r="R6286" t="s">
        <v>44766</v>
      </c>
      <c r="S6286" t="s">
        <v>44902</v>
      </c>
      <c r="T6286" t="s">
        <v>46748</v>
      </c>
      <c r="U6286" t="s">
        <v>52209</v>
      </c>
      <c r="W6286" t="s">
        <v>42945</v>
      </c>
      <c r="X6286" t="s">
        <v>44767</v>
      </c>
    </row>
    <row r="6287" spans="1:24">
      <c r="A6287">
        <f>HYPERLINK("https://www.philgeps.gov.ph/GEPSNONPILOT/Tender/SplashBidNoticeAbstractUI.aspx?menuIndex=3&amp;refID=7147712&amp;Result=3","7147712")</f>
        <v>0</v>
      </c>
      <c r="B6287" t="s">
        <v>1511</v>
      </c>
      <c r="C6287" t="s">
        <v>9705</v>
      </c>
      <c r="D6287" t="s">
        <v>18019</v>
      </c>
      <c r="E6287" t="s">
        <v>23587</v>
      </c>
      <c r="F6287" t="s">
        <v>30900</v>
      </c>
      <c r="G6287" t="s">
        <v>30908</v>
      </c>
      <c r="H6287" t="s">
        <v>30916</v>
      </c>
      <c r="I6287" t="s">
        <v>4545</v>
      </c>
      <c r="J6287" t="s">
        <v>31522</v>
      </c>
      <c r="K6287" t="s">
        <v>40287</v>
      </c>
      <c r="M6287" t="s">
        <v>42152</v>
      </c>
      <c r="N6287" t="s">
        <v>44759</v>
      </c>
      <c r="O6287" t="s">
        <v>44760</v>
      </c>
      <c r="P6287">
        <v>0</v>
      </c>
      <c r="Q6287">
        <v>0</v>
      </c>
      <c r="R6287" t="s">
        <v>44766</v>
      </c>
      <c r="S6287" t="s">
        <v>44902</v>
      </c>
      <c r="T6287" t="s">
        <v>46704</v>
      </c>
      <c r="U6287" t="s">
        <v>50068</v>
      </c>
      <c r="W6287" t="s">
        <v>42152</v>
      </c>
      <c r="X6287" t="s">
        <v>44767</v>
      </c>
    </row>
    <row r="6288" spans="1:24">
      <c r="A6288">
        <f>HYPERLINK("https://www.philgeps.gov.ph/GEPSNONPILOT/Tender/SplashBidNoticeAbstractUI.aspx?menuIndex=3&amp;refID=7147711&amp;Result=3","7147711")</f>
        <v>0</v>
      </c>
      <c r="B6288" t="s">
        <v>2208</v>
      </c>
      <c r="C6288" t="s">
        <v>9706</v>
      </c>
      <c r="D6288" t="s">
        <v>18025</v>
      </c>
      <c r="E6288" t="s">
        <v>23588</v>
      </c>
      <c r="F6288" t="s">
        <v>30900</v>
      </c>
      <c r="G6288" t="s">
        <v>30907</v>
      </c>
      <c r="H6288" t="s">
        <v>30915</v>
      </c>
      <c r="I6288" t="s">
        <v>30919</v>
      </c>
      <c r="J6288" t="s">
        <v>31152</v>
      </c>
      <c r="K6288" t="s">
        <v>40289</v>
      </c>
      <c r="M6288" t="s">
        <v>42916</v>
      </c>
      <c r="N6288" t="s">
        <v>44759</v>
      </c>
      <c r="O6288" t="s">
        <v>44760</v>
      </c>
      <c r="P6288">
        <v>0</v>
      </c>
      <c r="Q6288">
        <v>0</v>
      </c>
      <c r="R6288" t="s">
        <v>44766</v>
      </c>
      <c r="S6288" t="s">
        <v>44902</v>
      </c>
      <c r="T6288" t="s">
        <v>46421</v>
      </c>
      <c r="U6288" t="s">
        <v>52210</v>
      </c>
      <c r="V6288" t="s">
        <v>59808</v>
      </c>
      <c r="W6288" t="s">
        <v>42916</v>
      </c>
      <c r="X6288" t="s">
        <v>44767</v>
      </c>
    </row>
    <row r="6289" spans="1:24">
      <c r="A6289">
        <f>HYPERLINK("https://www.philgeps.gov.ph/GEPSNONPILOT/Tender/SplashBidNoticeAbstractUI.aspx?menuIndex=3&amp;refID=7147587&amp;Result=3","7147587")</f>
        <v>0</v>
      </c>
      <c r="B6289" t="s">
        <v>2232</v>
      </c>
      <c r="C6289" t="s">
        <v>9707</v>
      </c>
      <c r="D6289" t="s">
        <v>17973</v>
      </c>
      <c r="E6289" t="s">
        <v>23589</v>
      </c>
      <c r="F6289" t="s">
        <v>30900</v>
      </c>
      <c r="G6289" t="s">
        <v>30908</v>
      </c>
      <c r="H6289" t="s">
        <v>30916</v>
      </c>
      <c r="I6289" t="s">
        <v>30962</v>
      </c>
      <c r="J6289" t="s">
        <v>31070</v>
      </c>
      <c r="K6289" t="s">
        <v>40283</v>
      </c>
      <c r="M6289" t="s">
        <v>42942</v>
      </c>
      <c r="N6289" t="s">
        <v>44759</v>
      </c>
      <c r="O6289" t="s">
        <v>44760</v>
      </c>
      <c r="P6289">
        <v>0</v>
      </c>
      <c r="Q6289">
        <v>2</v>
      </c>
      <c r="R6289" t="s">
        <v>44766</v>
      </c>
      <c r="S6289" t="s">
        <v>44902</v>
      </c>
      <c r="T6289" t="s">
        <v>46559</v>
      </c>
      <c r="U6289" t="s">
        <v>52211</v>
      </c>
      <c r="W6289" t="s">
        <v>42942</v>
      </c>
      <c r="X6289" t="s">
        <v>44767</v>
      </c>
    </row>
    <row r="6290" spans="1:24">
      <c r="A6290">
        <f>HYPERLINK("https://www.philgeps.gov.ph/GEPSNONPILOT/Tender/SplashBidNoticeAbstractUI.aspx?menuIndex=3&amp;refID=7147754&amp;Result=3","7147754")</f>
        <v>0</v>
      </c>
      <c r="B6290" t="s">
        <v>2236</v>
      </c>
      <c r="C6290" t="s">
        <v>9708</v>
      </c>
      <c r="D6290" t="s">
        <v>18019</v>
      </c>
      <c r="E6290" t="s">
        <v>23590</v>
      </c>
      <c r="F6290" t="s">
        <v>30900</v>
      </c>
      <c r="G6290" t="s">
        <v>30907</v>
      </c>
      <c r="H6290" t="s">
        <v>30915</v>
      </c>
      <c r="I6290" t="s">
        <v>30919</v>
      </c>
      <c r="J6290" t="s">
        <v>35116</v>
      </c>
      <c r="K6290" t="s">
        <v>40279</v>
      </c>
      <c r="M6290" t="s">
        <v>42946</v>
      </c>
      <c r="N6290" t="s">
        <v>44759</v>
      </c>
      <c r="O6290" t="s">
        <v>44760</v>
      </c>
      <c r="P6290">
        <v>0</v>
      </c>
      <c r="Q6290">
        <v>0</v>
      </c>
      <c r="R6290" t="s">
        <v>44766</v>
      </c>
      <c r="S6290" t="s">
        <v>44902</v>
      </c>
      <c r="T6290" t="s">
        <v>46749</v>
      </c>
      <c r="U6290" t="s">
        <v>52212</v>
      </c>
      <c r="W6290" t="s">
        <v>42946</v>
      </c>
      <c r="X6290" t="s">
        <v>44767</v>
      </c>
    </row>
    <row r="6291" spans="1:24">
      <c r="A6291">
        <f>HYPERLINK("https://www.philgeps.gov.ph/GEPSNONPILOT/Tender/SplashBidNoticeAbstractUI.aspx?menuIndex=3&amp;refID=7147713&amp;Result=3","7147713")</f>
        <v>0</v>
      </c>
      <c r="B6291" t="s">
        <v>2237</v>
      </c>
      <c r="C6291" t="s">
        <v>9709</v>
      </c>
      <c r="D6291" t="s">
        <v>17972</v>
      </c>
      <c r="E6291" t="s">
        <v>22937</v>
      </c>
      <c r="F6291" t="s">
        <v>30900</v>
      </c>
      <c r="G6291" t="s">
        <v>30908</v>
      </c>
      <c r="H6291" t="s">
        <v>30916</v>
      </c>
      <c r="I6291" t="s">
        <v>5830</v>
      </c>
      <c r="J6291" t="s">
        <v>35117</v>
      </c>
      <c r="K6291" t="s">
        <v>40283</v>
      </c>
      <c r="M6291" t="s">
        <v>42947</v>
      </c>
      <c r="N6291" t="s">
        <v>44759</v>
      </c>
      <c r="O6291" t="s">
        <v>44760</v>
      </c>
      <c r="P6291">
        <v>0</v>
      </c>
      <c r="Q6291">
        <v>6</v>
      </c>
      <c r="R6291" t="s">
        <v>44766</v>
      </c>
      <c r="S6291" t="s">
        <v>44902</v>
      </c>
      <c r="T6291" t="s">
        <v>46591</v>
      </c>
      <c r="U6291" t="s">
        <v>52213</v>
      </c>
      <c r="W6291" t="s">
        <v>60883</v>
      </c>
      <c r="X6291" t="s">
        <v>44767</v>
      </c>
    </row>
    <row r="6292" spans="1:24">
      <c r="A6292">
        <f>HYPERLINK("https://www.philgeps.gov.ph/GEPSNONPILOT/Tender/SplashBidNoticeAbstractUI.aspx?menuIndex=3&amp;refID=7147748&amp;Result=3","7147748")</f>
        <v>0</v>
      </c>
      <c r="B6292" t="s">
        <v>2209</v>
      </c>
      <c r="C6292" t="s">
        <v>9710</v>
      </c>
      <c r="D6292" t="s">
        <v>17959</v>
      </c>
      <c r="E6292" t="s">
        <v>23591</v>
      </c>
      <c r="F6292" t="s">
        <v>30900</v>
      </c>
      <c r="G6292" t="s">
        <v>30907</v>
      </c>
      <c r="H6292" t="s">
        <v>30916</v>
      </c>
      <c r="I6292" t="s">
        <v>9385</v>
      </c>
      <c r="J6292" t="s">
        <v>35118</v>
      </c>
      <c r="K6292" t="s">
        <v>40286</v>
      </c>
      <c r="M6292" t="s">
        <v>42917</v>
      </c>
      <c r="N6292" t="s">
        <v>44759</v>
      </c>
      <c r="O6292" t="s">
        <v>44760</v>
      </c>
      <c r="P6292">
        <v>0</v>
      </c>
      <c r="Q6292">
        <v>5</v>
      </c>
      <c r="R6292" t="s">
        <v>44766</v>
      </c>
      <c r="S6292" t="s">
        <v>44902</v>
      </c>
      <c r="T6292" t="s">
        <v>46515</v>
      </c>
      <c r="U6292" t="s">
        <v>52214</v>
      </c>
      <c r="W6292" t="s">
        <v>42917</v>
      </c>
      <c r="X6292" t="s">
        <v>44767</v>
      </c>
    </row>
    <row r="6293" spans="1:24">
      <c r="A6293">
        <f>HYPERLINK("https://www.philgeps.gov.ph/GEPSNONPILOT/Tender/SplashBidNoticeAbstractUI.aspx?menuIndex=3&amp;refID=7147744&amp;Result=3","7147744")</f>
        <v>0</v>
      </c>
      <c r="B6293" t="s">
        <v>2082</v>
      </c>
      <c r="C6293" t="s">
        <v>9711</v>
      </c>
      <c r="D6293" t="s">
        <v>18009</v>
      </c>
      <c r="E6293" t="s">
        <v>23592</v>
      </c>
      <c r="F6293" t="s">
        <v>30900</v>
      </c>
      <c r="G6293" t="s">
        <v>30907</v>
      </c>
      <c r="H6293" t="s">
        <v>30915</v>
      </c>
      <c r="I6293" t="s">
        <v>30919</v>
      </c>
      <c r="J6293" t="s">
        <v>31341</v>
      </c>
      <c r="K6293" t="s">
        <v>40433</v>
      </c>
      <c r="M6293" t="s">
        <v>42781</v>
      </c>
      <c r="N6293" t="s">
        <v>44759</v>
      </c>
      <c r="O6293" t="s">
        <v>44760</v>
      </c>
      <c r="P6293">
        <v>0</v>
      </c>
      <c r="Q6293">
        <v>0</v>
      </c>
      <c r="R6293" t="s">
        <v>44766</v>
      </c>
      <c r="S6293" t="s">
        <v>44902</v>
      </c>
      <c r="T6293" t="s">
        <v>46750</v>
      </c>
      <c r="U6293" t="s">
        <v>52215</v>
      </c>
      <c r="W6293" t="s">
        <v>42781</v>
      </c>
      <c r="X6293" t="s">
        <v>44767</v>
      </c>
    </row>
    <row r="6294" spans="1:24">
      <c r="A6294">
        <f>HYPERLINK("https://www.philgeps.gov.ph/GEPSNONPILOT/Tender/SplashBidNoticeAbstractUI.aspx?menuIndex=3&amp;refID=7147743&amp;Result=3","7147743")</f>
        <v>0</v>
      </c>
      <c r="B6294" t="s">
        <v>2238</v>
      </c>
      <c r="C6294" t="s">
        <v>9712</v>
      </c>
      <c r="D6294" t="s">
        <v>18006</v>
      </c>
      <c r="E6294" t="s">
        <v>23593</v>
      </c>
      <c r="F6294" t="s">
        <v>30900</v>
      </c>
      <c r="G6294" t="s">
        <v>30907</v>
      </c>
      <c r="H6294" t="s">
        <v>30916</v>
      </c>
      <c r="I6294" t="s">
        <v>30941</v>
      </c>
      <c r="J6294" t="s">
        <v>31096</v>
      </c>
      <c r="K6294" t="s">
        <v>40287</v>
      </c>
      <c r="M6294" t="s">
        <v>42948</v>
      </c>
      <c r="N6294" t="s">
        <v>44759</v>
      </c>
      <c r="O6294" t="s">
        <v>44760</v>
      </c>
      <c r="P6294">
        <v>0</v>
      </c>
      <c r="Q6294">
        <v>0</v>
      </c>
      <c r="R6294" t="s">
        <v>44766</v>
      </c>
      <c r="S6294" t="s">
        <v>44902</v>
      </c>
      <c r="T6294" t="s">
        <v>46483</v>
      </c>
      <c r="U6294" t="s">
        <v>52216</v>
      </c>
      <c r="W6294" t="s">
        <v>42948</v>
      </c>
      <c r="X6294" t="s">
        <v>44767</v>
      </c>
    </row>
    <row r="6295" spans="1:24">
      <c r="A6295">
        <f>HYPERLINK("https://www.philgeps.gov.ph/GEPSNONPILOT/Tender/SplashBidNoticeAbstractUI.aspx?menuIndex=3&amp;refID=7147742&amp;Result=3","7147742")</f>
        <v>0</v>
      </c>
      <c r="B6295" t="s">
        <v>255</v>
      </c>
      <c r="C6295" t="s">
        <v>9713</v>
      </c>
      <c r="D6295" t="s">
        <v>17980</v>
      </c>
      <c r="E6295" t="s">
        <v>23594</v>
      </c>
      <c r="F6295" t="s">
        <v>30900</v>
      </c>
      <c r="G6295" t="s">
        <v>30907</v>
      </c>
      <c r="H6295" t="s">
        <v>30916</v>
      </c>
      <c r="I6295" t="s">
        <v>30943</v>
      </c>
      <c r="J6295" t="s">
        <v>35119</v>
      </c>
      <c r="K6295" t="s">
        <v>40293</v>
      </c>
      <c r="M6295" t="s">
        <v>40802</v>
      </c>
      <c r="N6295" t="s">
        <v>44759</v>
      </c>
      <c r="O6295" t="s">
        <v>44760</v>
      </c>
      <c r="P6295">
        <v>0</v>
      </c>
      <c r="Q6295">
        <v>1</v>
      </c>
      <c r="R6295" t="s">
        <v>44766</v>
      </c>
      <c r="S6295" t="s">
        <v>44902</v>
      </c>
      <c r="T6295" t="s">
        <v>46350</v>
      </c>
      <c r="U6295" t="s">
        <v>52217</v>
      </c>
      <c r="W6295" t="s">
        <v>40802</v>
      </c>
      <c r="X6295" t="s">
        <v>44767</v>
      </c>
    </row>
    <row r="6296" spans="1:24">
      <c r="A6296">
        <f>HYPERLINK("https://www.philgeps.gov.ph/GEPSNONPILOT/Tender/SplashBidNoticeAbstractUI.aspx?menuIndex=3&amp;refID=7147736&amp;Result=3","7147736")</f>
        <v>0</v>
      </c>
      <c r="B6296" t="s">
        <v>1633</v>
      </c>
      <c r="C6296" t="s">
        <v>9714</v>
      </c>
      <c r="D6296" t="s">
        <v>17957</v>
      </c>
      <c r="E6296" t="s">
        <v>23595</v>
      </c>
      <c r="F6296" t="s">
        <v>30900</v>
      </c>
      <c r="G6296" t="s">
        <v>30908</v>
      </c>
      <c r="H6296" t="s">
        <v>30916</v>
      </c>
      <c r="I6296" t="s">
        <v>30957</v>
      </c>
      <c r="J6296" t="s">
        <v>31341</v>
      </c>
      <c r="K6296" t="s">
        <v>40286</v>
      </c>
      <c r="M6296" t="s">
        <v>42287</v>
      </c>
      <c r="N6296" t="s">
        <v>44759</v>
      </c>
      <c r="O6296" t="s">
        <v>44760</v>
      </c>
      <c r="P6296">
        <v>0</v>
      </c>
      <c r="Q6296">
        <v>0</v>
      </c>
      <c r="R6296" t="s">
        <v>44766</v>
      </c>
      <c r="S6296" t="s">
        <v>44902</v>
      </c>
      <c r="T6296" t="s">
        <v>46391</v>
      </c>
      <c r="U6296" t="s">
        <v>52218</v>
      </c>
      <c r="W6296" t="s">
        <v>42287</v>
      </c>
      <c r="X6296" t="s">
        <v>44767</v>
      </c>
    </row>
    <row r="6297" spans="1:24">
      <c r="A6297">
        <f>HYPERLINK("https://www.philgeps.gov.ph/GEPSNONPILOT/Tender/SplashBidNoticeAbstractUI.aspx?menuIndex=3&amp;refID=7147792&amp;Result=3","7147792")</f>
        <v>0</v>
      </c>
      <c r="B6297" t="s">
        <v>2239</v>
      </c>
      <c r="C6297" t="s">
        <v>9715</v>
      </c>
      <c r="D6297" t="s">
        <v>17976</v>
      </c>
      <c r="E6297" t="s">
        <v>23596</v>
      </c>
      <c r="F6297" t="s">
        <v>30900</v>
      </c>
      <c r="G6297" t="s">
        <v>30908</v>
      </c>
      <c r="H6297" t="s">
        <v>30916</v>
      </c>
      <c r="I6297" t="s">
        <v>30924</v>
      </c>
      <c r="J6297" t="s">
        <v>31043</v>
      </c>
      <c r="K6297" t="s">
        <v>40283</v>
      </c>
      <c r="M6297" t="s">
        <v>42949</v>
      </c>
      <c r="N6297" t="s">
        <v>44759</v>
      </c>
      <c r="O6297" t="s">
        <v>44760</v>
      </c>
      <c r="P6297">
        <v>0</v>
      </c>
      <c r="Q6297">
        <v>2</v>
      </c>
      <c r="R6297" t="s">
        <v>44766</v>
      </c>
      <c r="S6297" t="s">
        <v>44902</v>
      </c>
      <c r="T6297" t="s">
        <v>46704</v>
      </c>
      <c r="U6297" t="s">
        <v>52219</v>
      </c>
      <c r="V6297" t="s">
        <v>59809</v>
      </c>
      <c r="W6297" t="s">
        <v>42949</v>
      </c>
      <c r="X6297" t="s">
        <v>44767</v>
      </c>
    </row>
    <row r="6298" spans="1:24">
      <c r="A6298">
        <f>HYPERLINK("https://www.philgeps.gov.ph/GEPSNONPILOT/Tender/SplashBidNoticeAbstractUI.aspx?menuIndex=3&amp;refID=7147750&amp;Result=3","7147750")</f>
        <v>0</v>
      </c>
      <c r="B6298" t="s">
        <v>937</v>
      </c>
      <c r="C6298" t="s">
        <v>9716</v>
      </c>
      <c r="D6298" t="s">
        <v>17998</v>
      </c>
      <c r="E6298" t="s">
        <v>23597</v>
      </c>
      <c r="F6298" t="s">
        <v>30900</v>
      </c>
      <c r="G6298" t="s">
        <v>30908</v>
      </c>
      <c r="H6298" t="s">
        <v>30916</v>
      </c>
      <c r="I6298" t="s">
        <v>8044</v>
      </c>
      <c r="J6298" t="s">
        <v>35120</v>
      </c>
      <c r="K6298" t="s">
        <v>40289</v>
      </c>
      <c r="M6298" t="s">
        <v>41520</v>
      </c>
      <c r="N6298" t="s">
        <v>44759</v>
      </c>
      <c r="O6298" t="s">
        <v>44760</v>
      </c>
      <c r="P6298">
        <v>0</v>
      </c>
      <c r="Q6298">
        <v>0</v>
      </c>
      <c r="R6298" t="s">
        <v>44766</v>
      </c>
      <c r="S6298" t="s">
        <v>44902</v>
      </c>
      <c r="T6298" t="s">
        <v>46387</v>
      </c>
      <c r="U6298" t="s">
        <v>48643</v>
      </c>
      <c r="W6298" t="s">
        <v>41520</v>
      </c>
      <c r="X6298" t="s">
        <v>44767</v>
      </c>
    </row>
    <row r="6299" spans="1:24">
      <c r="A6299">
        <f>HYPERLINK("https://www.philgeps.gov.ph/GEPSNONPILOT/Tender/SplashBidNoticeAbstractUI.aspx?menuIndex=3&amp;refID=7147735&amp;Result=3","7147735")</f>
        <v>0</v>
      </c>
      <c r="B6299" t="s">
        <v>2209</v>
      </c>
      <c r="C6299" t="s">
        <v>9717</v>
      </c>
      <c r="D6299" t="s">
        <v>17959</v>
      </c>
      <c r="E6299" t="s">
        <v>9717</v>
      </c>
      <c r="F6299" t="s">
        <v>30900</v>
      </c>
      <c r="G6299" t="s">
        <v>30907</v>
      </c>
      <c r="H6299" t="s">
        <v>30916</v>
      </c>
      <c r="I6299" t="s">
        <v>10847</v>
      </c>
      <c r="J6299" t="s">
        <v>31243</v>
      </c>
      <c r="K6299" t="s">
        <v>40286</v>
      </c>
      <c r="M6299" t="s">
        <v>42917</v>
      </c>
      <c r="N6299" t="s">
        <v>44759</v>
      </c>
      <c r="O6299" t="s">
        <v>44760</v>
      </c>
      <c r="P6299">
        <v>0</v>
      </c>
      <c r="Q6299">
        <v>0</v>
      </c>
      <c r="R6299" t="s">
        <v>44766</v>
      </c>
      <c r="S6299" t="s">
        <v>44902</v>
      </c>
      <c r="T6299" t="s">
        <v>46515</v>
      </c>
      <c r="U6299" t="s">
        <v>48718</v>
      </c>
      <c r="W6299" t="s">
        <v>42917</v>
      </c>
      <c r="X6299" t="s">
        <v>44767</v>
      </c>
    </row>
    <row r="6300" spans="1:24">
      <c r="A6300">
        <f>HYPERLINK("https://www.philgeps.gov.ph/GEPSNONPILOT/Tender/SplashBidNoticeAbstractUI.aspx?menuIndex=3&amp;refID=7147782&amp;Result=3","7147782")</f>
        <v>0</v>
      </c>
      <c r="B6300" t="s">
        <v>2195</v>
      </c>
      <c r="C6300" t="s">
        <v>9718</v>
      </c>
      <c r="D6300" t="s">
        <v>17970</v>
      </c>
      <c r="E6300" t="s">
        <v>23598</v>
      </c>
      <c r="F6300" t="s">
        <v>30900</v>
      </c>
      <c r="G6300" t="s">
        <v>30907</v>
      </c>
      <c r="H6300" t="s">
        <v>30915</v>
      </c>
      <c r="I6300" t="s">
        <v>30919</v>
      </c>
      <c r="J6300" t="s">
        <v>35121</v>
      </c>
      <c r="K6300" t="s">
        <v>40292</v>
      </c>
      <c r="M6300" t="s">
        <v>42902</v>
      </c>
      <c r="N6300" t="s">
        <v>44759</v>
      </c>
      <c r="O6300" t="s">
        <v>44760</v>
      </c>
      <c r="P6300">
        <v>0</v>
      </c>
      <c r="Q6300">
        <v>10</v>
      </c>
      <c r="R6300" t="s">
        <v>44766</v>
      </c>
      <c r="S6300" t="s">
        <v>44902</v>
      </c>
      <c r="T6300" t="s">
        <v>46465</v>
      </c>
      <c r="U6300" t="s">
        <v>52220</v>
      </c>
      <c r="W6300" t="s">
        <v>42902</v>
      </c>
      <c r="X6300" t="s">
        <v>44767</v>
      </c>
    </row>
    <row r="6301" spans="1:24">
      <c r="A6301">
        <f>HYPERLINK("https://www.philgeps.gov.ph/GEPSNONPILOT/Tender/SplashBidNoticeAbstractUI.aspx?menuIndex=3&amp;refID=7147781&amp;Result=3","7147781")</f>
        <v>0</v>
      </c>
      <c r="B6301" t="s">
        <v>1268</v>
      </c>
      <c r="C6301" t="s">
        <v>9719</v>
      </c>
      <c r="D6301" t="s">
        <v>17990</v>
      </c>
      <c r="E6301" t="s">
        <v>23599</v>
      </c>
      <c r="F6301" t="s">
        <v>30900</v>
      </c>
      <c r="G6301" t="s">
        <v>30907</v>
      </c>
      <c r="H6301" t="s">
        <v>30916</v>
      </c>
      <c r="I6301" t="s">
        <v>31026</v>
      </c>
      <c r="J6301" t="s">
        <v>35122</v>
      </c>
      <c r="K6301" t="s">
        <v>40341</v>
      </c>
      <c r="M6301" t="s">
        <v>41883</v>
      </c>
      <c r="N6301" t="s">
        <v>44759</v>
      </c>
      <c r="O6301" t="s">
        <v>44760</v>
      </c>
      <c r="P6301">
        <v>0</v>
      </c>
      <c r="Q6301">
        <v>8</v>
      </c>
      <c r="R6301" t="s">
        <v>44766</v>
      </c>
      <c r="S6301" t="s">
        <v>44902</v>
      </c>
      <c r="T6301" t="s">
        <v>46368</v>
      </c>
      <c r="U6301" t="s">
        <v>52221</v>
      </c>
      <c r="W6301" t="s">
        <v>41883</v>
      </c>
      <c r="X6301" t="s">
        <v>44767</v>
      </c>
    </row>
    <row r="6302" spans="1:24">
      <c r="A6302">
        <f>HYPERLINK("https://www.philgeps.gov.ph/GEPSNONPILOT/Tender/SplashBidNoticeAbstractUI.aspx?menuIndex=3&amp;refID=7147778&amp;Result=3","7147778")</f>
        <v>0</v>
      </c>
      <c r="B6302" t="s">
        <v>2240</v>
      </c>
      <c r="C6302" t="s">
        <v>9720</v>
      </c>
      <c r="D6302" t="s">
        <v>17957</v>
      </c>
      <c r="E6302" t="s">
        <v>19390</v>
      </c>
      <c r="F6302" t="s">
        <v>30900</v>
      </c>
      <c r="G6302" t="s">
        <v>30908</v>
      </c>
      <c r="H6302" t="s">
        <v>30916</v>
      </c>
      <c r="I6302" t="s">
        <v>5830</v>
      </c>
      <c r="J6302" t="s">
        <v>35123</v>
      </c>
      <c r="K6302" t="s">
        <v>40289</v>
      </c>
      <c r="M6302" t="s">
        <v>42950</v>
      </c>
      <c r="N6302" t="s">
        <v>44759</v>
      </c>
      <c r="O6302" t="s">
        <v>44760</v>
      </c>
      <c r="P6302">
        <v>0</v>
      </c>
      <c r="Q6302">
        <v>10</v>
      </c>
      <c r="R6302" t="s">
        <v>44766</v>
      </c>
      <c r="S6302" t="s">
        <v>44902</v>
      </c>
      <c r="T6302" t="s">
        <v>46751</v>
      </c>
      <c r="U6302" t="s">
        <v>52222</v>
      </c>
      <c r="W6302" t="s">
        <v>42950</v>
      </c>
      <c r="X6302" t="s">
        <v>44767</v>
      </c>
    </row>
    <row r="6303" spans="1:24">
      <c r="A6303">
        <f>HYPERLINK("https://www.philgeps.gov.ph/GEPSNONPILOT/Tender/SplashBidNoticeAbstractUI.aspx?menuIndex=3&amp;refID=7147791&amp;Result=3","7147791")</f>
        <v>0</v>
      </c>
      <c r="B6303" t="s">
        <v>937</v>
      </c>
      <c r="C6303" t="s">
        <v>9721</v>
      </c>
      <c r="D6303" t="s">
        <v>17998</v>
      </c>
      <c r="E6303" t="s">
        <v>23600</v>
      </c>
      <c r="F6303" t="s">
        <v>30900</v>
      </c>
      <c r="G6303" t="s">
        <v>30908</v>
      </c>
      <c r="H6303" t="s">
        <v>30916</v>
      </c>
      <c r="I6303" t="s">
        <v>30923</v>
      </c>
      <c r="J6303" t="s">
        <v>31247</v>
      </c>
      <c r="K6303" t="s">
        <v>40289</v>
      </c>
      <c r="M6303" t="s">
        <v>41520</v>
      </c>
      <c r="N6303" t="s">
        <v>44759</v>
      </c>
      <c r="O6303" t="s">
        <v>44760</v>
      </c>
      <c r="P6303">
        <v>0</v>
      </c>
      <c r="Q6303">
        <v>0</v>
      </c>
      <c r="R6303" t="s">
        <v>44766</v>
      </c>
      <c r="S6303" t="s">
        <v>44902</v>
      </c>
      <c r="T6303" t="s">
        <v>46387</v>
      </c>
      <c r="U6303" t="s">
        <v>52223</v>
      </c>
      <c r="W6303" t="s">
        <v>41520</v>
      </c>
      <c r="X6303" t="s">
        <v>44767</v>
      </c>
    </row>
    <row r="6304" spans="1:24">
      <c r="A6304">
        <f>HYPERLINK("https://www.philgeps.gov.ph/GEPSNONPILOT/Tender/SplashBidNoticeAbstractUI.aspx?menuIndex=3&amp;refID=7147803&amp;Result=3","7147803")</f>
        <v>0</v>
      </c>
      <c r="B6304" t="s">
        <v>937</v>
      </c>
      <c r="C6304" t="s">
        <v>9722</v>
      </c>
      <c r="D6304" t="s">
        <v>17998</v>
      </c>
      <c r="E6304" t="s">
        <v>23601</v>
      </c>
      <c r="F6304" t="s">
        <v>30900</v>
      </c>
      <c r="G6304" t="s">
        <v>30908</v>
      </c>
      <c r="H6304" t="s">
        <v>30916</v>
      </c>
      <c r="I6304" t="s">
        <v>4545</v>
      </c>
      <c r="J6304" t="s">
        <v>35124</v>
      </c>
      <c r="K6304" t="s">
        <v>40289</v>
      </c>
      <c r="M6304" t="s">
        <v>41520</v>
      </c>
      <c r="N6304" t="s">
        <v>44759</v>
      </c>
      <c r="O6304" t="s">
        <v>44760</v>
      </c>
      <c r="P6304">
        <v>0</v>
      </c>
      <c r="Q6304">
        <v>1</v>
      </c>
      <c r="R6304" t="s">
        <v>44766</v>
      </c>
      <c r="S6304" t="s">
        <v>44902</v>
      </c>
      <c r="T6304" t="s">
        <v>46387</v>
      </c>
      <c r="U6304" t="s">
        <v>52223</v>
      </c>
      <c r="W6304" t="s">
        <v>41520</v>
      </c>
      <c r="X6304" t="s">
        <v>44767</v>
      </c>
    </row>
    <row r="6305" spans="1:24">
      <c r="A6305">
        <f>HYPERLINK("https://www.philgeps.gov.ph/GEPSNONPILOT/Tender/SplashBidNoticeAbstractUI.aspx?menuIndex=3&amp;refID=7147760&amp;Result=3","7147760")</f>
        <v>0</v>
      </c>
      <c r="B6305" t="s">
        <v>2241</v>
      </c>
      <c r="C6305" t="s">
        <v>9723</v>
      </c>
      <c r="D6305" t="s">
        <v>17997</v>
      </c>
      <c r="E6305" t="s">
        <v>23602</v>
      </c>
      <c r="F6305" t="s">
        <v>30900</v>
      </c>
      <c r="G6305" t="s">
        <v>30907</v>
      </c>
      <c r="H6305" t="s">
        <v>30915</v>
      </c>
      <c r="I6305" t="s">
        <v>30919</v>
      </c>
      <c r="J6305" t="s">
        <v>35125</v>
      </c>
      <c r="K6305" t="s">
        <v>40391</v>
      </c>
      <c r="M6305" t="s">
        <v>42951</v>
      </c>
      <c r="N6305" t="s">
        <v>44759</v>
      </c>
      <c r="O6305" t="s">
        <v>44760</v>
      </c>
      <c r="P6305">
        <v>0</v>
      </c>
      <c r="Q6305">
        <v>0</v>
      </c>
      <c r="R6305" t="s">
        <v>44766</v>
      </c>
      <c r="S6305" t="s">
        <v>44902</v>
      </c>
      <c r="T6305" t="s">
        <v>46455</v>
      </c>
      <c r="U6305" t="s">
        <v>52224</v>
      </c>
      <c r="V6305" t="s">
        <v>59810</v>
      </c>
      <c r="W6305" t="s">
        <v>42951</v>
      </c>
      <c r="X6305" t="s">
        <v>44767</v>
      </c>
    </row>
    <row r="6306" spans="1:24">
      <c r="A6306">
        <f>HYPERLINK("https://www.philgeps.gov.ph/GEPSNONPILOT/Tender/SplashBidNoticeAbstractUI.aspx?menuIndex=3&amp;refID=7147802&amp;Result=3","7147802")</f>
        <v>0</v>
      </c>
      <c r="B6306" t="s">
        <v>179</v>
      </c>
      <c r="C6306" t="s">
        <v>9724</v>
      </c>
      <c r="D6306" t="s">
        <v>17953</v>
      </c>
      <c r="E6306" t="s">
        <v>23501</v>
      </c>
      <c r="F6306" t="s">
        <v>30900</v>
      </c>
      <c r="G6306" t="s">
        <v>30907</v>
      </c>
      <c r="H6306" t="s">
        <v>30915</v>
      </c>
      <c r="I6306" t="s">
        <v>30919</v>
      </c>
      <c r="J6306" t="s">
        <v>35126</v>
      </c>
      <c r="K6306" t="s">
        <v>40304</v>
      </c>
      <c r="M6306" t="s">
        <v>40726</v>
      </c>
      <c r="N6306" t="s">
        <v>44759</v>
      </c>
      <c r="O6306" t="s">
        <v>44760</v>
      </c>
      <c r="P6306">
        <v>0</v>
      </c>
      <c r="Q6306">
        <v>0</v>
      </c>
      <c r="R6306" t="s">
        <v>44766</v>
      </c>
      <c r="S6306" t="s">
        <v>44902</v>
      </c>
      <c r="T6306" t="s">
        <v>46428</v>
      </c>
      <c r="U6306" t="s">
        <v>52225</v>
      </c>
      <c r="W6306" t="s">
        <v>40726</v>
      </c>
      <c r="X6306" t="s">
        <v>44767</v>
      </c>
    </row>
    <row r="6307" spans="1:24">
      <c r="A6307">
        <f>HYPERLINK("https://www.philgeps.gov.ph/GEPSNONPILOT/Tender/SplashBidNoticeAbstractUI.aspx?menuIndex=3&amp;refID=7147799&amp;Result=3","7147799")</f>
        <v>0</v>
      </c>
      <c r="B6307" t="s">
        <v>2242</v>
      </c>
      <c r="C6307" t="s">
        <v>9725</v>
      </c>
      <c r="D6307" t="s">
        <v>18017</v>
      </c>
      <c r="E6307" t="s">
        <v>23603</v>
      </c>
      <c r="F6307" t="s">
        <v>30900</v>
      </c>
      <c r="G6307" t="s">
        <v>30907</v>
      </c>
      <c r="H6307" t="s">
        <v>30916</v>
      </c>
      <c r="I6307" t="s">
        <v>30918</v>
      </c>
      <c r="J6307" t="s">
        <v>35127</v>
      </c>
      <c r="K6307" t="s">
        <v>40292</v>
      </c>
      <c r="M6307" t="s">
        <v>42952</v>
      </c>
      <c r="N6307" t="s">
        <v>44759</v>
      </c>
      <c r="O6307" t="s">
        <v>44760</v>
      </c>
      <c r="P6307">
        <v>0</v>
      </c>
      <c r="Q6307">
        <v>40</v>
      </c>
      <c r="R6307" t="s">
        <v>44766</v>
      </c>
      <c r="S6307" t="s">
        <v>44902</v>
      </c>
      <c r="T6307" t="s">
        <v>46450</v>
      </c>
      <c r="U6307" t="s">
        <v>52226</v>
      </c>
      <c r="W6307" t="s">
        <v>42952</v>
      </c>
      <c r="X6307" t="s">
        <v>44767</v>
      </c>
    </row>
    <row r="6308" spans="1:24">
      <c r="A6308">
        <f>HYPERLINK("https://www.philgeps.gov.ph/GEPSNONPILOT/Tender/SplashBidNoticeAbstractUI.aspx?menuIndex=3&amp;refID=7147794&amp;Result=3","7147794")</f>
        <v>0</v>
      </c>
      <c r="B6308" t="s">
        <v>2228</v>
      </c>
      <c r="C6308" t="s">
        <v>9667</v>
      </c>
      <c r="E6308" t="s">
        <v>23604</v>
      </c>
      <c r="F6308" t="s">
        <v>30900</v>
      </c>
      <c r="G6308" t="s">
        <v>30908</v>
      </c>
      <c r="H6308" t="s">
        <v>30915</v>
      </c>
      <c r="I6308" t="s">
        <v>8123</v>
      </c>
      <c r="J6308" t="s">
        <v>35128</v>
      </c>
      <c r="K6308" t="s">
        <v>40289</v>
      </c>
      <c r="M6308" t="s">
        <v>42938</v>
      </c>
      <c r="N6308" t="s">
        <v>44759</v>
      </c>
      <c r="O6308" t="s">
        <v>44760</v>
      </c>
      <c r="P6308">
        <v>0</v>
      </c>
      <c r="Q6308">
        <v>1</v>
      </c>
      <c r="R6308" t="s">
        <v>44766</v>
      </c>
      <c r="S6308" t="s">
        <v>44902</v>
      </c>
      <c r="T6308" t="s">
        <v>46414</v>
      </c>
      <c r="U6308" t="s">
        <v>52183</v>
      </c>
      <c r="W6308" t="s">
        <v>42938</v>
      </c>
      <c r="X6308" t="s">
        <v>44767</v>
      </c>
    </row>
    <row r="6309" spans="1:24">
      <c r="A6309">
        <f>HYPERLINK("https://www.philgeps.gov.ph/GEPSNONPILOT/Tender/SplashBidNoticeAbstractUI.aspx?menuIndex=3&amp;refID=7147732&amp;Result=3","7147732")</f>
        <v>0</v>
      </c>
      <c r="B6309" t="s">
        <v>2243</v>
      </c>
      <c r="C6309" t="s">
        <v>9726</v>
      </c>
      <c r="D6309" t="s">
        <v>17980</v>
      </c>
      <c r="E6309" t="s">
        <v>23605</v>
      </c>
      <c r="F6309" t="s">
        <v>30900</v>
      </c>
      <c r="G6309" t="s">
        <v>30908</v>
      </c>
      <c r="H6309" t="s">
        <v>30915</v>
      </c>
      <c r="I6309" t="s">
        <v>30919</v>
      </c>
      <c r="J6309" t="s">
        <v>35129</v>
      </c>
      <c r="K6309" t="s">
        <v>40293</v>
      </c>
      <c r="M6309" t="s">
        <v>42953</v>
      </c>
      <c r="N6309" t="s">
        <v>44759</v>
      </c>
      <c r="O6309" t="s">
        <v>44760</v>
      </c>
      <c r="Q6309">
        <v>1</v>
      </c>
      <c r="R6309" t="s">
        <v>44766</v>
      </c>
      <c r="S6309" t="s">
        <v>44949</v>
      </c>
      <c r="T6309" t="s">
        <v>46391</v>
      </c>
      <c r="U6309" t="s">
        <v>52227</v>
      </c>
      <c r="W6309" t="s">
        <v>42953</v>
      </c>
      <c r="X6309" t="s">
        <v>44767</v>
      </c>
    </row>
    <row r="6310" spans="1:24">
      <c r="A6310">
        <f>HYPERLINK("https://www.philgeps.gov.ph/GEPSNONPILOT/Tender/SplashBidNoticeAbstractUI.aspx?menuIndex=3&amp;refID=7147776&amp;Result=3","7147776")</f>
        <v>0</v>
      </c>
      <c r="B6310" t="s">
        <v>179</v>
      </c>
      <c r="C6310" t="s">
        <v>9727</v>
      </c>
      <c r="D6310" t="s">
        <v>17953</v>
      </c>
      <c r="E6310" t="s">
        <v>23483</v>
      </c>
      <c r="F6310" t="s">
        <v>30900</v>
      </c>
      <c r="G6310" t="s">
        <v>30907</v>
      </c>
      <c r="H6310" t="s">
        <v>30915</v>
      </c>
      <c r="I6310" t="s">
        <v>30919</v>
      </c>
      <c r="J6310" t="s">
        <v>35130</v>
      </c>
      <c r="K6310" t="s">
        <v>40304</v>
      </c>
      <c r="M6310" t="s">
        <v>40726</v>
      </c>
      <c r="N6310" t="s">
        <v>44759</v>
      </c>
      <c r="O6310" t="s">
        <v>44760</v>
      </c>
      <c r="P6310">
        <v>0</v>
      </c>
      <c r="Q6310">
        <v>0</v>
      </c>
      <c r="R6310" t="s">
        <v>44766</v>
      </c>
      <c r="S6310" t="s">
        <v>44902</v>
      </c>
      <c r="T6310" t="s">
        <v>46428</v>
      </c>
      <c r="U6310" t="s">
        <v>52228</v>
      </c>
      <c r="W6310" t="s">
        <v>40726</v>
      </c>
      <c r="X6310" t="s">
        <v>44767</v>
      </c>
    </row>
    <row r="6311" spans="1:24">
      <c r="A6311">
        <f>HYPERLINK("https://www.philgeps.gov.ph/GEPSNONPILOT/Tender/SplashBidNoticeAbstractUI.aspx?menuIndex=3&amp;refID=7147779&amp;Result=3","7147779")</f>
        <v>0</v>
      </c>
      <c r="B6311" t="s">
        <v>209</v>
      </c>
      <c r="C6311" t="s">
        <v>9728</v>
      </c>
      <c r="D6311" t="s">
        <v>17985</v>
      </c>
      <c r="E6311" t="s">
        <v>23606</v>
      </c>
      <c r="F6311" t="s">
        <v>30900</v>
      </c>
      <c r="G6311" t="s">
        <v>30907</v>
      </c>
      <c r="H6311" t="s">
        <v>30916</v>
      </c>
      <c r="I6311" t="s">
        <v>4050</v>
      </c>
      <c r="J6311" t="s">
        <v>31049</v>
      </c>
      <c r="K6311" t="s">
        <v>40291</v>
      </c>
      <c r="M6311" t="s">
        <v>40756</v>
      </c>
      <c r="N6311" t="s">
        <v>44759</v>
      </c>
      <c r="O6311" t="s">
        <v>44760</v>
      </c>
      <c r="P6311">
        <v>0</v>
      </c>
      <c r="Q6311">
        <v>2</v>
      </c>
      <c r="R6311" t="s">
        <v>44766</v>
      </c>
      <c r="S6311" t="s">
        <v>44902</v>
      </c>
      <c r="T6311" t="s">
        <v>46495</v>
      </c>
      <c r="U6311" t="s">
        <v>52229</v>
      </c>
      <c r="W6311" t="s">
        <v>40756</v>
      </c>
      <c r="X6311" t="s">
        <v>44767</v>
      </c>
    </row>
    <row r="6312" spans="1:24">
      <c r="A6312">
        <f>HYPERLINK("https://www.philgeps.gov.ph/GEPSNONPILOT/Tender/SplashBidNoticeAbstractUI.aspx?menuIndex=3&amp;refID=7147800&amp;Result=3","7147800")</f>
        <v>0</v>
      </c>
      <c r="B6312" t="s">
        <v>2244</v>
      </c>
      <c r="C6312" t="s">
        <v>9729</v>
      </c>
      <c r="D6312" t="s">
        <v>17954</v>
      </c>
      <c r="E6312" t="s">
        <v>21866</v>
      </c>
      <c r="F6312" t="s">
        <v>30900</v>
      </c>
      <c r="G6312" t="s">
        <v>30907</v>
      </c>
      <c r="H6312" t="s">
        <v>30915</v>
      </c>
      <c r="I6312" t="s">
        <v>30919</v>
      </c>
      <c r="J6312" t="s">
        <v>35131</v>
      </c>
      <c r="K6312" t="s">
        <v>40280</v>
      </c>
      <c r="M6312" t="s">
        <v>42954</v>
      </c>
      <c r="N6312" t="s">
        <v>44759</v>
      </c>
      <c r="O6312" t="s">
        <v>44760</v>
      </c>
      <c r="P6312">
        <v>0</v>
      </c>
      <c r="Q6312">
        <v>0</v>
      </c>
      <c r="R6312" t="s">
        <v>44766</v>
      </c>
      <c r="S6312" t="s">
        <v>44902</v>
      </c>
      <c r="T6312" t="s">
        <v>46689</v>
      </c>
      <c r="U6312" t="s">
        <v>52230</v>
      </c>
      <c r="W6312" t="s">
        <v>42954</v>
      </c>
      <c r="X6312" t="s">
        <v>44767</v>
      </c>
    </row>
    <row r="6313" spans="1:24">
      <c r="A6313">
        <f>HYPERLINK("https://www.philgeps.gov.ph/GEPSNONPILOT/Tender/SplashBidNoticeAbstractUI.aspx?menuIndex=3&amp;refID=7147767&amp;Result=3","7147767")</f>
        <v>0</v>
      </c>
      <c r="B6313" t="s">
        <v>1268</v>
      </c>
      <c r="C6313" t="s">
        <v>9730</v>
      </c>
      <c r="D6313" t="s">
        <v>17990</v>
      </c>
      <c r="E6313" t="s">
        <v>23607</v>
      </c>
      <c r="F6313" t="s">
        <v>30900</v>
      </c>
      <c r="G6313" t="s">
        <v>30907</v>
      </c>
      <c r="H6313" t="s">
        <v>30915</v>
      </c>
      <c r="I6313" t="s">
        <v>30919</v>
      </c>
      <c r="J6313" t="s">
        <v>35132</v>
      </c>
      <c r="K6313" t="s">
        <v>40341</v>
      </c>
      <c r="M6313" t="s">
        <v>41883</v>
      </c>
      <c r="N6313" t="s">
        <v>44759</v>
      </c>
      <c r="O6313" t="s">
        <v>44760</v>
      </c>
      <c r="P6313">
        <v>0</v>
      </c>
      <c r="Q6313">
        <v>2</v>
      </c>
      <c r="R6313" t="s">
        <v>44766</v>
      </c>
      <c r="S6313" t="s">
        <v>44902</v>
      </c>
      <c r="T6313" t="s">
        <v>46456</v>
      </c>
      <c r="U6313" t="s">
        <v>52231</v>
      </c>
      <c r="W6313" t="s">
        <v>41883</v>
      </c>
      <c r="X6313" t="s">
        <v>44767</v>
      </c>
    </row>
    <row r="6314" spans="1:24">
      <c r="A6314">
        <f>HYPERLINK("https://www.philgeps.gov.ph/GEPSNONPILOT/Tender/SplashBidNoticeAbstractUI.aspx?menuIndex=3&amp;refID=7147764&amp;Result=3","7147764")</f>
        <v>0</v>
      </c>
      <c r="B6314" t="s">
        <v>937</v>
      </c>
      <c r="C6314" t="s">
        <v>9731</v>
      </c>
      <c r="D6314" t="s">
        <v>17998</v>
      </c>
      <c r="E6314" t="s">
        <v>23608</v>
      </c>
      <c r="F6314" t="s">
        <v>30900</v>
      </c>
      <c r="G6314" t="s">
        <v>30908</v>
      </c>
      <c r="H6314" t="s">
        <v>30916</v>
      </c>
      <c r="I6314" t="s">
        <v>30927</v>
      </c>
      <c r="J6314" t="s">
        <v>35133</v>
      </c>
      <c r="K6314" t="s">
        <v>40289</v>
      </c>
      <c r="M6314" t="s">
        <v>41520</v>
      </c>
      <c r="N6314" t="s">
        <v>44759</v>
      </c>
      <c r="O6314" t="s">
        <v>44760</v>
      </c>
      <c r="P6314">
        <v>0</v>
      </c>
      <c r="Q6314">
        <v>0</v>
      </c>
      <c r="R6314" t="s">
        <v>44766</v>
      </c>
      <c r="S6314" t="s">
        <v>44902</v>
      </c>
      <c r="T6314" t="s">
        <v>46387</v>
      </c>
      <c r="U6314" t="s">
        <v>48643</v>
      </c>
      <c r="W6314" t="s">
        <v>41520</v>
      </c>
      <c r="X6314" t="s">
        <v>44767</v>
      </c>
    </row>
    <row r="6315" spans="1:24">
      <c r="A6315">
        <f>HYPERLINK("https://www.philgeps.gov.ph/GEPSNONPILOT/Tender/SplashBidNoticeAbstractUI.aspx?menuIndex=3&amp;refID=7147763&amp;Result=3","7147763")</f>
        <v>0</v>
      </c>
      <c r="B6315" t="s">
        <v>2240</v>
      </c>
      <c r="C6315" t="s">
        <v>9732</v>
      </c>
      <c r="D6315" t="s">
        <v>17983</v>
      </c>
      <c r="E6315" t="s">
        <v>23609</v>
      </c>
      <c r="F6315" t="s">
        <v>30900</v>
      </c>
      <c r="G6315" t="s">
        <v>30908</v>
      </c>
      <c r="H6315" t="s">
        <v>30916</v>
      </c>
      <c r="I6315" t="s">
        <v>10602</v>
      </c>
      <c r="J6315" t="s">
        <v>31116</v>
      </c>
      <c r="K6315" t="s">
        <v>40289</v>
      </c>
      <c r="M6315" t="s">
        <v>42950</v>
      </c>
      <c r="N6315" t="s">
        <v>44759</v>
      </c>
      <c r="O6315" t="s">
        <v>44760</v>
      </c>
      <c r="P6315">
        <v>0</v>
      </c>
      <c r="Q6315">
        <v>0</v>
      </c>
      <c r="R6315" t="s">
        <v>44766</v>
      </c>
      <c r="S6315" t="s">
        <v>44902</v>
      </c>
      <c r="T6315" t="s">
        <v>46751</v>
      </c>
      <c r="U6315" t="s">
        <v>52232</v>
      </c>
      <c r="W6315" t="s">
        <v>42950</v>
      </c>
      <c r="X6315" t="s">
        <v>44767</v>
      </c>
    </row>
    <row r="6316" spans="1:24">
      <c r="A6316">
        <f>HYPERLINK("https://www.philgeps.gov.ph/GEPSNONPILOT/Tender/SplashBidNoticeAbstractUI.aspx?menuIndex=3&amp;refID=7147728&amp;Result=3","7147728")</f>
        <v>0</v>
      </c>
      <c r="B6316" t="s">
        <v>937</v>
      </c>
      <c r="C6316" t="s">
        <v>9733</v>
      </c>
      <c r="D6316" t="s">
        <v>17998</v>
      </c>
      <c r="E6316" t="s">
        <v>23610</v>
      </c>
      <c r="F6316" t="s">
        <v>30900</v>
      </c>
      <c r="G6316" t="s">
        <v>30908</v>
      </c>
      <c r="H6316" t="s">
        <v>30916</v>
      </c>
      <c r="I6316" t="s">
        <v>4142</v>
      </c>
      <c r="J6316" t="s">
        <v>35134</v>
      </c>
      <c r="K6316" t="s">
        <v>40289</v>
      </c>
      <c r="M6316" t="s">
        <v>41520</v>
      </c>
      <c r="N6316" t="s">
        <v>44759</v>
      </c>
      <c r="O6316" t="s">
        <v>44760</v>
      </c>
      <c r="P6316">
        <v>0</v>
      </c>
      <c r="Q6316">
        <v>1</v>
      </c>
      <c r="R6316" t="s">
        <v>44766</v>
      </c>
      <c r="S6316" t="s">
        <v>44902</v>
      </c>
      <c r="T6316" t="s">
        <v>46387</v>
      </c>
      <c r="U6316" t="s">
        <v>48643</v>
      </c>
      <c r="W6316" t="s">
        <v>41520</v>
      </c>
      <c r="X6316" t="s">
        <v>44767</v>
      </c>
    </row>
    <row r="6317" spans="1:24">
      <c r="A6317">
        <f>HYPERLINK("https://www.philgeps.gov.ph/GEPSNONPILOT/Tender/SplashBidNoticeAbstractUI.aspx?menuIndex=3&amp;refID=7147761&amp;Result=3","7147761")</f>
        <v>0</v>
      </c>
      <c r="B6317" t="s">
        <v>2230</v>
      </c>
      <c r="C6317" t="s">
        <v>9734</v>
      </c>
      <c r="D6317" t="s">
        <v>18018</v>
      </c>
      <c r="E6317" t="s">
        <v>23611</v>
      </c>
      <c r="F6317" t="s">
        <v>30900</v>
      </c>
      <c r="G6317" t="s">
        <v>30907</v>
      </c>
      <c r="H6317" t="s">
        <v>30915</v>
      </c>
      <c r="I6317" t="s">
        <v>30919</v>
      </c>
      <c r="J6317" t="s">
        <v>35135</v>
      </c>
      <c r="K6317" t="s">
        <v>40304</v>
      </c>
      <c r="M6317" t="s">
        <v>42940</v>
      </c>
      <c r="N6317" t="s">
        <v>44759</v>
      </c>
      <c r="O6317" t="s">
        <v>44760</v>
      </c>
      <c r="P6317">
        <v>0</v>
      </c>
      <c r="Q6317">
        <v>0</v>
      </c>
      <c r="R6317" t="s">
        <v>44766</v>
      </c>
      <c r="S6317" t="s">
        <v>44902</v>
      </c>
      <c r="T6317" t="s">
        <v>46495</v>
      </c>
      <c r="U6317" t="s">
        <v>52233</v>
      </c>
      <c r="V6317" t="s">
        <v>59806</v>
      </c>
      <c r="W6317" t="s">
        <v>42940</v>
      </c>
      <c r="X6317" t="s">
        <v>44767</v>
      </c>
    </row>
    <row r="6318" spans="1:24">
      <c r="A6318">
        <f>HYPERLINK("https://www.philgeps.gov.ph/GEPSNONPILOT/Tender/SplashBidNoticeAbstractUI.aspx?menuIndex=3&amp;refID=7147837&amp;Result=3","7147837")</f>
        <v>0</v>
      </c>
      <c r="B6318" t="s">
        <v>255</v>
      </c>
      <c r="C6318" t="s">
        <v>9735</v>
      </c>
      <c r="D6318" t="s">
        <v>17980</v>
      </c>
      <c r="E6318" t="s">
        <v>23612</v>
      </c>
      <c r="F6318" t="s">
        <v>30900</v>
      </c>
      <c r="G6318" t="s">
        <v>30907</v>
      </c>
      <c r="H6318" t="s">
        <v>30916</v>
      </c>
      <c r="I6318" t="s">
        <v>4061</v>
      </c>
      <c r="J6318" t="s">
        <v>35136</v>
      </c>
      <c r="K6318" t="s">
        <v>40286</v>
      </c>
      <c r="M6318" t="s">
        <v>40802</v>
      </c>
      <c r="N6318" t="s">
        <v>44759</v>
      </c>
      <c r="O6318" t="s">
        <v>44760</v>
      </c>
      <c r="P6318">
        <v>0</v>
      </c>
      <c r="Q6318">
        <v>0</v>
      </c>
      <c r="R6318" t="s">
        <v>44766</v>
      </c>
      <c r="S6318" t="s">
        <v>44902</v>
      </c>
      <c r="T6318" t="s">
        <v>46389</v>
      </c>
      <c r="U6318" t="s">
        <v>52217</v>
      </c>
      <c r="W6318" t="s">
        <v>40802</v>
      </c>
      <c r="X6318" t="s">
        <v>44767</v>
      </c>
    </row>
    <row r="6319" spans="1:24">
      <c r="A6319">
        <f>HYPERLINK("https://www.philgeps.gov.ph/GEPSNONPILOT/Tender/SplashBidNoticeAbstractUI.aspx?menuIndex=3&amp;refID=7147715&amp;Result=3","7147715")</f>
        <v>0</v>
      </c>
      <c r="B6319" t="s">
        <v>937</v>
      </c>
      <c r="C6319" t="s">
        <v>9736</v>
      </c>
      <c r="D6319" t="s">
        <v>17998</v>
      </c>
      <c r="E6319" t="s">
        <v>23613</v>
      </c>
      <c r="F6319" t="s">
        <v>30900</v>
      </c>
      <c r="G6319" t="s">
        <v>30908</v>
      </c>
      <c r="H6319" t="s">
        <v>30916</v>
      </c>
      <c r="I6319" t="s">
        <v>30927</v>
      </c>
      <c r="J6319" t="s">
        <v>35137</v>
      </c>
      <c r="K6319" t="s">
        <v>40289</v>
      </c>
      <c r="M6319" t="s">
        <v>41520</v>
      </c>
      <c r="N6319" t="s">
        <v>44759</v>
      </c>
      <c r="O6319" t="s">
        <v>44760</v>
      </c>
      <c r="P6319">
        <v>0</v>
      </c>
      <c r="Q6319">
        <v>0</v>
      </c>
      <c r="R6319" t="s">
        <v>44766</v>
      </c>
      <c r="S6319" t="s">
        <v>44902</v>
      </c>
      <c r="T6319" t="s">
        <v>46387</v>
      </c>
      <c r="U6319" t="s">
        <v>48643</v>
      </c>
      <c r="W6319" t="s">
        <v>41520</v>
      </c>
      <c r="X6319" t="s">
        <v>44767</v>
      </c>
    </row>
    <row r="6320" spans="1:24">
      <c r="A6320">
        <f>HYPERLINK("https://www.philgeps.gov.ph/GEPSNONPILOT/Tender/SplashBidNoticeAbstractUI.aspx?menuIndex=3&amp;refID=7147833&amp;Result=3","7147833")</f>
        <v>0</v>
      </c>
      <c r="B6320" t="s">
        <v>1054</v>
      </c>
      <c r="C6320" t="s">
        <v>9737</v>
      </c>
      <c r="E6320" t="s">
        <v>23614</v>
      </c>
      <c r="F6320" t="s">
        <v>30900</v>
      </c>
      <c r="G6320" t="s">
        <v>30908</v>
      </c>
      <c r="H6320" t="s">
        <v>30916</v>
      </c>
      <c r="I6320" t="s">
        <v>30956</v>
      </c>
      <c r="J6320" t="s">
        <v>31879</v>
      </c>
      <c r="K6320" t="s">
        <v>40289</v>
      </c>
      <c r="M6320" t="s">
        <v>41651</v>
      </c>
      <c r="N6320" t="s">
        <v>44759</v>
      </c>
      <c r="O6320" t="s">
        <v>44760</v>
      </c>
      <c r="P6320">
        <v>0</v>
      </c>
      <c r="Q6320">
        <v>7</v>
      </c>
      <c r="R6320" t="s">
        <v>44766</v>
      </c>
      <c r="S6320" t="s">
        <v>44902</v>
      </c>
      <c r="T6320" t="s">
        <v>46662</v>
      </c>
      <c r="U6320" t="s">
        <v>52234</v>
      </c>
      <c r="V6320" t="s">
        <v>59811</v>
      </c>
      <c r="W6320" t="s">
        <v>41651</v>
      </c>
      <c r="X6320" t="s">
        <v>44767</v>
      </c>
    </row>
    <row r="6321" spans="1:24">
      <c r="A6321">
        <f>HYPERLINK("https://www.philgeps.gov.ph/GEPSNONPILOT/Tender/SplashBidNoticeAbstractUI.aspx?menuIndex=3&amp;refID=7147775&amp;Result=3","7147775")</f>
        <v>0</v>
      </c>
      <c r="B6321" t="s">
        <v>1096</v>
      </c>
      <c r="C6321" t="s">
        <v>9738</v>
      </c>
      <c r="E6321" t="s">
        <v>23615</v>
      </c>
      <c r="F6321" t="s">
        <v>30900</v>
      </c>
      <c r="G6321" t="s">
        <v>30907</v>
      </c>
      <c r="H6321" t="s">
        <v>30916</v>
      </c>
      <c r="I6321" t="s">
        <v>30941</v>
      </c>
      <c r="J6321" t="s">
        <v>35138</v>
      </c>
      <c r="K6321" t="s">
        <v>40289</v>
      </c>
      <c r="M6321" t="s">
        <v>42955</v>
      </c>
      <c r="N6321" t="s">
        <v>44759</v>
      </c>
      <c r="O6321" t="s">
        <v>44760</v>
      </c>
      <c r="P6321">
        <v>0</v>
      </c>
      <c r="Q6321">
        <v>0</v>
      </c>
      <c r="R6321" t="s">
        <v>44766</v>
      </c>
      <c r="S6321" t="s">
        <v>44902</v>
      </c>
      <c r="T6321" t="s">
        <v>46689</v>
      </c>
      <c r="U6321" t="s">
        <v>52235</v>
      </c>
      <c r="W6321" t="s">
        <v>42955</v>
      </c>
      <c r="X6321" t="s">
        <v>44767</v>
      </c>
    </row>
    <row r="6322" spans="1:24">
      <c r="A6322">
        <f>HYPERLINK("https://www.philgeps.gov.ph/GEPSNONPILOT/Tender/SplashBidNoticeAbstractUI.aspx?menuIndex=3&amp;refID=7147830&amp;Result=3","7147830")</f>
        <v>0</v>
      </c>
      <c r="B6322" t="s">
        <v>2245</v>
      </c>
      <c r="C6322" t="s">
        <v>9739</v>
      </c>
      <c r="D6322" t="s">
        <v>17959</v>
      </c>
      <c r="E6322" t="s">
        <v>23616</v>
      </c>
      <c r="F6322" t="s">
        <v>30900</v>
      </c>
      <c r="G6322" t="s">
        <v>30908</v>
      </c>
      <c r="H6322" t="s">
        <v>30916</v>
      </c>
      <c r="I6322" t="s">
        <v>5830</v>
      </c>
      <c r="J6322" t="s">
        <v>31522</v>
      </c>
      <c r="K6322" t="s">
        <v>40283</v>
      </c>
      <c r="M6322" t="s">
        <v>42956</v>
      </c>
      <c r="N6322" t="s">
        <v>44759</v>
      </c>
      <c r="O6322" t="s">
        <v>44760</v>
      </c>
      <c r="P6322">
        <v>0</v>
      </c>
      <c r="Q6322">
        <v>11</v>
      </c>
      <c r="R6322" t="s">
        <v>44766</v>
      </c>
      <c r="S6322" t="s">
        <v>44902</v>
      </c>
      <c r="T6322" t="s">
        <v>46662</v>
      </c>
      <c r="U6322" t="s">
        <v>52236</v>
      </c>
      <c r="W6322" t="s">
        <v>42956</v>
      </c>
      <c r="X6322" t="s">
        <v>44767</v>
      </c>
    </row>
    <row r="6323" spans="1:24">
      <c r="A6323">
        <f>HYPERLINK("https://www.philgeps.gov.ph/GEPSNONPILOT/Tender/SplashBidNoticeAbstractUI.aspx?menuIndex=3&amp;refID=7147726&amp;Result=3","7147726")</f>
        <v>0</v>
      </c>
      <c r="B6323" t="s">
        <v>2246</v>
      </c>
      <c r="C6323" t="s">
        <v>9740</v>
      </c>
      <c r="D6323" t="s">
        <v>17980</v>
      </c>
      <c r="E6323" t="s">
        <v>22625</v>
      </c>
      <c r="F6323" t="s">
        <v>30899</v>
      </c>
      <c r="G6323" t="s">
        <v>30907</v>
      </c>
      <c r="H6323" t="s">
        <v>30915</v>
      </c>
      <c r="I6323" t="s">
        <v>30919</v>
      </c>
      <c r="J6323" t="s">
        <v>35139</v>
      </c>
      <c r="K6323" t="s">
        <v>40292</v>
      </c>
      <c r="M6323" t="s">
        <v>42957</v>
      </c>
      <c r="N6323" t="s">
        <v>44759</v>
      </c>
      <c r="O6323" t="s">
        <v>44760</v>
      </c>
      <c r="P6323">
        <v>0</v>
      </c>
      <c r="Q6323">
        <v>1</v>
      </c>
      <c r="R6323" t="s">
        <v>44766</v>
      </c>
      <c r="S6323" t="s">
        <v>44902</v>
      </c>
      <c r="T6323" t="s">
        <v>46377</v>
      </c>
      <c r="U6323" t="s">
        <v>52237</v>
      </c>
      <c r="V6323" t="s">
        <v>59812</v>
      </c>
      <c r="W6323" t="s">
        <v>42957</v>
      </c>
      <c r="X6323" t="s">
        <v>44767</v>
      </c>
    </row>
    <row r="6324" spans="1:24">
      <c r="A6324">
        <f>HYPERLINK("https://www.philgeps.gov.ph/GEPSNONPILOT/Tender/SplashBidNoticeAbstractUI.aspx?menuIndex=3&amp;refID=7147829&amp;Result=3","7147829")</f>
        <v>0</v>
      </c>
      <c r="B6324" t="s">
        <v>2209</v>
      </c>
      <c r="C6324" t="s">
        <v>9741</v>
      </c>
      <c r="D6324" t="s">
        <v>17959</v>
      </c>
      <c r="E6324" t="s">
        <v>23617</v>
      </c>
      <c r="F6324" t="s">
        <v>30900</v>
      </c>
      <c r="G6324" t="s">
        <v>30907</v>
      </c>
      <c r="H6324" t="s">
        <v>30916</v>
      </c>
      <c r="I6324" t="s">
        <v>9385</v>
      </c>
      <c r="J6324" t="s">
        <v>31243</v>
      </c>
      <c r="K6324" t="s">
        <v>40286</v>
      </c>
      <c r="M6324" t="s">
        <v>42917</v>
      </c>
      <c r="N6324" t="s">
        <v>44759</v>
      </c>
      <c r="O6324" t="s">
        <v>44760</v>
      </c>
      <c r="P6324">
        <v>0</v>
      </c>
      <c r="Q6324">
        <v>5</v>
      </c>
      <c r="R6324" t="s">
        <v>44766</v>
      </c>
      <c r="S6324" t="s">
        <v>44902</v>
      </c>
      <c r="T6324" t="s">
        <v>46515</v>
      </c>
      <c r="U6324" t="s">
        <v>52214</v>
      </c>
      <c r="W6324" t="s">
        <v>42917</v>
      </c>
      <c r="X6324" t="s">
        <v>44767</v>
      </c>
    </row>
    <row r="6325" spans="1:24">
      <c r="A6325">
        <f>HYPERLINK("https://www.philgeps.gov.ph/GEPSNONPILOT/Tender/SplashBidNoticeAbstractUI.aspx?menuIndex=3&amp;refID=7147825&amp;Result=3","7147825")</f>
        <v>0</v>
      </c>
      <c r="B6325" t="s">
        <v>2247</v>
      </c>
      <c r="C6325" t="s">
        <v>9742</v>
      </c>
      <c r="E6325" t="s">
        <v>23618</v>
      </c>
      <c r="F6325" t="s">
        <v>30900</v>
      </c>
      <c r="G6325" t="s">
        <v>30908</v>
      </c>
      <c r="H6325" t="s">
        <v>30916</v>
      </c>
      <c r="I6325" t="s">
        <v>6408</v>
      </c>
      <c r="J6325" t="s">
        <v>31204</v>
      </c>
      <c r="K6325" t="s">
        <v>40289</v>
      </c>
      <c r="M6325" t="s">
        <v>42958</v>
      </c>
      <c r="N6325" t="s">
        <v>44759</v>
      </c>
      <c r="O6325" t="s">
        <v>44760</v>
      </c>
      <c r="P6325">
        <v>0</v>
      </c>
      <c r="Q6325">
        <v>9</v>
      </c>
      <c r="R6325" t="s">
        <v>44766</v>
      </c>
      <c r="S6325" t="s">
        <v>44902</v>
      </c>
      <c r="T6325" t="s">
        <v>46662</v>
      </c>
      <c r="U6325" t="s">
        <v>52238</v>
      </c>
      <c r="W6325" t="s">
        <v>60884</v>
      </c>
      <c r="X6325" t="s">
        <v>44767</v>
      </c>
    </row>
    <row r="6326" spans="1:24">
      <c r="A6326">
        <f>HYPERLINK("https://www.philgeps.gov.ph/GEPSNONPILOT/Tender/SplashBidNoticeAbstractUI.aspx?menuIndex=3&amp;refID=7147822&amp;Result=3","7147822")</f>
        <v>0</v>
      </c>
      <c r="B6326" t="s">
        <v>2248</v>
      </c>
      <c r="C6326" t="s">
        <v>9743</v>
      </c>
      <c r="D6326" t="s">
        <v>17987</v>
      </c>
      <c r="E6326" t="s">
        <v>22856</v>
      </c>
      <c r="F6326" t="s">
        <v>30900</v>
      </c>
      <c r="G6326" t="s">
        <v>30907</v>
      </c>
      <c r="H6326" t="s">
        <v>30916</v>
      </c>
      <c r="I6326" t="s">
        <v>8123</v>
      </c>
      <c r="J6326" t="s">
        <v>35140</v>
      </c>
      <c r="K6326" t="s">
        <v>40286</v>
      </c>
      <c r="M6326" t="s">
        <v>42959</v>
      </c>
      <c r="N6326" t="s">
        <v>44759</v>
      </c>
      <c r="O6326" t="s">
        <v>44760</v>
      </c>
      <c r="P6326">
        <v>0</v>
      </c>
      <c r="Q6326">
        <v>0</v>
      </c>
      <c r="R6326" t="s">
        <v>44766</v>
      </c>
      <c r="S6326" t="s">
        <v>44902</v>
      </c>
      <c r="T6326" t="s">
        <v>46428</v>
      </c>
      <c r="U6326" t="s">
        <v>52239</v>
      </c>
      <c r="W6326" t="s">
        <v>42959</v>
      </c>
      <c r="X6326" t="s">
        <v>44767</v>
      </c>
    </row>
    <row r="6327" spans="1:24">
      <c r="A6327">
        <f>HYPERLINK("https://www.philgeps.gov.ph/GEPSNONPILOT/Tender/SplashBidNoticeAbstractUI.aspx?menuIndex=3&amp;refID=7147818&amp;Result=3","7147818")</f>
        <v>0</v>
      </c>
      <c r="B6327" t="s">
        <v>2249</v>
      </c>
      <c r="C6327" t="s">
        <v>9744</v>
      </c>
      <c r="D6327" t="s">
        <v>17953</v>
      </c>
      <c r="E6327" t="s">
        <v>23619</v>
      </c>
      <c r="F6327" t="s">
        <v>30900</v>
      </c>
      <c r="G6327" t="s">
        <v>30909</v>
      </c>
      <c r="H6327" t="s">
        <v>30916</v>
      </c>
      <c r="I6327" t="s">
        <v>4142</v>
      </c>
      <c r="J6327" t="s">
        <v>35141</v>
      </c>
      <c r="K6327" t="s">
        <v>40284</v>
      </c>
      <c r="M6327" t="s">
        <v>42960</v>
      </c>
      <c r="N6327" t="s">
        <v>44759</v>
      </c>
      <c r="O6327" t="s">
        <v>44760</v>
      </c>
      <c r="P6327">
        <v>0</v>
      </c>
      <c r="Q6327">
        <v>1</v>
      </c>
      <c r="R6327" t="s">
        <v>44766</v>
      </c>
      <c r="S6327" t="s">
        <v>44902</v>
      </c>
      <c r="T6327" t="s">
        <v>46541</v>
      </c>
      <c r="U6327" t="s">
        <v>52240</v>
      </c>
      <c r="W6327" t="s">
        <v>42960</v>
      </c>
      <c r="X6327" t="s">
        <v>44767</v>
      </c>
    </row>
    <row r="6328" spans="1:24">
      <c r="A6328">
        <f>HYPERLINK("https://www.philgeps.gov.ph/GEPSNONPILOT/Tender/SplashBidNoticeAbstractUI.aspx?menuIndex=3&amp;refID=7147836&amp;Result=3","7147836")</f>
        <v>0</v>
      </c>
      <c r="B6328" t="s">
        <v>820</v>
      </c>
      <c r="C6328" t="s">
        <v>9745</v>
      </c>
      <c r="E6328" t="s">
        <v>23620</v>
      </c>
      <c r="F6328" t="s">
        <v>30900</v>
      </c>
      <c r="G6328" t="s">
        <v>30908</v>
      </c>
      <c r="H6328" t="s">
        <v>30916</v>
      </c>
      <c r="I6328" t="s">
        <v>4142</v>
      </c>
      <c r="J6328" t="s">
        <v>35142</v>
      </c>
      <c r="K6328" t="s">
        <v>40289</v>
      </c>
      <c r="M6328" t="s">
        <v>42961</v>
      </c>
      <c r="N6328" t="s">
        <v>44759</v>
      </c>
      <c r="O6328" t="s">
        <v>44760</v>
      </c>
      <c r="P6328">
        <v>0</v>
      </c>
      <c r="Q6328">
        <v>0</v>
      </c>
      <c r="R6328" t="s">
        <v>44766</v>
      </c>
      <c r="S6328" t="s">
        <v>44902</v>
      </c>
      <c r="T6328" t="s">
        <v>46658</v>
      </c>
      <c r="U6328" t="s">
        <v>52241</v>
      </c>
      <c r="W6328" t="s">
        <v>41392</v>
      </c>
      <c r="X6328" t="s">
        <v>44767</v>
      </c>
    </row>
    <row r="6329" spans="1:24">
      <c r="A6329">
        <f>HYPERLINK("https://www.philgeps.gov.ph/GEPSNONPILOT/Tender/SplashBidNoticeAbstractUI.aspx?menuIndex=3&amp;refID=7147835&amp;Result=3","7147835")</f>
        <v>0</v>
      </c>
      <c r="B6329" t="s">
        <v>390</v>
      </c>
      <c r="C6329" t="s">
        <v>9746</v>
      </c>
      <c r="D6329" t="s">
        <v>17953</v>
      </c>
      <c r="E6329" t="s">
        <v>23621</v>
      </c>
      <c r="F6329" t="s">
        <v>30900</v>
      </c>
      <c r="G6329" t="s">
        <v>30908</v>
      </c>
      <c r="H6329" t="s">
        <v>30916</v>
      </c>
      <c r="I6329" t="s">
        <v>30958</v>
      </c>
      <c r="J6329" t="s">
        <v>32631</v>
      </c>
      <c r="K6329" t="s">
        <v>40289</v>
      </c>
      <c r="M6329" t="s">
        <v>40945</v>
      </c>
      <c r="N6329" t="s">
        <v>44759</v>
      </c>
      <c r="O6329" t="s">
        <v>44760</v>
      </c>
      <c r="P6329">
        <v>0</v>
      </c>
      <c r="Q6329">
        <v>0</v>
      </c>
      <c r="R6329" t="s">
        <v>44766</v>
      </c>
      <c r="S6329" t="s">
        <v>44902</v>
      </c>
      <c r="T6329" t="s">
        <v>46399</v>
      </c>
      <c r="U6329" t="s">
        <v>48337</v>
      </c>
      <c r="W6329" t="s">
        <v>40945</v>
      </c>
      <c r="X6329" t="s">
        <v>44767</v>
      </c>
    </row>
    <row r="6330" spans="1:24">
      <c r="A6330">
        <f>HYPERLINK("https://www.philgeps.gov.ph/GEPSNONPILOT/Tender/SplashBidNoticeAbstractUI.aspx?menuIndex=3&amp;refID=7147816&amp;Result=3","7147816")</f>
        <v>0</v>
      </c>
      <c r="B6330" t="s">
        <v>2247</v>
      </c>
      <c r="C6330" t="s">
        <v>9747</v>
      </c>
      <c r="E6330" t="s">
        <v>23622</v>
      </c>
      <c r="F6330" t="s">
        <v>30900</v>
      </c>
      <c r="G6330" t="s">
        <v>30908</v>
      </c>
      <c r="H6330" t="s">
        <v>30916</v>
      </c>
      <c r="I6330" t="s">
        <v>4017</v>
      </c>
      <c r="J6330" t="s">
        <v>35070</v>
      </c>
      <c r="K6330" t="s">
        <v>40289</v>
      </c>
      <c r="M6330" t="s">
        <v>42958</v>
      </c>
      <c r="N6330" t="s">
        <v>44759</v>
      </c>
      <c r="O6330" t="s">
        <v>44760</v>
      </c>
      <c r="P6330">
        <v>0</v>
      </c>
      <c r="Q6330">
        <v>7</v>
      </c>
      <c r="R6330" t="s">
        <v>44766</v>
      </c>
      <c r="S6330" t="s">
        <v>44902</v>
      </c>
      <c r="T6330" t="s">
        <v>46662</v>
      </c>
      <c r="U6330" t="s">
        <v>52242</v>
      </c>
      <c r="W6330" t="s">
        <v>60884</v>
      </c>
      <c r="X6330" t="s">
        <v>44767</v>
      </c>
    </row>
    <row r="6331" spans="1:24">
      <c r="A6331">
        <f>HYPERLINK("https://www.philgeps.gov.ph/GEPSNONPILOT/Tender/SplashBidNoticeAbstractUI.aspx?menuIndex=3&amp;refID=7147815&amp;Result=3","7147815")</f>
        <v>0</v>
      </c>
      <c r="B6331" t="s">
        <v>2245</v>
      </c>
      <c r="C6331" t="s">
        <v>9748</v>
      </c>
      <c r="D6331" t="s">
        <v>17959</v>
      </c>
      <c r="E6331" t="s">
        <v>23623</v>
      </c>
      <c r="F6331" t="s">
        <v>30900</v>
      </c>
      <c r="G6331" t="s">
        <v>30908</v>
      </c>
      <c r="H6331" t="s">
        <v>30916</v>
      </c>
      <c r="I6331" t="s">
        <v>30957</v>
      </c>
      <c r="J6331" t="s">
        <v>35143</v>
      </c>
      <c r="K6331" t="s">
        <v>40321</v>
      </c>
      <c r="M6331" t="s">
        <v>42956</v>
      </c>
      <c r="N6331" t="s">
        <v>44759</v>
      </c>
      <c r="O6331" t="s">
        <v>44760</v>
      </c>
      <c r="P6331">
        <v>0</v>
      </c>
      <c r="Q6331">
        <v>0</v>
      </c>
      <c r="R6331" t="s">
        <v>44766</v>
      </c>
      <c r="S6331" t="s">
        <v>44902</v>
      </c>
      <c r="T6331" t="s">
        <v>46662</v>
      </c>
      <c r="U6331" t="s">
        <v>52243</v>
      </c>
      <c r="W6331" t="s">
        <v>42956</v>
      </c>
      <c r="X6331" t="s">
        <v>44767</v>
      </c>
    </row>
    <row r="6332" spans="1:24">
      <c r="A6332">
        <f>HYPERLINK("https://www.philgeps.gov.ph/GEPSNONPILOT/Tender/SplashBidNoticeAbstractUI.aspx?menuIndex=3&amp;refID=7147810&amp;Result=3","7147810")</f>
        <v>0</v>
      </c>
      <c r="B6332" t="s">
        <v>2250</v>
      </c>
      <c r="C6332" t="s">
        <v>5990</v>
      </c>
      <c r="D6332" t="s">
        <v>17968</v>
      </c>
      <c r="E6332" t="s">
        <v>22457</v>
      </c>
      <c r="F6332" t="s">
        <v>30900</v>
      </c>
      <c r="G6332" t="s">
        <v>30907</v>
      </c>
      <c r="H6332" t="s">
        <v>30916</v>
      </c>
      <c r="I6332" t="s">
        <v>8123</v>
      </c>
      <c r="J6332" t="s">
        <v>35144</v>
      </c>
      <c r="K6332" t="s">
        <v>40289</v>
      </c>
      <c r="M6332" t="s">
        <v>42962</v>
      </c>
      <c r="N6332" t="s">
        <v>44759</v>
      </c>
      <c r="O6332" t="s">
        <v>44760</v>
      </c>
      <c r="P6332">
        <v>0</v>
      </c>
      <c r="Q6332">
        <v>0</v>
      </c>
      <c r="R6332" t="s">
        <v>44766</v>
      </c>
      <c r="S6332" t="s">
        <v>44902</v>
      </c>
      <c r="T6332" t="s">
        <v>46414</v>
      </c>
      <c r="U6332" t="s">
        <v>52244</v>
      </c>
      <c r="W6332" t="s">
        <v>42962</v>
      </c>
      <c r="X6332" t="s">
        <v>44767</v>
      </c>
    </row>
    <row r="6333" spans="1:24">
      <c r="A6333">
        <f>HYPERLINK("https://www.philgeps.gov.ph/GEPSNONPILOT/Tender/SplashBidNoticeAbstractUI.aspx?menuIndex=3&amp;refID=7147765&amp;Result=3","7147765")</f>
        <v>0</v>
      </c>
      <c r="B6333" t="s">
        <v>348</v>
      </c>
      <c r="C6333" t="s">
        <v>9749</v>
      </c>
      <c r="D6333" t="s">
        <v>17957</v>
      </c>
      <c r="E6333" t="s">
        <v>23624</v>
      </c>
      <c r="F6333" t="s">
        <v>30900</v>
      </c>
      <c r="G6333" t="s">
        <v>30908</v>
      </c>
      <c r="H6333" t="s">
        <v>30917</v>
      </c>
      <c r="I6333" t="s">
        <v>30923</v>
      </c>
      <c r="J6333" t="s">
        <v>35145</v>
      </c>
      <c r="K6333" t="s">
        <v>40284</v>
      </c>
      <c r="M6333" t="s">
        <v>42325</v>
      </c>
      <c r="N6333" t="s">
        <v>44759</v>
      </c>
      <c r="O6333" t="s">
        <v>44760</v>
      </c>
      <c r="P6333">
        <v>0</v>
      </c>
      <c r="Q6333">
        <v>4</v>
      </c>
      <c r="R6333" t="s">
        <v>44766</v>
      </c>
      <c r="S6333" t="s">
        <v>44902</v>
      </c>
      <c r="T6333" t="s">
        <v>46410</v>
      </c>
      <c r="U6333" t="s">
        <v>52245</v>
      </c>
      <c r="W6333" t="s">
        <v>42325</v>
      </c>
      <c r="X6333" t="s">
        <v>44767</v>
      </c>
    </row>
    <row r="6334" spans="1:24">
      <c r="A6334">
        <f>HYPERLINK("https://www.philgeps.gov.ph/GEPSNONPILOT/Tender/SplashBidNoticeAbstractUI.aspx?menuIndex=3&amp;refID=7147840&amp;Result=3","7147840")</f>
        <v>0</v>
      </c>
      <c r="B6334" t="s">
        <v>179</v>
      </c>
      <c r="C6334" t="s">
        <v>9750</v>
      </c>
      <c r="D6334" t="s">
        <v>17953</v>
      </c>
      <c r="E6334" t="s">
        <v>23625</v>
      </c>
      <c r="F6334" t="s">
        <v>30900</v>
      </c>
      <c r="G6334" t="s">
        <v>30907</v>
      </c>
      <c r="H6334" t="s">
        <v>30915</v>
      </c>
      <c r="I6334" t="s">
        <v>30919</v>
      </c>
      <c r="J6334" t="s">
        <v>35146</v>
      </c>
      <c r="K6334" t="s">
        <v>40280</v>
      </c>
      <c r="M6334" t="s">
        <v>40726</v>
      </c>
      <c r="N6334" t="s">
        <v>44759</v>
      </c>
      <c r="O6334" t="s">
        <v>44760</v>
      </c>
      <c r="P6334">
        <v>0</v>
      </c>
      <c r="Q6334">
        <v>1</v>
      </c>
      <c r="R6334" t="s">
        <v>44766</v>
      </c>
      <c r="S6334" t="s">
        <v>44902</v>
      </c>
      <c r="T6334" t="s">
        <v>46428</v>
      </c>
      <c r="U6334" t="s">
        <v>52246</v>
      </c>
      <c r="W6334" t="s">
        <v>40726</v>
      </c>
      <c r="X6334" t="s">
        <v>44767</v>
      </c>
    </row>
    <row r="6335" spans="1:24">
      <c r="A6335">
        <f>HYPERLINK("https://www.philgeps.gov.ph/GEPSNONPILOT/Tender/SplashBidNoticeAbstractUI.aspx?menuIndex=3&amp;refID=7147826&amp;Result=3","7147826")</f>
        <v>0</v>
      </c>
      <c r="B6335" t="s">
        <v>1851</v>
      </c>
      <c r="C6335" t="s">
        <v>9751</v>
      </c>
      <c r="D6335" t="s">
        <v>17955</v>
      </c>
      <c r="E6335" t="s">
        <v>23626</v>
      </c>
      <c r="F6335" t="s">
        <v>30900</v>
      </c>
      <c r="G6335" t="s">
        <v>30907</v>
      </c>
      <c r="H6335" t="s">
        <v>30917</v>
      </c>
      <c r="I6335" t="s">
        <v>30943</v>
      </c>
      <c r="J6335" t="s">
        <v>35147</v>
      </c>
      <c r="K6335" t="s">
        <v>40286</v>
      </c>
      <c r="M6335" t="s">
        <v>42523</v>
      </c>
      <c r="N6335" t="s">
        <v>44759</v>
      </c>
      <c r="O6335" t="s">
        <v>44760</v>
      </c>
      <c r="Q6335">
        <v>5</v>
      </c>
      <c r="R6335" t="s">
        <v>44766</v>
      </c>
      <c r="S6335" t="s">
        <v>44950</v>
      </c>
      <c r="T6335" t="s">
        <v>46702</v>
      </c>
      <c r="U6335" t="s">
        <v>51173</v>
      </c>
      <c r="V6335" t="s">
        <v>59813</v>
      </c>
      <c r="W6335" t="s">
        <v>42523</v>
      </c>
      <c r="X6335" t="s">
        <v>44767</v>
      </c>
    </row>
    <row r="6336" spans="1:24">
      <c r="A6336">
        <f>HYPERLINK("https://www.philgeps.gov.ph/GEPSNONPILOT/Tender/SplashBidNoticeAbstractUI.aspx?menuIndex=3&amp;refID=7147886&amp;Result=3","7147886")</f>
        <v>0</v>
      </c>
      <c r="B6336" t="s">
        <v>2251</v>
      </c>
      <c r="C6336" t="s">
        <v>9752</v>
      </c>
      <c r="D6336" t="s">
        <v>17984</v>
      </c>
      <c r="E6336" t="s">
        <v>23627</v>
      </c>
      <c r="F6336" t="s">
        <v>30900</v>
      </c>
      <c r="G6336" t="s">
        <v>30907</v>
      </c>
      <c r="H6336" t="s">
        <v>30915</v>
      </c>
      <c r="I6336" t="s">
        <v>30919</v>
      </c>
      <c r="J6336" t="s">
        <v>35148</v>
      </c>
      <c r="K6336" t="s">
        <v>40288</v>
      </c>
      <c r="M6336" t="s">
        <v>42963</v>
      </c>
      <c r="N6336" t="s">
        <v>44759</v>
      </c>
      <c r="O6336" t="s">
        <v>44760</v>
      </c>
      <c r="P6336">
        <v>0</v>
      </c>
      <c r="Q6336">
        <v>0</v>
      </c>
      <c r="R6336" t="s">
        <v>44766</v>
      </c>
      <c r="S6336" t="s">
        <v>44902</v>
      </c>
      <c r="T6336" t="s">
        <v>46362</v>
      </c>
      <c r="U6336" t="s">
        <v>52247</v>
      </c>
      <c r="W6336" t="s">
        <v>42963</v>
      </c>
      <c r="X6336" t="s">
        <v>44767</v>
      </c>
    </row>
    <row r="6337" spans="1:24">
      <c r="A6337">
        <f>HYPERLINK("https://www.philgeps.gov.ph/GEPSNONPILOT/Tender/SplashBidNoticeAbstractUI.aspx?menuIndex=3&amp;refID=7147821&amp;Result=3","7147821")</f>
        <v>0</v>
      </c>
      <c r="B6337" t="s">
        <v>2209</v>
      </c>
      <c r="C6337" t="s">
        <v>9753</v>
      </c>
      <c r="D6337" t="s">
        <v>17959</v>
      </c>
      <c r="E6337" t="s">
        <v>23628</v>
      </c>
      <c r="F6337" t="s">
        <v>30900</v>
      </c>
      <c r="G6337" t="s">
        <v>30907</v>
      </c>
      <c r="H6337" t="s">
        <v>30916</v>
      </c>
      <c r="I6337" t="s">
        <v>9385</v>
      </c>
      <c r="J6337" t="s">
        <v>31243</v>
      </c>
      <c r="K6337" t="s">
        <v>40286</v>
      </c>
      <c r="M6337" t="s">
        <v>42917</v>
      </c>
      <c r="N6337" t="s">
        <v>44759</v>
      </c>
      <c r="O6337" t="s">
        <v>44760</v>
      </c>
      <c r="P6337">
        <v>0</v>
      </c>
      <c r="Q6337">
        <v>3</v>
      </c>
      <c r="R6337" t="s">
        <v>44766</v>
      </c>
      <c r="S6337" t="s">
        <v>44902</v>
      </c>
      <c r="T6337" t="s">
        <v>46515</v>
      </c>
      <c r="U6337" t="s">
        <v>52214</v>
      </c>
      <c r="W6337" t="s">
        <v>42917</v>
      </c>
      <c r="X6337" t="s">
        <v>44767</v>
      </c>
    </row>
    <row r="6338" spans="1:24">
      <c r="A6338">
        <f>HYPERLINK("https://www.philgeps.gov.ph/GEPSNONPILOT/Tender/SplashBidNoticeAbstractUI.aspx?menuIndex=3&amp;refID=7147817&amp;Result=3","7147817")</f>
        <v>0</v>
      </c>
      <c r="B6338" t="s">
        <v>179</v>
      </c>
      <c r="C6338" t="s">
        <v>9754</v>
      </c>
      <c r="D6338" t="s">
        <v>17953</v>
      </c>
      <c r="E6338" t="s">
        <v>23501</v>
      </c>
      <c r="F6338" t="s">
        <v>30900</v>
      </c>
      <c r="G6338" t="s">
        <v>30907</v>
      </c>
      <c r="H6338" t="s">
        <v>30915</v>
      </c>
      <c r="I6338" t="s">
        <v>30919</v>
      </c>
      <c r="J6338" t="s">
        <v>35149</v>
      </c>
      <c r="K6338" t="s">
        <v>40280</v>
      </c>
      <c r="M6338" t="s">
        <v>40726</v>
      </c>
      <c r="N6338" t="s">
        <v>44759</v>
      </c>
      <c r="O6338" t="s">
        <v>44760</v>
      </c>
      <c r="P6338">
        <v>0</v>
      </c>
      <c r="Q6338">
        <v>0</v>
      </c>
      <c r="R6338" t="s">
        <v>44766</v>
      </c>
      <c r="S6338" t="s">
        <v>44902</v>
      </c>
      <c r="T6338" t="s">
        <v>46453</v>
      </c>
      <c r="U6338" t="s">
        <v>52248</v>
      </c>
      <c r="W6338" t="s">
        <v>40726</v>
      </c>
      <c r="X6338" t="s">
        <v>44767</v>
      </c>
    </row>
    <row r="6339" spans="1:24">
      <c r="A6339">
        <f>HYPERLINK("https://www.philgeps.gov.ph/GEPSNONPILOT/Tender/SplashBidNoticeAbstractUI.aspx?menuIndex=3&amp;refID=7147797&amp;Result=3","7147797")</f>
        <v>0</v>
      </c>
      <c r="B6339" t="s">
        <v>937</v>
      </c>
      <c r="C6339" t="s">
        <v>9755</v>
      </c>
      <c r="D6339" t="s">
        <v>17998</v>
      </c>
      <c r="E6339" t="s">
        <v>23629</v>
      </c>
      <c r="F6339" t="s">
        <v>30900</v>
      </c>
      <c r="G6339" t="s">
        <v>30908</v>
      </c>
      <c r="H6339" t="s">
        <v>30916</v>
      </c>
      <c r="I6339" t="s">
        <v>30942</v>
      </c>
      <c r="J6339" t="s">
        <v>31183</v>
      </c>
      <c r="K6339" t="s">
        <v>40289</v>
      </c>
      <c r="M6339" t="s">
        <v>41520</v>
      </c>
      <c r="N6339" t="s">
        <v>44759</v>
      </c>
      <c r="O6339" t="s">
        <v>44760</v>
      </c>
      <c r="P6339">
        <v>0</v>
      </c>
      <c r="Q6339">
        <v>0</v>
      </c>
      <c r="R6339" t="s">
        <v>44766</v>
      </c>
      <c r="S6339" t="s">
        <v>44902</v>
      </c>
      <c r="T6339" t="s">
        <v>46387</v>
      </c>
      <c r="U6339" t="s">
        <v>52223</v>
      </c>
      <c r="W6339" t="s">
        <v>41520</v>
      </c>
      <c r="X6339" t="s">
        <v>44767</v>
      </c>
    </row>
    <row r="6340" spans="1:24">
      <c r="A6340">
        <f>HYPERLINK("https://www.philgeps.gov.ph/GEPSNONPILOT/Tender/SplashBidNoticeAbstractUI.aspx?menuIndex=3&amp;refID=7147871&amp;Result=3","7147871")</f>
        <v>0</v>
      </c>
      <c r="B6340" t="s">
        <v>1851</v>
      </c>
      <c r="C6340" t="s">
        <v>9756</v>
      </c>
      <c r="E6340" t="s">
        <v>23630</v>
      </c>
      <c r="F6340" t="s">
        <v>30900</v>
      </c>
      <c r="G6340" t="s">
        <v>30907</v>
      </c>
      <c r="H6340" t="s">
        <v>30917</v>
      </c>
      <c r="I6340" t="s">
        <v>31027</v>
      </c>
      <c r="J6340" t="s">
        <v>35150</v>
      </c>
      <c r="K6340" t="s">
        <v>40286</v>
      </c>
      <c r="M6340" t="s">
        <v>42523</v>
      </c>
      <c r="N6340" t="s">
        <v>44759</v>
      </c>
      <c r="O6340" t="s">
        <v>44760</v>
      </c>
      <c r="Q6340">
        <v>3</v>
      </c>
      <c r="R6340" t="s">
        <v>44766</v>
      </c>
      <c r="S6340" t="s">
        <v>44951</v>
      </c>
      <c r="T6340" t="s">
        <v>46702</v>
      </c>
      <c r="U6340" t="s">
        <v>51173</v>
      </c>
      <c r="V6340" t="s">
        <v>59814</v>
      </c>
      <c r="W6340" t="s">
        <v>42523</v>
      </c>
      <c r="X6340" t="s">
        <v>44767</v>
      </c>
    </row>
    <row r="6341" spans="1:24">
      <c r="A6341">
        <f>HYPERLINK("https://www.philgeps.gov.ph/GEPSNONPILOT/Tender/SplashBidNoticeAbstractUI.aspx?menuIndex=3&amp;refID=7147875&amp;Result=3","7147875")</f>
        <v>0</v>
      </c>
      <c r="B6341" t="s">
        <v>627</v>
      </c>
      <c r="C6341" t="s">
        <v>9757</v>
      </c>
      <c r="D6341" t="s">
        <v>17952</v>
      </c>
      <c r="E6341" t="s">
        <v>23631</v>
      </c>
      <c r="F6341" t="s">
        <v>30900</v>
      </c>
      <c r="G6341" t="s">
        <v>30907</v>
      </c>
      <c r="H6341" t="s">
        <v>30916</v>
      </c>
      <c r="I6341" t="s">
        <v>8123</v>
      </c>
      <c r="J6341" t="s">
        <v>35151</v>
      </c>
      <c r="K6341" t="s">
        <v>40293</v>
      </c>
      <c r="M6341" t="s">
        <v>41189</v>
      </c>
      <c r="N6341" t="s">
        <v>44759</v>
      </c>
      <c r="O6341" t="s">
        <v>44760</v>
      </c>
      <c r="P6341">
        <v>0</v>
      </c>
      <c r="Q6341">
        <v>4</v>
      </c>
      <c r="R6341" t="s">
        <v>44766</v>
      </c>
      <c r="S6341" t="s">
        <v>44902</v>
      </c>
      <c r="T6341" t="s">
        <v>46377</v>
      </c>
      <c r="U6341" t="s">
        <v>52249</v>
      </c>
      <c r="V6341" t="s">
        <v>59815</v>
      </c>
      <c r="W6341" t="s">
        <v>41189</v>
      </c>
      <c r="X6341" t="s">
        <v>44767</v>
      </c>
    </row>
    <row r="6342" spans="1:24">
      <c r="A6342">
        <f>HYPERLINK("https://www.philgeps.gov.ph/GEPSNONPILOT/Tender/SplashBidNoticeAbstractUI.aspx?menuIndex=3&amp;refID=7147870&amp;Result=3","7147870")</f>
        <v>0</v>
      </c>
      <c r="B6342" t="s">
        <v>255</v>
      </c>
      <c r="C6342" t="s">
        <v>9758</v>
      </c>
      <c r="D6342" t="s">
        <v>17980</v>
      </c>
      <c r="E6342" t="s">
        <v>23632</v>
      </c>
      <c r="F6342" t="s">
        <v>30900</v>
      </c>
      <c r="G6342" t="s">
        <v>30907</v>
      </c>
      <c r="H6342" t="s">
        <v>30916</v>
      </c>
      <c r="I6342" t="s">
        <v>8123</v>
      </c>
      <c r="J6342" t="s">
        <v>35152</v>
      </c>
      <c r="K6342" t="s">
        <v>40286</v>
      </c>
      <c r="M6342" t="s">
        <v>40802</v>
      </c>
      <c r="N6342" t="s">
        <v>44759</v>
      </c>
      <c r="O6342" t="s">
        <v>44760</v>
      </c>
      <c r="P6342">
        <v>0</v>
      </c>
      <c r="Q6342">
        <v>0</v>
      </c>
      <c r="R6342" t="s">
        <v>44766</v>
      </c>
      <c r="S6342" t="s">
        <v>44902</v>
      </c>
      <c r="T6342" t="s">
        <v>46389</v>
      </c>
      <c r="U6342" t="s">
        <v>52217</v>
      </c>
      <c r="W6342" t="s">
        <v>40802</v>
      </c>
      <c r="X6342" t="s">
        <v>44767</v>
      </c>
    </row>
    <row r="6343" spans="1:24">
      <c r="A6343">
        <f>HYPERLINK("https://www.philgeps.gov.ph/GEPSNONPILOT/Tender/SplashBidNoticeAbstractUI.aspx?menuIndex=3&amp;refID=7147866&amp;Result=3","7147866")</f>
        <v>0</v>
      </c>
      <c r="B6343" t="s">
        <v>2252</v>
      </c>
      <c r="C6343" t="s">
        <v>9759</v>
      </c>
      <c r="D6343" t="s">
        <v>18021</v>
      </c>
      <c r="E6343" t="s">
        <v>23633</v>
      </c>
      <c r="F6343" t="s">
        <v>30900</v>
      </c>
      <c r="G6343" t="s">
        <v>30907</v>
      </c>
      <c r="H6343" t="s">
        <v>30916</v>
      </c>
      <c r="I6343" t="s">
        <v>8123</v>
      </c>
      <c r="J6343" t="s">
        <v>35153</v>
      </c>
      <c r="K6343" t="s">
        <v>40286</v>
      </c>
      <c r="M6343" t="s">
        <v>42964</v>
      </c>
      <c r="N6343" t="s">
        <v>44759</v>
      </c>
      <c r="O6343" t="s">
        <v>44760</v>
      </c>
      <c r="P6343">
        <v>0</v>
      </c>
      <c r="Q6343">
        <v>0</v>
      </c>
      <c r="R6343" t="s">
        <v>44766</v>
      </c>
      <c r="S6343" t="s">
        <v>44902</v>
      </c>
      <c r="T6343" t="s">
        <v>46536</v>
      </c>
      <c r="U6343" t="s">
        <v>52250</v>
      </c>
      <c r="W6343" t="s">
        <v>42964</v>
      </c>
      <c r="X6343" t="s">
        <v>44767</v>
      </c>
    </row>
    <row r="6344" spans="1:24">
      <c r="A6344">
        <f>HYPERLINK("https://www.philgeps.gov.ph/GEPSNONPILOT/Tender/SplashBidNoticeAbstractUI.aspx?menuIndex=3&amp;refID=7147887&amp;Result=3","7147887")</f>
        <v>0</v>
      </c>
      <c r="B6344" t="s">
        <v>1503</v>
      </c>
      <c r="C6344" t="s">
        <v>9760</v>
      </c>
      <c r="D6344" t="s">
        <v>17963</v>
      </c>
      <c r="E6344" t="s">
        <v>18308</v>
      </c>
      <c r="F6344" t="s">
        <v>30900</v>
      </c>
      <c r="G6344" t="s">
        <v>30907</v>
      </c>
      <c r="H6344" t="s">
        <v>30916</v>
      </c>
      <c r="I6344" t="s">
        <v>4142</v>
      </c>
      <c r="J6344" t="s">
        <v>35154</v>
      </c>
      <c r="K6344" t="s">
        <v>40289</v>
      </c>
      <c r="M6344" t="s">
        <v>42144</v>
      </c>
      <c r="N6344" t="s">
        <v>44759</v>
      </c>
      <c r="O6344" t="s">
        <v>44760</v>
      </c>
      <c r="P6344">
        <v>0</v>
      </c>
      <c r="Q6344">
        <v>1</v>
      </c>
      <c r="R6344" t="s">
        <v>44766</v>
      </c>
      <c r="S6344" t="s">
        <v>44902</v>
      </c>
      <c r="T6344" t="s">
        <v>46414</v>
      </c>
      <c r="U6344" t="s">
        <v>52251</v>
      </c>
      <c r="W6344" t="s">
        <v>42144</v>
      </c>
      <c r="X6344" t="s">
        <v>44767</v>
      </c>
    </row>
    <row r="6345" spans="1:24">
      <c r="A6345">
        <f>HYPERLINK("https://www.philgeps.gov.ph/GEPSNONPILOT/Tender/SplashBidNoticeAbstractUI.aspx?menuIndex=3&amp;refID=7147862&amp;Result=3","7147862")</f>
        <v>0</v>
      </c>
      <c r="B6345" t="s">
        <v>820</v>
      </c>
      <c r="C6345" t="s">
        <v>9761</v>
      </c>
      <c r="E6345" t="s">
        <v>23634</v>
      </c>
      <c r="F6345" t="s">
        <v>30900</v>
      </c>
      <c r="G6345" t="s">
        <v>30908</v>
      </c>
      <c r="H6345" t="s">
        <v>30916</v>
      </c>
      <c r="I6345" t="s">
        <v>5501</v>
      </c>
      <c r="J6345" t="s">
        <v>35155</v>
      </c>
      <c r="K6345" t="s">
        <v>40289</v>
      </c>
      <c r="M6345" t="s">
        <v>42961</v>
      </c>
      <c r="N6345" t="s">
        <v>44759</v>
      </c>
      <c r="O6345" t="s">
        <v>44760</v>
      </c>
      <c r="P6345">
        <v>0</v>
      </c>
      <c r="Q6345">
        <v>0</v>
      </c>
      <c r="R6345" t="s">
        <v>44766</v>
      </c>
      <c r="S6345" t="s">
        <v>44902</v>
      </c>
      <c r="T6345" t="s">
        <v>46658</v>
      </c>
      <c r="U6345" t="s">
        <v>52241</v>
      </c>
      <c r="W6345" t="s">
        <v>41392</v>
      </c>
      <c r="X6345" t="s">
        <v>44767</v>
      </c>
    </row>
    <row r="6346" spans="1:24">
      <c r="A6346">
        <f>HYPERLINK("https://www.philgeps.gov.ph/GEPSNONPILOT/Tender/SplashBidNoticeAbstractUI.aspx?menuIndex=3&amp;refID=7147858&amp;Result=3","7147858")</f>
        <v>0</v>
      </c>
      <c r="B6346" t="s">
        <v>2253</v>
      </c>
      <c r="C6346" t="s">
        <v>9762</v>
      </c>
      <c r="D6346" t="s">
        <v>17959</v>
      </c>
      <c r="E6346" t="s">
        <v>23635</v>
      </c>
      <c r="F6346" t="s">
        <v>30900</v>
      </c>
      <c r="G6346" t="s">
        <v>30908</v>
      </c>
      <c r="H6346" t="s">
        <v>30916</v>
      </c>
      <c r="I6346" t="s">
        <v>30924</v>
      </c>
      <c r="J6346" t="s">
        <v>31374</v>
      </c>
      <c r="K6346" t="s">
        <v>40293</v>
      </c>
      <c r="M6346" t="s">
        <v>42965</v>
      </c>
      <c r="N6346" t="s">
        <v>44759</v>
      </c>
      <c r="O6346" t="s">
        <v>44760</v>
      </c>
      <c r="P6346">
        <v>0</v>
      </c>
      <c r="Q6346">
        <v>4</v>
      </c>
      <c r="R6346" t="s">
        <v>44766</v>
      </c>
      <c r="S6346" t="s">
        <v>44902</v>
      </c>
      <c r="T6346" t="s">
        <v>46374</v>
      </c>
      <c r="U6346" t="s">
        <v>52252</v>
      </c>
      <c r="W6346" t="s">
        <v>42965</v>
      </c>
      <c r="X6346" t="s">
        <v>44767</v>
      </c>
    </row>
    <row r="6347" spans="1:24">
      <c r="A6347">
        <f>HYPERLINK("https://www.philgeps.gov.ph/GEPSNONPILOT/Tender/SplashBidNoticeAbstractUI.aspx?menuIndex=3&amp;refID=7147879&amp;Result=3","7147879")</f>
        <v>0</v>
      </c>
      <c r="B6347" t="s">
        <v>627</v>
      </c>
      <c r="C6347" t="s">
        <v>9763</v>
      </c>
      <c r="D6347" t="s">
        <v>17952</v>
      </c>
      <c r="E6347" t="s">
        <v>23636</v>
      </c>
      <c r="F6347" t="s">
        <v>30900</v>
      </c>
      <c r="G6347" t="s">
        <v>30907</v>
      </c>
      <c r="H6347" t="s">
        <v>30916</v>
      </c>
      <c r="I6347" t="s">
        <v>4965</v>
      </c>
      <c r="J6347" t="s">
        <v>35156</v>
      </c>
      <c r="K6347" t="s">
        <v>40286</v>
      </c>
      <c r="M6347" t="s">
        <v>41189</v>
      </c>
      <c r="N6347" t="s">
        <v>44759</v>
      </c>
      <c r="O6347" t="s">
        <v>44760</v>
      </c>
      <c r="P6347">
        <v>0</v>
      </c>
      <c r="Q6347">
        <v>2</v>
      </c>
      <c r="R6347" t="s">
        <v>44766</v>
      </c>
      <c r="S6347" t="s">
        <v>44902</v>
      </c>
      <c r="T6347" t="s">
        <v>46377</v>
      </c>
      <c r="U6347" t="s">
        <v>52253</v>
      </c>
      <c r="V6347" t="s">
        <v>59816</v>
      </c>
      <c r="W6347" t="s">
        <v>41189</v>
      </c>
      <c r="X6347" t="s">
        <v>44767</v>
      </c>
    </row>
    <row r="6348" spans="1:24">
      <c r="A6348">
        <f>HYPERLINK("https://www.philgeps.gov.ph/GEPSNONPILOT/Tender/SplashBidNoticeAbstractUI.aspx?menuIndex=3&amp;refID=7147853&amp;Result=3","7147853")</f>
        <v>0</v>
      </c>
      <c r="B6348" t="s">
        <v>2254</v>
      </c>
      <c r="C6348" t="s">
        <v>9764</v>
      </c>
      <c r="D6348" t="s">
        <v>18017</v>
      </c>
      <c r="E6348" t="s">
        <v>23637</v>
      </c>
      <c r="F6348" t="s">
        <v>30900</v>
      </c>
      <c r="G6348" t="s">
        <v>30908</v>
      </c>
      <c r="H6348" t="s">
        <v>30916</v>
      </c>
      <c r="I6348" t="s">
        <v>9385</v>
      </c>
      <c r="J6348" t="s">
        <v>35157</v>
      </c>
      <c r="K6348" t="s">
        <v>40286</v>
      </c>
      <c r="M6348" t="s">
        <v>42966</v>
      </c>
      <c r="N6348" t="s">
        <v>44759</v>
      </c>
      <c r="O6348" t="s">
        <v>44760</v>
      </c>
      <c r="P6348">
        <v>0</v>
      </c>
      <c r="Q6348">
        <v>18</v>
      </c>
      <c r="R6348" t="s">
        <v>44766</v>
      </c>
      <c r="S6348" t="s">
        <v>44902</v>
      </c>
      <c r="T6348" t="s">
        <v>46548</v>
      </c>
      <c r="U6348" t="s">
        <v>52254</v>
      </c>
      <c r="W6348" t="s">
        <v>42966</v>
      </c>
      <c r="X6348" t="s">
        <v>44767</v>
      </c>
    </row>
    <row r="6349" spans="1:24">
      <c r="A6349">
        <f>HYPERLINK("https://www.philgeps.gov.ph/GEPSNONPILOT/Tender/SplashBidNoticeAbstractUI.aspx?menuIndex=3&amp;refID=7147850&amp;Result=3","7147850")</f>
        <v>0</v>
      </c>
      <c r="B6349" t="s">
        <v>2255</v>
      </c>
      <c r="C6349" t="s">
        <v>9765</v>
      </c>
      <c r="D6349" t="s">
        <v>17959</v>
      </c>
      <c r="E6349" t="s">
        <v>23638</v>
      </c>
      <c r="F6349" t="s">
        <v>30900</v>
      </c>
      <c r="G6349" t="s">
        <v>30908</v>
      </c>
      <c r="H6349" t="s">
        <v>30916</v>
      </c>
      <c r="I6349" t="s">
        <v>6953</v>
      </c>
      <c r="J6349" t="s">
        <v>31043</v>
      </c>
      <c r="K6349" t="s">
        <v>40283</v>
      </c>
      <c r="M6349" t="s">
        <v>42967</v>
      </c>
      <c r="N6349" t="s">
        <v>44759</v>
      </c>
      <c r="O6349" t="s">
        <v>44760</v>
      </c>
      <c r="P6349">
        <v>0</v>
      </c>
      <c r="Q6349">
        <v>1</v>
      </c>
      <c r="R6349" t="s">
        <v>44766</v>
      </c>
      <c r="S6349" t="s">
        <v>44902</v>
      </c>
      <c r="T6349" t="s">
        <v>46533</v>
      </c>
      <c r="U6349" t="s">
        <v>52255</v>
      </c>
      <c r="W6349" t="s">
        <v>42967</v>
      </c>
      <c r="X6349" t="s">
        <v>44767</v>
      </c>
    </row>
    <row r="6350" spans="1:24">
      <c r="A6350">
        <f>HYPERLINK("https://www.philgeps.gov.ph/GEPSNONPILOT/Tender/SplashBidNoticeAbstractUI.aspx?menuIndex=3&amp;refID=7147813&amp;Result=3","7147813")</f>
        <v>0</v>
      </c>
      <c r="B6350" t="s">
        <v>520</v>
      </c>
      <c r="C6350" t="s">
        <v>9766</v>
      </c>
      <c r="D6350" t="s">
        <v>18019</v>
      </c>
      <c r="E6350" t="s">
        <v>23639</v>
      </c>
      <c r="F6350" t="s">
        <v>30900</v>
      </c>
      <c r="G6350" t="s">
        <v>30907</v>
      </c>
      <c r="H6350" t="s">
        <v>30916</v>
      </c>
      <c r="I6350" t="s">
        <v>30933</v>
      </c>
      <c r="J6350" t="s">
        <v>31297</v>
      </c>
      <c r="K6350" t="s">
        <v>40293</v>
      </c>
      <c r="M6350" t="s">
        <v>41080</v>
      </c>
      <c r="N6350" t="s">
        <v>44759</v>
      </c>
      <c r="O6350" t="s">
        <v>44760</v>
      </c>
      <c r="P6350">
        <v>0</v>
      </c>
      <c r="Q6350">
        <v>0</v>
      </c>
      <c r="R6350" t="s">
        <v>44766</v>
      </c>
      <c r="S6350" t="s">
        <v>44902</v>
      </c>
      <c r="T6350" t="s">
        <v>46366</v>
      </c>
      <c r="U6350" t="s">
        <v>52256</v>
      </c>
      <c r="W6350" t="s">
        <v>41080</v>
      </c>
      <c r="X6350" t="s">
        <v>44767</v>
      </c>
    </row>
    <row r="6351" spans="1:24">
      <c r="A6351">
        <f>HYPERLINK("https://www.philgeps.gov.ph/GEPSNONPILOT/Tender/SplashBidNoticeAbstractUI.aspx?menuIndex=3&amp;refID=7147849&amp;Result=3","7147849")</f>
        <v>0</v>
      </c>
      <c r="B6351" t="s">
        <v>1851</v>
      </c>
      <c r="C6351" t="s">
        <v>9767</v>
      </c>
      <c r="D6351" t="s">
        <v>17955</v>
      </c>
      <c r="E6351" t="s">
        <v>23640</v>
      </c>
      <c r="F6351" t="s">
        <v>30900</v>
      </c>
      <c r="G6351" t="s">
        <v>30907</v>
      </c>
      <c r="H6351" t="s">
        <v>30917</v>
      </c>
      <c r="I6351" t="s">
        <v>31027</v>
      </c>
      <c r="J6351" t="s">
        <v>35158</v>
      </c>
      <c r="K6351" t="s">
        <v>40292</v>
      </c>
      <c r="M6351" t="s">
        <v>42523</v>
      </c>
      <c r="N6351" t="s">
        <v>44759</v>
      </c>
      <c r="O6351" t="s">
        <v>44760</v>
      </c>
      <c r="Q6351">
        <v>5</v>
      </c>
      <c r="R6351" t="s">
        <v>44766</v>
      </c>
      <c r="S6351" t="s">
        <v>44952</v>
      </c>
      <c r="T6351" t="s">
        <v>46702</v>
      </c>
      <c r="U6351" t="s">
        <v>51173</v>
      </c>
      <c r="V6351" t="s">
        <v>59814</v>
      </c>
      <c r="W6351" t="s">
        <v>42523</v>
      </c>
      <c r="X6351" t="s">
        <v>44767</v>
      </c>
    </row>
    <row r="6352" spans="1:24">
      <c r="A6352">
        <f>HYPERLINK("https://www.philgeps.gov.ph/GEPSNONPILOT/Tender/SplashBidNoticeAbstractUI.aspx?menuIndex=3&amp;refID=7147848&amp;Result=3","7147848")</f>
        <v>0</v>
      </c>
      <c r="B6352" t="s">
        <v>1054</v>
      </c>
      <c r="C6352" t="s">
        <v>9768</v>
      </c>
      <c r="E6352" t="s">
        <v>23641</v>
      </c>
      <c r="F6352" t="s">
        <v>30900</v>
      </c>
      <c r="G6352" t="s">
        <v>30909</v>
      </c>
      <c r="H6352" t="s">
        <v>30916</v>
      </c>
      <c r="I6352" t="s">
        <v>30965</v>
      </c>
      <c r="J6352" t="s">
        <v>35159</v>
      </c>
      <c r="K6352" t="s">
        <v>40289</v>
      </c>
      <c r="M6352" t="s">
        <v>41651</v>
      </c>
      <c r="N6352" t="s">
        <v>44759</v>
      </c>
      <c r="O6352" t="s">
        <v>44760</v>
      </c>
      <c r="P6352">
        <v>0</v>
      </c>
      <c r="Q6352">
        <v>2</v>
      </c>
      <c r="R6352" t="s">
        <v>44766</v>
      </c>
      <c r="S6352" t="s">
        <v>44902</v>
      </c>
      <c r="T6352" t="s">
        <v>46662</v>
      </c>
      <c r="U6352" t="s">
        <v>52257</v>
      </c>
      <c r="V6352" t="s">
        <v>59811</v>
      </c>
      <c r="W6352" t="s">
        <v>41651</v>
      </c>
      <c r="X6352" t="s">
        <v>44767</v>
      </c>
    </row>
    <row r="6353" spans="1:24">
      <c r="A6353">
        <f>HYPERLINK("https://www.philgeps.gov.ph/GEPSNONPILOT/Tender/SplashBidNoticeAbstractUI.aspx?menuIndex=3&amp;refID=7147860&amp;Result=3","7147860")</f>
        <v>0</v>
      </c>
      <c r="B6353" t="s">
        <v>2256</v>
      </c>
      <c r="C6353" t="s">
        <v>9769</v>
      </c>
      <c r="D6353" t="s">
        <v>17953</v>
      </c>
      <c r="E6353" t="s">
        <v>23642</v>
      </c>
      <c r="F6353" t="s">
        <v>30900</v>
      </c>
      <c r="G6353" t="s">
        <v>30907</v>
      </c>
      <c r="H6353" t="s">
        <v>30916</v>
      </c>
      <c r="I6353" t="s">
        <v>4142</v>
      </c>
      <c r="J6353" t="s">
        <v>35160</v>
      </c>
      <c r="K6353" t="s">
        <v>40281</v>
      </c>
      <c r="M6353" t="s">
        <v>42968</v>
      </c>
      <c r="N6353" t="s">
        <v>44759</v>
      </c>
      <c r="O6353" t="s">
        <v>44760</v>
      </c>
      <c r="P6353">
        <v>0</v>
      </c>
      <c r="Q6353">
        <v>1</v>
      </c>
      <c r="R6353" t="s">
        <v>44766</v>
      </c>
      <c r="S6353" t="s">
        <v>44902</v>
      </c>
      <c r="T6353" t="s">
        <v>46752</v>
      </c>
      <c r="U6353" t="s">
        <v>52258</v>
      </c>
      <c r="V6353" t="s">
        <v>59817</v>
      </c>
      <c r="W6353" t="s">
        <v>42968</v>
      </c>
      <c r="X6353" t="s">
        <v>44767</v>
      </c>
    </row>
    <row r="6354" spans="1:24">
      <c r="A6354">
        <f>HYPERLINK("https://www.philgeps.gov.ph/GEPSNONPILOT/Tender/SplashBidNoticeAbstractUI.aspx?menuIndex=3&amp;refID=7147934&amp;Result=3","7147934")</f>
        <v>0</v>
      </c>
      <c r="B6354" t="s">
        <v>1649</v>
      </c>
      <c r="C6354" t="s">
        <v>9770</v>
      </c>
      <c r="D6354" t="s">
        <v>18021</v>
      </c>
      <c r="E6354" t="s">
        <v>23633</v>
      </c>
      <c r="F6354" t="s">
        <v>30900</v>
      </c>
      <c r="G6354" t="s">
        <v>30907</v>
      </c>
      <c r="H6354" t="s">
        <v>30916</v>
      </c>
      <c r="I6354" t="s">
        <v>4050</v>
      </c>
      <c r="J6354" t="s">
        <v>35161</v>
      </c>
      <c r="K6354" t="s">
        <v>40286</v>
      </c>
      <c r="M6354" t="s">
        <v>42305</v>
      </c>
      <c r="N6354" t="s">
        <v>44759</v>
      </c>
      <c r="O6354" t="s">
        <v>44760</v>
      </c>
      <c r="P6354">
        <v>0</v>
      </c>
      <c r="Q6354">
        <v>0</v>
      </c>
      <c r="R6354" t="s">
        <v>44766</v>
      </c>
      <c r="S6354" t="s">
        <v>44902</v>
      </c>
      <c r="T6354" t="s">
        <v>46536</v>
      </c>
      <c r="U6354" t="s">
        <v>52259</v>
      </c>
      <c r="W6354" t="s">
        <v>42305</v>
      </c>
      <c r="X6354" t="s">
        <v>44767</v>
      </c>
    </row>
    <row r="6355" spans="1:24">
      <c r="A6355">
        <f>HYPERLINK("https://www.philgeps.gov.ph/GEPSNONPILOT/Tender/SplashBidNoticeAbstractUI.aspx?menuIndex=3&amp;refID=7147855&amp;Result=3","7147855")</f>
        <v>0</v>
      </c>
      <c r="B6355" t="s">
        <v>2257</v>
      </c>
      <c r="C6355" t="s">
        <v>9771</v>
      </c>
      <c r="D6355" t="s">
        <v>18002</v>
      </c>
      <c r="E6355" t="s">
        <v>23643</v>
      </c>
      <c r="F6355" t="s">
        <v>30900</v>
      </c>
      <c r="G6355" t="s">
        <v>30907</v>
      </c>
      <c r="H6355" t="s">
        <v>30916</v>
      </c>
      <c r="I6355" t="s">
        <v>8365</v>
      </c>
      <c r="J6355" t="s">
        <v>35162</v>
      </c>
      <c r="K6355" t="s">
        <v>40288</v>
      </c>
      <c r="M6355" t="s">
        <v>42969</v>
      </c>
      <c r="N6355" t="s">
        <v>44759</v>
      </c>
      <c r="O6355" t="s">
        <v>44760</v>
      </c>
      <c r="P6355">
        <v>0</v>
      </c>
      <c r="Q6355">
        <v>0</v>
      </c>
      <c r="R6355" t="s">
        <v>44766</v>
      </c>
      <c r="S6355" t="s">
        <v>44902</v>
      </c>
      <c r="T6355" t="s">
        <v>46379</v>
      </c>
      <c r="U6355" t="s">
        <v>52260</v>
      </c>
      <c r="V6355" t="s">
        <v>59818</v>
      </c>
      <c r="W6355" t="s">
        <v>42969</v>
      </c>
      <c r="X6355" t="s">
        <v>44767</v>
      </c>
    </row>
    <row r="6356" spans="1:24">
      <c r="A6356">
        <f>HYPERLINK("https://www.philgeps.gov.ph/GEPSNONPILOT/Tender/SplashBidNoticeAbstractUI.aspx?menuIndex=3&amp;refID=7147932&amp;Result=3","7147932")</f>
        <v>0</v>
      </c>
      <c r="B6356" t="s">
        <v>179</v>
      </c>
      <c r="C6356" t="s">
        <v>9772</v>
      </c>
      <c r="D6356" t="s">
        <v>17953</v>
      </c>
      <c r="E6356" t="s">
        <v>23644</v>
      </c>
      <c r="F6356" t="s">
        <v>30900</v>
      </c>
      <c r="G6356" t="s">
        <v>30907</v>
      </c>
      <c r="H6356" t="s">
        <v>30916</v>
      </c>
      <c r="I6356" t="s">
        <v>30933</v>
      </c>
      <c r="J6356" t="s">
        <v>33787</v>
      </c>
      <c r="K6356" t="s">
        <v>40280</v>
      </c>
      <c r="M6356" t="s">
        <v>40726</v>
      </c>
      <c r="N6356" t="s">
        <v>44759</v>
      </c>
      <c r="O6356" t="s">
        <v>44760</v>
      </c>
      <c r="P6356">
        <v>0</v>
      </c>
      <c r="Q6356">
        <v>2</v>
      </c>
      <c r="R6356" t="s">
        <v>44766</v>
      </c>
      <c r="S6356" t="s">
        <v>44902</v>
      </c>
      <c r="T6356" t="s">
        <v>46428</v>
      </c>
      <c r="U6356" t="s">
        <v>52261</v>
      </c>
      <c r="W6356" t="s">
        <v>40726</v>
      </c>
      <c r="X6356" t="s">
        <v>44767</v>
      </c>
    </row>
    <row r="6357" spans="1:24">
      <c r="A6357">
        <f>HYPERLINK("https://www.philgeps.gov.ph/GEPSNONPILOT/Tender/SplashBidNoticeAbstractUI.aspx?menuIndex=3&amp;refID=7147926&amp;Result=3","7147926")</f>
        <v>0</v>
      </c>
      <c r="B6357" t="s">
        <v>2258</v>
      </c>
      <c r="C6357" t="s">
        <v>9773</v>
      </c>
      <c r="D6357" t="s">
        <v>17968</v>
      </c>
      <c r="E6357" t="s">
        <v>23645</v>
      </c>
      <c r="F6357" t="s">
        <v>30900</v>
      </c>
      <c r="G6357" t="s">
        <v>30907</v>
      </c>
      <c r="H6357" t="s">
        <v>30915</v>
      </c>
      <c r="I6357" t="s">
        <v>30919</v>
      </c>
      <c r="J6357" t="s">
        <v>35163</v>
      </c>
      <c r="K6357" t="s">
        <v>40301</v>
      </c>
      <c r="M6357" t="s">
        <v>42970</v>
      </c>
      <c r="N6357" t="s">
        <v>44759</v>
      </c>
      <c r="O6357" t="s">
        <v>44760</v>
      </c>
      <c r="P6357">
        <v>0</v>
      </c>
      <c r="Q6357">
        <v>2</v>
      </c>
      <c r="R6357" t="s">
        <v>44766</v>
      </c>
      <c r="S6357" t="s">
        <v>44902</v>
      </c>
      <c r="T6357" t="s">
        <v>46465</v>
      </c>
      <c r="U6357" t="s">
        <v>52262</v>
      </c>
      <c r="V6357" t="s">
        <v>59819</v>
      </c>
      <c r="W6357" t="s">
        <v>42970</v>
      </c>
      <c r="X6357" t="s">
        <v>44767</v>
      </c>
    </row>
    <row r="6358" spans="1:24">
      <c r="A6358">
        <f>HYPERLINK("https://www.philgeps.gov.ph/GEPSNONPILOT/Tender/SplashBidNoticeAbstractUI.aspx?menuIndex=3&amp;refID=7147925&amp;Result=3","7147925")</f>
        <v>0</v>
      </c>
      <c r="B6358" t="s">
        <v>2259</v>
      </c>
      <c r="C6358" t="s">
        <v>9774</v>
      </c>
      <c r="D6358" t="s">
        <v>17963</v>
      </c>
      <c r="E6358" t="s">
        <v>23646</v>
      </c>
      <c r="F6358" t="s">
        <v>30900</v>
      </c>
      <c r="G6358" t="s">
        <v>30910</v>
      </c>
      <c r="H6358" t="s">
        <v>30916</v>
      </c>
      <c r="I6358" t="s">
        <v>8365</v>
      </c>
      <c r="J6358" t="s">
        <v>35164</v>
      </c>
      <c r="K6358" t="s">
        <v>40288</v>
      </c>
      <c r="M6358" t="s">
        <v>42971</v>
      </c>
      <c r="N6358" t="s">
        <v>44759</v>
      </c>
      <c r="O6358" t="s">
        <v>44760</v>
      </c>
      <c r="P6358">
        <v>0</v>
      </c>
      <c r="Q6358">
        <v>2</v>
      </c>
      <c r="R6358" t="s">
        <v>44766</v>
      </c>
      <c r="S6358" t="s">
        <v>44902</v>
      </c>
      <c r="T6358" t="s">
        <v>46700</v>
      </c>
      <c r="U6358" t="s">
        <v>52263</v>
      </c>
      <c r="W6358" t="s">
        <v>42971</v>
      </c>
      <c r="X6358" t="s">
        <v>44767</v>
      </c>
    </row>
    <row r="6359" spans="1:24">
      <c r="A6359">
        <f>HYPERLINK("https://www.philgeps.gov.ph/GEPSNONPILOT/Tender/SplashBidNoticeAbstractUI.aspx?menuIndex=3&amp;refID=7147918&amp;Result=3","7147918")</f>
        <v>0</v>
      </c>
      <c r="B6359" t="s">
        <v>390</v>
      </c>
      <c r="C6359" t="s">
        <v>9775</v>
      </c>
      <c r="D6359" t="s">
        <v>17953</v>
      </c>
      <c r="E6359" t="s">
        <v>23647</v>
      </c>
      <c r="F6359" t="s">
        <v>30900</v>
      </c>
      <c r="G6359" t="s">
        <v>30907</v>
      </c>
      <c r="H6359" t="s">
        <v>30916</v>
      </c>
      <c r="I6359" t="s">
        <v>8123</v>
      </c>
      <c r="J6359" t="s">
        <v>35165</v>
      </c>
      <c r="K6359" t="s">
        <v>40289</v>
      </c>
      <c r="M6359" t="s">
        <v>40945</v>
      </c>
      <c r="N6359" t="s">
        <v>44759</v>
      </c>
      <c r="O6359" t="s">
        <v>44760</v>
      </c>
      <c r="P6359">
        <v>0</v>
      </c>
      <c r="Q6359">
        <v>1</v>
      </c>
      <c r="R6359" t="s">
        <v>44766</v>
      </c>
      <c r="S6359" t="s">
        <v>44902</v>
      </c>
      <c r="T6359" t="s">
        <v>46520</v>
      </c>
      <c r="U6359" t="s">
        <v>47574</v>
      </c>
      <c r="W6359" t="s">
        <v>40945</v>
      </c>
      <c r="X6359" t="s">
        <v>44767</v>
      </c>
    </row>
    <row r="6360" spans="1:24">
      <c r="A6360">
        <f>HYPERLINK("https://www.philgeps.gov.ph/GEPSNONPILOT/Tender/SplashBidNoticeAbstractUI.aspx?menuIndex=3&amp;refID=7147867&amp;Result=3","7147867")</f>
        <v>0</v>
      </c>
      <c r="B6360" t="s">
        <v>2260</v>
      </c>
      <c r="C6360" t="s">
        <v>9011</v>
      </c>
      <c r="D6360" t="s">
        <v>17963</v>
      </c>
      <c r="E6360" t="s">
        <v>23648</v>
      </c>
      <c r="F6360" t="s">
        <v>30900</v>
      </c>
      <c r="G6360" t="s">
        <v>30908</v>
      </c>
      <c r="H6360" t="s">
        <v>30916</v>
      </c>
      <c r="I6360" t="s">
        <v>4108</v>
      </c>
      <c r="J6360" t="s">
        <v>34702</v>
      </c>
      <c r="K6360" t="s">
        <v>40283</v>
      </c>
      <c r="M6360" t="s">
        <v>42972</v>
      </c>
      <c r="N6360" t="s">
        <v>44759</v>
      </c>
      <c r="O6360" t="s">
        <v>44760</v>
      </c>
      <c r="P6360">
        <v>0</v>
      </c>
      <c r="Q6360">
        <v>4</v>
      </c>
      <c r="R6360" t="s">
        <v>44766</v>
      </c>
      <c r="S6360" t="s">
        <v>44902</v>
      </c>
      <c r="T6360" t="s">
        <v>46391</v>
      </c>
      <c r="U6360" t="s">
        <v>52264</v>
      </c>
      <c r="W6360" t="s">
        <v>42972</v>
      </c>
      <c r="X6360" t="s">
        <v>44767</v>
      </c>
    </row>
    <row r="6361" spans="1:24">
      <c r="A6361">
        <f>HYPERLINK("https://www.philgeps.gov.ph/GEPSNONPILOT/Tender/SplashBidNoticeAbstractUI.aspx?menuIndex=3&amp;refID=7147915&amp;Result=3","7147915")</f>
        <v>0</v>
      </c>
      <c r="B6361" t="s">
        <v>179</v>
      </c>
      <c r="C6361" t="s">
        <v>9776</v>
      </c>
      <c r="D6361" t="s">
        <v>17953</v>
      </c>
      <c r="E6361" t="s">
        <v>23649</v>
      </c>
      <c r="F6361" t="s">
        <v>30900</v>
      </c>
      <c r="G6361" t="s">
        <v>30907</v>
      </c>
      <c r="H6361" t="s">
        <v>30916</v>
      </c>
      <c r="I6361" t="s">
        <v>30933</v>
      </c>
      <c r="J6361" t="s">
        <v>31152</v>
      </c>
      <c r="K6361" t="s">
        <v>40280</v>
      </c>
      <c r="M6361" t="s">
        <v>40726</v>
      </c>
      <c r="N6361" t="s">
        <v>44759</v>
      </c>
      <c r="O6361" t="s">
        <v>44760</v>
      </c>
      <c r="P6361">
        <v>0</v>
      </c>
      <c r="Q6361">
        <v>1</v>
      </c>
      <c r="R6361" t="s">
        <v>44766</v>
      </c>
      <c r="S6361" t="s">
        <v>44902</v>
      </c>
      <c r="T6361" t="s">
        <v>46753</v>
      </c>
      <c r="U6361" t="s">
        <v>52265</v>
      </c>
      <c r="W6361" t="s">
        <v>40726</v>
      </c>
      <c r="X6361" t="s">
        <v>44767</v>
      </c>
    </row>
    <row r="6362" spans="1:24">
      <c r="A6362">
        <f>HYPERLINK("https://www.philgeps.gov.ph/GEPSNONPILOT/Tender/SplashBidNoticeAbstractUI.aspx?menuIndex=3&amp;refID=7147913&amp;Result=3","7147913")</f>
        <v>0</v>
      </c>
      <c r="B6362" t="s">
        <v>390</v>
      </c>
      <c r="C6362" t="s">
        <v>9777</v>
      </c>
      <c r="D6362" t="s">
        <v>17953</v>
      </c>
      <c r="E6362" t="s">
        <v>23650</v>
      </c>
      <c r="F6362" t="s">
        <v>30900</v>
      </c>
      <c r="G6362" t="s">
        <v>30907</v>
      </c>
      <c r="H6362" t="s">
        <v>30916</v>
      </c>
      <c r="I6362" t="s">
        <v>8123</v>
      </c>
      <c r="J6362" t="s">
        <v>35166</v>
      </c>
      <c r="K6362" t="s">
        <v>40289</v>
      </c>
      <c r="M6362" t="s">
        <v>40945</v>
      </c>
      <c r="N6362" t="s">
        <v>44759</v>
      </c>
      <c r="O6362" t="s">
        <v>44760</v>
      </c>
      <c r="P6362">
        <v>0</v>
      </c>
      <c r="Q6362">
        <v>0</v>
      </c>
      <c r="R6362" t="s">
        <v>44766</v>
      </c>
      <c r="S6362" t="s">
        <v>44902</v>
      </c>
      <c r="T6362" t="s">
        <v>46456</v>
      </c>
      <c r="U6362" t="s">
        <v>47574</v>
      </c>
      <c r="W6362" t="s">
        <v>40945</v>
      </c>
      <c r="X6362" t="s">
        <v>44767</v>
      </c>
    </row>
    <row r="6363" spans="1:24">
      <c r="A6363">
        <f>HYPERLINK("https://www.philgeps.gov.ph/GEPSNONPILOT/Tender/SplashBidNoticeAbstractUI.aspx?menuIndex=3&amp;refID=7147912&amp;Result=3","7147912")</f>
        <v>0</v>
      </c>
      <c r="B6363" t="s">
        <v>2261</v>
      </c>
      <c r="C6363" t="s">
        <v>9778</v>
      </c>
      <c r="D6363" t="s">
        <v>17985</v>
      </c>
      <c r="E6363" t="s">
        <v>23651</v>
      </c>
      <c r="F6363" t="s">
        <v>30900</v>
      </c>
      <c r="G6363" t="s">
        <v>30909</v>
      </c>
      <c r="H6363" t="s">
        <v>30916</v>
      </c>
      <c r="I6363" t="s">
        <v>30977</v>
      </c>
      <c r="J6363" t="s">
        <v>31070</v>
      </c>
      <c r="K6363" t="s">
        <v>40288</v>
      </c>
      <c r="M6363" t="s">
        <v>42973</v>
      </c>
      <c r="N6363" t="s">
        <v>44759</v>
      </c>
      <c r="O6363" t="s">
        <v>44760</v>
      </c>
      <c r="P6363">
        <v>0</v>
      </c>
      <c r="Q6363">
        <v>1</v>
      </c>
      <c r="R6363" t="s">
        <v>44766</v>
      </c>
      <c r="S6363" t="s">
        <v>44902</v>
      </c>
      <c r="T6363" t="s">
        <v>46410</v>
      </c>
      <c r="U6363" t="s">
        <v>52266</v>
      </c>
      <c r="W6363" t="s">
        <v>42973</v>
      </c>
      <c r="X6363" t="s">
        <v>44767</v>
      </c>
    </row>
    <row r="6364" spans="1:24">
      <c r="A6364">
        <f>HYPERLINK("https://www.philgeps.gov.ph/GEPSNONPILOT/Tender/SplashBidNoticeAbstractUI.aspx?menuIndex=3&amp;refID=7147923&amp;Result=3","7147923")</f>
        <v>0</v>
      </c>
      <c r="B6364" t="s">
        <v>179</v>
      </c>
      <c r="C6364" t="s">
        <v>9779</v>
      </c>
      <c r="D6364" t="s">
        <v>17953</v>
      </c>
      <c r="E6364" t="s">
        <v>23652</v>
      </c>
      <c r="F6364" t="s">
        <v>30900</v>
      </c>
      <c r="G6364" t="s">
        <v>30907</v>
      </c>
      <c r="H6364" t="s">
        <v>30916</v>
      </c>
      <c r="I6364" t="s">
        <v>30933</v>
      </c>
      <c r="J6364" t="s">
        <v>33735</v>
      </c>
      <c r="K6364" t="s">
        <v>40280</v>
      </c>
      <c r="M6364" t="s">
        <v>40726</v>
      </c>
      <c r="N6364" t="s">
        <v>44759</v>
      </c>
      <c r="O6364" t="s">
        <v>44760</v>
      </c>
      <c r="P6364">
        <v>0</v>
      </c>
      <c r="Q6364">
        <v>3</v>
      </c>
      <c r="R6364" t="s">
        <v>44766</v>
      </c>
      <c r="S6364" t="s">
        <v>44902</v>
      </c>
      <c r="T6364" t="s">
        <v>46428</v>
      </c>
      <c r="U6364" t="s">
        <v>52267</v>
      </c>
      <c r="W6364" t="s">
        <v>40726</v>
      </c>
      <c r="X6364" t="s">
        <v>44767</v>
      </c>
    </row>
    <row r="6365" spans="1:24">
      <c r="A6365">
        <f>HYPERLINK("https://www.philgeps.gov.ph/GEPSNONPILOT/Tender/SplashBidNoticeAbstractUI.aspx?menuIndex=3&amp;refID=7147880&amp;Result=3","7147880")</f>
        <v>0</v>
      </c>
      <c r="B6365" t="s">
        <v>179</v>
      </c>
      <c r="C6365" t="s">
        <v>9780</v>
      </c>
      <c r="D6365" t="s">
        <v>17953</v>
      </c>
      <c r="E6365" t="s">
        <v>23653</v>
      </c>
      <c r="F6365" t="s">
        <v>30900</v>
      </c>
      <c r="G6365" t="s">
        <v>30907</v>
      </c>
      <c r="H6365" t="s">
        <v>30915</v>
      </c>
      <c r="I6365" t="s">
        <v>30919</v>
      </c>
      <c r="J6365" t="s">
        <v>35167</v>
      </c>
      <c r="K6365" t="s">
        <v>40304</v>
      </c>
      <c r="M6365" t="s">
        <v>40726</v>
      </c>
      <c r="N6365" t="s">
        <v>44759</v>
      </c>
      <c r="O6365" t="s">
        <v>44760</v>
      </c>
      <c r="P6365">
        <v>0</v>
      </c>
      <c r="Q6365">
        <v>2</v>
      </c>
      <c r="R6365" t="s">
        <v>44766</v>
      </c>
      <c r="S6365" t="s">
        <v>44902</v>
      </c>
      <c r="T6365" t="s">
        <v>46428</v>
      </c>
      <c r="U6365" t="s">
        <v>52268</v>
      </c>
      <c r="W6365" t="s">
        <v>40726</v>
      </c>
      <c r="X6365" t="s">
        <v>44767</v>
      </c>
    </row>
    <row r="6366" spans="1:24">
      <c r="A6366">
        <f>HYPERLINK("https://www.philgeps.gov.ph/GEPSNONPILOT/Tender/SplashBidNoticeAbstractUI.aspx?menuIndex=3&amp;refID=7147907&amp;Result=3","7147907")</f>
        <v>0</v>
      </c>
      <c r="B6366" t="s">
        <v>390</v>
      </c>
      <c r="C6366" t="s">
        <v>9781</v>
      </c>
      <c r="D6366" t="s">
        <v>17953</v>
      </c>
      <c r="E6366" t="s">
        <v>23654</v>
      </c>
      <c r="F6366" t="s">
        <v>30900</v>
      </c>
      <c r="G6366" t="s">
        <v>30907</v>
      </c>
      <c r="H6366" t="s">
        <v>30916</v>
      </c>
      <c r="I6366" t="s">
        <v>8123</v>
      </c>
      <c r="J6366" t="s">
        <v>35168</v>
      </c>
      <c r="K6366" t="s">
        <v>40289</v>
      </c>
      <c r="M6366" t="s">
        <v>40945</v>
      </c>
      <c r="N6366" t="s">
        <v>44759</v>
      </c>
      <c r="O6366" t="s">
        <v>44760</v>
      </c>
      <c r="P6366">
        <v>0</v>
      </c>
      <c r="Q6366">
        <v>0</v>
      </c>
      <c r="R6366" t="s">
        <v>44766</v>
      </c>
      <c r="S6366" t="s">
        <v>44902</v>
      </c>
      <c r="T6366" t="s">
        <v>46377</v>
      </c>
      <c r="U6366" t="s">
        <v>47574</v>
      </c>
      <c r="W6366" t="s">
        <v>40945</v>
      </c>
      <c r="X6366" t="s">
        <v>44767</v>
      </c>
    </row>
    <row r="6367" spans="1:24">
      <c r="A6367">
        <f>HYPERLINK("https://www.philgeps.gov.ph/GEPSNONPILOT/Tender/SplashBidNoticeAbstractUI.aspx?menuIndex=3&amp;refID=7147906&amp;Result=3","7147906")</f>
        <v>0</v>
      </c>
      <c r="B6367" t="s">
        <v>2251</v>
      </c>
      <c r="C6367" t="s">
        <v>6603</v>
      </c>
      <c r="D6367" t="s">
        <v>17984</v>
      </c>
      <c r="E6367" t="s">
        <v>23655</v>
      </c>
      <c r="F6367" t="s">
        <v>30900</v>
      </c>
      <c r="G6367" t="s">
        <v>30907</v>
      </c>
      <c r="H6367" t="s">
        <v>30915</v>
      </c>
      <c r="I6367" t="s">
        <v>30919</v>
      </c>
      <c r="J6367" t="s">
        <v>31105</v>
      </c>
      <c r="K6367" t="s">
        <v>40291</v>
      </c>
      <c r="M6367" t="s">
        <v>42963</v>
      </c>
      <c r="N6367" t="s">
        <v>44759</v>
      </c>
      <c r="O6367" t="s">
        <v>44760</v>
      </c>
      <c r="P6367">
        <v>0</v>
      </c>
      <c r="Q6367">
        <v>0</v>
      </c>
      <c r="R6367" t="s">
        <v>44766</v>
      </c>
      <c r="S6367" t="s">
        <v>44902</v>
      </c>
      <c r="T6367" t="s">
        <v>46362</v>
      </c>
      <c r="U6367" t="s">
        <v>52269</v>
      </c>
      <c r="W6367" t="s">
        <v>42963</v>
      </c>
      <c r="X6367" t="s">
        <v>44767</v>
      </c>
    </row>
    <row r="6368" spans="1:24">
      <c r="A6368">
        <f>HYPERLINK("https://www.philgeps.gov.ph/GEPSNONPILOT/Tender/SplashBidNoticeAbstractUI.aspx?menuIndex=3&amp;refID=7147899&amp;Result=3","7147899")</f>
        <v>0</v>
      </c>
      <c r="B6368" t="s">
        <v>2262</v>
      </c>
      <c r="C6368" t="s">
        <v>9782</v>
      </c>
      <c r="D6368" t="s">
        <v>17993</v>
      </c>
      <c r="E6368" t="s">
        <v>23656</v>
      </c>
      <c r="F6368" t="s">
        <v>30900</v>
      </c>
      <c r="G6368" t="s">
        <v>30908</v>
      </c>
      <c r="H6368" t="s">
        <v>30916</v>
      </c>
      <c r="I6368" t="s">
        <v>10847</v>
      </c>
      <c r="J6368" t="s">
        <v>31293</v>
      </c>
      <c r="K6368" t="s">
        <v>40289</v>
      </c>
      <c r="M6368" t="s">
        <v>42974</v>
      </c>
      <c r="N6368" t="s">
        <v>44759</v>
      </c>
      <c r="O6368" t="s">
        <v>44760</v>
      </c>
      <c r="P6368">
        <v>0</v>
      </c>
      <c r="Q6368">
        <v>1</v>
      </c>
      <c r="R6368" t="s">
        <v>44766</v>
      </c>
      <c r="S6368" t="s">
        <v>44902</v>
      </c>
      <c r="T6368" t="s">
        <v>46391</v>
      </c>
      <c r="U6368" t="s">
        <v>48359</v>
      </c>
      <c r="W6368" t="s">
        <v>42974</v>
      </c>
      <c r="X6368" t="s">
        <v>44767</v>
      </c>
    </row>
    <row r="6369" spans="1:24">
      <c r="A6369">
        <f>HYPERLINK("https://www.philgeps.gov.ph/GEPSNONPILOT/Tender/SplashBidNoticeAbstractUI.aspx?menuIndex=3&amp;refID=7147807&amp;Result=3","7147807")</f>
        <v>0</v>
      </c>
      <c r="B6369" t="s">
        <v>2250</v>
      </c>
      <c r="C6369" t="s">
        <v>9783</v>
      </c>
      <c r="D6369" t="s">
        <v>17968</v>
      </c>
      <c r="E6369" t="s">
        <v>19690</v>
      </c>
      <c r="F6369" t="s">
        <v>30900</v>
      </c>
      <c r="G6369" t="s">
        <v>30907</v>
      </c>
      <c r="H6369" t="s">
        <v>30916</v>
      </c>
      <c r="I6369" t="s">
        <v>8123</v>
      </c>
      <c r="J6369" t="s">
        <v>35169</v>
      </c>
      <c r="K6369" t="s">
        <v>40289</v>
      </c>
      <c r="M6369" t="s">
        <v>42962</v>
      </c>
      <c r="N6369" t="s">
        <v>44759</v>
      </c>
      <c r="O6369" t="s">
        <v>44760</v>
      </c>
      <c r="P6369">
        <v>0</v>
      </c>
      <c r="Q6369">
        <v>0</v>
      </c>
      <c r="R6369" t="s">
        <v>44766</v>
      </c>
      <c r="S6369" t="s">
        <v>44902</v>
      </c>
      <c r="T6369" t="s">
        <v>46414</v>
      </c>
      <c r="U6369" t="s">
        <v>52270</v>
      </c>
      <c r="W6369" t="s">
        <v>42962</v>
      </c>
      <c r="X6369" t="s">
        <v>44767</v>
      </c>
    </row>
    <row r="6370" spans="1:24">
      <c r="A6370">
        <f>HYPERLINK("https://www.philgeps.gov.ph/GEPSNONPILOT/Tender/SplashBidNoticeAbstractUI.aspx?menuIndex=3&amp;refID=7147897&amp;Result=3","7147897")</f>
        <v>0</v>
      </c>
      <c r="B6370" t="s">
        <v>2251</v>
      </c>
      <c r="C6370" t="s">
        <v>9784</v>
      </c>
      <c r="D6370" t="s">
        <v>17984</v>
      </c>
      <c r="E6370" t="s">
        <v>23657</v>
      </c>
      <c r="F6370" t="s">
        <v>30900</v>
      </c>
      <c r="G6370" t="s">
        <v>30907</v>
      </c>
      <c r="H6370" t="s">
        <v>30915</v>
      </c>
      <c r="I6370" t="s">
        <v>30919</v>
      </c>
      <c r="J6370" t="s">
        <v>31049</v>
      </c>
      <c r="K6370" t="s">
        <v>40311</v>
      </c>
      <c r="M6370" t="s">
        <v>42963</v>
      </c>
      <c r="N6370" t="s">
        <v>44759</v>
      </c>
      <c r="O6370" t="s">
        <v>44760</v>
      </c>
      <c r="P6370">
        <v>0</v>
      </c>
      <c r="Q6370">
        <v>0</v>
      </c>
      <c r="R6370" t="s">
        <v>44766</v>
      </c>
      <c r="S6370" t="s">
        <v>44902</v>
      </c>
      <c r="T6370" t="s">
        <v>46362</v>
      </c>
      <c r="U6370" t="s">
        <v>52271</v>
      </c>
      <c r="W6370" t="s">
        <v>42963</v>
      </c>
      <c r="X6370" t="s">
        <v>44767</v>
      </c>
    </row>
    <row r="6371" spans="1:24">
      <c r="A6371">
        <f>HYPERLINK("https://www.philgeps.gov.ph/GEPSNONPILOT/Tender/SplashBidNoticeAbstractUI.aspx?menuIndex=3&amp;refID=7147989&amp;Result=3","7147989")</f>
        <v>0</v>
      </c>
      <c r="B6371" t="s">
        <v>1529</v>
      </c>
      <c r="C6371" t="s">
        <v>9785</v>
      </c>
      <c r="D6371" t="s">
        <v>18010</v>
      </c>
      <c r="E6371" t="s">
        <v>23658</v>
      </c>
      <c r="F6371" t="s">
        <v>30900</v>
      </c>
      <c r="G6371" t="s">
        <v>30908</v>
      </c>
      <c r="H6371" t="s">
        <v>30916</v>
      </c>
      <c r="I6371" t="s">
        <v>5501</v>
      </c>
      <c r="J6371" t="s">
        <v>33932</v>
      </c>
      <c r="K6371" t="s">
        <v>40283</v>
      </c>
      <c r="M6371" t="s">
        <v>42172</v>
      </c>
      <c r="N6371" t="s">
        <v>44759</v>
      </c>
      <c r="O6371" t="s">
        <v>44760</v>
      </c>
      <c r="P6371">
        <v>0</v>
      </c>
      <c r="Q6371">
        <v>3</v>
      </c>
      <c r="R6371" t="s">
        <v>44766</v>
      </c>
      <c r="S6371" t="s">
        <v>44902</v>
      </c>
      <c r="T6371" t="s">
        <v>46581</v>
      </c>
      <c r="U6371" t="s">
        <v>52272</v>
      </c>
      <c r="W6371" t="s">
        <v>60866</v>
      </c>
      <c r="X6371" t="s">
        <v>44767</v>
      </c>
    </row>
    <row r="6372" spans="1:24">
      <c r="A6372">
        <f>HYPERLINK("https://www.philgeps.gov.ph/GEPSNONPILOT/Tender/SplashBidNoticeAbstractUI.aspx?menuIndex=3&amp;refID=7147988&amp;Result=3","7147988")</f>
        <v>0</v>
      </c>
      <c r="B6372" t="s">
        <v>2263</v>
      </c>
      <c r="C6372" t="s">
        <v>9786</v>
      </c>
      <c r="D6372" t="s">
        <v>17966</v>
      </c>
      <c r="E6372" t="s">
        <v>23659</v>
      </c>
      <c r="F6372" t="s">
        <v>30900</v>
      </c>
      <c r="G6372" t="s">
        <v>30907</v>
      </c>
      <c r="H6372" t="s">
        <v>30916</v>
      </c>
      <c r="I6372" t="s">
        <v>8123</v>
      </c>
      <c r="J6372" t="s">
        <v>35170</v>
      </c>
      <c r="K6372" t="s">
        <v>40283</v>
      </c>
      <c r="L6372" t="s">
        <v>2263</v>
      </c>
      <c r="M6372" t="s">
        <v>42975</v>
      </c>
      <c r="N6372" t="s">
        <v>44759</v>
      </c>
      <c r="O6372" t="s">
        <v>44760</v>
      </c>
      <c r="P6372">
        <v>0</v>
      </c>
      <c r="Q6372">
        <v>1</v>
      </c>
      <c r="R6372" t="s">
        <v>44766</v>
      </c>
      <c r="S6372" t="s">
        <v>44902</v>
      </c>
      <c r="T6372" t="s">
        <v>46414</v>
      </c>
      <c r="U6372" t="s">
        <v>52273</v>
      </c>
      <c r="W6372" t="s">
        <v>42975</v>
      </c>
      <c r="X6372" t="s">
        <v>44767</v>
      </c>
    </row>
    <row r="6373" spans="1:24">
      <c r="A6373">
        <f>HYPERLINK("https://www.philgeps.gov.ph/GEPSNONPILOT/Tender/SplashBidNoticeAbstractUI.aspx?menuIndex=3&amp;refID=7147984&amp;Result=3","7147984")</f>
        <v>0</v>
      </c>
      <c r="B6373" t="s">
        <v>2264</v>
      </c>
      <c r="C6373" t="s">
        <v>9787</v>
      </c>
      <c r="D6373" t="s">
        <v>17954</v>
      </c>
      <c r="E6373" t="s">
        <v>18282</v>
      </c>
      <c r="F6373" t="s">
        <v>30900</v>
      </c>
      <c r="G6373" t="s">
        <v>30907</v>
      </c>
      <c r="H6373" t="s">
        <v>30915</v>
      </c>
      <c r="I6373" t="s">
        <v>30919</v>
      </c>
      <c r="J6373" t="s">
        <v>35171</v>
      </c>
      <c r="K6373" t="s">
        <v>40286</v>
      </c>
      <c r="M6373" t="s">
        <v>42976</v>
      </c>
      <c r="N6373" t="s">
        <v>44759</v>
      </c>
      <c r="O6373" t="s">
        <v>44760</v>
      </c>
      <c r="P6373">
        <v>0</v>
      </c>
      <c r="Q6373">
        <v>0</v>
      </c>
      <c r="R6373" t="s">
        <v>44766</v>
      </c>
      <c r="S6373" t="s">
        <v>44902</v>
      </c>
      <c r="T6373" t="s">
        <v>46540</v>
      </c>
      <c r="U6373" t="s">
        <v>52274</v>
      </c>
      <c r="W6373" t="s">
        <v>42976</v>
      </c>
      <c r="X6373" t="s">
        <v>44767</v>
      </c>
    </row>
    <row r="6374" spans="1:24">
      <c r="A6374">
        <f>HYPERLINK("https://www.philgeps.gov.ph/GEPSNONPILOT/Tender/SplashBidNoticeAbstractUI.aspx?menuIndex=3&amp;refID=7147909&amp;Result=3","7147909")</f>
        <v>0</v>
      </c>
      <c r="B6374" t="s">
        <v>2258</v>
      </c>
      <c r="C6374" t="s">
        <v>9788</v>
      </c>
      <c r="D6374" t="s">
        <v>17968</v>
      </c>
      <c r="E6374" t="s">
        <v>23660</v>
      </c>
      <c r="F6374" t="s">
        <v>30900</v>
      </c>
      <c r="G6374" t="s">
        <v>30907</v>
      </c>
      <c r="H6374" t="s">
        <v>30915</v>
      </c>
      <c r="I6374" t="s">
        <v>30919</v>
      </c>
      <c r="J6374" t="s">
        <v>35172</v>
      </c>
      <c r="K6374" t="s">
        <v>40304</v>
      </c>
      <c r="M6374" t="s">
        <v>42970</v>
      </c>
      <c r="N6374" t="s">
        <v>44759</v>
      </c>
      <c r="O6374" t="s">
        <v>44760</v>
      </c>
      <c r="P6374">
        <v>0</v>
      </c>
      <c r="Q6374">
        <v>3</v>
      </c>
      <c r="R6374" t="s">
        <v>44766</v>
      </c>
      <c r="S6374" t="s">
        <v>44902</v>
      </c>
      <c r="T6374" t="s">
        <v>46465</v>
      </c>
      <c r="U6374" t="s">
        <v>52275</v>
      </c>
      <c r="W6374" t="s">
        <v>42970</v>
      </c>
      <c r="X6374" t="s">
        <v>44767</v>
      </c>
    </row>
    <row r="6375" spans="1:24">
      <c r="A6375">
        <f>HYPERLINK("https://www.philgeps.gov.ph/GEPSNONPILOT/Tender/SplashBidNoticeAbstractUI.aspx?menuIndex=3&amp;refID=7147982&amp;Result=3","7147982")</f>
        <v>0</v>
      </c>
      <c r="B6375" t="s">
        <v>2265</v>
      </c>
      <c r="C6375" t="s">
        <v>8123</v>
      </c>
      <c r="D6375" t="s">
        <v>17993</v>
      </c>
      <c r="E6375" t="s">
        <v>23661</v>
      </c>
      <c r="F6375" t="s">
        <v>30900</v>
      </c>
      <c r="G6375" t="s">
        <v>30907</v>
      </c>
      <c r="H6375" t="s">
        <v>30916</v>
      </c>
      <c r="I6375" t="s">
        <v>8123</v>
      </c>
      <c r="J6375" t="s">
        <v>31101</v>
      </c>
      <c r="K6375" t="s">
        <v>40287</v>
      </c>
      <c r="M6375" t="s">
        <v>42977</v>
      </c>
      <c r="N6375" t="s">
        <v>44759</v>
      </c>
      <c r="O6375" t="s">
        <v>44760</v>
      </c>
      <c r="P6375">
        <v>0</v>
      </c>
      <c r="Q6375">
        <v>1</v>
      </c>
      <c r="R6375" t="s">
        <v>44766</v>
      </c>
      <c r="S6375" t="s">
        <v>44902</v>
      </c>
      <c r="T6375" t="s">
        <v>46398</v>
      </c>
      <c r="U6375" t="s">
        <v>52276</v>
      </c>
      <c r="W6375" t="s">
        <v>42977</v>
      </c>
      <c r="X6375" t="s">
        <v>44767</v>
      </c>
    </row>
    <row r="6376" spans="1:24">
      <c r="A6376">
        <f>HYPERLINK("https://www.philgeps.gov.ph/GEPSNONPILOT/Tender/SplashBidNoticeAbstractUI.aspx?menuIndex=3&amp;refID=7147981&amp;Result=3","7147981")</f>
        <v>0</v>
      </c>
      <c r="B6376" t="s">
        <v>2266</v>
      </c>
      <c r="C6376" t="s">
        <v>9789</v>
      </c>
      <c r="D6376" t="s">
        <v>17961</v>
      </c>
      <c r="E6376" t="s">
        <v>18282</v>
      </c>
      <c r="F6376" t="s">
        <v>30899</v>
      </c>
      <c r="G6376" t="s">
        <v>30908</v>
      </c>
      <c r="H6376" t="s">
        <v>30916</v>
      </c>
      <c r="I6376" t="s">
        <v>6396</v>
      </c>
      <c r="J6376" t="s">
        <v>35173</v>
      </c>
      <c r="K6376" t="s">
        <v>40285</v>
      </c>
      <c r="M6376" t="s">
        <v>42978</v>
      </c>
      <c r="N6376" t="s">
        <v>44759</v>
      </c>
      <c r="O6376" t="s">
        <v>44760</v>
      </c>
      <c r="P6376">
        <v>0</v>
      </c>
      <c r="Q6376">
        <v>2</v>
      </c>
      <c r="R6376" t="s">
        <v>44766</v>
      </c>
      <c r="S6376" t="s">
        <v>44902</v>
      </c>
      <c r="T6376" t="s">
        <v>46414</v>
      </c>
      <c r="U6376" t="s">
        <v>52277</v>
      </c>
      <c r="W6376" t="s">
        <v>42978</v>
      </c>
      <c r="X6376" t="s">
        <v>44767</v>
      </c>
    </row>
    <row r="6377" spans="1:24">
      <c r="A6377">
        <f>HYPERLINK("https://www.philgeps.gov.ph/GEPSNONPILOT/Tender/SplashBidNoticeAbstractUI.aspx?menuIndex=3&amp;refID=7147980&amp;Result=3","7147980")</f>
        <v>0</v>
      </c>
      <c r="B6377" t="s">
        <v>2267</v>
      </c>
      <c r="C6377" t="s">
        <v>9790</v>
      </c>
      <c r="E6377" t="s">
        <v>23662</v>
      </c>
      <c r="F6377" t="s">
        <v>30900</v>
      </c>
      <c r="G6377" t="s">
        <v>30909</v>
      </c>
      <c r="H6377" t="s">
        <v>30916</v>
      </c>
      <c r="I6377" t="s">
        <v>11785</v>
      </c>
      <c r="J6377" t="s">
        <v>35174</v>
      </c>
      <c r="K6377" t="s">
        <v>40289</v>
      </c>
      <c r="M6377" t="s">
        <v>42979</v>
      </c>
      <c r="N6377" t="s">
        <v>44759</v>
      </c>
      <c r="O6377" t="s">
        <v>44760</v>
      </c>
      <c r="P6377">
        <v>0</v>
      </c>
      <c r="Q6377">
        <v>2</v>
      </c>
      <c r="R6377" t="s">
        <v>44766</v>
      </c>
      <c r="S6377" t="s">
        <v>44902</v>
      </c>
      <c r="T6377" t="s">
        <v>46625</v>
      </c>
      <c r="U6377" t="s">
        <v>52278</v>
      </c>
      <c r="W6377" t="s">
        <v>42979</v>
      </c>
      <c r="X6377" t="s">
        <v>44767</v>
      </c>
    </row>
    <row r="6378" spans="1:24">
      <c r="A6378">
        <f>HYPERLINK("https://www.philgeps.gov.ph/GEPSNONPILOT/Tender/SplashBidNoticeAbstractUI.aspx?menuIndex=3&amp;refID=7147905&amp;Result=3","7147905")</f>
        <v>0</v>
      </c>
      <c r="B6378" t="s">
        <v>1706</v>
      </c>
      <c r="C6378" t="s">
        <v>9791</v>
      </c>
      <c r="D6378" t="s">
        <v>17999</v>
      </c>
      <c r="E6378" t="s">
        <v>23663</v>
      </c>
      <c r="F6378" t="s">
        <v>30900</v>
      </c>
      <c r="G6378" t="s">
        <v>30908</v>
      </c>
      <c r="H6378" t="s">
        <v>30916</v>
      </c>
      <c r="I6378" t="s">
        <v>8123</v>
      </c>
      <c r="J6378" t="s">
        <v>35175</v>
      </c>
      <c r="K6378" t="s">
        <v>40291</v>
      </c>
      <c r="M6378" t="s">
        <v>42369</v>
      </c>
      <c r="N6378" t="s">
        <v>44759</v>
      </c>
      <c r="O6378" t="s">
        <v>44760</v>
      </c>
      <c r="P6378">
        <v>0</v>
      </c>
      <c r="Q6378">
        <v>2</v>
      </c>
      <c r="R6378" t="s">
        <v>44766</v>
      </c>
      <c r="S6378" t="s">
        <v>44902</v>
      </c>
      <c r="T6378" t="s">
        <v>46414</v>
      </c>
      <c r="U6378" t="s">
        <v>50747</v>
      </c>
      <c r="W6378" t="s">
        <v>42369</v>
      </c>
      <c r="X6378" t="s">
        <v>44767</v>
      </c>
    </row>
    <row r="6379" spans="1:24">
      <c r="A6379">
        <f>HYPERLINK("https://www.philgeps.gov.ph/GEPSNONPILOT/Tender/SplashBidNoticeAbstractUI.aspx?menuIndex=3&amp;refID=7147978&amp;Result=3","7147978")</f>
        <v>0</v>
      </c>
      <c r="B6379" t="s">
        <v>926</v>
      </c>
      <c r="C6379" t="s">
        <v>9792</v>
      </c>
      <c r="D6379" t="s">
        <v>17999</v>
      </c>
      <c r="E6379" t="s">
        <v>23664</v>
      </c>
      <c r="F6379" t="s">
        <v>30900</v>
      </c>
      <c r="G6379" t="s">
        <v>30911</v>
      </c>
      <c r="H6379" t="s">
        <v>7411</v>
      </c>
      <c r="I6379" t="s">
        <v>7411</v>
      </c>
      <c r="J6379" t="s">
        <v>31297</v>
      </c>
      <c r="K6379" t="s">
        <v>40397</v>
      </c>
      <c r="M6379" t="s">
        <v>42980</v>
      </c>
      <c r="N6379" t="s">
        <v>44759</v>
      </c>
      <c r="O6379" t="s">
        <v>44760</v>
      </c>
      <c r="P6379">
        <v>0</v>
      </c>
      <c r="Q6379">
        <v>2</v>
      </c>
      <c r="R6379" t="s">
        <v>44766</v>
      </c>
      <c r="S6379" t="s">
        <v>44902</v>
      </c>
      <c r="T6379" t="s">
        <v>46503</v>
      </c>
      <c r="U6379" t="s">
        <v>52279</v>
      </c>
      <c r="V6379" t="s">
        <v>48109</v>
      </c>
      <c r="W6379" t="s">
        <v>42980</v>
      </c>
      <c r="X6379" t="s">
        <v>44767</v>
      </c>
    </row>
    <row r="6380" spans="1:24">
      <c r="A6380">
        <f>HYPERLINK("https://www.philgeps.gov.ph/GEPSNONPILOT/Tender/SplashBidNoticeAbstractUI.aspx?menuIndex=3&amp;refID=7147921&amp;Result=3","7147921")</f>
        <v>0</v>
      </c>
      <c r="B6380" t="s">
        <v>1786</v>
      </c>
      <c r="C6380" t="s">
        <v>9793</v>
      </c>
      <c r="D6380" t="s">
        <v>18025</v>
      </c>
      <c r="E6380" t="s">
        <v>23665</v>
      </c>
      <c r="F6380" t="s">
        <v>30900</v>
      </c>
      <c r="G6380" t="s">
        <v>30909</v>
      </c>
      <c r="H6380" t="s">
        <v>30916</v>
      </c>
      <c r="I6380" t="s">
        <v>30923</v>
      </c>
      <c r="J6380" t="s">
        <v>32199</v>
      </c>
      <c r="K6380" t="s">
        <v>40289</v>
      </c>
      <c r="M6380" t="s">
        <v>42461</v>
      </c>
      <c r="N6380" t="s">
        <v>44759</v>
      </c>
      <c r="O6380" t="s">
        <v>44760</v>
      </c>
      <c r="Q6380">
        <v>10</v>
      </c>
      <c r="R6380" t="s">
        <v>44766</v>
      </c>
      <c r="S6380" t="s">
        <v>44913</v>
      </c>
      <c r="T6380" t="s">
        <v>46379</v>
      </c>
      <c r="U6380" t="s">
        <v>52280</v>
      </c>
      <c r="V6380" t="s">
        <v>59626</v>
      </c>
      <c r="W6380" t="s">
        <v>42461</v>
      </c>
      <c r="X6380" t="s">
        <v>44767</v>
      </c>
    </row>
    <row r="6381" spans="1:24">
      <c r="A6381">
        <f>HYPERLINK("https://www.philgeps.gov.ph/GEPSNONPILOT/Tender/SplashBidNoticeAbstractUI.aspx?menuIndex=3&amp;refID=7147972&amp;Result=3","7147972")</f>
        <v>0</v>
      </c>
      <c r="B6381" t="s">
        <v>2268</v>
      </c>
      <c r="C6381" t="s">
        <v>9794</v>
      </c>
      <c r="D6381" t="s">
        <v>17961</v>
      </c>
      <c r="E6381" t="s">
        <v>22265</v>
      </c>
      <c r="F6381" t="s">
        <v>30900</v>
      </c>
      <c r="G6381" t="s">
        <v>30908</v>
      </c>
      <c r="H6381" t="s">
        <v>30916</v>
      </c>
      <c r="I6381" t="s">
        <v>8365</v>
      </c>
      <c r="J6381" t="s">
        <v>35176</v>
      </c>
      <c r="K6381" t="s">
        <v>40282</v>
      </c>
      <c r="M6381" t="s">
        <v>42981</v>
      </c>
      <c r="N6381" t="s">
        <v>44759</v>
      </c>
      <c r="O6381" t="s">
        <v>44760</v>
      </c>
      <c r="P6381">
        <v>0</v>
      </c>
      <c r="Q6381">
        <v>0</v>
      </c>
      <c r="R6381" t="s">
        <v>44766</v>
      </c>
      <c r="S6381" t="s">
        <v>44902</v>
      </c>
      <c r="T6381" t="s">
        <v>46379</v>
      </c>
      <c r="U6381" t="s">
        <v>52281</v>
      </c>
      <c r="W6381" t="s">
        <v>42981</v>
      </c>
      <c r="X6381" t="s">
        <v>44767</v>
      </c>
    </row>
    <row r="6382" spans="1:24">
      <c r="A6382">
        <f>HYPERLINK("https://www.philgeps.gov.ph/GEPSNONPILOT/Tender/SplashBidNoticeAbstractUI.aspx?menuIndex=3&amp;refID=7147969&amp;Result=3","7147969")</f>
        <v>0</v>
      </c>
      <c r="B6382" t="s">
        <v>552</v>
      </c>
      <c r="C6382" t="s">
        <v>9795</v>
      </c>
      <c r="D6382" t="s">
        <v>18002</v>
      </c>
      <c r="E6382" t="s">
        <v>23666</v>
      </c>
      <c r="F6382" t="s">
        <v>30900</v>
      </c>
      <c r="G6382" t="s">
        <v>30907</v>
      </c>
      <c r="H6382" t="s">
        <v>30915</v>
      </c>
      <c r="I6382" t="s">
        <v>30919</v>
      </c>
      <c r="J6382" t="s">
        <v>35177</v>
      </c>
      <c r="K6382" t="s">
        <v>40292</v>
      </c>
      <c r="M6382" t="s">
        <v>41113</v>
      </c>
      <c r="N6382" t="s">
        <v>44759</v>
      </c>
      <c r="O6382" t="s">
        <v>44760</v>
      </c>
      <c r="P6382">
        <v>0</v>
      </c>
      <c r="Q6382">
        <v>3</v>
      </c>
      <c r="R6382" t="s">
        <v>44766</v>
      </c>
      <c r="S6382" t="s">
        <v>44902</v>
      </c>
      <c r="T6382" t="s">
        <v>46382</v>
      </c>
      <c r="U6382" t="s">
        <v>52282</v>
      </c>
      <c r="W6382" t="s">
        <v>41113</v>
      </c>
      <c r="X6382" t="s">
        <v>44767</v>
      </c>
    </row>
    <row r="6383" spans="1:24">
      <c r="A6383">
        <f>HYPERLINK("https://www.philgeps.gov.ph/GEPSNONPILOT/Tender/SplashBidNoticeAbstractUI.aspx?menuIndex=3&amp;refID=7147927&amp;Result=3","7147927")</f>
        <v>0</v>
      </c>
      <c r="B6383" t="s">
        <v>1786</v>
      </c>
      <c r="C6383" t="s">
        <v>9796</v>
      </c>
      <c r="D6383" t="s">
        <v>18025</v>
      </c>
      <c r="E6383" t="s">
        <v>23667</v>
      </c>
      <c r="F6383" t="s">
        <v>30900</v>
      </c>
      <c r="G6383" t="s">
        <v>30909</v>
      </c>
      <c r="H6383" t="s">
        <v>30916</v>
      </c>
      <c r="I6383" t="s">
        <v>9385</v>
      </c>
      <c r="J6383" t="s">
        <v>33625</v>
      </c>
      <c r="K6383" t="s">
        <v>40289</v>
      </c>
      <c r="M6383" t="s">
        <v>42461</v>
      </c>
      <c r="N6383" t="s">
        <v>44759</v>
      </c>
      <c r="O6383" t="s">
        <v>44760</v>
      </c>
      <c r="P6383">
        <v>0</v>
      </c>
      <c r="Q6383">
        <v>21</v>
      </c>
      <c r="R6383" t="s">
        <v>44766</v>
      </c>
      <c r="S6383" t="s">
        <v>44902</v>
      </c>
      <c r="T6383" t="s">
        <v>46379</v>
      </c>
      <c r="U6383" t="s">
        <v>52280</v>
      </c>
      <c r="V6383" t="s">
        <v>59626</v>
      </c>
      <c r="W6383" t="s">
        <v>42461</v>
      </c>
      <c r="X6383" t="s">
        <v>44767</v>
      </c>
    </row>
    <row r="6384" spans="1:24">
      <c r="A6384">
        <f>HYPERLINK("https://www.philgeps.gov.ph/GEPSNONPILOT/Tender/SplashBidNoticeAbstractUI.aspx?menuIndex=3&amp;refID=7147953&amp;Result=3","7147953")</f>
        <v>0</v>
      </c>
      <c r="B6384" t="s">
        <v>2269</v>
      </c>
      <c r="C6384" t="s">
        <v>9797</v>
      </c>
      <c r="D6384" t="s">
        <v>17979</v>
      </c>
      <c r="E6384" t="s">
        <v>18306</v>
      </c>
      <c r="F6384" t="s">
        <v>30900</v>
      </c>
      <c r="G6384" t="s">
        <v>30907</v>
      </c>
      <c r="H6384" t="s">
        <v>30915</v>
      </c>
      <c r="I6384" t="s">
        <v>30919</v>
      </c>
      <c r="J6384" t="s">
        <v>35178</v>
      </c>
      <c r="K6384" t="s">
        <v>40280</v>
      </c>
      <c r="M6384" t="s">
        <v>42982</v>
      </c>
      <c r="N6384" t="s">
        <v>44759</v>
      </c>
      <c r="O6384" t="s">
        <v>44760</v>
      </c>
      <c r="P6384">
        <v>0</v>
      </c>
      <c r="Q6384">
        <v>0</v>
      </c>
      <c r="R6384" t="s">
        <v>44766</v>
      </c>
      <c r="S6384" t="s">
        <v>44902</v>
      </c>
      <c r="T6384" t="s">
        <v>46426</v>
      </c>
      <c r="U6384" t="s">
        <v>52283</v>
      </c>
      <c r="W6384" t="s">
        <v>42982</v>
      </c>
      <c r="X6384" t="s">
        <v>44767</v>
      </c>
    </row>
    <row r="6385" spans="1:24">
      <c r="A6385">
        <f>HYPERLINK("https://www.philgeps.gov.ph/GEPSNONPILOT/Tender/SplashBidNoticeAbstractUI.aspx?menuIndex=3&amp;refID=7147979&amp;Result=3","7147979")</f>
        <v>0</v>
      </c>
      <c r="B6385" t="s">
        <v>2270</v>
      </c>
      <c r="C6385" t="s">
        <v>9798</v>
      </c>
      <c r="D6385" t="s">
        <v>17999</v>
      </c>
      <c r="E6385" t="s">
        <v>23668</v>
      </c>
      <c r="F6385" t="s">
        <v>30900</v>
      </c>
      <c r="G6385" t="s">
        <v>30907</v>
      </c>
      <c r="H6385" t="s">
        <v>30916</v>
      </c>
      <c r="I6385" t="s">
        <v>30933</v>
      </c>
      <c r="J6385" t="s">
        <v>31094</v>
      </c>
      <c r="K6385" t="s">
        <v>40283</v>
      </c>
      <c r="M6385" t="s">
        <v>42983</v>
      </c>
      <c r="N6385" t="s">
        <v>44759</v>
      </c>
      <c r="O6385" t="s">
        <v>44760</v>
      </c>
      <c r="P6385">
        <v>0</v>
      </c>
      <c r="Q6385">
        <v>1</v>
      </c>
      <c r="R6385" t="s">
        <v>44766</v>
      </c>
      <c r="S6385" t="s">
        <v>44902</v>
      </c>
      <c r="T6385" t="s">
        <v>46536</v>
      </c>
      <c r="U6385" t="s">
        <v>52284</v>
      </c>
      <c r="W6385" t="s">
        <v>42983</v>
      </c>
      <c r="X6385" t="s">
        <v>44767</v>
      </c>
    </row>
    <row r="6386" spans="1:24">
      <c r="A6386">
        <f>HYPERLINK("https://www.philgeps.gov.ph/GEPSNONPILOT/Tender/SplashBidNoticeAbstractUI.aspx?menuIndex=3&amp;refID=7147949&amp;Result=3","7147949")</f>
        <v>0</v>
      </c>
      <c r="B6386" t="s">
        <v>1009</v>
      </c>
      <c r="C6386" t="s">
        <v>9799</v>
      </c>
      <c r="D6386" t="s">
        <v>17980</v>
      </c>
      <c r="E6386" t="s">
        <v>23669</v>
      </c>
      <c r="F6386" t="s">
        <v>30900</v>
      </c>
      <c r="G6386" t="s">
        <v>30908</v>
      </c>
      <c r="H6386" t="s">
        <v>30916</v>
      </c>
      <c r="I6386" t="s">
        <v>9385</v>
      </c>
      <c r="J6386" t="s">
        <v>35179</v>
      </c>
      <c r="K6386" t="s">
        <v>40280</v>
      </c>
      <c r="M6386" t="s">
        <v>41598</v>
      </c>
      <c r="N6386" t="s">
        <v>44759</v>
      </c>
      <c r="O6386" t="s">
        <v>44760</v>
      </c>
      <c r="P6386">
        <v>0</v>
      </c>
      <c r="Q6386">
        <v>16</v>
      </c>
      <c r="R6386" t="s">
        <v>44766</v>
      </c>
      <c r="S6386" t="s">
        <v>44902</v>
      </c>
      <c r="T6386" t="s">
        <v>46625</v>
      </c>
      <c r="U6386" t="s">
        <v>52285</v>
      </c>
      <c r="W6386" t="s">
        <v>41598</v>
      </c>
      <c r="X6386" t="s">
        <v>44767</v>
      </c>
    </row>
    <row r="6387" spans="1:24">
      <c r="A6387">
        <f>HYPERLINK("https://www.philgeps.gov.ph/GEPSNONPILOT/Tender/SplashBidNoticeAbstractUI.aspx?menuIndex=3&amp;refID=7147946&amp;Result=3","7147946")</f>
        <v>0</v>
      </c>
      <c r="B6387" t="s">
        <v>1786</v>
      </c>
      <c r="C6387" t="s">
        <v>9800</v>
      </c>
      <c r="D6387" t="s">
        <v>18025</v>
      </c>
      <c r="E6387" t="s">
        <v>23670</v>
      </c>
      <c r="F6387" t="s">
        <v>30900</v>
      </c>
      <c r="G6387" t="s">
        <v>30909</v>
      </c>
      <c r="H6387" t="s">
        <v>30916</v>
      </c>
      <c r="I6387" t="s">
        <v>30994</v>
      </c>
      <c r="J6387" t="s">
        <v>35180</v>
      </c>
      <c r="K6387" t="s">
        <v>40289</v>
      </c>
      <c r="M6387" t="s">
        <v>42461</v>
      </c>
      <c r="N6387" t="s">
        <v>44759</v>
      </c>
      <c r="O6387" t="s">
        <v>44760</v>
      </c>
      <c r="P6387">
        <v>0</v>
      </c>
      <c r="Q6387">
        <v>4</v>
      </c>
      <c r="R6387" t="s">
        <v>44766</v>
      </c>
      <c r="S6387" t="s">
        <v>44902</v>
      </c>
      <c r="T6387" t="s">
        <v>46379</v>
      </c>
      <c r="U6387" t="s">
        <v>51250</v>
      </c>
      <c r="V6387" t="s">
        <v>59626</v>
      </c>
      <c r="W6387" t="s">
        <v>42461</v>
      </c>
      <c r="X6387" t="s">
        <v>44767</v>
      </c>
    </row>
    <row r="6388" spans="1:24">
      <c r="A6388">
        <f>HYPERLINK("https://www.philgeps.gov.ph/GEPSNONPILOT/Tender/SplashBidNoticeAbstractUI.aspx?menuIndex=3&amp;refID=7147975&amp;Result=3","7147975")</f>
        <v>0</v>
      </c>
      <c r="B6388" t="s">
        <v>1499</v>
      </c>
      <c r="C6388" t="s">
        <v>9801</v>
      </c>
      <c r="D6388" t="s">
        <v>17959</v>
      </c>
      <c r="E6388" t="s">
        <v>23671</v>
      </c>
      <c r="F6388" t="s">
        <v>30900</v>
      </c>
      <c r="G6388" t="s">
        <v>30907</v>
      </c>
      <c r="H6388" t="s">
        <v>30916</v>
      </c>
      <c r="I6388" t="s">
        <v>4142</v>
      </c>
      <c r="J6388" t="s">
        <v>35181</v>
      </c>
      <c r="K6388" t="s">
        <v>40286</v>
      </c>
      <c r="M6388" t="s">
        <v>42984</v>
      </c>
      <c r="N6388" t="s">
        <v>44759</v>
      </c>
      <c r="O6388" t="s">
        <v>44760</v>
      </c>
      <c r="P6388">
        <v>0</v>
      </c>
      <c r="Q6388">
        <v>1</v>
      </c>
      <c r="R6388" t="s">
        <v>44766</v>
      </c>
      <c r="S6388" t="s">
        <v>44902</v>
      </c>
      <c r="T6388" t="s">
        <v>46481</v>
      </c>
      <c r="U6388" t="s">
        <v>52286</v>
      </c>
      <c r="W6388" t="s">
        <v>42984</v>
      </c>
      <c r="X6388" t="s">
        <v>44767</v>
      </c>
    </row>
    <row r="6389" spans="1:24">
      <c r="A6389">
        <f>HYPERLINK("https://www.philgeps.gov.ph/GEPSNONPILOT/Tender/SplashBidNoticeAbstractUI.aspx?menuIndex=3&amp;refID=7147971&amp;Result=3","7147971")</f>
        <v>0</v>
      </c>
      <c r="B6389" t="s">
        <v>2271</v>
      </c>
      <c r="C6389" t="s">
        <v>9802</v>
      </c>
      <c r="D6389" t="s">
        <v>17995</v>
      </c>
      <c r="E6389" t="s">
        <v>23085</v>
      </c>
      <c r="F6389" t="s">
        <v>30899</v>
      </c>
      <c r="G6389" t="s">
        <v>30907</v>
      </c>
      <c r="H6389" t="s">
        <v>30915</v>
      </c>
      <c r="I6389" t="s">
        <v>30946</v>
      </c>
      <c r="J6389" t="s">
        <v>31094</v>
      </c>
      <c r="K6389" t="s">
        <v>40416</v>
      </c>
      <c r="M6389" t="s">
        <v>42985</v>
      </c>
      <c r="N6389" t="s">
        <v>44759</v>
      </c>
      <c r="O6389" t="s">
        <v>44760</v>
      </c>
      <c r="P6389">
        <v>0</v>
      </c>
      <c r="Q6389">
        <v>0</v>
      </c>
      <c r="R6389" t="s">
        <v>44766</v>
      </c>
      <c r="S6389" t="s">
        <v>44902</v>
      </c>
      <c r="T6389" t="s">
        <v>46544</v>
      </c>
      <c r="U6389" t="s">
        <v>52287</v>
      </c>
      <c r="W6389" t="s">
        <v>42985</v>
      </c>
      <c r="X6389" t="s">
        <v>44767</v>
      </c>
    </row>
    <row r="6390" spans="1:24">
      <c r="A6390">
        <f>HYPERLINK("https://www.philgeps.gov.ph/GEPSNONPILOT/Tender/SplashBidNoticeAbstractUI.aspx?menuIndex=3&amp;refID=7147896&amp;Result=3","7147896")</f>
        <v>0</v>
      </c>
      <c r="B6390" t="s">
        <v>2258</v>
      </c>
      <c r="C6390" t="s">
        <v>9803</v>
      </c>
      <c r="D6390" t="s">
        <v>17968</v>
      </c>
      <c r="E6390" t="s">
        <v>23672</v>
      </c>
      <c r="F6390" t="s">
        <v>30900</v>
      </c>
      <c r="G6390" t="s">
        <v>30907</v>
      </c>
      <c r="H6390" t="s">
        <v>30916</v>
      </c>
      <c r="I6390" t="s">
        <v>30923</v>
      </c>
      <c r="J6390" t="s">
        <v>35182</v>
      </c>
      <c r="K6390" t="s">
        <v>40280</v>
      </c>
      <c r="M6390" t="s">
        <v>42970</v>
      </c>
      <c r="N6390" t="s">
        <v>44759</v>
      </c>
      <c r="O6390" t="s">
        <v>44760</v>
      </c>
      <c r="P6390">
        <v>0</v>
      </c>
      <c r="Q6390">
        <v>8</v>
      </c>
      <c r="R6390" t="s">
        <v>44766</v>
      </c>
      <c r="S6390" t="s">
        <v>44902</v>
      </c>
      <c r="T6390" t="s">
        <v>46465</v>
      </c>
      <c r="U6390" t="s">
        <v>52288</v>
      </c>
      <c r="V6390" t="s">
        <v>59820</v>
      </c>
      <c r="W6390" t="s">
        <v>42970</v>
      </c>
      <c r="X6390" t="s">
        <v>44767</v>
      </c>
    </row>
    <row r="6391" spans="1:24">
      <c r="A6391">
        <f>HYPERLINK("https://www.philgeps.gov.ph/GEPSNONPILOT/Tender/SplashBidNoticeAbstractUI.aspx?menuIndex=3&amp;refID=7147891&amp;Result=3","7147891")</f>
        <v>0</v>
      </c>
      <c r="B6391" t="s">
        <v>1503</v>
      </c>
      <c r="C6391" t="s">
        <v>9804</v>
      </c>
      <c r="D6391" t="s">
        <v>17963</v>
      </c>
      <c r="E6391" t="s">
        <v>18300</v>
      </c>
      <c r="F6391" t="s">
        <v>30900</v>
      </c>
      <c r="G6391" t="s">
        <v>30907</v>
      </c>
      <c r="H6391" t="s">
        <v>30916</v>
      </c>
      <c r="I6391" t="s">
        <v>4050</v>
      </c>
      <c r="J6391" t="s">
        <v>31341</v>
      </c>
      <c r="K6391" t="s">
        <v>40289</v>
      </c>
      <c r="M6391" t="s">
        <v>42144</v>
      </c>
      <c r="N6391" t="s">
        <v>44759</v>
      </c>
      <c r="O6391" t="s">
        <v>44760</v>
      </c>
      <c r="P6391">
        <v>0</v>
      </c>
      <c r="Q6391">
        <v>3</v>
      </c>
      <c r="R6391" t="s">
        <v>44766</v>
      </c>
      <c r="S6391" t="s">
        <v>44902</v>
      </c>
      <c r="T6391" t="s">
        <v>46414</v>
      </c>
      <c r="U6391" t="s">
        <v>52251</v>
      </c>
      <c r="W6391" t="s">
        <v>42144</v>
      </c>
      <c r="X6391" t="s">
        <v>44767</v>
      </c>
    </row>
    <row r="6392" spans="1:24">
      <c r="A6392">
        <f>HYPERLINK("https://www.philgeps.gov.ph/GEPSNONPILOT/Tender/SplashBidNoticeAbstractUI.aspx?menuIndex=3&amp;refID=7147890&amp;Result=3","7147890")</f>
        <v>0</v>
      </c>
      <c r="B6392" t="s">
        <v>2262</v>
      </c>
      <c r="C6392" t="s">
        <v>9805</v>
      </c>
      <c r="D6392" t="s">
        <v>17993</v>
      </c>
      <c r="E6392" t="s">
        <v>23673</v>
      </c>
      <c r="F6392" t="s">
        <v>30900</v>
      </c>
      <c r="G6392" t="s">
        <v>30908</v>
      </c>
      <c r="H6392" t="s">
        <v>30916</v>
      </c>
      <c r="I6392" t="s">
        <v>4545</v>
      </c>
      <c r="J6392" t="s">
        <v>31522</v>
      </c>
      <c r="K6392" t="s">
        <v>40289</v>
      </c>
      <c r="M6392" t="s">
        <v>42974</v>
      </c>
      <c r="N6392" t="s">
        <v>44759</v>
      </c>
      <c r="O6392" t="s">
        <v>44760</v>
      </c>
      <c r="P6392">
        <v>0</v>
      </c>
      <c r="Q6392">
        <v>3</v>
      </c>
      <c r="R6392" t="s">
        <v>44766</v>
      </c>
      <c r="S6392" t="s">
        <v>44902</v>
      </c>
      <c r="T6392" t="s">
        <v>46391</v>
      </c>
      <c r="U6392" t="s">
        <v>48359</v>
      </c>
      <c r="W6392" t="s">
        <v>42974</v>
      </c>
      <c r="X6392" t="s">
        <v>44767</v>
      </c>
    </row>
    <row r="6393" spans="1:24">
      <c r="A6393">
        <f>HYPERLINK("https://www.philgeps.gov.ph/GEPSNONPILOT/Tender/SplashBidNoticeAbstractUI.aspx?menuIndex=3&amp;refID=7147846&amp;Result=3","7147846")</f>
        <v>0</v>
      </c>
      <c r="B6393" t="s">
        <v>820</v>
      </c>
      <c r="C6393" t="s">
        <v>9806</v>
      </c>
      <c r="E6393" t="s">
        <v>23674</v>
      </c>
      <c r="F6393" t="s">
        <v>30900</v>
      </c>
      <c r="G6393" t="s">
        <v>30908</v>
      </c>
      <c r="H6393" t="s">
        <v>30916</v>
      </c>
      <c r="I6393" t="s">
        <v>30929</v>
      </c>
      <c r="J6393" t="s">
        <v>35183</v>
      </c>
      <c r="K6393" t="s">
        <v>40289</v>
      </c>
      <c r="M6393" t="s">
        <v>42961</v>
      </c>
      <c r="N6393" t="s">
        <v>44759</v>
      </c>
      <c r="O6393" t="s">
        <v>44760</v>
      </c>
      <c r="P6393">
        <v>0</v>
      </c>
      <c r="Q6393">
        <v>2</v>
      </c>
      <c r="R6393" t="s">
        <v>44766</v>
      </c>
      <c r="S6393" t="s">
        <v>44902</v>
      </c>
      <c r="T6393" t="s">
        <v>46658</v>
      </c>
      <c r="U6393" t="s">
        <v>52241</v>
      </c>
      <c r="W6393" t="s">
        <v>41392</v>
      </c>
      <c r="X6393" t="s">
        <v>44767</v>
      </c>
    </row>
    <row r="6394" spans="1:24">
      <c r="A6394">
        <f>HYPERLINK("https://www.philgeps.gov.ph/GEPSNONPILOT/Tender/SplashBidNoticeAbstractUI.aspx?menuIndex=3&amp;refID=7148011&amp;Result=3","7148011")</f>
        <v>0</v>
      </c>
      <c r="B6394" t="s">
        <v>1218</v>
      </c>
      <c r="C6394" t="s">
        <v>9807</v>
      </c>
      <c r="D6394" t="s">
        <v>17961</v>
      </c>
      <c r="E6394" t="s">
        <v>23675</v>
      </c>
      <c r="F6394" t="s">
        <v>30900</v>
      </c>
      <c r="G6394" t="s">
        <v>30908</v>
      </c>
      <c r="H6394" t="s">
        <v>30916</v>
      </c>
      <c r="I6394" t="s">
        <v>30989</v>
      </c>
      <c r="J6394" t="s">
        <v>35184</v>
      </c>
      <c r="K6394" t="s">
        <v>40286</v>
      </c>
      <c r="M6394" t="s">
        <v>41830</v>
      </c>
      <c r="N6394" t="s">
        <v>44759</v>
      </c>
      <c r="O6394" t="s">
        <v>44760</v>
      </c>
      <c r="P6394">
        <v>0</v>
      </c>
      <c r="Q6394">
        <v>1</v>
      </c>
      <c r="R6394" t="s">
        <v>44766</v>
      </c>
      <c r="S6394" t="s">
        <v>44902</v>
      </c>
      <c r="T6394" t="s">
        <v>46533</v>
      </c>
      <c r="U6394" t="s">
        <v>49386</v>
      </c>
      <c r="W6394" t="s">
        <v>41830</v>
      </c>
      <c r="X6394" t="s">
        <v>44767</v>
      </c>
    </row>
    <row r="6395" spans="1:24">
      <c r="A6395">
        <f>HYPERLINK("https://www.philgeps.gov.ph/GEPSNONPILOT/Tender/SplashBidNoticeAbstractUI.aspx?menuIndex=3&amp;refID=7148014&amp;Result=3","7148014")</f>
        <v>0</v>
      </c>
      <c r="B6395" t="s">
        <v>1529</v>
      </c>
      <c r="C6395" t="s">
        <v>9808</v>
      </c>
      <c r="D6395" t="s">
        <v>18010</v>
      </c>
      <c r="E6395" t="s">
        <v>23676</v>
      </c>
      <c r="F6395" t="s">
        <v>30900</v>
      </c>
      <c r="G6395" t="s">
        <v>30908</v>
      </c>
      <c r="H6395" t="s">
        <v>30916</v>
      </c>
      <c r="I6395" t="s">
        <v>5501</v>
      </c>
      <c r="J6395" t="s">
        <v>35185</v>
      </c>
      <c r="K6395" t="s">
        <v>40286</v>
      </c>
      <c r="M6395" t="s">
        <v>42172</v>
      </c>
      <c r="N6395" t="s">
        <v>44759</v>
      </c>
      <c r="O6395" t="s">
        <v>44760</v>
      </c>
      <c r="P6395">
        <v>0</v>
      </c>
      <c r="Q6395">
        <v>2</v>
      </c>
      <c r="R6395" t="s">
        <v>44766</v>
      </c>
      <c r="S6395" t="s">
        <v>44902</v>
      </c>
      <c r="T6395" t="s">
        <v>46581</v>
      </c>
      <c r="U6395" t="s">
        <v>52289</v>
      </c>
      <c r="W6395" t="s">
        <v>60866</v>
      </c>
      <c r="X6395" t="s">
        <v>44767</v>
      </c>
    </row>
    <row r="6396" spans="1:24">
      <c r="A6396">
        <f>HYPERLINK("https://www.philgeps.gov.ph/GEPSNONPILOT/Tender/SplashBidNoticeAbstractUI.aspx?menuIndex=3&amp;refID=7147985&amp;Result=3","7147985")</f>
        <v>0</v>
      </c>
      <c r="B6396" t="s">
        <v>2265</v>
      </c>
      <c r="C6396" t="s">
        <v>8123</v>
      </c>
      <c r="D6396" t="s">
        <v>17993</v>
      </c>
      <c r="E6396" t="s">
        <v>23677</v>
      </c>
      <c r="F6396" t="s">
        <v>30900</v>
      </c>
      <c r="G6396" t="s">
        <v>30907</v>
      </c>
      <c r="H6396" t="s">
        <v>30916</v>
      </c>
      <c r="I6396" t="s">
        <v>8123</v>
      </c>
      <c r="J6396" t="s">
        <v>31443</v>
      </c>
      <c r="K6396" t="s">
        <v>40287</v>
      </c>
      <c r="M6396" t="s">
        <v>42977</v>
      </c>
      <c r="N6396" t="s">
        <v>44759</v>
      </c>
      <c r="O6396" t="s">
        <v>44760</v>
      </c>
      <c r="P6396">
        <v>0</v>
      </c>
      <c r="Q6396">
        <v>1</v>
      </c>
      <c r="R6396" t="s">
        <v>44766</v>
      </c>
      <c r="S6396" t="s">
        <v>44902</v>
      </c>
      <c r="T6396" t="s">
        <v>46398</v>
      </c>
      <c r="U6396" t="s">
        <v>52290</v>
      </c>
      <c r="W6396" t="s">
        <v>42977</v>
      </c>
      <c r="X6396" t="s">
        <v>44767</v>
      </c>
    </row>
    <row r="6397" spans="1:24">
      <c r="A6397">
        <f>HYPERLINK("https://www.philgeps.gov.ph/GEPSNONPILOT/Tender/SplashBidNoticeAbstractUI.aspx?menuIndex=3&amp;refID=7147945&amp;Result=3","7147945")</f>
        <v>0</v>
      </c>
      <c r="B6397" t="s">
        <v>2251</v>
      </c>
      <c r="C6397" t="s">
        <v>9752</v>
      </c>
      <c r="D6397" t="s">
        <v>17984</v>
      </c>
      <c r="E6397" t="s">
        <v>23678</v>
      </c>
      <c r="F6397" t="s">
        <v>30900</v>
      </c>
      <c r="G6397" t="s">
        <v>30907</v>
      </c>
      <c r="H6397" t="s">
        <v>30915</v>
      </c>
      <c r="I6397" t="s">
        <v>30919</v>
      </c>
      <c r="J6397" t="s">
        <v>35186</v>
      </c>
      <c r="K6397" t="s">
        <v>40331</v>
      </c>
      <c r="M6397" t="s">
        <v>42963</v>
      </c>
      <c r="N6397" t="s">
        <v>44759</v>
      </c>
      <c r="O6397" t="s">
        <v>44760</v>
      </c>
      <c r="P6397">
        <v>0</v>
      </c>
      <c r="Q6397">
        <v>0</v>
      </c>
      <c r="R6397" t="s">
        <v>44766</v>
      </c>
      <c r="S6397" t="s">
        <v>44902</v>
      </c>
      <c r="T6397" t="s">
        <v>46362</v>
      </c>
      <c r="U6397" t="s">
        <v>52291</v>
      </c>
      <c r="W6397" t="s">
        <v>42963</v>
      </c>
      <c r="X6397" t="s">
        <v>44767</v>
      </c>
    </row>
    <row r="6398" spans="1:24">
      <c r="A6398">
        <f>HYPERLINK("https://www.philgeps.gov.ph/GEPSNONPILOT/Tender/SplashBidNoticeAbstractUI.aspx?menuIndex=3&amp;refID=7148013&amp;Result=3","7148013")</f>
        <v>0</v>
      </c>
      <c r="B6398" t="s">
        <v>2272</v>
      </c>
      <c r="C6398" t="s">
        <v>9809</v>
      </c>
      <c r="D6398" t="s">
        <v>17953</v>
      </c>
      <c r="E6398" t="s">
        <v>23679</v>
      </c>
      <c r="F6398" t="s">
        <v>30900</v>
      </c>
      <c r="G6398" t="s">
        <v>30908</v>
      </c>
      <c r="H6398" t="s">
        <v>30916</v>
      </c>
      <c r="I6398" t="s">
        <v>30981</v>
      </c>
      <c r="J6398" t="s">
        <v>31151</v>
      </c>
      <c r="K6398" t="s">
        <v>40281</v>
      </c>
      <c r="M6398" t="s">
        <v>42986</v>
      </c>
      <c r="N6398" t="s">
        <v>44759</v>
      </c>
      <c r="O6398" t="s">
        <v>44760</v>
      </c>
      <c r="P6398">
        <v>0</v>
      </c>
      <c r="Q6398">
        <v>0</v>
      </c>
      <c r="R6398" t="s">
        <v>44766</v>
      </c>
      <c r="S6398" t="s">
        <v>44902</v>
      </c>
      <c r="T6398" t="s">
        <v>46548</v>
      </c>
      <c r="U6398" t="s">
        <v>47259</v>
      </c>
      <c r="W6398" t="s">
        <v>42986</v>
      </c>
      <c r="X6398" t="s">
        <v>44767</v>
      </c>
    </row>
    <row r="6399" spans="1:24">
      <c r="A6399">
        <f>HYPERLINK("https://www.philgeps.gov.ph/GEPSNONPILOT/Tender/SplashBidNoticeAbstractUI.aspx?menuIndex=3&amp;refID=7148012&amp;Result=3","7148012")</f>
        <v>0</v>
      </c>
      <c r="B6399" t="s">
        <v>1101</v>
      </c>
      <c r="C6399" t="s">
        <v>9810</v>
      </c>
      <c r="D6399" t="s">
        <v>17987</v>
      </c>
      <c r="E6399" t="s">
        <v>23680</v>
      </c>
      <c r="F6399" t="s">
        <v>30900</v>
      </c>
      <c r="G6399" t="s">
        <v>30908</v>
      </c>
      <c r="H6399" t="s">
        <v>30916</v>
      </c>
      <c r="I6399" t="s">
        <v>31003</v>
      </c>
      <c r="J6399" t="s">
        <v>35187</v>
      </c>
      <c r="K6399" t="s">
        <v>40286</v>
      </c>
      <c r="L6399" t="s">
        <v>1101</v>
      </c>
      <c r="M6399" t="s">
        <v>41701</v>
      </c>
      <c r="N6399" t="s">
        <v>44759</v>
      </c>
      <c r="O6399" t="s">
        <v>44760</v>
      </c>
      <c r="P6399">
        <v>0</v>
      </c>
      <c r="Q6399">
        <v>0</v>
      </c>
      <c r="R6399" t="s">
        <v>44766</v>
      </c>
      <c r="S6399" t="s">
        <v>44902</v>
      </c>
      <c r="T6399" t="s">
        <v>46391</v>
      </c>
      <c r="U6399" t="s">
        <v>52292</v>
      </c>
      <c r="V6399" t="s">
        <v>59388</v>
      </c>
      <c r="W6399" t="s">
        <v>41701</v>
      </c>
      <c r="X6399" t="s">
        <v>44767</v>
      </c>
    </row>
    <row r="6400" spans="1:24">
      <c r="A6400">
        <f>HYPERLINK("https://www.philgeps.gov.ph/GEPSNONPILOT/Tender/SplashBidNoticeAbstractUI.aspx?menuIndex=3&amp;refID=7147954&amp;Result=3","7147954")</f>
        <v>0</v>
      </c>
      <c r="B6400" t="s">
        <v>2273</v>
      </c>
      <c r="C6400" t="s">
        <v>9811</v>
      </c>
      <c r="D6400" t="s">
        <v>17984</v>
      </c>
      <c r="E6400" t="s">
        <v>23681</v>
      </c>
      <c r="F6400" t="s">
        <v>30900</v>
      </c>
      <c r="G6400" t="s">
        <v>30907</v>
      </c>
      <c r="H6400" t="s">
        <v>30915</v>
      </c>
      <c r="I6400" t="s">
        <v>30919</v>
      </c>
      <c r="J6400" t="s">
        <v>35188</v>
      </c>
      <c r="K6400" t="s">
        <v>40315</v>
      </c>
      <c r="M6400" t="s">
        <v>42987</v>
      </c>
      <c r="N6400" t="s">
        <v>44759</v>
      </c>
      <c r="O6400" t="s">
        <v>44760</v>
      </c>
      <c r="P6400">
        <v>0</v>
      </c>
      <c r="Q6400">
        <v>0</v>
      </c>
      <c r="R6400" t="s">
        <v>44766</v>
      </c>
      <c r="S6400" t="s">
        <v>44902</v>
      </c>
      <c r="T6400" t="s">
        <v>46362</v>
      </c>
      <c r="U6400" t="s">
        <v>52293</v>
      </c>
      <c r="W6400" t="s">
        <v>42987</v>
      </c>
      <c r="X6400" t="s">
        <v>44767</v>
      </c>
    </row>
    <row r="6401" spans="1:24">
      <c r="A6401">
        <f>HYPERLINK("https://www.philgeps.gov.ph/GEPSNONPILOT/Tender/SplashBidNoticeAbstractUI.aspx?menuIndex=3&amp;refID=7148009&amp;Result=3","7148009")</f>
        <v>0</v>
      </c>
      <c r="B6401" t="s">
        <v>2272</v>
      </c>
      <c r="C6401" t="s">
        <v>9812</v>
      </c>
      <c r="D6401" t="s">
        <v>17953</v>
      </c>
      <c r="E6401" t="s">
        <v>23682</v>
      </c>
      <c r="F6401" t="s">
        <v>30900</v>
      </c>
      <c r="G6401" t="s">
        <v>30908</v>
      </c>
      <c r="H6401" t="s">
        <v>30916</v>
      </c>
      <c r="I6401" t="s">
        <v>5830</v>
      </c>
      <c r="J6401" t="s">
        <v>32284</v>
      </c>
      <c r="K6401" t="s">
        <v>40288</v>
      </c>
      <c r="M6401" t="s">
        <v>42986</v>
      </c>
      <c r="N6401" t="s">
        <v>44759</v>
      </c>
      <c r="O6401" t="s">
        <v>44760</v>
      </c>
      <c r="P6401">
        <v>0</v>
      </c>
      <c r="Q6401">
        <v>0</v>
      </c>
      <c r="R6401" t="s">
        <v>44766</v>
      </c>
      <c r="S6401" t="s">
        <v>44902</v>
      </c>
      <c r="T6401" t="s">
        <v>46548</v>
      </c>
      <c r="U6401" t="s">
        <v>47259</v>
      </c>
      <c r="W6401" t="s">
        <v>42986</v>
      </c>
      <c r="X6401" t="s">
        <v>44767</v>
      </c>
    </row>
    <row r="6402" spans="1:24">
      <c r="A6402">
        <f>HYPERLINK("https://www.philgeps.gov.ph/GEPSNONPILOT/Tender/SplashBidNoticeAbstractUI.aspx?menuIndex=3&amp;refID=7148008&amp;Result=3","7148008")</f>
        <v>0</v>
      </c>
      <c r="B6402" t="s">
        <v>2209</v>
      </c>
      <c r="C6402" t="s">
        <v>9813</v>
      </c>
      <c r="D6402" t="s">
        <v>17959</v>
      </c>
      <c r="E6402" t="s">
        <v>9813</v>
      </c>
      <c r="F6402" t="s">
        <v>30900</v>
      </c>
      <c r="G6402" t="s">
        <v>30907</v>
      </c>
      <c r="H6402" t="s">
        <v>30916</v>
      </c>
      <c r="I6402" t="s">
        <v>9385</v>
      </c>
      <c r="J6402" t="s">
        <v>32324</v>
      </c>
      <c r="K6402" t="s">
        <v>40286</v>
      </c>
      <c r="M6402" t="s">
        <v>42917</v>
      </c>
      <c r="N6402" t="s">
        <v>44759</v>
      </c>
      <c r="O6402" t="s">
        <v>44760</v>
      </c>
      <c r="P6402">
        <v>0</v>
      </c>
      <c r="Q6402">
        <v>6</v>
      </c>
      <c r="R6402" t="s">
        <v>44766</v>
      </c>
      <c r="S6402" t="s">
        <v>44902</v>
      </c>
      <c r="T6402" t="s">
        <v>46515</v>
      </c>
      <c r="U6402" t="s">
        <v>48763</v>
      </c>
      <c r="W6402" t="s">
        <v>42917</v>
      </c>
      <c r="X6402" t="s">
        <v>44767</v>
      </c>
    </row>
    <row r="6403" spans="1:24">
      <c r="A6403">
        <f>HYPERLINK("https://www.philgeps.gov.ph/GEPSNONPILOT/Tender/SplashBidNoticeAbstractUI.aspx?menuIndex=3&amp;refID=7147844&amp;Result=3","7147844")</f>
        <v>0</v>
      </c>
      <c r="B6403" t="s">
        <v>2274</v>
      </c>
      <c r="C6403" t="s">
        <v>9814</v>
      </c>
      <c r="D6403" t="s">
        <v>17972</v>
      </c>
      <c r="E6403" t="s">
        <v>23683</v>
      </c>
      <c r="F6403" t="s">
        <v>30900</v>
      </c>
      <c r="G6403" t="s">
        <v>30907</v>
      </c>
      <c r="H6403" t="s">
        <v>30916</v>
      </c>
      <c r="I6403" t="s">
        <v>4545</v>
      </c>
      <c r="J6403" t="s">
        <v>31788</v>
      </c>
      <c r="K6403" t="s">
        <v>40286</v>
      </c>
      <c r="M6403" t="s">
        <v>42988</v>
      </c>
      <c r="N6403" t="s">
        <v>44759</v>
      </c>
      <c r="O6403" t="s">
        <v>44760</v>
      </c>
      <c r="P6403">
        <v>0</v>
      </c>
      <c r="Q6403">
        <v>7</v>
      </c>
      <c r="R6403" t="s">
        <v>44766</v>
      </c>
      <c r="S6403" t="s">
        <v>44902</v>
      </c>
      <c r="T6403" t="s">
        <v>46398</v>
      </c>
      <c r="U6403" t="s">
        <v>52294</v>
      </c>
      <c r="W6403" t="s">
        <v>42988</v>
      </c>
      <c r="X6403" t="s">
        <v>44767</v>
      </c>
    </row>
    <row r="6404" spans="1:24">
      <c r="A6404">
        <f>HYPERLINK("https://www.philgeps.gov.ph/GEPSNONPILOT/Tender/SplashBidNoticeAbstractUI.aspx?menuIndex=3&amp;refID=7148007&amp;Result=3","7148007")</f>
        <v>0</v>
      </c>
      <c r="B6404" t="s">
        <v>418</v>
      </c>
      <c r="C6404" t="s">
        <v>9815</v>
      </c>
      <c r="D6404" t="s">
        <v>17959</v>
      </c>
      <c r="E6404" t="s">
        <v>9815</v>
      </c>
      <c r="F6404" t="s">
        <v>30900</v>
      </c>
      <c r="G6404" t="s">
        <v>30908</v>
      </c>
      <c r="H6404" t="s">
        <v>30916</v>
      </c>
      <c r="I6404" t="s">
        <v>6396</v>
      </c>
      <c r="J6404" t="s">
        <v>32049</v>
      </c>
      <c r="K6404" t="s">
        <v>40286</v>
      </c>
      <c r="M6404" t="s">
        <v>40974</v>
      </c>
      <c r="N6404" t="s">
        <v>44759</v>
      </c>
      <c r="O6404" t="s">
        <v>44760</v>
      </c>
      <c r="P6404">
        <v>0</v>
      </c>
      <c r="Q6404">
        <v>6</v>
      </c>
      <c r="R6404" t="s">
        <v>44766</v>
      </c>
      <c r="S6404" t="s">
        <v>44902</v>
      </c>
      <c r="T6404" t="s">
        <v>46662</v>
      </c>
      <c r="U6404" t="s">
        <v>52295</v>
      </c>
      <c r="W6404" t="s">
        <v>40974</v>
      </c>
      <c r="X6404" t="s">
        <v>44767</v>
      </c>
    </row>
    <row r="6405" spans="1:24">
      <c r="A6405">
        <f>HYPERLINK("https://www.philgeps.gov.ph/GEPSNONPILOT/Tender/SplashBidNoticeAbstractUI.aspx?menuIndex=3&amp;refID=7148003&amp;Result=3","7148003")</f>
        <v>0</v>
      </c>
      <c r="B6405" t="s">
        <v>2272</v>
      </c>
      <c r="C6405" t="s">
        <v>9816</v>
      </c>
      <c r="D6405" t="s">
        <v>17953</v>
      </c>
      <c r="E6405" t="s">
        <v>23684</v>
      </c>
      <c r="F6405" t="s">
        <v>30900</v>
      </c>
      <c r="G6405" t="s">
        <v>30908</v>
      </c>
      <c r="H6405" t="s">
        <v>30916</v>
      </c>
      <c r="I6405" t="s">
        <v>5830</v>
      </c>
      <c r="J6405" t="s">
        <v>31863</v>
      </c>
      <c r="K6405" t="s">
        <v>40288</v>
      </c>
      <c r="M6405" t="s">
        <v>42986</v>
      </c>
      <c r="N6405" t="s">
        <v>44759</v>
      </c>
      <c r="O6405" t="s">
        <v>44760</v>
      </c>
      <c r="P6405">
        <v>0</v>
      </c>
      <c r="Q6405">
        <v>0</v>
      </c>
      <c r="R6405" t="s">
        <v>44766</v>
      </c>
      <c r="S6405" t="s">
        <v>44902</v>
      </c>
      <c r="T6405" t="s">
        <v>46548</v>
      </c>
      <c r="U6405" t="s">
        <v>47259</v>
      </c>
      <c r="W6405" t="s">
        <v>42986</v>
      </c>
      <c r="X6405" t="s">
        <v>44767</v>
      </c>
    </row>
    <row r="6406" spans="1:24">
      <c r="A6406">
        <f>HYPERLINK("https://www.philgeps.gov.ph/GEPSNONPILOT/Tender/SplashBidNoticeAbstractUI.aspx?menuIndex=3&amp;refID=7148000&amp;Result=3","7148000")</f>
        <v>0</v>
      </c>
      <c r="B6406" t="s">
        <v>2263</v>
      </c>
      <c r="C6406" t="s">
        <v>9817</v>
      </c>
      <c r="D6406" t="s">
        <v>17966</v>
      </c>
      <c r="E6406" t="s">
        <v>23685</v>
      </c>
      <c r="F6406" t="s">
        <v>30900</v>
      </c>
      <c r="G6406" t="s">
        <v>30907</v>
      </c>
      <c r="H6406" t="s">
        <v>30916</v>
      </c>
      <c r="I6406" t="s">
        <v>8123</v>
      </c>
      <c r="J6406" t="s">
        <v>35189</v>
      </c>
      <c r="K6406" t="s">
        <v>40283</v>
      </c>
      <c r="L6406" t="s">
        <v>2263</v>
      </c>
      <c r="M6406" t="s">
        <v>42975</v>
      </c>
      <c r="N6406" t="s">
        <v>44759</v>
      </c>
      <c r="O6406" t="s">
        <v>44760</v>
      </c>
      <c r="P6406">
        <v>0</v>
      </c>
      <c r="Q6406">
        <v>0</v>
      </c>
      <c r="R6406" t="s">
        <v>44766</v>
      </c>
      <c r="S6406" t="s">
        <v>44902</v>
      </c>
      <c r="T6406" t="s">
        <v>46414</v>
      </c>
      <c r="U6406" t="s">
        <v>52296</v>
      </c>
      <c r="W6406" t="s">
        <v>42975</v>
      </c>
      <c r="X6406" t="s">
        <v>44767</v>
      </c>
    </row>
    <row r="6407" spans="1:24">
      <c r="A6407">
        <f>HYPERLINK("https://www.philgeps.gov.ph/GEPSNONPILOT/Tender/SplashBidNoticeAbstractUI.aspx?menuIndex=3&amp;refID=7147999&amp;Result=3","7147999")</f>
        <v>0</v>
      </c>
      <c r="B6407" t="s">
        <v>2275</v>
      </c>
      <c r="C6407" t="s">
        <v>9818</v>
      </c>
      <c r="D6407" t="s">
        <v>17978</v>
      </c>
      <c r="E6407" t="s">
        <v>23686</v>
      </c>
      <c r="F6407" t="s">
        <v>30900</v>
      </c>
      <c r="G6407" t="s">
        <v>30907</v>
      </c>
      <c r="H6407" t="s">
        <v>30915</v>
      </c>
      <c r="I6407" t="s">
        <v>30919</v>
      </c>
      <c r="J6407" t="s">
        <v>35190</v>
      </c>
      <c r="K6407" t="s">
        <v>40315</v>
      </c>
      <c r="M6407" t="s">
        <v>42989</v>
      </c>
      <c r="N6407" t="s">
        <v>44759</v>
      </c>
      <c r="O6407" t="s">
        <v>44760</v>
      </c>
      <c r="P6407">
        <v>0</v>
      </c>
      <c r="Q6407">
        <v>0</v>
      </c>
      <c r="R6407" t="s">
        <v>44766</v>
      </c>
      <c r="S6407" t="s">
        <v>44902</v>
      </c>
      <c r="T6407" t="s">
        <v>46429</v>
      </c>
      <c r="U6407" t="s">
        <v>52297</v>
      </c>
      <c r="W6407" t="s">
        <v>42989</v>
      </c>
      <c r="X6407" t="s">
        <v>44767</v>
      </c>
    </row>
    <row r="6408" spans="1:24">
      <c r="A6408">
        <f>HYPERLINK("https://www.philgeps.gov.ph/GEPSNONPILOT/Tender/SplashBidNoticeAbstractUI.aspx?menuIndex=3&amp;refID=7147998&amp;Result=3","7147998")</f>
        <v>0</v>
      </c>
      <c r="B6408" t="s">
        <v>1529</v>
      </c>
      <c r="C6408" t="s">
        <v>9819</v>
      </c>
      <c r="D6408" t="s">
        <v>18010</v>
      </c>
      <c r="E6408" t="s">
        <v>23687</v>
      </c>
      <c r="F6408" t="s">
        <v>30900</v>
      </c>
      <c r="G6408" t="s">
        <v>30908</v>
      </c>
      <c r="H6408" t="s">
        <v>30916</v>
      </c>
      <c r="I6408" t="s">
        <v>30941</v>
      </c>
      <c r="J6408" t="s">
        <v>35191</v>
      </c>
      <c r="K6408" t="s">
        <v>40291</v>
      </c>
      <c r="M6408" t="s">
        <v>42172</v>
      </c>
      <c r="N6408" t="s">
        <v>44759</v>
      </c>
      <c r="O6408" t="s">
        <v>44760</v>
      </c>
      <c r="P6408">
        <v>0</v>
      </c>
      <c r="Q6408">
        <v>1</v>
      </c>
      <c r="R6408" t="s">
        <v>44766</v>
      </c>
      <c r="S6408" t="s">
        <v>44902</v>
      </c>
      <c r="T6408" t="s">
        <v>46581</v>
      </c>
      <c r="U6408" t="s">
        <v>52298</v>
      </c>
      <c r="W6408" t="s">
        <v>60866</v>
      </c>
      <c r="X6408" t="s">
        <v>44767</v>
      </c>
    </row>
    <row r="6409" spans="1:24">
      <c r="A6409">
        <f>HYPERLINK("https://www.philgeps.gov.ph/GEPSNONPILOT/Tender/SplashBidNoticeAbstractUI.aspx?menuIndex=3&amp;refID=7147997&amp;Result=3","7147997")</f>
        <v>0</v>
      </c>
      <c r="B6409" t="s">
        <v>2276</v>
      </c>
      <c r="C6409" t="s">
        <v>9820</v>
      </c>
      <c r="D6409" t="s">
        <v>17959</v>
      </c>
      <c r="E6409" t="s">
        <v>23688</v>
      </c>
      <c r="F6409" t="s">
        <v>30900</v>
      </c>
      <c r="G6409" t="s">
        <v>30908</v>
      </c>
      <c r="H6409" t="s">
        <v>7411</v>
      </c>
      <c r="I6409" t="s">
        <v>7411</v>
      </c>
      <c r="J6409" t="s">
        <v>31282</v>
      </c>
      <c r="K6409" t="s">
        <v>40289</v>
      </c>
      <c r="M6409" t="s">
        <v>42990</v>
      </c>
      <c r="N6409" t="s">
        <v>44759</v>
      </c>
      <c r="O6409" t="s">
        <v>44760</v>
      </c>
      <c r="P6409">
        <v>0</v>
      </c>
      <c r="Q6409">
        <v>1</v>
      </c>
      <c r="R6409" t="s">
        <v>44766</v>
      </c>
      <c r="S6409" t="s">
        <v>44902</v>
      </c>
      <c r="T6409" t="s">
        <v>46625</v>
      </c>
      <c r="U6409" t="s">
        <v>52299</v>
      </c>
      <c r="V6409" t="s">
        <v>59821</v>
      </c>
      <c r="W6409" t="s">
        <v>42990</v>
      </c>
      <c r="X6409" t="s">
        <v>44767</v>
      </c>
    </row>
    <row r="6410" spans="1:24">
      <c r="A6410">
        <f>HYPERLINK("https://www.philgeps.gov.ph/GEPSNONPILOT/Tender/SplashBidNoticeAbstractUI.aspx?menuIndex=3&amp;refID=7147995&amp;Result=3","7147995")</f>
        <v>0</v>
      </c>
      <c r="B6410" t="s">
        <v>2272</v>
      </c>
      <c r="C6410" t="s">
        <v>9821</v>
      </c>
      <c r="D6410" t="s">
        <v>17953</v>
      </c>
      <c r="E6410" t="s">
        <v>23689</v>
      </c>
      <c r="F6410" t="s">
        <v>30900</v>
      </c>
      <c r="G6410" t="s">
        <v>30908</v>
      </c>
      <c r="H6410" t="s">
        <v>30916</v>
      </c>
      <c r="I6410" t="s">
        <v>4142</v>
      </c>
      <c r="J6410" t="s">
        <v>35192</v>
      </c>
      <c r="K6410" t="s">
        <v>40288</v>
      </c>
      <c r="M6410" t="s">
        <v>42986</v>
      </c>
      <c r="N6410" t="s">
        <v>44759</v>
      </c>
      <c r="O6410" t="s">
        <v>44760</v>
      </c>
      <c r="P6410">
        <v>0</v>
      </c>
      <c r="Q6410">
        <v>2</v>
      </c>
      <c r="R6410" t="s">
        <v>44766</v>
      </c>
      <c r="S6410" t="s">
        <v>44902</v>
      </c>
      <c r="T6410" t="s">
        <v>46548</v>
      </c>
      <c r="U6410" t="s">
        <v>47259</v>
      </c>
      <c r="W6410" t="s">
        <v>42986</v>
      </c>
      <c r="X6410" t="s">
        <v>44767</v>
      </c>
    </row>
    <row r="6411" spans="1:24">
      <c r="A6411">
        <f>HYPERLINK("https://www.philgeps.gov.ph/GEPSNONPILOT/Tender/SplashBidNoticeAbstractUI.aspx?menuIndex=3&amp;refID=7147994&amp;Result=3","7147994")</f>
        <v>0</v>
      </c>
      <c r="B6411" t="s">
        <v>2263</v>
      </c>
      <c r="C6411" t="s">
        <v>9822</v>
      </c>
      <c r="D6411" t="s">
        <v>17966</v>
      </c>
      <c r="E6411" t="s">
        <v>23690</v>
      </c>
      <c r="F6411" t="s">
        <v>30900</v>
      </c>
      <c r="G6411" t="s">
        <v>30907</v>
      </c>
      <c r="H6411" t="s">
        <v>30916</v>
      </c>
      <c r="I6411" t="s">
        <v>8123</v>
      </c>
      <c r="J6411" t="s">
        <v>35193</v>
      </c>
      <c r="K6411" t="s">
        <v>40283</v>
      </c>
      <c r="L6411" t="s">
        <v>2263</v>
      </c>
      <c r="M6411" t="s">
        <v>42975</v>
      </c>
      <c r="N6411" t="s">
        <v>44759</v>
      </c>
      <c r="O6411" t="s">
        <v>44760</v>
      </c>
      <c r="P6411">
        <v>0</v>
      </c>
      <c r="Q6411">
        <v>0</v>
      </c>
      <c r="R6411" t="s">
        <v>44766</v>
      </c>
      <c r="S6411" t="s">
        <v>44902</v>
      </c>
      <c r="T6411" t="s">
        <v>46414</v>
      </c>
      <c r="U6411" t="s">
        <v>52300</v>
      </c>
      <c r="W6411" t="s">
        <v>42975</v>
      </c>
      <c r="X6411" t="s">
        <v>44767</v>
      </c>
    </row>
    <row r="6412" spans="1:24">
      <c r="A6412">
        <f>HYPERLINK("https://www.philgeps.gov.ph/GEPSNONPILOT/Tender/SplashBidNoticeAbstractUI.aspx?menuIndex=3&amp;refID=7147993&amp;Result=3","7147993")</f>
        <v>0</v>
      </c>
      <c r="B6412" t="s">
        <v>2277</v>
      </c>
      <c r="C6412" t="s">
        <v>9823</v>
      </c>
      <c r="D6412" t="s">
        <v>17961</v>
      </c>
      <c r="E6412" t="s">
        <v>18282</v>
      </c>
      <c r="F6412" t="s">
        <v>30900</v>
      </c>
      <c r="G6412" t="s">
        <v>30909</v>
      </c>
      <c r="H6412" t="s">
        <v>30916</v>
      </c>
      <c r="I6412" t="s">
        <v>30922</v>
      </c>
      <c r="J6412" t="s">
        <v>31467</v>
      </c>
      <c r="K6412" t="s">
        <v>40287</v>
      </c>
      <c r="M6412" t="s">
        <v>42991</v>
      </c>
      <c r="N6412" t="s">
        <v>44759</v>
      </c>
      <c r="O6412" t="s">
        <v>44760</v>
      </c>
      <c r="P6412">
        <v>0</v>
      </c>
      <c r="Q6412">
        <v>0</v>
      </c>
      <c r="R6412" t="s">
        <v>44766</v>
      </c>
      <c r="S6412" t="s">
        <v>44902</v>
      </c>
      <c r="T6412" t="s">
        <v>46414</v>
      </c>
      <c r="U6412" t="s">
        <v>52301</v>
      </c>
      <c r="W6412" t="s">
        <v>42991</v>
      </c>
      <c r="X6412" t="s">
        <v>44767</v>
      </c>
    </row>
    <row r="6413" spans="1:24">
      <c r="A6413">
        <f>HYPERLINK("https://www.philgeps.gov.ph/GEPSNONPILOT/Tender/SplashBidNoticeAbstractUI.aspx?menuIndex=3&amp;refID=7147991&amp;Result=3","7147991")</f>
        <v>0</v>
      </c>
      <c r="B6413" t="s">
        <v>2278</v>
      </c>
      <c r="C6413" t="s">
        <v>9824</v>
      </c>
      <c r="D6413" t="s">
        <v>17954</v>
      </c>
      <c r="E6413" t="s">
        <v>23691</v>
      </c>
      <c r="F6413" t="s">
        <v>30900</v>
      </c>
      <c r="G6413" t="s">
        <v>30908</v>
      </c>
      <c r="H6413" t="s">
        <v>30916</v>
      </c>
      <c r="I6413" t="s">
        <v>10602</v>
      </c>
      <c r="J6413" t="s">
        <v>33070</v>
      </c>
      <c r="K6413" t="s">
        <v>40285</v>
      </c>
      <c r="M6413" t="s">
        <v>42992</v>
      </c>
      <c r="N6413" t="s">
        <v>44759</v>
      </c>
      <c r="O6413" t="s">
        <v>44760</v>
      </c>
      <c r="P6413">
        <v>0</v>
      </c>
      <c r="Q6413">
        <v>0</v>
      </c>
      <c r="R6413" t="s">
        <v>44766</v>
      </c>
      <c r="S6413" t="s">
        <v>44902</v>
      </c>
      <c r="T6413" t="s">
        <v>46403</v>
      </c>
      <c r="U6413" t="s">
        <v>52302</v>
      </c>
      <c r="W6413" t="s">
        <v>42992</v>
      </c>
      <c r="X6413" t="s">
        <v>44767</v>
      </c>
    </row>
    <row r="6414" spans="1:24">
      <c r="A6414">
        <f>HYPERLINK("https://www.philgeps.gov.ph/GEPSNONPILOT/Tender/SplashBidNoticeAbstractUI.aspx?menuIndex=3&amp;refID=7147990&amp;Result=3","7147990")</f>
        <v>0</v>
      </c>
      <c r="B6414" t="s">
        <v>2209</v>
      </c>
      <c r="C6414" t="s">
        <v>9825</v>
      </c>
      <c r="D6414" t="s">
        <v>17959</v>
      </c>
      <c r="E6414" t="s">
        <v>23692</v>
      </c>
      <c r="F6414" t="s">
        <v>30900</v>
      </c>
      <c r="G6414" t="s">
        <v>30907</v>
      </c>
      <c r="H6414" t="s">
        <v>30916</v>
      </c>
      <c r="I6414" t="s">
        <v>9385</v>
      </c>
      <c r="J6414" t="s">
        <v>31130</v>
      </c>
      <c r="K6414" t="s">
        <v>40286</v>
      </c>
      <c r="M6414" t="s">
        <v>42917</v>
      </c>
      <c r="N6414" t="s">
        <v>44759</v>
      </c>
      <c r="O6414" t="s">
        <v>44760</v>
      </c>
      <c r="P6414">
        <v>0</v>
      </c>
      <c r="Q6414">
        <v>4</v>
      </c>
      <c r="R6414" t="s">
        <v>44766</v>
      </c>
      <c r="S6414" t="s">
        <v>44902</v>
      </c>
      <c r="T6414" t="s">
        <v>46425</v>
      </c>
      <c r="U6414" t="s">
        <v>52214</v>
      </c>
      <c r="W6414" t="s">
        <v>42917</v>
      </c>
      <c r="X6414" t="s">
        <v>44767</v>
      </c>
    </row>
    <row r="6415" spans="1:24">
      <c r="A6415">
        <f>HYPERLINK("https://www.philgeps.gov.ph/GEPSNONPILOT/Tender/SplashBidNoticeAbstractUI.aspx?menuIndex=3&amp;refID=7147806&amp;Result=3","7147806")</f>
        <v>0</v>
      </c>
      <c r="B6415" t="s">
        <v>255</v>
      </c>
      <c r="C6415" t="s">
        <v>9826</v>
      </c>
      <c r="D6415" t="s">
        <v>17980</v>
      </c>
      <c r="E6415" t="s">
        <v>23693</v>
      </c>
      <c r="F6415" t="s">
        <v>30900</v>
      </c>
      <c r="G6415" t="s">
        <v>30907</v>
      </c>
      <c r="H6415" t="s">
        <v>30916</v>
      </c>
      <c r="I6415" t="s">
        <v>7708</v>
      </c>
      <c r="J6415" t="s">
        <v>35194</v>
      </c>
      <c r="K6415" t="s">
        <v>40292</v>
      </c>
      <c r="M6415" t="s">
        <v>40802</v>
      </c>
      <c r="N6415" t="s">
        <v>44759</v>
      </c>
      <c r="O6415" t="s">
        <v>44760</v>
      </c>
      <c r="P6415">
        <v>0</v>
      </c>
      <c r="Q6415">
        <v>8</v>
      </c>
      <c r="R6415" t="s">
        <v>44766</v>
      </c>
      <c r="S6415" t="s">
        <v>44902</v>
      </c>
      <c r="T6415" t="s">
        <v>46350</v>
      </c>
      <c r="U6415" t="s">
        <v>52217</v>
      </c>
      <c r="W6415" t="s">
        <v>40802</v>
      </c>
      <c r="X6415" t="s">
        <v>44767</v>
      </c>
    </row>
    <row r="6416" spans="1:24">
      <c r="A6416">
        <f>HYPERLINK("https://www.philgeps.gov.ph/GEPSNONPILOT/Tender/SplashBidNoticeAbstractUI.aspx?menuIndex=3&amp;refID=7147805&amp;Result=3","7147805")</f>
        <v>0</v>
      </c>
      <c r="B6416" t="s">
        <v>2279</v>
      </c>
      <c r="C6416" t="s">
        <v>9827</v>
      </c>
      <c r="D6416" t="s">
        <v>17980</v>
      </c>
      <c r="E6416" t="s">
        <v>21515</v>
      </c>
      <c r="F6416" t="s">
        <v>30900</v>
      </c>
      <c r="G6416" t="s">
        <v>30909</v>
      </c>
      <c r="H6416" t="s">
        <v>30916</v>
      </c>
      <c r="I6416" t="s">
        <v>4142</v>
      </c>
      <c r="J6416" t="s">
        <v>35195</v>
      </c>
      <c r="K6416" t="s">
        <v>40286</v>
      </c>
      <c r="M6416" t="s">
        <v>42993</v>
      </c>
      <c r="N6416" t="s">
        <v>44759</v>
      </c>
      <c r="O6416" t="s">
        <v>44760</v>
      </c>
      <c r="P6416">
        <v>0</v>
      </c>
      <c r="Q6416">
        <v>0</v>
      </c>
      <c r="R6416" t="s">
        <v>44766</v>
      </c>
      <c r="S6416" t="s">
        <v>44902</v>
      </c>
      <c r="T6416" t="s">
        <v>46414</v>
      </c>
      <c r="U6416" t="s">
        <v>52303</v>
      </c>
      <c r="W6416" t="s">
        <v>42993</v>
      </c>
      <c r="X6416" t="s">
        <v>44767</v>
      </c>
    </row>
    <row r="6417" spans="1:24">
      <c r="A6417">
        <f>HYPERLINK("https://www.philgeps.gov.ph/GEPSNONPILOT/Tender/SplashBidNoticeAbstractUI.aspx?menuIndex=3&amp;refID=7147804&amp;Result=3","7147804")</f>
        <v>0</v>
      </c>
      <c r="B6417" t="s">
        <v>2250</v>
      </c>
      <c r="C6417" t="s">
        <v>9828</v>
      </c>
      <c r="D6417" t="s">
        <v>17968</v>
      </c>
      <c r="E6417" t="s">
        <v>18094</v>
      </c>
      <c r="F6417" t="s">
        <v>30900</v>
      </c>
      <c r="G6417" t="s">
        <v>30907</v>
      </c>
      <c r="H6417" t="s">
        <v>30916</v>
      </c>
      <c r="I6417" t="s">
        <v>8123</v>
      </c>
      <c r="J6417" t="s">
        <v>35196</v>
      </c>
      <c r="K6417" t="s">
        <v>40289</v>
      </c>
      <c r="M6417" t="s">
        <v>42962</v>
      </c>
      <c r="N6417" t="s">
        <v>44759</v>
      </c>
      <c r="O6417" t="s">
        <v>44760</v>
      </c>
      <c r="P6417">
        <v>0</v>
      </c>
      <c r="Q6417">
        <v>0</v>
      </c>
      <c r="R6417" t="s">
        <v>44766</v>
      </c>
      <c r="S6417" t="s">
        <v>44902</v>
      </c>
      <c r="T6417" t="s">
        <v>46414</v>
      </c>
      <c r="U6417" t="s">
        <v>52304</v>
      </c>
      <c r="W6417" t="s">
        <v>42962</v>
      </c>
      <c r="X6417" t="s">
        <v>44767</v>
      </c>
    </row>
    <row r="6418" spans="1:24">
      <c r="A6418">
        <f>HYPERLINK("https://www.philgeps.gov.ph/GEPSNONPILOT/Tender/SplashBidNoticeAbstractUI.aspx?menuIndex=3&amp;refID=7148010&amp;Result=3","7148010")</f>
        <v>0</v>
      </c>
      <c r="B6418" t="s">
        <v>2209</v>
      </c>
      <c r="C6418" t="s">
        <v>9829</v>
      </c>
      <c r="D6418" t="s">
        <v>17959</v>
      </c>
      <c r="E6418" t="s">
        <v>9829</v>
      </c>
      <c r="F6418" t="s">
        <v>30900</v>
      </c>
      <c r="G6418" t="s">
        <v>30907</v>
      </c>
      <c r="H6418" t="s">
        <v>30916</v>
      </c>
      <c r="I6418" t="s">
        <v>9385</v>
      </c>
      <c r="J6418" t="s">
        <v>35197</v>
      </c>
      <c r="K6418" t="s">
        <v>40286</v>
      </c>
      <c r="M6418" t="s">
        <v>42917</v>
      </c>
      <c r="N6418" t="s">
        <v>44759</v>
      </c>
      <c r="O6418" t="s">
        <v>44760</v>
      </c>
      <c r="P6418">
        <v>0</v>
      </c>
      <c r="Q6418">
        <v>5</v>
      </c>
      <c r="R6418" t="s">
        <v>44766</v>
      </c>
      <c r="S6418" t="s">
        <v>44902</v>
      </c>
      <c r="T6418" t="s">
        <v>46515</v>
      </c>
      <c r="U6418" t="s">
        <v>48763</v>
      </c>
      <c r="W6418" t="s">
        <v>42917</v>
      </c>
      <c r="X6418" t="s">
        <v>44767</v>
      </c>
    </row>
    <row r="6419" spans="1:24">
      <c r="A6419">
        <f>HYPERLINK("https://www.philgeps.gov.ph/GEPSNONPILOT/Tender/SplashBidNoticeAbstractUI.aspx?menuIndex=3&amp;refID=7148006&amp;Result=3","7148006")</f>
        <v>0</v>
      </c>
      <c r="B6419" t="s">
        <v>2209</v>
      </c>
      <c r="C6419" t="s">
        <v>9830</v>
      </c>
      <c r="D6419" t="s">
        <v>17959</v>
      </c>
      <c r="E6419" t="s">
        <v>23694</v>
      </c>
      <c r="F6419" t="s">
        <v>30900</v>
      </c>
      <c r="G6419" t="s">
        <v>30907</v>
      </c>
      <c r="H6419" t="s">
        <v>30916</v>
      </c>
      <c r="I6419" t="s">
        <v>9385</v>
      </c>
      <c r="J6419" t="s">
        <v>35198</v>
      </c>
      <c r="K6419" t="s">
        <v>40286</v>
      </c>
      <c r="M6419" t="s">
        <v>42917</v>
      </c>
      <c r="N6419" t="s">
        <v>44759</v>
      </c>
      <c r="O6419" t="s">
        <v>44760</v>
      </c>
      <c r="P6419">
        <v>0</v>
      </c>
      <c r="Q6419">
        <v>3</v>
      </c>
      <c r="R6419" t="s">
        <v>44766</v>
      </c>
      <c r="S6419" t="s">
        <v>44902</v>
      </c>
      <c r="T6419" t="s">
        <v>46515</v>
      </c>
      <c r="U6419" t="s">
        <v>52214</v>
      </c>
      <c r="W6419" t="s">
        <v>42917</v>
      </c>
      <c r="X6419" t="s">
        <v>44767</v>
      </c>
    </row>
    <row r="6420" spans="1:24">
      <c r="A6420">
        <f>HYPERLINK("https://www.philgeps.gov.ph/GEPSNONPILOT/Tender/SplashBidNoticeAbstractUI.aspx?menuIndex=3&amp;refID=7147938&amp;Result=3","7147938")</f>
        <v>0</v>
      </c>
      <c r="B6420" t="s">
        <v>2280</v>
      </c>
      <c r="C6420" t="s">
        <v>9831</v>
      </c>
      <c r="D6420" t="s">
        <v>17963</v>
      </c>
      <c r="E6420" t="s">
        <v>18158</v>
      </c>
      <c r="F6420" t="s">
        <v>30900</v>
      </c>
      <c r="G6420" t="s">
        <v>30907</v>
      </c>
      <c r="H6420" t="s">
        <v>30917</v>
      </c>
      <c r="I6420" t="s">
        <v>6746</v>
      </c>
      <c r="J6420" t="s">
        <v>31070</v>
      </c>
      <c r="K6420" t="s">
        <v>40287</v>
      </c>
      <c r="M6420" t="s">
        <v>42994</v>
      </c>
      <c r="N6420" t="s">
        <v>44759</v>
      </c>
      <c r="O6420" t="s">
        <v>44760</v>
      </c>
      <c r="P6420">
        <v>0</v>
      </c>
      <c r="Q6420">
        <v>0</v>
      </c>
      <c r="R6420" t="s">
        <v>44766</v>
      </c>
      <c r="S6420" t="s">
        <v>44902</v>
      </c>
      <c r="T6420" t="s">
        <v>46414</v>
      </c>
      <c r="U6420" t="s">
        <v>52305</v>
      </c>
      <c r="W6420" t="s">
        <v>42994</v>
      </c>
      <c r="X6420" t="s">
        <v>44767</v>
      </c>
    </row>
    <row r="6421" spans="1:24">
      <c r="A6421">
        <f>HYPERLINK("https://www.philgeps.gov.ph/GEPSNONPILOT/Tender/SplashBidNoticeAbstractUI.aspx?menuIndex=3&amp;refID=7147996&amp;Result=3","7147996")</f>
        <v>0</v>
      </c>
      <c r="B6421" t="s">
        <v>2267</v>
      </c>
      <c r="C6421" t="s">
        <v>9832</v>
      </c>
      <c r="E6421" t="s">
        <v>23695</v>
      </c>
      <c r="F6421" t="s">
        <v>30900</v>
      </c>
      <c r="G6421" t="s">
        <v>30909</v>
      </c>
      <c r="H6421" t="s">
        <v>30916</v>
      </c>
      <c r="I6421" t="s">
        <v>30924</v>
      </c>
      <c r="J6421" t="s">
        <v>35199</v>
      </c>
      <c r="K6421" t="s">
        <v>40289</v>
      </c>
      <c r="M6421" t="s">
        <v>42979</v>
      </c>
      <c r="N6421" t="s">
        <v>44759</v>
      </c>
      <c r="O6421" t="s">
        <v>44760</v>
      </c>
      <c r="P6421">
        <v>0</v>
      </c>
      <c r="Q6421">
        <v>7</v>
      </c>
      <c r="R6421" t="s">
        <v>44766</v>
      </c>
      <c r="S6421" t="s">
        <v>44902</v>
      </c>
      <c r="T6421" t="s">
        <v>46625</v>
      </c>
      <c r="U6421" t="s">
        <v>52306</v>
      </c>
      <c r="W6421" t="s">
        <v>42979</v>
      </c>
      <c r="X6421" t="s">
        <v>44767</v>
      </c>
    </row>
    <row r="6422" spans="1:24">
      <c r="A6422">
        <f>HYPERLINK("https://www.philgeps.gov.ph/GEPSNONPILOT/Tender/SplashBidNoticeAbstractUI.aspx?menuIndex=3&amp;refID=7147966&amp;Result=3","7147966")</f>
        <v>0</v>
      </c>
      <c r="B6422" t="s">
        <v>2281</v>
      </c>
      <c r="C6422" t="s">
        <v>4515</v>
      </c>
      <c r="D6422" t="s">
        <v>17994</v>
      </c>
      <c r="E6422" t="s">
        <v>23696</v>
      </c>
      <c r="F6422" t="s">
        <v>30900</v>
      </c>
      <c r="G6422" t="s">
        <v>30908</v>
      </c>
      <c r="H6422" t="s">
        <v>30916</v>
      </c>
      <c r="I6422" t="s">
        <v>4142</v>
      </c>
      <c r="J6422" t="s">
        <v>35200</v>
      </c>
      <c r="K6422" t="s">
        <v>40287</v>
      </c>
      <c r="M6422" t="s">
        <v>42995</v>
      </c>
      <c r="N6422" t="s">
        <v>44759</v>
      </c>
      <c r="O6422" t="s">
        <v>44760</v>
      </c>
      <c r="P6422">
        <v>0</v>
      </c>
      <c r="Q6422">
        <v>1</v>
      </c>
      <c r="R6422" t="s">
        <v>44766</v>
      </c>
      <c r="S6422" t="s">
        <v>44902</v>
      </c>
      <c r="T6422" t="s">
        <v>46625</v>
      </c>
      <c r="U6422" t="s">
        <v>51224</v>
      </c>
      <c r="W6422" t="s">
        <v>42995</v>
      </c>
      <c r="X6422" t="s">
        <v>44767</v>
      </c>
    </row>
    <row r="6423" spans="1:24">
      <c r="A6423">
        <f>HYPERLINK("https://www.philgeps.gov.ph/GEPSNONPILOT/Tender/SplashBidNoticeAbstractUI.aspx?menuIndex=3&amp;refID=7148015&amp;Result=3","7148015")</f>
        <v>0</v>
      </c>
      <c r="B6423" t="s">
        <v>1862</v>
      </c>
      <c r="C6423" t="s">
        <v>9833</v>
      </c>
      <c r="D6423" t="s">
        <v>17962</v>
      </c>
      <c r="E6423" t="s">
        <v>23697</v>
      </c>
      <c r="F6423" t="s">
        <v>30900</v>
      </c>
      <c r="G6423" t="s">
        <v>30907</v>
      </c>
      <c r="H6423" t="s">
        <v>30915</v>
      </c>
      <c r="I6423" t="s">
        <v>30919</v>
      </c>
      <c r="J6423" t="s">
        <v>35201</v>
      </c>
      <c r="K6423" t="s">
        <v>40314</v>
      </c>
      <c r="M6423" t="s">
        <v>42536</v>
      </c>
      <c r="N6423" t="s">
        <v>44759</v>
      </c>
      <c r="O6423" t="s">
        <v>44760</v>
      </c>
      <c r="P6423">
        <v>0</v>
      </c>
      <c r="Q6423">
        <v>0</v>
      </c>
      <c r="R6423" t="s">
        <v>44766</v>
      </c>
      <c r="S6423" t="s">
        <v>44902</v>
      </c>
      <c r="T6423" t="s">
        <v>46414</v>
      </c>
      <c r="U6423" t="s">
        <v>52307</v>
      </c>
      <c r="W6423" t="s">
        <v>42536</v>
      </c>
      <c r="X6423" t="s">
        <v>44767</v>
      </c>
    </row>
    <row r="6424" spans="1:24">
      <c r="A6424">
        <f>HYPERLINK("https://www.philgeps.gov.ph/GEPSNONPILOT/Tender/SplashBidNoticeAbstractUI.aspx?menuIndex=3&amp;refID=7148019&amp;Result=3","7148019")</f>
        <v>0</v>
      </c>
      <c r="B6424" t="s">
        <v>2209</v>
      </c>
      <c r="C6424" t="s">
        <v>9834</v>
      </c>
      <c r="D6424" t="s">
        <v>17959</v>
      </c>
      <c r="E6424" t="s">
        <v>9834</v>
      </c>
      <c r="F6424" t="s">
        <v>30900</v>
      </c>
      <c r="G6424" t="s">
        <v>30907</v>
      </c>
      <c r="H6424" t="s">
        <v>30916</v>
      </c>
      <c r="I6424" t="s">
        <v>9385</v>
      </c>
      <c r="J6424" t="s">
        <v>31152</v>
      </c>
      <c r="K6424" t="s">
        <v>40286</v>
      </c>
      <c r="M6424" t="s">
        <v>42917</v>
      </c>
      <c r="N6424" t="s">
        <v>44759</v>
      </c>
      <c r="O6424" t="s">
        <v>44760</v>
      </c>
      <c r="P6424">
        <v>0</v>
      </c>
      <c r="Q6424">
        <v>6</v>
      </c>
      <c r="R6424" t="s">
        <v>44766</v>
      </c>
      <c r="S6424" t="s">
        <v>44902</v>
      </c>
      <c r="T6424" t="s">
        <v>46515</v>
      </c>
      <c r="U6424" t="s">
        <v>48763</v>
      </c>
      <c r="W6424" t="s">
        <v>42917</v>
      </c>
      <c r="X6424" t="s">
        <v>44767</v>
      </c>
    </row>
    <row r="6425" spans="1:24">
      <c r="A6425">
        <f>HYPERLINK("https://www.philgeps.gov.ph/GEPSNONPILOT/Tender/SplashBidNoticeAbstractUI.aspx?menuIndex=3&amp;refID=7148017&amp;Result=3","7148017")</f>
        <v>0</v>
      </c>
      <c r="B6425" t="s">
        <v>1218</v>
      </c>
      <c r="C6425" t="s">
        <v>9835</v>
      </c>
      <c r="D6425" t="s">
        <v>17961</v>
      </c>
      <c r="E6425" t="s">
        <v>23698</v>
      </c>
      <c r="F6425" t="s">
        <v>30900</v>
      </c>
      <c r="G6425" t="s">
        <v>30908</v>
      </c>
      <c r="H6425" t="s">
        <v>30916</v>
      </c>
      <c r="I6425" t="s">
        <v>4108</v>
      </c>
      <c r="J6425" t="s">
        <v>31495</v>
      </c>
      <c r="K6425" t="s">
        <v>40286</v>
      </c>
      <c r="M6425" t="s">
        <v>41830</v>
      </c>
      <c r="N6425" t="s">
        <v>44759</v>
      </c>
      <c r="O6425" t="s">
        <v>44760</v>
      </c>
      <c r="P6425">
        <v>0</v>
      </c>
      <c r="Q6425">
        <v>0</v>
      </c>
      <c r="R6425" t="s">
        <v>44766</v>
      </c>
      <c r="S6425" t="s">
        <v>44902</v>
      </c>
      <c r="T6425" t="s">
        <v>46533</v>
      </c>
      <c r="U6425" t="s">
        <v>49386</v>
      </c>
      <c r="W6425" t="s">
        <v>41830</v>
      </c>
      <c r="X6425" t="s">
        <v>44767</v>
      </c>
    </row>
    <row r="6426" spans="1:24">
      <c r="A6426">
        <f>HYPERLINK("https://www.philgeps.gov.ph/GEPSNONPILOT/Tender/SplashBidNoticeAbstractUI.aspx?menuIndex=3&amp;refID=7148040&amp;Result=3","7148040")</f>
        <v>0</v>
      </c>
      <c r="B6426" t="s">
        <v>2282</v>
      </c>
      <c r="C6426" t="s">
        <v>9836</v>
      </c>
      <c r="D6426" t="s">
        <v>18016</v>
      </c>
      <c r="E6426" t="s">
        <v>23699</v>
      </c>
      <c r="F6426" t="s">
        <v>30900</v>
      </c>
      <c r="G6426" t="s">
        <v>30907</v>
      </c>
      <c r="H6426" t="s">
        <v>30915</v>
      </c>
      <c r="I6426" t="s">
        <v>30919</v>
      </c>
      <c r="J6426" t="s">
        <v>32523</v>
      </c>
      <c r="K6426" t="s">
        <v>40378</v>
      </c>
      <c r="M6426" t="s">
        <v>42996</v>
      </c>
      <c r="N6426" t="s">
        <v>44759</v>
      </c>
      <c r="O6426" t="s">
        <v>44760</v>
      </c>
      <c r="P6426">
        <v>0</v>
      </c>
      <c r="Q6426">
        <v>0</v>
      </c>
      <c r="R6426" t="s">
        <v>44766</v>
      </c>
      <c r="S6426" t="s">
        <v>44902</v>
      </c>
      <c r="T6426" t="s">
        <v>46453</v>
      </c>
      <c r="U6426" t="s">
        <v>52308</v>
      </c>
      <c r="W6426" t="s">
        <v>42996</v>
      </c>
      <c r="X6426" t="s">
        <v>44767</v>
      </c>
    </row>
    <row r="6427" spans="1:24">
      <c r="A6427">
        <f>HYPERLINK("https://www.philgeps.gov.ph/GEPSNONPILOT/Tender/SplashBidNoticeAbstractUI.aspx?menuIndex=3&amp;refID=7148039&amp;Result=3","7148039")</f>
        <v>0</v>
      </c>
      <c r="B6427" t="s">
        <v>2277</v>
      </c>
      <c r="C6427" t="s">
        <v>9837</v>
      </c>
      <c r="D6427" t="s">
        <v>17961</v>
      </c>
      <c r="E6427" t="s">
        <v>18169</v>
      </c>
      <c r="F6427" t="s">
        <v>30900</v>
      </c>
      <c r="G6427" t="s">
        <v>30909</v>
      </c>
      <c r="H6427" t="s">
        <v>30916</v>
      </c>
      <c r="I6427" t="s">
        <v>30922</v>
      </c>
      <c r="J6427" t="s">
        <v>35202</v>
      </c>
      <c r="K6427" t="s">
        <v>40287</v>
      </c>
      <c r="M6427" t="s">
        <v>42991</v>
      </c>
      <c r="N6427" t="s">
        <v>44759</v>
      </c>
      <c r="O6427" t="s">
        <v>44760</v>
      </c>
      <c r="P6427">
        <v>0</v>
      </c>
      <c r="Q6427">
        <v>1</v>
      </c>
      <c r="R6427" t="s">
        <v>44766</v>
      </c>
      <c r="S6427" t="s">
        <v>44902</v>
      </c>
      <c r="T6427" t="s">
        <v>46414</v>
      </c>
      <c r="U6427" t="s">
        <v>52309</v>
      </c>
      <c r="W6427" t="s">
        <v>42991</v>
      </c>
      <c r="X6427" t="s">
        <v>44767</v>
      </c>
    </row>
    <row r="6428" spans="1:24">
      <c r="A6428">
        <f>HYPERLINK("https://www.philgeps.gov.ph/GEPSNONPILOT/Tender/SplashBidNoticeAbstractUI.aspx?menuIndex=3&amp;refID=7148024&amp;Result=3","7148024")</f>
        <v>0</v>
      </c>
      <c r="B6428" t="s">
        <v>2272</v>
      </c>
      <c r="C6428" t="s">
        <v>9838</v>
      </c>
      <c r="D6428" t="s">
        <v>17953</v>
      </c>
      <c r="E6428" t="s">
        <v>23700</v>
      </c>
      <c r="F6428" t="s">
        <v>30900</v>
      </c>
      <c r="G6428" t="s">
        <v>30908</v>
      </c>
      <c r="H6428" t="s">
        <v>30916</v>
      </c>
      <c r="I6428" t="s">
        <v>30970</v>
      </c>
      <c r="J6428" t="s">
        <v>35203</v>
      </c>
      <c r="K6428" t="s">
        <v>40288</v>
      </c>
      <c r="M6428" t="s">
        <v>42986</v>
      </c>
      <c r="N6428" t="s">
        <v>44759</v>
      </c>
      <c r="O6428" t="s">
        <v>44760</v>
      </c>
      <c r="P6428">
        <v>0</v>
      </c>
      <c r="Q6428">
        <v>0</v>
      </c>
      <c r="R6428" t="s">
        <v>44766</v>
      </c>
      <c r="S6428" t="s">
        <v>44902</v>
      </c>
      <c r="T6428" t="s">
        <v>46548</v>
      </c>
      <c r="U6428" t="s">
        <v>47259</v>
      </c>
      <c r="W6428" t="s">
        <v>42986</v>
      </c>
      <c r="X6428" t="s">
        <v>44767</v>
      </c>
    </row>
    <row r="6429" spans="1:24">
      <c r="A6429">
        <f>HYPERLINK("https://www.philgeps.gov.ph/GEPSNONPILOT/Tender/SplashBidNoticeAbstractUI.aspx?menuIndex=3&amp;refID=7148038&amp;Result=3","7148038")</f>
        <v>0</v>
      </c>
      <c r="B6429" t="s">
        <v>379</v>
      </c>
      <c r="C6429" t="s">
        <v>9839</v>
      </c>
      <c r="D6429" t="s">
        <v>18015</v>
      </c>
      <c r="E6429" t="s">
        <v>23701</v>
      </c>
      <c r="F6429" t="s">
        <v>30900</v>
      </c>
      <c r="G6429" t="s">
        <v>30908</v>
      </c>
      <c r="H6429" t="s">
        <v>30916</v>
      </c>
      <c r="I6429" t="s">
        <v>30947</v>
      </c>
      <c r="J6429" t="s">
        <v>31522</v>
      </c>
      <c r="K6429" t="s">
        <v>40281</v>
      </c>
      <c r="M6429" t="s">
        <v>40933</v>
      </c>
      <c r="N6429" t="s">
        <v>44759</v>
      </c>
      <c r="O6429" t="s">
        <v>44760</v>
      </c>
      <c r="P6429">
        <v>0</v>
      </c>
      <c r="Q6429">
        <v>1</v>
      </c>
      <c r="R6429" t="s">
        <v>44766</v>
      </c>
      <c r="S6429" t="s">
        <v>44902</v>
      </c>
      <c r="T6429" t="s">
        <v>46531</v>
      </c>
      <c r="U6429" t="s">
        <v>52310</v>
      </c>
      <c r="W6429" t="s">
        <v>40933</v>
      </c>
      <c r="X6429" t="s">
        <v>44767</v>
      </c>
    </row>
    <row r="6430" spans="1:24">
      <c r="A6430">
        <f>HYPERLINK("https://www.philgeps.gov.ph/GEPSNONPILOT/Tender/SplashBidNoticeAbstractUI.aspx?menuIndex=3&amp;refID=7148041&amp;Result=3","7148041")</f>
        <v>0</v>
      </c>
      <c r="B6430" t="s">
        <v>2283</v>
      </c>
      <c r="C6430" t="s">
        <v>9840</v>
      </c>
      <c r="D6430" t="s">
        <v>17985</v>
      </c>
      <c r="E6430" t="s">
        <v>23702</v>
      </c>
      <c r="F6430" t="s">
        <v>30900</v>
      </c>
      <c r="G6430" t="s">
        <v>30907</v>
      </c>
      <c r="H6430" t="s">
        <v>30916</v>
      </c>
      <c r="I6430" t="s">
        <v>30919</v>
      </c>
      <c r="J6430" t="s">
        <v>31101</v>
      </c>
      <c r="K6430" t="s">
        <v>40287</v>
      </c>
      <c r="M6430" t="s">
        <v>42997</v>
      </c>
      <c r="N6430" t="s">
        <v>44759</v>
      </c>
      <c r="O6430" t="s">
        <v>44760</v>
      </c>
      <c r="P6430">
        <v>0</v>
      </c>
      <c r="Q6430">
        <v>0</v>
      </c>
      <c r="R6430" t="s">
        <v>44766</v>
      </c>
      <c r="S6430" t="s">
        <v>44902</v>
      </c>
      <c r="T6430" t="s">
        <v>46398</v>
      </c>
      <c r="U6430" t="s">
        <v>52311</v>
      </c>
      <c r="W6430" t="s">
        <v>42997</v>
      </c>
      <c r="X6430" t="s">
        <v>44767</v>
      </c>
    </row>
    <row r="6431" spans="1:24">
      <c r="A6431">
        <f>HYPERLINK("https://www.philgeps.gov.ph/GEPSNONPILOT/Tender/SplashBidNoticeAbstractUI.aspx?menuIndex=3&amp;refID=7148032&amp;Result=3","7148032")</f>
        <v>0</v>
      </c>
      <c r="B6431" t="s">
        <v>2284</v>
      </c>
      <c r="C6431" t="s">
        <v>9841</v>
      </c>
      <c r="D6431" t="s">
        <v>17985</v>
      </c>
      <c r="E6431" t="s">
        <v>23703</v>
      </c>
      <c r="F6431" t="s">
        <v>30900</v>
      </c>
      <c r="G6431" t="s">
        <v>30908</v>
      </c>
      <c r="H6431" t="s">
        <v>30916</v>
      </c>
      <c r="I6431" t="s">
        <v>31022</v>
      </c>
      <c r="J6431" t="s">
        <v>35204</v>
      </c>
      <c r="K6431" t="s">
        <v>40283</v>
      </c>
      <c r="M6431" t="s">
        <v>42998</v>
      </c>
      <c r="N6431" t="s">
        <v>44759</v>
      </c>
      <c r="O6431" t="s">
        <v>44760</v>
      </c>
      <c r="P6431">
        <v>0</v>
      </c>
      <c r="Q6431">
        <v>0</v>
      </c>
      <c r="R6431" t="s">
        <v>44766</v>
      </c>
      <c r="S6431" t="s">
        <v>44902</v>
      </c>
      <c r="T6431" t="s">
        <v>46536</v>
      </c>
      <c r="U6431" t="s">
        <v>52312</v>
      </c>
      <c r="W6431" t="s">
        <v>42998</v>
      </c>
      <c r="X6431" t="s">
        <v>44767</v>
      </c>
    </row>
    <row r="6432" spans="1:24">
      <c r="A6432">
        <f>HYPERLINK("https://www.philgeps.gov.ph/GEPSNONPILOT/Tender/SplashBidNoticeAbstractUI.aspx?menuIndex=3&amp;refID=7148020&amp;Result=3","7148020")</f>
        <v>0</v>
      </c>
      <c r="B6432" t="s">
        <v>2209</v>
      </c>
      <c r="C6432" t="s">
        <v>9842</v>
      </c>
      <c r="D6432" t="s">
        <v>17959</v>
      </c>
      <c r="E6432" t="s">
        <v>9842</v>
      </c>
      <c r="F6432" t="s">
        <v>30900</v>
      </c>
      <c r="G6432" t="s">
        <v>30907</v>
      </c>
      <c r="H6432" t="s">
        <v>30916</v>
      </c>
      <c r="I6432" t="s">
        <v>9385</v>
      </c>
      <c r="J6432" t="s">
        <v>31243</v>
      </c>
      <c r="K6432" t="s">
        <v>40286</v>
      </c>
      <c r="M6432" t="s">
        <v>42917</v>
      </c>
      <c r="N6432" t="s">
        <v>44759</v>
      </c>
      <c r="O6432" t="s">
        <v>44760</v>
      </c>
      <c r="P6432">
        <v>0</v>
      </c>
      <c r="Q6432">
        <v>4</v>
      </c>
      <c r="R6432" t="s">
        <v>44766</v>
      </c>
      <c r="S6432" t="s">
        <v>44902</v>
      </c>
      <c r="T6432" t="s">
        <v>46515</v>
      </c>
      <c r="U6432" t="s">
        <v>48763</v>
      </c>
      <c r="W6432" t="s">
        <v>42917</v>
      </c>
      <c r="X6432" t="s">
        <v>44767</v>
      </c>
    </row>
    <row r="6433" spans="1:24">
      <c r="A6433">
        <f>HYPERLINK("https://www.philgeps.gov.ph/GEPSNONPILOT/Tender/SplashBidNoticeAbstractUI.aspx?menuIndex=3&amp;refID=7148042&amp;Result=3","7148042")</f>
        <v>0</v>
      </c>
      <c r="B6433" t="s">
        <v>2282</v>
      </c>
      <c r="C6433" t="s">
        <v>9843</v>
      </c>
      <c r="D6433" t="s">
        <v>18016</v>
      </c>
      <c r="E6433" t="s">
        <v>23704</v>
      </c>
      <c r="F6433" t="s">
        <v>30900</v>
      </c>
      <c r="G6433" t="s">
        <v>30907</v>
      </c>
      <c r="H6433" t="s">
        <v>30915</v>
      </c>
      <c r="I6433" t="s">
        <v>30919</v>
      </c>
      <c r="J6433" t="s">
        <v>35205</v>
      </c>
      <c r="K6433" t="s">
        <v>40301</v>
      </c>
      <c r="M6433" t="s">
        <v>42996</v>
      </c>
      <c r="N6433" t="s">
        <v>44759</v>
      </c>
      <c r="O6433" t="s">
        <v>44760</v>
      </c>
      <c r="P6433">
        <v>0</v>
      </c>
      <c r="Q6433">
        <v>0</v>
      </c>
      <c r="R6433" t="s">
        <v>44766</v>
      </c>
      <c r="S6433" t="s">
        <v>44902</v>
      </c>
      <c r="T6433" t="s">
        <v>46453</v>
      </c>
      <c r="U6433" t="s">
        <v>52313</v>
      </c>
      <c r="W6433" t="s">
        <v>42996</v>
      </c>
      <c r="X6433" t="s">
        <v>44767</v>
      </c>
    </row>
    <row r="6434" spans="1:24">
      <c r="A6434">
        <f>HYPERLINK("https://www.philgeps.gov.ph/GEPSNONPILOT/Tender/SplashBidNoticeAbstractUI.aspx?menuIndex=3&amp;refID=7148036&amp;Result=3","7148036")</f>
        <v>0</v>
      </c>
      <c r="B6434" t="s">
        <v>1529</v>
      </c>
      <c r="C6434" t="s">
        <v>9844</v>
      </c>
      <c r="D6434" t="s">
        <v>18010</v>
      </c>
      <c r="E6434" t="s">
        <v>23705</v>
      </c>
      <c r="F6434" t="s">
        <v>30900</v>
      </c>
      <c r="G6434" t="s">
        <v>30908</v>
      </c>
      <c r="H6434" t="s">
        <v>30916</v>
      </c>
      <c r="I6434" t="s">
        <v>30942</v>
      </c>
      <c r="J6434" t="s">
        <v>35206</v>
      </c>
      <c r="K6434" t="s">
        <v>40284</v>
      </c>
      <c r="M6434" t="s">
        <v>42172</v>
      </c>
      <c r="N6434" t="s">
        <v>44759</v>
      </c>
      <c r="O6434" t="s">
        <v>44760</v>
      </c>
      <c r="P6434">
        <v>0</v>
      </c>
      <c r="Q6434">
        <v>0</v>
      </c>
      <c r="R6434" t="s">
        <v>44766</v>
      </c>
      <c r="S6434" t="s">
        <v>44902</v>
      </c>
      <c r="T6434" t="s">
        <v>46581</v>
      </c>
      <c r="U6434" t="s">
        <v>52314</v>
      </c>
      <c r="W6434" t="s">
        <v>60866</v>
      </c>
      <c r="X6434" t="s">
        <v>44767</v>
      </c>
    </row>
    <row r="6435" spans="1:24">
      <c r="A6435">
        <f>HYPERLINK("https://www.philgeps.gov.ph/GEPSNONPILOT/Tender/SplashBidNoticeAbstractUI.aspx?menuIndex=3&amp;refID=7148029&amp;Result=3","7148029")</f>
        <v>0</v>
      </c>
      <c r="B6435" t="s">
        <v>1218</v>
      </c>
      <c r="C6435" t="s">
        <v>9845</v>
      </c>
      <c r="D6435" t="s">
        <v>17961</v>
      </c>
      <c r="E6435" t="s">
        <v>23706</v>
      </c>
      <c r="F6435" t="s">
        <v>30900</v>
      </c>
      <c r="G6435" t="s">
        <v>30908</v>
      </c>
      <c r="H6435" t="s">
        <v>30916</v>
      </c>
      <c r="I6435" t="s">
        <v>4108</v>
      </c>
      <c r="J6435" t="s">
        <v>35207</v>
      </c>
      <c r="K6435" t="s">
        <v>40286</v>
      </c>
      <c r="M6435" t="s">
        <v>41830</v>
      </c>
      <c r="N6435" t="s">
        <v>44759</v>
      </c>
      <c r="O6435" t="s">
        <v>44760</v>
      </c>
      <c r="P6435">
        <v>0</v>
      </c>
      <c r="Q6435">
        <v>0</v>
      </c>
      <c r="R6435" t="s">
        <v>44766</v>
      </c>
      <c r="S6435" t="s">
        <v>44902</v>
      </c>
      <c r="T6435" t="s">
        <v>46533</v>
      </c>
      <c r="U6435" t="s">
        <v>49386</v>
      </c>
      <c r="W6435" t="s">
        <v>41830</v>
      </c>
      <c r="X6435" t="s">
        <v>44767</v>
      </c>
    </row>
    <row r="6436" spans="1:24">
      <c r="A6436">
        <f>HYPERLINK("https://www.philgeps.gov.ph/GEPSNONPILOT/Tender/SplashBidNoticeAbstractUI.aspx?menuIndex=3&amp;refID=7148027&amp;Result=3","7148027")</f>
        <v>0</v>
      </c>
      <c r="B6436" t="s">
        <v>1529</v>
      </c>
      <c r="C6436" t="s">
        <v>9846</v>
      </c>
      <c r="D6436" t="s">
        <v>18010</v>
      </c>
      <c r="E6436" t="s">
        <v>23707</v>
      </c>
      <c r="F6436" t="s">
        <v>30900</v>
      </c>
      <c r="G6436" t="s">
        <v>30908</v>
      </c>
      <c r="H6436" t="s">
        <v>30916</v>
      </c>
      <c r="I6436" t="s">
        <v>4108</v>
      </c>
      <c r="J6436" t="s">
        <v>32363</v>
      </c>
      <c r="K6436" t="s">
        <v>40286</v>
      </c>
      <c r="M6436" t="s">
        <v>42172</v>
      </c>
      <c r="N6436" t="s">
        <v>44759</v>
      </c>
      <c r="O6436" t="s">
        <v>44760</v>
      </c>
      <c r="P6436">
        <v>0</v>
      </c>
      <c r="Q6436">
        <v>1</v>
      </c>
      <c r="R6436" t="s">
        <v>44766</v>
      </c>
      <c r="S6436" t="s">
        <v>44902</v>
      </c>
      <c r="T6436" t="s">
        <v>46581</v>
      </c>
      <c r="U6436" t="s">
        <v>52315</v>
      </c>
      <c r="W6436" t="s">
        <v>60866</v>
      </c>
      <c r="X6436" t="s">
        <v>44767</v>
      </c>
    </row>
    <row r="6437" spans="1:24">
      <c r="A6437">
        <f>HYPERLINK("https://www.philgeps.gov.ph/GEPSNONPILOT/Tender/SplashBidNoticeAbstractUI.aspx?menuIndex=3&amp;refID=7148026&amp;Result=3","7148026")</f>
        <v>0</v>
      </c>
      <c r="B6437" t="s">
        <v>2285</v>
      </c>
      <c r="C6437" t="s">
        <v>9847</v>
      </c>
      <c r="D6437" t="s">
        <v>17959</v>
      </c>
      <c r="E6437" t="s">
        <v>23708</v>
      </c>
      <c r="F6437" t="s">
        <v>30900</v>
      </c>
      <c r="G6437" t="s">
        <v>30908</v>
      </c>
      <c r="H6437" t="s">
        <v>30917</v>
      </c>
      <c r="I6437" t="s">
        <v>30924</v>
      </c>
      <c r="J6437" t="s">
        <v>35208</v>
      </c>
      <c r="K6437" t="s">
        <v>40319</v>
      </c>
      <c r="M6437" t="s">
        <v>42999</v>
      </c>
      <c r="N6437" t="s">
        <v>44759</v>
      </c>
      <c r="O6437" t="s">
        <v>44760</v>
      </c>
      <c r="Q6437">
        <v>3</v>
      </c>
      <c r="R6437" t="s">
        <v>44766</v>
      </c>
      <c r="S6437" t="s">
        <v>44953</v>
      </c>
      <c r="T6437" t="s">
        <v>46410</v>
      </c>
      <c r="U6437" t="s">
        <v>47069</v>
      </c>
      <c r="W6437" t="s">
        <v>42999</v>
      </c>
      <c r="X6437" t="s">
        <v>44767</v>
      </c>
    </row>
    <row r="6438" spans="1:24">
      <c r="A6438">
        <f>HYPERLINK("https://www.philgeps.gov.ph/GEPSNONPILOT/Tender/SplashBidNoticeAbstractUI.aspx?menuIndex=3&amp;refID=7148018&amp;Result=3","7148018")</f>
        <v>0</v>
      </c>
      <c r="B6438" t="s">
        <v>2272</v>
      </c>
      <c r="C6438" t="s">
        <v>9848</v>
      </c>
      <c r="D6438" t="s">
        <v>17953</v>
      </c>
      <c r="E6438" t="s">
        <v>23709</v>
      </c>
      <c r="F6438" t="s">
        <v>30900</v>
      </c>
      <c r="G6438" t="s">
        <v>30907</v>
      </c>
      <c r="H6438" t="s">
        <v>30916</v>
      </c>
      <c r="I6438" t="s">
        <v>30981</v>
      </c>
      <c r="J6438" t="s">
        <v>31674</v>
      </c>
      <c r="K6438" t="s">
        <v>40281</v>
      </c>
      <c r="M6438" t="s">
        <v>42986</v>
      </c>
      <c r="N6438" t="s">
        <v>44759</v>
      </c>
      <c r="O6438" t="s">
        <v>44760</v>
      </c>
      <c r="P6438">
        <v>0</v>
      </c>
      <c r="Q6438">
        <v>0</v>
      </c>
      <c r="R6438" t="s">
        <v>44766</v>
      </c>
      <c r="S6438" t="s">
        <v>44902</v>
      </c>
      <c r="T6438" t="s">
        <v>46703</v>
      </c>
      <c r="U6438" t="s">
        <v>47259</v>
      </c>
      <c r="W6438" t="s">
        <v>42986</v>
      </c>
      <c r="X6438" t="s">
        <v>44767</v>
      </c>
    </row>
    <row r="6439" spans="1:24">
      <c r="A6439">
        <f>HYPERLINK("https://www.philgeps.gov.ph/GEPSNONPILOT/Tender/SplashBidNoticeAbstractUI.aspx?menuIndex=3&amp;refID=7148021&amp;Result=3","7148021")</f>
        <v>0</v>
      </c>
      <c r="B6439" t="s">
        <v>1529</v>
      </c>
      <c r="C6439" t="s">
        <v>9849</v>
      </c>
      <c r="D6439" t="s">
        <v>18010</v>
      </c>
      <c r="E6439" t="s">
        <v>23710</v>
      </c>
      <c r="F6439" t="s">
        <v>30900</v>
      </c>
      <c r="G6439" t="s">
        <v>30908</v>
      </c>
      <c r="H6439" t="s">
        <v>30916</v>
      </c>
      <c r="I6439" t="s">
        <v>4108</v>
      </c>
      <c r="J6439" t="s">
        <v>35209</v>
      </c>
      <c r="K6439" t="s">
        <v>40284</v>
      </c>
      <c r="M6439" t="s">
        <v>42172</v>
      </c>
      <c r="N6439" t="s">
        <v>44759</v>
      </c>
      <c r="O6439" t="s">
        <v>44760</v>
      </c>
      <c r="P6439">
        <v>0</v>
      </c>
      <c r="Q6439">
        <v>3</v>
      </c>
      <c r="R6439" t="s">
        <v>44766</v>
      </c>
      <c r="S6439" t="s">
        <v>44902</v>
      </c>
      <c r="T6439" t="s">
        <v>46581</v>
      </c>
      <c r="U6439" t="s">
        <v>52316</v>
      </c>
      <c r="W6439" t="s">
        <v>60866</v>
      </c>
      <c r="X6439" t="s">
        <v>44767</v>
      </c>
    </row>
    <row r="6440" spans="1:24">
      <c r="A6440">
        <f>HYPERLINK("https://www.philgeps.gov.ph/GEPSNONPILOT/Tender/SplashBidNoticeAbstractUI.aspx?menuIndex=3&amp;refID=7148043&amp;Result=3","7148043")</f>
        <v>0</v>
      </c>
      <c r="B6440" t="s">
        <v>2284</v>
      </c>
      <c r="C6440" t="s">
        <v>9850</v>
      </c>
      <c r="D6440" t="s">
        <v>17985</v>
      </c>
      <c r="E6440" t="s">
        <v>23711</v>
      </c>
      <c r="F6440" t="s">
        <v>30900</v>
      </c>
      <c r="G6440" t="s">
        <v>30910</v>
      </c>
      <c r="H6440" t="s">
        <v>30916</v>
      </c>
      <c r="I6440" t="s">
        <v>30950</v>
      </c>
      <c r="J6440" t="s">
        <v>35210</v>
      </c>
      <c r="K6440" t="s">
        <v>40283</v>
      </c>
      <c r="M6440" t="s">
        <v>42998</v>
      </c>
      <c r="N6440" t="s">
        <v>44759</v>
      </c>
      <c r="O6440" t="s">
        <v>44760</v>
      </c>
      <c r="P6440">
        <v>0</v>
      </c>
      <c r="Q6440">
        <v>6</v>
      </c>
      <c r="R6440" t="s">
        <v>44766</v>
      </c>
      <c r="S6440" t="s">
        <v>44902</v>
      </c>
      <c r="T6440" t="s">
        <v>46536</v>
      </c>
      <c r="U6440" t="s">
        <v>52312</v>
      </c>
      <c r="W6440" t="s">
        <v>42998</v>
      </c>
      <c r="X6440" t="s">
        <v>44767</v>
      </c>
    </row>
    <row r="6441" spans="1:24">
      <c r="A6441">
        <f>HYPERLINK("https://www.philgeps.gov.ph/GEPSNONPILOT/Tender/SplashBidNoticeAbstractUI.aspx?menuIndex=3&amp;refID=7148058&amp;Result=3","7148058")</f>
        <v>0</v>
      </c>
      <c r="B6441" t="s">
        <v>2282</v>
      </c>
      <c r="C6441" t="s">
        <v>9851</v>
      </c>
      <c r="D6441" t="s">
        <v>18016</v>
      </c>
      <c r="E6441" t="s">
        <v>23712</v>
      </c>
      <c r="F6441" t="s">
        <v>30900</v>
      </c>
      <c r="G6441" t="s">
        <v>30907</v>
      </c>
      <c r="H6441" t="s">
        <v>30915</v>
      </c>
      <c r="I6441" t="s">
        <v>30919</v>
      </c>
      <c r="J6441" t="s">
        <v>32558</v>
      </c>
      <c r="K6441" t="s">
        <v>40322</v>
      </c>
      <c r="M6441" t="s">
        <v>42996</v>
      </c>
      <c r="N6441" t="s">
        <v>44759</v>
      </c>
      <c r="O6441" t="s">
        <v>44760</v>
      </c>
      <c r="P6441">
        <v>0</v>
      </c>
      <c r="Q6441">
        <v>0</v>
      </c>
      <c r="R6441" t="s">
        <v>44766</v>
      </c>
      <c r="S6441" t="s">
        <v>44902</v>
      </c>
      <c r="T6441" t="s">
        <v>46453</v>
      </c>
      <c r="U6441" t="s">
        <v>52317</v>
      </c>
      <c r="W6441" t="s">
        <v>42996</v>
      </c>
      <c r="X6441" t="s">
        <v>44767</v>
      </c>
    </row>
    <row r="6442" spans="1:24">
      <c r="A6442">
        <f>HYPERLINK("https://www.philgeps.gov.ph/GEPSNONPILOT/Tender/SplashBidNoticeAbstractUI.aspx?menuIndex=3&amp;refID=7148056&amp;Result=3","7148056")</f>
        <v>0</v>
      </c>
      <c r="B6442" t="s">
        <v>1529</v>
      </c>
      <c r="C6442" t="s">
        <v>9852</v>
      </c>
      <c r="D6442" t="s">
        <v>18010</v>
      </c>
      <c r="E6442" t="s">
        <v>23713</v>
      </c>
      <c r="F6442" t="s">
        <v>30900</v>
      </c>
      <c r="G6442" t="s">
        <v>30908</v>
      </c>
      <c r="H6442" t="s">
        <v>30916</v>
      </c>
      <c r="I6442" t="s">
        <v>4545</v>
      </c>
      <c r="J6442" t="s">
        <v>35211</v>
      </c>
      <c r="K6442" t="s">
        <v>40286</v>
      </c>
      <c r="M6442" t="s">
        <v>42172</v>
      </c>
      <c r="N6442" t="s">
        <v>44759</v>
      </c>
      <c r="O6442" t="s">
        <v>44760</v>
      </c>
      <c r="P6442">
        <v>0</v>
      </c>
      <c r="Q6442">
        <v>3</v>
      </c>
      <c r="R6442" t="s">
        <v>44766</v>
      </c>
      <c r="S6442" t="s">
        <v>44902</v>
      </c>
      <c r="T6442" t="s">
        <v>46581</v>
      </c>
      <c r="U6442" t="s">
        <v>52318</v>
      </c>
      <c r="W6442" t="s">
        <v>60866</v>
      </c>
      <c r="X6442" t="s">
        <v>44767</v>
      </c>
    </row>
    <row r="6443" spans="1:24">
      <c r="A6443">
        <f>HYPERLINK("https://www.philgeps.gov.ph/GEPSNONPILOT/Tender/SplashBidNoticeAbstractUI.aspx?menuIndex=3&amp;refID=7148055&amp;Result=3","7148055")</f>
        <v>0</v>
      </c>
      <c r="B6443" t="s">
        <v>2284</v>
      </c>
      <c r="C6443" t="s">
        <v>9853</v>
      </c>
      <c r="D6443" t="s">
        <v>17985</v>
      </c>
      <c r="E6443" t="s">
        <v>23714</v>
      </c>
      <c r="F6443" t="s">
        <v>30900</v>
      </c>
      <c r="G6443" t="s">
        <v>30910</v>
      </c>
      <c r="H6443" t="s">
        <v>30916</v>
      </c>
      <c r="I6443" t="s">
        <v>4142</v>
      </c>
      <c r="J6443" t="s">
        <v>31101</v>
      </c>
      <c r="K6443" t="s">
        <v>40283</v>
      </c>
      <c r="M6443" t="s">
        <v>42998</v>
      </c>
      <c r="N6443" t="s">
        <v>44759</v>
      </c>
      <c r="O6443" t="s">
        <v>44760</v>
      </c>
      <c r="P6443">
        <v>0</v>
      </c>
      <c r="Q6443">
        <v>2</v>
      </c>
      <c r="R6443" t="s">
        <v>44766</v>
      </c>
      <c r="S6443" t="s">
        <v>44902</v>
      </c>
      <c r="T6443" t="s">
        <v>46536</v>
      </c>
      <c r="U6443" t="s">
        <v>52312</v>
      </c>
      <c r="W6443" t="s">
        <v>42998</v>
      </c>
      <c r="X6443" t="s">
        <v>44767</v>
      </c>
    </row>
    <row r="6444" spans="1:24">
      <c r="A6444">
        <f>HYPERLINK("https://www.philgeps.gov.ph/GEPSNONPILOT/Tender/SplashBidNoticeAbstractUI.aspx?menuIndex=3&amp;refID=7148053&amp;Result=3","7148053")</f>
        <v>0</v>
      </c>
      <c r="B6444" t="s">
        <v>2282</v>
      </c>
      <c r="C6444" t="s">
        <v>9854</v>
      </c>
      <c r="D6444" t="s">
        <v>18016</v>
      </c>
      <c r="E6444" t="s">
        <v>23715</v>
      </c>
      <c r="F6444" t="s">
        <v>30900</v>
      </c>
      <c r="G6444" t="s">
        <v>30907</v>
      </c>
      <c r="H6444" t="s">
        <v>30915</v>
      </c>
      <c r="I6444" t="s">
        <v>30919</v>
      </c>
      <c r="J6444" t="s">
        <v>35212</v>
      </c>
      <c r="K6444" t="s">
        <v>40342</v>
      </c>
      <c r="M6444" t="s">
        <v>42996</v>
      </c>
      <c r="N6444" t="s">
        <v>44759</v>
      </c>
      <c r="O6444" t="s">
        <v>44760</v>
      </c>
      <c r="P6444">
        <v>0</v>
      </c>
      <c r="Q6444">
        <v>1</v>
      </c>
      <c r="R6444" t="s">
        <v>44766</v>
      </c>
      <c r="S6444" t="s">
        <v>44902</v>
      </c>
      <c r="T6444" t="s">
        <v>46453</v>
      </c>
      <c r="U6444" t="s">
        <v>52319</v>
      </c>
      <c r="W6444" t="s">
        <v>42996</v>
      </c>
      <c r="X6444" t="s">
        <v>44767</v>
      </c>
    </row>
    <row r="6445" spans="1:24">
      <c r="A6445">
        <f>HYPERLINK("https://www.philgeps.gov.ph/GEPSNONPILOT/Tender/SplashBidNoticeAbstractUI.aspx?menuIndex=3&amp;refID=7148050&amp;Result=3","7148050")</f>
        <v>0</v>
      </c>
      <c r="B6445" t="s">
        <v>2284</v>
      </c>
      <c r="C6445" t="s">
        <v>9855</v>
      </c>
      <c r="D6445" t="s">
        <v>17985</v>
      </c>
      <c r="E6445" t="s">
        <v>23716</v>
      </c>
      <c r="F6445" t="s">
        <v>30900</v>
      </c>
      <c r="G6445" t="s">
        <v>30910</v>
      </c>
      <c r="H6445" t="s">
        <v>30916</v>
      </c>
      <c r="I6445" t="s">
        <v>30927</v>
      </c>
      <c r="J6445" t="s">
        <v>35213</v>
      </c>
      <c r="K6445" t="s">
        <v>40283</v>
      </c>
      <c r="M6445" t="s">
        <v>42998</v>
      </c>
      <c r="N6445" t="s">
        <v>44759</v>
      </c>
      <c r="O6445" t="s">
        <v>44760</v>
      </c>
      <c r="P6445">
        <v>0</v>
      </c>
      <c r="Q6445">
        <v>2</v>
      </c>
      <c r="R6445" t="s">
        <v>44766</v>
      </c>
      <c r="S6445" t="s">
        <v>44902</v>
      </c>
      <c r="T6445" t="s">
        <v>46536</v>
      </c>
      <c r="U6445" t="s">
        <v>52312</v>
      </c>
      <c r="W6445" t="s">
        <v>42998</v>
      </c>
      <c r="X6445" t="s">
        <v>44767</v>
      </c>
    </row>
    <row r="6446" spans="1:24">
      <c r="A6446">
        <f>HYPERLINK("https://www.philgeps.gov.ph/GEPSNONPILOT/Tender/SplashBidNoticeAbstractUI.aspx?menuIndex=3&amp;refID=7148025&amp;Result=3","7148025")</f>
        <v>0</v>
      </c>
      <c r="B6446" t="s">
        <v>1862</v>
      </c>
      <c r="C6446" t="s">
        <v>9856</v>
      </c>
      <c r="D6446" t="s">
        <v>17962</v>
      </c>
      <c r="E6446" t="s">
        <v>23717</v>
      </c>
      <c r="F6446" t="s">
        <v>30900</v>
      </c>
      <c r="G6446" t="s">
        <v>30907</v>
      </c>
      <c r="H6446" t="s">
        <v>30915</v>
      </c>
      <c r="I6446" t="s">
        <v>30919</v>
      </c>
      <c r="J6446" t="s">
        <v>35214</v>
      </c>
      <c r="K6446" t="s">
        <v>40317</v>
      </c>
      <c r="M6446" t="s">
        <v>42536</v>
      </c>
      <c r="N6446" t="s">
        <v>44759</v>
      </c>
      <c r="O6446" t="s">
        <v>44760</v>
      </c>
      <c r="P6446">
        <v>0</v>
      </c>
      <c r="Q6446">
        <v>0</v>
      </c>
      <c r="R6446" t="s">
        <v>44766</v>
      </c>
      <c r="S6446" t="s">
        <v>44902</v>
      </c>
      <c r="T6446" t="s">
        <v>46414</v>
      </c>
      <c r="U6446" t="s">
        <v>52320</v>
      </c>
      <c r="W6446" t="s">
        <v>42536</v>
      </c>
      <c r="X6446" t="s">
        <v>44767</v>
      </c>
    </row>
    <row r="6447" spans="1:24">
      <c r="A6447">
        <f>HYPERLINK("https://www.philgeps.gov.ph/GEPSNONPILOT/Tender/SplashBidNoticeAbstractUI.aspx?menuIndex=3&amp;refID=7148044&amp;Result=3","7148044")</f>
        <v>0</v>
      </c>
      <c r="B6447" t="s">
        <v>1862</v>
      </c>
      <c r="C6447" t="s">
        <v>9857</v>
      </c>
      <c r="E6447" t="s">
        <v>23718</v>
      </c>
      <c r="F6447" t="s">
        <v>30900</v>
      </c>
      <c r="G6447" t="s">
        <v>30907</v>
      </c>
      <c r="H6447" t="s">
        <v>30915</v>
      </c>
      <c r="I6447" t="s">
        <v>30919</v>
      </c>
      <c r="J6447" t="s">
        <v>35215</v>
      </c>
      <c r="K6447" t="s">
        <v>40308</v>
      </c>
      <c r="M6447" t="s">
        <v>42536</v>
      </c>
      <c r="N6447" t="s">
        <v>44759</v>
      </c>
      <c r="O6447" t="s">
        <v>44760</v>
      </c>
      <c r="P6447">
        <v>0</v>
      </c>
      <c r="Q6447">
        <v>0</v>
      </c>
      <c r="R6447" t="s">
        <v>44766</v>
      </c>
      <c r="S6447" t="s">
        <v>44902</v>
      </c>
      <c r="T6447" t="s">
        <v>46453</v>
      </c>
      <c r="U6447" t="s">
        <v>52321</v>
      </c>
      <c r="W6447" t="s">
        <v>42536</v>
      </c>
      <c r="X6447" t="s">
        <v>44767</v>
      </c>
    </row>
    <row r="6448" spans="1:24">
      <c r="A6448">
        <f>HYPERLINK("https://www.philgeps.gov.ph/GEPSNONPILOT/Tender/SplashBidNoticeAbstractUI.aspx?menuIndex=3&amp;refID=7148048&amp;Result=3","7148048")</f>
        <v>0</v>
      </c>
      <c r="B6448" t="s">
        <v>2282</v>
      </c>
      <c r="C6448" t="s">
        <v>9858</v>
      </c>
      <c r="D6448" t="s">
        <v>18016</v>
      </c>
      <c r="E6448" t="s">
        <v>23719</v>
      </c>
      <c r="F6448" t="s">
        <v>30900</v>
      </c>
      <c r="G6448" t="s">
        <v>30907</v>
      </c>
      <c r="H6448" t="s">
        <v>30915</v>
      </c>
      <c r="I6448" t="s">
        <v>30919</v>
      </c>
      <c r="J6448" t="s">
        <v>35216</v>
      </c>
      <c r="K6448" t="s">
        <v>40342</v>
      </c>
      <c r="M6448" t="s">
        <v>42996</v>
      </c>
      <c r="N6448" t="s">
        <v>44759</v>
      </c>
      <c r="O6448" t="s">
        <v>44760</v>
      </c>
      <c r="P6448">
        <v>0</v>
      </c>
      <c r="Q6448">
        <v>1</v>
      </c>
      <c r="R6448" t="s">
        <v>44766</v>
      </c>
      <c r="S6448" t="s">
        <v>44902</v>
      </c>
      <c r="T6448" t="s">
        <v>46453</v>
      </c>
      <c r="U6448" t="s">
        <v>52322</v>
      </c>
      <c r="W6448" t="s">
        <v>42996</v>
      </c>
      <c r="X6448" t="s">
        <v>44767</v>
      </c>
    </row>
    <row r="6449" spans="1:24">
      <c r="A6449">
        <f>HYPERLINK("https://www.philgeps.gov.ph/GEPSNONPILOT/Tender/SplashBidNoticeAbstractUI.aspx?menuIndex=3&amp;refID=7148059&amp;Result=3","7148059")</f>
        <v>0</v>
      </c>
      <c r="B6449" t="s">
        <v>2286</v>
      </c>
      <c r="C6449" t="s">
        <v>9859</v>
      </c>
      <c r="D6449" t="s">
        <v>17954</v>
      </c>
      <c r="E6449" t="s">
        <v>23720</v>
      </c>
      <c r="F6449" t="s">
        <v>30900</v>
      </c>
      <c r="G6449" t="s">
        <v>30908</v>
      </c>
      <c r="H6449" t="s">
        <v>30917</v>
      </c>
      <c r="I6449" t="s">
        <v>30934</v>
      </c>
      <c r="J6449" t="s">
        <v>31259</v>
      </c>
      <c r="K6449" t="s">
        <v>40283</v>
      </c>
      <c r="M6449" t="s">
        <v>43000</v>
      </c>
      <c r="N6449" t="s">
        <v>44759</v>
      </c>
      <c r="O6449" t="s">
        <v>44760</v>
      </c>
      <c r="P6449">
        <v>0</v>
      </c>
      <c r="Q6449">
        <v>4</v>
      </c>
      <c r="R6449" t="s">
        <v>44766</v>
      </c>
      <c r="S6449" t="s">
        <v>44902</v>
      </c>
      <c r="T6449" t="s">
        <v>46581</v>
      </c>
      <c r="U6449" t="s">
        <v>52323</v>
      </c>
      <c r="W6449" t="s">
        <v>43000</v>
      </c>
      <c r="X6449" t="s">
        <v>44767</v>
      </c>
    </row>
    <row r="6450" spans="1:24">
      <c r="A6450">
        <f>HYPERLINK("https://www.philgeps.gov.ph/GEPSNONPILOT/Tender/SplashBidNoticeAbstractUI.aspx?menuIndex=3&amp;refID=7148064&amp;Result=3","7148064")</f>
        <v>0</v>
      </c>
      <c r="B6450" t="s">
        <v>2284</v>
      </c>
      <c r="C6450" t="s">
        <v>9860</v>
      </c>
      <c r="D6450" t="s">
        <v>17985</v>
      </c>
      <c r="E6450" t="s">
        <v>23721</v>
      </c>
      <c r="F6450" t="s">
        <v>30900</v>
      </c>
      <c r="G6450" t="s">
        <v>30908</v>
      </c>
      <c r="H6450" t="s">
        <v>30916</v>
      </c>
      <c r="I6450" t="s">
        <v>30920</v>
      </c>
      <c r="J6450" t="s">
        <v>35217</v>
      </c>
      <c r="K6450" t="s">
        <v>40283</v>
      </c>
      <c r="M6450" t="s">
        <v>42998</v>
      </c>
      <c r="N6450" t="s">
        <v>44759</v>
      </c>
      <c r="O6450" t="s">
        <v>44760</v>
      </c>
      <c r="P6450">
        <v>0</v>
      </c>
      <c r="Q6450">
        <v>0</v>
      </c>
      <c r="R6450" t="s">
        <v>44766</v>
      </c>
      <c r="S6450" t="s">
        <v>44902</v>
      </c>
      <c r="T6450" t="s">
        <v>46536</v>
      </c>
      <c r="U6450" t="s">
        <v>52312</v>
      </c>
      <c r="W6450" t="s">
        <v>42998</v>
      </c>
      <c r="X6450" t="s">
        <v>44767</v>
      </c>
    </row>
    <row r="6451" spans="1:24">
      <c r="A6451">
        <f>HYPERLINK("https://www.philgeps.gov.ph/GEPSNONPILOT/Tender/SplashBidNoticeAbstractUI.aspx?menuIndex=3&amp;refID=7148063&amp;Result=3","7148063")</f>
        <v>0</v>
      </c>
      <c r="B6451" t="s">
        <v>2287</v>
      </c>
      <c r="C6451" t="s">
        <v>9861</v>
      </c>
      <c r="D6451" t="s">
        <v>17959</v>
      </c>
      <c r="E6451" t="s">
        <v>22383</v>
      </c>
      <c r="F6451" t="s">
        <v>30900</v>
      </c>
      <c r="G6451" t="s">
        <v>30907</v>
      </c>
      <c r="H6451" t="s">
        <v>30916</v>
      </c>
      <c r="I6451" t="s">
        <v>4108</v>
      </c>
      <c r="J6451" t="s">
        <v>35218</v>
      </c>
      <c r="K6451" t="s">
        <v>40288</v>
      </c>
      <c r="M6451" t="s">
        <v>43001</v>
      </c>
      <c r="N6451" t="s">
        <v>44759</v>
      </c>
      <c r="O6451" t="s">
        <v>44760</v>
      </c>
      <c r="P6451">
        <v>0</v>
      </c>
      <c r="Q6451">
        <v>3</v>
      </c>
      <c r="R6451" t="s">
        <v>44766</v>
      </c>
      <c r="S6451" t="s">
        <v>44902</v>
      </c>
      <c r="T6451" t="s">
        <v>46414</v>
      </c>
      <c r="U6451" t="s">
        <v>52324</v>
      </c>
      <c r="W6451" t="s">
        <v>43001</v>
      </c>
      <c r="X6451" t="s">
        <v>44767</v>
      </c>
    </row>
    <row r="6452" spans="1:24">
      <c r="A6452">
        <f>HYPERLINK("https://www.philgeps.gov.ph/GEPSNONPILOT/Tender/SplashBidNoticeAbstractUI.aspx?menuIndex=3&amp;refID=7148051&amp;Result=3","7148051")</f>
        <v>0</v>
      </c>
      <c r="B6452" t="s">
        <v>2282</v>
      </c>
      <c r="C6452" t="s">
        <v>9862</v>
      </c>
      <c r="D6452" t="s">
        <v>18016</v>
      </c>
      <c r="E6452" t="s">
        <v>23722</v>
      </c>
      <c r="F6452" t="s">
        <v>30900</v>
      </c>
      <c r="G6452" t="s">
        <v>30907</v>
      </c>
      <c r="H6452" t="s">
        <v>30915</v>
      </c>
      <c r="I6452" t="s">
        <v>30919</v>
      </c>
      <c r="J6452" t="s">
        <v>35219</v>
      </c>
      <c r="K6452" t="s">
        <v>40407</v>
      </c>
      <c r="M6452" t="s">
        <v>42996</v>
      </c>
      <c r="N6452" t="s">
        <v>44759</v>
      </c>
      <c r="O6452" t="s">
        <v>44760</v>
      </c>
      <c r="P6452">
        <v>0</v>
      </c>
      <c r="Q6452">
        <v>1</v>
      </c>
      <c r="R6452" t="s">
        <v>44766</v>
      </c>
      <c r="S6452" t="s">
        <v>44902</v>
      </c>
      <c r="T6452" t="s">
        <v>46453</v>
      </c>
      <c r="U6452" t="s">
        <v>52325</v>
      </c>
      <c r="W6452" t="s">
        <v>42996</v>
      </c>
      <c r="X6452" t="s">
        <v>44767</v>
      </c>
    </row>
    <row r="6453" spans="1:24">
      <c r="A6453">
        <f>HYPERLINK("https://www.philgeps.gov.ph/GEPSNONPILOT/Tender/SplashBidNoticeAbstractUI.aspx?menuIndex=3&amp;refID=7148060&amp;Result=3","7148060")</f>
        <v>0</v>
      </c>
      <c r="B6453" t="s">
        <v>2282</v>
      </c>
      <c r="C6453" t="s">
        <v>9863</v>
      </c>
      <c r="D6453" t="s">
        <v>18016</v>
      </c>
      <c r="E6453" t="s">
        <v>23723</v>
      </c>
      <c r="F6453" t="s">
        <v>30900</v>
      </c>
      <c r="G6453" t="s">
        <v>30907</v>
      </c>
      <c r="H6453" t="s">
        <v>30915</v>
      </c>
      <c r="I6453" t="s">
        <v>30919</v>
      </c>
      <c r="J6453" t="s">
        <v>32523</v>
      </c>
      <c r="K6453" t="s">
        <v>40378</v>
      </c>
      <c r="M6453" t="s">
        <v>42996</v>
      </c>
      <c r="N6453" t="s">
        <v>44759</v>
      </c>
      <c r="O6453" t="s">
        <v>44760</v>
      </c>
      <c r="P6453">
        <v>0</v>
      </c>
      <c r="Q6453">
        <v>0</v>
      </c>
      <c r="R6453" t="s">
        <v>44766</v>
      </c>
      <c r="S6453" t="s">
        <v>44902</v>
      </c>
      <c r="T6453" t="s">
        <v>46453</v>
      </c>
      <c r="U6453" t="s">
        <v>52326</v>
      </c>
      <c r="W6453" t="s">
        <v>42996</v>
      </c>
      <c r="X6453" t="s">
        <v>44767</v>
      </c>
    </row>
    <row r="6454" spans="1:24">
      <c r="A6454">
        <f>HYPERLINK("https://www.philgeps.gov.ph/GEPSNONPILOT/Tender/SplashBidNoticeAbstractUI.aspx?menuIndex=3&amp;refID=7148057&amp;Result=3","7148057")</f>
        <v>0</v>
      </c>
      <c r="B6454" t="s">
        <v>2282</v>
      </c>
      <c r="C6454" t="s">
        <v>9864</v>
      </c>
      <c r="D6454" t="s">
        <v>18016</v>
      </c>
      <c r="E6454" t="s">
        <v>23724</v>
      </c>
      <c r="F6454" t="s">
        <v>30900</v>
      </c>
      <c r="G6454" t="s">
        <v>30907</v>
      </c>
      <c r="H6454" t="s">
        <v>30915</v>
      </c>
      <c r="I6454" t="s">
        <v>30919</v>
      </c>
      <c r="J6454" t="s">
        <v>33379</v>
      </c>
      <c r="K6454" t="s">
        <v>40304</v>
      </c>
      <c r="M6454" t="s">
        <v>42996</v>
      </c>
      <c r="N6454" t="s">
        <v>44759</v>
      </c>
      <c r="O6454" t="s">
        <v>44760</v>
      </c>
      <c r="P6454">
        <v>0</v>
      </c>
      <c r="Q6454">
        <v>0</v>
      </c>
      <c r="R6454" t="s">
        <v>44766</v>
      </c>
      <c r="S6454" t="s">
        <v>44902</v>
      </c>
      <c r="T6454" t="s">
        <v>46453</v>
      </c>
      <c r="U6454" t="s">
        <v>52327</v>
      </c>
      <c r="W6454" t="s">
        <v>42996</v>
      </c>
      <c r="X6454" t="s">
        <v>44767</v>
      </c>
    </row>
    <row r="6455" spans="1:24">
      <c r="A6455">
        <f>HYPERLINK("https://www.philgeps.gov.ph/GEPSNONPILOT/Tender/SplashBidNoticeAbstractUI.aspx?menuIndex=3&amp;refID=7148047&amp;Result=3","7148047")</f>
        <v>0</v>
      </c>
      <c r="B6455" t="s">
        <v>1529</v>
      </c>
      <c r="C6455" t="s">
        <v>9865</v>
      </c>
      <c r="D6455" t="s">
        <v>18010</v>
      </c>
      <c r="E6455" t="s">
        <v>23725</v>
      </c>
      <c r="F6455" t="s">
        <v>30900</v>
      </c>
      <c r="G6455" t="s">
        <v>30908</v>
      </c>
      <c r="H6455" t="s">
        <v>30916</v>
      </c>
      <c r="I6455" t="s">
        <v>30929</v>
      </c>
      <c r="J6455" t="s">
        <v>35220</v>
      </c>
      <c r="K6455" t="s">
        <v>40286</v>
      </c>
      <c r="M6455" t="s">
        <v>42172</v>
      </c>
      <c r="N6455" t="s">
        <v>44759</v>
      </c>
      <c r="O6455" t="s">
        <v>44760</v>
      </c>
      <c r="P6455">
        <v>0</v>
      </c>
      <c r="Q6455">
        <v>13</v>
      </c>
      <c r="R6455" t="s">
        <v>44766</v>
      </c>
      <c r="S6455" t="s">
        <v>44902</v>
      </c>
      <c r="T6455" t="s">
        <v>46581</v>
      </c>
      <c r="U6455" t="s">
        <v>52328</v>
      </c>
      <c r="W6455" t="s">
        <v>60866</v>
      </c>
      <c r="X6455" t="s">
        <v>44767</v>
      </c>
    </row>
    <row r="6456" spans="1:24">
      <c r="A6456">
        <f>HYPERLINK("https://www.philgeps.gov.ph/GEPSNONPILOT/Tender/SplashBidNoticeAbstractUI.aspx?menuIndex=3&amp;refID=7148049&amp;Result=3","7148049")</f>
        <v>0</v>
      </c>
      <c r="B6456" t="s">
        <v>1218</v>
      </c>
      <c r="C6456" t="s">
        <v>9866</v>
      </c>
      <c r="D6456" t="s">
        <v>17961</v>
      </c>
      <c r="E6456" t="s">
        <v>23726</v>
      </c>
      <c r="F6456" t="s">
        <v>30900</v>
      </c>
      <c r="G6456" t="s">
        <v>30908</v>
      </c>
      <c r="H6456" t="s">
        <v>30916</v>
      </c>
      <c r="I6456" t="s">
        <v>30985</v>
      </c>
      <c r="J6456" t="s">
        <v>33714</v>
      </c>
      <c r="K6456" t="s">
        <v>40286</v>
      </c>
      <c r="M6456" t="s">
        <v>41830</v>
      </c>
      <c r="N6456" t="s">
        <v>44759</v>
      </c>
      <c r="O6456" t="s">
        <v>44760</v>
      </c>
      <c r="P6456">
        <v>0</v>
      </c>
      <c r="Q6456">
        <v>4</v>
      </c>
      <c r="R6456" t="s">
        <v>44766</v>
      </c>
      <c r="S6456" t="s">
        <v>44902</v>
      </c>
      <c r="T6456" t="s">
        <v>46374</v>
      </c>
      <c r="U6456" t="s">
        <v>49386</v>
      </c>
      <c r="W6456" t="s">
        <v>41830</v>
      </c>
      <c r="X6456" t="s">
        <v>44767</v>
      </c>
    </row>
    <row r="6457" spans="1:24">
      <c r="A6457">
        <f>HYPERLINK("https://www.philgeps.gov.ph/GEPSNONPILOT/Tender/SplashBidNoticeAbstractUI.aspx?menuIndex=3&amp;refID=7148022&amp;Result=3","7148022")</f>
        <v>0</v>
      </c>
      <c r="B6457" t="s">
        <v>2209</v>
      </c>
      <c r="C6457" t="s">
        <v>9867</v>
      </c>
      <c r="D6457" t="s">
        <v>17959</v>
      </c>
      <c r="E6457" t="s">
        <v>9867</v>
      </c>
      <c r="F6457" t="s">
        <v>30900</v>
      </c>
      <c r="G6457" t="s">
        <v>30907</v>
      </c>
      <c r="H6457" t="s">
        <v>30916</v>
      </c>
      <c r="I6457" t="s">
        <v>9385</v>
      </c>
      <c r="J6457" t="s">
        <v>35221</v>
      </c>
      <c r="K6457" t="s">
        <v>40286</v>
      </c>
      <c r="M6457" t="s">
        <v>42917</v>
      </c>
      <c r="N6457" t="s">
        <v>44759</v>
      </c>
      <c r="O6457" t="s">
        <v>44760</v>
      </c>
      <c r="P6457">
        <v>0</v>
      </c>
      <c r="Q6457">
        <v>6</v>
      </c>
      <c r="R6457" t="s">
        <v>44766</v>
      </c>
      <c r="S6457" t="s">
        <v>44902</v>
      </c>
      <c r="T6457" t="s">
        <v>46515</v>
      </c>
      <c r="U6457" t="s">
        <v>48763</v>
      </c>
      <c r="W6457" t="s">
        <v>42917</v>
      </c>
      <c r="X6457" t="s">
        <v>44767</v>
      </c>
    </row>
    <row r="6458" spans="1:24">
      <c r="A6458">
        <f>HYPERLINK("https://www.philgeps.gov.ph/GEPSNONPILOT/Tender/SplashBidNoticeAbstractUI.aspx?menuIndex=3&amp;refID=7148062&amp;Result=3","7148062")</f>
        <v>0</v>
      </c>
      <c r="B6458" t="s">
        <v>1529</v>
      </c>
      <c r="C6458" t="s">
        <v>9868</v>
      </c>
      <c r="D6458" t="s">
        <v>18010</v>
      </c>
      <c r="E6458" t="s">
        <v>23727</v>
      </c>
      <c r="F6458" t="s">
        <v>30900</v>
      </c>
      <c r="G6458" t="s">
        <v>30908</v>
      </c>
      <c r="H6458" t="s">
        <v>30916</v>
      </c>
      <c r="I6458" t="s">
        <v>30947</v>
      </c>
      <c r="J6458" t="s">
        <v>32138</v>
      </c>
      <c r="K6458" t="s">
        <v>40286</v>
      </c>
      <c r="M6458" t="s">
        <v>42172</v>
      </c>
      <c r="N6458" t="s">
        <v>44759</v>
      </c>
      <c r="O6458" t="s">
        <v>44760</v>
      </c>
      <c r="P6458">
        <v>0</v>
      </c>
      <c r="Q6458">
        <v>2</v>
      </c>
      <c r="R6458" t="s">
        <v>44766</v>
      </c>
      <c r="S6458" t="s">
        <v>44902</v>
      </c>
      <c r="T6458" t="s">
        <v>46581</v>
      </c>
      <c r="U6458" t="s">
        <v>52329</v>
      </c>
      <c r="W6458" t="s">
        <v>60866</v>
      </c>
      <c r="X6458" t="s">
        <v>44767</v>
      </c>
    </row>
    <row r="6459" spans="1:24">
      <c r="A6459">
        <f>HYPERLINK("https://www.philgeps.gov.ph/GEPSNONPILOT/Tender/SplashBidNoticeAbstractUI.aspx?menuIndex=3&amp;refID=7148061&amp;Result=3","7148061")</f>
        <v>0</v>
      </c>
      <c r="B6459" t="s">
        <v>2282</v>
      </c>
      <c r="C6459" t="s">
        <v>9869</v>
      </c>
      <c r="D6459" t="s">
        <v>18016</v>
      </c>
      <c r="E6459" t="s">
        <v>23728</v>
      </c>
      <c r="F6459" t="s">
        <v>30900</v>
      </c>
      <c r="G6459" t="s">
        <v>30907</v>
      </c>
      <c r="H6459" t="s">
        <v>30915</v>
      </c>
      <c r="I6459" t="s">
        <v>30919</v>
      </c>
      <c r="J6459" t="s">
        <v>32558</v>
      </c>
      <c r="K6459" t="s">
        <v>40310</v>
      </c>
      <c r="M6459" t="s">
        <v>42996</v>
      </c>
      <c r="N6459" t="s">
        <v>44759</v>
      </c>
      <c r="O6459" t="s">
        <v>44760</v>
      </c>
      <c r="P6459">
        <v>0</v>
      </c>
      <c r="Q6459">
        <v>0</v>
      </c>
      <c r="R6459" t="s">
        <v>44766</v>
      </c>
      <c r="S6459" t="s">
        <v>44902</v>
      </c>
      <c r="T6459" t="s">
        <v>46453</v>
      </c>
      <c r="U6459" t="s">
        <v>52330</v>
      </c>
      <c r="W6459" t="s">
        <v>42996</v>
      </c>
      <c r="X6459" t="s">
        <v>44767</v>
      </c>
    </row>
    <row r="6460" spans="1:24">
      <c r="A6460">
        <f>HYPERLINK("https://www.philgeps.gov.ph/GEPSNONPILOT/Tender/SplashBidNoticeAbstractUI.aspx?menuIndex=3&amp;refID=7148083&amp;Result=3","7148083")</f>
        <v>0</v>
      </c>
      <c r="B6460" t="s">
        <v>2288</v>
      </c>
      <c r="C6460" t="s">
        <v>9870</v>
      </c>
      <c r="E6460" t="s">
        <v>23729</v>
      </c>
      <c r="F6460" t="s">
        <v>30900</v>
      </c>
      <c r="G6460" t="s">
        <v>30907</v>
      </c>
      <c r="H6460" t="s">
        <v>30916</v>
      </c>
      <c r="I6460" t="s">
        <v>4545</v>
      </c>
      <c r="J6460" t="s">
        <v>31285</v>
      </c>
      <c r="K6460" t="s">
        <v>40289</v>
      </c>
      <c r="M6460" t="s">
        <v>43002</v>
      </c>
      <c r="N6460" t="s">
        <v>44759</v>
      </c>
      <c r="O6460" t="s">
        <v>44760</v>
      </c>
      <c r="P6460">
        <v>0</v>
      </c>
      <c r="Q6460">
        <v>4</v>
      </c>
      <c r="R6460" t="s">
        <v>44766</v>
      </c>
      <c r="S6460" t="s">
        <v>44902</v>
      </c>
      <c r="T6460" t="s">
        <v>46470</v>
      </c>
      <c r="U6460" t="s">
        <v>52331</v>
      </c>
      <c r="V6460" t="s">
        <v>59822</v>
      </c>
      <c r="W6460" t="s">
        <v>43002</v>
      </c>
      <c r="X6460" t="s">
        <v>44767</v>
      </c>
    </row>
    <row r="6461" spans="1:24">
      <c r="A6461">
        <f>HYPERLINK("https://www.philgeps.gov.ph/GEPSNONPILOT/Tender/SplashBidNoticeAbstractUI.aspx?menuIndex=3&amp;refID=7148082&amp;Result=3","7148082")</f>
        <v>0</v>
      </c>
      <c r="B6461" t="s">
        <v>1251</v>
      </c>
      <c r="C6461" t="s">
        <v>9871</v>
      </c>
      <c r="D6461" t="s">
        <v>17963</v>
      </c>
      <c r="E6461" t="s">
        <v>23730</v>
      </c>
      <c r="F6461" t="s">
        <v>30900</v>
      </c>
      <c r="G6461" t="s">
        <v>30907</v>
      </c>
      <c r="H6461" t="s">
        <v>30916</v>
      </c>
      <c r="I6461" t="s">
        <v>17295</v>
      </c>
      <c r="J6461" t="s">
        <v>35222</v>
      </c>
      <c r="K6461" t="s">
        <v>40434</v>
      </c>
      <c r="M6461" t="s">
        <v>41863</v>
      </c>
      <c r="N6461" t="s">
        <v>44759</v>
      </c>
      <c r="O6461" t="s">
        <v>44760</v>
      </c>
      <c r="P6461">
        <v>0</v>
      </c>
      <c r="Q6461">
        <v>5</v>
      </c>
      <c r="R6461" t="s">
        <v>44766</v>
      </c>
      <c r="S6461" t="s">
        <v>44902</v>
      </c>
      <c r="T6461" t="s">
        <v>46632</v>
      </c>
      <c r="U6461" t="s">
        <v>52332</v>
      </c>
      <c r="W6461" t="s">
        <v>41863</v>
      </c>
      <c r="X6461" t="s">
        <v>44767</v>
      </c>
    </row>
    <row r="6462" spans="1:24">
      <c r="A6462">
        <f>HYPERLINK("https://www.philgeps.gov.ph/GEPSNONPILOT/Tender/SplashBidNoticeAbstractUI.aspx?menuIndex=3&amp;refID=7148079&amp;Result=3","7148079")</f>
        <v>0</v>
      </c>
      <c r="B6462" t="s">
        <v>155</v>
      </c>
      <c r="C6462" t="s">
        <v>9872</v>
      </c>
      <c r="D6462" t="s">
        <v>17951</v>
      </c>
      <c r="E6462" t="s">
        <v>23731</v>
      </c>
      <c r="F6462" t="s">
        <v>30900</v>
      </c>
      <c r="G6462" t="s">
        <v>30908</v>
      </c>
      <c r="H6462" t="s">
        <v>30916</v>
      </c>
      <c r="I6462" t="s">
        <v>30941</v>
      </c>
      <c r="J6462" t="s">
        <v>35223</v>
      </c>
      <c r="K6462" t="s">
        <v>40314</v>
      </c>
      <c r="M6462" t="s">
        <v>40702</v>
      </c>
      <c r="N6462" t="s">
        <v>44759</v>
      </c>
      <c r="O6462" t="s">
        <v>44760</v>
      </c>
      <c r="P6462">
        <v>0</v>
      </c>
      <c r="Q6462">
        <v>1</v>
      </c>
      <c r="R6462" t="s">
        <v>44766</v>
      </c>
      <c r="S6462" t="s">
        <v>44902</v>
      </c>
      <c r="T6462" t="s">
        <v>46699</v>
      </c>
      <c r="U6462" t="s">
        <v>47173</v>
      </c>
      <c r="V6462" t="s">
        <v>59132</v>
      </c>
      <c r="W6462" t="s">
        <v>40702</v>
      </c>
      <c r="X6462" t="s">
        <v>44767</v>
      </c>
    </row>
    <row r="6463" spans="1:24">
      <c r="A6463">
        <f>HYPERLINK("https://www.philgeps.gov.ph/GEPSNONPILOT/Tender/SplashBidNoticeAbstractUI.aspx?menuIndex=3&amp;refID=7148076&amp;Result=3","7148076")</f>
        <v>0</v>
      </c>
      <c r="B6463" t="s">
        <v>2288</v>
      </c>
      <c r="C6463" t="s">
        <v>9873</v>
      </c>
      <c r="E6463" t="s">
        <v>23732</v>
      </c>
      <c r="F6463" t="s">
        <v>30900</v>
      </c>
      <c r="G6463" t="s">
        <v>30907</v>
      </c>
      <c r="H6463" t="s">
        <v>30916</v>
      </c>
      <c r="I6463" t="s">
        <v>6396</v>
      </c>
      <c r="J6463" t="s">
        <v>35224</v>
      </c>
      <c r="K6463" t="s">
        <v>40289</v>
      </c>
      <c r="M6463" t="s">
        <v>43002</v>
      </c>
      <c r="N6463" t="s">
        <v>44759</v>
      </c>
      <c r="O6463" t="s">
        <v>44760</v>
      </c>
      <c r="P6463">
        <v>0</v>
      </c>
      <c r="Q6463">
        <v>3</v>
      </c>
      <c r="R6463" t="s">
        <v>44766</v>
      </c>
      <c r="S6463" t="s">
        <v>44902</v>
      </c>
      <c r="T6463" t="s">
        <v>46470</v>
      </c>
      <c r="U6463" t="s">
        <v>52333</v>
      </c>
      <c r="V6463" t="s">
        <v>59822</v>
      </c>
      <c r="W6463" t="s">
        <v>43002</v>
      </c>
      <c r="X6463" t="s">
        <v>44767</v>
      </c>
    </row>
    <row r="6464" spans="1:24">
      <c r="A6464">
        <f>HYPERLINK("https://www.philgeps.gov.ph/GEPSNONPILOT/Tender/SplashBidNoticeAbstractUI.aspx?menuIndex=3&amp;refID=7148045&amp;Result=3","7148045")</f>
        <v>0</v>
      </c>
      <c r="B6464" t="s">
        <v>2282</v>
      </c>
      <c r="C6464" t="s">
        <v>9874</v>
      </c>
      <c r="D6464" t="s">
        <v>18016</v>
      </c>
      <c r="E6464" t="s">
        <v>23733</v>
      </c>
      <c r="F6464" t="s">
        <v>30900</v>
      </c>
      <c r="G6464" t="s">
        <v>30907</v>
      </c>
      <c r="H6464" t="s">
        <v>30915</v>
      </c>
      <c r="I6464" t="s">
        <v>30919</v>
      </c>
      <c r="J6464" t="s">
        <v>32560</v>
      </c>
      <c r="K6464" t="s">
        <v>40304</v>
      </c>
      <c r="M6464" t="s">
        <v>42996</v>
      </c>
      <c r="N6464" t="s">
        <v>44759</v>
      </c>
      <c r="O6464" t="s">
        <v>44760</v>
      </c>
      <c r="P6464">
        <v>0</v>
      </c>
      <c r="Q6464">
        <v>0</v>
      </c>
      <c r="R6464" t="s">
        <v>44766</v>
      </c>
      <c r="S6464" t="s">
        <v>44902</v>
      </c>
      <c r="T6464" t="s">
        <v>46453</v>
      </c>
      <c r="U6464" t="s">
        <v>52334</v>
      </c>
      <c r="W6464" t="s">
        <v>42996</v>
      </c>
      <c r="X6464" t="s">
        <v>44767</v>
      </c>
    </row>
    <row r="6465" spans="1:24">
      <c r="A6465">
        <f>HYPERLINK("https://www.philgeps.gov.ph/GEPSNONPILOT/Tender/SplashBidNoticeAbstractUI.aspx?menuIndex=3&amp;refID=7148075&amp;Result=3","7148075")</f>
        <v>0</v>
      </c>
      <c r="B6465" t="s">
        <v>1529</v>
      </c>
      <c r="C6465" t="s">
        <v>9875</v>
      </c>
      <c r="D6465" t="s">
        <v>18010</v>
      </c>
      <c r="E6465" t="s">
        <v>23734</v>
      </c>
      <c r="F6465" t="s">
        <v>30900</v>
      </c>
      <c r="G6465" t="s">
        <v>30908</v>
      </c>
      <c r="H6465" t="s">
        <v>30916</v>
      </c>
      <c r="I6465" t="s">
        <v>4017</v>
      </c>
      <c r="J6465" t="s">
        <v>35225</v>
      </c>
      <c r="K6465" t="s">
        <v>40291</v>
      </c>
      <c r="M6465" t="s">
        <v>42172</v>
      </c>
      <c r="N6465" t="s">
        <v>44759</v>
      </c>
      <c r="O6465" t="s">
        <v>44760</v>
      </c>
      <c r="P6465">
        <v>0</v>
      </c>
      <c r="Q6465">
        <v>4</v>
      </c>
      <c r="R6465" t="s">
        <v>44766</v>
      </c>
      <c r="S6465" t="s">
        <v>44902</v>
      </c>
      <c r="T6465" t="s">
        <v>46581</v>
      </c>
      <c r="U6465" t="s">
        <v>52335</v>
      </c>
      <c r="W6465" t="s">
        <v>60866</v>
      </c>
      <c r="X6465" t="s">
        <v>44767</v>
      </c>
    </row>
    <row r="6466" spans="1:24">
      <c r="A6466">
        <f>HYPERLINK("https://www.philgeps.gov.ph/GEPSNONPILOT/Tender/SplashBidNoticeAbstractUI.aspx?menuIndex=3&amp;refID=7148046&amp;Result=3","7148046")</f>
        <v>0</v>
      </c>
      <c r="B6466" t="s">
        <v>2289</v>
      </c>
      <c r="C6466" t="s">
        <v>9876</v>
      </c>
      <c r="D6466" t="s">
        <v>17953</v>
      </c>
      <c r="E6466" t="s">
        <v>23735</v>
      </c>
      <c r="F6466" t="s">
        <v>30900</v>
      </c>
      <c r="G6466" t="s">
        <v>30908</v>
      </c>
      <c r="H6466" t="s">
        <v>30916</v>
      </c>
      <c r="I6466" t="s">
        <v>4142</v>
      </c>
      <c r="J6466" t="s">
        <v>35226</v>
      </c>
      <c r="K6466" t="s">
        <v>40281</v>
      </c>
      <c r="M6466" t="s">
        <v>43003</v>
      </c>
      <c r="N6466" t="s">
        <v>44759</v>
      </c>
      <c r="O6466" t="s">
        <v>44760</v>
      </c>
      <c r="P6466">
        <v>0</v>
      </c>
      <c r="Q6466">
        <v>0</v>
      </c>
      <c r="R6466" t="s">
        <v>44766</v>
      </c>
      <c r="S6466" t="s">
        <v>44902</v>
      </c>
      <c r="T6466" t="s">
        <v>46374</v>
      </c>
      <c r="U6466" t="s">
        <v>52336</v>
      </c>
      <c r="V6466" t="s">
        <v>59823</v>
      </c>
      <c r="W6466" t="s">
        <v>60885</v>
      </c>
      <c r="X6466" t="s">
        <v>44767</v>
      </c>
    </row>
    <row r="6467" spans="1:24">
      <c r="A6467">
        <f>HYPERLINK("https://www.philgeps.gov.ph/GEPSNONPILOT/Tender/SplashBidNoticeAbstractUI.aspx?menuIndex=3&amp;refID=7148074&amp;Result=3","7148074")</f>
        <v>0</v>
      </c>
      <c r="B6467" t="s">
        <v>2283</v>
      </c>
      <c r="C6467" t="s">
        <v>9877</v>
      </c>
      <c r="D6467" t="s">
        <v>17961</v>
      </c>
      <c r="E6467" t="s">
        <v>23702</v>
      </c>
      <c r="F6467" t="s">
        <v>30900</v>
      </c>
      <c r="G6467" t="s">
        <v>30907</v>
      </c>
      <c r="H6467" t="s">
        <v>30916</v>
      </c>
      <c r="I6467" t="s">
        <v>30919</v>
      </c>
      <c r="J6467" t="s">
        <v>35227</v>
      </c>
      <c r="K6467" t="s">
        <v>40287</v>
      </c>
      <c r="M6467" t="s">
        <v>42997</v>
      </c>
      <c r="N6467" t="s">
        <v>44759</v>
      </c>
      <c r="O6467" t="s">
        <v>44760</v>
      </c>
      <c r="P6467">
        <v>0</v>
      </c>
      <c r="Q6467">
        <v>0</v>
      </c>
      <c r="R6467" t="s">
        <v>44766</v>
      </c>
      <c r="S6467" t="s">
        <v>44902</v>
      </c>
      <c r="T6467" t="s">
        <v>46754</v>
      </c>
      <c r="U6467" t="s">
        <v>52337</v>
      </c>
      <c r="W6467" t="s">
        <v>42997</v>
      </c>
      <c r="X6467" t="s">
        <v>44767</v>
      </c>
    </row>
    <row r="6468" spans="1:24">
      <c r="A6468">
        <f>HYPERLINK("https://www.philgeps.gov.ph/GEPSNONPILOT/Tender/SplashBidNoticeAbstractUI.aspx?menuIndex=3&amp;refID=7148097&amp;Result=3","7148097")</f>
        <v>0</v>
      </c>
      <c r="B6468" t="s">
        <v>989</v>
      </c>
      <c r="C6468" t="s">
        <v>9878</v>
      </c>
      <c r="D6468" t="s">
        <v>18025</v>
      </c>
      <c r="E6468" t="s">
        <v>23736</v>
      </c>
      <c r="F6468" t="s">
        <v>30900</v>
      </c>
      <c r="G6468" t="s">
        <v>30907</v>
      </c>
      <c r="H6468" t="s">
        <v>30916</v>
      </c>
      <c r="I6468" t="s">
        <v>30933</v>
      </c>
      <c r="J6468" t="s">
        <v>31297</v>
      </c>
      <c r="K6468" t="s">
        <v>40293</v>
      </c>
      <c r="M6468" t="s">
        <v>41577</v>
      </c>
      <c r="N6468" t="s">
        <v>44759</v>
      </c>
      <c r="O6468" t="s">
        <v>44760</v>
      </c>
      <c r="P6468">
        <v>0</v>
      </c>
      <c r="Q6468">
        <v>6</v>
      </c>
      <c r="R6468" t="s">
        <v>44766</v>
      </c>
      <c r="S6468" t="s">
        <v>44902</v>
      </c>
      <c r="T6468" t="s">
        <v>46355</v>
      </c>
      <c r="U6468" t="s">
        <v>52338</v>
      </c>
      <c r="W6468" t="s">
        <v>41577</v>
      </c>
      <c r="X6468" t="s">
        <v>44767</v>
      </c>
    </row>
    <row r="6469" spans="1:24">
      <c r="A6469">
        <f>HYPERLINK("https://www.philgeps.gov.ph/GEPSNONPILOT/Tender/SplashBidNoticeAbstractUI.aspx?menuIndex=3&amp;refID=7148096&amp;Result=3","7148096")</f>
        <v>0</v>
      </c>
      <c r="B6469" t="s">
        <v>2290</v>
      </c>
      <c r="C6469" t="s">
        <v>9879</v>
      </c>
      <c r="D6469" t="s">
        <v>17989</v>
      </c>
      <c r="E6469" t="s">
        <v>21567</v>
      </c>
      <c r="F6469" t="s">
        <v>30900</v>
      </c>
      <c r="G6469" t="s">
        <v>30907</v>
      </c>
      <c r="H6469" t="s">
        <v>30915</v>
      </c>
      <c r="I6469" t="s">
        <v>30919</v>
      </c>
      <c r="J6469" t="s">
        <v>31049</v>
      </c>
      <c r="K6469" t="s">
        <v>40284</v>
      </c>
      <c r="M6469" t="s">
        <v>43004</v>
      </c>
      <c r="N6469" t="s">
        <v>44759</v>
      </c>
      <c r="O6469" t="s">
        <v>44760</v>
      </c>
      <c r="P6469">
        <v>0</v>
      </c>
      <c r="Q6469">
        <v>0</v>
      </c>
      <c r="R6469" t="s">
        <v>44766</v>
      </c>
      <c r="S6469" t="s">
        <v>44902</v>
      </c>
      <c r="T6469" t="s">
        <v>46536</v>
      </c>
      <c r="U6469" t="s">
        <v>52339</v>
      </c>
      <c r="W6469" t="s">
        <v>43004</v>
      </c>
      <c r="X6469" t="s">
        <v>44767</v>
      </c>
    </row>
    <row r="6470" spans="1:24">
      <c r="A6470">
        <f>HYPERLINK("https://www.philgeps.gov.ph/GEPSNONPILOT/Tender/SplashBidNoticeAbstractUI.aspx?menuIndex=3&amp;refID=7148092&amp;Result=3","7148092")</f>
        <v>0</v>
      </c>
      <c r="B6470" t="s">
        <v>2290</v>
      </c>
      <c r="C6470" t="s">
        <v>9880</v>
      </c>
      <c r="D6470" t="s">
        <v>17989</v>
      </c>
      <c r="E6470" t="s">
        <v>19690</v>
      </c>
      <c r="F6470" t="s">
        <v>30900</v>
      </c>
      <c r="G6470" t="s">
        <v>30907</v>
      </c>
      <c r="H6470" t="s">
        <v>30915</v>
      </c>
      <c r="I6470" t="s">
        <v>30919</v>
      </c>
      <c r="J6470" t="s">
        <v>35228</v>
      </c>
      <c r="K6470" t="s">
        <v>40392</v>
      </c>
      <c r="M6470" t="s">
        <v>43004</v>
      </c>
      <c r="N6470" t="s">
        <v>44759</v>
      </c>
      <c r="O6470" t="s">
        <v>44760</v>
      </c>
      <c r="P6470">
        <v>0</v>
      </c>
      <c r="Q6470">
        <v>0</v>
      </c>
      <c r="R6470" t="s">
        <v>44766</v>
      </c>
      <c r="S6470" t="s">
        <v>44902</v>
      </c>
      <c r="T6470" t="s">
        <v>46383</v>
      </c>
      <c r="U6470" t="s">
        <v>52340</v>
      </c>
      <c r="W6470" t="s">
        <v>43004</v>
      </c>
      <c r="X6470" t="s">
        <v>44767</v>
      </c>
    </row>
    <row r="6471" spans="1:24">
      <c r="A6471">
        <f>HYPERLINK("https://www.philgeps.gov.ph/GEPSNONPILOT/Tender/SplashBidNoticeAbstractUI.aspx?menuIndex=3&amp;refID=7148034&amp;Result=3","7148034")</f>
        <v>0</v>
      </c>
      <c r="B6471" t="s">
        <v>2277</v>
      </c>
      <c r="C6471" t="s">
        <v>9881</v>
      </c>
      <c r="D6471" t="s">
        <v>17961</v>
      </c>
      <c r="E6471" t="s">
        <v>18158</v>
      </c>
      <c r="F6471" t="s">
        <v>30900</v>
      </c>
      <c r="G6471" t="s">
        <v>30909</v>
      </c>
      <c r="H6471" t="s">
        <v>30916</v>
      </c>
      <c r="I6471" t="s">
        <v>30922</v>
      </c>
      <c r="J6471" t="s">
        <v>32157</v>
      </c>
      <c r="K6471" t="s">
        <v>40287</v>
      </c>
      <c r="M6471" t="s">
        <v>42991</v>
      </c>
      <c r="N6471" t="s">
        <v>44759</v>
      </c>
      <c r="O6471" t="s">
        <v>44760</v>
      </c>
      <c r="P6471">
        <v>0</v>
      </c>
      <c r="Q6471">
        <v>0</v>
      </c>
      <c r="R6471" t="s">
        <v>44766</v>
      </c>
      <c r="S6471" t="s">
        <v>44902</v>
      </c>
      <c r="T6471" t="s">
        <v>46414</v>
      </c>
      <c r="U6471" t="s">
        <v>52309</v>
      </c>
      <c r="W6471" t="s">
        <v>42991</v>
      </c>
      <c r="X6471" t="s">
        <v>44767</v>
      </c>
    </row>
    <row r="6472" spans="1:24">
      <c r="A6472">
        <f>HYPERLINK("https://www.philgeps.gov.ph/GEPSNONPILOT/Tender/SplashBidNoticeAbstractUI.aspx?menuIndex=3&amp;refID=7148090&amp;Result=3","7148090")</f>
        <v>0</v>
      </c>
      <c r="B6472" t="s">
        <v>2290</v>
      </c>
      <c r="C6472" t="s">
        <v>9882</v>
      </c>
      <c r="D6472" t="s">
        <v>17989</v>
      </c>
      <c r="E6472" t="s">
        <v>18094</v>
      </c>
      <c r="F6472" t="s">
        <v>30900</v>
      </c>
      <c r="G6472" t="s">
        <v>30907</v>
      </c>
      <c r="H6472" t="s">
        <v>30915</v>
      </c>
      <c r="I6472" t="s">
        <v>30919</v>
      </c>
      <c r="J6472" t="s">
        <v>35229</v>
      </c>
      <c r="K6472" t="s">
        <v>40378</v>
      </c>
      <c r="M6472" t="s">
        <v>43004</v>
      </c>
      <c r="N6472" t="s">
        <v>44759</v>
      </c>
      <c r="O6472" t="s">
        <v>44760</v>
      </c>
      <c r="P6472">
        <v>0</v>
      </c>
      <c r="Q6472">
        <v>0</v>
      </c>
      <c r="R6472" t="s">
        <v>44766</v>
      </c>
      <c r="S6472" t="s">
        <v>44902</v>
      </c>
      <c r="T6472" t="s">
        <v>46398</v>
      </c>
      <c r="U6472" t="s">
        <v>52341</v>
      </c>
      <c r="W6472" t="s">
        <v>43004</v>
      </c>
      <c r="X6472" t="s">
        <v>44767</v>
      </c>
    </row>
    <row r="6473" spans="1:24">
      <c r="A6473">
        <f>HYPERLINK("https://www.philgeps.gov.ph/GEPSNONPILOT/Tender/SplashBidNoticeAbstractUI.aspx?menuIndex=3&amp;refID=7148088&amp;Result=3","7148088")</f>
        <v>0</v>
      </c>
      <c r="B6473" t="s">
        <v>1919</v>
      </c>
      <c r="C6473" t="s">
        <v>9883</v>
      </c>
      <c r="D6473" t="s">
        <v>17953</v>
      </c>
      <c r="E6473" t="s">
        <v>21139</v>
      </c>
      <c r="F6473" t="s">
        <v>30900</v>
      </c>
      <c r="G6473" t="s">
        <v>30908</v>
      </c>
      <c r="H6473" t="s">
        <v>30916</v>
      </c>
      <c r="I6473" t="s">
        <v>30939</v>
      </c>
      <c r="J6473" t="s">
        <v>31101</v>
      </c>
      <c r="K6473" t="s">
        <v>40289</v>
      </c>
      <c r="M6473" t="s">
        <v>42597</v>
      </c>
      <c r="N6473" t="s">
        <v>44759</v>
      </c>
      <c r="O6473" t="s">
        <v>44760</v>
      </c>
      <c r="P6473">
        <v>0</v>
      </c>
      <c r="Q6473">
        <v>0</v>
      </c>
      <c r="R6473" t="s">
        <v>44766</v>
      </c>
      <c r="S6473" t="s">
        <v>44902</v>
      </c>
      <c r="T6473" t="s">
        <v>46531</v>
      </c>
      <c r="U6473" t="s">
        <v>52342</v>
      </c>
      <c r="V6473" t="s">
        <v>51724</v>
      </c>
      <c r="W6473" t="s">
        <v>60876</v>
      </c>
      <c r="X6473" t="s">
        <v>44767</v>
      </c>
    </row>
    <row r="6474" spans="1:24">
      <c r="A6474">
        <f>HYPERLINK("https://www.philgeps.gov.ph/GEPSNONPILOT/Tender/SplashBidNoticeAbstractUI.aspx?menuIndex=3&amp;refID=7148081&amp;Result=3","7148081")</f>
        <v>0</v>
      </c>
      <c r="B6474" t="s">
        <v>155</v>
      </c>
      <c r="C6474" t="s">
        <v>9884</v>
      </c>
      <c r="D6474" t="s">
        <v>17951</v>
      </c>
      <c r="E6474" t="s">
        <v>23737</v>
      </c>
      <c r="F6474" t="s">
        <v>30900</v>
      </c>
      <c r="G6474" t="s">
        <v>30912</v>
      </c>
      <c r="H6474" t="s">
        <v>30916</v>
      </c>
      <c r="I6474" t="s">
        <v>30927</v>
      </c>
      <c r="J6474" t="s">
        <v>33907</v>
      </c>
      <c r="K6474" t="s">
        <v>40314</v>
      </c>
      <c r="M6474" t="s">
        <v>40702</v>
      </c>
      <c r="N6474" t="s">
        <v>44759</v>
      </c>
      <c r="O6474" t="s">
        <v>44760</v>
      </c>
      <c r="P6474">
        <v>0</v>
      </c>
      <c r="Q6474">
        <v>1</v>
      </c>
      <c r="R6474" t="s">
        <v>44766</v>
      </c>
      <c r="S6474" t="s">
        <v>44902</v>
      </c>
      <c r="T6474" t="s">
        <v>46699</v>
      </c>
      <c r="U6474" t="s">
        <v>47173</v>
      </c>
      <c r="V6474" t="s">
        <v>59132</v>
      </c>
      <c r="W6474" t="s">
        <v>40702</v>
      </c>
      <c r="X6474" t="s">
        <v>44767</v>
      </c>
    </row>
    <row r="6475" spans="1:24">
      <c r="A6475">
        <f>HYPERLINK("https://www.philgeps.gov.ph/GEPSNONPILOT/Tender/SplashBidNoticeAbstractUI.aspx?menuIndex=3&amp;refID=7148072&amp;Result=3","7148072")</f>
        <v>0</v>
      </c>
      <c r="B6475" t="s">
        <v>155</v>
      </c>
      <c r="C6475" t="s">
        <v>9885</v>
      </c>
      <c r="D6475" t="s">
        <v>17985</v>
      </c>
      <c r="E6475" t="s">
        <v>23738</v>
      </c>
      <c r="F6475" t="s">
        <v>30900</v>
      </c>
      <c r="G6475" t="s">
        <v>30908</v>
      </c>
      <c r="H6475" t="s">
        <v>30916</v>
      </c>
      <c r="I6475" t="s">
        <v>30932</v>
      </c>
      <c r="J6475" t="s">
        <v>31050</v>
      </c>
      <c r="K6475" t="s">
        <v>40314</v>
      </c>
      <c r="M6475" t="s">
        <v>40702</v>
      </c>
      <c r="N6475" t="s">
        <v>44759</v>
      </c>
      <c r="O6475" t="s">
        <v>44760</v>
      </c>
      <c r="P6475">
        <v>0</v>
      </c>
      <c r="Q6475">
        <v>2</v>
      </c>
      <c r="R6475" t="s">
        <v>44766</v>
      </c>
      <c r="S6475" t="s">
        <v>44902</v>
      </c>
      <c r="T6475" t="s">
        <v>46699</v>
      </c>
      <c r="U6475" t="s">
        <v>47173</v>
      </c>
      <c r="V6475" t="s">
        <v>59132</v>
      </c>
      <c r="W6475" t="s">
        <v>40702</v>
      </c>
      <c r="X6475" t="s">
        <v>44767</v>
      </c>
    </row>
    <row r="6476" spans="1:24">
      <c r="A6476">
        <f>HYPERLINK("https://www.philgeps.gov.ph/GEPSNONPILOT/Tender/SplashBidNoticeAbstractUI.aspx?menuIndex=3&amp;refID=7148071&amp;Result=3","7148071")</f>
        <v>0</v>
      </c>
      <c r="B6476" t="s">
        <v>1529</v>
      </c>
      <c r="C6476" t="s">
        <v>9886</v>
      </c>
      <c r="D6476" t="s">
        <v>18010</v>
      </c>
      <c r="E6476" t="s">
        <v>23739</v>
      </c>
      <c r="F6476" t="s">
        <v>30900</v>
      </c>
      <c r="G6476" t="s">
        <v>30908</v>
      </c>
      <c r="H6476" t="s">
        <v>30916</v>
      </c>
      <c r="I6476" t="s">
        <v>4108</v>
      </c>
      <c r="J6476" t="s">
        <v>35230</v>
      </c>
      <c r="K6476" t="s">
        <v>40283</v>
      </c>
      <c r="M6476" t="s">
        <v>42172</v>
      </c>
      <c r="N6476" t="s">
        <v>44759</v>
      </c>
      <c r="O6476" t="s">
        <v>44760</v>
      </c>
      <c r="P6476">
        <v>0</v>
      </c>
      <c r="Q6476">
        <v>1</v>
      </c>
      <c r="R6476" t="s">
        <v>44766</v>
      </c>
      <c r="S6476" t="s">
        <v>44902</v>
      </c>
      <c r="T6476" t="s">
        <v>46581</v>
      </c>
      <c r="U6476" t="s">
        <v>52343</v>
      </c>
      <c r="W6476" t="s">
        <v>60866</v>
      </c>
      <c r="X6476" t="s">
        <v>44767</v>
      </c>
    </row>
    <row r="6477" spans="1:24">
      <c r="A6477">
        <f>HYPERLINK("https://www.philgeps.gov.ph/GEPSNONPILOT/Tender/SplashBidNoticeAbstractUI.aspx?menuIndex=3&amp;refID=7148073&amp;Result=3","7148073")</f>
        <v>0</v>
      </c>
      <c r="B6477" t="s">
        <v>1974</v>
      </c>
      <c r="C6477" t="s">
        <v>9887</v>
      </c>
      <c r="D6477" t="s">
        <v>17985</v>
      </c>
      <c r="E6477" t="s">
        <v>23740</v>
      </c>
      <c r="F6477" t="s">
        <v>30900</v>
      </c>
      <c r="G6477" t="s">
        <v>30907</v>
      </c>
      <c r="H6477" t="s">
        <v>30915</v>
      </c>
      <c r="I6477" t="s">
        <v>30919</v>
      </c>
      <c r="J6477" t="s">
        <v>35231</v>
      </c>
      <c r="K6477" t="s">
        <v>40301</v>
      </c>
      <c r="M6477" t="s">
        <v>43005</v>
      </c>
      <c r="N6477" t="s">
        <v>44759</v>
      </c>
      <c r="O6477" t="s">
        <v>44760</v>
      </c>
      <c r="P6477">
        <v>0</v>
      </c>
      <c r="Q6477">
        <v>4</v>
      </c>
      <c r="R6477" t="s">
        <v>44766</v>
      </c>
      <c r="S6477" t="s">
        <v>44902</v>
      </c>
      <c r="T6477" t="s">
        <v>46497</v>
      </c>
      <c r="U6477" t="s">
        <v>52344</v>
      </c>
      <c r="V6477" t="s">
        <v>59824</v>
      </c>
      <c r="W6477" t="s">
        <v>43005</v>
      </c>
      <c r="X6477" t="s">
        <v>44767</v>
      </c>
    </row>
    <row r="6478" spans="1:24">
      <c r="A6478">
        <f>HYPERLINK("https://www.philgeps.gov.ph/GEPSNONPILOT/Tender/SplashBidNoticeAbstractUI.aspx?menuIndex=3&amp;refID=7148067&amp;Result=3","7148067")</f>
        <v>0</v>
      </c>
      <c r="B6478" t="s">
        <v>1149</v>
      </c>
      <c r="C6478" t="s">
        <v>9888</v>
      </c>
      <c r="D6478" t="s">
        <v>17985</v>
      </c>
      <c r="E6478" t="s">
        <v>23741</v>
      </c>
      <c r="F6478" t="s">
        <v>30900</v>
      </c>
      <c r="G6478" t="s">
        <v>30909</v>
      </c>
      <c r="H6478" t="s">
        <v>30916</v>
      </c>
      <c r="I6478" t="s">
        <v>4108</v>
      </c>
      <c r="J6478" t="s">
        <v>32309</v>
      </c>
      <c r="K6478" t="s">
        <v>40285</v>
      </c>
      <c r="M6478" t="s">
        <v>41755</v>
      </c>
      <c r="N6478" t="s">
        <v>44759</v>
      </c>
      <c r="O6478" t="s">
        <v>44760</v>
      </c>
      <c r="P6478">
        <v>0</v>
      </c>
      <c r="Q6478">
        <v>12</v>
      </c>
      <c r="R6478" t="s">
        <v>44766</v>
      </c>
      <c r="S6478" t="s">
        <v>44902</v>
      </c>
      <c r="T6478" t="s">
        <v>46662</v>
      </c>
      <c r="U6478" t="s">
        <v>52345</v>
      </c>
      <c r="W6478" t="s">
        <v>41755</v>
      </c>
      <c r="X6478" t="s">
        <v>44767</v>
      </c>
    </row>
    <row r="6479" spans="1:24">
      <c r="A6479">
        <f>HYPERLINK("https://www.philgeps.gov.ph/GEPSNONPILOT/Tender/SplashBidNoticeAbstractUI.aspx?menuIndex=3&amp;refID=7148065&amp;Result=3","7148065")</f>
        <v>0</v>
      </c>
      <c r="B6479" t="s">
        <v>2282</v>
      </c>
      <c r="C6479" t="s">
        <v>9889</v>
      </c>
      <c r="D6479" t="s">
        <v>18016</v>
      </c>
      <c r="E6479" t="s">
        <v>23742</v>
      </c>
      <c r="F6479" t="s">
        <v>30900</v>
      </c>
      <c r="G6479" t="s">
        <v>30907</v>
      </c>
      <c r="H6479" t="s">
        <v>30915</v>
      </c>
      <c r="I6479" t="s">
        <v>30919</v>
      </c>
      <c r="J6479" t="s">
        <v>35232</v>
      </c>
      <c r="K6479" t="s">
        <v>40435</v>
      </c>
      <c r="M6479" t="s">
        <v>42996</v>
      </c>
      <c r="N6479" t="s">
        <v>44759</v>
      </c>
      <c r="O6479" t="s">
        <v>44760</v>
      </c>
      <c r="P6479">
        <v>0</v>
      </c>
      <c r="Q6479">
        <v>0</v>
      </c>
      <c r="R6479" t="s">
        <v>44766</v>
      </c>
      <c r="S6479" t="s">
        <v>44902</v>
      </c>
      <c r="T6479" t="s">
        <v>46453</v>
      </c>
      <c r="U6479" t="s">
        <v>52346</v>
      </c>
      <c r="W6479" t="s">
        <v>42996</v>
      </c>
      <c r="X6479" t="s">
        <v>44767</v>
      </c>
    </row>
    <row r="6480" spans="1:24">
      <c r="A6480">
        <f>HYPERLINK("https://www.philgeps.gov.ph/GEPSNONPILOT/Tender/SplashBidNoticeAbstractUI.aspx?menuIndex=3&amp;refID=7148068&amp;Result=3","7148068")</f>
        <v>0</v>
      </c>
      <c r="B6480" t="s">
        <v>2282</v>
      </c>
      <c r="C6480" t="s">
        <v>9890</v>
      </c>
      <c r="D6480" t="s">
        <v>18016</v>
      </c>
      <c r="E6480" t="s">
        <v>23743</v>
      </c>
      <c r="F6480" t="s">
        <v>30900</v>
      </c>
      <c r="G6480" t="s">
        <v>30907</v>
      </c>
      <c r="H6480" t="s">
        <v>30915</v>
      </c>
      <c r="I6480" t="s">
        <v>30919</v>
      </c>
      <c r="J6480" t="s">
        <v>31172</v>
      </c>
      <c r="K6480" t="s">
        <v>40342</v>
      </c>
      <c r="M6480" t="s">
        <v>42996</v>
      </c>
      <c r="N6480" t="s">
        <v>44759</v>
      </c>
      <c r="O6480" t="s">
        <v>44760</v>
      </c>
      <c r="P6480">
        <v>0</v>
      </c>
      <c r="Q6480">
        <v>0</v>
      </c>
      <c r="R6480" t="s">
        <v>44766</v>
      </c>
      <c r="S6480" t="s">
        <v>44902</v>
      </c>
      <c r="T6480" t="s">
        <v>46453</v>
      </c>
      <c r="U6480" t="s">
        <v>52347</v>
      </c>
      <c r="W6480" t="s">
        <v>42996</v>
      </c>
      <c r="X6480" t="s">
        <v>44767</v>
      </c>
    </row>
    <row r="6481" spans="1:24">
      <c r="A6481">
        <f>HYPERLINK("https://www.philgeps.gov.ph/GEPSNONPILOT/Tender/SplashBidNoticeAbstractUI.aspx?menuIndex=3&amp;refID=7148101&amp;Result=3","7148101")</f>
        <v>0</v>
      </c>
      <c r="B6481" t="s">
        <v>989</v>
      </c>
      <c r="C6481" t="s">
        <v>9891</v>
      </c>
      <c r="D6481" t="s">
        <v>18025</v>
      </c>
      <c r="E6481" t="s">
        <v>23744</v>
      </c>
      <c r="F6481" t="s">
        <v>30900</v>
      </c>
      <c r="G6481" t="s">
        <v>30907</v>
      </c>
      <c r="H6481" t="s">
        <v>30916</v>
      </c>
      <c r="I6481" t="s">
        <v>30933</v>
      </c>
      <c r="J6481" t="s">
        <v>31391</v>
      </c>
      <c r="K6481" t="s">
        <v>40293</v>
      </c>
      <c r="M6481" t="s">
        <v>41577</v>
      </c>
      <c r="N6481" t="s">
        <v>44759</v>
      </c>
      <c r="O6481" t="s">
        <v>44760</v>
      </c>
      <c r="P6481">
        <v>0</v>
      </c>
      <c r="Q6481">
        <v>4</v>
      </c>
      <c r="R6481" t="s">
        <v>44766</v>
      </c>
      <c r="S6481" t="s">
        <v>44902</v>
      </c>
      <c r="T6481" t="s">
        <v>46355</v>
      </c>
      <c r="U6481" t="s">
        <v>52348</v>
      </c>
      <c r="W6481" t="s">
        <v>41577</v>
      </c>
      <c r="X6481" t="s">
        <v>44767</v>
      </c>
    </row>
    <row r="6482" spans="1:24">
      <c r="A6482">
        <f>HYPERLINK("https://www.philgeps.gov.ph/GEPSNONPILOT/Tender/SplashBidNoticeAbstractUI.aspx?menuIndex=3&amp;refID=7148094&amp;Result=3","7148094")</f>
        <v>0</v>
      </c>
      <c r="B6482" t="s">
        <v>989</v>
      </c>
      <c r="C6482" t="s">
        <v>9892</v>
      </c>
      <c r="D6482" t="s">
        <v>18025</v>
      </c>
      <c r="E6482" t="s">
        <v>23745</v>
      </c>
      <c r="F6482" t="s">
        <v>30900</v>
      </c>
      <c r="G6482" t="s">
        <v>30907</v>
      </c>
      <c r="H6482" t="s">
        <v>30915</v>
      </c>
      <c r="I6482" t="s">
        <v>30919</v>
      </c>
      <c r="J6482" t="s">
        <v>31241</v>
      </c>
      <c r="K6482" t="s">
        <v>40304</v>
      </c>
      <c r="M6482" t="s">
        <v>41577</v>
      </c>
      <c r="N6482" t="s">
        <v>44759</v>
      </c>
      <c r="O6482" t="s">
        <v>44760</v>
      </c>
      <c r="P6482">
        <v>0</v>
      </c>
      <c r="Q6482">
        <v>1</v>
      </c>
      <c r="R6482" t="s">
        <v>44766</v>
      </c>
      <c r="S6482" t="s">
        <v>44902</v>
      </c>
      <c r="T6482" t="s">
        <v>46355</v>
      </c>
      <c r="U6482" t="s">
        <v>52349</v>
      </c>
      <c r="W6482" t="s">
        <v>41577</v>
      </c>
      <c r="X6482" t="s">
        <v>44767</v>
      </c>
    </row>
    <row r="6483" spans="1:24">
      <c r="A6483">
        <f>HYPERLINK("https://www.philgeps.gov.ph/GEPSNONPILOT/Tender/SplashBidNoticeAbstractUI.aspx?menuIndex=3&amp;refID=7148093&amp;Result=3","7148093")</f>
        <v>0</v>
      </c>
      <c r="B6483" t="s">
        <v>2290</v>
      </c>
      <c r="C6483" t="s">
        <v>9893</v>
      </c>
      <c r="D6483" t="s">
        <v>17989</v>
      </c>
      <c r="E6483" t="s">
        <v>22457</v>
      </c>
      <c r="F6483" t="s">
        <v>30900</v>
      </c>
      <c r="G6483" t="s">
        <v>30907</v>
      </c>
      <c r="H6483" t="s">
        <v>30915</v>
      </c>
      <c r="I6483" t="s">
        <v>30919</v>
      </c>
      <c r="J6483" t="s">
        <v>31944</v>
      </c>
      <c r="K6483" t="s">
        <v>40386</v>
      </c>
      <c r="M6483" t="s">
        <v>43004</v>
      </c>
      <c r="N6483" t="s">
        <v>44759</v>
      </c>
      <c r="O6483" t="s">
        <v>44760</v>
      </c>
      <c r="P6483">
        <v>0</v>
      </c>
      <c r="Q6483">
        <v>0</v>
      </c>
      <c r="R6483" t="s">
        <v>44766</v>
      </c>
      <c r="S6483" t="s">
        <v>44902</v>
      </c>
      <c r="T6483" t="s">
        <v>46414</v>
      </c>
      <c r="U6483" t="s">
        <v>52350</v>
      </c>
      <c r="W6483" t="s">
        <v>43004</v>
      </c>
      <c r="X6483" t="s">
        <v>44767</v>
      </c>
    </row>
    <row r="6484" spans="1:24">
      <c r="A6484">
        <f>HYPERLINK("https://www.philgeps.gov.ph/GEPSNONPILOT/Tender/SplashBidNoticeAbstractUI.aspx?menuIndex=3&amp;refID=7126922&amp;Result=3","7126922")</f>
        <v>0</v>
      </c>
      <c r="B6484" t="s">
        <v>219</v>
      </c>
      <c r="C6484" t="s">
        <v>9894</v>
      </c>
      <c r="D6484" t="s">
        <v>17955</v>
      </c>
      <c r="E6484" t="s">
        <v>9894</v>
      </c>
      <c r="F6484" t="s">
        <v>30900</v>
      </c>
      <c r="G6484" t="s">
        <v>30908</v>
      </c>
      <c r="H6484" t="s">
        <v>30916</v>
      </c>
      <c r="I6484" t="s">
        <v>4108</v>
      </c>
      <c r="J6484" t="s">
        <v>33133</v>
      </c>
      <c r="K6484" t="s">
        <v>40286</v>
      </c>
      <c r="M6484" t="s">
        <v>42031</v>
      </c>
      <c r="N6484" t="s">
        <v>44759</v>
      </c>
      <c r="O6484" t="s">
        <v>44760</v>
      </c>
      <c r="P6484">
        <v>0</v>
      </c>
      <c r="Q6484">
        <v>0</v>
      </c>
      <c r="R6484" t="s">
        <v>44767</v>
      </c>
      <c r="S6484" t="s">
        <v>44954</v>
      </c>
      <c r="T6484" t="s">
        <v>46581</v>
      </c>
      <c r="U6484" t="s">
        <v>52351</v>
      </c>
      <c r="W6484" t="s">
        <v>42031</v>
      </c>
      <c r="X6484" t="s">
        <v>44775</v>
      </c>
    </row>
    <row r="6485" spans="1:24">
      <c r="A6485">
        <f>HYPERLINK("https://www.philgeps.gov.ph/GEPSNONPILOT/Tender/SplashBidNoticeAbstractUI.aspx?menuIndex=3&amp;refID=7125127&amp;Result=3","7125127")</f>
        <v>0</v>
      </c>
      <c r="B6485" t="s">
        <v>1711</v>
      </c>
      <c r="C6485" t="s">
        <v>9895</v>
      </c>
      <c r="D6485" t="s">
        <v>17952</v>
      </c>
      <c r="E6485" t="s">
        <v>18605</v>
      </c>
      <c r="F6485" t="s">
        <v>30900</v>
      </c>
      <c r="G6485" t="s">
        <v>30907</v>
      </c>
      <c r="H6485" t="s">
        <v>30915</v>
      </c>
      <c r="I6485" t="s">
        <v>30919</v>
      </c>
      <c r="J6485" t="s">
        <v>32324</v>
      </c>
      <c r="K6485" t="s">
        <v>40292</v>
      </c>
      <c r="M6485" t="s">
        <v>42374</v>
      </c>
      <c r="N6485" t="s">
        <v>44759</v>
      </c>
      <c r="O6485" t="s">
        <v>44760</v>
      </c>
      <c r="P6485">
        <v>0</v>
      </c>
      <c r="Q6485">
        <v>1</v>
      </c>
      <c r="R6485" t="s">
        <v>44767</v>
      </c>
      <c r="S6485" t="s">
        <v>44954</v>
      </c>
      <c r="T6485" t="s">
        <v>46455</v>
      </c>
      <c r="U6485" t="s">
        <v>52352</v>
      </c>
      <c r="W6485" t="s">
        <v>42374</v>
      </c>
      <c r="X6485" t="s">
        <v>44776</v>
      </c>
    </row>
    <row r="6486" spans="1:24">
      <c r="A6486">
        <f>HYPERLINK("https://www.philgeps.gov.ph/GEPSNONPILOT/Tender/SplashBidNoticeAbstractUI.aspx?menuIndex=3&amp;refID=7124993&amp;Result=3","7124993")</f>
        <v>0</v>
      </c>
      <c r="B6486" t="s">
        <v>2291</v>
      </c>
      <c r="C6486" t="s">
        <v>9896</v>
      </c>
      <c r="D6486" t="s">
        <v>18002</v>
      </c>
      <c r="E6486" t="s">
        <v>23746</v>
      </c>
      <c r="F6486" t="s">
        <v>30900</v>
      </c>
      <c r="G6486" t="s">
        <v>30907</v>
      </c>
      <c r="H6486" t="s">
        <v>30917</v>
      </c>
      <c r="I6486" t="s">
        <v>5830</v>
      </c>
      <c r="J6486" t="s">
        <v>35233</v>
      </c>
      <c r="K6486" t="s">
        <v>40286</v>
      </c>
      <c r="M6486" t="s">
        <v>43006</v>
      </c>
      <c r="N6486" t="s">
        <v>44759</v>
      </c>
      <c r="O6486" t="s">
        <v>44760</v>
      </c>
      <c r="P6486">
        <v>0</v>
      </c>
      <c r="Q6486">
        <v>5</v>
      </c>
      <c r="R6486" t="s">
        <v>44767</v>
      </c>
      <c r="S6486" t="s">
        <v>44954</v>
      </c>
      <c r="T6486" t="s">
        <v>46374</v>
      </c>
      <c r="U6486" t="s">
        <v>52353</v>
      </c>
      <c r="W6486" t="s">
        <v>43006</v>
      </c>
      <c r="X6486" t="s">
        <v>44776</v>
      </c>
    </row>
    <row r="6487" spans="1:24">
      <c r="A6487">
        <f>HYPERLINK("https://www.philgeps.gov.ph/GEPSNONPILOT/Tender/SplashBidNoticeAbstractUI.aspx?menuIndex=3&amp;refID=7123858&amp;Result=3","7123858")</f>
        <v>0</v>
      </c>
      <c r="B6487" t="s">
        <v>247</v>
      </c>
      <c r="C6487" t="s">
        <v>3769</v>
      </c>
      <c r="E6487" t="s">
        <v>23747</v>
      </c>
      <c r="F6487" t="s">
        <v>30900</v>
      </c>
      <c r="G6487" t="s">
        <v>30907</v>
      </c>
      <c r="H6487" t="s">
        <v>30916</v>
      </c>
      <c r="I6487" t="s">
        <v>30919</v>
      </c>
      <c r="J6487" t="s">
        <v>33352</v>
      </c>
      <c r="K6487" t="s">
        <v>40288</v>
      </c>
      <c r="M6487" t="s">
        <v>40794</v>
      </c>
      <c r="N6487" t="s">
        <v>44759</v>
      </c>
      <c r="O6487" t="s">
        <v>44760</v>
      </c>
      <c r="P6487">
        <v>0</v>
      </c>
      <c r="Q6487">
        <v>0</v>
      </c>
      <c r="R6487" t="s">
        <v>44767</v>
      </c>
      <c r="S6487" t="s">
        <v>44954</v>
      </c>
      <c r="T6487" t="s">
        <v>46623</v>
      </c>
      <c r="U6487" t="s">
        <v>52354</v>
      </c>
      <c r="W6487" t="s">
        <v>40794</v>
      </c>
      <c r="X6487" t="s">
        <v>44776</v>
      </c>
    </row>
    <row r="6488" spans="1:24">
      <c r="A6488">
        <f>HYPERLINK("https://www.philgeps.gov.ph/GEPSNONPILOT/Tender/SplashBidNoticeAbstractUI.aspx?menuIndex=3&amp;refID=7120251&amp;Result=3","7120251")</f>
        <v>0</v>
      </c>
      <c r="B6488" t="s">
        <v>48</v>
      </c>
      <c r="C6488" t="s">
        <v>9897</v>
      </c>
      <c r="D6488" t="s">
        <v>17971</v>
      </c>
      <c r="E6488" t="s">
        <v>23748</v>
      </c>
      <c r="F6488" t="s">
        <v>30900</v>
      </c>
      <c r="G6488" t="s">
        <v>30907</v>
      </c>
      <c r="H6488" t="s">
        <v>30915</v>
      </c>
      <c r="I6488" t="s">
        <v>30919</v>
      </c>
      <c r="J6488" t="s">
        <v>31096</v>
      </c>
      <c r="K6488" t="s">
        <v>40286</v>
      </c>
      <c r="M6488" t="s">
        <v>40594</v>
      </c>
      <c r="N6488" t="s">
        <v>44759</v>
      </c>
      <c r="O6488" t="s">
        <v>44760</v>
      </c>
      <c r="P6488">
        <v>0</v>
      </c>
      <c r="Q6488">
        <v>1</v>
      </c>
      <c r="R6488" t="s">
        <v>44767</v>
      </c>
      <c r="S6488" t="s">
        <v>44954</v>
      </c>
      <c r="T6488" t="s">
        <v>46379</v>
      </c>
      <c r="U6488" t="s">
        <v>52355</v>
      </c>
      <c r="W6488" t="s">
        <v>40594</v>
      </c>
      <c r="X6488" t="s">
        <v>44777</v>
      </c>
    </row>
    <row r="6489" spans="1:24">
      <c r="A6489">
        <f>HYPERLINK("https://www.philgeps.gov.ph/GEPSNONPILOT/Tender/SplashBidNoticeAbstractUI.aspx?menuIndex=3&amp;refID=7118399&amp;Result=3","7118399")</f>
        <v>0</v>
      </c>
      <c r="B6489" t="s">
        <v>40</v>
      </c>
      <c r="C6489" t="s">
        <v>9898</v>
      </c>
      <c r="D6489" t="s">
        <v>17965</v>
      </c>
      <c r="E6489" t="s">
        <v>23749</v>
      </c>
      <c r="F6489" t="s">
        <v>30900</v>
      </c>
      <c r="G6489" t="s">
        <v>30907</v>
      </c>
      <c r="H6489" t="s">
        <v>30915</v>
      </c>
      <c r="I6489" t="s">
        <v>30919</v>
      </c>
      <c r="J6489" t="s">
        <v>31049</v>
      </c>
      <c r="K6489" t="s">
        <v>40344</v>
      </c>
      <c r="M6489" t="s">
        <v>40586</v>
      </c>
      <c r="N6489" t="s">
        <v>44759</v>
      </c>
      <c r="O6489" t="s">
        <v>44760</v>
      </c>
      <c r="P6489">
        <v>0</v>
      </c>
      <c r="Q6489">
        <v>0</v>
      </c>
      <c r="R6489" t="s">
        <v>44767</v>
      </c>
      <c r="S6489" t="s">
        <v>44954</v>
      </c>
      <c r="T6489" t="s">
        <v>46548</v>
      </c>
      <c r="U6489" t="s">
        <v>52356</v>
      </c>
      <c r="W6489" t="s">
        <v>40586</v>
      </c>
      <c r="X6489" t="s">
        <v>44780</v>
      </c>
    </row>
    <row r="6490" spans="1:24">
      <c r="A6490">
        <f>HYPERLINK("https://www.philgeps.gov.ph/GEPSNONPILOT/Tender/SplashBidNoticeAbstractUI.aspx?menuIndex=3&amp;refID=7100313-2&amp;Result=3","7100313-2")</f>
        <v>0</v>
      </c>
      <c r="B6490" t="s">
        <v>2292</v>
      </c>
      <c r="C6490" t="s">
        <v>9899</v>
      </c>
      <c r="D6490" t="s">
        <v>17992</v>
      </c>
      <c r="E6490" t="s">
        <v>20233</v>
      </c>
      <c r="F6490" t="s">
        <v>30900</v>
      </c>
      <c r="G6490" t="s">
        <v>30907</v>
      </c>
      <c r="H6490" t="s">
        <v>30916</v>
      </c>
      <c r="I6490" t="s">
        <v>30933</v>
      </c>
      <c r="J6490" t="s">
        <v>32454</v>
      </c>
      <c r="K6490" t="s">
        <v>40286</v>
      </c>
      <c r="M6490" t="s">
        <v>43007</v>
      </c>
      <c r="N6490" t="s">
        <v>44759</v>
      </c>
      <c r="O6490" t="s">
        <v>44760</v>
      </c>
      <c r="P6490">
        <v>0</v>
      </c>
      <c r="Q6490">
        <v>0</v>
      </c>
      <c r="R6490" t="s">
        <v>44767</v>
      </c>
      <c r="S6490" t="s">
        <v>44954</v>
      </c>
      <c r="T6490" t="s">
        <v>46709</v>
      </c>
      <c r="U6490" t="s">
        <v>52357</v>
      </c>
      <c r="V6490" t="s">
        <v>59825</v>
      </c>
      <c r="W6490" t="s">
        <v>43007</v>
      </c>
      <c r="X6490" t="s">
        <v>44768</v>
      </c>
    </row>
    <row r="6491" spans="1:24">
      <c r="A6491">
        <f>HYPERLINK("https://www.philgeps.gov.ph/GEPSNONPILOT/Tender/SplashBidNoticeAbstractUI.aspx?menuIndex=3&amp;refID=7135624&amp;Result=3","7135624")</f>
        <v>0</v>
      </c>
      <c r="B6491" t="s">
        <v>2293</v>
      </c>
      <c r="C6491" t="s">
        <v>9900</v>
      </c>
      <c r="D6491" t="s">
        <v>18014</v>
      </c>
      <c r="E6491" t="s">
        <v>18935</v>
      </c>
      <c r="F6491" t="s">
        <v>30900</v>
      </c>
      <c r="G6491" t="s">
        <v>30907</v>
      </c>
      <c r="H6491" t="s">
        <v>30915</v>
      </c>
      <c r="I6491" t="s">
        <v>30919</v>
      </c>
      <c r="J6491" t="s">
        <v>35229</v>
      </c>
      <c r="K6491" t="s">
        <v>40293</v>
      </c>
      <c r="M6491" t="s">
        <v>43008</v>
      </c>
      <c r="N6491" t="s">
        <v>44759</v>
      </c>
      <c r="O6491" t="s">
        <v>44760</v>
      </c>
      <c r="P6491">
        <v>0</v>
      </c>
      <c r="Q6491">
        <v>2</v>
      </c>
      <c r="R6491" t="s">
        <v>44767</v>
      </c>
      <c r="S6491" t="s">
        <v>44954</v>
      </c>
      <c r="T6491" t="s">
        <v>46426</v>
      </c>
      <c r="U6491" t="s">
        <v>52358</v>
      </c>
      <c r="W6491" t="s">
        <v>43008</v>
      </c>
      <c r="X6491" t="s">
        <v>44772</v>
      </c>
    </row>
    <row r="6492" spans="1:24">
      <c r="A6492">
        <f>HYPERLINK("https://www.philgeps.gov.ph/GEPSNONPILOT/Tender/SplashBidNoticeAbstractUI.aspx?menuIndex=3&amp;refID=7132609&amp;Result=3","7132609")</f>
        <v>0</v>
      </c>
      <c r="B6492" t="s">
        <v>2294</v>
      </c>
      <c r="C6492" t="s">
        <v>9901</v>
      </c>
      <c r="D6492" t="s">
        <v>17978</v>
      </c>
      <c r="E6492" t="s">
        <v>23750</v>
      </c>
      <c r="F6492" t="s">
        <v>30900</v>
      </c>
      <c r="G6492" t="s">
        <v>30907</v>
      </c>
      <c r="H6492" t="s">
        <v>30916</v>
      </c>
      <c r="I6492" t="s">
        <v>8123</v>
      </c>
      <c r="J6492" t="s">
        <v>35234</v>
      </c>
      <c r="K6492" t="s">
        <v>40304</v>
      </c>
      <c r="M6492" t="s">
        <v>43009</v>
      </c>
      <c r="N6492" t="s">
        <v>44759</v>
      </c>
      <c r="O6492" t="s">
        <v>44760</v>
      </c>
      <c r="P6492">
        <v>0</v>
      </c>
      <c r="Q6492">
        <v>0</v>
      </c>
      <c r="R6492" t="s">
        <v>44767</v>
      </c>
      <c r="S6492" t="s">
        <v>44954</v>
      </c>
      <c r="T6492" t="s">
        <v>46533</v>
      </c>
      <c r="U6492" t="s">
        <v>52359</v>
      </c>
      <c r="W6492" t="s">
        <v>43009</v>
      </c>
      <c r="X6492" t="s">
        <v>44774</v>
      </c>
    </row>
    <row r="6493" spans="1:24">
      <c r="A6493">
        <f>HYPERLINK("https://www.philgeps.gov.ph/GEPSNONPILOT/Tender/SplashBidNoticeAbstractUI.aspx?menuIndex=3&amp;refID=7131731&amp;Result=3","7131731")</f>
        <v>0</v>
      </c>
      <c r="B6493" t="s">
        <v>2295</v>
      </c>
      <c r="C6493" t="s">
        <v>9902</v>
      </c>
      <c r="D6493" t="s">
        <v>17953</v>
      </c>
      <c r="E6493" t="s">
        <v>20916</v>
      </c>
      <c r="F6493" t="s">
        <v>30900</v>
      </c>
      <c r="G6493" t="s">
        <v>30909</v>
      </c>
      <c r="H6493" t="s">
        <v>30916</v>
      </c>
      <c r="I6493" t="s">
        <v>8044</v>
      </c>
      <c r="J6493" t="s">
        <v>35235</v>
      </c>
      <c r="K6493" t="s">
        <v>40286</v>
      </c>
      <c r="M6493" t="s">
        <v>43010</v>
      </c>
      <c r="N6493" t="s">
        <v>44759</v>
      </c>
      <c r="O6493" t="s">
        <v>44760</v>
      </c>
      <c r="P6493">
        <v>0</v>
      </c>
      <c r="Q6493">
        <v>0</v>
      </c>
      <c r="R6493" t="s">
        <v>44767</v>
      </c>
      <c r="S6493" t="s">
        <v>44954</v>
      </c>
      <c r="T6493" t="s">
        <v>46623</v>
      </c>
      <c r="U6493" t="s">
        <v>52360</v>
      </c>
      <c r="W6493" t="s">
        <v>43010</v>
      </c>
      <c r="X6493" t="s">
        <v>44774</v>
      </c>
    </row>
    <row r="6494" spans="1:24">
      <c r="A6494">
        <f>HYPERLINK("https://www.philgeps.gov.ph/GEPSNONPILOT/Tender/SplashBidNoticeAbstractUI.aspx?menuIndex=3&amp;refID=7126408&amp;Result=3","7126408")</f>
        <v>0</v>
      </c>
      <c r="B6494" t="s">
        <v>1318</v>
      </c>
      <c r="C6494" t="s">
        <v>9903</v>
      </c>
      <c r="D6494" t="s">
        <v>18007</v>
      </c>
      <c r="E6494" t="s">
        <v>23751</v>
      </c>
      <c r="F6494" t="s">
        <v>30900</v>
      </c>
      <c r="G6494" t="s">
        <v>30907</v>
      </c>
      <c r="H6494" t="s">
        <v>30916</v>
      </c>
      <c r="I6494" t="s">
        <v>30923</v>
      </c>
      <c r="J6494" t="s">
        <v>35236</v>
      </c>
      <c r="K6494" t="s">
        <v>40291</v>
      </c>
      <c r="M6494" t="s">
        <v>41936</v>
      </c>
      <c r="N6494" t="s">
        <v>44759</v>
      </c>
      <c r="O6494" t="s">
        <v>44760</v>
      </c>
      <c r="P6494">
        <v>0</v>
      </c>
      <c r="Q6494">
        <v>1</v>
      </c>
      <c r="R6494" t="s">
        <v>44767</v>
      </c>
      <c r="S6494" t="s">
        <v>44954</v>
      </c>
      <c r="T6494" t="s">
        <v>46414</v>
      </c>
      <c r="U6494" t="s">
        <v>52361</v>
      </c>
      <c r="V6494" t="s">
        <v>59826</v>
      </c>
      <c r="W6494" t="s">
        <v>41936</v>
      </c>
      <c r="X6494" t="s">
        <v>44775</v>
      </c>
    </row>
    <row r="6495" spans="1:24">
      <c r="A6495">
        <f>HYPERLINK("https://www.philgeps.gov.ph/GEPSNONPILOT/Tender/SplashBidNoticeAbstractUI.aspx?menuIndex=3&amp;refID=7120282&amp;Result=3","7120282")</f>
        <v>0</v>
      </c>
      <c r="B6495" t="s">
        <v>48</v>
      </c>
      <c r="C6495" t="s">
        <v>9904</v>
      </c>
      <c r="D6495" t="s">
        <v>17971</v>
      </c>
      <c r="E6495" t="s">
        <v>23752</v>
      </c>
      <c r="F6495" t="s">
        <v>30900</v>
      </c>
      <c r="G6495" t="s">
        <v>30907</v>
      </c>
      <c r="H6495" t="s">
        <v>30915</v>
      </c>
      <c r="I6495" t="s">
        <v>30919</v>
      </c>
      <c r="J6495" t="s">
        <v>31070</v>
      </c>
      <c r="K6495" t="s">
        <v>40286</v>
      </c>
      <c r="M6495" t="s">
        <v>40594</v>
      </c>
      <c r="N6495" t="s">
        <v>44759</v>
      </c>
      <c r="O6495" t="s">
        <v>44760</v>
      </c>
      <c r="P6495">
        <v>0</v>
      </c>
      <c r="Q6495">
        <v>1</v>
      </c>
      <c r="R6495" t="s">
        <v>44767</v>
      </c>
      <c r="S6495" t="s">
        <v>44954</v>
      </c>
      <c r="T6495" t="s">
        <v>46379</v>
      </c>
      <c r="U6495" t="s">
        <v>52362</v>
      </c>
      <c r="W6495" t="s">
        <v>40594</v>
      </c>
      <c r="X6495" t="s">
        <v>44777</v>
      </c>
    </row>
    <row r="6496" spans="1:24">
      <c r="A6496">
        <f>HYPERLINK("https://www.philgeps.gov.ph/GEPSNONPILOT/Tender/SplashBidNoticeAbstractUI.aspx?menuIndex=3&amp;refID=7120199&amp;Result=3","7120199")</f>
        <v>0</v>
      </c>
      <c r="B6496" t="s">
        <v>48</v>
      </c>
      <c r="C6496" t="s">
        <v>9905</v>
      </c>
      <c r="D6496" t="s">
        <v>17971</v>
      </c>
      <c r="E6496" t="s">
        <v>23753</v>
      </c>
      <c r="F6496" t="s">
        <v>30900</v>
      </c>
      <c r="G6496" t="s">
        <v>30907</v>
      </c>
      <c r="H6496" t="s">
        <v>30917</v>
      </c>
      <c r="I6496" t="s">
        <v>30933</v>
      </c>
      <c r="J6496" t="s">
        <v>31096</v>
      </c>
      <c r="K6496" t="s">
        <v>40286</v>
      </c>
      <c r="M6496" t="s">
        <v>40594</v>
      </c>
      <c r="N6496" t="s">
        <v>44759</v>
      </c>
      <c r="O6496" t="s">
        <v>44760</v>
      </c>
      <c r="P6496">
        <v>0</v>
      </c>
      <c r="Q6496">
        <v>0</v>
      </c>
      <c r="R6496" t="s">
        <v>44767</v>
      </c>
      <c r="S6496" t="s">
        <v>44954</v>
      </c>
      <c r="T6496" t="s">
        <v>46379</v>
      </c>
      <c r="U6496" t="s">
        <v>52363</v>
      </c>
      <c r="W6496" t="s">
        <v>40594</v>
      </c>
      <c r="X6496" t="s">
        <v>44777</v>
      </c>
    </row>
    <row r="6497" spans="1:24">
      <c r="A6497">
        <f>HYPERLINK("https://www.philgeps.gov.ph/GEPSNONPILOT/Tender/SplashBidNoticeAbstractUI.aspx?menuIndex=3&amp;refID=7148103&amp;Result=3","7148103")</f>
        <v>0</v>
      </c>
      <c r="B6497" t="s">
        <v>1399</v>
      </c>
      <c r="C6497" t="s">
        <v>9906</v>
      </c>
      <c r="D6497" t="s">
        <v>18017</v>
      </c>
      <c r="E6497" t="s">
        <v>23754</v>
      </c>
      <c r="F6497" t="s">
        <v>30900</v>
      </c>
      <c r="G6497" t="s">
        <v>30906</v>
      </c>
      <c r="H6497" t="s">
        <v>30916</v>
      </c>
      <c r="I6497" t="s">
        <v>8123</v>
      </c>
      <c r="J6497" t="s">
        <v>35237</v>
      </c>
      <c r="K6497" t="s">
        <v>40287</v>
      </c>
      <c r="M6497" t="s">
        <v>42358</v>
      </c>
      <c r="N6497" t="s">
        <v>44759</v>
      </c>
      <c r="O6497" t="s">
        <v>44760</v>
      </c>
      <c r="P6497">
        <v>0</v>
      </c>
      <c r="Q6497">
        <v>0</v>
      </c>
      <c r="R6497" t="s">
        <v>44766</v>
      </c>
      <c r="S6497" t="s">
        <v>44902</v>
      </c>
      <c r="T6497" t="s">
        <v>46418</v>
      </c>
      <c r="U6497" t="s">
        <v>52364</v>
      </c>
      <c r="W6497" t="s">
        <v>42358</v>
      </c>
      <c r="X6497" t="s">
        <v>44767</v>
      </c>
    </row>
    <row r="6498" spans="1:24">
      <c r="A6498">
        <f>HYPERLINK("https://www.philgeps.gov.ph/GEPSNONPILOT/Tender/SplashBidNoticeAbstractUI.aspx?menuIndex=3&amp;refID=7131762&amp;Result=3","7131762")</f>
        <v>0</v>
      </c>
      <c r="B6498" t="s">
        <v>2295</v>
      </c>
      <c r="C6498" t="s">
        <v>9907</v>
      </c>
      <c r="D6498" t="s">
        <v>17953</v>
      </c>
      <c r="E6498" t="s">
        <v>23755</v>
      </c>
      <c r="F6498" t="s">
        <v>30900</v>
      </c>
      <c r="G6498" t="s">
        <v>30909</v>
      </c>
      <c r="H6498" t="s">
        <v>30916</v>
      </c>
      <c r="I6498" t="s">
        <v>30988</v>
      </c>
      <c r="J6498" t="s">
        <v>35238</v>
      </c>
      <c r="K6498" t="s">
        <v>40286</v>
      </c>
      <c r="M6498" t="s">
        <v>43010</v>
      </c>
      <c r="N6498" t="s">
        <v>44759</v>
      </c>
      <c r="O6498" t="s">
        <v>44760</v>
      </c>
      <c r="P6498">
        <v>0</v>
      </c>
      <c r="Q6498">
        <v>0</v>
      </c>
      <c r="R6498" t="s">
        <v>44767</v>
      </c>
      <c r="S6498" t="s">
        <v>44954</v>
      </c>
      <c r="T6498" t="s">
        <v>46623</v>
      </c>
      <c r="U6498" t="s">
        <v>52365</v>
      </c>
      <c r="W6498" t="s">
        <v>43010</v>
      </c>
      <c r="X6498" t="s">
        <v>44774</v>
      </c>
    </row>
    <row r="6499" spans="1:24">
      <c r="A6499">
        <f>HYPERLINK("https://www.philgeps.gov.ph/GEPSNONPILOT/Tender/SplashBidNoticeAbstractUI.aspx?menuIndex=3&amp;refID=7131671&amp;Result=3","7131671")</f>
        <v>0</v>
      </c>
      <c r="B6499" t="s">
        <v>2295</v>
      </c>
      <c r="C6499" t="s">
        <v>9908</v>
      </c>
      <c r="D6499" t="s">
        <v>17953</v>
      </c>
      <c r="E6499" t="s">
        <v>18788</v>
      </c>
      <c r="F6499" t="s">
        <v>30900</v>
      </c>
      <c r="G6499" t="s">
        <v>30908</v>
      </c>
      <c r="H6499" t="s">
        <v>30916</v>
      </c>
      <c r="I6499" t="s">
        <v>30939</v>
      </c>
      <c r="J6499" t="s">
        <v>31686</v>
      </c>
      <c r="K6499" t="s">
        <v>40286</v>
      </c>
      <c r="M6499" t="s">
        <v>43010</v>
      </c>
      <c r="N6499" t="s">
        <v>44759</v>
      </c>
      <c r="O6499" t="s">
        <v>44760</v>
      </c>
      <c r="P6499">
        <v>0</v>
      </c>
      <c r="Q6499">
        <v>0</v>
      </c>
      <c r="R6499" t="s">
        <v>44767</v>
      </c>
      <c r="S6499" t="s">
        <v>44954</v>
      </c>
      <c r="T6499" t="s">
        <v>46623</v>
      </c>
      <c r="U6499" t="s">
        <v>52366</v>
      </c>
      <c r="W6499" t="s">
        <v>43010</v>
      </c>
      <c r="X6499" t="s">
        <v>44774</v>
      </c>
    </row>
    <row r="6500" spans="1:24">
      <c r="A6500">
        <f>HYPERLINK("https://www.philgeps.gov.ph/GEPSNONPILOT/Tender/SplashBidNoticeAbstractUI.aspx?menuIndex=3&amp;refID=7131719&amp;Result=3","7131719")</f>
        <v>0</v>
      </c>
      <c r="B6500" t="s">
        <v>2295</v>
      </c>
      <c r="C6500" t="s">
        <v>9907</v>
      </c>
      <c r="D6500" t="s">
        <v>17953</v>
      </c>
      <c r="E6500" t="s">
        <v>23756</v>
      </c>
      <c r="F6500" t="s">
        <v>30900</v>
      </c>
      <c r="G6500" t="s">
        <v>30908</v>
      </c>
      <c r="H6500" t="s">
        <v>30916</v>
      </c>
      <c r="I6500" t="s">
        <v>30988</v>
      </c>
      <c r="J6500" t="s">
        <v>31271</v>
      </c>
      <c r="K6500" t="s">
        <v>40286</v>
      </c>
      <c r="M6500" t="s">
        <v>43010</v>
      </c>
      <c r="N6500" t="s">
        <v>44759</v>
      </c>
      <c r="O6500" t="s">
        <v>44760</v>
      </c>
      <c r="P6500">
        <v>0</v>
      </c>
      <c r="Q6500">
        <v>0</v>
      </c>
      <c r="R6500" t="s">
        <v>44767</v>
      </c>
      <c r="S6500" t="s">
        <v>44954</v>
      </c>
      <c r="T6500" t="s">
        <v>46623</v>
      </c>
      <c r="U6500" t="s">
        <v>52367</v>
      </c>
      <c r="W6500" t="s">
        <v>43010</v>
      </c>
      <c r="X6500" t="s">
        <v>44774</v>
      </c>
    </row>
    <row r="6501" spans="1:24">
      <c r="A6501">
        <f>HYPERLINK("https://www.philgeps.gov.ph/GEPSNONPILOT/Tender/SplashBidNoticeAbstractUI.aspx?menuIndex=3&amp;refID=7136948&amp;Result=3","7136948")</f>
        <v>0</v>
      </c>
      <c r="B6501" t="s">
        <v>2296</v>
      </c>
      <c r="C6501" t="s">
        <v>9909</v>
      </c>
      <c r="D6501" t="s">
        <v>17959</v>
      </c>
      <c r="E6501" t="s">
        <v>23757</v>
      </c>
      <c r="F6501" t="s">
        <v>30904</v>
      </c>
      <c r="G6501" t="s">
        <v>30907</v>
      </c>
      <c r="H6501" t="s">
        <v>30916</v>
      </c>
      <c r="I6501" t="s">
        <v>6834</v>
      </c>
      <c r="J6501" t="s">
        <v>35239</v>
      </c>
      <c r="K6501" t="s">
        <v>40294</v>
      </c>
      <c r="M6501" t="s">
        <v>43011</v>
      </c>
      <c r="N6501" t="s">
        <v>44759</v>
      </c>
      <c r="O6501" t="s">
        <v>44760</v>
      </c>
      <c r="P6501">
        <v>0</v>
      </c>
      <c r="Q6501">
        <v>3</v>
      </c>
      <c r="R6501" t="s">
        <v>44767</v>
      </c>
      <c r="S6501" t="s">
        <v>44954</v>
      </c>
      <c r="T6501" t="s">
        <v>46503</v>
      </c>
      <c r="U6501" t="s">
        <v>52368</v>
      </c>
      <c r="W6501" t="s">
        <v>43011</v>
      </c>
      <c r="X6501" t="s">
        <v>44770</v>
      </c>
    </row>
    <row r="6502" spans="1:24">
      <c r="A6502">
        <f>HYPERLINK("https://www.philgeps.gov.ph/GEPSNONPILOT/Tender/SplashBidNoticeAbstractUI.aspx?menuIndex=3&amp;refID=7135683&amp;Result=3","7135683")</f>
        <v>0</v>
      </c>
      <c r="B6502" t="s">
        <v>2297</v>
      </c>
      <c r="C6502" t="s">
        <v>9910</v>
      </c>
      <c r="E6502" t="s">
        <v>23758</v>
      </c>
      <c r="F6502" t="s">
        <v>30900</v>
      </c>
      <c r="G6502" t="s">
        <v>30907</v>
      </c>
      <c r="H6502" t="s">
        <v>30916</v>
      </c>
      <c r="I6502" t="s">
        <v>8123</v>
      </c>
      <c r="J6502" t="s">
        <v>35240</v>
      </c>
      <c r="K6502" t="s">
        <v>40286</v>
      </c>
      <c r="M6502" t="s">
        <v>43012</v>
      </c>
      <c r="N6502" t="s">
        <v>44759</v>
      </c>
      <c r="O6502" t="s">
        <v>44760</v>
      </c>
      <c r="P6502">
        <v>0</v>
      </c>
      <c r="Q6502">
        <v>4</v>
      </c>
      <c r="R6502" t="s">
        <v>44767</v>
      </c>
      <c r="S6502" t="s">
        <v>44954</v>
      </c>
      <c r="T6502" t="s">
        <v>46413</v>
      </c>
      <c r="U6502" t="s">
        <v>52369</v>
      </c>
      <c r="W6502" t="s">
        <v>43012</v>
      </c>
      <c r="X6502" t="s">
        <v>44772</v>
      </c>
    </row>
    <row r="6503" spans="1:24">
      <c r="A6503">
        <f>HYPERLINK("https://www.philgeps.gov.ph/GEPSNONPILOT/Tender/SplashBidNoticeAbstractUI.aspx?menuIndex=3&amp;refID=7136875&amp;Result=3","7136875")</f>
        <v>0</v>
      </c>
      <c r="B6503" t="s">
        <v>2298</v>
      </c>
      <c r="C6503" t="s">
        <v>9911</v>
      </c>
      <c r="D6503" t="s">
        <v>17961</v>
      </c>
      <c r="E6503" t="s">
        <v>23759</v>
      </c>
      <c r="F6503" t="s">
        <v>30900</v>
      </c>
      <c r="G6503" t="s">
        <v>30907</v>
      </c>
      <c r="H6503" t="s">
        <v>30916</v>
      </c>
      <c r="I6503" t="s">
        <v>6953</v>
      </c>
      <c r="J6503" t="s">
        <v>35241</v>
      </c>
      <c r="K6503" t="s">
        <v>40283</v>
      </c>
      <c r="M6503" t="s">
        <v>43013</v>
      </c>
      <c r="N6503" t="s">
        <v>44759</v>
      </c>
      <c r="O6503" t="s">
        <v>44760</v>
      </c>
      <c r="P6503">
        <v>0</v>
      </c>
      <c r="Q6503">
        <v>2</v>
      </c>
      <c r="R6503" t="s">
        <v>44767</v>
      </c>
      <c r="S6503" t="s">
        <v>44954</v>
      </c>
      <c r="T6503" t="s">
        <v>46531</v>
      </c>
      <c r="U6503" t="s">
        <v>52370</v>
      </c>
      <c r="W6503" t="s">
        <v>43013</v>
      </c>
      <c r="X6503" t="s">
        <v>44770</v>
      </c>
    </row>
    <row r="6504" spans="1:24">
      <c r="A6504">
        <f>HYPERLINK("https://www.philgeps.gov.ph/GEPSNONPILOT/Tender/SplashBidNoticeAbstractUI.aspx?menuIndex=3&amp;refID=7136663&amp;Result=3","7136663")</f>
        <v>0</v>
      </c>
      <c r="B6504" t="s">
        <v>2299</v>
      </c>
      <c r="C6504" t="s">
        <v>9912</v>
      </c>
      <c r="D6504" t="s">
        <v>17998</v>
      </c>
      <c r="E6504" t="s">
        <v>23760</v>
      </c>
      <c r="F6504" t="s">
        <v>30900</v>
      </c>
      <c r="G6504" t="s">
        <v>30907</v>
      </c>
      <c r="H6504" t="s">
        <v>30917</v>
      </c>
      <c r="I6504" t="s">
        <v>30921</v>
      </c>
      <c r="J6504" t="s">
        <v>31495</v>
      </c>
      <c r="K6504" t="s">
        <v>40287</v>
      </c>
      <c r="M6504" t="s">
        <v>43014</v>
      </c>
      <c r="N6504" t="s">
        <v>44759</v>
      </c>
      <c r="O6504" t="s">
        <v>44760</v>
      </c>
      <c r="P6504">
        <v>0</v>
      </c>
      <c r="Q6504">
        <v>1</v>
      </c>
      <c r="R6504" t="s">
        <v>44767</v>
      </c>
      <c r="S6504" t="s">
        <v>44954</v>
      </c>
      <c r="T6504" t="s">
        <v>46548</v>
      </c>
      <c r="U6504" t="s">
        <v>52371</v>
      </c>
      <c r="W6504" t="s">
        <v>43014</v>
      </c>
      <c r="X6504" t="s">
        <v>44770</v>
      </c>
    </row>
    <row r="6505" spans="1:24">
      <c r="A6505">
        <f>HYPERLINK("https://www.philgeps.gov.ph/GEPSNONPILOT/Tender/SplashBidNoticeAbstractUI.aspx?menuIndex=3&amp;refID=7136489&amp;Result=3","7136489")</f>
        <v>0</v>
      </c>
      <c r="B6505" t="s">
        <v>2300</v>
      </c>
      <c r="C6505" t="s">
        <v>9913</v>
      </c>
      <c r="D6505" t="s">
        <v>17974</v>
      </c>
      <c r="E6505" t="s">
        <v>23761</v>
      </c>
      <c r="F6505" t="s">
        <v>30900</v>
      </c>
      <c r="G6505" t="s">
        <v>30907</v>
      </c>
      <c r="H6505" t="s">
        <v>30915</v>
      </c>
      <c r="I6505" t="s">
        <v>30919</v>
      </c>
      <c r="J6505" t="s">
        <v>31101</v>
      </c>
      <c r="K6505" t="s">
        <v>40292</v>
      </c>
      <c r="L6505" t="s">
        <v>2300</v>
      </c>
      <c r="M6505" t="s">
        <v>43015</v>
      </c>
      <c r="N6505" t="s">
        <v>44759</v>
      </c>
      <c r="O6505" t="s">
        <v>44760</v>
      </c>
      <c r="P6505">
        <v>0</v>
      </c>
      <c r="Q6505">
        <v>1</v>
      </c>
      <c r="R6505" t="s">
        <v>44767</v>
      </c>
      <c r="S6505" t="s">
        <v>44954</v>
      </c>
      <c r="T6505" t="s">
        <v>46404</v>
      </c>
      <c r="U6505" t="s">
        <v>52372</v>
      </c>
      <c r="V6505" t="s">
        <v>59827</v>
      </c>
      <c r="W6505" t="s">
        <v>43015</v>
      </c>
      <c r="X6505" t="s">
        <v>44770</v>
      </c>
    </row>
    <row r="6506" spans="1:24">
      <c r="A6506">
        <f>HYPERLINK("https://www.philgeps.gov.ph/GEPSNONPILOT/Tender/SplashBidNoticeAbstractUI.aspx?menuIndex=3&amp;refID=7136294&amp;Result=3","7136294")</f>
        <v>0</v>
      </c>
      <c r="B6506" t="s">
        <v>2298</v>
      </c>
      <c r="C6506" t="s">
        <v>9914</v>
      </c>
      <c r="D6506" t="s">
        <v>17961</v>
      </c>
      <c r="E6506" t="s">
        <v>20968</v>
      </c>
      <c r="F6506" t="s">
        <v>30900</v>
      </c>
      <c r="G6506" t="s">
        <v>30907</v>
      </c>
      <c r="H6506" t="s">
        <v>30916</v>
      </c>
      <c r="I6506" t="s">
        <v>30921</v>
      </c>
      <c r="J6506" t="s">
        <v>35242</v>
      </c>
      <c r="K6506" t="s">
        <v>40283</v>
      </c>
      <c r="M6506" t="s">
        <v>43013</v>
      </c>
      <c r="N6506" t="s">
        <v>44759</v>
      </c>
      <c r="O6506" t="s">
        <v>44760</v>
      </c>
      <c r="P6506">
        <v>0</v>
      </c>
      <c r="Q6506">
        <v>3</v>
      </c>
      <c r="R6506" t="s">
        <v>44767</v>
      </c>
      <c r="S6506" t="s">
        <v>44954</v>
      </c>
      <c r="T6506" t="s">
        <v>46531</v>
      </c>
      <c r="U6506" t="s">
        <v>52373</v>
      </c>
      <c r="W6506" t="s">
        <v>43013</v>
      </c>
      <c r="X6506" t="s">
        <v>44770</v>
      </c>
    </row>
    <row r="6507" spans="1:24">
      <c r="A6507">
        <f>HYPERLINK("https://www.philgeps.gov.ph/GEPSNONPILOT/Tender/SplashBidNoticeAbstractUI.aspx?menuIndex=3&amp;refID=7137250&amp;Result=3","7137250")</f>
        <v>0</v>
      </c>
      <c r="B6507" t="s">
        <v>1185</v>
      </c>
      <c r="C6507" t="s">
        <v>9915</v>
      </c>
      <c r="D6507" t="s">
        <v>18011</v>
      </c>
      <c r="E6507" t="s">
        <v>23762</v>
      </c>
      <c r="F6507" t="s">
        <v>30900</v>
      </c>
      <c r="G6507" t="s">
        <v>30907</v>
      </c>
      <c r="H6507" t="s">
        <v>30915</v>
      </c>
      <c r="I6507" t="s">
        <v>30919</v>
      </c>
      <c r="J6507" t="s">
        <v>32324</v>
      </c>
      <c r="K6507" t="s">
        <v>40401</v>
      </c>
      <c r="M6507" t="s">
        <v>42286</v>
      </c>
      <c r="N6507" t="s">
        <v>44759</v>
      </c>
      <c r="O6507" t="s">
        <v>44760</v>
      </c>
      <c r="P6507">
        <v>0</v>
      </c>
      <c r="Q6507">
        <v>0</v>
      </c>
      <c r="R6507" t="s">
        <v>44767</v>
      </c>
      <c r="S6507" t="s">
        <v>44954</v>
      </c>
      <c r="T6507" t="s">
        <v>46455</v>
      </c>
      <c r="U6507" t="s">
        <v>52374</v>
      </c>
      <c r="V6507" t="s">
        <v>59828</v>
      </c>
      <c r="W6507" t="s">
        <v>42286</v>
      </c>
      <c r="X6507" t="s">
        <v>44770</v>
      </c>
    </row>
    <row r="6508" spans="1:24">
      <c r="A6508">
        <f>HYPERLINK("https://www.philgeps.gov.ph/GEPSNONPILOT/Tender/SplashBidNoticeAbstractUI.aspx?menuIndex=3&amp;refID=7131563&amp;Result=3","7131563")</f>
        <v>0</v>
      </c>
      <c r="B6508" t="s">
        <v>2301</v>
      </c>
      <c r="C6508" t="s">
        <v>9916</v>
      </c>
      <c r="D6508" t="s">
        <v>18004</v>
      </c>
      <c r="E6508" t="s">
        <v>23763</v>
      </c>
      <c r="F6508" t="s">
        <v>30900</v>
      </c>
      <c r="G6508" t="s">
        <v>30908</v>
      </c>
      <c r="H6508" t="s">
        <v>30916</v>
      </c>
      <c r="I6508" t="s">
        <v>30927</v>
      </c>
      <c r="J6508" t="s">
        <v>31284</v>
      </c>
      <c r="K6508" t="s">
        <v>40283</v>
      </c>
      <c r="M6508" t="s">
        <v>43016</v>
      </c>
      <c r="N6508" t="s">
        <v>44759</v>
      </c>
      <c r="O6508" t="s">
        <v>44760</v>
      </c>
      <c r="P6508">
        <v>0</v>
      </c>
      <c r="Q6508">
        <v>0</v>
      </c>
      <c r="R6508" t="s">
        <v>44767</v>
      </c>
      <c r="S6508" t="s">
        <v>44954</v>
      </c>
      <c r="T6508" t="s">
        <v>46533</v>
      </c>
      <c r="U6508" t="s">
        <v>52375</v>
      </c>
      <c r="W6508" t="s">
        <v>43016</v>
      </c>
      <c r="X6508" t="s">
        <v>44774</v>
      </c>
    </row>
    <row r="6509" spans="1:24">
      <c r="A6509">
        <f>HYPERLINK("https://www.philgeps.gov.ph/GEPSNONPILOT/Tender/SplashBidNoticeAbstractUI.aspx?menuIndex=3&amp;refID=7136244&amp;Result=3","7136244")</f>
        <v>0</v>
      </c>
      <c r="B6509" t="s">
        <v>2298</v>
      </c>
      <c r="C6509" t="s">
        <v>9917</v>
      </c>
      <c r="D6509" t="s">
        <v>17961</v>
      </c>
      <c r="E6509" t="s">
        <v>23764</v>
      </c>
      <c r="F6509" t="s">
        <v>30900</v>
      </c>
      <c r="G6509" t="s">
        <v>30907</v>
      </c>
      <c r="H6509" t="s">
        <v>30916</v>
      </c>
      <c r="I6509" t="s">
        <v>8123</v>
      </c>
      <c r="J6509" t="s">
        <v>35243</v>
      </c>
      <c r="K6509" t="s">
        <v>40283</v>
      </c>
      <c r="M6509" t="s">
        <v>43013</v>
      </c>
      <c r="N6509" t="s">
        <v>44759</v>
      </c>
      <c r="O6509" t="s">
        <v>44760</v>
      </c>
      <c r="P6509">
        <v>0</v>
      </c>
      <c r="Q6509">
        <v>2</v>
      </c>
      <c r="R6509" t="s">
        <v>44767</v>
      </c>
      <c r="S6509" t="s">
        <v>44954</v>
      </c>
      <c r="T6509" t="s">
        <v>46531</v>
      </c>
      <c r="U6509" t="s">
        <v>52376</v>
      </c>
      <c r="W6509" t="s">
        <v>43013</v>
      </c>
      <c r="X6509" t="s">
        <v>44770</v>
      </c>
    </row>
    <row r="6510" spans="1:24">
      <c r="A6510">
        <f>HYPERLINK("https://www.philgeps.gov.ph/GEPSNONPILOT/Tender/SplashBidNoticeAbstractUI.aspx?menuIndex=3&amp;refID=7136101&amp;Result=3","7136101")</f>
        <v>0</v>
      </c>
      <c r="B6510" t="s">
        <v>2298</v>
      </c>
      <c r="C6510" t="s">
        <v>9918</v>
      </c>
      <c r="D6510" t="s">
        <v>17961</v>
      </c>
      <c r="E6510" t="s">
        <v>23765</v>
      </c>
      <c r="F6510" t="s">
        <v>30900</v>
      </c>
      <c r="G6510" t="s">
        <v>30907</v>
      </c>
      <c r="H6510" t="s">
        <v>30916</v>
      </c>
      <c r="I6510" t="s">
        <v>6746</v>
      </c>
      <c r="J6510" t="s">
        <v>35244</v>
      </c>
      <c r="K6510" t="s">
        <v>40283</v>
      </c>
      <c r="M6510" t="s">
        <v>43013</v>
      </c>
      <c r="N6510" t="s">
        <v>44759</v>
      </c>
      <c r="O6510" t="s">
        <v>44760</v>
      </c>
      <c r="P6510">
        <v>0</v>
      </c>
      <c r="Q6510">
        <v>2</v>
      </c>
      <c r="R6510" t="s">
        <v>44767</v>
      </c>
      <c r="S6510" t="s">
        <v>44954</v>
      </c>
      <c r="T6510" t="s">
        <v>46531</v>
      </c>
      <c r="U6510" t="s">
        <v>52377</v>
      </c>
      <c r="W6510" t="s">
        <v>43013</v>
      </c>
      <c r="X6510" t="s">
        <v>44770</v>
      </c>
    </row>
    <row r="6511" spans="1:24">
      <c r="A6511">
        <f>HYPERLINK("https://www.philgeps.gov.ph/GEPSNONPILOT/Tender/SplashBidNoticeAbstractUI.aspx?menuIndex=3&amp;refID=7136772&amp;Result=3","7136772")</f>
        <v>0</v>
      </c>
      <c r="B6511" t="s">
        <v>2302</v>
      </c>
      <c r="C6511" t="s">
        <v>9919</v>
      </c>
      <c r="D6511" t="s">
        <v>17999</v>
      </c>
      <c r="E6511" t="s">
        <v>23766</v>
      </c>
      <c r="F6511" t="s">
        <v>30900</v>
      </c>
      <c r="G6511" t="s">
        <v>30908</v>
      </c>
      <c r="H6511" t="s">
        <v>30916</v>
      </c>
      <c r="I6511" t="s">
        <v>30924</v>
      </c>
      <c r="J6511" t="s">
        <v>32033</v>
      </c>
      <c r="K6511" t="s">
        <v>40283</v>
      </c>
      <c r="M6511" t="s">
        <v>43017</v>
      </c>
      <c r="N6511" t="s">
        <v>44759</v>
      </c>
      <c r="O6511" t="s">
        <v>44760</v>
      </c>
      <c r="P6511">
        <v>0</v>
      </c>
      <c r="Q6511">
        <v>1</v>
      </c>
      <c r="R6511" t="s">
        <v>44767</v>
      </c>
      <c r="S6511" t="s">
        <v>44954</v>
      </c>
      <c r="T6511" t="s">
        <v>46686</v>
      </c>
      <c r="U6511" t="s">
        <v>52378</v>
      </c>
      <c r="V6511" t="s">
        <v>59829</v>
      </c>
      <c r="W6511" t="s">
        <v>43017</v>
      </c>
      <c r="X6511" t="s">
        <v>44770</v>
      </c>
    </row>
    <row r="6512" spans="1:24">
      <c r="A6512">
        <f>HYPERLINK("https://www.philgeps.gov.ph/GEPSNONPILOT/Tender/SplashBidNoticeAbstractUI.aspx?menuIndex=3&amp;refID=7138752&amp;Result=3","7138752")</f>
        <v>0</v>
      </c>
      <c r="B6512" t="s">
        <v>138</v>
      </c>
      <c r="C6512" t="s">
        <v>9920</v>
      </c>
      <c r="D6512" t="s">
        <v>17965</v>
      </c>
      <c r="E6512" t="s">
        <v>23767</v>
      </c>
      <c r="F6512" t="s">
        <v>30900</v>
      </c>
      <c r="G6512" t="s">
        <v>30907</v>
      </c>
      <c r="H6512" t="s">
        <v>30915</v>
      </c>
      <c r="I6512" t="s">
        <v>30919</v>
      </c>
      <c r="J6512" t="s">
        <v>35245</v>
      </c>
      <c r="K6512" t="s">
        <v>40314</v>
      </c>
      <c r="M6512" t="s">
        <v>43018</v>
      </c>
      <c r="N6512" t="s">
        <v>44759</v>
      </c>
      <c r="O6512" t="s">
        <v>44760</v>
      </c>
      <c r="P6512">
        <v>0</v>
      </c>
      <c r="Q6512">
        <v>0</v>
      </c>
      <c r="R6512" t="s">
        <v>44767</v>
      </c>
      <c r="S6512" t="s">
        <v>44954</v>
      </c>
      <c r="T6512" t="s">
        <v>46403</v>
      </c>
      <c r="U6512" t="s">
        <v>52379</v>
      </c>
      <c r="W6512" t="s">
        <v>43018</v>
      </c>
      <c r="X6512" t="s">
        <v>44770</v>
      </c>
    </row>
    <row r="6513" spans="1:24">
      <c r="A6513">
        <f>HYPERLINK("https://www.philgeps.gov.ph/GEPSNONPILOT/Tender/SplashBidNoticeAbstractUI.aspx?menuIndex=3&amp;refID=7131521&amp;Result=3","7131521")</f>
        <v>0</v>
      </c>
      <c r="B6513" t="s">
        <v>1188</v>
      </c>
      <c r="C6513" t="s">
        <v>9921</v>
      </c>
      <c r="D6513" t="s">
        <v>18019</v>
      </c>
      <c r="E6513" t="s">
        <v>23768</v>
      </c>
      <c r="F6513" t="s">
        <v>30900</v>
      </c>
      <c r="G6513" t="s">
        <v>30907</v>
      </c>
      <c r="H6513" t="s">
        <v>30916</v>
      </c>
      <c r="I6513" t="s">
        <v>30922</v>
      </c>
      <c r="J6513" t="s">
        <v>35246</v>
      </c>
      <c r="K6513" t="s">
        <v>40280</v>
      </c>
      <c r="M6513" t="s">
        <v>43019</v>
      </c>
      <c r="N6513" t="s">
        <v>44759</v>
      </c>
      <c r="O6513" t="s">
        <v>44760</v>
      </c>
      <c r="P6513">
        <v>0</v>
      </c>
      <c r="Q6513">
        <v>7</v>
      </c>
      <c r="R6513" t="s">
        <v>44767</v>
      </c>
      <c r="S6513" t="s">
        <v>44954</v>
      </c>
      <c r="T6513" t="s">
        <v>46606</v>
      </c>
      <c r="U6513" t="s">
        <v>52380</v>
      </c>
      <c r="W6513" t="s">
        <v>43019</v>
      </c>
      <c r="X6513" t="s">
        <v>44774</v>
      </c>
    </row>
    <row r="6514" spans="1:24">
      <c r="A6514">
        <f>HYPERLINK("https://www.philgeps.gov.ph/GEPSNONPILOT/Tender/SplashBidNoticeAbstractUI.aspx?menuIndex=3&amp;refID=7137895&amp;Result=3","7137895")</f>
        <v>0</v>
      </c>
      <c r="B6514" t="s">
        <v>1417</v>
      </c>
      <c r="C6514" t="s">
        <v>9922</v>
      </c>
      <c r="D6514" t="s">
        <v>17996</v>
      </c>
      <c r="E6514" t="s">
        <v>23769</v>
      </c>
      <c r="F6514" t="s">
        <v>30900</v>
      </c>
      <c r="G6514" t="s">
        <v>30907</v>
      </c>
      <c r="H6514" t="s">
        <v>30916</v>
      </c>
      <c r="I6514" t="s">
        <v>30923</v>
      </c>
      <c r="J6514" t="s">
        <v>35247</v>
      </c>
      <c r="K6514" t="s">
        <v>40289</v>
      </c>
      <c r="M6514" t="s">
        <v>43020</v>
      </c>
      <c r="N6514" t="s">
        <v>44759</v>
      </c>
      <c r="O6514" t="s">
        <v>44760</v>
      </c>
      <c r="P6514">
        <v>0</v>
      </c>
      <c r="Q6514">
        <v>30</v>
      </c>
      <c r="R6514" t="s">
        <v>44767</v>
      </c>
      <c r="S6514" t="s">
        <v>44954</v>
      </c>
      <c r="T6514" t="s">
        <v>46450</v>
      </c>
      <c r="U6514" t="s">
        <v>52381</v>
      </c>
      <c r="W6514" t="s">
        <v>43020</v>
      </c>
      <c r="X6514" t="s">
        <v>44770</v>
      </c>
    </row>
    <row r="6515" spans="1:24">
      <c r="A6515">
        <f>HYPERLINK("https://www.philgeps.gov.ph/GEPSNONPILOT/Tender/SplashBidNoticeAbstractUI.aspx?menuIndex=3&amp;refID=7138736&amp;Result=3","7138736")</f>
        <v>0</v>
      </c>
      <c r="B6515" t="s">
        <v>138</v>
      </c>
      <c r="C6515" t="s">
        <v>9923</v>
      </c>
      <c r="D6515" t="s">
        <v>17965</v>
      </c>
      <c r="E6515" t="s">
        <v>23770</v>
      </c>
      <c r="F6515" t="s">
        <v>30900</v>
      </c>
      <c r="G6515" t="s">
        <v>30907</v>
      </c>
      <c r="H6515" t="s">
        <v>30915</v>
      </c>
      <c r="I6515" t="s">
        <v>30919</v>
      </c>
      <c r="J6515" t="s">
        <v>35248</v>
      </c>
      <c r="K6515" t="s">
        <v>40314</v>
      </c>
      <c r="M6515" t="s">
        <v>43018</v>
      </c>
      <c r="N6515" t="s">
        <v>44759</v>
      </c>
      <c r="O6515" t="s">
        <v>44760</v>
      </c>
      <c r="P6515">
        <v>0</v>
      </c>
      <c r="Q6515">
        <v>0</v>
      </c>
      <c r="R6515" t="s">
        <v>44767</v>
      </c>
      <c r="S6515" t="s">
        <v>44954</v>
      </c>
      <c r="T6515" t="s">
        <v>46403</v>
      </c>
      <c r="U6515" t="s">
        <v>52382</v>
      </c>
      <c r="W6515" t="s">
        <v>43018</v>
      </c>
      <c r="X6515" t="s">
        <v>44770</v>
      </c>
    </row>
    <row r="6516" spans="1:24">
      <c r="A6516">
        <f>HYPERLINK("https://www.philgeps.gov.ph/GEPSNONPILOT/Tender/SplashBidNoticeAbstractUI.aspx?menuIndex=3&amp;refID=7136011&amp;Result=3","7136011")</f>
        <v>0</v>
      </c>
      <c r="B6516" t="s">
        <v>2243</v>
      </c>
      <c r="C6516" t="s">
        <v>9924</v>
      </c>
      <c r="D6516" t="s">
        <v>17980</v>
      </c>
      <c r="E6516" t="s">
        <v>23771</v>
      </c>
      <c r="F6516" t="s">
        <v>30900</v>
      </c>
      <c r="G6516" t="s">
        <v>30907</v>
      </c>
      <c r="H6516" t="s">
        <v>30916</v>
      </c>
      <c r="I6516" t="s">
        <v>30927</v>
      </c>
      <c r="J6516" t="s">
        <v>35249</v>
      </c>
      <c r="K6516" t="s">
        <v>40283</v>
      </c>
      <c r="M6516" t="s">
        <v>42953</v>
      </c>
      <c r="N6516" t="s">
        <v>44759</v>
      </c>
      <c r="O6516" t="s">
        <v>44760</v>
      </c>
      <c r="P6516">
        <v>0</v>
      </c>
      <c r="Q6516">
        <v>1</v>
      </c>
      <c r="R6516" t="s">
        <v>44767</v>
      </c>
      <c r="S6516" t="s">
        <v>44954</v>
      </c>
      <c r="T6516" t="s">
        <v>46755</v>
      </c>
      <c r="U6516" t="s">
        <v>52383</v>
      </c>
      <c r="W6516" t="s">
        <v>42953</v>
      </c>
      <c r="X6516" t="s">
        <v>44771</v>
      </c>
    </row>
    <row r="6517" spans="1:24">
      <c r="A6517">
        <f>HYPERLINK("https://www.philgeps.gov.ph/GEPSNONPILOT/Tender/SplashBidNoticeAbstractUI.aspx?menuIndex=3&amp;refID=7138610&amp;Result=3","7138610")</f>
        <v>0</v>
      </c>
      <c r="B6517" t="s">
        <v>1215</v>
      </c>
      <c r="C6517" t="s">
        <v>9925</v>
      </c>
      <c r="D6517" t="s">
        <v>17980</v>
      </c>
      <c r="E6517" t="s">
        <v>23772</v>
      </c>
      <c r="F6517" t="s">
        <v>30900</v>
      </c>
      <c r="G6517" t="s">
        <v>30907</v>
      </c>
      <c r="H6517" t="s">
        <v>30916</v>
      </c>
      <c r="I6517" t="s">
        <v>4545</v>
      </c>
      <c r="J6517" t="s">
        <v>35250</v>
      </c>
      <c r="K6517" t="s">
        <v>40293</v>
      </c>
      <c r="M6517" t="s">
        <v>41827</v>
      </c>
      <c r="N6517" t="s">
        <v>44759</v>
      </c>
      <c r="O6517" t="s">
        <v>44760</v>
      </c>
      <c r="P6517">
        <v>0</v>
      </c>
      <c r="Q6517">
        <v>1</v>
      </c>
      <c r="R6517" t="s">
        <v>44767</v>
      </c>
      <c r="S6517" t="s">
        <v>44954</v>
      </c>
      <c r="T6517" t="s">
        <v>46374</v>
      </c>
      <c r="U6517" t="s">
        <v>52384</v>
      </c>
      <c r="W6517" t="s">
        <v>41827</v>
      </c>
      <c r="X6517" t="s">
        <v>44770</v>
      </c>
    </row>
    <row r="6518" spans="1:24">
      <c r="A6518">
        <f>HYPERLINK("https://www.philgeps.gov.ph/GEPSNONPILOT/Tender/SplashBidNoticeAbstractUI.aspx?menuIndex=3&amp;refID=7137927&amp;Result=3","7137927")</f>
        <v>0</v>
      </c>
      <c r="B6518" t="s">
        <v>1417</v>
      </c>
      <c r="C6518" t="s">
        <v>9926</v>
      </c>
      <c r="D6518" t="s">
        <v>17996</v>
      </c>
      <c r="E6518" t="s">
        <v>23773</v>
      </c>
      <c r="F6518" t="s">
        <v>30900</v>
      </c>
      <c r="G6518" t="s">
        <v>30907</v>
      </c>
      <c r="H6518" t="s">
        <v>30916</v>
      </c>
      <c r="I6518" t="s">
        <v>8123</v>
      </c>
      <c r="J6518" t="s">
        <v>35251</v>
      </c>
      <c r="K6518" t="s">
        <v>40289</v>
      </c>
      <c r="M6518" t="s">
        <v>43020</v>
      </c>
      <c r="N6518" t="s">
        <v>44759</v>
      </c>
      <c r="O6518" t="s">
        <v>44760</v>
      </c>
      <c r="P6518">
        <v>0</v>
      </c>
      <c r="Q6518">
        <v>2</v>
      </c>
      <c r="R6518" t="s">
        <v>44767</v>
      </c>
      <c r="S6518" t="s">
        <v>44954</v>
      </c>
      <c r="T6518" t="s">
        <v>46450</v>
      </c>
      <c r="U6518" t="s">
        <v>52385</v>
      </c>
      <c r="W6518" t="s">
        <v>43020</v>
      </c>
      <c r="X6518" t="s">
        <v>44770</v>
      </c>
    </row>
    <row r="6519" spans="1:24">
      <c r="A6519">
        <f>HYPERLINK("https://www.philgeps.gov.ph/GEPSNONPILOT/Tender/SplashBidNoticeAbstractUI.aspx?menuIndex=3&amp;refID=7137410&amp;Result=3","7137410")</f>
        <v>0</v>
      </c>
      <c r="B6519" t="s">
        <v>2303</v>
      </c>
      <c r="C6519" t="s">
        <v>9927</v>
      </c>
      <c r="D6519" t="s">
        <v>17987</v>
      </c>
      <c r="E6519" t="s">
        <v>21093</v>
      </c>
      <c r="F6519" t="s">
        <v>30900</v>
      </c>
      <c r="G6519" t="s">
        <v>30907</v>
      </c>
      <c r="H6519" t="s">
        <v>30916</v>
      </c>
      <c r="I6519" t="s">
        <v>4050</v>
      </c>
      <c r="J6519" t="s">
        <v>35252</v>
      </c>
      <c r="K6519" t="s">
        <v>40286</v>
      </c>
      <c r="M6519" t="s">
        <v>43021</v>
      </c>
      <c r="N6519" t="s">
        <v>44759</v>
      </c>
      <c r="O6519" t="s">
        <v>44760</v>
      </c>
      <c r="P6519">
        <v>0</v>
      </c>
      <c r="Q6519">
        <v>0</v>
      </c>
      <c r="R6519" t="s">
        <v>44767</v>
      </c>
      <c r="S6519" t="s">
        <v>44954</v>
      </c>
      <c r="T6519" t="s">
        <v>46497</v>
      </c>
      <c r="U6519" t="s">
        <v>52386</v>
      </c>
      <c r="W6519" t="s">
        <v>43021</v>
      </c>
      <c r="X6519" t="s">
        <v>44770</v>
      </c>
    </row>
    <row r="6520" spans="1:24">
      <c r="A6520">
        <f>HYPERLINK("https://www.philgeps.gov.ph/GEPSNONPILOT/Tender/SplashBidNoticeAbstractUI.aspx?menuIndex=3&amp;refID=7138174&amp;Result=3","7138174")</f>
        <v>0</v>
      </c>
      <c r="B6520" t="s">
        <v>1973</v>
      </c>
      <c r="C6520" t="s">
        <v>9928</v>
      </c>
      <c r="D6520" t="s">
        <v>18012</v>
      </c>
      <c r="E6520" t="s">
        <v>23774</v>
      </c>
      <c r="F6520" t="s">
        <v>30900</v>
      </c>
      <c r="G6520" t="s">
        <v>30907</v>
      </c>
      <c r="H6520" t="s">
        <v>30916</v>
      </c>
      <c r="I6520" t="s">
        <v>30933</v>
      </c>
      <c r="J6520" t="s">
        <v>31183</v>
      </c>
      <c r="K6520" t="s">
        <v>40284</v>
      </c>
      <c r="M6520" t="s">
        <v>42661</v>
      </c>
      <c r="N6520" t="s">
        <v>44759</v>
      </c>
      <c r="O6520" t="s">
        <v>44760</v>
      </c>
      <c r="P6520">
        <v>0</v>
      </c>
      <c r="Q6520">
        <v>0</v>
      </c>
      <c r="R6520" t="s">
        <v>44767</v>
      </c>
      <c r="S6520" t="s">
        <v>44954</v>
      </c>
      <c r="T6520" t="s">
        <v>46443</v>
      </c>
      <c r="U6520" t="s">
        <v>52387</v>
      </c>
      <c r="W6520" t="s">
        <v>42661</v>
      </c>
      <c r="X6520" t="s">
        <v>44770</v>
      </c>
    </row>
    <row r="6521" spans="1:24">
      <c r="A6521">
        <f>HYPERLINK("https://www.philgeps.gov.ph/GEPSNONPILOT/Tender/SplashBidNoticeAbstractUI.aspx?menuIndex=3&amp;refID=7137954&amp;Result=3","7137954")</f>
        <v>0</v>
      </c>
      <c r="B6521" t="s">
        <v>2102</v>
      </c>
      <c r="C6521" t="s">
        <v>9929</v>
      </c>
      <c r="D6521" t="s">
        <v>18001</v>
      </c>
      <c r="E6521" t="s">
        <v>23775</v>
      </c>
      <c r="F6521" t="s">
        <v>30900</v>
      </c>
      <c r="G6521" t="s">
        <v>30907</v>
      </c>
      <c r="H6521" t="s">
        <v>30915</v>
      </c>
      <c r="I6521" t="s">
        <v>30919</v>
      </c>
      <c r="J6521" t="s">
        <v>32125</v>
      </c>
      <c r="K6521" t="s">
        <v>40301</v>
      </c>
      <c r="M6521" t="s">
        <v>42801</v>
      </c>
      <c r="N6521" t="s">
        <v>44759</v>
      </c>
      <c r="O6521" t="s">
        <v>44760</v>
      </c>
      <c r="P6521">
        <v>0</v>
      </c>
      <c r="Q6521">
        <v>1</v>
      </c>
      <c r="R6521" t="s">
        <v>44767</v>
      </c>
      <c r="S6521" t="s">
        <v>44954</v>
      </c>
      <c r="T6521" t="s">
        <v>46756</v>
      </c>
      <c r="U6521" t="s">
        <v>52388</v>
      </c>
      <c r="V6521" t="s">
        <v>59830</v>
      </c>
      <c r="W6521" t="s">
        <v>42801</v>
      </c>
      <c r="X6521" t="s">
        <v>44770</v>
      </c>
    </row>
    <row r="6522" spans="1:24">
      <c r="A6522">
        <f>HYPERLINK("https://www.philgeps.gov.ph/GEPSNONPILOT/Tender/SplashBidNoticeAbstractUI.aspx?menuIndex=3&amp;refID=7138772&amp;Result=3","7138772")</f>
        <v>0</v>
      </c>
      <c r="B6522" t="s">
        <v>138</v>
      </c>
      <c r="C6522" t="s">
        <v>9930</v>
      </c>
      <c r="D6522" t="s">
        <v>17965</v>
      </c>
      <c r="E6522" t="s">
        <v>23776</v>
      </c>
      <c r="F6522" t="s">
        <v>30900</v>
      </c>
      <c r="G6522" t="s">
        <v>30907</v>
      </c>
      <c r="H6522" t="s">
        <v>30915</v>
      </c>
      <c r="I6522" t="s">
        <v>30919</v>
      </c>
      <c r="J6522" t="s">
        <v>35253</v>
      </c>
      <c r="K6522" t="s">
        <v>40286</v>
      </c>
      <c r="M6522" t="s">
        <v>43018</v>
      </c>
      <c r="N6522" t="s">
        <v>44759</v>
      </c>
      <c r="O6522" t="s">
        <v>44760</v>
      </c>
      <c r="P6522">
        <v>0</v>
      </c>
      <c r="Q6522">
        <v>0</v>
      </c>
      <c r="R6522" t="s">
        <v>44767</v>
      </c>
      <c r="S6522" t="s">
        <v>44954</v>
      </c>
      <c r="T6522" t="s">
        <v>46403</v>
      </c>
      <c r="U6522" t="s">
        <v>52389</v>
      </c>
      <c r="W6522" t="s">
        <v>43018</v>
      </c>
      <c r="X6522" t="s">
        <v>44770</v>
      </c>
    </row>
    <row r="6523" spans="1:24">
      <c r="A6523">
        <f>HYPERLINK("https://www.philgeps.gov.ph/GEPSNONPILOT/Tender/SplashBidNoticeAbstractUI.aspx?menuIndex=3&amp;refID=7137310&amp;Result=3","7137310")</f>
        <v>0</v>
      </c>
      <c r="B6523" t="s">
        <v>2302</v>
      </c>
      <c r="C6523" t="s">
        <v>9931</v>
      </c>
      <c r="D6523" t="s">
        <v>17999</v>
      </c>
      <c r="E6523" t="s">
        <v>23777</v>
      </c>
      <c r="F6523" t="s">
        <v>30900</v>
      </c>
      <c r="G6523" t="s">
        <v>30908</v>
      </c>
      <c r="H6523" t="s">
        <v>30916</v>
      </c>
      <c r="I6523" t="s">
        <v>30924</v>
      </c>
      <c r="J6523" t="s">
        <v>35254</v>
      </c>
      <c r="K6523" t="s">
        <v>40284</v>
      </c>
      <c r="M6523" t="s">
        <v>43017</v>
      </c>
      <c r="N6523" t="s">
        <v>44759</v>
      </c>
      <c r="O6523" t="s">
        <v>44760</v>
      </c>
      <c r="P6523">
        <v>0</v>
      </c>
      <c r="Q6523">
        <v>2</v>
      </c>
      <c r="R6523" t="s">
        <v>44767</v>
      </c>
      <c r="S6523" t="s">
        <v>44954</v>
      </c>
      <c r="T6523" t="s">
        <v>46686</v>
      </c>
      <c r="U6523" t="s">
        <v>52390</v>
      </c>
      <c r="V6523" t="s">
        <v>59831</v>
      </c>
      <c r="W6523" t="s">
        <v>43017</v>
      </c>
      <c r="X6523" t="s">
        <v>44770</v>
      </c>
    </row>
    <row r="6524" spans="1:24">
      <c r="A6524">
        <f>HYPERLINK("https://www.philgeps.gov.ph/GEPSNONPILOT/Tender/SplashBidNoticeAbstractUI.aspx?menuIndex=3&amp;refID=7139092&amp;Result=3","7139092")</f>
        <v>0</v>
      </c>
      <c r="B6524" t="s">
        <v>39</v>
      </c>
      <c r="C6524" t="s">
        <v>9932</v>
      </c>
      <c r="E6524" t="s">
        <v>23778</v>
      </c>
      <c r="F6524" t="s">
        <v>30900</v>
      </c>
      <c r="G6524" t="s">
        <v>30907</v>
      </c>
      <c r="H6524" t="s">
        <v>30916</v>
      </c>
      <c r="I6524" t="s">
        <v>30923</v>
      </c>
      <c r="J6524" t="s">
        <v>32596</v>
      </c>
      <c r="K6524" t="s">
        <v>40289</v>
      </c>
      <c r="M6524" t="s">
        <v>40585</v>
      </c>
      <c r="N6524" t="s">
        <v>44759</v>
      </c>
      <c r="O6524" t="s">
        <v>44760</v>
      </c>
      <c r="P6524">
        <v>0</v>
      </c>
      <c r="Q6524">
        <v>1</v>
      </c>
      <c r="R6524" t="s">
        <v>44767</v>
      </c>
      <c r="S6524" t="s">
        <v>44954</v>
      </c>
      <c r="T6524" t="s">
        <v>46606</v>
      </c>
      <c r="U6524" t="s">
        <v>52391</v>
      </c>
      <c r="W6524" t="s">
        <v>40585</v>
      </c>
      <c r="X6524" t="s">
        <v>44769</v>
      </c>
    </row>
    <row r="6525" spans="1:24">
      <c r="A6525">
        <f>HYPERLINK("https://www.philgeps.gov.ph/GEPSNONPILOT/Tender/SplashBidNoticeAbstractUI.aspx?menuIndex=3&amp;refID=7139054&amp;Result=3","7139054")</f>
        <v>0</v>
      </c>
      <c r="B6525" t="s">
        <v>39</v>
      </c>
      <c r="C6525" t="s">
        <v>9933</v>
      </c>
      <c r="E6525" t="s">
        <v>23779</v>
      </c>
      <c r="F6525" t="s">
        <v>30900</v>
      </c>
      <c r="G6525" t="s">
        <v>30907</v>
      </c>
      <c r="H6525" t="s">
        <v>30916</v>
      </c>
      <c r="I6525" t="s">
        <v>30923</v>
      </c>
      <c r="J6525" t="s">
        <v>35255</v>
      </c>
      <c r="K6525" t="s">
        <v>40289</v>
      </c>
      <c r="M6525" t="s">
        <v>40585</v>
      </c>
      <c r="N6525" t="s">
        <v>44759</v>
      </c>
      <c r="O6525" t="s">
        <v>44760</v>
      </c>
      <c r="P6525">
        <v>0</v>
      </c>
      <c r="Q6525">
        <v>6</v>
      </c>
      <c r="R6525" t="s">
        <v>44767</v>
      </c>
      <c r="S6525" t="s">
        <v>44954</v>
      </c>
      <c r="T6525" t="s">
        <v>46606</v>
      </c>
      <c r="U6525" t="s">
        <v>52392</v>
      </c>
      <c r="W6525" t="s">
        <v>40585</v>
      </c>
      <c r="X6525" t="s">
        <v>44769</v>
      </c>
    </row>
    <row r="6526" spans="1:24">
      <c r="A6526">
        <f>HYPERLINK("https://www.philgeps.gov.ph/GEPSNONPILOT/Tender/SplashBidNoticeAbstractUI.aspx?menuIndex=3&amp;refID=7138965&amp;Result=3","7138965")</f>
        <v>0</v>
      </c>
      <c r="B6526" t="s">
        <v>1060</v>
      </c>
      <c r="C6526" t="s">
        <v>9934</v>
      </c>
      <c r="D6526" t="s">
        <v>17975</v>
      </c>
      <c r="E6526" t="s">
        <v>23780</v>
      </c>
      <c r="F6526" t="s">
        <v>30900</v>
      </c>
      <c r="G6526" t="s">
        <v>30907</v>
      </c>
      <c r="H6526" t="s">
        <v>30915</v>
      </c>
      <c r="I6526" t="s">
        <v>30919</v>
      </c>
      <c r="J6526" t="s">
        <v>35256</v>
      </c>
      <c r="K6526" t="s">
        <v>40426</v>
      </c>
      <c r="M6526" t="s">
        <v>41657</v>
      </c>
      <c r="N6526" t="s">
        <v>44759</v>
      </c>
      <c r="O6526" t="s">
        <v>44760</v>
      </c>
      <c r="P6526">
        <v>0</v>
      </c>
      <c r="Q6526">
        <v>0</v>
      </c>
      <c r="R6526" t="s">
        <v>44767</v>
      </c>
      <c r="S6526" t="s">
        <v>44954</v>
      </c>
      <c r="T6526" t="s">
        <v>46757</v>
      </c>
      <c r="U6526" t="s">
        <v>52393</v>
      </c>
      <c r="W6526" t="s">
        <v>41657</v>
      </c>
      <c r="X6526" t="s">
        <v>44769</v>
      </c>
    </row>
    <row r="6527" spans="1:24">
      <c r="A6527">
        <f>HYPERLINK("https://www.philgeps.gov.ph/GEPSNONPILOT/Tender/SplashBidNoticeAbstractUI.aspx?menuIndex=3&amp;refID=7138963&amp;Result=3","7138963")</f>
        <v>0</v>
      </c>
      <c r="B6527" t="s">
        <v>1060</v>
      </c>
      <c r="C6527" t="s">
        <v>9935</v>
      </c>
      <c r="D6527" t="s">
        <v>17975</v>
      </c>
      <c r="E6527" t="s">
        <v>23781</v>
      </c>
      <c r="F6527" t="s">
        <v>30900</v>
      </c>
      <c r="G6527" t="s">
        <v>30907</v>
      </c>
      <c r="H6527" t="s">
        <v>30916</v>
      </c>
      <c r="I6527" t="s">
        <v>6953</v>
      </c>
      <c r="J6527" t="s">
        <v>35257</v>
      </c>
      <c r="K6527" t="s">
        <v>40286</v>
      </c>
      <c r="M6527" t="s">
        <v>41657</v>
      </c>
      <c r="N6527" t="s">
        <v>44759</v>
      </c>
      <c r="O6527" t="s">
        <v>44760</v>
      </c>
      <c r="P6527">
        <v>0</v>
      </c>
      <c r="Q6527">
        <v>0</v>
      </c>
      <c r="R6527" t="s">
        <v>44767</v>
      </c>
      <c r="S6527" t="s">
        <v>44954</v>
      </c>
      <c r="T6527" t="s">
        <v>46757</v>
      </c>
      <c r="U6527" t="s">
        <v>48945</v>
      </c>
      <c r="W6527" t="s">
        <v>41657</v>
      </c>
      <c r="X6527" t="s">
        <v>44769</v>
      </c>
    </row>
    <row r="6528" spans="1:24">
      <c r="A6528">
        <f>HYPERLINK("https://www.philgeps.gov.ph/GEPSNONPILOT/Tender/SplashBidNoticeAbstractUI.aspx?menuIndex=3&amp;refID=7138826&amp;Result=3","7138826")</f>
        <v>0</v>
      </c>
      <c r="B6528" t="s">
        <v>138</v>
      </c>
      <c r="C6528" t="s">
        <v>9936</v>
      </c>
      <c r="D6528" t="s">
        <v>17965</v>
      </c>
      <c r="E6528" t="s">
        <v>23782</v>
      </c>
      <c r="F6528" t="s">
        <v>30900</v>
      </c>
      <c r="G6528" t="s">
        <v>30907</v>
      </c>
      <c r="H6528" t="s">
        <v>30915</v>
      </c>
      <c r="I6528" t="s">
        <v>30919</v>
      </c>
      <c r="J6528" t="s">
        <v>35258</v>
      </c>
      <c r="K6528" t="s">
        <v>40314</v>
      </c>
      <c r="M6528" t="s">
        <v>43018</v>
      </c>
      <c r="N6528" t="s">
        <v>44759</v>
      </c>
      <c r="O6528" t="s">
        <v>44760</v>
      </c>
      <c r="P6528">
        <v>0</v>
      </c>
      <c r="Q6528">
        <v>0</v>
      </c>
      <c r="R6528" t="s">
        <v>44767</v>
      </c>
      <c r="S6528" t="s">
        <v>44954</v>
      </c>
      <c r="T6528" t="s">
        <v>46403</v>
      </c>
      <c r="U6528" t="s">
        <v>52394</v>
      </c>
      <c r="W6528" t="s">
        <v>43018</v>
      </c>
      <c r="X6528" t="s">
        <v>44770</v>
      </c>
    </row>
    <row r="6529" spans="1:24">
      <c r="A6529">
        <f>HYPERLINK("https://www.philgeps.gov.ph/GEPSNONPILOT/Tender/SplashBidNoticeAbstractUI.aspx?menuIndex=3&amp;refID=7138805&amp;Result=3","7138805")</f>
        <v>0</v>
      </c>
      <c r="B6529" t="s">
        <v>138</v>
      </c>
      <c r="C6529" t="s">
        <v>9937</v>
      </c>
      <c r="D6529" t="s">
        <v>17965</v>
      </c>
      <c r="E6529" t="s">
        <v>23783</v>
      </c>
      <c r="F6529" t="s">
        <v>30900</v>
      </c>
      <c r="G6529" t="s">
        <v>30907</v>
      </c>
      <c r="H6529" t="s">
        <v>30915</v>
      </c>
      <c r="I6529" t="s">
        <v>30919</v>
      </c>
      <c r="J6529" t="s">
        <v>35259</v>
      </c>
      <c r="K6529" t="s">
        <v>40302</v>
      </c>
      <c r="M6529" t="s">
        <v>43018</v>
      </c>
      <c r="N6529" t="s">
        <v>44759</v>
      </c>
      <c r="O6529" t="s">
        <v>44760</v>
      </c>
      <c r="P6529">
        <v>0</v>
      </c>
      <c r="Q6529">
        <v>0</v>
      </c>
      <c r="R6529" t="s">
        <v>44767</v>
      </c>
      <c r="S6529" t="s">
        <v>44954</v>
      </c>
      <c r="T6529" t="s">
        <v>46403</v>
      </c>
      <c r="U6529" t="s">
        <v>52395</v>
      </c>
      <c r="W6529" t="s">
        <v>43018</v>
      </c>
      <c r="X6529" t="s">
        <v>44770</v>
      </c>
    </row>
    <row r="6530" spans="1:24">
      <c r="A6530">
        <f>HYPERLINK("https://www.philgeps.gov.ph/GEPSNONPILOT/Tender/SplashBidNoticeAbstractUI.aspx?menuIndex=3&amp;refID=7139450&amp;Result=3","7139450")</f>
        <v>0</v>
      </c>
      <c r="B6530" t="s">
        <v>764</v>
      </c>
      <c r="C6530" t="s">
        <v>9938</v>
      </c>
      <c r="D6530" t="s">
        <v>17998</v>
      </c>
      <c r="E6530" t="s">
        <v>23784</v>
      </c>
      <c r="F6530" t="s">
        <v>30900</v>
      </c>
      <c r="G6530" t="s">
        <v>30907</v>
      </c>
      <c r="H6530" t="s">
        <v>30916</v>
      </c>
      <c r="I6530" t="s">
        <v>30955</v>
      </c>
      <c r="J6530" t="s">
        <v>35260</v>
      </c>
      <c r="K6530" t="s">
        <v>40283</v>
      </c>
      <c r="M6530" t="s">
        <v>41330</v>
      </c>
      <c r="N6530" t="s">
        <v>44759</v>
      </c>
      <c r="O6530" t="s">
        <v>44760</v>
      </c>
      <c r="P6530">
        <v>0</v>
      </c>
      <c r="Q6530">
        <v>0</v>
      </c>
      <c r="R6530" t="s">
        <v>44767</v>
      </c>
      <c r="S6530" t="s">
        <v>44954</v>
      </c>
      <c r="T6530" t="s">
        <v>46531</v>
      </c>
      <c r="U6530" t="s">
        <v>52396</v>
      </c>
      <c r="W6530" t="s">
        <v>41330</v>
      </c>
      <c r="X6530" t="s">
        <v>44769</v>
      </c>
    </row>
    <row r="6531" spans="1:24">
      <c r="A6531">
        <f>HYPERLINK("https://www.philgeps.gov.ph/GEPSNONPILOT/Tender/SplashBidNoticeAbstractUI.aspx?menuIndex=3&amp;refID=7139081&amp;Result=3","7139081")</f>
        <v>0</v>
      </c>
      <c r="B6531" t="s">
        <v>39</v>
      </c>
      <c r="C6531" t="s">
        <v>9939</v>
      </c>
      <c r="E6531" t="s">
        <v>23785</v>
      </c>
      <c r="F6531" t="s">
        <v>30900</v>
      </c>
      <c r="G6531" t="s">
        <v>30907</v>
      </c>
      <c r="H6531" t="s">
        <v>30916</v>
      </c>
      <c r="I6531" t="s">
        <v>30923</v>
      </c>
      <c r="J6531" t="s">
        <v>35261</v>
      </c>
      <c r="K6531" t="s">
        <v>40289</v>
      </c>
      <c r="M6531" t="s">
        <v>40585</v>
      </c>
      <c r="N6531" t="s">
        <v>44759</v>
      </c>
      <c r="O6531" t="s">
        <v>44760</v>
      </c>
      <c r="P6531">
        <v>0</v>
      </c>
      <c r="Q6531">
        <v>1</v>
      </c>
      <c r="R6531" t="s">
        <v>44767</v>
      </c>
      <c r="S6531" t="s">
        <v>44954</v>
      </c>
      <c r="T6531" t="s">
        <v>46606</v>
      </c>
      <c r="U6531" t="s">
        <v>52397</v>
      </c>
      <c r="W6531" t="s">
        <v>40585</v>
      </c>
      <c r="X6531" t="s">
        <v>44769</v>
      </c>
    </row>
    <row r="6532" spans="1:24">
      <c r="A6532">
        <f>HYPERLINK("https://www.philgeps.gov.ph/GEPSNONPILOT/Tender/SplashBidNoticeAbstractUI.aspx?menuIndex=3&amp;refID=7139433&amp;Result=3","7139433")</f>
        <v>0</v>
      </c>
      <c r="B6532" t="s">
        <v>2304</v>
      </c>
      <c r="C6532" t="s">
        <v>9940</v>
      </c>
      <c r="D6532" t="s">
        <v>17970</v>
      </c>
      <c r="E6532" t="s">
        <v>20225</v>
      </c>
      <c r="F6532" t="s">
        <v>30900</v>
      </c>
      <c r="G6532" t="s">
        <v>30907</v>
      </c>
      <c r="H6532" t="s">
        <v>30916</v>
      </c>
      <c r="I6532" t="s">
        <v>6396</v>
      </c>
      <c r="J6532" t="s">
        <v>35262</v>
      </c>
      <c r="K6532" t="s">
        <v>40293</v>
      </c>
      <c r="M6532" t="s">
        <v>43022</v>
      </c>
      <c r="N6532" t="s">
        <v>44759</v>
      </c>
      <c r="O6532" t="s">
        <v>44760</v>
      </c>
      <c r="P6532">
        <v>0</v>
      </c>
      <c r="Q6532">
        <v>10</v>
      </c>
      <c r="R6532" t="s">
        <v>44767</v>
      </c>
      <c r="S6532" t="s">
        <v>44954</v>
      </c>
      <c r="T6532" t="s">
        <v>46497</v>
      </c>
      <c r="U6532" t="s">
        <v>52398</v>
      </c>
      <c r="W6532" t="s">
        <v>43022</v>
      </c>
      <c r="X6532" t="s">
        <v>44769</v>
      </c>
    </row>
    <row r="6533" spans="1:24">
      <c r="A6533">
        <f>HYPERLINK("https://www.philgeps.gov.ph/GEPSNONPILOT/Tender/SplashBidNoticeAbstractUI.aspx?menuIndex=3&amp;refID=7139373&amp;Result=3","7139373")</f>
        <v>0</v>
      </c>
      <c r="B6533" t="s">
        <v>41</v>
      </c>
      <c r="C6533" t="s">
        <v>9941</v>
      </c>
      <c r="D6533" t="s">
        <v>17966</v>
      </c>
      <c r="E6533" t="s">
        <v>23786</v>
      </c>
      <c r="F6533" t="s">
        <v>30900</v>
      </c>
      <c r="G6533" t="s">
        <v>30907</v>
      </c>
      <c r="H6533" t="s">
        <v>30915</v>
      </c>
      <c r="I6533" t="s">
        <v>30919</v>
      </c>
      <c r="J6533" t="s">
        <v>35263</v>
      </c>
      <c r="K6533" t="s">
        <v>40295</v>
      </c>
      <c r="M6533" t="s">
        <v>40587</v>
      </c>
      <c r="N6533" t="s">
        <v>44759</v>
      </c>
      <c r="O6533" t="s">
        <v>44760</v>
      </c>
      <c r="P6533">
        <v>0</v>
      </c>
      <c r="Q6533">
        <v>0</v>
      </c>
      <c r="R6533" t="s">
        <v>44767</v>
      </c>
      <c r="S6533" t="s">
        <v>44954</v>
      </c>
      <c r="T6533" t="s">
        <v>46365</v>
      </c>
      <c r="U6533" t="s">
        <v>52399</v>
      </c>
      <c r="V6533" t="s">
        <v>59095</v>
      </c>
      <c r="W6533" t="s">
        <v>40587</v>
      </c>
      <c r="X6533" t="s">
        <v>44769</v>
      </c>
    </row>
    <row r="6534" spans="1:24">
      <c r="A6534">
        <f>HYPERLINK("https://www.philgeps.gov.ph/GEPSNONPILOT/Tender/SplashBidNoticeAbstractUI.aspx?menuIndex=3&amp;refID=7139311&amp;Result=3","7139311")</f>
        <v>0</v>
      </c>
      <c r="B6534" t="s">
        <v>41</v>
      </c>
      <c r="C6534" t="s">
        <v>9942</v>
      </c>
      <c r="D6534" t="s">
        <v>17966</v>
      </c>
      <c r="E6534" t="s">
        <v>23787</v>
      </c>
      <c r="F6534" t="s">
        <v>30900</v>
      </c>
      <c r="G6534" t="s">
        <v>30907</v>
      </c>
      <c r="H6534" t="s">
        <v>30915</v>
      </c>
      <c r="I6534" t="s">
        <v>30919</v>
      </c>
      <c r="J6534" t="s">
        <v>35264</v>
      </c>
      <c r="K6534" t="s">
        <v>40295</v>
      </c>
      <c r="M6534" t="s">
        <v>40587</v>
      </c>
      <c r="N6534" t="s">
        <v>44759</v>
      </c>
      <c r="O6534" t="s">
        <v>44760</v>
      </c>
      <c r="P6534">
        <v>0</v>
      </c>
      <c r="Q6534">
        <v>0</v>
      </c>
      <c r="R6534" t="s">
        <v>44767</v>
      </c>
      <c r="S6534" t="s">
        <v>44954</v>
      </c>
      <c r="T6534" t="s">
        <v>46366</v>
      </c>
      <c r="U6534" t="s">
        <v>52400</v>
      </c>
      <c r="V6534" t="s">
        <v>59095</v>
      </c>
      <c r="W6534" t="s">
        <v>40587</v>
      </c>
      <c r="X6534" t="s">
        <v>44769</v>
      </c>
    </row>
    <row r="6535" spans="1:24">
      <c r="A6535">
        <f>HYPERLINK("https://www.philgeps.gov.ph/GEPSNONPILOT/Tender/SplashBidNoticeAbstractUI.aspx?menuIndex=3&amp;refID=7139250&amp;Result=3","7139250")</f>
        <v>0</v>
      </c>
      <c r="B6535" t="s">
        <v>41</v>
      </c>
      <c r="C6535" t="s">
        <v>9943</v>
      </c>
      <c r="D6535" t="s">
        <v>17966</v>
      </c>
      <c r="E6535" t="s">
        <v>23788</v>
      </c>
      <c r="F6535" t="s">
        <v>30900</v>
      </c>
      <c r="G6535" t="s">
        <v>30907</v>
      </c>
      <c r="H6535" t="s">
        <v>30915</v>
      </c>
      <c r="I6535" t="s">
        <v>30919</v>
      </c>
      <c r="J6535" t="s">
        <v>35265</v>
      </c>
      <c r="K6535" t="s">
        <v>40280</v>
      </c>
      <c r="M6535" t="s">
        <v>40587</v>
      </c>
      <c r="N6535" t="s">
        <v>44759</v>
      </c>
      <c r="O6535" t="s">
        <v>44760</v>
      </c>
      <c r="P6535">
        <v>0</v>
      </c>
      <c r="Q6535">
        <v>0</v>
      </c>
      <c r="R6535" t="s">
        <v>44767</v>
      </c>
      <c r="S6535" t="s">
        <v>44954</v>
      </c>
      <c r="T6535" t="s">
        <v>46366</v>
      </c>
      <c r="U6535" t="s">
        <v>52401</v>
      </c>
      <c r="V6535" t="s">
        <v>59095</v>
      </c>
      <c r="W6535" t="s">
        <v>40587</v>
      </c>
      <c r="X6535" t="s">
        <v>44769</v>
      </c>
    </row>
    <row r="6536" spans="1:24">
      <c r="A6536">
        <f>HYPERLINK("https://www.philgeps.gov.ph/GEPSNONPILOT/Tender/SplashBidNoticeAbstractUI.aspx?menuIndex=3&amp;refID=7139228&amp;Result=3","7139228")</f>
        <v>0</v>
      </c>
      <c r="B6536" t="s">
        <v>2305</v>
      </c>
      <c r="C6536" t="s">
        <v>9944</v>
      </c>
      <c r="D6536" t="s">
        <v>17963</v>
      </c>
      <c r="E6536" t="s">
        <v>23789</v>
      </c>
      <c r="F6536" t="s">
        <v>30900</v>
      </c>
      <c r="G6536" t="s">
        <v>30907</v>
      </c>
      <c r="H6536" t="s">
        <v>30915</v>
      </c>
      <c r="I6536" t="s">
        <v>30919</v>
      </c>
      <c r="J6536" t="s">
        <v>35266</v>
      </c>
      <c r="K6536" t="s">
        <v>40286</v>
      </c>
      <c r="M6536" t="s">
        <v>43023</v>
      </c>
      <c r="N6536" t="s">
        <v>44759</v>
      </c>
      <c r="O6536" t="s">
        <v>44760</v>
      </c>
      <c r="P6536">
        <v>0</v>
      </c>
      <c r="Q6536">
        <v>0</v>
      </c>
      <c r="R6536" t="s">
        <v>44767</v>
      </c>
      <c r="S6536" t="s">
        <v>44954</v>
      </c>
      <c r="T6536" t="s">
        <v>46391</v>
      </c>
      <c r="U6536" t="s">
        <v>52402</v>
      </c>
      <c r="W6536" t="s">
        <v>43023</v>
      </c>
      <c r="X6536" t="s">
        <v>44769</v>
      </c>
    </row>
    <row r="6537" spans="1:24">
      <c r="A6537">
        <f>HYPERLINK("https://www.philgeps.gov.ph/GEPSNONPILOT/Tender/SplashBidNoticeAbstractUI.aspx?menuIndex=3&amp;refID=7139144&amp;Result=3","7139144")</f>
        <v>0</v>
      </c>
      <c r="B6537" t="s">
        <v>41</v>
      </c>
      <c r="C6537" t="s">
        <v>9945</v>
      </c>
      <c r="D6537" t="s">
        <v>17966</v>
      </c>
      <c r="E6537" t="s">
        <v>23790</v>
      </c>
      <c r="F6537" t="s">
        <v>30900</v>
      </c>
      <c r="G6537" t="s">
        <v>30907</v>
      </c>
      <c r="H6537" t="s">
        <v>30915</v>
      </c>
      <c r="I6537" t="s">
        <v>30919</v>
      </c>
      <c r="J6537" t="s">
        <v>35267</v>
      </c>
      <c r="K6537" t="s">
        <v>40293</v>
      </c>
      <c r="M6537" t="s">
        <v>40587</v>
      </c>
      <c r="N6537" t="s">
        <v>44759</v>
      </c>
      <c r="O6537" t="s">
        <v>44760</v>
      </c>
      <c r="P6537">
        <v>0</v>
      </c>
      <c r="Q6537">
        <v>0</v>
      </c>
      <c r="R6537" t="s">
        <v>44767</v>
      </c>
      <c r="S6537" t="s">
        <v>44954</v>
      </c>
      <c r="T6537" t="s">
        <v>46353</v>
      </c>
      <c r="U6537" t="s">
        <v>52403</v>
      </c>
      <c r="V6537" t="s">
        <v>59095</v>
      </c>
      <c r="W6537" t="s">
        <v>40587</v>
      </c>
      <c r="X6537" t="s">
        <v>44769</v>
      </c>
    </row>
    <row r="6538" spans="1:24">
      <c r="A6538">
        <f>HYPERLINK("https://www.philgeps.gov.ph/GEPSNONPILOT/Tender/SplashBidNoticeAbstractUI.aspx?menuIndex=3&amp;refID=7139132&amp;Result=3","7139132")</f>
        <v>0</v>
      </c>
      <c r="B6538" t="s">
        <v>2306</v>
      </c>
      <c r="C6538" t="s">
        <v>9946</v>
      </c>
      <c r="D6538" t="s">
        <v>18011</v>
      </c>
      <c r="E6538" t="s">
        <v>23791</v>
      </c>
      <c r="F6538" t="s">
        <v>30900</v>
      </c>
      <c r="G6538" t="s">
        <v>30907</v>
      </c>
      <c r="H6538" t="s">
        <v>30915</v>
      </c>
      <c r="I6538" t="s">
        <v>30919</v>
      </c>
      <c r="J6538" t="s">
        <v>31241</v>
      </c>
      <c r="K6538" t="s">
        <v>40301</v>
      </c>
      <c r="M6538" t="s">
        <v>43024</v>
      </c>
      <c r="N6538" t="s">
        <v>44759</v>
      </c>
      <c r="O6538" t="s">
        <v>44760</v>
      </c>
      <c r="P6538">
        <v>0</v>
      </c>
      <c r="Q6538">
        <v>1</v>
      </c>
      <c r="R6538" t="s">
        <v>44767</v>
      </c>
      <c r="S6538" t="s">
        <v>44954</v>
      </c>
      <c r="T6538" t="s">
        <v>46544</v>
      </c>
      <c r="U6538" t="s">
        <v>52404</v>
      </c>
      <c r="W6538" t="s">
        <v>43024</v>
      </c>
      <c r="X6538" t="s">
        <v>44769</v>
      </c>
    </row>
    <row r="6539" spans="1:24">
      <c r="A6539">
        <f>HYPERLINK("https://www.philgeps.gov.ph/GEPSNONPILOT/Tender/SplashBidNoticeAbstractUI.aspx?menuIndex=3&amp;refID=7139774&amp;Result=3","7139774")</f>
        <v>0</v>
      </c>
      <c r="B6539" t="s">
        <v>2307</v>
      </c>
      <c r="C6539" t="s">
        <v>9947</v>
      </c>
      <c r="D6539" t="s">
        <v>17955</v>
      </c>
      <c r="E6539" t="s">
        <v>23792</v>
      </c>
      <c r="F6539" t="s">
        <v>30900</v>
      </c>
      <c r="G6539" t="s">
        <v>30907</v>
      </c>
      <c r="H6539" t="s">
        <v>30916</v>
      </c>
      <c r="I6539" t="s">
        <v>30947</v>
      </c>
      <c r="J6539" t="s">
        <v>31101</v>
      </c>
      <c r="K6539" t="s">
        <v>40286</v>
      </c>
      <c r="M6539" t="s">
        <v>43025</v>
      </c>
      <c r="N6539" t="s">
        <v>44759</v>
      </c>
      <c r="O6539" t="s">
        <v>44760</v>
      </c>
      <c r="P6539">
        <v>0</v>
      </c>
      <c r="Q6539">
        <v>1</v>
      </c>
      <c r="R6539" t="s">
        <v>44767</v>
      </c>
      <c r="S6539" t="s">
        <v>44954</v>
      </c>
      <c r="T6539" t="s">
        <v>46393</v>
      </c>
      <c r="U6539" t="s">
        <v>52405</v>
      </c>
      <c r="W6539" t="s">
        <v>43025</v>
      </c>
      <c r="X6539" t="s">
        <v>44769</v>
      </c>
    </row>
    <row r="6540" spans="1:24">
      <c r="A6540">
        <f>HYPERLINK("https://www.philgeps.gov.ph/GEPSNONPILOT/Tender/SplashBidNoticeAbstractUI.aspx?menuIndex=3&amp;refID=7139759&amp;Result=3","7139759")</f>
        <v>0</v>
      </c>
      <c r="B6540" t="s">
        <v>2299</v>
      </c>
      <c r="C6540" t="s">
        <v>9948</v>
      </c>
      <c r="D6540" t="s">
        <v>17998</v>
      </c>
      <c r="E6540" t="s">
        <v>23793</v>
      </c>
      <c r="F6540" t="s">
        <v>30900</v>
      </c>
      <c r="G6540" t="s">
        <v>30907</v>
      </c>
      <c r="H6540" t="s">
        <v>30916</v>
      </c>
      <c r="I6540" t="s">
        <v>6396</v>
      </c>
      <c r="J6540" t="s">
        <v>35268</v>
      </c>
      <c r="K6540" t="s">
        <v>40287</v>
      </c>
      <c r="M6540" t="s">
        <v>43014</v>
      </c>
      <c r="N6540" t="s">
        <v>44759</v>
      </c>
      <c r="O6540" t="s">
        <v>44760</v>
      </c>
      <c r="P6540">
        <v>0</v>
      </c>
      <c r="Q6540">
        <v>4</v>
      </c>
      <c r="R6540" t="s">
        <v>44767</v>
      </c>
      <c r="S6540" t="s">
        <v>44954</v>
      </c>
      <c r="T6540" t="s">
        <v>46548</v>
      </c>
      <c r="U6540" t="s">
        <v>52406</v>
      </c>
      <c r="W6540" t="s">
        <v>43014</v>
      </c>
      <c r="X6540" t="s">
        <v>44769</v>
      </c>
    </row>
    <row r="6541" spans="1:24">
      <c r="A6541">
        <f>HYPERLINK("https://www.philgeps.gov.ph/GEPSNONPILOT/Tender/SplashBidNoticeAbstractUI.aspx?menuIndex=3&amp;refID=7139730&amp;Result=3","7139730")</f>
        <v>0</v>
      </c>
      <c r="B6541" t="s">
        <v>1203</v>
      </c>
      <c r="C6541" t="s">
        <v>9949</v>
      </c>
      <c r="D6541" t="s">
        <v>17953</v>
      </c>
      <c r="E6541" t="s">
        <v>23794</v>
      </c>
      <c r="F6541" t="s">
        <v>30900</v>
      </c>
      <c r="G6541" t="s">
        <v>30907</v>
      </c>
      <c r="H6541" t="s">
        <v>30915</v>
      </c>
      <c r="I6541" t="s">
        <v>30919</v>
      </c>
      <c r="J6541" t="s">
        <v>32560</v>
      </c>
      <c r="K6541" t="s">
        <v>40289</v>
      </c>
      <c r="M6541" t="s">
        <v>41814</v>
      </c>
      <c r="N6541" t="s">
        <v>44759</v>
      </c>
      <c r="O6541" t="s">
        <v>44760</v>
      </c>
      <c r="P6541">
        <v>0</v>
      </c>
      <c r="Q6541">
        <v>1</v>
      </c>
      <c r="R6541" t="s">
        <v>44767</v>
      </c>
      <c r="S6541" t="s">
        <v>44954</v>
      </c>
      <c r="T6541" t="s">
        <v>46709</v>
      </c>
      <c r="U6541" t="s">
        <v>52407</v>
      </c>
      <c r="V6541" t="s">
        <v>59431</v>
      </c>
      <c r="W6541" t="s">
        <v>41814</v>
      </c>
      <c r="X6541" t="s">
        <v>44769</v>
      </c>
    </row>
    <row r="6542" spans="1:24">
      <c r="A6542">
        <f>HYPERLINK("https://www.philgeps.gov.ph/GEPSNONPILOT/Tender/SplashBidNoticeAbstractUI.aspx?menuIndex=3&amp;refID=7139791&amp;Result=3","7139791")</f>
        <v>0</v>
      </c>
      <c r="B6542" t="s">
        <v>418</v>
      </c>
      <c r="C6542" t="s">
        <v>9950</v>
      </c>
      <c r="E6542" t="s">
        <v>23795</v>
      </c>
      <c r="F6542" t="s">
        <v>30900</v>
      </c>
      <c r="G6542" t="s">
        <v>30907</v>
      </c>
      <c r="H6542" t="s">
        <v>30916</v>
      </c>
      <c r="I6542" t="s">
        <v>4545</v>
      </c>
      <c r="J6542" t="s">
        <v>35269</v>
      </c>
      <c r="K6542" t="s">
        <v>40289</v>
      </c>
      <c r="M6542" t="s">
        <v>41509</v>
      </c>
      <c r="N6542" t="s">
        <v>44759</v>
      </c>
      <c r="O6542" t="s">
        <v>44760</v>
      </c>
      <c r="P6542">
        <v>0</v>
      </c>
      <c r="Q6542">
        <v>11</v>
      </c>
      <c r="R6542" t="s">
        <v>44767</v>
      </c>
      <c r="S6542" t="s">
        <v>44954</v>
      </c>
      <c r="T6542" t="s">
        <v>46689</v>
      </c>
      <c r="U6542" t="s">
        <v>52408</v>
      </c>
      <c r="W6542" t="s">
        <v>41509</v>
      </c>
      <c r="X6542" t="s">
        <v>44769</v>
      </c>
    </row>
    <row r="6543" spans="1:24">
      <c r="A6543">
        <f>HYPERLINK("https://www.philgeps.gov.ph/GEPSNONPILOT/Tender/SplashBidNoticeAbstractUI.aspx?menuIndex=3&amp;refID=7139723&amp;Result=3","7139723")</f>
        <v>0</v>
      </c>
      <c r="B6543" t="s">
        <v>2308</v>
      </c>
      <c r="C6543" t="s">
        <v>9951</v>
      </c>
      <c r="D6543" t="s">
        <v>17978</v>
      </c>
      <c r="E6543" t="s">
        <v>23796</v>
      </c>
      <c r="F6543" t="s">
        <v>30900</v>
      </c>
      <c r="G6543" t="s">
        <v>30907</v>
      </c>
      <c r="H6543" t="s">
        <v>30915</v>
      </c>
      <c r="I6543" t="s">
        <v>30919</v>
      </c>
      <c r="J6543" t="s">
        <v>31341</v>
      </c>
      <c r="K6543" t="s">
        <v>40286</v>
      </c>
      <c r="M6543" t="s">
        <v>43026</v>
      </c>
      <c r="N6543" t="s">
        <v>44759</v>
      </c>
      <c r="O6543" t="s">
        <v>44760</v>
      </c>
      <c r="P6543">
        <v>0</v>
      </c>
      <c r="Q6543">
        <v>1</v>
      </c>
      <c r="R6543" t="s">
        <v>44767</v>
      </c>
      <c r="S6543" t="s">
        <v>44954</v>
      </c>
      <c r="T6543" t="s">
        <v>46504</v>
      </c>
      <c r="U6543" t="s">
        <v>52409</v>
      </c>
      <c r="W6543" t="s">
        <v>43026</v>
      </c>
      <c r="X6543" t="s">
        <v>44769</v>
      </c>
    </row>
    <row r="6544" spans="1:24">
      <c r="A6544">
        <f>HYPERLINK("https://www.philgeps.gov.ph/GEPSNONPILOT/Tender/SplashBidNoticeAbstractUI.aspx?menuIndex=3&amp;refID=7139761&amp;Result=3","7139761")</f>
        <v>0</v>
      </c>
      <c r="B6544" t="s">
        <v>799</v>
      </c>
      <c r="C6544" t="s">
        <v>9952</v>
      </c>
      <c r="D6544" t="s">
        <v>17985</v>
      </c>
      <c r="E6544" t="s">
        <v>23797</v>
      </c>
      <c r="F6544" t="s">
        <v>30900</v>
      </c>
      <c r="G6544" t="s">
        <v>30907</v>
      </c>
      <c r="H6544" t="s">
        <v>30916</v>
      </c>
      <c r="I6544" t="s">
        <v>30933</v>
      </c>
      <c r="J6544" t="s">
        <v>31297</v>
      </c>
      <c r="K6544" t="s">
        <v>40293</v>
      </c>
      <c r="M6544" t="s">
        <v>41369</v>
      </c>
      <c r="N6544" t="s">
        <v>44759</v>
      </c>
      <c r="O6544" t="s">
        <v>44760</v>
      </c>
      <c r="P6544">
        <v>0</v>
      </c>
      <c r="Q6544">
        <v>2</v>
      </c>
      <c r="R6544" t="s">
        <v>44767</v>
      </c>
      <c r="S6544" t="s">
        <v>44954</v>
      </c>
      <c r="T6544" t="s">
        <v>46428</v>
      </c>
      <c r="U6544" t="s">
        <v>52410</v>
      </c>
      <c r="V6544" t="s">
        <v>59832</v>
      </c>
      <c r="W6544" t="s">
        <v>41369</v>
      </c>
      <c r="X6544" t="s">
        <v>44769</v>
      </c>
    </row>
    <row r="6545" spans="1:24">
      <c r="A6545">
        <f>HYPERLINK("https://www.philgeps.gov.ph/GEPSNONPILOT/Tender/SplashBidNoticeAbstractUI.aspx?menuIndex=3&amp;refID=7139869&amp;Result=3","7139869")</f>
        <v>0</v>
      </c>
      <c r="B6545" t="s">
        <v>811</v>
      </c>
      <c r="C6545" t="s">
        <v>9953</v>
      </c>
      <c r="D6545" t="s">
        <v>18000</v>
      </c>
      <c r="E6545" t="s">
        <v>22234</v>
      </c>
      <c r="F6545" t="s">
        <v>30900</v>
      </c>
      <c r="G6545" t="s">
        <v>30907</v>
      </c>
      <c r="H6545" t="s">
        <v>30915</v>
      </c>
      <c r="I6545" t="s">
        <v>30919</v>
      </c>
      <c r="J6545" t="s">
        <v>35270</v>
      </c>
      <c r="K6545" t="s">
        <v>40304</v>
      </c>
      <c r="M6545" t="s">
        <v>41382</v>
      </c>
      <c r="N6545" t="s">
        <v>44759</v>
      </c>
      <c r="O6545" t="s">
        <v>44760</v>
      </c>
      <c r="P6545">
        <v>0</v>
      </c>
      <c r="Q6545">
        <v>1</v>
      </c>
      <c r="R6545" t="s">
        <v>44767</v>
      </c>
      <c r="S6545" t="s">
        <v>44954</v>
      </c>
      <c r="T6545" t="s">
        <v>46606</v>
      </c>
      <c r="U6545" t="s">
        <v>52411</v>
      </c>
      <c r="W6545" t="s">
        <v>41382</v>
      </c>
      <c r="X6545" t="s">
        <v>44769</v>
      </c>
    </row>
    <row r="6546" spans="1:24">
      <c r="A6546">
        <f>HYPERLINK("https://www.philgeps.gov.ph/GEPSNONPILOT/Tender/SplashBidNoticeAbstractUI.aspx?menuIndex=3&amp;refID=7139502&amp;Result=3","7139502")</f>
        <v>0</v>
      </c>
      <c r="B6546" t="s">
        <v>764</v>
      </c>
      <c r="C6546" t="s">
        <v>9954</v>
      </c>
      <c r="D6546" t="s">
        <v>17998</v>
      </c>
      <c r="E6546" t="s">
        <v>23798</v>
      </c>
      <c r="F6546" t="s">
        <v>30900</v>
      </c>
      <c r="G6546" t="s">
        <v>30907</v>
      </c>
      <c r="H6546" t="s">
        <v>30916</v>
      </c>
      <c r="I6546" t="s">
        <v>8123</v>
      </c>
      <c r="J6546" t="s">
        <v>35271</v>
      </c>
      <c r="K6546" t="s">
        <v>40286</v>
      </c>
      <c r="M6546" t="s">
        <v>41330</v>
      </c>
      <c r="N6546" t="s">
        <v>44759</v>
      </c>
      <c r="O6546" t="s">
        <v>44760</v>
      </c>
      <c r="P6546">
        <v>0</v>
      </c>
      <c r="Q6546">
        <v>0</v>
      </c>
      <c r="R6546" t="s">
        <v>44767</v>
      </c>
      <c r="S6546" t="s">
        <v>44954</v>
      </c>
      <c r="T6546" t="s">
        <v>46531</v>
      </c>
      <c r="U6546" t="s">
        <v>52412</v>
      </c>
      <c r="W6546" t="s">
        <v>41330</v>
      </c>
      <c r="X6546" t="s">
        <v>44769</v>
      </c>
    </row>
    <row r="6547" spans="1:24">
      <c r="A6547">
        <f>HYPERLINK("https://www.philgeps.gov.ph/GEPSNONPILOT/Tender/SplashBidNoticeAbstractUI.aspx?menuIndex=3&amp;refID=7139653&amp;Result=3","7139653")</f>
        <v>0</v>
      </c>
      <c r="B6547" t="s">
        <v>2298</v>
      </c>
      <c r="C6547" t="s">
        <v>9955</v>
      </c>
      <c r="D6547" t="s">
        <v>17961</v>
      </c>
      <c r="E6547" t="s">
        <v>23799</v>
      </c>
      <c r="F6547" t="s">
        <v>30900</v>
      </c>
      <c r="G6547" t="s">
        <v>30907</v>
      </c>
      <c r="H6547" t="s">
        <v>30916</v>
      </c>
      <c r="I6547" t="s">
        <v>30940</v>
      </c>
      <c r="J6547" t="s">
        <v>35272</v>
      </c>
      <c r="K6547" t="s">
        <v>40283</v>
      </c>
      <c r="M6547" t="s">
        <v>43013</v>
      </c>
      <c r="N6547" t="s">
        <v>44759</v>
      </c>
      <c r="O6547" t="s">
        <v>44760</v>
      </c>
      <c r="P6547">
        <v>0</v>
      </c>
      <c r="Q6547">
        <v>5</v>
      </c>
      <c r="R6547" t="s">
        <v>44767</v>
      </c>
      <c r="S6547" t="s">
        <v>44954</v>
      </c>
      <c r="T6547" t="s">
        <v>46531</v>
      </c>
      <c r="U6547" t="s">
        <v>52413</v>
      </c>
      <c r="W6547" t="s">
        <v>43013</v>
      </c>
      <c r="X6547" t="s">
        <v>44769</v>
      </c>
    </row>
    <row r="6548" spans="1:24">
      <c r="A6548">
        <f>HYPERLINK("https://www.philgeps.gov.ph/GEPSNONPILOT/Tender/SplashBidNoticeAbstractUI.aspx?menuIndex=3&amp;refID=7139843&amp;Result=3","7139843")</f>
        <v>0</v>
      </c>
      <c r="B6548" t="s">
        <v>655</v>
      </c>
      <c r="C6548" t="s">
        <v>9956</v>
      </c>
      <c r="D6548" t="s">
        <v>18001</v>
      </c>
      <c r="E6548" t="s">
        <v>23800</v>
      </c>
      <c r="F6548" t="s">
        <v>30900</v>
      </c>
      <c r="G6548" t="s">
        <v>30907</v>
      </c>
      <c r="H6548" t="s">
        <v>30915</v>
      </c>
      <c r="I6548" t="s">
        <v>30919</v>
      </c>
      <c r="J6548" t="s">
        <v>35273</v>
      </c>
      <c r="K6548" t="s">
        <v>40293</v>
      </c>
      <c r="M6548" t="s">
        <v>41218</v>
      </c>
      <c r="N6548" t="s">
        <v>44759</v>
      </c>
      <c r="O6548" t="s">
        <v>44760</v>
      </c>
      <c r="P6548">
        <v>0</v>
      </c>
      <c r="Q6548">
        <v>0</v>
      </c>
      <c r="R6548" t="s">
        <v>44767</v>
      </c>
      <c r="S6548" t="s">
        <v>44954</v>
      </c>
      <c r="T6548" t="s">
        <v>46470</v>
      </c>
      <c r="U6548" t="s">
        <v>52414</v>
      </c>
      <c r="W6548" t="s">
        <v>41218</v>
      </c>
      <c r="X6548" t="s">
        <v>44769</v>
      </c>
    </row>
    <row r="6549" spans="1:24">
      <c r="A6549">
        <f>HYPERLINK("https://www.philgeps.gov.ph/GEPSNONPILOT/Tender/SplashBidNoticeAbstractUI.aspx?menuIndex=3&amp;refID=7138831&amp;Result=3","7138831")</f>
        <v>0</v>
      </c>
      <c r="B6549" t="s">
        <v>1458</v>
      </c>
      <c r="C6549" t="s">
        <v>9957</v>
      </c>
      <c r="D6549" t="s">
        <v>17977</v>
      </c>
      <c r="E6549" t="s">
        <v>18149</v>
      </c>
      <c r="F6549" t="s">
        <v>30900</v>
      </c>
      <c r="G6549" t="s">
        <v>30907</v>
      </c>
      <c r="H6549" t="s">
        <v>30916</v>
      </c>
      <c r="I6549" t="s">
        <v>30933</v>
      </c>
      <c r="J6549" t="s">
        <v>31412</v>
      </c>
      <c r="K6549" t="s">
        <v>40280</v>
      </c>
      <c r="M6549" t="s">
        <v>42090</v>
      </c>
      <c r="N6549" t="s">
        <v>44759</v>
      </c>
      <c r="O6549" t="s">
        <v>44760</v>
      </c>
      <c r="P6549">
        <v>0</v>
      </c>
      <c r="Q6549">
        <v>2</v>
      </c>
      <c r="R6549" t="s">
        <v>44767</v>
      </c>
      <c r="S6549" t="s">
        <v>44954</v>
      </c>
      <c r="T6549" t="s">
        <v>46689</v>
      </c>
      <c r="U6549" t="s">
        <v>52415</v>
      </c>
      <c r="V6549" t="s">
        <v>59833</v>
      </c>
      <c r="W6549" t="s">
        <v>42090</v>
      </c>
      <c r="X6549" t="s">
        <v>44770</v>
      </c>
    </row>
    <row r="6550" spans="1:24">
      <c r="A6550">
        <f>HYPERLINK("https://www.philgeps.gov.ph/GEPSNONPILOT/Tender/SplashBidNoticeAbstractUI.aspx?menuIndex=3&amp;refID=7139648&amp;Result=3","7139648")</f>
        <v>0</v>
      </c>
      <c r="B6550" t="s">
        <v>45</v>
      </c>
      <c r="C6550" t="s">
        <v>9958</v>
      </c>
      <c r="E6550" t="s">
        <v>23801</v>
      </c>
      <c r="F6550" t="s">
        <v>30900</v>
      </c>
      <c r="G6550" t="s">
        <v>30907</v>
      </c>
      <c r="H6550" t="s">
        <v>30915</v>
      </c>
      <c r="I6550" t="s">
        <v>30919</v>
      </c>
      <c r="J6550" t="s">
        <v>35274</v>
      </c>
      <c r="K6550" t="s">
        <v>40426</v>
      </c>
      <c r="M6550" t="s">
        <v>40591</v>
      </c>
      <c r="N6550" t="s">
        <v>44759</v>
      </c>
      <c r="O6550" t="s">
        <v>44760</v>
      </c>
      <c r="P6550">
        <v>0</v>
      </c>
      <c r="Q6550">
        <v>0</v>
      </c>
      <c r="R6550" t="s">
        <v>44767</v>
      </c>
      <c r="S6550" t="s">
        <v>44954</v>
      </c>
      <c r="T6550" t="s">
        <v>46531</v>
      </c>
      <c r="U6550" t="s">
        <v>52416</v>
      </c>
      <c r="W6550" t="s">
        <v>40591</v>
      </c>
      <c r="X6550" t="s">
        <v>44769</v>
      </c>
    </row>
    <row r="6551" spans="1:24">
      <c r="A6551">
        <f>HYPERLINK("https://www.philgeps.gov.ph/GEPSNONPILOT/Tender/SplashBidNoticeAbstractUI.aspx?menuIndex=3&amp;refID=7139618&amp;Result=3","7139618")</f>
        <v>0</v>
      </c>
      <c r="B6551" t="s">
        <v>45</v>
      </c>
      <c r="C6551" t="s">
        <v>9959</v>
      </c>
      <c r="E6551" t="s">
        <v>23802</v>
      </c>
      <c r="F6551" t="s">
        <v>30900</v>
      </c>
      <c r="G6551" t="s">
        <v>30907</v>
      </c>
      <c r="H6551" t="s">
        <v>30915</v>
      </c>
      <c r="I6551" t="s">
        <v>30919</v>
      </c>
      <c r="J6551" t="s">
        <v>35275</v>
      </c>
      <c r="K6551" t="s">
        <v>40358</v>
      </c>
      <c r="M6551" t="s">
        <v>40591</v>
      </c>
      <c r="N6551" t="s">
        <v>44759</v>
      </c>
      <c r="O6551" t="s">
        <v>44760</v>
      </c>
      <c r="P6551">
        <v>0</v>
      </c>
      <c r="Q6551">
        <v>0</v>
      </c>
      <c r="R6551" t="s">
        <v>44767</v>
      </c>
      <c r="S6551" t="s">
        <v>44954</v>
      </c>
      <c r="T6551" t="s">
        <v>46531</v>
      </c>
      <c r="U6551" t="s">
        <v>52417</v>
      </c>
      <c r="W6551" t="s">
        <v>40591</v>
      </c>
      <c r="X6551" t="s">
        <v>44769</v>
      </c>
    </row>
    <row r="6552" spans="1:24">
      <c r="A6552">
        <f>HYPERLINK("https://www.philgeps.gov.ph/GEPSNONPILOT/Tender/SplashBidNoticeAbstractUI.aspx?menuIndex=3&amp;refID=7139617&amp;Result=3","7139617")</f>
        <v>0</v>
      </c>
      <c r="B6552" t="s">
        <v>2309</v>
      </c>
      <c r="C6552" t="s">
        <v>9960</v>
      </c>
      <c r="D6552" t="s">
        <v>17961</v>
      </c>
      <c r="E6552" t="s">
        <v>23803</v>
      </c>
      <c r="F6552" t="s">
        <v>30900</v>
      </c>
      <c r="G6552" t="s">
        <v>30907</v>
      </c>
      <c r="H6552" t="s">
        <v>30916</v>
      </c>
      <c r="I6552" t="s">
        <v>5501</v>
      </c>
      <c r="J6552" t="s">
        <v>35276</v>
      </c>
      <c r="K6552" t="s">
        <v>40283</v>
      </c>
      <c r="M6552" t="s">
        <v>43027</v>
      </c>
      <c r="N6552" t="s">
        <v>44759</v>
      </c>
      <c r="O6552" t="s">
        <v>44760</v>
      </c>
      <c r="P6552">
        <v>0</v>
      </c>
      <c r="Q6552">
        <v>2</v>
      </c>
      <c r="R6552" t="s">
        <v>44767</v>
      </c>
      <c r="S6552" t="s">
        <v>44954</v>
      </c>
      <c r="T6552" t="s">
        <v>46533</v>
      </c>
      <c r="U6552" t="s">
        <v>52418</v>
      </c>
      <c r="V6552" t="s">
        <v>59834</v>
      </c>
      <c r="W6552" t="s">
        <v>43027</v>
      </c>
      <c r="X6552" t="s">
        <v>44769</v>
      </c>
    </row>
    <row r="6553" spans="1:24">
      <c r="A6553">
        <f>HYPERLINK("https://www.philgeps.gov.ph/GEPSNONPILOT/Tender/SplashBidNoticeAbstractUI.aspx?menuIndex=3&amp;refID=7139851&amp;Result=3","7139851")</f>
        <v>0</v>
      </c>
      <c r="B6553" t="s">
        <v>1203</v>
      </c>
      <c r="C6553" t="s">
        <v>9961</v>
      </c>
      <c r="D6553" t="s">
        <v>17953</v>
      </c>
      <c r="E6553" t="s">
        <v>23804</v>
      </c>
      <c r="F6553" t="s">
        <v>30900</v>
      </c>
      <c r="G6553" t="s">
        <v>30907</v>
      </c>
      <c r="H6553" t="s">
        <v>30915</v>
      </c>
      <c r="I6553" t="s">
        <v>30919</v>
      </c>
      <c r="J6553" t="s">
        <v>31937</v>
      </c>
      <c r="K6553" t="s">
        <v>40289</v>
      </c>
      <c r="M6553" t="s">
        <v>41814</v>
      </c>
      <c r="N6553" t="s">
        <v>44759</v>
      </c>
      <c r="O6553" t="s">
        <v>44760</v>
      </c>
      <c r="P6553">
        <v>0</v>
      </c>
      <c r="Q6553">
        <v>1</v>
      </c>
      <c r="R6553" t="s">
        <v>44767</v>
      </c>
      <c r="S6553" t="s">
        <v>44954</v>
      </c>
      <c r="T6553" t="s">
        <v>46709</v>
      </c>
      <c r="U6553" t="s">
        <v>52419</v>
      </c>
      <c r="V6553" t="s">
        <v>59431</v>
      </c>
      <c r="W6553" t="s">
        <v>41814</v>
      </c>
      <c r="X6553" t="s">
        <v>44769</v>
      </c>
    </row>
    <row r="6554" spans="1:24">
      <c r="A6554">
        <f>HYPERLINK("https://www.philgeps.gov.ph/GEPSNONPILOT/Tender/SplashBidNoticeAbstractUI.aspx?menuIndex=3&amp;refID=7139601&amp;Result=3","7139601")</f>
        <v>0</v>
      </c>
      <c r="B6554" t="s">
        <v>1189</v>
      </c>
      <c r="C6554" t="s">
        <v>9962</v>
      </c>
      <c r="D6554" t="s">
        <v>17953</v>
      </c>
      <c r="E6554" t="s">
        <v>23805</v>
      </c>
      <c r="F6554" t="s">
        <v>30899</v>
      </c>
      <c r="G6554" t="s">
        <v>30909</v>
      </c>
      <c r="H6554" t="s">
        <v>30916</v>
      </c>
      <c r="I6554" t="s">
        <v>30945</v>
      </c>
      <c r="J6554" t="s">
        <v>31048</v>
      </c>
      <c r="K6554" t="s">
        <v>40287</v>
      </c>
      <c r="M6554" t="s">
        <v>41798</v>
      </c>
      <c r="N6554" t="s">
        <v>44759</v>
      </c>
      <c r="O6554" t="s">
        <v>44760</v>
      </c>
      <c r="P6554">
        <v>0</v>
      </c>
      <c r="Q6554">
        <v>4</v>
      </c>
      <c r="R6554" t="s">
        <v>44767</v>
      </c>
      <c r="S6554" t="s">
        <v>44954</v>
      </c>
      <c r="T6554" t="s">
        <v>46547</v>
      </c>
      <c r="U6554" t="s">
        <v>52420</v>
      </c>
      <c r="V6554" t="s">
        <v>59539</v>
      </c>
      <c r="W6554" t="s">
        <v>41798</v>
      </c>
      <c r="X6554" t="s">
        <v>44769</v>
      </c>
    </row>
    <row r="6555" spans="1:24">
      <c r="A6555">
        <f>HYPERLINK("https://www.philgeps.gov.ph/GEPSNONPILOT/Tender/SplashBidNoticeAbstractUI.aspx?menuIndex=3&amp;refID=7139587&amp;Result=3","7139587")</f>
        <v>0</v>
      </c>
      <c r="B6555" t="s">
        <v>45</v>
      </c>
      <c r="C6555" t="s">
        <v>9963</v>
      </c>
      <c r="E6555" t="s">
        <v>23806</v>
      </c>
      <c r="F6555" t="s">
        <v>30900</v>
      </c>
      <c r="G6555" t="s">
        <v>30907</v>
      </c>
      <c r="H6555" t="s">
        <v>30915</v>
      </c>
      <c r="I6555" t="s">
        <v>30919</v>
      </c>
      <c r="J6555" t="s">
        <v>35277</v>
      </c>
      <c r="K6555" t="s">
        <v>40280</v>
      </c>
      <c r="M6555" t="s">
        <v>40591</v>
      </c>
      <c r="N6555" t="s">
        <v>44759</v>
      </c>
      <c r="O6555" t="s">
        <v>44760</v>
      </c>
      <c r="P6555">
        <v>0</v>
      </c>
      <c r="Q6555">
        <v>0</v>
      </c>
      <c r="R6555" t="s">
        <v>44767</v>
      </c>
      <c r="S6555" t="s">
        <v>44954</v>
      </c>
      <c r="T6555" t="s">
        <v>46531</v>
      </c>
      <c r="U6555" t="s">
        <v>52421</v>
      </c>
      <c r="W6555" t="s">
        <v>40591</v>
      </c>
      <c r="X6555" t="s">
        <v>44769</v>
      </c>
    </row>
    <row r="6556" spans="1:24">
      <c r="A6556">
        <f>HYPERLINK("https://www.philgeps.gov.ph/GEPSNONPILOT/Tender/SplashBidNoticeAbstractUI.aspx?menuIndex=3&amp;refID=7139581&amp;Result=3","7139581")</f>
        <v>0</v>
      </c>
      <c r="B6556" t="s">
        <v>2304</v>
      </c>
      <c r="C6556" t="s">
        <v>9964</v>
      </c>
      <c r="D6556" t="s">
        <v>17970</v>
      </c>
      <c r="E6556" t="s">
        <v>20219</v>
      </c>
      <c r="F6556" t="s">
        <v>30900</v>
      </c>
      <c r="G6556" t="s">
        <v>30907</v>
      </c>
      <c r="H6556" t="s">
        <v>30916</v>
      </c>
      <c r="I6556" t="s">
        <v>6953</v>
      </c>
      <c r="J6556" t="s">
        <v>35278</v>
      </c>
      <c r="K6556" t="s">
        <v>40293</v>
      </c>
      <c r="M6556" t="s">
        <v>43022</v>
      </c>
      <c r="N6556" t="s">
        <v>44759</v>
      </c>
      <c r="O6556" t="s">
        <v>44760</v>
      </c>
      <c r="P6556">
        <v>0</v>
      </c>
      <c r="Q6556">
        <v>1</v>
      </c>
      <c r="R6556" t="s">
        <v>44767</v>
      </c>
      <c r="S6556" t="s">
        <v>44954</v>
      </c>
      <c r="T6556" t="s">
        <v>46497</v>
      </c>
      <c r="U6556" t="s">
        <v>52398</v>
      </c>
      <c r="W6556" t="s">
        <v>43022</v>
      </c>
      <c r="X6556" t="s">
        <v>44769</v>
      </c>
    </row>
    <row r="6557" spans="1:24">
      <c r="A6557">
        <f>HYPERLINK("https://www.philgeps.gov.ph/GEPSNONPILOT/Tender/SplashBidNoticeAbstractUI.aspx?menuIndex=3&amp;refID=7139870&amp;Result=3","7139870")</f>
        <v>0</v>
      </c>
      <c r="B6557" t="s">
        <v>2307</v>
      </c>
      <c r="C6557" t="s">
        <v>9965</v>
      </c>
      <c r="D6557" t="s">
        <v>17955</v>
      </c>
      <c r="E6557" t="s">
        <v>23807</v>
      </c>
      <c r="F6557" t="s">
        <v>30900</v>
      </c>
      <c r="G6557" t="s">
        <v>30907</v>
      </c>
      <c r="H6557" t="s">
        <v>30916</v>
      </c>
      <c r="I6557" t="s">
        <v>8123</v>
      </c>
      <c r="J6557" t="s">
        <v>31669</v>
      </c>
      <c r="K6557" t="s">
        <v>40286</v>
      </c>
      <c r="M6557" t="s">
        <v>43025</v>
      </c>
      <c r="N6557" t="s">
        <v>44759</v>
      </c>
      <c r="O6557" t="s">
        <v>44760</v>
      </c>
      <c r="P6557">
        <v>0</v>
      </c>
      <c r="Q6557">
        <v>0</v>
      </c>
      <c r="R6557" t="s">
        <v>44767</v>
      </c>
      <c r="S6557" t="s">
        <v>44954</v>
      </c>
      <c r="T6557" t="s">
        <v>46393</v>
      </c>
      <c r="U6557" t="s">
        <v>52422</v>
      </c>
      <c r="W6557" t="s">
        <v>43025</v>
      </c>
      <c r="X6557" t="s">
        <v>44769</v>
      </c>
    </row>
    <row r="6558" spans="1:24">
      <c r="A6558">
        <f>HYPERLINK("https://www.philgeps.gov.ph/GEPSNONPILOT/Tender/SplashBidNoticeAbstractUI.aspx?menuIndex=3&amp;refID=7139838&amp;Result=3","7139838")</f>
        <v>0</v>
      </c>
      <c r="B6558" t="s">
        <v>2307</v>
      </c>
      <c r="C6558" t="s">
        <v>9966</v>
      </c>
      <c r="D6558" t="s">
        <v>17955</v>
      </c>
      <c r="E6558" t="s">
        <v>23808</v>
      </c>
      <c r="F6558" t="s">
        <v>30900</v>
      </c>
      <c r="G6558" t="s">
        <v>30907</v>
      </c>
      <c r="H6558" t="s">
        <v>30916</v>
      </c>
      <c r="I6558" t="s">
        <v>4061</v>
      </c>
      <c r="J6558" t="s">
        <v>31105</v>
      </c>
      <c r="K6558" t="s">
        <v>40286</v>
      </c>
      <c r="M6558" t="s">
        <v>43025</v>
      </c>
      <c r="N6558" t="s">
        <v>44759</v>
      </c>
      <c r="O6558" t="s">
        <v>44760</v>
      </c>
      <c r="P6558">
        <v>0</v>
      </c>
      <c r="Q6558">
        <v>1</v>
      </c>
      <c r="R6558" t="s">
        <v>44767</v>
      </c>
      <c r="S6558" t="s">
        <v>44954</v>
      </c>
      <c r="T6558" t="s">
        <v>46393</v>
      </c>
      <c r="U6558" t="s">
        <v>52423</v>
      </c>
      <c r="W6558" t="s">
        <v>43025</v>
      </c>
      <c r="X6558" t="s">
        <v>44769</v>
      </c>
    </row>
    <row r="6559" spans="1:24">
      <c r="A6559">
        <f>HYPERLINK("https://www.philgeps.gov.ph/GEPSNONPILOT/Tender/SplashBidNoticeAbstractUI.aspx?menuIndex=3&amp;refID=7140120&amp;Result=3","7140120")</f>
        <v>0</v>
      </c>
      <c r="B6559" t="s">
        <v>811</v>
      </c>
      <c r="C6559" t="s">
        <v>9967</v>
      </c>
      <c r="D6559" t="s">
        <v>18000</v>
      </c>
      <c r="E6559" t="s">
        <v>22351</v>
      </c>
      <c r="F6559" t="s">
        <v>30900</v>
      </c>
      <c r="G6559" t="s">
        <v>30907</v>
      </c>
      <c r="H6559" t="s">
        <v>30915</v>
      </c>
      <c r="I6559" t="s">
        <v>30919</v>
      </c>
      <c r="J6559" t="s">
        <v>35279</v>
      </c>
      <c r="K6559" t="s">
        <v>40304</v>
      </c>
      <c r="M6559" t="s">
        <v>41382</v>
      </c>
      <c r="N6559" t="s">
        <v>44759</v>
      </c>
      <c r="O6559" t="s">
        <v>44760</v>
      </c>
      <c r="P6559">
        <v>0</v>
      </c>
      <c r="Q6559">
        <v>0</v>
      </c>
      <c r="R6559" t="s">
        <v>44767</v>
      </c>
      <c r="S6559" t="s">
        <v>44954</v>
      </c>
      <c r="T6559" t="s">
        <v>46606</v>
      </c>
      <c r="U6559" t="s">
        <v>52411</v>
      </c>
      <c r="W6559" t="s">
        <v>41382</v>
      </c>
      <c r="X6559" t="s">
        <v>44769</v>
      </c>
    </row>
    <row r="6560" spans="1:24">
      <c r="A6560">
        <f>HYPERLINK("https://www.philgeps.gov.ph/GEPSNONPILOT/Tender/SplashBidNoticeAbstractUI.aspx?menuIndex=3&amp;refID=7139846&amp;Result=3","7139846")</f>
        <v>0</v>
      </c>
      <c r="B6560" t="s">
        <v>41</v>
      </c>
      <c r="C6560" t="s">
        <v>9968</v>
      </c>
      <c r="D6560" t="s">
        <v>17966</v>
      </c>
      <c r="E6560" t="s">
        <v>23809</v>
      </c>
      <c r="F6560" t="s">
        <v>30900</v>
      </c>
      <c r="G6560" t="s">
        <v>30907</v>
      </c>
      <c r="H6560" t="s">
        <v>30916</v>
      </c>
      <c r="I6560" t="s">
        <v>4050</v>
      </c>
      <c r="J6560" t="s">
        <v>35280</v>
      </c>
      <c r="K6560" t="s">
        <v>40283</v>
      </c>
      <c r="M6560" t="s">
        <v>40831</v>
      </c>
      <c r="N6560" t="s">
        <v>44759</v>
      </c>
      <c r="O6560" t="s">
        <v>44760</v>
      </c>
      <c r="P6560">
        <v>0</v>
      </c>
      <c r="Q6560">
        <v>0</v>
      </c>
      <c r="R6560" t="s">
        <v>44767</v>
      </c>
      <c r="S6560" t="s">
        <v>44954</v>
      </c>
      <c r="T6560" t="s">
        <v>46366</v>
      </c>
      <c r="U6560" t="s">
        <v>52424</v>
      </c>
      <c r="V6560" t="s">
        <v>59095</v>
      </c>
      <c r="W6560" t="s">
        <v>40831</v>
      </c>
      <c r="X6560" t="s">
        <v>44769</v>
      </c>
    </row>
    <row r="6561" spans="1:24">
      <c r="A6561">
        <f>HYPERLINK("https://www.philgeps.gov.ph/GEPSNONPILOT/Tender/SplashBidNoticeAbstractUI.aspx?menuIndex=3&amp;refID=7140074&amp;Result=3","7140074")</f>
        <v>0</v>
      </c>
      <c r="B6561" t="s">
        <v>2310</v>
      </c>
      <c r="C6561" t="s">
        <v>9969</v>
      </c>
      <c r="D6561" t="s">
        <v>17952</v>
      </c>
      <c r="E6561" t="s">
        <v>23810</v>
      </c>
      <c r="F6561" t="s">
        <v>30900</v>
      </c>
      <c r="G6561" t="s">
        <v>30907</v>
      </c>
      <c r="H6561" t="s">
        <v>30916</v>
      </c>
      <c r="I6561" t="s">
        <v>30934</v>
      </c>
      <c r="J6561" t="s">
        <v>35281</v>
      </c>
      <c r="K6561" t="s">
        <v>40280</v>
      </c>
      <c r="M6561" t="s">
        <v>43028</v>
      </c>
      <c r="N6561" t="s">
        <v>44759</v>
      </c>
      <c r="O6561" t="s">
        <v>44760</v>
      </c>
      <c r="P6561">
        <v>0</v>
      </c>
      <c r="Q6561">
        <v>3</v>
      </c>
      <c r="R6561" t="s">
        <v>44767</v>
      </c>
      <c r="S6561" t="s">
        <v>44954</v>
      </c>
      <c r="T6561" t="s">
        <v>46689</v>
      </c>
      <c r="U6561" t="s">
        <v>52425</v>
      </c>
      <c r="W6561" t="s">
        <v>43028</v>
      </c>
      <c r="X6561" t="s">
        <v>44769</v>
      </c>
    </row>
    <row r="6562" spans="1:24">
      <c r="A6562">
        <f>HYPERLINK("https://www.philgeps.gov.ph/GEPSNONPILOT/Tender/SplashBidNoticeAbstractUI.aspx?menuIndex=3&amp;refID=7139536&amp;Result=3","7139536")</f>
        <v>0</v>
      </c>
      <c r="B6562" t="s">
        <v>45</v>
      </c>
      <c r="C6562" t="s">
        <v>9970</v>
      </c>
      <c r="E6562" t="s">
        <v>23811</v>
      </c>
      <c r="F6562" t="s">
        <v>30900</v>
      </c>
      <c r="G6562" t="s">
        <v>30907</v>
      </c>
      <c r="H6562" t="s">
        <v>30916</v>
      </c>
      <c r="I6562" t="s">
        <v>30933</v>
      </c>
      <c r="J6562" t="s">
        <v>31297</v>
      </c>
      <c r="K6562" t="s">
        <v>40280</v>
      </c>
      <c r="M6562" t="s">
        <v>40591</v>
      </c>
      <c r="N6562" t="s">
        <v>44759</v>
      </c>
      <c r="O6562" t="s">
        <v>44760</v>
      </c>
      <c r="P6562">
        <v>0</v>
      </c>
      <c r="Q6562">
        <v>3</v>
      </c>
      <c r="R6562" t="s">
        <v>44767</v>
      </c>
      <c r="S6562" t="s">
        <v>44954</v>
      </c>
      <c r="T6562" t="s">
        <v>46497</v>
      </c>
      <c r="U6562" t="s">
        <v>52426</v>
      </c>
      <c r="W6562" t="s">
        <v>40591</v>
      </c>
      <c r="X6562" t="s">
        <v>44769</v>
      </c>
    </row>
    <row r="6563" spans="1:24">
      <c r="A6563">
        <f>HYPERLINK("https://www.philgeps.gov.ph/GEPSNONPILOT/Tender/SplashBidNoticeAbstractUI.aspx?menuIndex=3&amp;refID=7140121&amp;Result=3","7140121")</f>
        <v>0</v>
      </c>
      <c r="B6563" t="s">
        <v>2311</v>
      </c>
      <c r="C6563" t="s">
        <v>9971</v>
      </c>
      <c r="D6563" t="s">
        <v>17963</v>
      </c>
      <c r="E6563" t="s">
        <v>23812</v>
      </c>
      <c r="F6563" t="s">
        <v>30900</v>
      </c>
      <c r="G6563" t="s">
        <v>30907</v>
      </c>
      <c r="H6563" t="s">
        <v>30916</v>
      </c>
      <c r="I6563" t="s">
        <v>4108</v>
      </c>
      <c r="J6563" t="s">
        <v>35282</v>
      </c>
      <c r="K6563" t="s">
        <v>40289</v>
      </c>
      <c r="M6563" t="s">
        <v>43029</v>
      </c>
      <c r="N6563" t="s">
        <v>44759</v>
      </c>
      <c r="O6563" t="s">
        <v>44760</v>
      </c>
      <c r="P6563">
        <v>0</v>
      </c>
      <c r="Q6563">
        <v>1</v>
      </c>
      <c r="R6563" t="s">
        <v>44767</v>
      </c>
      <c r="S6563" t="s">
        <v>44954</v>
      </c>
      <c r="T6563" t="s">
        <v>46531</v>
      </c>
      <c r="U6563" t="s">
        <v>52427</v>
      </c>
      <c r="W6563" t="s">
        <v>43029</v>
      </c>
      <c r="X6563" t="s">
        <v>44769</v>
      </c>
    </row>
    <row r="6564" spans="1:24">
      <c r="A6564">
        <f>HYPERLINK("https://www.philgeps.gov.ph/GEPSNONPILOT/Tender/SplashBidNoticeAbstractUI.aspx?menuIndex=3&amp;refID=7140309&amp;Result=3","7140309")</f>
        <v>0</v>
      </c>
      <c r="B6564" t="s">
        <v>2312</v>
      </c>
      <c r="C6564" t="s">
        <v>7949</v>
      </c>
      <c r="E6564" t="s">
        <v>23813</v>
      </c>
      <c r="F6564" t="s">
        <v>30900</v>
      </c>
      <c r="G6564" t="s">
        <v>30907</v>
      </c>
      <c r="H6564" t="s">
        <v>30916</v>
      </c>
      <c r="I6564" t="s">
        <v>4142</v>
      </c>
      <c r="J6564" t="s">
        <v>31101</v>
      </c>
      <c r="K6564" t="s">
        <v>40289</v>
      </c>
      <c r="M6564" t="s">
        <v>43030</v>
      </c>
      <c r="N6564" t="s">
        <v>44759</v>
      </c>
      <c r="O6564" t="s">
        <v>44760</v>
      </c>
      <c r="P6564">
        <v>0</v>
      </c>
      <c r="Q6564">
        <v>3</v>
      </c>
      <c r="R6564" t="s">
        <v>44767</v>
      </c>
      <c r="S6564" t="s">
        <v>44954</v>
      </c>
      <c r="T6564" t="s">
        <v>46531</v>
      </c>
      <c r="U6564" t="s">
        <v>52428</v>
      </c>
      <c r="W6564" t="s">
        <v>43030</v>
      </c>
      <c r="X6564" t="s">
        <v>44769</v>
      </c>
    </row>
    <row r="6565" spans="1:24">
      <c r="A6565">
        <f>HYPERLINK("https://www.philgeps.gov.ph/GEPSNONPILOT/Tender/SplashBidNoticeAbstractUI.aspx?menuIndex=3&amp;refID=7140101&amp;Result=3","7140101")</f>
        <v>0</v>
      </c>
      <c r="B6565" t="s">
        <v>2310</v>
      </c>
      <c r="C6565" t="s">
        <v>9972</v>
      </c>
      <c r="D6565" t="s">
        <v>17952</v>
      </c>
      <c r="E6565" t="s">
        <v>23814</v>
      </c>
      <c r="F6565" t="s">
        <v>30900</v>
      </c>
      <c r="G6565" t="s">
        <v>30907</v>
      </c>
      <c r="H6565" t="s">
        <v>30916</v>
      </c>
      <c r="I6565" t="s">
        <v>30963</v>
      </c>
      <c r="J6565" t="s">
        <v>35283</v>
      </c>
      <c r="K6565" t="s">
        <v>40284</v>
      </c>
      <c r="M6565" t="s">
        <v>43028</v>
      </c>
      <c r="N6565" t="s">
        <v>44759</v>
      </c>
      <c r="O6565" t="s">
        <v>44760</v>
      </c>
      <c r="P6565">
        <v>0</v>
      </c>
      <c r="Q6565">
        <v>2</v>
      </c>
      <c r="R6565" t="s">
        <v>44767</v>
      </c>
      <c r="S6565" t="s">
        <v>44954</v>
      </c>
      <c r="T6565" t="s">
        <v>46403</v>
      </c>
      <c r="U6565" t="s">
        <v>52429</v>
      </c>
      <c r="W6565" t="s">
        <v>43028</v>
      </c>
      <c r="X6565" t="s">
        <v>44769</v>
      </c>
    </row>
    <row r="6566" spans="1:24">
      <c r="A6566">
        <f>HYPERLINK("https://www.philgeps.gov.ph/GEPSNONPILOT/Tender/SplashBidNoticeAbstractUI.aspx?menuIndex=3&amp;refID=7140224&amp;Result=3","7140224")</f>
        <v>0</v>
      </c>
      <c r="B6566" t="s">
        <v>811</v>
      </c>
      <c r="C6566" t="s">
        <v>9973</v>
      </c>
      <c r="D6566" t="s">
        <v>18000</v>
      </c>
      <c r="E6566" t="s">
        <v>20359</v>
      </c>
      <c r="F6566" t="s">
        <v>30900</v>
      </c>
      <c r="G6566" t="s">
        <v>30907</v>
      </c>
      <c r="H6566" t="s">
        <v>30915</v>
      </c>
      <c r="I6566" t="s">
        <v>30919</v>
      </c>
      <c r="J6566" t="s">
        <v>35284</v>
      </c>
      <c r="K6566" t="s">
        <v>40304</v>
      </c>
      <c r="M6566" t="s">
        <v>41382</v>
      </c>
      <c r="N6566" t="s">
        <v>44759</v>
      </c>
      <c r="O6566" t="s">
        <v>44760</v>
      </c>
      <c r="P6566">
        <v>0</v>
      </c>
      <c r="Q6566">
        <v>1</v>
      </c>
      <c r="R6566" t="s">
        <v>44767</v>
      </c>
      <c r="S6566" t="s">
        <v>44954</v>
      </c>
      <c r="T6566" t="s">
        <v>46606</v>
      </c>
      <c r="U6566" t="s">
        <v>52411</v>
      </c>
      <c r="W6566" t="s">
        <v>41382</v>
      </c>
      <c r="X6566" t="s">
        <v>44769</v>
      </c>
    </row>
    <row r="6567" spans="1:24">
      <c r="A6567">
        <f>HYPERLINK("https://www.philgeps.gov.ph/GEPSNONPILOT/Tender/SplashBidNoticeAbstractUI.aspx?menuIndex=3&amp;refID=7140216&amp;Result=3","7140216")</f>
        <v>0</v>
      </c>
      <c r="B6567" t="s">
        <v>2313</v>
      </c>
      <c r="C6567" t="s">
        <v>9974</v>
      </c>
      <c r="D6567" t="s">
        <v>17973</v>
      </c>
      <c r="E6567" t="s">
        <v>23815</v>
      </c>
      <c r="F6567" t="s">
        <v>30900</v>
      </c>
      <c r="G6567" t="s">
        <v>30907</v>
      </c>
      <c r="H6567" t="s">
        <v>30916</v>
      </c>
      <c r="I6567" t="s">
        <v>4965</v>
      </c>
      <c r="J6567" t="s">
        <v>35285</v>
      </c>
      <c r="K6567" t="s">
        <v>40293</v>
      </c>
      <c r="M6567" t="s">
        <v>43031</v>
      </c>
      <c r="N6567" t="s">
        <v>44759</v>
      </c>
      <c r="O6567" t="s">
        <v>44760</v>
      </c>
      <c r="P6567">
        <v>0</v>
      </c>
      <c r="Q6567">
        <v>5</v>
      </c>
      <c r="R6567" t="s">
        <v>44767</v>
      </c>
      <c r="S6567" t="s">
        <v>44954</v>
      </c>
      <c r="T6567" t="s">
        <v>46606</v>
      </c>
      <c r="U6567" t="s">
        <v>52430</v>
      </c>
      <c r="W6567" t="s">
        <v>43031</v>
      </c>
      <c r="X6567" t="s">
        <v>44769</v>
      </c>
    </row>
    <row r="6568" spans="1:24">
      <c r="A6568">
        <f>HYPERLINK("https://www.philgeps.gov.ph/GEPSNONPILOT/Tender/SplashBidNoticeAbstractUI.aspx?menuIndex=3&amp;refID=7140178&amp;Result=3","7140178")</f>
        <v>0</v>
      </c>
      <c r="B6568" t="s">
        <v>2310</v>
      </c>
      <c r="C6568" t="s">
        <v>9975</v>
      </c>
      <c r="D6568" t="s">
        <v>17952</v>
      </c>
      <c r="E6568" t="s">
        <v>23816</v>
      </c>
      <c r="F6568" t="s">
        <v>30900</v>
      </c>
      <c r="G6568" t="s">
        <v>30907</v>
      </c>
      <c r="H6568" t="s">
        <v>30916</v>
      </c>
      <c r="I6568" t="s">
        <v>30923</v>
      </c>
      <c r="J6568" t="s">
        <v>35286</v>
      </c>
      <c r="K6568" t="s">
        <v>40284</v>
      </c>
      <c r="M6568" t="s">
        <v>43028</v>
      </c>
      <c r="N6568" t="s">
        <v>44759</v>
      </c>
      <c r="O6568" t="s">
        <v>44760</v>
      </c>
      <c r="P6568">
        <v>0</v>
      </c>
      <c r="Q6568">
        <v>5</v>
      </c>
      <c r="R6568" t="s">
        <v>44767</v>
      </c>
      <c r="S6568" t="s">
        <v>44954</v>
      </c>
      <c r="T6568" t="s">
        <v>46689</v>
      </c>
      <c r="U6568" t="s">
        <v>52431</v>
      </c>
      <c r="W6568" t="s">
        <v>43028</v>
      </c>
      <c r="X6568" t="s">
        <v>44769</v>
      </c>
    </row>
    <row r="6569" spans="1:24">
      <c r="A6569">
        <f>HYPERLINK("https://www.philgeps.gov.ph/GEPSNONPILOT/Tender/SplashBidNoticeAbstractUI.aspx?menuIndex=3&amp;refID=7140162&amp;Result=3","7140162")</f>
        <v>0</v>
      </c>
      <c r="B6569" t="s">
        <v>811</v>
      </c>
      <c r="C6569" t="s">
        <v>9976</v>
      </c>
      <c r="D6569" t="s">
        <v>18000</v>
      </c>
      <c r="E6569" t="s">
        <v>19396</v>
      </c>
      <c r="F6569" t="s">
        <v>30900</v>
      </c>
      <c r="G6569" t="s">
        <v>30907</v>
      </c>
      <c r="H6569" t="s">
        <v>30915</v>
      </c>
      <c r="I6569" t="s">
        <v>30919</v>
      </c>
      <c r="J6569" t="s">
        <v>35287</v>
      </c>
      <c r="K6569" t="s">
        <v>40304</v>
      </c>
      <c r="M6569" t="s">
        <v>41382</v>
      </c>
      <c r="N6569" t="s">
        <v>44759</v>
      </c>
      <c r="O6569" t="s">
        <v>44760</v>
      </c>
      <c r="P6569">
        <v>0</v>
      </c>
      <c r="Q6569">
        <v>1</v>
      </c>
      <c r="R6569" t="s">
        <v>44767</v>
      </c>
      <c r="S6569" t="s">
        <v>44954</v>
      </c>
      <c r="T6569" t="s">
        <v>46606</v>
      </c>
      <c r="U6569" t="s">
        <v>52411</v>
      </c>
      <c r="W6569" t="s">
        <v>41382</v>
      </c>
      <c r="X6569" t="s">
        <v>44769</v>
      </c>
    </row>
    <row r="6570" spans="1:24">
      <c r="A6570">
        <f>HYPERLINK("https://www.philgeps.gov.ph/GEPSNONPILOT/Tender/SplashBidNoticeAbstractUI.aspx?menuIndex=3&amp;refID=7140061&amp;Result=3","7140061")</f>
        <v>0</v>
      </c>
      <c r="B6570" t="s">
        <v>2310</v>
      </c>
      <c r="C6570" t="s">
        <v>9977</v>
      </c>
      <c r="D6570" t="s">
        <v>17952</v>
      </c>
      <c r="E6570" t="s">
        <v>23817</v>
      </c>
      <c r="F6570" t="s">
        <v>30900</v>
      </c>
      <c r="G6570" t="s">
        <v>30907</v>
      </c>
      <c r="H6570" t="s">
        <v>30916</v>
      </c>
      <c r="I6570" t="s">
        <v>4545</v>
      </c>
      <c r="J6570" t="s">
        <v>31413</v>
      </c>
      <c r="K6570" t="s">
        <v>40284</v>
      </c>
      <c r="M6570" t="s">
        <v>43028</v>
      </c>
      <c r="N6570" t="s">
        <v>44759</v>
      </c>
      <c r="O6570" t="s">
        <v>44760</v>
      </c>
      <c r="P6570">
        <v>0</v>
      </c>
      <c r="Q6570">
        <v>6</v>
      </c>
      <c r="R6570" t="s">
        <v>44767</v>
      </c>
      <c r="S6570" t="s">
        <v>44954</v>
      </c>
      <c r="T6570" t="s">
        <v>46403</v>
      </c>
      <c r="U6570" t="s">
        <v>52432</v>
      </c>
      <c r="W6570" t="s">
        <v>43028</v>
      </c>
      <c r="X6570" t="s">
        <v>44769</v>
      </c>
    </row>
    <row r="6571" spans="1:24">
      <c r="A6571">
        <f>HYPERLINK("https://www.philgeps.gov.ph/GEPSNONPILOT/Tender/SplashBidNoticeAbstractUI.aspx?menuIndex=3&amp;refID=7140156&amp;Result=3","7140156")</f>
        <v>0</v>
      </c>
      <c r="B6571" t="s">
        <v>2310</v>
      </c>
      <c r="C6571" t="s">
        <v>9978</v>
      </c>
      <c r="D6571" t="s">
        <v>17952</v>
      </c>
      <c r="E6571" t="s">
        <v>23818</v>
      </c>
      <c r="F6571" t="s">
        <v>30900</v>
      </c>
      <c r="G6571" t="s">
        <v>30907</v>
      </c>
      <c r="H6571" t="s">
        <v>30916</v>
      </c>
      <c r="I6571" t="s">
        <v>4545</v>
      </c>
      <c r="J6571" t="s">
        <v>35288</v>
      </c>
      <c r="K6571" t="s">
        <v>40284</v>
      </c>
      <c r="M6571" t="s">
        <v>43028</v>
      </c>
      <c r="N6571" t="s">
        <v>44759</v>
      </c>
      <c r="O6571" t="s">
        <v>44760</v>
      </c>
      <c r="P6571">
        <v>0</v>
      </c>
      <c r="Q6571">
        <v>8</v>
      </c>
      <c r="R6571" t="s">
        <v>44767</v>
      </c>
      <c r="S6571" t="s">
        <v>44954</v>
      </c>
      <c r="T6571" t="s">
        <v>46689</v>
      </c>
      <c r="U6571" t="s">
        <v>52433</v>
      </c>
      <c r="W6571" t="s">
        <v>43028</v>
      </c>
      <c r="X6571" t="s">
        <v>44769</v>
      </c>
    </row>
    <row r="6572" spans="1:24">
      <c r="A6572">
        <f>HYPERLINK("https://www.philgeps.gov.ph/GEPSNONPILOT/Tender/SplashBidNoticeAbstractUI.aspx?menuIndex=3&amp;refID=7140319&amp;Result=3","7140319")</f>
        <v>0</v>
      </c>
      <c r="B6572" t="s">
        <v>1100</v>
      </c>
      <c r="C6572" t="s">
        <v>9979</v>
      </c>
      <c r="D6572" t="s">
        <v>17980</v>
      </c>
      <c r="E6572" t="s">
        <v>23819</v>
      </c>
      <c r="F6572" t="s">
        <v>30900</v>
      </c>
      <c r="G6572" t="s">
        <v>30908</v>
      </c>
      <c r="H6572" t="s">
        <v>30915</v>
      </c>
      <c r="I6572" t="s">
        <v>30919</v>
      </c>
      <c r="J6572" t="s">
        <v>35289</v>
      </c>
      <c r="K6572" t="s">
        <v>40289</v>
      </c>
      <c r="M6572" t="s">
        <v>41789</v>
      </c>
      <c r="N6572" t="s">
        <v>44759</v>
      </c>
      <c r="O6572" t="s">
        <v>44760</v>
      </c>
      <c r="P6572">
        <v>0</v>
      </c>
      <c r="Q6572">
        <v>2</v>
      </c>
      <c r="R6572" t="s">
        <v>44767</v>
      </c>
      <c r="S6572" t="s">
        <v>44954</v>
      </c>
      <c r="T6572" t="s">
        <v>46548</v>
      </c>
      <c r="U6572" t="s">
        <v>52434</v>
      </c>
      <c r="W6572" t="s">
        <v>41789</v>
      </c>
      <c r="X6572" t="s">
        <v>44769</v>
      </c>
    </row>
    <row r="6573" spans="1:24">
      <c r="A6573">
        <f>HYPERLINK("https://www.philgeps.gov.ph/GEPSNONPILOT/Tender/SplashBidNoticeAbstractUI.aspx?menuIndex=3&amp;refID=7139992&amp;Result=3","7139992")</f>
        <v>0</v>
      </c>
      <c r="B6573" t="s">
        <v>2310</v>
      </c>
      <c r="C6573" t="s">
        <v>9980</v>
      </c>
      <c r="D6573" t="s">
        <v>17952</v>
      </c>
      <c r="E6573" t="s">
        <v>23820</v>
      </c>
      <c r="F6573" t="s">
        <v>30900</v>
      </c>
      <c r="G6573" t="s">
        <v>30907</v>
      </c>
      <c r="H6573" t="s">
        <v>30916</v>
      </c>
      <c r="I6573" t="s">
        <v>30978</v>
      </c>
      <c r="J6573" t="s">
        <v>35290</v>
      </c>
      <c r="K6573" t="s">
        <v>40289</v>
      </c>
      <c r="M6573" t="s">
        <v>43028</v>
      </c>
      <c r="N6573" t="s">
        <v>44759</v>
      </c>
      <c r="O6573" t="s">
        <v>44760</v>
      </c>
      <c r="P6573">
        <v>0</v>
      </c>
      <c r="Q6573">
        <v>3</v>
      </c>
      <c r="R6573" t="s">
        <v>44767</v>
      </c>
      <c r="S6573" t="s">
        <v>44954</v>
      </c>
      <c r="T6573" t="s">
        <v>46689</v>
      </c>
      <c r="U6573" t="s">
        <v>52435</v>
      </c>
      <c r="W6573" t="s">
        <v>43028</v>
      </c>
      <c r="X6573" t="s">
        <v>44769</v>
      </c>
    </row>
    <row r="6574" spans="1:24">
      <c r="A6574">
        <f>HYPERLINK("https://www.philgeps.gov.ph/GEPSNONPILOT/Tender/SplashBidNoticeAbstractUI.aspx?menuIndex=3&amp;refID=7139951&amp;Result=3","7139951")</f>
        <v>0</v>
      </c>
      <c r="B6574" t="s">
        <v>811</v>
      </c>
      <c r="C6574" t="s">
        <v>9981</v>
      </c>
      <c r="D6574" t="s">
        <v>18000</v>
      </c>
      <c r="E6574" t="s">
        <v>22263</v>
      </c>
      <c r="F6574" t="s">
        <v>30900</v>
      </c>
      <c r="G6574" t="s">
        <v>30907</v>
      </c>
      <c r="H6574" t="s">
        <v>30915</v>
      </c>
      <c r="I6574" t="s">
        <v>30919</v>
      </c>
      <c r="J6574" t="s">
        <v>35279</v>
      </c>
      <c r="K6574" t="s">
        <v>40304</v>
      </c>
      <c r="M6574" t="s">
        <v>41382</v>
      </c>
      <c r="N6574" t="s">
        <v>44759</v>
      </c>
      <c r="O6574" t="s">
        <v>44760</v>
      </c>
      <c r="P6574">
        <v>0</v>
      </c>
      <c r="Q6574">
        <v>1</v>
      </c>
      <c r="R6574" t="s">
        <v>44767</v>
      </c>
      <c r="S6574" t="s">
        <v>44954</v>
      </c>
      <c r="T6574" t="s">
        <v>46606</v>
      </c>
      <c r="U6574" t="s">
        <v>52411</v>
      </c>
      <c r="W6574" t="s">
        <v>41382</v>
      </c>
      <c r="X6574" t="s">
        <v>44769</v>
      </c>
    </row>
    <row r="6575" spans="1:24">
      <c r="A6575">
        <f>HYPERLINK("https://www.philgeps.gov.ph/GEPSNONPILOT/Tender/SplashBidNoticeAbstractUI.aspx?menuIndex=3&amp;refID=7140199&amp;Result=3","7140199")</f>
        <v>0</v>
      </c>
      <c r="B6575" t="s">
        <v>811</v>
      </c>
      <c r="C6575" t="s">
        <v>9982</v>
      </c>
      <c r="D6575" t="s">
        <v>18000</v>
      </c>
      <c r="E6575" t="s">
        <v>22270</v>
      </c>
      <c r="F6575" t="s">
        <v>30900</v>
      </c>
      <c r="G6575" t="s">
        <v>30907</v>
      </c>
      <c r="H6575" t="s">
        <v>30915</v>
      </c>
      <c r="I6575" t="s">
        <v>30919</v>
      </c>
      <c r="J6575" t="s">
        <v>35291</v>
      </c>
      <c r="K6575" t="s">
        <v>40304</v>
      </c>
      <c r="M6575" t="s">
        <v>41382</v>
      </c>
      <c r="N6575" t="s">
        <v>44759</v>
      </c>
      <c r="O6575" t="s">
        <v>44760</v>
      </c>
      <c r="P6575">
        <v>0</v>
      </c>
      <c r="Q6575">
        <v>0</v>
      </c>
      <c r="R6575" t="s">
        <v>44767</v>
      </c>
      <c r="S6575" t="s">
        <v>44954</v>
      </c>
      <c r="T6575" t="s">
        <v>46606</v>
      </c>
      <c r="U6575" t="s">
        <v>52411</v>
      </c>
      <c r="W6575" t="s">
        <v>41382</v>
      </c>
      <c r="X6575" t="s">
        <v>44769</v>
      </c>
    </row>
    <row r="6576" spans="1:24">
      <c r="A6576">
        <f>HYPERLINK("https://www.philgeps.gov.ph/GEPSNONPILOT/Tender/SplashBidNoticeAbstractUI.aspx?menuIndex=3&amp;refID=7139895&amp;Result=3","7139895")</f>
        <v>0</v>
      </c>
      <c r="B6576" t="s">
        <v>1203</v>
      </c>
      <c r="C6576" t="s">
        <v>9983</v>
      </c>
      <c r="D6576" t="s">
        <v>17953</v>
      </c>
      <c r="E6576" t="s">
        <v>23821</v>
      </c>
      <c r="F6576" t="s">
        <v>30900</v>
      </c>
      <c r="G6576" t="s">
        <v>30907</v>
      </c>
      <c r="H6576" t="s">
        <v>30915</v>
      </c>
      <c r="I6576" t="s">
        <v>30919</v>
      </c>
      <c r="J6576" t="s">
        <v>31937</v>
      </c>
      <c r="K6576" t="s">
        <v>40289</v>
      </c>
      <c r="M6576" t="s">
        <v>41814</v>
      </c>
      <c r="N6576" t="s">
        <v>44759</v>
      </c>
      <c r="O6576" t="s">
        <v>44760</v>
      </c>
      <c r="P6576">
        <v>0</v>
      </c>
      <c r="Q6576">
        <v>1</v>
      </c>
      <c r="R6576" t="s">
        <v>44767</v>
      </c>
      <c r="S6576" t="s">
        <v>44954</v>
      </c>
      <c r="T6576" t="s">
        <v>46709</v>
      </c>
      <c r="U6576" t="s">
        <v>52436</v>
      </c>
      <c r="V6576" t="s">
        <v>59431</v>
      </c>
      <c r="W6576" t="s">
        <v>41814</v>
      </c>
      <c r="X6576" t="s">
        <v>44769</v>
      </c>
    </row>
    <row r="6577" spans="1:24">
      <c r="A6577">
        <f>HYPERLINK("https://www.philgeps.gov.ph/GEPSNONPILOT/Tender/SplashBidNoticeAbstractUI.aspx?menuIndex=3&amp;refID=7140030&amp;Result=3","7140030")</f>
        <v>0</v>
      </c>
      <c r="B6577" t="s">
        <v>2308</v>
      </c>
      <c r="C6577" t="s">
        <v>9984</v>
      </c>
      <c r="D6577" t="s">
        <v>17969</v>
      </c>
      <c r="E6577" t="s">
        <v>23822</v>
      </c>
      <c r="F6577" t="s">
        <v>30900</v>
      </c>
      <c r="G6577" t="s">
        <v>30907</v>
      </c>
      <c r="H6577" t="s">
        <v>30915</v>
      </c>
      <c r="I6577" t="s">
        <v>30919</v>
      </c>
      <c r="J6577" t="s">
        <v>31341</v>
      </c>
      <c r="K6577" t="s">
        <v>40286</v>
      </c>
      <c r="M6577" t="s">
        <v>43026</v>
      </c>
      <c r="N6577" t="s">
        <v>44759</v>
      </c>
      <c r="O6577" t="s">
        <v>44760</v>
      </c>
      <c r="P6577">
        <v>0</v>
      </c>
      <c r="Q6577">
        <v>1</v>
      </c>
      <c r="R6577" t="s">
        <v>44767</v>
      </c>
      <c r="S6577" t="s">
        <v>44954</v>
      </c>
      <c r="T6577" t="s">
        <v>46449</v>
      </c>
      <c r="U6577" t="s">
        <v>52437</v>
      </c>
      <c r="W6577" t="s">
        <v>43026</v>
      </c>
      <c r="X6577" t="s">
        <v>44769</v>
      </c>
    </row>
    <row r="6578" spans="1:24">
      <c r="A6578">
        <f>HYPERLINK("https://www.philgeps.gov.ph/GEPSNONPILOT/Tender/SplashBidNoticeAbstractUI.aspx?menuIndex=3&amp;refID=7139382&amp;Result=3","7139382")</f>
        <v>0</v>
      </c>
      <c r="B6578" t="s">
        <v>764</v>
      </c>
      <c r="C6578" t="s">
        <v>9985</v>
      </c>
      <c r="D6578" t="s">
        <v>17998</v>
      </c>
      <c r="E6578" t="s">
        <v>23823</v>
      </c>
      <c r="F6578" t="s">
        <v>30900</v>
      </c>
      <c r="G6578" t="s">
        <v>30907</v>
      </c>
      <c r="H6578" t="s">
        <v>30916</v>
      </c>
      <c r="I6578" t="s">
        <v>30952</v>
      </c>
      <c r="J6578" t="s">
        <v>31049</v>
      </c>
      <c r="K6578" t="s">
        <v>40286</v>
      </c>
      <c r="M6578" t="s">
        <v>41330</v>
      </c>
      <c r="N6578" t="s">
        <v>44759</v>
      </c>
      <c r="O6578" t="s">
        <v>44760</v>
      </c>
      <c r="P6578">
        <v>0</v>
      </c>
      <c r="Q6578">
        <v>0</v>
      </c>
      <c r="R6578" t="s">
        <v>44767</v>
      </c>
      <c r="S6578" t="s">
        <v>44954</v>
      </c>
      <c r="T6578" t="s">
        <v>46531</v>
      </c>
      <c r="U6578" t="s">
        <v>52438</v>
      </c>
      <c r="W6578" t="s">
        <v>41330</v>
      </c>
      <c r="X6578" t="s">
        <v>44769</v>
      </c>
    </row>
    <row r="6579" spans="1:24">
      <c r="A6579">
        <f>HYPERLINK("https://www.philgeps.gov.ph/GEPSNONPILOT/Tender/SplashBidNoticeAbstractUI.aspx?menuIndex=3&amp;refID=7140896&amp;Result=3","7140896")</f>
        <v>0</v>
      </c>
      <c r="B6579" t="s">
        <v>41</v>
      </c>
      <c r="C6579" t="s">
        <v>9986</v>
      </c>
      <c r="D6579" t="s">
        <v>17966</v>
      </c>
      <c r="E6579" t="s">
        <v>23824</v>
      </c>
      <c r="F6579" t="s">
        <v>30900</v>
      </c>
      <c r="G6579" t="s">
        <v>30907</v>
      </c>
      <c r="H6579" t="s">
        <v>30916</v>
      </c>
      <c r="I6579" t="s">
        <v>30939</v>
      </c>
      <c r="J6579" t="s">
        <v>35292</v>
      </c>
      <c r="K6579" t="s">
        <v>40292</v>
      </c>
      <c r="M6579" t="s">
        <v>40831</v>
      </c>
      <c r="N6579" t="s">
        <v>44759</v>
      </c>
      <c r="O6579" t="s">
        <v>44760</v>
      </c>
      <c r="P6579">
        <v>0</v>
      </c>
      <c r="Q6579">
        <v>0</v>
      </c>
      <c r="R6579" t="s">
        <v>44767</v>
      </c>
      <c r="S6579" t="s">
        <v>44954</v>
      </c>
      <c r="T6579" t="s">
        <v>46366</v>
      </c>
      <c r="U6579" t="s">
        <v>52439</v>
      </c>
      <c r="V6579" t="s">
        <v>59095</v>
      </c>
      <c r="W6579" t="s">
        <v>40831</v>
      </c>
      <c r="X6579" t="s">
        <v>44769</v>
      </c>
    </row>
    <row r="6580" spans="1:24">
      <c r="A6580">
        <f>HYPERLINK("https://www.philgeps.gov.ph/GEPSNONPILOT/Tender/SplashBidNoticeAbstractUI.aspx?menuIndex=3&amp;refID=7140763&amp;Result=3","7140763")</f>
        <v>0</v>
      </c>
      <c r="B6580" t="s">
        <v>1215</v>
      </c>
      <c r="C6580" t="s">
        <v>9987</v>
      </c>
      <c r="D6580" t="s">
        <v>17980</v>
      </c>
      <c r="E6580" t="s">
        <v>23825</v>
      </c>
      <c r="F6580" t="s">
        <v>30900</v>
      </c>
      <c r="G6580" t="s">
        <v>30907</v>
      </c>
      <c r="H6580" t="s">
        <v>30916</v>
      </c>
      <c r="I6580" t="s">
        <v>4545</v>
      </c>
      <c r="J6580" t="s">
        <v>35293</v>
      </c>
      <c r="K6580" t="s">
        <v>40293</v>
      </c>
      <c r="M6580" t="s">
        <v>41827</v>
      </c>
      <c r="N6580" t="s">
        <v>44759</v>
      </c>
      <c r="O6580" t="s">
        <v>44760</v>
      </c>
      <c r="P6580">
        <v>0</v>
      </c>
      <c r="Q6580">
        <v>0</v>
      </c>
      <c r="R6580" t="s">
        <v>44767</v>
      </c>
      <c r="S6580" t="s">
        <v>44954</v>
      </c>
      <c r="T6580" t="s">
        <v>46374</v>
      </c>
      <c r="U6580" t="s">
        <v>52440</v>
      </c>
      <c r="W6580" t="s">
        <v>41827</v>
      </c>
      <c r="X6580" t="s">
        <v>44769</v>
      </c>
    </row>
    <row r="6581" spans="1:24">
      <c r="A6581">
        <f>HYPERLINK("https://www.philgeps.gov.ph/GEPSNONPILOT/Tender/SplashBidNoticeAbstractUI.aspx?menuIndex=3&amp;refID=7140122&amp;Result=3","7140122")</f>
        <v>0</v>
      </c>
      <c r="B6581" t="s">
        <v>2310</v>
      </c>
      <c r="C6581" t="s">
        <v>9988</v>
      </c>
      <c r="D6581" t="s">
        <v>17952</v>
      </c>
      <c r="E6581" t="s">
        <v>23826</v>
      </c>
      <c r="F6581" t="s">
        <v>30900</v>
      </c>
      <c r="G6581" t="s">
        <v>30907</v>
      </c>
      <c r="H6581" t="s">
        <v>30916</v>
      </c>
      <c r="I6581" t="s">
        <v>30933</v>
      </c>
      <c r="J6581" t="s">
        <v>32616</v>
      </c>
      <c r="K6581" t="s">
        <v>40280</v>
      </c>
      <c r="M6581" t="s">
        <v>43028</v>
      </c>
      <c r="N6581" t="s">
        <v>44759</v>
      </c>
      <c r="O6581" t="s">
        <v>44760</v>
      </c>
      <c r="P6581">
        <v>0</v>
      </c>
      <c r="Q6581">
        <v>4</v>
      </c>
      <c r="R6581" t="s">
        <v>44767</v>
      </c>
      <c r="S6581" t="s">
        <v>44954</v>
      </c>
      <c r="T6581" t="s">
        <v>46689</v>
      </c>
      <c r="U6581" t="s">
        <v>52441</v>
      </c>
      <c r="W6581" t="s">
        <v>43028</v>
      </c>
      <c r="X6581" t="s">
        <v>44769</v>
      </c>
    </row>
    <row r="6582" spans="1:24">
      <c r="A6582">
        <f>HYPERLINK("https://www.philgeps.gov.ph/GEPSNONPILOT/Tender/SplashBidNoticeAbstractUI.aspx?menuIndex=3&amp;refID=7140870&amp;Result=3","7140870")</f>
        <v>0</v>
      </c>
      <c r="B6582" t="s">
        <v>2314</v>
      </c>
      <c r="C6582" t="s">
        <v>9989</v>
      </c>
      <c r="D6582" t="s">
        <v>18000</v>
      </c>
      <c r="E6582" t="s">
        <v>23827</v>
      </c>
      <c r="F6582" t="s">
        <v>30900</v>
      </c>
      <c r="G6582" t="s">
        <v>30907</v>
      </c>
      <c r="H6582" t="s">
        <v>30915</v>
      </c>
      <c r="I6582" t="s">
        <v>30919</v>
      </c>
      <c r="J6582" t="s">
        <v>31211</v>
      </c>
      <c r="K6582" t="s">
        <v>40286</v>
      </c>
      <c r="M6582" t="s">
        <v>43032</v>
      </c>
      <c r="N6582" t="s">
        <v>44759</v>
      </c>
      <c r="O6582" t="s">
        <v>44760</v>
      </c>
      <c r="P6582">
        <v>0</v>
      </c>
      <c r="Q6582">
        <v>1</v>
      </c>
      <c r="R6582" t="s">
        <v>44767</v>
      </c>
      <c r="S6582" t="s">
        <v>44954</v>
      </c>
      <c r="T6582" t="s">
        <v>46453</v>
      </c>
      <c r="U6582" t="s">
        <v>52442</v>
      </c>
      <c r="W6582" t="s">
        <v>43032</v>
      </c>
      <c r="X6582" t="s">
        <v>44769</v>
      </c>
    </row>
    <row r="6583" spans="1:24">
      <c r="A6583">
        <f>HYPERLINK("https://www.philgeps.gov.ph/GEPSNONPILOT/Tender/SplashBidNoticeAbstractUI.aspx?menuIndex=3&amp;refID=7140862&amp;Result=3","7140862")</f>
        <v>0</v>
      </c>
      <c r="B6583" t="s">
        <v>41</v>
      </c>
      <c r="C6583" t="s">
        <v>9990</v>
      </c>
      <c r="D6583" t="s">
        <v>17966</v>
      </c>
      <c r="E6583" t="s">
        <v>23828</v>
      </c>
      <c r="F6583" t="s">
        <v>30900</v>
      </c>
      <c r="G6583" t="s">
        <v>30907</v>
      </c>
      <c r="H6583" t="s">
        <v>30916</v>
      </c>
      <c r="I6583" t="s">
        <v>5830</v>
      </c>
      <c r="J6583" t="s">
        <v>31449</v>
      </c>
      <c r="K6583" t="s">
        <v>40283</v>
      </c>
      <c r="M6583" t="s">
        <v>40831</v>
      </c>
      <c r="N6583" t="s">
        <v>44759</v>
      </c>
      <c r="O6583" t="s">
        <v>44760</v>
      </c>
      <c r="P6583">
        <v>0</v>
      </c>
      <c r="Q6583">
        <v>5</v>
      </c>
      <c r="R6583" t="s">
        <v>44767</v>
      </c>
      <c r="S6583" t="s">
        <v>44954</v>
      </c>
      <c r="T6583" t="s">
        <v>46366</v>
      </c>
      <c r="U6583" t="s">
        <v>52443</v>
      </c>
      <c r="V6583" t="s">
        <v>59095</v>
      </c>
      <c r="W6583" t="s">
        <v>40831</v>
      </c>
      <c r="X6583" t="s">
        <v>44769</v>
      </c>
    </row>
    <row r="6584" spans="1:24">
      <c r="A6584">
        <f>HYPERLINK("https://www.philgeps.gov.ph/GEPSNONPILOT/Tender/SplashBidNoticeAbstractUI.aspx?menuIndex=3&amp;refID=7140010&amp;Result=3","7140010")</f>
        <v>0</v>
      </c>
      <c r="B6584" t="s">
        <v>2310</v>
      </c>
      <c r="C6584" t="s">
        <v>9991</v>
      </c>
      <c r="D6584" t="s">
        <v>17952</v>
      </c>
      <c r="E6584" t="s">
        <v>23829</v>
      </c>
      <c r="F6584" t="s">
        <v>30900</v>
      </c>
      <c r="G6584" t="s">
        <v>30907</v>
      </c>
      <c r="H6584" t="s">
        <v>30916</v>
      </c>
      <c r="I6584" t="s">
        <v>30939</v>
      </c>
      <c r="J6584" t="s">
        <v>35294</v>
      </c>
      <c r="K6584" t="s">
        <v>40284</v>
      </c>
      <c r="M6584" t="s">
        <v>43028</v>
      </c>
      <c r="N6584" t="s">
        <v>44759</v>
      </c>
      <c r="O6584" t="s">
        <v>44760</v>
      </c>
      <c r="P6584">
        <v>0</v>
      </c>
      <c r="Q6584">
        <v>0</v>
      </c>
      <c r="R6584" t="s">
        <v>44767</v>
      </c>
      <c r="S6584" t="s">
        <v>44954</v>
      </c>
      <c r="T6584" t="s">
        <v>46403</v>
      </c>
      <c r="U6584" t="s">
        <v>52444</v>
      </c>
      <c r="W6584" t="s">
        <v>43028</v>
      </c>
      <c r="X6584" t="s">
        <v>44769</v>
      </c>
    </row>
    <row r="6585" spans="1:24">
      <c r="A6585">
        <f>HYPERLINK("https://www.philgeps.gov.ph/GEPSNONPILOT/Tender/SplashBidNoticeAbstractUI.aspx?menuIndex=3&amp;refID=7140839&amp;Result=3","7140839")</f>
        <v>0</v>
      </c>
      <c r="B6585" t="s">
        <v>211</v>
      </c>
      <c r="C6585" t="s">
        <v>9992</v>
      </c>
      <c r="D6585" t="s">
        <v>18016</v>
      </c>
      <c r="E6585" t="s">
        <v>23830</v>
      </c>
      <c r="F6585" t="s">
        <v>30900</v>
      </c>
      <c r="G6585" t="s">
        <v>30908</v>
      </c>
      <c r="H6585" t="s">
        <v>30916</v>
      </c>
      <c r="I6585" t="s">
        <v>8123</v>
      </c>
      <c r="J6585" t="s">
        <v>35295</v>
      </c>
      <c r="K6585" t="s">
        <v>40289</v>
      </c>
      <c r="M6585" t="s">
        <v>40758</v>
      </c>
      <c r="N6585" t="s">
        <v>44759</v>
      </c>
      <c r="O6585" t="s">
        <v>44760</v>
      </c>
      <c r="P6585">
        <v>0</v>
      </c>
      <c r="Q6585">
        <v>1</v>
      </c>
      <c r="R6585" t="s">
        <v>44767</v>
      </c>
      <c r="S6585" t="s">
        <v>44954</v>
      </c>
      <c r="T6585" t="s">
        <v>46421</v>
      </c>
      <c r="U6585" t="s">
        <v>52445</v>
      </c>
      <c r="W6585" t="s">
        <v>40758</v>
      </c>
      <c r="X6585" t="s">
        <v>44769</v>
      </c>
    </row>
    <row r="6586" spans="1:24">
      <c r="A6586">
        <f>HYPERLINK("https://www.philgeps.gov.ph/GEPSNONPILOT/Tender/SplashBidNoticeAbstractUI.aspx?menuIndex=3&amp;refID=7139117&amp;Result=3","7139117")</f>
        <v>0</v>
      </c>
      <c r="B6586" t="s">
        <v>464</v>
      </c>
      <c r="C6586" t="s">
        <v>9993</v>
      </c>
      <c r="D6586" t="s">
        <v>17984</v>
      </c>
      <c r="E6586" t="s">
        <v>23831</v>
      </c>
      <c r="F6586" t="s">
        <v>30900</v>
      </c>
      <c r="G6586" t="s">
        <v>30907</v>
      </c>
      <c r="H6586" t="s">
        <v>30915</v>
      </c>
      <c r="I6586" t="s">
        <v>30919</v>
      </c>
      <c r="J6586" t="s">
        <v>35296</v>
      </c>
      <c r="K6586" t="s">
        <v>40391</v>
      </c>
      <c r="M6586" t="s">
        <v>41022</v>
      </c>
      <c r="N6586" t="s">
        <v>44759</v>
      </c>
      <c r="O6586" t="s">
        <v>44760</v>
      </c>
      <c r="P6586">
        <v>0</v>
      </c>
      <c r="Q6586">
        <v>1</v>
      </c>
      <c r="R6586" t="s">
        <v>44767</v>
      </c>
      <c r="S6586" t="s">
        <v>44954</v>
      </c>
      <c r="T6586" t="s">
        <v>46495</v>
      </c>
      <c r="U6586" t="s">
        <v>52446</v>
      </c>
      <c r="W6586" t="s">
        <v>41022</v>
      </c>
      <c r="X6586" t="s">
        <v>44769</v>
      </c>
    </row>
    <row r="6587" spans="1:24">
      <c r="A6587">
        <f>HYPERLINK("https://www.philgeps.gov.ph/GEPSNONPILOT/Tender/SplashBidNoticeAbstractUI.aspx?menuIndex=3&amp;refID=7140827&amp;Result=3","7140827")</f>
        <v>0</v>
      </c>
      <c r="B6587" t="s">
        <v>2310</v>
      </c>
      <c r="C6587" t="s">
        <v>9994</v>
      </c>
      <c r="D6587" t="s">
        <v>17952</v>
      </c>
      <c r="E6587" t="s">
        <v>23832</v>
      </c>
      <c r="F6587" t="s">
        <v>30900</v>
      </c>
      <c r="G6587" t="s">
        <v>30907</v>
      </c>
      <c r="H6587" t="s">
        <v>30915</v>
      </c>
      <c r="I6587" t="s">
        <v>30919</v>
      </c>
      <c r="J6587" t="s">
        <v>31391</v>
      </c>
      <c r="K6587" t="s">
        <v>40391</v>
      </c>
      <c r="M6587" t="s">
        <v>43028</v>
      </c>
      <c r="N6587" t="s">
        <v>44759</v>
      </c>
      <c r="O6587" t="s">
        <v>44760</v>
      </c>
      <c r="P6587">
        <v>0</v>
      </c>
      <c r="Q6587">
        <v>1</v>
      </c>
      <c r="R6587" t="s">
        <v>44767</v>
      </c>
      <c r="S6587" t="s">
        <v>44954</v>
      </c>
      <c r="T6587" t="s">
        <v>46689</v>
      </c>
      <c r="U6587" t="s">
        <v>52447</v>
      </c>
      <c r="W6587" t="s">
        <v>43028</v>
      </c>
      <c r="X6587" t="s">
        <v>44769</v>
      </c>
    </row>
    <row r="6588" spans="1:24">
      <c r="A6588">
        <f>HYPERLINK("https://www.philgeps.gov.ph/GEPSNONPILOT/Tender/SplashBidNoticeAbstractUI.aspx?menuIndex=3&amp;refID=7140807&amp;Result=3","7140807")</f>
        <v>0</v>
      </c>
      <c r="B6588" t="s">
        <v>2314</v>
      </c>
      <c r="C6588" t="s">
        <v>9995</v>
      </c>
      <c r="E6588" t="s">
        <v>23833</v>
      </c>
      <c r="F6588" t="s">
        <v>30900</v>
      </c>
      <c r="G6588" t="s">
        <v>30907</v>
      </c>
      <c r="H6588" t="s">
        <v>30915</v>
      </c>
      <c r="I6588" t="s">
        <v>30919</v>
      </c>
      <c r="J6588" t="s">
        <v>32967</v>
      </c>
      <c r="K6588" t="s">
        <v>40342</v>
      </c>
      <c r="M6588" t="s">
        <v>43032</v>
      </c>
      <c r="N6588" t="s">
        <v>44759</v>
      </c>
      <c r="O6588" t="s">
        <v>44760</v>
      </c>
      <c r="P6588">
        <v>0</v>
      </c>
      <c r="Q6588">
        <v>2</v>
      </c>
      <c r="R6588" t="s">
        <v>44767</v>
      </c>
      <c r="S6588" t="s">
        <v>44954</v>
      </c>
      <c r="T6588" t="s">
        <v>46758</v>
      </c>
      <c r="U6588" t="s">
        <v>52448</v>
      </c>
      <c r="W6588" t="s">
        <v>43032</v>
      </c>
      <c r="X6588" t="s">
        <v>44769</v>
      </c>
    </row>
    <row r="6589" spans="1:24">
      <c r="A6589">
        <f>HYPERLINK("https://www.philgeps.gov.ph/GEPSNONPILOT/Tender/SplashBidNoticeAbstractUI.aspx?menuIndex=3&amp;refID=7140803&amp;Result=3","7140803")</f>
        <v>0</v>
      </c>
      <c r="B6589" t="s">
        <v>41</v>
      </c>
      <c r="C6589" t="s">
        <v>9996</v>
      </c>
      <c r="D6589" t="s">
        <v>17966</v>
      </c>
      <c r="E6589" t="s">
        <v>23834</v>
      </c>
      <c r="F6589" t="s">
        <v>30900</v>
      </c>
      <c r="G6589" t="s">
        <v>30907</v>
      </c>
      <c r="H6589" t="s">
        <v>30916</v>
      </c>
      <c r="I6589" t="s">
        <v>4142</v>
      </c>
      <c r="J6589" t="s">
        <v>35297</v>
      </c>
      <c r="K6589" t="s">
        <v>40284</v>
      </c>
      <c r="M6589" t="s">
        <v>40831</v>
      </c>
      <c r="N6589" t="s">
        <v>44759</v>
      </c>
      <c r="O6589" t="s">
        <v>44760</v>
      </c>
      <c r="P6589">
        <v>0</v>
      </c>
      <c r="Q6589">
        <v>3</v>
      </c>
      <c r="R6589" t="s">
        <v>44767</v>
      </c>
      <c r="S6589" t="s">
        <v>44954</v>
      </c>
      <c r="T6589" t="s">
        <v>46366</v>
      </c>
      <c r="U6589" t="s">
        <v>52449</v>
      </c>
      <c r="V6589" t="s">
        <v>59095</v>
      </c>
      <c r="W6589" t="s">
        <v>40831</v>
      </c>
      <c r="X6589" t="s">
        <v>44769</v>
      </c>
    </row>
    <row r="6590" spans="1:24">
      <c r="A6590">
        <f>HYPERLINK("https://www.philgeps.gov.ph/GEPSNONPILOT/Tender/SplashBidNoticeAbstractUI.aspx?menuIndex=3&amp;refID=7140995&amp;Result=3","7140995")</f>
        <v>0</v>
      </c>
      <c r="B6590" t="s">
        <v>2310</v>
      </c>
      <c r="C6590" t="s">
        <v>9997</v>
      </c>
      <c r="D6590" t="s">
        <v>17952</v>
      </c>
      <c r="E6590" t="s">
        <v>23835</v>
      </c>
      <c r="F6590" t="s">
        <v>30900</v>
      </c>
      <c r="G6590" t="s">
        <v>30907</v>
      </c>
      <c r="H6590" t="s">
        <v>30915</v>
      </c>
      <c r="I6590" t="s">
        <v>30919</v>
      </c>
      <c r="J6590" t="s">
        <v>31152</v>
      </c>
      <c r="K6590" t="s">
        <v>40293</v>
      </c>
      <c r="M6590" t="s">
        <v>43028</v>
      </c>
      <c r="N6590" t="s">
        <v>44759</v>
      </c>
      <c r="O6590" t="s">
        <v>44760</v>
      </c>
      <c r="P6590">
        <v>0</v>
      </c>
      <c r="Q6590">
        <v>0</v>
      </c>
      <c r="R6590" t="s">
        <v>44767</v>
      </c>
      <c r="S6590" t="s">
        <v>44954</v>
      </c>
      <c r="T6590" t="s">
        <v>46689</v>
      </c>
      <c r="U6590" t="s">
        <v>52450</v>
      </c>
      <c r="W6590" t="s">
        <v>43028</v>
      </c>
      <c r="X6590" t="s">
        <v>44769</v>
      </c>
    </row>
    <row r="6591" spans="1:24">
      <c r="A6591">
        <f>HYPERLINK("https://www.philgeps.gov.ph/GEPSNONPILOT/Tender/SplashBidNoticeAbstractUI.aspx?menuIndex=3&amp;refID=7140957&amp;Result=3","7140957")</f>
        <v>0</v>
      </c>
      <c r="B6591" t="s">
        <v>41</v>
      </c>
      <c r="C6591" t="s">
        <v>9998</v>
      </c>
      <c r="D6591" t="s">
        <v>17966</v>
      </c>
      <c r="E6591" t="s">
        <v>23836</v>
      </c>
      <c r="F6591" t="s">
        <v>30900</v>
      </c>
      <c r="G6591" t="s">
        <v>30907</v>
      </c>
      <c r="H6591" t="s">
        <v>30916</v>
      </c>
      <c r="I6591" t="s">
        <v>30926</v>
      </c>
      <c r="J6591" t="s">
        <v>35298</v>
      </c>
      <c r="K6591" t="s">
        <v>40283</v>
      </c>
      <c r="M6591" t="s">
        <v>40831</v>
      </c>
      <c r="N6591" t="s">
        <v>44759</v>
      </c>
      <c r="O6591" t="s">
        <v>44760</v>
      </c>
      <c r="P6591">
        <v>0</v>
      </c>
      <c r="Q6591">
        <v>2</v>
      </c>
      <c r="R6591" t="s">
        <v>44767</v>
      </c>
      <c r="S6591" t="s">
        <v>44954</v>
      </c>
      <c r="T6591" t="s">
        <v>46366</v>
      </c>
      <c r="U6591" t="s">
        <v>52451</v>
      </c>
      <c r="V6591" t="s">
        <v>59095</v>
      </c>
      <c r="W6591" t="s">
        <v>40831</v>
      </c>
      <c r="X6591" t="s">
        <v>44769</v>
      </c>
    </row>
    <row r="6592" spans="1:24">
      <c r="A6592">
        <f>HYPERLINK("https://www.philgeps.gov.ph/GEPSNONPILOT/Tender/SplashBidNoticeAbstractUI.aspx?menuIndex=3&amp;refID=7140953&amp;Result=3","7140953")</f>
        <v>0</v>
      </c>
      <c r="B6592" t="s">
        <v>2310</v>
      </c>
      <c r="C6592" t="s">
        <v>9999</v>
      </c>
      <c r="D6592" t="s">
        <v>17952</v>
      </c>
      <c r="E6592" t="s">
        <v>23837</v>
      </c>
      <c r="F6592" t="s">
        <v>30900</v>
      </c>
      <c r="G6592" t="s">
        <v>30907</v>
      </c>
      <c r="H6592" t="s">
        <v>30915</v>
      </c>
      <c r="I6592" t="s">
        <v>30919</v>
      </c>
      <c r="J6592" t="s">
        <v>32324</v>
      </c>
      <c r="K6592" t="s">
        <v>40322</v>
      </c>
      <c r="M6592" t="s">
        <v>43028</v>
      </c>
      <c r="N6592" t="s">
        <v>44759</v>
      </c>
      <c r="O6592" t="s">
        <v>44760</v>
      </c>
      <c r="P6592">
        <v>0</v>
      </c>
      <c r="Q6592">
        <v>0</v>
      </c>
      <c r="R6592" t="s">
        <v>44767</v>
      </c>
      <c r="S6592" t="s">
        <v>44954</v>
      </c>
      <c r="T6592" t="s">
        <v>46689</v>
      </c>
      <c r="U6592" t="s">
        <v>52452</v>
      </c>
      <c r="W6592" t="s">
        <v>43028</v>
      </c>
      <c r="X6592" t="s">
        <v>44769</v>
      </c>
    </row>
    <row r="6593" spans="1:24">
      <c r="A6593">
        <f>HYPERLINK("https://www.philgeps.gov.ph/GEPSNONPILOT/Tender/SplashBidNoticeAbstractUI.aspx?menuIndex=3&amp;refID=7140831&amp;Result=3","7140831")</f>
        <v>0</v>
      </c>
      <c r="B6593" t="s">
        <v>46</v>
      </c>
      <c r="C6593" t="s">
        <v>10000</v>
      </c>
      <c r="D6593" t="s">
        <v>17953</v>
      </c>
      <c r="E6593" t="s">
        <v>23838</v>
      </c>
      <c r="F6593" t="s">
        <v>30900</v>
      </c>
      <c r="G6593" t="s">
        <v>30908</v>
      </c>
      <c r="H6593" t="s">
        <v>30916</v>
      </c>
      <c r="I6593" t="s">
        <v>30919</v>
      </c>
      <c r="J6593" t="s">
        <v>35299</v>
      </c>
      <c r="K6593" t="s">
        <v>40291</v>
      </c>
      <c r="M6593" t="s">
        <v>40592</v>
      </c>
      <c r="N6593" t="s">
        <v>44759</v>
      </c>
      <c r="O6593" t="s">
        <v>44760</v>
      </c>
      <c r="P6593">
        <v>0</v>
      </c>
      <c r="Q6593">
        <v>0</v>
      </c>
      <c r="R6593" t="s">
        <v>44767</v>
      </c>
      <c r="S6593" t="s">
        <v>44954</v>
      </c>
      <c r="T6593" t="s">
        <v>46351</v>
      </c>
      <c r="U6593" t="s">
        <v>47031</v>
      </c>
      <c r="W6593" t="s">
        <v>60814</v>
      </c>
      <c r="X6593" t="s">
        <v>44769</v>
      </c>
    </row>
    <row r="6594" spans="1:24">
      <c r="A6594">
        <f>HYPERLINK("https://www.philgeps.gov.ph/GEPSNONPILOT/Tender/SplashBidNoticeAbstractUI.aspx?menuIndex=3&amp;refID=7140920&amp;Result=3","7140920")</f>
        <v>0</v>
      </c>
      <c r="B6594" t="s">
        <v>2310</v>
      </c>
      <c r="C6594" t="s">
        <v>10001</v>
      </c>
      <c r="D6594" t="s">
        <v>17952</v>
      </c>
      <c r="E6594" t="s">
        <v>23839</v>
      </c>
      <c r="F6594" t="s">
        <v>30900</v>
      </c>
      <c r="G6594" t="s">
        <v>30907</v>
      </c>
      <c r="H6594" t="s">
        <v>30915</v>
      </c>
      <c r="I6594" t="s">
        <v>30919</v>
      </c>
      <c r="J6594" t="s">
        <v>35300</v>
      </c>
      <c r="K6594" t="s">
        <v>40292</v>
      </c>
      <c r="M6594" t="s">
        <v>43028</v>
      </c>
      <c r="N6594" t="s">
        <v>44759</v>
      </c>
      <c r="O6594" t="s">
        <v>44760</v>
      </c>
      <c r="P6594">
        <v>0</v>
      </c>
      <c r="Q6594">
        <v>0</v>
      </c>
      <c r="R6594" t="s">
        <v>44767</v>
      </c>
      <c r="S6594" t="s">
        <v>44954</v>
      </c>
      <c r="T6594" t="s">
        <v>46689</v>
      </c>
      <c r="U6594" t="s">
        <v>52453</v>
      </c>
      <c r="W6594" t="s">
        <v>43028</v>
      </c>
      <c r="X6594" t="s">
        <v>44769</v>
      </c>
    </row>
    <row r="6595" spans="1:24">
      <c r="A6595">
        <f>HYPERLINK("https://www.philgeps.gov.ph/GEPSNONPILOT/Tender/SplashBidNoticeAbstractUI.aspx?menuIndex=3&amp;refID=7140989&amp;Result=3","7140989")</f>
        <v>0</v>
      </c>
      <c r="B6595" t="s">
        <v>41</v>
      </c>
      <c r="C6595" t="s">
        <v>10002</v>
      </c>
      <c r="D6595" t="s">
        <v>17966</v>
      </c>
      <c r="E6595" t="s">
        <v>23840</v>
      </c>
      <c r="F6595" t="s">
        <v>30900</v>
      </c>
      <c r="G6595" t="s">
        <v>30907</v>
      </c>
      <c r="H6595" t="s">
        <v>30916</v>
      </c>
      <c r="I6595" t="s">
        <v>5830</v>
      </c>
      <c r="J6595" t="s">
        <v>31355</v>
      </c>
      <c r="K6595" t="s">
        <v>40283</v>
      </c>
      <c r="M6595" t="s">
        <v>40831</v>
      </c>
      <c r="N6595" t="s">
        <v>44759</v>
      </c>
      <c r="O6595" t="s">
        <v>44760</v>
      </c>
      <c r="P6595">
        <v>0</v>
      </c>
      <c r="Q6595">
        <v>1</v>
      </c>
      <c r="R6595" t="s">
        <v>44767</v>
      </c>
      <c r="S6595" t="s">
        <v>44954</v>
      </c>
      <c r="T6595" t="s">
        <v>46366</v>
      </c>
      <c r="U6595" t="s">
        <v>52454</v>
      </c>
      <c r="V6595" t="s">
        <v>59095</v>
      </c>
      <c r="W6595" t="s">
        <v>40831</v>
      </c>
      <c r="X6595" t="s">
        <v>44769</v>
      </c>
    </row>
    <row r="6596" spans="1:24">
      <c r="A6596">
        <f>HYPERLINK("https://www.philgeps.gov.ph/GEPSNONPILOT/Tender/SplashBidNoticeAbstractUI.aspx?menuIndex=3&amp;refID=7140773&amp;Result=3","7140773")</f>
        <v>0</v>
      </c>
      <c r="B6596" t="s">
        <v>2312</v>
      </c>
      <c r="C6596" t="s">
        <v>10003</v>
      </c>
      <c r="E6596" t="s">
        <v>23841</v>
      </c>
      <c r="F6596" t="s">
        <v>30900</v>
      </c>
      <c r="G6596" t="s">
        <v>30907</v>
      </c>
      <c r="H6596" t="s">
        <v>30916</v>
      </c>
      <c r="I6596" t="s">
        <v>4017</v>
      </c>
      <c r="J6596" t="s">
        <v>31270</v>
      </c>
      <c r="K6596" t="s">
        <v>40289</v>
      </c>
      <c r="M6596" t="s">
        <v>43030</v>
      </c>
      <c r="N6596" t="s">
        <v>44759</v>
      </c>
      <c r="O6596" t="s">
        <v>44760</v>
      </c>
      <c r="P6596">
        <v>0</v>
      </c>
      <c r="Q6596">
        <v>5</v>
      </c>
      <c r="R6596" t="s">
        <v>44767</v>
      </c>
      <c r="S6596" t="s">
        <v>44954</v>
      </c>
      <c r="T6596" t="s">
        <v>46531</v>
      </c>
      <c r="U6596" t="s">
        <v>52455</v>
      </c>
      <c r="W6596" t="s">
        <v>43030</v>
      </c>
      <c r="X6596" t="s">
        <v>44769</v>
      </c>
    </row>
    <row r="6597" spans="1:24">
      <c r="A6597">
        <f>HYPERLINK("https://www.philgeps.gov.ph/GEPSNONPILOT/Tender/SplashBidNoticeAbstractUI.aspx?menuIndex=3&amp;refID=7140852&amp;Result=3","7140852")</f>
        <v>0</v>
      </c>
      <c r="B6597" t="s">
        <v>2315</v>
      </c>
      <c r="C6597" t="s">
        <v>10004</v>
      </c>
      <c r="D6597" t="s">
        <v>17990</v>
      </c>
      <c r="E6597" t="s">
        <v>23842</v>
      </c>
      <c r="F6597" t="s">
        <v>30900</v>
      </c>
      <c r="G6597" t="s">
        <v>30907</v>
      </c>
      <c r="H6597" t="s">
        <v>30916</v>
      </c>
      <c r="I6597" t="s">
        <v>30960</v>
      </c>
      <c r="J6597" t="s">
        <v>35301</v>
      </c>
      <c r="K6597" t="s">
        <v>40286</v>
      </c>
      <c r="M6597" t="s">
        <v>43033</v>
      </c>
      <c r="N6597" t="s">
        <v>44759</v>
      </c>
      <c r="O6597" t="s">
        <v>44760</v>
      </c>
      <c r="P6597">
        <v>0</v>
      </c>
      <c r="Q6597">
        <v>5</v>
      </c>
      <c r="R6597" t="s">
        <v>44767</v>
      </c>
      <c r="S6597" t="s">
        <v>44954</v>
      </c>
      <c r="T6597" t="s">
        <v>46391</v>
      </c>
      <c r="U6597" t="s">
        <v>52456</v>
      </c>
      <c r="W6597" t="s">
        <v>43033</v>
      </c>
      <c r="X6597" t="s">
        <v>44769</v>
      </c>
    </row>
    <row r="6598" spans="1:24">
      <c r="A6598">
        <f>HYPERLINK("https://www.philgeps.gov.ph/GEPSNONPILOT/Tender/SplashBidNoticeAbstractUI.aspx?menuIndex=3&amp;refID=7141286&amp;Result=3","7141286")</f>
        <v>0</v>
      </c>
      <c r="B6598" t="s">
        <v>249</v>
      </c>
      <c r="C6598" t="s">
        <v>10005</v>
      </c>
      <c r="D6598" t="s">
        <v>17955</v>
      </c>
      <c r="E6598" t="s">
        <v>23843</v>
      </c>
      <c r="F6598" t="s">
        <v>30900</v>
      </c>
      <c r="G6598" t="s">
        <v>30907</v>
      </c>
      <c r="H6598" t="s">
        <v>30916</v>
      </c>
      <c r="I6598" t="s">
        <v>4108</v>
      </c>
      <c r="J6598" t="s">
        <v>35302</v>
      </c>
      <c r="K6598" t="s">
        <v>40284</v>
      </c>
      <c r="M6598" t="s">
        <v>40796</v>
      </c>
      <c r="N6598" t="s">
        <v>44759</v>
      </c>
      <c r="O6598" t="s">
        <v>44760</v>
      </c>
      <c r="P6598">
        <v>0</v>
      </c>
      <c r="Q6598">
        <v>3</v>
      </c>
      <c r="R6598" t="s">
        <v>44767</v>
      </c>
      <c r="S6598" t="s">
        <v>44954</v>
      </c>
      <c r="T6598" t="s">
        <v>46374</v>
      </c>
      <c r="U6598" t="s">
        <v>48263</v>
      </c>
      <c r="W6598" t="s">
        <v>60821</v>
      </c>
      <c r="X6598" t="s">
        <v>44769</v>
      </c>
    </row>
    <row r="6599" spans="1:24">
      <c r="A6599">
        <f>HYPERLINK("https://www.philgeps.gov.ph/GEPSNONPILOT/Tender/SplashBidNoticeAbstractUI.aspx?menuIndex=3&amp;refID=7140938&amp;Result=3","7140938")</f>
        <v>0</v>
      </c>
      <c r="B6599" t="s">
        <v>41</v>
      </c>
      <c r="C6599" t="s">
        <v>10006</v>
      </c>
      <c r="D6599" t="s">
        <v>17966</v>
      </c>
      <c r="E6599" t="s">
        <v>23844</v>
      </c>
      <c r="F6599" t="s">
        <v>30900</v>
      </c>
      <c r="G6599" t="s">
        <v>30907</v>
      </c>
      <c r="H6599" t="s">
        <v>30916</v>
      </c>
      <c r="I6599" t="s">
        <v>4142</v>
      </c>
      <c r="J6599" t="s">
        <v>35303</v>
      </c>
      <c r="K6599" t="s">
        <v>40284</v>
      </c>
      <c r="M6599" t="s">
        <v>40831</v>
      </c>
      <c r="N6599" t="s">
        <v>44759</v>
      </c>
      <c r="O6599" t="s">
        <v>44760</v>
      </c>
      <c r="P6599">
        <v>0</v>
      </c>
      <c r="Q6599">
        <v>3</v>
      </c>
      <c r="R6599" t="s">
        <v>44767</v>
      </c>
      <c r="S6599" t="s">
        <v>44954</v>
      </c>
      <c r="T6599" t="s">
        <v>46366</v>
      </c>
      <c r="U6599" t="s">
        <v>52457</v>
      </c>
      <c r="V6599" t="s">
        <v>59095</v>
      </c>
      <c r="W6599" t="s">
        <v>40831</v>
      </c>
      <c r="X6599" t="s">
        <v>44769</v>
      </c>
    </row>
    <row r="6600" spans="1:24">
      <c r="A6600">
        <f>HYPERLINK("https://www.philgeps.gov.ph/GEPSNONPILOT/Tender/SplashBidNoticeAbstractUI.aspx?menuIndex=3&amp;refID=7140934&amp;Result=3","7140934")</f>
        <v>0</v>
      </c>
      <c r="B6600" t="s">
        <v>46</v>
      </c>
      <c r="C6600" t="s">
        <v>10007</v>
      </c>
      <c r="D6600" t="s">
        <v>17953</v>
      </c>
      <c r="E6600" t="s">
        <v>23845</v>
      </c>
      <c r="F6600" t="s">
        <v>30900</v>
      </c>
      <c r="G6600" t="s">
        <v>30910</v>
      </c>
      <c r="H6600" t="s">
        <v>30916</v>
      </c>
      <c r="I6600" t="s">
        <v>30924</v>
      </c>
      <c r="J6600" t="s">
        <v>35304</v>
      </c>
      <c r="K6600" t="s">
        <v>40291</v>
      </c>
      <c r="M6600" t="s">
        <v>40592</v>
      </c>
      <c r="N6600" t="s">
        <v>44759</v>
      </c>
      <c r="O6600" t="s">
        <v>44760</v>
      </c>
      <c r="P6600">
        <v>0</v>
      </c>
      <c r="Q6600">
        <v>4</v>
      </c>
      <c r="R6600" t="s">
        <v>44767</v>
      </c>
      <c r="S6600" t="s">
        <v>44954</v>
      </c>
      <c r="T6600" t="s">
        <v>46351</v>
      </c>
      <c r="U6600" t="s">
        <v>47031</v>
      </c>
      <c r="W6600" t="s">
        <v>60814</v>
      </c>
      <c r="X6600" t="s">
        <v>44769</v>
      </c>
    </row>
    <row r="6601" spans="1:24">
      <c r="A6601">
        <f>HYPERLINK("https://www.philgeps.gov.ph/GEPSNONPILOT/Tender/SplashBidNoticeAbstractUI.aspx?menuIndex=3&amp;refID=7141247&amp;Result=3","7141247")</f>
        <v>0</v>
      </c>
      <c r="B6601" t="s">
        <v>1551</v>
      </c>
      <c r="C6601" t="s">
        <v>10008</v>
      </c>
      <c r="D6601" t="s">
        <v>17960</v>
      </c>
      <c r="E6601" t="s">
        <v>23846</v>
      </c>
      <c r="F6601" t="s">
        <v>30900</v>
      </c>
      <c r="G6601" t="s">
        <v>30907</v>
      </c>
      <c r="H6601" t="s">
        <v>30916</v>
      </c>
      <c r="I6601" t="s">
        <v>4142</v>
      </c>
      <c r="J6601" t="s">
        <v>35305</v>
      </c>
      <c r="K6601" t="s">
        <v>40286</v>
      </c>
      <c r="M6601" t="s">
        <v>42196</v>
      </c>
      <c r="N6601" t="s">
        <v>44759</v>
      </c>
      <c r="O6601" t="s">
        <v>44760</v>
      </c>
      <c r="P6601">
        <v>0</v>
      </c>
      <c r="Q6601">
        <v>1</v>
      </c>
      <c r="R6601" t="s">
        <v>44767</v>
      </c>
      <c r="S6601" t="s">
        <v>44954</v>
      </c>
      <c r="T6601" t="s">
        <v>46495</v>
      </c>
      <c r="U6601" t="s">
        <v>52458</v>
      </c>
      <c r="V6601" t="s">
        <v>59835</v>
      </c>
      <c r="W6601" t="s">
        <v>42196</v>
      </c>
      <c r="X6601" t="s">
        <v>44769</v>
      </c>
    </row>
    <row r="6602" spans="1:24">
      <c r="A6602">
        <f>HYPERLINK("https://www.philgeps.gov.ph/GEPSNONPILOT/Tender/SplashBidNoticeAbstractUI.aspx?menuIndex=3&amp;refID=7140930&amp;Result=3","7140930")</f>
        <v>0</v>
      </c>
      <c r="B6602" t="s">
        <v>2316</v>
      </c>
      <c r="C6602" t="s">
        <v>10009</v>
      </c>
      <c r="D6602" t="s">
        <v>17971</v>
      </c>
      <c r="E6602" t="s">
        <v>19262</v>
      </c>
      <c r="F6602" t="s">
        <v>30900</v>
      </c>
      <c r="G6602" t="s">
        <v>30907</v>
      </c>
      <c r="H6602" t="s">
        <v>30916</v>
      </c>
      <c r="I6602" t="s">
        <v>30932</v>
      </c>
      <c r="J6602" t="s">
        <v>31282</v>
      </c>
      <c r="K6602" t="s">
        <v>40287</v>
      </c>
      <c r="M6602" t="s">
        <v>43034</v>
      </c>
      <c r="N6602" t="s">
        <v>44759</v>
      </c>
      <c r="O6602" t="s">
        <v>44760</v>
      </c>
      <c r="P6602">
        <v>0</v>
      </c>
      <c r="Q6602">
        <v>3</v>
      </c>
      <c r="R6602" t="s">
        <v>44767</v>
      </c>
      <c r="S6602" t="s">
        <v>44954</v>
      </c>
      <c r="T6602" t="s">
        <v>46623</v>
      </c>
      <c r="U6602" t="s">
        <v>52459</v>
      </c>
      <c r="W6602" t="s">
        <v>43034</v>
      </c>
      <c r="X6602" t="s">
        <v>44769</v>
      </c>
    </row>
    <row r="6603" spans="1:24">
      <c r="A6603">
        <f>HYPERLINK("https://www.philgeps.gov.ph/GEPSNONPILOT/Tender/SplashBidNoticeAbstractUI.aspx?menuIndex=3&amp;refID=7141211&amp;Result=3","7141211")</f>
        <v>0</v>
      </c>
      <c r="B6603" t="s">
        <v>39</v>
      </c>
      <c r="C6603" t="s">
        <v>10010</v>
      </c>
      <c r="E6603" t="s">
        <v>23847</v>
      </c>
      <c r="F6603" t="s">
        <v>30900</v>
      </c>
      <c r="G6603" t="s">
        <v>30907</v>
      </c>
      <c r="H6603" t="s">
        <v>30916</v>
      </c>
      <c r="I6603" t="s">
        <v>30923</v>
      </c>
      <c r="J6603" t="s">
        <v>35306</v>
      </c>
      <c r="K6603" t="s">
        <v>40289</v>
      </c>
      <c r="M6603" t="s">
        <v>40585</v>
      </c>
      <c r="N6603" t="s">
        <v>44759</v>
      </c>
      <c r="O6603" t="s">
        <v>44760</v>
      </c>
      <c r="P6603">
        <v>0</v>
      </c>
      <c r="Q6603">
        <v>2</v>
      </c>
      <c r="R6603" t="s">
        <v>44767</v>
      </c>
      <c r="S6603" t="s">
        <v>44954</v>
      </c>
      <c r="T6603" t="s">
        <v>46606</v>
      </c>
      <c r="U6603" t="s">
        <v>52460</v>
      </c>
      <c r="W6603" t="s">
        <v>40585</v>
      </c>
      <c r="X6603" t="s">
        <v>44769</v>
      </c>
    </row>
    <row r="6604" spans="1:24">
      <c r="A6604">
        <f>HYPERLINK("https://www.philgeps.gov.ph/GEPSNONPILOT/Tender/SplashBidNoticeAbstractUI.aspx?menuIndex=3&amp;refID=7141016&amp;Result=3","7141016")</f>
        <v>0</v>
      </c>
      <c r="B6604" t="s">
        <v>2314</v>
      </c>
      <c r="C6604" t="s">
        <v>10011</v>
      </c>
      <c r="D6604" t="s">
        <v>18000</v>
      </c>
      <c r="E6604" t="s">
        <v>23848</v>
      </c>
      <c r="F6604" t="s">
        <v>30900</v>
      </c>
      <c r="G6604" t="s">
        <v>30907</v>
      </c>
      <c r="H6604" t="s">
        <v>30915</v>
      </c>
      <c r="I6604" t="s">
        <v>30919</v>
      </c>
      <c r="J6604" t="s">
        <v>35307</v>
      </c>
      <c r="K6604" t="s">
        <v>40286</v>
      </c>
      <c r="M6604" t="s">
        <v>43032</v>
      </c>
      <c r="N6604" t="s">
        <v>44759</v>
      </c>
      <c r="O6604" t="s">
        <v>44760</v>
      </c>
      <c r="P6604">
        <v>0</v>
      </c>
      <c r="Q6604">
        <v>1</v>
      </c>
      <c r="R6604" t="s">
        <v>44767</v>
      </c>
      <c r="S6604" t="s">
        <v>44954</v>
      </c>
      <c r="T6604" t="s">
        <v>46455</v>
      </c>
      <c r="U6604" t="s">
        <v>52461</v>
      </c>
      <c r="W6604" t="s">
        <v>43032</v>
      </c>
      <c r="X6604" t="s">
        <v>44769</v>
      </c>
    </row>
    <row r="6605" spans="1:24">
      <c r="A6605">
        <f>HYPERLINK("https://www.philgeps.gov.ph/GEPSNONPILOT/Tender/SplashBidNoticeAbstractUI.aspx?menuIndex=3&amp;refID=7139202&amp;Result=3","7139202")</f>
        <v>0</v>
      </c>
      <c r="B6605" t="s">
        <v>41</v>
      </c>
      <c r="C6605" t="s">
        <v>10012</v>
      </c>
      <c r="D6605" t="s">
        <v>17966</v>
      </c>
      <c r="E6605" t="s">
        <v>23849</v>
      </c>
      <c r="F6605" t="s">
        <v>30900</v>
      </c>
      <c r="G6605" t="s">
        <v>30907</v>
      </c>
      <c r="H6605" t="s">
        <v>30915</v>
      </c>
      <c r="I6605" t="s">
        <v>30919</v>
      </c>
      <c r="J6605" t="s">
        <v>35308</v>
      </c>
      <c r="K6605" t="s">
        <v>40283</v>
      </c>
      <c r="M6605" t="s">
        <v>40587</v>
      </c>
      <c r="N6605" t="s">
        <v>44759</v>
      </c>
      <c r="O6605" t="s">
        <v>44760</v>
      </c>
      <c r="P6605">
        <v>0</v>
      </c>
      <c r="Q6605">
        <v>0</v>
      </c>
      <c r="R6605" t="s">
        <v>44767</v>
      </c>
      <c r="S6605" t="s">
        <v>44954</v>
      </c>
      <c r="T6605" t="s">
        <v>46366</v>
      </c>
      <c r="U6605" t="s">
        <v>52462</v>
      </c>
      <c r="V6605" t="s">
        <v>59095</v>
      </c>
      <c r="W6605" t="s">
        <v>40587</v>
      </c>
      <c r="X6605" t="s">
        <v>44769</v>
      </c>
    </row>
    <row r="6606" spans="1:24">
      <c r="A6606">
        <f>HYPERLINK("https://www.philgeps.gov.ph/GEPSNONPILOT/Tender/SplashBidNoticeAbstractUI.aspx?menuIndex=3&amp;refID=7141358&amp;Result=3","7141358")</f>
        <v>0</v>
      </c>
      <c r="B6606" t="s">
        <v>249</v>
      </c>
      <c r="C6606" t="s">
        <v>10013</v>
      </c>
      <c r="D6606" t="s">
        <v>17955</v>
      </c>
      <c r="E6606" t="s">
        <v>23850</v>
      </c>
      <c r="F6606" t="s">
        <v>30900</v>
      </c>
      <c r="G6606" t="s">
        <v>30907</v>
      </c>
      <c r="H6606" t="s">
        <v>30916</v>
      </c>
      <c r="I6606" t="s">
        <v>4108</v>
      </c>
      <c r="J6606" t="s">
        <v>35309</v>
      </c>
      <c r="K6606" t="s">
        <v>40284</v>
      </c>
      <c r="M6606" t="s">
        <v>40796</v>
      </c>
      <c r="N6606" t="s">
        <v>44759</v>
      </c>
      <c r="O6606" t="s">
        <v>44760</v>
      </c>
      <c r="P6606">
        <v>0</v>
      </c>
      <c r="Q6606">
        <v>0</v>
      </c>
      <c r="R6606" t="s">
        <v>44767</v>
      </c>
      <c r="S6606" t="s">
        <v>44954</v>
      </c>
      <c r="T6606" t="s">
        <v>46374</v>
      </c>
      <c r="U6606" t="s">
        <v>52463</v>
      </c>
      <c r="W6606" t="s">
        <v>60821</v>
      </c>
      <c r="X6606" t="s">
        <v>44769</v>
      </c>
    </row>
    <row r="6607" spans="1:24">
      <c r="A6607">
        <f>HYPERLINK("https://www.philgeps.gov.ph/GEPSNONPILOT/Tender/SplashBidNoticeAbstractUI.aspx?menuIndex=3&amp;refID=7141334&amp;Result=3","7141334")</f>
        <v>0</v>
      </c>
      <c r="B6607" t="s">
        <v>1153</v>
      </c>
      <c r="C6607" t="s">
        <v>10014</v>
      </c>
      <c r="E6607" t="s">
        <v>23851</v>
      </c>
      <c r="F6607" t="s">
        <v>30900</v>
      </c>
      <c r="G6607" t="s">
        <v>30907</v>
      </c>
      <c r="H6607" t="s">
        <v>30916</v>
      </c>
      <c r="I6607" t="s">
        <v>30970</v>
      </c>
      <c r="J6607" t="s">
        <v>33735</v>
      </c>
      <c r="K6607" t="s">
        <v>40289</v>
      </c>
      <c r="M6607" t="s">
        <v>43035</v>
      </c>
      <c r="N6607" t="s">
        <v>44759</v>
      </c>
      <c r="O6607" t="s">
        <v>44760</v>
      </c>
      <c r="P6607">
        <v>0</v>
      </c>
      <c r="Q6607">
        <v>7</v>
      </c>
      <c r="R6607" t="s">
        <v>44767</v>
      </c>
      <c r="S6607" t="s">
        <v>44954</v>
      </c>
      <c r="T6607" t="s">
        <v>46616</v>
      </c>
      <c r="U6607" t="s">
        <v>52464</v>
      </c>
      <c r="W6607" t="s">
        <v>43035</v>
      </c>
      <c r="X6607" t="s">
        <v>44769</v>
      </c>
    </row>
    <row r="6608" spans="1:24">
      <c r="A6608">
        <f>HYPERLINK("https://www.philgeps.gov.ph/GEPSNONPILOT/Tender/SplashBidNoticeAbstractUI.aspx?menuIndex=3&amp;refID=7141330&amp;Result=3","7141330")</f>
        <v>0</v>
      </c>
      <c r="B6608" t="s">
        <v>249</v>
      </c>
      <c r="C6608" t="s">
        <v>10015</v>
      </c>
      <c r="D6608" t="s">
        <v>17955</v>
      </c>
      <c r="E6608" t="s">
        <v>23852</v>
      </c>
      <c r="F6608" t="s">
        <v>30900</v>
      </c>
      <c r="G6608" t="s">
        <v>30907</v>
      </c>
      <c r="H6608" t="s">
        <v>30916</v>
      </c>
      <c r="I6608" t="s">
        <v>4108</v>
      </c>
      <c r="J6608" t="s">
        <v>35310</v>
      </c>
      <c r="K6608" t="s">
        <v>40284</v>
      </c>
      <c r="M6608" t="s">
        <v>40796</v>
      </c>
      <c r="N6608" t="s">
        <v>44759</v>
      </c>
      <c r="O6608" t="s">
        <v>44760</v>
      </c>
      <c r="P6608">
        <v>0</v>
      </c>
      <c r="Q6608">
        <v>2</v>
      </c>
      <c r="R6608" t="s">
        <v>44767</v>
      </c>
      <c r="S6608" t="s">
        <v>44954</v>
      </c>
      <c r="T6608" t="s">
        <v>46374</v>
      </c>
      <c r="U6608" t="s">
        <v>52001</v>
      </c>
      <c r="W6608" t="s">
        <v>60821</v>
      </c>
      <c r="X6608" t="s">
        <v>44769</v>
      </c>
    </row>
    <row r="6609" spans="1:24">
      <c r="A6609">
        <f>HYPERLINK("https://www.philgeps.gov.ph/GEPSNONPILOT/Tender/SplashBidNoticeAbstractUI.aspx?menuIndex=3&amp;refID=7141317&amp;Result=3","7141317")</f>
        <v>0</v>
      </c>
      <c r="B6609" t="s">
        <v>249</v>
      </c>
      <c r="C6609" t="s">
        <v>10016</v>
      </c>
      <c r="D6609" t="s">
        <v>17955</v>
      </c>
      <c r="E6609" t="s">
        <v>23853</v>
      </c>
      <c r="F6609" t="s">
        <v>30900</v>
      </c>
      <c r="G6609" t="s">
        <v>30907</v>
      </c>
      <c r="H6609" t="s">
        <v>30916</v>
      </c>
      <c r="I6609" t="s">
        <v>4108</v>
      </c>
      <c r="J6609" t="s">
        <v>35311</v>
      </c>
      <c r="K6609" t="s">
        <v>40284</v>
      </c>
      <c r="M6609" t="s">
        <v>40796</v>
      </c>
      <c r="N6609" t="s">
        <v>44759</v>
      </c>
      <c r="O6609" t="s">
        <v>44760</v>
      </c>
      <c r="P6609">
        <v>0</v>
      </c>
      <c r="Q6609">
        <v>1</v>
      </c>
      <c r="R6609" t="s">
        <v>44767</v>
      </c>
      <c r="S6609" t="s">
        <v>44954</v>
      </c>
      <c r="T6609" t="s">
        <v>46374</v>
      </c>
      <c r="U6609" t="s">
        <v>52465</v>
      </c>
      <c r="W6609" t="s">
        <v>60821</v>
      </c>
      <c r="X6609" t="s">
        <v>44769</v>
      </c>
    </row>
    <row r="6610" spans="1:24">
      <c r="A6610">
        <f>HYPERLINK("https://www.philgeps.gov.ph/GEPSNONPILOT/Tender/SplashBidNoticeAbstractUI.aspx?menuIndex=3&amp;refID=7141266&amp;Result=3","7141266")</f>
        <v>0</v>
      </c>
      <c r="B6610" t="s">
        <v>1215</v>
      </c>
      <c r="C6610" t="s">
        <v>10017</v>
      </c>
      <c r="D6610" t="s">
        <v>17980</v>
      </c>
      <c r="E6610" t="s">
        <v>23854</v>
      </c>
      <c r="F6610" t="s">
        <v>30900</v>
      </c>
      <c r="G6610" t="s">
        <v>30907</v>
      </c>
      <c r="H6610" t="s">
        <v>30916</v>
      </c>
      <c r="I6610" t="s">
        <v>30931</v>
      </c>
      <c r="J6610" t="s">
        <v>33171</v>
      </c>
      <c r="K6610" t="s">
        <v>40293</v>
      </c>
      <c r="M6610" t="s">
        <v>41827</v>
      </c>
      <c r="N6610" t="s">
        <v>44759</v>
      </c>
      <c r="O6610" t="s">
        <v>44760</v>
      </c>
      <c r="P6610">
        <v>0</v>
      </c>
      <c r="Q6610">
        <v>5</v>
      </c>
      <c r="R6610" t="s">
        <v>44767</v>
      </c>
      <c r="S6610" t="s">
        <v>44954</v>
      </c>
      <c r="T6610" t="s">
        <v>46374</v>
      </c>
      <c r="U6610" t="s">
        <v>52466</v>
      </c>
      <c r="W6610" t="s">
        <v>41827</v>
      </c>
      <c r="X6610" t="s">
        <v>44769</v>
      </c>
    </row>
    <row r="6611" spans="1:24">
      <c r="A6611">
        <f>HYPERLINK("https://www.philgeps.gov.ph/GEPSNONPILOT/Tender/SplashBidNoticeAbstractUI.aspx?menuIndex=3&amp;refID=7141307&amp;Result=3","7141307")</f>
        <v>0</v>
      </c>
      <c r="B6611" t="s">
        <v>39</v>
      </c>
      <c r="C6611" t="s">
        <v>10018</v>
      </c>
      <c r="E6611" t="s">
        <v>23855</v>
      </c>
      <c r="F6611" t="s">
        <v>30900</v>
      </c>
      <c r="G6611" t="s">
        <v>30907</v>
      </c>
      <c r="H6611" t="s">
        <v>30916</v>
      </c>
      <c r="I6611" t="s">
        <v>30918</v>
      </c>
      <c r="J6611" t="s">
        <v>31077</v>
      </c>
      <c r="K6611" t="s">
        <v>40289</v>
      </c>
      <c r="M6611" t="s">
        <v>40585</v>
      </c>
      <c r="N6611" t="s">
        <v>44759</v>
      </c>
      <c r="O6611" t="s">
        <v>44760</v>
      </c>
      <c r="P6611">
        <v>0</v>
      </c>
      <c r="Q6611">
        <v>1</v>
      </c>
      <c r="R6611" t="s">
        <v>44767</v>
      </c>
      <c r="S6611" t="s">
        <v>44954</v>
      </c>
      <c r="T6611" t="s">
        <v>46606</v>
      </c>
      <c r="U6611" t="s">
        <v>52467</v>
      </c>
      <c r="W6611" t="s">
        <v>40585</v>
      </c>
      <c r="X6611" t="s">
        <v>44769</v>
      </c>
    </row>
    <row r="6612" spans="1:24">
      <c r="A6612">
        <f>HYPERLINK("https://www.philgeps.gov.ph/GEPSNONPILOT/Tender/SplashBidNoticeAbstractUI.aspx?menuIndex=3&amp;refID=7141246&amp;Result=3","7141246")</f>
        <v>0</v>
      </c>
      <c r="B6612" t="s">
        <v>39</v>
      </c>
      <c r="C6612" t="s">
        <v>10019</v>
      </c>
      <c r="E6612" t="s">
        <v>23856</v>
      </c>
      <c r="F6612" t="s">
        <v>30900</v>
      </c>
      <c r="G6612" t="s">
        <v>30907</v>
      </c>
      <c r="H6612" t="s">
        <v>30916</v>
      </c>
      <c r="I6612" t="s">
        <v>30918</v>
      </c>
      <c r="J6612" t="s">
        <v>31449</v>
      </c>
      <c r="K6612" t="s">
        <v>40289</v>
      </c>
      <c r="M6612" t="s">
        <v>40585</v>
      </c>
      <c r="N6612" t="s">
        <v>44759</v>
      </c>
      <c r="O6612" t="s">
        <v>44760</v>
      </c>
      <c r="P6612">
        <v>0</v>
      </c>
      <c r="Q6612">
        <v>4</v>
      </c>
      <c r="R6612" t="s">
        <v>44767</v>
      </c>
      <c r="S6612" t="s">
        <v>44954</v>
      </c>
      <c r="T6612" t="s">
        <v>46606</v>
      </c>
      <c r="U6612" t="s">
        <v>52468</v>
      </c>
      <c r="W6612" t="s">
        <v>40585</v>
      </c>
      <c r="X6612" t="s">
        <v>44769</v>
      </c>
    </row>
    <row r="6613" spans="1:24">
      <c r="A6613">
        <f>HYPERLINK("https://www.philgeps.gov.ph/GEPSNONPILOT/Tender/SplashBidNoticeAbstractUI.aspx?menuIndex=3&amp;refID=7141184&amp;Result=3","7141184")</f>
        <v>0</v>
      </c>
      <c r="B6613" t="s">
        <v>249</v>
      </c>
      <c r="C6613" t="s">
        <v>10020</v>
      </c>
      <c r="D6613" t="s">
        <v>17955</v>
      </c>
      <c r="E6613" t="s">
        <v>23857</v>
      </c>
      <c r="F6613" t="s">
        <v>30900</v>
      </c>
      <c r="G6613" t="s">
        <v>30907</v>
      </c>
      <c r="H6613" t="s">
        <v>30916</v>
      </c>
      <c r="I6613" t="s">
        <v>30934</v>
      </c>
      <c r="J6613" t="s">
        <v>31241</v>
      </c>
      <c r="K6613" t="s">
        <v>40284</v>
      </c>
      <c r="M6613" t="s">
        <v>40796</v>
      </c>
      <c r="N6613" t="s">
        <v>44759</v>
      </c>
      <c r="O6613" t="s">
        <v>44760</v>
      </c>
      <c r="P6613">
        <v>0</v>
      </c>
      <c r="Q6613">
        <v>1</v>
      </c>
      <c r="R6613" t="s">
        <v>44767</v>
      </c>
      <c r="S6613" t="s">
        <v>44954</v>
      </c>
      <c r="T6613" t="s">
        <v>46374</v>
      </c>
      <c r="U6613" t="s">
        <v>52469</v>
      </c>
      <c r="W6613" t="s">
        <v>60821</v>
      </c>
      <c r="X6613" t="s">
        <v>44769</v>
      </c>
    </row>
    <row r="6614" spans="1:24">
      <c r="A6614">
        <f>HYPERLINK("https://www.philgeps.gov.ph/GEPSNONPILOT/Tender/SplashBidNoticeAbstractUI.aspx?menuIndex=3&amp;refID=7141179&amp;Result=3","7141179")</f>
        <v>0</v>
      </c>
      <c r="B6614" t="s">
        <v>41</v>
      </c>
      <c r="C6614" t="s">
        <v>10021</v>
      </c>
      <c r="D6614" t="s">
        <v>17966</v>
      </c>
      <c r="E6614" t="s">
        <v>23858</v>
      </c>
      <c r="F6614" t="s">
        <v>30900</v>
      </c>
      <c r="G6614" t="s">
        <v>30907</v>
      </c>
      <c r="H6614" t="s">
        <v>30916</v>
      </c>
      <c r="I6614" t="s">
        <v>30939</v>
      </c>
      <c r="J6614" t="s">
        <v>35312</v>
      </c>
      <c r="K6614" t="s">
        <v>40358</v>
      </c>
      <c r="M6614" t="s">
        <v>40831</v>
      </c>
      <c r="N6614" t="s">
        <v>44759</v>
      </c>
      <c r="O6614" t="s">
        <v>44760</v>
      </c>
      <c r="P6614">
        <v>0</v>
      </c>
      <c r="Q6614">
        <v>0</v>
      </c>
      <c r="R6614" t="s">
        <v>44767</v>
      </c>
      <c r="S6614" t="s">
        <v>44954</v>
      </c>
      <c r="T6614" t="s">
        <v>46365</v>
      </c>
      <c r="U6614" t="s">
        <v>52470</v>
      </c>
      <c r="V6614" t="s">
        <v>59095</v>
      </c>
      <c r="W6614" t="s">
        <v>40831</v>
      </c>
      <c r="X6614" t="s">
        <v>44769</v>
      </c>
    </row>
    <row r="6615" spans="1:24">
      <c r="A6615">
        <f>HYPERLINK("https://www.philgeps.gov.ph/GEPSNONPILOT/Tender/SplashBidNoticeAbstractUI.aspx?menuIndex=3&amp;refID=7141235&amp;Result=3","7141235")</f>
        <v>0</v>
      </c>
      <c r="B6615" t="s">
        <v>2299</v>
      </c>
      <c r="C6615" t="s">
        <v>10022</v>
      </c>
      <c r="D6615" t="s">
        <v>17998</v>
      </c>
      <c r="E6615" t="s">
        <v>23859</v>
      </c>
      <c r="F6615" t="s">
        <v>30900</v>
      </c>
      <c r="G6615" t="s">
        <v>30907</v>
      </c>
      <c r="H6615" t="s">
        <v>30916</v>
      </c>
      <c r="I6615" t="s">
        <v>4545</v>
      </c>
      <c r="J6615" t="s">
        <v>31583</v>
      </c>
      <c r="K6615" t="s">
        <v>40287</v>
      </c>
      <c r="M6615" t="s">
        <v>43014</v>
      </c>
      <c r="N6615" t="s">
        <v>44759</v>
      </c>
      <c r="O6615" t="s">
        <v>44760</v>
      </c>
      <c r="P6615">
        <v>0</v>
      </c>
      <c r="Q6615">
        <v>1</v>
      </c>
      <c r="R6615" t="s">
        <v>44767</v>
      </c>
      <c r="S6615" t="s">
        <v>44954</v>
      </c>
      <c r="T6615" t="s">
        <v>46548</v>
      </c>
      <c r="U6615" t="s">
        <v>52471</v>
      </c>
      <c r="W6615" t="s">
        <v>43014</v>
      </c>
      <c r="X6615" t="s">
        <v>44769</v>
      </c>
    </row>
    <row r="6616" spans="1:24">
      <c r="A6616">
        <f>HYPERLINK("https://www.philgeps.gov.ph/GEPSNONPILOT/Tender/SplashBidNoticeAbstractUI.aspx?menuIndex=3&amp;refID=7141167&amp;Result=3","7141167")</f>
        <v>0</v>
      </c>
      <c r="B6616" t="s">
        <v>41</v>
      </c>
      <c r="C6616" t="s">
        <v>10023</v>
      </c>
      <c r="D6616" t="s">
        <v>17966</v>
      </c>
      <c r="E6616" t="s">
        <v>23860</v>
      </c>
      <c r="F6616" t="s">
        <v>30900</v>
      </c>
      <c r="G6616" t="s">
        <v>30907</v>
      </c>
      <c r="H6616" t="s">
        <v>30916</v>
      </c>
      <c r="I6616" t="s">
        <v>30939</v>
      </c>
      <c r="J6616" t="s">
        <v>35313</v>
      </c>
      <c r="K6616" t="s">
        <v>40280</v>
      </c>
      <c r="M6616" t="s">
        <v>40831</v>
      </c>
      <c r="N6616" t="s">
        <v>44759</v>
      </c>
      <c r="O6616" t="s">
        <v>44760</v>
      </c>
      <c r="P6616">
        <v>0</v>
      </c>
      <c r="Q6616">
        <v>0</v>
      </c>
      <c r="R6616" t="s">
        <v>44767</v>
      </c>
      <c r="S6616" t="s">
        <v>44954</v>
      </c>
      <c r="T6616" t="s">
        <v>46365</v>
      </c>
      <c r="U6616" t="s">
        <v>52470</v>
      </c>
      <c r="V6616" t="s">
        <v>59095</v>
      </c>
      <c r="W6616" t="s">
        <v>40831</v>
      </c>
      <c r="X6616" t="s">
        <v>44769</v>
      </c>
    </row>
    <row r="6617" spans="1:24">
      <c r="A6617">
        <f>HYPERLINK("https://www.philgeps.gov.ph/GEPSNONPILOT/Tender/SplashBidNoticeAbstractUI.aspx?menuIndex=3&amp;refID=7140899&amp;Result=3","7140899")</f>
        <v>0</v>
      </c>
      <c r="B6617" t="s">
        <v>46</v>
      </c>
      <c r="C6617" t="s">
        <v>10024</v>
      </c>
      <c r="D6617" t="s">
        <v>17953</v>
      </c>
      <c r="E6617" t="s">
        <v>23861</v>
      </c>
      <c r="F6617" t="s">
        <v>30900</v>
      </c>
      <c r="G6617" t="s">
        <v>30908</v>
      </c>
      <c r="H6617" t="s">
        <v>30916</v>
      </c>
      <c r="I6617" t="s">
        <v>30918</v>
      </c>
      <c r="J6617" t="s">
        <v>35314</v>
      </c>
      <c r="K6617" t="s">
        <v>40289</v>
      </c>
      <c r="M6617" t="s">
        <v>40592</v>
      </c>
      <c r="N6617" t="s">
        <v>44759</v>
      </c>
      <c r="O6617" t="s">
        <v>44760</v>
      </c>
      <c r="P6617">
        <v>0</v>
      </c>
      <c r="Q6617">
        <v>7</v>
      </c>
      <c r="R6617" t="s">
        <v>44767</v>
      </c>
      <c r="S6617" t="s">
        <v>44954</v>
      </c>
      <c r="T6617" t="s">
        <v>46351</v>
      </c>
      <c r="U6617" t="s">
        <v>47031</v>
      </c>
      <c r="W6617" t="s">
        <v>60814</v>
      </c>
      <c r="X6617" t="s">
        <v>44769</v>
      </c>
    </row>
    <row r="6618" spans="1:24">
      <c r="A6618">
        <f>HYPERLINK("https://www.philgeps.gov.ph/GEPSNONPILOT/Tender/SplashBidNoticeAbstractUI.aspx?menuIndex=3&amp;refID=7141329&amp;Result=3","7141329")</f>
        <v>0</v>
      </c>
      <c r="B6618" t="s">
        <v>347</v>
      </c>
      <c r="C6618" t="s">
        <v>10025</v>
      </c>
      <c r="E6618" t="s">
        <v>23862</v>
      </c>
      <c r="F6618" t="s">
        <v>30900</v>
      </c>
      <c r="G6618" t="s">
        <v>30908</v>
      </c>
      <c r="H6618" t="s">
        <v>30916</v>
      </c>
      <c r="I6618" t="s">
        <v>4108</v>
      </c>
      <c r="J6618" t="s">
        <v>32148</v>
      </c>
      <c r="K6618" t="s">
        <v>40289</v>
      </c>
      <c r="M6618" t="s">
        <v>43036</v>
      </c>
      <c r="N6618" t="s">
        <v>44759</v>
      </c>
      <c r="O6618" t="s">
        <v>44760</v>
      </c>
      <c r="P6618">
        <v>0</v>
      </c>
      <c r="Q6618">
        <v>1</v>
      </c>
      <c r="R6618" t="s">
        <v>44767</v>
      </c>
      <c r="S6618" t="s">
        <v>44954</v>
      </c>
      <c r="T6618" t="s">
        <v>46658</v>
      </c>
      <c r="U6618" t="s">
        <v>52472</v>
      </c>
      <c r="V6618" t="s">
        <v>59180</v>
      </c>
      <c r="W6618" t="s">
        <v>43036</v>
      </c>
      <c r="X6618" t="s">
        <v>44769</v>
      </c>
    </row>
    <row r="6619" spans="1:24">
      <c r="A6619">
        <f>HYPERLINK("https://www.philgeps.gov.ph/GEPSNONPILOT/Tender/SplashBidNoticeAbstractUI.aspx?menuIndex=3&amp;refID=7141207&amp;Result=3","7141207")</f>
        <v>0</v>
      </c>
      <c r="B6619" t="s">
        <v>40</v>
      </c>
      <c r="C6619" t="s">
        <v>10026</v>
      </c>
      <c r="E6619" t="s">
        <v>23863</v>
      </c>
      <c r="F6619" t="s">
        <v>30900</v>
      </c>
      <c r="G6619" t="s">
        <v>30907</v>
      </c>
      <c r="H6619" t="s">
        <v>30915</v>
      </c>
      <c r="I6619" t="s">
        <v>30919</v>
      </c>
      <c r="J6619" t="s">
        <v>31049</v>
      </c>
      <c r="K6619" t="s">
        <v>40315</v>
      </c>
      <c r="M6619" t="s">
        <v>40586</v>
      </c>
      <c r="N6619" t="s">
        <v>44759</v>
      </c>
      <c r="O6619" t="s">
        <v>44760</v>
      </c>
      <c r="P6619">
        <v>0</v>
      </c>
      <c r="Q6619">
        <v>0</v>
      </c>
      <c r="R6619" t="s">
        <v>44767</v>
      </c>
      <c r="S6619" t="s">
        <v>44954</v>
      </c>
      <c r="T6619" t="s">
        <v>46548</v>
      </c>
      <c r="U6619" t="s">
        <v>52473</v>
      </c>
      <c r="W6619" t="s">
        <v>40586</v>
      </c>
      <c r="X6619" t="s">
        <v>44769</v>
      </c>
    </row>
    <row r="6620" spans="1:24">
      <c r="A6620">
        <f>HYPERLINK("https://www.philgeps.gov.ph/GEPSNONPILOT/Tender/SplashBidNoticeAbstractUI.aspx?menuIndex=3&amp;refID=7141100&amp;Result=3","7141100")</f>
        <v>0</v>
      </c>
      <c r="B6620" t="s">
        <v>41</v>
      </c>
      <c r="C6620" t="s">
        <v>10027</v>
      </c>
      <c r="D6620" t="s">
        <v>17966</v>
      </c>
      <c r="E6620" t="s">
        <v>23864</v>
      </c>
      <c r="F6620" t="s">
        <v>30900</v>
      </c>
      <c r="G6620" t="s">
        <v>30907</v>
      </c>
      <c r="H6620" t="s">
        <v>30916</v>
      </c>
      <c r="I6620" t="s">
        <v>8123</v>
      </c>
      <c r="J6620" t="s">
        <v>35315</v>
      </c>
      <c r="K6620" t="s">
        <v>40283</v>
      </c>
      <c r="M6620" t="s">
        <v>40831</v>
      </c>
      <c r="N6620" t="s">
        <v>44759</v>
      </c>
      <c r="O6620" t="s">
        <v>44760</v>
      </c>
      <c r="P6620">
        <v>0</v>
      </c>
      <c r="Q6620">
        <v>0</v>
      </c>
      <c r="R6620" t="s">
        <v>44767</v>
      </c>
      <c r="S6620" t="s">
        <v>44954</v>
      </c>
      <c r="T6620" t="s">
        <v>46366</v>
      </c>
      <c r="U6620" t="s">
        <v>52474</v>
      </c>
      <c r="V6620" t="s">
        <v>59095</v>
      </c>
      <c r="W6620" t="s">
        <v>40831</v>
      </c>
      <c r="X6620" t="s">
        <v>44769</v>
      </c>
    </row>
    <row r="6621" spans="1:24">
      <c r="A6621">
        <f>HYPERLINK("https://www.philgeps.gov.ph/GEPSNONPILOT/Tender/SplashBidNoticeAbstractUI.aspx?menuIndex=3&amp;refID=7141060&amp;Result=3","7141060")</f>
        <v>0</v>
      </c>
      <c r="B6621" t="s">
        <v>2310</v>
      </c>
      <c r="C6621" t="s">
        <v>10028</v>
      </c>
      <c r="D6621" t="s">
        <v>17952</v>
      </c>
      <c r="E6621" t="s">
        <v>23865</v>
      </c>
      <c r="F6621" t="s">
        <v>30900</v>
      </c>
      <c r="G6621" t="s">
        <v>30907</v>
      </c>
      <c r="H6621" t="s">
        <v>30915</v>
      </c>
      <c r="I6621" t="s">
        <v>30919</v>
      </c>
      <c r="J6621" t="s">
        <v>32967</v>
      </c>
      <c r="K6621" t="s">
        <v>40428</v>
      </c>
      <c r="M6621" t="s">
        <v>43028</v>
      </c>
      <c r="N6621" t="s">
        <v>44759</v>
      </c>
      <c r="O6621" t="s">
        <v>44760</v>
      </c>
      <c r="P6621">
        <v>0</v>
      </c>
      <c r="Q6621">
        <v>0</v>
      </c>
      <c r="R6621" t="s">
        <v>44767</v>
      </c>
      <c r="S6621" t="s">
        <v>44954</v>
      </c>
      <c r="T6621" t="s">
        <v>46689</v>
      </c>
      <c r="U6621" t="s">
        <v>52475</v>
      </c>
      <c r="W6621" t="s">
        <v>43028</v>
      </c>
      <c r="X6621" t="s">
        <v>44769</v>
      </c>
    </row>
    <row r="6622" spans="1:24">
      <c r="A6622">
        <f>HYPERLINK("https://www.philgeps.gov.ph/GEPSNONPILOT/Tender/SplashBidNoticeAbstractUI.aspx?menuIndex=3&amp;refID=7141670&amp;Result=3","7141670")</f>
        <v>0</v>
      </c>
      <c r="B6622" t="s">
        <v>125</v>
      </c>
      <c r="C6622" t="s">
        <v>10029</v>
      </c>
      <c r="D6622" t="s">
        <v>17952</v>
      </c>
      <c r="E6622" t="s">
        <v>23866</v>
      </c>
      <c r="F6622" t="s">
        <v>30900</v>
      </c>
      <c r="G6622" t="s">
        <v>30907</v>
      </c>
      <c r="H6622" t="s">
        <v>30915</v>
      </c>
      <c r="I6622" t="s">
        <v>30919</v>
      </c>
      <c r="J6622" t="s">
        <v>35316</v>
      </c>
      <c r="K6622" t="s">
        <v>40301</v>
      </c>
      <c r="M6622" t="s">
        <v>40672</v>
      </c>
      <c r="N6622" t="s">
        <v>44759</v>
      </c>
      <c r="O6622" t="s">
        <v>44760</v>
      </c>
      <c r="P6622">
        <v>0</v>
      </c>
      <c r="Q6622">
        <v>5</v>
      </c>
      <c r="R6622" t="s">
        <v>44767</v>
      </c>
      <c r="S6622" t="s">
        <v>44954</v>
      </c>
      <c r="T6622" t="s">
        <v>46497</v>
      </c>
      <c r="U6622" t="s">
        <v>52476</v>
      </c>
      <c r="W6622" t="s">
        <v>40672</v>
      </c>
      <c r="X6622" t="s">
        <v>44769</v>
      </c>
    </row>
    <row r="6623" spans="1:24">
      <c r="A6623">
        <f>HYPERLINK("https://www.philgeps.gov.ph/GEPSNONPILOT/Tender/SplashBidNoticeAbstractUI.aspx?menuIndex=3&amp;refID=7141560&amp;Result=3","7141560")</f>
        <v>0</v>
      </c>
      <c r="B6623" t="s">
        <v>347</v>
      </c>
      <c r="C6623" t="s">
        <v>10030</v>
      </c>
      <c r="E6623" t="s">
        <v>23867</v>
      </c>
      <c r="F6623" t="s">
        <v>30900</v>
      </c>
      <c r="G6623" t="s">
        <v>30910</v>
      </c>
      <c r="H6623" t="s">
        <v>30916</v>
      </c>
      <c r="I6623" t="s">
        <v>4545</v>
      </c>
      <c r="J6623" t="s">
        <v>31674</v>
      </c>
      <c r="K6623" t="s">
        <v>40289</v>
      </c>
      <c r="M6623" t="s">
        <v>43036</v>
      </c>
      <c r="N6623" t="s">
        <v>44759</v>
      </c>
      <c r="O6623" t="s">
        <v>44760</v>
      </c>
      <c r="P6623">
        <v>0</v>
      </c>
      <c r="Q6623">
        <v>2</v>
      </c>
      <c r="R6623" t="s">
        <v>44767</v>
      </c>
      <c r="S6623" t="s">
        <v>44954</v>
      </c>
      <c r="T6623" t="s">
        <v>46658</v>
      </c>
      <c r="U6623" t="s">
        <v>52477</v>
      </c>
      <c r="V6623" t="s">
        <v>59180</v>
      </c>
      <c r="W6623" t="s">
        <v>43036</v>
      </c>
      <c r="X6623" t="s">
        <v>44769</v>
      </c>
    </row>
    <row r="6624" spans="1:24">
      <c r="A6624">
        <f>HYPERLINK("https://www.philgeps.gov.ph/GEPSNONPILOT/Tender/SplashBidNoticeAbstractUI.aspx?menuIndex=3&amp;refID=7141542&amp;Result=3","7141542")</f>
        <v>0</v>
      </c>
      <c r="B6624" t="s">
        <v>2317</v>
      </c>
      <c r="C6624" t="s">
        <v>10031</v>
      </c>
      <c r="D6624" t="s">
        <v>17994</v>
      </c>
      <c r="E6624" t="s">
        <v>23868</v>
      </c>
      <c r="F6624" t="s">
        <v>30899</v>
      </c>
      <c r="G6624" t="s">
        <v>30908</v>
      </c>
      <c r="H6624" t="s">
        <v>30916</v>
      </c>
      <c r="I6624" t="s">
        <v>4454</v>
      </c>
      <c r="J6624" t="s">
        <v>35317</v>
      </c>
      <c r="K6624" t="s">
        <v>40286</v>
      </c>
      <c r="M6624" t="s">
        <v>43037</v>
      </c>
      <c r="N6624" t="s">
        <v>44759</v>
      </c>
      <c r="O6624" t="s">
        <v>44760</v>
      </c>
      <c r="P6624">
        <v>0</v>
      </c>
      <c r="Q6624">
        <v>5</v>
      </c>
      <c r="R6624" t="s">
        <v>44767</v>
      </c>
      <c r="S6624" t="s">
        <v>44954</v>
      </c>
      <c r="T6624" t="s">
        <v>46623</v>
      </c>
      <c r="U6624" t="s">
        <v>52478</v>
      </c>
      <c r="V6624" t="s">
        <v>59836</v>
      </c>
      <c r="W6624" t="s">
        <v>43037</v>
      </c>
      <c r="X6624" t="s">
        <v>44769</v>
      </c>
    </row>
    <row r="6625" spans="1:24">
      <c r="A6625">
        <f>HYPERLINK("https://www.philgeps.gov.ph/GEPSNONPILOT/Tender/SplashBidNoticeAbstractUI.aspx?menuIndex=3&amp;refID=7141524&amp;Result=3","7141524")</f>
        <v>0</v>
      </c>
      <c r="B6625" t="s">
        <v>347</v>
      </c>
      <c r="C6625" t="s">
        <v>10032</v>
      </c>
      <c r="E6625" t="s">
        <v>23869</v>
      </c>
      <c r="F6625" t="s">
        <v>30900</v>
      </c>
      <c r="G6625" t="s">
        <v>30909</v>
      </c>
      <c r="H6625" t="s">
        <v>30916</v>
      </c>
      <c r="I6625" t="s">
        <v>4108</v>
      </c>
      <c r="J6625" t="s">
        <v>35318</v>
      </c>
      <c r="K6625" t="s">
        <v>40289</v>
      </c>
      <c r="M6625" t="s">
        <v>43036</v>
      </c>
      <c r="N6625" t="s">
        <v>44759</v>
      </c>
      <c r="O6625" t="s">
        <v>44760</v>
      </c>
      <c r="P6625">
        <v>0</v>
      </c>
      <c r="Q6625">
        <v>2</v>
      </c>
      <c r="R6625" t="s">
        <v>44767</v>
      </c>
      <c r="S6625" t="s">
        <v>44954</v>
      </c>
      <c r="T6625" t="s">
        <v>46658</v>
      </c>
      <c r="U6625" t="s">
        <v>52479</v>
      </c>
      <c r="V6625" t="s">
        <v>59180</v>
      </c>
      <c r="W6625" t="s">
        <v>43036</v>
      </c>
      <c r="X6625" t="s">
        <v>44769</v>
      </c>
    </row>
    <row r="6626" spans="1:24">
      <c r="A6626">
        <f>HYPERLINK("https://www.philgeps.gov.ph/GEPSNONPILOT/Tender/SplashBidNoticeAbstractUI.aspx?menuIndex=3&amp;refID=7141487&amp;Result=3","7141487")</f>
        <v>0</v>
      </c>
      <c r="B6626" t="s">
        <v>347</v>
      </c>
      <c r="C6626" t="s">
        <v>10033</v>
      </c>
      <c r="E6626" t="s">
        <v>23870</v>
      </c>
      <c r="F6626" t="s">
        <v>30900</v>
      </c>
      <c r="G6626" t="s">
        <v>30908</v>
      </c>
      <c r="H6626" t="s">
        <v>30916</v>
      </c>
      <c r="I6626" t="s">
        <v>30944</v>
      </c>
      <c r="J6626" t="s">
        <v>32674</v>
      </c>
      <c r="K6626" t="s">
        <v>40289</v>
      </c>
      <c r="M6626" t="s">
        <v>43036</v>
      </c>
      <c r="N6626" t="s">
        <v>44759</v>
      </c>
      <c r="O6626" t="s">
        <v>44760</v>
      </c>
      <c r="P6626">
        <v>0</v>
      </c>
      <c r="Q6626">
        <v>0</v>
      </c>
      <c r="R6626" t="s">
        <v>44767</v>
      </c>
      <c r="S6626" t="s">
        <v>44954</v>
      </c>
      <c r="T6626" t="s">
        <v>46658</v>
      </c>
      <c r="U6626" t="s">
        <v>52480</v>
      </c>
      <c r="V6626" t="s">
        <v>59180</v>
      </c>
      <c r="W6626" t="s">
        <v>43036</v>
      </c>
      <c r="X6626" t="s">
        <v>44769</v>
      </c>
    </row>
    <row r="6627" spans="1:24">
      <c r="A6627">
        <f>HYPERLINK("https://www.philgeps.gov.ph/GEPSNONPILOT/Tender/SplashBidNoticeAbstractUI.aspx?menuIndex=3&amp;refID=7141448&amp;Result=3","7141448")</f>
        <v>0</v>
      </c>
      <c r="B6627" t="s">
        <v>347</v>
      </c>
      <c r="C6627" t="s">
        <v>10034</v>
      </c>
      <c r="D6627" t="s">
        <v>18025</v>
      </c>
      <c r="E6627" t="s">
        <v>23871</v>
      </c>
      <c r="F6627" t="s">
        <v>30900</v>
      </c>
      <c r="G6627" t="s">
        <v>30908</v>
      </c>
      <c r="H6627" t="s">
        <v>30916</v>
      </c>
      <c r="I6627" t="s">
        <v>4108</v>
      </c>
      <c r="J6627" t="s">
        <v>35319</v>
      </c>
      <c r="K6627" t="s">
        <v>40289</v>
      </c>
      <c r="M6627" t="s">
        <v>43036</v>
      </c>
      <c r="N6627" t="s">
        <v>44759</v>
      </c>
      <c r="O6627" t="s">
        <v>44760</v>
      </c>
      <c r="P6627">
        <v>0</v>
      </c>
      <c r="Q6627">
        <v>1</v>
      </c>
      <c r="R6627" t="s">
        <v>44767</v>
      </c>
      <c r="S6627" t="s">
        <v>44954</v>
      </c>
      <c r="T6627" t="s">
        <v>46658</v>
      </c>
      <c r="U6627" t="s">
        <v>52481</v>
      </c>
      <c r="V6627" t="s">
        <v>59180</v>
      </c>
      <c r="W6627" t="s">
        <v>43036</v>
      </c>
      <c r="X6627" t="s">
        <v>44769</v>
      </c>
    </row>
    <row r="6628" spans="1:24">
      <c r="A6628">
        <f>HYPERLINK("https://www.philgeps.gov.ph/GEPSNONPILOT/Tender/SplashBidNoticeAbstractUI.aspx?menuIndex=3&amp;refID=7141374&amp;Result=3","7141374")</f>
        <v>0</v>
      </c>
      <c r="B6628" t="s">
        <v>39</v>
      </c>
      <c r="C6628" t="s">
        <v>10035</v>
      </c>
      <c r="E6628" t="s">
        <v>23872</v>
      </c>
      <c r="F6628" t="s">
        <v>30900</v>
      </c>
      <c r="G6628" t="s">
        <v>30907</v>
      </c>
      <c r="H6628" t="s">
        <v>30916</v>
      </c>
      <c r="I6628" t="s">
        <v>30918</v>
      </c>
      <c r="J6628" t="s">
        <v>31806</v>
      </c>
      <c r="K6628" t="s">
        <v>40289</v>
      </c>
      <c r="M6628" t="s">
        <v>40585</v>
      </c>
      <c r="N6628" t="s">
        <v>44759</v>
      </c>
      <c r="O6628" t="s">
        <v>44760</v>
      </c>
      <c r="P6628">
        <v>0</v>
      </c>
      <c r="Q6628">
        <v>8</v>
      </c>
      <c r="R6628" t="s">
        <v>44767</v>
      </c>
      <c r="S6628" t="s">
        <v>44954</v>
      </c>
      <c r="T6628" t="s">
        <v>46606</v>
      </c>
      <c r="U6628" t="s">
        <v>52482</v>
      </c>
      <c r="W6628" t="s">
        <v>40585</v>
      </c>
      <c r="X6628" t="s">
        <v>44769</v>
      </c>
    </row>
    <row r="6629" spans="1:24">
      <c r="A6629">
        <f>HYPERLINK("https://www.philgeps.gov.ph/GEPSNONPILOT/Tender/SplashBidNoticeAbstractUI.aspx?menuIndex=3&amp;refID=7141415&amp;Result=3","7141415")</f>
        <v>0</v>
      </c>
      <c r="B6629" t="s">
        <v>39</v>
      </c>
      <c r="C6629" t="s">
        <v>10036</v>
      </c>
      <c r="E6629" t="s">
        <v>23873</v>
      </c>
      <c r="F6629" t="s">
        <v>30900</v>
      </c>
      <c r="G6629" t="s">
        <v>30907</v>
      </c>
      <c r="H6629" t="s">
        <v>30916</v>
      </c>
      <c r="I6629" t="s">
        <v>30918</v>
      </c>
      <c r="J6629" t="s">
        <v>35320</v>
      </c>
      <c r="K6629" t="s">
        <v>40289</v>
      </c>
      <c r="M6629" t="s">
        <v>40585</v>
      </c>
      <c r="N6629" t="s">
        <v>44759</v>
      </c>
      <c r="O6629" t="s">
        <v>44760</v>
      </c>
      <c r="P6629">
        <v>0</v>
      </c>
      <c r="Q6629">
        <v>9</v>
      </c>
      <c r="R6629" t="s">
        <v>44767</v>
      </c>
      <c r="S6629" t="s">
        <v>44954</v>
      </c>
      <c r="T6629" t="s">
        <v>46606</v>
      </c>
      <c r="U6629" t="s">
        <v>52483</v>
      </c>
      <c r="W6629" t="s">
        <v>40585</v>
      </c>
      <c r="X6629" t="s">
        <v>44769</v>
      </c>
    </row>
    <row r="6630" spans="1:24">
      <c r="A6630">
        <f>HYPERLINK("https://www.philgeps.gov.ph/GEPSNONPILOT/Tender/SplashBidNoticeAbstractUI.aspx?menuIndex=3&amp;refID=7141694&amp;Result=3","7141694")</f>
        <v>0</v>
      </c>
      <c r="B6630" t="s">
        <v>2318</v>
      </c>
      <c r="C6630" t="s">
        <v>10037</v>
      </c>
      <c r="D6630" t="s">
        <v>17955</v>
      </c>
      <c r="E6630" t="s">
        <v>23874</v>
      </c>
      <c r="F6630" t="s">
        <v>30900</v>
      </c>
      <c r="G6630" t="s">
        <v>30909</v>
      </c>
      <c r="H6630" t="s">
        <v>30916</v>
      </c>
      <c r="I6630" t="s">
        <v>4017</v>
      </c>
      <c r="J6630" t="s">
        <v>32222</v>
      </c>
      <c r="K6630" t="s">
        <v>40283</v>
      </c>
      <c r="M6630" t="s">
        <v>43038</v>
      </c>
      <c r="N6630" t="s">
        <v>44759</v>
      </c>
      <c r="O6630" t="s">
        <v>44760</v>
      </c>
      <c r="P6630">
        <v>0</v>
      </c>
      <c r="Q6630">
        <v>9</v>
      </c>
      <c r="R6630" t="s">
        <v>44767</v>
      </c>
      <c r="S6630" t="s">
        <v>44954</v>
      </c>
      <c r="T6630" t="s">
        <v>46662</v>
      </c>
      <c r="U6630" t="s">
        <v>52484</v>
      </c>
      <c r="V6630" t="s">
        <v>59837</v>
      </c>
      <c r="W6630" t="s">
        <v>43038</v>
      </c>
      <c r="X6630" t="s">
        <v>44769</v>
      </c>
    </row>
    <row r="6631" spans="1:24">
      <c r="A6631">
        <f>HYPERLINK("https://www.philgeps.gov.ph/GEPSNONPILOT/Tender/SplashBidNoticeAbstractUI.aspx?menuIndex=3&amp;refID=7141991&amp;Result=3","7141991")</f>
        <v>0</v>
      </c>
      <c r="B6631" t="s">
        <v>2319</v>
      </c>
      <c r="C6631" t="s">
        <v>10038</v>
      </c>
      <c r="E6631" t="s">
        <v>19641</v>
      </c>
      <c r="F6631" t="s">
        <v>30900</v>
      </c>
      <c r="G6631" t="s">
        <v>30907</v>
      </c>
      <c r="H6631" t="s">
        <v>30916</v>
      </c>
      <c r="I6631" t="s">
        <v>30942</v>
      </c>
      <c r="J6631" t="s">
        <v>35321</v>
      </c>
      <c r="K6631" t="s">
        <v>40289</v>
      </c>
      <c r="M6631" t="s">
        <v>43039</v>
      </c>
      <c r="N6631" t="s">
        <v>44759</v>
      </c>
      <c r="O6631" t="s">
        <v>44760</v>
      </c>
      <c r="P6631">
        <v>0</v>
      </c>
      <c r="Q6631">
        <v>3</v>
      </c>
      <c r="R6631" t="s">
        <v>44767</v>
      </c>
      <c r="S6631" t="s">
        <v>44954</v>
      </c>
      <c r="T6631" t="s">
        <v>46447</v>
      </c>
      <c r="U6631" t="s">
        <v>52485</v>
      </c>
      <c r="V6631" t="s">
        <v>59838</v>
      </c>
      <c r="W6631" t="s">
        <v>43039</v>
      </c>
      <c r="X6631" t="s">
        <v>44769</v>
      </c>
    </row>
    <row r="6632" spans="1:24">
      <c r="A6632">
        <f>HYPERLINK("https://www.philgeps.gov.ph/GEPSNONPILOT/Tender/SplashBidNoticeAbstractUI.aspx?menuIndex=3&amp;refID=7141437&amp;Result=3","7141437")</f>
        <v>0</v>
      </c>
      <c r="B6632" t="s">
        <v>39</v>
      </c>
      <c r="C6632" t="s">
        <v>10039</v>
      </c>
      <c r="E6632" t="s">
        <v>23875</v>
      </c>
      <c r="F6632" t="s">
        <v>30900</v>
      </c>
      <c r="G6632" t="s">
        <v>30907</v>
      </c>
      <c r="H6632" t="s">
        <v>30916</v>
      </c>
      <c r="I6632" t="s">
        <v>30918</v>
      </c>
      <c r="J6632" t="s">
        <v>35322</v>
      </c>
      <c r="K6632" t="s">
        <v>40289</v>
      </c>
      <c r="M6632" t="s">
        <v>40585</v>
      </c>
      <c r="N6632" t="s">
        <v>44759</v>
      </c>
      <c r="O6632" t="s">
        <v>44760</v>
      </c>
      <c r="P6632">
        <v>0</v>
      </c>
      <c r="Q6632">
        <v>19</v>
      </c>
      <c r="R6632" t="s">
        <v>44767</v>
      </c>
      <c r="S6632" t="s">
        <v>44954</v>
      </c>
      <c r="T6632" t="s">
        <v>46606</v>
      </c>
      <c r="U6632" t="s">
        <v>52486</v>
      </c>
      <c r="W6632" t="s">
        <v>40585</v>
      </c>
      <c r="X6632" t="s">
        <v>44769</v>
      </c>
    </row>
    <row r="6633" spans="1:24">
      <c r="A6633">
        <f>HYPERLINK("https://www.philgeps.gov.ph/GEPSNONPILOT/Tender/SplashBidNoticeAbstractUI.aspx?menuIndex=3&amp;refID=7141979&amp;Result=3","7141979")</f>
        <v>0</v>
      </c>
      <c r="B6633" t="s">
        <v>2319</v>
      </c>
      <c r="C6633" t="s">
        <v>10040</v>
      </c>
      <c r="E6633" t="s">
        <v>21702</v>
      </c>
      <c r="F6633" t="s">
        <v>30900</v>
      </c>
      <c r="G6633" t="s">
        <v>30907</v>
      </c>
      <c r="H6633" t="s">
        <v>30916</v>
      </c>
      <c r="I6633" t="s">
        <v>30942</v>
      </c>
      <c r="J6633" t="s">
        <v>31241</v>
      </c>
      <c r="K6633" t="s">
        <v>40289</v>
      </c>
      <c r="M6633" t="s">
        <v>43039</v>
      </c>
      <c r="N6633" t="s">
        <v>44759</v>
      </c>
      <c r="O6633" t="s">
        <v>44760</v>
      </c>
      <c r="P6633">
        <v>0</v>
      </c>
      <c r="Q6633">
        <v>3</v>
      </c>
      <c r="R6633" t="s">
        <v>44767</v>
      </c>
      <c r="S6633" t="s">
        <v>44954</v>
      </c>
      <c r="T6633" t="s">
        <v>46455</v>
      </c>
      <c r="U6633" t="s">
        <v>52487</v>
      </c>
      <c r="V6633" t="s">
        <v>59838</v>
      </c>
      <c r="W6633" t="s">
        <v>43039</v>
      </c>
      <c r="X6633" t="s">
        <v>44769</v>
      </c>
    </row>
    <row r="6634" spans="1:24">
      <c r="A6634">
        <f>HYPERLINK("https://www.philgeps.gov.ph/GEPSNONPILOT/Tender/SplashBidNoticeAbstractUI.aspx?menuIndex=3&amp;refID=7141800&amp;Result=3","7141800")</f>
        <v>0</v>
      </c>
      <c r="B6634" t="s">
        <v>1060</v>
      </c>
      <c r="C6634" t="s">
        <v>10041</v>
      </c>
      <c r="D6634" t="s">
        <v>17975</v>
      </c>
      <c r="E6634" t="s">
        <v>23876</v>
      </c>
      <c r="F6634" t="s">
        <v>30900</v>
      </c>
      <c r="G6634" t="s">
        <v>30907</v>
      </c>
      <c r="H6634" t="s">
        <v>30915</v>
      </c>
      <c r="I6634" t="s">
        <v>30919</v>
      </c>
      <c r="J6634" t="s">
        <v>35323</v>
      </c>
      <c r="K6634" t="s">
        <v>40280</v>
      </c>
      <c r="M6634" t="s">
        <v>41657</v>
      </c>
      <c r="N6634" t="s">
        <v>44759</v>
      </c>
      <c r="O6634" t="s">
        <v>44760</v>
      </c>
      <c r="P6634">
        <v>0</v>
      </c>
      <c r="Q6634">
        <v>0</v>
      </c>
      <c r="R6634" t="s">
        <v>44767</v>
      </c>
      <c r="S6634" t="s">
        <v>44954</v>
      </c>
      <c r="T6634" t="s">
        <v>46757</v>
      </c>
      <c r="U6634" t="s">
        <v>52393</v>
      </c>
      <c r="W6634" t="s">
        <v>41657</v>
      </c>
      <c r="X6634" t="s">
        <v>44769</v>
      </c>
    </row>
    <row r="6635" spans="1:24">
      <c r="A6635">
        <f>HYPERLINK("https://www.philgeps.gov.ph/GEPSNONPILOT/Tender/SplashBidNoticeAbstractUI.aspx?menuIndex=3&amp;refID=7141396&amp;Result=3","7141396")</f>
        <v>0</v>
      </c>
      <c r="B6635" t="s">
        <v>39</v>
      </c>
      <c r="C6635" t="s">
        <v>10042</v>
      </c>
      <c r="E6635" t="s">
        <v>23877</v>
      </c>
      <c r="F6635" t="s">
        <v>30900</v>
      </c>
      <c r="G6635" t="s">
        <v>30906</v>
      </c>
      <c r="H6635" t="s">
        <v>30916</v>
      </c>
      <c r="I6635" t="s">
        <v>30918</v>
      </c>
      <c r="J6635" t="s">
        <v>31096</v>
      </c>
      <c r="K6635" t="s">
        <v>40289</v>
      </c>
      <c r="M6635" t="s">
        <v>40585</v>
      </c>
      <c r="N6635" t="s">
        <v>44759</v>
      </c>
      <c r="O6635" t="s">
        <v>44760</v>
      </c>
      <c r="P6635">
        <v>0</v>
      </c>
      <c r="Q6635">
        <v>4</v>
      </c>
      <c r="R6635" t="s">
        <v>44767</v>
      </c>
      <c r="S6635" t="s">
        <v>44954</v>
      </c>
      <c r="T6635" t="s">
        <v>46606</v>
      </c>
      <c r="U6635" t="s">
        <v>52488</v>
      </c>
      <c r="W6635" t="s">
        <v>40585</v>
      </c>
      <c r="X6635" t="s">
        <v>44769</v>
      </c>
    </row>
    <row r="6636" spans="1:24">
      <c r="A6636">
        <f>HYPERLINK("https://www.philgeps.gov.ph/GEPSNONPILOT/Tender/SplashBidNoticeAbstractUI.aspx?menuIndex=3&amp;refID=7141575&amp;Result=3","7141575")</f>
        <v>0</v>
      </c>
      <c r="B6636" t="s">
        <v>2064</v>
      </c>
      <c r="C6636" t="s">
        <v>10043</v>
      </c>
      <c r="D6636" t="s">
        <v>17951</v>
      </c>
      <c r="E6636" t="s">
        <v>23878</v>
      </c>
      <c r="F6636" t="s">
        <v>30900</v>
      </c>
      <c r="G6636" t="s">
        <v>30907</v>
      </c>
      <c r="H6636" t="s">
        <v>30915</v>
      </c>
      <c r="I6636" t="s">
        <v>30919</v>
      </c>
      <c r="J6636" t="s">
        <v>31243</v>
      </c>
      <c r="K6636" t="s">
        <v>40286</v>
      </c>
      <c r="M6636" t="s">
        <v>42763</v>
      </c>
      <c r="N6636" t="s">
        <v>44759</v>
      </c>
      <c r="O6636" t="s">
        <v>44760</v>
      </c>
      <c r="P6636">
        <v>0</v>
      </c>
      <c r="Q6636">
        <v>0</v>
      </c>
      <c r="R6636" t="s">
        <v>44767</v>
      </c>
      <c r="S6636" t="s">
        <v>44954</v>
      </c>
      <c r="T6636" t="s">
        <v>46702</v>
      </c>
      <c r="U6636" t="s">
        <v>52489</v>
      </c>
      <c r="W6636" t="s">
        <v>42763</v>
      </c>
      <c r="X6636" t="s">
        <v>44769</v>
      </c>
    </row>
    <row r="6637" spans="1:24">
      <c r="A6637">
        <f>HYPERLINK("https://www.philgeps.gov.ph/GEPSNONPILOT/Tender/SplashBidNoticeAbstractUI.aspx?menuIndex=3&amp;refID=7141985&amp;Result=3","7141985")</f>
        <v>0</v>
      </c>
      <c r="B6637" t="s">
        <v>2320</v>
      </c>
      <c r="C6637" t="s">
        <v>10044</v>
      </c>
      <c r="D6637" t="s">
        <v>17971</v>
      </c>
      <c r="E6637" t="s">
        <v>23879</v>
      </c>
      <c r="F6637" t="s">
        <v>30900</v>
      </c>
      <c r="G6637" t="s">
        <v>30907</v>
      </c>
      <c r="H6637" t="s">
        <v>30915</v>
      </c>
      <c r="I6637" t="s">
        <v>30919</v>
      </c>
      <c r="J6637" t="s">
        <v>35324</v>
      </c>
      <c r="K6637" t="s">
        <v>40292</v>
      </c>
      <c r="M6637" t="s">
        <v>43040</v>
      </c>
      <c r="N6637" t="s">
        <v>44759</v>
      </c>
      <c r="O6637" t="s">
        <v>44760</v>
      </c>
      <c r="P6637">
        <v>0</v>
      </c>
      <c r="Q6637">
        <v>53</v>
      </c>
      <c r="R6637" t="s">
        <v>44767</v>
      </c>
      <c r="S6637" t="s">
        <v>44954</v>
      </c>
      <c r="T6637" t="s">
        <v>46441</v>
      </c>
      <c r="U6637" t="s">
        <v>52490</v>
      </c>
      <c r="V6637" t="s">
        <v>59839</v>
      </c>
      <c r="W6637" t="s">
        <v>43040</v>
      </c>
      <c r="X6637" t="s">
        <v>44769</v>
      </c>
    </row>
    <row r="6638" spans="1:24">
      <c r="A6638">
        <f>HYPERLINK("https://www.philgeps.gov.ph/GEPSNONPILOT/Tender/SplashBidNoticeAbstractUI.aspx?menuIndex=3&amp;refID=7141814&amp;Result=3","7141814")</f>
        <v>0</v>
      </c>
      <c r="B6638" t="s">
        <v>2321</v>
      </c>
      <c r="C6638" t="s">
        <v>10045</v>
      </c>
      <c r="D6638" t="s">
        <v>17993</v>
      </c>
      <c r="E6638" t="s">
        <v>23880</v>
      </c>
      <c r="F6638" t="s">
        <v>30900</v>
      </c>
      <c r="G6638" t="s">
        <v>30907</v>
      </c>
      <c r="H6638" t="s">
        <v>30915</v>
      </c>
      <c r="I6638" t="s">
        <v>30919</v>
      </c>
      <c r="J6638" t="s">
        <v>35325</v>
      </c>
      <c r="K6638" t="s">
        <v>40283</v>
      </c>
      <c r="M6638" t="s">
        <v>43041</v>
      </c>
      <c r="N6638" t="s">
        <v>44759</v>
      </c>
      <c r="O6638" t="s">
        <v>44760</v>
      </c>
      <c r="P6638">
        <v>0</v>
      </c>
      <c r="Q6638">
        <v>1</v>
      </c>
      <c r="R6638" t="s">
        <v>44767</v>
      </c>
      <c r="S6638" t="s">
        <v>44954</v>
      </c>
      <c r="T6638" t="s">
        <v>46519</v>
      </c>
      <c r="U6638" t="s">
        <v>52491</v>
      </c>
      <c r="V6638" t="s">
        <v>59840</v>
      </c>
      <c r="W6638" t="s">
        <v>43041</v>
      </c>
      <c r="X6638" t="s">
        <v>44769</v>
      </c>
    </row>
    <row r="6639" spans="1:24">
      <c r="A6639">
        <f>HYPERLINK("https://www.philgeps.gov.ph/GEPSNONPILOT/Tender/SplashBidNoticeAbstractUI.aspx?menuIndex=3&amp;refID=7141679&amp;Result=3","7141679")</f>
        <v>0</v>
      </c>
      <c r="B6639" t="s">
        <v>125</v>
      </c>
      <c r="C6639" t="s">
        <v>10046</v>
      </c>
      <c r="D6639" t="s">
        <v>17952</v>
      </c>
      <c r="E6639" t="s">
        <v>23881</v>
      </c>
      <c r="F6639" t="s">
        <v>30900</v>
      </c>
      <c r="G6639" t="s">
        <v>30907</v>
      </c>
      <c r="H6639" t="s">
        <v>30915</v>
      </c>
      <c r="I6639" t="s">
        <v>30919</v>
      </c>
      <c r="J6639" t="s">
        <v>35326</v>
      </c>
      <c r="K6639" t="s">
        <v>40301</v>
      </c>
      <c r="M6639" t="s">
        <v>40672</v>
      </c>
      <c r="N6639" t="s">
        <v>44759</v>
      </c>
      <c r="O6639" t="s">
        <v>44760</v>
      </c>
      <c r="P6639">
        <v>0</v>
      </c>
      <c r="Q6639">
        <v>5</v>
      </c>
      <c r="R6639" t="s">
        <v>44767</v>
      </c>
      <c r="S6639" t="s">
        <v>44954</v>
      </c>
      <c r="T6639" t="s">
        <v>46497</v>
      </c>
      <c r="U6639" t="s">
        <v>52492</v>
      </c>
      <c r="W6639" t="s">
        <v>40672</v>
      </c>
      <c r="X6639" t="s">
        <v>44769</v>
      </c>
    </row>
    <row r="6640" spans="1:24">
      <c r="A6640">
        <f>HYPERLINK("https://www.philgeps.gov.ph/GEPSNONPILOT/Tender/SplashBidNoticeAbstractUI.aspx?menuIndex=3&amp;refID=7141386&amp;Result=3","7141386")</f>
        <v>0</v>
      </c>
      <c r="B6640" t="s">
        <v>1153</v>
      </c>
      <c r="C6640" t="s">
        <v>10047</v>
      </c>
      <c r="E6640" t="s">
        <v>23882</v>
      </c>
      <c r="F6640" t="s">
        <v>30900</v>
      </c>
      <c r="G6640" t="s">
        <v>30907</v>
      </c>
      <c r="H6640" t="s">
        <v>30916</v>
      </c>
      <c r="I6640" t="s">
        <v>30924</v>
      </c>
      <c r="J6640" t="s">
        <v>31152</v>
      </c>
      <c r="K6640" t="s">
        <v>40289</v>
      </c>
      <c r="M6640" t="s">
        <v>43035</v>
      </c>
      <c r="N6640" t="s">
        <v>44759</v>
      </c>
      <c r="O6640" t="s">
        <v>44760</v>
      </c>
      <c r="P6640">
        <v>0</v>
      </c>
      <c r="Q6640">
        <v>8</v>
      </c>
      <c r="R6640" t="s">
        <v>44767</v>
      </c>
      <c r="S6640" t="s">
        <v>44954</v>
      </c>
      <c r="T6640" t="s">
        <v>46616</v>
      </c>
      <c r="U6640" t="s">
        <v>52464</v>
      </c>
      <c r="W6640" t="s">
        <v>43035</v>
      </c>
      <c r="X6640" t="s">
        <v>44769</v>
      </c>
    </row>
    <row r="6641" spans="1:24">
      <c r="A6641">
        <f>HYPERLINK("https://www.philgeps.gov.ph/GEPSNONPILOT/Tender/SplashBidNoticeAbstractUI.aspx?menuIndex=3&amp;refID=7142097&amp;Result=3","7142097")</f>
        <v>0</v>
      </c>
      <c r="B6641" t="s">
        <v>1185</v>
      </c>
      <c r="C6641" t="s">
        <v>10048</v>
      </c>
      <c r="D6641" t="s">
        <v>18011</v>
      </c>
      <c r="E6641" t="s">
        <v>23883</v>
      </c>
      <c r="F6641" t="s">
        <v>30900</v>
      </c>
      <c r="G6641" t="s">
        <v>30907</v>
      </c>
      <c r="H6641" t="s">
        <v>30915</v>
      </c>
      <c r="I6641" t="s">
        <v>30919</v>
      </c>
      <c r="J6641" t="s">
        <v>35327</v>
      </c>
      <c r="K6641" t="s">
        <v>40349</v>
      </c>
      <c r="M6641" t="s">
        <v>43042</v>
      </c>
      <c r="N6641" t="s">
        <v>44759</v>
      </c>
      <c r="O6641" t="s">
        <v>44760</v>
      </c>
      <c r="P6641">
        <v>0</v>
      </c>
      <c r="Q6641">
        <v>1</v>
      </c>
      <c r="R6641" t="s">
        <v>44767</v>
      </c>
      <c r="S6641" t="s">
        <v>44954</v>
      </c>
      <c r="T6641" t="s">
        <v>46495</v>
      </c>
      <c r="U6641" t="s">
        <v>52493</v>
      </c>
      <c r="W6641" t="s">
        <v>43042</v>
      </c>
      <c r="X6641" t="s">
        <v>44768</v>
      </c>
    </row>
    <row r="6642" spans="1:24">
      <c r="A6642">
        <f>HYPERLINK("https://www.philgeps.gov.ph/GEPSNONPILOT/Tender/SplashBidNoticeAbstractUI.aspx?menuIndex=3&amp;refID=7141999&amp;Result=3","7141999")</f>
        <v>0</v>
      </c>
      <c r="B6642" t="s">
        <v>2320</v>
      </c>
      <c r="C6642" t="s">
        <v>10049</v>
      </c>
      <c r="D6642" t="s">
        <v>17971</v>
      </c>
      <c r="E6642" t="s">
        <v>23884</v>
      </c>
      <c r="F6642" t="s">
        <v>30900</v>
      </c>
      <c r="G6642" t="s">
        <v>30907</v>
      </c>
      <c r="H6642" t="s">
        <v>30915</v>
      </c>
      <c r="I6642" t="s">
        <v>30919</v>
      </c>
      <c r="J6642" t="s">
        <v>31391</v>
      </c>
      <c r="K6642" t="s">
        <v>40292</v>
      </c>
      <c r="M6642" t="s">
        <v>43040</v>
      </c>
      <c r="N6642" t="s">
        <v>44759</v>
      </c>
      <c r="O6642" t="s">
        <v>44760</v>
      </c>
      <c r="P6642">
        <v>0</v>
      </c>
      <c r="Q6642">
        <v>52</v>
      </c>
      <c r="R6642" t="s">
        <v>44767</v>
      </c>
      <c r="S6642" t="s">
        <v>44954</v>
      </c>
      <c r="T6642" t="s">
        <v>46441</v>
      </c>
      <c r="U6642" t="s">
        <v>52494</v>
      </c>
      <c r="V6642" t="s">
        <v>59492</v>
      </c>
      <c r="W6642" t="s">
        <v>43040</v>
      </c>
      <c r="X6642" t="s">
        <v>44769</v>
      </c>
    </row>
    <row r="6643" spans="1:24">
      <c r="A6643">
        <f>HYPERLINK("https://www.philgeps.gov.ph/GEPSNONPILOT/Tender/SplashBidNoticeAbstractUI.aspx?menuIndex=3&amp;refID=7142092&amp;Result=3","7142092")</f>
        <v>0</v>
      </c>
      <c r="B6643" t="s">
        <v>2322</v>
      </c>
      <c r="C6643" t="s">
        <v>10050</v>
      </c>
      <c r="D6643" t="s">
        <v>18015</v>
      </c>
      <c r="E6643" t="s">
        <v>23885</v>
      </c>
      <c r="F6643" t="s">
        <v>30900</v>
      </c>
      <c r="G6643" t="s">
        <v>30907</v>
      </c>
      <c r="H6643" t="s">
        <v>30916</v>
      </c>
      <c r="I6643" t="s">
        <v>6396</v>
      </c>
      <c r="J6643" t="s">
        <v>35328</v>
      </c>
      <c r="K6643" t="s">
        <v>40321</v>
      </c>
      <c r="L6643" t="s">
        <v>2322</v>
      </c>
      <c r="M6643" t="s">
        <v>43043</v>
      </c>
      <c r="N6643" t="s">
        <v>44759</v>
      </c>
      <c r="O6643" t="s">
        <v>44760</v>
      </c>
      <c r="P6643">
        <v>0</v>
      </c>
      <c r="Q6643">
        <v>0</v>
      </c>
      <c r="R6643" t="s">
        <v>44767</v>
      </c>
      <c r="S6643" t="s">
        <v>44954</v>
      </c>
      <c r="T6643" t="s">
        <v>46350</v>
      </c>
      <c r="U6643" t="s">
        <v>52495</v>
      </c>
      <c r="V6643" t="s">
        <v>59841</v>
      </c>
      <c r="W6643" t="s">
        <v>43043</v>
      </c>
      <c r="X6643" t="s">
        <v>44768</v>
      </c>
    </row>
    <row r="6644" spans="1:24">
      <c r="A6644">
        <f>HYPERLINK("https://www.philgeps.gov.ph/GEPSNONPILOT/Tender/SplashBidNoticeAbstractUI.aspx?menuIndex=3&amp;refID=7142090&amp;Result=3","7142090")</f>
        <v>0</v>
      </c>
      <c r="B6644" t="s">
        <v>2322</v>
      </c>
      <c r="C6644" t="s">
        <v>10051</v>
      </c>
      <c r="D6644" t="s">
        <v>18015</v>
      </c>
      <c r="E6644" t="s">
        <v>23886</v>
      </c>
      <c r="F6644" t="s">
        <v>30900</v>
      </c>
      <c r="G6644" t="s">
        <v>30907</v>
      </c>
      <c r="H6644" t="s">
        <v>30916</v>
      </c>
      <c r="I6644" t="s">
        <v>10879</v>
      </c>
      <c r="J6644" t="s">
        <v>31048</v>
      </c>
      <c r="K6644" t="s">
        <v>40321</v>
      </c>
      <c r="L6644" t="s">
        <v>2322</v>
      </c>
      <c r="M6644" t="s">
        <v>43043</v>
      </c>
      <c r="N6644" t="s">
        <v>44759</v>
      </c>
      <c r="O6644" t="s">
        <v>44760</v>
      </c>
      <c r="P6644">
        <v>0</v>
      </c>
      <c r="Q6644">
        <v>0</v>
      </c>
      <c r="R6644" t="s">
        <v>44767</v>
      </c>
      <c r="S6644" t="s">
        <v>44954</v>
      </c>
      <c r="T6644" t="s">
        <v>46350</v>
      </c>
      <c r="U6644" t="s">
        <v>52496</v>
      </c>
      <c r="V6644" t="s">
        <v>59841</v>
      </c>
      <c r="W6644" t="s">
        <v>43043</v>
      </c>
      <c r="X6644" t="s">
        <v>44768</v>
      </c>
    </row>
    <row r="6645" spans="1:24">
      <c r="A6645">
        <f>HYPERLINK("https://www.philgeps.gov.ph/GEPSNONPILOT/Tender/SplashBidNoticeAbstractUI.aspx?menuIndex=3&amp;refID=7142089&amp;Result=3","7142089")</f>
        <v>0</v>
      </c>
      <c r="B6645" t="s">
        <v>1105</v>
      </c>
      <c r="C6645" t="s">
        <v>10052</v>
      </c>
      <c r="D6645" t="s">
        <v>17973</v>
      </c>
      <c r="E6645" t="s">
        <v>23887</v>
      </c>
      <c r="F6645" t="s">
        <v>30900</v>
      </c>
      <c r="G6645" t="s">
        <v>30907</v>
      </c>
      <c r="H6645" t="s">
        <v>30915</v>
      </c>
      <c r="I6645" t="s">
        <v>8123</v>
      </c>
      <c r="J6645" t="s">
        <v>35295</v>
      </c>
      <c r="K6645" t="s">
        <v>40289</v>
      </c>
      <c r="M6645" t="s">
        <v>41705</v>
      </c>
      <c r="N6645" t="s">
        <v>44759</v>
      </c>
      <c r="O6645" t="s">
        <v>44760</v>
      </c>
      <c r="P6645">
        <v>0</v>
      </c>
      <c r="Q6645">
        <v>0</v>
      </c>
      <c r="R6645" t="s">
        <v>44767</v>
      </c>
      <c r="S6645" t="s">
        <v>44954</v>
      </c>
      <c r="T6645" t="s">
        <v>46759</v>
      </c>
      <c r="U6645" t="s">
        <v>52497</v>
      </c>
      <c r="W6645" t="s">
        <v>41705</v>
      </c>
      <c r="X6645" t="s">
        <v>44768</v>
      </c>
    </row>
    <row r="6646" spans="1:24">
      <c r="A6646">
        <f>HYPERLINK("https://www.philgeps.gov.ph/GEPSNONPILOT/Tender/SplashBidNoticeAbstractUI.aspx?menuIndex=3&amp;refID=7142086&amp;Result=3","7142086")</f>
        <v>0</v>
      </c>
      <c r="B6646" t="s">
        <v>2322</v>
      </c>
      <c r="C6646" t="s">
        <v>10053</v>
      </c>
      <c r="D6646" t="s">
        <v>18015</v>
      </c>
      <c r="E6646" t="s">
        <v>23888</v>
      </c>
      <c r="F6646" t="s">
        <v>30900</v>
      </c>
      <c r="G6646" t="s">
        <v>30907</v>
      </c>
      <c r="H6646" t="s">
        <v>30916</v>
      </c>
      <c r="I6646" t="s">
        <v>8021</v>
      </c>
      <c r="J6646" t="s">
        <v>35329</v>
      </c>
      <c r="K6646" t="s">
        <v>40321</v>
      </c>
      <c r="L6646" t="s">
        <v>2322</v>
      </c>
      <c r="M6646" t="s">
        <v>43043</v>
      </c>
      <c r="N6646" t="s">
        <v>44759</v>
      </c>
      <c r="O6646" t="s">
        <v>44760</v>
      </c>
      <c r="P6646">
        <v>0</v>
      </c>
      <c r="Q6646">
        <v>0</v>
      </c>
      <c r="R6646" t="s">
        <v>44767</v>
      </c>
      <c r="S6646" t="s">
        <v>44954</v>
      </c>
      <c r="T6646" t="s">
        <v>46350</v>
      </c>
      <c r="U6646" t="s">
        <v>52498</v>
      </c>
      <c r="V6646" t="s">
        <v>59841</v>
      </c>
      <c r="W6646" t="s">
        <v>43043</v>
      </c>
      <c r="X6646" t="s">
        <v>44768</v>
      </c>
    </row>
    <row r="6647" spans="1:24">
      <c r="A6647">
        <f>HYPERLINK("https://www.philgeps.gov.ph/GEPSNONPILOT/Tender/SplashBidNoticeAbstractUI.aspx?menuIndex=3&amp;refID=7142085&amp;Result=3","7142085")</f>
        <v>0</v>
      </c>
      <c r="B6647" t="s">
        <v>2322</v>
      </c>
      <c r="C6647" t="s">
        <v>10054</v>
      </c>
      <c r="D6647" t="s">
        <v>18015</v>
      </c>
      <c r="E6647" t="s">
        <v>23434</v>
      </c>
      <c r="F6647" t="s">
        <v>30900</v>
      </c>
      <c r="G6647" t="s">
        <v>30907</v>
      </c>
      <c r="H6647" t="s">
        <v>30916</v>
      </c>
      <c r="I6647" t="s">
        <v>4545</v>
      </c>
      <c r="J6647" t="s">
        <v>31271</v>
      </c>
      <c r="K6647" t="s">
        <v>40321</v>
      </c>
      <c r="L6647" t="s">
        <v>2322</v>
      </c>
      <c r="M6647" t="s">
        <v>43043</v>
      </c>
      <c r="N6647" t="s">
        <v>44759</v>
      </c>
      <c r="O6647" t="s">
        <v>44760</v>
      </c>
      <c r="P6647">
        <v>0</v>
      </c>
      <c r="Q6647">
        <v>1</v>
      </c>
      <c r="R6647" t="s">
        <v>44767</v>
      </c>
      <c r="S6647" t="s">
        <v>44954</v>
      </c>
      <c r="T6647" t="s">
        <v>46350</v>
      </c>
      <c r="U6647" t="s">
        <v>52499</v>
      </c>
      <c r="V6647" t="s">
        <v>59841</v>
      </c>
      <c r="W6647" t="s">
        <v>43043</v>
      </c>
      <c r="X6647" t="s">
        <v>44768</v>
      </c>
    </row>
    <row r="6648" spans="1:24">
      <c r="A6648">
        <f>HYPERLINK("https://www.philgeps.gov.ph/GEPSNONPILOT/Tender/SplashBidNoticeAbstractUI.aspx?menuIndex=3&amp;refID=7142081&amp;Result=3","7142081")</f>
        <v>0</v>
      </c>
      <c r="B6648" t="s">
        <v>2323</v>
      </c>
      <c r="C6648" t="s">
        <v>10055</v>
      </c>
      <c r="D6648" t="s">
        <v>18039</v>
      </c>
      <c r="E6648" t="s">
        <v>18493</v>
      </c>
      <c r="F6648" t="s">
        <v>30900</v>
      </c>
      <c r="G6648" t="s">
        <v>30907</v>
      </c>
      <c r="H6648" t="s">
        <v>30915</v>
      </c>
      <c r="I6648" t="s">
        <v>30919</v>
      </c>
      <c r="J6648" t="s">
        <v>31241</v>
      </c>
      <c r="K6648" t="s">
        <v>40301</v>
      </c>
      <c r="M6648" t="s">
        <v>43044</v>
      </c>
      <c r="N6648" t="s">
        <v>44759</v>
      </c>
      <c r="O6648" t="s">
        <v>44760</v>
      </c>
      <c r="P6648">
        <v>0</v>
      </c>
      <c r="Q6648">
        <v>3</v>
      </c>
      <c r="R6648" t="s">
        <v>44767</v>
      </c>
      <c r="S6648" t="s">
        <v>44954</v>
      </c>
      <c r="T6648" t="s">
        <v>46544</v>
      </c>
      <c r="U6648" t="s">
        <v>52500</v>
      </c>
      <c r="W6648" t="s">
        <v>43044</v>
      </c>
      <c r="X6648" t="s">
        <v>44768</v>
      </c>
    </row>
    <row r="6649" spans="1:24">
      <c r="A6649">
        <f>HYPERLINK("https://www.philgeps.gov.ph/GEPSNONPILOT/Tender/SplashBidNoticeAbstractUI.aspx?menuIndex=3&amp;refID=7142099&amp;Result=3","7142099")</f>
        <v>0</v>
      </c>
      <c r="B6649" t="s">
        <v>2324</v>
      </c>
      <c r="C6649" t="s">
        <v>10056</v>
      </c>
      <c r="D6649" t="s">
        <v>17970</v>
      </c>
      <c r="E6649" t="s">
        <v>23889</v>
      </c>
      <c r="F6649" t="s">
        <v>30900</v>
      </c>
      <c r="G6649" t="s">
        <v>30909</v>
      </c>
      <c r="H6649" t="s">
        <v>30916</v>
      </c>
      <c r="I6649" t="s">
        <v>4545</v>
      </c>
      <c r="J6649" t="s">
        <v>31204</v>
      </c>
      <c r="K6649" t="s">
        <v>40288</v>
      </c>
      <c r="M6649" t="s">
        <v>43045</v>
      </c>
      <c r="N6649" t="s">
        <v>44759</v>
      </c>
      <c r="O6649" t="s">
        <v>44760</v>
      </c>
      <c r="P6649">
        <v>0</v>
      </c>
      <c r="Q6649">
        <v>3</v>
      </c>
      <c r="R6649" t="s">
        <v>44767</v>
      </c>
      <c r="S6649" t="s">
        <v>44954</v>
      </c>
      <c r="T6649" t="s">
        <v>46658</v>
      </c>
      <c r="U6649" t="s">
        <v>47251</v>
      </c>
      <c r="W6649" t="s">
        <v>43045</v>
      </c>
      <c r="X6649" t="s">
        <v>44768</v>
      </c>
    </row>
    <row r="6650" spans="1:24">
      <c r="A6650">
        <f>HYPERLINK("https://www.philgeps.gov.ph/GEPSNONPILOT/Tender/SplashBidNoticeAbstractUI.aspx?menuIndex=3&amp;refID=7141449&amp;Result=3","7141449")</f>
        <v>0</v>
      </c>
      <c r="B6650" t="s">
        <v>1215</v>
      </c>
      <c r="C6650" t="s">
        <v>10057</v>
      </c>
      <c r="D6650" t="s">
        <v>17980</v>
      </c>
      <c r="E6650" t="s">
        <v>23890</v>
      </c>
      <c r="F6650" t="s">
        <v>30900</v>
      </c>
      <c r="G6650" t="s">
        <v>30907</v>
      </c>
      <c r="H6650" t="s">
        <v>30915</v>
      </c>
      <c r="I6650" t="s">
        <v>30919</v>
      </c>
      <c r="J6650" t="s">
        <v>35330</v>
      </c>
      <c r="K6650" t="s">
        <v>40304</v>
      </c>
      <c r="M6650" t="s">
        <v>41827</v>
      </c>
      <c r="N6650" t="s">
        <v>44759</v>
      </c>
      <c r="O6650" t="s">
        <v>44760</v>
      </c>
      <c r="P6650">
        <v>0</v>
      </c>
      <c r="Q6650">
        <v>0</v>
      </c>
      <c r="R6650" t="s">
        <v>44767</v>
      </c>
      <c r="S6650" t="s">
        <v>44954</v>
      </c>
      <c r="T6650" t="s">
        <v>46374</v>
      </c>
      <c r="U6650" t="s">
        <v>52501</v>
      </c>
      <c r="W6650" t="s">
        <v>41827</v>
      </c>
      <c r="X6650" t="s">
        <v>44769</v>
      </c>
    </row>
    <row r="6651" spans="1:24">
      <c r="A6651">
        <f>HYPERLINK("https://www.philgeps.gov.ph/GEPSNONPILOT/Tender/SplashBidNoticeAbstractUI.aspx?menuIndex=3&amp;refID=7142116&amp;Result=3","7142116")</f>
        <v>0</v>
      </c>
      <c r="B6651" t="s">
        <v>48</v>
      </c>
      <c r="C6651" t="s">
        <v>10058</v>
      </c>
      <c r="D6651" t="s">
        <v>17971</v>
      </c>
      <c r="E6651" t="s">
        <v>23891</v>
      </c>
      <c r="F6651" t="s">
        <v>30900</v>
      </c>
      <c r="G6651" t="s">
        <v>30907</v>
      </c>
      <c r="H6651" t="s">
        <v>30915</v>
      </c>
      <c r="I6651" t="s">
        <v>30919</v>
      </c>
      <c r="J6651" t="s">
        <v>31135</v>
      </c>
      <c r="K6651" t="s">
        <v>40286</v>
      </c>
      <c r="M6651" t="s">
        <v>40594</v>
      </c>
      <c r="N6651" t="s">
        <v>44759</v>
      </c>
      <c r="O6651" t="s">
        <v>44760</v>
      </c>
      <c r="P6651">
        <v>0</v>
      </c>
      <c r="Q6651">
        <v>1</v>
      </c>
      <c r="R6651" t="s">
        <v>44767</v>
      </c>
      <c r="S6651" t="s">
        <v>44954</v>
      </c>
      <c r="T6651" t="s">
        <v>46379</v>
      </c>
      <c r="U6651" t="s">
        <v>52502</v>
      </c>
      <c r="W6651" t="s">
        <v>40594</v>
      </c>
      <c r="X6651" t="s">
        <v>44768</v>
      </c>
    </row>
    <row r="6652" spans="1:24">
      <c r="A6652">
        <f>HYPERLINK("https://www.philgeps.gov.ph/GEPSNONPILOT/Tender/SplashBidNoticeAbstractUI.aspx?menuIndex=3&amp;refID=7142103&amp;Result=3","7142103")</f>
        <v>0</v>
      </c>
      <c r="B6652" t="s">
        <v>2324</v>
      </c>
      <c r="C6652" t="s">
        <v>10059</v>
      </c>
      <c r="D6652" t="s">
        <v>17970</v>
      </c>
      <c r="E6652" t="s">
        <v>23892</v>
      </c>
      <c r="F6652" t="s">
        <v>30900</v>
      </c>
      <c r="G6652" t="s">
        <v>30909</v>
      </c>
      <c r="H6652" t="s">
        <v>30916</v>
      </c>
      <c r="I6652" t="s">
        <v>4545</v>
      </c>
      <c r="J6652" t="s">
        <v>31043</v>
      </c>
      <c r="K6652" t="s">
        <v>40288</v>
      </c>
      <c r="M6652" t="s">
        <v>43045</v>
      </c>
      <c r="N6652" t="s">
        <v>44759</v>
      </c>
      <c r="O6652" t="s">
        <v>44760</v>
      </c>
      <c r="P6652">
        <v>0</v>
      </c>
      <c r="Q6652">
        <v>2</v>
      </c>
      <c r="R6652" t="s">
        <v>44767</v>
      </c>
      <c r="S6652" t="s">
        <v>44954</v>
      </c>
      <c r="T6652" t="s">
        <v>46658</v>
      </c>
      <c r="U6652" t="s">
        <v>47278</v>
      </c>
      <c r="W6652" t="s">
        <v>43045</v>
      </c>
      <c r="X6652" t="s">
        <v>44768</v>
      </c>
    </row>
    <row r="6653" spans="1:24">
      <c r="A6653">
        <f>HYPERLINK("https://www.philgeps.gov.ph/GEPSNONPILOT/Tender/SplashBidNoticeAbstractUI.aspx?menuIndex=3&amp;refID=7142117&amp;Result=3","7142117")</f>
        <v>0</v>
      </c>
      <c r="B6653" t="s">
        <v>2325</v>
      </c>
      <c r="C6653" t="s">
        <v>10060</v>
      </c>
      <c r="D6653" t="s">
        <v>18006</v>
      </c>
      <c r="E6653" t="s">
        <v>23893</v>
      </c>
      <c r="F6653" t="s">
        <v>30900</v>
      </c>
      <c r="G6653" t="s">
        <v>30907</v>
      </c>
      <c r="H6653" t="s">
        <v>30916</v>
      </c>
      <c r="I6653" t="s">
        <v>6396</v>
      </c>
      <c r="J6653" t="s">
        <v>35331</v>
      </c>
      <c r="K6653" t="s">
        <v>40284</v>
      </c>
      <c r="M6653" t="s">
        <v>43046</v>
      </c>
      <c r="N6653" t="s">
        <v>44759</v>
      </c>
      <c r="O6653" t="s">
        <v>44760</v>
      </c>
      <c r="P6653">
        <v>0</v>
      </c>
      <c r="Q6653">
        <v>2</v>
      </c>
      <c r="R6653" t="s">
        <v>44767</v>
      </c>
      <c r="S6653" t="s">
        <v>44954</v>
      </c>
      <c r="T6653" t="s">
        <v>46516</v>
      </c>
      <c r="U6653" t="s">
        <v>52503</v>
      </c>
      <c r="V6653" t="s">
        <v>59842</v>
      </c>
      <c r="W6653" t="s">
        <v>43046</v>
      </c>
      <c r="X6653" t="s">
        <v>44768</v>
      </c>
    </row>
    <row r="6654" spans="1:24">
      <c r="A6654">
        <f>HYPERLINK("https://www.philgeps.gov.ph/GEPSNONPILOT/Tender/SplashBidNoticeAbstractUI.aspx?menuIndex=3&amp;refID=7142100&amp;Result=3","7142100")</f>
        <v>0</v>
      </c>
      <c r="B6654" t="s">
        <v>1185</v>
      </c>
      <c r="C6654" t="s">
        <v>10061</v>
      </c>
      <c r="D6654" t="s">
        <v>18011</v>
      </c>
      <c r="E6654" t="s">
        <v>23894</v>
      </c>
      <c r="F6654" t="s">
        <v>30900</v>
      </c>
      <c r="G6654" t="s">
        <v>30907</v>
      </c>
      <c r="H6654" t="s">
        <v>30916</v>
      </c>
      <c r="I6654" t="s">
        <v>4004</v>
      </c>
      <c r="J6654" t="s">
        <v>31157</v>
      </c>
      <c r="K6654" t="s">
        <v>40280</v>
      </c>
      <c r="M6654" t="s">
        <v>43042</v>
      </c>
      <c r="N6654" t="s">
        <v>44759</v>
      </c>
      <c r="O6654" t="s">
        <v>44760</v>
      </c>
      <c r="P6654">
        <v>0</v>
      </c>
      <c r="Q6654">
        <v>6</v>
      </c>
      <c r="R6654" t="s">
        <v>44767</v>
      </c>
      <c r="S6654" t="s">
        <v>44954</v>
      </c>
      <c r="T6654" t="s">
        <v>46495</v>
      </c>
      <c r="U6654" t="s">
        <v>52504</v>
      </c>
      <c r="W6654" t="s">
        <v>43042</v>
      </c>
      <c r="X6654" t="s">
        <v>44768</v>
      </c>
    </row>
    <row r="6655" spans="1:24">
      <c r="A6655">
        <f>HYPERLINK("https://www.philgeps.gov.ph/GEPSNONPILOT/Tender/SplashBidNoticeAbstractUI.aspx?menuIndex=3&amp;refID=7141031&amp;Result=3","7141031")</f>
        <v>0</v>
      </c>
      <c r="B6655" t="s">
        <v>41</v>
      </c>
      <c r="C6655" t="s">
        <v>10062</v>
      </c>
      <c r="D6655" t="s">
        <v>17966</v>
      </c>
      <c r="E6655" t="s">
        <v>23895</v>
      </c>
      <c r="F6655" t="s">
        <v>30900</v>
      </c>
      <c r="G6655" t="s">
        <v>30907</v>
      </c>
      <c r="H6655" t="s">
        <v>30916</v>
      </c>
      <c r="I6655" t="s">
        <v>30939</v>
      </c>
      <c r="J6655" t="s">
        <v>35332</v>
      </c>
      <c r="K6655" t="s">
        <v>40283</v>
      </c>
      <c r="M6655" t="s">
        <v>40831</v>
      </c>
      <c r="N6655" t="s">
        <v>44759</v>
      </c>
      <c r="O6655" t="s">
        <v>44760</v>
      </c>
      <c r="P6655">
        <v>0</v>
      </c>
      <c r="Q6655">
        <v>0</v>
      </c>
      <c r="R6655" t="s">
        <v>44767</v>
      </c>
      <c r="S6655" t="s">
        <v>44954</v>
      </c>
      <c r="T6655" t="s">
        <v>46366</v>
      </c>
      <c r="U6655" t="s">
        <v>52505</v>
      </c>
      <c r="V6655" t="s">
        <v>59095</v>
      </c>
      <c r="W6655" t="s">
        <v>40831</v>
      </c>
      <c r="X6655" t="s">
        <v>44769</v>
      </c>
    </row>
    <row r="6656" spans="1:24">
      <c r="A6656">
        <f>HYPERLINK("https://www.philgeps.gov.ph/GEPSNONPILOT/Tender/SplashBidNoticeAbstractUI.aspx?menuIndex=3&amp;refID=7142080&amp;Result=3","7142080")</f>
        <v>0</v>
      </c>
      <c r="B6656" t="s">
        <v>461</v>
      </c>
      <c r="C6656" t="s">
        <v>10063</v>
      </c>
      <c r="D6656" t="s">
        <v>17977</v>
      </c>
      <c r="E6656" t="s">
        <v>23896</v>
      </c>
      <c r="F6656" t="s">
        <v>30900</v>
      </c>
      <c r="G6656" t="s">
        <v>30907</v>
      </c>
      <c r="H6656" t="s">
        <v>30916</v>
      </c>
      <c r="I6656" t="s">
        <v>4017</v>
      </c>
      <c r="J6656" t="s">
        <v>35333</v>
      </c>
      <c r="K6656" t="s">
        <v>40289</v>
      </c>
      <c r="M6656" t="s">
        <v>41019</v>
      </c>
      <c r="N6656" t="s">
        <v>44759</v>
      </c>
      <c r="O6656" t="s">
        <v>44760</v>
      </c>
      <c r="P6656">
        <v>0</v>
      </c>
      <c r="Q6656">
        <v>16</v>
      </c>
      <c r="R6656" t="s">
        <v>44767</v>
      </c>
      <c r="S6656" t="s">
        <v>44954</v>
      </c>
      <c r="T6656" t="s">
        <v>46433</v>
      </c>
      <c r="U6656" t="s">
        <v>52506</v>
      </c>
      <c r="W6656" t="s">
        <v>41019</v>
      </c>
      <c r="X6656" t="s">
        <v>44768</v>
      </c>
    </row>
    <row r="6657" spans="1:24">
      <c r="A6657">
        <f>HYPERLINK("https://www.philgeps.gov.ph/GEPSNONPILOT/Tender/SplashBidNoticeAbstractUI.aspx?menuIndex=3&amp;refID=7142128&amp;Result=3","7142128")</f>
        <v>0</v>
      </c>
      <c r="B6657" t="s">
        <v>2326</v>
      </c>
      <c r="C6657" t="s">
        <v>10064</v>
      </c>
      <c r="D6657" t="s">
        <v>18013</v>
      </c>
      <c r="E6657" t="s">
        <v>19262</v>
      </c>
      <c r="F6657" t="s">
        <v>30900</v>
      </c>
      <c r="G6657" t="s">
        <v>30907</v>
      </c>
      <c r="H6657" t="s">
        <v>30916</v>
      </c>
      <c r="I6657" t="s">
        <v>8123</v>
      </c>
      <c r="J6657" t="s">
        <v>35334</v>
      </c>
      <c r="K6657" t="s">
        <v>40286</v>
      </c>
      <c r="M6657" t="s">
        <v>43047</v>
      </c>
      <c r="N6657" t="s">
        <v>44759</v>
      </c>
      <c r="O6657" t="s">
        <v>44760</v>
      </c>
      <c r="P6657">
        <v>0</v>
      </c>
      <c r="Q6657">
        <v>0</v>
      </c>
      <c r="R6657" t="s">
        <v>44767</v>
      </c>
      <c r="S6657" t="s">
        <v>44954</v>
      </c>
      <c r="T6657" t="s">
        <v>46414</v>
      </c>
      <c r="U6657" t="s">
        <v>52507</v>
      </c>
      <c r="W6657" t="s">
        <v>43047</v>
      </c>
      <c r="X6657" t="s">
        <v>44768</v>
      </c>
    </row>
    <row r="6658" spans="1:24">
      <c r="A6658">
        <f>HYPERLINK("https://www.philgeps.gov.ph/GEPSNONPILOT/Tender/SplashBidNoticeAbstractUI.aspx?menuIndex=3&amp;refID=7142170&amp;Result=3","7142170")</f>
        <v>0</v>
      </c>
      <c r="B6658" t="s">
        <v>2327</v>
      </c>
      <c r="C6658" t="s">
        <v>10065</v>
      </c>
      <c r="D6658" t="s">
        <v>17999</v>
      </c>
      <c r="E6658" t="s">
        <v>23897</v>
      </c>
      <c r="F6658" t="s">
        <v>30900</v>
      </c>
      <c r="G6658" t="s">
        <v>30908</v>
      </c>
      <c r="H6658" t="s">
        <v>30916</v>
      </c>
      <c r="I6658" t="s">
        <v>4545</v>
      </c>
      <c r="J6658" t="s">
        <v>35335</v>
      </c>
      <c r="K6658" t="s">
        <v>40284</v>
      </c>
      <c r="M6658" t="s">
        <v>43048</v>
      </c>
      <c r="N6658" t="s">
        <v>44759</v>
      </c>
      <c r="O6658" t="s">
        <v>44760</v>
      </c>
      <c r="P6658">
        <v>0</v>
      </c>
      <c r="Q6658">
        <v>3</v>
      </c>
      <c r="R6658" t="s">
        <v>44767</v>
      </c>
      <c r="S6658" t="s">
        <v>44954</v>
      </c>
      <c r="T6658" t="s">
        <v>46533</v>
      </c>
      <c r="U6658" t="s">
        <v>52508</v>
      </c>
      <c r="W6658" t="s">
        <v>43048</v>
      </c>
      <c r="X6658" t="s">
        <v>44768</v>
      </c>
    </row>
    <row r="6659" spans="1:24">
      <c r="A6659">
        <f>HYPERLINK("https://www.philgeps.gov.ph/GEPSNONPILOT/Tender/SplashBidNoticeAbstractUI.aspx?menuIndex=3&amp;refID=7142168&amp;Result=3","7142168")</f>
        <v>0</v>
      </c>
      <c r="B6659" t="s">
        <v>350</v>
      </c>
      <c r="C6659" t="s">
        <v>10066</v>
      </c>
      <c r="D6659" t="s">
        <v>18025</v>
      </c>
      <c r="E6659" t="s">
        <v>23898</v>
      </c>
      <c r="F6659" t="s">
        <v>30900</v>
      </c>
      <c r="G6659" t="s">
        <v>30907</v>
      </c>
      <c r="H6659" t="s">
        <v>30915</v>
      </c>
      <c r="I6659" t="s">
        <v>30919</v>
      </c>
      <c r="J6659" t="s">
        <v>35336</v>
      </c>
      <c r="K6659" t="s">
        <v>40280</v>
      </c>
      <c r="M6659" t="s">
        <v>41484</v>
      </c>
      <c r="N6659" t="s">
        <v>44759</v>
      </c>
      <c r="O6659" t="s">
        <v>44760</v>
      </c>
      <c r="P6659">
        <v>0</v>
      </c>
      <c r="Q6659">
        <v>37</v>
      </c>
      <c r="R6659" t="s">
        <v>44767</v>
      </c>
      <c r="S6659" t="s">
        <v>44954</v>
      </c>
      <c r="T6659" t="s">
        <v>46595</v>
      </c>
      <c r="U6659" t="s">
        <v>47499</v>
      </c>
      <c r="V6659" t="s">
        <v>59326</v>
      </c>
      <c r="W6659" t="s">
        <v>60826</v>
      </c>
      <c r="X6659" t="s">
        <v>44768</v>
      </c>
    </row>
    <row r="6660" spans="1:24">
      <c r="A6660">
        <f>HYPERLINK("https://www.philgeps.gov.ph/GEPSNONPILOT/Tender/SplashBidNoticeAbstractUI.aspx?menuIndex=3&amp;refID=7142101&amp;Result=3","7142101")</f>
        <v>0</v>
      </c>
      <c r="B6660" t="s">
        <v>2324</v>
      </c>
      <c r="C6660" t="s">
        <v>10067</v>
      </c>
      <c r="D6660" t="s">
        <v>17970</v>
      </c>
      <c r="E6660" t="s">
        <v>23899</v>
      </c>
      <c r="F6660" t="s">
        <v>30900</v>
      </c>
      <c r="G6660" t="s">
        <v>30909</v>
      </c>
      <c r="H6660" t="s">
        <v>30916</v>
      </c>
      <c r="I6660" t="s">
        <v>4545</v>
      </c>
      <c r="J6660" t="s">
        <v>31043</v>
      </c>
      <c r="K6660" t="s">
        <v>40288</v>
      </c>
      <c r="M6660" t="s">
        <v>43045</v>
      </c>
      <c r="N6660" t="s">
        <v>44759</v>
      </c>
      <c r="O6660" t="s">
        <v>44760</v>
      </c>
      <c r="P6660">
        <v>0</v>
      </c>
      <c r="Q6660">
        <v>2</v>
      </c>
      <c r="R6660" t="s">
        <v>44767</v>
      </c>
      <c r="S6660" t="s">
        <v>44954</v>
      </c>
      <c r="T6660" t="s">
        <v>46658</v>
      </c>
      <c r="U6660" t="s">
        <v>47251</v>
      </c>
      <c r="W6660" t="s">
        <v>43045</v>
      </c>
      <c r="X6660" t="s">
        <v>44768</v>
      </c>
    </row>
    <row r="6661" spans="1:24">
      <c r="A6661">
        <f>HYPERLINK("https://www.philgeps.gov.ph/GEPSNONPILOT/Tender/SplashBidNoticeAbstractUI.aspx?menuIndex=3&amp;refID=7142166&amp;Result=3","7142166")</f>
        <v>0</v>
      </c>
      <c r="B6661" t="s">
        <v>2328</v>
      </c>
      <c r="C6661" t="s">
        <v>10068</v>
      </c>
      <c r="D6661" t="s">
        <v>17981</v>
      </c>
      <c r="E6661" t="s">
        <v>23900</v>
      </c>
      <c r="F6661" t="s">
        <v>30900</v>
      </c>
      <c r="G6661" t="s">
        <v>30907</v>
      </c>
      <c r="H6661" t="s">
        <v>30915</v>
      </c>
      <c r="I6661" t="s">
        <v>30919</v>
      </c>
      <c r="J6661" t="s">
        <v>35337</v>
      </c>
      <c r="K6661" t="s">
        <v>40292</v>
      </c>
      <c r="M6661" t="s">
        <v>43049</v>
      </c>
      <c r="N6661" t="s">
        <v>44759</v>
      </c>
      <c r="O6661" t="s">
        <v>44760</v>
      </c>
      <c r="Q6661">
        <v>4</v>
      </c>
      <c r="R6661" t="s">
        <v>44767</v>
      </c>
      <c r="S6661" t="s">
        <v>44955</v>
      </c>
      <c r="T6661" t="s">
        <v>46606</v>
      </c>
      <c r="U6661" t="s">
        <v>52509</v>
      </c>
      <c r="W6661" t="s">
        <v>43049</v>
      </c>
      <c r="X6661" t="s">
        <v>44768</v>
      </c>
    </row>
    <row r="6662" spans="1:24">
      <c r="A6662">
        <f>HYPERLINK("https://www.philgeps.gov.ph/GEPSNONPILOT/Tender/SplashBidNoticeAbstractUI.aspx?menuIndex=3&amp;refID=7142156&amp;Result=3","7142156")</f>
        <v>0</v>
      </c>
      <c r="B6662" t="s">
        <v>2329</v>
      </c>
      <c r="C6662" t="s">
        <v>10069</v>
      </c>
      <c r="D6662" t="s">
        <v>17959</v>
      </c>
      <c r="E6662" t="s">
        <v>18094</v>
      </c>
      <c r="F6662" t="s">
        <v>30900</v>
      </c>
      <c r="G6662" t="s">
        <v>30910</v>
      </c>
      <c r="H6662" t="s">
        <v>30916</v>
      </c>
      <c r="I6662" t="s">
        <v>4142</v>
      </c>
      <c r="J6662" t="s">
        <v>31451</v>
      </c>
      <c r="K6662" t="s">
        <v>40287</v>
      </c>
      <c r="M6662" t="s">
        <v>43050</v>
      </c>
      <c r="N6662" t="s">
        <v>44759</v>
      </c>
      <c r="O6662" t="s">
        <v>44760</v>
      </c>
      <c r="P6662">
        <v>0</v>
      </c>
      <c r="Q6662">
        <v>14</v>
      </c>
      <c r="R6662" t="s">
        <v>44767</v>
      </c>
      <c r="S6662" t="s">
        <v>44954</v>
      </c>
      <c r="T6662" t="s">
        <v>46374</v>
      </c>
      <c r="U6662" t="s">
        <v>52510</v>
      </c>
      <c r="W6662" t="s">
        <v>43050</v>
      </c>
      <c r="X6662" t="s">
        <v>44768</v>
      </c>
    </row>
    <row r="6663" spans="1:24">
      <c r="A6663">
        <f>HYPERLINK("https://www.philgeps.gov.ph/GEPSNONPILOT/Tender/SplashBidNoticeAbstractUI.aspx?menuIndex=3&amp;refID=7142186&amp;Result=3","7142186")</f>
        <v>0</v>
      </c>
      <c r="B6663" t="s">
        <v>2330</v>
      </c>
      <c r="C6663" t="s">
        <v>10070</v>
      </c>
      <c r="D6663" t="s">
        <v>17953</v>
      </c>
      <c r="E6663" t="s">
        <v>23901</v>
      </c>
      <c r="F6663" t="s">
        <v>30900</v>
      </c>
      <c r="G6663" t="s">
        <v>30908</v>
      </c>
      <c r="H6663" t="s">
        <v>30916</v>
      </c>
      <c r="I6663" t="s">
        <v>5830</v>
      </c>
      <c r="J6663" t="s">
        <v>32028</v>
      </c>
      <c r="K6663" t="s">
        <v>40289</v>
      </c>
      <c r="M6663" t="s">
        <v>43051</v>
      </c>
      <c r="N6663" t="s">
        <v>44759</v>
      </c>
      <c r="O6663" t="s">
        <v>44760</v>
      </c>
      <c r="P6663">
        <v>0</v>
      </c>
      <c r="Q6663">
        <v>2</v>
      </c>
      <c r="R6663" t="s">
        <v>44767</v>
      </c>
      <c r="S6663" t="s">
        <v>44954</v>
      </c>
      <c r="T6663" t="s">
        <v>46760</v>
      </c>
      <c r="U6663" t="s">
        <v>52511</v>
      </c>
      <c r="V6663" t="s">
        <v>59843</v>
      </c>
      <c r="W6663" t="s">
        <v>43051</v>
      </c>
      <c r="X6663" t="s">
        <v>44768</v>
      </c>
    </row>
    <row r="6664" spans="1:24">
      <c r="A6664">
        <f>HYPERLINK("https://www.philgeps.gov.ph/GEPSNONPILOT/Tender/SplashBidNoticeAbstractUI.aspx?menuIndex=3&amp;refID=7142184&amp;Result=3","7142184")</f>
        <v>0</v>
      </c>
      <c r="B6664" t="s">
        <v>1976</v>
      </c>
      <c r="C6664" t="s">
        <v>10071</v>
      </c>
      <c r="D6664" t="s">
        <v>18019</v>
      </c>
      <c r="E6664" t="s">
        <v>23902</v>
      </c>
      <c r="F6664" t="s">
        <v>30900</v>
      </c>
      <c r="G6664" t="s">
        <v>30907</v>
      </c>
      <c r="H6664" t="s">
        <v>30916</v>
      </c>
      <c r="I6664" t="s">
        <v>30919</v>
      </c>
      <c r="J6664" t="s">
        <v>35338</v>
      </c>
      <c r="K6664" t="s">
        <v>40314</v>
      </c>
      <c r="M6664" t="s">
        <v>42664</v>
      </c>
      <c r="N6664" t="s">
        <v>44759</v>
      </c>
      <c r="O6664" t="s">
        <v>44760</v>
      </c>
      <c r="P6664">
        <v>0</v>
      </c>
      <c r="Q6664">
        <v>1</v>
      </c>
      <c r="R6664" t="s">
        <v>44767</v>
      </c>
      <c r="S6664" t="s">
        <v>44954</v>
      </c>
      <c r="T6664" t="s">
        <v>46421</v>
      </c>
      <c r="U6664" t="s">
        <v>52512</v>
      </c>
      <c r="W6664" t="s">
        <v>42664</v>
      </c>
      <c r="X6664" t="s">
        <v>44768</v>
      </c>
    </row>
    <row r="6665" spans="1:24">
      <c r="A6665">
        <f>HYPERLINK("https://www.philgeps.gov.ph/GEPSNONPILOT/Tender/SplashBidNoticeAbstractUI.aspx?menuIndex=3&amp;refID=7142176&amp;Result=3","7142176")</f>
        <v>0</v>
      </c>
      <c r="B6665" t="s">
        <v>56</v>
      </c>
      <c r="C6665" t="s">
        <v>10072</v>
      </c>
      <c r="D6665" t="s">
        <v>17952</v>
      </c>
      <c r="E6665" t="s">
        <v>23903</v>
      </c>
      <c r="F6665" t="s">
        <v>30900</v>
      </c>
      <c r="G6665" t="s">
        <v>30907</v>
      </c>
      <c r="H6665" t="s">
        <v>30916</v>
      </c>
      <c r="I6665" t="s">
        <v>5501</v>
      </c>
      <c r="J6665" t="s">
        <v>35339</v>
      </c>
      <c r="K6665" t="s">
        <v>40294</v>
      </c>
      <c r="M6665" t="s">
        <v>43052</v>
      </c>
      <c r="N6665" t="s">
        <v>44759</v>
      </c>
      <c r="O6665" t="s">
        <v>44760</v>
      </c>
      <c r="P6665">
        <v>0</v>
      </c>
      <c r="Q6665">
        <v>1</v>
      </c>
      <c r="R6665" t="s">
        <v>44767</v>
      </c>
      <c r="S6665" t="s">
        <v>44954</v>
      </c>
      <c r="T6665" t="s">
        <v>46383</v>
      </c>
      <c r="U6665" t="s">
        <v>52513</v>
      </c>
      <c r="V6665" t="s">
        <v>59101</v>
      </c>
      <c r="W6665" t="s">
        <v>43052</v>
      </c>
      <c r="X6665" t="s">
        <v>44768</v>
      </c>
    </row>
    <row r="6666" spans="1:24">
      <c r="A6666">
        <f>HYPERLINK("https://www.philgeps.gov.ph/GEPSNONPILOT/Tender/SplashBidNoticeAbstractUI.aspx?menuIndex=3&amp;refID=7142174&amp;Result=3","7142174")</f>
        <v>0</v>
      </c>
      <c r="B6666" t="s">
        <v>1243</v>
      </c>
      <c r="C6666" t="s">
        <v>10073</v>
      </c>
      <c r="E6666" t="s">
        <v>23400</v>
      </c>
      <c r="F6666" t="s">
        <v>30900</v>
      </c>
      <c r="G6666" t="s">
        <v>30908</v>
      </c>
      <c r="H6666" t="s">
        <v>30917</v>
      </c>
      <c r="I6666" t="s">
        <v>30924</v>
      </c>
      <c r="J6666" t="s">
        <v>35340</v>
      </c>
      <c r="K6666" t="s">
        <v>40286</v>
      </c>
      <c r="M6666" t="s">
        <v>41855</v>
      </c>
      <c r="N6666" t="s">
        <v>44759</v>
      </c>
      <c r="O6666" t="s">
        <v>44760</v>
      </c>
      <c r="P6666">
        <v>0</v>
      </c>
      <c r="Q6666">
        <v>5</v>
      </c>
      <c r="R6666" t="s">
        <v>44767</v>
      </c>
      <c r="S6666" t="s">
        <v>44954</v>
      </c>
      <c r="T6666" t="s">
        <v>46389</v>
      </c>
      <c r="U6666" t="s">
        <v>52514</v>
      </c>
      <c r="W6666" t="s">
        <v>41855</v>
      </c>
      <c r="X6666" t="s">
        <v>44768</v>
      </c>
    </row>
    <row r="6667" spans="1:24">
      <c r="A6667">
        <f>HYPERLINK("https://www.philgeps.gov.ph/GEPSNONPILOT/Tender/SplashBidNoticeAbstractUI.aspx?menuIndex=3&amp;refID=7142173&amp;Result=3","7142173")</f>
        <v>0</v>
      </c>
      <c r="B6667" t="s">
        <v>494</v>
      </c>
      <c r="C6667" t="s">
        <v>10074</v>
      </c>
      <c r="D6667" t="s">
        <v>17961</v>
      </c>
      <c r="E6667" t="s">
        <v>20040</v>
      </c>
      <c r="F6667" t="s">
        <v>30900</v>
      </c>
      <c r="G6667" t="s">
        <v>30907</v>
      </c>
      <c r="H6667" t="s">
        <v>30916</v>
      </c>
      <c r="I6667" t="s">
        <v>8123</v>
      </c>
      <c r="J6667" t="s">
        <v>35341</v>
      </c>
      <c r="K6667" t="s">
        <v>40284</v>
      </c>
      <c r="M6667" t="s">
        <v>41053</v>
      </c>
      <c r="N6667" t="s">
        <v>44759</v>
      </c>
      <c r="O6667" t="s">
        <v>44760</v>
      </c>
      <c r="P6667">
        <v>0</v>
      </c>
      <c r="Q6667">
        <v>1</v>
      </c>
      <c r="R6667" t="s">
        <v>44767</v>
      </c>
      <c r="S6667" t="s">
        <v>44954</v>
      </c>
      <c r="T6667" t="s">
        <v>46641</v>
      </c>
      <c r="U6667" t="s">
        <v>52515</v>
      </c>
      <c r="W6667" t="s">
        <v>41053</v>
      </c>
      <c r="X6667" t="s">
        <v>44768</v>
      </c>
    </row>
    <row r="6668" spans="1:24">
      <c r="A6668">
        <f>HYPERLINK("https://www.philgeps.gov.ph/GEPSNONPILOT/Tender/SplashBidNoticeAbstractUI.aspx?menuIndex=3&amp;refID=7142093&amp;Result=3","7142093")</f>
        <v>0</v>
      </c>
      <c r="B6668" t="s">
        <v>2322</v>
      </c>
      <c r="C6668" t="s">
        <v>10075</v>
      </c>
      <c r="D6668" t="s">
        <v>18015</v>
      </c>
      <c r="E6668" t="s">
        <v>23904</v>
      </c>
      <c r="F6668" t="s">
        <v>30900</v>
      </c>
      <c r="G6668" t="s">
        <v>30907</v>
      </c>
      <c r="H6668" t="s">
        <v>30916</v>
      </c>
      <c r="I6668" t="s">
        <v>10847</v>
      </c>
      <c r="J6668" t="s">
        <v>35342</v>
      </c>
      <c r="K6668" t="s">
        <v>40321</v>
      </c>
      <c r="L6668" t="s">
        <v>2322</v>
      </c>
      <c r="M6668" t="s">
        <v>43043</v>
      </c>
      <c r="N6668" t="s">
        <v>44759</v>
      </c>
      <c r="O6668" t="s">
        <v>44760</v>
      </c>
      <c r="P6668">
        <v>0</v>
      </c>
      <c r="Q6668">
        <v>0</v>
      </c>
      <c r="R6668" t="s">
        <v>44767</v>
      </c>
      <c r="S6668" t="s">
        <v>44954</v>
      </c>
      <c r="T6668" t="s">
        <v>46350</v>
      </c>
      <c r="U6668" t="s">
        <v>52516</v>
      </c>
      <c r="V6668" t="s">
        <v>59841</v>
      </c>
      <c r="W6668" t="s">
        <v>43043</v>
      </c>
      <c r="X6668" t="s">
        <v>44768</v>
      </c>
    </row>
    <row r="6669" spans="1:24">
      <c r="A6669">
        <f>HYPERLINK("https://www.philgeps.gov.ph/GEPSNONPILOT/Tender/SplashBidNoticeAbstractUI.aspx?menuIndex=3&amp;refID=7142155&amp;Result=3","7142155")</f>
        <v>0</v>
      </c>
      <c r="B6669" t="s">
        <v>2331</v>
      </c>
      <c r="C6669" t="s">
        <v>10076</v>
      </c>
      <c r="D6669" t="s">
        <v>17959</v>
      </c>
      <c r="E6669" t="s">
        <v>23905</v>
      </c>
      <c r="F6669" t="s">
        <v>30900</v>
      </c>
      <c r="G6669" t="s">
        <v>30910</v>
      </c>
      <c r="H6669" t="s">
        <v>30916</v>
      </c>
      <c r="I6669" t="s">
        <v>6396</v>
      </c>
      <c r="J6669" t="s">
        <v>35343</v>
      </c>
      <c r="K6669" t="s">
        <v>40287</v>
      </c>
      <c r="M6669" t="s">
        <v>43053</v>
      </c>
      <c r="N6669" t="s">
        <v>44759</v>
      </c>
      <c r="O6669" t="s">
        <v>44760</v>
      </c>
      <c r="P6669">
        <v>0</v>
      </c>
      <c r="Q6669">
        <v>19</v>
      </c>
      <c r="R6669" t="s">
        <v>44767</v>
      </c>
      <c r="S6669" t="s">
        <v>44954</v>
      </c>
      <c r="T6669" t="s">
        <v>46391</v>
      </c>
      <c r="U6669" t="s">
        <v>52517</v>
      </c>
      <c r="W6669" t="s">
        <v>43053</v>
      </c>
      <c r="X6669" t="s">
        <v>44768</v>
      </c>
    </row>
    <row r="6670" spans="1:24">
      <c r="A6670">
        <f>HYPERLINK("https://www.philgeps.gov.ph/GEPSNONPILOT/Tender/SplashBidNoticeAbstractUI.aspx?menuIndex=3&amp;refID=7142153&amp;Result=3","7142153")</f>
        <v>0</v>
      </c>
      <c r="B6670" t="s">
        <v>350</v>
      </c>
      <c r="C6670" t="s">
        <v>10077</v>
      </c>
      <c r="D6670" t="s">
        <v>18025</v>
      </c>
      <c r="E6670" t="s">
        <v>23906</v>
      </c>
      <c r="F6670" t="s">
        <v>30900</v>
      </c>
      <c r="G6670" t="s">
        <v>30907</v>
      </c>
      <c r="H6670" t="s">
        <v>30915</v>
      </c>
      <c r="I6670" t="s">
        <v>30919</v>
      </c>
      <c r="J6670" t="s">
        <v>35344</v>
      </c>
      <c r="K6670" t="s">
        <v>40280</v>
      </c>
      <c r="M6670" t="s">
        <v>41465</v>
      </c>
      <c r="N6670" t="s">
        <v>44759</v>
      </c>
      <c r="O6670" t="s">
        <v>44760</v>
      </c>
      <c r="P6670">
        <v>0</v>
      </c>
      <c r="Q6670">
        <v>38</v>
      </c>
      <c r="R6670" t="s">
        <v>44767</v>
      </c>
      <c r="S6670" t="s">
        <v>44954</v>
      </c>
      <c r="T6670" t="s">
        <v>46595</v>
      </c>
      <c r="U6670" t="s">
        <v>47499</v>
      </c>
      <c r="V6670" t="s">
        <v>59326</v>
      </c>
      <c r="W6670" t="s">
        <v>60826</v>
      </c>
      <c r="X6670" t="s">
        <v>44768</v>
      </c>
    </row>
    <row r="6671" spans="1:24">
      <c r="A6671">
        <f>HYPERLINK("https://www.philgeps.gov.ph/GEPSNONPILOT/Tender/SplashBidNoticeAbstractUI.aspx?menuIndex=3&amp;refID=7142148&amp;Result=3","7142148")</f>
        <v>0</v>
      </c>
      <c r="B6671" t="s">
        <v>40</v>
      </c>
      <c r="C6671" t="s">
        <v>10078</v>
      </c>
      <c r="D6671" t="s">
        <v>17965</v>
      </c>
      <c r="E6671" t="s">
        <v>23907</v>
      </c>
      <c r="F6671" t="s">
        <v>30900</v>
      </c>
      <c r="G6671" t="s">
        <v>30907</v>
      </c>
      <c r="H6671" t="s">
        <v>30915</v>
      </c>
      <c r="I6671" t="s">
        <v>30919</v>
      </c>
      <c r="J6671" t="s">
        <v>35345</v>
      </c>
      <c r="K6671" t="s">
        <v>40327</v>
      </c>
      <c r="M6671" t="s">
        <v>40586</v>
      </c>
      <c r="N6671" t="s">
        <v>44759</v>
      </c>
      <c r="O6671" t="s">
        <v>44760</v>
      </c>
      <c r="P6671">
        <v>0</v>
      </c>
      <c r="Q6671">
        <v>0</v>
      </c>
      <c r="R6671" t="s">
        <v>44767</v>
      </c>
      <c r="S6671" t="s">
        <v>44954</v>
      </c>
      <c r="T6671" t="s">
        <v>46426</v>
      </c>
      <c r="U6671" t="s">
        <v>52518</v>
      </c>
      <c r="W6671" t="s">
        <v>40586</v>
      </c>
      <c r="X6671" t="s">
        <v>44768</v>
      </c>
    </row>
    <row r="6672" spans="1:24">
      <c r="A6672">
        <f>HYPERLINK("https://www.philgeps.gov.ph/GEPSNONPILOT/Tender/SplashBidNoticeAbstractUI.aspx?menuIndex=3&amp;refID=7142145&amp;Result=3","7142145")</f>
        <v>0</v>
      </c>
      <c r="B6672" t="s">
        <v>2332</v>
      </c>
      <c r="C6672" t="s">
        <v>10079</v>
      </c>
      <c r="D6672" t="s">
        <v>18003</v>
      </c>
      <c r="E6672" t="s">
        <v>23908</v>
      </c>
      <c r="F6672" t="s">
        <v>30900</v>
      </c>
      <c r="G6672" t="s">
        <v>30909</v>
      </c>
      <c r="H6672" t="s">
        <v>30916</v>
      </c>
      <c r="I6672" t="s">
        <v>4545</v>
      </c>
      <c r="J6672" t="s">
        <v>31495</v>
      </c>
      <c r="K6672" t="s">
        <v>40289</v>
      </c>
      <c r="M6672" t="s">
        <v>43054</v>
      </c>
      <c r="N6672" t="s">
        <v>44759</v>
      </c>
      <c r="O6672" t="s">
        <v>44760</v>
      </c>
      <c r="P6672">
        <v>0</v>
      </c>
      <c r="Q6672">
        <v>0</v>
      </c>
      <c r="R6672" t="s">
        <v>44767</v>
      </c>
      <c r="S6672" t="s">
        <v>44954</v>
      </c>
      <c r="T6672" t="s">
        <v>46374</v>
      </c>
      <c r="U6672" t="s">
        <v>52519</v>
      </c>
      <c r="W6672" t="s">
        <v>43054</v>
      </c>
      <c r="X6672" t="s">
        <v>44768</v>
      </c>
    </row>
    <row r="6673" spans="1:24">
      <c r="A6673">
        <f>HYPERLINK("https://www.philgeps.gov.ph/GEPSNONPILOT/Tender/SplashBidNoticeAbstractUI.aspx?menuIndex=3&amp;refID=7142178&amp;Result=3","7142178")</f>
        <v>0</v>
      </c>
      <c r="B6673" t="s">
        <v>526</v>
      </c>
      <c r="C6673" t="s">
        <v>10080</v>
      </c>
      <c r="D6673" t="s">
        <v>17984</v>
      </c>
      <c r="E6673" t="s">
        <v>23909</v>
      </c>
      <c r="F6673" t="s">
        <v>30900</v>
      </c>
      <c r="G6673" t="s">
        <v>30907</v>
      </c>
      <c r="H6673" t="s">
        <v>30915</v>
      </c>
      <c r="I6673" t="s">
        <v>30919</v>
      </c>
      <c r="J6673" t="s">
        <v>35346</v>
      </c>
      <c r="K6673" t="s">
        <v>40286</v>
      </c>
      <c r="M6673" t="s">
        <v>41086</v>
      </c>
      <c r="N6673" t="s">
        <v>44759</v>
      </c>
      <c r="O6673" t="s">
        <v>44760</v>
      </c>
      <c r="P6673">
        <v>0</v>
      </c>
      <c r="Q6673">
        <v>0</v>
      </c>
      <c r="R6673" t="s">
        <v>44767</v>
      </c>
      <c r="S6673" t="s">
        <v>44954</v>
      </c>
      <c r="T6673" t="s">
        <v>46472</v>
      </c>
      <c r="U6673" t="s">
        <v>52520</v>
      </c>
      <c r="W6673" t="s">
        <v>41086</v>
      </c>
      <c r="X6673" t="s">
        <v>44768</v>
      </c>
    </row>
    <row r="6674" spans="1:24">
      <c r="A6674">
        <f>HYPERLINK("https://www.philgeps.gov.ph/GEPSNONPILOT/Tender/SplashBidNoticeAbstractUI.aspx?menuIndex=3&amp;refID=7142144&amp;Result=3","7142144")</f>
        <v>0</v>
      </c>
      <c r="B6674" t="s">
        <v>48</v>
      </c>
      <c r="C6674" t="s">
        <v>10081</v>
      </c>
      <c r="D6674" t="s">
        <v>17971</v>
      </c>
      <c r="E6674" t="s">
        <v>23910</v>
      </c>
      <c r="F6674" t="s">
        <v>30900</v>
      </c>
      <c r="G6674" t="s">
        <v>30907</v>
      </c>
      <c r="H6674" t="s">
        <v>30915</v>
      </c>
      <c r="I6674" t="s">
        <v>30919</v>
      </c>
      <c r="J6674" t="s">
        <v>31096</v>
      </c>
      <c r="K6674" t="s">
        <v>40286</v>
      </c>
      <c r="M6674" t="s">
        <v>40594</v>
      </c>
      <c r="N6674" t="s">
        <v>44759</v>
      </c>
      <c r="O6674" t="s">
        <v>44760</v>
      </c>
      <c r="P6674">
        <v>0</v>
      </c>
      <c r="Q6674">
        <v>1</v>
      </c>
      <c r="R6674" t="s">
        <v>44767</v>
      </c>
      <c r="S6674" t="s">
        <v>44954</v>
      </c>
      <c r="T6674" t="s">
        <v>46379</v>
      </c>
      <c r="U6674" t="s">
        <v>52521</v>
      </c>
      <c r="W6674" t="s">
        <v>40594</v>
      </c>
      <c r="X6674" t="s">
        <v>44768</v>
      </c>
    </row>
    <row r="6675" spans="1:24">
      <c r="A6675">
        <f>HYPERLINK("https://www.philgeps.gov.ph/GEPSNONPILOT/Tender/SplashBidNoticeAbstractUI.aspx?menuIndex=3&amp;refID=7142139&amp;Result=3","7142139")</f>
        <v>0</v>
      </c>
      <c r="B6675" t="s">
        <v>2253</v>
      </c>
      <c r="C6675" t="s">
        <v>10082</v>
      </c>
      <c r="D6675" t="s">
        <v>17959</v>
      </c>
      <c r="E6675" t="s">
        <v>23911</v>
      </c>
      <c r="F6675" t="s">
        <v>30900</v>
      </c>
      <c r="G6675" t="s">
        <v>30908</v>
      </c>
      <c r="H6675" t="s">
        <v>30916</v>
      </c>
      <c r="I6675" t="s">
        <v>5830</v>
      </c>
      <c r="J6675" t="s">
        <v>31243</v>
      </c>
      <c r="K6675" t="s">
        <v>40286</v>
      </c>
      <c r="M6675" t="s">
        <v>42965</v>
      </c>
      <c r="N6675" t="s">
        <v>44759</v>
      </c>
      <c r="O6675" t="s">
        <v>44760</v>
      </c>
      <c r="P6675">
        <v>0</v>
      </c>
      <c r="Q6675">
        <v>22</v>
      </c>
      <c r="R6675" t="s">
        <v>44767</v>
      </c>
      <c r="S6675" t="s">
        <v>44954</v>
      </c>
      <c r="T6675" t="s">
        <v>46357</v>
      </c>
      <c r="U6675" t="s">
        <v>52522</v>
      </c>
      <c r="W6675" t="s">
        <v>42965</v>
      </c>
      <c r="X6675" t="s">
        <v>44768</v>
      </c>
    </row>
    <row r="6676" spans="1:24">
      <c r="A6676">
        <f>HYPERLINK("https://www.philgeps.gov.ph/GEPSNONPILOT/Tender/SplashBidNoticeAbstractUI.aspx?menuIndex=3&amp;refID=7142094&amp;Result=3","7142094")</f>
        <v>0</v>
      </c>
      <c r="B6676" t="s">
        <v>2333</v>
      </c>
      <c r="C6676" t="s">
        <v>10083</v>
      </c>
      <c r="D6676" t="s">
        <v>18003</v>
      </c>
      <c r="E6676" t="s">
        <v>23912</v>
      </c>
      <c r="F6676" t="s">
        <v>30904</v>
      </c>
      <c r="G6676" t="s">
        <v>30907</v>
      </c>
      <c r="H6676" t="s">
        <v>30916</v>
      </c>
      <c r="I6676" t="s">
        <v>30922</v>
      </c>
      <c r="J6676" t="s">
        <v>35347</v>
      </c>
      <c r="K6676" t="s">
        <v>40284</v>
      </c>
      <c r="M6676" t="s">
        <v>43055</v>
      </c>
      <c r="N6676" t="s">
        <v>44759</v>
      </c>
      <c r="O6676" t="s">
        <v>44760</v>
      </c>
      <c r="P6676">
        <v>0</v>
      </c>
      <c r="Q6676">
        <v>0</v>
      </c>
      <c r="R6676" t="s">
        <v>44767</v>
      </c>
      <c r="S6676" t="s">
        <v>44954</v>
      </c>
      <c r="T6676" t="s">
        <v>46372</v>
      </c>
      <c r="U6676" t="s">
        <v>52523</v>
      </c>
      <c r="W6676" t="s">
        <v>43055</v>
      </c>
      <c r="X6676" t="s">
        <v>44768</v>
      </c>
    </row>
    <row r="6677" spans="1:24">
      <c r="A6677">
        <f>HYPERLINK("https://www.philgeps.gov.ph/GEPSNONPILOT/Tender/SplashBidNoticeAbstractUI.aspx?menuIndex=3&amp;refID=7142228&amp;Result=3","7142228")</f>
        <v>0</v>
      </c>
      <c r="B6677" t="s">
        <v>1976</v>
      </c>
      <c r="C6677" t="s">
        <v>10084</v>
      </c>
      <c r="D6677" t="s">
        <v>18019</v>
      </c>
      <c r="E6677" t="s">
        <v>23913</v>
      </c>
      <c r="F6677" t="s">
        <v>30900</v>
      </c>
      <c r="G6677" t="s">
        <v>30907</v>
      </c>
      <c r="H6677" t="s">
        <v>30916</v>
      </c>
      <c r="I6677" t="s">
        <v>30919</v>
      </c>
      <c r="J6677" t="s">
        <v>35348</v>
      </c>
      <c r="K6677" t="s">
        <v>40314</v>
      </c>
      <c r="M6677" t="s">
        <v>42664</v>
      </c>
      <c r="N6677" t="s">
        <v>44759</v>
      </c>
      <c r="O6677" t="s">
        <v>44760</v>
      </c>
      <c r="P6677">
        <v>0</v>
      </c>
      <c r="Q6677">
        <v>1</v>
      </c>
      <c r="R6677" t="s">
        <v>44767</v>
      </c>
      <c r="S6677" t="s">
        <v>44954</v>
      </c>
      <c r="T6677" t="s">
        <v>46421</v>
      </c>
      <c r="U6677" t="s">
        <v>52524</v>
      </c>
      <c r="W6677" t="s">
        <v>42664</v>
      </c>
      <c r="X6677" t="s">
        <v>44768</v>
      </c>
    </row>
    <row r="6678" spans="1:24">
      <c r="A6678">
        <f>HYPERLINK("https://www.philgeps.gov.ph/GEPSNONPILOT/Tender/SplashBidNoticeAbstractUI.aspx?menuIndex=3&amp;refID=7142112&amp;Result=3","7142112")</f>
        <v>0</v>
      </c>
      <c r="B6678" t="s">
        <v>48</v>
      </c>
      <c r="C6678" t="s">
        <v>10085</v>
      </c>
      <c r="D6678" t="s">
        <v>17971</v>
      </c>
      <c r="E6678" t="s">
        <v>23914</v>
      </c>
      <c r="F6678" t="s">
        <v>30900</v>
      </c>
      <c r="G6678" t="s">
        <v>30907</v>
      </c>
      <c r="H6678" t="s">
        <v>30915</v>
      </c>
      <c r="I6678" t="s">
        <v>30919</v>
      </c>
      <c r="J6678" t="s">
        <v>31049</v>
      </c>
      <c r="K6678" t="s">
        <v>40286</v>
      </c>
      <c r="M6678" t="s">
        <v>40594</v>
      </c>
      <c r="N6678" t="s">
        <v>44759</v>
      </c>
      <c r="O6678" t="s">
        <v>44760</v>
      </c>
      <c r="P6678">
        <v>0</v>
      </c>
      <c r="Q6678">
        <v>0</v>
      </c>
      <c r="R6678" t="s">
        <v>44767</v>
      </c>
      <c r="S6678" t="s">
        <v>44954</v>
      </c>
      <c r="T6678" t="s">
        <v>46379</v>
      </c>
      <c r="U6678" t="s">
        <v>52525</v>
      </c>
      <c r="W6678" t="s">
        <v>40594</v>
      </c>
      <c r="X6678" t="s">
        <v>44768</v>
      </c>
    </row>
    <row r="6679" spans="1:24">
      <c r="A6679">
        <f>HYPERLINK("https://www.philgeps.gov.ph/GEPSNONPILOT/Tender/SplashBidNoticeAbstractUI.aspx?menuIndex=3&amp;refID=7142236&amp;Result=3","7142236")</f>
        <v>0</v>
      </c>
      <c r="B6679" t="s">
        <v>2334</v>
      </c>
      <c r="C6679" t="s">
        <v>10086</v>
      </c>
      <c r="D6679" t="s">
        <v>17959</v>
      </c>
      <c r="E6679" t="s">
        <v>23915</v>
      </c>
      <c r="F6679" t="s">
        <v>30900</v>
      </c>
      <c r="G6679" t="s">
        <v>30908</v>
      </c>
      <c r="H6679" t="s">
        <v>30917</v>
      </c>
      <c r="I6679" t="s">
        <v>30981</v>
      </c>
      <c r="J6679" t="s">
        <v>31183</v>
      </c>
      <c r="K6679" t="s">
        <v>40332</v>
      </c>
      <c r="M6679" t="s">
        <v>43056</v>
      </c>
      <c r="N6679" t="s">
        <v>44759</v>
      </c>
      <c r="O6679" t="s">
        <v>44760</v>
      </c>
      <c r="P6679">
        <v>0</v>
      </c>
      <c r="Q6679">
        <v>0</v>
      </c>
      <c r="R6679" t="s">
        <v>44767</v>
      </c>
      <c r="S6679" t="s">
        <v>44954</v>
      </c>
      <c r="T6679" t="s">
        <v>46761</v>
      </c>
      <c r="U6679" t="s">
        <v>52526</v>
      </c>
      <c r="W6679" t="s">
        <v>43056</v>
      </c>
      <c r="X6679" t="s">
        <v>44768</v>
      </c>
    </row>
    <row r="6680" spans="1:24">
      <c r="A6680">
        <f>HYPERLINK("https://www.philgeps.gov.ph/GEPSNONPILOT/Tender/SplashBidNoticeAbstractUI.aspx?menuIndex=3&amp;refID=7142147&amp;Result=3","7142147")</f>
        <v>0</v>
      </c>
      <c r="B6680" t="s">
        <v>74</v>
      </c>
      <c r="C6680" t="s">
        <v>10087</v>
      </c>
      <c r="D6680" t="s">
        <v>17984</v>
      </c>
      <c r="E6680" t="s">
        <v>23916</v>
      </c>
      <c r="F6680" t="s">
        <v>30900</v>
      </c>
      <c r="G6680" t="s">
        <v>30906</v>
      </c>
      <c r="H6680" t="s">
        <v>30916</v>
      </c>
      <c r="I6680" t="s">
        <v>30933</v>
      </c>
      <c r="J6680" t="s">
        <v>31297</v>
      </c>
      <c r="K6680" t="s">
        <v>40283</v>
      </c>
      <c r="M6680" t="s">
        <v>40621</v>
      </c>
      <c r="N6680" t="s">
        <v>44759</v>
      </c>
      <c r="O6680" t="s">
        <v>44760</v>
      </c>
      <c r="P6680">
        <v>0</v>
      </c>
      <c r="Q6680">
        <v>4</v>
      </c>
      <c r="R6680" t="s">
        <v>44767</v>
      </c>
      <c r="S6680" t="s">
        <v>44954</v>
      </c>
      <c r="T6680" t="s">
        <v>46399</v>
      </c>
      <c r="U6680" t="s">
        <v>52527</v>
      </c>
      <c r="W6680" t="s">
        <v>40621</v>
      </c>
      <c r="X6680" t="s">
        <v>44768</v>
      </c>
    </row>
    <row r="6681" spans="1:24">
      <c r="A6681">
        <f>HYPERLINK("https://www.philgeps.gov.ph/GEPSNONPILOT/Tender/SplashBidNoticeAbstractUI.aspx?menuIndex=3&amp;refID=7142231&amp;Result=3","7142231")</f>
        <v>0</v>
      </c>
      <c r="B6681" t="s">
        <v>1403</v>
      </c>
      <c r="C6681" t="s">
        <v>10088</v>
      </c>
      <c r="D6681" t="s">
        <v>17954</v>
      </c>
      <c r="E6681" t="s">
        <v>23917</v>
      </c>
      <c r="F6681" t="s">
        <v>30900</v>
      </c>
      <c r="G6681" t="s">
        <v>30907</v>
      </c>
      <c r="H6681" t="s">
        <v>30915</v>
      </c>
      <c r="I6681" t="s">
        <v>30919</v>
      </c>
      <c r="J6681" t="s">
        <v>31944</v>
      </c>
      <c r="K6681" t="s">
        <v>40280</v>
      </c>
      <c r="M6681" t="s">
        <v>42030</v>
      </c>
      <c r="N6681" t="s">
        <v>44759</v>
      </c>
      <c r="O6681" t="s">
        <v>44760</v>
      </c>
      <c r="P6681">
        <v>0</v>
      </c>
      <c r="Q6681">
        <v>0</v>
      </c>
      <c r="R6681" t="s">
        <v>44767</v>
      </c>
      <c r="S6681" t="s">
        <v>44954</v>
      </c>
      <c r="T6681" t="s">
        <v>46540</v>
      </c>
      <c r="U6681" t="s">
        <v>52528</v>
      </c>
      <c r="W6681" t="s">
        <v>42030</v>
      </c>
      <c r="X6681" t="s">
        <v>44768</v>
      </c>
    </row>
    <row r="6682" spans="1:24">
      <c r="A6682">
        <f>HYPERLINK("https://www.philgeps.gov.ph/GEPSNONPILOT/Tender/SplashBidNoticeAbstractUI.aspx?menuIndex=3&amp;refID=7142227&amp;Result=3","7142227")</f>
        <v>0</v>
      </c>
      <c r="B6682" t="s">
        <v>2335</v>
      </c>
      <c r="C6682" t="s">
        <v>10089</v>
      </c>
      <c r="D6682" t="s">
        <v>17996</v>
      </c>
      <c r="E6682" t="s">
        <v>23918</v>
      </c>
      <c r="F6682" t="s">
        <v>30900</v>
      </c>
      <c r="G6682" t="s">
        <v>30908</v>
      </c>
      <c r="H6682" t="s">
        <v>30916</v>
      </c>
      <c r="I6682" t="s">
        <v>30929</v>
      </c>
      <c r="J6682" t="s">
        <v>35349</v>
      </c>
      <c r="K6682" t="s">
        <v>40288</v>
      </c>
      <c r="M6682" t="s">
        <v>43057</v>
      </c>
      <c r="N6682" t="s">
        <v>44759</v>
      </c>
      <c r="O6682" t="s">
        <v>44760</v>
      </c>
      <c r="P6682">
        <v>0</v>
      </c>
      <c r="Q6682">
        <v>1</v>
      </c>
      <c r="R6682" t="s">
        <v>44767</v>
      </c>
      <c r="S6682" t="s">
        <v>44954</v>
      </c>
      <c r="T6682" t="s">
        <v>46641</v>
      </c>
      <c r="U6682" t="s">
        <v>52529</v>
      </c>
      <c r="W6682" t="s">
        <v>60886</v>
      </c>
      <c r="X6682" t="s">
        <v>44768</v>
      </c>
    </row>
    <row r="6683" spans="1:24">
      <c r="A6683">
        <f>HYPERLINK("https://www.philgeps.gov.ph/GEPSNONPILOT/Tender/SplashBidNoticeAbstractUI.aspx?menuIndex=3&amp;refID=7142134&amp;Result=3","7142134")</f>
        <v>0</v>
      </c>
      <c r="B6683" t="s">
        <v>2336</v>
      </c>
      <c r="C6683" t="s">
        <v>10090</v>
      </c>
      <c r="D6683" t="s">
        <v>17951</v>
      </c>
      <c r="E6683" t="s">
        <v>18752</v>
      </c>
      <c r="F6683" t="s">
        <v>30900</v>
      </c>
      <c r="G6683" t="s">
        <v>30907</v>
      </c>
      <c r="H6683" t="s">
        <v>30916</v>
      </c>
      <c r="I6683" t="s">
        <v>8123</v>
      </c>
      <c r="J6683" t="s">
        <v>35350</v>
      </c>
      <c r="K6683" t="s">
        <v>40287</v>
      </c>
      <c r="L6683" t="s">
        <v>2336</v>
      </c>
      <c r="M6683" t="s">
        <v>43058</v>
      </c>
      <c r="N6683" t="s">
        <v>44759</v>
      </c>
      <c r="O6683" t="s">
        <v>44760</v>
      </c>
      <c r="P6683">
        <v>0</v>
      </c>
      <c r="Q6683">
        <v>0</v>
      </c>
      <c r="R6683" t="s">
        <v>44767</v>
      </c>
      <c r="S6683" t="s">
        <v>44954</v>
      </c>
      <c r="T6683" t="s">
        <v>46391</v>
      </c>
      <c r="U6683" t="s">
        <v>52530</v>
      </c>
      <c r="W6683" t="s">
        <v>43058</v>
      </c>
      <c r="X6683" t="s">
        <v>44768</v>
      </c>
    </row>
    <row r="6684" spans="1:24">
      <c r="A6684">
        <f>HYPERLINK("https://www.philgeps.gov.ph/GEPSNONPILOT/Tender/SplashBidNoticeAbstractUI.aspx?menuIndex=3&amp;refID=7142225&amp;Result=3","7142225")</f>
        <v>0</v>
      </c>
      <c r="B6684" t="s">
        <v>2337</v>
      </c>
      <c r="C6684" t="s">
        <v>10091</v>
      </c>
      <c r="D6684" t="s">
        <v>18019</v>
      </c>
      <c r="E6684" t="s">
        <v>23919</v>
      </c>
      <c r="F6684" t="s">
        <v>30900</v>
      </c>
      <c r="G6684" t="s">
        <v>30907</v>
      </c>
      <c r="H6684" t="s">
        <v>30916</v>
      </c>
      <c r="I6684" t="s">
        <v>8123</v>
      </c>
      <c r="J6684" t="s">
        <v>35351</v>
      </c>
      <c r="K6684" t="s">
        <v>40287</v>
      </c>
      <c r="M6684" t="s">
        <v>43059</v>
      </c>
      <c r="N6684" t="s">
        <v>44759</v>
      </c>
      <c r="O6684" t="s">
        <v>44760</v>
      </c>
      <c r="P6684">
        <v>0</v>
      </c>
      <c r="Q6684">
        <v>1</v>
      </c>
      <c r="R6684" t="s">
        <v>44767</v>
      </c>
      <c r="S6684" t="s">
        <v>44954</v>
      </c>
      <c r="T6684" t="s">
        <v>46567</v>
      </c>
      <c r="U6684" t="s">
        <v>52531</v>
      </c>
      <c r="W6684" t="s">
        <v>43059</v>
      </c>
      <c r="X6684" t="s">
        <v>44768</v>
      </c>
    </row>
    <row r="6685" spans="1:24">
      <c r="A6685">
        <f>HYPERLINK("https://www.philgeps.gov.ph/GEPSNONPILOT/Tender/SplashBidNoticeAbstractUI.aspx?menuIndex=3&amp;refID=7142088&amp;Result=3","7142088")</f>
        <v>0</v>
      </c>
      <c r="B6685" t="s">
        <v>2322</v>
      </c>
      <c r="C6685" t="s">
        <v>10092</v>
      </c>
      <c r="D6685" t="s">
        <v>18015</v>
      </c>
      <c r="E6685" t="s">
        <v>23920</v>
      </c>
      <c r="F6685" t="s">
        <v>30900</v>
      </c>
      <c r="G6685" t="s">
        <v>30907</v>
      </c>
      <c r="H6685" t="s">
        <v>30916</v>
      </c>
      <c r="I6685" t="s">
        <v>6396</v>
      </c>
      <c r="J6685" t="s">
        <v>31583</v>
      </c>
      <c r="K6685" t="s">
        <v>40321</v>
      </c>
      <c r="L6685" t="s">
        <v>2322</v>
      </c>
      <c r="M6685" t="s">
        <v>43043</v>
      </c>
      <c r="N6685" t="s">
        <v>44759</v>
      </c>
      <c r="O6685" t="s">
        <v>44760</v>
      </c>
      <c r="P6685">
        <v>0</v>
      </c>
      <c r="Q6685">
        <v>0</v>
      </c>
      <c r="R6685" t="s">
        <v>44767</v>
      </c>
      <c r="S6685" t="s">
        <v>44954</v>
      </c>
      <c r="T6685" t="s">
        <v>46350</v>
      </c>
      <c r="U6685" t="s">
        <v>52532</v>
      </c>
      <c r="V6685" t="s">
        <v>59841</v>
      </c>
      <c r="W6685" t="s">
        <v>43043</v>
      </c>
      <c r="X6685" t="s">
        <v>44768</v>
      </c>
    </row>
    <row r="6686" spans="1:24">
      <c r="A6686">
        <f>HYPERLINK("https://www.philgeps.gov.ph/GEPSNONPILOT/Tender/SplashBidNoticeAbstractUI.aspx?menuIndex=3&amp;refID=7142239&amp;Result=3","7142239")</f>
        <v>0</v>
      </c>
      <c r="B6686" t="s">
        <v>284</v>
      </c>
      <c r="C6686" t="s">
        <v>4269</v>
      </c>
      <c r="D6686" t="s">
        <v>18009</v>
      </c>
      <c r="E6686" t="s">
        <v>23921</v>
      </c>
      <c r="F6686" t="s">
        <v>30900</v>
      </c>
      <c r="G6686" t="s">
        <v>30908</v>
      </c>
      <c r="H6686" t="s">
        <v>30916</v>
      </c>
      <c r="I6686" t="s">
        <v>4545</v>
      </c>
      <c r="J6686" t="s">
        <v>31070</v>
      </c>
      <c r="K6686" t="s">
        <v>40287</v>
      </c>
      <c r="M6686" t="s">
        <v>41050</v>
      </c>
      <c r="N6686" t="s">
        <v>44759</v>
      </c>
      <c r="O6686" t="s">
        <v>44760</v>
      </c>
      <c r="P6686">
        <v>0</v>
      </c>
      <c r="Q6686">
        <v>0</v>
      </c>
      <c r="R6686" t="s">
        <v>44767</v>
      </c>
      <c r="S6686" t="s">
        <v>44954</v>
      </c>
      <c r="T6686" t="s">
        <v>46383</v>
      </c>
      <c r="U6686" t="s">
        <v>52533</v>
      </c>
      <c r="W6686" t="s">
        <v>41050</v>
      </c>
      <c r="X6686" t="s">
        <v>44768</v>
      </c>
    </row>
    <row r="6687" spans="1:24">
      <c r="A6687">
        <f>HYPERLINK("https://www.philgeps.gov.ph/GEPSNONPILOT/Tender/SplashBidNoticeAbstractUI.aspx?menuIndex=3&amp;refID=7142221&amp;Result=3","7142221")</f>
        <v>0</v>
      </c>
      <c r="B6687" t="s">
        <v>1960</v>
      </c>
      <c r="C6687" t="s">
        <v>10093</v>
      </c>
      <c r="D6687" t="s">
        <v>17975</v>
      </c>
      <c r="E6687" t="s">
        <v>23922</v>
      </c>
      <c r="F6687" t="s">
        <v>30900</v>
      </c>
      <c r="G6687" t="s">
        <v>30907</v>
      </c>
      <c r="H6687" t="s">
        <v>30915</v>
      </c>
      <c r="I6687" t="s">
        <v>30919</v>
      </c>
      <c r="J6687" t="s">
        <v>35229</v>
      </c>
      <c r="K6687" t="s">
        <v>40280</v>
      </c>
      <c r="M6687" t="s">
        <v>42644</v>
      </c>
      <c r="N6687" t="s">
        <v>44759</v>
      </c>
      <c r="O6687" t="s">
        <v>44760</v>
      </c>
      <c r="P6687">
        <v>0</v>
      </c>
      <c r="Q6687">
        <v>1</v>
      </c>
      <c r="R6687" t="s">
        <v>44767</v>
      </c>
      <c r="S6687" t="s">
        <v>44954</v>
      </c>
      <c r="T6687" t="s">
        <v>46455</v>
      </c>
      <c r="U6687" t="s">
        <v>52534</v>
      </c>
      <c r="W6687" t="s">
        <v>42644</v>
      </c>
      <c r="X6687" t="s">
        <v>44768</v>
      </c>
    </row>
    <row r="6688" spans="1:24">
      <c r="A6688">
        <f>HYPERLINK("https://www.philgeps.gov.ph/GEPSNONPILOT/Tender/SplashBidNoticeAbstractUI.aspx?menuIndex=3&amp;refID=7142220&amp;Result=3","7142220")</f>
        <v>0</v>
      </c>
      <c r="B6688" t="s">
        <v>2338</v>
      </c>
      <c r="C6688" t="s">
        <v>10094</v>
      </c>
      <c r="D6688" t="s">
        <v>17996</v>
      </c>
      <c r="E6688" t="s">
        <v>23923</v>
      </c>
      <c r="F6688" t="s">
        <v>30904</v>
      </c>
      <c r="G6688" t="s">
        <v>30907</v>
      </c>
      <c r="H6688" t="s">
        <v>30916</v>
      </c>
      <c r="I6688" t="s">
        <v>30956</v>
      </c>
      <c r="J6688" t="s">
        <v>31050</v>
      </c>
      <c r="K6688" t="s">
        <v>40285</v>
      </c>
      <c r="M6688" t="s">
        <v>43060</v>
      </c>
      <c r="N6688" t="s">
        <v>44759</v>
      </c>
      <c r="O6688" t="s">
        <v>44760</v>
      </c>
      <c r="P6688">
        <v>0</v>
      </c>
      <c r="Q6688">
        <v>0</v>
      </c>
      <c r="R6688" t="s">
        <v>44767</v>
      </c>
      <c r="S6688" t="s">
        <v>44954</v>
      </c>
      <c r="T6688" t="s">
        <v>46406</v>
      </c>
      <c r="U6688" t="s">
        <v>52535</v>
      </c>
      <c r="W6688" t="s">
        <v>43060</v>
      </c>
      <c r="X6688" t="s">
        <v>44768</v>
      </c>
    </row>
    <row r="6689" spans="1:24">
      <c r="A6689">
        <f>HYPERLINK("https://www.philgeps.gov.ph/GEPSNONPILOT/Tender/SplashBidNoticeAbstractUI.aspx?menuIndex=3&amp;refID=7142217&amp;Result=3","7142217")</f>
        <v>0</v>
      </c>
      <c r="B6689" t="s">
        <v>2339</v>
      </c>
      <c r="C6689" t="s">
        <v>10095</v>
      </c>
      <c r="D6689" t="s">
        <v>17975</v>
      </c>
      <c r="E6689" t="s">
        <v>18615</v>
      </c>
      <c r="F6689" t="s">
        <v>30900</v>
      </c>
      <c r="G6689" t="s">
        <v>30907</v>
      </c>
      <c r="H6689" t="s">
        <v>30916</v>
      </c>
      <c r="I6689" t="s">
        <v>8123</v>
      </c>
      <c r="J6689" t="s">
        <v>35352</v>
      </c>
      <c r="K6689" t="s">
        <v>40284</v>
      </c>
      <c r="M6689" t="s">
        <v>43061</v>
      </c>
      <c r="N6689" t="s">
        <v>44759</v>
      </c>
      <c r="O6689" t="s">
        <v>44760</v>
      </c>
      <c r="P6689">
        <v>0</v>
      </c>
      <c r="Q6689">
        <v>0</v>
      </c>
      <c r="R6689" t="s">
        <v>44767</v>
      </c>
      <c r="S6689" t="s">
        <v>44954</v>
      </c>
      <c r="T6689" t="s">
        <v>46412</v>
      </c>
      <c r="U6689" t="s">
        <v>52536</v>
      </c>
      <c r="W6689" t="s">
        <v>43061</v>
      </c>
      <c r="X6689" t="s">
        <v>44768</v>
      </c>
    </row>
    <row r="6690" spans="1:24">
      <c r="A6690">
        <f>HYPERLINK("https://www.philgeps.gov.ph/GEPSNONPILOT/Tender/SplashBidNoticeAbstractUI.aspx?menuIndex=3&amp;refID=7142206&amp;Result=3","7142206")</f>
        <v>0</v>
      </c>
      <c r="B6690" t="s">
        <v>56</v>
      </c>
      <c r="C6690" t="s">
        <v>10096</v>
      </c>
      <c r="D6690" t="s">
        <v>17952</v>
      </c>
      <c r="E6690" t="s">
        <v>23924</v>
      </c>
      <c r="F6690" t="s">
        <v>30900</v>
      </c>
      <c r="G6690" t="s">
        <v>30907</v>
      </c>
      <c r="H6690" t="s">
        <v>30916</v>
      </c>
      <c r="I6690" t="s">
        <v>5501</v>
      </c>
      <c r="J6690" t="s">
        <v>35353</v>
      </c>
      <c r="K6690" t="s">
        <v>40294</v>
      </c>
      <c r="M6690" t="s">
        <v>43052</v>
      </c>
      <c r="N6690" t="s">
        <v>44759</v>
      </c>
      <c r="O6690" t="s">
        <v>44760</v>
      </c>
      <c r="P6690">
        <v>0</v>
      </c>
      <c r="Q6690">
        <v>1</v>
      </c>
      <c r="R6690" t="s">
        <v>44767</v>
      </c>
      <c r="S6690" t="s">
        <v>44954</v>
      </c>
      <c r="T6690" t="s">
        <v>46383</v>
      </c>
      <c r="U6690" t="s">
        <v>52537</v>
      </c>
      <c r="V6690" t="s">
        <v>59101</v>
      </c>
      <c r="W6690" t="s">
        <v>43052</v>
      </c>
      <c r="X6690" t="s">
        <v>44768</v>
      </c>
    </row>
    <row r="6691" spans="1:24">
      <c r="A6691">
        <f>HYPERLINK("https://www.philgeps.gov.ph/GEPSNONPILOT/Tender/SplashBidNoticeAbstractUI.aspx?menuIndex=3&amp;refID=7142205&amp;Result=3","7142205")</f>
        <v>0</v>
      </c>
      <c r="B6691" t="s">
        <v>750</v>
      </c>
      <c r="C6691" t="s">
        <v>10097</v>
      </c>
      <c r="D6691" t="s">
        <v>17961</v>
      </c>
      <c r="E6691" t="s">
        <v>23925</v>
      </c>
      <c r="F6691" t="s">
        <v>30900</v>
      </c>
      <c r="G6691" t="s">
        <v>30907</v>
      </c>
      <c r="H6691" t="s">
        <v>30916</v>
      </c>
      <c r="I6691" t="s">
        <v>30924</v>
      </c>
      <c r="J6691" t="s">
        <v>35354</v>
      </c>
      <c r="K6691" t="s">
        <v>40286</v>
      </c>
      <c r="M6691" t="s">
        <v>41961</v>
      </c>
      <c r="N6691" t="s">
        <v>44759</v>
      </c>
      <c r="O6691" t="s">
        <v>44760</v>
      </c>
      <c r="P6691">
        <v>0</v>
      </c>
      <c r="Q6691">
        <v>10</v>
      </c>
      <c r="R6691" t="s">
        <v>44767</v>
      </c>
      <c r="S6691" t="s">
        <v>44954</v>
      </c>
      <c r="T6691" t="s">
        <v>46420</v>
      </c>
      <c r="U6691" t="s">
        <v>52538</v>
      </c>
      <c r="W6691" t="s">
        <v>41961</v>
      </c>
      <c r="X6691" t="s">
        <v>44768</v>
      </c>
    </row>
    <row r="6692" spans="1:24">
      <c r="A6692">
        <f>HYPERLINK("https://www.philgeps.gov.ph/GEPSNONPILOT/Tender/SplashBidNoticeAbstractUI.aspx?menuIndex=3&amp;refID=7142229&amp;Result=3","7142229")</f>
        <v>0</v>
      </c>
      <c r="B6692" t="s">
        <v>1516</v>
      </c>
      <c r="C6692" t="s">
        <v>10098</v>
      </c>
      <c r="D6692" t="s">
        <v>18033</v>
      </c>
      <c r="E6692" t="s">
        <v>23926</v>
      </c>
      <c r="F6692" t="s">
        <v>30900</v>
      </c>
      <c r="G6692" t="s">
        <v>30907</v>
      </c>
      <c r="H6692" t="s">
        <v>30916</v>
      </c>
      <c r="I6692" t="s">
        <v>4108</v>
      </c>
      <c r="J6692" t="s">
        <v>31152</v>
      </c>
      <c r="K6692" t="s">
        <v>40286</v>
      </c>
      <c r="M6692" t="s">
        <v>43062</v>
      </c>
      <c r="N6692" t="s">
        <v>44759</v>
      </c>
      <c r="O6692" t="s">
        <v>44760</v>
      </c>
      <c r="P6692">
        <v>0</v>
      </c>
      <c r="Q6692">
        <v>0</v>
      </c>
      <c r="R6692" t="s">
        <v>44767</v>
      </c>
      <c r="S6692" t="s">
        <v>44954</v>
      </c>
      <c r="T6692" t="s">
        <v>46495</v>
      </c>
      <c r="U6692" t="s">
        <v>52539</v>
      </c>
      <c r="W6692" t="s">
        <v>43062</v>
      </c>
      <c r="X6692" t="s">
        <v>44768</v>
      </c>
    </row>
    <row r="6693" spans="1:24">
      <c r="A6693">
        <f>HYPERLINK("https://www.philgeps.gov.ph/GEPSNONPILOT/Tender/SplashBidNoticeAbstractUI.aspx?menuIndex=3&amp;refID=7142204&amp;Result=3","7142204")</f>
        <v>0</v>
      </c>
      <c r="B6693" t="s">
        <v>1254</v>
      </c>
      <c r="C6693" t="s">
        <v>10099</v>
      </c>
      <c r="D6693" t="s">
        <v>17998</v>
      </c>
      <c r="E6693" t="s">
        <v>20731</v>
      </c>
      <c r="F6693" t="s">
        <v>30899</v>
      </c>
      <c r="G6693" t="s">
        <v>30909</v>
      </c>
      <c r="H6693" t="s">
        <v>30916</v>
      </c>
      <c r="I6693" t="s">
        <v>30922</v>
      </c>
      <c r="J6693" t="s">
        <v>35355</v>
      </c>
      <c r="K6693" t="s">
        <v>40286</v>
      </c>
      <c r="M6693" t="s">
        <v>41866</v>
      </c>
      <c r="N6693" t="s">
        <v>44759</v>
      </c>
      <c r="O6693" t="s">
        <v>44760</v>
      </c>
      <c r="P6693">
        <v>0</v>
      </c>
      <c r="Q6693">
        <v>1</v>
      </c>
      <c r="R6693" t="s">
        <v>44767</v>
      </c>
      <c r="S6693" t="s">
        <v>44954</v>
      </c>
      <c r="T6693" t="s">
        <v>46428</v>
      </c>
      <c r="U6693" t="s">
        <v>52540</v>
      </c>
      <c r="W6693" t="s">
        <v>41866</v>
      </c>
      <c r="X6693" t="s">
        <v>44768</v>
      </c>
    </row>
    <row r="6694" spans="1:24">
      <c r="A6694">
        <f>HYPERLINK("https://www.philgeps.gov.ph/GEPSNONPILOT/Tender/SplashBidNoticeAbstractUI.aspx?menuIndex=3&amp;refID=7142200&amp;Result=3","7142200")</f>
        <v>0</v>
      </c>
      <c r="B6694" t="s">
        <v>2340</v>
      </c>
      <c r="C6694" t="s">
        <v>10100</v>
      </c>
      <c r="D6694" t="s">
        <v>17971</v>
      </c>
      <c r="E6694" t="s">
        <v>18752</v>
      </c>
      <c r="F6694" t="s">
        <v>30900</v>
      </c>
      <c r="G6694" t="s">
        <v>30907</v>
      </c>
      <c r="H6694" t="s">
        <v>30916</v>
      </c>
      <c r="I6694" t="s">
        <v>8123</v>
      </c>
      <c r="J6694" t="s">
        <v>31441</v>
      </c>
      <c r="K6694" t="s">
        <v>40287</v>
      </c>
      <c r="M6694" t="s">
        <v>43063</v>
      </c>
      <c r="N6694" t="s">
        <v>44759</v>
      </c>
      <c r="O6694" t="s">
        <v>44760</v>
      </c>
      <c r="P6694">
        <v>0</v>
      </c>
      <c r="Q6694">
        <v>0</v>
      </c>
      <c r="R6694" t="s">
        <v>44767</v>
      </c>
      <c r="S6694" t="s">
        <v>44954</v>
      </c>
      <c r="T6694" t="s">
        <v>46623</v>
      </c>
      <c r="U6694" t="s">
        <v>52541</v>
      </c>
      <c r="W6694" t="s">
        <v>43063</v>
      </c>
      <c r="X6694" t="s">
        <v>44768</v>
      </c>
    </row>
    <row r="6695" spans="1:24">
      <c r="A6695">
        <f>HYPERLINK("https://www.philgeps.gov.ph/GEPSNONPILOT/Tender/SplashBidNoticeAbstractUI.aspx?menuIndex=3&amp;refID=7142195&amp;Result=3","7142195")</f>
        <v>0</v>
      </c>
      <c r="B6695" t="s">
        <v>176</v>
      </c>
      <c r="C6695" t="s">
        <v>10101</v>
      </c>
      <c r="D6695" t="s">
        <v>18012</v>
      </c>
      <c r="E6695" t="s">
        <v>23927</v>
      </c>
      <c r="F6695" t="s">
        <v>30900</v>
      </c>
      <c r="G6695" t="s">
        <v>30907</v>
      </c>
      <c r="H6695" t="s">
        <v>30915</v>
      </c>
      <c r="I6695" t="s">
        <v>30919</v>
      </c>
      <c r="J6695" t="s">
        <v>35356</v>
      </c>
      <c r="K6695" t="s">
        <v>40289</v>
      </c>
      <c r="M6695" t="s">
        <v>40723</v>
      </c>
      <c r="N6695" t="s">
        <v>44759</v>
      </c>
      <c r="O6695" t="s">
        <v>44760</v>
      </c>
      <c r="P6695">
        <v>0</v>
      </c>
      <c r="Q6695">
        <v>1</v>
      </c>
      <c r="R6695" t="s">
        <v>44767</v>
      </c>
      <c r="S6695" t="s">
        <v>44954</v>
      </c>
      <c r="T6695" t="s">
        <v>46488</v>
      </c>
      <c r="U6695" t="s">
        <v>52542</v>
      </c>
      <c r="W6695" t="s">
        <v>40723</v>
      </c>
      <c r="X6695" t="s">
        <v>44768</v>
      </c>
    </row>
    <row r="6696" spans="1:24">
      <c r="A6696">
        <f>HYPERLINK("https://www.philgeps.gov.ph/GEPSNONPILOT/Tender/SplashBidNoticeAbstractUI.aspx?menuIndex=3&amp;refID=7142224&amp;Result=3","7142224")</f>
        <v>0</v>
      </c>
      <c r="B6696" t="s">
        <v>1361</v>
      </c>
      <c r="C6696" t="s">
        <v>10102</v>
      </c>
      <c r="D6696" t="s">
        <v>17985</v>
      </c>
      <c r="E6696" t="s">
        <v>19690</v>
      </c>
      <c r="F6696" t="s">
        <v>30900</v>
      </c>
      <c r="G6696" t="s">
        <v>30909</v>
      </c>
      <c r="H6696" t="s">
        <v>30916</v>
      </c>
      <c r="I6696" t="s">
        <v>30947</v>
      </c>
      <c r="J6696" t="s">
        <v>35357</v>
      </c>
      <c r="K6696" t="s">
        <v>40283</v>
      </c>
      <c r="M6696" t="s">
        <v>41983</v>
      </c>
      <c r="N6696" t="s">
        <v>44759</v>
      </c>
      <c r="O6696" t="s">
        <v>44760</v>
      </c>
      <c r="P6696">
        <v>0</v>
      </c>
      <c r="Q6696">
        <v>1</v>
      </c>
      <c r="R6696" t="s">
        <v>44767</v>
      </c>
      <c r="S6696" t="s">
        <v>44954</v>
      </c>
      <c r="T6696" t="s">
        <v>46533</v>
      </c>
      <c r="U6696" t="s">
        <v>52543</v>
      </c>
      <c r="W6696" t="s">
        <v>41983</v>
      </c>
      <c r="X6696" t="s">
        <v>44768</v>
      </c>
    </row>
    <row r="6697" spans="1:24">
      <c r="A6697">
        <f>HYPERLINK("https://www.philgeps.gov.ph/GEPSNONPILOT/Tender/SplashBidNoticeAbstractUI.aspx?menuIndex=3&amp;refID=7142189&amp;Result=3","7142189")</f>
        <v>0</v>
      </c>
      <c r="B6697" t="s">
        <v>2341</v>
      </c>
      <c r="C6697" t="s">
        <v>10103</v>
      </c>
      <c r="D6697" t="s">
        <v>17968</v>
      </c>
      <c r="E6697" t="s">
        <v>23928</v>
      </c>
      <c r="F6697" t="s">
        <v>30900</v>
      </c>
      <c r="G6697" t="s">
        <v>30908</v>
      </c>
      <c r="H6697" t="s">
        <v>30915</v>
      </c>
      <c r="I6697" t="s">
        <v>30957</v>
      </c>
      <c r="J6697" t="s">
        <v>31048</v>
      </c>
      <c r="K6697" t="s">
        <v>40289</v>
      </c>
      <c r="M6697" t="s">
        <v>43064</v>
      </c>
      <c r="N6697" t="s">
        <v>44759</v>
      </c>
      <c r="O6697" t="s">
        <v>44760</v>
      </c>
      <c r="P6697">
        <v>0</v>
      </c>
      <c r="Q6697">
        <v>0</v>
      </c>
      <c r="R6697" t="s">
        <v>44767</v>
      </c>
      <c r="S6697" t="s">
        <v>44954</v>
      </c>
      <c r="T6697" t="s">
        <v>46374</v>
      </c>
      <c r="U6697" t="s">
        <v>52544</v>
      </c>
      <c r="W6697" t="s">
        <v>43064</v>
      </c>
      <c r="X6697" t="s">
        <v>44768</v>
      </c>
    </row>
    <row r="6698" spans="1:24">
      <c r="A6698">
        <f>HYPERLINK("https://www.philgeps.gov.ph/GEPSNONPILOT/Tender/SplashBidNoticeAbstractUI.aspx?menuIndex=3&amp;refID=7142109&amp;Result=3","7142109")</f>
        <v>0</v>
      </c>
      <c r="B6698" t="s">
        <v>2342</v>
      </c>
      <c r="C6698" t="s">
        <v>10104</v>
      </c>
      <c r="D6698" t="s">
        <v>17963</v>
      </c>
      <c r="E6698" t="s">
        <v>23929</v>
      </c>
      <c r="F6698" t="s">
        <v>30900</v>
      </c>
      <c r="G6698" t="s">
        <v>30907</v>
      </c>
      <c r="H6698" t="s">
        <v>30916</v>
      </c>
      <c r="I6698" t="s">
        <v>10847</v>
      </c>
      <c r="J6698" t="s">
        <v>31430</v>
      </c>
      <c r="K6698" t="s">
        <v>40287</v>
      </c>
      <c r="M6698" t="s">
        <v>43065</v>
      </c>
      <c r="N6698" t="s">
        <v>44759</v>
      </c>
      <c r="O6698" t="s">
        <v>44760</v>
      </c>
      <c r="P6698">
        <v>0</v>
      </c>
      <c r="Q6698">
        <v>0</v>
      </c>
      <c r="R6698" t="s">
        <v>44767</v>
      </c>
      <c r="S6698" t="s">
        <v>44954</v>
      </c>
      <c r="T6698" t="s">
        <v>46374</v>
      </c>
      <c r="U6698" t="s">
        <v>50643</v>
      </c>
      <c r="W6698" t="s">
        <v>43065</v>
      </c>
      <c r="X6698" t="s">
        <v>44768</v>
      </c>
    </row>
    <row r="6699" spans="1:24">
      <c r="A6699">
        <f>HYPERLINK("https://www.philgeps.gov.ph/GEPSNONPILOT/Tender/SplashBidNoticeAbstractUI.aspx?menuIndex=3&amp;refID=7142249&amp;Result=3","7142249")</f>
        <v>0</v>
      </c>
      <c r="B6699" t="s">
        <v>110</v>
      </c>
      <c r="C6699" t="s">
        <v>10105</v>
      </c>
      <c r="D6699" t="s">
        <v>17996</v>
      </c>
      <c r="E6699" t="s">
        <v>23930</v>
      </c>
      <c r="F6699" t="s">
        <v>30900</v>
      </c>
      <c r="G6699" t="s">
        <v>30907</v>
      </c>
      <c r="H6699" t="s">
        <v>30916</v>
      </c>
      <c r="I6699" t="s">
        <v>5501</v>
      </c>
      <c r="J6699" t="s">
        <v>31391</v>
      </c>
      <c r="K6699" t="s">
        <v>40286</v>
      </c>
      <c r="M6699" t="s">
        <v>40657</v>
      </c>
      <c r="N6699" t="s">
        <v>44759</v>
      </c>
      <c r="O6699" t="s">
        <v>44760</v>
      </c>
      <c r="P6699">
        <v>0</v>
      </c>
      <c r="Q6699">
        <v>9</v>
      </c>
      <c r="R6699" t="s">
        <v>44767</v>
      </c>
      <c r="S6699" t="s">
        <v>44954</v>
      </c>
      <c r="T6699" t="s">
        <v>46762</v>
      </c>
      <c r="U6699" t="s">
        <v>52545</v>
      </c>
      <c r="W6699" t="s">
        <v>40657</v>
      </c>
      <c r="X6699" t="s">
        <v>44768</v>
      </c>
    </row>
    <row r="6700" spans="1:24">
      <c r="A6700">
        <f>HYPERLINK("https://www.philgeps.gov.ph/GEPSNONPILOT/Tender/SplashBidNoticeAbstractUI.aspx?menuIndex=3&amp;refID=7142243&amp;Result=3","7142243")</f>
        <v>0</v>
      </c>
      <c r="B6700" t="s">
        <v>2343</v>
      </c>
      <c r="C6700" t="s">
        <v>10106</v>
      </c>
      <c r="D6700" t="s">
        <v>17973</v>
      </c>
      <c r="E6700" t="s">
        <v>23931</v>
      </c>
      <c r="F6700" t="s">
        <v>30900</v>
      </c>
      <c r="G6700" t="s">
        <v>30908</v>
      </c>
      <c r="H6700" t="s">
        <v>30915</v>
      </c>
      <c r="I6700" t="s">
        <v>30919</v>
      </c>
      <c r="J6700" t="s">
        <v>35358</v>
      </c>
      <c r="K6700" t="s">
        <v>40283</v>
      </c>
      <c r="M6700" t="s">
        <v>43066</v>
      </c>
      <c r="N6700" t="s">
        <v>44759</v>
      </c>
      <c r="O6700" t="s">
        <v>44760</v>
      </c>
      <c r="P6700">
        <v>0</v>
      </c>
      <c r="Q6700">
        <v>0</v>
      </c>
      <c r="R6700" t="s">
        <v>44767</v>
      </c>
      <c r="S6700" t="s">
        <v>44954</v>
      </c>
      <c r="T6700" t="s">
        <v>46533</v>
      </c>
      <c r="U6700" t="s">
        <v>52546</v>
      </c>
      <c r="W6700" t="s">
        <v>43066</v>
      </c>
      <c r="X6700" t="s">
        <v>44768</v>
      </c>
    </row>
    <row r="6701" spans="1:24">
      <c r="A6701">
        <f>HYPERLINK("https://www.philgeps.gov.ph/GEPSNONPILOT/Tender/SplashBidNoticeAbstractUI.aspx?menuIndex=3&amp;refID=7142274&amp;Result=3","7142274")</f>
        <v>0</v>
      </c>
      <c r="B6701" t="s">
        <v>65</v>
      </c>
      <c r="C6701" t="s">
        <v>10107</v>
      </c>
      <c r="D6701" t="s">
        <v>17981</v>
      </c>
      <c r="E6701" t="s">
        <v>23932</v>
      </c>
      <c r="F6701" t="s">
        <v>30900</v>
      </c>
      <c r="G6701" t="s">
        <v>30908</v>
      </c>
      <c r="H6701" t="s">
        <v>30916</v>
      </c>
      <c r="I6701" t="s">
        <v>4108</v>
      </c>
      <c r="J6701" t="s">
        <v>35359</v>
      </c>
      <c r="K6701" t="s">
        <v>40283</v>
      </c>
      <c r="M6701" t="s">
        <v>43067</v>
      </c>
      <c r="N6701" t="s">
        <v>44759</v>
      </c>
      <c r="O6701" t="s">
        <v>44760</v>
      </c>
      <c r="P6701">
        <v>0</v>
      </c>
      <c r="Q6701">
        <v>0</v>
      </c>
      <c r="R6701" t="s">
        <v>44767</v>
      </c>
      <c r="S6701" t="s">
        <v>44954</v>
      </c>
      <c r="T6701" t="s">
        <v>46357</v>
      </c>
      <c r="U6701" t="s">
        <v>52547</v>
      </c>
      <c r="W6701" t="s">
        <v>43067</v>
      </c>
      <c r="X6701" t="s">
        <v>44768</v>
      </c>
    </row>
    <row r="6702" spans="1:24">
      <c r="A6702">
        <f>HYPERLINK("https://www.philgeps.gov.ph/GEPSNONPILOT/Tender/SplashBidNoticeAbstractUI.aspx?menuIndex=3&amp;refID=7142192&amp;Result=3","7142192")</f>
        <v>0</v>
      </c>
      <c r="B6702" t="s">
        <v>2344</v>
      </c>
      <c r="C6702" t="s">
        <v>10108</v>
      </c>
      <c r="D6702" t="s">
        <v>18002</v>
      </c>
      <c r="E6702" t="s">
        <v>23933</v>
      </c>
      <c r="F6702" t="s">
        <v>30900</v>
      </c>
      <c r="G6702" t="s">
        <v>30907</v>
      </c>
      <c r="H6702" t="s">
        <v>30915</v>
      </c>
      <c r="I6702" t="s">
        <v>30919</v>
      </c>
      <c r="J6702" t="s">
        <v>31112</v>
      </c>
      <c r="K6702" t="s">
        <v>40344</v>
      </c>
      <c r="M6702" t="s">
        <v>43068</v>
      </c>
      <c r="N6702" t="s">
        <v>44759</v>
      </c>
      <c r="O6702" t="s">
        <v>44760</v>
      </c>
      <c r="P6702">
        <v>0</v>
      </c>
      <c r="Q6702">
        <v>0</v>
      </c>
      <c r="R6702" t="s">
        <v>44767</v>
      </c>
      <c r="S6702" t="s">
        <v>44954</v>
      </c>
      <c r="T6702" t="s">
        <v>46533</v>
      </c>
      <c r="U6702" t="s">
        <v>52548</v>
      </c>
      <c r="W6702" t="s">
        <v>43068</v>
      </c>
      <c r="X6702" t="s">
        <v>44768</v>
      </c>
    </row>
    <row r="6703" spans="1:24">
      <c r="A6703">
        <f>HYPERLINK("https://www.philgeps.gov.ph/GEPSNONPILOT/Tender/SplashBidNoticeAbstractUI.aspx?menuIndex=3&amp;refID=7142268&amp;Result=3","7142268")</f>
        <v>0</v>
      </c>
      <c r="B6703" t="s">
        <v>2345</v>
      </c>
      <c r="C6703" t="s">
        <v>10109</v>
      </c>
      <c r="D6703" t="s">
        <v>18020</v>
      </c>
      <c r="E6703" t="s">
        <v>18752</v>
      </c>
      <c r="F6703" t="s">
        <v>30904</v>
      </c>
      <c r="G6703" t="s">
        <v>30908</v>
      </c>
      <c r="H6703" t="s">
        <v>30917</v>
      </c>
      <c r="I6703" t="s">
        <v>5830</v>
      </c>
      <c r="J6703" t="s">
        <v>35360</v>
      </c>
      <c r="K6703" t="s">
        <v>40294</v>
      </c>
      <c r="M6703" t="s">
        <v>43069</v>
      </c>
      <c r="N6703" t="s">
        <v>44759</v>
      </c>
      <c r="O6703" t="s">
        <v>44760</v>
      </c>
      <c r="P6703">
        <v>0</v>
      </c>
      <c r="Q6703">
        <v>3</v>
      </c>
      <c r="R6703" t="s">
        <v>44767</v>
      </c>
      <c r="S6703" t="s">
        <v>44954</v>
      </c>
      <c r="T6703" t="s">
        <v>46458</v>
      </c>
      <c r="U6703" t="s">
        <v>52549</v>
      </c>
      <c r="W6703" t="s">
        <v>43069</v>
      </c>
      <c r="X6703" t="s">
        <v>44768</v>
      </c>
    </row>
    <row r="6704" spans="1:24">
      <c r="A6704">
        <f>HYPERLINK("https://www.philgeps.gov.ph/GEPSNONPILOT/Tender/SplashBidNoticeAbstractUI.aspx?menuIndex=3&amp;refID=7142132&amp;Result=3","7142132")</f>
        <v>0</v>
      </c>
      <c r="B6704" t="s">
        <v>48</v>
      </c>
      <c r="C6704" t="s">
        <v>10110</v>
      </c>
      <c r="D6704" t="s">
        <v>17971</v>
      </c>
      <c r="E6704" t="s">
        <v>23934</v>
      </c>
      <c r="F6704" t="s">
        <v>30900</v>
      </c>
      <c r="G6704" t="s">
        <v>30907</v>
      </c>
      <c r="H6704" t="s">
        <v>30915</v>
      </c>
      <c r="I6704" t="s">
        <v>30919</v>
      </c>
      <c r="J6704" t="s">
        <v>31135</v>
      </c>
      <c r="K6704" t="s">
        <v>40286</v>
      </c>
      <c r="M6704" t="s">
        <v>40594</v>
      </c>
      <c r="N6704" t="s">
        <v>44759</v>
      </c>
      <c r="O6704" t="s">
        <v>44760</v>
      </c>
      <c r="P6704">
        <v>0</v>
      </c>
      <c r="Q6704">
        <v>1</v>
      </c>
      <c r="R6704" t="s">
        <v>44767</v>
      </c>
      <c r="S6704" t="s">
        <v>44954</v>
      </c>
      <c r="T6704" t="s">
        <v>46379</v>
      </c>
      <c r="U6704" t="s">
        <v>52502</v>
      </c>
      <c r="W6704" t="s">
        <v>40594</v>
      </c>
      <c r="X6704" t="s">
        <v>44768</v>
      </c>
    </row>
    <row r="6705" spans="1:24">
      <c r="A6705">
        <f>HYPERLINK("https://www.philgeps.gov.ph/GEPSNONPILOT/Tender/SplashBidNoticeAbstractUI.aspx?menuIndex=3&amp;refID=7142273&amp;Result=3","7142273")</f>
        <v>0</v>
      </c>
      <c r="B6705" t="s">
        <v>2330</v>
      </c>
      <c r="C6705" t="s">
        <v>10111</v>
      </c>
      <c r="D6705" t="s">
        <v>17953</v>
      </c>
      <c r="E6705" t="s">
        <v>23935</v>
      </c>
      <c r="F6705" t="s">
        <v>30900</v>
      </c>
      <c r="G6705" t="s">
        <v>30910</v>
      </c>
      <c r="H6705" t="s">
        <v>30916</v>
      </c>
      <c r="I6705" t="s">
        <v>4142</v>
      </c>
      <c r="J6705" t="s">
        <v>35361</v>
      </c>
      <c r="K6705" t="s">
        <v>40289</v>
      </c>
      <c r="M6705" t="s">
        <v>43051</v>
      </c>
      <c r="N6705" t="s">
        <v>44759</v>
      </c>
      <c r="O6705" t="s">
        <v>44760</v>
      </c>
      <c r="P6705">
        <v>0</v>
      </c>
      <c r="Q6705">
        <v>0</v>
      </c>
      <c r="R6705" t="s">
        <v>44767</v>
      </c>
      <c r="S6705" t="s">
        <v>44954</v>
      </c>
      <c r="T6705" t="s">
        <v>46760</v>
      </c>
      <c r="U6705" t="s">
        <v>52550</v>
      </c>
      <c r="V6705" t="s">
        <v>59843</v>
      </c>
      <c r="W6705" t="s">
        <v>43051</v>
      </c>
      <c r="X6705" t="s">
        <v>44768</v>
      </c>
    </row>
    <row r="6706" spans="1:24">
      <c r="A6706">
        <f>HYPERLINK("https://www.philgeps.gov.ph/GEPSNONPILOT/Tender/SplashBidNoticeAbstractUI.aspx?menuIndex=3&amp;refID=7142284&amp;Result=3","7142284")</f>
        <v>0</v>
      </c>
      <c r="B6706" t="s">
        <v>2346</v>
      </c>
      <c r="C6706" t="s">
        <v>10112</v>
      </c>
      <c r="D6706" t="s">
        <v>17976</v>
      </c>
      <c r="E6706" t="s">
        <v>22806</v>
      </c>
      <c r="F6706" t="s">
        <v>30900</v>
      </c>
      <c r="G6706" t="s">
        <v>30907</v>
      </c>
      <c r="H6706" t="s">
        <v>30916</v>
      </c>
      <c r="I6706" t="s">
        <v>31013</v>
      </c>
      <c r="J6706" t="s">
        <v>32324</v>
      </c>
      <c r="K6706" t="s">
        <v>40286</v>
      </c>
      <c r="M6706" t="s">
        <v>43070</v>
      </c>
      <c r="N6706" t="s">
        <v>44759</v>
      </c>
      <c r="O6706" t="s">
        <v>44760</v>
      </c>
      <c r="P6706">
        <v>0</v>
      </c>
      <c r="Q6706">
        <v>3</v>
      </c>
      <c r="R6706" t="s">
        <v>44767</v>
      </c>
      <c r="S6706" t="s">
        <v>44954</v>
      </c>
      <c r="T6706" t="s">
        <v>46689</v>
      </c>
      <c r="U6706" t="s">
        <v>52551</v>
      </c>
      <c r="W6706" t="s">
        <v>43070</v>
      </c>
      <c r="X6706" t="s">
        <v>44768</v>
      </c>
    </row>
    <row r="6707" spans="1:24">
      <c r="A6707">
        <f>HYPERLINK("https://www.philgeps.gov.ph/GEPSNONPILOT/Tender/SplashBidNoticeAbstractUI.aspx?menuIndex=3&amp;refID=7142270&amp;Result=3","7142270")</f>
        <v>0</v>
      </c>
      <c r="B6707" t="s">
        <v>1973</v>
      </c>
      <c r="C6707" t="s">
        <v>10113</v>
      </c>
      <c r="D6707" t="s">
        <v>18012</v>
      </c>
      <c r="E6707" t="s">
        <v>23936</v>
      </c>
      <c r="F6707" t="s">
        <v>30900</v>
      </c>
      <c r="G6707" t="s">
        <v>30907</v>
      </c>
      <c r="H6707" t="s">
        <v>30916</v>
      </c>
      <c r="I6707" t="s">
        <v>4142</v>
      </c>
      <c r="J6707" t="s">
        <v>35362</v>
      </c>
      <c r="K6707" t="s">
        <v>40284</v>
      </c>
      <c r="M6707" t="s">
        <v>42661</v>
      </c>
      <c r="N6707" t="s">
        <v>44759</v>
      </c>
      <c r="O6707" t="s">
        <v>44760</v>
      </c>
      <c r="P6707">
        <v>0</v>
      </c>
      <c r="Q6707">
        <v>0</v>
      </c>
      <c r="R6707" t="s">
        <v>44767</v>
      </c>
      <c r="S6707" t="s">
        <v>44954</v>
      </c>
      <c r="T6707" t="s">
        <v>46443</v>
      </c>
      <c r="U6707" t="s">
        <v>52552</v>
      </c>
      <c r="W6707" t="s">
        <v>42661</v>
      </c>
      <c r="X6707" t="s">
        <v>44768</v>
      </c>
    </row>
    <row r="6708" spans="1:24">
      <c r="A6708">
        <f>HYPERLINK("https://www.philgeps.gov.ph/GEPSNONPILOT/Tender/SplashBidNoticeAbstractUI.aspx?menuIndex=3&amp;refID=7142277&amp;Result=3","7142277")</f>
        <v>0</v>
      </c>
      <c r="B6708" t="s">
        <v>1363</v>
      </c>
      <c r="C6708" t="s">
        <v>10114</v>
      </c>
      <c r="D6708" t="s">
        <v>18018</v>
      </c>
      <c r="E6708" t="s">
        <v>18066</v>
      </c>
      <c r="F6708" t="s">
        <v>30900</v>
      </c>
      <c r="G6708" t="s">
        <v>30907</v>
      </c>
      <c r="H6708" t="s">
        <v>30915</v>
      </c>
      <c r="I6708" t="s">
        <v>30919</v>
      </c>
      <c r="J6708" t="s">
        <v>31096</v>
      </c>
      <c r="K6708" t="s">
        <v>40326</v>
      </c>
      <c r="M6708" t="s">
        <v>41985</v>
      </c>
      <c r="N6708" t="s">
        <v>44759</v>
      </c>
      <c r="O6708" t="s">
        <v>44760</v>
      </c>
      <c r="P6708">
        <v>0</v>
      </c>
      <c r="Q6708">
        <v>0</v>
      </c>
      <c r="R6708" t="s">
        <v>44767</v>
      </c>
      <c r="S6708" t="s">
        <v>44954</v>
      </c>
      <c r="T6708" t="s">
        <v>46689</v>
      </c>
      <c r="U6708" t="s">
        <v>52553</v>
      </c>
      <c r="V6708" t="s">
        <v>59481</v>
      </c>
      <c r="W6708" t="s">
        <v>41985</v>
      </c>
      <c r="X6708" t="s">
        <v>44768</v>
      </c>
    </row>
    <row r="6709" spans="1:24">
      <c r="A6709">
        <f>HYPERLINK("https://www.philgeps.gov.ph/GEPSNONPILOT/Tender/SplashBidNoticeAbstractUI.aspx?menuIndex=3&amp;refID=7142266&amp;Result=3","7142266")</f>
        <v>0</v>
      </c>
      <c r="B6709" t="s">
        <v>2347</v>
      </c>
      <c r="C6709" t="s">
        <v>10115</v>
      </c>
      <c r="D6709" t="s">
        <v>17968</v>
      </c>
      <c r="E6709" t="s">
        <v>18094</v>
      </c>
      <c r="F6709" t="s">
        <v>30900</v>
      </c>
      <c r="G6709" t="s">
        <v>30908</v>
      </c>
      <c r="H6709" t="s">
        <v>30915</v>
      </c>
      <c r="I6709" t="s">
        <v>30957</v>
      </c>
      <c r="J6709" t="s">
        <v>31204</v>
      </c>
      <c r="K6709" t="s">
        <v>40289</v>
      </c>
      <c r="M6709" t="s">
        <v>43071</v>
      </c>
      <c r="N6709" t="s">
        <v>44759</v>
      </c>
      <c r="O6709" t="s">
        <v>44760</v>
      </c>
      <c r="P6709">
        <v>0</v>
      </c>
      <c r="Q6709">
        <v>0</v>
      </c>
      <c r="R6709" t="s">
        <v>44767</v>
      </c>
      <c r="S6709" t="s">
        <v>44954</v>
      </c>
      <c r="T6709" t="s">
        <v>46374</v>
      </c>
      <c r="U6709" t="s">
        <v>52554</v>
      </c>
      <c r="W6709" t="s">
        <v>43071</v>
      </c>
      <c r="X6709" t="s">
        <v>44768</v>
      </c>
    </row>
    <row r="6710" spans="1:24">
      <c r="A6710">
        <f>HYPERLINK("https://www.philgeps.gov.ph/GEPSNONPILOT/Tender/SplashBidNoticeAbstractUI.aspx?menuIndex=3&amp;refID=7142275&amp;Result=3","7142275")</f>
        <v>0</v>
      </c>
      <c r="B6710" t="s">
        <v>2348</v>
      </c>
      <c r="C6710" t="s">
        <v>10116</v>
      </c>
      <c r="D6710" t="s">
        <v>17952</v>
      </c>
      <c r="E6710" t="s">
        <v>23937</v>
      </c>
      <c r="F6710" t="s">
        <v>30900</v>
      </c>
      <c r="G6710" t="s">
        <v>30909</v>
      </c>
      <c r="H6710" t="s">
        <v>30916</v>
      </c>
      <c r="I6710" t="s">
        <v>30927</v>
      </c>
      <c r="J6710" t="s">
        <v>35363</v>
      </c>
      <c r="K6710" t="s">
        <v>40288</v>
      </c>
      <c r="M6710" t="s">
        <v>43072</v>
      </c>
      <c r="N6710" t="s">
        <v>44759</v>
      </c>
      <c r="O6710" t="s">
        <v>44760</v>
      </c>
      <c r="P6710">
        <v>0</v>
      </c>
      <c r="Q6710">
        <v>1</v>
      </c>
      <c r="R6710" t="s">
        <v>44767</v>
      </c>
      <c r="S6710" t="s">
        <v>44954</v>
      </c>
      <c r="T6710" t="s">
        <v>46662</v>
      </c>
      <c r="U6710" t="s">
        <v>52555</v>
      </c>
      <c r="W6710" t="s">
        <v>43072</v>
      </c>
      <c r="X6710" t="s">
        <v>44768</v>
      </c>
    </row>
    <row r="6711" spans="1:24">
      <c r="A6711">
        <f>HYPERLINK("https://www.philgeps.gov.ph/GEPSNONPILOT/Tender/SplashBidNoticeAbstractUI.aspx?menuIndex=3&amp;refID=7142264&amp;Result=3","7142264")</f>
        <v>0</v>
      </c>
      <c r="B6711" t="s">
        <v>2349</v>
      </c>
      <c r="C6711" t="s">
        <v>10117</v>
      </c>
      <c r="D6711" t="s">
        <v>17964</v>
      </c>
      <c r="E6711" t="s">
        <v>23938</v>
      </c>
      <c r="F6711" t="s">
        <v>30900</v>
      </c>
      <c r="G6711" t="s">
        <v>30907</v>
      </c>
      <c r="H6711" t="s">
        <v>30916</v>
      </c>
      <c r="I6711" t="s">
        <v>30956</v>
      </c>
      <c r="J6711" t="s">
        <v>31391</v>
      </c>
      <c r="K6711" t="s">
        <v>40293</v>
      </c>
      <c r="M6711" t="s">
        <v>43073</v>
      </c>
      <c r="N6711" t="s">
        <v>44759</v>
      </c>
      <c r="O6711" t="s">
        <v>44760</v>
      </c>
      <c r="P6711">
        <v>0</v>
      </c>
      <c r="Q6711">
        <v>0</v>
      </c>
      <c r="R6711" t="s">
        <v>44767</v>
      </c>
      <c r="S6711" t="s">
        <v>44954</v>
      </c>
      <c r="T6711" t="s">
        <v>46411</v>
      </c>
      <c r="U6711" t="s">
        <v>52556</v>
      </c>
      <c r="V6711" t="s">
        <v>59844</v>
      </c>
      <c r="W6711" t="s">
        <v>43073</v>
      </c>
      <c r="X6711" t="s">
        <v>44768</v>
      </c>
    </row>
    <row r="6712" spans="1:24">
      <c r="A6712">
        <f>HYPERLINK("https://www.philgeps.gov.ph/GEPSNONPILOT/Tender/SplashBidNoticeAbstractUI.aspx?menuIndex=3&amp;refID=7142263&amp;Result=3","7142263")</f>
        <v>0</v>
      </c>
      <c r="B6712" t="s">
        <v>2310</v>
      </c>
      <c r="C6712" t="s">
        <v>10118</v>
      </c>
      <c r="D6712" t="s">
        <v>17952</v>
      </c>
      <c r="E6712" t="s">
        <v>23939</v>
      </c>
      <c r="F6712" t="s">
        <v>30900</v>
      </c>
      <c r="G6712" t="s">
        <v>30907</v>
      </c>
      <c r="H6712" t="s">
        <v>30915</v>
      </c>
      <c r="I6712" t="s">
        <v>30919</v>
      </c>
      <c r="J6712" t="s">
        <v>31297</v>
      </c>
      <c r="K6712" t="s">
        <v>40335</v>
      </c>
      <c r="M6712" t="s">
        <v>43028</v>
      </c>
      <c r="N6712" t="s">
        <v>44759</v>
      </c>
      <c r="O6712" t="s">
        <v>44760</v>
      </c>
      <c r="P6712">
        <v>0</v>
      </c>
      <c r="Q6712">
        <v>0</v>
      </c>
      <c r="R6712" t="s">
        <v>44767</v>
      </c>
      <c r="S6712" t="s">
        <v>44954</v>
      </c>
      <c r="T6712" t="s">
        <v>46689</v>
      </c>
      <c r="U6712" t="s">
        <v>52557</v>
      </c>
      <c r="W6712" t="s">
        <v>43028</v>
      </c>
      <c r="X6712" t="s">
        <v>44768</v>
      </c>
    </row>
    <row r="6713" spans="1:24">
      <c r="A6713">
        <f>HYPERLINK("https://www.philgeps.gov.ph/GEPSNONPILOT/Tender/SplashBidNoticeAbstractUI.aspx?menuIndex=3&amp;refID=7142259&amp;Result=3","7142259")</f>
        <v>0</v>
      </c>
      <c r="B6713" t="s">
        <v>284</v>
      </c>
      <c r="C6713" t="s">
        <v>4269</v>
      </c>
      <c r="D6713" t="s">
        <v>18009</v>
      </c>
      <c r="E6713" t="s">
        <v>23940</v>
      </c>
      <c r="F6713" t="s">
        <v>30900</v>
      </c>
      <c r="G6713" t="s">
        <v>30908</v>
      </c>
      <c r="H6713" t="s">
        <v>30916</v>
      </c>
      <c r="I6713" t="s">
        <v>4545</v>
      </c>
      <c r="J6713" t="s">
        <v>31204</v>
      </c>
      <c r="K6713" t="s">
        <v>40287</v>
      </c>
      <c r="M6713" t="s">
        <v>40832</v>
      </c>
      <c r="N6713" t="s">
        <v>44759</v>
      </c>
      <c r="O6713" t="s">
        <v>44760</v>
      </c>
      <c r="P6713">
        <v>0</v>
      </c>
      <c r="Q6713">
        <v>1</v>
      </c>
      <c r="R6713" t="s">
        <v>44767</v>
      </c>
      <c r="S6713" t="s">
        <v>44954</v>
      </c>
      <c r="T6713" t="s">
        <v>46581</v>
      </c>
      <c r="U6713" t="s">
        <v>52558</v>
      </c>
      <c r="W6713" t="s">
        <v>40832</v>
      </c>
      <c r="X6713" t="s">
        <v>44768</v>
      </c>
    </row>
    <row r="6714" spans="1:24">
      <c r="A6714">
        <f>HYPERLINK("https://www.philgeps.gov.ph/GEPSNONPILOT/Tender/SplashBidNoticeAbstractUI.aspx?menuIndex=3&amp;refID=7142256&amp;Result=3","7142256")</f>
        <v>0</v>
      </c>
      <c r="B6714" t="s">
        <v>56</v>
      </c>
      <c r="C6714" t="s">
        <v>10119</v>
      </c>
      <c r="D6714" t="s">
        <v>17952</v>
      </c>
      <c r="E6714" t="s">
        <v>23941</v>
      </c>
      <c r="F6714" t="s">
        <v>30900</v>
      </c>
      <c r="G6714" t="s">
        <v>30907</v>
      </c>
      <c r="H6714" t="s">
        <v>30916</v>
      </c>
      <c r="I6714" t="s">
        <v>4142</v>
      </c>
      <c r="J6714" t="s">
        <v>35364</v>
      </c>
      <c r="K6714" t="s">
        <v>40294</v>
      </c>
      <c r="M6714" t="s">
        <v>43052</v>
      </c>
      <c r="N6714" t="s">
        <v>44759</v>
      </c>
      <c r="O6714" t="s">
        <v>44760</v>
      </c>
      <c r="P6714">
        <v>0</v>
      </c>
      <c r="Q6714">
        <v>0</v>
      </c>
      <c r="R6714" t="s">
        <v>44767</v>
      </c>
      <c r="S6714" t="s">
        <v>44954</v>
      </c>
      <c r="T6714" t="s">
        <v>46383</v>
      </c>
      <c r="U6714" t="s">
        <v>52559</v>
      </c>
      <c r="V6714" t="s">
        <v>59101</v>
      </c>
      <c r="W6714" t="s">
        <v>43052</v>
      </c>
      <c r="X6714" t="s">
        <v>44768</v>
      </c>
    </row>
    <row r="6715" spans="1:24">
      <c r="A6715">
        <f>HYPERLINK("https://www.philgeps.gov.ph/GEPSNONPILOT/Tender/SplashBidNoticeAbstractUI.aspx?menuIndex=3&amp;refID=7142253&amp;Result=3","7142253")</f>
        <v>0</v>
      </c>
      <c r="B6715" t="s">
        <v>1361</v>
      </c>
      <c r="C6715" t="s">
        <v>10120</v>
      </c>
      <c r="D6715" t="s">
        <v>17985</v>
      </c>
      <c r="E6715" t="s">
        <v>22457</v>
      </c>
      <c r="F6715" t="s">
        <v>30900</v>
      </c>
      <c r="G6715" t="s">
        <v>30909</v>
      </c>
      <c r="H6715" t="s">
        <v>30916</v>
      </c>
      <c r="I6715" t="s">
        <v>8123</v>
      </c>
      <c r="J6715" t="s">
        <v>35365</v>
      </c>
      <c r="K6715" t="s">
        <v>40283</v>
      </c>
      <c r="M6715" t="s">
        <v>41983</v>
      </c>
      <c r="N6715" t="s">
        <v>44759</v>
      </c>
      <c r="O6715" t="s">
        <v>44760</v>
      </c>
      <c r="P6715">
        <v>0</v>
      </c>
      <c r="Q6715">
        <v>0</v>
      </c>
      <c r="R6715" t="s">
        <v>44767</v>
      </c>
      <c r="S6715" t="s">
        <v>44954</v>
      </c>
      <c r="T6715" t="s">
        <v>46607</v>
      </c>
      <c r="U6715" t="s">
        <v>52560</v>
      </c>
      <c r="W6715" t="s">
        <v>41983</v>
      </c>
      <c r="X6715" t="s">
        <v>44768</v>
      </c>
    </row>
    <row r="6716" spans="1:24">
      <c r="A6716">
        <f>HYPERLINK("https://www.philgeps.gov.ph/GEPSNONPILOT/Tender/SplashBidNoticeAbstractUI.aspx?menuIndex=3&amp;refID=7142251&amp;Result=3","7142251")</f>
        <v>0</v>
      </c>
      <c r="B6716" t="s">
        <v>2350</v>
      </c>
      <c r="C6716" t="s">
        <v>10121</v>
      </c>
      <c r="D6716" t="s">
        <v>17975</v>
      </c>
      <c r="E6716" t="s">
        <v>23942</v>
      </c>
      <c r="F6716" t="s">
        <v>30900</v>
      </c>
      <c r="G6716" t="s">
        <v>30907</v>
      </c>
      <c r="H6716" t="s">
        <v>30916</v>
      </c>
      <c r="I6716" t="s">
        <v>8123</v>
      </c>
      <c r="J6716" t="s">
        <v>35366</v>
      </c>
      <c r="K6716" t="s">
        <v>40283</v>
      </c>
      <c r="M6716" t="s">
        <v>43074</v>
      </c>
      <c r="N6716" t="s">
        <v>44759</v>
      </c>
      <c r="O6716" t="s">
        <v>44760</v>
      </c>
      <c r="P6716">
        <v>0</v>
      </c>
      <c r="Q6716">
        <v>0</v>
      </c>
      <c r="R6716" t="s">
        <v>44767</v>
      </c>
      <c r="S6716" t="s">
        <v>44954</v>
      </c>
      <c r="T6716" t="s">
        <v>46421</v>
      </c>
      <c r="U6716" t="s">
        <v>52561</v>
      </c>
      <c r="W6716" t="s">
        <v>43074</v>
      </c>
      <c r="X6716" t="s">
        <v>44768</v>
      </c>
    </row>
    <row r="6717" spans="1:24">
      <c r="A6717">
        <f>HYPERLINK("https://www.philgeps.gov.ph/GEPSNONPILOT/Tender/SplashBidNoticeAbstractUI.aspx?menuIndex=3&amp;refID=7142198&amp;Result=3","7142198")</f>
        <v>0</v>
      </c>
      <c r="B6717" t="s">
        <v>2330</v>
      </c>
      <c r="C6717" t="s">
        <v>10122</v>
      </c>
      <c r="D6717" t="s">
        <v>17953</v>
      </c>
      <c r="E6717" t="s">
        <v>23943</v>
      </c>
      <c r="F6717" t="s">
        <v>30900</v>
      </c>
      <c r="G6717" t="s">
        <v>30910</v>
      </c>
      <c r="H6717" t="s">
        <v>30916</v>
      </c>
      <c r="I6717" t="s">
        <v>4142</v>
      </c>
      <c r="J6717" t="s">
        <v>31522</v>
      </c>
      <c r="K6717" t="s">
        <v>40289</v>
      </c>
      <c r="M6717" t="s">
        <v>43051</v>
      </c>
      <c r="N6717" t="s">
        <v>44759</v>
      </c>
      <c r="O6717" t="s">
        <v>44760</v>
      </c>
      <c r="P6717">
        <v>0</v>
      </c>
      <c r="Q6717">
        <v>0</v>
      </c>
      <c r="R6717" t="s">
        <v>44767</v>
      </c>
      <c r="S6717" t="s">
        <v>44954</v>
      </c>
      <c r="T6717" t="s">
        <v>46760</v>
      </c>
      <c r="U6717" t="s">
        <v>52562</v>
      </c>
      <c r="V6717" t="s">
        <v>59843</v>
      </c>
      <c r="W6717" t="s">
        <v>43051</v>
      </c>
      <c r="X6717" t="s">
        <v>44768</v>
      </c>
    </row>
    <row r="6718" spans="1:24">
      <c r="A6718">
        <f>HYPERLINK("https://www.philgeps.gov.ph/GEPSNONPILOT/Tender/SplashBidNoticeAbstractUI.aspx?menuIndex=3&amp;refID=7142250&amp;Result=3","7142250")</f>
        <v>0</v>
      </c>
      <c r="B6718" t="s">
        <v>279</v>
      </c>
      <c r="C6718" t="s">
        <v>10123</v>
      </c>
      <c r="D6718" t="s">
        <v>17962</v>
      </c>
      <c r="E6718" t="s">
        <v>23944</v>
      </c>
      <c r="F6718" t="s">
        <v>30900</v>
      </c>
      <c r="G6718" t="s">
        <v>30907</v>
      </c>
      <c r="H6718" t="s">
        <v>30916</v>
      </c>
      <c r="I6718" t="s">
        <v>30921</v>
      </c>
      <c r="J6718" t="s">
        <v>35367</v>
      </c>
      <c r="K6718" t="s">
        <v>40283</v>
      </c>
      <c r="M6718" t="s">
        <v>40826</v>
      </c>
      <c r="N6718" t="s">
        <v>44759</v>
      </c>
      <c r="O6718" t="s">
        <v>44760</v>
      </c>
      <c r="P6718">
        <v>0</v>
      </c>
      <c r="Q6718">
        <v>2</v>
      </c>
      <c r="R6718" t="s">
        <v>44767</v>
      </c>
      <c r="S6718" t="s">
        <v>44954</v>
      </c>
      <c r="T6718" t="s">
        <v>46533</v>
      </c>
      <c r="U6718" t="s">
        <v>52563</v>
      </c>
      <c r="W6718" t="s">
        <v>40826</v>
      </c>
      <c r="X6718" t="s">
        <v>44768</v>
      </c>
    </row>
    <row r="6719" spans="1:24">
      <c r="A6719">
        <f>HYPERLINK("https://www.philgeps.gov.ph/GEPSNONPILOT/Tender/SplashBidNoticeAbstractUI.aspx?menuIndex=3&amp;refID=7142283&amp;Result=3","7142283")</f>
        <v>0</v>
      </c>
      <c r="B6719" t="s">
        <v>2301</v>
      </c>
      <c r="C6719" t="s">
        <v>10124</v>
      </c>
      <c r="D6719" t="s">
        <v>18004</v>
      </c>
      <c r="E6719" t="s">
        <v>23945</v>
      </c>
      <c r="F6719" t="s">
        <v>30900</v>
      </c>
      <c r="G6719" t="s">
        <v>30907</v>
      </c>
      <c r="H6719" t="s">
        <v>30916</v>
      </c>
      <c r="I6719" t="s">
        <v>4545</v>
      </c>
      <c r="J6719" t="s">
        <v>31243</v>
      </c>
      <c r="K6719" t="s">
        <v>40283</v>
      </c>
      <c r="M6719" t="s">
        <v>43016</v>
      </c>
      <c r="N6719" t="s">
        <v>44759</v>
      </c>
      <c r="O6719" t="s">
        <v>44760</v>
      </c>
      <c r="P6719">
        <v>0</v>
      </c>
      <c r="Q6719">
        <v>0</v>
      </c>
      <c r="R6719" t="s">
        <v>44767</v>
      </c>
      <c r="S6719" t="s">
        <v>44954</v>
      </c>
      <c r="T6719" t="s">
        <v>46533</v>
      </c>
      <c r="U6719" t="s">
        <v>52564</v>
      </c>
      <c r="W6719" t="s">
        <v>43016</v>
      </c>
      <c r="X6719" t="s">
        <v>44768</v>
      </c>
    </row>
    <row r="6720" spans="1:24">
      <c r="A6720">
        <f>HYPERLINK("https://www.philgeps.gov.ph/GEPSNONPILOT/Tender/SplashBidNoticeAbstractUI.aspx?menuIndex=3&amp;refID=7142267&amp;Result=3","7142267")</f>
        <v>0</v>
      </c>
      <c r="B6720" t="s">
        <v>2350</v>
      </c>
      <c r="C6720" t="s">
        <v>10125</v>
      </c>
      <c r="D6720" t="s">
        <v>17975</v>
      </c>
      <c r="E6720" t="s">
        <v>23946</v>
      </c>
      <c r="F6720" t="s">
        <v>30900</v>
      </c>
      <c r="G6720" t="s">
        <v>30907</v>
      </c>
      <c r="H6720" t="s">
        <v>30916</v>
      </c>
      <c r="I6720" t="s">
        <v>8123</v>
      </c>
      <c r="J6720" t="s">
        <v>35368</v>
      </c>
      <c r="K6720" t="s">
        <v>40283</v>
      </c>
      <c r="M6720" t="s">
        <v>43074</v>
      </c>
      <c r="N6720" t="s">
        <v>44759</v>
      </c>
      <c r="O6720" t="s">
        <v>44760</v>
      </c>
      <c r="P6720">
        <v>0</v>
      </c>
      <c r="Q6720">
        <v>0</v>
      </c>
      <c r="R6720" t="s">
        <v>44767</v>
      </c>
      <c r="S6720" t="s">
        <v>44954</v>
      </c>
      <c r="T6720" t="s">
        <v>46421</v>
      </c>
      <c r="U6720" t="s">
        <v>52565</v>
      </c>
      <c r="W6720" t="s">
        <v>43074</v>
      </c>
      <c r="X6720" t="s">
        <v>44768</v>
      </c>
    </row>
    <row r="6721" spans="1:24">
      <c r="A6721">
        <f>HYPERLINK("https://www.philgeps.gov.ph/GEPSNONPILOT/Tender/SplashBidNoticeAbstractUI.aspx?menuIndex=3&amp;refID=7142285&amp;Result=3","7142285")</f>
        <v>0</v>
      </c>
      <c r="B6721" t="s">
        <v>2350</v>
      </c>
      <c r="C6721" t="s">
        <v>10126</v>
      </c>
      <c r="D6721" t="s">
        <v>17975</v>
      </c>
      <c r="E6721" t="s">
        <v>23947</v>
      </c>
      <c r="F6721" t="s">
        <v>30900</v>
      </c>
      <c r="G6721" t="s">
        <v>30907</v>
      </c>
      <c r="H6721" t="s">
        <v>30916</v>
      </c>
      <c r="I6721" t="s">
        <v>8123</v>
      </c>
      <c r="J6721" t="s">
        <v>35369</v>
      </c>
      <c r="K6721" t="s">
        <v>40283</v>
      </c>
      <c r="M6721" t="s">
        <v>43074</v>
      </c>
      <c r="N6721" t="s">
        <v>44759</v>
      </c>
      <c r="O6721" t="s">
        <v>44760</v>
      </c>
      <c r="P6721">
        <v>0</v>
      </c>
      <c r="Q6721">
        <v>0</v>
      </c>
      <c r="R6721" t="s">
        <v>44767</v>
      </c>
      <c r="S6721" t="s">
        <v>44954</v>
      </c>
      <c r="T6721" t="s">
        <v>46421</v>
      </c>
      <c r="U6721" t="s">
        <v>52566</v>
      </c>
      <c r="W6721" t="s">
        <v>43074</v>
      </c>
      <c r="X6721" t="s">
        <v>44768</v>
      </c>
    </row>
    <row r="6722" spans="1:24">
      <c r="A6722">
        <f>HYPERLINK("https://www.philgeps.gov.ph/GEPSNONPILOT/Tender/SplashBidNoticeAbstractUI.aspx?menuIndex=3&amp;refID=7142305&amp;Result=3","7142305")</f>
        <v>0</v>
      </c>
      <c r="B6722" t="s">
        <v>2351</v>
      </c>
      <c r="C6722" t="s">
        <v>10127</v>
      </c>
      <c r="D6722" t="s">
        <v>17953</v>
      </c>
      <c r="E6722" t="s">
        <v>23948</v>
      </c>
      <c r="F6722" t="s">
        <v>30900</v>
      </c>
      <c r="G6722" t="s">
        <v>30908</v>
      </c>
      <c r="H6722" t="s">
        <v>30916</v>
      </c>
      <c r="I6722" t="s">
        <v>30937</v>
      </c>
      <c r="J6722" t="s">
        <v>31049</v>
      </c>
      <c r="K6722" t="s">
        <v>40284</v>
      </c>
      <c r="M6722" t="s">
        <v>43075</v>
      </c>
      <c r="N6722" t="s">
        <v>44759</v>
      </c>
      <c r="O6722" t="s">
        <v>44760</v>
      </c>
      <c r="P6722">
        <v>0</v>
      </c>
      <c r="Q6722">
        <v>0</v>
      </c>
      <c r="R6722" t="s">
        <v>44767</v>
      </c>
      <c r="S6722" t="s">
        <v>44954</v>
      </c>
      <c r="T6722" t="s">
        <v>46409</v>
      </c>
      <c r="U6722" t="s">
        <v>52567</v>
      </c>
      <c r="W6722" t="s">
        <v>43075</v>
      </c>
      <c r="X6722" t="s">
        <v>44768</v>
      </c>
    </row>
    <row r="6723" spans="1:24">
      <c r="A6723">
        <f>HYPERLINK("https://www.philgeps.gov.ph/GEPSNONPILOT/Tender/SplashBidNoticeAbstractUI.aspx?menuIndex=3&amp;refID=7142301&amp;Result=3","7142301")</f>
        <v>0</v>
      </c>
      <c r="B6723" t="s">
        <v>2352</v>
      </c>
      <c r="C6723" t="s">
        <v>10128</v>
      </c>
      <c r="D6723" t="s">
        <v>17980</v>
      </c>
      <c r="E6723" t="s">
        <v>23949</v>
      </c>
      <c r="F6723" t="s">
        <v>30900</v>
      </c>
      <c r="G6723" t="s">
        <v>30907</v>
      </c>
      <c r="H6723" t="s">
        <v>30915</v>
      </c>
      <c r="I6723" t="s">
        <v>30919</v>
      </c>
      <c r="J6723" t="s">
        <v>31152</v>
      </c>
      <c r="K6723" t="s">
        <v>40294</v>
      </c>
      <c r="M6723" t="s">
        <v>43076</v>
      </c>
      <c r="N6723" t="s">
        <v>44759</v>
      </c>
      <c r="O6723" t="s">
        <v>44760</v>
      </c>
      <c r="P6723">
        <v>0</v>
      </c>
      <c r="Q6723">
        <v>2</v>
      </c>
      <c r="R6723" t="s">
        <v>44767</v>
      </c>
      <c r="S6723" t="s">
        <v>44954</v>
      </c>
      <c r="T6723" t="s">
        <v>46689</v>
      </c>
      <c r="U6723" t="s">
        <v>52568</v>
      </c>
      <c r="W6723" t="s">
        <v>43076</v>
      </c>
      <c r="X6723" t="s">
        <v>44768</v>
      </c>
    </row>
    <row r="6724" spans="1:24">
      <c r="A6724">
        <f>HYPERLINK("https://www.philgeps.gov.ph/GEPSNONPILOT/Tender/SplashBidNoticeAbstractUI.aspx?menuIndex=3&amp;refID=7142299&amp;Result=3","7142299")</f>
        <v>0</v>
      </c>
      <c r="B6724" t="s">
        <v>2353</v>
      </c>
      <c r="C6724" t="s">
        <v>10129</v>
      </c>
      <c r="D6724" t="s">
        <v>17972</v>
      </c>
      <c r="E6724" t="s">
        <v>22344</v>
      </c>
      <c r="F6724" t="s">
        <v>30900</v>
      </c>
      <c r="G6724" t="s">
        <v>30907</v>
      </c>
      <c r="H6724" t="s">
        <v>30916</v>
      </c>
      <c r="I6724" t="s">
        <v>8123</v>
      </c>
      <c r="J6724" t="s">
        <v>35370</v>
      </c>
      <c r="K6724" t="s">
        <v>40288</v>
      </c>
      <c r="M6724" t="s">
        <v>43077</v>
      </c>
      <c r="N6724" t="s">
        <v>44759</v>
      </c>
      <c r="O6724" t="s">
        <v>44760</v>
      </c>
      <c r="P6724">
        <v>0</v>
      </c>
      <c r="Q6724">
        <v>0</v>
      </c>
      <c r="R6724" t="s">
        <v>44767</v>
      </c>
      <c r="S6724" t="s">
        <v>44954</v>
      </c>
      <c r="T6724" t="s">
        <v>46409</v>
      </c>
      <c r="U6724" t="s">
        <v>52569</v>
      </c>
      <c r="W6724" t="s">
        <v>43077</v>
      </c>
      <c r="X6724" t="s">
        <v>44768</v>
      </c>
    </row>
    <row r="6725" spans="1:24">
      <c r="A6725">
        <f>HYPERLINK("https://www.philgeps.gov.ph/GEPSNONPILOT/Tender/SplashBidNoticeAbstractUI.aspx?menuIndex=3&amp;refID=7142292&amp;Result=3","7142292")</f>
        <v>0</v>
      </c>
      <c r="B6725" t="s">
        <v>2354</v>
      </c>
      <c r="C6725" t="s">
        <v>10130</v>
      </c>
      <c r="D6725" t="s">
        <v>18016</v>
      </c>
      <c r="E6725" t="s">
        <v>23950</v>
      </c>
      <c r="F6725" t="s">
        <v>30900</v>
      </c>
      <c r="G6725" t="s">
        <v>30907</v>
      </c>
      <c r="H6725" t="s">
        <v>30916</v>
      </c>
      <c r="I6725" t="s">
        <v>8123</v>
      </c>
      <c r="J6725" t="s">
        <v>35371</v>
      </c>
      <c r="K6725" t="s">
        <v>40287</v>
      </c>
      <c r="M6725" t="s">
        <v>43078</v>
      </c>
      <c r="N6725" t="s">
        <v>44759</v>
      </c>
      <c r="O6725" t="s">
        <v>44760</v>
      </c>
      <c r="P6725">
        <v>0</v>
      </c>
      <c r="Q6725">
        <v>0</v>
      </c>
      <c r="R6725" t="s">
        <v>44767</v>
      </c>
      <c r="S6725" t="s">
        <v>44954</v>
      </c>
      <c r="T6725" t="s">
        <v>46410</v>
      </c>
      <c r="U6725" t="s">
        <v>52570</v>
      </c>
      <c r="W6725" t="s">
        <v>43078</v>
      </c>
      <c r="X6725" t="s">
        <v>44768</v>
      </c>
    </row>
    <row r="6726" spans="1:24">
      <c r="A6726">
        <f>HYPERLINK("https://www.philgeps.gov.ph/GEPSNONPILOT/Tender/SplashBidNoticeAbstractUI.aspx?menuIndex=3&amp;refID=7142247&amp;Result=3","7142247")</f>
        <v>0</v>
      </c>
      <c r="B6726" t="s">
        <v>2355</v>
      </c>
      <c r="C6726" t="s">
        <v>10131</v>
      </c>
      <c r="D6726" t="s">
        <v>17985</v>
      </c>
      <c r="E6726" t="s">
        <v>19164</v>
      </c>
      <c r="F6726" t="s">
        <v>30900</v>
      </c>
      <c r="G6726" t="s">
        <v>30908</v>
      </c>
      <c r="H6726" t="s">
        <v>30916</v>
      </c>
      <c r="I6726" t="s">
        <v>30995</v>
      </c>
      <c r="J6726" t="s">
        <v>33189</v>
      </c>
      <c r="K6726" t="s">
        <v>40332</v>
      </c>
      <c r="M6726" t="s">
        <v>43079</v>
      </c>
      <c r="N6726" t="s">
        <v>44759</v>
      </c>
      <c r="O6726" t="s">
        <v>44760</v>
      </c>
      <c r="P6726">
        <v>0</v>
      </c>
      <c r="Q6726">
        <v>1</v>
      </c>
      <c r="R6726" t="s">
        <v>44767</v>
      </c>
      <c r="S6726" t="s">
        <v>44954</v>
      </c>
      <c r="T6726" t="s">
        <v>46623</v>
      </c>
      <c r="U6726" t="s">
        <v>52571</v>
      </c>
      <c r="W6726" t="s">
        <v>43079</v>
      </c>
      <c r="X6726" t="s">
        <v>44768</v>
      </c>
    </row>
    <row r="6727" spans="1:24">
      <c r="A6727">
        <f>HYPERLINK("https://www.philgeps.gov.ph/GEPSNONPILOT/Tender/SplashBidNoticeAbstractUI.aspx?menuIndex=3&amp;refID=7142308&amp;Result=3","7142308")</f>
        <v>0</v>
      </c>
      <c r="B6727" t="s">
        <v>176</v>
      </c>
      <c r="C6727" t="s">
        <v>10132</v>
      </c>
      <c r="D6727" t="s">
        <v>18012</v>
      </c>
      <c r="E6727" t="s">
        <v>23951</v>
      </c>
      <c r="F6727" t="s">
        <v>30900</v>
      </c>
      <c r="G6727" t="s">
        <v>30907</v>
      </c>
      <c r="H6727" t="s">
        <v>30916</v>
      </c>
      <c r="I6727" t="s">
        <v>5501</v>
      </c>
      <c r="J6727" t="s">
        <v>35372</v>
      </c>
      <c r="K6727" t="s">
        <v>40289</v>
      </c>
      <c r="M6727" t="s">
        <v>40723</v>
      </c>
      <c r="N6727" t="s">
        <v>44759</v>
      </c>
      <c r="O6727" t="s">
        <v>44760</v>
      </c>
      <c r="P6727">
        <v>0</v>
      </c>
      <c r="Q6727">
        <v>0</v>
      </c>
      <c r="R6727" t="s">
        <v>44767</v>
      </c>
      <c r="S6727" t="s">
        <v>44954</v>
      </c>
      <c r="T6727" t="s">
        <v>46488</v>
      </c>
      <c r="U6727" t="s">
        <v>52572</v>
      </c>
      <c r="W6727" t="s">
        <v>40723</v>
      </c>
      <c r="X6727" t="s">
        <v>44768</v>
      </c>
    </row>
    <row r="6728" spans="1:24">
      <c r="A6728">
        <f>HYPERLINK("https://www.philgeps.gov.ph/GEPSNONPILOT/Tender/SplashBidNoticeAbstractUI.aspx?menuIndex=3&amp;refID=7142289&amp;Result=3","7142289")</f>
        <v>0</v>
      </c>
      <c r="B6728" t="s">
        <v>2310</v>
      </c>
      <c r="C6728" t="s">
        <v>10133</v>
      </c>
      <c r="D6728" t="s">
        <v>17952</v>
      </c>
      <c r="E6728" t="s">
        <v>23952</v>
      </c>
      <c r="F6728" t="s">
        <v>30900</v>
      </c>
      <c r="G6728" t="s">
        <v>30907</v>
      </c>
      <c r="H6728" t="s">
        <v>30915</v>
      </c>
      <c r="I6728" t="s">
        <v>30919</v>
      </c>
      <c r="J6728" t="s">
        <v>31094</v>
      </c>
      <c r="K6728" t="s">
        <v>40295</v>
      </c>
      <c r="M6728" t="s">
        <v>43028</v>
      </c>
      <c r="N6728" t="s">
        <v>44759</v>
      </c>
      <c r="O6728" t="s">
        <v>44760</v>
      </c>
      <c r="P6728">
        <v>0</v>
      </c>
      <c r="Q6728">
        <v>0</v>
      </c>
      <c r="R6728" t="s">
        <v>44767</v>
      </c>
      <c r="S6728" t="s">
        <v>44954</v>
      </c>
      <c r="T6728" t="s">
        <v>46524</v>
      </c>
      <c r="U6728" t="s">
        <v>52573</v>
      </c>
      <c r="W6728" t="s">
        <v>43028</v>
      </c>
      <c r="X6728" t="s">
        <v>44768</v>
      </c>
    </row>
    <row r="6729" spans="1:24">
      <c r="A6729">
        <f>HYPERLINK("https://www.philgeps.gov.ph/GEPSNONPILOT/Tender/SplashBidNoticeAbstractUI.aspx?menuIndex=3&amp;refID=7142293&amp;Result=3","7142293")</f>
        <v>0</v>
      </c>
      <c r="B6729" t="s">
        <v>894</v>
      </c>
      <c r="C6729" t="s">
        <v>10134</v>
      </c>
      <c r="D6729" t="s">
        <v>18011</v>
      </c>
      <c r="E6729" t="s">
        <v>23953</v>
      </c>
      <c r="F6729" t="s">
        <v>30900</v>
      </c>
      <c r="G6729" t="s">
        <v>30907</v>
      </c>
      <c r="H6729" t="s">
        <v>30916</v>
      </c>
      <c r="I6729" t="s">
        <v>30931</v>
      </c>
      <c r="J6729" t="s">
        <v>35373</v>
      </c>
      <c r="K6729" t="s">
        <v>40286</v>
      </c>
      <c r="M6729" t="s">
        <v>41468</v>
      </c>
      <c r="N6729" t="s">
        <v>44759</v>
      </c>
      <c r="O6729" t="s">
        <v>44760</v>
      </c>
      <c r="P6729">
        <v>0</v>
      </c>
      <c r="Q6729">
        <v>8</v>
      </c>
      <c r="R6729" t="s">
        <v>44767</v>
      </c>
      <c r="S6729" t="s">
        <v>44954</v>
      </c>
      <c r="T6729" t="s">
        <v>46497</v>
      </c>
      <c r="U6729" t="s">
        <v>52574</v>
      </c>
      <c r="W6729" t="s">
        <v>41468</v>
      </c>
      <c r="X6729" t="s">
        <v>44768</v>
      </c>
    </row>
    <row r="6730" spans="1:24">
      <c r="A6730">
        <f>HYPERLINK("https://www.philgeps.gov.ph/GEPSNONPILOT/Tender/SplashBidNoticeAbstractUI.aspx?menuIndex=3&amp;refID=7142213&amp;Result=3","7142213")</f>
        <v>0</v>
      </c>
      <c r="B6730" t="s">
        <v>2330</v>
      </c>
      <c r="C6730" t="s">
        <v>10135</v>
      </c>
      <c r="D6730" t="s">
        <v>17953</v>
      </c>
      <c r="E6730" t="s">
        <v>23954</v>
      </c>
      <c r="F6730" t="s">
        <v>30900</v>
      </c>
      <c r="G6730" t="s">
        <v>30910</v>
      </c>
      <c r="H6730" t="s">
        <v>30916</v>
      </c>
      <c r="I6730" t="s">
        <v>4142</v>
      </c>
      <c r="J6730" t="s">
        <v>35374</v>
      </c>
      <c r="K6730" t="s">
        <v>40289</v>
      </c>
      <c r="M6730" t="s">
        <v>43051</v>
      </c>
      <c r="N6730" t="s">
        <v>44759</v>
      </c>
      <c r="O6730" t="s">
        <v>44760</v>
      </c>
      <c r="P6730">
        <v>0</v>
      </c>
      <c r="Q6730">
        <v>1</v>
      </c>
      <c r="R6730" t="s">
        <v>44767</v>
      </c>
      <c r="S6730" t="s">
        <v>44954</v>
      </c>
      <c r="T6730" t="s">
        <v>46760</v>
      </c>
      <c r="U6730" t="s">
        <v>52575</v>
      </c>
      <c r="V6730" t="s">
        <v>59843</v>
      </c>
      <c r="W6730" t="s">
        <v>43051</v>
      </c>
      <c r="X6730" t="s">
        <v>44768</v>
      </c>
    </row>
    <row r="6731" spans="1:24">
      <c r="A6731">
        <f>HYPERLINK("https://www.philgeps.gov.ph/GEPSNONPILOT/Tender/SplashBidNoticeAbstractUI.aspx?menuIndex=3&amp;refID=7142302&amp;Result=3","7142302")</f>
        <v>0</v>
      </c>
      <c r="B6731" t="s">
        <v>2356</v>
      </c>
      <c r="C6731" t="s">
        <v>10136</v>
      </c>
      <c r="D6731" t="s">
        <v>17988</v>
      </c>
      <c r="E6731" t="s">
        <v>10136</v>
      </c>
      <c r="F6731" t="s">
        <v>30900</v>
      </c>
      <c r="G6731" t="s">
        <v>30907</v>
      </c>
      <c r="H6731" t="s">
        <v>30916</v>
      </c>
      <c r="I6731" t="s">
        <v>8123</v>
      </c>
      <c r="J6731" t="s">
        <v>35375</v>
      </c>
      <c r="K6731" t="s">
        <v>40314</v>
      </c>
      <c r="M6731" t="s">
        <v>43080</v>
      </c>
      <c r="N6731" t="s">
        <v>44759</v>
      </c>
      <c r="O6731" t="s">
        <v>44760</v>
      </c>
      <c r="P6731">
        <v>0</v>
      </c>
      <c r="Q6731">
        <v>0</v>
      </c>
      <c r="R6731" t="s">
        <v>44767</v>
      </c>
      <c r="S6731" t="s">
        <v>44954</v>
      </c>
      <c r="T6731" t="s">
        <v>46426</v>
      </c>
      <c r="U6731" t="s">
        <v>52576</v>
      </c>
      <c r="W6731" t="s">
        <v>43080</v>
      </c>
      <c r="X6731" t="s">
        <v>44768</v>
      </c>
    </row>
    <row r="6732" spans="1:24">
      <c r="A6732">
        <f>HYPERLINK("https://www.philgeps.gov.ph/GEPSNONPILOT/Tender/SplashBidNoticeAbstractUI.aspx?menuIndex=3&amp;refID=7142291&amp;Result=3","7142291")</f>
        <v>0</v>
      </c>
      <c r="B6732" t="s">
        <v>243</v>
      </c>
      <c r="C6732" t="s">
        <v>10137</v>
      </c>
      <c r="D6732" t="s">
        <v>17999</v>
      </c>
      <c r="E6732" t="s">
        <v>23955</v>
      </c>
      <c r="F6732" t="s">
        <v>30900</v>
      </c>
      <c r="G6732" t="s">
        <v>30908</v>
      </c>
      <c r="H6732" t="s">
        <v>30916</v>
      </c>
      <c r="I6732" t="s">
        <v>4108</v>
      </c>
      <c r="J6732" t="s">
        <v>32658</v>
      </c>
      <c r="K6732" t="s">
        <v>40286</v>
      </c>
      <c r="M6732" t="s">
        <v>40790</v>
      </c>
      <c r="N6732" t="s">
        <v>44759</v>
      </c>
      <c r="O6732" t="s">
        <v>44760</v>
      </c>
      <c r="P6732">
        <v>0</v>
      </c>
      <c r="Q6732">
        <v>4</v>
      </c>
      <c r="R6732" t="s">
        <v>44767</v>
      </c>
      <c r="S6732" t="s">
        <v>44954</v>
      </c>
      <c r="T6732" t="s">
        <v>46454</v>
      </c>
      <c r="U6732" t="s">
        <v>52577</v>
      </c>
      <c r="V6732" t="s">
        <v>59845</v>
      </c>
      <c r="W6732" t="s">
        <v>60887</v>
      </c>
      <c r="X6732" t="s">
        <v>44768</v>
      </c>
    </row>
    <row r="6733" spans="1:24">
      <c r="A6733">
        <f>HYPERLINK("https://www.philgeps.gov.ph/GEPSNONPILOT/Tender/SplashBidNoticeAbstractUI.aspx?menuIndex=3&amp;refID=7142315&amp;Result=3","7142315")</f>
        <v>0</v>
      </c>
      <c r="B6733" t="s">
        <v>2350</v>
      </c>
      <c r="C6733" t="s">
        <v>10138</v>
      </c>
      <c r="D6733" t="s">
        <v>17975</v>
      </c>
      <c r="E6733" t="s">
        <v>23956</v>
      </c>
      <c r="F6733" t="s">
        <v>30900</v>
      </c>
      <c r="G6733" t="s">
        <v>30907</v>
      </c>
      <c r="H6733" t="s">
        <v>30916</v>
      </c>
      <c r="I6733" t="s">
        <v>4545</v>
      </c>
      <c r="J6733" t="s">
        <v>32189</v>
      </c>
      <c r="K6733" t="s">
        <v>40283</v>
      </c>
      <c r="M6733" t="s">
        <v>43074</v>
      </c>
      <c r="N6733" t="s">
        <v>44759</v>
      </c>
      <c r="O6733" t="s">
        <v>44760</v>
      </c>
      <c r="P6733">
        <v>0</v>
      </c>
      <c r="Q6733">
        <v>0</v>
      </c>
      <c r="R6733" t="s">
        <v>44767</v>
      </c>
      <c r="S6733" t="s">
        <v>44954</v>
      </c>
      <c r="T6733" t="s">
        <v>46421</v>
      </c>
      <c r="U6733" t="s">
        <v>52578</v>
      </c>
      <c r="W6733" t="s">
        <v>43074</v>
      </c>
      <c r="X6733" t="s">
        <v>44768</v>
      </c>
    </row>
    <row r="6734" spans="1:24">
      <c r="A6734">
        <f>HYPERLINK("https://www.philgeps.gov.ph/GEPSNONPILOT/Tender/SplashBidNoticeAbstractUI.aspx?menuIndex=3&amp;refID=7142288&amp;Result=3","7142288")</f>
        <v>0</v>
      </c>
      <c r="B6734" t="s">
        <v>176</v>
      </c>
      <c r="C6734" t="s">
        <v>10139</v>
      </c>
      <c r="D6734" t="s">
        <v>18012</v>
      </c>
      <c r="E6734" t="s">
        <v>23957</v>
      </c>
      <c r="F6734" t="s">
        <v>30900</v>
      </c>
      <c r="G6734" t="s">
        <v>30907</v>
      </c>
      <c r="H6734" t="s">
        <v>30916</v>
      </c>
      <c r="I6734" t="s">
        <v>10961</v>
      </c>
      <c r="J6734" t="s">
        <v>34559</v>
      </c>
      <c r="K6734" t="s">
        <v>40289</v>
      </c>
      <c r="M6734" t="s">
        <v>40723</v>
      </c>
      <c r="N6734" t="s">
        <v>44759</v>
      </c>
      <c r="O6734" t="s">
        <v>44760</v>
      </c>
      <c r="P6734">
        <v>0</v>
      </c>
      <c r="Q6734">
        <v>0</v>
      </c>
      <c r="R6734" t="s">
        <v>44767</v>
      </c>
      <c r="S6734" t="s">
        <v>44954</v>
      </c>
      <c r="T6734" t="s">
        <v>46488</v>
      </c>
      <c r="U6734" t="s">
        <v>52579</v>
      </c>
      <c r="W6734" t="s">
        <v>40723</v>
      </c>
      <c r="X6734" t="s">
        <v>44768</v>
      </c>
    </row>
    <row r="6735" spans="1:24">
      <c r="A6735">
        <f>HYPERLINK("https://www.philgeps.gov.ph/GEPSNONPILOT/Tender/SplashBidNoticeAbstractUI.aspx?menuIndex=3&amp;refID=7142314&amp;Result=3","7142314")</f>
        <v>0</v>
      </c>
      <c r="B6735" t="s">
        <v>2357</v>
      </c>
      <c r="C6735" t="s">
        <v>10140</v>
      </c>
      <c r="D6735" t="s">
        <v>17977</v>
      </c>
      <c r="E6735" t="s">
        <v>23958</v>
      </c>
      <c r="F6735" t="s">
        <v>30900</v>
      </c>
      <c r="G6735" t="s">
        <v>30909</v>
      </c>
      <c r="H6735" t="s">
        <v>30916</v>
      </c>
      <c r="I6735" t="s">
        <v>8123</v>
      </c>
      <c r="J6735" t="s">
        <v>35376</v>
      </c>
      <c r="K6735" t="s">
        <v>40284</v>
      </c>
      <c r="M6735" t="s">
        <v>43081</v>
      </c>
      <c r="N6735" t="s">
        <v>44759</v>
      </c>
      <c r="O6735" t="s">
        <v>44760</v>
      </c>
      <c r="P6735">
        <v>0</v>
      </c>
      <c r="Q6735">
        <v>0</v>
      </c>
      <c r="R6735" t="s">
        <v>44767</v>
      </c>
      <c r="S6735" t="s">
        <v>44954</v>
      </c>
      <c r="T6735" t="s">
        <v>46374</v>
      </c>
      <c r="U6735" t="s">
        <v>52580</v>
      </c>
      <c r="W6735" t="s">
        <v>43081</v>
      </c>
      <c r="X6735" t="s">
        <v>44768</v>
      </c>
    </row>
    <row r="6736" spans="1:24">
      <c r="A6736">
        <f>HYPERLINK("https://www.philgeps.gov.ph/GEPSNONPILOT/Tender/SplashBidNoticeAbstractUI.aspx?menuIndex=3&amp;refID=7142287&amp;Result=3","7142287")</f>
        <v>0</v>
      </c>
      <c r="B6736" t="s">
        <v>2352</v>
      </c>
      <c r="C6736" t="s">
        <v>10141</v>
      </c>
      <c r="D6736" t="s">
        <v>17980</v>
      </c>
      <c r="E6736" t="s">
        <v>23959</v>
      </c>
      <c r="F6736" t="s">
        <v>30900</v>
      </c>
      <c r="G6736" t="s">
        <v>30907</v>
      </c>
      <c r="H6736" t="s">
        <v>30915</v>
      </c>
      <c r="I6736" t="s">
        <v>30919</v>
      </c>
      <c r="J6736" t="s">
        <v>32324</v>
      </c>
      <c r="K6736" t="s">
        <v>40356</v>
      </c>
      <c r="M6736" t="s">
        <v>43076</v>
      </c>
      <c r="N6736" t="s">
        <v>44759</v>
      </c>
      <c r="O6736" t="s">
        <v>44760</v>
      </c>
      <c r="P6736">
        <v>0</v>
      </c>
      <c r="Q6736">
        <v>2</v>
      </c>
      <c r="R6736" t="s">
        <v>44767</v>
      </c>
      <c r="S6736" t="s">
        <v>44954</v>
      </c>
      <c r="T6736" t="s">
        <v>46689</v>
      </c>
      <c r="U6736" t="s">
        <v>52581</v>
      </c>
      <c r="W6736" t="s">
        <v>43076</v>
      </c>
      <c r="X6736" t="s">
        <v>44768</v>
      </c>
    </row>
    <row r="6737" spans="1:24">
      <c r="A6737">
        <f>HYPERLINK("https://www.philgeps.gov.ph/GEPSNONPILOT/Tender/SplashBidNoticeAbstractUI.aspx?menuIndex=3&amp;refID=7142309&amp;Result=3","7142309")</f>
        <v>0</v>
      </c>
      <c r="B6737" t="s">
        <v>2358</v>
      </c>
      <c r="C6737" t="s">
        <v>10142</v>
      </c>
      <c r="D6737" t="s">
        <v>17971</v>
      </c>
      <c r="E6737" t="s">
        <v>18752</v>
      </c>
      <c r="F6737" t="s">
        <v>30900</v>
      </c>
      <c r="G6737" t="s">
        <v>30907</v>
      </c>
      <c r="H6737" t="s">
        <v>30916</v>
      </c>
      <c r="I6737" t="s">
        <v>8123</v>
      </c>
      <c r="J6737" t="s">
        <v>31182</v>
      </c>
      <c r="K6737" t="s">
        <v>40287</v>
      </c>
      <c r="M6737" t="s">
        <v>43082</v>
      </c>
      <c r="N6737" t="s">
        <v>44759</v>
      </c>
      <c r="O6737" t="s">
        <v>44760</v>
      </c>
      <c r="P6737">
        <v>0</v>
      </c>
      <c r="Q6737">
        <v>0</v>
      </c>
      <c r="R6737" t="s">
        <v>44767</v>
      </c>
      <c r="S6737" t="s">
        <v>44954</v>
      </c>
      <c r="T6737" t="s">
        <v>46623</v>
      </c>
      <c r="U6737" t="s">
        <v>52582</v>
      </c>
      <c r="W6737" t="s">
        <v>43082</v>
      </c>
      <c r="X6737" t="s">
        <v>44768</v>
      </c>
    </row>
    <row r="6738" spans="1:24">
      <c r="A6738">
        <f>HYPERLINK("https://www.philgeps.gov.ph/GEPSNONPILOT/Tender/SplashBidNoticeAbstractUI.aspx?menuIndex=3&amp;refID=7142320&amp;Result=3","7142320")</f>
        <v>0</v>
      </c>
      <c r="B6738" t="s">
        <v>2352</v>
      </c>
      <c r="C6738" t="s">
        <v>10143</v>
      </c>
      <c r="D6738" t="s">
        <v>17980</v>
      </c>
      <c r="E6738" t="s">
        <v>23960</v>
      </c>
      <c r="F6738" t="s">
        <v>30900</v>
      </c>
      <c r="G6738" t="s">
        <v>30907</v>
      </c>
      <c r="H6738" t="s">
        <v>30915</v>
      </c>
      <c r="I6738" t="s">
        <v>30919</v>
      </c>
      <c r="J6738" t="s">
        <v>35377</v>
      </c>
      <c r="K6738" t="s">
        <v>40376</v>
      </c>
      <c r="M6738" t="s">
        <v>43076</v>
      </c>
      <c r="N6738" t="s">
        <v>44759</v>
      </c>
      <c r="O6738" t="s">
        <v>44760</v>
      </c>
      <c r="P6738">
        <v>0</v>
      </c>
      <c r="Q6738">
        <v>3</v>
      </c>
      <c r="R6738" t="s">
        <v>44767</v>
      </c>
      <c r="S6738" t="s">
        <v>44954</v>
      </c>
      <c r="T6738" t="s">
        <v>46689</v>
      </c>
      <c r="U6738" t="s">
        <v>52583</v>
      </c>
      <c r="W6738" t="s">
        <v>43076</v>
      </c>
      <c r="X6738" t="s">
        <v>44768</v>
      </c>
    </row>
    <row r="6739" spans="1:24">
      <c r="A6739">
        <f>HYPERLINK("https://www.philgeps.gov.ph/GEPSNONPILOT/Tender/SplashBidNoticeAbstractUI.aspx?menuIndex=3&amp;refID=7142347&amp;Result=3","7142347")</f>
        <v>0</v>
      </c>
      <c r="B6739" t="s">
        <v>2350</v>
      </c>
      <c r="C6739" t="s">
        <v>10144</v>
      </c>
      <c r="D6739" t="s">
        <v>17975</v>
      </c>
      <c r="E6739" t="s">
        <v>23961</v>
      </c>
      <c r="F6739" t="s">
        <v>30900</v>
      </c>
      <c r="G6739" t="s">
        <v>30907</v>
      </c>
      <c r="H6739" t="s">
        <v>30916</v>
      </c>
      <c r="I6739" t="s">
        <v>30923</v>
      </c>
      <c r="J6739" t="s">
        <v>35378</v>
      </c>
      <c r="K6739" t="s">
        <v>40283</v>
      </c>
      <c r="M6739" t="s">
        <v>43074</v>
      </c>
      <c r="N6739" t="s">
        <v>44759</v>
      </c>
      <c r="O6739" t="s">
        <v>44760</v>
      </c>
      <c r="P6739">
        <v>0</v>
      </c>
      <c r="Q6739">
        <v>0</v>
      </c>
      <c r="R6739" t="s">
        <v>44767</v>
      </c>
      <c r="S6739" t="s">
        <v>44954</v>
      </c>
      <c r="T6739" t="s">
        <v>46421</v>
      </c>
      <c r="U6739" t="s">
        <v>52584</v>
      </c>
      <c r="W6739" t="s">
        <v>43074</v>
      </c>
      <c r="X6739" t="s">
        <v>44768</v>
      </c>
    </row>
    <row r="6740" spans="1:24">
      <c r="A6740">
        <f>HYPERLINK("https://www.philgeps.gov.ph/GEPSNONPILOT/Tender/SplashBidNoticeAbstractUI.aspx?menuIndex=3&amp;refID=7142303&amp;Result=3","7142303")</f>
        <v>0</v>
      </c>
      <c r="B6740" t="s">
        <v>164</v>
      </c>
      <c r="C6740" t="s">
        <v>10145</v>
      </c>
      <c r="D6740" t="s">
        <v>17961</v>
      </c>
      <c r="E6740" t="s">
        <v>23962</v>
      </c>
      <c r="F6740" t="s">
        <v>30900</v>
      </c>
      <c r="G6740" t="s">
        <v>30908</v>
      </c>
      <c r="H6740" t="s">
        <v>30916</v>
      </c>
      <c r="I6740" t="s">
        <v>30947</v>
      </c>
      <c r="J6740" t="s">
        <v>35379</v>
      </c>
      <c r="K6740" t="s">
        <v>40294</v>
      </c>
      <c r="M6740" t="s">
        <v>40711</v>
      </c>
      <c r="N6740" t="s">
        <v>44759</v>
      </c>
      <c r="O6740" t="s">
        <v>44760</v>
      </c>
      <c r="P6740">
        <v>0</v>
      </c>
      <c r="Q6740">
        <v>0</v>
      </c>
      <c r="R6740" t="s">
        <v>44767</v>
      </c>
      <c r="S6740" t="s">
        <v>44954</v>
      </c>
      <c r="T6740" t="s">
        <v>46658</v>
      </c>
      <c r="U6740" t="s">
        <v>52585</v>
      </c>
      <c r="W6740" t="s">
        <v>40711</v>
      </c>
      <c r="X6740" t="s">
        <v>44768</v>
      </c>
    </row>
    <row r="6741" spans="1:24">
      <c r="A6741">
        <f>HYPERLINK("https://www.philgeps.gov.ph/GEPSNONPILOT/Tender/SplashBidNoticeAbstractUI.aspx?menuIndex=3&amp;refID=7142343&amp;Result=3","7142343")</f>
        <v>0</v>
      </c>
      <c r="B6741" t="s">
        <v>2359</v>
      </c>
      <c r="C6741" t="s">
        <v>10146</v>
      </c>
      <c r="D6741" t="s">
        <v>18022</v>
      </c>
      <c r="E6741" t="s">
        <v>23963</v>
      </c>
      <c r="F6741" t="s">
        <v>30900</v>
      </c>
      <c r="G6741" t="s">
        <v>30907</v>
      </c>
      <c r="H6741" t="s">
        <v>30915</v>
      </c>
      <c r="I6741" t="s">
        <v>30919</v>
      </c>
      <c r="J6741" t="s">
        <v>35380</v>
      </c>
      <c r="K6741" t="s">
        <v>40289</v>
      </c>
      <c r="M6741" t="s">
        <v>43083</v>
      </c>
      <c r="N6741" t="s">
        <v>44759</v>
      </c>
      <c r="O6741" t="s">
        <v>44760</v>
      </c>
      <c r="P6741">
        <v>0</v>
      </c>
      <c r="Q6741">
        <v>0</v>
      </c>
      <c r="R6741" t="s">
        <v>44767</v>
      </c>
      <c r="S6741" t="s">
        <v>44954</v>
      </c>
      <c r="T6741" t="s">
        <v>46533</v>
      </c>
      <c r="U6741" t="s">
        <v>52586</v>
      </c>
      <c r="W6741" t="s">
        <v>60888</v>
      </c>
      <c r="X6741" t="s">
        <v>44768</v>
      </c>
    </row>
    <row r="6742" spans="1:24">
      <c r="A6742">
        <f>HYPERLINK("https://www.philgeps.gov.ph/GEPSNONPILOT/Tender/SplashBidNoticeAbstractUI.aspx?menuIndex=3&amp;refID=7142319&amp;Result=3","7142319")</f>
        <v>0</v>
      </c>
      <c r="B6742" t="s">
        <v>2301</v>
      </c>
      <c r="C6742" t="s">
        <v>10147</v>
      </c>
      <c r="D6742" t="s">
        <v>18004</v>
      </c>
      <c r="E6742" t="s">
        <v>23964</v>
      </c>
      <c r="F6742" t="s">
        <v>30900</v>
      </c>
      <c r="G6742" t="s">
        <v>30907</v>
      </c>
      <c r="H6742" t="s">
        <v>30916</v>
      </c>
      <c r="I6742" t="s">
        <v>30939</v>
      </c>
      <c r="J6742" t="s">
        <v>35381</v>
      </c>
      <c r="K6742" t="s">
        <v>40283</v>
      </c>
      <c r="M6742" t="s">
        <v>43016</v>
      </c>
      <c r="N6742" t="s">
        <v>44759</v>
      </c>
      <c r="O6742" t="s">
        <v>44760</v>
      </c>
      <c r="P6742">
        <v>0</v>
      </c>
      <c r="Q6742">
        <v>0</v>
      </c>
      <c r="R6742" t="s">
        <v>44767</v>
      </c>
      <c r="S6742" t="s">
        <v>44954</v>
      </c>
      <c r="T6742" t="s">
        <v>46533</v>
      </c>
      <c r="U6742" t="s">
        <v>52564</v>
      </c>
      <c r="W6742" t="s">
        <v>43016</v>
      </c>
      <c r="X6742" t="s">
        <v>44768</v>
      </c>
    </row>
    <row r="6743" spans="1:24">
      <c r="A6743">
        <f>HYPERLINK("https://www.philgeps.gov.ph/GEPSNONPILOT/Tender/SplashBidNoticeAbstractUI.aspx?menuIndex=3&amp;refID=7142337&amp;Result=3","7142337")</f>
        <v>0</v>
      </c>
      <c r="B6743" t="s">
        <v>2301</v>
      </c>
      <c r="C6743" t="s">
        <v>10148</v>
      </c>
      <c r="D6743" t="s">
        <v>18004</v>
      </c>
      <c r="E6743" t="s">
        <v>23965</v>
      </c>
      <c r="F6743" t="s">
        <v>30900</v>
      </c>
      <c r="G6743" t="s">
        <v>30907</v>
      </c>
      <c r="H6743" t="s">
        <v>30916</v>
      </c>
      <c r="I6743" t="s">
        <v>8123</v>
      </c>
      <c r="J6743" t="s">
        <v>35382</v>
      </c>
      <c r="K6743" t="s">
        <v>40283</v>
      </c>
      <c r="M6743" t="s">
        <v>43016</v>
      </c>
      <c r="N6743" t="s">
        <v>44759</v>
      </c>
      <c r="O6743" t="s">
        <v>44760</v>
      </c>
      <c r="P6743">
        <v>0</v>
      </c>
      <c r="Q6743">
        <v>0</v>
      </c>
      <c r="R6743" t="s">
        <v>44767</v>
      </c>
      <c r="S6743" t="s">
        <v>44954</v>
      </c>
      <c r="T6743" t="s">
        <v>46533</v>
      </c>
      <c r="U6743" t="s">
        <v>52564</v>
      </c>
      <c r="W6743" t="s">
        <v>43016</v>
      </c>
      <c r="X6743" t="s">
        <v>44768</v>
      </c>
    </row>
    <row r="6744" spans="1:24">
      <c r="A6744">
        <f>HYPERLINK("https://www.philgeps.gov.ph/GEPSNONPILOT/Tender/SplashBidNoticeAbstractUI.aspx?menuIndex=3&amp;refID=7142336&amp;Result=3","7142336")</f>
        <v>0</v>
      </c>
      <c r="B6744" t="s">
        <v>309</v>
      </c>
      <c r="C6744" t="s">
        <v>10149</v>
      </c>
      <c r="D6744" t="s">
        <v>17995</v>
      </c>
      <c r="E6744" t="s">
        <v>23966</v>
      </c>
      <c r="F6744" t="s">
        <v>30900</v>
      </c>
      <c r="G6744" t="s">
        <v>30908</v>
      </c>
      <c r="H6744" t="s">
        <v>30916</v>
      </c>
      <c r="I6744" t="s">
        <v>30923</v>
      </c>
      <c r="J6744" t="s">
        <v>35383</v>
      </c>
      <c r="K6744" t="s">
        <v>40283</v>
      </c>
      <c r="M6744" t="s">
        <v>40859</v>
      </c>
      <c r="N6744" t="s">
        <v>44759</v>
      </c>
      <c r="O6744" t="s">
        <v>44760</v>
      </c>
      <c r="P6744">
        <v>0</v>
      </c>
      <c r="Q6744">
        <v>3</v>
      </c>
      <c r="R6744" t="s">
        <v>44767</v>
      </c>
      <c r="S6744" t="s">
        <v>44954</v>
      </c>
      <c r="T6744" t="s">
        <v>46658</v>
      </c>
      <c r="U6744" t="s">
        <v>52587</v>
      </c>
      <c r="W6744" t="s">
        <v>40859</v>
      </c>
      <c r="X6744" t="s">
        <v>44768</v>
      </c>
    </row>
    <row r="6745" spans="1:24">
      <c r="A6745">
        <f>HYPERLINK("https://www.philgeps.gov.ph/GEPSNONPILOT/Tender/SplashBidNoticeAbstractUI.aspx?menuIndex=3&amp;refID=7142334&amp;Result=3","7142334")</f>
        <v>0</v>
      </c>
      <c r="B6745" t="s">
        <v>2360</v>
      </c>
      <c r="C6745" t="s">
        <v>10150</v>
      </c>
      <c r="D6745" t="s">
        <v>18029</v>
      </c>
      <c r="E6745" t="s">
        <v>23967</v>
      </c>
      <c r="F6745" t="s">
        <v>30900</v>
      </c>
      <c r="G6745" t="s">
        <v>30907</v>
      </c>
      <c r="H6745" t="s">
        <v>30916</v>
      </c>
      <c r="I6745" t="s">
        <v>30935</v>
      </c>
      <c r="J6745" t="s">
        <v>31407</v>
      </c>
      <c r="K6745" t="s">
        <v>40280</v>
      </c>
      <c r="M6745" t="s">
        <v>43084</v>
      </c>
      <c r="N6745" t="s">
        <v>44759</v>
      </c>
      <c r="O6745" t="s">
        <v>44760</v>
      </c>
      <c r="P6745">
        <v>0</v>
      </c>
      <c r="Q6745">
        <v>2</v>
      </c>
      <c r="R6745" t="s">
        <v>44767</v>
      </c>
      <c r="S6745" t="s">
        <v>44954</v>
      </c>
      <c r="T6745" t="s">
        <v>46592</v>
      </c>
      <c r="U6745" t="s">
        <v>52588</v>
      </c>
      <c r="V6745" t="s">
        <v>59846</v>
      </c>
      <c r="W6745" t="s">
        <v>43084</v>
      </c>
      <c r="X6745" t="s">
        <v>44768</v>
      </c>
    </row>
    <row r="6746" spans="1:24">
      <c r="A6746">
        <f>HYPERLINK("https://www.philgeps.gov.ph/GEPSNONPILOT/Tender/SplashBidNoticeAbstractUI.aspx?menuIndex=3&amp;refID=7142330&amp;Result=3","7142330")</f>
        <v>0</v>
      </c>
      <c r="B6746" t="s">
        <v>1361</v>
      </c>
      <c r="C6746" t="s">
        <v>10151</v>
      </c>
      <c r="D6746" t="s">
        <v>17985</v>
      </c>
      <c r="E6746" t="s">
        <v>21567</v>
      </c>
      <c r="F6746" t="s">
        <v>30900</v>
      </c>
      <c r="G6746" t="s">
        <v>30909</v>
      </c>
      <c r="H6746" t="s">
        <v>30916</v>
      </c>
      <c r="I6746" t="s">
        <v>30922</v>
      </c>
      <c r="J6746" t="s">
        <v>35384</v>
      </c>
      <c r="K6746" t="s">
        <v>40283</v>
      </c>
      <c r="M6746" t="s">
        <v>41983</v>
      </c>
      <c r="N6746" t="s">
        <v>44759</v>
      </c>
      <c r="O6746" t="s">
        <v>44760</v>
      </c>
      <c r="P6746">
        <v>0</v>
      </c>
      <c r="Q6746">
        <v>1</v>
      </c>
      <c r="R6746" t="s">
        <v>44767</v>
      </c>
      <c r="S6746" t="s">
        <v>44954</v>
      </c>
      <c r="T6746" t="s">
        <v>46612</v>
      </c>
      <c r="U6746" t="s">
        <v>52589</v>
      </c>
      <c r="W6746" t="s">
        <v>41983</v>
      </c>
      <c r="X6746" t="s">
        <v>44768</v>
      </c>
    </row>
    <row r="6747" spans="1:24">
      <c r="A6747">
        <f>HYPERLINK("https://www.philgeps.gov.ph/GEPSNONPILOT/Tender/SplashBidNoticeAbstractUI.aspx?menuIndex=3&amp;refID=7142322&amp;Result=3","7142322")</f>
        <v>0</v>
      </c>
      <c r="B6747" t="s">
        <v>243</v>
      </c>
      <c r="C6747" t="s">
        <v>10152</v>
      </c>
      <c r="D6747" t="s">
        <v>17999</v>
      </c>
      <c r="E6747" t="s">
        <v>23968</v>
      </c>
      <c r="F6747" t="s">
        <v>30900</v>
      </c>
      <c r="G6747" t="s">
        <v>30908</v>
      </c>
      <c r="H6747" t="s">
        <v>30916</v>
      </c>
      <c r="I6747" t="s">
        <v>6746</v>
      </c>
      <c r="J6747" t="s">
        <v>34658</v>
      </c>
      <c r="K6747" t="s">
        <v>40286</v>
      </c>
      <c r="M6747" t="s">
        <v>40790</v>
      </c>
      <c r="N6747" t="s">
        <v>44759</v>
      </c>
      <c r="O6747" t="s">
        <v>44760</v>
      </c>
      <c r="P6747">
        <v>0</v>
      </c>
      <c r="Q6747">
        <v>2</v>
      </c>
      <c r="R6747" t="s">
        <v>44767</v>
      </c>
      <c r="S6747" t="s">
        <v>44954</v>
      </c>
      <c r="T6747" t="s">
        <v>46454</v>
      </c>
      <c r="U6747" t="s">
        <v>52590</v>
      </c>
      <c r="V6747" t="s">
        <v>59845</v>
      </c>
      <c r="W6747" t="s">
        <v>60887</v>
      </c>
      <c r="X6747" t="s">
        <v>44768</v>
      </c>
    </row>
    <row r="6748" spans="1:24">
      <c r="A6748">
        <f>HYPERLINK("https://www.philgeps.gov.ph/GEPSNONPILOT/Tender/SplashBidNoticeAbstractUI.aspx?menuIndex=3&amp;refID=7142304&amp;Result=3","7142304")</f>
        <v>0</v>
      </c>
      <c r="B6748" t="s">
        <v>2350</v>
      </c>
      <c r="C6748" t="s">
        <v>10153</v>
      </c>
      <c r="D6748" t="s">
        <v>17975</v>
      </c>
      <c r="E6748" t="s">
        <v>23969</v>
      </c>
      <c r="F6748" t="s">
        <v>30900</v>
      </c>
      <c r="G6748" t="s">
        <v>30907</v>
      </c>
      <c r="H6748" t="s">
        <v>30916</v>
      </c>
      <c r="I6748" t="s">
        <v>8123</v>
      </c>
      <c r="J6748" t="s">
        <v>35385</v>
      </c>
      <c r="K6748" t="s">
        <v>40283</v>
      </c>
      <c r="M6748" t="s">
        <v>43074</v>
      </c>
      <c r="N6748" t="s">
        <v>44759</v>
      </c>
      <c r="O6748" t="s">
        <v>44760</v>
      </c>
      <c r="P6748">
        <v>0</v>
      </c>
      <c r="Q6748">
        <v>0</v>
      </c>
      <c r="R6748" t="s">
        <v>44767</v>
      </c>
      <c r="S6748" t="s">
        <v>44954</v>
      </c>
      <c r="T6748" t="s">
        <v>46421</v>
      </c>
      <c r="U6748" t="s">
        <v>52591</v>
      </c>
      <c r="W6748" t="s">
        <v>43074</v>
      </c>
      <c r="X6748" t="s">
        <v>44768</v>
      </c>
    </row>
    <row r="6749" spans="1:24">
      <c r="A6749">
        <f>HYPERLINK("https://www.philgeps.gov.ph/GEPSNONPILOT/Tender/SplashBidNoticeAbstractUI.aspx?menuIndex=3&amp;refID=7142359&amp;Result=3","7142359")</f>
        <v>0</v>
      </c>
      <c r="B6749" t="s">
        <v>2354</v>
      </c>
      <c r="C6749" t="s">
        <v>10154</v>
      </c>
      <c r="D6749" t="s">
        <v>18016</v>
      </c>
      <c r="E6749" t="s">
        <v>23970</v>
      </c>
      <c r="F6749" t="s">
        <v>30900</v>
      </c>
      <c r="G6749" t="s">
        <v>30907</v>
      </c>
      <c r="H6749" t="s">
        <v>30916</v>
      </c>
      <c r="I6749" t="s">
        <v>4050</v>
      </c>
      <c r="J6749" t="s">
        <v>35386</v>
      </c>
      <c r="K6749" t="s">
        <v>40287</v>
      </c>
      <c r="M6749" t="s">
        <v>43078</v>
      </c>
      <c r="N6749" t="s">
        <v>44759</v>
      </c>
      <c r="O6749" t="s">
        <v>44760</v>
      </c>
      <c r="P6749">
        <v>0</v>
      </c>
      <c r="Q6749">
        <v>2</v>
      </c>
      <c r="R6749" t="s">
        <v>44767</v>
      </c>
      <c r="S6749" t="s">
        <v>44954</v>
      </c>
      <c r="T6749" t="s">
        <v>46410</v>
      </c>
      <c r="U6749" t="s">
        <v>52592</v>
      </c>
      <c r="W6749" t="s">
        <v>43078</v>
      </c>
      <c r="X6749" t="s">
        <v>44768</v>
      </c>
    </row>
    <row r="6750" spans="1:24">
      <c r="A6750">
        <f>HYPERLINK("https://www.philgeps.gov.ph/GEPSNONPILOT/Tender/SplashBidNoticeAbstractUI.aspx?menuIndex=3&amp;refID=7142344&amp;Result=3","7142344")</f>
        <v>0</v>
      </c>
      <c r="B6750" t="s">
        <v>313</v>
      </c>
      <c r="C6750" t="s">
        <v>10155</v>
      </c>
      <c r="E6750" t="s">
        <v>23971</v>
      </c>
      <c r="F6750" t="s">
        <v>30900</v>
      </c>
      <c r="G6750" t="s">
        <v>30908</v>
      </c>
      <c r="H6750" t="s">
        <v>30916</v>
      </c>
      <c r="I6750" t="s">
        <v>30947</v>
      </c>
      <c r="J6750" t="s">
        <v>34273</v>
      </c>
      <c r="K6750" t="s">
        <v>40289</v>
      </c>
      <c r="M6750" t="s">
        <v>40909</v>
      </c>
      <c r="N6750" t="s">
        <v>44759</v>
      </c>
      <c r="O6750" t="s">
        <v>44760</v>
      </c>
      <c r="P6750">
        <v>0</v>
      </c>
      <c r="Q6750">
        <v>4</v>
      </c>
      <c r="R6750" t="s">
        <v>44767</v>
      </c>
      <c r="S6750" t="s">
        <v>44954</v>
      </c>
      <c r="T6750" t="s">
        <v>46581</v>
      </c>
      <c r="U6750" t="s">
        <v>52593</v>
      </c>
      <c r="W6750" t="s">
        <v>40909</v>
      </c>
      <c r="X6750" t="s">
        <v>44768</v>
      </c>
    </row>
    <row r="6751" spans="1:24">
      <c r="A6751">
        <f>HYPERLINK("https://www.philgeps.gov.ph/GEPSNONPILOT/Tender/SplashBidNoticeAbstractUI.aspx?menuIndex=3&amp;refID=7142358&amp;Result=3","7142358")</f>
        <v>0</v>
      </c>
      <c r="B6751" t="s">
        <v>1973</v>
      </c>
      <c r="C6751" t="s">
        <v>10156</v>
      </c>
      <c r="D6751" t="s">
        <v>18012</v>
      </c>
      <c r="E6751" t="s">
        <v>23972</v>
      </c>
      <c r="F6751" t="s">
        <v>30900</v>
      </c>
      <c r="G6751" t="s">
        <v>30907</v>
      </c>
      <c r="H6751" t="s">
        <v>30916</v>
      </c>
      <c r="I6751" t="s">
        <v>4545</v>
      </c>
      <c r="J6751" t="s">
        <v>31247</v>
      </c>
      <c r="K6751" t="s">
        <v>40284</v>
      </c>
      <c r="M6751" t="s">
        <v>42661</v>
      </c>
      <c r="N6751" t="s">
        <v>44759</v>
      </c>
      <c r="O6751" t="s">
        <v>44760</v>
      </c>
      <c r="P6751">
        <v>0</v>
      </c>
      <c r="Q6751">
        <v>0</v>
      </c>
      <c r="R6751" t="s">
        <v>44767</v>
      </c>
      <c r="S6751" t="s">
        <v>44954</v>
      </c>
      <c r="T6751" t="s">
        <v>46443</v>
      </c>
      <c r="U6751" t="s">
        <v>52594</v>
      </c>
      <c r="W6751" t="s">
        <v>42661</v>
      </c>
      <c r="X6751" t="s">
        <v>44768</v>
      </c>
    </row>
    <row r="6752" spans="1:24">
      <c r="A6752">
        <f>HYPERLINK("https://www.philgeps.gov.ph/GEPSNONPILOT/Tender/SplashBidNoticeAbstractUI.aspx?menuIndex=3&amp;refID=7142341&amp;Result=3","7142341")</f>
        <v>0</v>
      </c>
      <c r="B6752" t="s">
        <v>56</v>
      </c>
      <c r="C6752" t="s">
        <v>10157</v>
      </c>
      <c r="D6752" t="s">
        <v>17952</v>
      </c>
      <c r="E6752" t="s">
        <v>23973</v>
      </c>
      <c r="F6752" t="s">
        <v>30900</v>
      </c>
      <c r="G6752" t="s">
        <v>30907</v>
      </c>
      <c r="H6752" t="s">
        <v>30916</v>
      </c>
      <c r="I6752" t="s">
        <v>30921</v>
      </c>
      <c r="J6752" t="s">
        <v>33945</v>
      </c>
      <c r="K6752" t="s">
        <v>40294</v>
      </c>
      <c r="M6752" t="s">
        <v>43052</v>
      </c>
      <c r="N6752" t="s">
        <v>44759</v>
      </c>
      <c r="O6752" t="s">
        <v>44760</v>
      </c>
      <c r="P6752">
        <v>0</v>
      </c>
      <c r="Q6752">
        <v>3</v>
      </c>
      <c r="R6752" t="s">
        <v>44767</v>
      </c>
      <c r="S6752" t="s">
        <v>44954</v>
      </c>
      <c r="T6752" t="s">
        <v>46378</v>
      </c>
      <c r="U6752" t="s">
        <v>52595</v>
      </c>
      <c r="V6752" t="s">
        <v>59101</v>
      </c>
      <c r="W6752" t="s">
        <v>43052</v>
      </c>
      <c r="X6752" t="s">
        <v>44768</v>
      </c>
    </row>
    <row r="6753" spans="1:24">
      <c r="A6753">
        <f>HYPERLINK("https://www.philgeps.gov.ph/GEPSNONPILOT/Tender/SplashBidNoticeAbstractUI.aspx?menuIndex=3&amp;refID=7142352&amp;Result=3","7142352")</f>
        <v>0</v>
      </c>
      <c r="B6753" t="s">
        <v>2361</v>
      </c>
      <c r="C6753" t="s">
        <v>10158</v>
      </c>
      <c r="D6753" t="s">
        <v>17973</v>
      </c>
      <c r="E6753" t="s">
        <v>23974</v>
      </c>
      <c r="F6753" t="s">
        <v>30900</v>
      </c>
      <c r="G6753" t="s">
        <v>30908</v>
      </c>
      <c r="H6753" t="s">
        <v>30916</v>
      </c>
      <c r="I6753" t="s">
        <v>9385</v>
      </c>
      <c r="J6753" t="s">
        <v>35387</v>
      </c>
      <c r="K6753" t="s">
        <v>40287</v>
      </c>
      <c r="M6753" t="s">
        <v>43085</v>
      </c>
      <c r="N6753" t="s">
        <v>44759</v>
      </c>
      <c r="O6753" t="s">
        <v>44760</v>
      </c>
      <c r="P6753">
        <v>0</v>
      </c>
      <c r="Q6753">
        <v>7</v>
      </c>
      <c r="R6753" t="s">
        <v>44767</v>
      </c>
      <c r="S6753" t="s">
        <v>44954</v>
      </c>
      <c r="T6753" t="s">
        <v>46533</v>
      </c>
      <c r="U6753" t="s">
        <v>52596</v>
      </c>
      <c r="W6753" t="s">
        <v>43085</v>
      </c>
      <c r="X6753" t="s">
        <v>44768</v>
      </c>
    </row>
    <row r="6754" spans="1:24">
      <c r="A6754">
        <f>HYPERLINK("https://www.philgeps.gov.ph/GEPSNONPILOT/Tender/SplashBidNoticeAbstractUI.aspx?menuIndex=3&amp;refID=7142313&amp;Result=3","7142313")</f>
        <v>0</v>
      </c>
      <c r="B6754" t="s">
        <v>2362</v>
      </c>
      <c r="C6754" t="s">
        <v>10159</v>
      </c>
      <c r="D6754" t="s">
        <v>17993</v>
      </c>
      <c r="E6754" t="s">
        <v>23975</v>
      </c>
      <c r="F6754" t="s">
        <v>30900</v>
      </c>
      <c r="G6754" t="s">
        <v>30907</v>
      </c>
      <c r="H6754" t="s">
        <v>30916</v>
      </c>
      <c r="I6754" t="s">
        <v>5501</v>
      </c>
      <c r="J6754" t="s">
        <v>31669</v>
      </c>
      <c r="K6754" t="s">
        <v>40288</v>
      </c>
      <c r="M6754" t="s">
        <v>43086</v>
      </c>
      <c r="N6754" t="s">
        <v>44759</v>
      </c>
      <c r="O6754" t="s">
        <v>44760</v>
      </c>
      <c r="P6754">
        <v>0</v>
      </c>
      <c r="Q6754">
        <v>4</v>
      </c>
      <c r="R6754" t="s">
        <v>44767</v>
      </c>
      <c r="S6754" t="s">
        <v>44954</v>
      </c>
      <c r="T6754" t="s">
        <v>46383</v>
      </c>
      <c r="U6754" t="s">
        <v>52597</v>
      </c>
      <c r="W6754" t="s">
        <v>43086</v>
      </c>
      <c r="X6754" t="s">
        <v>44768</v>
      </c>
    </row>
    <row r="6755" spans="1:24">
      <c r="A6755">
        <f>HYPERLINK("https://www.philgeps.gov.ph/GEPSNONPILOT/Tender/SplashBidNoticeAbstractUI.aspx?menuIndex=3&amp;refID=7142329&amp;Result=3","7142329")</f>
        <v>0</v>
      </c>
      <c r="B6755" t="s">
        <v>666</v>
      </c>
      <c r="C6755" t="s">
        <v>10160</v>
      </c>
      <c r="D6755" t="s">
        <v>17973</v>
      </c>
      <c r="E6755" t="s">
        <v>23976</v>
      </c>
      <c r="F6755" t="s">
        <v>30900</v>
      </c>
      <c r="G6755" t="s">
        <v>30909</v>
      </c>
      <c r="H6755" t="s">
        <v>30916</v>
      </c>
      <c r="I6755" t="s">
        <v>30923</v>
      </c>
      <c r="J6755" t="s">
        <v>32175</v>
      </c>
      <c r="K6755" t="s">
        <v>40289</v>
      </c>
      <c r="M6755" t="s">
        <v>41229</v>
      </c>
      <c r="N6755" t="s">
        <v>44759</v>
      </c>
      <c r="O6755" t="s">
        <v>44760</v>
      </c>
      <c r="P6755">
        <v>0</v>
      </c>
      <c r="Q6755">
        <v>2</v>
      </c>
      <c r="R6755" t="s">
        <v>44767</v>
      </c>
      <c r="S6755" t="s">
        <v>44954</v>
      </c>
      <c r="T6755" t="s">
        <v>46612</v>
      </c>
      <c r="U6755" t="s">
        <v>52598</v>
      </c>
      <c r="W6755" t="s">
        <v>41229</v>
      </c>
      <c r="X6755" t="s">
        <v>44768</v>
      </c>
    </row>
    <row r="6756" spans="1:24">
      <c r="A6756">
        <f>HYPERLINK("https://www.philgeps.gov.ph/GEPSNONPILOT/Tender/SplashBidNoticeAbstractUI.aspx?menuIndex=3&amp;refID=7142326&amp;Result=3","7142326")</f>
        <v>0</v>
      </c>
      <c r="B6756" t="s">
        <v>2356</v>
      </c>
      <c r="C6756" t="s">
        <v>10161</v>
      </c>
      <c r="D6756" t="s">
        <v>17988</v>
      </c>
      <c r="E6756" t="s">
        <v>23977</v>
      </c>
      <c r="F6756" t="s">
        <v>30900</v>
      </c>
      <c r="G6756" t="s">
        <v>30907</v>
      </c>
      <c r="H6756" t="s">
        <v>30916</v>
      </c>
      <c r="I6756" t="s">
        <v>8123</v>
      </c>
      <c r="J6756" t="s">
        <v>35388</v>
      </c>
      <c r="K6756" t="s">
        <v>40314</v>
      </c>
      <c r="M6756" t="s">
        <v>43080</v>
      </c>
      <c r="N6756" t="s">
        <v>44759</v>
      </c>
      <c r="O6756" t="s">
        <v>44760</v>
      </c>
      <c r="P6756">
        <v>0</v>
      </c>
      <c r="Q6756">
        <v>0</v>
      </c>
      <c r="R6756" t="s">
        <v>44767</v>
      </c>
      <c r="S6756" t="s">
        <v>44954</v>
      </c>
      <c r="T6756" t="s">
        <v>46426</v>
      </c>
      <c r="U6756" t="s">
        <v>52599</v>
      </c>
      <c r="W6756" t="s">
        <v>43080</v>
      </c>
      <c r="X6756" t="s">
        <v>44768</v>
      </c>
    </row>
    <row r="6757" spans="1:24">
      <c r="A6757">
        <f>HYPERLINK("https://www.philgeps.gov.ph/GEPSNONPILOT/Tender/SplashBidNoticeAbstractUI.aspx?menuIndex=3&amp;refID=7142324&amp;Result=3","7142324")</f>
        <v>0</v>
      </c>
      <c r="B6757" t="s">
        <v>2363</v>
      </c>
      <c r="C6757" t="s">
        <v>10162</v>
      </c>
      <c r="D6757" t="s">
        <v>17955</v>
      </c>
      <c r="E6757" t="s">
        <v>23978</v>
      </c>
      <c r="F6757" t="s">
        <v>30900</v>
      </c>
      <c r="G6757" t="s">
        <v>30907</v>
      </c>
      <c r="H6757" t="s">
        <v>30915</v>
      </c>
      <c r="I6757" t="s">
        <v>30919</v>
      </c>
      <c r="J6757" t="s">
        <v>35389</v>
      </c>
      <c r="K6757" t="s">
        <v>40280</v>
      </c>
      <c r="M6757" t="s">
        <v>43087</v>
      </c>
      <c r="N6757" t="s">
        <v>44759</v>
      </c>
      <c r="O6757" t="s">
        <v>44760</v>
      </c>
      <c r="P6757">
        <v>0</v>
      </c>
      <c r="Q6757">
        <v>0</v>
      </c>
      <c r="R6757" t="s">
        <v>44767</v>
      </c>
      <c r="S6757" t="s">
        <v>44954</v>
      </c>
      <c r="T6757" t="s">
        <v>46357</v>
      </c>
      <c r="U6757" t="s">
        <v>52600</v>
      </c>
      <c r="W6757" t="s">
        <v>43087</v>
      </c>
      <c r="X6757" t="s">
        <v>44768</v>
      </c>
    </row>
    <row r="6758" spans="1:24">
      <c r="A6758">
        <f>HYPERLINK("https://www.philgeps.gov.ph/GEPSNONPILOT/Tender/SplashBidNoticeAbstractUI.aspx?menuIndex=3&amp;refID=7142361&amp;Result=3","7142361")</f>
        <v>0</v>
      </c>
      <c r="B6758" t="s">
        <v>2364</v>
      </c>
      <c r="C6758" t="s">
        <v>10163</v>
      </c>
      <c r="D6758" t="s">
        <v>17982</v>
      </c>
      <c r="E6758" t="s">
        <v>23979</v>
      </c>
      <c r="F6758" t="s">
        <v>30900</v>
      </c>
      <c r="G6758" t="s">
        <v>30907</v>
      </c>
      <c r="H6758" t="s">
        <v>30915</v>
      </c>
      <c r="I6758" t="s">
        <v>30919</v>
      </c>
      <c r="J6758" t="s">
        <v>31105</v>
      </c>
      <c r="K6758" t="s">
        <v>40286</v>
      </c>
      <c r="M6758" t="s">
        <v>43088</v>
      </c>
      <c r="N6758" t="s">
        <v>44759</v>
      </c>
      <c r="O6758" t="s">
        <v>44760</v>
      </c>
      <c r="P6758">
        <v>0</v>
      </c>
      <c r="Q6758">
        <v>0</v>
      </c>
      <c r="R6758" t="s">
        <v>44767</v>
      </c>
      <c r="S6758" t="s">
        <v>44954</v>
      </c>
      <c r="T6758" t="s">
        <v>46353</v>
      </c>
      <c r="U6758" t="s">
        <v>52601</v>
      </c>
      <c r="W6758" t="s">
        <v>43088</v>
      </c>
      <c r="X6758" t="s">
        <v>44768</v>
      </c>
    </row>
    <row r="6759" spans="1:24">
      <c r="A6759">
        <f>HYPERLINK("https://www.philgeps.gov.ph/GEPSNONPILOT/Tender/SplashBidNoticeAbstractUI.aspx?menuIndex=3&amp;refID=7142395&amp;Result=3","7142395")</f>
        <v>0</v>
      </c>
      <c r="B6759" t="s">
        <v>838</v>
      </c>
      <c r="C6759" t="s">
        <v>10164</v>
      </c>
      <c r="D6759" t="s">
        <v>17975</v>
      </c>
      <c r="E6759" t="s">
        <v>22616</v>
      </c>
      <c r="F6759" t="s">
        <v>30900</v>
      </c>
      <c r="G6759" t="s">
        <v>30910</v>
      </c>
      <c r="H6759" t="s">
        <v>30917</v>
      </c>
      <c r="I6759" t="s">
        <v>30923</v>
      </c>
      <c r="J6759" t="s">
        <v>35390</v>
      </c>
      <c r="K6759" t="s">
        <v>40284</v>
      </c>
      <c r="M6759" t="s">
        <v>41411</v>
      </c>
      <c r="N6759" t="s">
        <v>44759</v>
      </c>
      <c r="O6759" t="s">
        <v>44760</v>
      </c>
      <c r="P6759">
        <v>0</v>
      </c>
      <c r="Q6759">
        <v>4</v>
      </c>
      <c r="R6759" t="s">
        <v>44767</v>
      </c>
      <c r="S6759" t="s">
        <v>44954</v>
      </c>
      <c r="T6759" t="s">
        <v>46625</v>
      </c>
      <c r="U6759" t="s">
        <v>52602</v>
      </c>
      <c r="W6759" t="s">
        <v>41411</v>
      </c>
      <c r="X6759" t="s">
        <v>44768</v>
      </c>
    </row>
    <row r="6760" spans="1:24">
      <c r="A6760">
        <f>HYPERLINK("https://www.philgeps.gov.ph/GEPSNONPILOT/Tender/SplashBidNoticeAbstractUI.aspx?menuIndex=3&amp;refID=7142317&amp;Result=3","7142317")</f>
        <v>0</v>
      </c>
      <c r="B6760" t="s">
        <v>1574</v>
      </c>
      <c r="C6760" t="s">
        <v>10165</v>
      </c>
      <c r="D6760" t="s">
        <v>18019</v>
      </c>
      <c r="E6760" t="s">
        <v>23980</v>
      </c>
      <c r="F6760" t="s">
        <v>30900</v>
      </c>
      <c r="G6760" t="s">
        <v>30907</v>
      </c>
      <c r="H6760" t="s">
        <v>30915</v>
      </c>
      <c r="I6760" t="s">
        <v>30919</v>
      </c>
      <c r="J6760" t="s">
        <v>35391</v>
      </c>
      <c r="K6760" t="s">
        <v>40381</v>
      </c>
      <c r="M6760" t="s">
        <v>42222</v>
      </c>
      <c r="N6760" t="s">
        <v>44759</v>
      </c>
      <c r="O6760" t="s">
        <v>44760</v>
      </c>
      <c r="P6760">
        <v>0</v>
      </c>
      <c r="Q6760">
        <v>1</v>
      </c>
      <c r="R6760" t="s">
        <v>44767</v>
      </c>
      <c r="S6760" t="s">
        <v>44954</v>
      </c>
      <c r="T6760" t="s">
        <v>46480</v>
      </c>
      <c r="U6760" t="s">
        <v>52603</v>
      </c>
      <c r="W6760" t="s">
        <v>42222</v>
      </c>
      <c r="X6760" t="s">
        <v>44768</v>
      </c>
    </row>
    <row r="6761" spans="1:24">
      <c r="A6761">
        <f>HYPERLINK("https://www.philgeps.gov.ph/GEPSNONPILOT/Tender/SplashBidNoticeAbstractUI.aspx?menuIndex=3&amp;refID=7142392&amp;Result=3","7142392")</f>
        <v>0</v>
      </c>
      <c r="B6761" t="s">
        <v>1164</v>
      </c>
      <c r="C6761" t="s">
        <v>10166</v>
      </c>
      <c r="D6761" t="s">
        <v>17955</v>
      </c>
      <c r="E6761" t="s">
        <v>23981</v>
      </c>
      <c r="F6761" t="s">
        <v>30900</v>
      </c>
      <c r="G6761" t="s">
        <v>30908</v>
      </c>
      <c r="H6761" t="s">
        <v>30916</v>
      </c>
      <c r="I6761" t="s">
        <v>9385</v>
      </c>
      <c r="J6761" t="s">
        <v>35392</v>
      </c>
      <c r="K6761" t="s">
        <v>40289</v>
      </c>
      <c r="M6761" t="s">
        <v>43089</v>
      </c>
      <c r="N6761" t="s">
        <v>44759</v>
      </c>
      <c r="O6761" t="s">
        <v>44760</v>
      </c>
      <c r="P6761">
        <v>0</v>
      </c>
      <c r="Q6761">
        <v>5</v>
      </c>
      <c r="R6761" t="s">
        <v>44767</v>
      </c>
      <c r="S6761" t="s">
        <v>44954</v>
      </c>
      <c r="T6761" t="s">
        <v>46662</v>
      </c>
      <c r="U6761" t="s">
        <v>52604</v>
      </c>
      <c r="V6761" t="s">
        <v>59847</v>
      </c>
      <c r="W6761" t="s">
        <v>43089</v>
      </c>
      <c r="X6761" t="s">
        <v>44768</v>
      </c>
    </row>
    <row r="6762" spans="1:24">
      <c r="A6762">
        <f>HYPERLINK("https://www.philgeps.gov.ph/GEPSNONPILOT/Tender/SplashBidNoticeAbstractUI.aspx?menuIndex=3&amp;refID=7142383&amp;Result=3","7142383")</f>
        <v>0</v>
      </c>
      <c r="B6762" t="s">
        <v>2346</v>
      </c>
      <c r="C6762" t="s">
        <v>10167</v>
      </c>
      <c r="D6762" t="s">
        <v>17976</v>
      </c>
      <c r="E6762" t="s">
        <v>23028</v>
      </c>
      <c r="F6762" t="s">
        <v>30900</v>
      </c>
      <c r="G6762" t="s">
        <v>30907</v>
      </c>
      <c r="H6762" t="s">
        <v>30915</v>
      </c>
      <c r="I6762" t="s">
        <v>30919</v>
      </c>
      <c r="J6762" t="s">
        <v>35393</v>
      </c>
      <c r="K6762" t="s">
        <v>40304</v>
      </c>
      <c r="M6762" t="s">
        <v>43090</v>
      </c>
      <c r="N6762" t="s">
        <v>44759</v>
      </c>
      <c r="O6762" t="s">
        <v>44760</v>
      </c>
      <c r="P6762">
        <v>0</v>
      </c>
      <c r="Q6762">
        <v>1</v>
      </c>
      <c r="R6762" t="s">
        <v>44767</v>
      </c>
      <c r="S6762" t="s">
        <v>44954</v>
      </c>
      <c r="T6762" t="s">
        <v>46350</v>
      </c>
      <c r="U6762" t="s">
        <v>52605</v>
      </c>
      <c r="W6762" t="s">
        <v>43090</v>
      </c>
      <c r="X6762" t="s">
        <v>44768</v>
      </c>
    </row>
    <row r="6763" spans="1:24">
      <c r="A6763">
        <f>HYPERLINK("https://www.philgeps.gov.ph/GEPSNONPILOT/Tender/SplashBidNoticeAbstractUI.aspx?menuIndex=3&amp;refID=7142349&amp;Result=3","7142349")</f>
        <v>0</v>
      </c>
      <c r="B6763" t="s">
        <v>2365</v>
      </c>
      <c r="C6763" t="s">
        <v>10168</v>
      </c>
      <c r="D6763" t="s">
        <v>17968</v>
      </c>
      <c r="E6763" t="s">
        <v>23982</v>
      </c>
      <c r="F6763" t="s">
        <v>30900</v>
      </c>
      <c r="G6763" t="s">
        <v>30907</v>
      </c>
      <c r="H6763" t="s">
        <v>30916</v>
      </c>
      <c r="I6763" t="s">
        <v>30956</v>
      </c>
      <c r="J6763" t="s">
        <v>35394</v>
      </c>
      <c r="K6763" t="s">
        <v>40289</v>
      </c>
      <c r="M6763" t="s">
        <v>43091</v>
      </c>
      <c r="N6763" t="s">
        <v>44759</v>
      </c>
      <c r="O6763" t="s">
        <v>44760</v>
      </c>
      <c r="P6763">
        <v>0</v>
      </c>
      <c r="Q6763">
        <v>2</v>
      </c>
      <c r="R6763" t="s">
        <v>44767</v>
      </c>
      <c r="S6763" t="s">
        <v>44954</v>
      </c>
      <c r="T6763" t="s">
        <v>46428</v>
      </c>
      <c r="U6763" t="s">
        <v>52606</v>
      </c>
      <c r="W6763" t="s">
        <v>43091</v>
      </c>
      <c r="X6763" t="s">
        <v>44768</v>
      </c>
    </row>
    <row r="6764" spans="1:24">
      <c r="A6764">
        <f>HYPERLINK("https://www.philgeps.gov.ph/GEPSNONPILOT/Tender/SplashBidNoticeAbstractUI.aspx?menuIndex=3&amp;refID=7142382&amp;Result=3","7142382")</f>
        <v>0</v>
      </c>
      <c r="B6764" t="s">
        <v>1973</v>
      </c>
      <c r="C6764" t="s">
        <v>10169</v>
      </c>
      <c r="D6764" t="s">
        <v>18012</v>
      </c>
      <c r="E6764" t="s">
        <v>23983</v>
      </c>
      <c r="F6764" t="s">
        <v>30900</v>
      </c>
      <c r="G6764" t="s">
        <v>30907</v>
      </c>
      <c r="H6764" t="s">
        <v>30916</v>
      </c>
      <c r="I6764" t="s">
        <v>4545</v>
      </c>
      <c r="J6764" t="s">
        <v>31043</v>
      </c>
      <c r="K6764" t="s">
        <v>40284</v>
      </c>
      <c r="M6764" t="s">
        <v>42661</v>
      </c>
      <c r="N6764" t="s">
        <v>44759</v>
      </c>
      <c r="O6764" t="s">
        <v>44760</v>
      </c>
      <c r="P6764">
        <v>0</v>
      </c>
      <c r="Q6764">
        <v>0</v>
      </c>
      <c r="R6764" t="s">
        <v>44767</v>
      </c>
      <c r="S6764" t="s">
        <v>44954</v>
      </c>
      <c r="T6764" t="s">
        <v>46443</v>
      </c>
      <c r="U6764" t="s">
        <v>52607</v>
      </c>
      <c r="W6764" t="s">
        <v>42661</v>
      </c>
      <c r="X6764" t="s">
        <v>44768</v>
      </c>
    </row>
    <row r="6765" spans="1:24">
      <c r="A6765">
        <f>HYPERLINK("https://www.philgeps.gov.ph/GEPSNONPILOT/Tender/SplashBidNoticeAbstractUI.aspx?menuIndex=3&amp;refID=7142327&amp;Result=3","7142327")</f>
        <v>0</v>
      </c>
      <c r="B6765" t="s">
        <v>2366</v>
      </c>
      <c r="C6765" t="s">
        <v>10170</v>
      </c>
      <c r="D6765" t="s">
        <v>17984</v>
      </c>
      <c r="E6765" t="s">
        <v>23984</v>
      </c>
      <c r="F6765" t="s">
        <v>30900</v>
      </c>
      <c r="G6765" t="s">
        <v>30910</v>
      </c>
      <c r="H6765" t="s">
        <v>30916</v>
      </c>
      <c r="I6765" t="s">
        <v>4545</v>
      </c>
      <c r="J6765" t="s">
        <v>35395</v>
      </c>
      <c r="K6765" t="s">
        <v>40283</v>
      </c>
      <c r="M6765" t="s">
        <v>43092</v>
      </c>
      <c r="N6765" t="s">
        <v>44759</v>
      </c>
      <c r="O6765" t="s">
        <v>44760</v>
      </c>
      <c r="P6765">
        <v>0</v>
      </c>
      <c r="Q6765">
        <v>0</v>
      </c>
      <c r="R6765" t="s">
        <v>44767</v>
      </c>
      <c r="S6765" t="s">
        <v>44954</v>
      </c>
      <c r="T6765" t="s">
        <v>46763</v>
      </c>
      <c r="U6765" t="s">
        <v>52608</v>
      </c>
      <c r="W6765" t="s">
        <v>43092</v>
      </c>
      <c r="X6765" t="s">
        <v>44768</v>
      </c>
    </row>
    <row r="6766" spans="1:24">
      <c r="A6766">
        <f>HYPERLINK("https://www.philgeps.gov.ph/GEPSNONPILOT/Tender/SplashBidNoticeAbstractUI.aspx?menuIndex=3&amp;refID=7142381&amp;Result=3","7142381")</f>
        <v>0</v>
      </c>
      <c r="B6766" t="s">
        <v>2355</v>
      </c>
      <c r="C6766" t="s">
        <v>3817</v>
      </c>
      <c r="D6766" t="s">
        <v>17985</v>
      </c>
      <c r="E6766" t="s">
        <v>21110</v>
      </c>
      <c r="F6766" t="s">
        <v>30900</v>
      </c>
      <c r="G6766" t="s">
        <v>30908</v>
      </c>
      <c r="H6766" t="s">
        <v>30916</v>
      </c>
      <c r="I6766" t="s">
        <v>5501</v>
      </c>
      <c r="J6766" t="s">
        <v>35396</v>
      </c>
      <c r="K6766" t="s">
        <v>40302</v>
      </c>
      <c r="M6766" t="s">
        <v>43079</v>
      </c>
      <c r="N6766" t="s">
        <v>44759</v>
      </c>
      <c r="O6766" t="s">
        <v>44760</v>
      </c>
      <c r="P6766">
        <v>0</v>
      </c>
      <c r="Q6766">
        <v>2</v>
      </c>
      <c r="R6766" t="s">
        <v>44767</v>
      </c>
      <c r="S6766" t="s">
        <v>44954</v>
      </c>
      <c r="T6766" t="s">
        <v>46398</v>
      </c>
      <c r="U6766" t="s">
        <v>52609</v>
      </c>
      <c r="W6766" t="s">
        <v>43079</v>
      </c>
      <c r="X6766" t="s">
        <v>44768</v>
      </c>
    </row>
    <row r="6767" spans="1:24">
      <c r="A6767">
        <f>HYPERLINK("https://www.philgeps.gov.ph/GEPSNONPILOT/Tender/SplashBidNoticeAbstractUI.aspx?menuIndex=3&amp;refID=7142402&amp;Result=3","7142402")</f>
        <v>0</v>
      </c>
      <c r="B6767" t="s">
        <v>313</v>
      </c>
      <c r="C6767" t="s">
        <v>10171</v>
      </c>
      <c r="E6767" t="s">
        <v>23985</v>
      </c>
      <c r="F6767" t="s">
        <v>30900</v>
      </c>
      <c r="G6767" t="s">
        <v>30908</v>
      </c>
      <c r="H6767" t="s">
        <v>30916</v>
      </c>
      <c r="I6767" t="s">
        <v>10602</v>
      </c>
      <c r="J6767" t="s">
        <v>31043</v>
      </c>
      <c r="K6767" t="s">
        <v>40289</v>
      </c>
      <c r="M6767" t="s">
        <v>40909</v>
      </c>
      <c r="N6767" t="s">
        <v>44759</v>
      </c>
      <c r="O6767" t="s">
        <v>44760</v>
      </c>
      <c r="P6767">
        <v>0</v>
      </c>
      <c r="Q6767">
        <v>0</v>
      </c>
      <c r="R6767" t="s">
        <v>44767</v>
      </c>
      <c r="S6767" t="s">
        <v>44954</v>
      </c>
      <c r="T6767" t="s">
        <v>46581</v>
      </c>
      <c r="U6767" t="s">
        <v>52610</v>
      </c>
      <c r="W6767" t="s">
        <v>40909</v>
      </c>
      <c r="X6767" t="s">
        <v>44768</v>
      </c>
    </row>
    <row r="6768" spans="1:24">
      <c r="A6768">
        <f>HYPERLINK("https://www.philgeps.gov.ph/GEPSNONPILOT/Tender/SplashBidNoticeAbstractUI.aspx?menuIndex=3&amp;refID=7142363&amp;Result=3","7142363")</f>
        <v>0</v>
      </c>
      <c r="B6768" t="s">
        <v>2367</v>
      </c>
      <c r="C6768" t="s">
        <v>10172</v>
      </c>
      <c r="D6768" t="s">
        <v>18005</v>
      </c>
      <c r="E6768" t="s">
        <v>20235</v>
      </c>
      <c r="F6768" t="s">
        <v>30900</v>
      </c>
      <c r="G6768" t="s">
        <v>30907</v>
      </c>
      <c r="H6768" t="s">
        <v>30916</v>
      </c>
      <c r="I6768" t="s">
        <v>30933</v>
      </c>
      <c r="J6768" t="s">
        <v>31105</v>
      </c>
      <c r="K6768" t="s">
        <v>40286</v>
      </c>
      <c r="M6768" t="s">
        <v>43093</v>
      </c>
      <c r="N6768" t="s">
        <v>44759</v>
      </c>
      <c r="O6768" t="s">
        <v>44760</v>
      </c>
      <c r="P6768">
        <v>0</v>
      </c>
      <c r="Q6768">
        <v>1</v>
      </c>
      <c r="R6768" t="s">
        <v>44767</v>
      </c>
      <c r="S6768" t="s">
        <v>44954</v>
      </c>
      <c r="T6768" t="s">
        <v>46501</v>
      </c>
      <c r="U6768" t="s">
        <v>52611</v>
      </c>
      <c r="W6768" t="s">
        <v>43093</v>
      </c>
      <c r="X6768" t="s">
        <v>44768</v>
      </c>
    </row>
    <row r="6769" spans="1:24">
      <c r="A6769">
        <f>HYPERLINK("https://www.philgeps.gov.ph/GEPSNONPILOT/Tender/SplashBidNoticeAbstractUI.aspx?menuIndex=3&amp;refID=7142400&amp;Result=3","7142400")</f>
        <v>0</v>
      </c>
      <c r="B6769" t="s">
        <v>2354</v>
      </c>
      <c r="C6769" t="s">
        <v>10173</v>
      </c>
      <c r="D6769" t="s">
        <v>18016</v>
      </c>
      <c r="E6769" t="s">
        <v>23986</v>
      </c>
      <c r="F6769" t="s">
        <v>30900</v>
      </c>
      <c r="G6769" t="s">
        <v>30907</v>
      </c>
      <c r="H6769" t="s">
        <v>30916</v>
      </c>
      <c r="I6769" t="s">
        <v>8123</v>
      </c>
      <c r="J6769" t="s">
        <v>31296</v>
      </c>
      <c r="K6769" t="s">
        <v>40287</v>
      </c>
      <c r="M6769" t="s">
        <v>43078</v>
      </c>
      <c r="N6769" t="s">
        <v>44759</v>
      </c>
      <c r="O6769" t="s">
        <v>44760</v>
      </c>
      <c r="P6769">
        <v>0</v>
      </c>
      <c r="Q6769">
        <v>1</v>
      </c>
      <c r="R6769" t="s">
        <v>44767</v>
      </c>
      <c r="S6769" t="s">
        <v>44954</v>
      </c>
      <c r="T6769" t="s">
        <v>46410</v>
      </c>
      <c r="U6769" t="s">
        <v>52612</v>
      </c>
      <c r="W6769" t="s">
        <v>43078</v>
      </c>
      <c r="X6769" t="s">
        <v>44768</v>
      </c>
    </row>
    <row r="6770" spans="1:24">
      <c r="A6770">
        <f>HYPERLINK("https://www.philgeps.gov.ph/GEPSNONPILOT/Tender/SplashBidNoticeAbstractUI.aspx?menuIndex=3&amp;refID=7142399&amp;Result=3","7142399")</f>
        <v>0</v>
      </c>
      <c r="B6770" t="s">
        <v>309</v>
      </c>
      <c r="C6770" t="s">
        <v>4332</v>
      </c>
      <c r="D6770" t="s">
        <v>17995</v>
      </c>
      <c r="E6770" t="s">
        <v>23987</v>
      </c>
      <c r="F6770" t="s">
        <v>30900</v>
      </c>
      <c r="G6770" t="s">
        <v>30908</v>
      </c>
      <c r="H6770" t="s">
        <v>30916</v>
      </c>
      <c r="I6770" t="s">
        <v>5501</v>
      </c>
      <c r="J6770" t="s">
        <v>35397</v>
      </c>
      <c r="K6770" t="s">
        <v>40283</v>
      </c>
      <c r="M6770" t="s">
        <v>40859</v>
      </c>
      <c r="N6770" t="s">
        <v>44759</v>
      </c>
      <c r="O6770" t="s">
        <v>44760</v>
      </c>
      <c r="P6770">
        <v>0</v>
      </c>
      <c r="Q6770">
        <v>1</v>
      </c>
      <c r="R6770" t="s">
        <v>44767</v>
      </c>
      <c r="S6770" t="s">
        <v>44954</v>
      </c>
      <c r="T6770" t="s">
        <v>46658</v>
      </c>
      <c r="U6770" t="s">
        <v>52613</v>
      </c>
      <c r="W6770" t="s">
        <v>40859</v>
      </c>
      <c r="X6770" t="s">
        <v>44768</v>
      </c>
    </row>
    <row r="6771" spans="1:24">
      <c r="A6771">
        <f>HYPERLINK("https://www.philgeps.gov.ph/GEPSNONPILOT/Tender/SplashBidNoticeAbstractUI.aspx?menuIndex=3&amp;refID=7142333&amp;Result=3","7142333")</f>
        <v>0</v>
      </c>
      <c r="B6771" t="s">
        <v>2356</v>
      </c>
      <c r="C6771" t="s">
        <v>10174</v>
      </c>
      <c r="D6771" t="s">
        <v>17988</v>
      </c>
      <c r="E6771" t="s">
        <v>10174</v>
      </c>
      <c r="F6771" t="s">
        <v>30900</v>
      </c>
      <c r="G6771" t="s">
        <v>30907</v>
      </c>
      <c r="H6771" t="s">
        <v>30916</v>
      </c>
      <c r="I6771" t="s">
        <v>8123</v>
      </c>
      <c r="J6771" t="s">
        <v>35398</v>
      </c>
      <c r="K6771" t="s">
        <v>40314</v>
      </c>
      <c r="M6771" t="s">
        <v>43080</v>
      </c>
      <c r="N6771" t="s">
        <v>44759</v>
      </c>
      <c r="O6771" t="s">
        <v>44760</v>
      </c>
      <c r="P6771">
        <v>0</v>
      </c>
      <c r="Q6771">
        <v>0</v>
      </c>
      <c r="R6771" t="s">
        <v>44767</v>
      </c>
      <c r="S6771" t="s">
        <v>44954</v>
      </c>
      <c r="T6771" t="s">
        <v>46426</v>
      </c>
      <c r="U6771" t="s">
        <v>52614</v>
      </c>
      <c r="W6771" t="s">
        <v>43080</v>
      </c>
      <c r="X6771" t="s">
        <v>44768</v>
      </c>
    </row>
    <row r="6772" spans="1:24">
      <c r="A6772">
        <f>HYPERLINK("https://www.philgeps.gov.ph/GEPSNONPILOT/Tender/SplashBidNoticeAbstractUI.aspx?menuIndex=3&amp;refID=7142371&amp;Result=3","7142371")</f>
        <v>0</v>
      </c>
      <c r="B6772" t="s">
        <v>1960</v>
      </c>
      <c r="C6772" t="s">
        <v>10175</v>
      </c>
      <c r="D6772" t="s">
        <v>17975</v>
      </c>
      <c r="E6772" t="s">
        <v>23988</v>
      </c>
      <c r="F6772" t="s">
        <v>30900</v>
      </c>
      <c r="G6772" t="s">
        <v>30907</v>
      </c>
      <c r="H6772" t="s">
        <v>30915</v>
      </c>
      <c r="I6772" t="s">
        <v>30919</v>
      </c>
      <c r="J6772" t="s">
        <v>35399</v>
      </c>
      <c r="K6772" t="s">
        <v>40342</v>
      </c>
      <c r="M6772" t="s">
        <v>42644</v>
      </c>
      <c r="N6772" t="s">
        <v>44759</v>
      </c>
      <c r="O6772" t="s">
        <v>44760</v>
      </c>
      <c r="P6772">
        <v>0</v>
      </c>
      <c r="Q6772">
        <v>1</v>
      </c>
      <c r="R6772" t="s">
        <v>44767</v>
      </c>
      <c r="S6772" t="s">
        <v>44954</v>
      </c>
      <c r="T6772" t="s">
        <v>46455</v>
      </c>
      <c r="U6772" t="s">
        <v>52615</v>
      </c>
      <c r="W6772" t="s">
        <v>42644</v>
      </c>
      <c r="X6772" t="s">
        <v>44768</v>
      </c>
    </row>
    <row r="6773" spans="1:24">
      <c r="A6773">
        <f>HYPERLINK("https://www.philgeps.gov.ph/GEPSNONPILOT/Tender/SplashBidNoticeAbstractUI.aspx?menuIndex=3&amp;refID=7142377&amp;Result=3","7142377")</f>
        <v>0</v>
      </c>
      <c r="B6773" t="s">
        <v>1321</v>
      </c>
      <c r="C6773" t="s">
        <v>10176</v>
      </c>
      <c r="D6773" t="s">
        <v>17976</v>
      </c>
      <c r="E6773" t="s">
        <v>23989</v>
      </c>
      <c r="F6773" t="s">
        <v>30900</v>
      </c>
      <c r="G6773" t="s">
        <v>30908</v>
      </c>
      <c r="H6773" t="s">
        <v>30916</v>
      </c>
      <c r="I6773" t="s">
        <v>8123</v>
      </c>
      <c r="J6773" t="s">
        <v>35400</v>
      </c>
      <c r="K6773" t="s">
        <v>40283</v>
      </c>
      <c r="M6773" t="s">
        <v>41940</v>
      </c>
      <c r="N6773" t="s">
        <v>44759</v>
      </c>
      <c r="O6773" t="s">
        <v>44760</v>
      </c>
      <c r="P6773">
        <v>0</v>
      </c>
      <c r="Q6773">
        <v>0</v>
      </c>
      <c r="R6773" t="s">
        <v>44767</v>
      </c>
      <c r="S6773" t="s">
        <v>44954</v>
      </c>
      <c r="T6773" t="s">
        <v>46625</v>
      </c>
      <c r="U6773" t="s">
        <v>52616</v>
      </c>
      <c r="W6773" t="s">
        <v>41940</v>
      </c>
      <c r="X6773" t="s">
        <v>44768</v>
      </c>
    </row>
    <row r="6774" spans="1:24">
      <c r="A6774">
        <f>HYPERLINK("https://www.philgeps.gov.ph/GEPSNONPILOT/Tender/SplashBidNoticeAbstractUI.aspx?menuIndex=3&amp;refID=7142370&amp;Result=3","7142370")</f>
        <v>0</v>
      </c>
      <c r="B6774" t="s">
        <v>2358</v>
      </c>
      <c r="C6774" t="s">
        <v>10177</v>
      </c>
      <c r="D6774" t="s">
        <v>17971</v>
      </c>
      <c r="E6774" t="s">
        <v>19262</v>
      </c>
      <c r="F6774" t="s">
        <v>30900</v>
      </c>
      <c r="G6774" t="s">
        <v>30907</v>
      </c>
      <c r="H6774" t="s">
        <v>30916</v>
      </c>
      <c r="I6774" t="s">
        <v>30932</v>
      </c>
      <c r="J6774" t="s">
        <v>31282</v>
      </c>
      <c r="K6774" t="s">
        <v>40287</v>
      </c>
      <c r="M6774" t="s">
        <v>43082</v>
      </c>
      <c r="N6774" t="s">
        <v>44759</v>
      </c>
      <c r="O6774" t="s">
        <v>44760</v>
      </c>
      <c r="P6774">
        <v>0</v>
      </c>
      <c r="Q6774">
        <v>2</v>
      </c>
      <c r="R6774" t="s">
        <v>44767</v>
      </c>
      <c r="S6774" t="s">
        <v>44954</v>
      </c>
      <c r="T6774" t="s">
        <v>46623</v>
      </c>
      <c r="U6774" t="s">
        <v>52617</v>
      </c>
      <c r="W6774" t="s">
        <v>43082</v>
      </c>
      <c r="X6774" t="s">
        <v>44768</v>
      </c>
    </row>
    <row r="6775" spans="1:24">
      <c r="A6775">
        <f>HYPERLINK("https://www.philgeps.gov.ph/GEPSNONPILOT/Tender/SplashBidNoticeAbstractUI.aspx?menuIndex=3&amp;refID=7142365&amp;Result=3","7142365")</f>
        <v>0</v>
      </c>
      <c r="B6775" t="s">
        <v>2359</v>
      </c>
      <c r="C6775" t="s">
        <v>10178</v>
      </c>
      <c r="D6775" t="s">
        <v>18022</v>
      </c>
      <c r="E6775" t="s">
        <v>23990</v>
      </c>
      <c r="F6775" t="s">
        <v>30900</v>
      </c>
      <c r="G6775" t="s">
        <v>30907</v>
      </c>
      <c r="H6775" t="s">
        <v>30915</v>
      </c>
      <c r="I6775" t="s">
        <v>30919</v>
      </c>
      <c r="J6775" t="s">
        <v>35401</v>
      </c>
      <c r="K6775" t="s">
        <v>40289</v>
      </c>
      <c r="M6775" t="s">
        <v>43083</v>
      </c>
      <c r="N6775" t="s">
        <v>44759</v>
      </c>
      <c r="O6775" t="s">
        <v>44760</v>
      </c>
      <c r="P6775">
        <v>0</v>
      </c>
      <c r="Q6775">
        <v>0</v>
      </c>
      <c r="R6775" t="s">
        <v>44767</v>
      </c>
      <c r="S6775" t="s">
        <v>44954</v>
      </c>
      <c r="T6775" t="s">
        <v>46533</v>
      </c>
      <c r="U6775" t="s">
        <v>52618</v>
      </c>
      <c r="W6775" t="s">
        <v>60888</v>
      </c>
      <c r="X6775" t="s">
        <v>44768</v>
      </c>
    </row>
    <row r="6776" spans="1:24">
      <c r="A6776">
        <f>HYPERLINK("https://www.philgeps.gov.ph/GEPSNONPILOT/Tender/SplashBidNoticeAbstractUI.aspx?menuIndex=3&amp;refID=7142364&amp;Result=3","7142364")</f>
        <v>0</v>
      </c>
      <c r="B6776" t="s">
        <v>1251</v>
      </c>
      <c r="C6776" t="s">
        <v>10179</v>
      </c>
      <c r="D6776" t="s">
        <v>17963</v>
      </c>
      <c r="E6776" t="s">
        <v>23991</v>
      </c>
      <c r="F6776" t="s">
        <v>30900</v>
      </c>
      <c r="G6776" t="s">
        <v>30908</v>
      </c>
      <c r="H6776" t="s">
        <v>30916</v>
      </c>
      <c r="I6776" t="s">
        <v>8123</v>
      </c>
      <c r="J6776" t="s">
        <v>35402</v>
      </c>
      <c r="K6776" t="s">
        <v>40286</v>
      </c>
      <c r="M6776" t="s">
        <v>41863</v>
      </c>
      <c r="N6776" t="s">
        <v>44759</v>
      </c>
      <c r="O6776" t="s">
        <v>44760</v>
      </c>
      <c r="P6776">
        <v>0</v>
      </c>
      <c r="Q6776">
        <v>2</v>
      </c>
      <c r="R6776" t="s">
        <v>44767</v>
      </c>
      <c r="S6776" t="s">
        <v>44954</v>
      </c>
      <c r="T6776" t="s">
        <v>46374</v>
      </c>
      <c r="U6776" t="s">
        <v>52619</v>
      </c>
      <c r="W6776" t="s">
        <v>41863</v>
      </c>
      <c r="X6776" t="s">
        <v>44768</v>
      </c>
    </row>
    <row r="6777" spans="1:24">
      <c r="A6777">
        <f>HYPERLINK("https://www.philgeps.gov.ph/GEPSNONPILOT/Tender/SplashBidNoticeAbstractUI.aspx?menuIndex=3&amp;refID=7142410&amp;Result=3","7142410")</f>
        <v>0</v>
      </c>
      <c r="B6777" t="s">
        <v>2368</v>
      </c>
      <c r="C6777" t="s">
        <v>10180</v>
      </c>
      <c r="D6777" t="s">
        <v>17996</v>
      </c>
      <c r="E6777" t="s">
        <v>23992</v>
      </c>
      <c r="F6777" t="s">
        <v>30900</v>
      </c>
      <c r="G6777" t="s">
        <v>30907</v>
      </c>
      <c r="H6777" t="s">
        <v>30915</v>
      </c>
      <c r="I6777" t="s">
        <v>30919</v>
      </c>
      <c r="J6777" t="s">
        <v>31341</v>
      </c>
      <c r="K6777" t="s">
        <v>40286</v>
      </c>
      <c r="M6777" t="s">
        <v>43094</v>
      </c>
      <c r="N6777" t="s">
        <v>44759</v>
      </c>
      <c r="O6777" t="s">
        <v>44760</v>
      </c>
      <c r="P6777">
        <v>0</v>
      </c>
      <c r="Q6777">
        <v>0</v>
      </c>
      <c r="R6777" t="s">
        <v>44767</v>
      </c>
      <c r="S6777" t="s">
        <v>44954</v>
      </c>
      <c r="T6777" t="s">
        <v>46379</v>
      </c>
      <c r="U6777" t="s">
        <v>52620</v>
      </c>
      <c r="W6777" t="s">
        <v>43094</v>
      </c>
      <c r="X6777" t="s">
        <v>44768</v>
      </c>
    </row>
    <row r="6778" spans="1:24">
      <c r="A6778">
        <f>HYPERLINK("https://www.philgeps.gov.ph/GEPSNONPILOT/Tender/SplashBidNoticeAbstractUI.aspx?menuIndex=3&amp;refID=7142401&amp;Result=3","7142401")</f>
        <v>0</v>
      </c>
      <c r="B6778" t="s">
        <v>2351</v>
      </c>
      <c r="C6778" t="s">
        <v>10181</v>
      </c>
      <c r="D6778" t="s">
        <v>17953</v>
      </c>
      <c r="E6778" t="s">
        <v>23993</v>
      </c>
      <c r="F6778" t="s">
        <v>30900</v>
      </c>
      <c r="G6778" t="s">
        <v>30908</v>
      </c>
      <c r="H6778" t="s">
        <v>30916</v>
      </c>
      <c r="I6778" t="s">
        <v>30923</v>
      </c>
      <c r="J6778" t="s">
        <v>35403</v>
      </c>
      <c r="K6778" t="s">
        <v>40284</v>
      </c>
      <c r="M6778" t="s">
        <v>43075</v>
      </c>
      <c r="N6778" t="s">
        <v>44759</v>
      </c>
      <c r="O6778" t="s">
        <v>44760</v>
      </c>
      <c r="P6778">
        <v>0</v>
      </c>
      <c r="Q6778">
        <v>4</v>
      </c>
      <c r="R6778" t="s">
        <v>44767</v>
      </c>
      <c r="S6778" t="s">
        <v>44954</v>
      </c>
      <c r="T6778" t="s">
        <v>46409</v>
      </c>
      <c r="U6778" t="s">
        <v>52567</v>
      </c>
      <c r="W6778" t="s">
        <v>43075</v>
      </c>
      <c r="X6778" t="s">
        <v>44768</v>
      </c>
    </row>
    <row r="6779" spans="1:24">
      <c r="A6779">
        <f>HYPERLINK("https://www.philgeps.gov.ph/GEPSNONPILOT/Tender/SplashBidNoticeAbstractUI.aspx?menuIndex=3&amp;refID=7142427&amp;Result=3","7142427")</f>
        <v>0</v>
      </c>
      <c r="B6779" t="s">
        <v>2369</v>
      </c>
      <c r="C6779" t="s">
        <v>10182</v>
      </c>
      <c r="D6779" t="s">
        <v>17985</v>
      </c>
      <c r="E6779" t="s">
        <v>23994</v>
      </c>
      <c r="F6779" t="s">
        <v>30900</v>
      </c>
      <c r="G6779" t="s">
        <v>30907</v>
      </c>
      <c r="H6779" t="s">
        <v>30916</v>
      </c>
      <c r="I6779" t="s">
        <v>8123</v>
      </c>
      <c r="J6779" t="s">
        <v>35404</v>
      </c>
      <c r="K6779" t="s">
        <v>40289</v>
      </c>
      <c r="M6779" t="s">
        <v>43095</v>
      </c>
      <c r="N6779" t="s">
        <v>44759</v>
      </c>
      <c r="O6779" t="s">
        <v>44760</v>
      </c>
      <c r="P6779">
        <v>0</v>
      </c>
      <c r="Q6779">
        <v>0</v>
      </c>
      <c r="R6779" t="s">
        <v>44767</v>
      </c>
      <c r="S6779" t="s">
        <v>44954</v>
      </c>
      <c r="T6779" t="s">
        <v>46499</v>
      </c>
      <c r="U6779" t="s">
        <v>52621</v>
      </c>
      <c r="W6779" t="s">
        <v>43095</v>
      </c>
      <c r="X6779" t="s">
        <v>44768</v>
      </c>
    </row>
    <row r="6780" spans="1:24">
      <c r="A6780">
        <f>HYPERLINK("https://www.philgeps.gov.ph/GEPSNONPILOT/Tender/SplashBidNoticeAbstractUI.aspx?menuIndex=3&amp;refID=7142424&amp;Result=3","7142424")</f>
        <v>0</v>
      </c>
      <c r="B6780" t="s">
        <v>2370</v>
      </c>
      <c r="C6780" t="s">
        <v>10183</v>
      </c>
      <c r="D6780" t="s">
        <v>17978</v>
      </c>
      <c r="E6780" t="s">
        <v>19026</v>
      </c>
      <c r="F6780" t="s">
        <v>30900</v>
      </c>
      <c r="G6780" t="s">
        <v>30907</v>
      </c>
      <c r="H6780" t="s">
        <v>30915</v>
      </c>
      <c r="I6780" t="s">
        <v>30919</v>
      </c>
      <c r="J6780" t="s">
        <v>31049</v>
      </c>
      <c r="K6780" t="s">
        <v>40283</v>
      </c>
      <c r="M6780" t="s">
        <v>43096</v>
      </c>
      <c r="N6780" t="s">
        <v>44759</v>
      </c>
      <c r="O6780" t="s">
        <v>44760</v>
      </c>
      <c r="P6780">
        <v>0</v>
      </c>
      <c r="Q6780">
        <v>0</v>
      </c>
      <c r="R6780" t="s">
        <v>44767</v>
      </c>
      <c r="S6780" t="s">
        <v>44954</v>
      </c>
      <c r="T6780" t="s">
        <v>46414</v>
      </c>
      <c r="U6780" t="s">
        <v>52622</v>
      </c>
      <c r="W6780" t="s">
        <v>43096</v>
      </c>
      <c r="X6780" t="s">
        <v>44768</v>
      </c>
    </row>
    <row r="6781" spans="1:24">
      <c r="A6781">
        <f>HYPERLINK("https://www.philgeps.gov.ph/GEPSNONPILOT/Tender/SplashBidNoticeAbstractUI.aspx?menuIndex=3&amp;refID=7142405&amp;Result=3","7142405")</f>
        <v>0</v>
      </c>
      <c r="B6781" t="s">
        <v>2071</v>
      </c>
      <c r="C6781" t="s">
        <v>10184</v>
      </c>
      <c r="D6781" t="s">
        <v>17963</v>
      </c>
      <c r="E6781" t="s">
        <v>23995</v>
      </c>
      <c r="F6781" t="s">
        <v>30900</v>
      </c>
      <c r="G6781" t="s">
        <v>30907</v>
      </c>
      <c r="H6781" t="s">
        <v>30915</v>
      </c>
      <c r="I6781" t="s">
        <v>30919</v>
      </c>
      <c r="J6781" t="s">
        <v>35405</v>
      </c>
      <c r="K6781" t="s">
        <v>40286</v>
      </c>
      <c r="M6781" t="s">
        <v>42770</v>
      </c>
      <c r="N6781" t="s">
        <v>44759</v>
      </c>
      <c r="O6781" t="s">
        <v>44760</v>
      </c>
      <c r="P6781">
        <v>0</v>
      </c>
      <c r="Q6781">
        <v>0</v>
      </c>
      <c r="R6781" t="s">
        <v>44767</v>
      </c>
      <c r="S6781" t="s">
        <v>44954</v>
      </c>
      <c r="T6781" t="s">
        <v>46391</v>
      </c>
      <c r="U6781" t="s">
        <v>52623</v>
      </c>
      <c r="W6781" t="s">
        <v>42770</v>
      </c>
      <c r="X6781" t="s">
        <v>44768</v>
      </c>
    </row>
    <row r="6782" spans="1:24">
      <c r="A6782">
        <f>HYPERLINK("https://www.philgeps.gov.ph/GEPSNONPILOT/Tender/SplashBidNoticeAbstractUI.aspx?menuIndex=3&amp;refID=7142368&amp;Result=3","7142368")</f>
        <v>0</v>
      </c>
      <c r="B6782" t="s">
        <v>2368</v>
      </c>
      <c r="C6782" t="s">
        <v>10185</v>
      </c>
      <c r="D6782" t="s">
        <v>17996</v>
      </c>
      <c r="E6782" t="s">
        <v>23996</v>
      </c>
      <c r="F6782" t="s">
        <v>30900</v>
      </c>
      <c r="G6782" t="s">
        <v>30907</v>
      </c>
      <c r="H6782" t="s">
        <v>30915</v>
      </c>
      <c r="I6782" t="s">
        <v>30919</v>
      </c>
      <c r="J6782" t="s">
        <v>35406</v>
      </c>
      <c r="K6782" t="s">
        <v>40431</v>
      </c>
      <c r="M6782" t="s">
        <v>43094</v>
      </c>
      <c r="N6782" t="s">
        <v>44759</v>
      </c>
      <c r="O6782" t="s">
        <v>44760</v>
      </c>
      <c r="P6782">
        <v>0</v>
      </c>
      <c r="Q6782">
        <v>0</v>
      </c>
      <c r="R6782" t="s">
        <v>44767</v>
      </c>
      <c r="S6782" t="s">
        <v>44954</v>
      </c>
      <c r="T6782" t="s">
        <v>46379</v>
      </c>
      <c r="U6782" t="s">
        <v>52624</v>
      </c>
      <c r="W6782" t="s">
        <v>43094</v>
      </c>
      <c r="X6782" t="s">
        <v>44768</v>
      </c>
    </row>
    <row r="6783" spans="1:24">
      <c r="A6783">
        <f>HYPERLINK("https://www.philgeps.gov.ph/GEPSNONPILOT/Tender/SplashBidNoticeAbstractUI.aspx?menuIndex=3&amp;refID=7142441&amp;Result=3","7142441")</f>
        <v>0</v>
      </c>
      <c r="B6783" t="s">
        <v>286</v>
      </c>
      <c r="C6783" t="s">
        <v>10186</v>
      </c>
      <c r="D6783" t="s">
        <v>17977</v>
      </c>
      <c r="E6783" t="s">
        <v>23997</v>
      </c>
      <c r="F6783" t="s">
        <v>30900</v>
      </c>
      <c r="G6783" t="s">
        <v>30908</v>
      </c>
      <c r="H6783" t="s">
        <v>30916</v>
      </c>
      <c r="I6783" t="s">
        <v>30934</v>
      </c>
      <c r="J6783" t="s">
        <v>32398</v>
      </c>
      <c r="K6783" t="s">
        <v>40283</v>
      </c>
      <c r="M6783" t="s">
        <v>40834</v>
      </c>
      <c r="N6783" t="s">
        <v>44759</v>
      </c>
      <c r="O6783" t="s">
        <v>44760</v>
      </c>
      <c r="P6783">
        <v>0</v>
      </c>
      <c r="Q6783">
        <v>2</v>
      </c>
      <c r="R6783" t="s">
        <v>44767</v>
      </c>
      <c r="S6783" t="s">
        <v>44954</v>
      </c>
      <c r="T6783" t="s">
        <v>46533</v>
      </c>
      <c r="U6783" t="s">
        <v>52625</v>
      </c>
      <c r="V6783" t="s">
        <v>59848</v>
      </c>
      <c r="W6783" t="s">
        <v>40834</v>
      </c>
      <c r="X6783" t="s">
        <v>44768</v>
      </c>
    </row>
    <row r="6784" spans="1:24">
      <c r="A6784">
        <f>HYPERLINK("https://www.philgeps.gov.ph/GEPSNONPILOT/Tender/SplashBidNoticeAbstractUI.aspx?menuIndex=3&amp;refID=7142389&amp;Result=3","7142389")</f>
        <v>0</v>
      </c>
      <c r="B6784" t="s">
        <v>2301</v>
      </c>
      <c r="C6784" t="s">
        <v>10187</v>
      </c>
      <c r="D6784" t="s">
        <v>18004</v>
      </c>
      <c r="E6784" t="s">
        <v>23998</v>
      </c>
      <c r="F6784" t="s">
        <v>30900</v>
      </c>
      <c r="G6784" t="s">
        <v>30908</v>
      </c>
      <c r="H6784" t="s">
        <v>30916</v>
      </c>
      <c r="I6784" t="s">
        <v>4545</v>
      </c>
      <c r="J6784" t="s">
        <v>35407</v>
      </c>
      <c r="K6784" t="s">
        <v>40283</v>
      </c>
      <c r="M6784" t="s">
        <v>43016</v>
      </c>
      <c r="N6784" t="s">
        <v>44759</v>
      </c>
      <c r="O6784" t="s">
        <v>44760</v>
      </c>
      <c r="P6784">
        <v>0</v>
      </c>
      <c r="Q6784">
        <v>0</v>
      </c>
      <c r="R6784" t="s">
        <v>44767</v>
      </c>
      <c r="S6784" t="s">
        <v>44954</v>
      </c>
      <c r="T6784" t="s">
        <v>46533</v>
      </c>
      <c r="U6784" t="s">
        <v>52375</v>
      </c>
      <c r="W6784" t="s">
        <v>43016</v>
      </c>
      <c r="X6784" t="s">
        <v>44768</v>
      </c>
    </row>
    <row r="6785" spans="1:24">
      <c r="A6785">
        <f>HYPERLINK("https://www.philgeps.gov.ph/GEPSNONPILOT/Tender/SplashBidNoticeAbstractUI.aspx?menuIndex=3&amp;refID=7142436&amp;Result=3","7142436")</f>
        <v>0</v>
      </c>
      <c r="B6785" t="s">
        <v>2371</v>
      </c>
      <c r="C6785" t="s">
        <v>10188</v>
      </c>
      <c r="D6785" t="s">
        <v>17975</v>
      </c>
      <c r="E6785" t="s">
        <v>23999</v>
      </c>
      <c r="F6785" t="s">
        <v>30900</v>
      </c>
      <c r="G6785" t="s">
        <v>30910</v>
      </c>
      <c r="H6785" t="s">
        <v>30916</v>
      </c>
      <c r="I6785" t="s">
        <v>4142</v>
      </c>
      <c r="J6785" t="s">
        <v>31049</v>
      </c>
      <c r="K6785" t="s">
        <v>40288</v>
      </c>
      <c r="M6785" t="s">
        <v>43097</v>
      </c>
      <c r="N6785" t="s">
        <v>44759</v>
      </c>
      <c r="O6785" t="s">
        <v>44760</v>
      </c>
      <c r="P6785">
        <v>0</v>
      </c>
      <c r="Q6785">
        <v>4</v>
      </c>
      <c r="R6785" t="s">
        <v>44767</v>
      </c>
      <c r="S6785" t="s">
        <v>44954</v>
      </c>
      <c r="T6785" t="s">
        <v>46403</v>
      </c>
      <c r="U6785" t="s">
        <v>52626</v>
      </c>
      <c r="W6785" t="s">
        <v>43097</v>
      </c>
      <c r="X6785" t="s">
        <v>44768</v>
      </c>
    </row>
    <row r="6786" spans="1:24">
      <c r="A6786">
        <f>HYPERLINK("https://www.philgeps.gov.ph/GEPSNONPILOT/Tender/SplashBidNoticeAbstractUI.aspx?menuIndex=3&amp;refID=7142396&amp;Result=3","7142396")</f>
        <v>0</v>
      </c>
      <c r="B6786" t="s">
        <v>2372</v>
      </c>
      <c r="C6786" t="s">
        <v>10189</v>
      </c>
      <c r="D6786" t="s">
        <v>18003</v>
      </c>
      <c r="E6786" t="s">
        <v>24000</v>
      </c>
      <c r="F6786" t="s">
        <v>30900</v>
      </c>
      <c r="G6786" t="s">
        <v>30911</v>
      </c>
      <c r="H6786" t="s">
        <v>30916</v>
      </c>
      <c r="I6786" t="s">
        <v>10847</v>
      </c>
      <c r="J6786" t="s">
        <v>31050</v>
      </c>
      <c r="K6786" t="s">
        <v>40289</v>
      </c>
      <c r="M6786" t="s">
        <v>43098</v>
      </c>
      <c r="N6786" t="s">
        <v>44759</v>
      </c>
      <c r="O6786" t="s">
        <v>44760</v>
      </c>
      <c r="P6786">
        <v>0</v>
      </c>
      <c r="Q6786">
        <v>0</v>
      </c>
      <c r="R6786" t="s">
        <v>44767</v>
      </c>
      <c r="S6786" t="s">
        <v>44954</v>
      </c>
      <c r="T6786" t="s">
        <v>46590</v>
      </c>
      <c r="U6786" t="s">
        <v>52627</v>
      </c>
      <c r="V6786" t="s">
        <v>59849</v>
      </c>
      <c r="W6786" t="s">
        <v>43098</v>
      </c>
      <c r="X6786" t="s">
        <v>44768</v>
      </c>
    </row>
    <row r="6787" spans="1:24">
      <c r="A6787">
        <f>HYPERLINK("https://www.philgeps.gov.ph/GEPSNONPILOT/Tender/SplashBidNoticeAbstractUI.aspx?menuIndex=3&amp;refID=7142426&amp;Result=3","7142426")</f>
        <v>0</v>
      </c>
      <c r="B6787" t="s">
        <v>2373</v>
      </c>
      <c r="C6787" t="s">
        <v>10190</v>
      </c>
      <c r="D6787" t="s">
        <v>17966</v>
      </c>
      <c r="E6787" t="s">
        <v>24001</v>
      </c>
      <c r="F6787" t="s">
        <v>30900</v>
      </c>
      <c r="G6787" t="s">
        <v>30907</v>
      </c>
      <c r="H6787" t="s">
        <v>30915</v>
      </c>
      <c r="I6787" t="s">
        <v>30919</v>
      </c>
      <c r="J6787" t="s">
        <v>35408</v>
      </c>
      <c r="K6787" t="s">
        <v>40342</v>
      </c>
      <c r="M6787" t="s">
        <v>43099</v>
      </c>
      <c r="N6787" t="s">
        <v>44759</v>
      </c>
      <c r="O6787" t="s">
        <v>44760</v>
      </c>
      <c r="P6787">
        <v>0</v>
      </c>
      <c r="Q6787">
        <v>1</v>
      </c>
      <c r="R6787" t="s">
        <v>44767</v>
      </c>
      <c r="S6787" t="s">
        <v>44954</v>
      </c>
      <c r="T6787" t="s">
        <v>46428</v>
      </c>
      <c r="U6787" t="s">
        <v>52628</v>
      </c>
      <c r="W6787" t="s">
        <v>43099</v>
      </c>
      <c r="X6787" t="s">
        <v>44768</v>
      </c>
    </row>
    <row r="6788" spans="1:24">
      <c r="A6788">
        <f>HYPERLINK("https://www.philgeps.gov.ph/GEPSNONPILOT/Tender/SplashBidNoticeAbstractUI.aspx?menuIndex=3&amp;refID=7142432&amp;Result=3","7142432")</f>
        <v>0</v>
      </c>
      <c r="B6788" t="s">
        <v>1574</v>
      </c>
      <c r="C6788" t="s">
        <v>10191</v>
      </c>
      <c r="D6788" t="s">
        <v>18019</v>
      </c>
      <c r="E6788" t="s">
        <v>24002</v>
      </c>
      <c r="F6788" t="s">
        <v>30900</v>
      </c>
      <c r="G6788" t="s">
        <v>30907</v>
      </c>
      <c r="H6788" t="s">
        <v>30915</v>
      </c>
      <c r="I6788" t="s">
        <v>30919</v>
      </c>
      <c r="J6788" t="s">
        <v>35409</v>
      </c>
      <c r="K6788" t="s">
        <v>40436</v>
      </c>
      <c r="M6788" t="s">
        <v>42222</v>
      </c>
      <c r="N6788" t="s">
        <v>44759</v>
      </c>
      <c r="O6788" t="s">
        <v>44760</v>
      </c>
      <c r="P6788">
        <v>0</v>
      </c>
      <c r="Q6788">
        <v>2</v>
      </c>
      <c r="R6788" t="s">
        <v>44767</v>
      </c>
      <c r="S6788" t="s">
        <v>44954</v>
      </c>
      <c r="T6788" t="s">
        <v>46480</v>
      </c>
      <c r="U6788" t="s">
        <v>52603</v>
      </c>
      <c r="W6788" t="s">
        <v>42222</v>
      </c>
      <c r="X6788" t="s">
        <v>44768</v>
      </c>
    </row>
    <row r="6789" spans="1:24">
      <c r="A6789">
        <f>HYPERLINK("https://www.philgeps.gov.ph/GEPSNONPILOT/Tender/SplashBidNoticeAbstractUI.aspx?menuIndex=3&amp;refID=7142431&amp;Result=3","7142431")</f>
        <v>0</v>
      </c>
      <c r="B6789" t="s">
        <v>2374</v>
      </c>
      <c r="C6789" t="s">
        <v>10192</v>
      </c>
      <c r="D6789" t="s">
        <v>17959</v>
      </c>
      <c r="E6789" t="s">
        <v>24003</v>
      </c>
      <c r="F6789" t="s">
        <v>30901</v>
      </c>
      <c r="G6789" t="s">
        <v>30909</v>
      </c>
      <c r="H6789" t="s">
        <v>30916</v>
      </c>
      <c r="I6789" t="s">
        <v>30924</v>
      </c>
      <c r="J6789" t="s">
        <v>32329</v>
      </c>
      <c r="K6789" t="s">
        <v>40286</v>
      </c>
      <c r="M6789" t="s">
        <v>43100</v>
      </c>
      <c r="N6789" t="s">
        <v>44759</v>
      </c>
      <c r="O6789" t="s">
        <v>44760</v>
      </c>
      <c r="P6789">
        <v>0</v>
      </c>
      <c r="Q6789">
        <v>10</v>
      </c>
      <c r="R6789" t="s">
        <v>44767</v>
      </c>
      <c r="S6789" t="s">
        <v>44954</v>
      </c>
      <c r="T6789" t="s">
        <v>46585</v>
      </c>
      <c r="U6789" t="s">
        <v>52629</v>
      </c>
      <c r="V6789" t="s">
        <v>59850</v>
      </c>
      <c r="W6789" t="s">
        <v>43100</v>
      </c>
      <c r="X6789" t="s">
        <v>44768</v>
      </c>
    </row>
    <row r="6790" spans="1:24">
      <c r="A6790">
        <f>HYPERLINK("https://www.philgeps.gov.ph/GEPSNONPILOT/Tender/SplashBidNoticeAbstractUI.aspx?menuIndex=3&amp;refID=7142445&amp;Result=3","7142445")</f>
        <v>0</v>
      </c>
      <c r="B6790" t="s">
        <v>1192</v>
      </c>
      <c r="C6790" t="s">
        <v>10193</v>
      </c>
      <c r="D6790" t="s">
        <v>18021</v>
      </c>
      <c r="E6790" t="s">
        <v>24004</v>
      </c>
      <c r="F6790" t="s">
        <v>30900</v>
      </c>
      <c r="G6790" t="s">
        <v>30907</v>
      </c>
      <c r="H6790" t="s">
        <v>30916</v>
      </c>
      <c r="I6790" t="s">
        <v>30927</v>
      </c>
      <c r="J6790" t="s">
        <v>35410</v>
      </c>
      <c r="K6790" t="s">
        <v>40286</v>
      </c>
      <c r="M6790" t="s">
        <v>41802</v>
      </c>
      <c r="N6790" t="s">
        <v>44759</v>
      </c>
      <c r="O6790" t="s">
        <v>44760</v>
      </c>
      <c r="P6790">
        <v>0</v>
      </c>
      <c r="Q6790">
        <v>1</v>
      </c>
      <c r="R6790" t="s">
        <v>44767</v>
      </c>
      <c r="S6790" t="s">
        <v>44954</v>
      </c>
      <c r="T6790" t="s">
        <v>46536</v>
      </c>
      <c r="U6790" t="s">
        <v>52630</v>
      </c>
      <c r="V6790" t="s">
        <v>59429</v>
      </c>
      <c r="W6790" t="s">
        <v>41802</v>
      </c>
      <c r="X6790" t="s">
        <v>44768</v>
      </c>
    </row>
    <row r="6791" spans="1:24">
      <c r="A6791">
        <f>HYPERLINK("https://www.philgeps.gov.ph/GEPSNONPILOT/Tender/SplashBidNoticeAbstractUI.aspx?menuIndex=3&amp;refID=7142423&amp;Result=3","7142423")</f>
        <v>0</v>
      </c>
      <c r="B6791" t="s">
        <v>2375</v>
      </c>
      <c r="C6791" t="s">
        <v>10194</v>
      </c>
      <c r="D6791" t="s">
        <v>17973</v>
      </c>
      <c r="E6791" t="s">
        <v>24005</v>
      </c>
      <c r="F6791" t="s">
        <v>30900</v>
      </c>
      <c r="G6791" t="s">
        <v>30909</v>
      </c>
      <c r="H6791" t="s">
        <v>30916</v>
      </c>
      <c r="I6791" t="s">
        <v>30924</v>
      </c>
      <c r="J6791" t="s">
        <v>32312</v>
      </c>
      <c r="K6791" t="s">
        <v>40284</v>
      </c>
      <c r="M6791" t="s">
        <v>43101</v>
      </c>
      <c r="N6791" t="s">
        <v>44759</v>
      </c>
      <c r="O6791" t="s">
        <v>44760</v>
      </c>
      <c r="P6791">
        <v>0</v>
      </c>
      <c r="Q6791">
        <v>0</v>
      </c>
      <c r="R6791" t="s">
        <v>44767</v>
      </c>
      <c r="S6791" t="s">
        <v>44954</v>
      </c>
      <c r="T6791" t="s">
        <v>46591</v>
      </c>
      <c r="U6791" t="s">
        <v>52631</v>
      </c>
      <c r="V6791" t="s">
        <v>59851</v>
      </c>
      <c r="W6791" t="s">
        <v>43101</v>
      </c>
      <c r="X6791" t="s">
        <v>44768</v>
      </c>
    </row>
    <row r="6792" spans="1:24">
      <c r="A6792">
        <f>HYPERLINK("https://www.philgeps.gov.ph/GEPSNONPILOT/Tender/SplashBidNoticeAbstractUI.aspx?menuIndex=3&amp;refID=7142353&amp;Result=3","7142353")</f>
        <v>0</v>
      </c>
      <c r="B6792" t="s">
        <v>2253</v>
      </c>
      <c r="C6792" t="s">
        <v>10195</v>
      </c>
      <c r="D6792" t="s">
        <v>17959</v>
      </c>
      <c r="E6792" t="s">
        <v>24006</v>
      </c>
      <c r="F6792" t="s">
        <v>30900</v>
      </c>
      <c r="G6792" t="s">
        <v>30908</v>
      </c>
      <c r="H6792" t="s">
        <v>30916</v>
      </c>
      <c r="I6792" t="s">
        <v>30921</v>
      </c>
      <c r="J6792" t="s">
        <v>31067</v>
      </c>
      <c r="K6792" t="s">
        <v>40286</v>
      </c>
      <c r="M6792" t="s">
        <v>42965</v>
      </c>
      <c r="N6792" t="s">
        <v>44759</v>
      </c>
      <c r="O6792" t="s">
        <v>44760</v>
      </c>
      <c r="P6792">
        <v>0</v>
      </c>
      <c r="Q6792">
        <v>17</v>
      </c>
      <c r="R6792" t="s">
        <v>44767</v>
      </c>
      <c r="S6792" t="s">
        <v>44954</v>
      </c>
      <c r="T6792" t="s">
        <v>46414</v>
      </c>
      <c r="U6792" t="s">
        <v>52632</v>
      </c>
      <c r="W6792" t="s">
        <v>42965</v>
      </c>
      <c r="X6792" t="s">
        <v>44768</v>
      </c>
    </row>
    <row r="6793" spans="1:24">
      <c r="A6793">
        <f>HYPERLINK("https://www.philgeps.gov.ph/GEPSNONPILOT/Tender/SplashBidNoticeAbstractUI.aspx?menuIndex=3&amp;refID=7142438&amp;Result=3","7142438")</f>
        <v>0</v>
      </c>
      <c r="B6793" t="s">
        <v>2349</v>
      </c>
      <c r="C6793" t="s">
        <v>10196</v>
      </c>
      <c r="D6793" t="s">
        <v>17964</v>
      </c>
      <c r="E6793" t="s">
        <v>24007</v>
      </c>
      <c r="F6793" t="s">
        <v>30900</v>
      </c>
      <c r="G6793" t="s">
        <v>30907</v>
      </c>
      <c r="H6793" t="s">
        <v>30916</v>
      </c>
      <c r="I6793" t="s">
        <v>30963</v>
      </c>
      <c r="J6793" t="s">
        <v>31391</v>
      </c>
      <c r="K6793" t="s">
        <v>40293</v>
      </c>
      <c r="M6793" t="s">
        <v>43073</v>
      </c>
      <c r="N6793" t="s">
        <v>44759</v>
      </c>
      <c r="O6793" t="s">
        <v>44760</v>
      </c>
      <c r="P6793">
        <v>0</v>
      </c>
      <c r="Q6793">
        <v>7</v>
      </c>
      <c r="R6793" t="s">
        <v>44767</v>
      </c>
      <c r="S6793" t="s">
        <v>44954</v>
      </c>
      <c r="T6793" t="s">
        <v>46411</v>
      </c>
      <c r="U6793" t="s">
        <v>52633</v>
      </c>
      <c r="W6793" t="s">
        <v>43073</v>
      </c>
      <c r="X6793" t="s">
        <v>44768</v>
      </c>
    </row>
    <row r="6794" spans="1:24">
      <c r="A6794">
        <f>HYPERLINK("https://www.philgeps.gov.ph/GEPSNONPILOT/Tender/SplashBidNoticeAbstractUI.aspx?menuIndex=3&amp;refID=7142437&amp;Result=3","7142437")</f>
        <v>0</v>
      </c>
      <c r="B6794" t="s">
        <v>2376</v>
      </c>
      <c r="C6794" t="s">
        <v>10197</v>
      </c>
      <c r="D6794" t="s">
        <v>17963</v>
      </c>
      <c r="E6794" t="s">
        <v>24008</v>
      </c>
      <c r="F6794" t="s">
        <v>30900</v>
      </c>
      <c r="G6794" t="s">
        <v>30909</v>
      </c>
      <c r="H6794" t="s">
        <v>30916</v>
      </c>
      <c r="I6794" t="s">
        <v>30924</v>
      </c>
      <c r="J6794" t="s">
        <v>31733</v>
      </c>
      <c r="K6794" t="s">
        <v>40283</v>
      </c>
      <c r="M6794" t="s">
        <v>43102</v>
      </c>
      <c r="N6794" t="s">
        <v>44759</v>
      </c>
      <c r="O6794" t="s">
        <v>44760</v>
      </c>
      <c r="P6794">
        <v>0</v>
      </c>
      <c r="Q6794">
        <v>0</v>
      </c>
      <c r="R6794" t="s">
        <v>44767</v>
      </c>
      <c r="S6794" t="s">
        <v>44954</v>
      </c>
      <c r="T6794" t="s">
        <v>46379</v>
      </c>
      <c r="U6794" t="s">
        <v>52634</v>
      </c>
      <c r="W6794" t="s">
        <v>43102</v>
      </c>
      <c r="X6794" t="s">
        <v>44768</v>
      </c>
    </row>
    <row r="6795" spans="1:24">
      <c r="A6795">
        <f>HYPERLINK("https://www.philgeps.gov.ph/GEPSNONPILOT/Tender/SplashBidNoticeAbstractUI.aspx?menuIndex=3&amp;refID=7142485&amp;Result=3","7142485")</f>
        <v>0</v>
      </c>
      <c r="B6795" t="s">
        <v>1164</v>
      </c>
      <c r="C6795" t="s">
        <v>10198</v>
      </c>
      <c r="D6795" t="s">
        <v>17955</v>
      </c>
      <c r="E6795" t="s">
        <v>24009</v>
      </c>
      <c r="F6795" t="s">
        <v>30900</v>
      </c>
      <c r="G6795" t="s">
        <v>30908</v>
      </c>
      <c r="H6795" t="s">
        <v>30916</v>
      </c>
      <c r="I6795" t="s">
        <v>30940</v>
      </c>
      <c r="J6795" t="s">
        <v>31243</v>
      </c>
      <c r="K6795" t="s">
        <v>40289</v>
      </c>
      <c r="M6795" t="s">
        <v>43089</v>
      </c>
      <c r="N6795" t="s">
        <v>44759</v>
      </c>
      <c r="O6795" t="s">
        <v>44760</v>
      </c>
      <c r="P6795">
        <v>0</v>
      </c>
      <c r="Q6795">
        <v>2</v>
      </c>
      <c r="R6795" t="s">
        <v>44767</v>
      </c>
      <c r="S6795" t="s">
        <v>44954</v>
      </c>
      <c r="T6795" t="s">
        <v>46662</v>
      </c>
      <c r="U6795" t="s">
        <v>52635</v>
      </c>
      <c r="V6795" t="s">
        <v>59847</v>
      </c>
      <c r="W6795" t="s">
        <v>43089</v>
      </c>
      <c r="X6795" t="s">
        <v>44768</v>
      </c>
    </row>
    <row r="6796" spans="1:24">
      <c r="A6796">
        <f>HYPERLINK("https://www.philgeps.gov.ph/GEPSNONPILOT/Tender/SplashBidNoticeAbstractUI.aspx?menuIndex=3&amp;refID=7142486&amp;Result=3","7142486")</f>
        <v>0</v>
      </c>
      <c r="B6796" t="s">
        <v>313</v>
      </c>
      <c r="C6796" t="s">
        <v>10199</v>
      </c>
      <c r="E6796" t="s">
        <v>24010</v>
      </c>
      <c r="F6796" t="s">
        <v>30900</v>
      </c>
      <c r="G6796" t="s">
        <v>30908</v>
      </c>
      <c r="H6796" t="s">
        <v>30916</v>
      </c>
      <c r="I6796" t="s">
        <v>5501</v>
      </c>
      <c r="J6796" t="s">
        <v>33355</v>
      </c>
      <c r="K6796" t="s">
        <v>40289</v>
      </c>
      <c r="M6796" t="s">
        <v>40909</v>
      </c>
      <c r="N6796" t="s">
        <v>44759</v>
      </c>
      <c r="O6796" t="s">
        <v>44760</v>
      </c>
      <c r="P6796">
        <v>0</v>
      </c>
      <c r="Q6796">
        <v>0</v>
      </c>
      <c r="R6796" t="s">
        <v>44767</v>
      </c>
      <c r="S6796" t="s">
        <v>44954</v>
      </c>
      <c r="T6796" t="s">
        <v>46581</v>
      </c>
      <c r="U6796" t="s">
        <v>52636</v>
      </c>
      <c r="W6796" t="s">
        <v>40909</v>
      </c>
      <c r="X6796" t="s">
        <v>44768</v>
      </c>
    </row>
    <row r="6797" spans="1:24">
      <c r="A6797">
        <f>HYPERLINK("https://www.philgeps.gov.ph/GEPSNONPILOT/Tender/SplashBidNoticeAbstractUI.aspx?menuIndex=3&amp;refID=7142433&amp;Result=3","7142433")</f>
        <v>0</v>
      </c>
      <c r="B6797" t="s">
        <v>2301</v>
      </c>
      <c r="C6797" t="s">
        <v>10200</v>
      </c>
      <c r="D6797" t="s">
        <v>18004</v>
      </c>
      <c r="E6797" t="s">
        <v>24011</v>
      </c>
      <c r="F6797" t="s">
        <v>30900</v>
      </c>
      <c r="G6797" t="s">
        <v>30908</v>
      </c>
      <c r="H6797" t="s">
        <v>30916</v>
      </c>
      <c r="I6797" t="s">
        <v>4545</v>
      </c>
      <c r="J6797" t="s">
        <v>31070</v>
      </c>
      <c r="K6797" t="s">
        <v>40283</v>
      </c>
      <c r="M6797" t="s">
        <v>43016</v>
      </c>
      <c r="N6797" t="s">
        <v>44759</v>
      </c>
      <c r="O6797" t="s">
        <v>44760</v>
      </c>
      <c r="P6797">
        <v>0</v>
      </c>
      <c r="Q6797">
        <v>0</v>
      </c>
      <c r="R6797" t="s">
        <v>44767</v>
      </c>
      <c r="S6797" t="s">
        <v>44954</v>
      </c>
      <c r="T6797" t="s">
        <v>46533</v>
      </c>
      <c r="U6797" t="s">
        <v>52375</v>
      </c>
      <c r="W6797" t="s">
        <v>43016</v>
      </c>
      <c r="X6797" t="s">
        <v>44768</v>
      </c>
    </row>
    <row r="6798" spans="1:24">
      <c r="A6798">
        <f>HYPERLINK("https://www.philgeps.gov.ph/GEPSNONPILOT/Tender/SplashBidNoticeAbstractUI.aspx?menuIndex=3&amp;refID=7142484&amp;Result=3","7142484")</f>
        <v>0</v>
      </c>
      <c r="B6798" t="s">
        <v>2377</v>
      </c>
      <c r="C6798" t="s">
        <v>10201</v>
      </c>
      <c r="D6798" t="s">
        <v>17971</v>
      </c>
      <c r="E6798" t="s">
        <v>24012</v>
      </c>
      <c r="F6798" t="s">
        <v>30900</v>
      </c>
      <c r="G6798" t="s">
        <v>30907</v>
      </c>
      <c r="H6798" t="s">
        <v>30915</v>
      </c>
      <c r="I6798" t="s">
        <v>30919</v>
      </c>
      <c r="J6798" t="s">
        <v>31049</v>
      </c>
      <c r="K6798" t="s">
        <v>40286</v>
      </c>
      <c r="M6798" t="s">
        <v>43103</v>
      </c>
      <c r="N6798" t="s">
        <v>44759</v>
      </c>
      <c r="O6798" t="s">
        <v>44760</v>
      </c>
      <c r="P6798">
        <v>0</v>
      </c>
      <c r="Q6798">
        <v>0</v>
      </c>
      <c r="R6798" t="s">
        <v>44767</v>
      </c>
      <c r="S6798" t="s">
        <v>44954</v>
      </c>
      <c r="T6798" t="s">
        <v>46374</v>
      </c>
      <c r="U6798" t="s">
        <v>52637</v>
      </c>
      <c r="V6798" t="s">
        <v>59852</v>
      </c>
      <c r="W6798" t="s">
        <v>43103</v>
      </c>
      <c r="X6798" t="s">
        <v>44768</v>
      </c>
    </row>
    <row r="6799" spans="1:24">
      <c r="A6799">
        <f>HYPERLINK("https://www.philgeps.gov.ph/GEPSNONPILOT/Tender/SplashBidNoticeAbstractUI.aspx?menuIndex=3&amp;refID=7142430&amp;Result=3","7142430")</f>
        <v>0</v>
      </c>
      <c r="B6799" t="s">
        <v>1251</v>
      </c>
      <c r="C6799" t="s">
        <v>10202</v>
      </c>
      <c r="D6799" t="s">
        <v>18047</v>
      </c>
      <c r="E6799" t="s">
        <v>24013</v>
      </c>
      <c r="F6799" t="s">
        <v>30900</v>
      </c>
      <c r="G6799" t="s">
        <v>30908</v>
      </c>
      <c r="H6799" t="s">
        <v>30916</v>
      </c>
      <c r="I6799" t="s">
        <v>5830</v>
      </c>
      <c r="J6799" t="s">
        <v>33591</v>
      </c>
      <c r="K6799" t="s">
        <v>40286</v>
      </c>
      <c r="M6799" t="s">
        <v>41863</v>
      </c>
      <c r="N6799" t="s">
        <v>44759</v>
      </c>
      <c r="O6799" t="s">
        <v>44760</v>
      </c>
      <c r="P6799">
        <v>0</v>
      </c>
      <c r="Q6799">
        <v>11</v>
      </c>
      <c r="R6799" t="s">
        <v>44767</v>
      </c>
      <c r="S6799" t="s">
        <v>44954</v>
      </c>
      <c r="T6799" t="s">
        <v>46391</v>
      </c>
      <c r="U6799" t="s">
        <v>52638</v>
      </c>
      <c r="W6799" t="s">
        <v>41863</v>
      </c>
      <c r="X6799" t="s">
        <v>44768</v>
      </c>
    </row>
    <row r="6800" spans="1:24">
      <c r="A6800">
        <f>HYPERLINK("https://www.philgeps.gov.ph/GEPSNONPILOT/Tender/SplashBidNoticeAbstractUI.aspx?menuIndex=3&amp;refID=7142478&amp;Result=3","7142478")</f>
        <v>0</v>
      </c>
      <c r="B6800" t="s">
        <v>2378</v>
      </c>
      <c r="C6800" t="s">
        <v>10203</v>
      </c>
      <c r="D6800" t="s">
        <v>17977</v>
      </c>
      <c r="E6800" t="s">
        <v>24014</v>
      </c>
      <c r="F6800" t="s">
        <v>30900</v>
      </c>
      <c r="G6800" t="s">
        <v>30907</v>
      </c>
      <c r="H6800" t="s">
        <v>30916</v>
      </c>
      <c r="I6800" t="s">
        <v>5501</v>
      </c>
      <c r="J6800" t="s">
        <v>35411</v>
      </c>
      <c r="K6800" t="s">
        <v>40288</v>
      </c>
      <c r="M6800" t="s">
        <v>43104</v>
      </c>
      <c r="N6800" t="s">
        <v>44759</v>
      </c>
      <c r="O6800" t="s">
        <v>44760</v>
      </c>
      <c r="P6800">
        <v>0</v>
      </c>
      <c r="Q6800">
        <v>4</v>
      </c>
      <c r="R6800" t="s">
        <v>44767</v>
      </c>
      <c r="S6800" t="s">
        <v>44954</v>
      </c>
      <c r="T6800" t="s">
        <v>46715</v>
      </c>
      <c r="U6800" t="s">
        <v>52639</v>
      </c>
      <c r="V6800" t="s">
        <v>59391</v>
      </c>
      <c r="W6800" t="s">
        <v>43104</v>
      </c>
      <c r="X6800" t="s">
        <v>44768</v>
      </c>
    </row>
    <row r="6801" spans="1:24">
      <c r="A6801">
        <f>HYPERLINK("https://www.philgeps.gov.ph/GEPSNONPILOT/Tender/SplashBidNoticeAbstractUI.aspx?menuIndex=3&amp;refID=7142428&amp;Result=3","7142428")</f>
        <v>0</v>
      </c>
      <c r="B6801" t="s">
        <v>263</v>
      </c>
      <c r="C6801" t="s">
        <v>10204</v>
      </c>
      <c r="D6801" t="s">
        <v>17998</v>
      </c>
      <c r="E6801" t="s">
        <v>24015</v>
      </c>
      <c r="F6801" t="s">
        <v>30899</v>
      </c>
      <c r="G6801" t="s">
        <v>30908</v>
      </c>
      <c r="H6801" t="s">
        <v>30916</v>
      </c>
      <c r="I6801" t="s">
        <v>4142</v>
      </c>
      <c r="J6801" t="s">
        <v>31413</v>
      </c>
      <c r="K6801" t="s">
        <v>40286</v>
      </c>
      <c r="M6801" t="s">
        <v>40810</v>
      </c>
      <c r="N6801" t="s">
        <v>44759</v>
      </c>
      <c r="O6801" t="s">
        <v>44760</v>
      </c>
      <c r="P6801">
        <v>0</v>
      </c>
      <c r="Q6801">
        <v>3</v>
      </c>
      <c r="R6801" t="s">
        <v>44767</v>
      </c>
      <c r="S6801" t="s">
        <v>44954</v>
      </c>
      <c r="T6801" t="s">
        <v>46421</v>
      </c>
      <c r="U6801" t="s">
        <v>47358</v>
      </c>
      <c r="V6801" t="s">
        <v>59159</v>
      </c>
      <c r="W6801" t="s">
        <v>60822</v>
      </c>
      <c r="X6801" t="s">
        <v>44768</v>
      </c>
    </row>
    <row r="6802" spans="1:24">
      <c r="A6802">
        <f>HYPERLINK("https://www.philgeps.gov.ph/GEPSNONPILOT/Tender/SplashBidNoticeAbstractUI.aspx?menuIndex=3&amp;refID=7142477&amp;Result=3","7142477")</f>
        <v>0</v>
      </c>
      <c r="B6802" t="s">
        <v>1973</v>
      </c>
      <c r="C6802" t="s">
        <v>10205</v>
      </c>
      <c r="D6802" t="s">
        <v>18012</v>
      </c>
      <c r="E6802" t="s">
        <v>24016</v>
      </c>
      <c r="F6802" t="s">
        <v>30900</v>
      </c>
      <c r="G6802" t="s">
        <v>30907</v>
      </c>
      <c r="H6802" t="s">
        <v>30916</v>
      </c>
      <c r="I6802" t="s">
        <v>8123</v>
      </c>
      <c r="J6802" t="s">
        <v>35412</v>
      </c>
      <c r="K6802" t="s">
        <v>40284</v>
      </c>
      <c r="M6802" t="s">
        <v>42661</v>
      </c>
      <c r="N6802" t="s">
        <v>44759</v>
      </c>
      <c r="O6802" t="s">
        <v>44760</v>
      </c>
      <c r="P6802">
        <v>0</v>
      </c>
      <c r="Q6802">
        <v>1</v>
      </c>
      <c r="R6802" t="s">
        <v>44767</v>
      </c>
      <c r="S6802" t="s">
        <v>44954</v>
      </c>
      <c r="T6802" t="s">
        <v>46443</v>
      </c>
      <c r="U6802" t="s">
        <v>52640</v>
      </c>
      <c r="W6802" t="s">
        <v>42661</v>
      </c>
      <c r="X6802" t="s">
        <v>44768</v>
      </c>
    </row>
    <row r="6803" spans="1:24">
      <c r="A6803">
        <f>HYPERLINK("https://www.philgeps.gov.ph/GEPSNONPILOT/Tender/SplashBidNoticeAbstractUI.aspx?menuIndex=3&amp;refID=7142416&amp;Result=3","7142416")</f>
        <v>0</v>
      </c>
      <c r="B6803" t="s">
        <v>2359</v>
      </c>
      <c r="C6803" t="s">
        <v>10206</v>
      </c>
      <c r="D6803" t="s">
        <v>18022</v>
      </c>
      <c r="E6803" t="s">
        <v>24017</v>
      </c>
      <c r="F6803" t="s">
        <v>30900</v>
      </c>
      <c r="G6803" t="s">
        <v>30907</v>
      </c>
      <c r="H6803" t="s">
        <v>30915</v>
      </c>
      <c r="I6803" t="s">
        <v>30919</v>
      </c>
      <c r="J6803" t="s">
        <v>35413</v>
      </c>
      <c r="K6803" t="s">
        <v>40289</v>
      </c>
      <c r="M6803" t="s">
        <v>43083</v>
      </c>
      <c r="N6803" t="s">
        <v>44759</v>
      </c>
      <c r="O6803" t="s">
        <v>44760</v>
      </c>
      <c r="P6803">
        <v>0</v>
      </c>
      <c r="Q6803">
        <v>1</v>
      </c>
      <c r="R6803" t="s">
        <v>44767</v>
      </c>
      <c r="S6803" t="s">
        <v>44954</v>
      </c>
      <c r="T6803" t="s">
        <v>46533</v>
      </c>
      <c r="U6803" t="s">
        <v>52641</v>
      </c>
      <c r="W6803" t="s">
        <v>60888</v>
      </c>
      <c r="X6803" t="s">
        <v>44768</v>
      </c>
    </row>
    <row r="6804" spans="1:24">
      <c r="A6804">
        <f>HYPERLINK("https://www.philgeps.gov.ph/GEPSNONPILOT/Tender/SplashBidNoticeAbstractUI.aspx?menuIndex=3&amp;refID=7142476&amp;Result=3","7142476")</f>
        <v>0</v>
      </c>
      <c r="B6804" t="s">
        <v>2379</v>
      </c>
      <c r="C6804" t="s">
        <v>10207</v>
      </c>
      <c r="D6804" t="s">
        <v>17993</v>
      </c>
      <c r="E6804" t="s">
        <v>24018</v>
      </c>
      <c r="F6804" t="s">
        <v>30900</v>
      </c>
      <c r="G6804" t="s">
        <v>30907</v>
      </c>
      <c r="H6804" t="s">
        <v>30915</v>
      </c>
      <c r="I6804" t="s">
        <v>30919</v>
      </c>
      <c r="J6804" t="s">
        <v>35414</v>
      </c>
      <c r="K6804" t="s">
        <v>40283</v>
      </c>
      <c r="M6804" t="s">
        <v>43105</v>
      </c>
      <c r="N6804" t="s">
        <v>44759</v>
      </c>
      <c r="O6804" t="s">
        <v>44760</v>
      </c>
      <c r="P6804">
        <v>0</v>
      </c>
      <c r="Q6804">
        <v>0</v>
      </c>
      <c r="R6804" t="s">
        <v>44767</v>
      </c>
      <c r="S6804" t="s">
        <v>44954</v>
      </c>
      <c r="T6804" t="s">
        <v>46519</v>
      </c>
      <c r="U6804" t="s">
        <v>52642</v>
      </c>
      <c r="V6804" t="s">
        <v>59853</v>
      </c>
      <c r="W6804" t="s">
        <v>43105</v>
      </c>
      <c r="X6804" t="s">
        <v>44768</v>
      </c>
    </row>
    <row r="6805" spans="1:24">
      <c r="A6805">
        <f>HYPERLINK("https://www.philgeps.gov.ph/GEPSNONPILOT/Tender/SplashBidNoticeAbstractUI.aspx?menuIndex=3&amp;refID=7142470&amp;Result=3","7142470")</f>
        <v>0</v>
      </c>
      <c r="B6805" t="s">
        <v>399</v>
      </c>
      <c r="C6805" t="s">
        <v>10208</v>
      </c>
      <c r="D6805" t="s">
        <v>17977</v>
      </c>
      <c r="E6805" t="s">
        <v>24019</v>
      </c>
      <c r="F6805" t="s">
        <v>30900</v>
      </c>
      <c r="G6805" t="s">
        <v>30908</v>
      </c>
      <c r="H6805" t="s">
        <v>30916</v>
      </c>
      <c r="I6805" t="s">
        <v>30927</v>
      </c>
      <c r="J6805" t="s">
        <v>32799</v>
      </c>
      <c r="K6805" t="s">
        <v>40283</v>
      </c>
      <c r="M6805" t="s">
        <v>40954</v>
      </c>
      <c r="N6805" t="s">
        <v>44759</v>
      </c>
      <c r="O6805" t="s">
        <v>44760</v>
      </c>
      <c r="P6805">
        <v>0</v>
      </c>
      <c r="Q6805">
        <v>0</v>
      </c>
      <c r="R6805" t="s">
        <v>44767</v>
      </c>
      <c r="S6805" t="s">
        <v>44954</v>
      </c>
      <c r="T6805" t="s">
        <v>46641</v>
      </c>
      <c r="U6805" t="s">
        <v>47585</v>
      </c>
      <c r="W6805" t="s">
        <v>40954</v>
      </c>
      <c r="X6805" t="s">
        <v>44768</v>
      </c>
    </row>
    <row r="6806" spans="1:24">
      <c r="A6806">
        <f>HYPERLINK("https://www.philgeps.gov.ph/GEPSNONPILOT/Tender/SplashBidNoticeAbstractUI.aspx?menuIndex=3&amp;refID=7142435&amp;Result=3","7142435")</f>
        <v>0</v>
      </c>
      <c r="B6806" t="s">
        <v>1024</v>
      </c>
      <c r="C6806" t="s">
        <v>10209</v>
      </c>
      <c r="D6806" t="s">
        <v>17999</v>
      </c>
      <c r="E6806" t="s">
        <v>24020</v>
      </c>
      <c r="F6806" t="s">
        <v>30900</v>
      </c>
      <c r="G6806" t="s">
        <v>30907</v>
      </c>
      <c r="H6806" t="s">
        <v>30916</v>
      </c>
      <c r="I6806" t="s">
        <v>30940</v>
      </c>
      <c r="J6806" t="s">
        <v>35415</v>
      </c>
      <c r="K6806" t="s">
        <v>40283</v>
      </c>
      <c r="M6806" t="s">
        <v>41614</v>
      </c>
      <c r="N6806" t="s">
        <v>44759</v>
      </c>
      <c r="O6806" t="s">
        <v>44760</v>
      </c>
      <c r="P6806">
        <v>0</v>
      </c>
      <c r="Q6806">
        <v>2</v>
      </c>
      <c r="R6806" t="s">
        <v>44767</v>
      </c>
      <c r="S6806" t="s">
        <v>44954</v>
      </c>
      <c r="T6806" t="s">
        <v>46472</v>
      </c>
      <c r="U6806" t="s">
        <v>52643</v>
      </c>
      <c r="W6806" t="s">
        <v>41614</v>
      </c>
      <c r="X6806" t="s">
        <v>44768</v>
      </c>
    </row>
    <row r="6807" spans="1:24">
      <c r="A6807">
        <f>HYPERLINK("https://www.philgeps.gov.ph/GEPSNONPILOT/Tender/SplashBidNoticeAbstractUI.aspx?menuIndex=3&amp;refID=7142483&amp;Result=3","7142483")</f>
        <v>0</v>
      </c>
      <c r="B6807" t="s">
        <v>1101</v>
      </c>
      <c r="C6807" t="s">
        <v>10210</v>
      </c>
      <c r="D6807" t="s">
        <v>17951</v>
      </c>
      <c r="E6807" t="s">
        <v>24021</v>
      </c>
      <c r="F6807" t="s">
        <v>30900</v>
      </c>
      <c r="G6807" t="s">
        <v>30908</v>
      </c>
      <c r="H6807" t="s">
        <v>30916</v>
      </c>
      <c r="I6807" t="s">
        <v>4545</v>
      </c>
      <c r="J6807" t="s">
        <v>35416</v>
      </c>
      <c r="K6807" t="s">
        <v>40286</v>
      </c>
      <c r="M6807" t="s">
        <v>41701</v>
      </c>
      <c r="N6807" t="s">
        <v>44759</v>
      </c>
      <c r="O6807" t="s">
        <v>44760</v>
      </c>
      <c r="P6807">
        <v>0</v>
      </c>
      <c r="Q6807">
        <v>2</v>
      </c>
      <c r="R6807" t="s">
        <v>44767</v>
      </c>
      <c r="S6807" t="s">
        <v>44954</v>
      </c>
      <c r="T6807" t="s">
        <v>46533</v>
      </c>
      <c r="U6807" t="s">
        <v>52644</v>
      </c>
      <c r="V6807" t="s">
        <v>59854</v>
      </c>
      <c r="W6807" t="s">
        <v>41701</v>
      </c>
      <c r="X6807" t="s">
        <v>44768</v>
      </c>
    </row>
    <row r="6808" spans="1:24">
      <c r="A6808">
        <f>HYPERLINK("https://www.philgeps.gov.ph/GEPSNONPILOT/Tender/SplashBidNoticeAbstractUI.aspx?menuIndex=3&amp;refID=7142464&amp;Result=3","7142464")</f>
        <v>0</v>
      </c>
      <c r="B6808" t="s">
        <v>2380</v>
      </c>
      <c r="C6808" t="s">
        <v>10211</v>
      </c>
      <c r="D6808" t="s">
        <v>17951</v>
      </c>
      <c r="E6808" t="s">
        <v>24022</v>
      </c>
      <c r="F6808" t="s">
        <v>30900</v>
      </c>
      <c r="G6808" t="s">
        <v>30907</v>
      </c>
      <c r="H6808" t="s">
        <v>30915</v>
      </c>
      <c r="I6808" t="s">
        <v>30919</v>
      </c>
      <c r="J6808" t="s">
        <v>33038</v>
      </c>
      <c r="K6808" t="s">
        <v>40286</v>
      </c>
      <c r="M6808" t="s">
        <v>43106</v>
      </c>
      <c r="N6808" t="s">
        <v>44759</v>
      </c>
      <c r="O6808" t="s">
        <v>44760</v>
      </c>
      <c r="Q6808">
        <v>0</v>
      </c>
      <c r="R6808" t="s">
        <v>44767</v>
      </c>
      <c r="S6808" t="s">
        <v>44956</v>
      </c>
      <c r="T6808" t="s">
        <v>46595</v>
      </c>
      <c r="U6808" t="s">
        <v>52645</v>
      </c>
      <c r="W6808" t="s">
        <v>43106</v>
      </c>
      <c r="X6808" t="s">
        <v>44768</v>
      </c>
    </row>
    <row r="6809" spans="1:24">
      <c r="A6809">
        <f>HYPERLINK("https://www.philgeps.gov.ph/GEPSNONPILOT/Tender/SplashBidNoticeAbstractUI.aspx?menuIndex=3&amp;refID=7142460&amp;Result=3","7142460")</f>
        <v>0</v>
      </c>
      <c r="B6809" t="s">
        <v>2381</v>
      </c>
      <c r="C6809" t="s">
        <v>10212</v>
      </c>
      <c r="D6809" t="s">
        <v>17981</v>
      </c>
      <c r="E6809" t="s">
        <v>24023</v>
      </c>
      <c r="F6809" t="s">
        <v>30900</v>
      </c>
      <c r="G6809" t="s">
        <v>30907</v>
      </c>
      <c r="H6809" t="s">
        <v>30915</v>
      </c>
      <c r="I6809" t="s">
        <v>30919</v>
      </c>
      <c r="J6809" t="s">
        <v>35417</v>
      </c>
      <c r="K6809" t="s">
        <v>40286</v>
      </c>
      <c r="M6809" t="s">
        <v>43107</v>
      </c>
      <c r="N6809" t="s">
        <v>44759</v>
      </c>
      <c r="O6809" t="s">
        <v>44760</v>
      </c>
      <c r="P6809">
        <v>0</v>
      </c>
      <c r="Q6809">
        <v>2</v>
      </c>
      <c r="R6809" t="s">
        <v>44767</v>
      </c>
      <c r="S6809" t="s">
        <v>44954</v>
      </c>
      <c r="T6809" t="s">
        <v>46374</v>
      </c>
      <c r="U6809" t="s">
        <v>52646</v>
      </c>
      <c r="W6809" t="s">
        <v>43107</v>
      </c>
      <c r="X6809" t="s">
        <v>44768</v>
      </c>
    </row>
    <row r="6810" spans="1:24">
      <c r="A6810">
        <f>HYPERLINK("https://www.philgeps.gov.ph/GEPSNONPILOT/Tender/SplashBidNoticeAbstractUI.aspx?menuIndex=3&amp;refID=7142453&amp;Result=3","7142453")</f>
        <v>0</v>
      </c>
      <c r="B6810" t="s">
        <v>2376</v>
      </c>
      <c r="C6810" t="s">
        <v>10213</v>
      </c>
      <c r="D6810" t="s">
        <v>17963</v>
      </c>
      <c r="E6810" t="s">
        <v>24008</v>
      </c>
      <c r="F6810" t="s">
        <v>30900</v>
      </c>
      <c r="G6810" t="s">
        <v>30909</v>
      </c>
      <c r="H6810" t="s">
        <v>30916</v>
      </c>
      <c r="I6810" t="s">
        <v>5501</v>
      </c>
      <c r="J6810" t="s">
        <v>31092</v>
      </c>
      <c r="K6810" t="s">
        <v>40283</v>
      </c>
      <c r="M6810" t="s">
        <v>43102</v>
      </c>
      <c r="N6810" t="s">
        <v>44759</v>
      </c>
      <c r="O6810" t="s">
        <v>44760</v>
      </c>
      <c r="P6810">
        <v>0</v>
      </c>
      <c r="Q6810">
        <v>0</v>
      </c>
      <c r="R6810" t="s">
        <v>44767</v>
      </c>
      <c r="S6810" t="s">
        <v>44954</v>
      </c>
      <c r="T6810" t="s">
        <v>46379</v>
      </c>
      <c r="U6810" t="s">
        <v>52647</v>
      </c>
      <c r="W6810" t="s">
        <v>43102</v>
      </c>
      <c r="X6810" t="s">
        <v>44768</v>
      </c>
    </row>
    <row r="6811" spans="1:24">
      <c r="A6811">
        <f>HYPERLINK("https://www.philgeps.gov.ph/GEPSNONPILOT/Tender/SplashBidNoticeAbstractUI.aspx?menuIndex=3&amp;refID=7142474&amp;Result=3","7142474")</f>
        <v>0</v>
      </c>
      <c r="B6811" t="s">
        <v>2071</v>
      </c>
      <c r="C6811" t="s">
        <v>10214</v>
      </c>
      <c r="D6811" t="s">
        <v>17963</v>
      </c>
      <c r="E6811" t="s">
        <v>24024</v>
      </c>
      <c r="F6811" t="s">
        <v>30900</v>
      </c>
      <c r="G6811" t="s">
        <v>30907</v>
      </c>
      <c r="H6811" t="s">
        <v>30915</v>
      </c>
      <c r="I6811" t="s">
        <v>30919</v>
      </c>
      <c r="J6811" t="s">
        <v>35405</v>
      </c>
      <c r="K6811" t="s">
        <v>40286</v>
      </c>
      <c r="M6811" t="s">
        <v>42770</v>
      </c>
      <c r="N6811" t="s">
        <v>44759</v>
      </c>
      <c r="O6811" t="s">
        <v>44760</v>
      </c>
      <c r="P6811">
        <v>0</v>
      </c>
      <c r="Q6811">
        <v>0</v>
      </c>
      <c r="R6811" t="s">
        <v>44767</v>
      </c>
      <c r="S6811" t="s">
        <v>44954</v>
      </c>
      <c r="T6811" t="s">
        <v>46391</v>
      </c>
      <c r="U6811" t="s">
        <v>52648</v>
      </c>
      <c r="W6811" t="s">
        <v>42770</v>
      </c>
      <c r="X6811" t="s">
        <v>44768</v>
      </c>
    </row>
    <row r="6812" spans="1:24">
      <c r="A6812">
        <f>HYPERLINK("https://www.philgeps.gov.ph/GEPSNONPILOT/Tender/SplashBidNoticeAbstractUI.aspx?menuIndex=3&amp;refID=7142468&amp;Result=3","7142468")</f>
        <v>0</v>
      </c>
      <c r="B6812" t="s">
        <v>2382</v>
      </c>
      <c r="C6812" t="s">
        <v>10215</v>
      </c>
      <c r="D6812" t="s">
        <v>18021</v>
      </c>
      <c r="E6812" t="s">
        <v>24025</v>
      </c>
      <c r="F6812" t="s">
        <v>30900</v>
      </c>
      <c r="G6812" t="s">
        <v>30907</v>
      </c>
      <c r="H6812" t="s">
        <v>30916</v>
      </c>
      <c r="I6812" t="s">
        <v>6953</v>
      </c>
      <c r="J6812" t="s">
        <v>35418</v>
      </c>
      <c r="K6812" t="s">
        <v>40314</v>
      </c>
      <c r="M6812" t="s">
        <v>43108</v>
      </c>
      <c r="N6812" t="s">
        <v>44759</v>
      </c>
      <c r="O6812" t="s">
        <v>44760</v>
      </c>
      <c r="P6812">
        <v>0</v>
      </c>
      <c r="Q6812">
        <v>1</v>
      </c>
      <c r="R6812" t="s">
        <v>44767</v>
      </c>
      <c r="S6812" t="s">
        <v>44954</v>
      </c>
      <c r="T6812" t="s">
        <v>46439</v>
      </c>
      <c r="U6812" t="s">
        <v>52649</v>
      </c>
      <c r="V6812" t="s">
        <v>59855</v>
      </c>
      <c r="W6812" t="s">
        <v>43108</v>
      </c>
      <c r="X6812" t="s">
        <v>44768</v>
      </c>
    </row>
    <row r="6813" spans="1:24">
      <c r="A6813">
        <f>HYPERLINK("https://www.philgeps.gov.ph/GEPSNONPILOT/Tender/SplashBidNoticeAbstractUI.aspx?menuIndex=3&amp;refID=7142448&amp;Result=3","7142448")</f>
        <v>0</v>
      </c>
      <c r="B6813" t="s">
        <v>2360</v>
      </c>
      <c r="C6813" t="s">
        <v>10216</v>
      </c>
      <c r="D6813" t="s">
        <v>17977</v>
      </c>
      <c r="E6813" t="s">
        <v>24026</v>
      </c>
      <c r="F6813" t="s">
        <v>30900</v>
      </c>
      <c r="G6813" t="s">
        <v>30907</v>
      </c>
      <c r="H6813" t="s">
        <v>30916</v>
      </c>
      <c r="I6813" t="s">
        <v>7708</v>
      </c>
      <c r="J6813" t="s">
        <v>35419</v>
      </c>
      <c r="K6813" t="s">
        <v>40280</v>
      </c>
      <c r="M6813" t="s">
        <v>43084</v>
      </c>
      <c r="N6813" t="s">
        <v>44759</v>
      </c>
      <c r="O6813" t="s">
        <v>44760</v>
      </c>
      <c r="P6813">
        <v>0</v>
      </c>
      <c r="Q6813">
        <v>5</v>
      </c>
      <c r="R6813" t="s">
        <v>44767</v>
      </c>
      <c r="S6813" t="s">
        <v>44954</v>
      </c>
      <c r="T6813" t="s">
        <v>46592</v>
      </c>
      <c r="U6813" t="s">
        <v>52588</v>
      </c>
      <c r="V6813" t="s">
        <v>59856</v>
      </c>
      <c r="W6813" t="s">
        <v>43084</v>
      </c>
      <c r="X6813" t="s">
        <v>44768</v>
      </c>
    </row>
    <row r="6814" spans="1:24">
      <c r="A6814">
        <f>HYPERLINK("https://www.philgeps.gov.ph/GEPSNONPILOT/Tender/SplashBidNoticeAbstractUI.aspx?menuIndex=3&amp;refID=7142447&amp;Result=3","7142447")</f>
        <v>0</v>
      </c>
      <c r="B6814" t="s">
        <v>1973</v>
      </c>
      <c r="C6814" t="s">
        <v>10217</v>
      </c>
      <c r="D6814" t="s">
        <v>18012</v>
      </c>
      <c r="E6814" t="s">
        <v>24027</v>
      </c>
      <c r="F6814" t="s">
        <v>30900</v>
      </c>
      <c r="G6814" t="s">
        <v>30907</v>
      </c>
      <c r="H6814" t="s">
        <v>30916</v>
      </c>
      <c r="I6814" t="s">
        <v>8123</v>
      </c>
      <c r="J6814" t="s">
        <v>35420</v>
      </c>
      <c r="K6814" t="s">
        <v>40284</v>
      </c>
      <c r="M6814" t="s">
        <v>42661</v>
      </c>
      <c r="N6814" t="s">
        <v>44759</v>
      </c>
      <c r="O6814" t="s">
        <v>44760</v>
      </c>
      <c r="P6814">
        <v>0</v>
      </c>
      <c r="Q6814">
        <v>1</v>
      </c>
      <c r="R6814" t="s">
        <v>44767</v>
      </c>
      <c r="S6814" t="s">
        <v>44954</v>
      </c>
      <c r="T6814" t="s">
        <v>46443</v>
      </c>
      <c r="U6814" t="s">
        <v>52650</v>
      </c>
      <c r="W6814" t="s">
        <v>42661</v>
      </c>
      <c r="X6814" t="s">
        <v>44768</v>
      </c>
    </row>
    <row r="6815" spans="1:24">
      <c r="A6815">
        <f>HYPERLINK("https://www.philgeps.gov.ph/GEPSNONPILOT/Tender/SplashBidNoticeAbstractUI.aspx?menuIndex=3&amp;refID=7142414&amp;Result=3","7142414")</f>
        <v>0</v>
      </c>
      <c r="B6815" t="s">
        <v>1973</v>
      </c>
      <c r="C6815" t="s">
        <v>10218</v>
      </c>
      <c r="D6815" t="s">
        <v>18012</v>
      </c>
      <c r="E6815" t="s">
        <v>24028</v>
      </c>
      <c r="F6815" t="s">
        <v>30900</v>
      </c>
      <c r="G6815" t="s">
        <v>30907</v>
      </c>
      <c r="H6815" t="s">
        <v>30916</v>
      </c>
      <c r="I6815" t="s">
        <v>4545</v>
      </c>
      <c r="J6815" t="s">
        <v>31247</v>
      </c>
      <c r="K6815" t="s">
        <v>40284</v>
      </c>
      <c r="M6815" t="s">
        <v>42661</v>
      </c>
      <c r="N6815" t="s">
        <v>44759</v>
      </c>
      <c r="O6815" t="s">
        <v>44760</v>
      </c>
      <c r="P6815">
        <v>0</v>
      </c>
      <c r="Q6815">
        <v>1</v>
      </c>
      <c r="R6815" t="s">
        <v>44767</v>
      </c>
      <c r="S6815" t="s">
        <v>44954</v>
      </c>
      <c r="T6815" t="s">
        <v>46443</v>
      </c>
      <c r="U6815" t="s">
        <v>52651</v>
      </c>
      <c r="W6815" t="s">
        <v>42661</v>
      </c>
      <c r="X6815" t="s">
        <v>44768</v>
      </c>
    </row>
    <row r="6816" spans="1:24">
      <c r="A6816">
        <f>HYPERLINK("https://www.philgeps.gov.ph/GEPSNONPILOT/Tender/SplashBidNoticeAbstractUI.aspx?menuIndex=3&amp;refID=7142411&amp;Result=3","7142411")</f>
        <v>0</v>
      </c>
      <c r="B6816" t="s">
        <v>45</v>
      </c>
      <c r="C6816" t="s">
        <v>10219</v>
      </c>
      <c r="E6816" t="s">
        <v>24029</v>
      </c>
      <c r="F6816" t="s">
        <v>30900</v>
      </c>
      <c r="G6816" t="s">
        <v>30908</v>
      </c>
      <c r="H6816" t="s">
        <v>30916</v>
      </c>
      <c r="I6816" t="s">
        <v>30994</v>
      </c>
      <c r="J6816" t="s">
        <v>31135</v>
      </c>
      <c r="K6816" t="s">
        <v>40287</v>
      </c>
      <c r="M6816" t="s">
        <v>40610</v>
      </c>
      <c r="N6816" t="s">
        <v>44759</v>
      </c>
      <c r="O6816" t="s">
        <v>44760</v>
      </c>
      <c r="P6816">
        <v>0</v>
      </c>
      <c r="Q6816">
        <v>2</v>
      </c>
      <c r="R6816" t="s">
        <v>44767</v>
      </c>
      <c r="S6816" t="s">
        <v>44954</v>
      </c>
      <c r="T6816" t="s">
        <v>46531</v>
      </c>
      <c r="U6816" t="s">
        <v>52652</v>
      </c>
      <c r="W6816" t="s">
        <v>40610</v>
      </c>
      <c r="X6816" t="s">
        <v>44768</v>
      </c>
    </row>
    <row r="6817" spans="1:24">
      <c r="A6817">
        <f>HYPERLINK("https://www.philgeps.gov.ph/GEPSNONPILOT/Tender/SplashBidNoticeAbstractUI.aspx?menuIndex=3&amp;refID=7142461&amp;Result=3","7142461")</f>
        <v>0</v>
      </c>
      <c r="B6817" t="s">
        <v>399</v>
      </c>
      <c r="C6817" t="s">
        <v>10220</v>
      </c>
      <c r="D6817" t="s">
        <v>17977</v>
      </c>
      <c r="E6817" t="s">
        <v>24030</v>
      </c>
      <c r="F6817" t="s">
        <v>30900</v>
      </c>
      <c r="G6817" t="s">
        <v>30908</v>
      </c>
      <c r="H6817" t="s">
        <v>30916</v>
      </c>
      <c r="I6817" t="s">
        <v>30927</v>
      </c>
      <c r="J6817" t="s">
        <v>31096</v>
      </c>
      <c r="K6817" t="s">
        <v>40283</v>
      </c>
      <c r="M6817" t="s">
        <v>40954</v>
      </c>
      <c r="N6817" t="s">
        <v>44759</v>
      </c>
      <c r="O6817" t="s">
        <v>44760</v>
      </c>
      <c r="P6817">
        <v>0</v>
      </c>
      <c r="Q6817">
        <v>0</v>
      </c>
      <c r="R6817" t="s">
        <v>44767</v>
      </c>
      <c r="S6817" t="s">
        <v>44954</v>
      </c>
      <c r="T6817" t="s">
        <v>46641</v>
      </c>
      <c r="U6817" t="s">
        <v>47585</v>
      </c>
      <c r="W6817" t="s">
        <v>40954</v>
      </c>
      <c r="X6817" t="s">
        <v>44768</v>
      </c>
    </row>
    <row r="6818" spans="1:24">
      <c r="A6818">
        <f>HYPERLINK("https://www.philgeps.gov.ph/GEPSNONPILOT/Tender/SplashBidNoticeAbstractUI.aspx?menuIndex=3&amp;refID=7142458&amp;Result=3","7142458")</f>
        <v>0</v>
      </c>
      <c r="B6818" t="s">
        <v>2361</v>
      </c>
      <c r="C6818" t="s">
        <v>10221</v>
      </c>
      <c r="D6818" t="s">
        <v>17957</v>
      </c>
      <c r="E6818" t="s">
        <v>24031</v>
      </c>
      <c r="F6818" t="s">
        <v>30900</v>
      </c>
      <c r="G6818" t="s">
        <v>30908</v>
      </c>
      <c r="H6818" t="s">
        <v>30916</v>
      </c>
      <c r="I6818" t="s">
        <v>30967</v>
      </c>
      <c r="J6818" t="s">
        <v>31483</v>
      </c>
      <c r="K6818" t="s">
        <v>40287</v>
      </c>
      <c r="M6818" t="s">
        <v>43085</v>
      </c>
      <c r="N6818" t="s">
        <v>44759</v>
      </c>
      <c r="O6818" t="s">
        <v>44760</v>
      </c>
      <c r="P6818">
        <v>0</v>
      </c>
      <c r="Q6818">
        <v>1</v>
      </c>
      <c r="R6818" t="s">
        <v>44767</v>
      </c>
      <c r="S6818" t="s">
        <v>44954</v>
      </c>
      <c r="T6818" t="s">
        <v>46533</v>
      </c>
      <c r="U6818" t="s">
        <v>52653</v>
      </c>
      <c r="W6818" t="s">
        <v>43085</v>
      </c>
      <c r="X6818" t="s">
        <v>44768</v>
      </c>
    </row>
    <row r="6819" spans="1:24">
      <c r="A6819">
        <f>HYPERLINK("https://www.philgeps.gov.ph/GEPSNONPILOT/Tender/SplashBidNoticeAbstractUI.aspx?menuIndex=3&amp;refID=7142454&amp;Result=3","7142454")</f>
        <v>0</v>
      </c>
      <c r="B6819" t="s">
        <v>2359</v>
      </c>
      <c r="C6819" t="s">
        <v>10222</v>
      </c>
      <c r="D6819" t="s">
        <v>18022</v>
      </c>
      <c r="E6819" t="s">
        <v>24032</v>
      </c>
      <c r="F6819" t="s">
        <v>30900</v>
      </c>
      <c r="G6819" t="s">
        <v>30907</v>
      </c>
      <c r="H6819" t="s">
        <v>30915</v>
      </c>
      <c r="I6819" t="s">
        <v>30919</v>
      </c>
      <c r="J6819" t="s">
        <v>35421</v>
      </c>
      <c r="K6819" t="s">
        <v>40289</v>
      </c>
      <c r="M6819" t="s">
        <v>43083</v>
      </c>
      <c r="N6819" t="s">
        <v>44759</v>
      </c>
      <c r="O6819" t="s">
        <v>44760</v>
      </c>
      <c r="P6819">
        <v>0</v>
      </c>
      <c r="Q6819">
        <v>1</v>
      </c>
      <c r="R6819" t="s">
        <v>44767</v>
      </c>
      <c r="S6819" t="s">
        <v>44954</v>
      </c>
      <c r="T6819" t="s">
        <v>46533</v>
      </c>
      <c r="U6819" t="s">
        <v>52654</v>
      </c>
      <c r="W6819" t="s">
        <v>60888</v>
      </c>
      <c r="X6819" t="s">
        <v>44768</v>
      </c>
    </row>
    <row r="6820" spans="1:24">
      <c r="A6820">
        <f>HYPERLINK("https://www.philgeps.gov.ph/GEPSNONPILOT/Tender/SplashBidNoticeAbstractUI.aspx?menuIndex=3&amp;refID=7142488&amp;Result=3","7142488")</f>
        <v>0</v>
      </c>
      <c r="B6820" t="s">
        <v>2383</v>
      </c>
      <c r="C6820" t="s">
        <v>10223</v>
      </c>
      <c r="D6820" t="s">
        <v>18019</v>
      </c>
      <c r="E6820" t="s">
        <v>24033</v>
      </c>
      <c r="F6820" t="s">
        <v>30900</v>
      </c>
      <c r="G6820" t="s">
        <v>30907</v>
      </c>
      <c r="H6820" t="s">
        <v>30916</v>
      </c>
      <c r="I6820" t="s">
        <v>30922</v>
      </c>
      <c r="J6820" t="s">
        <v>35422</v>
      </c>
      <c r="K6820" t="s">
        <v>40292</v>
      </c>
      <c r="M6820" t="s">
        <v>43109</v>
      </c>
      <c r="N6820" t="s">
        <v>44759</v>
      </c>
      <c r="O6820" t="s">
        <v>44760</v>
      </c>
      <c r="P6820">
        <v>0</v>
      </c>
      <c r="Q6820">
        <v>4</v>
      </c>
      <c r="R6820" t="s">
        <v>44767</v>
      </c>
      <c r="S6820" t="s">
        <v>44954</v>
      </c>
      <c r="T6820" t="s">
        <v>46386</v>
      </c>
      <c r="U6820" t="s">
        <v>52655</v>
      </c>
      <c r="W6820" t="s">
        <v>43109</v>
      </c>
      <c r="X6820" t="s">
        <v>44768</v>
      </c>
    </row>
    <row r="6821" spans="1:24">
      <c r="A6821">
        <f>HYPERLINK("https://www.philgeps.gov.ph/GEPSNONPILOT/Tender/SplashBidNoticeAbstractUI.aspx?menuIndex=3&amp;refID=7142532&amp;Result=3","7142532")</f>
        <v>0</v>
      </c>
      <c r="B6821" t="s">
        <v>1545</v>
      </c>
      <c r="C6821" t="s">
        <v>10224</v>
      </c>
      <c r="D6821" t="s">
        <v>17987</v>
      </c>
      <c r="E6821" t="s">
        <v>24034</v>
      </c>
      <c r="F6821" t="s">
        <v>30900</v>
      </c>
      <c r="G6821" t="s">
        <v>30907</v>
      </c>
      <c r="H6821" t="s">
        <v>30916</v>
      </c>
      <c r="I6821" t="s">
        <v>4142</v>
      </c>
      <c r="J6821" t="s">
        <v>35423</v>
      </c>
      <c r="K6821" t="s">
        <v>40289</v>
      </c>
      <c r="M6821" t="s">
        <v>42189</v>
      </c>
      <c r="N6821" t="s">
        <v>44759</v>
      </c>
      <c r="O6821" t="s">
        <v>44760</v>
      </c>
      <c r="P6821">
        <v>0</v>
      </c>
      <c r="Q6821">
        <v>0</v>
      </c>
      <c r="R6821" t="s">
        <v>44767</v>
      </c>
      <c r="S6821" t="s">
        <v>44954</v>
      </c>
      <c r="T6821" t="s">
        <v>46421</v>
      </c>
      <c r="U6821" t="s">
        <v>52656</v>
      </c>
      <c r="W6821" t="s">
        <v>42189</v>
      </c>
      <c r="X6821" t="s">
        <v>44768</v>
      </c>
    </row>
    <row r="6822" spans="1:24">
      <c r="A6822">
        <f>HYPERLINK("https://www.philgeps.gov.ph/GEPSNONPILOT/Tender/SplashBidNoticeAbstractUI.aspx?menuIndex=3&amp;refID=7142515&amp;Result=3","7142515")</f>
        <v>0</v>
      </c>
      <c r="B6822" t="s">
        <v>2384</v>
      </c>
      <c r="C6822" t="s">
        <v>10225</v>
      </c>
      <c r="D6822" t="s">
        <v>17961</v>
      </c>
      <c r="E6822" t="s">
        <v>18282</v>
      </c>
      <c r="F6822" t="s">
        <v>30900</v>
      </c>
      <c r="G6822" t="s">
        <v>30907</v>
      </c>
      <c r="H6822" t="s">
        <v>30916</v>
      </c>
      <c r="I6822" t="s">
        <v>8365</v>
      </c>
      <c r="J6822" t="s">
        <v>35424</v>
      </c>
      <c r="K6822" t="s">
        <v>40285</v>
      </c>
      <c r="M6822" t="s">
        <v>43110</v>
      </c>
      <c r="N6822" t="s">
        <v>44759</v>
      </c>
      <c r="O6822" t="s">
        <v>44760</v>
      </c>
      <c r="P6822">
        <v>0</v>
      </c>
      <c r="Q6822">
        <v>0</v>
      </c>
      <c r="R6822" t="s">
        <v>44767</v>
      </c>
      <c r="S6822" t="s">
        <v>44954</v>
      </c>
      <c r="T6822" t="s">
        <v>46374</v>
      </c>
      <c r="U6822" t="s">
        <v>52657</v>
      </c>
      <c r="W6822" t="s">
        <v>43110</v>
      </c>
      <c r="X6822" t="s">
        <v>44768</v>
      </c>
    </row>
    <row r="6823" spans="1:24">
      <c r="A6823">
        <f>HYPERLINK("https://www.philgeps.gov.ph/GEPSNONPILOT/Tender/SplashBidNoticeAbstractUI.aspx?menuIndex=3&amp;refID=7142472&amp;Result=3","7142472")</f>
        <v>0</v>
      </c>
      <c r="B6823" t="s">
        <v>2385</v>
      </c>
      <c r="C6823" t="s">
        <v>10226</v>
      </c>
      <c r="D6823" t="s">
        <v>17959</v>
      </c>
      <c r="E6823" t="s">
        <v>24035</v>
      </c>
      <c r="F6823" t="s">
        <v>30900</v>
      </c>
      <c r="G6823" t="s">
        <v>30908</v>
      </c>
      <c r="H6823" t="s">
        <v>30916</v>
      </c>
      <c r="I6823" t="s">
        <v>9385</v>
      </c>
      <c r="J6823" t="s">
        <v>31043</v>
      </c>
      <c r="K6823" t="s">
        <v>40289</v>
      </c>
      <c r="M6823" t="s">
        <v>43111</v>
      </c>
      <c r="N6823" t="s">
        <v>44759</v>
      </c>
      <c r="O6823" t="s">
        <v>44760</v>
      </c>
      <c r="P6823">
        <v>0</v>
      </c>
      <c r="Q6823">
        <v>2</v>
      </c>
      <c r="R6823" t="s">
        <v>44767</v>
      </c>
      <c r="S6823" t="s">
        <v>44954</v>
      </c>
      <c r="T6823" t="s">
        <v>46591</v>
      </c>
      <c r="U6823" t="s">
        <v>52658</v>
      </c>
      <c r="W6823" t="s">
        <v>43111</v>
      </c>
      <c r="X6823" t="s">
        <v>44768</v>
      </c>
    </row>
    <row r="6824" spans="1:24">
      <c r="A6824">
        <f>HYPERLINK("https://www.philgeps.gov.ph/GEPSNONPILOT/Tender/SplashBidNoticeAbstractUI.aspx?menuIndex=3&amp;refID=7142531&amp;Result=3","7142531")</f>
        <v>0</v>
      </c>
      <c r="B6824" t="s">
        <v>2386</v>
      </c>
      <c r="C6824" t="s">
        <v>10227</v>
      </c>
      <c r="D6824" t="s">
        <v>17975</v>
      </c>
      <c r="E6824" t="s">
        <v>24036</v>
      </c>
      <c r="F6824" t="s">
        <v>30900</v>
      </c>
      <c r="G6824" t="s">
        <v>30909</v>
      </c>
      <c r="H6824" t="s">
        <v>30916</v>
      </c>
      <c r="I6824" t="s">
        <v>4050</v>
      </c>
      <c r="J6824" t="s">
        <v>31043</v>
      </c>
      <c r="K6824" t="s">
        <v>40294</v>
      </c>
      <c r="M6824" t="s">
        <v>43112</v>
      </c>
      <c r="N6824" t="s">
        <v>44759</v>
      </c>
      <c r="O6824" t="s">
        <v>44760</v>
      </c>
      <c r="P6824">
        <v>0</v>
      </c>
      <c r="Q6824">
        <v>1</v>
      </c>
      <c r="R6824" t="s">
        <v>44767</v>
      </c>
      <c r="S6824" t="s">
        <v>44954</v>
      </c>
      <c r="T6824" t="s">
        <v>46357</v>
      </c>
      <c r="U6824" t="s">
        <v>52659</v>
      </c>
      <c r="V6824" t="s">
        <v>59857</v>
      </c>
      <c r="W6824" t="s">
        <v>43112</v>
      </c>
      <c r="X6824" t="s">
        <v>44768</v>
      </c>
    </row>
    <row r="6825" spans="1:24">
      <c r="A6825">
        <f>HYPERLINK("https://www.philgeps.gov.ph/GEPSNONPILOT/Tender/SplashBidNoticeAbstractUI.aspx?menuIndex=3&amp;refID=7142525&amp;Result=3","7142525")</f>
        <v>0</v>
      </c>
      <c r="B6825" t="s">
        <v>2387</v>
      </c>
      <c r="C6825" t="s">
        <v>10228</v>
      </c>
      <c r="D6825" t="s">
        <v>17995</v>
      </c>
      <c r="E6825" t="s">
        <v>24037</v>
      </c>
      <c r="F6825" t="s">
        <v>30900</v>
      </c>
      <c r="G6825" t="s">
        <v>30907</v>
      </c>
      <c r="H6825" t="s">
        <v>30916</v>
      </c>
      <c r="I6825" t="s">
        <v>10847</v>
      </c>
      <c r="J6825" t="s">
        <v>35425</v>
      </c>
      <c r="K6825" t="s">
        <v>40287</v>
      </c>
      <c r="M6825" t="s">
        <v>43113</v>
      </c>
      <c r="N6825" t="s">
        <v>44759</v>
      </c>
      <c r="O6825" t="s">
        <v>44760</v>
      </c>
      <c r="P6825">
        <v>0</v>
      </c>
      <c r="Q6825">
        <v>1</v>
      </c>
      <c r="R6825" t="s">
        <v>44767</v>
      </c>
      <c r="S6825" t="s">
        <v>44954</v>
      </c>
      <c r="T6825" t="s">
        <v>46689</v>
      </c>
      <c r="U6825" t="s">
        <v>52660</v>
      </c>
      <c r="W6825" t="s">
        <v>43113</v>
      </c>
      <c r="X6825" t="s">
        <v>44768</v>
      </c>
    </row>
    <row r="6826" spans="1:24">
      <c r="A6826">
        <f>HYPERLINK("https://www.philgeps.gov.ph/GEPSNONPILOT/Tender/SplashBidNoticeAbstractUI.aspx?menuIndex=3&amp;refID=7142520&amp;Result=3","7142520")</f>
        <v>0</v>
      </c>
      <c r="B6826" t="s">
        <v>2071</v>
      </c>
      <c r="C6826" t="s">
        <v>10229</v>
      </c>
      <c r="D6826" t="s">
        <v>17963</v>
      </c>
      <c r="E6826" t="s">
        <v>24038</v>
      </c>
      <c r="F6826" t="s">
        <v>30900</v>
      </c>
      <c r="G6826" t="s">
        <v>30907</v>
      </c>
      <c r="H6826" t="s">
        <v>30915</v>
      </c>
      <c r="I6826" t="s">
        <v>30919</v>
      </c>
      <c r="J6826" t="s">
        <v>35405</v>
      </c>
      <c r="K6826" t="s">
        <v>40286</v>
      </c>
      <c r="M6826" t="s">
        <v>42770</v>
      </c>
      <c r="N6826" t="s">
        <v>44759</v>
      </c>
      <c r="O6826" t="s">
        <v>44760</v>
      </c>
      <c r="P6826">
        <v>0</v>
      </c>
      <c r="Q6826">
        <v>0</v>
      </c>
      <c r="R6826" t="s">
        <v>44767</v>
      </c>
      <c r="S6826" t="s">
        <v>44954</v>
      </c>
      <c r="T6826" t="s">
        <v>46391</v>
      </c>
      <c r="U6826" t="s">
        <v>52661</v>
      </c>
      <c r="W6826" t="s">
        <v>42770</v>
      </c>
      <c r="X6826" t="s">
        <v>44768</v>
      </c>
    </row>
    <row r="6827" spans="1:24">
      <c r="A6827">
        <f>HYPERLINK("https://www.philgeps.gov.ph/GEPSNONPILOT/Tender/SplashBidNoticeAbstractUI.aspx?menuIndex=3&amp;refID=7142516&amp;Result=3","7142516")</f>
        <v>0</v>
      </c>
      <c r="B6827" t="s">
        <v>164</v>
      </c>
      <c r="C6827" t="s">
        <v>10230</v>
      </c>
      <c r="D6827" t="s">
        <v>17961</v>
      </c>
      <c r="E6827" t="s">
        <v>24039</v>
      </c>
      <c r="F6827" t="s">
        <v>30900</v>
      </c>
      <c r="G6827" t="s">
        <v>30908</v>
      </c>
      <c r="H6827" t="s">
        <v>30916</v>
      </c>
      <c r="I6827" t="s">
        <v>4545</v>
      </c>
      <c r="J6827" t="s">
        <v>31049</v>
      </c>
      <c r="K6827" t="s">
        <v>40294</v>
      </c>
      <c r="M6827" t="s">
        <v>40711</v>
      </c>
      <c r="N6827" t="s">
        <v>44759</v>
      </c>
      <c r="O6827" t="s">
        <v>44760</v>
      </c>
      <c r="P6827">
        <v>0</v>
      </c>
      <c r="Q6827">
        <v>1</v>
      </c>
      <c r="R6827" t="s">
        <v>44767</v>
      </c>
      <c r="S6827" t="s">
        <v>44954</v>
      </c>
      <c r="T6827" t="s">
        <v>46531</v>
      </c>
      <c r="U6827" t="s">
        <v>52662</v>
      </c>
      <c r="W6827" t="s">
        <v>40711</v>
      </c>
      <c r="X6827" t="s">
        <v>44768</v>
      </c>
    </row>
    <row r="6828" spans="1:24">
      <c r="A6828">
        <f>HYPERLINK("https://www.philgeps.gov.ph/GEPSNONPILOT/Tender/SplashBidNoticeAbstractUI.aspx?menuIndex=3&amp;refID=7142509&amp;Result=3","7142509")</f>
        <v>0</v>
      </c>
      <c r="B6828" t="s">
        <v>2388</v>
      </c>
      <c r="C6828" t="s">
        <v>10231</v>
      </c>
      <c r="D6828" t="s">
        <v>17960</v>
      </c>
      <c r="E6828" t="s">
        <v>24040</v>
      </c>
      <c r="F6828" t="s">
        <v>30900</v>
      </c>
      <c r="G6828" t="s">
        <v>30907</v>
      </c>
      <c r="H6828" t="s">
        <v>30916</v>
      </c>
      <c r="I6828" t="s">
        <v>8123</v>
      </c>
      <c r="J6828" t="s">
        <v>35426</v>
      </c>
      <c r="K6828" t="s">
        <v>40292</v>
      </c>
      <c r="M6828" t="s">
        <v>43114</v>
      </c>
      <c r="N6828" t="s">
        <v>44759</v>
      </c>
      <c r="O6828" t="s">
        <v>44760</v>
      </c>
      <c r="P6828">
        <v>0</v>
      </c>
      <c r="Q6828">
        <v>0</v>
      </c>
      <c r="R6828" t="s">
        <v>44767</v>
      </c>
      <c r="S6828" t="s">
        <v>44954</v>
      </c>
      <c r="T6828" t="s">
        <v>46533</v>
      </c>
      <c r="U6828" t="s">
        <v>52663</v>
      </c>
      <c r="V6828" t="s">
        <v>59858</v>
      </c>
      <c r="W6828" t="s">
        <v>43114</v>
      </c>
      <c r="X6828" t="s">
        <v>44768</v>
      </c>
    </row>
    <row r="6829" spans="1:24">
      <c r="A6829">
        <f>HYPERLINK("https://www.philgeps.gov.ph/GEPSNONPILOT/Tender/SplashBidNoticeAbstractUI.aspx?menuIndex=3&amp;refID=7142513&amp;Result=3","7142513")</f>
        <v>0</v>
      </c>
      <c r="B6829" t="s">
        <v>1973</v>
      </c>
      <c r="C6829" t="s">
        <v>10232</v>
      </c>
      <c r="D6829" t="s">
        <v>18012</v>
      </c>
      <c r="E6829" t="s">
        <v>24041</v>
      </c>
      <c r="F6829" t="s">
        <v>30900</v>
      </c>
      <c r="G6829" t="s">
        <v>30907</v>
      </c>
      <c r="H6829" t="s">
        <v>30916</v>
      </c>
      <c r="I6829" t="s">
        <v>30946</v>
      </c>
      <c r="J6829" t="s">
        <v>35427</v>
      </c>
      <c r="K6829" t="s">
        <v>40284</v>
      </c>
      <c r="M6829" t="s">
        <v>42661</v>
      </c>
      <c r="N6829" t="s">
        <v>44759</v>
      </c>
      <c r="O6829" t="s">
        <v>44760</v>
      </c>
      <c r="P6829">
        <v>0</v>
      </c>
      <c r="Q6829">
        <v>1</v>
      </c>
      <c r="R6829" t="s">
        <v>44767</v>
      </c>
      <c r="S6829" t="s">
        <v>44954</v>
      </c>
      <c r="T6829" t="s">
        <v>46443</v>
      </c>
      <c r="U6829" t="s">
        <v>52664</v>
      </c>
      <c r="W6829" t="s">
        <v>42661</v>
      </c>
      <c r="X6829" t="s">
        <v>44768</v>
      </c>
    </row>
    <row r="6830" spans="1:24">
      <c r="A6830">
        <f>HYPERLINK("https://www.philgeps.gov.ph/GEPSNONPILOT/Tender/SplashBidNoticeAbstractUI.aspx?menuIndex=3&amp;refID=7142528&amp;Result=3","7142528")</f>
        <v>0</v>
      </c>
      <c r="B6830" t="s">
        <v>1973</v>
      </c>
      <c r="C6830" t="s">
        <v>10233</v>
      </c>
      <c r="D6830" t="s">
        <v>18012</v>
      </c>
      <c r="E6830" t="s">
        <v>24042</v>
      </c>
      <c r="F6830" t="s">
        <v>30900</v>
      </c>
      <c r="G6830" t="s">
        <v>30907</v>
      </c>
      <c r="H6830" t="s">
        <v>30916</v>
      </c>
      <c r="I6830" t="s">
        <v>8123</v>
      </c>
      <c r="J6830" t="s">
        <v>35428</v>
      </c>
      <c r="K6830" t="s">
        <v>40284</v>
      </c>
      <c r="M6830" t="s">
        <v>42661</v>
      </c>
      <c r="N6830" t="s">
        <v>44759</v>
      </c>
      <c r="O6830" t="s">
        <v>44760</v>
      </c>
      <c r="P6830">
        <v>0</v>
      </c>
      <c r="Q6830">
        <v>1</v>
      </c>
      <c r="R6830" t="s">
        <v>44767</v>
      </c>
      <c r="S6830" t="s">
        <v>44954</v>
      </c>
      <c r="T6830" t="s">
        <v>46443</v>
      </c>
      <c r="U6830" t="s">
        <v>52665</v>
      </c>
      <c r="W6830" t="s">
        <v>42661</v>
      </c>
      <c r="X6830" t="s">
        <v>44768</v>
      </c>
    </row>
    <row r="6831" spans="1:24">
      <c r="A6831">
        <f>HYPERLINK("https://www.philgeps.gov.ph/GEPSNONPILOT/Tender/SplashBidNoticeAbstractUI.aspx?menuIndex=3&amp;refID=7142518&amp;Result=3","7142518")</f>
        <v>0</v>
      </c>
      <c r="B6831" t="s">
        <v>585</v>
      </c>
      <c r="C6831" t="s">
        <v>10234</v>
      </c>
      <c r="E6831" t="s">
        <v>24043</v>
      </c>
      <c r="F6831" t="s">
        <v>30900</v>
      </c>
      <c r="G6831" t="s">
        <v>30908</v>
      </c>
      <c r="H6831" t="s">
        <v>30916</v>
      </c>
      <c r="I6831" t="s">
        <v>4142</v>
      </c>
      <c r="J6831" t="s">
        <v>35429</v>
      </c>
      <c r="K6831" t="s">
        <v>40289</v>
      </c>
      <c r="M6831" t="s">
        <v>41147</v>
      </c>
      <c r="N6831" t="s">
        <v>44759</v>
      </c>
      <c r="O6831" t="s">
        <v>44760</v>
      </c>
      <c r="P6831">
        <v>0</v>
      </c>
      <c r="Q6831">
        <v>4</v>
      </c>
      <c r="R6831" t="s">
        <v>44767</v>
      </c>
      <c r="S6831" t="s">
        <v>44954</v>
      </c>
      <c r="T6831" t="s">
        <v>46662</v>
      </c>
      <c r="U6831" t="s">
        <v>52666</v>
      </c>
      <c r="V6831" t="s">
        <v>59258</v>
      </c>
      <c r="W6831" t="s">
        <v>41147</v>
      </c>
      <c r="X6831" t="s">
        <v>44768</v>
      </c>
    </row>
    <row r="6832" spans="1:24">
      <c r="A6832">
        <f>HYPERLINK("https://www.philgeps.gov.ph/GEPSNONPILOT/Tender/SplashBidNoticeAbstractUI.aspx?menuIndex=3&amp;refID=7142577&amp;Result=3","7142577")</f>
        <v>0</v>
      </c>
      <c r="B6832" t="s">
        <v>2389</v>
      </c>
      <c r="C6832" t="s">
        <v>10235</v>
      </c>
      <c r="D6832" t="s">
        <v>17994</v>
      </c>
      <c r="E6832" t="s">
        <v>24044</v>
      </c>
      <c r="F6832" t="s">
        <v>30900</v>
      </c>
      <c r="G6832" t="s">
        <v>30908</v>
      </c>
      <c r="H6832" t="s">
        <v>30916</v>
      </c>
      <c r="I6832" t="s">
        <v>30936</v>
      </c>
      <c r="J6832" t="s">
        <v>31050</v>
      </c>
      <c r="K6832" t="s">
        <v>40286</v>
      </c>
      <c r="M6832" t="s">
        <v>43115</v>
      </c>
      <c r="N6832" t="s">
        <v>44759</v>
      </c>
      <c r="O6832" t="s">
        <v>44760</v>
      </c>
      <c r="P6832">
        <v>0</v>
      </c>
      <c r="Q6832">
        <v>0</v>
      </c>
      <c r="R6832" t="s">
        <v>44767</v>
      </c>
      <c r="S6832" t="s">
        <v>44954</v>
      </c>
      <c r="T6832" t="s">
        <v>46531</v>
      </c>
      <c r="U6832" t="s">
        <v>52667</v>
      </c>
      <c r="W6832" t="s">
        <v>43115</v>
      </c>
      <c r="X6832" t="s">
        <v>44768</v>
      </c>
    </row>
    <row r="6833" spans="1:24">
      <c r="A6833">
        <f>HYPERLINK("https://www.philgeps.gov.ph/GEPSNONPILOT/Tender/SplashBidNoticeAbstractUI.aspx?menuIndex=3&amp;refID=7142576&amp;Result=3","7142576")</f>
        <v>0</v>
      </c>
      <c r="B6833" t="s">
        <v>264</v>
      </c>
      <c r="C6833" t="s">
        <v>10236</v>
      </c>
      <c r="D6833" t="s">
        <v>17997</v>
      </c>
      <c r="E6833" t="s">
        <v>24045</v>
      </c>
      <c r="F6833" t="s">
        <v>30900</v>
      </c>
      <c r="G6833" t="s">
        <v>30908</v>
      </c>
      <c r="H6833" t="s">
        <v>30916</v>
      </c>
      <c r="I6833" t="s">
        <v>6396</v>
      </c>
      <c r="J6833" t="s">
        <v>32163</v>
      </c>
      <c r="K6833" t="s">
        <v>40287</v>
      </c>
      <c r="M6833" t="s">
        <v>40811</v>
      </c>
      <c r="N6833" t="s">
        <v>44759</v>
      </c>
      <c r="O6833" t="s">
        <v>44760</v>
      </c>
      <c r="P6833">
        <v>0</v>
      </c>
      <c r="Q6833">
        <v>0</v>
      </c>
      <c r="R6833" t="s">
        <v>44767</v>
      </c>
      <c r="S6833" t="s">
        <v>44954</v>
      </c>
      <c r="T6833" t="s">
        <v>46391</v>
      </c>
      <c r="U6833" t="s">
        <v>47360</v>
      </c>
      <c r="W6833" t="s">
        <v>40811</v>
      </c>
      <c r="X6833" t="s">
        <v>44768</v>
      </c>
    </row>
    <row r="6834" spans="1:24">
      <c r="A6834">
        <f>HYPERLINK("https://www.philgeps.gov.ph/GEPSNONPILOT/Tender/SplashBidNoticeAbstractUI.aspx?menuIndex=3&amp;refID=7142533&amp;Result=3","7142533")</f>
        <v>0</v>
      </c>
      <c r="B6834" t="s">
        <v>2360</v>
      </c>
      <c r="C6834" t="s">
        <v>10237</v>
      </c>
      <c r="D6834" t="s">
        <v>17977</v>
      </c>
      <c r="E6834" t="s">
        <v>24046</v>
      </c>
      <c r="F6834" t="s">
        <v>30900</v>
      </c>
      <c r="G6834" t="s">
        <v>30907</v>
      </c>
      <c r="H6834" t="s">
        <v>30916</v>
      </c>
      <c r="I6834" t="s">
        <v>4545</v>
      </c>
      <c r="J6834" t="s">
        <v>35430</v>
      </c>
      <c r="K6834" t="s">
        <v>40280</v>
      </c>
      <c r="M6834" t="s">
        <v>43084</v>
      </c>
      <c r="N6834" t="s">
        <v>44759</v>
      </c>
      <c r="O6834" t="s">
        <v>44760</v>
      </c>
      <c r="P6834">
        <v>0</v>
      </c>
      <c r="Q6834">
        <v>4</v>
      </c>
      <c r="R6834" t="s">
        <v>44767</v>
      </c>
      <c r="S6834" t="s">
        <v>44954</v>
      </c>
      <c r="T6834" t="s">
        <v>46592</v>
      </c>
      <c r="U6834" t="s">
        <v>52668</v>
      </c>
      <c r="V6834" t="s">
        <v>59856</v>
      </c>
      <c r="W6834" t="s">
        <v>43084</v>
      </c>
      <c r="X6834" t="s">
        <v>44768</v>
      </c>
    </row>
    <row r="6835" spans="1:24">
      <c r="A6835">
        <f>HYPERLINK("https://www.philgeps.gov.ph/GEPSNONPILOT/Tender/SplashBidNoticeAbstractUI.aspx?menuIndex=3&amp;refID=7142506&amp;Result=3","7142506")</f>
        <v>0</v>
      </c>
      <c r="B6835" t="s">
        <v>2379</v>
      </c>
      <c r="C6835" t="s">
        <v>10238</v>
      </c>
      <c r="D6835" t="s">
        <v>17993</v>
      </c>
      <c r="E6835" t="s">
        <v>24047</v>
      </c>
      <c r="F6835" t="s">
        <v>30900</v>
      </c>
      <c r="G6835" t="s">
        <v>30907</v>
      </c>
      <c r="H6835" t="s">
        <v>30915</v>
      </c>
      <c r="I6835" t="s">
        <v>30919</v>
      </c>
      <c r="J6835" t="s">
        <v>35431</v>
      </c>
      <c r="K6835" t="s">
        <v>40283</v>
      </c>
      <c r="M6835" t="s">
        <v>43105</v>
      </c>
      <c r="N6835" t="s">
        <v>44759</v>
      </c>
      <c r="O6835" t="s">
        <v>44760</v>
      </c>
      <c r="P6835">
        <v>0</v>
      </c>
      <c r="Q6835">
        <v>0</v>
      </c>
      <c r="R6835" t="s">
        <v>44767</v>
      </c>
      <c r="S6835" t="s">
        <v>44954</v>
      </c>
      <c r="T6835" t="s">
        <v>46519</v>
      </c>
      <c r="U6835" t="s">
        <v>52669</v>
      </c>
      <c r="V6835" t="s">
        <v>59859</v>
      </c>
      <c r="W6835" t="s">
        <v>43105</v>
      </c>
      <c r="X6835" t="s">
        <v>44768</v>
      </c>
    </row>
    <row r="6836" spans="1:24">
      <c r="A6836">
        <f>HYPERLINK("https://www.philgeps.gov.ph/GEPSNONPILOT/Tender/SplashBidNoticeAbstractUI.aspx?menuIndex=3&amp;refID=7142573&amp;Result=3","7142573")</f>
        <v>0</v>
      </c>
      <c r="B6836" t="s">
        <v>1430</v>
      </c>
      <c r="C6836" t="s">
        <v>10239</v>
      </c>
      <c r="D6836" t="s">
        <v>17985</v>
      </c>
      <c r="E6836" t="s">
        <v>24048</v>
      </c>
      <c r="F6836" t="s">
        <v>30900</v>
      </c>
      <c r="G6836" t="s">
        <v>30907</v>
      </c>
      <c r="H6836" t="s">
        <v>30916</v>
      </c>
      <c r="I6836" t="s">
        <v>30961</v>
      </c>
      <c r="J6836" t="s">
        <v>35432</v>
      </c>
      <c r="K6836" t="s">
        <v>40287</v>
      </c>
      <c r="M6836" t="s">
        <v>42062</v>
      </c>
      <c r="N6836" t="s">
        <v>44759</v>
      </c>
      <c r="O6836" t="s">
        <v>44760</v>
      </c>
      <c r="P6836">
        <v>0</v>
      </c>
      <c r="Q6836">
        <v>0</v>
      </c>
      <c r="R6836" t="s">
        <v>44767</v>
      </c>
      <c r="S6836" t="s">
        <v>44954</v>
      </c>
      <c r="T6836" t="s">
        <v>46369</v>
      </c>
      <c r="U6836" t="s">
        <v>52670</v>
      </c>
      <c r="V6836" t="s">
        <v>59556</v>
      </c>
      <c r="W6836" t="s">
        <v>42062</v>
      </c>
      <c r="X6836" t="s">
        <v>44768</v>
      </c>
    </row>
    <row r="6837" spans="1:24">
      <c r="A6837">
        <f>HYPERLINK("https://www.philgeps.gov.ph/GEPSNONPILOT/Tender/SplashBidNoticeAbstractUI.aspx?menuIndex=3&amp;refID=7142572&amp;Result=3","7142572")</f>
        <v>0</v>
      </c>
      <c r="B6837" t="s">
        <v>1973</v>
      </c>
      <c r="C6837" t="s">
        <v>10240</v>
      </c>
      <c r="D6837" t="s">
        <v>18012</v>
      </c>
      <c r="E6837" t="s">
        <v>24049</v>
      </c>
      <c r="F6837" t="s">
        <v>30900</v>
      </c>
      <c r="G6837" t="s">
        <v>30907</v>
      </c>
      <c r="H6837" t="s">
        <v>30916</v>
      </c>
      <c r="I6837" t="s">
        <v>8123</v>
      </c>
      <c r="J6837" t="s">
        <v>31243</v>
      </c>
      <c r="K6837" t="s">
        <v>40284</v>
      </c>
      <c r="M6837" t="s">
        <v>42661</v>
      </c>
      <c r="N6837" t="s">
        <v>44759</v>
      </c>
      <c r="O6837" t="s">
        <v>44760</v>
      </c>
      <c r="P6837">
        <v>0</v>
      </c>
      <c r="Q6837">
        <v>1</v>
      </c>
      <c r="R6837" t="s">
        <v>44767</v>
      </c>
      <c r="S6837" t="s">
        <v>44954</v>
      </c>
      <c r="T6837" t="s">
        <v>46443</v>
      </c>
      <c r="U6837" t="s">
        <v>52671</v>
      </c>
      <c r="W6837" t="s">
        <v>42661</v>
      </c>
      <c r="X6837" t="s">
        <v>44768</v>
      </c>
    </row>
    <row r="6838" spans="1:24">
      <c r="A6838">
        <f>HYPERLINK("https://www.philgeps.gov.ph/GEPSNONPILOT/Tender/SplashBidNoticeAbstractUI.aspx?menuIndex=3&amp;refID=7142569&amp;Result=3","7142569")</f>
        <v>0</v>
      </c>
      <c r="B6838" t="s">
        <v>461</v>
      </c>
      <c r="C6838" t="s">
        <v>10241</v>
      </c>
      <c r="D6838" t="s">
        <v>17977</v>
      </c>
      <c r="E6838" t="s">
        <v>24050</v>
      </c>
      <c r="F6838" t="s">
        <v>30900</v>
      </c>
      <c r="G6838" t="s">
        <v>30907</v>
      </c>
      <c r="H6838" t="s">
        <v>30916</v>
      </c>
      <c r="I6838" t="s">
        <v>4004</v>
      </c>
      <c r="J6838" t="s">
        <v>35433</v>
      </c>
      <c r="K6838" t="s">
        <v>40289</v>
      </c>
      <c r="M6838" t="s">
        <v>41019</v>
      </c>
      <c r="N6838" t="s">
        <v>44759</v>
      </c>
      <c r="O6838" t="s">
        <v>44760</v>
      </c>
      <c r="Q6838">
        <v>11</v>
      </c>
      <c r="R6838" t="s">
        <v>44767</v>
      </c>
      <c r="S6838" t="s">
        <v>44946</v>
      </c>
      <c r="T6838" t="s">
        <v>46433</v>
      </c>
      <c r="U6838" t="s">
        <v>52672</v>
      </c>
      <c r="W6838" t="s">
        <v>41019</v>
      </c>
      <c r="X6838" t="s">
        <v>44768</v>
      </c>
    </row>
    <row r="6839" spans="1:24">
      <c r="A6839">
        <f>HYPERLINK("https://www.philgeps.gov.ph/GEPSNONPILOT/Tender/SplashBidNoticeAbstractUI.aspx?menuIndex=3&amp;refID=7142557&amp;Result=3","7142557")</f>
        <v>0</v>
      </c>
      <c r="B6839" t="s">
        <v>1359</v>
      </c>
      <c r="C6839" t="s">
        <v>10242</v>
      </c>
      <c r="D6839" t="s">
        <v>17965</v>
      </c>
      <c r="E6839" t="s">
        <v>24051</v>
      </c>
      <c r="F6839" t="s">
        <v>30900</v>
      </c>
      <c r="G6839" t="s">
        <v>30908</v>
      </c>
      <c r="H6839" t="s">
        <v>30915</v>
      </c>
      <c r="I6839" t="s">
        <v>30957</v>
      </c>
      <c r="J6839" t="s">
        <v>35434</v>
      </c>
      <c r="K6839" t="s">
        <v>40280</v>
      </c>
      <c r="M6839" t="s">
        <v>41981</v>
      </c>
      <c r="N6839" t="s">
        <v>44759</v>
      </c>
      <c r="O6839" t="s">
        <v>44760</v>
      </c>
      <c r="P6839">
        <v>0</v>
      </c>
      <c r="Q6839">
        <v>0</v>
      </c>
      <c r="R6839" t="s">
        <v>44767</v>
      </c>
      <c r="S6839" t="s">
        <v>44954</v>
      </c>
      <c r="T6839" t="s">
        <v>46403</v>
      </c>
      <c r="U6839" t="s">
        <v>52673</v>
      </c>
      <c r="W6839" t="s">
        <v>41981</v>
      </c>
      <c r="X6839" t="s">
        <v>44768</v>
      </c>
    </row>
    <row r="6840" spans="1:24">
      <c r="A6840">
        <f>HYPERLINK("https://www.philgeps.gov.ph/GEPSNONPILOT/Tender/SplashBidNoticeAbstractUI.aspx?menuIndex=3&amp;refID=7142413&amp;Result=3","7142413")</f>
        <v>0</v>
      </c>
      <c r="B6840" t="s">
        <v>2390</v>
      </c>
      <c r="C6840" t="s">
        <v>10243</v>
      </c>
      <c r="D6840" t="s">
        <v>18015</v>
      </c>
      <c r="E6840" t="s">
        <v>24052</v>
      </c>
      <c r="F6840" t="s">
        <v>30900</v>
      </c>
      <c r="G6840" t="s">
        <v>30908</v>
      </c>
      <c r="H6840" t="s">
        <v>30916</v>
      </c>
      <c r="I6840" t="s">
        <v>6396</v>
      </c>
      <c r="J6840" t="s">
        <v>35435</v>
      </c>
      <c r="K6840" t="s">
        <v>40283</v>
      </c>
      <c r="M6840" t="s">
        <v>43116</v>
      </c>
      <c r="N6840" t="s">
        <v>44759</v>
      </c>
      <c r="O6840" t="s">
        <v>44760</v>
      </c>
      <c r="P6840">
        <v>0</v>
      </c>
      <c r="Q6840">
        <v>6</v>
      </c>
      <c r="R6840" t="s">
        <v>44767</v>
      </c>
      <c r="S6840" t="s">
        <v>44954</v>
      </c>
      <c r="T6840" t="s">
        <v>46662</v>
      </c>
      <c r="U6840" t="s">
        <v>52674</v>
      </c>
      <c r="W6840" t="s">
        <v>43116</v>
      </c>
      <c r="X6840" t="s">
        <v>44768</v>
      </c>
    </row>
    <row r="6841" spans="1:24">
      <c r="A6841">
        <f>HYPERLINK("https://www.philgeps.gov.ph/GEPSNONPILOT/Tender/SplashBidNoticeAbstractUI.aspx?menuIndex=3&amp;refID=7142556&amp;Result=3","7142556")</f>
        <v>0</v>
      </c>
      <c r="B6841" t="s">
        <v>2391</v>
      </c>
      <c r="C6841" t="s">
        <v>10244</v>
      </c>
      <c r="D6841" t="s">
        <v>17994</v>
      </c>
      <c r="E6841" t="s">
        <v>24053</v>
      </c>
      <c r="F6841" t="s">
        <v>30900</v>
      </c>
      <c r="G6841" t="s">
        <v>30907</v>
      </c>
      <c r="H6841" t="s">
        <v>30916</v>
      </c>
      <c r="I6841" t="s">
        <v>6746</v>
      </c>
      <c r="J6841" t="s">
        <v>31355</v>
      </c>
      <c r="K6841" t="s">
        <v>40286</v>
      </c>
      <c r="M6841" t="s">
        <v>43117</v>
      </c>
      <c r="N6841" t="s">
        <v>44759</v>
      </c>
      <c r="O6841" t="s">
        <v>44760</v>
      </c>
      <c r="Q6841">
        <v>0</v>
      </c>
      <c r="R6841" t="s">
        <v>44767</v>
      </c>
      <c r="S6841" t="s">
        <v>44957</v>
      </c>
      <c r="T6841" t="s">
        <v>46373</v>
      </c>
      <c r="U6841" t="s">
        <v>52675</v>
      </c>
      <c r="W6841" t="s">
        <v>43117</v>
      </c>
      <c r="X6841" t="s">
        <v>44768</v>
      </c>
    </row>
    <row r="6842" spans="1:24">
      <c r="A6842">
        <f>HYPERLINK("https://www.philgeps.gov.ph/GEPSNONPILOT/Tender/SplashBidNoticeAbstractUI.aspx?menuIndex=3&amp;refID=7142574&amp;Result=3","7142574")</f>
        <v>0</v>
      </c>
      <c r="B6842" t="s">
        <v>875</v>
      </c>
      <c r="C6842" t="s">
        <v>10245</v>
      </c>
      <c r="D6842" t="s">
        <v>17985</v>
      </c>
      <c r="E6842" t="s">
        <v>18194</v>
      </c>
      <c r="F6842" t="s">
        <v>30900</v>
      </c>
      <c r="G6842" t="s">
        <v>30908</v>
      </c>
      <c r="H6842" t="s">
        <v>30916</v>
      </c>
      <c r="I6842" t="s">
        <v>30939</v>
      </c>
      <c r="J6842" t="s">
        <v>31096</v>
      </c>
      <c r="K6842" t="s">
        <v>40284</v>
      </c>
      <c r="M6842" t="s">
        <v>41448</v>
      </c>
      <c r="N6842" t="s">
        <v>44759</v>
      </c>
      <c r="O6842" t="s">
        <v>44760</v>
      </c>
      <c r="P6842">
        <v>0</v>
      </c>
      <c r="Q6842">
        <v>1</v>
      </c>
      <c r="R6842" t="s">
        <v>44767</v>
      </c>
      <c r="S6842" t="s">
        <v>44954</v>
      </c>
      <c r="T6842" t="s">
        <v>46391</v>
      </c>
      <c r="U6842" t="s">
        <v>52676</v>
      </c>
      <c r="W6842" t="s">
        <v>41448</v>
      </c>
      <c r="X6842" t="s">
        <v>44768</v>
      </c>
    </row>
    <row r="6843" spans="1:24">
      <c r="A6843">
        <f>HYPERLINK("https://www.philgeps.gov.ph/GEPSNONPILOT/Tender/SplashBidNoticeAbstractUI.aspx?menuIndex=3&amp;refID=7142549&amp;Result=3","7142549")</f>
        <v>0</v>
      </c>
      <c r="B6843" t="s">
        <v>2071</v>
      </c>
      <c r="C6843" t="s">
        <v>10246</v>
      </c>
      <c r="D6843" t="s">
        <v>17963</v>
      </c>
      <c r="E6843" t="s">
        <v>24054</v>
      </c>
      <c r="F6843" t="s">
        <v>30900</v>
      </c>
      <c r="G6843" t="s">
        <v>30907</v>
      </c>
      <c r="H6843" t="s">
        <v>30915</v>
      </c>
      <c r="I6843" t="s">
        <v>30919</v>
      </c>
      <c r="J6843" t="s">
        <v>35405</v>
      </c>
      <c r="K6843" t="s">
        <v>40286</v>
      </c>
      <c r="M6843" t="s">
        <v>42770</v>
      </c>
      <c r="N6843" t="s">
        <v>44759</v>
      </c>
      <c r="O6843" t="s">
        <v>44760</v>
      </c>
      <c r="P6843">
        <v>0</v>
      </c>
      <c r="Q6843">
        <v>0</v>
      </c>
      <c r="R6843" t="s">
        <v>44767</v>
      </c>
      <c r="S6843" t="s">
        <v>44954</v>
      </c>
      <c r="T6843" t="s">
        <v>46391</v>
      </c>
      <c r="U6843" t="s">
        <v>52677</v>
      </c>
      <c r="W6843" t="s">
        <v>42770</v>
      </c>
      <c r="X6843" t="s">
        <v>44768</v>
      </c>
    </row>
    <row r="6844" spans="1:24">
      <c r="A6844">
        <f>HYPERLINK("https://www.philgeps.gov.ph/GEPSNONPILOT/Tender/SplashBidNoticeAbstractUI.aspx?menuIndex=3&amp;refID=7142543&amp;Result=3","7142543")</f>
        <v>0</v>
      </c>
      <c r="B6844" t="s">
        <v>313</v>
      </c>
      <c r="C6844" t="s">
        <v>10247</v>
      </c>
      <c r="E6844" t="s">
        <v>24055</v>
      </c>
      <c r="F6844" t="s">
        <v>30900</v>
      </c>
      <c r="G6844" t="s">
        <v>30908</v>
      </c>
      <c r="H6844" t="s">
        <v>30916</v>
      </c>
      <c r="I6844" t="s">
        <v>30947</v>
      </c>
      <c r="J6844" t="s">
        <v>35436</v>
      </c>
      <c r="K6844" t="s">
        <v>40289</v>
      </c>
      <c r="M6844" t="s">
        <v>40909</v>
      </c>
      <c r="N6844" t="s">
        <v>44759</v>
      </c>
      <c r="O6844" t="s">
        <v>44760</v>
      </c>
      <c r="P6844">
        <v>0</v>
      </c>
      <c r="Q6844">
        <v>3</v>
      </c>
      <c r="R6844" t="s">
        <v>44767</v>
      </c>
      <c r="S6844" t="s">
        <v>44954</v>
      </c>
      <c r="T6844" t="s">
        <v>46581</v>
      </c>
      <c r="U6844" t="s">
        <v>52678</v>
      </c>
      <c r="W6844" t="s">
        <v>40909</v>
      </c>
      <c r="X6844" t="s">
        <v>44768</v>
      </c>
    </row>
    <row r="6845" spans="1:24">
      <c r="A6845">
        <f>HYPERLINK("https://www.philgeps.gov.ph/GEPSNONPILOT/Tender/SplashBidNoticeAbstractUI.aspx?menuIndex=3&amp;refID=7142541&amp;Result=3","7142541")</f>
        <v>0</v>
      </c>
      <c r="B6845" t="s">
        <v>2392</v>
      </c>
      <c r="C6845" t="s">
        <v>10248</v>
      </c>
      <c r="D6845" t="s">
        <v>17975</v>
      </c>
      <c r="E6845" t="s">
        <v>24056</v>
      </c>
      <c r="F6845" t="s">
        <v>30900</v>
      </c>
      <c r="G6845" t="s">
        <v>30907</v>
      </c>
      <c r="H6845" t="s">
        <v>30916</v>
      </c>
      <c r="I6845" t="s">
        <v>8123</v>
      </c>
      <c r="J6845" t="s">
        <v>35437</v>
      </c>
      <c r="K6845" t="s">
        <v>40287</v>
      </c>
      <c r="M6845" t="s">
        <v>43118</v>
      </c>
      <c r="N6845" t="s">
        <v>44759</v>
      </c>
      <c r="O6845" t="s">
        <v>44760</v>
      </c>
      <c r="P6845">
        <v>0</v>
      </c>
      <c r="Q6845">
        <v>0</v>
      </c>
      <c r="R6845" t="s">
        <v>44767</v>
      </c>
      <c r="S6845" t="s">
        <v>44954</v>
      </c>
      <c r="T6845" t="s">
        <v>46495</v>
      </c>
      <c r="U6845" t="s">
        <v>52679</v>
      </c>
      <c r="V6845" t="s">
        <v>59860</v>
      </c>
      <c r="W6845" t="s">
        <v>43118</v>
      </c>
      <c r="X6845" t="s">
        <v>44768</v>
      </c>
    </row>
    <row r="6846" spans="1:24">
      <c r="A6846">
        <f>HYPERLINK("https://www.philgeps.gov.ph/GEPSNONPILOT/Tender/SplashBidNoticeAbstractUI.aspx?menuIndex=3&amp;refID=7142481&amp;Result=3","7142481")</f>
        <v>0</v>
      </c>
      <c r="B6846" t="s">
        <v>2393</v>
      </c>
      <c r="C6846" t="s">
        <v>10249</v>
      </c>
      <c r="D6846" t="s">
        <v>17968</v>
      </c>
      <c r="E6846" t="s">
        <v>19274</v>
      </c>
      <c r="F6846" t="s">
        <v>30900</v>
      </c>
      <c r="G6846" t="s">
        <v>30907</v>
      </c>
      <c r="H6846" t="s">
        <v>30916</v>
      </c>
      <c r="I6846" t="s">
        <v>30933</v>
      </c>
      <c r="J6846" t="s">
        <v>35438</v>
      </c>
      <c r="K6846" t="s">
        <v>40280</v>
      </c>
      <c r="M6846" t="s">
        <v>43119</v>
      </c>
      <c r="N6846" t="s">
        <v>44759</v>
      </c>
      <c r="O6846" t="s">
        <v>44760</v>
      </c>
      <c r="P6846">
        <v>0</v>
      </c>
      <c r="Q6846">
        <v>4</v>
      </c>
      <c r="R6846" t="s">
        <v>44767</v>
      </c>
      <c r="S6846" t="s">
        <v>44954</v>
      </c>
      <c r="T6846" t="s">
        <v>46495</v>
      </c>
      <c r="U6846" t="s">
        <v>52680</v>
      </c>
      <c r="W6846" t="s">
        <v>43119</v>
      </c>
      <c r="X6846" t="s">
        <v>44768</v>
      </c>
    </row>
    <row r="6847" spans="1:24">
      <c r="A6847">
        <f>HYPERLINK("https://www.philgeps.gov.ph/GEPSNONPILOT/Tender/SplashBidNoticeAbstractUI.aspx?menuIndex=3&amp;refID=7142540&amp;Result=3","7142540")</f>
        <v>0</v>
      </c>
      <c r="B6847" t="s">
        <v>2073</v>
      </c>
      <c r="C6847" t="s">
        <v>10250</v>
      </c>
      <c r="D6847" t="s">
        <v>17951</v>
      </c>
      <c r="E6847" t="s">
        <v>24057</v>
      </c>
      <c r="F6847" t="s">
        <v>30900</v>
      </c>
      <c r="G6847" t="s">
        <v>30907</v>
      </c>
      <c r="H6847" t="s">
        <v>30916</v>
      </c>
      <c r="I6847" t="s">
        <v>4545</v>
      </c>
      <c r="J6847" t="s">
        <v>35439</v>
      </c>
      <c r="K6847" t="s">
        <v>40289</v>
      </c>
      <c r="M6847" t="s">
        <v>42772</v>
      </c>
      <c r="N6847" t="s">
        <v>44759</v>
      </c>
      <c r="O6847" t="s">
        <v>44760</v>
      </c>
      <c r="P6847">
        <v>0</v>
      </c>
      <c r="Q6847">
        <v>1</v>
      </c>
      <c r="R6847" t="s">
        <v>44767</v>
      </c>
      <c r="S6847" t="s">
        <v>44954</v>
      </c>
      <c r="T6847" t="s">
        <v>46357</v>
      </c>
      <c r="U6847" t="s">
        <v>52681</v>
      </c>
      <c r="W6847" t="s">
        <v>42772</v>
      </c>
      <c r="X6847" t="s">
        <v>44768</v>
      </c>
    </row>
    <row r="6848" spans="1:24">
      <c r="A6848">
        <f>HYPERLINK("https://www.philgeps.gov.ph/GEPSNONPILOT/Tender/SplashBidNoticeAbstractUI.aspx?menuIndex=3&amp;refID=7142565&amp;Result=3","7142565")</f>
        <v>0</v>
      </c>
      <c r="B6848" t="s">
        <v>164</v>
      </c>
      <c r="C6848" t="s">
        <v>10251</v>
      </c>
      <c r="D6848" t="s">
        <v>17961</v>
      </c>
      <c r="E6848" t="s">
        <v>24058</v>
      </c>
      <c r="F6848" t="s">
        <v>30900</v>
      </c>
      <c r="G6848" t="s">
        <v>30908</v>
      </c>
      <c r="H6848" t="s">
        <v>30916</v>
      </c>
      <c r="I6848" t="s">
        <v>30932</v>
      </c>
      <c r="J6848" t="s">
        <v>35440</v>
      </c>
      <c r="K6848" t="s">
        <v>40294</v>
      </c>
      <c r="M6848" t="s">
        <v>40711</v>
      </c>
      <c r="N6848" t="s">
        <v>44759</v>
      </c>
      <c r="O6848" t="s">
        <v>44760</v>
      </c>
      <c r="P6848">
        <v>0</v>
      </c>
      <c r="Q6848">
        <v>1</v>
      </c>
      <c r="R6848" t="s">
        <v>44767</v>
      </c>
      <c r="S6848" t="s">
        <v>44954</v>
      </c>
      <c r="T6848" t="s">
        <v>46531</v>
      </c>
      <c r="U6848" t="s">
        <v>52682</v>
      </c>
      <c r="W6848" t="s">
        <v>40711</v>
      </c>
      <c r="X6848" t="s">
        <v>44768</v>
      </c>
    </row>
    <row r="6849" spans="1:24">
      <c r="A6849">
        <f>HYPERLINK("https://www.philgeps.gov.ph/GEPSNONPILOT/Tender/SplashBidNoticeAbstractUI.aspx?menuIndex=3&amp;refID=7142539&amp;Result=3","7142539")</f>
        <v>0</v>
      </c>
      <c r="B6849" t="s">
        <v>2367</v>
      </c>
      <c r="C6849" t="s">
        <v>10252</v>
      </c>
      <c r="D6849" t="s">
        <v>18005</v>
      </c>
      <c r="E6849" t="s">
        <v>20247</v>
      </c>
      <c r="F6849" t="s">
        <v>30900</v>
      </c>
      <c r="G6849" t="s">
        <v>30907</v>
      </c>
      <c r="H6849" t="s">
        <v>30916</v>
      </c>
      <c r="I6849" t="s">
        <v>30963</v>
      </c>
      <c r="J6849" t="s">
        <v>33238</v>
      </c>
      <c r="K6849" t="s">
        <v>40292</v>
      </c>
      <c r="M6849" t="s">
        <v>43093</v>
      </c>
      <c r="N6849" t="s">
        <v>44759</v>
      </c>
      <c r="O6849" t="s">
        <v>44760</v>
      </c>
      <c r="P6849">
        <v>0</v>
      </c>
      <c r="Q6849">
        <v>4</v>
      </c>
      <c r="R6849" t="s">
        <v>44767</v>
      </c>
      <c r="S6849" t="s">
        <v>44954</v>
      </c>
      <c r="T6849" t="s">
        <v>46764</v>
      </c>
      <c r="U6849" t="s">
        <v>52683</v>
      </c>
      <c r="W6849" t="s">
        <v>43093</v>
      </c>
      <c r="X6849" t="s">
        <v>44768</v>
      </c>
    </row>
    <row r="6850" spans="1:24">
      <c r="A6850">
        <f>HYPERLINK("https://www.philgeps.gov.ph/GEPSNONPILOT/Tender/SplashBidNoticeAbstractUI.aspx?menuIndex=3&amp;refID=7142554&amp;Result=3","7142554")</f>
        <v>0</v>
      </c>
      <c r="B6850" t="s">
        <v>2394</v>
      </c>
      <c r="C6850" t="s">
        <v>10253</v>
      </c>
      <c r="D6850" t="s">
        <v>17987</v>
      </c>
      <c r="E6850" t="s">
        <v>24059</v>
      </c>
      <c r="F6850" t="s">
        <v>30900</v>
      </c>
      <c r="G6850" t="s">
        <v>30907</v>
      </c>
      <c r="H6850" t="s">
        <v>30915</v>
      </c>
      <c r="I6850" t="s">
        <v>30919</v>
      </c>
      <c r="J6850" t="s">
        <v>31297</v>
      </c>
      <c r="K6850" t="s">
        <v>40304</v>
      </c>
      <c r="M6850" t="s">
        <v>43120</v>
      </c>
      <c r="N6850" t="s">
        <v>44759</v>
      </c>
      <c r="O6850" t="s">
        <v>44760</v>
      </c>
      <c r="P6850">
        <v>0</v>
      </c>
      <c r="Q6850">
        <v>0</v>
      </c>
      <c r="R6850" t="s">
        <v>44767</v>
      </c>
      <c r="S6850" t="s">
        <v>44954</v>
      </c>
      <c r="T6850" t="s">
        <v>46363</v>
      </c>
      <c r="U6850" t="s">
        <v>52684</v>
      </c>
      <c r="W6850" t="s">
        <v>43120</v>
      </c>
      <c r="X6850" t="s">
        <v>44768</v>
      </c>
    </row>
    <row r="6851" spans="1:24">
      <c r="A6851">
        <f>HYPERLINK("https://www.philgeps.gov.ph/GEPSNONPILOT/Tender/SplashBidNoticeAbstractUI.aspx?menuIndex=3&amp;refID=7142537&amp;Result=3","7142537")</f>
        <v>0</v>
      </c>
      <c r="B6851" t="s">
        <v>2387</v>
      </c>
      <c r="C6851" t="s">
        <v>10254</v>
      </c>
      <c r="D6851" t="s">
        <v>17995</v>
      </c>
      <c r="E6851" t="s">
        <v>24060</v>
      </c>
      <c r="F6851" t="s">
        <v>30900</v>
      </c>
      <c r="G6851" t="s">
        <v>30907</v>
      </c>
      <c r="H6851" t="s">
        <v>30916</v>
      </c>
      <c r="I6851" t="s">
        <v>30922</v>
      </c>
      <c r="J6851" t="s">
        <v>35441</v>
      </c>
      <c r="K6851" t="s">
        <v>40287</v>
      </c>
      <c r="M6851" t="s">
        <v>43113</v>
      </c>
      <c r="N6851" t="s">
        <v>44759</v>
      </c>
      <c r="O6851" t="s">
        <v>44760</v>
      </c>
      <c r="P6851">
        <v>0</v>
      </c>
      <c r="Q6851">
        <v>0</v>
      </c>
      <c r="R6851" t="s">
        <v>44767</v>
      </c>
      <c r="S6851" t="s">
        <v>44954</v>
      </c>
      <c r="T6851" t="s">
        <v>46689</v>
      </c>
      <c r="U6851" t="s">
        <v>52685</v>
      </c>
      <c r="W6851" t="s">
        <v>43113</v>
      </c>
      <c r="X6851" t="s">
        <v>44768</v>
      </c>
    </row>
    <row r="6852" spans="1:24">
      <c r="A6852">
        <f>HYPERLINK("https://www.philgeps.gov.ph/GEPSNONPILOT/Tender/SplashBidNoticeAbstractUI.aspx?menuIndex=3&amp;refID=7142536&amp;Result=3","7142536")</f>
        <v>0</v>
      </c>
      <c r="B6852" t="s">
        <v>2395</v>
      </c>
      <c r="C6852" t="s">
        <v>10255</v>
      </c>
      <c r="D6852" t="s">
        <v>17968</v>
      </c>
      <c r="E6852" t="s">
        <v>19274</v>
      </c>
      <c r="F6852" t="s">
        <v>30900</v>
      </c>
      <c r="G6852" t="s">
        <v>30907</v>
      </c>
      <c r="H6852" t="s">
        <v>30916</v>
      </c>
      <c r="I6852" t="s">
        <v>30919</v>
      </c>
      <c r="J6852" t="s">
        <v>35442</v>
      </c>
      <c r="K6852" t="s">
        <v>40293</v>
      </c>
      <c r="M6852" t="s">
        <v>43121</v>
      </c>
      <c r="N6852" t="s">
        <v>44759</v>
      </c>
      <c r="O6852" t="s">
        <v>44760</v>
      </c>
      <c r="P6852">
        <v>0</v>
      </c>
      <c r="Q6852">
        <v>0</v>
      </c>
      <c r="R6852" t="s">
        <v>44767</v>
      </c>
      <c r="S6852" t="s">
        <v>44954</v>
      </c>
      <c r="T6852" t="s">
        <v>46533</v>
      </c>
      <c r="U6852" t="s">
        <v>52686</v>
      </c>
      <c r="W6852" t="s">
        <v>43121</v>
      </c>
      <c r="X6852" t="s">
        <v>44768</v>
      </c>
    </row>
    <row r="6853" spans="1:24">
      <c r="A6853">
        <f>HYPERLINK("https://www.philgeps.gov.ph/GEPSNONPILOT/Tender/SplashBidNoticeAbstractUI.aspx?menuIndex=3&amp;refID=7142534&amp;Result=3","7142534")</f>
        <v>0</v>
      </c>
      <c r="B6853" t="s">
        <v>1478</v>
      </c>
      <c r="C6853" t="s">
        <v>10256</v>
      </c>
      <c r="D6853" t="s">
        <v>17959</v>
      </c>
      <c r="E6853" t="s">
        <v>10256</v>
      </c>
      <c r="F6853" t="s">
        <v>30900</v>
      </c>
      <c r="G6853" t="s">
        <v>30910</v>
      </c>
      <c r="H6853" t="s">
        <v>30916</v>
      </c>
      <c r="I6853" t="s">
        <v>4050</v>
      </c>
      <c r="J6853" t="s">
        <v>35443</v>
      </c>
      <c r="K6853" t="s">
        <v>40289</v>
      </c>
      <c r="M6853" t="s">
        <v>43122</v>
      </c>
      <c r="N6853" t="s">
        <v>44759</v>
      </c>
      <c r="O6853" t="s">
        <v>44760</v>
      </c>
      <c r="P6853">
        <v>0</v>
      </c>
      <c r="Q6853">
        <v>14</v>
      </c>
      <c r="R6853" t="s">
        <v>44767</v>
      </c>
      <c r="S6853" t="s">
        <v>44954</v>
      </c>
      <c r="T6853" t="s">
        <v>46590</v>
      </c>
      <c r="U6853" t="s">
        <v>52687</v>
      </c>
      <c r="W6853" t="s">
        <v>43122</v>
      </c>
      <c r="X6853" t="s">
        <v>44768</v>
      </c>
    </row>
    <row r="6854" spans="1:24">
      <c r="A6854">
        <f>HYPERLINK("https://www.philgeps.gov.ph/GEPSNONPILOT/Tender/SplashBidNoticeAbstractUI.aspx?menuIndex=3&amp;refID=7142504&amp;Result=3","7142504")</f>
        <v>0</v>
      </c>
      <c r="B6854" t="s">
        <v>768</v>
      </c>
      <c r="C6854" t="s">
        <v>10257</v>
      </c>
      <c r="D6854" t="s">
        <v>17979</v>
      </c>
      <c r="E6854" t="s">
        <v>24061</v>
      </c>
      <c r="F6854" t="s">
        <v>30900</v>
      </c>
      <c r="G6854" t="s">
        <v>30908</v>
      </c>
      <c r="H6854" t="s">
        <v>30916</v>
      </c>
      <c r="I6854" t="s">
        <v>4108</v>
      </c>
      <c r="J6854" t="s">
        <v>31101</v>
      </c>
      <c r="K6854" t="s">
        <v>40286</v>
      </c>
      <c r="M6854" t="s">
        <v>41334</v>
      </c>
      <c r="N6854" t="s">
        <v>44759</v>
      </c>
      <c r="O6854" t="s">
        <v>44760</v>
      </c>
      <c r="P6854">
        <v>0</v>
      </c>
      <c r="Q6854">
        <v>2</v>
      </c>
      <c r="R6854" t="s">
        <v>44767</v>
      </c>
      <c r="S6854" t="s">
        <v>44954</v>
      </c>
      <c r="T6854" t="s">
        <v>46704</v>
      </c>
      <c r="U6854" t="s">
        <v>52688</v>
      </c>
      <c r="W6854" t="s">
        <v>41334</v>
      </c>
      <c r="X6854" t="s">
        <v>44768</v>
      </c>
    </row>
    <row r="6855" spans="1:24">
      <c r="A6855">
        <f>HYPERLINK("https://www.philgeps.gov.ph/GEPSNONPILOT/Tender/SplashBidNoticeAbstractUI.aspx?menuIndex=3&amp;refID=7142578&amp;Result=3","7142578")</f>
        <v>0</v>
      </c>
      <c r="B6855" t="s">
        <v>2396</v>
      </c>
      <c r="C6855" t="s">
        <v>10258</v>
      </c>
      <c r="D6855" t="s">
        <v>17981</v>
      </c>
      <c r="E6855" t="s">
        <v>24062</v>
      </c>
      <c r="F6855" t="s">
        <v>30900</v>
      </c>
      <c r="G6855" t="s">
        <v>30907</v>
      </c>
      <c r="H6855" t="s">
        <v>30915</v>
      </c>
      <c r="I6855" t="s">
        <v>30919</v>
      </c>
      <c r="J6855" t="s">
        <v>35444</v>
      </c>
      <c r="K6855" t="s">
        <v>40286</v>
      </c>
      <c r="M6855" t="s">
        <v>43123</v>
      </c>
      <c r="N6855" t="s">
        <v>44759</v>
      </c>
      <c r="O6855" t="s">
        <v>44760</v>
      </c>
      <c r="P6855">
        <v>0</v>
      </c>
      <c r="Q6855">
        <v>3</v>
      </c>
      <c r="R6855" t="s">
        <v>44767</v>
      </c>
      <c r="S6855" t="s">
        <v>44954</v>
      </c>
      <c r="T6855" t="s">
        <v>46374</v>
      </c>
      <c r="U6855" t="s">
        <v>52689</v>
      </c>
      <c r="W6855" t="s">
        <v>43123</v>
      </c>
      <c r="X6855" t="s">
        <v>44768</v>
      </c>
    </row>
    <row r="6856" spans="1:24">
      <c r="A6856">
        <f>HYPERLINK("https://www.philgeps.gov.ph/GEPSNONPILOT/Tender/SplashBidNoticeAbstractUI.aspx?menuIndex=3&amp;refID=7142501&amp;Result=3","7142501")</f>
        <v>0</v>
      </c>
      <c r="B6856" t="s">
        <v>284</v>
      </c>
      <c r="C6856" t="s">
        <v>10259</v>
      </c>
      <c r="D6856" t="s">
        <v>18009</v>
      </c>
      <c r="E6856" t="s">
        <v>24063</v>
      </c>
      <c r="F6856" t="s">
        <v>30900</v>
      </c>
      <c r="G6856" t="s">
        <v>30907</v>
      </c>
      <c r="H6856" t="s">
        <v>30915</v>
      </c>
      <c r="I6856" t="s">
        <v>30919</v>
      </c>
      <c r="J6856" t="s">
        <v>35445</v>
      </c>
      <c r="K6856" t="s">
        <v>40354</v>
      </c>
      <c r="M6856" t="s">
        <v>41050</v>
      </c>
      <c r="N6856" t="s">
        <v>44759</v>
      </c>
      <c r="O6856" t="s">
        <v>44760</v>
      </c>
      <c r="P6856">
        <v>0</v>
      </c>
      <c r="Q6856">
        <v>1</v>
      </c>
      <c r="R6856" t="s">
        <v>44767</v>
      </c>
      <c r="S6856" t="s">
        <v>44954</v>
      </c>
      <c r="T6856" t="s">
        <v>46689</v>
      </c>
      <c r="U6856" t="s">
        <v>52690</v>
      </c>
      <c r="W6856" t="s">
        <v>41050</v>
      </c>
      <c r="X6856" t="s">
        <v>44768</v>
      </c>
    </row>
    <row r="6857" spans="1:24">
      <c r="A6857">
        <f>HYPERLINK("https://www.philgeps.gov.ph/GEPSNONPILOT/Tender/SplashBidNoticeAbstractUI.aspx?menuIndex=3&amp;refID=7142546&amp;Result=3","7142546")</f>
        <v>0</v>
      </c>
      <c r="B6857" t="s">
        <v>2397</v>
      </c>
      <c r="C6857" t="s">
        <v>10260</v>
      </c>
      <c r="D6857" t="s">
        <v>17981</v>
      </c>
      <c r="E6857" t="s">
        <v>24064</v>
      </c>
      <c r="F6857" t="s">
        <v>30900</v>
      </c>
      <c r="G6857" t="s">
        <v>30907</v>
      </c>
      <c r="H6857" t="s">
        <v>30915</v>
      </c>
      <c r="I6857" t="s">
        <v>30919</v>
      </c>
      <c r="J6857" t="s">
        <v>35446</v>
      </c>
      <c r="K6857" t="s">
        <v>40286</v>
      </c>
      <c r="M6857" t="s">
        <v>43124</v>
      </c>
      <c r="N6857" t="s">
        <v>44759</v>
      </c>
      <c r="O6857" t="s">
        <v>44760</v>
      </c>
      <c r="P6857">
        <v>0</v>
      </c>
      <c r="Q6857">
        <v>3</v>
      </c>
      <c r="R6857" t="s">
        <v>44767</v>
      </c>
      <c r="S6857" t="s">
        <v>44954</v>
      </c>
      <c r="T6857" t="s">
        <v>46374</v>
      </c>
      <c r="U6857" t="s">
        <v>52646</v>
      </c>
      <c r="W6857" t="s">
        <v>43124</v>
      </c>
      <c r="X6857" t="s">
        <v>44768</v>
      </c>
    </row>
    <row r="6858" spans="1:24">
      <c r="A6858">
        <f>HYPERLINK("https://www.philgeps.gov.ph/GEPSNONPILOT/Tender/SplashBidNoticeAbstractUI.aspx?menuIndex=3&amp;refID=7142628&amp;Result=3","7142628")</f>
        <v>0</v>
      </c>
      <c r="B6858" t="s">
        <v>2398</v>
      </c>
      <c r="C6858" t="s">
        <v>10261</v>
      </c>
      <c r="D6858" t="s">
        <v>17951</v>
      </c>
      <c r="E6858" t="s">
        <v>18752</v>
      </c>
      <c r="F6858" t="s">
        <v>30900</v>
      </c>
      <c r="G6858" t="s">
        <v>30907</v>
      </c>
      <c r="H6858" t="s">
        <v>30916</v>
      </c>
      <c r="I6858" t="s">
        <v>8123</v>
      </c>
      <c r="J6858" t="s">
        <v>35447</v>
      </c>
      <c r="K6858" t="s">
        <v>40287</v>
      </c>
      <c r="L6858" t="s">
        <v>2398</v>
      </c>
      <c r="M6858" t="s">
        <v>43125</v>
      </c>
      <c r="N6858" t="s">
        <v>44759</v>
      </c>
      <c r="O6858" t="s">
        <v>44760</v>
      </c>
      <c r="P6858">
        <v>0</v>
      </c>
      <c r="Q6858">
        <v>0</v>
      </c>
      <c r="R6858" t="s">
        <v>44767</v>
      </c>
      <c r="S6858" t="s">
        <v>44954</v>
      </c>
      <c r="T6858" t="s">
        <v>46391</v>
      </c>
      <c r="U6858" t="s">
        <v>52691</v>
      </c>
      <c r="W6858" t="s">
        <v>43125</v>
      </c>
      <c r="X6858" t="s">
        <v>44768</v>
      </c>
    </row>
    <row r="6859" spans="1:24">
      <c r="A6859">
        <f>HYPERLINK("https://www.philgeps.gov.ph/GEPSNONPILOT/Tender/SplashBidNoticeAbstractUI.aspx?menuIndex=3&amp;refID=7142564&amp;Result=3","7142564")</f>
        <v>0</v>
      </c>
      <c r="B6859" t="s">
        <v>286</v>
      </c>
      <c r="C6859" t="s">
        <v>10262</v>
      </c>
      <c r="D6859" t="s">
        <v>17977</v>
      </c>
      <c r="E6859" t="s">
        <v>24065</v>
      </c>
      <c r="F6859" t="s">
        <v>30900</v>
      </c>
      <c r="G6859" t="s">
        <v>30908</v>
      </c>
      <c r="H6859" t="s">
        <v>30916</v>
      </c>
      <c r="I6859" t="s">
        <v>8123</v>
      </c>
      <c r="J6859" t="s">
        <v>33727</v>
      </c>
      <c r="K6859" t="s">
        <v>40283</v>
      </c>
      <c r="M6859" t="s">
        <v>40834</v>
      </c>
      <c r="N6859" t="s">
        <v>44759</v>
      </c>
      <c r="O6859" t="s">
        <v>44760</v>
      </c>
      <c r="P6859">
        <v>0</v>
      </c>
      <c r="Q6859">
        <v>0</v>
      </c>
      <c r="R6859" t="s">
        <v>44767</v>
      </c>
      <c r="S6859" t="s">
        <v>44954</v>
      </c>
      <c r="T6859" t="s">
        <v>46533</v>
      </c>
      <c r="U6859" t="s">
        <v>52692</v>
      </c>
      <c r="V6859" t="s">
        <v>59861</v>
      </c>
      <c r="W6859" t="s">
        <v>40834</v>
      </c>
      <c r="X6859" t="s">
        <v>44768</v>
      </c>
    </row>
    <row r="6860" spans="1:24">
      <c r="A6860">
        <f>HYPERLINK("https://www.philgeps.gov.ph/GEPSNONPILOT/Tender/SplashBidNoticeAbstractUI.aspx?menuIndex=3&amp;refID=7142624&amp;Result=3","7142624")</f>
        <v>0</v>
      </c>
      <c r="B6860" t="s">
        <v>2399</v>
      </c>
      <c r="C6860" t="s">
        <v>10263</v>
      </c>
      <c r="D6860" t="s">
        <v>17990</v>
      </c>
      <c r="E6860" t="s">
        <v>20256</v>
      </c>
      <c r="F6860" t="s">
        <v>30900</v>
      </c>
      <c r="G6860" t="s">
        <v>30907</v>
      </c>
      <c r="H6860" t="s">
        <v>30915</v>
      </c>
      <c r="I6860" t="s">
        <v>30919</v>
      </c>
      <c r="J6860" t="s">
        <v>31158</v>
      </c>
      <c r="K6860" t="s">
        <v>40301</v>
      </c>
      <c r="M6860" t="s">
        <v>43126</v>
      </c>
      <c r="N6860" t="s">
        <v>44759</v>
      </c>
      <c r="O6860" t="s">
        <v>44760</v>
      </c>
      <c r="P6860">
        <v>0</v>
      </c>
      <c r="Q6860">
        <v>3</v>
      </c>
      <c r="R6860" t="s">
        <v>44767</v>
      </c>
      <c r="S6860" t="s">
        <v>44954</v>
      </c>
      <c r="T6860" t="s">
        <v>46765</v>
      </c>
      <c r="U6860" t="s">
        <v>52693</v>
      </c>
      <c r="V6860" t="s">
        <v>59862</v>
      </c>
      <c r="W6860" t="s">
        <v>43126</v>
      </c>
      <c r="X6860" t="s">
        <v>44768</v>
      </c>
    </row>
    <row r="6861" spans="1:24">
      <c r="A6861">
        <f>HYPERLINK("https://www.philgeps.gov.ph/GEPSNONPILOT/Tender/SplashBidNoticeAbstractUI.aspx?menuIndex=3&amp;refID=7142619&amp;Result=3","7142619")</f>
        <v>0</v>
      </c>
      <c r="B6861" t="s">
        <v>1403</v>
      </c>
      <c r="C6861" t="s">
        <v>10264</v>
      </c>
      <c r="D6861" t="s">
        <v>17954</v>
      </c>
      <c r="E6861" t="s">
        <v>24066</v>
      </c>
      <c r="F6861" t="s">
        <v>30900</v>
      </c>
      <c r="G6861" t="s">
        <v>30907</v>
      </c>
      <c r="H6861" t="s">
        <v>30915</v>
      </c>
      <c r="I6861" t="s">
        <v>30919</v>
      </c>
      <c r="J6861" t="s">
        <v>35448</v>
      </c>
      <c r="K6861" t="s">
        <v>40321</v>
      </c>
      <c r="M6861" t="s">
        <v>42030</v>
      </c>
      <c r="N6861" t="s">
        <v>44759</v>
      </c>
      <c r="O6861" t="s">
        <v>44760</v>
      </c>
      <c r="P6861">
        <v>0</v>
      </c>
      <c r="Q6861">
        <v>0</v>
      </c>
      <c r="R6861" t="s">
        <v>44767</v>
      </c>
      <c r="S6861" t="s">
        <v>44954</v>
      </c>
      <c r="T6861" t="s">
        <v>46540</v>
      </c>
      <c r="U6861" t="s">
        <v>52694</v>
      </c>
      <c r="W6861" t="s">
        <v>42030</v>
      </c>
      <c r="X6861" t="s">
        <v>44768</v>
      </c>
    </row>
    <row r="6862" spans="1:24">
      <c r="A6862">
        <f>HYPERLINK("https://www.philgeps.gov.ph/GEPSNONPILOT/Tender/SplashBidNoticeAbstractUI.aspx?menuIndex=3&amp;refID=7142502&amp;Result=3","7142502")</f>
        <v>0</v>
      </c>
      <c r="B6862" t="s">
        <v>2350</v>
      </c>
      <c r="C6862" t="s">
        <v>10265</v>
      </c>
      <c r="D6862" t="s">
        <v>17975</v>
      </c>
      <c r="E6862" t="s">
        <v>24067</v>
      </c>
      <c r="F6862" t="s">
        <v>30900</v>
      </c>
      <c r="G6862" t="s">
        <v>30907</v>
      </c>
      <c r="H6862" t="s">
        <v>30916</v>
      </c>
      <c r="I6862" t="s">
        <v>8123</v>
      </c>
      <c r="J6862" t="s">
        <v>35449</v>
      </c>
      <c r="K6862" t="s">
        <v>40283</v>
      </c>
      <c r="M6862" t="s">
        <v>43074</v>
      </c>
      <c r="N6862" t="s">
        <v>44759</v>
      </c>
      <c r="O6862" t="s">
        <v>44760</v>
      </c>
      <c r="P6862">
        <v>0</v>
      </c>
      <c r="Q6862">
        <v>0</v>
      </c>
      <c r="R6862" t="s">
        <v>44767</v>
      </c>
      <c r="S6862" t="s">
        <v>44954</v>
      </c>
      <c r="T6862" t="s">
        <v>46421</v>
      </c>
      <c r="U6862" t="s">
        <v>52695</v>
      </c>
      <c r="W6862" t="s">
        <v>43074</v>
      </c>
      <c r="X6862" t="s">
        <v>44768</v>
      </c>
    </row>
    <row r="6863" spans="1:24">
      <c r="A6863">
        <f>HYPERLINK("https://www.philgeps.gov.ph/GEPSNONPILOT/Tender/SplashBidNoticeAbstractUI.aspx?menuIndex=3&amp;refID=7142498&amp;Result=3","7142498")</f>
        <v>0</v>
      </c>
      <c r="B6863" t="s">
        <v>2400</v>
      </c>
      <c r="C6863" t="s">
        <v>10266</v>
      </c>
      <c r="D6863" t="s">
        <v>18018</v>
      </c>
      <c r="E6863" t="s">
        <v>18282</v>
      </c>
      <c r="F6863" t="s">
        <v>30900</v>
      </c>
      <c r="G6863" t="s">
        <v>30907</v>
      </c>
      <c r="H6863" t="s">
        <v>30915</v>
      </c>
      <c r="I6863" t="s">
        <v>30919</v>
      </c>
      <c r="J6863" t="s">
        <v>35450</v>
      </c>
      <c r="K6863" t="s">
        <v>40370</v>
      </c>
      <c r="M6863" t="s">
        <v>43127</v>
      </c>
      <c r="N6863" t="s">
        <v>44759</v>
      </c>
      <c r="O6863" t="s">
        <v>44760</v>
      </c>
      <c r="P6863">
        <v>0</v>
      </c>
      <c r="Q6863">
        <v>0</v>
      </c>
      <c r="R6863" t="s">
        <v>44767</v>
      </c>
      <c r="S6863" t="s">
        <v>44954</v>
      </c>
      <c r="T6863" t="s">
        <v>46374</v>
      </c>
      <c r="U6863" t="s">
        <v>52696</v>
      </c>
      <c r="W6863" t="s">
        <v>43127</v>
      </c>
      <c r="X6863" t="s">
        <v>44768</v>
      </c>
    </row>
    <row r="6864" spans="1:24">
      <c r="A6864">
        <f>HYPERLINK("https://www.philgeps.gov.ph/GEPSNONPILOT/Tender/SplashBidNoticeAbstractUI.aspx?menuIndex=3&amp;refID=7142613&amp;Result=3","7142613")</f>
        <v>0</v>
      </c>
      <c r="B6864" t="s">
        <v>2401</v>
      </c>
      <c r="C6864" t="s">
        <v>10267</v>
      </c>
      <c r="D6864" t="s">
        <v>17994</v>
      </c>
      <c r="E6864" t="s">
        <v>23171</v>
      </c>
      <c r="F6864" t="s">
        <v>30900</v>
      </c>
      <c r="G6864" t="s">
        <v>30907</v>
      </c>
      <c r="H6864" t="s">
        <v>30916</v>
      </c>
      <c r="I6864" t="s">
        <v>30933</v>
      </c>
      <c r="J6864" t="s">
        <v>33787</v>
      </c>
      <c r="K6864" t="s">
        <v>40293</v>
      </c>
      <c r="M6864" t="s">
        <v>43128</v>
      </c>
      <c r="N6864" t="s">
        <v>44759</v>
      </c>
      <c r="O6864" t="s">
        <v>44760</v>
      </c>
      <c r="P6864">
        <v>0</v>
      </c>
      <c r="Q6864">
        <v>3</v>
      </c>
      <c r="R6864" t="s">
        <v>44767</v>
      </c>
      <c r="S6864" t="s">
        <v>44954</v>
      </c>
      <c r="T6864" t="s">
        <v>46439</v>
      </c>
      <c r="U6864" t="s">
        <v>52697</v>
      </c>
      <c r="V6864" t="s">
        <v>59863</v>
      </c>
      <c r="W6864" t="s">
        <v>43128</v>
      </c>
      <c r="X6864" t="s">
        <v>44768</v>
      </c>
    </row>
    <row r="6865" spans="1:24">
      <c r="A6865">
        <f>HYPERLINK("https://www.philgeps.gov.ph/GEPSNONPILOT/Tender/SplashBidNoticeAbstractUI.aspx?menuIndex=3&amp;refID=7142610&amp;Result=3","7142610")</f>
        <v>0</v>
      </c>
      <c r="B6865" t="s">
        <v>2402</v>
      </c>
      <c r="C6865" t="s">
        <v>10268</v>
      </c>
      <c r="D6865" t="s">
        <v>17998</v>
      </c>
      <c r="E6865" t="s">
        <v>24068</v>
      </c>
      <c r="F6865" t="s">
        <v>30900</v>
      </c>
      <c r="G6865" t="s">
        <v>30908</v>
      </c>
      <c r="H6865" t="s">
        <v>30916</v>
      </c>
      <c r="I6865" t="s">
        <v>4545</v>
      </c>
      <c r="J6865" t="s">
        <v>31211</v>
      </c>
      <c r="K6865" t="s">
        <v>40284</v>
      </c>
      <c r="M6865" t="s">
        <v>43129</v>
      </c>
      <c r="N6865" t="s">
        <v>44759</v>
      </c>
      <c r="O6865" t="s">
        <v>44760</v>
      </c>
      <c r="P6865">
        <v>0</v>
      </c>
      <c r="Q6865">
        <v>3</v>
      </c>
      <c r="R6865" t="s">
        <v>44767</v>
      </c>
      <c r="S6865" t="s">
        <v>44954</v>
      </c>
      <c r="T6865" t="s">
        <v>46457</v>
      </c>
      <c r="U6865" t="s">
        <v>52698</v>
      </c>
      <c r="W6865" t="s">
        <v>43129</v>
      </c>
      <c r="X6865" t="s">
        <v>44768</v>
      </c>
    </row>
    <row r="6866" spans="1:24">
      <c r="A6866">
        <f>HYPERLINK("https://www.philgeps.gov.ph/GEPSNONPILOT/Tender/SplashBidNoticeAbstractUI.aspx?menuIndex=3&amp;refID=7142623&amp;Result=3","7142623")</f>
        <v>0</v>
      </c>
      <c r="B6866" t="s">
        <v>285</v>
      </c>
      <c r="C6866" t="s">
        <v>10269</v>
      </c>
      <c r="E6866" t="s">
        <v>24069</v>
      </c>
      <c r="F6866" t="s">
        <v>30900</v>
      </c>
      <c r="G6866" t="s">
        <v>30907</v>
      </c>
      <c r="H6866" t="s">
        <v>30915</v>
      </c>
      <c r="I6866" t="s">
        <v>30925</v>
      </c>
      <c r="J6866" t="s">
        <v>35451</v>
      </c>
      <c r="K6866" t="s">
        <v>40289</v>
      </c>
      <c r="M6866" t="s">
        <v>40833</v>
      </c>
      <c r="N6866" t="s">
        <v>44759</v>
      </c>
      <c r="O6866" t="s">
        <v>44760</v>
      </c>
      <c r="P6866">
        <v>0</v>
      </c>
      <c r="Q6866">
        <v>1</v>
      </c>
      <c r="R6866" t="s">
        <v>44767</v>
      </c>
      <c r="S6866" t="s">
        <v>44954</v>
      </c>
      <c r="T6866" t="s">
        <v>46531</v>
      </c>
      <c r="U6866" t="s">
        <v>52699</v>
      </c>
      <c r="W6866" t="s">
        <v>40833</v>
      </c>
      <c r="X6866" t="s">
        <v>44768</v>
      </c>
    </row>
    <row r="6867" spans="1:24">
      <c r="A6867">
        <f>HYPERLINK("https://www.philgeps.gov.ph/GEPSNONPILOT/Tender/SplashBidNoticeAbstractUI.aspx?menuIndex=3&amp;refID=7142620&amp;Result=3","7142620")</f>
        <v>0</v>
      </c>
      <c r="B6867" t="s">
        <v>2394</v>
      </c>
      <c r="C6867" t="s">
        <v>10270</v>
      </c>
      <c r="D6867" t="s">
        <v>17987</v>
      </c>
      <c r="E6867" t="s">
        <v>24070</v>
      </c>
      <c r="F6867" t="s">
        <v>30900</v>
      </c>
      <c r="G6867" t="s">
        <v>30907</v>
      </c>
      <c r="H6867" t="s">
        <v>30915</v>
      </c>
      <c r="I6867" t="s">
        <v>30919</v>
      </c>
      <c r="J6867" t="s">
        <v>31297</v>
      </c>
      <c r="K6867" t="s">
        <v>40304</v>
      </c>
      <c r="M6867" t="s">
        <v>43120</v>
      </c>
      <c r="N6867" t="s">
        <v>44759</v>
      </c>
      <c r="O6867" t="s">
        <v>44760</v>
      </c>
      <c r="P6867">
        <v>0</v>
      </c>
      <c r="Q6867">
        <v>0</v>
      </c>
      <c r="R6867" t="s">
        <v>44767</v>
      </c>
      <c r="S6867" t="s">
        <v>44954</v>
      </c>
      <c r="T6867" t="s">
        <v>46363</v>
      </c>
      <c r="U6867" t="s">
        <v>52700</v>
      </c>
      <c r="W6867" t="s">
        <v>43120</v>
      </c>
      <c r="X6867" t="s">
        <v>44768</v>
      </c>
    </row>
    <row r="6868" spans="1:24">
      <c r="A6868">
        <f>HYPERLINK("https://www.philgeps.gov.ph/GEPSNONPILOT/Tender/SplashBidNoticeAbstractUI.aspx?menuIndex=3&amp;refID=7142500&amp;Result=3","7142500")</f>
        <v>0</v>
      </c>
      <c r="B6868" t="s">
        <v>2359</v>
      </c>
      <c r="C6868" t="s">
        <v>10271</v>
      </c>
      <c r="D6868" t="s">
        <v>18022</v>
      </c>
      <c r="E6868" t="s">
        <v>24071</v>
      </c>
      <c r="F6868" t="s">
        <v>30900</v>
      </c>
      <c r="G6868" t="s">
        <v>30907</v>
      </c>
      <c r="H6868" t="s">
        <v>30915</v>
      </c>
      <c r="I6868" t="s">
        <v>30919</v>
      </c>
      <c r="J6868" t="s">
        <v>35452</v>
      </c>
      <c r="K6868" t="s">
        <v>40289</v>
      </c>
      <c r="M6868" t="s">
        <v>43083</v>
      </c>
      <c r="N6868" t="s">
        <v>44759</v>
      </c>
      <c r="O6868" t="s">
        <v>44760</v>
      </c>
      <c r="P6868">
        <v>0</v>
      </c>
      <c r="Q6868">
        <v>1</v>
      </c>
      <c r="R6868" t="s">
        <v>44767</v>
      </c>
      <c r="S6868" t="s">
        <v>44954</v>
      </c>
      <c r="T6868" t="s">
        <v>46533</v>
      </c>
      <c r="U6868" t="s">
        <v>52701</v>
      </c>
      <c r="W6868" t="s">
        <v>60888</v>
      </c>
      <c r="X6868" t="s">
        <v>44768</v>
      </c>
    </row>
    <row r="6869" spans="1:24">
      <c r="A6869">
        <f>HYPERLINK("https://www.philgeps.gov.ph/GEPSNONPILOT/Tender/SplashBidNoticeAbstractUI.aspx?menuIndex=3&amp;refID=7142618&amp;Result=3","7142618")</f>
        <v>0</v>
      </c>
      <c r="B6869" t="s">
        <v>1359</v>
      </c>
      <c r="C6869" t="s">
        <v>10272</v>
      </c>
      <c r="D6869" t="s">
        <v>17965</v>
      </c>
      <c r="E6869" t="s">
        <v>24072</v>
      </c>
      <c r="F6869" t="s">
        <v>30900</v>
      </c>
      <c r="G6869" t="s">
        <v>30908</v>
      </c>
      <c r="H6869" t="s">
        <v>30916</v>
      </c>
      <c r="I6869" t="s">
        <v>6746</v>
      </c>
      <c r="J6869" t="s">
        <v>32040</v>
      </c>
      <c r="K6869" t="s">
        <v>40287</v>
      </c>
      <c r="M6869" t="s">
        <v>41981</v>
      </c>
      <c r="N6869" t="s">
        <v>44759</v>
      </c>
      <c r="O6869" t="s">
        <v>44760</v>
      </c>
      <c r="P6869">
        <v>0</v>
      </c>
      <c r="Q6869">
        <v>0</v>
      </c>
      <c r="R6869" t="s">
        <v>44767</v>
      </c>
      <c r="S6869" t="s">
        <v>44954</v>
      </c>
      <c r="T6869" t="s">
        <v>46641</v>
      </c>
      <c r="U6869" t="s">
        <v>52702</v>
      </c>
      <c r="W6869" t="s">
        <v>41981</v>
      </c>
      <c r="X6869" t="s">
        <v>44768</v>
      </c>
    </row>
    <row r="6870" spans="1:24">
      <c r="A6870">
        <f>HYPERLINK("https://www.philgeps.gov.ph/GEPSNONPILOT/Tender/SplashBidNoticeAbstractUI.aspx?menuIndex=3&amp;refID=7142595&amp;Result=3","7142595")</f>
        <v>0</v>
      </c>
      <c r="B6870" t="s">
        <v>2389</v>
      </c>
      <c r="C6870" t="s">
        <v>10273</v>
      </c>
      <c r="D6870" t="s">
        <v>17994</v>
      </c>
      <c r="E6870" t="s">
        <v>24073</v>
      </c>
      <c r="F6870" t="s">
        <v>30900</v>
      </c>
      <c r="G6870" t="s">
        <v>30908</v>
      </c>
      <c r="H6870" t="s">
        <v>30916</v>
      </c>
      <c r="I6870" t="s">
        <v>10602</v>
      </c>
      <c r="J6870" t="s">
        <v>32498</v>
      </c>
      <c r="K6870" t="s">
        <v>40286</v>
      </c>
      <c r="M6870" t="s">
        <v>43115</v>
      </c>
      <c r="N6870" t="s">
        <v>44759</v>
      </c>
      <c r="O6870" t="s">
        <v>44760</v>
      </c>
      <c r="P6870">
        <v>0</v>
      </c>
      <c r="Q6870">
        <v>1</v>
      </c>
      <c r="R6870" t="s">
        <v>44767</v>
      </c>
      <c r="S6870" t="s">
        <v>44954</v>
      </c>
      <c r="T6870" t="s">
        <v>46531</v>
      </c>
      <c r="U6870" t="s">
        <v>52703</v>
      </c>
      <c r="W6870" t="s">
        <v>43115</v>
      </c>
      <c r="X6870" t="s">
        <v>44768</v>
      </c>
    </row>
    <row r="6871" spans="1:24">
      <c r="A6871">
        <f>HYPERLINK("https://www.philgeps.gov.ph/GEPSNONPILOT/Tender/SplashBidNoticeAbstractUI.aspx?menuIndex=3&amp;refID=7142609&amp;Result=3","7142609")</f>
        <v>0</v>
      </c>
      <c r="B6871" t="s">
        <v>2359</v>
      </c>
      <c r="C6871" t="s">
        <v>10274</v>
      </c>
      <c r="D6871" t="s">
        <v>18022</v>
      </c>
      <c r="E6871" t="s">
        <v>24074</v>
      </c>
      <c r="F6871" t="s">
        <v>30900</v>
      </c>
      <c r="G6871" t="s">
        <v>30907</v>
      </c>
      <c r="H6871" t="s">
        <v>30915</v>
      </c>
      <c r="I6871" t="s">
        <v>30919</v>
      </c>
      <c r="J6871" t="s">
        <v>35453</v>
      </c>
      <c r="K6871" t="s">
        <v>40289</v>
      </c>
      <c r="M6871" t="s">
        <v>43083</v>
      </c>
      <c r="N6871" t="s">
        <v>44759</v>
      </c>
      <c r="O6871" t="s">
        <v>44760</v>
      </c>
      <c r="P6871">
        <v>0</v>
      </c>
      <c r="Q6871">
        <v>1</v>
      </c>
      <c r="R6871" t="s">
        <v>44767</v>
      </c>
      <c r="S6871" t="s">
        <v>44954</v>
      </c>
      <c r="T6871" t="s">
        <v>46533</v>
      </c>
      <c r="U6871" t="s">
        <v>52704</v>
      </c>
      <c r="W6871" t="s">
        <v>60888</v>
      </c>
      <c r="X6871" t="s">
        <v>44768</v>
      </c>
    </row>
    <row r="6872" spans="1:24">
      <c r="A6872">
        <f>HYPERLINK("https://www.philgeps.gov.ph/GEPSNONPILOT/Tender/SplashBidNoticeAbstractUI.aspx?menuIndex=3&amp;refID=7142606&amp;Result=3","7142606")</f>
        <v>0</v>
      </c>
      <c r="B6872" t="s">
        <v>2389</v>
      </c>
      <c r="C6872" t="s">
        <v>10275</v>
      </c>
      <c r="D6872" t="s">
        <v>17994</v>
      </c>
      <c r="E6872" t="s">
        <v>24075</v>
      </c>
      <c r="F6872" t="s">
        <v>30900</v>
      </c>
      <c r="G6872" t="s">
        <v>30908</v>
      </c>
      <c r="H6872" t="s">
        <v>30916</v>
      </c>
      <c r="I6872" t="s">
        <v>5830</v>
      </c>
      <c r="J6872" t="s">
        <v>31713</v>
      </c>
      <c r="K6872" t="s">
        <v>40286</v>
      </c>
      <c r="M6872" t="s">
        <v>43115</v>
      </c>
      <c r="N6872" t="s">
        <v>44759</v>
      </c>
      <c r="O6872" t="s">
        <v>44760</v>
      </c>
      <c r="P6872">
        <v>0</v>
      </c>
      <c r="Q6872">
        <v>6</v>
      </c>
      <c r="R6872" t="s">
        <v>44767</v>
      </c>
      <c r="S6872" t="s">
        <v>44954</v>
      </c>
      <c r="T6872" t="s">
        <v>46531</v>
      </c>
      <c r="U6872" t="s">
        <v>52705</v>
      </c>
      <c r="W6872" t="s">
        <v>43115</v>
      </c>
      <c r="X6872" t="s">
        <v>44768</v>
      </c>
    </row>
    <row r="6873" spans="1:24">
      <c r="A6873">
        <f>HYPERLINK("https://www.philgeps.gov.ph/GEPSNONPILOT/Tender/SplashBidNoticeAbstractUI.aspx?menuIndex=3&amp;refID=7142590&amp;Result=3","7142590")</f>
        <v>0</v>
      </c>
      <c r="B6873" t="s">
        <v>2403</v>
      </c>
      <c r="C6873" t="s">
        <v>5990</v>
      </c>
      <c r="D6873" t="s">
        <v>17955</v>
      </c>
      <c r="E6873" t="s">
        <v>18094</v>
      </c>
      <c r="F6873" t="s">
        <v>30900</v>
      </c>
      <c r="G6873" t="s">
        <v>30907</v>
      </c>
      <c r="H6873" t="s">
        <v>30916</v>
      </c>
      <c r="I6873" t="s">
        <v>30932</v>
      </c>
      <c r="J6873" t="s">
        <v>35454</v>
      </c>
      <c r="K6873" t="s">
        <v>40287</v>
      </c>
      <c r="M6873" t="s">
        <v>43130</v>
      </c>
      <c r="N6873" t="s">
        <v>44759</v>
      </c>
      <c r="O6873" t="s">
        <v>44760</v>
      </c>
      <c r="P6873">
        <v>0</v>
      </c>
      <c r="Q6873">
        <v>1</v>
      </c>
      <c r="R6873" t="s">
        <v>44767</v>
      </c>
      <c r="S6873" t="s">
        <v>44954</v>
      </c>
      <c r="T6873" t="s">
        <v>46398</v>
      </c>
      <c r="U6873" t="s">
        <v>52706</v>
      </c>
      <c r="W6873" t="s">
        <v>43130</v>
      </c>
      <c r="X6873" t="s">
        <v>44768</v>
      </c>
    </row>
    <row r="6874" spans="1:24">
      <c r="A6874">
        <f>HYPERLINK("https://www.philgeps.gov.ph/GEPSNONPILOT/Tender/SplashBidNoticeAbstractUI.aspx?menuIndex=3&amp;refID=7142589&amp;Result=3","7142589")</f>
        <v>0</v>
      </c>
      <c r="B6874" t="s">
        <v>1973</v>
      </c>
      <c r="C6874" t="s">
        <v>10276</v>
      </c>
      <c r="D6874" t="s">
        <v>18012</v>
      </c>
      <c r="E6874" t="s">
        <v>24076</v>
      </c>
      <c r="F6874" t="s">
        <v>30900</v>
      </c>
      <c r="G6874" t="s">
        <v>30907</v>
      </c>
      <c r="H6874" t="s">
        <v>30916</v>
      </c>
      <c r="I6874" t="s">
        <v>8123</v>
      </c>
      <c r="J6874" t="s">
        <v>35455</v>
      </c>
      <c r="K6874" t="s">
        <v>40284</v>
      </c>
      <c r="M6874" t="s">
        <v>42661</v>
      </c>
      <c r="N6874" t="s">
        <v>44759</v>
      </c>
      <c r="O6874" t="s">
        <v>44760</v>
      </c>
      <c r="P6874">
        <v>0</v>
      </c>
      <c r="Q6874">
        <v>1</v>
      </c>
      <c r="R6874" t="s">
        <v>44767</v>
      </c>
      <c r="S6874" t="s">
        <v>44954</v>
      </c>
      <c r="T6874" t="s">
        <v>46443</v>
      </c>
      <c r="U6874" t="s">
        <v>52707</v>
      </c>
      <c r="W6874" t="s">
        <v>42661</v>
      </c>
      <c r="X6874" t="s">
        <v>44768</v>
      </c>
    </row>
    <row r="6875" spans="1:24">
      <c r="A6875">
        <f>HYPERLINK("https://www.philgeps.gov.ph/GEPSNONPILOT/Tender/SplashBidNoticeAbstractUI.aspx?menuIndex=3&amp;refID=7142600&amp;Result=3","7142600")</f>
        <v>0</v>
      </c>
      <c r="B6875" t="s">
        <v>2404</v>
      </c>
      <c r="C6875" t="s">
        <v>10277</v>
      </c>
      <c r="D6875" t="s">
        <v>17980</v>
      </c>
      <c r="E6875" t="s">
        <v>24077</v>
      </c>
      <c r="F6875" t="s">
        <v>30900</v>
      </c>
      <c r="G6875" t="s">
        <v>30907</v>
      </c>
      <c r="H6875" t="s">
        <v>30915</v>
      </c>
      <c r="I6875" t="s">
        <v>30919</v>
      </c>
      <c r="J6875" t="s">
        <v>31050</v>
      </c>
      <c r="K6875" t="s">
        <v>40289</v>
      </c>
      <c r="M6875" t="s">
        <v>43131</v>
      </c>
      <c r="N6875" t="s">
        <v>44759</v>
      </c>
      <c r="O6875" t="s">
        <v>44760</v>
      </c>
      <c r="P6875">
        <v>0</v>
      </c>
      <c r="Q6875">
        <v>0</v>
      </c>
      <c r="R6875" t="s">
        <v>44767</v>
      </c>
      <c r="S6875" t="s">
        <v>44954</v>
      </c>
      <c r="T6875" t="s">
        <v>46383</v>
      </c>
      <c r="U6875" t="s">
        <v>52708</v>
      </c>
      <c r="W6875" t="s">
        <v>43131</v>
      </c>
      <c r="X6875" t="s">
        <v>44768</v>
      </c>
    </row>
    <row r="6876" spans="1:24">
      <c r="A6876">
        <f>HYPERLINK("https://www.philgeps.gov.ph/GEPSNONPILOT/Tender/SplashBidNoticeAbstractUI.aspx?menuIndex=3&amp;refID=7142599&amp;Result=3","7142599")</f>
        <v>0</v>
      </c>
      <c r="B6876" t="s">
        <v>855</v>
      </c>
      <c r="C6876" t="s">
        <v>10278</v>
      </c>
      <c r="D6876" t="s">
        <v>17975</v>
      </c>
      <c r="E6876" t="s">
        <v>24078</v>
      </c>
      <c r="F6876" t="s">
        <v>30900</v>
      </c>
      <c r="G6876" t="s">
        <v>30909</v>
      </c>
      <c r="H6876" t="s">
        <v>30916</v>
      </c>
      <c r="I6876" t="s">
        <v>4142</v>
      </c>
      <c r="J6876" t="s">
        <v>35456</v>
      </c>
      <c r="K6876" t="s">
        <v>40287</v>
      </c>
      <c r="M6876" t="s">
        <v>41428</v>
      </c>
      <c r="N6876" t="s">
        <v>44759</v>
      </c>
      <c r="O6876" t="s">
        <v>44760</v>
      </c>
      <c r="P6876">
        <v>0</v>
      </c>
      <c r="Q6876">
        <v>1</v>
      </c>
      <c r="R6876" t="s">
        <v>44767</v>
      </c>
      <c r="S6876" t="s">
        <v>44954</v>
      </c>
      <c r="T6876" t="s">
        <v>46414</v>
      </c>
      <c r="U6876" t="s">
        <v>52709</v>
      </c>
      <c r="W6876" t="s">
        <v>41428</v>
      </c>
      <c r="X6876" t="s">
        <v>44768</v>
      </c>
    </row>
    <row r="6877" spans="1:24">
      <c r="A6877">
        <f>HYPERLINK("https://www.philgeps.gov.ph/GEPSNONPILOT/Tender/SplashBidNoticeAbstractUI.aspx?menuIndex=3&amp;refID=7142492&amp;Result=3","7142492")</f>
        <v>0</v>
      </c>
      <c r="B6877" t="s">
        <v>164</v>
      </c>
      <c r="C6877" t="s">
        <v>10279</v>
      </c>
      <c r="D6877" t="s">
        <v>17961</v>
      </c>
      <c r="E6877" t="s">
        <v>24079</v>
      </c>
      <c r="F6877" t="s">
        <v>30900</v>
      </c>
      <c r="G6877" t="s">
        <v>30908</v>
      </c>
      <c r="H6877" t="s">
        <v>30916</v>
      </c>
      <c r="I6877" t="s">
        <v>4545</v>
      </c>
      <c r="J6877" t="s">
        <v>31049</v>
      </c>
      <c r="K6877" t="s">
        <v>40294</v>
      </c>
      <c r="M6877" t="s">
        <v>40711</v>
      </c>
      <c r="N6877" t="s">
        <v>44759</v>
      </c>
      <c r="O6877" t="s">
        <v>44760</v>
      </c>
      <c r="P6877">
        <v>0</v>
      </c>
      <c r="Q6877">
        <v>5</v>
      </c>
      <c r="R6877" t="s">
        <v>44767</v>
      </c>
      <c r="S6877" t="s">
        <v>44954</v>
      </c>
      <c r="T6877" t="s">
        <v>46531</v>
      </c>
      <c r="U6877" t="s">
        <v>52710</v>
      </c>
      <c r="W6877" t="s">
        <v>40711</v>
      </c>
      <c r="X6877" t="s">
        <v>44768</v>
      </c>
    </row>
    <row r="6878" spans="1:24">
      <c r="A6878">
        <f>HYPERLINK("https://www.philgeps.gov.ph/GEPSNONPILOT/Tender/SplashBidNoticeAbstractUI.aspx?menuIndex=3&amp;refID=7142594&amp;Result=3","7142594")</f>
        <v>0</v>
      </c>
      <c r="B6878" t="s">
        <v>2369</v>
      </c>
      <c r="C6878" t="s">
        <v>10280</v>
      </c>
      <c r="D6878" t="s">
        <v>17985</v>
      </c>
      <c r="E6878" t="s">
        <v>24080</v>
      </c>
      <c r="F6878" t="s">
        <v>30900</v>
      </c>
      <c r="G6878" t="s">
        <v>30907</v>
      </c>
      <c r="H6878" t="s">
        <v>30916</v>
      </c>
      <c r="I6878" t="s">
        <v>8123</v>
      </c>
      <c r="J6878" t="s">
        <v>35404</v>
      </c>
      <c r="K6878" t="s">
        <v>40289</v>
      </c>
      <c r="M6878" t="s">
        <v>43095</v>
      </c>
      <c r="N6878" t="s">
        <v>44759</v>
      </c>
      <c r="O6878" t="s">
        <v>44760</v>
      </c>
      <c r="P6878">
        <v>0</v>
      </c>
      <c r="Q6878">
        <v>0</v>
      </c>
      <c r="R6878" t="s">
        <v>44767</v>
      </c>
      <c r="S6878" t="s">
        <v>44954</v>
      </c>
      <c r="T6878" t="s">
        <v>46395</v>
      </c>
      <c r="U6878" t="s">
        <v>52711</v>
      </c>
      <c r="W6878" t="s">
        <v>43095</v>
      </c>
      <c r="X6878" t="s">
        <v>44768</v>
      </c>
    </row>
    <row r="6879" spans="1:24">
      <c r="A6879">
        <f>HYPERLINK("https://www.philgeps.gov.ph/GEPSNONPILOT/Tender/SplashBidNoticeAbstractUI.aspx?menuIndex=3&amp;refID=7142588&amp;Result=3","7142588")</f>
        <v>0</v>
      </c>
      <c r="B6879" t="s">
        <v>2388</v>
      </c>
      <c r="C6879" t="s">
        <v>10281</v>
      </c>
      <c r="D6879" t="s">
        <v>17960</v>
      </c>
      <c r="E6879" t="s">
        <v>24081</v>
      </c>
      <c r="F6879" t="s">
        <v>30900</v>
      </c>
      <c r="G6879" t="s">
        <v>30907</v>
      </c>
      <c r="H6879" t="s">
        <v>30916</v>
      </c>
      <c r="I6879" t="s">
        <v>30934</v>
      </c>
      <c r="J6879" t="s">
        <v>31398</v>
      </c>
      <c r="K6879" t="s">
        <v>40292</v>
      </c>
      <c r="M6879" t="s">
        <v>43114</v>
      </c>
      <c r="N6879" t="s">
        <v>44759</v>
      </c>
      <c r="O6879" t="s">
        <v>44760</v>
      </c>
      <c r="P6879">
        <v>0</v>
      </c>
      <c r="Q6879">
        <v>0</v>
      </c>
      <c r="R6879" t="s">
        <v>44767</v>
      </c>
      <c r="S6879" t="s">
        <v>44954</v>
      </c>
      <c r="T6879" t="s">
        <v>46533</v>
      </c>
      <c r="U6879" t="s">
        <v>52663</v>
      </c>
      <c r="V6879" t="s">
        <v>59858</v>
      </c>
      <c r="W6879" t="s">
        <v>43114</v>
      </c>
      <c r="X6879" t="s">
        <v>44768</v>
      </c>
    </row>
    <row r="6880" spans="1:24">
      <c r="A6880">
        <f>HYPERLINK("https://www.philgeps.gov.ph/GEPSNONPILOT/Tender/SplashBidNoticeAbstractUI.aspx?menuIndex=3&amp;refID=7142603&amp;Result=3","7142603")</f>
        <v>0</v>
      </c>
      <c r="B6880" t="s">
        <v>1973</v>
      </c>
      <c r="C6880" t="s">
        <v>10282</v>
      </c>
      <c r="D6880" t="s">
        <v>18012</v>
      </c>
      <c r="E6880" t="s">
        <v>24082</v>
      </c>
      <c r="F6880" t="s">
        <v>30900</v>
      </c>
      <c r="G6880" t="s">
        <v>30907</v>
      </c>
      <c r="H6880" t="s">
        <v>30916</v>
      </c>
      <c r="I6880" t="s">
        <v>30925</v>
      </c>
      <c r="J6880" t="s">
        <v>35457</v>
      </c>
      <c r="K6880" t="s">
        <v>40284</v>
      </c>
      <c r="M6880" t="s">
        <v>42661</v>
      </c>
      <c r="N6880" t="s">
        <v>44759</v>
      </c>
      <c r="O6880" t="s">
        <v>44760</v>
      </c>
      <c r="P6880">
        <v>0</v>
      </c>
      <c r="Q6880">
        <v>1</v>
      </c>
      <c r="R6880" t="s">
        <v>44767</v>
      </c>
      <c r="S6880" t="s">
        <v>44954</v>
      </c>
      <c r="T6880" t="s">
        <v>46443</v>
      </c>
      <c r="U6880" t="s">
        <v>52712</v>
      </c>
      <c r="W6880" t="s">
        <v>42661</v>
      </c>
      <c r="X6880" t="s">
        <v>44768</v>
      </c>
    </row>
    <row r="6881" spans="1:24">
      <c r="A6881">
        <f>HYPERLINK("https://www.philgeps.gov.ph/GEPSNONPILOT/Tender/SplashBidNoticeAbstractUI.aspx?menuIndex=3&amp;refID=7142495&amp;Result=3","7142495")</f>
        <v>0</v>
      </c>
      <c r="B6881" t="s">
        <v>2068</v>
      </c>
      <c r="C6881" t="s">
        <v>10283</v>
      </c>
      <c r="D6881" t="s">
        <v>17992</v>
      </c>
      <c r="E6881" t="s">
        <v>20253</v>
      </c>
      <c r="F6881" t="s">
        <v>30900</v>
      </c>
      <c r="G6881" t="s">
        <v>30908</v>
      </c>
      <c r="H6881" t="s">
        <v>30916</v>
      </c>
      <c r="I6881" t="s">
        <v>30921</v>
      </c>
      <c r="J6881" t="s">
        <v>35458</v>
      </c>
      <c r="K6881" t="s">
        <v>40283</v>
      </c>
      <c r="M6881" t="s">
        <v>42767</v>
      </c>
      <c r="N6881" t="s">
        <v>44759</v>
      </c>
      <c r="O6881" t="s">
        <v>44760</v>
      </c>
      <c r="P6881">
        <v>0</v>
      </c>
      <c r="Q6881">
        <v>1</v>
      </c>
      <c r="R6881" t="s">
        <v>44767</v>
      </c>
      <c r="S6881" t="s">
        <v>44954</v>
      </c>
      <c r="T6881" t="s">
        <v>46581</v>
      </c>
      <c r="U6881" t="s">
        <v>47737</v>
      </c>
      <c r="W6881" t="s">
        <v>42767</v>
      </c>
      <c r="X6881" t="s">
        <v>44768</v>
      </c>
    </row>
    <row r="6882" spans="1:24">
      <c r="A6882">
        <f>HYPERLINK("https://www.philgeps.gov.ph/GEPSNONPILOT/Tender/SplashBidNoticeAbstractUI.aspx?menuIndex=3&amp;refID=7142580&amp;Result=3","7142580")</f>
        <v>0</v>
      </c>
      <c r="B6882" t="s">
        <v>2405</v>
      </c>
      <c r="C6882" t="s">
        <v>10284</v>
      </c>
      <c r="D6882" t="s">
        <v>17972</v>
      </c>
      <c r="E6882" t="s">
        <v>22344</v>
      </c>
      <c r="F6882" t="s">
        <v>30900</v>
      </c>
      <c r="G6882" t="s">
        <v>30907</v>
      </c>
      <c r="H6882" t="s">
        <v>30916</v>
      </c>
      <c r="I6882" t="s">
        <v>8123</v>
      </c>
      <c r="J6882" t="s">
        <v>35459</v>
      </c>
      <c r="K6882" t="s">
        <v>40288</v>
      </c>
      <c r="M6882" t="s">
        <v>43132</v>
      </c>
      <c r="N6882" t="s">
        <v>44759</v>
      </c>
      <c r="O6882" t="s">
        <v>44760</v>
      </c>
      <c r="P6882">
        <v>0</v>
      </c>
      <c r="Q6882">
        <v>0</v>
      </c>
      <c r="R6882" t="s">
        <v>44767</v>
      </c>
      <c r="S6882" t="s">
        <v>44954</v>
      </c>
      <c r="T6882" t="s">
        <v>46766</v>
      </c>
      <c r="U6882" t="s">
        <v>52713</v>
      </c>
      <c r="W6882" t="s">
        <v>43132</v>
      </c>
      <c r="X6882" t="s">
        <v>44768</v>
      </c>
    </row>
    <row r="6883" spans="1:24">
      <c r="A6883">
        <f>HYPERLINK("https://www.philgeps.gov.ph/GEPSNONPILOT/Tender/SplashBidNoticeAbstractUI.aspx?menuIndex=3&amp;refID=7142646&amp;Result=3","7142646")</f>
        <v>0</v>
      </c>
      <c r="B6883" t="s">
        <v>286</v>
      </c>
      <c r="C6883" t="s">
        <v>10285</v>
      </c>
      <c r="D6883" t="s">
        <v>17977</v>
      </c>
      <c r="E6883" t="s">
        <v>24083</v>
      </c>
      <c r="F6883" t="s">
        <v>30900</v>
      </c>
      <c r="G6883" t="s">
        <v>30908</v>
      </c>
      <c r="H6883" t="s">
        <v>30916</v>
      </c>
      <c r="I6883" t="s">
        <v>30932</v>
      </c>
      <c r="J6883" t="s">
        <v>31278</v>
      </c>
      <c r="K6883" t="s">
        <v>40283</v>
      </c>
      <c r="M6883" t="s">
        <v>40834</v>
      </c>
      <c r="N6883" t="s">
        <v>44759</v>
      </c>
      <c r="O6883" t="s">
        <v>44760</v>
      </c>
      <c r="P6883">
        <v>0</v>
      </c>
      <c r="Q6883">
        <v>4</v>
      </c>
      <c r="R6883" t="s">
        <v>44767</v>
      </c>
      <c r="S6883" t="s">
        <v>44954</v>
      </c>
      <c r="T6883" t="s">
        <v>46533</v>
      </c>
      <c r="U6883" t="s">
        <v>52714</v>
      </c>
      <c r="V6883" t="s">
        <v>59864</v>
      </c>
      <c r="W6883" t="s">
        <v>40834</v>
      </c>
      <c r="X6883" t="s">
        <v>44768</v>
      </c>
    </row>
    <row r="6884" spans="1:24">
      <c r="A6884">
        <f>HYPERLINK("https://www.philgeps.gov.ph/GEPSNONPILOT/Tender/SplashBidNoticeAbstractUI.aspx?menuIndex=3&amp;refID=7142635&amp;Result=3","7142635")</f>
        <v>0</v>
      </c>
      <c r="B6884" t="s">
        <v>1960</v>
      </c>
      <c r="C6884" t="s">
        <v>10286</v>
      </c>
      <c r="D6884" t="s">
        <v>17975</v>
      </c>
      <c r="E6884" t="s">
        <v>23988</v>
      </c>
      <c r="F6884" t="s">
        <v>30900</v>
      </c>
      <c r="G6884" t="s">
        <v>30907</v>
      </c>
      <c r="H6884" t="s">
        <v>30915</v>
      </c>
      <c r="I6884" t="s">
        <v>30919</v>
      </c>
      <c r="J6884" t="s">
        <v>35460</v>
      </c>
      <c r="K6884" t="s">
        <v>40342</v>
      </c>
      <c r="M6884" t="s">
        <v>42644</v>
      </c>
      <c r="N6884" t="s">
        <v>44759</v>
      </c>
      <c r="O6884" t="s">
        <v>44760</v>
      </c>
      <c r="P6884">
        <v>0</v>
      </c>
      <c r="Q6884">
        <v>1</v>
      </c>
      <c r="R6884" t="s">
        <v>44767</v>
      </c>
      <c r="S6884" t="s">
        <v>44954</v>
      </c>
      <c r="T6884" t="s">
        <v>46455</v>
      </c>
      <c r="U6884" t="s">
        <v>52715</v>
      </c>
      <c r="W6884" t="s">
        <v>42644</v>
      </c>
      <c r="X6884" t="s">
        <v>44768</v>
      </c>
    </row>
    <row r="6885" spans="1:24">
      <c r="A6885">
        <f>HYPERLINK("https://www.philgeps.gov.ph/GEPSNONPILOT/Tender/SplashBidNoticeAbstractUI.aspx?menuIndex=3&amp;refID=7142645&amp;Result=3","7142645")</f>
        <v>0</v>
      </c>
      <c r="B6885" t="s">
        <v>1164</v>
      </c>
      <c r="C6885" t="s">
        <v>10287</v>
      </c>
      <c r="D6885" t="s">
        <v>17955</v>
      </c>
      <c r="E6885" t="s">
        <v>24084</v>
      </c>
      <c r="F6885" t="s">
        <v>30900</v>
      </c>
      <c r="G6885" t="s">
        <v>30908</v>
      </c>
      <c r="H6885" t="s">
        <v>30916</v>
      </c>
      <c r="I6885" t="s">
        <v>6746</v>
      </c>
      <c r="J6885" t="s">
        <v>32129</v>
      </c>
      <c r="K6885" t="s">
        <v>40289</v>
      </c>
      <c r="M6885" t="s">
        <v>43089</v>
      </c>
      <c r="N6885" t="s">
        <v>44759</v>
      </c>
      <c r="O6885" t="s">
        <v>44760</v>
      </c>
      <c r="P6885">
        <v>0</v>
      </c>
      <c r="Q6885">
        <v>0</v>
      </c>
      <c r="R6885" t="s">
        <v>44767</v>
      </c>
      <c r="S6885" t="s">
        <v>44954</v>
      </c>
      <c r="T6885" t="s">
        <v>46662</v>
      </c>
      <c r="U6885" t="s">
        <v>52716</v>
      </c>
      <c r="V6885" t="s">
        <v>59847</v>
      </c>
      <c r="W6885" t="s">
        <v>43089</v>
      </c>
      <c r="X6885" t="s">
        <v>44768</v>
      </c>
    </row>
    <row r="6886" spans="1:24">
      <c r="A6886">
        <f>HYPERLINK("https://www.philgeps.gov.ph/GEPSNONPILOT/Tender/SplashBidNoticeAbstractUI.aspx?menuIndex=3&amp;refID=7142644&amp;Result=3","7142644")</f>
        <v>0</v>
      </c>
      <c r="B6886" t="s">
        <v>2406</v>
      </c>
      <c r="C6886" t="s">
        <v>4598</v>
      </c>
      <c r="D6886" t="s">
        <v>17955</v>
      </c>
      <c r="E6886" t="s">
        <v>24085</v>
      </c>
      <c r="F6886" t="s">
        <v>30900</v>
      </c>
      <c r="G6886" t="s">
        <v>30908</v>
      </c>
      <c r="H6886" t="s">
        <v>30916</v>
      </c>
      <c r="I6886" t="s">
        <v>8365</v>
      </c>
      <c r="J6886" t="s">
        <v>35461</v>
      </c>
      <c r="K6886" t="s">
        <v>40294</v>
      </c>
      <c r="M6886" t="s">
        <v>43133</v>
      </c>
      <c r="N6886" t="s">
        <v>44759</v>
      </c>
      <c r="O6886" t="s">
        <v>44760</v>
      </c>
      <c r="P6886">
        <v>0</v>
      </c>
      <c r="Q6886">
        <v>4</v>
      </c>
      <c r="R6886" t="s">
        <v>44767</v>
      </c>
      <c r="S6886" t="s">
        <v>44954</v>
      </c>
      <c r="T6886" t="s">
        <v>46391</v>
      </c>
      <c r="U6886" t="s">
        <v>52717</v>
      </c>
      <c r="W6886" t="s">
        <v>43133</v>
      </c>
      <c r="X6886" t="s">
        <v>44768</v>
      </c>
    </row>
    <row r="6887" spans="1:24">
      <c r="A6887">
        <f>HYPERLINK("https://www.philgeps.gov.ph/GEPSNONPILOT/Tender/SplashBidNoticeAbstractUI.aspx?menuIndex=3&amp;refID=7142643&amp;Result=3","7142643")</f>
        <v>0</v>
      </c>
      <c r="B6887" t="s">
        <v>1430</v>
      </c>
      <c r="C6887" t="s">
        <v>10288</v>
      </c>
      <c r="D6887" t="s">
        <v>17985</v>
      </c>
      <c r="E6887" t="s">
        <v>23493</v>
      </c>
      <c r="F6887" t="s">
        <v>30900</v>
      </c>
      <c r="G6887" t="s">
        <v>30907</v>
      </c>
      <c r="H6887" t="s">
        <v>30916</v>
      </c>
      <c r="I6887" t="s">
        <v>30921</v>
      </c>
      <c r="J6887" t="s">
        <v>31139</v>
      </c>
      <c r="K6887" t="s">
        <v>40287</v>
      </c>
      <c r="M6887" t="s">
        <v>42062</v>
      </c>
      <c r="N6887" t="s">
        <v>44759</v>
      </c>
      <c r="O6887" t="s">
        <v>44760</v>
      </c>
      <c r="P6887">
        <v>0</v>
      </c>
      <c r="Q6887">
        <v>4</v>
      </c>
      <c r="R6887" t="s">
        <v>44767</v>
      </c>
      <c r="S6887" t="s">
        <v>44954</v>
      </c>
      <c r="T6887" t="s">
        <v>46369</v>
      </c>
      <c r="U6887" t="s">
        <v>52718</v>
      </c>
      <c r="V6887" t="s">
        <v>59556</v>
      </c>
      <c r="W6887" t="s">
        <v>42062</v>
      </c>
      <c r="X6887" t="s">
        <v>44768</v>
      </c>
    </row>
    <row r="6888" spans="1:24">
      <c r="A6888">
        <f>HYPERLINK("https://www.philgeps.gov.ph/GEPSNONPILOT/Tender/SplashBidNoticeAbstractUI.aspx?menuIndex=3&amp;refID=7142641&amp;Result=3","7142641")</f>
        <v>0</v>
      </c>
      <c r="B6888" t="s">
        <v>2161</v>
      </c>
      <c r="C6888" t="s">
        <v>10289</v>
      </c>
      <c r="D6888" t="s">
        <v>17957</v>
      </c>
      <c r="E6888" t="s">
        <v>24086</v>
      </c>
      <c r="F6888" t="s">
        <v>30900</v>
      </c>
      <c r="G6888" t="s">
        <v>30907</v>
      </c>
      <c r="H6888" t="s">
        <v>30916</v>
      </c>
      <c r="I6888" t="s">
        <v>4545</v>
      </c>
      <c r="J6888" t="s">
        <v>35462</v>
      </c>
      <c r="K6888" t="s">
        <v>40321</v>
      </c>
      <c r="M6888" t="s">
        <v>42866</v>
      </c>
      <c r="N6888" t="s">
        <v>44759</v>
      </c>
      <c r="O6888" t="s">
        <v>44760</v>
      </c>
      <c r="P6888">
        <v>0</v>
      </c>
      <c r="Q6888">
        <v>7</v>
      </c>
      <c r="R6888" t="s">
        <v>44767</v>
      </c>
      <c r="S6888" t="s">
        <v>44954</v>
      </c>
      <c r="T6888" t="s">
        <v>46536</v>
      </c>
      <c r="U6888" t="s">
        <v>52719</v>
      </c>
      <c r="W6888" t="s">
        <v>42866</v>
      </c>
      <c r="X6888" t="s">
        <v>44768</v>
      </c>
    </row>
    <row r="6889" spans="1:24">
      <c r="A6889">
        <f>HYPERLINK("https://www.philgeps.gov.ph/GEPSNONPILOT/Tender/SplashBidNoticeAbstractUI.aspx?menuIndex=3&amp;refID=7142638&amp;Result=3","7142638")</f>
        <v>0</v>
      </c>
      <c r="B6889" t="s">
        <v>2407</v>
      </c>
      <c r="C6889" t="s">
        <v>10290</v>
      </c>
      <c r="D6889" t="s">
        <v>17985</v>
      </c>
      <c r="E6889" t="s">
        <v>24087</v>
      </c>
      <c r="F6889" t="s">
        <v>30900</v>
      </c>
      <c r="G6889" t="s">
        <v>30908</v>
      </c>
      <c r="H6889" t="s">
        <v>30916</v>
      </c>
      <c r="I6889" t="s">
        <v>30957</v>
      </c>
      <c r="J6889" t="s">
        <v>31238</v>
      </c>
      <c r="K6889" t="s">
        <v>40289</v>
      </c>
      <c r="M6889" t="s">
        <v>43134</v>
      </c>
      <c r="N6889" t="s">
        <v>44759</v>
      </c>
      <c r="O6889" t="s">
        <v>44760</v>
      </c>
      <c r="P6889">
        <v>0</v>
      </c>
      <c r="Q6889">
        <v>0</v>
      </c>
      <c r="R6889" t="s">
        <v>44767</v>
      </c>
      <c r="S6889" t="s">
        <v>44954</v>
      </c>
      <c r="T6889" t="s">
        <v>46625</v>
      </c>
      <c r="U6889" t="s">
        <v>52720</v>
      </c>
      <c r="W6889" t="s">
        <v>43134</v>
      </c>
      <c r="X6889" t="s">
        <v>44768</v>
      </c>
    </row>
    <row r="6890" spans="1:24">
      <c r="A6890">
        <f>HYPERLINK("https://www.philgeps.gov.ph/GEPSNONPILOT/Tender/SplashBidNoticeAbstractUI.aspx?menuIndex=3&amp;refID=7142637&amp;Result=3","7142637")</f>
        <v>0</v>
      </c>
      <c r="B6890" t="s">
        <v>2408</v>
      </c>
      <c r="C6890" t="s">
        <v>10291</v>
      </c>
      <c r="D6890" t="s">
        <v>18032</v>
      </c>
      <c r="E6890" t="s">
        <v>24088</v>
      </c>
      <c r="F6890" t="s">
        <v>30900</v>
      </c>
      <c r="G6890" t="s">
        <v>30907</v>
      </c>
      <c r="H6890" t="s">
        <v>30916</v>
      </c>
      <c r="I6890" t="s">
        <v>30918</v>
      </c>
      <c r="J6890" t="s">
        <v>32324</v>
      </c>
      <c r="K6890" t="s">
        <v>40286</v>
      </c>
      <c r="M6890" t="s">
        <v>43135</v>
      </c>
      <c r="N6890" t="s">
        <v>44759</v>
      </c>
      <c r="O6890" t="s">
        <v>44760</v>
      </c>
      <c r="P6890">
        <v>0</v>
      </c>
      <c r="Q6890">
        <v>22</v>
      </c>
      <c r="R6890" t="s">
        <v>44767</v>
      </c>
      <c r="S6890" t="s">
        <v>44954</v>
      </c>
      <c r="T6890" t="s">
        <v>46453</v>
      </c>
      <c r="U6890" t="s">
        <v>52721</v>
      </c>
      <c r="V6890" t="s">
        <v>59865</v>
      </c>
      <c r="W6890" t="s">
        <v>43135</v>
      </c>
      <c r="X6890" t="s">
        <v>44768</v>
      </c>
    </row>
    <row r="6891" spans="1:24">
      <c r="A6891">
        <f>HYPERLINK("https://www.philgeps.gov.ph/GEPSNONPILOT/Tender/SplashBidNoticeAbstractUI.aspx?menuIndex=3&amp;refID=7142631&amp;Result=3","7142631")</f>
        <v>0</v>
      </c>
      <c r="B6891" t="s">
        <v>704</v>
      </c>
      <c r="C6891" t="s">
        <v>10292</v>
      </c>
      <c r="D6891" t="s">
        <v>17987</v>
      </c>
      <c r="E6891" t="s">
        <v>24089</v>
      </c>
      <c r="F6891" t="s">
        <v>30900</v>
      </c>
      <c r="G6891" t="s">
        <v>30908</v>
      </c>
      <c r="H6891" t="s">
        <v>30916</v>
      </c>
      <c r="I6891" t="s">
        <v>5830</v>
      </c>
      <c r="J6891" t="s">
        <v>31484</v>
      </c>
      <c r="K6891" t="s">
        <v>40283</v>
      </c>
      <c r="M6891" t="s">
        <v>42242</v>
      </c>
      <c r="N6891" t="s">
        <v>44759</v>
      </c>
      <c r="O6891" t="s">
        <v>44760</v>
      </c>
      <c r="P6891">
        <v>0</v>
      </c>
      <c r="Q6891">
        <v>1</v>
      </c>
      <c r="R6891" t="s">
        <v>44767</v>
      </c>
      <c r="S6891" t="s">
        <v>44954</v>
      </c>
      <c r="T6891" t="s">
        <v>46410</v>
      </c>
      <c r="U6891" t="s">
        <v>52722</v>
      </c>
      <c r="W6891" t="s">
        <v>42242</v>
      </c>
      <c r="X6891" t="s">
        <v>44768</v>
      </c>
    </row>
    <row r="6892" spans="1:24">
      <c r="A6892">
        <f>HYPERLINK("https://www.philgeps.gov.ph/GEPSNONPILOT/Tender/SplashBidNoticeAbstractUI.aspx?menuIndex=3&amp;refID=7142656&amp;Result=3","7142656")</f>
        <v>0</v>
      </c>
      <c r="B6892" t="s">
        <v>312</v>
      </c>
      <c r="C6892" t="s">
        <v>10293</v>
      </c>
      <c r="D6892" t="s">
        <v>17968</v>
      </c>
      <c r="E6892" t="s">
        <v>24090</v>
      </c>
      <c r="F6892" t="s">
        <v>30900</v>
      </c>
      <c r="G6892" t="s">
        <v>30907</v>
      </c>
      <c r="H6892" t="s">
        <v>30916</v>
      </c>
      <c r="I6892" t="s">
        <v>8123</v>
      </c>
      <c r="J6892" t="s">
        <v>35463</v>
      </c>
      <c r="K6892" t="s">
        <v>40289</v>
      </c>
      <c r="M6892" t="s">
        <v>40862</v>
      </c>
      <c r="N6892" t="s">
        <v>44759</v>
      </c>
      <c r="O6892" t="s">
        <v>44760</v>
      </c>
      <c r="P6892">
        <v>0</v>
      </c>
      <c r="Q6892">
        <v>1</v>
      </c>
      <c r="R6892" t="s">
        <v>44767</v>
      </c>
      <c r="S6892" t="s">
        <v>44954</v>
      </c>
      <c r="T6892" t="s">
        <v>46428</v>
      </c>
      <c r="U6892" t="s">
        <v>52723</v>
      </c>
      <c r="W6892" t="s">
        <v>40862</v>
      </c>
      <c r="X6892" t="s">
        <v>44768</v>
      </c>
    </row>
    <row r="6893" spans="1:24">
      <c r="A6893">
        <f>HYPERLINK("https://www.philgeps.gov.ph/GEPSNONPILOT/Tender/SplashBidNoticeAbstractUI.aspx?menuIndex=3&amp;refID=7142669&amp;Result=3","7142669")</f>
        <v>0</v>
      </c>
      <c r="B6893" t="s">
        <v>2409</v>
      </c>
      <c r="C6893" t="s">
        <v>10294</v>
      </c>
      <c r="D6893" t="s">
        <v>18038</v>
      </c>
      <c r="E6893" t="s">
        <v>24091</v>
      </c>
      <c r="F6893" t="s">
        <v>30900</v>
      </c>
      <c r="G6893" t="s">
        <v>30907</v>
      </c>
      <c r="H6893" t="s">
        <v>30916</v>
      </c>
      <c r="I6893" t="s">
        <v>30932</v>
      </c>
      <c r="J6893" t="s">
        <v>31153</v>
      </c>
      <c r="K6893" t="s">
        <v>40283</v>
      </c>
      <c r="M6893" t="s">
        <v>43136</v>
      </c>
      <c r="N6893" t="s">
        <v>44759</v>
      </c>
      <c r="O6893" t="s">
        <v>44760</v>
      </c>
      <c r="P6893">
        <v>0</v>
      </c>
      <c r="Q6893">
        <v>3</v>
      </c>
      <c r="R6893" t="s">
        <v>44767</v>
      </c>
      <c r="S6893" t="s">
        <v>44954</v>
      </c>
      <c r="T6893" t="s">
        <v>46403</v>
      </c>
      <c r="U6893" t="s">
        <v>52724</v>
      </c>
      <c r="W6893" t="s">
        <v>43136</v>
      </c>
      <c r="X6893" t="s">
        <v>44768</v>
      </c>
    </row>
    <row r="6894" spans="1:24">
      <c r="A6894">
        <f>HYPERLINK("https://www.philgeps.gov.ph/GEPSNONPILOT/Tender/SplashBidNoticeAbstractUI.aspx?menuIndex=3&amp;refID=7142663&amp;Result=3","7142663")</f>
        <v>0</v>
      </c>
      <c r="B6894" t="s">
        <v>2388</v>
      </c>
      <c r="C6894" t="s">
        <v>10295</v>
      </c>
      <c r="D6894" t="s">
        <v>17960</v>
      </c>
      <c r="E6894" t="s">
        <v>24092</v>
      </c>
      <c r="F6894" t="s">
        <v>30900</v>
      </c>
      <c r="G6894" t="s">
        <v>30907</v>
      </c>
      <c r="H6894" t="s">
        <v>30916</v>
      </c>
      <c r="I6894" t="s">
        <v>30933</v>
      </c>
      <c r="J6894" t="s">
        <v>35464</v>
      </c>
      <c r="K6894" t="s">
        <v>40292</v>
      </c>
      <c r="M6894" t="s">
        <v>43114</v>
      </c>
      <c r="N6894" t="s">
        <v>44759</v>
      </c>
      <c r="O6894" t="s">
        <v>44760</v>
      </c>
      <c r="P6894">
        <v>0</v>
      </c>
      <c r="Q6894">
        <v>0</v>
      </c>
      <c r="R6894" t="s">
        <v>44767</v>
      </c>
      <c r="S6894" t="s">
        <v>44954</v>
      </c>
      <c r="T6894" t="s">
        <v>46533</v>
      </c>
      <c r="U6894" t="s">
        <v>52663</v>
      </c>
      <c r="V6894" t="s">
        <v>59858</v>
      </c>
      <c r="W6894" t="s">
        <v>43114</v>
      </c>
      <c r="X6894" t="s">
        <v>44768</v>
      </c>
    </row>
    <row r="6895" spans="1:24">
      <c r="A6895">
        <f>HYPERLINK("https://www.philgeps.gov.ph/GEPSNONPILOT/Tender/SplashBidNoticeAbstractUI.aspx?menuIndex=3&amp;refID=7142657&amp;Result=3","7142657")</f>
        <v>0</v>
      </c>
      <c r="B6895" t="s">
        <v>2410</v>
      </c>
      <c r="C6895" t="s">
        <v>10296</v>
      </c>
      <c r="D6895" t="s">
        <v>17990</v>
      </c>
      <c r="E6895" t="s">
        <v>24093</v>
      </c>
      <c r="F6895" t="s">
        <v>30900</v>
      </c>
      <c r="G6895" t="s">
        <v>30907</v>
      </c>
      <c r="H6895" t="s">
        <v>30916</v>
      </c>
      <c r="I6895" t="s">
        <v>30923</v>
      </c>
      <c r="J6895" t="s">
        <v>35465</v>
      </c>
      <c r="K6895" t="s">
        <v>40284</v>
      </c>
      <c r="M6895" t="s">
        <v>43137</v>
      </c>
      <c r="N6895" t="s">
        <v>44759</v>
      </c>
      <c r="O6895" t="s">
        <v>44760</v>
      </c>
      <c r="P6895">
        <v>0</v>
      </c>
      <c r="Q6895">
        <v>7</v>
      </c>
      <c r="R6895" t="s">
        <v>44767</v>
      </c>
      <c r="S6895" t="s">
        <v>44954</v>
      </c>
      <c r="T6895" t="s">
        <v>46533</v>
      </c>
      <c r="U6895" t="s">
        <v>52725</v>
      </c>
      <c r="W6895" t="s">
        <v>43137</v>
      </c>
      <c r="X6895" t="s">
        <v>44768</v>
      </c>
    </row>
    <row r="6896" spans="1:24">
      <c r="A6896">
        <f>HYPERLINK("https://www.philgeps.gov.ph/GEPSNONPILOT/Tender/SplashBidNoticeAbstractUI.aspx?menuIndex=3&amp;refID=7142634&amp;Result=3","7142634")</f>
        <v>0</v>
      </c>
      <c r="B6896" t="s">
        <v>2389</v>
      </c>
      <c r="C6896" t="s">
        <v>10297</v>
      </c>
      <c r="D6896" t="s">
        <v>17994</v>
      </c>
      <c r="E6896" t="s">
        <v>24094</v>
      </c>
      <c r="F6896" t="s">
        <v>30900</v>
      </c>
      <c r="G6896" t="s">
        <v>30908</v>
      </c>
      <c r="H6896" t="s">
        <v>30916</v>
      </c>
      <c r="I6896" t="s">
        <v>4061</v>
      </c>
      <c r="J6896" t="s">
        <v>32016</v>
      </c>
      <c r="K6896" t="s">
        <v>40286</v>
      </c>
      <c r="M6896" t="s">
        <v>43115</v>
      </c>
      <c r="N6896" t="s">
        <v>44759</v>
      </c>
      <c r="O6896" t="s">
        <v>44760</v>
      </c>
      <c r="P6896">
        <v>0</v>
      </c>
      <c r="Q6896">
        <v>3</v>
      </c>
      <c r="R6896" t="s">
        <v>44767</v>
      </c>
      <c r="S6896" t="s">
        <v>44954</v>
      </c>
      <c r="T6896" t="s">
        <v>46531</v>
      </c>
      <c r="U6896" t="s">
        <v>52726</v>
      </c>
      <c r="W6896" t="s">
        <v>43115</v>
      </c>
      <c r="X6896" t="s">
        <v>44768</v>
      </c>
    </row>
    <row r="6897" spans="1:24">
      <c r="A6897">
        <f>HYPERLINK("https://www.philgeps.gov.ph/GEPSNONPILOT/Tender/SplashBidNoticeAbstractUI.aspx?menuIndex=3&amp;refID=7142652&amp;Result=3","7142652")</f>
        <v>0</v>
      </c>
      <c r="B6897" t="s">
        <v>2411</v>
      </c>
      <c r="C6897" t="s">
        <v>10298</v>
      </c>
      <c r="D6897" t="s">
        <v>17977</v>
      </c>
      <c r="E6897" t="s">
        <v>21088</v>
      </c>
      <c r="F6897" t="s">
        <v>30900</v>
      </c>
      <c r="G6897" t="s">
        <v>30907</v>
      </c>
      <c r="H6897" t="s">
        <v>30915</v>
      </c>
      <c r="I6897" t="s">
        <v>30919</v>
      </c>
      <c r="J6897" t="s">
        <v>35466</v>
      </c>
      <c r="K6897" t="s">
        <v>40293</v>
      </c>
      <c r="M6897" t="s">
        <v>43138</v>
      </c>
      <c r="N6897" t="s">
        <v>44759</v>
      </c>
      <c r="O6897" t="s">
        <v>44760</v>
      </c>
      <c r="P6897">
        <v>0</v>
      </c>
      <c r="Q6897">
        <v>0</v>
      </c>
      <c r="R6897" t="s">
        <v>44767</v>
      </c>
      <c r="S6897" t="s">
        <v>44954</v>
      </c>
      <c r="T6897" t="s">
        <v>46363</v>
      </c>
      <c r="U6897" t="s">
        <v>52727</v>
      </c>
      <c r="W6897" t="s">
        <v>43138</v>
      </c>
      <c r="X6897" t="s">
        <v>44768</v>
      </c>
    </row>
    <row r="6898" spans="1:24">
      <c r="A6898">
        <f>HYPERLINK("https://www.philgeps.gov.ph/GEPSNONPILOT/Tender/SplashBidNoticeAbstractUI.aspx?menuIndex=3&amp;refID=7142670&amp;Result=3","7142670")</f>
        <v>0</v>
      </c>
      <c r="B6898" t="s">
        <v>1973</v>
      </c>
      <c r="C6898" t="s">
        <v>10299</v>
      </c>
      <c r="D6898" t="s">
        <v>18012</v>
      </c>
      <c r="E6898" t="s">
        <v>24095</v>
      </c>
      <c r="F6898" t="s">
        <v>30900</v>
      </c>
      <c r="G6898" t="s">
        <v>30907</v>
      </c>
      <c r="H6898" t="s">
        <v>30916</v>
      </c>
      <c r="I6898" t="s">
        <v>8123</v>
      </c>
      <c r="J6898" t="s">
        <v>35467</v>
      </c>
      <c r="K6898" t="s">
        <v>40284</v>
      </c>
      <c r="M6898" t="s">
        <v>42661</v>
      </c>
      <c r="N6898" t="s">
        <v>44759</v>
      </c>
      <c r="O6898" t="s">
        <v>44760</v>
      </c>
      <c r="P6898">
        <v>0</v>
      </c>
      <c r="Q6898">
        <v>1</v>
      </c>
      <c r="R6898" t="s">
        <v>44767</v>
      </c>
      <c r="S6898" t="s">
        <v>44954</v>
      </c>
      <c r="T6898" t="s">
        <v>46443</v>
      </c>
      <c r="U6898" t="s">
        <v>52728</v>
      </c>
      <c r="W6898" t="s">
        <v>42661</v>
      </c>
      <c r="X6898" t="s">
        <v>44768</v>
      </c>
    </row>
    <row r="6899" spans="1:24">
      <c r="A6899">
        <f>HYPERLINK("https://www.philgeps.gov.ph/GEPSNONPILOT/Tender/SplashBidNoticeAbstractUI.aspx?menuIndex=3&amp;refID=7142701&amp;Result=3","7142701")</f>
        <v>0</v>
      </c>
      <c r="B6899" t="s">
        <v>2412</v>
      </c>
      <c r="C6899" t="s">
        <v>10300</v>
      </c>
      <c r="D6899" t="s">
        <v>17951</v>
      </c>
      <c r="E6899" t="s">
        <v>18752</v>
      </c>
      <c r="F6899" t="s">
        <v>30900</v>
      </c>
      <c r="G6899" t="s">
        <v>30907</v>
      </c>
      <c r="H6899" t="s">
        <v>30916</v>
      </c>
      <c r="I6899" t="s">
        <v>8123</v>
      </c>
      <c r="J6899" t="s">
        <v>35468</v>
      </c>
      <c r="K6899" t="s">
        <v>40287</v>
      </c>
      <c r="L6899" t="s">
        <v>2412</v>
      </c>
      <c r="M6899" t="s">
        <v>43139</v>
      </c>
      <c r="N6899" t="s">
        <v>44759</v>
      </c>
      <c r="O6899" t="s">
        <v>44760</v>
      </c>
      <c r="P6899">
        <v>0</v>
      </c>
      <c r="Q6899">
        <v>0</v>
      </c>
      <c r="R6899" t="s">
        <v>44767</v>
      </c>
      <c r="S6899" t="s">
        <v>44954</v>
      </c>
      <c r="T6899" t="s">
        <v>46391</v>
      </c>
      <c r="U6899" t="s">
        <v>52729</v>
      </c>
      <c r="W6899" t="s">
        <v>43139</v>
      </c>
      <c r="X6899" t="s">
        <v>44768</v>
      </c>
    </row>
    <row r="6900" spans="1:24">
      <c r="A6900">
        <f>HYPERLINK("https://www.philgeps.gov.ph/GEPSNONPILOT/Tender/SplashBidNoticeAbstractUI.aspx?menuIndex=3&amp;refID=7142636&amp;Result=3","7142636")</f>
        <v>0</v>
      </c>
      <c r="B6900" t="s">
        <v>217</v>
      </c>
      <c r="C6900" t="s">
        <v>10301</v>
      </c>
      <c r="D6900" t="s">
        <v>17966</v>
      </c>
      <c r="E6900" t="s">
        <v>24096</v>
      </c>
      <c r="F6900" t="s">
        <v>30900</v>
      </c>
      <c r="G6900" t="s">
        <v>30908</v>
      </c>
      <c r="H6900" t="s">
        <v>30916</v>
      </c>
      <c r="I6900" t="s">
        <v>30926</v>
      </c>
      <c r="J6900" t="s">
        <v>35469</v>
      </c>
      <c r="K6900" t="s">
        <v>40284</v>
      </c>
      <c r="M6900" t="s">
        <v>40764</v>
      </c>
      <c r="N6900" t="s">
        <v>44759</v>
      </c>
      <c r="O6900" t="s">
        <v>44760</v>
      </c>
      <c r="P6900">
        <v>0</v>
      </c>
      <c r="Q6900">
        <v>1</v>
      </c>
      <c r="R6900" t="s">
        <v>44767</v>
      </c>
      <c r="S6900" t="s">
        <v>44954</v>
      </c>
      <c r="T6900" t="s">
        <v>46625</v>
      </c>
      <c r="U6900" t="s">
        <v>52730</v>
      </c>
      <c r="W6900" t="s">
        <v>40764</v>
      </c>
      <c r="X6900" t="s">
        <v>44768</v>
      </c>
    </row>
    <row r="6901" spans="1:24">
      <c r="A6901">
        <f>HYPERLINK("https://www.philgeps.gov.ph/GEPSNONPILOT/Tender/SplashBidNoticeAbstractUI.aspx?menuIndex=3&amp;refID=7142691&amp;Result=3","7142691")</f>
        <v>0</v>
      </c>
      <c r="B6901" t="s">
        <v>2409</v>
      </c>
      <c r="C6901" t="s">
        <v>10302</v>
      </c>
      <c r="D6901" t="s">
        <v>18038</v>
      </c>
      <c r="E6901" t="s">
        <v>18328</v>
      </c>
      <c r="F6901" t="s">
        <v>30900</v>
      </c>
      <c r="G6901" t="s">
        <v>30907</v>
      </c>
      <c r="H6901" t="s">
        <v>30916</v>
      </c>
      <c r="I6901" t="s">
        <v>8123</v>
      </c>
      <c r="J6901" t="s">
        <v>31407</v>
      </c>
      <c r="K6901" t="s">
        <v>40283</v>
      </c>
      <c r="M6901" t="s">
        <v>43136</v>
      </c>
      <c r="N6901" t="s">
        <v>44759</v>
      </c>
      <c r="O6901" t="s">
        <v>44760</v>
      </c>
      <c r="P6901">
        <v>0</v>
      </c>
      <c r="Q6901">
        <v>1</v>
      </c>
      <c r="R6901" t="s">
        <v>44767</v>
      </c>
      <c r="S6901" t="s">
        <v>44954</v>
      </c>
      <c r="T6901" t="s">
        <v>46403</v>
      </c>
      <c r="U6901" t="s">
        <v>52731</v>
      </c>
      <c r="W6901" t="s">
        <v>43136</v>
      </c>
      <c r="X6901" t="s">
        <v>44768</v>
      </c>
    </row>
    <row r="6902" spans="1:24">
      <c r="A6902">
        <f>HYPERLINK("https://www.philgeps.gov.ph/GEPSNONPILOT/Tender/SplashBidNoticeAbstractUI.aspx?menuIndex=3&amp;refID=7142664&amp;Result=3","7142664")</f>
        <v>0</v>
      </c>
      <c r="B6902" t="s">
        <v>2389</v>
      </c>
      <c r="C6902" t="s">
        <v>10303</v>
      </c>
      <c r="D6902" t="s">
        <v>17994</v>
      </c>
      <c r="E6902" t="s">
        <v>24097</v>
      </c>
      <c r="F6902" t="s">
        <v>30900</v>
      </c>
      <c r="G6902" t="s">
        <v>30908</v>
      </c>
      <c r="H6902" t="s">
        <v>30916</v>
      </c>
      <c r="I6902" t="s">
        <v>30936</v>
      </c>
      <c r="J6902" t="s">
        <v>33171</v>
      </c>
      <c r="K6902" t="s">
        <v>40293</v>
      </c>
      <c r="M6902" t="s">
        <v>43115</v>
      </c>
      <c r="N6902" t="s">
        <v>44759</v>
      </c>
      <c r="O6902" t="s">
        <v>44760</v>
      </c>
      <c r="P6902">
        <v>0</v>
      </c>
      <c r="Q6902">
        <v>1</v>
      </c>
      <c r="R6902" t="s">
        <v>44767</v>
      </c>
      <c r="S6902" t="s">
        <v>44954</v>
      </c>
      <c r="T6902" t="s">
        <v>46531</v>
      </c>
      <c r="U6902" t="s">
        <v>52732</v>
      </c>
      <c r="W6902" t="s">
        <v>43115</v>
      </c>
      <c r="X6902" t="s">
        <v>44768</v>
      </c>
    </row>
    <row r="6903" spans="1:24">
      <c r="A6903">
        <f>HYPERLINK("https://www.philgeps.gov.ph/GEPSNONPILOT/Tender/SplashBidNoticeAbstractUI.aspx?menuIndex=3&amp;refID=7142658&amp;Result=3","7142658")</f>
        <v>0</v>
      </c>
      <c r="B6903" t="s">
        <v>2394</v>
      </c>
      <c r="C6903" t="s">
        <v>10304</v>
      </c>
      <c r="D6903" t="s">
        <v>17987</v>
      </c>
      <c r="E6903" t="s">
        <v>24098</v>
      </c>
      <c r="F6903" t="s">
        <v>30900</v>
      </c>
      <c r="G6903" t="s">
        <v>30907</v>
      </c>
      <c r="H6903" t="s">
        <v>30915</v>
      </c>
      <c r="I6903" t="s">
        <v>30919</v>
      </c>
      <c r="J6903" t="s">
        <v>35470</v>
      </c>
      <c r="K6903" t="s">
        <v>40304</v>
      </c>
      <c r="M6903" t="s">
        <v>43120</v>
      </c>
      <c r="N6903" t="s">
        <v>44759</v>
      </c>
      <c r="O6903" t="s">
        <v>44760</v>
      </c>
      <c r="P6903">
        <v>0</v>
      </c>
      <c r="Q6903">
        <v>0</v>
      </c>
      <c r="R6903" t="s">
        <v>44767</v>
      </c>
      <c r="S6903" t="s">
        <v>44954</v>
      </c>
      <c r="T6903" t="s">
        <v>46363</v>
      </c>
      <c r="U6903" t="s">
        <v>52733</v>
      </c>
      <c r="W6903" t="s">
        <v>43120</v>
      </c>
      <c r="X6903" t="s">
        <v>44768</v>
      </c>
    </row>
    <row r="6904" spans="1:24">
      <c r="A6904">
        <f>HYPERLINK("https://www.philgeps.gov.ph/GEPSNONPILOT/Tender/SplashBidNoticeAbstractUI.aspx?menuIndex=3&amp;refID=7142655&amp;Result=3","7142655")</f>
        <v>0</v>
      </c>
      <c r="B6904" t="s">
        <v>2413</v>
      </c>
      <c r="C6904" t="s">
        <v>10305</v>
      </c>
      <c r="D6904" t="s">
        <v>17957</v>
      </c>
      <c r="E6904" t="s">
        <v>24099</v>
      </c>
      <c r="F6904" t="s">
        <v>30900</v>
      </c>
      <c r="G6904" t="s">
        <v>30906</v>
      </c>
      <c r="H6904" t="s">
        <v>30915</v>
      </c>
      <c r="I6904" t="s">
        <v>30919</v>
      </c>
      <c r="J6904" t="s">
        <v>31391</v>
      </c>
      <c r="K6904" t="s">
        <v>40293</v>
      </c>
      <c r="M6904" t="s">
        <v>43140</v>
      </c>
      <c r="N6904" t="s">
        <v>44759</v>
      </c>
      <c r="O6904" t="s">
        <v>44760</v>
      </c>
      <c r="P6904">
        <v>0</v>
      </c>
      <c r="Q6904">
        <v>0</v>
      </c>
      <c r="R6904" t="s">
        <v>44767</v>
      </c>
      <c r="S6904" t="s">
        <v>44954</v>
      </c>
      <c r="T6904" t="s">
        <v>46625</v>
      </c>
      <c r="U6904" t="s">
        <v>51740</v>
      </c>
      <c r="W6904" t="s">
        <v>43140</v>
      </c>
      <c r="X6904" t="s">
        <v>44768</v>
      </c>
    </row>
    <row r="6905" spans="1:24">
      <c r="A6905">
        <f>HYPERLINK("https://www.philgeps.gov.ph/GEPSNONPILOT/Tender/SplashBidNoticeAbstractUI.aspx?menuIndex=3&amp;refID=7142683&amp;Result=3","7142683")</f>
        <v>0</v>
      </c>
      <c r="B6905" t="s">
        <v>704</v>
      </c>
      <c r="C6905" t="s">
        <v>10306</v>
      </c>
      <c r="D6905" t="s">
        <v>17987</v>
      </c>
      <c r="E6905" t="s">
        <v>24100</v>
      </c>
      <c r="F6905" t="s">
        <v>30900</v>
      </c>
      <c r="G6905" t="s">
        <v>30908</v>
      </c>
      <c r="H6905" t="s">
        <v>30916</v>
      </c>
      <c r="I6905" t="s">
        <v>4061</v>
      </c>
      <c r="J6905" t="s">
        <v>35471</v>
      </c>
      <c r="K6905" t="s">
        <v>40283</v>
      </c>
      <c r="M6905" t="s">
        <v>42242</v>
      </c>
      <c r="N6905" t="s">
        <v>44759</v>
      </c>
      <c r="O6905" t="s">
        <v>44760</v>
      </c>
      <c r="P6905">
        <v>0</v>
      </c>
      <c r="Q6905">
        <v>0</v>
      </c>
      <c r="R6905" t="s">
        <v>44767</v>
      </c>
      <c r="S6905" t="s">
        <v>44954</v>
      </c>
      <c r="T6905" t="s">
        <v>46410</v>
      </c>
      <c r="U6905" t="s">
        <v>52734</v>
      </c>
      <c r="W6905" t="s">
        <v>42242</v>
      </c>
      <c r="X6905" t="s">
        <v>44768</v>
      </c>
    </row>
    <row r="6906" spans="1:24">
      <c r="A6906">
        <f>HYPERLINK("https://www.philgeps.gov.ph/GEPSNONPILOT/Tender/SplashBidNoticeAbstractUI.aspx?menuIndex=3&amp;refID=7142680&amp;Result=3","7142680")</f>
        <v>0</v>
      </c>
      <c r="B6906" t="s">
        <v>2254</v>
      </c>
      <c r="C6906" t="s">
        <v>10307</v>
      </c>
      <c r="D6906" t="s">
        <v>17959</v>
      </c>
      <c r="E6906" t="s">
        <v>24101</v>
      </c>
      <c r="F6906" t="s">
        <v>30900</v>
      </c>
      <c r="G6906" t="s">
        <v>30908</v>
      </c>
      <c r="H6906" t="s">
        <v>30916</v>
      </c>
      <c r="I6906" t="s">
        <v>9385</v>
      </c>
      <c r="J6906" t="s">
        <v>35472</v>
      </c>
      <c r="K6906" t="s">
        <v>40292</v>
      </c>
      <c r="M6906" t="s">
        <v>42966</v>
      </c>
      <c r="N6906" t="s">
        <v>44759</v>
      </c>
      <c r="O6906" t="s">
        <v>44760</v>
      </c>
      <c r="P6906">
        <v>0</v>
      </c>
      <c r="Q6906">
        <v>17</v>
      </c>
      <c r="R6906" t="s">
        <v>44767</v>
      </c>
      <c r="S6906" t="s">
        <v>44954</v>
      </c>
      <c r="T6906" t="s">
        <v>46591</v>
      </c>
      <c r="U6906" t="s">
        <v>52735</v>
      </c>
      <c r="W6906" t="s">
        <v>42966</v>
      </c>
      <c r="X6906" t="s">
        <v>44768</v>
      </c>
    </row>
    <row r="6907" spans="1:24">
      <c r="A6907">
        <f>HYPERLINK("https://www.philgeps.gov.ph/GEPSNONPILOT/Tender/SplashBidNoticeAbstractUI.aspx?menuIndex=3&amp;refID=7142696&amp;Result=3","7142696")</f>
        <v>0</v>
      </c>
      <c r="B6907" t="s">
        <v>1164</v>
      </c>
      <c r="C6907" t="s">
        <v>10308</v>
      </c>
      <c r="D6907" t="s">
        <v>17955</v>
      </c>
      <c r="E6907" t="s">
        <v>24102</v>
      </c>
      <c r="F6907" t="s">
        <v>30900</v>
      </c>
      <c r="G6907" t="s">
        <v>30908</v>
      </c>
      <c r="H6907" t="s">
        <v>30916</v>
      </c>
      <c r="I6907" t="s">
        <v>6746</v>
      </c>
      <c r="J6907" t="s">
        <v>35473</v>
      </c>
      <c r="K6907" t="s">
        <v>40289</v>
      </c>
      <c r="M6907" t="s">
        <v>43089</v>
      </c>
      <c r="N6907" t="s">
        <v>44759</v>
      </c>
      <c r="O6907" t="s">
        <v>44760</v>
      </c>
      <c r="P6907">
        <v>0</v>
      </c>
      <c r="Q6907">
        <v>0</v>
      </c>
      <c r="R6907" t="s">
        <v>44767</v>
      </c>
      <c r="S6907" t="s">
        <v>44954</v>
      </c>
      <c r="T6907" t="s">
        <v>46662</v>
      </c>
      <c r="U6907" t="s">
        <v>52736</v>
      </c>
      <c r="V6907" t="s">
        <v>59847</v>
      </c>
      <c r="W6907" t="s">
        <v>43089</v>
      </c>
      <c r="X6907" t="s">
        <v>44768</v>
      </c>
    </row>
    <row r="6908" spans="1:24">
      <c r="A6908">
        <f>HYPERLINK("https://www.philgeps.gov.ph/GEPSNONPILOT/Tender/SplashBidNoticeAbstractUI.aspx?menuIndex=3&amp;refID=7142692&amp;Result=3","7142692")</f>
        <v>0</v>
      </c>
      <c r="B6908" t="s">
        <v>2414</v>
      </c>
      <c r="C6908" t="s">
        <v>10309</v>
      </c>
      <c r="D6908" t="s">
        <v>17972</v>
      </c>
      <c r="E6908" t="s">
        <v>22344</v>
      </c>
      <c r="F6908" t="s">
        <v>30900</v>
      </c>
      <c r="G6908" t="s">
        <v>30907</v>
      </c>
      <c r="H6908" t="s">
        <v>30916</v>
      </c>
      <c r="I6908" t="s">
        <v>8123</v>
      </c>
      <c r="J6908" t="s">
        <v>35474</v>
      </c>
      <c r="K6908" t="s">
        <v>40288</v>
      </c>
      <c r="M6908" t="s">
        <v>43141</v>
      </c>
      <c r="N6908" t="s">
        <v>44759</v>
      </c>
      <c r="O6908" t="s">
        <v>44760</v>
      </c>
      <c r="P6908">
        <v>0</v>
      </c>
      <c r="Q6908">
        <v>0</v>
      </c>
      <c r="R6908" t="s">
        <v>44767</v>
      </c>
      <c r="S6908" t="s">
        <v>44954</v>
      </c>
      <c r="T6908" t="s">
        <v>46398</v>
      </c>
      <c r="U6908" t="s">
        <v>52737</v>
      </c>
      <c r="W6908" t="s">
        <v>43141</v>
      </c>
      <c r="X6908" t="s">
        <v>44768</v>
      </c>
    </row>
    <row r="6909" spans="1:24">
      <c r="A6909">
        <f>HYPERLINK("https://www.philgeps.gov.ph/GEPSNONPILOT/Tender/SplashBidNoticeAbstractUI.aspx?menuIndex=3&amp;refID=7142718&amp;Result=3","7142718")</f>
        <v>0</v>
      </c>
      <c r="B6909" t="s">
        <v>1164</v>
      </c>
      <c r="C6909" t="s">
        <v>10310</v>
      </c>
      <c r="D6909" t="s">
        <v>17955</v>
      </c>
      <c r="E6909" t="s">
        <v>24103</v>
      </c>
      <c r="F6909" t="s">
        <v>30900</v>
      </c>
      <c r="G6909" t="s">
        <v>30908</v>
      </c>
      <c r="H6909" t="s">
        <v>30916</v>
      </c>
      <c r="I6909" t="s">
        <v>6746</v>
      </c>
      <c r="J6909" t="s">
        <v>35475</v>
      </c>
      <c r="K6909" t="s">
        <v>40289</v>
      </c>
      <c r="M6909" t="s">
        <v>43089</v>
      </c>
      <c r="N6909" t="s">
        <v>44759</v>
      </c>
      <c r="O6909" t="s">
        <v>44760</v>
      </c>
      <c r="P6909">
        <v>0</v>
      </c>
      <c r="Q6909">
        <v>0</v>
      </c>
      <c r="R6909" t="s">
        <v>44767</v>
      </c>
      <c r="S6909" t="s">
        <v>44954</v>
      </c>
      <c r="T6909" t="s">
        <v>46662</v>
      </c>
      <c r="U6909" t="s">
        <v>52738</v>
      </c>
      <c r="V6909" t="s">
        <v>59847</v>
      </c>
      <c r="W6909" t="s">
        <v>43089</v>
      </c>
      <c r="X6909" t="s">
        <v>44768</v>
      </c>
    </row>
    <row r="6910" spans="1:24">
      <c r="A6910">
        <f>HYPERLINK("https://www.philgeps.gov.ph/GEPSNONPILOT/Tender/SplashBidNoticeAbstractUI.aspx?menuIndex=3&amp;refID=7142705&amp;Result=3","7142705")</f>
        <v>0</v>
      </c>
      <c r="B6910" t="s">
        <v>1430</v>
      </c>
      <c r="C6910" t="s">
        <v>10311</v>
      </c>
      <c r="D6910" t="s">
        <v>17985</v>
      </c>
      <c r="E6910" t="s">
        <v>24104</v>
      </c>
      <c r="F6910" t="s">
        <v>30900</v>
      </c>
      <c r="G6910" t="s">
        <v>30909</v>
      </c>
      <c r="H6910" t="s">
        <v>30916</v>
      </c>
      <c r="I6910" t="s">
        <v>30940</v>
      </c>
      <c r="J6910" t="s">
        <v>35476</v>
      </c>
      <c r="K6910" t="s">
        <v>40285</v>
      </c>
      <c r="M6910" t="s">
        <v>42062</v>
      </c>
      <c r="N6910" t="s">
        <v>44759</v>
      </c>
      <c r="O6910" t="s">
        <v>44760</v>
      </c>
      <c r="P6910">
        <v>0</v>
      </c>
      <c r="Q6910">
        <v>0</v>
      </c>
      <c r="R6910" t="s">
        <v>44767</v>
      </c>
      <c r="S6910" t="s">
        <v>44954</v>
      </c>
      <c r="T6910" t="s">
        <v>46658</v>
      </c>
      <c r="U6910" t="s">
        <v>52739</v>
      </c>
      <c r="V6910" t="s">
        <v>59556</v>
      </c>
      <c r="W6910" t="s">
        <v>42062</v>
      </c>
      <c r="X6910" t="s">
        <v>44768</v>
      </c>
    </row>
    <row r="6911" spans="1:24">
      <c r="A6911">
        <f>HYPERLINK("https://www.philgeps.gov.ph/GEPSNONPILOT/Tender/SplashBidNoticeAbstractUI.aspx?menuIndex=3&amp;refID=7142702&amp;Result=3","7142702")</f>
        <v>0</v>
      </c>
      <c r="B6911" t="s">
        <v>1534</v>
      </c>
      <c r="C6911" t="s">
        <v>10312</v>
      </c>
      <c r="D6911" t="s">
        <v>18004</v>
      </c>
      <c r="E6911" t="s">
        <v>24105</v>
      </c>
      <c r="F6911" t="s">
        <v>30900</v>
      </c>
      <c r="G6911" t="s">
        <v>30908</v>
      </c>
      <c r="H6911" t="s">
        <v>30916</v>
      </c>
      <c r="I6911" t="s">
        <v>4545</v>
      </c>
      <c r="J6911" t="s">
        <v>31501</v>
      </c>
      <c r="K6911" t="s">
        <v>40287</v>
      </c>
      <c r="M6911" t="s">
        <v>42177</v>
      </c>
      <c r="N6911" t="s">
        <v>44759</v>
      </c>
      <c r="O6911" t="s">
        <v>44760</v>
      </c>
      <c r="P6911">
        <v>0</v>
      </c>
      <c r="Q6911">
        <v>1</v>
      </c>
      <c r="R6911" t="s">
        <v>44767</v>
      </c>
      <c r="S6911" t="s">
        <v>44954</v>
      </c>
      <c r="T6911" t="s">
        <v>46574</v>
      </c>
      <c r="U6911" t="s">
        <v>52740</v>
      </c>
      <c r="W6911" t="s">
        <v>42177</v>
      </c>
      <c r="X6911" t="s">
        <v>44768</v>
      </c>
    </row>
    <row r="6912" spans="1:24">
      <c r="A6912">
        <f>HYPERLINK("https://www.philgeps.gov.ph/GEPSNONPILOT/Tender/SplashBidNoticeAbstractUI.aspx?menuIndex=3&amp;refID=7142678&amp;Result=3","7142678")</f>
        <v>0</v>
      </c>
      <c r="B6912" t="s">
        <v>1109</v>
      </c>
      <c r="C6912" t="s">
        <v>10313</v>
      </c>
      <c r="D6912" t="s">
        <v>17959</v>
      </c>
      <c r="E6912" t="s">
        <v>24106</v>
      </c>
      <c r="F6912" t="s">
        <v>30900</v>
      </c>
      <c r="G6912" t="s">
        <v>30908</v>
      </c>
      <c r="H6912" t="s">
        <v>30916</v>
      </c>
      <c r="I6912" t="s">
        <v>6396</v>
      </c>
      <c r="J6912" t="s">
        <v>35477</v>
      </c>
      <c r="K6912" t="s">
        <v>40286</v>
      </c>
      <c r="M6912" t="s">
        <v>42623</v>
      </c>
      <c r="N6912" t="s">
        <v>44759</v>
      </c>
      <c r="O6912" t="s">
        <v>44760</v>
      </c>
      <c r="P6912">
        <v>0</v>
      </c>
      <c r="Q6912">
        <v>5</v>
      </c>
      <c r="R6912" t="s">
        <v>44767</v>
      </c>
      <c r="S6912" t="s">
        <v>44954</v>
      </c>
      <c r="T6912" t="s">
        <v>46686</v>
      </c>
      <c r="U6912" t="s">
        <v>51412</v>
      </c>
      <c r="W6912" t="s">
        <v>42623</v>
      </c>
      <c r="X6912" t="s">
        <v>44768</v>
      </c>
    </row>
    <row r="6913" spans="1:24">
      <c r="A6913">
        <f>HYPERLINK("https://www.philgeps.gov.ph/GEPSNONPILOT/Tender/SplashBidNoticeAbstractUI.aspx?menuIndex=3&amp;refID=7142721&amp;Result=3","7142721")</f>
        <v>0</v>
      </c>
      <c r="B6913" t="s">
        <v>2394</v>
      </c>
      <c r="C6913" t="s">
        <v>10314</v>
      </c>
      <c r="D6913" t="s">
        <v>17987</v>
      </c>
      <c r="E6913" t="s">
        <v>24107</v>
      </c>
      <c r="F6913" t="s">
        <v>30900</v>
      </c>
      <c r="G6913" t="s">
        <v>30907</v>
      </c>
      <c r="H6913" t="s">
        <v>30915</v>
      </c>
      <c r="I6913" t="s">
        <v>30919</v>
      </c>
      <c r="J6913" t="s">
        <v>31241</v>
      </c>
      <c r="K6913" t="s">
        <v>40304</v>
      </c>
      <c r="M6913" t="s">
        <v>43120</v>
      </c>
      <c r="N6913" t="s">
        <v>44759</v>
      </c>
      <c r="O6913" t="s">
        <v>44760</v>
      </c>
      <c r="P6913">
        <v>0</v>
      </c>
      <c r="Q6913">
        <v>0</v>
      </c>
      <c r="R6913" t="s">
        <v>44767</v>
      </c>
      <c r="S6913" t="s">
        <v>44954</v>
      </c>
      <c r="T6913" t="s">
        <v>46363</v>
      </c>
      <c r="U6913" t="s">
        <v>52741</v>
      </c>
      <c r="W6913" t="s">
        <v>43120</v>
      </c>
      <c r="X6913" t="s">
        <v>44768</v>
      </c>
    </row>
    <row r="6914" spans="1:24">
      <c r="A6914">
        <f>HYPERLINK("https://www.philgeps.gov.ph/GEPSNONPILOT/Tender/SplashBidNoticeAbstractUI.aspx?menuIndex=3&amp;refID=7142685&amp;Result=3","7142685")</f>
        <v>0</v>
      </c>
      <c r="B6914" t="s">
        <v>285</v>
      </c>
      <c r="C6914" t="s">
        <v>10315</v>
      </c>
      <c r="E6914" t="s">
        <v>18517</v>
      </c>
      <c r="F6914" t="s">
        <v>30900</v>
      </c>
      <c r="G6914" t="s">
        <v>30907</v>
      </c>
      <c r="H6914" t="s">
        <v>30915</v>
      </c>
      <c r="I6914" t="s">
        <v>30925</v>
      </c>
      <c r="J6914" t="s">
        <v>35478</v>
      </c>
      <c r="K6914" t="s">
        <v>40289</v>
      </c>
      <c r="M6914" t="s">
        <v>40833</v>
      </c>
      <c r="N6914" t="s">
        <v>44759</v>
      </c>
      <c r="O6914" t="s">
        <v>44760</v>
      </c>
      <c r="P6914">
        <v>0</v>
      </c>
      <c r="Q6914">
        <v>1</v>
      </c>
      <c r="R6914" t="s">
        <v>44767</v>
      </c>
      <c r="S6914" t="s">
        <v>44954</v>
      </c>
      <c r="T6914" t="s">
        <v>46531</v>
      </c>
      <c r="U6914" t="s">
        <v>52742</v>
      </c>
      <c r="W6914" t="s">
        <v>40833</v>
      </c>
      <c r="X6914" t="s">
        <v>44768</v>
      </c>
    </row>
    <row r="6915" spans="1:24">
      <c r="A6915">
        <f>HYPERLINK("https://www.philgeps.gov.ph/GEPSNONPILOT/Tender/SplashBidNoticeAbstractUI.aspx?menuIndex=3&amp;refID=7142704&amp;Result=3","7142704")</f>
        <v>0</v>
      </c>
      <c r="B6915" t="s">
        <v>461</v>
      </c>
      <c r="C6915" t="s">
        <v>10316</v>
      </c>
      <c r="D6915" t="s">
        <v>17977</v>
      </c>
      <c r="E6915" t="s">
        <v>24108</v>
      </c>
      <c r="F6915" t="s">
        <v>30900</v>
      </c>
      <c r="G6915" t="s">
        <v>30907</v>
      </c>
      <c r="H6915" t="s">
        <v>30916</v>
      </c>
      <c r="I6915" t="s">
        <v>4004</v>
      </c>
      <c r="J6915" t="s">
        <v>33787</v>
      </c>
      <c r="K6915" t="s">
        <v>40289</v>
      </c>
      <c r="M6915" t="s">
        <v>41019</v>
      </c>
      <c r="N6915" t="s">
        <v>44759</v>
      </c>
      <c r="O6915" t="s">
        <v>44760</v>
      </c>
      <c r="P6915">
        <v>0</v>
      </c>
      <c r="Q6915">
        <v>11</v>
      </c>
      <c r="R6915" t="s">
        <v>44767</v>
      </c>
      <c r="S6915" t="s">
        <v>44954</v>
      </c>
      <c r="T6915" t="s">
        <v>46433</v>
      </c>
      <c r="U6915" t="s">
        <v>52743</v>
      </c>
      <c r="W6915" t="s">
        <v>41019</v>
      </c>
      <c r="X6915" t="s">
        <v>44768</v>
      </c>
    </row>
    <row r="6916" spans="1:24">
      <c r="A6916">
        <f>HYPERLINK("https://www.philgeps.gov.ph/GEPSNONPILOT/Tender/SplashBidNoticeAbstractUI.aspx?menuIndex=3&amp;refID=7142706&amp;Result=3","7142706")</f>
        <v>0</v>
      </c>
      <c r="B6916" t="s">
        <v>2359</v>
      </c>
      <c r="C6916" t="s">
        <v>10317</v>
      </c>
      <c r="D6916" t="s">
        <v>18022</v>
      </c>
      <c r="E6916" t="s">
        <v>24109</v>
      </c>
      <c r="F6916" t="s">
        <v>30900</v>
      </c>
      <c r="G6916" t="s">
        <v>30907</v>
      </c>
      <c r="H6916" t="s">
        <v>30915</v>
      </c>
      <c r="I6916" t="s">
        <v>30919</v>
      </c>
      <c r="J6916" t="s">
        <v>35479</v>
      </c>
      <c r="K6916" t="s">
        <v>40289</v>
      </c>
      <c r="M6916" t="s">
        <v>43083</v>
      </c>
      <c r="N6916" t="s">
        <v>44759</v>
      </c>
      <c r="O6916" t="s">
        <v>44760</v>
      </c>
      <c r="P6916">
        <v>0</v>
      </c>
      <c r="Q6916">
        <v>1</v>
      </c>
      <c r="R6916" t="s">
        <v>44767</v>
      </c>
      <c r="S6916" t="s">
        <v>44954</v>
      </c>
      <c r="T6916" t="s">
        <v>46533</v>
      </c>
      <c r="U6916" t="s">
        <v>52744</v>
      </c>
      <c r="W6916" t="s">
        <v>60888</v>
      </c>
      <c r="X6916" t="s">
        <v>44768</v>
      </c>
    </row>
    <row r="6917" spans="1:24">
      <c r="A6917">
        <f>HYPERLINK("https://www.philgeps.gov.ph/GEPSNONPILOT/Tender/SplashBidNoticeAbstractUI.aspx?menuIndex=3&amp;refID=7142748&amp;Result=3","7142748")</f>
        <v>0</v>
      </c>
      <c r="B6917" t="s">
        <v>1164</v>
      </c>
      <c r="C6917" t="s">
        <v>10318</v>
      </c>
      <c r="D6917" t="s">
        <v>17955</v>
      </c>
      <c r="E6917" t="s">
        <v>24110</v>
      </c>
      <c r="F6917" t="s">
        <v>30900</v>
      </c>
      <c r="G6917" t="s">
        <v>30908</v>
      </c>
      <c r="H6917" t="s">
        <v>30916</v>
      </c>
      <c r="I6917" t="s">
        <v>6746</v>
      </c>
      <c r="J6917" t="s">
        <v>35480</v>
      </c>
      <c r="K6917" t="s">
        <v>40289</v>
      </c>
      <c r="M6917" t="s">
        <v>43089</v>
      </c>
      <c r="N6917" t="s">
        <v>44759</v>
      </c>
      <c r="O6917" t="s">
        <v>44760</v>
      </c>
      <c r="P6917">
        <v>0</v>
      </c>
      <c r="Q6917">
        <v>0</v>
      </c>
      <c r="R6917" t="s">
        <v>44767</v>
      </c>
      <c r="S6917" t="s">
        <v>44954</v>
      </c>
      <c r="T6917" t="s">
        <v>46662</v>
      </c>
      <c r="U6917" t="s">
        <v>52745</v>
      </c>
      <c r="V6917" t="s">
        <v>59847</v>
      </c>
      <c r="W6917" t="s">
        <v>43089</v>
      </c>
      <c r="X6917" t="s">
        <v>44768</v>
      </c>
    </row>
    <row r="6918" spans="1:24">
      <c r="A6918">
        <f>HYPERLINK("https://www.philgeps.gov.ph/GEPSNONPILOT/Tender/SplashBidNoticeAbstractUI.aspx?menuIndex=3&amp;refID=7142747&amp;Result=3","7142747")</f>
        <v>0</v>
      </c>
      <c r="B6918" t="s">
        <v>1973</v>
      </c>
      <c r="C6918" t="s">
        <v>10319</v>
      </c>
      <c r="D6918" t="s">
        <v>18012</v>
      </c>
      <c r="E6918" t="s">
        <v>24111</v>
      </c>
      <c r="F6918" t="s">
        <v>30900</v>
      </c>
      <c r="G6918" t="s">
        <v>30907</v>
      </c>
      <c r="H6918" t="s">
        <v>30916</v>
      </c>
      <c r="I6918" t="s">
        <v>4142</v>
      </c>
      <c r="J6918" t="s">
        <v>31583</v>
      </c>
      <c r="K6918" t="s">
        <v>40284</v>
      </c>
      <c r="M6918" t="s">
        <v>42661</v>
      </c>
      <c r="N6918" t="s">
        <v>44759</v>
      </c>
      <c r="O6918" t="s">
        <v>44760</v>
      </c>
      <c r="P6918">
        <v>0</v>
      </c>
      <c r="Q6918">
        <v>0</v>
      </c>
      <c r="R6918" t="s">
        <v>44767</v>
      </c>
      <c r="S6918" t="s">
        <v>44954</v>
      </c>
      <c r="T6918" t="s">
        <v>46443</v>
      </c>
      <c r="U6918" t="s">
        <v>52746</v>
      </c>
      <c r="W6918" t="s">
        <v>42661</v>
      </c>
      <c r="X6918" t="s">
        <v>44768</v>
      </c>
    </row>
    <row r="6919" spans="1:24">
      <c r="A6919">
        <f>HYPERLINK("https://www.philgeps.gov.ph/GEPSNONPILOT/Tender/SplashBidNoticeAbstractUI.aspx?menuIndex=3&amp;refID=7142650&amp;Result=3","7142650")</f>
        <v>0</v>
      </c>
      <c r="B6919" t="s">
        <v>2415</v>
      </c>
      <c r="C6919" t="s">
        <v>10320</v>
      </c>
      <c r="D6919" t="s">
        <v>17971</v>
      </c>
      <c r="E6919" t="s">
        <v>21316</v>
      </c>
      <c r="F6919" t="s">
        <v>30900</v>
      </c>
      <c r="G6919" t="s">
        <v>30907</v>
      </c>
      <c r="H6919" t="s">
        <v>30916</v>
      </c>
      <c r="I6919" t="s">
        <v>4050</v>
      </c>
      <c r="J6919" t="s">
        <v>31447</v>
      </c>
      <c r="K6919" t="s">
        <v>40287</v>
      </c>
      <c r="M6919" t="s">
        <v>43142</v>
      </c>
      <c r="N6919" t="s">
        <v>44759</v>
      </c>
      <c r="O6919" t="s">
        <v>44760</v>
      </c>
      <c r="P6919">
        <v>0</v>
      </c>
      <c r="Q6919">
        <v>2</v>
      </c>
      <c r="R6919" t="s">
        <v>44767</v>
      </c>
      <c r="S6919" t="s">
        <v>44954</v>
      </c>
      <c r="T6919" t="s">
        <v>46623</v>
      </c>
      <c r="U6919" t="s">
        <v>52747</v>
      </c>
      <c r="W6919" t="s">
        <v>43142</v>
      </c>
      <c r="X6919" t="s">
        <v>44768</v>
      </c>
    </row>
    <row r="6920" spans="1:24">
      <c r="A6920">
        <f>HYPERLINK("https://www.philgeps.gov.ph/GEPSNONPILOT/Tender/SplashBidNoticeAbstractUI.aspx?menuIndex=3&amp;refID=7142743&amp;Result=3","7142743")</f>
        <v>0</v>
      </c>
      <c r="B6920" t="s">
        <v>461</v>
      </c>
      <c r="C6920" t="s">
        <v>10321</v>
      </c>
      <c r="D6920" t="s">
        <v>17977</v>
      </c>
      <c r="E6920" t="s">
        <v>24112</v>
      </c>
      <c r="F6920" t="s">
        <v>30900</v>
      </c>
      <c r="G6920" t="s">
        <v>30907</v>
      </c>
      <c r="H6920" t="s">
        <v>30916</v>
      </c>
      <c r="I6920" t="s">
        <v>30924</v>
      </c>
      <c r="J6920" t="s">
        <v>35481</v>
      </c>
      <c r="K6920" t="s">
        <v>40289</v>
      </c>
      <c r="M6920" t="s">
        <v>41019</v>
      </c>
      <c r="N6920" t="s">
        <v>44759</v>
      </c>
      <c r="O6920" t="s">
        <v>44760</v>
      </c>
      <c r="P6920">
        <v>0</v>
      </c>
      <c r="Q6920">
        <v>4</v>
      </c>
      <c r="R6920" t="s">
        <v>44767</v>
      </c>
      <c r="S6920" t="s">
        <v>44954</v>
      </c>
      <c r="T6920" t="s">
        <v>46404</v>
      </c>
      <c r="U6920" t="s">
        <v>52748</v>
      </c>
      <c r="W6920" t="s">
        <v>41019</v>
      </c>
      <c r="X6920" t="s">
        <v>44768</v>
      </c>
    </row>
    <row r="6921" spans="1:24">
      <c r="A6921">
        <f>HYPERLINK("https://www.philgeps.gov.ph/GEPSNONPILOT/Tender/SplashBidNoticeAbstractUI.aspx?menuIndex=3&amp;refID=7142676&amp;Result=3","7142676")</f>
        <v>0</v>
      </c>
      <c r="B6921" t="s">
        <v>2416</v>
      </c>
      <c r="C6921" t="s">
        <v>10322</v>
      </c>
      <c r="D6921" t="s">
        <v>17993</v>
      </c>
      <c r="E6921" t="s">
        <v>24113</v>
      </c>
      <c r="F6921" t="s">
        <v>30900</v>
      </c>
      <c r="G6921" t="s">
        <v>30908</v>
      </c>
      <c r="H6921" t="s">
        <v>30916</v>
      </c>
      <c r="I6921" t="s">
        <v>30924</v>
      </c>
      <c r="J6921" t="s">
        <v>35482</v>
      </c>
      <c r="K6921" t="s">
        <v>40286</v>
      </c>
      <c r="M6921" t="s">
        <v>43143</v>
      </c>
      <c r="N6921" t="s">
        <v>44759</v>
      </c>
      <c r="O6921" t="s">
        <v>44760</v>
      </c>
      <c r="P6921">
        <v>0</v>
      </c>
      <c r="Q6921">
        <v>4</v>
      </c>
      <c r="R6921" t="s">
        <v>44767</v>
      </c>
      <c r="S6921" t="s">
        <v>44954</v>
      </c>
      <c r="T6921" t="s">
        <v>46533</v>
      </c>
      <c r="U6921" t="s">
        <v>52749</v>
      </c>
      <c r="V6921" t="s">
        <v>59866</v>
      </c>
      <c r="W6921" t="s">
        <v>43143</v>
      </c>
      <c r="X6921" t="s">
        <v>44768</v>
      </c>
    </row>
    <row r="6922" spans="1:24">
      <c r="A6922">
        <f>HYPERLINK("https://www.philgeps.gov.ph/GEPSNONPILOT/Tender/SplashBidNoticeAbstractUI.aspx?menuIndex=3&amp;refID=7142761&amp;Result=3","7142761")</f>
        <v>0</v>
      </c>
      <c r="B6922" t="s">
        <v>2360</v>
      </c>
      <c r="C6922" t="s">
        <v>10323</v>
      </c>
      <c r="D6922" t="s">
        <v>17977</v>
      </c>
      <c r="E6922" t="s">
        <v>24114</v>
      </c>
      <c r="F6922" t="s">
        <v>30900</v>
      </c>
      <c r="G6922" t="s">
        <v>30907</v>
      </c>
      <c r="H6922" t="s">
        <v>30916</v>
      </c>
      <c r="I6922" t="s">
        <v>7708</v>
      </c>
      <c r="J6922" t="s">
        <v>35483</v>
      </c>
      <c r="K6922" t="s">
        <v>40280</v>
      </c>
      <c r="M6922" t="s">
        <v>43084</v>
      </c>
      <c r="N6922" t="s">
        <v>44759</v>
      </c>
      <c r="O6922" t="s">
        <v>44760</v>
      </c>
      <c r="P6922">
        <v>0</v>
      </c>
      <c r="Q6922">
        <v>4</v>
      </c>
      <c r="R6922" t="s">
        <v>44767</v>
      </c>
      <c r="S6922" t="s">
        <v>44954</v>
      </c>
      <c r="T6922" t="s">
        <v>46592</v>
      </c>
      <c r="U6922" t="s">
        <v>52750</v>
      </c>
      <c r="V6922" t="s">
        <v>59856</v>
      </c>
      <c r="W6922" t="s">
        <v>43084</v>
      </c>
      <c r="X6922" t="s">
        <v>44768</v>
      </c>
    </row>
    <row r="6923" spans="1:24">
      <c r="A6923">
        <f>HYPERLINK("https://www.philgeps.gov.ph/GEPSNONPILOT/Tender/SplashBidNoticeAbstractUI.aspx?menuIndex=3&amp;refID=7142672&amp;Result=3","7142672")</f>
        <v>0</v>
      </c>
      <c r="B6923" t="s">
        <v>2369</v>
      </c>
      <c r="C6923" t="s">
        <v>10324</v>
      </c>
      <c r="D6923" t="s">
        <v>17985</v>
      </c>
      <c r="E6923" t="s">
        <v>24115</v>
      </c>
      <c r="F6923" t="s">
        <v>30900</v>
      </c>
      <c r="G6923" t="s">
        <v>30907</v>
      </c>
      <c r="H6923" t="s">
        <v>30916</v>
      </c>
      <c r="I6923" t="s">
        <v>8123</v>
      </c>
      <c r="J6923" t="s">
        <v>35484</v>
      </c>
      <c r="K6923" t="s">
        <v>40289</v>
      </c>
      <c r="M6923" t="s">
        <v>43095</v>
      </c>
      <c r="N6923" t="s">
        <v>44759</v>
      </c>
      <c r="O6923" t="s">
        <v>44760</v>
      </c>
      <c r="P6923">
        <v>0</v>
      </c>
      <c r="Q6923">
        <v>0</v>
      </c>
      <c r="R6923" t="s">
        <v>44767</v>
      </c>
      <c r="S6923" t="s">
        <v>44954</v>
      </c>
      <c r="T6923" t="s">
        <v>46395</v>
      </c>
      <c r="U6923" t="s">
        <v>52751</v>
      </c>
      <c r="W6923" t="s">
        <v>43095</v>
      </c>
      <c r="X6923" t="s">
        <v>44768</v>
      </c>
    </row>
    <row r="6924" spans="1:24">
      <c r="A6924">
        <f>HYPERLINK("https://www.philgeps.gov.ph/GEPSNONPILOT/Tender/SplashBidNoticeAbstractUI.aspx?menuIndex=3&amp;refID=7142725&amp;Result=3","7142725")</f>
        <v>0</v>
      </c>
      <c r="B6924" t="s">
        <v>217</v>
      </c>
      <c r="C6924" t="s">
        <v>10301</v>
      </c>
      <c r="D6924" t="s">
        <v>17966</v>
      </c>
      <c r="E6924" t="s">
        <v>24116</v>
      </c>
      <c r="F6924" t="s">
        <v>30900</v>
      </c>
      <c r="G6924" t="s">
        <v>30908</v>
      </c>
      <c r="H6924" t="s">
        <v>30916</v>
      </c>
      <c r="I6924" t="s">
        <v>30926</v>
      </c>
      <c r="J6924" t="s">
        <v>35485</v>
      </c>
      <c r="K6924" t="s">
        <v>40284</v>
      </c>
      <c r="M6924" t="s">
        <v>40764</v>
      </c>
      <c r="N6924" t="s">
        <v>44759</v>
      </c>
      <c r="O6924" t="s">
        <v>44760</v>
      </c>
      <c r="P6924">
        <v>0</v>
      </c>
      <c r="Q6924">
        <v>0</v>
      </c>
      <c r="R6924" t="s">
        <v>44767</v>
      </c>
      <c r="S6924" t="s">
        <v>44954</v>
      </c>
      <c r="T6924" t="s">
        <v>46625</v>
      </c>
      <c r="U6924" t="s">
        <v>52752</v>
      </c>
      <c r="W6924" t="s">
        <v>40764</v>
      </c>
      <c r="X6924" t="s">
        <v>44768</v>
      </c>
    </row>
    <row r="6925" spans="1:24">
      <c r="A6925">
        <f>HYPERLINK("https://www.philgeps.gov.ph/GEPSNONPILOT/Tender/SplashBidNoticeAbstractUI.aspx?menuIndex=3&amp;refID=7142756&amp;Result=3","7142756")</f>
        <v>0</v>
      </c>
      <c r="B6925" t="s">
        <v>2416</v>
      </c>
      <c r="C6925" t="s">
        <v>10325</v>
      </c>
      <c r="D6925" t="s">
        <v>17993</v>
      </c>
      <c r="E6925" t="s">
        <v>24117</v>
      </c>
      <c r="F6925" t="s">
        <v>30900</v>
      </c>
      <c r="G6925" t="s">
        <v>30908</v>
      </c>
      <c r="H6925" t="s">
        <v>30916</v>
      </c>
      <c r="I6925" t="s">
        <v>4108</v>
      </c>
      <c r="J6925" t="s">
        <v>35486</v>
      </c>
      <c r="K6925" t="s">
        <v>40286</v>
      </c>
      <c r="M6925" t="s">
        <v>43143</v>
      </c>
      <c r="N6925" t="s">
        <v>44759</v>
      </c>
      <c r="O6925" t="s">
        <v>44760</v>
      </c>
      <c r="P6925">
        <v>0</v>
      </c>
      <c r="Q6925">
        <v>3</v>
      </c>
      <c r="R6925" t="s">
        <v>44767</v>
      </c>
      <c r="S6925" t="s">
        <v>44954</v>
      </c>
      <c r="T6925" t="s">
        <v>46533</v>
      </c>
      <c r="U6925" t="s">
        <v>52749</v>
      </c>
      <c r="V6925" t="s">
        <v>59866</v>
      </c>
      <c r="W6925" t="s">
        <v>43143</v>
      </c>
      <c r="X6925" t="s">
        <v>44768</v>
      </c>
    </row>
    <row r="6926" spans="1:24">
      <c r="A6926">
        <f>HYPERLINK("https://www.philgeps.gov.ph/GEPSNONPILOT/Tender/SplashBidNoticeAbstractUI.aspx?menuIndex=3&amp;refID=7142752&amp;Result=3","7142752")</f>
        <v>0</v>
      </c>
      <c r="B6926" t="s">
        <v>2417</v>
      </c>
      <c r="C6926" t="s">
        <v>10326</v>
      </c>
      <c r="E6926" t="s">
        <v>23124</v>
      </c>
      <c r="F6926" t="s">
        <v>30900</v>
      </c>
      <c r="G6926" t="s">
        <v>30907</v>
      </c>
      <c r="H6926" t="s">
        <v>30916</v>
      </c>
      <c r="I6926" t="s">
        <v>30940</v>
      </c>
      <c r="J6926" t="s">
        <v>31101</v>
      </c>
      <c r="K6926" t="s">
        <v>40281</v>
      </c>
      <c r="M6926" t="s">
        <v>43144</v>
      </c>
      <c r="N6926" t="s">
        <v>44759</v>
      </c>
      <c r="O6926" t="s">
        <v>44760</v>
      </c>
      <c r="P6926">
        <v>0</v>
      </c>
      <c r="Q6926">
        <v>2</v>
      </c>
      <c r="R6926" t="s">
        <v>44767</v>
      </c>
      <c r="S6926" t="s">
        <v>44954</v>
      </c>
      <c r="T6926" t="s">
        <v>46533</v>
      </c>
      <c r="U6926" t="s">
        <v>52753</v>
      </c>
      <c r="V6926" t="s">
        <v>59867</v>
      </c>
      <c r="W6926" t="s">
        <v>43144</v>
      </c>
      <c r="X6926" t="s">
        <v>44768</v>
      </c>
    </row>
    <row r="6927" spans="1:24">
      <c r="A6927">
        <f>HYPERLINK("https://www.philgeps.gov.ph/GEPSNONPILOT/Tender/SplashBidNoticeAbstractUI.aspx?menuIndex=3&amp;refID=7142689&amp;Result=3","7142689")</f>
        <v>0</v>
      </c>
      <c r="B6927" t="s">
        <v>2418</v>
      </c>
      <c r="C6927" t="s">
        <v>10327</v>
      </c>
      <c r="D6927" t="s">
        <v>18022</v>
      </c>
      <c r="E6927" t="s">
        <v>24118</v>
      </c>
      <c r="F6927" t="s">
        <v>30900</v>
      </c>
      <c r="G6927" t="s">
        <v>30907</v>
      </c>
      <c r="H6927" t="s">
        <v>30916</v>
      </c>
      <c r="I6927" t="s">
        <v>4108</v>
      </c>
      <c r="J6927" t="s">
        <v>31070</v>
      </c>
      <c r="K6927" t="s">
        <v>40284</v>
      </c>
      <c r="M6927" t="s">
        <v>43145</v>
      </c>
      <c r="N6927" t="s">
        <v>44759</v>
      </c>
      <c r="O6927" t="s">
        <v>44760</v>
      </c>
      <c r="P6927">
        <v>0</v>
      </c>
      <c r="Q6927">
        <v>1</v>
      </c>
      <c r="R6927" t="s">
        <v>44767</v>
      </c>
      <c r="S6927" t="s">
        <v>44954</v>
      </c>
      <c r="T6927" t="s">
        <v>46623</v>
      </c>
      <c r="U6927" t="s">
        <v>52754</v>
      </c>
      <c r="V6927" t="s">
        <v>59868</v>
      </c>
      <c r="W6927" t="s">
        <v>43145</v>
      </c>
      <c r="X6927" t="s">
        <v>44768</v>
      </c>
    </row>
    <row r="6928" spans="1:24">
      <c r="A6928">
        <f>HYPERLINK("https://www.philgeps.gov.ph/GEPSNONPILOT/Tender/SplashBidNoticeAbstractUI.aspx?menuIndex=3&amp;refID=7142751&amp;Result=3","7142751")</f>
        <v>0</v>
      </c>
      <c r="B6928" t="s">
        <v>2419</v>
      </c>
      <c r="C6928" t="s">
        <v>10328</v>
      </c>
      <c r="D6928" t="s">
        <v>17987</v>
      </c>
      <c r="E6928" t="s">
        <v>24119</v>
      </c>
      <c r="F6928" t="s">
        <v>30900</v>
      </c>
      <c r="G6928" t="s">
        <v>30907</v>
      </c>
      <c r="H6928" t="s">
        <v>30915</v>
      </c>
      <c r="I6928" t="s">
        <v>30919</v>
      </c>
      <c r="J6928" t="s">
        <v>31172</v>
      </c>
      <c r="K6928" t="s">
        <v>40292</v>
      </c>
      <c r="M6928" t="s">
        <v>43146</v>
      </c>
      <c r="N6928" t="s">
        <v>44759</v>
      </c>
      <c r="O6928" t="s">
        <v>44760</v>
      </c>
      <c r="P6928">
        <v>0</v>
      </c>
      <c r="Q6928">
        <v>0</v>
      </c>
      <c r="R6928" t="s">
        <v>44767</v>
      </c>
      <c r="S6928" t="s">
        <v>44954</v>
      </c>
      <c r="T6928" t="s">
        <v>46709</v>
      </c>
      <c r="U6928" t="s">
        <v>52755</v>
      </c>
      <c r="V6928" t="s">
        <v>59869</v>
      </c>
      <c r="W6928" t="s">
        <v>43146</v>
      </c>
      <c r="X6928" t="s">
        <v>44768</v>
      </c>
    </row>
    <row r="6929" spans="1:24">
      <c r="A6929">
        <f>HYPERLINK("https://www.philgeps.gov.ph/GEPSNONPILOT/Tender/SplashBidNoticeAbstractUI.aspx?menuIndex=3&amp;refID=7142750&amp;Result=3","7142750")</f>
        <v>0</v>
      </c>
      <c r="B6929" t="s">
        <v>2420</v>
      </c>
      <c r="C6929" t="s">
        <v>10329</v>
      </c>
      <c r="D6929" t="s">
        <v>17988</v>
      </c>
      <c r="E6929" t="s">
        <v>24120</v>
      </c>
      <c r="F6929" t="s">
        <v>30900</v>
      </c>
      <c r="G6929" t="s">
        <v>30908</v>
      </c>
      <c r="H6929" t="s">
        <v>30916</v>
      </c>
      <c r="I6929" t="s">
        <v>30983</v>
      </c>
      <c r="J6929" t="s">
        <v>31382</v>
      </c>
      <c r="K6929" t="s">
        <v>40283</v>
      </c>
      <c r="M6929" t="s">
        <v>43147</v>
      </c>
      <c r="N6929" t="s">
        <v>44759</v>
      </c>
      <c r="O6929" t="s">
        <v>44760</v>
      </c>
      <c r="P6929">
        <v>0</v>
      </c>
      <c r="Q6929">
        <v>0</v>
      </c>
      <c r="R6929" t="s">
        <v>44767</v>
      </c>
      <c r="S6929" t="s">
        <v>44954</v>
      </c>
      <c r="T6929" t="s">
        <v>46403</v>
      </c>
      <c r="U6929" t="s">
        <v>52756</v>
      </c>
      <c r="W6929" t="s">
        <v>43177</v>
      </c>
      <c r="X6929" t="s">
        <v>44768</v>
      </c>
    </row>
    <row r="6930" spans="1:24">
      <c r="A6930">
        <f>HYPERLINK("https://www.philgeps.gov.ph/GEPSNONPILOT/Tender/SplashBidNoticeAbstractUI.aspx?menuIndex=3&amp;refID=7142673&amp;Result=3","7142673")</f>
        <v>0</v>
      </c>
      <c r="B6930" t="s">
        <v>81</v>
      </c>
      <c r="C6930" t="s">
        <v>10330</v>
      </c>
      <c r="D6930" t="s">
        <v>17959</v>
      </c>
      <c r="E6930" t="s">
        <v>19347</v>
      </c>
      <c r="F6930" t="s">
        <v>30900</v>
      </c>
      <c r="G6930" t="s">
        <v>30910</v>
      </c>
      <c r="H6930" t="s">
        <v>30916</v>
      </c>
      <c r="I6930" t="s">
        <v>4142</v>
      </c>
      <c r="J6930" t="s">
        <v>35487</v>
      </c>
      <c r="K6930" t="s">
        <v>40289</v>
      </c>
      <c r="M6930" t="s">
        <v>43148</v>
      </c>
      <c r="N6930" t="s">
        <v>44759</v>
      </c>
      <c r="O6930" t="s">
        <v>44760</v>
      </c>
      <c r="P6930">
        <v>0</v>
      </c>
      <c r="Q6930">
        <v>5</v>
      </c>
      <c r="R6930" t="s">
        <v>44767</v>
      </c>
      <c r="S6930" t="s">
        <v>44954</v>
      </c>
      <c r="T6930" t="s">
        <v>46403</v>
      </c>
      <c r="U6930" t="s">
        <v>52757</v>
      </c>
      <c r="W6930" t="s">
        <v>43148</v>
      </c>
      <c r="X6930" t="s">
        <v>44768</v>
      </c>
    </row>
    <row r="6931" spans="1:24">
      <c r="A6931">
        <f>HYPERLINK("https://www.philgeps.gov.ph/GEPSNONPILOT/Tender/SplashBidNoticeAbstractUI.aspx?menuIndex=3&amp;refID=7142741&amp;Result=3","7142741")</f>
        <v>0</v>
      </c>
      <c r="B6931" t="s">
        <v>2359</v>
      </c>
      <c r="C6931" t="s">
        <v>10331</v>
      </c>
      <c r="D6931" t="s">
        <v>18022</v>
      </c>
      <c r="E6931" t="s">
        <v>24121</v>
      </c>
      <c r="F6931" t="s">
        <v>30900</v>
      </c>
      <c r="G6931" t="s">
        <v>30907</v>
      </c>
      <c r="H6931" t="s">
        <v>30915</v>
      </c>
      <c r="I6931" t="s">
        <v>30919</v>
      </c>
      <c r="J6931" t="s">
        <v>35488</v>
      </c>
      <c r="K6931" t="s">
        <v>40289</v>
      </c>
      <c r="M6931" t="s">
        <v>43083</v>
      </c>
      <c r="N6931" t="s">
        <v>44759</v>
      </c>
      <c r="O6931" t="s">
        <v>44760</v>
      </c>
      <c r="P6931">
        <v>0</v>
      </c>
      <c r="Q6931">
        <v>1</v>
      </c>
      <c r="R6931" t="s">
        <v>44767</v>
      </c>
      <c r="S6931" t="s">
        <v>44954</v>
      </c>
      <c r="T6931" t="s">
        <v>46533</v>
      </c>
      <c r="U6931" t="s">
        <v>52758</v>
      </c>
      <c r="W6931" t="s">
        <v>60888</v>
      </c>
      <c r="X6931" t="s">
        <v>44768</v>
      </c>
    </row>
    <row r="6932" spans="1:24">
      <c r="A6932">
        <f>HYPERLINK("https://www.philgeps.gov.ph/GEPSNONPILOT/Tender/SplashBidNoticeAbstractUI.aspx?menuIndex=3&amp;refID=7142760&amp;Result=3","7142760")</f>
        <v>0</v>
      </c>
      <c r="B6932" t="s">
        <v>2399</v>
      </c>
      <c r="C6932" t="s">
        <v>10332</v>
      </c>
      <c r="D6932" t="s">
        <v>17990</v>
      </c>
      <c r="E6932" t="s">
        <v>24122</v>
      </c>
      <c r="F6932" t="s">
        <v>30900</v>
      </c>
      <c r="G6932" t="s">
        <v>30907</v>
      </c>
      <c r="H6932" t="s">
        <v>30915</v>
      </c>
      <c r="I6932" t="s">
        <v>30919</v>
      </c>
      <c r="J6932" t="s">
        <v>31158</v>
      </c>
      <c r="K6932" t="s">
        <v>40301</v>
      </c>
      <c r="M6932" t="s">
        <v>43126</v>
      </c>
      <c r="N6932" t="s">
        <v>44759</v>
      </c>
      <c r="O6932" t="s">
        <v>44760</v>
      </c>
      <c r="P6932">
        <v>0</v>
      </c>
      <c r="Q6932">
        <v>2</v>
      </c>
      <c r="R6932" t="s">
        <v>44767</v>
      </c>
      <c r="S6932" t="s">
        <v>44954</v>
      </c>
      <c r="T6932" t="s">
        <v>46765</v>
      </c>
      <c r="U6932" t="s">
        <v>52759</v>
      </c>
      <c r="V6932" t="s">
        <v>59862</v>
      </c>
      <c r="W6932" t="s">
        <v>43126</v>
      </c>
      <c r="X6932" t="s">
        <v>44768</v>
      </c>
    </row>
    <row r="6933" spans="1:24">
      <c r="A6933">
        <f>HYPERLINK("https://www.philgeps.gov.ph/GEPSNONPILOT/Tender/SplashBidNoticeAbstractUI.aspx?menuIndex=3&amp;refID=7142733&amp;Result=3","7142733")</f>
        <v>0</v>
      </c>
      <c r="B6933" t="s">
        <v>949</v>
      </c>
      <c r="C6933" t="s">
        <v>10333</v>
      </c>
      <c r="D6933" t="s">
        <v>18007</v>
      </c>
      <c r="E6933" t="s">
        <v>24123</v>
      </c>
      <c r="F6933" t="s">
        <v>30900</v>
      </c>
      <c r="G6933" t="s">
        <v>30908</v>
      </c>
      <c r="H6933" t="s">
        <v>30915</v>
      </c>
      <c r="I6933" t="s">
        <v>8123</v>
      </c>
      <c r="J6933" t="s">
        <v>35489</v>
      </c>
      <c r="K6933" t="s">
        <v>40283</v>
      </c>
      <c r="M6933" t="s">
        <v>41534</v>
      </c>
      <c r="N6933" t="s">
        <v>44759</v>
      </c>
      <c r="O6933" t="s">
        <v>44760</v>
      </c>
      <c r="P6933">
        <v>0</v>
      </c>
      <c r="Q6933">
        <v>0</v>
      </c>
      <c r="R6933" t="s">
        <v>44767</v>
      </c>
      <c r="S6933" t="s">
        <v>44954</v>
      </c>
      <c r="T6933" t="s">
        <v>46390</v>
      </c>
      <c r="U6933" t="s">
        <v>52760</v>
      </c>
      <c r="W6933" t="s">
        <v>41534</v>
      </c>
      <c r="X6933" t="s">
        <v>44768</v>
      </c>
    </row>
    <row r="6934" spans="1:24">
      <c r="A6934">
        <f>HYPERLINK("https://www.philgeps.gov.ph/GEPSNONPILOT/Tender/SplashBidNoticeAbstractUI.aspx?menuIndex=3&amp;refID=7142753&amp;Result=3","7142753")</f>
        <v>0</v>
      </c>
      <c r="B6934" t="s">
        <v>1534</v>
      </c>
      <c r="C6934" t="s">
        <v>10334</v>
      </c>
      <c r="D6934" t="s">
        <v>18004</v>
      </c>
      <c r="E6934" t="s">
        <v>24105</v>
      </c>
      <c r="F6934" t="s">
        <v>30900</v>
      </c>
      <c r="G6934" t="s">
        <v>30908</v>
      </c>
      <c r="H6934" t="s">
        <v>30916</v>
      </c>
      <c r="I6934" t="s">
        <v>4004</v>
      </c>
      <c r="J6934" t="s">
        <v>35490</v>
      </c>
      <c r="K6934" t="s">
        <v>40287</v>
      </c>
      <c r="M6934" t="s">
        <v>42177</v>
      </c>
      <c r="N6934" t="s">
        <v>44759</v>
      </c>
      <c r="O6934" t="s">
        <v>44760</v>
      </c>
      <c r="P6934">
        <v>0</v>
      </c>
      <c r="Q6934">
        <v>1</v>
      </c>
      <c r="R6934" t="s">
        <v>44767</v>
      </c>
      <c r="S6934" t="s">
        <v>44954</v>
      </c>
      <c r="T6934" t="s">
        <v>46574</v>
      </c>
      <c r="U6934" t="s">
        <v>52740</v>
      </c>
      <c r="W6934" t="s">
        <v>42177</v>
      </c>
      <c r="X6934" t="s">
        <v>44768</v>
      </c>
    </row>
    <row r="6935" spans="1:24">
      <c r="A6935">
        <f>HYPERLINK("https://www.philgeps.gov.ph/GEPSNONPILOT/Tender/SplashBidNoticeAbstractUI.aspx?menuIndex=3&amp;refID=7142729&amp;Result=3","7142729")</f>
        <v>0</v>
      </c>
      <c r="B6935" t="s">
        <v>2399</v>
      </c>
      <c r="C6935" t="s">
        <v>10335</v>
      </c>
      <c r="D6935" t="s">
        <v>17990</v>
      </c>
      <c r="E6935" t="s">
        <v>20249</v>
      </c>
      <c r="F6935" t="s">
        <v>30900</v>
      </c>
      <c r="G6935" t="s">
        <v>30907</v>
      </c>
      <c r="H6935" t="s">
        <v>30915</v>
      </c>
      <c r="I6935" t="s">
        <v>30919</v>
      </c>
      <c r="J6935" t="s">
        <v>32808</v>
      </c>
      <c r="K6935" t="s">
        <v>40301</v>
      </c>
      <c r="M6935" t="s">
        <v>43126</v>
      </c>
      <c r="N6935" t="s">
        <v>44759</v>
      </c>
      <c r="O6935" t="s">
        <v>44760</v>
      </c>
      <c r="P6935">
        <v>0</v>
      </c>
      <c r="Q6935">
        <v>2</v>
      </c>
      <c r="R6935" t="s">
        <v>44767</v>
      </c>
      <c r="S6935" t="s">
        <v>44954</v>
      </c>
      <c r="T6935" t="s">
        <v>46765</v>
      </c>
      <c r="U6935" t="s">
        <v>52761</v>
      </c>
      <c r="V6935" t="s">
        <v>59862</v>
      </c>
      <c r="W6935" t="s">
        <v>43126</v>
      </c>
      <c r="X6935" t="s">
        <v>44768</v>
      </c>
    </row>
    <row r="6936" spans="1:24">
      <c r="A6936">
        <f>HYPERLINK("https://www.philgeps.gov.ph/GEPSNONPILOT/Tender/SplashBidNoticeAbstractUI.aspx?menuIndex=3&amp;refID=7142686&amp;Result=3","7142686")</f>
        <v>0</v>
      </c>
      <c r="B6936" t="s">
        <v>2399</v>
      </c>
      <c r="C6936" t="s">
        <v>10336</v>
      </c>
      <c r="D6936" t="s">
        <v>17990</v>
      </c>
      <c r="E6936" t="s">
        <v>20253</v>
      </c>
      <c r="F6936" t="s">
        <v>30900</v>
      </c>
      <c r="G6936" t="s">
        <v>30907</v>
      </c>
      <c r="H6936" t="s">
        <v>30915</v>
      </c>
      <c r="I6936" t="s">
        <v>30919</v>
      </c>
      <c r="J6936" t="s">
        <v>31897</v>
      </c>
      <c r="K6936" t="s">
        <v>40301</v>
      </c>
      <c r="M6936" t="s">
        <v>43126</v>
      </c>
      <c r="N6936" t="s">
        <v>44759</v>
      </c>
      <c r="O6936" t="s">
        <v>44760</v>
      </c>
      <c r="P6936">
        <v>0</v>
      </c>
      <c r="Q6936">
        <v>2</v>
      </c>
      <c r="R6936" t="s">
        <v>44767</v>
      </c>
      <c r="S6936" t="s">
        <v>44954</v>
      </c>
      <c r="T6936" t="s">
        <v>46765</v>
      </c>
      <c r="U6936" t="s">
        <v>52762</v>
      </c>
      <c r="V6936" t="s">
        <v>59862</v>
      </c>
      <c r="W6936" t="s">
        <v>43126</v>
      </c>
      <c r="X6936" t="s">
        <v>44768</v>
      </c>
    </row>
    <row r="6937" spans="1:24">
      <c r="A6937">
        <f>HYPERLINK("https://www.philgeps.gov.ph/GEPSNONPILOT/Tender/SplashBidNoticeAbstractUI.aspx?menuIndex=3&amp;refID=7142726&amp;Result=3","7142726")</f>
        <v>0</v>
      </c>
      <c r="B6937" t="s">
        <v>1164</v>
      </c>
      <c r="C6937" t="s">
        <v>10337</v>
      </c>
      <c r="D6937" t="s">
        <v>17955</v>
      </c>
      <c r="E6937" t="s">
        <v>24124</v>
      </c>
      <c r="F6937" t="s">
        <v>30900</v>
      </c>
      <c r="G6937" t="s">
        <v>30908</v>
      </c>
      <c r="H6937" t="s">
        <v>30916</v>
      </c>
      <c r="I6937" t="s">
        <v>4108</v>
      </c>
      <c r="J6937" t="s">
        <v>35491</v>
      </c>
      <c r="K6937" t="s">
        <v>40289</v>
      </c>
      <c r="M6937" t="s">
        <v>43149</v>
      </c>
      <c r="N6937" t="s">
        <v>44759</v>
      </c>
      <c r="O6937" t="s">
        <v>44760</v>
      </c>
      <c r="P6937">
        <v>0</v>
      </c>
      <c r="Q6937">
        <v>0</v>
      </c>
      <c r="R6937" t="s">
        <v>44767</v>
      </c>
      <c r="S6937" t="s">
        <v>44954</v>
      </c>
      <c r="T6937" t="s">
        <v>46662</v>
      </c>
      <c r="U6937" t="s">
        <v>52763</v>
      </c>
      <c r="V6937" t="s">
        <v>59847</v>
      </c>
      <c r="W6937" t="s">
        <v>43149</v>
      </c>
      <c r="X6937" t="s">
        <v>44768</v>
      </c>
    </row>
    <row r="6938" spans="1:24">
      <c r="A6938">
        <f>HYPERLINK("https://www.philgeps.gov.ph/GEPSNONPILOT/Tender/SplashBidNoticeAbstractUI.aspx?menuIndex=3&amp;refID=7142735&amp;Result=3","7142735")</f>
        <v>0</v>
      </c>
      <c r="B6938" t="s">
        <v>1109</v>
      </c>
      <c r="C6938" t="s">
        <v>10338</v>
      </c>
      <c r="D6938" t="s">
        <v>17959</v>
      </c>
      <c r="E6938" t="s">
        <v>24125</v>
      </c>
      <c r="F6938" t="s">
        <v>30900</v>
      </c>
      <c r="G6938" t="s">
        <v>30908</v>
      </c>
      <c r="H6938" t="s">
        <v>30916</v>
      </c>
      <c r="I6938" t="s">
        <v>4545</v>
      </c>
      <c r="J6938" t="s">
        <v>35492</v>
      </c>
      <c r="K6938" t="s">
        <v>40286</v>
      </c>
      <c r="M6938" t="s">
        <v>42623</v>
      </c>
      <c r="N6938" t="s">
        <v>44759</v>
      </c>
      <c r="O6938" t="s">
        <v>44760</v>
      </c>
      <c r="P6938">
        <v>0</v>
      </c>
      <c r="Q6938">
        <v>5</v>
      </c>
      <c r="R6938" t="s">
        <v>44767</v>
      </c>
      <c r="S6938" t="s">
        <v>44954</v>
      </c>
      <c r="T6938" t="s">
        <v>46686</v>
      </c>
      <c r="U6938" t="s">
        <v>51412</v>
      </c>
      <c r="W6938" t="s">
        <v>42623</v>
      </c>
      <c r="X6938" t="s">
        <v>44768</v>
      </c>
    </row>
    <row r="6939" spans="1:24">
      <c r="A6939">
        <f>HYPERLINK("https://www.philgeps.gov.ph/GEPSNONPILOT/Tender/SplashBidNoticeAbstractUI.aspx?menuIndex=3&amp;refID=7142728&amp;Result=3","7142728")</f>
        <v>0</v>
      </c>
      <c r="B6939" t="s">
        <v>2421</v>
      </c>
      <c r="C6939" t="s">
        <v>10339</v>
      </c>
      <c r="E6939" t="s">
        <v>18282</v>
      </c>
      <c r="F6939" t="s">
        <v>30900</v>
      </c>
      <c r="G6939" t="s">
        <v>30907</v>
      </c>
      <c r="H6939" t="s">
        <v>30916</v>
      </c>
      <c r="I6939" t="s">
        <v>8123</v>
      </c>
      <c r="J6939" t="s">
        <v>35493</v>
      </c>
      <c r="K6939" t="s">
        <v>40289</v>
      </c>
      <c r="M6939" t="s">
        <v>43150</v>
      </c>
      <c r="N6939" t="s">
        <v>44759</v>
      </c>
      <c r="O6939" t="s">
        <v>44760</v>
      </c>
      <c r="P6939">
        <v>0</v>
      </c>
      <c r="Q6939">
        <v>1</v>
      </c>
      <c r="R6939" t="s">
        <v>44767</v>
      </c>
      <c r="S6939" t="s">
        <v>44954</v>
      </c>
      <c r="T6939" t="s">
        <v>46530</v>
      </c>
      <c r="U6939" t="s">
        <v>52764</v>
      </c>
      <c r="W6939" t="s">
        <v>43150</v>
      </c>
      <c r="X6939" t="s">
        <v>44768</v>
      </c>
    </row>
    <row r="6940" spans="1:24">
      <c r="A6940">
        <f>HYPERLINK("https://www.philgeps.gov.ph/GEPSNONPILOT/Tender/SplashBidNoticeAbstractUI.aspx?menuIndex=3&amp;refID=7142737&amp;Result=3","7142737")</f>
        <v>0</v>
      </c>
      <c r="B6940" t="s">
        <v>2422</v>
      </c>
      <c r="C6940" t="s">
        <v>10340</v>
      </c>
      <c r="D6940" t="s">
        <v>17994</v>
      </c>
      <c r="E6940" t="s">
        <v>24126</v>
      </c>
      <c r="F6940" t="s">
        <v>30900</v>
      </c>
      <c r="G6940" t="s">
        <v>30908</v>
      </c>
      <c r="H6940" t="s">
        <v>30916</v>
      </c>
      <c r="I6940" t="s">
        <v>4142</v>
      </c>
      <c r="J6940" t="s">
        <v>35494</v>
      </c>
      <c r="K6940" t="s">
        <v>40283</v>
      </c>
      <c r="M6940" t="s">
        <v>43151</v>
      </c>
      <c r="N6940" t="s">
        <v>44759</v>
      </c>
      <c r="O6940" t="s">
        <v>44760</v>
      </c>
      <c r="P6940">
        <v>0</v>
      </c>
      <c r="Q6940">
        <v>7</v>
      </c>
      <c r="R6940" t="s">
        <v>44767</v>
      </c>
      <c r="S6940" t="s">
        <v>44954</v>
      </c>
      <c r="T6940" t="s">
        <v>46700</v>
      </c>
      <c r="U6940" t="s">
        <v>52765</v>
      </c>
      <c r="W6940" t="s">
        <v>60889</v>
      </c>
      <c r="X6940" t="s">
        <v>44768</v>
      </c>
    </row>
    <row r="6941" spans="1:24">
      <c r="A6941">
        <f>HYPERLINK("https://www.philgeps.gov.ph/GEPSNONPILOT/Tender/SplashBidNoticeAbstractUI.aspx?menuIndex=3&amp;refID=7142764&amp;Result=3","7142764")</f>
        <v>0</v>
      </c>
      <c r="B6941" t="s">
        <v>1430</v>
      </c>
      <c r="C6941" t="s">
        <v>10341</v>
      </c>
      <c r="D6941" t="s">
        <v>17985</v>
      </c>
      <c r="E6941" t="s">
        <v>24127</v>
      </c>
      <c r="F6941" t="s">
        <v>30900</v>
      </c>
      <c r="G6941" t="s">
        <v>30909</v>
      </c>
      <c r="H6941" t="s">
        <v>30916</v>
      </c>
      <c r="I6941" t="s">
        <v>10602</v>
      </c>
      <c r="J6941" t="s">
        <v>31204</v>
      </c>
      <c r="K6941" t="s">
        <v>40285</v>
      </c>
      <c r="M6941" t="s">
        <v>42062</v>
      </c>
      <c r="N6941" t="s">
        <v>44759</v>
      </c>
      <c r="O6941" t="s">
        <v>44760</v>
      </c>
      <c r="P6941">
        <v>0</v>
      </c>
      <c r="Q6941">
        <v>0</v>
      </c>
      <c r="R6941" t="s">
        <v>44767</v>
      </c>
      <c r="S6941" t="s">
        <v>44954</v>
      </c>
      <c r="T6941" t="s">
        <v>46658</v>
      </c>
      <c r="U6941" t="s">
        <v>52766</v>
      </c>
      <c r="V6941" t="s">
        <v>59556</v>
      </c>
      <c r="W6941" t="s">
        <v>42062</v>
      </c>
      <c r="X6941" t="s">
        <v>44768</v>
      </c>
    </row>
    <row r="6942" spans="1:24">
      <c r="A6942">
        <f>HYPERLINK("https://www.philgeps.gov.ph/GEPSNONPILOT/Tender/SplashBidNoticeAbstractUI.aspx?menuIndex=3&amp;refID=7142734&amp;Result=3","7142734")</f>
        <v>0</v>
      </c>
      <c r="B6942" t="s">
        <v>1595</v>
      </c>
      <c r="C6942" t="s">
        <v>10342</v>
      </c>
      <c r="D6942" t="s">
        <v>17962</v>
      </c>
      <c r="E6942" t="s">
        <v>24128</v>
      </c>
      <c r="F6942" t="s">
        <v>30900</v>
      </c>
      <c r="G6942" t="s">
        <v>30908</v>
      </c>
      <c r="H6942" t="s">
        <v>30916</v>
      </c>
      <c r="I6942" t="s">
        <v>8123</v>
      </c>
      <c r="J6942" t="s">
        <v>35495</v>
      </c>
      <c r="K6942" t="s">
        <v>40283</v>
      </c>
      <c r="M6942" t="s">
        <v>42244</v>
      </c>
      <c r="N6942" t="s">
        <v>44759</v>
      </c>
      <c r="O6942" t="s">
        <v>44760</v>
      </c>
      <c r="P6942">
        <v>0</v>
      </c>
      <c r="Q6942">
        <v>3</v>
      </c>
      <c r="R6942" t="s">
        <v>44767</v>
      </c>
      <c r="S6942" t="s">
        <v>44954</v>
      </c>
      <c r="T6942" t="s">
        <v>46625</v>
      </c>
      <c r="U6942" t="s">
        <v>52767</v>
      </c>
      <c r="W6942" t="s">
        <v>42244</v>
      </c>
      <c r="X6942" t="s">
        <v>44768</v>
      </c>
    </row>
    <row r="6943" spans="1:24">
      <c r="A6943">
        <f>HYPERLINK("https://www.philgeps.gov.ph/GEPSNONPILOT/Tender/SplashBidNoticeAbstractUI.aspx?menuIndex=3&amp;refID=7142781&amp;Result=3","7142781")</f>
        <v>0</v>
      </c>
      <c r="B6943" t="s">
        <v>1973</v>
      </c>
      <c r="C6943" t="s">
        <v>10343</v>
      </c>
      <c r="D6943" t="s">
        <v>18012</v>
      </c>
      <c r="E6943" t="s">
        <v>24129</v>
      </c>
      <c r="F6943" t="s">
        <v>30900</v>
      </c>
      <c r="G6943" t="s">
        <v>30907</v>
      </c>
      <c r="H6943" t="s">
        <v>30916</v>
      </c>
      <c r="I6943" t="s">
        <v>4545</v>
      </c>
      <c r="J6943" t="s">
        <v>31247</v>
      </c>
      <c r="K6943" t="s">
        <v>40284</v>
      </c>
      <c r="M6943" t="s">
        <v>42661</v>
      </c>
      <c r="N6943" t="s">
        <v>44759</v>
      </c>
      <c r="O6943" t="s">
        <v>44760</v>
      </c>
      <c r="P6943">
        <v>0</v>
      </c>
      <c r="Q6943">
        <v>0</v>
      </c>
      <c r="R6943" t="s">
        <v>44767</v>
      </c>
      <c r="S6943" t="s">
        <v>44954</v>
      </c>
      <c r="T6943" t="s">
        <v>46443</v>
      </c>
      <c r="U6943" t="s">
        <v>52768</v>
      </c>
      <c r="W6943" t="s">
        <v>42661</v>
      </c>
      <c r="X6943" t="s">
        <v>44768</v>
      </c>
    </row>
    <row r="6944" spans="1:24">
      <c r="A6944">
        <f>HYPERLINK("https://www.philgeps.gov.ph/GEPSNONPILOT/Tender/SplashBidNoticeAbstractUI.aspx?menuIndex=3&amp;refID=7142793&amp;Result=3","7142793")</f>
        <v>0</v>
      </c>
      <c r="B6944" t="s">
        <v>217</v>
      </c>
      <c r="C6944" t="s">
        <v>10301</v>
      </c>
      <c r="D6944" t="s">
        <v>17966</v>
      </c>
      <c r="E6944" t="s">
        <v>24130</v>
      </c>
      <c r="F6944" t="s">
        <v>30900</v>
      </c>
      <c r="G6944" t="s">
        <v>30908</v>
      </c>
      <c r="H6944" t="s">
        <v>30916</v>
      </c>
      <c r="I6944" t="s">
        <v>30926</v>
      </c>
      <c r="J6944" t="s">
        <v>35496</v>
      </c>
      <c r="K6944" t="s">
        <v>40284</v>
      </c>
      <c r="M6944" t="s">
        <v>40764</v>
      </c>
      <c r="N6944" t="s">
        <v>44759</v>
      </c>
      <c r="O6944" t="s">
        <v>44760</v>
      </c>
      <c r="P6944">
        <v>0</v>
      </c>
      <c r="Q6944">
        <v>0</v>
      </c>
      <c r="R6944" t="s">
        <v>44767</v>
      </c>
      <c r="S6944" t="s">
        <v>44954</v>
      </c>
      <c r="T6944" t="s">
        <v>46625</v>
      </c>
      <c r="U6944" t="s">
        <v>52769</v>
      </c>
      <c r="W6944" t="s">
        <v>40764</v>
      </c>
      <c r="X6944" t="s">
        <v>44768</v>
      </c>
    </row>
    <row r="6945" spans="1:24">
      <c r="A6945">
        <f>HYPERLINK("https://www.philgeps.gov.ph/GEPSNONPILOT/Tender/SplashBidNoticeAbstractUI.aspx?menuIndex=3&amp;refID=7142780&amp;Result=3","7142780")</f>
        <v>0</v>
      </c>
      <c r="B6945" t="s">
        <v>2423</v>
      </c>
      <c r="C6945" t="s">
        <v>10344</v>
      </c>
      <c r="D6945" t="s">
        <v>17996</v>
      </c>
      <c r="E6945" t="s">
        <v>24131</v>
      </c>
      <c r="F6945" t="s">
        <v>30900</v>
      </c>
      <c r="G6945" t="s">
        <v>30907</v>
      </c>
      <c r="H6945" t="s">
        <v>30916</v>
      </c>
      <c r="I6945" t="s">
        <v>30933</v>
      </c>
      <c r="J6945" t="s">
        <v>31069</v>
      </c>
      <c r="K6945" t="s">
        <v>40354</v>
      </c>
      <c r="M6945" t="s">
        <v>43152</v>
      </c>
      <c r="N6945" t="s">
        <v>44759</v>
      </c>
      <c r="O6945" t="s">
        <v>44760</v>
      </c>
      <c r="P6945">
        <v>0</v>
      </c>
      <c r="Q6945">
        <v>5</v>
      </c>
      <c r="R6945" t="s">
        <v>44767</v>
      </c>
      <c r="S6945" t="s">
        <v>44954</v>
      </c>
      <c r="T6945" t="s">
        <v>46356</v>
      </c>
      <c r="U6945" t="s">
        <v>52770</v>
      </c>
      <c r="W6945" t="s">
        <v>43152</v>
      </c>
      <c r="X6945" t="s">
        <v>44768</v>
      </c>
    </row>
    <row r="6946" spans="1:24">
      <c r="A6946">
        <f>HYPERLINK("https://www.philgeps.gov.ph/GEPSNONPILOT/Tender/SplashBidNoticeAbstractUI.aspx?menuIndex=3&amp;refID=7142776&amp;Result=3","7142776")</f>
        <v>0</v>
      </c>
      <c r="B6946" t="s">
        <v>286</v>
      </c>
      <c r="C6946" t="s">
        <v>10345</v>
      </c>
      <c r="D6946" t="s">
        <v>17977</v>
      </c>
      <c r="E6946" t="s">
        <v>24132</v>
      </c>
      <c r="F6946" t="s">
        <v>30900</v>
      </c>
      <c r="G6946" t="s">
        <v>30908</v>
      </c>
      <c r="H6946" t="s">
        <v>30916</v>
      </c>
      <c r="I6946" t="s">
        <v>30984</v>
      </c>
      <c r="J6946" t="s">
        <v>31096</v>
      </c>
      <c r="K6946" t="s">
        <v>40283</v>
      </c>
      <c r="M6946" t="s">
        <v>40834</v>
      </c>
      <c r="N6946" t="s">
        <v>44759</v>
      </c>
      <c r="O6946" t="s">
        <v>44760</v>
      </c>
      <c r="P6946">
        <v>0</v>
      </c>
      <c r="Q6946">
        <v>3</v>
      </c>
      <c r="R6946" t="s">
        <v>44767</v>
      </c>
      <c r="S6946" t="s">
        <v>44954</v>
      </c>
      <c r="T6946" t="s">
        <v>46533</v>
      </c>
      <c r="U6946" t="s">
        <v>52771</v>
      </c>
      <c r="V6946" t="s">
        <v>59870</v>
      </c>
      <c r="W6946" t="s">
        <v>40834</v>
      </c>
      <c r="X6946" t="s">
        <v>44768</v>
      </c>
    </row>
    <row r="6947" spans="1:24">
      <c r="A6947">
        <f>HYPERLINK("https://www.philgeps.gov.ph/GEPSNONPILOT/Tender/SplashBidNoticeAbstractUI.aspx?menuIndex=3&amp;refID=7142772&amp;Result=3","7142772")</f>
        <v>0</v>
      </c>
      <c r="B6947" t="s">
        <v>2394</v>
      </c>
      <c r="C6947" t="s">
        <v>10346</v>
      </c>
      <c r="D6947" t="s">
        <v>17987</v>
      </c>
      <c r="E6947" t="s">
        <v>24133</v>
      </c>
      <c r="F6947" t="s">
        <v>30900</v>
      </c>
      <c r="G6947" t="s">
        <v>30907</v>
      </c>
      <c r="H6947" t="s">
        <v>30916</v>
      </c>
      <c r="I6947" t="s">
        <v>8123</v>
      </c>
      <c r="J6947" t="s">
        <v>35497</v>
      </c>
      <c r="K6947" t="s">
        <v>40286</v>
      </c>
      <c r="M6947" t="s">
        <v>43120</v>
      </c>
      <c r="N6947" t="s">
        <v>44759</v>
      </c>
      <c r="O6947" t="s">
        <v>44760</v>
      </c>
      <c r="P6947">
        <v>0</v>
      </c>
      <c r="Q6947">
        <v>0</v>
      </c>
      <c r="R6947" t="s">
        <v>44767</v>
      </c>
      <c r="S6947" t="s">
        <v>44954</v>
      </c>
      <c r="T6947" t="s">
        <v>46363</v>
      </c>
      <c r="U6947" t="s">
        <v>52772</v>
      </c>
      <c r="W6947" t="s">
        <v>43120</v>
      </c>
      <c r="X6947" t="s">
        <v>44768</v>
      </c>
    </row>
    <row r="6948" spans="1:24">
      <c r="A6948">
        <f>HYPERLINK("https://www.philgeps.gov.ph/GEPSNONPILOT/Tender/SplashBidNoticeAbstractUI.aspx?menuIndex=3&amp;refID=7142770&amp;Result=3","7142770")</f>
        <v>0</v>
      </c>
      <c r="B6948" t="s">
        <v>2389</v>
      </c>
      <c r="C6948" t="s">
        <v>10347</v>
      </c>
      <c r="D6948" t="s">
        <v>17994</v>
      </c>
      <c r="E6948" t="s">
        <v>24134</v>
      </c>
      <c r="F6948" t="s">
        <v>30900</v>
      </c>
      <c r="G6948" t="s">
        <v>30908</v>
      </c>
      <c r="H6948" t="s">
        <v>30916</v>
      </c>
      <c r="I6948" t="s">
        <v>4061</v>
      </c>
      <c r="J6948" t="s">
        <v>35498</v>
      </c>
      <c r="K6948" t="s">
        <v>40286</v>
      </c>
      <c r="M6948" t="s">
        <v>43115</v>
      </c>
      <c r="N6948" t="s">
        <v>44759</v>
      </c>
      <c r="O6948" t="s">
        <v>44760</v>
      </c>
      <c r="P6948">
        <v>0</v>
      </c>
      <c r="Q6948">
        <v>1</v>
      </c>
      <c r="R6948" t="s">
        <v>44767</v>
      </c>
      <c r="S6948" t="s">
        <v>44954</v>
      </c>
      <c r="T6948" t="s">
        <v>46531</v>
      </c>
      <c r="U6948" t="s">
        <v>52773</v>
      </c>
      <c r="W6948" t="s">
        <v>43115</v>
      </c>
      <c r="X6948" t="s">
        <v>44768</v>
      </c>
    </row>
    <row r="6949" spans="1:24">
      <c r="A6949">
        <f>HYPERLINK("https://www.philgeps.gov.ph/GEPSNONPILOT/Tender/SplashBidNoticeAbstractUI.aspx?menuIndex=3&amp;refID=7142769&amp;Result=3","7142769")</f>
        <v>0</v>
      </c>
      <c r="B6949" t="s">
        <v>704</v>
      </c>
      <c r="C6949" t="s">
        <v>10348</v>
      </c>
      <c r="D6949" t="s">
        <v>17987</v>
      </c>
      <c r="E6949" t="s">
        <v>24135</v>
      </c>
      <c r="F6949" t="s">
        <v>30900</v>
      </c>
      <c r="G6949" t="s">
        <v>30908</v>
      </c>
      <c r="H6949" t="s">
        <v>30916</v>
      </c>
      <c r="I6949" t="s">
        <v>30997</v>
      </c>
      <c r="J6949" t="s">
        <v>35499</v>
      </c>
      <c r="K6949" t="s">
        <v>40283</v>
      </c>
      <c r="M6949" t="s">
        <v>42242</v>
      </c>
      <c r="N6949" t="s">
        <v>44759</v>
      </c>
      <c r="O6949" t="s">
        <v>44760</v>
      </c>
      <c r="P6949">
        <v>0</v>
      </c>
      <c r="Q6949">
        <v>0</v>
      </c>
      <c r="R6949" t="s">
        <v>44767</v>
      </c>
      <c r="S6949" t="s">
        <v>44954</v>
      </c>
      <c r="T6949" t="s">
        <v>46410</v>
      </c>
      <c r="U6949" t="s">
        <v>52774</v>
      </c>
      <c r="W6949" t="s">
        <v>42242</v>
      </c>
      <c r="X6949" t="s">
        <v>44768</v>
      </c>
    </row>
    <row r="6950" spans="1:24">
      <c r="A6950">
        <f>HYPERLINK("https://www.philgeps.gov.ph/GEPSNONPILOT/Tender/SplashBidNoticeAbstractUI.aspx?menuIndex=3&amp;refID=7142814&amp;Result=3","7142814")</f>
        <v>0</v>
      </c>
      <c r="B6950" t="s">
        <v>2416</v>
      </c>
      <c r="C6950" t="s">
        <v>10349</v>
      </c>
      <c r="D6950" t="s">
        <v>17993</v>
      </c>
      <c r="E6950" t="s">
        <v>24136</v>
      </c>
      <c r="F6950" t="s">
        <v>30900</v>
      </c>
      <c r="G6950" t="s">
        <v>30908</v>
      </c>
      <c r="H6950" t="s">
        <v>30916</v>
      </c>
      <c r="I6950" t="s">
        <v>11785</v>
      </c>
      <c r="J6950" t="s">
        <v>35500</v>
      </c>
      <c r="K6950" t="s">
        <v>40286</v>
      </c>
      <c r="M6950" t="s">
        <v>43143</v>
      </c>
      <c r="N6950" t="s">
        <v>44759</v>
      </c>
      <c r="O6950" t="s">
        <v>44760</v>
      </c>
      <c r="P6950">
        <v>0</v>
      </c>
      <c r="Q6950">
        <v>3</v>
      </c>
      <c r="R6950" t="s">
        <v>44767</v>
      </c>
      <c r="S6950" t="s">
        <v>44954</v>
      </c>
      <c r="T6950" t="s">
        <v>46533</v>
      </c>
      <c r="U6950" t="s">
        <v>52749</v>
      </c>
      <c r="V6950" t="s">
        <v>59866</v>
      </c>
      <c r="W6950" t="s">
        <v>43143</v>
      </c>
      <c r="X6950" t="s">
        <v>44768</v>
      </c>
    </row>
    <row r="6951" spans="1:24">
      <c r="A6951">
        <f>HYPERLINK("https://www.philgeps.gov.ph/GEPSNONPILOT/Tender/SplashBidNoticeAbstractUI.aspx?menuIndex=3&amp;refID=7142786&amp;Result=3","7142786")</f>
        <v>0</v>
      </c>
      <c r="B6951" t="s">
        <v>2424</v>
      </c>
      <c r="C6951" t="s">
        <v>10350</v>
      </c>
      <c r="D6951" t="s">
        <v>17959</v>
      </c>
      <c r="E6951" t="s">
        <v>24137</v>
      </c>
      <c r="F6951" t="s">
        <v>30904</v>
      </c>
      <c r="G6951" t="s">
        <v>30907</v>
      </c>
      <c r="H6951" t="s">
        <v>30916</v>
      </c>
      <c r="I6951" t="s">
        <v>4108</v>
      </c>
      <c r="J6951" t="s">
        <v>31101</v>
      </c>
      <c r="K6951" t="s">
        <v>40287</v>
      </c>
      <c r="M6951" t="s">
        <v>43153</v>
      </c>
      <c r="N6951" t="s">
        <v>44759</v>
      </c>
      <c r="O6951" t="s">
        <v>44760</v>
      </c>
      <c r="P6951">
        <v>0</v>
      </c>
      <c r="Q6951">
        <v>3</v>
      </c>
      <c r="R6951" t="s">
        <v>44767</v>
      </c>
      <c r="S6951" t="s">
        <v>44954</v>
      </c>
      <c r="T6951" t="s">
        <v>46366</v>
      </c>
      <c r="U6951" t="s">
        <v>52775</v>
      </c>
      <c r="W6951" t="s">
        <v>43153</v>
      </c>
      <c r="X6951" t="s">
        <v>44768</v>
      </c>
    </row>
    <row r="6952" spans="1:24">
      <c r="A6952">
        <f>HYPERLINK("https://www.philgeps.gov.ph/GEPSNONPILOT/Tender/SplashBidNoticeAbstractUI.aspx?menuIndex=3&amp;refID=7142732&amp;Result=3","7142732")</f>
        <v>0</v>
      </c>
      <c r="B6952" t="s">
        <v>2254</v>
      </c>
      <c r="C6952" t="s">
        <v>10351</v>
      </c>
      <c r="D6952" t="s">
        <v>17959</v>
      </c>
      <c r="E6952" t="s">
        <v>24138</v>
      </c>
      <c r="F6952" t="s">
        <v>30900</v>
      </c>
      <c r="G6952" t="s">
        <v>30908</v>
      </c>
      <c r="H6952" t="s">
        <v>30916</v>
      </c>
      <c r="I6952" t="s">
        <v>9385</v>
      </c>
      <c r="J6952" t="s">
        <v>35501</v>
      </c>
      <c r="K6952" t="s">
        <v>40286</v>
      </c>
      <c r="M6952" t="s">
        <v>42966</v>
      </c>
      <c r="N6952" t="s">
        <v>44759</v>
      </c>
      <c r="O6952" t="s">
        <v>44760</v>
      </c>
      <c r="P6952">
        <v>0</v>
      </c>
      <c r="Q6952">
        <v>17</v>
      </c>
      <c r="R6952" t="s">
        <v>44767</v>
      </c>
      <c r="S6952" t="s">
        <v>44954</v>
      </c>
      <c r="T6952" t="s">
        <v>46591</v>
      </c>
      <c r="U6952" t="s">
        <v>52735</v>
      </c>
      <c r="W6952" t="s">
        <v>42966</v>
      </c>
      <c r="X6952" t="s">
        <v>44768</v>
      </c>
    </row>
    <row r="6953" spans="1:24">
      <c r="A6953">
        <f>HYPERLINK("https://www.philgeps.gov.ph/GEPSNONPILOT/Tender/SplashBidNoticeAbstractUI.aspx?menuIndex=3&amp;refID=7142811&amp;Result=3","7142811")</f>
        <v>0</v>
      </c>
      <c r="B6953" t="s">
        <v>2388</v>
      </c>
      <c r="C6953" t="s">
        <v>10352</v>
      </c>
      <c r="D6953" t="s">
        <v>17960</v>
      </c>
      <c r="E6953" t="s">
        <v>24139</v>
      </c>
      <c r="F6953" t="s">
        <v>30900</v>
      </c>
      <c r="G6953" t="s">
        <v>30907</v>
      </c>
      <c r="H6953" t="s">
        <v>30916</v>
      </c>
      <c r="I6953" t="s">
        <v>5501</v>
      </c>
      <c r="J6953" t="s">
        <v>31585</v>
      </c>
      <c r="K6953" t="s">
        <v>40292</v>
      </c>
      <c r="M6953" t="s">
        <v>43114</v>
      </c>
      <c r="N6953" t="s">
        <v>44759</v>
      </c>
      <c r="O6953" t="s">
        <v>44760</v>
      </c>
      <c r="P6953">
        <v>0</v>
      </c>
      <c r="Q6953">
        <v>3</v>
      </c>
      <c r="R6953" t="s">
        <v>44767</v>
      </c>
      <c r="S6953" t="s">
        <v>44954</v>
      </c>
      <c r="T6953" t="s">
        <v>46533</v>
      </c>
      <c r="U6953" t="s">
        <v>52663</v>
      </c>
      <c r="V6953" t="s">
        <v>59858</v>
      </c>
      <c r="W6953" t="s">
        <v>43114</v>
      </c>
      <c r="X6953" t="s">
        <v>44768</v>
      </c>
    </row>
    <row r="6954" spans="1:24">
      <c r="A6954">
        <f>HYPERLINK("https://www.philgeps.gov.ph/GEPSNONPILOT/Tender/SplashBidNoticeAbstractUI.aspx?menuIndex=3&amp;refID=7142810&amp;Result=3","7142810")</f>
        <v>0</v>
      </c>
      <c r="B6954" t="s">
        <v>2410</v>
      </c>
      <c r="C6954" t="s">
        <v>10353</v>
      </c>
      <c r="D6954" t="s">
        <v>17990</v>
      </c>
      <c r="E6954" t="s">
        <v>24140</v>
      </c>
      <c r="F6954" t="s">
        <v>30900</v>
      </c>
      <c r="G6954" t="s">
        <v>30907</v>
      </c>
      <c r="H6954" t="s">
        <v>30916</v>
      </c>
      <c r="I6954" t="s">
        <v>4108</v>
      </c>
      <c r="J6954" t="s">
        <v>35502</v>
      </c>
      <c r="K6954" t="s">
        <v>40284</v>
      </c>
      <c r="M6954" t="s">
        <v>43137</v>
      </c>
      <c r="N6954" t="s">
        <v>44759</v>
      </c>
      <c r="O6954" t="s">
        <v>44760</v>
      </c>
      <c r="P6954">
        <v>0</v>
      </c>
      <c r="Q6954">
        <v>3</v>
      </c>
      <c r="R6954" t="s">
        <v>44767</v>
      </c>
      <c r="S6954" t="s">
        <v>44954</v>
      </c>
      <c r="T6954" t="s">
        <v>46495</v>
      </c>
      <c r="U6954" t="s">
        <v>52776</v>
      </c>
      <c r="W6954" t="s">
        <v>43137</v>
      </c>
      <c r="X6954" t="s">
        <v>44768</v>
      </c>
    </row>
    <row r="6955" spans="1:24">
      <c r="A6955">
        <f>HYPERLINK("https://www.philgeps.gov.ph/GEPSNONPILOT/Tender/SplashBidNoticeAbstractUI.aspx?menuIndex=3&amp;refID=7142778&amp;Result=3","7142778")</f>
        <v>0</v>
      </c>
      <c r="B6955" t="s">
        <v>2366</v>
      </c>
      <c r="C6955" t="s">
        <v>10354</v>
      </c>
      <c r="D6955" t="s">
        <v>17984</v>
      </c>
      <c r="E6955" t="s">
        <v>24141</v>
      </c>
      <c r="F6955" t="s">
        <v>30900</v>
      </c>
      <c r="G6955" t="s">
        <v>30910</v>
      </c>
      <c r="H6955" t="s">
        <v>30916</v>
      </c>
      <c r="I6955" t="s">
        <v>6396</v>
      </c>
      <c r="J6955" t="s">
        <v>35503</v>
      </c>
      <c r="K6955" t="s">
        <v>40283</v>
      </c>
      <c r="M6955" t="s">
        <v>43092</v>
      </c>
      <c r="N6955" t="s">
        <v>44759</v>
      </c>
      <c r="O6955" t="s">
        <v>44760</v>
      </c>
      <c r="P6955">
        <v>0</v>
      </c>
      <c r="Q6955">
        <v>2</v>
      </c>
      <c r="R6955" t="s">
        <v>44767</v>
      </c>
      <c r="S6955" t="s">
        <v>44954</v>
      </c>
      <c r="T6955" t="s">
        <v>46763</v>
      </c>
      <c r="U6955" t="s">
        <v>52777</v>
      </c>
      <c r="W6955" t="s">
        <v>43092</v>
      </c>
      <c r="X6955" t="s">
        <v>44768</v>
      </c>
    </row>
    <row r="6956" spans="1:24">
      <c r="A6956">
        <f>HYPERLINK("https://www.philgeps.gov.ph/GEPSNONPILOT/Tender/SplashBidNoticeAbstractUI.aspx?menuIndex=3&amp;refID=7142807&amp;Result=3","7142807")</f>
        <v>0</v>
      </c>
      <c r="B6956" t="s">
        <v>704</v>
      </c>
      <c r="C6956" t="s">
        <v>10355</v>
      </c>
      <c r="D6956" t="s">
        <v>17987</v>
      </c>
      <c r="E6956" t="s">
        <v>24142</v>
      </c>
      <c r="F6956" t="s">
        <v>30900</v>
      </c>
      <c r="G6956" t="s">
        <v>30908</v>
      </c>
      <c r="H6956" t="s">
        <v>30916</v>
      </c>
      <c r="I6956" t="s">
        <v>30947</v>
      </c>
      <c r="J6956" t="s">
        <v>35504</v>
      </c>
      <c r="K6956" t="s">
        <v>40283</v>
      </c>
      <c r="M6956" t="s">
        <v>42242</v>
      </c>
      <c r="N6956" t="s">
        <v>44759</v>
      </c>
      <c r="O6956" t="s">
        <v>44760</v>
      </c>
      <c r="P6956">
        <v>0</v>
      </c>
      <c r="Q6956">
        <v>0</v>
      </c>
      <c r="R6956" t="s">
        <v>44767</v>
      </c>
      <c r="S6956" t="s">
        <v>44954</v>
      </c>
      <c r="T6956" t="s">
        <v>46410</v>
      </c>
      <c r="U6956" t="s">
        <v>52778</v>
      </c>
      <c r="W6956" t="s">
        <v>42242</v>
      </c>
      <c r="X6956" t="s">
        <v>44768</v>
      </c>
    </row>
    <row r="6957" spans="1:24">
      <c r="A6957">
        <f>HYPERLINK("https://www.philgeps.gov.ph/GEPSNONPILOT/Tender/SplashBidNoticeAbstractUI.aspx?menuIndex=3&amp;refID=7142803&amp;Result=3","7142803")</f>
        <v>0</v>
      </c>
      <c r="B6957" t="s">
        <v>1109</v>
      </c>
      <c r="C6957" t="s">
        <v>10356</v>
      </c>
      <c r="D6957" t="s">
        <v>17959</v>
      </c>
      <c r="E6957" t="s">
        <v>24143</v>
      </c>
      <c r="F6957" t="s">
        <v>30900</v>
      </c>
      <c r="G6957" t="s">
        <v>30908</v>
      </c>
      <c r="H6957" t="s">
        <v>30916</v>
      </c>
      <c r="I6957" t="s">
        <v>4965</v>
      </c>
      <c r="J6957" t="s">
        <v>32430</v>
      </c>
      <c r="K6957" t="s">
        <v>40286</v>
      </c>
      <c r="M6957" t="s">
        <v>42623</v>
      </c>
      <c r="N6957" t="s">
        <v>44759</v>
      </c>
      <c r="O6957" t="s">
        <v>44760</v>
      </c>
      <c r="P6957">
        <v>0</v>
      </c>
      <c r="Q6957">
        <v>6</v>
      </c>
      <c r="R6957" t="s">
        <v>44767</v>
      </c>
      <c r="S6957" t="s">
        <v>44954</v>
      </c>
      <c r="T6957" t="s">
        <v>46686</v>
      </c>
      <c r="U6957" t="s">
        <v>51412</v>
      </c>
      <c r="W6957" t="s">
        <v>42623</v>
      </c>
      <c r="X6957" t="s">
        <v>44768</v>
      </c>
    </row>
    <row r="6958" spans="1:24">
      <c r="A6958">
        <f>HYPERLINK("https://www.philgeps.gov.ph/GEPSNONPILOT/Tender/SplashBidNoticeAbstractUI.aspx?menuIndex=3&amp;refID=7142820&amp;Result=3","7142820")</f>
        <v>0</v>
      </c>
      <c r="B6958" t="s">
        <v>1192</v>
      </c>
      <c r="C6958" t="s">
        <v>10357</v>
      </c>
      <c r="D6958" t="s">
        <v>18021</v>
      </c>
      <c r="E6958" t="s">
        <v>24144</v>
      </c>
      <c r="F6958" t="s">
        <v>30900</v>
      </c>
      <c r="G6958" t="s">
        <v>30909</v>
      </c>
      <c r="H6958" t="s">
        <v>30916</v>
      </c>
      <c r="I6958" t="s">
        <v>30939</v>
      </c>
      <c r="J6958" t="s">
        <v>35505</v>
      </c>
      <c r="K6958" t="s">
        <v>40289</v>
      </c>
      <c r="M6958" t="s">
        <v>41802</v>
      </c>
      <c r="N6958" t="s">
        <v>44759</v>
      </c>
      <c r="O6958" t="s">
        <v>44760</v>
      </c>
      <c r="P6958">
        <v>0</v>
      </c>
      <c r="Q6958">
        <v>0</v>
      </c>
      <c r="R6958" t="s">
        <v>44767</v>
      </c>
      <c r="S6958" t="s">
        <v>44954</v>
      </c>
      <c r="T6958" t="s">
        <v>46442</v>
      </c>
      <c r="U6958" t="s">
        <v>52779</v>
      </c>
      <c r="V6958" t="s">
        <v>59871</v>
      </c>
      <c r="W6958" t="s">
        <v>41802</v>
      </c>
      <c r="X6958" t="s">
        <v>44768</v>
      </c>
    </row>
    <row r="6959" spans="1:24">
      <c r="A6959">
        <f>HYPERLINK("https://www.philgeps.gov.ph/GEPSNONPILOT/Tender/SplashBidNoticeAbstractUI.aspx?menuIndex=3&amp;refID=7142815&amp;Result=3","7142815")</f>
        <v>0</v>
      </c>
      <c r="B6959" t="s">
        <v>2389</v>
      </c>
      <c r="C6959" t="s">
        <v>10358</v>
      </c>
      <c r="D6959" t="s">
        <v>17994</v>
      </c>
      <c r="E6959" t="s">
        <v>24145</v>
      </c>
      <c r="F6959" t="s">
        <v>30900</v>
      </c>
      <c r="G6959" t="s">
        <v>30908</v>
      </c>
      <c r="H6959" t="s">
        <v>30916</v>
      </c>
      <c r="I6959" t="s">
        <v>31015</v>
      </c>
      <c r="J6959" t="s">
        <v>31625</v>
      </c>
      <c r="K6959" t="s">
        <v>40286</v>
      </c>
      <c r="M6959" t="s">
        <v>43115</v>
      </c>
      <c r="N6959" t="s">
        <v>44759</v>
      </c>
      <c r="O6959" t="s">
        <v>44760</v>
      </c>
      <c r="P6959">
        <v>0</v>
      </c>
      <c r="Q6959">
        <v>0</v>
      </c>
      <c r="R6959" t="s">
        <v>44767</v>
      </c>
      <c r="S6959" t="s">
        <v>44954</v>
      </c>
      <c r="T6959" t="s">
        <v>46531</v>
      </c>
      <c r="U6959" t="s">
        <v>52780</v>
      </c>
      <c r="W6959" t="s">
        <v>43115</v>
      </c>
      <c r="X6959" t="s">
        <v>44768</v>
      </c>
    </row>
    <row r="6960" spans="1:24">
      <c r="A6960">
        <f>HYPERLINK("https://www.philgeps.gov.ph/GEPSNONPILOT/Tender/SplashBidNoticeAbstractUI.aspx?menuIndex=3&amp;refID=7142813&amp;Result=3","7142813")</f>
        <v>0</v>
      </c>
      <c r="B6960" t="s">
        <v>2366</v>
      </c>
      <c r="C6960" t="s">
        <v>10359</v>
      </c>
      <c r="D6960" t="s">
        <v>17984</v>
      </c>
      <c r="E6960" t="s">
        <v>24146</v>
      </c>
      <c r="F6960" t="s">
        <v>30900</v>
      </c>
      <c r="G6960" t="s">
        <v>30910</v>
      </c>
      <c r="H6960" t="s">
        <v>30916</v>
      </c>
      <c r="I6960" t="s">
        <v>6396</v>
      </c>
      <c r="J6960" t="s">
        <v>35506</v>
      </c>
      <c r="K6960" t="s">
        <v>40283</v>
      </c>
      <c r="M6960" t="s">
        <v>43092</v>
      </c>
      <c r="N6960" t="s">
        <v>44759</v>
      </c>
      <c r="O6960" t="s">
        <v>44760</v>
      </c>
      <c r="P6960">
        <v>0</v>
      </c>
      <c r="Q6960">
        <v>3</v>
      </c>
      <c r="R6960" t="s">
        <v>44767</v>
      </c>
      <c r="S6960" t="s">
        <v>44954</v>
      </c>
      <c r="T6960" t="s">
        <v>46763</v>
      </c>
      <c r="U6960" t="s">
        <v>52777</v>
      </c>
      <c r="W6960" t="s">
        <v>43092</v>
      </c>
      <c r="X6960" t="s">
        <v>44768</v>
      </c>
    </row>
    <row r="6961" spans="1:24">
      <c r="A6961">
        <f>HYPERLINK("https://www.philgeps.gov.ph/GEPSNONPILOT/Tender/SplashBidNoticeAbstractUI.aspx?menuIndex=3&amp;refID=7142843&amp;Result=3","7142843")</f>
        <v>0</v>
      </c>
      <c r="B6961" t="s">
        <v>2394</v>
      </c>
      <c r="C6961" t="s">
        <v>10360</v>
      </c>
      <c r="D6961" t="s">
        <v>17987</v>
      </c>
      <c r="E6961" t="s">
        <v>24147</v>
      </c>
      <c r="F6961" t="s">
        <v>30900</v>
      </c>
      <c r="G6961" t="s">
        <v>30907</v>
      </c>
      <c r="H6961" t="s">
        <v>30916</v>
      </c>
      <c r="I6961" t="s">
        <v>8123</v>
      </c>
      <c r="J6961" t="s">
        <v>35507</v>
      </c>
      <c r="K6961" t="s">
        <v>40286</v>
      </c>
      <c r="M6961" t="s">
        <v>43120</v>
      </c>
      <c r="N6961" t="s">
        <v>44759</v>
      </c>
      <c r="O6961" t="s">
        <v>44760</v>
      </c>
      <c r="P6961">
        <v>0</v>
      </c>
      <c r="Q6961">
        <v>0</v>
      </c>
      <c r="R6961" t="s">
        <v>44767</v>
      </c>
      <c r="S6961" t="s">
        <v>44954</v>
      </c>
      <c r="T6961" t="s">
        <v>46363</v>
      </c>
      <c r="U6961" t="s">
        <v>52781</v>
      </c>
      <c r="W6961" t="s">
        <v>43120</v>
      </c>
      <c r="X6961" t="s">
        <v>44768</v>
      </c>
    </row>
    <row r="6962" spans="1:24">
      <c r="A6962">
        <f>HYPERLINK("https://www.philgeps.gov.ph/GEPSNONPILOT/Tender/SplashBidNoticeAbstractUI.aspx?menuIndex=3&amp;refID=7142842&amp;Result=3","7142842")</f>
        <v>0</v>
      </c>
      <c r="B6962" t="s">
        <v>704</v>
      </c>
      <c r="C6962" t="s">
        <v>10361</v>
      </c>
      <c r="D6962" t="s">
        <v>17987</v>
      </c>
      <c r="E6962" t="s">
        <v>24148</v>
      </c>
      <c r="F6962" t="s">
        <v>30900</v>
      </c>
      <c r="G6962" t="s">
        <v>30908</v>
      </c>
      <c r="H6962" t="s">
        <v>30916</v>
      </c>
      <c r="I6962" t="s">
        <v>4108</v>
      </c>
      <c r="J6962" t="s">
        <v>35508</v>
      </c>
      <c r="K6962" t="s">
        <v>40283</v>
      </c>
      <c r="M6962" t="s">
        <v>42242</v>
      </c>
      <c r="N6962" t="s">
        <v>44759</v>
      </c>
      <c r="O6962" t="s">
        <v>44760</v>
      </c>
      <c r="P6962">
        <v>0</v>
      </c>
      <c r="Q6962">
        <v>0</v>
      </c>
      <c r="R6962" t="s">
        <v>44767</v>
      </c>
      <c r="S6962" t="s">
        <v>44954</v>
      </c>
      <c r="T6962" t="s">
        <v>46410</v>
      </c>
      <c r="U6962" t="s">
        <v>52782</v>
      </c>
      <c r="W6962" t="s">
        <v>42242</v>
      </c>
      <c r="X6962" t="s">
        <v>44768</v>
      </c>
    </row>
    <row r="6963" spans="1:24">
      <c r="A6963">
        <f>HYPERLINK("https://www.philgeps.gov.ph/GEPSNONPILOT/Tender/SplashBidNoticeAbstractUI.aspx?menuIndex=3&amp;refID=7142837&amp;Result=3","7142837")</f>
        <v>0</v>
      </c>
      <c r="B6963" t="s">
        <v>2425</v>
      </c>
      <c r="C6963" t="s">
        <v>10362</v>
      </c>
      <c r="D6963" t="s">
        <v>17965</v>
      </c>
      <c r="E6963" t="s">
        <v>24149</v>
      </c>
      <c r="F6963" t="s">
        <v>30900</v>
      </c>
      <c r="G6963" t="s">
        <v>30907</v>
      </c>
      <c r="H6963" t="s">
        <v>30915</v>
      </c>
      <c r="I6963" t="s">
        <v>30919</v>
      </c>
      <c r="J6963" t="s">
        <v>31788</v>
      </c>
      <c r="K6963" t="s">
        <v>40286</v>
      </c>
      <c r="M6963" t="s">
        <v>43154</v>
      </c>
      <c r="N6963" t="s">
        <v>44759</v>
      </c>
      <c r="O6963" t="s">
        <v>44760</v>
      </c>
      <c r="P6963">
        <v>0</v>
      </c>
      <c r="Q6963">
        <v>0</v>
      </c>
      <c r="R6963" t="s">
        <v>44767</v>
      </c>
      <c r="S6963" t="s">
        <v>44954</v>
      </c>
      <c r="T6963" t="s">
        <v>46612</v>
      </c>
      <c r="U6963" t="s">
        <v>52783</v>
      </c>
      <c r="W6963" t="s">
        <v>43154</v>
      </c>
      <c r="X6963" t="s">
        <v>44768</v>
      </c>
    </row>
    <row r="6964" spans="1:24">
      <c r="A6964">
        <f>HYPERLINK("https://www.philgeps.gov.ph/GEPSNONPILOT/Tender/SplashBidNoticeAbstractUI.aspx?menuIndex=3&amp;refID=7142804&amp;Result=3","7142804")</f>
        <v>0</v>
      </c>
      <c r="B6964" t="s">
        <v>2389</v>
      </c>
      <c r="C6964" t="s">
        <v>10363</v>
      </c>
      <c r="D6964" t="s">
        <v>17994</v>
      </c>
      <c r="E6964" t="s">
        <v>24150</v>
      </c>
      <c r="F6964" t="s">
        <v>30900</v>
      </c>
      <c r="G6964" t="s">
        <v>30908</v>
      </c>
      <c r="H6964" t="s">
        <v>30916</v>
      </c>
      <c r="I6964" t="s">
        <v>4050</v>
      </c>
      <c r="J6964" t="s">
        <v>35509</v>
      </c>
      <c r="K6964" t="s">
        <v>40286</v>
      </c>
      <c r="M6964" t="s">
        <v>43115</v>
      </c>
      <c r="N6964" t="s">
        <v>44759</v>
      </c>
      <c r="O6964" t="s">
        <v>44760</v>
      </c>
      <c r="P6964">
        <v>0</v>
      </c>
      <c r="Q6964">
        <v>1</v>
      </c>
      <c r="R6964" t="s">
        <v>44767</v>
      </c>
      <c r="S6964" t="s">
        <v>44954</v>
      </c>
      <c r="T6964" t="s">
        <v>46531</v>
      </c>
      <c r="U6964" t="s">
        <v>52784</v>
      </c>
      <c r="W6964" t="s">
        <v>43115</v>
      </c>
      <c r="X6964" t="s">
        <v>44768</v>
      </c>
    </row>
    <row r="6965" spans="1:24">
      <c r="A6965">
        <f>HYPERLINK("https://www.philgeps.gov.ph/GEPSNONPILOT/Tender/SplashBidNoticeAbstractUI.aspx?menuIndex=3&amp;refID=7142818&amp;Result=3","7142818")</f>
        <v>0</v>
      </c>
      <c r="B6965" t="s">
        <v>1249</v>
      </c>
      <c r="C6965" t="s">
        <v>10364</v>
      </c>
      <c r="D6965" t="s">
        <v>17983</v>
      </c>
      <c r="E6965" t="s">
        <v>24151</v>
      </c>
      <c r="F6965" t="s">
        <v>30900</v>
      </c>
      <c r="G6965" t="s">
        <v>30908</v>
      </c>
      <c r="H6965" t="s">
        <v>30916</v>
      </c>
      <c r="I6965" t="s">
        <v>4108</v>
      </c>
      <c r="J6965" t="s">
        <v>31183</v>
      </c>
      <c r="K6965" t="s">
        <v>40284</v>
      </c>
      <c r="M6965" t="s">
        <v>41861</v>
      </c>
      <c r="N6965" t="s">
        <v>44759</v>
      </c>
      <c r="O6965" t="s">
        <v>44760</v>
      </c>
      <c r="P6965">
        <v>0</v>
      </c>
      <c r="Q6965">
        <v>0</v>
      </c>
      <c r="R6965" t="s">
        <v>44767</v>
      </c>
      <c r="S6965" t="s">
        <v>44954</v>
      </c>
      <c r="T6965" t="s">
        <v>46625</v>
      </c>
      <c r="U6965" t="s">
        <v>49455</v>
      </c>
      <c r="W6965" t="s">
        <v>41861</v>
      </c>
      <c r="X6965" t="s">
        <v>44768</v>
      </c>
    </row>
    <row r="6966" spans="1:24">
      <c r="A6966">
        <f>HYPERLINK("https://www.philgeps.gov.ph/GEPSNONPILOT/Tender/SplashBidNoticeAbstractUI.aspx?menuIndex=3&amp;refID=7142833&amp;Result=3","7142833")</f>
        <v>0</v>
      </c>
      <c r="B6966" t="s">
        <v>704</v>
      </c>
      <c r="C6966" t="s">
        <v>10365</v>
      </c>
      <c r="D6966" t="s">
        <v>17987</v>
      </c>
      <c r="E6966" t="s">
        <v>24152</v>
      </c>
      <c r="F6966" t="s">
        <v>30900</v>
      </c>
      <c r="G6966" t="s">
        <v>30908</v>
      </c>
      <c r="H6966" t="s">
        <v>30916</v>
      </c>
      <c r="I6966" t="s">
        <v>30924</v>
      </c>
      <c r="J6966" t="s">
        <v>31614</v>
      </c>
      <c r="K6966" t="s">
        <v>40283</v>
      </c>
      <c r="M6966" t="s">
        <v>43155</v>
      </c>
      <c r="N6966" t="s">
        <v>44759</v>
      </c>
      <c r="O6966" t="s">
        <v>44760</v>
      </c>
      <c r="P6966">
        <v>0</v>
      </c>
      <c r="Q6966">
        <v>0</v>
      </c>
      <c r="R6966" t="s">
        <v>44767</v>
      </c>
      <c r="S6966" t="s">
        <v>44954</v>
      </c>
      <c r="T6966" t="s">
        <v>46391</v>
      </c>
      <c r="U6966" t="s">
        <v>52785</v>
      </c>
      <c r="W6966" t="s">
        <v>43155</v>
      </c>
      <c r="X6966" t="s">
        <v>44768</v>
      </c>
    </row>
    <row r="6967" spans="1:24">
      <c r="A6967">
        <f>HYPERLINK("https://www.philgeps.gov.ph/GEPSNONPILOT/Tender/SplashBidNoticeAbstractUI.aspx?menuIndex=3&amp;refID=7142854&amp;Result=3","7142854")</f>
        <v>0</v>
      </c>
      <c r="B6967" t="s">
        <v>2416</v>
      </c>
      <c r="C6967" t="s">
        <v>10366</v>
      </c>
      <c r="D6967" t="s">
        <v>17993</v>
      </c>
      <c r="E6967" t="s">
        <v>24153</v>
      </c>
      <c r="F6967" t="s">
        <v>30900</v>
      </c>
      <c r="G6967" t="s">
        <v>30908</v>
      </c>
      <c r="H6967" t="s">
        <v>30916</v>
      </c>
      <c r="I6967" t="s">
        <v>30927</v>
      </c>
      <c r="J6967" t="s">
        <v>32540</v>
      </c>
      <c r="K6967" t="s">
        <v>40286</v>
      </c>
      <c r="M6967" t="s">
        <v>43143</v>
      </c>
      <c r="N6967" t="s">
        <v>44759</v>
      </c>
      <c r="O6967" t="s">
        <v>44760</v>
      </c>
      <c r="P6967">
        <v>0</v>
      </c>
      <c r="Q6967">
        <v>1</v>
      </c>
      <c r="R6967" t="s">
        <v>44767</v>
      </c>
      <c r="S6967" t="s">
        <v>44954</v>
      </c>
      <c r="T6967" t="s">
        <v>46533</v>
      </c>
      <c r="U6967" t="s">
        <v>52749</v>
      </c>
      <c r="V6967" t="s">
        <v>59866</v>
      </c>
      <c r="W6967" t="s">
        <v>43143</v>
      </c>
      <c r="X6967" t="s">
        <v>44768</v>
      </c>
    </row>
    <row r="6968" spans="1:24">
      <c r="A6968">
        <f>HYPERLINK("https://www.philgeps.gov.ph/GEPSNONPILOT/Tender/SplashBidNoticeAbstractUI.aspx?menuIndex=3&amp;refID=7142849&amp;Result=3","7142849")</f>
        <v>0</v>
      </c>
      <c r="B6968" t="s">
        <v>2389</v>
      </c>
      <c r="C6968" t="s">
        <v>10367</v>
      </c>
      <c r="D6968" t="s">
        <v>17994</v>
      </c>
      <c r="E6968" t="s">
        <v>24154</v>
      </c>
      <c r="F6968" t="s">
        <v>30900</v>
      </c>
      <c r="G6968" t="s">
        <v>30908</v>
      </c>
      <c r="H6968" t="s">
        <v>30916</v>
      </c>
      <c r="I6968" t="s">
        <v>10602</v>
      </c>
      <c r="J6968" t="s">
        <v>34475</v>
      </c>
      <c r="K6968" t="s">
        <v>40286</v>
      </c>
      <c r="M6968" t="s">
        <v>43115</v>
      </c>
      <c r="N6968" t="s">
        <v>44759</v>
      </c>
      <c r="O6968" t="s">
        <v>44760</v>
      </c>
      <c r="P6968">
        <v>0</v>
      </c>
      <c r="Q6968">
        <v>0</v>
      </c>
      <c r="R6968" t="s">
        <v>44767</v>
      </c>
      <c r="S6968" t="s">
        <v>44954</v>
      </c>
      <c r="T6968" t="s">
        <v>46531</v>
      </c>
      <c r="U6968" t="s">
        <v>52786</v>
      </c>
      <c r="W6968" t="s">
        <v>43115</v>
      </c>
      <c r="X6968" t="s">
        <v>44768</v>
      </c>
    </row>
    <row r="6969" spans="1:24">
      <c r="A6969">
        <f>HYPERLINK("https://www.philgeps.gov.ph/GEPSNONPILOT/Tender/SplashBidNoticeAbstractUI.aspx?menuIndex=3&amp;refID=7142785&amp;Result=3","7142785")</f>
        <v>0</v>
      </c>
      <c r="B6969" t="s">
        <v>2399</v>
      </c>
      <c r="C6969" t="s">
        <v>10368</v>
      </c>
      <c r="D6969" t="s">
        <v>17990</v>
      </c>
      <c r="E6969" t="s">
        <v>24155</v>
      </c>
      <c r="F6969" t="s">
        <v>30900</v>
      </c>
      <c r="G6969" t="s">
        <v>30907</v>
      </c>
      <c r="H6969" t="s">
        <v>30915</v>
      </c>
      <c r="I6969" t="s">
        <v>30919</v>
      </c>
      <c r="J6969" t="s">
        <v>31897</v>
      </c>
      <c r="K6969" t="s">
        <v>40301</v>
      </c>
      <c r="M6969" t="s">
        <v>43126</v>
      </c>
      <c r="N6969" t="s">
        <v>44759</v>
      </c>
      <c r="O6969" t="s">
        <v>44760</v>
      </c>
      <c r="P6969">
        <v>0</v>
      </c>
      <c r="Q6969">
        <v>2</v>
      </c>
      <c r="R6969" t="s">
        <v>44767</v>
      </c>
      <c r="S6969" t="s">
        <v>44954</v>
      </c>
      <c r="T6969" t="s">
        <v>46765</v>
      </c>
      <c r="U6969" t="s">
        <v>52787</v>
      </c>
      <c r="V6969" t="s">
        <v>59862</v>
      </c>
      <c r="W6969" t="s">
        <v>43126</v>
      </c>
      <c r="X6969" t="s">
        <v>44768</v>
      </c>
    </row>
    <row r="6970" spans="1:24">
      <c r="A6970">
        <f>HYPERLINK("https://www.philgeps.gov.ph/GEPSNONPILOT/Tender/SplashBidNoticeAbstractUI.aspx?menuIndex=3&amp;refID=7142834&amp;Result=3","7142834")</f>
        <v>0</v>
      </c>
      <c r="B6970" t="s">
        <v>2359</v>
      </c>
      <c r="C6970" t="s">
        <v>10369</v>
      </c>
      <c r="D6970" t="s">
        <v>18022</v>
      </c>
      <c r="E6970" t="s">
        <v>24156</v>
      </c>
      <c r="F6970" t="s">
        <v>30900</v>
      </c>
      <c r="G6970" t="s">
        <v>30907</v>
      </c>
      <c r="H6970" t="s">
        <v>30915</v>
      </c>
      <c r="I6970" t="s">
        <v>30919</v>
      </c>
      <c r="J6970" t="s">
        <v>35510</v>
      </c>
      <c r="K6970" t="s">
        <v>40289</v>
      </c>
      <c r="M6970" t="s">
        <v>43083</v>
      </c>
      <c r="N6970" t="s">
        <v>44759</v>
      </c>
      <c r="O6970" t="s">
        <v>44760</v>
      </c>
      <c r="P6970">
        <v>0</v>
      </c>
      <c r="Q6970">
        <v>1</v>
      </c>
      <c r="R6970" t="s">
        <v>44767</v>
      </c>
      <c r="S6970" t="s">
        <v>44954</v>
      </c>
      <c r="T6970" t="s">
        <v>46495</v>
      </c>
      <c r="U6970" t="s">
        <v>52788</v>
      </c>
      <c r="W6970" t="s">
        <v>60888</v>
      </c>
      <c r="X6970" t="s">
        <v>44768</v>
      </c>
    </row>
    <row r="6971" spans="1:24">
      <c r="A6971">
        <f>HYPERLINK("https://www.philgeps.gov.ph/GEPSNONPILOT/Tender/SplashBidNoticeAbstractUI.aspx?menuIndex=3&amp;refID=7142844&amp;Result=3","7142844")</f>
        <v>0</v>
      </c>
      <c r="B6971" t="s">
        <v>1363</v>
      </c>
      <c r="C6971" t="s">
        <v>10370</v>
      </c>
      <c r="D6971" t="s">
        <v>18018</v>
      </c>
      <c r="E6971" t="s">
        <v>18484</v>
      </c>
      <c r="F6971" t="s">
        <v>30900</v>
      </c>
      <c r="G6971" t="s">
        <v>30907</v>
      </c>
      <c r="H6971" t="s">
        <v>30915</v>
      </c>
      <c r="I6971" t="s">
        <v>30919</v>
      </c>
      <c r="J6971" t="s">
        <v>31243</v>
      </c>
      <c r="K6971" t="s">
        <v>40280</v>
      </c>
      <c r="M6971" t="s">
        <v>41985</v>
      </c>
      <c r="N6971" t="s">
        <v>44759</v>
      </c>
      <c r="O6971" t="s">
        <v>44760</v>
      </c>
      <c r="P6971">
        <v>0</v>
      </c>
      <c r="Q6971">
        <v>0</v>
      </c>
      <c r="R6971" t="s">
        <v>44767</v>
      </c>
      <c r="S6971" t="s">
        <v>44954</v>
      </c>
      <c r="T6971" t="s">
        <v>46689</v>
      </c>
      <c r="U6971" t="s">
        <v>52789</v>
      </c>
      <c r="V6971" t="s">
        <v>59481</v>
      </c>
      <c r="W6971" t="s">
        <v>41985</v>
      </c>
      <c r="X6971" t="s">
        <v>44768</v>
      </c>
    </row>
    <row r="6972" spans="1:24">
      <c r="A6972">
        <f>HYPERLINK("https://www.philgeps.gov.ph/GEPSNONPILOT/Tender/SplashBidNoticeAbstractUI.aspx?menuIndex=3&amp;refID=7142828&amp;Result=3","7142828")</f>
        <v>0</v>
      </c>
      <c r="B6972" t="s">
        <v>2389</v>
      </c>
      <c r="C6972" t="s">
        <v>10371</v>
      </c>
      <c r="D6972" t="s">
        <v>17994</v>
      </c>
      <c r="E6972" t="s">
        <v>24157</v>
      </c>
      <c r="F6972" t="s">
        <v>30900</v>
      </c>
      <c r="G6972" t="s">
        <v>30908</v>
      </c>
      <c r="H6972" t="s">
        <v>30916</v>
      </c>
      <c r="I6972" t="s">
        <v>6746</v>
      </c>
      <c r="J6972" t="s">
        <v>35511</v>
      </c>
      <c r="K6972" t="s">
        <v>40286</v>
      </c>
      <c r="M6972" t="s">
        <v>43115</v>
      </c>
      <c r="N6972" t="s">
        <v>44759</v>
      </c>
      <c r="O6972" t="s">
        <v>44760</v>
      </c>
      <c r="P6972">
        <v>0</v>
      </c>
      <c r="Q6972">
        <v>0</v>
      </c>
      <c r="R6972" t="s">
        <v>44767</v>
      </c>
      <c r="S6972" t="s">
        <v>44954</v>
      </c>
      <c r="T6972" t="s">
        <v>46531</v>
      </c>
      <c r="U6972" t="s">
        <v>52790</v>
      </c>
      <c r="W6972" t="s">
        <v>43115</v>
      </c>
      <c r="X6972" t="s">
        <v>44768</v>
      </c>
    </row>
    <row r="6973" spans="1:24">
      <c r="A6973">
        <f>HYPERLINK("https://www.philgeps.gov.ph/GEPSNONPILOT/Tender/SplashBidNoticeAbstractUI.aspx?menuIndex=3&amp;refID=7142827&amp;Result=3","7142827")</f>
        <v>0</v>
      </c>
      <c r="B6973" t="s">
        <v>1363</v>
      </c>
      <c r="C6973" t="s">
        <v>10372</v>
      </c>
      <c r="D6973" t="s">
        <v>18018</v>
      </c>
      <c r="E6973" t="s">
        <v>18608</v>
      </c>
      <c r="F6973" t="s">
        <v>30900</v>
      </c>
      <c r="G6973" t="s">
        <v>30907</v>
      </c>
      <c r="H6973" t="s">
        <v>30915</v>
      </c>
      <c r="I6973" t="s">
        <v>30919</v>
      </c>
      <c r="J6973" t="s">
        <v>31243</v>
      </c>
      <c r="K6973" t="s">
        <v>40308</v>
      </c>
      <c r="M6973" t="s">
        <v>41985</v>
      </c>
      <c r="N6973" t="s">
        <v>44759</v>
      </c>
      <c r="O6973" t="s">
        <v>44760</v>
      </c>
      <c r="P6973">
        <v>0</v>
      </c>
      <c r="Q6973">
        <v>0</v>
      </c>
      <c r="R6973" t="s">
        <v>44767</v>
      </c>
      <c r="S6973" t="s">
        <v>44954</v>
      </c>
      <c r="T6973" t="s">
        <v>46689</v>
      </c>
      <c r="U6973" t="s">
        <v>52791</v>
      </c>
      <c r="V6973" t="s">
        <v>59481</v>
      </c>
      <c r="W6973" t="s">
        <v>41985</v>
      </c>
      <c r="X6973" t="s">
        <v>44768</v>
      </c>
    </row>
    <row r="6974" spans="1:24">
      <c r="A6974">
        <f>HYPERLINK("https://www.philgeps.gov.ph/GEPSNONPILOT/Tender/SplashBidNoticeAbstractUI.aspx?menuIndex=3&amp;refID=7142839&amp;Result=3","7142839")</f>
        <v>0</v>
      </c>
      <c r="B6974" t="s">
        <v>2389</v>
      </c>
      <c r="C6974" t="s">
        <v>10373</v>
      </c>
      <c r="D6974" t="s">
        <v>17994</v>
      </c>
      <c r="E6974" t="s">
        <v>24158</v>
      </c>
      <c r="F6974" t="s">
        <v>30900</v>
      </c>
      <c r="G6974" t="s">
        <v>30908</v>
      </c>
      <c r="H6974" t="s">
        <v>30916</v>
      </c>
      <c r="I6974" t="s">
        <v>10602</v>
      </c>
      <c r="J6974" t="s">
        <v>33641</v>
      </c>
      <c r="K6974" t="s">
        <v>40286</v>
      </c>
      <c r="M6974" t="s">
        <v>43115</v>
      </c>
      <c r="N6974" t="s">
        <v>44759</v>
      </c>
      <c r="O6974" t="s">
        <v>44760</v>
      </c>
      <c r="P6974">
        <v>0</v>
      </c>
      <c r="Q6974">
        <v>0</v>
      </c>
      <c r="R6974" t="s">
        <v>44767</v>
      </c>
      <c r="S6974" t="s">
        <v>44954</v>
      </c>
      <c r="T6974" t="s">
        <v>46531</v>
      </c>
      <c r="U6974" t="s">
        <v>52792</v>
      </c>
      <c r="W6974" t="s">
        <v>43115</v>
      </c>
      <c r="X6974" t="s">
        <v>44768</v>
      </c>
    </row>
    <row r="6975" spans="1:24">
      <c r="A6975">
        <f>HYPERLINK("https://www.philgeps.gov.ph/GEPSNONPILOT/Tender/SplashBidNoticeAbstractUI.aspx?menuIndex=3&amp;refID=7142824&amp;Result=3","7142824")</f>
        <v>0</v>
      </c>
      <c r="B6975" t="s">
        <v>1487</v>
      </c>
      <c r="C6975" t="s">
        <v>10374</v>
      </c>
      <c r="D6975" t="s">
        <v>18011</v>
      </c>
      <c r="E6975" t="s">
        <v>24159</v>
      </c>
      <c r="F6975" t="s">
        <v>30900</v>
      </c>
      <c r="G6975" t="s">
        <v>30908</v>
      </c>
      <c r="H6975" t="s">
        <v>30916</v>
      </c>
      <c r="I6975" t="s">
        <v>30939</v>
      </c>
      <c r="J6975" t="s">
        <v>35512</v>
      </c>
      <c r="K6975" t="s">
        <v>40283</v>
      </c>
      <c r="M6975" t="s">
        <v>42124</v>
      </c>
      <c r="N6975" t="s">
        <v>44759</v>
      </c>
      <c r="O6975" t="s">
        <v>44760</v>
      </c>
      <c r="P6975">
        <v>0</v>
      </c>
      <c r="Q6975">
        <v>0</v>
      </c>
      <c r="R6975" t="s">
        <v>44767</v>
      </c>
      <c r="S6975" t="s">
        <v>44954</v>
      </c>
      <c r="T6975" t="s">
        <v>46534</v>
      </c>
      <c r="U6975" t="s">
        <v>52793</v>
      </c>
      <c r="W6975" t="s">
        <v>42124</v>
      </c>
      <c r="X6975" t="s">
        <v>44768</v>
      </c>
    </row>
    <row r="6976" spans="1:24">
      <c r="A6976">
        <f>HYPERLINK("https://www.philgeps.gov.ph/GEPSNONPILOT/Tender/SplashBidNoticeAbstractUI.aspx?menuIndex=3&amp;refID=7142859&amp;Result=3","7142859")</f>
        <v>0</v>
      </c>
      <c r="B6976" t="s">
        <v>2426</v>
      </c>
      <c r="C6976" t="s">
        <v>10375</v>
      </c>
      <c r="D6976" t="s">
        <v>17963</v>
      </c>
      <c r="E6976" t="s">
        <v>20679</v>
      </c>
      <c r="F6976" t="s">
        <v>30900</v>
      </c>
      <c r="G6976" t="s">
        <v>30907</v>
      </c>
      <c r="H6976" t="s">
        <v>30916</v>
      </c>
      <c r="I6976" t="s">
        <v>10847</v>
      </c>
      <c r="J6976" t="s">
        <v>35513</v>
      </c>
      <c r="K6976" t="s">
        <v>40287</v>
      </c>
      <c r="M6976" t="s">
        <v>43156</v>
      </c>
      <c r="N6976" t="s">
        <v>44759</v>
      </c>
      <c r="O6976" t="s">
        <v>44760</v>
      </c>
      <c r="P6976">
        <v>0</v>
      </c>
      <c r="Q6976">
        <v>0</v>
      </c>
      <c r="R6976" t="s">
        <v>44767</v>
      </c>
      <c r="S6976" t="s">
        <v>44954</v>
      </c>
      <c r="T6976" t="s">
        <v>46374</v>
      </c>
      <c r="U6976" t="s">
        <v>50643</v>
      </c>
      <c r="W6976" t="s">
        <v>43156</v>
      </c>
      <c r="X6976" t="s">
        <v>44768</v>
      </c>
    </row>
    <row r="6977" spans="1:24">
      <c r="A6977">
        <f>HYPERLINK("https://www.philgeps.gov.ph/GEPSNONPILOT/Tender/SplashBidNoticeAbstractUI.aspx?menuIndex=3&amp;refID=7142858&amp;Result=3","7142858")</f>
        <v>0</v>
      </c>
      <c r="B6977" t="s">
        <v>1487</v>
      </c>
      <c r="C6977" t="s">
        <v>10376</v>
      </c>
      <c r="D6977" t="s">
        <v>18011</v>
      </c>
      <c r="E6977" t="s">
        <v>24160</v>
      </c>
      <c r="F6977" t="s">
        <v>30900</v>
      </c>
      <c r="G6977" t="s">
        <v>30909</v>
      </c>
      <c r="H6977" t="s">
        <v>30916</v>
      </c>
      <c r="I6977" t="s">
        <v>30959</v>
      </c>
      <c r="J6977" t="s">
        <v>31043</v>
      </c>
      <c r="K6977" t="s">
        <v>40283</v>
      </c>
      <c r="M6977" t="s">
        <v>42124</v>
      </c>
      <c r="N6977" t="s">
        <v>44759</v>
      </c>
      <c r="O6977" t="s">
        <v>44760</v>
      </c>
      <c r="P6977">
        <v>0</v>
      </c>
      <c r="Q6977">
        <v>0</v>
      </c>
      <c r="R6977" t="s">
        <v>44767</v>
      </c>
      <c r="S6977" t="s">
        <v>44954</v>
      </c>
      <c r="T6977" t="s">
        <v>46534</v>
      </c>
      <c r="U6977" t="s">
        <v>52794</v>
      </c>
      <c r="W6977" t="s">
        <v>42124</v>
      </c>
      <c r="X6977" t="s">
        <v>44768</v>
      </c>
    </row>
    <row r="6978" spans="1:24">
      <c r="A6978">
        <f>HYPERLINK("https://www.philgeps.gov.ph/GEPSNONPILOT/Tender/SplashBidNoticeAbstractUI.aspx?menuIndex=3&amp;refID=7142885&amp;Result=3","7142885")</f>
        <v>0</v>
      </c>
      <c r="B6978" t="s">
        <v>2389</v>
      </c>
      <c r="C6978" t="s">
        <v>10377</v>
      </c>
      <c r="D6978" t="s">
        <v>17994</v>
      </c>
      <c r="E6978" t="s">
        <v>24161</v>
      </c>
      <c r="F6978" t="s">
        <v>30900</v>
      </c>
      <c r="G6978" t="s">
        <v>30908</v>
      </c>
      <c r="H6978" t="s">
        <v>30916</v>
      </c>
      <c r="I6978" t="s">
        <v>30947</v>
      </c>
      <c r="J6978" t="s">
        <v>31669</v>
      </c>
      <c r="K6978" t="s">
        <v>40286</v>
      </c>
      <c r="M6978" t="s">
        <v>43115</v>
      </c>
      <c r="N6978" t="s">
        <v>44759</v>
      </c>
      <c r="O6978" t="s">
        <v>44760</v>
      </c>
      <c r="P6978">
        <v>0</v>
      </c>
      <c r="Q6978">
        <v>2</v>
      </c>
      <c r="R6978" t="s">
        <v>44767</v>
      </c>
      <c r="S6978" t="s">
        <v>44954</v>
      </c>
      <c r="T6978" t="s">
        <v>46531</v>
      </c>
      <c r="U6978" t="s">
        <v>52795</v>
      </c>
      <c r="W6978" t="s">
        <v>43115</v>
      </c>
      <c r="X6978" t="s">
        <v>44768</v>
      </c>
    </row>
    <row r="6979" spans="1:24">
      <c r="A6979">
        <f>HYPERLINK("https://www.philgeps.gov.ph/GEPSNONPILOT/Tender/SplashBidNoticeAbstractUI.aspx?menuIndex=3&amp;refID=7142845&amp;Result=3","7142845")</f>
        <v>0</v>
      </c>
      <c r="B6979" t="s">
        <v>222</v>
      </c>
      <c r="C6979" t="s">
        <v>10378</v>
      </c>
      <c r="D6979" t="s">
        <v>17992</v>
      </c>
      <c r="E6979" t="s">
        <v>24162</v>
      </c>
      <c r="F6979" t="s">
        <v>30900</v>
      </c>
      <c r="G6979" t="s">
        <v>30908</v>
      </c>
      <c r="H6979" t="s">
        <v>30915</v>
      </c>
      <c r="I6979" t="s">
        <v>30919</v>
      </c>
      <c r="J6979" t="s">
        <v>35514</v>
      </c>
      <c r="K6979" t="s">
        <v>40286</v>
      </c>
      <c r="M6979" t="s">
        <v>43157</v>
      </c>
      <c r="N6979" t="s">
        <v>44759</v>
      </c>
      <c r="O6979" t="s">
        <v>44760</v>
      </c>
      <c r="P6979">
        <v>0</v>
      </c>
      <c r="Q6979">
        <v>0</v>
      </c>
      <c r="R6979" t="s">
        <v>44767</v>
      </c>
      <c r="S6979" t="s">
        <v>44954</v>
      </c>
      <c r="T6979" t="s">
        <v>46623</v>
      </c>
      <c r="U6979" t="s">
        <v>52796</v>
      </c>
      <c r="W6979" t="s">
        <v>43157</v>
      </c>
      <c r="X6979" t="s">
        <v>44768</v>
      </c>
    </row>
    <row r="6980" spans="1:24">
      <c r="A6980">
        <f>HYPERLINK("https://www.philgeps.gov.ph/GEPSNONPILOT/Tender/SplashBidNoticeAbstractUI.aspx?menuIndex=3&amp;refID=7142826&amp;Result=3","7142826")</f>
        <v>0</v>
      </c>
      <c r="B6980" t="s">
        <v>1430</v>
      </c>
      <c r="C6980" t="s">
        <v>10379</v>
      </c>
      <c r="D6980" t="s">
        <v>17985</v>
      </c>
      <c r="E6980" t="s">
        <v>24163</v>
      </c>
      <c r="F6980" t="s">
        <v>30900</v>
      </c>
      <c r="G6980" t="s">
        <v>30909</v>
      </c>
      <c r="H6980" t="s">
        <v>30916</v>
      </c>
      <c r="I6980" t="s">
        <v>30921</v>
      </c>
      <c r="J6980" t="s">
        <v>35515</v>
      </c>
      <c r="K6980" t="s">
        <v>40285</v>
      </c>
      <c r="M6980" t="s">
        <v>42062</v>
      </c>
      <c r="N6980" t="s">
        <v>44759</v>
      </c>
      <c r="O6980" t="s">
        <v>44760</v>
      </c>
      <c r="P6980">
        <v>0</v>
      </c>
      <c r="Q6980">
        <v>1</v>
      </c>
      <c r="R6980" t="s">
        <v>44767</v>
      </c>
      <c r="S6980" t="s">
        <v>44954</v>
      </c>
      <c r="T6980" t="s">
        <v>46658</v>
      </c>
      <c r="U6980" t="s">
        <v>52797</v>
      </c>
      <c r="V6980" t="s">
        <v>59556</v>
      </c>
      <c r="W6980" t="s">
        <v>42062</v>
      </c>
      <c r="X6980" t="s">
        <v>44768</v>
      </c>
    </row>
    <row r="6981" spans="1:24">
      <c r="A6981">
        <f>HYPERLINK("https://www.philgeps.gov.ph/GEPSNONPILOT/Tender/SplashBidNoticeAbstractUI.aspx?menuIndex=3&amp;refID=7142884&amp;Result=3","7142884")</f>
        <v>0</v>
      </c>
      <c r="B6981" t="s">
        <v>25</v>
      </c>
      <c r="C6981" t="s">
        <v>10380</v>
      </c>
      <c r="D6981" t="s">
        <v>17952</v>
      </c>
      <c r="E6981" t="s">
        <v>24164</v>
      </c>
      <c r="F6981" t="s">
        <v>30900</v>
      </c>
      <c r="G6981" t="s">
        <v>30908</v>
      </c>
      <c r="H6981" t="s">
        <v>30916</v>
      </c>
      <c r="I6981" t="s">
        <v>6396</v>
      </c>
      <c r="J6981" t="s">
        <v>31048</v>
      </c>
      <c r="K6981" t="s">
        <v>40287</v>
      </c>
      <c r="M6981" t="s">
        <v>40571</v>
      </c>
      <c r="N6981" t="s">
        <v>44759</v>
      </c>
      <c r="O6981" t="s">
        <v>44760</v>
      </c>
      <c r="P6981">
        <v>0</v>
      </c>
      <c r="Q6981">
        <v>1</v>
      </c>
      <c r="R6981" t="s">
        <v>44767</v>
      </c>
      <c r="S6981" t="s">
        <v>44954</v>
      </c>
      <c r="T6981" t="s">
        <v>46440</v>
      </c>
      <c r="U6981" t="s">
        <v>52798</v>
      </c>
      <c r="W6981" t="s">
        <v>40571</v>
      </c>
      <c r="X6981" t="s">
        <v>44768</v>
      </c>
    </row>
    <row r="6982" spans="1:24">
      <c r="A6982">
        <f>HYPERLINK("https://www.philgeps.gov.ph/GEPSNONPILOT/Tender/SplashBidNoticeAbstractUI.aspx?menuIndex=3&amp;refID=7142823&amp;Result=3","7142823")</f>
        <v>0</v>
      </c>
      <c r="B6982" t="s">
        <v>1595</v>
      </c>
      <c r="C6982" t="s">
        <v>10381</v>
      </c>
      <c r="D6982" t="s">
        <v>17962</v>
      </c>
      <c r="E6982" t="s">
        <v>24165</v>
      </c>
      <c r="F6982" t="s">
        <v>30900</v>
      </c>
      <c r="G6982" t="s">
        <v>30908</v>
      </c>
      <c r="H6982" t="s">
        <v>30916</v>
      </c>
      <c r="I6982" t="s">
        <v>8123</v>
      </c>
      <c r="J6982" t="s">
        <v>35516</v>
      </c>
      <c r="K6982" t="s">
        <v>40283</v>
      </c>
      <c r="M6982" t="s">
        <v>42244</v>
      </c>
      <c r="N6982" t="s">
        <v>44759</v>
      </c>
      <c r="O6982" t="s">
        <v>44760</v>
      </c>
      <c r="P6982">
        <v>0</v>
      </c>
      <c r="Q6982">
        <v>0</v>
      </c>
      <c r="R6982" t="s">
        <v>44767</v>
      </c>
      <c r="S6982" t="s">
        <v>44954</v>
      </c>
      <c r="T6982" t="s">
        <v>46625</v>
      </c>
      <c r="U6982" t="s">
        <v>52767</v>
      </c>
      <c r="W6982" t="s">
        <v>42244</v>
      </c>
      <c r="X6982" t="s">
        <v>44768</v>
      </c>
    </row>
    <row r="6983" spans="1:24">
      <c r="A6983">
        <f>HYPERLINK("https://www.philgeps.gov.ph/GEPSNONPILOT/Tender/SplashBidNoticeAbstractUI.aspx?menuIndex=3&amp;refID=7142821&amp;Result=3","7142821")</f>
        <v>0</v>
      </c>
      <c r="B6983" t="s">
        <v>527</v>
      </c>
      <c r="C6983" t="s">
        <v>10382</v>
      </c>
      <c r="D6983" t="s">
        <v>17961</v>
      </c>
      <c r="E6983" t="s">
        <v>24166</v>
      </c>
      <c r="F6983" t="s">
        <v>30900</v>
      </c>
      <c r="G6983" t="s">
        <v>30908</v>
      </c>
      <c r="H6983" t="s">
        <v>30916</v>
      </c>
      <c r="I6983" t="s">
        <v>10879</v>
      </c>
      <c r="J6983" t="s">
        <v>31096</v>
      </c>
      <c r="K6983" t="s">
        <v>40284</v>
      </c>
      <c r="M6983" t="s">
        <v>41087</v>
      </c>
      <c r="N6983" t="s">
        <v>44759</v>
      </c>
      <c r="O6983" t="s">
        <v>44760</v>
      </c>
      <c r="P6983">
        <v>0</v>
      </c>
      <c r="Q6983">
        <v>2</v>
      </c>
      <c r="R6983" t="s">
        <v>44767</v>
      </c>
      <c r="S6983" t="s">
        <v>44954</v>
      </c>
      <c r="T6983" t="s">
        <v>46391</v>
      </c>
      <c r="U6983" t="s">
        <v>47825</v>
      </c>
      <c r="W6983" t="s">
        <v>41087</v>
      </c>
      <c r="X6983" t="s">
        <v>44768</v>
      </c>
    </row>
    <row r="6984" spans="1:24">
      <c r="A6984">
        <f>HYPERLINK("https://www.philgeps.gov.ph/GEPSNONPILOT/Tender/SplashBidNoticeAbstractUI.aspx?menuIndex=3&amp;refID=7142893&amp;Result=3","7142893")</f>
        <v>0</v>
      </c>
      <c r="B6984" t="s">
        <v>1430</v>
      </c>
      <c r="C6984" t="s">
        <v>10383</v>
      </c>
      <c r="D6984" t="s">
        <v>17985</v>
      </c>
      <c r="E6984" t="s">
        <v>24167</v>
      </c>
      <c r="F6984" t="s">
        <v>30900</v>
      </c>
      <c r="G6984" t="s">
        <v>30909</v>
      </c>
      <c r="H6984" t="s">
        <v>30916</v>
      </c>
      <c r="I6984" t="s">
        <v>30921</v>
      </c>
      <c r="J6984" t="s">
        <v>31284</v>
      </c>
      <c r="K6984" t="s">
        <v>40285</v>
      </c>
      <c r="M6984" t="s">
        <v>42062</v>
      </c>
      <c r="N6984" t="s">
        <v>44759</v>
      </c>
      <c r="O6984" t="s">
        <v>44760</v>
      </c>
      <c r="P6984">
        <v>0</v>
      </c>
      <c r="Q6984">
        <v>2</v>
      </c>
      <c r="R6984" t="s">
        <v>44767</v>
      </c>
      <c r="S6984" t="s">
        <v>44954</v>
      </c>
      <c r="T6984" t="s">
        <v>46658</v>
      </c>
      <c r="U6984" t="s">
        <v>52799</v>
      </c>
      <c r="V6984" t="s">
        <v>59556</v>
      </c>
      <c r="W6984" t="s">
        <v>42062</v>
      </c>
      <c r="X6984" t="s">
        <v>44768</v>
      </c>
    </row>
    <row r="6985" spans="1:24">
      <c r="A6985">
        <f>HYPERLINK("https://www.philgeps.gov.ph/GEPSNONPILOT/Tender/SplashBidNoticeAbstractUI.aspx?menuIndex=3&amp;refID=7142852&amp;Result=3","7142852")</f>
        <v>0</v>
      </c>
      <c r="B6985" t="s">
        <v>504</v>
      </c>
      <c r="C6985" t="s">
        <v>10384</v>
      </c>
      <c r="D6985" t="s">
        <v>18012</v>
      </c>
      <c r="E6985" t="s">
        <v>24168</v>
      </c>
      <c r="F6985" t="s">
        <v>30900</v>
      </c>
      <c r="G6985" t="s">
        <v>30907</v>
      </c>
      <c r="H6985" t="s">
        <v>30916</v>
      </c>
      <c r="I6985" t="s">
        <v>8123</v>
      </c>
      <c r="J6985" t="s">
        <v>35517</v>
      </c>
      <c r="K6985" t="s">
        <v>40289</v>
      </c>
      <c r="M6985" t="s">
        <v>41064</v>
      </c>
      <c r="N6985" t="s">
        <v>44759</v>
      </c>
      <c r="O6985" t="s">
        <v>44760</v>
      </c>
      <c r="P6985">
        <v>0</v>
      </c>
      <c r="Q6985">
        <v>1</v>
      </c>
      <c r="R6985" t="s">
        <v>44767</v>
      </c>
      <c r="S6985" t="s">
        <v>44954</v>
      </c>
      <c r="T6985" t="s">
        <v>46531</v>
      </c>
      <c r="U6985" t="s">
        <v>52800</v>
      </c>
      <c r="W6985" t="s">
        <v>41064</v>
      </c>
      <c r="X6985" t="s">
        <v>44768</v>
      </c>
    </row>
    <row r="6986" spans="1:24">
      <c r="A6986">
        <f>HYPERLINK("https://www.philgeps.gov.ph/GEPSNONPILOT/Tender/SplashBidNoticeAbstractUI.aspx?menuIndex=3&amp;refID=7142789&amp;Result=3","7142789")</f>
        <v>0</v>
      </c>
      <c r="B6986" t="s">
        <v>2416</v>
      </c>
      <c r="C6986" t="s">
        <v>10385</v>
      </c>
      <c r="D6986" t="s">
        <v>17993</v>
      </c>
      <c r="E6986" t="s">
        <v>24169</v>
      </c>
      <c r="F6986" t="s">
        <v>30900</v>
      </c>
      <c r="G6986" t="s">
        <v>30908</v>
      </c>
      <c r="H6986" t="s">
        <v>30916</v>
      </c>
      <c r="I6986" t="s">
        <v>30933</v>
      </c>
      <c r="J6986" t="s">
        <v>35518</v>
      </c>
      <c r="K6986" t="s">
        <v>40286</v>
      </c>
      <c r="M6986" t="s">
        <v>43143</v>
      </c>
      <c r="N6986" t="s">
        <v>44759</v>
      </c>
      <c r="O6986" t="s">
        <v>44760</v>
      </c>
      <c r="P6986">
        <v>0</v>
      </c>
      <c r="Q6986">
        <v>1</v>
      </c>
      <c r="R6986" t="s">
        <v>44767</v>
      </c>
      <c r="S6986" t="s">
        <v>44954</v>
      </c>
      <c r="T6986" t="s">
        <v>46533</v>
      </c>
      <c r="U6986" t="s">
        <v>52749</v>
      </c>
      <c r="V6986" t="s">
        <v>59866</v>
      </c>
      <c r="W6986" t="s">
        <v>43143</v>
      </c>
      <c r="X6986" t="s">
        <v>44768</v>
      </c>
    </row>
    <row r="6987" spans="1:24">
      <c r="A6987">
        <f>HYPERLINK("https://www.philgeps.gov.ph/GEPSNONPILOT/Tender/SplashBidNoticeAbstractUI.aspx?menuIndex=3&amp;refID=7142892&amp;Result=3","7142892")</f>
        <v>0</v>
      </c>
      <c r="B6987" t="s">
        <v>2427</v>
      </c>
      <c r="C6987" t="s">
        <v>10386</v>
      </c>
      <c r="D6987" t="s">
        <v>18031</v>
      </c>
      <c r="E6987" t="s">
        <v>24170</v>
      </c>
      <c r="F6987" t="s">
        <v>30900</v>
      </c>
      <c r="G6987" t="s">
        <v>30907</v>
      </c>
      <c r="H6987" t="s">
        <v>30915</v>
      </c>
      <c r="I6987" t="s">
        <v>30919</v>
      </c>
      <c r="J6987" t="s">
        <v>35519</v>
      </c>
      <c r="K6987" t="s">
        <v>40437</v>
      </c>
      <c r="M6987" t="s">
        <v>43158</v>
      </c>
      <c r="N6987" t="s">
        <v>44759</v>
      </c>
      <c r="O6987" t="s">
        <v>44760</v>
      </c>
      <c r="P6987">
        <v>0</v>
      </c>
      <c r="Q6987">
        <v>0</v>
      </c>
      <c r="R6987" t="s">
        <v>44767</v>
      </c>
      <c r="S6987" t="s">
        <v>44954</v>
      </c>
      <c r="T6987" t="s">
        <v>46450</v>
      </c>
      <c r="U6987" t="s">
        <v>52801</v>
      </c>
      <c r="W6987" t="s">
        <v>43158</v>
      </c>
      <c r="X6987" t="s">
        <v>44768</v>
      </c>
    </row>
    <row r="6988" spans="1:24">
      <c r="A6988">
        <f>HYPERLINK("https://www.philgeps.gov.ph/GEPSNONPILOT/Tender/SplashBidNoticeAbstractUI.aspx?menuIndex=3&amp;refID=7142881&amp;Result=3","7142881")</f>
        <v>0</v>
      </c>
      <c r="B6988" t="s">
        <v>704</v>
      </c>
      <c r="C6988" t="s">
        <v>10387</v>
      </c>
      <c r="D6988" t="s">
        <v>17987</v>
      </c>
      <c r="E6988" t="s">
        <v>24171</v>
      </c>
      <c r="F6988" t="s">
        <v>30900</v>
      </c>
      <c r="G6988" t="s">
        <v>30908</v>
      </c>
      <c r="H6988" t="s">
        <v>30916</v>
      </c>
      <c r="I6988" t="s">
        <v>4108</v>
      </c>
      <c r="J6988" t="s">
        <v>35520</v>
      </c>
      <c r="K6988" t="s">
        <v>40283</v>
      </c>
      <c r="M6988" t="s">
        <v>42242</v>
      </c>
      <c r="N6988" t="s">
        <v>44759</v>
      </c>
      <c r="O6988" t="s">
        <v>44760</v>
      </c>
      <c r="P6988">
        <v>0</v>
      </c>
      <c r="Q6988">
        <v>0</v>
      </c>
      <c r="R6988" t="s">
        <v>44767</v>
      </c>
      <c r="S6988" t="s">
        <v>44954</v>
      </c>
      <c r="T6988" t="s">
        <v>46410</v>
      </c>
      <c r="U6988" t="s">
        <v>52802</v>
      </c>
      <c r="W6988" t="s">
        <v>42242</v>
      </c>
      <c r="X6988" t="s">
        <v>44768</v>
      </c>
    </row>
    <row r="6989" spans="1:24">
      <c r="A6989">
        <f>HYPERLINK("https://www.philgeps.gov.ph/GEPSNONPILOT/Tender/SplashBidNoticeAbstractUI.aspx?menuIndex=3&amp;refID=7142879&amp;Result=3","7142879")</f>
        <v>0</v>
      </c>
      <c r="B6989" t="s">
        <v>2359</v>
      </c>
      <c r="C6989" t="s">
        <v>10388</v>
      </c>
      <c r="D6989" t="s">
        <v>18022</v>
      </c>
      <c r="E6989" t="s">
        <v>24172</v>
      </c>
      <c r="F6989" t="s">
        <v>30900</v>
      </c>
      <c r="G6989" t="s">
        <v>30907</v>
      </c>
      <c r="H6989" t="s">
        <v>30915</v>
      </c>
      <c r="I6989" t="s">
        <v>30919</v>
      </c>
      <c r="J6989" t="s">
        <v>35521</v>
      </c>
      <c r="K6989" t="s">
        <v>40289</v>
      </c>
      <c r="M6989" t="s">
        <v>43083</v>
      </c>
      <c r="N6989" t="s">
        <v>44759</v>
      </c>
      <c r="O6989" t="s">
        <v>44760</v>
      </c>
      <c r="P6989">
        <v>0</v>
      </c>
      <c r="Q6989">
        <v>1</v>
      </c>
      <c r="R6989" t="s">
        <v>44767</v>
      </c>
      <c r="S6989" t="s">
        <v>44954</v>
      </c>
      <c r="T6989" t="s">
        <v>46495</v>
      </c>
      <c r="U6989" t="s">
        <v>52803</v>
      </c>
      <c r="W6989" t="s">
        <v>60888</v>
      </c>
      <c r="X6989" t="s">
        <v>44768</v>
      </c>
    </row>
    <row r="6990" spans="1:24">
      <c r="A6990">
        <f>HYPERLINK("https://www.philgeps.gov.ph/GEPSNONPILOT/Tender/SplashBidNoticeAbstractUI.aspx?menuIndex=3&amp;refID=7142901&amp;Result=3","7142901")</f>
        <v>0</v>
      </c>
      <c r="B6990" t="s">
        <v>2428</v>
      </c>
      <c r="C6990" t="s">
        <v>10389</v>
      </c>
      <c r="D6990" t="s">
        <v>18002</v>
      </c>
      <c r="E6990" t="s">
        <v>24173</v>
      </c>
      <c r="F6990" t="s">
        <v>30900</v>
      </c>
      <c r="G6990" t="s">
        <v>30908</v>
      </c>
      <c r="H6990" t="s">
        <v>30916</v>
      </c>
      <c r="I6990" t="s">
        <v>30924</v>
      </c>
      <c r="J6990" t="s">
        <v>35522</v>
      </c>
      <c r="K6990" t="s">
        <v>40287</v>
      </c>
      <c r="M6990" t="s">
        <v>43159</v>
      </c>
      <c r="N6990" t="s">
        <v>44759</v>
      </c>
      <c r="O6990" t="s">
        <v>44760</v>
      </c>
      <c r="P6990">
        <v>0</v>
      </c>
      <c r="Q6990">
        <v>3</v>
      </c>
      <c r="R6990" t="s">
        <v>44767</v>
      </c>
      <c r="S6990" t="s">
        <v>44954</v>
      </c>
      <c r="T6990" t="s">
        <v>46658</v>
      </c>
      <c r="U6990" t="s">
        <v>52804</v>
      </c>
      <c r="V6990" t="s">
        <v>59872</v>
      </c>
      <c r="W6990" t="s">
        <v>43159</v>
      </c>
      <c r="X6990" t="s">
        <v>44768</v>
      </c>
    </row>
    <row r="6991" spans="1:24">
      <c r="A6991">
        <f>HYPERLINK("https://www.philgeps.gov.ph/GEPSNONPILOT/Tender/SplashBidNoticeAbstractUI.aspx?menuIndex=3&amp;refID=7142878&amp;Result=3","7142878")</f>
        <v>0</v>
      </c>
      <c r="B6991" t="s">
        <v>2410</v>
      </c>
      <c r="C6991" t="s">
        <v>10390</v>
      </c>
      <c r="D6991" t="s">
        <v>17990</v>
      </c>
      <c r="E6991" t="s">
        <v>24174</v>
      </c>
      <c r="F6991" t="s">
        <v>30900</v>
      </c>
      <c r="G6991" t="s">
        <v>30907</v>
      </c>
      <c r="H6991" t="s">
        <v>30916</v>
      </c>
      <c r="I6991" t="s">
        <v>4142</v>
      </c>
      <c r="J6991" t="s">
        <v>35523</v>
      </c>
      <c r="K6991" t="s">
        <v>40284</v>
      </c>
      <c r="M6991" t="s">
        <v>43137</v>
      </c>
      <c r="N6991" t="s">
        <v>44759</v>
      </c>
      <c r="O6991" t="s">
        <v>44760</v>
      </c>
      <c r="P6991">
        <v>0</v>
      </c>
      <c r="Q6991">
        <v>5</v>
      </c>
      <c r="R6991" t="s">
        <v>44767</v>
      </c>
      <c r="S6991" t="s">
        <v>44954</v>
      </c>
      <c r="T6991" t="s">
        <v>46641</v>
      </c>
      <c r="U6991" t="s">
        <v>52805</v>
      </c>
      <c r="W6991" t="s">
        <v>43137</v>
      </c>
      <c r="X6991" t="s">
        <v>44768</v>
      </c>
    </row>
    <row r="6992" spans="1:24">
      <c r="A6992">
        <f>HYPERLINK("https://www.philgeps.gov.ph/GEPSNONPILOT/Tender/SplashBidNoticeAbstractUI.aspx?menuIndex=3&amp;refID=7142870&amp;Result=3","7142870")</f>
        <v>0</v>
      </c>
      <c r="B6992" t="s">
        <v>286</v>
      </c>
      <c r="C6992" t="s">
        <v>10391</v>
      </c>
      <c r="D6992" t="s">
        <v>17977</v>
      </c>
      <c r="E6992" t="s">
        <v>24175</v>
      </c>
      <c r="F6992" t="s">
        <v>30900</v>
      </c>
      <c r="G6992" t="s">
        <v>30908</v>
      </c>
      <c r="H6992" t="s">
        <v>30916</v>
      </c>
      <c r="I6992" t="s">
        <v>4017</v>
      </c>
      <c r="J6992" t="s">
        <v>31050</v>
      </c>
      <c r="K6992" t="s">
        <v>40283</v>
      </c>
      <c r="M6992" t="s">
        <v>40834</v>
      </c>
      <c r="N6992" t="s">
        <v>44759</v>
      </c>
      <c r="O6992" t="s">
        <v>44760</v>
      </c>
      <c r="P6992">
        <v>0</v>
      </c>
      <c r="Q6992">
        <v>2</v>
      </c>
      <c r="R6992" t="s">
        <v>44767</v>
      </c>
      <c r="S6992" t="s">
        <v>44954</v>
      </c>
      <c r="T6992" t="s">
        <v>46533</v>
      </c>
      <c r="U6992" t="s">
        <v>52806</v>
      </c>
      <c r="V6992" t="s">
        <v>59873</v>
      </c>
      <c r="W6992" t="s">
        <v>40834</v>
      </c>
      <c r="X6992" t="s">
        <v>44768</v>
      </c>
    </row>
    <row r="6993" spans="1:24">
      <c r="A6993">
        <f>HYPERLINK("https://www.philgeps.gov.ph/GEPSNONPILOT/Tender/SplashBidNoticeAbstractUI.aspx?menuIndex=3&amp;refID=7142795&amp;Result=3","7142795")</f>
        <v>0</v>
      </c>
      <c r="B6993" t="s">
        <v>1363</v>
      </c>
      <c r="C6993" t="s">
        <v>10392</v>
      </c>
      <c r="D6993" t="s">
        <v>18018</v>
      </c>
      <c r="E6993" t="s">
        <v>18149</v>
      </c>
      <c r="F6993" t="s">
        <v>30900</v>
      </c>
      <c r="G6993" t="s">
        <v>30907</v>
      </c>
      <c r="H6993" t="s">
        <v>30915</v>
      </c>
      <c r="I6993" t="s">
        <v>30919</v>
      </c>
      <c r="J6993" t="s">
        <v>31243</v>
      </c>
      <c r="K6993" t="s">
        <v>40280</v>
      </c>
      <c r="M6993" t="s">
        <v>41985</v>
      </c>
      <c r="N6993" t="s">
        <v>44759</v>
      </c>
      <c r="O6993" t="s">
        <v>44760</v>
      </c>
      <c r="P6993">
        <v>0</v>
      </c>
      <c r="Q6993">
        <v>0</v>
      </c>
      <c r="R6993" t="s">
        <v>44767</v>
      </c>
      <c r="S6993" t="s">
        <v>44954</v>
      </c>
      <c r="T6993" t="s">
        <v>46689</v>
      </c>
      <c r="U6993" t="s">
        <v>52807</v>
      </c>
      <c r="V6993" t="s">
        <v>59481</v>
      </c>
      <c r="W6993" t="s">
        <v>41985</v>
      </c>
      <c r="X6993" t="s">
        <v>44768</v>
      </c>
    </row>
    <row r="6994" spans="1:24">
      <c r="A6994">
        <f>HYPERLINK("https://www.philgeps.gov.ph/GEPSNONPILOT/Tender/SplashBidNoticeAbstractUI.aspx?menuIndex=3&amp;refID=7142883&amp;Result=3","7142883")</f>
        <v>0</v>
      </c>
      <c r="B6994" t="s">
        <v>869</v>
      </c>
      <c r="C6994" t="s">
        <v>10393</v>
      </c>
      <c r="D6994" t="s">
        <v>17988</v>
      </c>
      <c r="E6994" t="s">
        <v>24176</v>
      </c>
      <c r="F6994" t="s">
        <v>30900</v>
      </c>
      <c r="G6994" t="s">
        <v>30906</v>
      </c>
      <c r="H6994" t="s">
        <v>30916</v>
      </c>
      <c r="I6994" t="s">
        <v>4142</v>
      </c>
      <c r="J6994" t="s">
        <v>35524</v>
      </c>
      <c r="K6994" t="s">
        <v>40286</v>
      </c>
      <c r="M6994" t="s">
        <v>42655</v>
      </c>
      <c r="N6994" t="s">
        <v>44759</v>
      </c>
      <c r="O6994" t="s">
        <v>44760</v>
      </c>
      <c r="P6994">
        <v>0</v>
      </c>
      <c r="Q6994">
        <v>2</v>
      </c>
      <c r="R6994" t="s">
        <v>44767</v>
      </c>
      <c r="S6994" t="s">
        <v>44954</v>
      </c>
      <c r="T6994" t="s">
        <v>46623</v>
      </c>
      <c r="U6994" t="s">
        <v>52808</v>
      </c>
      <c r="W6994" t="s">
        <v>42655</v>
      </c>
      <c r="X6994" t="s">
        <v>44768</v>
      </c>
    </row>
    <row r="6995" spans="1:24">
      <c r="A6995">
        <f>HYPERLINK("https://www.philgeps.gov.ph/GEPSNONPILOT/Tender/SplashBidNoticeAbstractUI.aspx?menuIndex=3&amp;refID=7142887&amp;Result=3","7142887")</f>
        <v>0</v>
      </c>
      <c r="B6995" t="s">
        <v>1363</v>
      </c>
      <c r="C6995" t="s">
        <v>10394</v>
      </c>
      <c r="D6995" t="s">
        <v>18018</v>
      </c>
      <c r="E6995" t="s">
        <v>20397</v>
      </c>
      <c r="F6995" t="s">
        <v>30900</v>
      </c>
      <c r="G6995" t="s">
        <v>30907</v>
      </c>
      <c r="H6995" t="s">
        <v>30915</v>
      </c>
      <c r="I6995" t="s">
        <v>30919</v>
      </c>
      <c r="J6995" t="s">
        <v>31152</v>
      </c>
      <c r="K6995" t="s">
        <v>40280</v>
      </c>
      <c r="M6995" t="s">
        <v>41985</v>
      </c>
      <c r="N6995" t="s">
        <v>44759</v>
      </c>
      <c r="O6995" t="s">
        <v>44760</v>
      </c>
      <c r="P6995">
        <v>0</v>
      </c>
      <c r="Q6995">
        <v>0</v>
      </c>
      <c r="R6995" t="s">
        <v>44767</v>
      </c>
      <c r="S6995" t="s">
        <v>44954</v>
      </c>
      <c r="T6995" t="s">
        <v>46689</v>
      </c>
      <c r="U6995" t="s">
        <v>52809</v>
      </c>
      <c r="V6995" t="s">
        <v>59481</v>
      </c>
      <c r="W6995" t="s">
        <v>41985</v>
      </c>
      <c r="X6995" t="s">
        <v>44768</v>
      </c>
    </row>
    <row r="6996" spans="1:24">
      <c r="A6996">
        <f>HYPERLINK("https://www.philgeps.gov.ph/GEPSNONPILOT/Tender/SplashBidNoticeAbstractUI.aspx?menuIndex=3&amp;refID=7142937&amp;Result=3","7142937")</f>
        <v>0</v>
      </c>
      <c r="B6996" t="s">
        <v>2429</v>
      </c>
      <c r="C6996" t="s">
        <v>10395</v>
      </c>
      <c r="D6996" t="s">
        <v>18001</v>
      </c>
      <c r="E6996" t="s">
        <v>24177</v>
      </c>
      <c r="F6996" t="s">
        <v>30900</v>
      </c>
      <c r="G6996" t="s">
        <v>30907</v>
      </c>
      <c r="H6996" t="s">
        <v>30916</v>
      </c>
      <c r="I6996" t="s">
        <v>30949</v>
      </c>
      <c r="J6996" t="s">
        <v>31067</v>
      </c>
      <c r="K6996" t="s">
        <v>40286</v>
      </c>
      <c r="M6996" t="s">
        <v>43160</v>
      </c>
      <c r="N6996" t="s">
        <v>44759</v>
      </c>
      <c r="O6996" t="s">
        <v>44760</v>
      </c>
      <c r="P6996">
        <v>0</v>
      </c>
      <c r="Q6996">
        <v>2</v>
      </c>
      <c r="R6996" t="s">
        <v>44767</v>
      </c>
      <c r="S6996" t="s">
        <v>44954</v>
      </c>
      <c r="T6996" t="s">
        <v>46548</v>
      </c>
      <c r="U6996" t="s">
        <v>52810</v>
      </c>
      <c r="W6996" t="s">
        <v>43160</v>
      </c>
      <c r="X6996" t="s">
        <v>44768</v>
      </c>
    </row>
    <row r="6997" spans="1:24">
      <c r="A6997">
        <f>HYPERLINK("https://www.philgeps.gov.ph/GEPSNONPILOT/Tender/SplashBidNoticeAbstractUI.aspx?menuIndex=3&amp;refID=7142936&amp;Result=3","7142936")</f>
        <v>0</v>
      </c>
      <c r="B6997" t="s">
        <v>286</v>
      </c>
      <c r="C6997" t="s">
        <v>10396</v>
      </c>
      <c r="D6997" t="s">
        <v>17977</v>
      </c>
      <c r="E6997" t="s">
        <v>24178</v>
      </c>
      <c r="F6997" t="s">
        <v>30900</v>
      </c>
      <c r="G6997" t="s">
        <v>30908</v>
      </c>
      <c r="H6997" t="s">
        <v>30916</v>
      </c>
      <c r="I6997" t="s">
        <v>4017</v>
      </c>
      <c r="J6997" t="s">
        <v>31049</v>
      </c>
      <c r="K6997" t="s">
        <v>40283</v>
      </c>
      <c r="M6997" t="s">
        <v>40834</v>
      </c>
      <c r="N6997" t="s">
        <v>44759</v>
      </c>
      <c r="O6997" t="s">
        <v>44760</v>
      </c>
      <c r="P6997">
        <v>0</v>
      </c>
      <c r="Q6997">
        <v>3</v>
      </c>
      <c r="R6997" t="s">
        <v>44767</v>
      </c>
      <c r="S6997" t="s">
        <v>44954</v>
      </c>
      <c r="T6997" t="s">
        <v>46533</v>
      </c>
      <c r="U6997" t="s">
        <v>52811</v>
      </c>
      <c r="V6997" t="s">
        <v>59874</v>
      </c>
      <c r="W6997" t="s">
        <v>40834</v>
      </c>
      <c r="X6997" t="s">
        <v>44768</v>
      </c>
    </row>
    <row r="6998" spans="1:24">
      <c r="A6998">
        <f>HYPERLINK("https://www.philgeps.gov.ph/GEPSNONPILOT/Tender/SplashBidNoticeAbstractUI.aspx?menuIndex=3&amp;refID=7142930&amp;Result=3","7142930")</f>
        <v>0</v>
      </c>
      <c r="B6998" t="s">
        <v>25</v>
      </c>
      <c r="C6998" t="s">
        <v>10397</v>
      </c>
      <c r="D6998" t="s">
        <v>17952</v>
      </c>
      <c r="E6998" t="s">
        <v>24179</v>
      </c>
      <c r="F6998" t="s">
        <v>30900</v>
      </c>
      <c r="G6998" t="s">
        <v>30909</v>
      </c>
      <c r="H6998" t="s">
        <v>30916</v>
      </c>
      <c r="I6998" t="s">
        <v>30923</v>
      </c>
      <c r="J6998" t="s">
        <v>35525</v>
      </c>
      <c r="K6998" t="s">
        <v>40287</v>
      </c>
      <c r="M6998" t="s">
        <v>40571</v>
      </c>
      <c r="N6998" t="s">
        <v>44759</v>
      </c>
      <c r="O6998" t="s">
        <v>44760</v>
      </c>
      <c r="P6998">
        <v>0</v>
      </c>
      <c r="Q6998">
        <v>1</v>
      </c>
      <c r="R6998" t="s">
        <v>44767</v>
      </c>
      <c r="S6998" t="s">
        <v>44954</v>
      </c>
      <c r="T6998" t="s">
        <v>46440</v>
      </c>
      <c r="U6998" t="s">
        <v>52812</v>
      </c>
      <c r="W6998" t="s">
        <v>40571</v>
      </c>
      <c r="X6998" t="s">
        <v>44768</v>
      </c>
    </row>
    <row r="6999" spans="1:24">
      <c r="A6999">
        <f>HYPERLINK("https://www.philgeps.gov.ph/GEPSNONPILOT/Tender/SplashBidNoticeAbstractUI.aspx?menuIndex=3&amp;refID=7142924&amp;Result=3","7142924")</f>
        <v>0</v>
      </c>
      <c r="B6999" t="s">
        <v>2416</v>
      </c>
      <c r="C6999" t="s">
        <v>10398</v>
      </c>
      <c r="D6999" t="s">
        <v>17993</v>
      </c>
      <c r="E6999" t="s">
        <v>24180</v>
      </c>
      <c r="F6999" t="s">
        <v>30900</v>
      </c>
      <c r="G6999" t="s">
        <v>30908</v>
      </c>
      <c r="H6999" t="s">
        <v>30916</v>
      </c>
      <c r="I6999" t="s">
        <v>11785</v>
      </c>
      <c r="J6999" t="s">
        <v>35526</v>
      </c>
      <c r="K6999" t="s">
        <v>40286</v>
      </c>
      <c r="M6999" t="s">
        <v>43143</v>
      </c>
      <c r="N6999" t="s">
        <v>44759</v>
      </c>
      <c r="O6999" t="s">
        <v>44760</v>
      </c>
      <c r="P6999">
        <v>0</v>
      </c>
      <c r="Q6999">
        <v>2</v>
      </c>
      <c r="R6999" t="s">
        <v>44767</v>
      </c>
      <c r="S6999" t="s">
        <v>44954</v>
      </c>
      <c r="T6999" t="s">
        <v>46533</v>
      </c>
      <c r="U6999" t="s">
        <v>52749</v>
      </c>
      <c r="V6999" t="s">
        <v>59866</v>
      </c>
      <c r="W6999" t="s">
        <v>43143</v>
      </c>
      <c r="X6999" t="s">
        <v>44768</v>
      </c>
    </row>
    <row r="7000" spans="1:24">
      <c r="A7000">
        <f>HYPERLINK("https://www.philgeps.gov.ph/GEPSNONPILOT/Tender/SplashBidNoticeAbstractUI.aspx?menuIndex=3&amp;refID=7142868&amp;Result=3","7142868")</f>
        <v>0</v>
      </c>
      <c r="B7000" t="s">
        <v>2389</v>
      </c>
      <c r="C7000" t="s">
        <v>10399</v>
      </c>
      <c r="D7000" t="s">
        <v>17994</v>
      </c>
      <c r="E7000" t="s">
        <v>24181</v>
      </c>
      <c r="F7000" t="s">
        <v>30900</v>
      </c>
      <c r="G7000" t="s">
        <v>30908</v>
      </c>
      <c r="H7000" t="s">
        <v>30916</v>
      </c>
      <c r="I7000" t="s">
        <v>6953</v>
      </c>
      <c r="J7000" t="s">
        <v>35527</v>
      </c>
      <c r="K7000" t="s">
        <v>40286</v>
      </c>
      <c r="M7000" t="s">
        <v>43115</v>
      </c>
      <c r="N7000" t="s">
        <v>44759</v>
      </c>
      <c r="O7000" t="s">
        <v>44760</v>
      </c>
      <c r="P7000">
        <v>0</v>
      </c>
      <c r="Q7000">
        <v>0</v>
      </c>
      <c r="R7000" t="s">
        <v>44767</v>
      </c>
      <c r="S7000" t="s">
        <v>44954</v>
      </c>
      <c r="T7000" t="s">
        <v>46531</v>
      </c>
      <c r="U7000" t="s">
        <v>52813</v>
      </c>
      <c r="W7000" t="s">
        <v>43115</v>
      </c>
      <c r="X7000" t="s">
        <v>44768</v>
      </c>
    </row>
    <row r="7001" spans="1:24">
      <c r="A7001">
        <f>HYPERLINK("https://www.philgeps.gov.ph/GEPSNONPILOT/Tender/SplashBidNoticeAbstractUI.aspx?menuIndex=3&amp;refID=7142923&amp;Result=3","7142923")</f>
        <v>0</v>
      </c>
      <c r="B7001" t="s">
        <v>1363</v>
      </c>
      <c r="C7001" t="s">
        <v>10400</v>
      </c>
      <c r="D7001" t="s">
        <v>18018</v>
      </c>
      <c r="E7001" t="s">
        <v>19382</v>
      </c>
      <c r="F7001" t="s">
        <v>30900</v>
      </c>
      <c r="G7001" t="s">
        <v>30907</v>
      </c>
      <c r="H7001" t="s">
        <v>30915</v>
      </c>
      <c r="I7001" t="s">
        <v>30919</v>
      </c>
      <c r="J7001" t="s">
        <v>31152</v>
      </c>
      <c r="K7001" t="s">
        <v>40391</v>
      </c>
      <c r="M7001" t="s">
        <v>41985</v>
      </c>
      <c r="N7001" t="s">
        <v>44759</v>
      </c>
      <c r="O7001" t="s">
        <v>44760</v>
      </c>
      <c r="P7001">
        <v>0</v>
      </c>
      <c r="Q7001">
        <v>0</v>
      </c>
      <c r="R7001" t="s">
        <v>44767</v>
      </c>
      <c r="S7001" t="s">
        <v>44954</v>
      </c>
      <c r="T7001" t="s">
        <v>46689</v>
      </c>
      <c r="U7001" t="s">
        <v>52814</v>
      </c>
      <c r="V7001" t="s">
        <v>59481</v>
      </c>
      <c r="W7001" t="s">
        <v>41985</v>
      </c>
      <c r="X7001" t="s">
        <v>44768</v>
      </c>
    </row>
    <row r="7002" spans="1:24">
      <c r="A7002">
        <f>HYPERLINK("https://www.philgeps.gov.ph/GEPSNONPILOT/Tender/SplashBidNoticeAbstractUI.aspx?menuIndex=3&amp;refID=7142922&amp;Result=3","7142922")</f>
        <v>0</v>
      </c>
      <c r="B7002" t="s">
        <v>2394</v>
      </c>
      <c r="C7002" t="s">
        <v>10401</v>
      </c>
      <c r="D7002" t="s">
        <v>17987</v>
      </c>
      <c r="E7002" t="s">
        <v>24182</v>
      </c>
      <c r="F7002" t="s">
        <v>30900</v>
      </c>
      <c r="G7002" t="s">
        <v>30907</v>
      </c>
      <c r="H7002" t="s">
        <v>30916</v>
      </c>
      <c r="I7002" t="s">
        <v>8123</v>
      </c>
      <c r="J7002" t="s">
        <v>35528</v>
      </c>
      <c r="K7002" t="s">
        <v>40286</v>
      </c>
      <c r="M7002" t="s">
        <v>43120</v>
      </c>
      <c r="N7002" t="s">
        <v>44759</v>
      </c>
      <c r="O7002" t="s">
        <v>44760</v>
      </c>
      <c r="P7002">
        <v>0</v>
      </c>
      <c r="Q7002">
        <v>0</v>
      </c>
      <c r="R7002" t="s">
        <v>44767</v>
      </c>
      <c r="S7002" t="s">
        <v>44954</v>
      </c>
      <c r="T7002" t="s">
        <v>46363</v>
      </c>
      <c r="U7002" t="s">
        <v>52815</v>
      </c>
      <c r="W7002" t="s">
        <v>43120</v>
      </c>
      <c r="X7002" t="s">
        <v>44768</v>
      </c>
    </row>
    <row r="7003" spans="1:24">
      <c r="A7003">
        <f>HYPERLINK("https://www.philgeps.gov.ph/GEPSNONPILOT/Tender/SplashBidNoticeAbstractUI.aspx?menuIndex=3&amp;refID=7142921&amp;Result=3","7142921")</f>
        <v>0</v>
      </c>
      <c r="B7003" t="s">
        <v>1164</v>
      </c>
      <c r="C7003" t="s">
        <v>10402</v>
      </c>
      <c r="D7003" t="s">
        <v>17955</v>
      </c>
      <c r="E7003" t="s">
        <v>24183</v>
      </c>
      <c r="F7003" t="s">
        <v>30900</v>
      </c>
      <c r="G7003" t="s">
        <v>30908</v>
      </c>
      <c r="H7003" t="s">
        <v>30916</v>
      </c>
      <c r="I7003" t="s">
        <v>4108</v>
      </c>
      <c r="J7003" t="s">
        <v>35529</v>
      </c>
      <c r="K7003" t="s">
        <v>40289</v>
      </c>
      <c r="M7003" t="s">
        <v>43089</v>
      </c>
      <c r="N7003" t="s">
        <v>44759</v>
      </c>
      <c r="O7003" t="s">
        <v>44760</v>
      </c>
      <c r="P7003">
        <v>0</v>
      </c>
      <c r="Q7003">
        <v>0</v>
      </c>
      <c r="R7003" t="s">
        <v>44767</v>
      </c>
      <c r="S7003" t="s">
        <v>44954</v>
      </c>
      <c r="T7003" t="s">
        <v>46662</v>
      </c>
      <c r="U7003" t="s">
        <v>52816</v>
      </c>
      <c r="V7003" t="s">
        <v>59847</v>
      </c>
      <c r="W7003" t="s">
        <v>43089</v>
      </c>
      <c r="X7003" t="s">
        <v>44768</v>
      </c>
    </row>
    <row r="7004" spans="1:24">
      <c r="A7004">
        <f>HYPERLINK("https://www.philgeps.gov.ph/GEPSNONPILOT/Tender/SplashBidNoticeAbstractUI.aspx?menuIndex=3&amp;refID=7142920&amp;Result=3","7142920")</f>
        <v>0</v>
      </c>
      <c r="B7004" t="s">
        <v>2430</v>
      </c>
      <c r="C7004" t="s">
        <v>10403</v>
      </c>
      <c r="D7004" t="s">
        <v>17979</v>
      </c>
      <c r="E7004" t="s">
        <v>24184</v>
      </c>
      <c r="F7004" t="s">
        <v>30900</v>
      </c>
      <c r="G7004" t="s">
        <v>30910</v>
      </c>
      <c r="H7004" t="s">
        <v>30916</v>
      </c>
      <c r="I7004" t="s">
        <v>6396</v>
      </c>
      <c r="J7004" t="s">
        <v>35530</v>
      </c>
      <c r="K7004" t="s">
        <v>40287</v>
      </c>
      <c r="M7004" t="s">
        <v>43161</v>
      </c>
      <c r="N7004" t="s">
        <v>44759</v>
      </c>
      <c r="O7004" t="s">
        <v>44760</v>
      </c>
      <c r="P7004">
        <v>0</v>
      </c>
      <c r="Q7004">
        <v>4</v>
      </c>
      <c r="R7004" t="s">
        <v>44767</v>
      </c>
      <c r="S7004" t="s">
        <v>44954</v>
      </c>
      <c r="T7004" t="s">
        <v>46398</v>
      </c>
      <c r="U7004" t="s">
        <v>52817</v>
      </c>
      <c r="W7004" t="s">
        <v>43161</v>
      </c>
      <c r="X7004" t="s">
        <v>44768</v>
      </c>
    </row>
    <row r="7005" spans="1:24">
      <c r="A7005">
        <f>HYPERLINK("https://www.philgeps.gov.ph/GEPSNONPILOT/Tender/SplashBidNoticeAbstractUI.aspx?menuIndex=3&amp;refID=7142928&amp;Result=3","7142928")</f>
        <v>0</v>
      </c>
      <c r="B7005" t="s">
        <v>1487</v>
      </c>
      <c r="C7005" t="s">
        <v>10404</v>
      </c>
      <c r="D7005" t="s">
        <v>18011</v>
      </c>
      <c r="E7005" t="s">
        <v>24185</v>
      </c>
      <c r="F7005" t="s">
        <v>30900</v>
      </c>
      <c r="G7005" t="s">
        <v>30908</v>
      </c>
      <c r="H7005" t="s">
        <v>30916</v>
      </c>
      <c r="I7005" t="s">
        <v>8123</v>
      </c>
      <c r="J7005" t="s">
        <v>35531</v>
      </c>
      <c r="K7005" t="s">
        <v>40283</v>
      </c>
      <c r="M7005" t="s">
        <v>42124</v>
      </c>
      <c r="N7005" t="s">
        <v>44759</v>
      </c>
      <c r="O7005" t="s">
        <v>44760</v>
      </c>
      <c r="P7005">
        <v>0</v>
      </c>
      <c r="Q7005">
        <v>1</v>
      </c>
      <c r="R7005" t="s">
        <v>44767</v>
      </c>
      <c r="S7005" t="s">
        <v>44954</v>
      </c>
      <c r="T7005" t="s">
        <v>46534</v>
      </c>
      <c r="U7005" t="s">
        <v>52818</v>
      </c>
      <c r="W7005" t="s">
        <v>42124</v>
      </c>
      <c r="X7005" t="s">
        <v>44768</v>
      </c>
    </row>
    <row r="7006" spans="1:24">
      <c r="A7006">
        <f>HYPERLINK("https://www.philgeps.gov.ph/GEPSNONPILOT/Tender/SplashBidNoticeAbstractUI.aspx?menuIndex=3&amp;refID=7142914&amp;Result=3","7142914")</f>
        <v>0</v>
      </c>
      <c r="B7006" t="s">
        <v>704</v>
      </c>
      <c r="C7006" t="s">
        <v>10405</v>
      </c>
      <c r="D7006" t="s">
        <v>17987</v>
      </c>
      <c r="E7006" t="s">
        <v>24186</v>
      </c>
      <c r="F7006" t="s">
        <v>30900</v>
      </c>
      <c r="G7006" t="s">
        <v>30908</v>
      </c>
      <c r="H7006" t="s">
        <v>30916</v>
      </c>
      <c r="I7006" t="s">
        <v>6746</v>
      </c>
      <c r="J7006" t="s">
        <v>31204</v>
      </c>
      <c r="K7006" t="s">
        <v>40283</v>
      </c>
      <c r="M7006" t="s">
        <v>42242</v>
      </c>
      <c r="N7006" t="s">
        <v>44759</v>
      </c>
      <c r="O7006" t="s">
        <v>44760</v>
      </c>
      <c r="P7006">
        <v>0</v>
      </c>
      <c r="Q7006">
        <v>0</v>
      </c>
      <c r="R7006" t="s">
        <v>44767</v>
      </c>
      <c r="S7006" t="s">
        <v>44954</v>
      </c>
      <c r="T7006" t="s">
        <v>46410</v>
      </c>
      <c r="U7006" t="s">
        <v>52819</v>
      </c>
      <c r="W7006" t="s">
        <v>42242</v>
      </c>
      <c r="X7006" t="s">
        <v>44768</v>
      </c>
    </row>
    <row r="7007" spans="1:24">
      <c r="A7007">
        <f>HYPERLINK("https://www.philgeps.gov.ph/GEPSNONPILOT/Tender/SplashBidNoticeAbstractUI.aspx?menuIndex=3&amp;refID=7142897&amp;Result=3","7142897")</f>
        <v>0</v>
      </c>
      <c r="B7007" t="s">
        <v>2431</v>
      </c>
      <c r="C7007" t="s">
        <v>10406</v>
      </c>
      <c r="E7007" t="s">
        <v>18255</v>
      </c>
      <c r="F7007" t="s">
        <v>30899</v>
      </c>
      <c r="G7007" t="s">
        <v>30907</v>
      </c>
      <c r="H7007" t="s">
        <v>30916</v>
      </c>
      <c r="I7007" t="s">
        <v>4142</v>
      </c>
      <c r="J7007" t="s">
        <v>35532</v>
      </c>
      <c r="K7007" t="s">
        <v>40289</v>
      </c>
      <c r="M7007" t="s">
        <v>43162</v>
      </c>
      <c r="N7007" t="s">
        <v>44759</v>
      </c>
      <c r="O7007" t="s">
        <v>44760</v>
      </c>
      <c r="P7007">
        <v>0</v>
      </c>
      <c r="Q7007">
        <v>7</v>
      </c>
      <c r="R7007" t="s">
        <v>44767</v>
      </c>
      <c r="S7007" t="s">
        <v>44954</v>
      </c>
      <c r="T7007" t="s">
        <v>46733</v>
      </c>
      <c r="U7007" t="s">
        <v>52820</v>
      </c>
      <c r="V7007" t="s">
        <v>59875</v>
      </c>
      <c r="W7007" t="s">
        <v>43162</v>
      </c>
      <c r="X7007" t="s">
        <v>44768</v>
      </c>
    </row>
    <row r="7008" spans="1:24">
      <c r="A7008">
        <f>HYPERLINK("https://www.philgeps.gov.ph/GEPSNONPILOT/Tender/SplashBidNoticeAbstractUI.aspx?menuIndex=3&amp;refID=7142912&amp;Result=3","7142912")</f>
        <v>0</v>
      </c>
      <c r="B7008" t="s">
        <v>1359</v>
      </c>
      <c r="C7008" t="s">
        <v>10407</v>
      </c>
      <c r="D7008" t="s">
        <v>17965</v>
      </c>
      <c r="E7008" t="s">
        <v>24187</v>
      </c>
      <c r="F7008" t="s">
        <v>30900</v>
      </c>
      <c r="G7008" t="s">
        <v>30908</v>
      </c>
      <c r="H7008" t="s">
        <v>30916</v>
      </c>
      <c r="I7008" t="s">
        <v>10602</v>
      </c>
      <c r="J7008" t="s">
        <v>31092</v>
      </c>
      <c r="K7008" t="s">
        <v>40285</v>
      </c>
      <c r="M7008" t="s">
        <v>41981</v>
      </c>
      <c r="N7008" t="s">
        <v>44759</v>
      </c>
      <c r="O7008" t="s">
        <v>44760</v>
      </c>
      <c r="P7008">
        <v>0</v>
      </c>
      <c r="Q7008">
        <v>0</v>
      </c>
      <c r="R7008" t="s">
        <v>44767</v>
      </c>
      <c r="S7008" t="s">
        <v>44954</v>
      </c>
      <c r="T7008" t="s">
        <v>46533</v>
      </c>
      <c r="U7008" t="s">
        <v>52821</v>
      </c>
      <c r="W7008" t="s">
        <v>41981</v>
      </c>
      <c r="X7008" t="s">
        <v>44768</v>
      </c>
    </row>
    <row r="7009" spans="1:24">
      <c r="A7009">
        <f>HYPERLINK("https://www.philgeps.gov.ph/GEPSNONPILOT/Tender/SplashBidNoticeAbstractUI.aspx?menuIndex=3&amp;refID=7142926&amp;Result=3","7142926")</f>
        <v>0</v>
      </c>
      <c r="B7009" t="s">
        <v>1534</v>
      </c>
      <c r="C7009" t="s">
        <v>10408</v>
      </c>
      <c r="D7009" t="s">
        <v>18004</v>
      </c>
      <c r="E7009" t="s">
        <v>24105</v>
      </c>
      <c r="F7009" t="s">
        <v>30900</v>
      </c>
      <c r="G7009" t="s">
        <v>30908</v>
      </c>
      <c r="H7009" t="s">
        <v>30916</v>
      </c>
      <c r="I7009" t="s">
        <v>4545</v>
      </c>
      <c r="J7009" t="s">
        <v>33432</v>
      </c>
      <c r="K7009" t="s">
        <v>40287</v>
      </c>
      <c r="M7009" t="s">
        <v>42177</v>
      </c>
      <c r="N7009" t="s">
        <v>44759</v>
      </c>
      <c r="O7009" t="s">
        <v>44760</v>
      </c>
      <c r="P7009">
        <v>0</v>
      </c>
      <c r="Q7009">
        <v>0</v>
      </c>
      <c r="R7009" t="s">
        <v>44767</v>
      </c>
      <c r="S7009" t="s">
        <v>44954</v>
      </c>
      <c r="T7009" t="s">
        <v>46574</v>
      </c>
      <c r="U7009" t="s">
        <v>52740</v>
      </c>
      <c r="W7009" t="s">
        <v>42177</v>
      </c>
      <c r="X7009" t="s">
        <v>44768</v>
      </c>
    </row>
    <row r="7010" spans="1:24">
      <c r="A7010">
        <f>HYPERLINK("https://www.philgeps.gov.ph/GEPSNONPILOT/Tender/SplashBidNoticeAbstractUI.aspx?menuIndex=3&amp;refID=7142907&amp;Result=3","7142907")</f>
        <v>0</v>
      </c>
      <c r="B7010" t="s">
        <v>2432</v>
      </c>
      <c r="C7010" t="s">
        <v>10409</v>
      </c>
      <c r="D7010" t="s">
        <v>18009</v>
      </c>
      <c r="E7010" t="s">
        <v>24188</v>
      </c>
      <c r="F7010" t="s">
        <v>30900</v>
      </c>
      <c r="G7010" t="s">
        <v>30907</v>
      </c>
      <c r="H7010" t="s">
        <v>30915</v>
      </c>
      <c r="I7010" t="s">
        <v>30919</v>
      </c>
      <c r="J7010" t="s">
        <v>31241</v>
      </c>
      <c r="K7010" t="s">
        <v>40342</v>
      </c>
      <c r="M7010" t="s">
        <v>43163</v>
      </c>
      <c r="N7010" t="s">
        <v>44759</v>
      </c>
      <c r="O7010" t="s">
        <v>44760</v>
      </c>
      <c r="P7010">
        <v>0</v>
      </c>
      <c r="Q7010">
        <v>3</v>
      </c>
      <c r="R7010" t="s">
        <v>44767</v>
      </c>
      <c r="S7010" t="s">
        <v>44954</v>
      </c>
      <c r="T7010" t="s">
        <v>46455</v>
      </c>
      <c r="U7010" t="s">
        <v>52822</v>
      </c>
      <c r="W7010" t="s">
        <v>43163</v>
      </c>
      <c r="X7010" t="s">
        <v>44768</v>
      </c>
    </row>
    <row r="7011" spans="1:24">
      <c r="A7011">
        <f>HYPERLINK("https://www.philgeps.gov.ph/GEPSNONPILOT/Tender/SplashBidNoticeAbstractUI.aspx?menuIndex=3&amp;refID=7142982&amp;Result=3","7142982")</f>
        <v>0</v>
      </c>
      <c r="B7011" t="s">
        <v>2430</v>
      </c>
      <c r="C7011" t="s">
        <v>10410</v>
      </c>
      <c r="D7011" t="s">
        <v>17979</v>
      </c>
      <c r="E7011" t="s">
        <v>24189</v>
      </c>
      <c r="F7011" t="s">
        <v>30900</v>
      </c>
      <c r="G7011" t="s">
        <v>30909</v>
      </c>
      <c r="H7011" t="s">
        <v>30916</v>
      </c>
      <c r="I7011" t="s">
        <v>4545</v>
      </c>
      <c r="J7011" t="s">
        <v>35533</v>
      </c>
      <c r="K7011" t="s">
        <v>40287</v>
      </c>
      <c r="M7011" t="s">
        <v>43161</v>
      </c>
      <c r="N7011" t="s">
        <v>44759</v>
      </c>
      <c r="O7011" t="s">
        <v>44760</v>
      </c>
      <c r="P7011">
        <v>0</v>
      </c>
      <c r="Q7011">
        <v>7</v>
      </c>
      <c r="R7011" t="s">
        <v>44767</v>
      </c>
      <c r="S7011" t="s">
        <v>44954</v>
      </c>
      <c r="T7011" t="s">
        <v>46398</v>
      </c>
      <c r="U7011" t="s">
        <v>52817</v>
      </c>
      <c r="W7011" t="s">
        <v>43161</v>
      </c>
      <c r="X7011" t="s">
        <v>44768</v>
      </c>
    </row>
    <row r="7012" spans="1:24">
      <c r="A7012">
        <f>HYPERLINK("https://www.philgeps.gov.ph/GEPSNONPILOT/Tender/SplashBidNoticeAbstractUI.aspx?menuIndex=3&amp;refID=7142939&amp;Result=3","7142939")</f>
        <v>0</v>
      </c>
      <c r="B7012" t="s">
        <v>2430</v>
      </c>
      <c r="C7012" t="s">
        <v>10411</v>
      </c>
      <c r="D7012" t="s">
        <v>17979</v>
      </c>
      <c r="E7012" t="s">
        <v>24190</v>
      </c>
      <c r="F7012" t="s">
        <v>30900</v>
      </c>
      <c r="G7012" t="s">
        <v>30910</v>
      </c>
      <c r="H7012" t="s">
        <v>30916</v>
      </c>
      <c r="I7012" t="s">
        <v>6396</v>
      </c>
      <c r="J7012" t="s">
        <v>35534</v>
      </c>
      <c r="K7012" t="s">
        <v>40287</v>
      </c>
      <c r="M7012" t="s">
        <v>43161</v>
      </c>
      <c r="N7012" t="s">
        <v>44759</v>
      </c>
      <c r="O7012" t="s">
        <v>44760</v>
      </c>
      <c r="P7012">
        <v>0</v>
      </c>
      <c r="Q7012">
        <v>2</v>
      </c>
      <c r="R7012" t="s">
        <v>44767</v>
      </c>
      <c r="S7012" t="s">
        <v>44954</v>
      </c>
      <c r="T7012" t="s">
        <v>46398</v>
      </c>
      <c r="U7012" t="s">
        <v>52817</v>
      </c>
      <c r="W7012" t="s">
        <v>43161</v>
      </c>
      <c r="X7012" t="s">
        <v>44768</v>
      </c>
    </row>
    <row r="7013" spans="1:24">
      <c r="A7013">
        <f>HYPERLINK("https://www.philgeps.gov.ph/GEPSNONPILOT/Tender/SplashBidNoticeAbstractUI.aspx?menuIndex=3&amp;refID=7142979&amp;Result=3","7142979")</f>
        <v>0</v>
      </c>
      <c r="B7013" t="s">
        <v>2427</v>
      </c>
      <c r="C7013" t="s">
        <v>10412</v>
      </c>
      <c r="D7013" t="s">
        <v>18031</v>
      </c>
      <c r="E7013" t="s">
        <v>24191</v>
      </c>
      <c r="F7013" t="s">
        <v>30900</v>
      </c>
      <c r="G7013" t="s">
        <v>30907</v>
      </c>
      <c r="H7013" t="s">
        <v>30915</v>
      </c>
      <c r="I7013" t="s">
        <v>30919</v>
      </c>
      <c r="J7013" t="s">
        <v>35535</v>
      </c>
      <c r="K7013" t="s">
        <v>40280</v>
      </c>
      <c r="M7013" t="s">
        <v>43158</v>
      </c>
      <c r="N7013" t="s">
        <v>44759</v>
      </c>
      <c r="O7013" t="s">
        <v>44760</v>
      </c>
      <c r="P7013">
        <v>0</v>
      </c>
      <c r="Q7013">
        <v>1</v>
      </c>
      <c r="R7013" t="s">
        <v>44767</v>
      </c>
      <c r="S7013" t="s">
        <v>44954</v>
      </c>
      <c r="T7013" t="s">
        <v>46450</v>
      </c>
      <c r="U7013" t="s">
        <v>52801</v>
      </c>
      <c r="W7013" t="s">
        <v>43158</v>
      </c>
      <c r="X7013" t="s">
        <v>44768</v>
      </c>
    </row>
    <row r="7014" spans="1:24">
      <c r="A7014">
        <f>HYPERLINK("https://www.philgeps.gov.ph/GEPSNONPILOT/Tender/SplashBidNoticeAbstractUI.aspx?menuIndex=3&amp;refID=7142977&amp;Result=3","7142977")</f>
        <v>0</v>
      </c>
      <c r="B7014" t="s">
        <v>2394</v>
      </c>
      <c r="C7014" t="s">
        <v>10413</v>
      </c>
      <c r="D7014" t="s">
        <v>17987</v>
      </c>
      <c r="E7014" t="s">
        <v>24192</v>
      </c>
      <c r="F7014" t="s">
        <v>30900</v>
      </c>
      <c r="G7014" t="s">
        <v>30907</v>
      </c>
      <c r="H7014" t="s">
        <v>30916</v>
      </c>
      <c r="I7014" t="s">
        <v>6953</v>
      </c>
      <c r="J7014" t="s">
        <v>35052</v>
      </c>
      <c r="K7014" t="s">
        <v>40286</v>
      </c>
      <c r="M7014" t="s">
        <v>43120</v>
      </c>
      <c r="N7014" t="s">
        <v>44759</v>
      </c>
      <c r="O7014" t="s">
        <v>44760</v>
      </c>
      <c r="P7014">
        <v>0</v>
      </c>
      <c r="Q7014">
        <v>1</v>
      </c>
      <c r="R7014" t="s">
        <v>44767</v>
      </c>
      <c r="S7014" t="s">
        <v>44954</v>
      </c>
      <c r="T7014" t="s">
        <v>46363</v>
      </c>
      <c r="U7014" t="s">
        <v>52823</v>
      </c>
      <c r="W7014" t="s">
        <v>43120</v>
      </c>
      <c r="X7014" t="s">
        <v>44768</v>
      </c>
    </row>
    <row r="7015" spans="1:24">
      <c r="A7015">
        <f>HYPERLINK("https://www.philgeps.gov.ph/GEPSNONPILOT/Tender/SplashBidNoticeAbstractUI.aspx?menuIndex=3&amp;refID=7142877&amp;Result=3","7142877")</f>
        <v>0</v>
      </c>
      <c r="B7015" t="s">
        <v>2389</v>
      </c>
      <c r="C7015" t="s">
        <v>10414</v>
      </c>
      <c r="D7015" t="s">
        <v>17994</v>
      </c>
      <c r="E7015" t="s">
        <v>24193</v>
      </c>
      <c r="F7015" t="s">
        <v>30900</v>
      </c>
      <c r="G7015" t="s">
        <v>30908</v>
      </c>
      <c r="H7015" t="s">
        <v>30916</v>
      </c>
      <c r="I7015" t="s">
        <v>30949</v>
      </c>
      <c r="J7015" t="s">
        <v>31101</v>
      </c>
      <c r="K7015" t="s">
        <v>40293</v>
      </c>
      <c r="M7015" t="s">
        <v>43115</v>
      </c>
      <c r="N7015" t="s">
        <v>44759</v>
      </c>
      <c r="O7015" t="s">
        <v>44760</v>
      </c>
      <c r="P7015">
        <v>0</v>
      </c>
      <c r="Q7015">
        <v>3</v>
      </c>
      <c r="R7015" t="s">
        <v>44767</v>
      </c>
      <c r="S7015" t="s">
        <v>44954</v>
      </c>
      <c r="T7015" t="s">
        <v>46531</v>
      </c>
      <c r="U7015" t="s">
        <v>52824</v>
      </c>
      <c r="W7015" t="s">
        <v>43115</v>
      </c>
      <c r="X7015" t="s">
        <v>44768</v>
      </c>
    </row>
    <row r="7016" spans="1:24">
      <c r="A7016">
        <f>HYPERLINK("https://www.philgeps.gov.ph/GEPSNONPILOT/Tender/SplashBidNoticeAbstractUI.aspx?menuIndex=3&amp;refID=7142917&amp;Result=3","7142917")</f>
        <v>0</v>
      </c>
      <c r="B7016" t="s">
        <v>504</v>
      </c>
      <c r="C7016" t="s">
        <v>10415</v>
      </c>
      <c r="D7016" t="s">
        <v>18012</v>
      </c>
      <c r="E7016" t="s">
        <v>24194</v>
      </c>
      <c r="F7016" t="s">
        <v>30900</v>
      </c>
      <c r="G7016" t="s">
        <v>30907</v>
      </c>
      <c r="H7016" t="s">
        <v>30916</v>
      </c>
      <c r="I7016" t="s">
        <v>30939</v>
      </c>
      <c r="J7016" t="s">
        <v>35536</v>
      </c>
      <c r="K7016" t="s">
        <v>40289</v>
      </c>
      <c r="M7016" t="s">
        <v>41064</v>
      </c>
      <c r="N7016" t="s">
        <v>44759</v>
      </c>
      <c r="O7016" t="s">
        <v>44760</v>
      </c>
      <c r="P7016">
        <v>0</v>
      </c>
      <c r="Q7016">
        <v>0</v>
      </c>
      <c r="R7016" t="s">
        <v>44767</v>
      </c>
      <c r="S7016" t="s">
        <v>44954</v>
      </c>
      <c r="T7016" t="s">
        <v>46531</v>
      </c>
      <c r="U7016" t="s">
        <v>52825</v>
      </c>
      <c r="W7016" t="s">
        <v>41064</v>
      </c>
      <c r="X7016" t="s">
        <v>44768</v>
      </c>
    </row>
    <row r="7017" spans="1:24">
      <c r="A7017">
        <f>HYPERLINK("https://www.philgeps.gov.ph/GEPSNONPILOT/Tender/SplashBidNoticeAbstractUI.aspx?menuIndex=3&amp;refID=7142973&amp;Result=3","7142973")</f>
        <v>0</v>
      </c>
      <c r="B7017" t="s">
        <v>2017</v>
      </c>
      <c r="C7017" t="s">
        <v>10416</v>
      </c>
      <c r="D7017" t="s">
        <v>18003</v>
      </c>
      <c r="E7017" t="s">
        <v>24195</v>
      </c>
      <c r="F7017" t="s">
        <v>30900</v>
      </c>
      <c r="G7017" t="s">
        <v>30907</v>
      </c>
      <c r="H7017" t="s">
        <v>30916</v>
      </c>
      <c r="I7017" t="s">
        <v>8123</v>
      </c>
      <c r="J7017" t="s">
        <v>35537</v>
      </c>
      <c r="K7017" t="s">
        <v>40289</v>
      </c>
      <c r="M7017" t="s">
        <v>42713</v>
      </c>
      <c r="N7017" t="s">
        <v>44759</v>
      </c>
      <c r="O7017" t="s">
        <v>44760</v>
      </c>
      <c r="P7017">
        <v>0</v>
      </c>
      <c r="Q7017">
        <v>1</v>
      </c>
      <c r="R7017" t="s">
        <v>44767</v>
      </c>
      <c r="S7017" t="s">
        <v>44954</v>
      </c>
      <c r="T7017" t="s">
        <v>46421</v>
      </c>
      <c r="U7017" t="s">
        <v>52826</v>
      </c>
      <c r="W7017" t="s">
        <v>42713</v>
      </c>
      <c r="X7017" t="s">
        <v>44768</v>
      </c>
    </row>
    <row r="7018" spans="1:24">
      <c r="A7018">
        <f>HYPERLINK("https://www.philgeps.gov.ph/GEPSNONPILOT/Tender/SplashBidNoticeAbstractUI.aspx?menuIndex=3&amp;refID=7142967&amp;Result=3","7142967")</f>
        <v>0</v>
      </c>
      <c r="B7018" t="s">
        <v>2407</v>
      </c>
      <c r="C7018" t="s">
        <v>10417</v>
      </c>
      <c r="D7018" t="s">
        <v>17985</v>
      </c>
      <c r="E7018" t="s">
        <v>24196</v>
      </c>
      <c r="F7018" t="s">
        <v>30900</v>
      </c>
      <c r="G7018" t="s">
        <v>30908</v>
      </c>
      <c r="H7018" t="s">
        <v>30916</v>
      </c>
      <c r="I7018" t="s">
        <v>30923</v>
      </c>
      <c r="J7018" t="s">
        <v>31256</v>
      </c>
      <c r="K7018" t="s">
        <v>40289</v>
      </c>
      <c r="M7018" t="s">
        <v>43134</v>
      </c>
      <c r="N7018" t="s">
        <v>44759</v>
      </c>
      <c r="O7018" t="s">
        <v>44760</v>
      </c>
      <c r="P7018">
        <v>0</v>
      </c>
      <c r="Q7018">
        <v>0</v>
      </c>
      <c r="R7018" t="s">
        <v>44767</v>
      </c>
      <c r="S7018" t="s">
        <v>44954</v>
      </c>
      <c r="T7018" t="s">
        <v>46625</v>
      </c>
      <c r="U7018" t="s">
        <v>52827</v>
      </c>
      <c r="W7018" t="s">
        <v>43134</v>
      </c>
      <c r="X7018" t="s">
        <v>44768</v>
      </c>
    </row>
    <row r="7019" spans="1:24">
      <c r="A7019">
        <f>HYPERLINK("https://www.philgeps.gov.ph/GEPSNONPILOT/Tender/SplashBidNoticeAbstractUI.aspx?menuIndex=3&amp;refID=7142966&amp;Result=3","7142966")</f>
        <v>0</v>
      </c>
      <c r="B7019" t="s">
        <v>1534</v>
      </c>
      <c r="C7019" t="s">
        <v>10418</v>
      </c>
      <c r="D7019" t="s">
        <v>18004</v>
      </c>
      <c r="E7019" t="s">
        <v>24197</v>
      </c>
      <c r="F7019" t="s">
        <v>30900</v>
      </c>
      <c r="G7019" t="s">
        <v>30908</v>
      </c>
      <c r="H7019" t="s">
        <v>30916</v>
      </c>
      <c r="I7019" t="s">
        <v>4545</v>
      </c>
      <c r="J7019" t="s">
        <v>33432</v>
      </c>
      <c r="K7019" t="s">
        <v>40287</v>
      </c>
      <c r="M7019" t="s">
        <v>42177</v>
      </c>
      <c r="N7019" t="s">
        <v>44759</v>
      </c>
      <c r="O7019" t="s">
        <v>44760</v>
      </c>
      <c r="P7019">
        <v>0</v>
      </c>
      <c r="Q7019">
        <v>0</v>
      </c>
      <c r="R7019" t="s">
        <v>44767</v>
      </c>
      <c r="S7019" t="s">
        <v>44954</v>
      </c>
      <c r="T7019" t="s">
        <v>46574</v>
      </c>
      <c r="U7019" t="s">
        <v>52828</v>
      </c>
      <c r="W7019" t="s">
        <v>42177</v>
      </c>
      <c r="X7019" t="s">
        <v>44768</v>
      </c>
    </row>
    <row r="7020" spans="1:24">
      <c r="A7020">
        <f>HYPERLINK("https://www.philgeps.gov.ph/GEPSNONPILOT/Tender/SplashBidNoticeAbstractUI.aspx?menuIndex=3&amp;refID=7142980&amp;Result=3","7142980")</f>
        <v>0</v>
      </c>
      <c r="B7020" t="s">
        <v>1363</v>
      </c>
      <c r="C7020" t="s">
        <v>10419</v>
      </c>
      <c r="D7020" t="s">
        <v>18018</v>
      </c>
      <c r="E7020" t="s">
        <v>18909</v>
      </c>
      <c r="F7020" t="s">
        <v>30900</v>
      </c>
      <c r="G7020" t="s">
        <v>30907</v>
      </c>
      <c r="H7020" t="s">
        <v>30915</v>
      </c>
      <c r="I7020" t="s">
        <v>30919</v>
      </c>
      <c r="J7020" t="s">
        <v>31152</v>
      </c>
      <c r="K7020" t="s">
        <v>40280</v>
      </c>
      <c r="M7020" t="s">
        <v>41985</v>
      </c>
      <c r="N7020" t="s">
        <v>44759</v>
      </c>
      <c r="O7020" t="s">
        <v>44760</v>
      </c>
      <c r="P7020">
        <v>0</v>
      </c>
      <c r="Q7020">
        <v>0</v>
      </c>
      <c r="R7020" t="s">
        <v>44767</v>
      </c>
      <c r="S7020" t="s">
        <v>44954</v>
      </c>
      <c r="T7020" t="s">
        <v>46689</v>
      </c>
      <c r="U7020" t="s">
        <v>52829</v>
      </c>
      <c r="V7020" t="s">
        <v>59481</v>
      </c>
      <c r="W7020" t="s">
        <v>41985</v>
      </c>
      <c r="X7020" t="s">
        <v>44768</v>
      </c>
    </row>
    <row r="7021" spans="1:24">
      <c r="A7021">
        <f>HYPERLINK("https://www.philgeps.gov.ph/GEPSNONPILOT/Tender/SplashBidNoticeAbstractUI.aspx?menuIndex=3&amp;refID=7142962&amp;Result=3","7142962")</f>
        <v>0</v>
      </c>
      <c r="B7021" t="s">
        <v>2427</v>
      </c>
      <c r="C7021" t="s">
        <v>10420</v>
      </c>
      <c r="D7021" t="s">
        <v>18031</v>
      </c>
      <c r="E7021" t="s">
        <v>24198</v>
      </c>
      <c r="F7021" t="s">
        <v>30900</v>
      </c>
      <c r="G7021" t="s">
        <v>30907</v>
      </c>
      <c r="H7021" t="s">
        <v>30915</v>
      </c>
      <c r="I7021" t="s">
        <v>30919</v>
      </c>
      <c r="J7021" t="s">
        <v>35519</v>
      </c>
      <c r="K7021" t="s">
        <v>40438</v>
      </c>
      <c r="M7021" t="s">
        <v>43158</v>
      </c>
      <c r="N7021" t="s">
        <v>44759</v>
      </c>
      <c r="O7021" t="s">
        <v>44760</v>
      </c>
      <c r="P7021">
        <v>0</v>
      </c>
      <c r="Q7021">
        <v>0</v>
      </c>
      <c r="R7021" t="s">
        <v>44767</v>
      </c>
      <c r="S7021" t="s">
        <v>44954</v>
      </c>
      <c r="T7021" t="s">
        <v>46450</v>
      </c>
      <c r="U7021" t="s">
        <v>52801</v>
      </c>
      <c r="W7021" t="s">
        <v>43158</v>
      </c>
      <c r="X7021" t="s">
        <v>44768</v>
      </c>
    </row>
    <row r="7022" spans="1:24">
      <c r="A7022">
        <f>HYPERLINK("https://www.philgeps.gov.ph/GEPSNONPILOT/Tender/SplashBidNoticeAbstractUI.aspx?menuIndex=3&amp;refID=7142961&amp;Result=3","7142961")</f>
        <v>0</v>
      </c>
      <c r="B7022" t="s">
        <v>1712</v>
      </c>
      <c r="C7022" t="s">
        <v>10421</v>
      </c>
      <c r="D7022" t="s">
        <v>17971</v>
      </c>
      <c r="E7022" t="s">
        <v>24199</v>
      </c>
      <c r="F7022" t="s">
        <v>30899</v>
      </c>
      <c r="G7022" t="s">
        <v>30908</v>
      </c>
      <c r="H7022" t="s">
        <v>30916</v>
      </c>
      <c r="I7022" t="s">
        <v>30948</v>
      </c>
      <c r="J7022" t="s">
        <v>31101</v>
      </c>
      <c r="K7022" t="s">
        <v>40324</v>
      </c>
      <c r="M7022" t="s">
        <v>42375</v>
      </c>
      <c r="N7022" t="s">
        <v>44759</v>
      </c>
      <c r="O7022" t="s">
        <v>44760</v>
      </c>
      <c r="P7022">
        <v>0</v>
      </c>
      <c r="Q7022">
        <v>0</v>
      </c>
      <c r="R7022" t="s">
        <v>44767</v>
      </c>
      <c r="S7022" t="s">
        <v>44954</v>
      </c>
      <c r="T7022" t="s">
        <v>46403</v>
      </c>
      <c r="U7022" t="s">
        <v>52830</v>
      </c>
      <c r="W7022" t="s">
        <v>42375</v>
      </c>
      <c r="X7022" t="s">
        <v>44768</v>
      </c>
    </row>
    <row r="7023" spans="1:24">
      <c r="A7023">
        <f>HYPERLINK("https://www.philgeps.gov.ph/GEPSNONPILOT/Tender/SplashBidNoticeAbstractUI.aspx?menuIndex=3&amp;refID=7142959&amp;Result=3","7142959")</f>
        <v>0</v>
      </c>
      <c r="B7023" t="s">
        <v>1487</v>
      </c>
      <c r="C7023" t="s">
        <v>10422</v>
      </c>
      <c r="D7023" t="s">
        <v>18011</v>
      </c>
      <c r="E7023" t="s">
        <v>24200</v>
      </c>
      <c r="F7023" t="s">
        <v>30900</v>
      </c>
      <c r="G7023" t="s">
        <v>30909</v>
      </c>
      <c r="H7023" t="s">
        <v>30916</v>
      </c>
      <c r="I7023" t="s">
        <v>30921</v>
      </c>
      <c r="J7023" t="s">
        <v>35538</v>
      </c>
      <c r="K7023" t="s">
        <v>40283</v>
      </c>
      <c r="M7023" t="s">
        <v>42124</v>
      </c>
      <c r="N7023" t="s">
        <v>44759</v>
      </c>
      <c r="O7023" t="s">
        <v>44760</v>
      </c>
      <c r="P7023">
        <v>0</v>
      </c>
      <c r="Q7023">
        <v>1</v>
      </c>
      <c r="R7023" t="s">
        <v>44767</v>
      </c>
      <c r="S7023" t="s">
        <v>44954</v>
      </c>
      <c r="T7023" t="s">
        <v>46534</v>
      </c>
      <c r="U7023" t="s">
        <v>52831</v>
      </c>
      <c r="W7023" t="s">
        <v>42124</v>
      </c>
      <c r="X7023" t="s">
        <v>44768</v>
      </c>
    </row>
    <row r="7024" spans="1:24">
      <c r="A7024">
        <f>HYPERLINK("https://www.philgeps.gov.ph/GEPSNONPILOT/Tender/SplashBidNoticeAbstractUI.aspx?menuIndex=3&amp;refID=7142954&amp;Result=3","7142954")</f>
        <v>0</v>
      </c>
      <c r="B7024" t="s">
        <v>2433</v>
      </c>
      <c r="C7024" t="s">
        <v>10423</v>
      </c>
      <c r="D7024" t="s">
        <v>17962</v>
      </c>
      <c r="E7024" t="s">
        <v>24201</v>
      </c>
      <c r="F7024" t="s">
        <v>30900</v>
      </c>
      <c r="G7024" t="s">
        <v>30907</v>
      </c>
      <c r="H7024" t="s">
        <v>30915</v>
      </c>
      <c r="I7024" t="s">
        <v>30919</v>
      </c>
      <c r="J7024" t="s">
        <v>35539</v>
      </c>
      <c r="K7024" t="s">
        <v>40287</v>
      </c>
      <c r="M7024" t="s">
        <v>43164</v>
      </c>
      <c r="N7024" t="s">
        <v>44759</v>
      </c>
      <c r="O7024" t="s">
        <v>44760</v>
      </c>
      <c r="P7024">
        <v>0</v>
      </c>
      <c r="Q7024">
        <v>0</v>
      </c>
      <c r="R7024" t="s">
        <v>44767</v>
      </c>
      <c r="S7024" t="s">
        <v>44954</v>
      </c>
      <c r="T7024" t="s">
        <v>46414</v>
      </c>
      <c r="U7024" t="s">
        <v>52832</v>
      </c>
      <c r="W7024" t="s">
        <v>43164</v>
      </c>
      <c r="X7024" t="s">
        <v>44768</v>
      </c>
    </row>
    <row r="7025" spans="1:24">
      <c r="A7025">
        <f>HYPERLINK("https://www.philgeps.gov.ph/GEPSNONPILOT/Tender/SplashBidNoticeAbstractUI.aspx?menuIndex=3&amp;refID=7142945&amp;Result=3","7142945")</f>
        <v>0</v>
      </c>
      <c r="B7025" t="s">
        <v>2334</v>
      </c>
      <c r="C7025" t="s">
        <v>10424</v>
      </c>
      <c r="D7025" t="s">
        <v>17959</v>
      </c>
      <c r="E7025" t="s">
        <v>24202</v>
      </c>
      <c r="F7025" t="s">
        <v>30900</v>
      </c>
      <c r="G7025" t="s">
        <v>30909</v>
      </c>
      <c r="H7025" t="s">
        <v>30916</v>
      </c>
      <c r="I7025" t="s">
        <v>4142</v>
      </c>
      <c r="J7025" t="s">
        <v>35540</v>
      </c>
      <c r="K7025" t="s">
        <v>40289</v>
      </c>
      <c r="M7025" t="s">
        <v>43056</v>
      </c>
      <c r="N7025" t="s">
        <v>44759</v>
      </c>
      <c r="O7025" t="s">
        <v>44760</v>
      </c>
      <c r="P7025">
        <v>0</v>
      </c>
      <c r="Q7025">
        <v>2</v>
      </c>
      <c r="R7025" t="s">
        <v>44767</v>
      </c>
      <c r="S7025" t="s">
        <v>44954</v>
      </c>
      <c r="T7025" t="s">
        <v>46699</v>
      </c>
      <c r="U7025" t="s">
        <v>52833</v>
      </c>
      <c r="W7025" t="s">
        <v>43056</v>
      </c>
      <c r="X7025" t="s">
        <v>44768</v>
      </c>
    </row>
    <row r="7026" spans="1:24">
      <c r="A7026">
        <f>HYPERLINK("https://www.philgeps.gov.ph/GEPSNONPILOT/Tender/SplashBidNoticeAbstractUI.aspx?menuIndex=3&amp;refID=7142944&amp;Result=3","7142944")</f>
        <v>0</v>
      </c>
      <c r="B7026" t="s">
        <v>1363</v>
      </c>
      <c r="C7026" t="s">
        <v>10425</v>
      </c>
      <c r="D7026" t="s">
        <v>18018</v>
      </c>
      <c r="E7026" t="s">
        <v>19042</v>
      </c>
      <c r="F7026" t="s">
        <v>30904</v>
      </c>
      <c r="G7026" t="s">
        <v>30907</v>
      </c>
      <c r="H7026" t="s">
        <v>30915</v>
      </c>
      <c r="I7026" t="s">
        <v>30919</v>
      </c>
      <c r="J7026" t="s">
        <v>31243</v>
      </c>
      <c r="K7026" t="s">
        <v>40280</v>
      </c>
      <c r="M7026" t="s">
        <v>41985</v>
      </c>
      <c r="N7026" t="s">
        <v>44759</v>
      </c>
      <c r="O7026" t="s">
        <v>44760</v>
      </c>
      <c r="P7026">
        <v>0</v>
      </c>
      <c r="Q7026">
        <v>0</v>
      </c>
      <c r="R7026" t="s">
        <v>44767</v>
      </c>
      <c r="S7026" t="s">
        <v>44954</v>
      </c>
      <c r="T7026" t="s">
        <v>46689</v>
      </c>
      <c r="U7026" t="s">
        <v>52834</v>
      </c>
      <c r="V7026" t="s">
        <v>59481</v>
      </c>
      <c r="W7026" t="s">
        <v>41985</v>
      </c>
      <c r="X7026" t="s">
        <v>44768</v>
      </c>
    </row>
    <row r="7027" spans="1:24">
      <c r="A7027">
        <f>HYPERLINK("https://www.philgeps.gov.ph/GEPSNONPILOT/Tender/SplashBidNoticeAbstractUI.aspx?menuIndex=3&amp;refID=7142943&amp;Result=3","7142943")</f>
        <v>0</v>
      </c>
      <c r="B7027" t="s">
        <v>1979</v>
      </c>
      <c r="C7027" t="s">
        <v>10426</v>
      </c>
      <c r="D7027" t="s">
        <v>17978</v>
      </c>
      <c r="E7027" t="s">
        <v>24203</v>
      </c>
      <c r="F7027" t="s">
        <v>30900</v>
      </c>
      <c r="G7027" t="s">
        <v>30908</v>
      </c>
      <c r="H7027" t="s">
        <v>30916</v>
      </c>
      <c r="I7027" t="s">
        <v>30927</v>
      </c>
      <c r="J7027" t="s">
        <v>34217</v>
      </c>
      <c r="K7027" t="s">
        <v>40289</v>
      </c>
      <c r="M7027" t="s">
        <v>42669</v>
      </c>
      <c r="N7027" t="s">
        <v>44759</v>
      </c>
      <c r="O7027" t="s">
        <v>44760</v>
      </c>
      <c r="P7027">
        <v>0</v>
      </c>
      <c r="Q7027">
        <v>1</v>
      </c>
      <c r="R7027" t="s">
        <v>44767</v>
      </c>
      <c r="S7027" t="s">
        <v>44954</v>
      </c>
      <c r="T7027" t="s">
        <v>46403</v>
      </c>
      <c r="U7027" t="s">
        <v>52835</v>
      </c>
      <c r="W7027" t="s">
        <v>42669</v>
      </c>
      <c r="X7027" t="s">
        <v>44768</v>
      </c>
    </row>
    <row r="7028" spans="1:24">
      <c r="A7028">
        <f>HYPERLINK("https://www.philgeps.gov.ph/GEPSNONPILOT/Tender/SplashBidNoticeAbstractUI.aspx?menuIndex=3&amp;refID=7143033&amp;Result=3","7143033")</f>
        <v>0</v>
      </c>
      <c r="B7028" t="s">
        <v>2430</v>
      </c>
      <c r="C7028" t="s">
        <v>10427</v>
      </c>
      <c r="D7028" t="s">
        <v>17979</v>
      </c>
      <c r="E7028" t="s">
        <v>24204</v>
      </c>
      <c r="F7028" t="s">
        <v>30900</v>
      </c>
      <c r="G7028" t="s">
        <v>30909</v>
      </c>
      <c r="H7028" t="s">
        <v>30916</v>
      </c>
      <c r="I7028" t="s">
        <v>30923</v>
      </c>
      <c r="J7028" t="s">
        <v>31067</v>
      </c>
      <c r="K7028" t="s">
        <v>40287</v>
      </c>
      <c r="M7028" t="s">
        <v>43161</v>
      </c>
      <c r="N7028" t="s">
        <v>44759</v>
      </c>
      <c r="O7028" t="s">
        <v>44760</v>
      </c>
      <c r="P7028">
        <v>0</v>
      </c>
      <c r="Q7028">
        <v>2</v>
      </c>
      <c r="R7028" t="s">
        <v>44767</v>
      </c>
      <c r="S7028" t="s">
        <v>44954</v>
      </c>
      <c r="T7028" t="s">
        <v>46398</v>
      </c>
      <c r="U7028" t="s">
        <v>52817</v>
      </c>
      <c r="W7028" t="s">
        <v>43161</v>
      </c>
      <c r="X7028" t="s">
        <v>44768</v>
      </c>
    </row>
    <row r="7029" spans="1:24">
      <c r="A7029">
        <f>HYPERLINK("https://www.philgeps.gov.ph/GEPSNONPILOT/Tender/SplashBidNoticeAbstractUI.aspx?menuIndex=3&amp;refID=7142965&amp;Result=3","7142965")</f>
        <v>0</v>
      </c>
      <c r="B7029" t="s">
        <v>1363</v>
      </c>
      <c r="C7029" t="s">
        <v>10428</v>
      </c>
      <c r="D7029" t="s">
        <v>18018</v>
      </c>
      <c r="E7029" t="s">
        <v>18239</v>
      </c>
      <c r="F7029" t="s">
        <v>30900</v>
      </c>
      <c r="G7029" t="s">
        <v>30907</v>
      </c>
      <c r="H7029" t="s">
        <v>30915</v>
      </c>
      <c r="I7029" t="s">
        <v>30919</v>
      </c>
      <c r="J7029" t="s">
        <v>31243</v>
      </c>
      <c r="K7029" t="s">
        <v>40320</v>
      </c>
      <c r="M7029" t="s">
        <v>41985</v>
      </c>
      <c r="N7029" t="s">
        <v>44759</v>
      </c>
      <c r="O7029" t="s">
        <v>44760</v>
      </c>
      <c r="P7029">
        <v>0</v>
      </c>
      <c r="Q7029">
        <v>0</v>
      </c>
      <c r="R7029" t="s">
        <v>44767</v>
      </c>
      <c r="S7029" t="s">
        <v>44954</v>
      </c>
      <c r="T7029" t="s">
        <v>46689</v>
      </c>
      <c r="U7029" t="s">
        <v>52836</v>
      </c>
      <c r="V7029" t="s">
        <v>59481</v>
      </c>
      <c r="W7029" t="s">
        <v>41985</v>
      </c>
      <c r="X7029" t="s">
        <v>44768</v>
      </c>
    </row>
    <row r="7030" spans="1:24">
      <c r="A7030">
        <f>HYPERLINK("https://www.philgeps.gov.ph/GEPSNONPILOT/Tender/SplashBidNoticeAbstractUI.aspx?menuIndex=3&amp;refID=7143030&amp;Result=3","7143030")</f>
        <v>0</v>
      </c>
      <c r="B7030" t="s">
        <v>2434</v>
      </c>
      <c r="C7030" t="s">
        <v>10429</v>
      </c>
      <c r="D7030" t="s">
        <v>17984</v>
      </c>
      <c r="E7030" t="s">
        <v>24205</v>
      </c>
      <c r="F7030" t="s">
        <v>30900</v>
      </c>
      <c r="G7030" t="s">
        <v>30907</v>
      </c>
      <c r="H7030" t="s">
        <v>30916</v>
      </c>
      <c r="I7030" t="s">
        <v>31004</v>
      </c>
      <c r="J7030" t="s">
        <v>32110</v>
      </c>
      <c r="K7030" t="s">
        <v>40280</v>
      </c>
      <c r="M7030" t="s">
        <v>43165</v>
      </c>
      <c r="N7030" t="s">
        <v>44759</v>
      </c>
      <c r="O7030" t="s">
        <v>44760</v>
      </c>
      <c r="P7030">
        <v>0</v>
      </c>
      <c r="Q7030">
        <v>4</v>
      </c>
      <c r="R7030" t="s">
        <v>44767</v>
      </c>
      <c r="S7030" t="s">
        <v>44954</v>
      </c>
      <c r="T7030" t="s">
        <v>46455</v>
      </c>
      <c r="U7030" t="s">
        <v>52837</v>
      </c>
      <c r="W7030" t="s">
        <v>43165</v>
      </c>
      <c r="X7030" t="s">
        <v>44768</v>
      </c>
    </row>
    <row r="7031" spans="1:24">
      <c r="A7031">
        <f>HYPERLINK("https://www.philgeps.gov.ph/GEPSNONPILOT/Tender/SplashBidNoticeAbstractUI.aspx?menuIndex=3&amp;refID=7142949&amp;Result=3","7142949")</f>
        <v>0</v>
      </c>
      <c r="B7031" t="s">
        <v>2435</v>
      </c>
      <c r="C7031" t="s">
        <v>10430</v>
      </c>
      <c r="D7031" t="s">
        <v>18009</v>
      </c>
      <c r="E7031" t="s">
        <v>24206</v>
      </c>
      <c r="F7031" t="s">
        <v>30900</v>
      </c>
      <c r="G7031" t="s">
        <v>30907</v>
      </c>
      <c r="H7031" t="s">
        <v>30916</v>
      </c>
      <c r="I7031" t="s">
        <v>30943</v>
      </c>
      <c r="J7031" t="s">
        <v>31243</v>
      </c>
      <c r="K7031" t="s">
        <v>40286</v>
      </c>
      <c r="M7031" t="s">
        <v>43166</v>
      </c>
      <c r="N7031" t="s">
        <v>44759</v>
      </c>
      <c r="O7031" t="s">
        <v>44760</v>
      </c>
      <c r="P7031">
        <v>0</v>
      </c>
      <c r="Q7031">
        <v>3</v>
      </c>
      <c r="R7031" t="s">
        <v>44767</v>
      </c>
      <c r="S7031" t="s">
        <v>44954</v>
      </c>
      <c r="T7031" t="s">
        <v>46519</v>
      </c>
      <c r="U7031" t="s">
        <v>52838</v>
      </c>
      <c r="W7031" t="s">
        <v>43166</v>
      </c>
      <c r="X7031" t="s">
        <v>44768</v>
      </c>
    </row>
    <row r="7032" spans="1:24">
      <c r="A7032">
        <f>HYPERLINK("https://www.philgeps.gov.ph/GEPSNONPILOT/Tender/SplashBidNoticeAbstractUI.aspx?menuIndex=3&amp;refID=7143025&amp;Result=3","7143025")</f>
        <v>0</v>
      </c>
      <c r="B7032" t="s">
        <v>211</v>
      </c>
      <c r="C7032" t="s">
        <v>10431</v>
      </c>
      <c r="D7032" t="s">
        <v>18016</v>
      </c>
      <c r="E7032" t="s">
        <v>24207</v>
      </c>
      <c r="F7032" t="s">
        <v>30900</v>
      </c>
      <c r="G7032" t="s">
        <v>30908</v>
      </c>
      <c r="H7032" t="s">
        <v>30916</v>
      </c>
      <c r="I7032" t="s">
        <v>4142</v>
      </c>
      <c r="J7032" t="s">
        <v>35541</v>
      </c>
      <c r="K7032" t="s">
        <v>40289</v>
      </c>
      <c r="M7032" t="s">
        <v>40758</v>
      </c>
      <c r="N7032" t="s">
        <v>44759</v>
      </c>
      <c r="O7032" t="s">
        <v>44760</v>
      </c>
      <c r="P7032">
        <v>0</v>
      </c>
      <c r="Q7032">
        <v>1</v>
      </c>
      <c r="R7032" t="s">
        <v>44767</v>
      </c>
      <c r="S7032" t="s">
        <v>44954</v>
      </c>
      <c r="T7032" t="s">
        <v>46421</v>
      </c>
      <c r="U7032" t="s">
        <v>52839</v>
      </c>
      <c r="W7032" t="s">
        <v>40758</v>
      </c>
      <c r="X7032" t="s">
        <v>44768</v>
      </c>
    </row>
    <row r="7033" spans="1:24">
      <c r="A7033">
        <f>HYPERLINK("https://www.philgeps.gov.ph/GEPSNONPILOT/Tender/SplashBidNoticeAbstractUI.aspx?menuIndex=3&amp;refID=7142976&amp;Result=3","7142976")</f>
        <v>0</v>
      </c>
      <c r="B7033" t="s">
        <v>2233</v>
      </c>
      <c r="C7033" t="s">
        <v>10432</v>
      </c>
      <c r="D7033" t="s">
        <v>18013</v>
      </c>
      <c r="E7033" t="s">
        <v>24208</v>
      </c>
      <c r="F7033" t="s">
        <v>30900</v>
      </c>
      <c r="G7033" t="s">
        <v>30913</v>
      </c>
      <c r="H7033" t="s">
        <v>30916</v>
      </c>
      <c r="I7033" t="s">
        <v>30949</v>
      </c>
      <c r="J7033" t="s">
        <v>35542</v>
      </c>
      <c r="K7033" t="s">
        <v>40283</v>
      </c>
      <c r="M7033" t="s">
        <v>42943</v>
      </c>
      <c r="N7033" t="s">
        <v>44759</v>
      </c>
      <c r="O7033" t="s">
        <v>44760</v>
      </c>
      <c r="P7033">
        <v>0</v>
      </c>
      <c r="Q7033">
        <v>1</v>
      </c>
      <c r="R7033" t="s">
        <v>44767</v>
      </c>
      <c r="S7033" t="s">
        <v>44954</v>
      </c>
      <c r="T7033" t="s">
        <v>46453</v>
      </c>
      <c r="U7033" t="s">
        <v>52840</v>
      </c>
      <c r="W7033" t="s">
        <v>42943</v>
      </c>
      <c r="X7033" t="s">
        <v>44768</v>
      </c>
    </row>
    <row r="7034" spans="1:24">
      <c r="A7034">
        <f>HYPERLINK("https://www.philgeps.gov.ph/GEPSNONPILOT/Tender/SplashBidNoticeAbstractUI.aspx?menuIndex=3&amp;refID=7143024&amp;Result=3","7143024")</f>
        <v>0</v>
      </c>
      <c r="B7034" t="s">
        <v>1197</v>
      </c>
      <c r="C7034" t="s">
        <v>10433</v>
      </c>
      <c r="D7034" t="s">
        <v>18002</v>
      </c>
      <c r="E7034" t="s">
        <v>24209</v>
      </c>
      <c r="F7034" t="s">
        <v>30900</v>
      </c>
      <c r="G7034" t="s">
        <v>30907</v>
      </c>
      <c r="H7034" t="s">
        <v>30915</v>
      </c>
      <c r="I7034" t="s">
        <v>30919</v>
      </c>
      <c r="J7034" t="s">
        <v>35543</v>
      </c>
      <c r="K7034" t="s">
        <v>40347</v>
      </c>
      <c r="M7034" t="s">
        <v>41880</v>
      </c>
      <c r="N7034" t="s">
        <v>44759</v>
      </c>
      <c r="O7034" t="s">
        <v>44760</v>
      </c>
      <c r="P7034">
        <v>0</v>
      </c>
      <c r="Q7034">
        <v>3</v>
      </c>
      <c r="R7034" t="s">
        <v>44767</v>
      </c>
      <c r="S7034" t="s">
        <v>44954</v>
      </c>
      <c r="T7034" t="s">
        <v>46767</v>
      </c>
      <c r="U7034" t="s">
        <v>49491</v>
      </c>
      <c r="W7034" t="s">
        <v>41880</v>
      </c>
      <c r="X7034" t="s">
        <v>44768</v>
      </c>
    </row>
    <row r="7035" spans="1:24">
      <c r="A7035">
        <f>HYPERLINK("https://www.philgeps.gov.ph/GEPSNONPILOT/Tender/SplashBidNoticeAbstractUI.aspx?menuIndex=3&amp;refID=7143022&amp;Result=3","7143022")</f>
        <v>0</v>
      </c>
      <c r="B7035" t="s">
        <v>1363</v>
      </c>
      <c r="C7035" t="s">
        <v>10434</v>
      </c>
      <c r="D7035" t="s">
        <v>18018</v>
      </c>
      <c r="E7035" t="s">
        <v>20058</v>
      </c>
      <c r="F7035" t="s">
        <v>30900</v>
      </c>
      <c r="G7035" t="s">
        <v>30907</v>
      </c>
      <c r="H7035" t="s">
        <v>30915</v>
      </c>
      <c r="I7035" t="s">
        <v>30919</v>
      </c>
      <c r="J7035" t="s">
        <v>32666</v>
      </c>
      <c r="K7035" t="s">
        <v>40298</v>
      </c>
      <c r="M7035" t="s">
        <v>41985</v>
      </c>
      <c r="N7035" t="s">
        <v>44759</v>
      </c>
      <c r="O7035" t="s">
        <v>44760</v>
      </c>
      <c r="P7035">
        <v>0</v>
      </c>
      <c r="Q7035">
        <v>1</v>
      </c>
      <c r="R7035" t="s">
        <v>44767</v>
      </c>
      <c r="S7035" t="s">
        <v>44954</v>
      </c>
      <c r="T7035" t="s">
        <v>46689</v>
      </c>
      <c r="U7035" t="s">
        <v>52841</v>
      </c>
      <c r="V7035" t="s">
        <v>59481</v>
      </c>
      <c r="W7035" t="s">
        <v>41985</v>
      </c>
      <c r="X7035" t="s">
        <v>44768</v>
      </c>
    </row>
    <row r="7036" spans="1:24">
      <c r="A7036">
        <f>HYPERLINK("https://www.philgeps.gov.ph/GEPSNONPILOT/Tender/SplashBidNoticeAbstractUI.aspx?menuIndex=3&amp;refID=7143016&amp;Result=3","7143016")</f>
        <v>0</v>
      </c>
      <c r="B7036" t="s">
        <v>2430</v>
      </c>
      <c r="C7036" t="s">
        <v>10435</v>
      </c>
      <c r="D7036" t="s">
        <v>17979</v>
      </c>
      <c r="E7036" t="s">
        <v>24210</v>
      </c>
      <c r="F7036" t="s">
        <v>30900</v>
      </c>
      <c r="G7036" t="s">
        <v>30909</v>
      </c>
      <c r="H7036" t="s">
        <v>30916</v>
      </c>
      <c r="I7036" t="s">
        <v>4017</v>
      </c>
      <c r="J7036" t="s">
        <v>31271</v>
      </c>
      <c r="K7036" t="s">
        <v>40287</v>
      </c>
      <c r="M7036" t="s">
        <v>43161</v>
      </c>
      <c r="N7036" t="s">
        <v>44759</v>
      </c>
      <c r="O7036" t="s">
        <v>44760</v>
      </c>
      <c r="P7036">
        <v>0</v>
      </c>
      <c r="Q7036">
        <v>8</v>
      </c>
      <c r="R7036" t="s">
        <v>44767</v>
      </c>
      <c r="S7036" t="s">
        <v>44954</v>
      </c>
      <c r="T7036" t="s">
        <v>46398</v>
      </c>
      <c r="U7036" t="s">
        <v>52817</v>
      </c>
      <c r="W7036" t="s">
        <v>43161</v>
      </c>
      <c r="X7036" t="s">
        <v>44768</v>
      </c>
    </row>
    <row r="7037" spans="1:24">
      <c r="A7037">
        <f>HYPERLINK("https://www.philgeps.gov.ph/GEPSNONPILOT/Tender/SplashBidNoticeAbstractUI.aspx?menuIndex=3&amp;refID=7143009&amp;Result=3","7143009")</f>
        <v>0</v>
      </c>
      <c r="B7037" t="s">
        <v>2299</v>
      </c>
      <c r="C7037" t="s">
        <v>10436</v>
      </c>
      <c r="D7037" t="s">
        <v>17998</v>
      </c>
      <c r="E7037" t="s">
        <v>24211</v>
      </c>
      <c r="F7037" t="s">
        <v>30900</v>
      </c>
      <c r="G7037" t="s">
        <v>30907</v>
      </c>
      <c r="H7037" t="s">
        <v>30916</v>
      </c>
      <c r="I7037" t="s">
        <v>4545</v>
      </c>
      <c r="J7037" t="s">
        <v>35544</v>
      </c>
      <c r="K7037" t="s">
        <v>40287</v>
      </c>
      <c r="M7037" t="s">
        <v>43014</v>
      </c>
      <c r="N7037" t="s">
        <v>44759</v>
      </c>
      <c r="O7037" t="s">
        <v>44760</v>
      </c>
      <c r="P7037">
        <v>0</v>
      </c>
      <c r="Q7037">
        <v>1</v>
      </c>
      <c r="R7037" t="s">
        <v>44767</v>
      </c>
      <c r="S7037" t="s">
        <v>44954</v>
      </c>
      <c r="T7037" t="s">
        <v>46548</v>
      </c>
      <c r="U7037" t="s">
        <v>52842</v>
      </c>
      <c r="W7037" t="s">
        <v>43014</v>
      </c>
      <c r="X7037" t="s">
        <v>44768</v>
      </c>
    </row>
    <row r="7038" spans="1:24">
      <c r="A7038">
        <f>HYPERLINK("https://www.philgeps.gov.ph/GEPSNONPILOT/Tender/SplashBidNoticeAbstractUI.aspx?menuIndex=3&amp;refID=7142898&amp;Result=3","7142898")</f>
        <v>0</v>
      </c>
      <c r="B7038" t="s">
        <v>1487</v>
      </c>
      <c r="C7038" t="s">
        <v>10437</v>
      </c>
      <c r="D7038" t="s">
        <v>18011</v>
      </c>
      <c r="E7038" t="s">
        <v>24212</v>
      </c>
      <c r="F7038" t="s">
        <v>30900</v>
      </c>
      <c r="G7038" t="s">
        <v>30909</v>
      </c>
      <c r="H7038" t="s">
        <v>30916</v>
      </c>
      <c r="I7038" t="s">
        <v>30939</v>
      </c>
      <c r="J7038" t="s">
        <v>35545</v>
      </c>
      <c r="K7038" t="s">
        <v>40283</v>
      </c>
      <c r="M7038" t="s">
        <v>42124</v>
      </c>
      <c r="N7038" t="s">
        <v>44759</v>
      </c>
      <c r="O7038" t="s">
        <v>44760</v>
      </c>
      <c r="P7038">
        <v>0</v>
      </c>
      <c r="Q7038">
        <v>0</v>
      </c>
      <c r="R7038" t="s">
        <v>44767</v>
      </c>
      <c r="S7038" t="s">
        <v>44954</v>
      </c>
      <c r="T7038" t="s">
        <v>46534</v>
      </c>
      <c r="U7038" t="s">
        <v>52843</v>
      </c>
      <c r="W7038" t="s">
        <v>42124</v>
      </c>
      <c r="X7038" t="s">
        <v>44768</v>
      </c>
    </row>
    <row r="7039" spans="1:24">
      <c r="A7039">
        <f>HYPERLINK("https://www.philgeps.gov.ph/GEPSNONPILOT/Tender/SplashBidNoticeAbstractUI.aspx?menuIndex=3&amp;refID=7143008&amp;Result=3","7143008")</f>
        <v>0</v>
      </c>
      <c r="B7039" t="s">
        <v>2429</v>
      </c>
      <c r="C7039" t="s">
        <v>10438</v>
      </c>
      <c r="D7039" t="s">
        <v>18001</v>
      </c>
      <c r="E7039" t="s">
        <v>24213</v>
      </c>
      <c r="F7039" t="s">
        <v>30900</v>
      </c>
      <c r="G7039" t="s">
        <v>30907</v>
      </c>
      <c r="H7039" t="s">
        <v>30916</v>
      </c>
      <c r="I7039" t="s">
        <v>30933</v>
      </c>
      <c r="J7039" t="s">
        <v>32324</v>
      </c>
      <c r="K7039" t="s">
        <v>40286</v>
      </c>
      <c r="M7039" t="s">
        <v>43160</v>
      </c>
      <c r="N7039" t="s">
        <v>44759</v>
      </c>
      <c r="O7039" t="s">
        <v>44760</v>
      </c>
      <c r="P7039">
        <v>0</v>
      </c>
      <c r="Q7039">
        <v>1</v>
      </c>
      <c r="R7039" t="s">
        <v>44767</v>
      </c>
      <c r="S7039" t="s">
        <v>44954</v>
      </c>
      <c r="T7039" t="s">
        <v>46457</v>
      </c>
      <c r="U7039" t="s">
        <v>52844</v>
      </c>
      <c r="W7039" t="s">
        <v>43160</v>
      </c>
      <c r="X7039" t="s">
        <v>44768</v>
      </c>
    </row>
    <row r="7040" spans="1:24">
      <c r="A7040">
        <f>HYPERLINK("https://www.philgeps.gov.ph/GEPSNONPILOT/Tender/SplashBidNoticeAbstractUI.aspx?menuIndex=3&amp;refID=7143006&amp;Result=3","7143006")</f>
        <v>0</v>
      </c>
      <c r="B7040" t="s">
        <v>2436</v>
      </c>
      <c r="C7040" t="s">
        <v>10439</v>
      </c>
      <c r="D7040" t="s">
        <v>17951</v>
      </c>
      <c r="E7040" t="s">
        <v>24214</v>
      </c>
      <c r="F7040" t="s">
        <v>30900</v>
      </c>
      <c r="G7040" t="s">
        <v>30907</v>
      </c>
      <c r="H7040" t="s">
        <v>30916</v>
      </c>
      <c r="I7040" t="s">
        <v>8123</v>
      </c>
      <c r="J7040" t="s">
        <v>35546</v>
      </c>
      <c r="K7040" t="s">
        <v>40283</v>
      </c>
      <c r="M7040" t="s">
        <v>43167</v>
      </c>
      <c r="N7040" t="s">
        <v>44759</v>
      </c>
      <c r="O7040" t="s">
        <v>44760</v>
      </c>
      <c r="P7040">
        <v>0</v>
      </c>
      <c r="Q7040">
        <v>0</v>
      </c>
      <c r="R7040" t="s">
        <v>44767</v>
      </c>
      <c r="S7040" t="s">
        <v>44954</v>
      </c>
      <c r="T7040" t="s">
        <v>46409</v>
      </c>
      <c r="U7040" t="s">
        <v>52845</v>
      </c>
      <c r="W7040" t="s">
        <v>43167</v>
      </c>
      <c r="X7040" t="s">
        <v>44768</v>
      </c>
    </row>
    <row r="7041" spans="1:24">
      <c r="A7041">
        <f>HYPERLINK("https://www.philgeps.gov.ph/GEPSNONPILOT/Tender/SplashBidNoticeAbstractUI.aspx?menuIndex=3&amp;refID=7143027&amp;Result=3","7143027")</f>
        <v>0</v>
      </c>
      <c r="B7041" t="s">
        <v>1359</v>
      </c>
      <c r="C7041" t="s">
        <v>10440</v>
      </c>
      <c r="D7041" t="s">
        <v>17965</v>
      </c>
      <c r="E7041" t="s">
        <v>24215</v>
      </c>
      <c r="F7041" t="s">
        <v>30900</v>
      </c>
      <c r="G7041" t="s">
        <v>30908</v>
      </c>
      <c r="H7041" t="s">
        <v>30916</v>
      </c>
      <c r="I7041" t="s">
        <v>4142</v>
      </c>
      <c r="J7041" t="s">
        <v>35547</v>
      </c>
      <c r="K7041" t="s">
        <v>40285</v>
      </c>
      <c r="M7041" t="s">
        <v>41981</v>
      </c>
      <c r="N7041" t="s">
        <v>44759</v>
      </c>
      <c r="O7041" t="s">
        <v>44760</v>
      </c>
      <c r="P7041">
        <v>0</v>
      </c>
      <c r="Q7041">
        <v>4</v>
      </c>
      <c r="R7041" t="s">
        <v>44767</v>
      </c>
      <c r="S7041" t="s">
        <v>44954</v>
      </c>
      <c r="T7041" t="s">
        <v>46607</v>
      </c>
      <c r="U7041" t="s">
        <v>52846</v>
      </c>
      <c r="W7041" t="s">
        <v>41981</v>
      </c>
      <c r="X7041" t="s">
        <v>44768</v>
      </c>
    </row>
    <row r="7042" spans="1:24">
      <c r="A7042">
        <f>HYPERLINK("https://www.philgeps.gov.ph/GEPSNONPILOT/Tender/SplashBidNoticeAbstractUI.aspx?menuIndex=3&amp;refID=7143000&amp;Result=3","7143000")</f>
        <v>0</v>
      </c>
      <c r="B7042" t="s">
        <v>2437</v>
      </c>
      <c r="C7042" t="s">
        <v>10441</v>
      </c>
      <c r="E7042" t="s">
        <v>24216</v>
      </c>
      <c r="F7042" t="s">
        <v>30900</v>
      </c>
      <c r="G7042" t="s">
        <v>30907</v>
      </c>
      <c r="H7042" t="s">
        <v>30916</v>
      </c>
      <c r="I7042" t="s">
        <v>8123</v>
      </c>
      <c r="J7042" t="s">
        <v>35548</v>
      </c>
      <c r="K7042" t="s">
        <v>40289</v>
      </c>
      <c r="M7042" t="s">
        <v>43168</v>
      </c>
      <c r="N7042" t="s">
        <v>44759</v>
      </c>
      <c r="O7042" t="s">
        <v>44760</v>
      </c>
      <c r="P7042">
        <v>0</v>
      </c>
      <c r="Q7042">
        <v>0</v>
      </c>
      <c r="R7042" t="s">
        <v>44767</v>
      </c>
      <c r="S7042" t="s">
        <v>44954</v>
      </c>
      <c r="T7042" t="s">
        <v>46533</v>
      </c>
      <c r="U7042" t="s">
        <v>52847</v>
      </c>
      <c r="W7042" t="s">
        <v>43168</v>
      </c>
      <c r="X7042" t="s">
        <v>44768</v>
      </c>
    </row>
    <row r="7043" spans="1:24">
      <c r="A7043">
        <f>HYPERLINK("https://www.philgeps.gov.ph/GEPSNONPILOT/Tender/SplashBidNoticeAbstractUI.aspx?menuIndex=3&amp;refID=7143026&amp;Result=3","7143026")</f>
        <v>0</v>
      </c>
      <c r="B7043" t="s">
        <v>2438</v>
      </c>
      <c r="C7043" t="s">
        <v>10442</v>
      </c>
      <c r="D7043" t="s">
        <v>17951</v>
      </c>
      <c r="E7043" t="s">
        <v>24217</v>
      </c>
      <c r="F7043" t="s">
        <v>30900</v>
      </c>
      <c r="G7043" t="s">
        <v>30908</v>
      </c>
      <c r="H7043" t="s">
        <v>30916</v>
      </c>
      <c r="I7043" t="s">
        <v>30942</v>
      </c>
      <c r="J7043" t="s">
        <v>35549</v>
      </c>
      <c r="K7043" t="s">
        <v>40286</v>
      </c>
      <c r="M7043" t="s">
        <v>43169</v>
      </c>
      <c r="N7043" t="s">
        <v>44759</v>
      </c>
      <c r="O7043" t="s">
        <v>44760</v>
      </c>
      <c r="P7043">
        <v>0</v>
      </c>
      <c r="Q7043">
        <v>2</v>
      </c>
      <c r="R7043" t="s">
        <v>44767</v>
      </c>
      <c r="S7043" t="s">
        <v>44954</v>
      </c>
      <c r="T7043" t="s">
        <v>46414</v>
      </c>
      <c r="U7043" t="s">
        <v>52848</v>
      </c>
      <c r="W7043" t="s">
        <v>43169</v>
      </c>
      <c r="X7043" t="s">
        <v>44768</v>
      </c>
    </row>
    <row r="7044" spans="1:24">
      <c r="A7044">
        <f>HYPERLINK("https://www.philgeps.gov.ph/GEPSNONPILOT/Tender/SplashBidNoticeAbstractUI.aspx?menuIndex=3&amp;refID=7143078&amp;Result=3","7143078")</f>
        <v>0</v>
      </c>
      <c r="B7044" t="s">
        <v>1363</v>
      </c>
      <c r="C7044" t="s">
        <v>10443</v>
      </c>
      <c r="D7044" t="s">
        <v>18018</v>
      </c>
      <c r="E7044" t="s">
        <v>18852</v>
      </c>
      <c r="F7044" t="s">
        <v>30900</v>
      </c>
      <c r="G7044" t="s">
        <v>30907</v>
      </c>
      <c r="H7044" t="s">
        <v>30915</v>
      </c>
      <c r="I7044" t="s">
        <v>30919</v>
      </c>
      <c r="J7044" t="s">
        <v>31243</v>
      </c>
      <c r="K7044" t="s">
        <v>40337</v>
      </c>
      <c r="M7044" t="s">
        <v>41985</v>
      </c>
      <c r="N7044" t="s">
        <v>44759</v>
      </c>
      <c r="O7044" t="s">
        <v>44760</v>
      </c>
      <c r="P7044">
        <v>0</v>
      </c>
      <c r="Q7044">
        <v>0</v>
      </c>
      <c r="R7044" t="s">
        <v>44767</v>
      </c>
      <c r="S7044" t="s">
        <v>44954</v>
      </c>
      <c r="T7044" t="s">
        <v>46689</v>
      </c>
      <c r="U7044" t="s">
        <v>52849</v>
      </c>
      <c r="V7044" t="s">
        <v>59481</v>
      </c>
      <c r="W7044" t="s">
        <v>41985</v>
      </c>
      <c r="X7044" t="s">
        <v>44768</v>
      </c>
    </row>
    <row r="7045" spans="1:24">
      <c r="A7045">
        <f>HYPERLINK("https://www.philgeps.gov.ph/GEPSNONPILOT/Tender/SplashBidNoticeAbstractUI.aspx?menuIndex=3&amp;refID=7142971&amp;Result=3","7142971")</f>
        <v>0</v>
      </c>
      <c r="B7045" t="s">
        <v>1620</v>
      </c>
      <c r="C7045" t="s">
        <v>10444</v>
      </c>
      <c r="D7045" t="s">
        <v>17953</v>
      </c>
      <c r="E7045" t="s">
        <v>24218</v>
      </c>
      <c r="F7045" t="s">
        <v>30900</v>
      </c>
      <c r="G7045" t="s">
        <v>30907</v>
      </c>
      <c r="H7045" t="s">
        <v>30916</v>
      </c>
      <c r="I7045" t="s">
        <v>30933</v>
      </c>
      <c r="J7045" t="s">
        <v>31341</v>
      </c>
      <c r="K7045" t="s">
        <v>40284</v>
      </c>
      <c r="L7045" t="s">
        <v>1620</v>
      </c>
      <c r="M7045" t="s">
        <v>42271</v>
      </c>
      <c r="N7045" t="s">
        <v>44759</v>
      </c>
      <c r="O7045" t="s">
        <v>44760</v>
      </c>
      <c r="P7045">
        <v>0</v>
      </c>
      <c r="Q7045">
        <v>3</v>
      </c>
      <c r="R7045" t="s">
        <v>44767</v>
      </c>
      <c r="S7045" t="s">
        <v>44954</v>
      </c>
      <c r="T7045" t="s">
        <v>46383</v>
      </c>
      <c r="U7045" t="s">
        <v>52850</v>
      </c>
      <c r="W7045" t="s">
        <v>42271</v>
      </c>
      <c r="X7045" t="s">
        <v>44768</v>
      </c>
    </row>
    <row r="7046" spans="1:24">
      <c r="A7046">
        <f>HYPERLINK("https://www.philgeps.gov.ph/GEPSNONPILOT/Tender/SplashBidNoticeAbstractUI.aspx?menuIndex=3&amp;refID=7143012&amp;Result=3","7143012")</f>
        <v>0</v>
      </c>
      <c r="B7046" t="s">
        <v>2369</v>
      </c>
      <c r="C7046" t="s">
        <v>10445</v>
      </c>
      <c r="D7046" t="s">
        <v>17985</v>
      </c>
      <c r="E7046" t="s">
        <v>24219</v>
      </c>
      <c r="F7046" t="s">
        <v>30900</v>
      </c>
      <c r="G7046" t="s">
        <v>30907</v>
      </c>
      <c r="H7046" t="s">
        <v>30916</v>
      </c>
      <c r="I7046" t="s">
        <v>8123</v>
      </c>
      <c r="J7046" t="s">
        <v>35404</v>
      </c>
      <c r="K7046" t="s">
        <v>40289</v>
      </c>
      <c r="M7046" t="s">
        <v>43095</v>
      </c>
      <c r="N7046" t="s">
        <v>44759</v>
      </c>
      <c r="O7046" t="s">
        <v>44760</v>
      </c>
      <c r="P7046">
        <v>0</v>
      </c>
      <c r="Q7046">
        <v>0</v>
      </c>
      <c r="R7046" t="s">
        <v>44767</v>
      </c>
      <c r="S7046" t="s">
        <v>44954</v>
      </c>
      <c r="T7046" t="s">
        <v>46400</v>
      </c>
      <c r="U7046" t="s">
        <v>52851</v>
      </c>
      <c r="W7046" t="s">
        <v>43095</v>
      </c>
      <c r="X7046" t="s">
        <v>44768</v>
      </c>
    </row>
    <row r="7047" spans="1:24">
      <c r="A7047">
        <f>HYPERLINK("https://www.philgeps.gov.ph/GEPSNONPILOT/Tender/SplashBidNoticeAbstractUI.aspx?menuIndex=3&amp;refID=7142983&amp;Result=3","7142983")</f>
        <v>0</v>
      </c>
      <c r="B7047" t="s">
        <v>504</v>
      </c>
      <c r="C7047" t="s">
        <v>10446</v>
      </c>
      <c r="D7047" t="s">
        <v>18012</v>
      </c>
      <c r="E7047" t="s">
        <v>24220</v>
      </c>
      <c r="F7047" t="s">
        <v>30900</v>
      </c>
      <c r="G7047" t="s">
        <v>30907</v>
      </c>
      <c r="H7047" t="s">
        <v>30916</v>
      </c>
      <c r="I7047" t="s">
        <v>10602</v>
      </c>
      <c r="J7047" t="s">
        <v>35550</v>
      </c>
      <c r="K7047" t="s">
        <v>40289</v>
      </c>
      <c r="M7047" t="s">
        <v>41064</v>
      </c>
      <c r="N7047" t="s">
        <v>44759</v>
      </c>
      <c r="O7047" t="s">
        <v>44760</v>
      </c>
      <c r="P7047">
        <v>0</v>
      </c>
      <c r="Q7047">
        <v>0</v>
      </c>
      <c r="R7047" t="s">
        <v>44767</v>
      </c>
      <c r="S7047" t="s">
        <v>44954</v>
      </c>
      <c r="T7047" t="s">
        <v>46531</v>
      </c>
      <c r="U7047" t="s">
        <v>52852</v>
      </c>
      <c r="W7047" t="s">
        <v>41064</v>
      </c>
      <c r="X7047" t="s">
        <v>44768</v>
      </c>
    </row>
    <row r="7048" spans="1:24">
      <c r="A7048">
        <f>HYPERLINK("https://www.philgeps.gov.ph/GEPSNONPILOT/Tender/SplashBidNoticeAbstractUI.aspx?menuIndex=3&amp;refID=7143073&amp;Result=3","7143073")</f>
        <v>0</v>
      </c>
      <c r="B7048" t="s">
        <v>2439</v>
      </c>
      <c r="C7048" t="s">
        <v>10447</v>
      </c>
      <c r="D7048" t="s">
        <v>17980</v>
      </c>
      <c r="E7048" t="s">
        <v>20204</v>
      </c>
      <c r="F7048" t="s">
        <v>30900</v>
      </c>
      <c r="G7048" t="s">
        <v>30907</v>
      </c>
      <c r="H7048" t="s">
        <v>30916</v>
      </c>
      <c r="I7048" t="s">
        <v>8123</v>
      </c>
      <c r="J7048" t="s">
        <v>31096</v>
      </c>
      <c r="K7048" t="s">
        <v>40286</v>
      </c>
      <c r="M7048" t="s">
        <v>43170</v>
      </c>
      <c r="N7048" t="s">
        <v>44759</v>
      </c>
      <c r="O7048" t="s">
        <v>44760</v>
      </c>
      <c r="P7048">
        <v>0</v>
      </c>
      <c r="Q7048">
        <v>0</v>
      </c>
      <c r="R7048" t="s">
        <v>44767</v>
      </c>
      <c r="S7048" t="s">
        <v>44954</v>
      </c>
      <c r="T7048" t="s">
        <v>46730</v>
      </c>
      <c r="U7048" t="s">
        <v>52853</v>
      </c>
      <c r="V7048" t="s">
        <v>59876</v>
      </c>
      <c r="W7048" t="s">
        <v>43170</v>
      </c>
      <c r="X7048" t="s">
        <v>44768</v>
      </c>
    </row>
    <row r="7049" spans="1:24">
      <c r="A7049">
        <f>HYPERLINK("https://www.philgeps.gov.ph/GEPSNONPILOT/Tender/SplashBidNoticeAbstractUI.aspx?menuIndex=3&amp;refID=7143067&amp;Result=3","7143067")</f>
        <v>0</v>
      </c>
      <c r="B7049" t="s">
        <v>243</v>
      </c>
      <c r="C7049" t="s">
        <v>10448</v>
      </c>
      <c r="D7049" t="s">
        <v>17999</v>
      </c>
      <c r="E7049" t="s">
        <v>24221</v>
      </c>
      <c r="F7049" t="s">
        <v>30900</v>
      </c>
      <c r="G7049" t="s">
        <v>30908</v>
      </c>
      <c r="H7049" t="s">
        <v>30916</v>
      </c>
      <c r="I7049" t="s">
        <v>4545</v>
      </c>
      <c r="J7049" t="s">
        <v>31098</v>
      </c>
      <c r="K7049" t="s">
        <v>40286</v>
      </c>
      <c r="M7049" t="s">
        <v>40790</v>
      </c>
      <c r="N7049" t="s">
        <v>44759</v>
      </c>
      <c r="O7049" t="s">
        <v>44760</v>
      </c>
      <c r="P7049">
        <v>0</v>
      </c>
      <c r="Q7049">
        <v>3</v>
      </c>
      <c r="R7049" t="s">
        <v>44767</v>
      </c>
      <c r="S7049" t="s">
        <v>44954</v>
      </c>
      <c r="T7049" t="s">
        <v>46454</v>
      </c>
      <c r="U7049" t="s">
        <v>52854</v>
      </c>
      <c r="V7049" t="s">
        <v>59845</v>
      </c>
      <c r="W7049" t="s">
        <v>60887</v>
      </c>
      <c r="X7049" t="s">
        <v>44768</v>
      </c>
    </row>
    <row r="7050" spans="1:24">
      <c r="A7050">
        <f>HYPERLINK("https://www.philgeps.gov.ph/GEPSNONPILOT/Tender/SplashBidNoticeAbstractUI.aspx?menuIndex=3&amp;refID=7143059&amp;Result=3","7143059")</f>
        <v>0</v>
      </c>
      <c r="B7050" t="s">
        <v>1495</v>
      </c>
      <c r="C7050" t="s">
        <v>10449</v>
      </c>
      <c r="D7050" t="s">
        <v>17972</v>
      </c>
      <c r="E7050" t="s">
        <v>24222</v>
      </c>
      <c r="F7050" t="s">
        <v>30900</v>
      </c>
      <c r="G7050" t="s">
        <v>30908</v>
      </c>
      <c r="H7050" t="s">
        <v>30916</v>
      </c>
      <c r="I7050" t="s">
        <v>4545</v>
      </c>
      <c r="J7050" t="s">
        <v>31182</v>
      </c>
      <c r="K7050" t="s">
        <v>40291</v>
      </c>
      <c r="M7050" t="s">
        <v>42134</v>
      </c>
      <c r="N7050" t="s">
        <v>44759</v>
      </c>
      <c r="O7050" t="s">
        <v>44760</v>
      </c>
      <c r="P7050">
        <v>0</v>
      </c>
      <c r="Q7050">
        <v>2</v>
      </c>
      <c r="R7050" t="s">
        <v>44767</v>
      </c>
      <c r="S7050" t="s">
        <v>44954</v>
      </c>
      <c r="T7050" t="s">
        <v>46414</v>
      </c>
      <c r="U7050" t="s">
        <v>52855</v>
      </c>
      <c r="W7050" t="s">
        <v>42134</v>
      </c>
      <c r="X7050" t="s">
        <v>44768</v>
      </c>
    </row>
    <row r="7051" spans="1:24">
      <c r="A7051">
        <f>HYPERLINK("https://www.philgeps.gov.ph/GEPSNONPILOT/Tender/SplashBidNoticeAbstractUI.aspx?menuIndex=3&amp;refID=7142999&amp;Result=3","7142999")</f>
        <v>0</v>
      </c>
      <c r="B7051" t="s">
        <v>1359</v>
      </c>
      <c r="C7051" t="s">
        <v>10450</v>
      </c>
      <c r="D7051" t="s">
        <v>17965</v>
      </c>
      <c r="E7051" t="s">
        <v>24223</v>
      </c>
      <c r="F7051" t="s">
        <v>30900</v>
      </c>
      <c r="G7051" t="s">
        <v>30908</v>
      </c>
      <c r="H7051" t="s">
        <v>30916</v>
      </c>
      <c r="I7051" t="s">
        <v>4142</v>
      </c>
      <c r="J7051" t="s">
        <v>35551</v>
      </c>
      <c r="K7051" t="s">
        <v>40285</v>
      </c>
      <c r="M7051" t="s">
        <v>41981</v>
      </c>
      <c r="N7051" t="s">
        <v>44759</v>
      </c>
      <c r="O7051" t="s">
        <v>44760</v>
      </c>
      <c r="P7051">
        <v>0</v>
      </c>
      <c r="Q7051">
        <v>2</v>
      </c>
      <c r="R7051" t="s">
        <v>44767</v>
      </c>
      <c r="S7051" t="s">
        <v>44954</v>
      </c>
      <c r="T7051" t="s">
        <v>46768</v>
      </c>
      <c r="U7051" t="s">
        <v>52856</v>
      </c>
      <c r="W7051" t="s">
        <v>41981</v>
      </c>
      <c r="X7051" t="s">
        <v>44768</v>
      </c>
    </row>
    <row r="7052" spans="1:24">
      <c r="A7052">
        <f>HYPERLINK("https://www.philgeps.gov.ph/GEPSNONPILOT/Tender/SplashBidNoticeAbstractUI.aspx?menuIndex=3&amp;refID=7143058&amp;Result=3","7143058")</f>
        <v>0</v>
      </c>
      <c r="B7052" t="s">
        <v>1363</v>
      </c>
      <c r="C7052" t="s">
        <v>10451</v>
      </c>
      <c r="D7052" t="s">
        <v>18018</v>
      </c>
      <c r="E7052" t="s">
        <v>19215</v>
      </c>
      <c r="F7052" t="s">
        <v>30900</v>
      </c>
      <c r="G7052" t="s">
        <v>30907</v>
      </c>
      <c r="H7052" t="s">
        <v>30915</v>
      </c>
      <c r="I7052" t="s">
        <v>30919</v>
      </c>
      <c r="J7052" t="s">
        <v>31407</v>
      </c>
      <c r="K7052" t="s">
        <v>40300</v>
      </c>
      <c r="M7052" t="s">
        <v>41985</v>
      </c>
      <c r="N7052" t="s">
        <v>44759</v>
      </c>
      <c r="O7052" t="s">
        <v>44760</v>
      </c>
      <c r="P7052">
        <v>0</v>
      </c>
      <c r="Q7052">
        <v>0</v>
      </c>
      <c r="R7052" t="s">
        <v>44767</v>
      </c>
      <c r="S7052" t="s">
        <v>44954</v>
      </c>
      <c r="T7052" t="s">
        <v>46689</v>
      </c>
      <c r="U7052" t="s">
        <v>52857</v>
      </c>
      <c r="V7052" t="s">
        <v>59481</v>
      </c>
      <c r="W7052" t="s">
        <v>41985</v>
      </c>
      <c r="X7052" t="s">
        <v>44768</v>
      </c>
    </row>
    <row r="7053" spans="1:24">
      <c r="A7053">
        <f>HYPERLINK("https://www.philgeps.gov.ph/GEPSNONPILOT/Tender/SplashBidNoticeAbstractUI.aspx?menuIndex=3&amp;refID=7143051&amp;Result=3","7143051")</f>
        <v>0</v>
      </c>
      <c r="B7053" t="s">
        <v>2307</v>
      </c>
      <c r="C7053" t="s">
        <v>10452</v>
      </c>
      <c r="D7053" t="s">
        <v>17955</v>
      </c>
      <c r="E7053" t="s">
        <v>24224</v>
      </c>
      <c r="F7053" t="s">
        <v>30900</v>
      </c>
      <c r="G7053" t="s">
        <v>30907</v>
      </c>
      <c r="H7053" t="s">
        <v>30916</v>
      </c>
      <c r="I7053" t="s">
        <v>4108</v>
      </c>
      <c r="J7053" t="s">
        <v>32224</v>
      </c>
      <c r="K7053" t="s">
        <v>40286</v>
      </c>
      <c r="M7053" t="s">
        <v>43171</v>
      </c>
      <c r="N7053" t="s">
        <v>44759</v>
      </c>
      <c r="O7053" t="s">
        <v>44760</v>
      </c>
      <c r="P7053">
        <v>0</v>
      </c>
      <c r="Q7053">
        <v>18</v>
      </c>
      <c r="R7053" t="s">
        <v>44767</v>
      </c>
      <c r="S7053" t="s">
        <v>44954</v>
      </c>
      <c r="T7053" t="s">
        <v>46616</v>
      </c>
      <c r="U7053" t="s">
        <v>52858</v>
      </c>
      <c r="W7053" t="s">
        <v>43171</v>
      </c>
      <c r="X7053" t="s">
        <v>44768</v>
      </c>
    </row>
    <row r="7054" spans="1:24">
      <c r="A7054">
        <f>HYPERLINK("https://www.philgeps.gov.ph/GEPSNONPILOT/Tender/SplashBidNoticeAbstractUI.aspx?menuIndex=3&amp;refID=7143049&amp;Result=3","7143049")</f>
        <v>0</v>
      </c>
      <c r="B7054" t="s">
        <v>281</v>
      </c>
      <c r="C7054" t="s">
        <v>10453</v>
      </c>
      <c r="D7054" t="s">
        <v>18048</v>
      </c>
      <c r="E7054" t="s">
        <v>24225</v>
      </c>
      <c r="F7054" t="s">
        <v>30900</v>
      </c>
      <c r="G7054" t="s">
        <v>30907</v>
      </c>
      <c r="H7054" t="s">
        <v>30916</v>
      </c>
      <c r="I7054" t="s">
        <v>30936</v>
      </c>
      <c r="J7054" t="s">
        <v>34486</v>
      </c>
      <c r="K7054" t="s">
        <v>40293</v>
      </c>
      <c r="M7054" t="s">
        <v>43172</v>
      </c>
      <c r="N7054" t="s">
        <v>44759</v>
      </c>
      <c r="O7054" t="s">
        <v>44760</v>
      </c>
      <c r="P7054">
        <v>0</v>
      </c>
      <c r="Q7054">
        <v>2</v>
      </c>
      <c r="R7054" t="s">
        <v>44767</v>
      </c>
      <c r="S7054" t="s">
        <v>44954</v>
      </c>
      <c r="T7054" t="s">
        <v>46512</v>
      </c>
      <c r="U7054" t="s">
        <v>52859</v>
      </c>
      <c r="W7054" t="s">
        <v>43172</v>
      </c>
      <c r="X7054" t="s">
        <v>44768</v>
      </c>
    </row>
    <row r="7055" spans="1:24">
      <c r="A7055">
        <f>HYPERLINK("https://www.philgeps.gov.ph/GEPSNONPILOT/Tender/SplashBidNoticeAbstractUI.aspx?menuIndex=3&amp;refID=7143048&amp;Result=3","7143048")</f>
        <v>0</v>
      </c>
      <c r="B7055" t="s">
        <v>523</v>
      </c>
      <c r="C7055" t="s">
        <v>10454</v>
      </c>
      <c r="D7055" t="s">
        <v>17985</v>
      </c>
      <c r="E7055" t="s">
        <v>24226</v>
      </c>
      <c r="F7055" t="s">
        <v>30903</v>
      </c>
      <c r="G7055" t="s">
        <v>30908</v>
      </c>
      <c r="H7055" t="s">
        <v>30916</v>
      </c>
      <c r="I7055" t="s">
        <v>30940</v>
      </c>
      <c r="J7055" t="s">
        <v>33488</v>
      </c>
      <c r="K7055" t="s">
        <v>40284</v>
      </c>
      <c r="M7055" t="s">
        <v>43173</v>
      </c>
      <c r="N7055" t="s">
        <v>44759</v>
      </c>
      <c r="O7055" t="s">
        <v>44760</v>
      </c>
      <c r="P7055">
        <v>0</v>
      </c>
      <c r="Q7055">
        <v>1</v>
      </c>
      <c r="R7055" t="s">
        <v>44767</v>
      </c>
      <c r="S7055" t="s">
        <v>44954</v>
      </c>
      <c r="T7055" t="s">
        <v>46623</v>
      </c>
      <c r="U7055" t="s">
        <v>52860</v>
      </c>
      <c r="V7055" t="s">
        <v>59877</v>
      </c>
      <c r="W7055" t="s">
        <v>60865</v>
      </c>
      <c r="X7055" t="s">
        <v>44768</v>
      </c>
    </row>
    <row r="7056" spans="1:24">
      <c r="A7056">
        <f>HYPERLINK("https://www.philgeps.gov.ph/GEPSNONPILOT/Tender/SplashBidNoticeAbstractUI.aspx?menuIndex=3&amp;refID=7143035&amp;Result=3","7143035")</f>
        <v>0</v>
      </c>
      <c r="B7056" t="s">
        <v>286</v>
      </c>
      <c r="C7056" t="s">
        <v>10455</v>
      </c>
      <c r="D7056" t="s">
        <v>17977</v>
      </c>
      <c r="E7056" t="s">
        <v>24227</v>
      </c>
      <c r="F7056" t="s">
        <v>30900</v>
      </c>
      <c r="G7056" t="s">
        <v>30908</v>
      </c>
      <c r="H7056" t="s">
        <v>30916</v>
      </c>
      <c r="I7056" t="s">
        <v>6953</v>
      </c>
      <c r="J7056" t="s">
        <v>31497</v>
      </c>
      <c r="K7056" t="s">
        <v>40283</v>
      </c>
      <c r="M7056" t="s">
        <v>40834</v>
      </c>
      <c r="N7056" t="s">
        <v>44759</v>
      </c>
      <c r="O7056" t="s">
        <v>44760</v>
      </c>
      <c r="P7056">
        <v>0</v>
      </c>
      <c r="Q7056">
        <v>2</v>
      </c>
      <c r="R7056" t="s">
        <v>44767</v>
      </c>
      <c r="S7056" t="s">
        <v>44954</v>
      </c>
      <c r="T7056" t="s">
        <v>46533</v>
      </c>
      <c r="U7056" t="s">
        <v>52861</v>
      </c>
      <c r="V7056" t="s">
        <v>59878</v>
      </c>
      <c r="W7056" t="s">
        <v>40834</v>
      </c>
      <c r="X7056" t="s">
        <v>44768</v>
      </c>
    </row>
    <row r="7057" spans="1:24">
      <c r="A7057">
        <f>HYPERLINK("https://www.philgeps.gov.ph/GEPSNONPILOT/Tender/SplashBidNoticeAbstractUI.aspx?menuIndex=3&amp;refID=7143046&amp;Result=3","7143046")</f>
        <v>0</v>
      </c>
      <c r="B7057" t="s">
        <v>2430</v>
      </c>
      <c r="C7057" t="s">
        <v>10456</v>
      </c>
      <c r="D7057" t="s">
        <v>17979</v>
      </c>
      <c r="E7057" t="s">
        <v>24228</v>
      </c>
      <c r="F7057" t="s">
        <v>30900</v>
      </c>
      <c r="G7057" t="s">
        <v>30908</v>
      </c>
      <c r="H7057" t="s">
        <v>30916</v>
      </c>
      <c r="I7057" t="s">
        <v>4108</v>
      </c>
      <c r="J7057" t="s">
        <v>33171</v>
      </c>
      <c r="K7057" t="s">
        <v>40287</v>
      </c>
      <c r="M7057" t="s">
        <v>43161</v>
      </c>
      <c r="N7057" t="s">
        <v>44759</v>
      </c>
      <c r="O7057" t="s">
        <v>44760</v>
      </c>
      <c r="P7057">
        <v>0</v>
      </c>
      <c r="Q7057">
        <v>5</v>
      </c>
      <c r="R7057" t="s">
        <v>44767</v>
      </c>
      <c r="S7057" t="s">
        <v>44954</v>
      </c>
      <c r="T7057" t="s">
        <v>46398</v>
      </c>
      <c r="U7057" t="s">
        <v>52817</v>
      </c>
      <c r="W7057" t="s">
        <v>43161</v>
      </c>
      <c r="X7057" t="s">
        <v>44768</v>
      </c>
    </row>
    <row r="7058" spans="1:24">
      <c r="A7058">
        <f>HYPERLINK("https://www.philgeps.gov.ph/GEPSNONPILOT/Tender/SplashBidNoticeAbstractUI.aspx?menuIndex=3&amp;refID=7143056&amp;Result=3","7143056")</f>
        <v>0</v>
      </c>
      <c r="B7058" t="s">
        <v>2440</v>
      </c>
      <c r="C7058" t="s">
        <v>10457</v>
      </c>
      <c r="D7058" t="s">
        <v>17999</v>
      </c>
      <c r="E7058" t="s">
        <v>24229</v>
      </c>
      <c r="F7058" t="s">
        <v>30900</v>
      </c>
      <c r="G7058" t="s">
        <v>30907</v>
      </c>
      <c r="H7058" t="s">
        <v>30916</v>
      </c>
      <c r="I7058" t="s">
        <v>30928</v>
      </c>
      <c r="J7058" t="s">
        <v>31243</v>
      </c>
      <c r="K7058" t="s">
        <v>40286</v>
      </c>
      <c r="M7058" t="s">
        <v>43174</v>
      </c>
      <c r="N7058" t="s">
        <v>44759</v>
      </c>
      <c r="O7058" t="s">
        <v>44760</v>
      </c>
      <c r="P7058">
        <v>0</v>
      </c>
      <c r="Q7058">
        <v>2</v>
      </c>
      <c r="R7058" t="s">
        <v>44767</v>
      </c>
      <c r="S7058" t="s">
        <v>44954</v>
      </c>
      <c r="T7058" t="s">
        <v>46495</v>
      </c>
      <c r="U7058" t="s">
        <v>52862</v>
      </c>
      <c r="W7058" t="s">
        <v>43174</v>
      </c>
      <c r="X7058" t="s">
        <v>44768</v>
      </c>
    </row>
    <row r="7059" spans="1:24">
      <c r="A7059">
        <f>HYPERLINK("https://www.philgeps.gov.ph/GEPSNONPILOT/Tender/SplashBidNoticeAbstractUI.aspx?menuIndex=3&amp;refID=7143041&amp;Result=3","7143041")</f>
        <v>0</v>
      </c>
      <c r="B7059" t="s">
        <v>504</v>
      </c>
      <c r="C7059" t="s">
        <v>10458</v>
      </c>
      <c r="D7059" t="s">
        <v>18012</v>
      </c>
      <c r="E7059" t="s">
        <v>24230</v>
      </c>
      <c r="F7059" t="s">
        <v>30900</v>
      </c>
      <c r="G7059" t="s">
        <v>30907</v>
      </c>
      <c r="H7059" t="s">
        <v>30916</v>
      </c>
      <c r="I7059" t="s">
        <v>6408</v>
      </c>
      <c r="J7059" t="s">
        <v>31092</v>
      </c>
      <c r="K7059" t="s">
        <v>40289</v>
      </c>
      <c r="M7059" t="s">
        <v>41064</v>
      </c>
      <c r="N7059" t="s">
        <v>44759</v>
      </c>
      <c r="O7059" t="s">
        <v>44760</v>
      </c>
      <c r="P7059">
        <v>0</v>
      </c>
      <c r="Q7059">
        <v>0</v>
      </c>
      <c r="R7059" t="s">
        <v>44767</v>
      </c>
      <c r="S7059" t="s">
        <v>44954</v>
      </c>
      <c r="T7059" t="s">
        <v>46531</v>
      </c>
      <c r="U7059" t="s">
        <v>52863</v>
      </c>
      <c r="W7059" t="s">
        <v>41064</v>
      </c>
      <c r="X7059" t="s">
        <v>44768</v>
      </c>
    </row>
    <row r="7060" spans="1:24">
      <c r="A7060">
        <f>HYPERLINK("https://www.philgeps.gov.ph/GEPSNONPILOT/Tender/SplashBidNoticeAbstractUI.aspx?menuIndex=3&amp;refID=7143075&amp;Result=3","7143075")</f>
        <v>0</v>
      </c>
      <c r="B7060" t="s">
        <v>264</v>
      </c>
      <c r="C7060" t="s">
        <v>10459</v>
      </c>
      <c r="D7060" t="s">
        <v>17997</v>
      </c>
      <c r="E7060" t="s">
        <v>24231</v>
      </c>
      <c r="F7060" t="s">
        <v>30900</v>
      </c>
      <c r="G7060" t="s">
        <v>30908</v>
      </c>
      <c r="H7060" t="s">
        <v>30916</v>
      </c>
      <c r="I7060" t="s">
        <v>4545</v>
      </c>
      <c r="J7060" t="s">
        <v>35552</v>
      </c>
      <c r="K7060" t="s">
        <v>40287</v>
      </c>
      <c r="M7060" t="s">
        <v>40811</v>
      </c>
      <c r="N7060" t="s">
        <v>44759</v>
      </c>
      <c r="O7060" t="s">
        <v>44760</v>
      </c>
      <c r="P7060">
        <v>0</v>
      </c>
      <c r="Q7060">
        <v>0</v>
      </c>
      <c r="R7060" t="s">
        <v>44767</v>
      </c>
      <c r="S7060" t="s">
        <v>44954</v>
      </c>
      <c r="T7060" t="s">
        <v>46391</v>
      </c>
      <c r="U7060" t="s">
        <v>47360</v>
      </c>
      <c r="W7060" t="s">
        <v>40811</v>
      </c>
      <c r="X7060" t="s">
        <v>44768</v>
      </c>
    </row>
    <row r="7061" spans="1:24">
      <c r="A7061">
        <f>HYPERLINK("https://www.philgeps.gov.ph/GEPSNONPILOT/Tender/SplashBidNoticeAbstractUI.aspx?menuIndex=3&amp;refID=7143034&amp;Result=3","7143034")</f>
        <v>0</v>
      </c>
      <c r="B7061" t="s">
        <v>2441</v>
      </c>
      <c r="C7061" t="s">
        <v>10460</v>
      </c>
      <c r="D7061" t="s">
        <v>17975</v>
      </c>
      <c r="E7061" t="s">
        <v>19585</v>
      </c>
      <c r="F7061" t="s">
        <v>30900</v>
      </c>
      <c r="G7061" t="s">
        <v>30907</v>
      </c>
      <c r="H7061" t="s">
        <v>30915</v>
      </c>
      <c r="I7061" t="s">
        <v>30919</v>
      </c>
      <c r="J7061" t="s">
        <v>31297</v>
      </c>
      <c r="K7061" t="s">
        <v>40280</v>
      </c>
      <c r="M7061" t="s">
        <v>43175</v>
      </c>
      <c r="N7061" t="s">
        <v>44759</v>
      </c>
      <c r="O7061" t="s">
        <v>44760</v>
      </c>
      <c r="P7061">
        <v>0</v>
      </c>
      <c r="Q7061">
        <v>0</v>
      </c>
      <c r="R7061" t="s">
        <v>44767</v>
      </c>
      <c r="S7061" t="s">
        <v>44954</v>
      </c>
      <c r="T7061" t="s">
        <v>46632</v>
      </c>
      <c r="U7061" t="s">
        <v>52864</v>
      </c>
      <c r="W7061" t="s">
        <v>43175</v>
      </c>
      <c r="X7061" t="s">
        <v>44768</v>
      </c>
    </row>
    <row r="7062" spans="1:24">
      <c r="A7062">
        <f>HYPERLINK("https://www.philgeps.gov.ph/GEPSNONPILOT/Tender/SplashBidNoticeAbstractUI.aspx?menuIndex=3&amp;refID=7142997&amp;Result=3","7142997")</f>
        <v>0</v>
      </c>
      <c r="B7062" t="s">
        <v>1363</v>
      </c>
      <c r="C7062" t="s">
        <v>10461</v>
      </c>
      <c r="D7062" t="s">
        <v>18018</v>
      </c>
      <c r="E7062" t="s">
        <v>18493</v>
      </c>
      <c r="F7062" t="s">
        <v>30900</v>
      </c>
      <c r="G7062" t="s">
        <v>30907</v>
      </c>
      <c r="H7062" t="s">
        <v>30915</v>
      </c>
      <c r="I7062" t="s">
        <v>30919</v>
      </c>
      <c r="J7062" t="s">
        <v>31152</v>
      </c>
      <c r="K7062" t="s">
        <v>40280</v>
      </c>
      <c r="M7062" t="s">
        <v>41985</v>
      </c>
      <c r="N7062" t="s">
        <v>44759</v>
      </c>
      <c r="O7062" t="s">
        <v>44760</v>
      </c>
      <c r="P7062">
        <v>0</v>
      </c>
      <c r="Q7062">
        <v>0</v>
      </c>
      <c r="R7062" t="s">
        <v>44767</v>
      </c>
      <c r="S7062" t="s">
        <v>44954</v>
      </c>
      <c r="T7062" t="s">
        <v>46689</v>
      </c>
      <c r="U7062" t="s">
        <v>52865</v>
      </c>
      <c r="V7062" t="s">
        <v>59481</v>
      </c>
      <c r="W7062" t="s">
        <v>41985</v>
      </c>
      <c r="X7062" t="s">
        <v>44768</v>
      </c>
    </row>
    <row r="7063" spans="1:24">
      <c r="A7063">
        <f>HYPERLINK("https://www.philgeps.gov.ph/GEPSNONPILOT/Tender/SplashBidNoticeAbstractUI.aspx?menuIndex=3&amp;refID=7143065&amp;Result=3","7143065")</f>
        <v>0</v>
      </c>
      <c r="B7063" t="s">
        <v>1620</v>
      </c>
      <c r="C7063" t="s">
        <v>10462</v>
      </c>
      <c r="D7063" t="s">
        <v>17953</v>
      </c>
      <c r="E7063" t="s">
        <v>24232</v>
      </c>
      <c r="F7063" t="s">
        <v>30900</v>
      </c>
      <c r="G7063" t="s">
        <v>30907</v>
      </c>
      <c r="H7063" t="s">
        <v>30916</v>
      </c>
      <c r="I7063" t="s">
        <v>30933</v>
      </c>
      <c r="J7063" t="s">
        <v>31341</v>
      </c>
      <c r="K7063" t="s">
        <v>40284</v>
      </c>
      <c r="L7063" t="s">
        <v>1620</v>
      </c>
      <c r="M7063" t="s">
        <v>42271</v>
      </c>
      <c r="N7063" t="s">
        <v>44759</v>
      </c>
      <c r="O7063" t="s">
        <v>44760</v>
      </c>
      <c r="P7063">
        <v>0</v>
      </c>
      <c r="Q7063">
        <v>2</v>
      </c>
      <c r="R7063" t="s">
        <v>44767</v>
      </c>
      <c r="S7063" t="s">
        <v>44954</v>
      </c>
      <c r="T7063" t="s">
        <v>46383</v>
      </c>
      <c r="U7063" t="s">
        <v>52866</v>
      </c>
      <c r="W7063" t="s">
        <v>42271</v>
      </c>
      <c r="X7063" t="s">
        <v>44768</v>
      </c>
    </row>
    <row r="7064" spans="1:24">
      <c r="A7064">
        <f>HYPERLINK("https://www.philgeps.gov.ph/GEPSNONPILOT/Tender/SplashBidNoticeAbstractUI.aspx?menuIndex=3&amp;refID=7142990&amp;Result=3","7142990")</f>
        <v>0</v>
      </c>
      <c r="B7064" t="s">
        <v>2360</v>
      </c>
      <c r="C7064" t="s">
        <v>10463</v>
      </c>
      <c r="D7064" t="s">
        <v>17977</v>
      </c>
      <c r="E7064" t="s">
        <v>24233</v>
      </c>
      <c r="F7064" t="s">
        <v>30900</v>
      </c>
      <c r="G7064" t="s">
        <v>30907</v>
      </c>
      <c r="H7064" t="s">
        <v>30916</v>
      </c>
      <c r="I7064" t="s">
        <v>7708</v>
      </c>
      <c r="J7064" t="s">
        <v>35553</v>
      </c>
      <c r="K7064" t="s">
        <v>40280</v>
      </c>
      <c r="M7064" t="s">
        <v>43084</v>
      </c>
      <c r="N7064" t="s">
        <v>44759</v>
      </c>
      <c r="O7064" t="s">
        <v>44760</v>
      </c>
      <c r="P7064">
        <v>0</v>
      </c>
      <c r="Q7064">
        <v>3</v>
      </c>
      <c r="R7064" t="s">
        <v>44767</v>
      </c>
      <c r="S7064" t="s">
        <v>44954</v>
      </c>
      <c r="T7064" t="s">
        <v>46592</v>
      </c>
      <c r="U7064" t="s">
        <v>52750</v>
      </c>
      <c r="V7064" t="s">
        <v>59856</v>
      </c>
      <c r="W7064" t="s">
        <v>43084</v>
      </c>
      <c r="X7064" t="s">
        <v>44768</v>
      </c>
    </row>
    <row r="7065" spans="1:24">
      <c r="A7065">
        <f>HYPERLINK("https://www.philgeps.gov.ph/GEPSNONPILOT/Tender/SplashBidNoticeAbstractUI.aspx?menuIndex=3&amp;refID=7143045&amp;Result=3","7143045")</f>
        <v>0</v>
      </c>
      <c r="B7065" t="s">
        <v>2442</v>
      </c>
      <c r="C7065" t="s">
        <v>10464</v>
      </c>
      <c r="D7065" t="s">
        <v>17987</v>
      </c>
      <c r="E7065" t="s">
        <v>24234</v>
      </c>
      <c r="F7065" t="s">
        <v>30900</v>
      </c>
      <c r="G7065" t="s">
        <v>30907</v>
      </c>
      <c r="H7065" t="s">
        <v>30916</v>
      </c>
      <c r="I7065" t="s">
        <v>8123</v>
      </c>
      <c r="J7065" t="s">
        <v>35554</v>
      </c>
      <c r="K7065" t="s">
        <v>40283</v>
      </c>
      <c r="M7065" t="s">
        <v>43176</v>
      </c>
      <c r="N7065" t="s">
        <v>44759</v>
      </c>
      <c r="O7065" t="s">
        <v>44760</v>
      </c>
      <c r="P7065">
        <v>0</v>
      </c>
      <c r="Q7065">
        <v>0</v>
      </c>
      <c r="R7065" t="s">
        <v>44767</v>
      </c>
      <c r="S7065" t="s">
        <v>44954</v>
      </c>
      <c r="T7065" t="s">
        <v>46531</v>
      </c>
      <c r="U7065" t="s">
        <v>52867</v>
      </c>
      <c r="V7065" t="s">
        <v>59879</v>
      </c>
      <c r="W7065" t="s">
        <v>43176</v>
      </c>
      <c r="X7065" t="s">
        <v>44768</v>
      </c>
    </row>
    <row r="7066" spans="1:24">
      <c r="A7066">
        <f>HYPERLINK("https://www.philgeps.gov.ph/GEPSNONPILOT/Tender/SplashBidNoticeAbstractUI.aspx?menuIndex=3&amp;refID=7143042&amp;Result=3","7143042")</f>
        <v>0</v>
      </c>
      <c r="B7066" t="s">
        <v>1251</v>
      </c>
      <c r="C7066" t="s">
        <v>10465</v>
      </c>
      <c r="D7066" t="s">
        <v>17963</v>
      </c>
      <c r="E7066" t="s">
        <v>24235</v>
      </c>
      <c r="F7066" t="s">
        <v>30900</v>
      </c>
      <c r="G7066" t="s">
        <v>30908</v>
      </c>
      <c r="H7066" t="s">
        <v>30916</v>
      </c>
      <c r="I7066" t="s">
        <v>30924</v>
      </c>
      <c r="J7066" t="s">
        <v>35555</v>
      </c>
      <c r="K7066" t="s">
        <v>40286</v>
      </c>
      <c r="M7066" t="s">
        <v>41863</v>
      </c>
      <c r="N7066" t="s">
        <v>44759</v>
      </c>
      <c r="O7066" t="s">
        <v>44760</v>
      </c>
      <c r="P7066">
        <v>0</v>
      </c>
      <c r="Q7066">
        <v>4</v>
      </c>
      <c r="R7066" t="s">
        <v>44767</v>
      </c>
      <c r="S7066" t="s">
        <v>44954</v>
      </c>
      <c r="T7066" t="s">
        <v>46391</v>
      </c>
      <c r="U7066" t="s">
        <v>52868</v>
      </c>
      <c r="W7066" t="s">
        <v>41863</v>
      </c>
      <c r="X7066" t="s">
        <v>44768</v>
      </c>
    </row>
    <row r="7067" spans="1:24">
      <c r="A7067">
        <f>HYPERLINK("https://www.philgeps.gov.ph/GEPSNONPILOT/Tender/SplashBidNoticeAbstractUI.aspx?menuIndex=3&amp;refID=7142995&amp;Result=3","7142995")</f>
        <v>0</v>
      </c>
      <c r="B7067" t="s">
        <v>286</v>
      </c>
      <c r="C7067" t="s">
        <v>10466</v>
      </c>
      <c r="D7067" t="s">
        <v>17977</v>
      </c>
      <c r="E7067" t="s">
        <v>24236</v>
      </c>
      <c r="F7067" t="s">
        <v>30900</v>
      </c>
      <c r="G7067" t="s">
        <v>30908</v>
      </c>
      <c r="H7067" t="s">
        <v>30916</v>
      </c>
      <c r="I7067" t="s">
        <v>4017</v>
      </c>
      <c r="J7067" t="s">
        <v>31183</v>
      </c>
      <c r="K7067" t="s">
        <v>40283</v>
      </c>
      <c r="M7067" t="s">
        <v>40834</v>
      </c>
      <c r="N7067" t="s">
        <v>44759</v>
      </c>
      <c r="O7067" t="s">
        <v>44760</v>
      </c>
      <c r="P7067">
        <v>0</v>
      </c>
      <c r="Q7067">
        <v>1</v>
      </c>
      <c r="R7067" t="s">
        <v>44767</v>
      </c>
      <c r="S7067" t="s">
        <v>44954</v>
      </c>
      <c r="T7067" t="s">
        <v>46533</v>
      </c>
      <c r="U7067" t="s">
        <v>52869</v>
      </c>
      <c r="V7067" t="s">
        <v>59874</v>
      </c>
      <c r="W7067" t="s">
        <v>40834</v>
      </c>
      <c r="X7067" t="s">
        <v>44768</v>
      </c>
    </row>
    <row r="7068" spans="1:24">
      <c r="A7068">
        <f>HYPERLINK("https://www.philgeps.gov.ph/GEPSNONPILOT/Tender/SplashBidNoticeAbstractUI.aspx?menuIndex=3&amp;refID=7142993&amp;Result=3","7142993")</f>
        <v>0</v>
      </c>
      <c r="B7068" t="s">
        <v>1534</v>
      </c>
      <c r="C7068" t="s">
        <v>10467</v>
      </c>
      <c r="D7068" t="s">
        <v>18004</v>
      </c>
      <c r="E7068" t="s">
        <v>24105</v>
      </c>
      <c r="F7068" t="s">
        <v>30900</v>
      </c>
      <c r="G7068" t="s">
        <v>30908</v>
      </c>
      <c r="H7068" t="s">
        <v>30916</v>
      </c>
      <c r="I7068" t="s">
        <v>4545</v>
      </c>
      <c r="J7068" t="s">
        <v>33432</v>
      </c>
      <c r="K7068" t="s">
        <v>40287</v>
      </c>
      <c r="M7068" t="s">
        <v>42177</v>
      </c>
      <c r="N7068" t="s">
        <v>44759</v>
      </c>
      <c r="O7068" t="s">
        <v>44760</v>
      </c>
      <c r="P7068">
        <v>0</v>
      </c>
      <c r="Q7068">
        <v>1</v>
      </c>
      <c r="R7068" t="s">
        <v>44767</v>
      </c>
      <c r="S7068" t="s">
        <v>44954</v>
      </c>
      <c r="T7068" t="s">
        <v>46574</v>
      </c>
      <c r="U7068" t="s">
        <v>52828</v>
      </c>
      <c r="W7068" t="s">
        <v>42177</v>
      </c>
      <c r="X7068" t="s">
        <v>44768</v>
      </c>
    </row>
    <row r="7069" spans="1:24">
      <c r="A7069">
        <f>HYPERLINK("https://www.philgeps.gov.ph/GEPSNONPILOT/Tender/SplashBidNoticeAbstractUI.aspx?menuIndex=3&amp;refID=7143125&amp;Result=3","7143125")</f>
        <v>0</v>
      </c>
      <c r="B7069" t="s">
        <v>2420</v>
      </c>
      <c r="C7069" t="s">
        <v>10468</v>
      </c>
      <c r="D7069" t="s">
        <v>17988</v>
      </c>
      <c r="E7069" t="s">
        <v>24237</v>
      </c>
      <c r="F7069" t="s">
        <v>30900</v>
      </c>
      <c r="G7069" t="s">
        <v>30907</v>
      </c>
      <c r="H7069" t="s">
        <v>30915</v>
      </c>
      <c r="I7069" t="s">
        <v>30919</v>
      </c>
      <c r="J7069" t="s">
        <v>35556</v>
      </c>
      <c r="K7069" t="s">
        <v>40280</v>
      </c>
      <c r="M7069" t="s">
        <v>43177</v>
      </c>
      <c r="N7069" t="s">
        <v>44759</v>
      </c>
      <c r="O7069" t="s">
        <v>44760</v>
      </c>
      <c r="P7069">
        <v>0</v>
      </c>
      <c r="Q7069">
        <v>0</v>
      </c>
      <c r="R7069" t="s">
        <v>44767</v>
      </c>
      <c r="S7069" t="s">
        <v>44954</v>
      </c>
      <c r="T7069" t="s">
        <v>46433</v>
      </c>
      <c r="U7069" t="s">
        <v>52870</v>
      </c>
      <c r="W7069" t="s">
        <v>43177</v>
      </c>
      <c r="X7069" t="s">
        <v>44768</v>
      </c>
    </row>
    <row r="7070" spans="1:24">
      <c r="A7070">
        <f>HYPERLINK("https://www.philgeps.gov.ph/GEPSNONPILOT/Tender/SplashBidNoticeAbstractUI.aspx?menuIndex=3&amp;refID=7143074&amp;Result=3","7143074")</f>
        <v>0</v>
      </c>
      <c r="B7070" t="s">
        <v>2373</v>
      </c>
      <c r="C7070" t="s">
        <v>10469</v>
      </c>
      <c r="D7070" t="s">
        <v>17966</v>
      </c>
      <c r="E7070" t="s">
        <v>24238</v>
      </c>
      <c r="F7070" t="s">
        <v>30900</v>
      </c>
      <c r="G7070" t="s">
        <v>30907</v>
      </c>
      <c r="H7070" t="s">
        <v>30916</v>
      </c>
      <c r="I7070" t="s">
        <v>4142</v>
      </c>
      <c r="J7070" t="s">
        <v>35557</v>
      </c>
      <c r="K7070" t="s">
        <v>40283</v>
      </c>
      <c r="M7070" t="s">
        <v>43178</v>
      </c>
      <c r="N7070" t="s">
        <v>44759</v>
      </c>
      <c r="O7070" t="s">
        <v>44760</v>
      </c>
      <c r="P7070">
        <v>0</v>
      </c>
      <c r="Q7070">
        <v>5</v>
      </c>
      <c r="R7070" t="s">
        <v>44767</v>
      </c>
      <c r="S7070" t="s">
        <v>44954</v>
      </c>
      <c r="T7070" t="s">
        <v>46495</v>
      </c>
      <c r="U7070" t="s">
        <v>48263</v>
      </c>
      <c r="W7070" t="s">
        <v>43178</v>
      </c>
      <c r="X7070" t="s">
        <v>44768</v>
      </c>
    </row>
    <row r="7071" spans="1:24">
      <c r="A7071">
        <f>HYPERLINK("https://www.philgeps.gov.ph/GEPSNONPILOT/Tender/SplashBidNoticeAbstractUI.aspx?menuIndex=3&amp;refID=7143122&amp;Result=3","7143122")</f>
        <v>0</v>
      </c>
      <c r="B7071" t="s">
        <v>2443</v>
      </c>
      <c r="C7071" t="s">
        <v>10470</v>
      </c>
      <c r="E7071" t="s">
        <v>24239</v>
      </c>
      <c r="F7071" t="s">
        <v>30900</v>
      </c>
      <c r="G7071" t="s">
        <v>30908</v>
      </c>
      <c r="H7071" t="s">
        <v>30916</v>
      </c>
      <c r="I7071" t="s">
        <v>8365</v>
      </c>
      <c r="J7071" t="s">
        <v>35558</v>
      </c>
      <c r="K7071" t="s">
        <v>40289</v>
      </c>
      <c r="M7071" t="s">
        <v>43179</v>
      </c>
      <c r="N7071" t="s">
        <v>44759</v>
      </c>
      <c r="O7071" t="s">
        <v>44760</v>
      </c>
      <c r="P7071">
        <v>0</v>
      </c>
      <c r="Q7071">
        <v>1</v>
      </c>
      <c r="R7071" t="s">
        <v>44767</v>
      </c>
      <c r="S7071" t="s">
        <v>44954</v>
      </c>
      <c r="T7071" t="s">
        <v>46700</v>
      </c>
      <c r="U7071" t="s">
        <v>52871</v>
      </c>
      <c r="W7071" t="s">
        <v>43179</v>
      </c>
      <c r="X7071" t="s">
        <v>44768</v>
      </c>
    </row>
    <row r="7072" spans="1:24">
      <c r="A7072">
        <f>HYPERLINK("https://www.philgeps.gov.ph/GEPSNONPILOT/Tender/SplashBidNoticeAbstractUI.aspx?menuIndex=3&amp;refID=7143120&amp;Result=3","7143120")</f>
        <v>0</v>
      </c>
      <c r="B7072" t="s">
        <v>2444</v>
      </c>
      <c r="C7072" t="s">
        <v>10471</v>
      </c>
      <c r="D7072" t="s">
        <v>18025</v>
      </c>
      <c r="E7072" t="s">
        <v>24240</v>
      </c>
      <c r="F7072" t="s">
        <v>30899</v>
      </c>
      <c r="G7072" t="s">
        <v>30909</v>
      </c>
      <c r="H7072" t="s">
        <v>30916</v>
      </c>
      <c r="I7072" t="s">
        <v>30924</v>
      </c>
      <c r="J7072" t="s">
        <v>31204</v>
      </c>
      <c r="K7072" t="s">
        <v>40283</v>
      </c>
      <c r="M7072" t="s">
        <v>43180</v>
      </c>
      <c r="N7072" t="s">
        <v>44759</v>
      </c>
      <c r="O7072" t="s">
        <v>44760</v>
      </c>
      <c r="P7072">
        <v>0</v>
      </c>
      <c r="Q7072">
        <v>1</v>
      </c>
      <c r="R7072" t="s">
        <v>44767</v>
      </c>
      <c r="S7072" t="s">
        <v>44954</v>
      </c>
      <c r="T7072" t="s">
        <v>46662</v>
      </c>
      <c r="U7072" t="s">
        <v>52872</v>
      </c>
      <c r="W7072" t="s">
        <v>43180</v>
      </c>
      <c r="X7072" t="s">
        <v>44768</v>
      </c>
    </row>
    <row r="7073" spans="1:24">
      <c r="A7073">
        <f>HYPERLINK("https://www.philgeps.gov.ph/GEPSNONPILOT/Tender/SplashBidNoticeAbstractUI.aspx?menuIndex=3&amp;refID=7143115&amp;Result=3","7143115")</f>
        <v>0</v>
      </c>
      <c r="B7073" t="s">
        <v>2439</v>
      </c>
      <c r="C7073" t="s">
        <v>10472</v>
      </c>
      <c r="D7073" t="s">
        <v>17980</v>
      </c>
      <c r="E7073" t="s">
        <v>20215</v>
      </c>
      <c r="F7073" t="s">
        <v>30900</v>
      </c>
      <c r="G7073" t="s">
        <v>30907</v>
      </c>
      <c r="H7073" t="s">
        <v>30916</v>
      </c>
      <c r="I7073" t="s">
        <v>8123</v>
      </c>
      <c r="J7073" t="s">
        <v>31183</v>
      </c>
      <c r="K7073" t="s">
        <v>40286</v>
      </c>
      <c r="M7073" t="s">
        <v>43170</v>
      </c>
      <c r="N7073" t="s">
        <v>44759</v>
      </c>
      <c r="O7073" t="s">
        <v>44760</v>
      </c>
      <c r="P7073">
        <v>0</v>
      </c>
      <c r="Q7073">
        <v>0</v>
      </c>
      <c r="R7073" t="s">
        <v>44767</v>
      </c>
      <c r="S7073" t="s">
        <v>44954</v>
      </c>
      <c r="T7073" t="s">
        <v>46730</v>
      </c>
      <c r="U7073" t="s">
        <v>52853</v>
      </c>
      <c r="V7073" t="s">
        <v>59876</v>
      </c>
      <c r="W7073" t="s">
        <v>43170</v>
      </c>
      <c r="X7073" t="s">
        <v>44768</v>
      </c>
    </row>
    <row r="7074" spans="1:24">
      <c r="A7074">
        <f>HYPERLINK("https://www.philgeps.gov.ph/GEPSNONPILOT/Tender/SplashBidNoticeAbstractUI.aspx?menuIndex=3&amp;refID=7143081&amp;Result=3","7143081")</f>
        <v>0</v>
      </c>
      <c r="B7074" t="s">
        <v>2420</v>
      </c>
      <c r="C7074" t="s">
        <v>10473</v>
      </c>
      <c r="D7074" t="s">
        <v>17988</v>
      </c>
      <c r="E7074" t="s">
        <v>24241</v>
      </c>
      <c r="F7074" t="s">
        <v>30900</v>
      </c>
      <c r="G7074" t="s">
        <v>30907</v>
      </c>
      <c r="H7074" t="s">
        <v>30915</v>
      </c>
      <c r="I7074" t="s">
        <v>30919</v>
      </c>
      <c r="J7074" t="s">
        <v>35559</v>
      </c>
      <c r="K7074" t="s">
        <v>40283</v>
      </c>
      <c r="M7074" t="s">
        <v>43177</v>
      </c>
      <c r="N7074" t="s">
        <v>44759</v>
      </c>
      <c r="O7074" t="s">
        <v>44760</v>
      </c>
      <c r="P7074">
        <v>0</v>
      </c>
      <c r="Q7074">
        <v>0</v>
      </c>
      <c r="R7074" t="s">
        <v>44767</v>
      </c>
      <c r="S7074" t="s">
        <v>44954</v>
      </c>
      <c r="T7074" t="s">
        <v>46433</v>
      </c>
      <c r="U7074" t="s">
        <v>52873</v>
      </c>
      <c r="W7074" t="s">
        <v>43177</v>
      </c>
      <c r="X7074" t="s">
        <v>44768</v>
      </c>
    </row>
    <row r="7075" spans="1:24">
      <c r="A7075">
        <f>HYPERLINK("https://www.philgeps.gov.ph/GEPSNONPILOT/Tender/SplashBidNoticeAbstractUI.aspx?menuIndex=3&amp;refID=7143109&amp;Result=3","7143109")</f>
        <v>0</v>
      </c>
      <c r="B7075" t="s">
        <v>2429</v>
      </c>
      <c r="C7075" t="s">
        <v>10474</v>
      </c>
      <c r="D7075" t="s">
        <v>18001</v>
      </c>
      <c r="E7075" t="s">
        <v>24242</v>
      </c>
      <c r="F7075" t="s">
        <v>30900</v>
      </c>
      <c r="G7075" t="s">
        <v>30907</v>
      </c>
      <c r="H7075" t="s">
        <v>30916</v>
      </c>
      <c r="I7075" t="s">
        <v>10879</v>
      </c>
      <c r="J7075" t="s">
        <v>31130</v>
      </c>
      <c r="K7075" t="s">
        <v>40286</v>
      </c>
      <c r="M7075" t="s">
        <v>43160</v>
      </c>
      <c r="N7075" t="s">
        <v>44759</v>
      </c>
      <c r="O7075" t="s">
        <v>44760</v>
      </c>
      <c r="P7075">
        <v>0</v>
      </c>
      <c r="Q7075">
        <v>1</v>
      </c>
      <c r="R7075" t="s">
        <v>44767</v>
      </c>
      <c r="S7075" t="s">
        <v>44954</v>
      </c>
      <c r="T7075" t="s">
        <v>46363</v>
      </c>
      <c r="U7075" t="s">
        <v>52874</v>
      </c>
      <c r="W7075" t="s">
        <v>43160</v>
      </c>
      <c r="X7075" t="s">
        <v>44768</v>
      </c>
    </row>
    <row r="7076" spans="1:24">
      <c r="A7076">
        <f>HYPERLINK("https://www.philgeps.gov.ph/GEPSNONPILOT/Tender/SplashBidNoticeAbstractUI.aspx?menuIndex=3&amp;refID=7143108&amp;Result=3","7143108")</f>
        <v>0</v>
      </c>
      <c r="B7076" t="s">
        <v>504</v>
      </c>
      <c r="C7076" t="s">
        <v>10475</v>
      </c>
      <c r="D7076" t="s">
        <v>18012</v>
      </c>
      <c r="E7076" t="s">
        <v>24243</v>
      </c>
      <c r="F7076" t="s">
        <v>30900</v>
      </c>
      <c r="G7076" t="s">
        <v>30907</v>
      </c>
      <c r="H7076" t="s">
        <v>30916</v>
      </c>
      <c r="I7076" t="s">
        <v>30939</v>
      </c>
      <c r="J7076" t="s">
        <v>35560</v>
      </c>
      <c r="K7076" t="s">
        <v>40289</v>
      </c>
      <c r="M7076" t="s">
        <v>41064</v>
      </c>
      <c r="N7076" t="s">
        <v>44759</v>
      </c>
      <c r="O7076" t="s">
        <v>44760</v>
      </c>
      <c r="P7076">
        <v>0</v>
      </c>
      <c r="Q7076">
        <v>0</v>
      </c>
      <c r="R7076" t="s">
        <v>44767</v>
      </c>
      <c r="S7076" t="s">
        <v>44954</v>
      </c>
      <c r="T7076" t="s">
        <v>46531</v>
      </c>
      <c r="U7076" t="s">
        <v>52875</v>
      </c>
      <c r="W7076" t="s">
        <v>41064</v>
      </c>
      <c r="X7076" t="s">
        <v>44768</v>
      </c>
    </row>
    <row r="7077" spans="1:24">
      <c r="A7077">
        <f>HYPERLINK("https://www.philgeps.gov.ph/GEPSNONPILOT/Tender/SplashBidNoticeAbstractUI.aspx?menuIndex=3&amp;refID=7143104&amp;Result=3","7143104")</f>
        <v>0</v>
      </c>
      <c r="B7077" t="s">
        <v>78</v>
      </c>
      <c r="C7077" t="s">
        <v>10476</v>
      </c>
      <c r="D7077" t="s">
        <v>17987</v>
      </c>
      <c r="E7077" t="s">
        <v>24244</v>
      </c>
      <c r="F7077" t="s">
        <v>30900</v>
      </c>
      <c r="G7077" t="s">
        <v>30907</v>
      </c>
      <c r="H7077" t="s">
        <v>30916</v>
      </c>
      <c r="I7077" t="s">
        <v>6953</v>
      </c>
      <c r="J7077" t="s">
        <v>35561</v>
      </c>
      <c r="K7077" t="s">
        <v>40289</v>
      </c>
      <c r="M7077" t="s">
        <v>40625</v>
      </c>
      <c r="N7077" t="s">
        <v>44759</v>
      </c>
      <c r="O7077" t="s">
        <v>44760</v>
      </c>
      <c r="P7077">
        <v>0</v>
      </c>
      <c r="Q7077">
        <v>1</v>
      </c>
      <c r="R7077" t="s">
        <v>44767</v>
      </c>
      <c r="S7077" t="s">
        <v>44954</v>
      </c>
      <c r="T7077" t="s">
        <v>46644</v>
      </c>
      <c r="U7077" t="s">
        <v>52876</v>
      </c>
      <c r="W7077" t="s">
        <v>40625</v>
      </c>
      <c r="X7077" t="s">
        <v>44768</v>
      </c>
    </row>
    <row r="7078" spans="1:24">
      <c r="A7078">
        <f>HYPERLINK("https://www.philgeps.gov.ph/GEPSNONPILOT/Tender/SplashBidNoticeAbstractUI.aspx?menuIndex=3&amp;refID=7143102&amp;Result=3","7143102")</f>
        <v>0</v>
      </c>
      <c r="B7078" t="s">
        <v>2369</v>
      </c>
      <c r="C7078" t="s">
        <v>10477</v>
      </c>
      <c r="D7078" t="s">
        <v>17985</v>
      </c>
      <c r="E7078" t="s">
        <v>24245</v>
      </c>
      <c r="F7078" t="s">
        <v>30900</v>
      </c>
      <c r="G7078" t="s">
        <v>30907</v>
      </c>
      <c r="H7078" t="s">
        <v>30916</v>
      </c>
      <c r="I7078" t="s">
        <v>8123</v>
      </c>
      <c r="J7078" t="s">
        <v>35404</v>
      </c>
      <c r="K7078" t="s">
        <v>40289</v>
      </c>
      <c r="M7078" t="s">
        <v>43095</v>
      </c>
      <c r="N7078" t="s">
        <v>44759</v>
      </c>
      <c r="O7078" t="s">
        <v>44760</v>
      </c>
      <c r="P7078">
        <v>0</v>
      </c>
      <c r="Q7078">
        <v>0</v>
      </c>
      <c r="R7078" t="s">
        <v>44767</v>
      </c>
      <c r="S7078" t="s">
        <v>44954</v>
      </c>
      <c r="T7078" t="s">
        <v>46395</v>
      </c>
      <c r="U7078" t="s">
        <v>52711</v>
      </c>
      <c r="W7078" t="s">
        <v>43095</v>
      </c>
      <c r="X7078" t="s">
        <v>44768</v>
      </c>
    </row>
    <row r="7079" spans="1:24">
      <c r="A7079">
        <f>HYPERLINK("https://www.philgeps.gov.ph/GEPSNONPILOT/Tender/SplashBidNoticeAbstractUI.aspx?menuIndex=3&amp;refID=7143101&amp;Result=3","7143101")</f>
        <v>0</v>
      </c>
      <c r="B7079" t="s">
        <v>1339</v>
      </c>
      <c r="C7079" t="s">
        <v>10478</v>
      </c>
      <c r="D7079" t="s">
        <v>18001</v>
      </c>
      <c r="E7079" t="s">
        <v>24246</v>
      </c>
      <c r="F7079" t="s">
        <v>30900</v>
      </c>
      <c r="G7079" t="s">
        <v>30907</v>
      </c>
      <c r="H7079" t="s">
        <v>30916</v>
      </c>
      <c r="I7079" t="s">
        <v>30924</v>
      </c>
      <c r="J7079" t="s">
        <v>35562</v>
      </c>
      <c r="K7079" t="s">
        <v>40283</v>
      </c>
      <c r="M7079" t="s">
        <v>41960</v>
      </c>
      <c r="N7079" t="s">
        <v>44759</v>
      </c>
      <c r="O7079" t="s">
        <v>44760</v>
      </c>
      <c r="P7079">
        <v>0</v>
      </c>
      <c r="Q7079">
        <v>2</v>
      </c>
      <c r="R7079" t="s">
        <v>44767</v>
      </c>
      <c r="S7079" t="s">
        <v>44954</v>
      </c>
      <c r="T7079" t="s">
        <v>46457</v>
      </c>
      <c r="U7079" t="s">
        <v>52877</v>
      </c>
      <c r="W7079" t="s">
        <v>41960</v>
      </c>
      <c r="X7079" t="s">
        <v>44768</v>
      </c>
    </row>
    <row r="7080" spans="1:24">
      <c r="A7080">
        <f>HYPERLINK("https://www.philgeps.gov.ph/GEPSNONPILOT/Tender/SplashBidNoticeAbstractUI.aspx?menuIndex=3&amp;refID=7143098&amp;Result=3","7143098")</f>
        <v>0</v>
      </c>
      <c r="B7080" t="s">
        <v>2445</v>
      </c>
      <c r="C7080" t="s">
        <v>10479</v>
      </c>
      <c r="D7080" t="s">
        <v>17951</v>
      </c>
      <c r="E7080" t="s">
        <v>24247</v>
      </c>
      <c r="F7080" t="s">
        <v>30900</v>
      </c>
      <c r="G7080" t="s">
        <v>30907</v>
      </c>
      <c r="H7080" t="s">
        <v>30916</v>
      </c>
      <c r="I7080" t="s">
        <v>8123</v>
      </c>
      <c r="J7080" t="s">
        <v>32653</v>
      </c>
      <c r="K7080" t="s">
        <v>40283</v>
      </c>
      <c r="M7080" t="s">
        <v>43181</v>
      </c>
      <c r="N7080" t="s">
        <v>44759</v>
      </c>
      <c r="O7080" t="s">
        <v>44760</v>
      </c>
      <c r="P7080">
        <v>0</v>
      </c>
      <c r="Q7080">
        <v>0</v>
      </c>
      <c r="R7080" t="s">
        <v>44767</v>
      </c>
      <c r="S7080" t="s">
        <v>44954</v>
      </c>
      <c r="T7080" t="s">
        <v>46409</v>
      </c>
      <c r="U7080" t="s">
        <v>52878</v>
      </c>
      <c r="W7080" t="s">
        <v>43181</v>
      </c>
      <c r="X7080" t="s">
        <v>44768</v>
      </c>
    </row>
    <row r="7081" spans="1:24">
      <c r="A7081">
        <f>HYPERLINK("https://www.philgeps.gov.ph/GEPSNONPILOT/Tender/SplashBidNoticeAbstractUI.aspx?menuIndex=3&amp;refID=7143096&amp;Result=3","7143096")</f>
        <v>0</v>
      </c>
      <c r="B7081" t="s">
        <v>303</v>
      </c>
      <c r="C7081" t="s">
        <v>10480</v>
      </c>
      <c r="D7081" t="s">
        <v>17951</v>
      </c>
      <c r="E7081" t="s">
        <v>24248</v>
      </c>
      <c r="F7081" t="s">
        <v>30900</v>
      </c>
      <c r="G7081" t="s">
        <v>30908</v>
      </c>
      <c r="H7081" t="s">
        <v>30916</v>
      </c>
      <c r="I7081" t="s">
        <v>30952</v>
      </c>
      <c r="J7081" t="s">
        <v>35563</v>
      </c>
      <c r="K7081" t="s">
        <v>40284</v>
      </c>
      <c r="M7081" t="s">
        <v>40852</v>
      </c>
      <c r="N7081" t="s">
        <v>44759</v>
      </c>
      <c r="O7081" t="s">
        <v>44760</v>
      </c>
      <c r="P7081">
        <v>0</v>
      </c>
      <c r="Q7081">
        <v>0</v>
      </c>
      <c r="R7081" t="s">
        <v>44767</v>
      </c>
      <c r="S7081" t="s">
        <v>44954</v>
      </c>
      <c r="T7081" t="s">
        <v>46533</v>
      </c>
      <c r="U7081" t="s">
        <v>52879</v>
      </c>
      <c r="W7081" t="s">
        <v>40852</v>
      </c>
      <c r="X7081" t="s">
        <v>44768</v>
      </c>
    </row>
    <row r="7082" spans="1:24">
      <c r="A7082">
        <f>HYPERLINK("https://www.philgeps.gov.ph/GEPSNONPILOT/Tender/SplashBidNoticeAbstractUI.aspx?menuIndex=3&amp;refID=7143093&amp;Result=3","7143093")</f>
        <v>0</v>
      </c>
      <c r="B7082" t="s">
        <v>2440</v>
      </c>
      <c r="C7082" t="s">
        <v>10481</v>
      </c>
      <c r="D7082" t="s">
        <v>17999</v>
      </c>
      <c r="E7082" t="s">
        <v>24249</v>
      </c>
      <c r="F7082" t="s">
        <v>30900</v>
      </c>
      <c r="G7082" t="s">
        <v>30907</v>
      </c>
      <c r="H7082" t="s">
        <v>30916</v>
      </c>
      <c r="I7082" t="s">
        <v>5501</v>
      </c>
      <c r="J7082" t="s">
        <v>35564</v>
      </c>
      <c r="K7082" t="s">
        <v>40286</v>
      </c>
      <c r="M7082" t="s">
        <v>43174</v>
      </c>
      <c r="N7082" t="s">
        <v>44759</v>
      </c>
      <c r="O7082" t="s">
        <v>44760</v>
      </c>
      <c r="Q7082">
        <v>2</v>
      </c>
      <c r="R7082" t="s">
        <v>44767</v>
      </c>
      <c r="S7082" t="s">
        <v>44958</v>
      </c>
      <c r="T7082" t="s">
        <v>46495</v>
      </c>
      <c r="U7082" t="s">
        <v>52880</v>
      </c>
      <c r="W7082" t="s">
        <v>43174</v>
      </c>
      <c r="X7082" t="s">
        <v>44768</v>
      </c>
    </row>
    <row r="7083" spans="1:24">
      <c r="A7083">
        <f>HYPERLINK("https://www.philgeps.gov.ph/GEPSNONPILOT/Tender/SplashBidNoticeAbstractUI.aspx?menuIndex=3&amp;refID=7143117&amp;Result=3","7143117")</f>
        <v>0</v>
      </c>
      <c r="B7083" t="s">
        <v>2446</v>
      </c>
      <c r="C7083" t="s">
        <v>10482</v>
      </c>
      <c r="D7083" t="s">
        <v>18019</v>
      </c>
      <c r="E7083" t="s">
        <v>22492</v>
      </c>
      <c r="F7083" t="s">
        <v>30900</v>
      </c>
      <c r="G7083" t="s">
        <v>30907</v>
      </c>
      <c r="H7083" t="s">
        <v>30916</v>
      </c>
      <c r="I7083" t="s">
        <v>8123</v>
      </c>
      <c r="J7083" t="s">
        <v>35565</v>
      </c>
      <c r="K7083" t="s">
        <v>40286</v>
      </c>
      <c r="M7083" t="s">
        <v>43182</v>
      </c>
      <c r="N7083" t="s">
        <v>44759</v>
      </c>
      <c r="O7083" t="s">
        <v>44760</v>
      </c>
      <c r="P7083">
        <v>0</v>
      </c>
      <c r="Q7083">
        <v>1</v>
      </c>
      <c r="R7083" t="s">
        <v>44767</v>
      </c>
      <c r="S7083" t="s">
        <v>44954</v>
      </c>
      <c r="T7083" t="s">
        <v>46420</v>
      </c>
      <c r="U7083" t="s">
        <v>52881</v>
      </c>
      <c r="W7083" t="s">
        <v>43182</v>
      </c>
      <c r="X7083" t="s">
        <v>44768</v>
      </c>
    </row>
    <row r="7084" spans="1:24">
      <c r="A7084">
        <f>HYPERLINK("https://www.philgeps.gov.ph/GEPSNONPILOT/Tender/SplashBidNoticeAbstractUI.aspx?menuIndex=3&amp;refID=7143187&amp;Result=3","7143187")</f>
        <v>0</v>
      </c>
      <c r="B7084" t="s">
        <v>2439</v>
      </c>
      <c r="C7084" t="s">
        <v>10483</v>
      </c>
      <c r="D7084" t="s">
        <v>17980</v>
      </c>
      <c r="E7084" t="s">
        <v>22017</v>
      </c>
      <c r="F7084" t="s">
        <v>30900</v>
      </c>
      <c r="G7084" t="s">
        <v>30907</v>
      </c>
      <c r="H7084" t="s">
        <v>30916</v>
      </c>
      <c r="I7084" t="s">
        <v>8123</v>
      </c>
      <c r="J7084" t="s">
        <v>31183</v>
      </c>
      <c r="K7084" t="s">
        <v>40286</v>
      </c>
      <c r="M7084" t="s">
        <v>43170</v>
      </c>
      <c r="N7084" t="s">
        <v>44759</v>
      </c>
      <c r="O7084" t="s">
        <v>44760</v>
      </c>
      <c r="P7084">
        <v>0</v>
      </c>
      <c r="Q7084">
        <v>0</v>
      </c>
      <c r="R7084" t="s">
        <v>44767</v>
      </c>
      <c r="S7084" t="s">
        <v>44954</v>
      </c>
      <c r="T7084" t="s">
        <v>46730</v>
      </c>
      <c r="U7084" t="s">
        <v>52853</v>
      </c>
      <c r="V7084" t="s">
        <v>59876</v>
      </c>
      <c r="W7084" t="s">
        <v>43170</v>
      </c>
      <c r="X7084" t="s">
        <v>44768</v>
      </c>
    </row>
    <row r="7085" spans="1:24">
      <c r="A7085">
        <f>HYPERLINK("https://www.philgeps.gov.ph/GEPSNONPILOT/Tender/SplashBidNoticeAbstractUI.aspx?menuIndex=3&amp;refID=7143103&amp;Result=3","7143103")</f>
        <v>0</v>
      </c>
      <c r="B7085" t="s">
        <v>2438</v>
      </c>
      <c r="C7085" t="s">
        <v>10484</v>
      </c>
      <c r="D7085" t="s">
        <v>17951</v>
      </c>
      <c r="E7085" t="s">
        <v>24250</v>
      </c>
      <c r="F7085" t="s">
        <v>30900</v>
      </c>
      <c r="G7085" t="s">
        <v>30908</v>
      </c>
      <c r="H7085" t="s">
        <v>30916</v>
      </c>
      <c r="I7085" t="s">
        <v>30924</v>
      </c>
      <c r="J7085" t="s">
        <v>31305</v>
      </c>
      <c r="K7085" t="s">
        <v>40286</v>
      </c>
      <c r="M7085" t="s">
        <v>43169</v>
      </c>
      <c r="N7085" t="s">
        <v>44759</v>
      </c>
      <c r="O7085" t="s">
        <v>44760</v>
      </c>
      <c r="P7085">
        <v>0</v>
      </c>
      <c r="Q7085">
        <v>0</v>
      </c>
      <c r="R7085" t="s">
        <v>44767</v>
      </c>
      <c r="S7085" t="s">
        <v>44954</v>
      </c>
      <c r="T7085" t="s">
        <v>46414</v>
      </c>
      <c r="U7085" t="s">
        <v>52882</v>
      </c>
      <c r="W7085" t="s">
        <v>43169</v>
      </c>
      <c r="X7085" t="s">
        <v>44768</v>
      </c>
    </row>
    <row r="7086" spans="1:24">
      <c r="A7086">
        <f>HYPERLINK("https://www.philgeps.gov.ph/GEPSNONPILOT/Tender/SplashBidNoticeAbstractUI.aspx?menuIndex=3&amp;refID=7143179&amp;Result=3","7143179")</f>
        <v>0</v>
      </c>
      <c r="B7086" t="s">
        <v>2447</v>
      </c>
      <c r="C7086" t="s">
        <v>10485</v>
      </c>
      <c r="D7086" t="s">
        <v>17955</v>
      </c>
      <c r="E7086" t="s">
        <v>24251</v>
      </c>
      <c r="F7086" t="s">
        <v>30900</v>
      </c>
      <c r="G7086" t="s">
        <v>30907</v>
      </c>
      <c r="H7086" t="s">
        <v>30915</v>
      </c>
      <c r="I7086" t="s">
        <v>30919</v>
      </c>
      <c r="J7086" t="s">
        <v>31050</v>
      </c>
      <c r="K7086" t="s">
        <v>40289</v>
      </c>
      <c r="M7086" t="s">
        <v>43183</v>
      </c>
      <c r="N7086" t="s">
        <v>44759</v>
      </c>
      <c r="O7086" t="s">
        <v>44760</v>
      </c>
      <c r="P7086">
        <v>0</v>
      </c>
      <c r="Q7086">
        <v>1</v>
      </c>
      <c r="R7086" t="s">
        <v>44767</v>
      </c>
      <c r="S7086" t="s">
        <v>44954</v>
      </c>
      <c r="T7086" t="s">
        <v>46403</v>
      </c>
      <c r="U7086" t="s">
        <v>52883</v>
      </c>
      <c r="W7086" t="s">
        <v>43183</v>
      </c>
      <c r="X7086" t="s">
        <v>44768</v>
      </c>
    </row>
    <row r="7087" spans="1:24">
      <c r="A7087">
        <f>HYPERLINK("https://www.philgeps.gov.ph/GEPSNONPILOT/Tender/SplashBidNoticeAbstractUI.aspx?menuIndex=3&amp;refID=7143172&amp;Result=3","7143172")</f>
        <v>0</v>
      </c>
      <c r="B7087" t="s">
        <v>2024</v>
      </c>
      <c r="C7087" t="s">
        <v>10486</v>
      </c>
      <c r="D7087" t="s">
        <v>17973</v>
      </c>
      <c r="E7087" t="s">
        <v>24252</v>
      </c>
      <c r="F7087" t="s">
        <v>30900</v>
      </c>
      <c r="G7087" t="s">
        <v>30907</v>
      </c>
      <c r="H7087" t="s">
        <v>30916</v>
      </c>
      <c r="I7087" t="s">
        <v>30929</v>
      </c>
      <c r="J7087" t="s">
        <v>31241</v>
      </c>
      <c r="K7087" t="s">
        <v>40289</v>
      </c>
      <c r="M7087" t="s">
        <v>42720</v>
      </c>
      <c r="N7087" t="s">
        <v>44759</v>
      </c>
      <c r="O7087" t="s">
        <v>44760</v>
      </c>
      <c r="P7087">
        <v>0</v>
      </c>
      <c r="Q7087">
        <v>10</v>
      </c>
      <c r="R7087" t="s">
        <v>44767</v>
      </c>
      <c r="S7087" t="s">
        <v>44954</v>
      </c>
      <c r="T7087" t="s">
        <v>46606</v>
      </c>
      <c r="U7087" t="s">
        <v>52884</v>
      </c>
      <c r="W7087" t="s">
        <v>42720</v>
      </c>
      <c r="X7087" t="s">
        <v>44768</v>
      </c>
    </row>
    <row r="7088" spans="1:24">
      <c r="A7088">
        <f>HYPERLINK("https://www.philgeps.gov.ph/GEPSNONPILOT/Tender/SplashBidNoticeAbstractUI.aspx?menuIndex=3&amp;refID=7143170&amp;Result=3","7143170")</f>
        <v>0</v>
      </c>
      <c r="B7088" t="s">
        <v>2369</v>
      </c>
      <c r="C7088" t="s">
        <v>10487</v>
      </c>
      <c r="D7088" t="s">
        <v>17985</v>
      </c>
      <c r="E7088" t="s">
        <v>24253</v>
      </c>
      <c r="F7088" t="s">
        <v>30900</v>
      </c>
      <c r="G7088" t="s">
        <v>30907</v>
      </c>
      <c r="H7088" t="s">
        <v>30916</v>
      </c>
      <c r="I7088" t="s">
        <v>8123</v>
      </c>
      <c r="J7088" t="s">
        <v>31713</v>
      </c>
      <c r="K7088" t="s">
        <v>40289</v>
      </c>
      <c r="M7088" t="s">
        <v>43095</v>
      </c>
      <c r="N7088" t="s">
        <v>44759</v>
      </c>
      <c r="O7088" t="s">
        <v>44760</v>
      </c>
      <c r="P7088">
        <v>0</v>
      </c>
      <c r="Q7088">
        <v>0</v>
      </c>
      <c r="R7088" t="s">
        <v>44767</v>
      </c>
      <c r="S7088" t="s">
        <v>44954</v>
      </c>
      <c r="T7088" t="s">
        <v>46395</v>
      </c>
      <c r="U7088" t="s">
        <v>52885</v>
      </c>
      <c r="W7088" t="s">
        <v>43095</v>
      </c>
      <c r="X7088" t="s">
        <v>44768</v>
      </c>
    </row>
    <row r="7089" spans="1:24">
      <c r="A7089">
        <f>HYPERLINK("https://www.philgeps.gov.ph/GEPSNONPILOT/Tender/SplashBidNoticeAbstractUI.aspx?menuIndex=3&amp;refID=7142989&amp;Result=3","7142989")</f>
        <v>0</v>
      </c>
      <c r="B7089" t="s">
        <v>2045</v>
      </c>
      <c r="C7089" t="s">
        <v>10488</v>
      </c>
      <c r="D7089" t="s">
        <v>18022</v>
      </c>
      <c r="E7089" t="s">
        <v>24254</v>
      </c>
      <c r="F7089" t="s">
        <v>30900</v>
      </c>
      <c r="G7089" t="s">
        <v>30907</v>
      </c>
      <c r="H7089" t="s">
        <v>30916</v>
      </c>
      <c r="I7089" t="s">
        <v>6396</v>
      </c>
      <c r="J7089" t="s">
        <v>35566</v>
      </c>
      <c r="K7089" t="s">
        <v>40284</v>
      </c>
      <c r="M7089" t="s">
        <v>42742</v>
      </c>
      <c r="N7089" t="s">
        <v>44759</v>
      </c>
      <c r="O7089" t="s">
        <v>44760</v>
      </c>
      <c r="P7089">
        <v>0</v>
      </c>
      <c r="Q7089">
        <v>6</v>
      </c>
      <c r="R7089" t="s">
        <v>44767</v>
      </c>
      <c r="S7089" t="s">
        <v>44954</v>
      </c>
      <c r="T7089" t="s">
        <v>46470</v>
      </c>
      <c r="U7089" t="s">
        <v>52886</v>
      </c>
      <c r="W7089" t="s">
        <v>42742</v>
      </c>
      <c r="X7089" t="s">
        <v>44768</v>
      </c>
    </row>
    <row r="7090" spans="1:24">
      <c r="A7090">
        <f>HYPERLINK("https://www.philgeps.gov.ph/GEPSNONPILOT/Tender/SplashBidNoticeAbstractUI.aspx?menuIndex=3&amp;refID=7143161&amp;Result=3","7143161")</f>
        <v>0</v>
      </c>
      <c r="B7090" t="s">
        <v>1363</v>
      </c>
      <c r="C7090" t="s">
        <v>10489</v>
      </c>
      <c r="D7090" t="s">
        <v>18018</v>
      </c>
      <c r="E7090" t="s">
        <v>22992</v>
      </c>
      <c r="F7090" t="s">
        <v>30900</v>
      </c>
      <c r="G7090" t="s">
        <v>30907</v>
      </c>
      <c r="H7090" t="s">
        <v>30915</v>
      </c>
      <c r="I7090" t="s">
        <v>30919</v>
      </c>
      <c r="J7090" t="s">
        <v>32049</v>
      </c>
      <c r="K7090" t="s">
        <v>40280</v>
      </c>
      <c r="M7090" t="s">
        <v>41985</v>
      </c>
      <c r="N7090" t="s">
        <v>44759</v>
      </c>
      <c r="O7090" t="s">
        <v>44760</v>
      </c>
      <c r="P7090">
        <v>0</v>
      </c>
      <c r="Q7090">
        <v>0</v>
      </c>
      <c r="R7090" t="s">
        <v>44767</v>
      </c>
      <c r="S7090" t="s">
        <v>44954</v>
      </c>
      <c r="T7090" t="s">
        <v>46689</v>
      </c>
      <c r="U7090" t="s">
        <v>52887</v>
      </c>
      <c r="V7090" t="s">
        <v>59481</v>
      </c>
      <c r="W7090" t="s">
        <v>41985</v>
      </c>
      <c r="X7090" t="s">
        <v>44768</v>
      </c>
    </row>
    <row r="7091" spans="1:24">
      <c r="A7091">
        <f>HYPERLINK("https://www.philgeps.gov.ph/GEPSNONPILOT/Tender/SplashBidNoticeAbstractUI.aspx?menuIndex=3&amp;refID=7143157&amp;Result=3","7143157")</f>
        <v>0</v>
      </c>
      <c r="B7091" t="s">
        <v>1251</v>
      </c>
      <c r="C7091" t="s">
        <v>10490</v>
      </c>
      <c r="D7091" t="s">
        <v>17963</v>
      </c>
      <c r="E7091" t="s">
        <v>24255</v>
      </c>
      <c r="F7091" t="s">
        <v>30900</v>
      </c>
      <c r="G7091" t="s">
        <v>30908</v>
      </c>
      <c r="H7091" t="s">
        <v>30916</v>
      </c>
      <c r="I7091" t="s">
        <v>9385</v>
      </c>
      <c r="J7091" t="s">
        <v>31451</v>
      </c>
      <c r="K7091" t="s">
        <v>40286</v>
      </c>
      <c r="M7091" t="s">
        <v>41863</v>
      </c>
      <c r="N7091" t="s">
        <v>44759</v>
      </c>
      <c r="O7091" t="s">
        <v>44760</v>
      </c>
      <c r="P7091">
        <v>0</v>
      </c>
      <c r="Q7091">
        <v>5</v>
      </c>
      <c r="R7091" t="s">
        <v>44767</v>
      </c>
      <c r="S7091" t="s">
        <v>44954</v>
      </c>
      <c r="T7091" t="s">
        <v>46391</v>
      </c>
      <c r="U7091" t="s">
        <v>52888</v>
      </c>
      <c r="W7091" t="s">
        <v>41863</v>
      </c>
      <c r="X7091" t="s">
        <v>44768</v>
      </c>
    </row>
    <row r="7092" spans="1:24">
      <c r="A7092">
        <f>HYPERLINK("https://www.philgeps.gov.ph/GEPSNONPILOT/Tender/SplashBidNoticeAbstractUI.aspx?menuIndex=3&amp;refID=7143156&amp;Result=3","7143156")</f>
        <v>0</v>
      </c>
      <c r="B7092" t="s">
        <v>504</v>
      </c>
      <c r="C7092" t="s">
        <v>10491</v>
      </c>
      <c r="D7092" t="s">
        <v>18012</v>
      </c>
      <c r="E7092" t="s">
        <v>24256</v>
      </c>
      <c r="F7092" t="s">
        <v>30900</v>
      </c>
      <c r="G7092" t="s">
        <v>30907</v>
      </c>
      <c r="H7092" t="s">
        <v>30916</v>
      </c>
      <c r="I7092" t="s">
        <v>5501</v>
      </c>
      <c r="J7092" t="s">
        <v>32818</v>
      </c>
      <c r="K7092" t="s">
        <v>40289</v>
      </c>
      <c r="M7092" t="s">
        <v>41064</v>
      </c>
      <c r="N7092" t="s">
        <v>44759</v>
      </c>
      <c r="O7092" t="s">
        <v>44760</v>
      </c>
      <c r="P7092">
        <v>0</v>
      </c>
      <c r="Q7092">
        <v>0</v>
      </c>
      <c r="R7092" t="s">
        <v>44767</v>
      </c>
      <c r="S7092" t="s">
        <v>44954</v>
      </c>
      <c r="T7092" t="s">
        <v>46531</v>
      </c>
      <c r="U7092" t="s">
        <v>52889</v>
      </c>
      <c r="W7092" t="s">
        <v>41064</v>
      </c>
      <c r="X7092" t="s">
        <v>44768</v>
      </c>
    </row>
    <row r="7093" spans="1:24">
      <c r="A7093">
        <f>HYPERLINK("https://www.philgeps.gov.ph/GEPSNONPILOT/Tender/SplashBidNoticeAbstractUI.aspx?menuIndex=3&amp;refID=7143155&amp;Result=3","7143155")</f>
        <v>0</v>
      </c>
      <c r="B7093" t="s">
        <v>1195</v>
      </c>
      <c r="C7093" t="s">
        <v>10492</v>
      </c>
      <c r="D7093" t="s">
        <v>17987</v>
      </c>
      <c r="E7093" t="s">
        <v>24257</v>
      </c>
      <c r="F7093" t="s">
        <v>30900</v>
      </c>
      <c r="G7093" t="s">
        <v>30907</v>
      </c>
      <c r="H7093" t="s">
        <v>30916</v>
      </c>
      <c r="I7093" t="s">
        <v>8123</v>
      </c>
      <c r="J7093" t="s">
        <v>35567</v>
      </c>
      <c r="K7093" t="s">
        <v>40286</v>
      </c>
      <c r="M7093" t="s">
        <v>41806</v>
      </c>
      <c r="N7093" t="s">
        <v>44759</v>
      </c>
      <c r="O7093" t="s">
        <v>44760</v>
      </c>
      <c r="P7093">
        <v>0</v>
      </c>
      <c r="Q7093">
        <v>0</v>
      </c>
      <c r="R7093" t="s">
        <v>44767</v>
      </c>
      <c r="S7093" t="s">
        <v>44954</v>
      </c>
      <c r="T7093" t="s">
        <v>46375</v>
      </c>
      <c r="U7093" t="s">
        <v>52890</v>
      </c>
      <c r="W7093" t="s">
        <v>41806</v>
      </c>
      <c r="X7093" t="s">
        <v>44768</v>
      </c>
    </row>
    <row r="7094" spans="1:24">
      <c r="A7094">
        <f>HYPERLINK("https://www.philgeps.gov.ph/GEPSNONPILOT/Tender/SplashBidNoticeAbstractUI.aspx?menuIndex=3&amp;refID=7143146&amp;Result=3","7143146")</f>
        <v>0</v>
      </c>
      <c r="B7094" t="s">
        <v>2439</v>
      </c>
      <c r="C7094" t="s">
        <v>10493</v>
      </c>
      <c r="D7094" t="s">
        <v>17980</v>
      </c>
      <c r="E7094" t="s">
        <v>24258</v>
      </c>
      <c r="F7094" t="s">
        <v>30900</v>
      </c>
      <c r="G7094" t="s">
        <v>30907</v>
      </c>
      <c r="H7094" t="s">
        <v>30916</v>
      </c>
      <c r="I7094" t="s">
        <v>8123</v>
      </c>
      <c r="J7094" t="s">
        <v>35568</v>
      </c>
      <c r="K7094" t="s">
        <v>40286</v>
      </c>
      <c r="M7094" t="s">
        <v>43170</v>
      </c>
      <c r="N7094" t="s">
        <v>44759</v>
      </c>
      <c r="O7094" t="s">
        <v>44760</v>
      </c>
      <c r="P7094">
        <v>0</v>
      </c>
      <c r="Q7094">
        <v>0</v>
      </c>
      <c r="R7094" t="s">
        <v>44767</v>
      </c>
      <c r="S7094" t="s">
        <v>44954</v>
      </c>
      <c r="T7094" t="s">
        <v>46730</v>
      </c>
      <c r="U7094" t="s">
        <v>52853</v>
      </c>
      <c r="V7094" t="s">
        <v>59876</v>
      </c>
      <c r="W7094" t="s">
        <v>43170</v>
      </c>
      <c r="X7094" t="s">
        <v>44768</v>
      </c>
    </row>
    <row r="7095" spans="1:24">
      <c r="A7095">
        <f>HYPERLINK("https://www.philgeps.gov.ph/GEPSNONPILOT/Tender/SplashBidNoticeAbstractUI.aspx?menuIndex=3&amp;refID=7143143&amp;Result=3","7143143")</f>
        <v>0</v>
      </c>
      <c r="B7095" t="s">
        <v>1363</v>
      </c>
      <c r="C7095" t="s">
        <v>10494</v>
      </c>
      <c r="D7095" t="s">
        <v>18018</v>
      </c>
      <c r="E7095" t="s">
        <v>19755</v>
      </c>
      <c r="F7095" t="s">
        <v>30900</v>
      </c>
      <c r="G7095" t="s">
        <v>30907</v>
      </c>
      <c r="H7095" t="s">
        <v>30915</v>
      </c>
      <c r="I7095" t="s">
        <v>30919</v>
      </c>
      <c r="J7095" t="s">
        <v>33171</v>
      </c>
      <c r="K7095" t="s">
        <v>40280</v>
      </c>
      <c r="M7095" t="s">
        <v>41985</v>
      </c>
      <c r="N7095" t="s">
        <v>44759</v>
      </c>
      <c r="O7095" t="s">
        <v>44760</v>
      </c>
      <c r="P7095">
        <v>0</v>
      </c>
      <c r="Q7095">
        <v>0</v>
      </c>
      <c r="R7095" t="s">
        <v>44767</v>
      </c>
      <c r="S7095" t="s">
        <v>44954</v>
      </c>
      <c r="T7095" t="s">
        <v>46689</v>
      </c>
      <c r="U7095" t="s">
        <v>52891</v>
      </c>
      <c r="V7095" t="s">
        <v>59481</v>
      </c>
      <c r="W7095" t="s">
        <v>41985</v>
      </c>
      <c r="X7095" t="s">
        <v>44768</v>
      </c>
    </row>
    <row r="7096" spans="1:24">
      <c r="A7096">
        <f>HYPERLINK("https://www.philgeps.gov.ph/GEPSNONPILOT/Tender/SplashBidNoticeAbstractUI.aspx?menuIndex=3&amp;refID=7143139&amp;Result=3","7143139")</f>
        <v>0</v>
      </c>
      <c r="B7096" t="s">
        <v>1712</v>
      </c>
      <c r="C7096" t="s">
        <v>10495</v>
      </c>
      <c r="D7096" t="s">
        <v>17971</v>
      </c>
      <c r="E7096" t="s">
        <v>24259</v>
      </c>
      <c r="F7096" t="s">
        <v>30899</v>
      </c>
      <c r="G7096" t="s">
        <v>30908</v>
      </c>
      <c r="H7096" t="s">
        <v>30916</v>
      </c>
      <c r="I7096" t="s">
        <v>30944</v>
      </c>
      <c r="J7096" t="s">
        <v>31096</v>
      </c>
      <c r="K7096" t="s">
        <v>40324</v>
      </c>
      <c r="M7096" t="s">
        <v>42375</v>
      </c>
      <c r="N7096" t="s">
        <v>44759</v>
      </c>
      <c r="O7096" t="s">
        <v>44760</v>
      </c>
      <c r="P7096">
        <v>0</v>
      </c>
      <c r="Q7096">
        <v>0</v>
      </c>
      <c r="R7096" t="s">
        <v>44767</v>
      </c>
      <c r="S7096" t="s">
        <v>44954</v>
      </c>
      <c r="T7096" t="s">
        <v>46403</v>
      </c>
      <c r="U7096" t="s">
        <v>52892</v>
      </c>
      <c r="W7096" t="s">
        <v>42375</v>
      </c>
      <c r="X7096" t="s">
        <v>44768</v>
      </c>
    </row>
    <row r="7097" spans="1:24">
      <c r="A7097">
        <f>HYPERLINK("https://www.philgeps.gov.ph/GEPSNONPILOT/Tender/SplashBidNoticeAbstractUI.aspx?menuIndex=3&amp;refID=7143138&amp;Result=3","7143138")</f>
        <v>0</v>
      </c>
      <c r="B7097" t="s">
        <v>388</v>
      </c>
      <c r="C7097" t="s">
        <v>10496</v>
      </c>
      <c r="E7097" t="s">
        <v>24260</v>
      </c>
      <c r="F7097" t="s">
        <v>30900</v>
      </c>
      <c r="G7097" t="s">
        <v>30907</v>
      </c>
      <c r="H7097" t="s">
        <v>30916</v>
      </c>
      <c r="I7097" t="s">
        <v>30942</v>
      </c>
      <c r="J7097" t="s">
        <v>33787</v>
      </c>
      <c r="K7097" t="s">
        <v>40289</v>
      </c>
      <c r="M7097" t="s">
        <v>43184</v>
      </c>
      <c r="N7097" t="s">
        <v>44759</v>
      </c>
      <c r="O7097" t="s">
        <v>44760</v>
      </c>
      <c r="P7097">
        <v>0</v>
      </c>
      <c r="Q7097">
        <v>2</v>
      </c>
      <c r="R7097" t="s">
        <v>44767</v>
      </c>
      <c r="S7097" t="s">
        <v>44954</v>
      </c>
      <c r="T7097" t="s">
        <v>46563</v>
      </c>
      <c r="U7097" t="s">
        <v>52893</v>
      </c>
      <c r="W7097" t="s">
        <v>43184</v>
      </c>
      <c r="X7097" t="s">
        <v>44768</v>
      </c>
    </row>
    <row r="7098" spans="1:24">
      <c r="A7098">
        <f>HYPERLINK("https://www.philgeps.gov.ph/GEPSNONPILOT/Tender/SplashBidNoticeAbstractUI.aspx?menuIndex=3&amp;refID=7143203&amp;Result=3","7143203")</f>
        <v>0</v>
      </c>
      <c r="B7098" t="s">
        <v>1401</v>
      </c>
      <c r="C7098" t="s">
        <v>10497</v>
      </c>
      <c r="D7098" t="s">
        <v>17982</v>
      </c>
      <c r="E7098" t="s">
        <v>24261</v>
      </c>
      <c r="F7098" t="s">
        <v>30900</v>
      </c>
      <c r="G7098" t="s">
        <v>30907</v>
      </c>
      <c r="H7098" t="s">
        <v>30916</v>
      </c>
      <c r="I7098" t="s">
        <v>30942</v>
      </c>
      <c r="J7098" t="s">
        <v>35569</v>
      </c>
      <c r="K7098" t="s">
        <v>40280</v>
      </c>
      <c r="M7098" t="s">
        <v>42027</v>
      </c>
      <c r="N7098" t="s">
        <v>44759</v>
      </c>
      <c r="O7098" t="s">
        <v>44760</v>
      </c>
      <c r="P7098">
        <v>0</v>
      </c>
      <c r="Q7098">
        <v>0</v>
      </c>
      <c r="R7098" t="s">
        <v>44767</v>
      </c>
      <c r="S7098" t="s">
        <v>44954</v>
      </c>
      <c r="T7098" t="s">
        <v>46495</v>
      </c>
      <c r="U7098" t="s">
        <v>52894</v>
      </c>
      <c r="V7098" t="s">
        <v>59880</v>
      </c>
      <c r="W7098" t="s">
        <v>42027</v>
      </c>
      <c r="X7098" t="s">
        <v>44768</v>
      </c>
    </row>
    <row r="7099" spans="1:24">
      <c r="A7099">
        <f>HYPERLINK("https://www.philgeps.gov.ph/GEPSNONPILOT/Tender/SplashBidNoticeAbstractUI.aspx?menuIndex=3&amp;refID=7143221&amp;Result=3","7143221")</f>
        <v>0</v>
      </c>
      <c r="B7099" t="s">
        <v>2448</v>
      </c>
      <c r="C7099" t="s">
        <v>10498</v>
      </c>
      <c r="D7099" t="s">
        <v>17957</v>
      </c>
      <c r="E7099" t="s">
        <v>24262</v>
      </c>
      <c r="F7099" t="s">
        <v>30900</v>
      </c>
      <c r="G7099" t="s">
        <v>30907</v>
      </c>
      <c r="H7099" t="s">
        <v>30915</v>
      </c>
      <c r="I7099" t="s">
        <v>30919</v>
      </c>
      <c r="J7099" t="s">
        <v>35570</v>
      </c>
      <c r="K7099" t="s">
        <v>40280</v>
      </c>
      <c r="M7099" t="s">
        <v>43185</v>
      </c>
      <c r="N7099" t="s">
        <v>44759</v>
      </c>
      <c r="O7099" t="s">
        <v>44760</v>
      </c>
      <c r="P7099">
        <v>0</v>
      </c>
      <c r="Q7099">
        <v>0</v>
      </c>
      <c r="R7099" t="s">
        <v>44767</v>
      </c>
      <c r="S7099" t="s">
        <v>44954</v>
      </c>
      <c r="T7099" t="s">
        <v>46548</v>
      </c>
      <c r="U7099" t="s">
        <v>52895</v>
      </c>
      <c r="W7099" t="s">
        <v>43185</v>
      </c>
      <c r="X7099" t="s">
        <v>44768</v>
      </c>
    </row>
    <row r="7100" spans="1:24">
      <c r="A7100">
        <f>HYPERLINK("https://www.philgeps.gov.ph/GEPSNONPILOT/Tender/SplashBidNoticeAbstractUI.aspx?menuIndex=3&amp;refID=7143171&amp;Result=3","7143171")</f>
        <v>0</v>
      </c>
      <c r="B7100" t="s">
        <v>2439</v>
      </c>
      <c r="C7100" t="s">
        <v>10499</v>
      </c>
      <c r="D7100" t="s">
        <v>17980</v>
      </c>
      <c r="E7100" t="s">
        <v>24263</v>
      </c>
      <c r="F7100" t="s">
        <v>30900</v>
      </c>
      <c r="G7100" t="s">
        <v>30907</v>
      </c>
      <c r="H7100" t="s">
        <v>30916</v>
      </c>
      <c r="I7100" t="s">
        <v>8123</v>
      </c>
      <c r="J7100" t="s">
        <v>31049</v>
      </c>
      <c r="K7100" t="s">
        <v>40286</v>
      </c>
      <c r="M7100" t="s">
        <v>43170</v>
      </c>
      <c r="N7100" t="s">
        <v>44759</v>
      </c>
      <c r="O7100" t="s">
        <v>44760</v>
      </c>
      <c r="P7100">
        <v>0</v>
      </c>
      <c r="Q7100">
        <v>0</v>
      </c>
      <c r="R7100" t="s">
        <v>44767</v>
      </c>
      <c r="S7100" t="s">
        <v>44954</v>
      </c>
      <c r="T7100" t="s">
        <v>46730</v>
      </c>
      <c r="U7100" t="s">
        <v>52853</v>
      </c>
      <c r="V7100" t="s">
        <v>59876</v>
      </c>
      <c r="W7100" t="s">
        <v>43170</v>
      </c>
      <c r="X7100" t="s">
        <v>44768</v>
      </c>
    </row>
    <row r="7101" spans="1:24">
      <c r="A7101">
        <f>HYPERLINK("https://www.philgeps.gov.ph/GEPSNONPILOT/Tender/SplashBidNoticeAbstractUI.aspx?menuIndex=3&amp;refID=7143214&amp;Result=3","7143214")</f>
        <v>0</v>
      </c>
      <c r="B7101" t="s">
        <v>2359</v>
      </c>
      <c r="C7101" t="s">
        <v>10500</v>
      </c>
      <c r="D7101" t="s">
        <v>18022</v>
      </c>
      <c r="E7101" t="s">
        <v>24264</v>
      </c>
      <c r="F7101" t="s">
        <v>30900</v>
      </c>
      <c r="G7101" t="s">
        <v>30907</v>
      </c>
      <c r="H7101" t="s">
        <v>30915</v>
      </c>
      <c r="I7101" t="s">
        <v>30919</v>
      </c>
      <c r="J7101" t="s">
        <v>35571</v>
      </c>
      <c r="K7101" t="s">
        <v>40289</v>
      </c>
      <c r="M7101" t="s">
        <v>43083</v>
      </c>
      <c r="N7101" t="s">
        <v>44759</v>
      </c>
      <c r="O7101" t="s">
        <v>44760</v>
      </c>
      <c r="P7101">
        <v>0</v>
      </c>
      <c r="Q7101">
        <v>1</v>
      </c>
      <c r="R7101" t="s">
        <v>44767</v>
      </c>
      <c r="S7101" t="s">
        <v>44954</v>
      </c>
      <c r="T7101" t="s">
        <v>46495</v>
      </c>
      <c r="U7101" t="s">
        <v>52896</v>
      </c>
      <c r="W7101" t="s">
        <v>60888</v>
      </c>
      <c r="X7101" t="s">
        <v>44768</v>
      </c>
    </row>
    <row r="7102" spans="1:24">
      <c r="A7102">
        <f>HYPERLINK("https://www.philgeps.gov.ph/GEPSNONPILOT/Tender/SplashBidNoticeAbstractUI.aspx?menuIndex=3&amp;refID=7143213&amp;Result=3","7143213")</f>
        <v>0</v>
      </c>
      <c r="B7102" t="s">
        <v>2448</v>
      </c>
      <c r="C7102" t="s">
        <v>10498</v>
      </c>
      <c r="D7102" t="s">
        <v>17957</v>
      </c>
      <c r="E7102" t="s">
        <v>24265</v>
      </c>
      <c r="F7102" t="s">
        <v>30900</v>
      </c>
      <c r="G7102" t="s">
        <v>30907</v>
      </c>
      <c r="H7102" t="s">
        <v>30915</v>
      </c>
      <c r="I7102" t="s">
        <v>30919</v>
      </c>
      <c r="J7102" t="s">
        <v>32420</v>
      </c>
      <c r="K7102" t="s">
        <v>40280</v>
      </c>
      <c r="M7102" t="s">
        <v>43185</v>
      </c>
      <c r="N7102" t="s">
        <v>44759</v>
      </c>
      <c r="O7102" t="s">
        <v>44760</v>
      </c>
      <c r="P7102">
        <v>0</v>
      </c>
      <c r="Q7102">
        <v>0</v>
      </c>
      <c r="R7102" t="s">
        <v>44767</v>
      </c>
      <c r="S7102" t="s">
        <v>44954</v>
      </c>
      <c r="T7102" t="s">
        <v>46548</v>
      </c>
      <c r="U7102" t="s">
        <v>52895</v>
      </c>
      <c r="W7102" t="s">
        <v>43185</v>
      </c>
      <c r="X7102" t="s">
        <v>44768</v>
      </c>
    </row>
    <row r="7103" spans="1:24">
      <c r="A7103">
        <f>HYPERLINK("https://www.philgeps.gov.ph/GEPSNONPILOT/Tender/SplashBidNoticeAbstractUI.aspx?menuIndex=3&amp;refID=7143212&amp;Result=3","7143212")</f>
        <v>0</v>
      </c>
      <c r="B7103" t="s">
        <v>2439</v>
      </c>
      <c r="C7103" t="s">
        <v>10501</v>
      </c>
      <c r="D7103" t="s">
        <v>17980</v>
      </c>
      <c r="E7103" t="s">
        <v>18883</v>
      </c>
      <c r="F7103" t="s">
        <v>30900</v>
      </c>
      <c r="G7103" t="s">
        <v>30907</v>
      </c>
      <c r="H7103" t="s">
        <v>30916</v>
      </c>
      <c r="I7103" t="s">
        <v>4545</v>
      </c>
      <c r="J7103" t="s">
        <v>32321</v>
      </c>
      <c r="K7103" t="s">
        <v>40286</v>
      </c>
      <c r="M7103" t="s">
        <v>43170</v>
      </c>
      <c r="N7103" t="s">
        <v>44759</v>
      </c>
      <c r="O7103" t="s">
        <v>44760</v>
      </c>
      <c r="P7103">
        <v>0</v>
      </c>
      <c r="Q7103">
        <v>3</v>
      </c>
      <c r="R7103" t="s">
        <v>44767</v>
      </c>
      <c r="S7103" t="s">
        <v>44954</v>
      </c>
      <c r="T7103" t="s">
        <v>46730</v>
      </c>
      <c r="U7103" t="s">
        <v>52853</v>
      </c>
      <c r="V7103" t="s">
        <v>59876</v>
      </c>
      <c r="W7103" t="s">
        <v>43170</v>
      </c>
      <c r="X7103" t="s">
        <v>44768</v>
      </c>
    </row>
    <row r="7104" spans="1:24">
      <c r="A7104">
        <f>HYPERLINK("https://www.philgeps.gov.ph/GEPSNONPILOT/Tender/SplashBidNoticeAbstractUI.aspx?menuIndex=3&amp;refID=7143211&amp;Result=3","7143211")</f>
        <v>0</v>
      </c>
      <c r="B7104" t="s">
        <v>264</v>
      </c>
      <c r="C7104" t="s">
        <v>10502</v>
      </c>
      <c r="D7104" t="s">
        <v>17997</v>
      </c>
      <c r="E7104" t="s">
        <v>24266</v>
      </c>
      <c r="F7104" t="s">
        <v>30900</v>
      </c>
      <c r="G7104" t="s">
        <v>30908</v>
      </c>
      <c r="H7104" t="s">
        <v>30916</v>
      </c>
      <c r="I7104" t="s">
        <v>6396</v>
      </c>
      <c r="J7104" t="s">
        <v>35572</v>
      </c>
      <c r="K7104" t="s">
        <v>40287</v>
      </c>
      <c r="M7104" t="s">
        <v>40811</v>
      </c>
      <c r="N7104" t="s">
        <v>44759</v>
      </c>
      <c r="O7104" t="s">
        <v>44760</v>
      </c>
      <c r="P7104">
        <v>0</v>
      </c>
      <c r="Q7104">
        <v>1</v>
      </c>
      <c r="R7104" t="s">
        <v>44767</v>
      </c>
      <c r="S7104" t="s">
        <v>44954</v>
      </c>
      <c r="T7104" t="s">
        <v>46391</v>
      </c>
      <c r="U7104" t="s">
        <v>47360</v>
      </c>
      <c r="W7104" t="s">
        <v>40811</v>
      </c>
      <c r="X7104" t="s">
        <v>44768</v>
      </c>
    </row>
    <row r="7105" spans="1:24">
      <c r="A7105">
        <f>HYPERLINK("https://www.philgeps.gov.ph/GEPSNONPILOT/Tender/SplashBidNoticeAbstractUI.aspx?menuIndex=3&amp;refID=7143182&amp;Result=3","7143182")</f>
        <v>0</v>
      </c>
      <c r="B7105" t="s">
        <v>2024</v>
      </c>
      <c r="C7105" t="s">
        <v>10503</v>
      </c>
      <c r="D7105" t="s">
        <v>17973</v>
      </c>
      <c r="E7105" t="s">
        <v>24267</v>
      </c>
      <c r="F7105" t="s">
        <v>30900</v>
      </c>
      <c r="G7105" t="s">
        <v>30907</v>
      </c>
      <c r="H7105" t="s">
        <v>30916</v>
      </c>
      <c r="I7105" t="s">
        <v>30929</v>
      </c>
      <c r="J7105" t="s">
        <v>32324</v>
      </c>
      <c r="K7105" t="s">
        <v>40289</v>
      </c>
      <c r="M7105" t="s">
        <v>42720</v>
      </c>
      <c r="N7105" t="s">
        <v>44759</v>
      </c>
      <c r="O7105" t="s">
        <v>44760</v>
      </c>
      <c r="P7105">
        <v>0</v>
      </c>
      <c r="Q7105">
        <v>11</v>
      </c>
      <c r="R7105" t="s">
        <v>44767</v>
      </c>
      <c r="S7105" t="s">
        <v>44954</v>
      </c>
      <c r="T7105" t="s">
        <v>46606</v>
      </c>
      <c r="U7105" t="s">
        <v>52897</v>
      </c>
      <c r="W7105" t="s">
        <v>42720</v>
      </c>
      <c r="X7105" t="s">
        <v>44768</v>
      </c>
    </row>
    <row r="7106" spans="1:24">
      <c r="A7106">
        <f>HYPERLINK("https://www.philgeps.gov.ph/GEPSNONPILOT/Tender/SplashBidNoticeAbstractUI.aspx?menuIndex=3&amp;refID=7143208&amp;Result=3","7143208")</f>
        <v>0</v>
      </c>
      <c r="B7106" t="s">
        <v>2449</v>
      </c>
      <c r="C7106" t="s">
        <v>10504</v>
      </c>
      <c r="D7106" t="s">
        <v>17956</v>
      </c>
      <c r="E7106" t="s">
        <v>10504</v>
      </c>
      <c r="F7106" t="s">
        <v>30900</v>
      </c>
      <c r="G7106" t="s">
        <v>30908</v>
      </c>
      <c r="H7106" t="s">
        <v>30916</v>
      </c>
      <c r="I7106" t="s">
        <v>30933</v>
      </c>
      <c r="J7106" t="s">
        <v>35573</v>
      </c>
      <c r="K7106" t="s">
        <v>40283</v>
      </c>
      <c r="M7106" t="s">
        <v>43186</v>
      </c>
      <c r="N7106" t="s">
        <v>44759</v>
      </c>
      <c r="O7106" t="s">
        <v>44760</v>
      </c>
      <c r="P7106">
        <v>0</v>
      </c>
      <c r="Q7106">
        <v>2</v>
      </c>
      <c r="R7106" t="s">
        <v>44767</v>
      </c>
      <c r="S7106" t="s">
        <v>44954</v>
      </c>
      <c r="T7106" t="s">
        <v>46612</v>
      </c>
      <c r="U7106" t="s">
        <v>52898</v>
      </c>
      <c r="W7106" t="s">
        <v>43186</v>
      </c>
      <c r="X7106" t="s">
        <v>44768</v>
      </c>
    </row>
    <row r="7107" spans="1:24">
      <c r="A7107">
        <f>HYPERLINK("https://www.philgeps.gov.ph/GEPSNONPILOT/Tender/SplashBidNoticeAbstractUI.aspx?menuIndex=3&amp;refID=7143207&amp;Result=3","7143207")</f>
        <v>0</v>
      </c>
      <c r="B7107" t="s">
        <v>264</v>
      </c>
      <c r="C7107" t="s">
        <v>10505</v>
      </c>
      <c r="D7107" t="s">
        <v>17997</v>
      </c>
      <c r="E7107" t="s">
        <v>24268</v>
      </c>
      <c r="F7107" t="s">
        <v>30900</v>
      </c>
      <c r="G7107" t="s">
        <v>30908</v>
      </c>
      <c r="H7107" t="s">
        <v>30916</v>
      </c>
      <c r="I7107" t="s">
        <v>30956</v>
      </c>
      <c r="J7107" t="s">
        <v>32332</v>
      </c>
      <c r="K7107" t="s">
        <v>40287</v>
      </c>
      <c r="M7107" t="s">
        <v>40811</v>
      </c>
      <c r="N7107" t="s">
        <v>44759</v>
      </c>
      <c r="O7107" t="s">
        <v>44760</v>
      </c>
      <c r="P7107">
        <v>0</v>
      </c>
      <c r="Q7107">
        <v>0</v>
      </c>
      <c r="R7107" t="s">
        <v>44767</v>
      </c>
      <c r="S7107" t="s">
        <v>44954</v>
      </c>
      <c r="T7107" t="s">
        <v>46391</v>
      </c>
      <c r="U7107" t="s">
        <v>47360</v>
      </c>
      <c r="W7107" t="s">
        <v>40811</v>
      </c>
      <c r="X7107" t="s">
        <v>44768</v>
      </c>
    </row>
    <row r="7108" spans="1:24">
      <c r="A7108">
        <f>HYPERLINK("https://www.philgeps.gov.ph/GEPSNONPILOT/Tender/SplashBidNoticeAbstractUI.aspx?menuIndex=3&amp;refID=7143205&amp;Result=3","7143205")</f>
        <v>0</v>
      </c>
      <c r="B7108" t="s">
        <v>1365</v>
      </c>
      <c r="C7108" t="s">
        <v>10506</v>
      </c>
      <c r="D7108" t="s">
        <v>17978</v>
      </c>
      <c r="E7108" t="s">
        <v>24269</v>
      </c>
      <c r="F7108" t="s">
        <v>30900</v>
      </c>
      <c r="G7108" t="s">
        <v>30908</v>
      </c>
      <c r="H7108" t="s">
        <v>30916</v>
      </c>
      <c r="I7108" t="s">
        <v>30999</v>
      </c>
      <c r="J7108" t="s">
        <v>35574</v>
      </c>
      <c r="K7108" t="s">
        <v>40289</v>
      </c>
      <c r="M7108" t="s">
        <v>41987</v>
      </c>
      <c r="N7108" t="s">
        <v>44759</v>
      </c>
      <c r="O7108" t="s">
        <v>44760</v>
      </c>
      <c r="P7108">
        <v>0</v>
      </c>
      <c r="Q7108">
        <v>1</v>
      </c>
      <c r="R7108" t="s">
        <v>44767</v>
      </c>
      <c r="S7108" t="s">
        <v>44954</v>
      </c>
      <c r="T7108" t="s">
        <v>46769</v>
      </c>
      <c r="U7108" t="s">
        <v>52899</v>
      </c>
      <c r="W7108" t="s">
        <v>41987</v>
      </c>
      <c r="X7108" t="s">
        <v>44768</v>
      </c>
    </row>
    <row r="7109" spans="1:24">
      <c r="A7109">
        <f>HYPERLINK("https://www.philgeps.gov.ph/GEPSNONPILOT/Tender/SplashBidNoticeAbstractUI.aspx?menuIndex=3&amp;refID=7143209&amp;Result=3","7143209")</f>
        <v>0</v>
      </c>
      <c r="B7109" t="s">
        <v>2450</v>
      </c>
      <c r="C7109" t="s">
        <v>10507</v>
      </c>
      <c r="D7109" t="s">
        <v>17970</v>
      </c>
      <c r="E7109" t="s">
        <v>24270</v>
      </c>
      <c r="F7109" t="s">
        <v>30900</v>
      </c>
      <c r="G7109" t="s">
        <v>30907</v>
      </c>
      <c r="H7109" t="s">
        <v>30915</v>
      </c>
      <c r="I7109" t="s">
        <v>30919</v>
      </c>
      <c r="J7109" t="s">
        <v>35575</v>
      </c>
      <c r="K7109" t="s">
        <v>40286</v>
      </c>
      <c r="M7109" t="s">
        <v>43187</v>
      </c>
      <c r="N7109" t="s">
        <v>44759</v>
      </c>
      <c r="O7109" t="s">
        <v>44760</v>
      </c>
      <c r="P7109">
        <v>0</v>
      </c>
      <c r="Q7109">
        <v>1</v>
      </c>
      <c r="R7109" t="s">
        <v>44767</v>
      </c>
      <c r="S7109" t="s">
        <v>44954</v>
      </c>
      <c r="T7109" t="s">
        <v>46495</v>
      </c>
      <c r="U7109" t="s">
        <v>52900</v>
      </c>
      <c r="V7109" t="s">
        <v>59881</v>
      </c>
      <c r="W7109" t="s">
        <v>43187</v>
      </c>
      <c r="X7109" t="s">
        <v>44768</v>
      </c>
    </row>
    <row r="7110" spans="1:24">
      <c r="A7110">
        <f>HYPERLINK("https://www.philgeps.gov.ph/GEPSNONPILOT/Tender/SplashBidNoticeAbstractUI.aspx?menuIndex=3&amp;refID=7143204&amp;Result=3","7143204")</f>
        <v>0</v>
      </c>
      <c r="B7110" t="s">
        <v>2451</v>
      </c>
      <c r="C7110" t="s">
        <v>10508</v>
      </c>
      <c r="D7110" t="s">
        <v>17985</v>
      </c>
      <c r="E7110" t="s">
        <v>24271</v>
      </c>
      <c r="F7110" t="s">
        <v>30900</v>
      </c>
      <c r="G7110" t="s">
        <v>30907</v>
      </c>
      <c r="H7110" t="s">
        <v>30915</v>
      </c>
      <c r="I7110" t="s">
        <v>30919</v>
      </c>
      <c r="J7110" t="s">
        <v>35576</v>
      </c>
      <c r="K7110" t="s">
        <v>40304</v>
      </c>
      <c r="M7110" t="s">
        <v>43188</v>
      </c>
      <c r="N7110" t="s">
        <v>44759</v>
      </c>
      <c r="O7110" t="s">
        <v>44760</v>
      </c>
      <c r="P7110">
        <v>0</v>
      </c>
      <c r="Q7110">
        <v>1</v>
      </c>
      <c r="R7110" t="s">
        <v>44767</v>
      </c>
      <c r="S7110" t="s">
        <v>44954</v>
      </c>
      <c r="T7110" t="s">
        <v>46350</v>
      </c>
      <c r="U7110" t="s">
        <v>52901</v>
      </c>
      <c r="V7110" t="s">
        <v>59882</v>
      </c>
      <c r="W7110" t="s">
        <v>43188</v>
      </c>
      <c r="X7110" t="s">
        <v>44768</v>
      </c>
    </row>
    <row r="7111" spans="1:24">
      <c r="A7111">
        <f>HYPERLINK("https://www.philgeps.gov.ph/GEPSNONPILOT/Tender/SplashBidNoticeAbstractUI.aspx?menuIndex=3&amp;refID=7143201&amp;Result=3","7143201")</f>
        <v>0</v>
      </c>
      <c r="B7111" t="s">
        <v>264</v>
      </c>
      <c r="C7111" t="s">
        <v>10509</v>
      </c>
      <c r="D7111" t="s">
        <v>17997</v>
      </c>
      <c r="E7111" t="s">
        <v>24272</v>
      </c>
      <c r="F7111" t="s">
        <v>30900</v>
      </c>
      <c r="G7111" t="s">
        <v>30908</v>
      </c>
      <c r="H7111" t="s">
        <v>30916</v>
      </c>
      <c r="I7111" t="s">
        <v>6396</v>
      </c>
      <c r="J7111" t="s">
        <v>35577</v>
      </c>
      <c r="K7111" t="s">
        <v>40287</v>
      </c>
      <c r="M7111" t="s">
        <v>40811</v>
      </c>
      <c r="N7111" t="s">
        <v>44759</v>
      </c>
      <c r="O7111" t="s">
        <v>44760</v>
      </c>
      <c r="P7111">
        <v>0</v>
      </c>
      <c r="Q7111">
        <v>0</v>
      </c>
      <c r="R7111" t="s">
        <v>44767</v>
      </c>
      <c r="S7111" t="s">
        <v>44954</v>
      </c>
      <c r="T7111" t="s">
        <v>46391</v>
      </c>
      <c r="U7111" t="s">
        <v>47360</v>
      </c>
      <c r="W7111" t="s">
        <v>40811</v>
      </c>
      <c r="X7111" t="s">
        <v>44768</v>
      </c>
    </row>
    <row r="7112" spans="1:24">
      <c r="A7112">
        <f>HYPERLINK("https://www.philgeps.gov.ph/GEPSNONPILOT/Tender/SplashBidNoticeAbstractUI.aspx?menuIndex=3&amp;refID=7143200&amp;Result=3","7143200")</f>
        <v>0</v>
      </c>
      <c r="B7112" t="s">
        <v>2448</v>
      </c>
      <c r="C7112" t="s">
        <v>10498</v>
      </c>
      <c r="D7112" t="s">
        <v>17957</v>
      </c>
      <c r="E7112" t="s">
        <v>24273</v>
      </c>
      <c r="F7112" t="s">
        <v>30900</v>
      </c>
      <c r="G7112" t="s">
        <v>30907</v>
      </c>
      <c r="H7112" t="s">
        <v>30916</v>
      </c>
      <c r="I7112" t="s">
        <v>30919</v>
      </c>
      <c r="J7112" t="s">
        <v>35578</v>
      </c>
      <c r="K7112" t="s">
        <v>40292</v>
      </c>
      <c r="M7112" t="s">
        <v>43185</v>
      </c>
      <c r="N7112" t="s">
        <v>44759</v>
      </c>
      <c r="O7112" t="s">
        <v>44760</v>
      </c>
      <c r="P7112">
        <v>0</v>
      </c>
      <c r="Q7112">
        <v>0</v>
      </c>
      <c r="R7112" t="s">
        <v>44767</v>
      </c>
      <c r="S7112" t="s">
        <v>44954</v>
      </c>
      <c r="T7112" t="s">
        <v>46398</v>
      </c>
      <c r="U7112" t="s">
        <v>52902</v>
      </c>
      <c r="W7112" t="s">
        <v>43185</v>
      </c>
      <c r="X7112" t="s">
        <v>44768</v>
      </c>
    </row>
    <row r="7113" spans="1:24">
      <c r="A7113">
        <f>HYPERLINK("https://www.philgeps.gov.ph/GEPSNONPILOT/Tender/SplashBidNoticeAbstractUI.aspx?menuIndex=3&amp;refID=7143196&amp;Result=3","7143196")</f>
        <v>0</v>
      </c>
      <c r="B7113" t="s">
        <v>2439</v>
      </c>
      <c r="C7113" t="s">
        <v>10510</v>
      </c>
      <c r="D7113" t="s">
        <v>17980</v>
      </c>
      <c r="E7113" t="s">
        <v>22019</v>
      </c>
      <c r="F7113" t="s">
        <v>30900</v>
      </c>
      <c r="G7113" t="s">
        <v>30907</v>
      </c>
      <c r="H7113" t="s">
        <v>30916</v>
      </c>
      <c r="I7113" t="s">
        <v>8123</v>
      </c>
      <c r="J7113" t="s">
        <v>35579</v>
      </c>
      <c r="K7113" t="s">
        <v>40286</v>
      </c>
      <c r="M7113" t="s">
        <v>43170</v>
      </c>
      <c r="N7113" t="s">
        <v>44759</v>
      </c>
      <c r="O7113" t="s">
        <v>44760</v>
      </c>
      <c r="P7113">
        <v>0</v>
      </c>
      <c r="Q7113">
        <v>0</v>
      </c>
      <c r="R7113" t="s">
        <v>44767</v>
      </c>
      <c r="S7113" t="s">
        <v>44954</v>
      </c>
      <c r="T7113" t="s">
        <v>46730</v>
      </c>
      <c r="U7113" t="s">
        <v>52853</v>
      </c>
      <c r="V7113" t="s">
        <v>59876</v>
      </c>
      <c r="W7113" t="s">
        <v>43170</v>
      </c>
      <c r="X7113" t="s">
        <v>44768</v>
      </c>
    </row>
    <row r="7114" spans="1:24">
      <c r="A7114">
        <f>HYPERLINK("https://www.philgeps.gov.ph/GEPSNONPILOT/Tender/SplashBidNoticeAbstractUI.aspx?menuIndex=3&amp;refID=7143195&amp;Result=3","7143195")</f>
        <v>0</v>
      </c>
      <c r="B7114" t="s">
        <v>164</v>
      </c>
      <c r="C7114" t="s">
        <v>10511</v>
      </c>
      <c r="D7114" t="s">
        <v>17961</v>
      </c>
      <c r="E7114" t="s">
        <v>24274</v>
      </c>
      <c r="F7114" t="s">
        <v>30900</v>
      </c>
      <c r="G7114" t="s">
        <v>30908</v>
      </c>
      <c r="H7114" t="s">
        <v>30916</v>
      </c>
      <c r="I7114" t="s">
        <v>8123</v>
      </c>
      <c r="J7114" t="s">
        <v>31101</v>
      </c>
      <c r="K7114" t="s">
        <v>40294</v>
      </c>
      <c r="M7114" t="s">
        <v>40711</v>
      </c>
      <c r="N7114" t="s">
        <v>44759</v>
      </c>
      <c r="O7114" t="s">
        <v>44760</v>
      </c>
      <c r="P7114">
        <v>0</v>
      </c>
      <c r="Q7114">
        <v>0</v>
      </c>
      <c r="R7114" t="s">
        <v>44767</v>
      </c>
      <c r="S7114" t="s">
        <v>44954</v>
      </c>
      <c r="T7114" t="s">
        <v>46658</v>
      </c>
      <c r="U7114" t="s">
        <v>52903</v>
      </c>
      <c r="W7114" t="s">
        <v>40711</v>
      </c>
      <c r="X7114" t="s">
        <v>44768</v>
      </c>
    </row>
    <row r="7115" spans="1:24">
      <c r="A7115">
        <f>HYPERLINK("https://www.philgeps.gov.ph/GEPSNONPILOT/Tender/SplashBidNoticeAbstractUI.aspx?menuIndex=3&amp;refID=7143194&amp;Result=3","7143194")</f>
        <v>0</v>
      </c>
      <c r="B7115" t="s">
        <v>1495</v>
      </c>
      <c r="C7115" t="s">
        <v>10449</v>
      </c>
      <c r="D7115" t="s">
        <v>17972</v>
      </c>
      <c r="E7115" t="s">
        <v>24275</v>
      </c>
      <c r="F7115" t="s">
        <v>30900</v>
      </c>
      <c r="G7115" t="s">
        <v>30908</v>
      </c>
      <c r="H7115" t="s">
        <v>30916</v>
      </c>
      <c r="I7115" t="s">
        <v>4545</v>
      </c>
      <c r="J7115" t="s">
        <v>35580</v>
      </c>
      <c r="K7115" t="s">
        <v>40291</v>
      </c>
      <c r="M7115" t="s">
        <v>42134</v>
      </c>
      <c r="N7115" t="s">
        <v>44759</v>
      </c>
      <c r="O7115" t="s">
        <v>44760</v>
      </c>
      <c r="P7115">
        <v>0</v>
      </c>
      <c r="Q7115">
        <v>1</v>
      </c>
      <c r="R7115" t="s">
        <v>44767</v>
      </c>
      <c r="S7115" t="s">
        <v>44954</v>
      </c>
      <c r="T7115" t="s">
        <v>46457</v>
      </c>
      <c r="U7115" t="s">
        <v>52904</v>
      </c>
      <c r="W7115" t="s">
        <v>42134</v>
      </c>
      <c r="X7115" t="s">
        <v>44768</v>
      </c>
    </row>
    <row r="7116" spans="1:24">
      <c r="A7116">
        <f>HYPERLINK("https://www.philgeps.gov.ph/GEPSNONPILOT/Tender/SplashBidNoticeAbstractUI.aspx?menuIndex=3&amp;refID=7143193&amp;Result=3","7143193")</f>
        <v>0</v>
      </c>
      <c r="B7116" t="s">
        <v>81</v>
      </c>
      <c r="C7116" t="s">
        <v>10512</v>
      </c>
      <c r="D7116" t="s">
        <v>17959</v>
      </c>
      <c r="E7116" t="s">
        <v>24276</v>
      </c>
      <c r="F7116" t="s">
        <v>30900</v>
      </c>
      <c r="G7116" t="s">
        <v>30908</v>
      </c>
      <c r="H7116" t="s">
        <v>30916</v>
      </c>
      <c r="I7116" t="s">
        <v>4108</v>
      </c>
      <c r="J7116" t="s">
        <v>35581</v>
      </c>
      <c r="K7116" t="s">
        <v>40289</v>
      </c>
      <c r="M7116" t="s">
        <v>40628</v>
      </c>
      <c r="N7116" t="s">
        <v>44759</v>
      </c>
      <c r="O7116" t="s">
        <v>44760</v>
      </c>
      <c r="P7116">
        <v>0</v>
      </c>
      <c r="Q7116">
        <v>0</v>
      </c>
      <c r="R7116" t="s">
        <v>44767</v>
      </c>
      <c r="S7116" t="s">
        <v>44954</v>
      </c>
      <c r="T7116" t="s">
        <v>46403</v>
      </c>
      <c r="U7116" t="s">
        <v>52905</v>
      </c>
      <c r="W7116" t="s">
        <v>40628</v>
      </c>
      <c r="X7116" t="s">
        <v>44768</v>
      </c>
    </row>
    <row r="7117" spans="1:24">
      <c r="A7117">
        <f>HYPERLINK("https://www.philgeps.gov.ph/GEPSNONPILOT/Tender/SplashBidNoticeAbstractUI.aspx?menuIndex=3&amp;refID=7143191&amp;Result=3","7143191")</f>
        <v>0</v>
      </c>
      <c r="B7117" t="s">
        <v>2452</v>
      </c>
      <c r="C7117" t="s">
        <v>10513</v>
      </c>
      <c r="D7117" t="s">
        <v>17957</v>
      </c>
      <c r="E7117" t="s">
        <v>24277</v>
      </c>
      <c r="F7117" t="s">
        <v>30900</v>
      </c>
      <c r="G7117" t="s">
        <v>30906</v>
      </c>
      <c r="H7117" t="s">
        <v>30916</v>
      </c>
      <c r="I7117" t="s">
        <v>4545</v>
      </c>
      <c r="J7117" t="s">
        <v>35582</v>
      </c>
      <c r="K7117" t="s">
        <v>40280</v>
      </c>
      <c r="M7117" t="s">
        <v>43189</v>
      </c>
      <c r="N7117" t="s">
        <v>44759</v>
      </c>
      <c r="O7117" t="s">
        <v>44760</v>
      </c>
      <c r="P7117">
        <v>0</v>
      </c>
      <c r="Q7117">
        <v>4</v>
      </c>
      <c r="R7117" t="s">
        <v>44767</v>
      </c>
      <c r="S7117" t="s">
        <v>44954</v>
      </c>
      <c r="T7117" t="s">
        <v>46625</v>
      </c>
      <c r="U7117" t="s">
        <v>52906</v>
      </c>
      <c r="V7117" t="s">
        <v>59883</v>
      </c>
      <c r="W7117" t="s">
        <v>43189</v>
      </c>
      <c r="X7117" t="s">
        <v>44768</v>
      </c>
    </row>
    <row r="7118" spans="1:24">
      <c r="A7118">
        <f>HYPERLINK("https://www.philgeps.gov.ph/GEPSNONPILOT/Tender/SplashBidNoticeAbstractUI.aspx?menuIndex=3&amp;refID=7143160&amp;Result=3","7143160")</f>
        <v>0</v>
      </c>
      <c r="B7118" t="s">
        <v>2024</v>
      </c>
      <c r="C7118" t="s">
        <v>10514</v>
      </c>
      <c r="D7118" t="s">
        <v>17973</v>
      </c>
      <c r="E7118" t="s">
        <v>24278</v>
      </c>
      <c r="F7118" t="s">
        <v>30900</v>
      </c>
      <c r="G7118" t="s">
        <v>30907</v>
      </c>
      <c r="H7118" t="s">
        <v>30916</v>
      </c>
      <c r="I7118" t="s">
        <v>30929</v>
      </c>
      <c r="J7118" t="s">
        <v>32616</v>
      </c>
      <c r="K7118" t="s">
        <v>40289</v>
      </c>
      <c r="M7118" t="s">
        <v>42720</v>
      </c>
      <c r="N7118" t="s">
        <v>44759</v>
      </c>
      <c r="O7118" t="s">
        <v>44760</v>
      </c>
      <c r="P7118">
        <v>0</v>
      </c>
      <c r="Q7118">
        <v>11</v>
      </c>
      <c r="R7118" t="s">
        <v>44767</v>
      </c>
      <c r="S7118" t="s">
        <v>44954</v>
      </c>
      <c r="T7118" t="s">
        <v>46606</v>
      </c>
      <c r="U7118" t="s">
        <v>52907</v>
      </c>
      <c r="W7118" t="s">
        <v>42720</v>
      </c>
      <c r="X7118" t="s">
        <v>44768</v>
      </c>
    </row>
    <row r="7119" spans="1:24">
      <c r="A7119">
        <f>HYPERLINK("https://www.philgeps.gov.ph/GEPSNONPILOT/Tender/SplashBidNoticeAbstractUI.aspx?menuIndex=3&amp;refID=7143189&amp;Result=3","7143189")</f>
        <v>0</v>
      </c>
      <c r="B7119" t="s">
        <v>2440</v>
      </c>
      <c r="C7119" t="s">
        <v>10515</v>
      </c>
      <c r="D7119" t="s">
        <v>17999</v>
      </c>
      <c r="E7119" t="s">
        <v>24279</v>
      </c>
      <c r="F7119" t="s">
        <v>30900</v>
      </c>
      <c r="G7119" t="s">
        <v>30907</v>
      </c>
      <c r="H7119" t="s">
        <v>30916</v>
      </c>
      <c r="I7119" t="s">
        <v>4108</v>
      </c>
      <c r="J7119" t="s">
        <v>35583</v>
      </c>
      <c r="K7119" t="s">
        <v>40286</v>
      </c>
      <c r="M7119" t="s">
        <v>43174</v>
      </c>
      <c r="N7119" t="s">
        <v>44759</v>
      </c>
      <c r="O7119" t="s">
        <v>44760</v>
      </c>
      <c r="Q7119">
        <v>2</v>
      </c>
      <c r="R7119" t="s">
        <v>44767</v>
      </c>
      <c r="S7119" t="s">
        <v>44959</v>
      </c>
      <c r="T7119" t="s">
        <v>46495</v>
      </c>
      <c r="U7119" t="s">
        <v>52908</v>
      </c>
      <c r="W7119" t="s">
        <v>43174</v>
      </c>
      <c r="X7119" t="s">
        <v>44768</v>
      </c>
    </row>
    <row r="7120" spans="1:24">
      <c r="A7120">
        <f>HYPERLINK("https://www.philgeps.gov.ph/GEPSNONPILOT/Tender/SplashBidNoticeAbstractUI.aspx?menuIndex=3&amp;refID=7143137&amp;Result=3","7143137")</f>
        <v>0</v>
      </c>
      <c r="B7120" t="s">
        <v>1195</v>
      </c>
      <c r="C7120" t="s">
        <v>10516</v>
      </c>
      <c r="D7120" t="s">
        <v>17987</v>
      </c>
      <c r="E7120" t="s">
        <v>24280</v>
      </c>
      <c r="F7120" t="s">
        <v>30900</v>
      </c>
      <c r="G7120" t="s">
        <v>30907</v>
      </c>
      <c r="H7120" t="s">
        <v>30915</v>
      </c>
      <c r="I7120" t="s">
        <v>30919</v>
      </c>
      <c r="J7120" t="s">
        <v>35584</v>
      </c>
      <c r="K7120" t="s">
        <v>40308</v>
      </c>
      <c r="M7120" t="s">
        <v>41806</v>
      </c>
      <c r="N7120" t="s">
        <v>44759</v>
      </c>
      <c r="O7120" t="s">
        <v>44760</v>
      </c>
      <c r="P7120">
        <v>0</v>
      </c>
      <c r="Q7120">
        <v>0</v>
      </c>
      <c r="R7120" t="s">
        <v>44767</v>
      </c>
      <c r="S7120" t="s">
        <v>44954</v>
      </c>
      <c r="T7120" t="s">
        <v>46375</v>
      </c>
      <c r="U7120" t="s">
        <v>52909</v>
      </c>
      <c r="W7120" t="s">
        <v>41806</v>
      </c>
      <c r="X7120" t="s">
        <v>44768</v>
      </c>
    </row>
    <row r="7121" spans="1:24">
      <c r="A7121">
        <f>HYPERLINK("https://www.philgeps.gov.ph/GEPSNONPILOT/Tender/SplashBidNoticeAbstractUI.aspx?menuIndex=3&amp;refID=7143135&amp;Result=3","7143135")</f>
        <v>0</v>
      </c>
      <c r="B7121" t="s">
        <v>2453</v>
      </c>
      <c r="C7121" t="s">
        <v>10517</v>
      </c>
      <c r="D7121" t="s">
        <v>17966</v>
      </c>
      <c r="E7121" t="s">
        <v>24281</v>
      </c>
      <c r="F7121" t="s">
        <v>30899</v>
      </c>
      <c r="G7121" t="s">
        <v>30910</v>
      </c>
      <c r="H7121" t="s">
        <v>30916</v>
      </c>
      <c r="I7121" t="s">
        <v>6396</v>
      </c>
      <c r="J7121" t="s">
        <v>35585</v>
      </c>
      <c r="K7121" t="s">
        <v>40286</v>
      </c>
      <c r="M7121" t="s">
        <v>43190</v>
      </c>
      <c r="N7121" t="s">
        <v>44759</v>
      </c>
      <c r="O7121" t="s">
        <v>44760</v>
      </c>
      <c r="P7121">
        <v>0</v>
      </c>
      <c r="Q7121">
        <v>3</v>
      </c>
      <c r="R7121" t="s">
        <v>44767</v>
      </c>
      <c r="S7121" t="s">
        <v>44954</v>
      </c>
      <c r="T7121" t="s">
        <v>46421</v>
      </c>
      <c r="U7121" t="s">
        <v>52910</v>
      </c>
      <c r="W7121" t="s">
        <v>43190</v>
      </c>
      <c r="X7121" t="s">
        <v>44768</v>
      </c>
    </row>
    <row r="7122" spans="1:24">
      <c r="A7122">
        <f>HYPERLINK("https://www.philgeps.gov.ph/GEPSNONPILOT/Tender/SplashBidNoticeAbstractUI.aspx?menuIndex=3&amp;refID=7143133&amp;Result=3","7143133")</f>
        <v>0</v>
      </c>
      <c r="B7122" t="s">
        <v>2369</v>
      </c>
      <c r="C7122" t="s">
        <v>10518</v>
      </c>
      <c r="D7122" t="s">
        <v>17985</v>
      </c>
      <c r="E7122" t="s">
        <v>24282</v>
      </c>
      <c r="F7122" t="s">
        <v>30900</v>
      </c>
      <c r="G7122" t="s">
        <v>30907</v>
      </c>
      <c r="H7122" t="s">
        <v>30916</v>
      </c>
      <c r="I7122" t="s">
        <v>8123</v>
      </c>
      <c r="J7122" t="s">
        <v>35404</v>
      </c>
      <c r="K7122" t="s">
        <v>40289</v>
      </c>
      <c r="M7122" t="s">
        <v>43095</v>
      </c>
      <c r="N7122" t="s">
        <v>44759</v>
      </c>
      <c r="O7122" t="s">
        <v>44760</v>
      </c>
      <c r="P7122">
        <v>0</v>
      </c>
      <c r="Q7122">
        <v>0</v>
      </c>
      <c r="R7122" t="s">
        <v>44767</v>
      </c>
      <c r="S7122" t="s">
        <v>44954</v>
      </c>
      <c r="T7122" t="s">
        <v>46395</v>
      </c>
      <c r="U7122" t="s">
        <v>52711</v>
      </c>
      <c r="W7122" t="s">
        <v>43095</v>
      </c>
      <c r="X7122" t="s">
        <v>44768</v>
      </c>
    </row>
    <row r="7123" spans="1:24">
      <c r="A7123">
        <f>HYPERLINK("https://www.philgeps.gov.ph/GEPSNONPILOT/Tender/SplashBidNoticeAbstractUI.aspx?menuIndex=3&amp;refID=7143219&amp;Result=3","7143219")</f>
        <v>0</v>
      </c>
      <c r="B7123" t="s">
        <v>597</v>
      </c>
      <c r="C7123" t="s">
        <v>10519</v>
      </c>
      <c r="D7123" t="s">
        <v>17978</v>
      </c>
      <c r="E7123" t="s">
        <v>24283</v>
      </c>
      <c r="F7123" t="s">
        <v>30900</v>
      </c>
      <c r="G7123" t="s">
        <v>30909</v>
      </c>
      <c r="H7123" t="s">
        <v>30916</v>
      </c>
      <c r="I7123" t="s">
        <v>30921</v>
      </c>
      <c r="J7123" t="s">
        <v>35586</v>
      </c>
      <c r="K7123" t="s">
        <v>40283</v>
      </c>
      <c r="M7123" t="s">
        <v>41159</v>
      </c>
      <c r="N7123" t="s">
        <v>44759</v>
      </c>
      <c r="O7123" t="s">
        <v>44760</v>
      </c>
      <c r="P7123">
        <v>0</v>
      </c>
      <c r="Q7123">
        <v>4</v>
      </c>
      <c r="R7123" t="s">
        <v>44767</v>
      </c>
      <c r="S7123" t="s">
        <v>44954</v>
      </c>
      <c r="T7123" t="s">
        <v>46581</v>
      </c>
      <c r="U7123" t="s">
        <v>52911</v>
      </c>
      <c r="W7123" t="s">
        <v>41159</v>
      </c>
      <c r="X7123" t="s">
        <v>44768</v>
      </c>
    </row>
    <row r="7124" spans="1:24">
      <c r="A7124">
        <f>HYPERLINK("https://www.philgeps.gov.ph/GEPSNONPILOT/Tender/SplashBidNoticeAbstractUI.aspx?menuIndex=3&amp;refID=7143126&amp;Result=3","7143126")</f>
        <v>0</v>
      </c>
      <c r="B7124" t="s">
        <v>2360</v>
      </c>
      <c r="C7124" t="s">
        <v>10520</v>
      </c>
      <c r="D7124" t="s">
        <v>17977</v>
      </c>
      <c r="E7124" t="s">
        <v>24284</v>
      </c>
      <c r="F7124" t="s">
        <v>30900</v>
      </c>
      <c r="G7124" t="s">
        <v>30907</v>
      </c>
      <c r="H7124" t="s">
        <v>30916</v>
      </c>
      <c r="I7124" t="s">
        <v>7708</v>
      </c>
      <c r="J7124" t="s">
        <v>35587</v>
      </c>
      <c r="K7124" t="s">
        <v>40280</v>
      </c>
      <c r="M7124" t="s">
        <v>43084</v>
      </c>
      <c r="N7124" t="s">
        <v>44759</v>
      </c>
      <c r="O7124" t="s">
        <v>44760</v>
      </c>
      <c r="P7124">
        <v>0</v>
      </c>
      <c r="Q7124">
        <v>3</v>
      </c>
      <c r="R7124" t="s">
        <v>44767</v>
      </c>
      <c r="S7124" t="s">
        <v>44954</v>
      </c>
      <c r="T7124" t="s">
        <v>46592</v>
      </c>
      <c r="U7124" t="s">
        <v>52750</v>
      </c>
      <c r="V7124" t="s">
        <v>59856</v>
      </c>
      <c r="W7124" t="s">
        <v>43084</v>
      </c>
      <c r="X7124" t="s">
        <v>44768</v>
      </c>
    </row>
    <row r="7125" spans="1:24">
      <c r="A7125">
        <f>HYPERLINK("https://www.philgeps.gov.ph/GEPSNONPILOT/Tender/SplashBidNoticeAbstractUI.aspx?menuIndex=3&amp;refID=7143090&amp;Result=3","7143090")</f>
        <v>0</v>
      </c>
      <c r="B7125" t="s">
        <v>2343</v>
      </c>
      <c r="C7125" t="s">
        <v>10521</v>
      </c>
      <c r="D7125" t="s">
        <v>17973</v>
      </c>
      <c r="E7125" t="s">
        <v>24285</v>
      </c>
      <c r="F7125" t="s">
        <v>30900</v>
      </c>
      <c r="G7125" t="s">
        <v>30909</v>
      </c>
      <c r="H7125" t="s">
        <v>30916</v>
      </c>
      <c r="I7125" t="s">
        <v>8123</v>
      </c>
      <c r="J7125" t="s">
        <v>35588</v>
      </c>
      <c r="K7125" t="s">
        <v>40283</v>
      </c>
      <c r="M7125" t="s">
        <v>43066</v>
      </c>
      <c r="N7125" t="s">
        <v>44759</v>
      </c>
      <c r="O7125" t="s">
        <v>44760</v>
      </c>
      <c r="P7125">
        <v>0</v>
      </c>
      <c r="Q7125">
        <v>0</v>
      </c>
      <c r="R7125" t="s">
        <v>44767</v>
      </c>
      <c r="S7125" t="s">
        <v>44954</v>
      </c>
      <c r="T7125" t="s">
        <v>46533</v>
      </c>
      <c r="U7125" t="s">
        <v>52912</v>
      </c>
      <c r="W7125" t="s">
        <v>43066</v>
      </c>
      <c r="X7125" t="s">
        <v>44768</v>
      </c>
    </row>
    <row r="7126" spans="1:24">
      <c r="A7126">
        <f>HYPERLINK("https://www.philgeps.gov.ph/GEPSNONPILOT/Tender/SplashBidNoticeAbstractUI.aspx?menuIndex=3&amp;refID=7143088&amp;Result=3","7143088")</f>
        <v>0</v>
      </c>
      <c r="B7126" t="s">
        <v>2441</v>
      </c>
      <c r="C7126" t="s">
        <v>10522</v>
      </c>
      <c r="D7126" t="s">
        <v>17975</v>
      </c>
      <c r="E7126" t="s">
        <v>19466</v>
      </c>
      <c r="F7126" t="s">
        <v>30900</v>
      </c>
      <c r="G7126" t="s">
        <v>30907</v>
      </c>
      <c r="H7126" t="s">
        <v>30915</v>
      </c>
      <c r="I7126" t="s">
        <v>30919</v>
      </c>
      <c r="J7126" t="s">
        <v>31152</v>
      </c>
      <c r="K7126" t="s">
        <v>40280</v>
      </c>
      <c r="M7126" t="s">
        <v>43175</v>
      </c>
      <c r="N7126" t="s">
        <v>44759</v>
      </c>
      <c r="O7126" t="s">
        <v>44760</v>
      </c>
      <c r="P7126">
        <v>0</v>
      </c>
      <c r="Q7126">
        <v>0</v>
      </c>
      <c r="R7126" t="s">
        <v>44767</v>
      </c>
      <c r="S7126" t="s">
        <v>44954</v>
      </c>
      <c r="T7126" t="s">
        <v>46632</v>
      </c>
      <c r="U7126" t="s">
        <v>52913</v>
      </c>
      <c r="W7126" t="s">
        <v>43175</v>
      </c>
      <c r="X7126" t="s">
        <v>44768</v>
      </c>
    </row>
    <row r="7127" spans="1:24">
      <c r="A7127">
        <f>HYPERLINK("https://www.philgeps.gov.ph/GEPSNONPILOT/Tender/SplashBidNoticeAbstractUI.aspx?menuIndex=3&amp;refID=7143084&amp;Result=3","7143084")</f>
        <v>0</v>
      </c>
      <c r="B7127" t="s">
        <v>2359</v>
      </c>
      <c r="C7127" t="s">
        <v>10523</v>
      </c>
      <c r="D7127" t="s">
        <v>18022</v>
      </c>
      <c r="E7127" t="s">
        <v>24286</v>
      </c>
      <c r="F7127" t="s">
        <v>30900</v>
      </c>
      <c r="G7127" t="s">
        <v>30907</v>
      </c>
      <c r="H7127" t="s">
        <v>30915</v>
      </c>
      <c r="I7127" t="s">
        <v>30919</v>
      </c>
      <c r="J7127" t="s">
        <v>35589</v>
      </c>
      <c r="K7127" t="s">
        <v>40289</v>
      </c>
      <c r="M7127" t="s">
        <v>43083</v>
      </c>
      <c r="N7127" t="s">
        <v>44759</v>
      </c>
      <c r="O7127" t="s">
        <v>44760</v>
      </c>
      <c r="P7127">
        <v>0</v>
      </c>
      <c r="Q7127">
        <v>1</v>
      </c>
      <c r="R7127" t="s">
        <v>44767</v>
      </c>
      <c r="S7127" t="s">
        <v>44954</v>
      </c>
      <c r="T7127" t="s">
        <v>46495</v>
      </c>
      <c r="U7127" t="s">
        <v>52914</v>
      </c>
      <c r="W7127" t="s">
        <v>60888</v>
      </c>
      <c r="X7127" t="s">
        <v>44768</v>
      </c>
    </row>
    <row r="7128" spans="1:24">
      <c r="A7128">
        <f>HYPERLINK("https://www.philgeps.gov.ph/GEPSNONPILOT/Tender/SplashBidNoticeAbstractUI.aspx?menuIndex=3&amp;refID=7143079&amp;Result=3","7143079")</f>
        <v>0</v>
      </c>
      <c r="B7128" t="s">
        <v>2307</v>
      </c>
      <c r="C7128" t="s">
        <v>10524</v>
      </c>
      <c r="D7128" t="s">
        <v>17955</v>
      </c>
      <c r="E7128" t="s">
        <v>24287</v>
      </c>
      <c r="F7128" t="s">
        <v>30900</v>
      </c>
      <c r="G7128" t="s">
        <v>30907</v>
      </c>
      <c r="H7128" t="s">
        <v>30916</v>
      </c>
      <c r="I7128" t="s">
        <v>4108</v>
      </c>
      <c r="J7128" t="s">
        <v>32487</v>
      </c>
      <c r="K7128" t="s">
        <v>40286</v>
      </c>
      <c r="M7128" t="s">
        <v>43171</v>
      </c>
      <c r="N7128" t="s">
        <v>44759</v>
      </c>
      <c r="O7128" t="s">
        <v>44760</v>
      </c>
      <c r="P7128">
        <v>0</v>
      </c>
      <c r="Q7128">
        <v>6</v>
      </c>
      <c r="R7128" t="s">
        <v>44767</v>
      </c>
      <c r="S7128" t="s">
        <v>44954</v>
      </c>
      <c r="T7128" t="s">
        <v>46616</v>
      </c>
      <c r="U7128" t="s">
        <v>52915</v>
      </c>
      <c r="W7128" t="s">
        <v>43171</v>
      </c>
      <c r="X7128" t="s">
        <v>44768</v>
      </c>
    </row>
    <row r="7129" spans="1:24">
      <c r="A7129">
        <f>HYPERLINK("https://www.philgeps.gov.ph/GEPSNONPILOT/Tender/SplashBidNoticeAbstractUI.aspx?menuIndex=3&amp;refID=7142986&amp;Result=3","7142986")</f>
        <v>0</v>
      </c>
      <c r="B7129" t="s">
        <v>2428</v>
      </c>
      <c r="C7129" t="s">
        <v>10525</v>
      </c>
      <c r="D7129" t="s">
        <v>18002</v>
      </c>
      <c r="E7129" t="s">
        <v>24288</v>
      </c>
      <c r="F7129" t="s">
        <v>30900</v>
      </c>
      <c r="G7129" t="s">
        <v>30908</v>
      </c>
      <c r="H7129" t="s">
        <v>30916</v>
      </c>
      <c r="I7129" t="s">
        <v>8123</v>
      </c>
      <c r="J7129" t="s">
        <v>35590</v>
      </c>
      <c r="K7129" t="s">
        <v>40287</v>
      </c>
      <c r="M7129" t="s">
        <v>43159</v>
      </c>
      <c r="N7129" t="s">
        <v>44759</v>
      </c>
      <c r="O7129" t="s">
        <v>44760</v>
      </c>
      <c r="P7129">
        <v>0</v>
      </c>
      <c r="Q7129">
        <v>3</v>
      </c>
      <c r="R7129" t="s">
        <v>44767</v>
      </c>
      <c r="S7129" t="s">
        <v>44954</v>
      </c>
      <c r="T7129" t="s">
        <v>46658</v>
      </c>
      <c r="U7129" t="s">
        <v>52916</v>
      </c>
      <c r="V7129" t="s">
        <v>59872</v>
      </c>
      <c r="W7129" t="s">
        <v>43159</v>
      </c>
      <c r="X7129" t="s">
        <v>44768</v>
      </c>
    </row>
    <row r="7130" spans="1:24">
      <c r="A7130">
        <f>HYPERLINK("https://www.philgeps.gov.ph/GEPSNONPILOT/Tender/SplashBidNoticeAbstractUI.aspx?menuIndex=3&amp;refID=7142942&amp;Result=3","7142942")</f>
        <v>0</v>
      </c>
      <c r="B7130" t="s">
        <v>2454</v>
      </c>
      <c r="C7130" t="s">
        <v>10526</v>
      </c>
      <c r="D7130" t="s">
        <v>17961</v>
      </c>
      <c r="E7130" t="s">
        <v>24289</v>
      </c>
      <c r="F7130" t="s">
        <v>30900</v>
      </c>
      <c r="G7130" t="s">
        <v>30907</v>
      </c>
      <c r="H7130" t="s">
        <v>30916</v>
      </c>
      <c r="I7130" t="s">
        <v>8123</v>
      </c>
      <c r="J7130" t="s">
        <v>33758</v>
      </c>
      <c r="K7130" t="s">
        <v>40289</v>
      </c>
      <c r="M7130" t="s">
        <v>43191</v>
      </c>
      <c r="N7130" t="s">
        <v>44759</v>
      </c>
      <c r="O7130" t="s">
        <v>44760</v>
      </c>
      <c r="P7130">
        <v>0</v>
      </c>
      <c r="Q7130">
        <v>0</v>
      </c>
      <c r="R7130" t="s">
        <v>44767</v>
      </c>
      <c r="S7130" t="s">
        <v>44954</v>
      </c>
      <c r="T7130" t="s">
        <v>46414</v>
      </c>
      <c r="U7130" t="s">
        <v>52917</v>
      </c>
      <c r="W7130" t="s">
        <v>43191</v>
      </c>
      <c r="X7130" t="s">
        <v>44768</v>
      </c>
    </row>
    <row r="7131" spans="1:24">
      <c r="A7131">
        <f>HYPERLINK("https://www.philgeps.gov.ph/GEPSNONPILOT/Tender/SplashBidNoticeAbstractUI.aspx?menuIndex=3&amp;refID=7142905&amp;Result=3","7142905")</f>
        <v>0</v>
      </c>
      <c r="B7131" t="s">
        <v>2144</v>
      </c>
      <c r="C7131" t="s">
        <v>10527</v>
      </c>
      <c r="D7131" t="s">
        <v>17957</v>
      </c>
      <c r="E7131" t="s">
        <v>18604</v>
      </c>
      <c r="F7131" t="s">
        <v>30900</v>
      </c>
      <c r="G7131" t="s">
        <v>30907</v>
      </c>
      <c r="H7131" t="s">
        <v>30916</v>
      </c>
      <c r="I7131" t="s">
        <v>5501</v>
      </c>
      <c r="J7131" t="s">
        <v>35591</v>
      </c>
      <c r="K7131" t="s">
        <v>40286</v>
      </c>
      <c r="M7131" t="s">
        <v>42847</v>
      </c>
      <c r="N7131" t="s">
        <v>44759</v>
      </c>
      <c r="O7131" t="s">
        <v>44760</v>
      </c>
      <c r="P7131">
        <v>0</v>
      </c>
      <c r="Q7131">
        <v>6</v>
      </c>
      <c r="R7131" t="s">
        <v>44767</v>
      </c>
      <c r="S7131" t="s">
        <v>44954</v>
      </c>
      <c r="T7131" t="s">
        <v>46497</v>
      </c>
      <c r="U7131" t="s">
        <v>52918</v>
      </c>
      <c r="W7131" t="s">
        <v>42847</v>
      </c>
      <c r="X7131" t="s">
        <v>44768</v>
      </c>
    </row>
    <row r="7132" spans="1:24">
      <c r="A7132">
        <f>HYPERLINK("https://www.philgeps.gov.ph/GEPSNONPILOT/Tender/SplashBidNoticeAbstractUI.aspx?menuIndex=3&amp;refID=7142904&amp;Result=3","7142904")</f>
        <v>0</v>
      </c>
      <c r="B7132" t="s">
        <v>2455</v>
      </c>
      <c r="C7132" t="s">
        <v>10528</v>
      </c>
      <c r="E7132" t="s">
        <v>24290</v>
      </c>
      <c r="F7132" t="s">
        <v>30900</v>
      </c>
      <c r="G7132" t="s">
        <v>30908</v>
      </c>
      <c r="H7132" t="s">
        <v>30917</v>
      </c>
      <c r="I7132" t="s">
        <v>10602</v>
      </c>
      <c r="J7132" t="s">
        <v>33070</v>
      </c>
      <c r="K7132" t="s">
        <v>40282</v>
      </c>
      <c r="M7132" t="s">
        <v>43192</v>
      </c>
      <c r="N7132" t="s">
        <v>44759</v>
      </c>
      <c r="O7132" t="s">
        <v>44760</v>
      </c>
      <c r="P7132">
        <v>0</v>
      </c>
      <c r="Q7132">
        <v>1</v>
      </c>
      <c r="R7132" t="s">
        <v>44767</v>
      </c>
      <c r="S7132" t="s">
        <v>44954</v>
      </c>
      <c r="T7132" t="s">
        <v>46533</v>
      </c>
      <c r="U7132" t="s">
        <v>52919</v>
      </c>
      <c r="W7132" t="s">
        <v>43192</v>
      </c>
      <c r="X7132" t="s">
        <v>44768</v>
      </c>
    </row>
    <row r="7133" spans="1:24">
      <c r="A7133">
        <f>HYPERLINK("https://www.philgeps.gov.ph/GEPSNONPILOT/Tender/SplashBidNoticeAbstractUI.aspx?menuIndex=3&amp;refID=7142903&amp;Result=3","7142903")</f>
        <v>0</v>
      </c>
      <c r="B7133" t="s">
        <v>2430</v>
      </c>
      <c r="C7133" t="s">
        <v>10529</v>
      </c>
      <c r="D7133" t="s">
        <v>17979</v>
      </c>
      <c r="E7133" t="s">
        <v>24291</v>
      </c>
      <c r="F7133" t="s">
        <v>30900</v>
      </c>
      <c r="G7133" t="s">
        <v>30908</v>
      </c>
      <c r="H7133" t="s">
        <v>30916</v>
      </c>
      <c r="I7133" t="s">
        <v>9385</v>
      </c>
      <c r="J7133" t="s">
        <v>35592</v>
      </c>
      <c r="K7133" t="s">
        <v>40287</v>
      </c>
      <c r="M7133" t="s">
        <v>43161</v>
      </c>
      <c r="N7133" t="s">
        <v>44759</v>
      </c>
      <c r="O7133" t="s">
        <v>44760</v>
      </c>
      <c r="P7133">
        <v>0</v>
      </c>
      <c r="Q7133">
        <v>16</v>
      </c>
      <c r="R7133" t="s">
        <v>44767</v>
      </c>
      <c r="S7133" t="s">
        <v>44954</v>
      </c>
      <c r="T7133" t="s">
        <v>46398</v>
      </c>
      <c r="U7133" t="s">
        <v>52817</v>
      </c>
      <c r="W7133" t="s">
        <v>43161</v>
      </c>
      <c r="X7133" t="s">
        <v>44768</v>
      </c>
    </row>
    <row r="7134" spans="1:24">
      <c r="A7134">
        <f>HYPERLINK("https://www.philgeps.gov.ph/GEPSNONPILOT/Tender/SplashBidNoticeAbstractUI.aspx?menuIndex=3&amp;refID=7142865&amp;Result=3","7142865")</f>
        <v>0</v>
      </c>
      <c r="B7134" t="s">
        <v>1595</v>
      </c>
      <c r="C7134" t="s">
        <v>10530</v>
      </c>
      <c r="D7134" t="s">
        <v>17962</v>
      </c>
      <c r="E7134" t="s">
        <v>24292</v>
      </c>
      <c r="F7134" t="s">
        <v>30900</v>
      </c>
      <c r="G7134" t="s">
        <v>30908</v>
      </c>
      <c r="H7134" t="s">
        <v>30916</v>
      </c>
      <c r="I7134" t="s">
        <v>8123</v>
      </c>
      <c r="J7134" t="s">
        <v>35593</v>
      </c>
      <c r="K7134" t="s">
        <v>40283</v>
      </c>
      <c r="M7134" t="s">
        <v>42244</v>
      </c>
      <c r="N7134" t="s">
        <v>44759</v>
      </c>
      <c r="O7134" t="s">
        <v>44760</v>
      </c>
      <c r="P7134">
        <v>0</v>
      </c>
      <c r="Q7134">
        <v>0</v>
      </c>
      <c r="R7134" t="s">
        <v>44767</v>
      </c>
      <c r="S7134" t="s">
        <v>44954</v>
      </c>
      <c r="T7134" t="s">
        <v>46625</v>
      </c>
      <c r="U7134" t="s">
        <v>52767</v>
      </c>
      <c r="W7134" t="s">
        <v>42244</v>
      </c>
      <c r="X7134" t="s">
        <v>44768</v>
      </c>
    </row>
    <row r="7135" spans="1:24">
      <c r="A7135">
        <f>HYPERLINK("https://www.philgeps.gov.ph/GEPSNONPILOT/Tender/SplashBidNoticeAbstractUI.aspx?menuIndex=3&amp;refID=7143123&amp;Result=3","7143123")</f>
        <v>0</v>
      </c>
      <c r="B7135" t="s">
        <v>2359</v>
      </c>
      <c r="C7135" t="s">
        <v>10531</v>
      </c>
      <c r="D7135" t="s">
        <v>18022</v>
      </c>
      <c r="E7135" t="s">
        <v>24293</v>
      </c>
      <c r="F7135" t="s">
        <v>30900</v>
      </c>
      <c r="G7135" t="s">
        <v>30907</v>
      </c>
      <c r="H7135" t="s">
        <v>30915</v>
      </c>
      <c r="I7135" t="s">
        <v>30919</v>
      </c>
      <c r="J7135" t="s">
        <v>35594</v>
      </c>
      <c r="K7135" t="s">
        <v>40289</v>
      </c>
      <c r="M7135" t="s">
        <v>43083</v>
      </c>
      <c r="N7135" t="s">
        <v>44759</v>
      </c>
      <c r="O7135" t="s">
        <v>44760</v>
      </c>
      <c r="P7135">
        <v>0</v>
      </c>
      <c r="Q7135">
        <v>1</v>
      </c>
      <c r="R7135" t="s">
        <v>44767</v>
      </c>
      <c r="S7135" t="s">
        <v>44954</v>
      </c>
      <c r="T7135" t="s">
        <v>46495</v>
      </c>
      <c r="U7135" t="s">
        <v>52920</v>
      </c>
      <c r="W7135" t="s">
        <v>60888</v>
      </c>
      <c r="X7135" t="s">
        <v>44768</v>
      </c>
    </row>
    <row r="7136" spans="1:24">
      <c r="A7136">
        <f>HYPERLINK("https://www.philgeps.gov.ph/GEPSNONPILOT/Tender/SplashBidNoticeAbstractUI.aspx?menuIndex=3&amp;refID=7142864&amp;Result=3","7142864")</f>
        <v>0</v>
      </c>
      <c r="B7136" t="s">
        <v>704</v>
      </c>
      <c r="C7136" t="s">
        <v>10532</v>
      </c>
      <c r="D7136" t="s">
        <v>17987</v>
      </c>
      <c r="E7136" t="s">
        <v>24294</v>
      </c>
      <c r="F7136" t="s">
        <v>30900</v>
      </c>
      <c r="G7136" t="s">
        <v>30908</v>
      </c>
      <c r="H7136" t="s">
        <v>30916</v>
      </c>
      <c r="I7136" t="s">
        <v>30949</v>
      </c>
      <c r="J7136" t="s">
        <v>35595</v>
      </c>
      <c r="K7136" t="s">
        <v>40283</v>
      </c>
      <c r="M7136" t="s">
        <v>42242</v>
      </c>
      <c r="N7136" t="s">
        <v>44759</v>
      </c>
      <c r="O7136" t="s">
        <v>44760</v>
      </c>
      <c r="P7136">
        <v>0</v>
      </c>
      <c r="Q7136">
        <v>0</v>
      </c>
      <c r="R7136" t="s">
        <v>44767</v>
      </c>
      <c r="S7136" t="s">
        <v>44954</v>
      </c>
      <c r="T7136" t="s">
        <v>46410</v>
      </c>
      <c r="U7136" t="s">
        <v>52921</v>
      </c>
      <c r="W7136" t="s">
        <v>42242</v>
      </c>
      <c r="X7136" t="s">
        <v>44768</v>
      </c>
    </row>
    <row r="7137" spans="1:24">
      <c r="A7137">
        <f>HYPERLINK("https://www.philgeps.gov.ph/GEPSNONPILOT/Tender/SplashBidNoticeAbstractUI.aspx?menuIndex=3&amp;refID=7142862&amp;Result=3","7142862")</f>
        <v>0</v>
      </c>
      <c r="B7137" t="s">
        <v>1363</v>
      </c>
      <c r="C7137" t="s">
        <v>10533</v>
      </c>
      <c r="D7137" t="s">
        <v>18018</v>
      </c>
      <c r="E7137" t="s">
        <v>19963</v>
      </c>
      <c r="F7137" t="s">
        <v>30900</v>
      </c>
      <c r="G7137" t="s">
        <v>30907</v>
      </c>
      <c r="H7137" t="s">
        <v>30915</v>
      </c>
      <c r="I7137" t="s">
        <v>30919</v>
      </c>
      <c r="J7137" t="s">
        <v>35229</v>
      </c>
      <c r="K7137" t="s">
        <v>40280</v>
      </c>
      <c r="M7137" t="s">
        <v>41985</v>
      </c>
      <c r="N7137" t="s">
        <v>44759</v>
      </c>
      <c r="O7137" t="s">
        <v>44760</v>
      </c>
      <c r="P7137">
        <v>0</v>
      </c>
      <c r="Q7137">
        <v>0</v>
      </c>
      <c r="R7137" t="s">
        <v>44767</v>
      </c>
      <c r="S7137" t="s">
        <v>44954</v>
      </c>
      <c r="T7137" t="s">
        <v>46689</v>
      </c>
      <c r="U7137" t="s">
        <v>52922</v>
      </c>
      <c r="V7137" t="s">
        <v>59481</v>
      </c>
      <c r="W7137" t="s">
        <v>41985</v>
      </c>
      <c r="X7137" t="s">
        <v>44768</v>
      </c>
    </row>
    <row r="7138" spans="1:24">
      <c r="A7138">
        <f>HYPERLINK("https://www.philgeps.gov.ph/GEPSNONPILOT/Tender/SplashBidNoticeAbstractUI.aspx?menuIndex=3&amp;refID=7142906&amp;Result=3","7142906")</f>
        <v>0</v>
      </c>
      <c r="B7138" t="s">
        <v>2456</v>
      </c>
      <c r="C7138" t="s">
        <v>10534</v>
      </c>
      <c r="D7138" t="s">
        <v>17998</v>
      </c>
      <c r="E7138" t="s">
        <v>24295</v>
      </c>
      <c r="F7138" t="s">
        <v>30900</v>
      </c>
      <c r="G7138" t="s">
        <v>30907</v>
      </c>
      <c r="H7138" t="s">
        <v>30916</v>
      </c>
      <c r="I7138" t="s">
        <v>30922</v>
      </c>
      <c r="J7138" t="s">
        <v>35596</v>
      </c>
      <c r="K7138" t="s">
        <v>40284</v>
      </c>
      <c r="M7138" t="s">
        <v>43193</v>
      </c>
      <c r="N7138" t="s">
        <v>44759</v>
      </c>
      <c r="O7138" t="s">
        <v>44760</v>
      </c>
      <c r="P7138">
        <v>0</v>
      </c>
      <c r="Q7138">
        <v>0</v>
      </c>
      <c r="R7138" t="s">
        <v>44767</v>
      </c>
      <c r="S7138" t="s">
        <v>44954</v>
      </c>
      <c r="T7138" t="s">
        <v>46428</v>
      </c>
      <c r="U7138" t="s">
        <v>52923</v>
      </c>
      <c r="W7138" t="s">
        <v>43193</v>
      </c>
      <c r="X7138" t="s">
        <v>44768</v>
      </c>
    </row>
    <row r="7139" spans="1:24">
      <c r="A7139">
        <f>HYPERLINK("https://www.philgeps.gov.ph/GEPSNONPILOT/Tender/SplashBidNoticeAbstractUI.aspx?menuIndex=3&amp;refID=7143134&amp;Result=3","7143134")</f>
        <v>0</v>
      </c>
      <c r="B7139" t="s">
        <v>869</v>
      </c>
      <c r="C7139" t="s">
        <v>10535</v>
      </c>
      <c r="D7139" t="s">
        <v>17988</v>
      </c>
      <c r="E7139" t="s">
        <v>24296</v>
      </c>
      <c r="F7139" t="s">
        <v>30900</v>
      </c>
      <c r="G7139" t="s">
        <v>30907</v>
      </c>
      <c r="H7139" t="s">
        <v>30916</v>
      </c>
      <c r="I7139" t="s">
        <v>30926</v>
      </c>
      <c r="J7139" t="s">
        <v>35597</v>
      </c>
      <c r="K7139" t="s">
        <v>40287</v>
      </c>
      <c r="M7139" t="s">
        <v>42655</v>
      </c>
      <c r="N7139" t="s">
        <v>44759</v>
      </c>
      <c r="O7139" t="s">
        <v>44760</v>
      </c>
      <c r="P7139">
        <v>0</v>
      </c>
      <c r="Q7139">
        <v>0</v>
      </c>
      <c r="R7139" t="s">
        <v>44767</v>
      </c>
      <c r="S7139" t="s">
        <v>44954</v>
      </c>
      <c r="T7139" t="s">
        <v>46623</v>
      </c>
      <c r="U7139" t="s">
        <v>52924</v>
      </c>
      <c r="W7139" t="s">
        <v>42655</v>
      </c>
      <c r="X7139" t="s">
        <v>44768</v>
      </c>
    </row>
    <row r="7140" spans="1:24">
      <c r="A7140">
        <f>HYPERLINK("https://www.philgeps.gov.ph/GEPSNONPILOT/Tender/SplashBidNoticeAbstractUI.aspx?menuIndex=3&amp;refID=7143043&amp;Result=3","7143043")</f>
        <v>0</v>
      </c>
      <c r="B7140" t="s">
        <v>243</v>
      </c>
      <c r="C7140" t="s">
        <v>10536</v>
      </c>
      <c r="D7140" t="s">
        <v>17999</v>
      </c>
      <c r="E7140" t="s">
        <v>24297</v>
      </c>
      <c r="F7140" t="s">
        <v>30900</v>
      </c>
      <c r="G7140" t="s">
        <v>30908</v>
      </c>
      <c r="H7140" t="s">
        <v>30916</v>
      </c>
      <c r="I7140" t="s">
        <v>4108</v>
      </c>
      <c r="J7140" t="s">
        <v>34743</v>
      </c>
      <c r="K7140" t="s">
        <v>40286</v>
      </c>
      <c r="M7140" t="s">
        <v>40790</v>
      </c>
      <c r="N7140" t="s">
        <v>44759</v>
      </c>
      <c r="O7140" t="s">
        <v>44760</v>
      </c>
      <c r="P7140">
        <v>0</v>
      </c>
      <c r="Q7140">
        <v>9</v>
      </c>
      <c r="R7140" t="s">
        <v>44767</v>
      </c>
      <c r="S7140" t="s">
        <v>44954</v>
      </c>
      <c r="T7140" t="s">
        <v>46454</v>
      </c>
      <c r="U7140" t="s">
        <v>52925</v>
      </c>
      <c r="V7140" t="s">
        <v>59845</v>
      </c>
      <c r="W7140" t="s">
        <v>60887</v>
      </c>
      <c r="X7140" t="s">
        <v>44768</v>
      </c>
    </row>
    <row r="7141" spans="1:24">
      <c r="A7141">
        <f>HYPERLINK("https://www.philgeps.gov.ph/GEPSNONPILOT/Tender/SplashBidNoticeAbstractUI.aspx?menuIndex=3&amp;refID=7142902&amp;Result=3","7142902")</f>
        <v>0</v>
      </c>
      <c r="B7141" t="s">
        <v>2457</v>
      </c>
      <c r="C7141" t="s">
        <v>10537</v>
      </c>
      <c r="D7141" t="s">
        <v>17978</v>
      </c>
      <c r="E7141" t="s">
        <v>24298</v>
      </c>
      <c r="F7141" t="s">
        <v>30900</v>
      </c>
      <c r="G7141" t="s">
        <v>30908</v>
      </c>
      <c r="H7141" t="s">
        <v>30916</v>
      </c>
      <c r="I7141" t="s">
        <v>8123</v>
      </c>
      <c r="J7141" t="s">
        <v>31077</v>
      </c>
      <c r="K7141" t="s">
        <v>40284</v>
      </c>
      <c r="M7141" t="s">
        <v>43194</v>
      </c>
      <c r="N7141" t="s">
        <v>44759</v>
      </c>
      <c r="O7141" t="s">
        <v>44760</v>
      </c>
      <c r="P7141">
        <v>0</v>
      </c>
      <c r="Q7141">
        <v>0</v>
      </c>
      <c r="R7141" t="s">
        <v>44767</v>
      </c>
      <c r="S7141" t="s">
        <v>44954</v>
      </c>
      <c r="T7141" t="s">
        <v>46374</v>
      </c>
      <c r="U7141" t="s">
        <v>52926</v>
      </c>
      <c r="W7141" t="s">
        <v>43194</v>
      </c>
      <c r="X7141" t="s">
        <v>44768</v>
      </c>
    </row>
    <row r="7142" spans="1:24">
      <c r="A7142">
        <f>HYPERLINK("https://www.philgeps.gov.ph/GEPSNONPILOT/Tender/SplashBidNoticeAbstractUI.aspx?menuIndex=3&amp;refID=7143061&amp;Result=3","7143061")</f>
        <v>0</v>
      </c>
      <c r="B7142" t="s">
        <v>2458</v>
      </c>
      <c r="C7142" t="s">
        <v>10538</v>
      </c>
      <c r="D7142" t="s">
        <v>17962</v>
      </c>
      <c r="E7142" t="s">
        <v>24201</v>
      </c>
      <c r="F7142" t="s">
        <v>30900</v>
      </c>
      <c r="G7142" t="s">
        <v>30907</v>
      </c>
      <c r="H7142" t="s">
        <v>30915</v>
      </c>
      <c r="I7142" t="s">
        <v>30919</v>
      </c>
      <c r="J7142" t="s">
        <v>35598</v>
      </c>
      <c r="K7142" t="s">
        <v>40287</v>
      </c>
      <c r="M7142" t="s">
        <v>43195</v>
      </c>
      <c r="N7142" t="s">
        <v>44759</v>
      </c>
      <c r="O7142" t="s">
        <v>44760</v>
      </c>
      <c r="P7142">
        <v>0</v>
      </c>
      <c r="Q7142">
        <v>0</v>
      </c>
      <c r="R7142" t="s">
        <v>44767</v>
      </c>
      <c r="S7142" t="s">
        <v>44954</v>
      </c>
      <c r="T7142" t="s">
        <v>46533</v>
      </c>
      <c r="U7142" t="s">
        <v>52927</v>
      </c>
      <c r="W7142" t="s">
        <v>43195</v>
      </c>
      <c r="X7142" t="s">
        <v>44768</v>
      </c>
    </row>
    <row r="7143" spans="1:24">
      <c r="A7143">
        <f>HYPERLINK("https://www.philgeps.gov.ph/GEPSNONPILOT/Tender/SplashBidNoticeAbstractUI.aspx?menuIndex=3&amp;refID=7143227&amp;Result=3","7143227")</f>
        <v>0</v>
      </c>
      <c r="B7143" t="s">
        <v>2459</v>
      </c>
      <c r="C7143" t="s">
        <v>10539</v>
      </c>
      <c r="D7143" t="s">
        <v>18001</v>
      </c>
      <c r="E7143" t="s">
        <v>21661</v>
      </c>
      <c r="F7143" t="s">
        <v>30900</v>
      </c>
      <c r="G7143" t="s">
        <v>30908</v>
      </c>
      <c r="H7143" t="s">
        <v>30916</v>
      </c>
      <c r="I7143" t="s">
        <v>8123</v>
      </c>
      <c r="J7143" t="s">
        <v>35599</v>
      </c>
      <c r="K7143" t="s">
        <v>40287</v>
      </c>
      <c r="M7143" t="s">
        <v>43196</v>
      </c>
      <c r="N7143" t="s">
        <v>44759</v>
      </c>
      <c r="O7143" t="s">
        <v>44760</v>
      </c>
      <c r="P7143">
        <v>0</v>
      </c>
      <c r="Q7143">
        <v>1</v>
      </c>
      <c r="R7143" t="s">
        <v>44767</v>
      </c>
      <c r="S7143" t="s">
        <v>44954</v>
      </c>
      <c r="T7143" t="s">
        <v>46533</v>
      </c>
      <c r="U7143" t="s">
        <v>52928</v>
      </c>
      <c r="V7143" t="s">
        <v>59884</v>
      </c>
      <c r="W7143" t="s">
        <v>43196</v>
      </c>
      <c r="X7143" t="s">
        <v>44768</v>
      </c>
    </row>
    <row r="7144" spans="1:24">
      <c r="A7144">
        <f>HYPERLINK("https://www.philgeps.gov.ph/GEPSNONPILOT/Tender/SplashBidNoticeAbstractUI.aspx?menuIndex=3&amp;refID=7143269&amp;Result=3","7143269")</f>
        <v>0</v>
      </c>
      <c r="B7144" t="s">
        <v>2460</v>
      </c>
      <c r="C7144" t="s">
        <v>10540</v>
      </c>
      <c r="D7144" t="s">
        <v>17953</v>
      </c>
      <c r="E7144" t="s">
        <v>20674</v>
      </c>
      <c r="F7144" t="s">
        <v>30900</v>
      </c>
      <c r="G7144" t="s">
        <v>30908</v>
      </c>
      <c r="H7144" t="s">
        <v>30916</v>
      </c>
      <c r="I7144" t="s">
        <v>8123</v>
      </c>
      <c r="J7144" t="s">
        <v>31049</v>
      </c>
      <c r="K7144" t="s">
        <v>40289</v>
      </c>
      <c r="M7144" t="s">
        <v>43197</v>
      </c>
      <c r="N7144" t="s">
        <v>44759</v>
      </c>
      <c r="O7144" t="s">
        <v>44760</v>
      </c>
      <c r="P7144">
        <v>0</v>
      </c>
      <c r="Q7144">
        <v>1</v>
      </c>
      <c r="R7144" t="s">
        <v>44767</v>
      </c>
      <c r="S7144" t="s">
        <v>44954</v>
      </c>
      <c r="T7144" t="s">
        <v>46414</v>
      </c>
      <c r="U7144" t="s">
        <v>52929</v>
      </c>
      <c r="W7144" t="s">
        <v>43197</v>
      </c>
      <c r="X7144" t="s">
        <v>44768</v>
      </c>
    </row>
    <row r="7145" spans="1:24">
      <c r="A7145">
        <f>HYPERLINK("https://www.philgeps.gov.ph/GEPSNONPILOT/Tender/SplashBidNoticeAbstractUI.aspx?menuIndex=3&amp;refID=7143256&amp;Result=3","7143256")</f>
        <v>0</v>
      </c>
      <c r="B7145" t="s">
        <v>2451</v>
      </c>
      <c r="C7145" t="s">
        <v>10541</v>
      </c>
      <c r="D7145" t="s">
        <v>17985</v>
      </c>
      <c r="E7145" t="s">
        <v>24299</v>
      </c>
      <c r="F7145" t="s">
        <v>30900</v>
      </c>
      <c r="G7145" t="s">
        <v>30907</v>
      </c>
      <c r="H7145" t="s">
        <v>30915</v>
      </c>
      <c r="I7145" t="s">
        <v>30919</v>
      </c>
      <c r="J7145" t="s">
        <v>35600</v>
      </c>
      <c r="K7145" t="s">
        <v>40301</v>
      </c>
      <c r="M7145" t="s">
        <v>43188</v>
      </c>
      <c r="N7145" t="s">
        <v>44759</v>
      </c>
      <c r="O7145" t="s">
        <v>44760</v>
      </c>
      <c r="P7145">
        <v>0</v>
      </c>
      <c r="Q7145">
        <v>1</v>
      </c>
      <c r="R7145" t="s">
        <v>44767</v>
      </c>
      <c r="S7145" t="s">
        <v>44954</v>
      </c>
      <c r="T7145" t="s">
        <v>46350</v>
      </c>
      <c r="U7145" t="s">
        <v>52930</v>
      </c>
      <c r="V7145" t="s">
        <v>59882</v>
      </c>
      <c r="W7145" t="s">
        <v>43188</v>
      </c>
      <c r="X7145" t="s">
        <v>44768</v>
      </c>
    </row>
    <row r="7146" spans="1:24">
      <c r="A7146">
        <f>HYPERLINK("https://www.philgeps.gov.ph/GEPSNONPILOT/Tender/SplashBidNoticeAbstractUI.aspx?menuIndex=3&amp;refID=7143255&amp;Result=3","7143255")</f>
        <v>0</v>
      </c>
      <c r="B7146" t="s">
        <v>2359</v>
      </c>
      <c r="C7146" t="s">
        <v>10542</v>
      </c>
      <c r="D7146" t="s">
        <v>18022</v>
      </c>
      <c r="E7146" t="s">
        <v>24300</v>
      </c>
      <c r="F7146" t="s">
        <v>30900</v>
      </c>
      <c r="G7146" t="s">
        <v>30907</v>
      </c>
      <c r="H7146" t="s">
        <v>30915</v>
      </c>
      <c r="I7146" t="s">
        <v>30919</v>
      </c>
      <c r="J7146" t="s">
        <v>35601</v>
      </c>
      <c r="K7146" t="s">
        <v>40289</v>
      </c>
      <c r="M7146" t="s">
        <v>43083</v>
      </c>
      <c r="N7146" t="s">
        <v>44759</v>
      </c>
      <c r="O7146" t="s">
        <v>44760</v>
      </c>
      <c r="P7146">
        <v>0</v>
      </c>
      <c r="Q7146">
        <v>1</v>
      </c>
      <c r="R7146" t="s">
        <v>44767</v>
      </c>
      <c r="S7146" t="s">
        <v>44954</v>
      </c>
      <c r="T7146" t="s">
        <v>46495</v>
      </c>
      <c r="U7146" t="s">
        <v>52931</v>
      </c>
      <c r="W7146" t="s">
        <v>60888</v>
      </c>
      <c r="X7146" t="s">
        <v>44768</v>
      </c>
    </row>
    <row r="7147" spans="1:24">
      <c r="A7147">
        <f>HYPERLINK("https://www.philgeps.gov.ph/GEPSNONPILOT/Tender/SplashBidNoticeAbstractUI.aspx?menuIndex=3&amp;refID=7143262&amp;Result=3","7143262")</f>
        <v>0</v>
      </c>
      <c r="B7147" t="s">
        <v>538</v>
      </c>
      <c r="C7147" t="s">
        <v>10543</v>
      </c>
      <c r="D7147" t="s">
        <v>18002</v>
      </c>
      <c r="E7147" t="s">
        <v>24301</v>
      </c>
      <c r="F7147" t="s">
        <v>30900</v>
      </c>
      <c r="G7147" t="s">
        <v>30909</v>
      </c>
      <c r="H7147" t="s">
        <v>30916</v>
      </c>
      <c r="I7147" t="s">
        <v>8123</v>
      </c>
      <c r="J7147" t="s">
        <v>35602</v>
      </c>
      <c r="K7147" t="s">
        <v>40289</v>
      </c>
      <c r="M7147" t="s">
        <v>41098</v>
      </c>
      <c r="N7147" t="s">
        <v>44759</v>
      </c>
      <c r="O7147" t="s">
        <v>44760</v>
      </c>
      <c r="P7147">
        <v>0</v>
      </c>
      <c r="Q7147">
        <v>1</v>
      </c>
      <c r="R7147" t="s">
        <v>44767</v>
      </c>
      <c r="S7147" t="s">
        <v>44954</v>
      </c>
      <c r="T7147" t="s">
        <v>46541</v>
      </c>
      <c r="U7147" t="s">
        <v>52932</v>
      </c>
      <c r="W7147" t="s">
        <v>41098</v>
      </c>
      <c r="X7147" t="s">
        <v>44768</v>
      </c>
    </row>
    <row r="7148" spans="1:24">
      <c r="A7148">
        <f>HYPERLINK("https://www.philgeps.gov.ph/GEPSNONPILOT/Tender/SplashBidNoticeAbstractUI.aspx?menuIndex=3&amp;refID=7143252&amp;Result=3","7143252")</f>
        <v>0</v>
      </c>
      <c r="B7148" t="s">
        <v>2369</v>
      </c>
      <c r="C7148" t="s">
        <v>10544</v>
      </c>
      <c r="D7148" t="s">
        <v>17985</v>
      </c>
      <c r="E7148" t="s">
        <v>24302</v>
      </c>
      <c r="F7148" t="s">
        <v>30900</v>
      </c>
      <c r="G7148" t="s">
        <v>30907</v>
      </c>
      <c r="H7148" t="s">
        <v>30916</v>
      </c>
      <c r="I7148" t="s">
        <v>8123</v>
      </c>
      <c r="J7148" t="s">
        <v>31288</v>
      </c>
      <c r="K7148" t="s">
        <v>40289</v>
      </c>
      <c r="M7148" t="s">
        <v>43095</v>
      </c>
      <c r="N7148" t="s">
        <v>44759</v>
      </c>
      <c r="O7148" t="s">
        <v>44760</v>
      </c>
      <c r="P7148">
        <v>0</v>
      </c>
      <c r="Q7148">
        <v>0</v>
      </c>
      <c r="R7148" t="s">
        <v>44767</v>
      </c>
      <c r="S7148" t="s">
        <v>44954</v>
      </c>
      <c r="T7148" t="s">
        <v>46395</v>
      </c>
      <c r="U7148" t="s">
        <v>52933</v>
      </c>
      <c r="W7148" t="s">
        <v>43095</v>
      </c>
      <c r="X7148" t="s">
        <v>44768</v>
      </c>
    </row>
    <row r="7149" spans="1:24">
      <c r="A7149">
        <f>HYPERLINK("https://www.philgeps.gov.ph/GEPSNONPILOT/Tender/SplashBidNoticeAbstractUI.aspx?menuIndex=3&amp;refID=7143225&amp;Result=3","7143225")</f>
        <v>0</v>
      </c>
      <c r="B7149" t="s">
        <v>2439</v>
      </c>
      <c r="C7149" t="s">
        <v>10545</v>
      </c>
      <c r="D7149" t="s">
        <v>17980</v>
      </c>
      <c r="E7149" t="s">
        <v>24303</v>
      </c>
      <c r="F7149" t="s">
        <v>30900</v>
      </c>
      <c r="G7149" t="s">
        <v>30907</v>
      </c>
      <c r="H7149" t="s">
        <v>30916</v>
      </c>
      <c r="I7149" t="s">
        <v>10602</v>
      </c>
      <c r="J7149" t="s">
        <v>31355</v>
      </c>
      <c r="K7149" t="s">
        <v>40286</v>
      </c>
      <c r="M7149" t="s">
        <v>43170</v>
      </c>
      <c r="N7149" t="s">
        <v>44759</v>
      </c>
      <c r="O7149" t="s">
        <v>44760</v>
      </c>
      <c r="P7149">
        <v>0</v>
      </c>
      <c r="Q7149">
        <v>0</v>
      </c>
      <c r="R7149" t="s">
        <v>44767</v>
      </c>
      <c r="S7149" t="s">
        <v>44954</v>
      </c>
      <c r="T7149" t="s">
        <v>46730</v>
      </c>
      <c r="U7149" t="s">
        <v>52853</v>
      </c>
      <c r="V7149" t="s">
        <v>59876</v>
      </c>
      <c r="W7149" t="s">
        <v>43170</v>
      </c>
      <c r="X7149" t="s">
        <v>44768</v>
      </c>
    </row>
    <row r="7150" spans="1:24">
      <c r="A7150">
        <f>HYPERLINK("https://www.philgeps.gov.ph/GEPSNONPILOT/Tender/SplashBidNoticeAbstractUI.aspx?menuIndex=3&amp;refID=7143249&amp;Result=3","7143249")</f>
        <v>0</v>
      </c>
      <c r="B7150" t="s">
        <v>1276</v>
      </c>
      <c r="C7150" t="s">
        <v>10546</v>
      </c>
      <c r="D7150" t="s">
        <v>17962</v>
      </c>
      <c r="E7150" t="s">
        <v>24304</v>
      </c>
      <c r="F7150" t="s">
        <v>30900</v>
      </c>
      <c r="G7150" t="s">
        <v>30909</v>
      </c>
      <c r="H7150" t="s">
        <v>30916</v>
      </c>
      <c r="I7150" t="s">
        <v>4050</v>
      </c>
      <c r="J7150" t="s">
        <v>33894</v>
      </c>
      <c r="K7150" t="s">
        <v>40289</v>
      </c>
      <c r="M7150" t="s">
        <v>41892</v>
      </c>
      <c r="N7150" t="s">
        <v>44759</v>
      </c>
      <c r="O7150" t="s">
        <v>44760</v>
      </c>
      <c r="P7150">
        <v>0</v>
      </c>
      <c r="Q7150">
        <v>6</v>
      </c>
      <c r="R7150" t="s">
        <v>44767</v>
      </c>
      <c r="S7150" t="s">
        <v>44954</v>
      </c>
      <c r="T7150" t="s">
        <v>46410</v>
      </c>
      <c r="U7150" t="s">
        <v>52934</v>
      </c>
      <c r="W7150" t="s">
        <v>41892</v>
      </c>
      <c r="X7150" t="s">
        <v>44768</v>
      </c>
    </row>
    <row r="7151" spans="1:24">
      <c r="A7151">
        <f>HYPERLINK("https://www.philgeps.gov.ph/GEPSNONPILOT/Tender/SplashBidNoticeAbstractUI.aspx?menuIndex=3&amp;refID=7143251&amp;Result=3","7143251")</f>
        <v>0</v>
      </c>
      <c r="B7151" t="s">
        <v>538</v>
      </c>
      <c r="C7151" t="s">
        <v>10547</v>
      </c>
      <c r="D7151" t="s">
        <v>18002</v>
      </c>
      <c r="E7151" t="s">
        <v>24305</v>
      </c>
      <c r="F7151" t="s">
        <v>30900</v>
      </c>
      <c r="G7151" t="s">
        <v>30909</v>
      </c>
      <c r="H7151" t="s">
        <v>30916</v>
      </c>
      <c r="I7151" t="s">
        <v>8123</v>
      </c>
      <c r="J7151" t="s">
        <v>35602</v>
      </c>
      <c r="K7151" t="s">
        <v>40289</v>
      </c>
      <c r="M7151" t="s">
        <v>41098</v>
      </c>
      <c r="N7151" t="s">
        <v>44759</v>
      </c>
      <c r="O7151" t="s">
        <v>44760</v>
      </c>
      <c r="P7151">
        <v>0</v>
      </c>
      <c r="Q7151">
        <v>1</v>
      </c>
      <c r="R7151" t="s">
        <v>44767</v>
      </c>
      <c r="S7151" t="s">
        <v>44954</v>
      </c>
      <c r="T7151" t="s">
        <v>46541</v>
      </c>
      <c r="U7151" t="s">
        <v>52935</v>
      </c>
      <c r="W7151" t="s">
        <v>41098</v>
      </c>
      <c r="X7151" t="s">
        <v>44768</v>
      </c>
    </row>
    <row r="7152" spans="1:24">
      <c r="A7152">
        <f>HYPERLINK("https://www.philgeps.gov.ph/GEPSNONPILOT/Tender/SplashBidNoticeAbstractUI.aspx?menuIndex=3&amp;refID=7143275&amp;Result=3","7143275")</f>
        <v>0</v>
      </c>
      <c r="B7152" t="s">
        <v>2461</v>
      </c>
      <c r="C7152" t="s">
        <v>10548</v>
      </c>
      <c r="D7152" t="s">
        <v>18019</v>
      </c>
      <c r="E7152" t="s">
        <v>24306</v>
      </c>
      <c r="F7152" t="s">
        <v>30900</v>
      </c>
      <c r="G7152" t="s">
        <v>30907</v>
      </c>
      <c r="H7152" t="s">
        <v>30916</v>
      </c>
      <c r="I7152" t="s">
        <v>30923</v>
      </c>
      <c r="J7152" t="s">
        <v>34893</v>
      </c>
      <c r="K7152" t="s">
        <v>40284</v>
      </c>
      <c r="M7152" t="s">
        <v>43198</v>
      </c>
      <c r="N7152" t="s">
        <v>44759</v>
      </c>
      <c r="O7152" t="s">
        <v>44760</v>
      </c>
      <c r="P7152">
        <v>0</v>
      </c>
      <c r="Q7152">
        <v>4</v>
      </c>
      <c r="R7152" t="s">
        <v>44767</v>
      </c>
      <c r="S7152" t="s">
        <v>44954</v>
      </c>
      <c r="T7152" t="s">
        <v>46533</v>
      </c>
      <c r="U7152" t="s">
        <v>52936</v>
      </c>
      <c r="W7152" t="s">
        <v>43198</v>
      </c>
      <c r="X7152" t="s">
        <v>44768</v>
      </c>
    </row>
    <row r="7153" spans="1:24">
      <c r="A7153">
        <f>HYPERLINK("https://www.philgeps.gov.ph/GEPSNONPILOT/Tender/SplashBidNoticeAbstractUI.aspx?menuIndex=3&amp;refID=7143240&amp;Result=3","7143240")</f>
        <v>0</v>
      </c>
      <c r="B7153" t="s">
        <v>2439</v>
      </c>
      <c r="C7153" t="s">
        <v>10549</v>
      </c>
      <c r="D7153" t="s">
        <v>17980</v>
      </c>
      <c r="E7153" t="s">
        <v>24307</v>
      </c>
      <c r="F7153" t="s">
        <v>30900</v>
      </c>
      <c r="G7153" t="s">
        <v>30907</v>
      </c>
      <c r="H7153" t="s">
        <v>30916</v>
      </c>
      <c r="I7153" t="s">
        <v>10602</v>
      </c>
      <c r="J7153" t="s">
        <v>31049</v>
      </c>
      <c r="K7153" t="s">
        <v>40286</v>
      </c>
      <c r="M7153" t="s">
        <v>43170</v>
      </c>
      <c r="N7153" t="s">
        <v>44759</v>
      </c>
      <c r="O7153" t="s">
        <v>44760</v>
      </c>
      <c r="P7153">
        <v>0</v>
      </c>
      <c r="Q7153">
        <v>0</v>
      </c>
      <c r="R7153" t="s">
        <v>44767</v>
      </c>
      <c r="S7153" t="s">
        <v>44954</v>
      </c>
      <c r="T7153" t="s">
        <v>46730</v>
      </c>
      <c r="U7153" t="s">
        <v>52853</v>
      </c>
      <c r="V7153" t="s">
        <v>59876</v>
      </c>
      <c r="W7153" t="s">
        <v>43170</v>
      </c>
      <c r="X7153" t="s">
        <v>44768</v>
      </c>
    </row>
    <row r="7154" spans="1:24">
      <c r="A7154">
        <f>HYPERLINK("https://www.philgeps.gov.ph/GEPSNONPILOT/Tender/SplashBidNoticeAbstractUI.aspx?menuIndex=3&amp;refID=7143239&amp;Result=3","7143239")</f>
        <v>0</v>
      </c>
      <c r="B7154" t="s">
        <v>2359</v>
      </c>
      <c r="C7154" t="s">
        <v>10550</v>
      </c>
      <c r="D7154" t="s">
        <v>18022</v>
      </c>
      <c r="E7154" t="s">
        <v>24308</v>
      </c>
      <c r="F7154" t="s">
        <v>30900</v>
      </c>
      <c r="G7154" t="s">
        <v>30907</v>
      </c>
      <c r="H7154" t="s">
        <v>30915</v>
      </c>
      <c r="I7154" t="s">
        <v>30919</v>
      </c>
      <c r="J7154" t="s">
        <v>35603</v>
      </c>
      <c r="K7154" t="s">
        <v>40289</v>
      </c>
      <c r="M7154" t="s">
        <v>43083</v>
      </c>
      <c r="N7154" t="s">
        <v>44759</v>
      </c>
      <c r="O7154" t="s">
        <v>44760</v>
      </c>
      <c r="P7154">
        <v>0</v>
      </c>
      <c r="Q7154">
        <v>1</v>
      </c>
      <c r="R7154" t="s">
        <v>44767</v>
      </c>
      <c r="S7154" t="s">
        <v>44954</v>
      </c>
      <c r="T7154" t="s">
        <v>46495</v>
      </c>
      <c r="U7154" t="s">
        <v>52937</v>
      </c>
      <c r="W7154" t="s">
        <v>60888</v>
      </c>
      <c r="X7154" t="s">
        <v>44768</v>
      </c>
    </row>
    <row r="7155" spans="1:24">
      <c r="A7155">
        <f>HYPERLINK("https://www.philgeps.gov.ph/GEPSNONPILOT/Tender/SplashBidNoticeAbstractUI.aspx?menuIndex=3&amp;refID=7143286&amp;Result=3","7143286")</f>
        <v>0</v>
      </c>
      <c r="B7155" t="s">
        <v>2359</v>
      </c>
      <c r="C7155" t="s">
        <v>10551</v>
      </c>
      <c r="D7155" t="s">
        <v>18022</v>
      </c>
      <c r="E7155" t="s">
        <v>24309</v>
      </c>
      <c r="F7155" t="s">
        <v>30900</v>
      </c>
      <c r="G7155" t="s">
        <v>30907</v>
      </c>
      <c r="H7155" t="s">
        <v>30915</v>
      </c>
      <c r="I7155" t="s">
        <v>30919</v>
      </c>
      <c r="J7155" t="s">
        <v>35604</v>
      </c>
      <c r="K7155" t="s">
        <v>40289</v>
      </c>
      <c r="M7155" t="s">
        <v>43083</v>
      </c>
      <c r="N7155" t="s">
        <v>44759</v>
      </c>
      <c r="O7155" t="s">
        <v>44760</v>
      </c>
      <c r="P7155">
        <v>0</v>
      </c>
      <c r="Q7155">
        <v>1</v>
      </c>
      <c r="R7155" t="s">
        <v>44767</v>
      </c>
      <c r="S7155" t="s">
        <v>44954</v>
      </c>
      <c r="T7155" t="s">
        <v>46495</v>
      </c>
      <c r="U7155" t="s">
        <v>52938</v>
      </c>
      <c r="W7155" t="s">
        <v>60888</v>
      </c>
      <c r="X7155" t="s">
        <v>44768</v>
      </c>
    </row>
    <row r="7156" spans="1:24">
      <c r="A7156">
        <f>HYPERLINK("https://www.philgeps.gov.ph/GEPSNONPILOT/Tender/SplashBidNoticeAbstractUI.aspx?menuIndex=3&amp;refID=7143280&amp;Result=3","7143280")</f>
        <v>0</v>
      </c>
      <c r="B7156" t="s">
        <v>1590</v>
      </c>
      <c r="C7156" t="s">
        <v>10552</v>
      </c>
      <c r="D7156" t="s">
        <v>17959</v>
      </c>
      <c r="E7156" t="s">
        <v>24310</v>
      </c>
      <c r="F7156" t="s">
        <v>30900</v>
      </c>
      <c r="G7156" t="s">
        <v>30908</v>
      </c>
      <c r="H7156" t="s">
        <v>30916</v>
      </c>
      <c r="I7156" t="s">
        <v>6408</v>
      </c>
      <c r="J7156" t="s">
        <v>33032</v>
      </c>
      <c r="K7156" t="s">
        <v>40283</v>
      </c>
      <c r="M7156" t="s">
        <v>42238</v>
      </c>
      <c r="N7156" t="s">
        <v>44759</v>
      </c>
      <c r="O7156" t="s">
        <v>44760</v>
      </c>
      <c r="P7156">
        <v>0</v>
      </c>
      <c r="Q7156">
        <v>10</v>
      </c>
      <c r="R7156" t="s">
        <v>44767</v>
      </c>
      <c r="S7156" t="s">
        <v>44954</v>
      </c>
      <c r="T7156" t="s">
        <v>46751</v>
      </c>
      <c r="U7156" t="s">
        <v>52939</v>
      </c>
      <c r="W7156" t="s">
        <v>42238</v>
      </c>
      <c r="X7156" t="s">
        <v>44768</v>
      </c>
    </row>
    <row r="7157" spans="1:24">
      <c r="A7157">
        <f>HYPERLINK("https://www.philgeps.gov.ph/GEPSNONPILOT/Tender/SplashBidNoticeAbstractUI.aspx?menuIndex=3&amp;refID=7143259&amp;Result=3","7143259")</f>
        <v>0</v>
      </c>
      <c r="B7157" t="s">
        <v>1712</v>
      </c>
      <c r="C7157" t="s">
        <v>10553</v>
      </c>
      <c r="D7157" t="s">
        <v>17971</v>
      </c>
      <c r="E7157" t="s">
        <v>24311</v>
      </c>
      <c r="F7157" t="s">
        <v>30899</v>
      </c>
      <c r="G7157" t="s">
        <v>30908</v>
      </c>
      <c r="H7157" t="s">
        <v>30916</v>
      </c>
      <c r="I7157" t="s">
        <v>4108</v>
      </c>
      <c r="J7157" t="s">
        <v>31105</v>
      </c>
      <c r="K7157" t="s">
        <v>40283</v>
      </c>
      <c r="M7157" t="s">
        <v>42375</v>
      </c>
      <c r="N7157" t="s">
        <v>44759</v>
      </c>
      <c r="O7157" t="s">
        <v>44760</v>
      </c>
      <c r="P7157">
        <v>0</v>
      </c>
      <c r="Q7157">
        <v>5</v>
      </c>
      <c r="R7157" t="s">
        <v>44767</v>
      </c>
      <c r="S7157" t="s">
        <v>44954</v>
      </c>
      <c r="T7157" t="s">
        <v>46403</v>
      </c>
      <c r="U7157" t="s">
        <v>52940</v>
      </c>
      <c r="W7157" t="s">
        <v>42375</v>
      </c>
      <c r="X7157" t="s">
        <v>44768</v>
      </c>
    </row>
    <row r="7158" spans="1:24">
      <c r="A7158">
        <f>HYPERLINK("https://www.philgeps.gov.ph/GEPSNONPILOT/Tender/SplashBidNoticeAbstractUI.aspx?menuIndex=3&amp;refID=7143231&amp;Result=3","7143231")</f>
        <v>0</v>
      </c>
      <c r="B7158" t="s">
        <v>2360</v>
      </c>
      <c r="C7158" t="s">
        <v>10554</v>
      </c>
      <c r="D7158" t="s">
        <v>17977</v>
      </c>
      <c r="E7158" t="s">
        <v>24312</v>
      </c>
      <c r="F7158" t="s">
        <v>30900</v>
      </c>
      <c r="G7158" t="s">
        <v>30907</v>
      </c>
      <c r="H7158" t="s">
        <v>30916</v>
      </c>
      <c r="I7158" t="s">
        <v>7708</v>
      </c>
      <c r="J7158" t="s">
        <v>31259</v>
      </c>
      <c r="K7158" t="s">
        <v>40280</v>
      </c>
      <c r="M7158" t="s">
        <v>43084</v>
      </c>
      <c r="N7158" t="s">
        <v>44759</v>
      </c>
      <c r="O7158" t="s">
        <v>44760</v>
      </c>
      <c r="P7158">
        <v>0</v>
      </c>
      <c r="Q7158">
        <v>4</v>
      </c>
      <c r="R7158" t="s">
        <v>44767</v>
      </c>
      <c r="S7158" t="s">
        <v>44954</v>
      </c>
      <c r="T7158" t="s">
        <v>46592</v>
      </c>
      <c r="U7158" t="s">
        <v>52750</v>
      </c>
      <c r="V7158" t="s">
        <v>59856</v>
      </c>
      <c r="W7158" t="s">
        <v>43084</v>
      </c>
      <c r="X7158" t="s">
        <v>44768</v>
      </c>
    </row>
    <row r="7159" spans="1:24">
      <c r="A7159">
        <f>HYPERLINK("https://www.philgeps.gov.ph/GEPSNONPILOT/Tender/SplashBidNoticeAbstractUI.aspx?menuIndex=3&amp;refID=7143268&amp;Result=3","7143268")</f>
        <v>0</v>
      </c>
      <c r="B7159" t="s">
        <v>2439</v>
      </c>
      <c r="C7159" t="s">
        <v>10555</v>
      </c>
      <c r="D7159" t="s">
        <v>17980</v>
      </c>
      <c r="E7159" t="s">
        <v>24313</v>
      </c>
      <c r="F7159" t="s">
        <v>30900</v>
      </c>
      <c r="G7159" t="s">
        <v>30907</v>
      </c>
      <c r="H7159" t="s">
        <v>30916</v>
      </c>
      <c r="I7159" t="s">
        <v>30933</v>
      </c>
      <c r="J7159" t="s">
        <v>35605</v>
      </c>
      <c r="K7159" t="s">
        <v>40292</v>
      </c>
      <c r="M7159" t="s">
        <v>43170</v>
      </c>
      <c r="N7159" t="s">
        <v>44759</v>
      </c>
      <c r="O7159" t="s">
        <v>44760</v>
      </c>
      <c r="P7159">
        <v>0</v>
      </c>
      <c r="Q7159">
        <v>2</v>
      </c>
      <c r="R7159" t="s">
        <v>44767</v>
      </c>
      <c r="S7159" t="s">
        <v>44954</v>
      </c>
      <c r="T7159" t="s">
        <v>46730</v>
      </c>
      <c r="U7159" t="s">
        <v>52853</v>
      </c>
      <c r="V7159" t="s">
        <v>59885</v>
      </c>
      <c r="W7159" t="s">
        <v>43170</v>
      </c>
      <c r="X7159" t="s">
        <v>44768</v>
      </c>
    </row>
    <row r="7160" spans="1:24">
      <c r="A7160">
        <f>HYPERLINK("https://www.philgeps.gov.ph/GEPSNONPILOT/Tender/SplashBidNoticeAbstractUI.aspx?menuIndex=3&amp;refID=7143254&amp;Result=3","7143254")</f>
        <v>0</v>
      </c>
      <c r="B7160" t="s">
        <v>1276</v>
      </c>
      <c r="C7160" t="s">
        <v>10556</v>
      </c>
      <c r="D7160" t="s">
        <v>17962</v>
      </c>
      <c r="E7160" t="s">
        <v>24314</v>
      </c>
      <c r="F7160" t="s">
        <v>30900</v>
      </c>
      <c r="G7160" t="s">
        <v>30909</v>
      </c>
      <c r="H7160" t="s">
        <v>30916</v>
      </c>
      <c r="I7160" t="s">
        <v>10847</v>
      </c>
      <c r="J7160" t="s">
        <v>35606</v>
      </c>
      <c r="K7160" t="s">
        <v>40289</v>
      </c>
      <c r="M7160" t="s">
        <v>41892</v>
      </c>
      <c r="N7160" t="s">
        <v>44759</v>
      </c>
      <c r="O7160" t="s">
        <v>44760</v>
      </c>
      <c r="P7160">
        <v>0</v>
      </c>
      <c r="Q7160">
        <v>1</v>
      </c>
      <c r="R7160" t="s">
        <v>44767</v>
      </c>
      <c r="S7160" t="s">
        <v>44954</v>
      </c>
      <c r="T7160" t="s">
        <v>46390</v>
      </c>
      <c r="U7160" t="s">
        <v>52941</v>
      </c>
      <c r="W7160" t="s">
        <v>41892</v>
      </c>
      <c r="X7160" t="s">
        <v>44768</v>
      </c>
    </row>
    <row r="7161" spans="1:24">
      <c r="A7161">
        <f>HYPERLINK("https://www.philgeps.gov.ph/GEPSNONPILOT/Tender/SplashBidNoticeAbstractUI.aspx?menuIndex=3&amp;refID=7143276&amp;Result=3","7143276")</f>
        <v>0</v>
      </c>
      <c r="B7161" t="s">
        <v>2369</v>
      </c>
      <c r="C7161" t="s">
        <v>10557</v>
      </c>
      <c r="D7161" t="s">
        <v>17985</v>
      </c>
      <c r="E7161" t="s">
        <v>24315</v>
      </c>
      <c r="F7161" t="s">
        <v>30900</v>
      </c>
      <c r="G7161" t="s">
        <v>30907</v>
      </c>
      <c r="H7161" t="s">
        <v>30916</v>
      </c>
      <c r="I7161" t="s">
        <v>8123</v>
      </c>
      <c r="J7161" t="s">
        <v>31713</v>
      </c>
      <c r="K7161" t="s">
        <v>40289</v>
      </c>
      <c r="M7161" t="s">
        <v>43095</v>
      </c>
      <c r="N7161" t="s">
        <v>44759</v>
      </c>
      <c r="O7161" t="s">
        <v>44760</v>
      </c>
      <c r="P7161">
        <v>0</v>
      </c>
      <c r="Q7161">
        <v>0</v>
      </c>
      <c r="R7161" t="s">
        <v>44767</v>
      </c>
      <c r="S7161" t="s">
        <v>44954</v>
      </c>
      <c r="T7161" t="s">
        <v>46395</v>
      </c>
      <c r="U7161" t="s">
        <v>52942</v>
      </c>
      <c r="W7161" t="s">
        <v>43095</v>
      </c>
      <c r="X7161" t="s">
        <v>44768</v>
      </c>
    </row>
    <row r="7162" spans="1:24">
      <c r="A7162">
        <f>HYPERLINK("https://www.philgeps.gov.ph/GEPSNONPILOT/Tender/SplashBidNoticeAbstractUI.aspx?menuIndex=3&amp;refID=7143282&amp;Result=3","7143282")</f>
        <v>0</v>
      </c>
      <c r="B7162" t="s">
        <v>2462</v>
      </c>
      <c r="C7162" t="s">
        <v>10558</v>
      </c>
      <c r="D7162" t="s">
        <v>17964</v>
      </c>
      <c r="E7162" t="s">
        <v>24316</v>
      </c>
      <c r="F7162" t="s">
        <v>30900</v>
      </c>
      <c r="G7162" t="s">
        <v>30907</v>
      </c>
      <c r="H7162" t="s">
        <v>30916</v>
      </c>
      <c r="I7162" t="s">
        <v>30961</v>
      </c>
      <c r="J7162" t="s">
        <v>31391</v>
      </c>
      <c r="K7162" t="s">
        <v>40292</v>
      </c>
      <c r="M7162" t="s">
        <v>43199</v>
      </c>
      <c r="N7162" t="s">
        <v>44759</v>
      </c>
      <c r="O7162" t="s">
        <v>44760</v>
      </c>
      <c r="P7162">
        <v>0</v>
      </c>
      <c r="Q7162">
        <v>1</v>
      </c>
      <c r="R7162" t="s">
        <v>44767</v>
      </c>
      <c r="S7162" t="s">
        <v>44954</v>
      </c>
      <c r="T7162" t="s">
        <v>46428</v>
      </c>
      <c r="U7162" t="s">
        <v>52943</v>
      </c>
      <c r="W7162" t="s">
        <v>43199</v>
      </c>
      <c r="X7162" t="s">
        <v>44768</v>
      </c>
    </row>
    <row r="7163" spans="1:24">
      <c r="A7163">
        <f>HYPERLINK("https://www.philgeps.gov.ph/GEPSNONPILOT/Tender/SplashBidNoticeAbstractUI.aspx?menuIndex=3&amp;refID=7143290&amp;Result=3","7143290")</f>
        <v>0</v>
      </c>
      <c r="B7163" t="s">
        <v>2017</v>
      </c>
      <c r="C7163" t="s">
        <v>10559</v>
      </c>
      <c r="D7163" t="s">
        <v>17971</v>
      </c>
      <c r="E7163" t="s">
        <v>24317</v>
      </c>
      <c r="F7163" t="s">
        <v>30900</v>
      </c>
      <c r="G7163" t="s">
        <v>30907</v>
      </c>
      <c r="H7163" t="s">
        <v>30915</v>
      </c>
      <c r="I7163" t="s">
        <v>30919</v>
      </c>
      <c r="J7163" t="s">
        <v>35607</v>
      </c>
      <c r="K7163" t="s">
        <v>40304</v>
      </c>
      <c r="M7163" t="s">
        <v>42713</v>
      </c>
      <c r="N7163" t="s">
        <v>44759</v>
      </c>
      <c r="O7163" t="s">
        <v>44760</v>
      </c>
      <c r="P7163">
        <v>0</v>
      </c>
      <c r="Q7163">
        <v>0</v>
      </c>
      <c r="R7163" t="s">
        <v>44767</v>
      </c>
      <c r="S7163" t="s">
        <v>44954</v>
      </c>
      <c r="T7163" t="s">
        <v>46421</v>
      </c>
      <c r="U7163" t="s">
        <v>52944</v>
      </c>
      <c r="W7163" t="s">
        <v>42713</v>
      </c>
      <c r="X7163" t="s">
        <v>44768</v>
      </c>
    </row>
    <row r="7164" spans="1:24">
      <c r="A7164">
        <f>HYPERLINK("https://www.philgeps.gov.ph/GEPSNONPILOT/Tender/SplashBidNoticeAbstractUI.aspx?menuIndex=3&amp;refID=7143331&amp;Result=3","7143331")</f>
        <v>0</v>
      </c>
      <c r="B7164" t="s">
        <v>2369</v>
      </c>
      <c r="C7164" t="s">
        <v>10560</v>
      </c>
      <c r="D7164" t="s">
        <v>17985</v>
      </c>
      <c r="E7164" t="s">
        <v>24318</v>
      </c>
      <c r="F7164" t="s">
        <v>30900</v>
      </c>
      <c r="G7164" t="s">
        <v>30907</v>
      </c>
      <c r="H7164" t="s">
        <v>30916</v>
      </c>
      <c r="I7164" t="s">
        <v>8123</v>
      </c>
      <c r="J7164" t="s">
        <v>35404</v>
      </c>
      <c r="K7164" t="s">
        <v>40289</v>
      </c>
      <c r="M7164" t="s">
        <v>43095</v>
      </c>
      <c r="N7164" t="s">
        <v>44759</v>
      </c>
      <c r="O7164" t="s">
        <v>44760</v>
      </c>
      <c r="P7164">
        <v>0</v>
      </c>
      <c r="Q7164">
        <v>0</v>
      </c>
      <c r="R7164" t="s">
        <v>44767</v>
      </c>
      <c r="S7164" t="s">
        <v>44954</v>
      </c>
      <c r="T7164" t="s">
        <v>46395</v>
      </c>
      <c r="U7164" t="s">
        <v>52945</v>
      </c>
      <c r="W7164" t="s">
        <v>43095</v>
      </c>
      <c r="X7164" t="s">
        <v>44768</v>
      </c>
    </row>
    <row r="7165" spans="1:24">
      <c r="A7165">
        <f>HYPERLINK("https://www.philgeps.gov.ph/GEPSNONPILOT/Tender/SplashBidNoticeAbstractUI.aspx?menuIndex=3&amp;refID=7143305&amp;Result=3","7143305")</f>
        <v>0</v>
      </c>
      <c r="B7165" t="s">
        <v>1590</v>
      </c>
      <c r="C7165" t="s">
        <v>10561</v>
      </c>
      <c r="E7165" t="s">
        <v>24319</v>
      </c>
      <c r="F7165" t="s">
        <v>30900</v>
      </c>
      <c r="G7165" t="s">
        <v>30908</v>
      </c>
      <c r="H7165" t="s">
        <v>30916</v>
      </c>
      <c r="I7165" t="s">
        <v>4108</v>
      </c>
      <c r="J7165" t="s">
        <v>35608</v>
      </c>
      <c r="K7165" t="s">
        <v>40289</v>
      </c>
      <c r="M7165" t="s">
        <v>43200</v>
      </c>
      <c r="N7165" t="s">
        <v>44759</v>
      </c>
      <c r="O7165" t="s">
        <v>44760</v>
      </c>
      <c r="Q7165">
        <v>1</v>
      </c>
      <c r="R7165" t="s">
        <v>44767</v>
      </c>
      <c r="S7165" t="s">
        <v>44960</v>
      </c>
      <c r="T7165" t="s">
        <v>46414</v>
      </c>
      <c r="U7165" t="s">
        <v>52946</v>
      </c>
      <c r="W7165" t="s">
        <v>43200</v>
      </c>
      <c r="X7165" t="s">
        <v>44768</v>
      </c>
    </row>
    <row r="7166" spans="1:24">
      <c r="A7166">
        <f>HYPERLINK("https://www.philgeps.gov.ph/GEPSNONPILOT/Tender/SplashBidNoticeAbstractUI.aspx?menuIndex=3&amp;refID=7143302&amp;Result=3","7143302")</f>
        <v>0</v>
      </c>
      <c r="B7166" t="s">
        <v>2463</v>
      </c>
      <c r="C7166" t="s">
        <v>10562</v>
      </c>
      <c r="D7166" t="s">
        <v>17981</v>
      </c>
      <c r="E7166" t="s">
        <v>19382</v>
      </c>
      <c r="F7166" t="s">
        <v>30900</v>
      </c>
      <c r="G7166" t="s">
        <v>30907</v>
      </c>
      <c r="H7166" t="s">
        <v>30916</v>
      </c>
      <c r="I7166" t="s">
        <v>30933</v>
      </c>
      <c r="J7166" t="s">
        <v>33503</v>
      </c>
      <c r="K7166" t="s">
        <v>40287</v>
      </c>
      <c r="M7166" t="s">
        <v>43201</v>
      </c>
      <c r="N7166" t="s">
        <v>44759</v>
      </c>
      <c r="O7166" t="s">
        <v>44760</v>
      </c>
      <c r="P7166">
        <v>0</v>
      </c>
      <c r="Q7166">
        <v>0</v>
      </c>
      <c r="R7166" t="s">
        <v>44767</v>
      </c>
      <c r="S7166" t="s">
        <v>44954</v>
      </c>
      <c r="T7166" t="s">
        <v>46374</v>
      </c>
      <c r="U7166" t="s">
        <v>52947</v>
      </c>
      <c r="W7166" t="s">
        <v>43201</v>
      </c>
      <c r="X7166" t="s">
        <v>44768</v>
      </c>
    </row>
    <row r="7167" spans="1:24">
      <c r="A7167">
        <f>HYPERLINK("https://www.philgeps.gov.ph/GEPSNONPILOT/Tender/SplashBidNoticeAbstractUI.aspx?menuIndex=3&amp;refID=7143332&amp;Result=3","7143332")</f>
        <v>0</v>
      </c>
      <c r="B7167" t="s">
        <v>2045</v>
      </c>
      <c r="C7167" t="s">
        <v>10563</v>
      </c>
      <c r="D7167" t="s">
        <v>18022</v>
      </c>
      <c r="E7167" t="s">
        <v>18193</v>
      </c>
      <c r="F7167" t="s">
        <v>30900</v>
      </c>
      <c r="G7167" t="s">
        <v>30907</v>
      </c>
      <c r="H7167" t="s">
        <v>30916</v>
      </c>
      <c r="I7167" t="s">
        <v>30921</v>
      </c>
      <c r="J7167" t="s">
        <v>35609</v>
      </c>
      <c r="K7167" t="s">
        <v>40284</v>
      </c>
      <c r="M7167" t="s">
        <v>42742</v>
      </c>
      <c r="N7167" t="s">
        <v>44759</v>
      </c>
      <c r="O7167" t="s">
        <v>44760</v>
      </c>
      <c r="P7167">
        <v>0</v>
      </c>
      <c r="Q7167">
        <v>10</v>
      </c>
      <c r="R7167" t="s">
        <v>44767</v>
      </c>
      <c r="S7167" t="s">
        <v>44954</v>
      </c>
      <c r="T7167" t="s">
        <v>46470</v>
      </c>
      <c r="U7167" t="s">
        <v>52948</v>
      </c>
      <c r="W7167" t="s">
        <v>42742</v>
      </c>
      <c r="X7167" t="s">
        <v>44768</v>
      </c>
    </row>
    <row r="7168" spans="1:24">
      <c r="A7168">
        <f>HYPERLINK("https://www.philgeps.gov.ph/GEPSNONPILOT/Tender/SplashBidNoticeAbstractUI.aspx?menuIndex=3&amp;refID=7143293&amp;Result=3","7143293")</f>
        <v>0</v>
      </c>
      <c r="B7168" t="s">
        <v>1712</v>
      </c>
      <c r="C7168" t="s">
        <v>10564</v>
      </c>
      <c r="D7168" t="s">
        <v>17971</v>
      </c>
      <c r="E7168" t="s">
        <v>24320</v>
      </c>
      <c r="F7168" t="s">
        <v>30899</v>
      </c>
      <c r="G7168" t="s">
        <v>30908</v>
      </c>
      <c r="H7168" t="s">
        <v>30916</v>
      </c>
      <c r="I7168" t="s">
        <v>30996</v>
      </c>
      <c r="J7168" t="s">
        <v>35610</v>
      </c>
      <c r="K7168" t="s">
        <v>40283</v>
      </c>
      <c r="M7168" t="s">
        <v>42375</v>
      </c>
      <c r="N7168" t="s">
        <v>44759</v>
      </c>
      <c r="O7168" t="s">
        <v>44760</v>
      </c>
      <c r="P7168">
        <v>0</v>
      </c>
      <c r="Q7168">
        <v>8</v>
      </c>
      <c r="R7168" t="s">
        <v>44767</v>
      </c>
      <c r="S7168" t="s">
        <v>44954</v>
      </c>
      <c r="T7168" t="s">
        <v>46403</v>
      </c>
      <c r="U7168" t="s">
        <v>52940</v>
      </c>
      <c r="W7168" t="s">
        <v>42375</v>
      </c>
      <c r="X7168" t="s">
        <v>44768</v>
      </c>
    </row>
    <row r="7169" spans="1:24">
      <c r="A7169">
        <f>HYPERLINK("https://www.philgeps.gov.ph/GEPSNONPILOT/Tender/SplashBidNoticeAbstractUI.aspx?menuIndex=3&amp;refID=7143304&amp;Result=3","7143304")</f>
        <v>0</v>
      </c>
      <c r="B7169" t="s">
        <v>2464</v>
      </c>
      <c r="C7169" t="s">
        <v>10565</v>
      </c>
      <c r="E7169" t="s">
        <v>24321</v>
      </c>
      <c r="F7169" t="s">
        <v>30900</v>
      </c>
      <c r="G7169" t="s">
        <v>30907</v>
      </c>
      <c r="H7169" t="s">
        <v>30915</v>
      </c>
      <c r="I7169" t="s">
        <v>30919</v>
      </c>
      <c r="J7169" t="s">
        <v>35611</v>
      </c>
      <c r="K7169" t="s">
        <v>40289</v>
      </c>
      <c r="M7169" t="s">
        <v>43202</v>
      </c>
      <c r="N7169" t="s">
        <v>44759</v>
      </c>
      <c r="O7169" t="s">
        <v>44760</v>
      </c>
      <c r="P7169">
        <v>0</v>
      </c>
      <c r="Q7169">
        <v>0</v>
      </c>
      <c r="R7169" t="s">
        <v>44767</v>
      </c>
      <c r="S7169" t="s">
        <v>44954</v>
      </c>
      <c r="T7169" t="s">
        <v>46374</v>
      </c>
      <c r="U7169" t="s">
        <v>52949</v>
      </c>
      <c r="W7169" t="s">
        <v>43202</v>
      </c>
      <c r="X7169" t="s">
        <v>44768</v>
      </c>
    </row>
    <row r="7170" spans="1:24">
      <c r="A7170">
        <f>HYPERLINK("https://www.philgeps.gov.ph/GEPSNONPILOT/Tender/SplashBidNoticeAbstractUI.aspx?menuIndex=3&amp;refID=7143291&amp;Result=3","7143291")</f>
        <v>0</v>
      </c>
      <c r="B7170" t="s">
        <v>164</v>
      </c>
      <c r="C7170" t="s">
        <v>10566</v>
      </c>
      <c r="D7170" t="s">
        <v>17961</v>
      </c>
      <c r="E7170" t="s">
        <v>24322</v>
      </c>
      <c r="F7170" t="s">
        <v>30900</v>
      </c>
      <c r="G7170" t="s">
        <v>30908</v>
      </c>
      <c r="H7170" t="s">
        <v>30916</v>
      </c>
      <c r="I7170" t="s">
        <v>30925</v>
      </c>
      <c r="J7170" t="s">
        <v>31152</v>
      </c>
      <c r="K7170" t="s">
        <v>40294</v>
      </c>
      <c r="M7170" t="s">
        <v>40711</v>
      </c>
      <c r="N7170" t="s">
        <v>44759</v>
      </c>
      <c r="O7170" t="s">
        <v>44760</v>
      </c>
      <c r="P7170">
        <v>0</v>
      </c>
      <c r="Q7170">
        <v>2</v>
      </c>
      <c r="R7170" t="s">
        <v>44767</v>
      </c>
      <c r="S7170" t="s">
        <v>44954</v>
      </c>
      <c r="T7170" t="s">
        <v>46658</v>
      </c>
      <c r="U7170" t="s">
        <v>52950</v>
      </c>
      <c r="W7170" t="s">
        <v>40711</v>
      </c>
      <c r="X7170" t="s">
        <v>44768</v>
      </c>
    </row>
    <row r="7171" spans="1:24">
      <c r="A7171">
        <f>HYPERLINK("https://www.philgeps.gov.ph/GEPSNONPILOT/Tender/SplashBidNoticeAbstractUI.aspx?menuIndex=3&amp;refID=7143297&amp;Result=3","7143297")</f>
        <v>0</v>
      </c>
      <c r="B7171" t="s">
        <v>2465</v>
      </c>
      <c r="C7171" t="s">
        <v>10567</v>
      </c>
      <c r="D7171" t="s">
        <v>17959</v>
      </c>
      <c r="E7171" t="s">
        <v>24323</v>
      </c>
      <c r="F7171" t="s">
        <v>30900</v>
      </c>
      <c r="G7171" t="s">
        <v>30908</v>
      </c>
      <c r="H7171" t="s">
        <v>30916</v>
      </c>
      <c r="I7171" t="s">
        <v>4545</v>
      </c>
      <c r="J7171" t="s">
        <v>35612</v>
      </c>
      <c r="K7171" t="s">
        <v>40286</v>
      </c>
      <c r="M7171" t="s">
        <v>43203</v>
      </c>
      <c r="N7171" t="s">
        <v>44759</v>
      </c>
      <c r="O7171" t="s">
        <v>44760</v>
      </c>
      <c r="P7171">
        <v>0</v>
      </c>
      <c r="Q7171">
        <v>20</v>
      </c>
      <c r="R7171" t="s">
        <v>44767</v>
      </c>
      <c r="S7171" t="s">
        <v>44954</v>
      </c>
      <c r="T7171" t="s">
        <v>46391</v>
      </c>
      <c r="U7171" t="s">
        <v>52951</v>
      </c>
      <c r="V7171" t="s">
        <v>59886</v>
      </c>
      <c r="W7171" t="s">
        <v>43203</v>
      </c>
      <c r="X7171" t="s">
        <v>44768</v>
      </c>
    </row>
    <row r="7172" spans="1:24">
      <c r="A7172">
        <f>HYPERLINK("https://www.philgeps.gov.ph/GEPSNONPILOT/Tender/SplashBidNoticeAbstractUI.aspx?menuIndex=3&amp;refID=7143345&amp;Result=3","7143345")</f>
        <v>0</v>
      </c>
      <c r="B7172" t="s">
        <v>303</v>
      </c>
      <c r="C7172" t="s">
        <v>10568</v>
      </c>
      <c r="D7172" t="s">
        <v>17951</v>
      </c>
      <c r="E7172" t="s">
        <v>24324</v>
      </c>
      <c r="F7172" t="s">
        <v>30900</v>
      </c>
      <c r="G7172" t="s">
        <v>30908</v>
      </c>
      <c r="H7172" t="s">
        <v>30916</v>
      </c>
      <c r="I7172" t="s">
        <v>8123</v>
      </c>
      <c r="J7172" t="s">
        <v>35613</v>
      </c>
      <c r="K7172" t="s">
        <v>40284</v>
      </c>
      <c r="M7172" t="s">
        <v>40852</v>
      </c>
      <c r="N7172" t="s">
        <v>44759</v>
      </c>
      <c r="O7172" t="s">
        <v>44760</v>
      </c>
      <c r="P7172">
        <v>0</v>
      </c>
      <c r="Q7172">
        <v>1</v>
      </c>
      <c r="R7172" t="s">
        <v>44767</v>
      </c>
      <c r="S7172" t="s">
        <v>44954</v>
      </c>
      <c r="T7172" t="s">
        <v>46533</v>
      </c>
      <c r="U7172" t="s">
        <v>52879</v>
      </c>
      <c r="W7172" t="s">
        <v>40852</v>
      </c>
      <c r="X7172" t="s">
        <v>44768</v>
      </c>
    </row>
    <row r="7173" spans="1:24">
      <c r="A7173">
        <f>HYPERLINK("https://www.philgeps.gov.ph/GEPSNONPILOT/Tender/SplashBidNoticeAbstractUI.aspx?menuIndex=3&amp;refID=7143344&amp;Result=3","7143344")</f>
        <v>0</v>
      </c>
      <c r="B7173" t="s">
        <v>2466</v>
      </c>
      <c r="C7173" t="s">
        <v>10569</v>
      </c>
      <c r="D7173" t="s">
        <v>17976</v>
      </c>
      <c r="E7173" t="s">
        <v>24325</v>
      </c>
      <c r="F7173" t="s">
        <v>30900</v>
      </c>
      <c r="G7173" t="s">
        <v>30907</v>
      </c>
      <c r="H7173" t="s">
        <v>30916</v>
      </c>
      <c r="I7173" t="s">
        <v>30943</v>
      </c>
      <c r="J7173" t="s">
        <v>35614</v>
      </c>
      <c r="K7173" t="s">
        <v>40286</v>
      </c>
      <c r="M7173" t="s">
        <v>43204</v>
      </c>
      <c r="N7173" t="s">
        <v>44759</v>
      </c>
      <c r="O7173" t="s">
        <v>44760</v>
      </c>
      <c r="P7173">
        <v>0</v>
      </c>
      <c r="Q7173">
        <v>11</v>
      </c>
      <c r="R7173" t="s">
        <v>44767</v>
      </c>
      <c r="S7173" t="s">
        <v>44954</v>
      </c>
      <c r="T7173" t="s">
        <v>46397</v>
      </c>
      <c r="U7173" t="s">
        <v>52952</v>
      </c>
      <c r="W7173" t="s">
        <v>43204</v>
      </c>
      <c r="X7173" t="s">
        <v>44768</v>
      </c>
    </row>
    <row r="7174" spans="1:24">
      <c r="A7174">
        <f>HYPERLINK("https://www.philgeps.gov.ph/GEPSNONPILOT/Tender/SplashBidNoticeAbstractUI.aspx?menuIndex=3&amp;refID=7143339&amp;Result=3","7143339")</f>
        <v>0</v>
      </c>
      <c r="B7174" t="s">
        <v>229</v>
      </c>
      <c r="C7174" t="s">
        <v>10570</v>
      </c>
      <c r="D7174" t="s">
        <v>18018</v>
      </c>
      <c r="E7174" t="s">
        <v>24326</v>
      </c>
      <c r="F7174" t="s">
        <v>30900</v>
      </c>
      <c r="G7174" t="s">
        <v>30909</v>
      </c>
      <c r="H7174" t="s">
        <v>30916</v>
      </c>
      <c r="I7174" t="s">
        <v>6746</v>
      </c>
      <c r="J7174" t="s">
        <v>35615</v>
      </c>
      <c r="K7174" t="s">
        <v>40283</v>
      </c>
      <c r="M7174" t="s">
        <v>40776</v>
      </c>
      <c r="N7174" t="s">
        <v>44759</v>
      </c>
      <c r="O7174" t="s">
        <v>44760</v>
      </c>
      <c r="P7174">
        <v>0</v>
      </c>
      <c r="Q7174">
        <v>1</v>
      </c>
      <c r="R7174" t="s">
        <v>44767</v>
      </c>
      <c r="S7174" t="s">
        <v>44954</v>
      </c>
      <c r="T7174" t="s">
        <v>46625</v>
      </c>
      <c r="U7174" t="s">
        <v>52953</v>
      </c>
      <c r="V7174" t="s">
        <v>59149</v>
      </c>
      <c r="W7174" t="s">
        <v>40776</v>
      </c>
      <c r="X7174" t="s">
        <v>44768</v>
      </c>
    </row>
    <row r="7175" spans="1:24">
      <c r="A7175">
        <f>HYPERLINK("https://www.philgeps.gov.ph/GEPSNONPILOT/Tender/SplashBidNoticeAbstractUI.aspx?menuIndex=3&amp;refID=7143310&amp;Result=3","7143310")</f>
        <v>0</v>
      </c>
      <c r="B7175" t="s">
        <v>2017</v>
      </c>
      <c r="C7175" t="s">
        <v>10571</v>
      </c>
      <c r="D7175" t="s">
        <v>18003</v>
      </c>
      <c r="E7175" t="s">
        <v>24327</v>
      </c>
      <c r="F7175" t="s">
        <v>30900</v>
      </c>
      <c r="G7175" t="s">
        <v>30907</v>
      </c>
      <c r="H7175" t="s">
        <v>30916</v>
      </c>
      <c r="I7175" t="s">
        <v>30923</v>
      </c>
      <c r="J7175" t="s">
        <v>35616</v>
      </c>
      <c r="K7175" t="s">
        <v>40289</v>
      </c>
      <c r="M7175" t="s">
        <v>42713</v>
      </c>
      <c r="N7175" t="s">
        <v>44759</v>
      </c>
      <c r="O7175" t="s">
        <v>44760</v>
      </c>
      <c r="P7175">
        <v>0</v>
      </c>
      <c r="Q7175">
        <v>3</v>
      </c>
      <c r="R7175" t="s">
        <v>44767</v>
      </c>
      <c r="S7175" t="s">
        <v>44954</v>
      </c>
      <c r="T7175" t="s">
        <v>46421</v>
      </c>
      <c r="U7175" t="s">
        <v>52954</v>
      </c>
      <c r="W7175" t="s">
        <v>42713</v>
      </c>
      <c r="X7175" t="s">
        <v>44768</v>
      </c>
    </row>
    <row r="7176" spans="1:24">
      <c r="A7176">
        <f>HYPERLINK("https://www.philgeps.gov.ph/GEPSNONPILOT/Tender/SplashBidNoticeAbstractUI.aspx?menuIndex=3&amp;refID=7143336&amp;Result=3","7143336")</f>
        <v>0</v>
      </c>
      <c r="B7176" t="s">
        <v>243</v>
      </c>
      <c r="C7176" t="s">
        <v>10572</v>
      </c>
      <c r="D7176" t="s">
        <v>17999</v>
      </c>
      <c r="E7176" t="s">
        <v>24328</v>
      </c>
      <c r="F7176" t="s">
        <v>30900</v>
      </c>
      <c r="G7176" t="s">
        <v>30908</v>
      </c>
      <c r="H7176" t="s">
        <v>30916</v>
      </c>
      <c r="I7176" t="s">
        <v>4545</v>
      </c>
      <c r="J7176" t="s">
        <v>34033</v>
      </c>
      <c r="K7176" t="s">
        <v>40286</v>
      </c>
      <c r="M7176" t="s">
        <v>40790</v>
      </c>
      <c r="N7176" t="s">
        <v>44759</v>
      </c>
      <c r="O7176" t="s">
        <v>44760</v>
      </c>
      <c r="P7176">
        <v>0</v>
      </c>
      <c r="Q7176">
        <v>4</v>
      </c>
      <c r="R7176" t="s">
        <v>44767</v>
      </c>
      <c r="S7176" t="s">
        <v>44954</v>
      </c>
      <c r="T7176" t="s">
        <v>46454</v>
      </c>
      <c r="U7176" t="s">
        <v>52955</v>
      </c>
      <c r="V7176" t="s">
        <v>59845</v>
      </c>
      <c r="W7176" t="s">
        <v>60887</v>
      </c>
      <c r="X7176" t="s">
        <v>44768</v>
      </c>
    </row>
    <row r="7177" spans="1:24">
      <c r="A7177">
        <f>HYPERLINK("https://www.philgeps.gov.ph/GEPSNONPILOT/Tender/SplashBidNoticeAbstractUI.aspx?menuIndex=3&amp;refID=7143355&amp;Result=3","7143355")</f>
        <v>0</v>
      </c>
      <c r="B7177" t="s">
        <v>408</v>
      </c>
      <c r="C7177" t="s">
        <v>10573</v>
      </c>
      <c r="E7177" t="s">
        <v>24329</v>
      </c>
      <c r="F7177" t="s">
        <v>30900</v>
      </c>
      <c r="G7177" t="s">
        <v>30907</v>
      </c>
      <c r="H7177" t="s">
        <v>30916</v>
      </c>
      <c r="I7177" t="s">
        <v>30922</v>
      </c>
      <c r="J7177" t="s">
        <v>35617</v>
      </c>
      <c r="K7177" t="s">
        <v>40289</v>
      </c>
      <c r="M7177" t="s">
        <v>40964</v>
      </c>
      <c r="N7177" t="s">
        <v>44759</v>
      </c>
      <c r="O7177" t="s">
        <v>44760</v>
      </c>
      <c r="P7177">
        <v>0</v>
      </c>
      <c r="Q7177">
        <v>0</v>
      </c>
      <c r="R7177" t="s">
        <v>44767</v>
      </c>
      <c r="S7177" t="s">
        <v>44954</v>
      </c>
      <c r="T7177" t="s">
        <v>46770</v>
      </c>
      <c r="U7177" t="s">
        <v>52956</v>
      </c>
      <c r="W7177" t="s">
        <v>40964</v>
      </c>
      <c r="X7177" t="s">
        <v>44768</v>
      </c>
    </row>
    <row r="7178" spans="1:24">
      <c r="A7178">
        <f>HYPERLINK("https://www.philgeps.gov.ph/GEPSNONPILOT/Tender/SplashBidNoticeAbstractUI.aspx?menuIndex=3&amp;refID=7143354&amp;Result=3","7143354")</f>
        <v>0</v>
      </c>
      <c r="B7178" t="s">
        <v>401</v>
      </c>
      <c r="C7178" t="s">
        <v>10574</v>
      </c>
      <c r="D7178" t="s">
        <v>18004</v>
      </c>
      <c r="E7178" t="s">
        <v>24330</v>
      </c>
      <c r="F7178" t="s">
        <v>30900</v>
      </c>
      <c r="G7178" t="s">
        <v>30908</v>
      </c>
      <c r="H7178" t="s">
        <v>30916</v>
      </c>
      <c r="I7178" t="s">
        <v>4545</v>
      </c>
      <c r="J7178" t="s">
        <v>31423</v>
      </c>
      <c r="K7178" t="s">
        <v>40286</v>
      </c>
      <c r="M7178" t="s">
        <v>40956</v>
      </c>
      <c r="N7178" t="s">
        <v>44759</v>
      </c>
      <c r="O7178" t="s">
        <v>44760</v>
      </c>
      <c r="P7178">
        <v>0</v>
      </c>
      <c r="Q7178">
        <v>0</v>
      </c>
      <c r="R7178" t="s">
        <v>44767</v>
      </c>
      <c r="S7178" t="s">
        <v>44954</v>
      </c>
      <c r="T7178" t="s">
        <v>46700</v>
      </c>
      <c r="U7178" t="s">
        <v>52957</v>
      </c>
      <c r="W7178" t="s">
        <v>40956</v>
      </c>
      <c r="X7178" t="s">
        <v>44768</v>
      </c>
    </row>
    <row r="7179" spans="1:24">
      <c r="A7179">
        <f>HYPERLINK("https://www.philgeps.gov.ph/GEPSNONPILOT/Tender/SplashBidNoticeAbstractUI.aspx?menuIndex=3&amp;refID=7143401&amp;Result=3","7143401")</f>
        <v>0</v>
      </c>
      <c r="B7179" t="s">
        <v>303</v>
      </c>
      <c r="C7179" t="s">
        <v>10575</v>
      </c>
      <c r="D7179" t="s">
        <v>17951</v>
      </c>
      <c r="E7179" t="s">
        <v>24331</v>
      </c>
      <c r="F7179" t="s">
        <v>30900</v>
      </c>
      <c r="G7179" t="s">
        <v>30908</v>
      </c>
      <c r="H7179" t="s">
        <v>30916</v>
      </c>
      <c r="I7179" t="s">
        <v>30997</v>
      </c>
      <c r="J7179" t="s">
        <v>35618</v>
      </c>
      <c r="K7179" t="s">
        <v>40284</v>
      </c>
      <c r="M7179" t="s">
        <v>40852</v>
      </c>
      <c r="N7179" t="s">
        <v>44759</v>
      </c>
      <c r="O7179" t="s">
        <v>44760</v>
      </c>
      <c r="P7179">
        <v>0</v>
      </c>
      <c r="Q7179">
        <v>0</v>
      </c>
      <c r="R7179" t="s">
        <v>44767</v>
      </c>
      <c r="S7179" t="s">
        <v>44954</v>
      </c>
      <c r="T7179" t="s">
        <v>46533</v>
      </c>
      <c r="U7179" t="s">
        <v>52879</v>
      </c>
      <c r="W7179" t="s">
        <v>40852</v>
      </c>
      <c r="X7179" t="s">
        <v>44768</v>
      </c>
    </row>
    <row r="7180" spans="1:24">
      <c r="A7180">
        <f>HYPERLINK("https://www.philgeps.gov.ph/GEPSNONPILOT/Tender/SplashBidNoticeAbstractUI.aspx?menuIndex=3&amp;refID=7143342&amp;Result=3","7143342")</f>
        <v>0</v>
      </c>
      <c r="B7180" t="s">
        <v>1712</v>
      </c>
      <c r="C7180" t="s">
        <v>10576</v>
      </c>
      <c r="D7180" t="s">
        <v>17971</v>
      </c>
      <c r="E7180" t="s">
        <v>24332</v>
      </c>
      <c r="F7180" t="s">
        <v>30899</v>
      </c>
      <c r="G7180" t="s">
        <v>30908</v>
      </c>
      <c r="H7180" t="s">
        <v>30916</v>
      </c>
      <c r="I7180" t="s">
        <v>4108</v>
      </c>
      <c r="J7180" t="s">
        <v>31101</v>
      </c>
      <c r="K7180" t="s">
        <v>40283</v>
      </c>
      <c r="M7180" t="s">
        <v>42375</v>
      </c>
      <c r="N7180" t="s">
        <v>44759</v>
      </c>
      <c r="O7180" t="s">
        <v>44760</v>
      </c>
      <c r="P7180">
        <v>0</v>
      </c>
      <c r="Q7180">
        <v>5</v>
      </c>
      <c r="R7180" t="s">
        <v>44767</v>
      </c>
      <c r="S7180" t="s">
        <v>44954</v>
      </c>
      <c r="T7180" t="s">
        <v>46403</v>
      </c>
      <c r="U7180" t="s">
        <v>52958</v>
      </c>
      <c r="W7180" t="s">
        <v>42375</v>
      </c>
      <c r="X7180" t="s">
        <v>44768</v>
      </c>
    </row>
    <row r="7181" spans="1:24">
      <c r="A7181">
        <f>HYPERLINK("https://www.philgeps.gov.ph/GEPSNONPILOT/Tender/SplashBidNoticeAbstractUI.aspx?menuIndex=3&amp;refID=7143392&amp;Result=3","7143392")</f>
        <v>0</v>
      </c>
      <c r="B7181" t="s">
        <v>591</v>
      </c>
      <c r="C7181" t="s">
        <v>10577</v>
      </c>
      <c r="D7181" t="s">
        <v>17998</v>
      </c>
      <c r="E7181" t="s">
        <v>24333</v>
      </c>
      <c r="F7181" t="s">
        <v>30900</v>
      </c>
      <c r="G7181" t="s">
        <v>30907</v>
      </c>
      <c r="H7181" t="s">
        <v>30916</v>
      </c>
      <c r="I7181" t="s">
        <v>30924</v>
      </c>
      <c r="J7181" t="s">
        <v>31050</v>
      </c>
      <c r="K7181" t="s">
        <v>40286</v>
      </c>
      <c r="M7181" t="s">
        <v>41247</v>
      </c>
      <c r="N7181" t="s">
        <v>44759</v>
      </c>
      <c r="O7181" t="s">
        <v>44760</v>
      </c>
      <c r="P7181">
        <v>0</v>
      </c>
      <c r="Q7181">
        <v>2</v>
      </c>
      <c r="R7181" t="s">
        <v>44767</v>
      </c>
      <c r="S7181" t="s">
        <v>44954</v>
      </c>
      <c r="T7181" t="s">
        <v>46403</v>
      </c>
      <c r="U7181" t="s">
        <v>47975</v>
      </c>
      <c r="V7181" t="s">
        <v>59259</v>
      </c>
      <c r="W7181" t="s">
        <v>41247</v>
      </c>
      <c r="X7181" t="s">
        <v>44768</v>
      </c>
    </row>
    <row r="7182" spans="1:24">
      <c r="A7182">
        <f>HYPERLINK("https://www.philgeps.gov.ph/GEPSNONPILOT/Tender/SplashBidNoticeAbstractUI.aspx?menuIndex=3&amp;refID=7143353&amp;Result=3","7143353")</f>
        <v>0</v>
      </c>
      <c r="B7182" t="s">
        <v>1240</v>
      </c>
      <c r="C7182" t="s">
        <v>10578</v>
      </c>
      <c r="D7182" t="s">
        <v>18010</v>
      </c>
      <c r="E7182" t="s">
        <v>24334</v>
      </c>
      <c r="F7182" t="s">
        <v>30900</v>
      </c>
      <c r="G7182" t="s">
        <v>30907</v>
      </c>
      <c r="H7182" t="s">
        <v>30915</v>
      </c>
      <c r="I7182" t="s">
        <v>30919</v>
      </c>
      <c r="J7182" t="s">
        <v>35619</v>
      </c>
      <c r="K7182" t="s">
        <v>40287</v>
      </c>
      <c r="M7182" t="s">
        <v>41852</v>
      </c>
      <c r="N7182" t="s">
        <v>44759</v>
      </c>
      <c r="O7182" t="s">
        <v>44760</v>
      </c>
      <c r="P7182">
        <v>0</v>
      </c>
      <c r="Q7182">
        <v>2</v>
      </c>
      <c r="R7182" t="s">
        <v>44767</v>
      </c>
      <c r="S7182" t="s">
        <v>44954</v>
      </c>
      <c r="T7182" t="s">
        <v>46414</v>
      </c>
      <c r="U7182" t="s">
        <v>52959</v>
      </c>
      <c r="V7182" t="s">
        <v>59887</v>
      </c>
      <c r="W7182" t="s">
        <v>41852</v>
      </c>
      <c r="X7182" t="s">
        <v>44768</v>
      </c>
    </row>
    <row r="7183" spans="1:24">
      <c r="A7183">
        <f>HYPERLINK("https://www.philgeps.gov.ph/GEPSNONPILOT/Tender/SplashBidNoticeAbstractUI.aspx?menuIndex=3&amp;refID=7143390&amp;Result=3","7143390")</f>
        <v>0</v>
      </c>
      <c r="B7183" t="s">
        <v>243</v>
      </c>
      <c r="C7183" t="s">
        <v>10579</v>
      </c>
      <c r="D7183" t="s">
        <v>17999</v>
      </c>
      <c r="E7183" t="s">
        <v>24335</v>
      </c>
      <c r="F7183" t="s">
        <v>30900</v>
      </c>
      <c r="G7183" t="s">
        <v>30908</v>
      </c>
      <c r="H7183" t="s">
        <v>30916</v>
      </c>
      <c r="I7183" t="s">
        <v>10879</v>
      </c>
      <c r="J7183" t="s">
        <v>31049</v>
      </c>
      <c r="K7183" t="s">
        <v>40286</v>
      </c>
      <c r="M7183" t="s">
        <v>40790</v>
      </c>
      <c r="N7183" t="s">
        <v>44759</v>
      </c>
      <c r="O7183" t="s">
        <v>44760</v>
      </c>
      <c r="P7183">
        <v>0</v>
      </c>
      <c r="Q7183">
        <v>7</v>
      </c>
      <c r="R7183" t="s">
        <v>44767</v>
      </c>
      <c r="S7183" t="s">
        <v>44954</v>
      </c>
      <c r="T7183" t="s">
        <v>46454</v>
      </c>
      <c r="U7183" t="s">
        <v>52960</v>
      </c>
      <c r="V7183" t="s">
        <v>59845</v>
      </c>
      <c r="W7183" t="s">
        <v>60887</v>
      </c>
      <c r="X7183" t="s">
        <v>44768</v>
      </c>
    </row>
    <row r="7184" spans="1:24">
      <c r="A7184">
        <f>HYPERLINK("https://www.philgeps.gov.ph/GEPSNONPILOT/Tender/SplashBidNoticeAbstractUI.aspx?menuIndex=3&amp;refID=7143388&amp;Result=3","7143388")</f>
        <v>0</v>
      </c>
      <c r="B7184" t="s">
        <v>2467</v>
      </c>
      <c r="C7184" t="s">
        <v>10580</v>
      </c>
      <c r="D7184" t="s">
        <v>17966</v>
      </c>
      <c r="E7184" t="s">
        <v>24336</v>
      </c>
      <c r="F7184" t="s">
        <v>30900</v>
      </c>
      <c r="G7184" t="s">
        <v>30907</v>
      </c>
      <c r="H7184" t="s">
        <v>30916</v>
      </c>
      <c r="I7184" t="s">
        <v>30994</v>
      </c>
      <c r="J7184" t="s">
        <v>35620</v>
      </c>
      <c r="K7184" t="s">
        <v>40286</v>
      </c>
      <c r="M7184" t="s">
        <v>43205</v>
      </c>
      <c r="N7184" t="s">
        <v>44759</v>
      </c>
      <c r="O7184" t="s">
        <v>44760</v>
      </c>
      <c r="P7184">
        <v>0</v>
      </c>
      <c r="Q7184">
        <v>4</v>
      </c>
      <c r="R7184" t="s">
        <v>44767</v>
      </c>
      <c r="S7184" t="s">
        <v>44954</v>
      </c>
      <c r="T7184" t="s">
        <v>46495</v>
      </c>
      <c r="U7184" t="s">
        <v>52961</v>
      </c>
      <c r="W7184" t="s">
        <v>43205</v>
      </c>
      <c r="X7184" t="s">
        <v>44768</v>
      </c>
    </row>
    <row r="7185" spans="1:24">
      <c r="A7185">
        <f>HYPERLINK("https://www.philgeps.gov.ph/GEPSNONPILOT/Tender/SplashBidNoticeAbstractUI.aspx?menuIndex=3&amp;refID=7143412&amp;Result=3","7143412")</f>
        <v>0</v>
      </c>
      <c r="B7185" t="s">
        <v>591</v>
      </c>
      <c r="C7185" t="s">
        <v>10581</v>
      </c>
      <c r="D7185" t="s">
        <v>17998</v>
      </c>
      <c r="E7185" t="s">
        <v>24337</v>
      </c>
      <c r="F7185" t="s">
        <v>30900</v>
      </c>
      <c r="G7185" t="s">
        <v>30907</v>
      </c>
      <c r="H7185" t="s">
        <v>30916</v>
      </c>
      <c r="I7185" t="s">
        <v>4545</v>
      </c>
      <c r="J7185" t="s">
        <v>31247</v>
      </c>
      <c r="K7185" t="s">
        <v>40286</v>
      </c>
      <c r="M7185" t="s">
        <v>41247</v>
      </c>
      <c r="N7185" t="s">
        <v>44759</v>
      </c>
      <c r="O7185" t="s">
        <v>44760</v>
      </c>
      <c r="P7185">
        <v>0</v>
      </c>
      <c r="Q7185">
        <v>1</v>
      </c>
      <c r="R7185" t="s">
        <v>44767</v>
      </c>
      <c r="S7185" t="s">
        <v>44954</v>
      </c>
      <c r="T7185" t="s">
        <v>46403</v>
      </c>
      <c r="U7185" t="s">
        <v>47975</v>
      </c>
      <c r="V7185" t="s">
        <v>59259</v>
      </c>
      <c r="W7185" t="s">
        <v>41247</v>
      </c>
      <c r="X7185" t="s">
        <v>44768</v>
      </c>
    </row>
    <row r="7186" spans="1:24">
      <c r="A7186">
        <f>HYPERLINK("https://www.philgeps.gov.ph/GEPSNONPILOT/Tender/SplashBidNoticeAbstractUI.aspx?menuIndex=3&amp;refID=7143407&amp;Result=3","7143407")</f>
        <v>0</v>
      </c>
      <c r="B7186" t="s">
        <v>721</v>
      </c>
      <c r="C7186" t="s">
        <v>10582</v>
      </c>
      <c r="D7186" t="s">
        <v>17973</v>
      </c>
      <c r="E7186" t="s">
        <v>24338</v>
      </c>
      <c r="F7186" t="s">
        <v>30900</v>
      </c>
      <c r="G7186" t="s">
        <v>30906</v>
      </c>
      <c r="H7186" t="s">
        <v>30916</v>
      </c>
      <c r="I7186" t="s">
        <v>30939</v>
      </c>
      <c r="J7186" t="s">
        <v>35621</v>
      </c>
      <c r="K7186" t="s">
        <v>40289</v>
      </c>
      <c r="M7186" t="s">
        <v>41285</v>
      </c>
      <c r="N7186" t="s">
        <v>44759</v>
      </c>
      <c r="O7186" t="s">
        <v>44760</v>
      </c>
      <c r="P7186">
        <v>0</v>
      </c>
      <c r="Q7186">
        <v>2</v>
      </c>
      <c r="R7186" t="s">
        <v>44767</v>
      </c>
      <c r="S7186" t="s">
        <v>44954</v>
      </c>
      <c r="T7186" t="s">
        <v>46389</v>
      </c>
      <c r="U7186" t="s">
        <v>52962</v>
      </c>
      <c r="W7186" t="s">
        <v>41285</v>
      </c>
      <c r="X7186" t="s">
        <v>44768</v>
      </c>
    </row>
    <row r="7187" spans="1:24">
      <c r="A7187">
        <f>HYPERLINK("https://www.philgeps.gov.ph/GEPSNONPILOT/Tender/SplashBidNoticeAbstractUI.aspx?menuIndex=3&amp;refID=7143403&amp;Result=3","7143403")</f>
        <v>0</v>
      </c>
      <c r="B7187" t="s">
        <v>2468</v>
      </c>
      <c r="C7187" t="s">
        <v>10583</v>
      </c>
      <c r="D7187" t="s">
        <v>17963</v>
      </c>
      <c r="E7187" t="s">
        <v>19382</v>
      </c>
      <c r="F7187" t="s">
        <v>30900</v>
      </c>
      <c r="G7187" t="s">
        <v>30907</v>
      </c>
      <c r="H7187" t="s">
        <v>30915</v>
      </c>
      <c r="I7187" t="s">
        <v>30919</v>
      </c>
      <c r="J7187" t="s">
        <v>35622</v>
      </c>
      <c r="K7187" t="s">
        <v>40291</v>
      </c>
      <c r="M7187" t="s">
        <v>43206</v>
      </c>
      <c r="N7187" t="s">
        <v>44759</v>
      </c>
      <c r="O7187" t="s">
        <v>44760</v>
      </c>
      <c r="P7187">
        <v>0</v>
      </c>
      <c r="Q7187">
        <v>1</v>
      </c>
      <c r="R7187" t="s">
        <v>44767</v>
      </c>
      <c r="S7187" t="s">
        <v>44954</v>
      </c>
      <c r="T7187" t="s">
        <v>46534</v>
      </c>
      <c r="U7187" t="s">
        <v>52963</v>
      </c>
      <c r="W7187" t="s">
        <v>43206</v>
      </c>
      <c r="X7187" t="s">
        <v>44768</v>
      </c>
    </row>
    <row r="7188" spans="1:24">
      <c r="A7188">
        <f>HYPERLINK("https://www.philgeps.gov.ph/GEPSNONPILOT/Tender/SplashBidNoticeAbstractUI.aspx?menuIndex=3&amp;refID=7143405&amp;Result=3","7143405")</f>
        <v>0</v>
      </c>
      <c r="B7188" t="s">
        <v>1075</v>
      </c>
      <c r="C7188" t="s">
        <v>10584</v>
      </c>
      <c r="D7188" t="s">
        <v>17963</v>
      </c>
      <c r="E7188" t="s">
        <v>24339</v>
      </c>
      <c r="F7188" t="s">
        <v>30900</v>
      </c>
      <c r="G7188" t="s">
        <v>30908</v>
      </c>
      <c r="H7188" t="s">
        <v>30916</v>
      </c>
      <c r="I7188" t="s">
        <v>8123</v>
      </c>
      <c r="J7188" t="s">
        <v>35623</v>
      </c>
      <c r="K7188" t="s">
        <v>40291</v>
      </c>
      <c r="M7188" t="s">
        <v>42118</v>
      </c>
      <c r="N7188" t="s">
        <v>44759</v>
      </c>
      <c r="O7188" t="s">
        <v>44760</v>
      </c>
      <c r="P7188">
        <v>0</v>
      </c>
      <c r="Q7188">
        <v>3</v>
      </c>
      <c r="R7188" t="s">
        <v>44767</v>
      </c>
      <c r="S7188" t="s">
        <v>44954</v>
      </c>
      <c r="T7188" t="s">
        <v>46686</v>
      </c>
      <c r="U7188" t="s">
        <v>52964</v>
      </c>
      <c r="W7188" t="s">
        <v>42118</v>
      </c>
      <c r="X7188" t="s">
        <v>44768</v>
      </c>
    </row>
    <row r="7189" spans="1:24">
      <c r="A7189">
        <f>HYPERLINK("https://www.philgeps.gov.ph/GEPSNONPILOT/Tender/SplashBidNoticeAbstractUI.aspx?menuIndex=3&amp;refID=7143397&amp;Result=3","7143397")</f>
        <v>0</v>
      </c>
      <c r="B7189" t="s">
        <v>408</v>
      </c>
      <c r="C7189" t="s">
        <v>4545</v>
      </c>
      <c r="E7189" t="s">
        <v>24340</v>
      </c>
      <c r="F7189" t="s">
        <v>30900</v>
      </c>
      <c r="G7189" t="s">
        <v>30907</v>
      </c>
      <c r="H7189" t="s">
        <v>30916</v>
      </c>
      <c r="I7189" t="s">
        <v>4545</v>
      </c>
      <c r="J7189" t="s">
        <v>35624</v>
      </c>
      <c r="K7189" t="s">
        <v>40289</v>
      </c>
      <c r="M7189" t="s">
        <v>40964</v>
      </c>
      <c r="N7189" t="s">
        <v>44759</v>
      </c>
      <c r="O7189" t="s">
        <v>44760</v>
      </c>
      <c r="P7189">
        <v>0</v>
      </c>
      <c r="Q7189">
        <v>0</v>
      </c>
      <c r="R7189" t="s">
        <v>44767</v>
      </c>
      <c r="S7189" t="s">
        <v>44954</v>
      </c>
      <c r="T7189" t="s">
        <v>46770</v>
      </c>
      <c r="U7189" t="s">
        <v>52965</v>
      </c>
      <c r="W7189" t="s">
        <v>40964</v>
      </c>
      <c r="X7189" t="s">
        <v>44768</v>
      </c>
    </row>
    <row r="7190" spans="1:24">
      <c r="A7190">
        <f>HYPERLINK("https://www.philgeps.gov.ph/GEPSNONPILOT/Tender/SplashBidNoticeAbstractUI.aspx?menuIndex=3&amp;refID=7143402&amp;Result=3","7143402")</f>
        <v>0</v>
      </c>
      <c r="B7190" t="s">
        <v>504</v>
      </c>
      <c r="C7190" t="s">
        <v>10585</v>
      </c>
      <c r="D7190" t="s">
        <v>18012</v>
      </c>
      <c r="E7190" t="s">
        <v>24341</v>
      </c>
      <c r="F7190" t="s">
        <v>30900</v>
      </c>
      <c r="G7190" t="s">
        <v>30907</v>
      </c>
      <c r="H7190" t="s">
        <v>30916</v>
      </c>
      <c r="I7190" t="s">
        <v>4142</v>
      </c>
      <c r="J7190" t="s">
        <v>35625</v>
      </c>
      <c r="K7190" t="s">
        <v>40289</v>
      </c>
      <c r="M7190" t="s">
        <v>41064</v>
      </c>
      <c r="N7190" t="s">
        <v>44759</v>
      </c>
      <c r="O7190" t="s">
        <v>44760</v>
      </c>
      <c r="P7190">
        <v>0</v>
      </c>
      <c r="Q7190">
        <v>1</v>
      </c>
      <c r="R7190" t="s">
        <v>44767</v>
      </c>
      <c r="S7190" t="s">
        <v>44954</v>
      </c>
      <c r="T7190" t="s">
        <v>46531</v>
      </c>
      <c r="U7190" t="s">
        <v>52966</v>
      </c>
      <c r="W7190" t="s">
        <v>41064</v>
      </c>
      <c r="X7190" t="s">
        <v>44768</v>
      </c>
    </row>
    <row r="7191" spans="1:24">
      <c r="A7191">
        <f>HYPERLINK("https://www.philgeps.gov.ph/GEPSNONPILOT/Tender/SplashBidNoticeAbstractUI.aspx?menuIndex=3&amp;refID=7143378&amp;Result=3","7143378")</f>
        <v>0</v>
      </c>
      <c r="B7191" t="s">
        <v>237</v>
      </c>
      <c r="C7191" t="s">
        <v>10586</v>
      </c>
      <c r="D7191" t="s">
        <v>17977</v>
      </c>
      <c r="E7191" t="s">
        <v>24342</v>
      </c>
      <c r="F7191" t="s">
        <v>30900</v>
      </c>
      <c r="G7191" t="s">
        <v>30906</v>
      </c>
      <c r="H7191" t="s">
        <v>30916</v>
      </c>
      <c r="I7191" t="s">
        <v>30933</v>
      </c>
      <c r="J7191" t="s">
        <v>35626</v>
      </c>
      <c r="K7191" t="s">
        <v>40289</v>
      </c>
      <c r="M7191" t="s">
        <v>40784</v>
      </c>
      <c r="N7191" t="s">
        <v>44759</v>
      </c>
      <c r="O7191" t="s">
        <v>44760</v>
      </c>
      <c r="P7191">
        <v>0</v>
      </c>
      <c r="Q7191">
        <v>3</v>
      </c>
      <c r="R7191" t="s">
        <v>44767</v>
      </c>
      <c r="S7191" t="s">
        <v>44954</v>
      </c>
      <c r="T7191" t="s">
        <v>46704</v>
      </c>
      <c r="U7191" t="s">
        <v>52967</v>
      </c>
      <c r="W7191" t="s">
        <v>40784</v>
      </c>
      <c r="X7191" t="s">
        <v>44768</v>
      </c>
    </row>
    <row r="7192" spans="1:24">
      <c r="A7192">
        <f>HYPERLINK("https://www.philgeps.gov.ph/GEPSNONPILOT/Tender/SplashBidNoticeAbstractUI.aspx?menuIndex=3&amp;refID=7143374&amp;Result=3","7143374")</f>
        <v>0</v>
      </c>
      <c r="B7192" t="s">
        <v>591</v>
      </c>
      <c r="C7192" t="s">
        <v>10587</v>
      </c>
      <c r="D7192" t="s">
        <v>17998</v>
      </c>
      <c r="E7192" t="s">
        <v>24343</v>
      </c>
      <c r="F7192" t="s">
        <v>30900</v>
      </c>
      <c r="G7192" t="s">
        <v>30907</v>
      </c>
      <c r="H7192" t="s">
        <v>30916</v>
      </c>
      <c r="I7192" t="s">
        <v>10602</v>
      </c>
      <c r="J7192" t="s">
        <v>35627</v>
      </c>
      <c r="K7192" t="s">
        <v>40281</v>
      </c>
      <c r="M7192" t="s">
        <v>41247</v>
      </c>
      <c r="N7192" t="s">
        <v>44759</v>
      </c>
      <c r="O7192" t="s">
        <v>44760</v>
      </c>
      <c r="P7192">
        <v>0</v>
      </c>
      <c r="Q7192">
        <v>0</v>
      </c>
      <c r="R7192" t="s">
        <v>44767</v>
      </c>
      <c r="S7192" t="s">
        <v>44954</v>
      </c>
      <c r="T7192" t="s">
        <v>46403</v>
      </c>
      <c r="U7192" t="s">
        <v>47975</v>
      </c>
      <c r="V7192" t="s">
        <v>59259</v>
      </c>
      <c r="W7192" t="s">
        <v>41247</v>
      </c>
      <c r="X7192" t="s">
        <v>44768</v>
      </c>
    </row>
    <row r="7193" spans="1:24">
      <c r="A7193">
        <f>HYPERLINK("https://www.philgeps.gov.ph/GEPSNONPILOT/Tender/SplashBidNoticeAbstractUI.aspx?menuIndex=3&amp;refID=7143364&amp;Result=3","7143364")</f>
        <v>0</v>
      </c>
      <c r="B7193" t="s">
        <v>721</v>
      </c>
      <c r="C7193" t="s">
        <v>10588</v>
      </c>
      <c r="D7193" t="s">
        <v>17973</v>
      </c>
      <c r="E7193" t="s">
        <v>24344</v>
      </c>
      <c r="F7193" t="s">
        <v>30900</v>
      </c>
      <c r="G7193" t="s">
        <v>30906</v>
      </c>
      <c r="H7193" t="s">
        <v>30916</v>
      </c>
      <c r="I7193" t="s">
        <v>6953</v>
      </c>
      <c r="J7193" t="s">
        <v>35628</v>
      </c>
      <c r="K7193" t="s">
        <v>40283</v>
      </c>
      <c r="M7193" t="s">
        <v>41285</v>
      </c>
      <c r="N7193" t="s">
        <v>44759</v>
      </c>
      <c r="O7193" t="s">
        <v>44760</v>
      </c>
      <c r="P7193">
        <v>0</v>
      </c>
      <c r="Q7193">
        <v>4</v>
      </c>
      <c r="R7193" t="s">
        <v>44767</v>
      </c>
      <c r="S7193" t="s">
        <v>44954</v>
      </c>
      <c r="T7193" t="s">
        <v>46389</v>
      </c>
      <c r="U7193" t="s">
        <v>52968</v>
      </c>
      <c r="W7193" t="s">
        <v>41285</v>
      </c>
      <c r="X7193" t="s">
        <v>44768</v>
      </c>
    </row>
    <row r="7194" spans="1:24">
      <c r="A7194">
        <f>HYPERLINK("https://www.philgeps.gov.ph/GEPSNONPILOT/Tender/SplashBidNoticeAbstractUI.aspx?menuIndex=3&amp;refID=7143328&amp;Result=3","7143328")</f>
        <v>0</v>
      </c>
      <c r="B7194" t="s">
        <v>237</v>
      </c>
      <c r="C7194" t="s">
        <v>10589</v>
      </c>
      <c r="D7194" t="s">
        <v>17977</v>
      </c>
      <c r="E7194" t="s">
        <v>24345</v>
      </c>
      <c r="F7194" t="s">
        <v>30900</v>
      </c>
      <c r="G7194" t="s">
        <v>30906</v>
      </c>
      <c r="H7194" t="s">
        <v>30916</v>
      </c>
      <c r="I7194" t="s">
        <v>9385</v>
      </c>
      <c r="J7194" t="s">
        <v>35629</v>
      </c>
      <c r="K7194" t="s">
        <v>40289</v>
      </c>
      <c r="M7194" t="s">
        <v>40784</v>
      </c>
      <c r="N7194" t="s">
        <v>44759</v>
      </c>
      <c r="O7194" t="s">
        <v>44760</v>
      </c>
      <c r="P7194">
        <v>0</v>
      </c>
      <c r="Q7194">
        <v>12</v>
      </c>
      <c r="R7194" t="s">
        <v>44767</v>
      </c>
      <c r="S7194" t="s">
        <v>44954</v>
      </c>
      <c r="T7194" t="s">
        <v>46704</v>
      </c>
      <c r="U7194" t="s">
        <v>52969</v>
      </c>
      <c r="W7194" t="s">
        <v>40784</v>
      </c>
      <c r="X7194" t="s">
        <v>44768</v>
      </c>
    </row>
    <row r="7195" spans="1:24">
      <c r="A7195">
        <f>HYPERLINK("https://www.philgeps.gov.ph/GEPSNONPILOT/Tender/SplashBidNoticeAbstractUI.aspx?menuIndex=3&amp;refID=7143362&amp;Result=3","7143362")</f>
        <v>0</v>
      </c>
      <c r="B7195" t="s">
        <v>303</v>
      </c>
      <c r="C7195" t="s">
        <v>10590</v>
      </c>
      <c r="D7195" t="s">
        <v>17951</v>
      </c>
      <c r="E7195" t="s">
        <v>24346</v>
      </c>
      <c r="F7195" t="s">
        <v>30900</v>
      </c>
      <c r="G7195" t="s">
        <v>30908</v>
      </c>
      <c r="H7195" t="s">
        <v>30916</v>
      </c>
      <c r="I7195" t="s">
        <v>30939</v>
      </c>
      <c r="J7195" t="s">
        <v>31614</v>
      </c>
      <c r="K7195" t="s">
        <v>40284</v>
      </c>
      <c r="M7195" t="s">
        <v>40852</v>
      </c>
      <c r="N7195" t="s">
        <v>44759</v>
      </c>
      <c r="O7195" t="s">
        <v>44760</v>
      </c>
      <c r="P7195">
        <v>0</v>
      </c>
      <c r="Q7195">
        <v>0</v>
      </c>
      <c r="R7195" t="s">
        <v>44767</v>
      </c>
      <c r="S7195" t="s">
        <v>44954</v>
      </c>
      <c r="T7195" t="s">
        <v>46533</v>
      </c>
      <c r="U7195" t="s">
        <v>52879</v>
      </c>
      <c r="W7195" t="s">
        <v>40852</v>
      </c>
      <c r="X7195" t="s">
        <v>44768</v>
      </c>
    </row>
    <row r="7196" spans="1:24">
      <c r="A7196">
        <f>HYPERLINK("https://www.philgeps.gov.ph/GEPSNONPILOT/Tender/SplashBidNoticeAbstractUI.aspx?menuIndex=3&amp;refID=7143415&amp;Result=3","7143415")</f>
        <v>0</v>
      </c>
      <c r="B7196" t="s">
        <v>408</v>
      </c>
      <c r="C7196" t="s">
        <v>5501</v>
      </c>
      <c r="E7196" t="s">
        <v>24347</v>
      </c>
      <c r="F7196" t="s">
        <v>30900</v>
      </c>
      <c r="G7196" t="s">
        <v>30907</v>
      </c>
      <c r="H7196" t="s">
        <v>30916</v>
      </c>
      <c r="I7196" t="s">
        <v>5501</v>
      </c>
      <c r="J7196" t="s">
        <v>35630</v>
      </c>
      <c r="K7196" t="s">
        <v>40289</v>
      </c>
      <c r="M7196" t="s">
        <v>40964</v>
      </c>
      <c r="N7196" t="s">
        <v>44759</v>
      </c>
      <c r="O7196" t="s">
        <v>44760</v>
      </c>
      <c r="P7196">
        <v>0</v>
      </c>
      <c r="Q7196">
        <v>1</v>
      </c>
      <c r="R7196" t="s">
        <v>44767</v>
      </c>
      <c r="S7196" t="s">
        <v>44954</v>
      </c>
      <c r="T7196" t="s">
        <v>46770</v>
      </c>
      <c r="U7196" t="s">
        <v>52970</v>
      </c>
      <c r="W7196" t="s">
        <v>40964</v>
      </c>
      <c r="X7196" t="s">
        <v>44768</v>
      </c>
    </row>
    <row r="7197" spans="1:24">
      <c r="A7197">
        <f>HYPERLINK("https://www.philgeps.gov.ph/GEPSNONPILOT/Tender/SplashBidNoticeAbstractUI.aspx?menuIndex=3&amp;refID=7143382&amp;Result=3","7143382")</f>
        <v>0</v>
      </c>
      <c r="B7197" t="s">
        <v>1000</v>
      </c>
      <c r="C7197" t="s">
        <v>10591</v>
      </c>
      <c r="D7197" t="s">
        <v>18001</v>
      </c>
      <c r="E7197" t="s">
        <v>24348</v>
      </c>
      <c r="F7197" t="s">
        <v>30900</v>
      </c>
      <c r="G7197" t="s">
        <v>30908</v>
      </c>
      <c r="H7197" t="s">
        <v>30916</v>
      </c>
      <c r="I7197" t="s">
        <v>30997</v>
      </c>
      <c r="J7197" t="s">
        <v>32028</v>
      </c>
      <c r="K7197" t="s">
        <v>40280</v>
      </c>
      <c r="M7197" t="s">
        <v>41589</v>
      </c>
      <c r="N7197" t="s">
        <v>44759</v>
      </c>
      <c r="O7197" t="s">
        <v>44760</v>
      </c>
      <c r="P7197">
        <v>0</v>
      </c>
      <c r="Q7197">
        <v>2</v>
      </c>
      <c r="R7197" t="s">
        <v>44767</v>
      </c>
      <c r="S7197" t="s">
        <v>44954</v>
      </c>
      <c r="T7197" t="s">
        <v>46771</v>
      </c>
      <c r="U7197" t="s">
        <v>52971</v>
      </c>
      <c r="W7197" t="s">
        <v>41589</v>
      </c>
      <c r="X7197" t="s">
        <v>44768</v>
      </c>
    </row>
    <row r="7198" spans="1:24">
      <c r="A7198">
        <f>HYPERLINK("https://www.philgeps.gov.ph/GEPSNONPILOT/Tender/SplashBidNoticeAbstractUI.aspx?menuIndex=3&amp;refID=7143448&amp;Result=3","7143448")</f>
        <v>0</v>
      </c>
      <c r="B7198" t="s">
        <v>1075</v>
      </c>
      <c r="C7198" t="s">
        <v>10592</v>
      </c>
      <c r="D7198" t="s">
        <v>17963</v>
      </c>
      <c r="E7198" t="s">
        <v>24349</v>
      </c>
      <c r="F7198" t="s">
        <v>30900</v>
      </c>
      <c r="G7198" t="s">
        <v>30908</v>
      </c>
      <c r="H7198" t="s">
        <v>30916</v>
      </c>
      <c r="I7198" t="s">
        <v>6408</v>
      </c>
      <c r="J7198" t="s">
        <v>31355</v>
      </c>
      <c r="K7198" t="s">
        <v>40291</v>
      </c>
      <c r="M7198" t="s">
        <v>42118</v>
      </c>
      <c r="N7198" t="s">
        <v>44759</v>
      </c>
      <c r="O7198" t="s">
        <v>44760</v>
      </c>
      <c r="P7198">
        <v>0</v>
      </c>
      <c r="Q7198">
        <v>6</v>
      </c>
      <c r="R7198" t="s">
        <v>44767</v>
      </c>
      <c r="S7198" t="s">
        <v>44954</v>
      </c>
      <c r="T7198" t="s">
        <v>46686</v>
      </c>
      <c r="U7198" t="s">
        <v>52972</v>
      </c>
      <c r="W7198" t="s">
        <v>42118</v>
      </c>
      <c r="X7198" t="s">
        <v>44768</v>
      </c>
    </row>
    <row r="7199" spans="1:24">
      <c r="A7199">
        <f>HYPERLINK("https://www.philgeps.gov.ph/GEPSNONPILOT/Tender/SplashBidNoticeAbstractUI.aspx?menuIndex=3&amp;refID=7143373&amp;Result=3","7143373")</f>
        <v>0</v>
      </c>
      <c r="B7199" t="s">
        <v>2469</v>
      </c>
      <c r="C7199" t="s">
        <v>10593</v>
      </c>
      <c r="D7199" t="s">
        <v>18000</v>
      </c>
      <c r="E7199" t="s">
        <v>24350</v>
      </c>
      <c r="F7199" t="s">
        <v>30900</v>
      </c>
      <c r="G7199" t="s">
        <v>30907</v>
      </c>
      <c r="H7199" t="s">
        <v>30915</v>
      </c>
      <c r="I7199" t="s">
        <v>30919</v>
      </c>
      <c r="J7199" t="s">
        <v>35631</v>
      </c>
      <c r="K7199" t="s">
        <v>40294</v>
      </c>
      <c r="M7199" t="s">
        <v>43207</v>
      </c>
      <c r="N7199" t="s">
        <v>44759</v>
      </c>
      <c r="O7199" t="s">
        <v>44760</v>
      </c>
      <c r="P7199">
        <v>0</v>
      </c>
      <c r="Q7199">
        <v>0</v>
      </c>
      <c r="R7199" t="s">
        <v>44767</v>
      </c>
      <c r="S7199" t="s">
        <v>44954</v>
      </c>
      <c r="T7199" t="s">
        <v>46533</v>
      </c>
      <c r="U7199" t="s">
        <v>52973</v>
      </c>
      <c r="W7199" t="s">
        <v>43207</v>
      </c>
      <c r="X7199" t="s">
        <v>44768</v>
      </c>
    </row>
    <row r="7200" spans="1:24">
      <c r="A7200">
        <f>HYPERLINK("https://www.philgeps.gov.ph/GEPSNONPILOT/Tender/SplashBidNoticeAbstractUI.aspx?menuIndex=3&amp;refID=7143319&amp;Result=3","7143319")</f>
        <v>0</v>
      </c>
      <c r="B7200" t="s">
        <v>2440</v>
      </c>
      <c r="C7200" t="s">
        <v>10594</v>
      </c>
      <c r="D7200" t="s">
        <v>17999</v>
      </c>
      <c r="E7200" t="s">
        <v>24351</v>
      </c>
      <c r="F7200" t="s">
        <v>30900</v>
      </c>
      <c r="G7200" t="s">
        <v>30907</v>
      </c>
      <c r="H7200" t="s">
        <v>30916</v>
      </c>
      <c r="I7200" t="s">
        <v>30940</v>
      </c>
      <c r="J7200" t="s">
        <v>35632</v>
      </c>
      <c r="K7200" t="s">
        <v>40286</v>
      </c>
      <c r="M7200" t="s">
        <v>43174</v>
      </c>
      <c r="N7200" t="s">
        <v>44759</v>
      </c>
      <c r="O7200" t="s">
        <v>44760</v>
      </c>
      <c r="Q7200">
        <v>3</v>
      </c>
      <c r="R7200" t="s">
        <v>44767</v>
      </c>
      <c r="S7200" t="s">
        <v>44961</v>
      </c>
      <c r="T7200" t="s">
        <v>46495</v>
      </c>
      <c r="U7200" t="s">
        <v>52974</v>
      </c>
      <c r="W7200" t="s">
        <v>43174</v>
      </c>
      <c r="X7200" t="s">
        <v>44768</v>
      </c>
    </row>
    <row r="7201" spans="1:24">
      <c r="A7201">
        <f>HYPERLINK("https://www.philgeps.gov.ph/GEPSNONPILOT/Tender/SplashBidNoticeAbstractUI.aspx?menuIndex=3&amp;refID=7143380&amp;Result=3","7143380")</f>
        <v>0</v>
      </c>
      <c r="B7201" t="s">
        <v>2470</v>
      </c>
      <c r="C7201" t="s">
        <v>10595</v>
      </c>
      <c r="D7201" t="s">
        <v>17976</v>
      </c>
      <c r="E7201" t="s">
        <v>24352</v>
      </c>
      <c r="F7201" t="s">
        <v>30900</v>
      </c>
      <c r="G7201" t="s">
        <v>30908</v>
      </c>
      <c r="H7201" t="s">
        <v>30916</v>
      </c>
      <c r="I7201" t="s">
        <v>4545</v>
      </c>
      <c r="J7201" t="s">
        <v>31413</v>
      </c>
      <c r="K7201" t="s">
        <v>40286</v>
      </c>
      <c r="M7201" t="s">
        <v>43208</v>
      </c>
      <c r="N7201" t="s">
        <v>44759</v>
      </c>
      <c r="O7201" t="s">
        <v>44760</v>
      </c>
      <c r="P7201">
        <v>0</v>
      </c>
      <c r="Q7201">
        <v>3</v>
      </c>
      <c r="R7201" t="s">
        <v>44767</v>
      </c>
      <c r="S7201" t="s">
        <v>44954</v>
      </c>
      <c r="T7201" t="s">
        <v>46704</v>
      </c>
      <c r="U7201" t="s">
        <v>52975</v>
      </c>
      <c r="W7201" t="s">
        <v>43208</v>
      </c>
      <c r="X7201" t="s">
        <v>44768</v>
      </c>
    </row>
    <row r="7202" spans="1:24">
      <c r="A7202">
        <f>HYPERLINK("https://www.philgeps.gov.ph/GEPSNONPILOT/Tender/SplashBidNoticeAbstractUI.aspx?menuIndex=3&amp;refID=7143359&amp;Result=3","7143359")</f>
        <v>0</v>
      </c>
      <c r="B7202" t="s">
        <v>2471</v>
      </c>
      <c r="C7202" t="s">
        <v>10596</v>
      </c>
      <c r="D7202" t="s">
        <v>17971</v>
      </c>
      <c r="E7202" t="s">
        <v>24353</v>
      </c>
      <c r="F7202" t="s">
        <v>30900</v>
      </c>
      <c r="G7202" t="s">
        <v>30908</v>
      </c>
      <c r="H7202" t="s">
        <v>30916</v>
      </c>
      <c r="I7202" t="s">
        <v>30939</v>
      </c>
      <c r="J7202" t="s">
        <v>32102</v>
      </c>
      <c r="K7202" t="s">
        <v>40292</v>
      </c>
      <c r="M7202" t="s">
        <v>43209</v>
      </c>
      <c r="N7202" t="s">
        <v>44759</v>
      </c>
      <c r="O7202" t="s">
        <v>44760</v>
      </c>
      <c r="P7202">
        <v>0</v>
      </c>
      <c r="Q7202">
        <v>1</v>
      </c>
      <c r="R7202" t="s">
        <v>44767</v>
      </c>
      <c r="S7202" t="s">
        <v>44954</v>
      </c>
      <c r="T7202" t="s">
        <v>46625</v>
      </c>
      <c r="U7202" t="s">
        <v>52976</v>
      </c>
      <c r="W7202" t="s">
        <v>43209</v>
      </c>
      <c r="X7202" t="s">
        <v>44768</v>
      </c>
    </row>
    <row r="7203" spans="1:24">
      <c r="A7203">
        <f>HYPERLINK("https://www.philgeps.gov.ph/GEPSNONPILOT/Tender/SplashBidNoticeAbstractUI.aspx?menuIndex=3&amp;refID=7143447&amp;Result=3","7143447")</f>
        <v>0</v>
      </c>
      <c r="B7203" t="s">
        <v>1574</v>
      </c>
      <c r="C7203" t="s">
        <v>10597</v>
      </c>
      <c r="D7203" t="s">
        <v>18019</v>
      </c>
      <c r="E7203" t="s">
        <v>24354</v>
      </c>
      <c r="F7203" t="s">
        <v>30900</v>
      </c>
      <c r="G7203" t="s">
        <v>30907</v>
      </c>
      <c r="H7203" t="s">
        <v>30915</v>
      </c>
      <c r="I7203" t="s">
        <v>30919</v>
      </c>
      <c r="J7203" t="s">
        <v>35633</v>
      </c>
      <c r="K7203" t="s">
        <v>40439</v>
      </c>
      <c r="M7203" t="s">
        <v>42222</v>
      </c>
      <c r="N7203" t="s">
        <v>44759</v>
      </c>
      <c r="O7203" t="s">
        <v>44760</v>
      </c>
      <c r="P7203">
        <v>0</v>
      </c>
      <c r="Q7203">
        <v>0</v>
      </c>
      <c r="R7203" t="s">
        <v>44767</v>
      </c>
      <c r="S7203" t="s">
        <v>44954</v>
      </c>
      <c r="T7203" t="s">
        <v>46480</v>
      </c>
      <c r="U7203" t="s">
        <v>52603</v>
      </c>
      <c r="W7203" t="s">
        <v>42222</v>
      </c>
      <c r="X7203" t="s">
        <v>44768</v>
      </c>
    </row>
    <row r="7204" spans="1:24">
      <c r="A7204">
        <f>HYPERLINK("https://www.philgeps.gov.ph/GEPSNONPILOT/Tender/SplashBidNoticeAbstractUI.aspx?menuIndex=3&amp;refID=7143446&amp;Result=3","7143446")</f>
        <v>0</v>
      </c>
      <c r="B7204" t="s">
        <v>2267</v>
      </c>
      <c r="C7204" t="s">
        <v>10598</v>
      </c>
      <c r="D7204" t="s">
        <v>17959</v>
      </c>
      <c r="E7204" t="s">
        <v>24355</v>
      </c>
      <c r="F7204" t="s">
        <v>30900</v>
      </c>
      <c r="G7204" t="s">
        <v>30908</v>
      </c>
      <c r="H7204" t="s">
        <v>30916</v>
      </c>
      <c r="I7204" t="s">
        <v>4108</v>
      </c>
      <c r="J7204" t="s">
        <v>31112</v>
      </c>
      <c r="K7204" t="s">
        <v>40289</v>
      </c>
      <c r="M7204" t="s">
        <v>42979</v>
      </c>
      <c r="N7204" t="s">
        <v>44759</v>
      </c>
      <c r="O7204" t="s">
        <v>44760</v>
      </c>
      <c r="P7204">
        <v>0</v>
      </c>
      <c r="Q7204">
        <v>6</v>
      </c>
      <c r="R7204" t="s">
        <v>44767</v>
      </c>
      <c r="S7204" t="s">
        <v>44954</v>
      </c>
      <c r="T7204" t="s">
        <v>46625</v>
      </c>
      <c r="U7204" t="s">
        <v>52977</v>
      </c>
      <c r="W7204" t="s">
        <v>42979</v>
      </c>
      <c r="X7204" t="s">
        <v>44768</v>
      </c>
    </row>
    <row r="7205" spans="1:24">
      <c r="A7205">
        <f>HYPERLINK("https://www.philgeps.gov.ph/GEPSNONPILOT/Tender/SplashBidNoticeAbstractUI.aspx?menuIndex=3&amp;refID=7143460&amp;Result=3","7143460")</f>
        <v>0</v>
      </c>
      <c r="B7205" t="s">
        <v>303</v>
      </c>
      <c r="C7205" t="s">
        <v>10599</v>
      </c>
      <c r="D7205" t="s">
        <v>17951</v>
      </c>
      <c r="E7205" t="s">
        <v>24356</v>
      </c>
      <c r="F7205" t="s">
        <v>30900</v>
      </c>
      <c r="G7205" t="s">
        <v>30908</v>
      </c>
      <c r="H7205" t="s">
        <v>30916</v>
      </c>
      <c r="I7205" t="s">
        <v>8123</v>
      </c>
      <c r="J7205" t="s">
        <v>35634</v>
      </c>
      <c r="K7205" t="s">
        <v>40284</v>
      </c>
      <c r="M7205" t="s">
        <v>40852</v>
      </c>
      <c r="N7205" t="s">
        <v>44759</v>
      </c>
      <c r="O7205" t="s">
        <v>44760</v>
      </c>
      <c r="P7205">
        <v>0</v>
      </c>
      <c r="Q7205">
        <v>1</v>
      </c>
      <c r="R7205" t="s">
        <v>44767</v>
      </c>
      <c r="S7205" t="s">
        <v>44954</v>
      </c>
      <c r="T7205" t="s">
        <v>46533</v>
      </c>
      <c r="U7205" t="s">
        <v>52879</v>
      </c>
      <c r="W7205" t="s">
        <v>40852</v>
      </c>
      <c r="X7205" t="s">
        <v>44768</v>
      </c>
    </row>
    <row r="7206" spans="1:24">
      <c r="A7206">
        <f>HYPERLINK("https://www.philgeps.gov.ph/GEPSNONPILOT/Tender/SplashBidNoticeAbstractUI.aspx?menuIndex=3&amp;refID=7143459&amp;Result=3","7143459")</f>
        <v>0</v>
      </c>
      <c r="B7206" t="s">
        <v>2472</v>
      </c>
      <c r="C7206" t="s">
        <v>10600</v>
      </c>
      <c r="D7206" t="s">
        <v>17962</v>
      </c>
      <c r="E7206" t="s">
        <v>24357</v>
      </c>
      <c r="F7206" t="s">
        <v>30900</v>
      </c>
      <c r="G7206" t="s">
        <v>30908</v>
      </c>
      <c r="H7206" t="s">
        <v>30916</v>
      </c>
      <c r="I7206" t="s">
        <v>9385</v>
      </c>
      <c r="J7206" t="s">
        <v>35635</v>
      </c>
      <c r="K7206" t="s">
        <v>40283</v>
      </c>
      <c r="M7206" t="s">
        <v>43210</v>
      </c>
      <c r="N7206" t="s">
        <v>44759</v>
      </c>
      <c r="O7206" t="s">
        <v>44760</v>
      </c>
      <c r="P7206">
        <v>0</v>
      </c>
      <c r="Q7206">
        <v>1</v>
      </c>
      <c r="R7206" t="s">
        <v>44767</v>
      </c>
      <c r="S7206" t="s">
        <v>44954</v>
      </c>
      <c r="T7206" t="s">
        <v>46658</v>
      </c>
      <c r="U7206" t="s">
        <v>52978</v>
      </c>
      <c r="W7206" t="s">
        <v>43210</v>
      </c>
      <c r="X7206" t="s">
        <v>44768</v>
      </c>
    </row>
    <row r="7207" spans="1:24">
      <c r="A7207">
        <f>HYPERLINK("https://www.philgeps.gov.ph/GEPSNONPILOT/Tender/SplashBidNoticeAbstractUI.aspx?menuIndex=3&amp;refID=7143453&amp;Result=3","7143453")</f>
        <v>0</v>
      </c>
      <c r="B7207" t="s">
        <v>591</v>
      </c>
      <c r="C7207" t="s">
        <v>10601</v>
      </c>
      <c r="D7207" t="s">
        <v>17998</v>
      </c>
      <c r="E7207" t="s">
        <v>24358</v>
      </c>
      <c r="F7207" t="s">
        <v>30900</v>
      </c>
      <c r="G7207" t="s">
        <v>30907</v>
      </c>
      <c r="H7207" t="s">
        <v>30916</v>
      </c>
      <c r="I7207" t="s">
        <v>4142</v>
      </c>
      <c r="J7207" t="s">
        <v>33437</v>
      </c>
      <c r="K7207" t="s">
        <v>40286</v>
      </c>
      <c r="M7207" t="s">
        <v>41247</v>
      </c>
      <c r="N7207" t="s">
        <v>44759</v>
      </c>
      <c r="O7207" t="s">
        <v>44760</v>
      </c>
      <c r="P7207">
        <v>0</v>
      </c>
      <c r="Q7207">
        <v>0</v>
      </c>
      <c r="R7207" t="s">
        <v>44767</v>
      </c>
      <c r="S7207" t="s">
        <v>44954</v>
      </c>
      <c r="T7207" t="s">
        <v>46403</v>
      </c>
      <c r="U7207" t="s">
        <v>47975</v>
      </c>
      <c r="V7207" t="s">
        <v>59259</v>
      </c>
      <c r="W7207" t="s">
        <v>41247</v>
      </c>
      <c r="X7207" t="s">
        <v>44768</v>
      </c>
    </row>
    <row r="7208" spans="1:24">
      <c r="A7208">
        <f>HYPERLINK("https://www.philgeps.gov.ph/GEPSNONPILOT/Tender/SplashBidNoticeAbstractUI.aspx?menuIndex=3&amp;refID=7143442&amp;Result=3","7143442")</f>
        <v>0</v>
      </c>
      <c r="B7208" t="s">
        <v>1712</v>
      </c>
      <c r="C7208" t="s">
        <v>10602</v>
      </c>
      <c r="D7208" t="s">
        <v>17971</v>
      </c>
      <c r="E7208" t="s">
        <v>24359</v>
      </c>
      <c r="F7208" t="s">
        <v>30899</v>
      </c>
      <c r="G7208" t="s">
        <v>30908</v>
      </c>
      <c r="H7208" t="s">
        <v>30916</v>
      </c>
      <c r="I7208" t="s">
        <v>10602</v>
      </c>
      <c r="J7208" t="s">
        <v>31522</v>
      </c>
      <c r="K7208" t="s">
        <v>40281</v>
      </c>
      <c r="M7208" t="s">
        <v>42375</v>
      </c>
      <c r="N7208" t="s">
        <v>44759</v>
      </c>
      <c r="O7208" t="s">
        <v>44760</v>
      </c>
      <c r="P7208">
        <v>0</v>
      </c>
      <c r="Q7208">
        <v>2</v>
      </c>
      <c r="R7208" t="s">
        <v>44767</v>
      </c>
      <c r="S7208" t="s">
        <v>44954</v>
      </c>
      <c r="T7208" t="s">
        <v>46403</v>
      </c>
      <c r="U7208" t="s">
        <v>52979</v>
      </c>
      <c r="W7208" t="s">
        <v>42375</v>
      </c>
      <c r="X7208" t="s">
        <v>44768</v>
      </c>
    </row>
    <row r="7209" spans="1:24">
      <c r="A7209">
        <f>HYPERLINK("https://www.philgeps.gov.ph/GEPSNONPILOT/Tender/SplashBidNoticeAbstractUI.aspx?menuIndex=3&amp;refID=7143439&amp;Result=3","7143439")</f>
        <v>0</v>
      </c>
      <c r="B7209" t="s">
        <v>591</v>
      </c>
      <c r="C7209" t="s">
        <v>10603</v>
      </c>
      <c r="D7209" t="s">
        <v>17998</v>
      </c>
      <c r="E7209" t="s">
        <v>24360</v>
      </c>
      <c r="F7209" t="s">
        <v>30900</v>
      </c>
      <c r="G7209" t="s">
        <v>30907</v>
      </c>
      <c r="H7209" t="s">
        <v>30916</v>
      </c>
      <c r="I7209" t="s">
        <v>30926</v>
      </c>
      <c r="J7209" t="s">
        <v>31070</v>
      </c>
      <c r="K7209" t="s">
        <v>40286</v>
      </c>
      <c r="M7209" t="s">
        <v>41247</v>
      </c>
      <c r="N7209" t="s">
        <v>44759</v>
      </c>
      <c r="O7209" t="s">
        <v>44760</v>
      </c>
      <c r="P7209">
        <v>0</v>
      </c>
      <c r="Q7209">
        <v>0</v>
      </c>
      <c r="R7209" t="s">
        <v>44767</v>
      </c>
      <c r="S7209" t="s">
        <v>44954</v>
      </c>
      <c r="T7209" t="s">
        <v>46403</v>
      </c>
      <c r="U7209" t="s">
        <v>47975</v>
      </c>
      <c r="V7209" t="s">
        <v>59259</v>
      </c>
      <c r="W7209" t="s">
        <v>41247</v>
      </c>
      <c r="X7209" t="s">
        <v>44768</v>
      </c>
    </row>
    <row r="7210" spans="1:24">
      <c r="A7210">
        <f>HYPERLINK("https://www.philgeps.gov.ph/GEPSNONPILOT/Tender/SplashBidNoticeAbstractUI.aspx?menuIndex=3&amp;refID=7143436&amp;Result=3","7143436")</f>
        <v>0</v>
      </c>
      <c r="B7210" t="s">
        <v>303</v>
      </c>
      <c r="C7210" t="s">
        <v>10604</v>
      </c>
      <c r="D7210" t="s">
        <v>17951</v>
      </c>
      <c r="E7210" t="s">
        <v>24361</v>
      </c>
      <c r="F7210" t="s">
        <v>30900</v>
      </c>
      <c r="G7210" t="s">
        <v>30908</v>
      </c>
      <c r="H7210" t="s">
        <v>30916</v>
      </c>
      <c r="I7210" t="s">
        <v>6953</v>
      </c>
      <c r="J7210" t="s">
        <v>35636</v>
      </c>
      <c r="K7210" t="s">
        <v>40284</v>
      </c>
      <c r="M7210" t="s">
        <v>40852</v>
      </c>
      <c r="N7210" t="s">
        <v>44759</v>
      </c>
      <c r="O7210" t="s">
        <v>44760</v>
      </c>
      <c r="P7210">
        <v>0</v>
      </c>
      <c r="Q7210">
        <v>0</v>
      </c>
      <c r="R7210" t="s">
        <v>44767</v>
      </c>
      <c r="S7210" t="s">
        <v>44954</v>
      </c>
      <c r="T7210" t="s">
        <v>46533</v>
      </c>
      <c r="U7210" t="s">
        <v>52879</v>
      </c>
      <c r="W7210" t="s">
        <v>40852</v>
      </c>
      <c r="X7210" t="s">
        <v>44768</v>
      </c>
    </row>
    <row r="7211" spans="1:24">
      <c r="A7211">
        <f>HYPERLINK("https://www.philgeps.gov.ph/GEPSNONPILOT/Tender/SplashBidNoticeAbstractUI.aspx?menuIndex=3&amp;refID=7143432&amp;Result=3","7143432")</f>
        <v>0</v>
      </c>
      <c r="B7211" t="s">
        <v>2299</v>
      </c>
      <c r="C7211" t="s">
        <v>10605</v>
      </c>
      <c r="D7211" t="s">
        <v>17998</v>
      </c>
      <c r="E7211" t="s">
        <v>24362</v>
      </c>
      <c r="F7211" t="s">
        <v>30900</v>
      </c>
      <c r="G7211" t="s">
        <v>30907</v>
      </c>
      <c r="H7211" t="s">
        <v>30916</v>
      </c>
      <c r="I7211" t="s">
        <v>6746</v>
      </c>
      <c r="J7211" t="s">
        <v>31693</v>
      </c>
      <c r="K7211" t="s">
        <v>40287</v>
      </c>
      <c r="M7211" t="s">
        <v>43014</v>
      </c>
      <c r="N7211" t="s">
        <v>44759</v>
      </c>
      <c r="O7211" t="s">
        <v>44760</v>
      </c>
      <c r="P7211">
        <v>0</v>
      </c>
      <c r="Q7211">
        <v>0</v>
      </c>
      <c r="R7211" t="s">
        <v>44767</v>
      </c>
      <c r="S7211" t="s">
        <v>44954</v>
      </c>
      <c r="T7211" t="s">
        <v>46548</v>
      </c>
      <c r="U7211" t="s">
        <v>52980</v>
      </c>
      <c r="W7211" t="s">
        <v>43014</v>
      </c>
      <c r="X7211" t="s">
        <v>44768</v>
      </c>
    </row>
    <row r="7212" spans="1:24">
      <c r="A7212">
        <f>HYPERLINK("https://www.philgeps.gov.ph/GEPSNONPILOT/Tender/SplashBidNoticeAbstractUI.aspx?menuIndex=3&amp;refID=7143452&amp;Result=3","7143452")</f>
        <v>0</v>
      </c>
      <c r="B7212" t="s">
        <v>147</v>
      </c>
      <c r="C7212" t="s">
        <v>10606</v>
      </c>
      <c r="D7212" t="s">
        <v>17970</v>
      </c>
      <c r="E7212" t="s">
        <v>24363</v>
      </c>
      <c r="F7212" t="s">
        <v>30900</v>
      </c>
      <c r="G7212" t="s">
        <v>30907</v>
      </c>
      <c r="H7212" t="s">
        <v>30916</v>
      </c>
      <c r="I7212" t="s">
        <v>30933</v>
      </c>
      <c r="J7212" t="s">
        <v>32125</v>
      </c>
      <c r="K7212" t="s">
        <v>40287</v>
      </c>
      <c r="M7212" t="s">
        <v>40694</v>
      </c>
      <c r="N7212" t="s">
        <v>44759</v>
      </c>
      <c r="O7212" t="s">
        <v>44760</v>
      </c>
      <c r="P7212">
        <v>0</v>
      </c>
      <c r="Q7212">
        <v>6</v>
      </c>
      <c r="R7212" t="s">
        <v>44767</v>
      </c>
      <c r="S7212" t="s">
        <v>44954</v>
      </c>
      <c r="T7212" t="s">
        <v>46465</v>
      </c>
      <c r="U7212" t="s">
        <v>52981</v>
      </c>
      <c r="W7212" t="s">
        <v>40694</v>
      </c>
      <c r="X7212" t="s">
        <v>44768</v>
      </c>
    </row>
    <row r="7213" spans="1:24">
      <c r="A7213">
        <f>HYPERLINK("https://www.philgeps.gov.ph/GEPSNONPILOT/Tender/SplashBidNoticeAbstractUI.aspx?menuIndex=3&amp;refID=7143431&amp;Result=3","7143431")</f>
        <v>0</v>
      </c>
      <c r="B7213" t="s">
        <v>2473</v>
      </c>
      <c r="C7213" t="s">
        <v>10607</v>
      </c>
      <c r="D7213" t="s">
        <v>17993</v>
      </c>
      <c r="E7213" t="s">
        <v>24364</v>
      </c>
      <c r="F7213" t="s">
        <v>30904</v>
      </c>
      <c r="G7213" t="s">
        <v>30907</v>
      </c>
      <c r="H7213" t="s">
        <v>30915</v>
      </c>
      <c r="I7213" t="s">
        <v>30919</v>
      </c>
      <c r="J7213" t="s">
        <v>35637</v>
      </c>
      <c r="K7213" t="s">
        <v>40286</v>
      </c>
      <c r="M7213" t="s">
        <v>43211</v>
      </c>
      <c r="N7213" t="s">
        <v>44759</v>
      </c>
      <c r="O7213" t="s">
        <v>44760</v>
      </c>
      <c r="P7213">
        <v>0</v>
      </c>
      <c r="Q7213">
        <v>0</v>
      </c>
      <c r="R7213" t="s">
        <v>44767</v>
      </c>
      <c r="S7213" t="s">
        <v>44954</v>
      </c>
      <c r="T7213" t="s">
        <v>46772</v>
      </c>
      <c r="U7213" t="s">
        <v>52982</v>
      </c>
      <c r="W7213" t="s">
        <v>43211</v>
      </c>
      <c r="X7213" t="s">
        <v>44768</v>
      </c>
    </row>
    <row r="7214" spans="1:24">
      <c r="A7214">
        <f>HYPERLINK("https://www.philgeps.gov.ph/GEPSNONPILOT/Tender/SplashBidNoticeAbstractUI.aspx?menuIndex=3&amp;refID=7143438&amp;Result=3","7143438")</f>
        <v>0</v>
      </c>
      <c r="B7214" t="s">
        <v>2474</v>
      </c>
      <c r="C7214" t="s">
        <v>10608</v>
      </c>
      <c r="D7214" t="s">
        <v>17959</v>
      </c>
      <c r="E7214" t="s">
        <v>24365</v>
      </c>
      <c r="F7214" t="s">
        <v>30900</v>
      </c>
      <c r="G7214" t="s">
        <v>30907</v>
      </c>
      <c r="H7214" t="s">
        <v>30916</v>
      </c>
      <c r="I7214" t="s">
        <v>8123</v>
      </c>
      <c r="J7214" t="s">
        <v>35638</v>
      </c>
      <c r="K7214" t="s">
        <v>40292</v>
      </c>
      <c r="M7214" t="s">
        <v>43212</v>
      </c>
      <c r="N7214" t="s">
        <v>44759</v>
      </c>
      <c r="O7214" t="s">
        <v>44760</v>
      </c>
      <c r="P7214">
        <v>0</v>
      </c>
      <c r="Q7214">
        <v>2</v>
      </c>
      <c r="R7214" t="s">
        <v>44767</v>
      </c>
      <c r="S7214" t="s">
        <v>44954</v>
      </c>
      <c r="T7214" t="s">
        <v>46441</v>
      </c>
      <c r="U7214" t="s">
        <v>52983</v>
      </c>
      <c r="W7214" t="s">
        <v>43212</v>
      </c>
      <c r="X7214" t="s">
        <v>44768</v>
      </c>
    </row>
    <row r="7215" spans="1:24">
      <c r="A7215">
        <f>HYPERLINK("https://www.philgeps.gov.ph/GEPSNONPILOT/Tender/SplashBidNoticeAbstractUI.aspx?menuIndex=3&amp;refID=7143430&amp;Result=3","7143430")</f>
        <v>0</v>
      </c>
      <c r="B7215" t="s">
        <v>2369</v>
      </c>
      <c r="C7215" t="s">
        <v>10609</v>
      </c>
      <c r="D7215" t="s">
        <v>17985</v>
      </c>
      <c r="E7215" t="s">
        <v>24366</v>
      </c>
      <c r="F7215" t="s">
        <v>30900</v>
      </c>
      <c r="G7215" t="s">
        <v>30907</v>
      </c>
      <c r="H7215" t="s">
        <v>30916</v>
      </c>
      <c r="I7215" t="s">
        <v>4545</v>
      </c>
      <c r="J7215" t="s">
        <v>31313</v>
      </c>
      <c r="K7215" t="s">
        <v>40289</v>
      </c>
      <c r="M7215" t="s">
        <v>43095</v>
      </c>
      <c r="N7215" t="s">
        <v>44759</v>
      </c>
      <c r="O7215" t="s">
        <v>44760</v>
      </c>
      <c r="P7215">
        <v>0</v>
      </c>
      <c r="Q7215">
        <v>1</v>
      </c>
      <c r="R7215" t="s">
        <v>44767</v>
      </c>
      <c r="S7215" t="s">
        <v>44954</v>
      </c>
      <c r="T7215" t="s">
        <v>46395</v>
      </c>
      <c r="U7215" t="s">
        <v>52984</v>
      </c>
      <c r="W7215" t="s">
        <v>43095</v>
      </c>
      <c r="X7215" t="s">
        <v>44768</v>
      </c>
    </row>
    <row r="7216" spans="1:24">
      <c r="A7216">
        <f>HYPERLINK("https://www.philgeps.gov.ph/GEPSNONPILOT/Tender/SplashBidNoticeAbstractUI.aspx?menuIndex=3&amp;refID=7143437&amp;Result=3","7143437")</f>
        <v>0</v>
      </c>
      <c r="B7216" t="s">
        <v>2360</v>
      </c>
      <c r="C7216" t="s">
        <v>10610</v>
      </c>
      <c r="D7216" t="s">
        <v>17977</v>
      </c>
      <c r="E7216" t="s">
        <v>24367</v>
      </c>
      <c r="F7216" t="s">
        <v>30900</v>
      </c>
      <c r="G7216" t="s">
        <v>30907</v>
      </c>
      <c r="H7216" t="s">
        <v>30916</v>
      </c>
      <c r="I7216" t="s">
        <v>7708</v>
      </c>
      <c r="J7216" t="s">
        <v>35639</v>
      </c>
      <c r="K7216" t="s">
        <v>40280</v>
      </c>
      <c r="M7216" t="s">
        <v>43084</v>
      </c>
      <c r="N7216" t="s">
        <v>44759</v>
      </c>
      <c r="O7216" t="s">
        <v>44760</v>
      </c>
      <c r="P7216">
        <v>0</v>
      </c>
      <c r="Q7216">
        <v>2</v>
      </c>
      <c r="R7216" t="s">
        <v>44767</v>
      </c>
      <c r="S7216" t="s">
        <v>44954</v>
      </c>
      <c r="T7216" t="s">
        <v>46592</v>
      </c>
      <c r="U7216" t="s">
        <v>52750</v>
      </c>
      <c r="V7216" t="s">
        <v>59856</v>
      </c>
      <c r="W7216" t="s">
        <v>43084</v>
      </c>
      <c r="X7216" t="s">
        <v>44768</v>
      </c>
    </row>
    <row r="7217" spans="1:24">
      <c r="A7217">
        <f>HYPERLINK("https://www.philgeps.gov.ph/GEPSNONPILOT/Tender/SplashBidNoticeAbstractUI.aspx?menuIndex=3&amp;refID=7143420&amp;Result=3","7143420")</f>
        <v>0</v>
      </c>
      <c r="B7217" t="s">
        <v>2475</v>
      </c>
      <c r="C7217" t="s">
        <v>10611</v>
      </c>
      <c r="D7217" t="s">
        <v>18009</v>
      </c>
      <c r="E7217" t="s">
        <v>24368</v>
      </c>
      <c r="F7217" t="s">
        <v>30900</v>
      </c>
      <c r="G7217" t="s">
        <v>30907</v>
      </c>
      <c r="H7217" t="s">
        <v>30915</v>
      </c>
      <c r="I7217" t="s">
        <v>30919</v>
      </c>
      <c r="J7217" t="s">
        <v>35640</v>
      </c>
      <c r="K7217" t="s">
        <v>40327</v>
      </c>
      <c r="M7217" t="s">
        <v>43213</v>
      </c>
      <c r="N7217" t="s">
        <v>44759</v>
      </c>
      <c r="O7217" t="s">
        <v>44760</v>
      </c>
      <c r="P7217">
        <v>0</v>
      </c>
      <c r="Q7217">
        <v>0</v>
      </c>
      <c r="R7217" t="s">
        <v>44767</v>
      </c>
      <c r="S7217" t="s">
        <v>44954</v>
      </c>
      <c r="T7217" t="s">
        <v>46767</v>
      </c>
      <c r="U7217" t="s">
        <v>52985</v>
      </c>
      <c r="W7217" t="s">
        <v>43213</v>
      </c>
      <c r="X7217" t="s">
        <v>44768</v>
      </c>
    </row>
    <row r="7218" spans="1:24">
      <c r="A7218">
        <f>HYPERLINK("https://www.philgeps.gov.ph/GEPSNONPILOT/Tender/SplashBidNoticeAbstractUI.aspx?menuIndex=3&amp;refID=7143464&amp;Result=3","7143464")</f>
        <v>0</v>
      </c>
      <c r="B7218" t="s">
        <v>1318</v>
      </c>
      <c r="C7218" t="s">
        <v>10612</v>
      </c>
      <c r="D7218" t="s">
        <v>18007</v>
      </c>
      <c r="E7218" t="s">
        <v>24369</v>
      </c>
      <c r="F7218" t="s">
        <v>30900</v>
      </c>
      <c r="G7218" t="s">
        <v>30907</v>
      </c>
      <c r="H7218" t="s">
        <v>30915</v>
      </c>
      <c r="I7218" t="s">
        <v>30919</v>
      </c>
      <c r="J7218" t="s">
        <v>31653</v>
      </c>
      <c r="K7218" t="s">
        <v>40286</v>
      </c>
      <c r="M7218" t="s">
        <v>41936</v>
      </c>
      <c r="N7218" t="s">
        <v>44759</v>
      </c>
      <c r="O7218" t="s">
        <v>44760</v>
      </c>
      <c r="P7218">
        <v>0</v>
      </c>
      <c r="Q7218">
        <v>4</v>
      </c>
      <c r="R7218" t="s">
        <v>44767</v>
      </c>
      <c r="S7218" t="s">
        <v>44954</v>
      </c>
      <c r="T7218" t="s">
        <v>46519</v>
      </c>
      <c r="U7218" t="s">
        <v>52986</v>
      </c>
      <c r="V7218" t="s">
        <v>59888</v>
      </c>
      <c r="W7218" t="s">
        <v>41936</v>
      </c>
      <c r="X7218" t="s">
        <v>44768</v>
      </c>
    </row>
    <row r="7219" spans="1:24">
      <c r="A7219">
        <f>HYPERLINK("https://www.philgeps.gov.ph/GEPSNONPILOT/Tender/SplashBidNoticeAbstractUI.aspx?menuIndex=3&amp;refID=7143443&amp;Result=3","7143443")</f>
        <v>0</v>
      </c>
      <c r="B7219" t="s">
        <v>2476</v>
      </c>
      <c r="C7219" t="s">
        <v>10613</v>
      </c>
      <c r="D7219" t="s">
        <v>17954</v>
      </c>
      <c r="E7219" t="s">
        <v>24370</v>
      </c>
      <c r="F7219" t="s">
        <v>30900</v>
      </c>
      <c r="G7219" t="s">
        <v>30908</v>
      </c>
      <c r="H7219" t="s">
        <v>30916</v>
      </c>
      <c r="I7219" t="s">
        <v>31024</v>
      </c>
      <c r="J7219" t="s">
        <v>31048</v>
      </c>
      <c r="K7219" t="s">
        <v>40287</v>
      </c>
      <c r="M7219" t="s">
        <v>43214</v>
      </c>
      <c r="N7219" t="s">
        <v>44759</v>
      </c>
      <c r="O7219" t="s">
        <v>44760</v>
      </c>
      <c r="P7219">
        <v>0</v>
      </c>
      <c r="Q7219">
        <v>0</v>
      </c>
      <c r="R7219" t="s">
        <v>44767</v>
      </c>
      <c r="S7219" t="s">
        <v>44954</v>
      </c>
      <c r="T7219" t="s">
        <v>46548</v>
      </c>
      <c r="U7219" t="s">
        <v>52987</v>
      </c>
      <c r="W7219" t="s">
        <v>43214</v>
      </c>
      <c r="X7219" t="s">
        <v>44768</v>
      </c>
    </row>
    <row r="7220" spans="1:24">
      <c r="A7220">
        <f>HYPERLINK("https://www.philgeps.gov.ph/GEPSNONPILOT/Tender/SplashBidNoticeAbstractUI.aspx?menuIndex=3&amp;refID=7143503&amp;Result=3","7143503")</f>
        <v>0</v>
      </c>
      <c r="B7220" t="s">
        <v>2461</v>
      </c>
      <c r="C7220" t="s">
        <v>10614</v>
      </c>
      <c r="D7220" t="s">
        <v>18019</v>
      </c>
      <c r="E7220" t="s">
        <v>24371</v>
      </c>
      <c r="F7220" t="s">
        <v>30900</v>
      </c>
      <c r="G7220" t="s">
        <v>30910</v>
      </c>
      <c r="H7220" t="s">
        <v>30916</v>
      </c>
      <c r="I7220" t="s">
        <v>4108</v>
      </c>
      <c r="J7220" t="s">
        <v>35641</v>
      </c>
      <c r="K7220" t="s">
        <v>40291</v>
      </c>
      <c r="M7220" t="s">
        <v>43198</v>
      </c>
      <c r="N7220" t="s">
        <v>44759</v>
      </c>
      <c r="O7220" t="s">
        <v>44760</v>
      </c>
      <c r="P7220">
        <v>0</v>
      </c>
      <c r="Q7220">
        <v>3</v>
      </c>
      <c r="R7220" t="s">
        <v>44767</v>
      </c>
      <c r="S7220" t="s">
        <v>44954</v>
      </c>
      <c r="T7220" t="s">
        <v>46581</v>
      </c>
      <c r="U7220" t="s">
        <v>52988</v>
      </c>
      <c r="W7220" t="s">
        <v>43198</v>
      </c>
      <c r="X7220" t="s">
        <v>44768</v>
      </c>
    </row>
    <row r="7221" spans="1:24">
      <c r="A7221">
        <f>HYPERLINK("https://www.philgeps.gov.ph/GEPSNONPILOT/Tender/SplashBidNoticeAbstractUI.aspx?menuIndex=3&amp;refID=7143426&amp;Result=3","7143426")</f>
        <v>0</v>
      </c>
      <c r="B7221" t="s">
        <v>591</v>
      </c>
      <c r="C7221" t="s">
        <v>10615</v>
      </c>
      <c r="D7221" t="s">
        <v>17998</v>
      </c>
      <c r="E7221" t="s">
        <v>24372</v>
      </c>
      <c r="F7221" t="s">
        <v>30900</v>
      </c>
      <c r="G7221" t="s">
        <v>30907</v>
      </c>
      <c r="H7221" t="s">
        <v>30916</v>
      </c>
      <c r="I7221" t="s">
        <v>10847</v>
      </c>
      <c r="J7221" t="s">
        <v>31833</v>
      </c>
      <c r="K7221" t="s">
        <v>40286</v>
      </c>
      <c r="M7221" t="s">
        <v>41247</v>
      </c>
      <c r="N7221" t="s">
        <v>44759</v>
      </c>
      <c r="O7221" t="s">
        <v>44760</v>
      </c>
      <c r="P7221">
        <v>0</v>
      </c>
      <c r="Q7221">
        <v>0</v>
      </c>
      <c r="R7221" t="s">
        <v>44767</v>
      </c>
      <c r="S7221" t="s">
        <v>44954</v>
      </c>
      <c r="T7221" t="s">
        <v>46403</v>
      </c>
      <c r="U7221" t="s">
        <v>47975</v>
      </c>
      <c r="V7221" t="s">
        <v>59259</v>
      </c>
      <c r="W7221" t="s">
        <v>41247</v>
      </c>
      <c r="X7221" t="s">
        <v>44768</v>
      </c>
    </row>
    <row r="7222" spans="1:24">
      <c r="A7222">
        <f>HYPERLINK("https://www.philgeps.gov.ph/GEPSNONPILOT/Tender/SplashBidNoticeAbstractUI.aspx?menuIndex=3&amp;refID=7143498&amp;Result=3","7143498")</f>
        <v>0</v>
      </c>
      <c r="B7222" t="s">
        <v>2477</v>
      </c>
      <c r="C7222" t="s">
        <v>10616</v>
      </c>
      <c r="E7222" t="s">
        <v>24373</v>
      </c>
      <c r="F7222" t="s">
        <v>30899</v>
      </c>
      <c r="G7222" t="s">
        <v>30908</v>
      </c>
      <c r="H7222" t="s">
        <v>30916</v>
      </c>
      <c r="I7222" t="s">
        <v>6396</v>
      </c>
      <c r="J7222" t="s">
        <v>35642</v>
      </c>
      <c r="K7222" t="s">
        <v>40289</v>
      </c>
      <c r="M7222" t="s">
        <v>43215</v>
      </c>
      <c r="N7222" t="s">
        <v>44759</v>
      </c>
      <c r="O7222" t="s">
        <v>44760</v>
      </c>
      <c r="P7222">
        <v>0</v>
      </c>
      <c r="Q7222">
        <v>0</v>
      </c>
      <c r="R7222" t="s">
        <v>44767</v>
      </c>
      <c r="S7222" t="s">
        <v>44954</v>
      </c>
      <c r="T7222" t="s">
        <v>46444</v>
      </c>
      <c r="U7222" t="s">
        <v>52989</v>
      </c>
      <c r="W7222" t="s">
        <v>43215</v>
      </c>
      <c r="X7222" t="s">
        <v>44768</v>
      </c>
    </row>
    <row r="7223" spans="1:24">
      <c r="A7223">
        <f>HYPERLINK("https://www.philgeps.gov.ph/GEPSNONPILOT/Tender/SplashBidNoticeAbstractUI.aspx?menuIndex=3&amp;refID=7143497&amp;Result=3","7143497")</f>
        <v>0</v>
      </c>
      <c r="B7223" t="s">
        <v>1339</v>
      </c>
      <c r="C7223" t="s">
        <v>10617</v>
      </c>
      <c r="D7223" t="s">
        <v>18001</v>
      </c>
      <c r="E7223" t="s">
        <v>24374</v>
      </c>
      <c r="F7223" t="s">
        <v>30900</v>
      </c>
      <c r="G7223" t="s">
        <v>30907</v>
      </c>
      <c r="H7223" t="s">
        <v>30916</v>
      </c>
      <c r="I7223" t="s">
        <v>30919</v>
      </c>
      <c r="J7223" t="s">
        <v>35643</v>
      </c>
      <c r="K7223" t="s">
        <v>40283</v>
      </c>
      <c r="M7223" t="s">
        <v>41960</v>
      </c>
      <c r="N7223" t="s">
        <v>44759</v>
      </c>
      <c r="O7223" t="s">
        <v>44760</v>
      </c>
      <c r="P7223">
        <v>0</v>
      </c>
      <c r="Q7223">
        <v>2</v>
      </c>
      <c r="R7223" t="s">
        <v>44767</v>
      </c>
      <c r="S7223" t="s">
        <v>44954</v>
      </c>
      <c r="T7223" t="s">
        <v>46457</v>
      </c>
      <c r="U7223" t="s">
        <v>52990</v>
      </c>
      <c r="W7223" t="s">
        <v>41960</v>
      </c>
      <c r="X7223" t="s">
        <v>44768</v>
      </c>
    </row>
    <row r="7224" spans="1:24">
      <c r="A7224">
        <f>HYPERLINK("https://www.philgeps.gov.ph/GEPSNONPILOT/Tender/SplashBidNoticeAbstractUI.aspx?menuIndex=3&amp;refID=7143496&amp;Result=3","7143496")</f>
        <v>0</v>
      </c>
      <c r="B7224" t="s">
        <v>2459</v>
      </c>
      <c r="C7224" t="s">
        <v>10618</v>
      </c>
      <c r="D7224" t="s">
        <v>18001</v>
      </c>
      <c r="E7224" t="s">
        <v>21687</v>
      </c>
      <c r="F7224" t="s">
        <v>30900</v>
      </c>
      <c r="G7224" t="s">
        <v>30908</v>
      </c>
      <c r="H7224" t="s">
        <v>30916</v>
      </c>
      <c r="I7224" t="s">
        <v>8123</v>
      </c>
      <c r="J7224" t="s">
        <v>35644</v>
      </c>
      <c r="K7224" t="s">
        <v>40314</v>
      </c>
      <c r="M7224" t="s">
        <v>43196</v>
      </c>
      <c r="N7224" t="s">
        <v>44759</v>
      </c>
      <c r="O7224" t="s">
        <v>44760</v>
      </c>
      <c r="P7224">
        <v>0</v>
      </c>
      <c r="Q7224">
        <v>1</v>
      </c>
      <c r="R7224" t="s">
        <v>44767</v>
      </c>
      <c r="S7224" t="s">
        <v>44954</v>
      </c>
      <c r="T7224" t="s">
        <v>46533</v>
      </c>
      <c r="U7224" t="s">
        <v>52991</v>
      </c>
      <c r="V7224" t="s">
        <v>59884</v>
      </c>
      <c r="W7224" t="s">
        <v>43196</v>
      </c>
      <c r="X7224" t="s">
        <v>44768</v>
      </c>
    </row>
    <row r="7225" spans="1:24">
      <c r="A7225">
        <f>HYPERLINK("https://www.philgeps.gov.ph/GEPSNONPILOT/Tender/SplashBidNoticeAbstractUI.aspx?menuIndex=3&amp;refID=7143324&amp;Result=3","7143324")</f>
        <v>0</v>
      </c>
      <c r="B7225" t="s">
        <v>2359</v>
      </c>
      <c r="C7225" t="s">
        <v>10619</v>
      </c>
      <c r="D7225" t="s">
        <v>18022</v>
      </c>
      <c r="E7225" t="s">
        <v>24375</v>
      </c>
      <c r="F7225" t="s">
        <v>30900</v>
      </c>
      <c r="G7225" t="s">
        <v>30907</v>
      </c>
      <c r="H7225" t="s">
        <v>30915</v>
      </c>
      <c r="I7225" t="s">
        <v>30919</v>
      </c>
      <c r="J7225" t="s">
        <v>35645</v>
      </c>
      <c r="K7225" t="s">
        <v>40289</v>
      </c>
      <c r="M7225" t="s">
        <v>43083</v>
      </c>
      <c r="N7225" t="s">
        <v>44759</v>
      </c>
      <c r="O7225" t="s">
        <v>44760</v>
      </c>
      <c r="P7225">
        <v>0</v>
      </c>
      <c r="Q7225">
        <v>1</v>
      </c>
      <c r="R7225" t="s">
        <v>44767</v>
      </c>
      <c r="S7225" t="s">
        <v>44954</v>
      </c>
      <c r="T7225" t="s">
        <v>46495</v>
      </c>
      <c r="U7225" t="s">
        <v>52992</v>
      </c>
      <c r="W7225" t="s">
        <v>60888</v>
      </c>
      <c r="X7225" t="s">
        <v>44768</v>
      </c>
    </row>
    <row r="7226" spans="1:24">
      <c r="A7226">
        <f>HYPERLINK("https://www.philgeps.gov.ph/GEPSNONPILOT/Tender/SplashBidNoticeAbstractUI.aspx?menuIndex=3&amp;refID=7143488&amp;Result=3","7143488")</f>
        <v>0</v>
      </c>
      <c r="B7226" t="s">
        <v>227</v>
      </c>
      <c r="C7226" t="s">
        <v>10620</v>
      </c>
      <c r="D7226" t="s">
        <v>18012</v>
      </c>
      <c r="E7226" t="s">
        <v>24376</v>
      </c>
      <c r="F7226" t="s">
        <v>30900</v>
      </c>
      <c r="G7226" t="s">
        <v>30908</v>
      </c>
      <c r="H7226" t="s">
        <v>30916</v>
      </c>
      <c r="I7226" t="s">
        <v>30939</v>
      </c>
      <c r="J7226" t="s">
        <v>35646</v>
      </c>
      <c r="K7226" t="s">
        <v>40284</v>
      </c>
      <c r="M7226" t="s">
        <v>43216</v>
      </c>
      <c r="N7226" t="s">
        <v>44759</v>
      </c>
      <c r="O7226" t="s">
        <v>44760</v>
      </c>
      <c r="P7226">
        <v>0</v>
      </c>
      <c r="Q7226">
        <v>0</v>
      </c>
      <c r="R7226" t="s">
        <v>44767</v>
      </c>
      <c r="S7226" t="s">
        <v>44954</v>
      </c>
      <c r="T7226" t="s">
        <v>46403</v>
      </c>
      <c r="U7226" t="s">
        <v>52993</v>
      </c>
      <c r="V7226" t="s">
        <v>59889</v>
      </c>
      <c r="W7226" t="s">
        <v>43216</v>
      </c>
      <c r="X7226" t="s">
        <v>44768</v>
      </c>
    </row>
    <row r="7227" spans="1:24">
      <c r="A7227">
        <f>HYPERLINK("https://www.philgeps.gov.ph/GEPSNONPILOT/Tender/SplashBidNoticeAbstractUI.aspx?menuIndex=3&amp;refID=7143501&amp;Result=3","7143501")</f>
        <v>0</v>
      </c>
      <c r="B7227" t="s">
        <v>591</v>
      </c>
      <c r="C7227" t="s">
        <v>10621</v>
      </c>
      <c r="D7227" t="s">
        <v>17998</v>
      </c>
      <c r="E7227" t="s">
        <v>24377</v>
      </c>
      <c r="F7227" t="s">
        <v>30900</v>
      </c>
      <c r="G7227" t="s">
        <v>30907</v>
      </c>
      <c r="H7227" t="s">
        <v>30916</v>
      </c>
      <c r="I7227" t="s">
        <v>8044</v>
      </c>
      <c r="J7227" t="s">
        <v>35647</v>
      </c>
      <c r="K7227" t="s">
        <v>40286</v>
      </c>
      <c r="M7227" t="s">
        <v>41247</v>
      </c>
      <c r="N7227" t="s">
        <v>44759</v>
      </c>
      <c r="O7227" t="s">
        <v>44760</v>
      </c>
      <c r="P7227">
        <v>0</v>
      </c>
      <c r="Q7227">
        <v>0</v>
      </c>
      <c r="R7227" t="s">
        <v>44767</v>
      </c>
      <c r="S7227" t="s">
        <v>44954</v>
      </c>
      <c r="T7227" t="s">
        <v>46403</v>
      </c>
      <c r="U7227" t="s">
        <v>47975</v>
      </c>
      <c r="V7227" t="s">
        <v>59259</v>
      </c>
      <c r="W7227" t="s">
        <v>41247</v>
      </c>
      <c r="X7227" t="s">
        <v>44768</v>
      </c>
    </row>
    <row r="7228" spans="1:24">
      <c r="A7228">
        <f>HYPERLINK("https://www.philgeps.gov.ph/GEPSNONPILOT/Tender/SplashBidNoticeAbstractUI.aspx?menuIndex=3&amp;refID=7143484&amp;Result=3","7143484")</f>
        <v>0</v>
      </c>
      <c r="B7228" t="s">
        <v>2373</v>
      </c>
      <c r="C7228" t="s">
        <v>10622</v>
      </c>
      <c r="D7228" t="s">
        <v>17966</v>
      </c>
      <c r="E7228" t="s">
        <v>24378</v>
      </c>
      <c r="F7228" t="s">
        <v>30900</v>
      </c>
      <c r="G7228" t="s">
        <v>30907</v>
      </c>
      <c r="H7228" t="s">
        <v>30916</v>
      </c>
      <c r="I7228" t="s">
        <v>8123</v>
      </c>
      <c r="J7228" t="s">
        <v>35648</v>
      </c>
      <c r="K7228" t="s">
        <v>40283</v>
      </c>
      <c r="M7228" t="s">
        <v>43178</v>
      </c>
      <c r="N7228" t="s">
        <v>44759</v>
      </c>
      <c r="O7228" t="s">
        <v>44760</v>
      </c>
      <c r="P7228">
        <v>0</v>
      </c>
      <c r="Q7228">
        <v>0</v>
      </c>
      <c r="R7228" t="s">
        <v>44767</v>
      </c>
      <c r="S7228" t="s">
        <v>44954</v>
      </c>
      <c r="T7228" t="s">
        <v>46357</v>
      </c>
      <c r="U7228" t="s">
        <v>47755</v>
      </c>
      <c r="W7228" t="s">
        <v>43178</v>
      </c>
      <c r="X7228" t="s">
        <v>44768</v>
      </c>
    </row>
    <row r="7229" spans="1:24">
      <c r="A7229">
        <f>HYPERLINK("https://www.philgeps.gov.ph/GEPSNONPILOT/Tender/SplashBidNoticeAbstractUI.aspx?menuIndex=3&amp;refID=7143481&amp;Result=3","7143481")</f>
        <v>0</v>
      </c>
      <c r="B7229" t="s">
        <v>2478</v>
      </c>
      <c r="C7229" t="s">
        <v>10623</v>
      </c>
      <c r="D7229" t="s">
        <v>17958</v>
      </c>
      <c r="E7229" t="s">
        <v>24379</v>
      </c>
      <c r="F7229" t="s">
        <v>30900</v>
      </c>
      <c r="G7229" t="s">
        <v>30907</v>
      </c>
      <c r="H7229" t="s">
        <v>30915</v>
      </c>
      <c r="I7229" t="s">
        <v>30919</v>
      </c>
      <c r="J7229" t="s">
        <v>34984</v>
      </c>
      <c r="K7229" t="s">
        <v>40302</v>
      </c>
      <c r="M7229" t="s">
        <v>43217</v>
      </c>
      <c r="N7229" t="s">
        <v>44759</v>
      </c>
      <c r="O7229" t="s">
        <v>44760</v>
      </c>
      <c r="P7229">
        <v>0</v>
      </c>
      <c r="Q7229">
        <v>0</v>
      </c>
      <c r="R7229" t="s">
        <v>44767</v>
      </c>
      <c r="S7229" t="s">
        <v>44954</v>
      </c>
      <c r="T7229" t="s">
        <v>46450</v>
      </c>
      <c r="U7229" t="s">
        <v>52994</v>
      </c>
      <c r="W7229" t="s">
        <v>43217</v>
      </c>
      <c r="X7229" t="s">
        <v>44768</v>
      </c>
    </row>
    <row r="7230" spans="1:24">
      <c r="A7230">
        <f>HYPERLINK("https://www.philgeps.gov.ph/GEPSNONPILOT/Tender/SplashBidNoticeAbstractUI.aspx?menuIndex=3&amp;refID=7143546&amp;Result=3","7143546")</f>
        <v>0</v>
      </c>
      <c r="B7230" t="s">
        <v>2024</v>
      </c>
      <c r="C7230" t="s">
        <v>10624</v>
      </c>
      <c r="D7230" t="s">
        <v>17973</v>
      </c>
      <c r="E7230" t="s">
        <v>24380</v>
      </c>
      <c r="F7230" t="s">
        <v>30900</v>
      </c>
      <c r="G7230" t="s">
        <v>30907</v>
      </c>
      <c r="H7230" t="s">
        <v>30916</v>
      </c>
      <c r="I7230" t="s">
        <v>30965</v>
      </c>
      <c r="J7230" t="s">
        <v>35649</v>
      </c>
      <c r="K7230" t="s">
        <v>40289</v>
      </c>
      <c r="M7230" t="s">
        <v>42720</v>
      </c>
      <c r="N7230" t="s">
        <v>44759</v>
      </c>
      <c r="O7230" t="s">
        <v>44760</v>
      </c>
      <c r="P7230">
        <v>0</v>
      </c>
      <c r="Q7230">
        <v>12</v>
      </c>
      <c r="R7230" t="s">
        <v>44767</v>
      </c>
      <c r="S7230" t="s">
        <v>44954</v>
      </c>
      <c r="T7230" t="s">
        <v>46606</v>
      </c>
      <c r="U7230" t="s">
        <v>52995</v>
      </c>
      <c r="W7230" t="s">
        <v>42720</v>
      </c>
      <c r="X7230" t="s">
        <v>44768</v>
      </c>
    </row>
    <row r="7231" spans="1:24">
      <c r="A7231">
        <f>HYPERLINK("https://www.philgeps.gov.ph/GEPSNONPILOT/Tender/SplashBidNoticeAbstractUI.aspx?menuIndex=3&amp;refID=7143308&amp;Result=3","7143308")</f>
        <v>0</v>
      </c>
      <c r="B7231" t="s">
        <v>2478</v>
      </c>
      <c r="C7231" t="s">
        <v>10625</v>
      </c>
      <c r="D7231" t="s">
        <v>17958</v>
      </c>
      <c r="E7231" t="s">
        <v>24381</v>
      </c>
      <c r="F7231" t="s">
        <v>30900</v>
      </c>
      <c r="G7231" t="s">
        <v>30907</v>
      </c>
      <c r="H7231" t="s">
        <v>30916</v>
      </c>
      <c r="I7231" t="s">
        <v>10847</v>
      </c>
      <c r="J7231" t="s">
        <v>33790</v>
      </c>
      <c r="K7231" t="s">
        <v>40283</v>
      </c>
      <c r="M7231" t="s">
        <v>43217</v>
      </c>
      <c r="N7231" t="s">
        <v>44759</v>
      </c>
      <c r="O7231" t="s">
        <v>44760</v>
      </c>
      <c r="P7231">
        <v>0</v>
      </c>
      <c r="Q7231">
        <v>1</v>
      </c>
      <c r="R7231" t="s">
        <v>44767</v>
      </c>
      <c r="S7231" t="s">
        <v>44954</v>
      </c>
      <c r="T7231" t="s">
        <v>46450</v>
      </c>
      <c r="U7231" t="s">
        <v>52996</v>
      </c>
      <c r="W7231" t="s">
        <v>43217</v>
      </c>
      <c r="X7231" t="s">
        <v>44768</v>
      </c>
    </row>
    <row r="7232" spans="1:24">
      <c r="A7232">
        <f>HYPERLINK("https://www.philgeps.gov.ph/GEPSNONPILOT/Tender/SplashBidNoticeAbstractUI.aspx?menuIndex=3&amp;refID=7143543&amp;Result=3","7143543")</f>
        <v>0</v>
      </c>
      <c r="B7232" t="s">
        <v>2479</v>
      </c>
      <c r="C7232" t="s">
        <v>10626</v>
      </c>
      <c r="D7232" t="s">
        <v>18031</v>
      </c>
      <c r="E7232" t="s">
        <v>24382</v>
      </c>
      <c r="F7232" t="s">
        <v>30900</v>
      </c>
      <c r="G7232" t="s">
        <v>30908</v>
      </c>
      <c r="H7232" t="s">
        <v>30916</v>
      </c>
      <c r="I7232" t="s">
        <v>6746</v>
      </c>
      <c r="J7232" t="s">
        <v>35650</v>
      </c>
      <c r="K7232" t="s">
        <v>40284</v>
      </c>
      <c r="M7232" t="s">
        <v>43218</v>
      </c>
      <c r="N7232" t="s">
        <v>44759</v>
      </c>
      <c r="O7232" t="s">
        <v>44760</v>
      </c>
      <c r="P7232">
        <v>0</v>
      </c>
      <c r="Q7232">
        <v>0</v>
      </c>
      <c r="R7232" t="s">
        <v>44767</v>
      </c>
      <c r="S7232" t="s">
        <v>44954</v>
      </c>
      <c r="T7232" t="s">
        <v>46357</v>
      </c>
      <c r="U7232" t="s">
        <v>52997</v>
      </c>
      <c r="W7232" t="s">
        <v>43218</v>
      </c>
      <c r="X7232" t="s">
        <v>44768</v>
      </c>
    </row>
    <row r="7233" spans="1:24">
      <c r="A7233">
        <f>HYPERLINK("https://www.philgeps.gov.ph/GEPSNONPILOT/Tender/SplashBidNoticeAbstractUI.aspx?menuIndex=3&amp;refID=7143499&amp;Result=3","7143499")</f>
        <v>0</v>
      </c>
      <c r="B7233" t="s">
        <v>2474</v>
      </c>
      <c r="C7233" t="s">
        <v>10627</v>
      </c>
      <c r="D7233" t="s">
        <v>17959</v>
      </c>
      <c r="E7233" t="s">
        <v>24222</v>
      </c>
      <c r="F7233" t="s">
        <v>30900</v>
      </c>
      <c r="G7233" t="s">
        <v>30907</v>
      </c>
      <c r="H7233" t="s">
        <v>30916</v>
      </c>
      <c r="I7233" t="s">
        <v>8123</v>
      </c>
      <c r="J7233" t="s">
        <v>35651</v>
      </c>
      <c r="K7233" t="s">
        <v>40292</v>
      </c>
      <c r="M7233" t="s">
        <v>43212</v>
      </c>
      <c r="N7233" t="s">
        <v>44759</v>
      </c>
      <c r="O7233" t="s">
        <v>44760</v>
      </c>
      <c r="P7233">
        <v>0</v>
      </c>
      <c r="Q7233">
        <v>1</v>
      </c>
      <c r="R7233" t="s">
        <v>44767</v>
      </c>
      <c r="S7233" t="s">
        <v>44954</v>
      </c>
      <c r="T7233" t="s">
        <v>46441</v>
      </c>
      <c r="U7233" t="s">
        <v>52983</v>
      </c>
      <c r="W7233" t="s">
        <v>43212</v>
      </c>
      <c r="X7233" t="s">
        <v>44768</v>
      </c>
    </row>
    <row r="7234" spans="1:24">
      <c r="A7234">
        <f>HYPERLINK("https://www.philgeps.gov.ph/GEPSNONPILOT/Tender/SplashBidNoticeAbstractUI.aspx?menuIndex=3&amp;refID=7143542&amp;Result=3","7143542")</f>
        <v>0</v>
      </c>
      <c r="B7234" t="s">
        <v>227</v>
      </c>
      <c r="C7234" t="s">
        <v>10628</v>
      </c>
      <c r="D7234" t="s">
        <v>18012</v>
      </c>
      <c r="E7234" t="s">
        <v>24383</v>
      </c>
      <c r="F7234" t="s">
        <v>30900</v>
      </c>
      <c r="G7234" t="s">
        <v>30908</v>
      </c>
      <c r="H7234" t="s">
        <v>30916</v>
      </c>
      <c r="I7234" t="s">
        <v>6953</v>
      </c>
      <c r="J7234" t="s">
        <v>35652</v>
      </c>
      <c r="K7234" t="s">
        <v>40284</v>
      </c>
      <c r="M7234" t="s">
        <v>43216</v>
      </c>
      <c r="N7234" t="s">
        <v>44759</v>
      </c>
      <c r="O7234" t="s">
        <v>44760</v>
      </c>
      <c r="P7234">
        <v>0</v>
      </c>
      <c r="Q7234">
        <v>1</v>
      </c>
      <c r="R7234" t="s">
        <v>44767</v>
      </c>
      <c r="S7234" t="s">
        <v>44954</v>
      </c>
      <c r="T7234" t="s">
        <v>46403</v>
      </c>
      <c r="U7234" t="s">
        <v>52998</v>
      </c>
      <c r="V7234" t="s">
        <v>59890</v>
      </c>
      <c r="W7234" t="s">
        <v>43216</v>
      </c>
      <c r="X7234" t="s">
        <v>44768</v>
      </c>
    </row>
    <row r="7235" spans="1:24">
      <c r="A7235">
        <f>HYPERLINK("https://www.philgeps.gov.ph/GEPSNONPILOT/Tender/SplashBidNoticeAbstractUI.aspx?menuIndex=3&amp;refID=7143465&amp;Result=3","7143465")</f>
        <v>0</v>
      </c>
      <c r="B7235" t="s">
        <v>591</v>
      </c>
      <c r="C7235" t="s">
        <v>10629</v>
      </c>
      <c r="D7235" t="s">
        <v>17998</v>
      </c>
      <c r="E7235" t="s">
        <v>24384</v>
      </c>
      <c r="F7235" t="s">
        <v>30900</v>
      </c>
      <c r="G7235" t="s">
        <v>30907</v>
      </c>
      <c r="H7235" t="s">
        <v>30916</v>
      </c>
      <c r="I7235" t="s">
        <v>4142</v>
      </c>
      <c r="J7235" t="s">
        <v>35653</v>
      </c>
      <c r="K7235" t="s">
        <v>40286</v>
      </c>
      <c r="M7235" t="s">
        <v>41247</v>
      </c>
      <c r="N7235" t="s">
        <v>44759</v>
      </c>
      <c r="O7235" t="s">
        <v>44760</v>
      </c>
      <c r="P7235">
        <v>0</v>
      </c>
      <c r="Q7235">
        <v>0</v>
      </c>
      <c r="R7235" t="s">
        <v>44767</v>
      </c>
      <c r="S7235" t="s">
        <v>44954</v>
      </c>
      <c r="T7235" t="s">
        <v>46403</v>
      </c>
      <c r="U7235" t="s">
        <v>47975</v>
      </c>
      <c r="V7235" t="s">
        <v>59259</v>
      </c>
      <c r="W7235" t="s">
        <v>41247</v>
      </c>
      <c r="X7235" t="s">
        <v>44768</v>
      </c>
    </row>
    <row r="7236" spans="1:24">
      <c r="A7236">
        <f>HYPERLINK("https://www.philgeps.gov.ph/GEPSNONPILOT/Tender/SplashBidNoticeAbstractUI.aspx?menuIndex=3&amp;refID=7143537&amp;Result=3","7143537")</f>
        <v>0</v>
      </c>
      <c r="B7236" t="s">
        <v>591</v>
      </c>
      <c r="C7236" t="s">
        <v>10630</v>
      </c>
      <c r="D7236" t="s">
        <v>17998</v>
      </c>
      <c r="E7236" t="s">
        <v>24385</v>
      </c>
      <c r="F7236" t="s">
        <v>30900</v>
      </c>
      <c r="G7236" t="s">
        <v>30907</v>
      </c>
      <c r="H7236" t="s">
        <v>30916</v>
      </c>
      <c r="I7236" t="s">
        <v>30927</v>
      </c>
      <c r="J7236" t="s">
        <v>35654</v>
      </c>
      <c r="K7236" t="s">
        <v>40286</v>
      </c>
      <c r="M7236" t="s">
        <v>41247</v>
      </c>
      <c r="N7236" t="s">
        <v>44759</v>
      </c>
      <c r="O7236" t="s">
        <v>44760</v>
      </c>
      <c r="P7236">
        <v>0</v>
      </c>
      <c r="Q7236">
        <v>0</v>
      </c>
      <c r="R7236" t="s">
        <v>44767</v>
      </c>
      <c r="S7236" t="s">
        <v>44954</v>
      </c>
      <c r="T7236" t="s">
        <v>46403</v>
      </c>
      <c r="U7236" t="s">
        <v>47975</v>
      </c>
      <c r="V7236" t="s">
        <v>59259</v>
      </c>
      <c r="W7236" t="s">
        <v>41247</v>
      </c>
      <c r="X7236" t="s">
        <v>44768</v>
      </c>
    </row>
    <row r="7237" spans="1:24">
      <c r="A7237">
        <f>HYPERLINK("https://www.philgeps.gov.ph/GEPSNONPILOT/Tender/SplashBidNoticeAbstractUI.aspx?menuIndex=3&amp;refID=7143534&amp;Result=3","7143534")</f>
        <v>0</v>
      </c>
      <c r="B7237" t="s">
        <v>2407</v>
      </c>
      <c r="C7237" t="s">
        <v>10631</v>
      </c>
      <c r="D7237" t="s">
        <v>17985</v>
      </c>
      <c r="E7237" t="s">
        <v>24386</v>
      </c>
      <c r="F7237" t="s">
        <v>30900</v>
      </c>
      <c r="G7237" t="s">
        <v>30909</v>
      </c>
      <c r="H7237" t="s">
        <v>30916</v>
      </c>
      <c r="I7237" t="s">
        <v>30927</v>
      </c>
      <c r="J7237" t="s">
        <v>35655</v>
      </c>
      <c r="K7237" t="s">
        <v>40289</v>
      </c>
      <c r="M7237" t="s">
        <v>43134</v>
      </c>
      <c r="N7237" t="s">
        <v>44759</v>
      </c>
      <c r="O7237" t="s">
        <v>44760</v>
      </c>
      <c r="P7237">
        <v>0</v>
      </c>
      <c r="Q7237">
        <v>4</v>
      </c>
      <c r="R7237" t="s">
        <v>44767</v>
      </c>
      <c r="S7237" t="s">
        <v>44954</v>
      </c>
      <c r="T7237" t="s">
        <v>46625</v>
      </c>
      <c r="U7237" t="s">
        <v>52999</v>
      </c>
      <c r="W7237" t="s">
        <v>43134</v>
      </c>
      <c r="X7237" t="s">
        <v>44768</v>
      </c>
    </row>
    <row r="7238" spans="1:24">
      <c r="A7238">
        <f>HYPERLINK("https://www.philgeps.gov.ph/GEPSNONPILOT/Tender/SplashBidNoticeAbstractUI.aspx?menuIndex=3&amp;refID=7143493&amp;Result=3","7143493")</f>
        <v>0</v>
      </c>
      <c r="B7238" t="s">
        <v>591</v>
      </c>
      <c r="C7238" t="s">
        <v>10632</v>
      </c>
      <c r="D7238" t="s">
        <v>17998</v>
      </c>
      <c r="E7238" t="s">
        <v>24387</v>
      </c>
      <c r="F7238" t="s">
        <v>30900</v>
      </c>
      <c r="G7238" t="s">
        <v>30907</v>
      </c>
      <c r="H7238" t="s">
        <v>30916</v>
      </c>
      <c r="I7238" t="s">
        <v>4142</v>
      </c>
      <c r="J7238" t="s">
        <v>35656</v>
      </c>
      <c r="K7238" t="s">
        <v>40286</v>
      </c>
      <c r="M7238" t="s">
        <v>41247</v>
      </c>
      <c r="N7238" t="s">
        <v>44759</v>
      </c>
      <c r="O7238" t="s">
        <v>44760</v>
      </c>
      <c r="P7238">
        <v>0</v>
      </c>
      <c r="Q7238">
        <v>0</v>
      </c>
      <c r="R7238" t="s">
        <v>44767</v>
      </c>
      <c r="S7238" t="s">
        <v>44954</v>
      </c>
      <c r="T7238" t="s">
        <v>46403</v>
      </c>
      <c r="U7238" t="s">
        <v>47975</v>
      </c>
      <c r="V7238" t="s">
        <v>59259</v>
      </c>
      <c r="W7238" t="s">
        <v>41247</v>
      </c>
      <c r="X7238" t="s">
        <v>44768</v>
      </c>
    </row>
    <row r="7239" spans="1:24">
      <c r="A7239">
        <f>HYPERLINK("https://www.philgeps.gov.ph/GEPSNONPILOT/Tender/SplashBidNoticeAbstractUI.aspx?menuIndex=3&amp;refID=7143545&amp;Result=3","7143545")</f>
        <v>0</v>
      </c>
      <c r="B7239" t="s">
        <v>1299</v>
      </c>
      <c r="C7239" t="s">
        <v>4165</v>
      </c>
      <c r="D7239" t="s">
        <v>17954</v>
      </c>
      <c r="E7239" t="s">
        <v>24388</v>
      </c>
      <c r="F7239" t="s">
        <v>30900</v>
      </c>
      <c r="G7239" t="s">
        <v>30907</v>
      </c>
      <c r="H7239" t="s">
        <v>30915</v>
      </c>
      <c r="I7239" t="s">
        <v>30919</v>
      </c>
      <c r="J7239" t="s">
        <v>31341</v>
      </c>
      <c r="K7239" t="s">
        <v>40303</v>
      </c>
      <c r="M7239" t="s">
        <v>40836</v>
      </c>
      <c r="N7239" t="s">
        <v>44759</v>
      </c>
      <c r="O7239" t="s">
        <v>44760</v>
      </c>
      <c r="P7239">
        <v>0</v>
      </c>
      <c r="Q7239">
        <v>0</v>
      </c>
      <c r="R7239" t="s">
        <v>44767</v>
      </c>
      <c r="S7239" t="s">
        <v>44954</v>
      </c>
      <c r="T7239" t="s">
        <v>46374</v>
      </c>
      <c r="U7239" t="s">
        <v>53000</v>
      </c>
      <c r="W7239" t="s">
        <v>40836</v>
      </c>
      <c r="X7239" t="s">
        <v>44768</v>
      </c>
    </row>
    <row r="7240" spans="1:24">
      <c r="A7240">
        <f>HYPERLINK("https://www.philgeps.gov.ph/GEPSNONPILOT/Tender/SplashBidNoticeAbstractUI.aspx?menuIndex=3&amp;refID=7143532&amp;Result=3","7143532")</f>
        <v>0</v>
      </c>
      <c r="B7240" t="s">
        <v>2480</v>
      </c>
      <c r="C7240" t="s">
        <v>10633</v>
      </c>
      <c r="D7240" t="s">
        <v>18019</v>
      </c>
      <c r="E7240" t="s">
        <v>24389</v>
      </c>
      <c r="F7240" t="s">
        <v>30900</v>
      </c>
      <c r="G7240" t="s">
        <v>30907</v>
      </c>
      <c r="H7240" t="s">
        <v>30917</v>
      </c>
      <c r="I7240" t="s">
        <v>17295</v>
      </c>
      <c r="J7240" t="s">
        <v>31585</v>
      </c>
      <c r="K7240" t="s">
        <v>40334</v>
      </c>
      <c r="M7240" t="s">
        <v>43219</v>
      </c>
      <c r="N7240" t="s">
        <v>44759</v>
      </c>
      <c r="O7240" t="s">
        <v>44760</v>
      </c>
      <c r="P7240">
        <v>0</v>
      </c>
      <c r="Q7240">
        <v>2</v>
      </c>
      <c r="R7240" t="s">
        <v>44767</v>
      </c>
      <c r="S7240" t="s">
        <v>44954</v>
      </c>
      <c r="T7240" t="s">
        <v>46374</v>
      </c>
      <c r="U7240" t="s">
        <v>53001</v>
      </c>
      <c r="W7240" t="s">
        <v>43219</v>
      </c>
      <c r="X7240" t="s">
        <v>44768</v>
      </c>
    </row>
    <row r="7241" spans="1:24">
      <c r="A7241">
        <f>HYPERLINK("https://www.philgeps.gov.ph/GEPSNONPILOT/Tender/SplashBidNoticeAbstractUI.aspx?menuIndex=3&amp;refID=7143529&amp;Result=3","7143529")</f>
        <v>0</v>
      </c>
      <c r="B7241" t="s">
        <v>237</v>
      </c>
      <c r="C7241" t="s">
        <v>10634</v>
      </c>
      <c r="D7241" t="s">
        <v>17977</v>
      </c>
      <c r="E7241" t="s">
        <v>24390</v>
      </c>
      <c r="F7241" t="s">
        <v>30900</v>
      </c>
      <c r="G7241" t="s">
        <v>30906</v>
      </c>
      <c r="H7241" t="s">
        <v>30916</v>
      </c>
      <c r="I7241" t="s">
        <v>30933</v>
      </c>
      <c r="J7241" t="s">
        <v>31048</v>
      </c>
      <c r="K7241" t="s">
        <v>40289</v>
      </c>
      <c r="M7241" t="s">
        <v>40784</v>
      </c>
      <c r="N7241" t="s">
        <v>44759</v>
      </c>
      <c r="O7241" t="s">
        <v>44760</v>
      </c>
      <c r="P7241">
        <v>0</v>
      </c>
      <c r="Q7241">
        <v>1</v>
      </c>
      <c r="R7241" t="s">
        <v>44767</v>
      </c>
      <c r="S7241" t="s">
        <v>44954</v>
      </c>
      <c r="T7241" t="s">
        <v>46704</v>
      </c>
      <c r="U7241" t="s">
        <v>53002</v>
      </c>
      <c r="W7241" t="s">
        <v>40784</v>
      </c>
      <c r="X7241" t="s">
        <v>44768</v>
      </c>
    </row>
    <row r="7242" spans="1:24">
      <c r="A7242">
        <f>HYPERLINK("https://www.philgeps.gov.ph/GEPSNONPILOT/Tender/SplashBidNoticeAbstractUI.aspx?menuIndex=3&amp;refID=7143491&amp;Result=3","7143491")</f>
        <v>0</v>
      </c>
      <c r="B7242" t="s">
        <v>2473</v>
      </c>
      <c r="C7242" t="s">
        <v>10607</v>
      </c>
      <c r="D7242" t="s">
        <v>17993</v>
      </c>
      <c r="E7242" t="s">
        <v>24391</v>
      </c>
      <c r="F7242" t="s">
        <v>30904</v>
      </c>
      <c r="G7242" t="s">
        <v>30907</v>
      </c>
      <c r="H7242" t="s">
        <v>30915</v>
      </c>
      <c r="I7242" t="s">
        <v>30919</v>
      </c>
      <c r="J7242" t="s">
        <v>31204</v>
      </c>
      <c r="K7242" t="s">
        <v>40286</v>
      </c>
      <c r="M7242" t="s">
        <v>43211</v>
      </c>
      <c r="N7242" t="s">
        <v>44759</v>
      </c>
      <c r="O7242" t="s">
        <v>44760</v>
      </c>
      <c r="P7242">
        <v>0</v>
      </c>
      <c r="Q7242">
        <v>0</v>
      </c>
      <c r="R7242" t="s">
        <v>44767</v>
      </c>
      <c r="S7242" t="s">
        <v>44954</v>
      </c>
      <c r="T7242" t="s">
        <v>46539</v>
      </c>
      <c r="U7242" t="s">
        <v>52982</v>
      </c>
      <c r="W7242" t="s">
        <v>43211</v>
      </c>
      <c r="X7242" t="s">
        <v>44768</v>
      </c>
    </row>
    <row r="7243" spans="1:24">
      <c r="A7243">
        <f>HYPERLINK("https://www.philgeps.gov.ph/GEPSNONPILOT/Tender/SplashBidNoticeAbstractUI.aspx?menuIndex=3&amp;refID=7143528&amp;Result=3","7143528")</f>
        <v>0</v>
      </c>
      <c r="B7243" t="s">
        <v>2373</v>
      </c>
      <c r="C7243" t="s">
        <v>10635</v>
      </c>
      <c r="D7243" t="s">
        <v>17966</v>
      </c>
      <c r="E7243" t="s">
        <v>24392</v>
      </c>
      <c r="F7243" t="s">
        <v>30900</v>
      </c>
      <c r="G7243" t="s">
        <v>30907</v>
      </c>
      <c r="H7243" t="s">
        <v>30916</v>
      </c>
      <c r="I7243" t="s">
        <v>8123</v>
      </c>
      <c r="J7243" t="s">
        <v>35657</v>
      </c>
      <c r="K7243" t="s">
        <v>40283</v>
      </c>
      <c r="M7243" t="s">
        <v>43178</v>
      </c>
      <c r="N7243" t="s">
        <v>44759</v>
      </c>
      <c r="O7243" t="s">
        <v>44760</v>
      </c>
      <c r="P7243">
        <v>0</v>
      </c>
      <c r="Q7243">
        <v>0</v>
      </c>
      <c r="R7243" t="s">
        <v>44767</v>
      </c>
      <c r="S7243" t="s">
        <v>44954</v>
      </c>
      <c r="T7243" t="s">
        <v>46357</v>
      </c>
      <c r="U7243" t="s">
        <v>47755</v>
      </c>
      <c r="W7243" t="s">
        <v>43178</v>
      </c>
      <c r="X7243" t="s">
        <v>44768</v>
      </c>
    </row>
    <row r="7244" spans="1:24">
      <c r="A7244">
        <f>HYPERLINK("https://www.philgeps.gov.ph/GEPSNONPILOT/Tender/SplashBidNoticeAbstractUI.aspx?menuIndex=3&amp;refID=7143535&amp;Result=3","7143535")</f>
        <v>0</v>
      </c>
      <c r="B7244" t="s">
        <v>426</v>
      </c>
      <c r="C7244" t="s">
        <v>10636</v>
      </c>
      <c r="D7244" t="s">
        <v>17959</v>
      </c>
      <c r="E7244" t="s">
        <v>24393</v>
      </c>
      <c r="F7244" t="s">
        <v>30900</v>
      </c>
      <c r="G7244" t="s">
        <v>30908</v>
      </c>
      <c r="H7244" t="s">
        <v>30916</v>
      </c>
      <c r="I7244" t="s">
        <v>30918</v>
      </c>
      <c r="J7244" t="s">
        <v>31066</v>
      </c>
      <c r="K7244" t="s">
        <v>40286</v>
      </c>
      <c r="M7244" t="s">
        <v>43220</v>
      </c>
      <c r="N7244" t="s">
        <v>44759</v>
      </c>
      <c r="O7244" t="s">
        <v>44760</v>
      </c>
      <c r="P7244">
        <v>0</v>
      </c>
      <c r="Q7244">
        <v>11</v>
      </c>
      <c r="R7244" t="s">
        <v>44767</v>
      </c>
      <c r="S7244" t="s">
        <v>44954</v>
      </c>
      <c r="T7244" t="s">
        <v>46662</v>
      </c>
      <c r="U7244" t="s">
        <v>53003</v>
      </c>
      <c r="W7244" t="s">
        <v>60890</v>
      </c>
      <c r="X7244" t="s">
        <v>44768</v>
      </c>
    </row>
    <row r="7245" spans="1:24">
      <c r="A7245">
        <f>HYPERLINK("https://www.philgeps.gov.ph/GEPSNONPILOT/Tender/SplashBidNoticeAbstractUI.aspx?menuIndex=3&amp;refID=7143522&amp;Result=3","7143522")</f>
        <v>0</v>
      </c>
      <c r="B7245" t="s">
        <v>591</v>
      </c>
      <c r="C7245" t="s">
        <v>10637</v>
      </c>
      <c r="D7245" t="s">
        <v>17998</v>
      </c>
      <c r="E7245" t="s">
        <v>24394</v>
      </c>
      <c r="F7245" t="s">
        <v>30900</v>
      </c>
      <c r="G7245" t="s">
        <v>30907</v>
      </c>
      <c r="H7245" t="s">
        <v>30916</v>
      </c>
      <c r="I7245" t="s">
        <v>8044</v>
      </c>
      <c r="J7245" t="s">
        <v>35658</v>
      </c>
      <c r="K7245" t="s">
        <v>40286</v>
      </c>
      <c r="M7245" t="s">
        <v>41247</v>
      </c>
      <c r="N7245" t="s">
        <v>44759</v>
      </c>
      <c r="O7245" t="s">
        <v>44760</v>
      </c>
      <c r="P7245">
        <v>0</v>
      </c>
      <c r="Q7245">
        <v>0</v>
      </c>
      <c r="R7245" t="s">
        <v>44767</v>
      </c>
      <c r="S7245" t="s">
        <v>44954</v>
      </c>
      <c r="T7245" t="s">
        <v>46403</v>
      </c>
      <c r="U7245" t="s">
        <v>47975</v>
      </c>
      <c r="V7245" t="s">
        <v>59259</v>
      </c>
      <c r="W7245" t="s">
        <v>41247</v>
      </c>
      <c r="X7245" t="s">
        <v>44768</v>
      </c>
    </row>
    <row r="7246" spans="1:24">
      <c r="A7246">
        <f>HYPERLINK("https://www.philgeps.gov.ph/GEPSNONPILOT/Tender/SplashBidNoticeAbstractUI.aspx?menuIndex=3&amp;refID=7143531&amp;Result=3","7143531")</f>
        <v>0</v>
      </c>
      <c r="B7246" t="s">
        <v>2473</v>
      </c>
      <c r="C7246" t="s">
        <v>10638</v>
      </c>
      <c r="D7246" t="s">
        <v>17993</v>
      </c>
      <c r="E7246" t="s">
        <v>24395</v>
      </c>
      <c r="F7246" t="s">
        <v>30904</v>
      </c>
      <c r="G7246" t="s">
        <v>30907</v>
      </c>
      <c r="H7246" t="s">
        <v>30915</v>
      </c>
      <c r="I7246" t="s">
        <v>30919</v>
      </c>
      <c r="J7246" t="s">
        <v>31049</v>
      </c>
      <c r="K7246" t="s">
        <v>40286</v>
      </c>
      <c r="M7246" t="s">
        <v>43211</v>
      </c>
      <c r="N7246" t="s">
        <v>44759</v>
      </c>
      <c r="O7246" t="s">
        <v>44760</v>
      </c>
      <c r="P7246">
        <v>0</v>
      </c>
      <c r="Q7246">
        <v>0</v>
      </c>
      <c r="R7246" t="s">
        <v>44767</v>
      </c>
      <c r="S7246" t="s">
        <v>44954</v>
      </c>
      <c r="T7246" t="s">
        <v>46539</v>
      </c>
      <c r="U7246" t="s">
        <v>52982</v>
      </c>
      <c r="W7246" t="s">
        <v>43211</v>
      </c>
      <c r="X7246" t="s">
        <v>44768</v>
      </c>
    </row>
    <row r="7247" spans="1:24">
      <c r="A7247">
        <f>HYPERLINK("https://www.philgeps.gov.ph/GEPSNONPILOT/Tender/SplashBidNoticeAbstractUI.aspx?menuIndex=3&amp;refID=7143530&amp;Result=3","7143530")</f>
        <v>0</v>
      </c>
      <c r="B7247" t="s">
        <v>1512</v>
      </c>
      <c r="C7247" t="s">
        <v>10639</v>
      </c>
      <c r="D7247" t="s">
        <v>17963</v>
      </c>
      <c r="E7247" t="s">
        <v>24396</v>
      </c>
      <c r="F7247" t="s">
        <v>30900</v>
      </c>
      <c r="G7247" t="s">
        <v>30908</v>
      </c>
      <c r="H7247" t="s">
        <v>30916</v>
      </c>
      <c r="I7247" t="s">
        <v>30935</v>
      </c>
      <c r="J7247" t="s">
        <v>31204</v>
      </c>
      <c r="K7247" t="s">
        <v>40286</v>
      </c>
      <c r="L7247" t="s">
        <v>1512</v>
      </c>
      <c r="M7247" t="s">
        <v>43221</v>
      </c>
      <c r="N7247" t="s">
        <v>44759</v>
      </c>
      <c r="O7247" t="s">
        <v>44760</v>
      </c>
      <c r="P7247">
        <v>0</v>
      </c>
      <c r="Q7247">
        <v>2</v>
      </c>
      <c r="R7247" t="s">
        <v>44767</v>
      </c>
      <c r="S7247" t="s">
        <v>44954</v>
      </c>
      <c r="T7247" t="s">
        <v>46625</v>
      </c>
      <c r="U7247" t="s">
        <v>53004</v>
      </c>
      <c r="W7247" t="s">
        <v>43221</v>
      </c>
      <c r="X7247" t="s">
        <v>44768</v>
      </c>
    </row>
    <row r="7248" spans="1:24">
      <c r="A7248">
        <f>HYPERLINK("https://www.philgeps.gov.ph/GEPSNONPILOT/Tender/SplashBidNoticeAbstractUI.aspx?menuIndex=3&amp;refID=7143515&amp;Result=3","7143515")</f>
        <v>0</v>
      </c>
      <c r="B7248" t="s">
        <v>303</v>
      </c>
      <c r="C7248" t="s">
        <v>10640</v>
      </c>
      <c r="D7248" t="s">
        <v>17951</v>
      </c>
      <c r="E7248" t="s">
        <v>24397</v>
      </c>
      <c r="F7248" t="s">
        <v>30900</v>
      </c>
      <c r="G7248" t="s">
        <v>30908</v>
      </c>
      <c r="H7248" t="s">
        <v>30916</v>
      </c>
      <c r="I7248" t="s">
        <v>30939</v>
      </c>
      <c r="J7248" t="s">
        <v>35659</v>
      </c>
      <c r="K7248" t="s">
        <v>40284</v>
      </c>
      <c r="M7248" t="s">
        <v>40852</v>
      </c>
      <c r="N7248" t="s">
        <v>44759</v>
      </c>
      <c r="O7248" t="s">
        <v>44760</v>
      </c>
      <c r="P7248">
        <v>0</v>
      </c>
      <c r="Q7248">
        <v>0</v>
      </c>
      <c r="R7248" t="s">
        <v>44767</v>
      </c>
      <c r="S7248" t="s">
        <v>44954</v>
      </c>
      <c r="T7248" t="s">
        <v>46533</v>
      </c>
      <c r="U7248" t="s">
        <v>52879</v>
      </c>
      <c r="W7248" t="s">
        <v>40852</v>
      </c>
      <c r="X7248" t="s">
        <v>44768</v>
      </c>
    </row>
    <row r="7249" spans="1:24">
      <c r="A7249">
        <f>HYPERLINK("https://www.philgeps.gov.ph/GEPSNONPILOT/Tender/SplashBidNoticeAbstractUI.aspx?menuIndex=3&amp;refID=7143514&amp;Result=3","7143514")</f>
        <v>0</v>
      </c>
      <c r="B7249" t="s">
        <v>743</v>
      </c>
      <c r="C7249" t="s">
        <v>10641</v>
      </c>
      <c r="D7249" t="s">
        <v>18013</v>
      </c>
      <c r="E7249" t="s">
        <v>24398</v>
      </c>
      <c r="F7249" t="s">
        <v>30900</v>
      </c>
      <c r="G7249" t="s">
        <v>30907</v>
      </c>
      <c r="H7249" t="s">
        <v>30916</v>
      </c>
      <c r="I7249" t="s">
        <v>8123</v>
      </c>
      <c r="J7249" t="s">
        <v>35660</v>
      </c>
      <c r="K7249" t="s">
        <v>40286</v>
      </c>
      <c r="M7249" t="s">
        <v>41307</v>
      </c>
      <c r="N7249" t="s">
        <v>44759</v>
      </c>
      <c r="O7249" t="s">
        <v>44760</v>
      </c>
      <c r="P7249">
        <v>0</v>
      </c>
      <c r="Q7249">
        <v>0</v>
      </c>
      <c r="R7249" t="s">
        <v>44767</v>
      </c>
      <c r="S7249" t="s">
        <v>44954</v>
      </c>
      <c r="T7249" t="s">
        <v>46533</v>
      </c>
      <c r="U7249" t="s">
        <v>53005</v>
      </c>
      <c r="W7249" t="s">
        <v>41307</v>
      </c>
      <c r="X7249" t="s">
        <v>44768</v>
      </c>
    </row>
    <row r="7250" spans="1:24">
      <c r="A7250">
        <f>HYPERLINK("https://www.philgeps.gov.ph/GEPSNONPILOT/Tender/SplashBidNoticeAbstractUI.aspx?menuIndex=3&amp;refID=7143521&amp;Result=3","7143521")</f>
        <v>0</v>
      </c>
      <c r="B7250" t="s">
        <v>842</v>
      </c>
      <c r="C7250" t="s">
        <v>10642</v>
      </c>
      <c r="D7250" t="s">
        <v>17957</v>
      </c>
      <c r="E7250" t="s">
        <v>22890</v>
      </c>
      <c r="F7250" t="s">
        <v>30900</v>
      </c>
      <c r="G7250" t="s">
        <v>30909</v>
      </c>
      <c r="H7250" t="s">
        <v>30916</v>
      </c>
      <c r="I7250" t="s">
        <v>6746</v>
      </c>
      <c r="J7250" t="s">
        <v>31048</v>
      </c>
      <c r="K7250" t="s">
        <v>40287</v>
      </c>
      <c r="M7250" t="s">
        <v>41415</v>
      </c>
      <c r="N7250" t="s">
        <v>44759</v>
      </c>
      <c r="O7250" t="s">
        <v>44760</v>
      </c>
      <c r="P7250">
        <v>0</v>
      </c>
      <c r="Q7250">
        <v>0</v>
      </c>
      <c r="R7250" t="s">
        <v>44767</v>
      </c>
      <c r="S7250" t="s">
        <v>44954</v>
      </c>
      <c r="T7250" t="s">
        <v>46591</v>
      </c>
      <c r="U7250" t="s">
        <v>53006</v>
      </c>
      <c r="W7250" t="s">
        <v>41415</v>
      </c>
      <c r="X7250" t="s">
        <v>44768</v>
      </c>
    </row>
    <row r="7251" spans="1:24">
      <c r="A7251">
        <f>HYPERLINK("https://www.philgeps.gov.ph/GEPSNONPILOT/Tender/SplashBidNoticeAbstractUI.aspx?menuIndex=3&amp;refID=7143589&amp;Result=3","7143589")</f>
        <v>0</v>
      </c>
      <c r="B7251" t="s">
        <v>1236</v>
      </c>
      <c r="C7251" t="s">
        <v>10643</v>
      </c>
      <c r="D7251" t="s">
        <v>17998</v>
      </c>
      <c r="E7251" t="s">
        <v>24399</v>
      </c>
      <c r="F7251" t="s">
        <v>30900</v>
      </c>
      <c r="G7251" t="s">
        <v>30908</v>
      </c>
      <c r="H7251" t="s">
        <v>30916</v>
      </c>
      <c r="I7251" t="s">
        <v>30939</v>
      </c>
      <c r="J7251" t="s">
        <v>35661</v>
      </c>
      <c r="K7251" t="s">
        <v>40286</v>
      </c>
      <c r="L7251" t="s">
        <v>1236</v>
      </c>
      <c r="M7251" t="s">
        <v>41848</v>
      </c>
      <c r="N7251" t="s">
        <v>44759</v>
      </c>
      <c r="O7251" t="s">
        <v>44760</v>
      </c>
      <c r="P7251">
        <v>0</v>
      </c>
      <c r="Q7251">
        <v>0</v>
      </c>
      <c r="R7251" t="s">
        <v>44767</v>
      </c>
      <c r="S7251" t="s">
        <v>44954</v>
      </c>
      <c r="T7251" t="s">
        <v>46389</v>
      </c>
      <c r="U7251" t="s">
        <v>53007</v>
      </c>
      <c r="V7251" t="s">
        <v>59443</v>
      </c>
      <c r="W7251" t="s">
        <v>41848</v>
      </c>
      <c r="X7251" t="s">
        <v>44768</v>
      </c>
    </row>
    <row r="7252" spans="1:24">
      <c r="A7252">
        <f>HYPERLINK("https://www.philgeps.gov.ph/GEPSNONPILOT/Tender/SplashBidNoticeAbstractUI.aspx?menuIndex=3&amp;refID=7143517&amp;Result=3","7143517")</f>
        <v>0</v>
      </c>
      <c r="B7252" t="s">
        <v>227</v>
      </c>
      <c r="C7252" t="s">
        <v>10644</v>
      </c>
      <c r="D7252" t="s">
        <v>18012</v>
      </c>
      <c r="E7252" t="s">
        <v>24400</v>
      </c>
      <c r="F7252" t="s">
        <v>30900</v>
      </c>
      <c r="G7252" t="s">
        <v>30908</v>
      </c>
      <c r="H7252" t="s">
        <v>30916</v>
      </c>
      <c r="I7252" t="s">
        <v>8123</v>
      </c>
      <c r="J7252" t="s">
        <v>35662</v>
      </c>
      <c r="K7252" t="s">
        <v>40284</v>
      </c>
      <c r="M7252" t="s">
        <v>43216</v>
      </c>
      <c r="N7252" t="s">
        <v>44759</v>
      </c>
      <c r="O7252" t="s">
        <v>44760</v>
      </c>
      <c r="P7252">
        <v>0</v>
      </c>
      <c r="Q7252">
        <v>1</v>
      </c>
      <c r="R7252" t="s">
        <v>44767</v>
      </c>
      <c r="S7252" t="s">
        <v>44954</v>
      </c>
      <c r="T7252" t="s">
        <v>46403</v>
      </c>
      <c r="U7252" t="s">
        <v>53008</v>
      </c>
      <c r="V7252" t="s">
        <v>59891</v>
      </c>
      <c r="W7252" t="s">
        <v>43216</v>
      </c>
      <c r="X7252" t="s">
        <v>44768</v>
      </c>
    </row>
    <row r="7253" spans="1:24">
      <c r="A7253">
        <f>HYPERLINK("https://www.philgeps.gov.ph/GEPSNONPILOT/Tender/SplashBidNoticeAbstractUI.aspx?menuIndex=3&amp;refID=7143489&amp;Result=3","7143489")</f>
        <v>0</v>
      </c>
      <c r="B7253" t="s">
        <v>2481</v>
      </c>
      <c r="C7253" t="s">
        <v>10645</v>
      </c>
      <c r="D7253" t="s">
        <v>18029</v>
      </c>
      <c r="E7253" t="s">
        <v>24401</v>
      </c>
      <c r="F7253" t="s">
        <v>30900</v>
      </c>
      <c r="G7253" t="s">
        <v>30907</v>
      </c>
      <c r="H7253" t="s">
        <v>30915</v>
      </c>
      <c r="I7253" t="s">
        <v>30919</v>
      </c>
      <c r="J7253" t="s">
        <v>31402</v>
      </c>
      <c r="K7253" t="s">
        <v>40304</v>
      </c>
      <c r="M7253" t="s">
        <v>43222</v>
      </c>
      <c r="N7253" t="s">
        <v>44759</v>
      </c>
      <c r="O7253" t="s">
        <v>44760</v>
      </c>
      <c r="P7253">
        <v>0</v>
      </c>
      <c r="Q7253">
        <v>0</v>
      </c>
      <c r="R7253" t="s">
        <v>44767</v>
      </c>
      <c r="S7253" t="s">
        <v>44954</v>
      </c>
      <c r="T7253" t="s">
        <v>46606</v>
      </c>
      <c r="U7253" t="s">
        <v>53009</v>
      </c>
      <c r="V7253" t="s">
        <v>59892</v>
      </c>
      <c r="W7253" t="s">
        <v>43222</v>
      </c>
      <c r="X7253" t="s">
        <v>44768</v>
      </c>
    </row>
    <row r="7254" spans="1:24">
      <c r="A7254">
        <f>HYPERLINK("https://www.philgeps.gov.ph/GEPSNONPILOT/Tender/SplashBidNoticeAbstractUI.aspx?menuIndex=3&amp;refID=7143587&amp;Result=3","7143587")</f>
        <v>0</v>
      </c>
      <c r="B7254" t="s">
        <v>504</v>
      </c>
      <c r="C7254" t="s">
        <v>10646</v>
      </c>
      <c r="D7254" t="s">
        <v>18012</v>
      </c>
      <c r="E7254" t="s">
        <v>24402</v>
      </c>
      <c r="F7254" t="s">
        <v>30900</v>
      </c>
      <c r="G7254" t="s">
        <v>30907</v>
      </c>
      <c r="H7254" t="s">
        <v>30916</v>
      </c>
      <c r="I7254" t="s">
        <v>30939</v>
      </c>
      <c r="J7254" t="s">
        <v>35663</v>
      </c>
      <c r="K7254" t="s">
        <v>40289</v>
      </c>
      <c r="M7254" t="s">
        <v>41064</v>
      </c>
      <c r="N7254" t="s">
        <v>44759</v>
      </c>
      <c r="O7254" t="s">
        <v>44760</v>
      </c>
      <c r="P7254">
        <v>0</v>
      </c>
      <c r="Q7254">
        <v>0</v>
      </c>
      <c r="R7254" t="s">
        <v>44767</v>
      </c>
      <c r="S7254" t="s">
        <v>44954</v>
      </c>
      <c r="T7254" t="s">
        <v>46445</v>
      </c>
      <c r="U7254" t="s">
        <v>53010</v>
      </c>
      <c r="W7254" t="s">
        <v>41064</v>
      </c>
      <c r="X7254" t="s">
        <v>44768</v>
      </c>
    </row>
    <row r="7255" spans="1:24">
      <c r="A7255">
        <f>HYPERLINK("https://www.philgeps.gov.ph/GEPSNONPILOT/Tender/SplashBidNoticeAbstractUI.aspx?menuIndex=3&amp;refID=7143518&amp;Result=3","7143518")</f>
        <v>0</v>
      </c>
      <c r="B7255" t="s">
        <v>753</v>
      </c>
      <c r="C7255" t="s">
        <v>10647</v>
      </c>
      <c r="D7255" t="s">
        <v>17976</v>
      </c>
      <c r="E7255" t="s">
        <v>24403</v>
      </c>
      <c r="F7255" t="s">
        <v>30900</v>
      </c>
      <c r="G7255" t="s">
        <v>30907</v>
      </c>
      <c r="H7255" t="s">
        <v>30916</v>
      </c>
      <c r="I7255" t="s">
        <v>8123</v>
      </c>
      <c r="J7255" t="s">
        <v>35664</v>
      </c>
      <c r="K7255" t="s">
        <v>40284</v>
      </c>
      <c r="L7255" t="s">
        <v>753</v>
      </c>
      <c r="M7255" t="s">
        <v>41317</v>
      </c>
      <c r="N7255" t="s">
        <v>44759</v>
      </c>
      <c r="O7255" t="s">
        <v>44760</v>
      </c>
      <c r="P7255">
        <v>0</v>
      </c>
      <c r="Q7255">
        <v>0</v>
      </c>
      <c r="R7255" t="s">
        <v>44767</v>
      </c>
      <c r="S7255" t="s">
        <v>44954</v>
      </c>
      <c r="T7255" t="s">
        <v>46403</v>
      </c>
      <c r="U7255" t="s">
        <v>53011</v>
      </c>
      <c r="V7255" t="s">
        <v>59295</v>
      </c>
      <c r="W7255" t="s">
        <v>41317</v>
      </c>
      <c r="X7255" t="s">
        <v>44768</v>
      </c>
    </row>
    <row r="7256" spans="1:24">
      <c r="A7256">
        <f>HYPERLINK("https://www.philgeps.gov.ph/GEPSNONPILOT/Tender/SplashBidNoticeAbstractUI.aspx?menuIndex=3&amp;refID=7143581&amp;Result=3","7143581")</f>
        <v>0</v>
      </c>
      <c r="B7256" t="s">
        <v>523</v>
      </c>
      <c r="C7256" t="s">
        <v>10648</v>
      </c>
      <c r="E7256" t="s">
        <v>24404</v>
      </c>
      <c r="F7256" t="s">
        <v>30900</v>
      </c>
      <c r="G7256" t="s">
        <v>30908</v>
      </c>
      <c r="H7256" t="s">
        <v>30916</v>
      </c>
      <c r="I7256" t="s">
        <v>4108</v>
      </c>
      <c r="J7256" t="s">
        <v>35665</v>
      </c>
      <c r="K7256" t="s">
        <v>40286</v>
      </c>
      <c r="M7256" t="s">
        <v>41083</v>
      </c>
      <c r="N7256" t="s">
        <v>44759</v>
      </c>
      <c r="O7256" t="s">
        <v>44760</v>
      </c>
      <c r="P7256">
        <v>0</v>
      </c>
      <c r="Q7256">
        <v>0</v>
      </c>
      <c r="R7256" t="s">
        <v>44767</v>
      </c>
      <c r="S7256" t="s">
        <v>44954</v>
      </c>
      <c r="T7256" t="s">
        <v>46700</v>
      </c>
      <c r="U7256" t="s">
        <v>53012</v>
      </c>
      <c r="W7256" t="s">
        <v>42805</v>
      </c>
      <c r="X7256" t="s">
        <v>44768</v>
      </c>
    </row>
    <row r="7257" spans="1:24">
      <c r="A7257">
        <f>HYPERLINK("https://www.philgeps.gov.ph/GEPSNONPILOT/Tender/SplashBidNoticeAbstractUI.aspx?menuIndex=3&amp;refID=7143579&amp;Result=3","7143579")</f>
        <v>0</v>
      </c>
      <c r="B7257" t="s">
        <v>2482</v>
      </c>
      <c r="C7257" t="s">
        <v>10649</v>
      </c>
      <c r="D7257" t="s">
        <v>17971</v>
      </c>
      <c r="E7257" t="s">
        <v>24405</v>
      </c>
      <c r="F7257" t="s">
        <v>30900</v>
      </c>
      <c r="G7257" t="s">
        <v>30907</v>
      </c>
      <c r="H7257" t="s">
        <v>30916</v>
      </c>
      <c r="I7257" t="s">
        <v>8123</v>
      </c>
      <c r="J7257" t="s">
        <v>35666</v>
      </c>
      <c r="K7257" t="s">
        <v>40284</v>
      </c>
      <c r="M7257" t="s">
        <v>43223</v>
      </c>
      <c r="N7257" t="s">
        <v>44759</v>
      </c>
      <c r="O7257" t="s">
        <v>44760</v>
      </c>
      <c r="P7257">
        <v>0</v>
      </c>
      <c r="Q7257">
        <v>0</v>
      </c>
      <c r="R7257" t="s">
        <v>44767</v>
      </c>
      <c r="S7257" t="s">
        <v>44954</v>
      </c>
      <c r="T7257" t="s">
        <v>46357</v>
      </c>
      <c r="U7257" t="s">
        <v>53013</v>
      </c>
      <c r="W7257" t="s">
        <v>43223</v>
      </c>
      <c r="X7257" t="s">
        <v>44768</v>
      </c>
    </row>
    <row r="7258" spans="1:24">
      <c r="A7258">
        <f>HYPERLINK("https://www.philgeps.gov.ph/GEPSNONPILOT/Tender/SplashBidNoticeAbstractUI.aspx?menuIndex=3&amp;refID=7143584&amp;Result=3","7143584")</f>
        <v>0</v>
      </c>
      <c r="B7258" t="s">
        <v>2483</v>
      </c>
      <c r="C7258" t="s">
        <v>10650</v>
      </c>
      <c r="D7258" t="s">
        <v>17959</v>
      </c>
      <c r="E7258" t="s">
        <v>20253</v>
      </c>
      <c r="F7258" t="s">
        <v>30900</v>
      </c>
      <c r="G7258" t="s">
        <v>30908</v>
      </c>
      <c r="H7258" t="s">
        <v>30916</v>
      </c>
      <c r="I7258" t="s">
        <v>31004</v>
      </c>
      <c r="J7258" t="s">
        <v>35667</v>
      </c>
      <c r="K7258" t="s">
        <v>40283</v>
      </c>
      <c r="M7258" t="s">
        <v>43224</v>
      </c>
      <c r="N7258" t="s">
        <v>44759</v>
      </c>
      <c r="O7258" t="s">
        <v>44760</v>
      </c>
      <c r="P7258">
        <v>0</v>
      </c>
      <c r="Q7258">
        <v>4</v>
      </c>
      <c r="R7258" t="s">
        <v>44767</v>
      </c>
      <c r="S7258" t="s">
        <v>44954</v>
      </c>
      <c r="T7258" t="s">
        <v>46704</v>
      </c>
      <c r="U7258" t="s">
        <v>53014</v>
      </c>
      <c r="W7258" t="s">
        <v>43224</v>
      </c>
      <c r="X7258" t="s">
        <v>44768</v>
      </c>
    </row>
    <row r="7259" spans="1:24">
      <c r="A7259">
        <f>HYPERLINK("https://www.philgeps.gov.ph/GEPSNONPILOT/Tender/SplashBidNoticeAbstractUI.aspx?menuIndex=3&amp;refID=7143582&amp;Result=3","7143582")</f>
        <v>0</v>
      </c>
      <c r="B7259" t="s">
        <v>959</v>
      </c>
      <c r="C7259" t="s">
        <v>10651</v>
      </c>
      <c r="D7259" t="s">
        <v>17975</v>
      </c>
      <c r="E7259" t="s">
        <v>24406</v>
      </c>
      <c r="F7259" t="s">
        <v>30899</v>
      </c>
      <c r="G7259" t="s">
        <v>30907</v>
      </c>
      <c r="H7259" t="s">
        <v>30915</v>
      </c>
      <c r="I7259" t="s">
        <v>30919</v>
      </c>
      <c r="J7259" t="s">
        <v>35668</v>
      </c>
      <c r="K7259" t="s">
        <v>40304</v>
      </c>
      <c r="M7259" t="s">
        <v>41545</v>
      </c>
      <c r="N7259" t="s">
        <v>44759</v>
      </c>
      <c r="O7259" t="s">
        <v>44760</v>
      </c>
      <c r="P7259">
        <v>0</v>
      </c>
      <c r="Q7259">
        <v>1</v>
      </c>
      <c r="R7259" t="s">
        <v>44767</v>
      </c>
      <c r="S7259" t="s">
        <v>44954</v>
      </c>
      <c r="T7259" t="s">
        <v>46472</v>
      </c>
      <c r="U7259" t="s">
        <v>48691</v>
      </c>
      <c r="V7259" t="s">
        <v>59893</v>
      </c>
      <c r="W7259" t="s">
        <v>41545</v>
      </c>
      <c r="X7259" t="s">
        <v>44768</v>
      </c>
    </row>
    <row r="7260" spans="1:24">
      <c r="A7260">
        <f>HYPERLINK("https://www.philgeps.gov.ph/GEPSNONPILOT/Tender/SplashBidNoticeAbstractUI.aspx?menuIndex=3&amp;refID=7143576&amp;Result=3","7143576")</f>
        <v>0</v>
      </c>
      <c r="B7260" t="s">
        <v>2484</v>
      </c>
      <c r="C7260" t="s">
        <v>10652</v>
      </c>
      <c r="D7260" t="s">
        <v>18002</v>
      </c>
      <c r="E7260" t="s">
        <v>24407</v>
      </c>
      <c r="F7260" t="s">
        <v>30900</v>
      </c>
      <c r="G7260" t="s">
        <v>30908</v>
      </c>
      <c r="H7260" t="s">
        <v>7411</v>
      </c>
      <c r="I7260" t="s">
        <v>8365</v>
      </c>
      <c r="J7260" t="s">
        <v>35669</v>
      </c>
      <c r="K7260" t="s">
        <v>40331</v>
      </c>
      <c r="M7260" t="s">
        <v>43225</v>
      </c>
      <c r="N7260" t="s">
        <v>44759</v>
      </c>
      <c r="O7260" t="s">
        <v>44760</v>
      </c>
      <c r="P7260">
        <v>0</v>
      </c>
      <c r="Q7260">
        <v>1</v>
      </c>
      <c r="R7260" t="s">
        <v>44767</v>
      </c>
      <c r="S7260" t="s">
        <v>44954</v>
      </c>
      <c r="T7260" t="s">
        <v>46376</v>
      </c>
      <c r="U7260" t="s">
        <v>53015</v>
      </c>
      <c r="W7260" t="s">
        <v>43225</v>
      </c>
      <c r="X7260" t="s">
        <v>44768</v>
      </c>
    </row>
    <row r="7261" spans="1:24">
      <c r="A7261">
        <f>HYPERLINK("https://www.philgeps.gov.ph/GEPSNONPILOT/Tender/SplashBidNoticeAbstractUI.aspx?menuIndex=3&amp;refID=7143479&amp;Result=3","7143479")</f>
        <v>0</v>
      </c>
      <c r="B7261" t="s">
        <v>2474</v>
      </c>
      <c r="C7261" t="s">
        <v>10653</v>
      </c>
      <c r="D7261" t="s">
        <v>17959</v>
      </c>
      <c r="E7261" t="s">
        <v>24408</v>
      </c>
      <c r="F7261" t="s">
        <v>30900</v>
      </c>
      <c r="G7261" t="s">
        <v>30907</v>
      </c>
      <c r="H7261" t="s">
        <v>30916</v>
      </c>
      <c r="I7261" t="s">
        <v>4050</v>
      </c>
      <c r="J7261" t="s">
        <v>31158</v>
      </c>
      <c r="K7261" t="s">
        <v>40292</v>
      </c>
      <c r="M7261" t="s">
        <v>43212</v>
      </c>
      <c r="N7261" t="s">
        <v>44759</v>
      </c>
      <c r="O7261" t="s">
        <v>44760</v>
      </c>
      <c r="P7261">
        <v>0</v>
      </c>
      <c r="Q7261">
        <v>6</v>
      </c>
      <c r="R7261" t="s">
        <v>44767</v>
      </c>
      <c r="S7261" t="s">
        <v>44954</v>
      </c>
      <c r="T7261" t="s">
        <v>46441</v>
      </c>
      <c r="U7261" t="s">
        <v>52983</v>
      </c>
      <c r="W7261" t="s">
        <v>43212</v>
      </c>
      <c r="X7261" t="s">
        <v>44768</v>
      </c>
    </row>
    <row r="7262" spans="1:24">
      <c r="A7262">
        <f>HYPERLINK("https://www.philgeps.gov.ph/GEPSNONPILOT/Tender/SplashBidNoticeAbstractUI.aspx?menuIndex=3&amp;refID=7143574&amp;Result=3","7143574")</f>
        <v>0</v>
      </c>
      <c r="B7262" t="s">
        <v>2373</v>
      </c>
      <c r="C7262" t="s">
        <v>10654</v>
      </c>
      <c r="D7262" t="s">
        <v>17966</v>
      </c>
      <c r="E7262" t="s">
        <v>24409</v>
      </c>
      <c r="F7262" t="s">
        <v>30900</v>
      </c>
      <c r="G7262" t="s">
        <v>30907</v>
      </c>
      <c r="H7262" t="s">
        <v>30916</v>
      </c>
      <c r="I7262" t="s">
        <v>17295</v>
      </c>
      <c r="J7262" t="s">
        <v>35670</v>
      </c>
      <c r="K7262" t="s">
        <v>40292</v>
      </c>
      <c r="M7262" t="s">
        <v>43178</v>
      </c>
      <c r="N7262" t="s">
        <v>44759</v>
      </c>
      <c r="O7262" t="s">
        <v>44760</v>
      </c>
      <c r="P7262">
        <v>0</v>
      </c>
      <c r="Q7262">
        <v>0</v>
      </c>
      <c r="R7262" t="s">
        <v>44767</v>
      </c>
      <c r="S7262" t="s">
        <v>44954</v>
      </c>
      <c r="T7262" t="s">
        <v>46357</v>
      </c>
      <c r="U7262" t="s">
        <v>53016</v>
      </c>
      <c r="W7262" t="s">
        <v>43178</v>
      </c>
      <c r="X7262" t="s">
        <v>44768</v>
      </c>
    </row>
    <row r="7263" spans="1:24">
      <c r="A7263">
        <f>HYPERLINK("https://www.philgeps.gov.ph/GEPSNONPILOT/Tender/SplashBidNoticeAbstractUI.aspx?menuIndex=3&amp;refID=7143578&amp;Result=3","7143578")</f>
        <v>0</v>
      </c>
      <c r="B7263" t="s">
        <v>591</v>
      </c>
      <c r="C7263" t="s">
        <v>10655</v>
      </c>
      <c r="D7263" t="s">
        <v>17998</v>
      </c>
      <c r="E7263" t="s">
        <v>24410</v>
      </c>
      <c r="F7263" t="s">
        <v>30900</v>
      </c>
      <c r="G7263" t="s">
        <v>30907</v>
      </c>
      <c r="H7263" t="s">
        <v>30916</v>
      </c>
      <c r="I7263" t="s">
        <v>8123</v>
      </c>
      <c r="J7263" t="s">
        <v>32338</v>
      </c>
      <c r="K7263" t="s">
        <v>40286</v>
      </c>
      <c r="M7263" t="s">
        <v>41247</v>
      </c>
      <c r="N7263" t="s">
        <v>44759</v>
      </c>
      <c r="O7263" t="s">
        <v>44760</v>
      </c>
      <c r="P7263">
        <v>0</v>
      </c>
      <c r="Q7263">
        <v>0</v>
      </c>
      <c r="R7263" t="s">
        <v>44767</v>
      </c>
      <c r="S7263" t="s">
        <v>44954</v>
      </c>
      <c r="T7263" t="s">
        <v>46403</v>
      </c>
      <c r="U7263" t="s">
        <v>47975</v>
      </c>
      <c r="V7263" t="s">
        <v>59259</v>
      </c>
      <c r="W7263" t="s">
        <v>41247</v>
      </c>
      <c r="X7263" t="s">
        <v>44768</v>
      </c>
    </row>
    <row r="7264" spans="1:24">
      <c r="A7264">
        <f>HYPERLINK("https://www.philgeps.gov.ph/GEPSNONPILOT/Tender/SplashBidNoticeAbstractUI.aspx?menuIndex=3&amp;refID=7143565&amp;Result=3","7143565")</f>
        <v>0</v>
      </c>
      <c r="B7264" t="s">
        <v>2474</v>
      </c>
      <c r="C7264" t="s">
        <v>4515</v>
      </c>
      <c r="D7264" t="s">
        <v>17959</v>
      </c>
      <c r="E7264" t="s">
        <v>24275</v>
      </c>
      <c r="F7264" t="s">
        <v>30900</v>
      </c>
      <c r="G7264" t="s">
        <v>30907</v>
      </c>
      <c r="H7264" t="s">
        <v>30916</v>
      </c>
      <c r="I7264" t="s">
        <v>4142</v>
      </c>
      <c r="J7264" t="s">
        <v>35651</v>
      </c>
      <c r="K7264" t="s">
        <v>40292</v>
      </c>
      <c r="M7264" t="s">
        <v>43212</v>
      </c>
      <c r="N7264" t="s">
        <v>44759</v>
      </c>
      <c r="O7264" t="s">
        <v>44760</v>
      </c>
      <c r="P7264">
        <v>0</v>
      </c>
      <c r="Q7264">
        <v>4</v>
      </c>
      <c r="R7264" t="s">
        <v>44767</v>
      </c>
      <c r="S7264" t="s">
        <v>44954</v>
      </c>
      <c r="T7264" t="s">
        <v>46441</v>
      </c>
      <c r="U7264" t="s">
        <v>52983</v>
      </c>
      <c r="W7264" t="s">
        <v>43212</v>
      </c>
      <c r="X7264" t="s">
        <v>44768</v>
      </c>
    </row>
    <row r="7265" spans="1:24">
      <c r="A7265">
        <f>HYPERLINK("https://www.philgeps.gov.ph/GEPSNONPILOT/Tender/SplashBidNoticeAbstractUI.aspx?menuIndex=3&amp;refID=7143566&amp;Result=3","7143566")</f>
        <v>0</v>
      </c>
      <c r="B7265" t="s">
        <v>2485</v>
      </c>
      <c r="C7265" t="s">
        <v>10656</v>
      </c>
      <c r="D7265" t="s">
        <v>17980</v>
      </c>
      <c r="E7265" t="s">
        <v>24411</v>
      </c>
      <c r="F7265" t="s">
        <v>30900</v>
      </c>
      <c r="G7265" t="s">
        <v>30907</v>
      </c>
      <c r="H7265" t="s">
        <v>30916</v>
      </c>
      <c r="I7265" t="s">
        <v>30924</v>
      </c>
      <c r="J7265" t="s">
        <v>31701</v>
      </c>
      <c r="K7265" t="s">
        <v>40286</v>
      </c>
      <c r="M7265" t="s">
        <v>43226</v>
      </c>
      <c r="N7265" t="s">
        <v>44759</v>
      </c>
      <c r="O7265" t="s">
        <v>44760</v>
      </c>
      <c r="Q7265">
        <v>12</v>
      </c>
      <c r="R7265" t="s">
        <v>44767</v>
      </c>
      <c r="S7265" t="s">
        <v>44961</v>
      </c>
      <c r="T7265" t="s">
        <v>46519</v>
      </c>
      <c r="U7265" t="s">
        <v>53017</v>
      </c>
      <c r="V7265" t="s">
        <v>59894</v>
      </c>
      <c r="W7265" t="s">
        <v>43226</v>
      </c>
      <c r="X7265" t="s">
        <v>44768</v>
      </c>
    </row>
    <row r="7266" spans="1:24">
      <c r="A7266">
        <f>HYPERLINK("https://www.philgeps.gov.ph/GEPSNONPILOT/Tender/SplashBidNoticeAbstractUI.aspx?menuIndex=3&amp;refID=7143561&amp;Result=3","7143561")</f>
        <v>0</v>
      </c>
      <c r="B7266" t="s">
        <v>591</v>
      </c>
      <c r="C7266" t="s">
        <v>10657</v>
      </c>
      <c r="D7266" t="s">
        <v>17998</v>
      </c>
      <c r="E7266" t="s">
        <v>24412</v>
      </c>
      <c r="F7266" t="s">
        <v>30900</v>
      </c>
      <c r="G7266" t="s">
        <v>30907</v>
      </c>
      <c r="H7266" t="s">
        <v>30916</v>
      </c>
      <c r="I7266" t="s">
        <v>8123</v>
      </c>
      <c r="J7266" t="s">
        <v>35671</v>
      </c>
      <c r="K7266" t="s">
        <v>40286</v>
      </c>
      <c r="M7266" t="s">
        <v>41247</v>
      </c>
      <c r="N7266" t="s">
        <v>44759</v>
      </c>
      <c r="O7266" t="s">
        <v>44760</v>
      </c>
      <c r="P7266">
        <v>0</v>
      </c>
      <c r="Q7266">
        <v>0</v>
      </c>
      <c r="R7266" t="s">
        <v>44767</v>
      </c>
      <c r="S7266" t="s">
        <v>44954</v>
      </c>
      <c r="T7266" t="s">
        <v>46403</v>
      </c>
      <c r="U7266" t="s">
        <v>47975</v>
      </c>
      <c r="V7266" t="s">
        <v>59259</v>
      </c>
      <c r="W7266" t="s">
        <v>41247</v>
      </c>
      <c r="X7266" t="s">
        <v>44768</v>
      </c>
    </row>
    <row r="7267" spans="1:24">
      <c r="A7267">
        <f>HYPERLINK("https://www.philgeps.gov.ph/GEPSNONPILOT/Tender/SplashBidNoticeAbstractUI.aspx?menuIndex=3&amp;refID=7143512&amp;Result=3","7143512")</f>
        <v>0</v>
      </c>
      <c r="B7267" t="s">
        <v>2486</v>
      </c>
      <c r="C7267" t="s">
        <v>10658</v>
      </c>
      <c r="D7267" t="s">
        <v>17978</v>
      </c>
      <c r="E7267" t="s">
        <v>24413</v>
      </c>
      <c r="F7267" t="s">
        <v>30899</v>
      </c>
      <c r="G7267" t="s">
        <v>30908</v>
      </c>
      <c r="H7267" t="s">
        <v>30917</v>
      </c>
      <c r="I7267" t="s">
        <v>30978</v>
      </c>
      <c r="J7267" t="s">
        <v>35672</v>
      </c>
      <c r="K7267" t="s">
        <v>40286</v>
      </c>
      <c r="M7267" t="s">
        <v>43227</v>
      </c>
      <c r="N7267" t="s">
        <v>44759</v>
      </c>
      <c r="O7267" t="s">
        <v>44760</v>
      </c>
      <c r="P7267">
        <v>0</v>
      </c>
      <c r="Q7267">
        <v>2</v>
      </c>
      <c r="R7267" t="s">
        <v>44767</v>
      </c>
      <c r="S7267" t="s">
        <v>44954</v>
      </c>
      <c r="T7267" t="s">
        <v>46533</v>
      </c>
      <c r="U7267" t="s">
        <v>53018</v>
      </c>
      <c r="W7267" t="s">
        <v>43227</v>
      </c>
      <c r="X7267" t="s">
        <v>44768</v>
      </c>
    </row>
    <row r="7268" spans="1:24">
      <c r="A7268">
        <f>HYPERLINK("https://www.philgeps.gov.ph/GEPSNONPILOT/Tender/SplashBidNoticeAbstractUI.aspx?menuIndex=3&amp;refID=7143557&amp;Result=3","7143557")</f>
        <v>0</v>
      </c>
      <c r="B7268" t="s">
        <v>753</v>
      </c>
      <c r="C7268" t="s">
        <v>10659</v>
      </c>
      <c r="D7268" t="s">
        <v>17976</v>
      </c>
      <c r="E7268" t="s">
        <v>24414</v>
      </c>
      <c r="F7268" t="s">
        <v>30900</v>
      </c>
      <c r="G7268" t="s">
        <v>30907</v>
      </c>
      <c r="H7268" t="s">
        <v>30916</v>
      </c>
      <c r="I7268" t="s">
        <v>9385</v>
      </c>
      <c r="J7268" t="s">
        <v>35673</v>
      </c>
      <c r="K7268" t="s">
        <v>40284</v>
      </c>
      <c r="L7268" t="s">
        <v>753</v>
      </c>
      <c r="M7268" t="s">
        <v>41317</v>
      </c>
      <c r="N7268" t="s">
        <v>44759</v>
      </c>
      <c r="O7268" t="s">
        <v>44760</v>
      </c>
      <c r="P7268">
        <v>0</v>
      </c>
      <c r="Q7268">
        <v>11</v>
      </c>
      <c r="R7268" t="s">
        <v>44767</v>
      </c>
      <c r="S7268" t="s">
        <v>44954</v>
      </c>
      <c r="T7268" t="s">
        <v>46403</v>
      </c>
      <c r="U7268" t="s">
        <v>48259</v>
      </c>
      <c r="V7268" t="s">
        <v>59295</v>
      </c>
      <c r="W7268" t="s">
        <v>41317</v>
      </c>
      <c r="X7268" t="s">
        <v>44768</v>
      </c>
    </row>
    <row r="7269" spans="1:24">
      <c r="A7269">
        <f>HYPERLINK("https://www.philgeps.gov.ph/GEPSNONPILOT/Tender/SplashBidNoticeAbstractUI.aspx?menuIndex=3&amp;refID=7143554&amp;Result=3","7143554")</f>
        <v>0</v>
      </c>
      <c r="B7269" t="s">
        <v>2487</v>
      </c>
      <c r="C7269" t="s">
        <v>10660</v>
      </c>
      <c r="D7269" t="s">
        <v>17976</v>
      </c>
      <c r="E7269" t="s">
        <v>24415</v>
      </c>
      <c r="F7269" t="s">
        <v>30900</v>
      </c>
      <c r="G7269" t="s">
        <v>30908</v>
      </c>
      <c r="H7269" t="s">
        <v>30916</v>
      </c>
      <c r="I7269" t="s">
        <v>30944</v>
      </c>
      <c r="J7269" t="s">
        <v>31204</v>
      </c>
      <c r="K7269" t="s">
        <v>40286</v>
      </c>
      <c r="M7269" t="s">
        <v>43228</v>
      </c>
      <c r="N7269" t="s">
        <v>44759</v>
      </c>
      <c r="O7269" t="s">
        <v>44760</v>
      </c>
      <c r="P7269">
        <v>0</v>
      </c>
      <c r="Q7269">
        <v>1</v>
      </c>
      <c r="R7269" t="s">
        <v>44767</v>
      </c>
      <c r="S7269" t="s">
        <v>44954</v>
      </c>
      <c r="T7269" t="s">
        <v>46581</v>
      </c>
      <c r="U7269" t="s">
        <v>53019</v>
      </c>
      <c r="W7269" t="s">
        <v>43228</v>
      </c>
      <c r="X7269" t="s">
        <v>44768</v>
      </c>
    </row>
    <row r="7270" spans="1:24">
      <c r="A7270">
        <f>HYPERLINK("https://www.philgeps.gov.ph/GEPSNONPILOT/Tender/SplashBidNoticeAbstractUI.aspx?menuIndex=3&amp;refID=7143569&amp;Result=3","7143569")</f>
        <v>0</v>
      </c>
      <c r="B7270" t="s">
        <v>227</v>
      </c>
      <c r="C7270" t="s">
        <v>10661</v>
      </c>
      <c r="D7270" t="s">
        <v>18012</v>
      </c>
      <c r="E7270" t="s">
        <v>24416</v>
      </c>
      <c r="F7270" t="s">
        <v>30900</v>
      </c>
      <c r="G7270" t="s">
        <v>30908</v>
      </c>
      <c r="H7270" t="s">
        <v>30916</v>
      </c>
      <c r="I7270" t="s">
        <v>6953</v>
      </c>
      <c r="J7270" t="s">
        <v>35674</v>
      </c>
      <c r="K7270" t="s">
        <v>40284</v>
      </c>
      <c r="M7270" t="s">
        <v>43216</v>
      </c>
      <c r="N7270" t="s">
        <v>44759</v>
      </c>
      <c r="O7270" t="s">
        <v>44760</v>
      </c>
      <c r="P7270">
        <v>0</v>
      </c>
      <c r="Q7270">
        <v>1</v>
      </c>
      <c r="R7270" t="s">
        <v>44767</v>
      </c>
      <c r="S7270" t="s">
        <v>44954</v>
      </c>
      <c r="T7270" t="s">
        <v>46403</v>
      </c>
      <c r="U7270" t="s">
        <v>52998</v>
      </c>
      <c r="V7270" t="s">
        <v>59895</v>
      </c>
      <c r="W7270" t="s">
        <v>43216</v>
      </c>
      <c r="X7270" t="s">
        <v>44768</v>
      </c>
    </row>
    <row r="7271" spans="1:24">
      <c r="A7271">
        <f>HYPERLINK("https://www.philgeps.gov.ph/GEPSNONPILOT/Tender/SplashBidNoticeAbstractUI.aspx?menuIndex=3&amp;refID=7143548&amp;Result=3","7143548")</f>
        <v>0</v>
      </c>
      <c r="B7271" t="s">
        <v>2488</v>
      </c>
      <c r="C7271" t="s">
        <v>10662</v>
      </c>
      <c r="D7271" t="s">
        <v>17961</v>
      </c>
      <c r="E7271" t="s">
        <v>24199</v>
      </c>
      <c r="F7271" t="s">
        <v>30900</v>
      </c>
      <c r="G7271" t="s">
        <v>30910</v>
      </c>
      <c r="H7271" t="s">
        <v>30916</v>
      </c>
      <c r="I7271" t="s">
        <v>6396</v>
      </c>
      <c r="J7271" t="s">
        <v>35675</v>
      </c>
      <c r="K7271" t="s">
        <v>40285</v>
      </c>
      <c r="M7271" t="s">
        <v>43229</v>
      </c>
      <c r="N7271" t="s">
        <v>44759</v>
      </c>
      <c r="O7271" t="s">
        <v>44760</v>
      </c>
      <c r="Q7271">
        <v>0</v>
      </c>
      <c r="R7271" t="s">
        <v>44767</v>
      </c>
      <c r="S7271" t="s">
        <v>44962</v>
      </c>
      <c r="T7271" t="s">
        <v>46374</v>
      </c>
      <c r="U7271" t="s">
        <v>53020</v>
      </c>
      <c r="W7271" t="s">
        <v>43229</v>
      </c>
      <c r="X7271" t="s">
        <v>44768</v>
      </c>
    </row>
    <row r="7272" spans="1:24">
      <c r="A7272">
        <f>HYPERLINK("https://www.philgeps.gov.ph/GEPSNONPILOT/Tender/SplashBidNoticeAbstractUI.aspx?menuIndex=3&amp;refID=7143477&amp;Result=3","7143477")</f>
        <v>0</v>
      </c>
      <c r="B7272" t="s">
        <v>504</v>
      </c>
      <c r="C7272" t="s">
        <v>4669</v>
      </c>
      <c r="D7272" t="s">
        <v>18012</v>
      </c>
      <c r="E7272" t="s">
        <v>24417</v>
      </c>
      <c r="F7272" t="s">
        <v>30900</v>
      </c>
      <c r="G7272" t="s">
        <v>30907</v>
      </c>
      <c r="H7272" t="s">
        <v>30916</v>
      </c>
      <c r="I7272" t="s">
        <v>30939</v>
      </c>
      <c r="J7272" t="s">
        <v>35676</v>
      </c>
      <c r="K7272" t="s">
        <v>40289</v>
      </c>
      <c r="M7272" t="s">
        <v>41064</v>
      </c>
      <c r="N7272" t="s">
        <v>44759</v>
      </c>
      <c r="O7272" t="s">
        <v>44760</v>
      </c>
      <c r="P7272">
        <v>0</v>
      </c>
      <c r="Q7272">
        <v>0</v>
      </c>
      <c r="R7272" t="s">
        <v>44767</v>
      </c>
      <c r="S7272" t="s">
        <v>44954</v>
      </c>
      <c r="T7272" t="s">
        <v>46531</v>
      </c>
      <c r="U7272" t="s">
        <v>53021</v>
      </c>
      <c r="W7272" t="s">
        <v>41064</v>
      </c>
      <c r="X7272" t="s">
        <v>44768</v>
      </c>
    </row>
    <row r="7273" spans="1:24">
      <c r="A7273">
        <f>HYPERLINK("https://www.philgeps.gov.ph/GEPSNONPILOT/Tender/SplashBidNoticeAbstractUI.aspx?menuIndex=3&amp;refID=7143577&amp;Result=3","7143577")</f>
        <v>0</v>
      </c>
      <c r="B7273" t="s">
        <v>753</v>
      </c>
      <c r="C7273" t="s">
        <v>10663</v>
      </c>
      <c r="D7273" t="s">
        <v>17976</v>
      </c>
      <c r="E7273" t="s">
        <v>24418</v>
      </c>
      <c r="F7273" t="s">
        <v>30900</v>
      </c>
      <c r="G7273" t="s">
        <v>30907</v>
      </c>
      <c r="H7273" t="s">
        <v>30916</v>
      </c>
      <c r="I7273" t="s">
        <v>9385</v>
      </c>
      <c r="J7273" t="s">
        <v>35677</v>
      </c>
      <c r="K7273" t="s">
        <v>40284</v>
      </c>
      <c r="L7273" t="s">
        <v>753</v>
      </c>
      <c r="M7273" t="s">
        <v>41317</v>
      </c>
      <c r="N7273" t="s">
        <v>44759</v>
      </c>
      <c r="O7273" t="s">
        <v>44760</v>
      </c>
      <c r="P7273">
        <v>0</v>
      </c>
      <c r="Q7273">
        <v>13</v>
      </c>
      <c r="R7273" t="s">
        <v>44767</v>
      </c>
      <c r="S7273" t="s">
        <v>44954</v>
      </c>
      <c r="T7273" t="s">
        <v>46403</v>
      </c>
      <c r="U7273" t="s">
        <v>48259</v>
      </c>
      <c r="V7273" t="s">
        <v>59295</v>
      </c>
      <c r="W7273" t="s">
        <v>41317</v>
      </c>
      <c r="X7273" t="s">
        <v>44768</v>
      </c>
    </row>
    <row r="7274" spans="1:24">
      <c r="A7274">
        <f>HYPERLINK("https://www.philgeps.gov.ph/GEPSNONPILOT/Tender/SplashBidNoticeAbstractUI.aspx?menuIndex=3&amp;refID=7143558&amp;Result=3","7143558")</f>
        <v>0</v>
      </c>
      <c r="B7274" t="s">
        <v>2489</v>
      </c>
      <c r="C7274" t="s">
        <v>10664</v>
      </c>
      <c r="D7274" t="s">
        <v>17988</v>
      </c>
      <c r="E7274" t="s">
        <v>24419</v>
      </c>
      <c r="F7274" t="s">
        <v>30900</v>
      </c>
      <c r="G7274" t="s">
        <v>30907</v>
      </c>
      <c r="H7274" t="s">
        <v>30915</v>
      </c>
      <c r="I7274" t="s">
        <v>30919</v>
      </c>
      <c r="J7274" t="s">
        <v>35678</v>
      </c>
      <c r="K7274" t="s">
        <v>40287</v>
      </c>
      <c r="M7274" t="s">
        <v>43230</v>
      </c>
      <c r="N7274" t="s">
        <v>44759</v>
      </c>
      <c r="O7274" t="s">
        <v>44760</v>
      </c>
      <c r="P7274">
        <v>0</v>
      </c>
      <c r="Q7274">
        <v>0</v>
      </c>
      <c r="R7274" t="s">
        <v>44767</v>
      </c>
      <c r="S7274" t="s">
        <v>44954</v>
      </c>
      <c r="T7274" t="s">
        <v>46450</v>
      </c>
      <c r="U7274" t="s">
        <v>53022</v>
      </c>
      <c r="W7274" t="s">
        <v>43230</v>
      </c>
      <c r="X7274" t="s">
        <v>44768</v>
      </c>
    </row>
    <row r="7275" spans="1:24">
      <c r="A7275">
        <f>HYPERLINK("https://www.philgeps.gov.ph/GEPSNONPILOT/Tender/SplashBidNoticeAbstractUI.aspx?menuIndex=3&amp;refID=7143475&amp;Result=3","7143475")</f>
        <v>0</v>
      </c>
      <c r="B7275" t="s">
        <v>753</v>
      </c>
      <c r="C7275" t="s">
        <v>10665</v>
      </c>
      <c r="D7275" t="s">
        <v>17976</v>
      </c>
      <c r="E7275" t="s">
        <v>24420</v>
      </c>
      <c r="F7275" t="s">
        <v>30900</v>
      </c>
      <c r="G7275" t="s">
        <v>30907</v>
      </c>
      <c r="H7275" t="s">
        <v>30916</v>
      </c>
      <c r="I7275" t="s">
        <v>30921</v>
      </c>
      <c r="J7275" t="s">
        <v>35679</v>
      </c>
      <c r="K7275" t="s">
        <v>40283</v>
      </c>
      <c r="L7275" t="s">
        <v>753</v>
      </c>
      <c r="M7275" t="s">
        <v>41317</v>
      </c>
      <c r="N7275" t="s">
        <v>44759</v>
      </c>
      <c r="O7275" t="s">
        <v>44760</v>
      </c>
      <c r="P7275">
        <v>0</v>
      </c>
      <c r="Q7275">
        <v>2</v>
      </c>
      <c r="R7275" t="s">
        <v>44767</v>
      </c>
      <c r="S7275" t="s">
        <v>44954</v>
      </c>
      <c r="T7275" t="s">
        <v>46403</v>
      </c>
      <c r="U7275" t="s">
        <v>50039</v>
      </c>
      <c r="V7275" t="s">
        <v>59295</v>
      </c>
      <c r="W7275" t="s">
        <v>41317</v>
      </c>
      <c r="X7275" t="s">
        <v>44768</v>
      </c>
    </row>
    <row r="7276" spans="1:24">
      <c r="A7276">
        <f>HYPERLINK("https://www.philgeps.gov.ph/GEPSNONPILOT/Tender/SplashBidNoticeAbstractUI.aspx?menuIndex=3&amp;refID=7143552&amp;Result=3","7143552")</f>
        <v>0</v>
      </c>
      <c r="B7276" t="s">
        <v>408</v>
      </c>
      <c r="C7276" t="s">
        <v>3773</v>
      </c>
      <c r="E7276" t="s">
        <v>24421</v>
      </c>
      <c r="F7276" t="s">
        <v>30900</v>
      </c>
      <c r="G7276" t="s">
        <v>30909</v>
      </c>
      <c r="H7276" t="s">
        <v>30916</v>
      </c>
      <c r="I7276" t="s">
        <v>4142</v>
      </c>
      <c r="J7276" t="s">
        <v>35680</v>
      </c>
      <c r="K7276" t="s">
        <v>40289</v>
      </c>
      <c r="M7276" t="s">
        <v>40964</v>
      </c>
      <c r="N7276" t="s">
        <v>44759</v>
      </c>
      <c r="O7276" t="s">
        <v>44760</v>
      </c>
      <c r="P7276">
        <v>0</v>
      </c>
      <c r="Q7276">
        <v>1</v>
      </c>
      <c r="R7276" t="s">
        <v>44767</v>
      </c>
      <c r="S7276" t="s">
        <v>44954</v>
      </c>
      <c r="T7276" t="s">
        <v>46484</v>
      </c>
      <c r="U7276" t="s">
        <v>48263</v>
      </c>
      <c r="W7276" t="s">
        <v>40964</v>
      </c>
      <c r="X7276" t="s">
        <v>44768</v>
      </c>
    </row>
    <row r="7277" spans="1:24">
      <c r="A7277">
        <f>HYPERLINK("https://www.philgeps.gov.ph/GEPSNONPILOT/Tender/SplashBidNoticeAbstractUI.aspx?menuIndex=3&amp;refID=7143476&amp;Result=3","7143476")</f>
        <v>0</v>
      </c>
      <c r="B7277" t="s">
        <v>864</v>
      </c>
      <c r="C7277" t="s">
        <v>10666</v>
      </c>
      <c r="D7277" t="s">
        <v>18025</v>
      </c>
      <c r="E7277" t="s">
        <v>24422</v>
      </c>
      <c r="F7277" t="s">
        <v>30900</v>
      </c>
      <c r="G7277" t="s">
        <v>30907</v>
      </c>
      <c r="H7277" t="s">
        <v>30916</v>
      </c>
      <c r="I7277" t="s">
        <v>30923</v>
      </c>
      <c r="J7277" t="s">
        <v>35681</v>
      </c>
      <c r="K7277" t="s">
        <v>40280</v>
      </c>
      <c r="M7277" t="s">
        <v>41437</v>
      </c>
      <c r="N7277" t="s">
        <v>44759</v>
      </c>
      <c r="O7277" t="s">
        <v>44760</v>
      </c>
      <c r="P7277">
        <v>0</v>
      </c>
      <c r="Q7277">
        <v>5</v>
      </c>
      <c r="R7277" t="s">
        <v>44767</v>
      </c>
      <c r="S7277" t="s">
        <v>44954</v>
      </c>
      <c r="T7277" t="s">
        <v>46428</v>
      </c>
      <c r="U7277" t="s">
        <v>53023</v>
      </c>
      <c r="V7277" t="s">
        <v>59116</v>
      </c>
      <c r="W7277" t="s">
        <v>41437</v>
      </c>
      <c r="X7277" t="s">
        <v>44768</v>
      </c>
    </row>
    <row r="7278" spans="1:24">
      <c r="A7278">
        <f>HYPERLINK("https://www.philgeps.gov.ph/GEPSNONPILOT/Tender/SplashBidNoticeAbstractUI.aspx?menuIndex=3&amp;refID=7143472&amp;Result=3","7143472")</f>
        <v>0</v>
      </c>
      <c r="B7278" t="s">
        <v>2446</v>
      </c>
      <c r="C7278" t="s">
        <v>10667</v>
      </c>
      <c r="D7278" t="s">
        <v>18019</v>
      </c>
      <c r="E7278" t="s">
        <v>24423</v>
      </c>
      <c r="F7278" t="s">
        <v>30900</v>
      </c>
      <c r="G7278" t="s">
        <v>30907</v>
      </c>
      <c r="H7278" t="s">
        <v>30916</v>
      </c>
      <c r="I7278" t="s">
        <v>30939</v>
      </c>
      <c r="J7278" t="s">
        <v>35682</v>
      </c>
      <c r="K7278" t="s">
        <v>40286</v>
      </c>
      <c r="M7278" t="s">
        <v>43182</v>
      </c>
      <c r="N7278" t="s">
        <v>44759</v>
      </c>
      <c r="O7278" t="s">
        <v>44760</v>
      </c>
      <c r="P7278">
        <v>0</v>
      </c>
      <c r="Q7278">
        <v>2</v>
      </c>
      <c r="R7278" t="s">
        <v>44767</v>
      </c>
      <c r="S7278" t="s">
        <v>44954</v>
      </c>
      <c r="T7278" t="s">
        <v>46420</v>
      </c>
      <c r="U7278" t="s">
        <v>53024</v>
      </c>
      <c r="W7278" t="s">
        <v>43182</v>
      </c>
      <c r="X7278" t="s">
        <v>44768</v>
      </c>
    </row>
    <row r="7279" spans="1:24">
      <c r="A7279">
        <f>HYPERLINK("https://www.philgeps.gov.ph/GEPSNONPILOT/Tender/SplashBidNoticeAbstractUI.aspx?menuIndex=3&amp;refID=7143468&amp;Result=3","7143468")</f>
        <v>0</v>
      </c>
      <c r="B7279" t="s">
        <v>237</v>
      </c>
      <c r="C7279" t="s">
        <v>10668</v>
      </c>
      <c r="D7279" t="s">
        <v>17977</v>
      </c>
      <c r="E7279" t="s">
        <v>24424</v>
      </c>
      <c r="F7279" t="s">
        <v>30900</v>
      </c>
      <c r="G7279" t="s">
        <v>30906</v>
      </c>
      <c r="H7279" t="s">
        <v>30916</v>
      </c>
      <c r="I7279" t="s">
        <v>30933</v>
      </c>
      <c r="J7279" t="s">
        <v>31050</v>
      </c>
      <c r="K7279" t="s">
        <v>40289</v>
      </c>
      <c r="M7279" t="s">
        <v>40784</v>
      </c>
      <c r="N7279" t="s">
        <v>44759</v>
      </c>
      <c r="O7279" t="s">
        <v>44760</v>
      </c>
      <c r="P7279">
        <v>0</v>
      </c>
      <c r="Q7279">
        <v>1</v>
      </c>
      <c r="R7279" t="s">
        <v>44767</v>
      </c>
      <c r="S7279" t="s">
        <v>44954</v>
      </c>
      <c r="T7279" t="s">
        <v>46704</v>
      </c>
      <c r="U7279" t="s">
        <v>53025</v>
      </c>
      <c r="W7279" t="s">
        <v>40784</v>
      </c>
      <c r="X7279" t="s">
        <v>44768</v>
      </c>
    </row>
    <row r="7280" spans="1:24">
      <c r="A7280">
        <f>HYPERLINK("https://www.philgeps.gov.ph/GEPSNONPILOT/Tender/SplashBidNoticeAbstractUI.aspx?menuIndex=3&amp;refID=7143593&amp;Result=3","7143593")</f>
        <v>0</v>
      </c>
      <c r="B7280" t="s">
        <v>2024</v>
      </c>
      <c r="C7280" t="s">
        <v>10669</v>
      </c>
      <c r="D7280" t="s">
        <v>17973</v>
      </c>
      <c r="E7280" t="s">
        <v>24425</v>
      </c>
      <c r="F7280" t="s">
        <v>30900</v>
      </c>
      <c r="G7280" t="s">
        <v>30907</v>
      </c>
      <c r="H7280" t="s">
        <v>30916</v>
      </c>
      <c r="I7280" t="s">
        <v>30965</v>
      </c>
      <c r="J7280" t="s">
        <v>35683</v>
      </c>
      <c r="K7280" t="s">
        <v>40289</v>
      </c>
      <c r="M7280" t="s">
        <v>42720</v>
      </c>
      <c r="N7280" t="s">
        <v>44759</v>
      </c>
      <c r="O7280" t="s">
        <v>44760</v>
      </c>
      <c r="P7280">
        <v>0</v>
      </c>
      <c r="Q7280">
        <v>11</v>
      </c>
      <c r="R7280" t="s">
        <v>44767</v>
      </c>
      <c r="S7280" t="s">
        <v>44954</v>
      </c>
      <c r="T7280" t="s">
        <v>46606</v>
      </c>
      <c r="U7280" t="s">
        <v>53026</v>
      </c>
      <c r="W7280" t="s">
        <v>42720</v>
      </c>
      <c r="X7280" t="s">
        <v>44768</v>
      </c>
    </row>
    <row r="7281" spans="1:24">
      <c r="A7281">
        <f>HYPERLINK("https://www.philgeps.gov.ph/GEPSNONPILOT/Tender/SplashBidNoticeAbstractUI.aspx?menuIndex=3&amp;refID=7143467&amp;Result=3","7143467")</f>
        <v>0</v>
      </c>
      <c r="B7281" t="s">
        <v>2490</v>
      </c>
      <c r="C7281" t="s">
        <v>10670</v>
      </c>
      <c r="E7281" t="s">
        <v>21193</v>
      </c>
      <c r="F7281" t="s">
        <v>30899</v>
      </c>
      <c r="G7281" t="s">
        <v>30907</v>
      </c>
      <c r="H7281" t="s">
        <v>30916</v>
      </c>
      <c r="I7281" t="s">
        <v>30921</v>
      </c>
      <c r="J7281" t="s">
        <v>32596</v>
      </c>
      <c r="K7281" t="s">
        <v>40288</v>
      </c>
      <c r="M7281" t="s">
        <v>43231</v>
      </c>
      <c r="N7281" t="s">
        <v>44759</v>
      </c>
      <c r="O7281" t="s">
        <v>44760</v>
      </c>
      <c r="P7281">
        <v>0</v>
      </c>
      <c r="Q7281">
        <v>1</v>
      </c>
      <c r="R7281" t="s">
        <v>44767</v>
      </c>
      <c r="S7281" t="s">
        <v>44954</v>
      </c>
      <c r="T7281" t="s">
        <v>46458</v>
      </c>
      <c r="U7281" t="s">
        <v>53027</v>
      </c>
      <c r="V7281" t="s">
        <v>59896</v>
      </c>
      <c r="W7281" t="s">
        <v>43231</v>
      </c>
      <c r="X7281" t="s">
        <v>44768</v>
      </c>
    </row>
    <row r="7282" spans="1:24">
      <c r="A7282">
        <f>HYPERLINK("https://www.philgeps.gov.ph/GEPSNONPILOT/Tender/SplashBidNoticeAbstractUI.aspx?menuIndex=3&amp;refID=7143612&amp;Result=3","7143612")</f>
        <v>0</v>
      </c>
      <c r="B7282" t="s">
        <v>227</v>
      </c>
      <c r="C7282" t="s">
        <v>10671</v>
      </c>
      <c r="D7282" t="s">
        <v>18012</v>
      </c>
      <c r="E7282" t="s">
        <v>24426</v>
      </c>
      <c r="F7282" t="s">
        <v>30900</v>
      </c>
      <c r="G7282" t="s">
        <v>30908</v>
      </c>
      <c r="H7282" t="s">
        <v>30916</v>
      </c>
      <c r="I7282" t="s">
        <v>6396</v>
      </c>
      <c r="J7282" t="s">
        <v>35684</v>
      </c>
      <c r="K7282" t="s">
        <v>40284</v>
      </c>
      <c r="M7282" t="s">
        <v>43216</v>
      </c>
      <c r="N7282" t="s">
        <v>44759</v>
      </c>
      <c r="O7282" t="s">
        <v>44760</v>
      </c>
      <c r="P7282">
        <v>0</v>
      </c>
      <c r="Q7282">
        <v>1</v>
      </c>
      <c r="R7282" t="s">
        <v>44767</v>
      </c>
      <c r="S7282" t="s">
        <v>44954</v>
      </c>
      <c r="T7282" t="s">
        <v>46403</v>
      </c>
      <c r="U7282" t="s">
        <v>53028</v>
      </c>
      <c r="V7282" t="s">
        <v>59897</v>
      </c>
      <c r="W7282" t="s">
        <v>43216</v>
      </c>
      <c r="X7282" t="s">
        <v>44768</v>
      </c>
    </row>
    <row r="7283" spans="1:24">
      <c r="A7283">
        <f>HYPERLINK("https://www.philgeps.gov.ph/GEPSNONPILOT/Tender/SplashBidNoticeAbstractUI.aspx?menuIndex=3&amp;refID=7143627&amp;Result=3","7143627")</f>
        <v>0</v>
      </c>
      <c r="B7283" t="s">
        <v>591</v>
      </c>
      <c r="C7283" t="s">
        <v>10672</v>
      </c>
      <c r="D7283" t="s">
        <v>17998</v>
      </c>
      <c r="E7283" t="s">
        <v>24427</v>
      </c>
      <c r="F7283" t="s">
        <v>30900</v>
      </c>
      <c r="G7283" t="s">
        <v>30907</v>
      </c>
      <c r="H7283" t="s">
        <v>30916</v>
      </c>
      <c r="I7283" t="s">
        <v>6953</v>
      </c>
      <c r="J7283" t="s">
        <v>35685</v>
      </c>
      <c r="K7283" t="s">
        <v>40286</v>
      </c>
      <c r="M7283" t="s">
        <v>41247</v>
      </c>
      <c r="N7283" t="s">
        <v>44759</v>
      </c>
      <c r="O7283" t="s">
        <v>44760</v>
      </c>
      <c r="P7283">
        <v>0</v>
      </c>
      <c r="Q7283">
        <v>0</v>
      </c>
      <c r="R7283" t="s">
        <v>44767</v>
      </c>
      <c r="S7283" t="s">
        <v>44954</v>
      </c>
      <c r="T7283" t="s">
        <v>46403</v>
      </c>
      <c r="U7283" t="s">
        <v>47975</v>
      </c>
      <c r="V7283" t="s">
        <v>59259</v>
      </c>
      <c r="W7283" t="s">
        <v>41247</v>
      </c>
      <c r="X7283" t="s">
        <v>44768</v>
      </c>
    </row>
    <row r="7284" spans="1:24">
      <c r="A7284">
        <f>HYPERLINK("https://www.philgeps.gov.ph/GEPSNONPILOT/Tender/SplashBidNoticeAbstractUI.aspx?menuIndex=3&amp;refID=7143560&amp;Result=3","7143560")</f>
        <v>0</v>
      </c>
      <c r="B7284" t="s">
        <v>211</v>
      </c>
      <c r="C7284" t="s">
        <v>10673</v>
      </c>
      <c r="D7284" t="s">
        <v>18016</v>
      </c>
      <c r="E7284" t="s">
        <v>24428</v>
      </c>
      <c r="F7284" t="s">
        <v>30900</v>
      </c>
      <c r="G7284" t="s">
        <v>30908</v>
      </c>
      <c r="H7284" t="s">
        <v>30916</v>
      </c>
      <c r="I7284" t="s">
        <v>4017</v>
      </c>
      <c r="J7284" t="s">
        <v>33907</v>
      </c>
      <c r="K7284" t="s">
        <v>40289</v>
      </c>
      <c r="M7284" t="s">
        <v>40758</v>
      </c>
      <c r="N7284" t="s">
        <v>44759</v>
      </c>
      <c r="O7284" t="s">
        <v>44760</v>
      </c>
      <c r="P7284">
        <v>0</v>
      </c>
      <c r="Q7284">
        <v>3</v>
      </c>
      <c r="R7284" t="s">
        <v>44767</v>
      </c>
      <c r="S7284" t="s">
        <v>44954</v>
      </c>
      <c r="T7284" t="s">
        <v>46445</v>
      </c>
      <c r="U7284" t="s">
        <v>53029</v>
      </c>
      <c r="W7284" t="s">
        <v>40758</v>
      </c>
      <c r="X7284" t="s">
        <v>44768</v>
      </c>
    </row>
    <row r="7285" spans="1:24">
      <c r="A7285">
        <f>HYPERLINK("https://www.philgeps.gov.ph/GEPSNONPILOT/Tender/SplashBidNoticeAbstractUI.aspx?menuIndex=3&amp;refID=7143610&amp;Result=3","7143610")</f>
        <v>0</v>
      </c>
      <c r="B7285" t="s">
        <v>2474</v>
      </c>
      <c r="C7285" t="s">
        <v>10674</v>
      </c>
      <c r="D7285" t="s">
        <v>17959</v>
      </c>
      <c r="E7285" t="s">
        <v>24429</v>
      </c>
      <c r="F7285" t="s">
        <v>30900</v>
      </c>
      <c r="G7285" t="s">
        <v>30907</v>
      </c>
      <c r="H7285" t="s">
        <v>30916</v>
      </c>
      <c r="I7285" t="s">
        <v>8044</v>
      </c>
      <c r="J7285" t="s">
        <v>32808</v>
      </c>
      <c r="K7285" t="s">
        <v>40292</v>
      </c>
      <c r="M7285" t="s">
        <v>43212</v>
      </c>
      <c r="N7285" t="s">
        <v>44759</v>
      </c>
      <c r="O7285" t="s">
        <v>44760</v>
      </c>
      <c r="P7285">
        <v>0</v>
      </c>
      <c r="Q7285">
        <v>2</v>
      </c>
      <c r="R7285" t="s">
        <v>44767</v>
      </c>
      <c r="S7285" t="s">
        <v>44954</v>
      </c>
      <c r="T7285" t="s">
        <v>46441</v>
      </c>
      <c r="U7285" t="s">
        <v>52983</v>
      </c>
      <c r="W7285" t="s">
        <v>43212</v>
      </c>
      <c r="X7285" t="s">
        <v>44768</v>
      </c>
    </row>
    <row r="7286" spans="1:24">
      <c r="A7286">
        <f>HYPERLINK("https://www.philgeps.gov.ph/GEPSNONPILOT/Tender/SplashBidNoticeAbstractUI.aspx?menuIndex=3&amp;refID=7143605&amp;Result=3","7143605")</f>
        <v>0</v>
      </c>
      <c r="B7286" t="s">
        <v>2491</v>
      </c>
      <c r="C7286" t="s">
        <v>10675</v>
      </c>
      <c r="D7286" t="s">
        <v>17951</v>
      </c>
      <c r="E7286" t="s">
        <v>24430</v>
      </c>
      <c r="F7286" t="s">
        <v>30900</v>
      </c>
      <c r="G7286" t="s">
        <v>30907</v>
      </c>
      <c r="H7286" t="s">
        <v>30916</v>
      </c>
      <c r="I7286" t="s">
        <v>30933</v>
      </c>
      <c r="J7286" t="s">
        <v>35686</v>
      </c>
      <c r="K7286" t="s">
        <v>40286</v>
      </c>
      <c r="M7286" t="s">
        <v>43232</v>
      </c>
      <c r="N7286" t="s">
        <v>44759</v>
      </c>
      <c r="O7286" t="s">
        <v>44760</v>
      </c>
      <c r="P7286">
        <v>0</v>
      </c>
      <c r="Q7286">
        <v>2</v>
      </c>
      <c r="R7286" t="s">
        <v>44767</v>
      </c>
      <c r="S7286" t="s">
        <v>44954</v>
      </c>
      <c r="T7286" t="s">
        <v>46428</v>
      </c>
      <c r="U7286" t="s">
        <v>53030</v>
      </c>
      <c r="V7286" t="s">
        <v>59226</v>
      </c>
      <c r="W7286" t="s">
        <v>43232</v>
      </c>
      <c r="X7286" t="s">
        <v>44768</v>
      </c>
    </row>
    <row r="7287" spans="1:24">
      <c r="A7287">
        <f>HYPERLINK("https://www.philgeps.gov.ph/GEPSNONPILOT/Tender/SplashBidNoticeAbstractUI.aspx?menuIndex=3&amp;refID=7143619&amp;Result=3","7143619")</f>
        <v>0</v>
      </c>
      <c r="B7287" t="s">
        <v>408</v>
      </c>
      <c r="C7287" t="s">
        <v>3773</v>
      </c>
      <c r="E7287" t="s">
        <v>24431</v>
      </c>
      <c r="F7287" t="s">
        <v>30900</v>
      </c>
      <c r="G7287" t="s">
        <v>30909</v>
      </c>
      <c r="H7287" t="s">
        <v>30916</v>
      </c>
      <c r="I7287" t="s">
        <v>4142</v>
      </c>
      <c r="J7287" t="s">
        <v>35687</v>
      </c>
      <c r="K7287" t="s">
        <v>40289</v>
      </c>
      <c r="M7287" t="s">
        <v>40964</v>
      </c>
      <c r="N7287" t="s">
        <v>44759</v>
      </c>
      <c r="O7287" t="s">
        <v>44760</v>
      </c>
      <c r="P7287">
        <v>0</v>
      </c>
      <c r="Q7287">
        <v>2</v>
      </c>
      <c r="R7287" t="s">
        <v>44767</v>
      </c>
      <c r="S7287" t="s">
        <v>44954</v>
      </c>
      <c r="T7287" t="s">
        <v>46484</v>
      </c>
      <c r="U7287" t="s">
        <v>48263</v>
      </c>
      <c r="W7287" t="s">
        <v>40964</v>
      </c>
      <c r="X7287" t="s">
        <v>44768</v>
      </c>
    </row>
    <row r="7288" spans="1:24">
      <c r="A7288">
        <f>HYPERLINK("https://www.philgeps.gov.ph/GEPSNONPILOT/Tender/SplashBidNoticeAbstractUI.aspx?menuIndex=3&amp;refID=7143594&amp;Result=3","7143594")</f>
        <v>0</v>
      </c>
      <c r="B7288" t="s">
        <v>591</v>
      </c>
      <c r="C7288" t="s">
        <v>10676</v>
      </c>
      <c r="D7288" t="s">
        <v>17998</v>
      </c>
      <c r="E7288" t="s">
        <v>24432</v>
      </c>
      <c r="F7288" t="s">
        <v>30900</v>
      </c>
      <c r="G7288" t="s">
        <v>30907</v>
      </c>
      <c r="H7288" t="s">
        <v>30916</v>
      </c>
      <c r="I7288" t="s">
        <v>6953</v>
      </c>
      <c r="J7288" t="s">
        <v>31043</v>
      </c>
      <c r="K7288" t="s">
        <v>40286</v>
      </c>
      <c r="M7288" t="s">
        <v>41247</v>
      </c>
      <c r="N7288" t="s">
        <v>44759</v>
      </c>
      <c r="O7288" t="s">
        <v>44760</v>
      </c>
      <c r="P7288">
        <v>0</v>
      </c>
      <c r="Q7288">
        <v>0</v>
      </c>
      <c r="R7288" t="s">
        <v>44767</v>
      </c>
      <c r="S7288" t="s">
        <v>44954</v>
      </c>
      <c r="T7288" t="s">
        <v>46403</v>
      </c>
      <c r="U7288" t="s">
        <v>47975</v>
      </c>
      <c r="V7288" t="s">
        <v>59259</v>
      </c>
      <c r="W7288" t="s">
        <v>41247</v>
      </c>
      <c r="X7288" t="s">
        <v>44768</v>
      </c>
    </row>
    <row r="7289" spans="1:24">
      <c r="A7289">
        <f>HYPERLINK("https://www.philgeps.gov.ph/GEPSNONPILOT/Tender/SplashBidNoticeAbstractUI.aspx?menuIndex=3&amp;refID=7143621&amp;Result=3","7143621")</f>
        <v>0</v>
      </c>
      <c r="B7289" t="s">
        <v>2492</v>
      </c>
      <c r="C7289" t="s">
        <v>10677</v>
      </c>
      <c r="D7289" t="s">
        <v>17987</v>
      </c>
      <c r="E7289" t="s">
        <v>24433</v>
      </c>
      <c r="F7289" t="s">
        <v>30900</v>
      </c>
      <c r="G7289" t="s">
        <v>30908</v>
      </c>
      <c r="H7289" t="s">
        <v>30915</v>
      </c>
      <c r="I7289" t="s">
        <v>30919</v>
      </c>
      <c r="J7289" t="s">
        <v>35688</v>
      </c>
      <c r="K7289" t="s">
        <v>40291</v>
      </c>
      <c r="M7289" t="s">
        <v>43233</v>
      </c>
      <c r="N7289" t="s">
        <v>44759</v>
      </c>
      <c r="O7289" t="s">
        <v>44760</v>
      </c>
      <c r="P7289">
        <v>0</v>
      </c>
      <c r="Q7289">
        <v>1</v>
      </c>
      <c r="R7289" t="s">
        <v>44767</v>
      </c>
      <c r="S7289" t="s">
        <v>44954</v>
      </c>
      <c r="T7289" t="s">
        <v>46403</v>
      </c>
      <c r="U7289" t="s">
        <v>53031</v>
      </c>
      <c r="W7289" t="s">
        <v>43233</v>
      </c>
      <c r="X7289" t="s">
        <v>44768</v>
      </c>
    </row>
    <row r="7290" spans="1:24">
      <c r="A7290">
        <f>HYPERLINK("https://www.philgeps.gov.ph/GEPSNONPILOT/Tender/SplashBidNoticeAbstractUI.aspx?menuIndex=3&amp;refID=7143633&amp;Result=3","7143633")</f>
        <v>0</v>
      </c>
      <c r="B7290" t="s">
        <v>2493</v>
      </c>
      <c r="C7290" t="s">
        <v>10678</v>
      </c>
      <c r="D7290" t="s">
        <v>17955</v>
      </c>
      <c r="E7290" t="s">
        <v>24434</v>
      </c>
      <c r="F7290" t="s">
        <v>30900</v>
      </c>
      <c r="G7290" t="s">
        <v>30908</v>
      </c>
      <c r="H7290" t="s">
        <v>30916</v>
      </c>
      <c r="I7290" t="s">
        <v>30934</v>
      </c>
      <c r="J7290" t="s">
        <v>31050</v>
      </c>
      <c r="K7290" t="s">
        <v>40288</v>
      </c>
      <c r="M7290" t="s">
        <v>43234</v>
      </c>
      <c r="N7290" t="s">
        <v>44759</v>
      </c>
      <c r="O7290" t="s">
        <v>44760</v>
      </c>
      <c r="P7290">
        <v>0</v>
      </c>
      <c r="Q7290">
        <v>1</v>
      </c>
      <c r="R7290" t="s">
        <v>44767</v>
      </c>
      <c r="S7290" t="s">
        <v>44954</v>
      </c>
      <c r="T7290" t="s">
        <v>46699</v>
      </c>
      <c r="U7290" t="s">
        <v>53032</v>
      </c>
      <c r="W7290" t="s">
        <v>43234</v>
      </c>
      <c r="X7290" t="s">
        <v>44768</v>
      </c>
    </row>
    <row r="7291" spans="1:24">
      <c r="A7291">
        <f>HYPERLINK("https://www.philgeps.gov.ph/GEPSNONPILOT/Tender/SplashBidNoticeAbstractUI.aspx?menuIndex=3&amp;refID=7143632&amp;Result=3","7143632")</f>
        <v>0</v>
      </c>
      <c r="B7291" t="s">
        <v>2373</v>
      </c>
      <c r="C7291" t="s">
        <v>10679</v>
      </c>
      <c r="D7291" t="s">
        <v>17966</v>
      </c>
      <c r="E7291" t="s">
        <v>24435</v>
      </c>
      <c r="F7291" t="s">
        <v>30900</v>
      </c>
      <c r="G7291" t="s">
        <v>30907</v>
      </c>
      <c r="H7291" t="s">
        <v>30916</v>
      </c>
      <c r="I7291" t="s">
        <v>8123</v>
      </c>
      <c r="J7291" t="s">
        <v>35689</v>
      </c>
      <c r="K7291" t="s">
        <v>40283</v>
      </c>
      <c r="M7291" t="s">
        <v>43178</v>
      </c>
      <c r="N7291" t="s">
        <v>44759</v>
      </c>
      <c r="O7291" t="s">
        <v>44760</v>
      </c>
      <c r="P7291">
        <v>0</v>
      </c>
      <c r="Q7291">
        <v>0</v>
      </c>
      <c r="R7291" t="s">
        <v>44767</v>
      </c>
      <c r="S7291" t="s">
        <v>44954</v>
      </c>
      <c r="T7291" t="s">
        <v>46357</v>
      </c>
      <c r="U7291" t="s">
        <v>47755</v>
      </c>
      <c r="W7291" t="s">
        <v>43178</v>
      </c>
      <c r="X7291" t="s">
        <v>44768</v>
      </c>
    </row>
    <row r="7292" spans="1:24">
      <c r="A7292">
        <f>HYPERLINK("https://www.philgeps.gov.ph/GEPSNONPILOT/Tender/SplashBidNoticeAbstractUI.aspx?menuIndex=3&amp;refID=7143635&amp;Result=3","7143635")</f>
        <v>0</v>
      </c>
      <c r="B7292" t="s">
        <v>2175</v>
      </c>
      <c r="C7292" t="s">
        <v>10680</v>
      </c>
      <c r="E7292" t="s">
        <v>24436</v>
      </c>
      <c r="F7292" t="s">
        <v>30900</v>
      </c>
      <c r="G7292" t="s">
        <v>30908</v>
      </c>
      <c r="H7292" t="s">
        <v>30916</v>
      </c>
      <c r="I7292" t="s">
        <v>30924</v>
      </c>
      <c r="J7292" t="s">
        <v>32433</v>
      </c>
      <c r="K7292" t="s">
        <v>40289</v>
      </c>
      <c r="M7292" t="s">
        <v>42880</v>
      </c>
      <c r="N7292" t="s">
        <v>44759</v>
      </c>
      <c r="O7292" t="s">
        <v>44760</v>
      </c>
      <c r="P7292">
        <v>0</v>
      </c>
      <c r="Q7292">
        <v>2</v>
      </c>
      <c r="R7292" t="s">
        <v>44767</v>
      </c>
      <c r="S7292" t="s">
        <v>44954</v>
      </c>
      <c r="T7292" t="s">
        <v>46658</v>
      </c>
      <c r="U7292" t="s">
        <v>53033</v>
      </c>
      <c r="W7292" t="s">
        <v>42880</v>
      </c>
      <c r="X7292" t="s">
        <v>44768</v>
      </c>
    </row>
    <row r="7293" spans="1:24">
      <c r="A7293">
        <f>HYPERLINK("https://www.philgeps.gov.ph/GEPSNONPILOT/Tender/SplashBidNoticeAbstractUI.aspx?menuIndex=3&amp;refID=7143640&amp;Result=3","7143640")</f>
        <v>0</v>
      </c>
      <c r="B7293" t="s">
        <v>2227</v>
      </c>
      <c r="C7293" t="s">
        <v>10681</v>
      </c>
      <c r="D7293" t="s">
        <v>18016</v>
      </c>
      <c r="E7293" t="s">
        <v>24437</v>
      </c>
      <c r="F7293" t="s">
        <v>30900</v>
      </c>
      <c r="G7293" t="s">
        <v>30907</v>
      </c>
      <c r="H7293" t="s">
        <v>30916</v>
      </c>
      <c r="I7293" t="s">
        <v>10602</v>
      </c>
      <c r="J7293" t="s">
        <v>31135</v>
      </c>
      <c r="K7293" t="s">
        <v>40289</v>
      </c>
      <c r="M7293" t="s">
        <v>43235</v>
      </c>
      <c r="N7293" t="s">
        <v>44759</v>
      </c>
      <c r="O7293" t="s">
        <v>44760</v>
      </c>
      <c r="P7293">
        <v>0</v>
      </c>
      <c r="Q7293">
        <v>1</v>
      </c>
      <c r="R7293" t="s">
        <v>44767</v>
      </c>
      <c r="S7293" t="s">
        <v>44954</v>
      </c>
      <c r="T7293" t="s">
        <v>46363</v>
      </c>
      <c r="U7293" t="s">
        <v>53034</v>
      </c>
      <c r="W7293" t="s">
        <v>43235</v>
      </c>
      <c r="X7293" t="s">
        <v>44768</v>
      </c>
    </row>
    <row r="7294" spans="1:24">
      <c r="A7294">
        <f>HYPERLINK("https://www.philgeps.gov.ph/GEPSNONPILOT/Tender/SplashBidNoticeAbstractUI.aspx?menuIndex=3&amp;refID=7143533&amp;Result=3","7143533")</f>
        <v>0</v>
      </c>
      <c r="B7294" t="s">
        <v>2494</v>
      </c>
      <c r="C7294" t="s">
        <v>7152</v>
      </c>
      <c r="D7294" t="s">
        <v>17971</v>
      </c>
      <c r="E7294" t="s">
        <v>22017</v>
      </c>
      <c r="F7294" t="s">
        <v>30900</v>
      </c>
      <c r="G7294" t="s">
        <v>30908</v>
      </c>
      <c r="H7294" t="s">
        <v>30916</v>
      </c>
      <c r="I7294" t="s">
        <v>10847</v>
      </c>
      <c r="J7294" t="s">
        <v>31043</v>
      </c>
      <c r="K7294" t="s">
        <v>40281</v>
      </c>
      <c r="M7294" t="s">
        <v>43236</v>
      </c>
      <c r="N7294" t="s">
        <v>44759</v>
      </c>
      <c r="O7294" t="s">
        <v>44760</v>
      </c>
      <c r="Q7294">
        <v>1</v>
      </c>
      <c r="R7294" t="s">
        <v>44767</v>
      </c>
      <c r="S7294" t="s">
        <v>44963</v>
      </c>
      <c r="T7294" t="s">
        <v>46625</v>
      </c>
      <c r="U7294" t="s">
        <v>53035</v>
      </c>
      <c r="W7294" t="s">
        <v>43236</v>
      </c>
      <c r="X7294" t="s">
        <v>44768</v>
      </c>
    </row>
    <row r="7295" spans="1:24">
      <c r="A7295">
        <f>HYPERLINK("https://www.philgeps.gov.ph/GEPSNONPILOT/Tender/SplashBidNoticeAbstractUI.aspx?menuIndex=3&amp;refID=7143630&amp;Result=3","7143630")</f>
        <v>0</v>
      </c>
      <c r="B7295" t="s">
        <v>2474</v>
      </c>
      <c r="C7295" t="s">
        <v>10682</v>
      </c>
      <c r="D7295" t="s">
        <v>17959</v>
      </c>
      <c r="E7295" t="s">
        <v>24438</v>
      </c>
      <c r="F7295" t="s">
        <v>30900</v>
      </c>
      <c r="G7295" t="s">
        <v>30907</v>
      </c>
      <c r="H7295" t="s">
        <v>30916</v>
      </c>
      <c r="I7295" t="s">
        <v>4108</v>
      </c>
      <c r="J7295" t="s">
        <v>31241</v>
      </c>
      <c r="K7295" t="s">
        <v>40292</v>
      </c>
      <c r="M7295" t="s">
        <v>43212</v>
      </c>
      <c r="N7295" t="s">
        <v>44759</v>
      </c>
      <c r="O7295" t="s">
        <v>44760</v>
      </c>
      <c r="P7295">
        <v>0</v>
      </c>
      <c r="Q7295">
        <v>2</v>
      </c>
      <c r="R7295" t="s">
        <v>44767</v>
      </c>
      <c r="S7295" t="s">
        <v>44954</v>
      </c>
      <c r="T7295" t="s">
        <v>46441</v>
      </c>
      <c r="U7295" t="s">
        <v>52983</v>
      </c>
      <c r="W7295" t="s">
        <v>43212</v>
      </c>
      <c r="X7295" t="s">
        <v>44768</v>
      </c>
    </row>
    <row r="7296" spans="1:24">
      <c r="A7296">
        <f>HYPERLINK("https://www.philgeps.gov.ph/GEPSNONPILOT/Tender/SplashBidNoticeAbstractUI.aspx?menuIndex=3&amp;refID=7143608&amp;Result=3","7143608")</f>
        <v>0</v>
      </c>
      <c r="B7296" t="s">
        <v>591</v>
      </c>
      <c r="C7296" t="s">
        <v>10683</v>
      </c>
      <c r="D7296" t="s">
        <v>17998</v>
      </c>
      <c r="E7296" t="s">
        <v>24439</v>
      </c>
      <c r="F7296" t="s">
        <v>30900</v>
      </c>
      <c r="G7296" t="s">
        <v>30907</v>
      </c>
      <c r="H7296" t="s">
        <v>30916</v>
      </c>
      <c r="I7296" t="s">
        <v>6953</v>
      </c>
      <c r="J7296" t="s">
        <v>35690</v>
      </c>
      <c r="K7296" t="s">
        <v>40286</v>
      </c>
      <c r="M7296" t="s">
        <v>41247</v>
      </c>
      <c r="N7296" t="s">
        <v>44759</v>
      </c>
      <c r="O7296" t="s">
        <v>44760</v>
      </c>
      <c r="P7296">
        <v>0</v>
      </c>
      <c r="Q7296">
        <v>0</v>
      </c>
      <c r="R7296" t="s">
        <v>44767</v>
      </c>
      <c r="S7296" t="s">
        <v>44954</v>
      </c>
      <c r="T7296" t="s">
        <v>46403</v>
      </c>
      <c r="U7296" t="s">
        <v>47975</v>
      </c>
      <c r="V7296" t="s">
        <v>59259</v>
      </c>
      <c r="W7296" t="s">
        <v>41247</v>
      </c>
      <c r="X7296" t="s">
        <v>44768</v>
      </c>
    </row>
    <row r="7297" spans="1:24">
      <c r="A7297">
        <f>HYPERLINK("https://www.philgeps.gov.ph/GEPSNONPILOT/Tender/SplashBidNoticeAbstractUI.aspx?menuIndex=3&amp;refID=7143625&amp;Result=3","7143625")</f>
        <v>0</v>
      </c>
      <c r="B7297" t="s">
        <v>2495</v>
      </c>
      <c r="C7297" t="s">
        <v>10684</v>
      </c>
      <c r="D7297" t="s">
        <v>17987</v>
      </c>
      <c r="E7297" t="s">
        <v>24440</v>
      </c>
      <c r="F7297" t="s">
        <v>30900</v>
      </c>
      <c r="G7297" t="s">
        <v>30908</v>
      </c>
      <c r="H7297" t="s">
        <v>30916</v>
      </c>
      <c r="I7297" t="s">
        <v>30925</v>
      </c>
      <c r="J7297" t="s">
        <v>31050</v>
      </c>
      <c r="K7297" t="s">
        <v>40287</v>
      </c>
      <c r="M7297" t="s">
        <v>43237</v>
      </c>
      <c r="N7297" t="s">
        <v>44759</v>
      </c>
      <c r="O7297" t="s">
        <v>44760</v>
      </c>
      <c r="P7297">
        <v>0</v>
      </c>
      <c r="Q7297">
        <v>1</v>
      </c>
      <c r="R7297" t="s">
        <v>44767</v>
      </c>
      <c r="S7297" t="s">
        <v>44954</v>
      </c>
      <c r="T7297" t="s">
        <v>46662</v>
      </c>
      <c r="U7297" t="s">
        <v>53036</v>
      </c>
      <c r="W7297" t="s">
        <v>43237</v>
      </c>
      <c r="X7297" t="s">
        <v>44768</v>
      </c>
    </row>
    <row r="7298" spans="1:24">
      <c r="A7298">
        <f>HYPERLINK("https://www.philgeps.gov.ph/GEPSNONPILOT/Tender/SplashBidNoticeAbstractUI.aspx?menuIndex=3&amp;refID=7143609&amp;Result=3","7143609")</f>
        <v>0</v>
      </c>
      <c r="B7298" t="s">
        <v>44</v>
      </c>
      <c r="C7298" t="s">
        <v>10685</v>
      </c>
      <c r="D7298" t="s">
        <v>17969</v>
      </c>
      <c r="E7298" t="s">
        <v>24441</v>
      </c>
      <c r="F7298" t="s">
        <v>30900</v>
      </c>
      <c r="G7298" t="s">
        <v>30907</v>
      </c>
      <c r="H7298" t="s">
        <v>30915</v>
      </c>
      <c r="I7298" t="s">
        <v>30919</v>
      </c>
      <c r="J7298" t="s">
        <v>35691</v>
      </c>
      <c r="K7298" t="s">
        <v>40348</v>
      </c>
      <c r="M7298" t="s">
        <v>42657</v>
      </c>
      <c r="N7298" t="s">
        <v>44759</v>
      </c>
      <c r="O7298" t="s">
        <v>44760</v>
      </c>
      <c r="P7298">
        <v>0</v>
      </c>
      <c r="Q7298">
        <v>0</v>
      </c>
      <c r="R7298" t="s">
        <v>44767</v>
      </c>
      <c r="S7298" t="s">
        <v>44954</v>
      </c>
      <c r="T7298" t="s">
        <v>46557</v>
      </c>
      <c r="U7298" t="s">
        <v>53037</v>
      </c>
      <c r="W7298" t="s">
        <v>42657</v>
      </c>
      <c r="X7298" t="s">
        <v>44768</v>
      </c>
    </row>
    <row r="7299" spans="1:24">
      <c r="A7299">
        <f>HYPERLINK("https://www.philgeps.gov.ph/GEPSNONPILOT/Tender/SplashBidNoticeAbstractUI.aspx?menuIndex=3&amp;refID=7143598&amp;Result=3","7143598")</f>
        <v>0</v>
      </c>
      <c r="B7299" t="s">
        <v>2496</v>
      </c>
      <c r="C7299" t="s">
        <v>10686</v>
      </c>
      <c r="D7299" t="s">
        <v>18001</v>
      </c>
      <c r="E7299" t="s">
        <v>24442</v>
      </c>
      <c r="F7299" t="s">
        <v>30899</v>
      </c>
      <c r="G7299" t="s">
        <v>30909</v>
      </c>
      <c r="H7299" t="s">
        <v>30916</v>
      </c>
      <c r="I7299" t="s">
        <v>30942</v>
      </c>
      <c r="J7299" t="s">
        <v>33171</v>
      </c>
      <c r="K7299" t="s">
        <v>40287</v>
      </c>
      <c r="M7299" t="s">
        <v>43238</v>
      </c>
      <c r="N7299" t="s">
        <v>44759</v>
      </c>
      <c r="O7299" t="s">
        <v>44760</v>
      </c>
      <c r="P7299">
        <v>0</v>
      </c>
      <c r="Q7299">
        <v>2</v>
      </c>
      <c r="R7299" t="s">
        <v>44767</v>
      </c>
      <c r="S7299" t="s">
        <v>44954</v>
      </c>
      <c r="T7299" t="s">
        <v>46773</v>
      </c>
      <c r="U7299" t="s">
        <v>53038</v>
      </c>
      <c r="W7299" t="s">
        <v>43238</v>
      </c>
      <c r="X7299" t="s">
        <v>44768</v>
      </c>
    </row>
    <row r="7300" spans="1:24">
      <c r="A7300">
        <f>HYPERLINK("https://www.philgeps.gov.ph/GEPSNONPILOT/Tender/SplashBidNoticeAbstractUI.aspx?menuIndex=3&amp;refID=7143681&amp;Result=3","7143681")</f>
        <v>0</v>
      </c>
      <c r="B7300" t="s">
        <v>2497</v>
      </c>
      <c r="C7300" t="s">
        <v>10687</v>
      </c>
      <c r="D7300" t="s">
        <v>17970</v>
      </c>
      <c r="E7300" t="s">
        <v>24443</v>
      </c>
      <c r="F7300" t="s">
        <v>30900</v>
      </c>
      <c r="G7300" t="s">
        <v>30907</v>
      </c>
      <c r="H7300" t="s">
        <v>30916</v>
      </c>
      <c r="I7300" t="s">
        <v>31003</v>
      </c>
      <c r="J7300" t="s">
        <v>33438</v>
      </c>
      <c r="K7300" t="s">
        <v>40286</v>
      </c>
      <c r="M7300" t="s">
        <v>43239</v>
      </c>
      <c r="N7300" t="s">
        <v>44759</v>
      </c>
      <c r="O7300" t="s">
        <v>44760</v>
      </c>
      <c r="P7300">
        <v>0</v>
      </c>
      <c r="Q7300">
        <v>0</v>
      </c>
      <c r="R7300" t="s">
        <v>44767</v>
      </c>
      <c r="S7300" t="s">
        <v>44954</v>
      </c>
      <c r="T7300" t="s">
        <v>46391</v>
      </c>
      <c r="U7300" t="s">
        <v>53039</v>
      </c>
      <c r="W7300" t="s">
        <v>43239</v>
      </c>
      <c r="X7300" t="s">
        <v>44768</v>
      </c>
    </row>
    <row r="7301" spans="1:24">
      <c r="A7301">
        <f>HYPERLINK("https://www.philgeps.gov.ph/GEPSNONPILOT/Tender/SplashBidNoticeAbstractUI.aspx?menuIndex=3&amp;refID=7143676&amp;Result=3","7143676")</f>
        <v>0</v>
      </c>
      <c r="B7301" t="s">
        <v>244</v>
      </c>
      <c r="C7301" t="s">
        <v>10688</v>
      </c>
      <c r="D7301" t="s">
        <v>17958</v>
      </c>
      <c r="E7301" t="s">
        <v>24444</v>
      </c>
      <c r="F7301" t="s">
        <v>30900</v>
      </c>
      <c r="G7301" t="s">
        <v>30908</v>
      </c>
      <c r="H7301" t="s">
        <v>30916</v>
      </c>
      <c r="I7301" t="s">
        <v>30939</v>
      </c>
      <c r="J7301" t="s">
        <v>31182</v>
      </c>
      <c r="K7301" t="s">
        <v>40284</v>
      </c>
      <c r="M7301" t="s">
        <v>40791</v>
      </c>
      <c r="N7301" t="s">
        <v>44759</v>
      </c>
      <c r="O7301" t="s">
        <v>44760</v>
      </c>
      <c r="P7301">
        <v>0</v>
      </c>
      <c r="Q7301">
        <v>0</v>
      </c>
      <c r="R7301" t="s">
        <v>44767</v>
      </c>
      <c r="S7301" t="s">
        <v>44954</v>
      </c>
      <c r="T7301" t="s">
        <v>46357</v>
      </c>
      <c r="U7301" t="s">
        <v>53040</v>
      </c>
      <c r="W7301" t="s">
        <v>40791</v>
      </c>
      <c r="X7301" t="s">
        <v>44768</v>
      </c>
    </row>
    <row r="7302" spans="1:24">
      <c r="A7302">
        <f>HYPERLINK("https://www.philgeps.gov.ph/GEPSNONPILOT/Tender/SplashBidNoticeAbstractUI.aspx?menuIndex=3&amp;refID=7143698&amp;Result=3","7143698")</f>
        <v>0</v>
      </c>
      <c r="B7302" t="s">
        <v>2474</v>
      </c>
      <c r="C7302" t="s">
        <v>10689</v>
      </c>
      <c r="D7302" t="s">
        <v>17959</v>
      </c>
      <c r="E7302" t="s">
        <v>24445</v>
      </c>
      <c r="F7302" t="s">
        <v>30900</v>
      </c>
      <c r="G7302" t="s">
        <v>30907</v>
      </c>
      <c r="H7302" t="s">
        <v>30916</v>
      </c>
      <c r="I7302" t="s">
        <v>30926</v>
      </c>
      <c r="J7302" t="s">
        <v>31158</v>
      </c>
      <c r="K7302" t="s">
        <v>40292</v>
      </c>
      <c r="M7302" t="s">
        <v>43212</v>
      </c>
      <c r="N7302" t="s">
        <v>44759</v>
      </c>
      <c r="O7302" t="s">
        <v>44760</v>
      </c>
      <c r="P7302">
        <v>0</v>
      </c>
      <c r="Q7302">
        <v>2</v>
      </c>
      <c r="R7302" t="s">
        <v>44767</v>
      </c>
      <c r="S7302" t="s">
        <v>44954</v>
      </c>
      <c r="T7302" t="s">
        <v>46441</v>
      </c>
      <c r="U7302" t="s">
        <v>52983</v>
      </c>
      <c r="W7302" t="s">
        <v>43212</v>
      </c>
      <c r="X7302" t="s">
        <v>44768</v>
      </c>
    </row>
    <row r="7303" spans="1:24">
      <c r="A7303">
        <f>HYPERLINK("https://www.philgeps.gov.ph/GEPSNONPILOT/Tender/SplashBidNoticeAbstractUI.aspx?menuIndex=3&amp;refID=7143597&amp;Result=3","7143597")</f>
        <v>0</v>
      </c>
      <c r="B7303" t="s">
        <v>1172</v>
      </c>
      <c r="C7303" t="s">
        <v>10690</v>
      </c>
      <c r="D7303" t="s">
        <v>18035</v>
      </c>
      <c r="E7303" t="s">
        <v>24446</v>
      </c>
      <c r="F7303" t="s">
        <v>30900</v>
      </c>
      <c r="G7303" t="s">
        <v>30907</v>
      </c>
      <c r="H7303" t="s">
        <v>30916</v>
      </c>
      <c r="I7303" t="s">
        <v>30933</v>
      </c>
      <c r="J7303" t="s">
        <v>35692</v>
      </c>
      <c r="K7303" t="s">
        <v>40280</v>
      </c>
      <c r="M7303" t="s">
        <v>42726</v>
      </c>
      <c r="N7303" t="s">
        <v>44759</v>
      </c>
      <c r="O7303" t="s">
        <v>44760</v>
      </c>
      <c r="P7303">
        <v>0</v>
      </c>
      <c r="Q7303">
        <v>9</v>
      </c>
      <c r="R7303" t="s">
        <v>44767</v>
      </c>
      <c r="S7303" t="s">
        <v>44954</v>
      </c>
      <c r="T7303" t="s">
        <v>46350</v>
      </c>
      <c r="U7303" t="s">
        <v>53041</v>
      </c>
      <c r="W7303" t="s">
        <v>42726</v>
      </c>
      <c r="X7303" t="s">
        <v>44768</v>
      </c>
    </row>
    <row r="7304" spans="1:24">
      <c r="A7304">
        <f>HYPERLINK("https://www.philgeps.gov.ph/GEPSNONPILOT/Tender/SplashBidNoticeAbstractUI.aspx?menuIndex=3&amp;refID=7143596&amp;Result=3","7143596")</f>
        <v>0</v>
      </c>
      <c r="B7304" t="s">
        <v>2462</v>
      </c>
      <c r="C7304" t="s">
        <v>10691</v>
      </c>
      <c r="D7304" t="s">
        <v>17964</v>
      </c>
      <c r="E7304" t="s">
        <v>24447</v>
      </c>
      <c r="F7304" t="s">
        <v>30900</v>
      </c>
      <c r="G7304" t="s">
        <v>30907</v>
      </c>
      <c r="H7304" t="s">
        <v>30916</v>
      </c>
      <c r="I7304" t="s">
        <v>4142</v>
      </c>
      <c r="J7304" t="s">
        <v>35693</v>
      </c>
      <c r="K7304" t="s">
        <v>40286</v>
      </c>
      <c r="M7304" t="s">
        <v>43199</v>
      </c>
      <c r="N7304" t="s">
        <v>44759</v>
      </c>
      <c r="O7304" t="s">
        <v>44760</v>
      </c>
      <c r="P7304">
        <v>0</v>
      </c>
      <c r="Q7304">
        <v>1</v>
      </c>
      <c r="R7304" t="s">
        <v>44767</v>
      </c>
      <c r="S7304" t="s">
        <v>44954</v>
      </c>
      <c r="T7304" t="s">
        <v>46453</v>
      </c>
      <c r="U7304" t="s">
        <v>53042</v>
      </c>
      <c r="W7304" t="s">
        <v>43199</v>
      </c>
      <c r="X7304" t="s">
        <v>44768</v>
      </c>
    </row>
    <row r="7305" spans="1:24">
      <c r="A7305">
        <f>HYPERLINK("https://www.philgeps.gov.ph/GEPSNONPILOT/Tender/SplashBidNoticeAbstractUI.aspx?menuIndex=3&amp;refID=7143603&amp;Result=3","7143603")</f>
        <v>0</v>
      </c>
      <c r="B7305" t="s">
        <v>426</v>
      </c>
      <c r="C7305" t="s">
        <v>10692</v>
      </c>
      <c r="D7305" t="s">
        <v>17959</v>
      </c>
      <c r="E7305" t="s">
        <v>24448</v>
      </c>
      <c r="F7305" t="s">
        <v>30900</v>
      </c>
      <c r="G7305" t="s">
        <v>30908</v>
      </c>
      <c r="H7305" t="s">
        <v>30916</v>
      </c>
      <c r="I7305" t="s">
        <v>30929</v>
      </c>
      <c r="J7305" t="s">
        <v>31406</v>
      </c>
      <c r="K7305" t="s">
        <v>40286</v>
      </c>
      <c r="M7305" t="s">
        <v>43220</v>
      </c>
      <c r="N7305" t="s">
        <v>44759</v>
      </c>
      <c r="O7305" t="s">
        <v>44760</v>
      </c>
      <c r="P7305">
        <v>0</v>
      </c>
      <c r="Q7305">
        <v>8</v>
      </c>
      <c r="R7305" t="s">
        <v>44767</v>
      </c>
      <c r="S7305" t="s">
        <v>44954</v>
      </c>
      <c r="T7305" t="s">
        <v>46662</v>
      </c>
      <c r="U7305" t="s">
        <v>53043</v>
      </c>
      <c r="W7305" t="s">
        <v>60890</v>
      </c>
      <c r="X7305" t="s">
        <v>44768</v>
      </c>
    </row>
    <row r="7306" spans="1:24">
      <c r="A7306">
        <f>HYPERLINK("https://www.philgeps.gov.ph/GEPSNONPILOT/Tender/SplashBidNoticeAbstractUI.aspx?menuIndex=3&amp;refID=7143693&amp;Result=3","7143693")</f>
        <v>0</v>
      </c>
      <c r="B7306" t="s">
        <v>2498</v>
      </c>
      <c r="C7306" t="s">
        <v>10693</v>
      </c>
      <c r="D7306" t="s">
        <v>18013</v>
      </c>
      <c r="E7306" t="s">
        <v>24449</v>
      </c>
      <c r="F7306" t="s">
        <v>30900</v>
      </c>
      <c r="G7306" t="s">
        <v>30908</v>
      </c>
      <c r="H7306" t="s">
        <v>30916</v>
      </c>
      <c r="I7306" t="s">
        <v>30922</v>
      </c>
      <c r="J7306" t="s">
        <v>31669</v>
      </c>
      <c r="K7306" t="s">
        <v>40286</v>
      </c>
      <c r="M7306" t="s">
        <v>43240</v>
      </c>
      <c r="N7306" t="s">
        <v>44759</v>
      </c>
      <c r="O7306" t="s">
        <v>44760</v>
      </c>
      <c r="P7306">
        <v>0</v>
      </c>
      <c r="Q7306">
        <v>15</v>
      </c>
      <c r="R7306" t="s">
        <v>44767</v>
      </c>
      <c r="S7306" t="s">
        <v>44954</v>
      </c>
      <c r="T7306" t="s">
        <v>46410</v>
      </c>
      <c r="U7306" t="s">
        <v>53044</v>
      </c>
      <c r="W7306" t="s">
        <v>43240</v>
      </c>
      <c r="X7306" t="s">
        <v>44768</v>
      </c>
    </row>
    <row r="7307" spans="1:24">
      <c r="A7307">
        <f>HYPERLINK("https://www.philgeps.gov.ph/GEPSNONPILOT/Tender/SplashBidNoticeAbstractUI.aspx?menuIndex=3&amp;refID=7143683&amp;Result=3","7143683")</f>
        <v>0</v>
      </c>
      <c r="B7307" t="s">
        <v>2474</v>
      </c>
      <c r="C7307" t="s">
        <v>10694</v>
      </c>
      <c r="D7307" t="s">
        <v>17959</v>
      </c>
      <c r="E7307" t="s">
        <v>24450</v>
      </c>
      <c r="F7307" t="s">
        <v>30900</v>
      </c>
      <c r="G7307" t="s">
        <v>30907</v>
      </c>
      <c r="H7307" t="s">
        <v>30916</v>
      </c>
      <c r="I7307" t="s">
        <v>4108</v>
      </c>
      <c r="J7307" t="s">
        <v>31897</v>
      </c>
      <c r="K7307" t="s">
        <v>40292</v>
      </c>
      <c r="M7307" t="s">
        <v>43212</v>
      </c>
      <c r="N7307" t="s">
        <v>44759</v>
      </c>
      <c r="O7307" t="s">
        <v>44760</v>
      </c>
      <c r="P7307">
        <v>0</v>
      </c>
      <c r="Q7307">
        <v>1</v>
      </c>
      <c r="R7307" t="s">
        <v>44767</v>
      </c>
      <c r="S7307" t="s">
        <v>44954</v>
      </c>
      <c r="T7307" t="s">
        <v>46441</v>
      </c>
      <c r="U7307" t="s">
        <v>52983</v>
      </c>
      <c r="W7307" t="s">
        <v>43212</v>
      </c>
      <c r="X7307" t="s">
        <v>44768</v>
      </c>
    </row>
    <row r="7308" spans="1:24">
      <c r="A7308">
        <f>HYPERLINK("https://www.philgeps.gov.ph/GEPSNONPILOT/Tender/SplashBidNoticeAbstractUI.aspx?menuIndex=3&amp;refID=7143688&amp;Result=3","7143688")</f>
        <v>0</v>
      </c>
      <c r="B7308" t="s">
        <v>1308</v>
      </c>
      <c r="C7308" t="s">
        <v>10695</v>
      </c>
      <c r="E7308" t="s">
        <v>18608</v>
      </c>
      <c r="F7308" t="s">
        <v>30900</v>
      </c>
      <c r="G7308" t="s">
        <v>30908</v>
      </c>
      <c r="H7308" t="s">
        <v>30916</v>
      </c>
      <c r="I7308" t="s">
        <v>30947</v>
      </c>
      <c r="J7308" t="s">
        <v>35694</v>
      </c>
      <c r="K7308" t="s">
        <v>40289</v>
      </c>
      <c r="M7308" t="s">
        <v>41926</v>
      </c>
      <c r="N7308" t="s">
        <v>44759</v>
      </c>
      <c r="O7308" t="s">
        <v>44760</v>
      </c>
      <c r="P7308">
        <v>0</v>
      </c>
      <c r="Q7308">
        <v>2</v>
      </c>
      <c r="R7308" t="s">
        <v>44767</v>
      </c>
      <c r="S7308" t="s">
        <v>44954</v>
      </c>
      <c r="T7308" t="s">
        <v>46374</v>
      </c>
      <c r="U7308" t="s">
        <v>53045</v>
      </c>
      <c r="W7308" t="s">
        <v>41926</v>
      </c>
      <c r="X7308" t="s">
        <v>44768</v>
      </c>
    </row>
    <row r="7309" spans="1:24">
      <c r="A7309">
        <f>HYPERLINK("https://www.philgeps.gov.ph/GEPSNONPILOT/Tender/SplashBidNoticeAbstractUI.aspx?menuIndex=3&amp;refID=7143668&amp;Result=3","7143668")</f>
        <v>0</v>
      </c>
      <c r="B7309" t="s">
        <v>2373</v>
      </c>
      <c r="C7309" t="s">
        <v>10696</v>
      </c>
      <c r="D7309" t="s">
        <v>17966</v>
      </c>
      <c r="E7309" t="s">
        <v>24451</v>
      </c>
      <c r="F7309" t="s">
        <v>30900</v>
      </c>
      <c r="G7309" t="s">
        <v>30907</v>
      </c>
      <c r="H7309" t="s">
        <v>30916</v>
      </c>
      <c r="I7309" t="s">
        <v>8123</v>
      </c>
      <c r="J7309" t="s">
        <v>35695</v>
      </c>
      <c r="K7309" t="s">
        <v>40283</v>
      </c>
      <c r="M7309" t="s">
        <v>43178</v>
      </c>
      <c r="N7309" t="s">
        <v>44759</v>
      </c>
      <c r="O7309" t="s">
        <v>44760</v>
      </c>
      <c r="P7309">
        <v>0</v>
      </c>
      <c r="Q7309">
        <v>1</v>
      </c>
      <c r="R7309" t="s">
        <v>44767</v>
      </c>
      <c r="S7309" t="s">
        <v>44954</v>
      </c>
      <c r="T7309" t="s">
        <v>46357</v>
      </c>
      <c r="U7309" t="s">
        <v>47755</v>
      </c>
      <c r="W7309" t="s">
        <v>43178</v>
      </c>
      <c r="X7309" t="s">
        <v>44768</v>
      </c>
    </row>
    <row r="7310" spans="1:24">
      <c r="A7310">
        <f>HYPERLINK("https://www.philgeps.gov.ph/GEPSNONPILOT/Tender/SplashBidNoticeAbstractUI.aspx?menuIndex=3&amp;refID=7143660&amp;Result=3","7143660")</f>
        <v>0</v>
      </c>
      <c r="B7310" t="s">
        <v>2175</v>
      </c>
      <c r="C7310" t="s">
        <v>10697</v>
      </c>
      <c r="E7310" t="s">
        <v>24452</v>
      </c>
      <c r="F7310" t="s">
        <v>30900</v>
      </c>
      <c r="G7310" t="s">
        <v>30910</v>
      </c>
      <c r="H7310" t="s">
        <v>30916</v>
      </c>
      <c r="I7310" t="s">
        <v>30923</v>
      </c>
      <c r="J7310" t="s">
        <v>35696</v>
      </c>
      <c r="K7310" t="s">
        <v>40289</v>
      </c>
      <c r="M7310" t="s">
        <v>42880</v>
      </c>
      <c r="N7310" t="s">
        <v>44759</v>
      </c>
      <c r="O7310" t="s">
        <v>44760</v>
      </c>
      <c r="P7310">
        <v>0</v>
      </c>
      <c r="Q7310">
        <v>10</v>
      </c>
      <c r="R7310" t="s">
        <v>44767</v>
      </c>
      <c r="S7310" t="s">
        <v>44954</v>
      </c>
      <c r="T7310" t="s">
        <v>46658</v>
      </c>
      <c r="U7310" t="s">
        <v>53046</v>
      </c>
      <c r="W7310" t="s">
        <v>42880</v>
      </c>
      <c r="X7310" t="s">
        <v>44768</v>
      </c>
    </row>
    <row r="7311" spans="1:24">
      <c r="A7311">
        <f>HYPERLINK("https://www.philgeps.gov.ph/GEPSNONPILOT/Tender/SplashBidNoticeAbstractUI.aspx?menuIndex=3&amp;refID=7143696&amp;Result=3","7143696")</f>
        <v>0</v>
      </c>
      <c r="B7311" t="s">
        <v>2481</v>
      </c>
      <c r="C7311" t="s">
        <v>10698</v>
      </c>
      <c r="D7311" t="s">
        <v>18029</v>
      </c>
      <c r="E7311" t="s">
        <v>24453</v>
      </c>
      <c r="F7311" t="s">
        <v>30900</v>
      </c>
      <c r="G7311" t="s">
        <v>30907</v>
      </c>
      <c r="H7311" t="s">
        <v>30915</v>
      </c>
      <c r="I7311" t="s">
        <v>30919</v>
      </c>
      <c r="J7311" t="s">
        <v>35697</v>
      </c>
      <c r="K7311" t="s">
        <v>40292</v>
      </c>
      <c r="M7311" t="s">
        <v>43222</v>
      </c>
      <c r="N7311" t="s">
        <v>44759</v>
      </c>
      <c r="O7311" t="s">
        <v>44760</v>
      </c>
      <c r="P7311">
        <v>0</v>
      </c>
      <c r="Q7311">
        <v>0</v>
      </c>
      <c r="R7311" t="s">
        <v>44767</v>
      </c>
      <c r="S7311" t="s">
        <v>44954</v>
      </c>
      <c r="T7311" t="s">
        <v>46495</v>
      </c>
      <c r="U7311" t="s">
        <v>53047</v>
      </c>
      <c r="V7311" t="s">
        <v>59892</v>
      </c>
      <c r="W7311" t="s">
        <v>43222</v>
      </c>
      <c r="X7311" t="s">
        <v>44768</v>
      </c>
    </row>
    <row r="7312" spans="1:24">
      <c r="A7312">
        <f>HYPERLINK("https://www.philgeps.gov.ph/GEPSNONPILOT/Tender/SplashBidNoticeAbstractUI.aspx?menuIndex=3&amp;refID=7143655&amp;Result=3","7143655")</f>
        <v>0</v>
      </c>
      <c r="B7312" t="s">
        <v>461</v>
      </c>
      <c r="C7312" t="s">
        <v>10699</v>
      </c>
      <c r="D7312" t="s">
        <v>17977</v>
      </c>
      <c r="E7312" t="s">
        <v>24454</v>
      </c>
      <c r="F7312" t="s">
        <v>30900</v>
      </c>
      <c r="G7312" t="s">
        <v>30907</v>
      </c>
      <c r="H7312" t="s">
        <v>30915</v>
      </c>
      <c r="I7312" t="s">
        <v>30919</v>
      </c>
      <c r="J7312" t="s">
        <v>31172</v>
      </c>
      <c r="K7312" t="s">
        <v>40335</v>
      </c>
      <c r="M7312" t="s">
        <v>43241</v>
      </c>
      <c r="N7312" t="s">
        <v>44759</v>
      </c>
      <c r="O7312" t="s">
        <v>44760</v>
      </c>
      <c r="P7312">
        <v>0</v>
      </c>
      <c r="Q7312">
        <v>0</v>
      </c>
      <c r="R7312" t="s">
        <v>44767</v>
      </c>
      <c r="S7312" t="s">
        <v>44954</v>
      </c>
      <c r="T7312" t="s">
        <v>46354</v>
      </c>
      <c r="U7312" t="s">
        <v>53048</v>
      </c>
      <c r="V7312" t="s">
        <v>59898</v>
      </c>
      <c r="W7312" t="s">
        <v>60891</v>
      </c>
      <c r="X7312" t="s">
        <v>44768</v>
      </c>
    </row>
    <row r="7313" spans="1:24">
      <c r="A7313">
        <f>HYPERLINK("https://www.philgeps.gov.ph/GEPSNONPILOT/Tender/SplashBidNoticeAbstractUI.aspx?menuIndex=3&amp;refID=7143685&amp;Result=3","7143685")</f>
        <v>0</v>
      </c>
      <c r="B7313" t="s">
        <v>81</v>
      </c>
      <c r="C7313" t="s">
        <v>10700</v>
      </c>
      <c r="D7313" t="s">
        <v>17959</v>
      </c>
      <c r="E7313" t="s">
        <v>24455</v>
      </c>
      <c r="F7313" t="s">
        <v>30900</v>
      </c>
      <c r="G7313" t="s">
        <v>30908</v>
      </c>
      <c r="H7313" t="s">
        <v>30916</v>
      </c>
      <c r="I7313" t="s">
        <v>4108</v>
      </c>
      <c r="J7313" t="s">
        <v>33431</v>
      </c>
      <c r="K7313" t="s">
        <v>40289</v>
      </c>
      <c r="M7313" t="s">
        <v>40628</v>
      </c>
      <c r="N7313" t="s">
        <v>44759</v>
      </c>
      <c r="O7313" t="s">
        <v>44760</v>
      </c>
      <c r="P7313">
        <v>0</v>
      </c>
      <c r="Q7313">
        <v>2</v>
      </c>
      <c r="R7313" t="s">
        <v>44767</v>
      </c>
      <c r="S7313" t="s">
        <v>44954</v>
      </c>
      <c r="T7313" t="s">
        <v>46403</v>
      </c>
      <c r="U7313" t="s">
        <v>53049</v>
      </c>
      <c r="W7313" t="s">
        <v>40628</v>
      </c>
      <c r="X7313" t="s">
        <v>44768</v>
      </c>
    </row>
    <row r="7314" spans="1:24">
      <c r="A7314">
        <f>HYPERLINK("https://www.philgeps.gov.ph/GEPSNONPILOT/Tender/SplashBidNoticeAbstractUI.aspx?menuIndex=3&amp;refID=7143645&amp;Result=3","7143645")</f>
        <v>0</v>
      </c>
      <c r="B7314" t="s">
        <v>2499</v>
      </c>
      <c r="C7314" t="s">
        <v>10701</v>
      </c>
      <c r="D7314" t="s">
        <v>17959</v>
      </c>
      <c r="E7314" t="s">
        <v>24456</v>
      </c>
      <c r="F7314" t="s">
        <v>30900</v>
      </c>
      <c r="G7314" t="s">
        <v>30908</v>
      </c>
      <c r="H7314" t="s">
        <v>30916</v>
      </c>
      <c r="I7314" t="s">
        <v>30929</v>
      </c>
      <c r="J7314" t="s">
        <v>35698</v>
      </c>
      <c r="K7314" t="s">
        <v>40289</v>
      </c>
      <c r="M7314" t="s">
        <v>43242</v>
      </c>
      <c r="N7314" t="s">
        <v>44759</v>
      </c>
      <c r="O7314" t="s">
        <v>44760</v>
      </c>
      <c r="P7314">
        <v>0</v>
      </c>
      <c r="Q7314">
        <v>3</v>
      </c>
      <c r="R7314" t="s">
        <v>44767</v>
      </c>
      <c r="S7314" t="s">
        <v>44954</v>
      </c>
      <c r="T7314" t="s">
        <v>46591</v>
      </c>
      <c r="U7314" t="s">
        <v>53050</v>
      </c>
      <c r="W7314" t="s">
        <v>43242</v>
      </c>
      <c r="X7314" t="s">
        <v>44768</v>
      </c>
    </row>
    <row r="7315" spans="1:24">
      <c r="A7315">
        <f>HYPERLINK("https://www.philgeps.gov.ph/GEPSNONPILOT/Tender/SplashBidNoticeAbstractUI.aspx?menuIndex=3&amp;refID=7143680&amp;Result=3","7143680")</f>
        <v>0</v>
      </c>
      <c r="B7315" t="s">
        <v>2438</v>
      </c>
      <c r="C7315" t="s">
        <v>10702</v>
      </c>
      <c r="D7315" t="s">
        <v>17951</v>
      </c>
      <c r="E7315" t="s">
        <v>24457</v>
      </c>
      <c r="F7315" t="s">
        <v>30900</v>
      </c>
      <c r="G7315" t="s">
        <v>30907</v>
      </c>
      <c r="H7315" t="s">
        <v>30916</v>
      </c>
      <c r="I7315" t="s">
        <v>4017</v>
      </c>
      <c r="J7315" t="s">
        <v>35699</v>
      </c>
      <c r="K7315" t="s">
        <v>40286</v>
      </c>
      <c r="M7315" t="s">
        <v>43169</v>
      </c>
      <c r="N7315" t="s">
        <v>44759</v>
      </c>
      <c r="O7315" t="s">
        <v>44760</v>
      </c>
      <c r="P7315">
        <v>0</v>
      </c>
      <c r="Q7315">
        <v>3</v>
      </c>
      <c r="R7315" t="s">
        <v>44767</v>
      </c>
      <c r="S7315" t="s">
        <v>44954</v>
      </c>
      <c r="T7315" t="s">
        <v>46774</v>
      </c>
      <c r="U7315" t="s">
        <v>53051</v>
      </c>
      <c r="W7315" t="s">
        <v>43169</v>
      </c>
      <c r="X7315" t="s">
        <v>44768</v>
      </c>
    </row>
    <row r="7316" spans="1:24">
      <c r="A7316">
        <f>HYPERLINK("https://www.philgeps.gov.ph/GEPSNONPILOT/Tender/SplashBidNoticeAbstractUI.aspx?menuIndex=3&amp;refID=7143672&amp;Result=3","7143672")</f>
        <v>0</v>
      </c>
      <c r="B7316" t="s">
        <v>2500</v>
      </c>
      <c r="C7316" t="s">
        <v>10703</v>
      </c>
      <c r="D7316" t="s">
        <v>17994</v>
      </c>
      <c r="E7316" t="s">
        <v>24458</v>
      </c>
      <c r="F7316" t="s">
        <v>30900</v>
      </c>
      <c r="G7316" t="s">
        <v>30907</v>
      </c>
      <c r="H7316" t="s">
        <v>30916</v>
      </c>
      <c r="I7316" t="s">
        <v>30939</v>
      </c>
      <c r="J7316" t="s">
        <v>31243</v>
      </c>
      <c r="K7316" t="s">
        <v>40280</v>
      </c>
      <c r="M7316" t="s">
        <v>43243</v>
      </c>
      <c r="N7316" t="s">
        <v>44759</v>
      </c>
      <c r="O7316" t="s">
        <v>44760</v>
      </c>
      <c r="P7316">
        <v>0</v>
      </c>
      <c r="Q7316">
        <v>0</v>
      </c>
      <c r="R7316" t="s">
        <v>44767</v>
      </c>
      <c r="S7316" t="s">
        <v>44954</v>
      </c>
      <c r="T7316" t="s">
        <v>46421</v>
      </c>
      <c r="U7316" t="s">
        <v>53052</v>
      </c>
      <c r="W7316" t="s">
        <v>60892</v>
      </c>
      <c r="X7316" t="s">
        <v>44768</v>
      </c>
    </row>
    <row r="7317" spans="1:24">
      <c r="A7317">
        <f>HYPERLINK("https://www.philgeps.gov.ph/GEPSNONPILOT/Tender/SplashBidNoticeAbstractUI.aspx?menuIndex=3&amp;refID=7143738&amp;Result=3","7143738")</f>
        <v>0</v>
      </c>
      <c r="B7317" t="s">
        <v>2501</v>
      </c>
      <c r="C7317" t="s">
        <v>10704</v>
      </c>
      <c r="D7317" t="s">
        <v>17995</v>
      </c>
      <c r="E7317" t="s">
        <v>24459</v>
      </c>
      <c r="F7317" t="s">
        <v>30900</v>
      </c>
      <c r="G7317" t="s">
        <v>30907</v>
      </c>
      <c r="H7317" t="s">
        <v>30916</v>
      </c>
      <c r="I7317" t="s">
        <v>8123</v>
      </c>
      <c r="J7317" t="s">
        <v>35700</v>
      </c>
      <c r="K7317" t="s">
        <v>40283</v>
      </c>
      <c r="M7317" t="s">
        <v>43244</v>
      </c>
      <c r="N7317" t="s">
        <v>44759</v>
      </c>
      <c r="O7317" t="s">
        <v>44760</v>
      </c>
      <c r="P7317">
        <v>0</v>
      </c>
      <c r="Q7317">
        <v>0</v>
      </c>
      <c r="R7317" t="s">
        <v>44767</v>
      </c>
      <c r="S7317" t="s">
        <v>44954</v>
      </c>
      <c r="T7317" t="s">
        <v>46595</v>
      </c>
      <c r="U7317" t="s">
        <v>53053</v>
      </c>
      <c r="W7317" t="s">
        <v>43244</v>
      </c>
      <c r="X7317" t="s">
        <v>44768</v>
      </c>
    </row>
    <row r="7318" spans="1:24">
      <c r="A7318">
        <f>HYPERLINK("https://www.philgeps.gov.ph/GEPSNONPILOT/Tender/SplashBidNoticeAbstractUI.aspx?menuIndex=3&amp;refID=7143734&amp;Result=3","7143734")</f>
        <v>0</v>
      </c>
      <c r="B7318" t="s">
        <v>1955</v>
      </c>
      <c r="C7318" t="s">
        <v>10705</v>
      </c>
      <c r="D7318" t="s">
        <v>18020</v>
      </c>
      <c r="E7318" t="s">
        <v>24460</v>
      </c>
      <c r="F7318" t="s">
        <v>30900</v>
      </c>
      <c r="G7318" t="s">
        <v>30908</v>
      </c>
      <c r="H7318" t="s">
        <v>30916</v>
      </c>
      <c r="I7318" t="s">
        <v>8123</v>
      </c>
      <c r="J7318" t="s">
        <v>35701</v>
      </c>
      <c r="K7318" t="s">
        <v>40287</v>
      </c>
      <c r="M7318" t="s">
        <v>42639</v>
      </c>
      <c r="N7318" t="s">
        <v>44759</v>
      </c>
      <c r="O7318" t="s">
        <v>44760</v>
      </c>
      <c r="P7318">
        <v>0</v>
      </c>
      <c r="Q7318">
        <v>5</v>
      </c>
      <c r="R7318" t="s">
        <v>44767</v>
      </c>
      <c r="S7318" t="s">
        <v>44954</v>
      </c>
      <c r="T7318" t="s">
        <v>46548</v>
      </c>
      <c r="U7318" t="s">
        <v>53054</v>
      </c>
      <c r="W7318" t="s">
        <v>42639</v>
      </c>
      <c r="X7318" t="s">
        <v>44768</v>
      </c>
    </row>
    <row r="7319" spans="1:24">
      <c r="A7319">
        <f>HYPERLINK("https://www.philgeps.gov.ph/GEPSNONPILOT/Tender/SplashBidNoticeAbstractUI.aspx?menuIndex=3&amp;refID=7143663&amp;Result=3","7143663")</f>
        <v>0</v>
      </c>
      <c r="B7319" t="s">
        <v>2227</v>
      </c>
      <c r="C7319" t="s">
        <v>10706</v>
      </c>
      <c r="D7319" t="s">
        <v>18016</v>
      </c>
      <c r="E7319" t="s">
        <v>24461</v>
      </c>
      <c r="F7319" t="s">
        <v>30900</v>
      </c>
      <c r="G7319" t="s">
        <v>30907</v>
      </c>
      <c r="H7319" t="s">
        <v>30916</v>
      </c>
      <c r="I7319" t="s">
        <v>5501</v>
      </c>
      <c r="J7319" t="s">
        <v>35702</v>
      </c>
      <c r="K7319" t="s">
        <v>40289</v>
      </c>
      <c r="M7319" t="s">
        <v>43235</v>
      </c>
      <c r="N7319" t="s">
        <v>44759</v>
      </c>
      <c r="O7319" t="s">
        <v>44760</v>
      </c>
      <c r="P7319">
        <v>0</v>
      </c>
      <c r="Q7319">
        <v>3</v>
      </c>
      <c r="R7319" t="s">
        <v>44767</v>
      </c>
      <c r="S7319" t="s">
        <v>44954</v>
      </c>
      <c r="T7319" t="s">
        <v>46363</v>
      </c>
      <c r="U7319" t="s">
        <v>53055</v>
      </c>
      <c r="W7319" t="s">
        <v>43235</v>
      </c>
      <c r="X7319" t="s">
        <v>44768</v>
      </c>
    </row>
    <row r="7320" spans="1:24">
      <c r="A7320">
        <f>HYPERLINK("https://www.philgeps.gov.ph/GEPSNONPILOT/Tender/SplashBidNoticeAbstractUI.aspx?menuIndex=3&amp;refID=7143732&amp;Result=3","7143732")</f>
        <v>0</v>
      </c>
      <c r="B7320" t="s">
        <v>1538</v>
      </c>
      <c r="C7320" t="s">
        <v>10707</v>
      </c>
      <c r="D7320" t="s">
        <v>17954</v>
      </c>
      <c r="E7320" t="s">
        <v>24462</v>
      </c>
      <c r="F7320" t="s">
        <v>30900</v>
      </c>
      <c r="G7320" t="s">
        <v>30908</v>
      </c>
      <c r="H7320" t="s">
        <v>30916</v>
      </c>
      <c r="I7320" t="s">
        <v>4545</v>
      </c>
      <c r="J7320" t="s">
        <v>31048</v>
      </c>
      <c r="K7320" t="s">
        <v>40284</v>
      </c>
      <c r="M7320" t="s">
        <v>42181</v>
      </c>
      <c r="N7320" t="s">
        <v>44759</v>
      </c>
      <c r="O7320" t="s">
        <v>44760</v>
      </c>
      <c r="P7320">
        <v>0</v>
      </c>
      <c r="Q7320">
        <v>2</v>
      </c>
      <c r="R7320" t="s">
        <v>44767</v>
      </c>
      <c r="S7320" t="s">
        <v>44954</v>
      </c>
      <c r="T7320" t="s">
        <v>46662</v>
      </c>
      <c r="U7320" t="s">
        <v>53056</v>
      </c>
      <c r="V7320" t="s">
        <v>59899</v>
      </c>
      <c r="W7320" t="s">
        <v>42181</v>
      </c>
      <c r="X7320" t="s">
        <v>44768</v>
      </c>
    </row>
    <row r="7321" spans="1:24">
      <c r="A7321">
        <f>HYPERLINK("https://www.philgeps.gov.ph/GEPSNONPILOT/Tender/SplashBidNoticeAbstractUI.aspx?menuIndex=3&amp;refID=7143728&amp;Result=3","7143728")</f>
        <v>0</v>
      </c>
      <c r="B7321" t="s">
        <v>1944</v>
      </c>
      <c r="C7321" t="s">
        <v>10708</v>
      </c>
      <c r="E7321" t="s">
        <v>24463</v>
      </c>
      <c r="F7321" t="s">
        <v>30900</v>
      </c>
      <c r="G7321" t="s">
        <v>30907</v>
      </c>
      <c r="H7321" t="s">
        <v>30916</v>
      </c>
      <c r="I7321" t="s">
        <v>30919</v>
      </c>
      <c r="J7321" t="s">
        <v>35272</v>
      </c>
      <c r="K7321" t="s">
        <v>40286</v>
      </c>
      <c r="M7321" t="s">
        <v>42626</v>
      </c>
      <c r="N7321" t="s">
        <v>44759</v>
      </c>
      <c r="O7321" t="s">
        <v>44760</v>
      </c>
      <c r="P7321">
        <v>0</v>
      </c>
      <c r="Q7321">
        <v>0</v>
      </c>
      <c r="R7321" t="s">
        <v>44767</v>
      </c>
      <c r="S7321" t="s">
        <v>44954</v>
      </c>
      <c r="T7321" t="s">
        <v>46421</v>
      </c>
      <c r="U7321" t="s">
        <v>51419</v>
      </c>
      <c r="W7321" t="s">
        <v>42626</v>
      </c>
      <c r="X7321" t="s">
        <v>44768</v>
      </c>
    </row>
    <row r="7322" spans="1:24">
      <c r="A7322">
        <f>HYPERLINK("https://www.philgeps.gov.ph/GEPSNONPILOT/Tender/SplashBidNoticeAbstractUI.aspx?menuIndex=3&amp;refID=7143649&amp;Result=3","7143649")</f>
        <v>0</v>
      </c>
      <c r="B7322" t="s">
        <v>322</v>
      </c>
      <c r="C7322" t="s">
        <v>10709</v>
      </c>
      <c r="D7322" t="s">
        <v>17959</v>
      </c>
      <c r="E7322" t="s">
        <v>24464</v>
      </c>
      <c r="F7322" t="s">
        <v>30900</v>
      </c>
      <c r="G7322" t="s">
        <v>30907</v>
      </c>
      <c r="H7322" t="s">
        <v>30916</v>
      </c>
      <c r="I7322" t="s">
        <v>5501</v>
      </c>
      <c r="J7322" t="s">
        <v>35703</v>
      </c>
      <c r="K7322" t="s">
        <v>40284</v>
      </c>
      <c r="M7322" t="s">
        <v>43245</v>
      </c>
      <c r="N7322" t="s">
        <v>44759</v>
      </c>
      <c r="O7322" t="s">
        <v>44760</v>
      </c>
      <c r="P7322">
        <v>0</v>
      </c>
      <c r="Q7322">
        <v>12</v>
      </c>
      <c r="R7322" t="s">
        <v>44767</v>
      </c>
      <c r="S7322" t="s">
        <v>44954</v>
      </c>
      <c r="T7322" t="s">
        <v>46703</v>
      </c>
      <c r="U7322" t="s">
        <v>53057</v>
      </c>
      <c r="W7322" t="s">
        <v>43245</v>
      </c>
      <c r="X7322" t="s">
        <v>44768</v>
      </c>
    </row>
    <row r="7323" spans="1:24">
      <c r="A7323">
        <f>HYPERLINK("https://www.philgeps.gov.ph/GEPSNONPILOT/Tender/SplashBidNoticeAbstractUI.aspx?menuIndex=3&amp;refID=7143720&amp;Result=3","7143720")</f>
        <v>0</v>
      </c>
      <c r="B7323" t="s">
        <v>2502</v>
      </c>
      <c r="C7323" t="s">
        <v>10710</v>
      </c>
      <c r="D7323" t="s">
        <v>17966</v>
      </c>
      <c r="E7323" t="s">
        <v>24465</v>
      </c>
      <c r="F7323" t="s">
        <v>30900</v>
      </c>
      <c r="G7323" t="s">
        <v>30907</v>
      </c>
      <c r="H7323" t="s">
        <v>30916</v>
      </c>
      <c r="I7323" t="s">
        <v>8123</v>
      </c>
      <c r="J7323" t="s">
        <v>31066</v>
      </c>
      <c r="K7323" t="s">
        <v>40280</v>
      </c>
      <c r="M7323" t="s">
        <v>43246</v>
      </c>
      <c r="N7323" t="s">
        <v>44759</v>
      </c>
      <c r="O7323" t="s">
        <v>44760</v>
      </c>
      <c r="P7323">
        <v>0</v>
      </c>
      <c r="Q7323">
        <v>0</v>
      </c>
      <c r="R7323" t="s">
        <v>44767</v>
      </c>
      <c r="S7323" t="s">
        <v>44954</v>
      </c>
      <c r="T7323" t="s">
        <v>46428</v>
      </c>
      <c r="U7323" t="s">
        <v>53058</v>
      </c>
      <c r="W7323" t="s">
        <v>43246</v>
      </c>
      <c r="X7323" t="s">
        <v>44768</v>
      </c>
    </row>
    <row r="7324" spans="1:24">
      <c r="A7324">
        <f>HYPERLINK("https://www.philgeps.gov.ph/GEPSNONPILOT/Tender/SplashBidNoticeAbstractUI.aspx?menuIndex=3&amp;refID=7143682&amp;Result=3","7143682")</f>
        <v>0</v>
      </c>
      <c r="B7324" t="s">
        <v>2503</v>
      </c>
      <c r="C7324" t="s">
        <v>10711</v>
      </c>
      <c r="D7324" t="s">
        <v>17965</v>
      </c>
      <c r="E7324" t="s">
        <v>24466</v>
      </c>
      <c r="F7324" t="s">
        <v>30900</v>
      </c>
      <c r="G7324" t="s">
        <v>30907</v>
      </c>
      <c r="H7324" t="s">
        <v>30916</v>
      </c>
      <c r="I7324" t="s">
        <v>4142</v>
      </c>
      <c r="J7324" t="s">
        <v>35704</v>
      </c>
      <c r="K7324" t="s">
        <v>40314</v>
      </c>
      <c r="L7324" t="s">
        <v>2503</v>
      </c>
      <c r="M7324" t="s">
        <v>43247</v>
      </c>
      <c r="N7324" t="s">
        <v>44759</v>
      </c>
      <c r="O7324" t="s">
        <v>44760</v>
      </c>
      <c r="P7324">
        <v>0</v>
      </c>
      <c r="Q7324">
        <v>3</v>
      </c>
      <c r="R7324" t="s">
        <v>44767</v>
      </c>
      <c r="S7324" t="s">
        <v>44954</v>
      </c>
      <c r="T7324" t="s">
        <v>46495</v>
      </c>
      <c r="U7324" t="s">
        <v>53059</v>
      </c>
      <c r="V7324" t="s">
        <v>59900</v>
      </c>
      <c r="W7324" t="s">
        <v>43247</v>
      </c>
      <c r="X7324" t="s">
        <v>44768</v>
      </c>
    </row>
    <row r="7325" spans="1:24">
      <c r="A7325">
        <f>HYPERLINK("https://www.philgeps.gov.ph/GEPSNONPILOT/Tender/SplashBidNoticeAbstractUI.aspx?menuIndex=3&amp;refID=7143736&amp;Result=3","7143736")</f>
        <v>0</v>
      </c>
      <c r="B7325" t="s">
        <v>2474</v>
      </c>
      <c r="C7325" t="s">
        <v>10712</v>
      </c>
      <c r="D7325" t="s">
        <v>17959</v>
      </c>
      <c r="E7325" t="s">
        <v>24467</v>
      </c>
      <c r="F7325" t="s">
        <v>30900</v>
      </c>
      <c r="G7325" t="s">
        <v>30907</v>
      </c>
      <c r="H7325" t="s">
        <v>30916</v>
      </c>
      <c r="I7325" t="s">
        <v>30923</v>
      </c>
      <c r="J7325" t="s">
        <v>35705</v>
      </c>
      <c r="K7325" t="s">
        <v>40292</v>
      </c>
      <c r="M7325" t="s">
        <v>43212</v>
      </c>
      <c r="N7325" t="s">
        <v>44759</v>
      </c>
      <c r="O7325" t="s">
        <v>44760</v>
      </c>
      <c r="P7325">
        <v>0</v>
      </c>
      <c r="Q7325">
        <v>16</v>
      </c>
      <c r="R7325" t="s">
        <v>44767</v>
      </c>
      <c r="S7325" t="s">
        <v>44954</v>
      </c>
      <c r="T7325" t="s">
        <v>46441</v>
      </c>
      <c r="U7325" t="s">
        <v>52983</v>
      </c>
      <c r="W7325" t="s">
        <v>43212</v>
      </c>
      <c r="X7325" t="s">
        <v>44768</v>
      </c>
    </row>
    <row r="7326" spans="1:24">
      <c r="A7326">
        <f>HYPERLINK("https://www.philgeps.gov.ph/GEPSNONPILOT/Tender/SplashBidNoticeAbstractUI.aspx?menuIndex=3&amp;refID=7143719&amp;Result=3","7143719")</f>
        <v>0</v>
      </c>
      <c r="B7326" t="s">
        <v>2474</v>
      </c>
      <c r="C7326" t="s">
        <v>10713</v>
      </c>
      <c r="D7326" t="s">
        <v>17959</v>
      </c>
      <c r="E7326" t="s">
        <v>21308</v>
      </c>
      <c r="F7326" t="s">
        <v>30900</v>
      </c>
      <c r="G7326" t="s">
        <v>30907</v>
      </c>
      <c r="H7326" t="s">
        <v>30916</v>
      </c>
      <c r="I7326" t="s">
        <v>5501</v>
      </c>
      <c r="J7326" t="s">
        <v>35706</v>
      </c>
      <c r="K7326" t="s">
        <v>40292</v>
      </c>
      <c r="M7326" t="s">
        <v>43212</v>
      </c>
      <c r="N7326" t="s">
        <v>44759</v>
      </c>
      <c r="O7326" t="s">
        <v>44760</v>
      </c>
      <c r="P7326">
        <v>0</v>
      </c>
      <c r="Q7326">
        <v>12</v>
      </c>
      <c r="R7326" t="s">
        <v>44767</v>
      </c>
      <c r="S7326" t="s">
        <v>44954</v>
      </c>
      <c r="T7326" t="s">
        <v>46441</v>
      </c>
      <c r="U7326" t="s">
        <v>52983</v>
      </c>
      <c r="W7326" t="s">
        <v>43212</v>
      </c>
      <c r="X7326" t="s">
        <v>44768</v>
      </c>
    </row>
    <row r="7327" spans="1:24">
      <c r="A7327">
        <f>HYPERLINK("https://www.philgeps.gov.ph/GEPSNONPILOT/Tender/SplashBidNoticeAbstractUI.aspx?menuIndex=3&amp;refID=7143716&amp;Result=3","7143716")</f>
        <v>0</v>
      </c>
      <c r="B7327" t="s">
        <v>267</v>
      </c>
      <c r="C7327" t="s">
        <v>10714</v>
      </c>
      <c r="D7327" t="s">
        <v>17959</v>
      </c>
      <c r="E7327" t="s">
        <v>24468</v>
      </c>
      <c r="F7327" t="s">
        <v>30900</v>
      </c>
      <c r="G7327" t="s">
        <v>30907</v>
      </c>
      <c r="H7327" t="s">
        <v>30916</v>
      </c>
      <c r="I7327" t="s">
        <v>8123</v>
      </c>
      <c r="J7327" t="s">
        <v>35707</v>
      </c>
      <c r="K7327" t="s">
        <v>40286</v>
      </c>
      <c r="M7327" t="s">
        <v>41338</v>
      </c>
      <c r="N7327" t="s">
        <v>44759</v>
      </c>
      <c r="O7327" t="s">
        <v>44760</v>
      </c>
      <c r="P7327">
        <v>0</v>
      </c>
      <c r="Q7327">
        <v>1</v>
      </c>
      <c r="R7327" t="s">
        <v>44767</v>
      </c>
      <c r="S7327" t="s">
        <v>44954</v>
      </c>
      <c r="T7327" t="s">
        <v>46455</v>
      </c>
      <c r="U7327" t="s">
        <v>53060</v>
      </c>
      <c r="W7327" t="s">
        <v>41338</v>
      </c>
      <c r="X7327" t="s">
        <v>44768</v>
      </c>
    </row>
    <row r="7328" spans="1:24">
      <c r="A7328">
        <f>HYPERLINK("https://www.philgeps.gov.ph/GEPSNONPILOT/Tender/SplashBidNoticeAbstractUI.aspx?menuIndex=3&amp;refID=7143715&amp;Result=3","7143715")</f>
        <v>0</v>
      </c>
      <c r="B7328" t="s">
        <v>2331</v>
      </c>
      <c r="C7328" t="s">
        <v>10715</v>
      </c>
      <c r="D7328" t="s">
        <v>17959</v>
      </c>
      <c r="E7328" t="s">
        <v>24469</v>
      </c>
      <c r="F7328" t="s">
        <v>30900</v>
      </c>
      <c r="G7328" t="s">
        <v>30907</v>
      </c>
      <c r="H7328" t="s">
        <v>30917</v>
      </c>
      <c r="I7328" t="s">
        <v>30931</v>
      </c>
      <c r="J7328" t="s">
        <v>35708</v>
      </c>
      <c r="K7328" t="s">
        <v>40332</v>
      </c>
      <c r="M7328" t="s">
        <v>43248</v>
      </c>
      <c r="N7328" t="s">
        <v>44759</v>
      </c>
      <c r="O7328" t="s">
        <v>44760</v>
      </c>
      <c r="P7328">
        <v>0</v>
      </c>
      <c r="Q7328">
        <v>1</v>
      </c>
      <c r="R7328" t="s">
        <v>44767</v>
      </c>
      <c r="S7328" t="s">
        <v>44954</v>
      </c>
      <c r="T7328" t="s">
        <v>46689</v>
      </c>
      <c r="U7328" t="s">
        <v>53061</v>
      </c>
      <c r="W7328" t="s">
        <v>43248</v>
      </c>
      <c r="X7328" t="s">
        <v>44768</v>
      </c>
    </row>
    <row r="7329" spans="1:24">
      <c r="A7329">
        <f>HYPERLINK("https://www.philgeps.gov.ph/GEPSNONPILOT/Tender/SplashBidNoticeAbstractUI.aspx?menuIndex=3&amp;refID=7143711&amp;Result=3","7143711")</f>
        <v>0</v>
      </c>
      <c r="B7329" t="s">
        <v>2500</v>
      </c>
      <c r="C7329" t="s">
        <v>10716</v>
      </c>
      <c r="D7329" t="s">
        <v>17994</v>
      </c>
      <c r="E7329" t="s">
        <v>24470</v>
      </c>
      <c r="F7329" t="s">
        <v>30900</v>
      </c>
      <c r="G7329" t="s">
        <v>30907</v>
      </c>
      <c r="H7329" t="s">
        <v>30916</v>
      </c>
      <c r="I7329" t="s">
        <v>30939</v>
      </c>
      <c r="J7329" t="s">
        <v>35709</v>
      </c>
      <c r="K7329" t="s">
        <v>40280</v>
      </c>
      <c r="M7329" t="s">
        <v>43243</v>
      </c>
      <c r="N7329" t="s">
        <v>44759</v>
      </c>
      <c r="O7329" t="s">
        <v>44760</v>
      </c>
      <c r="P7329">
        <v>0</v>
      </c>
      <c r="Q7329">
        <v>0</v>
      </c>
      <c r="R7329" t="s">
        <v>44767</v>
      </c>
      <c r="S7329" t="s">
        <v>44954</v>
      </c>
      <c r="T7329" t="s">
        <v>46421</v>
      </c>
      <c r="U7329" t="s">
        <v>53062</v>
      </c>
      <c r="W7329" t="s">
        <v>60892</v>
      </c>
      <c r="X7329" t="s">
        <v>44768</v>
      </c>
    </row>
    <row r="7330" spans="1:24">
      <c r="A7330">
        <f>HYPERLINK("https://www.philgeps.gov.ph/GEPSNONPILOT/Tender/SplashBidNoticeAbstractUI.aspx?menuIndex=3&amp;refID=7143729&amp;Result=3","7143729")</f>
        <v>0</v>
      </c>
      <c r="B7330" t="s">
        <v>2504</v>
      </c>
      <c r="C7330" t="s">
        <v>10717</v>
      </c>
      <c r="D7330" t="s">
        <v>17973</v>
      </c>
      <c r="E7330" t="s">
        <v>24471</v>
      </c>
      <c r="F7330" t="s">
        <v>30900</v>
      </c>
      <c r="G7330" t="s">
        <v>30907</v>
      </c>
      <c r="H7330" t="s">
        <v>30915</v>
      </c>
      <c r="I7330" t="s">
        <v>30919</v>
      </c>
      <c r="J7330" t="s">
        <v>35710</v>
      </c>
      <c r="K7330" t="s">
        <v>40291</v>
      </c>
      <c r="M7330" t="s">
        <v>43249</v>
      </c>
      <c r="N7330" t="s">
        <v>44759</v>
      </c>
      <c r="O7330" t="s">
        <v>44760</v>
      </c>
      <c r="P7330">
        <v>0</v>
      </c>
      <c r="Q7330">
        <v>0</v>
      </c>
      <c r="R7330" t="s">
        <v>44767</v>
      </c>
      <c r="S7330" t="s">
        <v>44954</v>
      </c>
      <c r="T7330" t="s">
        <v>46406</v>
      </c>
      <c r="U7330" t="s">
        <v>53063</v>
      </c>
      <c r="W7330" t="s">
        <v>43249</v>
      </c>
      <c r="X7330" t="s">
        <v>44768</v>
      </c>
    </row>
    <row r="7331" spans="1:24">
      <c r="A7331">
        <f>HYPERLINK("https://www.philgeps.gov.ph/GEPSNONPILOT/Tender/SplashBidNoticeAbstractUI.aspx?menuIndex=3&amp;refID=7143714&amp;Result=3","7143714")</f>
        <v>0</v>
      </c>
      <c r="B7331" t="s">
        <v>227</v>
      </c>
      <c r="C7331" t="s">
        <v>10718</v>
      </c>
      <c r="D7331" t="s">
        <v>18012</v>
      </c>
      <c r="E7331" t="s">
        <v>24472</v>
      </c>
      <c r="F7331" t="s">
        <v>30900</v>
      </c>
      <c r="G7331" t="s">
        <v>30908</v>
      </c>
      <c r="H7331" t="s">
        <v>30916</v>
      </c>
      <c r="I7331" t="s">
        <v>30942</v>
      </c>
      <c r="J7331" t="s">
        <v>35711</v>
      </c>
      <c r="K7331" t="s">
        <v>40283</v>
      </c>
      <c r="M7331" t="s">
        <v>43216</v>
      </c>
      <c r="N7331" t="s">
        <v>44759</v>
      </c>
      <c r="O7331" t="s">
        <v>44760</v>
      </c>
      <c r="P7331">
        <v>0</v>
      </c>
      <c r="Q7331">
        <v>0</v>
      </c>
      <c r="R7331" t="s">
        <v>44767</v>
      </c>
      <c r="S7331" t="s">
        <v>44954</v>
      </c>
      <c r="T7331" t="s">
        <v>46403</v>
      </c>
      <c r="U7331" t="s">
        <v>53064</v>
      </c>
      <c r="V7331" t="s">
        <v>59901</v>
      </c>
      <c r="W7331" t="s">
        <v>43216</v>
      </c>
      <c r="X7331" t="s">
        <v>44768</v>
      </c>
    </row>
    <row r="7332" spans="1:24">
      <c r="A7332">
        <f>HYPERLINK("https://www.philgeps.gov.ph/GEPSNONPILOT/Tender/SplashBidNoticeAbstractUI.aspx?menuIndex=3&amp;refID=7143710&amp;Result=3","7143710")</f>
        <v>0</v>
      </c>
      <c r="B7332" t="s">
        <v>1172</v>
      </c>
      <c r="C7332" t="s">
        <v>10719</v>
      </c>
      <c r="D7332" t="s">
        <v>18035</v>
      </c>
      <c r="E7332" t="s">
        <v>24473</v>
      </c>
      <c r="F7332" t="s">
        <v>30900</v>
      </c>
      <c r="G7332" t="s">
        <v>30907</v>
      </c>
      <c r="H7332" t="s">
        <v>30916</v>
      </c>
      <c r="I7332" t="s">
        <v>30923</v>
      </c>
      <c r="J7332" t="s">
        <v>35712</v>
      </c>
      <c r="K7332" t="s">
        <v>40287</v>
      </c>
      <c r="M7332" t="s">
        <v>42726</v>
      </c>
      <c r="N7332" t="s">
        <v>44759</v>
      </c>
      <c r="O7332" t="s">
        <v>44760</v>
      </c>
      <c r="P7332">
        <v>0</v>
      </c>
      <c r="Q7332">
        <v>12</v>
      </c>
      <c r="R7332" t="s">
        <v>44767</v>
      </c>
      <c r="S7332" t="s">
        <v>44954</v>
      </c>
      <c r="T7332" t="s">
        <v>46350</v>
      </c>
      <c r="U7332" t="s">
        <v>53041</v>
      </c>
      <c r="W7332" t="s">
        <v>42726</v>
      </c>
      <c r="X7332" t="s">
        <v>44768</v>
      </c>
    </row>
    <row r="7333" spans="1:24">
      <c r="A7333">
        <f>HYPERLINK("https://www.philgeps.gov.ph/GEPSNONPILOT/Tender/SplashBidNoticeAbstractUI.aspx?menuIndex=3&amp;refID=7143706&amp;Result=3","7143706")</f>
        <v>0</v>
      </c>
      <c r="B7333" t="s">
        <v>237</v>
      </c>
      <c r="C7333" t="s">
        <v>10720</v>
      </c>
      <c r="D7333" t="s">
        <v>17977</v>
      </c>
      <c r="E7333" t="s">
        <v>24474</v>
      </c>
      <c r="F7333" t="s">
        <v>30900</v>
      </c>
      <c r="G7333" t="s">
        <v>30906</v>
      </c>
      <c r="H7333" t="s">
        <v>30916</v>
      </c>
      <c r="I7333" t="s">
        <v>9385</v>
      </c>
      <c r="J7333" t="s">
        <v>35713</v>
      </c>
      <c r="K7333" t="s">
        <v>40289</v>
      </c>
      <c r="M7333" t="s">
        <v>40784</v>
      </c>
      <c r="N7333" t="s">
        <v>44759</v>
      </c>
      <c r="O7333" t="s">
        <v>44760</v>
      </c>
      <c r="P7333">
        <v>0</v>
      </c>
      <c r="Q7333">
        <v>12</v>
      </c>
      <c r="R7333" t="s">
        <v>44767</v>
      </c>
      <c r="S7333" t="s">
        <v>44954</v>
      </c>
      <c r="T7333" t="s">
        <v>46704</v>
      </c>
      <c r="U7333" t="s">
        <v>53065</v>
      </c>
      <c r="W7333" t="s">
        <v>40784</v>
      </c>
      <c r="X7333" t="s">
        <v>44768</v>
      </c>
    </row>
    <row r="7334" spans="1:24">
      <c r="A7334">
        <f>HYPERLINK("https://www.philgeps.gov.ph/GEPSNONPILOT/Tender/SplashBidNoticeAbstractUI.aspx?menuIndex=3&amp;refID=7143700&amp;Result=3","7143700")</f>
        <v>0</v>
      </c>
      <c r="B7334" t="s">
        <v>207</v>
      </c>
      <c r="C7334" t="s">
        <v>5842</v>
      </c>
      <c r="D7334" t="s">
        <v>17985</v>
      </c>
      <c r="E7334" t="s">
        <v>24475</v>
      </c>
      <c r="F7334" t="s">
        <v>30900</v>
      </c>
      <c r="G7334" t="s">
        <v>30908</v>
      </c>
      <c r="H7334" t="s">
        <v>30916</v>
      </c>
      <c r="I7334" t="s">
        <v>4050</v>
      </c>
      <c r="J7334" t="s">
        <v>35610</v>
      </c>
      <c r="K7334" t="s">
        <v>40287</v>
      </c>
      <c r="M7334" t="s">
        <v>40754</v>
      </c>
      <c r="N7334" t="s">
        <v>44759</v>
      </c>
      <c r="O7334" t="s">
        <v>44760</v>
      </c>
      <c r="P7334">
        <v>0</v>
      </c>
      <c r="Q7334">
        <v>5</v>
      </c>
      <c r="R7334" t="s">
        <v>44767</v>
      </c>
      <c r="S7334" t="s">
        <v>44954</v>
      </c>
      <c r="T7334" t="s">
        <v>46547</v>
      </c>
      <c r="U7334" t="s">
        <v>53066</v>
      </c>
      <c r="V7334" t="s">
        <v>59144</v>
      </c>
      <c r="W7334" t="s">
        <v>40754</v>
      </c>
      <c r="X7334" t="s">
        <v>44768</v>
      </c>
    </row>
    <row r="7335" spans="1:24">
      <c r="A7335">
        <f>HYPERLINK("https://www.philgeps.gov.ph/GEPSNONPILOT/Tender/SplashBidNoticeAbstractUI.aspx?menuIndex=3&amp;refID=7143643&amp;Result=3","7143643")</f>
        <v>0</v>
      </c>
      <c r="B7335" t="s">
        <v>2474</v>
      </c>
      <c r="C7335" t="s">
        <v>10721</v>
      </c>
      <c r="D7335" t="s">
        <v>17959</v>
      </c>
      <c r="E7335" t="s">
        <v>24476</v>
      </c>
      <c r="F7335" t="s">
        <v>30900</v>
      </c>
      <c r="G7335" t="s">
        <v>30907</v>
      </c>
      <c r="H7335" t="s">
        <v>30916</v>
      </c>
      <c r="I7335" t="s">
        <v>10847</v>
      </c>
      <c r="J7335" t="s">
        <v>35714</v>
      </c>
      <c r="K7335" t="s">
        <v>40292</v>
      </c>
      <c r="M7335" t="s">
        <v>43212</v>
      </c>
      <c r="N7335" t="s">
        <v>44759</v>
      </c>
      <c r="O7335" t="s">
        <v>44760</v>
      </c>
      <c r="P7335">
        <v>0</v>
      </c>
      <c r="Q7335">
        <v>0</v>
      </c>
      <c r="R7335" t="s">
        <v>44767</v>
      </c>
      <c r="S7335" t="s">
        <v>44954</v>
      </c>
      <c r="T7335" t="s">
        <v>46441</v>
      </c>
      <c r="U7335" t="s">
        <v>52983</v>
      </c>
      <c r="W7335" t="s">
        <v>43212</v>
      </c>
      <c r="X7335" t="s">
        <v>44768</v>
      </c>
    </row>
    <row r="7336" spans="1:24">
      <c r="A7336">
        <f>HYPERLINK("https://www.philgeps.gov.ph/GEPSNONPILOT/Tender/SplashBidNoticeAbstractUI.aspx?menuIndex=3&amp;refID=7143642&amp;Result=3","7143642")</f>
        <v>0</v>
      </c>
      <c r="B7336" t="s">
        <v>2024</v>
      </c>
      <c r="C7336" t="s">
        <v>10722</v>
      </c>
      <c r="D7336" t="s">
        <v>17973</v>
      </c>
      <c r="E7336" t="s">
        <v>24477</v>
      </c>
      <c r="F7336" t="s">
        <v>30900</v>
      </c>
      <c r="G7336" t="s">
        <v>30907</v>
      </c>
      <c r="H7336" t="s">
        <v>30916</v>
      </c>
      <c r="I7336" t="s">
        <v>30965</v>
      </c>
      <c r="J7336" t="s">
        <v>35715</v>
      </c>
      <c r="K7336" t="s">
        <v>40289</v>
      </c>
      <c r="M7336" t="s">
        <v>42720</v>
      </c>
      <c r="N7336" t="s">
        <v>44759</v>
      </c>
      <c r="O7336" t="s">
        <v>44760</v>
      </c>
      <c r="P7336">
        <v>0</v>
      </c>
      <c r="Q7336">
        <v>9</v>
      </c>
      <c r="R7336" t="s">
        <v>44767</v>
      </c>
      <c r="S7336" t="s">
        <v>44954</v>
      </c>
      <c r="T7336" t="s">
        <v>46606</v>
      </c>
      <c r="U7336" t="s">
        <v>53067</v>
      </c>
      <c r="W7336" t="s">
        <v>42720</v>
      </c>
      <c r="X7336" t="s">
        <v>44768</v>
      </c>
    </row>
    <row r="7337" spans="1:24">
      <c r="A7337">
        <f>HYPERLINK("https://www.philgeps.gov.ph/GEPSNONPILOT/Tender/SplashBidNoticeAbstractUI.aspx?menuIndex=3&amp;refID=7143739&amp;Result=3","7143739")</f>
        <v>0</v>
      </c>
      <c r="B7337" t="s">
        <v>2503</v>
      </c>
      <c r="C7337" t="s">
        <v>10723</v>
      </c>
      <c r="D7337" t="s">
        <v>17965</v>
      </c>
      <c r="E7337" t="s">
        <v>24478</v>
      </c>
      <c r="F7337" t="s">
        <v>30900</v>
      </c>
      <c r="G7337" t="s">
        <v>30907</v>
      </c>
      <c r="H7337" t="s">
        <v>30916</v>
      </c>
      <c r="I7337" t="s">
        <v>6953</v>
      </c>
      <c r="J7337" t="s">
        <v>35716</v>
      </c>
      <c r="K7337" t="s">
        <v>40286</v>
      </c>
      <c r="L7337" t="s">
        <v>2503</v>
      </c>
      <c r="M7337" t="s">
        <v>43247</v>
      </c>
      <c r="N7337" t="s">
        <v>44759</v>
      </c>
      <c r="O7337" t="s">
        <v>44760</v>
      </c>
      <c r="P7337">
        <v>0</v>
      </c>
      <c r="Q7337">
        <v>3</v>
      </c>
      <c r="R7337" t="s">
        <v>44767</v>
      </c>
      <c r="S7337" t="s">
        <v>44954</v>
      </c>
      <c r="T7337" t="s">
        <v>46495</v>
      </c>
      <c r="U7337" t="s">
        <v>53068</v>
      </c>
      <c r="V7337" t="s">
        <v>59902</v>
      </c>
      <c r="W7337" t="s">
        <v>43247</v>
      </c>
      <c r="X7337" t="s">
        <v>44768</v>
      </c>
    </row>
    <row r="7338" spans="1:24">
      <c r="A7338">
        <f>HYPERLINK("https://www.philgeps.gov.ph/GEPSNONPILOT/Tender/SplashBidNoticeAbstractUI.aspx?menuIndex=3&amp;refID=7143762&amp;Result=3","7143762")</f>
        <v>0</v>
      </c>
      <c r="B7338" t="s">
        <v>855</v>
      </c>
      <c r="C7338" t="s">
        <v>10724</v>
      </c>
      <c r="D7338" t="s">
        <v>17975</v>
      </c>
      <c r="E7338" t="s">
        <v>24479</v>
      </c>
      <c r="F7338" t="s">
        <v>30900</v>
      </c>
      <c r="G7338" t="s">
        <v>30907</v>
      </c>
      <c r="H7338" t="s">
        <v>30916</v>
      </c>
      <c r="I7338" t="s">
        <v>4545</v>
      </c>
      <c r="J7338" t="s">
        <v>35717</v>
      </c>
      <c r="K7338" t="s">
        <v>40283</v>
      </c>
      <c r="M7338" t="s">
        <v>41428</v>
      </c>
      <c r="N7338" t="s">
        <v>44759</v>
      </c>
      <c r="O7338" t="s">
        <v>44760</v>
      </c>
      <c r="P7338">
        <v>0</v>
      </c>
      <c r="Q7338">
        <v>9</v>
      </c>
      <c r="R7338" t="s">
        <v>44767</v>
      </c>
      <c r="S7338" t="s">
        <v>44954</v>
      </c>
      <c r="T7338" t="s">
        <v>46428</v>
      </c>
      <c r="U7338" t="s">
        <v>53069</v>
      </c>
      <c r="V7338" t="s">
        <v>59903</v>
      </c>
      <c r="W7338" t="s">
        <v>41428</v>
      </c>
      <c r="X7338" t="s">
        <v>44768</v>
      </c>
    </row>
    <row r="7339" spans="1:24">
      <c r="A7339">
        <f>HYPERLINK("https://www.philgeps.gov.ph/GEPSNONPILOT/Tender/SplashBidNoticeAbstractUI.aspx?menuIndex=3&amp;refID=7143757&amp;Result=3","7143757")</f>
        <v>0</v>
      </c>
      <c r="B7339" t="s">
        <v>1172</v>
      </c>
      <c r="C7339" t="s">
        <v>6899</v>
      </c>
      <c r="D7339" t="s">
        <v>18035</v>
      </c>
      <c r="E7339" t="s">
        <v>24480</v>
      </c>
      <c r="F7339" t="s">
        <v>30900</v>
      </c>
      <c r="G7339" t="s">
        <v>30907</v>
      </c>
      <c r="H7339" t="s">
        <v>30916</v>
      </c>
      <c r="I7339" t="s">
        <v>5501</v>
      </c>
      <c r="J7339" t="s">
        <v>35718</v>
      </c>
      <c r="K7339" t="s">
        <v>40287</v>
      </c>
      <c r="M7339" t="s">
        <v>42726</v>
      </c>
      <c r="N7339" t="s">
        <v>44759</v>
      </c>
      <c r="O7339" t="s">
        <v>44760</v>
      </c>
      <c r="P7339">
        <v>0</v>
      </c>
      <c r="Q7339">
        <v>2</v>
      </c>
      <c r="R7339" t="s">
        <v>44767</v>
      </c>
      <c r="S7339" t="s">
        <v>44954</v>
      </c>
      <c r="T7339" t="s">
        <v>46350</v>
      </c>
      <c r="U7339" t="s">
        <v>53041</v>
      </c>
      <c r="W7339" t="s">
        <v>42726</v>
      </c>
      <c r="X7339" t="s">
        <v>44768</v>
      </c>
    </row>
    <row r="7340" spans="1:24">
      <c r="A7340">
        <f>HYPERLINK("https://www.philgeps.gov.ph/GEPSNONPILOT/Tender/SplashBidNoticeAbstractUI.aspx?menuIndex=3&amp;refID=7143704&amp;Result=3","7143704")</f>
        <v>0</v>
      </c>
      <c r="B7340" t="s">
        <v>2505</v>
      </c>
      <c r="C7340" t="s">
        <v>10725</v>
      </c>
      <c r="D7340" t="s">
        <v>17971</v>
      </c>
      <c r="E7340" t="s">
        <v>24481</v>
      </c>
      <c r="F7340" t="s">
        <v>30900</v>
      </c>
      <c r="G7340" t="s">
        <v>30908</v>
      </c>
      <c r="H7340" t="s">
        <v>30916</v>
      </c>
      <c r="I7340" t="s">
        <v>8123</v>
      </c>
      <c r="J7340" t="s">
        <v>35719</v>
      </c>
      <c r="K7340" t="s">
        <v>40286</v>
      </c>
      <c r="M7340" t="s">
        <v>43250</v>
      </c>
      <c r="N7340" t="s">
        <v>44759</v>
      </c>
      <c r="O7340" t="s">
        <v>44760</v>
      </c>
      <c r="P7340">
        <v>0</v>
      </c>
      <c r="Q7340">
        <v>0</v>
      </c>
      <c r="R7340" t="s">
        <v>44767</v>
      </c>
      <c r="S7340" t="s">
        <v>44954</v>
      </c>
      <c r="T7340" t="s">
        <v>46403</v>
      </c>
      <c r="U7340" t="s">
        <v>53070</v>
      </c>
      <c r="W7340" t="s">
        <v>43250</v>
      </c>
      <c r="X7340" t="s">
        <v>44768</v>
      </c>
    </row>
    <row r="7341" spans="1:24">
      <c r="A7341">
        <f>HYPERLINK("https://www.philgeps.gov.ph/GEPSNONPILOT/Tender/SplashBidNoticeAbstractUI.aspx?menuIndex=3&amp;refID=7143755&amp;Result=3","7143755")</f>
        <v>0</v>
      </c>
      <c r="B7341" t="s">
        <v>2459</v>
      </c>
      <c r="C7341" t="s">
        <v>10726</v>
      </c>
      <c r="D7341" t="s">
        <v>18001</v>
      </c>
      <c r="E7341" t="s">
        <v>18117</v>
      </c>
      <c r="F7341" t="s">
        <v>30900</v>
      </c>
      <c r="G7341" t="s">
        <v>30908</v>
      </c>
      <c r="H7341" t="s">
        <v>30916</v>
      </c>
      <c r="I7341" t="s">
        <v>8123</v>
      </c>
      <c r="J7341" t="s">
        <v>35720</v>
      </c>
      <c r="K7341" t="s">
        <v>40286</v>
      </c>
      <c r="M7341" t="s">
        <v>43196</v>
      </c>
      <c r="N7341" t="s">
        <v>44759</v>
      </c>
      <c r="O7341" t="s">
        <v>44760</v>
      </c>
      <c r="P7341">
        <v>0</v>
      </c>
      <c r="Q7341">
        <v>1</v>
      </c>
      <c r="R7341" t="s">
        <v>44767</v>
      </c>
      <c r="S7341" t="s">
        <v>44954</v>
      </c>
      <c r="T7341" t="s">
        <v>46533</v>
      </c>
      <c r="U7341" t="s">
        <v>53071</v>
      </c>
      <c r="V7341" t="s">
        <v>59884</v>
      </c>
      <c r="W7341" t="s">
        <v>43196</v>
      </c>
      <c r="X7341" t="s">
        <v>44768</v>
      </c>
    </row>
    <row r="7342" spans="1:24">
      <c r="A7342">
        <f>HYPERLINK("https://www.philgeps.gov.ph/GEPSNONPILOT/Tender/SplashBidNoticeAbstractUI.aspx?menuIndex=3&amp;refID=7143753&amp;Result=3","7143753")</f>
        <v>0</v>
      </c>
      <c r="B7342" t="s">
        <v>1400</v>
      </c>
      <c r="C7342" t="s">
        <v>10727</v>
      </c>
      <c r="D7342" t="s">
        <v>17954</v>
      </c>
      <c r="E7342" t="s">
        <v>24482</v>
      </c>
      <c r="F7342" t="s">
        <v>30900</v>
      </c>
      <c r="G7342" t="s">
        <v>30907</v>
      </c>
      <c r="H7342" t="s">
        <v>30916</v>
      </c>
      <c r="I7342" t="s">
        <v>8123</v>
      </c>
      <c r="J7342" t="s">
        <v>31066</v>
      </c>
      <c r="K7342" t="s">
        <v>40280</v>
      </c>
      <c r="M7342" t="s">
        <v>42026</v>
      </c>
      <c r="N7342" t="s">
        <v>44759</v>
      </c>
      <c r="O7342" t="s">
        <v>44760</v>
      </c>
      <c r="P7342">
        <v>0</v>
      </c>
      <c r="Q7342">
        <v>0</v>
      </c>
      <c r="R7342" t="s">
        <v>44767</v>
      </c>
      <c r="S7342" t="s">
        <v>44954</v>
      </c>
      <c r="T7342" t="s">
        <v>46540</v>
      </c>
      <c r="U7342" t="s">
        <v>53072</v>
      </c>
      <c r="W7342" t="s">
        <v>42026</v>
      </c>
      <c r="X7342" t="s">
        <v>44768</v>
      </c>
    </row>
    <row r="7343" spans="1:24">
      <c r="A7343">
        <f>HYPERLINK("https://www.philgeps.gov.ph/GEPSNONPILOT/Tender/SplashBidNoticeAbstractUI.aspx?menuIndex=3&amp;refID=7143699&amp;Result=3","7143699")</f>
        <v>0</v>
      </c>
      <c r="B7343" t="s">
        <v>2506</v>
      </c>
      <c r="C7343" t="s">
        <v>10728</v>
      </c>
      <c r="D7343" t="s">
        <v>18005</v>
      </c>
      <c r="E7343" t="s">
        <v>24483</v>
      </c>
      <c r="F7343" t="s">
        <v>30900</v>
      </c>
      <c r="G7343" t="s">
        <v>30907</v>
      </c>
      <c r="H7343" t="s">
        <v>7411</v>
      </c>
      <c r="I7343" t="s">
        <v>7411</v>
      </c>
      <c r="J7343" t="s">
        <v>35721</v>
      </c>
      <c r="K7343" t="s">
        <v>40319</v>
      </c>
      <c r="M7343" t="s">
        <v>43251</v>
      </c>
      <c r="N7343" t="s">
        <v>44759</v>
      </c>
      <c r="O7343" t="s">
        <v>44760</v>
      </c>
      <c r="Q7343">
        <v>6</v>
      </c>
      <c r="R7343" t="s">
        <v>44767</v>
      </c>
      <c r="S7343" t="s">
        <v>44964</v>
      </c>
      <c r="T7343" t="s">
        <v>46775</v>
      </c>
      <c r="U7343" t="s">
        <v>53073</v>
      </c>
      <c r="W7343" t="s">
        <v>43251</v>
      </c>
      <c r="X7343" t="s">
        <v>44768</v>
      </c>
    </row>
    <row r="7344" spans="1:24">
      <c r="A7344">
        <f>HYPERLINK("https://www.philgeps.gov.ph/GEPSNONPILOT/Tender/SplashBidNoticeAbstractUI.aspx?menuIndex=3&amp;refID=7143750&amp;Result=3","7143750")</f>
        <v>0</v>
      </c>
      <c r="B7344" t="s">
        <v>2474</v>
      </c>
      <c r="C7344" t="s">
        <v>10729</v>
      </c>
      <c r="D7344" t="s">
        <v>17959</v>
      </c>
      <c r="E7344" t="s">
        <v>24484</v>
      </c>
      <c r="F7344" t="s">
        <v>30900</v>
      </c>
      <c r="G7344" t="s">
        <v>30907</v>
      </c>
      <c r="H7344" t="s">
        <v>30916</v>
      </c>
      <c r="I7344" t="s">
        <v>4108</v>
      </c>
      <c r="J7344" t="s">
        <v>33379</v>
      </c>
      <c r="K7344" t="s">
        <v>40292</v>
      </c>
      <c r="M7344" t="s">
        <v>43212</v>
      </c>
      <c r="N7344" t="s">
        <v>44759</v>
      </c>
      <c r="O7344" t="s">
        <v>44760</v>
      </c>
      <c r="P7344">
        <v>0</v>
      </c>
      <c r="Q7344">
        <v>2</v>
      </c>
      <c r="R7344" t="s">
        <v>44767</v>
      </c>
      <c r="S7344" t="s">
        <v>44954</v>
      </c>
      <c r="T7344" t="s">
        <v>46441</v>
      </c>
      <c r="U7344" t="s">
        <v>52983</v>
      </c>
      <c r="W7344" t="s">
        <v>43212</v>
      </c>
      <c r="X7344" t="s">
        <v>44768</v>
      </c>
    </row>
    <row r="7345" spans="1:24">
      <c r="A7345">
        <f>HYPERLINK("https://www.philgeps.gov.ph/GEPSNONPILOT/Tender/SplashBidNoticeAbstractUI.aspx?menuIndex=3&amp;refID=7143749&amp;Result=3","7143749")</f>
        <v>0</v>
      </c>
      <c r="B7345" t="s">
        <v>2489</v>
      </c>
      <c r="C7345" t="s">
        <v>10730</v>
      </c>
      <c r="D7345" t="s">
        <v>17988</v>
      </c>
      <c r="E7345" t="s">
        <v>24485</v>
      </c>
      <c r="F7345" t="s">
        <v>30900</v>
      </c>
      <c r="G7345" t="s">
        <v>30907</v>
      </c>
      <c r="H7345" t="s">
        <v>30915</v>
      </c>
      <c r="I7345" t="s">
        <v>30919</v>
      </c>
      <c r="J7345" t="s">
        <v>35722</v>
      </c>
      <c r="K7345" t="s">
        <v>40283</v>
      </c>
      <c r="M7345" t="s">
        <v>43230</v>
      </c>
      <c r="N7345" t="s">
        <v>44759</v>
      </c>
      <c r="O7345" t="s">
        <v>44760</v>
      </c>
      <c r="P7345">
        <v>0</v>
      </c>
      <c r="Q7345">
        <v>0</v>
      </c>
      <c r="R7345" t="s">
        <v>44767</v>
      </c>
      <c r="S7345" t="s">
        <v>44954</v>
      </c>
      <c r="T7345" t="s">
        <v>46450</v>
      </c>
      <c r="U7345" t="s">
        <v>53074</v>
      </c>
      <c r="W7345" t="s">
        <v>43230</v>
      </c>
      <c r="X7345" t="s">
        <v>44768</v>
      </c>
    </row>
    <row r="7346" spans="1:24">
      <c r="A7346">
        <f>HYPERLINK("https://www.philgeps.gov.ph/GEPSNONPILOT/Tender/SplashBidNoticeAbstractUI.aspx?menuIndex=3&amp;refID=7143782&amp;Result=3","7143782")</f>
        <v>0</v>
      </c>
      <c r="B7346" t="s">
        <v>2227</v>
      </c>
      <c r="C7346" t="s">
        <v>10731</v>
      </c>
      <c r="D7346" t="s">
        <v>18016</v>
      </c>
      <c r="E7346" t="s">
        <v>24486</v>
      </c>
      <c r="F7346" t="s">
        <v>30900</v>
      </c>
      <c r="G7346" t="s">
        <v>30907</v>
      </c>
      <c r="H7346" t="s">
        <v>30916</v>
      </c>
      <c r="I7346" t="s">
        <v>30924</v>
      </c>
      <c r="J7346" t="s">
        <v>31413</v>
      </c>
      <c r="K7346" t="s">
        <v>40289</v>
      </c>
      <c r="M7346" t="s">
        <v>43235</v>
      </c>
      <c r="N7346" t="s">
        <v>44759</v>
      </c>
      <c r="O7346" t="s">
        <v>44760</v>
      </c>
      <c r="P7346">
        <v>0</v>
      </c>
      <c r="Q7346">
        <v>4</v>
      </c>
      <c r="R7346" t="s">
        <v>44767</v>
      </c>
      <c r="S7346" t="s">
        <v>44954</v>
      </c>
      <c r="T7346" t="s">
        <v>46363</v>
      </c>
      <c r="U7346" t="s">
        <v>53075</v>
      </c>
      <c r="W7346" t="s">
        <v>43235</v>
      </c>
      <c r="X7346" t="s">
        <v>44768</v>
      </c>
    </row>
    <row r="7347" spans="1:24">
      <c r="A7347">
        <f>HYPERLINK("https://www.philgeps.gov.ph/GEPSNONPILOT/Tender/SplashBidNoticeAbstractUI.aspx?menuIndex=3&amp;refID=7143761&amp;Result=3","7143761")</f>
        <v>0</v>
      </c>
      <c r="B7347" t="s">
        <v>2507</v>
      </c>
      <c r="C7347" t="s">
        <v>10732</v>
      </c>
      <c r="E7347" t="s">
        <v>24487</v>
      </c>
      <c r="F7347" t="s">
        <v>30900</v>
      </c>
      <c r="G7347" t="s">
        <v>30911</v>
      </c>
      <c r="H7347" t="s">
        <v>7411</v>
      </c>
      <c r="I7347" t="s">
        <v>7411</v>
      </c>
      <c r="J7347" t="s">
        <v>31067</v>
      </c>
      <c r="K7347" t="s">
        <v>40334</v>
      </c>
      <c r="M7347" t="s">
        <v>43252</v>
      </c>
      <c r="N7347" t="s">
        <v>44759</v>
      </c>
      <c r="O7347" t="s">
        <v>44760</v>
      </c>
      <c r="P7347">
        <v>0</v>
      </c>
      <c r="Q7347">
        <v>0</v>
      </c>
      <c r="R7347" t="s">
        <v>44767</v>
      </c>
      <c r="S7347" t="s">
        <v>44954</v>
      </c>
      <c r="T7347" t="s">
        <v>46374</v>
      </c>
      <c r="U7347" t="s">
        <v>53076</v>
      </c>
      <c r="W7347" t="s">
        <v>43252</v>
      </c>
      <c r="X7347" t="s">
        <v>44768</v>
      </c>
    </row>
    <row r="7348" spans="1:24">
      <c r="A7348">
        <f>HYPERLINK("https://www.philgeps.gov.ph/GEPSNONPILOT/Tender/SplashBidNoticeAbstractUI.aspx?menuIndex=3&amp;refID=7143779&amp;Result=3","7143779")</f>
        <v>0</v>
      </c>
      <c r="B7348" t="s">
        <v>157</v>
      </c>
      <c r="C7348" t="s">
        <v>7663</v>
      </c>
      <c r="D7348" t="s">
        <v>17978</v>
      </c>
      <c r="E7348" t="s">
        <v>24488</v>
      </c>
      <c r="F7348" t="s">
        <v>30900</v>
      </c>
      <c r="G7348" t="s">
        <v>30907</v>
      </c>
      <c r="H7348" t="s">
        <v>30916</v>
      </c>
      <c r="I7348" t="s">
        <v>30939</v>
      </c>
      <c r="J7348" t="s">
        <v>35723</v>
      </c>
      <c r="K7348" t="s">
        <v>40366</v>
      </c>
      <c r="M7348" t="s">
        <v>41325</v>
      </c>
      <c r="N7348" t="s">
        <v>44759</v>
      </c>
      <c r="O7348" t="s">
        <v>44760</v>
      </c>
      <c r="P7348">
        <v>0</v>
      </c>
      <c r="Q7348">
        <v>0</v>
      </c>
      <c r="R7348" t="s">
        <v>44767</v>
      </c>
      <c r="S7348" t="s">
        <v>44954</v>
      </c>
      <c r="T7348" t="s">
        <v>46497</v>
      </c>
      <c r="U7348" t="s">
        <v>53077</v>
      </c>
      <c r="W7348" t="s">
        <v>41325</v>
      </c>
      <c r="X7348" t="s">
        <v>44768</v>
      </c>
    </row>
    <row r="7349" spans="1:24">
      <c r="A7349">
        <f>HYPERLINK("https://www.philgeps.gov.ph/GEPSNONPILOT/Tender/SplashBidNoticeAbstractUI.aspx?menuIndex=3&amp;refID=7143775&amp;Result=3","7143775")</f>
        <v>0</v>
      </c>
      <c r="B7349" t="s">
        <v>2500</v>
      </c>
      <c r="C7349" t="s">
        <v>10733</v>
      </c>
      <c r="D7349" t="s">
        <v>17994</v>
      </c>
      <c r="E7349" t="s">
        <v>24489</v>
      </c>
      <c r="F7349" t="s">
        <v>30900</v>
      </c>
      <c r="G7349" t="s">
        <v>30907</v>
      </c>
      <c r="H7349" t="s">
        <v>30916</v>
      </c>
      <c r="I7349" t="s">
        <v>30939</v>
      </c>
      <c r="J7349" t="s">
        <v>35724</v>
      </c>
      <c r="K7349" t="s">
        <v>40280</v>
      </c>
      <c r="M7349" t="s">
        <v>43243</v>
      </c>
      <c r="N7349" t="s">
        <v>44759</v>
      </c>
      <c r="O7349" t="s">
        <v>44760</v>
      </c>
      <c r="P7349">
        <v>0</v>
      </c>
      <c r="Q7349">
        <v>0</v>
      </c>
      <c r="R7349" t="s">
        <v>44767</v>
      </c>
      <c r="S7349" t="s">
        <v>44954</v>
      </c>
      <c r="T7349" t="s">
        <v>46421</v>
      </c>
      <c r="U7349" t="s">
        <v>53078</v>
      </c>
      <c r="W7349" t="s">
        <v>60892</v>
      </c>
      <c r="X7349" t="s">
        <v>44768</v>
      </c>
    </row>
    <row r="7350" spans="1:24">
      <c r="A7350">
        <f>HYPERLINK("https://www.philgeps.gov.ph/GEPSNONPILOT/Tender/SplashBidNoticeAbstractUI.aspx?menuIndex=3&amp;refID=7143772&amp;Result=3","7143772")</f>
        <v>0</v>
      </c>
      <c r="B7350" t="s">
        <v>768</v>
      </c>
      <c r="C7350" t="s">
        <v>10734</v>
      </c>
      <c r="D7350" t="s">
        <v>17979</v>
      </c>
      <c r="E7350" t="s">
        <v>24490</v>
      </c>
      <c r="F7350" t="s">
        <v>30900</v>
      </c>
      <c r="G7350" t="s">
        <v>30908</v>
      </c>
      <c r="H7350" t="s">
        <v>30916</v>
      </c>
      <c r="I7350" t="s">
        <v>4017</v>
      </c>
      <c r="J7350" t="s">
        <v>31243</v>
      </c>
      <c r="K7350" t="s">
        <v>40286</v>
      </c>
      <c r="M7350" t="s">
        <v>41334</v>
      </c>
      <c r="N7350" t="s">
        <v>44759</v>
      </c>
      <c r="O7350" t="s">
        <v>44760</v>
      </c>
      <c r="P7350">
        <v>0</v>
      </c>
      <c r="Q7350">
        <v>12</v>
      </c>
      <c r="R7350" t="s">
        <v>44767</v>
      </c>
      <c r="S7350" t="s">
        <v>44954</v>
      </c>
      <c r="T7350" t="s">
        <v>46704</v>
      </c>
      <c r="U7350" t="s">
        <v>53079</v>
      </c>
      <c r="W7350" t="s">
        <v>41334</v>
      </c>
      <c r="X7350" t="s">
        <v>44768</v>
      </c>
    </row>
    <row r="7351" spans="1:24">
      <c r="A7351">
        <f>HYPERLINK("https://www.philgeps.gov.ph/GEPSNONPILOT/Tender/SplashBidNoticeAbstractUI.aspx?menuIndex=3&amp;refID=7143771&amp;Result=3","7143771")</f>
        <v>0</v>
      </c>
      <c r="B7351" t="s">
        <v>2474</v>
      </c>
      <c r="C7351" t="s">
        <v>10735</v>
      </c>
      <c r="D7351" t="s">
        <v>17959</v>
      </c>
      <c r="E7351" t="s">
        <v>24491</v>
      </c>
      <c r="F7351" t="s">
        <v>30900</v>
      </c>
      <c r="G7351" t="s">
        <v>30907</v>
      </c>
      <c r="H7351" t="s">
        <v>30916</v>
      </c>
      <c r="I7351" t="s">
        <v>6953</v>
      </c>
      <c r="J7351" t="s">
        <v>32125</v>
      </c>
      <c r="K7351" t="s">
        <v>40292</v>
      </c>
      <c r="M7351" t="s">
        <v>43212</v>
      </c>
      <c r="N7351" t="s">
        <v>44759</v>
      </c>
      <c r="O7351" t="s">
        <v>44760</v>
      </c>
      <c r="P7351">
        <v>0</v>
      </c>
      <c r="Q7351">
        <v>0</v>
      </c>
      <c r="R7351" t="s">
        <v>44767</v>
      </c>
      <c r="S7351" t="s">
        <v>44954</v>
      </c>
      <c r="T7351" t="s">
        <v>46441</v>
      </c>
      <c r="U7351" t="s">
        <v>52983</v>
      </c>
      <c r="W7351" t="s">
        <v>43212</v>
      </c>
      <c r="X7351" t="s">
        <v>44768</v>
      </c>
    </row>
    <row r="7352" spans="1:24">
      <c r="A7352">
        <f>HYPERLINK("https://www.philgeps.gov.ph/GEPSNONPILOT/Tender/SplashBidNoticeAbstractUI.aspx?menuIndex=3&amp;refID=7143780&amp;Result=3","7143780")</f>
        <v>0</v>
      </c>
      <c r="B7352" t="s">
        <v>2508</v>
      </c>
      <c r="C7352" t="s">
        <v>10736</v>
      </c>
      <c r="D7352" t="s">
        <v>17999</v>
      </c>
      <c r="E7352" t="s">
        <v>24492</v>
      </c>
      <c r="F7352" t="s">
        <v>30900</v>
      </c>
      <c r="G7352" t="s">
        <v>30907</v>
      </c>
      <c r="H7352" t="s">
        <v>30915</v>
      </c>
      <c r="I7352" t="s">
        <v>30919</v>
      </c>
      <c r="J7352" t="s">
        <v>35725</v>
      </c>
      <c r="K7352" t="s">
        <v>40294</v>
      </c>
      <c r="M7352" t="s">
        <v>43253</v>
      </c>
      <c r="N7352" t="s">
        <v>44759</v>
      </c>
      <c r="O7352" t="s">
        <v>44760</v>
      </c>
      <c r="P7352">
        <v>0</v>
      </c>
      <c r="Q7352">
        <v>0</v>
      </c>
      <c r="R7352" t="s">
        <v>44767</v>
      </c>
      <c r="S7352" t="s">
        <v>44954</v>
      </c>
      <c r="T7352" t="s">
        <v>46357</v>
      </c>
      <c r="U7352" t="s">
        <v>53080</v>
      </c>
      <c r="W7352" t="s">
        <v>43253</v>
      </c>
      <c r="X7352" t="s">
        <v>44768</v>
      </c>
    </row>
    <row r="7353" spans="1:24">
      <c r="A7353">
        <f>HYPERLINK("https://www.philgeps.gov.ph/GEPSNONPILOT/Tender/SplashBidNoticeAbstractUI.aspx?menuIndex=3&amp;refID=7143770&amp;Result=3","7143770")</f>
        <v>0</v>
      </c>
      <c r="B7353" t="s">
        <v>1955</v>
      </c>
      <c r="C7353" t="s">
        <v>10737</v>
      </c>
      <c r="D7353" t="s">
        <v>18004</v>
      </c>
      <c r="E7353" t="s">
        <v>24493</v>
      </c>
      <c r="F7353" t="s">
        <v>30900</v>
      </c>
      <c r="G7353" t="s">
        <v>30908</v>
      </c>
      <c r="H7353" t="s">
        <v>30916</v>
      </c>
      <c r="I7353" t="s">
        <v>8123</v>
      </c>
      <c r="J7353" t="s">
        <v>35726</v>
      </c>
      <c r="K7353" t="s">
        <v>40287</v>
      </c>
      <c r="M7353" t="s">
        <v>42639</v>
      </c>
      <c r="N7353" t="s">
        <v>44759</v>
      </c>
      <c r="O7353" t="s">
        <v>44760</v>
      </c>
      <c r="P7353">
        <v>0</v>
      </c>
      <c r="Q7353">
        <v>1</v>
      </c>
      <c r="R7353" t="s">
        <v>44767</v>
      </c>
      <c r="S7353" t="s">
        <v>44954</v>
      </c>
      <c r="T7353" t="s">
        <v>46548</v>
      </c>
      <c r="U7353" t="s">
        <v>53081</v>
      </c>
      <c r="W7353" t="s">
        <v>42639</v>
      </c>
      <c r="X7353" t="s">
        <v>44768</v>
      </c>
    </row>
    <row r="7354" spans="1:24">
      <c r="A7354">
        <f>HYPERLINK("https://www.philgeps.gov.ph/GEPSNONPILOT/Tender/SplashBidNoticeAbstractUI.aspx?menuIndex=3&amp;refID=7143764&amp;Result=3","7143764")</f>
        <v>0</v>
      </c>
      <c r="B7354" t="s">
        <v>227</v>
      </c>
      <c r="C7354" t="s">
        <v>10738</v>
      </c>
      <c r="D7354" t="s">
        <v>18012</v>
      </c>
      <c r="E7354" t="s">
        <v>24494</v>
      </c>
      <c r="F7354" t="s">
        <v>30900</v>
      </c>
      <c r="G7354" t="s">
        <v>30908</v>
      </c>
      <c r="H7354" t="s">
        <v>30916</v>
      </c>
      <c r="I7354" t="s">
        <v>30942</v>
      </c>
      <c r="J7354" t="s">
        <v>35727</v>
      </c>
      <c r="K7354" t="s">
        <v>40283</v>
      </c>
      <c r="M7354" t="s">
        <v>43216</v>
      </c>
      <c r="N7354" t="s">
        <v>44759</v>
      </c>
      <c r="O7354" t="s">
        <v>44760</v>
      </c>
      <c r="P7354">
        <v>0</v>
      </c>
      <c r="Q7354">
        <v>0</v>
      </c>
      <c r="R7354" t="s">
        <v>44767</v>
      </c>
      <c r="S7354" t="s">
        <v>44954</v>
      </c>
      <c r="T7354" t="s">
        <v>46403</v>
      </c>
      <c r="U7354" t="s">
        <v>53064</v>
      </c>
      <c r="V7354" t="s">
        <v>59904</v>
      </c>
      <c r="W7354" t="s">
        <v>43216</v>
      </c>
      <c r="X7354" t="s">
        <v>44768</v>
      </c>
    </row>
    <row r="7355" spans="1:24">
      <c r="A7355">
        <f>HYPERLINK("https://www.philgeps.gov.ph/GEPSNONPILOT/Tender/SplashBidNoticeAbstractUI.aspx?menuIndex=3&amp;refID=7143773&amp;Result=3","7143773")</f>
        <v>0</v>
      </c>
      <c r="B7355" t="s">
        <v>244</v>
      </c>
      <c r="C7355" t="s">
        <v>10739</v>
      </c>
      <c r="D7355" t="s">
        <v>17958</v>
      </c>
      <c r="E7355" t="s">
        <v>24495</v>
      </c>
      <c r="F7355" t="s">
        <v>30900</v>
      </c>
      <c r="G7355" t="s">
        <v>30908</v>
      </c>
      <c r="H7355" t="s">
        <v>30916</v>
      </c>
      <c r="I7355" t="s">
        <v>4454</v>
      </c>
      <c r="J7355" t="s">
        <v>33288</v>
      </c>
      <c r="K7355" t="s">
        <v>40284</v>
      </c>
      <c r="M7355" t="s">
        <v>40791</v>
      </c>
      <c r="N7355" t="s">
        <v>44759</v>
      </c>
      <c r="O7355" t="s">
        <v>44760</v>
      </c>
      <c r="P7355">
        <v>0</v>
      </c>
      <c r="Q7355">
        <v>0</v>
      </c>
      <c r="R7355" t="s">
        <v>44767</v>
      </c>
      <c r="S7355" t="s">
        <v>44954</v>
      </c>
      <c r="T7355" t="s">
        <v>46357</v>
      </c>
      <c r="U7355" t="s">
        <v>53082</v>
      </c>
      <c r="W7355" t="s">
        <v>40791</v>
      </c>
      <c r="X7355" t="s">
        <v>44768</v>
      </c>
    </row>
    <row r="7356" spans="1:24">
      <c r="A7356">
        <f>HYPERLINK("https://www.philgeps.gov.ph/GEPSNONPILOT/Tender/SplashBidNoticeAbstractUI.aspx?menuIndex=3&amp;refID=7143743&amp;Result=3","7143743")</f>
        <v>0</v>
      </c>
      <c r="B7356" t="s">
        <v>768</v>
      </c>
      <c r="C7356" t="s">
        <v>10740</v>
      </c>
      <c r="D7356" t="s">
        <v>17979</v>
      </c>
      <c r="E7356" t="s">
        <v>24496</v>
      </c>
      <c r="F7356" t="s">
        <v>30900</v>
      </c>
      <c r="G7356" t="s">
        <v>30908</v>
      </c>
      <c r="H7356" t="s">
        <v>30916</v>
      </c>
      <c r="I7356" t="s">
        <v>4108</v>
      </c>
      <c r="J7356" t="s">
        <v>31243</v>
      </c>
      <c r="K7356" t="s">
        <v>40286</v>
      </c>
      <c r="M7356" t="s">
        <v>41334</v>
      </c>
      <c r="N7356" t="s">
        <v>44759</v>
      </c>
      <c r="O7356" t="s">
        <v>44760</v>
      </c>
      <c r="P7356">
        <v>0</v>
      </c>
      <c r="Q7356">
        <v>3</v>
      </c>
      <c r="R7356" t="s">
        <v>44767</v>
      </c>
      <c r="S7356" t="s">
        <v>44954</v>
      </c>
      <c r="T7356" t="s">
        <v>46704</v>
      </c>
      <c r="U7356" t="s">
        <v>53083</v>
      </c>
      <c r="W7356" t="s">
        <v>41334</v>
      </c>
      <c r="X7356" t="s">
        <v>44768</v>
      </c>
    </row>
    <row r="7357" spans="1:24">
      <c r="A7357">
        <f>HYPERLINK("https://www.philgeps.gov.ph/GEPSNONPILOT/Tender/SplashBidNoticeAbstractUI.aspx?menuIndex=3&amp;refID=7143748&amp;Result=3","7143748")</f>
        <v>0</v>
      </c>
      <c r="B7357" t="s">
        <v>842</v>
      </c>
      <c r="C7357" t="s">
        <v>10741</v>
      </c>
      <c r="D7357" t="s">
        <v>17957</v>
      </c>
      <c r="E7357" t="s">
        <v>21173</v>
      </c>
      <c r="F7357" t="s">
        <v>30900</v>
      </c>
      <c r="G7357" t="s">
        <v>30909</v>
      </c>
      <c r="H7357" t="s">
        <v>30915</v>
      </c>
      <c r="I7357" t="s">
        <v>8123</v>
      </c>
      <c r="J7357" t="s">
        <v>32712</v>
      </c>
      <c r="K7357" t="s">
        <v>40286</v>
      </c>
      <c r="M7357" t="s">
        <v>41415</v>
      </c>
      <c r="N7357" t="s">
        <v>44759</v>
      </c>
      <c r="O7357" t="s">
        <v>44760</v>
      </c>
      <c r="P7357">
        <v>0</v>
      </c>
      <c r="Q7357">
        <v>0</v>
      </c>
      <c r="R7357" t="s">
        <v>44767</v>
      </c>
      <c r="S7357" t="s">
        <v>44954</v>
      </c>
      <c r="T7357" t="s">
        <v>46591</v>
      </c>
      <c r="U7357" t="s">
        <v>53084</v>
      </c>
      <c r="W7357" t="s">
        <v>41415</v>
      </c>
      <c r="X7357" t="s">
        <v>44768</v>
      </c>
    </row>
    <row r="7358" spans="1:24">
      <c r="A7358">
        <f>HYPERLINK("https://www.philgeps.gov.ph/GEPSNONPILOT/Tender/SplashBidNoticeAbstractUI.aspx?menuIndex=3&amp;refID=7143742&amp;Result=3","7143742")</f>
        <v>0</v>
      </c>
      <c r="B7358" t="s">
        <v>227</v>
      </c>
      <c r="C7358" t="s">
        <v>10742</v>
      </c>
      <c r="D7358" t="s">
        <v>18012</v>
      </c>
      <c r="E7358" t="s">
        <v>24497</v>
      </c>
      <c r="F7358" t="s">
        <v>30900</v>
      </c>
      <c r="G7358" t="s">
        <v>30908</v>
      </c>
      <c r="H7358" t="s">
        <v>30916</v>
      </c>
      <c r="I7358" t="s">
        <v>30942</v>
      </c>
      <c r="J7358" t="s">
        <v>35728</v>
      </c>
      <c r="K7358" t="s">
        <v>40283</v>
      </c>
      <c r="M7358" t="s">
        <v>43216</v>
      </c>
      <c r="N7358" t="s">
        <v>44759</v>
      </c>
      <c r="O7358" t="s">
        <v>44760</v>
      </c>
      <c r="P7358">
        <v>0</v>
      </c>
      <c r="Q7358">
        <v>0</v>
      </c>
      <c r="R7358" t="s">
        <v>44767</v>
      </c>
      <c r="S7358" t="s">
        <v>44954</v>
      </c>
      <c r="T7358" t="s">
        <v>46403</v>
      </c>
      <c r="U7358" t="s">
        <v>53064</v>
      </c>
      <c r="V7358" t="s">
        <v>59905</v>
      </c>
      <c r="W7358" t="s">
        <v>43216</v>
      </c>
      <c r="X7358" t="s">
        <v>44768</v>
      </c>
    </row>
    <row r="7359" spans="1:24">
      <c r="A7359">
        <f>HYPERLINK("https://www.philgeps.gov.ph/GEPSNONPILOT/Tender/SplashBidNoticeAbstractUI.aspx?menuIndex=3&amp;refID=7143788&amp;Result=3","7143788")</f>
        <v>0</v>
      </c>
      <c r="B7359" t="s">
        <v>788</v>
      </c>
      <c r="C7359" t="s">
        <v>10743</v>
      </c>
      <c r="D7359" t="s">
        <v>17959</v>
      </c>
      <c r="E7359" t="s">
        <v>24498</v>
      </c>
      <c r="F7359" t="s">
        <v>30900</v>
      </c>
      <c r="G7359" t="s">
        <v>30908</v>
      </c>
      <c r="H7359" t="s">
        <v>30916</v>
      </c>
      <c r="I7359" t="s">
        <v>8123</v>
      </c>
      <c r="J7359" t="s">
        <v>35729</v>
      </c>
      <c r="K7359" t="s">
        <v>40289</v>
      </c>
      <c r="M7359" t="s">
        <v>43254</v>
      </c>
      <c r="N7359" t="s">
        <v>44759</v>
      </c>
      <c r="O7359" t="s">
        <v>44760</v>
      </c>
      <c r="P7359">
        <v>0</v>
      </c>
      <c r="Q7359">
        <v>1</v>
      </c>
      <c r="R7359" t="s">
        <v>44767</v>
      </c>
      <c r="S7359" t="s">
        <v>44954</v>
      </c>
      <c r="T7359" t="s">
        <v>46591</v>
      </c>
      <c r="U7359" t="s">
        <v>51858</v>
      </c>
      <c r="W7359" t="s">
        <v>43254</v>
      </c>
      <c r="X7359" t="s">
        <v>44768</v>
      </c>
    </row>
    <row r="7360" spans="1:24">
      <c r="A7360">
        <f>HYPERLINK("https://www.philgeps.gov.ph/GEPSNONPILOT/Tender/SplashBidNoticeAbstractUI.aspx?menuIndex=3&amp;refID=7143787&amp;Result=3","7143787")</f>
        <v>0</v>
      </c>
      <c r="B7360" t="s">
        <v>2467</v>
      </c>
      <c r="C7360" t="s">
        <v>10744</v>
      </c>
      <c r="D7360" t="s">
        <v>17966</v>
      </c>
      <c r="E7360" t="s">
        <v>24499</v>
      </c>
      <c r="F7360" t="s">
        <v>30900</v>
      </c>
      <c r="G7360" t="s">
        <v>30907</v>
      </c>
      <c r="H7360" t="s">
        <v>30916</v>
      </c>
      <c r="I7360" t="s">
        <v>30923</v>
      </c>
      <c r="J7360" t="s">
        <v>35730</v>
      </c>
      <c r="K7360" t="s">
        <v>40286</v>
      </c>
      <c r="M7360" t="s">
        <v>43205</v>
      </c>
      <c r="N7360" t="s">
        <v>44759</v>
      </c>
      <c r="O7360" t="s">
        <v>44760</v>
      </c>
      <c r="P7360">
        <v>0</v>
      </c>
      <c r="Q7360">
        <v>18</v>
      </c>
      <c r="R7360" t="s">
        <v>44767</v>
      </c>
      <c r="S7360" t="s">
        <v>44954</v>
      </c>
      <c r="T7360" t="s">
        <v>46495</v>
      </c>
      <c r="U7360" t="s">
        <v>53085</v>
      </c>
      <c r="W7360" t="s">
        <v>43205</v>
      </c>
      <c r="X7360" t="s">
        <v>44768</v>
      </c>
    </row>
    <row r="7361" spans="1:24">
      <c r="A7361">
        <f>HYPERLINK("https://www.philgeps.gov.ph/GEPSNONPILOT/Tender/SplashBidNoticeAbstractUI.aspx?menuIndex=3&amp;refID=7143816&amp;Result=3","7143816")</f>
        <v>0</v>
      </c>
      <c r="B7361" t="s">
        <v>227</v>
      </c>
      <c r="C7361" t="s">
        <v>10745</v>
      </c>
      <c r="D7361" t="s">
        <v>18012</v>
      </c>
      <c r="E7361" t="s">
        <v>24500</v>
      </c>
      <c r="F7361" t="s">
        <v>30900</v>
      </c>
      <c r="G7361" t="s">
        <v>30908</v>
      </c>
      <c r="H7361" t="s">
        <v>30916</v>
      </c>
      <c r="I7361" t="s">
        <v>8123</v>
      </c>
      <c r="J7361" t="s">
        <v>35731</v>
      </c>
      <c r="K7361" t="s">
        <v>40284</v>
      </c>
      <c r="M7361" t="s">
        <v>43216</v>
      </c>
      <c r="N7361" t="s">
        <v>44759</v>
      </c>
      <c r="O7361" t="s">
        <v>44760</v>
      </c>
      <c r="P7361">
        <v>0</v>
      </c>
      <c r="Q7361">
        <v>1</v>
      </c>
      <c r="R7361" t="s">
        <v>44767</v>
      </c>
      <c r="S7361" t="s">
        <v>44954</v>
      </c>
      <c r="T7361" t="s">
        <v>46403</v>
      </c>
      <c r="U7361" t="s">
        <v>53008</v>
      </c>
      <c r="V7361" t="s">
        <v>59906</v>
      </c>
      <c r="W7361" t="s">
        <v>43216</v>
      </c>
      <c r="X7361" t="s">
        <v>44768</v>
      </c>
    </row>
    <row r="7362" spans="1:24">
      <c r="A7362">
        <f>HYPERLINK("https://www.philgeps.gov.ph/GEPSNONPILOT/Tender/SplashBidNoticeAbstractUI.aspx?menuIndex=3&amp;refID=7143815&amp;Result=3","7143815")</f>
        <v>0</v>
      </c>
      <c r="B7362" t="s">
        <v>44</v>
      </c>
      <c r="C7362" t="s">
        <v>9818</v>
      </c>
      <c r="D7362" t="s">
        <v>17969</v>
      </c>
      <c r="E7362" t="s">
        <v>24501</v>
      </c>
      <c r="F7362" t="s">
        <v>30900</v>
      </c>
      <c r="G7362" t="s">
        <v>30907</v>
      </c>
      <c r="H7362" t="s">
        <v>30915</v>
      </c>
      <c r="I7362" t="s">
        <v>30919</v>
      </c>
      <c r="J7362" t="s">
        <v>35732</v>
      </c>
      <c r="K7362" t="s">
        <v>40416</v>
      </c>
      <c r="M7362" t="s">
        <v>42657</v>
      </c>
      <c r="N7362" t="s">
        <v>44759</v>
      </c>
      <c r="O7362" t="s">
        <v>44760</v>
      </c>
      <c r="P7362">
        <v>0</v>
      </c>
      <c r="Q7362">
        <v>1</v>
      </c>
      <c r="R7362" t="s">
        <v>44767</v>
      </c>
      <c r="S7362" t="s">
        <v>44954</v>
      </c>
      <c r="T7362" t="s">
        <v>46776</v>
      </c>
      <c r="U7362" t="s">
        <v>53086</v>
      </c>
      <c r="W7362" t="s">
        <v>42657</v>
      </c>
      <c r="X7362" t="s">
        <v>44768</v>
      </c>
    </row>
    <row r="7363" spans="1:24">
      <c r="A7363">
        <f>HYPERLINK("https://www.philgeps.gov.ph/GEPSNONPILOT/Tender/SplashBidNoticeAbstractUI.aspx?menuIndex=3&amp;refID=7143807&amp;Result=3","7143807")</f>
        <v>0</v>
      </c>
      <c r="B7363" t="s">
        <v>2509</v>
      </c>
      <c r="C7363" t="s">
        <v>10746</v>
      </c>
      <c r="D7363" t="s">
        <v>18016</v>
      </c>
      <c r="E7363" t="s">
        <v>24502</v>
      </c>
      <c r="F7363" t="s">
        <v>30900</v>
      </c>
      <c r="G7363" t="s">
        <v>30907</v>
      </c>
      <c r="H7363" t="s">
        <v>30915</v>
      </c>
      <c r="I7363" t="s">
        <v>30932</v>
      </c>
      <c r="J7363" t="s">
        <v>35733</v>
      </c>
      <c r="K7363" t="s">
        <v>40322</v>
      </c>
      <c r="M7363" t="s">
        <v>43255</v>
      </c>
      <c r="N7363" t="s">
        <v>44759</v>
      </c>
      <c r="O7363" t="s">
        <v>44760</v>
      </c>
      <c r="P7363">
        <v>0</v>
      </c>
      <c r="Q7363">
        <v>2</v>
      </c>
      <c r="R7363" t="s">
        <v>44767</v>
      </c>
      <c r="S7363" t="s">
        <v>44954</v>
      </c>
      <c r="T7363" t="s">
        <v>46398</v>
      </c>
      <c r="U7363" t="s">
        <v>53087</v>
      </c>
      <c r="W7363" t="s">
        <v>60893</v>
      </c>
      <c r="X7363" t="s">
        <v>44768</v>
      </c>
    </row>
    <row r="7364" spans="1:24">
      <c r="A7364">
        <f>HYPERLINK("https://www.philgeps.gov.ph/GEPSNONPILOT/Tender/SplashBidNoticeAbstractUI.aspx?menuIndex=3&amp;refID=7143804&amp;Result=3","7143804")</f>
        <v>0</v>
      </c>
      <c r="B7364" t="s">
        <v>2299</v>
      </c>
      <c r="C7364" t="s">
        <v>10747</v>
      </c>
      <c r="D7364" t="s">
        <v>17998</v>
      </c>
      <c r="E7364" t="s">
        <v>24503</v>
      </c>
      <c r="F7364" t="s">
        <v>30900</v>
      </c>
      <c r="G7364" t="s">
        <v>30907</v>
      </c>
      <c r="H7364" t="s">
        <v>30916</v>
      </c>
      <c r="I7364" t="s">
        <v>4142</v>
      </c>
      <c r="J7364" t="s">
        <v>35734</v>
      </c>
      <c r="K7364" t="s">
        <v>40287</v>
      </c>
      <c r="M7364" t="s">
        <v>43014</v>
      </c>
      <c r="N7364" t="s">
        <v>44759</v>
      </c>
      <c r="O7364" t="s">
        <v>44760</v>
      </c>
      <c r="P7364">
        <v>0</v>
      </c>
      <c r="Q7364">
        <v>1</v>
      </c>
      <c r="R7364" t="s">
        <v>44767</v>
      </c>
      <c r="S7364" t="s">
        <v>44954</v>
      </c>
      <c r="T7364" t="s">
        <v>46548</v>
      </c>
      <c r="U7364" t="s">
        <v>53088</v>
      </c>
      <c r="W7364" t="s">
        <v>43014</v>
      </c>
      <c r="X7364" t="s">
        <v>44768</v>
      </c>
    </row>
    <row r="7365" spans="1:24">
      <c r="A7365">
        <f>HYPERLINK("https://www.philgeps.gov.ph/GEPSNONPILOT/Tender/SplashBidNoticeAbstractUI.aspx?menuIndex=3&amp;refID=7143786&amp;Result=3","7143786")</f>
        <v>0</v>
      </c>
      <c r="B7365" t="s">
        <v>227</v>
      </c>
      <c r="C7365" t="s">
        <v>10748</v>
      </c>
      <c r="D7365" t="s">
        <v>18012</v>
      </c>
      <c r="E7365" t="s">
        <v>24504</v>
      </c>
      <c r="F7365" t="s">
        <v>30900</v>
      </c>
      <c r="G7365" t="s">
        <v>30908</v>
      </c>
      <c r="H7365" t="s">
        <v>30916</v>
      </c>
      <c r="I7365" t="s">
        <v>30942</v>
      </c>
      <c r="J7365" t="s">
        <v>35727</v>
      </c>
      <c r="K7365" t="s">
        <v>40283</v>
      </c>
      <c r="M7365" t="s">
        <v>43216</v>
      </c>
      <c r="N7365" t="s">
        <v>44759</v>
      </c>
      <c r="O7365" t="s">
        <v>44760</v>
      </c>
      <c r="P7365">
        <v>0</v>
      </c>
      <c r="Q7365">
        <v>0</v>
      </c>
      <c r="R7365" t="s">
        <v>44767</v>
      </c>
      <c r="S7365" t="s">
        <v>44954</v>
      </c>
      <c r="T7365" t="s">
        <v>46403</v>
      </c>
      <c r="U7365" t="s">
        <v>53064</v>
      </c>
      <c r="V7365" t="s">
        <v>59907</v>
      </c>
      <c r="W7365" t="s">
        <v>43216</v>
      </c>
      <c r="X7365" t="s">
        <v>44768</v>
      </c>
    </row>
    <row r="7366" spans="1:24">
      <c r="A7366">
        <f>HYPERLINK("https://www.philgeps.gov.ph/GEPSNONPILOT/Tender/SplashBidNoticeAbstractUI.aspx?menuIndex=3&amp;refID=7143817&amp;Result=3","7143817")</f>
        <v>0</v>
      </c>
      <c r="B7366" t="s">
        <v>2493</v>
      </c>
      <c r="C7366" t="s">
        <v>10749</v>
      </c>
      <c r="D7366" t="s">
        <v>17955</v>
      </c>
      <c r="E7366" t="s">
        <v>24505</v>
      </c>
      <c r="F7366" t="s">
        <v>30900</v>
      </c>
      <c r="G7366" t="s">
        <v>30908</v>
      </c>
      <c r="H7366" t="s">
        <v>30915</v>
      </c>
      <c r="I7366" t="s">
        <v>30957</v>
      </c>
      <c r="J7366" t="s">
        <v>31522</v>
      </c>
      <c r="K7366" t="s">
        <v>40287</v>
      </c>
      <c r="M7366" t="s">
        <v>43234</v>
      </c>
      <c r="N7366" t="s">
        <v>44759</v>
      </c>
      <c r="O7366" t="s">
        <v>44760</v>
      </c>
      <c r="P7366">
        <v>0</v>
      </c>
      <c r="Q7366">
        <v>3</v>
      </c>
      <c r="R7366" t="s">
        <v>44767</v>
      </c>
      <c r="S7366" t="s">
        <v>44954</v>
      </c>
      <c r="T7366" t="s">
        <v>46699</v>
      </c>
      <c r="U7366" t="s">
        <v>53032</v>
      </c>
      <c r="W7366" t="s">
        <v>43234</v>
      </c>
      <c r="X7366" t="s">
        <v>44768</v>
      </c>
    </row>
    <row r="7367" spans="1:24">
      <c r="A7367">
        <f>HYPERLINK("https://www.philgeps.gov.ph/GEPSNONPILOT/Tender/SplashBidNoticeAbstractUI.aspx?menuIndex=3&amp;refID=7143808&amp;Result=3","7143808")</f>
        <v>0</v>
      </c>
      <c r="B7367" t="s">
        <v>1428</v>
      </c>
      <c r="C7367" t="s">
        <v>10750</v>
      </c>
      <c r="D7367" t="s">
        <v>18017</v>
      </c>
      <c r="E7367" t="s">
        <v>24506</v>
      </c>
      <c r="F7367" t="s">
        <v>30900</v>
      </c>
      <c r="G7367" t="s">
        <v>30908</v>
      </c>
      <c r="H7367" t="s">
        <v>30916</v>
      </c>
      <c r="I7367" t="s">
        <v>4545</v>
      </c>
      <c r="J7367" t="s">
        <v>31049</v>
      </c>
      <c r="K7367" t="s">
        <v>40289</v>
      </c>
      <c r="M7367" t="s">
        <v>42059</v>
      </c>
      <c r="N7367" t="s">
        <v>44759</v>
      </c>
      <c r="O7367" t="s">
        <v>44760</v>
      </c>
      <c r="P7367">
        <v>0</v>
      </c>
      <c r="Q7367">
        <v>1</v>
      </c>
      <c r="R7367" t="s">
        <v>44767</v>
      </c>
      <c r="S7367" t="s">
        <v>44954</v>
      </c>
      <c r="T7367" t="s">
        <v>46390</v>
      </c>
      <c r="U7367" t="s">
        <v>53089</v>
      </c>
      <c r="W7367" t="s">
        <v>42059</v>
      </c>
      <c r="X7367" t="s">
        <v>44768</v>
      </c>
    </row>
    <row r="7368" spans="1:24">
      <c r="A7368">
        <f>HYPERLINK("https://www.philgeps.gov.ph/GEPSNONPILOT/Tender/SplashBidNoticeAbstractUI.aspx?menuIndex=3&amp;refID=7143802&amp;Result=3","7143802")</f>
        <v>0</v>
      </c>
      <c r="B7368" t="s">
        <v>227</v>
      </c>
      <c r="C7368" t="s">
        <v>10751</v>
      </c>
      <c r="D7368" t="s">
        <v>18012</v>
      </c>
      <c r="E7368" t="s">
        <v>24507</v>
      </c>
      <c r="F7368" t="s">
        <v>30900</v>
      </c>
      <c r="G7368" t="s">
        <v>30908</v>
      </c>
      <c r="H7368" t="s">
        <v>30916</v>
      </c>
      <c r="I7368" t="s">
        <v>8123</v>
      </c>
      <c r="J7368" t="s">
        <v>35735</v>
      </c>
      <c r="K7368" t="s">
        <v>40284</v>
      </c>
      <c r="M7368" t="s">
        <v>43216</v>
      </c>
      <c r="N7368" t="s">
        <v>44759</v>
      </c>
      <c r="O7368" t="s">
        <v>44760</v>
      </c>
      <c r="P7368">
        <v>0</v>
      </c>
      <c r="Q7368">
        <v>0</v>
      </c>
      <c r="R7368" t="s">
        <v>44767</v>
      </c>
      <c r="S7368" t="s">
        <v>44954</v>
      </c>
      <c r="T7368" t="s">
        <v>46403</v>
      </c>
      <c r="U7368" t="s">
        <v>53008</v>
      </c>
      <c r="V7368" t="s">
        <v>59908</v>
      </c>
      <c r="W7368" t="s">
        <v>43216</v>
      </c>
      <c r="X7368" t="s">
        <v>44768</v>
      </c>
    </row>
    <row r="7369" spans="1:24">
      <c r="A7369">
        <f>HYPERLINK("https://www.philgeps.gov.ph/GEPSNONPILOT/Tender/SplashBidNoticeAbstractUI.aspx?menuIndex=3&amp;refID=7143831&amp;Result=3","7143831")</f>
        <v>0</v>
      </c>
      <c r="B7369" t="s">
        <v>1538</v>
      </c>
      <c r="C7369" t="s">
        <v>10752</v>
      </c>
      <c r="D7369" t="s">
        <v>17954</v>
      </c>
      <c r="E7369" t="s">
        <v>24508</v>
      </c>
      <c r="F7369" t="s">
        <v>30900</v>
      </c>
      <c r="G7369" t="s">
        <v>30908</v>
      </c>
      <c r="H7369" t="s">
        <v>30916</v>
      </c>
      <c r="I7369" t="s">
        <v>4545</v>
      </c>
      <c r="J7369" t="s">
        <v>32332</v>
      </c>
      <c r="K7369" t="s">
        <v>40285</v>
      </c>
      <c r="M7369" t="s">
        <v>42181</v>
      </c>
      <c r="N7369" t="s">
        <v>44759</v>
      </c>
      <c r="O7369" t="s">
        <v>44760</v>
      </c>
      <c r="P7369">
        <v>0</v>
      </c>
      <c r="Q7369">
        <v>1</v>
      </c>
      <c r="R7369" t="s">
        <v>44767</v>
      </c>
      <c r="S7369" t="s">
        <v>44954</v>
      </c>
      <c r="T7369" t="s">
        <v>46662</v>
      </c>
      <c r="U7369" t="s">
        <v>53090</v>
      </c>
      <c r="V7369" t="s">
        <v>59909</v>
      </c>
      <c r="W7369" t="s">
        <v>42181</v>
      </c>
      <c r="X7369" t="s">
        <v>44768</v>
      </c>
    </row>
    <row r="7370" spans="1:24">
      <c r="A7370">
        <f>HYPERLINK("https://www.philgeps.gov.ph/GEPSNONPILOT/Tender/SplashBidNoticeAbstractUI.aspx?menuIndex=3&amp;refID=7143823&amp;Result=3","7143823")</f>
        <v>0</v>
      </c>
      <c r="B7370" t="s">
        <v>1339</v>
      </c>
      <c r="C7370" t="s">
        <v>10753</v>
      </c>
      <c r="D7370" t="s">
        <v>18001</v>
      </c>
      <c r="E7370" t="s">
        <v>24509</v>
      </c>
      <c r="F7370" t="s">
        <v>30900</v>
      </c>
      <c r="G7370" t="s">
        <v>30907</v>
      </c>
      <c r="H7370" t="s">
        <v>30915</v>
      </c>
      <c r="I7370" t="s">
        <v>30919</v>
      </c>
      <c r="J7370" t="s">
        <v>35736</v>
      </c>
      <c r="K7370" t="s">
        <v>40293</v>
      </c>
      <c r="M7370" t="s">
        <v>41960</v>
      </c>
      <c r="N7370" t="s">
        <v>44759</v>
      </c>
      <c r="O7370" t="s">
        <v>44760</v>
      </c>
      <c r="P7370">
        <v>0</v>
      </c>
      <c r="Q7370">
        <v>0</v>
      </c>
      <c r="R7370" t="s">
        <v>44767</v>
      </c>
      <c r="S7370" t="s">
        <v>44954</v>
      </c>
      <c r="T7370" t="s">
        <v>46404</v>
      </c>
      <c r="U7370" t="s">
        <v>53091</v>
      </c>
      <c r="W7370" t="s">
        <v>41960</v>
      </c>
      <c r="X7370" t="s">
        <v>44768</v>
      </c>
    </row>
    <row r="7371" spans="1:24">
      <c r="A7371">
        <f>HYPERLINK("https://www.philgeps.gov.ph/GEPSNONPILOT/Tender/SplashBidNoticeAbstractUI.aspx?menuIndex=3&amp;refID=7143818&amp;Result=3","7143818")</f>
        <v>0</v>
      </c>
      <c r="B7371" t="s">
        <v>1955</v>
      </c>
      <c r="C7371" t="s">
        <v>10754</v>
      </c>
      <c r="D7371" t="s">
        <v>17959</v>
      </c>
      <c r="E7371" t="s">
        <v>24510</v>
      </c>
      <c r="F7371" t="s">
        <v>30900</v>
      </c>
      <c r="G7371" t="s">
        <v>30908</v>
      </c>
      <c r="H7371" t="s">
        <v>30916</v>
      </c>
      <c r="I7371" t="s">
        <v>8123</v>
      </c>
      <c r="J7371" t="s">
        <v>35661</v>
      </c>
      <c r="K7371" t="s">
        <v>40287</v>
      </c>
      <c r="M7371" t="s">
        <v>42639</v>
      </c>
      <c r="N7371" t="s">
        <v>44759</v>
      </c>
      <c r="O7371" t="s">
        <v>44760</v>
      </c>
      <c r="P7371">
        <v>0</v>
      </c>
      <c r="Q7371">
        <v>3</v>
      </c>
      <c r="R7371" t="s">
        <v>44767</v>
      </c>
      <c r="S7371" t="s">
        <v>44954</v>
      </c>
      <c r="T7371" t="s">
        <v>46548</v>
      </c>
      <c r="U7371" t="s">
        <v>53092</v>
      </c>
      <c r="W7371" t="s">
        <v>42639</v>
      </c>
      <c r="X7371" t="s">
        <v>44768</v>
      </c>
    </row>
    <row r="7372" spans="1:24">
      <c r="A7372">
        <f>HYPERLINK("https://www.philgeps.gov.ph/GEPSNONPILOT/Tender/SplashBidNoticeAbstractUI.aspx?menuIndex=3&amp;refID=7143709&amp;Result=3","7143709")</f>
        <v>0</v>
      </c>
      <c r="B7372" t="s">
        <v>2182</v>
      </c>
      <c r="C7372" t="s">
        <v>10755</v>
      </c>
      <c r="D7372" t="s">
        <v>17959</v>
      </c>
      <c r="E7372" t="s">
        <v>24511</v>
      </c>
      <c r="F7372" t="s">
        <v>30900</v>
      </c>
      <c r="G7372" t="s">
        <v>30908</v>
      </c>
      <c r="H7372" t="s">
        <v>30916</v>
      </c>
      <c r="I7372" t="s">
        <v>30923</v>
      </c>
      <c r="J7372" t="s">
        <v>35737</v>
      </c>
      <c r="K7372" t="s">
        <v>40287</v>
      </c>
      <c r="M7372" t="s">
        <v>42889</v>
      </c>
      <c r="N7372" t="s">
        <v>44759</v>
      </c>
      <c r="O7372" t="s">
        <v>44760</v>
      </c>
      <c r="P7372">
        <v>0</v>
      </c>
      <c r="Q7372">
        <v>1</v>
      </c>
      <c r="R7372" t="s">
        <v>44767</v>
      </c>
      <c r="S7372" t="s">
        <v>44954</v>
      </c>
      <c r="T7372" t="s">
        <v>46424</v>
      </c>
      <c r="U7372" t="s">
        <v>53093</v>
      </c>
      <c r="W7372" t="s">
        <v>42889</v>
      </c>
      <c r="X7372" t="s">
        <v>44768</v>
      </c>
    </row>
    <row r="7373" spans="1:24">
      <c r="A7373">
        <f>HYPERLINK("https://www.philgeps.gov.ph/GEPSNONPILOT/Tender/SplashBidNoticeAbstractUI.aspx?menuIndex=3&amp;refID=7143801&amp;Result=3","7143801")</f>
        <v>0</v>
      </c>
      <c r="B7373" t="s">
        <v>2510</v>
      </c>
      <c r="C7373" t="s">
        <v>10756</v>
      </c>
      <c r="D7373" t="s">
        <v>17951</v>
      </c>
      <c r="E7373" t="s">
        <v>18158</v>
      </c>
      <c r="F7373" t="s">
        <v>30900</v>
      </c>
      <c r="G7373" t="s">
        <v>30907</v>
      </c>
      <c r="H7373" t="s">
        <v>30916</v>
      </c>
      <c r="I7373" t="s">
        <v>30960</v>
      </c>
      <c r="J7373" t="s">
        <v>31284</v>
      </c>
      <c r="K7373" t="s">
        <v>40286</v>
      </c>
      <c r="M7373" t="s">
        <v>43256</v>
      </c>
      <c r="N7373" t="s">
        <v>44759</v>
      </c>
      <c r="O7373" t="s">
        <v>44760</v>
      </c>
      <c r="P7373">
        <v>0</v>
      </c>
      <c r="Q7373">
        <v>0</v>
      </c>
      <c r="R7373" t="s">
        <v>44767</v>
      </c>
      <c r="S7373" t="s">
        <v>44954</v>
      </c>
      <c r="T7373" t="s">
        <v>46548</v>
      </c>
      <c r="U7373" t="s">
        <v>53094</v>
      </c>
      <c r="W7373" t="s">
        <v>43256</v>
      </c>
      <c r="X7373" t="s">
        <v>44768</v>
      </c>
    </row>
    <row r="7374" spans="1:24">
      <c r="A7374">
        <f>HYPERLINK("https://www.philgeps.gov.ph/GEPSNONPILOT/Tender/SplashBidNoticeAbstractUI.aspx?menuIndex=3&amp;refID=7143799&amp;Result=3","7143799")</f>
        <v>0</v>
      </c>
      <c r="B7374" t="s">
        <v>2474</v>
      </c>
      <c r="C7374" t="s">
        <v>10757</v>
      </c>
      <c r="D7374" t="s">
        <v>17959</v>
      </c>
      <c r="E7374" t="s">
        <v>21532</v>
      </c>
      <c r="F7374" t="s">
        <v>30900</v>
      </c>
      <c r="G7374" t="s">
        <v>30907</v>
      </c>
      <c r="H7374" t="s">
        <v>30916</v>
      </c>
      <c r="I7374" t="s">
        <v>30947</v>
      </c>
      <c r="J7374" t="s">
        <v>31297</v>
      </c>
      <c r="K7374" t="s">
        <v>40292</v>
      </c>
      <c r="M7374" t="s">
        <v>43212</v>
      </c>
      <c r="N7374" t="s">
        <v>44759</v>
      </c>
      <c r="O7374" t="s">
        <v>44760</v>
      </c>
      <c r="P7374">
        <v>0</v>
      </c>
      <c r="Q7374">
        <v>6</v>
      </c>
      <c r="R7374" t="s">
        <v>44767</v>
      </c>
      <c r="S7374" t="s">
        <v>44954</v>
      </c>
      <c r="T7374" t="s">
        <v>46441</v>
      </c>
      <c r="U7374" t="s">
        <v>52983</v>
      </c>
      <c r="W7374" t="s">
        <v>43212</v>
      </c>
      <c r="X7374" t="s">
        <v>44768</v>
      </c>
    </row>
    <row r="7375" spans="1:24">
      <c r="A7375">
        <f>HYPERLINK("https://www.philgeps.gov.ph/GEPSNONPILOT/Tender/SplashBidNoticeAbstractUI.aspx?menuIndex=3&amp;refID=7143803&amp;Result=3","7143803")</f>
        <v>0</v>
      </c>
      <c r="B7375" t="s">
        <v>2511</v>
      </c>
      <c r="C7375" t="s">
        <v>10758</v>
      </c>
      <c r="D7375" t="s">
        <v>17994</v>
      </c>
      <c r="E7375" t="s">
        <v>24512</v>
      </c>
      <c r="F7375" t="s">
        <v>30900</v>
      </c>
      <c r="G7375" t="s">
        <v>30907</v>
      </c>
      <c r="H7375" t="s">
        <v>30916</v>
      </c>
      <c r="I7375" t="s">
        <v>6834</v>
      </c>
      <c r="J7375" t="s">
        <v>35738</v>
      </c>
      <c r="K7375" t="s">
        <v>40291</v>
      </c>
      <c r="M7375" t="s">
        <v>43257</v>
      </c>
      <c r="N7375" t="s">
        <v>44759</v>
      </c>
      <c r="O7375" t="s">
        <v>44760</v>
      </c>
      <c r="P7375">
        <v>0</v>
      </c>
      <c r="Q7375">
        <v>6</v>
      </c>
      <c r="R7375" t="s">
        <v>44767</v>
      </c>
      <c r="S7375" t="s">
        <v>44954</v>
      </c>
      <c r="T7375" t="s">
        <v>46544</v>
      </c>
      <c r="U7375" t="s">
        <v>53095</v>
      </c>
      <c r="W7375" t="s">
        <v>43257</v>
      </c>
      <c r="X7375" t="s">
        <v>44768</v>
      </c>
    </row>
    <row r="7376" spans="1:24">
      <c r="A7376">
        <f>HYPERLINK("https://www.philgeps.gov.ph/GEPSNONPILOT/Tender/SplashBidNoticeAbstractUI.aspx?menuIndex=3&amp;refID=7143797&amp;Result=3","7143797")</f>
        <v>0</v>
      </c>
      <c r="B7376" t="s">
        <v>2512</v>
      </c>
      <c r="C7376" t="s">
        <v>10759</v>
      </c>
      <c r="D7376" t="s">
        <v>18031</v>
      </c>
      <c r="E7376" t="s">
        <v>24513</v>
      </c>
      <c r="F7376" t="s">
        <v>30900</v>
      </c>
      <c r="G7376" t="s">
        <v>30907</v>
      </c>
      <c r="H7376" t="s">
        <v>30916</v>
      </c>
      <c r="I7376" t="s">
        <v>6834</v>
      </c>
      <c r="J7376" t="s">
        <v>31214</v>
      </c>
      <c r="K7376" t="s">
        <v>40286</v>
      </c>
      <c r="M7376" t="s">
        <v>43258</v>
      </c>
      <c r="N7376" t="s">
        <v>44759</v>
      </c>
      <c r="O7376" t="s">
        <v>44760</v>
      </c>
      <c r="P7376">
        <v>0</v>
      </c>
      <c r="Q7376">
        <v>5</v>
      </c>
      <c r="R7376" t="s">
        <v>44767</v>
      </c>
      <c r="S7376" t="s">
        <v>44954</v>
      </c>
      <c r="T7376" t="s">
        <v>46445</v>
      </c>
      <c r="U7376" t="s">
        <v>53096</v>
      </c>
      <c r="W7376" t="s">
        <v>43258</v>
      </c>
      <c r="X7376" t="s">
        <v>44768</v>
      </c>
    </row>
    <row r="7377" spans="1:24">
      <c r="A7377">
        <f>HYPERLINK("https://www.philgeps.gov.ph/GEPSNONPILOT/Tender/SplashBidNoticeAbstractUI.aspx?menuIndex=3&amp;refID=7143792&amp;Result=3","7143792")</f>
        <v>0</v>
      </c>
      <c r="B7377" t="s">
        <v>2045</v>
      </c>
      <c r="C7377" t="s">
        <v>10760</v>
      </c>
      <c r="D7377" t="s">
        <v>18022</v>
      </c>
      <c r="E7377" t="s">
        <v>24514</v>
      </c>
      <c r="F7377" t="s">
        <v>30900</v>
      </c>
      <c r="G7377" t="s">
        <v>30907</v>
      </c>
      <c r="H7377" t="s">
        <v>30916</v>
      </c>
      <c r="I7377" t="s">
        <v>4108</v>
      </c>
      <c r="J7377" t="s">
        <v>35739</v>
      </c>
      <c r="K7377" t="s">
        <v>40284</v>
      </c>
      <c r="M7377" t="s">
        <v>42742</v>
      </c>
      <c r="N7377" t="s">
        <v>44759</v>
      </c>
      <c r="O7377" t="s">
        <v>44760</v>
      </c>
      <c r="P7377">
        <v>0</v>
      </c>
      <c r="Q7377">
        <v>3</v>
      </c>
      <c r="R7377" t="s">
        <v>44767</v>
      </c>
      <c r="S7377" t="s">
        <v>44954</v>
      </c>
      <c r="T7377" t="s">
        <v>46470</v>
      </c>
      <c r="U7377" t="s">
        <v>53097</v>
      </c>
      <c r="W7377" t="s">
        <v>42742</v>
      </c>
      <c r="X7377" t="s">
        <v>44768</v>
      </c>
    </row>
    <row r="7378" spans="1:24">
      <c r="A7378">
        <f>HYPERLINK("https://www.philgeps.gov.ph/GEPSNONPILOT/Tender/SplashBidNoticeAbstractUI.aspx?menuIndex=3&amp;refID=7143838&amp;Result=3","7143838")</f>
        <v>0</v>
      </c>
      <c r="B7378" t="s">
        <v>227</v>
      </c>
      <c r="C7378" t="s">
        <v>10761</v>
      </c>
      <c r="D7378" t="s">
        <v>18012</v>
      </c>
      <c r="E7378" t="s">
        <v>24515</v>
      </c>
      <c r="F7378" t="s">
        <v>30900</v>
      </c>
      <c r="G7378" t="s">
        <v>30908</v>
      </c>
      <c r="H7378" t="s">
        <v>30916</v>
      </c>
      <c r="I7378" t="s">
        <v>30939</v>
      </c>
      <c r="J7378" t="s">
        <v>35740</v>
      </c>
      <c r="K7378" t="s">
        <v>40284</v>
      </c>
      <c r="M7378" t="s">
        <v>43216</v>
      </c>
      <c r="N7378" t="s">
        <v>44759</v>
      </c>
      <c r="O7378" t="s">
        <v>44760</v>
      </c>
      <c r="P7378">
        <v>0</v>
      </c>
      <c r="Q7378">
        <v>0</v>
      </c>
      <c r="R7378" t="s">
        <v>44767</v>
      </c>
      <c r="S7378" t="s">
        <v>44954</v>
      </c>
      <c r="T7378" t="s">
        <v>46403</v>
      </c>
      <c r="U7378" t="s">
        <v>53098</v>
      </c>
      <c r="V7378" t="s">
        <v>59910</v>
      </c>
      <c r="W7378" t="s">
        <v>43216</v>
      </c>
      <c r="X7378" t="s">
        <v>44768</v>
      </c>
    </row>
    <row r="7379" spans="1:24">
      <c r="A7379">
        <f>HYPERLINK("https://www.philgeps.gov.ph/GEPSNONPILOT/Tender/SplashBidNoticeAbstractUI.aspx?menuIndex=3&amp;refID=7143836&amp;Result=3","7143836")</f>
        <v>0</v>
      </c>
      <c r="B7379" t="s">
        <v>2513</v>
      </c>
      <c r="C7379" t="s">
        <v>10762</v>
      </c>
      <c r="D7379" t="s">
        <v>17959</v>
      </c>
      <c r="E7379" t="s">
        <v>24516</v>
      </c>
      <c r="F7379" t="s">
        <v>30899</v>
      </c>
      <c r="G7379" t="s">
        <v>30907</v>
      </c>
      <c r="H7379" t="s">
        <v>30916</v>
      </c>
      <c r="I7379" t="s">
        <v>6396</v>
      </c>
      <c r="J7379" t="s">
        <v>35741</v>
      </c>
      <c r="K7379" t="s">
        <v>40286</v>
      </c>
      <c r="M7379" t="s">
        <v>43259</v>
      </c>
      <c r="N7379" t="s">
        <v>44759</v>
      </c>
      <c r="O7379" t="s">
        <v>44760</v>
      </c>
      <c r="P7379">
        <v>0</v>
      </c>
      <c r="Q7379">
        <v>2</v>
      </c>
      <c r="R7379" t="s">
        <v>44767</v>
      </c>
      <c r="S7379" t="s">
        <v>44954</v>
      </c>
      <c r="T7379" t="s">
        <v>46372</v>
      </c>
      <c r="U7379" t="s">
        <v>53099</v>
      </c>
      <c r="V7379" t="s">
        <v>59911</v>
      </c>
      <c r="W7379" t="s">
        <v>43259</v>
      </c>
      <c r="X7379" t="s">
        <v>44768</v>
      </c>
    </row>
    <row r="7380" spans="1:24">
      <c r="A7380">
        <f>HYPERLINK("https://www.philgeps.gov.ph/GEPSNONPILOT/Tender/SplashBidNoticeAbstractUI.aspx?menuIndex=3&amp;refID=7143820&amp;Result=3","7143820")</f>
        <v>0</v>
      </c>
      <c r="B7380" t="s">
        <v>2514</v>
      </c>
      <c r="C7380" t="s">
        <v>10763</v>
      </c>
      <c r="D7380" t="s">
        <v>18027</v>
      </c>
      <c r="E7380" t="s">
        <v>18787</v>
      </c>
      <c r="F7380" t="s">
        <v>30900</v>
      </c>
      <c r="G7380" t="s">
        <v>30908</v>
      </c>
      <c r="H7380" t="s">
        <v>30916</v>
      </c>
      <c r="I7380" t="s">
        <v>4142</v>
      </c>
      <c r="J7380" t="s">
        <v>35742</v>
      </c>
      <c r="K7380" t="s">
        <v>40289</v>
      </c>
      <c r="M7380" t="s">
        <v>43260</v>
      </c>
      <c r="N7380" t="s">
        <v>44759</v>
      </c>
      <c r="O7380" t="s">
        <v>44760</v>
      </c>
      <c r="P7380">
        <v>0</v>
      </c>
      <c r="Q7380">
        <v>6</v>
      </c>
      <c r="R7380" t="s">
        <v>44767</v>
      </c>
      <c r="S7380" t="s">
        <v>44954</v>
      </c>
      <c r="T7380" t="s">
        <v>46662</v>
      </c>
      <c r="U7380" t="s">
        <v>53100</v>
      </c>
      <c r="W7380" t="s">
        <v>43260</v>
      </c>
      <c r="X7380" t="s">
        <v>44768</v>
      </c>
    </row>
    <row r="7381" spans="1:24">
      <c r="A7381">
        <f>HYPERLINK("https://www.philgeps.gov.ph/GEPSNONPILOT/Tender/SplashBidNoticeAbstractUI.aspx?menuIndex=3&amp;refID=7143833&amp;Result=3","7143833")</f>
        <v>0</v>
      </c>
      <c r="B7381" t="s">
        <v>899</v>
      </c>
      <c r="C7381" t="s">
        <v>10764</v>
      </c>
      <c r="E7381" t="s">
        <v>24517</v>
      </c>
      <c r="F7381" t="s">
        <v>30900</v>
      </c>
      <c r="G7381" t="s">
        <v>30908</v>
      </c>
      <c r="H7381" t="s">
        <v>30916</v>
      </c>
      <c r="I7381" t="s">
        <v>30980</v>
      </c>
      <c r="J7381" t="s">
        <v>35743</v>
      </c>
      <c r="K7381" t="s">
        <v>40289</v>
      </c>
      <c r="M7381" t="s">
        <v>42423</v>
      </c>
      <c r="N7381" t="s">
        <v>44759</v>
      </c>
      <c r="O7381" t="s">
        <v>44760</v>
      </c>
      <c r="P7381">
        <v>0</v>
      </c>
      <c r="Q7381">
        <v>2</v>
      </c>
      <c r="R7381" t="s">
        <v>44767</v>
      </c>
      <c r="S7381" t="s">
        <v>44954</v>
      </c>
      <c r="T7381" t="s">
        <v>46686</v>
      </c>
      <c r="U7381" t="s">
        <v>47244</v>
      </c>
      <c r="W7381" t="s">
        <v>42423</v>
      </c>
      <c r="X7381" t="s">
        <v>44768</v>
      </c>
    </row>
    <row r="7382" spans="1:24">
      <c r="A7382">
        <f>HYPERLINK("https://www.philgeps.gov.ph/GEPSNONPILOT/Tender/SplashBidNoticeAbstractUI.aspx?menuIndex=3&amp;refID=7143860&amp;Result=3","7143860")</f>
        <v>0</v>
      </c>
      <c r="B7382" t="s">
        <v>753</v>
      </c>
      <c r="C7382" t="s">
        <v>10765</v>
      </c>
      <c r="D7382" t="s">
        <v>17976</v>
      </c>
      <c r="E7382" t="s">
        <v>24518</v>
      </c>
      <c r="F7382" t="s">
        <v>30900</v>
      </c>
      <c r="G7382" t="s">
        <v>30907</v>
      </c>
      <c r="H7382" t="s">
        <v>30916</v>
      </c>
      <c r="I7382" t="s">
        <v>30989</v>
      </c>
      <c r="J7382" t="s">
        <v>31341</v>
      </c>
      <c r="K7382" t="s">
        <v>40286</v>
      </c>
      <c r="L7382" t="s">
        <v>753</v>
      </c>
      <c r="M7382" t="s">
        <v>41317</v>
      </c>
      <c r="N7382" t="s">
        <v>44759</v>
      </c>
      <c r="O7382" t="s">
        <v>44760</v>
      </c>
      <c r="P7382">
        <v>0</v>
      </c>
      <c r="Q7382">
        <v>4</v>
      </c>
      <c r="R7382" t="s">
        <v>44767</v>
      </c>
      <c r="S7382" t="s">
        <v>44954</v>
      </c>
      <c r="T7382" t="s">
        <v>46403</v>
      </c>
      <c r="U7382" t="s">
        <v>48259</v>
      </c>
      <c r="V7382" t="s">
        <v>59295</v>
      </c>
      <c r="W7382" t="s">
        <v>41317</v>
      </c>
      <c r="X7382" t="s">
        <v>44768</v>
      </c>
    </row>
    <row r="7383" spans="1:24">
      <c r="A7383">
        <f>HYPERLINK("https://www.philgeps.gov.ph/GEPSNONPILOT/Tender/SplashBidNoticeAbstractUI.aspx?menuIndex=3&amp;refID=7143854&amp;Result=3","7143854")</f>
        <v>0</v>
      </c>
      <c r="B7383" t="s">
        <v>899</v>
      </c>
      <c r="C7383" t="s">
        <v>10766</v>
      </c>
      <c r="E7383" t="s">
        <v>24519</v>
      </c>
      <c r="F7383" t="s">
        <v>30900</v>
      </c>
      <c r="G7383" t="s">
        <v>30908</v>
      </c>
      <c r="H7383" t="s">
        <v>30916</v>
      </c>
      <c r="I7383" t="s">
        <v>30924</v>
      </c>
      <c r="J7383" t="s">
        <v>35744</v>
      </c>
      <c r="K7383" t="s">
        <v>40289</v>
      </c>
      <c r="M7383" t="s">
        <v>42423</v>
      </c>
      <c r="N7383" t="s">
        <v>44759</v>
      </c>
      <c r="O7383" t="s">
        <v>44760</v>
      </c>
      <c r="P7383">
        <v>0</v>
      </c>
      <c r="Q7383">
        <v>4</v>
      </c>
      <c r="R7383" t="s">
        <v>44767</v>
      </c>
      <c r="S7383" t="s">
        <v>44954</v>
      </c>
      <c r="T7383" t="s">
        <v>46686</v>
      </c>
      <c r="U7383" t="s">
        <v>47244</v>
      </c>
      <c r="W7383" t="s">
        <v>42423</v>
      </c>
      <c r="X7383" t="s">
        <v>44768</v>
      </c>
    </row>
    <row r="7384" spans="1:24">
      <c r="A7384">
        <f>HYPERLINK("https://www.philgeps.gov.ph/GEPSNONPILOT/Tender/SplashBidNoticeAbstractUI.aspx?menuIndex=3&amp;refID=7143853&amp;Result=3","7143853")</f>
        <v>0</v>
      </c>
      <c r="B7384" t="s">
        <v>40</v>
      </c>
      <c r="C7384" t="s">
        <v>10767</v>
      </c>
      <c r="D7384" t="s">
        <v>17957</v>
      </c>
      <c r="E7384" t="s">
        <v>24520</v>
      </c>
      <c r="F7384" t="s">
        <v>30900</v>
      </c>
      <c r="G7384" t="s">
        <v>30907</v>
      </c>
      <c r="H7384" t="s">
        <v>30915</v>
      </c>
      <c r="I7384" t="s">
        <v>30919</v>
      </c>
      <c r="J7384" t="s">
        <v>35745</v>
      </c>
      <c r="K7384" t="s">
        <v>40300</v>
      </c>
      <c r="M7384" t="s">
        <v>40586</v>
      </c>
      <c r="N7384" t="s">
        <v>44759</v>
      </c>
      <c r="O7384" t="s">
        <v>44760</v>
      </c>
      <c r="P7384">
        <v>0</v>
      </c>
      <c r="Q7384">
        <v>0</v>
      </c>
      <c r="R7384" t="s">
        <v>44767</v>
      </c>
      <c r="S7384" t="s">
        <v>44954</v>
      </c>
      <c r="T7384" t="s">
        <v>46426</v>
      </c>
      <c r="U7384" t="s">
        <v>53101</v>
      </c>
      <c r="W7384" t="s">
        <v>40586</v>
      </c>
      <c r="X7384" t="s">
        <v>44768</v>
      </c>
    </row>
    <row r="7385" spans="1:24">
      <c r="A7385">
        <f>HYPERLINK("https://www.philgeps.gov.ph/GEPSNONPILOT/Tender/SplashBidNoticeAbstractUI.aspx?menuIndex=3&amp;refID=7143852&amp;Result=3","7143852")</f>
        <v>0</v>
      </c>
      <c r="B7385" t="s">
        <v>2505</v>
      </c>
      <c r="C7385" t="s">
        <v>10768</v>
      </c>
      <c r="D7385" t="s">
        <v>17971</v>
      </c>
      <c r="E7385" t="s">
        <v>24521</v>
      </c>
      <c r="F7385" t="s">
        <v>30900</v>
      </c>
      <c r="G7385" t="s">
        <v>30908</v>
      </c>
      <c r="H7385" t="s">
        <v>30916</v>
      </c>
      <c r="I7385" t="s">
        <v>6953</v>
      </c>
      <c r="J7385" t="s">
        <v>35746</v>
      </c>
      <c r="K7385" t="s">
        <v>40286</v>
      </c>
      <c r="M7385" t="s">
        <v>43250</v>
      </c>
      <c r="N7385" t="s">
        <v>44759</v>
      </c>
      <c r="O7385" t="s">
        <v>44760</v>
      </c>
      <c r="P7385">
        <v>0</v>
      </c>
      <c r="Q7385">
        <v>0</v>
      </c>
      <c r="R7385" t="s">
        <v>44767</v>
      </c>
      <c r="S7385" t="s">
        <v>44954</v>
      </c>
      <c r="T7385" t="s">
        <v>46533</v>
      </c>
      <c r="U7385" t="s">
        <v>53102</v>
      </c>
      <c r="W7385" t="s">
        <v>43250</v>
      </c>
      <c r="X7385" t="s">
        <v>44768</v>
      </c>
    </row>
    <row r="7386" spans="1:24">
      <c r="A7386">
        <f>HYPERLINK("https://www.philgeps.gov.ph/GEPSNONPILOT/Tender/SplashBidNoticeAbstractUI.aspx?menuIndex=3&amp;refID=7143851&amp;Result=3","7143851")</f>
        <v>0</v>
      </c>
      <c r="B7386" t="s">
        <v>1428</v>
      </c>
      <c r="C7386" t="s">
        <v>10769</v>
      </c>
      <c r="D7386" t="s">
        <v>18017</v>
      </c>
      <c r="E7386" t="s">
        <v>24522</v>
      </c>
      <c r="F7386" t="s">
        <v>30900</v>
      </c>
      <c r="G7386" t="s">
        <v>30909</v>
      </c>
      <c r="H7386" t="s">
        <v>30916</v>
      </c>
      <c r="I7386" t="s">
        <v>4454</v>
      </c>
      <c r="J7386" t="s">
        <v>35747</v>
      </c>
      <c r="K7386" t="s">
        <v>40289</v>
      </c>
      <c r="M7386" t="s">
        <v>42059</v>
      </c>
      <c r="N7386" t="s">
        <v>44759</v>
      </c>
      <c r="O7386" t="s">
        <v>44760</v>
      </c>
      <c r="P7386">
        <v>0</v>
      </c>
      <c r="Q7386">
        <v>3</v>
      </c>
      <c r="R7386" t="s">
        <v>44767</v>
      </c>
      <c r="S7386" t="s">
        <v>44954</v>
      </c>
      <c r="T7386" t="s">
        <v>46390</v>
      </c>
      <c r="U7386" t="s">
        <v>53103</v>
      </c>
      <c r="W7386" t="s">
        <v>42059</v>
      </c>
      <c r="X7386" t="s">
        <v>44768</v>
      </c>
    </row>
    <row r="7387" spans="1:24">
      <c r="A7387">
        <f>HYPERLINK("https://www.philgeps.gov.ph/GEPSNONPILOT/Tender/SplashBidNoticeAbstractUI.aspx?menuIndex=3&amp;refID=7143872&amp;Result=3","7143872")</f>
        <v>0</v>
      </c>
      <c r="B7387" t="s">
        <v>2515</v>
      </c>
      <c r="C7387" t="s">
        <v>10770</v>
      </c>
      <c r="D7387" t="s">
        <v>17951</v>
      </c>
      <c r="E7387" t="s">
        <v>24523</v>
      </c>
      <c r="F7387" t="s">
        <v>30900</v>
      </c>
      <c r="G7387" t="s">
        <v>30907</v>
      </c>
      <c r="H7387" t="s">
        <v>30916</v>
      </c>
      <c r="I7387" t="s">
        <v>8123</v>
      </c>
      <c r="J7387" t="s">
        <v>35748</v>
      </c>
      <c r="K7387" t="s">
        <v>40287</v>
      </c>
      <c r="M7387" t="s">
        <v>43261</v>
      </c>
      <c r="N7387" t="s">
        <v>44759</v>
      </c>
      <c r="O7387" t="s">
        <v>44760</v>
      </c>
      <c r="P7387">
        <v>0</v>
      </c>
      <c r="Q7387">
        <v>0</v>
      </c>
      <c r="R7387" t="s">
        <v>44767</v>
      </c>
      <c r="S7387" t="s">
        <v>44954</v>
      </c>
      <c r="T7387" t="s">
        <v>46363</v>
      </c>
      <c r="U7387" t="s">
        <v>47259</v>
      </c>
      <c r="W7387" t="s">
        <v>43261</v>
      </c>
      <c r="X7387" t="s">
        <v>44768</v>
      </c>
    </row>
    <row r="7388" spans="1:24">
      <c r="A7388">
        <f>HYPERLINK("https://www.philgeps.gov.ph/GEPSNONPILOT/Tender/SplashBidNoticeAbstractUI.aspx?menuIndex=3&amp;refID=7143789&amp;Result=3","7143789")</f>
        <v>0</v>
      </c>
      <c r="B7388" t="s">
        <v>2487</v>
      </c>
      <c r="C7388" t="s">
        <v>10771</v>
      </c>
      <c r="D7388" t="s">
        <v>17976</v>
      </c>
      <c r="E7388" t="s">
        <v>24524</v>
      </c>
      <c r="F7388" t="s">
        <v>30900</v>
      </c>
      <c r="G7388" t="s">
        <v>30908</v>
      </c>
      <c r="H7388" t="s">
        <v>30916</v>
      </c>
      <c r="I7388" t="s">
        <v>9385</v>
      </c>
      <c r="J7388" t="s">
        <v>35749</v>
      </c>
      <c r="K7388" t="s">
        <v>40293</v>
      </c>
      <c r="M7388" t="s">
        <v>43228</v>
      </c>
      <c r="N7388" t="s">
        <v>44759</v>
      </c>
      <c r="O7388" t="s">
        <v>44760</v>
      </c>
      <c r="P7388">
        <v>0</v>
      </c>
      <c r="Q7388">
        <v>9</v>
      </c>
      <c r="R7388" t="s">
        <v>44767</v>
      </c>
      <c r="S7388" t="s">
        <v>44954</v>
      </c>
      <c r="T7388" t="s">
        <v>46581</v>
      </c>
      <c r="U7388" t="s">
        <v>53104</v>
      </c>
      <c r="W7388" t="s">
        <v>43228</v>
      </c>
      <c r="X7388" t="s">
        <v>44768</v>
      </c>
    </row>
    <row r="7389" spans="1:24">
      <c r="A7389">
        <f>HYPERLINK("https://www.philgeps.gov.ph/GEPSNONPILOT/Tender/SplashBidNoticeAbstractUI.aspx?menuIndex=3&amp;refID=7143865&amp;Result=3","7143865")</f>
        <v>0</v>
      </c>
      <c r="B7389" t="s">
        <v>227</v>
      </c>
      <c r="C7389" t="s">
        <v>10772</v>
      </c>
      <c r="D7389" t="s">
        <v>18012</v>
      </c>
      <c r="E7389" t="s">
        <v>24525</v>
      </c>
      <c r="F7389" t="s">
        <v>30900</v>
      </c>
      <c r="G7389" t="s">
        <v>30908</v>
      </c>
      <c r="H7389" t="s">
        <v>30916</v>
      </c>
      <c r="I7389" t="s">
        <v>30939</v>
      </c>
      <c r="J7389" t="s">
        <v>35058</v>
      </c>
      <c r="K7389" t="s">
        <v>40284</v>
      </c>
      <c r="M7389" t="s">
        <v>43216</v>
      </c>
      <c r="N7389" t="s">
        <v>44759</v>
      </c>
      <c r="O7389" t="s">
        <v>44760</v>
      </c>
      <c r="P7389">
        <v>0</v>
      </c>
      <c r="Q7389">
        <v>0</v>
      </c>
      <c r="R7389" t="s">
        <v>44767</v>
      </c>
      <c r="S7389" t="s">
        <v>44954</v>
      </c>
      <c r="T7389" t="s">
        <v>46403</v>
      </c>
      <c r="U7389" t="s">
        <v>53105</v>
      </c>
      <c r="V7389" t="s">
        <v>59912</v>
      </c>
      <c r="W7389" t="s">
        <v>43216</v>
      </c>
      <c r="X7389" t="s">
        <v>44768</v>
      </c>
    </row>
    <row r="7390" spans="1:24">
      <c r="A7390">
        <f>HYPERLINK("https://www.philgeps.gov.ph/GEPSNONPILOT/Tender/SplashBidNoticeAbstractUI.aspx?menuIndex=3&amp;refID=7143868&amp;Result=3","7143868")</f>
        <v>0</v>
      </c>
      <c r="B7390" t="s">
        <v>459</v>
      </c>
      <c r="C7390" t="s">
        <v>10773</v>
      </c>
      <c r="D7390" t="s">
        <v>17978</v>
      </c>
      <c r="E7390" t="s">
        <v>24526</v>
      </c>
      <c r="F7390" t="s">
        <v>30900</v>
      </c>
      <c r="G7390" t="s">
        <v>30907</v>
      </c>
      <c r="H7390" t="s">
        <v>30916</v>
      </c>
      <c r="I7390" t="s">
        <v>10602</v>
      </c>
      <c r="J7390" t="s">
        <v>35750</v>
      </c>
      <c r="K7390" t="s">
        <v>40362</v>
      </c>
      <c r="M7390" t="s">
        <v>41017</v>
      </c>
      <c r="N7390" t="s">
        <v>44759</v>
      </c>
      <c r="O7390" t="s">
        <v>44760</v>
      </c>
      <c r="P7390">
        <v>0</v>
      </c>
      <c r="Q7390">
        <v>1</v>
      </c>
      <c r="R7390" t="s">
        <v>44767</v>
      </c>
      <c r="S7390" t="s">
        <v>44954</v>
      </c>
      <c r="T7390" t="s">
        <v>46455</v>
      </c>
      <c r="U7390" t="s">
        <v>53106</v>
      </c>
      <c r="W7390" t="s">
        <v>41017</v>
      </c>
      <c r="X7390" t="s">
        <v>44768</v>
      </c>
    </row>
    <row r="7391" spans="1:24">
      <c r="A7391">
        <f>HYPERLINK("https://www.philgeps.gov.ph/GEPSNONPILOT/Tender/SplashBidNoticeAbstractUI.aspx?menuIndex=3&amp;refID=7143869&amp;Result=3","7143869")</f>
        <v>0</v>
      </c>
      <c r="B7391" t="s">
        <v>2481</v>
      </c>
      <c r="C7391" t="s">
        <v>10774</v>
      </c>
      <c r="D7391" t="s">
        <v>18029</v>
      </c>
      <c r="E7391" t="s">
        <v>24527</v>
      </c>
      <c r="F7391" t="s">
        <v>30900</v>
      </c>
      <c r="G7391" t="s">
        <v>30907</v>
      </c>
      <c r="H7391" t="s">
        <v>30915</v>
      </c>
      <c r="I7391" t="s">
        <v>30919</v>
      </c>
      <c r="J7391" t="s">
        <v>35751</v>
      </c>
      <c r="K7391" t="s">
        <v>40436</v>
      </c>
      <c r="M7391" t="s">
        <v>43222</v>
      </c>
      <c r="N7391" t="s">
        <v>44759</v>
      </c>
      <c r="O7391" t="s">
        <v>44760</v>
      </c>
      <c r="P7391">
        <v>0</v>
      </c>
      <c r="Q7391">
        <v>0</v>
      </c>
      <c r="R7391" t="s">
        <v>44767</v>
      </c>
      <c r="S7391" t="s">
        <v>44954</v>
      </c>
      <c r="T7391" t="s">
        <v>46730</v>
      </c>
      <c r="U7391" t="s">
        <v>53107</v>
      </c>
      <c r="V7391" t="s">
        <v>59892</v>
      </c>
      <c r="W7391" t="s">
        <v>43222</v>
      </c>
      <c r="X7391" t="s">
        <v>44768</v>
      </c>
    </row>
    <row r="7392" spans="1:24">
      <c r="A7392">
        <f>HYPERLINK("https://www.philgeps.gov.ph/GEPSNONPILOT/Tender/SplashBidNoticeAbstractUI.aspx?menuIndex=3&amp;refID=7143864&amp;Result=3","7143864")</f>
        <v>0</v>
      </c>
      <c r="B7392" t="s">
        <v>2516</v>
      </c>
      <c r="C7392" t="s">
        <v>10775</v>
      </c>
      <c r="D7392" t="s">
        <v>17959</v>
      </c>
      <c r="E7392" t="s">
        <v>18615</v>
      </c>
      <c r="F7392" t="s">
        <v>30900</v>
      </c>
      <c r="G7392" t="s">
        <v>30908</v>
      </c>
      <c r="H7392" t="s">
        <v>30916</v>
      </c>
      <c r="I7392" t="s">
        <v>8365</v>
      </c>
      <c r="J7392" t="s">
        <v>35752</v>
      </c>
      <c r="K7392" t="s">
        <v>40288</v>
      </c>
      <c r="M7392" t="s">
        <v>43262</v>
      </c>
      <c r="N7392" t="s">
        <v>44759</v>
      </c>
      <c r="O7392" t="s">
        <v>44760</v>
      </c>
      <c r="P7392">
        <v>0</v>
      </c>
      <c r="Q7392">
        <v>5</v>
      </c>
      <c r="R7392" t="s">
        <v>44767</v>
      </c>
      <c r="S7392" t="s">
        <v>44954</v>
      </c>
      <c r="T7392" t="s">
        <v>46374</v>
      </c>
      <c r="U7392" t="s">
        <v>53108</v>
      </c>
      <c r="W7392" t="s">
        <v>43262</v>
      </c>
      <c r="X7392" t="s">
        <v>44768</v>
      </c>
    </row>
    <row r="7393" spans="1:24">
      <c r="A7393">
        <f>HYPERLINK("https://www.philgeps.gov.ph/GEPSNONPILOT/Tender/SplashBidNoticeAbstractUI.aspx?menuIndex=3&amp;refID=7143849&amp;Result=3","7143849")</f>
        <v>0</v>
      </c>
      <c r="B7393" t="s">
        <v>238</v>
      </c>
      <c r="C7393" t="s">
        <v>9126</v>
      </c>
      <c r="D7393" t="s">
        <v>17951</v>
      </c>
      <c r="E7393" t="s">
        <v>24528</v>
      </c>
      <c r="F7393" t="s">
        <v>30900</v>
      </c>
      <c r="G7393" t="s">
        <v>30907</v>
      </c>
      <c r="H7393" t="s">
        <v>30916</v>
      </c>
      <c r="I7393" t="s">
        <v>8123</v>
      </c>
      <c r="J7393" t="s">
        <v>35753</v>
      </c>
      <c r="K7393" t="s">
        <v>40287</v>
      </c>
      <c r="M7393" t="s">
        <v>40785</v>
      </c>
      <c r="N7393" t="s">
        <v>44759</v>
      </c>
      <c r="O7393" t="s">
        <v>44760</v>
      </c>
      <c r="P7393">
        <v>0</v>
      </c>
      <c r="Q7393">
        <v>0</v>
      </c>
      <c r="R7393" t="s">
        <v>44767</v>
      </c>
      <c r="S7393" t="s">
        <v>44954</v>
      </c>
      <c r="T7393" t="s">
        <v>46363</v>
      </c>
      <c r="U7393" t="s">
        <v>47259</v>
      </c>
      <c r="W7393" t="s">
        <v>40785</v>
      </c>
      <c r="X7393" t="s">
        <v>44768</v>
      </c>
    </row>
    <row r="7394" spans="1:24">
      <c r="A7394">
        <f>HYPERLINK("https://www.philgeps.gov.ph/GEPSNONPILOT/Tender/SplashBidNoticeAbstractUI.aspx?menuIndex=3&amp;refID=7143867&amp;Result=3","7143867")</f>
        <v>0</v>
      </c>
      <c r="B7394" t="s">
        <v>1955</v>
      </c>
      <c r="C7394" t="s">
        <v>10776</v>
      </c>
      <c r="D7394" t="s">
        <v>17952</v>
      </c>
      <c r="E7394" t="s">
        <v>24529</v>
      </c>
      <c r="F7394" t="s">
        <v>30900</v>
      </c>
      <c r="G7394" t="s">
        <v>30908</v>
      </c>
      <c r="H7394" t="s">
        <v>30916</v>
      </c>
      <c r="I7394" t="s">
        <v>30942</v>
      </c>
      <c r="J7394" t="s">
        <v>31206</v>
      </c>
      <c r="K7394" t="s">
        <v>40287</v>
      </c>
      <c r="M7394" t="s">
        <v>42639</v>
      </c>
      <c r="N7394" t="s">
        <v>44759</v>
      </c>
      <c r="O7394" t="s">
        <v>44760</v>
      </c>
      <c r="P7394">
        <v>0</v>
      </c>
      <c r="Q7394">
        <v>0</v>
      </c>
      <c r="R7394" t="s">
        <v>44767</v>
      </c>
      <c r="S7394" t="s">
        <v>44954</v>
      </c>
      <c r="T7394" t="s">
        <v>46548</v>
      </c>
      <c r="U7394" t="s">
        <v>53109</v>
      </c>
      <c r="W7394" t="s">
        <v>42639</v>
      </c>
      <c r="X7394" t="s">
        <v>44768</v>
      </c>
    </row>
    <row r="7395" spans="1:24">
      <c r="A7395">
        <f>HYPERLINK("https://www.philgeps.gov.ph/GEPSNONPILOT/Tender/SplashBidNoticeAbstractUI.aspx?menuIndex=3&amp;refID=7143844&amp;Result=3","7143844")</f>
        <v>0</v>
      </c>
      <c r="B7395" t="s">
        <v>2490</v>
      </c>
      <c r="C7395" t="s">
        <v>10670</v>
      </c>
      <c r="D7395" t="s">
        <v>17955</v>
      </c>
      <c r="E7395" t="s">
        <v>24530</v>
      </c>
      <c r="F7395" t="s">
        <v>30899</v>
      </c>
      <c r="G7395" t="s">
        <v>30907</v>
      </c>
      <c r="H7395" t="s">
        <v>30916</v>
      </c>
      <c r="I7395" t="s">
        <v>30921</v>
      </c>
      <c r="J7395" t="s">
        <v>31067</v>
      </c>
      <c r="K7395" t="s">
        <v>40288</v>
      </c>
      <c r="M7395" t="s">
        <v>43231</v>
      </c>
      <c r="N7395" t="s">
        <v>44759</v>
      </c>
      <c r="O7395" t="s">
        <v>44760</v>
      </c>
      <c r="P7395">
        <v>0</v>
      </c>
      <c r="Q7395">
        <v>1</v>
      </c>
      <c r="R7395" t="s">
        <v>44767</v>
      </c>
      <c r="S7395" t="s">
        <v>44954</v>
      </c>
      <c r="T7395" t="s">
        <v>46406</v>
      </c>
      <c r="U7395" t="s">
        <v>53027</v>
      </c>
      <c r="V7395" t="s">
        <v>59896</v>
      </c>
      <c r="W7395" t="s">
        <v>43231</v>
      </c>
      <c r="X7395" t="s">
        <v>44768</v>
      </c>
    </row>
    <row r="7396" spans="1:24">
      <c r="A7396">
        <f>HYPERLINK("https://www.philgeps.gov.ph/GEPSNONPILOT/Tender/SplashBidNoticeAbstractUI.aspx?menuIndex=3&amp;refID=7143843&amp;Result=3","7143843")</f>
        <v>0</v>
      </c>
      <c r="B7396" t="s">
        <v>2182</v>
      </c>
      <c r="C7396" t="s">
        <v>10777</v>
      </c>
      <c r="D7396" t="s">
        <v>17959</v>
      </c>
      <c r="E7396" t="s">
        <v>24531</v>
      </c>
      <c r="F7396" t="s">
        <v>30900</v>
      </c>
      <c r="G7396" t="s">
        <v>30908</v>
      </c>
      <c r="H7396" t="s">
        <v>30916</v>
      </c>
      <c r="I7396" t="s">
        <v>30918</v>
      </c>
      <c r="J7396" t="s">
        <v>35754</v>
      </c>
      <c r="K7396" t="s">
        <v>40287</v>
      </c>
      <c r="M7396" t="s">
        <v>42889</v>
      </c>
      <c r="N7396" t="s">
        <v>44759</v>
      </c>
      <c r="O7396" t="s">
        <v>44760</v>
      </c>
      <c r="P7396">
        <v>0</v>
      </c>
      <c r="Q7396">
        <v>8</v>
      </c>
      <c r="R7396" t="s">
        <v>44767</v>
      </c>
      <c r="S7396" t="s">
        <v>44954</v>
      </c>
      <c r="T7396" t="s">
        <v>46686</v>
      </c>
      <c r="U7396" t="s">
        <v>53110</v>
      </c>
      <c r="W7396" t="s">
        <v>42889</v>
      </c>
      <c r="X7396" t="s">
        <v>44768</v>
      </c>
    </row>
    <row r="7397" spans="1:24">
      <c r="A7397">
        <f>HYPERLINK("https://www.philgeps.gov.ph/GEPSNONPILOT/Tender/SplashBidNoticeAbstractUI.aspx?menuIndex=3&amp;refID=7143878&amp;Result=3","7143878")</f>
        <v>0</v>
      </c>
      <c r="B7397" t="s">
        <v>2514</v>
      </c>
      <c r="C7397" t="s">
        <v>10778</v>
      </c>
      <c r="D7397" t="s">
        <v>18027</v>
      </c>
      <c r="E7397" t="s">
        <v>18846</v>
      </c>
      <c r="F7397" t="s">
        <v>30900</v>
      </c>
      <c r="G7397" t="s">
        <v>30908</v>
      </c>
      <c r="H7397" t="s">
        <v>30916</v>
      </c>
      <c r="I7397" t="s">
        <v>8123</v>
      </c>
      <c r="J7397" t="s">
        <v>35755</v>
      </c>
      <c r="K7397" t="s">
        <v>40289</v>
      </c>
      <c r="M7397" t="s">
        <v>43260</v>
      </c>
      <c r="N7397" t="s">
        <v>44759</v>
      </c>
      <c r="O7397" t="s">
        <v>44760</v>
      </c>
      <c r="P7397">
        <v>0</v>
      </c>
      <c r="Q7397">
        <v>1</v>
      </c>
      <c r="R7397" t="s">
        <v>44767</v>
      </c>
      <c r="S7397" t="s">
        <v>44954</v>
      </c>
      <c r="T7397" t="s">
        <v>46662</v>
      </c>
      <c r="U7397" t="s">
        <v>53100</v>
      </c>
      <c r="W7397" t="s">
        <v>43260</v>
      </c>
      <c r="X7397" t="s">
        <v>44768</v>
      </c>
    </row>
    <row r="7398" spans="1:24">
      <c r="A7398">
        <f>HYPERLINK("https://www.philgeps.gov.ph/GEPSNONPILOT/Tender/SplashBidNoticeAbstractUI.aspx?menuIndex=3&amp;refID=7143875&amp;Result=3","7143875")</f>
        <v>0</v>
      </c>
      <c r="B7398" t="s">
        <v>2505</v>
      </c>
      <c r="C7398" t="s">
        <v>10779</v>
      </c>
      <c r="D7398" t="s">
        <v>17971</v>
      </c>
      <c r="E7398" t="s">
        <v>24532</v>
      </c>
      <c r="F7398" t="s">
        <v>30900</v>
      </c>
      <c r="G7398" t="s">
        <v>30908</v>
      </c>
      <c r="H7398" t="s">
        <v>30916</v>
      </c>
      <c r="I7398" t="s">
        <v>6953</v>
      </c>
      <c r="J7398" t="s">
        <v>35756</v>
      </c>
      <c r="K7398" t="s">
        <v>40286</v>
      </c>
      <c r="M7398" t="s">
        <v>43250</v>
      </c>
      <c r="N7398" t="s">
        <v>44759</v>
      </c>
      <c r="O7398" t="s">
        <v>44760</v>
      </c>
      <c r="P7398">
        <v>0</v>
      </c>
      <c r="Q7398">
        <v>0</v>
      </c>
      <c r="R7398" t="s">
        <v>44767</v>
      </c>
      <c r="S7398" t="s">
        <v>44954</v>
      </c>
      <c r="T7398" t="s">
        <v>46607</v>
      </c>
      <c r="U7398" t="s">
        <v>53111</v>
      </c>
      <c r="W7398" t="s">
        <v>43250</v>
      </c>
      <c r="X7398" t="s">
        <v>44768</v>
      </c>
    </row>
    <row r="7399" spans="1:24">
      <c r="A7399">
        <f>HYPERLINK("https://www.philgeps.gov.ph/GEPSNONPILOT/Tender/SplashBidNoticeAbstractUI.aspx?menuIndex=3&amp;refID=7143726&amp;Result=3","7143726")</f>
        <v>0</v>
      </c>
      <c r="B7399" t="s">
        <v>2227</v>
      </c>
      <c r="C7399" t="s">
        <v>10780</v>
      </c>
      <c r="D7399" t="s">
        <v>18016</v>
      </c>
      <c r="E7399" t="s">
        <v>24533</v>
      </c>
      <c r="F7399" t="s">
        <v>30900</v>
      </c>
      <c r="G7399" t="s">
        <v>30907</v>
      </c>
      <c r="H7399" t="s">
        <v>30916</v>
      </c>
      <c r="I7399" t="s">
        <v>5501</v>
      </c>
      <c r="J7399" t="s">
        <v>35757</v>
      </c>
      <c r="K7399" t="s">
        <v>40289</v>
      </c>
      <c r="M7399" t="s">
        <v>43235</v>
      </c>
      <c r="N7399" t="s">
        <v>44759</v>
      </c>
      <c r="O7399" t="s">
        <v>44760</v>
      </c>
      <c r="P7399">
        <v>0</v>
      </c>
      <c r="Q7399">
        <v>5</v>
      </c>
      <c r="R7399" t="s">
        <v>44767</v>
      </c>
      <c r="S7399" t="s">
        <v>44954</v>
      </c>
      <c r="T7399" t="s">
        <v>46497</v>
      </c>
      <c r="U7399" t="s">
        <v>53112</v>
      </c>
      <c r="W7399" t="s">
        <v>43235</v>
      </c>
      <c r="X7399" t="s">
        <v>44768</v>
      </c>
    </row>
    <row r="7400" spans="1:24">
      <c r="A7400">
        <f>HYPERLINK("https://www.philgeps.gov.ph/GEPSNONPILOT/Tender/SplashBidNoticeAbstractUI.aspx?menuIndex=3&amp;refID=7143847&amp;Result=3","7143847")</f>
        <v>0</v>
      </c>
      <c r="B7400" t="s">
        <v>237</v>
      </c>
      <c r="C7400" t="s">
        <v>10781</v>
      </c>
      <c r="D7400" t="s">
        <v>17977</v>
      </c>
      <c r="E7400" t="s">
        <v>24534</v>
      </c>
      <c r="F7400" t="s">
        <v>30900</v>
      </c>
      <c r="G7400" t="s">
        <v>30906</v>
      </c>
      <c r="H7400" t="s">
        <v>30916</v>
      </c>
      <c r="I7400" t="s">
        <v>8123</v>
      </c>
      <c r="J7400" t="s">
        <v>32168</v>
      </c>
      <c r="K7400" t="s">
        <v>40289</v>
      </c>
      <c r="M7400" t="s">
        <v>40784</v>
      </c>
      <c r="N7400" t="s">
        <v>44759</v>
      </c>
      <c r="O7400" t="s">
        <v>44760</v>
      </c>
      <c r="P7400">
        <v>0</v>
      </c>
      <c r="Q7400">
        <v>3</v>
      </c>
      <c r="R7400" t="s">
        <v>44767</v>
      </c>
      <c r="S7400" t="s">
        <v>44954</v>
      </c>
      <c r="T7400" t="s">
        <v>46704</v>
      </c>
      <c r="U7400" t="s">
        <v>53113</v>
      </c>
      <c r="W7400" t="s">
        <v>40784</v>
      </c>
      <c r="X7400" t="s">
        <v>44768</v>
      </c>
    </row>
    <row r="7401" spans="1:24">
      <c r="A7401">
        <f>HYPERLINK("https://www.philgeps.gov.ph/GEPSNONPILOT/Tender/SplashBidNoticeAbstractUI.aspx?menuIndex=3&amp;refID=7143846&amp;Result=3","7143846")</f>
        <v>0</v>
      </c>
      <c r="B7401" t="s">
        <v>899</v>
      </c>
      <c r="C7401" t="s">
        <v>10782</v>
      </c>
      <c r="E7401" t="s">
        <v>24535</v>
      </c>
      <c r="F7401" t="s">
        <v>30900</v>
      </c>
      <c r="G7401" t="s">
        <v>30908</v>
      </c>
      <c r="H7401" t="s">
        <v>30916</v>
      </c>
      <c r="I7401" t="s">
        <v>30924</v>
      </c>
      <c r="J7401" t="s">
        <v>31211</v>
      </c>
      <c r="K7401" t="s">
        <v>40289</v>
      </c>
      <c r="M7401" t="s">
        <v>42423</v>
      </c>
      <c r="N7401" t="s">
        <v>44759</v>
      </c>
      <c r="O7401" t="s">
        <v>44760</v>
      </c>
      <c r="P7401">
        <v>0</v>
      </c>
      <c r="Q7401">
        <v>3</v>
      </c>
      <c r="R7401" t="s">
        <v>44767</v>
      </c>
      <c r="S7401" t="s">
        <v>44954</v>
      </c>
      <c r="T7401" t="s">
        <v>46686</v>
      </c>
      <c r="U7401" t="s">
        <v>47244</v>
      </c>
      <c r="W7401" t="s">
        <v>42423</v>
      </c>
      <c r="X7401" t="s">
        <v>44768</v>
      </c>
    </row>
    <row r="7402" spans="1:24">
      <c r="A7402">
        <f>HYPERLINK("https://www.philgeps.gov.ph/GEPSNONPILOT/Tender/SplashBidNoticeAbstractUI.aspx?menuIndex=3&amp;refID=7143930&amp;Result=3","7143930")</f>
        <v>0</v>
      </c>
      <c r="B7402" t="s">
        <v>2517</v>
      </c>
      <c r="C7402" t="s">
        <v>8647</v>
      </c>
      <c r="D7402" t="s">
        <v>18000</v>
      </c>
      <c r="E7402" t="s">
        <v>18282</v>
      </c>
      <c r="F7402" t="s">
        <v>30900</v>
      </c>
      <c r="G7402" t="s">
        <v>30907</v>
      </c>
      <c r="H7402" t="s">
        <v>30916</v>
      </c>
      <c r="I7402" t="s">
        <v>8123</v>
      </c>
      <c r="J7402" t="s">
        <v>33754</v>
      </c>
      <c r="K7402" t="s">
        <v>40288</v>
      </c>
      <c r="M7402" t="s">
        <v>43263</v>
      </c>
      <c r="N7402" t="s">
        <v>44759</v>
      </c>
      <c r="O7402" t="s">
        <v>44760</v>
      </c>
      <c r="P7402">
        <v>0</v>
      </c>
      <c r="Q7402">
        <v>0</v>
      </c>
      <c r="R7402" t="s">
        <v>44767</v>
      </c>
      <c r="S7402" t="s">
        <v>44954</v>
      </c>
      <c r="T7402" t="s">
        <v>46533</v>
      </c>
      <c r="U7402" t="s">
        <v>53114</v>
      </c>
      <c r="V7402" t="s">
        <v>59913</v>
      </c>
      <c r="W7402" t="s">
        <v>43263</v>
      </c>
      <c r="X7402" t="s">
        <v>44768</v>
      </c>
    </row>
    <row r="7403" spans="1:24">
      <c r="A7403">
        <f>HYPERLINK("https://www.philgeps.gov.ph/GEPSNONPILOT/Tender/SplashBidNoticeAbstractUI.aspx?menuIndex=3&amp;refID=7143925&amp;Result=3","7143925")</f>
        <v>0</v>
      </c>
      <c r="B7403" t="s">
        <v>2518</v>
      </c>
      <c r="C7403" t="s">
        <v>10783</v>
      </c>
      <c r="D7403" t="s">
        <v>18017</v>
      </c>
      <c r="E7403" t="s">
        <v>24536</v>
      </c>
      <c r="F7403" t="s">
        <v>30900</v>
      </c>
      <c r="G7403" t="s">
        <v>30908</v>
      </c>
      <c r="H7403" t="s">
        <v>30916</v>
      </c>
      <c r="I7403" t="s">
        <v>4108</v>
      </c>
      <c r="J7403" t="s">
        <v>35758</v>
      </c>
      <c r="K7403" t="s">
        <v>40283</v>
      </c>
      <c r="M7403" t="s">
        <v>43264</v>
      </c>
      <c r="N7403" t="s">
        <v>44759</v>
      </c>
      <c r="O7403" t="s">
        <v>44760</v>
      </c>
      <c r="P7403">
        <v>0</v>
      </c>
      <c r="Q7403">
        <v>1</v>
      </c>
      <c r="R7403" t="s">
        <v>44767</v>
      </c>
      <c r="S7403" t="s">
        <v>44954</v>
      </c>
      <c r="T7403" t="s">
        <v>46700</v>
      </c>
      <c r="U7403" t="s">
        <v>53115</v>
      </c>
      <c r="W7403" t="s">
        <v>43264</v>
      </c>
      <c r="X7403" t="s">
        <v>44768</v>
      </c>
    </row>
    <row r="7404" spans="1:24">
      <c r="A7404">
        <f>HYPERLINK("https://www.philgeps.gov.ph/GEPSNONPILOT/Tender/SplashBidNoticeAbstractUI.aspx?menuIndex=3&amp;refID=7143913&amp;Result=3","7143913")</f>
        <v>0</v>
      </c>
      <c r="B7404" t="s">
        <v>2152</v>
      </c>
      <c r="C7404" t="s">
        <v>10784</v>
      </c>
      <c r="D7404" t="s">
        <v>18019</v>
      </c>
      <c r="E7404" t="s">
        <v>24537</v>
      </c>
      <c r="F7404" t="s">
        <v>30900</v>
      </c>
      <c r="G7404" t="s">
        <v>30907</v>
      </c>
      <c r="H7404" t="s">
        <v>30915</v>
      </c>
      <c r="I7404" t="s">
        <v>30919</v>
      </c>
      <c r="J7404" t="s">
        <v>35759</v>
      </c>
      <c r="K7404" t="s">
        <v>40440</v>
      </c>
      <c r="M7404" t="s">
        <v>43265</v>
      </c>
      <c r="N7404" t="s">
        <v>44759</v>
      </c>
      <c r="O7404" t="s">
        <v>44760</v>
      </c>
      <c r="P7404">
        <v>0</v>
      </c>
      <c r="Q7404">
        <v>1</v>
      </c>
      <c r="R7404" t="s">
        <v>44767</v>
      </c>
      <c r="S7404" t="s">
        <v>44954</v>
      </c>
      <c r="T7404" t="s">
        <v>46616</v>
      </c>
      <c r="U7404" t="s">
        <v>53116</v>
      </c>
      <c r="W7404" t="s">
        <v>43265</v>
      </c>
      <c r="X7404" t="s">
        <v>44768</v>
      </c>
    </row>
    <row r="7405" spans="1:24">
      <c r="A7405">
        <f>HYPERLINK("https://www.philgeps.gov.ph/GEPSNONPILOT/Tender/SplashBidNoticeAbstractUI.aspx?menuIndex=3&amp;refID=7143911&amp;Result=3","7143911")</f>
        <v>0</v>
      </c>
      <c r="B7405" t="s">
        <v>281</v>
      </c>
      <c r="C7405" t="s">
        <v>10785</v>
      </c>
      <c r="D7405" t="s">
        <v>18049</v>
      </c>
      <c r="E7405" t="s">
        <v>24538</v>
      </c>
      <c r="F7405" t="s">
        <v>30900</v>
      </c>
      <c r="G7405" t="s">
        <v>30906</v>
      </c>
      <c r="H7405" t="s">
        <v>30916</v>
      </c>
      <c r="I7405" t="s">
        <v>4061</v>
      </c>
      <c r="J7405" t="s">
        <v>35760</v>
      </c>
      <c r="K7405" t="s">
        <v>40286</v>
      </c>
      <c r="M7405" t="s">
        <v>43172</v>
      </c>
      <c r="N7405" t="s">
        <v>44759</v>
      </c>
      <c r="O7405" t="s">
        <v>44760</v>
      </c>
      <c r="P7405">
        <v>0</v>
      </c>
      <c r="Q7405">
        <v>1</v>
      </c>
      <c r="R7405" t="s">
        <v>44767</v>
      </c>
      <c r="S7405" t="s">
        <v>44954</v>
      </c>
      <c r="T7405" t="s">
        <v>46777</v>
      </c>
      <c r="U7405" t="s">
        <v>53117</v>
      </c>
      <c r="W7405" t="s">
        <v>43172</v>
      </c>
      <c r="X7405" t="s">
        <v>44768</v>
      </c>
    </row>
    <row r="7406" spans="1:24">
      <c r="A7406">
        <f>HYPERLINK("https://www.philgeps.gov.ph/GEPSNONPILOT/Tender/SplashBidNoticeAbstractUI.aspx?menuIndex=3&amp;refID=7143904&amp;Result=3","7143904")</f>
        <v>0</v>
      </c>
      <c r="B7406" t="s">
        <v>753</v>
      </c>
      <c r="C7406" t="s">
        <v>10786</v>
      </c>
      <c r="D7406" t="s">
        <v>17976</v>
      </c>
      <c r="E7406" t="s">
        <v>24539</v>
      </c>
      <c r="F7406" t="s">
        <v>30900</v>
      </c>
      <c r="G7406" t="s">
        <v>30906</v>
      </c>
      <c r="H7406" t="s">
        <v>30916</v>
      </c>
      <c r="I7406" t="s">
        <v>9385</v>
      </c>
      <c r="J7406" t="s">
        <v>31939</v>
      </c>
      <c r="K7406" t="s">
        <v>40284</v>
      </c>
      <c r="L7406" t="s">
        <v>753</v>
      </c>
      <c r="M7406" t="s">
        <v>41317</v>
      </c>
      <c r="N7406" t="s">
        <v>44759</v>
      </c>
      <c r="O7406" t="s">
        <v>44760</v>
      </c>
      <c r="P7406">
        <v>0</v>
      </c>
      <c r="Q7406">
        <v>13</v>
      </c>
      <c r="R7406" t="s">
        <v>44767</v>
      </c>
      <c r="S7406" t="s">
        <v>44954</v>
      </c>
      <c r="T7406" t="s">
        <v>46403</v>
      </c>
      <c r="U7406" t="s">
        <v>53118</v>
      </c>
      <c r="V7406" t="s">
        <v>59295</v>
      </c>
      <c r="W7406" t="s">
        <v>41317</v>
      </c>
      <c r="X7406" t="s">
        <v>44768</v>
      </c>
    </row>
    <row r="7407" spans="1:24">
      <c r="A7407">
        <f>HYPERLINK("https://www.philgeps.gov.ph/GEPSNONPILOT/Tender/SplashBidNoticeAbstractUI.aspx?menuIndex=3&amp;refID=7143903&amp;Result=3","7143903")</f>
        <v>0</v>
      </c>
      <c r="B7407" t="s">
        <v>2505</v>
      </c>
      <c r="C7407" t="s">
        <v>10787</v>
      </c>
      <c r="D7407" t="s">
        <v>17971</v>
      </c>
      <c r="E7407" t="s">
        <v>24540</v>
      </c>
      <c r="F7407" t="s">
        <v>30904</v>
      </c>
      <c r="G7407" t="s">
        <v>30908</v>
      </c>
      <c r="H7407" t="s">
        <v>30916</v>
      </c>
      <c r="I7407" t="s">
        <v>30924</v>
      </c>
      <c r="J7407" t="s">
        <v>35761</v>
      </c>
      <c r="K7407" t="s">
        <v>40280</v>
      </c>
      <c r="M7407" t="s">
        <v>43250</v>
      </c>
      <c r="N7407" t="s">
        <v>44759</v>
      </c>
      <c r="O7407" t="s">
        <v>44760</v>
      </c>
      <c r="P7407">
        <v>0</v>
      </c>
      <c r="Q7407">
        <v>2</v>
      </c>
      <c r="R7407" t="s">
        <v>44767</v>
      </c>
      <c r="S7407" t="s">
        <v>44954</v>
      </c>
      <c r="T7407" t="s">
        <v>46644</v>
      </c>
      <c r="U7407" t="s">
        <v>53119</v>
      </c>
      <c r="W7407" t="s">
        <v>43250</v>
      </c>
      <c r="X7407" t="s">
        <v>44768</v>
      </c>
    </row>
    <row r="7408" spans="1:24">
      <c r="A7408">
        <f>HYPERLINK("https://www.philgeps.gov.ph/GEPSNONPILOT/Tender/SplashBidNoticeAbstractUI.aspx?menuIndex=3&amp;refID=7143897&amp;Result=3","7143897")</f>
        <v>0</v>
      </c>
      <c r="B7408" t="s">
        <v>180</v>
      </c>
      <c r="C7408" t="s">
        <v>10788</v>
      </c>
      <c r="D7408" t="s">
        <v>17987</v>
      </c>
      <c r="E7408" t="s">
        <v>24541</v>
      </c>
      <c r="F7408" t="s">
        <v>30900</v>
      </c>
      <c r="G7408" t="s">
        <v>30907</v>
      </c>
      <c r="H7408" t="s">
        <v>30916</v>
      </c>
      <c r="I7408" t="s">
        <v>30939</v>
      </c>
      <c r="J7408" t="s">
        <v>31522</v>
      </c>
      <c r="K7408" t="s">
        <v>40284</v>
      </c>
      <c r="M7408" t="s">
        <v>40727</v>
      </c>
      <c r="N7408" t="s">
        <v>44759</v>
      </c>
      <c r="O7408" t="s">
        <v>44760</v>
      </c>
      <c r="P7408">
        <v>0</v>
      </c>
      <c r="Q7408">
        <v>0</v>
      </c>
      <c r="R7408" t="s">
        <v>44767</v>
      </c>
      <c r="S7408" t="s">
        <v>44954</v>
      </c>
      <c r="T7408" t="s">
        <v>46533</v>
      </c>
      <c r="U7408" t="s">
        <v>53120</v>
      </c>
      <c r="W7408" t="s">
        <v>40727</v>
      </c>
      <c r="X7408" t="s">
        <v>44768</v>
      </c>
    </row>
    <row r="7409" spans="1:24">
      <c r="A7409">
        <f>HYPERLINK("https://www.philgeps.gov.ph/GEPSNONPILOT/Tender/SplashBidNoticeAbstractUI.aspx?menuIndex=3&amp;refID=7143895&amp;Result=3","7143895")</f>
        <v>0</v>
      </c>
      <c r="B7409" t="s">
        <v>2519</v>
      </c>
      <c r="C7409" t="s">
        <v>10789</v>
      </c>
      <c r="D7409" t="s">
        <v>18012</v>
      </c>
      <c r="E7409" t="s">
        <v>24542</v>
      </c>
      <c r="F7409" t="s">
        <v>30900</v>
      </c>
      <c r="G7409" t="s">
        <v>30907</v>
      </c>
      <c r="H7409" t="s">
        <v>30916</v>
      </c>
      <c r="I7409" t="s">
        <v>8123</v>
      </c>
      <c r="J7409" t="s">
        <v>35762</v>
      </c>
      <c r="K7409" t="s">
        <v>40289</v>
      </c>
      <c r="M7409" t="s">
        <v>43266</v>
      </c>
      <c r="N7409" t="s">
        <v>44759</v>
      </c>
      <c r="O7409" t="s">
        <v>44760</v>
      </c>
      <c r="P7409">
        <v>0</v>
      </c>
      <c r="Q7409">
        <v>0</v>
      </c>
      <c r="R7409" t="s">
        <v>44767</v>
      </c>
      <c r="S7409" t="s">
        <v>44954</v>
      </c>
      <c r="T7409" t="s">
        <v>46531</v>
      </c>
      <c r="U7409" t="s">
        <v>53121</v>
      </c>
      <c r="W7409" t="s">
        <v>43266</v>
      </c>
      <c r="X7409" t="s">
        <v>44768</v>
      </c>
    </row>
    <row r="7410" spans="1:24">
      <c r="A7410">
        <f>HYPERLINK("https://www.philgeps.gov.ph/GEPSNONPILOT/Tender/SplashBidNoticeAbstractUI.aspx?menuIndex=3&amp;refID=7143892&amp;Result=3","7143892")</f>
        <v>0</v>
      </c>
      <c r="B7410" t="s">
        <v>1428</v>
      </c>
      <c r="C7410" t="s">
        <v>10790</v>
      </c>
      <c r="D7410" t="s">
        <v>18017</v>
      </c>
      <c r="E7410" t="s">
        <v>24543</v>
      </c>
      <c r="F7410" t="s">
        <v>30900</v>
      </c>
      <c r="G7410" t="s">
        <v>30908</v>
      </c>
      <c r="H7410" t="s">
        <v>30916</v>
      </c>
      <c r="I7410" t="s">
        <v>30952</v>
      </c>
      <c r="J7410" t="s">
        <v>31686</v>
      </c>
      <c r="K7410" t="s">
        <v>40289</v>
      </c>
      <c r="M7410" t="s">
        <v>42059</v>
      </c>
      <c r="N7410" t="s">
        <v>44759</v>
      </c>
      <c r="O7410" t="s">
        <v>44760</v>
      </c>
      <c r="P7410">
        <v>0</v>
      </c>
      <c r="Q7410">
        <v>1</v>
      </c>
      <c r="R7410" t="s">
        <v>44767</v>
      </c>
      <c r="S7410" t="s">
        <v>44954</v>
      </c>
      <c r="T7410" t="s">
        <v>46390</v>
      </c>
      <c r="U7410" t="s">
        <v>53122</v>
      </c>
      <c r="W7410" t="s">
        <v>42059</v>
      </c>
      <c r="X7410" t="s">
        <v>44768</v>
      </c>
    </row>
    <row r="7411" spans="1:24">
      <c r="A7411">
        <f>HYPERLINK("https://www.philgeps.gov.ph/GEPSNONPILOT/Tender/SplashBidNoticeAbstractUI.aspx?menuIndex=3&amp;refID=7143908&amp;Result=3","7143908")</f>
        <v>0</v>
      </c>
      <c r="B7411" t="s">
        <v>2520</v>
      </c>
      <c r="C7411" t="s">
        <v>10791</v>
      </c>
      <c r="D7411" t="s">
        <v>17991</v>
      </c>
      <c r="E7411" t="s">
        <v>24544</v>
      </c>
      <c r="F7411" t="s">
        <v>30900</v>
      </c>
      <c r="G7411" t="s">
        <v>30907</v>
      </c>
      <c r="H7411" t="s">
        <v>30915</v>
      </c>
      <c r="I7411" t="s">
        <v>30919</v>
      </c>
      <c r="J7411" t="s">
        <v>31297</v>
      </c>
      <c r="K7411" t="s">
        <v>40342</v>
      </c>
      <c r="M7411" t="s">
        <v>43267</v>
      </c>
      <c r="N7411" t="s">
        <v>44759</v>
      </c>
      <c r="O7411" t="s">
        <v>44760</v>
      </c>
      <c r="P7411">
        <v>0</v>
      </c>
      <c r="Q7411">
        <v>0</v>
      </c>
      <c r="R7411" t="s">
        <v>44767</v>
      </c>
      <c r="S7411" t="s">
        <v>44954</v>
      </c>
      <c r="T7411" t="s">
        <v>46495</v>
      </c>
      <c r="U7411" t="s">
        <v>53123</v>
      </c>
      <c r="V7411" t="s">
        <v>59914</v>
      </c>
      <c r="W7411" t="s">
        <v>43267</v>
      </c>
      <c r="X7411" t="s">
        <v>44768</v>
      </c>
    </row>
    <row r="7412" spans="1:24">
      <c r="A7412">
        <f>HYPERLINK("https://www.philgeps.gov.ph/GEPSNONPILOT/Tender/SplashBidNoticeAbstractUI.aspx?menuIndex=3&amp;refID=7143941&amp;Result=3","7143941")</f>
        <v>0</v>
      </c>
      <c r="B7412" t="s">
        <v>788</v>
      </c>
      <c r="C7412" t="s">
        <v>10792</v>
      </c>
      <c r="D7412" t="s">
        <v>17959</v>
      </c>
      <c r="E7412" t="s">
        <v>24545</v>
      </c>
      <c r="F7412" t="s">
        <v>30900</v>
      </c>
      <c r="G7412" t="s">
        <v>30910</v>
      </c>
      <c r="H7412" t="s">
        <v>30916</v>
      </c>
      <c r="I7412" t="s">
        <v>6396</v>
      </c>
      <c r="J7412" t="s">
        <v>32033</v>
      </c>
      <c r="K7412" t="s">
        <v>40289</v>
      </c>
      <c r="M7412" t="s">
        <v>43268</v>
      </c>
      <c r="N7412" t="s">
        <v>44759</v>
      </c>
      <c r="O7412" t="s">
        <v>44760</v>
      </c>
      <c r="P7412">
        <v>0</v>
      </c>
      <c r="Q7412">
        <v>12</v>
      </c>
      <c r="R7412" t="s">
        <v>44767</v>
      </c>
      <c r="S7412" t="s">
        <v>44954</v>
      </c>
      <c r="T7412" t="s">
        <v>46686</v>
      </c>
      <c r="U7412" t="s">
        <v>53124</v>
      </c>
      <c r="V7412" t="s">
        <v>59915</v>
      </c>
      <c r="W7412" t="s">
        <v>43268</v>
      </c>
      <c r="X7412" t="s">
        <v>44768</v>
      </c>
    </row>
    <row r="7413" spans="1:24">
      <c r="A7413">
        <f>HYPERLINK("https://www.philgeps.gov.ph/GEPSNONPILOT/Tender/SplashBidNoticeAbstractUI.aspx?menuIndex=3&amp;refID=7143900&amp;Result=3","7143900")</f>
        <v>0</v>
      </c>
      <c r="B7413" t="s">
        <v>1153</v>
      </c>
      <c r="C7413" t="s">
        <v>10793</v>
      </c>
      <c r="E7413" t="s">
        <v>24546</v>
      </c>
      <c r="F7413" t="s">
        <v>30900</v>
      </c>
      <c r="G7413" t="s">
        <v>30907</v>
      </c>
      <c r="H7413" t="s">
        <v>30916</v>
      </c>
      <c r="I7413" t="s">
        <v>9385</v>
      </c>
      <c r="J7413" t="s">
        <v>32153</v>
      </c>
      <c r="K7413" t="s">
        <v>40289</v>
      </c>
      <c r="M7413" t="s">
        <v>43035</v>
      </c>
      <c r="N7413" t="s">
        <v>44759</v>
      </c>
      <c r="O7413" t="s">
        <v>44760</v>
      </c>
      <c r="P7413">
        <v>0</v>
      </c>
      <c r="Q7413">
        <v>13</v>
      </c>
      <c r="R7413" t="s">
        <v>44767</v>
      </c>
      <c r="S7413" t="s">
        <v>44954</v>
      </c>
      <c r="T7413" t="s">
        <v>46612</v>
      </c>
      <c r="U7413" t="s">
        <v>52464</v>
      </c>
      <c r="W7413" t="s">
        <v>43035</v>
      </c>
      <c r="X7413" t="s">
        <v>44768</v>
      </c>
    </row>
    <row r="7414" spans="1:24">
      <c r="A7414">
        <f>HYPERLINK("https://www.philgeps.gov.ph/GEPSNONPILOT/Tender/SplashBidNoticeAbstractUI.aspx?menuIndex=3&amp;refID=7143990&amp;Result=3","7143990")</f>
        <v>0</v>
      </c>
      <c r="B7414" t="s">
        <v>2521</v>
      </c>
      <c r="C7414" t="s">
        <v>10794</v>
      </c>
      <c r="D7414" t="s">
        <v>17978</v>
      </c>
      <c r="E7414" t="s">
        <v>24547</v>
      </c>
      <c r="F7414" t="s">
        <v>30900</v>
      </c>
      <c r="G7414" t="s">
        <v>30907</v>
      </c>
      <c r="H7414" t="s">
        <v>30916</v>
      </c>
      <c r="I7414" t="s">
        <v>8123</v>
      </c>
      <c r="J7414" t="s">
        <v>35763</v>
      </c>
      <c r="K7414" t="s">
        <v>40287</v>
      </c>
      <c r="M7414" t="s">
        <v>43269</v>
      </c>
      <c r="N7414" t="s">
        <v>44759</v>
      </c>
      <c r="O7414" t="s">
        <v>44760</v>
      </c>
      <c r="P7414">
        <v>0</v>
      </c>
      <c r="Q7414">
        <v>0</v>
      </c>
      <c r="R7414" t="s">
        <v>44767</v>
      </c>
      <c r="S7414" t="s">
        <v>44954</v>
      </c>
      <c r="T7414" t="s">
        <v>46533</v>
      </c>
      <c r="U7414" t="s">
        <v>53125</v>
      </c>
      <c r="V7414" t="s">
        <v>59916</v>
      </c>
      <c r="W7414" t="s">
        <v>43269</v>
      </c>
      <c r="X7414" t="s">
        <v>44768</v>
      </c>
    </row>
    <row r="7415" spans="1:24">
      <c r="A7415">
        <f>HYPERLINK("https://www.philgeps.gov.ph/GEPSNONPILOT/Tender/SplashBidNoticeAbstractUI.aspx?menuIndex=3&amp;refID=7143918&amp;Result=3","7143918")</f>
        <v>0</v>
      </c>
      <c r="B7415" t="s">
        <v>2226</v>
      </c>
      <c r="C7415" t="s">
        <v>10795</v>
      </c>
      <c r="D7415" t="s">
        <v>17955</v>
      </c>
      <c r="E7415" t="s">
        <v>24548</v>
      </c>
      <c r="F7415" t="s">
        <v>30900</v>
      </c>
      <c r="G7415" t="s">
        <v>30907</v>
      </c>
      <c r="H7415" t="s">
        <v>30915</v>
      </c>
      <c r="I7415" t="s">
        <v>30919</v>
      </c>
      <c r="J7415" t="s">
        <v>35764</v>
      </c>
      <c r="K7415" t="s">
        <v>40304</v>
      </c>
      <c r="M7415" t="s">
        <v>42936</v>
      </c>
      <c r="N7415" t="s">
        <v>44759</v>
      </c>
      <c r="O7415" t="s">
        <v>44760</v>
      </c>
      <c r="P7415">
        <v>0</v>
      </c>
      <c r="Q7415">
        <v>4</v>
      </c>
      <c r="R7415" t="s">
        <v>44767</v>
      </c>
      <c r="S7415" t="s">
        <v>44954</v>
      </c>
      <c r="T7415" t="s">
        <v>46397</v>
      </c>
      <c r="U7415" t="s">
        <v>53126</v>
      </c>
      <c r="W7415" t="s">
        <v>42936</v>
      </c>
      <c r="X7415" t="s">
        <v>44768</v>
      </c>
    </row>
    <row r="7416" spans="1:24">
      <c r="A7416">
        <f>HYPERLINK("https://www.philgeps.gov.ph/GEPSNONPILOT/Tender/SplashBidNoticeAbstractUI.aspx?menuIndex=3&amp;refID=7143986&amp;Result=3","7143986")</f>
        <v>0</v>
      </c>
      <c r="B7416" t="s">
        <v>1712</v>
      </c>
      <c r="C7416" t="s">
        <v>10796</v>
      </c>
      <c r="D7416" t="s">
        <v>17971</v>
      </c>
      <c r="E7416" t="s">
        <v>24549</v>
      </c>
      <c r="F7416" t="s">
        <v>30899</v>
      </c>
      <c r="G7416" t="s">
        <v>30908</v>
      </c>
      <c r="H7416" t="s">
        <v>30916</v>
      </c>
      <c r="I7416" t="s">
        <v>4061</v>
      </c>
      <c r="J7416" t="s">
        <v>31341</v>
      </c>
      <c r="K7416" t="s">
        <v>40283</v>
      </c>
      <c r="M7416" t="s">
        <v>42375</v>
      </c>
      <c r="N7416" t="s">
        <v>44759</v>
      </c>
      <c r="O7416" t="s">
        <v>44760</v>
      </c>
      <c r="P7416">
        <v>0</v>
      </c>
      <c r="Q7416">
        <v>1</v>
      </c>
      <c r="R7416" t="s">
        <v>44767</v>
      </c>
      <c r="S7416" t="s">
        <v>44954</v>
      </c>
      <c r="T7416" t="s">
        <v>46403</v>
      </c>
      <c r="U7416" t="s">
        <v>53127</v>
      </c>
      <c r="W7416" t="s">
        <v>42375</v>
      </c>
      <c r="X7416" t="s">
        <v>44768</v>
      </c>
    </row>
    <row r="7417" spans="1:24">
      <c r="A7417">
        <f>HYPERLINK("https://www.philgeps.gov.ph/GEPSNONPILOT/Tender/SplashBidNoticeAbstractUI.aspx?menuIndex=3&amp;refID=7143974&amp;Result=3","7143974")</f>
        <v>0</v>
      </c>
      <c r="B7417" t="s">
        <v>2481</v>
      </c>
      <c r="C7417" t="s">
        <v>10797</v>
      </c>
      <c r="D7417" t="s">
        <v>18029</v>
      </c>
      <c r="E7417" t="s">
        <v>24550</v>
      </c>
      <c r="F7417" t="s">
        <v>30900</v>
      </c>
      <c r="G7417" t="s">
        <v>30907</v>
      </c>
      <c r="H7417" t="s">
        <v>30915</v>
      </c>
      <c r="I7417" t="s">
        <v>30919</v>
      </c>
      <c r="J7417" t="s">
        <v>32049</v>
      </c>
      <c r="K7417" t="s">
        <v>40292</v>
      </c>
      <c r="M7417" t="s">
        <v>43222</v>
      </c>
      <c r="N7417" t="s">
        <v>44759</v>
      </c>
      <c r="O7417" t="s">
        <v>44760</v>
      </c>
      <c r="P7417">
        <v>0</v>
      </c>
      <c r="Q7417">
        <v>0</v>
      </c>
      <c r="R7417" t="s">
        <v>44767</v>
      </c>
      <c r="S7417" t="s">
        <v>44954</v>
      </c>
      <c r="T7417" t="s">
        <v>46595</v>
      </c>
      <c r="U7417" t="s">
        <v>53128</v>
      </c>
      <c r="V7417" t="s">
        <v>59892</v>
      </c>
      <c r="W7417" t="s">
        <v>43222</v>
      </c>
      <c r="X7417" t="s">
        <v>44768</v>
      </c>
    </row>
    <row r="7418" spans="1:24">
      <c r="A7418">
        <f>HYPERLINK("https://www.philgeps.gov.ph/GEPSNONPILOT/Tender/SplashBidNoticeAbstractUI.aspx?menuIndex=3&amp;refID=7143978&amp;Result=3","7143978")</f>
        <v>0</v>
      </c>
      <c r="B7418" t="s">
        <v>753</v>
      </c>
      <c r="C7418" t="s">
        <v>10798</v>
      </c>
      <c r="D7418" t="s">
        <v>17976</v>
      </c>
      <c r="E7418" t="s">
        <v>24551</v>
      </c>
      <c r="F7418" t="s">
        <v>30900</v>
      </c>
      <c r="G7418" t="s">
        <v>30906</v>
      </c>
      <c r="H7418" t="s">
        <v>30916</v>
      </c>
      <c r="I7418" t="s">
        <v>9385</v>
      </c>
      <c r="J7418" t="s">
        <v>35765</v>
      </c>
      <c r="K7418" t="s">
        <v>40284</v>
      </c>
      <c r="L7418" t="s">
        <v>753</v>
      </c>
      <c r="M7418" t="s">
        <v>41317</v>
      </c>
      <c r="N7418" t="s">
        <v>44759</v>
      </c>
      <c r="O7418" t="s">
        <v>44760</v>
      </c>
      <c r="P7418">
        <v>0</v>
      </c>
      <c r="Q7418">
        <v>13</v>
      </c>
      <c r="R7418" t="s">
        <v>44767</v>
      </c>
      <c r="S7418" t="s">
        <v>44954</v>
      </c>
      <c r="T7418" t="s">
        <v>46403</v>
      </c>
      <c r="U7418" t="s">
        <v>53118</v>
      </c>
      <c r="V7418" t="s">
        <v>59295</v>
      </c>
      <c r="W7418" t="s">
        <v>41317</v>
      </c>
      <c r="X7418" t="s">
        <v>44768</v>
      </c>
    </row>
    <row r="7419" spans="1:24">
      <c r="A7419">
        <f>HYPERLINK("https://www.philgeps.gov.ph/GEPSNONPILOT/Tender/SplashBidNoticeAbstractUI.aspx?menuIndex=3&amp;refID=7143966&amp;Result=3","7143966")</f>
        <v>0</v>
      </c>
      <c r="B7419" t="s">
        <v>1362</v>
      </c>
      <c r="C7419" t="s">
        <v>10799</v>
      </c>
      <c r="D7419" t="s">
        <v>17993</v>
      </c>
      <c r="E7419" t="s">
        <v>22025</v>
      </c>
      <c r="F7419" t="s">
        <v>30900</v>
      </c>
      <c r="G7419" t="s">
        <v>30907</v>
      </c>
      <c r="H7419" t="s">
        <v>30916</v>
      </c>
      <c r="I7419" t="s">
        <v>30933</v>
      </c>
      <c r="J7419" t="s">
        <v>35766</v>
      </c>
      <c r="K7419" t="s">
        <v>40283</v>
      </c>
      <c r="M7419" t="s">
        <v>41984</v>
      </c>
      <c r="N7419" t="s">
        <v>44759</v>
      </c>
      <c r="O7419" t="s">
        <v>44760</v>
      </c>
      <c r="P7419">
        <v>0</v>
      </c>
      <c r="Q7419">
        <v>3</v>
      </c>
      <c r="R7419" t="s">
        <v>44767</v>
      </c>
      <c r="S7419" t="s">
        <v>44954</v>
      </c>
      <c r="T7419" t="s">
        <v>46533</v>
      </c>
      <c r="U7419" t="s">
        <v>53129</v>
      </c>
      <c r="W7419" t="s">
        <v>41984</v>
      </c>
      <c r="X7419" t="s">
        <v>44768</v>
      </c>
    </row>
    <row r="7420" spans="1:24">
      <c r="A7420">
        <f>HYPERLINK("https://www.philgeps.gov.ph/GEPSNONPILOT/Tender/SplashBidNoticeAbstractUI.aspx?menuIndex=3&amp;refID=7143988&amp;Result=3","7143988")</f>
        <v>0</v>
      </c>
      <c r="B7420" t="s">
        <v>187</v>
      </c>
      <c r="C7420" t="s">
        <v>10800</v>
      </c>
      <c r="D7420" t="s">
        <v>17952</v>
      </c>
      <c r="E7420" t="s">
        <v>24552</v>
      </c>
      <c r="F7420" t="s">
        <v>30900</v>
      </c>
      <c r="G7420" t="s">
        <v>30908</v>
      </c>
      <c r="H7420" t="s">
        <v>30915</v>
      </c>
      <c r="I7420" t="s">
        <v>30919</v>
      </c>
      <c r="J7420" t="s">
        <v>35767</v>
      </c>
      <c r="K7420" t="s">
        <v>40302</v>
      </c>
      <c r="M7420" t="s">
        <v>40734</v>
      </c>
      <c r="N7420" t="s">
        <v>44759</v>
      </c>
      <c r="O7420" t="s">
        <v>44760</v>
      </c>
      <c r="P7420">
        <v>0</v>
      </c>
      <c r="Q7420">
        <v>2</v>
      </c>
      <c r="R7420" t="s">
        <v>44767</v>
      </c>
      <c r="S7420" t="s">
        <v>44954</v>
      </c>
      <c r="T7420" t="s">
        <v>46778</v>
      </c>
      <c r="U7420" t="s">
        <v>53130</v>
      </c>
      <c r="W7420" t="s">
        <v>40734</v>
      </c>
      <c r="X7420" t="s">
        <v>44768</v>
      </c>
    </row>
    <row r="7421" spans="1:24">
      <c r="A7421">
        <f>HYPERLINK("https://www.philgeps.gov.ph/GEPSNONPILOT/Tender/SplashBidNoticeAbstractUI.aspx?menuIndex=3&amp;refID=7143839&amp;Result=3","7143839")</f>
        <v>0</v>
      </c>
      <c r="B7421" t="s">
        <v>465</v>
      </c>
      <c r="C7421" t="s">
        <v>10801</v>
      </c>
      <c r="D7421" t="s">
        <v>17974</v>
      </c>
      <c r="E7421" t="s">
        <v>22019</v>
      </c>
      <c r="F7421" t="s">
        <v>30900</v>
      </c>
      <c r="G7421" t="s">
        <v>30907</v>
      </c>
      <c r="H7421" t="s">
        <v>30917</v>
      </c>
      <c r="I7421" t="s">
        <v>30942</v>
      </c>
      <c r="J7421" t="s">
        <v>31094</v>
      </c>
      <c r="K7421" t="s">
        <v>40332</v>
      </c>
      <c r="M7421" t="s">
        <v>43270</v>
      </c>
      <c r="N7421" t="s">
        <v>44759</v>
      </c>
      <c r="O7421" t="s">
        <v>44760</v>
      </c>
      <c r="Q7421">
        <v>12</v>
      </c>
      <c r="R7421" t="s">
        <v>44767</v>
      </c>
      <c r="S7421" t="s">
        <v>44944</v>
      </c>
      <c r="T7421" t="s">
        <v>46504</v>
      </c>
      <c r="U7421" t="s">
        <v>53131</v>
      </c>
      <c r="V7421" t="s">
        <v>59917</v>
      </c>
      <c r="W7421" t="s">
        <v>43270</v>
      </c>
      <c r="X7421" t="s">
        <v>44768</v>
      </c>
    </row>
    <row r="7422" spans="1:24">
      <c r="A7422">
        <f>HYPERLINK("https://www.philgeps.gov.ph/GEPSNONPILOT/Tender/SplashBidNoticeAbstractUI.aspx?menuIndex=3&amp;refID=7143971&amp;Result=3","7143971")</f>
        <v>0</v>
      </c>
      <c r="B7422" t="s">
        <v>359</v>
      </c>
      <c r="C7422" t="s">
        <v>10802</v>
      </c>
      <c r="D7422" t="s">
        <v>17960</v>
      </c>
      <c r="E7422" t="s">
        <v>24553</v>
      </c>
      <c r="F7422" t="s">
        <v>30900</v>
      </c>
      <c r="G7422" t="s">
        <v>30906</v>
      </c>
      <c r="H7422" t="s">
        <v>30916</v>
      </c>
      <c r="I7422" t="s">
        <v>4108</v>
      </c>
      <c r="J7422" t="s">
        <v>31066</v>
      </c>
      <c r="K7422" t="s">
        <v>40441</v>
      </c>
      <c r="L7422" t="s">
        <v>359</v>
      </c>
      <c r="M7422" t="s">
        <v>40913</v>
      </c>
      <c r="N7422" t="s">
        <v>44759</v>
      </c>
      <c r="O7422" t="s">
        <v>44760</v>
      </c>
      <c r="P7422">
        <v>0</v>
      </c>
      <c r="Q7422">
        <v>0</v>
      </c>
      <c r="R7422" t="s">
        <v>44767</v>
      </c>
      <c r="S7422" t="s">
        <v>44954</v>
      </c>
      <c r="T7422" t="s">
        <v>46391</v>
      </c>
      <c r="U7422" t="s">
        <v>53132</v>
      </c>
      <c r="W7422" t="s">
        <v>40913</v>
      </c>
      <c r="X7422" t="s">
        <v>44768</v>
      </c>
    </row>
    <row r="7423" spans="1:24">
      <c r="A7423">
        <f>HYPERLINK("https://www.philgeps.gov.ph/GEPSNONPILOT/Tender/SplashBidNoticeAbstractUI.aspx?menuIndex=3&amp;refID=7143910&amp;Result=3","7143910")</f>
        <v>0</v>
      </c>
      <c r="B7423" t="s">
        <v>787</v>
      </c>
      <c r="C7423" t="s">
        <v>10803</v>
      </c>
      <c r="D7423" t="s">
        <v>17987</v>
      </c>
      <c r="E7423" t="s">
        <v>24554</v>
      </c>
      <c r="F7423" t="s">
        <v>30900</v>
      </c>
      <c r="G7423" t="s">
        <v>30907</v>
      </c>
      <c r="H7423" t="s">
        <v>30915</v>
      </c>
      <c r="I7423" t="s">
        <v>30919</v>
      </c>
      <c r="J7423" t="s">
        <v>35768</v>
      </c>
      <c r="K7423" t="s">
        <v>40289</v>
      </c>
      <c r="M7423" t="s">
        <v>41356</v>
      </c>
      <c r="N7423" t="s">
        <v>44759</v>
      </c>
      <c r="O7423" t="s">
        <v>44760</v>
      </c>
      <c r="P7423">
        <v>0</v>
      </c>
      <c r="Q7423">
        <v>0</v>
      </c>
      <c r="R7423" t="s">
        <v>44767</v>
      </c>
      <c r="S7423" t="s">
        <v>44954</v>
      </c>
      <c r="T7423" t="s">
        <v>46495</v>
      </c>
      <c r="U7423" t="s">
        <v>53133</v>
      </c>
      <c r="W7423" t="s">
        <v>41356</v>
      </c>
      <c r="X7423" t="s">
        <v>44768</v>
      </c>
    </row>
    <row r="7424" spans="1:24">
      <c r="A7424">
        <f>HYPERLINK("https://www.philgeps.gov.ph/GEPSNONPILOT/Tender/SplashBidNoticeAbstractUI.aspx?menuIndex=3&amp;refID=7143962&amp;Result=3","7143962")</f>
        <v>0</v>
      </c>
      <c r="B7424" t="s">
        <v>1043</v>
      </c>
      <c r="C7424" t="s">
        <v>10804</v>
      </c>
      <c r="D7424" t="s">
        <v>18000</v>
      </c>
      <c r="E7424" t="s">
        <v>24555</v>
      </c>
      <c r="F7424" t="s">
        <v>30900</v>
      </c>
      <c r="G7424" t="s">
        <v>30907</v>
      </c>
      <c r="H7424" t="s">
        <v>30916</v>
      </c>
      <c r="I7424" t="s">
        <v>6953</v>
      </c>
      <c r="J7424" t="s">
        <v>35769</v>
      </c>
      <c r="K7424" t="s">
        <v>40289</v>
      </c>
      <c r="M7424" t="s">
        <v>43271</v>
      </c>
      <c r="N7424" t="s">
        <v>44759</v>
      </c>
      <c r="O7424" t="s">
        <v>44760</v>
      </c>
      <c r="P7424">
        <v>0</v>
      </c>
      <c r="Q7424">
        <v>0</v>
      </c>
      <c r="R7424" t="s">
        <v>44767</v>
      </c>
      <c r="S7424" t="s">
        <v>44954</v>
      </c>
      <c r="T7424" t="s">
        <v>46531</v>
      </c>
      <c r="U7424" t="s">
        <v>53134</v>
      </c>
      <c r="W7424" t="s">
        <v>43271</v>
      </c>
      <c r="X7424" t="s">
        <v>44768</v>
      </c>
    </row>
    <row r="7425" spans="1:24">
      <c r="A7425">
        <f>HYPERLINK("https://www.philgeps.gov.ph/GEPSNONPILOT/Tender/SplashBidNoticeAbstractUI.aspx?menuIndex=3&amp;refID=7143956&amp;Result=3","7143956")</f>
        <v>0</v>
      </c>
      <c r="B7425" t="s">
        <v>2522</v>
      </c>
      <c r="C7425" t="s">
        <v>10805</v>
      </c>
      <c r="D7425" t="s">
        <v>18012</v>
      </c>
      <c r="E7425" t="s">
        <v>24556</v>
      </c>
      <c r="F7425" t="s">
        <v>30900</v>
      </c>
      <c r="G7425" t="s">
        <v>30907</v>
      </c>
      <c r="H7425" t="s">
        <v>30916</v>
      </c>
      <c r="I7425" t="s">
        <v>30963</v>
      </c>
      <c r="J7425" t="s">
        <v>31043</v>
      </c>
      <c r="K7425" t="s">
        <v>40289</v>
      </c>
      <c r="M7425" t="s">
        <v>43272</v>
      </c>
      <c r="N7425" t="s">
        <v>44759</v>
      </c>
      <c r="O7425" t="s">
        <v>44760</v>
      </c>
      <c r="P7425">
        <v>0</v>
      </c>
      <c r="Q7425">
        <v>0</v>
      </c>
      <c r="R7425" t="s">
        <v>44767</v>
      </c>
      <c r="S7425" t="s">
        <v>44954</v>
      </c>
      <c r="T7425" t="s">
        <v>46779</v>
      </c>
      <c r="U7425" t="s">
        <v>53135</v>
      </c>
      <c r="W7425" t="s">
        <v>43272</v>
      </c>
      <c r="X7425" t="s">
        <v>44768</v>
      </c>
    </row>
    <row r="7426" spans="1:24">
      <c r="A7426">
        <f>HYPERLINK("https://www.philgeps.gov.ph/GEPSNONPILOT/Tender/SplashBidNoticeAbstractUI.aspx?menuIndex=3&amp;refID=7143953&amp;Result=3","7143953")</f>
        <v>0</v>
      </c>
      <c r="B7426" t="s">
        <v>459</v>
      </c>
      <c r="C7426" t="s">
        <v>10806</v>
      </c>
      <c r="D7426" t="s">
        <v>17978</v>
      </c>
      <c r="E7426" t="s">
        <v>24557</v>
      </c>
      <c r="F7426" t="s">
        <v>30900</v>
      </c>
      <c r="G7426" t="s">
        <v>30907</v>
      </c>
      <c r="H7426" t="s">
        <v>30915</v>
      </c>
      <c r="I7426" t="s">
        <v>30919</v>
      </c>
      <c r="J7426" t="s">
        <v>35770</v>
      </c>
      <c r="K7426" t="s">
        <v>40293</v>
      </c>
      <c r="M7426" t="s">
        <v>41017</v>
      </c>
      <c r="N7426" t="s">
        <v>44759</v>
      </c>
      <c r="O7426" t="s">
        <v>44760</v>
      </c>
      <c r="P7426">
        <v>0</v>
      </c>
      <c r="Q7426">
        <v>5</v>
      </c>
      <c r="R7426" t="s">
        <v>44767</v>
      </c>
      <c r="S7426" t="s">
        <v>44954</v>
      </c>
      <c r="T7426" t="s">
        <v>46455</v>
      </c>
      <c r="U7426" t="s">
        <v>53106</v>
      </c>
      <c r="W7426" t="s">
        <v>41017</v>
      </c>
      <c r="X7426" t="s">
        <v>44768</v>
      </c>
    </row>
    <row r="7427" spans="1:24">
      <c r="A7427">
        <f>HYPERLINK("https://www.philgeps.gov.ph/GEPSNONPILOT/Tender/SplashBidNoticeAbstractUI.aspx?menuIndex=3&amp;refID=7143967&amp;Result=3","7143967")</f>
        <v>0</v>
      </c>
      <c r="B7427" t="s">
        <v>2523</v>
      </c>
      <c r="C7427" t="s">
        <v>9971</v>
      </c>
      <c r="D7427" t="s">
        <v>17998</v>
      </c>
      <c r="E7427" t="s">
        <v>24558</v>
      </c>
      <c r="F7427" t="s">
        <v>30900</v>
      </c>
      <c r="G7427" t="s">
        <v>30909</v>
      </c>
      <c r="H7427" t="s">
        <v>30916</v>
      </c>
      <c r="I7427" t="s">
        <v>10879</v>
      </c>
      <c r="J7427" t="s">
        <v>32102</v>
      </c>
      <c r="K7427" t="s">
        <v>40287</v>
      </c>
      <c r="M7427" t="s">
        <v>43273</v>
      </c>
      <c r="N7427" t="s">
        <v>44759</v>
      </c>
      <c r="O7427" t="s">
        <v>44760</v>
      </c>
      <c r="P7427">
        <v>0</v>
      </c>
      <c r="Q7427">
        <v>3</v>
      </c>
      <c r="R7427" t="s">
        <v>44767</v>
      </c>
      <c r="S7427" t="s">
        <v>44954</v>
      </c>
      <c r="T7427" t="s">
        <v>46414</v>
      </c>
      <c r="U7427" t="s">
        <v>53136</v>
      </c>
      <c r="W7427" t="s">
        <v>43273</v>
      </c>
      <c r="X7427" t="s">
        <v>44768</v>
      </c>
    </row>
    <row r="7428" spans="1:24">
      <c r="A7428">
        <f>HYPERLINK("https://www.philgeps.gov.ph/GEPSNONPILOT/Tender/SplashBidNoticeAbstractUI.aspx?menuIndex=3&amp;refID=7144029&amp;Result=3","7144029")</f>
        <v>0</v>
      </c>
      <c r="B7428" t="s">
        <v>787</v>
      </c>
      <c r="C7428" t="s">
        <v>10807</v>
      </c>
      <c r="D7428" t="s">
        <v>17987</v>
      </c>
      <c r="E7428" t="s">
        <v>24559</v>
      </c>
      <c r="F7428" t="s">
        <v>30900</v>
      </c>
      <c r="G7428" t="s">
        <v>30907</v>
      </c>
      <c r="H7428" t="s">
        <v>30916</v>
      </c>
      <c r="I7428" t="s">
        <v>8123</v>
      </c>
      <c r="J7428" t="s">
        <v>35771</v>
      </c>
      <c r="K7428" t="s">
        <v>40289</v>
      </c>
      <c r="M7428" t="s">
        <v>41356</v>
      </c>
      <c r="N7428" t="s">
        <v>44759</v>
      </c>
      <c r="O7428" t="s">
        <v>44760</v>
      </c>
      <c r="P7428">
        <v>0</v>
      </c>
      <c r="Q7428">
        <v>0</v>
      </c>
      <c r="R7428" t="s">
        <v>44767</v>
      </c>
      <c r="S7428" t="s">
        <v>44954</v>
      </c>
      <c r="T7428" t="s">
        <v>46409</v>
      </c>
      <c r="U7428" t="s">
        <v>53137</v>
      </c>
      <c r="W7428" t="s">
        <v>41356</v>
      </c>
      <c r="X7428" t="s">
        <v>44768</v>
      </c>
    </row>
    <row r="7429" spans="1:24">
      <c r="A7429">
        <f>HYPERLINK("https://www.philgeps.gov.ph/GEPSNONPILOT/Tender/SplashBidNoticeAbstractUI.aspx?menuIndex=3&amp;refID=7144028&amp;Result=3","7144028")</f>
        <v>0</v>
      </c>
      <c r="B7429" t="s">
        <v>1362</v>
      </c>
      <c r="C7429" t="s">
        <v>10808</v>
      </c>
      <c r="D7429" t="s">
        <v>17993</v>
      </c>
      <c r="E7429" t="s">
        <v>22025</v>
      </c>
      <c r="F7429" t="s">
        <v>30900</v>
      </c>
      <c r="G7429" t="s">
        <v>30907</v>
      </c>
      <c r="H7429" t="s">
        <v>30916</v>
      </c>
      <c r="I7429" t="s">
        <v>30933</v>
      </c>
      <c r="J7429" t="s">
        <v>31297</v>
      </c>
      <c r="K7429" t="s">
        <v>40283</v>
      </c>
      <c r="M7429" t="s">
        <v>41984</v>
      </c>
      <c r="N7429" t="s">
        <v>44759</v>
      </c>
      <c r="O7429" t="s">
        <v>44760</v>
      </c>
      <c r="P7429">
        <v>0</v>
      </c>
      <c r="Q7429">
        <v>6</v>
      </c>
      <c r="R7429" t="s">
        <v>44767</v>
      </c>
      <c r="S7429" t="s">
        <v>44954</v>
      </c>
      <c r="T7429" t="s">
        <v>46533</v>
      </c>
      <c r="U7429" t="s">
        <v>53138</v>
      </c>
      <c r="W7429" t="s">
        <v>41984</v>
      </c>
      <c r="X7429" t="s">
        <v>44768</v>
      </c>
    </row>
    <row r="7430" spans="1:24">
      <c r="A7430">
        <f>HYPERLINK("https://www.philgeps.gov.ph/GEPSNONPILOT/Tender/SplashBidNoticeAbstractUI.aspx?menuIndex=3&amp;refID=7143963&amp;Result=3","7143963")</f>
        <v>0</v>
      </c>
      <c r="B7430" t="s">
        <v>2505</v>
      </c>
      <c r="C7430" t="s">
        <v>10809</v>
      </c>
      <c r="D7430" t="s">
        <v>17971</v>
      </c>
      <c r="E7430" t="s">
        <v>24560</v>
      </c>
      <c r="F7430" t="s">
        <v>30900</v>
      </c>
      <c r="G7430" t="s">
        <v>30908</v>
      </c>
      <c r="H7430" t="s">
        <v>30916</v>
      </c>
      <c r="I7430" t="s">
        <v>30924</v>
      </c>
      <c r="J7430" t="s">
        <v>35772</v>
      </c>
      <c r="K7430" t="s">
        <v>40286</v>
      </c>
      <c r="M7430" t="s">
        <v>43250</v>
      </c>
      <c r="N7430" t="s">
        <v>44759</v>
      </c>
      <c r="O7430" t="s">
        <v>44760</v>
      </c>
      <c r="P7430">
        <v>0</v>
      </c>
      <c r="Q7430">
        <v>2</v>
      </c>
      <c r="R7430" t="s">
        <v>44767</v>
      </c>
      <c r="S7430" t="s">
        <v>44954</v>
      </c>
      <c r="T7430" t="s">
        <v>46666</v>
      </c>
      <c r="U7430" t="s">
        <v>53139</v>
      </c>
      <c r="W7430" t="s">
        <v>43250</v>
      </c>
      <c r="X7430" t="s">
        <v>44768</v>
      </c>
    </row>
    <row r="7431" spans="1:24">
      <c r="A7431">
        <f>HYPERLINK("https://www.philgeps.gov.ph/GEPSNONPILOT/Tender/SplashBidNoticeAbstractUI.aspx?menuIndex=3&amp;refID=7143960&amp;Result=3","7143960")</f>
        <v>0</v>
      </c>
      <c r="B7431" t="s">
        <v>177</v>
      </c>
      <c r="C7431" t="s">
        <v>10810</v>
      </c>
      <c r="D7431" t="s">
        <v>17999</v>
      </c>
      <c r="E7431" t="s">
        <v>24561</v>
      </c>
      <c r="F7431" t="s">
        <v>30900</v>
      </c>
      <c r="G7431" t="s">
        <v>30907</v>
      </c>
      <c r="H7431" t="s">
        <v>30915</v>
      </c>
      <c r="I7431" t="s">
        <v>30919</v>
      </c>
      <c r="J7431" t="s">
        <v>31313</v>
      </c>
      <c r="K7431" t="s">
        <v>40283</v>
      </c>
      <c r="M7431" t="s">
        <v>40724</v>
      </c>
      <c r="N7431" t="s">
        <v>44759</v>
      </c>
      <c r="O7431" t="s">
        <v>44760</v>
      </c>
      <c r="P7431">
        <v>0</v>
      </c>
      <c r="Q7431">
        <v>0</v>
      </c>
      <c r="R7431" t="s">
        <v>44767</v>
      </c>
      <c r="S7431" t="s">
        <v>44954</v>
      </c>
      <c r="T7431" t="s">
        <v>46780</v>
      </c>
      <c r="U7431" t="s">
        <v>53140</v>
      </c>
      <c r="V7431" t="s">
        <v>59918</v>
      </c>
      <c r="W7431" t="s">
        <v>40724</v>
      </c>
      <c r="X7431" t="s">
        <v>44768</v>
      </c>
    </row>
    <row r="7432" spans="1:24">
      <c r="A7432">
        <f>HYPERLINK("https://www.philgeps.gov.ph/GEPSNONPILOT/Tender/SplashBidNoticeAbstractUI.aspx?menuIndex=3&amp;refID=7144023&amp;Result=3","7144023")</f>
        <v>0</v>
      </c>
      <c r="B7432" t="s">
        <v>229</v>
      </c>
      <c r="C7432" t="s">
        <v>10811</v>
      </c>
      <c r="D7432" t="s">
        <v>18018</v>
      </c>
      <c r="E7432" t="s">
        <v>24562</v>
      </c>
      <c r="F7432" t="s">
        <v>30900</v>
      </c>
      <c r="G7432" t="s">
        <v>30909</v>
      </c>
      <c r="H7432" t="s">
        <v>30916</v>
      </c>
      <c r="I7432" t="s">
        <v>4142</v>
      </c>
      <c r="J7432" t="s">
        <v>35773</v>
      </c>
      <c r="K7432" t="s">
        <v>40283</v>
      </c>
      <c r="M7432" t="s">
        <v>40776</v>
      </c>
      <c r="N7432" t="s">
        <v>44759</v>
      </c>
      <c r="O7432" t="s">
        <v>44760</v>
      </c>
      <c r="P7432">
        <v>0</v>
      </c>
      <c r="Q7432">
        <v>5</v>
      </c>
      <c r="R7432" t="s">
        <v>44767</v>
      </c>
      <c r="S7432" t="s">
        <v>44954</v>
      </c>
      <c r="T7432" t="s">
        <v>46625</v>
      </c>
      <c r="U7432" t="s">
        <v>53141</v>
      </c>
      <c r="V7432" t="s">
        <v>59149</v>
      </c>
      <c r="W7432" t="s">
        <v>40776</v>
      </c>
      <c r="X7432" t="s">
        <v>44768</v>
      </c>
    </row>
    <row r="7433" spans="1:24">
      <c r="A7433">
        <f>HYPERLINK("https://www.philgeps.gov.ph/GEPSNONPILOT/Tender/SplashBidNoticeAbstractUI.aspx?menuIndex=3&amp;refID=7143951&amp;Result=3","7143951")</f>
        <v>0</v>
      </c>
      <c r="B7433" t="s">
        <v>326</v>
      </c>
      <c r="C7433" t="s">
        <v>10812</v>
      </c>
      <c r="E7433" t="s">
        <v>24563</v>
      </c>
      <c r="F7433" t="s">
        <v>30900</v>
      </c>
      <c r="G7433" t="s">
        <v>30908</v>
      </c>
      <c r="H7433" t="s">
        <v>30916</v>
      </c>
      <c r="I7433" t="s">
        <v>9385</v>
      </c>
      <c r="J7433" t="s">
        <v>35774</v>
      </c>
      <c r="K7433" t="s">
        <v>40289</v>
      </c>
      <c r="M7433" t="s">
        <v>43274</v>
      </c>
      <c r="N7433" t="s">
        <v>44759</v>
      </c>
      <c r="O7433" t="s">
        <v>44760</v>
      </c>
      <c r="P7433">
        <v>0</v>
      </c>
      <c r="Q7433">
        <v>29</v>
      </c>
      <c r="R7433" t="s">
        <v>44767</v>
      </c>
      <c r="S7433" t="s">
        <v>44954</v>
      </c>
      <c r="T7433" t="s">
        <v>46391</v>
      </c>
      <c r="U7433" t="s">
        <v>50643</v>
      </c>
      <c r="W7433" t="s">
        <v>43274</v>
      </c>
      <c r="X7433" t="s">
        <v>44768</v>
      </c>
    </row>
    <row r="7434" spans="1:24">
      <c r="A7434">
        <f>HYPERLINK("https://www.philgeps.gov.ph/GEPSNONPILOT/Tender/SplashBidNoticeAbstractUI.aspx?menuIndex=3&amp;refID=7143948&amp;Result=3","7143948")</f>
        <v>0</v>
      </c>
      <c r="B7434" t="s">
        <v>1362</v>
      </c>
      <c r="C7434" t="s">
        <v>10813</v>
      </c>
      <c r="D7434" t="s">
        <v>18038</v>
      </c>
      <c r="E7434" t="s">
        <v>22025</v>
      </c>
      <c r="F7434" t="s">
        <v>30900</v>
      </c>
      <c r="G7434" t="s">
        <v>30907</v>
      </c>
      <c r="H7434" t="s">
        <v>30916</v>
      </c>
      <c r="I7434" t="s">
        <v>30933</v>
      </c>
      <c r="J7434" t="s">
        <v>35229</v>
      </c>
      <c r="K7434" t="s">
        <v>40283</v>
      </c>
      <c r="M7434" t="s">
        <v>41984</v>
      </c>
      <c r="N7434" t="s">
        <v>44759</v>
      </c>
      <c r="O7434" t="s">
        <v>44760</v>
      </c>
      <c r="P7434">
        <v>0</v>
      </c>
      <c r="Q7434">
        <v>4</v>
      </c>
      <c r="R7434" t="s">
        <v>44767</v>
      </c>
      <c r="S7434" t="s">
        <v>44954</v>
      </c>
      <c r="T7434" t="s">
        <v>46533</v>
      </c>
      <c r="U7434" t="s">
        <v>53142</v>
      </c>
      <c r="W7434" t="s">
        <v>41984</v>
      </c>
      <c r="X7434" t="s">
        <v>44768</v>
      </c>
    </row>
    <row r="7435" spans="1:24">
      <c r="A7435">
        <f>HYPERLINK("https://www.philgeps.gov.ph/GEPSNONPILOT/Tender/SplashBidNoticeAbstractUI.aspx?menuIndex=3&amp;refID=7144019&amp;Result=3","7144019")</f>
        <v>0</v>
      </c>
      <c r="B7435" t="s">
        <v>2524</v>
      </c>
      <c r="C7435" t="s">
        <v>10814</v>
      </c>
      <c r="E7435" t="s">
        <v>24564</v>
      </c>
      <c r="F7435" t="s">
        <v>30900</v>
      </c>
      <c r="G7435" t="s">
        <v>30907</v>
      </c>
      <c r="H7435" t="s">
        <v>30915</v>
      </c>
      <c r="I7435" t="s">
        <v>30919</v>
      </c>
      <c r="J7435" t="s">
        <v>35775</v>
      </c>
      <c r="K7435" t="s">
        <v>40289</v>
      </c>
      <c r="M7435" t="s">
        <v>43275</v>
      </c>
      <c r="N7435" t="s">
        <v>44759</v>
      </c>
      <c r="O7435" t="s">
        <v>44760</v>
      </c>
      <c r="P7435">
        <v>0</v>
      </c>
      <c r="Q7435">
        <v>0</v>
      </c>
      <c r="R7435" t="s">
        <v>44767</v>
      </c>
      <c r="S7435" t="s">
        <v>44954</v>
      </c>
      <c r="T7435" t="s">
        <v>46414</v>
      </c>
      <c r="U7435" t="s">
        <v>53143</v>
      </c>
      <c r="W7435" t="s">
        <v>43275</v>
      </c>
      <c r="X7435" t="s">
        <v>44768</v>
      </c>
    </row>
    <row r="7436" spans="1:24">
      <c r="A7436">
        <f>HYPERLINK("https://www.philgeps.gov.ph/GEPSNONPILOT/Tender/SplashBidNoticeAbstractUI.aspx?menuIndex=3&amp;refID=7144013&amp;Result=3","7144013")</f>
        <v>0</v>
      </c>
      <c r="B7436" t="s">
        <v>1362</v>
      </c>
      <c r="C7436" t="s">
        <v>10815</v>
      </c>
      <c r="D7436" t="s">
        <v>17993</v>
      </c>
      <c r="E7436" t="s">
        <v>22025</v>
      </c>
      <c r="F7436" t="s">
        <v>30900</v>
      </c>
      <c r="G7436" t="s">
        <v>30907</v>
      </c>
      <c r="H7436" t="s">
        <v>30916</v>
      </c>
      <c r="I7436" t="s">
        <v>30933</v>
      </c>
      <c r="J7436" t="s">
        <v>32110</v>
      </c>
      <c r="K7436" t="s">
        <v>40283</v>
      </c>
      <c r="M7436" t="s">
        <v>41984</v>
      </c>
      <c r="N7436" t="s">
        <v>44759</v>
      </c>
      <c r="O7436" t="s">
        <v>44760</v>
      </c>
      <c r="P7436">
        <v>0</v>
      </c>
      <c r="Q7436">
        <v>6</v>
      </c>
      <c r="R7436" t="s">
        <v>44767</v>
      </c>
      <c r="S7436" t="s">
        <v>44954</v>
      </c>
      <c r="T7436" t="s">
        <v>46533</v>
      </c>
      <c r="U7436" t="s">
        <v>53144</v>
      </c>
      <c r="W7436" t="s">
        <v>41984</v>
      </c>
      <c r="X7436" t="s">
        <v>44768</v>
      </c>
    </row>
    <row r="7437" spans="1:24">
      <c r="A7437">
        <f>HYPERLINK("https://www.philgeps.gov.ph/GEPSNONPILOT/Tender/SplashBidNoticeAbstractUI.aspx?menuIndex=3&amp;refID=7144011&amp;Result=3","7144011")</f>
        <v>0</v>
      </c>
      <c r="B7437" t="s">
        <v>819</v>
      </c>
      <c r="C7437" t="s">
        <v>10816</v>
      </c>
      <c r="D7437" t="s">
        <v>18025</v>
      </c>
      <c r="E7437" t="s">
        <v>24565</v>
      </c>
      <c r="F7437" t="s">
        <v>30900</v>
      </c>
      <c r="G7437" t="s">
        <v>30907</v>
      </c>
      <c r="H7437" t="s">
        <v>30916</v>
      </c>
      <c r="I7437" t="s">
        <v>9385</v>
      </c>
      <c r="J7437" t="s">
        <v>35776</v>
      </c>
      <c r="K7437" t="s">
        <v>40289</v>
      </c>
      <c r="M7437" t="s">
        <v>41390</v>
      </c>
      <c r="N7437" t="s">
        <v>44759</v>
      </c>
      <c r="O7437" t="s">
        <v>44760</v>
      </c>
      <c r="P7437">
        <v>0</v>
      </c>
      <c r="Q7437">
        <v>15</v>
      </c>
      <c r="R7437" t="s">
        <v>44767</v>
      </c>
      <c r="S7437" t="s">
        <v>44954</v>
      </c>
      <c r="T7437" t="s">
        <v>46540</v>
      </c>
      <c r="U7437" t="s">
        <v>53145</v>
      </c>
      <c r="W7437" t="s">
        <v>41390</v>
      </c>
      <c r="X7437" t="s">
        <v>44768</v>
      </c>
    </row>
    <row r="7438" spans="1:24">
      <c r="A7438">
        <f>HYPERLINK("https://www.philgeps.gov.ph/GEPSNONPILOT/Tender/SplashBidNoticeAbstractUI.aspx?menuIndex=3&amp;refID=7143737&amp;Result=3","7143737")</f>
        <v>0</v>
      </c>
      <c r="B7438" t="s">
        <v>523</v>
      </c>
      <c r="C7438" t="s">
        <v>10817</v>
      </c>
      <c r="E7438" t="s">
        <v>24566</v>
      </c>
      <c r="F7438" t="s">
        <v>30900</v>
      </c>
      <c r="G7438" t="s">
        <v>30908</v>
      </c>
      <c r="H7438" t="s">
        <v>30916</v>
      </c>
      <c r="I7438" t="s">
        <v>30949</v>
      </c>
      <c r="J7438" t="s">
        <v>31341</v>
      </c>
      <c r="K7438" t="s">
        <v>40286</v>
      </c>
      <c r="M7438" t="s">
        <v>41083</v>
      </c>
      <c r="N7438" t="s">
        <v>44759</v>
      </c>
      <c r="O7438" t="s">
        <v>44760</v>
      </c>
      <c r="P7438">
        <v>0</v>
      </c>
      <c r="Q7438">
        <v>2</v>
      </c>
      <c r="R7438" t="s">
        <v>44767</v>
      </c>
      <c r="S7438" t="s">
        <v>44954</v>
      </c>
      <c r="T7438" t="s">
        <v>46356</v>
      </c>
      <c r="U7438" t="s">
        <v>53146</v>
      </c>
      <c r="W7438" t="s">
        <v>42805</v>
      </c>
      <c r="X7438" t="s">
        <v>44768</v>
      </c>
    </row>
    <row r="7439" spans="1:24">
      <c r="A7439">
        <f>HYPERLINK("https://www.philgeps.gov.ph/GEPSNONPILOT/Tender/SplashBidNoticeAbstractUI.aspx?menuIndex=3&amp;refID=7144009&amp;Result=3","7144009")</f>
        <v>0</v>
      </c>
      <c r="B7439" t="s">
        <v>459</v>
      </c>
      <c r="C7439" t="s">
        <v>10818</v>
      </c>
      <c r="D7439" t="s">
        <v>17978</v>
      </c>
      <c r="E7439" t="s">
        <v>24567</v>
      </c>
      <c r="F7439" t="s">
        <v>30900</v>
      </c>
      <c r="G7439" t="s">
        <v>30907</v>
      </c>
      <c r="H7439" t="s">
        <v>30915</v>
      </c>
      <c r="I7439" t="s">
        <v>30919</v>
      </c>
      <c r="J7439" t="s">
        <v>35777</v>
      </c>
      <c r="K7439" t="s">
        <v>40380</v>
      </c>
      <c r="M7439" t="s">
        <v>41017</v>
      </c>
      <c r="N7439" t="s">
        <v>44759</v>
      </c>
      <c r="O7439" t="s">
        <v>44760</v>
      </c>
      <c r="P7439">
        <v>0</v>
      </c>
      <c r="Q7439">
        <v>5</v>
      </c>
      <c r="R7439" t="s">
        <v>44767</v>
      </c>
      <c r="S7439" t="s">
        <v>44954</v>
      </c>
      <c r="T7439" t="s">
        <v>46455</v>
      </c>
      <c r="U7439" t="s">
        <v>53147</v>
      </c>
      <c r="W7439" t="s">
        <v>41017</v>
      </c>
      <c r="X7439" t="s">
        <v>44768</v>
      </c>
    </row>
    <row r="7440" spans="1:24">
      <c r="A7440">
        <f>HYPERLINK("https://www.philgeps.gov.ph/GEPSNONPILOT/Tender/SplashBidNoticeAbstractUI.aspx?menuIndex=3&amp;refID=7144005&amp;Result=3","7144005")</f>
        <v>0</v>
      </c>
      <c r="B7440" t="s">
        <v>869</v>
      </c>
      <c r="C7440" t="s">
        <v>10819</v>
      </c>
      <c r="D7440" t="s">
        <v>17988</v>
      </c>
      <c r="E7440" t="s">
        <v>24568</v>
      </c>
      <c r="F7440" t="s">
        <v>30900</v>
      </c>
      <c r="G7440" t="s">
        <v>30908</v>
      </c>
      <c r="H7440" t="s">
        <v>30916</v>
      </c>
      <c r="I7440" t="s">
        <v>10847</v>
      </c>
      <c r="J7440" t="s">
        <v>34775</v>
      </c>
      <c r="K7440" t="s">
        <v>40287</v>
      </c>
      <c r="M7440" t="s">
        <v>42655</v>
      </c>
      <c r="N7440" t="s">
        <v>44759</v>
      </c>
      <c r="O7440" t="s">
        <v>44760</v>
      </c>
      <c r="P7440">
        <v>0</v>
      </c>
      <c r="Q7440">
        <v>0</v>
      </c>
      <c r="R7440" t="s">
        <v>44767</v>
      </c>
      <c r="S7440" t="s">
        <v>44954</v>
      </c>
      <c r="T7440" t="s">
        <v>46623</v>
      </c>
      <c r="U7440" t="s">
        <v>51742</v>
      </c>
      <c r="W7440" t="s">
        <v>42655</v>
      </c>
      <c r="X7440" t="s">
        <v>44768</v>
      </c>
    </row>
    <row r="7441" spans="1:24">
      <c r="A7441">
        <f>HYPERLINK("https://www.philgeps.gov.ph/GEPSNONPILOT/Tender/SplashBidNoticeAbstractUI.aspx?menuIndex=3&amp;refID=7144024&amp;Result=3","7144024")</f>
        <v>0</v>
      </c>
      <c r="B7441" t="s">
        <v>1776</v>
      </c>
      <c r="C7441" t="s">
        <v>10820</v>
      </c>
      <c r="D7441" t="s">
        <v>17989</v>
      </c>
      <c r="E7441" t="s">
        <v>24569</v>
      </c>
      <c r="F7441" t="s">
        <v>30900</v>
      </c>
      <c r="G7441" t="s">
        <v>30908</v>
      </c>
      <c r="H7441" t="s">
        <v>30916</v>
      </c>
      <c r="I7441" t="s">
        <v>6396</v>
      </c>
      <c r="J7441" t="s">
        <v>35778</v>
      </c>
      <c r="K7441" t="s">
        <v>40289</v>
      </c>
      <c r="M7441" t="s">
        <v>42651</v>
      </c>
      <c r="N7441" t="s">
        <v>44759</v>
      </c>
      <c r="O7441" t="s">
        <v>44760</v>
      </c>
      <c r="P7441">
        <v>0</v>
      </c>
      <c r="Q7441">
        <v>4</v>
      </c>
      <c r="R7441" t="s">
        <v>44767</v>
      </c>
      <c r="S7441" t="s">
        <v>44954</v>
      </c>
      <c r="T7441" t="s">
        <v>46403</v>
      </c>
      <c r="U7441" t="s">
        <v>53148</v>
      </c>
      <c r="W7441" t="s">
        <v>42651</v>
      </c>
      <c r="X7441" t="s">
        <v>44768</v>
      </c>
    </row>
    <row r="7442" spans="1:24">
      <c r="A7442">
        <f>HYPERLINK("https://www.philgeps.gov.ph/GEPSNONPILOT/Tender/SplashBidNoticeAbstractUI.aspx?menuIndex=3&amp;refID=7144002&amp;Result=3","7144002")</f>
        <v>0</v>
      </c>
      <c r="B7442" t="s">
        <v>788</v>
      </c>
      <c r="C7442" t="s">
        <v>10821</v>
      </c>
      <c r="D7442" t="s">
        <v>17959</v>
      </c>
      <c r="E7442" t="s">
        <v>24570</v>
      </c>
      <c r="F7442" t="s">
        <v>30900</v>
      </c>
      <c r="G7442" t="s">
        <v>30910</v>
      </c>
      <c r="H7442" t="s">
        <v>30916</v>
      </c>
      <c r="I7442" t="s">
        <v>4142</v>
      </c>
      <c r="J7442" t="s">
        <v>35779</v>
      </c>
      <c r="K7442" t="s">
        <v>40289</v>
      </c>
      <c r="M7442" t="s">
        <v>43268</v>
      </c>
      <c r="N7442" t="s">
        <v>44759</v>
      </c>
      <c r="O7442" t="s">
        <v>44760</v>
      </c>
      <c r="P7442">
        <v>0</v>
      </c>
      <c r="Q7442">
        <v>13</v>
      </c>
      <c r="R7442" t="s">
        <v>44767</v>
      </c>
      <c r="S7442" t="s">
        <v>44954</v>
      </c>
      <c r="T7442" t="s">
        <v>46686</v>
      </c>
      <c r="U7442" t="s">
        <v>53124</v>
      </c>
      <c r="V7442" t="s">
        <v>59915</v>
      </c>
      <c r="W7442" t="s">
        <v>43268</v>
      </c>
      <c r="X7442" t="s">
        <v>44768</v>
      </c>
    </row>
    <row r="7443" spans="1:24">
      <c r="A7443">
        <f>HYPERLINK("https://www.philgeps.gov.ph/GEPSNONPILOT/Tender/SplashBidNoticeAbstractUI.aspx?menuIndex=3&amp;refID=7143997&amp;Result=3","7143997")</f>
        <v>0</v>
      </c>
      <c r="B7443" t="s">
        <v>2525</v>
      </c>
      <c r="C7443" t="s">
        <v>10822</v>
      </c>
      <c r="D7443" t="s">
        <v>17977</v>
      </c>
      <c r="E7443" t="s">
        <v>24571</v>
      </c>
      <c r="F7443" t="s">
        <v>30900</v>
      </c>
      <c r="G7443" t="s">
        <v>30909</v>
      </c>
      <c r="H7443" t="s">
        <v>30916</v>
      </c>
      <c r="I7443" t="s">
        <v>6953</v>
      </c>
      <c r="J7443" t="s">
        <v>35780</v>
      </c>
      <c r="K7443" t="s">
        <v>40289</v>
      </c>
      <c r="M7443" t="s">
        <v>43276</v>
      </c>
      <c r="N7443" t="s">
        <v>44759</v>
      </c>
      <c r="O7443" t="s">
        <v>44760</v>
      </c>
      <c r="P7443">
        <v>0</v>
      </c>
      <c r="Q7443">
        <v>0</v>
      </c>
      <c r="R7443" t="s">
        <v>44767</v>
      </c>
      <c r="S7443" t="s">
        <v>44954</v>
      </c>
      <c r="T7443" t="s">
        <v>46686</v>
      </c>
      <c r="U7443" t="s">
        <v>53149</v>
      </c>
      <c r="W7443" t="s">
        <v>43276</v>
      </c>
      <c r="X7443" t="s">
        <v>44768</v>
      </c>
    </row>
    <row r="7444" spans="1:24">
      <c r="A7444">
        <f>HYPERLINK("https://www.philgeps.gov.ph/GEPSNONPILOT/Tender/SplashBidNoticeAbstractUI.aspx?menuIndex=3&amp;refID=7144018&amp;Result=3","7144018")</f>
        <v>0</v>
      </c>
      <c r="B7444" t="s">
        <v>43</v>
      </c>
      <c r="C7444" t="s">
        <v>10823</v>
      </c>
      <c r="D7444" t="s">
        <v>17968</v>
      </c>
      <c r="E7444" t="s">
        <v>24572</v>
      </c>
      <c r="F7444" t="s">
        <v>30900</v>
      </c>
      <c r="G7444" t="s">
        <v>30908</v>
      </c>
      <c r="H7444" t="s">
        <v>30916</v>
      </c>
      <c r="I7444" t="s">
        <v>30927</v>
      </c>
      <c r="J7444" t="s">
        <v>32233</v>
      </c>
      <c r="K7444" t="s">
        <v>40286</v>
      </c>
      <c r="M7444" t="s">
        <v>42744</v>
      </c>
      <c r="N7444" t="s">
        <v>44759</v>
      </c>
      <c r="O7444" t="s">
        <v>44760</v>
      </c>
      <c r="P7444">
        <v>0</v>
      </c>
      <c r="Q7444">
        <v>3</v>
      </c>
      <c r="R7444" t="s">
        <v>44767</v>
      </c>
      <c r="S7444" t="s">
        <v>44954</v>
      </c>
      <c r="T7444" t="s">
        <v>46591</v>
      </c>
      <c r="U7444" t="s">
        <v>53150</v>
      </c>
      <c r="V7444" t="s">
        <v>59919</v>
      </c>
      <c r="W7444" t="s">
        <v>42744</v>
      </c>
      <c r="X7444" t="s">
        <v>44768</v>
      </c>
    </row>
    <row r="7445" spans="1:24">
      <c r="A7445">
        <f>HYPERLINK("https://www.philgeps.gov.ph/GEPSNONPILOT/Tender/SplashBidNoticeAbstractUI.aspx?menuIndex=3&amp;refID=7144007&amp;Result=3","7144007")</f>
        <v>0</v>
      </c>
      <c r="B7445" t="s">
        <v>2526</v>
      </c>
      <c r="C7445" t="s">
        <v>10824</v>
      </c>
      <c r="D7445" t="s">
        <v>17951</v>
      </c>
      <c r="E7445" t="s">
        <v>24573</v>
      </c>
      <c r="F7445" t="s">
        <v>30900</v>
      </c>
      <c r="G7445" t="s">
        <v>30907</v>
      </c>
      <c r="H7445" t="s">
        <v>30916</v>
      </c>
      <c r="I7445" t="s">
        <v>6953</v>
      </c>
      <c r="J7445" t="s">
        <v>35781</v>
      </c>
      <c r="K7445" t="s">
        <v>40314</v>
      </c>
      <c r="M7445" t="s">
        <v>43277</v>
      </c>
      <c r="N7445" t="s">
        <v>44759</v>
      </c>
      <c r="O7445" t="s">
        <v>44760</v>
      </c>
      <c r="P7445">
        <v>0</v>
      </c>
      <c r="Q7445">
        <v>0</v>
      </c>
      <c r="R7445" t="s">
        <v>44767</v>
      </c>
      <c r="S7445" t="s">
        <v>44954</v>
      </c>
      <c r="T7445" t="s">
        <v>46357</v>
      </c>
      <c r="U7445" t="s">
        <v>53151</v>
      </c>
      <c r="W7445" t="s">
        <v>43277</v>
      </c>
      <c r="X7445" t="s">
        <v>44768</v>
      </c>
    </row>
    <row r="7446" spans="1:24">
      <c r="A7446">
        <f>HYPERLINK("https://www.philgeps.gov.ph/GEPSNONPILOT/Tender/SplashBidNoticeAbstractUI.aspx?menuIndex=3&amp;refID=7144074&amp;Result=3","7144074")</f>
        <v>0</v>
      </c>
      <c r="B7446" t="s">
        <v>2527</v>
      </c>
      <c r="C7446" t="s">
        <v>10825</v>
      </c>
      <c r="D7446" t="s">
        <v>17959</v>
      </c>
      <c r="E7446" t="s">
        <v>24574</v>
      </c>
      <c r="F7446" t="s">
        <v>30900</v>
      </c>
      <c r="G7446" t="s">
        <v>30908</v>
      </c>
      <c r="H7446" t="s">
        <v>30916</v>
      </c>
      <c r="I7446" t="s">
        <v>31016</v>
      </c>
      <c r="J7446" t="s">
        <v>35782</v>
      </c>
      <c r="K7446" t="s">
        <v>40287</v>
      </c>
      <c r="M7446" t="s">
        <v>43278</v>
      </c>
      <c r="N7446" t="s">
        <v>44759</v>
      </c>
      <c r="O7446" t="s">
        <v>44760</v>
      </c>
      <c r="P7446">
        <v>0</v>
      </c>
      <c r="Q7446">
        <v>3</v>
      </c>
      <c r="R7446" t="s">
        <v>44767</v>
      </c>
      <c r="S7446" t="s">
        <v>44954</v>
      </c>
      <c r="T7446" t="s">
        <v>46412</v>
      </c>
      <c r="U7446" t="s">
        <v>53152</v>
      </c>
      <c r="V7446" t="s">
        <v>59920</v>
      </c>
      <c r="W7446" t="s">
        <v>43278</v>
      </c>
      <c r="X7446" t="s">
        <v>44768</v>
      </c>
    </row>
    <row r="7447" spans="1:24">
      <c r="A7447">
        <f>HYPERLINK("https://www.philgeps.gov.ph/GEPSNONPILOT/Tender/SplashBidNoticeAbstractUI.aspx?menuIndex=3&amp;refID=7144073&amp;Result=3","7144073")</f>
        <v>0</v>
      </c>
      <c r="B7447" t="s">
        <v>229</v>
      </c>
      <c r="C7447" t="s">
        <v>10826</v>
      </c>
      <c r="D7447" t="s">
        <v>18018</v>
      </c>
      <c r="E7447" t="s">
        <v>24562</v>
      </c>
      <c r="F7447" t="s">
        <v>30900</v>
      </c>
      <c r="G7447" t="s">
        <v>30909</v>
      </c>
      <c r="H7447" t="s">
        <v>30916</v>
      </c>
      <c r="I7447" t="s">
        <v>30965</v>
      </c>
      <c r="J7447" t="s">
        <v>31971</v>
      </c>
      <c r="K7447" t="s">
        <v>40283</v>
      </c>
      <c r="M7447" t="s">
        <v>40776</v>
      </c>
      <c r="N7447" t="s">
        <v>44759</v>
      </c>
      <c r="O7447" t="s">
        <v>44760</v>
      </c>
      <c r="P7447">
        <v>0</v>
      </c>
      <c r="Q7447">
        <v>2</v>
      </c>
      <c r="R7447" t="s">
        <v>44767</v>
      </c>
      <c r="S7447" t="s">
        <v>44954</v>
      </c>
      <c r="T7447" t="s">
        <v>46625</v>
      </c>
      <c r="U7447" t="s">
        <v>53153</v>
      </c>
      <c r="V7447" t="s">
        <v>59149</v>
      </c>
      <c r="W7447" t="s">
        <v>40776</v>
      </c>
      <c r="X7447" t="s">
        <v>44768</v>
      </c>
    </row>
    <row r="7448" spans="1:24">
      <c r="A7448">
        <f>HYPERLINK("https://www.philgeps.gov.ph/GEPSNONPILOT/Tender/SplashBidNoticeAbstractUI.aspx?menuIndex=3&amp;refID=7144000&amp;Result=3","7144000")</f>
        <v>0</v>
      </c>
      <c r="B7448" t="s">
        <v>348</v>
      </c>
      <c r="C7448" t="s">
        <v>10827</v>
      </c>
      <c r="D7448" t="s">
        <v>17957</v>
      </c>
      <c r="E7448" t="s">
        <v>24575</v>
      </c>
      <c r="F7448" t="s">
        <v>30900</v>
      </c>
      <c r="G7448" t="s">
        <v>30908</v>
      </c>
      <c r="H7448" t="s">
        <v>30916</v>
      </c>
      <c r="I7448" t="s">
        <v>8044</v>
      </c>
      <c r="J7448" t="s">
        <v>35783</v>
      </c>
      <c r="K7448" t="s">
        <v>40284</v>
      </c>
      <c r="M7448" t="s">
        <v>42556</v>
      </c>
      <c r="N7448" t="s">
        <v>44759</v>
      </c>
      <c r="O7448" t="s">
        <v>44760</v>
      </c>
      <c r="P7448">
        <v>0</v>
      </c>
      <c r="Q7448">
        <v>3</v>
      </c>
      <c r="R7448" t="s">
        <v>44767</v>
      </c>
      <c r="S7448" t="s">
        <v>44954</v>
      </c>
      <c r="T7448" t="s">
        <v>46391</v>
      </c>
      <c r="U7448" t="s">
        <v>53154</v>
      </c>
      <c r="W7448" t="s">
        <v>42556</v>
      </c>
      <c r="X7448" t="s">
        <v>44768</v>
      </c>
    </row>
    <row r="7449" spans="1:24">
      <c r="A7449">
        <f>HYPERLINK("https://www.philgeps.gov.ph/GEPSNONPILOT/Tender/SplashBidNoticeAbstractUI.aspx?menuIndex=3&amp;refID=7143994&amp;Result=3","7143994")</f>
        <v>0</v>
      </c>
      <c r="B7449" t="s">
        <v>2528</v>
      </c>
      <c r="C7449" t="s">
        <v>10828</v>
      </c>
      <c r="D7449" t="s">
        <v>17958</v>
      </c>
      <c r="E7449" t="s">
        <v>24576</v>
      </c>
      <c r="F7449" t="s">
        <v>30900</v>
      </c>
      <c r="G7449" t="s">
        <v>30908</v>
      </c>
      <c r="H7449" t="s">
        <v>30916</v>
      </c>
      <c r="I7449" t="s">
        <v>30939</v>
      </c>
      <c r="J7449" t="s">
        <v>31513</v>
      </c>
      <c r="K7449" t="s">
        <v>40287</v>
      </c>
      <c r="M7449" t="s">
        <v>43279</v>
      </c>
      <c r="N7449" t="s">
        <v>44759</v>
      </c>
      <c r="O7449" t="s">
        <v>44760</v>
      </c>
      <c r="P7449">
        <v>0</v>
      </c>
      <c r="Q7449">
        <v>0</v>
      </c>
      <c r="R7449" t="s">
        <v>44767</v>
      </c>
      <c r="S7449" t="s">
        <v>44954</v>
      </c>
      <c r="T7449" t="s">
        <v>46531</v>
      </c>
      <c r="U7449" t="s">
        <v>53155</v>
      </c>
      <c r="W7449" t="s">
        <v>43279</v>
      </c>
      <c r="X7449" t="s">
        <v>44768</v>
      </c>
    </row>
    <row r="7450" spans="1:24">
      <c r="A7450">
        <f>HYPERLINK("https://www.philgeps.gov.ph/GEPSNONPILOT/Tender/SplashBidNoticeAbstractUI.aspx?menuIndex=3&amp;refID=7144070&amp;Result=3","7144070")</f>
        <v>0</v>
      </c>
      <c r="B7450" t="s">
        <v>2526</v>
      </c>
      <c r="C7450" t="s">
        <v>10829</v>
      </c>
      <c r="D7450" t="s">
        <v>17951</v>
      </c>
      <c r="E7450" t="s">
        <v>24577</v>
      </c>
      <c r="F7450" t="s">
        <v>30900</v>
      </c>
      <c r="G7450" t="s">
        <v>30907</v>
      </c>
      <c r="H7450" t="s">
        <v>30916</v>
      </c>
      <c r="I7450" t="s">
        <v>4545</v>
      </c>
      <c r="J7450" t="s">
        <v>35784</v>
      </c>
      <c r="K7450" t="s">
        <v>40314</v>
      </c>
      <c r="M7450" t="s">
        <v>43277</v>
      </c>
      <c r="N7450" t="s">
        <v>44759</v>
      </c>
      <c r="O7450" t="s">
        <v>44760</v>
      </c>
      <c r="P7450">
        <v>0</v>
      </c>
      <c r="Q7450">
        <v>2</v>
      </c>
      <c r="R7450" t="s">
        <v>44767</v>
      </c>
      <c r="S7450" t="s">
        <v>44954</v>
      </c>
      <c r="T7450" t="s">
        <v>46357</v>
      </c>
      <c r="U7450" t="s">
        <v>53151</v>
      </c>
      <c r="W7450" t="s">
        <v>43277</v>
      </c>
      <c r="X7450" t="s">
        <v>44768</v>
      </c>
    </row>
    <row r="7451" spans="1:24">
      <c r="A7451">
        <f>HYPERLINK("https://www.philgeps.gov.ph/GEPSNONPILOT/Tender/SplashBidNoticeAbstractUI.aspx?menuIndex=3&amp;refID=7144006&amp;Result=3","7144006")</f>
        <v>0</v>
      </c>
      <c r="B7451" t="s">
        <v>1492</v>
      </c>
      <c r="C7451" t="s">
        <v>10830</v>
      </c>
      <c r="D7451" t="s">
        <v>17961</v>
      </c>
      <c r="E7451" t="s">
        <v>24578</v>
      </c>
      <c r="F7451" t="s">
        <v>30899</v>
      </c>
      <c r="G7451" t="s">
        <v>30907</v>
      </c>
      <c r="H7451" t="s">
        <v>30916</v>
      </c>
      <c r="I7451" t="s">
        <v>8123</v>
      </c>
      <c r="J7451" t="s">
        <v>35785</v>
      </c>
      <c r="K7451" t="s">
        <v>40284</v>
      </c>
      <c r="M7451" t="s">
        <v>42131</v>
      </c>
      <c r="N7451" t="s">
        <v>44759</v>
      </c>
      <c r="O7451" t="s">
        <v>44760</v>
      </c>
      <c r="P7451">
        <v>0</v>
      </c>
      <c r="Q7451">
        <v>1</v>
      </c>
      <c r="R7451" t="s">
        <v>44767</v>
      </c>
      <c r="S7451" t="s">
        <v>44954</v>
      </c>
      <c r="T7451" t="s">
        <v>46450</v>
      </c>
      <c r="U7451" t="s">
        <v>53156</v>
      </c>
      <c r="W7451" t="s">
        <v>42131</v>
      </c>
      <c r="X7451" t="s">
        <v>44768</v>
      </c>
    </row>
    <row r="7452" spans="1:24">
      <c r="A7452">
        <f>HYPERLINK("https://www.philgeps.gov.ph/GEPSNONPILOT/Tender/SplashBidNoticeAbstractUI.aspx?menuIndex=3&amp;refID=7144067&amp;Result=3","7144067")</f>
        <v>0</v>
      </c>
      <c r="B7452" t="s">
        <v>180</v>
      </c>
      <c r="C7452" t="s">
        <v>10831</v>
      </c>
      <c r="D7452" t="s">
        <v>17987</v>
      </c>
      <c r="E7452" t="s">
        <v>24579</v>
      </c>
      <c r="F7452" t="s">
        <v>30900</v>
      </c>
      <c r="G7452" t="s">
        <v>30907</v>
      </c>
      <c r="H7452" t="s">
        <v>30916</v>
      </c>
      <c r="I7452" t="s">
        <v>8123</v>
      </c>
      <c r="J7452" t="s">
        <v>31728</v>
      </c>
      <c r="K7452" t="s">
        <v>40284</v>
      </c>
      <c r="M7452" t="s">
        <v>40727</v>
      </c>
      <c r="N7452" t="s">
        <v>44759</v>
      </c>
      <c r="O7452" t="s">
        <v>44760</v>
      </c>
      <c r="P7452">
        <v>0</v>
      </c>
      <c r="Q7452">
        <v>0</v>
      </c>
      <c r="R7452" t="s">
        <v>44767</v>
      </c>
      <c r="S7452" t="s">
        <v>44954</v>
      </c>
      <c r="T7452" t="s">
        <v>46533</v>
      </c>
      <c r="U7452" t="s">
        <v>53157</v>
      </c>
      <c r="W7452" t="s">
        <v>40727</v>
      </c>
      <c r="X7452" t="s">
        <v>44768</v>
      </c>
    </row>
    <row r="7453" spans="1:24">
      <c r="A7453">
        <f>HYPERLINK("https://www.philgeps.gov.ph/GEPSNONPILOT/Tender/SplashBidNoticeAbstractUI.aspx?menuIndex=3&amp;refID=7144064&amp;Result=3","7144064")</f>
        <v>0</v>
      </c>
      <c r="B7453" t="s">
        <v>605</v>
      </c>
      <c r="C7453" t="s">
        <v>10832</v>
      </c>
      <c r="D7453" t="s">
        <v>18020</v>
      </c>
      <c r="E7453" t="s">
        <v>24580</v>
      </c>
      <c r="F7453" t="s">
        <v>30900</v>
      </c>
      <c r="G7453" t="s">
        <v>30907</v>
      </c>
      <c r="H7453" t="s">
        <v>30916</v>
      </c>
      <c r="I7453" t="s">
        <v>30940</v>
      </c>
      <c r="J7453" t="s">
        <v>34689</v>
      </c>
      <c r="K7453" t="s">
        <v>40283</v>
      </c>
      <c r="M7453" t="s">
        <v>41166</v>
      </c>
      <c r="N7453" t="s">
        <v>44759</v>
      </c>
      <c r="O7453" t="s">
        <v>44760</v>
      </c>
      <c r="P7453">
        <v>0</v>
      </c>
      <c r="Q7453">
        <v>5</v>
      </c>
      <c r="R7453" t="s">
        <v>44767</v>
      </c>
      <c r="S7453" t="s">
        <v>44954</v>
      </c>
      <c r="T7453" t="s">
        <v>46531</v>
      </c>
      <c r="U7453" t="s">
        <v>51739</v>
      </c>
      <c r="W7453" t="s">
        <v>41166</v>
      </c>
      <c r="X7453" t="s">
        <v>44768</v>
      </c>
    </row>
    <row r="7454" spans="1:24">
      <c r="A7454">
        <f>HYPERLINK("https://www.philgeps.gov.ph/GEPSNONPILOT/Tender/SplashBidNoticeAbstractUI.aspx?menuIndex=3&amp;refID=7144065&amp;Result=3","7144065")</f>
        <v>0</v>
      </c>
      <c r="B7454" t="s">
        <v>341</v>
      </c>
      <c r="C7454" t="s">
        <v>10833</v>
      </c>
      <c r="D7454" t="s">
        <v>17951</v>
      </c>
      <c r="E7454" t="s">
        <v>24581</v>
      </c>
      <c r="F7454" t="s">
        <v>30900</v>
      </c>
      <c r="G7454" t="s">
        <v>30907</v>
      </c>
      <c r="H7454" t="s">
        <v>30916</v>
      </c>
      <c r="I7454" t="s">
        <v>4545</v>
      </c>
      <c r="J7454" t="s">
        <v>35786</v>
      </c>
      <c r="K7454" t="s">
        <v>40286</v>
      </c>
      <c r="L7454" t="s">
        <v>341</v>
      </c>
      <c r="M7454" t="s">
        <v>40894</v>
      </c>
      <c r="N7454" t="s">
        <v>44759</v>
      </c>
      <c r="O7454" t="s">
        <v>44760</v>
      </c>
      <c r="P7454">
        <v>0</v>
      </c>
      <c r="Q7454">
        <v>1</v>
      </c>
      <c r="R7454" t="s">
        <v>44767</v>
      </c>
      <c r="S7454" t="s">
        <v>44954</v>
      </c>
      <c r="T7454" t="s">
        <v>46457</v>
      </c>
      <c r="U7454" t="s">
        <v>53158</v>
      </c>
      <c r="V7454" t="s">
        <v>50345</v>
      </c>
      <c r="W7454" t="s">
        <v>40894</v>
      </c>
      <c r="X7454" t="s">
        <v>44768</v>
      </c>
    </row>
    <row r="7455" spans="1:24">
      <c r="A7455">
        <f>HYPERLINK("https://www.philgeps.gov.ph/GEPSNONPILOT/Tender/SplashBidNoticeAbstractUI.aspx?menuIndex=3&amp;refID=7144058&amp;Result=3","7144058")</f>
        <v>0</v>
      </c>
      <c r="B7455" t="s">
        <v>157</v>
      </c>
      <c r="C7455" t="s">
        <v>10834</v>
      </c>
      <c r="D7455" t="s">
        <v>17978</v>
      </c>
      <c r="E7455" t="s">
        <v>24582</v>
      </c>
      <c r="F7455" t="s">
        <v>30900</v>
      </c>
      <c r="G7455" t="s">
        <v>30910</v>
      </c>
      <c r="H7455" t="s">
        <v>30916</v>
      </c>
      <c r="I7455" t="s">
        <v>10834</v>
      </c>
      <c r="J7455" t="s">
        <v>33681</v>
      </c>
      <c r="K7455" t="s">
        <v>40286</v>
      </c>
      <c r="M7455" t="s">
        <v>40704</v>
      </c>
      <c r="N7455" t="s">
        <v>44759</v>
      </c>
      <c r="O7455" t="s">
        <v>44760</v>
      </c>
      <c r="P7455">
        <v>0</v>
      </c>
      <c r="Q7455">
        <v>0</v>
      </c>
      <c r="R7455" t="s">
        <v>44767</v>
      </c>
      <c r="S7455" t="s">
        <v>44954</v>
      </c>
      <c r="T7455" t="s">
        <v>46581</v>
      </c>
      <c r="U7455" t="s">
        <v>53159</v>
      </c>
      <c r="W7455" t="s">
        <v>40704</v>
      </c>
      <c r="X7455" t="s">
        <v>44768</v>
      </c>
    </row>
    <row r="7456" spans="1:24">
      <c r="A7456">
        <f>HYPERLINK("https://www.philgeps.gov.ph/GEPSNONPILOT/Tender/SplashBidNoticeAbstractUI.aspx?menuIndex=3&amp;refID=7144015&amp;Result=3","7144015")</f>
        <v>0</v>
      </c>
      <c r="B7456" t="s">
        <v>787</v>
      </c>
      <c r="C7456" t="s">
        <v>10835</v>
      </c>
      <c r="D7456" t="s">
        <v>17987</v>
      </c>
      <c r="E7456" t="s">
        <v>24583</v>
      </c>
      <c r="F7456" t="s">
        <v>30900</v>
      </c>
      <c r="G7456" t="s">
        <v>30907</v>
      </c>
      <c r="H7456" t="s">
        <v>30915</v>
      </c>
      <c r="I7456" t="s">
        <v>30919</v>
      </c>
      <c r="J7456" t="s">
        <v>35787</v>
      </c>
      <c r="K7456" t="s">
        <v>40289</v>
      </c>
      <c r="M7456" t="s">
        <v>41356</v>
      </c>
      <c r="N7456" t="s">
        <v>44759</v>
      </c>
      <c r="O7456" t="s">
        <v>44760</v>
      </c>
      <c r="P7456">
        <v>0</v>
      </c>
      <c r="Q7456">
        <v>0</v>
      </c>
      <c r="R7456" t="s">
        <v>44767</v>
      </c>
      <c r="S7456" t="s">
        <v>44954</v>
      </c>
      <c r="T7456" t="s">
        <v>46495</v>
      </c>
      <c r="U7456" t="s">
        <v>53160</v>
      </c>
      <c r="W7456" t="s">
        <v>41356</v>
      </c>
      <c r="X7456" t="s">
        <v>44768</v>
      </c>
    </row>
    <row r="7457" spans="1:24">
      <c r="A7457">
        <f>HYPERLINK("https://www.philgeps.gov.ph/GEPSNONPILOT/Tender/SplashBidNoticeAbstractUI.aspx?menuIndex=3&amp;refID=7144076&amp;Result=3","7144076")</f>
        <v>0</v>
      </c>
      <c r="B7457" t="s">
        <v>2446</v>
      </c>
      <c r="C7457" t="s">
        <v>10836</v>
      </c>
      <c r="D7457" t="s">
        <v>18019</v>
      </c>
      <c r="E7457" t="s">
        <v>21687</v>
      </c>
      <c r="F7457" t="s">
        <v>30900</v>
      </c>
      <c r="G7457" t="s">
        <v>30907</v>
      </c>
      <c r="H7457" t="s">
        <v>30916</v>
      </c>
      <c r="I7457" t="s">
        <v>30922</v>
      </c>
      <c r="J7457" t="s">
        <v>35788</v>
      </c>
      <c r="K7457" t="s">
        <v>40286</v>
      </c>
      <c r="M7457" t="s">
        <v>43182</v>
      </c>
      <c r="N7457" t="s">
        <v>44759</v>
      </c>
      <c r="O7457" t="s">
        <v>44760</v>
      </c>
      <c r="P7457">
        <v>0</v>
      </c>
      <c r="Q7457">
        <v>2</v>
      </c>
      <c r="R7457" t="s">
        <v>44767</v>
      </c>
      <c r="S7457" t="s">
        <v>44954</v>
      </c>
      <c r="T7457" t="s">
        <v>46420</v>
      </c>
      <c r="U7457" t="s">
        <v>53161</v>
      </c>
      <c r="W7457" t="s">
        <v>43182</v>
      </c>
      <c r="X7457" t="s">
        <v>44768</v>
      </c>
    </row>
    <row r="7458" spans="1:24">
      <c r="A7458">
        <f>HYPERLINK("https://www.philgeps.gov.ph/GEPSNONPILOT/Tender/SplashBidNoticeAbstractUI.aspx?menuIndex=3&amp;refID=7144072&amp;Result=3","7144072")</f>
        <v>0</v>
      </c>
      <c r="B7458" t="s">
        <v>459</v>
      </c>
      <c r="C7458" t="s">
        <v>10837</v>
      </c>
      <c r="D7458" t="s">
        <v>17978</v>
      </c>
      <c r="E7458" t="s">
        <v>24584</v>
      </c>
      <c r="F7458" t="s">
        <v>30900</v>
      </c>
      <c r="G7458" t="s">
        <v>30907</v>
      </c>
      <c r="H7458" t="s">
        <v>30915</v>
      </c>
      <c r="I7458" t="s">
        <v>30919</v>
      </c>
      <c r="J7458" t="s">
        <v>35789</v>
      </c>
      <c r="K7458" t="s">
        <v>40371</v>
      </c>
      <c r="M7458" t="s">
        <v>41017</v>
      </c>
      <c r="N7458" t="s">
        <v>44759</v>
      </c>
      <c r="O7458" t="s">
        <v>44760</v>
      </c>
      <c r="P7458">
        <v>0</v>
      </c>
      <c r="Q7458">
        <v>4</v>
      </c>
      <c r="R7458" t="s">
        <v>44767</v>
      </c>
      <c r="S7458" t="s">
        <v>44954</v>
      </c>
      <c r="T7458" t="s">
        <v>46455</v>
      </c>
      <c r="U7458" t="s">
        <v>53106</v>
      </c>
      <c r="W7458" t="s">
        <v>41017</v>
      </c>
      <c r="X7458" t="s">
        <v>44768</v>
      </c>
    </row>
    <row r="7459" spans="1:24">
      <c r="A7459">
        <f>HYPERLINK("https://www.philgeps.gov.ph/GEPSNONPILOT/Tender/SplashBidNoticeAbstractUI.aspx?menuIndex=3&amp;refID=7144118&amp;Result=3","7144118")</f>
        <v>0</v>
      </c>
      <c r="B7459" t="s">
        <v>348</v>
      </c>
      <c r="C7459" t="s">
        <v>10838</v>
      </c>
      <c r="D7459" t="s">
        <v>17957</v>
      </c>
      <c r="E7459" t="s">
        <v>24585</v>
      </c>
      <c r="F7459" t="s">
        <v>30900</v>
      </c>
      <c r="G7459" t="s">
        <v>30908</v>
      </c>
      <c r="H7459" t="s">
        <v>30916</v>
      </c>
      <c r="I7459" t="s">
        <v>8044</v>
      </c>
      <c r="J7459" t="s">
        <v>35790</v>
      </c>
      <c r="K7459" t="s">
        <v>40284</v>
      </c>
      <c r="M7459" t="s">
        <v>42556</v>
      </c>
      <c r="N7459" t="s">
        <v>44759</v>
      </c>
      <c r="O7459" t="s">
        <v>44760</v>
      </c>
      <c r="P7459">
        <v>0</v>
      </c>
      <c r="Q7459">
        <v>2</v>
      </c>
      <c r="R7459" t="s">
        <v>44767</v>
      </c>
      <c r="S7459" t="s">
        <v>44954</v>
      </c>
      <c r="T7459" t="s">
        <v>46391</v>
      </c>
      <c r="U7459" t="s">
        <v>53162</v>
      </c>
      <c r="W7459" t="s">
        <v>42556</v>
      </c>
      <c r="X7459" t="s">
        <v>44768</v>
      </c>
    </row>
    <row r="7460" spans="1:24">
      <c r="A7460">
        <f>HYPERLINK("https://www.philgeps.gov.ph/GEPSNONPILOT/Tender/SplashBidNoticeAbstractUI.aspx?menuIndex=3&amp;refID=7144027&amp;Result=3","7144027")</f>
        <v>0</v>
      </c>
      <c r="B7460" t="s">
        <v>1339</v>
      </c>
      <c r="C7460" t="s">
        <v>10839</v>
      </c>
      <c r="D7460" t="s">
        <v>18001</v>
      </c>
      <c r="E7460" t="s">
        <v>24586</v>
      </c>
      <c r="F7460" t="s">
        <v>30900</v>
      </c>
      <c r="G7460" t="s">
        <v>30907</v>
      </c>
      <c r="H7460" t="s">
        <v>30915</v>
      </c>
      <c r="I7460" t="s">
        <v>30919</v>
      </c>
      <c r="J7460" t="s">
        <v>35791</v>
      </c>
      <c r="K7460" t="s">
        <v>40293</v>
      </c>
      <c r="M7460" t="s">
        <v>41960</v>
      </c>
      <c r="N7460" t="s">
        <v>44759</v>
      </c>
      <c r="O7460" t="s">
        <v>44760</v>
      </c>
      <c r="P7460">
        <v>0</v>
      </c>
      <c r="Q7460">
        <v>0</v>
      </c>
      <c r="R7460" t="s">
        <v>44767</v>
      </c>
      <c r="S7460" t="s">
        <v>44954</v>
      </c>
      <c r="T7460" t="s">
        <v>46404</v>
      </c>
      <c r="U7460" t="s">
        <v>53091</v>
      </c>
      <c r="W7460" t="s">
        <v>41960</v>
      </c>
      <c r="X7460" t="s">
        <v>44768</v>
      </c>
    </row>
    <row r="7461" spans="1:24">
      <c r="A7461">
        <f>HYPERLINK("https://www.philgeps.gov.ph/GEPSNONPILOT/Tender/SplashBidNoticeAbstractUI.aspx?menuIndex=3&amp;refID=7144117&amp;Result=3","7144117")</f>
        <v>0</v>
      </c>
      <c r="B7461" t="s">
        <v>1327</v>
      </c>
      <c r="C7461" t="s">
        <v>10840</v>
      </c>
      <c r="D7461" t="s">
        <v>17971</v>
      </c>
      <c r="E7461" t="s">
        <v>24587</v>
      </c>
      <c r="F7461" t="s">
        <v>30900</v>
      </c>
      <c r="G7461" t="s">
        <v>30907</v>
      </c>
      <c r="H7461" t="s">
        <v>30916</v>
      </c>
      <c r="I7461" t="s">
        <v>30927</v>
      </c>
      <c r="J7461" t="s">
        <v>35792</v>
      </c>
      <c r="K7461" t="s">
        <v>40286</v>
      </c>
      <c r="M7461" t="s">
        <v>41946</v>
      </c>
      <c r="N7461" t="s">
        <v>44759</v>
      </c>
      <c r="O7461" t="s">
        <v>44760</v>
      </c>
      <c r="P7461">
        <v>0</v>
      </c>
      <c r="Q7461">
        <v>0</v>
      </c>
      <c r="R7461" t="s">
        <v>44767</v>
      </c>
      <c r="S7461" t="s">
        <v>44954</v>
      </c>
      <c r="T7461" t="s">
        <v>46391</v>
      </c>
      <c r="U7461" t="s">
        <v>53163</v>
      </c>
      <c r="V7461" t="s">
        <v>59921</v>
      </c>
      <c r="W7461" t="s">
        <v>41946</v>
      </c>
      <c r="X7461" t="s">
        <v>44768</v>
      </c>
    </row>
    <row r="7462" spans="1:24">
      <c r="A7462">
        <f>HYPERLINK("https://www.philgeps.gov.ph/GEPSNONPILOT/Tender/SplashBidNoticeAbstractUI.aspx?menuIndex=3&amp;refID=7144061&amp;Result=3","7144061")</f>
        <v>0</v>
      </c>
      <c r="B7462" t="s">
        <v>1362</v>
      </c>
      <c r="C7462" t="s">
        <v>10841</v>
      </c>
      <c r="D7462" t="s">
        <v>17993</v>
      </c>
      <c r="E7462" t="s">
        <v>22025</v>
      </c>
      <c r="F7462" t="s">
        <v>30900</v>
      </c>
      <c r="G7462" t="s">
        <v>30907</v>
      </c>
      <c r="H7462" t="s">
        <v>30916</v>
      </c>
      <c r="I7462" t="s">
        <v>30933</v>
      </c>
      <c r="J7462" t="s">
        <v>33323</v>
      </c>
      <c r="K7462" t="s">
        <v>40283</v>
      </c>
      <c r="M7462" t="s">
        <v>41984</v>
      </c>
      <c r="N7462" t="s">
        <v>44759</v>
      </c>
      <c r="O7462" t="s">
        <v>44760</v>
      </c>
      <c r="P7462">
        <v>0</v>
      </c>
      <c r="Q7462">
        <v>4</v>
      </c>
      <c r="R7462" t="s">
        <v>44767</v>
      </c>
      <c r="S7462" t="s">
        <v>44954</v>
      </c>
      <c r="T7462" t="s">
        <v>46533</v>
      </c>
      <c r="U7462" t="s">
        <v>53164</v>
      </c>
      <c r="W7462" t="s">
        <v>41984</v>
      </c>
      <c r="X7462" t="s">
        <v>44768</v>
      </c>
    </row>
    <row r="7463" spans="1:24">
      <c r="A7463">
        <f>HYPERLINK("https://www.philgeps.gov.ph/GEPSNONPILOT/Tender/SplashBidNoticeAbstractUI.aspx?menuIndex=3&amp;refID=7144059&amp;Result=3","7144059")</f>
        <v>0</v>
      </c>
      <c r="B7463" t="s">
        <v>2520</v>
      </c>
      <c r="C7463" t="s">
        <v>10842</v>
      </c>
      <c r="D7463" t="s">
        <v>17991</v>
      </c>
      <c r="E7463" t="s">
        <v>24588</v>
      </c>
      <c r="F7463" t="s">
        <v>30900</v>
      </c>
      <c r="G7463" t="s">
        <v>30907</v>
      </c>
      <c r="H7463" t="s">
        <v>30915</v>
      </c>
      <c r="I7463" t="s">
        <v>30919</v>
      </c>
      <c r="J7463" t="s">
        <v>32324</v>
      </c>
      <c r="K7463" t="s">
        <v>40342</v>
      </c>
      <c r="M7463" t="s">
        <v>43267</v>
      </c>
      <c r="N7463" t="s">
        <v>44759</v>
      </c>
      <c r="O7463" t="s">
        <v>44760</v>
      </c>
      <c r="P7463">
        <v>0</v>
      </c>
      <c r="Q7463">
        <v>1</v>
      </c>
      <c r="R7463" t="s">
        <v>44767</v>
      </c>
      <c r="S7463" t="s">
        <v>44954</v>
      </c>
      <c r="T7463" t="s">
        <v>46495</v>
      </c>
      <c r="U7463" t="s">
        <v>53165</v>
      </c>
      <c r="V7463" t="s">
        <v>59914</v>
      </c>
      <c r="W7463" t="s">
        <v>43267</v>
      </c>
      <c r="X7463" t="s">
        <v>44768</v>
      </c>
    </row>
    <row r="7464" spans="1:24">
      <c r="A7464">
        <f>HYPERLINK("https://www.philgeps.gov.ph/GEPSNONPILOT/Tender/SplashBidNoticeAbstractUI.aspx?menuIndex=3&amp;refID=7144115&amp;Result=3","7144115")</f>
        <v>0</v>
      </c>
      <c r="B7464" t="s">
        <v>2152</v>
      </c>
      <c r="C7464" t="s">
        <v>10843</v>
      </c>
      <c r="E7464" t="s">
        <v>24589</v>
      </c>
      <c r="F7464" t="s">
        <v>30900</v>
      </c>
      <c r="G7464" t="s">
        <v>30907</v>
      </c>
      <c r="H7464" t="s">
        <v>30916</v>
      </c>
      <c r="I7464" t="s">
        <v>5501</v>
      </c>
      <c r="J7464" t="s">
        <v>35793</v>
      </c>
      <c r="K7464" t="s">
        <v>40286</v>
      </c>
      <c r="M7464" t="s">
        <v>43280</v>
      </c>
      <c r="N7464" t="s">
        <v>44759</v>
      </c>
      <c r="O7464" t="s">
        <v>44760</v>
      </c>
      <c r="P7464">
        <v>0</v>
      </c>
      <c r="Q7464">
        <v>0</v>
      </c>
      <c r="R7464" t="s">
        <v>44767</v>
      </c>
      <c r="S7464" t="s">
        <v>44954</v>
      </c>
      <c r="T7464" t="s">
        <v>46616</v>
      </c>
      <c r="U7464" t="s">
        <v>53166</v>
      </c>
      <c r="W7464" t="s">
        <v>43280</v>
      </c>
      <c r="X7464" t="s">
        <v>44768</v>
      </c>
    </row>
    <row r="7465" spans="1:24">
      <c r="A7465">
        <f>HYPERLINK("https://www.philgeps.gov.ph/GEPSNONPILOT/Tender/SplashBidNoticeAbstractUI.aspx?menuIndex=3&amp;refID=7144102&amp;Result=3","7144102")</f>
        <v>0</v>
      </c>
      <c r="B7465" t="s">
        <v>2472</v>
      </c>
      <c r="C7465" t="s">
        <v>10844</v>
      </c>
      <c r="D7465" t="s">
        <v>17962</v>
      </c>
      <c r="E7465" t="s">
        <v>24590</v>
      </c>
      <c r="F7465" t="s">
        <v>30900</v>
      </c>
      <c r="G7465" t="s">
        <v>30907</v>
      </c>
      <c r="H7465" t="s">
        <v>30916</v>
      </c>
      <c r="I7465" t="s">
        <v>5501</v>
      </c>
      <c r="J7465" t="s">
        <v>35794</v>
      </c>
      <c r="K7465" t="s">
        <v>40291</v>
      </c>
      <c r="M7465" t="s">
        <v>43210</v>
      </c>
      <c r="N7465" t="s">
        <v>44759</v>
      </c>
      <c r="O7465" t="s">
        <v>44760</v>
      </c>
      <c r="P7465">
        <v>0</v>
      </c>
      <c r="Q7465">
        <v>3</v>
      </c>
      <c r="R7465" t="s">
        <v>44767</v>
      </c>
      <c r="S7465" t="s">
        <v>44954</v>
      </c>
      <c r="T7465" t="s">
        <v>46375</v>
      </c>
      <c r="U7465" t="s">
        <v>53167</v>
      </c>
      <c r="V7465" t="s">
        <v>59226</v>
      </c>
      <c r="W7465" t="s">
        <v>43210</v>
      </c>
      <c r="X7465" t="s">
        <v>44768</v>
      </c>
    </row>
    <row r="7466" spans="1:24">
      <c r="A7466">
        <f>HYPERLINK("https://www.philgeps.gov.ph/GEPSNONPILOT/Tender/SplashBidNoticeAbstractUI.aspx?menuIndex=3&amp;refID=7144101&amp;Result=3","7144101")</f>
        <v>0</v>
      </c>
      <c r="B7466" t="s">
        <v>2529</v>
      </c>
      <c r="C7466" t="s">
        <v>10845</v>
      </c>
      <c r="D7466" t="s">
        <v>17952</v>
      </c>
      <c r="E7466" t="s">
        <v>24591</v>
      </c>
      <c r="F7466" t="s">
        <v>30900</v>
      </c>
      <c r="G7466" t="s">
        <v>30907</v>
      </c>
      <c r="H7466" t="s">
        <v>30916</v>
      </c>
      <c r="I7466" t="s">
        <v>4017</v>
      </c>
      <c r="J7466" t="s">
        <v>31103</v>
      </c>
      <c r="K7466" t="s">
        <v>40286</v>
      </c>
      <c r="M7466" t="s">
        <v>43281</v>
      </c>
      <c r="N7466" t="s">
        <v>44759</v>
      </c>
      <c r="O7466" t="s">
        <v>44760</v>
      </c>
      <c r="P7466">
        <v>0</v>
      </c>
      <c r="Q7466">
        <v>1</v>
      </c>
      <c r="R7466" t="s">
        <v>44767</v>
      </c>
      <c r="S7466" t="s">
        <v>44954</v>
      </c>
      <c r="T7466" t="s">
        <v>46715</v>
      </c>
      <c r="U7466" t="s">
        <v>53168</v>
      </c>
      <c r="W7466" t="s">
        <v>43281</v>
      </c>
      <c r="X7466" t="s">
        <v>44768</v>
      </c>
    </row>
    <row r="7467" spans="1:24">
      <c r="A7467">
        <f>HYPERLINK("https://www.philgeps.gov.ph/GEPSNONPILOT/Tender/SplashBidNoticeAbstractUI.aspx?menuIndex=3&amp;refID=7144103&amp;Result=3","7144103")</f>
        <v>0</v>
      </c>
      <c r="B7467" t="s">
        <v>708</v>
      </c>
      <c r="C7467" t="s">
        <v>10846</v>
      </c>
      <c r="E7467" t="s">
        <v>24592</v>
      </c>
      <c r="F7467" t="s">
        <v>30900</v>
      </c>
      <c r="G7467" t="s">
        <v>30907</v>
      </c>
      <c r="H7467" t="s">
        <v>30916</v>
      </c>
      <c r="I7467" t="s">
        <v>30933</v>
      </c>
      <c r="J7467" t="s">
        <v>35795</v>
      </c>
      <c r="K7467" t="s">
        <v>40289</v>
      </c>
      <c r="M7467" t="s">
        <v>43282</v>
      </c>
      <c r="N7467" t="s">
        <v>44759</v>
      </c>
      <c r="O7467" t="s">
        <v>44760</v>
      </c>
      <c r="P7467">
        <v>0</v>
      </c>
      <c r="Q7467">
        <v>3</v>
      </c>
      <c r="R7467" t="s">
        <v>44767</v>
      </c>
      <c r="S7467" t="s">
        <v>44954</v>
      </c>
      <c r="T7467" t="s">
        <v>46428</v>
      </c>
      <c r="U7467" t="s">
        <v>53169</v>
      </c>
      <c r="W7467" t="s">
        <v>43282</v>
      </c>
      <c r="X7467" t="s">
        <v>44768</v>
      </c>
    </row>
    <row r="7468" spans="1:24">
      <c r="A7468">
        <f>HYPERLINK("https://www.philgeps.gov.ph/GEPSNONPILOT/Tender/SplashBidNoticeAbstractUI.aspx?menuIndex=3&amp;refID=7144093&amp;Result=3","7144093")</f>
        <v>0</v>
      </c>
      <c r="B7468" t="s">
        <v>157</v>
      </c>
      <c r="C7468" t="s">
        <v>10847</v>
      </c>
      <c r="D7468" t="s">
        <v>17978</v>
      </c>
      <c r="E7468" t="s">
        <v>24593</v>
      </c>
      <c r="F7468" t="s">
        <v>30900</v>
      </c>
      <c r="G7468" t="s">
        <v>30908</v>
      </c>
      <c r="H7468" t="s">
        <v>30916</v>
      </c>
      <c r="I7468" t="s">
        <v>10847</v>
      </c>
      <c r="J7468" t="s">
        <v>35796</v>
      </c>
      <c r="K7468" t="s">
        <v>40286</v>
      </c>
      <c r="M7468" t="s">
        <v>40704</v>
      </c>
      <c r="N7468" t="s">
        <v>44759</v>
      </c>
      <c r="O7468" t="s">
        <v>44760</v>
      </c>
      <c r="P7468">
        <v>0</v>
      </c>
      <c r="Q7468">
        <v>0</v>
      </c>
      <c r="R7468" t="s">
        <v>44767</v>
      </c>
      <c r="S7468" t="s">
        <v>44954</v>
      </c>
      <c r="T7468" t="s">
        <v>46581</v>
      </c>
      <c r="U7468" t="s">
        <v>53170</v>
      </c>
      <c r="W7468" t="s">
        <v>40704</v>
      </c>
      <c r="X7468" t="s">
        <v>44768</v>
      </c>
    </row>
    <row r="7469" spans="1:24">
      <c r="A7469">
        <f>HYPERLINK("https://www.philgeps.gov.ph/GEPSNONPILOT/Tender/SplashBidNoticeAbstractUI.aspx?menuIndex=3&amp;refID=7144092&amp;Result=3","7144092")</f>
        <v>0</v>
      </c>
      <c r="B7469" t="s">
        <v>839</v>
      </c>
      <c r="C7469" t="s">
        <v>10848</v>
      </c>
      <c r="E7469" t="s">
        <v>24594</v>
      </c>
      <c r="F7469" t="s">
        <v>30900</v>
      </c>
      <c r="G7469" t="s">
        <v>30907</v>
      </c>
      <c r="H7469" t="s">
        <v>30916</v>
      </c>
      <c r="I7469" t="s">
        <v>30918</v>
      </c>
      <c r="J7469" t="s">
        <v>32935</v>
      </c>
      <c r="K7469" t="s">
        <v>40289</v>
      </c>
      <c r="M7469" t="s">
        <v>43283</v>
      </c>
      <c r="N7469" t="s">
        <v>44759</v>
      </c>
      <c r="O7469" t="s">
        <v>44760</v>
      </c>
      <c r="P7469">
        <v>0</v>
      </c>
      <c r="Q7469">
        <v>17</v>
      </c>
      <c r="R7469" t="s">
        <v>44767</v>
      </c>
      <c r="S7469" t="s">
        <v>44954</v>
      </c>
      <c r="T7469" t="s">
        <v>46465</v>
      </c>
      <c r="U7469" t="s">
        <v>53171</v>
      </c>
      <c r="W7469" t="s">
        <v>43283</v>
      </c>
      <c r="X7469" t="s">
        <v>44768</v>
      </c>
    </row>
    <row r="7470" spans="1:24">
      <c r="A7470">
        <f>HYPERLINK("https://www.philgeps.gov.ph/GEPSNONPILOT/Tender/SplashBidNoticeAbstractUI.aspx?menuIndex=3&amp;refID=7144107&amp;Result=3","7144107")</f>
        <v>0</v>
      </c>
      <c r="B7470" t="s">
        <v>1339</v>
      </c>
      <c r="C7470" t="s">
        <v>10849</v>
      </c>
      <c r="D7470" t="s">
        <v>18001</v>
      </c>
      <c r="E7470" t="s">
        <v>24595</v>
      </c>
      <c r="F7470" t="s">
        <v>30900</v>
      </c>
      <c r="G7470" t="s">
        <v>30907</v>
      </c>
      <c r="H7470" t="s">
        <v>30915</v>
      </c>
      <c r="I7470" t="s">
        <v>30919</v>
      </c>
      <c r="J7470" t="s">
        <v>35797</v>
      </c>
      <c r="K7470" t="s">
        <v>40293</v>
      </c>
      <c r="M7470" t="s">
        <v>41960</v>
      </c>
      <c r="N7470" t="s">
        <v>44759</v>
      </c>
      <c r="O7470" t="s">
        <v>44760</v>
      </c>
      <c r="P7470">
        <v>0</v>
      </c>
      <c r="Q7470">
        <v>0</v>
      </c>
      <c r="R7470" t="s">
        <v>44767</v>
      </c>
      <c r="S7470" t="s">
        <v>44954</v>
      </c>
      <c r="T7470" t="s">
        <v>46404</v>
      </c>
      <c r="U7470" t="s">
        <v>53172</v>
      </c>
      <c r="W7470" t="s">
        <v>41960</v>
      </c>
      <c r="X7470" t="s">
        <v>44768</v>
      </c>
    </row>
    <row r="7471" spans="1:24">
      <c r="A7471">
        <f>HYPERLINK("https://www.philgeps.gov.ph/GEPSNONPILOT/Tender/SplashBidNoticeAbstractUI.aspx?menuIndex=3&amp;refID=7144105&amp;Result=3","7144105")</f>
        <v>0</v>
      </c>
      <c r="B7471" t="s">
        <v>1338</v>
      </c>
      <c r="C7471" t="s">
        <v>10850</v>
      </c>
      <c r="D7471" t="s">
        <v>18023</v>
      </c>
      <c r="E7471" t="s">
        <v>24596</v>
      </c>
      <c r="F7471" t="s">
        <v>30900</v>
      </c>
      <c r="G7471" t="s">
        <v>30907</v>
      </c>
      <c r="H7471" t="s">
        <v>30915</v>
      </c>
      <c r="I7471" t="s">
        <v>30919</v>
      </c>
      <c r="J7471" t="s">
        <v>35798</v>
      </c>
      <c r="K7471" t="s">
        <v>40391</v>
      </c>
      <c r="M7471" t="s">
        <v>41959</v>
      </c>
      <c r="N7471" t="s">
        <v>44759</v>
      </c>
      <c r="O7471" t="s">
        <v>44760</v>
      </c>
      <c r="P7471">
        <v>0</v>
      </c>
      <c r="Q7471">
        <v>1</v>
      </c>
      <c r="R7471" t="s">
        <v>44767</v>
      </c>
      <c r="S7471" t="s">
        <v>44954</v>
      </c>
      <c r="T7471" t="s">
        <v>46703</v>
      </c>
      <c r="U7471" t="s">
        <v>53173</v>
      </c>
      <c r="W7471" t="s">
        <v>41959</v>
      </c>
      <c r="X7471" t="s">
        <v>44768</v>
      </c>
    </row>
    <row r="7472" spans="1:24">
      <c r="A7472">
        <f>HYPERLINK("https://www.philgeps.gov.ph/GEPSNONPILOT/Tender/SplashBidNoticeAbstractUI.aspx?menuIndex=3&amp;refID=7144085&amp;Result=3","7144085")</f>
        <v>0</v>
      </c>
      <c r="B7472" t="s">
        <v>2407</v>
      </c>
      <c r="C7472" t="s">
        <v>10851</v>
      </c>
      <c r="D7472" t="s">
        <v>17985</v>
      </c>
      <c r="E7472" t="s">
        <v>24597</v>
      </c>
      <c r="F7472" t="s">
        <v>30900</v>
      </c>
      <c r="G7472" t="s">
        <v>30907</v>
      </c>
      <c r="H7472" t="s">
        <v>30915</v>
      </c>
      <c r="I7472" t="s">
        <v>30922</v>
      </c>
      <c r="J7472" t="s">
        <v>35799</v>
      </c>
      <c r="K7472" t="s">
        <v>40442</v>
      </c>
      <c r="M7472" t="s">
        <v>43284</v>
      </c>
      <c r="N7472" t="s">
        <v>44759</v>
      </c>
      <c r="O7472" t="s">
        <v>44760</v>
      </c>
      <c r="P7472">
        <v>0</v>
      </c>
      <c r="Q7472">
        <v>5</v>
      </c>
      <c r="R7472" t="s">
        <v>44767</v>
      </c>
      <c r="S7472" t="s">
        <v>44954</v>
      </c>
      <c r="T7472" t="s">
        <v>46350</v>
      </c>
      <c r="U7472" t="s">
        <v>53174</v>
      </c>
      <c r="W7472" t="s">
        <v>43284</v>
      </c>
      <c r="X7472" t="s">
        <v>44768</v>
      </c>
    </row>
    <row r="7473" spans="1:24">
      <c r="A7473">
        <f>HYPERLINK("https://www.philgeps.gov.ph/GEPSNONPILOT/Tender/SplashBidNoticeAbstractUI.aspx?menuIndex=3&amp;refID=7144083&amp;Result=3","7144083")</f>
        <v>0</v>
      </c>
      <c r="B7473" t="s">
        <v>1538</v>
      </c>
      <c r="C7473" t="s">
        <v>10852</v>
      </c>
      <c r="D7473" t="s">
        <v>17954</v>
      </c>
      <c r="E7473" t="s">
        <v>24598</v>
      </c>
      <c r="F7473" t="s">
        <v>30900</v>
      </c>
      <c r="G7473" t="s">
        <v>30908</v>
      </c>
      <c r="H7473" t="s">
        <v>30916</v>
      </c>
      <c r="I7473" t="s">
        <v>4545</v>
      </c>
      <c r="J7473" t="s">
        <v>31441</v>
      </c>
      <c r="K7473" t="s">
        <v>40283</v>
      </c>
      <c r="M7473" t="s">
        <v>42181</v>
      </c>
      <c r="N7473" t="s">
        <v>44759</v>
      </c>
      <c r="O7473" t="s">
        <v>44760</v>
      </c>
      <c r="P7473">
        <v>0</v>
      </c>
      <c r="Q7473">
        <v>2</v>
      </c>
      <c r="R7473" t="s">
        <v>44767</v>
      </c>
      <c r="S7473" t="s">
        <v>44954</v>
      </c>
      <c r="T7473" t="s">
        <v>46662</v>
      </c>
      <c r="U7473" t="s">
        <v>53175</v>
      </c>
      <c r="V7473" t="s">
        <v>59922</v>
      </c>
      <c r="W7473" t="s">
        <v>42181</v>
      </c>
      <c r="X7473" t="s">
        <v>44768</v>
      </c>
    </row>
    <row r="7474" spans="1:24">
      <c r="A7474">
        <f>HYPERLINK("https://www.philgeps.gov.ph/GEPSNONPILOT/Tender/SplashBidNoticeAbstractUI.aspx?menuIndex=3&amp;refID=7144156&amp;Result=3","7144156")</f>
        <v>0</v>
      </c>
      <c r="B7474" t="s">
        <v>1327</v>
      </c>
      <c r="C7474" t="s">
        <v>10853</v>
      </c>
      <c r="D7474" t="s">
        <v>17971</v>
      </c>
      <c r="E7474" t="s">
        <v>24599</v>
      </c>
      <c r="F7474" t="s">
        <v>30900</v>
      </c>
      <c r="G7474" t="s">
        <v>30907</v>
      </c>
      <c r="H7474" t="s">
        <v>30916</v>
      </c>
      <c r="I7474" t="s">
        <v>30927</v>
      </c>
      <c r="J7474" t="s">
        <v>35800</v>
      </c>
      <c r="K7474" t="s">
        <v>40286</v>
      </c>
      <c r="M7474" t="s">
        <v>41946</v>
      </c>
      <c r="N7474" t="s">
        <v>44759</v>
      </c>
      <c r="O7474" t="s">
        <v>44760</v>
      </c>
      <c r="P7474">
        <v>0</v>
      </c>
      <c r="Q7474">
        <v>0</v>
      </c>
      <c r="R7474" t="s">
        <v>44767</v>
      </c>
      <c r="S7474" t="s">
        <v>44954</v>
      </c>
      <c r="T7474" t="s">
        <v>46391</v>
      </c>
      <c r="U7474" t="s">
        <v>53176</v>
      </c>
      <c r="V7474" t="s">
        <v>59923</v>
      </c>
      <c r="W7474" t="s">
        <v>41946</v>
      </c>
      <c r="X7474" t="s">
        <v>44768</v>
      </c>
    </row>
    <row r="7475" spans="1:24">
      <c r="A7475">
        <f>HYPERLINK("https://www.philgeps.gov.ph/GEPSNONPILOT/Tender/SplashBidNoticeAbstractUI.aspx?menuIndex=3&amp;refID=7143641&amp;Result=3","7143641")</f>
        <v>0</v>
      </c>
      <c r="B7475" t="s">
        <v>2530</v>
      </c>
      <c r="C7475" t="s">
        <v>10854</v>
      </c>
      <c r="D7475" t="s">
        <v>17953</v>
      </c>
      <c r="E7475" t="s">
        <v>24600</v>
      </c>
      <c r="F7475" t="s">
        <v>30900</v>
      </c>
      <c r="G7475" t="s">
        <v>30907</v>
      </c>
      <c r="H7475" t="s">
        <v>30916</v>
      </c>
      <c r="I7475" t="s">
        <v>8123</v>
      </c>
      <c r="J7475" t="s">
        <v>35801</v>
      </c>
      <c r="K7475" t="s">
        <v>40289</v>
      </c>
      <c r="M7475" t="s">
        <v>43285</v>
      </c>
      <c r="N7475" t="s">
        <v>44759</v>
      </c>
      <c r="O7475" t="s">
        <v>44760</v>
      </c>
      <c r="P7475">
        <v>0</v>
      </c>
      <c r="Q7475">
        <v>0</v>
      </c>
      <c r="R7475" t="s">
        <v>44767</v>
      </c>
      <c r="S7475" t="s">
        <v>44954</v>
      </c>
      <c r="T7475" t="s">
        <v>46414</v>
      </c>
      <c r="U7475" t="s">
        <v>53177</v>
      </c>
      <c r="W7475" t="s">
        <v>43285</v>
      </c>
      <c r="X7475" t="s">
        <v>44768</v>
      </c>
    </row>
    <row r="7476" spans="1:24">
      <c r="A7476">
        <f>HYPERLINK("https://www.philgeps.gov.ph/GEPSNONPILOT/Tender/SplashBidNoticeAbstractUI.aspx?menuIndex=3&amp;refID=7144109&amp;Result=3","7144109")</f>
        <v>0</v>
      </c>
      <c r="B7476" t="s">
        <v>2531</v>
      </c>
      <c r="C7476" t="s">
        <v>10855</v>
      </c>
      <c r="E7476" t="s">
        <v>10855</v>
      </c>
      <c r="F7476" t="s">
        <v>30900</v>
      </c>
      <c r="G7476" t="s">
        <v>30907</v>
      </c>
      <c r="H7476" t="s">
        <v>30916</v>
      </c>
      <c r="I7476" t="s">
        <v>5830</v>
      </c>
      <c r="J7476" t="s">
        <v>32298</v>
      </c>
      <c r="K7476" t="s">
        <v>40331</v>
      </c>
      <c r="M7476" t="s">
        <v>43286</v>
      </c>
      <c r="N7476" t="s">
        <v>44759</v>
      </c>
      <c r="O7476" t="s">
        <v>44760</v>
      </c>
      <c r="P7476">
        <v>0</v>
      </c>
      <c r="Q7476">
        <v>0</v>
      </c>
      <c r="R7476" t="s">
        <v>44767</v>
      </c>
      <c r="S7476" t="s">
        <v>44954</v>
      </c>
      <c r="T7476" t="s">
        <v>46398</v>
      </c>
      <c r="U7476" t="s">
        <v>53178</v>
      </c>
      <c r="V7476" t="s">
        <v>53178</v>
      </c>
      <c r="W7476" t="s">
        <v>43286</v>
      </c>
      <c r="X7476" t="s">
        <v>44768</v>
      </c>
    </row>
    <row r="7477" spans="1:24">
      <c r="A7477">
        <f>HYPERLINK("https://www.philgeps.gov.ph/GEPSNONPILOT/Tender/SplashBidNoticeAbstractUI.aspx?menuIndex=3&amp;refID=7144148&amp;Result=3","7144148")</f>
        <v>0</v>
      </c>
      <c r="B7477" t="s">
        <v>2467</v>
      </c>
      <c r="C7477" t="s">
        <v>10856</v>
      </c>
      <c r="D7477" t="s">
        <v>17966</v>
      </c>
      <c r="E7477" t="s">
        <v>24254</v>
      </c>
      <c r="F7477" t="s">
        <v>30900</v>
      </c>
      <c r="G7477" t="s">
        <v>30907</v>
      </c>
      <c r="H7477" t="s">
        <v>30916</v>
      </c>
      <c r="I7477" t="s">
        <v>6396</v>
      </c>
      <c r="J7477" t="s">
        <v>35802</v>
      </c>
      <c r="K7477" t="s">
        <v>40286</v>
      </c>
      <c r="M7477" t="s">
        <v>43205</v>
      </c>
      <c r="N7477" t="s">
        <v>44759</v>
      </c>
      <c r="O7477" t="s">
        <v>44760</v>
      </c>
      <c r="P7477">
        <v>0</v>
      </c>
      <c r="Q7477">
        <v>9</v>
      </c>
      <c r="R7477" t="s">
        <v>44767</v>
      </c>
      <c r="S7477" t="s">
        <v>44954</v>
      </c>
      <c r="T7477" t="s">
        <v>46495</v>
      </c>
      <c r="U7477" t="s">
        <v>53179</v>
      </c>
      <c r="W7477" t="s">
        <v>43205</v>
      </c>
      <c r="X7477" t="s">
        <v>44768</v>
      </c>
    </row>
    <row r="7478" spans="1:24">
      <c r="A7478">
        <f>HYPERLINK("https://www.philgeps.gov.ph/GEPSNONPILOT/Tender/SplashBidNoticeAbstractUI.aspx?menuIndex=3&amp;refID=7144150&amp;Result=3","7144150")</f>
        <v>0</v>
      </c>
      <c r="B7478" t="s">
        <v>1500</v>
      </c>
      <c r="C7478" t="s">
        <v>10857</v>
      </c>
      <c r="D7478" t="s">
        <v>17978</v>
      </c>
      <c r="E7478" t="s">
        <v>18094</v>
      </c>
      <c r="F7478" t="s">
        <v>30900</v>
      </c>
      <c r="G7478" t="s">
        <v>30907</v>
      </c>
      <c r="H7478" t="s">
        <v>30916</v>
      </c>
      <c r="I7478" t="s">
        <v>8123</v>
      </c>
      <c r="J7478" t="s">
        <v>35803</v>
      </c>
      <c r="K7478" t="s">
        <v>40286</v>
      </c>
      <c r="M7478" t="s">
        <v>43287</v>
      </c>
      <c r="N7478" t="s">
        <v>44759</v>
      </c>
      <c r="O7478" t="s">
        <v>44760</v>
      </c>
      <c r="P7478">
        <v>0</v>
      </c>
      <c r="Q7478">
        <v>1</v>
      </c>
      <c r="R7478" t="s">
        <v>44767</v>
      </c>
      <c r="S7478" t="s">
        <v>44954</v>
      </c>
      <c r="T7478" t="s">
        <v>46703</v>
      </c>
      <c r="U7478" t="s">
        <v>53180</v>
      </c>
      <c r="W7478" t="s">
        <v>43287</v>
      </c>
      <c r="X7478" t="s">
        <v>44768</v>
      </c>
    </row>
    <row r="7479" spans="1:24">
      <c r="A7479">
        <f>HYPERLINK("https://www.philgeps.gov.ph/GEPSNONPILOT/Tender/SplashBidNoticeAbstractUI.aspx?menuIndex=3&amp;refID=7144145&amp;Result=3","7144145")</f>
        <v>0</v>
      </c>
      <c r="B7479" t="s">
        <v>2532</v>
      </c>
      <c r="C7479" t="s">
        <v>10858</v>
      </c>
      <c r="D7479" t="s">
        <v>18002</v>
      </c>
      <c r="E7479" t="s">
        <v>24601</v>
      </c>
      <c r="F7479" t="s">
        <v>30900</v>
      </c>
      <c r="G7479" t="s">
        <v>30909</v>
      </c>
      <c r="H7479" t="s">
        <v>30916</v>
      </c>
      <c r="I7479" t="s">
        <v>4545</v>
      </c>
      <c r="J7479" t="s">
        <v>35804</v>
      </c>
      <c r="K7479" t="s">
        <v>40286</v>
      </c>
      <c r="M7479" t="s">
        <v>43288</v>
      </c>
      <c r="N7479" t="s">
        <v>44759</v>
      </c>
      <c r="O7479" t="s">
        <v>44760</v>
      </c>
      <c r="P7479">
        <v>0</v>
      </c>
      <c r="Q7479">
        <v>5</v>
      </c>
      <c r="R7479" t="s">
        <v>44767</v>
      </c>
      <c r="S7479" t="s">
        <v>44954</v>
      </c>
      <c r="T7479" t="s">
        <v>46662</v>
      </c>
      <c r="U7479" t="s">
        <v>53181</v>
      </c>
      <c r="W7479" t="s">
        <v>43288</v>
      </c>
      <c r="X7479" t="s">
        <v>44768</v>
      </c>
    </row>
    <row r="7480" spans="1:24">
      <c r="A7480">
        <f>HYPERLINK("https://www.philgeps.gov.ph/GEPSNONPILOT/Tender/SplashBidNoticeAbstractUI.aspx?menuIndex=3&amp;refID=7144149&amp;Result=3","7144149")</f>
        <v>0</v>
      </c>
      <c r="B7480" t="s">
        <v>708</v>
      </c>
      <c r="C7480" t="s">
        <v>10859</v>
      </c>
      <c r="E7480" t="s">
        <v>24602</v>
      </c>
      <c r="F7480" t="s">
        <v>30900</v>
      </c>
      <c r="G7480" t="s">
        <v>30907</v>
      </c>
      <c r="H7480" t="s">
        <v>30916</v>
      </c>
      <c r="I7480" t="s">
        <v>30918</v>
      </c>
      <c r="J7480" t="s">
        <v>35805</v>
      </c>
      <c r="K7480" t="s">
        <v>40289</v>
      </c>
      <c r="M7480" t="s">
        <v>43282</v>
      </c>
      <c r="N7480" t="s">
        <v>44759</v>
      </c>
      <c r="O7480" t="s">
        <v>44760</v>
      </c>
      <c r="P7480">
        <v>0</v>
      </c>
      <c r="Q7480">
        <v>8</v>
      </c>
      <c r="R7480" t="s">
        <v>44767</v>
      </c>
      <c r="S7480" t="s">
        <v>44954</v>
      </c>
      <c r="T7480" t="s">
        <v>46428</v>
      </c>
      <c r="U7480" t="s">
        <v>53182</v>
      </c>
      <c r="W7480" t="s">
        <v>43282</v>
      </c>
      <c r="X7480" t="s">
        <v>44768</v>
      </c>
    </row>
    <row r="7481" spans="1:24">
      <c r="A7481">
        <f>HYPERLINK("https://www.philgeps.gov.ph/GEPSNONPILOT/Tender/SplashBidNoticeAbstractUI.aspx?menuIndex=3&amp;refID=7144144&amp;Result=3","7144144")</f>
        <v>0</v>
      </c>
      <c r="B7481" t="s">
        <v>2533</v>
      </c>
      <c r="C7481" t="s">
        <v>10860</v>
      </c>
      <c r="D7481" t="s">
        <v>17955</v>
      </c>
      <c r="E7481" t="s">
        <v>24603</v>
      </c>
      <c r="F7481" t="s">
        <v>30903</v>
      </c>
      <c r="G7481" t="s">
        <v>30913</v>
      </c>
      <c r="H7481" t="s">
        <v>30915</v>
      </c>
      <c r="I7481" t="s">
        <v>30919</v>
      </c>
      <c r="J7481" t="s">
        <v>35806</v>
      </c>
      <c r="K7481" t="s">
        <v>40343</v>
      </c>
      <c r="M7481" t="s">
        <v>43289</v>
      </c>
      <c r="N7481" t="s">
        <v>44759</v>
      </c>
      <c r="O7481" t="s">
        <v>44760</v>
      </c>
      <c r="P7481">
        <v>0</v>
      </c>
      <c r="Q7481">
        <v>0</v>
      </c>
      <c r="R7481" t="s">
        <v>44767</v>
      </c>
      <c r="S7481" t="s">
        <v>44954</v>
      </c>
      <c r="T7481" t="s">
        <v>46357</v>
      </c>
      <c r="U7481" t="s">
        <v>53183</v>
      </c>
      <c r="W7481" t="s">
        <v>43289</v>
      </c>
      <c r="X7481" t="s">
        <v>44768</v>
      </c>
    </row>
    <row r="7482" spans="1:24">
      <c r="A7482">
        <f>HYPERLINK("https://www.philgeps.gov.ph/GEPSNONPILOT/Tender/SplashBidNoticeAbstractUI.aspx?menuIndex=3&amp;refID=7144141&amp;Result=3","7144141")</f>
        <v>0</v>
      </c>
      <c r="B7482" t="s">
        <v>2056</v>
      </c>
      <c r="C7482" t="s">
        <v>10861</v>
      </c>
      <c r="D7482" t="s">
        <v>17999</v>
      </c>
      <c r="E7482" t="s">
        <v>19247</v>
      </c>
      <c r="F7482" t="s">
        <v>30900</v>
      </c>
      <c r="G7482" t="s">
        <v>30907</v>
      </c>
      <c r="H7482" t="s">
        <v>30915</v>
      </c>
      <c r="I7482" t="s">
        <v>30919</v>
      </c>
      <c r="J7482" t="s">
        <v>35807</v>
      </c>
      <c r="K7482" t="s">
        <v>40289</v>
      </c>
      <c r="M7482" t="s">
        <v>42755</v>
      </c>
      <c r="N7482" t="s">
        <v>44759</v>
      </c>
      <c r="O7482" t="s">
        <v>44760</v>
      </c>
      <c r="P7482">
        <v>0</v>
      </c>
      <c r="Q7482">
        <v>0</v>
      </c>
      <c r="R7482" t="s">
        <v>44767</v>
      </c>
      <c r="S7482" t="s">
        <v>44954</v>
      </c>
      <c r="T7482" t="s">
        <v>46450</v>
      </c>
      <c r="U7482" t="s">
        <v>53184</v>
      </c>
      <c r="W7482" t="s">
        <v>42755</v>
      </c>
      <c r="X7482" t="s">
        <v>44768</v>
      </c>
    </row>
    <row r="7483" spans="1:24">
      <c r="A7483">
        <f>HYPERLINK("https://www.philgeps.gov.ph/GEPSNONPILOT/Tender/SplashBidNoticeAbstractUI.aspx?menuIndex=3&amp;refID=7144158&amp;Result=3","7144158")</f>
        <v>0</v>
      </c>
      <c r="B7483" t="s">
        <v>2529</v>
      </c>
      <c r="C7483" t="s">
        <v>10862</v>
      </c>
      <c r="D7483" t="s">
        <v>17952</v>
      </c>
      <c r="E7483" t="s">
        <v>24604</v>
      </c>
      <c r="F7483" t="s">
        <v>30900</v>
      </c>
      <c r="G7483" t="s">
        <v>30907</v>
      </c>
      <c r="H7483" t="s">
        <v>30915</v>
      </c>
      <c r="I7483" t="s">
        <v>30919</v>
      </c>
      <c r="J7483" t="s">
        <v>35808</v>
      </c>
      <c r="K7483" t="s">
        <v>40280</v>
      </c>
      <c r="M7483" t="s">
        <v>43281</v>
      </c>
      <c r="N7483" t="s">
        <v>44759</v>
      </c>
      <c r="O7483" t="s">
        <v>44760</v>
      </c>
      <c r="P7483">
        <v>0</v>
      </c>
      <c r="Q7483">
        <v>0</v>
      </c>
      <c r="R7483" t="s">
        <v>44767</v>
      </c>
      <c r="S7483" t="s">
        <v>44954</v>
      </c>
      <c r="T7483" t="s">
        <v>46715</v>
      </c>
      <c r="U7483" t="s">
        <v>53185</v>
      </c>
      <c r="W7483" t="s">
        <v>43281</v>
      </c>
      <c r="X7483" t="s">
        <v>44768</v>
      </c>
    </row>
    <row r="7484" spans="1:24">
      <c r="A7484">
        <f>HYPERLINK("https://www.philgeps.gov.ph/GEPSNONPILOT/Tender/SplashBidNoticeAbstractUI.aspx?menuIndex=3&amp;refID=7144139&amp;Result=3","7144139")</f>
        <v>0</v>
      </c>
      <c r="B7484" t="s">
        <v>2529</v>
      </c>
      <c r="C7484" t="s">
        <v>10863</v>
      </c>
      <c r="D7484" t="s">
        <v>17952</v>
      </c>
      <c r="E7484" t="s">
        <v>24605</v>
      </c>
      <c r="F7484" t="s">
        <v>30900</v>
      </c>
      <c r="G7484" t="s">
        <v>30907</v>
      </c>
      <c r="H7484" t="s">
        <v>30915</v>
      </c>
      <c r="I7484" t="s">
        <v>30919</v>
      </c>
      <c r="J7484" t="s">
        <v>35809</v>
      </c>
      <c r="K7484" t="s">
        <v>40292</v>
      </c>
      <c r="M7484" t="s">
        <v>43281</v>
      </c>
      <c r="N7484" t="s">
        <v>44759</v>
      </c>
      <c r="O7484" t="s">
        <v>44760</v>
      </c>
      <c r="P7484">
        <v>0</v>
      </c>
      <c r="Q7484">
        <v>0</v>
      </c>
      <c r="R7484" t="s">
        <v>44767</v>
      </c>
      <c r="S7484" t="s">
        <v>44954</v>
      </c>
      <c r="T7484" t="s">
        <v>46715</v>
      </c>
      <c r="U7484" t="s">
        <v>53186</v>
      </c>
      <c r="W7484" t="s">
        <v>43281</v>
      </c>
      <c r="X7484" t="s">
        <v>44768</v>
      </c>
    </row>
    <row r="7485" spans="1:24">
      <c r="A7485">
        <f>HYPERLINK("https://www.philgeps.gov.ph/GEPSNONPILOT/Tender/SplashBidNoticeAbstractUI.aspx?menuIndex=3&amp;refID=7144133&amp;Result=3","7144133")</f>
        <v>0</v>
      </c>
      <c r="B7485" t="s">
        <v>2520</v>
      </c>
      <c r="C7485" t="s">
        <v>10864</v>
      </c>
      <c r="D7485" t="s">
        <v>17991</v>
      </c>
      <c r="E7485" t="s">
        <v>24606</v>
      </c>
      <c r="F7485" t="s">
        <v>30900</v>
      </c>
      <c r="G7485" t="s">
        <v>30907</v>
      </c>
      <c r="H7485" t="s">
        <v>30915</v>
      </c>
      <c r="I7485" t="s">
        <v>30919</v>
      </c>
      <c r="J7485" t="s">
        <v>35810</v>
      </c>
      <c r="K7485" t="s">
        <v>40342</v>
      </c>
      <c r="M7485" t="s">
        <v>43267</v>
      </c>
      <c r="N7485" t="s">
        <v>44759</v>
      </c>
      <c r="O7485" t="s">
        <v>44760</v>
      </c>
      <c r="P7485">
        <v>0</v>
      </c>
      <c r="Q7485">
        <v>0</v>
      </c>
      <c r="R7485" t="s">
        <v>44767</v>
      </c>
      <c r="S7485" t="s">
        <v>44954</v>
      </c>
      <c r="T7485" t="s">
        <v>46495</v>
      </c>
      <c r="U7485" t="s">
        <v>53187</v>
      </c>
      <c r="V7485" t="s">
        <v>59914</v>
      </c>
      <c r="W7485" t="s">
        <v>43267</v>
      </c>
      <c r="X7485" t="s">
        <v>44768</v>
      </c>
    </row>
    <row r="7486" spans="1:24">
      <c r="A7486">
        <f>HYPERLINK("https://www.philgeps.gov.ph/GEPSNONPILOT/Tender/SplashBidNoticeAbstractUI.aspx?menuIndex=3&amp;refID=7144086&amp;Result=3","7144086")</f>
        <v>0</v>
      </c>
      <c r="B7486" t="s">
        <v>1541</v>
      </c>
      <c r="C7486" t="s">
        <v>10865</v>
      </c>
      <c r="D7486" t="s">
        <v>17999</v>
      </c>
      <c r="E7486" t="s">
        <v>24607</v>
      </c>
      <c r="F7486" t="s">
        <v>30900</v>
      </c>
      <c r="G7486" t="s">
        <v>30908</v>
      </c>
      <c r="H7486" t="s">
        <v>30916</v>
      </c>
      <c r="I7486" t="s">
        <v>31016</v>
      </c>
      <c r="J7486" t="s">
        <v>35811</v>
      </c>
      <c r="K7486" t="s">
        <v>40289</v>
      </c>
      <c r="M7486" t="s">
        <v>42184</v>
      </c>
      <c r="N7486" t="s">
        <v>44759</v>
      </c>
      <c r="O7486" t="s">
        <v>44760</v>
      </c>
      <c r="P7486">
        <v>0</v>
      </c>
      <c r="Q7486">
        <v>4</v>
      </c>
      <c r="R7486" t="s">
        <v>44767</v>
      </c>
      <c r="S7486" t="s">
        <v>44954</v>
      </c>
      <c r="T7486" t="s">
        <v>46704</v>
      </c>
      <c r="U7486" t="s">
        <v>53188</v>
      </c>
      <c r="W7486" t="s">
        <v>42184</v>
      </c>
      <c r="X7486" t="s">
        <v>44768</v>
      </c>
    </row>
    <row r="7487" spans="1:24">
      <c r="A7487">
        <f>HYPERLINK("https://www.philgeps.gov.ph/GEPSNONPILOT/Tender/SplashBidNoticeAbstractUI.aspx?menuIndex=3&amp;refID=7144132&amp;Result=3","7144132")</f>
        <v>0</v>
      </c>
      <c r="B7487" t="s">
        <v>708</v>
      </c>
      <c r="C7487" t="s">
        <v>10866</v>
      </c>
      <c r="E7487" t="s">
        <v>24608</v>
      </c>
      <c r="F7487" t="s">
        <v>30900</v>
      </c>
      <c r="G7487" t="s">
        <v>30907</v>
      </c>
      <c r="H7487" t="s">
        <v>30916</v>
      </c>
      <c r="I7487" t="s">
        <v>30924</v>
      </c>
      <c r="J7487" t="s">
        <v>35812</v>
      </c>
      <c r="K7487" t="s">
        <v>40289</v>
      </c>
      <c r="M7487" t="s">
        <v>43282</v>
      </c>
      <c r="N7487" t="s">
        <v>44759</v>
      </c>
      <c r="O7487" t="s">
        <v>44760</v>
      </c>
      <c r="P7487">
        <v>0</v>
      </c>
      <c r="Q7487">
        <v>14</v>
      </c>
      <c r="R7487" t="s">
        <v>44767</v>
      </c>
      <c r="S7487" t="s">
        <v>44954</v>
      </c>
      <c r="T7487" t="s">
        <v>46428</v>
      </c>
      <c r="U7487" t="s">
        <v>53189</v>
      </c>
      <c r="W7487" t="s">
        <v>43282</v>
      </c>
      <c r="X7487" t="s">
        <v>44768</v>
      </c>
    </row>
    <row r="7488" spans="1:24">
      <c r="A7488">
        <f>HYPERLINK("https://www.philgeps.gov.ph/GEPSNONPILOT/Tender/SplashBidNoticeAbstractUI.aspx?menuIndex=3&amp;refID=7144137&amp;Result=3","7144137")</f>
        <v>0</v>
      </c>
      <c r="B7488" t="s">
        <v>2531</v>
      </c>
      <c r="C7488" t="s">
        <v>10867</v>
      </c>
      <c r="D7488" t="s">
        <v>17953</v>
      </c>
      <c r="E7488" t="s">
        <v>24609</v>
      </c>
      <c r="F7488" t="s">
        <v>30900</v>
      </c>
      <c r="G7488" t="s">
        <v>30907</v>
      </c>
      <c r="H7488" t="s">
        <v>30916</v>
      </c>
      <c r="I7488" t="s">
        <v>8123</v>
      </c>
      <c r="J7488" t="s">
        <v>31257</v>
      </c>
      <c r="K7488" t="s">
        <v>40331</v>
      </c>
      <c r="M7488" t="s">
        <v>43286</v>
      </c>
      <c r="N7488" t="s">
        <v>44759</v>
      </c>
      <c r="O7488" t="s">
        <v>44760</v>
      </c>
      <c r="P7488">
        <v>0</v>
      </c>
      <c r="Q7488">
        <v>0</v>
      </c>
      <c r="R7488" t="s">
        <v>44767</v>
      </c>
      <c r="S7488" t="s">
        <v>44954</v>
      </c>
      <c r="T7488" t="s">
        <v>46398</v>
      </c>
      <c r="U7488" t="s">
        <v>53190</v>
      </c>
      <c r="V7488" t="s">
        <v>53190</v>
      </c>
      <c r="W7488" t="s">
        <v>43286</v>
      </c>
      <c r="X7488" t="s">
        <v>44768</v>
      </c>
    </row>
    <row r="7489" spans="1:24">
      <c r="A7489">
        <f>HYPERLINK("https://www.philgeps.gov.ph/GEPSNONPILOT/Tender/SplashBidNoticeAbstractUI.aspx?menuIndex=3&amp;refID=7144136&amp;Result=3","7144136")</f>
        <v>0</v>
      </c>
      <c r="B7489" t="s">
        <v>2534</v>
      </c>
      <c r="C7489" t="s">
        <v>10868</v>
      </c>
      <c r="D7489" t="s">
        <v>17992</v>
      </c>
      <c r="E7489" t="s">
        <v>24610</v>
      </c>
      <c r="F7489" t="s">
        <v>30900</v>
      </c>
      <c r="G7489" t="s">
        <v>30907</v>
      </c>
      <c r="H7489" t="s">
        <v>30916</v>
      </c>
      <c r="I7489" t="s">
        <v>8123</v>
      </c>
      <c r="J7489" t="s">
        <v>35813</v>
      </c>
      <c r="K7489" t="s">
        <v>40291</v>
      </c>
      <c r="M7489" t="s">
        <v>43290</v>
      </c>
      <c r="N7489" t="s">
        <v>44759</v>
      </c>
      <c r="O7489" t="s">
        <v>44760</v>
      </c>
      <c r="P7489">
        <v>0</v>
      </c>
      <c r="Q7489">
        <v>0</v>
      </c>
      <c r="R7489" t="s">
        <v>44767</v>
      </c>
      <c r="S7489" t="s">
        <v>44954</v>
      </c>
      <c r="T7489" t="s">
        <v>46366</v>
      </c>
      <c r="U7489" t="s">
        <v>53191</v>
      </c>
      <c r="W7489" t="s">
        <v>43290</v>
      </c>
      <c r="X7489" t="s">
        <v>44768</v>
      </c>
    </row>
    <row r="7490" spans="1:24">
      <c r="A7490">
        <f>HYPERLINK("https://www.philgeps.gov.ph/GEPSNONPILOT/Tender/SplashBidNoticeAbstractUI.aspx?menuIndex=3&amp;refID=7144197&amp;Result=3","7144197")</f>
        <v>0</v>
      </c>
      <c r="B7490" t="s">
        <v>1327</v>
      </c>
      <c r="C7490" t="s">
        <v>10869</v>
      </c>
      <c r="D7490" t="s">
        <v>17971</v>
      </c>
      <c r="E7490" t="s">
        <v>24611</v>
      </c>
      <c r="F7490" t="s">
        <v>30900</v>
      </c>
      <c r="G7490" t="s">
        <v>30907</v>
      </c>
      <c r="H7490" t="s">
        <v>30916</v>
      </c>
      <c r="I7490" t="s">
        <v>30927</v>
      </c>
      <c r="J7490" t="s">
        <v>35814</v>
      </c>
      <c r="K7490" t="s">
        <v>40286</v>
      </c>
      <c r="M7490" t="s">
        <v>41946</v>
      </c>
      <c r="N7490" t="s">
        <v>44759</v>
      </c>
      <c r="O7490" t="s">
        <v>44760</v>
      </c>
      <c r="P7490">
        <v>0</v>
      </c>
      <c r="Q7490">
        <v>0</v>
      </c>
      <c r="R7490" t="s">
        <v>44767</v>
      </c>
      <c r="S7490" t="s">
        <v>44954</v>
      </c>
      <c r="T7490" t="s">
        <v>46391</v>
      </c>
      <c r="U7490" t="s">
        <v>53192</v>
      </c>
      <c r="V7490" t="s">
        <v>59924</v>
      </c>
      <c r="W7490" t="s">
        <v>41946</v>
      </c>
      <c r="X7490" t="s">
        <v>44768</v>
      </c>
    </row>
    <row r="7491" spans="1:24">
      <c r="A7491">
        <f>HYPERLINK("https://www.philgeps.gov.ph/GEPSNONPILOT/Tender/SplashBidNoticeAbstractUI.aspx?menuIndex=3&amp;refID=7144130&amp;Result=3","7144130")</f>
        <v>0</v>
      </c>
      <c r="B7491" t="s">
        <v>448</v>
      </c>
      <c r="C7491" t="s">
        <v>10870</v>
      </c>
      <c r="D7491" t="s">
        <v>17987</v>
      </c>
      <c r="E7491" t="s">
        <v>24612</v>
      </c>
      <c r="F7491" t="s">
        <v>30900</v>
      </c>
      <c r="G7491" t="s">
        <v>30907</v>
      </c>
      <c r="H7491" t="s">
        <v>30915</v>
      </c>
      <c r="I7491" t="s">
        <v>30919</v>
      </c>
      <c r="J7491" t="s">
        <v>35815</v>
      </c>
      <c r="K7491" t="s">
        <v>40342</v>
      </c>
      <c r="M7491" t="s">
        <v>41005</v>
      </c>
      <c r="N7491" t="s">
        <v>44759</v>
      </c>
      <c r="O7491" t="s">
        <v>44760</v>
      </c>
      <c r="P7491">
        <v>0</v>
      </c>
      <c r="Q7491">
        <v>0</v>
      </c>
      <c r="R7491" t="s">
        <v>44767</v>
      </c>
      <c r="S7491" t="s">
        <v>44954</v>
      </c>
      <c r="T7491" t="s">
        <v>46417</v>
      </c>
      <c r="U7491" t="s">
        <v>53193</v>
      </c>
      <c r="W7491" t="s">
        <v>41005</v>
      </c>
      <c r="X7491" t="s">
        <v>44768</v>
      </c>
    </row>
    <row r="7492" spans="1:24">
      <c r="A7492">
        <f>HYPERLINK("https://www.philgeps.gov.ph/GEPSNONPILOT/Tender/SplashBidNoticeAbstractUI.aspx?menuIndex=3&amp;refID=7144195&amp;Result=3","7144195")</f>
        <v>0</v>
      </c>
      <c r="B7492" t="s">
        <v>2535</v>
      </c>
      <c r="C7492" t="s">
        <v>10871</v>
      </c>
      <c r="D7492" t="s">
        <v>17959</v>
      </c>
      <c r="E7492" t="s">
        <v>24613</v>
      </c>
      <c r="F7492" t="s">
        <v>30900</v>
      </c>
      <c r="G7492" t="s">
        <v>30907</v>
      </c>
      <c r="H7492" t="s">
        <v>30916</v>
      </c>
      <c r="I7492" t="s">
        <v>30924</v>
      </c>
      <c r="J7492" t="s">
        <v>35816</v>
      </c>
      <c r="K7492" t="s">
        <v>40289</v>
      </c>
      <c r="M7492" t="s">
        <v>43291</v>
      </c>
      <c r="N7492" t="s">
        <v>44759</v>
      </c>
      <c r="O7492" t="s">
        <v>44760</v>
      </c>
      <c r="Q7492">
        <v>10</v>
      </c>
      <c r="R7492" t="s">
        <v>44767</v>
      </c>
      <c r="S7492" t="s">
        <v>44965</v>
      </c>
      <c r="T7492" t="s">
        <v>46519</v>
      </c>
      <c r="U7492" t="s">
        <v>53194</v>
      </c>
      <c r="V7492" t="s">
        <v>59925</v>
      </c>
      <c r="W7492" t="s">
        <v>43291</v>
      </c>
      <c r="X7492" t="s">
        <v>44768</v>
      </c>
    </row>
    <row r="7493" spans="1:24">
      <c r="A7493">
        <f>HYPERLINK("https://www.philgeps.gov.ph/GEPSNONPILOT/Tender/SplashBidNoticeAbstractUI.aspx?menuIndex=3&amp;refID=7144128&amp;Result=3","7144128")</f>
        <v>0</v>
      </c>
      <c r="B7493" t="s">
        <v>2104</v>
      </c>
      <c r="C7493" t="s">
        <v>10872</v>
      </c>
      <c r="D7493" t="s">
        <v>18009</v>
      </c>
      <c r="E7493" t="s">
        <v>24614</v>
      </c>
      <c r="F7493" t="s">
        <v>30900</v>
      </c>
      <c r="G7493" t="s">
        <v>30907</v>
      </c>
      <c r="H7493" t="s">
        <v>30916</v>
      </c>
      <c r="I7493" t="s">
        <v>30925</v>
      </c>
      <c r="J7493" t="s">
        <v>31341</v>
      </c>
      <c r="K7493" t="s">
        <v>40283</v>
      </c>
      <c r="M7493" t="s">
        <v>42803</v>
      </c>
      <c r="N7493" t="s">
        <v>44759</v>
      </c>
      <c r="O7493" t="s">
        <v>44760</v>
      </c>
      <c r="P7493">
        <v>0</v>
      </c>
      <c r="Q7493">
        <v>0</v>
      </c>
      <c r="R7493" t="s">
        <v>44767</v>
      </c>
      <c r="S7493" t="s">
        <v>44954</v>
      </c>
      <c r="T7493" t="s">
        <v>46428</v>
      </c>
      <c r="U7493" t="s">
        <v>53195</v>
      </c>
      <c r="W7493" t="s">
        <v>42803</v>
      </c>
      <c r="X7493" t="s">
        <v>44768</v>
      </c>
    </row>
    <row r="7494" spans="1:24">
      <c r="A7494">
        <f>HYPERLINK("https://www.philgeps.gov.ph/GEPSNONPILOT/Tender/SplashBidNoticeAbstractUI.aspx?menuIndex=3&amp;refID=7144194&amp;Result=3","7144194")</f>
        <v>0</v>
      </c>
      <c r="B7494" t="s">
        <v>2056</v>
      </c>
      <c r="C7494" t="s">
        <v>10873</v>
      </c>
      <c r="D7494" t="s">
        <v>17999</v>
      </c>
      <c r="E7494" t="s">
        <v>24615</v>
      </c>
      <c r="F7494" t="s">
        <v>30900</v>
      </c>
      <c r="G7494" t="s">
        <v>30907</v>
      </c>
      <c r="H7494" t="s">
        <v>30915</v>
      </c>
      <c r="I7494" t="s">
        <v>30919</v>
      </c>
      <c r="J7494" t="s">
        <v>35817</v>
      </c>
      <c r="K7494" t="s">
        <v>40289</v>
      </c>
      <c r="M7494" t="s">
        <v>42755</v>
      </c>
      <c r="N7494" t="s">
        <v>44759</v>
      </c>
      <c r="O7494" t="s">
        <v>44760</v>
      </c>
      <c r="P7494">
        <v>0</v>
      </c>
      <c r="Q7494">
        <v>0</v>
      </c>
      <c r="R7494" t="s">
        <v>44767</v>
      </c>
      <c r="S7494" t="s">
        <v>44954</v>
      </c>
      <c r="T7494" t="s">
        <v>46450</v>
      </c>
      <c r="U7494" t="s">
        <v>53196</v>
      </c>
      <c r="W7494" t="s">
        <v>42755</v>
      </c>
      <c r="X7494" t="s">
        <v>44768</v>
      </c>
    </row>
    <row r="7495" spans="1:24">
      <c r="A7495">
        <f>HYPERLINK("https://www.philgeps.gov.ph/GEPSNONPILOT/Tender/SplashBidNoticeAbstractUI.aspx?menuIndex=3&amp;refID=7144052&amp;Result=3","7144052")</f>
        <v>0</v>
      </c>
      <c r="B7495" t="s">
        <v>2536</v>
      </c>
      <c r="C7495" t="s">
        <v>10874</v>
      </c>
      <c r="D7495" t="s">
        <v>18015</v>
      </c>
      <c r="E7495" t="s">
        <v>24616</v>
      </c>
      <c r="F7495" t="s">
        <v>30900</v>
      </c>
      <c r="G7495" t="s">
        <v>30907</v>
      </c>
      <c r="H7495" t="s">
        <v>30915</v>
      </c>
      <c r="I7495" t="s">
        <v>30919</v>
      </c>
      <c r="J7495" t="s">
        <v>35818</v>
      </c>
      <c r="K7495" t="s">
        <v>40341</v>
      </c>
      <c r="M7495" t="s">
        <v>43292</v>
      </c>
      <c r="N7495" t="s">
        <v>44759</v>
      </c>
      <c r="O7495" t="s">
        <v>44760</v>
      </c>
      <c r="P7495">
        <v>0</v>
      </c>
      <c r="Q7495">
        <v>0</v>
      </c>
      <c r="R7495" t="s">
        <v>44767</v>
      </c>
      <c r="S7495" t="s">
        <v>44954</v>
      </c>
      <c r="T7495" t="s">
        <v>46495</v>
      </c>
      <c r="U7495" t="s">
        <v>48145</v>
      </c>
      <c r="W7495" t="s">
        <v>43292</v>
      </c>
      <c r="X7495" t="s">
        <v>44768</v>
      </c>
    </row>
    <row r="7496" spans="1:24">
      <c r="A7496">
        <f>HYPERLINK("https://www.philgeps.gov.ph/GEPSNONPILOT/Tender/SplashBidNoticeAbstractUI.aspx?menuIndex=3&amp;refID=7144191&amp;Result=3","7144191")</f>
        <v>0</v>
      </c>
      <c r="B7496" t="s">
        <v>708</v>
      </c>
      <c r="C7496" t="s">
        <v>10875</v>
      </c>
      <c r="E7496" t="s">
        <v>24617</v>
      </c>
      <c r="F7496" t="s">
        <v>30900</v>
      </c>
      <c r="G7496" t="s">
        <v>30907</v>
      </c>
      <c r="H7496" t="s">
        <v>30916</v>
      </c>
      <c r="I7496" t="s">
        <v>9385</v>
      </c>
      <c r="J7496" t="s">
        <v>35819</v>
      </c>
      <c r="K7496" t="s">
        <v>40289</v>
      </c>
      <c r="M7496" t="s">
        <v>43282</v>
      </c>
      <c r="N7496" t="s">
        <v>44759</v>
      </c>
      <c r="O7496" t="s">
        <v>44760</v>
      </c>
      <c r="P7496">
        <v>0</v>
      </c>
      <c r="Q7496">
        <v>19</v>
      </c>
      <c r="R7496" t="s">
        <v>44767</v>
      </c>
      <c r="S7496" t="s">
        <v>44954</v>
      </c>
      <c r="T7496" t="s">
        <v>46428</v>
      </c>
      <c r="U7496" t="s">
        <v>53197</v>
      </c>
      <c r="W7496" t="s">
        <v>43282</v>
      </c>
      <c r="X7496" t="s">
        <v>44768</v>
      </c>
    </row>
    <row r="7497" spans="1:24">
      <c r="A7497">
        <f>HYPERLINK("https://www.philgeps.gov.ph/GEPSNONPILOT/Tender/SplashBidNoticeAbstractUI.aspx?menuIndex=3&amp;refID=7144187&amp;Result=3","7144187")</f>
        <v>0</v>
      </c>
      <c r="B7497" t="s">
        <v>2253</v>
      </c>
      <c r="C7497" t="s">
        <v>10876</v>
      </c>
      <c r="D7497" t="s">
        <v>17959</v>
      </c>
      <c r="E7497" t="s">
        <v>24618</v>
      </c>
      <c r="F7497" t="s">
        <v>30900</v>
      </c>
      <c r="G7497" t="s">
        <v>30908</v>
      </c>
      <c r="H7497" t="s">
        <v>7411</v>
      </c>
      <c r="I7497" t="s">
        <v>7411</v>
      </c>
      <c r="J7497" t="s">
        <v>31043</v>
      </c>
      <c r="K7497" t="s">
        <v>40283</v>
      </c>
      <c r="M7497" t="s">
        <v>42965</v>
      </c>
      <c r="N7497" t="s">
        <v>44759</v>
      </c>
      <c r="O7497" t="s">
        <v>44760</v>
      </c>
      <c r="P7497">
        <v>0</v>
      </c>
      <c r="Q7497">
        <v>11</v>
      </c>
      <c r="R7497" t="s">
        <v>44767</v>
      </c>
      <c r="S7497" t="s">
        <v>44954</v>
      </c>
      <c r="T7497" t="s">
        <v>46398</v>
      </c>
      <c r="U7497" t="s">
        <v>53198</v>
      </c>
      <c r="W7497" t="s">
        <v>42965</v>
      </c>
      <c r="X7497" t="s">
        <v>44768</v>
      </c>
    </row>
    <row r="7498" spans="1:24">
      <c r="A7498">
        <f>HYPERLINK("https://www.philgeps.gov.ph/GEPSNONPILOT/Tender/SplashBidNoticeAbstractUI.aspx?menuIndex=3&amp;refID=7144185&amp;Result=3","7144185")</f>
        <v>0</v>
      </c>
      <c r="B7498" t="s">
        <v>787</v>
      </c>
      <c r="C7498" t="s">
        <v>10877</v>
      </c>
      <c r="D7498" t="s">
        <v>17987</v>
      </c>
      <c r="E7498" t="s">
        <v>24619</v>
      </c>
      <c r="F7498" t="s">
        <v>30900</v>
      </c>
      <c r="G7498" t="s">
        <v>30907</v>
      </c>
      <c r="H7498" t="s">
        <v>30916</v>
      </c>
      <c r="I7498" t="s">
        <v>8123</v>
      </c>
      <c r="J7498" t="s">
        <v>35820</v>
      </c>
      <c r="K7498" t="s">
        <v>40289</v>
      </c>
      <c r="M7498" t="s">
        <v>41356</v>
      </c>
      <c r="N7498" t="s">
        <v>44759</v>
      </c>
      <c r="O7498" t="s">
        <v>44760</v>
      </c>
      <c r="P7498">
        <v>0</v>
      </c>
      <c r="Q7498">
        <v>0</v>
      </c>
      <c r="R7498" t="s">
        <v>44767</v>
      </c>
      <c r="S7498" t="s">
        <v>44954</v>
      </c>
      <c r="T7498" t="s">
        <v>46495</v>
      </c>
      <c r="U7498" t="s">
        <v>53199</v>
      </c>
      <c r="W7498" t="s">
        <v>41356</v>
      </c>
      <c r="X7498" t="s">
        <v>44768</v>
      </c>
    </row>
    <row r="7499" spans="1:24">
      <c r="A7499">
        <f>HYPERLINK("https://www.philgeps.gov.ph/GEPSNONPILOT/Tender/SplashBidNoticeAbstractUI.aspx?menuIndex=3&amp;refID=7144182&amp;Result=3","7144182")</f>
        <v>0</v>
      </c>
      <c r="B7499" t="s">
        <v>1541</v>
      </c>
      <c r="C7499" t="s">
        <v>10878</v>
      </c>
      <c r="D7499" t="s">
        <v>17999</v>
      </c>
      <c r="E7499" t="s">
        <v>24620</v>
      </c>
      <c r="F7499" t="s">
        <v>30900</v>
      </c>
      <c r="G7499" t="s">
        <v>30908</v>
      </c>
      <c r="H7499" t="s">
        <v>30916</v>
      </c>
      <c r="I7499" t="s">
        <v>30921</v>
      </c>
      <c r="J7499" t="s">
        <v>35821</v>
      </c>
      <c r="K7499" t="s">
        <v>40286</v>
      </c>
      <c r="M7499" t="s">
        <v>42184</v>
      </c>
      <c r="N7499" t="s">
        <v>44759</v>
      </c>
      <c r="O7499" t="s">
        <v>44760</v>
      </c>
      <c r="P7499">
        <v>0</v>
      </c>
      <c r="Q7499">
        <v>2</v>
      </c>
      <c r="R7499" t="s">
        <v>44767</v>
      </c>
      <c r="S7499" t="s">
        <v>44954</v>
      </c>
      <c r="T7499" t="s">
        <v>46704</v>
      </c>
      <c r="U7499" t="s">
        <v>53200</v>
      </c>
      <c r="W7499" t="s">
        <v>42184</v>
      </c>
      <c r="X7499" t="s">
        <v>44768</v>
      </c>
    </row>
    <row r="7500" spans="1:24">
      <c r="A7500">
        <f>HYPERLINK("https://www.philgeps.gov.ph/GEPSNONPILOT/Tender/SplashBidNoticeAbstractUI.aspx?menuIndex=3&amp;refID=7144181&amp;Result=3","7144181")</f>
        <v>0</v>
      </c>
      <c r="B7500" t="s">
        <v>157</v>
      </c>
      <c r="C7500" t="s">
        <v>10879</v>
      </c>
      <c r="D7500" t="s">
        <v>17978</v>
      </c>
      <c r="E7500" t="s">
        <v>24621</v>
      </c>
      <c r="F7500" t="s">
        <v>30900</v>
      </c>
      <c r="G7500" t="s">
        <v>30908</v>
      </c>
      <c r="H7500" t="s">
        <v>30916</v>
      </c>
      <c r="I7500" t="s">
        <v>10879</v>
      </c>
      <c r="J7500" t="s">
        <v>31447</v>
      </c>
      <c r="K7500" t="s">
        <v>40286</v>
      </c>
      <c r="M7500" t="s">
        <v>40704</v>
      </c>
      <c r="N7500" t="s">
        <v>44759</v>
      </c>
      <c r="O7500" t="s">
        <v>44760</v>
      </c>
      <c r="P7500">
        <v>0</v>
      </c>
      <c r="Q7500">
        <v>3</v>
      </c>
      <c r="R7500" t="s">
        <v>44767</v>
      </c>
      <c r="S7500" t="s">
        <v>44954</v>
      </c>
      <c r="T7500" t="s">
        <v>46581</v>
      </c>
      <c r="U7500" t="s">
        <v>53201</v>
      </c>
      <c r="W7500" t="s">
        <v>40704</v>
      </c>
      <c r="X7500" t="s">
        <v>44768</v>
      </c>
    </row>
    <row r="7501" spans="1:24">
      <c r="A7501">
        <f>HYPERLINK("https://www.philgeps.gov.ph/GEPSNONPILOT/Tender/SplashBidNoticeAbstractUI.aspx?menuIndex=3&amp;refID=7144180&amp;Result=3","7144180")</f>
        <v>0</v>
      </c>
      <c r="B7501" t="s">
        <v>43</v>
      </c>
      <c r="C7501" t="s">
        <v>10880</v>
      </c>
      <c r="D7501" t="s">
        <v>17968</v>
      </c>
      <c r="E7501" t="s">
        <v>24622</v>
      </c>
      <c r="F7501" t="s">
        <v>30900</v>
      </c>
      <c r="G7501" t="s">
        <v>30908</v>
      </c>
      <c r="H7501" t="s">
        <v>30916</v>
      </c>
      <c r="I7501" t="s">
        <v>4545</v>
      </c>
      <c r="J7501" t="s">
        <v>35679</v>
      </c>
      <c r="K7501" t="s">
        <v>40286</v>
      </c>
      <c r="M7501" t="s">
        <v>42744</v>
      </c>
      <c r="N7501" t="s">
        <v>44759</v>
      </c>
      <c r="O7501" t="s">
        <v>44760</v>
      </c>
      <c r="P7501">
        <v>0</v>
      </c>
      <c r="Q7501">
        <v>6</v>
      </c>
      <c r="R7501" t="s">
        <v>44767</v>
      </c>
      <c r="S7501" t="s">
        <v>44954</v>
      </c>
      <c r="T7501" t="s">
        <v>46591</v>
      </c>
      <c r="U7501" t="s">
        <v>53202</v>
      </c>
      <c r="V7501" t="s">
        <v>59730</v>
      </c>
      <c r="W7501" t="s">
        <v>42744</v>
      </c>
      <c r="X7501" t="s">
        <v>44768</v>
      </c>
    </row>
    <row r="7502" spans="1:24">
      <c r="A7502">
        <f>HYPERLINK("https://www.philgeps.gov.ph/GEPSNONPILOT/Tender/SplashBidNoticeAbstractUI.aspx?menuIndex=3&amp;refID=7144179&amp;Result=3","7144179")</f>
        <v>0</v>
      </c>
      <c r="B7502" t="s">
        <v>2529</v>
      </c>
      <c r="C7502" t="s">
        <v>10881</v>
      </c>
      <c r="D7502" t="s">
        <v>17952</v>
      </c>
      <c r="E7502" t="s">
        <v>24623</v>
      </c>
      <c r="F7502" t="s">
        <v>30900</v>
      </c>
      <c r="G7502" t="s">
        <v>30907</v>
      </c>
      <c r="H7502" t="s">
        <v>30915</v>
      </c>
      <c r="I7502" t="s">
        <v>30919</v>
      </c>
      <c r="J7502" t="s">
        <v>35822</v>
      </c>
      <c r="K7502" t="s">
        <v>40280</v>
      </c>
      <c r="M7502" t="s">
        <v>43281</v>
      </c>
      <c r="N7502" t="s">
        <v>44759</v>
      </c>
      <c r="O7502" t="s">
        <v>44760</v>
      </c>
      <c r="P7502">
        <v>0</v>
      </c>
      <c r="Q7502">
        <v>0</v>
      </c>
      <c r="R7502" t="s">
        <v>44767</v>
      </c>
      <c r="S7502" t="s">
        <v>44954</v>
      </c>
      <c r="T7502" t="s">
        <v>46715</v>
      </c>
      <c r="U7502" t="s">
        <v>53203</v>
      </c>
      <c r="W7502" t="s">
        <v>43281</v>
      </c>
      <c r="X7502" t="s">
        <v>44768</v>
      </c>
    </row>
    <row r="7503" spans="1:24">
      <c r="A7503">
        <f>HYPERLINK("https://www.philgeps.gov.ph/GEPSNONPILOT/Tender/SplashBidNoticeAbstractUI.aspx?menuIndex=3&amp;refID=7144143&amp;Result=3","7144143")</f>
        <v>0</v>
      </c>
      <c r="B7503" t="s">
        <v>81</v>
      </c>
      <c r="C7503" t="s">
        <v>10882</v>
      </c>
      <c r="D7503" t="s">
        <v>17959</v>
      </c>
      <c r="E7503" t="s">
        <v>24624</v>
      </c>
      <c r="F7503" t="s">
        <v>30900</v>
      </c>
      <c r="G7503" t="s">
        <v>30908</v>
      </c>
      <c r="H7503" t="s">
        <v>30916</v>
      </c>
      <c r="I7503" t="s">
        <v>4108</v>
      </c>
      <c r="J7503" t="s">
        <v>35823</v>
      </c>
      <c r="K7503" t="s">
        <v>40289</v>
      </c>
      <c r="M7503" t="s">
        <v>41823</v>
      </c>
      <c r="N7503" t="s">
        <v>44759</v>
      </c>
      <c r="O7503" t="s">
        <v>44760</v>
      </c>
      <c r="P7503">
        <v>0</v>
      </c>
      <c r="Q7503">
        <v>0</v>
      </c>
      <c r="R7503" t="s">
        <v>44767</v>
      </c>
      <c r="S7503" t="s">
        <v>44954</v>
      </c>
      <c r="T7503" t="s">
        <v>46403</v>
      </c>
      <c r="U7503" t="s">
        <v>53204</v>
      </c>
      <c r="W7503" t="s">
        <v>41823</v>
      </c>
      <c r="X7503" t="s">
        <v>44768</v>
      </c>
    </row>
    <row r="7504" spans="1:24">
      <c r="A7504">
        <f>HYPERLINK("https://www.philgeps.gov.ph/GEPSNONPILOT/Tender/SplashBidNoticeAbstractUI.aspx?menuIndex=3&amp;refID=7144177&amp;Result=3","7144177")</f>
        <v>0</v>
      </c>
      <c r="B7504" t="s">
        <v>2534</v>
      </c>
      <c r="C7504" t="s">
        <v>10883</v>
      </c>
      <c r="D7504" t="s">
        <v>17992</v>
      </c>
      <c r="E7504" t="s">
        <v>24625</v>
      </c>
      <c r="F7504" t="s">
        <v>30900</v>
      </c>
      <c r="G7504" t="s">
        <v>30907</v>
      </c>
      <c r="H7504" t="s">
        <v>30916</v>
      </c>
      <c r="I7504" t="s">
        <v>30975</v>
      </c>
      <c r="J7504" t="s">
        <v>35824</v>
      </c>
      <c r="K7504" t="s">
        <v>40291</v>
      </c>
      <c r="M7504" t="s">
        <v>43290</v>
      </c>
      <c r="N7504" t="s">
        <v>44759</v>
      </c>
      <c r="O7504" t="s">
        <v>44760</v>
      </c>
      <c r="P7504">
        <v>0</v>
      </c>
      <c r="Q7504">
        <v>1</v>
      </c>
      <c r="R7504" t="s">
        <v>44767</v>
      </c>
      <c r="S7504" t="s">
        <v>44954</v>
      </c>
      <c r="T7504" t="s">
        <v>46366</v>
      </c>
      <c r="U7504" t="s">
        <v>53205</v>
      </c>
      <c r="W7504" t="s">
        <v>43290</v>
      </c>
      <c r="X7504" t="s">
        <v>44768</v>
      </c>
    </row>
    <row r="7505" spans="1:24">
      <c r="A7505">
        <f>HYPERLINK("https://www.philgeps.gov.ph/GEPSNONPILOT/Tender/SplashBidNoticeAbstractUI.aspx?menuIndex=3&amp;refID=7144175&amp;Result=3","7144175")</f>
        <v>0</v>
      </c>
      <c r="B7505" t="s">
        <v>237</v>
      </c>
      <c r="C7505" t="s">
        <v>10884</v>
      </c>
      <c r="D7505" t="s">
        <v>17977</v>
      </c>
      <c r="E7505" t="s">
        <v>24626</v>
      </c>
      <c r="F7505" t="s">
        <v>30900</v>
      </c>
      <c r="G7505" t="s">
        <v>30906</v>
      </c>
      <c r="H7505" t="s">
        <v>30916</v>
      </c>
      <c r="I7505" t="s">
        <v>6408</v>
      </c>
      <c r="J7505" t="s">
        <v>34322</v>
      </c>
      <c r="K7505" t="s">
        <v>40289</v>
      </c>
      <c r="M7505" t="s">
        <v>40784</v>
      </c>
      <c r="N7505" t="s">
        <v>44759</v>
      </c>
      <c r="O7505" t="s">
        <v>44760</v>
      </c>
      <c r="P7505">
        <v>0</v>
      </c>
      <c r="Q7505">
        <v>5</v>
      </c>
      <c r="R7505" t="s">
        <v>44767</v>
      </c>
      <c r="S7505" t="s">
        <v>44954</v>
      </c>
      <c r="T7505" t="s">
        <v>46704</v>
      </c>
      <c r="U7505" t="s">
        <v>53206</v>
      </c>
      <c r="W7505" t="s">
        <v>40784</v>
      </c>
      <c r="X7505" t="s">
        <v>44768</v>
      </c>
    </row>
    <row r="7506" spans="1:24">
      <c r="A7506">
        <f>HYPERLINK("https://www.philgeps.gov.ph/GEPSNONPILOT/Tender/SplashBidNoticeAbstractUI.aspx?menuIndex=3&amp;refID=7144196&amp;Result=3","7144196")</f>
        <v>0</v>
      </c>
      <c r="B7506" t="s">
        <v>501</v>
      </c>
      <c r="C7506" t="s">
        <v>10885</v>
      </c>
      <c r="D7506" t="s">
        <v>17975</v>
      </c>
      <c r="E7506" t="s">
        <v>18608</v>
      </c>
      <c r="F7506" t="s">
        <v>30900</v>
      </c>
      <c r="G7506" t="s">
        <v>30907</v>
      </c>
      <c r="H7506" t="s">
        <v>30916</v>
      </c>
      <c r="I7506" t="s">
        <v>4545</v>
      </c>
      <c r="J7506" t="s">
        <v>33447</v>
      </c>
      <c r="K7506" t="s">
        <v>40291</v>
      </c>
      <c r="M7506" t="s">
        <v>41061</v>
      </c>
      <c r="N7506" t="s">
        <v>44759</v>
      </c>
      <c r="O7506" t="s">
        <v>44760</v>
      </c>
      <c r="P7506">
        <v>0</v>
      </c>
      <c r="Q7506">
        <v>3</v>
      </c>
      <c r="R7506" t="s">
        <v>44767</v>
      </c>
      <c r="S7506" t="s">
        <v>44954</v>
      </c>
      <c r="T7506" t="s">
        <v>46383</v>
      </c>
      <c r="U7506" t="s">
        <v>53207</v>
      </c>
      <c r="W7506" t="s">
        <v>41061</v>
      </c>
      <c r="X7506" t="s">
        <v>44768</v>
      </c>
    </row>
    <row r="7507" spans="1:24">
      <c r="A7507">
        <f>HYPERLINK("https://www.philgeps.gov.ph/GEPSNONPILOT/Tender/SplashBidNoticeAbstractUI.aspx?menuIndex=3&amp;refID=7144099&amp;Result=3","7144099")</f>
        <v>0</v>
      </c>
      <c r="B7507" t="s">
        <v>2537</v>
      </c>
      <c r="C7507" t="s">
        <v>10886</v>
      </c>
      <c r="D7507" t="s">
        <v>17971</v>
      </c>
      <c r="E7507" t="s">
        <v>24627</v>
      </c>
      <c r="F7507" t="s">
        <v>30900</v>
      </c>
      <c r="G7507" t="s">
        <v>30907</v>
      </c>
      <c r="H7507" t="s">
        <v>30916</v>
      </c>
      <c r="I7507" t="s">
        <v>30927</v>
      </c>
      <c r="J7507" t="s">
        <v>35825</v>
      </c>
      <c r="K7507" t="s">
        <v>40288</v>
      </c>
      <c r="M7507" t="s">
        <v>43293</v>
      </c>
      <c r="N7507" t="s">
        <v>44759</v>
      </c>
      <c r="O7507" t="s">
        <v>44760</v>
      </c>
      <c r="P7507">
        <v>0</v>
      </c>
      <c r="Q7507">
        <v>1</v>
      </c>
      <c r="R7507" t="s">
        <v>44767</v>
      </c>
      <c r="S7507" t="s">
        <v>44954</v>
      </c>
      <c r="T7507" t="s">
        <v>46391</v>
      </c>
      <c r="U7507" t="s">
        <v>53208</v>
      </c>
      <c r="V7507" t="s">
        <v>59226</v>
      </c>
      <c r="W7507" t="s">
        <v>43293</v>
      </c>
      <c r="X7507" t="s">
        <v>44768</v>
      </c>
    </row>
    <row r="7508" spans="1:24">
      <c r="A7508">
        <f>HYPERLINK("https://www.philgeps.gov.ph/GEPSNONPILOT/Tender/SplashBidNoticeAbstractUI.aspx?menuIndex=3&amp;refID=7144162&amp;Result=3","7144162")</f>
        <v>0</v>
      </c>
      <c r="B7508" t="s">
        <v>2056</v>
      </c>
      <c r="C7508" t="s">
        <v>10887</v>
      </c>
      <c r="D7508" t="s">
        <v>17999</v>
      </c>
      <c r="E7508" t="s">
        <v>24628</v>
      </c>
      <c r="F7508" t="s">
        <v>30900</v>
      </c>
      <c r="G7508" t="s">
        <v>30907</v>
      </c>
      <c r="H7508" t="s">
        <v>30915</v>
      </c>
      <c r="I7508" t="s">
        <v>30919</v>
      </c>
      <c r="J7508" t="s">
        <v>31243</v>
      </c>
      <c r="K7508" t="s">
        <v>40289</v>
      </c>
      <c r="M7508" t="s">
        <v>42755</v>
      </c>
      <c r="N7508" t="s">
        <v>44759</v>
      </c>
      <c r="O7508" t="s">
        <v>44760</v>
      </c>
      <c r="P7508">
        <v>0</v>
      </c>
      <c r="Q7508">
        <v>0</v>
      </c>
      <c r="R7508" t="s">
        <v>44767</v>
      </c>
      <c r="S7508" t="s">
        <v>44954</v>
      </c>
      <c r="T7508" t="s">
        <v>46450</v>
      </c>
      <c r="U7508" t="s">
        <v>53209</v>
      </c>
      <c r="W7508" t="s">
        <v>42755</v>
      </c>
      <c r="X7508" t="s">
        <v>44768</v>
      </c>
    </row>
    <row r="7509" spans="1:24">
      <c r="A7509">
        <f>HYPERLINK("https://www.philgeps.gov.ph/GEPSNONPILOT/Tender/SplashBidNoticeAbstractUI.aspx?menuIndex=3&amp;refID=7144164&amp;Result=3","7144164")</f>
        <v>0</v>
      </c>
      <c r="B7509" t="s">
        <v>2538</v>
      </c>
      <c r="C7509" t="s">
        <v>10888</v>
      </c>
      <c r="E7509" t="s">
        <v>24629</v>
      </c>
      <c r="F7509" t="s">
        <v>30900</v>
      </c>
      <c r="G7509" t="s">
        <v>30907</v>
      </c>
      <c r="H7509" t="s">
        <v>30916</v>
      </c>
      <c r="I7509" t="s">
        <v>4108</v>
      </c>
      <c r="J7509" t="s">
        <v>35826</v>
      </c>
      <c r="K7509" t="s">
        <v>40289</v>
      </c>
      <c r="M7509" t="s">
        <v>43294</v>
      </c>
      <c r="N7509" t="s">
        <v>44759</v>
      </c>
      <c r="O7509" t="s">
        <v>44760</v>
      </c>
      <c r="P7509">
        <v>0</v>
      </c>
      <c r="Q7509">
        <v>0</v>
      </c>
      <c r="R7509" t="s">
        <v>44767</v>
      </c>
      <c r="S7509" t="s">
        <v>44954</v>
      </c>
      <c r="T7509" t="s">
        <v>46406</v>
      </c>
      <c r="U7509" t="s">
        <v>53210</v>
      </c>
      <c r="V7509" t="s">
        <v>59926</v>
      </c>
      <c r="W7509" t="s">
        <v>43294</v>
      </c>
      <c r="X7509" t="s">
        <v>44768</v>
      </c>
    </row>
    <row r="7510" spans="1:24">
      <c r="A7510">
        <f>HYPERLINK("https://www.philgeps.gov.ph/GEPSNONPILOT/Tender/SplashBidNoticeAbstractUI.aspx?menuIndex=3&amp;refID=7144124&amp;Result=3","7144124")</f>
        <v>0</v>
      </c>
      <c r="B7510" t="s">
        <v>2253</v>
      </c>
      <c r="C7510" t="s">
        <v>10889</v>
      </c>
      <c r="D7510" t="s">
        <v>17959</v>
      </c>
      <c r="E7510" t="s">
        <v>24630</v>
      </c>
      <c r="F7510" t="s">
        <v>30900</v>
      </c>
      <c r="G7510" t="s">
        <v>30908</v>
      </c>
      <c r="H7510" t="s">
        <v>30916</v>
      </c>
      <c r="I7510" t="s">
        <v>4108</v>
      </c>
      <c r="J7510" t="s">
        <v>31552</v>
      </c>
      <c r="K7510" t="s">
        <v>40286</v>
      </c>
      <c r="M7510" t="s">
        <v>42965</v>
      </c>
      <c r="N7510" t="s">
        <v>44759</v>
      </c>
      <c r="O7510" t="s">
        <v>44760</v>
      </c>
      <c r="P7510">
        <v>0</v>
      </c>
      <c r="Q7510">
        <v>5</v>
      </c>
      <c r="R7510" t="s">
        <v>44767</v>
      </c>
      <c r="S7510" t="s">
        <v>44954</v>
      </c>
      <c r="T7510" t="s">
        <v>46398</v>
      </c>
      <c r="U7510" t="s">
        <v>53211</v>
      </c>
      <c r="W7510" t="s">
        <v>42965</v>
      </c>
      <c r="X7510" t="s">
        <v>44768</v>
      </c>
    </row>
    <row r="7511" spans="1:24">
      <c r="A7511">
        <f>HYPERLINK("https://www.philgeps.gov.ph/GEPSNONPILOT/Tender/SplashBidNoticeAbstractUI.aspx?menuIndex=3&amp;refID=7144167&amp;Result=3","7144167")</f>
        <v>0</v>
      </c>
      <c r="B7511" t="s">
        <v>1960</v>
      </c>
      <c r="C7511" t="s">
        <v>10890</v>
      </c>
      <c r="D7511" t="s">
        <v>17975</v>
      </c>
      <c r="E7511" t="s">
        <v>24631</v>
      </c>
      <c r="F7511" t="s">
        <v>30900</v>
      </c>
      <c r="G7511" t="s">
        <v>30907</v>
      </c>
      <c r="H7511" t="s">
        <v>30915</v>
      </c>
      <c r="I7511" t="s">
        <v>30919</v>
      </c>
      <c r="J7511" t="s">
        <v>34583</v>
      </c>
      <c r="K7511" t="s">
        <v>40295</v>
      </c>
      <c r="M7511" t="s">
        <v>42644</v>
      </c>
      <c r="N7511" t="s">
        <v>44759</v>
      </c>
      <c r="O7511" t="s">
        <v>44760</v>
      </c>
      <c r="P7511">
        <v>0</v>
      </c>
      <c r="Q7511">
        <v>1</v>
      </c>
      <c r="R7511" t="s">
        <v>44767</v>
      </c>
      <c r="S7511" t="s">
        <v>44954</v>
      </c>
      <c r="T7511" t="s">
        <v>46455</v>
      </c>
      <c r="U7511" t="s">
        <v>53212</v>
      </c>
      <c r="W7511" t="s">
        <v>42644</v>
      </c>
      <c r="X7511" t="s">
        <v>44768</v>
      </c>
    </row>
    <row r="7512" spans="1:24">
      <c r="A7512">
        <f>HYPERLINK("https://www.philgeps.gov.ph/GEPSNONPILOT/Tender/SplashBidNoticeAbstractUI.aspx?menuIndex=3&amp;refID=7144120&amp;Result=3","7144120")</f>
        <v>0</v>
      </c>
      <c r="B7512" t="s">
        <v>2529</v>
      </c>
      <c r="C7512" t="s">
        <v>10891</v>
      </c>
      <c r="D7512" t="s">
        <v>17952</v>
      </c>
      <c r="E7512" t="s">
        <v>24632</v>
      </c>
      <c r="F7512" t="s">
        <v>30900</v>
      </c>
      <c r="G7512" t="s">
        <v>30907</v>
      </c>
      <c r="H7512" t="s">
        <v>30915</v>
      </c>
      <c r="I7512" t="s">
        <v>30919</v>
      </c>
      <c r="J7512" t="s">
        <v>35827</v>
      </c>
      <c r="K7512" t="s">
        <v>40304</v>
      </c>
      <c r="M7512" t="s">
        <v>43281</v>
      </c>
      <c r="N7512" t="s">
        <v>44759</v>
      </c>
      <c r="O7512" t="s">
        <v>44760</v>
      </c>
      <c r="P7512">
        <v>0</v>
      </c>
      <c r="Q7512">
        <v>2</v>
      </c>
      <c r="R7512" t="s">
        <v>44767</v>
      </c>
      <c r="S7512" t="s">
        <v>44954</v>
      </c>
      <c r="T7512" t="s">
        <v>46715</v>
      </c>
      <c r="U7512" t="s">
        <v>53213</v>
      </c>
      <c r="W7512" t="s">
        <v>43281</v>
      </c>
      <c r="X7512" t="s">
        <v>44768</v>
      </c>
    </row>
    <row r="7513" spans="1:24">
      <c r="A7513">
        <f>HYPERLINK("https://www.philgeps.gov.ph/GEPSNONPILOT/Tender/SplashBidNoticeAbstractUI.aspx?menuIndex=3&amp;refID=7144159&amp;Result=3","7144159")</f>
        <v>0</v>
      </c>
      <c r="B7513" t="s">
        <v>211</v>
      </c>
      <c r="C7513" t="s">
        <v>10892</v>
      </c>
      <c r="D7513" t="s">
        <v>18016</v>
      </c>
      <c r="E7513" t="s">
        <v>24633</v>
      </c>
      <c r="F7513" t="s">
        <v>30900</v>
      </c>
      <c r="G7513" t="s">
        <v>30908</v>
      </c>
      <c r="H7513" t="s">
        <v>30916</v>
      </c>
      <c r="I7513" t="s">
        <v>8365</v>
      </c>
      <c r="J7513" t="s">
        <v>35828</v>
      </c>
      <c r="K7513" t="s">
        <v>40289</v>
      </c>
      <c r="M7513" t="s">
        <v>40758</v>
      </c>
      <c r="N7513" t="s">
        <v>44759</v>
      </c>
      <c r="O7513" t="s">
        <v>44760</v>
      </c>
      <c r="P7513">
        <v>0</v>
      </c>
      <c r="Q7513">
        <v>0</v>
      </c>
      <c r="R7513" t="s">
        <v>44767</v>
      </c>
      <c r="S7513" t="s">
        <v>44954</v>
      </c>
      <c r="T7513" t="s">
        <v>46458</v>
      </c>
      <c r="U7513" t="s">
        <v>53214</v>
      </c>
      <c r="W7513" t="s">
        <v>40758</v>
      </c>
      <c r="X7513" t="s">
        <v>44768</v>
      </c>
    </row>
    <row r="7514" spans="1:24">
      <c r="A7514">
        <f>HYPERLINK("https://www.philgeps.gov.ph/GEPSNONPILOT/Tender/SplashBidNoticeAbstractUI.aspx?menuIndex=3&amp;refID=7144081&amp;Result=3","7144081")</f>
        <v>0</v>
      </c>
      <c r="B7514" t="s">
        <v>651</v>
      </c>
      <c r="C7514" t="s">
        <v>10893</v>
      </c>
      <c r="D7514" t="s">
        <v>18010</v>
      </c>
      <c r="E7514" t="s">
        <v>20674</v>
      </c>
      <c r="F7514" t="s">
        <v>30900</v>
      </c>
      <c r="G7514" t="s">
        <v>30908</v>
      </c>
      <c r="H7514" t="s">
        <v>30916</v>
      </c>
      <c r="I7514" t="s">
        <v>4050</v>
      </c>
      <c r="J7514" t="s">
        <v>35829</v>
      </c>
      <c r="K7514" t="s">
        <v>40284</v>
      </c>
      <c r="M7514" t="s">
        <v>41214</v>
      </c>
      <c r="N7514" t="s">
        <v>44759</v>
      </c>
      <c r="O7514" t="s">
        <v>44760</v>
      </c>
      <c r="P7514">
        <v>0</v>
      </c>
      <c r="Q7514">
        <v>2</v>
      </c>
      <c r="R7514" t="s">
        <v>44767</v>
      </c>
      <c r="S7514" t="s">
        <v>44954</v>
      </c>
      <c r="T7514" t="s">
        <v>46625</v>
      </c>
      <c r="U7514" t="s">
        <v>53215</v>
      </c>
      <c r="W7514" t="s">
        <v>41214</v>
      </c>
      <c r="X7514" t="s">
        <v>44768</v>
      </c>
    </row>
    <row r="7515" spans="1:24">
      <c r="A7515">
        <f>HYPERLINK("https://www.philgeps.gov.ph/GEPSNONPILOT/Tender/SplashBidNoticeAbstractUI.aspx?menuIndex=3&amp;refID=7144077&amp;Result=3","7144077")</f>
        <v>0</v>
      </c>
      <c r="B7515" t="s">
        <v>2539</v>
      </c>
      <c r="C7515" t="s">
        <v>10894</v>
      </c>
      <c r="D7515" t="s">
        <v>17974</v>
      </c>
      <c r="E7515" t="s">
        <v>23582</v>
      </c>
      <c r="F7515" t="s">
        <v>30900</v>
      </c>
      <c r="G7515" t="s">
        <v>30907</v>
      </c>
      <c r="H7515" t="s">
        <v>30916</v>
      </c>
      <c r="I7515" t="s">
        <v>8123</v>
      </c>
      <c r="J7515" t="s">
        <v>35830</v>
      </c>
      <c r="K7515" t="s">
        <v>40284</v>
      </c>
      <c r="M7515" t="s">
        <v>43295</v>
      </c>
      <c r="N7515" t="s">
        <v>44759</v>
      </c>
      <c r="O7515" t="s">
        <v>44760</v>
      </c>
      <c r="P7515">
        <v>0</v>
      </c>
      <c r="Q7515">
        <v>0</v>
      </c>
      <c r="R7515" t="s">
        <v>44767</v>
      </c>
      <c r="S7515" t="s">
        <v>44954</v>
      </c>
      <c r="T7515" t="s">
        <v>46519</v>
      </c>
      <c r="U7515" t="s">
        <v>53216</v>
      </c>
      <c r="W7515" t="s">
        <v>43295</v>
      </c>
      <c r="X7515" t="s">
        <v>44768</v>
      </c>
    </row>
    <row r="7516" spans="1:24">
      <c r="A7516">
        <f>HYPERLINK("https://www.philgeps.gov.ph/GEPSNONPILOT/Tender/SplashBidNoticeAbstractUI.aspx?menuIndex=3&amp;refID=7144122&amp;Result=3","7144122")</f>
        <v>0</v>
      </c>
      <c r="B7516" t="s">
        <v>2540</v>
      </c>
      <c r="C7516" t="s">
        <v>10602</v>
      </c>
      <c r="D7516" t="s">
        <v>17966</v>
      </c>
      <c r="E7516" t="s">
        <v>24634</v>
      </c>
      <c r="F7516" t="s">
        <v>30900</v>
      </c>
      <c r="G7516" t="s">
        <v>30907</v>
      </c>
      <c r="H7516" t="s">
        <v>30916</v>
      </c>
      <c r="I7516" t="s">
        <v>10602</v>
      </c>
      <c r="J7516" t="s">
        <v>31391</v>
      </c>
      <c r="K7516" t="s">
        <v>40286</v>
      </c>
      <c r="M7516" t="s">
        <v>43296</v>
      </c>
      <c r="N7516" t="s">
        <v>44759</v>
      </c>
      <c r="O7516" t="s">
        <v>44760</v>
      </c>
      <c r="P7516">
        <v>0</v>
      </c>
      <c r="Q7516">
        <v>0</v>
      </c>
      <c r="R7516" t="s">
        <v>44767</v>
      </c>
      <c r="S7516" t="s">
        <v>44954</v>
      </c>
      <c r="T7516" t="s">
        <v>46495</v>
      </c>
      <c r="U7516" t="s">
        <v>53217</v>
      </c>
      <c r="V7516" t="s">
        <v>59927</v>
      </c>
      <c r="W7516" t="s">
        <v>43296</v>
      </c>
      <c r="X7516" t="s">
        <v>44768</v>
      </c>
    </row>
    <row r="7517" spans="1:24">
      <c r="A7517">
        <f>HYPERLINK("https://www.philgeps.gov.ph/GEPSNONPILOT/Tender/SplashBidNoticeAbstractUI.aspx?menuIndex=3&amp;refID=7144051&amp;Result=3","7144051")</f>
        <v>0</v>
      </c>
      <c r="B7517" t="s">
        <v>108</v>
      </c>
      <c r="C7517" t="s">
        <v>10895</v>
      </c>
      <c r="D7517" t="s">
        <v>17952</v>
      </c>
      <c r="E7517" t="s">
        <v>24635</v>
      </c>
      <c r="F7517" t="s">
        <v>30900</v>
      </c>
      <c r="G7517" t="s">
        <v>30907</v>
      </c>
      <c r="H7517" t="s">
        <v>30916</v>
      </c>
      <c r="I7517" t="s">
        <v>30923</v>
      </c>
      <c r="J7517" t="s">
        <v>35831</v>
      </c>
      <c r="K7517" t="s">
        <v>40291</v>
      </c>
      <c r="L7517" t="s">
        <v>108</v>
      </c>
      <c r="M7517" t="s">
        <v>40655</v>
      </c>
      <c r="N7517" t="s">
        <v>44759</v>
      </c>
      <c r="O7517" t="s">
        <v>44760</v>
      </c>
      <c r="P7517">
        <v>0</v>
      </c>
      <c r="Q7517">
        <v>5</v>
      </c>
      <c r="R7517" t="s">
        <v>44767</v>
      </c>
      <c r="S7517" t="s">
        <v>44954</v>
      </c>
      <c r="T7517" t="s">
        <v>46405</v>
      </c>
      <c r="U7517" t="s">
        <v>53218</v>
      </c>
      <c r="W7517" t="s">
        <v>40655</v>
      </c>
      <c r="X7517" t="s">
        <v>44768</v>
      </c>
    </row>
    <row r="7518" spans="1:24">
      <c r="A7518">
        <f>HYPERLINK("https://www.philgeps.gov.ph/GEPSNONPILOT/Tender/SplashBidNoticeAbstractUI.aspx?menuIndex=3&amp;refID=7144186&amp;Result=3","7144186")</f>
        <v>0</v>
      </c>
      <c r="B7518" t="s">
        <v>965</v>
      </c>
      <c r="C7518" t="s">
        <v>10896</v>
      </c>
      <c r="D7518" t="s">
        <v>18010</v>
      </c>
      <c r="E7518" t="s">
        <v>24636</v>
      </c>
      <c r="F7518" t="s">
        <v>30900</v>
      </c>
      <c r="G7518" t="s">
        <v>30908</v>
      </c>
      <c r="H7518" t="s">
        <v>30916</v>
      </c>
      <c r="I7518" t="s">
        <v>10602</v>
      </c>
      <c r="J7518" t="s">
        <v>31872</v>
      </c>
      <c r="K7518" t="s">
        <v>40287</v>
      </c>
      <c r="M7518" t="s">
        <v>41552</v>
      </c>
      <c r="N7518" t="s">
        <v>44759</v>
      </c>
      <c r="O7518" t="s">
        <v>44760</v>
      </c>
      <c r="P7518">
        <v>0</v>
      </c>
      <c r="Q7518">
        <v>2</v>
      </c>
      <c r="R7518" t="s">
        <v>44767</v>
      </c>
      <c r="S7518" t="s">
        <v>44954</v>
      </c>
      <c r="T7518" t="s">
        <v>46403</v>
      </c>
      <c r="U7518" t="s">
        <v>53219</v>
      </c>
      <c r="V7518" t="s">
        <v>59800</v>
      </c>
      <c r="W7518" t="s">
        <v>41552</v>
      </c>
      <c r="X7518" t="s">
        <v>44768</v>
      </c>
    </row>
    <row r="7519" spans="1:24">
      <c r="A7519">
        <f>HYPERLINK("https://www.philgeps.gov.ph/GEPSNONPILOT/Tender/SplashBidNoticeAbstractUI.aspx?menuIndex=3&amp;refID=7144047&amp;Result=3","7144047")</f>
        <v>0</v>
      </c>
      <c r="B7519" t="s">
        <v>619</v>
      </c>
      <c r="C7519" t="s">
        <v>10897</v>
      </c>
      <c r="E7519" t="s">
        <v>24637</v>
      </c>
      <c r="F7519" t="s">
        <v>30899</v>
      </c>
      <c r="G7519" t="s">
        <v>30906</v>
      </c>
      <c r="H7519" t="s">
        <v>30916</v>
      </c>
      <c r="I7519" t="s">
        <v>4108</v>
      </c>
      <c r="J7519" t="s">
        <v>35832</v>
      </c>
      <c r="K7519" t="s">
        <v>40289</v>
      </c>
      <c r="M7519" t="s">
        <v>41181</v>
      </c>
      <c r="N7519" t="s">
        <v>44759</v>
      </c>
      <c r="O7519" t="s">
        <v>44760</v>
      </c>
      <c r="P7519">
        <v>0</v>
      </c>
      <c r="Q7519">
        <v>0</v>
      </c>
      <c r="R7519" t="s">
        <v>44767</v>
      </c>
      <c r="S7519" t="s">
        <v>44954</v>
      </c>
      <c r="T7519" t="s">
        <v>46548</v>
      </c>
      <c r="U7519" t="s">
        <v>53220</v>
      </c>
      <c r="W7519" t="s">
        <v>41181</v>
      </c>
      <c r="X7519" t="s">
        <v>44768</v>
      </c>
    </row>
    <row r="7520" spans="1:24">
      <c r="A7520">
        <f>HYPERLINK("https://www.philgeps.gov.ph/GEPSNONPILOT/Tender/SplashBidNoticeAbstractUI.aspx?menuIndex=3&amp;refID=7144042&amp;Result=3","7144042")</f>
        <v>0</v>
      </c>
      <c r="B7520" t="s">
        <v>2199</v>
      </c>
      <c r="C7520" t="s">
        <v>10898</v>
      </c>
      <c r="D7520" t="s">
        <v>17952</v>
      </c>
      <c r="E7520" t="s">
        <v>24638</v>
      </c>
      <c r="F7520" t="s">
        <v>30900</v>
      </c>
      <c r="G7520" t="s">
        <v>30907</v>
      </c>
      <c r="H7520" t="s">
        <v>30916</v>
      </c>
      <c r="I7520" t="s">
        <v>4545</v>
      </c>
      <c r="J7520" t="s">
        <v>31105</v>
      </c>
      <c r="K7520" t="s">
        <v>40284</v>
      </c>
      <c r="M7520" t="s">
        <v>42906</v>
      </c>
      <c r="N7520" t="s">
        <v>44759</v>
      </c>
      <c r="O7520" t="s">
        <v>44760</v>
      </c>
      <c r="P7520">
        <v>0</v>
      </c>
      <c r="Q7520">
        <v>1</v>
      </c>
      <c r="R7520" t="s">
        <v>44767</v>
      </c>
      <c r="S7520" t="s">
        <v>44954</v>
      </c>
      <c r="T7520" t="s">
        <v>46694</v>
      </c>
      <c r="U7520" t="s">
        <v>52098</v>
      </c>
      <c r="V7520" t="s">
        <v>59226</v>
      </c>
      <c r="W7520" t="s">
        <v>42906</v>
      </c>
      <c r="X7520" t="s">
        <v>44768</v>
      </c>
    </row>
    <row r="7521" spans="1:24">
      <c r="A7521">
        <f>HYPERLINK("https://www.philgeps.gov.ph/GEPSNONPILOT/Tender/SplashBidNoticeAbstractUI.aspx?menuIndex=3&amp;refID=7144248&amp;Result=3","7144248")</f>
        <v>0</v>
      </c>
      <c r="B7521" t="s">
        <v>2541</v>
      </c>
      <c r="C7521" t="s">
        <v>10899</v>
      </c>
      <c r="D7521" t="s">
        <v>18014</v>
      </c>
      <c r="E7521" t="s">
        <v>24639</v>
      </c>
      <c r="F7521" t="s">
        <v>30900</v>
      </c>
      <c r="G7521" t="s">
        <v>30907</v>
      </c>
      <c r="H7521" t="s">
        <v>30916</v>
      </c>
      <c r="I7521" t="s">
        <v>4545</v>
      </c>
      <c r="J7521" t="s">
        <v>31050</v>
      </c>
      <c r="K7521" t="s">
        <v>40288</v>
      </c>
      <c r="M7521" t="s">
        <v>43297</v>
      </c>
      <c r="N7521" t="s">
        <v>44759</v>
      </c>
      <c r="O7521" t="s">
        <v>44760</v>
      </c>
      <c r="P7521">
        <v>0</v>
      </c>
      <c r="Q7521">
        <v>0</v>
      </c>
      <c r="R7521" t="s">
        <v>44767</v>
      </c>
      <c r="S7521" t="s">
        <v>44954</v>
      </c>
      <c r="T7521" t="s">
        <v>46533</v>
      </c>
      <c r="U7521" t="s">
        <v>53221</v>
      </c>
      <c r="W7521" t="s">
        <v>43297</v>
      </c>
      <c r="X7521" t="s">
        <v>44768</v>
      </c>
    </row>
    <row r="7522" spans="1:24">
      <c r="A7522">
        <f>HYPERLINK("https://www.philgeps.gov.ph/GEPSNONPILOT/Tender/SplashBidNoticeAbstractUI.aspx?menuIndex=3&amp;refID=7144079&amp;Result=3","7144079")</f>
        <v>0</v>
      </c>
      <c r="B7522" t="s">
        <v>2045</v>
      </c>
      <c r="C7522" t="s">
        <v>10900</v>
      </c>
      <c r="D7522" t="s">
        <v>18022</v>
      </c>
      <c r="E7522" t="s">
        <v>24640</v>
      </c>
      <c r="F7522" t="s">
        <v>30900</v>
      </c>
      <c r="G7522" t="s">
        <v>30907</v>
      </c>
      <c r="H7522" t="s">
        <v>30916</v>
      </c>
      <c r="I7522" t="s">
        <v>30921</v>
      </c>
      <c r="J7522" t="s">
        <v>31195</v>
      </c>
      <c r="K7522" t="s">
        <v>40284</v>
      </c>
      <c r="M7522" t="s">
        <v>42742</v>
      </c>
      <c r="N7522" t="s">
        <v>44759</v>
      </c>
      <c r="O7522" t="s">
        <v>44760</v>
      </c>
      <c r="P7522">
        <v>0</v>
      </c>
      <c r="Q7522">
        <v>8</v>
      </c>
      <c r="R7522" t="s">
        <v>44767</v>
      </c>
      <c r="S7522" t="s">
        <v>44954</v>
      </c>
      <c r="T7522" t="s">
        <v>46470</v>
      </c>
      <c r="U7522" t="s">
        <v>53222</v>
      </c>
      <c r="W7522" t="s">
        <v>42742</v>
      </c>
      <c r="X7522" t="s">
        <v>44768</v>
      </c>
    </row>
    <row r="7523" spans="1:24">
      <c r="A7523">
        <f>HYPERLINK("https://www.philgeps.gov.ph/GEPSNONPILOT/Tender/SplashBidNoticeAbstractUI.aspx?menuIndex=3&amp;refID=7144043&amp;Result=3","7144043")</f>
        <v>0</v>
      </c>
      <c r="B7523" t="s">
        <v>787</v>
      </c>
      <c r="C7523" t="s">
        <v>10901</v>
      </c>
      <c r="D7523" t="s">
        <v>17987</v>
      </c>
      <c r="E7523" t="s">
        <v>24641</v>
      </c>
      <c r="F7523" t="s">
        <v>30900</v>
      </c>
      <c r="G7523" t="s">
        <v>30907</v>
      </c>
      <c r="H7523" t="s">
        <v>30916</v>
      </c>
      <c r="I7523" t="s">
        <v>8123</v>
      </c>
      <c r="J7523" t="s">
        <v>35833</v>
      </c>
      <c r="K7523" t="s">
        <v>40289</v>
      </c>
      <c r="M7523" t="s">
        <v>41356</v>
      </c>
      <c r="N7523" t="s">
        <v>44759</v>
      </c>
      <c r="O7523" t="s">
        <v>44760</v>
      </c>
      <c r="P7523">
        <v>0</v>
      </c>
      <c r="Q7523">
        <v>0</v>
      </c>
      <c r="R7523" t="s">
        <v>44767</v>
      </c>
      <c r="S7523" t="s">
        <v>44954</v>
      </c>
      <c r="T7523" t="s">
        <v>46380</v>
      </c>
      <c r="U7523" t="s">
        <v>53223</v>
      </c>
      <c r="W7523" t="s">
        <v>41356</v>
      </c>
      <c r="X7523" t="s">
        <v>44768</v>
      </c>
    </row>
    <row r="7524" spans="1:24">
      <c r="A7524">
        <f>HYPERLINK("https://www.philgeps.gov.ph/GEPSNONPILOT/Tender/SplashBidNoticeAbstractUI.aspx?menuIndex=3&amp;refID=7144082&amp;Result=3","7144082")</f>
        <v>0</v>
      </c>
      <c r="B7524" t="s">
        <v>2531</v>
      </c>
      <c r="C7524" t="s">
        <v>10902</v>
      </c>
      <c r="E7524" t="s">
        <v>10902</v>
      </c>
      <c r="F7524" t="s">
        <v>30900</v>
      </c>
      <c r="G7524" t="s">
        <v>30907</v>
      </c>
      <c r="H7524" t="s">
        <v>30916</v>
      </c>
      <c r="I7524" t="s">
        <v>5830</v>
      </c>
      <c r="J7524" t="s">
        <v>31863</v>
      </c>
      <c r="K7524" t="s">
        <v>40331</v>
      </c>
      <c r="M7524" t="s">
        <v>43286</v>
      </c>
      <c r="N7524" t="s">
        <v>44759</v>
      </c>
      <c r="O7524" t="s">
        <v>44760</v>
      </c>
      <c r="P7524">
        <v>0</v>
      </c>
      <c r="Q7524">
        <v>0</v>
      </c>
      <c r="R7524" t="s">
        <v>44767</v>
      </c>
      <c r="S7524" t="s">
        <v>44954</v>
      </c>
      <c r="T7524" t="s">
        <v>46398</v>
      </c>
      <c r="U7524" t="s">
        <v>53224</v>
      </c>
      <c r="V7524" t="s">
        <v>59928</v>
      </c>
      <c r="W7524" t="s">
        <v>43286</v>
      </c>
      <c r="X7524" t="s">
        <v>44768</v>
      </c>
    </row>
    <row r="7525" spans="1:24">
      <c r="A7525">
        <f>HYPERLINK("https://www.philgeps.gov.ph/GEPSNONPILOT/Tender/SplashBidNoticeAbstractUI.aspx?menuIndex=3&amp;refID=7144244&amp;Result=3","7144244")</f>
        <v>0</v>
      </c>
      <c r="B7525" t="s">
        <v>628</v>
      </c>
      <c r="C7525" t="s">
        <v>10903</v>
      </c>
      <c r="E7525" t="s">
        <v>24642</v>
      </c>
      <c r="F7525" t="s">
        <v>30900</v>
      </c>
      <c r="G7525" t="s">
        <v>30913</v>
      </c>
      <c r="H7525" t="s">
        <v>30916</v>
      </c>
      <c r="I7525" t="s">
        <v>30949</v>
      </c>
      <c r="J7525" t="s">
        <v>35834</v>
      </c>
      <c r="K7525" t="s">
        <v>40280</v>
      </c>
      <c r="M7525" t="s">
        <v>43298</v>
      </c>
      <c r="N7525" t="s">
        <v>44759</v>
      </c>
      <c r="O7525" t="s">
        <v>44760</v>
      </c>
      <c r="P7525">
        <v>0</v>
      </c>
      <c r="Q7525">
        <v>14</v>
      </c>
      <c r="R7525" t="s">
        <v>44767</v>
      </c>
      <c r="S7525" t="s">
        <v>44954</v>
      </c>
      <c r="T7525" t="s">
        <v>46450</v>
      </c>
      <c r="U7525" t="s">
        <v>53225</v>
      </c>
      <c r="V7525" t="s">
        <v>59929</v>
      </c>
      <c r="W7525" t="s">
        <v>43298</v>
      </c>
      <c r="X7525" t="s">
        <v>44768</v>
      </c>
    </row>
    <row r="7526" spans="1:24">
      <c r="A7526">
        <f>HYPERLINK("https://www.philgeps.gov.ph/GEPSNONPILOT/Tender/SplashBidNoticeAbstractUI.aspx?menuIndex=3&amp;refID=7144236&amp;Result=3","7144236")</f>
        <v>0</v>
      </c>
      <c r="B7526" t="s">
        <v>2478</v>
      </c>
      <c r="C7526" t="s">
        <v>10904</v>
      </c>
      <c r="D7526" t="s">
        <v>17958</v>
      </c>
      <c r="E7526" t="s">
        <v>24643</v>
      </c>
      <c r="F7526" t="s">
        <v>30900</v>
      </c>
      <c r="G7526" t="s">
        <v>30907</v>
      </c>
      <c r="H7526" t="s">
        <v>30915</v>
      </c>
      <c r="I7526" t="s">
        <v>30919</v>
      </c>
      <c r="J7526" t="s">
        <v>31211</v>
      </c>
      <c r="K7526" t="s">
        <v>40293</v>
      </c>
      <c r="M7526" t="s">
        <v>43217</v>
      </c>
      <c r="N7526" t="s">
        <v>44759</v>
      </c>
      <c r="O7526" t="s">
        <v>44760</v>
      </c>
      <c r="P7526">
        <v>0</v>
      </c>
      <c r="Q7526">
        <v>0</v>
      </c>
      <c r="R7526" t="s">
        <v>44767</v>
      </c>
      <c r="S7526" t="s">
        <v>44954</v>
      </c>
      <c r="T7526" t="s">
        <v>46450</v>
      </c>
      <c r="U7526" t="s">
        <v>53226</v>
      </c>
      <c r="W7526" t="s">
        <v>43217</v>
      </c>
      <c r="X7526" t="s">
        <v>44768</v>
      </c>
    </row>
    <row r="7527" spans="1:24">
      <c r="A7527">
        <f>HYPERLINK("https://www.philgeps.gov.ph/GEPSNONPILOT/Tender/SplashBidNoticeAbstractUI.aspx?menuIndex=3&amp;refID=7144233&amp;Result=3","7144233")</f>
        <v>0</v>
      </c>
      <c r="B7527" t="s">
        <v>629</v>
      </c>
      <c r="C7527" t="s">
        <v>10905</v>
      </c>
      <c r="D7527" t="s">
        <v>17992</v>
      </c>
      <c r="E7527" t="s">
        <v>24644</v>
      </c>
      <c r="F7527" t="s">
        <v>30900</v>
      </c>
      <c r="G7527" t="s">
        <v>30908</v>
      </c>
      <c r="H7527" t="s">
        <v>30916</v>
      </c>
      <c r="I7527" t="s">
        <v>10602</v>
      </c>
      <c r="J7527" t="s">
        <v>31195</v>
      </c>
      <c r="K7527" t="s">
        <v>40283</v>
      </c>
      <c r="M7527" t="s">
        <v>41195</v>
      </c>
      <c r="N7527" t="s">
        <v>44759</v>
      </c>
      <c r="O7527" t="s">
        <v>44760</v>
      </c>
      <c r="P7527">
        <v>0</v>
      </c>
      <c r="Q7527">
        <v>0</v>
      </c>
      <c r="R7527" t="s">
        <v>44767</v>
      </c>
      <c r="S7527" t="s">
        <v>44954</v>
      </c>
      <c r="T7527" t="s">
        <v>46581</v>
      </c>
      <c r="U7527" t="s">
        <v>53227</v>
      </c>
      <c r="V7527" t="s">
        <v>59226</v>
      </c>
      <c r="W7527" t="s">
        <v>41195</v>
      </c>
      <c r="X7527" t="s">
        <v>44768</v>
      </c>
    </row>
    <row r="7528" spans="1:24">
      <c r="A7528">
        <f>HYPERLINK("https://www.philgeps.gov.ph/GEPSNONPILOT/Tender/SplashBidNoticeAbstractUI.aspx?menuIndex=3&amp;refID=7144232&amp;Result=3","7144232")</f>
        <v>0</v>
      </c>
      <c r="B7528" t="s">
        <v>1327</v>
      </c>
      <c r="C7528" t="s">
        <v>10906</v>
      </c>
      <c r="D7528" t="s">
        <v>17971</v>
      </c>
      <c r="E7528" t="s">
        <v>24645</v>
      </c>
      <c r="F7528" t="s">
        <v>30900</v>
      </c>
      <c r="G7528" t="s">
        <v>30907</v>
      </c>
      <c r="H7528" t="s">
        <v>30916</v>
      </c>
      <c r="I7528" t="s">
        <v>30927</v>
      </c>
      <c r="J7528" t="s">
        <v>35835</v>
      </c>
      <c r="K7528" t="s">
        <v>40286</v>
      </c>
      <c r="M7528" t="s">
        <v>41946</v>
      </c>
      <c r="N7528" t="s">
        <v>44759</v>
      </c>
      <c r="O7528" t="s">
        <v>44760</v>
      </c>
      <c r="P7528">
        <v>0</v>
      </c>
      <c r="Q7528">
        <v>0</v>
      </c>
      <c r="R7528" t="s">
        <v>44767</v>
      </c>
      <c r="S7528" t="s">
        <v>44954</v>
      </c>
      <c r="T7528" t="s">
        <v>46391</v>
      </c>
      <c r="U7528" t="s">
        <v>53228</v>
      </c>
      <c r="V7528" t="s">
        <v>59930</v>
      </c>
      <c r="W7528" t="s">
        <v>41946</v>
      </c>
      <c r="X7528" t="s">
        <v>44768</v>
      </c>
    </row>
    <row r="7529" spans="1:24">
      <c r="A7529">
        <f>HYPERLINK("https://www.philgeps.gov.ph/GEPSNONPILOT/Tender/SplashBidNoticeAbstractUI.aspx?menuIndex=3&amp;refID=7144231&amp;Result=3","7144231")</f>
        <v>0</v>
      </c>
      <c r="B7529" t="s">
        <v>1459</v>
      </c>
      <c r="C7529" t="s">
        <v>10907</v>
      </c>
      <c r="D7529" t="s">
        <v>17975</v>
      </c>
      <c r="E7529" t="s">
        <v>24646</v>
      </c>
      <c r="F7529" t="s">
        <v>30900</v>
      </c>
      <c r="G7529" t="s">
        <v>30907</v>
      </c>
      <c r="H7529" t="s">
        <v>30916</v>
      </c>
      <c r="I7529" t="s">
        <v>8123</v>
      </c>
      <c r="J7529" t="s">
        <v>35836</v>
      </c>
      <c r="K7529" t="s">
        <v>40284</v>
      </c>
      <c r="L7529" t="s">
        <v>1459</v>
      </c>
      <c r="M7529" t="s">
        <v>42091</v>
      </c>
      <c r="N7529" t="s">
        <v>44759</v>
      </c>
      <c r="O7529" t="s">
        <v>44760</v>
      </c>
      <c r="P7529">
        <v>0</v>
      </c>
      <c r="Q7529">
        <v>1</v>
      </c>
      <c r="R7529" t="s">
        <v>44767</v>
      </c>
      <c r="S7529" t="s">
        <v>44954</v>
      </c>
      <c r="T7529" t="s">
        <v>46411</v>
      </c>
      <c r="U7529" t="s">
        <v>53229</v>
      </c>
      <c r="W7529" t="s">
        <v>42091</v>
      </c>
      <c r="X7529" t="s">
        <v>44768</v>
      </c>
    </row>
    <row r="7530" spans="1:24">
      <c r="A7530">
        <f>HYPERLINK("https://www.philgeps.gov.ph/GEPSNONPILOT/Tender/SplashBidNoticeAbstractUI.aspx?menuIndex=3&amp;refID=7144230&amp;Result=3","7144230")</f>
        <v>0</v>
      </c>
      <c r="B7530" t="s">
        <v>2520</v>
      </c>
      <c r="C7530" t="s">
        <v>10908</v>
      </c>
      <c r="D7530" t="s">
        <v>17991</v>
      </c>
      <c r="E7530" t="s">
        <v>24647</v>
      </c>
      <c r="F7530" t="s">
        <v>30900</v>
      </c>
      <c r="G7530" t="s">
        <v>30907</v>
      </c>
      <c r="H7530" t="s">
        <v>30915</v>
      </c>
      <c r="I7530" t="s">
        <v>30919</v>
      </c>
      <c r="J7530" t="s">
        <v>32324</v>
      </c>
      <c r="K7530" t="s">
        <v>40342</v>
      </c>
      <c r="M7530" t="s">
        <v>43267</v>
      </c>
      <c r="N7530" t="s">
        <v>44759</v>
      </c>
      <c r="O7530" t="s">
        <v>44760</v>
      </c>
      <c r="P7530">
        <v>0</v>
      </c>
      <c r="Q7530">
        <v>1</v>
      </c>
      <c r="R7530" t="s">
        <v>44767</v>
      </c>
      <c r="S7530" t="s">
        <v>44954</v>
      </c>
      <c r="T7530" t="s">
        <v>46495</v>
      </c>
      <c r="U7530" t="s">
        <v>53230</v>
      </c>
      <c r="V7530" t="s">
        <v>59914</v>
      </c>
      <c r="W7530" t="s">
        <v>43267</v>
      </c>
      <c r="X7530" t="s">
        <v>44768</v>
      </c>
    </row>
    <row r="7531" spans="1:24">
      <c r="A7531">
        <f>HYPERLINK("https://www.philgeps.gov.ph/GEPSNONPILOT/Tender/SplashBidNoticeAbstractUI.aspx?menuIndex=3&amp;refID=7144246&amp;Result=3","7144246")</f>
        <v>0</v>
      </c>
      <c r="B7531" t="s">
        <v>2542</v>
      </c>
      <c r="C7531" t="s">
        <v>10909</v>
      </c>
      <c r="E7531" t="s">
        <v>24648</v>
      </c>
      <c r="F7531" t="s">
        <v>30900</v>
      </c>
      <c r="G7531" t="s">
        <v>30907</v>
      </c>
      <c r="H7531" t="s">
        <v>30916</v>
      </c>
      <c r="I7531" t="s">
        <v>4142</v>
      </c>
      <c r="J7531" t="s">
        <v>35837</v>
      </c>
      <c r="K7531" t="s">
        <v>40289</v>
      </c>
      <c r="M7531" t="s">
        <v>43299</v>
      </c>
      <c r="N7531" t="s">
        <v>44759</v>
      </c>
      <c r="O7531" t="s">
        <v>44760</v>
      </c>
      <c r="P7531">
        <v>0</v>
      </c>
      <c r="Q7531">
        <v>1</v>
      </c>
      <c r="R7531" t="s">
        <v>44767</v>
      </c>
      <c r="S7531" t="s">
        <v>44954</v>
      </c>
      <c r="T7531" t="s">
        <v>46428</v>
      </c>
      <c r="U7531" t="s">
        <v>53231</v>
      </c>
      <c r="W7531" t="s">
        <v>43299</v>
      </c>
      <c r="X7531" t="s">
        <v>44768</v>
      </c>
    </row>
    <row r="7532" spans="1:24">
      <c r="A7532">
        <f>HYPERLINK("https://www.philgeps.gov.ph/GEPSNONPILOT/Tender/SplashBidNoticeAbstractUI.aspx?menuIndex=3&amp;refID=7144221&amp;Result=3","7144221")</f>
        <v>0</v>
      </c>
      <c r="B7532" t="s">
        <v>2534</v>
      </c>
      <c r="C7532" t="s">
        <v>10910</v>
      </c>
      <c r="D7532" t="s">
        <v>17992</v>
      </c>
      <c r="E7532" t="s">
        <v>24649</v>
      </c>
      <c r="F7532" t="s">
        <v>30900</v>
      </c>
      <c r="G7532" t="s">
        <v>30907</v>
      </c>
      <c r="H7532" t="s">
        <v>30916</v>
      </c>
      <c r="I7532" t="s">
        <v>8123</v>
      </c>
      <c r="J7532" t="s">
        <v>35838</v>
      </c>
      <c r="K7532" t="s">
        <v>40291</v>
      </c>
      <c r="M7532" t="s">
        <v>43290</v>
      </c>
      <c r="N7532" t="s">
        <v>44759</v>
      </c>
      <c r="O7532" t="s">
        <v>44760</v>
      </c>
      <c r="P7532">
        <v>0</v>
      </c>
      <c r="Q7532">
        <v>0</v>
      </c>
      <c r="R7532" t="s">
        <v>44767</v>
      </c>
      <c r="S7532" t="s">
        <v>44954</v>
      </c>
      <c r="T7532" t="s">
        <v>46366</v>
      </c>
      <c r="U7532" t="s">
        <v>53232</v>
      </c>
      <c r="W7532" t="s">
        <v>43290</v>
      </c>
      <c r="X7532" t="s">
        <v>44768</v>
      </c>
    </row>
    <row r="7533" spans="1:24">
      <c r="A7533">
        <f>HYPERLINK("https://www.philgeps.gov.ph/GEPSNONPILOT/Tender/SplashBidNoticeAbstractUI.aspx?menuIndex=3&amp;refID=7144220&amp;Result=3","7144220")</f>
        <v>0</v>
      </c>
      <c r="B7533" t="s">
        <v>1627</v>
      </c>
      <c r="C7533" t="s">
        <v>8030</v>
      </c>
      <c r="D7533" t="s">
        <v>17978</v>
      </c>
      <c r="E7533" t="s">
        <v>24650</v>
      </c>
      <c r="F7533" t="s">
        <v>30900</v>
      </c>
      <c r="G7533" t="s">
        <v>30909</v>
      </c>
      <c r="H7533" t="s">
        <v>30916</v>
      </c>
      <c r="I7533" t="s">
        <v>30921</v>
      </c>
      <c r="J7533" t="s">
        <v>32370</v>
      </c>
      <c r="K7533" t="s">
        <v>40286</v>
      </c>
      <c r="M7533" t="s">
        <v>42279</v>
      </c>
      <c r="N7533" t="s">
        <v>44759</v>
      </c>
      <c r="O7533" t="s">
        <v>44760</v>
      </c>
      <c r="P7533">
        <v>0</v>
      </c>
      <c r="Q7533">
        <v>0</v>
      </c>
      <c r="R7533" t="s">
        <v>44767</v>
      </c>
      <c r="S7533" t="s">
        <v>44954</v>
      </c>
      <c r="T7533" t="s">
        <v>46700</v>
      </c>
      <c r="U7533" t="s">
        <v>53233</v>
      </c>
      <c r="W7533" t="s">
        <v>42279</v>
      </c>
      <c r="X7533" t="s">
        <v>44768</v>
      </c>
    </row>
    <row r="7534" spans="1:24">
      <c r="A7534">
        <f>HYPERLINK("https://www.philgeps.gov.ph/GEPSNONPILOT/Tender/SplashBidNoticeAbstractUI.aspx?menuIndex=3&amp;refID=7144218&amp;Result=3","7144218")</f>
        <v>0</v>
      </c>
      <c r="B7534" t="s">
        <v>157</v>
      </c>
      <c r="C7534" t="s">
        <v>6953</v>
      </c>
      <c r="D7534" t="s">
        <v>17978</v>
      </c>
      <c r="E7534" t="s">
        <v>24651</v>
      </c>
      <c r="F7534" t="s">
        <v>30900</v>
      </c>
      <c r="G7534" t="s">
        <v>30908</v>
      </c>
      <c r="H7534" t="s">
        <v>30916</v>
      </c>
      <c r="I7534" t="s">
        <v>6953</v>
      </c>
      <c r="J7534" t="s">
        <v>32737</v>
      </c>
      <c r="K7534" t="s">
        <v>40286</v>
      </c>
      <c r="M7534" t="s">
        <v>40704</v>
      </c>
      <c r="N7534" t="s">
        <v>44759</v>
      </c>
      <c r="O7534" t="s">
        <v>44760</v>
      </c>
      <c r="P7534">
        <v>0</v>
      </c>
      <c r="Q7534">
        <v>1</v>
      </c>
      <c r="R7534" t="s">
        <v>44767</v>
      </c>
      <c r="S7534" t="s">
        <v>44954</v>
      </c>
      <c r="T7534" t="s">
        <v>46581</v>
      </c>
      <c r="U7534" t="s">
        <v>53234</v>
      </c>
      <c r="W7534" t="s">
        <v>40704</v>
      </c>
      <c r="X7534" t="s">
        <v>44768</v>
      </c>
    </row>
    <row r="7535" spans="1:24">
      <c r="A7535">
        <f>HYPERLINK("https://www.philgeps.gov.ph/GEPSNONPILOT/Tender/SplashBidNoticeAbstractUI.aspx?menuIndex=3&amp;refID=7144215&amp;Result=3","7144215")</f>
        <v>0</v>
      </c>
      <c r="B7535" t="s">
        <v>708</v>
      </c>
      <c r="C7535" t="s">
        <v>10911</v>
      </c>
      <c r="E7535" t="s">
        <v>24652</v>
      </c>
      <c r="F7535" t="s">
        <v>30900</v>
      </c>
      <c r="G7535" t="s">
        <v>30907</v>
      </c>
      <c r="H7535" t="s">
        <v>30916</v>
      </c>
      <c r="I7535" t="s">
        <v>9385</v>
      </c>
      <c r="J7535" t="s">
        <v>35839</v>
      </c>
      <c r="K7535" t="s">
        <v>40289</v>
      </c>
      <c r="M7535" t="s">
        <v>43282</v>
      </c>
      <c r="N7535" t="s">
        <v>44759</v>
      </c>
      <c r="O7535" t="s">
        <v>44760</v>
      </c>
      <c r="P7535">
        <v>0</v>
      </c>
      <c r="Q7535">
        <v>3</v>
      </c>
      <c r="R7535" t="s">
        <v>44767</v>
      </c>
      <c r="S7535" t="s">
        <v>44954</v>
      </c>
      <c r="T7535" t="s">
        <v>46428</v>
      </c>
      <c r="U7535" t="s">
        <v>53235</v>
      </c>
      <c r="W7535" t="s">
        <v>43282</v>
      </c>
      <c r="X7535" t="s">
        <v>44768</v>
      </c>
    </row>
    <row r="7536" spans="1:24">
      <c r="A7536">
        <f>HYPERLINK("https://www.philgeps.gov.ph/GEPSNONPILOT/Tender/SplashBidNoticeAbstractUI.aspx?menuIndex=3&amp;refID=7144212&amp;Result=3","7144212")</f>
        <v>0</v>
      </c>
      <c r="B7536" t="s">
        <v>2531</v>
      </c>
      <c r="C7536" t="s">
        <v>10912</v>
      </c>
      <c r="D7536" t="s">
        <v>17953</v>
      </c>
      <c r="E7536" t="s">
        <v>10912</v>
      </c>
      <c r="F7536" t="s">
        <v>30900</v>
      </c>
      <c r="G7536" t="s">
        <v>30907</v>
      </c>
      <c r="H7536" t="s">
        <v>30916</v>
      </c>
      <c r="I7536" t="s">
        <v>6396</v>
      </c>
      <c r="J7536" t="s">
        <v>31257</v>
      </c>
      <c r="K7536" t="s">
        <v>40331</v>
      </c>
      <c r="M7536" t="s">
        <v>43286</v>
      </c>
      <c r="N7536" t="s">
        <v>44759</v>
      </c>
      <c r="O7536" t="s">
        <v>44760</v>
      </c>
      <c r="P7536">
        <v>0</v>
      </c>
      <c r="Q7536">
        <v>2</v>
      </c>
      <c r="R7536" t="s">
        <v>44767</v>
      </c>
      <c r="S7536" t="s">
        <v>44954</v>
      </c>
      <c r="T7536" t="s">
        <v>46398</v>
      </c>
      <c r="U7536" t="s">
        <v>53236</v>
      </c>
      <c r="V7536" t="s">
        <v>53236</v>
      </c>
      <c r="W7536" t="s">
        <v>43286</v>
      </c>
      <c r="X7536" t="s">
        <v>44768</v>
      </c>
    </row>
    <row r="7537" spans="1:24">
      <c r="A7537">
        <f>HYPERLINK("https://www.philgeps.gov.ph/GEPSNONPILOT/Tender/SplashBidNoticeAbstractUI.aspx?menuIndex=3&amp;refID=7144205&amp;Result=3","7144205")</f>
        <v>0</v>
      </c>
      <c r="B7537" t="s">
        <v>459</v>
      </c>
      <c r="C7537" t="s">
        <v>10913</v>
      </c>
      <c r="D7537" t="s">
        <v>17978</v>
      </c>
      <c r="E7537" t="s">
        <v>24653</v>
      </c>
      <c r="F7537" t="s">
        <v>30900</v>
      </c>
      <c r="G7537" t="s">
        <v>30906</v>
      </c>
      <c r="H7537" t="s">
        <v>30916</v>
      </c>
      <c r="I7537" t="s">
        <v>30923</v>
      </c>
      <c r="J7537" t="s">
        <v>35840</v>
      </c>
      <c r="K7537" t="s">
        <v>40288</v>
      </c>
      <c r="M7537" t="s">
        <v>41017</v>
      </c>
      <c r="N7537" t="s">
        <v>44759</v>
      </c>
      <c r="O7537" t="s">
        <v>44760</v>
      </c>
      <c r="P7537">
        <v>0</v>
      </c>
      <c r="Q7537">
        <v>3</v>
      </c>
      <c r="R7537" t="s">
        <v>44767</v>
      </c>
      <c r="S7537" t="s">
        <v>44954</v>
      </c>
      <c r="T7537" t="s">
        <v>46363</v>
      </c>
      <c r="U7537" t="s">
        <v>53237</v>
      </c>
      <c r="W7537" t="s">
        <v>41017</v>
      </c>
      <c r="X7537" t="s">
        <v>44768</v>
      </c>
    </row>
    <row r="7538" spans="1:24">
      <c r="A7538">
        <f>HYPERLINK("https://www.philgeps.gov.ph/GEPSNONPILOT/Tender/SplashBidNoticeAbstractUI.aspx?menuIndex=3&amp;refID=7144204&amp;Result=3","7144204")</f>
        <v>0</v>
      </c>
      <c r="B7538" t="s">
        <v>2543</v>
      </c>
      <c r="C7538" t="s">
        <v>10914</v>
      </c>
      <c r="D7538" t="s">
        <v>18014</v>
      </c>
      <c r="E7538" t="s">
        <v>24654</v>
      </c>
      <c r="F7538" t="s">
        <v>30900</v>
      </c>
      <c r="G7538" t="s">
        <v>30908</v>
      </c>
      <c r="H7538" t="s">
        <v>30916</v>
      </c>
      <c r="I7538" t="s">
        <v>4142</v>
      </c>
      <c r="J7538" t="s">
        <v>35841</v>
      </c>
      <c r="K7538" t="s">
        <v>40286</v>
      </c>
      <c r="M7538" t="s">
        <v>43300</v>
      </c>
      <c r="N7538" t="s">
        <v>44759</v>
      </c>
      <c r="O7538" t="s">
        <v>44760</v>
      </c>
      <c r="P7538">
        <v>0</v>
      </c>
      <c r="Q7538">
        <v>2</v>
      </c>
      <c r="R7538" t="s">
        <v>44767</v>
      </c>
      <c r="S7538" t="s">
        <v>44954</v>
      </c>
      <c r="T7538" t="s">
        <v>46612</v>
      </c>
      <c r="U7538" t="s">
        <v>53238</v>
      </c>
      <c r="W7538" t="s">
        <v>43300</v>
      </c>
      <c r="X7538" t="s">
        <v>44768</v>
      </c>
    </row>
    <row r="7539" spans="1:24">
      <c r="A7539">
        <f>HYPERLINK("https://www.philgeps.gov.ph/GEPSNONPILOT/Tender/SplashBidNoticeAbstractUI.aspx?menuIndex=3&amp;refID=7144226&amp;Result=3","7144226")</f>
        <v>0</v>
      </c>
      <c r="B7539" t="s">
        <v>2544</v>
      </c>
      <c r="C7539" t="s">
        <v>10915</v>
      </c>
      <c r="D7539" t="s">
        <v>17991</v>
      </c>
      <c r="E7539" t="s">
        <v>24655</v>
      </c>
      <c r="F7539" t="s">
        <v>30900</v>
      </c>
      <c r="G7539" t="s">
        <v>30908</v>
      </c>
      <c r="H7539" t="s">
        <v>30916</v>
      </c>
      <c r="I7539" t="s">
        <v>4545</v>
      </c>
      <c r="J7539" t="s">
        <v>31451</v>
      </c>
      <c r="K7539" t="s">
        <v>40284</v>
      </c>
      <c r="M7539" t="s">
        <v>43301</v>
      </c>
      <c r="N7539" t="s">
        <v>44759</v>
      </c>
      <c r="O7539" t="s">
        <v>44760</v>
      </c>
      <c r="P7539">
        <v>0</v>
      </c>
      <c r="Q7539">
        <v>2</v>
      </c>
      <c r="R7539" t="s">
        <v>44767</v>
      </c>
      <c r="S7539" t="s">
        <v>44954</v>
      </c>
      <c r="T7539" t="s">
        <v>46781</v>
      </c>
      <c r="U7539" t="s">
        <v>53239</v>
      </c>
      <c r="W7539" t="s">
        <v>43301</v>
      </c>
      <c r="X7539" t="s">
        <v>44768</v>
      </c>
    </row>
    <row r="7540" spans="1:24">
      <c r="A7540">
        <f>HYPERLINK("https://www.philgeps.gov.ph/GEPSNONPILOT/Tender/SplashBidNoticeAbstractUI.aspx?menuIndex=3&amp;refID=7144202&amp;Result=3","7144202")</f>
        <v>0</v>
      </c>
      <c r="B7540" t="s">
        <v>2152</v>
      </c>
      <c r="C7540" t="s">
        <v>10916</v>
      </c>
      <c r="E7540" t="s">
        <v>24656</v>
      </c>
      <c r="F7540" t="s">
        <v>30900</v>
      </c>
      <c r="G7540" t="s">
        <v>30907</v>
      </c>
      <c r="H7540" t="s">
        <v>30916</v>
      </c>
      <c r="I7540" t="s">
        <v>9385</v>
      </c>
      <c r="J7540" t="s">
        <v>31944</v>
      </c>
      <c r="K7540" t="s">
        <v>40291</v>
      </c>
      <c r="M7540" t="s">
        <v>43280</v>
      </c>
      <c r="N7540" t="s">
        <v>44759</v>
      </c>
      <c r="O7540" t="s">
        <v>44760</v>
      </c>
      <c r="P7540">
        <v>0</v>
      </c>
      <c r="Q7540">
        <v>5</v>
      </c>
      <c r="R7540" t="s">
        <v>44767</v>
      </c>
      <c r="S7540" t="s">
        <v>44954</v>
      </c>
      <c r="T7540" t="s">
        <v>46612</v>
      </c>
      <c r="U7540" t="s">
        <v>53166</v>
      </c>
      <c r="W7540" t="s">
        <v>43280</v>
      </c>
      <c r="X7540" t="s">
        <v>44768</v>
      </c>
    </row>
    <row r="7541" spans="1:24">
      <c r="A7541">
        <f>HYPERLINK("https://www.philgeps.gov.ph/GEPSNONPILOT/Tender/SplashBidNoticeAbstractUI.aspx?menuIndex=3&amp;refID=7144038&amp;Result=3","7144038")</f>
        <v>0</v>
      </c>
      <c r="B7541" t="s">
        <v>157</v>
      </c>
      <c r="C7541" t="s">
        <v>8044</v>
      </c>
      <c r="D7541" t="s">
        <v>17978</v>
      </c>
      <c r="E7541" t="s">
        <v>24657</v>
      </c>
      <c r="F7541" t="s">
        <v>30900</v>
      </c>
      <c r="G7541" t="s">
        <v>30910</v>
      </c>
      <c r="H7541" t="s">
        <v>30916</v>
      </c>
      <c r="I7541" t="s">
        <v>8044</v>
      </c>
      <c r="J7541" t="s">
        <v>34140</v>
      </c>
      <c r="K7541" t="s">
        <v>40286</v>
      </c>
      <c r="M7541" t="s">
        <v>40704</v>
      </c>
      <c r="N7541" t="s">
        <v>44759</v>
      </c>
      <c r="O7541" t="s">
        <v>44760</v>
      </c>
      <c r="P7541">
        <v>0</v>
      </c>
      <c r="Q7541">
        <v>0</v>
      </c>
      <c r="R7541" t="s">
        <v>44767</v>
      </c>
      <c r="S7541" t="s">
        <v>44954</v>
      </c>
      <c r="T7541" t="s">
        <v>46581</v>
      </c>
      <c r="U7541" t="s">
        <v>53159</v>
      </c>
      <c r="W7541" t="s">
        <v>40704</v>
      </c>
      <c r="X7541" t="s">
        <v>44768</v>
      </c>
    </row>
    <row r="7542" spans="1:24">
      <c r="A7542">
        <f>HYPERLINK("https://www.philgeps.gov.ph/GEPSNONPILOT/Tender/SplashBidNoticeAbstractUI.aspx?menuIndex=3&amp;refID=7144036&amp;Result=3","7144036")</f>
        <v>0</v>
      </c>
      <c r="B7542" t="s">
        <v>2545</v>
      </c>
      <c r="C7542" t="s">
        <v>10917</v>
      </c>
      <c r="D7542" t="s">
        <v>17953</v>
      </c>
      <c r="E7542" t="s">
        <v>24612</v>
      </c>
      <c r="F7542" t="s">
        <v>30903</v>
      </c>
      <c r="G7542" t="s">
        <v>30910</v>
      </c>
      <c r="H7542" t="s">
        <v>30916</v>
      </c>
      <c r="I7542" t="s">
        <v>4545</v>
      </c>
      <c r="J7542" t="s">
        <v>31077</v>
      </c>
      <c r="K7542" t="s">
        <v>40285</v>
      </c>
      <c r="M7542" t="s">
        <v>43302</v>
      </c>
      <c r="N7542" t="s">
        <v>44759</v>
      </c>
      <c r="O7542" t="s">
        <v>44760</v>
      </c>
      <c r="P7542">
        <v>0</v>
      </c>
      <c r="Q7542">
        <v>0</v>
      </c>
      <c r="R7542" t="s">
        <v>44767</v>
      </c>
      <c r="S7542" t="s">
        <v>44954</v>
      </c>
      <c r="T7542" t="s">
        <v>46374</v>
      </c>
      <c r="U7542" t="s">
        <v>53240</v>
      </c>
      <c r="W7542" t="s">
        <v>43302</v>
      </c>
      <c r="X7542" t="s">
        <v>44768</v>
      </c>
    </row>
    <row r="7543" spans="1:24">
      <c r="A7543">
        <f>HYPERLINK("https://www.philgeps.gov.ph/GEPSNONPILOT/Tender/SplashBidNoticeAbstractUI.aspx?menuIndex=3&amp;refID=7144245&amp;Result=3","7144245")</f>
        <v>0</v>
      </c>
      <c r="B7543" t="s">
        <v>2529</v>
      </c>
      <c r="C7543" t="s">
        <v>10918</v>
      </c>
      <c r="D7543" t="s">
        <v>17952</v>
      </c>
      <c r="E7543" t="s">
        <v>24658</v>
      </c>
      <c r="F7543" t="s">
        <v>30900</v>
      </c>
      <c r="G7543" t="s">
        <v>30907</v>
      </c>
      <c r="H7543" t="s">
        <v>30916</v>
      </c>
      <c r="I7543" t="s">
        <v>30933</v>
      </c>
      <c r="J7543" t="s">
        <v>32560</v>
      </c>
      <c r="K7543" t="s">
        <v>40286</v>
      </c>
      <c r="M7543" t="s">
        <v>43281</v>
      </c>
      <c r="N7543" t="s">
        <v>44759</v>
      </c>
      <c r="O7543" t="s">
        <v>44760</v>
      </c>
      <c r="P7543">
        <v>0</v>
      </c>
      <c r="Q7543">
        <v>2</v>
      </c>
      <c r="R7543" t="s">
        <v>44767</v>
      </c>
      <c r="S7543" t="s">
        <v>44954</v>
      </c>
      <c r="T7543" t="s">
        <v>46715</v>
      </c>
      <c r="U7543" t="s">
        <v>53241</v>
      </c>
      <c r="W7543" t="s">
        <v>43281</v>
      </c>
      <c r="X7543" t="s">
        <v>44768</v>
      </c>
    </row>
    <row r="7544" spans="1:24">
      <c r="A7544">
        <f>HYPERLINK("https://www.philgeps.gov.ph/GEPSNONPILOT/Tender/SplashBidNoticeAbstractUI.aspx?menuIndex=3&amp;refID=7144034&amp;Result=3","7144034")</f>
        <v>0</v>
      </c>
      <c r="B7544" t="s">
        <v>2519</v>
      </c>
      <c r="C7544" t="s">
        <v>10919</v>
      </c>
      <c r="D7544" t="s">
        <v>18012</v>
      </c>
      <c r="E7544" t="s">
        <v>24659</v>
      </c>
      <c r="F7544" t="s">
        <v>30900</v>
      </c>
      <c r="G7544" t="s">
        <v>30907</v>
      </c>
      <c r="H7544" t="s">
        <v>30916</v>
      </c>
      <c r="I7544" t="s">
        <v>30942</v>
      </c>
      <c r="J7544" t="s">
        <v>35842</v>
      </c>
      <c r="K7544" t="s">
        <v>40289</v>
      </c>
      <c r="M7544" t="s">
        <v>43266</v>
      </c>
      <c r="N7544" t="s">
        <v>44759</v>
      </c>
      <c r="O7544" t="s">
        <v>44760</v>
      </c>
      <c r="P7544">
        <v>0</v>
      </c>
      <c r="Q7544">
        <v>0</v>
      </c>
      <c r="R7544" t="s">
        <v>44767</v>
      </c>
      <c r="S7544" t="s">
        <v>44954</v>
      </c>
      <c r="T7544" t="s">
        <v>46531</v>
      </c>
      <c r="U7544" t="s">
        <v>53242</v>
      </c>
      <c r="W7544" t="s">
        <v>43266</v>
      </c>
      <c r="X7544" t="s">
        <v>44768</v>
      </c>
    </row>
    <row r="7545" spans="1:24">
      <c r="A7545">
        <f>HYPERLINK("https://www.philgeps.gov.ph/GEPSNONPILOT/Tender/SplashBidNoticeAbstractUI.aspx?menuIndex=3&amp;refID=7144032&amp;Result=3","7144032")</f>
        <v>0</v>
      </c>
      <c r="B7545" t="s">
        <v>180</v>
      </c>
      <c r="C7545" t="s">
        <v>10920</v>
      </c>
      <c r="D7545" t="s">
        <v>17987</v>
      </c>
      <c r="E7545" t="s">
        <v>24660</v>
      </c>
      <c r="F7545" t="s">
        <v>30900</v>
      </c>
      <c r="G7545" t="s">
        <v>30907</v>
      </c>
      <c r="H7545" t="s">
        <v>30916</v>
      </c>
      <c r="I7545" t="s">
        <v>8123</v>
      </c>
      <c r="J7545" t="s">
        <v>32301</v>
      </c>
      <c r="K7545" t="s">
        <v>40284</v>
      </c>
      <c r="M7545" t="s">
        <v>40727</v>
      </c>
      <c r="N7545" t="s">
        <v>44759</v>
      </c>
      <c r="O7545" t="s">
        <v>44760</v>
      </c>
      <c r="P7545">
        <v>0</v>
      </c>
      <c r="Q7545">
        <v>0</v>
      </c>
      <c r="R7545" t="s">
        <v>44767</v>
      </c>
      <c r="S7545" t="s">
        <v>44954</v>
      </c>
      <c r="T7545" t="s">
        <v>46533</v>
      </c>
      <c r="U7545" t="s">
        <v>53243</v>
      </c>
      <c r="W7545" t="s">
        <v>40727</v>
      </c>
      <c r="X7545" t="s">
        <v>44768</v>
      </c>
    </row>
    <row r="7546" spans="1:24">
      <c r="A7546">
        <f>HYPERLINK("https://www.philgeps.gov.ph/GEPSNONPILOT/Tender/SplashBidNoticeAbstractUI.aspx?menuIndex=3&amp;refID=7144030&amp;Result=3","7144030")</f>
        <v>0</v>
      </c>
      <c r="B7546" t="s">
        <v>507</v>
      </c>
      <c r="C7546" t="s">
        <v>10921</v>
      </c>
      <c r="D7546" t="s">
        <v>18005</v>
      </c>
      <c r="E7546" t="s">
        <v>24661</v>
      </c>
      <c r="F7546" t="s">
        <v>30900</v>
      </c>
      <c r="G7546" t="s">
        <v>30907</v>
      </c>
      <c r="H7546" t="s">
        <v>30916</v>
      </c>
      <c r="I7546" t="s">
        <v>30933</v>
      </c>
      <c r="J7546" t="s">
        <v>35843</v>
      </c>
      <c r="K7546" t="s">
        <v>40286</v>
      </c>
      <c r="M7546" t="s">
        <v>41067</v>
      </c>
      <c r="N7546" t="s">
        <v>44759</v>
      </c>
      <c r="O7546" t="s">
        <v>44760</v>
      </c>
      <c r="P7546">
        <v>0</v>
      </c>
      <c r="Q7546">
        <v>1</v>
      </c>
      <c r="R7546" t="s">
        <v>44767</v>
      </c>
      <c r="S7546" t="s">
        <v>44954</v>
      </c>
      <c r="T7546" t="s">
        <v>46397</v>
      </c>
      <c r="U7546" t="s">
        <v>53244</v>
      </c>
      <c r="V7546" t="s">
        <v>59931</v>
      </c>
      <c r="W7546" t="s">
        <v>60845</v>
      </c>
      <c r="X7546" t="s">
        <v>44768</v>
      </c>
    </row>
    <row r="7547" spans="1:24">
      <c r="A7547">
        <f>HYPERLINK("https://www.philgeps.gov.ph/GEPSNONPILOT/Tender/SplashBidNoticeAbstractUI.aspx?menuIndex=3&amp;refID=7143993&amp;Result=3","7143993")</f>
        <v>0</v>
      </c>
      <c r="B7547" t="s">
        <v>2152</v>
      </c>
      <c r="C7547" t="s">
        <v>10922</v>
      </c>
      <c r="D7547" t="s">
        <v>18019</v>
      </c>
      <c r="E7547" t="s">
        <v>24662</v>
      </c>
      <c r="F7547" t="s">
        <v>30900</v>
      </c>
      <c r="G7547" t="s">
        <v>30907</v>
      </c>
      <c r="H7547" t="s">
        <v>30915</v>
      </c>
      <c r="I7547" t="s">
        <v>30919</v>
      </c>
      <c r="J7547" t="s">
        <v>35844</v>
      </c>
      <c r="K7547" t="s">
        <v>40443</v>
      </c>
      <c r="M7547" t="s">
        <v>43265</v>
      </c>
      <c r="N7547" t="s">
        <v>44759</v>
      </c>
      <c r="O7547" t="s">
        <v>44760</v>
      </c>
      <c r="P7547">
        <v>0</v>
      </c>
      <c r="Q7547">
        <v>0</v>
      </c>
      <c r="R7547" t="s">
        <v>44767</v>
      </c>
      <c r="S7547" t="s">
        <v>44954</v>
      </c>
      <c r="T7547" t="s">
        <v>46616</v>
      </c>
      <c r="U7547" t="s">
        <v>53245</v>
      </c>
      <c r="W7547" t="s">
        <v>43265</v>
      </c>
      <c r="X7547" t="s">
        <v>44768</v>
      </c>
    </row>
    <row r="7548" spans="1:24">
      <c r="A7548">
        <f>HYPERLINK("https://www.philgeps.gov.ph/GEPSNONPILOT/Tender/SplashBidNoticeAbstractUI.aspx?menuIndex=3&amp;refID=7143992&amp;Result=3","7143992")</f>
        <v>0</v>
      </c>
      <c r="B7548" t="s">
        <v>180</v>
      </c>
      <c r="C7548" t="s">
        <v>10923</v>
      </c>
      <c r="D7548" t="s">
        <v>17987</v>
      </c>
      <c r="E7548" t="s">
        <v>24663</v>
      </c>
      <c r="F7548" t="s">
        <v>30900</v>
      </c>
      <c r="G7548" t="s">
        <v>30907</v>
      </c>
      <c r="H7548" t="s">
        <v>30916</v>
      </c>
      <c r="I7548" t="s">
        <v>8123</v>
      </c>
      <c r="J7548" t="s">
        <v>35845</v>
      </c>
      <c r="K7548" t="s">
        <v>40284</v>
      </c>
      <c r="M7548" t="s">
        <v>40727</v>
      </c>
      <c r="N7548" t="s">
        <v>44759</v>
      </c>
      <c r="O7548" t="s">
        <v>44760</v>
      </c>
      <c r="P7548">
        <v>0</v>
      </c>
      <c r="Q7548">
        <v>0</v>
      </c>
      <c r="R7548" t="s">
        <v>44767</v>
      </c>
      <c r="S7548" t="s">
        <v>44954</v>
      </c>
      <c r="T7548" t="s">
        <v>46533</v>
      </c>
      <c r="U7548" t="s">
        <v>53246</v>
      </c>
      <c r="W7548" t="s">
        <v>40727</v>
      </c>
      <c r="X7548" t="s">
        <v>44768</v>
      </c>
    </row>
    <row r="7549" spans="1:24">
      <c r="A7549">
        <f>HYPERLINK("https://www.philgeps.gov.ph/GEPSNONPILOT/Tender/SplashBidNoticeAbstractUI.aspx?menuIndex=3&amp;refID=7143945&amp;Result=3","7143945")</f>
        <v>0</v>
      </c>
      <c r="B7549" t="s">
        <v>1545</v>
      </c>
      <c r="C7549" t="s">
        <v>10924</v>
      </c>
      <c r="D7549" t="s">
        <v>17987</v>
      </c>
      <c r="E7549" t="s">
        <v>24664</v>
      </c>
      <c r="F7549" t="s">
        <v>30900</v>
      </c>
      <c r="G7549" t="s">
        <v>30907</v>
      </c>
      <c r="H7549" t="s">
        <v>30916</v>
      </c>
      <c r="I7549" t="s">
        <v>4142</v>
      </c>
      <c r="J7549" t="s">
        <v>35846</v>
      </c>
      <c r="K7549" t="s">
        <v>40289</v>
      </c>
      <c r="M7549" t="s">
        <v>42189</v>
      </c>
      <c r="N7549" t="s">
        <v>44759</v>
      </c>
      <c r="O7549" t="s">
        <v>44760</v>
      </c>
      <c r="P7549">
        <v>0</v>
      </c>
      <c r="Q7549">
        <v>1</v>
      </c>
      <c r="R7549" t="s">
        <v>44767</v>
      </c>
      <c r="S7549" t="s">
        <v>44954</v>
      </c>
      <c r="T7549" t="s">
        <v>46421</v>
      </c>
      <c r="U7549" t="s">
        <v>52656</v>
      </c>
      <c r="W7549" t="s">
        <v>42189</v>
      </c>
      <c r="X7549" t="s">
        <v>44768</v>
      </c>
    </row>
    <row r="7550" spans="1:24">
      <c r="A7550">
        <f>HYPERLINK("https://www.philgeps.gov.ph/GEPSNONPILOT/Tender/SplashBidNoticeAbstractUI.aspx?menuIndex=3&amp;refID=7143940&amp;Result=3","7143940")</f>
        <v>0</v>
      </c>
      <c r="B7550" t="s">
        <v>787</v>
      </c>
      <c r="C7550" t="s">
        <v>10925</v>
      </c>
      <c r="D7550" t="s">
        <v>17987</v>
      </c>
      <c r="E7550" t="s">
        <v>24665</v>
      </c>
      <c r="F7550" t="s">
        <v>30900</v>
      </c>
      <c r="G7550" t="s">
        <v>30907</v>
      </c>
      <c r="H7550" t="s">
        <v>30915</v>
      </c>
      <c r="I7550" t="s">
        <v>30919</v>
      </c>
      <c r="J7550" t="s">
        <v>35847</v>
      </c>
      <c r="K7550" t="s">
        <v>40289</v>
      </c>
      <c r="M7550" t="s">
        <v>41356</v>
      </c>
      <c r="N7550" t="s">
        <v>44759</v>
      </c>
      <c r="O7550" t="s">
        <v>44760</v>
      </c>
      <c r="P7550">
        <v>0</v>
      </c>
      <c r="Q7550">
        <v>0</v>
      </c>
      <c r="R7550" t="s">
        <v>44767</v>
      </c>
      <c r="S7550" t="s">
        <v>44954</v>
      </c>
      <c r="T7550" t="s">
        <v>46495</v>
      </c>
      <c r="U7550" t="s">
        <v>53247</v>
      </c>
      <c r="W7550" t="s">
        <v>41356</v>
      </c>
      <c r="X7550" t="s">
        <v>44768</v>
      </c>
    </row>
    <row r="7551" spans="1:24">
      <c r="A7551">
        <f>HYPERLINK("https://www.philgeps.gov.ph/GEPSNONPILOT/Tender/SplashBidNoticeAbstractUI.aspx?menuIndex=3&amp;refID=7144201&amp;Result=3","7144201")</f>
        <v>0</v>
      </c>
      <c r="B7551" t="s">
        <v>2299</v>
      </c>
      <c r="C7551" t="s">
        <v>10926</v>
      </c>
      <c r="D7551" t="s">
        <v>17998</v>
      </c>
      <c r="E7551" t="s">
        <v>24666</v>
      </c>
      <c r="F7551" t="s">
        <v>30900</v>
      </c>
      <c r="G7551" t="s">
        <v>30907</v>
      </c>
      <c r="H7551" t="s">
        <v>30916</v>
      </c>
      <c r="I7551" t="s">
        <v>6746</v>
      </c>
      <c r="J7551" t="s">
        <v>35848</v>
      </c>
      <c r="K7551" t="s">
        <v>40287</v>
      </c>
      <c r="M7551" t="s">
        <v>43014</v>
      </c>
      <c r="N7551" t="s">
        <v>44759</v>
      </c>
      <c r="O7551" t="s">
        <v>44760</v>
      </c>
      <c r="P7551">
        <v>0</v>
      </c>
      <c r="Q7551">
        <v>1</v>
      </c>
      <c r="R7551" t="s">
        <v>44767</v>
      </c>
      <c r="S7551" t="s">
        <v>44954</v>
      </c>
      <c r="T7551" t="s">
        <v>46548</v>
      </c>
      <c r="U7551" t="s">
        <v>53248</v>
      </c>
      <c r="W7551" t="s">
        <v>43014</v>
      </c>
      <c r="X7551" t="s">
        <v>44768</v>
      </c>
    </row>
    <row r="7552" spans="1:24">
      <c r="A7552">
        <f>HYPERLINK("https://www.philgeps.gov.ph/GEPSNONPILOT/Tender/SplashBidNoticeAbstractUI.aspx?menuIndex=3&amp;refID=7143932&amp;Result=3","7143932")</f>
        <v>0</v>
      </c>
      <c r="B7552" t="s">
        <v>1318</v>
      </c>
      <c r="C7552" t="s">
        <v>10927</v>
      </c>
      <c r="D7552" t="s">
        <v>18007</v>
      </c>
      <c r="E7552" t="s">
        <v>24667</v>
      </c>
      <c r="F7552" t="s">
        <v>30900</v>
      </c>
      <c r="G7552" t="s">
        <v>30907</v>
      </c>
      <c r="H7552" t="s">
        <v>30915</v>
      </c>
      <c r="I7552" t="s">
        <v>30919</v>
      </c>
      <c r="J7552" t="s">
        <v>35849</v>
      </c>
      <c r="K7552" t="s">
        <v>40286</v>
      </c>
      <c r="M7552" t="s">
        <v>41936</v>
      </c>
      <c r="N7552" t="s">
        <v>44759</v>
      </c>
      <c r="O7552" t="s">
        <v>44760</v>
      </c>
      <c r="P7552">
        <v>0</v>
      </c>
      <c r="Q7552">
        <v>1</v>
      </c>
      <c r="R7552" t="s">
        <v>44767</v>
      </c>
      <c r="S7552" t="s">
        <v>44954</v>
      </c>
      <c r="T7552" t="s">
        <v>46357</v>
      </c>
      <c r="U7552" t="s">
        <v>53249</v>
      </c>
      <c r="V7552" t="s">
        <v>59932</v>
      </c>
      <c r="W7552" t="s">
        <v>41936</v>
      </c>
      <c r="X7552" t="s">
        <v>44768</v>
      </c>
    </row>
    <row r="7553" spans="1:24">
      <c r="A7553">
        <f>HYPERLINK("https://www.philgeps.gov.ph/GEPSNONPILOT/Tender/SplashBidNoticeAbstractUI.aspx?menuIndex=3&amp;refID=7143890&amp;Result=3","7143890")</f>
        <v>0</v>
      </c>
      <c r="B7553" t="s">
        <v>108</v>
      </c>
      <c r="C7553" t="s">
        <v>10928</v>
      </c>
      <c r="D7553" t="s">
        <v>17952</v>
      </c>
      <c r="E7553" t="s">
        <v>24668</v>
      </c>
      <c r="F7553" t="s">
        <v>30900</v>
      </c>
      <c r="G7553" t="s">
        <v>30907</v>
      </c>
      <c r="H7553" t="s">
        <v>30916</v>
      </c>
      <c r="I7553" t="s">
        <v>4545</v>
      </c>
      <c r="J7553" t="s">
        <v>31126</v>
      </c>
      <c r="K7553" t="s">
        <v>40291</v>
      </c>
      <c r="L7553" t="s">
        <v>108</v>
      </c>
      <c r="M7553" t="s">
        <v>40655</v>
      </c>
      <c r="N7553" t="s">
        <v>44759</v>
      </c>
      <c r="O7553" t="s">
        <v>44760</v>
      </c>
      <c r="P7553">
        <v>0</v>
      </c>
      <c r="Q7553">
        <v>9</v>
      </c>
      <c r="R7553" t="s">
        <v>44767</v>
      </c>
      <c r="S7553" t="s">
        <v>44954</v>
      </c>
      <c r="T7553" t="s">
        <v>46405</v>
      </c>
      <c r="U7553" t="s">
        <v>53250</v>
      </c>
      <c r="W7553" t="s">
        <v>40655</v>
      </c>
      <c r="X7553" t="s">
        <v>44768</v>
      </c>
    </row>
    <row r="7554" spans="1:24">
      <c r="A7554">
        <f>HYPERLINK("https://www.philgeps.gov.ph/GEPSNONPILOT/Tender/SplashBidNoticeAbstractUI.aspx?menuIndex=3&amp;refID=7144200&amp;Result=3","7144200")</f>
        <v>0</v>
      </c>
      <c r="B7554" t="s">
        <v>2542</v>
      </c>
      <c r="C7554" t="s">
        <v>10929</v>
      </c>
      <c r="E7554" t="s">
        <v>24669</v>
      </c>
      <c r="F7554" t="s">
        <v>30900</v>
      </c>
      <c r="G7554" t="s">
        <v>30907</v>
      </c>
      <c r="H7554" t="s">
        <v>30916</v>
      </c>
      <c r="I7554" t="s">
        <v>8123</v>
      </c>
      <c r="J7554" t="s">
        <v>35850</v>
      </c>
      <c r="K7554" t="s">
        <v>40289</v>
      </c>
      <c r="M7554" t="s">
        <v>43299</v>
      </c>
      <c r="N7554" t="s">
        <v>44759</v>
      </c>
      <c r="O7554" t="s">
        <v>44760</v>
      </c>
      <c r="P7554">
        <v>0</v>
      </c>
      <c r="Q7554">
        <v>2</v>
      </c>
      <c r="R7554" t="s">
        <v>44767</v>
      </c>
      <c r="S7554" t="s">
        <v>44954</v>
      </c>
      <c r="T7554" t="s">
        <v>46428</v>
      </c>
      <c r="U7554" t="s">
        <v>53231</v>
      </c>
      <c r="W7554" t="s">
        <v>43299</v>
      </c>
      <c r="X7554" t="s">
        <v>44768</v>
      </c>
    </row>
    <row r="7555" spans="1:24">
      <c r="A7555">
        <f>HYPERLINK("https://www.philgeps.gov.ph/GEPSNONPILOT/Tender/SplashBidNoticeAbstractUI.aspx?menuIndex=3&amp;refID=7143887&amp;Result=3","7143887")</f>
        <v>0</v>
      </c>
      <c r="B7555" t="s">
        <v>2171</v>
      </c>
      <c r="C7555" t="s">
        <v>10930</v>
      </c>
      <c r="D7555" t="s">
        <v>17995</v>
      </c>
      <c r="E7555" t="s">
        <v>24670</v>
      </c>
      <c r="F7555" t="s">
        <v>30900</v>
      </c>
      <c r="G7555" t="s">
        <v>30907</v>
      </c>
      <c r="H7555" t="s">
        <v>30916</v>
      </c>
      <c r="I7555" t="s">
        <v>30939</v>
      </c>
      <c r="J7555" t="s">
        <v>35851</v>
      </c>
      <c r="K7555" t="s">
        <v>40289</v>
      </c>
      <c r="L7555" t="s">
        <v>2171</v>
      </c>
      <c r="M7555" t="s">
        <v>42876</v>
      </c>
      <c r="N7555" t="s">
        <v>44759</v>
      </c>
      <c r="O7555" t="s">
        <v>44760</v>
      </c>
      <c r="P7555">
        <v>0</v>
      </c>
      <c r="Q7555">
        <v>0</v>
      </c>
      <c r="R7555" t="s">
        <v>44767</v>
      </c>
      <c r="S7555" t="s">
        <v>44954</v>
      </c>
      <c r="T7555" t="s">
        <v>46391</v>
      </c>
      <c r="U7555" t="s">
        <v>53251</v>
      </c>
      <c r="W7555" t="s">
        <v>42876</v>
      </c>
      <c r="X7555" t="s">
        <v>44768</v>
      </c>
    </row>
    <row r="7556" spans="1:24">
      <c r="A7556">
        <f>HYPERLINK("https://www.philgeps.gov.ph/GEPSNONPILOT/Tender/SplashBidNoticeAbstractUI.aspx?menuIndex=3&amp;refID=7143884&amp;Result=3","7143884")</f>
        <v>0</v>
      </c>
      <c r="B7556" t="s">
        <v>2459</v>
      </c>
      <c r="C7556" t="s">
        <v>10931</v>
      </c>
      <c r="D7556" t="s">
        <v>18001</v>
      </c>
      <c r="E7556" t="s">
        <v>24671</v>
      </c>
      <c r="F7556" t="s">
        <v>30900</v>
      </c>
      <c r="G7556" t="s">
        <v>30909</v>
      </c>
      <c r="H7556" t="s">
        <v>30916</v>
      </c>
      <c r="I7556" t="s">
        <v>4142</v>
      </c>
      <c r="J7556" t="s">
        <v>35852</v>
      </c>
      <c r="K7556" t="s">
        <v>40287</v>
      </c>
      <c r="M7556" t="s">
        <v>43196</v>
      </c>
      <c r="N7556" t="s">
        <v>44759</v>
      </c>
      <c r="O7556" t="s">
        <v>44760</v>
      </c>
      <c r="P7556">
        <v>0</v>
      </c>
      <c r="Q7556">
        <v>2</v>
      </c>
      <c r="R7556" t="s">
        <v>44767</v>
      </c>
      <c r="S7556" t="s">
        <v>44954</v>
      </c>
      <c r="T7556" t="s">
        <v>46533</v>
      </c>
      <c r="U7556" t="s">
        <v>53252</v>
      </c>
      <c r="V7556" t="s">
        <v>59884</v>
      </c>
      <c r="W7556" t="s">
        <v>43196</v>
      </c>
      <c r="X7556" t="s">
        <v>44768</v>
      </c>
    </row>
    <row r="7557" spans="1:24">
      <c r="A7557">
        <f>HYPERLINK("https://www.philgeps.gov.ph/GEPSNONPILOT/Tender/SplashBidNoticeAbstractUI.aspx?menuIndex=3&amp;refID=7143880&amp;Result=3","7143880")</f>
        <v>0</v>
      </c>
      <c r="B7557" t="s">
        <v>223</v>
      </c>
      <c r="C7557" t="s">
        <v>10932</v>
      </c>
      <c r="D7557" t="s">
        <v>18002</v>
      </c>
      <c r="E7557" t="s">
        <v>24672</v>
      </c>
      <c r="F7557" t="s">
        <v>30900</v>
      </c>
      <c r="G7557" t="s">
        <v>30908</v>
      </c>
      <c r="H7557" t="s">
        <v>30916</v>
      </c>
      <c r="I7557" t="s">
        <v>30919</v>
      </c>
      <c r="J7557" t="s">
        <v>35853</v>
      </c>
      <c r="K7557" t="s">
        <v>40289</v>
      </c>
      <c r="M7557" t="s">
        <v>40770</v>
      </c>
      <c r="N7557" t="s">
        <v>44759</v>
      </c>
      <c r="O7557" t="s">
        <v>44760</v>
      </c>
      <c r="Q7557">
        <v>1</v>
      </c>
      <c r="R7557" t="s">
        <v>44767</v>
      </c>
      <c r="S7557" t="s">
        <v>44966</v>
      </c>
      <c r="T7557" t="s">
        <v>46357</v>
      </c>
      <c r="U7557" t="s">
        <v>47286</v>
      </c>
      <c r="W7557" t="s">
        <v>40770</v>
      </c>
      <c r="X7557" t="s">
        <v>44768</v>
      </c>
    </row>
    <row r="7558" spans="1:24">
      <c r="A7558">
        <f>HYPERLINK("https://www.philgeps.gov.ph/GEPSNONPILOT/Tender/SplashBidNoticeAbstractUI.aspx?menuIndex=3&amp;refID=7143943&amp;Result=3","7143943")</f>
        <v>0</v>
      </c>
      <c r="B7558" t="s">
        <v>753</v>
      </c>
      <c r="C7558" t="s">
        <v>10933</v>
      </c>
      <c r="D7558" t="s">
        <v>17976</v>
      </c>
      <c r="E7558" t="s">
        <v>24673</v>
      </c>
      <c r="F7558" t="s">
        <v>30900</v>
      </c>
      <c r="G7558" t="s">
        <v>30906</v>
      </c>
      <c r="H7558" t="s">
        <v>30916</v>
      </c>
      <c r="I7558" t="s">
        <v>9385</v>
      </c>
      <c r="J7558" t="s">
        <v>35854</v>
      </c>
      <c r="K7558" t="s">
        <v>40284</v>
      </c>
      <c r="L7558" t="s">
        <v>753</v>
      </c>
      <c r="M7558" t="s">
        <v>41317</v>
      </c>
      <c r="N7558" t="s">
        <v>44759</v>
      </c>
      <c r="O7558" t="s">
        <v>44760</v>
      </c>
      <c r="P7558">
        <v>0</v>
      </c>
      <c r="Q7558">
        <v>11</v>
      </c>
      <c r="R7558" t="s">
        <v>44767</v>
      </c>
      <c r="S7558" t="s">
        <v>44954</v>
      </c>
      <c r="T7558" t="s">
        <v>46403</v>
      </c>
      <c r="U7558" t="s">
        <v>53253</v>
      </c>
      <c r="V7558" t="s">
        <v>59295</v>
      </c>
      <c r="W7558" t="s">
        <v>41317</v>
      </c>
      <c r="X7558" t="s">
        <v>44768</v>
      </c>
    </row>
    <row r="7559" spans="1:24">
      <c r="A7559">
        <f>HYPERLINK("https://www.philgeps.gov.ph/GEPSNONPILOT/Tender/SplashBidNoticeAbstractUI.aspx?menuIndex=3&amp;refID=7143881&amp;Result=3","7143881")</f>
        <v>0</v>
      </c>
      <c r="B7559" t="s">
        <v>883</v>
      </c>
      <c r="C7559" t="s">
        <v>10934</v>
      </c>
      <c r="D7559" t="s">
        <v>17951</v>
      </c>
      <c r="E7559" t="s">
        <v>24674</v>
      </c>
      <c r="F7559" t="s">
        <v>30900</v>
      </c>
      <c r="G7559" t="s">
        <v>30909</v>
      </c>
      <c r="H7559" t="s">
        <v>30916</v>
      </c>
      <c r="I7559" t="s">
        <v>30949</v>
      </c>
      <c r="J7559" t="s">
        <v>31952</v>
      </c>
      <c r="K7559" t="s">
        <v>40286</v>
      </c>
      <c r="M7559" t="s">
        <v>41456</v>
      </c>
      <c r="N7559" t="s">
        <v>44759</v>
      </c>
      <c r="O7559" t="s">
        <v>44760</v>
      </c>
      <c r="P7559">
        <v>0</v>
      </c>
      <c r="Q7559">
        <v>0</v>
      </c>
      <c r="R7559" t="s">
        <v>44767</v>
      </c>
      <c r="S7559" t="s">
        <v>44954</v>
      </c>
      <c r="T7559" t="s">
        <v>46658</v>
      </c>
      <c r="U7559" t="s">
        <v>53254</v>
      </c>
      <c r="W7559" t="s">
        <v>41456</v>
      </c>
      <c r="X7559" t="s">
        <v>44768</v>
      </c>
    </row>
    <row r="7560" spans="1:24">
      <c r="A7560">
        <f>HYPERLINK("https://www.philgeps.gov.ph/GEPSNONPILOT/Tender/SplashBidNoticeAbstractUI.aspx?menuIndex=3&amp;refID=7144125&amp;Result=3","7144125")</f>
        <v>0</v>
      </c>
      <c r="B7560" t="s">
        <v>459</v>
      </c>
      <c r="C7560" t="s">
        <v>10935</v>
      </c>
      <c r="D7560" t="s">
        <v>17978</v>
      </c>
      <c r="E7560" t="s">
        <v>24675</v>
      </c>
      <c r="F7560" t="s">
        <v>30900</v>
      </c>
      <c r="G7560" t="s">
        <v>30907</v>
      </c>
      <c r="H7560" t="s">
        <v>30915</v>
      </c>
      <c r="I7560" t="s">
        <v>30919</v>
      </c>
      <c r="J7560" t="s">
        <v>35855</v>
      </c>
      <c r="K7560" t="s">
        <v>40300</v>
      </c>
      <c r="M7560" t="s">
        <v>41017</v>
      </c>
      <c r="N7560" t="s">
        <v>44759</v>
      </c>
      <c r="O7560" t="s">
        <v>44760</v>
      </c>
      <c r="P7560">
        <v>0</v>
      </c>
      <c r="Q7560">
        <v>1</v>
      </c>
      <c r="R7560" t="s">
        <v>44767</v>
      </c>
      <c r="S7560" t="s">
        <v>44954</v>
      </c>
      <c r="T7560" t="s">
        <v>46363</v>
      </c>
      <c r="U7560" t="s">
        <v>53106</v>
      </c>
      <c r="W7560" t="s">
        <v>41017</v>
      </c>
      <c r="X7560" t="s">
        <v>44768</v>
      </c>
    </row>
    <row r="7561" spans="1:24">
      <c r="A7561">
        <f>HYPERLINK("https://www.philgeps.gov.ph/GEPSNONPILOT/Tender/SplashBidNoticeAbstractUI.aspx?menuIndex=3&amp;refID=7144270&amp;Result=3","7144270")</f>
        <v>0</v>
      </c>
      <c r="B7561" t="s">
        <v>2529</v>
      </c>
      <c r="C7561" t="s">
        <v>10936</v>
      </c>
      <c r="D7561" t="s">
        <v>17952</v>
      </c>
      <c r="E7561" t="s">
        <v>24676</v>
      </c>
      <c r="F7561" t="s">
        <v>30900</v>
      </c>
      <c r="G7561" t="s">
        <v>30907</v>
      </c>
      <c r="H7561" t="s">
        <v>30916</v>
      </c>
      <c r="I7561" t="s">
        <v>30934</v>
      </c>
      <c r="J7561" t="s">
        <v>35856</v>
      </c>
      <c r="K7561" t="s">
        <v>40286</v>
      </c>
      <c r="M7561" t="s">
        <v>43281</v>
      </c>
      <c r="N7561" t="s">
        <v>44759</v>
      </c>
      <c r="O7561" t="s">
        <v>44760</v>
      </c>
      <c r="P7561">
        <v>0</v>
      </c>
      <c r="Q7561">
        <v>1</v>
      </c>
      <c r="R7561" t="s">
        <v>44767</v>
      </c>
      <c r="S7561" t="s">
        <v>44954</v>
      </c>
      <c r="T7561" t="s">
        <v>46715</v>
      </c>
      <c r="U7561" t="s">
        <v>53255</v>
      </c>
      <c r="W7561" t="s">
        <v>43281</v>
      </c>
      <c r="X7561" t="s">
        <v>44768</v>
      </c>
    </row>
    <row r="7562" spans="1:24">
      <c r="A7562">
        <f>HYPERLINK("https://www.philgeps.gov.ph/GEPSNONPILOT/Tender/SplashBidNoticeAbstractUI.aspx?menuIndex=3&amp;refID=7144251&amp;Result=3","7144251")</f>
        <v>0</v>
      </c>
      <c r="B7562" t="s">
        <v>2534</v>
      </c>
      <c r="C7562" t="s">
        <v>10937</v>
      </c>
      <c r="D7562" t="s">
        <v>17992</v>
      </c>
      <c r="E7562" t="s">
        <v>24677</v>
      </c>
      <c r="F7562" t="s">
        <v>30900</v>
      </c>
      <c r="G7562" t="s">
        <v>30907</v>
      </c>
      <c r="H7562" t="s">
        <v>30916</v>
      </c>
      <c r="I7562" t="s">
        <v>8123</v>
      </c>
      <c r="J7562" t="s">
        <v>35857</v>
      </c>
      <c r="K7562" t="s">
        <v>40291</v>
      </c>
      <c r="M7562" t="s">
        <v>43290</v>
      </c>
      <c r="N7562" t="s">
        <v>44759</v>
      </c>
      <c r="O7562" t="s">
        <v>44760</v>
      </c>
      <c r="P7562">
        <v>0</v>
      </c>
      <c r="Q7562">
        <v>0</v>
      </c>
      <c r="R7562" t="s">
        <v>44767</v>
      </c>
      <c r="S7562" t="s">
        <v>44954</v>
      </c>
      <c r="T7562" t="s">
        <v>46366</v>
      </c>
      <c r="U7562" t="s">
        <v>53256</v>
      </c>
      <c r="W7562" t="s">
        <v>43290</v>
      </c>
      <c r="X7562" t="s">
        <v>44768</v>
      </c>
    </row>
    <row r="7563" spans="1:24">
      <c r="A7563">
        <f>HYPERLINK("https://www.philgeps.gov.ph/GEPSNONPILOT/Tender/SplashBidNoticeAbstractUI.aspx?menuIndex=3&amp;refID=7144269&amp;Result=3","7144269")</f>
        <v>0</v>
      </c>
      <c r="B7563" t="s">
        <v>2543</v>
      </c>
      <c r="C7563" t="s">
        <v>10938</v>
      </c>
      <c r="D7563" t="s">
        <v>18014</v>
      </c>
      <c r="E7563" t="s">
        <v>24678</v>
      </c>
      <c r="F7563" t="s">
        <v>30900</v>
      </c>
      <c r="G7563" t="s">
        <v>30910</v>
      </c>
      <c r="H7563" t="s">
        <v>30916</v>
      </c>
      <c r="I7563" t="s">
        <v>4142</v>
      </c>
      <c r="J7563" t="s">
        <v>31179</v>
      </c>
      <c r="K7563" t="s">
        <v>40286</v>
      </c>
      <c r="M7563" t="s">
        <v>43300</v>
      </c>
      <c r="N7563" t="s">
        <v>44759</v>
      </c>
      <c r="O7563" t="s">
        <v>44760</v>
      </c>
      <c r="P7563">
        <v>0</v>
      </c>
      <c r="Q7563">
        <v>1</v>
      </c>
      <c r="R7563" t="s">
        <v>44767</v>
      </c>
      <c r="S7563" t="s">
        <v>44954</v>
      </c>
      <c r="T7563" t="s">
        <v>46612</v>
      </c>
      <c r="U7563" t="s">
        <v>53238</v>
      </c>
      <c r="W7563" t="s">
        <v>43300</v>
      </c>
      <c r="X7563" t="s">
        <v>44768</v>
      </c>
    </row>
    <row r="7564" spans="1:24">
      <c r="A7564">
        <f>HYPERLINK("https://www.philgeps.gov.ph/GEPSNONPILOT/Tender/SplashBidNoticeAbstractUI.aspx?menuIndex=3&amp;refID=7144266&amp;Result=3","7144266")</f>
        <v>0</v>
      </c>
      <c r="B7564" t="s">
        <v>2546</v>
      </c>
      <c r="C7564" t="s">
        <v>10939</v>
      </c>
      <c r="D7564" t="s">
        <v>18011</v>
      </c>
      <c r="E7564" t="s">
        <v>24679</v>
      </c>
      <c r="F7564" t="s">
        <v>30900</v>
      </c>
      <c r="G7564" t="s">
        <v>30907</v>
      </c>
      <c r="H7564" t="s">
        <v>30915</v>
      </c>
      <c r="I7564" t="s">
        <v>30919</v>
      </c>
      <c r="J7564" t="s">
        <v>34657</v>
      </c>
      <c r="K7564" t="s">
        <v>40304</v>
      </c>
      <c r="M7564" t="s">
        <v>43303</v>
      </c>
      <c r="N7564" t="s">
        <v>44759</v>
      </c>
      <c r="O7564" t="s">
        <v>44760</v>
      </c>
      <c r="P7564">
        <v>0</v>
      </c>
      <c r="Q7564">
        <v>1</v>
      </c>
      <c r="R7564" t="s">
        <v>44767</v>
      </c>
      <c r="S7564" t="s">
        <v>44954</v>
      </c>
      <c r="T7564" t="s">
        <v>46757</v>
      </c>
      <c r="U7564" t="s">
        <v>53257</v>
      </c>
      <c r="W7564" t="s">
        <v>43303</v>
      </c>
      <c r="X7564" t="s">
        <v>44768</v>
      </c>
    </row>
    <row r="7565" spans="1:24">
      <c r="A7565">
        <f>HYPERLINK("https://www.philgeps.gov.ph/GEPSNONPILOT/Tender/SplashBidNoticeAbstractUI.aspx?menuIndex=3&amp;refID=7144264&amp;Result=3","7144264")</f>
        <v>0</v>
      </c>
      <c r="B7565" t="s">
        <v>2036</v>
      </c>
      <c r="C7565" t="s">
        <v>10940</v>
      </c>
      <c r="D7565" t="s">
        <v>17959</v>
      </c>
      <c r="E7565" t="s">
        <v>24680</v>
      </c>
      <c r="F7565" t="s">
        <v>30900</v>
      </c>
      <c r="G7565" t="s">
        <v>30908</v>
      </c>
      <c r="H7565" t="s">
        <v>30916</v>
      </c>
      <c r="I7565" t="s">
        <v>4545</v>
      </c>
      <c r="J7565" t="s">
        <v>32438</v>
      </c>
      <c r="K7565" t="s">
        <v>40283</v>
      </c>
      <c r="M7565" t="s">
        <v>42733</v>
      </c>
      <c r="N7565" t="s">
        <v>44759</v>
      </c>
      <c r="O7565" t="s">
        <v>44760</v>
      </c>
      <c r="P7565">
        <v>0</v>
      </c>
      <c r="Q7565">
        <v>6</v>
      </c>
      <c r="R7565" t="s">
        <v>44767</v>
      </c>
      <c r="S7565" t="s">
        <v>44954</v>
      </c>
      <c r="T7565" t="s">
        <v>46410</v>
      </c>
      <c r="U7565" t="s">
        <v>51694</v>
      </c>
      <c r="W7565" t="s">
        <v>42733</v>
      </c>
      <c r="X7565" t="s">
        <v>44768</v>
      </c>
    </row>
    <row r="7566" spans="1:24">
      <c r="A7566">
        <f>HYPERLINK("https://www.philgeps.gov.ph/GEPSNONPILOT/Tender/SplashBidNoticeAbstractUI.aspx?menuIndex=3&amp;refID=7144263&amp;Result=3","7144263")</f>
        <v>0</v>
      </c>
      <c r="B7566" t="s">
        <v>2547</v>
      </c>
      <c r="C7566" t="s">
        <v>10941</v>
      </c>
      <c r="D7566" t="s">
        <v>17973</v>
      </c>
      <c r="E7566" t="s">
        <v>18565</v>
      </c>
      <c r="F7566" t="s">
        <v>30900</v>
      </c>
      <c r="G7566" t="s">
        <v>30907</v>
      </c>
      <c r="H7566" t="s">
        <v>30916</v>
      </c>
      <c r="I7566" t="s">
        <v>30947</v>
      </c>
      <c r="J7566" t="s">
        <v>35858</v>
      </c>
      <c r="K7566" t="s">
        <v>40288</v>
      </c>
      <c r="M7566" t="s">
        <v>43304</v>
      </c>
      <c r="N7566" t="s">
        <v>44759</v>
      </c>
      <c r="O7566" t="s">
        <v>44760</v>
      </c>
      <c r="P7566">
        <v>0</v>
      </c>
      <c r="Q7566">
        <v>1</v>
      </c>
      <c r="R7566" t="s">
        <v>44767</v>
      </c>
      <c r="S7566" t="s">
        <v>44954</v>
      </c>
      <c r="T7566" t="s">
        <v>46383</v>
      </c>
      <c r="U7566" t="s">
        <v>53258</v>
      </c>
      <c r="W7566" t="s">
        <v>43304</v>
      </c>
      <c r="X7566" t="s">
        <v>44768</v>
      </c>
    </row>
    <row r="7567" spans="1:24">
      <c r="A7567">
        <f>HYPERLINK("https://www.philgeps.gov.ph/GEPSNONPILOT/Tender/SplashBidNoticeAbstractUI.aspx?menuIndex=3&amp;refID=7144261&amp;Result=3","7144261")</f>
        <v>0</v>
      </c>
      <c r="B7567" t="s">
        <v>2364</v>
      </c>
      <c r="C7567" t="s">
        <v>10942</v>
      </c>
      <c r="D7567" t="s">
        <v>17986</v>
      </c>
      <c r="E7567" t="s">
        <v>23979</v>
      </c>
      <c r="F7567" t="s">
        <v>30900</v>
      </c>
      <c r="G7567" t="s">
        <v>30907</v>
      </c>
      <c r="H7567" t="s">
        <v>30915</v>
      </c>
      <c r="I7567" t="s">
        <v>30932</v>
      </c>
      <c r="J7567" t="s">
        <v>35859</v>
      </c>
      <c r="K7567" t="s">
        <v>40283</v>
      </c>
      <c r="M7567" t="s">
        <v>43088</v>
      </c>
      <c r="N7567" t="s">
        <v>44759</v>
      </c>
      <c r="O7567" t="s">
        <v>44760</v>
      </c>
      <c r="P7567">
        <v>0</v>
      </c>
      <c r="Q7567">
        <v>1</v>
      </c>
      <c r="R7567" t="s">
        <v>44767</v>
      </c>
      <c r="S7567" t="s">
        <v>44954</v>
      </c>
      <c r="T7567" t="s">
        <v>46458</v>
      </c>
      <c r="U7567" t="s">
        <v>53259</v>
      </c>
      <c r="W7567" t="s">
        <v>43088</v>
      </c>
      <c r="X7567" t="s">
        <v>44768</v>
      </c>
    </row>
    <row r="7568" spans="1:24">
      <c r="A7568">
        <f>HYPERLINK("https://www.philgeps.gov.ph/GEPSNONPILOT/Tender/SplashBidNoticeAbstractUI.aspx?menuIndex=3&amp;refID=7144258&amp;Result=3","7144258")</f>
        <v>0</v>
      </c>
      <c r="B7568" t="s">
        <v>2228</v>
      </c>
      <c r="C7568" t="s">
        <v>10943</v>
      </c>
      <c r="E7568" t="s">
        <v>24681</v>
      </c>
      <c r="F7568" t="s">
        <v>30900</v>
      </c>
      <c r="G7568" t="s">
        <v>30908</v>
      </c>
      <c r="H7568" t="s">
        <v>30915</v>
      </c>
      <c r="I7568" t="s">
        <v>8123</v>
      </c>
      <c r="J7568" t="s">
        <v>35860</v>
      </c>
      <c r="K7568" t="s">
        <v>40289</v>
      </c>
      <c r="M7568" t="s">
        <v>42938</v>
      </c>
      <c r="N7568" t="s">
        <v>44759</v>
      </c>
      <c r="O7568" t="s">
        <v>44760</v>
      </c>
      <c r="P7568">
        <v>0</v>
      </c>
      <c r="Q7568">
        <v>0</v>
      </c>
      <c r="R7568" t="s">
        <v>44767</v>
      </c>
      <c r="S7568" t="s">
        <v>44954</v>
      </c>
      <c r="T7568" t="s">
        <v>46533</v>
      </c>
      <c r="U7568" t="s">
        <v>53260</v>
      </c>
      <c r="W7568" t="s">
        <v>42938</v>
      </c>
      <c r="X7568" t="s">
        <v>44768</v>
      </c>
    </row>
    <row r="7569" spans="1:24">
      <c r="A7569">
        <f>HYPERLINK("https://www.philgeps.gov.ph/GEPSNONPILOT/Tender/SplashBidNoticeAbstractUI.aspx?menuIndex=3&amp;refID=7144160&amp;Result=3","7144160")</f>
        <v>0</v>
      </c>
      <c r="B7569" t="s">
        <v>157</v>
      </c>
      <c r="C7569" t="s">
        <v>5830</v>
      </c>
      <c r="D7569" t="s">
        <v>17978</v>
      </c>
      <c r="E7569" t="s">
        <v>24593</v>
      </c>
      <c r="F7569" t="s">
        <v>30900</v>
      </c>
      <c r="G7569" t="s">
        <v>30908</v>
      </c>
      <c r="H7569" t="s">
        <v>30916</v>
      </c>
      <c r="I7569" t="s">
        <v>5830</v>
      </c>
      <c r="J7569" t="s">
        <v>35861</v>
      </c>
      <c r="K7569" t="s">
        <v>40286</v>
      </c>
      <c r="M7569" t="s">
        <v>40704</v>
      </c>
      <c r="N7569" t="s">
        <v>44759</v>
      </c>
      <c r="O7569" t="s">
        <v>44760</v>
      </c>
      <c r="P7569">
        <v>0</v>
      </c>
      <c r="Q7569">
        <v>7</v>
      </c>
      <c r="R7569" t="s">
        <v>44767</v>
      </c>
      <c r="S7569" t="s">
        <v>44954</v>
      </c>
      <c r="T7569" t="s">
        <v>46581</v>
      </c>
      <c r="U7569" t="s">
        <v>53261</v>
      </c>
      <c r="W7569" t="s">
        <v>40704</v>
      </c>
      <c r="X7569" t="s">
        <v>44768</v>
      </c>
    </row>
    <row r="7570" spans="1:24">
      <c r="A7570">
        <f>HYPERLINK("https://www.philgeps.gov.ph/GEPSNONPILOT/Tender/SplashBidNoticeAbstractUI.aspx?menuIndex=3&amp;refID=7144252&amp;Result=3","7144252")</f>
        <v>0</v>
      </c>
      <c r="B7570" t="s">
        <v>2548</v>
      </c>
      <c r="C7570" t="s">
        <v>10944</v>
      </c>
      <c r="D7570" t="s">
        <v>17972</v>
      </c>
      <c r="E7570" t="s">
        <v>24682</v>
      </c>
      <c r="F7570" t="s">
        <v>30900</v>
      </c>
      <c r="G7570" t="s">
        <v>30907</v>
      </c>
      <c r="H7570" t="s">
        <v>30916</v>
      </c>
      <c r="I7570" t="s">
        <v>7708</v>
      </c>
      <c r="J7570" t="s">
        <v>32046</v>
      </c>
      <c r="K7570" t="s">
        <v>40286</v>
      </c>
      <c r="M7570" t="s">
        <v>43305</v>
      </c>
      <c r="N7570" t="s">
        <v>44759</v>
      </c>
      <c r="O7570" t="s">
        <v>44760</v>
      </c>
      <c r="P7570">
        <v>0</v>
      </c>
      <c r="Q7570">
        <v>3</v>
      </c>
      <c r="R7570" t="s">
        <v>44767</v>
      </c>
      <c r="S7570" t="s">
        <v>44954</v>
      </c>
      <c r="T7570" t="s">
        <v>46428</v>
      </c>
      <c r="U7570" t="s">
        <v>47461</v>
      </c>
      <c r="W7570" t="s">
        <v>43305</v>
      </c>
      <c r="X7570" t="s">
        <v>44768</v>
      </c>
    </row>
    <row r="7571" spans="1:24">
      <c r="A7571">
        <f>HYPERLINK("https://www.philgeps.gov.ph/GEPSNONPILOT/Tender/SplashBidNoticeAbstractUI.aspx?menuIndex=3&amp;refID=7144273&amp;Result=3","7144273")</f>
        <v>0</v>
      </c>
      <c r="B7571" t="s">
        <v>1541</v>
      </c>
      <c r="C7571" t="s">
        <v>10945</v>
      </c>
      <c r="D7571" t="s">
        <v>17999</v>
      </c>
      <c r="E7571" t="s">
        <v>24683</v>
      </c>
      <c r="F7571" t="s">
        <v>30900</v>
      </c>
      <c r="G7571" t="s">
        <v>30908</v>
      </c>
      <c r="H7571" t="s">
        <v>30916</v>
      </c>
      <c r="I7571" t="s">
        <v>4142</v>
      </c>
      <c r="J7571" t="s">
        <v>33572</v>
      </c>
      <c r="K7571" t="s">
        <v>40286</v>
      </c>
      <c r="M7571" t="s">
        <v>42184</v>
      </c>
      <c r="N7571" t="s">
        <v>44759</v>
      </c>
      <c r="O7571" t="s">
        <v>44760</v>
      </c>
      <c r="P7571">
        <v>0</v>
      </c>
      <c r="Q7571">
        <v>2</v>
      </c>
      <c r="R7571" t="s">
        <v>44767</v>
      </c>
      <c r="S7571" t="s">
        <v>44954</v>
      </c>
      <c r="T7571" t="s">
        <v>46704</v>
      </c>
      <c r="U7571" t="s">
        <v>53262</v>
      </c>
      <c r="W7571" t="s">
        <v>42184</v>
      </c>
      <c r="X7571" t="s">
        <v>44768</v>
      </c>
    </row>
    <row r="7572" spans="1:24">
      <c r="A7572">
        <f>HYPERLINK("https://www.philgeps.gov.ph/GEPSNONPILOT/Tender/SplashBidNoticeAbstractUI.aspx?menuIndex=3&amp;refID=7144286&amp;Result=3","7144286")</f>
        <v>0</v>
      </c>
      <c r="B7572" t="s">
        <v>2529</v>
      </c>
      <c r="C7572" t="s">
        <v>10946</v>
      </c>
      <c r="D7572" t="s">
        <v>17952</v>
      </c>
      <c r="E7572" t="s">
        <v>24684</v>
      </c>
      <c r="F7572" t="s">
        <v>30900</v>
      </c>
      <c r="G7572" t="s">
        <v>30907</v>
      </c>
      <c r="H7572" t="s">
        <v>30915</v>
      </c>
      <c r="I7572" t="s">
        <v>30932</v>
      </c>
      <c r="J7572" t="s">
        <v>31297</v>
      </c>
      <c r="K7572" t="s">
        <v>40280</v>
      </c>
      <c r="M7572" t="s">
        <v>43281</v>
      </c>
      <c r="N7572" t="s">
        <v>44759</v>
      </c>
      <c r="O7572" t="s">
        <v>44760</v>
      </c>
      <c r="P7572">
        <v>0</v>
      </c>
      <c r="Q7572">
        <v>2</v>
      </c>
      <c r="R7572" t="s">
        <v>44767</v>
      </c>
      <c r="S7572" t="s">
        <v>44954</v>
      </c>
      <c r="T7572" t="s">
        <v>46715</v>
      </c>
      <c r="U7572" t="s">
        <v>53263</v>
      </c>
      <c r="W7572" t="s">
        <v>43281</v>
      </c>
      <c r="X7572" t="s">
        <v>44768</v>
      </c>
    </row>
    <row r="7573" spans="1:24">
      <c r="A7573">
        <f>HYPERLINK("https://www.philgeps.gov.ph/GEPSNONPILOT/Tender/SplashBidNoticeAbstractUI.aspx?menuIndex=3&amp;refID=7144284&amp;Result=3","7144284")</f>
        <v>0</v>
      </c>
      <c r="B7573" t="s">
        <v>2228</v>
      </c>
      <c r="C7573" t="s">
        <v>10947</v>
      </c>
      <c r="E7573" t="s">
        <v>24685</v>
      </c>
      <c r="F7573" t="s">
        <v>30900</v>
      </c>
      <c r="G7573" t="s">
        <v>30908</v>
      </c>
      <c r="H7573" t="s">
        <v>30915</v>
      </c>
      <c r="I7573" t="s">
        <v>8123</v>
      </c>
      <c r="J7573" t="s">
        <v>35862</v>
      </c>
      <c r="K7573" t="s">
        <v>40289</v>
      </c>
      <c r="M7573" t="s">
        <v>42938</v>
      </c>
      <c r="N7573" t="s">
        <v>44759</v>
      </c>
      <c r="O7573" t="s">
        <v>44760</v>
      </c>
      <c r="P7573">
        <v>0</v>
      </c>
      <c r="Q7573">
        <v>0</v>
      </c>
      <c r="R7573" t="s">
        <v>44767</v>
      </c>
      <c r="S7573" t="s">
        <v>44954</v>
      </c>
      <c r="T7573" t="s">
        <v>46533</v>
      </c>
      <c r="U7573" t="s">
        <v>53264</v>
      </c>
      <c r="W7573" t="s">
        <v>42938</v>
      </c>
      <c r="X7573" t="s">
        <v>44768</v>
      </c>
    </row>
    <row r="7574" spans="1:24">
      <c r="A7574">
        <f>HYPERLINK("https://www.philgeps.gov.ph/GEPSNONPILOT/Tender/SplashBidNoticeAbstractUI.aspx?menuIndex=3&amp;refID=7144282&amp;Result=3","7144282")</f>
        <v>0</v>
      </c>
      <c r="B7574" t="s">
        <v>2407</v>
      </c>
      <c r="C7574" t="s">
        <v>10948</v>
      </c>
      <c r="D7574" t="s">
        <v>17985</v>
      </c>
      <c r="E7574" t="s">
        <v>24686</v>
      </c>
      <c r="F7574" t="s">
        <v>30900</v>
      </c>
      <c r="G7574" t="s">
        <v>30907</v>
      </c>
      <c r="H7574" t="s">
        <v>30915</v>
      </c>
      <c r="I7574" t="s">
        <v>30922</v>
      </c>
      <c r="J7574" t="s">
        <v>35863</v>
      </c>
      <c r="K7574" t="s">
        <v>40301</v>
      </c>
      <c r="M7574" t="s">
        <v>43284</v>
      </c>
      <c r="N7574" t="s">
        <v>44759</v>
      </c>
      <c r="O7574" t="s">
        <v>44760</v>
      </c>
      <c r="P7574">
        <v>0</v>
      </c>
      <c r="Q7574">
        <v>4</v>
      </c>
      <c r="R7574" t="s">
        <v>44767</v>
      </c>
      <c r="S7574" t="s">
        <v>44954</v>
      </c>
      <c r="T7574" t="s">
        <v>46350</v>
      </c>
      <c r="U7574" t="s">
        <v>53265</v>
      </c>
      <c r="W7574" t="s">
        <v>43284</v>
      </c>
      <c r="X7574" t="s">
        <v>44768</v>
      </c>
    </row>
    <row r="7575" spans="1:24">
      <c r="A7575">
        <f>HYPERLINK("https://www.philgeps.gov.ph/GEPSNONPILOT/Tender/SplashBidNoticeAbstractUI.aspx?menuIndex=3&amp;refID=7144276&amp;Result=3","7144276")</f>
        <v>0</v>
      </c>
      <c r="B7575" t="s">
        <v>2478</v>
      </c>
      <c r="C7575" t="s">
        <v>10949</v>
      </c>
      <c r="D7575" t="s">
        <v>17958</v>
      </c>
      <c r="E7575" t="s">
        <v>24687</v>
      </c>
      <c r="F7575" t="s">
        <v>30900</v>
      </c>
      <c r="G7575" t="s">
        <v>30907</v>
      </c>
      <c r="H7575" t="s">
        <v>30915</v>
      </c>
      <c r="I7575" t="s">
        <v>30919</v>
      </c>
      <c r="J7575" t="s">
        <v>35864</v>
      </c>
      <c r="K7575" t="s">
        <v>40314</v>
      </c>
      <c r="M7575" t="s">
        <v>43217</v>
      </c>
      <c r="N7575" t="s">
        <v>44759</v>
      </c>
      <c r="O7575" t="s">
        <v>44760</v>
      </c>
      <c r="P7575">
        <v>0</v>
      </c>
      <c r="Q7575">
        <v>0</v>
      </c>
      <c r="R7575" t="s">
        <v>44767</v>
      </c>
      <c r="S7575" t="s">
        <v>44954</v>
      </c>
      <c r="T7575" t="s">
        <v>46450</v>
      </c>
      <c r="U7575" t="s">
        <v>53266</v>
      </c>
      <c r="W7575" t="s">
        <v>43217</v>
      </c>
      <c r="X7575" t="s">
        <v>44768</v>
      </c>
    </row>
    <row r="7576" spans="1:24">
      <c r="A7576">
        <f>HYPERLINK("https://www.philgeps.gov.ph/GEPSNONPILOT/Tender/SplashBidNoticeAbstractUI.aspx?menuIndex=3&amp;refID=7144275&amp;Result=3","7144275")</f>
        <v>0</v>
      </c>
      <c r="B7576" t="s">
        <v>708</v>
      </c>
      <c r="C7576" t="s">
        <v>10950</v>
      </c>
      <c r="E7576" t="s">
        <v>24688</v>
      </c>
      <c r="F7576" t="s">
        <v>30900</v>
      </c>
      <c r="G7576" t="s">
        <v>30907</v>
      </c>
      <c r="H7576" t="s">
        <v>30916</v>
      </c>
      <c r="I7576" t="s">
        <v>8365</v>
      </c>
      <c r="J7576" t="s">
        <v>35865</v>
      </c>
      <c r="K7576" t="s">
        <v>40289</v>
      </c>
      <c r="M7576" t="s">
        <v>43282</v>
      </c>
      <c r="N7576" t="s">
        <v>44759</v>
      </c>
      <c r="O7576" t="s">
        <v>44760</v>
      </c>
      <c r="P7576">
        <v>0</v>
      </c>
      <c r="Q7576">
        <v>0</v>
      </c>
      <c r="R7576" t="s">
        <v>44767</v>
      </c>
      <c r="S7576" t="s">
        <v>44954</v>
      </c>
      <c r="T7576" t="s">
        <v>46428</v>
      </c>
      <c r="U7576" t="s">
        <v>53267</v>
      </c>
      <c r="W7576" t="s">
        <v>43282</v>
      </c>
      <c r="X7576" t="s">
        <v>44768</v>
      </c>
    </row>
    <row r="7577" spans="1:24">
      <c r="A7577">
        <f>HYPERLINK("https://www.philgeps.gov.ph/GEPSNONPILOT/Tender/SplashBidNoticeAbstractUI.aspx?menuIndex=3&amp;refID=7144256&amp;Result=3","7144256")</f>
        <v>0</v>
      </c>
      <c r="B7577" t="s">
        <v>1043</v>
      </c>
      <c r="C7577" t="s">
        <v>10951</v>
      </c>
      <c r="D7577" t="s">
        <v>18000</v>
      </c>
      <c r="E7577" t="s">
        <v>24689</v>
      </c>
      <c r="F7577" t="s">
        <v>30900</v>
      </c>
      <c r="G7577" t="s">
        <v>30907</v>
      </c>
      <c r="H7577" t="s">
        <v>30916</v>
      </c>
      <c r="I7577" t="s">
        <v>6953</v>
      </c>
      <c r="J7577" t="s">
        <v>35866</v>
      </c>
      <c r="K7577" t="s">
        <v>40289</v>
      </c>
      <c r="M7577" t="s">
        <v>43271</v>
      </c>
      <c r="N7577" t="s">
        <v>44759</v>
      </c>
      <c r="O7577" t="s">
        <v>44760</v>
      </c>
      <c r="P7577">
        <v>0</v>
      </c>
      <c r="Q7577">
        <v>0</v>
      </c>
      <c r="R7577" t="s">
        <v>44767</v>
      </c>
      <c r="S7577" t="s">
        <v>44954</v>
      </c>
      <c r="T7577" t="s">
        <v>46531</v>
      </c>
      <c r="U7577" t="s">
        <v>53134</v>
      </c>
      <c r="W7577" t="s">
        <v>43271</v>
      </c>
      <c r="X7577" t="s">
        <v>44768</v>
      </c>
    </row>
    <row r="7578" spans="1:24">
      <c r="A7578">
        <f>HYPERLINK("https://www.philgeps.gov.ph/GEPSNONPILOT/Tender/SplashBidNoticeAbstractUI.aspx?menuIndex=3&amp;refID=7144271&amp;Result=3","7144271")</f>
        <v>0</v>
      </c>
      <c r="B7578" t="s">
        <v>1060</v>
      </c>
      <c r="C7578" t="s">
        <v>10952</v>
      </c>
      <c r="D7578" t="s">
        <v>17975</v>
      </c>
      <c r="E7578" t="s">
        <v>24690</v>
      </c>
      <c r="F7578" t="s">
        <v>30900</v>
      </c>
      <c r="G7578" t="s">
        <v>30907</v>
      </c>
      <c r="H7578" t="s">
        <v>30915</v>
      </c>
      <c r="I7578" t="s">
        <v>30919</v>
      </c>
      <c r="J7578" t="s">
        <v>35867</v>
      </c>
      <c r="K7578" t="s">
        <v>40293</v>
      </c>
      <c r="M7578" t="s">
        <v>41657</v>
      </c>
      <c r="N7578" t="s">
        <v>44759</v>
      </c>
      <c r="O7578" t="s">
        <v>44760</v>
      </c>
      <c r="P7578">
        <v>0</v>
      </c>
      <c r="Q7578">
        <v>0</v>
      </c>
      <c r="R7578" t="s">
        <v>44767</v>
      </c>
      <c r="S7578" t="s">
        <v>44954</v>
      </c>
      <c r="T7578" t="s">
        <v>46757</v>
      </c>
      <c r="U7578" t="s">
        <v>53268</v>
      </c>
      <c r="W7578" t="s">
        <v>41657</v>
      </c>
      <c r="X7578" t="s">
        <v>44768</v>
      </c>
    </row>
    <row r="7579" spans="1:24">
      <c r="A7579">
        <f>HYPERLINK("https://www.philgeps.gov.ph/GEPSNONPILOT/Tender/SplashBidNoticeAbstractUI.aspx?menuIndex=3&amp;refID=7144265&amp;Result=3","7144265")</f>
        <v>0</v>
      </c>
      <c r="B7579" t="s">
        <v>2549</v>
      </c>
      <c r="C7579" t="s">
        <v>10953</v>
      </c>
      <c r="D7579" t="s">
        <v>18003</v>
      </c>
      <c r="E7579" t="s">
        <v>24691</v>
      </c>
      <c r="F7579" t="s">
        <v>30900</v>
      </c>
      <c r="G7579" t="s">
        <v>30907</v>
      </c>
      <c r="H7579" t="s">
        <v>30915</v>
      </c>
      <c r="I7579" t="s">
        <v>30948</v>
      </c>
      <c r="J7579" t="s">
        <v>31391</v>
      </c>
      <c r="K7579" t="s">
        <v>40342</v>
      </c>
      <c r="M7579" t="s">
        <v>43306</v>
      </c>
      <c r="N7579" t="s">
        <v>44759</v>
      </c>
      <c r="O7579" t="s">
        <v>44760</v>
      </c>
      <c r="P7579">
        <v>0</v>
      </c>
      <c r="Q7579">
        <v>7</v>
      </c>
      <c r="R7579" t="s">
        <v>44767</v>
      </c>
      <c r="S7579" t="s">
        <v>44954</v>
      </c>
      <c r="T7579" t="s">
        <v>46504</v>
      </c>
      <c r="U7579" t="s">
        <v>53269</v>
      </c>
      <c r="W7579" t="s">
        <v>43306</v>
      </c>
      <c r="X7579" t="s">
        <v>44768</v>
      </c>
    </row>
    <row r="7580" spans="1:24">
      <c r="A7580">
        <f>HYPERLINK("https://www.philgeps.gov.ph/GEPSNONPILOT/Tender/SplashBidNoticeAbstractUI.aspx?menuIndex=3&amp;refID=7144310&amp;Result=3","7144310")</f>
        <v>0</v>
      </c>
      <c r="B7580" t="s">
        <v>234</v>
      </c>
      <c r="C7580" t="s">
        <v>10954</v>
      </c>
      <c r="D7580" t="s">
        <v>17961</v>
      </c>
      <c r="E7580" t="s">
        <v>24692</v>
      </c>
      <c r="F7580" t="s">
        <v>30900</v>
      </c>
      <c r="G7580" t="s">
        <v>30907</v>
      </c>
      <c r="H7580" t="s">
        <v>30916</v>
      </c>
      <c r="I7580" t="s">
        <v>8123</v>
      </c>
      <c r="J7580" t="s">
        <v>35868</v>
      </c>
      <c r="K7580" t="s">
        <v>40286</v>
      </c>
      <c r="M7580" t="s">
        <v>40781</v>
      </c>
      <c r="N7580" t="s">
        <v>44759</v>
      </c>
      <c r="O7580" t="s">
        <v>44760</v>
      </c>
      <c r="Q7580">
        <v>0</v>
      </c>
      <c r="R7580" t="s">
        <v>44767</v>
      </c>
      <c r="S7580" t="s">
        <v>44967</v>
      </c>
      <c r="T7580" t="s">
        <v>46414</v>
      </c>
      <c r="U7580" t="s">
        <v>53270</v>
      </c>
      <c r="V7580" t="s">
        <v>59150</v>
      </c>
      <c r="W7580" t="s">
        <v>40781</v>
      </c>
      <c r="X7580" t="s">
        <v>44768</v>
      </c>
    </row>
    <row r="7581" spans="1:24">
      <c r="A7581">
        <f>HYPERLINK("https://www.philgeps.gov.ph/GEPSNONPILOT/Tender/SplashBidNoticeAbstractUI.aspx?menuIndex=3&amp;refID=7144288&amp;Result=3","7144288")</f>
        <v>0</v>
      </c>
      <c r="B7581" t="s">
        <v>2550</v>
      </c>
      <c r="C7581" t="s">
        <v>10955</v>
      </c>
      <c r="D7581" t="s">
        <v>17984</v>
      </c>
      <c r="E7581" t="s">
        <v>24693</v>
      </c>
      <c r="F7581" t="s">
        <v>30900</v>
      </c>
      <c r="G7581" t="s">
        <v>30907</v>
      </c>
      <c r="H7581" t="s">
        <v>30916</v>
      </c>
      <c r="I7581" t="s">
        <v>4545</v>
      </c>
      <c r="J7581" t="s">
        <v>35869</v>
      </c>
      <c r="K7581" t="s">
        <v>40284</v>
      </c>
      <c r="M7581" t="s">
        <v>43307</v>
      </c>
      <c r="N7581" t="s">
        <v>44759</v>
      </c>
      <c r="O7581" t="s">
        <v>44760</v>
      </c>
      <c r="P7581">
        <v>0</v>
      </c>
      <c r="Q7581">
        <v>1</v>
      </c>
      <c r="R7581" t="s">
        <v>44767</v>
      </c>
      <c r="S7581" t="s">
        <v>44954</v>
      </c>
      <c r="T7581" t="s">
        <v>46782</v>
      </c>
      <c r="U7581" t="s">
        <v>53271</v>
      </c>
      <c r="W7581" t="s">
        <v>43307</v>
      </c>
      <c r="X7581" t="s">
        <v>44768</v>
      </c>
    </row>
    <row r="7582" spans="1:24">
      <c r="A7582">
        <f>HYPERLINK("https://www.philgeps.gov.ph/GEPSNONPILOT/Tender/SplashBidNoticeAbstractUI.aspx?menuIndex=3&amp;refID=7144254&amp;Result=3","7144254")</f>
        <v>0</v>
      </c>
      <c r="B7582" t="s">
        <v>708</v>
      </c>
      <c r="C7582" t="s">
        <v>10956</v>
      </c>
      <c r="E7582" t="s">
        <v>21636</v>
      </c>
      <c r="F7582" t="s">
        <v>30900</v>
      </c>
      <c r="G7582" t="s">
        <v>30907</v>
      </c>
      <c r="H7582" t="s">
        <v>30916</v>
      </c>
      <c r="I7582" t="s">
        <v>30933</v>
      </c>
      <c r="J7582" t="s">
        <v>35870</v>
      </c>
      <c r="K7582" t="s">
        <v>40289</v>
      </c>
      <c r="M7582" t="s">
        <v>43282</v>
      </c>
      <c r="N7582" t="s">
        <v>44759</v>
      </c>
      <c r="O7582" t="s">
        <v>44760</v>
      </c>
      <c r="P7582">
        <v>0</v>
      </c>
      <c r="Q7582">
        <v>5</v>
      </c>
      <c r="R7582" t="s">
        <v>44767</v>
      </c>
      <c r="S7582" t="s">
        <v>44954</v>
      </c>
      <c r="T7582" t="s">
        <v>46428</v>
      </c>
      <c r="U7582" t="s">
        <v>53272</v>
      </c>
      <c r="W7582" t="s">
        <v>43282</v>
      </c>
      <c r="X7582" t="s">
        <v>44768</v>
      </c>
    </row>
    <row r="7583" spans="1:24">
      <c r="A7583">
        <f>HYPERLINK("https://www.philgeps.gov.ph/GEPSNONPILOT/Tender/SplashBidNoticeAbstractUI.aspx?menuIndex=3&amp;refID=7144304&amp;Result=3","7144304")</f>
        <v>0</v>
      </c>
      <c r="B7583" t="s">
        <v>708</v>
      </c>
      <c r="C7583" t="s">
        <v>10957</v>
      </c>
      <c r="E7583" t="s">
        <v>24694</v>
      </c>
      <c r="F7583" t="s">
        <v>30900</v>
      </c>
      <c r="G7583" t="s">
        <v>30907</v>
      </c>
      <c r="H7583" t="s">
        <v>30916</v>
      </c>
      <c r="I7583" t="s">
        <v>10602</v>
      </c>
      <c r="J7583" t="s">
        <v>32124</v>
      </c>
      <c r="K7583" t="s">
        <v>40289</v>
      </c>
      <c r="M7583" t="s">
        <v>43282</v>
      </c>
      <c r="N7583" t="s">
        <v>44759</v>
      </c>
      <c r="O7583" t="s">
        <v>44760</v>
      </c>
      <c r="P7583">
        <v>0</v>
      </c>
      <c r="Q7583">
        <v>3</v>
      </c>
      <c r="R7583" t="s">
        <v>44767</v>
      </c>
      <c r="S7583" t="s">
        <v>44954</v>
      </c>
      <c r="T7583" t="s">
        <v>46428</v>
      </c>
      <c r="U7583" t="s">
        <v>53273</v>
      </c>
      <c r="W7583" t="s">
        <v>43282</v>
      </c>
      <c r="X7583" t="s">
        <v>44768</v>
      </c>
    </row>
    <row r="7584" spans="1:24">
      <c r="A7584">
        <f>HYPERLINK("https://www.philgeps.gov.ph/GEPSNONPILOT/Tender/SplashBidNoticeAbstractUI.aspx?menuIndex=3&amp;refID=7144297&amp;Result=3","7144297")</f>
        <v>0</v>
      </c>
      <c r="B7584" t="s">
        <v>2546</v>
      </c>
      <c r="C7584" t="s">
        <v>10958</v>
      </c>
      <c r="D7584" t="s">
        <v>18011</v>
      </c>
      <c r="E7584" t="s">
        <v>24695</v>
      </c>
      <c r="F7584" t="s">
        <v>30900</v>
      </c>
      <c r="G7584" t="s">
        <v>30907</v>
      </c>
      <c r="H7584" t="s">
        <v>30916</v>
      </c>
      <c r="I7584" t="s">
        <v>30933</v>
      </c>
      <c r="J7584" t="s">
        <v>31297</v>
      </c>
      <c r="K7584" t="s">
        <v>40286</v>
      </c>
      <c r="M7584" t="s">
        <v>43303</v>
      </c>
      <c r="N7584" t="s">
        <v>44759</v>
      </c>
      <c r="O7584" t="s">
        <v>44760</v>
      </c>
      <c r="P7584">
        <v>0</v>
      </c>
      <c r="Q7584">
        <v>1</v>
      </c>
      <c r="R7584" t="s">
        <v>44767</v>
      </c>
      <c r="S7584" t="s">
        <v>44954</v>
      </c>
      <c r="T7584" t="s">
        <v>46757</v>
      </c>
      <c r="U7584" t="s">
        <v>53274</v>
      </c>
      <c r="W7584" t="s">
        <v>43303</v>
      </c>
      <c r="X7584" t="s">
        <v>44768</v>
      </c>
    </row>
    <row r="7585" spans="1:24">
      <c r="A7585">
        <f>HYPERLINK("https://www.philgeps.gov.ph/GEPSNONPILOT/Tender/SplashBidNoticeAbstractUI.aspx?menuIndex=3&amp;refID=7144294&amp;Result=3","7144294")</f>
        <v>0</v>
      </c>
      <c r="B7585" t="s">
        <v>107</v>
      </c>
      <c r="C7585" t="s">
        <v>10959</v>
      </c>
      <c r="D7585" t="s">
        <v>17984</v>
      </c>
      <c r="E7585" t="s">
        <v>24696</v>
      </c>
      <c r="F7585" t="s">
        <v>30900</v>
      </c>
      <c r="G7585" t="s">
        <v>30909</v>
      </c>
      <c r="H7585" t="s">
        <v>30916</v>
      </c>
      <c r="I7585" t="s">
        <v>6396</v>
      </c>
      <c r="J7585" t="s">
        <v>35871</v>
      </c>
      <c r="K7585" t="s">
        <v>40289</v>
      </c>
      <c r="L7585" t="s">
        <v>107</v>
      </c>
      <c r="M7585" t="s">
        <v>40654</v>
      </c>
      <c r="N7585" t="s">
        <v>44759</v>
      </c>
      <c r="O7585" t="s">
        <v>44760</v>
      </c>
      <c r="P7585">
        <v>0</v>
      </c>
      <c r="Q7585">
        <v>6</v>
      </c>
      <c r="R7585" t="s">
        <v>44767</v>
      </c>
      <c r="S7585" t="s">
        <v>44954</v>
      </c>
      <c r="T7585" t="s">
        <v>46581</v>
      </c>
      <c r="U7585" t="s">
        <v>47177</v>
      </c>
      <c r="W7585" t="s">
        <v>40654</v>
      </c>
      <c r="X7585" t="s">
        <v>44768</v>
      </c>
    </row>
    <row r="7586" spans="1:24">
      <c r="A7586">
        <f>HYPERLINK("https://www.philgeps.gov.ph/GEPSNONPILOT/Tender/SplashBidNoticeAbstractUI.aspx?menuIndex=3&amp;refID=7144292&amp;Result=3","7144292")</f>
        <v>0</v>
      </c>
      <c r="B7586" t="s">
        <v>2551</v>
      </c>
      <c r="C7586" t="s">
        <v>10960</v>
      </c>
      <c r="D7586" t="s">
        <v>17962</v>
      </c>
      <c r="E7586" t="s">
        <v>18066</v>
      </c>
      <c r="F7586" t="s">
        <v>30900</v>
      </c>
      <c r="G7586" t="s">
        <v>30907</v>
      </c>
      <c r="H7586" t="s">
        <v>30915</v>
      </c>
      <c r="I7586" t="s">
        <v>30919</v>
      </c>
      <c r="J7586" t="s">
        <v>35872</v>
      </c>
      <c r="K7586" t="s">
        <v>40289</v>
      </c>
      <c r="M7586" t="s">
        <v>43308</v>
      </c>
      <c r="N7586" t="s">
        <v>44759</v>
      </c>
      <c r="O7586" t="s">
        <v>44760</v>
      </c>
      <c r="P7586">
        <v>0</v>
      </c>
      <c r="Q7586">
        <v>0</v>
      </c>
      <c r="R7586" t="s">
        <v>44767</v>
      </c>
      <c r="S7586" t="s">
        <v>44954</v>
      </c>
      <c r="T7586" t="s">
        <v>46374</v>
      </c>
      <c r="U7586" t="s">
        <v>47259</v>
      </c>
      <c r="W7586" t="s">
        <v>43308</v>
      </c>
      <c r="X7586" t="s">
        <v>44768</v>
      </c>
    </row>
    <row r="7587" spans="1:24">
      <c r="A7587">
        <f>HYPERLINK("https://www.philgeps.gov.ph/GEPSNONPILOT/Tender/SplashBidNoticeAbstractUI.aspx?menuIndex=3&amp;refID=7144260&amp;Result=3","7144260")</f>
        <v>0</v>
      </c>
      <c r="B7587" t="s">
        <v>157</v>
      </c>
      <c r="C7587" t="s">
        <v>10961</v>
      </c>
      <c r="D7587" t="s">
        <v>17978</v>
      </c>
      <c r="E7587" t="s">
        <v>24697</v>
      </c>
      <c r="F7587" t="s">
        <v>30900</v>
      </c>
      <c r="G7587" t="s">
        <v>30908</v>
      </c>
      <c r="H7587" t="s">
        <v>30916</v>
      </c>
      <c r="I7587" t="s">
        <v>10961</v>
      </c>
      <c r="J7587" t="s">
        <v>31830</v>
      </c>
      <c r="K7587" t="s">
        <v>40286</v>
      </c>
      <c r="M7587" t="s">
        <v>40704</v>
      </c>
      <c r="N7587" t="s">
        <v>44759</v>
      </c>
      <c r="O7587" t="s">
        <v>44760</v>
      </c>
      <c r="P7587">
        <v>0</v>
      </c>
      <c r="Q7587">
        <v>1</v>
      </c>
      <c r="R7587" t="s">
        <v>44767</v>
      </c>
      <c r="S7587" t="s">
        <v>44954</v>
      </c>
      <c r="T7587" t="s">
        <v>46581</v>
      </c>
      <c r="U7587" t="s">
        <v>53275</v>
      </c>
      <c r="W7587" t="s">
        <v>40704</v>
      </c>
      <c r="X7587" t="s">
        <v>44768</v>
      </c>
    </row>
    <row r="7588" spans="1:24">
      <c r="A7588">
        <f>HYPERLINK("https://www.philgeps.gov.ph/GEPSNONPILOT/Tender/SplashBidNoticeAbstractUI.aspx?menuIndex=3&amp;refID=7144290&amp;Result=3","7144290")</f>
        <v>0</v>
      </c>
      <c r="B7588" t="s">
        <v>157</v>
      </c>
      <c r="C7588" t="s">
        <v>10879</v>
      </c>
      <c r="D7588" t="s">
        <v>17978</v>
      </c>
      <c r="E7588" t="s">
        <v>24698</v>
      </c>
      <c r="F7588" t="s">
        <v>30900</v>
      </c>
      <c r="G7588" t="s">
        <v>30908</v>
      </c>
      <c r="H7588" t="s">
        <v>30916</v>
      </c>
      <c r="I7588" t="s">
        <v>10879</v>
      </c>
      <c r="J7588" t="s">
        <v>31449</v>
      </c>
      <c r="K7588" t="s">
        <v>40286</v>
      </c>
      <c r="M7588" t="s">
        <v>40704</v>
      </c>
      <c r="N7588" t="s">
        <v>44759</v>
      </c>
      <c r="O7588" t="s">
        <v>44760</v>
      </c>
      <c r="P7588">
        <v>0</v>
      </c>
      <c r="Q7588">
        <v>3</v>
      </c>
      <c r="R7588" t="s">
        <v>44767</v>
      </c>
      <c r="S7588" t="s">
        <v>44954</v>
      </c>
      <c r="T7588" t="s">
        <v>46581</v>
      </c>
      <c r="U7588" t="s">
        <v>53201</v>
      </c>
      <c r="W7588" t="s">
        <v>40704</v>
      </c>
      <c r="X7588" t="s">
        <v>44768</v>
      </c>
    </row>
    <row r="7589" spans="1:24">
      <c r="A7589">
        <f>HYPERLINK("https://www.philgeps.gov.ph/GEPSNONPILOT/Tender/SplashBidNoticeAbstractUI.aspx?menuIndex=3&amp;refID=7144173&amp;Result=3","7144173")</f>
        <v>0</v>
      </c>
      <c r="B7589" t="s">
        <v>2531</v>
      </c>
      <c r="C7589" t="s">
        <v>10962</v>
      </c>
      <c r="D7589" t="s">
        <v>17953</v>
      </c>
      <c r="E7589" t="s">
        <v>10962</v>
      </c>
      <c r="F7589" t="s">
        <v>30900</v>
      </c>
      <c r="G7589" t="s">
        <v>30907</v>
      </c>
      <c r="H7589" t="s">
        <v>30916</v>
      </c>
      <c r="I7589" t="s">
        <v>8123</v>
      </c>
      <c r="J7589" t="s">
        <v>31728</v>
      </c>
      <c r="K7589" t="s">
        <v>40331</v>
      </c>
      <c r="M7589" t="s">
        <v>43286</v>
      </c>
      <c r="N7589" t="s">
        <v>44759</v>
      </c>
      <c r="O7589" t="s">
        <v>44760</v>
      </c>
      <c r="P7589">
        <v>0</v>
      </c>
      <c r="Q7589">
        <v>0</v>
      </c>
      <c r="R7589" t="s">
        <v>44767</v>
      </c>
      <c r="S7589" t="s">
        <v>44954</v>
      </c>
      <c r="T7589" t="s">
        <v>46398</v>
      </c>
      <c r="U7589" t="s">
        <v>53276</v>
      </c>
      <c r="V7589" t="s">
        <v>53276</v>
      </c>
      <c r="W7589" t="s">
        <v>43286</v>
      </c>
      <c r="X7589" t="s">
        <v>44768</v>
      </c>
    </row>
    <row r="7590" spans="1:24">
      <c r="A7590">
        <f>HYPERLINK("https://www.philgeps.gov.ph/GEPSNONPILOT/Tender/SplashBidNoticeAbstractUI.aspx?menuIndex=3&amp;refID=7144291&amp;Result=3","7144291")</f>
        <v>0</v>
      </c>
      <c r="B7590" t="s">
        <v>2373</v>
      </c>
      <c r="C7590" t="s">
        <v>10963</v>
      </c>
      <c r="D7590" t="s">
        <v>17966</v>
      </c>
      <c r="E7590" t="s">
        <v>24699</v>
      </c>
      <c r="F7590" t="s">
        <v>30900</v>
      </c>
      <c r="G7590" t="s">
        <v>30907</v>
      </c>
      <c r="H7590" t="s">
        <v>30916</v>
      </c>
      <c r="I7590" t="s">
        <v>30934</v>
      </c>
      <c r="J7590" t="s">
        <v>35873</v>
      </c>
      <c r="K7590" t="s">
        <v>40283</v>
      </c>
      <c r="M7590" t="s">
        <v>43178</v>
      </c>
      <c r="N7590" t="s">
        <v>44759</v>
      </c>
      <c r="O7590" t="s">
        <v>44760</v>
      </c>
      <c r="P7590">
        <v>0</v>
      </c>
      <c r="Q7590">
        <v>3</v>
      </c>
      <c r="R7590" t="s">
        <v>44767</v>
      </c>
      <c r="S7590" t="s">
        <v>44954</v>
      </c>
      <c r="T7590" t="s">
        <v>46495</v>
      </c>
      <c r="U7590" t="s">
        <v>53277</v>
      </c>
      <c r="W7590" t="s">
        <v>43178</v>
      </c>
      <c r="X7590" t="s">
        <v>44768</v>
      </c>
    </row>
    <row r="7591" spans="1:24">
      <c r="A7591">
        <f>HYPERLINK("https://www.philgeps.gov.ph/GEPSNONPILOT/Tender/SplashBidNoticeAbstractUI.aspx?menuIndex=3&amp;refID=7144330&amp;Result=3","7144330")</f>
        <v>0</v>
      </c>
      <c r="B7591" t="s">
        <v>491</v>
      </c>
      <c r="C7591" t="s">
        <v>10964</v>
      </c>
      <c r="D7591" t="s">
        <v>17951</v>
      </c>
      <c r="E7591" t="s">
        <v>24700</v>
      </c>
      <c r="F7591" t="s">
        <v>30899</v>
      </c>
      <c r="G7591" t="s">
        <v>30912</v>
      </c>
      <c r="H7591" t="s">
        <v>30916</v>
      </c>
      <c r="I7591" t="s">
        <v>10847</v>
      </c>
      <c r="J7591" t="s">
        <v>35874</v>
      </c>
      <c r="K7591" t="s">
        <v>40284</v>
      </c>
      <c r="M7591" t="s">
        <v>41049</v>
      </c>
      <c r="N7591" t="s">
        <v>44759</v>
      </c>
      <c r="O7591" t="s">
        <v>44760</v>
      </c>
      <c r="P7591">
        <v>0</v>
      </c>
      <c r="Q7591">
        <v>0</v>
      </c>
      <c r="R7591" t="s">
        <v>44767</v>
      </c>
      <c r="S7591" t="s">
        <v>44954</v>
      </c>
      <c r="T7591" t="s">
        <v>46353</v>
      </c>
      <c r="U7591" t="s">
        <v>53278</v>
      </c>
      <c r="W7591" t="s">
        <v>41049</v>
      </c>
      <c r="X7591" t="s">
        <v>44768</v>
      </c>
    </row>
    <row r="7592" spans="1:24">
      <c r="A7592">
        <f>HYPERLINK("https://www.philgeps.gov.ph/GEPSNONPILOT/Tender/SplashBidNoticeAbstractUI.aspx?menuIndex=3&amp;refID=7144319&amp;Result=3","7144319")</f>
        <v>0</v>
      </c>
      <c r="B7592" t="s">
        <v>241</v>
      </c>
      <c r="C7592" t="s">
        <v>10965</v>
      </c>
      <c r="D7592" t="s">
        <v>17982</v>
      </c>
      <c r="E7592" t="s">
        <v>24701</v>
      </c>
      <c r="F7592" t="s">
        <v>30900</v>
      </c>
      <c r="G7592" t="s">
        <v>30909</v>
      </c>
      <c r="H7592" t="s">
        <v>30916</v>
      </c>
      <c r="I7592" t="s">
        <v>30939</v>
      </c>
      <c r="J7592" t="s">
        <v>32658</v>
      </c>
      <c r="K7592" t="s">
        <v>40441</v>
      </c>
      <c r="M7592" t="s">
        <v>40788</v>
      </c>
      <c r="N7592" t="s">
        <v>44759</v>
      </c>
      <c r="O7592" t="s">
        <v>44760</v>
      </c>
      <c r="P7592">
        <v>0</v>
      </c>
      <c r="Q7592">
        <v>0</v>
      </c>
      <c r="R7592" t="s">
        <v>44767</v>
      </c>
      <c r="S7592" t="s">
        <v>44954</v>
      </c>
      <c r="T7592" t="s">
        <v>46581</v>
      </c>
      <c r="U7592" t="s">
        <v>53279</v>
      </c>
      <c r="W7592" t="s">
        <v>40788</v>
      </c>
      <c r="X7592" t="s">
        <v>44768</v>
      </c>
    </row>
    <row r="7593" spans="1:24">
      <c r="A7593">
        <f>HYPERLINK("https://www.philgeps.gov.ph/GEPSNONPILOT/Tender/SplashBidNoticeAbstractUI.aspx?menuIndex=3&amp;refID=7144293&amp;Result=3","7144293")</f>
        <v>0</v>
      </c>
      <c r="B7593" t="s">
        <v>292</v>
      </c>
      <c r="C7593" t="s">
        <v>10966</v>
      </c>
      <c r="D7593" t="s">
        <v>17963</v>
      </c>
      <c r="E7593" t="s">
        <v>24702</v>
      </c>
      <c r="F7593" t="s">
        <v>30900</v>
      </c>
      <c r="G7593" t="s">
        <v>30907</v>
      </c>
      <c r="H7593" t="s">
        <v>30916</v>
      </c>
      <c r="I7593" t="s">
        <v>5501</v>
      </c>
      <c r="J7593" t="s">
        <v>31897</v>
      </c>
      <c r="K7593" t="s">
        <v>40289</v>
      </c>
      <c r="M7593" t="s">
        <v>43309</v>
      </c>
      <c r="N7593" t="s">
        <v>44759</v>
      </c>
      <c r="O7593" t="s">
        <v>44760</v>
      </c>
      <c r="P7593">
        <v>0</v>
      </c>
      <c r="Q7593">
        <v>7</v>
      </c>
      <c r="R7593" t="s">
        <v>44767</v>
      </c>
      <c r="S7593" t="s">
        <v>44954</v>
      </c>
      <c r="T7593" t="s">
        <v>46374</v>
      </c>
      <c r="U7593" t="s">
        <v>53280</v>
      </c>
      <c r="W7593" t="s">
        <v>43309</v>
      </c>
      <c r="X7593" t="s">
        <v>44768</v>
      </c>
    </row>
    <row r="7594" spans="1:24">
      <c r="A7594">
        <f>HYPERLINK("https://www.philgeps.gov.ph/GEPSNONPILOT/Tender/SplashBidNoticeAbstractUI.aspx?menuIndex=3&amp;refID=7144318&amp;Result=3","7144318")</f>
        <v>0</v>
      </c>
      <c r="B7594" t="s">
        <v>157</v>
      </c>
      <c r="C7594" t="s">
        <v>5049</v>
      </c>
      <c r="D7594" t="s">
        <v>17978</v>
      </c>
      <c r="E7594" t="s">
        <v>24703</v>
      </c>
      <c r="F7594" t="s">
        <v>30900</v>
      </c>
      <c r="G7594" t="s">
        <v>30908</v>
      </c>
      <c r="H7594" t="s">
        <v>30916</v>
      </c>
      <c r="I7594" t="s">
        <v>30923</v>
      </c>
      <c r="J7594" t="s">
        <v>35875</v>
      </c>
      <c r="K7594" t="s">
        <v>40286</v>
      </c>
      <c r="M7594" t="s">
        <v>40704</v>
      </c>
      <c r="N7594" t="s">
        <v>44759</v>
      </c>
      <c r="O7594" t="s">
        <v>44760</v>
      </c>
      <c r="P7594">
        <v>0</v>
      </c>
      <c r="Q7594">
        <v>5</v>
      </c>
      <c r="R7594" t="s">
        <v>44767</v>
      </c>
      <c r="S7594" t="s">
        <v>44954</v>
      </c>
      <c r="T7594" t="s">
        <v>46581</v>
      </c>
      <c r="U7594" t="s">
        <v>53281</v>
      </c>
      <c r="W7594" t="s">
        <v>40704</v>
      </c>
      <c r="X7594" t="s">
        <v>44768</v>
      </c>
    </row>
    <row r="7595" spans="1:24">
      <c r="A7595">
        <f>HYPERLINK("https://www.philgeps.gov.ph/GEPSNONPILOT/Tender/SplashBidNoticeAbstractUI.aspx?menuIndex=3&amp;refID=7144315&amp;Result=3","7144315")</f>
        <v>0</v>
      </c>
      <c r="B7595" t="s">
        <v>2529</v>
      </c>
      <c r="C7595" t="s">
        <v>10967</v>
      </c>
      <c r="D7595" t="s">
        <v>17952</v>
      </c>
      <c r="E7595" t="s">
        <v>24704</v>
      </c>
      <c r="F7595" t="s">
        <v>30900</v>
      </c>
      <c r="G7595" t="s">
        <v>30907</v>
      </c>
      <c r="H7595" t="s">
        <v>30915</v>
      </c>
      <c r="I7595" t="s">
        <v>30932</v>
      </c>
      <c r="J7595" t="s">
        <v>31297</v>
      </c>
      <c r="K7595" t="s">
        <v>40280</v>
      </c>
      <c r="M7595" t="s">
        <v>43281</v>
      </c>
      <c r="N7595" t="s">
        <v>44759</v>
      </c>
      <c r="O7595" t="s">
        <v>44760</v>
      </c>
      <c r="P7595">
        <v>0</v>
      </c>
      <c r="Q7595">
        <v>0</v>
      </c>
      <c r="R7595" t="s">
        <v>44767</v>
      </c>
      <c r="S7595" t="s">
        <v>44954</v>
      </c>
      <c r="T7595" t="s">
        <v>46715</v>
      </c>
      <c r="U7595" t="s">
        <v>53282</v>
      </c>
      <c r="W7595" t="s">
        <v>43281</v>
      </c>
      <c r="X7595" t="s">
        <v>44768</v>
      </c>
    </row>
    <row r="7596" spans="1:24">
      <c r="A7596">
        <f>HYPERLINK("https://www.philgeps.gov.ph/GEPSNONPILOT/Tender/SplashBidNoticeAbstractUI.aspx?menuIndex=3&amp;refID=7144289&amp;Result=3","7144289")</f>
        <v>0</v>
      </c>
      <c r="B7596" t="s">
        <v>2152</v>
      </c>
      <c r="C7596" t="s">
        <v>10968</v>
      </c>
      <c r="E7596" t="s">
        <v>24705</v>
      </c>
      <c r="F7596" t="s">
        <v>30900</v>
      </c>
      <c r="G7596" t="s">
        <v>30907</v>
      </c>
      <c r="H7596" t="s">
        <v>30916</v>
      </c>
      <c r="I7596" t="s">
        <v>30929</v>
      </c>
      <c r="J7596" t="s">
        <v>35876</v>
      </c>
      <c r="K7596" t="s">
        <v>40291</v>
      </c>
      <c r="M7596" t="s">
        <v>43280</v>
      </c>
      <c r="N7596" t="s">
        <v>44759</v>
      </c>
      <c r="O7596" t="s">
        <v>44760</v>
      </c>
      <c r="P7596">
        <v>0</v>
      </c>
      <c r="Q7596">
        <v>5</v>
      </c>
      <c r="R7596" t="s">
        <v>44767</v>
      </c>
      <c r="S7596" t="s">
        <v>44954</v>
      </c>
      <c r="T7596" t="s">
        <v>46612</v>
      </c>
      <c r="U7596" t="s">
        <v>53166</v>
      </c>
      <c r="W7596" t="s">
        <v>43280</v>
      </c>
      <c r="X7596" t="s">
        <v>44768</v>
      </c>
    </row>
    <row r="7597" spans="1:24">
      <c r="A7597">
        <f>HYPERLINK("https://www.philgeps.gov.ph/GEPSNONPILOT/Tender/SplashBidNoticeAbstractUI.aspx?menuIndex=3&amp;refID=7144324&amp;Result=3","7144324")</f>
        <v>0</v>
      </c>
      <c r="B7597" t="s">
        <v>1046</v>
      </c>
      <c r="C7597" t="s">
        <v>10969</v>
      </c>
      <c r="D7597" t="s">
        <v>17980</v>
      </c>
      <c r="E7597" t="s">
        <v>24706</v>
      </c>
      <c r="F7597" t="s">
        <v>30900</v>
      </c>
      <c r="G7597" t="s">
        <v>30908</v>
      </c>
      <c r="H7597" t="s">
        <v>30916</v>
      </c>
      <c r="I7597" t="s">
        <v>30984</v>
      </c>
      <c r="J7597" t="s">
        <v>35877</v>
      </c>
      <c r="K7597" t="s">
        <v>40286</v>
      </c>
      <c r="M7597" t="s">
        <v>41639</v>
      </c>
      <c r="N7597" t="s">
        <v>44759</v>
      </c>
      <c r="O7597" t="s">
        <v>44760</v>
      </c>
      <c r="P7597">
        <v>0</v>
      </c>
      <c r="Q7597">
        <v>3</v>
      </c>
      <c r="R7597" t="s">
        <v>44767</v>
      </c>
      <c r="S7597" t="s">
        <v>44954</v>
      </c>
      <c r="T7597" t="s">
        <v>46658</v>
      </c>
      <c r="U7597" t="s">
        <v>53283</v>
      </c>
      <c r="W7597" t="s">
        <v>41639</v>
      </c>
      <c r="X7597" t="s">
        <v>44768</v>
      </c>
    </row>
    <row r="7598" spans="1:24">
      <c r="A7598">
        <f>HYPERLINK("https://www.philgeps.gov.ph/GEPSNONPILOT/Tender/SplashBidNoticeAbstractUI.aspx?menuIndex=3&amp;refID=7144311&amp;Result=3","7144311")</f>
        <v>0</v>
      </c>
      <c r="B7598" t="s">
        <v>2478</v>
      </c>
      <c r="C7598" t="s">
        <v>10970</v>
      </c>
      <c r="D7598" t="s">
        <v>17958</v>
      </c>
      <c r="E7598" t="s">
        <v>24707</v>
      </c>
      <c r="F7598" t="s">
        <v>30900</v>
      </c>
      <c r="G7598" t="s">
        <v>30907</v>
      </c>
      <c r="H7598" t="s">
        <v>30915</v>
      </c>
      <c r="I7598" t="s">
        <v>30919</v>
      </c>
      <c r="J7598" t="s">
        <v>31341</v>
      </c>
      <c r="K7598" t="s">
        <v>40356</v>
      </c>
      <c r="M7598" t="s">
        <v>43217</v>
      </c>
      <c r="N7598" t="s">
        <v>44759</v>
      </c>
      <c r="O7598" t="s">
        <v>44760</v>
      </c>
      <c r="P7598">
        <v>0</v>
      </c>
      <c r="Q7598">
        <v>0</v>
      </c>
      <c r="R7598" t="s">
        <v>44767</v>
      </c>
      <c r="S7598" t="s">
        <v>44954</v>
      </c>
      <c r="T7598" t="s">
        <v>46450</v>
      </c>
      <c r="U7598" t="s">
        <v>53284</v>
      </c>
      <c r="W7598" t="s">
        <v>43217</v>
      </c>
      <c r="X7598" t="s">
        <v>44768</v>
      </c>
    </row>
    <row r="7599" spans="1:24">
      <c r="A7599">
        <f>HYPERLINK("https://www.philgeps.gov.ph/GEPSNONPILOT/Tender/SplashBidNoticeAbstractUI.aspx?menuIndex=3&amp;refID=7144308&amp;Result=3","7144308")</f>
        <v>0</v>
      </c>
      <c r="B7599" t="s">
        <v>2036</v>
      </c>
      <c r="C7599" t="s">
        <v>10971</v>
      </c>
      <c r="D7599" t="s">
        <v>17959</v>
      </c>
      <c r="E7599" t="s">
        <v>24708</v>
      </c>
      <c r="F7599" t="s">
        <v>30900</v>
      </c>
      <c r="G7599" t="s">
        <v>30908</v>
      </c>
      <c r="H7599" t="s">
        <v>30916</v>
      </c>
      <c r="I7599" t="s">
        <v>4545</v>
      </c>
      <c r="J7599" t="s">
        <v>31043</v>
      </c>
      <c r="K7599" t="s">
        <v>40283</v>
      </c>
      <c r="M7599" t="s">
        <v>42733</v>
      </c>
      <c r="N7599" t="s">
        <v>44759</v>
      </c>
      <c r="O7599" t="s">
        <v>44760</v>
      </c>
      <c r="P7599">
        <v>0</v>
      </c>
      <c r="Q7599">
        <v>1</v>
      </c>
      <c r="R7599" t="s">
        <v>44767</v>
      </c>
      <c r="S7599" t="s">
        <v>44954</v>
      </c>
      <c r="T7599" t="s">
        <v>46410</v>
      </c>
      <c r="U7599" t="s">
        <v>51694</v>
      </c>
      <c r="W7599" t="s">
        <v>42733</v>
      </c>
      <c r="X7599" t="s">
        <v>44768</v>
      </c>
    </row>
    <row r="7600" spans="1:24">
      <c r="A7600">
        <f>HYPERLINK("https://www.philgeps.gov.ph/GEPSNONPILOT/Tender/SplashBidNoticeAbstractUI.aspx?menuIndex=3&amp;refID=7144313&amp;Result=3","7144313")</f>
        <v>0</v>
      </c>
      <c r="B7600" t="s">
        <v>2486</v>
      </c>
      <c r="C7600" t="s">
        <v>10972</v>
      </c>
      <c r="D7600" t="s">
        <v>17978</v>
      </c>
      <c r="E7600" t="s">
        <v>24709</v>
      </c>
      <c r="F7600" t="s">
        <v>30899</v>
      </c>
      <c r="G7600" t="s">
        <v>30907</v>
      </c>
      <c r="H7600" t="s">
        <v>30916</v>
      </c>
      <c r="I7600" t="s">
        <v>8123</v>
      </c>
      <c r="J7600" t="s">
        <v>35878</v>
      </c>
      <c r="K7600" t="s">
        <v>40284</v>
      </c>
      <c r="M7600" t="s">
        <v>43227</v>
      </c>
      <c r="N7600" t="s">
        <v>44759</v>
      </c>
      <c r="O7600" t="s">
        <v>44760</v>
      </c>
      <c r="P7600">
        <v>0</v>
      </c>
      <c r="Q7600">
        <v>0</v>
      </c>
      <c r="R7600" t="s">
        <v>44767</v>
      </c>
      <c r="S7600" t="s">
        <v>44954</v>
      </c>
      <c r="T7600" t="s">
        <v>46428</v>
      </c>
      <c r="U7600" t="s">
        <v>53285</v>
      </c>
      <c r="V7600" t="s">
        <v>59933</v>
      </c>
      <c r="W7600" t="s">
        <v>43227</v>
      </c>
      <c r="X7600" t="s">
        <v>44768</v>
      </c>
    </row>
    <row r="7601" spans="1:24">
      <c r="A7601">
        <f>HYPERLINK("https://www.philgeps.gov.ph/GEPSNONPILOT/Tender/SplashBidNoticeAbstractUI.aspx?menuIndex=3&amp;refID=7144295&amp;Result=3","7144295")</f>
        <v>0</v>
      </c>
      <c r="B7601" t="s">
        <v>1046</v>
      </c>
      <c r="C7601" t="s">
        <v>10973</v>
      </c>
      <c r="D7601" t="s">
        <v>17980</v>
      </c>
      <c r="E7601" t="s">
        <v>24710</v>
      </c>
      <c r="F7601" t="s">
        <v>30900</v>
      </c>
      <c r="G7601" t="s">
        <v>30908</v>
      </c>
      <c r="H7601" t="s">
        <v>30916</v>
      </c>
      <c r="I7601" t="s">
        <v>4142</v>
      </c>
      <c r="J7601" t="s">
        <v>35879</v>
      </c>
      <c r="K7601" t="s">
        <v>40286</v>
      </c>
      <c r="M7601" t="s">
        <v>41639</v>
      </c>
      <c r="N7601" t="s">
        <v>44759</v>
      </c>
      <c r="O7601" t="s">
        <v>44760</v>
      </c>
      <c r="P7601">
        <v>0</v>
      </c>
      <c r="Q7601">
        <v>6</v>
      </c>
      <c r="R7601" t="s">
        <v>44767</v>
      </c>
      <c r="S7601" t="s">
        <v>44954</v>
      </c>
      <c r="T7601" t="s">
        <v>46658</v>
      </c>
      <c r="U7601" t="s">
        <v>53286</v>
      </c>
      <c r="W7601" t="s">
        <v>41639</v>
      </c>
      <c r="X7601" t="s">
        <v>44768</v>
      </c>
    </row>
    <row r="7602" spans="1:24">
      <c r="A7602">
        <f>HYPERLINK("https://www.philgeps.gov.ph/GEPSNONPILOT/Tender/SplashBidNoticeAbstractUI.aspx?menuIndex=3&amp;refID=7144332&amp;Result=3","7144332")</f>
        <v>0</v>
      </c>
      <c r="B7602" t="s">
        <v>629</v>
      </c>
      <c r="C7602" t="s">
        <v>10974</v>
      </c>
      <c r="D7602" t="s">
        <v>17992</v>
      </c>
      <c r="E7602" t="s">
        <v>24711</v>
      </c>
      <c r="F7602" t="s">
        <v>30900</v>
      </c>
      <c r="G7602" t="s">
        <v>30908</v>
      </c>
      <c r="H7602" t="s">
        <v>30916</v>
      </c>
      <c r="I7602" t="s">
        <v>5830</v>
      </c>
      <c r="J7602" t="s">
        <v>31067</v>
      </c>
      <c r="K7602" t="s">
        <v>40283</v>
      </c>
      <c r="M7602" t="s">
        <v>41195</v>
      </c>
      <c r="N7602" t="s">
        <v>44759</v>
      </c>
      <c r="O7602" t="s">
        <v>44760</v>
      </c>
      <c r="P7602">
        <v>0</v>
      </c>
      <c r="Q7602">
        <v>6</v>
      </c>
      <c r="R7602" t="s">
        <v>44767</v>
      </c>
      <c r="S7602" t="s">
        <v>44954</v>
      </c>
      <c r="T7602" t="s">
        <v>46581</v>
      </c>
      <c r="U7602" t="s">
        <v>53287</v>
      </c>
      <c r="V7602" t="s">
        <v>59226</v>
      </c>
      <c r="W7602" t="s">
        <v>41195</v>
      </c>
      <c r="X7602" t="s">
        <v>44768</v>
      </c>
    </row>
    <row r="7603" spans="1:24">
      <c r="A7603">
        <f>HYPERLINK("https://www.philgeps.gov.ph/GEPSNONPILOT/Tender/SplashBidNoticeAbstractUI.aspx?menuIndex=3&amp;refID=7144346&amp;Result=3","7144346")</f>
        <v>0</v>
      </c>
      <c r="B7603" t="s">
        <v>628</v>
      </c>
      <c r="C7603" t="s">
        <v>10975</v>
      </c>
      <c r="D7603" t="s">
        <v>17961</v>
      </c>
      <c r="E7603" t="s">
        <v>24712</v>
      </c>
      <c r="F7603" t="s">
        <v>30900</v>
      </c>
      <c r="G7603" t="s">
        <v>30913</v>
      </c>
      <c r="H7603" t="s">
        <v>30916</v>
      </c>
      <c r="I7603" t="s">
        <v>30947</v>
      </c>
      <c r="J7603" t="s">
        <v>35880</v>
      </c>
      <c r="K7603" t="s">
        <v>40280</v>
      </c>
      <c r="M7603" t="s">
        <v>43298</v>
      </c>
      <c r="N7603" t="s">
        <v>44759</v>
      </c>
      <c r="O7603" t="s">
        <v>44760</v>
      </c>
      <c r="P7603">
        <v>0</v>
      </c>
      <c r="Q7603">
        <v>2</v>
      </c>
      <c r="R7603" t="s">
        <v>44767</v>
      </c>
      <c r="S7603" t="s">
        <v>44954</v>
      </c>
      <c r="T7603" t="s">
        <v>46654</v>
      </c>
      <c r="U7603" t="s">
        <v>53288</v>
      </c>
      <c r="V7603" t="s">
        <v>59929</v>
      </c>
      <c r="W7603" t="s">
        <v>43298</v>
      </c>
      <c r="X7603" t="s">
        <v>44768</v>
      </c>
    </row>
    <row r="7604" spans="1:24">
      <c r="A7604">
        <f>HYPERLINK("https://www.philgeps.gov.ph/GEPSNONPILOT/Tender/SplashBidNoticeAbstractUI.aspx?menuIndex=3&amp;refID=7144309&amp;Result=3","7144309")</f>
        <v>0</v>
      </c>
      <c r="B7604" t="s">
        <v>2552</v>
      </c>
      <c r="C7604" t="s">
        <v>10976</v>
      </c>
      <c r="D7604" t="s">
        <v>17970</v>
      </c>
      <c r="E7604" t="s">
        <v>18149</v>
      </c>
      <c r="F7604" t="s">
        <v>30900</v>
      </c>
      <c r="G7604" t="s">
        <v>30907</v>
      </c>
      <c r="H7604" t="s">
        <v>30915</v>
      </c>
      <c r="I7604" t="s">
        <v>30919</v>
      </c>
      <c r="J7604" t="s">
        <v>35881</v>
      </c>
      <c r="K7604" t="s">
        <v>40286</v>
      </c>
      <c r="M7604" t="s">
        <v>43310</v>
      </c>
      <c r="N7604" t="s">
        <v>44759</v>
      </c>
      <c r="O7604" t="s">
        <v>44760</v>
      </c>
      <c r="P7604">
        <v>0</v>
      </c>
      <c r="Q7604">
        <v>0</v>
      </c>
      <c r="R7604" t="s">
        <v>44767</v>
      </c>
      <c r="S7604" t="s">
        <v>44954</v>
      </c>
      <c r="T7604" t="s">
        <v>46495</v>
      </c>
      <c r="U7604" t="s">
        <v>53289</v>
      </c>
      <c r="V7604" t="s">
        <v>59934</v>
      </c>
      <c r="W7604" t="s">
        <v>43310</v>
      </c>
      <c r="X7604" t="s">
        <v>44768</v>
      </c>
    </row>
    <row r="7605" spans="1:24">
      <c r="A7605">
        <f>HYPERLINK("https://www.philgeps.gov.ph/GEPSNONPILOT/Tender/SplashBidNoticeAbstractUI.aspx?menuIndex=3&amp;refID=7144339&amp;Result=3","7144339")</f>
        <v>0</v>
      </c>
      <c r="B7605" t="s">
        <v>2478</v>
      </c>
      <c r="C7605" t="s">
        <v>10977</v>
      </c>
      <c r="D7605" t="s">
        <v>17958</v>
      </c>
      <c r="E7605" t="s">
        <v>24713</v>
      </c>
      <c r="F7605" t="s">
        <v>30900</v>
      </c>
      <c r="G7605" t="s">
        <v>30907</v>
      </c>
      <c r="H7605" t="s">
        <v>30915</v>
      </c>
      <c r="I7605" t="s">
        <v>30919</v>
      </c>
      <c r="J7605" t="s">
        <v>31211</v>
      </c>
      <c r="K7605" t="s">
        <v>40413</v>
      </c>
      <c r="M7605" t="s">
        <v>43217</v>
      </c>
      <c r="N7605" t="s">
        <v>44759</v>
      </c>
      <c r="O7605" t="s">
        <v>44760</v>
      </c>
      <c r="P7605">
        <v>0</v>
      </c>
      <c r="Q7605">
        <v>0</v>
      </c>
      <c r="R7605" t="s">
        <v>44767</v>
      </c>
      <c r="S7605" t="s">
        <v>44954</v>
      </c>
      <c r="T7605" t="s">
        <v>46450</v>
      </c>
      <c r="U7605" t="s">
        <v>53290</v>
      </c>
      <c r="W7605" t="s">
        <v>43217</v>
      </c>
      <c r="X7605" t="s">
        <v>44768</v>
      </c>
    </row>
    <row r="7606" spans="1:24">
      <c r="A7606">
        <f>HYPERLINK("https://www.philgeps.gov.ph/GEPSNONPILOT/Tender/SplashBidNoticeAbstractUI.aspx?menuIndex=3&amp;refID=7144334&amp;Result=3","7144334")</f>
        <v>0</v>
      </c>
      <c r="B7606" t="s">
        <v>2529</v>
      </c>
      <c r="C7606" t="s">
        <v>10978</v>
      </c>
      <c r="D7606" t="s">
        <v>17952</v>
      </c>
      <c r="E7606" t="s">
        <v>24714</v>
      </c>
      <c r="F7606" t="s">
        <v>30900</v>
      </c>
      <c r="G7606" t="s">
        <v>30907</v>
      </c>
      <c r="H7606" t="s">
        <v>30915</v>
      </c>
      <c r="I7606" t="s">
        <v>30932</v>
      </c>
      <c r="J7606" t="s">
        <v>31297</v>
      </c>
      <c r="K7606" t="s">
        <v>40280</v>
      </c>
      <c r="M7606" t="s">
        <v>43281</v>
      </c>
      <c r="N7606" t="s">
        <v>44759</v>
      </c>
      <c r="O7606" t="s">
        <v>44760</v>
      </c>
      <c r="P7606">
        <v>0</v>
      </c>
      <c r="Q7606">
        <v>1</v>
      </c>
      <c r="R7606" t="s">
        <v>44767</v>
      </c>
      <c r="S7606" t="s">
        <v>44954</v>
      </c>
      <c r="T7606" t="s">
        <v>46715</v>
      </c>
      <c r="U7606" t="s">
        <v>53291</v>
      </c>
      <c r="W7606" t="s">
        <v>43281</v>
      </c>
      <c r="X7606" t="s">
        <v>44768</v>
      </c>
    </row>
    <row r="7607" spans="1:24">
      <c r="A7607">
        <f>HYPERLINK("https://www.philgeps.gov.ph/GEPSNONPILOT/Tender/SplashBidNoticeAbstractUI.aspx?menuIndex=3&amp;refID=7144345&amp;Result=3","7144345")</f>
        <v>0</v>
      </c>
      <c r="B7607" t="s">
        <v>2553</v>
      </c>
      <c r="C7607" t="s">
        <v>10979</v>
      </c>
      <c r="D7607" t="s">
        <v>17966</v>
      </c>
      <c r="E7607" t="s">
        <v>24715</v>
      </c>
      <c r="F7607" t="s">
        <v>30900</v>
      </c>
      <c r="G7607" t="s">
        <v>30907</v>
      </c>
      <c r="H7607" t="s">
        <v>30916</v>
      </c>
      <c r="I7607" t="s">
        <v>30922</v>
      </c>
      <c r="J7607" t="s">
        <v>35882</v>
      </c>
      <c r="K7607" t="s">
        <v>40286</v>
      </c>
      <c r="M7607" t="s">
        <v>43311</v>
      </c>
      <c r="N7607" t="s">
        <v>44759</v>
      </c>
      <c r="O7607" t="s">
        <v>44760</v>
      </c>
      <c r="P7607">
        <v>0</v>
      </c>
      <c r="Q7607">
        <v>13</v>
      </c>
      <c r="R7607" t="s">
        <v>44767</v>
      </c>
      <c r="S7607" t="s">
        <v>44954</v>
      </c>
      <c r="T7607" t="s">
        <v>46703</v>
      </c>
      <c r="U7607" t="s">
        <v>53292</v>
      </c>
      <c r="W7607" t="s">
        <v>43311</v>
      </c>
      <c r="X7607" t="s">
        <v>44768</v>
      </c>
    </row>
    <row r="7608" spans="1:24">
      <c r="A7608">
        <f>HYPERLINK("https://www.philgeps.gov.ph/GEPSNONPILOT/Tender/SplashBidNoticeAbstractUI.aspx?menuIndex=3&amp;refID=7144368&amp;Result=3","7144368")</f>
        <v>0</v>
      </c>
      <c r="B7608" t="s">
        <v>2486</v>
      </c>
      <c r="C7608" t="s">
        <v>10980</v>
      </c>
      <c r="D7608" t="s">
        <v>17978</v>
      </c>
      <c r="E7608" t="s">
        <v>24716</v>
      </c>
      <c r="F7608" t="s">
        <v>30899</v>
      </c>
      <c r="G7608" t="s">
        <v>30907</v>
      </c>
      <c r="H7608" t="s">
        <v>30916</v>
      </c>
      <c r="I7608" t="s">
        <v>8123</v>
      </c>
      <c r="J7608" t="s">
        <v>35883</v>
      </c>
      <c r="K7608" t="s">
        <v>40284</v>
      </c>
      <c r="M7608" t="s">
        <v>43227</v>
      </c>
      <c r="N7608" t="s">
        <v>44759</v>
      </c>
      <c r="O7608" t="s">
        <v>44760</v>
      </c>
      <c r="P7608">
        <v>0</v>
      </c>
      <c r="Q7608">
        <v>0</v>
      </c>
      <c r="R7608" t="s">
        <v>44767</v>
      </c>
      <c r="S7608" t="s">
        <v>44954</v>
      </c>
      <c r="T7608" t="s">
        <v>46428</v>
      </c>
      <c r="U7608" t="s">
        <v>53285</v>
      </c>
      <c r="V7608" t="s">
        <v>59933</v>
      </c>
      <c r="W7608" t="s">
        <v>43227</v>
      </c>
      <c r="X7608" t="s">
        <v>44768</v>
      </c>
    </row>
    <row r="7609" spans="1:24">
      <c r="A7609">
        <f>HYPERLINK("https://www.philgeps.gov.ph/GEPSNONPILOT/Tender/SplashBidNoticeAbstractUI.aspx?menuIndex=3&amp;refID=7144366&amp;Result=3","7144366")</f>
        <v>0</v>
      </c>
      <c r="B7609" t="s">
        <v>2036</v>
      </c>
      <c r="C7609" t="s">
        <v>10981</v>
      </c>
      <c r="D7609" t="s">
        <v>17959</v>
      </c>
      <c r="E7609" t="s">
        <v>24717</v>
      </c>
      <c r="F7609" t="s">
        <v>30900</v>
      </c>
      <c r="G7609" t="s">
        <v>30908</v>
      </c>
      <c r="H7609" t="s">
        <v>30916</v>
      </c>
      <c r="I7609" t="s">
        <v>4545</v>
      </c>
      <c r="J7609" t="s">
        <v>31043</v>
      </c>
      <c r="K7609" t="s">
        <v>40283</v>
      </c>
      <c r="M7609" t="s">
        <v>42733</v>
      </c>
      <c r="N7609" t="s">
        <v>44759</v>
      </c>
      <c r="O7609" t="s">
        <v>44760</v>
      </c>
      <c r="P7609">
        <v>0</v>
      </c>
      <c r="Q7609">
        <v>12</v>
      </c>
      <c r="R7609" t="s">
        <v>44767</v>
      </c>
      <c r="S7609" t="s">
        <v>44954</v>
      </c>
      <c r="T7609" t="s">
        <v>46410</v>
      </c>
      <c r="U7609" t="s">
        <v>51694</v>
      </c>
      <c r="W7609" t="s">
        <v>42733</v>
      </c>
      <c r="X7609" t="s">
        <v>44768</v>
      </c>
    </row>
    <row r="7610" spans="1:24">
      <c r="A7610">
        <f>HYPERLINK("https://www.philgeps.gov.ph/GEPSNONPILOT/Tender/SplashBidNoticeAbstractUI.aspx?menuIndex=3&amp;refID=7144370&amp;Result=3","7144370")</f>
        <v>0</v>
      </c>
      <c r="B7610" t="s">
        <v>2554</v>
      </c>
      <c r="C7610" t="s">
        <v>10982</v>
      </c>
      <c r="D7610" t="s">
        <v>17981</v>
      </c>
      <c r="E7610" t="s">
        <v>20521</v>
      </c>
      <c r="F7610" t="s">
        <v>30900</v>
      </c>
      <c r="G7610" t="s">
        <v>30907</v>
      </c>
      <c r="H7610" t="s">
        <v>30916</v>
      </c>
      <c r="I7610" t="s">
        <v>8123</v>
      </c>
      <c r="J7610" t="s">
        <v>31183</v>
      </c>
      <c r="K7610" t="s">
        <v>40286</v>
      </c>
      <c r="M7610" t="s">
        <v>43312</v>
      </c>
      <c r="N7610" t="s">
        <v>44759</v>
      </c>
      <c r="O7610" t="s">
        <v>44760</v>
      </c>
      <c r="P7610">
        <v>0</v>
      </c>
      <c r="Q7610">
        <v>1</v>
      </c>
      <c r="R7610" t="s">
        <v>44767</v>
      </c>
      <c r="S7610" t="s">
        <v>44954</v>
      </c>
      <c r="T7610" t="s">
        <v>46374</v>
      </c>
      <c r="U7610" t="s">
        <v>47461</v>
      </c>
      <c r="W7610" t="s">
        <v>43312</v>
      </c>
      <c r="X7610" t="s">
        <v>44768</v>
      </c>
    </row>
    <row r="7611" spans="1:24">
      <c r="A7611">
        <f>HYPERLINK("https://www.philgeps.gov.ph/GEPSNONPILOT/Tender/SplashBidNoticeAbstractUI.aspx?menuIndex=3&amp;refID=7144365&amp;Result=3","7144365")</f>
        <v>0</v>
      </c>
      <c r="B7611" t="s">
        <v>1043</v>
      </c>
      <c r="C7611" t="s">
        <v>10983</v>
      </c>
      <c r="D7611" t="s">
        <v>18000</v>
      </c>
      <c r="E7611" t="s">
        <v>24718</v>
      </c>
      <c r="F7611" t="s">
        <v>30900</v>
      </c>
      <c r="G7611" t="s">
        <v>30907</v>
      </c>
      <c r="H7611" t="s">
        <v>30916</v>
      </c>
      <c r="I7611" t="s">
        <v>4545</v>
      </c>
      <c r="J7611" t="s">
        <v>35884</v>
      </c>
      <c r="K7611" t="s">
        <v>40289</v>
      </c>
      <c r="M7611" t="s">
        <v>43271</v>
      </c>
      <c r="N7611" t="s">
        <v>44759</v>
      </c>
      <c r="O7611" t="s">
        <v>44760</v>
      </c>
      <c r="P7611">
        <v>0</v>
      </c>
      <c r="Q7611">
        <v>6</v>
      </c>
      <c r="R7611" t="s">
        <v>44767</v>
      </c>
      <c r="S7611" t="s">
        <v>44954</v>
      </c>
      <c r="T7611" t="s">
        <v>46531</v>
      </c>
      <c r="U7611" t="s">
        <v>53134</v>
      </c>
      <c r="W7611" t="s">
        <v>43271</v>
      </c>
      <c r="X7611" t="s">
        <v>44768</v>
      </c>
    </row>
    <row r="7612" spans="1:24">
      <c r="A7612">
        <f>HYPERLINK("https://www.philgeps.gov.ph/GEPSNONPILOT/Tender/SplashBidNoticeAbstractUI.aspx?menuIndex=3&amp;refID=7144363&amp;Result=3","7144363")</f>
        <v>0</v>
      </c>
      <c r="B7612" t="s">
        <v>2529</v>
      </c>
      <c r="C7612" t="s">
        <v>10984</v>
      </c>
      <c r="D7612" t="s">
        <v>17952</v>
      </c>
      <c r="E7612" t="s">
        <v>24719</v>
      </c>
      <c r="F7612" t="s">
        <v>30900</v>
      </c>
      <c r="G7612" t="s">
        <v>30907</v>
      </c>
      <c r="H7612" t="s">
        <v>30915</v>
      </c>
      <c r="I7612" t="s">
        <v>30919</v>
      </c>
      <c r="J7612" t="s">
        <v>31066</v>
      </c>
      <c r="K7612" t="s">
        <v>40280</v>
      </c>
      <c r="M7612" t="s">
        <v>43281</v>
      </c>
      <c r="N7612" t="s">
        <v>44759</v>
      </c>
      <c r="O7612" t="s">
        <v>44760</v>
      </c>
      <c r="P7612">
        <v>0</v>
      </c>
      <c r="Q7612">
        <v>0</v>
      </c>
      <c r="R7612" t="s">
        <v>44767</v>
      </c>
      <c r="S7612" t="s">
        <v>44954</v>
      </c>
      <c r="T7612" t="s">
        <v>46715</v>
      </c>
      <c r="U7612" t="s">
        <v>53293</v>
      </c>
      <c r="W7612" t="s">
        <v>43281</v>
      </c>
      <c r="X7612" t="s">
        <v>44768</v>
      </c>
    </row>
    <row r="7613" spans="1:24">
      <c r="A7613">
        <f>HYPERLINK("https://www.philgeps.gov.ph/GEPSNONPILOT/Tender/SplashBidNoticeAbstractUI.aspx?menuIndex=3&amp;refID=7144361&amp;Result=3","7144361")</f>
        <v>0</v>
      </c>
      <c r="B7613" t="s">
        <v>629</v>
      </c>
      <c r="C7613" t="s">
        <v>10985</v>
      </c>
      <c r="D7613" t="s">
        <v>17992</v>
      </c>
      <c r="E7613" t="s">
        <v>24720</v>
      </c>
      <c r="F7613" t="s">
        <v>30900</v>
      </c>
      <c r="G7613" t="s">
        <v>30908</v>
      </c>
      <c r="H7613" t="s">
        <v>30916</v>
      </c>
      <c r="I7613" t="s">
        <v>30931</v>
      </c>
      <c r="J7613" t="s">
        <v>35885</v>
      </c>
      <c r="K7613" t="s">
        <v>40283</v>
      </c>
      <c r="M7613" t="s">
        <v>41195</v>
      </c>
      <c r="N7613" t="s">
        <v>44759</v>
      </c>
      <c r="O7613" t="s">
        <v>44760</v>
      </c>
      <c r="P7613">
        <v>0</v>
      </c>
      <c r="Q7613">
        <v>5</v>
      </c>
      <c r="R7613" t="s">
        <v>44767</v>
      </c>
      <c r="S7613" t="s">
        <v>44954</v>
      </c>
      <c r="T7613" t="s">
        <v>46581</v>
      </c>
      <c r="U7613" t="s">
        <v>53294</v>
      </c>
      <c r="V7613" t="s">
        <v>59226</v>
      </c>
      <c r="W7613" t="s">
        <v>41195</v>
      </c>
      <c r="X7613" t="s">
        <v>44768</v>
      </c>
    </row>
    <row r="7614" spans="1:24">
      <c r="A7614">
        <f>HYPERLINK("https://www.philgeps.gov.ph/GEPSNONPILOT/Tender/SplashBidNoticeAbstractUI.aspx?menuIndex=3&amp;refID=7144357&amp;Result=3","7144357")</f>
        <v>0</v>
      </c>
      <c r="B7614" t="s">
        <v>708</v>
      </c>
      <c r="C7614" t="s">
        <v>10986</v>
      </c>
      <c r="E7614" t="s">
        <v>24721</v>
      </c>
      <c r="F7614" t="s">
        <v>30900</v>
      </c>
      <c r="G7614" t="s">
        <v>30907</v>
      </c>
      <c r="H7614" t="s">
        <v>30916</v>
      </c>
      <c r="I7614" t="s">
        <v>10847</v>
      </c>
      <c r="J7614" t="s">
        <v>35886</v>
      </c>
      <c r="K7614" t="s">
        <v>40289</v>
      </c>
      <c r="M7614" t="s">
        <v>43282</v>
      </c>
      <c r="N7614" t="s">
        <v>44759</v>
      </c>
      <c r="O7614" t="s">
        <v>44760</v>
      </c>
      <c r="P7614">
        <v>0</v>
      </c>
      <c r="Q7614">
        <v>2</v>
      </c>
      <c r="R7614" t="s">
        <v>44767</v>
      </c>
      <c r="S7614" t="s">
        <v>44954</v>
      </c>
      <c r="T7614" t="s">
        <v>46428</v>
      </c>
      <c r="U7614" t="s">
        <v>53295</v>
      </c>
      <c r="W7614" t="s">
        <v>43282</v>
      </c>
      <c r="X7614" t="s">
        <v>44768</v>
      </c>
    </row>
    <row r="7615" spans="1:24">
      <c r="A7615">
        <f>HYPERLINK("https://www.philgeps.gov.ph/GEPSNONPILOT/Tender/SplashBidNoticeAbstractUI.aspx?menuIndex=3&amp;refID=7144347&amp;Result=3","7144347")</f>
        <v>0</v>
      </c>
      <c r="B7615" t="s">
        <v>2554</v>
      </c>
      <c r="C7615" t="s">
        <v>10987</v>
      </c>
      <c r="D7615" t="s">
        <v>17981</v>
      </c>
      <c r="E7615" t="s">
        <v>20521</v>
      </c>
      <c r="F7615" t="s">
        <v>30900</v>
      </c>
      <c r="G7615" t="s">
        <v>30907</v>
      </c>
      <c r="H7615" t="s">
        <v>30916</v>
      </c>
      <c r="I7615" t="s">
        <v>8123</v>
      </c>
      <c r="J7615" t="s">
        <v>31070</v>
      </c>
      <c r="K7615" t="s">
        <v>40286</v>
      </c>
      <c r="M7615" t="s">
        <v>43312</v>
      </c>
      <c r="N7615" t="s">
        <v>44759</v>
      </c>
      <c r="O7615" t="s">
        <v>44760</v>
      </c>
      <c r="P7615">
        <v>0</v>
      </c>
      <c r="Q7615">
        <v>1</v>
      </c>
      <c r="R7615" t="s">
        <v>44767</v>
      </c>
      <c r="S7615" t="s">
        <v>44954</v>
      </c>
      <c r="T7615" t="s">
        <v>46374</v>
      </c>
      <c r="U7615" t="s">
        <v>47461</v>
      </c>
      <c r="W7615" t="s">
        <v>43312</v>
      </c>
      <c r="X7615" t="s">
        <v>44768</v>
      </c>
    </row>
    <row r="7616" spans="1:24">
      <c r="A7616">
        <f>HYPERLINK("https://www.philgeps.gov.ph/GEPSNONPILOT/Tender/SplashBidNoticeAbstractUI.aspx?menuIndex=3&amp;refID=7144374&amp;Result=3","7144374")</f>
        <v>0</v>
      </c>
      <c r="B7616" t="s">
        <v>708</v>
      </c>
      <c r="C7616" t="s">
        <v>10988</v>
      </c>
      <c r="E7616" t="s">
        <v>24722</v>
      </c>
      <c r="F7616" t="s">
        <v>30900</v>
      </c>
      <c r="G7616" t="s">
        <v>30907</v>
      </c>
      <c r="H7616" t="s">
        <v>30916</v>
      </c>
      <c r="I7616" t="s">
        <v>30923</v>
      </c>
      <c r="J7616" t="s">
        <v>35887</v>
      </c>
      <c r="K7616" t="s">
        <v>40289</v>
      </c>
      <c r="M7616" t="s">
        <v>43282</v>
      </c>
      <c r="N7616" t="s">
        <v>44759</v>
      </c>
      <c r="O7616" t="s">
        <v>44760</v>
      </c>
      <c r="P7616">
        <v>0</v>
      </c>
      <c r="Q7616">
        <v>3</v>
      </c>
      <c r="R7616" t="s">
        <v>44767</v>
      </c>
      <c r="S7616" t="s">
        <v>44954</v>
      </c>
      <c r="T7616" t="s">
        <v>46428</v>
      </c>
      <c r="U7616" t="s">
        <v>53296</v>
      </c>
      <c r="W7616" t="s">
        <v>43282</v>
      </c>
      <c r="X7616" t="s">
        <v>44768</v>
      </c>
    </row>
    <row r="7617" spans="1:24">
      <c r="A7617">
        <f>HYPERLINK("https://www.philgeps.gov.ph/GEPSNONPILOT/Tender/SplashBidNoticeAbstractUI.aspx?menuIndex=3&amp;refID=7144338&amp;Result=3","7144338")</f>
        <v>0</v>
      </c>
      <c r="B7617" t="s">
        <v>2555</v>
      </c>
      <c r="C7617" t="s">
        <v>10989</v>
      </c>
      <c r="D7617" t="s">
        <v>17988</v>
      </c>
      <c r="E7617" t="s">
        <v>24723</v>
      </c>
      <c r="F7617" t="s">
        <v>30900</v>
      </c>
      <c r="G7617" t="s">
        <v>30907</v>
      </c>
      <c r="H7617" t="s">
        <v>30916</v>
      </c>
      <c r="I7617" t="s">
        <v>8123</v>
      </c>
      <c r="J7617" t="s">
        <v>35888</v>
      </c>
      <c r="K7617" t="s">
        <v>40288</v>
      </c>
      <c r="M7617" t="s">
        <v>43313</v>
      </c>
      <c r="N7617" t="s">
        <v>44759</v>
      </c>
      <c r="O7617" t="s">
        <v>44760</v>
      </c>
      <c r="P7617">
        <v>0</v>
      </c>
      <c r="Q7617">
        <v>0</v>
      </c>
      <c r="R7617" t="s">
        <v>44767</v>
      </c>
      <c r="S7617" t="s">
        <v>44954</v>
      </c>
      <c r="T7617" t="s">
        <v>46783</v>
      </c>
      <c r="U7617" t="s">
        <v>53297</v>
      </c>
      <c r="W7617" t="s">
        <v>43313</v>
      </c>
      <c r="X7617" t="s">
        <v>44768</v>
      </c>
    </row>
    <row r="7618" spans="1:24">
      <c r="A7618">
        <f>HYPERLINK("https://www.philgeps.gov.ph/GEPSNONPILOT/Tender/SplashBidNoticeAbstractUI.aspx?menuIndex=3&amp;refID=7144371&amp;Result=3","7144371")</f>
        <v>0</v>
      </c>
      <c r="B7618" t="s">
        <v>2152</v>
      </c>
      <c r="C7618" t="s">
        <v>10990</v>
      </c>
      <c r="D7618" t="s">
        <v>18019</v>
      </c>
      <c r="E7618" t="s">
        <v>24724</v>
      </c>
      <c r="F7618" t="s">
        <v>30900</v>
      </c>
      <c r="G7618" t="s">
        <v>30907</v>
      </c>
      <c r="H7618" t="s">
        <v>30915</v>
      </c>
      <c r="I7618" t="s">
        <v>30919</v>
      </c>
      <c r="J7618" t="s">
        <v>35889</v>
      </c>
      <c r="K7618" t="s">
        <v>40401</v>
      </c>
      <c r="M7618" t="s">
        <v>43265</v>
      </c>
      <c r="N7618" t="s">
        <v>44759</v>
      </c>
      <c r="O7618" t="s">
        <v>44760</v>
      </c>
      <c r="P7618">
        <v>0</v>
      </c>
      <c r="Q7618">
        <v>0</v>
      </c>
      <c r="R7618" t="s">
        <v>44767</v>
      </c>
      <c r="S7618" t="s">
        <v>44954</v>
      </c>
      <c r="T7618" t="s">
        <v>46497</v>
      </c>
      <c r="U7618" t="s">
        <v>53245</v>
      </c>
      <c r="W7618" t="s">
        <v>43265</v>
      </c>
      <c r="X7618" t="s">
        <v>44768</v>
      </c>
    </row>
    <row r="7619" spans="1:24">
      <c r="A7619">
        <f>HYPERLINK("https://www.philgeps.gov.ph/GEPSNONPILOT/Tender/SplashBidNoticeAbstractUI.aspx?menuIndex=3&amp;refID=7144409&amp;Result=3","7144409")</f>
        <v>0</v>
      </c>
      <c r="B7619" t="s">
        <v>2556</v>
      </c>
      <c r="C7619" t="s">
        <v>10991</v>
      </c>
      <c r="D7619" t="s">
        <v>17963</v>
      </c>
      <c r="E7619" t="s">
        <v>19690</v>
      </c>
      <c r="F7619" t="s">
        <v>30900</v>
      </c>
      <c r="G7619" t="s">
        <v>30907</v>
      </c>
      <c r="H7619" t="s">
        <v>30916</v>
      </c>
      <c r="I7619" t="s">
        <v>8123</v>
      </c>
      <c r="J7619" t="s">
        <v>35890</v>
      </c>
      <c r="K7619" t="s">
        <v>40283</v>
      </c>
      <c r="M7619" t="s">
        <v>43314</v>
      </c>
      <c r="N7619" t="s">
        <v>44759</v>
      </c>
      <c r="O7619" t="s">
        <v>44760</v>
      </c>
      <c r="P7619">
        <v>0</v>
      </c>
      <c r="Q7619">
        <v>0</v>
      </c>
      <c r="R7619" t="s">
        <v>44767</v>
      </c>
      <c r="S7619" t="s">
        <v>44954</v>
      </c>
      <c r="T7619" t="s">
        <v>46357</v>
      </c>
      <c r="U7619" t="s">
        <v>53298</v>
      </c>
      <c r="W7619" t="s">
        <v>43314</v>
      </c>
      <c r="X7619" t="s">
        <v>44768</v>
      </c>
    </row>
    <row r="7620" spans="1:24">
      <c r="A7620">
        <f>HYPERLINK("https://www.philgeps.gov.ph/GEPSNONPILOT/Tender/SplashBidNoticeAbstractUI.aspx?menuIndex=3&amp;refID=7144359&amp;Result=3","7144359")</f>
        <v>0</v>
      </c>
      <c r="B7620" t="s">
        <v>605</v>
      </c>
      <c r="C7620" t="s">
        <v>10992</v>
      </c>
      <c r="D7620" t="s">
        <v>18020</v>
      </c>
      <c r="E7620" t="s">
        <v>24725</v>
      </c>
      <c r="F7620" t="s">
        <v>30900</v>
      </c>
      <c r="G7620" t="s">
        <v>30913</v>
      </c>
      <c r="H7620" t="s">
        <v>30916</v>
      </c>
      <c r="I7620" t="s">
        <v>4142</v>
      </c>
      <c r="J7620" t="s">
        <v>35891</v>
      </c>
      <c r="K7620" t="s">
        <v>40283</v>
      </c>
      <c r="M7620" t="s">
        <v>41166</v>
      </c>
      <c r="N7620" t="s">
        <v>44759</v>
      </c>
      <c r="O7620" t="s">
        <v>44760</v>
      </c>
      <c r="P7620">
        <v>0</v>
      </c>
      <c r="Q7620">
        <v>5</v>
      </c>
      <c r="R7620" t="s">
        <v>44767</v>
      </c>
      <c r="S7620" t="s">
        <v>44954</v>
      </c>
      <c r="T7620" t="s">
        <v>46495</v>
      </c>
      <c r="U7620" t="s">
        <v>51739</v>
      </c>
      <c r="W7620" t="s">
        <v>41166</v>
      </c>
      <c r="X7620" t="s">
        <v>44768</v>
      </c>
    </row>
    <row r="7621" spans="1:24">
      <c r="A7621">
        <f>HYPERLINK("https://www.philgeps.gov.ph/GEPSNONPILOT/Tender/SplashBidNoticeAbstractUI.aspx?menuIndex=3&amp;refID=7144407&amp;Result=3","7144407")</f>
        <v>0</v>
      </c>
      <c r="B7621" t="s">
        <v>2036</v>
      </c>
      <c r="C7621" t="s">
        <v>10993</v>
      </c>
      <c r="D7621" t="s">
        <v>17959</v>
      </c>
      <c r="E7621" t="s">
        <v>24726</v>
      </c>
      <c r="F7621" t="s">
        <v>30900</v>
      </c>
      <c r="G7621" t="s">
        <v>30908</v>
      </c>
      <c r="H7621" t="s">
        <v>30916</v>
      </c>
      <c r="I7621" t="s">
        <v>4017</v>
      </c>
      <c r="J7621" t="s">
        <v>35892</v>
      </c>
      <c r="K7621" t="s">
        <v>40283</v>
      </c>
      <c r="M7621" t="s">
        <v>42733</v>
      </c>
      <c r="N7621" t="s">
        <v>44759</v>
      </c>
      <c r="O7621" t="s">
        <v>44760</v>
      </c>
      <c r="P7621">
        <v>0</v>
      </c>
      <c r="Q7621">
        <v>16</v>
      </c>
      <c r="R7621" t="s">
        <v>44767</v>
      </c>
      <c r="S7621" t="s">
        <v>44954</v>
      </c>
      <c r="T7621" t="s">
        <v>46410</v>
      </c>
      <c r="U7621" t="s">
        <v>51694</v>
      </c>
      <c r="W7621" t="s">
        <v>42733</v>
      </c>
      <c r="X7621" t="s">
        <v>44768</v>
      </c>
    </row>
    <row r="7622" spans="1:24">
      <c r="A7622">
        <f>HYPERLINK("https://www.philgeps.gov.ph/GEPSNONPILOT/Tender/SplashBidNoticeAbstractUI.aspx?menuIndex=3&amp;refID=7144356&amp;Result=3","7144356")</f>
        <v>0</v>
      </c>
      <c r="B7622" t="s">
        <v>2557</v>
      </c>
      <c r="C7622" t="s">
        <v>10994</v>
      </c>
      <c r="D7622" t="s">
        <v>17993</v>
      </c>
      <c r="E7622" t="s">
        <v>24727</v>
      </c>
      <c r="F7622" t="s">
        <v>30899</v>
      </c>
      <c r="G7622" t="s">
        <v>30908</v>
      </c>
      <c r="H7622" t="s">
        <v>30916</v>
      </c>
      <c r="I7622" t="s">
        <v>30922</v>
      </c>
      <c r="J7622" t="s">
        <v>32818</v>
      </c>
      <c r="K7622" t="s">
        <v>40284</v>
      </c>
      <c r="M7622" t="s">
        <v>43315</v>
      </c>
      <c r="N7622" t="s">
        <v>44759</v>
      </c>
      <c r="O7622" t="s">
        <v>44760</v>
      </c>
      <c r="P7622">
        <v>0</v>
      </c>
      <c r="Q7622">
        <v>15</v>
      </c>
      <c r="R7622" t="s">
        <v>44767</v>
      </c>
      <c r="S7622" t="s">
        <v>44954</v>
      </c>
      <c r="T7622" t="s">
        <v>46391</v>
      </c>
      <c r="U7622" t="s">
        <v>53299</v>
      </c>
      <c r="W7622" t="s">
        <v>43315</v>
      </c>
      <c r="X7622" t="s">
        <v>44768</v>
      </c>
    </row>
    <row r="7623" spans="1:24">
      <c r="A7623">
        <f>HYPERLINK("https://www.philgeps.gov.ph/GEPSNONPILOT/Tender/SplashBidNoticeAbstractUI.aspx?menuIndex=3&amp;refID=7144405&amp;Result=3","7144405")</f>
        <v>0</v>
      </c>
      <c r="B7623" t="s">
        <v>2558</v>
      </c>
      <c r="C7623" t="s">
        <v>10995</v>
      </c>
      <c r="D7623" t="s">
        <v>17989</v>
      </c>
      <c r="E7623" t="s">
        <v>19262</v>
      </c>
      <c r="F7623" t="s">
        <v>30900</v>
      </c>
      <c r="G7623" t="s">
        <v>30907</v>
      </c>
      <c r="H7623" t="s">
        <v>30915</v>
      </c>
      <c r="I7623" t="s">
        <v>30946</v>
      </c>
      <c r="J7623" t="s">
        <v>32778</v>
      </c>
      <c r="K7623" t="s">
        <v>40283</v>
      </c>
      <c r="M7623" t="s">
        <v>43316</v>
      </c>
      <c r="N7623" t="s">
        <v>44759</v>
      </c>
      <c r="O7623" t="s">
        <v>44760</v>
      </c>
      <c r="P7623">
        <v>0</v>
      </c>
      <c r="Q7623">
        <v>0</v>
      </c>
      <c r="R7623" t="s">
        <v>44767</v>
      </c>
      <c r="S7623" t="s">
        <v>44954</v>
      </c>
      <c r="T7623" t="s">
        <v>46524</v>
      </c>
      <c r="U7623" t="s">
        <v>53300</v>
      </c>
      <c r="W7623" t="s">
        <v>43316</v>
      </c>
      <c r="X7623" t="s">
        <v>44768</v>
      </c>
    </row>
    <row r="7624" spans="1:24">
      <c r="A7624">
        <f>HYPERLINK("https://www.philgeps.gov.ph/GEPSNONPILOT/Tender/SplashBidNoticeAbstractUI.aspx?menuIndex=3&amp;refID=7144335&amp;Result=3","7144335")</f>
        <v>0</v>
      </c>
      <c r="B7624" t="s">
        <v>292</v>
      </c>
      <c r="C7624" t="s">
        <v>10996</v>
      </c>
      <c r="D7624" t="s">
        <v>17963</v>
      </c>
      <c r="E7624" t="s">
        <v>24728</v>
      </c>
      <c r="F7624" t="s">
        <v>30900</v>
      </c>
      <c r="G7624" t="s">
        <v>30907</v>
      </c>
      <c r="H7624" t="s">
        <v>30917</v>
      </c>
      <c r="I7624" t="s">
        <v>30942</v>
      </c>
      <c r="J7624" t="s">
        <v>31158</v>
      </c>
      <c r="K7624" t="s">
        <v>40332</v>
      </c>
      <c r="M7624" t="s">
        <v>43309</v>
      </c>
      <c r="N7624" t="s">
        <v>44759</v>
      </c>
      <c r="O7624" t="s">
        <v>44760</v>
      </c>
      <c r="P7624">
        <v>0</v>
      </c>
      <c r="Q7624">
        <v>2</v>
      </c>
      <c r="R7624" t="s">
        <v>44767</v>
      </c>
      <c r="S7624" t="s">
        <v>44954</v>
      </c>
      <c r="T7624" t="s">
        <v>46374</v>
      </c>
      <c r="U7624" t="s">
        <v>53280</v>
      </c>
      <c r="W7624" t="s">
        <v>43309</v>
      </c>
      <c r="X7624" t="s">
        <v>44768</v>
      </c>
    </row>
    <row r="7625" spans="1:24">
      <c r="A7625">
        <f>HYPERLINK("https://www.philgeps.gov.ph/GEPSNONPILOT/Tender/SplashBidNoticeAbstractUI.aspx?menuIndex=3&amp;refID=7144401&amp;Result=3","7144401")</f>
        <v>0</v>
      </c>
      <c r="B7625" t="s">
        <v>691</v>
      </c>
      <c r="C7625" t="s">
        <v>10997</v>
      </c>
      <c r="D7625" t="s">
        <v>17953</v>
      </c>
      <c r="E7625" t="s">
        <v>19350</v>
      </c>
      <c r="F7625" t="s">
        <v>30900</v>
      </c>
      <c r="G7625" t="s">
        <v>30910</v>
      </c>
      <c r="H7625" t="s">
        <v>30916</v>
      </c>
      <c r="I7625" t="s">
        <v>30921</v>
      </c>
      <c r="J7625" t="s">
        <v>35893</v>
      </c>
      <c r="K7625" t="s">
        <v>40283</v>
      </c>
      <c r="M7625" t="s">
        <v>41255</v>
      </c>
      <c r="N7625" t="s">
        <v>44759</v>
      </c>
      <c r="O7625" t="s">
        <v>44760</v>
      </c>
      <c r="P7625">
        <v>0</v>
      </c>
      <c r="Q7625">
        <v>3</v>
      </c>
      <c r="R7625" t="s">
        <v>44767</v>
      </c>
      <c r="S7625" t="s">
        <v>44954</v>
      </c>
      <c r="T7625" t="s">
        <v>46374</v>
      </c>
      <c r="U7625" t="s">
        <v>53301</v>
      </c>
      <c r="W7625" t="s">
        <v>41255</v>
      </c>
      <c r="X7625" t="s">
        <v>44768</v>
      </c>
    </row>
    <row r="7626" spans="1:24">
      <c r="A7626">
        <f>HYPERLINK("https://www.philgeps.gov.ph/GEPSNONPILOT/Tender/SplashBidNoticeAbstractUI.aspx?menuIndex=3&amp;refID=7144396&amp;Result=3","7144396")</f>
        <v>0</v>
      </c>
      <c r="B7626" t="s">
        <v>2529</v>
      </c>
      <c r="C7626" t="s">
        <v>10998</v>
      </c>
      <c r="D7626" t="s">
        <v>17952</v>
      </c>
      <c r="E7626" t="s">
        <v>24729</v>
      </c>
      <c r="F7626" t="s">
        <v>30900</v>
      </c>
      <c r="G7626" t="s">
        <v>30907</v>
      </c>
      <c r="H7626" t="s">
        <v>30916</v>
      </c>
      <c r="I7626" t="s">
        <v>30924</v>
      </c>
      <c r="J7626" t="s">
        <v>35894</v>
      </c>
      <c r="K7626" t="s">
        <v>40286</v>
      </c>
      <c r="M7626" t="s">
        <v>43281</v>
      </c>
      <c r="N7626" t="s">
        <v>44759</v>
      </c>
      <c r="O7626" t="s">
        <v>44760</v>
      </c>
      <c r="P7626">
        <v>0</v>
      </c>
      <c r="Q7626">
        <v>3</v>
      </c>
      <c r="R7626" t="s">
        <v>44767</v>
      </c>
      <c r="S7626" t="s">
        <v>44954</v>
      </c>
      <c r="T7626" t="s">
        <v>46715</v>
      </c>
      <c r="U7626" t="s">
        <v>53302</v>
      </c>
      <c r="W7626" t="s">
        <v>43281</v>
      </c>
      <c r="X7626" t="s">
        <v>44768</v>
      </c>
    </row>
    <row r="7627" spans="1:24">
      <c r="A7627">
        <f>HYPERLINK("https://www.philgeps.gov.ph/GEPSNONPILOT/Tender/SplashBidNoticeAbstractUI.aspx?menuIndex=3&amp;refID=7144392&amp;Result=3","7144392")</f>
        <v>0</v>
      </c>
      <c r="B7627" t="s">
        <v>2559</v>
      </c>
      <c r="C7627" t="s">
        <v>10999</v>
      </c>
      <c r="E7627" t="s">
        <v>18921</v>
      </c>
      <c r="F7627" t="s">
        <v>30900</v>
      </c>
      <c r="G7627" t="s">
        <v>30907</v>
      </c>
      <c r="H7627" t="s">
        <v>30915</v>
      </c>
      <c r="I7627" t="s">
        <v>30919</v>
      </c>
      <c r="J7627" t="s">
        <v>31293</v>
      </c>
      <c r="K7627" t="s">
        <v>40291</v>
      </c>
      <c r="M7627" t="s">
        <v>43317</v>
      </c>
      <c r="N7627" t="s">
        <v>44759</v>
      </c>
      <c r="O7627" t="s">
        <v>44760</v>
      </c>
      <c r="P7627">
        <v>0</v>
      </c>
      <c r="Q7627">
        <v>0</v>
      </c>
      <c r="R7627" t="s">
        <v>44767</v>
      </c>
      <c r="S7627" t="s">
        <v>44954</v>
      </c>
      <c r="T7627" t="s">
        <v>46383</v>
      </c>
      <c r="U7627" t="s">
        <v>53303</v>
      </c>
      <c r="W7627" t="s">
        <v>43317</v>
      </c>
      <c r="X7627" t="s">
        <v>44768</v>
      </c>
    </row>
    <row r="7628" spans="1:24">
      <c r="A7628">
        <f>HYPERLINK("https://www.philgeps.gov.ph/GEPSNONPILOT/Tender/SplashBidNoticeAbstractUI.aspx?menuIndex=3&amp;refID=7144388&amp;Result=3","7144388")</f>
        <v>0</v>
      </c>
      <c r="B7628" t="s">
        <v>2560</v>
      </c>
      <c r="C7628" t="s">
        <v>11000</v>
      </c>
      <c r="D7628" t="s">
        <v>18031</v>
      </c>
      <c r="E7628" t="s">
        <v>21533</v>
      </c>
      <c r="F7628" t="s">
        <v>30900</v>
      </c>
      <c r="G7628" t="s">
        <v>30907</v>
      </c>
      <c r="H7628" t="s">
        <v>30916</v>
      </c>
      <c r="I7628" t="s">
        <v>30932</v>
      </c>
      <c r="J7628" t="s">
        <v>31687</v>
      </c>
      <c r="K7628" t="s">
        <v>40286</v>
      </c>
      <c r="M7628" t="s">
        <v>43318</v>
      </c>
      <c r="N7628" t="s">
        <v>44759</v>
      </c>
      <c r="O7628" t="s">
        <v>44760</v>
      </c>
      <c r="P7628">
        <v>0</v>
      </c>
      <c r="Q7628">
        <v>2</v>
      </c>
      <c r="R7628" t="s">
        <v>44767</v>
      </c>
      <c r="S7628" t="s">
        <v>44954</v>
      </c>
      <c r="T7628" t="s">
        <v>46399</v>
      </c>
      <c r="U7628" t="s">
        <v>53304</v>
      </c>
      <c r="W7628" t="s">
        <v>43318</v>
      </c>
      <c r="X7628" t="s">
        <v>44768</v>
      </c>
    </row>
    <row r="7629" spans="1:24">
      <c r="A7629">
        <f>HYPERLINK("https://www.philgeps.gov.ph/GEPSNONPILOT/Tender/SplashBidNoticeAbstractUI.aspx?menuIndex=3&amp;refID=7144349&amp;Result=3","7144349")</f>
        <v>0</v>
      </c>
      <c r="B7629" t="s">
        <v>2036</v>
      </c>
      <c r="C7629" t="s">
        <v>11001</v>
      </c>
      <c r="D7629" t="s">
        <v>17959</v>
      </c>
      <c r="E7629" t="s">
        <v>24730</v>
      </c>
      <c r="F7629" t="s">
        <v>30900</v>
      </c>
      <c r="G7629" t="s">
        <v>30908</v>
      </c>
      <c r="H7629" t="s">
        <v>30916</v>
      </c>
      <c r="I7629" t="s">
        <v>4545</v>
      </c>
      <c r="J7629" t="s">
        <v>31070</v>
      </c>
      <c r="K7629" t="s">
        <v>40283</v>
      </c>
      <c r="M7629" t="s">
        <v>42733</v>
      </c>
      <c r="N7629" t="s">
        <v>44759</v>
      </c>
      <c r="O7629" t="s">
        <v>44760</v>
      </c>
      <c r="P7629">
        <v>0</v>
      </c>
      <c r="Q7629">
        <v>10</v>
      </c>
      <c r="R7629" t="s">
        <v>44767</v>
      </c>
      <c r="S7629" t="s">
        <v>44954</v>
      </c>
      <c r="T7629" t="s">
        <v>46410</v>
      </c>
      <c r="U7629" t="s">
        <v>51694</v>
      </c>
      <c r="W7629" t="s">
        <v>42733</v>
      </c>
      <c r="X7629" t="s">
        <v>44768</v>
      </c>
    </row>
    <row r="7630" spans="1:24">
      <c r="A7630">
        <f>HYPERLINK("https://www.philgeps.gov.ph/GEPSNONPILOT/Tender/SplashBidNoticeAbstractUI.aspx?menuIndex=3&amp;refID=7144387&amp;Result=3","7144387")</f>
        <v>0</v>
      </c>
      <c r="B7630" t="s">
        <v>2561</v>
      </c>
      <c r="C7630" t="s">
        <v>11002</v>
      </c>
      <c r="D7630" t="s">
        <v>17951</v>
      </c>
      <c r="E7630" t="s">
        <v>24612</v>
      </c>
      <c r="F7630" t="s">
        <v>30900</v>
      </c>
      <c r="G7630" t="s">
        <v>30907</v>
      </c>
      <c r="H7630" t="s">
        <v>30915</v>
      </c>
      <c r="I7630" t="s">
        <v>30919</v>
      </c>
      <c r="J7630" t="s">
        <v>31158</v>
      </c>
      <c r="K7630" t="s">
        <v>40304</v>
      </c>
      <c r="M7630" t="s">
        <v>43319</v>
      </c>
      <c r="N7630" t="s">
        <v>44759</v>
      </c>
      <c r="O7630" t="s">
        <v>44760</v>
      </c>
      <c r="P7630">
        <v>0</v>
      </c>
      <c r="Q7630">
        <v>1</v>
      </c>
      <c r="R7630" t="s">
        <v>44767</v>
      </c>
      <c r="S7630" t="s">
        <v>44954</v>
      </c>
      <c r="T7630" t="s">
        <v>46709</v>
      </c>
      <c r="U7630" t="s">
        <v>53305</v>
      </c>
      <c r="W7630" t="s">
        <v>43319</v>
      </c>
      <c r="X7630" t="s">
        <v>44768</v>
      </c>
    </row>
    <row r="7631" spans="1:24">
      <c r="A7631">
        <f>HYPERLINK("https://www.philgeps.gov.ph/GEPSNONPILOT/Tender/SplashBidNoticeAbstractUI.aspx?menuIndex=3&amp;refID=7144406&amp;Result=3","7144406")</f>
        <v>0</v>
      </c>
      <c r="B7631" t="s">
        <v>2371</v>
      </c>
      <c r="C7631" t="s">
        <v>11003</v>
      </c>
      <c r="D7631" t="s">
        <v>17975</v>
      </c>
      <c r="E7631" t="s">
        <v>24731</v>
      </c>
      <c r="F7631" t="s">
        <v>30900</v>
      </c>
      <c r="G7631" t="s">
        <v>30907</v>
      </c>
      <c r="H7631" t="s">
        <v>30916</v>
      </c>
      <c r="I7631" t="s">
        <v>4108</v>
      </c>
      <c r="J7631" t="s">
        <v>32527</v>
      </c>
      <c r="K7631" t="s">
        <v>40286</v>
      </c>
      <c r="M7631" t="s">
        <v>43097</v>
      </c>
      <c r="N7631" t="s">
        <v>44759</v>
      </c>
      <c r="O7631" t="s">
        <v>44760</v>
      </c>
      <c r="P7631">
        <v>0</v>
      </c>
      <c r="Q7631">
        <v>1</v>
      </c>
      <c r="R7631" t="s">
        <v>44767</v>
      </c>
      <c r="S7631" t="s">
        <v>44954</v>
      </c>
      <c r="T7631" t="s">
        <v>46689</v>
      </c>
      <c r="U7631" t="s">
        <v>53306</v>
      </c>
      <c r="W7631" t="s">
        <v>43097</v>
      </c>
      <c r="X7631" t="s">
        <v>44768</v>
      </c>
    </row>
    <row r="7632" spans="1:24">
      <c r="A7632">
        <f>HYPERLINK("https://www.philgeps.gov.ph/GEPSNONPILOT/Tender/SplashBidNoticeAbstractUI.aspx?menuIndex=3&amp;refID=7144450&amp;Result=3","7144450")</f>
        <v>0</v>
      </c>
      <c r="B7632" t="s">
        <v>2529</v>
      </c>
      <c r="C7632" t="s">
        <v>11004</v>
      </c>
      <c r="D7632" t="s">
        <v>17952</v>
      </c>
      <c r="E7632" t="s">
        <v>24732</v>
      </c>
      <c r="F7632" t="s">
        <v>30900</v>
      </c>
      <c r="G7632" t="s">
        <v>30907</v>
      </c>
      <c r="H7632" t="s">
        <v>30916</v>
      </c>
      <c r="I7632" t="s">
        <v>4017</v>
      </c>
      <c r="J7632" t="s">
        <v>32596</v>
      </c>
      <c r="K7632" t="s">
        <v>40286</v>
      </c>
      <c r="M7632" t="s">
        <v>43281</v>
      </c>
      <c r="N7632" t="s">
        <v>44759</v>
      </c>
      <c r="O7632" t="s">
        <v>44760</v>
      </c>
      <c r="P7632">
        <v>0</v>
      </c>
      <c r="Q7632">
        <v>6</v>
      </c>
      <c r="R7632" t="s">
        <v>44767</v>
      </c>
      <c r="S7632" t="s">
        <v>44954</v>
      </c>
      <c r="T7632" t="s">
        <v>46715</v>
      </c>
      <c r="U7632" t="s">
        <v>53307</v>
      </c>
      <c r="W7632" t="s">
        <v>43281</v>
      </c>
      <c r="X7632" t="s">
        <v>44768</v>
      </c>
    </row>
    <row r="7633" spans="1:24">
      <c r="A7633">
        <f>HYPERLINK("https://www.philgeps.gov.ph/GEPSNONPILOT/Tender/SplashBidNoticeAbstractUI.aspx?menuIndex=3&amp;refID=7144449&amp;Result=3","7144449")</f>
        <v>0</v>
      </c>
      <c r="B7633" t="s">
        <v>2036</v>
      </c>
      <c r="C7633" t="s">
        <v>11005</v>
      </c>
      <c r="D7633" t="s">
        <v>17959</v>
      </c>
      <c r="E7633" t="s">
        <v>24733</v>
      </c>
      <c r="F7633" t="s">
        <v>30900</v>
      </c>
      <c r="G7633" t="s">
        <v>30908</v>
      </c>
      <c r="H7633" t="s">
        <v>30916</v>
      </c>
      <c r="I7633" t="s">
        <v>30924</v>
      </c>
      <c r="J7633" t="s">
        <v>35895</v>
      </c>
      <c r="K7633" t="s">
        <v>40283</v>
      </c>
      <c r="M7633" t="s">
        <v>42733</v>
      </c>
      <c r="N7633" t="s">
        <v>44759</v>
      </c>
      <c r="O7633" t="s">
        <v>44760</v>
      </c>
      <c r="P7633">
        <v>0</v>
      </c>
      <c r="Q7633">
        <v>13</v>
      </c>
      <c r="R7633" t="s">
        <v>44767</v>
      </c>
      <c r="S7633" t="s">
        <v>44954</v>
      </c>
      <c r="T7633" t="s">
        <v>46410</v>
      </c>
      <c r="U7633" t="s">
        <v>51694</v>
      </c>
      <c r="W7633" t="s">
        <v>42733</v>
      </c>
      <c r="X7633" t="s">
        <v>44768</v>
      </c>
    </row>
    <row r="7634" spans="1:24">
      <c r="A7634">
        <f>HYPERLINK("https://www.philgeps.gov.ph/GEPSNONPILOT/Tender/SplashBidNoticeAbstractUI.aspx?menuIndex=3&amp;refID=7144443&amp;Result=3","7144443")</f>
        <v>0</v>
      </c>
      <c r="B7634" t="s">
        <v>2549</v>
      </c>
      <c r="C7634" t="s">
        <v>11006</v>
      </c>
      <c r="D7634" t="s">
        <v>18003</v>
      </c>
      <c r="E7634" t="s">
        <v>24734</v>
      </c>
      <c r="F7634" t="s">
        <v>30900</v>
      </c>
      <c r="G7634" t="s">
        <v>30907</v>
      </c>
      <c r="H7634" t="s">
        <v>30915</v>
      </c>
      <c r="I7634" t="s">
        <v>30948</v>
      </c>
      <c r="J7634" t="s">
        <v>31391</v>
      </c>
      <c r="K7634" t="s">
        <v>40292</v>
      </c>
      <c r="M7634" t="s">
        <v>43306</v>
      </c>
      <c r="N7634" t="s">
        <v>44759</v>
      </c>
      <c r="O7634" t="s">
        <v>44760</v>
      </c>
      <c r="P7634">
        <v>0</v>
      </c>
      <c r="Q7634">
        <v>7</v>
      </c>
      <c r="R7634" t="s">
        <v>44767</v>
      </c>
      <c r="S7634" t="s">
        <v>44954</v>
      </c>
      <c r="T7634" t="s">
        <v>46504</v>
      </c>
      <c r="U7634" t="s">
        <v>53308</v>
      </c>
      <c r="W7634" t="s">
        <v>43306</v>
      </c>
      <c r="X7634" t="s">
        <v>44768</v>
      </c>
    </row>
    <row r="7635" spans="1:24">
      <c r="A7635">
        <f>HYPERLINK("https://www.philgeps.gov.ph/GEPSNONPILOT/Tender/SplashBidNoticeAbstractUI.aspx?menuIndex=3&amp;refID=7144441&amp;Result=3","7144441")</f>
        <v>0</v>
      </c>
      <c r="B7635" t="s">
        <v>2371</v>
      </c>
      <c r="C7635" t="s">
        <v>11007</v>
      </c>
      <c r="D7635" t="s">
        <v>17975</v>
      </c>
      <c r="E7635" t="s">
        <v>24735</v>
      </c>
      <c r="F7635" t="s">
        <v>30900</v>
      </c>
      <c r="G7635" t="s">
        <v>30907</v>
      </c>
      <c r="H7635" t="s">
        <v>30916</v>
      </c>
      <c r="I7635" t="s">
        <v>30918</v>
      </c>
      <c r="J7635" t="s">
        <v>32386</v>
      </c>
      <c r="K7635" t="s">
        <v>40286</v>
      </c>
      <c r="M7635" t="s">
        <v>43097</v>
      </c>
      <c r="N7635" t="s">
        <v>44759</v>
      </c>
      <c r="O7635" t="s">
        <v>44760</v>
      </c>
      <c r="P7635">
        <v>0</v>
      </c>
      <c r="Q7635">
        <v>5</v>
      </c>
      <c r="R7635" t="s">
        <v>44767</v>
      </c>
      <c r="S7635" t="s">
        <v>44954</v>
      </c>
      <c r="T7635" t="s">
        <v>46689</v>
      </c>
      <c r="U7635" t="s">
        <v>53309</v>
      </c>
      <c r="W7635" t="s">
        <v>43097</v>
      </c>
      <c r="X7635" t="s">
        <v>44768</v>
      </c>
    </row>
    <row r="7636" spans="1:24">
      <c r="A7636">
        <f>HYPERLINK("https://www.philgeps.gov.ph/GEPSNONPILOT/Tender/SplashBidNoticeAbstractUI.aspx?menuIndex=3&amp;refID=7144438&amp;Result=3","7144438")</f>
        <v>0</v>
      </c>
      <c r="B7636" t="s">
        <v>2562</v>
      </c>
      <c r="C7636" t="s">
        <v>11008</v>
      </c>
      <c r="D7636" t="s">
        <v>18005</v>
      </c>
      <c r="E7636" t="s">
        <v>24736</v>
      </c>
      <c r="F7636" t="s">
        <v>30900</v>
      </c>
      <c r="G7636" t="s">
        <v>30909</v>
      </c>
      <c r="H7636" t="s">
        <v>30916</v>
      </c>
      <c r="I7636" t="s">
        <v>8044</v>
      </c>
      <c r="J7636" t="s">
        <v>35896</v>
      </c>
      <c r="K7636" t="s">
        <v>40289</v>
      </c>
      <c r="M7636" t="s">
        <v>43320</v>
      </c>
      <c r="N7636" t="s">
        <v>44759</v>
      </c>
      <c r="O7636" t="s">
        <v>44760</v>
      </c>
      <c r="P7636">
        <v>0</v>
      </c>
      <c r="Q7636">
        <v>4</v>
      </c>
      <c r="R7636" t="s">
        <v>44767</v>
      </c>
      <c r="S7636" t="s">
        <v>44954</v>
      </c>
      <c r="T7636" t="s">
        <v>46533</v>
      </c>
      <c r="U7636" t="s">
        <v>53310</v>
      </c>
      <c r="V7636" t="s">
        <v>59935</v>
      </c>
      <c r="W7636" t="s">
        <v>60894</v>
      </c>
      <c r="X7636" t="s">
        <v>44768</v>
      </c>
    </row>
    <row r="7637" spans="1:24">
      <c r="A7637">
        <f>HYPERLINK("https://www.philgeps.gov.ph/GEPSNONPILOT/Tender/SplashBidNoticeAbstractUI.aspx?menuIndex=3&amp;refID=7144436&amp;Result=3","7144436")</f>
        <v>0</v>
      </c>
      <c r="B7637" t="s">
        <v>2529</v>
      </c>
      <c r="C7637" t="s">
        <v>11009</v>
      </c>
      <c r="D7637" t="s">
        <v>17952</v>
      </c>
      <c r="E7637" t="s">
        <v>24737</v>
      </c>
      <c r="F7637" t="s">
        <v>30900</v>
      </c>
      <c r="G7637" t="s">
        <v>30907</v>
      </c>
      <c r="H7637" t="s">
        <v>30916</v>
      </c>
      <c r="I7637" t="s">
        <v>10961</v>
      </c>
      <c r="J7637" t="s">
        <v>31313</v>
      </c>
      <c r="K7637" t="s">
        <v>40286</v>
      </c>
      <c r="M7637" t="s">
        <v>43281</v>
      </c>
      <c r="N7637" t="s">
        <v>44759</v>
      </c>
      <c r="O7637" t="s">
        <v>44760</v>
      </c>
      <c r="P7637">
        <v>0</v>
      </c>
      <c r="Q7637">
        <v>1</v>
      </c>
      <c r="R7637" t="s">
        <v>44767</v>
      </c>
      <c r="S7637" t="s">
        <v>44954</v>
      </c>
      <c r="T7637" t="s">
        <v>46715</v>
      </c>
      <c r="U7637" t="s">
        <v>53311</v>
      </c>
      <c r="W7637" t="s">
        <v>43281</v>
      </c>
      <c r="X7637" t="s">
        <v>44768</v>
      </c>
    </row>
    <row r="7638" spans="1:24">
      <c r="A7638">
        <f>HYPERLINK("https://www.philgeps.gov.ph/GEPSNONPILOT/Tender/SplashBidNoticeAbstractUI.aspx?menuIndex=3&amp;refID=7144434&amp;Result=3","7144434")</f>
        <v>0</v>
      </c>
      <c r="B7638" t="s">
        <v>223</v>
      </c>
      <c r="C7638" t="s">
        <v>11010</v>
      </c>
      <c r="D7638" t="s">
        <v>18002</v>
      </c>
      <c r="E7638" t="s">
        <v>24738</v>
      </c>
      <c r="F7638" t="s">
        <v>30900</v>
      </c>
      <c r="G7638" t="s">
        <v>30907</v>
      </c>
      <c r="H7638" t="s">
        <v>30916</v>
      </c>
      <c r="I7638" t="s">
        <v>30933</v>
      </c>
      <c r="J7638" t="s">
        <v>35897</v>
      </c>
      <c r="K7638" t="s">
        <v>40289</v>
      </c>
      <c r="M7638" t="s">
        <v>43321</v>
      </c>
      <c r="N7638" t="s">
        <v>44759</v>
      </c>
      <c r="O7638" t="s">
        <v>44760</v>
      </c>
      <c r="P7638">
        <v>0</v>
      </c>
      <c r="Q7638">
        <v>6</v>
      </c>
      <c r="R7638" t="s">
        <v>44767</v>
      </c>
      <c r="S7638" t="s">
        <v>44954</v>
      </c>
      <c r="T7638" t="s">
        <v>46784</v>
      </c>
      <c r="U7638" t="s">
        <v>53312</v>
      </c>
      <c r="V7638" t="s">
        <v>59936</v>
      </c>
      <c r="W7638" t="s">
        <v>43321</v>
      </c>
      <c r="X7638" t="s">
        <v>44768</v>
      </c>
    </row>
    <row r="7639" spans="1:24">
      <c r="A7639">
        <f>HYPERLINK("https://www.philgeps.gov.ph/GEPSNONPILOT/Tender/SplashBidNoticeAbstractUI.aspx?menuIndex=3&amp;refID=7144431&amp;Result=3","7144431")</f>
        <v>0</v>
      </c>
      <c r="B7639" t="s">
        <v>743</v>
      </c>
      <c r="C7639" t="s">
        <v>11011</v>
      </c>
      <c r="D7639" t="s">
        <v>18013</v>
      </c>
      <c r="E7639" t="s">
        <v>24739</v>
      </c>
      <c r="F7639" t="s">
        <v>30900</v>
      </c>
      <c r="G7639" t="s">
        <v>30907</v>
      </c>
      <c r="H7639" t="s">
        <v>30916</v>
      </c>
      <c r="I7639" t="s">
        <v>8123</v>
      </c>
      <c r="J7639" t="s">
        <v>35898</v>
      </c>
      <c r="K7639" t="s">
        <v>40286</v>
      </c>
      <c r="M7639" t="s">
        <v>41307</v>
      </c>
      <c r="N7639" t="s">
        <v>44759</v>
      </c>
      <c r="O7639" t="s">
        <v>44760</v>
      </c>
      <c r="P7639">
        <v>0</v>
      </c>
      <c r="Q7639">
        <v>0</v>
      </c>
      <c r="R7639" t="s">
        <v>44767</v>
      </c>
      <c r="S7639" t="s">
        <v>44954</v>
      </c>
      <c r="T7639" t="s">
        <v>46533</v>
      </c>
      <c r="U7639" t="s">
        <v>53313</v>
      </c>
      <c r="W7639" t="s">
        <v>41307</v>
      </c>
      <c r="X7639" t="s">
        <v>44768</v>
      </c>
    </row>
    <row r="7640" spans="1:24">
      <c r="A7640">
        <f>HYPERLINK("https://www.philgeps.gov.ph/GEPSNONPILOT/Tender/SplashBidNoticeAbstractUI.aspx?menuIndex=3&amp;refID=7144348&amp;Result=3","7144348")</f>
        <v>0</v>
      </c>
      <c r="B7640" t="s">
        <v>2529</v>
      </c>
      <c r="C7640" t="s">
        <v>11012</v>
      </c>
      <c r="D7640" t="s">
        <v>17952</v>
      </c>
      <c r="E7640" t="s">
        <v>24740</v>
      </c>
      <c r="F7640" t="s">
        <v>30900</v>
      </c>
      <c r="G7640" t="s">
        <v>30907</v>
      </c>
      <c r="H7640" t="s">
        <v>30915</v>
      </c>
      <c r="I7640" t="s">
        <v>30919</v>
      </c>
      <c r="J7640" t="s">
        <v>31243</v>
      </c>
      <c r="K7640" t="s">
        <v>40280</v>
      </c>
      <c r="M7640" t="s">
        <v>43281</v>
      </c>
      <c r="N7640" t="s">
        <v>44759</v>
      </c>
      <c r="O7640" t="s">
        <v>44760</v>
      </c>
      <c r="P7640">
        <v>0</v>
      </c>
      <c r="Q7640">
        <v>0</v>
      </c>
      <c r="R7640" t="s">
        <v>44767</v>
      </c>
      <c r="S7640" t="s">
        <v>44954</v>
      </c>
      <c r="T7640" t="s">
        <v>46715</v>
      </c>
      <c r="U7640" t="s">
        <v>53314</v>
      </c>
      <c r="W7640" t="s">
        <v>43281</v>
      </c>
      <c r="X7640" t="s">
        <v>44768</v>
      </c>
    </row>
    <row r="7641" spans="1:24">
      <c r="A7641">
        <f>HYPERLINK("https://www.philgeps.gov.ph/GEPSNONPILOT/Tender/SplashBidNoticeAbstractUI.aspx?menuIndex=3&amp;refID=7144430&amp;Result=3","7144430")</f>
        <v>0</v>
      </c>
      <c r="B7641" t="s">
        <v>2563</v>
      </c>
      <c r="C7641" t="s">
        <v>11013</v>
      </c>
      <c r="D7641" t="s">
        <v>17959</v>
      </c>
      <c r="E7641" t="s">
        <v>24741</v>
      </c>
      <c r="F7641" t="s">
        <v>30904</v>
      </c>
      <c r="G7641" t="s">
        <v>30907</v>
      </c>
      <c r="H7641" t="s">
        <v>30916</v>
      </c>
      <c r="I7641" t="s">
        <v>4108</v>
      </c>
      <c r="J7641" t="s">
        <v>31443</v>
      </c>
      <c r="K7641" t="s">
        <v>40287</v>
      </c>
      <c r="M7641" t="s">
        <v>43322</v>
      </c>
      <c r="N7641" t="s">
        <v>44759</v>
      </c>
      <c r="O7641" t="s">
        <v>44760</v>
      </c>
      <c r="P7641">
        <v>0</v>
      </c>
      <c r="Q7641">
        <v>3</v>
      </c>
      <c r="R7641" t="s">
        <v>44767</v>
      </c>
      <c r="S7641" t="s">
        <v>44954</v>
      </c>
      <c r="T7641" t="s">
        <v>46353</v>
      </c>
      <c r="U7641" t="s">
        <v>53315</v>
      </c>
      <c r="W7641" t="s">
        <v>43322</v>
      </c>
      <c r="X7641" t="s">
        <v>44768</v>
      </c>
    </row>
    <row r="7642" spans="1:24">
      <c r="A7642">
        <f>HYPERLINK("https://www.philgeps.gov.ph/GEPSNONPILOT/Tender/SplashBidNoticeAbstractUI.aspx?menuIndex=3&amp;refID=7144428&amp;Result=3","7144428")</f>
        <v>0</v>
      </c>
      <c r="B7642" t="s">
        <v>2036</v>
      </c>
      <c r="C7642" t="s">
        <v>11014</v>
      </c>
      <c r="D7642" t="s">
        <v>17959</v>
      </c>
      <c r="E7642" t="s">
        <v>24742</v>
      </c>
      <c r="F7642" t="s">
        <v>30900</v>
      </c>
      <c r="G7642" t="s">
        <v>30908</v>
      </c>
      <c r="H7642" t="s">
        <v>30916</v>
      </c>
      <c r="I7642" t="s">
        <v>6408</v>
      </c>
      <c r="J7642" t="s">
        <v>31043</v>
      </c>
      <c r="K7642" t="s">
        <v>40283</v>
      </c>
      <c r="M7642" t="s">
        <v>42733</v>
      </c>
      <c r="N7642" t="s">
        <v>44759</v>
      </c>
      <c r="O7642" t="s">
        <v>44760</v>
      </c>
      <c r="P7642">
        <v>0</v>
      </c>
      <c r="Q7642">
        <v>8</v>
      </c>
      <c r="R7642" t="s">
        <v>44767</v>
      </c>
      <c r="S7642" t="s">
        <v>44954</v>
      </c>
      <c r="T7642" t="s">
        <v>46410</v>
      </c>
      <c r="U7642" t="s">
        <v>51694</v>
      </c>
      <c r="W7642" t="s">
        <v>42733</v>
      </c>
      <c r="X7642" t="s">
        <v>44768</v>
      </c>
    </row>
    <row r="7643" spans="1:24">
      <c r="A7643">
        <f>HYPERLINK("https://www.philgeps.gov.ph/GEPSNONPILOT/Tender/SplashBidNoticeAbstractUI.aspx?menuIndex=3&amp;refID=7144427&amp;Result=3","7144427")</f>
        <v>0</v>
      </c>
      <c r="B7643" t="s">
        <v>1043</v>
      </c>
      <c r="C7643" t="s">
        <v>11015</v>
      </c>
      <c r="D7643" t="s">
        <v>18000</v>
      </c>
      <c r="E7643" t="s">
        <v>24743</v>
      </c>
      <c r="F7643" t="s">
        <v>30900</v>
      </c>
      <c r="G7643" t="s">
        <v>30907</v>
      </c>
      <c r="H7643" t="s">
        <v>30916</v>
      </c>
      <c r="I7643" t="s">
        <v>5501</v>
      </c>
      <c r="J7643" t="s">
        <v>35899</v>
      </c>
      <c r="K7643" t="s">
        <v>40289</v>
      </c>
      <c r="M7643" t="s">
        <v>43271</v>
      </c>
      <c r="N7643" t="s">
        <v>44759</v>
      </c>
      <c r="O7643" t="s">
        <v>44760</v>
      </c>
      <c r="P7643">
        <v>0</v>
      </c>
      <c r="Q7643">
        <v>6</v>
      </c>
      <c r="R7643" t="s">
        <v>44767</v>
      </c>
      <c r="S7643" t="s">
        <v>44954</v>
      </c>
      <c r="T7643" t="s">
        <v>46531</v>
      </c>
      <c r="U7643" t="s">
        <v>53134</v>
      </c>
      <c r="W7643" t="s">
        <v>43271</v>
      </c>
      <c r="X7643" t="s">
        <v>44768</v>
      </c>
    </row>
    <row r="7644" spans="1:24">
      <c r="A7644">
        <f>HYPERLINK("https://www.philgeps.gov.ph/GEPSNONPILOT/Tender/SplashBidNoticeAbstractUI.aspx?menuIndex=3&amp;refID=7144402&amp;Result=3","7144402")</f>
        <v>0</v>
      </c>
      <c r="B7644" t="s">
        <v>1043</v>
      </c>
      <c r="C7644" t="s">
        <v>11016</v>
      </c>
      <c r="D7644" t="s">
        <v>18000</v>
      </c>
      <c r="E7644" t="s">
        <v>24744</v>
      </c>
      <c r="F7644" t="s">
        <v>30900</v>
      </c>
      <c r="G7644" t="s">
        <v>30907</v>
      </c>
      <c r="H7644" t="s">
        <v>30916</v>
      </c>
      <c r="I7644" t="s">
        <v>30941</v>
      </c>
      <c r="J7644" t="s">
        <v>35900</v>
      </c>
      <c r="K7644" t="s">
        <v>40289</v>
      </c>
      <c r="M7644" t="s">
        <v>43271</v>
      </c>
      <c r="N7644" t="s">
        <v>44759</v>
      </c>
      <c r="O7644" t="s">
        <v>44760</v>
      </c>
      <c r="P7644">
        <v>0</v>
      </c>
      <c r="Q7644">
        <v>2</v>
      </c>
      <c r="R7644" t="s">
        <v>44767</v>
      </c>
      <c r="S7644" t="s">
        <v>44954</v>
      </c>
      <c r="T7644" t="s">
        <v>46531</v>
      </c>
      <c r="U7644" t="s">
        <v>53134</v>
      </c>
      <c r="W7644" t="s">
        <v>43271</v>
      </c>
      <c r="X7644" t="s">
        <v>44768</v>
      </c>
    </row>
    <row r="7645" spans="1:24">
      <c r="A7645">
        <f>HYPERLINK("https://www.philgeps.gov.ph/GEPSNONPILOT/Tender/SplashBidNoticeAbstractUI.aspx?menuIndex=3&amp;refID=7144437&amp;Result=3","7144437")</f>
        <v>0</v>
      </c>
      <c r="B7645" t="s">
        <v>1674</v>
      </c>
      <c r="C7645" t="s">
        <v>11017</v>
      </c>
      <c r="D7645" t="s">
        <v>17963</v>
      </c>
      <c r="E7645" t="s">
        <v>24745</v>
      </c>
      <c r="F7645" t="s">
        <v>30900</v>
      </c>
      <c r="G7645" t="s">
        <v>30907</v>
      </c>
      <c r="H7645" t="s">
        <v>30916</v>
      </c>
      <c r="I7645" t="s">
        <v>30923</v>
      </c>
      <c r="J7645" t="s">
        <v>35901</v>
      </c>
      <c r="K7645" t="s">
        <v>40284</v>
      </c>
      <c r="M7645" t="s">
        <v>42332</v>
      </c>
      <c r="N7645" t="s">
        <v>44759</v>
      </c>
      <c r="O7645" t="s">
        <v>44760</v>
      </c>
      <c r="P7645">
        <v>0</v>
      </c>
      <c r="Q7645">
        <v>1</v>
      </c>
      <c r="R7645" t="s">
        <v>44767</v>
      </c>
      <c r="S7645" t="s">
        <v>44954</v>
      </c>
      <c r="T7645" t="s">
        <v>46531</v>
      </c>
      <c r="U7645" t="s">
        <v>53316</v>
      </c>
      <c r="W7645" t="s">
        <v>42332</v>
      </c>
      <c r="X7645" t="s">
        <v>44768</v>
      </c>
    </row>
    <row r="7646" spans="1:24">
      <c r="A7646">
        <f>HYPERLINK("https://www.philgeps.gov.ph/GEPSNONPILOT/Tender/SplashBidNoticeAbstractUI.aspx?menuIndex=3&amp;refID=7144424&amp;Result=3","7144424")</f>
        <v>0</v>
      </c>
      <c r="B7646" t="s">
        <v>2152</v>
      </c>
      <c r="C7646" t="s">
        <v>11018</v>
      </c>
      <c r="E7646" t="s">
        <v>24746</v>
      </c>
      <c r="F7646" t="s">
        <v>30900</v>
      </c>
      <c r="G7646" t="s">
        <v>30907</v>
      </c>
      <c r="H7646" t="s">
        <v>30916</v>
      </c>
      <c r="I7646" t="s">
        <v>30923</v>
      </c>
      <c r="J7646" t="s">
        <v>35902</v>
      </c>
      <c r="K7646" t="s">
        <v>40283</v>
      </c>
      <c r="M7646" t="s">
        <v>43280</v>
      </c>
      <c r="N7646" t="s">
        <v>44759</v>
      </c>
      <c r="O7646" t="s">
        <v>44760</v>
      </c>
      <c r="P7646">
        <v>0</v>
      </c>
      <c r="Q7646">
        <v>0</v>
      </c>
      <c r="R7646" t="s">
        <v>44767</v>
      </c>
      <c r="S7646" t="s">
        <v>44954</v>
      </c>
      <c r="T7646" t="s">
        <v>46612</v>
      </c>
      <c r="U7646" t="s">
        <v>53166</v>
      </c>
      <c r="W7646" t="s">
        <v>43280</v>
      </c>
      <c r="X7646" t="s">
        <v>44768</v>
      </c>
    </row>
    <row r="7647" spans="1:24">
      <c r="A7647">
        <f>HYPERLINK("https://www.philgeps.gov.ph/GEPSNONPILOT/Tender/SplashBidNoticeAbstractUI.aspx?menuIndex=3&amp;refID=7144423&amp;Result=3","7144423")</f>
        <v>0</v>
      </c>
      <c r="B7647" t="s">
        <v>2478</v>
      </c>
      <c r="C7647" t="s">
        <v>11019</v>
      </c>
      <c r="D7647" t="s">
        <v>17958</v>
      </c>
      <c r="E7647" t="s">
        <v>24747</v>
      </c>
      <c r="F7647" t="s">
        <v>30900</v>
      </c>
      <c r="G7647" t="s">
        <v>30907</v>
      </c>
      <c r="H7647" t="s">
        <v>30916</v>
      </c>
      <c r="I7647" t="s">
        <v>30923</v>
      </c>
      <c r="J7647" t="s">
        <v>31152</v>
      </c>
      <c r="K7647" t="s">
        <v>40283</v>
      </c>
      <c r="M7647" t="s">
        <v>43217</v>
      </c>
      <c r="N7647" t="s">
        <v>44759</v>
      </c>
      <c r="O7647" t="s">
        <v>44760</v>
      </c>
      <c r="P7647">
        <v>0</v>
      </c>
      <c r="Q7647">
        <v>7</v>
      </c>
      <c r="R7647" t="s">
        <v>44767</v>
      </c>
      <c r="S7647" t="s">
        <v>44954</v>
      </c>
      <c r="T7647" t="s">
        <v>46450</v>
      </c>
      <c r="U7647" t="s">
        <v>53317</v>
      </c>
      <c r="W7647" t="s">
        <v>43217</v>
      </c>
      <c r="X7647" t="s">
        <v>44768</v>
      </c>
    </row>
    <row r="7648" spans="1:24">
      <c r="A7648">
        <f>HYPERLINK("https://www.philgeps.gov.ph/GEPSNONPILOT/Tender/SplashBidNoticeAbstractUI.aspx?menuIndex=3&amp;refID=7144354&amp;Result=3","7144354")</f>
        <v>0</v>
      </c>
      <c r="B7648" t="s">
        <v>157</v>
      </c>
      <c r="C7648" t="s">
        <v>11020</v>
      </c>
      <c r="D7648" t="s">
        <v>17978</v>
      </c>
      <c r="E7648" t="s">
        <v>24748</v>
      </c>
      <c r="F7648" t="s">
        <v>30900</v>
      </c>
      <c r="G7648" t="s">
        <v>30908</v>
      </c>
      <c r="H7648" t="s">
        <v>30916</v>
      </c>
      <c r="I7648" t="s">
        <v>30947</v>
      </c>
      <c r="J7648" t="s">
        <v>31195</v>
      </c>
      <c r="K7648" t="s">
        <v>40286</v>
      </c>
      <c r="M7648" t="s">
        <v>40704</v>
      </c>
      <c r="N7648" t="s">
        <v>44759</v>
      </c>
      <c r="O7648" t="s">
        <v>44760</v>
      </c>
      <c r="P7648">
        <v>0</v>
      </c>
      <c r="Q7648">
        <v>1</v>
      </c>
      <c r="R7648" t="s">
        <v>44767</v>
      </c>
      <c r="S7648" t="s">
        <v>44954</v>
      </c>
      <c r="T7648" t="s">
        <v>46581</v>
      </c>
      <c r="U7648" t="s">
        <v>53318</v>
      </c>
      <c r="W7648" t="s">
        <v>40704</v>
      </c>
      <c r="X7648" t="s">
        <v>44768</v>
      </c>
    </row>
    <row r="7649" spans="1:24">
      <c r="A7649">
        <f>HYPERLINK("https://www.philgeps.gov.ph/GEPSNONPILOT/Tender/SplashBidNoticeAbstractUI.aspx?menuIndex=3&amp;refID=7144422&amp;Result=3","7144422")</f>
        <v>0</v>
      </c>
      <c r="B7649" t="s">
        <v>299</v>
      </c>
      <c r="C7649" t="s">
        <v>11021</v>
      </c>
      <c r="E7649" t="s">
        <v>24749</v>
      </c>
      <c r="F7649" t="s">
        <v>30900</v>
      </c>
      <c r="G7649" t="s">
        <v>30909</v>
      </c>
      <c r="H7649" t="s">
        <v>30916</v>
      </c>
      <c r="I7649" t="s">
        <v>10602</v>
      </c>
      <c r="J7649" t="s">
        <v>35903</v>
      </c>
      <c r="K7649" t="s">
        <v>40289</v>
      </c>
      <c r="M7649" t="s">
        <v>40848</v>
      </c>
      <c r="N7649" t="s">
        <v>44759</v>
      </c>
      <c r="O7649" t="s">
        <v>44760</v>
      </c>
      <c r="P7649">
        <v>0</v>
      </c>
      <c r="Q7649">
        <v>2</v>
      </c>
      <c r="R7649" t="s">
        <v>44767</v>
      </c>
      <c r="S7649" t="s">
        <v>44954</v>
      </c>
      <c r="T7649" t="s">
        <v>46435</v>
      </c>
      <c r="U7649" t="s">
        <v>53319</v>
      </c>
      <c r="W7649" t="s">
        <v>40848</v>
      </c>
      <c r="X7649" t="s">
        <v>44768</v>
      </c>
    </row>
    <row r="7650" spans="1:24">
      <c r="A7650">
        <f>HYPERLINK("https://www.philgeps.gov.ph/GEPSNONPILOT/Tender/SplashBidNoticeAbstractUI.aspx?menuIndex=3&amp;refID=7144417&amp;Result=3","7144417")</f>
        <v>0</v>
      </c>
      <c r="B7650" t="s">
        <v>363</v>
      </c>
      <c r="C7650" t="s">
        <v>11022</v>
      </c>
      <c r="D7650" t="s">
        <v>17980</v>
      </c>
      <c r="E7650" t="s">
        <v>24750</v>
      </c>
      <c r="F7650" t="s">
        <v>30900</v>
      </c>
      <c r="G7650" t="s">
        <v>30907</v>
      </c>
      <c r="H7650" t="s">
        <v>30916</v>
      </c>
      <c r="I7650" t="s">
        <v>4050</v>
      </c>
      <c r="J7650" t="s">
        <v>31204</v>
      </c>
      <c r="K7650" t="s">
        <v>40286</v>
      </c>
      <c r="M7650" t="s">
        <v>40917</v>
      </c>
      <c r="N7650" t="s">
        <v>44759</v>
      </c>
      <c r="O7650" t="s">
        <v>44760</v>
      </c>
      <c r="P7650">
        <v>0</v>
      </c>
      <c r="Q7650">
        <v>0</v>
      </c>
      <c r="R7650" t="s">
        <v>44767</v>
      </c>
      <c r="S7650" t="s">
        <v>44954</v>
      </c>
      <c r="T7650" t="s">
        <v>46379</v>
      </c>
      <c r="U7650" t="s">
        <v>53320</v>
      </c>
      <c r="V7650" t="s">
        <v>59937</v>
      </c>
      <c r="W7650" t="s">
        <v>40917</v>
      </c>
      <c r="X7650" t="s">
        <v>44768</v>
      </c>
    </row>
    <row r="7651" spans="1:24">
      <c r="A7651">
        <f>HYPERLINK("https://www.philgeps.gov.ph/GEPSNONPILOT/Tender/SplashBidNoticeAbstractUI.aspx?menuIndex=3&amp;refID=7144386&amp;Result=3","7144386")</f>
        <v>0</v>
      </c>
      <c r="B7651" t="s">
        <v>628</v>
      </c>
      <c r="C7651" t="s">
        <v>11023</v>
      </c>
      <c r="E7651" t="s">
        <v>24751</v>
      </c>
      <c r="F7651" t="s">
        <v>30900</v>
      </c>
      <c r="G7651" t="s">
        <v>30913</v>
      </c>
      <c r="H7651" t="s">
        <v>30916</v>
      </c>
      <c r="I7651" t="s">
        <v>30947</v>
      </c>
      <c r="J7651" t="s">
        <v>35904</v>
      </c>
      <c r="K7651" t="s">
        <v>40293</v>
      </c>
      <c r="M7651" t="s">
        <v>43298</v>
      </c>
      <c r="N7651" t="s">
        <v>44759</v>
      </c>
      <c r="O7651" t="s">
        <v>44760</v>
      </c>
      <c r="P7651">
        <v>0</v>
      </c>
      <c r="Q7651">
        <v>2</v>
      </c>
      <c r="R7651" t="s">
        <v>44767</v>
      </c>
      <c r="S7651" t="s">
        <v>44954</v>
      </c>
      <c r="T7651" t="s">
        <v>46703</v>
      </c>
      <c r="U7651" t="s">
        <v>53321</v>
      </c>
      <c r="V7651" t="s">
        <v>59929</v>
      </c>
      <c r="W7651" t="s">
        <v>43298</v>
      </c>
      <c r="X7651" t="s">
        <v>44768</v>
      </c>
    </row>
    <row r="7652" spans="1:24">
      <c r="A7652">
        <f>HYPERLINK("https://www.philgeps.gov.ph/GEPSNONPILOT/Tender/SplashBidNoticeAbstractUI.aspx?menuIndex=3&amp;refID=7144385&amp;Result=3","7144385")</f>
        <v>0</v>
      </c>
      <c r="B7652" t="s">
        <v>2036</v>
      </c>
      <c r="C7652" t="s">
        <v>11024</v>
      </c>
      <c r="D7652" t="s">
        <v>17959</v>
      </c>
      <c r="E7652" t="s">
        <v>24752</v>
      </c>
      <c r="F7652" t="s">
        <v>30900</v>
      </c>
      <c r="G7652" t="s">
        <v>30908</v>
      </c>
      <c r="H7652" t="s">
        <v>30916</v>
      </c>
      <c r="I7652" t="s">
        <v>30928</v>
      </c>
      <c r="J7652" t="s">
        <v>35905</v>
      </c>
      <c r="K7652" t="s">
        <v>40283</v>
      </c>
      <c r="M7652" t="s">
        <v>42733</v>
      </c>
      <c r="N7652" t="s">
        <v>44759</v>
      </c>
      <c r="O7652" t="s">
        <v>44760</v>
      </c>
      <c r="P7652">
        <v>0</v>
      </c>
      <c r="Q7652">
        <v>14</v>
      </c>
      <c r="R7652" t="s">
        <v>44767</v>
      </c>
      <c r="S7652" t="s">
        <v>44954</v>
      </c>
      <c r="T7652" t="s">
        <v>46410</v>
      </c>
      <c r="U7652" t="s">
        <v>51694</v>
      </c>
      <c r="W7652" t="s">
        <v>42733</v>
      </c>
      <c r="X7652" t="s">
        <v>44768</v>
      </c>
    </row>
    <row r="7653" spans="1:24">
      <c r="A7653">
        <f>HYPERLINK("https://www.philgeps.gov.ph/GEPSNONPILOT/Tender/SplashBidNoticeAbstractUI.aspx?menuIndex=3&amp;refID=7144384&amp;Result=3","7144384")</f>
        <v>0</v>
      </c>
      <c r="B7653" t="s">
        <v>2549</v>
      </c>
      <c r="C7653" t="s">
        <v>11006</v>
      </c>
      <c r="D7653" t="s">
        <v>18003</v>
      </c>
      <c r="E7653" t="s">
        <v>24753</v>
      </c>
      <c r="F7653" t="s">
        <v>30900</v>
      </c>
      <c r="G7653" t="s">
        <v>30907</v>
      </c>
      <c r="H7653" t="s">
        <v>30915</v>
      </c>
      <c r="I7653" t="s">
        <v>30948</v>
      </c>
      <c r="J7653" t="s">
        <v>31297</v>
      </c>
      <c r="K7653" t="s">
        <v>40342</v>
      </c>
      <c r="M7653" t="s">
        <v>43306</v>
      </c>
      <c r="N7653" t="s">
        <v>44759</v>
      </c>
      <c r="O7653" t="s">
        <v>44760</v>
      </c>
      <c r="P7653">
        <v>0</v>
      </c>
      <c r="Q7653">
        <v>7</v>
      </c>
      <c r="R7653" t="s">
        <v>44767</v>
      </c>
      <c r="S7653" t="s">
        <v>44954</v>
      </c>
      <c r="T7653" t="s">
        <v>46504</v>
      </c>
      <c r="U7653" t="s">
        <v>53322</v>
      </c>
      <c r="W7653" t="s">
        <v>43306</v>
      </c>
      <c r="X7653" t="s">
        <v>44768</v>
      </c>
    </row>
    <row r="7654" spans="1:24">
      <c r="A7654">
        <f>HYPERLINK("https://www.philgeps.gov.ph/GEPSNONPILOT/Tender/SplashBidNoticeAbstractUI.aspx?menuIndex=3&amp;refID=7144378&amp;Result=3","7144378")</f>
        <v>0</v>
      </c>
      <c r="B7654" t="s">
        <v>2529</v>
      </c>
      <c r="C7654" t="s">
        <v>11025</v>
      </c>
      <c r="D7654" t="s">
        <v>17952</v>
      </c>
      <c r="E7654" t="s">
        <v>24754</v>
      </c>
      <c r="F7654" t="s">
        <v>30900</v>
      </c>
      <c r="G7654" t="s">
        <v>30907</v>
      </c>
      <c r="H7654" t="s">
        <v>30916</v>
      </c>
      <c r="I7654" t="s">
        <v>30933</v>
      </c>
      <c r="J7654" t="s">
        <v>31788</v>
      </c>
      <c r="K7654" t="s">
        <v>40286</v>
      </c>
      <c r="M7654" t="s">
        <v>43281</v>
      </c>
      <c r="N7654" t="s">
        <v>44759</v>
      </c>
      <c r="O7654" t="s">
        <v>44760</v>
      </c>
      <c r="P7654">
        <v>0</v>
      </c>
      <c r="Q7654">
        <v>0</v>
      </c>
      <c r="R7654" t="s">
        <v>44767</v>
      </c>
      <c r="S7654" t="s">
        <v>44954</v>
      </c>
      <c r="T7654" t="s">
        <v>46715</v>
      </c>
      <c r="U7654" t="s">
        <v>53323</v>
      </c>
      <c r="W7654" t="s">
        <v>43281</v>
      </c>
      <c r="X7654" t="s">
        <v>44768</v>
      </c>
    </row>
    <row r="7655" spans="1:24">
      <c r="A7655">
        <f>HYPERLINK("https://www.philgeps.gov.ph/GEPSNONPILOT/Tender/SplashBidNoticeAbstractUI.aspx?menuIndex=3&amp;refID=7144377&amp;Result=3","7144377")</f>
        <v>0</v>
      </c>
      <c r="B7655" t="s">
        <v>2371</v>
      </c>
      <c r="C7655" t="s">
        <v>11026</v>
      </c>
      <c r="D7655" t="s">
        <v>17975</v>
      </c>
      <c r="E7655" t="s">
        <v>24755</v>
      </c>
      <c r="F7655" t="s">
        <v>30900</v>
      </c>
      <c r="G7655" t="s">
        <v>30907</v>
      </c>
      <c r="H7655" t="s">
        <v>30916</v>
      </c>
      <c r="I7655" t="s">
        <v>30952</v>
      </c>
      <c r="J7655" t="s">
        <v>35906</v>
      </c>
      <c r="K7655" t="s">
        <v>40286</v>
      </c>
      <c r="M7655" t="s">
        <v>43097</v>
      </c>
      <c r="N7655" t="s">
        <v>44759</v>
      </c>
      <c r="O7655" t="s">
        <v>44760</v>
      </c>
      <c r="P7655">
        <v>0</v>
      </c>
      <c r="Q7655">
        <v>2</v>
      </c>
      <c r="R7655" t="s">
        <v>44767</v>
      </c>
      <c r="S7655" t="s">
        <v>44954</v>
      </c>
      <c r="T7655" t="s">
        <v>46689</v>
      </c>
      <c r="U7655" t="s">
        <v>53324</v>
      </c>
      <c r="W7655" t="s">
        <v>43097</v>
      </c>
      <c r="X7655" t="s">
        <v>44768</v>
      </c>
    </row>
    <row r="7656" spans="1:24">
      <c r="A7656">
        <f>HYPERLINK("https://www.philgeps.gov.ph/GEPSNONPILOT/Tender/SplashBidNoticeAbstractUI.aspx?menuIndex=3&amp;refID=7144418&amp;Result=3","7144418")</f>
        <v>0</v>
      </c>
      <c r="B7656" t="s">
        <v>2529</v>
      </c>
      <c r="C7656" t="s">
        <v>11027</v>
      </c>
      <c r="D7656" t="s">
        <v>17952</v>
      </c>
      <c r="E7656" t="s">
        <v>24756</v>
      </c>
      <c r="F7656" t="s">
        <v>30900</v>
      </c>
      <c r="G7656" t="s">
        <v>30907</v>
      </c>
      <c r="H7656" t="s">
        <v>30916</v>
      </c>
      <c r="I7656" t="s">
        <v>10602</v>
      </c>
      <c r="J7656" t="s">
        <v>35907</v>
      </c>
      <c r="K7656" t="s">
        <v>40366</v>
      </c>
      <c r="M7656" t="s">
        <v>43281</v>
      </c>
      <c r="N7656" t="s">
        <v>44759</v>
      </c>
      <c r="O7656" t="s">
        <v>44760</v>
      </c>
      <c r="P7656">
        <v>0</v>
      </c>
      <c r="Q7656">
        <v>0</v>
      </c>
      <c r="R7656" t="s">
        <v>44767</v>
      </c>
      <c r="S7656" t="s">
        <v>44954</v>
      </c>
      <c r="T7656" t="s">
        <v>46715</v>
      </c>
      <c r="U7656" t="s">
        <v>53325</v>
      </c>
      <c r="W7656" t="s">
        <v>43281</v>
      </c>
      <c r="X7656" t="s">
        <v>44768</v>
      </c>
    </row>
    <row r="7657" spans="1:24">
      <c r="A7657">
        <f>HYPERLINK("https://www.philgeps.gov.ph/GEPSNONPILOT/Tender/SplashBidNoticeAbstractUI.aspx?menuIndex=3&amp;refID=7144414&amp;Result=3","7144414")</f>
        <v>0</v>
      </c>
      <c r="B7657" t="s">
        <v>2564</v>
      </c>
      <c r="C7657" t="s">
        <v>11028</v>
      </c>
      <c r="D7657" t="s">
        <v>17965</v>
      </c>
      <c r="E7657" t="s">
        <v>22617</v>
      </c>
      <c r="F7657" t="s">
        <v>30900</v>
      </c>
      <c r="G7657" t="s">
        <v>30907</v>
      </c>
      <c r="H7657" t="s">
        <v>30916</v>
      </c>
      <c r="I7657" t="s">
        <v>10879</v>
      </c>
      <c r="J7657" t="s">
        <v>31105</v>
      </c>
      <c r="K7657" t="s">
        <v>40286</v>
      </c>
      <c r="M7657" t="s">
        <v>43323</v>
      </c>
      <c r="N7657" t="s">
        <v>44759</v>
      </c>
      <c r="O7657" t="s">
        <v>44760</v>
      </c>
      <c r="P7657">
        <v>0</v>
      </c>
      <c r="Q7657">
        <v>2</v>
      </c>
      <c r="R7657" t="s">
        <v>44767</v>
      </c>
      <c r="S7657" t="s">
        <v>44954</v>
      </c>
      <c r="T7657" t="s">
        <v>46533</v>
      </c>
      <c r="U7657" t="s">
        <v>53326</v>
      </c>
      <c r="V7657" t="s">
        <v>59938</v>
      </c>
      <c r="W7657" t="s">
        <v>43323</v>
      </c>
      <c r="X7657" t="s">
        <v>44768</v>
      </c>
    </row>
    <row r="7658" spans="1:24">
      <c r="A7658">
        <f>HYPERLINK("https://www.philgeps.gov.ph/GEPSNONPILOT/Tender/SplashBidNoticeAbstractUI.aspx?menuIndex=3&amp;refID=7144380&amp;Result=3","7144380")</f>
        <v>0</v>
      </c>
      <c r="B7658" t="s">
        <v>2535</v>
      </c>
      <c r="C7658" t="s">
        <v>11029</v>
      </c>
      <c r="D7658" t="s">
        <v>17959</v>
      </c>
      <c r="E7658" t="s">
        <v>24757</v>
      </c>
      <c r="F7658" t="s">
        <v>30900</v>
      </c>
      <c r="G7658" t="s">
        <v>30907</v>
      </c>
      <c r="H7658" t="s">
        <v>30916</v>
      </c>
      <c r="I7658" t="s">
        <v>30933</v>
      </c>
      <c r="J7658" t="s">
        <v>35908</v>
      </c>
      <c r="K7658" t="s">
        <v>40289</v>
      </c>
      <c r="M7658" t="s">
        <v>43291</v>
      </c>
      <c r="N7658" t="s">
        <v>44759</v>
      </c>
      <c r="O7658" t="s">
        <v>44760</v>
      </c>
      <c r="Q7658">
        <v>4</v>
      </c>
      <c r="R7658" t="s">
        <v>44767</v>
      </c>
      <c r="S7658" t="s">
        <v>44965</v>
      </c>
      <c r="T7658" t="s">
        <v>46519</v>
      </c>
      <c r="U7658" t="s">
        <v>53327</v>
      </c>
      <c r="V7658" t="s">
        <v>59925</v>
      </c>
      <c r="W7658" t="s">
        <v>43291</v>
      </c>
      <c r="X7658" t="s">
        <v>44768</v>
      </c>
    </row>
    <row r="7659" spans="1:24">
      <c r="A7659">
        <f>HYPERLINK("https://www.philgeps.gov.ph/GEPSNONPILOT/Tender/SplashBidNoticeAbstractUI.aspx?menuIndex=3&amp;refID=7144426&amp;Result=3","7144426")</f>
        <v>0</v>
      </c>
      <c r="B7659" t="s">
        <v>2538</v>
      </c>
      <c r="C7659" t="s">
        <v>11030</v>
      </c>
      <c r="E7659" t="s">
        <v>24758</v>
      </c>
      <c r="F7659" t="s">
        <v>30900</v>
      </c>
      <c r="G7659" t="s">
        <v>30907</v>
      </c>
      <c r="H7659" t="s">
        <v>30916</v>
      </c>
      <c r="I7659" t="s">
        <v>4108</v>
      </c>
      <c r="J7659" t="s">
        <v>35909</v>
      </c>
      <c r="K7659" t="s">
        <v>40289</v>
      </c>
      <c r="M7659" t="s">
        <v>43294</v>
      </c>
      <c r="N7659" t="s">
        <v>44759</v>
      </c>
      <c r="O7659" t="s">
        <v>44760</v>
      </c>
      <c r="P7659">
        <v>0</v>
      </c>
      <c r="Q7659">
        <v>2</v>
      </c>
      <c r="R7659" t="s">
        <v>44767</v>
      </c>
      <c r="S7659" t="s">
        <v>44954</v>
      </c>
      <c r="T7659" t="s">
        <v>46606</v>
      </c>
      <c r="U7659" t="s">
        <v>53328</v>
      </c>
      <c r="V7659" t="s">
        <v>59939</v>
      </c>
      <c r="W7659" t="s">
        <v>43294</v>
      </c>
      <c r="X7659" t="s">
        <v>44768</v>
      </c>
    </row>
    <row r="7660" spans="1:24">
      <c r="A7660">
        <f>HYPERLINK("https://www.philgeps.gov.ph/GEPSNONPILOT/Tender/SplashBidNoticeAbstractUI.aspx?menuIndex=3&amp;refID=7144397&amp;Result=3","7144397")</f>
        <v>0</v>
      </c>
      <c r="B7660" t="s">
        <v>2565</v>
      </c>
      <c r="C7660" t="s">
        <v>11031</v>
      </c>
      <c r="D7660" t="s">
        <v>18000</v>
      </c>
      <c r="E7660" t="s">
        <v>24759</v>
      </c>
      <c r="F7660" t="s">
        <v>30900</v>
      </c>
      <c r="G7660" t="s">
        <v>30908</v>
      </c>
      <c r="H7660" t="s">
        <v>30916</v>
      </c>
      <c r="I7660" t="s">
        <v>30941</v>
      </c>
      <c r="J7660" t="s">
        <v>31592</v>
      </c>
      <c r="K7660" t="s">
        <v>40289</v>
      </c>
      <c r="M7660" t="s">
        <v>43324</v>
      </c>
      <c r="N7660" t="s">
        <v>44759</v>
      </c>
      <c r="O7660" t="s">
        <v>44760</v>
      </c>
      <c r="P7660">
        <v>0</v>
      </c>
      <c r="Q7660">
        <v>0</v>
      </c>
      <c r="R7660" t="s">
        <v>44767</v>
      </c>
      <c r="S7660" t="s">
        <v>44954</v>
      </c>
      <c r="T7660" t="s">
        <v>46541</v>
      </c>
      <c r="U7660" t="s">
        <v>53329</v>
      </c>
      <c r="W7660" t="s">
        <v>43324</v>
      </c>
      <c r="X7660" t="s">
        <v>44768</v>
      </c>
    </row>
    <row r="7661" spans="1:24">
      <c r="A7661">
        <f>HYPERLINK("https://www.philgeps.gov.ph/GEPSNONPILOT/Tender/SplashBidNoticeAbstractUI.aspx?menuIndex=3&amp;refID=7144376&amp;Result=3","7144376")</f>
        <v>0</v>
      </c>
      <c r="B7661" t="s">
        <v>2152</v>
      </c>
      <c r="C7661" t="s">
        <v>11032</v>
      </c>
      <c r="E7661" t="s">
        <v>24760</v>
      </c>
      <c r="F7661" t="s">
        <v>30900</v>
      </c>
      <c r="G7661" t="s">
        <v>30907</v>
      </c>
      <c r="H7661" t="s">
        <v>30916</v>
      </c>
      <c r="I7661" t="s">
        <v>30923</v>
      </c>
      <c r="J7661" t="s">
        <v>35910</v>
      </c>
      <c r="K7661" t="s">
        <v>40291</v>
      </c>
      <c r="M7661" t="s">
        <v>43280</v>
      </c>
      <c r="N7661" t="s">
        <v>44759</v>
      </c>
      <c r="O7661" t="s">
        <v>44760</v>
      </c>
      <c r="P7661">
        <v>0</v>
      </c>
      <c r="Q7661">
        <v>2</v>
      </c>
      <c r="R7661" t="s">
        <v>44767</v>
      </c>
      <c r="S7661" t="s">
        <v>44954</v>
      </c>
      <c r="T7661" t="s">
        <v>46612</v>
      </c>
      <c r="U7661" t="s">
        <v>53166</v>
      </c>
      <c r="W7661" t="s">
        <v>43280</v>
      </c>
      <c r="X7661" t="s">
        <v>44768</v>
      </c>
    </row>
    <row r="7662" spans="1:24">
      <c r="A7662">
        <f>HYPERLINK("https://www.philgeps.gov.ph/GEPSNONPILOT/Tender/SplashBidNoticeAbstractUI.aspx?menuIndex=3&amp;refID=7144425&amp;Result=3","7144425")</f>
        <v>0</v>
      </c>
      <c r="B7662" t="s">
        <v>2171</v>
      </c>
      <c r="C7662" t="s">
        <v>11033</v>
      </c>
      <c r="D7662" t="s">
        <v>17995</v>
      </c>
      <c r="E7662" t="s">
        <v>24761</v>
      </c>
      <c r="F7662" t="s">
        <v>30900</v>
      </c>
      <c r="G7662" t="s">
        <v>30907</v>
      </c>
      <c r="H7662" t="s">
        <v>30916</v>
      </c>
      <c r="I7662" t="s">
        <v>30934</v>
      </c>
      <c r="J7662" t="s">
        <v>31341</v>
      </c>
      <c r="K7662" t="s">
        <v>40289</v>
      </c>
      <c r="L7662" t="s">
        <v>2171</v>
      </c>
      <c r="M7662" t="s">
        <v>42876</v>
      </c>
      <c r="N7662" t="s">
        <v>44759</v>
      </c>
      <c r="O7662" t="s">
        <v>44760</v>
      </c>
      <c r="P7662">
        <v>0</v>
      </c>
      <c r="Q7662">
        <v>0</v>
      </c>
      <c r="R7662" t="s">
        <v>44767</v>
      </c>
      <c r="S7662" t="s">
        <v>44954</v>
      </c>
      <c r="T7662" t="s">
        <v>46391</v>
      </c>
      <c r="U7662" t="s">
        <v>53330</v>
      </c>
      <c r="W7662" t="s">
        <v>42876</v>
      </c>
      <c r="X7662" t="s">
        <v>44768</v>
      </c>
    </row>
    <row r="7663" spans="1:24">
      <c r="A7663">
        <f>HYPERLINK("https://www.philgeps.gov.ph/GEPSNONPILOT/Tender/SplashBidNoticeAbstractUI.aspx?menuIndex=3&amp;refID=7144452&amp;Result=3","7144452")</f>
        <v>0</v>
      </c>
      <c r="B7663" t="s">
        <v>2371</v>
      </c>
      <c r="C7663" t="s">
        <v>11034</v>
      </c>
      <c r="D7663" t="s">
        <v>17975</v>
      </c>
      <c r="E7663" t="s">
        <v>24762</v>
      </c>
      <c r="F7663" t="s">
        <v>30900</v>
      </c>
      <c r="G7663" t="s">
        <v>30907</v>
      </c>
      <c r="H7663" t="s">
        <v>30916</v>
      </c>
      <c r="I7663" t="s">
        <v>4017</v>
      </c>
      <c r="J7663" t="s">
        <v>35911</v>
      </c>
      <c r="K7663" t="s">
        <v>40286</v>
      </c>
      <c r="M7663" t="s">
        <v>43097</v>
      </c>
      <c r="N7663" t="s">
        <v>44759</v>
      </c>
      <c r="O7663" t="s">
        <v>44760</v>
      </c>
      <c r="P7663">
        <v>0</v>
      </c>
      <c r="Q7663">
        <v>9</v>
      </c>
      <c r="R7663" t="s">
        <v>44767</v>
      </c>
      <c r="S7663" t="s">
        <v>44954</v>
      </c>
      <c r="T7663" t="s">
        <v>46689</v>
      </c>
      <c r="U7663" t="s">
        <v>53331</v>
      </c>
      <c r="W7663" t="s">
        <v>43097</v>
      </c>
      <c r="X7663" t="s">
        <v>44768</v>
      </c>
    </row>
    <row r="7664" spans="1:24">
      <c r="A7664">
        <f>HYPERLINK("https://www.philgeps.gov.ph/GEPSNONPILOT/Tender/SplashBidNoticeAbstractUI.aspx?menuIndex=3&amp;refID=7144490&amp;Result=3","7144490")</f>
        <v>0</v>
      </c>
      <c r="B7664" t="s">
        <v>222</v>
      </c>
      <c r="C7664" t="s">
        <v>11035</v>
      </c>
      <c r="D7664" t="s">
        <v>17973</v>
      </c>
      <c r="E7664" t="s">
        <v>24763</v>
      </c>
      <c r="F7664" t="s">
        <v>30900</v>
      </c>
      <c r="G7664" t="s">
        <v>30908</v>
      </c>
      <c r="H7664" t="s">
        <v>30917</v>
      </c>
      <c r="I7664" t="s">
        <v>30942</v>
      </c>
      <c r="J7664" t="s">
        <v>31830</v>
      </c>
      <c r="K7664" t="s">
        <v>40283</v>
      </c>
      <c r="M7664" t="s">
        <v>40769</v>
      </c>
      <c r="N7664" t="s">
        <v>44759</v>
      </c>
      <c r="O7664" t="s">
        <v>44760</v>
      </c>
      <c r="P7664">
        <v>0</v>
      </c>
      <c r="Q7664">
        <v>0</v>
      </c>
      <c r="R7664" t="s">
        <v>44767</v>
      </c>
      <c r="S7664" t="s">
        <v>44954</v>
      </c>
      <c r="T7664" t="s">
        <v>46658</v>
      </c>
      <c r="U7664" t="s">
        <v>53332</v>
      </c>
      <c r="V7664" t="s">
        <v>47244</v>
      </c>
      <c r="W7664" t="s">
        <v>40769</v>
      </c>
      <c r="X7664" t="s">
        <v>44768</v>
      </c>
    </row>
    <row r="7665" spans="1:24">
      <c r="A7665">
        <f>HYPERLINK("https://www.philgeps.gov.ph/GEPSNONPILOT/Tender/SplashBidNoticeAbstractUI.aspx?menuIndex=3&amp;refID=7144480&amp;Result=3","7144480")</f>
        <v>0</v>
      </c>
      <c r="B7665" t="s">
        <v>2560</v>
      </c>
      <c r="C7665" t="s">
        <v>11036</v>
      </c>
      <c r="D7665" t="s">
        <v>18031</v>
      </c>
      <c r="E7665" t="s">
        <v>24471</v>
      </c>
      <c r="F7665" t="s">
        <v>30900</v>
      </c>
      <c r="G7665" t="s">
        <v>30907</v>
      </c>
      <c r="H7665" t="s">
        <v>30916</v>
      </c>
      <c r="I7665" t="s">
        <v>30947</v>
      </c>
      <c r="J7665" t="s">
        <v>32398</v>
      </c>
      <c r="K7665" t="s">
        <v>40286</v>
      </c>
      <c r="M7665" t="s">
        <v>43318</v>
      </c>
      <c r="N7665" t="s">
        <v>44759</v>
      </c>
      <c r="O7665" t="s">
        <v>44760</v>
      </c>
      <c r="P7665">
        <v>0</v>
      </c>
      <c r="Q7665">
        <v>0</v>
      </c>
      <c r="R7665" t="s">
        <v>44767</v>
      </c>
      <c r="S7665" t="s">
        <v>44954</v>
      </c>
      <c r="T7665" t="s">
        <v>46399</v>
      </c>
      <c r="U7665" t="s">
        <v>53304</v>
      </c>
      <c r="W7665" t="s">
        <v>43318</v>
      </c>
      <c r="X7665" t="s">
        <v>44768</v>
      </c>
    </row>
    <row r="7666" spans="1:24">
      <c r="A7666">
        <f>HYPERLINK("https://www.philgeps.gov.ph/GEPSNONPILOT/Tender/SplashBidNoticeAbstractUI.aspx?menuIndex=3&amp;refID=7144478&amp;Result=3","7144478")</f>
        <v>0</v>
      </c>
      <c r="B7666" t="s">
        <v>416</v>
      </c>
      <c r="C7666" t="s">
        <v>11037</v>
      </c>
      <c r="D7666" t="s">
        <v>17976</v>
      </c>
      <c r="E7666" t="s">
        <v>24764</v>
      </c>
      <c r="F7666" t="s">
        <v>30900</v>
      </c>
      <c r="G7666" t="s">
        <v>30907</v>
      </c>
      <c r="H7666" t="s">
        <v>30916</v>
      </c>
      <c r="I7666" t="s">
        <v>4142</v>
      </c>
      <c r="J7666" t="s">
        <v>31049</v>
      </c>
      <c r="K7666" t="s">
        <v>40283</v>
      </c>
      <c r="M7666" t="s">
        <v>40972</v>
      </c>
      <c r="N7666" t="s">
        <v>44759</v>
      </c>
      <c r="O7666" t="s">
        <v>44760</v>
      </c>
      <c r="P7666">
        <v>0</v>
      </c>
      <c r="Q7666">
        <v>2</v>
      </c>
      <c r="R7666" t="s">
        <v>44767</v>
      </c>
      <c r="S7666" t="s">
        <v>44954</v>
      </c>
      <c r="T7666" t="s">
        <v>46363</v>
      </c>
      <c r="U7666" t="s">
        <v>53333</v>
      </c>
      <c r="W7666" t="s">
        <v>40972</v>
      </c>
      <c r="X7666" t="s">
        <v>44768</v>
      </c>
    </row>
    <row r="7667" spans="1:24">
      <c r="A7667">
        <f>HYPERLINK("https://www.philgeps.gov.ph/GEPSNONPILOT/Tender/SplashBidNoticeAbstractUI.aspx?menuIndex=3&amp;refID=7144477&amp;Result=3","7144477")</f>
        <v>0</v>
      </c>
      <c r="B7667" t="s">
        <v>1500</v>
      </c>
      <c r="C7667" t="s">
        <v>11038</v>
      </c>
      <c r="D7667" t="s">
        <v>17978</v>
      </c>
      <c r="E7667" t="s">
        <v>24765</v>
      </c>
      <c r="F7667" t="s">
        <v>30900</v>
      </c>
      <c r="G7667" t="s">
        <v>30907</v>
      </c>
      <c r="H7667" t="s">
        <v>30916</v>
      </c>
      <c r="I7667" t="s">
        <v>30944</v>
      </c>
      <c r="J7667" t="s">
        <v>35912</v>
      </c>
      <c r="K7667" t="s">
        <v>40283</v>
      </c>
      <c r="M7667" t="s">
        <v>43287</v>
      </c>
      <c r="N7667" t="s">
        <v>44759</v>
      </c>
      <c r="O7667" t="s">
        <v>44760</v>
      </c>
      <c r="P7667">
        <v>0</v>
      </c>
      <c r="Q7667">
        <v>2</v>
      </c>
      <c r="R7667" t="s">
        <v>44767</v>
      </c>
      <c r="S7667" t="s">
        <v>44954</v>
      </c>
      <c r="T7667" t="s">
        <v>46785</v>
      </c>
      <c r="U7667" t="s">
        <v>53334</v>
      </c>
      <c r="W7667" t="s">
        <v>43287</v>
      </c>
      <c r="X7667" t="s">
        <v>44768</v>
      </c>
    </row>
    <row r="7668" spans="1:24">
      <c r="A7668">
        <f>HYPERLINK("https://www.philgeps.gov.ph/GEPSNONPILOT/Tender/SplashBidNoticeAbstractUI.aspx?menuIndex=3&amp;refID=7144474&amp;Result=3","7144474")</f>
        <v>0</v>
      </c>
      <c r="B7668" t="s">
        <v>2566</v>
      </c>
      <c r="C7668" t="s">
        <v>8056</v>
      </c>
      <c r="D7668" t="s">
        <v>17953</v>
      </c>
      <c r="E7668" t="s">
        <v>23085</v>
      </c>
      <c r="F7668" t="s">
        <v>30900</v>
      </c>
      <c r="G7668" t="s">
        <v>30908</v>
      </c>
      <c r="H7668" t="s">
        <v>30916</v>
      </c>
      <c r="I7668" t="s">
        <v>8365</v>
      </c>
      <c r="J7668" t="s">
        <v>35913</v>
      </c>
      <c r="K7668" t="s">
        <v>40284</v>
      </c>
      <c r="M7668" t="s">
        <v>43325</v>
      </c>
      <c r="N7668" t="s">
        <v>44759</v>
      </c>
      <c r="O7668" t="s">
        <v>44760</v>
      </c>
      <c r="P7668">
        <v>0</v>
      </c>
      <c r="Q7668">
        <v>1</v>
      </c>
      <c r="R7668" t="s">
        <v>44767</v>
      </c>
      <c r="S7668" t="s">
        <v>44954</v>
      </c>
      <c r="T7668" t="s">
        <v>46602</v>
      </c>
      <c r="U7668" t="s">
        <v>53335</v>
      </c>
      <c r="W7668" t="s">
        <v>43325</v>
      </c>
      <c r="X7668" t="s">
        <v>44768</v>
      </c>
    </row>
    <row r="7669" spans="1:24">
      <c r="A7669">
        <f>HYPERLINK("https://www.philgeps.gov.ph/GEPSNONPILOT/Tender/SplashBidNoticeAbstractUI.aspx?menuIndex=3&amp;refID=7144473&amp;Result=3","7144473")</f>
        <v>0</v>
      </c>
      <c r="B7669" t="s">
        <v>2036</v>
      </c>
      <c r="C7669" t="s">
        <v>10993</v>
      </c>
      <c r="D7669" t="s">
        <v>17959</v>
      </c>
      <c r="E7669" t="s">
        <v>24766</v>
      </c>
      <c r="F7669" t="s">
        <v>30900</v>
      </c>
      <c r="G7669" t="s">
        <v>30908</v>
      </c>
      <c r="H7669" t="s">
        <v>30916</v>
      </c>
      <c r="I7669" t="s">
        <v>4017</v>
      </c>
      <c r="J7669" t="s">
        <v>32854</v>
      </c>
      <c r="K7669" t="s">
        <v>40283</v>
      </c>
      <c r="M7669" t="s">
        <v>42733</v>
      </c>
      <c r="N7669" t="s">
        <v>44759</v>
      </c>
      <c r="O7669" t="s">
        <v>44760</v>
      </c>
      <c r="P7669">
        <v>0</v>
      </c>
      <c r="Q7669">
        <v>15</v>
      </c>
      <c r="R7669" t="s">
        <v>44767</v>
      </c>
      <c r="S7669" t="s">
        <v>44954</v>
      </c>
      <c r="T7669" t="s">
        <v>46410</v>
      </c>
      <c r="U7669" t="s">
        <v>51694</v>
      </c>
      <c r="W7669" t="s">
        <v>42733</v>
      </c>
      <c r="X7669" t="s">
        <v>44768</v>
      </c>
    </row>
    <row r="7670" spans="1:24">
      <c r="A7670">
        <f>HYPERLINK("https://www.philgeps.gov.ph/GEPSNONPILOT/Tender/SplashBidNoticeAbstractUI.aspx?menuIndex=3&amp;refID=7144486&amp;Result=3","7144486")</f>
        <v>0</v>
      </c>
      <c r="B7670" t="s">
        <v>1430</v>
      </c>
      <c r="C7670" t="s">
        <v>11039</v>
      </c>
      <c r="D7670" t="s">
        <v>17985</v>
      </c>
      <c r="E7670" t="s">
        <v>24767</v>
      </c>
      <c r="F7670" t="s">
        <v>30900</v>
      </c>
      <c r="G7670" t="s">
        <v>30909</v>
      </c>
      <c r="H7670" t="s">
        <v>30916</v>
      </c>
      <c r="I7670" t="s">
        <v>30928</v>
      </c>
      <c r="J7670" t="s">
        <v>31070</v>
      </c>
      <c r="K7670" t="s">
        <v>40285</v>
      </c>
      <c r="M7670" t="s">
        <v>42062</v>
      </c>
      <c r="N7670" t="s">
        <v>44759</v>
      </c>
      <c r="O7670" t="s">
        <v>44760</v>
      </c>
      <c r="P7670">
        <v>0</v>
      </c>
      <c r="Q7670">
        <v>3</v>
      </c>
      <c r="R7670" t="s">
        <v>44767</v>
      </c>
      <c r="S7670" t="s">
        <v>44954</v>
      </c>
      <c r="T7670" t="s">
        <v>46658</v>
      </c>
      <c r="U7670" t="s">
        <v>53336</v>
      </c>
      <c r="V7670" t="s">
        <v>59556</v>
      </c>
      <c r="W7670" t="s">
        <v>42062</v>
      </c>
      <c r="X7670" t="s">
        <v>44768</v>
      </c>
    </row>
    <row r="7671" spans="1:24">
      <c r="A7671">
        <f>HYPERLINK("https://www.philgeps.gov.ph/GEPSNONPILOT/Tender/SplashBidNoticeAbstractUI.aspx?menuIndex=3&amp;refID=7144463&amp;Result=3","7144463")</f>
        <v>0</v>
      </c>
      <c r="B7671" t="s">
        <v>2152</v>
      </c>
      <c r="C7671" t="s">
        <v>11040</v>
      </c>
      <c r="E7671" t="s">
        <v>24768</v>
      </c>
      <c r="F7671" t="s">
        <v>30900</v>
      </c>
      <c r="G7671" t="s">
        <v>30907</v>
      </c>
      <c r="H7671" t="s">
        <v>30916</v>
      </c>
      <c r="I7671" t="s">
        <v>30923</v>
      </c>
      <c r="J7671" t="s">
        <v>35914</v>
      </c>
      <c r="K7671" t="s">
        <v>40283</v>
      </c>
      <c r="M7671" t="s">
        <v>43280</v>
      </c>
      <c r="N7671" t="s">
        <v>44759</v>
      </c>
      <c r="O7671" t="s">
        <v>44760</v>
      </c>
      <c r="P7671">
        <v>0</v>
      </c>
      <c r="Q7671">
        <v>0</v>
      </c>
      <c r="R7671" t="s">
        <v>44767</v>
      </c>
      <c r="S7671" t="s">
        <v>44954</v>
      </c>
      <c r="T7671" t="s">
        <v>46612</v>
      </c>
      <c r="U7671" t="s">
        <v>53166</v>
      </c>
      <c r="W7671" t="s">
        <v>43280</v>
      </c>
      <c r="X7671" t="s">
        <v>44768</v>
      </c>
    </row>
    <row r="7672" spans="1:24">
      <c r="A7672">
        <f>HYPERLINK("https://www.philgeps.gov.ph/GEPSNONPILOT/Tender/SplashBidNoticeAbstractUI.aspx?menuIndex=3&amp;refID=7144467&amp;Result=3","7144467")</f>
        <v>0</v>
      </c>
      <c r="B7672" t="s">
        <v>1043</v>
      </c>
      <c r="C7672" t="s">
        <v>11041</v>
      </c>
      <c r="D7672" t="s">
        <v>18000</v>
      </c>
      <c r="E7672" t="s">
        <v>24769</v>
      </c>
      <c r="F7672" t="s">
        <v>30900</v>
      </c>
      <c r="G7672" t="s">
        <v>30907</v>
      </c>
      <c r="H7672" t="s">
        <v>30916</v>
      </c>
      <c r="I7672" t="s">
        <v>5501</v>
      </c>
      <c r="J7672" t="s">
        <v>35915</v>
      </c>
      <c r="K7672" t="s">
        <v>40289</v>
      </c>
      <c r="M7672" t="s">
        <v>43271</v>
      </c>
      <c r="N7672" t="s">
        <v>44759</v>
      </c>
      <c r="O7672" t="s">
        <v>44760</v>
      </c>
      <c r="P7672">
        <v>0</v>
      </c>
      <c r="Q7672">
        <v>4</v>
      </c>
      <c r="R7672" t="s">
        <v>44767</v>
      </c>
      <c r="S7672" t="s">
        <v>44954</v>
      </c>
      <c r="T7672" t="s">
        <v>46531</v>
      </c>
      <c r="U7672" t="s">
        <v>53134</v>
      </c>
      <c r="W7672" t="s">
        <v>43271</v>
      </c>
      <c r="X7672" t="s">
        <v>44768</v>
      </c>
    </row>
    <row r="7673" spans="1:24">
      <c r="A7673">
        <f>HYPERLINK("https://www.philgeps.gov.ph/GEPSNONPILOT/Tender/SplashBidNoticeAbstractUI.aspx?menuIndex=3&amp;refID=7144502&amp;Result=3","7144502")</f>
        <v>0</v>
      </c>
      <c r="B7673" t="s">
        <v>2549</v>
      </c>
      <c r="C7673" t="s">
        <v>11006</v>
      </c>
      <c r="D7673" t="s">
        <v>18003</v>
      </c>
      <c r="E7673" t="s">
        <v>24770</v>
      </c>
      <c r="F7673" t="s">
        <v>30900</v>
      </c>
      <c r="G7673" t="s">
        <v>30907</v>
      </c>
      <c r="H7673" t="s">
        <v>30915</v>
      </c>
      <c r="I7673" t="s">
        <v>30948</v>
      </c>
      <c r="J7673" t="s">
        <v>31391</v>
      </c>
      <c r="K7673" t="s">
        <v>40292</v>
      </c>
      <c r="M7673" t="s">
        <v>43306</v>
      </c>
      <c r="N7673" t="s">
        <v>44759</v>
      </c>
      <c r="O7673" t="s">
        <v>44760</v>
      </c>
      <c r="P7673">
        <v>0</v>
      </c>
      <c r="Q7673">
        <v>6</v>
      </c>
      <c r="R7673" t="s">
        <v>44767</v>
      </c>
      <c r="S7673" t="s">
        <v>44954</v>
      </c>
      <c r="T7673" t="s">
        <v>46504</v>
      </c>
      <c r="U7673" t="s">
        <v>53337</v>
      </c>
      <c r="W7673" t="s">
        <v>43306</v>
      </c>
      <c r="X7673" t="s">
        <v>44768</v>
      </c>
    </row>
    <row r="7674" spans="1:24">
      <c r="A7674">
        <f>HYPERLINK("https://www.philgeps.gov.ph/GEPSNONPILOT/Tender/SplashBidNoticeAbstractUI.aspx?menuIndex=3&amp;refID=7144471&amp;Result=3","7144471")</f>
        <v>0</v>
      </c>
      <c r="B7674" t="s">
        <v>2549</v>
      </c>
      <c r="C7674" t="s">
        <v>11006</v>
      </c>
      <c r="D7674" t="s">
        <v>18003</v>
      </c>
      <c r="E7674" t="s">
        <v>24771</v>
      </c>
      <c r="F7674" t="s">
        <v>30900</v>
      </c>
      <c r="G7674" t="s">
        <v>30907</v>
      </c>
      <c r="H7674" t="s">
        <v>30915</v>
      </c>
      <c r="I7674" t="s">
        <v>30948</v>
      </c>
      <c r="J7674" t="s">
        <v>31152</v>
      </c>
      <c r="K7674" t="s">
        <v>40342</v>
      </c>
      <c r="M7674" t="s">
        <v>43306</v>
      </c>
      <c r="N7674" t="s">
        <v>44759</v>
      </c>
      <c r="O7674" t="s">
        <v>44760</v>
      </c>
      <c r="P7674">
        <v>0</v>
      </c>
      <c r="Q7674">
        <v>7</v>
      </c>
      <c r="R7674" t="s">
        <v>44767</v>
      </c>
      <c r="S7674" t="s">
        <v>44954</v>
      </c>
      <c r="T7674" t="s">
        <v>46504</v>
      </c>
      <c r="U7674" t="s">
        <v>53338</v>
      </c>
      <c r="W7674" t="s">
        <v>43306</v>
      </c>
      <c r="X7674" t="s">
        <v>44768</v>
      </c>
    </row>
    <row r="7675" spans="1:24">
      <c r="A7675">
        <f>HYPERLINK("https://www.philgeps.gov.ph/GEPSNONPILOT/Tender/SplashBidNoticeAbstractUI.aspx?menuIndex=3&amp;refID=7144494&amp;Result=3","7144494")</f>
        <v>0</v>
      </c>
      <c r="B7675" t="s">
        <v>2567</v>
      </c>
      <c r="C7675" t="s">
        <v>11042</v>
      </c>
      <c r="D7675" t="s">
        <v>18018</v>
      </c>
      <c r="E7675" t="s">
        <v>24772</v>
      </c>
      <c r="F7675" t="s">
        <v>30900</v>
      </c>
      <c r="G7675" t="s">
        <v>30907</v>
      </c>
      <c r="H7675" t="s">
        <v>30915</v>
      </c>
      <c r="I7675" t="s">
        <v>30919</v>
      </c>
      <c r="J7675" t="s">
        <v>32324</v>
      </c>
      <c r="K7675" t="s">
        <v>40341</v>
      </c>
      <c r="M7675" t="s">
        <v>43326</v>
      </c>
      <c r="N7675" t="s">
        <v>44759</v>
      </c>
      <c r="O7675" t="s">
        <v>44760</v>
      </c>
      <c r="P7675">
        <v>0</v>
      </c>
      <c r="Q7675">
        <v>0</v>
      </c>
      <c r="R7675" t="s">
        <v>44767</v>
      </c>
      <c r="S7675" t="s">
        <v>44954</v>
      </c>
      <c r="T7675" t="s">
        <v>46369</v>
      </c>
      <c r="U7675" t="s">
        <v>53339</v>
      </c>
      <c r="W7675" t="s">
        <v>43326</v>
      </c>
      <c r="X7675" t="s">
        <v>44768</v>
      </c>
    </row>
    <row r="7676" spans="1:24">
      <c r="A7676">
        <f>HYPERLINK("https://www.philgeps.gov.ph/GEPSNONPILOT/Tender/SplashBidNoticeAbstractUI.aspx?menuIndex=3&amp;refID=7144466&amp;Result=3","7144466")</f>
        <v>0</v>
      </c>
      <c r="B7676" t="s">
        <v>1664</v>
      </c>
      <c r="C7676" t="s">
        <v>11043</v>
      </c>
      <c r="D7676" t="s">
        <v>17959</v>
      </c>
      <c r="E7676" t="s">
        <v>24773</v>
      </c>
      <c r="F7676" t="s">
        <v>30900</v>
      </c>
      <c r="G7676" t="s">
        <v>30910</v>
      </c>
      <c r="H7676" t="s">
        <v>30916</v>
      </c>
      <c r="I7676" t="s">
        <v>6396</v>
      </c>
      <c r="J7676" t="s">
        <v>35916</v>
      </c>
      <c r="K7676" t="s">
        <v>40289</v>
      </c>
      <c r="M7676" t="s">
        <v>42321</v>
      </c>
      <c r="N7676" t="s">
        <v>44759</v>
      </c>
      <c r="O7676" t="s">
        <v>44760</v>
      </c>
      <c r="P7676">
        <v>0</v>
      </c>
      <c r="Q7676">
        <v>23</v>
      </c>
      <c r="R7676" t="s">
        <v>44767</v>
      </c>
      <c r="S7676" t="s">
        <v>44954</v>
      </c>
      <c r="T7676" t="s">
        <v>46541</v>
      </c>
      <c r="U7676" t="s">
        <v>50662</v>
      </c>
      <c r="W7676" t="s">
        <v>42321</v>
      </c>
      <c r="X7676" t="s">
        <v>44768</v>
      </c>
    </row>
    <row r="7677" spans="1:24">
      <c r="A7677">
        <f>HYPERLINK("https://www.philgeps.gov.ph/GEPSNONPILOT/Tender/SplashBidNoticeAbstractUI.aspx?menuIndex=3&amp;refID=7144512&amp;Result=3","7144512")</f>
        <v>0</v>
      </c>
      <c r="B7677" t="s">
        <v>1043</v>
      </c>
      <c r="C7677" t="s">
        <v>11044</v>
      </c>
      <c r="D7677" t="s">
        <v>18000</v>
      </c>
      <c r="E7677" t="s">
        <v>24774</v>
      </c>
      <c r="F7677" t="s">
        <v>30900</v>
      </c>
      <c r="G7677" t="s">
        <v>30907</v>
      </c>
      <c r="H7677" t="s">
        <v>30916</v>
      </c>
      <c r="I7677" t="s">
        <v>5501</v>
      </c>
      <c r="J7677" t="s">
        <v>35917</v>
      </c>
      <c r="K7677" t="s">
        <v>40289</v>
      </c>
      <c r="M7677" t="s">
        <v>43271</v>
      </c>
      <c r="N7677" t="s">
        <v>44759</v>
      </c>
      <c r="O7677" t="s">
        <v>44760</v>
      </c>
      <c r="P7677">
        <v>0</v>
      </c>
      <c r="Q7677">
        <v>5</v>
      </c>
      <c r="R7677" t="s">
        <v>44767</v>
      </c>
      <c r="S7677" t="s">
        <v>44954</v>
      </c>
      <c r="T7677" t="s">
        <v>46531</v>
      </c>
      <c r="U7677" t="s">
        <v>53134</v>
      </c>
      <c r="W7677" t="s">
        <v>43271</v>
      </c>
      <c r="X7677" t="s">
        <v>44768</v>
      </c>
    </row>
    <row r="7678" spans="1:24">
      <c r="A7678">
        <f>HYPERLINK("https://www.philgeps.gov.ph/GEPSNONPILOT/Tender/SplashBidNoticeAbstractUI.aspx?menuIndex=3&amp;refID=7144511&amp;Result=3","7144511")</f>
        <v>0</v>
      </c>
      <c r="B7678" t="s">
        <v>2152</v>
      </c>
      <c r="C7678" t="s">
        <v>11045</v>
      </c>
      <c r="E7678" t="s">
        <v>24775</v>
      </c>
      <c r="F7678" t="s">
        <v>30900</v>
      </c>
      <c r="G7678" t="s">
        <v>30907</v>
      </c>
      <c r="H7678" t="s">
        <v>30916</v>
      </c>
      <c r="I7678" t="s">
        <v>30923</v>
      </c>
      <c r="J7678" t="s">
        <v>35918</v>
      </c>
      <c r="K7678" t="s">
        <v>40283</v>
      </c>
      <c r="M7678" t="s">
        <v>43280</v>
      </c>
      <c r="N7678" t="s">
        <v>44759</v>
      </c>
      <c r="O7678" t="s">
        <v>44760</v>
      </c>
      <c r="P7678">
        <v>0</v>
      </c>
      <c r="Q7678">
        <v>1</v>
      </c>
      <c r="R7678" t="s">
        <v>44767</v>
      </c>
      <c r="S7678" t="s">
        <v>44954</v>
      </c>
      <c r="T7678" t="s">
        <v>46612</v>
      </c>
      <c r="U7678" t="s">
        <v>53166</v>
      </c>
      <c r="W7678" t="s">
        <v>43280</v>
      </c>
      <c r="X7678" t="s">
        <v>44768</v>
      </c>
    </row>
    <row r="7679" spans="1:24">
      <c r="A7679">
        <f>HYPERLINK("https://www.philgeps.gov.ph/GEPSNONPILOT/Tender/SplashBidNoticeAbstractUI.aspx?menuIndex=3&amp;refID=7144551&amp;Result=3","7144551")</f>
        <v>0</v>
      </c>
      <c r="B7679" t="s">
        <v>2171</v>
      </c>
      <c r="C7679" t="s">
        <v>4515</v>
      </c>
      <c r="D7679" t="s">
        <v>17995</v>
      </c>
      <c r="E7679" t="s">
        <v>24776</v>
      </c>
      <c r="F7679" t="s">
        <v>30900</v>
      </c>
      <c r="G7679" t="s">
        <v>30907</v>
      </c>
      <c r="H7679" t="s">
        <v>30916</v>
      </c>
      <c r="I7679" t="s">
        <v>4142</v>
      </c>
      <c r="J7679" t="s">
        <v>35919</v>
      </c>
      <c r="K7679" t="s">
        <v>40289</v>
      </c>
      <c r="L7679" t="s">
        <v>2171</v>
      </c>
      <c r="M7679" t="s">
        <v>42876</v>
      </c>
      <c r="N7679" t="s">
        <v>44759</v>
      </c>
      <c r="O7679" t="s">
        <v>44760</v>
      </c>
      <c r="P7679">
        <v>0</v>
      </c>
      <c r="Q7679">
        <v>0</v>
      </c>
      <c r="R7679" t="s">
        <v>44767</v>
      </c>
      <c r="S7679" t="s">
        <v>44954</v>
      </c>
      <c r="T7679" t="s">
        <v>46391</v>
      </c>
      <c r="U7679" t="s">
        <v>53340</v>
      </c>
      <c r="W7679" t="s">
        <v>42876</v>
      </c>
      <c r="X7679" t="s">
        <v>44768</v>
      </c>
    </row>
    <row r="7680" spans="1:24">
      <c r="A7680">
        <f>HYPERLINK("https://www.philgeps.gov.ph/GEPSNONPILOT/Tender/SplashBidNoticeAbstractUI.aspx?menuIndex=3&amp;refID=7144497&amp;Result=3","7144497")</f>
        <v>0</v>
      </c>
      <c r="B7680" t="s">
        <v>2457</v>
      </c>
      <c r="C7680" t="s">
        <v>11046</v>
      </c>
      <c r="D7680" t="s">
        <v>17978</v>
      </c>
      <c r="E7680" t="s">
        <v>24777</v>
      </c>
      <c r="F7680" t="s">
        <v>30900</v>
      </c>
      <c r="G7680" t="s">
        <v>30908</v>
      </c>
      <c r="H7680" t="s">
        <v>30916</v>
      </c>
      <c r="I7680" t="s">
        <v>4050</v>
      </c>
      <c r="J7680" t="s">
        <v>35920</v>
      </c>
      <c r="K7680" t="s">
        <v>40284</v>
      </c>
      <c r="M7680" t="s">
        <v>43194</v>
      </c>
      <c r="N7680" t="s">
        <v>44759</v>
      </c>
      <c r="O7680" t="s">
        <v>44760</v>
      </c>
      <c r="P7680">
        <v>0</v>
      </c>
      <c r="Q7680">
        <v>0</v>
      </c>
      <c r="R7680" t="s">
        <v>44767</v>
      </c>
      <c r="S7680" t="s">
        <v>44954</v>
      </c>
      <c r="T7680" t="s">
        <v>46398</v>
      </c>
      <c r="U7680" t="s">
        <v>52926</v>
      </c>
      <c r="W7680" t="s">
        <v>43194</v>
      </c>
      <c r="X7680" t="s">
        <v>44768</v>
      </c>
    </row>
    <row r="7681" spans="1:24">
      <c r="A7681">
        <f>HYPERLINK("https://www.philgeps.gov.ph/GEPSNONPILOT/Tender/SplashBidNoticeAbstractUI.aspx?menuIndex=3&amp;refID=7144469&amp;Result=3","7144469")</f>
        <v>0</v>
      </c>
      <c r="B7681" t="s">
        <v>2529</v>
      </c>
      <c r="C7681" t="s">
        <v>11047</v>
      </c>
      <c r="D7681" t="s">
        <v>17952</v>
      </c>
      <c r="E7681" t="s">
        <v>24778</v>
      </c>
      <c r="F7681" t="s">
        <v>30900</v>
      </c>
      <c r="G7681" t="s">
        <v>30907</v>
      </c>
      <c r="H7681" t="s">
        <v>30915</v>
      </c>
      <c r="I7681" t="s">
        <v>30919</v>
      </c>
      <c r="J7681" t="s">
        <v>31101</v>
      </c>
      <c r="K7681" t="s">
        <v>40280</v>
      </c>
      <c r="M7681" t="s">
        <v>43281</v>
      </c>
      <c r="N7681" t="s">
        <v>44759</v>
      </c>
      <c r="O7681" t="s">
        <v>44760</v>
      </c>
      <c r="P7681">
        <v>0</v>
      </c>
      <c r="Q7681">
        <v>0</v>
      </c>
      <c r="R7681" t="s">
        <v>44767</v>
      </c>
      <c r="S7681" t="s">
        <v>44954</v>
      </c>
      <c r="T7681" t="s">
        <v>46715</v>
      </c>
      <c r="U7681" t="s">
        <v>53341</v>
      </c>
      <c r="W7681" t="s">
        <v>43281</v>
      </c>
      <c r="X7681" t="s">
        <v>44768</v>
      </c>
    </row>
    <row r="7682" spans="1:24">
      <c r="A7682">
        <f>HYPERLINK("https://www.philgeps.gov.ph/GEPSNONPILOT/Tender/SplashBidNoticeAbstractUI.aspx?menuIndex=3&amp;refID=7144546&amp;Result=3","7144546")</f>
        <v>0</v>
      </c>
      <c r="B7682" t="s">
        <v>1043</v>
      </c>
      <c r="C7682" t="s">
        <v>11048</v>
      </c>
      <c r="D7682" t="s">
        <v>18000</v>
      </c>
      <c r="E7682" t="s">
        <v>24779</v>
      </c>
      <c r="F7682" t="s">
        <v>30900</v>
      </c>
      <c r="G7682" t="s">
        <v>30907</v>
      </c>
      <c r="H7682" t="s">
        <v>30916</v>
      </c>
      <c r="I7682" t="s">
        <v>30947</v>
      </c>
      <c r="J7682" t="s">
        <v>31052</v>
      </c>
      <c r="K7682" t="s">
        <v>40289</v>
      </c>
      <c r="M7682" t="s">
        <v>43271</v>
      </c>
      <c r="N7682" t="s">
        <v>44759</v>
      </c>
      <c r="O7682" t="s">
        <v>44760</v>
      </c>
      <c r="P7682">
        <v>0</v>
      </c>
      <c r="Q7682">
        <v>2</v>
      </c>
      <c r="R7682" t="s">
        <v>44767</v>
      </c>
      <c r="S7682" t="s">
        <v>44954</v>
      </c>
      <c r="T7682" t="s">
        <v>46531</v>
      </c>
      <c r="U7682" t="s">
        <v>53134</v>
      </c>
      <c r="W7682" t="s">
        <v>43271</v>
      </c>
      <c r="X7682" t="s">
        <v>44768</v>
      </c>
    </row>
    <row r="7683" spans="1:24">
      <c r="A7683">
        <f>HYPERLINK("https://www.philgeps.gov.ph/GEPSNONPILOT/Tender/SplashBidNoticeAbstractUI.aspx?menuIndex=3&amp;refID=7144571&amp;Result=3","7144571")</f>
        <v>0</v>
      </c>
      <c r="B7683" t="s">
        <v>1043</v>
      </c>
      <c r="C7683" t="s">
        <v>11049</v>
      </c>
      <c r="D7683" t="s">
        <v>18000</v>
      </c>
      <c r="E7683" t="s">
        <v>24780</v>
      </c>
      <c r="F7683" t="s">
        <v>30900</v>
      </c>
      <c r="G7683" t="s">
        <v>30908</v>
      </c>
      <c r="H7683" t="s">
        <v>30916</v>
      </c>
      <c r="I7683" t="s">
        <v>6408</v>
      </c>
      <c r="J7683" t="s">
        <v>34059</v>
      </c>
      <c r="K7683" t="s">
        <v>40289</v>
      </c>
      <c r="M7683" t="s">
        <v>43271</v>
      </c>
      <c r="N7683" t="s">
        <v>44759</v>
      </c>
      <c r="O7683" t="s">
        <v>44760</v>
      </c>
      <c r="P7683">
        <v>0</v>
      </c>
      <c r="Q7683">
        <v>3</v>
      </c>
      <c r="R7683" t="s">
        <v>44767</v>
      </c>
      <c r="S7683" t="s">
        <v>44954</v>
      </c>
      <c r="T7683" t="s">
        <v>46531</v>
      </c>
      <c r="U7683" t="s">
        <v>53342</v>
      </c>
      <c r="W7683" t="s">
        <v>43271</v>
      </c>
      <c r="X7683" t="s">
        <v>44768</v>
      </c>
    </row>
    <row r="7684" spans="1:24">
      <c r="A7684">
        <f>HYPERLINK("https://www.philgeps.gov.ph/GEPSNONPILOT/Tender/SplashBidNoticeAbstractUI.aspx?menuIndex=3&amp;refID=7144548&amp;Result=3","7144548")</f>
        <v>0</v>
      </c>
      <c r="B7684" t="s">
        <v>2567</v>
      </c>
      <c r="C7684" t="s">
        <v>11050</v>
      </c>
      <c r="D7684" t="s">
        <v>18018</v>
      </c>
      <c r="E7684" t="s">
        <v>24781</v>
      </c>
      <c r="F7684" t="s">
        <v>30900</v>
      </c>
      <c r="G7684" t="s">
        <v>30907</v>
      </c>
      <c r="H7684" t="s">
        <v>30916</v>
      </c>
      <c r="I7684" t="s">
        <v>30976</v>
      </c>
      <c r="J7684" t="s">
        <v>35921</v>
      </c>
      <c r="K7684" t="s">
        <v>40283</v>
      </c>
      <c r="M7684" t="s">
        <v>43326</v>
      </c>
      <c r="N7684" t="s">
        <v>44759</v>
      </c>
      <c r="O7684" t="s">
        <v>44760</v>
      </c>
      <c r="P7684">
        <v>0</v>
      </c>
      <c r="Q7684">
        <v>2</v>
      </c>
      <c r="R7684" t="s">
        <v>44767</v>
      </c>
      <c r="S7684" t="s">
        <v>44954</v>
      </c>
      <c r="T7684" t="s">
        <v>46369</v>
      </c>
      <c r="U7684" t="s">
        <v>53343</v>
      </c>
      <c r="W7684" t="s">
        <v>43326</v>
      </c>
      <c r="X7684" t="s">
        <v>44768</v>
      </c>
    </row>
    <row r="7685" spans="1:24">
      <c r="A7685">
        <f>HYPERLINK("https://www.philgeps.gov.ph/GEPSNONPILOT/Tender/SplashBidNoticeAbstractUI.aspx?menuIndex=3&amp;refID=7144485&amp;Result=3","7144485")</f>
        <v>0</v>
      </c>
      <c r="B7685" t="s">
        <v>2568</v>
      </c>
      <c r="C7685" t="s">
        <v>7748</v>
      </c>
      <c r="D7685" t="s">
        <v>17967</v>
      </c>
      <c r="E7685" t="s">
        <v>24782</v>
      </c>
      <c r="F7685" t="s">
        <v>30900</v>
      </c>
      <c r="G7685" t="s">
        <v>30909</v>
      </c>
      <c r="H7685" t="s">
        <v>30917</v>
      </c>
      <c r="I7685" t="s">
        <v>17295</v>
      </c>
      <c r="J7685" t="s">
        <v>31101</v>
      </c>
      <c r="K7685" t="s">
        <v>40334</v>
      </c>
      <c r="M7685" t="s">
        <v>43327</v>
      </c>
      <c r="N7685" t="s">
        <v>44759</v>
      </c>
      <c r="O7685" t="s">
        <v>44760</v>
      </c>
      <c r="P7685">
        <v>0</v>
      </c>
      <c r="Q7685">
        <v>1</v>
      </c>
      <c r="R7685" t="s">
        <v>44767</v>
      </c>
      <c r="S7685" t="s">
        <v>44954</v>
      </c>
      <c r="T7685" t="s">
        <v>46581</v>
      </c>
      <c r="U7685" t="s">
        <v>53344</v>
      </c>
      <c r="W7685" t="s">
        <v>43327</v>
      </c>
      <c r="X7685" t="s">
        <v>44768</v>
      </c>
    </row>
    <row r="7686" spans="1:24">
      <c r="A7686">
        <f>HYPERLINK("https://www.philgeps.gov.ph/GEPSNONPILOT/Tender/SplashBidNoticeAbstractUI.aspx?menuIndex=3&amp;refID=7144547&amp;Result=3","7144547")</f>
        <v>0</v>
      </c>
      <c r="B7686" t="s">
        <v>2569</v>
      </c>
      <c r="C7686" t="s">
        <v>11051</v>
      </c>
      <c r="D7686" t="s">
        <v>17978</v>
      </c>
      <c r="E7686" t="s">
        <v>24783</v>
      </c>
      <c r="F7686" t="s">
        <v>30900</v>
      </c>
      <c r="G7686" t="s">
        <v>30908</v>
      </c>
      <c r="H7686" t="s">
        <v>30916</v>
      </c>
      <c r="I7686" t="s">
        <v>4545</v>
      </c>
      <c r="J7686" t="s">
        <v>31090</v>
      </c>
      <c r="K7686" t="s">
        <v>40284</v>
      </c>
      <c r="M7686" t="s">
        <v>43328</v>
      </c>
      <c r="N7686" t="s">
        <v>44759</v>
      </c>
      <c r="O7686" t="s">
        <v>44760</v>
      </c>
      <c r="P7686">
        <v>0</v>
      </c>
      <c r="Q7686">
        <v>1</v>
      </c>
      <c r="R7686" t="s">
        <v>44767</v>
      </c>
      <c r="S7686" t="s">
        <v>44954</v>
      </c>
      <c r="T7686" t="s">
        <v>46398</v>
      </c>
      <c r="U7686" t="s">
        <v>53345</v>
      </c>
      <c r="W7686" t="s">
        <v>43328</v>
      </c>
      <c r="X7686" t="s">
        <v>44768</v>
      </c>
    </row>
    <row r="7687" spans="1:24">
      <c r="A7687">
        <f>HYPERLINK("https://www.philgeps.gov.ph/GEPSNONPILOT/Tender/SplashBidNoticeAbstractUI.aspx?menuIndex=3&amp;refID=7144560&amp;Result=3","7144560")</f>
        <v>0</v>
      </c>
      <c r="B7687" t="s">
        <v>1664</v>
      </c>
      <c r="C7687" t="s">
        <v>11052</v>
      </c>
      <c r="D7687" t="s">
        <v>17959</v>
      </c>
      <c r="E7687" t="s">
        <v>24784</v>
      </c>
      <c r="F7687" t="s">
        <v>30900</v>
      </c>
      <c r="G7687" t="s">
        <v>30908</v>
      </c>
      <c r="H7687" t="s">
        <v>30916</v>
      </c>
      <c r="I7687" t="s">
        <v>5830</v>
      </c>
      <c r="J7687" t="s">
        <v>31313</v>
      </c>
      <c r="K7687" t="s">
        <v>40289</v>
      </c>
      <c r="M7687" t="s">
        <v>42321</v>
      </c>
      <c r="N7687" t="s">
        <v>44759</v>
      </c>
      <c r="O7687" t="s">
        <v>44760</v>
      </c>
      <c r="P7687">
        <v>0</v>
      </c>
      <c r="Q7687">
        <v>30</v>
      </c>
      <c r="R7687" t="s">
        <v>44767</v>
      </c>
      <c r="S7687" t="s">
        <v>44954</v>
      </c>
      <c r="T7687" t="s">
        <v>46541</v>
      </c>
      <c r="U7687" t="s">
        <v>50662</v>
      </c>
      <c r="W7687" t="s">
        <v>42321</v>
      </c>
      <c r="X7687" t="s">
        <v>44768</v>
      </c>
    </row>
    <row r="7688" spans="1:24">
      <c r="A7688">
        <f>HYPERLINK("https://www.philgeps.gov.ph/GEPSNONPILOT/Tender/SplashBidNoticeAbstractUI.aspx?menuIndex=3&amp;refID=7144554&amp;Result=3","7144554")</f>
        <v>0</v>
      </c>
      <c r="B7688" t="s">
        <v>255</v>
      </c>
      <c r="C7688" t="s">
        <v>11053</v>
      </c>
      <c r="D7688" t="s">
        <v>17980</v>
      </c>
      <c r="E7688" t="s">
        <v>24785</v>
      </c>
      <c r="F7688" t="s">
        <v>30900</v>
      </c>
      <c r="G7688" t="s">
        <v>30908</v>
      </c>
      <c r="H7688" t="s">
        <v>30916</v>
      </c>
      <c r="I7688" t="s">
        <v>4017</v>
      </c>
      <c r="J7688" t="s">
        <v>35922</v>
      </c>
      <c r="K7688" t="s">
        <v>40283</v>
      </c>
      <c r="M7688" t="s">
        <v>40802</v>
      </c>
      <c r="N7688" t="s">
        <v>44759</v>
      </c>
      <c r="O7688" t="s">
        <v>44760</v>
      </c>
      <c r="P7688">
        <v>0</v>
      </c>
      <c r="Q7688">
        <v>2</v>
      </c>
      <c r="R7688" t="s">
        <v>44767</v>
      </c>
      <c r="S7688" t="s">
        <v>44954</v>
      </c>
      <c r="T7688" t="s">
        <v>46533</v>
      </c>
      <c r="U7688" t="s">
        <v>47342</v>
      </c>
      <c r="W7688" t="s">
        <v>40802</v>
      </c>
      <c r="X7688" t="s">
        <v>44768</v>
      </c>
    </row>
    <row r="7689" spans="1:24">
      <c r="A7689">
        <f>HYPERLINK("https://www.philgeps.gov.ph/GEPSNONPILOT/Tender/SplashBidNoticeAbstractUI.aspx?menuIndex=3&amp;refID=7144562&amp;Result=3","7144562")</f>
        <v>0</v>
      </c>
      <c r="B7689" t="s">
        <v>2570</v>
      </c>
      <c r="C7689" t="s">
        <v>11054</v>
      </c>
      <c r="D7689" t="s">
        <v>17993</v>
      </c>
      <c r="E7689" t="s">
        <v>24786</v>
      </c>
      <c r="F7689" t="s">
        <v>30900</v>
      </c>
      <c r="G7689" t="s">
        <v>30907</v>
      </c>
      <c r="H7689" t="s">
        <v>30915</v>
      </c>
      <c r="I7689" t="s">
        <v>30971</v>
      </c>
      <c r="J7689" t="s">
        <v>35923</v>
      </c>
      <c r="K7689" t="s">
        <v>40301</v>
      </c>
      <c r="M7689" t="s">
        <v>43329</v>
      </c>
      <c r="N7689" t="s">
        <v>44759</v>
      </c>
      <c r="O7689" t="s">
        <v>44760</v>
      </c>
      <c r="P7689">
        <v>0</v>
      </c>
      <c r="Q7689">
        <v>4</v>
      </c>
      <c r="R7689" t="s">
        <v>44767</v>
      </c>
      <c r="S7689" t="s">
        <v>44954</v>
      </c>
      <c r="T7689" t="s">
        <v>46450</v>
      </c>
      <c r="U7689" t="s">
        <v>53346</v>
      </c>
      <c r="W7689" t="s">
        <v>43329</v>
      </c>
      <c r="X7689" t="s">
        <v>44768</v>
      </c>
    </row>
    <row r="7690" spans="1:24">
      <c r="A7690">
        <f>HYPERLINK("https://www.philgeps.gov.ph/GEPSNONPILOT/Tender/SplashBidNoticeAbstractUI.aspx?menuIndex=3&amp;refID=7144544&amp;Result=3","7144544")</f>
        <v>0</v>
      </c>
      <c r="B7690" t="s">
        <v>2571</v>
      </c>
      <c r="C7690" t="s">
        <v>11055</v>
      </c>
      <c r="D7690" t="s">
        <v>17973</v>
      </c>
      <c r="E7690" t="s">
        <v>24787</v>
      </c>
      <c r="F7690" t="s">
        <v>30900</v>
      </c>
      <c r="G7690" t="s">
        <v>30908</v>
      </c>
      <c r="H7690" t="s">
        <v>30915</v>
      </c>
      <c r="I7690" t="s">
        <v>30919</v>
      </c>
      <c r="J7690" t="s">
        <v>34401</v>
      </c>
      <c r="K7690" t="s">
        <v>40280</v>
      </c>
      <c r="M7690" t="s">
        <v>43330</v>
      </c>
      <c r="N7690" t="s">
        <v>44759</v>
      </c>
      <c r="O7690" t="s">
        <v>44760</v>
      </c>
      <c r="P7690">
        <v>0</v>
      </c>
      <c r="Q7690">
        <v>1</v>
      </c>
      <c r="R7690" t="s">
        <v>44767</v>
      </c>
      <c r="S7690" t="s">
        <v>44954</v>
      </c>
      <c r="T7690" t="s">
        <v>46366</v>
      </c>
      <c r="U7690" t="s">
        <v>53347</v>
      </c>
      <c r="W7690" t="s">
        <v>43330</v>
      </c>
      <c r="X7690" t="s">
        <v>44768</v>
      </c>
    </row>
    <row r="7691" spans="1:24">
      <c r="A7691">
        <f>HYPERLINK("https://www.philgeps.gov.ph/GEPSNONPILOT/Tender/SplashBidNoticeAbstractUI.aspx?menuIndex=3&amp;refID=7144543&amp;Result=3","7144543")</f>
        <v>0</v>
      </c>
      <c r="B7691" t="s">
        <v>2230</v>
      </c>
      <c r="C7691" t="s">
        <v>11056</v>
      </c>
      <c r="D7691" t="s">
        <v>18018</v>
      </c>
      <c r="E7691" t="s">
        <v>24788</v>
      </c>
      <c r="F7691" t="s">
        <v>30900</v>
      </c>
      <c r="G7691" t="s">
        <v>30908</v>
      </c>
      <c r="H7691" t="s">
        <v>30916</v>
      </c>
      <c r="I7691" t="s">
        <v>30924</v>
      </c>
      <c r="J7691" t="s">
        <v>31183</v>
      </c>
      <c r="K7691" t="s">
        <v>40294</v>
      </c>
      <c r="M7691" t="s">
        <v>42940</v>
      </c>
      <c r="N7691" t="s">
        <v>44759</v>
      </c>
      <c r="O7691" t="s">
        <v>44760</v>
      </c>
      <c r="P7691">
        <v>0</v>
      </c>
      <c r="Q7691">
        <v>0</v>
      </c>
      <c r="R7691" t="s">
        <v>44767</v>
      </c>
      <c r="S7691" t="s">
        <v>44954</v>
      </c>
      <c r="T7691" t="s">
        <v>46533</v>
      </c>
      <c r="U7691" t="s">
        <v>53348</v>
      </c>
      <c r="V7691" t="s">
        <v>59940</v>
      </c>
      <c r="W7691" t="s">
        <v>42940</v>
      </c>
      <c r="X7691" t="s">
        <v>44768</v>
      </c>
    </row>
    <row r="7692" spans="1:24">
      <c r="A7692">
        <f>HYPERLINK("https://www.philgeps.gov.ph/GEPSNONPILOT/Tender/SplashBidNoticeAbstractUI.aspx?menuIndex=3&amp;refID=7144569&amp;Result=3","7144569")</f>
        <v>0</v>
      </c>
      <c r="B7692" t="s">
        <v>2568</v>
      </c>
      <c r="C7692" t="s">
        <v>4532</v>
      </c>
      <c r="D7692" t="s">
        <v>17967</v>
      </c>
      <c r="E7692" t="s">
        <v>24789</v>
      </c>
      <c r="F7692" t="s">
        <v>30900</v>
      </c>
      <c r="G7692" t="s">
        <v>30909</v>
      </c>
      <c r="H7692" t="s">
        <v>30916</v>
      </c>
      <c r="I7692" t="s">
        <v>4142</v>
      </c>
      <c r="J7692" t="s">
        <v>31101</v>
      </c>
      <c r="K7692" t="s">
        <v>40331</v>
      </c>
      <c r="M7692" t="s">
        <v>43327</v>
      </c>
      <c r="N7692" t="s">
        <v>44759</v>
      </c>
      <c r="O7692" t="s">
        <v>44760</v>
      </c>
      <c r="P7692">
        <v>0</v>
      </c>
      <c r="Q7692">
        <v>3</v>
      </c>
      <c r="R7692" t="s">
        <v>44767</v>
      </c>
      <c r="S7692" t="s">
        <v>44954</v>
      </c>
      <c r="T7692" t="s">
        <v>46581</v>
      </c>
      <c r="U7692" t="s">
        <v>53349</v>
      </c>
      <c r="W7692" t="s">
        <v>43327</v>
      </c>
      <c r="X7692" t="s">
        <v>44768</v>
      </c>
    </row>
    <row r="7693" spans="1:24">
      <c r="A7693">
        <f>HYPERLINK("https://www.philgeps.gov.ph/GEPSNONPILOT/Tender/SplashBidNoticeAbstractUI.aspx?menuIndex=3&amp;refID=7144530&amp;Result=3","7144530")</f>
        <v>0</v>
      </c>
      <c r="B7693" t="s">
        <v>1043</v>
      </c>
      <c r="C7693" t="s">
        <v>11057</v>
      </c>
      <c r="D7693" t="s">
        <v>18000</v>
      </c>
      <c r="E7693" t="s">
        <v>24790</v>
      </c>
      <c r="F7693" t="s">
        <v>30900</v>
      </c>
      <c r="G7693" t="s">
        <v>30907</v>
      </c>
      <c r="H7693" t="s">
        <v>30916</v>
      </c>
      <c r="I7693" t="s">
        <v>5501</v>
      </c>
      <c r="J7693" t="s">
        <v>35924</v>
      </c>
      <c r="K7693" t="s">
        <v>40289</v>
      </c>
      <c r="M7693" t="s">
        <v>43271</v>
      </c>
      <c r="N7693" t="s">
        <v>44759</v>
      </c>
      <c r="O7693" t="s">
        <v>44760</v>
      </c>
      <c r="P7693">
        <v>0</v>
      </c>
      <c r="Q7693">
        <v>4</v>
      </c>
      <c r="R7693" t="s">
        <v>44767</v>
      </c>
      <c r="S7693" t="s">
        <v>44954</v>
      </c>
      <c r="T7693" t="s">
        <v>46531</v>
      </c>
      <c r="U7693" t="s">
        <v>53134</v>
      </c>
      <c r="W7693" t="s">
        <v>43271</v>
      </c>
      <c r="X7693" t="s">
        <v>44768</v>
      </c>
    </row>
    <row r="7694" spans="1:24">
      <c r="A7694">
        <f>HYPERLINK("https://www.philgeps.gov.ph/GEPSNONPILOT/Tender/SplashBidNoticeAbstractUI.aspx?menuIndex=3&amp;refID=7144489&amp;Result=3","7144489")</f>
        <v>0</v>
      </c>
      <c r="B7694" t="s">
        <v>2036</v>
      </c>
      <c r="C7694" t="s">
        <v>11058</v>
      </c>
      <c r="D7694" t="s">
        <v>17959</v>
      </c>
      <c r="E7694" t="s">
        <v>24791</v>
      </c>
      <c r="F7694" t="s">
        <v>30900</v>
      </c>
      <c r="G7694" t="s">
        <v>30908</v>
      </c>
      <c r="H7694" t="s">
        <v>30916</v>
      </c>
      <c r="I7694" t="s">
        <v>30934</v>
      </c>
      <c r="J7694" t="s">
        <v>31490</v>
      </c>
      <c r="K7694" t="s">
        <v>40283</v>
      </c>
      <c r="M7694" t="s">
        <v>42733</v>
      </c>
      <c r="N7694" t="s">
        <v>44759</v>
      </c>
      <c r="O7694" t="s">
        <v>44760</v>
      </c>
      <c r="P7694">
        <v>0</v>
      </c>
      <c r="Q7694">
        <v>7</v>
      </c>
      <c r="R7694" t="s">
        <v>44767</v>
      </c>
      <c r="S7694" t="s">
        <v>44954</v>
      </c>
      <c r="T7694" t="s">
        <v>46410</v>
      </c>
      <c r="U7694" t="s">
        <v>51694</v>
      </c>
      <c r="W7694" t="s">
        <v>42733</v>
      </c>
      <c r="X7694" t="s">
        <v>44768</v>
      </c>
    </row>
    <row r="7695" spans="1:24">
      <c r="A7695">
        <f>HYPERLINK("https://www.philgeps.gov.ph/GEPSNONPILOT/Tender/SplashBidNoticeAbstractUI.aspx?menuIndex=3&amp;refID=7144529&amp;Result=3","7144529")</f>
        <v>0</v>
      </c>
      <c r="B7695" t="s">
        <v>2478</v>
      </c>
      <c r="C7695" t="s">
        <v>11059</v>
      </c>
      <c r="D7695" t="s">
        <v>17958</v>
      </c>
      <c r="E7695" t="s">
        <v>24792</v>
      </c>
      <c r="F7695" t="s">
        <v>30900</v>
      </c>
      <c r="G7695" t="s">
        <v>30907</v>
      </c>
      <c r="H7695" t="s">
        <v>30916</v>
      </c>
      <c r="I7695" t="s">
        <v>30931</v>
      </c>
      <c r="J7695" t="s">
        <v>31669</v>
      </c>
      <c r="K7695" t="s">
        <v>40283</v>
      </c>
      <c r="M7695" t="s">
        <v>43217</v>
      </c>
      <c r="N7695" t="s">
        <v>44759</v>
      </c>
      <c r="O7695" t="s">
        <v>44760</v>
      </c>
      <c r="P7695">
        <v>0</v>
      </c>
      <c r="Q7695">
        <v>2</v>
      </c>
      <c r="R7695" t="s">
        <v>44767</v>
      </c>
      <c r="S7695" t="s">
        <v>44954</v>
      </c>
      <c r="T7695" t="s">
        <v>46450</v>
      </c>
      <c r="U7695" t="s">
        <v>53350</v>
      </c>
      <c r="W7695" t="s">
        <v>43217</v>
      </c>
      <c r="X7695" t="s">
        <v>44768</v>
      </c>
    </row>
    <row r="7696" spans="1:24">
      <c r="A7696">
        <f>HYPERLINK("https://www.philgeps.gov.ph/GEPSNONPILOT/Tender/SplashBidNoticeAbstractUI.aspx?menuIndex=3&amp;refID=7144521&amp;Result=3","7144521")</f>
        <v>0</v>
      </c>
      <c r="B7696" t="s">
        <v>2228</v>
      </c>
      <c r="C7696" t="s">
        <v>11060</v>
      </c>
      <c r="E7696" t="s">
        <v>24793</v>
      </c>
      <c r="F7696" t="s">
        <v>30900</v>
      </c>
      <c r="G7696" t="s">
        <v>30908</v>
      </c>
      <c r="H7696" t="s">
        <v>30915</v>
      </c>
      <c r="I7696" t="s">
        <v>8123</v>
      </c>
      <c r="J7696" t="s">
        <v>32250</v>
      </c>
      <c r="K7696" t="s">
        <v>40289</v>
      </c>
      <c r="M7696" t="s">
        <v>42938</v>
      </c>
      <c r="N7696" t="s">
        <v>44759</v>
      </c>
      <c r="O7696" t="s">
        <v>44760</v>
      </c>
      <c r="P7696">
        <v>0</v>
      </c>
      <c r="Q7696">
        <v>0</v>
      </c>
      <c r="R7696" t="s">
        <v>44767</v>
      </c>
      <c r="S7696" t="s">
        <v>44954</v>
      </c>
      <c r="T7696" t="s">
        <v>46533</v>
      </c>
      <c r="U7696" t="s">
        <v>53351</v>
      </c>
      <c r="W7696" t="s">
        <v>42938</v>
      </c>
      <c r="X7696" t="s">
        <v>44768</v>
      </c>
    </row>
    <row r="7697" spans="1:24">
      <c r="A7697">
        <f>HYPERLINK("https://www.philgeps.gov.ph/GEPSNONPILOT/Tender/SplashBidNoticeAbstractUI.aspx?menuIndex=3&amp;refID=7144514&amp;Result=3","7144514")</f>
        <v>0</v>
      </c>
      <c r="B7697" t="s">
        <v>605</v>
      </c>
      <c r="C7697" t="s">
        <v>11061</v>
      </c>
      <c r="D7697" t="s">
        <v>18020</v>
      </c>
      <c r="E7697" t="s">
        <v>24794</v>
      </c>
      <c r="F7697" t="s">
        <v>30900</v>
      </c>
      <c r="G7697" t="s">
        <v>30907</v>
      </c>
      <c r="H7697" t="s">
        <v>30916</v>
      </c>
      <c r="I7697" t="s">
        <v>4545</v>
      </c>
      <c r="J7697" t="s">
        <v>35925</v>
      </c>
      <c r="K7697" t="s">
        <v>40286</v>
      </c>
      <c r="M7697" t="s">
        <v>41166</v>
      </c>
      <c r="N7697" t="s">
        <v>44759</v>
      </c>
      <c r="O7697" t="s">
        <v>44760</v>
      </c>
      <c r="P7697">
        <v>0</v>
      </c>
      <c r="Q7697">
        <v>4</v>
      </c>
      <c r="R7697" t="s">
        <v>44767</v>
      </c>
      <c r="S7697" t="s">
        <v>44954</v>
      </c>
      <c r="T7697" t="s">
        <v>46515</v>
      </c>
      <c r="U7697" t="s">
        <v>51739</v>
      </c>
      <c r="W7697" t="s">
        <v>41166</v>
      </c>
      <c r="X7697" t="s">
        <v>44768</v>
      </c>
    </row>
    <row r="7698" spans="1:24">
      <c r="A7698">
        <f>HYPERLINK("https://www.philgeps.gov.ph/GEPSNONPILOT/Tender/SplashBidNoticeAbstractUI.aspx?menuIndex=3&amp;refID=7144539&amp;Result=3","7144539")</f>
        <v>0</v>
      </c>
      <c r="B7698" t="s">
        <v>2307</v>
      </c>
      <c r="C7698" t="s">
        <v>11062</v>
      </c>
      <c r="D7698" t="s">
        <v>17955</v>
      </c>
      <c r="E7698" t="s">
        <v>24795</v>
      </c>
      <c r="F7698" t="s">
        <v>30900</v>
      </c>
      <c r="G7698" t="s">
        <v>30907</v>
      </c>
      <c r="H7698" t="s">
        <v>30916</v>
      </c>
      <c r="I7698" t="s">
        <v>30925</v>
      </c>
      <c r="J7698" t="s">
        <v>35926</v>
      </c>
      <c r="K7698" t="s">
        <v>40286</v>
      </c>
      <c r="M7698" t="s">
        <v>43025</v>
      </c>
      <c r="N7698" t="s">
        <v>44759</v>
      </c>
      <c r="O7698" t="s">
        <v>44760</v>
      </c>
      <c r="P7698">
        <v>0</v>
      </c>
      <c r="Q7698">
        <v>3</v>
      </c>
      <c r="R7698" t="s">
        <v>44767</v>
      </c>
      <c r="S7698" t="s">
        <v>44954</v>
      </c>
      <c r="T7698" t="s">
        <v>46393</v>
      </c>
      <c r="U7698" t="s">
        <v>53352</v>
      </c>
      <c r="W7698" t="s">
        <v>43025</v>
      </c>
      <c r="X7698" t="s">
        <v>44768</v>
      </c>
    </row>
    <row r="7699" spans="1:24">
      <c r="A7699">
        <f>HYPERLINK("https://www.philgeps.gov.ph/GEPSNONPILOT/Tender/SplashBidNoticeAbstractUI.aspx?menuIndex=3&amp;refID=7144523&amp;Result=3","7144523")</f>
        <v>0</v>
      </c>
      <c r="B7699" t="s">
        <v>1664</v>
      </c>
      <c r="C7699" t="s">
        <v>11063</v>
      </c>
      <c r="D7699" t="s">
        <v>17959</v>
      </c>
      <c r="E7699" t="s">
        <v>24796</v>
      </c>
      <c r="F7699" t="s">
        <v>30900</v>
      </c>
      <c r="G7699" t="s">
        <v>30910</v>
      </c>
      <c r="H7699" t="s">
        <v>30916</v>
      </c>
      <c r="I7699" t="s">
        <v>6396</v>
      </c>
      <c r="J7699" t="s">
        <v>32646</v>
      </c>
      <c r="K7699" t="s">
        <v>40289</v>
      </c>
      <c r="M7699" t="s">
        <v>42321</v>
      </c>
      <c r="N7699" t="s">
        <v>44759</v>
      </c>
      <c r="O7699" t="s">
        <v>44760</v>
      </c>
      <c r="P7699">
        <v>0</v>
      </c>
      <c r="Q7699">
        <v>24</v>
      </c>
      <c r="R7699" t="s">
        <v>44767</v>
      </c>
      <c r="S7699" t="s">
        <v>44954</v>
      </c>
      <c r="T7699" t="s">
        <v>46541</v>
      </c>
      <c r="U7699" t="s">
        <v>50662</v>
      </c>
      <c r="W7699" t="s">
        <v>42321</v>
      </c>
      <c r="X7699" t="s">
        <v>44768</v>
      </c>
    </row>
    <row r="7700" spans="1:24">
      <c r="A7700">
        <f>HYPERLINK("https://www.philgeps.gov.ph/GEPSNONPILOT/Tender/SplashBidNoticeAbstractUI.aspx?menuIndex=3&amp;refID=7144532&amp;Result=3","7144532")</f>
        <v>0</v>
      </c>
      <c r="B7700" t="s">
        <v>363</v>
      </c>
      <c r="C7700" t="s">
        <v>11022</v>
      </c>
      <c r="D7700" t="s">
        <v>17980</v>
      </c>
      <c r="E7700" t="s">
        <v>24797</v>
      </c>
      <c r="F7700" t="s">
        <v>30900</v>
      </c>
      <c r="G7700" t="s">
        <v>30907</v>
      </c>
      <c r="H7700" t="s">
        <v>30916</v>
      </c>
      <c r="I7700" t="s">
        <v>4050</v>
      </c>
      <c r="J7700" t="s">
        <v>31043</v>
      </c>
      <c r="K7700" t="s">
        <v>40286</v>
      </c>
      <c r="M7700" t="s">
        <v>40917</v>
      </c>
      <c r="N7700" t="s">
        <v>44759</v>
      </c>
      <c r="O7700" t="s">
        <v>44760</v>
      </c>
      <c r="P7700">
        <v>0</v>
      </c>
      <c r="Q7700">
        <v>0</v>
      </c>
      <c r="R7700" t="s">
        <v>44767</v>
      </c>
      <c r="S7700" t="s">
        <v>44954</v>
      </c>
      <c r="T7700" t="s">
        <v>46379</v>
      </c>
      <c r="U7700" t="s">
        <v>53353</v>
      </c>
      <c r="V7700" t="s">
        <v>59941</v>
      </c>
      <c r="W7700" t="s">
        <v>40917</v>
      </c>
      <c r="X7700" t="s">
        <v>44768</v>
      </c>
    </row>
    <row r="7701" spans="1:24">
      <c r="A7701">
        <f>HYPERLINK("https://www.philgeps.gov.ph/GEPSNONPILOT/Tender/SplashBidNoticeAbstractUI.aspx?menuIndex=3&amp;refID=7144595&amp;Result=3","7144595")</f>
        <v>0</v>
      </c>
      <c r="B7701" t="s">
        <v>2572</v>
      </c>
      <c r="C7701" t="s">
        <v>11064</v>
      </c>
      <c r="D7701" t="s">
        <v>17955</v>
      </c>
      <c r="E7701" t="s">
        <v>24798</v>
      </c>
      <c r="F7701" t="s">
        <v>30900</v>
      </c>
      <c r="G7701" t="s">
        <v>30907</v>
      </c>
      <c r="H7701" t="s">
        <v>30916</v>
      </c>
      <c r="I7701" t="s">
        <v>4108</v>
      </c>
      <c r="J7701" t="s">
        <v>35272</v>
      </c>
      <c r="K7701" t="s">
        <v>40291</v>
      </c>
      <c r="M7701" t="s">
        <v>43331</v>
      </c>
      <c r="N7701" t="s">
        <v>44759</v>
      </c>
      <c r="O7701" t="s">
        <v>44760</v>
      </c>
      <c r="P7701">
        <v>0</v>
      </c>
      <c r="Q7701">
        <v>1</v>
      </c>
      <c r="R7701" t="s">
        <v>44767</v>
      </c>
      <c r="S7701" t="s">
        <v>44954</v>
      </c>
      <c r="T7701" t="s">
        <v>46773</v>
      </c>
      <c r="U7701" t="s">
        <v>53354</v>
      </c>
      <c r="W7701" t="s">
        <v>43331</v>
      </c>
      <c r="X7701" t="s">
        <v>44768</v>
      </c>
    </row>
    <row r="7702" spans="1:24">
      <c r="A7702">
        <f>HYPERLINK("https://www.philgeps.gov.ph/GEPSNONPILOT/Tender/SplashBidNoticeAbstractUI.aspx?menuIndex=3&amp;refID=7144587&amp;Result=3","7144587")</f>
        <v>0</v>
      </c>
      <c r="B7702" t="s">
        <v>2572</v>
      </c>
      <c r="C7702" t="s">
        <v>11065</v>
      </c>
      <c r="D7702" t="s">
        <v>17955</v>
      </c>
      <c r="E7702" t="s">
        <v>24799</v>
      </c>
      <c r="F7702" t="s">
        <v>30900</v>
      </c>
      <c r="G7702" t="s">
        <v>30907</v>
      </c>
      <c r="H7702" t="s">
        <v>30916</v>
      </c>
      <c r="I7702" t="s">
        <v>4108</v>
      </c>
      <c r="J7702" t="s">
        <v>35927</v>
      </c>
      <c r="K7702" t="s">
        <v>40291</v>
      </c>
      <c r="M7702" t="s">
        <v>43331</v>
      </c>
      <c r="N7702" t="s">
        <v>44759</v>
      </c>
      <c r="O7702" t="s">
        <v>44760</v>
      </c>
      <c r="P7702">
        <v>0</v>
      </c>
      <c r="Q7702">
        <v>1</v>
      </c>
      <c r="R7702" t="s">
        <v>44767</v>
      </c>
      <c r="S7702" t="s">
        <v>44954</v>
      </c>
      <c r="T7702" t="s">
        <v>46773</v>
      </c>
      <c r="U7702" t="s">
        <v>53355</v>
      </c>
      <c r="W7702" t="s">
        <v>43331</v>
      </c>
      <c r="X7702" t="s">
        <v>44768</v>
      </c>
    </row>
    <row r="7703" spans="1:24">
      <c r="A7703">
        <f>HYPERLINK("https://www.philgeps.gov.ph/GEPSNONPILOT/Tender/SplashBidNoticeAbstractUI.aspx?menuIndex=3&amp;refID=7144585&amp;Result=3","7144585")</f>
        <v>0</v>
      </c>
      <c r="B7703" t="s">
        <v>2472</v>
      </c>
      <c r="C7703" t="s">
        <v>11066</v>
      </c>
      <c r="D7703" t="s">
        <v>17962</v>
      </c>
      <c r="E7703" t="s">
        <v>24800</v>
      </c>
      <c r="F7703" t="s">
        <v>30900</v>
      </c>
      <c r="G7703" t="s">
        <v>30908</v>
      </c>
      <c r="H7703" t="s">
        <v>30916</v>
      </c>
      <c r="I7703" t="s">
        <v>30961</v>
      </c>
      <c r="J7703" t="s">
        <v>35928</v>
      </c>
      <c r="K7703" t="s">
        <v>40283</v>
      </c>
      <c r="M7703" t="s">
        <v>43210</v>
      </c>
      <c r="N7703" t="s">
        <v>44759</v>
      </c>
      <c r="O7703" t="s">
        <v>44760</v>
      </c>
      <c r="P7703">
        <v>0</v>
      </c>
      <c r="Q7703">
        <v>2</v>
      </c>
      <c r="R7703" t="s">
        <v>44767</v>
      </c>
      <c r="S7703" t="s">
        <v>44954</v>
      </c>
      <c r="T7703" t="s">
        <v>46658</v>
      </c>
      <c r="U7703" t="s">
        <v>53356</v>
      </c>
      <c r="W7703" t="s">
        <v>43210</v>
      </c>
      <c r="X7703" t="s">
        <v>44768</v>
      </c>
    </row>
    <row r="7704" spans="1:24">
      <c r="A7704">
        <f>HYPERLINK("https://www.philgeps.gov.ph/GEPSNONPILOT/Tender/SplashBidNoticeAbstractUI.aspx?menuIndex=3&amp;refID=7144584&amp;Result=3","7144584")</f>
        <v>0</v>
      </c>
      <c r="B7704" t="s">
        <v>1500</v>
      </c>
      <c r="C7704" t="s">
        <v>11067</v>
      </c>
      <c r="D7704" t="s">
        <v>17978</v>
      </c>
      <c r="E7704" t="s">
        <v>24801</v>
      </c>
      <c r="F7704" t="s">
        <v>30900</v>
      </c>
      <c r="G7704" t="s">
        <v>30907</v>
      </c>
      <c r="H7704" t="s">
        <v>30916</v>
      </c>
      <c r="I7704" t="s">
        <v>4545</v>
      </c>
      <c r="J7704" t="s">
        <v>31049</v>
      </c>
      <c r="K7704" t="s">
        <v>40283</v>
      </c>
      <c r="M7704" t="s">
        <v>43287</v>
      </c>
      <c r="N7704" t="s">
        <v>44759</v>
      </c>
      <c r="O7704" t="s">
        <v>44760</v>
      </c>
      <c r="P7704">
        <v>0</v>
      </c>
      <c r="Q7704">
        <v>11</v>
      </c>
      <c r="R7704" t="s">
        <v>44767</v>
      </c>
      <c r="S7704" t="s">
        <v>44954</v>
      </c>
      <c r="T7704" t="s">
        <v>46785</v>
      </c>
      <c r="U7704" t="s">
        <v>53334</v>
      </c>
      <c r="W7704" t="s">
        <v>43287</v>
      </c>
      <c r="X7704" t="s">
        <v>44768</v>
      </c>
    </row>
    <row r="7705" spans="1:24">
      <c r="A7705">
        <f>HYPERLINK("https://www.philgeps.gov.ph/GEPSNONPILOT/Tender/SplashBidNoticeAbstractUI.aspx?menuIndex=3&amp;refID=7144583&amp;Result=3","7144583")</f>
        <v>0</v>
      </c>
      <c r="B7705" t="s">
        <v>1308</v>
      </c>
      <c r="C7705" t="s">
        <v>11068</v>
      </c>
      <c r="D7705" t="s">
        <v>17977</v>
      </c>
      <c r="E7705" t="s">
        <v>18484</v>
      </c>
      <c r="F7705" t="s">
        <v>30900</v>
      </c>
      <c r="G7705" t="s">
        <v>30908</v>
      </c>
      <c r="H7705" t="s">
        <v>30916</v>
      </c>
      <c r="I7705" t="s">
        <v>30983</v>
      </c>
      <c r="J7705" t="s">
        <v>35929</v>
      </c>
      <c r="K7705" t="s">
        <v>40289</v>
      </c>
      <c r="M7705" t="s">
        <v>41926</v>
      </c>
      <c r="N7705" t="s">
        <v>44759</v>
      </c>
      <c r="O7705" t="s">
        <v>44760</v>
      </c>
      <c r="P7705">
        <v>0</v>
      </c>
      <c r="Q7705">
        <v>1</v>
      </c>
      <c r="R7705" t="s">
        <v>44767</v>
      </c>
      <c r="S7705" t="s">
        <v>44954</v>
      </c>
      <c r="T7705" t="s">
        <v>46374</v>
      </c>
      <c r="U7705" t="s">
        <v>53357</v>
      </c>
      <c r="W7705" t="s">
        <v>41926</v>
      </c>
      <c r="X7705" t="s">
        <v>44768</v>
      </c>
    </row>
    <row r="7706" spans="1:24">
      <c r="A7706">
        <f>HYPERLINK("https://www.philgeps.gov.ph/GEPSNONPILOT/Tender/SplashBidNoticeAbstractUI.aspx?menuIndex=3&amp;refID=7144573&amp;Result=3","7144573")</f>
        <v>0</v>
      </c>
      <c r="B7706" t="s">
        <v>2573</v>
      </c>
      <c r="C7706" t="s">
        <v>11069</v>
      </c>
      <c r="D7706" t="s">
        <v>17980</v>
      </c>
      <c r="E7706" t="s">
        <v>24802</v>
      </c>
      <c r="F7706" t="s">
        <v>30900</v>
      </c>
      <c r="G7706" t="s">
        <v>30907</v>
      </c>
      <c r="H7706" t="s">
        <v>30916</v>
      </c>
      <c r="I7706" t="s">
        <v>30919</v>
      </c>
      <c r="J7706" t="s">
        <v>35930</v>
      </c>
      <c r="K7706" t="s">
        <v>40308</v>
      </c>
      <c r="M7706" t="s">
        <v>43332</v>
      </c>
      <c r="N7706" t="s">
        <v>44759</v>
      </c>
      <c r="O7706" t="s">
        <v>44760</v>
      </c>
      <c r="P7706">
        <v>0</v>
      </c>
      <c r="Q7706">
        <v>0</v>
      </c>
      <c r="R7706" t="s">
        <v>44767</v>
      </c>
      <c r="S7706" t="s">
        <v>44954</v>
      </c>
      <c r="T7706" t="s">
        <v>46356</v>
      </c>
      <c r="U7706" t="s">
        <v>53358</v>
      </c>
      <c r="W7706" t="s">
        <v>43332</v>
      </c>
      <c r="X7706" t="s">
        <v>44768</v>
      </c>
    </row>
    <row r="7707" spans="1:24">
      <c r="A7707">
        <f>HYPERLINK("https://www.philgeps.gov.ph/GEPSNONPILOT/Tender/SplashBidNoticeAbstractUI.aspx?menuIndex=3&amp;refID=7144576&amp;Result=3","7144576")</f>
        <v>0</v>
      </c>
      <c r="B7707" t="s">
        <v>2572</v>
      </c>
      <c r="C7707" t="s">
        <v>11070</v>
      </c>
      <c r="D7707" t="s">
        <v>17955</v>
      </c>
      <c r="E7707" t="s">
        <v>24803</v>
      </c>
      <c r="F7707" t="s">
        <v>30900</v>
      </c>
      <c r="G7707" t="s">
        <v>30907</v>
      </c>
      <c r="H7707" t="s">
        <v>30916</v>
      </c>
      <c r="I7707" t="s">
        <v>4108</v>
      </c>
      <c r="J7707" t="s">
        <v>35931</v>
      </c>
      <c r="K7707" t="s">
        <v>40291</v>
      </c>
      <c r="M7707" t="s">
        <v>43331</v>
      </c>
      <c r="N7707" t="s">
        <v>44759</v>
      </c>
      <c r="O7707" t="s">
        <v>44760</v>
      </c>
      <c r="P7707">
        <v>0</v>
      </c>
      <c r="Q7707">
        <v>1</v>
      </c>
      <c r="R7707" t="s">
        <v>44767</v>
      </c>
      <c r="S7707" t="s">
        <v>44954</v>
      </c>
      <c r="T7707" t="s">
        <v>46773</v>
      </c>
      <c r="U7707" t="s">
        <v>53359</v>
      </c>
      <c r="W7707" t="s">
        <v>43331</v>
      </c>
      <c r="X7707" t="s">
        <v>44768</v>
      </c>
    </row>
    <row r="7708" spans="1:24">
      <c r="A7708">
        <f>HYPERLINK("https://www.philgeps.gov.ph/GEPSNONPILOT/Tender/SplashBidNoticeAbstractUI.aspx?menuIndex=3&amp;refID=7144592&amp;Result=3","7144592")</f>
        <v>0</v>
      </c>
      <c r="B7708" t="s">
        <v>2104</v>
      </c>
      <c r="C7708" t="s">
        <v>11071</v>
      </c>
      <c r="D7708" t="s">
        <v>18009</v>
      </c>
      <c r="E7708" t="s">
        <v>24804</v>
      </c>
      <c r="F7708" t="s">
        <v>30900</v>
      </c>
      <c r="G7708" t="s">
        <v>30907</v>
      </c>
      <c r="H7708" t="s">
        <v>30916</v>
      </c>
      <c r="I7708" t="s">
        <v>4545</v>
      </c>
      <c r="J7708" t="s">
        <v>31101</v>
      </c>
      <c r="K7708" t="s">
        <v>40283</v>
      </c>
      <c r="M7708" t="s">
        <v>42803</v>
      </c>
      <c r="N7708" t="s">
        <v>44759</v>
      </c>
      <c r="O7708" t="s">
        <v>44760</v>
      </c>
      <c r="P7708">
        <v>0</v>
      </c>
      <c r="Q7708">
        <v>2</v>
      </c>
      <c r="R7708" t="s">
        <v>44767</v>
      </c>
      <c r="S7708" t="s">
        <v>44954</v>
      </c>
      <c r="T7708" t="s">
        <v>46428</v>
      </c>
      <c r="U7708" t="s">
        <v>53360</v>
      </c>
      <c r="W7708" t="s">
        <v>42803</v>
      </c>
      <c r="X7708" t="s">
        <v>44768</v>
      </c>
    </row>
    <row r="7709" spans="1:24">
      <c r="A7709">
        <f>HYPERLINK("https://www.philgeps.gov.ph/GEPSNONPILOT/Tender/SplashBidNoticeAbstractUI.aspx?menuIndex=3&amp;refID=7144620&amp;Result=3","7144620")</f>
        <v>0</v>
      </c>
      <c r="B7709" t="s">
        <v>1043</v>
      </c>
      <c r="C7709" t="s">
        <v>11072</v>
      </c>
      <c r="D7709" t="s">
        <v>18000</v>
      </c>
      <c r="E7709" t="s">
        <v>24805</v>
      </c>
      <c r="F7709" t="s">
        <v>30900</v>
      </c>
      <c r="G7709" t="s">
        <v>30910</v>
      </c>
      <c r="H7709" t="s">
        <v>30916</v>
      </c>
      <c r="I7709" t="s">
        <v>4142</v>
      </c>
      <c r="J7709" t="s">
        <v>35932</v>
      </c>
      <c r="K7709" t="s">
        <v>40289</v>
      </c>
      <c r="M7709" t="s">
        <v>43271</v>
      </c>
      <c r="N7709" t="s">
        <v>44759</v>
      </c>
      <c r="O7709" t="s">
        <v>44760</v>
      </c>
      <c r="P7709">
        <v>0</v>
      </c>
      <c r="Q7709">
        <v>7</v>
      </c>
      <c r="R7709" t="s">
        <v>44767</v>
      </c>
      <c r="S7709" t="s">
        <v>44954</v>
      </c>
      <c r="T7709" t="s">
        <v>46531</v>
      </c>
      <c r="U7709" t="s">
        <v>53342</v>
      </c>
      <c r="W7709" t="s">
        <v>43271</v>
      </c>
      <c r="X7709" t="s">
        <v>44768</v>
      </c>
    </row>
    <row r="7710" spans="1:24">
      <c r="A7710">
        <f>HYPERLINK("https://www.philgeps.gov.ph/GEPSNONPILOT/Tender/SplashBidNoticeAbstractUI.aspx?menuIndex=3&amp;refID=7144575&amp;Result=3","7144575")</f>
        <v>0</v>
      </c>
      <c r="B7710" t="s">
        <v>284</v>
      </c>
      <c r="C7710" t="s">
        <v>11073</v>
      </c>
      <c r="D7710" t="s">
        <v>18009</v>
      </c>
      <c r="E7710" t="s">
        <v>24806</v>
      </c>
      <c r="F7710" t="s">
        <v>30900</v>
      </c>
      <c r="G7710" t="s">
        <v>30907</v>
      </c>
      <c r="H7710" t="s">
        <v>30916</v>
      </c>
      <c r="I7710" t="s">
        <v>30919</v>
      </c>
      <c r="J7710" t="s">
        <v>35933</v>
      </c>
      <c r="K7710" t="s">
        <v>40308</v>
      </c>
      <c r="M7710" t="s">
        <v>40832</v>
      </c>
      <c r="N7710" t="s">
        <v>44759</v>
      </c>
      <c r="O7710" t="s">
        <v>44760</v>
      </c>
      <c r="Q7710">
        <v>1</v>
      </c>
      <c r="R7710" t="s">
        <v>44767</v>
      </c>
      <c r="S7710" t="s">
        <v>44968</v>
      </c>
      <c r="T7710" t="s">
        <v>46689</v>
      </c>
      <c r="U7710" t="s">
        <v>53361</v>
      </c>
      <c r="W7710" t="s">
        <v>40832</v>
      </c>
      <c r="X7710" t="s">
        <v>44768</v>
      </c>
    </row>
    <row r="7711" spans="1:24">
      <c r="A7711">
        <f>HYPERLINK("https://www.philgeps.gov.ph/GEPSNONPILOT/Tender/SplashBidNoticeAbstractUI.aspx?menuIndex=3&amp;refID=7144613&amp;Result=3","7144613")</f>
        <v>0</v>
      </c>
      <c r="B7711" t="s">
        <v>2562</v>
      </c>
      <c r="C7711" t="s">
        <v>11074</v>
      </c>
      <c r="D7711" t="s">
        <v>18005</v>
      </c>
      <c r="E7711" t="s">
        <v>24807</v>
      </c>
      <c r="F7711" t="s">
        <v>30900</v>
      </c>
      <c r="G7711" t="s">
        <v>30909</v>
      </c>
      <c r="H7711" t="s">
        <v>30916</v>
      </c>
      <c r="I7711" t="s">
        <v>30927</v>
      </c>
      <c r="J7711" t="s">
        <v>32049</v>
      </c>
      <c r="K7711" t="s">
        <v>40289</v>
      </c>
      <c r="M7711" t="s">
        <v>43320</v>
      </c>
      <c r="N7711" t="s">
        <v>44759</v>
      </c>
      <c r="O7711" t="s">
        <v>44760</v>
      </c>
      <c r="P7711">
        <v>0</v>
      </c>
      <c r="Q7711">
        <v>1</v>
      </c>
      <c r="R7711" t="s">
        <v>44767</v>
      </c>
      <c r="S7711" t="s">
        <v>44954</v>
      </c>
      <c r="T7711" t="s">
        <v>46533</v>
      </c>
      <c r="U7711" t="s">
        <v>53310</v>
      </c>
      <c r="V7711" t="s">
        <v>59942</v>
      </c>
      <c r="W7711" t="s">
        <v>60894</v>
      </c>
      <c r="X7711" t="s">
        <v>44768</v>
      </c>
    </row>
    <row r="7712" spans="1:24">
      <c r="A7712">
        <f>HYPERLINK("https://www.philgeps.gov.ph/GEPSNONPILOT/Tender/SplashBidNoticeAbstractUI.aspx?menuIndex=3&amp;refID=7144609&amp;Result=3","7144609")</f>
        <v>0</v>
      </c>
      <c r="B7712" t="s">
        <v>2574</v>
      </c>
      <c r="C7712" t="s">
        <v>11075</v>
      </c>
      <c r="D7712" t="s">
        <v>17973</v>
      </c>
      <c r="E7712" t="s">
        <v>21872</v>
      </c>
      <c r="F7712" t="s">
        <v>30900</v>
      </c>
      <c r="G7712" t="s">
        <v>30908</v>
      </c>
      <c r="H7712" t="s">
        <v>30916</v>
      </c>
      <c r="I7712" t="s">
        <v>4017</v>
      </c>
      <c r="J7712" t="s">
        <v>31048</v>
      </c>
      <c r="K7712" t="s">
        <v>40293</v>
      </c>
      <c r="M7712" t="s">
        <v>43333</v>
      </c>
      <c r="N7712" t="s">
        <v>44759</v>
      </c>
      <c r="O7712" t="s">
        <v>44760</v>
      </c>
      <c r="P7712">
        <v>0</v>
      </c>
      <c r="Q7712">
        <v>4</v>
      </c>
      <c r="R7712" t="s">
        <v>44767</v>
      </c>
      <c r="S7712" t="s">
        <v>44954</v>
      </c>
      <c r="T7712" t="s">
        <v>46363</v>
      </c>
      <c r="U7712" t="s">
        <v>53362</v>
      </c>
      <c r="W7712" t="s">
        <v>43333</v>
      </c>
      <c r="X7712" t="s">
        <v>44768</v>
      </c>
    </row>
    <row r="7713" spans="1:24">
      <c r="A7713">
        <f>HYPERLINK("https://www.philgeps.gov.ph/GEPSNONPILOT/Tender/SplashBidNoticeAbstractUI.aspx?menuIndex=3&amp;refID=7144580&amp;Result=3","7144580")</f>
        <v>0</v>
      </c>
      <c r="B7713" t="s">
        <v>2575</v>
      </c>
      <c r="C7713" t="s">
        <v>11076</v>
      </c>
      <c r="D7713" t="s">
        <v>17957</v>
      </c>
      <c r="E7713" t="s">
        <v>11076</v>
      </c>
      <c r="F7713" t="s">
        <v>30900</v>
      </c>
      <c r="G7713" t="s">
        <v>30908</v>
      </c>
      <c r="H7713" t="s">
        <v>30915</v>
      </c>
      <c r="I7713" t="s">
        <v>30919</v>
      </c>
      <c r="J7713" t="s">
        <v>35934</v>
      </c>
      <c r="K7713" t="s">
        <v>40288</v>
      </c>
      <c r="M7713" t="s">
        <v>43334</v>
      </c>
      <c r="N7713" t="s">
        <v>44759</v>
      </c>
      <c r="O7713" t="s">
        <v>44760</v>
      </c>
      <c r="P7713">
        <v>0</v>
      </c>
      <c r="Q7713">
        <v>1</v>
      </c>
      <c r="R7713" t="s">
        <v>44767</v>
      </c>
      <c r="S7713" t="s">
        <v>44954</v>
      </c>
      <c r="T7713" t="s">
        <v>46625</v>
      </c>
      <c r="U7713" t="s">
        <v>53363</v>
      </c>
      <c r="W7713" t="s">
        <v>43334</v>
      </c>
      <c r="X7713" t="s">
        <v>44768</v>
      </c>
    </row>
    <row r="7714" spans="1:24">
      <c r="A7714">
        <f>HYPERLINK("https://www.philgeps.gov.ph/GEPSNONPILOT/Tender/SplashBidNoticeAbstractUI.aspx?menuIndex=3&amp;refID=7144606&amp;Result=3","7144606")</f>
        <v>0</v>
      </c>
      <c r="B7714" t="s">
        <v>2569</v>
      </c>
      <c r="C7714" t="s">
        <v>11077</v>
      </c>
      <c r="D7714" t="s">
        <v>17978</v>
      </c>
      <c r="E7714" t="s">
        <v>24808</v>
      </c>
      <c r="F7714" t="s">
        <v>30900</v>
      </c>
      <c r="G7714" t="s">
        <v>30908</v>
      </c>
      <c r="H7714" t="s">
        <v>30916</v>
      </c>
      <c r="I7714" t="s">
        <v>4545</v>
      </c>
      <c r="J7714" t="s">
        <v>32052</v>
      </c>
      <c r="K7714" t="s">
        <v>40284</v>
      </c>
      <c r="M7714" t="s">
        <v>43328</v>
      </c>
      <c r="N7714" t="s">
        <v>44759</v>
      </c>
      <c r="O7714" t="s">
        <v>44760</v>
      </c>
      <c r="P7714">
        <v>0</v>
      </c>
      <c r="Q7714">
        <v>0</v>
      </c>
      <c r="R7714" t="s">
        <v>44767</v>
      </c>
      <c r="S7714" t="s">
        <v>44954</v>
      </c>
      <c r="T7714" t="s">
        <v>46398</v>
      </c>
      <c r="U7714" t="s">
        <v>53345</v>
      </c>
      <c r="W7714" t="s">
        <v>43328</v>
      </c>
      <c r="X7714" t="s">
        <v>44768</v>
      </c>
    </row>
    <row r="7715" spans="1:24">
      <c r="A7715">
        <f>HYPERLINK("https://www.philgeps.gov.ph/GEPSNONPILOT/Tender/SplashBidNoticeAbstractUI.aspx?menuIndex=3&amp;refID=7144605&amp;Result=3","7144605")</f>
        <v>0</v>
      </c>
      <c r="B7715" t="s">
        <v>2024</v>
      </c>
      <c r="C7715" t="s">
        <v>11078</v>
      </c>
      <c r="D7715" t="s">
        <v>17973</v>
      </c>
      <c r="E7715" t="s">
        <v>24809</v>
      </c>
      <c r="F7715" t="s">
        <v>30900</v>
      </c>
      <c r="G7715" t="s">
        <v>30907</v>
      </c>
      <c r="H7715" t="s">
        <v>30915</v>
      </c>
      <c r="I7715" t="s">
        <v>30919</v>
      </c>
      <c r="J7715" t="s">
        <v>35935</v>
      </c>
      <c r="K7715" t="s">
        <v>40289</v>
      </c>
      <c r="M7715" t="s">
        <v>42720</v>
      </c>
      <c r="N7715" t="s">
        <v>44759</v>
      </c>
      <c r="O7715" t="s">
        <v>44760</v>
      </c>
      <c r="P7715">
        <v>0</v>
      </c>
      <c r="Q7715">
        <v>5</v>
      </c>
      <c r="R7715" t="s">
        <v>44767</v>
      </c>
      <c r="S7715" t="s">
        <v>44954</v>
      </c>
      <c r="T7715" t="s">
        <v>46709</v>
      </c>
      <c r="U7715" t="s">
        <v>53364</v>
      </c>
      <c r="W7715" t="s">
        <v>42720</v>
      </c>
      <c r="X7715" t="s">
        <v>44768</v>
      </c>
    </row>
    <row r="7716" spans="1:24">
      <c r="A7716">
        <f>HYPERLINK("https://www.philgeps.gov.ph/GEPSNONPILOT/Tender/SplashBidNoticeAbstractUI.aspx?menuIndex=3&amp;refID=7144602&amp;Result=3","7144602")</f>
        <v>0</v>
      </c>
      <c r="B7716" t="s">
        <v>1786</v>
      </c>
      <c r="C7716" t="s">
        <v>11079</v>
      </c>
      <c r="D7716" t="s">
        <v>18025</v>
      </c>
      <c r="E7716" t="s">
        <v>24810</v>
      </c>
      <c r="F7716" t="s">
        <v>30900</v>
      </c>
      <c r="G7716" t="s">
        <v>30909</v>
      </c>
      <c r="H7716" t="s">
        <v>30916</v>
      </c>
      <c r="I7716" t="s">
        <v>5501</v>
      </c>
      <c r="J7716" t="s">
        <v>35921</v>
      </c>
      <c r="K7716" t="s">
        <v>40289</v>
      </c>
      <c r="M7716" t="s">
        <v>42461</v>
      </c>
      <c r="N7716" t="s">
        <v>44759</v>
      </c>
      <c r="O7716" t="s">
        <v>44760</v>
      </c>
      <c r="P7716">
        <v>0</v>
      </c>
      <c r="Q7716">
        <v>13</v>
      </c>
      <c r="R7716" t="s">
        <v>44767</v>
      </c>
      <c r="S7716" t="s">
        <v>44954</v>
      </c>
      <c r="T7716" t="s">
        <v>46623</v>
      </c>
      <c r="U7716" t="s">
        <v>53365</v>
      </c>
      <c r="V7716" t="s">
        <v>59626</v>
      </c>
      <c r="W7716" t="s">
        <v>42461</v>
      </c>
      <c r="X7716" t="s">
        <v>44768</v>
      </c>
    </row>
    <row r="7717" spans="1:24">
      <c r="A7717">
        <f>HYPERLINK("https://www.philgeps.gov.ph/GEPSNONPILOT/Tender/SplashBidNoticeAbstractUI.aspx?menuIndex=3&amp;refID=7144614&amp;Result=3","7144614")</f>
        <v>0</v>
      </c>
      <c r="B7717" t="s">
        <v>2081</v>
      </c>
      <c r="C7717" t="s">
        <v>11080</v>
      </c>
      <c r="D7717" t="s">
        <v>18040</v>
      </c>
      <c r="E7717" t="s">
        <v>24811</v>
      </c>
      <c r="F7717" t="s">
        <v>30900</v>
      </c>
      <c r="G7717" t="s">
        <v>30908</v>
      </c>
      <c r="H7717" t="s">
        <v>30916</v>
      </c>
      <c r="I7717" t="s">
        <v>30952</v>
      </c>
      <c r="J7717" t="s">
        <v>35936</v>
      </c>
      <c r="K7717" t="s">
        <v>40286</v>
      </c>
      <c r="M7717" t="s">
        <v>42780</v>
      </c>
      <c r="N7717" t="s">
        <v>44759</v>
      </c>
      <c r="O7717" t="s">
        <v>44760</v>
      </c>
      <c r="P7717">
        <v>0</v>
      </c>
      <c r="Q7717">
        <v>7</v>
      </c>
      <c r="R7717" t="s">
        <v>44767</v>
      </c>
      <c r="S7717" t="s">
        <v>44954</v>
      </c>
      <c r="T7717" t="s">
        <v>46374</v>
      </c>
      <c r="U7717" t="s">
        <v>53366</v>
      </c>
      <c r="V7717" t="s">
        <v>59943</v>
      </c>
      <c r="W7717" t="s">
        <v>42780</v>
      </c>
      <c r="X7717" t="s">
        <v>44768</v>
      </c>
    </row>
    <row r="7718" spans="1:24">
      <c r="A7718">
        <f>HYPERLINK("https://www.philgeps.gov.ph/GEPSNONPILOT/Tender/SplashBidNoticeAbstractUI.aspx?menuIndex=3&amp;refID=7144487&amp;Result=3","7144487")</f>
        <v>0</v>
      </c>
      <c r="B7718" t="s">
        <v>2555</v>
      </c>
      <c r="C7718" t="s">
        <v>11081</v>
      </c>
      <c r="D7718" t="s">
        <v>17988</v>
      </c>
      <c r="E7718" t="s">
        <v>24812</v>
      </c>
      <c r="F7718" t="s">
        <v>30900</v>
      </c>
      <c r="G7718" t="s">
        <v>30907</v>
      </c>
      <c r="H7718" t="s">
        <v>30916</v>
      </c>
      <c r="I7718" t="s">
        <v>30927</v>
      </c>
      <c r="J7718" t="s">
        <v>31204</v>
      </c>
      <c r="K7718" t="s">
        <v>40288</v>
      </c>
      <c r="M7718" t="s">
        <v>43313</v>
      </c>
      <c r="N7718" t="s">
        <v>44759</v>
      </c>
      <c r="O7718" t="s">
        <v>44760</v>
      </c>
      <c r="P7718">
        <v>0</v>
      </c>
      <c r="Q7718">
        <v>0</v>
      </c>
      <c r="R7718" t="s">
        <v>44767</v>
      </c>
      <c r="S7718" t="s">
        <v>44954</v>
      </c>
      <c r="T7718" t="s">
        <v>46786</v>
      </c>
      <c r="U7718" t="s">
        <v>53367</v>
      </c>
      <c r="W7718" t="s">
        <v>43313</v>
      </c>
      <c r="X7718" t="s">
        <v>44768</v>
      </c>
    </row>
    <row r="7719" spans="1:24">
      <c r="A7719">
        <f>HYPERLINK("https://www.philgeps.gov.ph/GEPSNONPILOT/Tender/SplashBidNoticeAbstractUI.aspx?menuIndex=3&amp;refID=7144647&amp;Result=3","7144647")</f>
        <v>0</v>
      </c>
      <c r="B7719" t="s">
        <v>2576</v>
      </c>
      <c r="C7719" t="s">
        <v>11082</v>
      </c>
      <c r="D7719" t="s">
        <v>17973</v>
      </c>
      <c r="E7719" t="s">
        <v>24813</v>
      </c>
      <c r="F7719" t="s">
        <v>30900</v>
      </c>
      <c r="G7719" t="s">
        <v>30908</v>
      </c>
      <c r="H7719" t="s">
        <v>30916</v>
      </c>
      <c r="I7719" t="s">
        <v>6408</v>
      </c>
      <c r="J7719" t="s">
        <v>31067</v>
      </c>
      <c r="K7719" t="s">
        <v>40289</v>
      </c>
      <c r="M7719" t="s">
        <v>43335</v>
      </c>
      <c r="N7719" t="s">
        <v>44759</v>
      </c>
      <c r="O7719" t="s">
        <v>44760</v>
      </c>
      <c r="P7719">
        <v>0</v>
      </c>
      <c r="Q7719">
        <v>4</v>
      </c>
      <c r="R7719" t="s">
        <v>44767</v>
      </c>
      <c r="S7719" t="s">
        <v>44954</v>
      </c>
      <c r="T7719" t="s">
        <v>46625</v>
      </c>
      <c r="U7719" t="s">
        <v>53368</v>
      </c>
      <c r="W7719" t="s">
        <v>43335</v>
      </c>
      <c r="X7719" t="s">
        <v>44768</v>
      </c>
    </row>
    <row r="7720" spans="1:24">
      <c r="A7720">
        <f>HYPERLINK("https://www.philgeps.gov.ph/GEPSNONPILOT/Tender/SplashBidNoticeAbstractUI.aspx?menuIndex=3&amp;refID=7144607&amp;Result=3","7144607")</f>
        <v>0</v>
      </c>
      <c r="B7720" t="s">
        <v>2263</v>
      </c>
      <c r="C7720" t="s">
        <v>11083</v>
      </c>
      <c r="D7720" t="s">
        <v>17966</v>
      </c>
      <c r="E7720" t="s">
        <v>24814</v>
      </c>
      <c r="F7720" t="s">
        <v>30900</v>
      </c>
      <c r="G7720" t="s">
        <v>30907</v>
      </c>
      <c r="H7720" t="s">
        <v>30916</v>
      </c>
      <c r="I7720" t="s">
        <v>4965</v>
      </c>
      <c r="J7720" t="s">
        <v>35937</v>
      </c>
      <c r="K7720" t="s">
        <v>40294</v>
      </c>
      <c r="L7720" t="s">
        <v>2263</v>
      </c>
      <c r="M7720" t="s">
        <v>42975</v>
      </c>
      <c r="N7720" t="s">
        <v>44759</v>
      </c>
      <c r="O7720" t="s">
        <v>44760</v>
      </c>
      <c r="P7720">
        <v>0</v>
      </c>
      <c r="Q7720">
        <v>1</v>
      </c>
      <c r="R7720" t="s">
        <v>44767</v>
      </c>
      <c r="S7720" t="s">
        <v>44954</v>
      </c>
      <c r="T7720" t="s">
        <v>46533</v>
      </c>
      <c r="U7720" t="s">
        <v>53369</v>
      </c>
      <c r="W7720" t="s">
        <v>42975</v>
      </c>
      <c r="X7720" t="s">
        <v>44768</v>
      </c>
    </row>
    <row r="7721" spans="1:24">
      <c r="A7721">
        <f>HYPERLINK("https://www.philgeps.gov.ph/GEPSNONPILOT/Tender/SplashBidNoticeAbstractUI.aspx?menuIndex=3&amp;refID=7144645&amp;Result=3","7144645")</f>
        <v>0</v>
      </c>
      <c r="B7721" t="s">
        <v>1043</v>
      </c>
      <c r="C7721" t="s">
        <v>11084</v>
      </c>
      <c r="D7721" t="s">
        <v>18000</v>
      </c>
      <c r="E7721" t="s">
        <v>24815</v>
      </c>
      <c r="F7721" t="s">
        <v>30900</v>
      </c>
      <c r="G7721" t="s">
        <v>30908</v>
      </c>
      <c r="H7721" t="s">
        <v>30916</v>
      </c>
      <c r="I7721" t="s">
        <v>10879</v>
      </c>
      <c r="J7721" t="s">
        <v>32033</v>
      </c>
      <c r="K7721" t="s">
        <v>40289</v>
      </c>
      <c r="M7721" t="s">
        <v>43271</v>
      </c>
      <c r="N7721" t="s">
        <v>44759</v>
      </c>
      <c r="O7721" t="s">
        <v>44760</v>
      </c>
      <c r="P7721">
        <v>0</v>
      </c>
      <c r="Q7721">
        <v>2</v>
      </c>
      <c r="R7721" t="s">
        <v>44767</v>
      </c>
      <c r="S7721" t="s">
        <v>44954</v>
      </c>
      <c r="T7721" t="s">
        <v>46531</v>
      </c>
      <c r="U7721" t="s">
        <v>53342</v>
      </c>
      <c r="W7721" t="s">
        <v>43271</v>
      </c>
      <c r="X7721" t="s">
        <v>44768</v>
      </c>
    </row>
    <row r="7722" spans="1:24">
      <c r="A7722">
        <f>HYPERLINK("https://www.philgeps.gov.ph/GEPSNONPILOT/Tender/SplashBidNoticeAbstractUI.aspx?menuIndex=3&amp;refID=7144642&amp;Result=3","7144642")</f>
        <v>0</v>
      </c>
      <c r="B7722" t="s">
        <v>2081</v>
      </c>
      <c r="C7722" t="s">
        <v>11085</v>
      </c>
      <c r="D7722" t="s">
        <v>17980</v>
      </c>
      <c r="E7722" t="s">
        <v>24816</v>
      </c>
      <c r="F7722" t="s">
        <v>30900</v>
      </c>
      <c r="G7722" t="s">
        <v>30908</v>
      </c>
      <c r="H7722" t="s">
        <v>30916</v>
      </c>
      <c r="I7722" t="s">
        <v>4108</v>
      </c>
      <c r="J7722" t="s">
        <v>35938</v>
      </c>
      <c r="K7722" t="s">
        <v>40286</v>
      </c>
      <c r="M7722" t="s">
        <v>42780</v>
      </c>
      <c r="N7722" t="s">
        <v>44759</v>
      </c>
      <c r="O7722" t="s">
        <v>44760</v>
      </c>
      <c r="P7722">
        <v>0</v>
      </c>
      <c r="Q7722">
        <v>6</v>
      </c>
      <c r="R7722" t="s">
        <v>44767</v>
      </c>
      <c r="S7722" t="s">
        <v>44954</v>
      </c>
      <c r="T7722" t="s">
        <v>46403</v>
      </c>
      <c r="U7722" t="s">
        <v>53366</v>
      </c>
      <c r="V7722" t="s">
        <v>59750</v>
      </c>
      <c r="W7722" t="s">
        <v>42780</v>
      </c>
      <c r="X7722" t="s">
        <v>44768</v>
      </c>
    </row>
    <row r="7723" spans="1:24">
      <c r="A7723">
        <f>HYPERLINK("https://www.philgeps.gov.ph/GEPSNONPILOT/Tender/SplashBidNoticeAbstractUI.aspx?menuIndex=3&amp;refID=7144641&amp;Result=3","7144641")</f>
        <v>0</v>
      </c>
      <c r="B7723" t="s">
        <v>2230</v>
      </c>
      <c r="C7723" t="s">
        <v>11086</v>
      </c>
      <c r="D7723" t="s">
        <v>18018</v>
      </c>
      <c r="E7723" t="s">
        <v>24817</v>
      </c>
      <c r="F7723" t="s">
        <v>30900</v>
      </c>
      <c r="G7723" t="s">
        <v>30908</v>
      </c>
      <c r="H7723" t="s">
        <v>30916</v>
      </c>
      <c r="I7723" t="s">
        <v>4545</v>
      </c>
      <c r="J7723" t="s">
        <v>31284</v>
      </c>
      <c r="K7723" t="s">
        <v>40294</v>
      </c>
      <c r="M7723" t="s">
        <v>42940</v>
      </c>
      <c r="N7723" t="s">
        <v>44759</v>
      </c>
      <c r="O7723" t="s">
        <v>44760</v>
      </c>
      <c r="P7723">
        <v>0</v>
      </c>
      <c r="Q7723">
        <v>0</v>
      </c>
      <c r="R7723" t="s">
        <v>44767</v>
      </c>
      <c r="S7723" t="s">
        <v>44954</v>
      </c>
      <c r="T7723" t="s">
        <v>46533</v>
      </c>
      <c r="U7723" t="s">
        <v>53370</v>
      </c>
      <c r="V7723" t="s">
        <v>59940</v>
      </c>
      <c r="W7723" t="s">
        <v>42940</v>
      </c>
      <c r="X7723" t="s">
        <v>44768</v>
      </c>
    </row>
    <row r="7724" spans="1:24">
      <c r="A7724">
        <f>HYPERLINK("https://www.philgeps.gov.ph/GEPSNONPILOT/Tender/SplashBidNoticeAbstractUI.aspx?menuIndex=3&amp;refID=7144621&amp;Result=3","7144621")</f>
        <v>0</v>
      </c>
      <c r="B7724" t="s">
        <v>1786</v>
      </c>
      <c r="C7724" t="s">
        <v>11087</v>
      </c>
      <c r="D7724" t="s">
        <v>18025</v>
      </c>
      <c r="E7724" t="s">
        <v>24818</v>
      </c>
      <c r="F7724" t="s">
        <v>30900</v>
      </c>
      <c r="G7724" t="s">
        <v>30909</v>
      </c>
      <c r="H7724" t="s">
        <v>30916</v>
      </c>
      <c r="I7724" t="s">
        <v>30929</v>
      </c>
      <c r="J7724" t="s">
        <v>32310</v>
      </c>
      <c r="K7724" t="s">
        <v>40289</v>
      </c>
      <c r="M7724" t="s">
        <v>42461</v>
      </c>
      <c r="N7724" t="s">
        <v>44759</v>
      </c>
      <c r="O7724" t="s">
        <v>44760</v>
      </c>
      <c r="P7724">
        <v>0</v>
      </c>
      <c r="Q7724">
        <v>11</v>
      </c>
      <c r="R7724" t="s">
        <v>44767</v>
      </c>
      <c r="S7724" t="s">
        <v>44954</v>
      </c>
      <c r="T7724" t="s">
        <v>46623</v>
      </c>
      <c r="U7724" t="s">
        <v>53371</v>
      </c>
      <c r="V7724" t="s">
        <v>59626</v>
      </c>
      <c r="W7724" t="s">
        <v>42461</v>
      </c>
      <c r="X7724" t="s">
        <v>44768</v>
      </c>
    </row>
    <row r="7725" spans="1:24">
      <c r="A7725">
        <f>HYPERLINK("https://www.philgeps.gov.ph/GEPSNONPILOT/Tender/SplashBidNoticeAbstractUI.aspx?menuIndex=3&amp;refID=7144656&amp;Result=3","7144656")</f>
        <v>0</v>
      </c>
      <c r="B7725" t="s">
        <v>2024</v>
      </c>
      <c r="C7725" t="s">
        <v>11088</v>
      </c>
      <c r="D7725" t="s">
        <v>17973</v>
      </c>
      <c r="E7725" t="s">
        <v>24819</v>
      </c>
      <c r="F7725" t="s">
        <v>30900</v>
      </c>
      <c r="G7725" t="s">
        <v>30907</v>
      </c>
      <c r="H7725" t="s">
        <v>30915</v>
      </c>
      <c r="I7725" t="s">
        <v>30964</v>
      </c>
      <c r="J7725" t="s">
        <v>35939</v>
      </c>
      <c r="K7725" t="s">
        <v>40289</v>
      </c>
      <c r="M7725" t="s">
        <v>42720</v>
      </c>
      <c r="N7725" t="s">
        <v>44759</v>
      </c>
      <c r="O7725" t="s">
        <v>44760</v>
      </c>
      <c r="P7725">
        <v>0</v>
      </c>
      <c r="Q7725">
        <v>3</v>
      </c>
      <c r="R7725" t="s">
        <v>44767</v>
      </c>
      <c r="S7725" t="s">
        <v>44954</v>
      </c>
      <c r="T7725" t="s">
        <v>46709</v>
      </c>
      <c r="U7725" t="s">
        <v>53372</v>
      </c>
      <c r="W7725" t="s">
        <v>42720</v>
      </c>
      <c r="X7725" t="s">
        <v>44768</v>
      </c>
    </row>
    <row r="7726" spans="1:24">
      <c r="A7726">
        <f>HYPERLINK("https://www.philgeps.gov.ph/GEPSNONPILOT/Tender/SplashBidNoticeAbstractUI.aspx?menuIndex=3&amp;refID=7144648&amp;Result=3","7144648")</f>
        <v>0</v>
      </c>
      <c r="B7726" t="s">
        <v>2562</v>
      </c>
      <c r="C7726" t="s">
        <v>11089</v>
      </c>
      <c r="D7726" t="s">
        <v>18005</v>
      </c>
      <c r="E7726" t="s">
        <v>24820</v>
      </c>
      <c r="F7726" t="s">
        <v>30900</v>
      </c>
      <c r="G7726" t="s">
        <v>30909</v>
      </c>
      <c r="H7726" t="s">
        <v>30916</v>
      </c>
      <c r="I7726" t="s">
        <v>8123</v>
      </c>
      <c r="J7726" t="s">
        <v>35940</v>
      </c>
      <c r="K7726" t="s">
        <v>40289</v>
      </c>
      <c r="M7726" t="s">
        <v>43320</v>
      </c>
      <c r="N7726" t="s">
        <v>44759</v>
      </c>
      <c r="O7726" t="s">
        <v>44760</v>
      </c>
      <c r="P7726">
        <v>0</v>
      </c>
      <c r="Q7726">
        <v>0</v>
      </c>
      <c r="R7726" t="s">
        <v>44767</v>
      </c>
      <c r="S7726" t="s">
        <v>44954</v>
      </c>
      <c r="T7726" t="s">
        <v>46533</v>
      </c>
      <c r="U7726" t="s">
        <v>53310</v>
      </c>
      <c r="V7726" t="s">
        <v>59944</v>
      </c>
      <c r="W7726" t="s">
        <v>60894</v>
      </c>
      <c r="X7726" t="s">
        <v>44768</v>
      </c>
    </row>
    <row r="7727" spans="1:24">
      <c r="A7727">
        <f>HYPERLINK("https://www.philgeps.gov.ph/GEPSNONPILOT/Tender/SplashBidNoticeAbstractUI.aspx?menuIndex=3&amp;refID=7144464&amp;Result=3","7144464")</f>
        <v>0</v>
      </c>
      <c r="B7727" t="s">
        <v>2577</v>
      </c>
      <c r="C7727" t="s">
        <v>11090</v>
      </c>
      <c r="D7727" t="s">
        <v>18000</v>
      </c>
      <c r="E7727" t="s">
        <v>24821</v>
      </c>
      <c r="F7727" t="s">
        <v>30900</v>
      </c>
      <c r="G7727" t="s">
        <v>30907</v>
      </c>
      <c r="H7727" t="s">
        <v>30916</v>
      </c>
      <c r="I7727" t="s">
        <v>8123</v>
      </c>
      <c r="J7727" t="s">
        <v>31049</v>
      </c>
      <c r="K7727" t="s">
        <v>40283</v>
      </c>
      <c r="M7727" t="s">
        <v>43336</v>
      </c>
      <c r="N7727" t="s">
        <v>44759</v>
      </c>
      <c r="O7727" t="s">
        <v>44760</v>
      </c>
      <c r="P7727">
        <v>0</v>
      </c>
      <c r="Q7727">
        <v>3</v>
      </c>
      <c r="R7727" t="s">
        <v>44767</v>
      </c>
      <c r="S7727" t="s">
        <v>44954</v>
      </c>
      <c r="T7727" t="s">
        <v>46414</v>
      </c>
      <c r="U7727" t="s">
        <v>53373</v>
      </c>
      <c r="W7727" t="s">
        <v>43336</v>
      </c>
      <c r="X7727" t="s">
        <v>44768</v>
      </c>
    </row>
    <row r="7728" spans="1:24">
      <c r="A7728">
        <f>HYPERLINK("https://www.philgeps.gov.ph/GEPSNONPILOT/Tender/SplashBidNoticeAbstractUI.aspx?menuIndex=3&amp;refID=7144654&amp;Result=3","7144654")</f>
        <v>0</v>
      </c>
      <c r="B7728" t="s">
        <v>2104</v>
      </c>
      <c r="C7728" t="s">
        <v>11091</v>
      </c>
      <c r="D7728" t="s">
        <v>18009</v>
      </c>
      <c r="E7728" t="s">
        <v>24822</v>
      </c>
      <c r="F7728" t="s">
        <v>30900</v>
      </c>
      <c r="G7728" t="s">
        <v>30907</v>
      </c>
      <c r="H7728" t="s">
        <v>30916</v>
      </c>
      <c r="I7728" t="s">
        <v>8123</v>
      </c>
      <c r="J7728" t="s">
        <v>32492</v>
      </c>
      <c r="K7728" t="s">
        <v>40283</v>
      </c>
      <c r="M7728" t="s">
        <v>42803</v>
      </c>
      <c r="N7728" t="s">
        <v>44759</v>
      </c>
      <c r="O7728" t="s">
        <v>44760</v>
      </c>
      <c r="P7728">
        <v>0</v>
      </c>
      <c r="Q7728">
        <v>0</v>
      </c>
      <c r="R7728" t="s">
        <v>44767</v>
      </c>
      <c r="S7728" t="s">
        <v>44954</v>
      </c>
      <c r="T7728" t="s">
        <v>46428</v>
      </c>
      <c r="U7728" t="s">
        <v>53374</v>
      </c>
      <c r="W7728" t="s">
        <v>42803</v>
      </c>
      <c r="X7728" t="s">
        <v>44768</v>
      </c>
    </row>
    <row r="7729" spans="1:24">
      <c r="A7729">
        <f>HYPERLINK("https://www.philgeps.gov.ph/GEPSNONPILOT/Tender/SplashBidNoticeAbstractUI.aspx?menuIndex=3&amp;refID=7144652&amp;Result=3","7144652")</f>
        <v>0</v>
      </c>
      <c r="B7729" t="s">
        <v>704</v>
      </c>
      <c r="C7729" t="s">
        <v>11092</v>
      </c>
      <c r="D7729" t="s">
        <v>17987</v>
      </c>
      <c r="E7729" t="s">
        <v>24823</v>
      </c>
      <c r="F7729" t="s">
        <v>30900</v>
      </c>
      <c r="G7729" t="s">
        <v>30908</v>
      </c>
      <c r="H7729" t="s">
        <v>30916</v>
      </c>
      <c r="I7729" t="s">
        <v>30942</v>
      </c>
      <c r="J7729" t="s">
        <v>31341</v>
      </c>
      <c r="K7729" t="s">
        <v>40283</v>
      </c>
      <c r="M7729" t="s">
        <v>42242</v>
      </c>
      <c r="N7729" t="s">
        <v>44759</v>
      </c>
      <c r="O7729" t="s">
        <v>44760</v>
      </c>
      <c r="P7729">
        <v>0</v>
      </c>
      <c r="Q7729">
        <v>0</v>
      </c>
      <c r="R7729" t="s">
        <v>44767</v>
      </c>
      <c r="S7729" t="s">
        <v>44954</v>
      </c>
      <c r="T7729" t="s">
        <v>46391</v>
      </c>
      <c r="U7729" t="s">
        <v>53375</v>
      </c>
      <c r="W7729" t="s">
        <v>42242</v>
      </c>
      <c r="X7729" t="s">
        <v>44768</v>
      </c>
    </row>
    <row r="7730" spans="1:24">
      <c r="A7730">
        <f>HYPERLINK("https://www.philgeps.gov.ph/GEPSNONPILOT/Tender/SplashBidNoticeAbstractUI.aspx?menuIndex=3&amp;refID=7144634&amp;Result=3","7144634")</f>
        <v>0</v>
      </c>
      <c r="B7730" t="s">
        <v>2578</v>
      </c>
      <c r="C7730" t="s">
        <v>11093</v>
      </c>
      <c r="D7730" t="s">
        <v>18019</v>
      </c>
      <c r="E7730" t="s">
        <v>18094</v>
      </c>
      <c r="F7730" t="s">
        <v>30900</v>
      </c>
      <c r="G7730" t="s">
        <v>30907</v>
      </c>
      <c r="H7730" t="s">
        <v>30916</v>
      </c>
      <c r="I7730" t="s">
        <v>31003</v>
      </c>
      <c r="J7730" t="s">
        <v>31049</v>
      </c>
      <c r="K7730" t="s">
        <v>40283</v>
      </c>
      <c r="M7730" t="s">
        <v>43337</v>
      </c>
      <c r="N7730" t="s">
        <v>44759</v>
      </c>
      <c r="O7730" t="s">
        <v>44760</v>
      </c>
      <c r="P7730">
        <v>0</v>
      </c>
      <c r="Q7730">
        <v>0</v>
      </c>
      <c r="R7730" t="s">
        <v>44767</v>
      </c>
      <c r="S7730" t="s">
        <v>44954</v>
      </c>
      <c r="T7730" t="s">
        <v>46421</v>
      </c>
      <c r="U7730" t="s">
        <v>53376</v>
      </c>
      <c r="W7730" t="s">
        <v>43337</v>
      </c>
      <c r="X7730" t="s">
        <v>44768</v>
      </c>
    </row>
    <row r="7731" spans="1:24">
      <c r="A7731">
        <f>HYPERLINK("https://www.philgeps.gov.ph/GEPSNONPILOT/Tender/SplashBidNoticeAbstractUI.aspx?menuIndex=3&amp;refID=7144635&amp;Result=3","7144635")</f>
        <v>0</v>
      </c>
      <c r="B7731" t="s">
        <v>2472</v>
      </c>
      <c r="C7731" t="s">
        <v>11094</v>
      </c>
      <c r="D7731" t="s">
        <v>17962</v>
      </c>
      <c r="E7731" t="s">
        <v>24824</v>
      </c>
      <c r="F7731" t="s">
        <v>30900</v>
      </c>
      <c r="G7731" t="s">
        <v>30907</v>
      </c>
      <c r="H7731" t="s">
        <v>30916</v>
      </c>
      <c r="I7731" t="s">
        <v>30924</v>
      </c>
      <c r="J7731" t="s">
        <v>35941</v>
      </c>
      <c r="K7731" t="s">
        <v>40286</v>
      </c>
      <c r="M7731" t="s">
        <v>43210</v>
      </c>
      <c r="N7731" t="s">
        <v>44759</v>
      </c>
      <c r="O7731" t="s">
        <v>44760</v>
      </c>
      <c r="P7731">
        <v>0</v>
      </c>
      <c r="Q7731">
        <v>8</v>
      </c>
      <c r="R7731" t="s">
        <v>44767</v>
      </c>
      <c r="S7731" t="s">
        <v>44954</v>
      </c>
      <c r="T7731" t="s">
        <v>46375</v>
      </c>
      <c r="U7731" t="s">
        <v>53377</v>
      </c>
      <c r="V7731" t="s">
        <v>59226</v>
      </c>
      <c r="W7731" t="s">
        <v>43210</v>
      </c>
      <c r="X7731" t="s">
        <v>44768</v>
      </c>
    </row>
    <row r="7732" spans="1:24">
      <c r="A7732">
        <f>HYPERLINK("https://www.philgeps.gov.ph/GEPSNONPILOT/Tender/SplashBidNoticeAbstractUI.aspx?menuIndex=3&amp;refID=7144632&amp;Result=3","7144632")</f>
        <v>0</v>
      </c>
      <c r="B7732" t="s">
        <v>2579</v>
      </c>
      <c r="C7732" t="s">
        <v>11095</v>
      </c>
      <c r="D7732" t="s">
        <v>17963</v>
      </c>
      <c r="E7732" t="s">
        <v>22622</v>
      </c>
      <c r="F7732" t="s">
        <v>30900</v>
      </c>
      <c r="G7732" t="s">
        <v>30908</v>
      </c>
      <c r="H7732" t="s">
        <v>30916</v>
      </c>
      <c r="I7732" t="s">
        <v>5830</v>
      </c>
      <c r="J7732" t="s">
        <v>31483</v>
      </c>
      <c r="K7732" t="s">
        <v>40288</v>
      </c>
      <c r="M7732" t="s">
        <v>43338</v>
      </c>
      <c r="N7732" t="s">
        <v>44759</v>
      </c>
      <c r="O7732" t="s">
        <v>44760</v>
      </c>
      <c r="P7732">
        <v>0</v>
      </c>
      <c r="Q7732">
        <v>1</v>
      </c>
      <c r="R7732" t="s">
        <v>44767</v>
      </c>
      <c r="S7732" t="s">
        <v>44954</v>
      </c>
      <c r="T7732" t="s">
        <v>46533</v>
      </c>
      <c r="U7732" t="s">
        <v>53378</v>
      </c>
      <c r="W7732" t="s">
        <v>43338</v>
      </c>
      <c r="X7732" t="s">
        <v>44768</v>
      </c>
    </row>
    <row r="7733" spans="1:24">
      <c r="A7733">
        <f>HYPERLINK("https://www.philgeps.gov.ph/GEPSNONPILOT/Tender/SplashBidNoticeAbstractUI.aspx?menuIndex=3&amp;refID=7144633&amp;Result=3","7144633")</f>
        <v>0</v>
      </c>
      <c r="B7733" t="s">
        <v>704</v>
      </c>
      <c r="C7733" t="s">
        <v>11096</v>
      </c>
      <c r="D7733" t="s">
        <v>17987</v>
      </c>
      <c r="E7733" t="s">
        <v>24825</v>
      </c>
      <c r="F7733" t="s">
        <v>30900</v>
      </c>
      <c r="G7733" t="s">
        <v>30908</v>
      </c>
      <c r="H7733" t="s">
        <v>30916</v>
      </c>
      <c r="I7733" t="s">
        <v>30942</v>
      </c>
      <c r="J7733" t="s">
        <v>31341</v>
      </c>
      <c r="K7733" t="s">
        <v>40283</v>
      </c>
      <c r="M7733" t="s">
        <v>42242</v>
      </c>
      <c r="N7733" t="s">
        <v>44759</v>
      </c>
      <c r="O7733" t="s">
        <v>44760</v>
      </c>
      <c r="P7733">
        <v>0</v>
      </c>
      <c r="Q7733">
        <v>0</v>
      </c>
      <c r="R7733" t="s">
        <v>44767</v>
      </c>
      <c r="S7733" t="s">
        <v>44954</v>
      </c>
      <c r="T7733" t="s">
        <v>46391</v>
      </c>
      <c r="U7733" t="s">
        <v>53379</v>
      </c>
      <c r="W7733" t="s">
        <v>42242</v>
      </c>
      <c r="X7733" t="s">
        <v>44768</v>
      </c>
    </row>
    <row r="7734" spans="1:24">
      <c r="A7734">
        <f>HYPERLINK("https://www.philgeps.gov.ph/GEPSNONPILOT/Tender/SplashBidNoticeAbstractUI.aspx?menuIndex=3&amp;refID=7144631&amp;Result=3","7144631")</f>
        <v>0</v>
      </c>
      <c r="B7734" t="s">
        <v>2580</v>
      </c>
      <c r="C7734" t="s">
        <v>11097</v>
      </c>
      <c r="D7734" t="s">
        <v>17994</v>
      </c>
      <c r="E7734" t="s">
        <v>24826</v>
      </c>
      <c r="F7734" t="s">
        <v>30900</v>
      </c>
      <c r="G7734" t="s">
        <v>30908</v>
      </c>
      <c r="H7734" t="s">
        <v>30916</v>
      </c>
      <c r="I7734" t="s">
        <v>30922</v>
      </c>
      <c r="J7734" t="s">
        <v>35942</v>
      </c>
      <c r="K7734" t="s">
        <v>40291</v>
      </c>
      <c r="M7734" t="s">
        <v>43339</v>
      </c>
      <c r="N7734" t="s">
        <v>44759</v>
      </c>
      <c r="O7734" t="s">
        <v>44760</v>
      </c>
      <c r="P7734">
        <v>0</v>
      </c>
      <c r="Q7734">
        <v>12</v>
      </c>
      <c r="R7734" t="s">
        <v>44767</v>
      </c>
      <c r="S7734" t="s">
        <v>44954</v>
      </c>
      <c r="T7734" t="s">
        <v>46531</v>
      </c>
      <c r="U7734" t="s">
        <v>53380</v>
      </c>
      <c r="W7734" t="s">
        <v>60895</v>
      </c>
      <c r="X7734" t="s">
        <v>44768</v>
      </c>
    </row>
    <row r="7735" spans="1:24">
      <c r="A7735">
        <f>HYPERLINK("https://www.philgeps.gov.ph/GEPSNONPILOT/Tender/SplashBidNoticeAbstractUI.aspx?menuIndex=3&amp;refID=7144624&amp;Result=3","7144624")</f>
        <v>0</v>
      </c>
      <c r="B7735" t="s">
        <v>1060</v>
      </c>
      <c r="C7735" t="s">
        <v>11098</v>
      </c>
      <c r="D7735" t="s">
        <v>17975</v>
      </c>
      <c r="E7735" t="s">
        <v>24827</v>
      </c>
      <c r="F7735" t="s">
        <v>30900</v>
      </c>
      <c r="G7735" t="s">
        <v>30907</v>
      </c>
      <c r="H7735" t="s">
        <v>30915</v>
      </c>
      <c r="I7735" t="s">
        <v>30919</v>
      </c>
      <c r="J7735" t="s">
        <v>35943</v>
      </c>
      <c r="K7735" t="s">
        <v>40293</v>
      </c>
      <c r="M7735" t="s">
        <v>41657</v>
      </c>
      <c r="N7735" t="s">
        <v>44759</v>
      </c>
      <c r="O7735" t="s">
        <v>44760</v>
      </c>
      <c r="P7735">
        <v>0</v>
      </c>
      <c r="Q7735">
        <v>0</v>
      </c>
      <c r="R7735" t="s">
        <v>44767</v>
      </c>
      <c r="S7735" t="s">
        <v>44954</v>
      </c>
      <c r="T7735" t="s">
        <v>46757</v>
      </c>
      <c r="U7735" t="s">
        <v>53268</v>
      </c>
      <c r="W7735" t="s">
        <v>41657</v>
      </c>
      <c r="X7735" t="s">
        <v>44768</v>
      </c>
    </row>
    <row r="7736" spans="1:24">
      <c r="A7736">
        <f>HYPERLINK("https://www.philgeps.gov.ph/GEPSNONPILOT/Tender/SplashBidNoticeAbstractUI.aspx?menuIndex=3&amp;refID=7144623&amp;Result=3","7144623")</f>
        <v>0</v>
      </c>
      <c r="B7736" t="s">
        <v>223</v>
      </c>
      <c r="C7736" t="s">
        <v>11099</v>
      </c>
      <c r="D7736" t="s">
        <v>18002</v>
      </c>
      <c r="E7736" t="s">
        <v>24828</v>
      </c>
      <c r="F7736" t="s">
        <v>30900</v>
      </c>
      <c r="G7736" t="s">
        <v>30907</v>
      </c>
      <c r="H7736" t="s">
        <v>30916</v>
      </c>
      <c r="I7736" t="s">
        <v>31000</v>
      </c>
      <c r="J7736" t="s">
        <v>31126</v>
      </c>
      <c r="K7736" t="s">
        <v>40289</v>
      </c>
      <c r="M7736" t="s">
        <v>43321</v>
      </c>
      <c r="N7736" t="s">
        <v>44759</v>
      </c>
      <c r="O7736" t="s">
        <v>44760</v>
      </c>
      <c r="P7736">
        <v>0</v>
      </c>
      <c r="Q7736">
        <v>7</v>
      </c>
      <c r="R7736" t="s">
        <v>44767</v>
      </c>
      <c r="S7736" t="s">
        <v>44954</v>
      </c>
      <c r="T7736" t="s">
        <v>46787</v>
      </c>
      <c r="U7736" t="s">
        <v>53381</v>
      </c>
      <c r="V7736" t="s">
        <v>59945</v>
      </c>
      <c r="W7736" t="s">
        <v>43321</v>
      </c>
      <c r="X7736" t="s">
        <v>44768</v>
      </c>
    </row>
    <row r="7737" spans="1:24">
      <c r="A7737">
        <f>HYPERLINK("https://www.philgeps.gov.ph/GEPSNONPILOT/Tender/SplashBidNoticeAbstractUI.aspx?menuIndex=3&amp;refID=7144658&amp;Result=3","7144658")</f>
        <v>0</v>
      </c>
      <c r="B7737" t="s">
        <v>2144</v>
      </c>
      <c r="C7737" t="s">
        <v>11100</v>
      </c>
      <c r="D7737" t="s">
        <v>17957</v>
      </c>
      <c r="E7737" t="s">
        <v>18649</v>
      </c>
      <c r="F7737" t="s">
        <v>30900</v>
      </c>
      <c r="G7737" t="s">
        <v>30907</v>
      </c>
      <c r="H7737" t="s">
        <v>30916</v>
      </c>
      <c r="I7737" t="s">
        <v>4142</v>
      </c>
      <c r="J7737" t="s">
        <v>35944</v>
      </c>
      <c r="K7737" t="s">
        <v>40286</v>
      </c>
      <c r="M7737" t="s">
        <v>42847</v>
      </c>
      <c r="N7737" t="s">
        <v>44759</v>
      </c>
      <c r="O7737" t="s">
        <v>44760</v>
      </c>
      <c r="P7737">
        <v>0</v>
      </c>
      <c r="Q7737">
        <v>6</v>
      </c>
      <c r="R7737" t="s">
        <v>44767</v>
      </c>
      <c r="S7737" t="s">
        <v>44954</v>
      </c>
      <c r="T7737" t="s">
        <v>46666</v>
      </c>
      <c r="U7737" t="s">
        <v>53382</v>
      </c>
      <c r="W7737" t="s">
        <v>42847</v>
      </c>
      <c r="X7737" t="s">
        <v>44768</v>
      </c>
    </row>
    <row r="7738" spans="1:24">
      <c r="A7738">
        <f>HYPERLINK("https://www.philgeps.gov.ph/GEPSNONPILOT/Tender/SplashBidNoticeAbstractUI.aspx?menuIndex=3&amp;refID=7144650&amp;Result=3","7144650")</f>
        <v>0</v>
      </c>
      <c r="B7738" t="s">
        <v>2581</v>
      </c>
      <c r="C7738" t="s">
        <v>11101</v>
      </c>
      <c r="D7738" t="s">
        <v>17959</v>
      </c>
      <c r="E7738" t="s">
        <v>24829</v>
      </c>
      <c r="F7738" t="s">
        <v>30900</v>
      </c>
      <c r="G7738" t="s">
        <v>30907</v>
      </c>
      <c r="H7738" t="s">
        <v>7411</v>
      </c>
      <c r="I7738" t="s">
        <v>7411</v>
      </c>
      <c r="J7738" t="s">
        <v>35945</v>
      </c>
      <c r="K7738" t="s">
        <v>40444</v>
      </c>
      <c r="M7738" t="s">
        <v>43340</v>
      </c>
      <c r="N7738" t="s">
        <v>44759</v>
      </c>
      <c r="O7738" t="s">
        <v>44760</v>
      </c>
      <c r="P7738">
        <v>0</v>
      </c>
      <c r="Q7738">
        <v>9</v>
      </c>
      <c r="R7738" t="s">
        <v>44767</v>
      </c>
      <c r="S7738" t="s">
        <v>44954</v>
      </c>
      <c r="T7738" t="s">
        <v>46362</v>
      </c>
      <c r="U7738" t="s">
        <v>53383</v>
      </c>
      <c r="W7738" t="s">
        <v>43340</v>
      </c>
      <c r="X7738" t="s">
        <v>44768</v>
      </c>
    </row>
    <row r="7739" spans="1:24">
      <c r="A7739">
        <f>HYPERLINK("https://www.philgeps.gov.ph/GEPSNONPILOT/Tender/SplashBidNoticeAbstractUI.aspx?menuIndex=3&amp;refID=7144692&amp;Result=3","7144692")</f>
        <v>0</v>
      </c>
      <c r="B7739" t="s">
        <v>2263</v>
      </c>
      <c r="C7739" t="s">
        <v>11102</v>
      </c>
      <c r="D7739" t="s">
        <v>17966</v>
      </c>
      <c r="E7739" t="s">
        <v>24830</v>
      </c>
      <c r="F7739" t="s">
        <v>30900</v>
      </c>
      <c r="G7739" t="s">
        <v>30907</v>
      </c>
      <c r="H7739" t="s">
        <v>30916</v>
      </c>
      <c r="I7739" t="s">
        <v>4965</v>
      </c>
      <c r="J7739" t="s">
        <v>35946</v>
      </c>
      <c r="K7739" t="s">
        <v>40294</v>
      </c>
      <c r="L7739" t="s">
        <v>2263</v>
      </c>
      <c r="M7739" t="s">
        <v>42975</v>
      </c>
      <c r="N7739" t="s">
        <v>44759</v>
      </c>
      <c r="O7739" t="s">
        <v>44760</v>
      </c>
      <c r="P7739">
        <v>0</v>
      </c>
      <c r="Q7739">
        <v>1</v>
      </c>
      <c r="R7739" t="s">
        <v>44767</v>
      </c>
      <c r="S7739" t="s">
        <v>44954</v>
      </c>
      <c r="T7739" t="s">
        <v>46533</v>
      </c>
      <c r="U7739" t="s">
        <v>53384</v>
      </c>
      <c r="W7739" t="s">
        <v>42975</v>
      </c>
      <c r="X7739" t="s">
        <v>44768</v>
      </c>
    </row>
    <row r="7740" spans="1:24">
      <c r="A7740">
        <f>HYPERLINK("https://www.philgeps.gov.ph/GEPSNONPILOT/Tender/SplashBidNoticeAbstractUI.aspx?menuIndex=3&amp;refID=7144639&amp;Result=3","7144639")</f>
        <v>0</v>
      </c>
      <c r="B7740" t="s">
        <v>2582</v>
      </c>
      <c r="C7740" t="s">
        <v>11103</v>
      </c>
      <c r="D7740" t="s">
        <v>18020</v>
      </c>
      <c r="E7740" t="s">
        <v>24831</v>
      </c>
      <c r="F7740" t="s">
        <v>30900</v>
      </c>
      <c r="G7740" t="s">
        <v>30907</v>
      </c>
      <c r="H7740" t="s">
        <v>30916</v>
      </c>
      <c r="I7740" t="s">
        <v>9385</v>
      </c>
      <c r="J7740" t="s">
        <v>31426</v>
      </c>
      <c r="K7740" t="s">
        <v>40286</v>
      </c>
      <c r="M7740" t="s">
        <v>43341</v>
      </c>
      <c r="N7740" t="s">
        <v>44759</v>
      </c>
      <c r="O7740" t="s">
        <v>44760</v>
      </c>
      <c r="P7740">
        <v>0</v>
      </c>
      <c r="Q7740">
        <v>7</v>
      </c>
      <c r="R7740" t="s">
        <v>44767</v>
      </c>
      <c r="S7740" t="s">
        <v>44954</v>
      </c>
      <c r="T7740" t="s">
        <v>46425</v>
      </c>
      <c r="U7740" t="s">
        <v>53385</v>
      </c>
      <c r="W7740" t="s">
        <v>43341</v>
      </c>
      <c r="X7740" t="s">
        <v>44768</v>
      </c>
    </row>
    <row r="7741" spans="1:24">
      <c r="A7741">
        <f>HYPERLINK("https://www.philgeps.gov.ph/GEPSNONPILOT/Tender/SplashBidNoticeAbstractUI.aspx?menuIndex=3&amp;refID=7144685&amp;Result=3","7144685")</f>
        <v>0</v>
      </c>
      <c r="B7741" t="s">
        <v>387</v>
      </c>
      <c r="C7741" t="s">
        <v>11104</v>
      </c>
      <c r="D7741" t="s">
        <v>17977</v>
      </c>
      <c r="E7741" t="s">
        <v>24832</v>
      </c>
      <c r="F7741" t="s">
        <v>30900</v>
      </c>
      <c r="G7741" t="s">
        <v>30908</v>
      </c>
      <c r="H7741" t="s">
        <v>30916</v>
      </c>
      <c r="I7741" t="s">
        <v>30922</v>
      </c>
      <c r="J7741" t="s">
        <v>35947</v>
      </c>
      <c r="K7741" t="s">
        <v>40291</v>
      </c>
      <c r="M7741" t="s">
        <v>40942</v>
      </c>
      <c r="N7741" t="s">
        <v>44759</v>
      </c>
      <c r="O7741" t="s">
        <v>44760</v>
      </c>
      <c r="P7741">
        <v>0</v>
      </c>
      <c r="Q7741">
        <v>1</v>
      </c>
      <c r="R7741" t="s">
        <v>44767</v>
      </c>
      <c r="S7741" t="s">
        <v>44954</v>
      </c>
      <c r="T7741" t="s">
        <v>46548</v>
      </c>
      <c r="U7741" t="s">
        <v>53386</v>
      </c>
      <c r="W7741" t="s">
        <v>40942</v>
      </c>
      <c r="X7741" t="s">
        <v>44768</v>
      </c>
    </row>
    <row r="7742" spans="1:24">
      <c r="A7742">
        <f>HYPERLINK("https://www.philgeps.gov.ph/GEPSNONPILOT/Tender/SplashBidNoticeAbstractUI.aspx?menuIndex=3&amp;refID=7144683&amp;Result=3","7144683")</f>
        <v>0</v>
      </c>
      <c r="B7742" t="s">
        <v>2583</v>
      </c>
      <c r="C7742" t="s">
        <v>11105</v>
      </c>
      <c r="D7742" t="s">
        <v>17998</v>
      </c>
      <c r="E7742" t="s">
        <v>24833</v>
      </c>
      <c r="F7742" t="s">
        <v>30900</v>
      </c>
      <c r="G7742" t="s">
        <v>30908</v>
      </c>
      <c r="H7742" t="s">
        <v>30916</v>
      </c>
      <c r="I7742" t="s">
        <v>30960</v>
      </c>
      <c r="J7742" t="s">
        <v>35948</v>
      </c>
      <c r="K7742" t="s">
        <v>40286</v>
      </c>
      <c r="M7742" t="s">
        <v>43342</v>
      </c>
      <c r="N7742" t="s">
        <v>44759</v>
      </c>
      <c r="O7742" t="s">
        <v>44760</v>
      </c>
      <c r="P7742">
        <v>0</v>
      </c>
      <c r="Q7742">
        <v>4</v>
      </c>
      <c r="R7742" t="s">
        <v>44767</v>
      </c>
      <c r="S7742" t="s">
        <v>44954</v>
      </c>
      <c r="T7742" t="s">
        <v>46403</v>
      </c>
      <c r="U7742" t="s">
        <v>53387</v>
      </c>
      <c r="W7742" t="s">
        <v>43342</v>
      </c>
      <c r="X7742" t="s">
        <v>44768</v>
      </c>
    </row>
    <row r="7743" spans="1:24">
      <c r="A7743">
        <f>HYPERLINK("https://www.philgeps.gov.ph/GEPSNONPILOT/Tender/SplashBidNoticeAbstractUI.aspx?menuIndex=3&amp;refID=7144688&amp;Result=3","7144688")</f>
        <v>0</v>
      </c>
      <c r="B7743" t="s">
        <v>1513</v>
      </c>
      <c r="C7743" t="s">
        <v>11106</v>
      </c>
      <c r="D7743" t="s">
        <v>17968</v>
      </c>
      <c r="E7743" t="s">
        <v>24834</v>
      </c>
      <c r="F7743" t="s">
        <v>30900</v>
      </c>
      <c r="G7743" t="s">
        <v>30908</v>
      </c>
      <c r="H7743" t="s">
        <v>30916</v>
      </c>
      <c r="I7743" t="s">
        <v>4004</v>
      </c>
      <c r="J7743" t="s">
        <v>35949</v>
      </c>
      <c r="K7743" t="s">
        <v>40286</v>
      </c>
      <c r="M7743" t="s">
        <v>42154</v>
      </c>
      <c r="N7743" t="s">
        <v>44759</v>
      </c>
      <c r="O7743" t="s">
        <v>44760</v>
      </c>
      <c r="P7743">
        <v>0</v>
      </c>
      <c r="Q7743">
        <v>2</v>
      </c>
      <c r="R7743" t="s">
        <v>44767</v>
      </c>
      <c r="S7743" t="s">
        <v>44954</v>
      </c>
      <c r="T7743" t="s">
        <v>46625</v>
      </c>
      <c r="U7743" t="s">
        <v>53388</v>
      </c>
      <c r="V7743" t="s">
        <v>59946</v>
      </c>
      <c r="W7743" t="s">
        <v>42154</v>
      </c>
      <c r="X7743" t="s">
        <v>44768</v>
      </c>
    </row>
    <row r="7744" spans="1:24">
      <c r="A7744">
        <f>HYPERLINK("https://www.philgeps.gov.ph/GEPSNONPILOT/Tender/SplashBidNoticeAbstractUI.aspx?menuIndex=3&amp;refID=7144679&amp;Result=3","7144679")</f>
        <v>0</v>
      </c>
      <c r="B7744" t="s">
        <v>1526</v>
      </c>
      <c r="C7744" t="s">
        <v>11107</v>
      </c>
      <c r="D7744" t="s">
        <v>17959</v>
      </c>
      <c r="E7744" t="s">
        <v>24835</v>
      </c>
      <c r="F7744" t="s">
        <v>30900</v>
      </c>
      <c r="G7744" t="s">
        <v>30910</v>
      </c>
      <c r="H7744" t="s">
        <v>30916</v>
      </c>
      <c r="I7744" t="s">
        <v>4017</v>
      </c>
      <c r="J7744" t="s">
        <v>35950</v>
      </c>
      <c r="K7744" t="s">
        <v>40287</v>
      </c>
      <c r="M7744" t="s">
        <v>42168</v>
      </c>
      <c r="N7744" t="s">
        <v>44759</v>
      </c>
      <c r="O7744" t="s">
        <v>44760</v>
      </c>
      <c r="P7744">
        <v>0</v>
      </c>
      <c r="Q7744">
        <v>4</v>
      </c>
      <c r="R7744" t="s">
        <v>44767</v>
      </c>
      <c r="S7744" t="s">
        <v>44954</v>
      </c>
      <c r="T7744" t="s">
        <v>46658</v>
      </c>
      <c r="U7744" t="s">
        <v>53389</v>
      </c>
      <c r="W7744" t="s">
        <v>60864</v>
      </c>
      <c r="X7744" t="s">
        <v>44768</v>
      </c>
    </row>
    <row r="7745" spans="1:24">
      <c r="A7745">
        <f>HYPERLINK("https://www.philgeps.gov.ph/GEPSNONPILOT/Tender/SplashBidNoticeAbstractUI.aspx?menuIndex=3&amp;refID=7144678&amp;Result=3","7144678")</f>
        <v>0</v>
      </c>
      <c r="B7745" t="s">
        <v>1500</v>
      </c>
      <c r="C7745" t="s">
        <v>11108</v>
      </c>
      <c r="D7745" t="s">
        <v>17978</v>
      </c>
      <c r="E7745" t="s">
        <v>24836</v>
      </c>
      <c r="F7745" t="s">
        <v>30900</v>
      </c>
      <c r="G7745" t="s">
        <v>30907</v>
      </c>
      <c r="H7745" t="s">
        <v>30916</v>
      </c>
      <c r="I7745" t="s">
        <v>30922</v>
      </c>
      <c r="J7745" t="s">
        <v>35951</v>
      </c>
      <c r="K7745" t="s">
        <v>40283</v>
      </c>
      <c r="M7745" t="s">
        <v>43287</v>
      </c>
      <c r="N7745" t="s">
        <v>44759</v>
      </c>
      <c r="O7745" t="s">
        <v>44760</v>
      </c>
      <c r="P7745">
        <v>0</v>
      </c>
      <c r="Q7745">
        <v>1</v>
      </c>
      <c r="R7745" t="s">
        <v>44767</v>
      </c>
      <c r="S7745" t="s">
        <v>44954</v>
      </c>
      <c r="T7745" t="s">
        <v>46788</v>
      </c>
      <c r="U7745" t="s">
        <v>53334</v>
      </c>
      <c r="W7745" t="s">
        <v>43287</v>
      </c>
      <c r="X7745" t="s">
        <v>44768</v>
      </c>
    </row>
    <row r="7746" spans="1:24">
      <c r="A7746">
        <f>HYPERLINK("https://www.philgeps.gov.ph/GEPSNONPILOT/Tender/SplashBidNoticeAbstractUI.aspx?menuIndex=3&amp;refID=7144677&amp;Result=3","7144677")</f>
        <v>0</v>
      </c>
      <c r="B7746" t="s">
        <v>2584</v>
      </c>
      <c r="C7746" t="s">
        <v>11109</v>
      </c>
      <c r="D7746" t="s">
        <v>17954</v>
      </c>
      <c r="E7746" t="s">
        <v>18158</v>
      </c>
      <c r="F7746" t="s">
        <v>30900</v>
      </c>
      <c r="G7746" t="s">
        <v>30908</v>
      </c>
      <c r="H7746" t="s">
        <v>30915</v>
      </c>
      <c r="I7746" t="s">
        <v>30919</v>
      </c>
      <c r="J7746" t="s">
        <v>31284</v>
      </c>
      <c r="K7746" t="s">
        <v>40286</v>
      </c>
      <c r="M7746" t="s">
        <v>43343</v>
      </c>
      <c r="N7746" t="s">
        <v>44759</v>
      </c>
      <c r="O7746" t="s">
        <v>44760</v>
      </c>
      <c r="P7746">
        <v>0</v>
      </c>
      <c r="Q7746">
        <v>0</v>
      </c>
      <c r="R7746" t="s">
        <v>44767</v>
      </c>
      <c r="S7746" t="s">
        <v>44954</v>
      </c>
      <c r="T7746" t="s">
        <v>46393</v>
      </c>
      <c r="U7746" t="s">
        <v>53390</v>
      </c>
      <c r="V7746" t="s">
        <v>59947</v>
      </c>
      <c r="W7746" t="s">
        <v>60896</v>
      </c>
      <c r="X7746" t="s">
        <v>44768</v>
      </c>
    </row>
    <row r="7747" spans="1:24">
      <c r="A7747">
        <f>HYPERLINK("https://www.philgeps.gov.ph/GEPSNONPILOT/Tender/SplashBidNoticeAbstractUI.aspx?menuIndex=3&amp;refID=7144674&amp;Result=3","7144674")</f>
        <v>0</v>
      </c>
      <c r="B7747" t="s">
        <v>2562</v>
      </c>
      <c r="C7747" t="s">
        <v>11110</v>
      </c>
      <c r="D7747" t="s">
        <v>18005</v>
      </c>
      <c r="E7747" t="s">
        <v>24837</v>
      </c>
      <c r="F7747" t="s">
        <v>30900</v>
      </c>
      <c r="G7747" t="s">
        <v>30909</v>
      </c>
      <c r="H7747" t="s">
        <v>30916</v>
      </c>
      <c r="I7747" t="s">
        <v>30950</v>
      </c>
      <c r="J7747" t="s">
        <v>32049</v>
      </c>
      <c r="K7747" t="s">
        <v>40289</v>
      </c>
      <c r="M7747" t="s">
        <v>43320</v>
      </c>
      <c r="N7747" t="s">
        <v>44759</v>
      </c>
      <c r="O7747" t="s">
        <v>44760</v>
      </c>
      <c r="P7747">
        <v>0</v>
      </c>
      <c r="Q7747">
        <v>12</v>
      </c>
      <c r="R7747" t="s">
        <v>44767</v>
      </c>
      <c r="S7747" t="s">
        <v>44954</v>
      </c>
      <c r="T7747" t="s">
        <v>46533</v>
      </c>
      <c r="U7747" t="s">
        <v>53310</v>
      </c>
      <c r="V7747" t="s">
        <v>59948</v>
      </c>
      <c r="W7747" t="s">
        <v>60894</v>
      </c>
      <c r="X7747" t="s">
        <v>44768</v>
      </c>
    </row>
    <row r="7748" spans="1:24">
      <c r="A7748">
        <f>HYPERLINK("https://www.philgeps.gov.ph/GEPSNONPILOT/Tender/SplashBidNoticeAbstractUI.aspx?menuIndex=3&amp;refID=7144673&amp;Result=3","7144673")</f>
        <v>0</v>
      </c>
      <c r="B7748" t="s">
        <v>1641</v>
      </c>
      <c r="C7748" t="s">
        <v>11111</v>
      </c>
      <c r="D7748" t="s">
        <v>17981</v>
      </c>
      <c r="E7748" t="s">
        <v>24838</v>
      </c>
      <c r="F7748" t="s">
        <v>30900</v>
      </c>
      <c r="G7748" t="s">
        <v>30908</v>
      </c>
      <c r="H7748" t="s">
        <v>30916</v>
      </c>
      <c r="I7748" t="s">
        <v>6746</v>
      </c>
      <c r="J7748" t="s">
        <v>31489</v>
      </c>
      <c r="K7748" t="s">
        <v>40286</v>
      </c>
      <c r="M7748" t="s">
        <v>42297</v>
      </c>
      <c r="N7748" t="s">
        <v>44759</v>
      </c>
      <c r="O7748" t="s">
        <v>44760</v>
      </c>
      <c r="P7748">
        <v>0</v>
      </c>
      <c r="Q7748">
        <v>0</v>
      </c>
      <c r="R7748" t="s">
        <v>44767</v>
      </c>
      <c r="S7748" t="s">
        <v>44954</v>
      </c>
      <c r="T7748" t="s">
        <v>46353</v>
      </c>
      <c r="U7748" t="s">
        <v>53391</v>
      </c>
      <c r="W7748" t="s">
        <v>42297</v>
      </c>
      <c r="X7748" t="s">
        <v>44768</v>
      </c>
    </row>
    <row r="7749" spans="1:24">
      <c r="A7749">
        <f>HYPERLINK("https://www.philgeps.gov.ph/GEPSNONPILOT/Tender/SplashBidNoticeAbstractUI.aspx?menuIndex=3&amp;refID=7144671&amp;Result=3","7144671")</f>
        <v>0</v>
      </c>
      <c r="B7749" t="s">
        <v>2578</v>
      </c>
      <c r="C7749" t="s">
        <v>11112</v>
      </c>
      <c r="D7749" t="s">
        <v>18019</v>
      </c>
      <c r="E7749" t="s">
        <v>19690</v>
      </c>
      <c r="F7749" t="s">
        <v>30900</v>
      </c>
      <c r="G7749" t="s">
        <v>30907</v>
      </c>
      <c r="H7749" t="s">
        <v>30916</v>
      </c>
      <c r="I7749" t="s">
        <v>8123</v>
      </c>
      <c r="J7749" t="s">
        <v>35952</v>
      </c>
      <c r="K7749" t="s">
        <v>40287</v>
      </c>
      <c r="M7749" t="s">
        <v>43337</v>
      </c>
      <c r="N7749" t="s">
        <v>44759</v>
      </c>
      <c r="O7749" t="s">
        <v>44760</v>
      </c>
      <c r="P7749">
        <v>0</v>
      </c>
      <c r="Q7749">
        <v>0</v>
      </c>
      <c r="R7749" t="s">
        <v>44767</v>
      </c>
      <c r="S7749" t="s">
        <v>44954</v>
      </c>
      <c r="T7749" t="s">
        <v>46421</v>
      </c>
      <c r="U7749" t="s">
        <v>53392</v>
      </c>
      <c r="W7749" t="s">
        <v>43337</v>
      </c>
      <c r="X7749" t="s">
        <v>44768</v>
      </c>
    </row>
    <row r="7750" spans="1:24">
      <c r="A7750">
        <f>HYPERLINK("https://www.philgeps.gov.ph/GEPSNONPILOT/Tender/SplashBidNoticeAbstractUI.aspx?menuIndex=3&amp;refID=7144714&amp;Result=3","7144714")</f>
        <v>0</v>
      </c>
      <c r="B7750" t="s">
        <v>2263</v>
      </c>
      <c r="C7750" t="s">
        <v>11113</v>
      </c>
      <c r="D7750" t="s">
        <v>17966</v>
      </c>
      <c r="E7750" t="s">
        <v>24839</v>
      </c>
      <c r="F7750" t="s">
        <v>30900</v>
      </c>
      <c r="G7750" t="s">
        <v>30907</v>
      </c>
      <c r="H7750" t="s">
        <v>30916</v>
      </c>
      <c r="I7750" t="s">
        <v>4965</v>
      </c>
      <c r="J7750" t="s">
        <v>35953</v>
      </c>
      <c r="K7750" t="s">
        <v>40315</v>
      </c>
      <c r="L7750" t="s">
        <v>2263</v>
      </c>
      <c r="M7750" t="s">
        <v>42975</v>
      </c>
      <c r="N7750" t="s">
        <v>44759</v>
      </c>
      <c r="O7750" t="s">
        <v>44760</v>
      </c>
      <c r="P7750">
        <v>0</v>
      </c>
      <c r="Q7750">
        <v>0</v>
      </c>
      <c r="R7750" t="s">
        <v>44767</v>
      </c>
      <c r="S7750" t="s">
        <v>44954</v>
      </c>
      <c r="T7750" t="s">
        <v>46533</v>
      </c>
      <c r="U7750" t="s">
        <v>53393</v>
      </c>
      <c r="W7750" t="s">
        <v>42975</v>
      </c>
      <c r="X7750" t="s">
        <v>44768</v>
      </c>
    </row>
    <row r="7751" spans="1:24">
      <c r="A7751">
        <f>HYPERLINK("https://www.philgeps.gov.ph/GEPSNONPILOT/Tender/SplashBidNoticeAbstractUI.aspx?menuIndex=3&amp;refID=7144687&amp;Result=3","7144687")</f>
        <v>0</v>
      </c>
      <c r="B7751" t="s">
        <v>2197</v>
      </c>
      <c r="C7751" t="s">
        <v>11114</v>
      </c>
      <c r="D7751" t="s">
        <v>17972</v>
      </c>
      <c r="E7751" t="s">
        <v>24840</v>
      </c>
      <c r="F7751" t="s">
        <v>30900</v>
      </c>
      <c r="G7751" t="s">
        <v>30907</v>
      </c>
      <c r="H7751" t="s">
        <v>30916</v>
      </c>
      <c r="I7751" t="s">
        <v>30928</v>
      </c>
      <c r="J7751" t="s">
        <v>31094</v>
      </c>
      <c r="K7751" t="s">
        <v>40280</v>
      </c>
      <c r="M7751" t="s">
        <v>42904</v>
      </c>
      <c r="N7751" t="s">
        <v>44759</v>
      </c>
      <c r="O7751" t="s">
        <v>44760</v>
      </c>
      <c r="P7751">
        <v>0</v>
      </c>
      <c r="Q7751">
        <v>6</v>
      </c>
      <c r="R7751" t="s">
        <v>44767</v>
      </c>
      <c r="S7751" t="s">
        <v>44954</v>
      </c>
      <c r="T7751" t="s">
        <v>46453</v>
      </c>
      <c r="U7751" t="s">
        <v>53394</v>
      </c>
      <c r="V7751" t="s">
        <v>59949</v>
      </c>
      <c r="W7751" t="s">
        <v>42904</v>
      </c>
      <c r="X7751" t="s">
        <v>44768</v>
      </c>
    </row>
    <row r="7752" spans="1:24">
      <c r="A7752">
        <f>HYPERLINK("https://www.philgeps.gov.ph/GEPSNONPILOT/Tender/SplashBidNoticeAbstractUI.aspx?menuIndex=3&amp;refID=7144725&amp;Result=3","7144725")</f>
        <v>0</v>
      </c>
      <c r="B7752" t="s">
        <v>1401</v>
      </c>
      <c r="C7752" t="s">
        <v>11115</v>
      </c>
      <c r="D7752" t="s">
        <v>17982</v>
      </c>
      <c r="E7752" t="s">
        <v>24841</v>
      </c>
      <c r="F7752" t="s">
        <v>30900</v>
      </c>
      <c r="G7752" t="s">
        <v>30908</v>
      </c>
      <c r="H7752" t="s">
        <v>30916</v>
      </c>
      <c r="I7752" t="s">
        <v>10602</v>
      </c>
      <c r="J7752" t="s">
        <v>35954</v>
      </c>
      <c r="K7752" t="s">
        <v>40294</v>
      </c>
      <c r="M7752" t="s">
        <v>42027</v>
      </c>
      <c r="N7752" t="s">
        <v>44759</v>
      </c>
      <c r="O7752" t="s">
        <v>44760</v>
      </c>
      <c r="P7752">
        <v>0</v>
      </c>
      <c r="Q7752">
        <v>0</v>
      </c>
      <c r="R7752" t="s">
        <v>44767</v>
      </c>
      <c r="S7752" t="s">
        <v>44954</v>
      </c>
      <c r="T7752" t="s">
        <v>46533</v>
      </c>
      <c r="U7752" t="s">
        <v>53395</v>
      </c>
      <c r="V7752" t="s">
        <v>59786</v>
      </c>
      <c r="W7752" t="s">
        <v>42027</v>
      </c>
      <c r="X7752" t="s">
        <v>44768</v>
      </c>
    </row>
    <row r="7753" spans="1:24">
      <c r="A7753">
        <f>HYPERLINK("https://www.philgeps.gov.ph/GEPSNONPILOT/Tender/SplashBidNoticeAbstractUI.aspx?menuIndex=3&amp;refID=7144670&amp;Result=3","7144670")</f>
        <v>0</v>
      </c>
      <c r="B7753" t="s">
        <v>1786</v>
      </c>
      <c r="C7753" t="s">
        <v>11116</v>
      </c>
      <c r="D7753" t="s">
        <v>18025</v>
      </c>
      <c r="E7753" t="s">
        <v>24842</v>
      </c>
      <c r="F7753" t="s">
        <v>30900</v>
      </c>
      <c r="G7753" t="s">
        <v>30909</v>
      </c>
      <c r="H7753" t="s">
        <v>30916</v>
      </c>
      <c r="I7753" t="s">
        <v>6396</v>
      </c>
      <c r="J7753" t="s">
        <v>35955</v>
      </c>
      <c r="K7753" t="s">
        <v>40289</v>
      </c>
      <c r="M7753" t="s">
        <v>42461</v>
      </c>
      <c r="N7753" t="s">
        <v>44759</v>
      </c>
      <c r="O7753" t="s">
        <v>44760</v>
      </c>
      <c r="P7753">
        <v>0</v>
      </c>
      <c r="Q7753">
        <v>12</v>
      </c>
      <c r="R7753" t="s">
        <v>44767</v>
      </c>
      <c r="S7753" t="s">
        <v>44954</v>
      </c>
      <c r="T7753" t="s">
        <v>46623</v>
      </c>
      <c r="U7753" t="s">
        <v>53396</v>
      </c>
      <c r="V7753" t="s">
        <v>59626</v>
      </c>
      <c r="W7753" t="s">
        <v>42461</v>
      </c>
      <c r="X7753" t="s">
        <v>44768</v>
      </c>
    </row>
    <row r="7754" spans="1:24">
      <c r="A7754">
        <f>HYPERLINK("https://www.philgeps.gov.ph/GEPSNONPILOT/Tender/SplashBidNoticeAbstractUI.aspx?menuIndex=3&amp;refID=7144723&amp;Result=3","7144723")</f>
        <v>0</v>
      </c>
      <c r="B7754" t="s">
        <v>1043</v>
      </c>
      <c r="C7754" t="s">
        <v>11117</v>
      </c>
      <c r="D7754" t="s">
        <v>18000</v>
      </c>
      <c r="E7754" t="s">
        <v>24843</v>
      </c>
      <c r="F7754" t="s">
        <v>30900</v>
      </c>
      <c r="G7754" t="s">
        <v>30907</v>
      </c>
      <c r="H7754" t="s">
        <v>30915</v>
      </c>
      <c r="I7754" t="s">
        <v>30919</v>
      </c>
      <c r="J7754" t="s">
        <v>35956</v>
      </c>
      <c r="K7754" t="s">
        <v>40289</v>
      </c>
      <c r="M7754" t="s">
        <v>43271</v>
      </c>
      <c r="N7754" t="s">
        <v>44759</v>
      </c>
      <c r="O7754" t="s">
        <v>44760</v>
      </c>
      <c r="P7754">
        <v>0</v>
      </c>
      <c r="Q7754">
        <v>0</v>
      </c>
      <c r="R7754" t="s">
        <v>44767</v>
      </c>
      <c r="S7754" t="s">
        <v>44954</v>
      </c>
      <c r="T7754" t="s">
        <v>46515</v>
      </c>
      <c r="U7754" t="s">
        <v>53397</v>
      </c>
      <c r="W7754" t="s">
        <v>43271</v>
      </c>
      <c r="X7754" t="s">
        <v>44768</v>
      </c>
    </row>
    <row r="7755" spans="1:24">
      <c r="A7755">
        <f>HYPERLINK("https://www.philgeps.gov.ph/GEPSNONPILOT/Tender/SplashBidNoticeAbstractUI.aspx?menuIndex=3&amp;refID=7144630&amp;Result=3","7144630")</f>
        <v>0</v>
      </c>
      <c r="B7755" t="s">
        <v>2130</v>
      </c>
      <c r="C7755" t="s">
        <v>11118</v>
      </c>
      <c r="D7755" t="s">
        <v>17995</v>
      </c>
      <c r="E7755" t="s">
        <v>24844</v>
      </c>
      <c r="F7755" t="s">
        <v>30900</v>
      </c>
      <c r="G7755" t="s">
        <v>30908</v>
      </c>
      <c r="H7755" t="s">
        <v>30916</v>
      </c>
      <c r="I7755" t="s">
        <v>8123</v>
      </c>
      <c r="J7755" t="s">
        <v>35957</v>
      </c>
      <c r="K7755" t="s">
        <v>40283</v>
      </c>
      <c r="M7755" t="s">
        <v>42832</v>
      </c>
      <c r="N7755" t="s">
        <v>44759</v>
      </c>
      <c r="O7755" t="s">
        <v>44760</v>
      </c>
      <c r="P7755">
        <v>0</v>
      </c>
      <c r="Q7755">
        <v>0</v>
      </c>
      <c r="R7755" t="s">
        <v>44767</v>
      </c>
      <c r="S7755" t="s">
        <v>44954</v>
      </c>
      <c r="T7755" t="s">
        <v>46590</v>
      </c>
      <c r="U7755" t="s">
        <v>53398</v>
      </c>
      <c r="W7755" t="s">
        <v>42832</v>
      </c>
      <c r="X7755" t="s">
        <v>44768</v>
      </c>
    </row>
    <row r="7756" spans="1:24">
      <c r="A7756">
        <f>HYPERLINK("https://www.philgeps.gov.ph/GEPSNONPILOT/Tender/SplashBidNoticeAbstractUI.aspx?menuIndex=3&amp;refID=7144721&amp;Result=3","7144721")</f>
        <v>0</v>
      </c>
      <c r="B7756" t="s">
        <v>2578</v>
      </c>
      <c r="C7756" t="s">
        <v>11119</v>
      </c>
      <c r="D7756" t="s">
        <v>18019</v>
      </c>
      <c r="E7756" t="s">
        <v>22457</v>
      </c>
      <c r="F7756" t="s">
        <v>30900</v>
      </c>
      <c r="G7756" t="s">
        <v>30907</v>
      </c>
      <c r="H7756" t="s">
        <v>30916</v>
      </c>
      <c r="I7756" t="s">
        <v>8123</v>
      </c>
      <c r="J7756" t="s">
        <v>35958</v>
      </c>
      <c r="K7756" t="s">
        <v>40287</v>
      </c>
      <c r="M7756" t="s">
        <v>43337</v>
      </c>
      <c r="N7756" t="s">
        <v>44759</v>
      </c>
      <c r="O7756" t="s">
        <v>44760</v>
      </c>
      <c r="P7756">
        <v>0</v>
      </c>
      <c r="Q7756">
        <v>0</v>
      </c>
      <c r="R7756" t="s">
        <v>44767</v>
      </c>
      <c r="S7756" t="s">
        <v>44954</v>
      </c>
      <c r="T7756" t="s">
        <v>46789</v>
      </c>
      <c r="U7756" t="s">
        <v>53399</v>
      </c>
      <c r="W7756" t="s">
        <v>43337</v>
      </c>
      <c r="X7756" t="s">
        <v>44768</v>
      </c>
    </row>
    <row r="7757" spans="1:24">
      <c r="A7757">
        <f>HYPERLINK("https://www.philgeps.gov.ph/GEPSNONPILOT/Tender/SplashBidNoticeAbstractUI.aspx?menuIndex=3&amp;refID=7144675&amp;Result=3","7144675")</f>
        <v>0</v>
      </c>
      <c r="B7757" t="s">
        <v>2081</v>
      </c>
      <c r="C7757" t="s">
        <v>11120</v>
      </c>
      <c r="D7757" t="s">
        <v>18040</v>
      </c>
      <c r="E7757" t="s">
        <v>24845</v>
      </c>
      <c r="F7757" t="s">
        <v>30900</v>
      </c>
      <c r="G7757" t="s">
        <v>30909</v>
      </c>
      <c r="H7757" t="s">
        <v>30916</v>
      </c>
      <c r="I7757" t="s">
        <v>4108</v>
      </c>
      <c r="J7757" t="s">
        <v>31138</v>
      </c>
      <c r="K7757" t="s">
        <v>40286</v>
      </c>
      <c r="M7757" t="s">
        <v>42780</v>
      </c>
      <c r="N7757" t="s">
        <v>44759</v>
      </c>
      <c r="O7757" t="s">
        <v>44760</v>
      </c>
      <c r="P7757">
        <v>0</v>
      </c>
      <c r="Q7757">
        <v>5</v>
      </c>
      <c r="R7757" t="s">
        <v>44767</v>
      </c>
      <c r="S7757" t="s">
        <v>44954</v>
      </c>
      <c r="T7757" t="s">
        <v>46644</v>
      </c>
      <c r="U7757" t="s">
        <v>53366</v>
      </c>
      <c r="V7757" t="s">
        <v>59950</v>
      </c>
      <c r="W7757" t="s">
        <v>42780</v>
      </c>
      <c r="X7757" t="s">
        <v>44768</v>
      </c>
    </row>
    <row r="7758" spans="1:24">
      <c r="A7758">
        <f>HYPERLINK("https://www.philgeps.gov.ph/GEPSNONPILOT/Tender/SplashBidNoticeAbstractUI.aspx?menuIndex=3&amp;refID=7144724&amp;Result=3","7144724")</f>
        <v>0</v>
      </c>
      <c r="B7758" t="s">
        <v>2585</v>
      </c>
      <c r="C7758" t="s">
        <v>11121</v>
      </c>
      <c r="D7758" t="s">
        <v>17953</v>
      </c>
      <c r="E7758" t="s">
        <v>24846</v>
      </c>
      <c r="F7758" t="s">
        <v>30900</v>
      </c>
      <c r="G7758" t="s">
        <v>30909</v>
      </c>
      <c r="H7758" t="s">
        <v>30916</v>
      </c>
      <c r="I7758" t="s">
        <v>4142</v>
      </c>
      <c r="J7758" t="s">
        <v>35959</v>
      </c>
      <c r="K7758" t="s">
        <v>40284</v>
      </c>
      <c r="M7758" t="s">
        <v>43344</v>
      </c>
      <c r="N7758" t="s">
        <v>44759</v>
      </c>
      <c r="O7758" t="s">
        <v>44760</v>
      </c>
      <c r="P7758">
        <v>0</v>
      </c>
      <c r="Q7758">
        <v>2</v>
      </c>
      <c r="R7758" t="s">
        <v>44767</v>
      </c>
      <c r="S7758" t="s">
        <v>44954</v>
      </c>
      <c r="T7758" t="s">
        <v>46625</v>
      </c>
      <c r="U7758" t="s">
        <v>52240</v>
      </c>
      <c r="W7758" t="s">
        <v>43344</v>
      </c>
      <c r="X7758" t="s">
        <v>44768</v>
      </c>
    </row>
    <row r="7759" spans="1:24">
      <c r="A7759">
        <f>HYPERLINK("https://www.philgeps.gov.ph/GEPSNONPILOT/Tender/SplashBidNoticeAbstractUI.aspx?menuIndex=3&amp;refID=7144716&amp;Result=3","7144716")</f>
        <v>0</v>
      </c>
      <c r="B7759" t="s">
        <v>2583</v>
      </c>
      <c r="C7759" t="s">
        <v>11122</v>
      </c>
      <c r="D7759" t="s">
        <v>17998</v>
      </c>
      <c r="E7759" t="s">
        <v>24847</v>
      </c>
      <c r="F7759" t="s">
        <v>30900</v>
      </c>
      <c r="G7759" t="s">
        <v>30908</v>
      </c>
      <c r="H7759" t="s">
        <v>30916</v>
      </c>
      <c r="I7759" t="s">
        <v>8123</v>
      </c>
      <c r="J7759" t="s">
        <v>35960</v>
      </c>
      <c r="K7759" t="s">
        <v>40286</v>
      </c>
      <c r="M7759" t="s">
        <v>43342</v>
      </c>
      <c r="N7759" t="s">
        <v>44759</v>
      </c>
      <c r="O7759" t="s">
        <v>44760</v>
      </c>
      <c r="P7759">
        <v>0</v>
      </c>
      <c r="Q7759">
        <v>1</v>
      </c>
      <c r="R7759" t="s">
        <v>44767</v>
      </c>
      <c r="S7759" t="s">
        <v>44954</v>
      </c>
      <c r="T7759" t="s">
        <v>46403</v>
      </c>
      <c r="U7759" t="s">
        <v>53400</v>
      </c>
      <c r="W7759" t="s">
        <v>43342</v>
      </c>
      <c r="X7759" t="s">
        <v>44768</v>
      </c>
    </row>
    <row r="7760" spans="1:24">
      <c r="A7760">
        <f>HYPERLINK("https://www.philgeps.gov.ph/GEPSNONPILOT/Tender/SplashBidNoticeAbstractUI.aspx?menuIndex=3&amp;refID=7144711&amp;Result=3","7144711")</f>
        <v>0</v>
      </c>
      <c r="B7760" t="s">
        <v>2586</v>
      </c>
      <c r="C7760" t="s">
        <v>11123</v>
      </c>
      <c r="D7760" t="s">
        <v>18001</v>
      </c>
      <c r="E7760" t="s">
        <v>24848</v>
      </c>
      <c r="F7760" t="s">
        <v>30900</v>
      </c>
      <c r="G7760" t="s">
        <v>30909</v>
      </c>
      <c r="H7760" t="s">
        <v>30915</v>
      </c>
      <c r="I7760" t="s">
        <v>30957</v>
      </c>
      <c r="J7760" t="s">
        <v>33684</v>
      </c>
      <c r="K7760" t="s">
        <v>40286</v>
      </c>
      <c r="M7760" t="s">
        <v>43345</v>
      </c>
      <c r="N7760" t="s">
        <v>44759</v>
      </c>
      <c r="O7760" t="s">
        <v>44760</v>
      </c>
      <c r="P7760">
        <v>0</v>
      </c>
      <c r="Q7760">
        <v>0</v>
      </c>
      <c r="R7760" t="s">
        <v>44767</v>
      </c>
      <c r="S7760" t="s">
        <v>44954</v>
      </c>
      <c r="T7760" t="s">
        <v>46700</v>
      </c>
      <c r="U7760" t="s">
        <v>53401</v>
      </c>
      <c r="W7760" t="s">
        <v>43345</v>
      </c>
      <c r="X7760" t="s">
        <v>44768</v>
      </c>
    </row>
    <row r="7761" spans="1:24">
      <c r="A7761">
        <f>HYPERLINK("https://www.philgeps.gov.ph/GEPSNONPILOT/Tender/SplashBidNoticeAbstractUI.aspx?menuIndex=3&amp;refID=7144710&amp;Result=3","7144710")</f>
        <v>0</v>
      </c>
      <c r="B7761" t="s">
        <v>2144</v>
      </c>
      <c r="C7761" t="s">
        <v>11124</v>
      </c>
      <c r="D7761" t="s">
        <v>17957</v>
      </c>
      <c r="E7761" t="s">
        <v>18745</v>
      </c>
      <c r="F7761" t="s">
        <v>30900</v>
      </c>
      <c r="G7761" t="s">
        <v>30907</v>
      </c>
      <c r="H7761" t="s">
        <v>30916</v>
      </c>
      <c r="I7761" t="s">
        <v>30918</v>
      </c>
      <c r="J7761" t="s">
        <v>31669</v>
      </c>
      <c r="K7761" t="s">
        <v>40286</v>
      </c>
      <c r="M7761" t="s">
        <v>42847</v>
      </c>
      <c r="N7761" t="s">
        <v>44759</v>
      </c>
      <c r="O7761" t="s">
        <v>44760</v>
      </c>
      <c r="P7761">
        <v>0</v>
      </c>
      <c r="Q7761">
        <v>8</v>
      </c>
      <c r="R7761" t="s">
        <v>44767</v>
      </c>
      <c r="S7761" t="s">
        <v>44954</v>
      </c>
      <c r="T7761" t="s">
        <v>46534</v>
      </c>
      <c r="U7761" t="s">
        <v>53402</v>
      </c>
      <c r="W7761" t="s">
        <v>42847</v>
      </c>
      <c r="X7761" t="s">
        <v>44768</v>
      </c>
    </row>
    <row r="7762" spans="1:24">
      <c r="A7762">
        <f>HYPERLINK("https://www.philgeps.gov.ph/GEPSNONPILOT/Tender/SplashBidNoticeAbstractUI.aspx?menuIndex=3&amp;refID=7144708&amp;Result=3","7144708")</f>
        <v>0</v>
      </c>
      <c r="B7762" t="s">
        <v>2562</v>
      </c>
      <c r="C7762" t="s">
        <v>11125</v>
      </c>
      <c r="D7762" t="s">
        <v>18005</v>
      </c>
      <c r="E7762" t="s">
        <v>24849</v>
      </c>
      <c r="F7762" t="s">
        <v>30900</v>
      </c>
      <c r="G7762" t="s">
        <v>30909</v>
      </c>
      <c r="H7762" t="s">
        <v>30916</v>
      </c>
      <c r="I7762" t="s">
        <v>6953</v>
      </c>
      <c r="J7762" t="s">
        <v>31341</v>
      </c>
      <c r="K7762" t="s">
        <v>40289</v>
      </c>
      <c r="M7762" t="s">
        <v>43320</v>
      </c>
      <c r="N7762" t="s">
        <v>44759</v>
      </c>
      <c r="O7762" t="s">
        <v>44760</v>
      </c>
      <c r="P7762">
        <v>0</v>
      </c>
      <c r="Q7762">
        <v>0</v>
      </c>
      <c r="R7762" t="s">
        <v>44767</v>
      </c>
      <c r="S7762" t="s">
        <v>44954</v>
      </c>
      <c r="T7762" t="s">
        <v>46533</v>
      </c>
      <c r="U7762" t="s">
        <v>53310</v>
      </c>
      <c r="V7762" t="s">
        <v>59951</v>
      </c>
      <c r="W7762" t="s">
        <v>60894</v>
      </c>
      <c r="X7762" t="s">
        <v>44768</v>
      </c>
    </row>
    <row r="7763" spans="1:24">
      <c r="A7763">
        <f>HYPERLINK("https://www.philgeps.gov.ph/GEPSNONPILOT/Tender/SplashBidNoticeAbstractUI.aspx?menuIndex=3&amp;refID=7144722&amp;Result=3","7144722")</f>
        <v>0</v>
      </c>
      <c r="B7763" t="s">
        <v>2197</v>
      </c>
      <c r="C7763" t="s">
        <v>11126</v>
      </c>
      <c r="D7763" t="s">
        <v>17972</v>
      </c>
      <c r="E7763" t="s">
        <v>24850</v>
      </c>
      <c r="F7763" t="s">
        <v>30900</v>
      </c>
      <c r="G7763" t="s">
        <v>30907</v>
      </c>
      <c r="H7763" t="s">
        <v>30916</v>
      </c>
      <c r="I7763" t="s">
        <v>30928</v>
      </c>
      <c r="J7763" t="s">
        <v>35961</v>
      </c>
      <c r="K7763" t="s">
        <v>40280</v>
      </c>
      <c r="M7763" t="s">
        <v>42904</v>
      </c>
      <c r="N7763" t="s">
        <v>44759</v>
      </c>
      <c r="O7763" t="s">
        <v>44760</v>
      </c>
      <c r="P7763">
        <v>0</v>
      </c>
      <c r="Q7763">
        <v>3</v>
      </c>
      <c r="R7763" t="s">
        <v>44767</v>
      </c>
      <c r="S7763" t="s">
        <v>44954</v>
      </c>
      <c r="T7763" t="s">
        <v>46449</v>
      </c>
      <c r="U7763" t="s">
        <v>53403</v>
      </c>
      <c r="V7763" t="s">
        <v>59952</v>
      </c>
      <c r="W7763" t="s">
        <v>42904</v>
      </c>
      <c r="X7763" t="s">
        <v>44768</v>
      </c>
    </row>
    <row r="7764" spans="1:24">
      <c r="A7764">
        <f>HYPERLINK("https://www.philgeps.gov.ph/GEPSNONPILOT/Tender/SplashBidNoticeAbstractUI.aspx?menuIndex=3&amp;refID=7144719&amp;Result=3","7144719")</f>
        <v>0</v>
      </c>
      <c r="B7764" t="s">
        <v>2466</v>
      </c>
      <c r="C7764" t="s">
        <v>11127</v>
      </c>
      <c r="D7764" t="s">
        <v>17995</v>
      </c>
      <c r="E7764" t="s">
        <v>24851</v>
      </c>
      <c r="F7764" t="s">
        <v>30900</v>
      </c>
      <c r="G7764" t="s">
        <v>30907</v>
      </c>
      <c r="H7764" t="s">
        <v>30916</v>
      </c>
      <c r="I7764" t="s">
        <v>30943</v>
      </c>
      <c r="J7764" t="s">
        <v>35118</v>
      </c>
      <c r="K7764" t="s">
        <v>40286</v>
      </c>
      <c r="M7764" t="s">
        <v>43204</v>
      </c>
      <c r="N7764" t="s">
        <v>44759</v>
      </c>
      <c r="O7764" t="s">
        <v>44760</v>
      </c>
      <c r="P7764">
        <v>0</v>
      </c>
      <c r="Q7764">
        <v>7</v>
      </c>
      <c r="R7764" t="s">
        <v>44767</v>
      </c>
      <c r="S7764" t="s">
        <v>44954</v>
      </c>
      <c r="T7764" t="s">
        <v>46397</v>
      </c>
      <c r="U7764" t="s">
        <v>53404</v>
      </c>
      <c r="W7764" t="s">
        <v>43204</v>
      </c>
      <c r="X7764" t="s">
        <v>44768</v>
      </c>
    </row>
    <row r="7765" spans="1:24">
      <c r="A7765">
        <f>HYPERLINK("https://www.philgeps.gov.ph/GEPSNONPILOT/Tender/SplashBidNoticeAbstractUI.aspx?menuIndex=3&amp;refID=7144766&amp;Result=3","7144766")</f>
        <v>0</v>
      </c>
      <c r="B7765" t="s">
        <v>1500</v>
      </c>
      <c r="C7765" t="s">
        <v>11128</v>
      </c>
      <c r="D7765" t="s">
        <v>17978</v>
      </c>
      <c r="E7765" t="s">
        <v>24852</v>
      </c>
      <c r="F7765" t="s">
        <v>30900</v>
      </c>
      <c r="G7765" t="s">
        <v>30907</v>
      </c>
      <c r="H7765" t="s">
        <v>30916</v>
      </c>
      <c r="I7765" t="s">
        <v>31021</v>
      </c>
      <c r="J7765" t="s">
        <v>31313</v>
      </c>
      <c r="K7765" t="s">
        <v>40283</v>
      </c>
      <c r="M7765" t="s">
        <v>43287</v>
      </c>
      <c r="N7765" t="s">
        <v>44759</v>
      </c>
      <c r="O7765" t="s">
        <v>44760</v>
      </c>
      <c r="P7765">
        <v>0</v>
      </c>
      <c r="Q7765">
        <v>0</v>
      </c>
      <c r="R7765" t="s">
        <v>44767</v>
      </c>
      <c r="S7765" t="s">
        <v>44954</v>
      </c>
      <c r="T7765" t="s">
        <v>46785</v>
      </c>
      <c r="U7765" t="s">
        <v>53334</v>
      </c>
      <c r="W7765" t="s">
        <v>43287</v>
      </c>
      <c r="X7765" t="s">
        <v>44768</v>
      </c>
    </row>
    <row r="7766" spans="1:24">
      <c r="A7766">
        <f>HYPERLINK("https://www.philgeps.gov.ph/GEPSNONPILOT/Tender/SplashBidNoticeAbstractUI.aspx?menuIndex=3&amp;refID=7144707&amp;Result=3","7144707")</f>
        <v>0</v>
      </c>
      <c r="B7766" t="s">
        <v>44</v>
      </c>
      <c r="C7766" t="s">
        <v>11129</v>
      </c>
      <c r="D7766" t="s">
        <v>17969</v>
      </c>
      <c r="E7766" t="s">
        <v>24853</v>
      </c>
      <c r="F7766" t="s">
        <v>30900</v>
      </c>
      <c r="G7766" t="s">
        <v>30907</v>
      </c>
      <c r="H7766" t="s">
        <v>30916</v>
      </c>
      <c r="I7766" t="s">
        <v>30933</v>
      </c>
      <c r="J7766" t="s">
        <v>35962</v>
      </c>
      <c r="K7766" t="s">
        <v>40284</v>
      </c>
      <c r="M7766" t="s">
        <v>40590</v>
      </c>
      <c r="N7766" t="s">
        <v>44759</v>
      </c>
      <c r="O7766" t="s">
        <v>44760</v>
      </c>
      <c r="P7766">
        <v>0</v>
      </c>
      <c r="Q7766">
        <v>2</v>
      </c>
      <c r="R7766" t="s">
        <v>44767</v>
      </c>
      <c r="S7766" t="s">
        <v>44954</v>
      </c>
      <c r="T7766" t="s">
        <v>46378</v>
      </c>
      <c r="U7766" t="s">
        <v>53405</v>
      </c>
      <c r="W7766" t="s">
        <v>40590</v>
      </c>
      <c r="X7766" t="s">
        <v>44768</v>
      </c>
    </row>
    <row r="7767" spans="1:24">
      <c r="A7767">
        <f>HYPERLINK("https://www.philgeps.gov.ph/GEPSNONPILOT/Tender/SplashBidNoticeAbstractUI.aspx?menuIndex=3&amp;refID=7144765&amp;Result=3","7144765")</f>
        <v>0</v>
      </c>
      <c r="B7767" t="s">
        <v>358</v>
      </c>
      <c r="C7767" t="s">
        <v>11130</v>
      </c>
      <c r="D7767" t="s">
        <v>17996</v>
      </c>
      <c r="E7767" t="s">
        <v>24854</v>
      </c>
      <c r="F7767" t="s">
        <v>30900</v>
      </c>
      <c r="G7767" t="s">
        <v>30908</v>
      </c>
      <c r="H7767" t="s">
        <v>30916</v>
      </c>
      <c r="I7767" t="s">
        <v>4108</v>
      </c>
      <c r="J7767" t="s">
        <v>35963</v>
      </c>
      <c r="K7767" t="s">
        <v>40314</v>
      </c>
      <c r="L7767" t="s">
        <v>358</v>
      </c>
      <c r="M7767" t="s">
        <v>40912</v>
      </c>
      <c r="N7767" t="s">
        <v>44759</v>
      </c>
      <c r="O7767" t="s">
        <v>44760</v>
      </c>
      <c r="Q7767">
        <v>2</v>
      </c>
      <c r="R7767" t="s">
        <v>44767</v>
      </c>
      <c r="S7767" t="s">
        <v>44924</v>
      </c>
      <c r="T7767" t="s">
        <v>46474</v>
      </c>
      <c r="U7767" t="s">
        <v>47511</v>
      </c>
      <c r="W7767" t="s">
        <v>40912</v>
      </c>
      <c r="X7767" t="s">
        <v>44768</v>
      </c>
    </row>
    <row r="7768" spans="1:24">
      <c r="A7768">
        <f>HYPERLINK("https://www.philgeps.gov.ph/GEPSNONPILOT/Tender/SplashBidNoticeAbstractUI.aspx?menuIndex=3&amp;refID=7144762&amp;Result=3","7144762")</f>
        <v>0</v>
      </c>
      <c r="B7768" t="s">
        <v>854</v>
      </c>
      <c r="C7768" t="s">
        <v>11131</v>
      </c>
      <c r="D7768" t="s">
        <v>17963</v>
      </c>
      <c r="E7768" t="s">
        <v>24855</v>
      </c>
      <c r="F7768" t="s">
        <v>30900</v>
      </c>
      <c r="G7768" t="s">
        <v>30907</v>
      </c>
      <c r="H7768" t="s">
        <v>30916</v>
      </c>
      <c r="I7768" t="s">
        <v>6746</v>
      </c>
      <c r="J7768" t="s">
        <v>31066</v>
      </c>
      <c r="K7768" t="s">
        <v>40287</v>
      </c>
      <c r="M7768" t="s">
        <v>41427</v>
      </c>
      <c r="N7768" t="s">
        <v>44759</v>
      </c>
      <c r="O7768" t="s">
        <v>44760</v>
      </c>
      <c r="P7768">
        <v>0</v>
      </c>
      <c r="Q7768">
        <v>0</v>
      </c>
      <c r="R7768" t="s">
        <v>44767</v>
      </c>
      <c r="S7768" t="s">
        <v>44954</v>
      </c>
      <c r="T7768" t="s">
        <v>46533</v>
      </c>
      <c r="U7768" t="s">
        <v>53406</v>
      </c>
      <c r="V7768" t="s">
        <v>59319</v>
      </c>
      <c r="W7768" t="s">
        <v>41427</v>
      </c>
      <c r="X7768" t="s">
        <v>44768</v>
      </c>
    </row>
    <row r="7769" spans="1:24">
      <c r="A7769">
        <f>HYPERLINK("https://www.philgeps.gov.ph/GEPSNONPILOT/Tender/SplashBidNoticeAbstractUI.aspx?menuIndex=3&amp;refID=7144726&amp;Result=3","7144726")</f>
        <v>0</v>
      </c>
      <c r="B7769" t="s">
        <v>2081</v>
      </c>
      <c r="C7769" t="s">
        <v>11132</v>
      </c>
      <c r="D7769" t="s">
        <v>17980</v>
      </c>
      <c r="E7769" t="s">
        <v>24856</v>
      </c>
      <c r="F7769" t="s">
        <v>30900</v>
      </c>
      <c r="G7769" t="s">
        <v>30909</v>
      </c>
      <c r="H7769" t="s">
        <v>30916</v>
      </c>
      <c r="I7769" t="s">
        <v>4108</v>
      </c>
      <c r="J7769" t="s">
        <v>32818</v>
      </c>
      <c r="K7769" t="s">
        <v>40286</v>
      </c>
      <c r="M7769" t="s">
        <v>42780</v>
      </c>
      <c r="N7769" t="s">
        <v>44759</v>
      </c>
      <c r="O7769" t="s">
        <v>44760</v>
      </c>
      <c r="P7769">
        <v>0</v>
      </c>
      <c r="Q7769">
        <v>5</v>
      </c>
      <c r="R7769" t="s">
        <v>44767</v>
      </c>
      <c r="S7769" t="s">
        <v>44954</v>
      </c>
      <c r="T7769" t="s">
        <v>46644</v>
      </c>
      <c r="U7769" t="s">
        <v>53366</v>
      </c>
      <c r="V7769" t="s">
        <v>59750</v>
      </c>
      <c r="W7769" t="s">
        <v>42780</v>
      </c>
      <c r="X7769" t="s">
        <v>44768</v>
      </c>
    </row>
    <row r="7770" spans="1:24">
      <c r="A7770">
        <f>HYPERLINK("https://www.philgeps.gov.ph/GEPSNONPILOT/Tender/SplashBidNoticeAbstractUI.aspx?menuIndex=3&amp;refID=7144761&amp;Result=3","7144761")</f>
        <v>0</v>
      </c>
      <c r="B7770" t="s">
        <v>1043</v>
      </c>
      <c r="C7770" t="s">
        <v>11133</v>
      </c>
      <c r="D7770" t="s">
        <v>18000</v>
      </c>
      <c r="E7770" t="s">
        <v>24857</v>
      </c>
      <c r="F7770" t="s">
        <v>30900</v>
      </c>
      <c r="G7770" t="s">
        <v>30907</v>
      </c>
      <c r="H7770" t="s">
        <v>30915</v>
      </c>
      <c r="I7770" t="s">
        <v>30919</v>
      </c>
      <c r="J7770" t="s">
        <v>35964</v>
      </c>
      <c r="K7770" t="s">
        <v>40289</v>
      </c>
      <c r="M7770" t="s">
        <v>43271</v>
      </c>
      <c r="N7770" t="s">
        <v>44759</v>
      </c>
      <c r="O7770" t="s">
        <v>44760</v>
      </c>
      <c r="P7770">
        <v>0</v>
      </c>
      <c r="Q7770">
        <v>1</v>
      </c>
      <c r="R7770" t="s">
        <v>44767</v>
      </c>
      <c r="S7770" t="s">
        <v>44954</v>
      </c>
      <c r="T7770" t="s">
        <v>46515</v>
      </c>
      <c r="U7770" t="s">
        <v>53407</v>
      </c>
      <c r="W7770" t="s">
        <v>43271</v>
      </c>
      <c r="X7770" t="s">
        <v>44768</v>
      </c>
    </row>
    <row r="7771" spans="1:24">
      <c r="A7771">
        <f>HYPERLINK("https://www.philgeps.gov.ph/GEPSNONPILOT/Tender/SplashBidNoticeAbstractUI.aspx?menuIndex=3&amp;refID=7144757&amp;Result=3","7144757")</f>
        <v>0</v>
      </c>
      <c r="B7771" t="s">
        <v>1931</v>
      </c>
      <c r="C7771" t="s">
        <v>11134</v>
      </c>
      <c r="D7771" t="s">
        <v>18004</v>
      </c>
      <c r="E7771" t="s">
        <v>24858</v>
      </c>
      <c r="F7771" t="s">
        <v>30900</v>
      </c>
      <c r="G7771" t="s">
        <v>30906</v>
      </c>
      <c r="H7771" t="s">
        <v>30916</v>
      </c>
      <c r="I7771" t="s">
        <v>31025</v>
      </c>
      <c r="J7771" t="s">
        <v>35965</v>
      </c>
      <c r="K7771" t="s">
        <v>40280</v>
      </c>
      <c r="M7771" t="s">
        <v>43346</v>
      </c>
      <c r="N7771" t="s">
        <v>44759</v>
      </c>
      <c r="O7771" t="s">
        <v>44760</v>
      </c>
      <c r="P7771">
        <v>0</v>
      </c>
      <c r="Q7771">
        <v>4</v>
      </c>
      <c r="R7771" t="s">
        <v>44767</v>
      </c>
      <c r="S7771" t="s">
        <v>44954</v>
      </c>
      <c r="T7771" t="s">
        <v>46658</v>
      </c>
      <c r="U7771" t="s">
        <v>53408</v>
      </c>
      <c r="W7771" t="s">
        <v>43346</v>
      </c>
      <c r="X7771" t="s">
        <v>44768</v>
      </c>
    </row>
    <row r="7772" spans="1:24">
      <c r="A7772">
        <f>HYPERLINK("https://www.philgeps.gov.ph/GEPSNONPILOT/Tender/SplashBidNoticeAbstractUI.aspx?menuIndex=3&amp;refID=7144753&amp;Result=3","7144753")</f>
        <v>0</v>
      </c>
      <c r="B7772" t="s">
        <v>1101</v>
      </c>
      <c r="C7772" t="s">
        <v>11135</v>
      </c>
      <c r="D7772" t="s">
        <v>17951</v>
      </c>
      <c r="E7772" t="s">
        <v>24859</v>
      </c>
      <c r="F7772" t="s">
        <v>30900</v>
      </c>
      <c r="G7772" t="s">
        <v>30908</v>
      </c>
      <c r="H7772" t="s">
        <v>30916</v>
      </c>
      <c r="I7772" t="s">
        <v>4545</v>
      </c>
      <c r="J7772" t="s">
        <v>31135</v>
      </c>
      <c r="K7772" t="s">
        <v>40286</v>
      </c>
      <c r="M7772" t="s">
        <v>41701</v>
      </c>
      <c r="N7772" t="s">
        <v>44759</v>
      </c>
      <c r="O7772" t="s">
        <v>44760</v>
      </c>
      <c r="P7772">
        <v>0</v>
      </c>
      <c r="Q7772">
        <v>1</v>
      </c>
      <c r="R7772" t="s">
        <v>44767</v>
      </c>
      <c r="S7772" t="s">
        <v>44954</v>
      </c>
      <c r="T7772" t="s">
        <v>46533</v>
      </c>
      <c r="U7772" t="s">
        <v>53409</v>
      </c>
      <c r="V7772" t="s">
        <v>59854</v>
      </c>
      <c r="W7772" t="s">
        <v>41701</v>
      </c>
      <c r="X7772" t="s">
        <v>44768</v>
      </c>
    </row>
    <row r="7773" spans="1:24">
      <c r="A7773">
        <f>HYPERLINK("https://www.philgeps.gov.ph/GEPSNONPILOT/Tender/SplashBidNoticeAbstractUI.aspx?menuIndex=3&amp;refID=7144749&amp;Result=3","7144749")</f>
        <v>0</v>
      </c>
      <c r="B7773" t="s">
        <v>1043</v>
      </c>
      <c r="C7773" t="s">
        <v>11136</v>
      </c>
      <c r="D7773" t="s">
        <v>18000</v>
      </c>
      <c r="E7773" t="s">
        <v>24860</v>
      </c>
      <c r="F7773" t="s">
        <v>30900</v>
      </c>
      <c r="G7773" t="s">
        <v>30907</v>
      </c>
      <c r="H7773" t="s">
        <v>30915</v>
      </c>
      <c r="I7773" t="s">
        <v>30919</v>
      </c>
      <c r="J7773" t="s">
        <v>35966</v>
      </c>
      <c r="K7773" t="s">
        <v>40289</v>
      </c>
      <c r="M7773" t="s">
        <v>43271</v>
      </c>
      <c r="N7773" t="s">
        <v>44759</v>
      </c>
      <c r="O7773" t="s">
        <v>44760</v>
      </c>
      <c r="P7773">
        <v>0</v>
      </c>
      <c r="Q7773">
        <v>0</v>
      </c>
      <c r="R7773" t="s">
        <v>44767</v>
      </c>
      <c r="S7773" t="s">
        <v>44954</v>
      </c>
      <c r="T7773" t="s">
        <v>46515</v>
      </c>
      <c r="U7773" t="s">
        <v>53410</v>
      </c>
      <c r="W7773" t="s">
        <v>43271</v>
      </c>
      <c r="X7773" t="s">
        <v>44768</v>
      </c>
    </row>
    <row r="7774" spans="1:24">
      <c r="A7774">
        <f>HYPERLINK("https://www.philgeps.gov.ph/GEPSNONPILOT/Tender/SplashBidNoticeAbstractUI.aspx?menuIndex=3&amp;refID=7144649&amp;Result=3","7144649")</f>
        <v>0</v>
      </c>
      <c r="B7774" t="s">
        <v>2402</v>
      </c>
      <c r="C7774" t="s">
        <v>11137</v>
      </c>
      <c r="D7774" t="s">
        <v>17998</v>
      </c>
      <c r="E7774" t="s">
        <v>24861</v>
      </c>
      <c r="F7774" t="s">
        <v>30900</v>
      </c>
      <c r="G7774" t="s">
        <v>30908</v>
      </c>
      <c r="H7774" t="s">
        <v>30916</v>
      </c>
      <c r="I7774" t="s">
        <v>6396</v>
      </c>
      <c r="J7774" t="s">
        <v>35967</v>
      </c>
      <c r="K7774" t="s">
        <v>40288</v>
      </c>
      <c r="M7774" t="s">
        <v>43129</v>
      </c>
      <c r="N7774" t="s">
        <v>44759</v>
      </c>
      <c r="O7774" t="s">
        <v>44760</v>
      </c>
      <c r="P7774">
        <v>0</v>
      </c>
      <c r="Q7774">
        <v>2</v>
      </c>
      <c r="R7774" t="s">
        <v>44767</v>
      </c>
      <c r="S7774" t="s">
        <v>44954</v>
      </c>
      <c r="T7774" t="s">
        <v>46457</v>
      </c>
      <c r="U7774" t="s">
        <v>53411</v>
      </c>
      <c r="W7774" t="s">
        <v>43129</v>
      </c>
      <c r="X7774" t="s">
        <v>44768</v>
      </c>
    </row>
    <row r="7775" spans="1:24">
      <c r="A7775">
        <f>HYPERLINK("https://www.philgeps.gov.ph/GEPSNONPILOT/Tender/SplashBidNoticeAbstractUI.aspx?menuIndex=3&amp;refID=7144746&amp;Result=3","7144746")</f>
        <v>0</v>
      </c>
      <c r="B7775" t="s">
        <v>754</v>
      </c>
      <c r="C7775" t="s">
        <v>11138</v>
      </c>
      <c r="D7775" t="s">
        <v>17961</v>
      </c>
      <c r="E7775" t="s">
        <v>24862</v>
      </c>
      <c r="F7775" t="s">
        <v>30900</v>
      </c>
      <c r="G7775" t="s">
        <v>30908</v>
      </c>
      <c r="H7775" t="s">
        <v>30916</v>
      </c>
      <c r="I7775" t="s">
        <v>4142</v>
      </c>
      <c r="J7775" t="s">
        <v>35968</v>
      </c>
      <c r="K7775" t="s">
        <v>40289</v>
      </c>
      <c r="M7775" t="s">
        <v>41318</v>
      </c>
      <c r="N7775" t="s">
        <v>44759</v>
      </c>
      <c r="O7775" t="s">
        <v>44760</v>
      </c>
      <c r="P7775">
        <v>0</v>
      </c>
      <c r="Q7775">
        <v>2</v>
      </c>
      <c r="R7775" t="s">
        <v>44767</v>
      </c>
      <c r="S7775" t="s">
        <v>44954</v>
      </c>
      <c r="T7775" t="s">
        <v>46538</v>
      </c>
      <c r="U7775" t="s">
        <v>53412</v>
      </c>
      <c r="W7775" t="s">
        <v>41318</v>
      </c>
      <c r="X7775" t="s">
        <v>44768</v>
      </c>
    </row>
    <row r="7776" spans="1:24">
      <c r="A7776">
        <f>HYPERLINK("https://www.philgeps.gov.ph/GEPSNONPILOT/Tender/SplashBidNoticeAbstractUI.aspx?menuIndex=3&amp;refID=7144706&amp;Result=3","7144706")</f>
        <v>0</v>
      </c>
      <c r="B7776" t="s">
        <v>223</v>
      </c>
      <c r="C7776" t="s">
        <v>11139</v>
      </c>
      <c r="D7776" t="s">
        <v>18002</v>
      </c>
      <c r="E7776" t="s">
        <v>24863</v>
      </c>
      <c r="F7776" t="s">
        <v>30900</v>
      </c>
      <c r="G7776" t="s">
        <v>30907</v>
      </c>
      <c r="H7776" t="s">
        <v>30916</v>
      </c>
      <c r="I7776" t="s">
        <v>9385</v>
      </c>
      <c r="J7776" t="s">
        <v>35969</v>
      </c>
      <c r="K7776" t="s">
        <v>40289</v>
      </c>
      <c r="M7776" t="s">
        <v>43321</v>
      </c>
      <c r="N7776" t="s">
        <v>44759</v>
      </c>
      <c r="O7776" t="s">
        <v>44760</v>
      </c>
      <c r="P7776">
        <v>0</v>
      </c>
      <c r="Q7776">
        <v>36</v>
      </c>
      <c r="R7776" t="s">
        <v>44767</v>
      </c>
      <c r="S7776" t="s">
        <v>44954</v>
      </c>
      <c r="T7776" t="s">
        <v>46784</v>
      </c>
      <c r="U7776" t="s">
        <v>53413</v>
      </c>
      <c r="V7776" t="s">
        <v>59953</v>
      </c>
      <c r="W7776" t="s">
        <v>43321</v>
      </c>
      <c r="X7776" t="s">
        <v>44768</v>
      </c>
    </row>
    <row r="7777" spans="1:24">
      <c r="A7777">
        <f>HYPERLINK("https://www.philgeps.gov.ph/GEPSNONPILOT/Tender/SplashBidNoticeAbstractUI.aspx?menuIndex=3&amp;refID=7144769&amp;Result=3","7144769")</f>
        <v>0</v>
      </c>
      <c r="B7777" t="s">
        <v>1961</v>
      </c>
      <c r="C7777" t="s">
        <v>11140</v>
      </c>
      <c r="D7777" t="s">
        <v>17969</v>
      </c>
      <c r="E7777" t="s">
        <v>24864</v>
      </c>
      <c r="F7777" t="s">
        <v>30900</v>
      </c>
      <c r="G7777" t="s">
        <v>30907</v>
      </c>
      <c r="H7777" t="s">
        <v>30916</v>
      </c>
      <c r="I7777" t="s">
        <v>30941</v>
      </c>
      <c r="J7777" t="s">
        <v>35970</v>
      </c>
      <c r="K7777" t="s">
        <v>40319</v>
      </c>
      <c r="M7777" t="s">
        <v>42645</v>
      </c>
      <c r="N7777" t="s">
        <v>44759</v>
      </c>
      <c r="O7777" t="s">
        <v>44760</v>
      </c>
      <c r="P7777">
        <v>0</v>
      </c>
      <c r="Q7777">
        <v>1</v>
      </c>
      <c r="R7777" t="s">
        <v>44767</v>
      </c>
      <c r="S7777" t="s">
        <v>44954</v>
      </c>
      <c r="T7777" t="s">
        <v>46790</v>
      </c>
      <c r="U7777" t="s">
        <v>51467</v>
      </c>
      <c r="W7777" t="s">
        <v>42645</v>
      </c>
      <c r="X7777" t="s">
        <v>44768</v>
      </c>
    </row>
    <row r="7778" spans="1:24">
      <c r="A7778">
        <f>HYPERLINK("https://www.philgeps.gov.ph/GEPSNONPILOT/Tender/SplashBidNoticeAbstractUI.aspx?menuIndex=3&amp;refID=7144760&amp;Result=3","7144760")</f>
        <v>0</v>
      </c>
      <c r="B7778" t="s">
        <v>585</v>
      </c>
      <c r="C7778" t="s">
        <v>11141</v>
      </c>
      <c r="E7778" t="s">
        <v>24865</v>
      </c>
      <c r="F7778" t="s">
        <v>30900</v>
      </c>
      <c r="G7778" t="s">
        <v>30907</v>
      </c>
      <c r="H7778" t="s">
        <v>30916</v>
      </c>
      <c r="I7778" t="s">
        <v>4061</v>
      </c>
      <c r="J7778" t="s">
        <v>31241</v>
      </c>
      <c r="K7778" t="s">
        <v>40289</v>
      </c>
      <c r="M7778" t="s">
        <v>43347</v>
      </c>
      <c r="N7778" t="s">
        <v>44759</v>
      </c>
      <c r="O7778" t="s">
        <v>44760</v>
      </c>
      <c r="P7778">
        <v>0</v>
      </c>
      <c r="Q7778">
        <v>1</v>
      </c>
      <c r="R7778" t="s">
        <v>44767</v>
      </c>
      <c r="S7778" t="s">
        <v>44954</v>
      </c>
      <c r="T7778" t="s">
        <v>46539</v>
      </c>
      <c r="U7778" t="s">
        <v>53414</v>
      </c>
      <c r="V7778" t="s">
        <v>59954</v>
      </c>
      <c r="W7778" t="s">
        <v>43347</v>
      </c>
      <c r="X7778" t="s">
        <v>44768</v>
      </c>
    </row>
    <row r="7779" spans="1:24">
      <c r="A7779">
        <f>HYPERLINK("https://www.philgeps.gov.ph/GEPSNONPILOT/Tender/SplashBidNoticeAbstractUI.aspx?menuIndex=3&amp;refID=7144754&amp;Result=3","7144754")</f>
        <v>0</v>
      </c>
      <c r="B7779" t="s">
        <v>2127</v>
      </c>
      <c r="C7779" t="s">
        <v>11142</v>
      </c>
      <c r="E7779" t="s">
        <v>24866</v>
      </c>
      <c r="F7779" t="s">
        <v>30900</v>
      </c>
      <c r="G7779" t="s">
        <v>30908</v>
      </c>
      <c r="H7779" t="s">
        <v>30916</v>
      </c>
      <c r="I7779" t="s">
        <v>30923</v>
      </c>
      <c r="J7779" t="s">
        <v>35971</v>
      </c>
      <c r="K7779" t="s">
        <v>40286</v>
      </c>
      <c r="M7779" t="s">
        <v>42829</v>
      </c>
      <c r="N7779" t="s">
        <v>44759</v>
      </c>
      <c r="O7779" t="s">
        <v>44760</v>
      </c>
      <c r="P7779">
        <v>0</v>
      </c>
      <c r="Q7779">
        <v>1</v>
      </c>
      <c r="R7779" t="s">
        <v>44767</v>
      </c>
      <c r="S7779" t="s">
        <v>44954</v>
      </c>
      <c r="T7779" t="s">
        <v>46623</v>
      </c>
      <c r="U7779" t="s">
        <v>53415</v>
      </c>
      <c r="W7779" t="s">
        <v>42829</v>
      </c>
      <c r="X7779" t="s">
        <v>44768</v>
      </c>
    </row>
    <row r="7780" spans="1:24">
      <c r="A7780">
        <f>HYPERLINK("https://www.philgeps.gov.ph/GEPSNONPILOT/Tender/SplashBidNoticeAbstractUI.aspx?menuIndex=3&amp;refID=7144767&amp;Result=3","7144767")</f>
        <v>0</v>
      </c>
      <c r="B7780" t="s">
        <v>2561</v>
      </c>
      <c r="C7780" t="s">
        <v>11143</v>
      </c>
      <c r="D7780" t="s">
        <v>17951</v>
      </c>
      <c r="E7780" t="s">
        <v>24867</v>
      </c>
      <c r="F7780" t="s">
        <v>30900</v>
      </c>
      <c r="G7780" t="s">
        <v>30907</v>
      </c>
      <c r="H7780" t="s">
        <v>30916</v>
      </c>
      <c r="I7780" t="s">
        <v>9385</v>
      </c>
      <c r="J7780" t="s">
        <v>35972</v>
      </c>
      <c r="K7780" t="s">
        <v>40286</v>
      </c>
      <c r="M7780" t="s">
        <v>43319</v>
      </c>
      <c r="N7780" t="s">
        <v>44759</v>
      </c>
      <c r="O7780" t="s">
        <v>44760</v>
      </c>
      <c r="P7780">
        <v>0</v>
      </c>
      <c r="Q7780">
        <v>8</v>
      </c>
      <c r="R7780" t="s">
        <v>44767</v>
      </c>
      <c r="S7780" t="s">
        <v>44954</v>
      </c>
      <c r="T7780" t="s">
        <v>46495</v>
      </c>
      <c r="U7780" t="s">
        <v>53416</v>
      </c>
      <c r="W7780" t="s">
        <v>43319</v>
      </c>
      <c r="X7780" t="s">
        <v>44768</v>
      </c>
    </row>
    <row r="7781" spans="1:24">
      <c r="A7781">
        <f>HYPERLINK("https://www.philgeps.gov.ph/GEPSNONPILOT/Tender/SplashBidNoticeAbstractUI.aspx?menuIndex=3&amp;refID=7144802&amp;Result=3","7144802")</f>
        <v>0</v>
      </c>
      <c r="B7781" t="s">
        <v>2587</v>
      </c>
      <c r="C7781" t="s">
        <v>11144</v>
      </c>
      <c r="D7781" t="s">
        <v>17975</v>
      </c>
      <c r="E7781" t="s">
        <v>24868</v>
      </c>
      <c r="F7781" t="s">
        <v>30900</v>
      </c>
      <c r="G7781" t="s">
        <v>30908</v>
      </c>
      <c r="H7781" t="s">
        <v>30916</v>
      </c>
      <c r="I7781" t="s">
        <v>6953</v>
      </c>
      <c r="J7781" t="s">
        <v>35973</v>
      </c>
      <c r="K7781" t="s">
        <v>40284</v>
      </c>
      <c r="M7781" t="s">
        <v>43348</v>
      </c>
      <c r="N7781" t="s">
        <v>44759</v>
      </c>
      <c r="O7781" t="s">
        <v>44760</v>
      </c>
      <c r="P7781">
        <v>0</v>
      </c>
      <c r="Q7781">
        <v>1</v>
      </c>
      <c r="R7781" t="s">
        <v>44767</v>
      </c>
      <c r="S7781" t="s">
        <v>44954</v>
      </c>
      <c r="T7781" t="s">
        <v>46533</v>
      </c>
      <c r="U7781" t="s">
        <v>53417</v>
      </c>
      <c r="W7781" t="s">
        <v>43348</v>
      </c>
      <c r="X7781" t="s">
        <v>44768</v>
      </c>
    </row>
    <row r="7782" spans="1:24">
      <c r="A7782">
        <f>HYPERLINK("https://www.philgeps.gov.ph/GEPSNONPILOT/Tender/SplashBidNoticeAbstractUI.aspx?menuIndex=3&amp;refID=7144750&amp;Result=3","7144750")</f>
        <v>0</v>
      </c>
      <c r="B7782" t="s">
        <v>2588</v>
      </c>
      <c r="C7782" t="s">
        <v>11145</v>
      </c>
      <c r="D7782" t="s">
        <v>17978</v>
      </c>
      <c r="E7782" t="s">
        <v>24869</v>
      </c>
      <c r="F7782" t="s">
        <v>30900</v>
      </c>
      <c r="G7782" t="s">
        <v>30907</v>
      </c>
      <c r="H7782" t="s">
        <v>30915</v>
      </c>
      <c r="I7782" t="s">
        <v>30919</v>
      </c>
      <c r="J7782" t="s">
        <v>31391</v>
      </c>
      <c r="K7782" t="s">
        <v>40280</v>
      </c>
      <c r="M7782" t="s">
        <v>43349</v>
      </c>
      <c r="N7782" t="s">
        <v>44759</v>
      </c>
      <c r="O7782" t="s">
        <v>44760</v>
      </c>
      <c r="P7782">
        <v>0</v>
      </c>
      <c r="Q7782">
        <v>1</v>
      </c>
      <c r="R7782" t="s">
        <v>44767</v>
      </c>
      <c r="S7782" t="s">
        <v>44954</v>
      </c>
      <c r="T7782" t="s">
        <v>46512</v>
      </c>
      <c r="U7782" t="s">
        <v>53418</v>
      </c>
      <c r="W7782" t="s">
        <v>43349</v>
      </c>
      <c r="X7782" t="s">
        <v>44768</v>
      </c>
    </row>
    <row r="7783" spans="1:24">
      <c r="A7783">
        <f>HYPERLINK("https://www.philgeps.gov.ph/GEPSNONPILOT/Tender/SplashBidNoticeAbstractUI.aspx?menuIndex=3&amp;refID=7144809&amp;Result=3","7144809")</f>
        <v>0</v>
      </c>
      <c r="B7783" t="s">
        <v>2226</v>
      </c>
      <c r="C7783" t="s">
        <v>11146</v>
      </c>
      <c r="D7783" t="s">
        <v>17955</v>
      </c>
      <c r="E7783" t="s">
        <v>24870</v>
      </c>
      <c r="F7783" t="s">
        <v>30900</v>
      </c>
      <c r="G7783" t="s">
        <v>30907</v>
      </c>
      <c r="H7783" t="s">
        <v>30915</v>
      </c>
      <c r="I7783" t="s">
        <v>30947</v>
      </c>
      <c r="J7783" t="s">
        <v>35974</v>
      </c>
      <c r="K7783" t="s">
        <v>40284</v>
      </c>
      <c r="M7783" t="s">
        <v>42936</v>
      </c>
      <c r="N7783" t="s">
        <v>44759</v>
      </c>
      <c r="O7783" t="s">
        <v>44760</v>
      </c>
      <c r="Q7783">
        <v>6</v>
      </c>
      <c r="R7783" t="s">
        <v>44767</v>
      </c>
      <c r="S7783" t="s">
        <v>44969</v>
      </c>
      <c r="T7783" t="s">
        <v>46397</v>
      </c>
      <c r="U7783" t="s">
        <v>53419</v>
      </c>
      <c r="W7783" t="s">
        <v>42936</v>
      </c>
      <c r="X7783" t="s">
        <v>44768</v>
      </c>
    </row>
    <row r="7784" spans="1:24">
      <c r="A7784">
        <f>HYPERLINK("https://www.philgeps.gov.ph/GEPSNONPILOT/Tender/SplashBidNoticeAbstractUI.aspx?menuIndex=3&amp;refID=7144806&amp;Result=3","7144806")</f>
        <v>0</v>
      </c>
      <c r="B7784" t="s">
        <v>2589</v>
      </c>
      <c r="C7784" t="s">
        <v>11147</v>
      </c>
      <c r="D7784" t="s">
        <v>17964</v>
      </c>
      <c r="E7784" t="s">
        <v>24871</v>
      </c>
      <c r="F7784" t="s">
        <v>30900</v>
      </c>
      <c r="G7784" t="s">
        <v>30908</v>
      </c>
      <c r="H7784" t="s">
        <v>30916</v>
      </c>
      <c r="I7784" t="s">
        <v>30922</v>
      </c>
      <c r="J7784" t="s">
        <v>34206</v>
      </c>
      <c r="K7784" t="s">
        <v>40286</v>
      </c>
      <c r="M7784" t="s">
        <v>43350</v>
      </c>
      <c r="N7784" t="s">
        <v>44759</v>
      </c>
      <c r="O7784" t="s">
        <v>44760</v>
      </c>
      <c r="P7784">
        <v>0</v>
      </c>
      <c r="Q7784">
        <v>5</v>
      </c>
      <c r="R7784" t="s">
        <v>44767</v>
      </c>
      <c r="S7784" t="s">
        <v>44954</v>
      </c>
      <c r="T7784" t="s">
        <v>46791</v>
      </c>
      <c r="U7784" t="s">
        <v>53420</v>
      </c>
      <c r="W7784" t="s">
        <v>43350</v>
      </c>
      <c r="X7784" t="s">
        <v>44768</v>
      </c>
    </row>
    <row r="7785" spans="1:24">
      <c r="A7785">
        <f>HYPERLINK("https://www.philgeps.gov.ph/GEPSNONPILOT/Tender/SplashBidNoticeAbstractUI.aspx?menuIndex=3&amp;refID=7144805&amp;Result=3","7144805")</f>
        <v>0</v>
      </c>
      <c r="B7785" t="s">
        <v>2590</v>
      </c>
      <c r="C7785" t="s">
        <v>11148</v>
      </c>
      <c r="D7785" t="s">
        <v>18011</v>
      </c>
      <c r="E7785" t="s">
        <v>23975</v>
      </c>
      <c r="F7785" t="s">
        <v>30900</v>
      </c>
      <c r="G7785" t="s">
        <v>30908</v>
      </c>
      <c r="H7785" t="s">
        <v>30916</v>
      </c>
      <c r="I7785" t="s">
        <v>6953</v>
      </c>
      <c r="J7785" t="s">
        <v>35975</v>
      </c>
      <c r="K7785" t="s">
        <v>40408</v>
      </c>
      <c r="M7785" t="s">
        <v>43351</v>
      </c>
      <c r="N7785" t="s">
        <v>44759</v>
      </c>
      <c r="O7785" t="s">
        <v>44760</v>
      </c>
      <c r="P7785">
        <v>0</v>
      </c>
      <c r="Q7785">
        <v>0</v>
      </c>
      <c r="R7785" t="s">
        <v>44767</v>
      </c>
      <c r="S7785" t="s">
        <v>44954</v>
      </c>
      <c r="T7785" t="s">
        <v>46591</v>
      </c>
      <c r="U7785" t="s">
        <v>53421</v>
      </c>
      <c r="W7785" t="s">
        <v>43351</v>
      </c>
      <c r="X7785" t="s">
        <v>44768</v>
      </c>
    </row>
    <row r="7786" spans="1:24">
      <c r="A7786">
        <f>HYPERLINK("https://www.philgeps.gov.ph/GEPSNONPILOT/Tender/SplashBidNoticeAbstractUI.aspx?menuIndex=3&amp;refID=7144803&amp;Result=3","7144803")</f>
        <v>0</v>
      </c>
      <c r="B7786" t="s">
        <v>2591</v>
      </c>
      <c r="C7786" t="s">
        <v>11149</v>
      </c>
      <c r="D7786" t="s">
        <v>18015</v>
      </c>
      <c r="E7786" t="s">
        <v>20084</v>
      </c>
      <c r="F7786" t="s">
        <v>30900</v>
      </c>
      <c r="G7786" t="s">
        <v>30907</v>
      </c>
      <c r="H7786" t="s">
        <v>30917</v>
      </c>
      <c r="I7786" t="s">
        <v>8123</v>
      </c>
      <c r="J7786" t="s">
        <v>35976</v>
      </c>
      <c r="K7786" t="s">
        <v>40286</v>
      </c>
      <c r="M7786" t="s">
        <v>43352</v>
      </c>
      <c r="N7786" t="s">
        <v>44759</v>
      </c>
      <c r="O7786" t="s">
        <v>44760</v>
      </c>
      <c r="P7786">
        <v>0</v>
      </c>
      <c r="Q7786">
        <v>1</v>
      </c>
      <c r="R7786" t="s">
        <v>44767</v>
      </c>
      <c r="S7786" t="s">
        <v>44954</v>
      </c>
      <c r="T7786" t="s">
        <v>46383</v>
      </c>
      <c r="U7786" t="s">
        <v>53422</v>
      </c>
      <c r="W7786" t="s">
        <v>43352</v>
      </c>
      <c r="X7786" t="s">
        <v>44768</v>
      </c>
    </row>
    <row r="7787" spans="1:24">
      <c r="A7787">
        <f>HYPERLINK("https://www.philgeps.gov.ph/GEPSNONPILOT/Tender/SplashBidNoticeAbstractUI.aspx?menuIndex=3&amp;refID=7144799&amp;Result=3","7144799")</f>
        <v>0</v>
      </c>
      <c r="B7787" t="s">
        <v>2587</v>
      </c>
      <c r="C7787" t="s">
        <v>11150</v>
      </c>
      <c r="D7787" t="s">
        <v>17975</v>
      </c>
      <c r="E7787" t="s">
        <v>24872</v>
      </c>
      <c r="F7787" t="s">
        <v>30900</v>
      </c>
      <c r="G7787" t="s">
        <v>30908</v>
      </c>
      <c r="H7787" t="s">
        <v>30916</v>
      </c>
      <c r="I7787" t="s">
        <v>6953</v>
      </c>
      <c r="J7787" t="s">
        <v>35977</v>
      </c>
      <c r="K7787" t="s">
        <v>40284</v>
      </c>
      <c r="M7787" t="s">
        <v>43348</v>
      </c>
      <c r="N7787" t="s">
        <v>44759</v>
      </c>
      <c r="O7787" t="s">
        <v>44760</v>
      </c>
      <c r="P7787">
        <v>0</v>
      </c>
      <c r="Q7787">
        <v>1</v>
      </c>
      <c r="R7787" t="s">
        <v>44767</v>
      </c>
      <c r="S7787" t="s">
        <v>44954</v>
      </c>
      <c r="T7787" t="s">
        <v>46533</v>
      </c>
      <c r="U7787" t="s">
        <v>53423</v>
      </c>
      <c r="W7787" t="s">
        <v>43348</v>
      </c>
      <c r="X7787" t="s">
        <v>44768</v>
      </c>
    </row>
    <row r="7788" spans="1:24">
      <c r="A7788">
        <f>HYPERLINK("https://www.philgeps.gov.ph/GEPSNONPILOT/Tender/SplashBidNoticeAbstractUI.aspx?menuIndex=3&amp;refID=7144745&amp;Result=3","7144745")</f>
        <v>0</v>
      </c>
      <c r="B7788" t="s">
        <v>2561</v>
      </c>
      <c r="C7788" t="s">
        <v>11151</v>
      </c>
      <c r="D7788" t="s">
        <v>17951</v>
      </c>
      <c r="E7788" t="s">
        <v>24873</v>
      </c>
      <c r="F7788" t="s">
        <v>30900</v>
      </c>
      <c r="G7788" t="s">
        <v>30907</v>
      </c>
      <c r="H7788" t="s">
        <v>30916</v>
      </c>
      <c r="I7788" t="s">
        <v>30921</v>
      </c>
      <c r="J7788" t="s">
        <v>35978</v>
      </c>
      <c r="K7788" t="s">
        <v>40286</v>
      </c>
      <c r="M7788" t="s">
        <v>43319</v>
      </c>
      <c r="N7788" t="s">
        <v>44759</v>
      </c>
      <c r="O7788" t="s">
        <v>44760</v>
      </c>
      <c r="P7788">
        <v>0</v>
      </c>
      <c r="Q7788">
        <v>1</v>
      </c>
      <c r="R7788" t="s">
        <v>44767</v>
      </c>
      <c r="S7788" t="s">
        <v>44954</v>
      </c>
      <c r="T7788" t="s">
        <v>46495</v>
      </c>
      <c r="U7788" t="s">
        <v>53424</v>
      </c>
      <c r="W7788" t="s">
        <v>43319</v>
      </c>
      <c r="X7788" t="s">
        <v>44768</v>
      </c>
    </row>
    <row r="7789" spans="1:24">
      <c r="A7789">
        <f>HYPERLINK("https://www.philgeps.gov.ph/GEPSNONPILOT/Tender/SplashBidNoticeAbstractUI.aspx?menuIndex=3&amp;refID=7144795&amp;Result=3","7144795")</f>
        <v>0</v>
      </c>
      <c r="B7789" t="s">
        <v>2587</v>
      </c>
      <c r="C7789" t="s">
        <v>11152</v>
      </c>
      <c r="D7789" t="s">
        <v>17975</v>
      </c>
      <c r="E7789" t="s">
        <v>24874</v>
      </c>
      <c r="F7789" t="s">
        <v>30900</v>
      </c>
      <c r="G7789" t="s">
        <v>30908</v>
      </c>
      <c r="H7789" t="s">
        <v>30916</v>
      </c>
      <c r="I7789" t="s">
        <v>6953</v>
      </c>
      <c r="J7789" t="s">
        <v>35977</v>
      </c>
      <c r="K7789" t="s">
        <v>40284</v>
      </c>
      <c r="M7789" t="s">
        <v>43348</v>
      </c>
      <c r="N7789" t="s">
        <v>44759</v>
      </c>
      <c r="O7789" t="s">
        <v>44760</v>
      </c>
      <c r="P7789">
        <v>0</v>
      </c>
      <c r="Q7789">
        <v>1</v>
      </c>
      <c r="R7789" t="s">
        <v>44767</v>
      </c>
      <c r="S7789" t="s">
        <v>44954</v>
      </c>
      <c r="T7789" t="s">
        <v>46533</v>
      </c>
      <c r="U7789" t="s">
        <v>53423</v>
      </c>
      <c r="W7789" t="s">
        <v>43348</v>
      </c>
      <c r="X7789" t="s">
        <v>44768</v>
      </c>
    </row>
    <row r="7790" spans="1:24">
      <c r="A7790">
        <f>HYPERLINK("https://www.philgeps.gov.ph/GEPSNONPILOT/Tender/SplashBidNoticeAbstractUI.aspx?menuIndex=3&amp;refID=7144791&amp;Result=3","7144791")</f>
        <v>0</v>
      </c>
      <c r="B7790" t="s">
        <v>2587</v>
      </c>
      <c r="C7790" t="s">
        <v>11153</v>
      </c>
      <c r="D7790" t="s">
        <v>17975</v>
      </c>
      <c r="E7790" t="s">
        <v>24875</v>
      </c>
      <c r="F7790" t="s">
        <v>30900</v>
      </c>
      <c r="G7790" t="s">
        <v>30908</v>
      </c>
      <c r="H7790" t="s">
        <v>30916</v>
      </c>
      <c r="I7790" t="s">
        <v>30964</v>
      </c>
      <c r="J7790" t="s">
        <v>35979</v>
      </c>
      <c r="K7790" t="s">
        <v>40284</v>
      </c>
      <c r="M7790" t="s">
        <v>43348</v>
      </c>
      <c r="N7790" t="s">
        <v>44759</v>
      </c>
      <c r="O7790" t="s">
        <v>44760</v>
      </c>
      <c r="P7790">
        <v>0</v>
      </c>
      <c r="Q7790">
        <v>3</v>
      </c>
      <c r="R7790" t="s">
        <v>44767</v>
      </c>
      <c r="S7790" t="s">
        <v>44954</v>
      </c>
      <c r="T7790" t="s">
        <v>46533</v>
      </c>
      <c r="U7790" t="s">
        <v>53425</v>
      </c>
      <c r="W7790" t="s">
        <v>43348</v>
      </c>
      <c r="X7790" t="s">
        <v>44768</v>
      </c>
    </row>
    <row r="7791" spans="1:24">
      <c r="A7791">
        <f>HYPERLINK("https://www.philgeps.gov.ph/GEPSNONPILOT/Tender/SplashBidNoticeAbstractUI.aspx?menuIndex=3&amp;refID=7144788&amp;Result=3","7144788")</f>
        <v>0</v>
      </c>
      <c r="B7791" t="s">
        <v>2591</v>
      </c>
      <c r="C7791" t="s">
        <v>11154</v>
      </c>
      <c r="D7791" t="s">
        <v>18015</v>
      </c>
      <c r="E7791" t="s">
        <v>18249</v>
      </c>
      <c r="F7791" t="s">
        <v>30900</v>
      </c>
      <c r="G7791" t="s">
        <v>30907</v>
      </c>
      <c r="H7791" t="s">
        <v>30915</v>
      </c>
      <c r="I7791" t="s">
        <v>30919</v>
      </c>
      <c r="J7791" t="s">
        <v>35980</v>
      </c>
      <c r="K7791" t="s">
        <v>40286</v>
      </c>
      <c r="M7791" t="s">
        <v>43352</v>
      </c>
      <c r="N7791" t="s">
        <v>44759</v>
      </c>
      <c r="O7791" t="s">
        <v>44760</v>
      </c>
      <c r="P7791">
        <v>0</v>
      </c>
      <c r="Q7791">
        <v>1</v>
      </c>
      <c r="R7791" t="s">
        <v>44767</v>
      </c>
      <c r="S7791" t="s">
        <v>44954</v>
      </c>
      <c r="T7791" t="s">
        <v>46383</v>
      </c>
      <c r="U7791" t="s">
        <v>53426</v>
      </c>
      <c r="W7791" t="s">
        <v>43352</v>
      </c>
      <c r="X7791" t="s">
        <v>44768</v>
      </c>
    </row>
    <row r="7792" spans="1:24">
      <c r="A7792">
        <f>HYPERLINK("https://www.philgeps.gov.ph/GEPSNONPILOT/Tender/SplashBidNoticeAbstractUI.aspx?menuIndex=3&amp;refID=7144783&amp;Result=3","7144783")</f>
        <v>0</v>
      </c>
      <c r="B7792" t="s">
        <v>2373</v>
      </c>
      <c r="C7792" t="s">
        <v>11155</v>
      </c>
      <c r="D7792" t="s">
        <v>17966</v>
      </c>
      <c r="E7792" t="s">
        <v>24876</v>
      </c>
      <c r="F7792" t="s">
        <v>30900</v>
      </c>
      <c r="G7792" t="s">
        <v>30907</v>
      </c>
      <c r="H7792" t="s">
        <v>30915</v>
      </c>
      <c r="I7792" t="s">
        <v>30919</v>
      </c>
      <c r="J7792" t="s">
        <v>35981</v>
      </c>
      <c r="K7792" t="s">
        <v>40307</v>
      </c>
      <c r="M7792" t="s">
        <v>43099</v>
      </c>
      <c r="N7792" t="s">
        <v>44759</v>
      </c>
      <c r="O7792" t="s">
        <v>44760</v>
      </c>
      <c r="P7792">
        <v>0</v>
      </c>
      <c r="Q7792">
        <v>1</v>
      </c>
      <c r="R7792" t="s">
        <v>44767</v>
      </c>
      <c r="S7792" t="s">
        <v>44954</v>
      </c>
      <c r="T7792" t="s">
        <v>46428</v>
      </c>
      <c r="U7792" t="s">
        <v>53427</v>
      </c>
      <c r="W7792" t="s">
        <v>43099</v>
      </c>
      <c r="X7792" t="s">
        <v>44768</v>
      </c>
    </row>
    <row r="7793" spans="1:24">
      <c r="A7793">
        <f>HYPERLINK("https://www.philgeps.gov.ph/GEPSNONPILOT/Tender/SplashBidNoticeAbstractUI.aspx?menuIndex=3&amp;refID=7144589&amp;Result=3","7144589")</f>
        <v>0</v>
      </c>
      <c r="B7793" t="s">
        <v>2592</v>
      </c>
      <c r="C7793" t="s">
        <v>11156</v>
      </c>
      <c r="D7793" t="s">
        <v>17996</v>
      </c>
      <c r="E7793" t="s">
        <v>20521</v>
      </c>
      <c r="F7793" t="s">
        <v>30900</v>
      </c>
      <c r="G7793" t="s">
        <v>30909</v>
      </c>
      <c r="H7793" t="s">
        <v>30916</v>
      </c>
      <c r="I7793" t="s">
        <v>30952</v>
      </c>
      <c r="J7793" t="s">
        <v>31288</v>
      </c>
      <c r="K7793" t="s">
        <v>40284</v>
      </c>
      <c r="M7793" t="s">
        <v>43353</v>
      </c>
      <c r="N7793" t="s">
        <v>44759</v>
      </c>
      <c r="O7793" t="s">
        <v>44760</v>
      </c>
      <c r="P7793">
        <v>0</v>
      </c>
      <c r="Q7793">
        <v>3</v>
      </c>
      <c r="R7793" t="s">
        <v>44767</v>
      </c>
      <c r="S7793" t="s">
        <v>44954</v>
      </c>
      <c r="T7793" t="s">
        <v>46591</v>
      </c>
      <c r="U7793" t="s">
        <v>53428</v>
      </c>
      <c r="W7793" t="s">
        <v>43353</v>
      </c>
      <c r="X7793" t="s">
        <v>44768</v>
      </c>
    </row>
    <row r="7794" spans="1:24">
      <c r="A7794">
        <f>HYPERLINK("https://www.philgeps.gov.ph/GEPSNONPILOT/Tender/SplashBidNoticeAbstractUI.aspx?menuIndex=3&amp;refID=7144777&amp;Result=3","7144777")</f>
        <v>0</v>
      </c>
      <c r="B7794" t="s">
        <v>2593</v>
      </c>
      <c r="C7794" t="s">
        <v>11157</v>
      </c>
      <c r="D7794" t="s">
        <v>18019</v>
      </c>
      <c r="E7794" t="s">
        <v>24877</v>
      </c>
      <c r="F7794" t="s">
        <v>30900</v>
      </c>
      <c r="G7794" t="s">
        <v>30909</v>
      </c>
      <c r="H7794" t="s">
        <v>30916</v>
      </c>
      <c r="I7794" t="s">
        <v>9385</v>
      </c>
      <c r="J7794" t="s">
        <v>31407</v>
      </c>
      <c r="K7794" t="s">
        <v>40293</v>
      </c>
      <c r="M7794" t="s">
        <v>43354</v>
      </c>
      <c r="N7794" t="s">
        <v>44759</v>
      </c>
      <c r="O7794" t="s">
        <v>44760</v>
      </c>
      <c r="P7794">
        <v>0</v>
      </c>
      <c r="Q7794">
        <v>9</v>
      </c>
      <c r="R7794" t="s">
        <v>44767</v>
      </c>
      <c r="S7794" t="s">
        <v>44954</v>
      </c>
      <c r="T7794" t="s">
        <v>46590</v>
      </c>
      <c r="U7794" t="s">
        <v>53429</v>
      </c>
      <c r="W7794" t="s">
        <v>43354</v>
      </c>
      <c r="X7794" t="s">
        <v>44768</v>
      </c>
    </row>
    <row r="7795" spans="1:24">
      <c r="A7795">
        <f>HYPERLINK("https://www.philgeps.gov.ph/GEPSNONPILOT/Tender/SplashBidNoticeAbstractUI.aspx?menuIndex=3&amp;refID=7144787&amp;Result=3","7144787")</f>
        <v>0</v>
      </c>
      <c r="B7795" t="s">
        <v>1037</v>
      </c>
      <c r="C7795" t="s">
        <v>11158</v>
      </c>
      <c r="D7795" t="s">
        <v>17981</v>
      </c>
      <c r="E7795" t="s">
        <v>11158</v>
      </c>
      <c r="F7795" t="s">
        <v>30900</v>
      </c>
      <c r="G7795" t="s">
        <v>30907</v>
      </c>
      <c r="H7795" t="s">
        <v>30916</v>
      </c>
      <c r="I7795" t="s">
        <v>8123</v>
      </c>
      <c r="J7795" t="s">
        <v>35982</v>
      </c>
      <c r="K7795" t="s">
        <v>40291</v>
      </c>
      <c r="M7795" t="s">
        <v>41629</v>
      </c>
      <c r="N7795" t="s">
        <v>44759</v>
      </c>
      <c r="O7795" t="s">
        <v>44760</v>
      </c>
      <c r="P7795">
        <v>0</v>
      </c>
      <c r="Q7795">
        <v>13</v>
      </c>
      <c r="R7795" t="s">
        <v>44767</v>
      </c>
      <c r="S7795" t="s">
        <v>44954</v>
      </c>
      <c r="T7795" t="s">
        <v>46439</v>
      </c>
      <c r="U7795" t="s">
        <v>53430</v>
      </c>
      <c r="W7795" t="s">
        <v>41629</v>
      </c>
      <c r="X7795" t="s">
        <v>44768</v>
      </c>
    </row>
    <row r="7796" spans="1:24">
      <c r="A7796">
        <f>HYPERLINK("https://www.philgeps.gov.ph/GEPSNONPILOT/Tender/SplashBidNoticeAbstractUI.aspx?menuIndex=3&amp;refID=7144773&amp;Result=3","7144773")</f>
        <v>0</v>
      </c>
      <c r="B7796" t="s">
        <v>322</v>
      </c>
      <c r="C7796" t="s">
        <v>11159</v>
      </c>
      <c r="D7796" t="s">
        <v>17959</v>
      </c>
      <c r="E7796" t="s">
        <v>24878</v>
      </c>
      <c r="F7796" t="s">
        <v>30900</v>
      </c>
      <c r="G7796" t="s">
        <v>30907</v>
      </c>
      <c r="H7796" t="s">
        <v>30916</v>
      </c>
      <c r="I7796" t="s">
        <v>30988</v>
      </c>
      <c r="J7796" t="s">
        <v>32616</v>
      </c>
      <c r="K7796" t="s">
        <v>40281</v>
      </c>
      <c r="M7796" t="s">
        <v>40873</v>
      </c>
      <c r="N7796" t="s">
        <v>44759</v>
      </c>
      <c r="O7796" t="s">
        <v>44760</v>
      </c>
      <c r="P7796">
        <v>0</v>
      </c>
      <c r="Q7796">
        <v>7</v>
      </c>
      <c r="R7796" t="s">
        <v>44767</v>
      </c>
      <c r="S7796" t="s">
        <v>44954</v>
      </c>
      <c r="T7796" t="s">
        <v>46703</v>
      </c>
      <c r="U7796" t="s">
        <v>53431</v>
      </c>
      <c r="W7796" t="s">
        <v>40873</v>
      </c>
      <c r="X7796" t="s">
        <v>44768</v>
      </c>
    </row>
    <row r="7797" spans="1:24">
      <c r="A7797">
        <f>HYPERLINK("https://www.philgeps.gov.ph/GEPSNONPILOT/Tender/SplashBidNoticeAbstractUI.aspx?menuIndex=3&amp;refID=7144781&amp;Result=3","7144781")</f>
        <v>0</v>
      </c>
      <c r="B7797" t="s">
        <v>2561</v>
      </c>
      <c r="C7797" t="s">
        <v>4104</v>
      </c>
      <c r="D7797" t="s">
        <v>17951</v>
      </c>
      <c r="E7797" t="s">
        <v>24879</v>
      </c>
      <c r="F7797" t="s">
        <v>30900</v>
      </c>
      <c r="G7797" t="s">
        <v>30907</v>
      </c>
      <c r="H7797" t="s">
        <v>30916</v>
      </c>
      <c r="I7797" t="s">
        <v>8123</v>
      </c>
      <c r="J7797" t="s">
        <v>35983</v>
      </c>
      <c r="K7797" t="s">
        <v>40286</v>
      </c>
      <c r="M7797" t="s">
        <v>43319</v>
      </c>
      <c r="N7797" t="s">
        <v>44759</v>
      </c>
      <c r="O7797" t="s">
        <v>44760</v>
      </c>
      <c r="P7797">
        <v>0</v>
      </c>
      <c r="Q7797">
        <v>0</v>
      </c>
      <c r="R7797" t="s">
        <v>44767</v>
      </c>
      <c r="S7797" t="s">
        <v>44954</v>
      </c>
      <c r="T7797" t="s">
        <v>46495</v>
      </c>
      <c r="U7797" t="s">
        <v>53432</v>
      </c>
      <c r="W7797" t="s">
        <v>43319</v>
      </c>
      <c r="X7797" t="s">
        <v>44768</v>
      </c>
    </row>
    <row r="7798" spans="1:24">
      <c r="A7798">
        <f>HYPERLINK("https://www.philgeps.gov.ph/GEPSNONPILOT/Tender/SplashBidNoticeAbstractUI.aspx?menuIndex=3&amp;refID=7144779&amp;Result=3","7144779")</f>
        <v>0</v>
      </c>
      <c r="B7798" t="s">
        <v>272</v>
      </c>
      <c r="C7798" t="s">
        <v>11160</v>
      </c>
      <c r="D7798" t="s">
        <v>17978</v>
      </c>
      <c r="E7798" t="s">
        <v>24880</v>
      </c>
      <c r="F7798" t="s">
        <v>30900</v>
      </c>
      <c r="G7798" t="s">
        <v>30907</v>
      </c>
      <c r="H7798" t="s">
        <v>30915</v>
      </c>
      <c r="I7798" t="s">
        <v>30919</v>
      </c>
      <c r="J7798" t="s">
        <v>31158</v>
      </c>
      <c r="K7798" t="s">
        <v>40342</v>
      </c>
      <c r="M7798" t="s">
        <v>40819</v>
      </c>
      <c r="N7798" t="s">
        <v>44759</v>
      </c>
      <c r="O7798" t="s">
        <v>44760</v>
      </c>
      <c r="P7798">
        <v>0</v>
      </c>
      <c r="Q7798">
        <v>8</v>
      </c>
      <c r="R7798" t="s">
        <v>44767</v>
      </c>
      <c r="S7798" t="s">
        <v>44954</v>
      </c>
      <c r="T7798" t="s">
        <v>46544</v>
      </c>
      <c r="U7798" t="s">
        <v>53433</v>
      </c>
      <c r="V7798" t="s">
        <v>59955</v>
      </c>
      <c r="W7798" t="s">
        <v>40819</v>
      </c>
      <c r="X7798" t="s">
        <v>44768</v>
      </c>
    </row>
    <row r="7799" spans="1:24">
      <c r="A7799">
        <f>HYPERLINK("https://www.philgeps.gov.ph/GEPSNONPILOT/Tender/SplashBidNoticeAbstractUI.aspx?menuIndex=3&amp;refID=7144741&amp;Result=3","7144741")</f>
        <v>0</v>
      </c>
      <c r="B7799" t="s">
        <v>2466</v>
      </c>
      <c r="C7799" t="s">
        <v>11161</v>
      </c>
      <c r="D7799" t="s">
        <v>17995</v>
      </c>
      <c r="E7799" t="s">
        <v>24881</v>
      </c>
      <c r="F7799" t="s">
        <v>30900</v>
      </c>
      <c r="G7799" t="s">
        <v>30907</v>
      </c>
      <c r="H7799" t="s">
        <v>30916</v>
      </c>
      <c r="I7799" t="s">
        <v>30943</v>
      </c>
      <c r="J7799" t="s">
        <v>35984</v>
      </c>
      <c r="K7799" t="s">
        <v>40286</v>
      </c>
      <c r="M7799" t="s">
        <v>43204</v>
      </c>
      <c r="N7799" t="s">
        <v>44759</v>
      </c>
      <c r="O7799" t="s">
        <v>44760</v>
      </c>
      <c r="P7799">
        <v>0</v>
      </c>
      <c r="Q7799">
        <v>5</v>
      </c>
      <c r="R7799" t="s">
        <v>44767</v>
      </c>
      <c r="S7799" t="s">
        <v>44954</v>
      </c>
      <c r="T7799" t="s">
        <v>46397</v>
      </c>
      <c r="U7799" t="s">
        <v>53434</v>
      </c>
      <c r="W7799" t="s">
        <v>43204</v>
      </c>
      <c r="X7799" t="s">
        <v>44768</v>
      </c>
    </row>
    <row r="7800" spans="1:24">
      <c r="A7800">
        <f>HYPERLINK("https://www.philgeps.gov.ph/GEPSNONPILOT/Tender/SplashBidNoticeAbstractUI.aspx?menuIndex=3&amp;refID=7144593&amp;Result=3","7144593")</f>
        <v>0</v>
      </c>
      <c r="B7800" t="s">
        <v>1043</v>
      </c>
      <c r="C7800" t="s">
        <v>11162</v>
      </c>
      <c r="D7800" t="s">
        <v>18000</v>
      </c>
      <c r="E7800" t="s">
        <v>24882</v>
      </c>
      <c r="F7800" t="s">
        <v>30900</v>
      </c>
      <c r="G7800" t="s">
        <v>30908</v>
      </c>
      <c r="H7800" t="s">
        <v>30916</v>
      </c>
      <c r="I7800" t="s">
        <v>30983</v>
      </c>
      <c r="J7800" t="s">
        <v>35985</v>
      </c>
      <c r="K7800" t="s">
        <v>40289</v>
      </c>
      <c r="M7800" t="s">
        <v>43271</v>
      </c>
      <c r="N7800" t="s">
        <v>44759</v>
      </c>
      <c r="O7800" t="s">
        <v>44760</v>
      </c>
      <c r="P7800">
        <v>0</v>
      </c>
      <c r="Q7800">
        <v>1</v>
      </c>
      <c r="R7800" t="s">
        <v>44767</v>
      </c>
      <c r="S7800" t="s">
        <v>44954</v>
      </c>
      <c r="T7800" t="s">
        <v>46531</v>
      </c>
      <c r="U7800" t="s">
        <v>53342</v>
      </c>
      <c r="W7800" t="s">
        <v>43271</v>
      </c>
      <c r="X7800" t="s">
        <v>44768</v>
      </c>
    </row>
    <row r="7801" spans="1:24">
      <c r="A7801">
        <f>HYPERLINK("https://www.philgeps.gov.ph/GEPSNONPILOT/Tender/SplashBidNoticeAbstractUI.aspx?menuIndex=3&amp;refID=7144739&amp;Result=3","7144739")</f>
        <v>0</v>
      </c>
      <c r="B7801" t="s">
        <v>259</v>
      </c>
      <c r="C7801" t="s">
        <v>11163</v>
      </c>
      <c r="D7801" t="s">
        <v>17978</v>
      </c>
      <c r="E7801" t="s">
        <v>24883</v>
      </c>
      <c r="F7801" t="s">
        <v>30900</v>
      </c>
      <c r="G7801" t="s">
        <v>30908</v>
      </c>
      <c r="H7801" t="s">
        <v>30916</v>
      </c>
      <c r="I7801" t="s">
        <v>30955</v>
      </c>
      <c r="J7801" t="s">
        <v>31451</v>
      </c>
      <c r="K7801" t="s">
        <v>40286</v>
      </c>
      <c r="M7801" t="s">
        <v>40806</v>
      </c>
      <c r="N7801" t="s">
        <v>44759</v>
      </c>
      <c r="O7801" t="s">
        <v>44760</v>
      </c>
      <c r="P7801">
        <v>0</v>
      </c>
      <c r="Q7801">
        <v>0</v>
      </c>
      <c r="R7801" t="s">
        <v>44767</v>
      </c>
      <c r="S7801" t="s">
        <v>44954</v>
      </c>
      <c r="T7801" t="s">
        <v>46662</v>
      </c>
      <c r="U7801" t="s">
        <v>53435</v>
      </c>
      <c r="W7801" t="s">
        <v>40806</v>
      </c>
      <c r="X7801" t="s">
        <v>44768</v>
      </c>
    </row>
    <row r="7802" spans="1:24">
      <c r="A7802">
        <f>HYPERLINK("https://www.philgeps.gov.ph/GEPSNONPILOT/Tender/SplashBidNoticeAbstractUI.aspx?menuIndex=3&amp;refID=7144808&amp;Result=3","7144808")</f>
        <v>0</v>
      </c>
      <c r="B7802" t="s">
        <v>2587</v>
      </c>
      <c r="C7802" t="s">
        <v>11164</v>
      </c>
      <c r="D7802" t="s">
        <v>17975</v>
      </c>
      <c r="E7802" t="s">
        <v>24884</v>
      </c>
      <c r="F7802" t="s">
        <v>30900</v>
      </c>
      <c r="G7802" t="s">
        <v>30908</v>
      </c>
      <c r="H7802" t="s">
        <v>30916</v>
      </c>
      <c r="I7802" t="s">
        <v>4108</v>
      </c>
      <c r="J7802" t="s">
        <v>31043</v>
      </c>
      <c r="K7802" t="s">
        <v>40284</v>
      </c>
      <c r="M7802" t="s">
        <v>43348</v>
      </c>
      <c r="N7802" t="s">
        <v>44759</v>
      </c>
      <c r="O7802" t="s">
        <v>44760</v>
      </c>
      <c r="P7802">
        <v>0</v>
      </c>
      <c r="Q7802">
        <v>1</v>
      </c>
      <c r="R7802" t="s">
        <v>44767</v>
      </c>
      <c r="S7802" t="s">
        <v>44954</v>
      </c>
      <c r="T7802" t="s">
        <v>46533</v>
      </c>
      <c r="U7802" t="s">
        <v>53423</v>
      </c>
      <c r="W7802" t="s">
        <v>43348</v>
      </c>
      <c r="X7802" t="s">
        <v>44768</v>
      </c>
    </row>
    <row r="7803" spans="1:24">
      <c r="A7803">
        <f>HYPERLINK("https://www.philgeps.gov.ph/GEPSNONPILOT/Tender/SplashBidNoticeAbstractUI.aspx?menuIndex=3&amp;refID=7144774&amp;Result=3","7144774")</f>
        <v>0</v>
      </c>
      <c r="B7803" t="s">
        <v>2594</v>
      </c>
      <c r="C7803" t="s">
        <v>11165</v>
      </c>
      <c r="D7803" t="s">
        <v>18015</v>
      </c>
      <c r="E7803" t="s">
        <v>24885</v>
      </c>
      <c r="F7803" t="s">
        <v>30900</v>
      </c>
      <c r="G7803" t="s">
        <v>30907</v>
      </c>
      <c r="H7803" t="s">
        <v>30916</v>
      </c>
      <c r="I7803" t="s">
        <v>8123</v>
      </c>
      <c r="J7803" t="s">
        <v>35986</v>
      </c>
      <c r="K7803" t="s">
        <v>40284</v>
      </c>
      <c r="M7803" t="s">
        <v>43355</v>
      </c>
      <c r="N7803" t="s">
        <v>44759</v>
      </c>
      <c r="O7803" t="s">
        <v>44760</v>
      </c>
      <c r="P7803">
        <v>0</v>
      </c>
      <c r="Q7803">
        <v>2</v>
      </c>
      <c r="R7803" t="s">
        <v>44767</v>
      </c>
      <c r="S7803" t="s">
        <v>44954</v>
      </c>
      <c r="T7803" t="s">
        <v>46357</v>
      </c>
      <c r="U7803" t="s">
        <v>53436</v>
      </c>
      <c r="W7803" t="s">
        <v>43355</v>
      </c>
      <c r="X7803" t="s">
        <v>44768</v>
      </c>
    </row>
    <row r="7804" spans="1:24">
      <c r="A7804">
        <f>HYPERLINK("https://www.philgeps.gov.ph/GEPSNONPILOT/Tender/SplashBidNoticeAbstractUI.aspx?menuIndex=3&amp;refID=7144811&amp;Result=3","7144811")</f>
        <v>0</v>
      </c>
      <c r="B7804" t="s">
        <v>2595</v>
      </c>
      <c r="C7804" t="s">
        <v>11166</v>
      </c>
      <c r="E7804" t="s">
        <v>24886</v>
      </c>
      <c r="F7804" t="s">
        <v>30900</v>
      </c>
      <c r="G7804" t="s">
        <v>30908</v>
      </c>
      <c r="H7804" t="s">
        <v>30916</v>
      </c>
      <c r="I7804" t="s">
        <v>10602</v>
      </c>
      <c r="J7804" t="s">
        <v>33400</v>
      </c>
      <c r="K7804" t="s">
        <v>40288</v>
      </c>
      <c r="M7804" t="s">
        <v>43356</v>
      </c>
      <c r="N7804" t="s">
        <v>44759</v>
      </c>
      <c r="O7804" t="s">
        <v>44760</v>
      </c>
      <c r="P7804">
        <v>0</v>
      </c>
      <c r="Q7804">
        <v>0</v>
      </c>
      <c r="R7804" t="s">
        <v>44767</v>
      </c>
      <c r="S7804" t="s">
        <v>44954</v>
      </c>
      <c r="T7804" t="s">
        <v>46547</v>
      </c>
      <c r="U7804" t="s">
        <v>53437</v>
      </c>
      <c r="W7804" t="s">
        <v>43356</v>
      </c>
      <c r="X7804" t="s">
        <v>44768</v>
      </c>
    </row>
    <row r="7805" spans="1:24">
      <c r="A7805">
        <f>HYPERLINK("https://www.philgeps.gov.ph/GEPSNONPILOT/Tender/SplashBidNoticeAbstractUI.aspx?menuIndex=3&amp;refID=7144776&amp;Result=3","7144776")</f>
        <v>0</v>
      </c>
      <c r="B7805" t="s">
        <v>1043</v>
      </c>
      <c r="C7805" t="s">
        <v>11167</v>
      </c>
      <c r="D7805" t="s">
        <v>18000</v>
      </c>
      <c r="E7805" t="s">
        <v>24887</v>
      </c>
      <c r="F7805" t="s">
        <v>30900</v>
      </c>
      <c r="G7805" t="s">
        <v>30907</v>
      </c>
      <c r="H7805" t="s">
        <v>30915</v>
      </c>
      <c r="I7805" t="s">
        <v>30919</v>
      </c>
      <c r="J7805" t="s">
        <v>35987</v>
      </c>
      <c r="K7805" t="s">
        <v>40289</v>
      </c>
      <c r="M7805" t="s">
        <v>43271</v>
      </c>
      <c r="N7805" t="s">
        <v>44759</v>
      </c>
      <c r="O7805" t="s">
        <v>44760</v>
      </c>
      <c r="P7805">
        <v>0</v>
      </c>
      <c r="Q7805">
        <v>0</v>
      </c>
      <c r="R7805" t="s">
        <v>44767</v>
      </c>
      <c r="S7805" t="s">
        <v>44954</v>
      </c>
      <c r="T7805" t="s">
        <v>46515</v>
      </c>
      <c r="U7805" t="s">
        <v>53438</v>
      </c>
      <c r="W7805" t="s">
        <v>43271</v>
      </c>
      <c r="X7805" t="s">
        <v>44768</v>
      </c>
    </row>
    <row r="7806" spans="1:24">
      <c r="A7806">
        <f>HYPERLINK("https://www.philgeps.gov.ph/GEPSNONPILOT/Tender/SplashBidNoticeAbstractUI.aspx?menuIndex=3&amp;refID=7144853&amp;Result=3","7144853")</f>
        <v>0</v>
      </c>
      <c r="B7806" t="s">
        <v>2478</v>
      </c>
      <c r="C7806" t="s">
        <v>11168</v>
      </c>
      <c r="D7806" t="s">
        <v>17958</v>
      </c>
      <c r="E7806" t="s">
        <v>24888</v>
      </c>
      <c r="F7806" t="s">
        <v>30900</v>
      </c>
      <c r="G7806" t="s">
        <v>30907</v>
      </c>
      <c r="H7806" t="s">
        <v>30915</v>
      </c>
      <c r="I7806" t="s">
        <v>30919</v>
      </c>
      <c r="J7806" t="s">
        <v>31066</v>
      </c>
      <c r="K7806" t="s">
        <v>40292</v>
      </c>
      <c r="M7806" t="s">
        <v>43217</v>
      </c>
      <c r="N7806" t="s">
        <v>44759</v>
      </c>
      <c r="O7806" t="s">
        <v>44760</v>
      </c>
      <c r="P7806">
        <v>0</v>
      </c>
      <c r="Q7806">
        <v>0</v>
      </c>
      <c r="R7806" t="s">
        <v>44767</v>
      </c>
      <c r="S7806" t="s">
        <v>44954</v>
      </c>
      <c r="T7806" t="s">
        <v>46450</v>
      </c>
      <c r="U7806" t="s">
        <v>53439</v>
      </c>
      <c r="W7806" t="s">
        <v>43217</v>
      </c>
      <c r="X7806" t="s">
        <v>44768</v>
      </c>
    </row>
    <row r="7807" spans="1:24">
      <c r="A7807">
        <f>HYPERLINK("https://www.philgeps.gov.ph/GEPSNONPILOT/Tender/SplashBidNoticeAbstractUI.aspx?menuIndex=3&amp;refID=7144742&amp;Result=3","7144742")</f>
        <v>0</v>
      </c>
      <c r="B7807" t="s">
        <v>1043</v>
      </c>
      <c r="C7807" t="s">
        <v>11169</v>
      </c>
      <c r="D7807" t="s">
        <v>18000</v>
      </c>
      <c r="E7807" t="s">
        <v>24889</v>
      </c>
      <c r="F7807" t="s">
        <v>30900</v>
      </c>
      <c r="G7807" t="s">
        <v>30907</v>
      </c>
      <c r="H7807" t="s">
        <v>30915</v>
      </c>
      <c r="I7807" t="s">
        <v>30919</v>
      </c>
      <c r="J7807" t="s">
        <v>35988</v>
      </c>
      <c r="K7807" t="s">
        <v>40289</v>
      </c>
      <c r="M7807" t="s">
        <v>43271</v>
      </c>
      <c r="N7807" t="s">
        <v>44759</v>
      </c>
      <c r="O7807" t="s">
        <v>44760</v>
      </c>
      <c r="P7807">
        <v>0</v>
      </c>
      <c r="Q7807">
        <v>0</v>
      </c>
      <c r="R7807" t="s">
        <v>44767</v>
      </c>
      <c r="S7807" t="s">
        <v>44954</v>
      </c>
      <c r="T7807" t="s">
        <v>46515</v>
      </c>
      <c r="U7807" t="s">
        <v>53440</v>
      </c>
      <c r="W7807" t="s">
        <v>43271</v>
      </c>
      <c r="X7807" t="s">
        <v>44768</v>
      </c>
    </row>
    <row r="7808" spans="1:24">
      <c r="A7808">
        <f>HYPERLINK("https://www.philgeps.gov.ph/GEPSNONPILOT/Tender/SplashBidNoticeAbstractUI.aspx?menuIndex=3&amp;refID=7144852&amp;Result=3","7144852")</f>
        <v>0</v>
      </c>
      <c r="B7808" t="s">
        <v>2596</v>
      </c>
      <c r="C7808" t="s">
        <v>11170</v>
      </c>
      <c r="E7808" t="s">
        <v>24890</v>
      </c>
      <c r="F7808" t="s">
        <v>30900</v>
      </c>
      <c r="G7808" t="s">
        <v>30907</v>
      </c>
      <c r="H7808" t="s">
        <v>30915</v>
      </c>
      <c r="I7808" t="s">
        <v>30919</v>
      </c>
      <c r="J7808" t="s">
        <v>35989</v>
      </c>
      <c r="K7808" t="s">
        <v>40289</v>
      </c>
      <c r="M7808" t="s">
        <v>43357</v>
      </c>
      <c r="N7808" t="s">
        <v>44759</v>
      </c>
      <c r="O7808" t="s">
        <v>44760</v>
      </c>
      <c r="P7808">
        <v>0</v>
      </c>
      <c r="Q7808">
        <v>0</v>
      </c>
      <c r="R7808" t="s">
        <v>44767</v>
      </c>
      <c r="S7808" t="s">
        <v>44954</v>
      </c>
      <c r="T7808" t="s">
        <v>46374</v>
      </c>
      <c r="U7808" t="s">
        <v>53441</v>
      </c>
      <c r="W7808" t="s">
        <v>43357</v>
      </c>
      <c r="X7808" t="s">
        <v>44768</v>
      </c>
    </row>
    <row r="7809" spans="1:24">
      <c r="A7809">
        <f>HYPERLINK("https://www.philgeps.gov.ph/GEPSNONPILOT/Tender/SplashBidNoticeAbstractUI.aspx?menuIndex=3&amp;refID=7144848&amp;Result=3","7144848")</f>
        <v>0</v>
      </c>
      <c r="B7809" t="s">
        <v>2478</v>
      </c>
      <c r="C7809" t="s">
        <v>11171</v>
      </c>
      <c r="D7809" t="s">
        <v>17958</v>
      </c>
      <c r="E7809" t="s">
        <v>24891</v>
      </c>
      <c r="F7809" t="s">
        <v>30900</v>
      </c>
      <c r="G7809" t="s">
        <v>30907</v>
      </c>
      <c r="H7809" t="s">
        <v>30915</v>
      </c>
      <c r="I7809" t="s">
        <v>30919</v>
      </c>
      <c r="J7809" t="s">
        <v>31243</v>
      </c>
      <c r="K7809" t="s">
        <v>40280</v>
      </c>
      <c r="M7809" t="s">
        <v>43217</v>
      </c>
      <c r="N7809" t="s">
        <v>44759</v>
      </c>
      <c r="O7809" t="s">
        <v>44760</v>
      </c>
      <c r="P7809">
        <v>0</v>
      </c>
      <c r="Q7809">
        <v>0</v>
      </c>
      <c r="R7809" t="s">
        <v>44767</v>
      </c>
      <c r="S7809" t="s">
        <v>44954</v>
      </c>
      <c r="T7809" t="s">
        <v>46450</v>
      </c>
      <c r="U7809" t="s">
        <v>53442</v>
      </c>
      <c r="W7809" t="s">
        <v>43217</v>
      </c>
      <c r="X7809" t="s">
        <v>44768</v>
      </c>
    </row>
    <row r="7810" spans="1:24">
      <c r="A7810">
        <f>HYPERLINK("https://www.philgeps.gov.ph/GEPSNONPILOT/Tender/SplashBidNoticeAbstractUI.aspx?menuIndex=3&amp;refID=7144845&amp;Result=3","7144845")</f>
        <v>0</v>
      </c>
      <c r="B7810" t="s">
        <v>1689</v>
      </c>
      <c r="C7810" t="s">
        <v>11172</v>
      </c>
      <c r="D7810" t="s">
        <v>17952</v>
      </c>
      <c r="E7810" t="s">
        <v>24892</v>
      </c>
      <c r="F7810" t="s">
        <v>30900</v>
      </c>
      <c r="G7810" t="s">
        <v>30906</v>
      </c>
      <c r="H7810" t="s">
        <v>30916</v>
      </c>
      <c r="I7810" t="s">
        <v>4142</v>
      </c>
      <c r="J7810" t="s">
        <v>35990</v>
      </c>
      <c r="K7810" t="s">
        <v>40289</v>
      </c>
      <c r="M7810" t="s">
        <v>42349</v>
      </c>
      <c r="N7810" t="s">
        <v>44759</v>
      </c>
      <c r="O7810" t="s">
        <v>44760</v>
      </c>
      <c r="Q7810">
        <v>3</v>
      </c>
      <c r="R7810" t="s">
        <v>44767</v>
      </c>
      <c r="S7810" t="s">
        <v>44970</v>
      </c>
      <c r="T7810" t="s">
        <v>46704</v>
      </c>
      <c r="U7810" t="s">
        <v>53443</v>
      </c>
      <c r="V7810" t="s">
        <v>59956</v>
      </c>
      <c r="W7810" t="s">
        <v>42349</v>
      </c>
      <c r="X7810" t="s">
        <v>44768</v>
      </c>
    </row>
    <row r="7811" spans="1:24">
      <c r="A7811">
        <f>HYPERLINK("https://www.philgeps.gov.ph/GEPSNONPILOT/Tender/SplashBidNoticeAbstractUI.aspx?menuIndex=3&amp;refID=7144840&amp;Result=3","7144840")</f>
        <v>0</v>
      </c>
      <c r="B7811" t="s">
        <v>2478</v>
      </c>
      <c r="C7811" t="s">
        <v>11173</v>
      </c>
      <c r="D7811" t="s">
        <v>17958</v>
      </c>
      <c r="E7811" t="s">
        <v>24893</v>
      </c>
      <c r="F7811" t="s">
        <v>30900</v>
      </c>
      <c r="G7811" t="s">
        <v>30907</v>
      </c>
      <c r="H7811" t="s">
        <v>30915</v>
      </c>
      <c r="I7811" t="s">
        <v>30919</v>
      </c>
      <c r="J7811" t="s">
        <v>31243</v>
      </c>
      <c r="K7811" t="s">
        <v>40286</v>
      </c>
      <c r="M7811" t="s">
        <v>43217</v>
      </c>
      <c r="N7811" t="s">
        <v>44759</v>
      </c>
      <c r="O7811" t="s">
        <v>44760</v>
      </c>
      <c r="P7811">
        <v>0</v>
      </c>
      <c r="Q7811">
        <v>1</v>
      </c>
      <c r="R7811" t="s">
        <v>44767</v>
      </c>
      <c r="S7811" t="s">
        <v>44954</v>
      </c>
      <c r="T7811" t="s">
        <v>46450</v>
      </c>
      <c r="U7811" t="s">
        <v>53444</v>
      </c>
      <c r="W7811" t="s">
        <v>43217</v>
      </c>
      <c r="X7811" t="s">
        <v>44768</v>
      </c>
    </row>
    <row r="7812" spans="1:24">
      <c r="A7812">
        <f>HYPERLINK("https://www.philgeps.gov.ph/GEPSNONPILOT/Tender/SplashBidNoticeAbstractUI.aspx?menuIndex=3&amp;refID=7144847&amp;Result=3","7144847")</f>
        <v>0</v>
      </c>
      <c r="B7812" t="s">
        <v>2597</v>
      </c>
      <c r="C7812" t="s">
        <v>11174</v>
      </c>
      <c r="D7812" t="s">
        <v>17970</v>
      </c>
      <c r="E7812" t="s">
        <v>24894</v>
      </c>
      <c r="F7812" t="s">
        <v>30900</v>
      </c>
      <c r="G7812" t="s">
        <v>30907</v>
      </c>
      <c r="H7812" t="s">
        <v>30915</v>
      </c>
      <c r="I7812" t="s">
        <v>30919</v>
      </c>
      <c r="J7812" t="s">
        <v>35991</v>
      </c>
      <c r="K7812" t="s">
        <v>40445</v>
      </c>
      <c r="L7812" t="s">
        <v>2597</v>
      </c>
      <c r="M7812" t="s">
        <v>43358</v>
      </c>
      <c r="N7812" t="s">
        <v>44759</v>
      </c>
      <c r="O7812" t="s">
        <v>44760</v>
      </c>
      <c r="P7812">
        <v>0</v>
      </c>
      <c r="Q7812">
        <v>0</v>
      </c>
      <c r="R7812" t="s">
        <v>44767</v>
      </c>
      <c r="S7812" t="s">
        <v>44954</v>
      </c>
      <c r="T7812" t="s">
        <v>46606</v>
      </c>
      <c r="U7812" t="s">
        <v>53445</v>
      </c>
      <c r="W7812" t="s">
        <v>43358</v>
      </c>
      <c r="X7812" t="s">
        <v>44768</v>
      </c>
    </row>
    <row r="7813" spans="1:24">
      <c r="A7813">
        <f>HYPERLINK("https://www.philgeps.gov.ph/GEPSNONPILOT/Tender/SplashBidNoticeAbstractUI.aspx?menuIndex=3&amp;refID=7144834&amp;Result=3","7144834")</f>
        <v>0</v>
      </c>
      <c r="B7813" t="s">
        <v>2587</v>
      </c>
      <c r="C7813" t="s">
        <v>11175</v>
      </c>
      <c r="D7813" t="s">
        <v>17975</v>
      </c>
      <c r="E7813" t="s">
        <v>24895</v>
      </c>
      <c r="F7813" t="s">
        <v>30900</v>
      </c>
      <c r="G7813" t="s">
        <v>30908</v>
      </c>
      <c r="H7813" t="s">
        <v>30916</v>
      </c>
      <c r="I7813" t="s">
        <v>4108</v>
      </c>
      <c r="J7813" t="s">
        <v>35992</v>
      </c>
      <c r="K7813" t="s">
        <v>40284</v>
      </c>
      <c r="M7813" t="s">
        <v>43348</v>
      </c>
      <c r="N7813" t="s">
        <v>44759</v>
      </c>
      <c r="O7813" t="s">
        <v>44760</v>
      </c>
      <c r="P7813">
        <v>0</v>
      </c>
      <c r="Q7813">
        <v>1</v>
      </c>
      <c r="R7813" t="s">
        <v>44767</v>
      </c>
      <c r="S7813" t="s">
        <v>44954</v>
      </c>
      <c r="T7813" t="s">
        <v>46533</v>
      </c>
      <c r="U7813" t="s">
        <v>53423</v>
      </c>
      <c r="W7813" t="s">
        <v>43348</v>
      </c>
      <c r="X7813" t="s">
        <v>44768</v>
      </c>
    </row>
    <row r="7814" spans="1:24">
      <c r="A7814">
        <f>HYPERLINK("https://www.philgeps.gov.ph/GEPSNONPILOT/Tender/SplashBidNoticeAbstractUI.aspx?menuIndex=3&amp;refID=7144851&amp;Result=3","7144851")</f>
        <v>0</v>
      </c>
      <c r="B7814" t="s">
        <v>1038</v>
      </c>
      <c r="C7814" t="s">
        <v>11176</v>
      </c>
      <c r="D7814" t="s">
        <v>18002</v>
      </c>
      <c r="E7814" t="s">
        <v>24896</v>
      </c>
      <c r="F7814" t="s">
        <v>30900</v>
      </c>
      <c r="G7814" t="s">
        <v>30907</v>
      </c>
      <c r="H7814" t="s">
        <v>30915</v>
      </c>
      <c r="I7814" t="s">
        <v>30919</v>
      </c>
      <c r="J7814" t="s">
        <v>35993</v>
      </c>
      <c r="K7814" t="s">
        <v>40292</v>
      </c>
      <c r="M7814" t="s">
        <v>41630</v>
      </c>
      <c r="N7814" t="s">
        <v>44759</v>
      </c>
      <c r="O7814" t="s">
        <v>44760</v>
      </c>
      <c r="P7814">
        <v>0</v>
      </c>
      <c r="Q7814">
        <v>2</v>
      </c>
      <c r="R7814" t="s">
        <v>44767</v>
      </c>
      <c r="S7814" t="s">
        <v>44954</v>
      </c>
      <c r="T7814" t="s">
        <v>46450</v>
      </c>
      <c r="U7814" t="s">
        <v>53446</v>
      </c>
      <c r="W7814" t="s">
        <v>41630</v>
      </c>
      <c r="X7814" t="s">
        <v>44768</v>
      </c>
    </row>
    <row r="7815" spans="1:24">
      <c r="A7815">
        <f>HYPERLINK("https://www.philgeps.gov.ph/GEPSNONPILOT/Tender/SplashBidNoticeAbstractUI.aspx?menuIndex=3&amp;refID=7144827&amp;Result=3","7144827")</f>
        <v>0</v>
      </c>
      <c r="B7815" t="s">
        <v>2598</v>
      </c>
      <c r="C7815" t="s">
        <v>11177</v>
      </c>
      <c r="D7815" t="s">
        <v>18028</v>
      </c>
      <c r="E7815" t="s">
        <v>24897</v>
      </c>
      <c r="F7815" t="s">
        <v>30900</v>
      </c>
      <c r="G7815" t="s">
        <v>30907</v>
      </c>
      <c r="H7815" t="s">
        <v>30916</v>
      </c>
      <c r="I7815" t="s">
        <v>30933</v>
      </c>
      <c r="J7815" t="s">
        <v>35994</v>
      </c>
      <c r="K7815" t="s">
        <v>40280</v>
      </c>
      <c r="M7815" t="s">
        <v>43359</v>
      </c>
      <c r="N7815" t="s">
        <v>44759</v>
      </c>
      <c r="O7815" t="s">
        <v>44760</v>
      </c>
      <c r="P7815">
        <v>0</v>
      </c>
      <c r="Q7815">
        <v>2</v>
      </c>
      <c r="R7815" t="s">
        <v>44767</v>
      </c>
      <c r="S7815" t="s">
        <v>44954</v>
      </c>
      <c r="T7815" t="s">
        <v>46417</v>
      </c>
      <c r="U7815" t="s">
        <v>53447</v>
      </c>
      <c r="W7815" t="s">
        <v>43359</v>
      </c>
      <c r="X7815" t="s">
        <v>44768</v>
      </c>
    </row>
    <row r="7816" spans="1:24">
      <c r="A7816">
        <f>HYPERLINK("https://www.philgeps.gov.ph/GEPSNONPILOT/Tender/SplashBidNoticeAbstractUI.aspx?menuIndex=3&amp;refID=7144843&amp;Result=3","7144843")</f>
        <v>0</v>
      </c>
      <c r="B7816" t="s">
        <v>644</v>
      </c>
      <c r="C7816" t="s">
        <v>11178</v>
      </c>
      <c r="D7816" t="s">
        <v>17976</v>
      </c>
      <c r="E7816" t="s">
        <v>24898</v>
      </c>
      <c r="F7816" t="s">
        <v>30899</v>
      </c>
      <c r="G7816" t="s">
        <v>30913</v>
      </c>
      <c r="H7816" t="s">
        <v>30916</v>
      </c>
      <c r="I7816" t="s">
        <v>30949</v>
      </c>
      <c r="J7816" t="s">
        <v>35995</v>
      </c>
      <c r="K7816" t="s">
        <v>40293</v>
      </c>
      <c r="M7816" t="s">
        <v>41207</v>
      </c>
      <c r="N7816" t="s">
        <v>44759</v>
      </c>
      <c r="O7816" t="s">
        <v>44760</v>
      </c>
      <c r="P7816">
        <v>0</v>
      </c>
      <c r="Q7816">
        <v>4</v>
      </c>
      <c r="R7816" t="s">
        <v>44767</v>
      </c>
      <c r="S7816" t="s">
        <v>44954</v>
      </c>
      <c r="T7816" t="s">
        <v>46428</v>
      </c>
      <c r="U7816" t="s">
        <v>53448</v>
      </c>
      <c r="W7816" t="s">
        <v>41207</v>
      </c>
      <c r="X7816" t="s">
        <v>44768</v>
      </c>
    </row>
    <row r="7817" spans="1:24">
      <c r="A7817">
        <f>HYPERLINK("https://www.philgeps.gov.ph/GEPSNONPILOT/Tender/SplashBidNoticeAbstractUI.aspx?menuIndex=3&amp;refID=7144824&amp;Result=3","7144824")</f>
        <v>0</v>
      </c>
      <c r="B7817" t="s">
        <v>2587</v>
      </c>
      <c r="C7817" t="s">
        <v>11179</v>
      </c>
      <c r="D7817" t="s">
        <v>17975</v>
      </c>
      <c r="E7817" t="s">
        <v>24899</v>
      </c>
      <c r="F7817" t="s">
        <v>30900</v>
      </c>
      <c r="G7817" t="s">
        <v>30908</v>
      </c>
      <c r="H7817" t="s">
        <v>30916</v>
      </c>
      <c r="I7817" t="s">
        <v>4108</v>
      </c>
      <c r="J7817" t="s">
        <v>32049</v>
      </c>
      <c r="K7817" t="s">
        <v>40284</v>
      </c>
      <c r="M7817" t="s">
        <v>43348</v>
      </c>
      <c r="N7817" t="s">
        <v>44759</v>
      </c>
      <c r="O7817" t="s">
        <v>44760</v>
      </c>
      <c r="P7817">
        <v>0</v>
      </c>
      <c r="Q7817">
        <v>2</v>
      </c>
      <c r="R7817" t="s">
        <v>44767</v>
      </c>
      <c r="S7817" t="s">
        <v>44954</v>
      </c>
      <c r="T7817" t="s">
        <v>46533</v>
      </c>
      <c r="U7817" t="s">
        <v>53423</v>
      </c>
      <c r="W7817" t="s">
        <v>43348</v>
      </c>
      <c r="X7817" t="s">
        <v>44768</v>
      </c>
    </row>
    <row r="7818" spans="1:24">
      <c r="A7818">
        <f>HYPERLINK("https://www.philgeps.gov.ph/GEPSNONPILOT/Tender/SplashBidNoticeAbstractUI.aspx?menuIndex=3&amp;refID=7144727&amp;Result=3","7144727")</f>
        <v>0</v>
      </c>
      <c r="B7818" t="s">
        <v>2263</v>
      </c>
      <c r="C7818" t="s">
        <v>11180</v>
      </c>
      <c r="D7818" t="s">
        <v>17966</v>
      </c>
      <c r="E7818" t="s">
        <v>24900</v>
      </c>
      <c r="F7818" t="s">
        <v>30900</v>
      </c>
      <c r="G7818" t="s">
        <v>30907</v>
      </c>
      <c r="H7818" t="s">
        <v>30916</v>
      </c>
      <c r="I7818" t="s">
        <v>4965</v>
      </c>
      <c r="J7818" t="s">
        <v>35996</v>
      </c>
      <c r="K7818" t="s">
        <v>40294</v>
      </c>
      <c r="L7818" t="s">
        <v>2263</v>
      </c>
      <c r="M7818" t="s">
        <v>42975</v>
      </c>
      <c r="N7818" t="s">
        <v>44759</v>
      </c>
      <c r="O7818" t="s">
        <v>44760</v>
      </c>
      <c r="P7818">
        <v>0</v>
      </c>
      <c r="Q7818">
        <v>1</v>
      </c>
      <c r="R7818" t="s">
        <v>44767</v>
      </c>
      <c r="S7818" t="s">
        <v>44954</v>
      </c>
      <c r="T7818" t="s">
        <v>46533</v>
      </c>
      <c r="U7818" t="s">
        <v>53449</v>
      </c>
      <c r="W7818" t="s">
        <v>42975</v>
      </c>
      <c r="X7818" t="s">
        <v>44768</v>
      </c>
    </row>
    <row r="7819" spans="1:24">
      <c r="A7819">
        <f>HYPERLINK("https://www.philgeps.gov.ph/GEPSNONPILOT/Tender/SplashBidNoticeAbstractUI.aspx?menuIndex=3&amp;refID=7144831&amp;Result=3","7144831")</f>
        <v>0</v>
      </c>
      <c r="B7819" t="s">
        <v>2599</v>
      </c>
      <c r="C7819" t="s">
        <v>11181</v>
      </c>
      <c r="D7819" t="s">
        <v>17997</v>
      </c>
      <c r="E7819" t="s">
        <v>24901</v>
      </c>
      <c r="F7819" t="s">
        <v>30900</v>
      </c>
      <c r="G7819" t="s">
        <v>30907</v>
      </c>
      <c r="H7819" t="s">
        <v>30915</v>
      </c>
      <c r="I7819" t="s">
        <v>30919</v>
      </c>
      <c r="J7819" t="s">
        <v>35997</v>
      </c>
      <c r="K7819" t="s">
        <v>40291</v>
      </c>
      <c r="M7819" t="s">
        <v>43360</v>
      </c>
      <c r="N7819" t="s">
        <v>44759</v>
      </c>
      <c r="O7819" t="s">
        <v>44760</v>
      </c>
      <c r="P7819">
        <v>0</v>
      </c>
      <c r="Q7819">
        <v>0</v>
      </c>
      <c r="R7819" t="s">
        <v>44767</v>
      </c>
      <c r="S7819" t="s">
        <v>44954</v>
      </c>
      <c r="T7819" t="s">
        <v>46792</v>
      </c>
      <c r="U7819" t="s">
        <v>53450</v>
      </c>
      <c r="W7819" t="s">
        <v>43360</v>
      </c>
      <c r="X7819" t="s">
        <v>44768</v>
      </c>
    </row>
    <row r="7820" spans="1:24">
      <c r="A7820">
        <f>HYPERLINK("https://www.philgeps.gov.ph/GEPSNONPILOT/Tender/SplashBidNoticeAbstractUI.aspx?menuIndex=3&amp;refID=7144892&amp;Result=3","7144892")</f>
        <v>0</v>
      </c>
      <c r="B7820" t="s">
        <v>2596</v>
      </c>
      <c r="C7820" t="s">
        <v>11182</v>
      </c>
      <c r="E7820" t="s">
        <v>20031</v>
      </c>
      <c r="F7820" t="s">
        <v>30900</v>
      </c>
      <c r="G7820" t="s">
        <v>30907</v>
      </c>
      <c r="H7820" t="s">
        <v>30916</v>
      </c>
      <c r="I7820" t="s">
        <v>30984</v>
      </c>
      <c r="J7820" t="s">
        <v>35998</v>
      </c>
      <c r="K7820" t="s">
        <v>40289</v>
      </c>
      <c r="M7820" t="s">
        <v>43357</v>
      </c>
      <c r="N7820" t="s">
        <v>44759</v>
      </c>
      <c r="O7820" t="s">
        <v>44760</v>
      </c>
      <c r="P7820">
        <v>0</v>
      </c>
      <c r="Q7820">
        <v>3</v>
      </c>
      <c r="R7820" t="s">
        <v>44767</v>
      </c>
      <c r="S7820" t="s">
        <v>44954</v>
      </c>
      <c r="T7820" t="s">
        <v>46374</v>
      </c>
      <c r="U7820" t="s">
        <v>53451</v>
      </c>
      <c r="W7820" t="s">
        <v>43357</v>
      </c>
      <c r="X7820" t="s">
        <v>44768</v>
      </c>
    </row>
    <row r="7821" spans="1:24">
      <c r="A7821">
        <f>HYPERLINK("https://www.philgeps.gov.ph/GEPSNONPILOT/Tender/SplashBidNoticeAbstractUI.aspx?menuIndex=3&amp;refID=7144890&amp;Result=3","7144890")</f>
        <v>0</v>
      </c>
      <c r="B7821" t="s">
        <v>390</v>
      </c>
      <c r="C7821" t="s">
        <v>11183</v>
      </c>
      <c r="D7821" t="s">
        <v>17953</v>
      </c>
      <c r="E7821" t="s">
        <v>24902</v>
      </c>
      <c r="F7821" t="s">
        <v>30900</v>
      </c>
      <c r="G7821" t="s">
        <v>30908</v>
      </c>
      <c r="H7821" t="s">
        <v>30916</v>
      </c>
      <c r="I7821" t="s">
        <v>8123</v>
      </c>
      <c r="J7821" t="s">
        <v>35999</v>
      </c>
      <c r="K7821" t="s">
        <v>40289</v>
      </c>
      <c r="M7821" t="s">
        <v>40945</v>
      </c>
      <c r="N7821" t="s">
        <v>44759</v>
      </c>
      <c r="O7821" t="s">
        <v>44760</v>
      </c>
      <c r="P7821">
        <v>0</v>
      </c>
      <c r="Q7821">
        <v>0</v>
      </c>
      <c r="R7821" t="s">
        <v>44767</v>
      </c>
      <c r="S7821" t="s">
        <v>44954</v>
      </c>
      <c r="T7821" t="s">
        <v>46383</v>
      </c>
      <c r="U7821" t="s">
        <v>48167</v>
      </c>
      <c r="W7821" t="s">
        <v>40945</v>
      </c>
      <c r="X7821" t="s">
        <v>44768</v>
      </c>
    </row>
    <row r="7822" spans="1:24">
      <c r="A7822">
        <f>HYPERLINK("https://www.philgeps.gov.ph/GEPSNONPILOT/Tender/SplashBidNoticeAbstractUI.aspx?menuIndex=3&amp;refID=7144888&amp;Result=3","7144888")</f>
        <v>0</v>
      </c>
      <c r="B7822" t="s">
        <v>2596</v>
      </c>
      <c r="C7822" t="s">
        <v>11184</v>
      </c>
      <c r="E7822" t="s">
        <v>24903</v>
      </c>
      <c r="F7822" t="s">
        <v>30900</v>
      </c>
      <c r="G7822" t="s">
        <v>30907</v>
      </c>
      <c r="H7822" t="s">
        <v>30916</v>
      </c>
      <c r="I7822" t="s">
        <v>10879</v>
      </c>
      <c r="J7822" t="s">
        <v>36000</v>
      </c>
      <c r="K7822" t="s">
        <v>40289</v>
      </c>
      <c r="M7822" t="s">
        <v>43357</v>
      </c>
      <c r="N7822" t="s">
        <v>44759</v>
      </c>
      <c r="O7822" t="s">
        <v>44760</v>
      </c>
      <c r="P7822">
        <v>0</v>
      </c>
      <c r="Q7822">
        <v>2</v>
      </c>
      <c r="R7822" t="s">
        <v>44767</v>
      </c>
      <c r="S7822" t="s">
        <v>44954</v>
      </c>
      <c r="T7822" t="s">
        <v>46374</v>
      </c>
      <c r="U7822" t="s">
        <v>53452</v>
      </c>
      <c r="W7822" t="s">
        <v>43357</v>
      </c>
      <c r="X7822" t="s">
        <v>44768</v>
      </c>
    </row>
    <row r="7823" spans="1:24">
      <c r="A7823">
        <f>HYPERLINK("https://www.philgeps.gov.ph/GEPSNONPILOT/Tender/SplashBidNoticeAbstractUI.aspx?menuIndex=3&amp;refID=7144885&amp;Result=3","7144885")</f>
        <v>0</v>
      </c>
      <c r="B7823" t="s">
        <v>2213</v>
      </c>
      <c r="C7823" t="s">
        <v>11185</v>
      </c>
      <c r="D7823" t="s">
        <v>18015</v>
      </c>
      <c r="E7823" t="s">
        <v>19703</v>
      </c>
      <c r="F7823" t="s">
        <v>30900</v>
      </c>
      <c r="G7823" t="s">
        <v>30907</v>
      </c>
      <c r="H7823" t="s">
        <v>30915</v>
      </c>
      <c r="I7823" t="s">
        <v>30919</v>
      </c>
      <c r="J7823" t="s">
        <v>36001</v>
      </c>
      <c r="K7823" t="s">
        <v>40302</v>
      </c>
      <c r="M7823" t="s">
        <v>42922</v>
      </c>
      <c r="N7823" t="s">
        <v>44759</v>
      </c>
      <c r="O7823" t="s">
        <v>44760</v>
      </c>
      <c r="P7823">
        <v>0</v>
      </c>
      <c r="Q7823">
        <v>1</v>
      </c>
      <c r="R7823" t="s">
        <v>44767</v>
      </c>
      <c r="S7823" t="s">
        <v>44954</v>
      </c>
      <c r="T7823" t="s">
        <v>46414</v>
      </c>
      <c r="U7823" t="s">
        <v>53453</v>
      </c>
      <c r="W7823" t="s">
        <v>42922</v>
      </c>
      <c r="X7823" t="s">
        <v>44768</v>
      </c>
    </row>
    <row r="7824" spans="1:24">
      <c r="A7824">
        <f>HYPERLINK("https://www.philgeps.gov.ph/GEPSNONPILOT/Tender/SplashBidNoticeAbstractUI.aspx?menuIndex=3&amp;refID=7144883&amp;Result=3","7144883")</f>
        <v>0</v>
      </c>
      <c r="B7824" t="s">
        <v>2600</v>
      </c>
      <c r="C7824" t="s">
        <v>8410</v>
      </c>
      <c r="E7824" t="s">
        <v>20459</v>
      </c>
      <c r="F7824" t="s">
        <v>30899</v>
      </c>
      <c r="G7824" t="s">
        <v>30908</v>
      </c>
      <c r="H7824" t="s">
        <v>30916</v>
      </c>
      <c r="I7824" t="s">
        <v>8365</v>
      </c>
      <c r="J7824" t="s">
        <v>36002</v>
      </c>
      <c r="K7824" t="s">
        <v>40289</v>
      </c>
      <c r="M7824" t="s">
        <v>43361</v>
      </c>
      <c r="N7824" t="s">
        <v>44759</v>
      </c>
      <c r="O7824" t="s">
        <v>44760</v>
      </c>
      <c r="P7824">
        <v>0</v>
      </c>
      <c r="Q7824">
        <v>1</v>
      </c>
      <c r="R7824" t="s">
        <v>44767</v>
      </c>
      <c r="S7824" t="s">
        <v>44954</v>
      </c>
      <c r="T7824" t="s">
        <v>46400</v>
      </c>
      <c r="U7824" t="s">
        <v>53454</v>
      </c>
      <c r="W7824" t="s">
        <v>43361</v>
      </c>
      <c r="X7824" t="s">
        <v>44768</v>
      </c>
    </row>
    <row r="7825" spans="1:24">
      <c r="A7825">
        <f>HYPERLINK("https://www.philgeps.gov.ph/GEPSNONPILOT/Tender/SplashBidNoticeAbstractUI.aspx?menuIndex=3&amp;refID=7144881&amp;Result=3","7144881")</f>
        <v>0</v>
      </c>
      <c r="B7825" t="s">
        <v>1088</v>
      </c>
      <c r="C7825" t="s">
        <v>11186</v>
      </c>
      <c r="D7825" t="s">
        <v>17959</v>
      </c>
      <c r="E7825" t="s">
        <v>24904</v>
      </c>
      <c r="F7825" t="s">
        <v>30900</v>
      </c>
      <c r="G7825" t="s">
        <v>30906</v>
      </c>
      <c r="H7825" t="s">
        <v>30916</v>
      </c>
      <c r="I7825" t="s">
        <v>9385</v>
      </c>
      <c r="J7825" t="s">
        <v>32329</v>
      </c>
      <c r="K7825" t="s">
        <v>40286</v>
      </c>
      <c r="M7825" t="s">
        <v>43362</v>
      </c>
      <c r="N7825" t="s">
        <v>44759</v>
      </c>
      <c r="O7825" t="s">
        <v>44760</v>
      </c>
      <c r="P7825">
        <v>0</v>
      </c>
      <c r="Q7825">
        <v>7</v>
      </c>
      <c r="R7825" t="s">
        <v>44767</v>
      </c>
      <c r="S7825" t="s">
        <v>44954</v>
      </c>
      <c r="T7825" t="s">
        <v>46581</v>
      </c>
      <c r="U7825" t="s">
        <v>53455</v>
      </c>
      <c r="W7825" t="s">
        <v>43362</v>
      </c>
      <c r="X7825" t="s">
        <v>44768</v>
      </c>
    </row>
    <row r="7826" spans="1:24">
      <c r="A7826">
        <f>HYPERLINK("https://www.philgeps.gov.ph/GEPSNONPILOT/Tender/SplashBidNoticeAbstractUI.aspx?menuIndex=3&amp;refID=7144879&amp;Result=3","7144879")</f>
        <v>0</v>
      </c>
      <c r="B7826" t="s">
        <v>2596</v>
      </c>
      <c r="C7826" t="s">
        <v>11187</v>
      </c>
      <c r="E7826" t="s">
        <v>24905</v>
      </c>
      <c r="F7826" t="s">
        <v>30900</v>
      </c>
      <c r="G7826" t="s">
        <v>30907</v>
      </c>
      <c r="H7826" t="s">
        <v>30916</v>
      </c>
      <c r="I7826" t="s">
        <v>30934</v>
      </c>
      <c r="J7826" t="s">
        <v>36003</v>
      </c>
      <c r="K7826" t="s">
        <v>40289</v>
      </c>
      <c r="M7826" t="s">
        <v>43357</v>
      </c>
      <c r="N7826" t="s">
        <v>44759</v>
      </c>
      <c r="O7826" t="s">
        <v>44760</v>
      </c>
      <c r="P7826">
        <v>0</v>
      </c>
      <c r="Q7826">
        <v>2</v>
      </c>
      <c r="R7826" t="s">
        <v>44767</v>
      </c>
      <c r="S7826" t="s">
        <v>44954</v>
      </c>
      <c r="T7826" t="s">
        <v>46374</v>
      </c>
      <c r="U7826" t="s">
        <v>53456</v>
      </c>
      <c r="W7826" t="s">
        <v>43357</v>
      </c>
      <c r="X7826" t="s">
        <v>44768</v>
      </c>
    </row>
    <row r="7827" spans="1:24">
      <c r="A7827">
        <f>HYPERLINK("https://www.philgeps.gov.ph/GEPSNONPILOT/Tender/SplashBidNoticeAbstractUI.aspx?menuIndex=3&amp;refID=7144875&amp;Result=3","7144875")</f>
        <v>0</v>
      </c>
      <c r="B7827" t="s">
        <v>1523</v>
      </c>
      <c r="C7827" t="s">
        <v>11188</v>
      </c>
      <c r="D7827" t="s">
        <v>18010</v>
      </c>
      <c r="E7827" t="s">
        <v>24906</v>
      </c>
      <c r="F7827" t="s">
        <v>30900</v>
      </c>
      <c r="G7827" t="s">
        <v>30907</v>
      </c>
      <c r="H7827" t="s">
        <v>30915</v>
      </c>
      <c r="I7827" t="s">
        <v>30919</v>
      </c>
      <c r="J7827" t="s">
        <v>32558</v>
      </c>
      <c r="K7827" t="s">
        <v>40292</v>
      </c>
      <c r="L7827" t="s">
        <v>1523</v>
      </c>
      <c r="M7827" t="s">
        <v>42165</v>
      </c>
      <c r="N7827" t="s">
        <v>44759</v>
      </c>
      <c r="O7827" t="s">
        <v>44760</v>
      </c>
      <c r="Q7827">
        <v>10</v>
      </c>
      <c r="R7827" t="s">
        <v>44767</v>
      </c>
      <c r="S7827" t="s">
        <v>44971</v>
      </c>
      <c r="T7827" t="s">
        <v>46377</v>
      </c>
      <c r="U7827" t="s">
        <v>53457</v>
      </c>
      <c r="W7827" t="s">
        <v>42165</v>
      </c>
      <c r="X7827" t="s">
        <v>44768</v>
      </c>
    </row>
    <row r="7828" spans="1:24">
      <c r="A7828">
        <f>HYPERLINK("https://www.philgeps.gov.ph/GEPSNONPILOT/Tender/SplashBidNoticeAbstractUI.aspx?menuIndex=3&amp;refID=7144731&amp;Result=3","7144731")</f>
        <v>0</v>
      </c>
      <c r="B7828" t="s">
        <v>2561</v>
      </c>
      <c r="C7828" t="s">
        <v>11189</v>
      </c>
      <c r="D7828" t="s">
        <v>17951</v>
      </c>
      <c r="E7828" t="s">
        <v>24907</v>
      </c>
      <c r="F7828" t="s">
        <v>30900</v>
      </c>
      <c r="G7828" t="s">
        <v>30907</v>
      </c>
      <c r="H7828" t="s">
        <v>30916</v>
      </c>
      <c r="I7828" t="s">
        <v>30926</v>
      </c>
      <c r="J7828" t="s">
        <v>36004</v>
      </c>
      <c r="K7828" t="s">
        <v>40286</v>
      </c>
      <c r="M7828" t="s">
        <v>43319</v>
      </c>
      <c r="N7828" t="s">
        <v>44759</v>
      </c>
      <c r="O7828" t="s">
        <v>44760</v>
      </c>
      <c r="P7828">
        <v>0</v>
      </c>
      <c r="Q7828">
        <v>0</v>
      </c>
      <c r="R7828" t="s">
        <v>44767</v>
      </c>
      <c r="S7828" t="s">
        <v>44954</v>
      </c>
      <c r="T7828" t="s">
        <v>46495</v>
      </c>
      <c r="U7828" t="s">
        <v>53458</v>
      </c>
      <c r="W7828" t="s">
        <v>43319</v>
      </c>
      <c r="X7828" t="s">
        <v>44768</v>
      </c>
    </row>
    <row r="7829" spans="1:24">
      <c r="A7829">
        <f>HYPERLINK("https://www.philgeps.gov.ph/GEPSNONPILOT/Tender/SplashBidNoticeAbstractUI.aspx?menuIndex=3&amp;refID=7144874&amp;Result=3","7144874")</f>
        <v>0</v>
      </c>
      <c r="B7829" t="s">
        <v>2601</v>
      </c>
      <c r="C7829" t="s">
        <v>11190</v>
      </c>
      <c r="D7829" t="s">
        <v>17954</v>
      </c>
      <c r="E7829" t="s">
        <v>24908</v>
      </c>
      <c r="F7829" t="s">
        <v>30900</v>
      </c>
      <c r="G7829" t="s">
        <v>30907</v>
      </c>
      <c r="H7829" t="s">
        <v>30916</v>
      </c>
      <c r="I7829" t="s">
        <v>30945</v>
      </c>
      <c r="J7829" t="s">
        <v>36005</v>
      </c>
      <c r="K7829" t="s">
        <v>40286</v>
      </c>
      <c r="M7829" t="s">
        <v>43363</v>
      </c>
      <c r="N7829" t="s">
        <v>44759</v>
      </c>
      <c r="O7829" t="s">
        <v>44760</v>
      </c>
      <c r="P7829">
        <v>0</v>
      </c>
      <c r="Q7829">
        <v>5</v>
      </c>
      <c r="R7829" t="s">
        <v>44767</v>
      </c>
      <c r="S7829" t="s">
        <v>44954</v>
      </c>
      <c r="T7829" t="s">
        <v>46515</v>
      </c>
      <c r="U7829" t="s">
        <v>53459</v>
      </c>
      <c r="W7829" t="s">
        <v>43416</v>
      </c>
      <c r="X7829" t="s">
        <v>44768</v>
      </c>
    </row>
    <row r="7830" spans="1:24">
      <c r="A7830">
        <f>HYPERLINK("https://www.philgeps.gov.ph/GEPSNONPILOT/Tender/SplashBidNoticeAbstractUI.aspx?menuIndex=3&amp;refID=7144873&amp;Result=3","7144873")</f>
        <v>0</v>
      </c>
      <c r="B7830" t="s">
        <v>2478</v>
      </c>
      <c r="C7830" t="s">
        <v>11191</v>
      </c>
      <c r="D7830" t="s">
        <v>17958</v>
      </c>
      <c r="E7830" t="s">
        <v>24909</v>
      </c>
      <c r="F7830" t="s">
        <v>30900</v>
      </c>
      <c r="G7830" t="s">
        <v>30907</v>
      </c>
      <c r="H7830" t="s">
        <v>30915</v>
      </c>
      <c r="I7830" t="s">
        <v>30919</v>
      </c>
      <c r="J7830" t="s">
        <v>31211</v>
      </c>
      <c r="K7830" t="s">
        <v>40286</v>
      </c>
      <c r="M7830" t="s">
        <v>43217</v>
      </c>
      <c r="N7830" t="s">
        <v>44759</v>
      </c>
      <c r="O7830" t="s">
        <v>44760</v>
      </c>
      <c r="Q7830">
        <v>0</v>
      </c>
      <c r="R7830" t="s">
        <v>44767</v>
      </c>
      <c r="S7830" t="s">
        <v>44972</v>
      </c>
      <c r="T7830" t="s">
        <v>46450</v>
      </c>
      <c r="U7830" t="s">
        <v>53460</v>
      </c>
      <c r="W7830" t="s">
        <v>43217</v>
      </c>
      <c r="X7830" t="s">
        <v>44768</v>
      </c>
    </row>
    <row r="7831" spans="1:24">
      <c r="A7831">
        <f>HYPERLINK("https://www.philgeps.gov.ph/GEPSNONPILOT/Tender/SplashBidNoticeAbstractUI.aspx?menuIndex=3&amp;refID=7144872&amp;Result=3","7144872")</f>
        <v>0</v>
      </c>
      <c r="B7831" t="s">
        <v>2596</v>
      </c>
      <c r="C7831" t="s">
        <v>11192</v>
      </c>
      <c r="E7831" t="s">
        <v>24910</v>
      </c>
      <c r="F7831" t="s">
        <v>30900</v>
      </c>
      <c r="G7831" t="s">
        <v>30907</v>
      </c>
      <c r="H7831" t="s">
        <v>30916</v>
      </c>
      <c r="I7831" t="s">
        <v>5501</v>
      </c>
      <c r="J7831" t="s">
        <v>36006</v>
      </c>
      <c r="K7831" t="s">
        <v>40289</v>
      </c>
      <c r="M7831" t="s">
        <v>43357</v>
      </c>
      <c r="N7831" t="s">
        <v>44759</v>
      </c>
      <c r="O7831" t="s">
        <v>44760</v>
      </c>
      <c r="P7831">
        <v>0</v>
      </c>
      <c r="Q7831">
        <v>0</v>
      </c>
      <c r="R7831" t="s">
        <v>44767</v>
      </c>
      <c r="S7831" t="s">
        <v>44954</v>
      </c>
      <c r="T7831" t="s">
        <v>46374</v>
      </c>
      <c r="U7831" t="s">
        <v>53461</v>
      </c>
      <c r="W7831" t="s">
        <v>43357</v>
      </c>
      <c r="X7831" t="s">
        <v>44768</v>
      </c>
    </row>
    <row r="7832" spans="1:24">
      <c r="A7832">
        <f>HYPERLINK("https://www.philgeps.gov.ph/GEPSNONPILOT/Tender/SplashBidNoticeAbstractUI.aspx?menuIndex=3&amp;refID=7144866&amp;Result=3","7144866")</f>
        <v>0</v>
      </c>
      <c r="B7832" t="s">
        <v>348</v>
      </c>
      <c r="C7832" t="s">
        <v>11193</v>
      </c>
      <c r="D7832" t="s">
        <v>17957</v>
      </c>
      <c r="E7832" t="s">
        <v>24911</v>
      </c>
      <c r="F7832" t="s">
        <v>30900</v>
      </c>
      <c r="G7832" t="s">
        <v>30907</v>
      </c>
      <c r="H7832" t="s">
        <v>30917</v>
      </c>
      <c r="I7832" t="s">
        <v>30929</v>
      </c>
      <c r="J7832" t="s">
        <v>35994</v>
      </c>
      <c r="K7832" t="s">
        <v>40293</v>
      </c>
      <c r="M7832" t="s">
        <v>43364</v>
      </c>
      <c r="N7832" t="s">
        <v>44759</v>
      </c>
      <c r="O7832" t="s">
        <v>44760</v>
      </c>
      <c r="P7832">
        <v>0</v>
      </c>
      <c r="Q7832">
        <v>20</v>
      </c>
      <c r="R7832" t="s">
        <v>44767</v>
      </c>
      <c r="S7832" t="s">
        <v>44954</v>
      </c>
      <c r="T7832" t="s">
        <v>46511</v>
      </c>
      <c r="U7832" t="s">
        <v>53462</v>
      </c>
      <c r="W7832" t="s">
        <v>43364</v>
      </c>
      <c r="X7832" t="s">
        <v>44768</v>
      </c>
    </row>
    <row r="7833" spans="1:24">
      <c r="A7833">
        <f>HYPERLINK("https://www.philgeps.gov.ph/GEPSNONPILOT/Tender/SplashBidNoticeAbstractUI.aspx?menuIndex=3&amp;refID=7144865&amp;Result=3","7144865")</f>
        <v>0</v>
      </c>
      <c r="B7833" t="s">
        <v>2561</v>
      </c>
      <c r="C7833" t="s">
        <v>11194</v>
      </c>
      <c r="D7833" t="s">
        <v>17951</v>
      </c>
      <c r="E7833" t="s">
        <v>24912</v>
      </c>
      <c r="F7833" t="s">
        <v>30900</v>
      </c>
      <c r="G7833" t="s">
        <v>30907</v>
      </c>
      <c r="H7833" t="s">
        <v>30916</v>
      </c>
      <c r="I7833" t="s">
        <v>5501</v>
      </c>
      <c r="J7833" t="s">
        <v>36007</v>
      </c>
      <c r="K7833" t="s">
        <v>40286</v>
      </c>
      <c r="M7833" t="s">
        <v>43319</v>
      </c>
      <c r="N7833" t="s">
        <v>44759</v>
      </c>
      <c r="O7833" t="s">
        <v>44760</v>
      </c>
      <c r="P7833">
        <v>0</v>
      </c>
      <c r="Q7833">
        <v>3</v>
      </c>
      <c r="R7833" t="s">
        <v>44767</v>
      </c>
      <c r="S7833" t="s">
        <v>44954</v>
      </c>
      <c r="T7833" t="s">
        <v>46495</v>
      </c>
      <c r="U7833" t="s">
        <v>53463</v>
      </c>
      <c r="W7833" t="s">
        <v>43319</v>
      </c>
      <c r="X7833" t="s">
        <v>44768</v>
      </c>
    </row>
    <row r="7834" spans="1:24">
      <c r="A7834">
        <f>HYPERLINK("https://www.philgeps.gov.ph/GEPSNONPILOT/Tender/SplashBidNoticeAbstractUI.aspx?menuIndex=3&amp;refID=7144864&amp;Result=3","7144864")</f>
        <v>0</v>
      </c>
      <c r="B7834" t="s">
        <v>2596</v>
      </c>
      <c r="C7834" t="s">
        <v>7595</v>
      </c>
      <c r="E7834" t="s">
        <v>24913</v>
      </c>
      <c r="F7834" t="s">
        <v>30900</v>
      </c>
      <c r="G7834" t="s">
        <v>30907</v>
      </c>
      <c r="H7834" t="s">
        <v>30916</v>
      </c>
      <c r="I7834" t="s">
        <v>6396</v>
      </c>
      <c r="J7834" t="s">
        <v>36008</v>
      </c>
      <c r="K7834" t="s">
        <v>40289</v>
      </c>
      <c r="M7834" t="s">
        <v>43357</v>
      </c>
      <c r="N7834" t="s">
        <v>44759</v>
      </c>
      <c r="O7834" t="s">
        <v>44760</v>
      </c>
      <c r="P7834">
        <v>0</v>
      </c>
      <c r="Q7834">
        <v>5</v>
      </c>
      <c r="R7834" t="s">
        <v>44767</v>
      </c>
      <c r="S7834" t="s">
        <v>44954</v>
      </c>
      <c r="T7834" t="s">
        <v>46374</v>
      </c>
      <c r="U7834" t="s">
        <v>53464</v>
      </c>
      <c r="W7834" t="s">
        <v>43357</v>
      </c>
      <c r="X7834" t="s">
        <v>44768</v>
      </c>
    </row>
    <row r="7835" spans="1:24">
      <c r="A7835">
        <f>HYPERLINK("https://www.philgeps.gov.ph/GEPSNONPILOT/Tender/SplashBidNoticeAbstractUI.aspx?menuIndex=3&amp;refID=7144858&amp;Result=3","7144858")</f>
        <v>0</v>
      </c>
      <c r="B7835" t="s">
        <v>2478</v>
      </c>
      <c r="C7835" t="s">
        <v>11171</v>
      </c>
      <c r="D7835" t="s">
        <v>17958</v>
      </c>
      <c r="E7835" t="s">
        <v>24914</v>
      </c>
      <c r="F7835" t="s">
        <v>30900</v>
      </c>
      <c r="G7835" t="s">
        <v>30907</v>
      </c>
      <c r="H7835" t="s">
        <v>30915</v>
      </c>
      <c r="I7835" t="s">
        <v>30919</v>
      </c>
      <c r="J7835" t="s">
        <v>31341</v>
      </c>
      <c r="K7835" t="s">
        <v>40293</v>
      </c>
      <c r="M7835" t="s">
        <v>43217</v>
      </c>
      <c r="N7835" t="s">
        <v>44759</v>
      </c>
      <c r="O7835" t="s">
        <v>44760</v>
      </c>
      <c r="P7835">
        <v>0</v>
      </c>
      <c r="Q7835">
        <v>0</v>
      </c>
      <c r="R7835" t="s">
        <v>44767</v>
      </c>
      <c r="S7835" t="s">
        <v>44954</v>
      </c>
      <c r="T7835" t="s">
        <v>46450</v>
      </c>
      <c r="U7835" t="s">
        <v>53465</v>
      </c>
      <c r="W7835" t="s">
        <v>43217</v>
      </c>
      <c r="X7835" t="s">
        <v>44768</v>
      </c>
    </row>
    <row r="7836" spans="1:24">
      <c r="A7836">
        <f>HYPERLINK("https://www.philgeps.gov.ph/GEPSNONPILOT/Tender/SplashBidNoticeAbstractUI.aspx?menuIndex=3&amp;refID=7144929&amp;Result=3","7144929")</f>
        <v>0</v>
      </c>
      <c r="B7836" t="s">
        <v>2602</v>
      </c>
      <c r="C7836" t="s">
        <v>9794</v>
      </c>
      <c r="D7836" t="s">
        <v>17961</v>
      </c>
      <c r="E7836" t="s">
        <v>18149</v>
      </c>
      <c r="F7836" t="s">
        <v>30900</v>
      </c>
      <c r="G7836" t="s">
        <v>30908</v>
      </c>
      <c r="H7836" t="s">
        <v>30916</v>
      </c>
      <c r="I7836" t="s">
        <v>8365</v>
      </c>
      <c r="J7836" t="s">
        <v>36009</v>
      </c>
      <c r="K7836" t="s">
        <v>40289</v>
      </c>
      <c r="M7836" t="s">
        <v>43365</v>
      </c>
      <c r="N7836" t="s">
        <v>44759</v>
      </c>
      <c r="O7836" t="s">
        <v>44760</v>
      </c>
      <c r="P7836">
        <v>0</v>
      </c>
      <c r="Q7836">
        <v>0</v>
      </c>
      <c r="R7836" t="s">
        <v>44767</v>
      </c>
      <c r="S7836" t="s">
        <v>44954</v>
      </c>
      <c r="T7836" t="s">
        <v>46374</v>
      </c>
      <c r="U7836" t="s">
        <v>53466</v>
      </c>
      <c r="W7836" t="s">
        <v>43365</v>
      </c>
      <c r="X7836" t="s">
        <v>44768</v>
      </c>
    </row>
    <row r="7837" spans="1:24">
      <c r="A7837">
        <f>HYPERLINK("https://www.philgeps.gov.ph/GEPSNONPILOT/Tender/SplashBidNoticeAbstractUI.aspx?menuIndex=3&amp;refID=7144926&amp;Result=3","7144926")</f>
        <v>0</v>
      </c>
      <c r="B7837" t="s">
        <v>2603</v>
      </c>
      <c r="C7837" t="s">
        <v>8931</v>
      </c>
      <c r="D7837" t="s">
        <v>17959</v>
      </c>
      <c r="E7837" t="s">
        <v>24915</v>
      </c>
      <c r="F7837" t="s">
        <v>30904</v>
      </c>
      <c r="G7837" t="s">
        <v>30907</v>
      </c>
      <c r="H7837" t="s">
        <v>30916</v>
      </c>
      <c r="I7837" t="s">
        <v>4545</v>
      </c>
      <c r="J7837" t="s">
        <v>31449</v>
      </c>
      <c r="K7837" t="s">
        <v>40287</v>
      </c>
      <c r="M7837" t="s">
        <v>43366</v>
      </c>
      <c r="N7837" t="s">
        <v>44759</v>
      </c>
      <c r="O7837" t="s">
        <v>44760</v>
      </c>
      <c r="P7837">
        <v>0</v>
      </c>
      <c r="Q7837">
        <v>5</v>
      </c>
      <c r="R7837" t="s">
        <v>44767</v>
      </c>
      <c r="S7837" t="s">
        <v>44954</v>
      </c>
      <c r="T7837" t="s">
        <v>46364</v>
      </c>
      <c r="U7837" t="s">
        <v>53467</v>
      </c>
      <c r="W7837" t="s">
        <v>43366</v>
      </c>
      <c r="X7837" t="s">
        <v>44768</v>
      </c>
    </row>
    <row r="7838" spans="1:24">
      <c r="A7838">
        <f>HYPERLINK("https://www.philgeps.gov.ph/GEPSNONPILOT/Tender/SplashBidNoticeAbstractUI.aspx?menuIndex=3&amp;refID=7144896&amp;Result=3","7144896")</f>
        <v>0</v>
      </c>
      <c r="B7838" t="s">
        <v>390</v>
      </c>
      <c r="C7838" t="s">
        <v>4489</v>
      </c>
      <c r="D7838" t="s">
        <v>17953</v>
      </c>
      <c r="E7838" t="s">
        <v>24916</v>
      </c>
      <c r="F7838" t="s">
        <v>30900</v>
      </c>
      <c r="G7838" t="s">
        <v>30908</v>
      </c>
      <c r="H7838" t="s">
        <v>30916</v>
      </c>
      <c r="I7838" t="s">
        <v>30939</v>
      </c>
      <c r="J7838" t="s">
        <v>36010</v>
      </c>
      <c r="K7838" t="s">
        <v>40289</v>
      </c>
      <c r="M7838" t="s">
        <v>40945</v>
      </c>
      <c r="N7838" t="s">
        <v>44759</v>
      </c>
      <c r="O7838" t="s">
        <v>44760</v>
      </c>
      <c r="P7838">
        <v>0</v>
      </c>
      <c r="Q7838">
        <v>0</v>
      </c>
      <c r="R7838" t="s">
        <v>44767</v>
      </c>
      <c r="S7838" t="s">
        <v>44954</v>
      </c>
      <c r="T7838" t="s">
        <v>46536</v>
      </c>
      <c r="U7838" t="s">
        <v>48167</v>
      </c>
      <c r="W7838" t="s">
        <v>40945</v>
      </c>
      <c r="X7838" t="s">
        <v>44768</v>
      </c>
    </row>
    <row r="7839" spans="1:24">
      <c r="A7839">
        <f>HYPERLINK("https://www.philgeps.gov.ph/GEPSNONPILOT/Tender/SplashBidNoticeAbstractUI.aspx?menuIndex=3&amp;refID=7144922&amp;Result=3","7144922")</f>
        <v>0</v>
      </c>
      <c r="B7839" t="s">
        <v>2213</v>
      </c>
      <c r="C7839" t="s">
        <v>11195</v>
      </c>
      <c r="D7839" t="s">
        <v>18015</v>
      </c>
      <c r="E7839" t="s">
        <v>20261</v>
      </c>
      <c r="F7839" t="s">
        <v>30900</v>
      </c>
      <c r="G7839" t="s">
        <v>30907</v>
      </c>
      <c r="H7839" t="s">
        <v>30915</v>
      </c>
      <c r="I7839" t="s">
        <v>30919</v>
      </c>
      <c r="J7839" t="s">
        <v>31341</v>
      </c>
      <c r="K7839" t="s">
        <v>40321</v>
      </c>
      <c r="M7839" t="s">
        <v>42922</v>
      </c>
      <c r="N7839" t="s">
        <v>44759</v>
      </c>
      <c r="O7839" t="s">
        <v>44760</v>
      </c>
      <c r="P7839">
        <v>0</v>
      </c>
      <c r="Q7839">
        <v>1</v>
      </c>
      <c r="R7839" t="s">
        <v>44767</v>
      </c>
      <c r="S7839" t="s">
        <v>44954</v>
      </c>
      <c r="T7839" t="s">
        <v>46533</v>
      </c>
      <c r="U7839" t="s">
        <v>53468</v>
      </c>
      <c r="W7839" t="s">
        <v>42922</v>
      </c>
      <c r="X7839" t="s">
        <v>44768</v>
      </c>
    </row>
    <row r="7840" spans="1:24">
      <c r="A7840">
        <f>HYPERLINK("https://www.philgeps.gov.ph/GEPSNONPILOT/Tender/SplashBidNoticeAbstractUI.aspx?menuIndex=3&amp;refID=7144734&amp;Result=3","7144734")</f>
        <v>0</v>
      </c>
      <c r="B7840" t="s">
        <v>585</v>
      </c>
      <c r="C7840" t="s">
        <v>11196</v>
      </c>
      <c r="E7840" t="s">
        <v>24917</v>
      </c>
      <c r="F7840" t="s">
        <v>30900</v>
      </c>
      <c r="G7840" t="s">
        <v>30907</v>
      </c>
      <c r="H7840" t="s">
        <v>30916</v>
      </c>
      <c r="I7840" t="s">
        <v>30947</v>
      </c>
      <c r="J7840" t="s">
        <v>36011</v>
      </c>
      <c r="K7840" t="s">
        <v>40289</v>
      </c>
      <c r="M7840" t="s">
        <v>43347</v>
      </c>
      <c r="N7840" t="s">
        <v>44759</v>
      </c>
      <c r="O7840" t="s">
        <v>44760</v>
      </c>
      <c r="P7840">
        <v>0</v>
      </c>
      <c r="Q7840">
        <v>1</v>
      </c>
      <c r="R7840" t="s">
        <v>44767</v>
      </c>
      <c r="S7840" t="s">
        <v>44954</v>
      </c>
      <c r="T7840" t="s">
        <v>46539</v>
      </c>
      <c r="U7840" t="s">
        <v>53469</v>
      </c>
      <c r="V7840" t="s">
        <v>59954</v>
      </c>
      <c r="W7840" t="s">
        <v>43347</v>
      </c>
      <c r="X7840" t="s">
        <v>44768</v>
      </c>
    </row>
    <row r="7841" spans="1:24">
      <c r="A7841">
        <f>HYPERLINK("https://www.philgeps.gov.ph/GEPSNONPILOT/Tender/SplashBidNoticeAbstractUI.aspx?menuIndex=3&amp;refID=7144748&amp;Result=3","7144748")</f>
        <v>0</v>
      </c>
      <c r="B7841" t="s">
        <v>2590</v>
      </c>
      <c r="C7841" t="s">
        <v>11197</v>
      </c>
      <c r="D7841" t="s">
        <v>18011</v>
      </c>
      <c r="E7841" t="s">
        <v>24918</v>
      </c>
      <c r="F7841" t="s">
        <v>30900</v>
      </c>
      <c r="G7841" t="s">
        <v>30908</v>
      </c>
      <c r="H7841" t="s">
        <v>30916</v>
      </c>
      <c r="I7841" t="s">
        <v>30932</v>
      </c>
      <c r="J7841" t="s">
        <v>36012</v>
      </c>
      <c r="K7841" t="s">
        <v>40408</v>
      </c>
      <c r="M7841" t="s">
        <v>43351</v>
      </c>
      <c r="N7841" t="s">
        <v>44759</v>
      </c>
      <c r="O7841" t="s">
        <v>44760</v>
      </c>
      <c r="P7841">
        <v>0</v>
      </c>
      <c r="Q7841">
        <v>1</v>
      </c>
      <c r="R7841" t="s">
        <v>44767</v>
      </c>
      <c r="S7841" t="s">
        <v>44954</v>
      </c>
      <c r="T7841" t="s">
        <v>46591</v>
      </c>
      <c r="U7841" t="s">
        <v>53470</v>
      </c>
      <c r="W7841" t="s">
        <v>43351</v>
      </c>
      <c r="X7841" t="s">
        <v>44768</v>
      </c>
    </row>
    <row r="7842" spans="1:24">
      <c r="A7842">
        <f>HYPERLINK("https://www.philgeps.gov.ph/GEPSNONPILOT/Tender/SplashBidNoticeAbstractUI.aspx?menuIndex=3&amp;refID=7144925&amp;Result=3","7144925")</f>
        <v>0</v>
      </c>
      <c r="B7842" t="s">
        <v>2604</v>
      </c>
      <c r="C7842" t="s">
        <v>11198</v>
      </c>
      <c r="D7842" t="s">
        <v>18033</v>
      </c>
      <c r="E7842" t="s">
        <v>24919</v>
      </c>
      <c r="F7842" t="s">
        <v>30900</v>
      </c>
      <c r="G7842" t="s">
        <v>30907</v>
      </c>
      <c r="H7842" t="s">
        <v>30916</v>
      </c>
      <c r="I7842" t="s">
        <v>8123</v>
      </c>
      <c r="J7842" t="s">
        <v>36013</v>
      </c>
      <c r="K7842" t="s">
        <v>40287</v>
      </c>
      <c r="M7842" t="s">
        <v>43367</v>
      </c>
      <c r="N7842" t="s">
        <v>44759</v>
      </c>
      <c r="O7842" t="s">
        <v>44760</v>
      </c>
      <c r="Q7842">
        <v>3</v>
      </c>
      <c r="R7842" t="s">
        <v>44767</v>
      </c>
      <c r="S7842" t="s">
        <v>44942</v>
      </c>
      <c r="T7842" t="s">
        <v>46495</v>
      </c>
      <c r="U7842" t="s">
        <v>53471</v>
      </c>
      <c r="W7842" t="s">
        <v>43367</v>
      </c>
      <c r="X7842" t="s">
        <v>44768</v>
      </c>
    </row>
    <row r="7843" spans="1:24">
      <c r="A7843">
        <f>HYPERLINK("https://www.philgeps.gov.ph/GEPSNONPILOT/Tender/SplashBidNoticeAbstractUI.aspx?menuIndex=3&amp;refID=7144912&amp;Result=3","7144912")</f>
        <v>0</v>
      </c>
      <c r="B7843" t="s">
        <v>2605</v>
      </c>
      <c r="C7843" t="s">
        <v>11199</v>
      </c>
      <c r="D7843" t="s">
        <v>17959</v>
      </c>
      <c r="E7843" t="s">
        <v>24920</v>
      </c>
      <c r="F7843" t="s">
        <v>30900</v>
      </c>
      <c r="G7843" t="s">
        <v>30907</v>
      </c>
      <c r="H7843" t="s">
        <v>30916</v>
      </c>
      <c r="I7843" t="s">
        <v>31028</v>
      </c>
      <c r="J7843" t="s">
        <v>31355</v>
      </c>
      <c r="K7843" t="s">
        <v>40285</v>
      </c>
      <c r="M7843" t="s">
        <v>43368</v>
      </c>
      <c r="N7843" t="s">
        <v>44759</v>
      </c>
      <c r="O7843" t="s">
        <v>44760</v>
      </c>
      <c r="P7843">
        <v>0</v>
      </c>
      <c r="Q7843">
        <v>1</v>
      </c>
      <c r="R7843" t="s">
        <v>44767</v>
      </c>
      <c r="S7843" t="s">
        <v>44954</v>
      </c>
      <c r="T7843" t="s">
        <v>46533</v>
      </c>
      <c r="U7843" t="s">
        <v>53472</v>
      </c>
      <c r="W7843" t="s">
        <v>43368</v>
      </c>
      <c r="X7843" t="s">
        <v>44768</v>
      </c>
    </row>
    <row r="7844" spans="1:24">
      <c r="A7844">
        <f>HYPERLINK("https://www.philgeps.gov.ph/GEPSNONPILOT/Tender/SplashBidNoticeAbstractUI.aspx?menuIndex=3&amp;refID=7144924&amp;Result=3","7144924")</f>
        <v>0</v>
      </c>
      <c r="B7844" t="s">
        <v>2183</v>
      </c>
      <c r="C7844" t="s">
        <v>11200</v>
      </c>
      <c r="E7844" t="s">
        <v>24921</v>
      </c>
      <c r="F7844" t="s">
        <v>30900</v>
      </c>
      <c r="G7844" t="s">
        <v>30907</v>
      </c>
      <c r="H7844" t="s">
        <v>30917</v>
      </c>
      <c r="I7844" t="s">
        <v>30942</v>
      </c>
      <c r="J7844" t="s">
        <v>36014</v>
      </c>
      <c r="K7844" t="s">
        <v>40366</v>
      </c>
      <c r="M7844" t="s">
        <v>42890</v>
      </c>
      <c r="N7844" t="s">
        <v>44759</v>
      </c>
      <c r="O7844" t="s">
        <v>44760</v>
      </c>
      <c r="P7844">
        <v>0</v>
      </c>
      <c r="Q7844">
        <v>1</v>
      </c>
      <c r="R7844" t="s">
        <v>44767</v>
      </c>
      <c r="S7844" t="s">
        <v>44954</v>
      </c>
      <c r="T7844" t="s">
        <v>46519</v>
      </c>
      <c r="U7844" t="s">
        <v>53473</v>
      </c>
      <c r="W7844" t="s">
        <v>42890</v>
      </c>
      <c r="X7844" t="s">
        <v>44768</v>
      </c>
    </row>
    <row r="7845" spans="1:24">
      <c r="A7845">
        <f>HYPERLINK("https://www.philgeps.gov.ph/GEPSNONPILOT/Tender/SplashBidNoticeAbstractUI.aspx?menuIndex=3&amp;refID=7144919&amp;Result=3","7144919")</f>
        <v>0</v>
      </c>
      <c r="B7845" t="s">
        <v>2603</v>
      </c>
      <c r="C7845" t="s">
        <v>11201</v>
      </c>
      <c r="D7845" t="s">
        <v>17959</v>
      </c>
      <c r="E7845" t="s">
        <v>24915</v>
      </c>
      <c r="F7845" t="s">
        <v>30904</v>
      </c>
      <c r="G7845" t="s">
        <v>30907</v>
      </c>
      <c r="H7845" t="s">
        <v>30916</v>
      </c>
      <c r="I7845" t="s">
        <v>4142</v>
      </c>
      <c r="J7845" t="s">
        <v>31101</v>
      </c>
      <c r="K7845" t="s">
        <v>40287</v>
      </c>
      <c r="M7845" t="s">
        <v>43366</v>
      </c>
      <c r="N7845" t="s">
        <v>44759</v>
      </c>
      <c r="O7845" t="s">
        <v>44760</v>
      </c>
      <c r="P7845">
        <v>0</v>
      </c>
      <c r="Q7845">
        <v>7</v>
      </c>
      <c r="R7845" t="s">
        <v>44767</v>
      </c>
      <c r="S7845" t="s">
        <v>44954</v>
      </c>
      <c r="T7845" t="s">
        <v>46364</v>
      </c>
      <c r="U7845" t="s">
        <v>53474</v>
      </c>
      <c r="W7845" t="s">
        <v>43366</v>
      </c>
      <c r="X7845" t="s">
        <v>44768</v>
      </c>
    </row>
    <row r="7846" spans="1:24">
      <c r="A7846">
        <f>HYPERLINK("https://www.philgeps.gov.ph/GEPSNONPILOT/Tender/SplashBidNoticeAbstractUI.aspx?menuIndex=3&amp;refID=7144905&amp;Result=3","7144905")</f>
        <v>0</v>
      </c>
      <c r="B7846" t="s">
        <v>2606</v>
      </c>
      <c r="C7846" t="s">
        <v>11202</v>
      </c>
      <c r="D7846" t="s">
        <v>17985</v>
      </c>
      <c r="E7846" t="s">
        <v>18282</v>
      </c>
      <c r="F7846" t="s">
        <v>30899</v>
      </c>
      <c r="G7846" t="s">
        <v>30908</v>
      </c>
      <c r="H7846" t="s">
        <v>30916</v>
      </c>
      <c r="I7846" t="s">
        <v>4545</v>
      </c>
      <c r="J7846" t="s">
        <v>31050</v>
      </c>
      <c r="K7846" t="s">
        <v>40286</v>
      </c>
      <c r="M7846" t="s">
        <v>43369</v>
      </c>
      <c r="N7846" t="s">
        <v>44759</v>
      </c>
      <c r="O7846" t="s">
        <v>44760</v>
      </c>
      <c r="P7846">
        <v>0</v>
      </c>
      <c r="Q7846">
        <v>5</v>
      </c>
      <c r="R7846" t="s">
        <v>44767</v>
      </c>
      <c r="S7846" t="s">
        <v>44954</v>
      </c>
      <c r="T7846" t="s">
        <v>46548</v>
      </c>
      <c r="U7846" t="s">
        <v>53475</v>
      </c>
      <c r="W7846" t="s">
        <v>43369</v>
      </c>
      <c r="X7846" t="s">
        <v>44768</v>
      </c>
    </row>
    <row r="7847" spans="1:24">
      <c r="A7847">
        <f>HYPERLINK("https://www.philgeps.gov.ph/GEPSNONPILOT/Tender/SplashBidNoticeAbstractUI.aspx?menuIndex=3&amp;refID=7144918&amp;Result=3","7144918")</f>
        <v>0</v>
      </c>
      <c r="B7847" t="s">
        <v>2607</v>
      </c>
      <c r="C7847" t="s">
        <v>11203</v>
      </c>
      <c r="D7847" t="s">
        <v>18010</v>
      </c>
      <c r="E7847" t="s">
        <v>24922</v>
      </c>
      <c r="F7847" t="s">
        <v>30900</v>
      </c>
      <c r="G7847" t="s">
        <v>30908</v>
      </c>
      <c r="H7847" t="s">
        <v>30916</v>
      </c>
      <c r="I7847" t="s">
        <v>10847</v>
      </c>
      <c r="J7847" t="s">
        <v>36015</v>
      </c>
      <c r="K7847" t="s">
        <v>40287</v>
      </c>
      <c r="M7847" t="s">
        <v>43370</v>
      </c>
      <c r="N7847" t="s">
        <v>44759</v>
      </c>
      <c r="O7847" t="s">
        <v>44760</v>
      </c>
      <c r="P7847">
        <v>0</v>
      </c>
      <c r="Q7847">
        <v>0</v>
      </c>
      <c r="R7847" t="s">
        <v>44767</v>
      </c>
      <c r="S7847" t="s">
        <v>44954</v>
      </c>
      <c r="T7847" t="s">
        <v>46625</v>
      </c>
      <c r="U7847" t="s">
        <v>53476</v>
      </c>
      <c r="W7847" t="s">
        <v>43370</v>
      </c>
      <c r="X7847" t="s">
        <v>44768</v>
      </c>
    </row>
    <row r="7848" spans="1:24">
      <c r="A7848">
        <f>HYPERLINK("https://www.philgeps.gov.ph/GEPSNONPILOT/Tender/SplashBidNoticeAbstractUI.aspx?menuIndex=3&amp;refID=7144903&amp;Result=3","7144903")</f>
        <v>0</v>
      </c>
      <c r="B7848" t="s">
        <v>390</v>
      </c>
      <c r="C7848" t="s">
        <v>11204</v>
      </c>
      <c r="D7848" t="s">
        <v>17953</v>
      </c>
      <c r="E7848" t="s">
        <v>24923</v>
      </c>
      <c r="F7848" t="s">
        <v>30900</v>
      </c>
      <c r="G7848" t="s">
        <v>30908</v>
      </c>
      <c r="H7848" t="s">
        <v>30916</v>
      </c>
      <c r="I7848" t="s">
        <v>30939</v>
      </c>
      <c r="J7848" t="s">
        <v>34229</v>
      </c>
      <c r="K7848" t="s">
        <v>40289</v>
      </c>
      <c r="M7848" t="s">
        <v>40945</v>
      </c>
      <c r="N7848" t="s">
        <v>44759</v>
      </c>
      <c r="O7848" t="s">
        <v>44760</v>
      </c>
      <c r="P7848">
        <v>0</v>
      </c>
      <c r="Q7848">
        <v>0</v>
      </c>
      <c r="R7848" t="s">
        <v>44767</v>
      </c>
      <c r="S7848" t="s">
        <v>44954</v>
      </c>
      <c r="T7848" t="s">
        <v>46457</v>
      </c>
      <c r="U7848" t="s">
        <v>48167</v>
      </c>
      <c r="W7848" t="s">
        <v>40945</v>
      </c>
      <c r="X7848" t="s">
        <v>44768</v>
      </c>
    </row>
    <row r="7849" spans="1:24">
      <c r="A7849">
        <f>HYPERLINK("https://www.philgeps.gov.ph/GEPSNONPILOT/Tender/SplashBidNoticeAbstractUI.aspx?menuIndex=3&amp;refID=7144917&amp;Result=3","7144917")</f>
        <v>0</v>
      </c>
      <c r="B7849" t="s">
        <v>2596</v>
      </c>
      <c r="C7849" t="s">
        <v>6693</v>
      </c>
      <c r="E7849" t="s">
        <v>24924</v>
      </c>
      <c r="F7849" t="s">
        <v>30900</v>
      </c>
      <c r="G7849" t="s">
        <v>30907</v>
      </c>
      <c r="H7849" t="s">
        <v>30916</v>
      </c>
      <c r="I7849" t="s">
        <v>6834</v>
      </c>
      <c r="J7849" t="s">
        <v>36016</v>
      </c>
      <c r="K7849" t="s">
        <v>40289</v>
      </c>
      <c r="M7849" t="s">
        <v>43357</v>
      </c>
      <c r="N7849" t="s">
        <v>44759</v>
      </c>
      <c r="O7849" t="s">
        <v>44760</v>
      </c>
      <c r="P7849">
        <v>0</v>
      </c>
      <c r="Q7849">
        <v>3</v>
      </c>
      <c r="R7849" t="s">
        <v>44767</v>
      </c>
      <c r="S7849" t="s">
        <v>44954</v>
      </c>
      <c r="T7849" t="s">
        <v>46374</v>
      </c>
      <c r="U7849" t="s">
        <v>53477</v>
      </c>
      <c r="W7849" t="s">
        <v>43357</v>
      </c>
      <c r="X7849" t="s">
        <v>44768</v>
      </c>
    </row>
    <row r="7850" spans="1:24">
      <c r="A7850">
        <f>HYPERLINK("https://www.philgeps.gov.ph/GEPSNONPILOT/Tender/SplashBidNoticeAbstractUI.aspx?menuIndex=3&amp;refID=7144923&amp;Result=3","7144923")</f>
        <v>0</v>
      </c>
      <c r="B7850" t="s">
        <v>1060</v>
      </c>
      <c r="C7850" t="s">
        <v>11205</v>
      </c>
      <c r="D7850" t="s">
        <v>17975</v>
      </c>
      <c r="E7850" t="s">
        <v>24925</v>
      </c>
      <c r="F7850" t="s">
        <v>30900</v>
      </c>
      <c r="G7850" t="s">
        <v>30907</v>
      </c>
      <c r="H7850" t="s">
        <v>30915</v>
      </c>
      <c r="I7850" t="s">
        <v>30919</v>
      </c>
      <c r="J7850" t="s">
        <v>36017</v>
      </c>
      <c r="K7850" t="s">
        <v>40280</v>
      </c>
      <c r="M7850" t="s">
        <v>41657</v>
      </c>
      <c r="N7850" t="s">
        <v>44759</v>
      </c>
      <c r="O7850" t="s">
        <v>44760</v>
      </c>
      <c r="P7850">
        <v>0</v>
      </c>
      <c r="Q7850">
        <v>0</v>
      </c>
      <c r="R7850" t="s">
        <v>44767</v>
      </c>
      <c r="S7850" t="s">
        <v>44954</v>
      </c>
      <c r="T7850" t="s">
        <v>46757</v>
      </c>
      <c r="U7850" t="s">
        <v>53478</v>
      </c>
      <c r="W7850" t="s">
        <v>41657</v>
      </c>
      <c r="X7850" t="s">
        <v>44768</v>
      </c>
    </row>
    <row r="7851" spans="1:24">
      <c r="A7851">
        <f>HYPERLINK("https://www.philgeps.gov.ph/GEPSNONPILOT/Tender/SplashBidNoticeAbstractUI.aspx?menuIndex=3&amp;refID=7144963&amp;Result=3","7144963")</f>
        <v>0</v>
      </c>
      <c r="B7851" t="s">
        <v>1353</v>
      </c>
      <c r="C7851" t="s">
        <v>11206</v>
      </c>
      <c r="D7851" t="s">
        <v>17994</v>
      </c>
      <c r="E7851" t="s">
        <v>24926</v>
      </c>
      <c r="F7851" t="s">
        <v>30900</v>
      </c>
      <c r="G7851" t="s">
        <v>30907</v>
      </c>
      <c r="H7851" t="s">
        <v>30916</v>
      </c>
      <c r="I7851" t="s">
        <v>30963</v>
      </c>
      <c r="J7851" t="s">
        <v>36018</v>
      </c>
      <c r="K7851" t="s">
        <v>40280</v>
      </c>
      <c r="M7851" t="s">
        <v>41975</v>
      </c>
      <c r="N7851" t="s">
        <v>44759</v>
      </c>
      <c r="O7851" t="s">
        <v>44760</v>
      </c>
      <c r="P7851">
        <v>0</v>
      </c>
      <c r="Q7851">
        <v>6</v>
      </c>
      <c r="R7851" t="s">
        <v>44767</v>
      </c>
      <c r="S7851" t="s">
        <v>44954</v>
      </c>
      <c r="T7851" t="s">
        <v>46597</v>
      </c>
      <c r="U7851" t="s">
        <v>53479</v>
      </c>
      <c r="W7851" t="s">
        <v>41975</v>
      </c>
      <c r="X7851" t="s">
        <v>44768</v>
      </c>
    </row>
    <row r="7852" spans="1:24">
      <c r="A7852">
        <f>HYPERLINK("https://www.philgeps.gov.ph/GEPSNONPILOT/Tender/SplashBidNoticeAbstractUI.aspx?menuIndex=3&amp;refID=7144961&amp;Result=3","7144961")</f>
        <v>0</v>
      </c>
      <c r="B7852" t="s">
        <v>2608</v>
      </c>
      <c r="C7852" t="s">
        <v>11207</v>
      </c>
      <c r="E7852" t="s">
        <v>24913</v>
      </c>
      <c r="F7852" t="s">
        <v>30900</v>
      </c>
      <c r="G7852" t="s">
        <v>30907</v>
      </c>
      <c r="H7852" t="s">
        <v>30916</v>
      </c>
      <c r="I7852" t="s">
        <v>4108</v>
      </c>
      <c r="J7852" t="s">
        <v>31101</v>
      </c>
      <c r="K7852" t="s">
        <v>40289</v>
      </c>
      <c r="M7852" t="s">
        <v>43371</v>
      </c>
      <c r="N7852" t="s">
        <v>44759</v>
      </c>
      <c r="O7852" t="s">
        <v>44760</v>
      </c>
      <c r="P7852">
        <v>0</v>
      </c>
      <c r="Q7852">
        <v>0</v>
      </c>
      <c r="R7852" t="s">
        <v>44767</v>
      </c>
      <c r="S7852" t="s">
        <v>44954</v>
      </c>
      <c r="T7852" t="s">
        <v>46374</v>
      </c>
      <c r="U7852" t="s">
        <v>53480</v>
      </c>
      <c r="W7852" t="s">
        <v>43371</v>
      </c>
      <c r="X7852" t="s">
        <v>44768</v>
      </c>
    </row>
    <row r="7853" spans="1:24">
      <c r="A7853">
        <f>HYPERLINK("https://www.philgeps.gov.ph/GEPSNONPILOT/Tender/SplashBidNoticeAbstractUI.aspx?menuIndex=3&amp;refID=7144959&amp;Result=3","7144959")</f>
        <v>0</v>
      </c>
      <c r="B7853" t="s">
        <v>1915</v>
      </c>
      <c r="C7853" t="s">
        <v>8708</v>
      </c>
      <c r="D7853" t="s">
        <v>17959</v>
      </c>
      <c r="E7853" t="s">
        <v>18935</v>
      </c>
      <c r="F7853" t="s">
        <v>30900</v>
      </c>
      <c r="G7853" t="s">
        <v>30907</v>
      </c>
      <c r="H7853" t="s">
        <v>30916</v>
      </c>
      <c r="I7853" t="s">
        <v>30970</v>
      </c>
      <c r="J7853" t="s">
        <v>31066</v>
      </c>
      <c r="K7853" t="s">
        <v>40287</v>
      </c>
      <c r="M7853" t="s">
        <v>42593</v>
      </c>
      <c r="N7853" t="s">
        <v>44759</v>
      </c>
      <c r="O7853" t="s">
        <v>44760</v>
      </c>
      <c r="P7853">
        <v>0</v>
      </c>
      <c r="Q7853">
        <v>2</v>
      </c>
      <c r="R7853" t="s">
        <v>44767</v>
      </c>
      <c r="S7853" t="s">
        <v>44954</v>
      </c>
      <c r="T7853" t="s">
        <v>46534</v>
      </c>
      <c r="U7853" t="s">
        <v>53481</v>
      </c>
      <c r="W7853" t="s">
        <v>42593</v>
      </c>
      <c r="X7853" t="s">
        <v>44768</v>
      </c>
    </row>
    <row r="7854" spans="1:24">
      <c r="A7854">
        <f>HYPERLINK("https://www.philgeps.gov.ph/GEPSNONPILOT/Tender/SplashBidNoticeAbstractUI.aspx?menuIndex=3&amp;refID=7144962&amp;Result=3","7144962")</f>
        <v>0</v>
      </c>
      <c r="B7854" t="s">
        <v>2609</v>
      </c>
      <c r="C7854" t="s">
        <v>11208</v>
      </c>
      <c r="D7854" t="s">
        <v>17993</v>
      </c>
      <c r="E7854" t="s">
        <v>22845</v>
      </c>
      <c r="F7854" t="s">
        <v>30900</v>
      </c>
      <c r="G7854" t="s">
        <v>30907</v>
      </c>
      <c r="H7854" t="s">
        <v>30915</v>
      </c>
      <c r="I7854" t="s">
        <v>30919</v>
      </c>
      <c r="J7854" t="s">
        <v>31204</v>
      </c>
      <c r="K7854" t="s">
        <v>40283</v>
      </c>
      <c r="M7854" t="s">
        <v>43372</v>
      </c>
      <c r="N7854" t="s">
        <v>44759</v>
      </c>
      <c r="O7854" t="s">
        <v>44760</v>
      </c>
      <c r="P7854">
        <v>0</v>
      </c>
      <c r="Q7854">
        <v>0</v>
      </c>
      <c r="R7854" t="s">
        <v>44767</v>
      </c>
      <c r="S7854" t="s">
        <v>44954</v>
      </c>
      <c r="T7854" t="s">
        <v>46531</v>
      </c>
      <c r="U7854" t="s">
        <v>53482</v>
      </c>
      <c r="W7854" t="s">
        <v>43372</v>
      </c>
      <c r="X7854" t="s">
        <v>44768</v>
      </c>
    </row>
    <row r="7855" spans="1:24">
      <c r="A7855">
        <f>HYPERLINK("https://www.philgeps.gov.ph/GEPSNONPILOT/Tender/SplashBidNoticeAbstractUI.aspx?menuIndex=3&amp;refID=7144958&amp;Result=3","7144958")</f>
        <v>0</v>
      </c>
      <c r="B7855" t="s">
        <v>2608</v>
      </c>
      <c r="C7855" t="s">
        <v>11209</v>
      </c>
      <c r="E7855" t="s">
        <v>24890</v>
      </c>
      <c r="F7855" t="s">
        <v>30900</v>
      </c>
      <c r="G7855" t="s">
        <v>30907</v>
      </c>
      <c r="H7855" t="s">
        <v>30916</v>
      </c>
      <c r="I7855" t="s">
        <v>4108</v>
      </c>
      <c r="J7855" t="s">
        <v>31211</v>
      </c>
      <c r="K7855" t="s">
        <v>40289</v>
      </c>
      <c r="M7855" t="s">
        <v>43371</v>
      </c>
      <c r="N7855" t="s">
        <v>44759</v>
      </c>
      <c r="O7855" t="s">
        <v>44760</v>
      </c>
      <c r="P7855">
        <v>0</v>
      </c>
      <c r="Q7855">
        <v>1</v>
      </c>
      <c r="R7855" t="s">
        <v>44767</v>
      </c>
      <c r="S7855" t="s">
        <v>44954</v>
      </c>
      <c r="T7855" t="s">
        <v>46374</v>
      </c>
      <c r="U7855" t="s">
        <v>53483</v>
      </c>
      <c r="W7855" t="s">
        <v>43371</v>
      </c>
      <c r="X7855" t="s">
        <v>44768</v>
      </c>
    </row>
    <row r="7856" spans="1:24">
      <c r="A7856">
        <f>HYPERLINK("https://www.philgeps.gov.ph/GEPSNONPILOT/Tender/SplashBidNoticeAbstractUI.aspx?menuIndex=3&amp;refID=7144957&amp;Result=3","7144957")</f>
        <v>0</v>
      </c>
      <c r="B7856" t="s">
        <v>2610</v>
      </c>
      <c r="C7856" t="s">
        <v>11210</v>
      </c>
      <c r="D7856" t="s">
        <v>17955</v>
      </c>
      <c r="E7856" t="s">
        <v>24927</v>
      </c>
      <c r="F7856" t="s">
        <v>30900</v>
      </c>
      <c r="G7856" t="s">
        <v>30907</v>
      </c>
      <c r="H7856" t="s">
        <v>30917</v>
      </c>
      <c r="I7856" t="s">
        <v>31000</v>
      </c>
      <c r="J7856" t="s">
        <v>31130</v>
      </c>
      <c r="K7856" t="s">
        <v>40287</v>
      </c>
      <c r="M7856" t="s">
        <v>43373</v>
      </c>
      <c r="N7856" t="s">
        <v>44759</v>
      </c>
      <c r="O7856" t="s">
        <v>44760</v>
      </c>
      <c r="P7856">
        <v>0</v>
      </c>
      <c r="Q7856">
        <v>1</v>
      </c>
      <c r="R7856" t="s">
        <v>44767</v>
      </c>
      <c r="S7856" t="s">
        <v>44954</v>
      </c>
      <c r="T7856" t="s">
        <v>46403</v>
      </c>
      <c r="U7856" t="s">
        <v>53484</v>
      </c>
      <c r="W7856" t="s">
        <v>43373</v>
      </c>
      <c r="X7856" t="s">
        <v>44768</v>
      </c>
    </row>
    <row r="7857" spans="1:24">
      <c r="A7857">
        <f>HYPERLINK("https://www.philgeps.gov.ph/GEPSNONPILOT/Tender/SplashBidNoticeAbstractUI.aspx?menuIndex=3&amp;refID=7144829&amp;Result=3","7144829")</f>
        <v>0</v>
      </c>
      <c r="B7857" t="s">
        <v>2587</v>
      </c>
      <c r="C7857" t="s">
        <v>11211</v>
      </c>
      <c r="D7857" t="s">
        <v>17975</v>
      </c>
      <c r="E7857" t="s">
        <v>24928</v>
      </c>
      <c r="F7857" t="s">
        <v>30900</v>
      </c>
      <c r="G7857" t="s">
        <v>30908</v>
      </c>
      <c r="H7857" t="s">
        <v>30916</v>
      </c>
      <c r="I7857" t="s">
        <v>4108</v>
      </c>
      <c r="J7857" t="s">
        <v>31284</v>
      </c>
      <c r="K7857" t="s">
        <v>40284</v>
      </c>
      <c r="M7857" t="s">
        <v>43348</v>
      </c>
      <c r="N7857" t="s">
        <v>44759</v>
      </c>
      <c r="O7857" t="s">
        <v>44760</v>
      </c>
      <c r="P7857">
        <v>0</v>
      </c>
      <c r="Q7857">
        <v>2</v>
      </c>
      <c r="R7857" t="s">
        <v>44767</v>
      </c>
      <c r="S7857" t="s">
        <v>44954</v>
      </c>
      <c r="T7857" t="s">
        <v>46533</v>
      </c>
      <c r="U7857" t="s">
        <v>53417</v>
      </c>
      <c r="W7857" t="s">
        <v>43348</v>
      </c>
      <c r="X7857" t="s">
        <v>44768</v>
      </c>
    </row>
    <row r="7858" spans="1:24">
      <c r="A7858">
        <f>HYPERLINK("https://www.philgeps.gov.ph/GEPSNONPILOT/Tender/SplashBidNoticeAbstractUI.aspx?menuIndex=3&amp;refID=7144955&amp;Result=3","7144955")</f>
        <v>0</v>
      </c>
      <c r="B7858" t="s">
        <v>2611</v>
      </c>
      <c r="C7858" t="s">
        <v>11212</v>
      </c>
      <c r="D7858" t="s">
        <v>17961</v>
      </c>
      <c r="E7858" t="s">
        <v>24929</v>
      </c>
      <c r="F7858" t="s">
        <v>30900</v>
      </c>
      <c r="G7858" t="s">
        <v>30908</v>
      </c>
      <c r="H7858" t="s">
        <v>30916</v>
      </c>
      <c r="I7858" t="s">
        <v>5501</v>
      </c>
      <c r="J7858" t="s">
        <v>36019</v>
      </c>
      <c r="K7858" t="s">
        <v>40288</v>
      </c>
      <c r="M7858" t="s">
        <v>43374</v>
      </c>
      <c r="N7858" t="s">
        <v>44759</v>
      </c>
      <c r="O7858" t="s">
        <v>44760</v>
      </c>
      <c r="P7858">
        <v>0</v>
      </c>
      <c r="Q7858">
        <v>0</v>
      </c>
      <c r="R7858" t="s">
        <v>44767</v>
      </c>
      <c r="S7858" t="s">
        <v>44954</v>
      </c>
      <c r="T7858" t="s">
        <v>46374</v>
      </c>
      <c r="U7858" t="s">
        <v>53485</v>
      </c>
      <c r="W7858" t="s">
        <v>43374</v>
      </c>
      <c r="X7858" t="s">
        <v>44768</v>
      </c>
    </row>
    <row r="7859" spans="1:24">
      <c r="A7859">
        <f>HYPERLINK("https://www.philgeps.gov.ph/GEPSNONPILOT/Tender/SplashBidNoticeAbstractUI.aspx?menuIndex=3&amp;refID=7144954&amp;Result=3","7144954")</f>
        <v>0</v>
      </c>
      <c r="B7859" t="s">
        <v>1023</v>
      </c>
      <c r="C7859" t="s">
        <v>11213</v>
      </c>
      <c r="D7859" t="s">
        <v>17978</v>
      </c>
      <c r="E7859" t="s">
        <v>24930</v>
      </c>
      <c r="F7859" t="s">
        <v>30900</v>
      </c>
      <c r="G7859" t="s">
        <v>30907</v>
      </c>
      <c r="H7859" t="s">
        <v>30916</v>
      </c>
      <c r="I7859" t="s">
        <v>31029</v>
      </c>
      <c r="J7859" t="s">
        <v>36020</v>
      </c>
      <c r="K7859" t="s">
        <v>40342</v>
      </c>
      <c r="M7859" t="s">
        <v>43375</v>
      </c>
      <c r="N7859" t="s">
        <v>44759</v>
      </c>
      <c r="O7859" t="s">
        <v>44760</v>
      </c>
      <c r="P7859">
        <v>0</v>
      </c>
      <c r="Q7859">
        <v>9</v>
      </c>
      <c r="R7859" t="s">
        <v>44767</v>
      </c>
      <c r="S7859" t="s">
        <v>44954</v>
      </c>
      <c r="T7859" t="s">
        <v>46793</v>
      </c>
      <c r="U7859" t="s">
        <v>53486</v>
      </c>
      <c r="W7859" t="s">
        <v>43375</v>
      </c>
      <c r="X7859" t="s">
        <v>44768</v>
      </c>
    </row>
    <row r="7860" spans="1:24">
      <c r="A7860">
        <f>HYPERLINK("https://www.philgeps.gov.ph/GEPSNONPILOT/Tender/SplashBidNoticeAbstractUI.aspx?menuIndex=3&amp;refID=7144953&amp;Result=3","7144953")</f>
        <v>0</v>
      </c>
      <c r="B7860" t="s">
        <v>2553</v>
      </c>
      <c r="C7860" t="s">
        <v>11214</v>
      </c>
      <c r="D7860" t="s">
        <v>17966</v>
      </c>
      <c r="E7860" t="s">
        <v>24931</v>
      </c>
      <c r="F7860" t="s">
        <v>30900</v>
      </c>
      <c r="G7860" t="s">
        <v>30907</v>
      </c>
      <c r="H7860" t="s">
        <v>30916</v>
      </c>
      <c r="I7860" t="s">
        <v>30922</v>
      </c>
      <c r="J7860" t="s">
        <v>36021</v>
      </c>
      <c r="K7860" t="s">
        <v>40286</v>
      </c>
      <c r="M7860" t="s">
        <v>43311</v>
      </c>
      <c r="N7860" t="s">
        <v>44759</v>
      </c>
      <c r="O7860" t="s">
        <v>44760</v>
      </c>
      <c r="P7860">
        <v>0</v>
      </c>
      <c r="Q7860">
        <v>7</v>
      </c>
      <c r="R7860" t="s">
        <v>44767</v>
      </c>
      <c r="S7860" t="s">
        <v>44954</v>
      </c>
      <c r="T7860" t="s">
        <v>46703</v>
      </c>
      <c r="U7860" t="s">
        <v>53487</v>
      </c>
      <c r="W7860" t="s">
        <v>43311</v>
      </c>
      <c r="X7860" t="s">
        <v>44768</v>
      </c>
    </row>
    <row r="7861" spans="1:24">
      <c r="A7861">
        <f>HYPERLINK("https://www.philgeps.gov.ph/GEPSNONPILOT/Tender/SplashBidNoticeAbstractUI.aspx?menuIndex=3&amp;refID=7144950&amp;Result=3","7144950")</f>
        <v>0</v>
      </c>
      <c r="B7861" t="s">
        <v>998</v>
      </c>
      <c r="C7861" t="s">
        <v>11215</v>
      </c>
      <c r="D7861" t="s">
        <v>17952</v>
      </c>
      <c r="E7861" t="s">
        <v>24932</v>
      </c>
      <c r="F7861" t="s">
        <v>30900</v>
      </c>
      <c r="G7861" t="s">
        <v>30909</v>
      </c>
      <c r="H7861" t="s">
        <v>30916</v>
      </c>
      <c r="I7861" t="s">
        <v>4050</v>
      </c>
      <c r="J7861" t="s">
        <v>31522</v>
      </c>
      <c r="K7861" t="s">
        <v>40284</v>
      </c>
      <c r="M7861" t="s">
        <v>41587</v>
      </c>
      <c r="N7861" t="s">
        <v>44759</v>
      </c>
      <c r="O7861" t="s">
        <v>44760</v>
      </c>
      <c r="P7861">
        <v>0</v>
      </c>
      <c r="Q7861">
        <v>1</v>
      </c>
      <c r="R7861" t="s">
        <v>44767</v>
      </c>
      <c r="S7861" t="s">
        <v>44954</v>
      </c>
      <c r="T7861" t="s">
        <v>46533</v>
      </c>
      <c r="U7861" t="s">
        <v>53488</v>
      </c>
      <c r="V7861" t="s">
        <v>59957</v>
      </c>
      <c r="W7861" t="s">
        <v>41587</v>
      </c>
      <c r="X7861" t="s">
        <v>44768</v>
      </c>
    </row>
    <row r="7862" spans="1:24">
      <c r="A7862">
        <f>HYPERLINK("https://www.philgeps.gov.ph/GEPSNONPILOT/Tender/SplashBidNoticeAbstractUI.aspx?menuIndex=3&amp;refID=7144871&amp;Result=3","7144871")</f>
        <v>0</v>
      </c>
      <c r="B7862" t="s">
        <v>411</v>
      </c>
      <c r="C7862" t="s">
        <v>11216</v>
      </c>
      <c r="D7862" t="s">
        <v>17959</v>
      </c>
      <c r="E7862" t="s">
        <v>24933</v>
      </c>
      <c r="F7862" t="s">
        <v>30900</v>
      </c>
      <c r="G7862" t="s">
        <v>30908</v>
      </c>
      <c r="H7862" t="s">
        <v>30916</v>
      </c>
      <c r="I7862" t="s">
        <v>30924</v>
      </c>
      <c r="J7862" t="s">
        <v>36022</v>
      </c>
      <c r="K7862" t="s">
        <v>40283</v>
      </c>
      <c r="M7862" t="s">
        <v>40967</v>
      </c>
      <c r="N7862" t="s">
        <v>44759</v>
      </c>
      <c r="O7862" t="s">
        <v>44760</v>
      </c>
      <c r="Q7862">
        <v>24</v>
      </c>
      <c r="R7862" t="s">
        <v>44767</v>
      </c>
      <c r="S7862" t="s">
        <v>44973</v>
      </c>
      <c r="T7862" t="s">
        <v>46424</v>
      </c>
      <c r="U7862" t="s">
        <v>53489</v>
      </c>
      <c r="V7862" t="s">
        <v>59783</v>
      </c>
      <c r="W7862" t="s">
        <v>40967</v>
      </c>
      <c r="X7862" t="s">
        <v>44768</v>
      </c>
    </row>
    <row r="7863" spans="1:24">
      <c r="A7863">
        <f>HYPERLINK("https://www.philgeps.gov.ph/GEPSNONPILOT/Tender/SplashBidNoticeAbstractUI.aspx?menuIndex=3&amp;refID=7144947&amp;Result=3","7144947")</f>
        <v>0</v>
      </c>
      <c r="B7863" t="s">
        <v>2612</v>
      </c>
      <c r="C7863" t="s">
        <v>11217</v>
      </c>
      <c r="D7863" t="s">
        <v>18018</v>
      </c>
      <c r="E7863" t="s">
        <v>24934</v>
      </c>
      <c r="F7863" t="s">
        <v>30900</v>
      </c>
      <c r="G7863" t="s">
        <v>30913</v>
      </c>
      <c r="H7863" t="s">
        <v>30915</v>
      </c>
      <c r="I7863" t="s">
        <v>30919</v>
      </c>
      <c r="J7863" t="s">
        <v>36023</v>
      </c>
      <c r="K7863" t="s">
        <v>40292</v>
      </c>
      <c r="M7863" t="s">
        <v>43376</v>
      </c>
      <c r="N7863" t="s">
        <v>44759</v>
      </c>
      <c r="O7863" t="s">
        <v>44760</v>
      </c>
      <c r="P7863">
        <v>0</v>
      </c>
      <c r="Q7863">
        <v>0</v>
      </c>
      <c r="R7863" t="s">
        <v>44767</v>
      </c>
      <c r="S7863" t="s">
        <v>44954</v>
      </c>
      <c r="T7863" t="s">
        <v>46495</v>
      </c>
      <c r="U7863" t="s">
        <v>53490</v>
      </c>
      <c r="V7863" t="s">
        <v>59958</v>
      </c>
      <c r="W7863" t="s">
        <v>60897</v>
      </c>
      <c r="X7863" t="s">
        <v>44768</v>
      </c>
    </row>
    <row r="7864" spans="1:24">
      <c r="A7864">
        <f>HYPERLINK("https://www.philgeps.gov.ph/GEPSNONPILOT/Tender/SplashBidNoticeAbstractUI.aspx?menuIndex=3&amp;refID=7144946&amp;Result=3","7144946")</f>
        <v>0</v>
      </c>
      <c r="B7864" t="s">
        <v>2603</v>
      </c>
      <c r="C7864" t="s">
        <v>11218</v>
      </c>
      <c r="D7864" t="s">
        <v>17959</v>
      </c>
      <c r="E7864" t="s">
        <v>24915</v>
      </c>
      <c r="F7864" t="s">
        <v>30904</v>
      </c>
      <c r="G7864" t="s">
        <v>30907</v>
      </c>
      <c r="H7864" t="s">
        <v>30916</v>
      </c>
      <c r="I7864" t="s">
        <v>5501</v>
      </c>
      <c r="J7864" t="s">
        <v>31101</v>
      </c>
      <c r="K7864" t="s">
        <v>40287</v>
      </c>
      <c r="M7864" t="s">
        <v>43366</v>
      </c>
      <c r="N7864" t="s">
        <v>44759</v>
      </c>
      <c r="O7864" t="s">
        <v>44760</v>
      </c>
      <c r="P7864">
        <v>0</v>
      </c>
      <c r="Q7864">
        <v>1</v>
      </c>
      <c r="R7864" t="s">
        <v>44767</v>
      </c>
      <c r="S7864" t="s">
        <v>44954</v>
      </c>
      <c r="T7864" t="s">
        <v>46364</v>
      </c>
      <c r="U7864" t="s">
        <v>53491</v>
      </c>
      <c r="W7864" t="s">
        <v>43366</v>
      </c>
      <c r="X7864" t="s">
        <v>44768</v>
      </c>
    </row>
    <row r="7865" spans="1:24">
      <c r="A7865">
        <f>HYPERLINK("https://www.philgeps.gov.ph/GEPSNONPILOT/Tender/SplashBidNoticeAbstractUI.aspx?menuIndex=3&amp;refID=7145001&amp;Result=3","7145001")</f>
        <v>0</v>
      </c>
      <c r="B7865" t="s">
        <v>1915</v>
      </c>
      <c r="C7865" t="s">
        <v>11219</v>
      </c>
      <c r="D7865" t="s">
        <v>17959</v>
      </c>
      <c r="E7865" t="s">
        <v>21824</v>
      </c>
      <c r="F7865" t="s">
        <v>30900</v>
      </c>
      <c r="G7865" t="s">
        <v>30907</v>
      </c>
      <c r="H7865" t="s">
        <v>30916</v>
      </c>
      <c r="I7865" t="s">
        <v>31003</v>
      </c>
      <c r="J7865" t="s">
        <v>31049</v>
      </c>
      <c r="K7865" t="s">
        <v>40287</v>
      </c>
      <c r="M7865" t="s">
        <v>42593</v>
      </c>
      <c r="N7865" t="s">
        <v>44759</v>
      </c>
      <c r="O7865" t="s">
        <v>44760</v>
      </c>
      <c r="P7865">
        <v>0</v>
      </c>
      <c r="Q7865">
        <v>3</v>
      </c>
      <c r="R7865" t="s">
        <v>44767</v>
      </c>
      <c r="S7865" t="s">
        <v>44954</v>
      </c>
      <c r="T7865" t="s">
        <v>46547</v>
      </c>
      <c r="U7865" t="s">
        <v>53492</v>
      </c>
      <c r="W7865" t="s">
        <v>42593</v>
      </c>
      <c r="X7865" t="s">
        <v>44768</v>
      </c>
    </row>
    <row r="7866" spans="1:24">
      <c r="A7866">
        <f>HYPERLINK("https://www.philgeps.gov.ph/GEPSNONPILOT/Tender/SplashBidNoticeAbstractUI.aspx?menuIndex=3&amp;refID=7144933&amp;Result=3","7144933")</f>
        <v>0</v>
      </c>
      <c r="B7866" t="s">
        <v>2603</v>
      </c>
      <c r="C7866" t="s">
        <v>11220</v>
      </c>
      <c r="D7866" t="s">
        <v>17959</v>
      </c>
      <c r="E7866" t="s">
        <v>24915</v>
      </c>
      <c r="F7866" t="s">
        <v>30904</v>
      </c>
      <c r="G7866" t="s">
        <v>30907</v>
      </c>
      <c r="H7866" t="s">
        <v>30916</v>
      </c>
      <c r="I7866" t="s">
        <v>30997</v>
      </c>
      <c r="J7866" t="s">
        <v>31271</v>
      </c>
      <c r="K7866" t="s">
        <v>40287</v>
      </c>
      <c r="M7866" t="s">
        <v>43366</v>
      </c>
      <c r="N7866" t="s">
        <v>44759</v>
      </c>
      <c r="O7866" t="s">
        <v>44760</v>
      </c>
      <c r="P7866">
        <v>0</v>
      </c>
      <c r="Q7866">
        <v>3</v>
      </c>
      <c r="R7866" t="s">
        <v>44767</v>
      </c>
      <c r="S7866" t="s">
        <v>44954</v>
      </c>
      <c r="T7866" t="s">
        <v>46364</v>
      </c>
      <c r="U7866" t="s">
        <v>53493</v>
      </c>
      <c r="W7866" t="s">
        <v>43366</v>
      </c>
      <c r="X7866" t="s">
        <v>44768</v>
      </c>
    </row>
    <row r="7867" spans="1:24">
      <c r="A7867">
        <f>HYPERLINK("https://www.philgeps.gov.ph/GEPSNONPILOT/Tender/SplashBidNoticeAbstractUI.aspx?menuIndex=3&amp;refID=7144965&amp;Result=3","7144965")</f>
        <v>0</v>
      </c>
      <c r="B7867" t="s">
        <v>1679</v>
      </c>
      <c r="C7867" t="s">
        <v>11221</v>
      </c>
      <c r="D7867" t="s">
        <v>17953</v>
      </c>
      <c r="E7867" t="s">
        <v>24935</v>
      </c>
      <c r="F7867" t="s">
        <v>30900</v>
      </c>
      <c r="G7867" t="s">
        <v>30907</v>
      </c>
      <c r="H7867" t="s">
        <v>30916</v>
      </c>
      <c r="I7867" t="s">
        <v>8123</v>
      </c>
      <c r="J7867" t="s">
        <v>32052</v>
      </c>
      <c r="K7867" t="s">
        <v>40287</v>
      </c>
      <c r="L7867" t="s">
        <v>1679</v>
      </c>
      <c r="M7867" t="s">
        <v>42338</v>
      </c>
      <c r="N7867" t="s">
        <v>44759</v>
      </c>
      <c r="O7867" t="s">
        <v>44760</v>
      </c>
      <c r="P7867">
        <v>0</v>
      </c>
      <c r="Q7867">
        <v>1</v>
      </c>
      <c r="R7867" t="s">
        <v>44767</v>
      </c>
      <c r="S7867" t="s">
        <v>44954</v>
      </c>
      <c r="T7867" t="s">
        <v>46403</v>
      </c>
      <c r="U7867" t="s">
        <v>50693</v>
      </c>
      <c r="V7867" t="s">
        <v>59595</v>
      </c>
      <c r="W7867" t="s">
        <v>42338</v>
      </c>
      <c r="X7867" t="s">
        <v>44768</v>
      </c>
    </row>
    <row r="7868" spans="1:24">
      <c r="A7868">
        <f>HYPERLINK("https://www.philgeps.gov.ph/GEPSNONPILOT/Tender/SplashBidNoticeAbstractUI.aspx?menuIndex=3&amp;refID=7144992&amp;Result=3","7144992")</f>
        <v>0</v>
      </c>
      <c r="B7868" t="s">
        <v>1251</v>
      </c>
      <c r="C7868" t="s">
        <v>11222</v>
      </c>
      <c r="D7868" t="s">
        <v>17963</v>
      </c>
      <c r="E7868" t="s">
        <v>19793</v>
      </c>
      <c r="F7868" t="s">
        <v>30900</v>
      </c>
      <c r="G7868" t="s">
        <v>30908</v>
      </c>
      <c r="H7868" t="s">
        <v>30916</v>
      </c>
      <c r="I7868" t="s">
        <v>30927</v>
      </c>
      <c r="J7868" t="s">
        <v>36024</v>
      </c>
      <c r="K7868" t="s">
        <v>40286</v>
      </c>
      <c r="M7868" t="s">
        <v>41863</v>
      </c>
      <c r="N7868" t="s">
        <v>44759</v>
      </c>
      <c r="O7868" t="s">
        <v>44760</v>
      </c>
      <c r="P7868">
        <v>0</v>
      </c>
      <c r="Q7868">
        <v>0</v>
      </c>
      <c r="R7868" t="s">
        <v>44767</v>
      </c>
      <c r="S7868" t="s">
        <v>44954</v>
      </c>
      <c r="T7868" t="s">
        <v>46662</v>
      </c>
      <c r="U7868" t="s">
        <v>53494</v>
      </c>
      <c r="W7868" t="s">
        <v>41863</v>
      </c>
      <c r="X7868" t="s">
        <v>44768</v>
      </c>
    </row>
    <row r="7869" spans="1:24">
      <c r="A7869">
        <f>HYPERLINK("https://www.philgeps.gov.ph/GEPSNONPILOT/Tender/SplashBidNoticeAbstractUI.aspx?menuIndex=3&amp;refID=7144993&amp;Result=3","7144993")</f>
        <v>0</v>
      </c>
      <c r="B7869" t="s">
        <v>937</v>
      </c>
      <c r="C7869" t="s">
        <v>11223</v>
      </c>
      <c r="D7869" t="s">
        <v>17998</v>
      </c>
      <c r="E7869" t="s">
        <v>24936</v>
      </c>
      <c r="F7869" t="s">
        <v>30900</v>
      </c>
      <c r="G7869" t="s">
        <v>30907</v>
      </c>
      <c r="H7869" t="s">
        <v>30916</v>
      </c>
      <c r="I7869" t="s">
        <v>30939</v>
      </c>
      <c r="J7869" t="s">
        <v>32795</v>
      </c>
      <c r="K7869" t="s">
        <v>40289</v>
      </c>
      <c r="M7869" t="s">
        <v>41520</v>
      </c>
      <c r="N7869" t="s">
        <v>44759</v>
      </c>
      <c r="O7869" t="s">
        <v>44760</v>
      </c>
      <c r="P7869">
        <v>0</v>
      </c>
      <c r="Q7869">
        <v>0</v>
      </c>
      <c r="R7869" t="s">
        <v>44767</v>
      </c>
      <c r="S7869" t="s">
        <v>44954</v>
      </c>
      <c r="T7869" t="s">
        <v>46387</v>
      </c>
      <c r="U7869" t="s">
        <v>53495</v>
      </c>
      <c r="W7869" t="s">
        <v>41520</v>
      </c>
      <c r="X7869" t="s">
        <v>44768</v>
      </c>
    </row>
    <row r="7870" spans="1:24">
      <c r="A7870">
        <f>HYPERLINK("https://www.philgeps.gov.ph/GEPSNONPILOT/Tender/SplashBidNoticeAbstractUI.aspx?menuIndex=3&amp;refID=7144951&amp;Result=3","7144951")</f>
        <v>0</v>
      </c>
      <c r="B7870" t="s">
        <v>2613</v>
      </c>
      <c r="C7870" t="s">
        <v>11224</v>
      </c>
      <c r="D7870" t="s">
        <v>17961</v>
      </c>
      <c r="E7870" t="s">
        <v>20084</v>
      </c>
      <c r="F7870" t="s">
        <v>30900</v>
      </c>
      <c r="G7870" t="s">
        <v>30910</v>
      </c>
      <c r="H7870" t="s">
        <v>30916</v>
      </c>
      <c r="I7870" t="s">
        <v>6396</v>
      </c>
      <c r="J7870" t="s">
        <v>36025</v>
      </c>
      <c r="K7870" t="s">
        <v>40285</v>
      </c>
      <c r="M7870" t="s">
        <v>43377</v>
      </c>
      <c r="N7870" t="s">
        <v>44759</v>
      </c>
      <c r="O7870" t="s">
        <v>44760</v>
      </c>
      <c r="P7870">
        <v>0</v>
      </c>
      <c r="Q7870">
        <v>0</v>
      </c>
      <c r="R7870" t="s">
        <v>44767</v>
      </c>
      <c r="S7870" t="s">
        <v>44954</v>
      </c>
      <c r="T7870" t="s">
        <v>46374</v>
      </c>
      <c r="U7870" t="s">
        <v>53496</v>
      </c>
      <c r="W7870" t="s">
        <v>43377</v>
      </c>
      <c r="X7870" t="s">
        <v>44768</v>
      </c>
    </row>
    <row r="7871" spans="1:24">
      <c r="A7871">
        <f>HYPERLINK("https://www.philgeps.gov.ph/GEPSNONPILOT/Tender/SplashBidNoticeAbstractUI.aspx?menuIndex=3&amp;refID=7144988&amp;Result=3","7144988")</f>
        <v>0</v>
      </c>
      <c r="B7871" t="s">
        <v>937</v>
      </c>
      <c r="C7871" t="s">
        <v>11225</v>
      </c>
      <c r="D7871" t="s">
        <v>17998</v>
      </c>
      <c r="E7871" t="s">
        <v>24937</v>
      </c>
      <c r="F7871" t="s">
        <v>30900</v>
      </c>
      <c r="G7871" t="s">
        <v>30907</v>
      </c>
      <c r="H7871" t="s">
        <v>30916</v>
      </c>
      <c r="I7871" t="s">
        <v>30927</v>
      </c>
      <c r="J7871" t="s">
        <v>36026</v>
      </c>
      <c r="K7871" t="s">
        <v>40289</v>
      </c>
      <c r="M7871" t="s">
        <v>41520</v>
      </c>
      <c r="N7871" t="s">
        <v>44759</v>
      </c>
      <c r="O7871" t="s">
        <v>44760</v>
      </c>
      <c r="P7871">
        <v>0</v>
      </c>
      <c r="Q7871">
        <v>1</v>
      </c>
      <c r="R7871" t="s">
        <v>44767</v>
      </c>
      <c r="S7871" t="s">
        <v>44954</v>
      </c>
      <c r="T7871" t="s">
        <v>46387</v>
      </c>
      <c r="U7871" t="s">
        <v>53495</v>
      </c>
      <c r="W7871" t="s">
        <v>41520</v>
      </c>
      <c r="X7871" t="s">
        <v>44768</v>
      </c>
    </row>
    <row r="7872" spans="1:24">
      <c r="A7872">
        <f>HYPERLINK("https://www.philgeps.gov.ph/GEPSNONPILOT/Tender/SplashBidNoticeAbstractUI.aspx?menuIndex=3&amp;refID=7144984&amp;Result=3","7144984")</f>
        <v>0</v>
      </c>
      <c r="B7872" t="s">
        <v>1353</v>
      </c>
      <c r="C7872" t="s">
        <v>11226</v>
      </c>
      <c r="D7872" t="s">
        <v>17994</v>
      </c>
      <c r="E7872" t="s">
        <v>24938</v>
      </c>
      <c r="F7872" t="s">
        <v>30900</v>
      </c>
      <c r="G7872" t="s">
        <v>30907</v>
      </c>
      <c r="H7872" t="s">
        <v>30916</v>
      </c>
      <c r="I7872" t="s">
        <v>30922</v>
      </c>
      <c r="J7872" t="s">
        <v>36027</v>
      </c>
      <c r="K7872" t="s">
        <v>40293</v>
      </c>
      <c r="M7872" t="s">
        <v>41975</v>
      </c>
      <c r="N7872" t="s">
        <v>44759</v>
      </c>
      <c r="O7872" t="s">
        <v>44760</v>
      </c>
      <c r="P7872">
        <v>0</v>
      </c>
      <c r="Q7872">
        <v>7</v>
      </c>
      <c r="R7872" t="s">
        <v>44767</v>
      </c>
      <c r="S7872" t="s">
        <v>44954</v>
      </c>
      <c r="T7872" t="s">
        <v>46794</v>
      </c>
      <c r="U7872" t="s">
        <v>53497</v>
      </c>
      <c r="W7872" t="s">
        <v>41975</v>
      </c>
      <c r="X7872" t="s">
        <v>44768</v>
      </c>
    </row>
    <row r="7873" spans="1:24">
      <c r="A7873">
        <f>HYPERLINK("https://www.philgeps.gov.ph/GEPSNONPILOT/Tender/SplashBidNoticeAbstractUI.aspx?menuIndex=3&amp;refID=7144999&amp;Result=3","7144999")</f>
        <v>0</v>
      </c>
      <c r="B7873" t="s">
        <v>1089</v>
      </c>
      <c r="C7873" t="s">
        <v>11227</v>
      </c>
      <c r="D7873" t="s">
        <v>17959</v>
      </c>
      <c r="E7873" t="s">
        <v>24939</v>
      </c>
      <c r="F7873" t="s">
        <v>30900</v>
      </c>
      <c r="G7873" t="s">
        <v>30908</v>
      </c>
      <c r="H7873" t="s">
        <v>30916</v>
      </c>
      <c r="I7873" t="s">
        <v>30969</v>
      </c>
      <c r="J7873" t="s">
        <v>31101</v>
      </c>
      <c r="K7873" t="s">
        <v>40291</v>
      </c>
      <c r="M7873" t="s">
        <v>41689</v>
      </c>
      <c r="N7873" t="s">
        <v>44759</v>
      </c>
      <c r="O7873" t="s">
        <v>44760</v>
      </c>
      <c r="P7873">
        <v>0</v>
      </c>
      <c r="Q7873">
        <v>4</v>
      </c>
      <c r="R7873" t="s">
        <v>44767</v>
      </c>
      <c r="S7873" t="s">
        <v>44954</v>
      </c>
      <c r="T7873" t="s">
        <v>46531</v>
      </c>
      <c r="U7873" t="s">
        <v>53498</v>
      </c>
      <c r="W7873" t="s">
        <v>41689</v>
      </c>
      <c r="X7873" t="s">
        <v>44768</v>
      </c>
    </row>
    <row r="7874" spans="1:24">
      <c r="A7874">
        <f>HYPERLINK("https://www.philgeps.gov.ph/GEPSNONPILOT/Tender/SplashBidNoticeAbstractUI.aspx?menuIndex=3&amp;refID=7144981&amp;Result=3","7144981")</f>
        <v>0</v>
      </c>
      <c r="B7874" t="s">
        <v>2614</v>
      </c>
      <c r="C7874" t="s">
        <v>11228</v>
      </c>
      <c r="D7874" t="s">
        <v>17955</v>
      </c>
      <c r="E7874" t="s">
        <v>24940</v>
      </c>
      <c r="F7874" t="s">
        <v>30900</v>
      </c>
      <c r="G7874" t="s">
        <v>30907</v>
      </c>
      <c r="H7874" t="s">
        <v>30917</v>
      </c>
      <c r="I7874" t="s">
        <v>31000</v>
      </c>
      <c r="J7874" t="s">
        <v>33980</v>
      </c>
      <c r="K7874" t="s">
        <v>40287</v>
      </c>
      <c r="M7874" t="s">
        <v>43378</v>
      </c>
      <c r="N7874" t="s">
        <v>44759</v>
      </c>
      <c r="O7874" t="s">
        <v>44760</v>
      </c>
      <c r="P7874">
        <v>0</v>
      </c>
      <c r="Q7874">
        <v>1</v>
      </c>
      <c r="R7874" t="s">
        <v>44767</v>
      </c>
      <c r="S7874" t="s">
        <v>44954</v>
      </c>
      <c r="T7874" t="s">
        <v>46403</v>
      </c>
      <c r="U7874" t="s">
        <v>53499</v>
      </c>
      <c r="W7874" t="s">
        <v>43378</v>
      </c>
      <c r="X7874" t="s">
        <v>44768</v>
      </c>
    </row>
    <row r="7875" spans="1:24">
      <c r="A7875">
        <f>HYPERLINK("https://www.philgeps.gov.ph/GEPSNONPILOT/Tender/SplashBidNoticeAbstractUI.aspx?menuIndex=3&amp;refID=7144978&amp;Result=3","7144978")</f>
        <v>0</v>
      </c>
      <c r="B7875" t="s">
        <v>1353</v>
      </c>
      <c r="C7875" t="s">
        <v>11229</v>
      </c>
      <c r="D7875" t="s">
        <v>17994</v>
      </c>
      <c r="E7875" t="s">
        <v>24941</v>
      </c>
      <c r="F7875" t="s">
        <v>30900</v>
      </c>
      <c r="G7875" t="s">
        <v>30907</v>
      </c>
      <c r="H7875" t="s">
        <v>30916</v>
      </c>
      <c r="I7875" t="s">
        <v>30963</v>
      </c>
      <c r="J7875" t="s">
        <v>36028</v>
      </c>
      <c r="K7875" t="s">
        <v>40280</v>
      </c>
      <c r="M7875" t="s">
        <v>41975</v>
      </c>
      <c r="N7875" t="s">
        <v>44759</v>
      </c>
      <c r="O7875" t="s">
        <v>44760</v>
      </c>
      <c r="P7875">
        <v>0</v>
      </c>
      <c r="Q7875">
        <v>7</v>
      </c>
      <c r="R7875" t="s">
        <v>44767</v>
      </c>
      <c r="S7875" t="s">
        <v>44954</v>
      </c>
      <c r="T7875" t="s">
        <v>46795</v>
      </c>
      <c r="U7875" t="s">
        <v>53500</v>
      </c>
      <c r="W7875" t="s">
        <v>41975</v>
      </c>
      <c r="X7875" t="s">
        <v>44768</v>
      </c>
    </row>
    <row r="7876" spans="1:24">
      <c r="A7876">
        <f>HYPERLINK("https://www.philgeps.gov.ph/GEPSNONPILOT/Tender/SplashBidNoticeAbstractUI.aspx?menuIndex=3&amp;refID=7144990&amp;Result=3","7144990")</f>
        <v>0</v>
      </c>
      <c r="B7876" t="s">
        <v>1089</v>
      </c>
      <c r="C7876" t="s">
        <v>11230</v>
      </c>
      <c r="D7876" t="s">
        <v>17959</v>
      </c>
      <c r="E7876" t="s">
        <v>24942</v>
      </c>
      <c r="F7876" t="s">
        <v>30900</v>
      </c>
      <c r="G7876" t="s">
        <v>30910</v>
      </c>
      <c r="H7876" t="s">
        <v>30916</v>
      </c>
      <c r="I7876" t="s">
        <v>30923</v>
      </c>
      <c r="J7876" t="s">
        <v>36029</v>
      </c>
      <c r="K7876" t="s">
        <v>40284</v>
      </c>
      <c r="M7876" t="s">
        <v>41689</v>
      </c>
      <c r="N7876" t="s">
        <v>44759</v>
      </c>
      <c r="O7876" t="s">
        <v>44760</v>
      </c>
      <c r="P7876">
        <v>0</v>
      </c>
      <c r="Q7876">
        <v>8</v>
      </c>
      <c r="R7876" t="s">
        <v>44767</v>
      </c>
      <c r="S7876" t="s">
        <v>44954</v>
      </c>
      <c r="T7876" t="s">
        <v>46531</v>
      </c>
      <c r="U7876" t="s">
        <v>53501</v>
      </c>
      <c r="W7876" t="s">
        <v>41689</v>
      </c>
      <c r="X7876" t="s">
        <v>44768</v>
      </c>
    </row>
    <row r="7877" spans="1:24">
      <c r="A7877">
        <f>HYPERLINK("https://www.philgeps.gov.ph/GEPSNONPILOT/Tender/SplashBidNoticeAbstractUI.aspx?menuIndex=3&amp;refID=7144977&amp;Result=3","7144977")</f>
        <v>0</v>
      </c>
      <c r="B7877" t="s">
        <v>937</v>
      </c>
      <c r="C7877" t="s">
        <v>11231</v>
      </c>
      <c r="D7877" t="s">
        <v>17998</v>
      </c>
      <c r="E7877" t="s">
        <v>24943</v>
      </c>
      <c r="F7877" t="s">
        <v>30900</v>
      </c>
      <c r="G7877" t="s">
        <v>30907</v>
      </c>
      <c r="H7877" t="s">
        <v>30916</v>
      </c>
      <c r="I7877" t="s">
        <v>4142</v>
      </c>
      <c r="J7877" t="s">
        <v>36030</v>
      </c>
      <c r="K7877" t="s">
        <v>40289</v>
      </c>
      <c r="M7877" t="s">
        <v>41520</v>
      </c>
      <c r="N7877" t="s">
        <v>44759</v>
      </c>
      <c r="O7877" t="s">
        <v>44760</v>
      </c>
      <c r="P7877">
        <v>0</v>
      </c>
      <c r="Q7877">
        <v>1</v>
      </c>
      <c r="R7877" t="s">
        <v>44767</v>
      </c>
      <c r="S7877" t="s">
        <v>44954</v>
      </c>
      <c r="T7877" t="s">
        <v>46387</v>
      </c>
      <c r="U7877" t="s">
        <v>53495</v>
      </c>
      <c r="W7877" t="s">
        <v>41520</v>
      </c>
      <c r="X7877" t="s">
        <v>44768</v>
      </c>
    </row>
    <row r="7878" spans="1:24">
      <c r="A7878">
        <f>HYPERLINK("https://www.philgeps.gov.ph/GEPSNONPILOT/Tender/SplashBidNoticeAbstractUI.aspx?menuIndex=3&amp;refID=7144973&amp;Result=3","7144973")</f>
        <v>0</v>
      </c>
      <c r="B7878" t="s">
        <v>2606</v>
      </c>
      <c r="C7878" t="s">
        <v>11232</v>
      </c>
      <c r="D7878" t="s">
        <v>17985</v>
      </c>
      <c r="E7878" t="s">
        <v>18158</v>
      </c>
      <c r="F7878" t="s">
        <v>30899</v>
      </c>
      <c r="G7878" t="s">
        <v>30908</v>
      </c>
      <c r="H7878" t="s">
        <v>30916</v>
      </c>
      <c r="I7878" t="s">
        <v>30919</v>
      </c>
      <c r="J7878" t="s">
        <v>36031</v>
      </c>
      <c r="K7878" t="s">
        <v>40280</v>
      </c>
      <c r="M7878" t="s">
        <v>43369</v>
      </c>
      <c r="N7878" t="s">
        <v>44759</v>
      </c>
      <c r="O7878" t="s">
        <v>44760</v>
      </c>
      <c r="P7878">
        <v>0</v>
      </c>
      <c r="Q7878">
        <v>0</v>
      </c>
      <c r="R7878" t="s">
        <v>44767</v>
      </c>
      <c r="S7878" t="s">
        <v>44954</v>
      </c>
      <c r="T7878" t="s">
        <v>46548</v>
      </c>
      <c r="U7878" t="s">
        <v>53502</v>
      </c>
      <c r="W7878" t="s">
        <v>43369</v>
      </c>
      <c r="X7878" t="s">
        <v>44768</v>
      </c>
    </row>
    <row r="7879" spans="1:24">
      <c r="A7879">
        <f>HYPERLINK("https://www.philgeps.gov.ph/GEPSNONPILOT/Tender/SplashBidNoticeAbstractUI.aspx?menuIndex=3&amp;refID=7145002&amp;Result=3","7145002")</f>
        <v>0</v>
      </c>
      <c r="B7879" t="s">
        <v>2615</v>
      </c>
      <c r="C7879" t="s">
        <v>11233</v>
      </c>
      <c r="D7879" t="s">
        <v>18002</v>
      </c>
      <c r="E7879" t="s">
        <v>18094</v>
      </c>
      <c r="F7879" t="s">
        <v>30900</v>
      </c>
      <c r="G7879" t="s">
        <v>30907</v>
      </c>
      <c r="H7879" t="s">
        <v>30915</v>
      </c>
      <c r="I7879" t="s">
        <v>30919</v>
      </c>
      <c r="J7879" t="s">
        <v>36032</v>
      </c>
      <c r="K7879" t="s">
        <v>40286</v>
      </c>
      <c r="M7879" t="s">
        <v>43379</v>
      </c>
      <c r="N7879" t="s">
        <v>44759</v>
      </c>
      <c r="O7879" t="s">
        <v>44760</v>
      </c>
      <c r="P7879">
        <v>0</v>
      </c>
      <c r="Q7879">
        <v>0</v>
      </c>
      <c r="R7879" t="s">
        <v>44767</v>
      </c>
      <c r="S7879" t="s">
        <v>44954</v>
      </c>
      <c r="T7879" t="s">
        <v>46374</v>
      </c>
      <c r="U7879" t="s">
        <v>53503</v>
      </c>
      <c r="W7879" t="s">
        <v>43379</v>
      </c>
      <c r="X7879" t="s">
        <v>44768</v>
      </c>
    </row>
    <row r="7880" spans="1:24">
      <c r="A7880">
        <f>HYPERLINK("https://www.philgeps.gov.ph/GEPSNONPILOT/Tender/SplashBidNoticeAbstractUI.aspx?menuIndex=3&amp;refID=7145044&amp;Result=3","7145044")</f>
        <v>0</v>
      </c>
      <c r="B7880" t="s">
        <v>1868</v>
      </c>
      <c r="C7880" t="s">
        <v>11234</v>
      </c>
      <c r="D7880" t="s">
        <v>17959</v>
      </c>
      <c r="E7880" t="s">
        <v>24944</v>
      </c>
      <c r="F7880" t="s">
        <v>30900</v>
      </c>
      <c r="G7880" t="s">
        <v>30908</v>
      </c>
      <c r="H7880" t="s">
        <v>7411</v>
      </c>
      <c r="I7880" t="s">
        <v>7411</v>
      </c>
      <c r="J7880" t="s">
        <v>31341</v>
      </c>
      <c r="K7880" t="s">
        <v>40289</v>
      </c>
      <c r="M7880" t="s">
        <v>42542</v>
      </c>
      <c r="N7880" t="s">
        <v>44759</v>
      </c>
      <c r="O7880" t="s">
        <v>44760</v>
      </c>
      <c r="P7880">
        <v>0</v>
      </c>
      <c r="Q7880">
        <v>4</v>
      </c>
      <c r="R7880" t="s">
        <v>44767</v>
      </c>
      <c r="S7880" t="s">
        <v>44954</v>
      </c>
      <c r="T7880" t="s">
        <v>46700</v>
      </c>
      <c r="U7880" t="s">
        <v>53504</v>
      </c>
      <c r="W7880" t="s">
        <v>42542</v>
      </c>
      <c r="X7880" t="s">
        <v>44768</v>
      </c>
    </row>
    <row r="7881" spans="1:24">
      <c r="A7881">
        <f>HYPERLINK("https://www.philgeps.gov.ph/GEPSNONPILOT/Tender/SplashBidNoticeAbstractUI.aspx?menuIndex=3&amp;refID=7145043&amp;Result=3","7145043")</f>
        <v>0</v>
      </c>
      <c r="B7881" t="s">
        <v>2616</v>
      </c>
      <c r="C7881" t="s">
        <v>11235</v>
      </c>
      <c r="E7881" t="s">
        <v>24945</v>
      </c>
      <c r="F7881" t="s">
        <v>30900</v>
      </c>
      <c r="G7881" t="s">
        <v>30907</v>
      </c>
      <c r="H7881" t="s">
        <v>30916</v>
      </c>
      <c r="I7881" t="s">
        <v>4142</v>
      </c>
      <c r="J7881" t="s">
        <v>36033</v>
      </c>
      <c r="K7881" t="s">
        <v>40289</v>
      </c>
      <c r="M7881" t="s">
        <v>43380</v>
      </c>
      <c r="N7881" t="s">
        <v>44759</v>
      </c>
      <c r="O7881" t="s">
        <v>44760</v>
      </c>
      <c r="P7881">
        <v>0</v>
      </c>
      <c r="Q7881">
        <v>1</v>
      </c>
      <c r="R7881" t="s">
        <v>44767</v>
      </c>
      <c r="S7881" t="s">
        <v>44954</v>
      </c>
      <c r="T7881" t="s">
        <v>46472</v>
      </c>
      <c r="U7881" t="s">
        <v>53505</v>
      </c>
      <c r="W7881" t="s">
        <v>43380</v>
      </c>
      <c r="X7881" t="s">
        <v>44768</v>
      </c>
    </row>
    <row r="7882" spans="1:24">
      <c r="A7882">
        <f>HYPERLINK("https://www.philgeps.gov.ph/GEPSNONPILOT/Tender/SplashBidNoticeAbstractUI.aspx?menuIndex=3&amp;refID=7145042&amp;Result=3","7145042")</f>
        <v>0</v>
      </c>
      <c r="B7882" t="s">
        <v>817</v>
      </c>
      <c r="C7882" t="s">
        <v>11236</v>
      </c>
      <c r="D7882" t="s">
        <v>18025</v>
      </c>
      <c r="E7882" t="s">
        <v>24946</v>
      </c>
      <c r="F7882" t="s">
        <v>30900</v>
      </c>
      <c r="G7882" t="s">
        <v>30907</v>
      </c>
      <c r="H7882" t="s">
        <v>30916</v>
      </c>
      <c r="I7882" t="s">
        <v>31001</v>
      </c>
      <c r="J7882" t="s">
        <v>36034</v>
      </c>
      <c r="K7882" t="s">
        <v>40286</v>
      </c>
      <c r="M7882" t="s">
        <v>41388</v>
      </c>
      <c r="N7882" t="s">
        <v>44759</v>
      </c>
      <c r="O7882" t="s">
        <v>44760</v>
      </c>
      <c r="P7882">
        <v>0</v>
      </c>
      <c r="Q7882">
        <v>2</v>
      </c>
      <c r="R7882" t="s">
        <v>44767</v>
      </c>
      <c r="S7882" t="s">
        <v>44954</v>
      </c>
      <c r="T7882" t="s">
        <v>46544</v>
      </c>
      <c r="U7882" t="s">
        <v>53506</v>
      </c>
      <c r="W7882" t="s">
        <v>41388</v>
      </c>
      <c r="X7882" t="s">
        <v>44768</v>
      </c>
    </row>
    <row r="7883" spans="1:24">
      <c r="A7883">
        <f>HYPERLINK("https://www.philgeps.gov.ph/GEPSNONPILOT/Tender/SplashBidNoticeAbstractUI.aspx?menuIndex=3&amp;refID=7144983&amp;Result=3","7144983")</f>
        <v>0</v>
      </c>
      <c r="B7883" t="s">
        <v>937</v>
      </c>
      <c r="C7883" t="s">
        <v>11237</v>
      </c>
      <c r="D7883" t="s">
        <v>17998</v>
      </c>
      <c r="E7883" t="s">
        <v>24947</v>
      </c>
      <c r="F7883" t="s">
        <v>30900</v>
      </c>
      <c r="G7883" t="s">
        <v>30907</v>
      </c>
      <c r="H7883" t="s">
        <v>30916</v>
      </c>
      <c r="I7883" t="s">
        <v>10847</v>
      </c>
      <c r="J7883" t="s">
        <v>31407</v>
      </c>
      <c r="K7883" t="s">
        <v>40289</v>
      </c>
      <c r="M7883" t="s">
        <v>41520</v>
      </c>
      <c r="N7883" t="s">
        <v>44759</v>
      </c>
      <c r="O7883" t="s">
        <v>44760</v>
      </c>
      <c r="P7883">
        <v>0</v>
      </c>
      <c r="Q7883">
        <v>0</v>
      </c>
      <c r="R7883" t="s">
        <v>44767</v>
      </c>
      <c r="S7883" t="s">
        <v>44954</v>
      </c>
      <c r="T7883" t="s">
        <v>46387</v>
      </c>
      <c r="U7883" t="s">
        <v>53495</v>
      </c>
      <c r="W7883" t="s">
        <v>41520</v>
      </c>
      <c r="X7883" t="s">
        <v>44768</v>
      </c>
    </row>
    <row r="7884" spans="1:24">
      <c r="A7884">
        <f>HYPERLINK("https://www.philgeps.gov.ph/GEPSNONPILOT/Tender/SplashBidNoticeAbstractUI.aspx?menuIndex=3&amp;refID=7145039&amp;Result=3","7145039")</f>
        <v>0</v>
      </c>
      <c r="B7884" t="s">
        <v>2617</v>
      </c>
      <c r="C7884" t="s">
        <v>11238</v>
      </c>
      <c r="D7884" t="s">
        <v>18001</v>
      </c>
      <c r="E7884" t="s">
        <v>24948</v>
      </c>
      <c r="F7884" t="s">
        <v>30899</v>
      </c>
      <c r="G7884" t="s">
        <v>30910</v>
      </c>
      <c r="H7884" t="s">
        <v>30916</v>
      </c>
      <c r="I7884" t="s">
        <v>30935</v>
      </c>
      <c r="J7884" t="s">
        <v>36035</v>
      </c>
      <c r="K7884" t="s">
        <v>40281</v>
      </c>
      <c r="L7884" t="s">
        <v>2617</v>
      </c>
      <c r="M7884" t="s">
        <v>43381</v>
      </c>
      <c r="N7884" t="s">
        <v>44759</v>
      </c>
      <c r="O7884" t="s">
        <v>44760</v>
      </c>
      <c r="P7884">
        <v>0</v>
      </c>
      <c r="Q7884">
        <v>1</v>
      </c>
      <c r="R7884" t="s">
        <v>44767</v>
      </c>
      <c r="S7884" t="s">
        <v>44954</v>
      </c>
      <c r="T7884" t="s">
        <v>46374</v>
      </c>
      <c r="U7884" t="s">
        <v>53507</v>
      </c>
      <c r="W7884" t="s">
        <v>43381</v>
      </c>
      <c r="X7884" t="s">
        <v>44768</v>
      </c>
    </row>
    <row r="7885" spans="1:24">
      <c r="A7885">
        <f>HYPERLINK("https://www.philgeps.gov.ph/GEPSNONPILOT/Tender/SplashBidNoticeAbstractUI.aspx?menuIndex=3&amp;refID=7145036&amp;Result=3","7145036")</f>
        <v>0</v>
      </c>
      <c r="B7885" t="s">
        <v>2618</v>
      </c>
      <c r="C7885" t="s">
        <v>11239</v>
      </c>
      <c r="D7885" t="s">
        <v>17963</v>
      </c>
      <c r="E7885" t="s">
        <v>24949</v>
      </c>
      <c r="F7885" t="s">
        <v>30900</v>
      </c>
      <c r="G7885" t="s">
        <v>30907</v>
      </c>
      <c r="H7885" t="s">
        <v>30916</v>
      </c>
      <c r="I7885" t="s">
        <v>4545</v>
      </c>
      <c r="J7885" t="s">
        <v>36036</v>
      </c>
      <c r="K7885" t="s">
        <v>40289</v>
      </c>
      <c r="M7885" t="s">
        <v>43382</v>
      </c>
      <c r="N7885" t="s">
        <v>44759</v>
      </c>
      <c r="O7885" t="s">
        <v>44760</v>
      </c>
      <c r="P7885">
        <v>0</v>
      </c>
      <c r="Q7885">
        <v>5</v>
      </c>
      <c r="R7885" t="s">
        <v>44767</v>
      </c>
      <c r="S7885" t="s">
        <v>44954</v>
      </c>
      <c r="T7885" t="s">
        <v>46398</v>
      </c>
      <c r="U7885" t="s">
        <v>53508</v>
      </c>
      <c r="V7885" t="s">
        <v>59959</v>
      </c>
      <c r="W7885" t="s">
        <v>43382</v>
      </c>
      <c r="X7885" t="s">
        <v>44768</v>
      </c>
    </row>
    <row r="7886" spans="1:24">
      <c r="A7886">
        <f>HYPERLINK("https://www.philgeps.gov.ph/GEPSNONPILOT/Tender/SplashBidNoticeAbstractUI.aspx?menuIndex=3&amp;refID=7144989&amp;Result=3","7144989")</f>
        <v>0</v>
      </c>
      <c r="B7886" t="s">
        <v>1353</v>
      </c>
      <c r="C7886" t="s">
        <v>11240</v>
      </c>
      <c r="D7886" t="s">
        <v>17994</v>
      </c>
      <c r="E7886" t="s">
        <v>24950</v>
      </c>
      <c r="F7886" t="s">
        <v>30900</v>
      </c>
      <c r="G7886" t="s">
        <v>30907</v>
      </c>
      <c r="H7886" t="s">
        <v>30916</v>
      </c>
      <c r="I7886" t="s">
        <v>30922</v>
      </c>
      <c r="J7886" t="s">
        <v>32627</v>
      </c>
      <c r="K7886" t="s">
        <v>40293</v>
      </c>
      <c r="M7886" t="s">
        <v>41975</v>
      </c>
      <c r="N7886" t="s">
        <v>44759</v>
      </c>
      <c r="O7886" t="s">
        <v>44760</v>
      </c>
      <c r="P7886">
        <v>0</v>
      </c>
      <c r="Q7886">
        <v>6</v>
      </c>
      <c r="R7886" t="s">
        <v>44767</v>
      </c>
      <c r="S7886" t="s">
        <v>44954</v>
      </c>
      <c r="T7886" t="s">
        <v>46796</v>
      </c>
      <c r="U7886" t="s">
        <v>53509</v>
      </c>
      <c r="W7886" t="s">
        <v>41975</v>
      </c>
      <c r="X7886" t="s">
        <v>44768</v>
      </c>
    </row>
    <row r="7887" spans="1:24">
      <c r="A7887">
        <f>HYPERLINK("https://www.philgeps.gov.ph/GEPSNONPILOT/Tender/SplashBidNoticeAbstractUI.aspx?menuIndex=3&amp;refID=7145030&amp;Result=3","7145030")</f>
        <v>0</v>
      </c>
      <c r="B7887" t="s">
        <v>2619</v>
      </c>
      <c r="C7887" t="s">
        <v>11241</v>
      </c>
      <c r="D7887" t="s">
        <v>17979</v>
      </c>
      <c r="E7887" t="s">
        <v>24951</v>
      </c>
      <c r="F7887" t="s">
        <v>30900</v>
      </c>
      <c r="G7887" t="s">
        <v>30907</v>
      </c>
      <c r="H7887" t="s">
        <v>30916</v>
      </c>
      <c r="I7887" t="s">
        <v>17295</v>
      </c>
      <c r="J7887" t="s">
        <v>36037</v>
      </c>
      <c r="K7887" t="s">
        <v>40332</v>
      </c>
      <c r="M7887" t="s">
        <v>43383</v>
      </c>
      <c r="N7887" t="s">
        <v>44759</v>
      </c>
      <c r="O7887" t="s">
        <v>44760</v>
      </c>
      <c r="Q7887">
        <v>2</v>
      </c>
      <c r="R7887" t="s">
        <v>44767</v>
      </c>
      <c r="S7887" t="s">
        <v>44974</v>
      </c>
      <c r="T7887" t="s">
        <v>46616</v>
      </c>
      <c r="U7887" t="s">
        <v>53510</v>
      </c>
      <c r="W7887" t="s">
        <v>43383</v>
      </c>
      <c r="X7887" t="s">
        <v>44768</v>
      </c>
    </row>
    <row r="7888" spans="1:24">
      <c r="A7888">
        <f>HYPERLINK("https://www.philgeps.gov.ph/GEPSNONPILOT/Tender/SplashBidNoticeAbstractUI.aspx?menuIndex=3&amp;refID=7145037&amp;Result=3","7145037")</f>
        <v>0</v>
      </c>
      <c r="B7888" t="s">
        <v>2620</v>
      </c>
      <c r="C7888" t="s">
        <v>11242</v>
      </c>
      <c r="D7888" t="s">
        <v>17959</v>
      </c>
      <c r="E7888" t="s">
        <v>24915</v>
      </c>
      <c r="F7888" t="s">
        <v>30900</v>
      </c>
      <c r="G7888" t="s">
        <v>30907</v>
      </c>
      <c r="H7888" t="s">
        <v>30916</v>
      </c>
      <c r="I7888" t="s">
        <v>30931</v>
      </c>
      <c r="J7888" t="s">
        <v>31204</v>
      </c>
      <c r="K7888" t="s">
        <v>40287</v>
      </c>
      <c r="M7888" t="s">
        <v>43384</v>
      </c>
      <c r="N7888" t="s">
        <v>44759</v>
      </c>
      <c r="O7888" t="s">
        <v>44760</v>
      </c>
      <c r="P7888">
        <v>0</v>
      </c>
      <c r="Q7888">
        <v>1</v>
      </c>
      <c r="R7888" t="s">
        <v>44767</v>
      </c>
      <c r="S7888" t="s">
        <v>44954</v>
      </c>
      <c r="T7888" t="s">
        <v>46548</v>
      </c>
      <c r="U7888" t="s">
        <v>53511</v>
      </c>
      <c r="W7888" t="s">
        <v>43384</v>
      </c>
      <c r="X7888" t="s">
        <v>44768</v>
      </c>
    </row>
    <row r="7889" spans="1:24">
      <c r="A7889">
        <f>HYPERLINK("https://www.philgeps.gov.ph/GEPSNONPILOT/Tender/SplashBidNoticeAbstractUI.aspx?menuIndex=3&amp;refID=7145033&amp;Result=3","7145033")</f>
        <v>0</v>
      </c>
      <c r="B7889" t="s">
        <v>2620</v>
      </c>
      <c r="C7889" t="s">
        <v>11243</v>
      </c>
      <c r="D7889" t="s">
        <v>17959</v>
      </c>
      <c r="E7889" t="s">
        <v>24915</v>
      </c>
      <c r="F7889" t="s">
        <v>30900</v>
      </c>
      <c r="G7889" t="s">
        <v>30907</v>
      </c>
      <c r="H7889" t="s">
        <v>30916</v>
      </c>
      <c r="I7889" t="s">
        <v>6953</v>
      </c>
      <c r="J7889" t="s">
        <v>31288</v>
      </c>
      <c r="K7889" t="s">
        <v>40287</v>
      </c>
      <c r="M7889" t="s">
        <v>43384</v>
      </c>
      <c r="N7889" t="s">
        <v>44759</v>
      </c>
      <c r="O7889" t="s">
        <v>44760</v>
      </c>
      <c r="P7889">
        <v>0</v>
      </c>
      <c r="Q7889">
        <v>1</v>
      </c>
      <c r="R7889" t="s">
        <v>44767</v>
      </c>
      <c r="S7889" t="s">
        <v>44954</v>
      </c>
      <c r="T7889" t="s">
        <v>46548</v>
      </c>
      <c r="U7889" t="s">
        <v>53512</v>
      </c>
      <c r="W7889" t="s">
        <v>43384</v>
      </c>
      <c r="X7889" t="s">
        <v>44768</v>
      </c>
    </row>
    <row r="7890" spans="1:24">
      <c r="A7890">
        <f>HYPERLINK("https://www.philgeps.gov.ph/GEPSNONPILOT/Tender/SplashBidNoticeAbstractUI.aspx?menuIndex=3&amp;refID=7145023&amp;Result=3","7145023")</f>
        <v>0</v>
      </c>
      <c r="B7890" t="s">
        <v>2620</v>
      </c>
      <c r="C7890" t="s">
        <v>11201</v>
      </c>
      <c r="D7890" t="s">
        <v>17959</v>
      </c>
      <c r="E7890" t="s">
        <v>24915</v>
      </c>
      <c r="F7890" t="s">
        <v>30900</v>
      </c>
      <c r="G7890" t="s">
        <v>30907</v>
      </c>
      <c r="H7890" t="s">
        <v>30916</v>
      </c>
      <c r="I7890" t="s">
        <v>4142</v>
      </c>
      <c r="J7890" t="s">
        <v>31050</v>
      </c>
      <c r="K7890" t="s">
        <v>40287</v>
      </c>
      <c r="M7890" t="s">
        <v>43384</v>
      </c>
      <c r="N7890" t="s">
        <v>44759</v>
      </c>
      <c r="O7890" t="s">
        <v>44760</v>
      </c>
      <c r="P7890">
        <v>0</v>
      </c>
      <c r="Q7890">
        <v>2</v>
      </c>
      <c r="R7890" t="s">
        <v>44767</v>
      </c>
      <c r="S7890" t="s">
        <v>44954</v>
      </c>
      <c r="T7890" t="s">
        <v>46548</v>
      </c>
      <c r="U7890" t="s">
        <v>53474</v>
      </c>
      <c r="W7890" t="s">
        <v>43384</v>
      </c>
      <c r="X7890" t="s">
        <v>44768</v>
      </c>
    </row>
    <row r="7891" spans="1:24">
      <c r="A7891">
        <f>HYPERLINK("https://www.philgeps.gov.ph/GEPSNONPILOT/Tender/SplashBidNoticeAbstractUI.aspx?menuIndex=3&amp;refID=7145027&amp;Result=3","7145027")</f>
        <v>0</v>
      </c>
      <c r="B7891" t="s">
        <v>2619</v>
      </c>
      <c r="C7891" t="s">
        <v>11244</v>
      </c>
      <c r="D7891" t="s">
        <v>18025</v>
      </c>
      <c r="E7891" t="s">
        <v>24952</v>
      </c>
      <c r="F7891" t="s">
        <v>30900</v>
      </c>
      <c r="G7891" t="s">
        <v>30907</v>
      </c>
      <c r="H7891" t="s">
        <v>30916</v>
      </c>
      <c r="I7891" t="s">
        <v>17295</v>
      </c>
      <c r="J7891" t="s">
        <v>36038</v>
      </c>
      <c r="K7891" t="s">
        <v>40332</v>
      </c>
      <c r="M7891" t="s">
        <v>43383</v>
      </c>
      <c r="N7891" t="s">
        <v>44759</v>
      </c>
      <c r="O7891" t="s">
        <v>44760</v>
      </c>
      <c r="Q7891">
        <v>2</v>
      </c>
      <c r="R7891" t="s">
        <v>44767</v>
      </c>
      <c r="S7891" t="s">
        <v>44975</v>
      </c>
      <c r="T7891" t="s">
        <v>46797</v>
      </c>
      <c r="U7891" t="s">
        <v>53510</v>
      </c>
      <c r="W7891" t="s">
        <v>43383</v>
      </c>
      <c r="X7891" t="s">
        <v>44768</v>
      </c>
    </row>
    <row r="7892" spans="1:24">
      <c r="A7892">
        <f>HYPERLINK("https://www.philgeps.gov.ph/GEPSNONPILOT/Tender/SplashBidNoticeAbstractUI.aspx?menuIndex=3&amp;refID=7145020&amp;Result=3","7145020")</f>
        <v>0</v>
      </c>
      <c r="B7892" t="s">
        <v>2619</v>
      </c>
      <c r="C7892" t="s">
        <v>11245</v>
      </c>
      <c r="D7892" t="s">
        <v>17993</v>
      </c>
      <c r="E7892" t="s">
        <v>24953</v>
      </c>
      <c r="F7892" t="s">
        <v>30900</v>
      </c>
      <c r="G7892" t="s">
        <v>30907</v>
      </c>
      <c r="H7892" t="s">
        <v>30916</v>
      </c>
      <c r="I7892" t="s">
        <v>17295</v>
      </c>
      <c r="J7892" t="s">
        <v>35115</v>
      </c>
      <c r="K7892" t="s">
        <v>40332</v>
      </c>
      <c r="M7892" t="s">
        <v>43383</v>
      </c>
      <c r="N7892" t="s">
        <v>44759</v>
      </c>
      <c r="O7892" t="s">
        <v>44760</v>
      </c>
      <c r="Q7892">
        <v>2</v>
      </c>
      <c r="R7892" t="s">
        <v>44767</v>
      </c>
      <c r="S7892" t="s">
        <v>44976</v>
      </c>
      <c r="T7892" t="s">
        <v>46767</v>
      </c>
      <c r="U7892" t="s">
        <v>53510</v>
      </c>
      <c r="W7892" t="s">
        <v>43383</v>
      </c>
      <c r="X7892" t="s">
        <v>44768</v>
      </c>
    </row>
    <row r="7893" spans="1:24">
      <c r="A7893">
        <f>HYPERLINK("https://www.philgeps.gov.ph/GEPSNONPILOT/Tender/SplashBidNoticeAbstractUI.aspx?menuIndex=3&amp;refID=7145012&amp;Result=3","7145012")</f>
        <v>0</v>
      </c>
      <c r="B7893" t="s">
        <v>2621</v>
      </c>
      <c r="C7893" t="s">
        <v>11246</v>
      </c>
      <c r="D7893" t="s">
        <v>17979</v>
      </c>
      <c r="E7893" t="s">
        <v>24954</v>
      </c>
      <c r="F7893" t="s">
        <v>30900</v>
      </c>
      <c r="G7893" t="s">
        <v>30907</v>
      </c>
      <c r="H7893" t="s">
        <v>30915</v>
      </c>
      <c r="I7893" t="s">
        <v>30919</v>
      </c>
      <c r="J7893" t="s">
        <v>31896</v>
      </c>
      <c r="K7893" t="s">
        <v>40293</v>
      </c>
      <c r="M7893" t="s">
        <v>43385</v>
      </c>
      <c r="N7893" t="s">
        <v>44759</v>
      </c>
      <c r="O7893" t="s">
        <v>44760</v>
      </c>
      <c r="P7893">
        <v>0</v>
      </c>
      <c r="Q7893">
        <v>0</v>
      </c>
      <c r="R7893" t="s">
        <v>44767</v>
      </c>
      <c r="S7893" t="s">
        <v>44954</v>
      </c>
      <c r="T7893" t="s">
        <v>46531</v>
      </c>
      <c r="U7893" t="s">
        <v>53513</v>
      </c>
      <c r="W7893" t="s">
        <v>43385</v>
      </c>
      <c r="X7893" t="s">
        <v>44768</v>
      </c>
    </row>
    <row r="7894" spans="1:24">
      <c r="A7894">
        <f>HYPERLINK("https://www.philgeps.gov.ph/GEPSNONPILOT/Tender/SplashBidNoticeAbstractUI.aspx?menuIndex=3&amp;refID=7145029&amp;Result=3","7145029")</f>
        <v>0</v>
      </c>
      <c r="B7894" t="s">
        <v>2622</v>
      </c>
      <c r="C7894" t="s">
        <v>10260</v>
      </c>
      <c r="D7894" t="s">
        <v>17975</v>
      </c>
      <c r="E7894" t="s">
        <v>18615</v>
      </c>
      <c r="F7894" t="s">
        <v>30900</v>
      </c>
      <c r="G7894" t="s">
        <v>30907</v>
      </c>
      <c r="H7894" t="s">
        <v>30916</v>
      </c>
      <c r="I7894" t="s">
        <v>8123</v>
      </c>
      <c r="J7894" t="s">
        <v>36039</v>
      </c>
      <c r="K7894" t="s">
        <v>40284</v>
      </c>
      <c r="M7894" t="s">
        <v>43386</v>
      </c>
      <c r="N7894" t="s">
        <v>44759</v>
      </c>
      <c r="O7894" t="s">
        <v>44760</v>
      </c>
      <c r="P7894">
        <v>0</v>
      </c>
      <c r="Q7894">
        <v>2</v>
      </c>
      <c r="R7894" t="s">
        <v>44767</v>
      </c>
      <c r="S7894" t="s">
        <v>44954</v>
      </c>
      <c r="T7894" t="s">
        <v>46412</v>
      </c>
      <c r="U7894" t="s">
        <v>53514</v>
      </c>
      <c r="W7894" t="s">
        <v>43386</v>
      </c>
      <c r="X7894" t="s">
        <v>44768</v>
      </c>
    </row>
    <row r="7895" spans="1:24">
      <c r="A7895">
        <f>HYPERLINK("https://www.philgeps.gov.ph/GEPSNONPILOT/Tender/SplashBidNoticeAbstractUI.aspx?menuIndex=3&amp;refID=7145010&amp;Result=3","7145010")</f>
        <v>0</v>
      </c>
      <c r="B7895" t="s">
        <v>2619</v>
      </c>
      <c r="C7895" t="s">
        <v>11247</v>
      </c>
      <c r="D7895" t="s">
        <v>17961</v>
      </c>
      <c r="E7895" t="s">
        <v>24955</v>
      </c>
      <c r="F7895" t="s">
        <v>30900</v>
      </c>
      <c r="G7895" t="s">
        <v>30907</v>
      </c>
      <c r="H7895" t="s">
        <v>30916</v>
      </c>
      <c r="I7895" t="s">
        <v>17295</v>
      </c>
      <c r="J7895" t="s">
        <v>36040</v>
      </c>
      <c r="K7895" t="s">
        <v>40332</v>
      </c>
      <c r="M7895" t="s">
        <v>43383</v>
      </c>
      <c r="N7895" t="s">
        <v>44759</v>
      </c>
      <c r="O7895" t="s">
        <v>44760</v>
      </c>
      <c r="Q7895">
        <v>4</v>
      </c>
      <c r="R7895" t="s">
        <v>44767</v>
      </c>
      <c r="S7895" t="s">
        <v>44977</v>
      </c>
      <c r="T7895" t="s">
        <v>46519</v>
      </c>
      <c r="U7895" t="s">
        <v>53510</v>
      </c>
      <c r="W7895" t="s">
        <v>43383</v>
      </c>
      <c r="X7895" t="s">
        <v>44768</v>
      </c>
    </row>
    <row r="7896" spans="1:24">
      <c r="A7896">
        <f>HYPERLINK("https://www.philgeps.gov.ph/GEPSNONPILOT/Tender/SplashBidNoticeAbstractUI.aspx?menuIndex=3&amp;refID=7145007&amp;Result=3","7145007")</f>
        <v>0</v>
      </c>
      <c r="B7896" t="s">
        <v>2623</v>
      </c>
      <c r="C7896" t="s">
        <v>11248</v>
      </c>
      <c r="D7896" t="s">
        <v>17995</v>
      </c>
      <c r="E7896" t="s">
        <v>21288</v>
      </c>
      <c r="F7896" t="s">
        <v>30899</v>
      </c>
      <c r="G7896" t="s">
        <v>30907</v>
      </c>
      <c r="H7896" t="s">
        <v>30916</v>
      </c>
      <c r="I7896" t="s">
        <v>8123</v>
      </c>
      <c r="J7896" t="s">
        <v>36041</v>
      </c>
      <c r="K7896" t="s">
        <v>40304</v>
      </c>
      <c r="M7896" t="s">
        <v>43387</v>
      </c>
      <c r="N7896" t="s">
        <v>44759</v>
      </c>
      <c r="O7896" t="s">
        <v>44760</v>
      </c>
      <c r="P7896">
        <v>0</v>
      </c>
      <c r="Q7896">
        <v>0</v>
      </c>
      <c r="R7896" t="s">
        <v>44767</v>
      </c>
      <c r="S7896" t="s">
        <v>44954</v>
      </c>
      <c r="T7896" t="s">
        <v>46497</v>
      </c>
      <c r="U7896" t="s">
        <v>53515</v>
      </c>
      <c r="W7896" t="s">
        <v>43387</v>
      </c>
      <c r="X7896" t="s">
        <v>44768</v>
      </c>
    </row>
    <row r="7897" spans="1:24">
      <c r="A7897">
        <f>HYPERLINK("https://www.philgeps.gov.ph/GEPSNONPILOT/Tender/SplashBidNoticeAbstractUI.aspx?menuIndex=3&amp;refID=7144904&amp;Result=3","7144904")</f>
        <v>0</v>
      </c>
      <c r="B7897" t="s">
        <v>2607</v>
      </c>
      <c r="C7897" t="s">
        <v>11203</v>
      </c>
      <c r="D7897" t="s">
        <v>18010</v>
      </c>
      <c r="E7897" t="s">
        <v>24956</v>
      </c>
      <c r="F7897" t="s">
        <v>30900</v>
      </c>
      <c r="G7897" t="s">
        <v>30908</v>
      </c>
      <c r="H7897" t="s">
        <v>30916</v>
      </c>
      <c r="I7897" t="s">
        <v>10847</v>
      </c>
      <c r="J7897" t="s">
        <v>33538</v>
      </c>
      <c r="K7897" t="s">
        <v>40287</v>
      </c>
      <c r="M7897" t="s">
        <v>43370</v>
      </c>
      <c r="N7897" t="s">
        <v>44759</v>
      </c>
      <c r="O7897" t="s">
        <v>44760</v>
      </c>
      <c r="P7897">
        <v>0</v>
      </c>
      <c r="Q7897">
        <v>0</v>
      </c>
      <c r="R7897" t="s">
        <v>44767</v>
      </c>
      <c r="S7897" t="s">
        <v>44954</v>
      </c>
      <c r="T7897" t="s">
        <v>46625</v>
      </c>
      <c r="U7897" t="s">
        <v>53516</v>
      </c>
      <c r="W7897" t="s">
        <v>43370</v>
      </c>
      <c r="X7897" t="s">
        <v>44768</v>
      </c>
    </row>
    <row r="7898" spans="1:24">
      <c r="A7898">
        <f>HYPERLINK("https://www.philgeps.gov.ph/GEPSNONPILOT/Tender/SplashBidNoticeAbstractUI.aspx?menuIndex=3&amp;refID=7144971&amp;Result=3","7144971")</f>
        <v>0</v>
      </c>
      <c r="B7898" t="s">
        <v>2611</v>
      </c>
      <c r="C7898" t="s">
        <v>11249</v>
      </c>
      <c r="D7898" t="s">
        <v>17961</v>
      </c>
      <c r="E7898" t="s">
        <v>21158</v>
      </c>
      <c r="F7898" t="s">
        <v>30900</v>
      </c>
      <c r="G7898" t="s">
        <v>30908</v>
      </c>
      <c r="H7898" t="s">
        <v>30916</v>
      </c>
      <c r="I7898" t="s">
        <v>5830</v>
      </c>
      <c r="J7898" t="s">
        <v>33565</v>
      </c>
      <c r="K7898" t="s">
        <v>40288</v>
      </c>
      <c r="M7898" t="s">
        <v>43374</v>
      </c>
      <c r="N7898" t="s">
        <v>44759</v>
      </c>
      <c r="O7898" t="s">
        <v>44760</v>
      </c>
      <c r="P7898">
        <v>0</v>
      </c>
      <c r="Q7898">
        <v>0</v>
      </c>
      <c r="R7898" t="s">
        <v>44767</v>
      </c>
      <c r="S7898" t="s">
        <v>44954</v>
      </c>
      <c r="T7898" t="s">
        <v>46374</v>
      </c>
      <c r="U7898" t="s">
        <v>53517</v>
      </c>
      <c r="W7898" t="s">
        <v>43374</v>
      </c>
      <c r="X7898" t="s">
        <v>44768</v>
      </c>
    </row>
    <row r="7899" spans="1:24">
      <c r="A7899">
        <f>HYPERLINK("https://www.philgeps.gov.ph/GEPSNONPILOT/Tender/SplashBidNoticeAbstractUI.aspx?menuIndex=3&amp;refID=7144970&amp;Result=3","7144970")</f>
        <v>0</v>
      </c>
      <c r="B7899" t="s">
        <v>1353</v>
      </c>
      <c r="C7899" t="s">
        <v>11250</v>
      </c>
      <c r="D7899" t="s">
        <v>17994</v>
      </c>
      <c r="E7899" t="s">
        <v>24957</v>
      </c>
      <c r="F7899" t="s">
        <v>30900</v>
      </c>
      <c r="G7899" t="s">
        <v>30907</v>
      </c>
      <c r="H7899" t="s">
        <v>30916</v>
      </c>
      <c r="I7899" t="s">
        <v>30963</v>
      </c>
      <c r="J7899" t="s">
        <v>36042</v>
      </c>
      <c r="K7899" t="s">
        <v>40280</v>
      </c>
      <c r="M7899" t="s">
        <v>41975</v>
      </c>
      <c r="N7899" t="s">
        <v>44759</v>
      </c>
      <c r="O7899" t="s">
        <v>44760</v>
      </c>
      <c r="P7899">
        <v>0</v>
      </c>
      <c r="Q7899">
        <v>8</v>
      </c>
      <c r="R7899" t="s">
        <v>44767</v>
      </c>
      <c r="S7899" t="s">
        <v>44954</v>
      </c>
      <c r="T7899" t="s">
        <v>46798</v>
      </c>
      <c r="U7899" t="s">
        <v>53518</v>
      </c>
      <c r="W7899" t="s">
        <v>41975</v>
      </c>
      <c r="X7899" t="s">
        <v>44768</v>
      </c>
    </row>
    <row r="7900" spans="1:24">
      <c r="A7900">
        <f>HYPERLINK("https://www.philgeps.gov.ph/GEPSNONPILOT/Tender/SplashBidNoticeAbstractUI.aspx?menuIndex=3&amp;refID=7145016&amp;Result=3","7145016")</f>
        <v>0</v>
      </c>
      <c r="B7900" t="s">
        <v>2619</v>
      </c>
      <c r="C7900" t="s">
        <v>11251</v>
      </c>
      <c r="D7900" t="s">
        <v>18002</v>
      </c>
      <c r="E7900" t="s">
        <v>24958</v>
      </c>
      <c r="F7900" t="s">
        <v>30900</v>
      </c>
      <c r="G7900" t="s">
        <v>30907</v>
      </c>
      <c r="H7900" t="s">
        <v>30916</v>
      </c>
      <c r="I7900" t="s">
        <v>17295</v>
      </c>
      <c r="J7900" t="s">
        <v>36043</v>
      </c>
      <c r="K7900" t="s">
        <v>40332</v>
      </c>
      <c r="M7900" t="s">
        <v>43383</v>
      </c>
      <c r="N7900" t="s">
        <v>44759</v>
      </c>
      <c r="O7900" t="s">
        <v>44760</v>
      </c>
      <c r="Q7900">
        <v>2</v>
      </c>
      <c r="R7900" t="s">
        <v>44767</v>
      </c>
      <c r="S7900" t="s">
        <v>44978</v>
      </c>
      <c r="T7900" t="s">
        <v>46799</v>
      </c>
      <c r="U7900" t="s">
        <v>53510</v>
      </c>
      <c r="W7900" t="s">
        <v>43383</v>
      </c>
      <c r="X7900" t="s">
        <v>44768</v>
      </c>
    </row>
    <row r="7901" spans="1:24">
      <c r="A7901">
        <f>HYPERLINK("https://www.philgeps.gov.ph/GEPSNONPILOT/Tender/SplashBidNoticeAbstractUI.aspx?menuIndex=3&amp;refID=7144911&amp;Result=3","7144911")</f>
        <v>0</v>
      </c>
      <c r="B7901" t="s">
        <v>2596</v>
      </c>
      <c r="C7901" t="s">
        <v>5990</v>
      </c>
      <c r="E7901" t="s">
        <v>18415</v>
      </c>
      <c r="F7901" t="s">
        <v>30900</v>
      </c>
      <c r="G7901" t="s">
        <v>30907</v>
      </c>
      <c r="H7901" t="s">
        <v>30915</v>
      </c>
      <c r="I7901" t="s">
        <v>30919</v>
      </c>
      <c r="J7901" t="s">
        <v>36044</v>
      </c>
      <c r="K7901" t="s">
        <v>40289</v>
      </c>
      <c r="M7901" t="s">
        <v>43357</v>
      </c>
      <c r="N7901" t="s">
        <v>44759</v>
      </c>
      <c r="O7901" t="s">
        <v>44760</v>
      </c>
      <c r="P7901">
        <v>0</v>
      </c>
      <c r="Q7901">
        <v>0</v>
      </c>
      <c r="R7901" t="s">
        <v>44767</v>
      </c>
      <c r="S7901" t="s">
        <v>44954</v>
      </c>
      <c r="T7901" t="s">
        <v>46374</v>
      </c>
      <c r="U7901" t="s">
        <v>53519</v>
      </c>
      <c r="W7901" t="s">
        <v>43357</v>
      </c>
      <c r="X7901" t="s">
        <v>44768</v>
      </c>
    </row>
    <row r="7902" spans="1:24">
      <c r="A7902">
        <f>HYPERLINK("https://www.philgeps.gov.ph/GEPSNONPILOT/Tender/SplashBidNoticeAbstractUI.aspx?menuIndex=3&amp;refID=7145052&amp;Result=3","7145052")</f>
        <v>0</v>
      </c>
      <c r="B7902" t="s">
        <v>2624</v>
      </c>
      <c r="C7902" t="s">
        <v>11252</v>
      </c>
      <c r="D7902" t="s">
        <v>17959</v>
      </c>
      <c r="E7902" t="s">
        <v>24915</v>
      </c>
      <c r="F7902" t="s">
        <v>30900</v>
      </c>
      <c r="G7902" t="s">
        <v>30907</v>
      </c>
      <c r="H7902" t="s">
        <v>30916</v>
      </c>
      <c r="I7902" t="s">
        <v>30955</v>
      </c>
      <c r="J7902" t="s">
        <v>31050</v>
      </c>
      <c r="K7902" t="s">
        <v>40287</v>
      </c>
      <c r="M7902" t="s">
        <v>43388</v>
      </c>
      <c r="N7902" t="s">
        <v>44759</v>
      </c>
      <c r="O7902" t="s">
        <v>44760</v>
      </c>
      <c r="P7902">
        <v>0</v>
      </c>
      <c r="Q7902">
        <v>9</v>
      </c>
      <c r="R7902" t="s">
        <v>44767</v>
      </c>
      <c r="S7902" t="s">
        <v>44954</v>
      </c>
      <c r="T7902" t="s">
        <v>46548</v>
      </c>
      <c r="U7902" t="s">
        <v>53520</v>
      </c>
      <c r="W7902" t="s">
        <v>43388</v>
      </c>
      <c r="X7902" t="s">
        <v>44768</v>
      </c>
    </row>
    <row r="7903" spans="1:24">
      <c r="A7903">
        <f>HYPERLINK("https://www.philgeps.gov.ph/GEPSNONPILOT/Tender/SplashBidNoticeAbstractUI.aspx?menuIndex=3&amp;refID=7145104&amp;Result=3","7145104")</f>
        <v>0</v>
      </c>
      <c r="B7903" t="s">
        <v>456</v>
      </c>
      <c r="C7903" t="s">
        <v>11253</v>
      </c>
      <c r="D7903" t="s">
        <v>18027</v>
      </c>
      <c r="E7903" t="s">
        <v>24959</v>
      </c>
      <c r="F7903" t="s">
        <v>30900</v>
      </c>
      <c r="G7903" t="s">
        <v>30907</v>
      </c>
      <c r="H7903" t="s">
        <v>30915</v>
      </c>
      <c r="I7903" t="s">
        <v>30931</v>
      </c>
      <c r="J7903" t="s">
        <v>31243</v>
      </c>
      <c r="K7903" t="s">
        <v>40283</v>
      </c>
      <c r="M7903" t="s">
        <v>41014</v>
      </c>
      <c r="N7903" t="s">
        <v>44759</v>
      </c>
      <c r="O7903" t="s">
        <v>44760</v>
      </c>
      <c r="P7903">
        <v>0</v>
      </c>
      <c r="Q7903">
        <v>3</v>
      </c>
      <c r="R7903" t="s">
        <v>44767</v>
      </c>
      <c r="S7903" t="s">
        <v>44954</v>
      </c>
      <c r="T7903" t="s">
        <v>46391</v>
      </c>
      <c r="U7903" t="s">
        <v>53521</v>
      </c>
      <c r="W7903" t="s">
        <v>41014</v>
      </c>
      <c r="X7903" t="s">
        <v>44768</v>
      </c>
    </row>
    <row r="7904" spans="1:24">
      <c r="A7904">
        <f>HYPERLINK("https://www.philgeps.gov.ph/GEPSNONPILOT/Tender/SplashBidNoticeAbstractUI.aspx?menuIndex=3&amp;refID=7145109&amp;Result=3","7145109")</f>
        <v>0</v>
      </c>
      <c r="B7904" t="s">
        <v>2625</v>
      </c>
      <c r="C7904" t="s">
        <v>11254</v>
      </c>
      <c r="D7904" t="s">
        <v>17959</v>
      </c>
      <c r="E7904" t="s">
        <v>24960</v>
      </c>
      <c r="F7904" t="s">
        <v>30900</v>
      </c>
      <c r="G7904" t="s">
        <v>30908</v>
      </c>
      <c r="H7904" t="s">
        <v>30916</v>
      </c>
      <c r="I7904" t="s">
        <v>30924</v>
      </c>
      <c r="J7904" t="s">
        <v>32152</v>
      </c>
      <c r="K7904" t="s">
        <v>40289</v>
      </c>
      <c r="M7904" t="s">
        <v>43389</v>
      </c>
      <c r="N7904" t="s">
        <v>44759</v>
      </c>
      <c r="O7904" t="s">
        <v>44760</v>
      </c>
      <c r="P7904">
        <v>0</v>
      </c>
      <c r="Q7904">
        <v>21</v>
      </c>
      <c r="R7904" t="s">
        <v>44767</v>
      </c>
      <c r="S7904" t="s">
        <v>44954</v>
      </c>
      <c r="T7904" t="s">
        <v>46625</v>
      </c>
      <c r="U7904" t="s">
        <v>53522</v>
      </c>
      <c r="W7904" t="s">
        <v>43389</v>
      </c>
      <c r="X7904" t="s">
        <v>44768</v>
      </c>
    </row>
    <row r="7905" spans="1:24">
      <c r="A7905">
        <f>HYPERLINK("https://www.philgeps.gov.ph/GEPSNONPILOT/Tender/SplashBidNoticeAbstractUI.aspx?menuIndex=3&amp;refID=7145102&amp;Result=3","7145102")</f>
        <v>0</v>
      </c>
      <c r="B7905" t="s">
        <v>2626</v>
      </c>
      <c r="C7905" t="s">
        <v>11255</v>
      </c>
      <c r="D7905" t="s">
        <v>18034</v>
      </c>
      <c r="E7905" t="s">
        <v>20521</v>
      </c>
      <c r="F7905" t="s">
        <v>30900</v>
      </c>
      <c r="G7905" t="s">
        <v>30907</v>
      </c>
      <c r="H7905" t="s">
        <v>30916</v>
      </c>
      <c r="I7905" t="s">
        <v>5830</v>
      </c>
      <c r="J7905" t="s">
        <v>36045</v>
      </c>
      <c r="K7905" t="s">
        <v>40286</v>
      </c>
      <c r="M7905" t="s">
        <v>43390</v>
      </c>
      <c r="N7905" t="s">
        <v>44759</v>
      </c>
      <c r="O7905" t="s">
        <v>44760</v>
      </c>
      <c r="P7905">
        <v>0</v>
      </c>
      <c r="Q7905">
        <v>8</v>
      </c>
      <c r="R7905" t="s">
        <v>44767</v>
      </c>
      <c r="S7905" t="s">
        <v>44954</v>
      </c>
      <c r="T7905" t="s">
        <v>46450</v>
      </c>
      <c r="U7905" t="s">
        <v>53523</v>
      </c>
      <c r="V7905" t="s">
        <v>59960</v>
      </c>
      <c r="W7905" t="s">
        <v>43390</v>
      </c>
      <c r="X7905" t="s">
        <v>44768</v>
      </c>
    </row>
    <row r="7906" spans="1:24">
      <c r="A7906">
        <f>HYPERLINK("https://www.philgeps.gov.ph/GEPSNONPILOT/Tender/SplashBidNoticeAbstractUI.aspx?menuIndex=3&amp;refID=7145089&amp;Result=3","7145089")</f>
        <v>0</v>
      </c>
      <c r="B7906" t="s">
        <v>2103</v>
      </c>
      <c r="C7906" t="s">
        <v>11256</v>
      </c>
      <c r="D7906" t="s">
        <v>17992</v>
      </c>
      <c r="E7906" t="s">
        <v>24961</v>
      </c>
      <c r="F7906" t="s">
        <v>30900</v>
      </c>
      <c r="G7906" t="s">
        <v>30907</v>
      </c>
      <c r="H7906" t="s">
        <v>30915</v>
      </c>
      <c r="I7906" t="s">
        <v>30919</v>
      </c>
      <c r="J7906" t="s">
        <v>31297</v>
      </c>
      <c r="K7906" t="s">
        <v>40446</v>
      </c>
      <c r="M7906" t="s">
        <v>42802</v>
      </c>
      <c r="N7906" t="s">
        <v>44759</v>
      </c>
      <c r="O7906" t="s">
        <v>44760</v>
      </c>
      <c r="P7906">
        <v>0</v>
      </c>
      <c r="Q7906">
        <v>0</v>
      </c>
      <c r="R7906" t="s">
        <v>44767</v>
      </c>
      <c r="S7906" t="s">
        <v>44954</v>
      </c>
      <c r="T7906" t="s">
        <v>46495</v>
      </c>
      <c r="U7906" t="s">
        <v>53524</v>
      </c>
      <c r="W7906" t="s">
        <v>42802</v>
      </c>
      <c r="X7906" t="s">
        <v>44768</v>
      </c>
    </row>
    <row r="7907" spans="1:24">
      <c r="A7907">
        <f>HYPERLINK("https://www.philgeps.gov.ph/GEPSNONPILOT/Tender/SplashBidNoticeAbstractUI.aspx?menuIndex=3&amp;refID=7145087&amp;Result=3","7145087")</f>
        <v>0</v>
      </c>
      <c r="B7907" t="s">
        <v>456</v>
      </c>
      <c r="C7907" t="s">
        <v>11257</v>
      </c>
      <c r="D7907" t="s">
        <v>18027</v>
      </c>
      <c r="E7907" t="s">
        <v>24962</v>
      </c>
      <c r="F7907" t="s">
        <v>30900</v>
      </c>
      <c r="G7907" t="s">
        <v>30907</v>
      </c>
      <c r="H7907" t="s">
        <v>30915</v>
      </c>
      <c r="I7907" t="s">
        <v>8123</v>
      </c>
      <c r="J7907" t="s">
        <v>36046</v>
      </c>
      <c r="K7907" t="s">
        <v>40286</v>
      </c>
      <c r="M7907" t="s">
        <v>41014</v>
      </c>
      <c r="N7907" t="s">
        <v>44759</v>
      </c>
      <c r="O7907" t="s">
        <v>44760</v>
      </c>
      <c r="P7907">
        <v>0</v>
      </c>
      <c r="Q7907">
        <v>0</v>
      </c>
      <c r="R7907" t="s">
        <v>44767</v>
      </c>
      <c r="S7907" t="s">
        <v>44954</v>
      </c>
      <c r="T7907" t="s">
        <v>46391</v>
      </c>
      <c r="U7907" t="s">
        <v>53525</v>
      </c>
      <c r="W7907" t="s">
        <v>41014</v>
      </c>
      <c r="X7907" t="s">
        <v>44768</v>
      </c>
    </row>
    <row r="7908" spans="1:24">
      <c r="A7908">
        <f>HYPERLINK("https://www.philgeps.gov.ph/GEPSNONPILOT/Tender/SplashBidNoticeAbstractUI.aspx?menuIndex=3&amp;refID=7144998&amp;Result=3","7144998")</f>
        <v>0</v>
      </c>
      <c r="B7908" t="s">
        <v>937</v>
      </c>
      <c r="C7908" t="s">
        <v>11258</v>
      </c>
      <c r="D7908" t="s">
        <v>17998</v>
      </c>
      <c r="E7908" t="s">
        <v>24963</v>
      </c>
      <c r="F7908" t="s">
        <v>30900</v>
      </c>
      <c r="G7908" t="s">
        <v>30907</v>
      </c>
      <c r="H7908" t="s">
        <v>30916</v>
      </c>
      <c r="I7908" t="s">
        <v>30939</v>
      </c>
      <c r="J7908" t="s">
        <v>35180</v>
      </c>
      <c r="K7908" t="s">
        <v>40289</v>
      </c>
      <c r="M7908" t="s">
        <v>41520</v>
      </c>
      <c r="N7908" t="s">
        <v>44759</v>
      </c>
      <c r="O7908" t="s">
        <v>44760</v>
      </c>
      <c r="P7908">
        <v>0</v>
      </c>
      <c r="Q7908">
        <v>0</v>
      </c>
      <c r="R7908" t="s">
        <v>44767</v>
      </c>
      <c r="S7908" t="s">
        <v>44954</v>
      </c>
      <c r="T7908" t="s">
        <v>46387</v>
      </c>
      <c r="U7908" t="s">
        <v>53495</v>
      </c>
      <c r="W7908" t="s">
        <v>41520</v>
      </c>
      <c r="X7908" t="s">
        <v>44768</v>
      </c>
    </row>
    <row r="7909" spans="1:24">
      <c r="A7909">
        <f>HYPERLINK("https://www.philgeps.gov.ph/GEPSNONPILOT/Tender/SplashBidNoticeAbstractUI.aspx?menuIndex=3&amp;refID=7145083&amp;Result=3","7145083")</f>
        <v>0</v>
      </c>
      <c r="B7909" t="s">
        <v>81</v>
      </c>
      <c r="C7909" t="s">
        <v>11259</v>
      </c>
      <c r="D7909" t="s">
        <v>17959</v>
      </c>
      <c r="E7909" t="s">
        <v>24964</v>
      </c>
      <c r="F7909" t="s">
        <v>30900</v>
      </c>
      <c r="G7909" t="s">
        <v>30908</v>
      </c>
      <c r="H7909" t="s">
        <v>30916</v>
      </c>
      <c r="I7909" t="s">
        <v>10602</v>
      </c>
      <c r="J7909" t="s">
        <v>33640</v>
      </c>
      <c r="K7909" t="s">
        <v>40289</v>
      </c>
      <c r="M7909" t="s">
        <v>41401</v>
      </c>
      <c r="N7909" t="s">
        <v>44759</v>
      </c>
      <c r="O7909" t="s">
        <v>44760</v>
      </c>
      <c r="P7909">
        <v>0</v>
      </c>
      <c r="Q7909">
        <v>6</v>
      </c>
      <c r="R7909" t="s">
        <v>44767</v>
      </c>
      <c r="S7909" t="s">
        <v>44954</v>
      </c>
      <c r="T7909" t="s">
        <v>46403</v>
      </c>
      <c r="U7909" t="s">
        <v>53526</v>
      </c>
      <c r="V7909" t="s">
        <v>59313</v>
      </c>
      <c r="W7909" t="s">
        <v>41401</v>
      </c>
      <c r="X7909" t="s">
        <v>44768</v>
      </c>
    </row>
    <row r="7910" spans="1:24">
      <c r="A7910">
        <f>HYPERLINK("https://www.philgeps.gov.ph/GEPSNONPILOT/Tender/SplashBidNoticeAbstractUI.aspx?menuIndex=3&amp;refID=7145082&amp;Result=3","7145082")</f>
        <v>0</v>
      </c>
      <c r="B7910" t="s">
        <v>2103</v>
      </c>
      <c r="C7910" t="s">
        <v>11260</v>
      </c>
      <c r="D7910" t="s">
        <v>17992</v>
      </c>
      <c r="E7910" t="s">
        <v>24965</v>
      </c>
      <c r="F7910" t="s">
        <v>30900</v>
      </c>
      <c r="G7910" t="s">
        <v>30907</v>
      </c>
      <c r="H7910" t="s">
        <v>30915</v>
      </c>
      <c r="I7910" t="s">
        <v>30919</v>
      </c>
      <c r="J7910" t="s">
        <v>36047</v>
      </c>
      <c r="K7910" t="s">
        <v>40392</v>
      </c>
      <c r="M7910" t="s">
        <v>42802</v>
      </c>
      <c r="N7910" t="s">
        <v>44759</v>
      </c>
      <c r="O7910" t="s">
        <v>44760</v>
      </c>
      <c r="P7910">
        <v>0</v>
      </c>
      <c r="Q7910">
        <v>0</v>
      </c>
      <c r="R7910" t="s">
        <v>44767</v>
      </c>
      <c r="S7910" t="s">
        <v>44954</v>
      </c>
      <c r="T7910" t="s">
        <v>46495</v>
      </c>
      <c r="U7910" t="s">
        <v>53527</v>
      </c>
      <c r="W7910" t="s">
        <v>42802</v>
      </c>
      <c r="X7910" t="s">
        <v>44768</v>
      </c>
    </row>
    <row r="7911" spans="1:24">
      <c r="A7911">
        <f>HYPERLINK("https://www.philgeps.gov.ph/GEPSNONPILOT/Tender/SplashBidNoticeAbstractUI.aspx?menuIndex=3&amp;refID=7145078&amp;Result=3","7145078")</f>
        <v>0</v>
      </c>
      <c r="B7911" t="s">
        <v>456</v>
      </c>
      <c r="C7911" t="s">
        <v>11261</v>
      </c>
      <c r="D7911" t="s">
        <v>18027</v>
      </c>
      <c r="E7911" t="s">
        <v>24966</v>
      </c>
      <c r="F7911" t="s">
        <v>30900</v>
      </c>
      <c r="G7911" t="s">
        <v>30907</v>
      </c>
      <c r="H7911" t="s">
        <v>30915</v>
      </c>
      <c r="I7911" t="s">
        <v>8123</v>
      </c>
      <c r="J7911" t="s">
        <v>36048</v>
      </c>
      <c r="K7911" t="s">
        <v>40286</v>
      </c>
      <c r="M7911" t="s">
        <v>41014</v>
      </c>
      <c r="N7911" t="s">
        <v>44759</v>
      </c>
      <c r="O7911" t="s">
        <v>44760</v>
      </c>
      <c r="P7911">
        <v>0</v>
      </c>
      <c r="Q7911">
        <v>0</v>
      </c>
      <c r="R7911" t="s">
        <v>44767</v>
      </c>
      <c r="S7911" t="s">
        <v>44954</v>
      </c>
      <c r="T7911" t="s">
        <v>46391</v>
      </c>
      <c r="U7911" t="s">
        <v>53528</v>
      </c>
      <c r="W7911" t="s">
        <v>41014</v>
      </c>
      <c r="X7911" t="s">
        <v>44768</v>
      </c>
    </row>
    <row r="7912" spans="1:24">
      <c r="A7912">
        <f>HYPERLINK("https://www.philgeps.gov.ph/GEPSNONPILOT/Tender/SplashBidNoticeAbstractUI.aspx?menuIndex=3&amp;refID=7145100&amp;Result=3","7145100")</f>
        <v>0</v>
      </c>
      <c r="B7912" t="s">
        <v>2103</v>
      </c>
      <c r="C7912" t="s">
        <v>11262</v>
      </c>
      <c r="D7912" t="s">
        <v>17992</v>
      </c>
      <c r="E7912" t="s">
        <v>24967</v>
      </c>
      <c r="F7912" t="s">
        <v>30900</v>
      </c>
      <c r="G7912" t="s">
        <v>30907</v>
      </c>
      <c r="H7912" t="s">
        <v>30915</v>
      </c>
      <c r="I7912" t="s">
        <v>30919</v>
      </c>
      <c r="J7912" t="s">
        <v>36049</v>
      </c>
      <c r="K7912" t="s">
        <v>40446</v>
      </c>
      <c r="M7912" t="s">
        <v>42802</v>
      </c>
      <c r="N7912" t="s">
        <v>44759</v>
      </c>
      <c r="O7912" t="s">
        <v>44760</v>
      </c>
      <c r="P7912">
        <v>0</v>
      </c>
      <c r="Q7912">
        <v>0</v>
      </c>
      <c r="R7912" t="s">
        <v>44767</v>
      </c>
      <c r="S7912" t="s">
        <v>44954</v>
      </c>
      <c r="T7912" t="s">
        <v>46495</v>
      </c>
      <c r="U7912" t="s">
        <v>53529</v>
      </c>
      <c r="W7912" t="s">
        <v>42802</v>
      </c>
      <c r="X7912" t="s">
        <v>44768</v>
      </c>
    </row>
    <row r="7913" spans="1:24">
      <c r="A7913">
        <f>HYPERLINK("https://www.philgeps.gov.ph/GEPSNONPILOT/Tender/SplashBidNoticeAbstractUI.aspx?menuIndex=3&amp;refID=7145069&amp;Result=3","7145069")</f>
        <v>0</v>
      </c>
      <c r="B7913" t="s">
        <v>456</v>
      </c>
      <c r="C7913" t="s">
        <v>11263</v>
      </c>
      <c r="D7913" t="s">
        <v>18027</v>
      </c>
      <c r="E7913" t="s">
        <v>24968</v>
      </c>
      <c r="F7913" t="s">
        <v>30900</v>
      </c>
      <c r="G7913" t="s">
        <v>30907</v>
      </c>
      <c r="H7913" t="s">
        <v>30915</v>
      </c>
      <c r="I7913" t="s">
        <v>30932</v>
      </c>
      <c r="J7913" t="s">
        <v>36050</v>
      </c>
      <c r="K7913" t="s">
        <v>40329</v>
      </c>
      <c r="M7913" t="s">
        <v>41014</v>
      </c>
      <c r="N7913" t="s">
        <v>44759</v>
      </c>
      <c r="O7913" t="s">
        <v>44760</v>
      </c>
      <c r="P7913">
        <v>0</v>
      </c>
      <c r="Q7913">
        <v>0</v>
      </c>
      <c r="R7913" t="s">
        <v>44767</v>
      </c>
      <c r="S7913" t="s">
        <v>44954</v>
      </c>
      <c r="T7913" t="s">
        <v>46391</v>
      </c>
      <c r="U7913" t="s">
        <v>53530</v>
      </c>
      <c r="W7913" t="s">
        <v>41014</v>
      </c>
      <c r="X7913" t="s">
        <v>44768</v>
      </c>
    </row>
    <row r="7914" spans="1:24">
      <c r="A7914">
        <f>HYPERLINK("https://www.philgeps.gov.ph/GEPSNONPILOT/Tender/SplashBidNoticeAbstractUI.aspx?menuIndex=3&amp;refID=7145064&amp;Result=3","7145064")</f>
        <v>0</v>
      </c>
      <c r="B7914" t="s">
        <v>2552</v>
      </c>
      <c r="C7914" t="s">
        <v>11264</v>
      </c>
      <c r="D7914" t="s">
        <v>17970</v>
      </c>
      <c r="E7914" t="s">
        <v>18066</v>
      </c>
      <c r="F7914" t="s">
        <v>30900</v>
      </c>
      <c r="G7914" t="s">
        <v>30907</v>
      </c>
      <c r="H7914" t="s">
        <v>30915</v>
      </c>
      <c r="I7914" t="s">
        <v>30919</v>
      </c>
      <c r="J7914" t="s">
        <v>36051</v>
      </c>
      <c r="K7914" t="s">
        <v>40286</v>
      </c>
      <c r="M7914" t="s">
        <v>43310</v>
      </c>
      <c r="N7914" t="s">
        <v>44759</v>
      </c>
      <c r="O7914" t="s">
        <v>44760</v>
      </c>
      <c r="P7914">
        <v>0</v>
      </c>
      <c r="Q7914">
        <v>0</v>
      </c>
      <c r="R7914" t="s">
        <v>44767</v>
      </c>
      <c r="S7914" t="s">
        <v>44954</v>
      </c>
      <c r="T7914" t="s">
        <v>46606</v>
      </c>
      <c r="U7914" t="s">
        <v>53531</v>
      </c>
      <c r="V7914" t="s">
        <v>59961</v>
      </c>
      <c r="W7914" t="s">
        <v>43310</v>
      </c>
      <c r="X7914" t="s">
        <v>44768</v>
      </c>
    </row>
    <row r="7915" spans="1:24">
      <c r="A7915">
        <f>HYPERLINK("https://www.philgeps.gov.ph/GEPSNONPILOT/Tender/SplashBidNoticeAbstractUI.aspx?menuIndex=3&amp;refID=7145118&amp;Result=3","7145118")</f>
        <v>0</v>
      </c>
      <c r="B7915" t="s">
        <v>456</v>
      </c>
      <c r="C7915" t="s">
        <v>11265</v>
      </c>
      <c r="D7915" t="s">
        <v>18027</v>
      </c>
      <c r="E7915" t="s">
        <v>24969</v>
      </c>
      <c r="F7915" t="s">
        <v>30900</v>
      </c>
      <c r="G7915" t="s">
        <v>30907</v>
      </c>
      <c r="H7915" t="s">
        <v>30915</v>
      </c>
      <c r="I7915" t="s">
        <v>8123</v>
      </c>
      <c r="J7915" t="s">
        <v>36052</v>
      </c>
      <c r="K7915" t="s">
        <v>40286</v>
      </c>
      <c r="M7915" t="s">
        <v>41014</v>
      </c>
      <c r="N7915" t="s">
        <v>44759</v>
      </c>
      <c r="O7915" t="s">
        <v>44760</v>
      </c>
      <c r="P7915">
        <v>0</v>
      </c>
      <c r="Q7915">
        <v>0</v>
      </c>
      <c r="R7915" t="s">
        <v>44767</v>
      </c>
      <c r="S7915" t="s">
        <v>44954</v>
      </c>
      <c r="T7915" t="s">
        <v>46391</v>
      </c>
      <c r="U7915" t="s">
        <v>53532</v>
      </c>
      <c r="W7915" t="s">
        <v>41014</v>
      </c>
      <c r="X7915" t="s">
        <v>44768</v>
      </c>
    </row>
    <row r="7916" spans="1:24">
      <c r="A7916">
        <f>HYPERLINK("https://www.philgeps.gov.ph/GEPSNONPILOT/Tender/SplashBidNoticeAbstractUI.aspx?menuIndex=3&amp;refID=7145175&amp;Result=3","7145175")</f>
        <v>0</v>
      </c>
      <c r="B7916" t="s">
        <v>1775</v>
      </c>
      <c r="C7916" t="s">
        <v>11266</v>
      </c>
      <c r="D7916" t="s">
        <v>18032</v>
      </c>
      <c r="E7916" t="s">
        <v>24970</v>
      </c>
      <c r="F7916" t="s">
        <v>30900</v>
      </c>
      <c r="G7916" t="s">
        <v>30909</v>
      </c>
      <c r="H7916" t="s">
        <v>30916</v>
      </c>
      <c r="I7916" t="s">
        <v>8123</v>
      </c>
      <c r="J7916" t="s">
        <v>36053</v>
      </c>
      <c r="K7916" t="s">
        <v>40294</v>
      </c>
      <c r="M7916" t="s">
        <v>42448</v>
      </c>
      <c r="N7916" t="s">
        <v>44759</v>
      </c>
      <c r="O7916" t="s">
        <v>44760</v>
      </c>
      <c r="P7916">
        <v>0</v>
      </c>
      <c r="Q7916">
        <v>0</v>
      </c>
      <c r="R7916" t="s">
        <v>44767</v>
      </c>
      <c r="S7916" t="s">
        <v>44954</v>
      </c>
      <c r="T7916" t="s">
        <v>46533</v>
      </c>
      <c r="U7916" t="s">
        <v>50973</v>
      </c>
      <c r="W7916" t="s">
        <v>42448</v>
      </c>
      <c r="X7916" t="s">
        <v>44768</v>
      </c>
    </row>
    <row r="7917" spans="1:24">
      <c r="A7917">
        <f>HYPERLINK("https://www.philgeps.gov.ph/GEPSNONPILOT/Tender/SplashBidNoticeAbstractUI.aspx?menuIndex=3&amp;refID=7145174&amp;Result=3","7145174")</f>
        <v>0</v>
      </c>
      <c r="B7917" t="s">
        <v>2627</v>
      </c>
      <c r="C7917" t="s">
        <v>11267</v>
      </c>
      <c r="D7917" t="s">
        <v>17963</v>
      </c>
      <c r="E7917" t="s">
        <v>19690</v>
      </c>
      <c r="F7917" t="s">
        <v>30900</v>
      </c>
      <c r="G7917" t="s">
        <v>30907</v>
      </c>
      <c r="H7917" t="s">
        <v>30916</v>
      </c>
      <c r="I7917" t="s">
        <v>8123</v>
      </c>
      <c r="J7917" t="s">
        <v>36054</v>
      </c>
      <c r="K7917" t="s">
        <v>40283</v>
      </c>
      <c r="M7917" t="s">
        <v>43391</v>
      </c>
      <c r="N7917" t="s">
        <v>44759</v>
      </c>
      <c r="O7917" t="s">
        <v>44760</v>
      </c>
      <c r="P7917">
        <v>0</v>
      </c>
      <c r="Q7917">
        <v>0</v>
      </c>
      <c r="R7917" t="s">
        <v>44767</v>
      </c>
      <c r="S7917" t="s">
        <v>44954</v>
      </c>
      <c r="T7917" t="s">
        <v>46357</v>
      </c>
      <c r="U7917" t="s">
        <v>53533</v>
      </c>
      <c r="W7917" t="s">
        <v>43391</v>
      </c>
      <c r="X7917" t="s">
        <v>44768</v>
      </c>
    </row>
    <row r="7918" spans="1:24">
      <c r="A7918">
        <f>HYPERLINK("https://www.philgeps.gov.ph/GEPSNONPILOT/Tender/SplashBidNoticeAbstractUI.aspx?menuIndex=3&amp;refID=7145171&amp;Result=3","7145171")</f>
        <v>0</v>
      </c>
      <c r="B7918" t="s">
        <v>2628</v>
      </c>
      <c r="C7918" t="s">
        <v>11268</v>
      </c>
      <c r="D7918" t="s">
        <v>18017</v>
      </c>
      <c r="E7918" t="s">
        <v>24971</v>
      </c>
      <c r="F7918" t="s">
        <v>30900</v>
      </c>
      <c r="G7918" t="s">
        <v>30907</v>
      </c>
      <c r="H7918" t="s">
        <v>30916</v>
      </c>
      <c r="I7918" t="s">
        <v>6953</v>
      </c>
      <c r="J7918" t="s">
        <v>36055</v>
      </c>
      <c r="K7918" t="s">
        <v>40291</v>
      </c>
      <c r="M7918" t="s">
        <v>43392</v>
      </c>
      <c r="N7918" t="s">
        <v>44759</v>
      </c>
      <c r="O7918" t="s">
        <v>44760</v>
      </c>
      <c r="P7918">
        <v>0</v>
      </c>
      <c r="Q7918">
        <v>0</v>
      </c>
      <c r="R7918" t="s">
        <v>44767</v>
      </c>
      <c r="S7918" t="s">
        <v>44954</v>
      </c>
      <c r="T7918" t="s">
        <v>46612</v>
      </c>
      <c r="U7918" t="s">
        <v>53534</v>
      </c>
      <c r="V7918" t="s">
        <v>59962</v>
      </c>
      <c r="W7918" t="s">
        <v>43392</v>
      </c>
      <c r="X7918" t="s">
        <v>44768</v>
      </c>
    </row>
    <row r="7919" spans="1:24">
      <c r="A7919">
        <f>HYPERLINK("https://www.philgeps.gov.ph/GEPSNONPILOT/Tender/SplashBidNoticeAbstractUI.aspx?menuIndex=3&amp;refID=7145170&amp;Result=3","7145170")</f>
        <v>0</v>
      </c>
      <c r="B7919" t="s">
        <v>1791</v>
      </c>
      <c r="C7919" t="s">
        <v>11269</v>
      </c>
      <c r="D7919" t="s">
        <v>17966</v>
      </c>
      <c r="E7919" t="s">
        <v>24972</v>
      </c>
      <c r="F7919" t="s">
        <v>30900</v>
      </c>
      <c r="G7919" t="s">
        <v>30907</v>
      </c>
      <c r="H7919" t="s">
        <v>30916</v>
      </c>
      <c r="I7919" t="s">
        <v>4017</v>
      </c>
      <c r="J7919" t="s">
        <v>31139</v>
      </c>
      <c r="K7919" t="s">
        <v>40283</v>
      </c>
      <c r="M7919" t="s">
        <v>42465</v>
      </c>
      <c r="N7919" t="s">
        <v>44759</v>
      </c>
      <c r="O7919" t="s">
        <v>44760</v>
      </c>
      <c r="P7919">
        <v>0</v>
      </c>
      <c r="Q7919">
        <v>4</v>
      </c>
      <c r="R7919" t="s">
        <v>44767</v>
      </c>
      <c r="S7919" t="s">
        <v>44954</v>
      </c>
      <c r="T7919" t="s">
        <v>46357</v>
      </c>
      <c r="U7919" t="s">
        <v>53535</v>
      </c>
      <c r="V7919" t="s">
        <v>59963</v>
      </c>
      <c r="W7919" t="s">
        <v>42465</v>
      </c>
      <c r="X7919" t="s">
        <v>44768</v>
      </c>
    </row>
    <row r="7920" spans="1:24">
      <c r="A7920">
        <f>HYPERLINK("https://www.philgeps.gov.ph/GEPSNONPILOT/Tender/SplashBidNoticeAbstractUI.aspx?menuIndex=3&amp;refID=7145166&amp;Result=3","7145166")</f>
        <v>0</v>
      </c>
      <c r="B7920" t="s">
        <v>2628</v>
      </c>
      <c r="C7920" t="s">
        <v>11270</v>
      </c>
      <c r="D7920" t="s">
        <v>18017</v>
      </c>
      <c r="E7920" t="s">
        <v>24973</v>
      </c>
      <c r="F7920" t="s">
        <v>30900</v>
      </c>
      <c r="G7920" t="s">
        <v>30907</v>
      </c>
      <c r="H7920" t="s">
        <v>30916</v>
      </c>
      <c r="I7920" t="s">
        <v>30925</v>
      </c>
      <c r="J7920" t="s">
        <v>36056</v>
      </c>
      <c r="K7920" t="s">
        <v>40291</v>
      </c>
      <c r="M7920" t="s">
        <v>43392</v>
      </c>
      <c r="N7920" t="s">
        <v>44759</v>
      </c>
      <c r="O7920" t="s">
        <v>44760</v>
      </c>
      <c r="P7920">
        <v>0</v>
      </c>
      <c r="Q7920">
        <v>1</v>
      </c>
      <c r="R7920" t="s">
        <v>44767</v>
      </c>
      <c r="S7920" t="s">
        <v>44954</v>
      </c>
      <c r="T7920" t="s">
        <v>46612</v>
      </c>
      <c r="U7920" t="s">
        <v>53536</v>
      </c>
      <c r="V7920" t="s">
        <v>59962</v>
      </c>
      <c r="W7920" t="s">
        <v>43392</v>
      </c>
      <c r="X7920" t="s">
        <v>44768</v>
      </c>
    </row>
    <row r="7921" spans="1:24">
      <c r="A7921">
        <f>HYPERLINK("https://www.philgeps.gov.ph/GEPSNONPILOT/Tender/SplashBidNoticeAbstractUI.aspx?menuIndex=3&amp;refID=7145099&amp;Result=3","7145099")</f>
        <v>0</v>
      </c>
      <c r="B7921" t="s">
        <v>2629</v>
      </c>
      <c r="C7921" t="s">
        <v>11271</v>
      </c>
      <c r="D7921" t="s">
        <v>17953</v>
      </c>
      <c r="E7921" t="s">
        <v>24974</v>
      </c>
      <c r="F7921" t="s">
        <v>30900</v>
      </c>
      <c r="G7921" t="s">
        <v>30908</v>
      </c>
      <c r="H7921" t="s">
        <v>30916</v>
      </c>
      <c r="I7921" t="s">
        <v>11785</v>
      </c>
      <c r="J7921" t="s">
        <v>31282</v>
      </c>
      <c r="K7921" t="s">
        <v>40287</v>
      </c>
      <c r="M7921" t="s">
        <v>43393</v>
      </c>
      <c r="N7921" t="s">
        <v>44759</v>
      </c>
      <c r="O7921" t="s">
        <v>44760</v>
      </c>
      <c r="P7921">
        <v>0</v>
      </c>
      <c r="Q7921">
        <v>5</v>
      </c>
      <c r="R7921" t="s">
        <v>44767</v>
      </c>
      <c r="S7921" t="s">
        <v>44954</v>
      </c>
      <c r="T7921" t="s">
        <v>46625</v>
      </c>
      <c r="U7921" t="s">
        <v>53537</v>
      </c>
      <c r="W7921" t="s">
        <v>43393</v>
      </c>
      <c r="X7921" t="s">
        <v>44768</v>
      </c>
    </row>
    <row r="7922" spans="1:24">
      <c r="A7922">
        <f>HYPERLINK("https://www.philgeps.gov.ph/GEPSNONPILOT/Tender/SplashBidNoticeAbstractUI.aspx?menuIndex=3&amp;refID=7145163&amp;Result=3","7145163")</f>
        <v>0</v>
      </c>
      <c r="B7922" t="s">
        <v>2236</v>
      </c>
      <c r="C7922" t="s">
        <v>9708</v>
      </c>
      <c r="D7922" t="s">
        <v>18019</v>
      </c>
      <c r="E7922" t="s">
        <v>24975</v>
      </c>
      <c r="F7922" t="s">
        <v>30900</v>
      </c>
      <c r="G7922" t="s">
        <v>30907</v>
      </c>
      <c r="H7922" t="s">
        <v>30915</v>
      </c>
      <c r="I7922" t="s">
        <v>30919</v>
      </c>
      <c r="J7922" t="s">
        <v>36057</v>
      </c>
      <c r="K7922" t="s">
        <v>40279</v>
      </c>
      <c r="M7922" t="s">
        <v>42946</v>
      </c>
      <c r="N7922" t="s">
        <v>44759</v>
      </c>
      <c r="O7922" t="s">
        <v>44760</v>
      </c>
      <c r="P7922">
        <v>0</v>
      </c>
      <c r="Q7922">
        <v>0</v>
      </c>
      <c r="R7922" t="s">
        <v>44767</v>
      </c>
      <c r="S7922" t="s">
        <v>44954</v>
      </c>
      <c r="T7922" t="s">
        <v>46800</v>
      </c>
      <c r="U7922" t="s">
        <v>53538</v>
      </c>
      <c r="W7922" t="s">
        <v>42946</v>
      </c>
      <c r="X7922" t="s">
        <v>44768</v>
      </c>
    </row>
    <row r="7923" spans="1:24">
      <c r="A7923">
        <f>HYPERLINK("https://www.philgeps.gov.ph/GEPSNONPILOT/Tender/SplashBidNoticeAbstractUI.aspx?menuIndex=3&amp;refID=7145006&amp;Result=3","7145006")</f>
        <v>0</v>
      </c>
      <c r="B7923" t="s">
        <v>937</v>
      </c>
      <c r="C7923" t="s">
        <v>11272</v>
      </c>
      <c r="D7923" t="s">
        <v>17998</v>
      </c>
      <c r="E7923" t="s">
        <v>24976</v>
      </c>
      <c r="F7923" t="s">
        <v>30900</v>
      </c>
      <c r="G7923" t="s">
        <v>30907</v>
      </c>
      <c r="H7923" t="s">
        <v>30916</v>
      </c>
      <c r="I7923" t="s">
        <v>30960</v>
      </c>
      <c r="J7923" t="s">
        <v>31139</v>
      </c>
      <c r="K7923" t="s">
        <v>40289</v>
      </c>
      <c r="M7923" t="s">
        <v>41520</v>
      </c>
      <c r="N7923" t="s">
        <v>44759</v>
      </c>
      <c r="O7923" t="s">
        <v>44760</v>
      </c>
      <c r="P7923">
        <v>0</v>
      </c>
      <c r="Q7923">
        <v>2</v>
      </c>
      <c r="R7923" t="s">
        <v>44767</v>
      </c>
      <c r="S7923" t="s">
        <v>44954</v>
      </c>
      <c r="T7923" t="s">
        <v>46387</v>
      </c>
      <c r="U7923" t="s">
        <v>53495</v>
      </c>
      <c r="W7923" t="s">
        <v>41520</v>
      </c>
      <c r="X7923" t="s">
        <v>44768</v>
      </c>
    </row>
    <row r="7924" spans="1:24">
      <c r="A7924">
        <f>HYPERLINK("https://www.philgeps.gov.ph/GEPSNONPILOT/Tender/SplashBidNoticeAbstractUI.aspx?menuIndex=3&amp;refID=7145169&amp;Result=3","7145169")</f>
        <v>0</v>
      </c>
      <c r="B7924" t="s">
        <v>2625</v>
      </c>
      <c r="C7924" t="s">
        <v>11273</v>
      </c>
      <c r="D7924" t="s">
        <v>17959</v>
      </c>
      <c r="E7924" t="s">
        <v>24977</v>
      </c>
      <c r="F7924" t="s">
        <v>30900</v>
      </c>
      <c r="G7924" t="s">
        <v>30908</v>
      </c>
      <c r="H7924" t="s">
        <v>30916</v>
      </c>
      <c r="I7924" t="s">
        <v>9385</v>
      </c>
      <c r="J7924" t="s">
        <v>31050</v>
      </c>
      <c r="K7924" t="s">
        <v>40289</v>
      </c>
      <c r="M7924" t="s">
        <v>43389</v>
      </c>
      <c r="N7924" t="s">
        <v>44759</v>
      </c>
      <c r="O7924" t="s">
        <v>44760</v>
      </c>
      <c r="P7924">
        <v>0</v>
      </c>
      <c r="Q7924">
        <v>14</v>
      </c>
      <c r="R7924" t="s">
        <v>44767</v>
      </c>
      <c r="S7924" t="s">
        <v>44954</v>
      </c>
      <c r="T7924" t="s">
        <v>46625</v>
      </c>
      <c r="U7924" t="s">
        <v>53539</v>
      </c>
      <c r="W7924" t="s">
        <v>43389</v>
      </c>
      <c r="X7924" t="s">
        <v>44768</v>
      </c>
    </row>
    <row r="7925" spans="1:24">
      <c r="A7925">
        <f>HYPERLINK("https://www.philgeps.gov.ph/GEPSNONPILOT/Tender/SplashBidNoticeAbstractUI.aspx?menuIndex=3&amp;refID=7145159&amp;Result=3","7145159")</f>
        <v>0</v>
      </c>
      <c r="B7925" t="s">
        <v>1143</v>
      </c>
      <c r="C7925" t="s">
        <v>11274</v>
      </c>
      <c r="D7925" t="s">
        <v>17990</v>
      </c>
      <c r="E7925" t="s">
        <v>24978</v>
      </c>
      <c r="F7925" t="s">
        <v>30900</v>
      </c>
      <c r="G7925" t="s">
        <v>30907</v>
      </c>
      <c r="H7925" t="s">
        <v>30916</v>
      </c>
      <c r="I7925" t="s">
        <v>30961</v>
      </c>
      <c r="J7925" t="s">
        <v>31153</v>
      </c>
      <c r="K7925" t="s">
        <v>40283</v>
      </c>
      <c r="M7925" t="s">
        <v>42441</v>
      </c>
      <c r="N7925" t="s">
        <v>44759</v>
      </c>
      <c r="O7925" t="s">
        <v>44760</v>
      </c>
      <c r="P7925">
        <v>0</v>
      </c>
      <c r="Q7925">
        <v>8</v>
      </c>
      <c r="R7925" t="s">
        <v>44767</v>
      </c>
      <c r="S7925" t="s">
        <v>44954</v>
      </c>
      <c r="T7925" t="s">
        <v>46415</v>
      </c>
      <c r="U7925" t="s">
        <v>53540</v>
      </c>
      <c r="W7925" t="s">
        <v>42441</v>
      </c>
      <c r="X7925" t="s">
        <v>44768</v>
      </c>
    </row>
    <row r="7926" spans="1:24">
      <c r="A7926">
        <f>HYPERLINK("https://www.philgeps.gov.ph/GEPSNONPILOT/Tender/SplashBidNoticeAbstractUI.aspx?menuIndex=3&amp;refID=7145162&amp;Result=3","7145162")</f>
        <v>0</v>
      </c>
      <c r="B7926" t="s">
        <v>2630</v>
      </c>
      <c r="C7926" t="s">
        <v>11275</v>
      </c>
      <c r="D7926" t="s">
        <v>17963</v>
      </c>
      <c r="E7926" t="s">
        <v>24979</v>
      </c>
      <c r="F7926" t="s">
        <v>30900</v>
      </c>
      <c r="G7926" t="s">
        <v>30907</v>
      </c>
      <c r="H7926" t="s">
        <v>30915</v>
      </c>
      <c r="I7926" t="s">
        <v>30919</v>
      </c>
      <c r="J7926" t="s">
        <v>36058</v>
      </c>
      <c r="K7926" t="s">
        <v>40280</v>
      </c>
      <c r="M7926" t="s">
        <v>43394</v>
      </c>
      <c r="N7926" t="s">
        <v>44759</v>
      </c>
      <c r="O7926" t="s">
        <v>44760</v>
      </c>
      <c r="P7926">
        <v>0</v>
      </c>
      <c r="Q7926">
        <v>0</v>
      </c>
      <c r="R7926" t="s">
        <v>44767</v>
      </c>
      <c r="S7926" t="s">
        <v>44954</v>
      </c>
      <c r="T7926" t="s">
        <v>46531</v>
      </c>
      <c r="U7926" t="s">
        <v>53541</v>
      </c>
      <c r="W7926" t="s">
        <v>43394</v>
      </c>
      <c r="X7926" t="s">
        <v>44768</v>
      </c>
    </row>
    <row r="7927" spans="1:24">
      <c r="A7927">
        <f>HYPERLINK("https://www.philgeps.gov.ph/GEPSNONPILOT/Tender/SplashBidNoticeAbstractUI.aspx?menuIndex=3&amp;refID=7145150&amp;Result=3","7145150")</f>
        <v>0</v>
      </c>
      <c r="B7927" t="s">
        <v>1775</v>
      </c>
      <c r="C7927" t="s">
        <v>11276</v>
      </c>
      <c r="D7927" t="s">
        <v>18032</v>
      </c>
      <c r="E7927" t="s">
        <v>24980</v>
      </c>
      <c r="F7927" t="s">
        <v>30900</v>
      </c>
      <c r="G7927" t="s">
        <v>30909</v>
      </c>
      <c r="H7927" t="s">
        <v>30916</v>
      </c>
      <c r="I7927" t="s">
        <v>30939</v>
      </c>
      <c r="J7927" t="s">
        <v>36059</v>
      </c>
      <c r="K7927" t="s">
        <v>40294</v>
      </c>
      <c r="M7927" t="s">
        <v>42448</v>
      </c>
      <c r="N7927" t="s">
        <v>44759</v>
      </c>
      <c r="O7927" t="s">
        <v>44760</v>
      </c>
      <c r="P7927">
        <v>0</v>
      </c>
      <c r="Q7927">
        <v>0</v>
      </c>
      <c r="R7927" t="s">
        <v>44767</v>
      </c>
      <c r="S7927" t="s">
        <v>44954</v>
      </c>
      <c r="T7927" t="s">
        <v>46533</v>
      </c>
      <c r="U7927" t="s">
        <v>50973</v>
      </c>
      <c r="W7927" t="s">
        <v>42448</v>
      </c>
      <c r="X7927" t="s">
        <v>44768</v>
      </c>
    </row>
    <row r="7928" spans="1:24">
      <c r="A7928">
        <f>HYPERLINK("https://www.philgeps.gov.ph/GEPSNONPILOT/Tender/SplashBidNoticeAbstractUI.aspx?menuIndex=3&amp;refID=7145148&amp;Result=3","7145148")</f>
        <v>0</v>
      </c>
      <c r="B7928" t="s">
        <v>2631</v>
      </c>
      <c r="C7928" t="s">
        <v>11277</v>
      </c>
      <c r="D7928" t="s">
        <v>17959</v>
      </c>
      <c r="E7928" t="s">
        <v>24981</v>
      </c>
      <c r="F7928" t="s">
        <v>30900</v>
      </c>
      <c r="G7928" t="s">
        <v>30908</v>
      </c>
      <c r="H7928" t="s">
        <v>30916</v>
      </c>
      <c r="I7928" t="s">
        <v>30939</v>
      </c>
      <c r="J7928" t="s">
        <v>36060</v>
      </c>
      <c r="K7928" t="s">
        <v>40286</v>
      </c>
      <c r="M7928" t="s">
        <v>43395</v>
      </c>
      <c r="N7928" t="s">
        <v>44759</v>
      </c>
      <c r="O7928" t="s">
        <v>44760</v>
      </c>
      <c r="Q7928">
        <v>2</v>
      </c>
      <c r="R7928" t="s">
        <v>44767</v>
      </c>
      <c r="S7928" t="s">
        <v>44979</v>
      </c>
      <c r="T7928" t="s">
        <v>46383</v>
      </c>
      <c r="U7928" t="s">
        <v>53542</v>
      </c>
      <c r="W7928" t="s">
        <v>43395</v>
      </c>
      <c r="X7928" t="s">
        <v>44768</v>
      </c>
    </row>
    <row r="7929" spans="1:24">
      <c r="A7929">
        <f>HYPERLINK("https://www.philgeps.gov.ph/GEPSNONPILOT/Tender/SplashBidNoticeAbstractUI.aspx?menuIndex=3&amp;refID=7145008&amp;Result=3","7145008")</f>
        <v>0</v>
      </c>
      <c r="B7929" t="s">
        <v>2632</v>
      </c>
      <c r="C7929" t="s">
        <v>11278</v>
      </c>
      <c r="D7929" t="s">
        <v>17978</v>
      </c>
      <c r="E7929" t="s">
        <v>24982</v>
      </c>
      <c r="F7929" t="s">
        <v>30900</v>
      </c>
      <c r="G7929" t="s">
        <v>30907</v>
      </c>
      <c r="H7929" t="s">
        <v>30915</v>
      </c>
      <c r="I7929" t="s">
        <v>30919</v>
      </c>
      <c r="J7929" t="s">
        <v>31049</v>
      </c>
      <c r="K7929" t="s">
        <v>40283</v>
      </c>
      <c r="M7929" t="s">
        <v>43396</v>
      </c>
      <c r="N7929" t="s">
        <v>44759</v>
      </c>
      <c r="O7929" t="s">
        <v>44760</v>
      </c>
      <c r="P7929">
        <v>0</v>
      </c>
      <c r="Q7929">
        <v>1</v>
      </c>
      <c r="R7929" t="s">
        <v>44767</v>
      </c>
      <c r="S7929" t="s">
        <v>44954</v>
      </c>
      <c r="T7929" t="s">
        <v>46353</v>
      </c>
      <c r="U7929" t="s">
        <v>53543</v>
      </c>
      <c r="W7929" t="s">
        <v>43396</v>
      </c>
      <c r="X7929" t="s">
        <v>44768</v>
      </c>
    </row>
    <row r="7930" spans="1:24">
      <c r="A7930">
        <f>HYPERLINK("https://www.philgeps.gov.ph/GEPSNONPILOT/Tender/SplashBidNoticeAbstractUI.aspx?menuIndex=3&amp;refID=7145146&amp;Result=3","7145146")</f>
        <v>0</v>
      </c>
      <c r="B7930" t="s">
        <v>322</v>
      </c>
      <c r="C7930" t="s">
        <v>11279</v>
      </c>
      <c r="D7930" t="s">
        <v>17959</v>
      </c>
      <c r="E7930" t="s">
        <v>24983</v>
      </c>
      <c r="F7930" t="s">
        <v>30900</v>
      </c>
      <c r="G7930" t="s">
        <v>30907</v>
      </c>
      <c r="H7930" t="s">
        <v>30916</v>
      </c>
      <c r="I7930" t="s">
        <v>30924</v>
      </c>
      <c r="J7930" t="s">
        <v>36061</v>
      </c>
      <c r="K7930" t="s">
        <v>40385</v>
      </c>
      <c r="M7930" t="s">
        <v>43397</v>
      </c>
      <c r="N7930" t="s">
        <v>44759</v>
      </c>
      <c r="O7930" t="s">
        <v>44760</v>
      </c>
      <c r="P7930">
        <v>0</v>
      </c>
      <c r="Q7930">
        <v>4</v>
      </c>
      <c r="R7930" t="s">
        <v>44767</v>
      </c>
      <c r="S7930" t="s">
        <v>44954</v>
      </c>
      <c r="T7930" t="s">
        <v>46512</v>
      </c>
      <c r="U7930" t="s">
        <v>53544</v>
      </c>
      <c r="V7930" t="s">
        <v>59964</v>
      </c>
      <c r="W7930" t="s">
        <v>43397</v>
      </c>
      <c r="X7930" t="s">
        <v>44768</v>
      </c>
    </row>
    <row r="7931" spans="1:24">
      <c r="A7931">
        <f>HYPERLINK("https://www.philgeps.gov.ph/GEPSNONPILOT/Tender/SplashBidNoticeAbstractUI.aspx?menuIndex=3&amp;refID=7145107&amp;Result=3","7145107")</f>
        <v>0</v>
      </c>
      <c r="B7931" t="s">
        <v>2236</v>
      </c>
      <c r="C7931" t="s">
        <v>11280</v>
      </c>
      <c r="D7931" t="s">
        <v>18019</v>
      </c>
      <c r="E7931" t="s">
        <v>24915</v>
      </c>
      <c r="F7931" t="s">
        <v>30900</v>
      </c>
      <c r="G7931" t="s">
        <v>30907</v>
      </c>
      <c r="H7931" t="s">
        <v>30915</v>
      </c>
      <c r="I7931" t="s">
        <v>30919</v>
      </c>
      <c r="J7931" t="s">
        <v>36062</v>
      </c>
      <c r="K7931" t="s">
        <v>40279</v>
      </c>
      <c r="M7931" t="s">
        <v>42946</v>
      </c>
      <c r="N7931" t="s">
        <v>44759</v>
      </c>
      <c r="O7931" t="s">
        <v>44760</v>
      </c>
      <c r="P7931">
        <v>0</v>
      </c>
      <c r="Q7931">
        <v>0</v>
      </c>
      <c r="R7931" t="s">
        <v>44767</v>
      </c>
      <c r="S7931" t="s">
        <v>44954</v>
      </c>
      <c r="T7931" t="s">
        <v>46801</v>
      </c>
      <c r="U7931" t="s">
        <v>53545</v>
      </c>
      <c r="W7931" t="s">
        <v>42946</v>
      </c>
      <c r="X7931" t="s">
        <v>44768</v>
      </c>
    </row>
    <row r="7932" spans="1:24">
      <c r="A7932">
        <f>HYPERLINK("https://www.philgeps.gov.ph/GEPSNONPILOT/Tender/SplashBidNoticeAbstractUI.aspx?menuIndex=3&amp;refID=7145144&amp;Result=3","7145144")</f>
        <v>0</v>
      </c>
      <c r="B7932" t="s">
        <v>2633</v>
      </c>
      <c r="C7932" t="s">
        <v>11281</v>
      </c>
      <c r="D7932" t="s">
        <v>17970</v>
      </c>
      <c r="E7932" t="s">
        <v>18066</v>
      </c>
      <c r="F7932" t="s">
        <v>30900</v>
      </c>
      <c r="G7932" t="s">
        <v>30907</v>
      </c>
      <c r="H7932" t="s">
        <v>30915</v>
      </c>
      <c r="I7932" t="s">
        <v>30919</v>
      </c>
      <c r="J7932" t="s">
        <v>36063</v>
      </c>
      <c r="K7932" t="s">
        <v>40286</v>
      </c>
      <c r="M7932" t="s">
        <v>43398</v>
      </c>
      <c r="N7932" t="s">
        <v>44759</v>
      </c>
      <c r="O7932" t="s">
        <v>44760</v>
      </c>
      <c r="P7932">
        <v>0</v>
      </c>
      <c r="Q7932">
        <v>0</v>
      </c>
      <c r="R7932" t="s">
        <v>44767</v>
      </c>
      <c r="S7932" t="s">
        <v>44954</v>
      </c>
      <c r="T7932" t="s">
        <v>46730</v>
      </c>
      <c r="U7932" t="s">
        <v>53546</v>
      </c>
      <c r="V7932" t="s">
        <v>59965</v>
      </c>
      <c r="W7932" t="s">
        <v>43398</v>
      </c>
      <c r="X7932" t="s">
        <v>44768</v>
      </c>
    </row>
    <row r="7933" spans="1:24">
      <c r="A7933">
        <f>HYPERLINK("https://www.philgeps.gov.ph/GEPSNONPILOT/Tender/SplashBidNoticeAbstractUI.aspx?menuIndex=3&amp;refID=7145151&amp;Result=3","7145151")</f>
        <v>0</v>
      </c>
      <c r="B7933" t="s">
        <v>2634</v>
      </c>
      <c r="C7933" t="s">
        <v>11282</v>
      </c>
      <c r="D7933" t="s">
        <v>17963</v>
      </c>
      <c r="E7933" t="s">
        <v>24984</v>
      </c>
      <c r="F7933" t="s">
        <v>30900</v>
      </c>
      <c r="G7933" t="s">
        <v>30909</v>
      </c>
      <c r="H7933" t="s">
        <v>30916</v>
      </c>
      <c r="I7933" t="s">
        <v>5830</v>
      </c>
      <c r="J7933" t="s">
        <v>36064</v>
      </c>
      <c r="K7933" t="s">
        <v>40288</v>
      </c>
      <c r="M7933" t="s">
        <v>43399</v>
      </c>
      <c r="N7933" t="s">
        <v>44759</v>
      </c>
      <c r="O7933" t="s">
        <v>44760</v>
      </c>
      <c r="P7933">
        <v>0</v>
      </c>
      <c r="Q7933">
        <v>7</v>
      </c>
      <c r="R7933" t="s">
        <v>44767</v>
      </c>
      <c r="S7933" t="s">
        <v>44954</v>
      </c>
      <c r="T7933" t="s">
        <v>46700</v>
      </c>
      <c r="U7933" t="s">
        <v>53547</v>
      </c>
      <c r="V7933" t="s">
        <v>59966</v>
      </c>
      <c r="W7933" t="s">
        <v>43399</v>
      </c>
      <c r="X7933" t="s">
        <v>44768</v>
      </c>
    </row>
    <row r="7934" spans="1:24">
      <c r="A7934">
        <f>HYPERLINK("https://www.philgeps.gov.ph/GEPSNONPILOT/Tender/SplashBidNoticeAbstractUI.aspx?menuIndex=3&amp;refID=7145058&amp;Result=3","7145058")</f>
        <v>0</v>
      </c>
      <c r="B7934" t="s">
        <v>1218</v>
      </c>
      <c r="C7934" t="s">
        <v>11283</v>
      </c>
      <c r="D7934" t="s">
        <v>17961</v>
      </c>
      <c r="E7934" t="s">
        <v>24985</v>
      </c>
      <c r="F7934" t="s">
        <v>30900</v>
      </c>
      <c r="G7934" t="s">
        <v>30907</v>
      </c>
      <c r="H7934" t="s">
        <v>7411</v>
      </c>
      <c r="I7934" t="s">
        <v>7411</v>
      </c>
      <c r="J7934" t="s">
        <v>36065</v>
      </c>
      <c r="K7934" t="s">
        <v>40295</v>
      </c>
      <c r="M7934" t="s">
        <v>43400</v>
      </c>
      <c r="N7934" t="s">
        <v>44759</v>
      </c>
      <c r="O7934" t="s">
        <v>44760</v>
      </c>
      <c r="P7934">
        <v>0</v>
      </c>
      <c r="Q7934">
        <v>4</v>
      </c>
      <c r="R7934" t="s">
        <v>44767</v>
      </c>
      <c r="S7934" t="s">
        <v>44954</v>
      </c>
      <c r="T7934" t="s">
        <v>46533</v>
      </c>
      <c r="U7934" t="s">
        <v>53548</v>
      </c>
      <c r="W7934" t="s">
        <v>43400</v>
      </c>
      <c r="X7934" t="s">
        <v>44768</v>
      </c>
    </row>
    <row r="7935" spans="1:24">
      <c r="A7935">
        <f>HYPERLINK("https://www.philgeps.gov.ph/GEPSNONPILOT/Tender/SplashBidNoticeAbstractUI.aspx?menuIndex=3&amp;refID=7145161&amp;Result=3","7145161")</f>
        <v>0</v>
      </c>
      <c r="B7935" t="s">
        <v>1791</v>
      </c>
      <c r="C7935" t="s">
        <v>11284</v>
      </c>
      <c r="D7935" t="s">
        <v>17966</v>
      </c>
      <c r="E7935" t="s">
        <v>24986</v>
      </c>
      <c r="F7935" t="s">
        <v>30900</v>
      </c>
      <c r="G7935" t="s">
        <v>30907</v>
      </c>
      <c r="H7935" t="s">
        <v>30916</v>
      </c>
      <c r="I7935" t="s">
        <v>30924</v>
      </c>
      <c r="J7935" t="s">
        <v>36066</v>
      </c>
      <c r="K7935" t="s">
        <v>40283</v>
      </c>
      <c r="M7935" t="s">
        <v>42465</v>
      </c>
      <c r="N7935" t="s">
        <v>44759</v>
      </c>
      <c r="O7935" t="s">
        <v>44760</v>
      </c>
      <c r="P7935">
        <v>0</v>
      </c>
      <c r="Q7935">
        <v>4</v>
      </c>
      <c r="R7935" t="s">
        <v>44767</v>
      </c>
      <c r="S7935" t="s">
        <v>44954</v>
      </c>
      <c r="T7935" t="s">
        <v>46357</v>
      </c>
      <c r="U7935" t="s">
        <v>53549</v>
      </c>
      <c r="V7935" t="s">
        <v>59963</v>
      </c>
      <c r="W7935" t="s">
        <v>42465</v>
      </c>
      <c r="X7935" t="s">
        <v>44768</v>
      </c>
    </row>
    <row r="7936" spans="1:24">
      <c r="A7936">
        <f>HYPERLINK("https://www.philgeps.gov.ph/GEPSNONPILOT/Tender/SplashBidNoticeAbstractUI.aspx?menuIndex=3&amp;refID=7145149&amp;Result=3","7145149")</f>
        <v>0</v>
      </c>
      <c r="B7936" t="s">
        <v>1775</v>
      </c>
      <c r="C7936" t="s">
        <v>11285</v>
      </c>
      <c r="D7936" t="s">
        <v>18032</v>
      </c>
      <c r="E7936" t="s">
        <v>24987</v>
      </c>
      <c r="F7936" t="s">
        <v>30900</v>
      </c>
      <c r="G7936" t="s">
        <v>30909</v>
      </c>
      <c r="H7936" t="s">
        <v>30916</v>
      </c>
      <c r="I7936" t="s">
        <v>30939</v>
      </c>
      <c r="J7936" t="s">
        <v>36067</v>
      </c>
      <c r="K7936" t="s">
        <v>40294</v>
      </c>
      <c r="M7936" t="s">
        <v>42448</v>
      </c>
      <c r="N7936" t="s">
        <v>44759</v>
      </c>
      <c r="O7936" t="s">
        <v>44760</v>
      </c>
      <c r="P7936">
        <v>0</v>
      </c>
      <c r="Q7936">
        <v>0</v>
      </c>
      <c r="R7936" t="s">
        <v>44767</v>
      </c>
      <c r="S7936" t="s">
        <v>44954</v>
      </c>
      <c r="T7936" t="s">
        <v>46533</v>
      </c>
      <c r="U7936" t="s">
        <v>50973</v>
      </c>
      <c r="W7936" t="s">
        <v>42448</v>
      </c>
      <c r="X7936" t="s">
        <v>44768</v>
      </c>
    </row>
    <row r="7937" spans="1:24">
      <c r="A7937">
        <f>HYPERLINK("https://www.philgeps.gov.ph/GEPSNONPILOT/Tender/SplashBidNoticeAbstractUI.aspx?menuIndex=3&amp;refID=7145032&amp;Result=3","7145032")</f>
        <v>0</v>
      </c>
      <c r="B7937" t="s">
        <v>1868</v>
      </c>
      <c r="C7937" t="s">
        <v>11286</v>
      </c>
      <c r="D7937" t="s">
        <v>17959</v>
      </c>
      <c r="E7937" t="s">
        <v>24988</v>
      </c>
      <c r="F7937" t="s">
        <v>30900</v>
      </c>
      <c r="G7937" t="s">
        <v>30908</v>
      </c>
      <c r="H7937" t="s">
        <v>7411</v>
      </c>
      <c r="I7937" t="s">
        <v>7411</v>
      </c>
      <c r="J7937" t="s">
        <v>32049</v>
      </c>
      <c r="K7937" t="s">
        <v>40289</v>
      </c>
      <c r="M7937" t="s">
        <v>42542</v>
      </c>
      <c r="N7937" t="s">
        <v>44759</v>
      </c>
      <c r="O7937" t="s">
        <v>44760</v>
      </c>
      <c r="P7937">
        <v>0</v>
      </c>
      <c r="Q7937">
        <v>4</v>
      </c>
      <c r="R7937" t="s">
        <v>44767</v>
      </c>
      <c r="S7937" t="s">
        <v>44954</v>
      </c>
      <c r="T7937" t="s">
        <v>46700</v>
      </c>
      <c r="U7937" t="s">
        <v>53550</v>
      </c>
      <c r="W7937" t="s">
        <v>42542</v>
      </c>
      <c r="X7937" t="s">
        <v>44768</v>
      </c>
    </row>
    <row r="7938" spans="1:24">
      <c r="A7938">
        <f>HYPERLINK("https://www.philgeps.gov.ph/GEPSNONPILOT/Tender/SplashBidNoticeAbstractUI.aspx?menuIndex=3&amp;refID=7145203&amp;Result=3","7145203")</f>
        <v>0</v>
      </c>
      <c r="B7938" t="s">
        <v>1030</v>
      </c>
      <c r="C7938" t="s">
        <v>11287</v>
      </c>
      <c r="D7938" t="s">
        <v>17996</v>
      </c>
      <c r="E7938" t="s">
        <v>24989</v>
      </c>
      <c r="F7938" t="s">
        <v>30900</v>
      </c>
      <c r="G7938" t="s">
        <v>30907</v>
      </c>
      <c r="H7938" t="s">
        <v>30915</v>
      </c>
      <c r="I7938" t="s">
        <v>30919</v>
      </c>
      <c r="J7938" t="s">
        <v>36068</v>
      </c>
      <c r="K7938" t="s">
        <v>40289</v>
      </c>
      <c r="M7938" t="s">
        <v>41621</v>
      </c>
      <c r="N7938" t="s">
        <v>44759</v>
      </c>
      <c r="O7938" t="s">
        <v>44760</v>
      </c>
      <c r="P7938">
        <v>0</v>
      </c>
      <c r="Q7938">
        <v>1</v>
      </c>
      <c r="R7938" t="s">
        <v>44767</v>
      </c>
      <c r="S7938" t="s">
        <v>44954</v>
      </c>
      <c r="T7938" t="s">
        <v>46504</v>
      </c>
      <c r="U7938" t="s">
        <v>53551</v>
      </c>
      <c r="W7938" t="s">
        <v>41621</v>
      </c>
      <c r="X7938" t="s">
        <v>44768</v>
      </c>
    </row>
    <row r="7939" spans="1:24">
      <c r="A7939">
        <f>HYPERLINK("https://www.philgeps.gov.ph/GEPSNONPILOT/Tender/SplashBidNoticeAbstractUI.aspx?menuIndex=3&amp;refID=7145202&amp;Result=3","7145202")</f>
        <v>0</v>
      </c>
      <c r="B7939" t="s">
        <v>1030</v>
      </c>
      <c r="C7939" t="s">
        <v>11288</v>
      </c>
      <c r="D7939" t="s">
        <v>17996</v>
      </c>
      <c r="E7939" t="s">
        <v>24990</v>
      </c>
      <c r="F7939" t="s">
        <v>30900</v>
      </c>
      <c r="G7939" t="s">
        <v>30907</v>
      </c>
      <c r="H7939" t="s">
        <v>30915</v>
      </c>
      <c r="I7939" t="s">
        <v>30919</v>
      </c>
      <c r="J7939" t="s">
        <v>31069</v>
      </c>
      <c r="K7939" t="s">
        <v>40289</v>
      </c>
      <c r="M7939" t="s">
        <v>41621</v>
      </c>
      <c r="N7939" t="s">
        <v>44759</v>
      </c>
      <c r="O7939" t="s">
        <v>44760</v>
      </c>
      <c r="P7939">
        <v>0</v>
      </c>
      <c r="Q7939">
        <v>1</v>
      </c>
      <c r="R7939" t="s">
        <v>44767</v>
      </c>
      <c r="S7939" t="s">
        <v>44954</v>
      </c>
      <c r="T7939" t="s">
        <v>46504</v>
      </c>
      <c r="U7939" t="s">
        <v>53552</v>
      </c>
      <c r="W7939" t="s">
        <v>41621</v>
      </c>
      <c r="X7939" t="s">
        <v>44768</v>
      </c>
    </row>
    <row r="7940" spans="1:24">
      <c r="A7940">
        <f>HYPERLINK("https://www.philgeps.gov.ph/GEPSNONPILOT/Tender/SplashBidNoticeAbstractUI.aspx?menuIndex=3&amp;refID=7145198&amp;Result=3","7145198")</f>
        <v>0</v>
      </c>
      <c r="B7940" t="s">
        <v>2635</v>
      </c>
      <c r="C7940" t="s">
        <v>11289</v>
      </c>
      <c r="D7940" t="s">
        <v>17961</v>
      </c>
      <c r="E7940" t="s">
        <v>24625</v>
      </c>
      <c r="F7940" t="s">
        <v>30900</v>
      </c>
      <c r="G7940" t="s">
        <v>30910</v>
      </c>
      <c r="H7940" t="s">
        <v>30916</v>
      </c>
      <c r="I7940" t="s">
        <v>5830</v>
      </c>
      <c r="J7940" t="s">
        <v>31043</v>
      </c>
      <c r="K7940" t="s">
        <v>40291</v>
      </c>
      <c r="M7940" t="s">
        <v>43401</v>
      </c>
      <c r="N7940" t="s">
        <v>44759</v>
      </c>
      <c r="O7940" t="s">
        <v>44760</v>
      </c>
      <c r="P7940">
        <v>0</v>
      </c>
      <c r="Q7940">
        <v>2</v>
      </c>
      <c r="R7940" t="s">
        <v>44767</v>
      </c>
      <c r="S7940" t="s">
        <v>44954</v>
      </c>
      <c r="T7940" t="s">
        <v>46398</v>
      </c>
      <c r="U7940" t="s">
        <v>53553</v>
      </c>
      <c r="W7940" t="s">
        <v>43401</v>
      </c>
      <c r="X7940" t="s">
        <v>44768</v>
      </c>
    </row>
    <row r="7941" spans="1:24">
      <c r="A7941">
        <f>HYPERLINK("https://www.philgeps.gov.ph/GEPSNONPILOT/Tender/SplashBidNoticeAbstractUI.aspx?menuIndex=3&amp;refID=7145137&amp;Result=3","7145137")</f>
        <v>0</v>
      </c>
      <c r="B7941" t="s">
        <v>2629</v>
      </c>
      <c r="C7941" t="s">
        <v>11290</v>
      </c>
      <c r="D7941" t="s">
        <v>17953</v>
      </c>
      <c r="E7941" t="s">
        <v>24991</v>
      </c>
      <c r="F7941" t="s">
        <v>30900</v>
      </c>
      <c r="G7941" t="s">
        <v>30908</v>
      </c>
      <c r="H7941" t="s">
        <v>30916</v>
      </c>
      <c r="I7941" t="s">
        <v>6396</v>
      </c>
      <c r="J7941" t="s">
        <v>36069</v>
      </c>
      <c r="K7941" t="s">
        <v>40287</v>
      </c>
      <c r="M7941" t="s">
        <v>43393</v>
      </c>
      <c r="N7941" t="s">
        <v>44759</v>
      </c>
      <c r="O7941" t="s">
        <v>44760</v>
      </c>
      <c r="P7941">
        <v>0</v>
      </c>
      <c r="Q7941">
        <v>1</v>
      </c>
      <c r="R7941" t="s">
        <v>44767</v>
      </c>
      <c r="S7941" t="s">
        <v>44954</v>
      </c>
      <c r="T7941" t="s">
        <v>46625</v>
      </c>
      <c r="U7941" t="s">
        <v>53554</v>
      </c>
      <c r="W7941" t="s">
        <v>43393</v>
      </c>
      <c r="X7941" t="s">
        <v>44768</v>
      </c>
    </row>
    <row r="7942" spans="1:24">
      <c r="A7942">
        <f>HYPERLINK("https://www.philgeps.gov.ph/GEPSNONPILOT/Tender/SplashBidNoticeAbstractUI.aspx?menuIndex=3&amp;refID=7145063&amp;Result=3","7145063")</f>
        <v>0</v>
      </c>
      <c r="B7942" t="s">
        <v>2636</v>
      </c>
      <c r="C7942" t="s">
        <v>11291</v>
      </c>
      <c r="E7942" t="s">
        <v>24992</v>
      </c>
      <c r="F7942" t="s">
        <v>30900</v>
      </c>
      <c r="G7942" t="s">
        <v>30907</v>
      </c>
      <c r="H7942" t="s">
        <v>30916</v>
      </c>
      <c r="I7942" t="s">
        <v>4142</v>
      </c>
      <c r="J7942" t="s">
        <v>36070</v>
      </c>
      <c r="K7942" t="s">
        <v>40286</v>
      </c>
      <c r="M7942" t="s">
        <v>43402</v>
      </c>
      <c r="N7942" t="s">
        <v>44759</v>
      </c>
      <c r="O7942" t="s">
        <v>44760</v>
      </c>
      <c r="P7942">
        <v>0</v>
      </c>
      <c r="Q7942">
        <v>0</v>
      </c>
      <c r="R7942" t="s">
        <v>44767</v>
      </c>
      <c r="S7942" t="s">
        <v>44954</v>
      </c>
      <c r="T7942" t="s">
        <v>46703</v>
      </c>
      <c r="U7942" t="s">
        <v>53555</v>
      </c>
      <c r="W7942" t="s">
        <v>43402</v>
      </c>
      <c r="X7942" t="s">
        <v>44768</v>
      </c>
    </row>
    <row r="7943" spans="1:24">
      <c r="A7943">
        <f>HYPERLINK("https://www.philgeps.gov.ph/GEPSNONPILOT/Tender/SplashBidNoticeAbstractUI.aspx?menuIndex=3&amp;refID=7145197&amp;Result=3","7145197")</f>
        <v>0</v>
      </c>
      <c r="B7943" t="s">
        <v>1030</v>
      </c>
      <c r="C7943" t="s">
        <v>11292</v>
      </c>
      <c r="D7943" t="s">
        <v>17996</v>
      </c>
      <c r="E7943" t="s">
        <v>24993</v>
      </c>
      <c r="F7943" t="s">
        <v>30900</v>
      </c>
      <c r="G7943" t="s">
        <v>30907</v>
      </c>
      <c r="H7943" t="s">
        <v>30915</v>
      </c>
      <c r="I7943" t="s">
        <v>30919</v>
      </c>
      <c r="J7943" t="s">
        <v>36071</v>
      </c>
      <c r="K7943" t="s">
        <v>40289</v>
      </c>
      <c r="M7943" t="s">
        <v>41621</v>
      </c>
      <c r="N7943" t="s">
        <v>44759</v>
      </c>
      <c r="O7943" t="s">
        <v>44760</v>
      </c>
      <c r="P7943">
        <v>0</v>
      </c>
      <c r="Q7943">
        <v>0</v>
      </c>
      <c r="R7943" t="s">
        <v>44767</v>
      </c>
      <c r="S7943" t="s">
        <v>44954</v>
      </c>
      <c r="T7943" t="s">
        <v>46572</v>
      </c>
      <c r="U7943" t="s">
        <v>53556</v>
      </c>
      <c r="W7943" t="s">
        <v>41621</v>
      </c>
      <c r="X7943" t="s">
        <v>44768</v>
      </c>
    </row>
    <row r="7944" spans="1:24">
      <c r="A7944">
        <f>HYPERLINK("https://www.philgeps.gov.ph/GEPSNONPILOT/Tender/SplashBidNoticeAbstractUI.aspx?menuIndex=3&amp;refID=7145193&amp;Result=3","7145193")</f>
        <v>0</v>
      </c>
      <c r="B7944" t="s">
        <v>2635</v>
      </c>
      <c r="C7944" t="s">
        <v>11293</v>
      </c>
      <c r="D7944" t="s">
        <v>17961</v>
      </c>
      <c r="E7944" t="s">
        <v>24610</v>
      </c>
      <c r="F7944" t="s">
        <v>30900</v>
      </c>
      <c r="G7944" t="s">
        <v>30910</v>
      </c>
      <c r="H7944" t="s">
        <v>30916</v>
      </c>
      <c r="I7944" t="s">
        <v>4545</v>
      </c>
      <c r="J7944" t="s">
        <v>31067</v>
      </c>
      <c r="K7944" t="s">
        <v>40286</v>
      </c>
      <c r="M7944" t="s">
        <v>43401</v>
      </c>
      <c r="N7944" t="s">
        <v>44759</v>
      </c>
      <c r="O7944" t="s">
        <v>44760</v>
      </c>
      <c r="P7944">
        <v>0</v>
      </c>
      <c r="Q7944">
        <v>1</v>
      </c>
      <c r="R7944" t="s">
        <v>44767</v>
      </c>
      <c r="S7944" t="s">
        <v>44954</v>
      </c>
      <c r="T7944" t="s">
        <v>46398</v>
      </c>
      <c r="U7944" t="s">
        <v>53553</v>
      </c>
      <c r="W7944" t="s">
        <v>43401</v>
      </c>
      <c r="X7944" t="s">
        <v>44768</v>
      </c>
    </row>
    <row r="7945" spans="1:24">
      <c r="A7945">
        <f>HYPERLINK("https://www.philgeps.gov.ph/GEPSNONPILOT/Tender/SplashBidNoticeAbstractUI.aspx?menuIndex=3&amp;refID=7145200&amp;Result=3","7145200")</f>
        <v>0</v>
      </c>
      <c r="B7945" t="s">
        <v>1030</v>
      </c>
      <c r="C7945" t="s">
        <v>11294</v>
      </c>
      <c r="D7945" t="s">
        <v>17996</v>
      </c>
      <c r="E7945" t="s">
        <v>24994</v>
      </c>
      <c r="F7945" t="s">
        <v>30900</v>
      </c>
      <c r="G7945" t="s">
        <v>30907</v>
      </c>
      <c r="H7945" t="s">
        <v>30915</v>
      </c>
      <c r="I7945" t="s">
        <v>30919</v>
      </c>
      <c r="J7945" t="s">
        <v>36072</v>
      </c>
      <c r="K7945" t="s">
        <v>40289</v>
      </c>
      <c r="M7945" t="s">
        <v>41621</v>
      </c>
      <c r="N7945" t="s">
        <v>44759</v>
      </c>
      <c r="O7945" t="s">
        <v>44760</v>
      </c>
      <c r="P7945">
        <v>0</v>
      </c>
      <c r="Q7945">
        <v>0</v>
      </c>
      <c r="R7945" t="s">
        <v>44767</v>
      </c>
      <c r="S7945" t="s">
        <v>44954</v>
      </c>
      <c r="T7945" t="s">
        <v>46572</v>
      </c>
      <c r="U7945" t="s">
        <v>53557</v>
      </c>
      <c r="W7945" t="s">
        <v>41621</v>
      </c>
      <c r="X7945" t="s">
        <v>44768</v>
      </c>
    </row>
    <row r="7946" spans="1:24">
      <c r="A7946">
        <f>HYPERLINK("https://www.philgeps.gov.ph/GEPSNONPILOT/Tender/SplashBidNoticeAbstractUI.aspx?menuIndex=3&amp;refID=7145189&amp;Result=3","7145189")</f>
        <v>0</v>
      </c>
      <c r="B7946" t="s">
        <v>1775</v>
      </c>
      <c r="C7946" t="s">
        <v>11295</v>
      </c>
      <c r="D7946" t="s">
        <v>18032</v>
      </c>
      <c r="E7946" t="s">
        <v>24995</v>
      </c>
      <c r="F7946" t="s">
        <v>30900</v>
      </c>
      <c r="G7946" t="s">
        <v>30909</v>
      </c>
      <c r="H7946" t="s">
        <v>30916</v>
      </c>
      <c r="I7946" t="s">
        <v>4454</v>
      </c>
      <c r="J7946" t="s">
        <v>31451</v>
      </c>
      <c r="K7946" t="s">
        <v>40294</v>
      </c>
      <c r="M7946" t="s">
        <v>42448</v>
      </c>
      <c r="N7946" t="s">
        <v>44759</v>
      </c>
      <c r="O7946" t="s">
        <v>44760</v>
      </c>
      <c r="P7946">
        <v>0</v>
      </c>
      <c r="Q7946">
        <v>5</v>
      </c>
      <c r="R7946" t="s">
        <v>44767</v>
      </c>
      <c r="S7946" t="s">
        <v>44954</v>
      </c>
      <c r="T7946" t="s">
        <v>46533</v>
      </c>
      <c r="U7946" t="s">
        <v>50973</v>
      </c>
      <c r="W7946" t="s">
        <v>42448</v>
      </c>
      <c r="X7946" t="s">
        <v>44768</v>
      </c>
    </row>
    <row r="7947" spans="1:24">
      <c r="A7947">
        <f>HYPERLINK("https://www.philgeps.gov.ph/GEPSNONPILOT/Tender/SplashBidNoticeAbstractUI.aspx?menuIndex=3&amp;refID=7145196&amp;Result=3","7145196")</f>
        <v>0</v>
      </c>
      <c r="B7947" t="s">
        <v>1030</v>
      </c>
      <c r="C7947" t="s">
        <v>11296</v>
      </c>
      <c r="D7947" t="s">
        <v>17996</v>
      </c>
      <c r="E7947" t="s">
        <v>24996</v>
      </c>
      <c r="F7947" t="s">
        <v>30900</v>
      </c>
      <c r="G7947" t="s">
        <v>30907</v>
      </c>
      <c r="H7947" t="s">
        <v>30915</v>
      </c>
      <c r="I7947" t="s">
        <v>30919</v>
      </c>
      <c r="J7947" t="s">
        <v>36073</v>
      </c>
      <c r="K7947" t="s">
        <v>40289</v>
      </c>
      <c r="M7947" t="s">
        <v>41621</v>
      </c>
      <c r="N7947" t="s">
        <v>44759</v>
      </c>
      <c r="O7947" t="s">
        <v>44760</v>
      </c>
      <c r="P7947">
        <v>0</v>
      </c>
      <c r="Q7947">
        <v>0</v>
      </c>
      <c r="R7947" t="s">
        <v>44767</v>
      </c>
      <c r="S7947" t="s">
        <v>44954</v>
      </c>
      <c r="T7947" t="s">
        <v>46572</v>
      </c>
      <c r="U7947" t="s">
        <v>53558</v>
      </c>
      <c r="W7947" t="s">
        <v>41621</v>
      </c>
      <c r="X7947" t="s">
        <v>44768</v>
      </c>
    </row>
    <row r="7948" spans="1:24">
      <c r="A7948">
        <f>HYPERLINK("https://www.philgeps.gov.ph/GEPSNONPILOT/Tender/SplashBidNoticeAbstractUI.aspx?menuIndex=3&amp;refID=7145185&amp;Result=3","7145185")</f>
        <v>0</v>
      </c>
      <c r="B7948" t="s">
        <v>1775</v>
      </c>
      <c r="C7948" t="s">
        <v>11297</v>
      </c>
      <c r="D7948" t="s">
        <v>18032</v>
      </c>
      <c r="E7948" t="s">
        <v>24997</v>
      </c>
      <c r="F7948" t="s">
        <v>30900</v>
      </c>
      <c r="G7948" t="s">
        <v>30909</v>
      </c>
      <c r="H7948" t="s">
        <v>30916</v>
      </c>
      <c r="I7948" t="s">
        <v>30939</v>
      </c>
      <c r="J7948" t="s">
        <v>32176</v>
      </c>
      <c r="K7948" t="s">
        <v>40294</v>
      </c>
      <c r="M7948" t="s">
        <v>42448</v>
      </c>
      <c r="N7948" t="s">
        <v>44759</v>
      </c>
      <c r="O7948" t="s">
        <v>44760</v>
      </c>
      <c r="P7948">
        <v>0</v>
      </c>
      <c r="Q7948">
        <v>0</v>
      </c>
      <c r="R7948" t="s">
        <v>44767</v>
      </c>
      <c r="S7948" t="s">
        <v>44954</v>
      </c>
      <c r="T7948" t="s">
        <v>46533</v>
      </c>
      <c r="U7948" t="s">
        <v>50973</v>
      </c>
      <c r="W7948" t="s">
        <v>42448</v>
      </c>
      <c r="X7948" t="s">
        <v>44768</v>
      </c>
    </row>
    <row r="7949" spans="1:24">
      <c r="A7949">
        <f>HYPERLINK("https://www.philgeps.gov.ph/GEPSNONPILOT/Tender/SplashBidNoticeAbstractUI.aspx?menuIndex=3&amp;refID=7145188&amp;Result=3","7145188")</f>
        <v>0</v>
      </c>
      <c r="B7949" t="s">
        <v>2635</v>
      </c>
      <c r="C7949" t="s">
        <v>11298</v>
      </c>
      <c r="D7949" t="s">
        <v>17961</v>
      </c>
      <c r="E7949" t="s">
        <v>24998</v>
      </c>
      <c r="F7949" t="s">
        <v>30900</v>
      </c>
      <c r="G7949" t="s">
        <v>30907</v>
      </c>
      <c r="H7949" t="s">
        <v>30916</v>
      </c>
      <c r="I7949" t="s">
        <v>30922</v>
      </c>
      <c r="J7949" t="s">
        <v>36074</v>
      </c>
      <c r="K7949" t="s">
        <v>40286</v>
      </c>
      <c r="M7949" t="s">
        <v>43401</v>
      </c>
      <c r="N7949" t="s">
        <v>44759</v>
      </c>
      <c r="O7949" t="s">
        <v>44760</v>
      </c>
      <c r="P7949">
        <v>0</v>
      </c>
      <c r="Q7949">
        <v>9</v>
      </c>
      <c r="R7949" t="s">
        <v>44767</v>
      </c>
      <c r="S7949" t="s">
        <v>44954</v>
      </c>
      <c r="T7949" t="s">
        <v>46452</v>
      </c>
      <c r="U7949" t="s">
        <v>53559</v>
      </c>
      <c r="W7949" t="s">
        <v>43401</v>
      </c>
      <c r="X7949" t="s">
        <v>44768</v>
      </c>
    </row>
    <row r="7950" spans="1:24">
      <c r="A7950">
        <f>HYPERLINK("https://www.philgeps.gov.ph/GEPSNONPILOT/Tender/SplashBidNoticeAbstractUI.aspx?menuIndex=3&amp;refID=7145184&amp;Result=3","7145184")</f>
        <v>0</v>
      </c>
      <c r="B7950" t="s">
        <v>2635</v>
      </c>
      <c r="C7950" t="s">
        <v>11299</v>
      </c>
      <c r="D7950" t="s">
        <v>17961</v>
      </c>
      <c r="E7950" t="s">
        <v>24999</v>
      </c>
      <c r="F7950" t="s">
        <v>30900</v>
      </c>
      <c r="G7950" t="s">
        <v>30907</v>
      </c>
      <c r="H7950" t="s">
        <v>30915</v>
      </c>
      <c r="I7950" t="s">
        <v>30932</v>
      </c>
      <c r="J7950" t="s">
        <v>36075</v>
      </c>
      <c r="K7950" t="s">
        <v>40304</v>
      </c>
      <c r="M7950" t="s">
        <v>43401</v>
      </c>
      <c r="N7950" t="s">
        <v>44759</v>
      </c>
      <c r="O7950" t="s">
        <v>44760</v>
      </c>
      <c r="Q7950">
        <v>1</v>
      </c>
      <c r="R7950" t="s">
        <v>44767</v>
      </c>
      <c r="S7950" t="s">
        <v>44980</v>
      </c>
      <c r="T7950" t="s">
        <v>46452</v>
      </c>
      <c r="U7950" t="s">
        <v>53559</v>
      </c>
      <c r="W7950" t="s">
        <v>43401</v>
      </c>
      <c r="X7950" t="s">
        <v>44768</v>
      </c>
    </row>
    <row r="7951" spans="1:24">
      <c r="A7951">
        <f>HYPERLINK("https://www.philgeps.gov.ph/GEPSNONPILOT/Tender/SplashBidNoticeAbstractUI.aspx?menuIndex=3&amp;refID=7145182&amp;Result=3","7145182")</f>
        <v>0</v>
      </c>
      <c r="B7951" t="s">
        <v>1775</v>
      </c>
      <c r="C7951" t="s">
        <v>11300</v>
      </c>
      <c r="D7951" t="s">
        <v>18032</v>
      </c>
      <c r="E7951" t="s">
        <v>25000</v>
      </c>
      <c r="F7951" t="s">
        <v>30900</v>
      </c>
      <c r="G7951" t="s">
        <v>30909</v>
      </c>
      <c r="H7951" t="s">
        <v>30916</v>
      </c>
      <c r="I7951" t="s">
        <v>30939</v>
      </c>
      <c r="J7951" t="s">
        <v>32176</v>
      </c>
      <c r="K7951" t="s">
        <v>40294</v>
      </c>
      <c r="M7951" t="s">
        <v>42448</v>
      </c>
      <c r="N7951" t="s">
        <v>44759</v>
      </c>
      <c r="O7951" t="s">
        <v>44760</v>
      </c>
      <c r="P7951">
        <v>0</v>
      </c>
      <c r="Q7951">
        <v>0</v>
      </c>
      <c r="R7951" t="s">
        <v>44767</v>
      </c>
      <c r="S7951" t="s">
        <v>44954</v>
      </c>
      <c r="T7951" t="s">
        <v>46533</v>
      </c>
      <c r="U7951" t="s">
        <v>50973</v>
      </c>
      <c r="W7951" t="s">
        <v>42448</v>
      </c>
      <c r="X7951" t="s">
        <v>44768</v>
      </c>
    </row>
    <row r="7952" spans="1:24">
      <c r="A7952">
        <f>HYPERLINK("https://www.philgeps.gov.ph/GEPSNONPILOT/Tender/SplashBidNoticeAbstractUI.aspx?menuIndex=3&amp;refID=7145181&amp;Result=3","7145181")</f>
        <v>0</v>
      </c>
      <c r="B7952" t="s">
        <v>2628</v>
      </c>
      <c r="C7952" t="s">
        <v>11301</v>
      </c>
      <c r="D7952" t="s">
        <v>18017</v>
      </c>
      <c r="E7952" t="s">
        <v>25001</v>
      </c>
      <c r="F7952" t="s">
        <v>30900</v>
      </c>
      <c r="G7952" t="s">
        <v>30907</v>
      </c>
      <c r="H7952" t="s">
        <v>30916</v>
      </c>
      <c r="I7952" t="s">
        <v>6953</v>
      </c>
      <c r="J7952" t="s">
        <v>36076</v>
      </c>
      <c r="K7952" t="s">
        <v>40291</v>
      </c>
      <c r="M7952" t="s">
        <v>43392</v>
      </c>
      <c r="N7952" t="s">
        <v>44759</v>
      </c>
      <c r="O7952" t="s">
        <v>44760</v>
      </c>
      <c r="P7952">
        <v>0</v>
      </c>
      <c r="Q7952">
        <v>0</v>
      </c>
      <c r="R7952" t="s">
        <v>44767</v>
      </c>
      <c r="S7952" t="s">
        <v>44954</v>
      </c>
      <c r="T7952" t="s">
        <v>46612</v>
      </c>
      <c r="U7952" t="s">
        <v>53560</v>
      </c>
      <c r="V7952" t="s">
        <v>59962</v>
      </c>
      <c r="W7952" t="s">
        <v>43392</v>
      </c>
      <c r="X7952" t="s">
        <v>44768</v>
      </c>
    </row>
    <row r="7953" spans="1:24">
      <c r="A7953">
        <f>HYPERLINK("https://www.philgeps.gov.ph/GEPSNONPILOT/Tender/SplashBidNoticeAbstractUI.aspx?menuIndex=3&amp;refID=7145192&amp;Result=3","7145192")</f>
        <v>0</v>
      </c>
      <c r="B7953" t="s">
        <v>2635</v>
      </c>
      <c r="C7953" t="s">
        <v>11302</v>
      </c>
      <c r="D7953" t="s">
        <v>17961</v>
      </c>
      <c r="E7953" t="s">
        <v>23595</v>
      </c>
      <c r="F7953" t="s">
        <v>30900</v>
      </c>
      <c r="G7953" t="s">
        <v>30908</v>
      </c>
      <c r="H7953" t="s">
        <v>30916</v>
      </c>
      <c r="I7953" t="s">
        <v>10602</v>
      </c>
      <c r="J7953" t="s">
        <v>32341</v>
      </c>
      <c r="K7953" t="s">
        <v>40284</v>
      </c>
      <c r="M7953" t="s">
        <v>43401</v>
      </c>
      <c r="N7953" t="s">
        <v>44759</v>
      </c>
      <c r="O7953" t="s">
        <v>44760</v>
      </c>
      <c r="P7953">
        <v>0</v>
      </c>
      <c r="Q7953">
        <v>0</v>
      </c>
      <c r="R7953" t="s">
        <v>44767</v>
      </c>
      <c r="S7953" t="s">
        <v>44954</v>
      </c>
      <c r="T7953" t="s">
        <v>46374</v>
      </c>
      <c r="U7953" t="s">
        <v>53561</v>
      </c>
      <c r="W7953" t="s">
        <v>43401</v>
      </c>
      <c r="X7953" t="s">
        <v>44768</v>
      </c>
    </row>
    <row r="7954" spans="1:24">
      <c r="A7954">
        <f>HYPERLINK("https://www.philgeps.gov.ph/GEPSNONPILOT/Tender/SplashBidNoticeAbstractUI.aspx?menuIndex=3&amp;refID=7145179&amp;Result=3","7145179")</f>
        <v>0</v>
      </c>
      <c r="B7954" t="s">
        <v>2635</v>
      </c>
      <c r="C7954" t="s">
        <v>11303</v>
      </c>
      <c r="E7954" t="s">
        <v>25002</v>
      </c>
      <c r="F7954" t="s">
        <v>30900</v>
      </c>
      <c r="G7954" t="s">
        <v>30907</v>
      </c>
      <c r="H7954" t="s">
        <v>30915</v>
      </c>
      <c r="I7954" t="s">
        <v>30932</v>
      </c>
      <c r="J7954" t="s">
        <v>36077</v>
      </c>
      <c r="K7954" t="s">
        <v>40292</v>
      </c>
      <c r="M7954" t="s">
        <v>43401</v>
      </c>
      <c r="N7954" t="s">
        <v>44759</v>
      </c>
      <c r="O7954" t="s">
        <v>44760</v>
      </c>
      <c r="P7954">
        <v>0</v>
      </c>
      <c r="Q7954">
        <v>4</v>
      </c>
      <c r="R7954" t="s">
        <v>44767</v>
      </c>
      <c r="S7954" t="s">
        <v>44954</v>
      </c>
      <c r="T7954" t="s">
        <v>46452</v>
      </c>
      <c r="U7954" t="s">
        <v>53562</v>
      </c>
      <c r="W7954" t="s">
        <v>43401</v>
      </c>
      <c r="X7954" t="s">
        <v>44768</v>
      </c>
    </row>
    <row r="7955" spans="1:24">
      <c r="A7955">
        <f>HYPERLINK("https://www.philgeps.gov.ph/GEPSNONPILOT/Tender/SplashBidNoticeAbstractUI.aspx?menuIndex=3&amp;refID=7145201&amp;Result=3","7145201")</f>
        <v>0</v>
      </c>
      <c r="B7955" t="s">
        <v>1030</v>
      </c>
      <c r="C7955" t="s">
        <v>11304</v>
      </c>
      <c r="D7955" t="s">
        <v>17996</v>
      </c>
      <c r="E7955" t="s">
        <v>25003</v>
      </c>
      <c r="F7955" t="s">
        <v>30900</v>
      </c>
      <c r="G7955" t="s">
        <v>30907</v>
      </c>
      <c r="H7955" t="s">
        <v>30915</v>
      </c>
      <c r="I7955" t="s">
        <v>30919</v>
      </c>
      <c r="J7955" t="s">
        <v>31297</v>
      </c>
      <c r="K7955" t="s">
        <v>40289</v>
      </c>
      <c r="M7955" t="s">
        <v>41621</v>
      </c>
      <c r="N7955" t="s">
        <v>44759</v>
      </c>
      <c r="O7955" t="s">
        <v>44760</v>
      </c>
      <c r="Q7955">
        <v>0</v>
      </c>
      <c r="R7955" t="s">
        <v>44767</v>
      </c>
      <c r="S7955" t="s">
        <v>44981</v>
      </c>
      <c r="T7955" t="s">
        <v>46504</v>
      </c>
      <c r="U7955" t="s">
        <v>53563</v>
      </c>
      <c r="W7955" t="s">
        <v>41621</v>
      </c>
      <c r="X7955" t="s">
        <v>44768</v>
      </c>
    </row>
    <row r="7956" spans="1:24">
      <c r="A7956">
        <f>HYPERLINK("https://www.philgeps.gov.ph/GEPSNONPILOT/Tender/SplashBidNoticeAbstractUI.aspx?menuIndex=3&amp;refID=7145057&amp;Result=3","7145057")</f>
        <v>0</v>
      </c>
      <c r="B7956" t="s">
        <v>1868</v>
      </c>
      <c r="C7956" t="s">
        <v>11305</v>
      </c>
      <c r="D7956" t="s">
        <v>17959</v>
      </c>
      <c r="E7956" t="s">
        <v>25004</v>
      </c>
      <c r="F7956" t="s">
        <v>30900</v>
      </c>
      <c r="G7956" t="s">
        <v>30909</v>
      </c>
      <c r="H7956" t="s">
        <v>30916</v>
      </c>
      <c r="I7956" t="s">
        <v>30921</v>
      </c>
      <c r="J7956" t="s">
        <v>36078</v>
      </c>
      <c r="K7956" t="s">
        <v>40289</v>
      </c>
      <c r="M7956" t="s">
        <v>42542</v>
      </c>
      <c r="N7956" t="s">
        <v>44759</v>
      </c>
      <c r="O7956" t="s">
        <v>44760</v>
      </c>
      <c r="P7956">
        <v>0</v>
      </c>
      <c r="Q7956">
        <v>11</v>
      </c>
      <c r="R7956" t="s">
        <v>44767</v>
      </c>
      <c r="S7956" t="s">
        <v>44954</v>
      </c>
      <c r="T7956" t="s">
        <v>46700</v>
      </c>
      <c r="U7956" t="s">
        <v>53564</v>
      </c>
      <c r="W7956" t="s">
        <v>42542</v>
      </c>
      <c r="X7956" t="s">
        <v>44768</v>
      </c>
    </row>
    <row r="7957" spans="1:24">
      <c r="A7957">
        <f>HYPERLINK("https://www.philgeps.gov.ph/GEPSNONPILOT/Tender/SplashBidNoticeAbstractUI.aspx?menuIndex=3&amp;refID=7145177&amp;Result=3","7145177")</f>
        <v>0</v>
      </c>
      <c r="B7957" t="s">
        <v>1775</v>
      </c>
      <c r="C7957" t="s">
        <v>11306</v>
      </c>
      <c r="D7957" t="s">
        <v>18032</v>
      </c>
      <c r="E7957" t="s">
        <v>25005</v>
      </c>
      <c r="F7957" t="s">
        <v>30900</v>
      </c>
      <c r="G7957" t="s">
        <v>30909</v>
      </c>
      <c r="H7957" t="s">
        <v>30916</v>
      </c>
      <c r="I7957" t="s">
        <v>8123</v>
      </c>
      <c r="J7957" t="s">
        <v>36079</v>
      </c>
      <c r="K7957" t="s">
        <v>40294</v>
      </c>
      <c r="M7957" t="s">
        <v>42448</v>
      </c>
      <c r="N7957" t="s">
        <v>44759</v>
      </c>
      <c r="O7957" t="s">
        <v>44760</v>
      </c>
      <c r="P7957">
        <v>0</v>
      </c>
      <c r="Q7957">
        <v>0</v>
      </c>
      <c r="R7957" t="s">
        <v>44767</v>
      </c>
      <c r="S7957" t="s">
        <v>44954</v>
      </c>
      <c r="T7957" t="s">
        <v>46533</v>
      </c>
      <c r="U7957" t="s">
        <v>50973</v>
      </c>
      <c r="W7957" t="s">
        <v>42448</v>
      </c>
      <c r="X7957" t="s">
        <v>44768</v>
      </c>
    </row>
    <row r="7958" spans="1:24">
      <c r="A7958">
        <f>HYPERLINK("https://www.philgeps.gov.ph/GEPSNONPILOT/Tender/SplashBidNoticeAbstractUI.aspx?menuIndex=3&amp;refID=7145054&amp;Result=3","7145054")</f>
        <v>0</v>
      </c>
      <c r="B7958" t="s">
        <v>2624</v>
      </c>
      <c r="C7958" t="s">
        <v>11307</v>
      </c>
      <c r="D7958" t="s">
        <v>17959</v>
      </c>
      <c r="E7958" t="s">
        <v>24915</v>
      </c>
      <c r="F7958" t="s">
        <v>30900</v>
      </c>
      <c r="G7958" t="s">
        <v>30907</v>
      </c>
      <c r="H7958" t="s">
        <v>30916</v>
      </c>
      <c r="I7958" t="s">
        <v>4545</v>
      </c>
      <c r="J7958" t="s">
        <v>31101</v>
      </c>
      <c r="K7958" t="s">
        <v>40287</v>
      </c>
      <c r="M7958" t="s">
        <v>43388</v>
      </c>
      <c r="N7958" t="s">
        <v>44759</v>
      </c>
      <c r="O7958" t="s">
        <v>44760</v>
      </c>
      <c r="P7958">
        <v>0</v>
      </c>
      <c r="Q7958">
        <v>4</v>
      </c>
      <c r="R7958" t="s">
        <v>44767</v>
      </c>
      <c r="S7958" t="s">
        <v>44954</v>
      </c>
      <c r="T7958" t="s">
        <v>46548</v>
      </c>
      <c r="U7958" t="s">
        <v>53565</v>
      </c>
      <c r="W7958" t="s">
        <v>43388</v>
      </c>
      <c r="X7958" t="s">
        <v>44768</v>
      </c>
    </row>
    <row r="7959" spans="1:24">
      <c r="A7959">
        <f>HYPERLINK("https://www.philgeps.gov.ph/GEPSNONPILOT/Tender/SplashBidNoticeAbstractUI.aspx?menuIndex=3&amp;refID=7145045&amp;Result=3","7145045")</f>
        <v>0</v>
      </c>
      <c r="B7959" t="s">
        <v>1218</v>
      </c>
      <c r="C7959" t="s">
        <v>11308</v>
      </c>
      <c r="D7959" t="s">
        <v>17961</v>
      </c>
      <c r="E7959" t="s">
        <v>25006</v>
      </c>
      <c r="F7959" t="s">
        <v>30900</v>
      </c>
      <c r="G7959" t="s">
        <v>30907</v>
      </c>
      <c r="H7959" t="s">
        <v>30915</v>
      </c>
      <c r="I7959" t="s">
        <v>7411</v>
      </c>
      <c r="J7959" t="s">
        <v>31297</v>
      </c>
      <c r="K7959" t="s">
        <v>40447</v>
      </c>
      <c r="M7959" t="s">
        <v>43400</v>
      </c>
      <c r="N7959" t="s">
        <v>44759</v>
      </c>
      <c r="O7959" t="s">
        <v>44760</v>
      </c>
      <c r="P7959">
        <v>0</v>
      </c>
      <c r="Q7959">
        <v>4</v>
      </c>
      <c r="R7959" t="s">
        <v>44767</v>
      </c>
      <c r="S7959" t="s">
        <v>44954</v>
      </c>
      <c r="T7959" t="s">
        <v>46533</v>
      </c>
      <c r="U7959" t="s">
        <v>53566</v>
      </c>
      <c r="W7959" t="s">
        <v>43400</v>
      </c>
      <c r="X7959" t="s">
        <v>44768</v>
      </c>
    </row>
    <row r="7960" spans="1:24">
      <c r="A7960">
        <f>HYPERLINK("https://www.philgeps.gov.ph/GEPSNONPILOT/Tender/SplashBidNoticeAbstractUI.aspx?menuIndex=3&amp;refID=7144969&amp;Result=3","7144969")</f>
        <v>0</v>
      </c>
      <c r="B7960" t="s">
        <v>2637</v>
      </c>
      <c r="C7960" t="s">
        <v>11309</v>
      </c>
      <c r="D7960" t="s">
        <v>17955</v>
      </c>
      <c r="E7960" t="s">
        <v>25007</v>
      </c>
      <c r="F7960" t="s">
        <v>30900</v>
      </c>
      <c r="G7960" t="s">
        <v>30907</v>
      </c>
      <c r="H7960" t="s">
        <v>30915</v>
      </c>
      <c r="I7960" t="s">
        <v>30919</v>
      </c>
      <c r="J7960" t="s">
        <v>33047</v>
      </c>
      <c r="K7960" t="s">
        <v>40294</v>
      </c>
      <c r="M7960" t="s">
        <v>43403</v>
      </c>
      <c r="N7960" t="s">
        <v>44759</v>
      </c>
      <c r="O7960" t="s">
        <v>44760</v>
      </c>
      <c r="P7960">
        <v>0</v>
      </c>
      <c r="Q7960">
        <v>0</v>
      </c>
      <c r="R7960" t="s">
        <v>44767</v>
      </c>
      <c r="S7960" t="s">
        <v>44954</v>
      </c>
      <c r="T7960" t="s">
        <v>46403</v>
      </c>
      <c r="U7960" t="s">
        <v>53567</v>
      </c>
      <c r="W7960" t="s">
        <v>43403</v>
      </c>
      <c r="X7960" t="s">
        <v>44768</v>
      </c>
    </row>
    <row r="7961" spans="1:24">
      <c r="A7961">
        <f>HYPERLINK("https://www.philgeps.gov.ph/GEPSNONPILOT/Tender/SplashBidNoticeAbstractUI.aspx?menuIndex=3&amp;refID=7145176&amp;Result=3","7145176")</f>
        <v>0</v>
      </c>
      <c r="B7961" t="s">
        <v>2628</v>
      </c>
      <c r="C7961" t="s">
        <v>11310</v>
      </c>
      <c r="D7961" t="s">
        <v>18017</v>
      </c>
      <c r="E7961" t="s">
        <v>25008</v>
      </c>
      <c r="F7961" t="s">
        <v>30900</v>
      </c>
      <c r="G7961" t="s">
        <v>30907</v>
      </c>
      <c r="H7961" t="s">
        <v>30916</v>
      </c>
      <c r="I7961" t="s">
        <v>4108</v>
      </c>
      <c r="J7961" t="s">
        <v>31050</v>
      </c>
      <c r="K7961" t="s">
        <v>40291</v>
      </c>
      <c r="M7961" t="s">
        <v>43392</v>
      </c>
      <c r="N7961" t="s">
        <v>44759</v>
      </c>
      <c r="O7961" t="s">
        <v>44760</v>
      </c>
      <c r="P7961">
        <v>0</v>
      </c>
      <c r="Q7961">
        <v>1</v>
      </c>
      <c r="R7961" t="s">
        <v>44767</v>
      </c>
      <c r="S7961" t="s">
        <v>44954</v>
      </c>
      <c r="T7961" t="s">
        <v>46612</v>
      </c>
      <c r="U7961" t="s">
        <v>53568</v>
      </c>
      <c r="V7961" t="s">
        <v>59962</v>
      </c>
      <c r="W7961" t="s">
        <v>43392</v>
      </c>
      <c r="X7961" t="s">
        <v>44768</v>
      </c>
    </row>
    <row r="7962" spans="1:24">
      <c r="A7962">
        <f>HYPERLINK("https://www.philgeps.gov.ph/GEPSNONPILOT/Tender/SplashBidNoticeAbstractUI.aspx?menuIndex=3&amp;refID=7145145&amp;Result=3","7145145")</f>
        <v>0</v>
      </c>
      <c r="B7962" t="s">
        <v>553</v>
      </c>
      <c r="C7962" t="s">
        <v>11311</v>
      </c>
      <c r="D7962" t="s">
        <v>17955</v>
      </c>
      <c r="E7962" t="s">
        <v>25009</v>
      </c>
      <c r="F7962" t="s">
        <v>30900</v>
      </c>
      <c r="G7962" t="s">
        <v>30907</v>
      </c>
      <c r="H7962" t="s">
        <v>30915</v>
      </c>
      <c r="I7962" t="s">
        <v>30919</v>
      </c>
      <c r="J7962" t="s">
        <v>36080</v>
      </c>
      <c r="K7962" t="s">
        <v>40304</v>
      </c>
      <c r="M7962" t="s">
        <v>41114</v>
      </c>
      <c r="N7962" t="s">
        <v>44759</v>
      </c>
      <c r="O7962" t="s">
        <v>44760</v>
      </c>
      <c r="P7962">
        <v>0</v>
      </c>
      <c r="Q7962">
        <v>0</v>
      </c>
      <c r="R7962" t="s">
        <v>44767</v>
      </c>
      <c r="S7962" t="s">
        <v>44954</v>
      </c>
      <c r="T7962" t="s">
        <v>46361</v>
      </c>
      <c r="U7962" t="s">
        <v>53569</v>
      </c>
      <c r="W7962" t="s">
        <v>41114</v>
      </c>
      <c r="X7962" t="s">
        <v>44768</v>
      </c>
    </row>
    <row r="7963" spans="1:24">
      <c r="A7963">
        <f>HYPERLINK("https://www.philgeps.gov.ph/GEPSNONPILOT/Tender/SplashBidNoticeAbstractUI.aspx?menuIndex=3&amp;refID=7145178&amp;Result=3","7145178")</f>
        <v>0</v>
      </c>
      <c r="B7963" t="s">
        <v>1791</v>
      </c>
      <c r="C7963" t="s">
        <v>11312</v>
      </c>
      <c r="D7963" t="s">
        <v>17966</v>
      </c>
      <c r="E7963" t="s">
        <v>25010</v>
      </c>
      <c r="F7963" t="s">
        <v>30900</v>
      </c>
      <c r="G7963" t="s">
        <v>30907</v>
      </c>
      <c r="H7963" t="s">
        <v>30916</v>
      </c>
      <c r="I7963" t="s">
        <v>30929</v>
      </c>
      <c r="J7963" t="s">
        <v>34658</v>
      </c>
      <c r="K7963" t="s">
        <v>40283</v>
      </c>
      <c r="M7963" t="s">
        <v>42465</v>
      </c>
      <c r="N7963" t="s">
        <v>44759</v>
      </c>
      <c r="O7963" t="s">
        <v>44760</v>
      </c>
      <c r="P7963">
        <v>0</v>
      </c>
      <c r="Q7963">
        <v>4</v>
      </c>
      <c r="R7963" t="s">
        <v>44767</v>
      </c>
      <c r="S7963" t="s">
        <v>44954</v>
      </c>
      <c r="T7963" t="s">
        <v>46357</v>
      </c>
      <c r="U7963" t="s">
        <v>53570</v>
      </c>
      <c r="V7963" t="s">
        <v>59963</v>
      </c>
      <c r="W7963" t="s">
        <v>42465</v>
      </c>
      <c r="X7963" t="s">
        <v>44768</v>
      </c>
    </row>
    <row r="7964" spans="1:24">
      <c r="A7964">
        <f>HYPERLINK("https://www.philgeps.gov.ph/GEPSNONPILOT/Tender/SplashBidNoticeAbstractUI.aspx?menuIndex=3&amp;refID=7145187&amp;Result=3","7145187")</f>
        <v>0</v>
      </c>
      <c r="B7964" t="s">
        <v>1775</v>
      </c>
      <c r="C7964" t="s">
        <v>11313</v>
      </c>
      <c r="D7964" t="s">
        <v>18032</v>
      </c>
      <c r="E7964" t="s">
        <v>25011</v>
      </c>
      <c r="F7964" t="s">
        <v>30900</v>
      </c>
      <c r="G7964" t="s">
        <v>30909</v>
      </c>
      <c r="H7964" t="s">
        <v>30916</v>
      </c>
      <c r="I7964" t="s">
        <v>30939</v>
      </c>
      <c r="J7964" t="s">
        <v>31513</v>
      </c>
      <c r="K7964" t="s">
        <v>40294</v>
      </c>
      <c r="M7964" t="s">
        <v>42448</v>
      </c>
      <c r="N7964" t="s">
        <v>44759</v>
      </c>
      <c r="O7964" t="s">
        <v>44760</v>
      </c>
      <c r="P7964">
        <v>0</v>
      </c>
      <c r="Q7964">
        <v>0</v>
      </c>
      <c r="R7964" t="s">
        <v>44767</v>
      </c>
      <c r="S7964" t="s">
        <v>44954</v>
      </c>
      <c r="T7964" t="s">
        <v>46374</v>
      </c>
      <c r="U7964" t="s">
        <v>50973</v>
      </c>
      <c r="W7964" t="s">
        <v>42448</v>
      </c>
      <c r="X7964" t="s">
        <v>44768</v>
      </c>
    </row>
    <row r="7965" spans="1:24">
      <c r="A7965">
        <f>HYPERLINK("https://www.philgeps.gov.ph/GEPSNONPILOT/Tender/SplashBidNoticeAbstractUI.aspx?menuIndex=3&amp;refID=7144943&amp;Result=3","7144943")</f>
        <v>0</v>
      </c>
      <c r="B7965" t="s">
        <v>998</v>
      </c>
      <c r="C7965" t="s">
        <v>11314</v>
      </c>
      <c r="D7965" t="s">
        <v>17952</v>
      </c>
      <c r="E7965" t="s">
        <v>25012</v>
      </c>
      <c r="F7965" t="s">
        <v>30900</v>
      </c>
      <c r="G7965" t="s">
        <v>30909</v>
      </c>
      <c r="H7965" t="s">
        <v>30916</v>
      </c>
      <c r="I7965" t="s">
        <v>30950</v>
      </c>
      <c r="J7965" t="s">
        <v>36081</v>
      </c>
      <c r="K7965" t="s">
        <v>40283</v>
      </c>
      <c r="M7965" t="s">
        <v>41587</v>
      </c>
      <c r="N7965" t="s">
        <v>44759</v>
      </c>
      <c r="O7965" t="s">
        <v>44760</v>
      </c>
      <c r="P7965">
        <v>0</v>
      </c>
      <c r="Q7965">
        <v>2</v>
      </c>
      <c r="R7965" t="s">
        <v>44767</v>
      </c>
      <c r="S7965" t="s">
        <v>44954</v>
      </c>
      <c r="T7965" t="s">
        <v>46533</v>
      </c>
      <c r="U7965" t="s">
        <v>53571</v>
      </c>
      <c r="V7965" t="s">
        <v>59957</v>
      </c>
      <c r="W7965" t="s">
        <v>41587</v>
      </c>
      <c r="X7965" t="s">
        <v>44768</v>
      </c>
    </row>
    <row r="7966" spans="1:24">
      <c r="A7966">
        <f>HYPERLINK("https://www.philgeps.gov.ph/GEPSNONPILOT/Tender/SplashBidNoticeAbstractUI.aspx?menuIndex=3&amp;refID=7044043&amp;Result=3","7044043")</f>
        <v>0</v>
      </c>
      <c r="B7966" t="s">
        <v>2638</v>
      </c>
      <c r="C7966" t="s">
        <v>7595</v>
      </c>
      <c r="D7966" t="s">
        <v>17953</v>
      </c>
      <c r="E7966" t="s">
        <v>18169</v>
      </c>
      <c r="F7966" t="s">
        <v>30900</v>
      </c>
      <c r="G7966" t="s">
        <v>30906</v>
      </c>
      <c r="H7966" t="s">
        <v>30916</v>
      </c>
      <c r="I7966" t="s">
        <v>4142</v>
      </c>
      <c r="J7966" t="s">
        <v>31581</v>
      </c>
      <c r="K7966" t="s">
        <v>40289</v>
      </c>
      <c r="M7966" t="s">
        <v>43404</v>
      </c>
      <c r="N7966" t="s">
        <v>44759</v>
      </c>
      <c r="O7966" t="s">
        <v>44760</v>
      </c>
      <c r="P7966">
        <v>0</v>
      </c>
      <c r="Q7966">
        <v>1</v>
      </c>
      <c r="R7966" t="s">
        <v>44768</v>
      </c>
      <c r="S7966" t="s">
        <v>44982</v>
      </c>
      <c r="T7966" t="s">
        <v>46581</v>
      </c>
      <c r="U7966" t="s">
        <v>53572</v>
      </c>
      <c r="W7966" t="s">
        <v>43404</v>
      </c>
      <c r="X7966" t="s">
        <v>60955</v>
      </c>
    </row>
    <row r="7967" spans="1:24">
      <c r="A7967">
        <f>HYPERLINK("https://www.philgeps.gov.ph/GEPSNONPILOT/Tender/SplashBidNoticeAbstractUI.aspx?menuIndex=3&amp;refID=7125094&amp;Result=3","7125094")</f>
        <v>0</v>
      </c>
      <c r="B7967" t="s">
        <v>1606</v>
      </c>
      <c r="C7967" t="s">
        <v>11315</v>
      </c>
      <c r="D7967" t="s">
        <v>17984</v>
      </c>
      <c r="E7967" t="s">
        <v>25013</v>
      </c>
      <c r="F7967" t="s">
        <v>30900</v>
      </c>
      <c r="G7967" t="s">
        <v>30907</v>
      </c>
      <c r="H7967" t="s">
        <v>30915</v>
      </c>
      <c r="I7967" t="s">
        <v>30919</v>
      </c>
      <c r="J7967" t="s">
        <v>36082</v>
      </c>
      <c r="K7967" t="s">
        <v>40325</v>
      </c>
      <c r="M7967" t="s">
        <v>42256</v>
      </c>
      <c r="N7967" t="s">
        <v>44759</v>
      </c>
      <c r="O7967" t="s">
        <v>44760</v>
      </c>
      <c r="P7967">
        <v>0</v>
      </c>
      <c r="Q7967">
        <v>2</v>
      </c>
      <c r="R7967" t="s">
        <v>44768</v>
      </c>
      <c r="S7967" t="s">
        <v>44982</v>
      </c>
      <c r="T7967" t="s">
        <v>46606</v>
      </c>
      <c r="U7967" t="s">
        <v>53573</v>
      </c>
      <c r="W7967" t="s">
        <v>42256</v>
      </c>
      <c r="X7967" t="s">
        <v>44776</v>
      </c>
    </row>
    <row r="7968" spans="1:24">
      <c r="A7968">
        <f>HYPERLINK("https://www.philgeps.gov.ph/GEPSNONPILOT/Tender/SplashBidNoticeAbstractUI.aspx?menuIndex=3&amp;refID=7144967&amp;Result=3","7144967")</f>
        <v>0</v>
      </c>
      <c r="B7968" t="s">
        <v>2639</v>
      </c>
      <c r="C7968" t="s">
        <v>11316</v>
      </c>
      <c r="D7968" t="s">
        <v>17955</v>
      </c>
      <c r="E7968" t="s">
        <v>25014</v>
      </c>
      <c r="F7968" t="s">
        <v>30900</v>
      </c>
      <c r="G7968" t="s">
        <v>30907</v>
      </c>
      <c r="H7968" t="s">
        <v>30917</v>
      </c>
      <c r="I7968" t="s">
        <v>31000</v>
      </c>
      <c r="J7968" t="s">
        <v>31139</v>
      </c>
      <c r="K7968" t="s">
        <v>40287</v>
      </c>
      <c r="M7968" t="s">
        <v>43405</v>
      </c>
      <c r="N7968" t="s">
        <v>44759</v>
      </c>
      <c r="O7968" t="s">
        <v>44760</v>
      </c>
      <c r="P7968">
        <v>0</v>
      </c>
      <c r="Q7968">
        <v>1</v>
      </c>
      <c r="R7968" t="s">
        <v>44767</v>
      </c>
      <c r="S7968" t="s">
        <v>44954</v>
      </c>
      <c r="T7968" t="s">
        <v>46374</v>
      </c>
      <c r="U7968" t="s">
        <v>53574</v>
      </c>
      <c r="W7968" t="s">
        <v>43405</v>
      </c>
      <c r="X7968" t="s">
        <v>44768</v>
      </c>
    </row>
    <row r="7969" spans="1:24">
      <c r="A7969">
        <f>HYPERLINK("https://www.philgeps.gov.ph/GEPSNONPILOT/Tender/SplashBidNoticeAbstractUI.aspx?menuIndex=3&amp;refID=7124951&amp;Result=3","7124951")</f>
        <v>0</v>
      </c>
      <c r="B7969" t="s">
        <v>1606</v>
      </c>
      <c r="C7969" t="s">
        <v>11317</v>
      </c>
      <c r="D7969" t="s">
        <v>17984</v>
      </c>
      <c r="E7969" t="s">
        <v>25015</v>
      </c>
      <c r="F7969" t="s">
        <v>30900</v>
      </c>
      <c r="G7969" t="s">
        <v>30907</v>
      </c>
      <c r="H7969" t="s">
        <v>30915</v>
      </c>
      <c r="I7969" t="s">
        <v>30919</v>
      </c>
      <c r="J7969" t="s">
        <v>36083</v>
      </c>
      <c r="K7969" t="s">
        <v>40287</v>
      </c>
      <c r="M7969" t="s">
        <v>42256</v>
      </c>
      <c r="N7969" t="s">
        <v>44759</v>
      </c>
      <c r="O7969" t="s">
        <v>44760</v>
      </c>
      <c r="P7969">
        <v>0</v>
      </c>
      <c r="Q7969">
        <v>2</v>
      </c>
      <c r="R7969" t="s">
        <v>44768</v>
      </c>
      <c r="S7969" t="s">
        <v>44982</v>
      </c>
      <c r="T7969" t="s">
        <v>46606</v>
      </c>
      <c r="U7969" t="s">
        <v>53575</v>
      </c>
      <c r="W7969" t="s">
        <v>42256</v>
      </c>
      <c r="X7969" t="s">
        <v>44776</v>
      </c>
    </row>
    <row r="7970" spans="1:24">
      <c r="A7970">
        <f>HYPERLINK("https://www.philgeps.gov.ph/GEPSNONPILOT/Tender/SplashBidNoticeAbstractUI.aspx?menuIndex=3&amp;refID=7144966&amp;Result=3","7144966")</f>
        <v>0</v>
      </c>
      <c r="B7970" t="s">
        <v>2640</v>
      </c>
      <c r="C7970" t="s">
        <v>11318</v>
      </c>
      <c r="D7970" t="s">
        <v>17969</v>
      </c>
      <c r="E7970" t="s">
        <v>25016</v>
      </c>
      <c r="F7970" t="s">
        <v>30899</v>
      </c>
      <c r="G7970" t="s">
        <v>30908</v>
      </c>
      <c r="H7970" t="s">
        <v>30916</v>
      </c>
      <c r="I7970" t="s">
        <v>7708</v>
      </c>
      <c r="J7970" t="s">
        <v>31050</v>
      </c>
      <c r="K7970" t="s">
        <v>40288</v>
      </c>
      <c r="M7970" t="s">
        <v>43406</v>
      </c>
      <c r="N7970" t="s">
        <v>44759</v>
      </c>
      <c r="O7970" t="s">
        <v>44760</v>
      </c>
      <c r="P7970">
        <v>0</v>
      </c>
      <c r="Q7970">
        <v>2</v>
      </c>
      <c r="R7970" t="s">
        <v>44767</v>
      </c>
      <c r="S7970" t="s">
        <v>44954</v>
      </c>
      <c r="T7970" t="s">
        <v>46533</v>
      </c>
      <c r="U7970" t="s">
        <v>53576</v>
      </c>
      <c r="W7970" t="s">
        <v>43406</v>
      </c>
      <c r="X7970" t="s">
        <v>44768</v>
      </c>
    </row>
    <row r="7971" spans="1:24">
      <c r="A7971">
        <f>HYPERLINK("https://www.philgeps.gov.ph/GEPSNONPILOT/Tender/SplashBidNoticeAbstractUI.aspx?menuIndex=3&amp;refID=7145153&amp;Result=3","7145153")</f>
        <v>0</v>
      </c>
      <c r="B7971" t="s">
        <v>1775</v>
      </c>
      <c r="C7971" t="s">
        <v>11319</v>
      </c>
      <c r="D7971" t="s">
        <v>18032</v>
      </c>
      <c r="E7971" t="s">
        <v>25017</v>
      </c>
      <c r="F7971" t="s">
        <v>30900</v>
      </c>
      <c r="G7971" t="s">
        <v>30909</v>
      </c>
      <c r="H7971" t="s">
        <v>30916</v>
      </c>
      <c r="I7971" t="s">
        <v>4142</v>
      </c>
      <c r="J7971" t="s">
        <v>36084</v>
      </c>
      <c r="K7971" t="s">
        <v>40294</v>
      </c>
      <c r="M7971" t="s">
        <v>42448</v>
      </c>
      <c r="N7971" t="s">
        <v>44759</v>
      </c>
      <c r="O7971" t="s">
        <v>44760</v>
      </c>
      <c r="P7971">
        <v>0</v>
      </c>
      <c r="Q7971">
        <v>0</v>
      </c>
      <c r="R7971" t="s">
        <v>44767</v>
      </c>
      <c r="S7971" t="s">
        <v>44954</v>
      </c>
      <c r="T7971" t="s">
        <v>46533</v>
      </c>
      <c r="U7971" t="s">
        <v>50973</v>
      </c>
      <c r="W7971" t="s">
        <v>42448</v>
      </c>
      <c r="X7971" t="s">
        <v>44768</v>
      </c>
    </row>
    <row r="7972" spans="1:24">
      <c r="A7972">
        <f>HYPERLINK("https://www.philgeps.gov.ph/GEPSNONPILOT/Tender/SplashBidNoticeAbstractUI.aspx?menuIndex=3&amp;refID=7124843&amp;Result=3","7124843")</f>
        <v>0</v>
      </c>
      <c r="B7972" t="s">
        <v>1606</v>
      </c>
      <c r="C7972" t="s">
        <v>11317</v>
      </c>
      <c r="D7972" t="s">
        <v>17984</v>
      </c>
      <c r="E7972" t="s">
        <v>25018</v>
      </c>
      <c r="F7972" t="s">
        <v>30900</v>
      </c>
      <c r="G7972" t="s">
        <v>30907</v>
      </c>
      <c r="H7972" t="s">
        <v>30915</v>
      </c>
      <c r="I7972" t="s">
        <v>30919</v>
      </c>
      <c r="J7972" t="s">
        <v>36085</v>
      </c>
      <c r="K7972" t="s">
        <v>40282</v>
      </c>
      <c r="M7972" t="s">
        <v>42256</v>
      </c>
      <c r="N7972" t="s">
        <v>44759</v>
      </c>
      <c r="O7972" t="s">
        <v>44760</v>
      </c>
      <c r="P7972">
        <v>0</v>
      </c>
      <c r="Q7972">
        <v>2</v>
      </c>
      <c r="R7972" t="s">
        <v>44768</v>
      </c>
      <c r="S7972" t="s">
        <v>44982</v>
      </c>
      <c r="T7972" t="s">
        <v>46606</v>
      </c>
      <c r="U7972" t="s">
        <v>53577</v>
      </c>
      <c r="W7972" t="s">
        <v>42256</v>
      </c>
      <c r="X7972" t="s">
        <v>44776</v>
      </c>
    </row>
    <row r="7973" spans="1:24">
      <c r="A7973">
        <f>HYPERLINK("https://www.philgeps.gov.ph/GEPSNONPILOT/Tender/SplashBidNoticeAbstractUI.aspx?menuIndex=3&amp;refID=7123362&amp;Result=3","7123362")</f>
        <v>0</v>
      </c>
      <c r="B7973" t="s">
        <v>1500</v>
      </c>
      <c r="C7973" t="s">
        <v>11320</v>
      </c>
      <c r="D7973" t="s">
        <v>17978</v>
      </c>
      <c r="E7973" t="s">
        <v>25019</v>
      </c>
      <c r="F7973" t="s">
        <v>30900</v>
      </c>
      <c r="G7973" t="s">
        <v>30907</v>
      </c>
      <c r="H7973" t="s">
        <v>30916</v>
      </c>
      <c r="I7973" t="s">
        <v>4017</v>
      </c>
      <c r="J7973" t="s">
        <v>31204</v>
      </c>
      <c r="K7973" t="s">
        <v>40283</v>
      </c>
      <c r="M7973" t="s">
        <v>42141</v>
      </c>
      <c r="N7973" t="s">
        <v>44759</v>
      </c>
      <c r="O7973" t="s">
        <v>44760</v>
      </c>
      <c r="P7973">
        <v>0</v>
      </c>
      <c r="Q7973">
        <v>1</v>
      </c>
      <c r="R7973" t="s">
        <v>44768</v>
      </c>
      <c r="S7973" t="s">
        <v>44982</v>
      </c>
      <c r="T7973" t="s">
        <v>46802</v>
      </c>
      <c r="U7973" t="s">
        <v>53578</v>
      </c>
      <c r="V7973" t="s">
        <v>59967</v>
      </c>
      <c r="W7973" t="s">
        <v>42141</v>
      </c>
      <c r="X7973" t="s">
        <v>44776</v>
      </c>
    </row>
    <row r="7974" spans="1:24">
      <c r="A7974">
        <f>HYPERLINK("https://www.philgeps.gov.ph/GEPSNONPILOT/Tender/SplashBidNoticeAbstractUI.aspx?menuIndex=3&amp;refID=7124746&amp;Result=3","7124746")</f>
        <v>0</v>
      </c>
      <c r="B7974" t="s">
        <v>1606</v>
      </c>
      <c r="C7974" t="s">
        <v>11317</v>
      </c>
      <c r="D7974" t="s">
        <v>17984</v>
      </c>
      <c r="E7974" t="s">
        <v>25020</v>
      </c>
      <c r="F7974" t="s">
        <v>30900</v>
      </c>
      <c r="G7974" t="s">
        <v>30907</v>
      </c>
      <c r="H7974" t="s">
        <v>30915</v>
      </c>
      <c r="I7974" t="s">
        <v>30919</v>
      </c>
      <c r="J7974" t="s">
        <v>36086</v>
      </c>
      <c r="K7974" t="s">
        <v>40448</v>
      </c>
      <c r="M7974" t="s">
        <v>42256</v>
      </c>
      <c r="N7974" t="s">
        <v>44759</v>
      </c>
      <c r="O7974" t="s">
        <v>44760</v>
      </c>
      <c r="P7974">
        <v>0</v>
      </c>
      <c r="Q7974">
        <v>2</v>
      </c>
      <c r="R7974" t="s">
        <v>44768</v>
      </c>
      <c r="S7974" t="s">
        <v>44982</v>
      </c>
      <c r="T7974" t="s">
        <v>46606</v>
      </c>
      <c r="U7974" t="s">
        <v>53579</v>
      </c>
      <c r="W7974" t="s">
        <v>42256</v>
      </c>
      <c r="X7974" t="s">
        <v>44776</v>
      </c>
    </row>
    <row r="7975" spans="1:24">
      <c r="A7975">
        <f>HYPERLINK("https://www.philgeps.gov.ph/GEPSNONPILOT/Tender/SplashBidNoticeAbstractUI.aspx?menuIndex=3&amp;refID=7123343&amp;Result=3","7123343")</f>
        <v>0</v>
      </c>
      <c r="B7975" t="s">
        <v>2641</v>
      </c>
      <c r="C7975" t="s">
        <v>11321</v>
      </c>
      <c r="D7975" t="s">
        <v>18018</v>
      </c>
      <c r="E7975" t="s">
        <v>22351</v>
      </c>
      <c r="F7975" t="s">
        <v>30900</v>
      </c>
      <c r="G7975" t="s">
        <v>30907</v>
      </c>
      <c r="H7975" t="s">
        <v>30915</v>
      </c>
      <c r="I7975" t="s">
        <v>30919</v>
      </c>
      <c r="J7975" t="s">
        <v>36087</v>
      </c>
      <c r="K7975" t="s">
        <v>40449</v>
      </c>
      <c r="M7975" t="s">
        <v>43407</v>
      </c>
      <c r="N7975" t="s">
        <v>44759</v>
      </c>
      <c r="O7975" t="s">
        <v>44760</v>
      </c>
      <c r="P7975">
        <v>0</v>
      </c>
      <c r="Q7975">
        <v>0</v>
      </c>
      <c r="R7975" t="s">
        <v>44768</v>
      </c>
      <c r="S7975" t="s">
        <v>44982</v>
      </c>
      <c r="T7975" t="s">
        <v>46511</v>
      </c>
      <c r="U7975" t="s">
        <v>53580</v>
      </c>
      <c r="W7975" t="s">
        <v>43407</v>
      </c>
      <c r="X7975" t="s">
        <v>44776</v>
      </c>
    </row>
    <row r="7976" spans="1:24">
      <c r="A7976">
        <f>HYPERLINK("https://www.philgeps.gov.ph/GEPSNONPILOT/Tender/SplashBidNoticeAbstractUI.aspx?menuIndex=3&amp;refID=7123296&amp;Result=3","7123296")</f>
        <v>0</v>
      </c>
      <c r="B7976" t="s">
        <v>2641</v>
      </c>
      <c r="C7976" t="s">
        <v>11322</v>
      </c>
      <c r="D7976" t="s">
        <v>18018</v>
      </c>
      <c r="E7976" t="s">
        <v>22263</v>
      </c>
      <c r="F7976" t="s">
        <v>30900</v>
      </c>
      <c r="G7976" t="s">
        <v>30907</v>
      </c>
      <c r="H7976" t="s">
        <v>30915</v>
      </c>
      <c r="I7976" t="s">
        <v>30919</v>
      </c>
      <c r="J7976" t="s">
        <v>36088</v>
      </c>
      <c r="K7976" t="s">
        <v>40407</v>
      </c>
      <c r="M7976" t="s">
        <v>43407</v>
      </c>
      <c r="N7976" t="s">
        <v>44759</v>
      </c>
      <c r="O7976" t="s">
        <v>44760</v>
      </c>
      <c r="P7976">
        <v>0</v>
      </c>
      <c r="Q7976">
        <v>0</v>
      </c>
      <c r="R7976" t="s">
        <v>44768</v>
      </c>
      <c r="S7976" t="s">
        <v>44982</v>
      </c>
      <c r="T7976" t="s">
        <v>46511</v>
      </c>
      <c r="U7976" t="s">
        <v>53581</v>
      </c>
      <c r="W7976" t="s">
        <v>43407</v>
      </c>
      <c r="X7976" t="s">
        <v>44776</v>
      </c>
    </row>
    <row r="7977" spans="1:24">
      <c r="A7977">
        <f>HYPERLINK("https://www.philgeps.gov.ph/GEPSNONPILOT/Tender/SplashBidNoticeAbstractUI.aspx?menuIndex=3&amp;refID=7121541&amp;Result=3","7121541")</f>
        <v>0</v>
      </c>
      <c r="B7977" t="s">
        <v>2642</v>
      </c>
      <c r="C7977" t="s">
        <v>3769</v>
      </c>
      <c r="D7977" t="s">
        <v>17954</v>
      </c>
      <c r="E7977" t="s">
        <v>25021</v>
      </c>
      <c r="F7977" t="s">
        <v>30900</v>
      </c>
      <c r="G7977" t="s">
        <v>30907</v>
      </c>
      <c r="H7977" t="s">
        <v>30915</v>
      </c>
      <c r="I7977" t="s">
        <v>30919</v>
      </c>
      <c r="J7977" t="s">
        <v>31066</v>
      </c>
      <c r="K7977" t="s">
        <v>40283</v>
      </c>
      <c r="M7977" t="s">
        <v>43408</v>
      </c>
      <c r="N7977" t="s">
        <v>44759</v>
      </c>
      <c r="O7977" t="s">
        <v>44760</v>
      </c>
      <c r="P7977">
        <v>0</v>
      </c>
      <c r="Q7977">
        <v>0</v>
      </c>
      <c r="R7977" t="s">
        <v>44768</v>
      </c>
      <c r="S7977" t="s">
        <v>44982</v>
      </c>
      <c r="T7977" t="s">
        <v>46625</v>
      </c>
      <c r="U7977" t="s">
        <v>53582</v>
      </c>
      <c r="W7977" t="s">
        <v>43408</v>
      </c>
      <c r="X7977" t="s">
        <v>44777</v>
      </c>
    </row>
    <row r="7978" spans="1:24">
      <c r="A7978">
        <f>HYPERLINK("https://www.philgeps.gov.ph/GEPSNONPILOT/Tender/SplashBidNoticeAbstractUI.aspx?menuIndex=3&amp;refID=7119318&amp;Result=3","7119318")</f>
        <v>0</v>
      </c>
      <c r="B7978" t="s">
        <v>2643</v>
      </c>
      <c r="C7978" t="s">
        <v>11323</v>
      </c>
      <c r="D7978" t="s">
        <v>17993</v>
      </c>
      <c r="E7978" t="s">
        <v>18158</v>
      </c>
      <c r="F7978" t="s">
        <v>30900</v>
      </c>
      <c r="G7978" t="s">
        <v>30907</v>
      </c>
      <c r="H7978" t="s">
        <v>30916</v>
      </c>
      <c r="I7978" t="s">
        <v>6834</v>
      </c>
      <c r="J7978" t="s">
        <v>36089</v>
      </c>
      <c r="K7978" t="s">
        <v>40286</v>
      </c>
      <c r="M7978" t="s">
        <v>43409</v>
      </c>
      <c r="N7978" t="s">
        <v>44759</v>
      </c>
      <c r="O7978" t="s">
        <v>44760</v>
      </c>
      <c r="P7978">
        <v>0</v>
      </c>
      <c r="Q7978">
        <v>3</v>
      </c>
      <c r="R7978" t="s">
        <v>44768</v>
      </c>
      <c r="S7978" t="s">
        <v>44982</v>
      </c>
      <c r="T7978" t="s">
        <v>46581</v>
      </c>
      <c r="U7978" t="s">
        <v>53583</v>
      </c>
      <c r="V7978" t="s">
        <v>59968</v>
      </c>
      <c r="W7978" t="s">
        <v>43409</v>
      </c>
      <c r="X7978" t="s">
        <v>44779</v>
      </c>
    </row>
    <row r="7979" spans="1:24">
      <c r="A7979">
        <f>HYPERLINK("https://www.philgeps.gov.ph/GEPSNONPILOT/Tender/SplashBidNoticeAbstractUI.aspx?menuIndex=3&amp;refID=7106771&amp;Result=3","7106771")</f>
        <v>0</v>
      </c>
      <c r="B7979" t="s">
        <v>2644</v>
      </c>
      <c r="C7979" t="s">
        <v>11324</v>
      </c>
      <c r="D7979" t="s">
        <v>18019</v>
      </c>
      <c r="E7979" t="s">
        <v>19093</v>
      </c>
      <c r="F7979" t="s">
        <v>30900</v>
      </c>
      <c r="G7979" t="s">
        <v>30906</v>
      </c>
      <c r="H7979" t="s">
        <v>30916</v>
      </c>
      <c r="I7979" t="s">
        <v>8123</v>
      </c>
      <c r="J7979" t="s">
        <v>36090</v>
      </c>
      <c r="K7979" t="s">
        <v>40287</v>
      </c>
      <c r="M7979" t="s">
        <v>43410</v>
      </c>
      <c r="N7979" t="s">
        <v>44759</v>
      </c>
      <c r="O7979" t="s">
        <v>44760</v>
      </c>
      <c r="P7979">
        <v>0</v>
      </c>
      <c r="Q7979">
        <v>0</v>
      </c>
      <c r="R7979" t="s">
        <v>44768</v>
      </c>
      <c r="S7979" t="s">
        <v>44982</v>
      </c>
      <c r="T7979" t="s">
        <v>46581</v>
      </c>
      <c r="U7979" t="s">
        <v>53584</v>
      </c>
      <c r="W7979" t="s">
        <v>43410</v>
      </c>
      <c r="X7979" t="s">
        <v>44784</v>
      </c>
    </row>
    <row r="7980" spans="1:24">
      <c r="A7980">
        <f>HYPERLINK("https://www.philgeps.gov.ph/GEPSNONPILOT/Tender/SplashBidNoticeAbstractUI.aspx?menuIndex=3&amp;refID=7124229&amp;Result=3","7124229")</f>
        <v>0</v>
      </c>
      <c r="B7980" t="s">
        <v>1606</v>
      </c>
      <c r="C7980" t="s">
        <v>11325</v>
      </c>
      <c r="D7980" t="s">
        <v>17984</v>
      </c>
      <c r="E7980" t="s">
        <v>25022</v>
      </c>
      <c r="F7980" t="s">
        <v>30900</v>
      </c>
      <c r="G7980" t="s">
        <v>30907</v>
      </c>
      <c r="H7980" t="s">
        <v>30915</v>
      </c>
      <c r="I7980" t="s">
        <v>30919</v>
      </c>
      <c r="J7980" t="s">
        <v>32110</v>
      </c>
      <c r="K7980" t="s">
        <v>40300</v>
      </c>
      <c r="M7980" t="s">
        <v>42256</v>
      </c>
      <c r="N7980" t="s">
        <v>44759</v>
      </c>
      <c r="O7980" t="s">
        <v>44760</v>
      </c>
      <c r="P7980">
        <v>0</v>
      </c>
      <c r="Q7980">
        <v>1</v>
      </c>
      <c r="R7980" t="s">
        <v>44768</v>
      </c>
      <c r="S7980" t="s">
        <v>44982</v>
      </c>
      <c r="T7980" t="s">
        <v>46606</v>
      </c>
      <c r="U7980" t="s">
        <v>53585</v>
      </c>
      <c r="W7980" t="s">
        <v>42256</v>
      </c>
      <c r="X7980" t="s">
        <v>44776</v>
      </c>
    </row>
    <row r="7981" spans="1:24">
      <c r="A7981">
        <f>HYPERLINK("https://www.philgeps.gov.ph/GEPSNONPILOT/Tender/SplashBidNoticeAbstractUI.aspx?menuIndex=3&amp;refID=7106502&amp;Result=3","7106502")</f>
        <v>0</v>
      </c>
      <c r="B7981" t="s">
        <v>1500</v>
      </c>
      <c r="C7981" t="s">
        <v>11326</v>
      </c>
      <c r="D7981" t="s">
        <v>17978</v>
      </c>
      <c r="E7981" t="s">
        <v>25023</v>
      </c>
      <c r="F7981" t="s">
        <v>30900</v>
      </c>
      <c r="G7981" t="s">
        <v>30907</v>
      </c>
      <c r="H7981" t="s">
        <v>30915</v>
      </c>
      <c r="I7981" t="s">
        <v>30919</v>
      </c>
      <c r="J7981" t="s">
        <v>36091</v>
      </c>
      <c r="K7981" t="s">
        <v>40342</v>
      </c>
      <c r="M7981" t="s">
        <v>42141</v>
      </c>
      <c r="N7981" t="s">
        <v>44759</v>
      </c>
      <c r="O7981" t="s">
        <v>44760</v>
      </c>
      <c r="P7981">
        <v>0</v>
      </c>
      <c r="Q7981">
        <v>3</v>
      </c>
      <c r="R7981" t="s">
        <v>44768</v>
      </c>
      <c r="S7981" t="s">
        <v>44982</v>
      </c>
      <c r="T7981" t="s">
        <v>46802</v>
      </c>
      <c r="U7981" t="s">
        <v>53578</v>
      </c>
      <c r="V7981" t="s">
        <v>59969</v>
      </c>
      <c r="W7981" t="s">
        <v>42141</v>
      </c>
      <c r="X7981" t="s">
        <v>44784</v>
      </c>
    </row>
    <row r="7982" spans="1:24">
      <c r="A7982">
        <f>HYPERLINK("https://www.philgeps.gov.ph/GEPSNONPILOT/Tender/SplashBidNoticeAbstractUI.aspx?menuIndex=3&amp;refID=7093741&amp;Result=3","7093741")</f>
        <v>0</v>
      </c>
      <c r="B7982" t="s">
        <v>2645</v>
      </c>
      <c r="C7982" t="s">
        <v>11327</v>
      </c>
      <c r="D7982" t="s">
        <v>17975</v>
      </c>
      <c r="E7982" t="s">
        <v>25024</v>
      </c>
      <c r="F7982" t="s">
        <v>30900</v>
      </c>
      <c r="G7982" t="s">
        <v>30907</v>
      </c>
      <c r="H7982" t="s">
        <v>30916</v>
      </c>
      <c r="I7982" t="s">
        <v>30927</v>
      </c>
      <c r="J7982" t="s">
        <v>36092</v>
      </c>
      <c r="K7982" t="s">
        <v>40284</v>
      </c>
      <c r="M7982" t="s">
        <v>43411</v>
      </c>
      <c r="N7982" t="s">
        <v>44759</v>
      </c>
      <c r="O7982" t="s">
        <v>44760</v>
      </c>
      <c r="P7982">
        <v>0</v>
      </c>
      <c r="Q7982">
        <v>0</v>
      </c>
      <c r="R7982" t="s">
        <v>44768</v>
      </c>
      <c r="S7982" t="s">
        <v>44982</v>
      </c>
      <c r="T7982" t="s">
        <v>46606</v>
      </c>
      <c r="U7982" t="s">
        <v>53586</v>
      </c>
      <c r="V7982" t="s">
        <v>59970</v>
      </c>
      <c r="W7982" t="s">
        <v>43411</v>
      </c>
      <c r="X7982" t="s">
        <v>44790</v>
      </c>
    </row>
    <row r="7983" spans="1:24">
      <c r="A7983">
        <f>HYPERLINK("https://www.philgeps.gov.ph/GEPSNONPILOT/Tender/SplashBidNoticeAbstractUI.aspx?menuIndex=3&amp;refID=7124999&amp;Result=3","7124999")</f>
        <v>0</v>
      </c>
      <c r="B7983" t="s">
        <v>1606</v>
      </c>
      <c r="C7983" t="s">
        <v>11328</v>
      </c>
      <c r="D7983" t="s">
        <v>17984</v>
      </c>
      <c r="E7983" t="s">
        <v>25025</v>
      </c>
      <c r="F7983" t="s">
        <v>30900</v>
      </c>
      <c r="G7983" t="s">
        <v>30907</v>
      </c>
      <c r="H7983" t="s">
        <v>30915</v>
      </c>
      <c r="I7983" t="s">
        <v>30919</v>
      </c>
      <c r="J7983" t="s">
        <v>31391</v>
      </c>
      <c r="K7983" t="s">
        <v>40336</v>
      </c>
      <c r="M7983" t="s">
        <v>42256</v>
      </c>
      <c r="N7983" t="s">
        <v>44759</v>
      </c>
      <c r="O7983" t="s">
        <v>44760</v>
      </c>
      <c r="P7983">
        <v>0</v>
      </c>
      <c r="Q7983">
        <v>2</v>
      </c>
      <c r="R7983" t="s">
        <v>44768</v>
      </c>
      <c r="S7983" t="s">
        <v>44982</v>
      </c>
      <c r="T7983" t="s">
        <v>46606</v>
      </c>
      <c r="U7983" t="s">
        <v>53587</v>
      </c>
      <c r="W7983" t="s">
        <v>42256</v>
      </c>
      <c r="X7983" t="s">
        <v>44776</v>
      </c>
    </row>
    <row r="7984" spans="1:24">
      <c r="A7984">
        <f>HYPERLINK("https://www.philgeps.gov.ph/GEPSNONPILOT/Tender/SplashBidNoticeAbstractUI.aspx?menuIndex=3&amp;refID=7067086&amp;Result=3","7067086")</f>
        <v>0</v>
      </c>
      <c r="B7984" t="s">
        <v>2646</v>
      </c>
      <c r="C7984" t="s">
        <v>4104</v>
      </c>
      <c r="D7984" t="s">
        <v>18017</v>
      </c>
      <c r="E7984" t="s">
        <v>25026</v>
      </c>
      <c r="F7984" t="s">
        <v>30900</v>
      </c>
      <c r="G7984" t="s">
        <v>30907</v>
      </c>
      <c r="H7984" t="s">
        <v>30916</v>
      </c>
      <c r="I7984" t="s">
        <v>8123</v>
      </c>
      <c r="J7984" t="s">
        <v>36093</v>
      </c>
      <c r="K7984" t="s">
        <v>40286</v>
      </c>
      <c r="M7984" t="s">
        <v>43412</v>
      </c>
      <c r="N7984" t="s">
        <v>44759</v>
      </c>
      <c r="O7984" t="s">
        <v>44760</v>
      </c>
      <c r="Q7984">
        <v>0</v>
      </c>
      <c r="R7984" t="s">
        <v>44768</v>
      </c>
      <c r="S7984" t="s">
        <v>44983</v>
      </c>
      <c r="T7984" t="s">
        <v>46459</v>
      </c>
      <c r="U7984" t="s">
        <v>53588</v>
      </c>
      <c r="V7984" t="s">
        <v>59971</v>
      </c>
      <c r="W7984" t="s">
        <v>43412</v>
      </c>
      <c r="X7984" t="s">
        <v>44800</v>
      </c>
    </row>
    <row r="7985" spans="1:24">
      <c r="A7985">
        <f>HYPERLINK("https://www.philgeps.gov.ph/GEPSNONPILOT/Tender/SplashBidNoticeAbstractUI.aspx?menuIndex=3&amp;refID=7144937&amp;Result=3","7144937")</f>
        <v>0</v>
      </c>
      <c r="B7985" t="s">
        <v>2647</v>
      </c>
      <c r="C7985" t="s">
        <v>11329</v>
      </c>
      <c r="E7985" t="s">
        <v>25027</v>
      </c>
      <c r="F7985" t="s">
        <v>30900</v>
      </c>
      <c r="G7985" t="s">
        <v>30907</v>
      </c>
      <c r="H7985" t="s">
        <v>30915</v>
      </c>
      <c r="I7985" t="s">
        <v>30919</v>
      </c>
      <c r="J7985" t="s">
        <v>36094</v>
      </c>
      <c r="K7985" t="s">
        <v>40289</v>
      </c>
      <c r="M7985" t="s">
        <v>43413</v>
      </c>
      <c r="N7985" t="s">
        <v>44759</v>
      </c>
      <c r="O7985" t="s">
        <v>44760</v>
      </c>
      <c r="P7985">
        <v>0</v>
      </c>
      <c r="Q7985">
        <v>0</v>
      </c>
      <c r="R7985" t="s">
        <v>44767</v>
      </c>
      <c r="S7985" t="s">
        <v>44954</v>
      </c>
      <c r="T7985" t="s">
        <v>46495</v>
      </c>
      <c r="U7985" t="s">
        <v>53589</v>
      </c>
      <c r="V7985" t="s">
        <v>59972</v>
      </c>
      <c r="W7985" t="s">
        <v>43413</v>
      </c>
      <c r="X7985" t="s">
        <v>44768</v>
      </c>
    </row>
    <row r="7986" spans="1:24">
      <c r="A7986">
        <f>HYPERLINK("https://www.philgeps.gov.ph/GEPSNONPILOT/Tender/SplashBidNoticeAbstractUI.aspx?menuIndex=3&amp;refID=7144934&amp;Result=3","7144934")</f>
        <v>0</v>
      </c>
      <c r="B7986" t="s">
        <v>983</v>
      </c>
      <c r="C7986" t="s">
        <v>11330</v>
      </c>
      <c r="D7986" t="s">
        <v>18005</v>
      </c>
      <c r="E7986" t="s">
        <v>25028</v>
      </c>
      <c r="F7986" t="s">
        <v>30900</v>
      </c>
      <c r="G7986" t="s">
        <v>30907</v>
      </c>
      <c r="H7986" t="s">
        <v>30916</v>
      </c>
      <c r="I7986" t="s">
        <v>30923</v>
      </c>
      <c r="J7986" t="s">
        <v>36095</v>
      </c>
      <c r="K7986" t="s">
        <v>40321</v>
      </c>
      <c r="M7986" t="s">
        <v>41571</v>
      </c>
      <c r="N7986" t="s">
        <v>44759</v>
      </c>
      <c r="O7986" t="s">
        <v>44760</v>
      </c>
      <c r="Q7986">
        <v>14</v>
      </c>
      <c r="R7986" t="s">
        <v>44767</v>
      </c>
      <c r="S7986" t="s">
        <v>44984</v>
      </c>
      <c r="T7986" t="s">
        <v>46390</v>
      </c>
      <c r="U7986" t="s">
        <v>53590</v>
      </c>
      <c r="W7986" t="s">
        <v>41571</v>
      </c>
      <c r="X7986" t="s">
        <v>44768</v>
      </c>
    </row>
    <row r="7987" spans="1:24">
      <c r="A7987">
        <f>HYPERLINK("https://www.philgeps.gov.ph/GEPSNONPILOT/Tender/SplashBidNoticeAbstractUI.aspx?menuIndex=3&amp;refID=7106407&amp;Result=3","7106407")</f>
        <v>0</v>
      </c>
      <c r="B7987" t="s">
        <v>1500</v>
      </c>
      <c r="C7987" t="s">
        <v>11331</v>
      </c>
      <c r="D7987" t="s">
        <v>17978</v>
      </c>
      <c r="E7987" t="s">
        <v>25029</v>
      </c>
      <c r="F7987" t="s">
        <v>30900</v>
      </c>
      <c r="G7987" t="s">
        <v>30907</v>
      </c>
      <c r="H7987" t="s">
        <v>30916</v>
      </c>
      <c r="I7987" t="s">
        <v>8123</v>
      </c>
      <c r="J7987" t="s">
        <v>36096</v>
      </c>
      <c r="K7987" t="s">
        <v>40283</v>
      </c>
      <c r="M7987" t="s">
        <v>42141</v>
      </c>
      <c r="N7987" t="s">
        <v>44759</v>
      </c>
      <c r="O7987" t="s">
        <v>44760</v>
      </c>
      <c r="P7987">
        <v>0</v>
      </c>
      <c r="Q7987">
        <v>2</v>
      </c>
      <c r="R7987" t="s">
        <v>44768</v>
      </c>
      <c r="S7987" t="s">
        <v>44982</v>
      </c>
      <c r="T7987" t="s">
        <v>46802</v>
      </c>
      <c r="U7987" t="s">
        <v>53578</v>
      </c>
      <c r="V7987" t="s">
        <v>59973</v>
      </c>
      <c r="W7987" t="s">
        <v>42141</v>
      </c>
      <c r="X7987" t="s">
        <v>44784</v>
      </c>
    </row>
    <row r="7988" spans="1:24">
      <c r="A7988">
        <f>HYPERLINK("https://www.philgeps.gov.ph/GEPSNONPILOT/Tender/SplashBidNoticeAbstractUI.aspx?menuIndex=3&amp;refID=7144931&amp;Result=3","7144931")</f>
        <v>0</v>
      </c>
      <c r="B7988" t="s">
        <v>2596</v>
      </c>
      <c r="C7988" t="s">
        <v>8314</v>
      </c>
      <c r="E7988" t="s">
        <v>25030</v>
      </c>
      <c r="F7988" t="s">
        <v>30900</v>
      </c>
      <c r="G7988" t="s">
        <v>30907</v>
      </c>
      <c r="H7988" t="s">
        <v>30916</v>
      </c>
      <c r="I7988" t="s">
        <v>10879</v>
      </c>
      <c r="J7988" t="s">
        <v>36097</v>
      </c>
      <c r="K7988" t="s">
        <v>40289</v>
      </c>
      <c r="M7988" t="s">
        <v>43357</v>
      </c>
      <c r="N7988" t="s">
        <v>44759</v>
      </c>
      <c r="O7988" t="s">
        <v>44760</v>
      </c>
      <c r="P7988">
        <v>0</v>
      </c>
      <c r="Q7988">
        <v>0</v>
      </c>
      <c r="R7988" t="s">
        <v>44767</v>
      </c>
      <c r="S7988" t="s">
        <v>44954</v>
      </c>
      <c r="T7988" t="s">
        <v>46374</v>
      </c>
      <c r="U7988" t="s">
        <v>53591</v>
      </c>
      <c r="W7988" t="s">
        <v>43357</v>
      </c>
      <c r="X7988" t="s">
        <v>44768</v>
      </c>
    </row>
    <row r="7989" spans="1:24">
      <c r="A7989">
        <f>HYPERLINK("https://www.philgeps.gov.ph/GEPSNONPILOT/Tender/SplashBidNoticeAbstractUI.aspx?menuIndex=3&amp;refID=7144902&amp;Result=3","7144902")</f>
        <v>0</v>
      </c>
      <c r="B7989" t="s">
        <v>2611</v>
      </c>
      <c r="C7989" t="s">
        <v>11332</v>
      </c>
      <c r="D7989" t="s">
        <v>17961</v>
      </c>
      <c r="E7989" t="s">
        <v>25031</v>
      </c>
      <c r="F7989" t="s">
        <v>30899</v>
      </c>
      <c r="G7989" t="s">
        <v>30908</v>
      </c>
      <c r="H7989" t="s">
        <v>30916</v>
      </c>
      <c r="I7989" t="s">
        <v>30927</v>
      </c>
      <c r="J7989" t="s">
        <v>36098</v>
      </c>
      <c r="K7989" t="s">
        <v>40288</v>
      </c>
      <c r="M7989" t="s">
        <v>43374</v>
      </c>
      <c r="N7989" t="s">
        <v>44759</v>
      </c>
      <c r="O7989" t="s">
        <v>44760</v>
      </c>
      <c r="P7989">
        <v>0</v>
      </c>
      <c r="Q7989">
        <v>0</v>
      </c>
      <c r="R7989" t="s">
        <v>44767</v>
      </c>
      <c r="S7989" t="s">
        <v>44954</v>
      </c>
      <c r="T7989" t="s">
        <v>46374</v>
      </c>
      <c r="U7989" t="s">
        <v>53592</v>
      </c>
      <c r="W7989" t="s">
        <v>43374</v>
      </c>
      <c r="X7989" t="s">
        <v>44768</v>
      </c>
    </row>
    <row r="7990" spans="1:24">
      <c r="A7990">
        <f>HYPERLINK("https://www.philgeps.gov.ph/GEPSNONPILOT/Tender/SplashBidNoticeAbstractUI.aspx?menuIndex=3&amp;refID=6899186&amp;Result=3","6899186")</f>
        <v>0</v>
      </c>
      <c r="B7990" t="s">
        <v>2648</v>
      </c>
      <c r="C7990" t="s">
        <v>11333</v>
      </c>
      <c r="D7990" t="s">
        <v>18025</v>
      </c>
      <c r="E7990" t="s">
        <v>25032</v>
      </c>
      <c r="F7990" t="s">
        <v>30900</v>
      </c>
      <c r="G7990" t="s">
        <v>30908</v>
      </c>
      <c r="H7990" t="s">
        <v>30916</v>
      </c>
      <c r="I7990" t="s">
        <v>8123</v>
      </c>
      <c r="J7990" t="s">
        <v>31105</v>
      </c>
      <c r="K7990" t="s">
        <v>40326</v>
      </c>
      <c r="M7990" t="s">
        <v>43414</v>
      </c>
      <c r="N7990" t="s">
        <v>44759</v>
      </c>
      <c r="O7990" t="s">
        <v>44760</v>
      </c>
      <c r="P7990">
        <v>0</v>
      </c>
      <c r="Q7990">
        <v>2</v>
      </c>
      <c r="R7990" t="s">
        <v>44768</v>
      </c>
      <c r="S7990" t="s">
        <v>44982</v>
      </c>
      <c r="T7990" t="s">
        <v>46625</v>
      </c>
      <c r="U7990" t="s">
        <v>53593</v>
      </c>
      <c r="W7990" t="s">
        <v>43414</v>
      </c>
      <c r="X7990" t="s">
        <v>44842</v>
      </c>
    </row>
    <row r="7991" spans="1:24">
      <c r="A7991">
        <f>HYPERLINK("https://www.philgeps.gov.ph/GEPSNONPILOT/Tender/SplashBidNoticeAbstractUI.aspx?menuIndex=3&amp;refID=7144901&amp;Result=3","7144901")</f>
        <v>0</v>
      </c>
      <c r="B7991" t="s">
        <v>2596</v>
      </c>
      <c r="C7991" t="s">
        <v>11334</v>
      </c>
      <c r="E7991" t="s">
        <v>25033</v>
      </c>
      <c r="F7991" t="s">
        <v>30900</v>
      </c>
      <c r="G7991" t="s">
        <v>30907</v>
      </c>
      <c r="H7991" t="s">
        <v>30916</v>
      </c>
      <c r="I7991" t="s">
        <v>30933</v>
      </c>
      <c r="J7991" t="s">
        <v>36099</v>
      </c>
      <c r="K7991" t="s">
        <v>40289</v>
      </c>
      <c r="M7991" t="s">
        <v>43357</v>
      </c>
      <c r="N7991" t="s">
        <v>44759</v>
      </c>
      <c r="O7991" t="s">
        <v>44760</v>
      </c>
      <c r="P7991">
        <v>0</v>
      </c>
      <c r="Q7991">
        <v>0</v>
      </c>
      <c r="R7991" t="s">
        <v>44767</v>
      </c>
      <c r="S7991" t="s">
        <v>44954</v>
      </c>
      <c r="T7991" t="s">
        <v>46374</v>
      </c>
      <c r="U7991" t="s">
        <v>53594</v>
      </c>
      <c r="W7991" t="s">
        <v>43357</v>
      </c>
      <c r="X7991" t="s">
        <v>44768</v>
      </c>
    </row>
    <row r="7992" spans="1:24">
      <c r="A7992">
        <f>HYPERLINK("https://www.philgeps.gov.ph/GEPSNONPILOT/Tender/SplashBidNoticeAbstractUI.aspx?menuIndex=3&amp;refID=7144900&amp;Result=3","7144900")</f>
        <v>0</v>
      </c>
      <c r="B7992" t="s">
        <v>2649</v>
      </c>
      <c r="C7992" t="s">
        <v>11335</v>
      </c>
      <c r="D7992" t="s">
        <v>17957</v>
      </c>
      <c r="E7992" t="s">
        <v>21585</v>
      </c>
      <c r="F7992" t="s">
        <v>30899</v>
      </c>
      <c r="G7992" t="s">
        <v>30910</v>
      </c>
      <c r="H7992" t="s">
        <v>30916</v>
      </c>
      <c r="I7992" t="s">
        <v>4142</v>
      </c>
      <c r="J7992" t="s">
        <v>36100</v>
      </c>
      <c r="K7992" t="s">
        <v>40289</v>
      </c>
      <c r="M7992" t="s">
        <v>43415</v>
      </c>
      <c r="N7992" t="s">
        <v>44759</v>
      </c>
      <c r="O7992" t="s">
        <v>44760</v>
      </c>
      <c r="P7992">
        <v>0</v>
      </c>
      <c r="Q7992">
        <v>3</v>
      </c>
      <c r="R7992" t="s">
        <v>44767</v>
      </c>
      <c r="S7992" t="s">
        <v>44954</v>
      </c>
      <c r="T7992" t="s">
        <v>46374</v>
      </c>
      <c r="U7992" t="s">
        <v>53595</v>
      </c>
      <c r="W7992" t="s">
        <v>43415</v>
      </c>
      <c r="X7992" t="s">
        <v>44768</v>
      </c>
    </row>
    <row r="7993" spans="1:24">
      <c r="A7993">
        <f>HYPERLINK("https://www.philgeps.gov.ph/GEPSNONPILOT/Tender/SplashBidNoticeAbstractUI.aspx?menuIndex=3&amp;refID=7144930&amp;Result=3","7144930")</f>
        <v>0</v>
      </c>
      <c r="B7993" t="s">
        <v>2647</v>
      </c>
      <c r="C7993" t="s">
        <v>11336</v>
      </c>
      <c r="E7993" t="s">
        <v>25034</v>
      </c>
      <c r="F7993" t="s">
        <v>30900</v>
      </c>
      <c r="G7993" t="s">
        <v>30907</v>
      </c>
      <c r="H7993" t="s">
        <v>7411</v>
      </c>
      <c r="I7993" t="s">
        <v>7411</v>
      </c>
      <c r="J7993" t="s">
        <v>36101</v>
      </c>
      <c r="K7993" t="s">
        <v>40289</v>
      </c>
      <c r="M7993" t="s">
        <v>43413</v>
      </c>
      <c r="N7993" t="s">
        <v>44759</v>
      </c>
      <c r="O7993" t="s">
        <v>44760</v>
      </c>
      <c r="P7993">
        <v>0</v>
      </c>
      <c r="Q7993">
        <v>4</v>
      </c>
      <c r="R7993" t="s">
        <v>44767</v>
      </c>
      <c r="S7993" t="s">
        <v>44954</v>
      </c>
      <c r="T7993" t="s">
        <v>46533</v>
      </c>
      <c r="U7993" t="s">
        <v>53596</v>
      </c>
      <c r="V7993" t="s">
        <v>59974</v>
      </c>
      <c r="W7993" t="s">
        <v>43413</v>
      </c>
      <c r="X7993" t="s">
        <v>44768</v>
      </c>
    </row>
    <row r="7994" spans="1:24">
      <c r="A7994">
        <f>HYPERLINK("https://www.philgeps.gov.ph/GEPSNONPILOT/Tender/SplashBidNoticeAbstractUI.aspx?menuIndex=3&amp;refID=7144897&amp;Result=3","7144897")</f>
        <v>0</v>
      </c>
      <c r="B7994" t="s">
        <v>2601</v>
      </c>
      <c r="C7994" t="s">
        <v>11337</v>
      </c>
      <c r="D7994" t="s">
        <v>17954</v>
      </c>
      <c r="E7994" t="s">
        <v>25035</v>
      </c>
      <c r="F7994" t="s">
        <v>30900</v>
      </c>
      <c r="G7994" t="s">
        <v>30907</v>
      </c>
      <c r="H7994" t="s">
        <v>30916</v>
      </c>
      <c r="I7994" t="s">
        <v>4142</v>
      </c>
      <c r="J7994" t="s">
        <v>31152</v>
      </c>
      <c r="K7994" t="s">
        <v>40286</v>
      </c>
      <c r="M7994" t="s">
        <v>43416</v>
      </c>
      <c r="N7994" t="s">
        <v>44759</v>
      </c>
      <c r="O7994" t="s">
        <v>44760</v>
      </c>
      <c r="P7994">
        <v>0</v>
      </c>
      <c r="Q7994">
        <v>3</v>
      </c>
      <c r="R7994" t="s">
        <v>44767</v>
      </c>
      <c r="S7994" t="s">
        <v>44954</v>
      </c>
      <c r="T7994" t="s">
        <v>46515</v>
      </c>
      <c r="U7994" t="s">
        <v>53597</v>
      </c>
      <c r="W7994" t="s">
        <v>43416</v>
      </c>
      <c r="X7994" t="s">
        <v>44768</v>
      </c>
    </row>
    <row r="7995" spans="1:24">
      <c r="A7995">
        <f>HYPERLINK("https://www.philgeps.gov.ph/GEPSNONPILOT/Tender/SplashBidNoticeAbstractUI.aspx?menuIndex=3&amp;refID=7144857&amp;Result=3","7144857")</f>
        <v>0</v>
      </c>
      <c r="B7995" t="s">
        <v>2650</v>
      </c>
      <c r="C7995" t="s">
        <v>11338</v>
      </c>
      <c r="D7995" t="s">
        <v>17987</v>
      </c>
      <c r="E7995" t="s">
        <v>25036</v>
      </c>
      <c r="F7995" t="s">
        <v>30900</v>
      </c>
      <c r="G7995" t="s">
        <v>30908</v>
      </c>
      <c r="H7995" t="s">
        <v>30916</v>
      </c>
      <c r="I7995" t="s">
        <v>4004</v>
      </c>
      <c r="J7995" t="s">
        <v>36102</v>
      </c>
      <c r="K7995" t="s">
        <v>40283</v>
      </c>
      <c r="M7995" t="s">
        <v>43417</v>
      </c>
      <c r="N7995" t="s">
        <v>44759</v>
      </c>
      <c r="O7995" t="s">
        <v>44760</v>
      </c>
      <c r="P7995">
        <v>0</v>
      </c>
      <c r="Q7995">
        <v>2</v>
      </c>
      <c r="R7995" t="s">
        <v>44767</v>
      </c>
      <c r="S7995" t="s">
        <v>44954</v>
      </c>
      <c r="T7995" t="s">
        <v>46398</v>
      </c>
      <c r="U7995" t="s">
        <v>53598</v>
      </c>
      <c r="V7995" t="s">
        <v>59975</v>
      </c>
      <c r="W7995" t="s">
        <v>43417</v>
      </c>
      <c r="X7995" t="s">
        <v>44768</v>
      </c>
    </row>
    <row r="7996" spans="1:24">
      <c r="A7996">
        <f>HYPERLINK("https://www.philgeps.gov.ph/GEPSNONPILOT/Tender/SplashBidNoticeAbstractUI.aspx?menuIndex=3&amp;refID=7144856&amp;Result=3","7144856")</f>
        <v>0</v>
      </c>
      <c r="B7996" t="s">
        <v>997</v>
      </c>
      <c r="C7996" t="s">
        <v>11339</v>
      </c>
      <c r="D7996" t="s">
        <v>17959</v>
      </c>
      <c r="E7996" t="s">
        <v>25037</v>
      </c>
      <c r="F7996" t="s">
        <v>30900</v>
      </c>
      <c r="G7996" t="s">
        <v>30907</v>
      </c>
      <c r="H7996" t="s">
        <v>30916</v>
      </c>
      <c r="I7996" t="s">
        <v>30963</v>
      </c>
      <c r="J7996" t="s">
        <v>32271</v>
      </c>
      <c r="K7996" t="s">
        <v>40446</v>
      </c>
      <c r="M7996" t="s">
        <v>43418</v>
      </c>
      <c r="N7996" t="s">
        <v>44759</v>
      </c>
      <c r="O7996" t="s">
        <v>44760</v>
      </c>
      <c r="P7996">
        <v>0</v>
      </c>
      <c r="Q7996">
        <v>6</v>
      </c>
      <c r="R7996" t="s">
        <v>44767</v>
      </c>
      <c r="S7996" t="s">
        <v>44954</v>
      </c>
      <c r="T7996" t="s">
        <v>46402</v>
      </c>
      <c r="U7996" t="s">
        <v>53599</v>
      </c>
      <c r="W7996" t="s">
        <v>43418</v>
      </c>
      <c r="X7996" t="s">
        <v>44768</v>
      </c>
    </row>
    <row r="7997" spans="1:24">
      <c r="A7997">
        <f>HYPERLINK("https://www.philgeps.gov.ph/GEPSNONPILOT/Tender/SplashBidNoticeAbstractUI.aspx?menuIndex=3&amp;refID=7144855&amp;Result=3","7144855")</f>
        <v>0</v>
      </c>
      <c r="B7997" t="s">
        <v>348</v>
      </c>
      <c r="C7997" t="s">
        <v>11340</v>
      </c>
      <c r="D7997" t="s">
        <v>17957</v>
      </c>
      <c r="E7997" t="s">
        <v>25038</v>
      </c>
      <c r="F7997" t="s">
        <v>30900</v>
      </c>
      <c r="G7997" t="s">
        <v>30907</v>
      </c>
      <c r="H7997" t="s">
        <v>30917</v>
      </c>
      <c r="I7997" t="s">
        <v>31020</v>
      </c>
      <c r="J7997" t="s">
        <v>36103</v>
      </c>
      <c r="K7997" t="s">
        <v>40293</v>
      </c>
      <c r="M7997" t="s">
        <v>43364</v>
      </c>
      <c r="N7997" t="s">
        <v>44759</v>
      </c>
      <c r="O7997" t="s">
        <v>44760</v>
      </c>
      <c r="P7997">
        <v>0</v>
      </c>
      <c r="Q7997">
        <v>2</v>
      </c>
      <c r="R7997" t="s">
        <v>44767</v>
      </c>
      <c r="S7997" t="s">
        <v>44954</v>
      </c>
      <c r="T7997" t="s">
        <v>46503</v>
      </c>
      <c r="U7997" t="s">
        <v>53600</v>
      </c>
      <c r="W7997" t="s">
        <v>43364</v>
      </c>
      <c r="X7997" t="s">
        <v>44768</v>
      </c>
    </row>
    <row r="7998" spans="1:24">
      <c r="A7998">
        <f>HYPERLINK("https://www.philgeps.gov.ph/GEPSNONPILOT/Tender/SplashBidNoticeAbstractUI.aspx?menuIndex=3&amp;refID=7144898&amp;Result=3","7144898")</f>
        <v>0</v>
      </c>
      <c r="B7998" t="s">
        <v>983</v>
      </c>
      <c r="C7998" t="s">
        <v>11341</v>
      </c>
      <c r="D7998" t="s">
        <v>18005</v>
      </c>
      <c r="E7998" t="s">
        <v>25039</v>
      </c>
      <c r="F7998" t="s">
        <v>30900</v>
      </c>
      <c r="G7998" t="s">
        <v>30907</v>
      </c>
      <c r="H7998" t="s">
        <v>30916</v>
      </c>
      <c r="I7998" t="s">
        <v>5501</v>
      </c>
      <c r="J7998" t="s">
        <v>36104</v>
      </c>
      <c r="K7998" t="s">
        <v>40321</v>
      </c>
      <c r="M7998" t="s">
        <v>41571</v>
      </c>
      <c r="N7998" t="s">
        <v>44759</v>
      </c>
      <c r="O7998" t="s">
        <v>44760</v>
      </c>
      <c r="Q7998">
        <v>9</v>
      </c>
      <c r="R7998" t="s">
        <v>44767</v>
      </c>
      <c r="S7998" t="s">
        <v>44878</v>
      </c>
      <c r="T7998" t="s">
        <v>46390</v>
      </c>
      <c r="U7998" t="s">
        <v>53601</v>
      </c>
      <c r="W7998" t="s">
        <v>41571</v>
      </c>
      <c r="X7998" t="s">
        <v>44768</v>
      </c>
    </row>
    <row r="7999" spans="1:24">
      <c r="A7999">
        <f>HYPERLINK("https://www.philgeps.gov.ph/GEPSNONPILOT/Tender/SplashBidNoticeAbstractUI.aspx?menuIndex=3&amp;refID=7144823&amp;Result=3","7144823")</f>
        <v>0</v>
      </c>
      <c r="B7999" t="s">
        <v>2373</v>
      </c>
      <c r="C7999" t="s">
        <v>11342</v>
      </c>
      <c r="D7999" t="s">
        <v>17966</v>
      </c>
      <c r="E7999" t="s">
        <v>25040</v>
      </c>
      <c r="F7999" t="s">
        <v>30900</v>
      </c>
      <c r="G7999" t="s">
        <v>30907</v>
      </c>
      <c r="H7999" t="s">
        <v>30915</v>
      </c>
      <c r="I7999" t="s">
        <v>30919</v>
      </c>
      <c r="J7999" t="s">
        <v>32523</v>
      </c>
      <c r="K7999" t="s">
        <v>40322</v>
      </c>
      <c r="M7999" t="s">
        <v>43099</v>
      </c>
      <c r="N7999" t="s">
        <v>44759</v>
      </c>
      <c r="O7999" t="s">
        <v>44760</v>
      </c>
      <c r="P7999">
        <v>0</v>
      </c>
      <c r="Q7999">
        <v>1</v>
      </c>
      <c r="R7999" t="s">
        <v>44767</v>
      </c>
      <c r="S7999" t="s">
        <v>44954</v>
      </c>
      <c r="T7999" t="s">
        <v>46428</v>
      </c>
      <c r="U7999" t="s">
        <v>53602</v>
      </c>
      <c r="W7999" t="s">
        <v>43099</v>
      </c>
      <c r="X7999" t="s">
        <v>44768</v>
      </c>
    </row>
    <row r="8000" spans="1:24">
      <c r="A8000">
        <f>HYPERLINK("https://www.philgeps.gov.ph/GEPSNONPILOT/Tender/SplashBidNoticeAbstractUI.aspx?menuIndex=3&amp;refID=7144822&amp;Result=3","7144822")</f>
        <v>0</v>
      </c>
      <c r="B8000" t="s">
        <v>644</v>
      </c>
      <c r="C8000" t="s">
        <v>11343</v>
      </c>
      <c r="D8000" t="s">
        <v>17976</v>
      </c>
      <c r="E8000" t="s">
        <v>25041</v>
      </c>
      <c r="F8000" t="s">
        <v>30899</v>
      </c>
      <c r="G8000" t="s">
        <v>30913</v>
      </c>
      <c r="H8000" t="s">
        <v>30916</v>
      </c>
      <c r="I8000" t="s">
        <v>30949</v>
      </c>
      <c r="J8000" t="s">
        <v>36105</v>
      </c>
      <c r="K8000" t="s">
        <v>40280</v>
      </c>
      <c r="M8000" t="s">
        <v>41207</v>
      </c>
      <c r="N8000" t="s">
        <v>44759</v>
      </c>
      <c r="O8000" t="s">
        <v>44760</v>
      </c>
      <c r="Q8000">
        <v>4</v>
      </c>
      <c r="R8000" t="s">
        <v>44767</v>
      </c>
      <c r="S8000" t="s">
        <v>44985</v>
      </c>
      <c r="T8000" t="s">
        <v>46715</v>
      </c>
      <c r="U8000" t="s">
        <v>53603</v>
      </c>
      <c r="W8000" t="s">
        <v>41207</v>
      </c>
      <c r="X8000" t="s">
        <v>44768</v>
      </c>
    </row>
    <row r="8001" spans="1:24">
      <c r="A8001">
        <f>HYPERLINK("https://www.philgeps.gov.ph/GEPSNONPILOT/Tender/SplashBidNoticeAbstractUI.aspx?menuIndex=3&amp;refID=7144817&amp;Result=3","7144817")</f>
        <v>0</v>
      </c>
      <c r="B8001" t="s">
        <v>2587</v>
      </c>
      <c r="C8001" t="s">
        <v>11344</v>
      </c>
      <c r="D8001" t="s">
        <v>17975</v>
      </c>
      <c r="E8001" t="s">
        <v>25042</v>
      </c>
      <c r="F8001" t="s">
        <v>30900</v>
      </c>
      <c r="G8001" t="s">
        <v>30908</v>
      </c>
      <c r="H8001" t="s">
        <v>30916</v>
      </c>
      <c r="I8001" t="s">
        <v>4108</v>
      </c>
      <c r="J8001" t="s">
        <v>36106</v>
      </c>
      <c r="K8001" t="s">
        <v>40284</v>
      </c>
      <c r="M8001" t="s">
        <v>43348</v>
      </c>
      <c r="N8001" t="s">
        <v>44759</v>
      </c>
      <c r="O8001" t="s">
        <v>44760</v>
      </c>
      <c r="P8001">
        <v>0</v>
      </c>
      <c r="Q8001">
        <v>2</v>
      </c>
      <c r="R8001" t="s">
        <v>44767</v>
      </c>
      <c r="S8001" t="s">
        <v>44954</v>
      </c>
      <c r="T8001" t="s">
        <v>46533</v>
      </c>
      <c r="U8001" t="s">
        <v>53417</v>
      </c>
      <c r="W8001" t="s">
        <v>43348</v>
      </c>
      <c r="X8001" t="s">
        <v>44768</v>
      </c>
    </row>
    <row r="8002" spans="1:24">
      <c r="A8002">
        <f>HYPERLINK("https://www.philgeps.gov.ph/GEPSNONPILOT/Tender/SplashBidNoticeAbstractUI.aspx?menuIndex=3&amp;refID=7144815&amp;Result=3","7144815")</f>
        <v>0</v>
      </c>
      <c r="B8002" t="s">
        <v>1001</v>
      </c>
      <c r="C8002" t="s">
        <v>11345</v>
      </c>
      <c r="D8002" t="s">
        <v>17973</v>
      </c>
      <c r="E8002" t="s">
        <v>25043</v>
      </c>
      <c r="F8002" t="s">
        <v>30900</v>
      </c>
      <c r="G8002" t="s">
        <v>30907</v>
      </c>
      <c r="H8002" t="s">
        <v>30916</v>
      </c>
      <c r="I8002" t="s">
        <v>30933</v>
      </c>
      <c r="J8002" t="s">
        <v>36049</v>
      </c>
      <c r="K8002" t="s">
        <v>40286</v>
      </c>
      <c r="M8002" t="s">
        <v>41590</v>
      </c>
      <c r="N8002" t="s">
        <v>44759</v>
      </c>
      <c r="O8002" t="s">
        <v>44760</v>
      </c>
      <c r="P8002">
        <v>0</v>
      </c>
      <c r="Q8002">
        <v>5</v>
      </c>
      <c r="R8002" t="s">
        <v>44767</v>
      </c>
      <c r="S8002" t="s">
        <v>44954</v>
      </c>
      <c r="T8002" t="s">
        <v>46661</v>
      </c>
      <c r="U8002" t="s">
        <v>53604</v>
      </c>
      <c r="W8002" t="s">
        <v>41590</v>
      </c>
      <c r="X8002" t="s">
        <v>44768</v>
      </c>
    </row>
    <row r="8003" spans="1:24">
      <c r="A8003">
        <f>HYPERLINK("https://www.philgeps.gov.ph/GEPSNONPILOT/Tender/SplashBidNoticeAbstractUI.aspx?menuIndex=3&amp;refID=7144812&amp;Result=3","7144812")</f>
        <v>0</v>
      </c>
      <c r="B8003" t="s">
        <v>998</v>
      </c>
      <c r="C8003" t="s">
        <v>11346</v>
      </c>
      <c r="D8003" t="s">
        <v>17952</v>
      </c>
      <c r="E8003" t="s">
        <v>25044</v>
      </c>
      <c r="F8003" t="s">
        <v>30900</v>
      </c>
      <c r="G8003" t="s">
        <v>30907</v>
      </c>
      <c r="H8003" t="s">
        <v>30916</v>
      </c>
      <c r="I8003" t="s">
        <v>30939</v>
      </c>
      <c r="J8003" t="s">
        <v>36107</v>
      </c>
      <c r="K8003" t="s">
        <v>40283</v>
      </c>
      <c r="M8003" t="s">
        <v>41587</v>
      </c>
      <c r="N8003" t="s">
        <v>44759</v>
      </c>
      <c r="O8003" t="s">
        <v>44760</v>
      </c>
      <c r="P8003">
        <v>0</v>
      </c>
      <c r="Q8003">
        <v>0</v>
      </c>
      <c r="R8003" t="s">
        <v>44767</v>
      </c>
      <c r="S8003" t="s">
        <v>44954</v>
      </c>
      <c r="T8003" t="s">
        <v>46533</v>
      </c>
      <c r="U8003" t="s">
        <v>53605</v>
      </c>
      <c r="V8003" t="s">
        <v>59976</v>
      </c>
      <c r="W8003" t="s">
        <v>41587</v>
      </c>
      <c r="X8003" t="s">
        <v>44768</v>
      </c>
    </row>
    <row r="8004" spans="1:24">
      <c r="A8004">
        <f>HYPERLINK("https://www.philgeps.gov.ph/GEPSNONPILOT/Tender/SplashBidNoticeAbstractUI.aspx?menuIndex=3&amp;refID=7130165&amp;Result=3","7130165")</f>
        <v>0</v>
      </c>
      <c r="B8004" t="s">
        <v>2651</v>
      </c>
      <c r="C8004" t="s">
        <v>11347</v>
      </c>
      <c r="D8004" t="s">
        <v>17967</v>
      </c>
      <c r="E8004" t="s">
        <v>25045</v>
      </c>
      <c r="F8004" t="s">
        <v>30900</v>
      </c>
      <c r="G8004" t="s">
        <v>30907</v>
      </c>
      <c r="H8004" t="s">
        <v>30916</v>
      </c>
      <c r="I8004" t="s">
        <v>10961</v>
      </c>
      <c r="J8004" t="s">
        <v>31049</v>
      </c>
      <c r="K8004" t="s">
        <v>40284</v>
      </c>
      <c r="M8004" t="s">
        <v>43419</v>
      </c>
      <c r="N8004" t="s">
        <v>44759</v>
      </c>
      <c r="O8004" t="s">
        <v>44760</v>
      </c>
      <c r="P8004">
        <v>0</v>
      </c>
      <c r="Q8004">
        <v>0</v>
      </c>
      <c r="R8004" t="s">
        <v>44768</v>
      </c>
      <c r="S8004" t="s">
        <v>44982</v>
      </c>
      <c r="T8004" t="s">
        <v>46625</v>
      </c>
      <c r="U8004" t="s">
        <v>53606</v>
      </c>
      <c r="V8004" t="s">
        <v>59977</v>
      </c>
      <c r="W8004" t="s">
        <v>43419</v>
      </c>
      <c r="X8004" t="s">
        <v>44774</v>
      </c>
    </row>
    <row r="8005" spans="1:24">
      <c r="A8005">
        <f>HYPERLINK("https://www.philgeps.gov.ph/GEPSNONPILOT/Tender/SplashBidNoticeAbstractUI.aspx?menuIndex=3&amp;refID=7134901&amp;Result=3","7134901")</f>
        <v>0</v>
      </c>
      <c r="B8005" t="s">
        <v>2652</v>
      </c>
      <c r="C8005" t="s">
        <v>11348</v>
      </c>
      <c r="D8005" t="s">
        <v>17959</v>
      </c>
      <c r="E8005" t="s">
        <v>25046</v>
      </c>
      <c r="F8005" t="s">
        <v>30900</v>
      </c>
      <c r="G8005" t="s">
        <v>30909</v>
      </c>
      <c r="H8005" t="s">
        <v>30916</v>
      </c>
      <c r="I8005" t="s">
        <v>11785</v>
      </c>
      <c r="J8005" t="s">
        <v>36108</v>
      </c>
      <c r="K8005" t="s">
        <v>40286</v>
      </c>
      <c r="M8005" t="s">
        <v>43420</v>
      </c>
      <c r="N8005" t="s">
        <v>44759</v>
      </c>
      <c r="O8005" t="s">
        <v>44760</v>
      </c>
      <c r="P8005">
        <v>0</v>
      </c>
      <c r="Q8005">
        <v>12</v>
      </c>
      <c r="R8005" t="s">
        <v>44768</v>
      </c>
      <c r="S8005" t="s">
        <v>44982</v>
      </c>
      <c r="T8005" t="s">
        <v>46391</v>
      </c>
      <c r="U8005" t="s">
        <v>53607</v>
      </c>
      <c r="V8005" t="s">
        <v>59978</v>
      </c>
      <c r="W8005" t="s">
        <v>43420</v>
      </c>
      <c r="X8005" t="s">
        <v>44773</v>
      </c>
    </row>
    <row r="8006" spans="1:24">
      <c r="A8006">
        <f>HYPERLINK("https://www.philgeps.gov.ph/GEPSNONPILOT/Tender/SplashBidNoticeAbstractUI.aspx?menuIndex=3&amp;refID=7134489&amp;Result=3","7134489")</f>
        <v>0</v>
      </c>
      <c r="B8006" t="s">
        <v>186</v>
      </c>
      <c r="C8006" t="s">
        <v>11349</v>
      </c>
      <c r="D8006" t="s">
        <v>17957</v>
      </c>
      <c r="E8006" t="s">
        <v>25047</v>
      </c>
      <c r="F8006" t="s">
        <v>30900</v>
      </c>
      <c r="G8006" t="s">
        <v>30907</v>
      </c>
      <c r="H8006" t="s">
        <v>30916</v>
      </c>
      <c r="I8006" t="s">
        <v>30921</v>
      </c>
      <c r="J8006" t="s">
        <v>31509</v>
      </c>
      <c r="K8006" t="s">
        <v>40286</v>
      </c>
      <c r="M8006" t="s">
        <v>40733</v>
      </c>
      <c r="N8006" t="s">
        <v>44759</v>
      </c>
      <c r="O8006" t="s">
        <v>44760</v>
      </c>
      <c r="P8006">
        <v>0</v>
      </c>
      <c r="Q8006">
        <v>2</v>
      </c>
      <c r="R8006" t="s">
        <v>44768</v>
      </c>
      <c r="S8006" t="s">
        <v>44982</v>
      </c>
      <c r="T8006" t="s">
        <v>46606</v>
      </c>
      <c r="U8006" t="s">
        <v>53608</v>
      </c>
      <c r="V8006" t="s">
        <v>59979</v>
      </c>
      <c r="W8006" t="s">
        <v>40733</v>
      </c>
      <c r="X8006" t="s">
        <v>44773</v>
      </c>
    </row>
    <row r="8007" spans="1:24">
      <c r="A8007">
        <f>HYPERLINK("https://www.philgeps.gov.ph/GEPSNONPILOT/Tender/SplashBidNoticeAbstractUI.aspx?menuIndex=3&amp;refID=7124807&amp;Result=3","7124807")</f>
        <v>0</v>
      </c>
      <c r="B8007" t="s">
        <v>1606</v>
      </c>
      <c r="C8007" t="s">
        <v>11317</v>
      </c>
      <c r="D8007" t="s">
        <v>17984</v>
      </c>
      <c r="E8007" t="s">
        <v>25048</v>
      </c>
      <c r="F8007" t="s">
        <v>30900</v>
      </c>
      <c r="G8007" t="s">
        <v>30907</v>
      </c>
      <c r="H8007" t="s">
        <v>30915</v>
      </c>
      <c r="I8007" t="s">
        <v>30919</v>
      </c>
      <c r="J8007" t="s">
        <v>36109</v>
      </c>
      <c r="K8007" t="s">
        <v>40307</v>
      </c>
      <c r="M8007" t="s">
        <v>42256</v>
      </c>
      <c r="N8007" t="s">
        <v>44759</v>
      </c>
      <c r="O8007" t="s">
        <v>44760</v>
      </c>
      <c r="P8007">
        <v>0</v>
      </c>
      <c r="Q8007">
        <v>1</v>
      </c>
      <c r="R8007" t="s">
        <v>44768</v>
      </c>
      <c r="S8007" t="s">
        <v>44982</v>
      </c>
      <c r="T8007" t="s">
        <v>46441</v>
      </c>
      <c r="U8007" t="s">
        <v>53609</v>
      </c>
      <c r="W8007" t="s">
        <v>42256</v>
      </c>
      <c r="X8007" t="s">
        <v>44776</v>
      </c>
    </row>
    <row r="8008" spans="1:24">
      <c r="A8008">
        <f>HYPERLINK("https://www.philgeps.gov.ph/GEPSNONPILOT/Tender/SplashBidNoticeAbstractUI.aspx?menuIndex=3&amp;refID=7134257&amp;Result=3","7134257")</f>
        <v>0</v>
      </c>
      <c r="B8008" t="s">
        <v>2653</v>
      </c>
      <c r="C8008" t="s">
        <v>11350</v>
      </c>
      <c r="D8008" t="s">
        <v>18023</v>
      </c>
      <c r="E8008" t="s">
        <v>21927</v>
      </c>
      <c r="F8008" t="s">
        <v>30900</v>
      </c>
      <c r="G8008" t="s">
        <v>30907</v>
      </c>
      <c r="H8008" t="s">
        <v>30915</v>
      </c>
      <c r="I8008" t="s">
        <v>30919</v>
      </c>
      <c r="J8008" t="s">
        <v>36110</v>
      </c>
      <c r="K8008" t="s">
        <v>40358</v>
      </c>
      <c r="M8008" t="s">
        <v>43421</v>
      </c>
      <c r="N8008" t="s">
        <v>44759</v>
      </c>
      <c r="O8008" t="s">
        <v>44760</v>
      </c>
      <c r="P8008">
        <v>0</v>
      </c>
      <c r="Q8008">
        <v>0</v>
      </c>
      <c r="R8008" t="s">
        <v>44768</v>
      </c>
      <c r="S8008" t="s">
        <v>44982</v>
      </c>
      <c r="T8008" t="s">
        <v>46595</v>
      </c>
      <c r="U8008" t="s">
        <v>53610</v>
      </c>
      <c r="W8008" t="s">
        <v>43421</v>
      </c>
      <c r="X8008" t="s">
        <v>44773</v>
      </c>
    </row>
    <row r="8009" spans="1:24">
      <c r="A8009">
        <f>HYPERLINK("https://www.philgeps.gov.ph/GEPSNONPILOT/Tender/SplashBidNoticeAbstractUI.aspx?menuIndex=3&amp;refID=7144813&amp;Result=3","7144813")</f>
        <v>0</v>
      </c>
      <c r="B8009" t="s">
        <v>1689</v>
      </c>
      <c r="C8009" t="s">
        <v>11351</v>
      </c>
      <c r="D8009" t="s">
        <v>17952</v>
      </c>
      <c r="E8009" t="s">
        <v>25049</v>
      </c>
      <c r="F8009" t="s">
        <v>30900</v>
      </c>
      <c r="G8009" t="s">
        <v>30906</v>
      </c>
      <c r="H8009" t="s">
        <v>30916</v>
      </c>
      <c r="I8009" t="s">
        <v>4545</v>
      </c>
      <c r="J8009" t="s">
        <v>36111</v>
      </c>
      <c r="K8009" t="s">
        <v>40289</v>
      </c>
      <c r="M8009" t="s">
        <v>42349</v>
      </c>
      <c r="N8009" t="s">
        <v>44759</v>
      </c>
      <c r="O8009" t="s">
        <v>44760</v>
      </c>
      <c r="Q8009">
        <v>3</v>
      </c>
      <c r="R8009" t="s">
        <v>44767</v>
      </c>
      <c r="S8009" t="s">
        <v>44986</v>
      </c>
      <c r="T8009" t="s">
        <v>46704</v>
      </c>
      <c r="U8009" t="s">
        <v>53443</v>
      </c>
      <c r="V8009" t="s">
        <v>59598</v>
      </c>
      <c r="W8009" t="s">
        <v>42349</v>
      </c>
      <c r="X8009" t="s">
        <v>44768</v>
      </c>
    </row>
    <row r="8010" spans="1:24">
      <c r="A8010">
        <f>HYPERLINK("https://www.philgeps.gov.ph/GEPSNONPILOT/Tender/SplashBidNoticeAbstractUI.aspx?menuIndex=3&amp;refID=7134226&amp;Result=3","7134226")</f>
        <v>0</v>
      </c>
      <c r="B8010" t="s">
        <v>2653</v>
      </c>
      <c r="C8010" t="s">
        <v>11352</v>
      </c>
      <c r="D8010" t="s">
        <v>18023</v>
      </c>
      <c r="E8010" t="s">
        <v>25050</v>
      </c>
      <c r="F8010" t="s">
        <v>30900</v>
      </c>
      <c r="G8010" t="s">
        <v>30907</v>
      </c>
      <c r="H8010" t="s">
        <v>30915</v>
      </c>
      <c r="I8010" t="s">
        <v>30919</v>
      </c>
      <c r="J8010" t="s">
        <v>32049</v>
      </c>
      <c r="K8010" t="s">
        <v>40292</v>
      </c>
      <c r="M8010" t="s">
        <v>43421</v>
      </c>
      <c r="N8010" t="s">
        <v>44759</v>
      </c>
      <c r="O8010" t="s">
        <v>44760</v>
      </c>
      <c r="P8010">
        <v>0</v>
      </c>
      <c r="Q8010">
        <v>0</v>
      </c>
      <c r="R8010" t="s">
        <v>44768</v>
      </c>
      <c r="S8010" t="s">
        <v>44982</v>
      </c>
      <c r="T8010" t="s">
        <v>46595</v>
      </c>
      <c r="U8010" t="s">
        <v>53611</v>
      </c>
      <c r="W8010" t="s">
        <v>43421</v>
      </c>
      <c r="X8010" t="s">
        <v>44773</v>
      </c>
    </row>
    <row r="8011" spans="1:24">
      <c r="A8011">
        <f>HYPERLINK("https://www.philgeps.gov.ph/GEPSNONPILOT/Tender/SplashBidNoticeAbstractUI.aspx?menuIndex=3&amp;refID=7144899&amp;Result=3","7144899")</f>
        <v>0</v>
      </c>
      <c r="B8011" t="s">
        <v>2478</v>
      </c>
      <c r="C8011" t="s">
        <v>11019</v>
      </c>
      <c r="D8011" t="s">
        <v>17958</v>
      </c>
      <c r="E8011" t="s">
        <v>25051</v>
      </c>
      <c r="F8011" t="s">
        <v>30900</v>
      </c>
      <c r="G8011" t="s">
        <v>30907</v>
      </c>
      <c r="H8011" t="s">
        <v>30916</v>
      </c>
      <c r="I8011" t="s">
        <v>5501</v>
      </c>
      <c r="J8011" t="s">
        <v>36112</v>
      </c>
      <c r="K8011" t="s">
        <v>40283</v>
      </c>
      <c r="M8011" t="s">
        <v>43217</v>
      </c>
      <c r="N8011" t="s">
        <v>44759</v>
      </c>
      <c r="O8011" t="s">
        <v>44760</v>
      </c>
      <c r="P8011">
        <v>0</v>
      </c>
      <c r="Q8011">
        <v>2</v>
      </c>
      <c r="R8011" t="s">
        <v>44767</v>
      </c>
      <c r="S8011" t="s">
        <v>44954</v>
      </c>
      <c r="T8011" t="s">
        <v>46450</v>
      </c>
      <c r="U8011" t="s">
        <v>53612</v>
      </c>
      <c r="W8011" t="s">
        <v>43217</v>
      </c>
      <c r="X8011" t="s">
        <v>44768</v>
      </c>
    </row>
    <row r="8012" spans="1:24">
      <c r="A8012">
        <f>HYPERLINK("https://www.philgeps.gov.ph/GEPSNONPILOT/Tender/SplashBidNoticeAbstractUI.aspx?menuIndex=3&amp;refID=7134049&amp;Result=3","7134049")</f>
        <v>0</v>
      </c>
      <c r="B8012" t="s">
        <v>2653</v>
      </c>
      <c r="C8012" t="s">
        <v>11353</v>
      </c>
      <c r="D8012" t="s">
        <v>18023</v>
      </c>
      <c r="E8012" t="s">
        <v>25052</v>
      </c>
      <c r="F8012" t="s">
        <v>30900</v>
      </c>
      <c r="G8012" t="s">
        <v>30907</v>
      </c>
      <c r="H8012" t="s">
        <v>30915</v>
      </c>
      <c r="I8012" t="s">
        <v>30919</v>
      </c>
      <c r="J8012" t="s">
        <v>36113</v>
      </c>
      <c r="K8012" t="s">
        <v>40309</v>
      </c>
      <c r="M8012" t="s">
        <v>43421</v>
      </c>
      <c r="N8012" t="s">
        <v>44759</v>
      </c>
      <c r="O8012" t="s">
        <v>44760</v>
      </c>
      <c r="P8012">
        <v>0</v>
      </c>
      <c r="Q8012">
        <v>1</v>
      </c>
      <c r="R8012" t="s">
        <v>44768</v>
      </c>
      <c r="S8012" t="s">
        <v>44982</v>
      </c>
      <c r="T8012" t="s">
        <v>46606</v>
      </c>
      <c r="U8012" t="s">
        <v>53613</v>
      </c>
      <c r="W8012" t="s">
        <v>43421</v>
      </c>
      <c r="X8012" t="s">
        <v>44773</v>
      </c>
    </row>
    <row r="8013" spans="1:24">
      <c r="A8013">
        <f>HYPERLINK("https://www.philgeps.gov.ph/GEPSNONPILOT/Tender/SplashBidNoticeAbstractUI.aspx?menuIndex=3&amp;refID=7118062-2&amp;Result=3","7118062-2")</f>
        <v>0</v>
      </c>
      <c r="B8013" t="s">
        <v>998</v>
      </c>
      <c r="C8013" t="s">
        <v>11354</v>
      </c>
      <c r="D8013" t="s">
        <v>17952</v>
      </c>
      <c r="E8013" t="s">
        <v>25053</v>
      </c>
      <c r="F8013" t="s">
        <v>30900</v>
      </c>
      <c r="G8013" t="s">
        <v>30907</v>
      </c>
      <c r="H8013" t="s">
        <v>7411</v>
      </c>
      <c r="I8013" t="s">
        <v>7411</v>
      </c>
      <c r="J8013" t="s">
        <v>36114</v>
      </c>
      <c r="K8013" t="s">
        <v>40293</v>
      </c>
      <c r="M8013" t="s">
        <v>43422</v>
      </c>
      <c r="N8013" t="s">
        <v>44759</v>
      </c>
      <c r="O8013" t="s">
        <v>44760</v>
      </c>
      <c r="P8013">
        <v>0</v>
      </c>
      <c r="Q8013">
        <v>0</v>
      </c>
      <c r="R8013" t="s">
        <v>44768</v>
      </c>
      <c r="S8013" t="s">
        <v>44982</v>
      </c>
      <c r="T8013" t="s">
        <v>46353</v>
      </c>
      <c r="U8013" t="s">
        <v>53614</v>
      </c>
      <c r="V8013" t="s">
        <v>59980</v>
      </c>
      <c r="W8013" t="s">
        <v>43422</v>
      </c>
      <c r="X8013" t="s">
        <v>44769</v>
      </c>
    </row>
    <row r="8014" spans="1:24">
      <c r="A8014">
        <f>HYPERLINK("https://www.philgeps.gov.ph/GEPSNONPILOT/Tender/SplashBidNoticeAbstractUI.aspx?menuIndex=3&amp;refID=7133798&amp;Result=3","7133798")</f>
        <v>0</v>
      </c>
      <c r="B8014" t="s">
        <v>591</v>
      </c>
      <c r="C8014" t="s">
        <v>11355</v>
      </c>
      <c r="D8014" t="s">
        <v>17998</v>
      </c>
      <c r="E8014" t="s">
        <v>25054</v>
      </c>
      <c r="F8014" t="s">
        <v>30900</v>
      </c>
      <c r="G8014" t="s">
        <v>30907</v>
      </c>
      <c r="H8014" t="s">
        <v>30916</v>
      </c>
      <c r="I8014" t="s">
        <v>30939</v>
      </c>
      <c r="J8014" t="s">
        <v>31214</v>
      </c>
      <c r="K8014" t="s">
        <v>40286</v>
      </c>
      <c r="M8014" t="s">
        <v>41153</v>
      </c>
      <c r="N8014" t="s">
        <v>44759</v>
      </c>
      <c r="O8014" t="s">
        <v>44760</v>
      </c>
      <c r="P8014">
        <v>0</v>
      </c>
      <c r="Q8014">
        <v>0</v>
      </c>
      <c r="R8014" t="s">
        <v>44768</v>
      </c>
      <c r="S8014" t="s">
        <v>44982</v>
      </c>
      <c r="T8014" t="s">
        <v>46606</v>
      </c>
      <c r="U8014" t="s">
        <v>47981</v>
      </c>
      <c r="V8014" t="s">
        <v>59259</v>
      </c>
      <c r="W8014" t="s">
        <v>41153</v>
      </c>
      <c r="X8014" t="s">
        <v>44773</v>
      </c>
    </row>
    <row r="8015" spans="1:24">
      <c r="A8015">
        <f>HYPERLINK("https://www.philgeps.gov.ph/GEPSNONPILOT/Tender/SplashBidNoticeAbstractUI.aspx?menuIndex=3&amp;refID=7134302&amp;Result=3","7134302")</f>
        <v>0</v>
      </c>
      <c r="B8015" t="s">
        <v>2653</v>
      </c>
      <c r="C8015" t="s">
        <v>11356</v>
      </c>
      <c r="D8015" t="s">
        <v>18023</v>
      </c>
      <c r="E8015" t="s">
        <v>25055</v>
      </c>
      <c r="F8015" t="s">
        <v>30900</v>
      </c>
      <c r="G8015" t="s">
        <v>30907</v>
      </c>
      <c r="H8015" t="s">
        <v>30915</v>
      </c>
      <c r="I8015" t="s">
        <v>30919</v>
      </c>
      <c r="J8015" t="s">
        <v>31067</v>
      </c>
      <c r="K8015" t="s">
        <v>40291</v>
      </c>
      <c r="M8015" t="s">
        <v>43421</v>
      </c>
      <c r="N8015" t="s">
        <v>44759</v>
      </c>
      <c r="O8015" t="s">
        <v>44760</v>
      </c>
      <c r="P8015">
        <v>0</v>
      </c>
      <c r="Q8015">
        <v>0</v>
      </c>
      <c r="R8015" t="s">
        <v>44768</v>
      </c>
      <c r="S8015" t="s">
        <v>44982</v>
      </c>
      <c r="T8015" t="s">
        <v>46595</v>
      </c>
      <c r="U8015" t="s">
        <v>53615</v>
      </c>
      <c r="W8015" t="s">
        <v>43421</v>
      </c>
      <c r="X8015" t="s">
        <v>44773</v>
      </c>
    </row>
    <row r="8016" spans="1:24">
      <c r="A8016">
        <f>HYPERLINK("https://www.philgeps.gov.ph/GEPSNONPILOT/Tender/SplashBidNoticeAbstractUI.aspx?menuIndex=3&amp;refID=7133790&amp;Result=3","7133790")</f>
        <v>0</v>
      </c>
      <c r="B8016" t="s">
        <v>591</v>
      </c>
      <c r="C8016" t="s">
        <v>11357</v>
      </c>
      <c r="D8016" t="s">
        <v>17998</v>
      </c>
      <c r="E8016" t="s">
        <v>25056</v>
      </c>
      <c r="F8016" t="s">
        <v>30900</v>
      </c>
      <c r="G8016" t="s">
        <v>30907</v>
      </c>
      <c r="H8016" t="s">
        <v>30916</v>
      </c>
      <c r="I8016" t="s">
        <v>30924</v>
      </c>
      <c r="J8016" t="s">
        <v>36115</v>
      </c>
      <c r="K8016" t="s">
        <v>40286</v>
      </c>
      <c r="M8016" t="s">
        <v>41153</v>
      </c>
      <c r="N8016" t="s">
        <v>44759</v>
      </c>
      <c r="O8016" t="s">
        <v>44760</v>
      </c>
      <c r="P8016">
        <v>0</v>
      </c>
      <c r="Q8016">
        <v>8</v>
      </c>
      <c r="R8016" t="s">
        <v>44768</v>
      </c>
      <c r="S8016" t="s">
        <v>44982</v>
      </c>
      <c r="T8016" t="s">
        <v>46606</v>
      </c>
      <c r="U8016" t="s">
        <v>47981</v>
      </c>
      <c r="V8016" t="s">
        <v>59259</v>
      </c>
      <c r="W8016" t="s">
        <v>41153</v>
      </c>
      <c r="X8016" t="s">
        <v>44773</v>
      </c>
    </row>
    <row r="8017" spans="1:24">
      <c r="A8017">
        <f>HYPERLINK("https://www.philgeps.gov.ph/GEPSNONPILOT/Tender/SplashBidNoticeAbstractUI.aspx?menuIndex=3&amp;refID=7134096&amp;Result=3","7134096")</f>
        <v>0</v>
      </c>
      <c r="B8017" t="s">
        <v>2653</v>
      </c>
      <c r="C8017" t="s">
        <v>11358</v>
      </c>
      <c r="D8017" t="s">
        <v>18023</v>
      </c>
      <c r="E8017" t="s">
        <v>25057</v>
      </c>
      <c r="F8017" t="s">
        <v>30900</v>
      </c>
      <c r="G8017" t="s">
        <v>30907</v>
      </c>
      <c r="H8017" t="s">
        <v>30915</v>
      </c>
      <c r="I8017" t="s">
        <v>30919</v>
      </c>
      <c r="J8017" t="s">
        <v>36116</v>
      </c>
      <c r="K8017" t="s">
        <v>40342</v>
      </c>
      <c r="M8017" t="s">
        <v>43421</v>
      </c>
      <c r="N8017" t="s">
        <v>44759</v>
      </c>
      <c r="O8017" t="s">
        <v>44760</v>
      </c>
      <c r="P8017">
        <v>0</v>
      </c>
      <c r="Q8017">
        <v>0</v>
      </c>
      <c r="R8017" t="s">
        <v>44768</v>
      </c>
      <c r="S8017" t="s">
        <v>44982</v>
      </c>
      <c r="T8017" t="s">
        <v>46606</v>
      </c>
      <c r="U8017" t="s">
        <v>53616</v>
      </c>
      <c r="W8017" t="s">
        <v>43421</v>
      </c>
      <c r="X8017" t="s">
        <v>44773</v>
      </c>
    </row>
    <row r="8018" spans="1:24">
      <c r="A8018">
        <f>HYPERLINK("https://www.philgeps.gov.ph/GEPSNONPILOT/Tender/SplashBidNoticeAbstractUI.aspx?menuIndex=3&amp;refID=7128915&amp;Result=3","7128915")</f>
        <v>0</v>
      </c>
      <c r="B8018" t="s">
        <v>2654</v>
      </c>
      <c r="C8018" t="s">
        <v>11359</v>
      </c>
      <c r="D8018" t="s">
        <v>17994</v>
      </c>
      <c r="E8018" t="s">
        <v>18282</v>
      </c>
      <c r="F8018" t="s">
        <v>30900</v>
      </c>
      <c r="G8018" t="s">
        <v>30907</v>
      </c>
      <c r="H8018" t="s">
        <v>30916</v>
      </c>
      <c r="I8018" t="s">
        <v>30927</v>
      </c>
      <c r="J8018" t="s">
        <v>31067</v>
      </c>
      <c r="K8018" t="s">
        <v>40287</v>
      </c>
      <c r="M8018" t="s">
        <v>43423</v>
      </c>
      <c r="N8018" t="s">
        <v>44759</v>
      </c>
      <c r="O8018" t="s">
        <v>44760</v>
      </c>
      <c r="P8018">
        <v>0</v>
      </c>
      <c r="Q8018">
        <v>0</v>
      </c>
      <c r="R8018" t="s">
        <v>44768</v>
      </c>
      <c r="S8018" t="s">
        <v>44982</v>
      </c>
      <c r="T8018" t="s">
        <v>46612</v>
      </c>
      <c r="U8018" t="s">
        <v>53617</v>
      </c>
      <c r="W8018" t="s">
        <v>43423</v>
      </c>
      <c r="X8018" t="s">
        <v>44775</v>
      </c>
    </row>
    <row r="8019" spans="1:24">
      <c r="A8019">
        <f>HYPERLINK("https://www.philgeps.gov.ph/GEPSNONPILOT/Tender/SplashBidNoticeAbstractUI.aspx?menuIndex=3&amp;refID=7134000&amp;Result=3","7134000")</f>
        <v>0</v>
      </c>
      <c r="B8019" t="s">
        <v>2653</v>
      </c>
      <c r="C8019" t="s">
        <v>11360</v>
      </c>
      <c r="D8019" t="s">
        <v>18023</v>
      </c>
      <c r="E8019" t="s">
        <v>25058</v>
      </c>
      <c r="F8019" t="s">
        <v>30900</v>
      </c>
      <c r="G8019" t="s">
        <v>30907</v>
      </c>
      <c r="H8019" t="s">
        <v>30916</v>
      </c>
      <c r="I8019" t="s">
        <v>30933</v>
      </c>
      <c r="J8019" t="s">
        <v>31341</v>
      </c>
      <c r="K8019" t="s">
        <v>40283</v>
      </c>
      <c r="M8019" t="s">
        <v>43421</v>
      </c>
      <c r="N8019" t="s">
        <v>44759</v>
      </c>
      <c r="O8019" t="s">
        <v>44760</v>
      </c>
      <c r="P8019">
        <v>0</v>
      </c>
      <c r="Q8019">
        <v>1</v>
      </c>
      <c r="R8019" t="s">
        <v>44768</v>
      </c>
      <c r="S8019" t="s">
        <v>44982</v>
      </c>
      <c r="T8019" t="s">
        <v>46606</v>
      </c>
      <c r="U8019" t="s">
        <v>53618</v>
      </c>
      <c r="W8019" t="s">
        <v>43421</v>
      </c>
      <c r="X8019" t="s">
        <v>44773</v>
      </c>
    </row>
    <row r="8020" spans="1:24">
      <c r="A8020">
        <f>HYPERLINK("https://www.philgeps.gov.ph/GEPSNONPILOT/Tender/SplashBidNoticeAbstractUI.aspx?menuIndex=3&amp;refID=7128569&amp;Result=3","7128569")</f>
        <v>0</v>
      </c>
      <c r="B8020" t="s">
        <v>2655</v>
      </c>
      <c r="C8020" t="s">
        <v>11361</v>
      </c>
      <c r="D8020" t="s">
        <v>17964</v>
      </c>
      <c r="E8020" t="s">
        <v>25059</v>
      </c>
      <c r="F8020" t="s">
        <v>30900</v>
      </c>
      <c r="G8020" t="s">
        <v>30907</v>
      </c>
      <c r="H8020" t="s">
        <v>30916</v>
      </c>
      <c r="I8020" t="s">
        <v>8123</v>
      </c>
      <c r="J8020" t="s">
        <v>36117</v>
      </c>
      <c r="K8020" t="s">
        <v>40280</v>
      </c>
      <c r="L8020" t="s">
        <v>2655</v>
      </c>
      <c r="M8020" t="s">
        <v>43424</v>
      </c>
      <c r="N8020" t="s">
        <v>44759</v>
      </c>
      <c r="O8020" t="s">
        <v>44760</v>
      </c>
      <c r="P8020">
        <v>0</v>
      </c>
      <c r="Q8020">
        <v>1</v>
      </c>
      <c r="R8020" t="s">
        <v>44768</v>
      </c>
      <c r="S8020" t="s">
        <v>44982</v>
      </c>
      <c r="T8020" t="s">
        <v>46373</v>
      </c>
      <c r="U8020" t="s">
        <v>53619</v>
      </c>
      <c r="W8020" t="s">
        <v>43424</v>
      </c>
      <c r="X8020" t="s">
        <v>44775</v>
      </c>
    </row>
    <row r="8021" spans="1:24">
      <c r="A8021">
        <f>HYPERLINK("https://www.philgeps.gov.ph/GEPSNONPILOT/Tender/SplashBidNoticeAbstractUI.aspx?menuIndex=3&amp;refID=7128187&amp;Result=3","7128187")</f>
        <v>0</v>
      </c>
      <c r="B8021" t="s">
        <v>2655</v>
      </c>
      <c r="C8021" t="s">
        <v>11362</v>
      </c>
      <c r="D8021" t="s">
        <v>17964</v>
      </c>
      <c r="E8021" t="s">
        <v>25060</v>
      </c>
      <c r="F8021" t="s">
        <v>30900</v>
      </c>
      <c r="G8021" t="s">
        <v>30907</v>
      </c>
      <c r="H8021" t="s">
        <v>30916</v>
      </c>
      <c r="I8021" t="s">
        <v>30957</v>
      </c>
      <c r="J8021" t="s">
        <v>31341</v>
      </c>
      <c r="K8021" t="s">
        <v>40280</v>
      </c>
      <c r="M8021" t="s">
        <v>43424</v>
      </c>
      <c r="N8021" t="s">
        <v>44759</v>
      </c>
      <c r="O8021" t="s">
        <v>44760</v>
      </c>
      <c r="P8021">
        <v>0</v>
      </c>
      <c r="Q8021">
        <v>0</v>
      </c>
      <c r="R8021" t="s">
        <v>44768</v>
      </c>
      <c r="S8021" t="s">
        <v>44982</v>
      </c>
      <c r="T8021" t="s">
        <v>46488</v>
      </c>
      <c r="U8021" t="s">
        <v>53620</v>
      </c>
      <c r="W8021" t="s">
        <v>43424</v>
      </c>
      <c r="X8021" t="s">
        <v>44775</v>
      </c>
    </row>
    <row r="8022" spans="1:24">
      <c r="A8022">
        <f>HYPERLINK("https://www.philgeps.gov.ph/GEPSNONPILOT/Tender/SplashBidNoticeAbstractUI.aspx?menuIndex=3&amp;refID=7126689&amp;Result=3","7126689")</f>
        <v>0</v>
      </c>
      <c r="B8022" t="s">
        <v>34</v>
      </c>
      <c r="C8022" t="s">
        <v>11363</v>
      </c>
      <c r="D8022" t="s">
        <v>17961</v>
      </c>
      <c r="E8022" t="s">
        <v>25061</v>
      </c>
      <c r="F8022" t="s">
        <v>30900</v>
      </c>
      <c r="G8022" t="s">
        <v>30908</v>
      </c>
      <c r="H8022" t="s">
        <v>30916</v>
      </c>
      <c r="I8022" t="s">
        <v>30976</v>
      </c>
      <c r="J8022" t="s">
        <v>36118</v>
      </c>
      <c r="K8022" t="s">
        <v>40284</v>
      </c>
      <c r="M8022" t="s">
        <v>40580</v>
      </c>
      <c r="N8022" t="s">
        <v>44759</v>
      </c>
      <c r="O8022" t="s">
        <v>44760</v>
      </c>
      <c r="P8022">
        <v>0</v>
      </c>
      <c r="Q8022">
        <v>1</v>
      </c>
      <c r="R8022" t="s">
        <v>44768</v>
      </c>
      <c r="S8022" t="s">
        <v>44982</v>
      </c>
      <c r="T8022" t="s">
        <v>46771</v>
      </c>
      <c r="U8022" t="s">
        <v>47814</v>
      </c>
      <c r="V8022" t="s">
        <v>59093</v>
      </c>
      <c r="W8022" t="s">
        <v>40580</v>
      </c>
      <c r="X8022" t="s">
        <v>44775</v>
      </c>
    </row>
    <row r="8023" spans="1:24">
      <c r="A8023">
        <f>HYPERLINK("https://www.philgeps.gov.ph/GEPSNONPILOT/Tender/SplashBidNoticeAbstractUI.aspx?menuIndex=3&amp;refID=7133519&amp;Result=3","7133519")</f>
        <v>0</v>
      </c>
      <c r="B8023" t="s">
        <v>79</v>
      </c>
      <c r="C8023" t="s">
        <v>11364</v>
      </c>
      <c r="D8023" t="s">
        <v>17988</v>
      </c>
      <c r="E8023" t="s">
        <v>25062</v>
      </c>
      <c r="F8023" t="s">
        <v>30900</v>
      </c>
      <c r="G8023" t="s">
        <v>30907</v>
      </c>
      <c r="H8023" t="s">
        <v>30916</v>
      </c>
      <c r="I8023" t="s">
        <v>4142</v>
      </c>
      <c r="J8023" t="s">
        <v>31101</v>
      </c>
      <c r="K8023" t="s">
        <v>40287</v>
      </c>
      <c r="M8023" t="s">
        <v>40626</v>
      </c>
      <c r="N8023" t="s">
        <v>44759</v>
      </c>
      <c r="O8023" t="s">
        <v>44760</v>
      </c>
      <c r="P8023">
        <v>0</v>
      </c>
      <c r="Q8023">
        <v>2</v>
      </c>
      <c r="R8023" t="s">
        <v>44768</v>
      </c>
      <c r="S8023" t="s">
        <v>44982</v>
      </c>
      <c r="T8023" t="s">
        <v>46803</v>
      </c>
      <c r="U8023" t="s">
        <v>52240</v>
      </c>
      <c r="V8023" t="s">
        <v>59981</v>
      </c>
      <c r="W8023" t="s">
        <v>40626</v>
      </c>
      <c r="X8023" t="s">
        <v>44773</v>
      </c>
    </row>
    <row r="8024" spans="1:24">
      <c r="A8024">
        <f>HYPERLINK("https://www.philgeps.gov.ph/GEPSNONPILOT/Tender/SplashBidNoticeAbstractUI.aspx?menuIndex=3&amp;refID=7133212&amp;Result=3","7133212")</f>
        <v>0</v>
      </c>
      <c r="B8024" t="s">
        <v>2656</v>
      </c>
      <c r="C8024" t="s">
        <v>11365</v>
      </c>
      <c r="D8024" t="s">
        <v>18003</v>
      </c>
      <c r="E8024" t="s">
        <v>18345</v>
      </c>
      <c r="F8024" t="s">
        <v>30900</v>
      </c>
      <c r="G8024" t="s">
        <v>30907</v>
      </c>
      <c r="H8024" t="s">
        <v>30916</v>
      </c>
      <c r="I8024" t="s">
        <v>30927</v>
      </c>
      <c r="J8024" t="s">
        <v>36119</v>
      </c>
      <c r="K8024" t="s">
        <v>40293</v>
      </c>
      <c r="M8024" t="s">
        <v>43425</v>
      </c>
      <c r="N8024" t="s">
        <v>44759</v>
      </c>
      <c r="O8024" t="s">
        <v>44760</v>
      </c>
      <c r="P8024">
        <v>0</v>
      </c>
      <c r="Q8024">
        <v>0</v>
      </c>
      <c r="R8024" t="s">
        <v>44768</v>
      </c>
      <c r="S8024" t="s">
        <v>44982</v>
      </c>
      <c r="T8024" t="s">
        <v>46455</v>
      </c>
      <c r="U8024" t="s">
        <v>53621</v>
      </c>
      <c r="W8024" t="s">
        <v>43425</v>
      </c>
      <c r="X8024" t="s">
        <v>44773</v>
      </c>
    </row>
    <row r="8025" spans="1:24">
      <c r="A8025">
        <f>HYPERLINK("https://www.philgeps.gov.ph/GEPSNONPILOT/Tender/SplashBidNoticeAbstractUI.aspx?menuIndex=3&amp;refID=7144705&amp;Result=3","7144705")</f>
        <v>0</v>
      </c>
      <c r="B8025" t="s">
        <v>2561</v>
      </c>
      <c r="C8025" t="s">
        <v>4780</v>
      </c>
      <c r="D8025" t="s">
        <v>17951</v>
      </c>
      <c r="E8025" t="s">
        <v>25063</v>
      </c>
      <c r="F8025" t="s">
        <v>30900</v>
      </c>
      <c r="G8025" t="s">
        <v>30907</v>
      </c>
      <c r="H8025" t="s">
        <v>30916</v>
      </c>
      <c r="I8025" t="s">
        <v>4142</v>
      </c>
      <c r="J8025" t="s">
        <v>36120</v>
      </c>
      <c r="K8025" t="s">
        <v>40286</v>
      </c>
      <c r="M8025" t="s">
        <v>43319</v>
      </c>
      <c r="N8025" t="s">
        <v>44759</v>
      </c>
      <c r="O8025" t="s">
        <v>44760</v>
      </c>
      <c r="P8025">
        <v>0</v>
      </c>
      <c r="Q8025">
        <v>0</v>
      </c>
      <c r="R8025" t="s">
        <v>44767</v>
      </c>
      <c r="S8025" t="s">
        <v>44954</v>
      </c>
      <c r="T8025" t="s">
        <v>46495</v>
      </c>
      <c r="U8025" t="s">
        <v>53622</v>
      </c>
      <c r="W8025" t="s">
        <v>43319</v>
      </c>
      <c r="X8025" t="s">
        <v>44768</v>
      </c>
    </row>
    <row r="8026" spans="1:24">
      <c r="A8026">
        <f>HYPERLINK("https://www.philgeps.gov.ph/GEPSNONPILOT/Tender/SplashBidNoticeAbstractUI.aspx?menuIndex=3&amp;refID=7144940&amp;Result=3","7144940")</f>
        <v>0</v>
      </c>
      <c r="B8026" t="s">
        <v>2603</v>
      </c>
      <c r="C8026" t="s">
        <v>11366</v>
      </c>
      <c r="D8026" t="s">
        <v>17959</v>
      </c>
      <c r="E8026" t="s">
        <v>24915</v>
      </c>
      <c r="F8026" t="s">
        <v>30904</v>
      </c>
      <c r="G8026" t="s">
        <v>30907</v>
      </c>
      <c r="H8026" t="s">
        <v>30916</v>
      </c>
      <c r="I8026" t="s">
        <v>4017</v>
      </c>
      <c r="J8026" t="s">
        <v>31043</v>
      </c>
      <c r="K8026" t="s">
        <v>40287</v>
      </c>
      <c r="M8026" t="s">
        <v>43366</v>
      </c>
      <c r="N8026" t="s">
        <v>44759</v>
      </c>
      <c r="O8026" t="s">
        <v>44760</v>
      </c>
      <c r="P8026">
        <v>0</v>
      </c>
      <c r="Q8026">
        <v>4</v>
      </c>
      <c r="R8026" t="s">
        <v>44767</v>
      </c>
      <c r="S8026" t="s">
        <v>44954</v>
      </c>
      <c r="T8026" t="s">
        <v>46364</v>
      </c>
      <c r="U8026" t="s">
        <v>53623</v>
      </c>
      <c r="W8026" t="s">
        <v>43366</v>
      </c>
      <c r="X8026" t="s">
        <v>44768</v>
      </c>
    </row>
    <row r="8027" spans="1:24">
      <c r="A8027">
        <f>HYPERLINK("https://www.philgeps.gov.ph/GEPSNONPILOT/Tender/SplashBidNoticeAbstractUI.aspx?menuIndex=3&amp;refID=7136408&amp;Result=3","7136408")</f>
        <v>0</v>
      </c>
      <c r="B8027" t="s">
        <v>73</v>
      </c>
      <c r="C8027" t="s">
        <v>11367</v>
      </c>
      <c r="D8027" t="s">
        <v>17983</v>
      </c>
      <c r="E8027" t="s">
        <v>25064</v>
      </c>
      <c r="F8027" t="s">
        <v>30900</v>
      </c>
      <c r="G8027" t="s">
        <v>30907</v>
      </c>
      <c r="H8027" t="s">
        <v>30916</v>
      </c>
      <c r="I8027" t="s">
        <v>8123</v>
      </c>
      <c r="J8027" t="s">
        <v>36121</v>
      </c>
      <c r="K8027" t="s">
        <v>40280</v>
      </c>
      <c r="M8027" t="s">
        <v>40620</v>
      </c>
      <c r="N8027" t="s">
        <v>44759</v>
      </c>
      <c r="O8027" t="s">
        <v>44760</v>
      </c>
      <c r="P8027">
        <v>0</v>
      </c>
      <c r="Q8027">
        <v>1</v>
      </c>
      <c r="R8027" t="s">
        <v>44768</v>
      </c>
      <c r="S8027" t="s">
        <v>44982</v>
      </c>
      <c r="T8027" t="s">
        <v>46658</v>
      </c>
      <c r="U8027" t="s">
        <v>53624</v>
      </c>
      <c r="W8027" t="s">
        <v>40620</v>
      </c>
      <c r="X8027" t="s">
        <v>44770</v>
      </c>
    </row>
    <row r="8028" spans="1:24">
      <c r="A8028">
        <f>HYPERLINK("https://www.philgeps.gov.ph/GEPSNONPILOT/Tender/SplashBidNoticeAbstractUI.aspx?menuIndex=3&amp;refID=7128143&amp;Result=3","7128143")</f>
        <v>0</v>
      </c>
      <c r="B8028" t="s">
        <v>1882</v>
      </c>
      <c r="C8028" t="s">
        <v>11368</v>
      </c>
      <c r="D8028" t="s">
        <v>17968</v>
      </c>
      <c r="E8028" t="s">
        <v>25065</v>
      </c>
      <c r="F8028" t="s">
        <v>30900</v>
      </c>
      <c r="G8028" t="s">
        <v>30907</v>
      </c>
      <c r="H8028" t="s">
        <v>30916</v>
      </c>
      <c r="I8028" t="s">
        <v>30960</v>
      </c>
      <c r="J8028" t="s">
        <v>36122</v>
      </c>
      <c r="K8028" t="s">
        <v>40286</v>
      </c>
      <c r="M8028" t="s">
        <v>42557</v>
      </c>
      <c r="N8028" t="s">
        <v>44759</v>
      </c>
      <c r="O8028" t="s">
        <v>44760</v>
      </c>
      <c r="P8028">
        <v>0</v>
      </c>
      <c r="Q8028">
        <v>4</v>
      </c>
      <c r="R8028" t="s">
        <v>44768</v>
      </c>
      <c r="S8028" t="s">
        <v>44982</v>
      </c>
      <c r="T8028" t="s">
        <v>46658</v>
      </c>
      <c r="U8028" t="s">
        <v>53625</v>
      </c>
      <c r="W8028" t="s">
        <v>42557</v>
      </c>
      <c r="X8028" t="s">
        <v>44775</v>
      </c>
    </row>
    <row r="8029" spans="1:24">
      <c r="A8029">
        <f>HYPERLINK("https://www.philgeps.gov.ph/GEPSNONPILOT/Tender/SplashBidNoticeAbstractUI.aspx?menuIndex=3&amp;refID=7136383&amp;Result=3","7136383")</f>
        <v>0</v>
      </c>
      <c r="B8029" t="s">
        <v>2657</v>
      </c>
      <c r="C8029" t="s">
        <v>11369</v>
      </c>
      <c r="D8029" t="s">
        <v>17998</v>
      </c>
      <c r="E8029" t="s">
        <v>25066</v>
      </c>
      <c r="F8029" t="s">
        <v>30900</v>
      </c>
      <c r="G8029" t="s">
        <v>30907</v>
      </c>
      <c r="H8029" t="s">
        <v>30916</v>
      </c>
      <c r="I8029" t="s">
        <v>8123</v>
      </c>
      <c r="J8029" t="s">
        <v>36123</v>
      </c>
      <c r="K8029" t="s">
        <v>40284</v>
      </c>
      <c r="M8029" t="s">
        <v>43426</v>
      </c>
      <c r="N8029" t="s">
        <v>44759</v>
      </c>
      <c r="O8029" t="s">
        <v>44760</v>
      </c>
      <c r="P8029">
        <v>0</v>
      </c>
      <c r="Q8029">
        <v>1</v>
      </c>
      <c r="R8029" t="s">
        <v>44768</v>
      </c>
      <c r="S8029" t="s">
        <v>44982</v>
      </c>
      <c r="T8029" t="s">
        <v>46445</v>
      </c>
      <c r="U8029" t="s">
        <v>53626</v>
      </c>
      <c r="W8029" t="s">
        <v>43426</v>
      </c>
      <c r="X8029" t="s">
        <v>44770</v>
      </c>
    </row>
    <row r="8030" spans="1:24">
      <c r="A8030">
        <f>HYPERLINK("https://www.philgeps.gov.ph/GEPSNONPILOT/Tender/SplashBidNoticeAbstractUI.aspx?menuIndex=3&amp;refID=7144704&amp;Result=3","7144704")</f>
        <v>0</v>
      </c>
      <c r="B8030" t="s">
        <v>1664</v>
      </c>
      <c r="C8030" t="s">
        <v>11370</v>
      </c>
      <c r="D8030" t="s">
        <v>17959</v>
      </c>
      <c r="E8030" t="s">
        <v>25067</v>
      </c>
      <c r="F8030" t="s">
        <v>30900</v>
      </c>
      <c r="G8030" t="s">
        <v>30910</v>
      </c>
      <c r="H8030" t="s">
        <v>30916</v>
      </c>
      <c r="I8030" t="s">
        <v>6396</v>
      </c>
      <c r="J8030" t="s">
        <v>34155</v>
      </c>
      <c r="K8030" t="s">
        <v>40289</v>
      </c>
      <c r="M8030" t="s">
        <v>42321</v>
      </c>
      <c r="N8030" t="s">
        <v>44759</v>
      </c>
      <c r="O8030" t="s">
        <v>44760</v>
      </c>
      <c r="P8030">
        <v>0</v>
      </c>
      <c r="Q8030">
        <v>19</v>
      </c>
      <c r="R8030" t="s">
        <v>44767</v>
      </c>
      <c r="S8030" t="s">
        <v>44954</v>
      </c>
      <c r="T8030" t="s">
        <v>46541</v>
      </c>
      <c r="U8030" t="s">
        <v>50662</v>
      </c>
      <c r="W8030" t="s">
        <v>42321</v>
      </c>
      <c r="X8030" t="s">
        <v>44768</v>
      </c>
    </row>
    <row r="8031" spans="1:24">
      <c r="A8031">
        <f>HYPERLINK("https://www.philgeps.gov.ph/GEPSNONPILOT/Tender/SplashBidNoticeAbstractUI.aspx?menuIndex=3&amp;refID=7145050&amp;Result=3","7145050")</f>
        <v>0</v>
      </c>
      <c r="B8031" t="s">
        <v>2624</v>
      </c>
      <c r="C8031" t="s">
        <v>11201</v>
      </c>
      <c r="D8031" t="s">
        <v>17959</v>
      </c>
      <c r="E8031" t="s">
        <v>24915</v>
      </c>
      <c r="F8031" t="s">
        <v>30900</v>
      </c>
      <c r="G8031" t="s">
        <v>30907</v>
      </c>
      <c r="H8031" t="s">
        <v>30916</v>
      </c>
      <c r="I8031" t="s">
        <v>4142</v>
      </c>
      <c r="J8031" t="s">
        <v>31101</v>
      </c>
      <c r="K8031" t="s">
        <v>40287</v>
      </c>
      <c r="M8031" t="s">
        <v>43388</v>
      </c>
      <c r="N8031" t="s">
        <v>44759</v>
      </c>
      <c r="O8031" t="s">
        <v>44760</v>
      </c>
      <c r="P8031">
        <v>0</v>
      </c>
      <c r="Q8031">
        <v>4</v>
      </c>
      <c r="R8031" t="s">
        <v>44767</v>
      </c>
      <c r="S8031" t="s">
        <v>44954</v>
      </c>
      <c r="T8031" t="s">
        <v>46548</v>
      </c>
      <c r="U8031" t="s">
        <v>53474</v>
      </c>
      <c r="W8031" t="s">
        <v>43388</v>
      </c>
      <c r="X8031" t="s">
        <v>44768</v>
      </c>
    </row>
    <row r="8032" spans="1:24">
      <c r="A8032">
        <f>HYPERLINK("https://www.philgeps.gov.ph/GEPSNONPILOT/Tender/SplashBidNoticeAbstractUI.aspx?menuIndex=3&amp;refID=7136233&amp;Result=3","7136233")</f>
        <v>0</v>
      </c>
      <c r="B8032" t="s">
        <v>73</v>
      </c>
      <c r="C8032" t="s">
        <v>11371</v>
      </c>
      <c r="D8032" t="s">
        <v>17983</v>
      </c>
      <c r="E8032" t="s">
        <v>25068</v>
      </c>
      <c r="F8032" t="s">
        <v>30900</v>
      </c>
      <c r="G8032" t="s">
        <v>30907</v>
      </c>
      <c r="H8032" t="s">
        <v>30916</v>
      </c>
      <c r="I8032" t="s">
        <v>4108</v>
      </c>
      <c r="J8032" t="s">
        <v>31183</v>
      </c>
      <c r="K8032" t="s">
        <v>40286</v>
      </c>
      <c r="M8032" t="s">
        <v>40620</v>
      </c>
      <c r="N8032" t="s">
        <v>44759</v>
      </c>
      <c r="O8032" t="s">
        <v>44760</v>
      </c>
      <c r="P8032">
        <v>0</v>
      </c>
      <c r="Q8032">
        <v>1</v>
      </c>
      <c r="R8032" t="s">
        <v>44768</v>
      </c>
      <c r="S8032" t="s">
        <v>44982</v>
      </c>
      <c r="T8032" t="s">
        <v>46658</v>
      </c>
      <c r="U8032" t="s">
        <v>53627</v>
      </c>
      <c r="W8032" t="s">
        <v>40620</v>
      </c>
      <c r="X8032" t="s">
        <v>44770</v>
      </c>
    </row>
    <row r="8033" spans="1:24">
      <c r="A8033">
        <f>HYPERLINK("https://www.philgeps.gov.ph/GEPSNONPILOT/Tender/SplashBidNoticeAbstractUI.aspx?menuIndex=3&amp;refID=7136140&amp;Result=3","7136140")</f>
        <v>0</v>
      </c>
      <c r="B8033" t="s">
        <v>2658</v>
      </c>
      <c r="C8033" t="s">
        <v>11372</v>
      </c>
      <c r="E8033" t="s">
        <v>19274</v>
      </c>
      <c r="F8033" t="s">
        <v>30900</v>
      </c>
      <c r="G8033" t="s">
        <v>30907</v>
      </c>
      <c r="H8033" t="s">
        <v>30915</v>
      </c>
      <c r="I8033" t="s">
        <v>30919</v>
      </c>
      <c r="J8033" t="s">
        <v>32244</v>
      </c>
      <c r="K8033" t="s">
        <v>40308</v>
      </c>
      <c r="M8033" t="s">
        <v>43427</v>
      </c>
      <c r="N8033" t="s">
        <v>44759</v>
      </c>
      <c r="O8033" t="s">
        <v>44760</v>
      </c>
      <c r="P8033">
        <v>0</v>
      </c>
      <c r="Q8033">
        <v>1</v>
      </c>
      <c r="R8033" t="s">
        <v>44768</v>
      </c>
      <c r="S8033" t="s">
        <v>44982</v>
      </c>
      <c r="T8033" t="s">
        <v>46383</v>
      </c>
      <c r="U8033" t="s">
        <v>53628</v>
      </c>
      <c r="W8033" t="s">
        <v>43427</v>
      </c>
      <c r="X8033" t="s">
        <v>44770</v>
      </c>
    </row>
    <row r="8034" spans="1:24">
      <c r="A8034">
        <f>HYPERLINK("https://www.philgeps.gov.ph/GEPSNONPILOT/Tender/SplashBidNoticeAbstractUI.aspx?menuIndex=3&amp;refID=7136348&amp;Result=3","7136348")</f>
        <v>0</v>
      </c>
      <c r="B8034" t="s">
        <v>2659</v>
      </c>
      <c r="C8034" t="s">
        <v>11373</v>
      </c>
      <c r="D8034" t="s">
        <v>17978</v>
      </c>
      <c r="E8034" t="s">
        <v>25069</v>
      </c>
      <c r="F8034" t="s">
        <v>30900</v>
      </c>
      <c r="G8034" t="s">
        <v>30907</v>
      </c>
      <c r="H8034" t="s">
        <v>30915</v>
      </c>
      <c r="I8034" t="s">
        <v>30919</v>
      </c>
      <c r="J8034" t="s">
        <v>31105</v>
      </c>
      <c r="K8034" t="s">
        <v>40293</v>
      </c>
      <c r="M8034" t="s">
        <v>43428</v>
      </c>
      <c r="N8034" t="s">
        <v>44759</v>
      </c>
      <c r="O8034" t="s">
        <v>44760</v>
      </c>
      <c r="P8034">
        <v>0</v>
      </c>
      <c r="Q8034">
        <v>0</v>
      </c>
      <c r="R8034" t="s">
        <v>44768</v>
      </c>
      <c r="S8034" t="s">
        <v>44982</v>
      </c>
      <c r="T8034" t="s">
        <v>46411</v>
      </c>
      <c r="U8034" t="s">
        <v>53629</v>
      </c>
      <c r="W8034" t="s">
        <v>43428</v>
      </c>
      <c r="X8034" t="s">
        <v>44770</v>
      </c>
    </row>
    <row r="8035" spans="1:24">
      <c r="A8035">
        <f>HYPERLINK("https://www.philgeps.gov.ph/GEPSNONPILOT/Tender/SplashBidNoticeAbstractUI.aspx?menuIndex=3&amp;refID=7135941&amp;Result=3","7135941")</f>
        <v>0</v>
      </c>
      <c r="B8035" t="s">
        <v>2660</v>
      </c>
      <c r="C8035" t="s">
        <v>11374</v>
      </c>
      <c r="D8035" t="s">
        <v>17954</v>
      </c>
      <c r="E8035" t="s">
        <v>25070</v>
      </c>
      <c r="F8035" t="s">
        <v>30900</v>
      </c>
      <c r="G8035" t="s">
        <v>30907</v>
      </c>
      <c r="H8035" t="s">
        <v>30916</v>
      </c>
      <c r="I8035" t="s">
        <v>30949</v>
      </c>
      <c r="J8035" t="s">
        <v>32176</v>
      </c>
      <c r="K8035" t="s">
        <v>40286</v>
      </c>
      <c r="M8035" t="s">
        <v>43429</v>
      </c>
      <c r="N8035" t="s">
        <v>44759</v>
      </c>
      <c r="O8035" t="s">
        <v>44760</v>
      </c>
      <c r="P8035">
        <v>0</v>
      </c>
      <c r="Q8035">
        <v>2</v>
      </c>
      <c r="R8035" t="s">
        <v>44768</v>
      </c>
      <c r="S8035" t="s">
        <v>44982</v>
      </c>
      <c r="T8035" t="s">
        <v>46515</v>
      </c>
      <c r="U8035" t="s">
        <v>53630</v>
      </c>
      <c r="W8035" t="s">
        <v>43429</v>
      </c>
      <c r="X8035" t="s">
        <v>44771</v>
      </c>
    </row>
    <row r="8036" spans="1:24">
      <c r="A8036">
        <f>HYPERLINK("https://www.philgeps.gov.ph/GEPSNONPILOT/Tender/SplashBidNoticeAbstractUI.aspx?menuIndex=3&amp;refID=7136243&amp;Result=3","7136243")</f>
        <v>0</v>
      </c>
      <c r="B8036" t="s">
        <v>42</v>
      </c>
      <c r="C8036" t="s">
        <v>8041</v>
      </c>
      <c r="D8036" t="s">
        <v>17967</v>
      </c>
      <c r="E8036" t="s">
        <v>19347</v>
      </c>
      <c r="F8036" t="s">
        <v>30900</v>
      </c>
      <c r="G8036" t="s">
        <v>30907</v>
      </c>
      <c r="H8036" t="s">
        <v>30916</v>
      </c>
      <c r="I8036" t="s">
        <v>8123</v>
      </c>
      <c r="J8036" t="s">
        <v>36124</v>
      </c>
      <c r="K8036" t="s">
        <v>40284</v>
      </c>
      <c r="M8036" t="s">
        <v>40588</v>
      </c>
      <c r="N8036" t="s">
        <v>44759</v>
      </c>
      <c r="O8036" t="s">
        <v>44760</v>
      </c>
      <c r="P8036">
        <v>0</v>
      </c>
      <c r="Q8036">
        <v>0</v>
      </c>
      <c r="R8036" t="s">
        <v>44768</v>
      </c>
      <c r="S8036" t="s">
        <v>44982</v>
      </c>
      <c r="T8036" t="s">
        <v>46403</v>
      </c>
      <c r="U8036" t="s">
        <v>53631</v>
      </c>
      <c r="W8036" t="s">
        <v>40588</v>
      </c>
      <c r="X8036" t="s">
        <v>44770</v>
      </c>
    </row>
    <row r="8037" spans="1:24">
      <c r="A8037">
        <f>HYPERLINK("https://www.philgeps.gov.ph/GEPSNONPILOT/Tender/SplashBidNoticeAbstractUI.aspx?menuIndex=3&amp;refID=7135945&amp;Result=3","7135945")</f>
        <v>0</v>
      </c>
      <c r="B8037" t="s">
        <v>2660</v>
      </c>
      <c r="C8037" t="s">
        <v>11375</v>
      </c>
      <c r="D8037" t="s">
        <v>17954</v>
      </c>
      <c r="E8037" t="s">
        <v>25071</v>
      </c>
      <c r="F8037" t="s">
        <v>30900</v>
      </c>
      <c r="G8037" t="s">
        <v>30907</v>
      </c>
      <c r="H8037" t="s">
        <v>30916</v>
      </c>
      <c r="I8037" t="s">
        <v>30949</v>
      </c>
      <c r="J8037" t="s">
        <v>31788</v>
      </c>
      <c r="K8037" t="s">
        <v>40286</v>
      </c>
      <c r="M8037" t="s">
        <v>43429</v>
      </c>
      <c r="N8037" t="s">
        <v>44759</v>
      </c>
      <c r="O8037" t="s">
        <v>44760</v>
      </c>
      <c r="P8037">
        <v>0</v>
      </c>
      <c r="Q8037">
        <v>2</v>
      </c>
      <c r="R8037" t="s">
        <v>44768</v>
      </c>
      <c r="S8037" t="s">
        <v>44982</v>
      </c>
      <c r="T8037" t="s">
        <v>46515</v>
      </c>
      <c r="U8037" t="s">
        <v>53632</v>
      </c>
      <c r="W8037" t="s">
        <v>43429</v>
      </c>
      <c r="X8037" t="s">
        <v>44771</v>
      </c>
    </row>
    <row r="8038" spans="1:24">
      <c r="A8038">
        <f>HYPERLINK("https://www.philgeps.gov.ph/GEPSNONPILOT/Tender/SplashBidNoticeAbstractUI.aspx?menuIndex=3&amp;refID=7125156&amp;Result=3","7125156")</f>
        <v>0</v>
      </c>
      <c r="B8038" t="s">
        <v>1606</v>
      </c>
      <c r="C8038" t="s">
        <v>11376</v>
      </c>
      <c r="D8038" t="s">
        <v>17984</v>
      </c>
      <c r="E8038" t="s">
        <v>25072</v>
      </c>
      <c r="F8038" t="s">
        <v>30900</v>
      </c>
      <c r="G8038" t="s">
        <v>30907</v>
      </c>
      <c r="H8038" t="s">
        <v>30915</v>
      </c>
      <c r="I8038" t="s">
        <v>30919</v>
      </c>
      <c r="J8038" t="s">
        <v>36125</v>
      </c>
      <c r="K8038" t="s">
        <v>40315</v>
      </c>
      <c r="M8038" t="s">
        <v>42256</v>
      </c>
      <c r="N8038" t="s">
        <v>44759</v>
      </c>
      <c r="O8038" t="s">
        <v>44760</v>
      </c>
      <c r="P8038">
        <v>0</v>
      </c>
      <c r="Q8038">
        <v>3</v>
      </c>
      <c r="R8038" t="s">
        <v>44768</v>
      </c>
      <c r="S8038" t="s">
        <v>44982</v>
      </c>
      <c r="T8038" t="s">
        <v>46606</v>
      </c>
      <c r="U8038" t="s">
        <v>53633</v>
      </c>
      <c r="W8038" t="s">
        <v>42256</v>
      </c>
      <c r="X8038" t="s">
        <v>44776</v>
      </c>
    </row>
    <row r="8039" spans="1:24">
      <c r="A8039">
        <f>HYPERLINK("https://www.philgeps.gov.ph/GEPSNONPILOT/Tender/SplashBidNoticeAbstractUI.aspx?menuIndex=3&amp;refID=7135922&amp;Result=3","7135922")</f>
        <v>0</v>
      </c>
      <c r="B8039" t="s">
        <v>2660</v>
      </c>
      <c r="C8039" t="s">
        <v>11377</v>
      </c>
      <c r="D8039" t="s">
        <v>17954</v>
      </c>
      <c r="E8039" t="s">
        <v>25073</v>
      </c>
      <c r="F8039" t="s">
        <v>30900</v>
      </c>
      <c r="G8039" t="s">
        <v>30907</v>
      </c>
      <c r="H8039" t="s">
        <v>30916</v>
      </c>
      <c r="I8039" t="s">
        <v>30960</v>
      </c>
      <c r="J8039" t="s">
        <v>36126</v>
      </c>
      <c r="K8039" t="s">
        <v>40286</v>
      </c>
      <c r="M8039" t="s">
        <v>43429</v>
      </c>
      <c r="N8039" t="s">
        <v>44759</v>
      </c>
      <c r="O8039" t="s">
        <v>44760</v>
      </c>
      <c r="P8039">
        <v>0</v>
      </c>
      <c r="Q8039">
        <v>5</v>
      </c>
      <c r="R8039" t="s">
        <v>44768</v>
      </c>
      <c r="S8039" t="s">
        <v>44982</v>
      </c>
      <c r="T8039" t="s">
        <v>46515</v>
      </c>
      <c r="U8039" t="s">
        <v>53634</v>
      </c>
      <c r="W8039" t="s">
        <v>43429</v>
      </c>
      <c r="X8039" t="s">
        <v>44771</v>
      </c>
    </row>
    <row r="8040" spans="1:24">
      <c r="A8040">
        <f>HYPERLINK("https://www.philgeps.gov.ph/GEPSNONPILOT/Tender/SplashBidNoticeAbstractUI.aspx?menuIndex=3&amp;refID=7130442&amp;Result=3","7130442")</f>
        <v>0</v>
      </c>
      <c r="B8040" t="s">
        <v>2036</v>
      </c>
      <c r="C8040" t="s">
        <v>11378</v>
      </c>
      <c r="D8040" t="s">
        <v>17959</v>
      </c>
      <c r="E8040" t="s">
        <v>25074</v>
      </c>
      <c r="F8040" t="s">
        <v>30900</v>
      </c>
      <c r="G8040" t="s">
        <v>30913</v>
      </c>
      <c r="H8040" t="s">
        <v>30916</v>
      </c>
      <c r="I8040" t="s">
        <v>30934</v>
      </c>
      <c r="J8040" t="s">
        <v>36127</v>
      </c>
      <c r="K8040" t="s">
        <v>40286</v>
      </c>
      <c r="M8040" t="s">
        <v>43430</v>
      </c>
      <c r="N8040" t="s">
        <v>44759</v>
      </c>
      <c r="O8040" t="s">
        <v>44760</v>
      </c>
      <c r="P8040">
        <v>0</v>
      </c>
      <c r="Q8040">
        <v>17</v>
      </c>
      <c r="R8040" t="s">
        <v>44768</v>
      </c>
      <c r="S8040" t="s">
        <v>44982</v>
      </c>
      <c r="T8040" t="s">
        <v>46495</v>
      </c>
      <c r="U8040" t="s">
        <v>53635</v>
      </c>
      <c r="W8040" t="s">
        <v>43430</v>
      </c>
      <c r="X8040" t="s">
        <v>44774</v>
      </c>
    </row>
    <row r="8041" spans="1:24">
      <c r="A8041">
        <f>HYPERLINK("https://www.philgeps.gov.ph/GEPSNONPILOT/Tender/SplashBidNoticeAbstractUI.aspx?menuIndex=3&amp;refID=7135858&amp;Result=3","7135858")</f>
        <v>0</v>
      </c>
      <c r="B8041" t="s">
        <v>1275</v>
      </c>
      <c r="C8041" t="s">
        <v>11379</v>
      </c>
      <c r="D8041" t="s">
        <v>17980</v>
      </c>
      <c r="E8041" t="s">
        <v>25075</v>
      </c>
      <c r="F8041" t="s">
        <v>30900</v>
      </c>
      <c r="G8041" t="s">
        <v>30907</v>
      </c>
      <c r="H8041" t="s">
        <v>30915</v>
      </c>
      <c r="I8041" t="s">
        <v>30919</v>
      </c>
      <c r="J8041" t="s">
        <v>36128</v>
      </c>
      <c r="K8041" t="s">
        <v>40280</v>
      </c>
      <c r="M8041" t="s">
        <v>41891</v>
      </c>
      <c r="N8041" t="s">
        <v>44759</v>
      </c>
      <c r="O8041" t="s">
        <v>44760</v>
      </c>
      <c r="P8041">
        <v>0</v>
      </c>
      <c r="Q8041">
        <v>0</v>
      </c>
      <c r="R8041" t="s">
        <v>44768</v>
      </c>
      <c r="S8041" t="s">
        <v>44982</v>
      </c>
      <c r="T8041" t="s">
        <v>46658</v>
      </c>
      <c r="U8041" t="s">
        <v>53636</v>
      </c>
      <c r="W8041" t="s">
        <v>41891</v>
      </c>
      <c r="X8041" t="s">
        <v>44771</v>
      </c>
    </row>
    <row r="8042" spans="1:24">
      <c r="A8042">
        <f>HYPERLINK("https://www.philgeps.gov.ph/GEPSNONPILOT/Tender/SplashBidNoticeAbstractUI.aspx?menuIndex=3&amp;refID=7135855&amp;Result=3","7135855")</f>
        <v>0</v>
      </c>
      <c r="B8042" t="s">
        <v>1275</v>
      </c>
      <c r="C8042" t="s">
        <v>11380</v>
      </c>
      <c r="D8042" t="s">
        <v>17980</v>
      </c>
      <c r="E8042" t="s">
        <v>25076</v>
      </c>
      <c r="F8042" t="s">
        <v>30900</v>
      </c>
      <c r="G8042" t="s">
        <v>30907</v>
      </c>
      <c r="H8042" t="s">
        <v>30915</v>
      </c>
      <c r="I8042" t="s">
        <v>30919</v>
      </c>
      <c r="J8042" t="s">
        <v>36129</v>
      </c>
      <c r="K8042" t="s">
        <v>40292</v>
      </c>
      <c r="M8042" t="s">
        <v>41891</v>
      </c>
      <c r="N8042" t="s">
        <v>44759</v>
      </c>
      <c r="O8042" t="s">
        <v>44760</v>
      </c>
      <c r="P8042">
        <v>0</v>
      </c>
      <c r="Q8042">
        <v>0</v>
      </c>
      <c r="R8042" t="s">
        <v>44768</v>
      </c>
      <c r="S8042" t="s">
        <v>44982</v>
      </c>
      <c r="T8042" t="s">
        <v>46658</v>
      </c>
      <c r="U8042" t="s">
        <v>53637</v>
      </c>
      <c r="W8042" t="s">
        <v>41891</v>
      </c>
      <c r="X8042" t="s">
        <v>44771</v>
      </c>
    </row>
    <row r="8043" spans="1:24">
      <c r="A8043">
        <f>HYPERLINK("https://www.philgeps.gov.ph/GEPSNONPILOT/Tender/SplashBidNoticeAbstractUI.aspx?menuIndex=3&amp;refID=7135851&amp;Result=3","7135851")</f>
        <v>0</v>
      </c>
      <c r="B8043" t="s">
        <v>1275</v>
      </c>
      <c r="C8043" t="s">
        <v>11381</v>
      </c>
      <c r="D8043" t="s">
        <v>17980</v>
      </c>
      <c r="E8043" t="s">
        <v>25077</v>
      </c>
      <c r="F8043" t="s">
        <v>30900</v>
      </c>
      <c r="G8043" t="s">
        <v>30907</v>
      </c>
      <c r="H8043" t="s">
        <v>30915</v>
      </c>
      <c r="I8043" t="s">
        <v>30919</v>
      </c>
      <c r="J8043" t="s">
        <v>36130</v>
      </c>
      <c r="K8043" t="s">
        <v>40280</v>
      </c>
      <c r="M8043" t="s">
        <v>41891</v>
      </c>
      <c r="N8043" t="s">
        <v>44759</v>
      </c>
      <c r="O8043" t="s">
        <v>44760</v>
      </c>
      <c r="P8043">
        <v>0</v>
      </c>
      <c r="Q8043">
        <v>0</v>
      </c>
      <c r="R8043" t="s">
        <v>44768</v>
      </c>
      <c r="S8043" t="s">
        <v>44982</v>
      </c>
      <c r="T8043" t="s">
        <v>46658</v>
      </c>
      <c r="U8043" t="s">
        <v>53638</v>
      </c>
      <c r="W8043" t="s">
        <v>41891</v>
      </c>
      <c r="X8043" t="s">
        <v>44771</v>
      </c>
    </row>
    <row r="8044" spans="1:24">
      <c r="A8044">
        <f>HYPERLINK("https://www.philgeps.gov.ph/GEPSNONPILOT/Tender/SplashBidNoticeAbstractUI.aspx?menuIndex=3&amp;refID=7135019&amp;Result=3","7135019")</f>
        <v>0</v>
      </c>
      <c r="B8044" t="s">
        <v>2222</v>
      </c>
      <c r="C8044" t="s">
        <v>11382</v>
      </c>
      <c r="D8044" t="s">
        <v>17955</v>
      </c>
      <c r="E8044" t="s">
        <v>22452</v>
      </c>
      <c r="F8044" t="s">
        <v>30900</v>
      </c>
      <c r="G8044" t="s">
        <v>30907</v>
      </c>
      <c r="H8044" t="s">
        <v>30916</v>
      </c>
      <c r="I8044" t="s">
        <v>30923</v>
      </c>
      <c r="J8044" t="s">
        <v>36131</v>
      </c>
      <c r="K8044" t="s">
        <v>40289</v>
      </c>
      <c r="M8044" t="s">
        <v>42931</v>
      </c>
      <c r="N8044" t="s">
        <v>44759</v>
      </c>
      <c r="O8044" t="s">
        <v>44760</v>
      </c>
      <c r="P8044">
        <v>0</v>
      </c>
      <c r="Q8044">
        <v>8</v>
      </c>
      <c r="R8044" t="s">
        <v>44768</v>
      </c>
      <c r="S8044" t="s">
        <v>44982</v>
      </c>
      <c r="T8044" t="s">
        <v>46470</v>
      </c>
      <c r="U8044" t="s">
        <v>53639</v>
      </c>
      <c r="W8044" t="s">
        <v>42931</v>
      </c>
      <c r="X8044" t="s">
        <v>44773</v>
      </c>
    </row>
    <row r="8045" spans="1:24">
      <c r="A8045">
        <f>HYPERLINK("https://www.philgeps.gov.ph/GEPSNONPILOT/Tender/SplashBidNoticeAbstractUI.aspx?menuIndex=3&amp;refID=7135909&amp;Result=3","7135909")</f>
        <v>0</v>
      </c>
      <c r="B8045" t="s">
        <v>2660</v>
      </c>
      <c r="C8045" t="s">
        <v>11383</v>
      </c>
      <c r="D8045" t="s">
        <v>17954</v>
      </c>
      <c r="E8045" t="s">
        <v>25078</v>
      </c>
      <c r="F8045" t="s">
        <v>30900</v>
      </c>
      <c r="G8045" t="s">
        <v>30907</v>
      </c>
      <c r="H8045" t="s">
        <v>30916</v>
      </c>
      <c r="I8045" t="s">
        <v>5501</v>
      </c>
      <c r="J8045" t="s">
        <v>36132</v>
      </c>
      <c r="K8045" t="s">
        <v>40286</v>
      </c>
      <c r="M8045" t="s">
        <v>43429</v>
      </c>
      <c r="N8045" t="s">
        <v>44759</v>
      </c>
      <c r="O8045" t="s">
        <v>44760</v>
      </c>
      <c r="P8045">
        <v>0</v>
      </c>
      <c r="Q8045">
        <v>6</v>
      </c>
      <c r="R8045" t="s">
        <v>44768</v>
      </c>
      <c r="S8045" t="s">
        <v>44982</v>
      </c>
      <c r="T8045" t="s">
        <v>46515</v>
      </c>
      <c r="U8045" t="s">
        <v>53640</v>
      </c>
      <c r="W8045" t="s">
        <v>43429</v>
      </c>
      <c r="X8045" t="s">
        <v>44771</v>
      </c>
    </row>
    <row r="8046" spans="1:24">
      <c r="A8046">
        <f>HYPERLINK("https://www.philgeps.gov.ph/GEPSNONPILOT/Tender/SplashBidNoticeAbstractUI.aspx?menuIndex=3&amp;refID=7144703&amp;Result=3","7144703")</f>
        <v>0</v>
      </c>
      <c r="B8046" t="s">
        <v>2263</v>
      </c>
      <c r="C8046" t="s">
        <v>11384</v>
      </c>
      <c r="D8046" t="s">
        <v>17966</v>
      </c>
      <c r="E8046" t="s">
        <v>25079</v>
      </c>
      <c r="F8046" t="s">
        <v>30900</v>
      </c>
      <c r="G8046" t="s">
        <v>30907</v>
      </c>
      <c r="H8046" t="s">
        <v>30916</v>
      </c>
      <c r="I8046" t="s">
        <v>10879</v>
      </c>
      <c r="J8046" t="s">
        <v>35937</v>
      </c>
      <c r="K8046" t="s">
        <v>40294</v>
      </c>
      <c r="L8046" t="s">
        <v>2263</v>
      </c>
      <c r="M8046" t="s">
        <v>42975</v>
      </c>
      <c r="N8046" t="s">
        <v>44759</v>
      </c>
      <c r="O8046" t="s">
        <v>44760</v>
      </c>
      <c r="P8046">
        <v>0</v>
      </c>
      <c r="Q8046">
        <v>0</v>
      </c>
      <c r="R8046" t="s">
        <v>44767</v>
      </c>
      <c r="S8046" t="s">
        <v>44954</v>
      </c>
      <c r="T8046" t="s">
        <v>46533</v>
      </c>
      <c r="U8046" t="s">
        <v>53641</v>
      </c>
      <c r="W8046" t="s">
        <v>42975</v>
      </c>
      <c r="X8046" t="s">
        <v>44768</v>
      </c>
    </row>
    <row r="8047" spans="1:24">
      <c r="A8047">
        <f>HYPERLINK("https://www.philgeps.gov.ph/GEPSNONPILOT/Tender/SplashBidNoticeAbstractUI.aspx?menuIndex=3&amp;refID=7135859&amp;Result=3","7135859")</f>
        <v>0</v>
      </c>
      <c r="B8047" t="s">
        <v>1211</v>
      </c>
      <c r="C8047" t="s">
        <v>11385</v>
      </c>
      <c r="D8047" t="s">
        <v>17980</v>
      </c>
      <c r="E8047" t="s">
        <v>25080</v>
      </c>
      <c r="F8047" t="s">
        <v>30900</v>
      </c>
      <c r="G8047" t="s">
        <v>30907</v>
      </c>
      <c r="H8047" t="s">
        <v>30916</v>
      </c>
      <c r="I8047" t="s">
        <v>30992</v>
      </c>
      <c r="J8047" t="s">
        <v>31897</v>
      </c>
      <c r="K8047" t="s">
        <v>40304</v>
      </c>
      <c r="M8047" t="s">
        <v>41822</v>
      </c>
      <c r="N8047" t="s">
        <v>44759</v>
      </c>
      <c r="O8047" t="s">
        <v>44760</v>
      </c>
      <c r="P8047">
        <v>0</v>
      </c>
      <c r="Q8047">
        <v>6</v>
      </c>
      <c r="R8047" t="s">
        <v>44768</v>
      </c>
      <c r="S8047" t="s">
        <v>44982</v>
      </c>
      <c r="T8047" t="s">
        <v>46370</v>
      </c>
      <c r="U8047" t="s">
        <v>53642</v>
      </c>
      <c r="V8047" t="s">
        <v>59982</v>
      </c>
      <c r="W8047" t="s">
        <v>41822</v>
      </c>
      <c r="X8047" t="s">
        <v>44771</v>
      </c>
    </row>
    <row r="8048" spans="1:24">
      <c r="A8048">
        <f>HYPERLINK("https://www.philgeps.gov.ph/GEPSNONPILOT/Tender/SplashBidNoticeAbstractUI.aspx?menuIndex=3&amp;refID=7144702&amp;Result=3","7144702")</f>
        <v>0</v>
      </c>
      <c r="B8048" t="s">
        <v>2570</v>
      </c>
      <c r="C8048" t="s">
        <v>11386</v>
      </c>
      <c r="D8048" t="s">
        <v>17993</v>
      </c>
      <c r="E8048" t="s">
        <v>25081</v>
      </c>
      <c r="F8048" t="s">
        <v>30900</v>
      </c>
      <c r="G8048" t="s">
        <v>30907</v>
      </c>
      <c r="H8048" t="s">
        <v>30915</v>
      </c>
      <c r="I8048" t="s">
        <v>30971</v>
      </c>
      <c r="J8048" t="s">
        <v>36133</v>
      </c>
      <c r="K8048" t="s">
        <v>40293</v>
      </c>
      <c r="M8048" t="s">
        <v>43329</v>
      </c>
      <c r="N8048" t="s">
        <v>44759</v>
      </c>
      <c r="O8048" t="s">
        <v>44760</v>
      </c>
      <c r="P8048">
        <v>0</v>
      </c>
      <c r="Q8048">
        <v>1</v>
      </c>
      <c r="R8048" t="s">
        <v>44767</v>
      </c>
      <c r="S8048" t="s">
        <v>44954</v>
      </c>
      <c r="T8048" t="s">
        <v>46654</v>
      </c>
      <c r="U8048" t="s">
        <v>53643</v>
      </c>
      <c r="W8048" t="s">
        <v>43329</v>
      </c>
      <c r="X8048" t="s">
        <v>44768</v>
      </c>
    </row>
    <row r="8049" spans="1:24">
      <c r="A8049">
        <f>HYPERLINK("https://www.philgeps.gov.ph/GEPSNONPILOT/Tender/SplashBidNoticeAbstractUI.aspx?menuIndex=3&amp;refID=7134994&amp;Result=3","7134994")</f>
        <v>0</v>
      </c>
      <c r="B8049" t="s">
        <v>2222</v>
      </c>
      <c r="C8049" t="s">
        <v>11387</v>
      </c>
      <c r="D8049" t="s">
        <v>17955</v>
      </c>
      <c r="E8049" t="s">
        <v>25082</v>
      </c>
      <c r="F8049" t="s">
        <v>30900</v>
      </c>
      <c r="G8049" t="s">
        <v>30907</v>
      </c>
      <c r="H8049" t="s">
        <v>30915</v>
      </c>
      <c r="I8049" t="s">
        <v>30919</v>
      </c>
      <c r="J8049" t="s">
        <v>36134</v>
      </c>
      <c r="K8049" t="s">
        <v>40289</v>
      </c>
      <c r="M8049" t="s">
        <v>42931</v>
      </c>
      <c r="N8049" t="s">
        <v>44759</v>
      </c>
      <c r="O8049" t="s">
        <v>44760</v>
      </c>
      <c r="P8049">
        <v>0</v>
      </c>
      <c r="Q8049">
        <v>2</v>
      </c>
      <c r="R8049" t="s">
        <v>44768</v>
      </c>
      <c r="S8049" t="s">
        <v>44982</v>
      </c>
      <c r="T8049" t="s">
        <v>46644</v>
      </c>
      <c r="U8049" t="s">
        <v>53644</v>
      </c>
      <c r="W8049" t="s">
        <v>42931</v>
      </c>
      <c r="X8049" t="s">
        <v>44773</v>
      </c>
    </row>
    <row r="8050" spans="1:24">
      <c r="A8050">
        <f>HYPERLINK("https://www.philgeps.gov.ph/GEPSNONPILOT/Tender/SplashBidNoticeAbstractUI.aspx?menuIndex=3&amp;refID=7136098&amp;Result=3","7136098")</f>
        <v>0</v>
      </c>
      <c r="B8050" t="s">
        <v>2661</v>
      </c>
      <c r="C8050" t="s">
        <v>11388</v>
      </c>
      <c r="D8050" t="s">
        <v>18025</v>
      </c>
      <c r="E8050" t="s">
        <v>25083</v>
      </c>
      <c r="F8050" t="s">
        <v>30900</v>
      </c>
      <c r="G8050" t="s">
        <v>30908</v>
      </c>
      <c r="H8050" t="s">
        <v>7411</v>
      </c>
      <c r="I8050" t="s">
        <v>7411</v>
      </c>
      <c r="J8050" t="s">
        <v>31341</v>
      </c>
      <c r="K8050" t="s">
        <v>40286</v>
      </c>
      <c r="M8050" t="s">
        <v>43431</v>
      </c>
      <c r="N8050" t="s">
        <v>44759</v>
      </c>
      <c r="O8050" t="s">
        <v>44760</v>
      </c>
      <c r="Q8050">
        <v>7</v>
      </c>
      <c r="R8050" t="s">
        <v>44768</v>
      </c>
      <c r="S8050" t="s">
        <v>44987</v>
      </c>
      <c r="T8050" t="s">
        <v>46470</v>
      </c>
      <c r="U8050" t="s">
        <v>53645</v>
      </c>
      <c r="V8050" t="s">
        <v>59379</v>
      </c>
      <c r="W8050" t="s">
        <v>43431</v>
      </c>
      <c r="X8050" t="s">
        <v>44770</v>
      </c>
    </row>
    <row r="8051" spans="1:24">
      <c r="A8051">
        <f>HYPERLINK("https://www.philgeps.gov.ph/GEPSNONPILOT/Tender/SplashBidNoticeAbstractUI.aspx?menuIndex=3&amp;refID=7144693&amp;Result=3","7144693")</f>
        <v>0</v>
      </c>
      <c r="B8051" t="s">
        <v>2662</v>
      </c>
      <c r="C8051" t="s">
        <v>4678</v>
      </c>
      <c r="D8051" t="s">
        <v>17978</v>
      </c>
      <c r="E8051" t="s">
        <v>25084</v>
      </c>
      <c r="F8051" t="s">
        <v>30900</v>
      </c>
      <c r="G8051" t="s">
        <v>30907</v>
      </c>
      <c r="H8051" t="s">
        <v>30915</v>
      </c>
      <c r="I8051" t="s">
        <v>30919</v>
      </c>
      <c r="J8051" t="s">
        <v>31152</v>
      </c>
      <c r="K8051" t="s">
        <v>40280</v>
      </c>
      <c r="M8051" t="s">
        <v>43432</v>
      </c>
      <c r="N8051" t="s">
        <v>44759</v>
      </c>
      <c r="O8051" t="s">
        <v>44760</v>
      </c>
      <c r="P8051">
        <v>0</v>
      </c>
      <c r="Q8051">
        <v>1</v>
      </c>
      <c r="R8051" t="s">
        <v>44767</v>
      </c>
      <c r="S8051" t="s">
        <v>44954</v>
      </c>
      <c r="T8051" t="s">
        <v>46455</v>
      </c>
      <c r="U8051" t="s">
        <v>53646</v>
      </c>
      <c r="W8051" t="s">
        <v>43432</v>
      </c>
      <c r="X8051" t="s">
        <v>44768</v>
      </c>
    </row>
    <row r="8052" spans="1:24">
      <c r="A8052">
        <f>HYPERLINK("https://www.philgeps.gov.ph/GEPSNONPILOT/Tender/SplashBidNoticeAbstractUI.aspx?menuIndex=3&amp;refID=7144669&amp;Result=3","7144669")</f>
        <v>0</v>
      </c>
      <c r="B8052" t="s">
        <v>2576</v>
      </c>
      <c r="C8052" t="s">
        <v>11389</v>
      </c>
      <c r="D8052" t="s">
        <v>17973</v>
      </c>
      <c r="E8052" t="s">
        <v>20576</v>
      </c>
      <c r="F8052" t="s">
        <v>30900</v>
      </c>
      <c r="G8052" t="s">
        <v>30908</v>
      </c>
      <c r="H8052" t="s">
        <v>30916</v>
      </c>
      <c r="I8052" t="s">
        <v>30924</v>
      </c>
      <c r="J8052" t="s">
        <v>31048</v>
      </c>
      <c r="K8052" t="s">
        <v>40289</v>
      </c>
      <c r="M8052" t="s">
        <v>43335</v>
      </c>
      <c r="N8052" t="s">
        <v>44759</v>
      </c>
      <c r="O8052" t="s">
        <v>44760</v>
      </c>
      <c r="P8052">
        <v>0</v>
      </c>
      <c r="Q8052">
        <v>3</v>
      </c>
      <c r="R8052" t="s">
        <v>44767</v>
      </c>
      <c r="S8052" t="s">
        <v>44954</v>
      </c>
      <c r="T8052" t="s">
        <v>46625</v>
      </c>
      <c r="U8052" t="s">
        <v>53647</v>
      </c>
      <c r="W8052" t="s">
        <v>43335</v>
      </c>
      <c r="X8052" t="s">
        <v>44768</v>
      </c>
    </row>
    <row r="8053" spans="1:24">
      <c r="A8053">
        <f>HYPERLINK("https://www.philgeps.gov.ph/GEPSNONPILOT/Tender/SplashBidNoticeAbstractUI.aspx?menuIndex=3&amp;refID=7144699&amp;Result=3","7144699")</f>
        <v>0</v>
      </c>
      <c r="B8053" t="s">
        <v>1888</v>
      </c>
      <c r="C8053" t="s">
        <v>11390</v>
      </c>
      <c r="D8053" t="s">
        <v>18033</v>
      </c>
      <c r="E8053" t="s">
        <v>25085</v>
      </c>
      <c r="F8053" t="s">
        <v>30900</v>
      </c>
      <c r="G8053" t="s">
        <v>30908</v>
      </c>
      <c r="H8053" t="s">
        <v>30917</v>
      </c>
      <c r="I8053" t="s">
        <v>7411</v>
      </c>
      <c r="J8053" t="s">
        <v>31105</v>
      </c>
      <c r="K8053" t="s">
        <v>40280</v>
      </c>
      <c r="M8053" t="s">
        <v>42563</v>
      </c>
      <c r="N8053" t="s">
        <v>44759</v>
      </c>
      <c r="O8053" t="s">
        <v>44760</v>
      </c>
      <c r="P8053">
        <v>0</v>
      </c>
      <c r="Q8053">
        <v>2</v>
      </c>
      <c r="R8053" t="s">
        <v>44767</v>
      </c>
      <c r="S8053" t="s">
        <v>44954</v>
      </c>
      <c r="T8053" t="s">
        <v>46383</v>
      </c>
      <c r="U8053" t="s">
        <v>53648</v>
      </c>
      <c r="W8053" t="s">
        <v>42563</v>
      </c>
      <c r="X8053" t="s">
        <v>44768</v>
      </c>
    </row>
    <row r="8054" spans="1:24">
      <c r="A8054">
        <f>HYPERLINK("https://www.philgeps.gov.ph/GEPSNONPILOT/Tender/SplashBidNoticeAbstractUI.aspx?menuIndex=3&amp;refID=7135009&amp;Result=3","7135009")</f>
        <v>0</v>
      </c>
      <c r="B8054" t="s">
        <v>2222</v>
      </c>
      <c r="C8054" t="s">
        <v>11391</v>
      </c>
      <c r="D8054" t="s">
        <v>17955</v>
      </c>
      <c r="E8054" t="s">
        <v>22453</v>
      </c>
      <c r="F8054" t="s">
        <v>30900</v>
      </c>
      <c r="G8054" t="s">
        <v>30907</v>
      </c>
      <c r="H8054" t="s">
        <v>30915</v>
      </c>
      <c r="I8054" t="s">
        <v>30919</v>
      </c>
      <c r="J8054" t="s">
        <v>36135</v>
      </c>
      <c r="K8054" t="s">
        <v>40289</v>
      </c>
      <c r="M8054" t="s">
        <v>42931</v>
      </c>
      <c r="N8054" t="s">
        <v>44759</v>
      </c>
      <c r="O8054" t="s">
        <v>44760</v>
      </c>
      <c r="P8054">
        <v>0</v>
      </c>
      <c r="Q8054">
        <v>2</v>
      </c>
      <c r="R8054" t="s">
        <v>44768</v>
      </c>
      <c r="S8054" t="s">
        <v>44982</v>
      </c>
      <c r="T8054" t="s">
        <v>46449</v>
      </c>
      <c r="U8054" t="s">
        <v>53649</v>
      </c>
      <c r="W8054" t="s">
        <v>42931</v>
      </c>
      <c r="X8054" t="s">
        <v>44773</v>
      </c>
    </row>
    <row r="8055" spans="1:24">
      <c r="A8055">
        <f>HYPERLINK("https://www.philgeps.gov.ph/GEPSNONPILOT/Tender/SplashBidNoticeAbstractUI.aspx?menuIndex=3&amp;refID=7144665&amp;Result=3","7144665")</f>
        <v>0</v>
      </c>
      <c r="B8055" t="s">
        <v>259</v>
      </c>
      <c r="C8055" t="s">
        <v>11392</v>
      </c>
      <c r="D8055" t="s">
        <v>17981</v>
      </c>
      <c r="E8055" t="s">
        <v>25086</v>
      </c>
      <c r="F8055" t="s">
        <v>30900</v>
      </c>
      <c r="G8055" t="s">
        <v>30908</v>
      </c>
      <c r="H8055" t="s">
        <v>30916</v>
      </c>
      <c r="I8055" t="s">
        <v>30955</v>
      </c>
      <c r="J8055" t="s">
        <v>31451</v>
      </c>
      <c r="K8055" t="s">
        <v>40286</v>
      </c>
      <c r="M8055" t="s">
        <v>40806</v>
      </c>
      <c r="N8055" t="s">
        <v>44759</v>
      </c>
      <c r="O8055" t="s">
        <v>44760</v>
      </c>
      <c r="P8055">
        <v>0</v>
      </c>
      <c r="Q8055">
        <v>0</v>
      </c>
      <c r="R8055" t="s">
        <v>44767</v>
      </c>
      <c r="S8055" t="s">
        <v>44954</v>
      </c>
      <c r="T8055" t="s">
        <v>46662</v>
      </c>
      <c r="U8055" t="s">
        <v>53650</v>
      </c>
      <c r="W8055" t="s">
        <v>40806</v>
      </c>
      <c r="X8055" t="s">
        <v>44768</v>
      </c>
    </row>
    <row r="8056" spans="1:24">
      <c r="A8056">
        <f>HYPERLINK("https://www.philgeps.gov.ph/GEPSNONPILOT/Tender/SplashBidNoticeAbstractUI.aspx?menuIndex=3&amp;refID=7144663&amp;Result=3","7144663")</f>
        <v>0</v>
      </c>
      <c r="B8056" t="s">
        <v>2263</v>
      </c>
      <c r="C8056" t="s">
        <v>11393</v>
      </c>
      <c r="D8056" t="s">
        <v>17966</v>
      </c>
      <c r="E8056" t="s">
        <v>25087</v>
      </c>
      <c r="F8056" t="s">
        <v>30900</v>
      </c>
      <c r="G8056" t="s">
        <v>30907</v>
      </c>
      <c r="H8056" t="s">
        <v>30916</v>
      </c>
      <c r="I8056" t="s">
        <v>4965</v>
      </c>
      <c r="J8056" t="s">
        <v>35953</v>
      </c>
      <c r="K8056" t="s">
        <v>40315</v>
      </c>
      <c r="L8056" t="s">
        <v>2263</v>
      </c>
      <c r="M8056" t="s">
        <v>42975</v>
      </c>
      <c r="N8056" t="s">
        <v>44759</v>
      </c>
      <c r="O8056" t="s">
        <v>44760</v>
      </c>
      <c r="P8056">
        <v>0</v>
      </c>
      <c r="Q8056">
        <v>1</v>
      </c>
      <c r="R8056" t="s">
        <v>44767</v>
      </c>
      <c r="S8056" t="s">
        <v>44954</v>
      </c>
      <c r="T8056" t="s">
        <v>46533</v>
      </c>
      <c r="U8056" t="s">
        <v>53651</v>
      </c>
      <c r="W8056" t="s">
        <v>42975</v>
      </c>
      <c r="X8056" t="s">
        <v>44768</v>
      </c>
    </row>
    <row r="8057" spans="1:24">
      <c r="A8057">
        <f>HYPERLINK("https://www.philgeps.gov.ph/GEPSNONPILOT/Tender/SplashBidNoticeAbstractUI.aspx?menuIndex=3&amp;refID=7135939&amp;Result=3","7135939")</f>
        <v>0</v>
      </c>
      <c r="B8057" t="s">
        <v>2660</v>
      </c>
      <c r="C8057" t="s">
        <v>11394</v>
      </c>
      <c r="D8057" t="s">
        <v>17954</v>
      </c>
      <c r="E8057" t="s">
        <v>25088</v>
      </c>
      <c r="F8057" t="s">
        <v>30900</v>
      </c>
      <c r="G8057" t="s">
        <v>30907</v>
      </c>
      <c r="H8057" t="s">
        <v>30916</v>
      </c>
      <c r="I8057" t="s">
        <v>4004</v>
      </c>
      <c r="J8057" t="s">
        <v>35622</v>
      </c>
      <c r="K8057" t="s">
        <v>40284</v>
      </c>
      <c r="M8057" t="s">
        <v>43429</v>
      </c>
      <c r="N8057" t="s">
        <v>44759</v>
      </c>
      <c r="O8057" t="s">
        <v>44760</v>
      </c>
      <c r="P8057">
        <v>0</v>
      </c>
      <c r="Q8057">
        <v>5</v>
      </c>
      <c r="R8057" t="s">
        <v>44768</v>
      </c>
      <c r="S8057" t="s">
        <v>44982</v>
      </c>
      <c r="T8057" t="s">
        <v>46515</v>
      </c>
      <c r="U8057" t="s">
        <v>53652</v>
      </c>
      <c r="W8057" t="s">
        <v>43429</v>
      </c>
      <c r="X8057" t="s">
        <v>44771</v>
      </c>
    </row>
    <row r="8058" spans="1:24">
      <c r="A8058">
        <f>HYPERLINK("https://www.philgeps.gov.ph/GEPSNONPILOT/Tender/SplashBidNoticeAbstractUI.aspx?menuIndex=3&amp;refID=7144660&amp;Result=3","7144660")</f>
        <v>0</v>
      </c>
      <c r="B8058" t="s">
        <v>1043</v>
      </c>
      <c r="C8058" t="s">
        <v>11395</v>
      </c>
      <c r="D8058" t="s">
        <v>18000</v>
      </c>
      <c r="E8058" t="s">
        <v>25089</v>
      </c>
      <c r="F8058" t="s">
        <v>30900</v>
      </c>
      <c r="G8058" t="s">
        <v>30907</v>
      </c>
      <c r="H8058" t="s">
        <v>30915</v>
      </c>
      <c r="I8058" t="s">
        <v>30919</v>
      </c>
      <c r="J8058" t="s">
        <v>36136</v>
      </c>
      <c r="K8058" t="s">
        <v>40289</v>
      </c>
      <c r="M8058" t="s">
        <v>43271</v>
      </c>
      <c r="N8058" t="s">
        <v>44759</v>
      </c>
      <c r="O8058" t="s">
        <v>44760</v>
      </c>
      <c r="P8058">
        <v>0</v>
      </c>
      <c r="Q8058">
        <v>1</v>
      </c>
      <c r="R8058" t="s">
        <v>44767</v>
      </c>
      <c r="S8058" t="s">
        <v>44954</v>
      </c>
      <c r="T8058" t="s">
        <v>46515</v>
      </c>
      <c r="U8058" t="s">
        <v>53653</v>
      </c>
      <c r="W8058" t="s">
        <v>43271</v>
      </c>
      <c r="X8058" t="s">
        <v>44768</v>
      </c>
    </row>
    <row r="8059" spans="1:24">
      <c r="A8059">
        <f>HYPERLINK("https://www.philgeps.gov.ph/GEPSNONPILOT/Tender/SplashBidNoticeAbstractUI.aspx?menuIndex=3&amp;refID=7144668&amp;Result=3","7144668")</f>
        <v>0</v>
      </c>
      <c r="B8059" t="s">
        <v>2154</v>
      </c>
      <c r="C8059" t="s">
        <v>11396</v>
      </c>
      <c r="D8059" t="s">
        <v>17965</v>
      </c>
      <c r="E8059" t="s">
        <v>25090</v>
      </c>
      <c r="F8059" t="s">
        <v>30900</v>
      </c>
      <c r="G8059" t="s">
        <v>30907</v>
      </c>
      <c r="H8059" t="s">
        <v>30916</v>
      </c>
      <c r="I8059" t="s">
        <v>4545</v>
      </c>
      <c r="J8059" t="s">
        <v>31096</v>
      </c>
      <c r="K8059" t="s">
        <v>40283</v>
      </c>
      <c r="M8059" t="s">
        <v>42859</v>
      </c>
      <c r="N8059" t="s">
        <v>44759</v>
      </c>
      <c r="O8059" t="s">
        <v>44760</v>
      </c>
      <c r="P8059">
        <v>0</v>
      </c>
      <c r="Q8059">
        <v>5</v>
      </c>
      <c r="R8059" t="s">
        <v>44767</v>
      </c>
      <c r="S8059" t="s">
        <v>44954</v>
      </c>
      <c r="T8059" t="s">
        <v>46804</v>
      </c>
      <c r="U8059" t="s">
        <v>53654</v>
      </c>
      <c r="W8059" t="s">
        <v>43936</v>
      </c>
      <c r="X8059" t="s">
        <v>44768</v>
      </c>
    </row>
    <row r="8060" spans="1:24">
      <c r="A8060">
        <f>HYPERLINK("https://www.philgeps.gov.ph/GEPSNONPILOT/Tender/SplashBidNoticeAbstractUI.aspx?menuIndex=3&amp;refID=7144667&amp;Result=3","7144667")</f>
        <v>0</v>
      </c>
      <c r="B8060" t="s">
        <v>2663</v>
      </c>
      <c r="C8060" t="s">
        <v>11397</v>
      </c>
      <c r="D8060" t="s">
        <v>17988</v>
      </c>
      <c r="E8060" t="s">
        <v>25091</v>
      </c>
      <c r="F8060" t="s">
        <v>30900</v>
      </c>
      <c r="G8060" t="s">
        <v>30907</v>
      </c>
      <c r="H8060" t="s">
        <v>30916</v>
      </c>
      <c r="I8060" t="s">
        <v>30923</v>
      </c>
      <c r="J8060" t="s">
        <v>36137</v>
      </c>
      <c r="K8060" t="s">
        <v>40286</v>
      </c>
      <c r="M8060" t="s">
        <v>43433</v>
      </c>
      <c r="N8060" t="s">
        <v>44759</v>
      </c>
      <c r="O8060" t="s">
        <v>44760</v>
      </c>
      <c r="P8060">
        <v>0</v>
      </c>
      <c r="Q8060">
        <v>7</v>
      </c>
      <c r="R8060" t="s">
        <v>44767</v>
      </c>
      <c r="S8060" t="s">
        <v>44954</v>
      </c>
      <c r="T8060" t="s">
        <v>46428</v>
      </c>
      <c r="U8060" t="s">
        <v>53655</v>
      </c>
      <c r="W8060" t="s">
        <v>43433</v>
      </c>
      <c r="X8060" t="s">
        <v>44768</v>
      </c>
    </row>
    <row r="8061" spans="1:24">
      <c r="A8061">
        <f>HYPERLINK("https://www.philgeps.gov.ph/GEPSNONPILOT/Tender/SplashBidNoticeAbstractUI.aspx?menuIndex=3&amp;refID=7144698&amp;Result=3","7144698")</f>
        <v>0</v>
      </c>
      <c r="B8061" t="s">
        <v>1043</v>
      </c>
      <c r="C8061" t="s">
        <v>11398</v>
      </c>
      <c r="D8061" t="s">
        <v>18000</v>
      </c>
      <c r="E8061" t="s">
        <v>25092</v>
      </c>
      <c r="F8061" t="s">
        <v>30900</v>
      </c>
      <c r="G8061" t="s">
        <v>30907</v>
      </c>
      <c r="H8061" t="s">
        <v>30915</v>
      </c>
      <c r="I8061" t="s">
        <v>30919</v>
      </c>
      <c r="J8061" t="s">
        <v>36138</v>
      </c>
      <c r="K8061" t="s">
        <v>40289</v>
      </c>
      <c r="M8061" t="s">
        <v>43271</v>
      </c>
      <c r="N8061" t="s">
        <v>44759</v>
      </c>
      <c r="O8061" t="s">
        <v>44760</v>
      </c>
      <c r="P8061">
        <v>0</v>
      </c>
      <c r="Q8061">
        <v>2</v>
      </c>
      <c r="R8061" t="s">
        <v>44767</v>
      </c>
      <c r="S8061" t="s">
        <v>44954</v>
      </c>
      <c r="T8061" t="s">
        <v>46515</v>
      </c>
      <c r="U8061" t="s">
        <v>53656</v>
      </c>
      <c r="W8061" t="s">
        <v>43271</v>
      </c>
      <c r="X8061" t="s">
        <v>44768</v>
      </c>
    </row>
    <row r="8062" spans="1:24">
      <c r="A8062">
        <f>HYPERLINK("https://www.philgeps.gov.ph/GEPSNONPILOT/Tender/SplashBidNoticeAbstractUI.aspx?menuIndex=3&amp;refID=7135849&amp;Result=3","7135849")</f>
        <v>0</v>
      </c>
      <c r="B8062" t="s">
        <v>1275</v>
      </c>
      <c r="C8062" t="s">
        <v>11399</v>
      </c>
      <c r="D8062" t="s">
        <v>17980</v>
      </c>
      <c r="E8062" t="s">
        <v>25093</v>
      </c>
      <c r="F8062" t="s">
        <v>30900</v>
      </c>
      <c r="G8062" t="s">
        <v>30907</v>
      </c>
      <c r="H8062" t="s">
        <v>30915</v>
      </c>
      <c r="I8062" t="s">
        <v>30919</v>
      </c>
      <c r="J8062" t="s">
        <v>36139</v>
      </c>
      <c r="K8062" t="s">
        <v>40280</v>
      </c>
      <c r="M8062" t="s">
        <v>41891</v>
      </c>
      <c r="N8062" t="s">
        <v>44759</v>
      </c>
      <c r="O8062" t="s">
        <v>44760</v>
      </c>
      <c r="P8062">
        <v>0</v>
      </c>
      <c r="Q8062">
        <v>0</v>
      </c>
      <c r="R8062" t="s">
        <v>44768</v>
      </c>
      <c r="S8062" t="s">
        <v>44982</v>
      </c>
      <c r="T8062" t="s">
        <v>46658</v>
      </c>
      <c r="U8062" t="s">
        <v>53657</v>
      </c>
      <c r="W8062" t="s">
        <v>41891</v>
      </c>
      <c r="X8062" t="s">
        <v>44771</v>
      </c>
    </row>
    <row r="8063" spans="1:24">
      <c r="A8063">
        <f>HYPERLINK("https://www.philgeps.gov.ph/GEPSNONPILOT/Tender/SplashBidNoticeAbstractUI.aspx?menuIndex=3&amp;refID=7136434&amp;Result=3","7136434")</f>
        <v>0</v>
      </c>
      <c r="B8063" t="s">
        <v>2659</v>
      </c>
      <c r="C8063" t="s">
        <v>11400</v>
      </c>
      <c r="D8063" t="s">
        <v>17978</v>
      </c>
      <c r="E8063" t="s">
        <v>25094</v>
      </c>
      <c r="F8063" t="s">
        <v>30900</v>
      </c>
      <c r="G8063" t="s">
        <v>30907</v>
      </c>
      <c r="H8063" t="s">
        <v>30915</v>
      </c>
      <c r="I8063" t="s">
        <v>30919</v>
      </c>
      <c r="J8063" t="s">
        <v>36140</v>
      </c>
      <c r="K8063" t="s">
        <v>40280</v>
      </c>
      <c r="M8063" t="s">
        <v>43428</v>
      </c>
      <c r="N8063" t="s">
        <v>44759</v>
      </c>
      <c r="O8063" t="s">
        <v>44760</v>
      </c>
      <c r="P8063">
        <v>0</v>
      </c>
      <c r="Q8063">
        <v>0</v>
      </c>
      <c r="R8063" t="s">
        <v>44768</v>
      </c>
      <c r="S8063" t="s">
        <v>44982</v>
      </c>
      <c r="T8063" t="s">
        <v>46712</v>
      </c>
      <c r="U8063" t="s">
        <v>53658</v>
      </c>
      <c r="W8063" t="s">
        <v>43428</v>
      </c>
      <c r="X8063" t="s">
        <v>44770</v>
      </c>
    </row>
    <row r="8064" spans="1:24">
      <c r="A8064">
        <f>HYPERLINK("https://www.philgeps.gov.ph/GEPSNONPILOT/Tender/SplashBidNoticeAbstractUI.aspx?menuIndex=3&amp;refID=7136703&amp;Result=3","7136703")</f>
        <v>0</v>
      </c>
      <c r="B8064" t="s">
        <v>73</v>
      </c>
      <c r="C8064" t="s">
        <v>11401</v>
      </c>
      <c r="D8064" t="s">
        <v>17983</v>
      </c>
      <c r="E8064" t="s">
        <v>25095</v>
      </c>
      <c r="F8064" t="s">
        <v>30900</v>
      </c>
      <c r="G8064" t="s">
        <v>30907</v>
      </c>
      <c r="H8064" t="s">
        <v>30916</v>
      </c>
      <c r="I8064" t="s">
        <v>30933</v>
      </c>
      <c r="J8064" t="s">
        <v>31297</v>
      </c>
      <c r="K8064" t="s">
        <v>40292</v>
      </c>
      <c r="M8064" t="s">
        <v>40620</v>
      </c>
      <c r="N8064" t="s">
        <v>44759</v>
      </c>
      <c r="O8064" t="s">
        <v>44760</v>
      </c>
      <c r="P8064">
        <v>0</v>
      </c>
      <c r="Q8064">
        <v>2</v>
      </c>
      <c r="R8064" t="s">
        <v>44768</v>
      </c>
      <c r="S8064" t="s">
        <v>44982</v>
      </c>
      <c r="T8064" t="s">
        <v>46658</v>
      </c>
      <c r="U8064" t="s">
        <v>53659</v>
      </c>
      <c r="W8064" t="s">
        <v>40620</v>
      </c>
      <c r="X8064" t="s">
        <v>44770</v>
      </c>
    </row>
    <row r="8065" spans="1:24">
      <c r="A8065">
        <f>HYPERLINK("https://www.philgeps.gov.ph/GEPSNONPILOT/Tender/SplashBidNoticeAbstractUI.aspx?menuIndex=3&amp;refID=7136555&amp;Result=3","7136555")</f>
        <v>0</v>
      </c>
      <c r="B8065" t="s">
        <v>2664</v>
      </c>
      <c r="C8065" t="s">
        <v>11402</v>
      </c>
      <c r="D8065" t="s">
        <v>17994</v>
      </c>
      <c r="E8065" t="s">
        <v>25096</v>
      </c>
      <c r="F8065" t="s">
        <v>30900</v>
      </c>
      <c r="G8065" t="s">
        <v>30907</v>
      </c>
      <c r="H8065" t="s">
        <v>30916</v>
      </c>
      <c r="I8065" t="s">
        <v>30923</v>
      </c>
      <c r="J8065" t="s">
        <v>32163</v>
      </c>
      <c r="K8065" t="s">
        <v>40286</v>
      </c>
      <c r="M8065" t="s">
        <v>43434</v>
      </c>
      <c r="N8065" t="s">
        <v>44759</v>
      </c>
      <c r="O8065" t="s">
        <v>44760</v>
      </c>
      <c r="P8065">
        <v>0</v>
      </c>
      <c r="Q8065">
        <v>1</v>
      </c>
      <c r="R8065" t="s">
        <v>44768</v>
      </c>
      <c r="S8065" t="s">
        <v>44982</v>
      </c>
      <c r="T8065" t="s">
        <v>46709</v>
      </c>
      <c r="U8065" t="s">
        <v>53660</v>
      </c>
      <c r="V8065" t="s">
        <v>59983</v>
      </c>
      <c r="W8065" t="s">
        <v>43434</v>
      </c>
      <c r="X8065" t="s">
        <v>44770</v>
      </c>
    </row>
    <row r="8066" spans="1:24">
      <c r="A8066">
        <f>HYPERLINK("https://www.philgeps.gov.ph/GEPSNONPILOT/Tender/SplashBidNoticeAbstractUI.aspx?menuIndex=3&amp;refID=7136551&amp;Result=3","7136551")</f>
        <v>0</v>
      </c>
      <c r="B8066" t="s">
        <v>73</v>
      </c>
      <c r="C8066" t="s">
        <v>11403</v>
      </c>
      <c r="D8066" t="s">
        <v>17983</v>
      </c>
      <c r="E8066" t="s">
        <v>25097</v>
      </c>
      <c r="F8066" t="s">
        <v>30900</v>
      </c>
      <c r="G8066" t="s">
        <v>30907</v>
      </c>
      <c r="H8066" t="s">
        <v>30916</v>
      </c>
      <c r="I8066" t="s">
        <v>30971</v>
      </c>
      <c r="J8066" t="s">
        <v>31152</v>
      </c>
      <c r="K8066" t="s">
        <v>40354</v>
      </c>
      <c r="M8066" t="s">
        <v>40620</v>
      </c>
      <c r="N8066" t="s">
        <v>44759</v>
      </c>
      <c r="O8066" t="s">
        <v>44760</v>
      </c>
      <c r="P8066">
        <v>0</v>
      </c>
      <c r="Q8066">
        <v>2</v>
      </c>
      <c r="R8066" t="s">
        <v>44768</v>
      </c>
      <c r="S8066" t="s">
        <v>44982</v>
      </c>
      <c r="T8066" t="s">
        <v>46658</v>
      </c>
      <c r="U8066" t="s">
        <v>53661</v>
      </c>
      <c r="W8066" t="s">
        <v>40620</v>
      </c>
      <c r="X8066" t="s">
        <v>44770</v>
      </c>
    </row>
    <row r="8067" spans="1:24">
      <c r="A8067">
        <f>HYPERLINK("https://www.philgeps.gov.ph/GEPSNONPILOT/Tender/SplashBidNoticeAbstractUI.aspx?menuIndex=3&amp;refID=7136850&amp;Result=3","7136850")</f>
        <v>0</v>
      </c>
      <c r="B8067" t="s">
        <v>1747</v>
      </c>
      <c r="C8067" t="s">
        <v>11404</v>
      </c>
      <c r="E8067" t="s">
        <v>25098</v>
      </c>
      <c r="F8067" t="s">
        <v>30900</v>
      </c>
      <c r="G8067" t="s">
        <v>30907</v>
      </c>
      <c r="H8067" t="s">
        <v>30916</v>
      </c>
      <c r="I8067" t="s">
        <v>30924</v>
      </c>
      <c r="J8067" t="s">
        <v>36141</v>
      </c>
      <c r="K8067" t="s">
        <v>40289</v>
      </c>
      <c r="M8067" t="s">
        <v>42416</v>
      </c>
      <c r="N8067" t="s">
        <v>44759</v>
      </c>
      <c r="O8067" t="s">
        <v>44760</v>
      </c>
      <c r="P8067">
        <v>0</v>
      </c>
      <c r="Q8067">
        <v>11</v>
      </c>
      <c r="R8067" t="s">
        <v>44768</v>
      </c>
      <c r="S8067" t="s">
        <v>44982</v>
      </c>
      <c r="T8067" t="s">
        <v>46352</v>
      </c>
      <c r="U8067" t="s">
        <v>53662</v>
      </c>
      <c r="V8067" t="s">
        <v>59984</v>
      </c>
      <c r="W8067" t="s">
        <v>42416</v>
      </c>
      <c r="X8067" t="s">
        <v>44770</v>
      </c>
    </row>
    <row r="8068" spans="1:24">
      <c r="A8068">
        <f>HYPERLINK("https://www.philgeps.gov.ph/GEPSNONPILOT/Tender/SplashBidNoticeAbstractUI.aspx?menuIndex=3&amp;refID=7136625&amp;Result=3","7136625")</f>
        <v>0</v>
      </c>
      <c r="B8068" t="s">
        <v>73</v>
      </c>
      <c r="C8068" t="s">
        <v>11405</v>
      </c>
      <c r="D8068" t="s">
        <v>17983</v>
      </c>
      <c r="E8068" t="s">
        <v>25099</v>
      </c>
      <c r="F8068" t="s">
        <v>30900</v>
      </c>
      <c r="G8068" t="s">
        <v>30907</v>
      </c>
      <c r="H8068" t="s">
        <v>30916</v>
      </c>
      <c r="I8068" t="s">
        <v>30933</v>
      </c>
      <c r="J8068" t="s">
        <v>36142</v>
      </c>
      <c r="K8068" t="s">
        <v>40292</v>
      </c>
      <c r="M8068" t="s">
        <v>40620</v>
      </c>
      <c r="N8068" t="s">
        <v>44759</v>
      </c>
      <c r="O8068" t="s">
        <v>44760</v>
      </c>
      <c r="P8068">
        <v>0</v>
      </c>
      <c r="Q8068">
        <v>4</v>
      </c>
      <c r="R8068" t="s">
        <v>44768</v>
      </c>
      <c r="S8068" t="s">
        <v>44982</v>
      </c>
      <c r="T8068" t="s">
        <v>46658</v>
      </c>
      <c r="U8068" t="s">
        <v>53663</v>
      </c>
      <c r="W8068" t="s">
        <v>40620</v>
      </c>
      <c r="X8068" t="s">
        <v>44770</v>
      </c>
    </row>
    <row r="8069" spans="1:24">
      <c r="A8069">
        <f>HYPERLINK("https://www.philgeps.gov.ph/GEPSNONPILOT/Tender/SplashBidNoticeAbstractUI.aspx?menuIndex=3&amp;refID=7137072&amp;Result=3","7137072")</f>
        <v>0</v>
      </c>
      <c r="B8069" t="s">
        <v>670</v>
      </c>
      <c r="C8069" t="s">
        <v>11406</v>
      </c>
      <c r="D8069" t="s">
        <v>18012</v>
      </c>
      <c r="E8069" t="s">
        <v>25100</v>
      </c>
      <c r="F8069" t="s">
        <v>30900</v>
      </c>
      <c r="G8069" t="s">
        <v>30907</v>
      </c>
      <c r="H8069" t="s">
        <v>30916</v>
      </c>
      <c r="I8069" t="s">
        <v>30939</v>
      </c>
      <c r="J8069" t="s">
        <v>36143</v>
      </c>
      <c r="K8069" t="s">
        <v>40284</v>
      </c>
      <c r="M8069" t="s">
        <v>41233</v>
      </c>
      <c r="N8069" t="s">
        <v>44759</v>
      </c>
      <c r="O8069" t="s">
        <v>44760</v>
      </c>
      <c r="P8069">
        <v>0</v>
      </c>
      <c r="Q8069">
        <v>0</v>
      </c>
      <c r="R8069" t="s">
        <v>44768</v>
      </c>
      <c r="S8069" t="s">
        <v>44982</v>
      </c>
      <c r="T8069" t="s">
        <v>46606</v>
      </c>
      <c r="U8069" t="s">
        <v>53664</v>
      </c>
      <c r="W8069" t="s">
        <v>41233</v>
      </c>
      <c r="X8069" t="s">
        <v>44770</v>
      </c>
    </row>
    <row r="8070" spans="1:24">
      <c r="A8070">
        <f>HYPERLINK("https://www.philgeps.gov.ph/GEPSNONPILOT/Tender/SplashBidNoticeAbstractUI.aspx?menuIndex=3&amp;refID=7137021&amp;Result=3","7137021")</f>
        <v>0</v>
      </c>
      <c r="B8070" t="s">
        <v>2665</v>
      </c>
      <c r="C8070" t="s">
        <v>11407</v>
      </c>
      <c r="D8070" t="s">
        <v>18035</v>
      </c>
      <c r="E8070" t="s">
        <v>25101</v>
      </c>
      <c r="F8070" t="s">
        <v>30900</v>
      </c>
      <c r="G8070" t="s">
        <v>30907</v>
      </c>
      <c r="H8070" t="s">
        <v>30915</v>
      </c>
      <c r="I8070" t="s">
        <v>30919</v>
      </c>
      <c r="J8070" t="s">
        <v>31153</v>
      </c>
      <c r="K8070" t="s">
        <v>40322</v>
      </c>
      <c r="M8070" t="s">
        <v>43435</v>
      </c>
      <c r="N8070" t="s">
        <v>44759</v>
      </c>
      <c r="O8070" t="s">
        <v>44760</v>
      </c>
      <c r="P8070">
        <v>0</v>
      </c>
      <c r="Q8070">
        <v>0</v>
      </c>
      <c r="R8070" t="s">
        <v>44768</v>
      </c>
      <c r="S8070" t="s">
        <v>44982</v>
      </c>
      <c r="T8070" t="s">
        <v>46367</v>
      </c>
      <c r="U8070" t="s">
        <v>53665</v>
      </c>
      <c r="V8070" t="s">
        <v>59134</v>
      </c>
      <c r="W8070" t="s">
        <v>43435</v>
      </c>
      <c r="X8070" t="s">
        <v>44770</v>
      </c>
    </row>
    <row r="8071" spans="1:24">
      <c r="A8071">
        <f>HYPERLINK("https://www.philgeps.gov.ph/GEPSNONPILOT/Tender/SplashBidNoticeAbstractUI.aspx?menuIndex=3&amp;refID=7136977&amp;Result=3","7136977")</f>
        <v>0</v>
      </c>
      <c r="B8071" t="s">
        <v>2666</v>
      </c>
      <c r="C8071" t="s">
        <v>11408</v>
      </c>
      <c r="D8071" t="s">
        <v>17991</v>
      </c>
      <c r="E8071" t="s">
        <v>25102</v>
      </c>
      <c r="F8071" t="s">
        <v>30900</v>
      </c>
      <c r="G8071" t="s">
        <v>30907</v>
      </c>
      <c r="H8071" t="s">
        <v>30916</v>
      </c>
      <c r="I8071" t="s">
        <v>30934</v>
      </c>
      <c r="J8071" t="s">
        <v>31096</v>
      </c>
      <c r="K8071" t="s">
        <v>40289</v>
      </c>
      <c r="M8071" t="s">
        <v>43436</v>
      </c>
      <c r="N8071" t="s">
        <v>44759</v>
      </c>
      <c r="O8071" t="s">
        <v>44760</v>
      </c>
      <c r="P8071">
        <v>0</v>
      </c>
      <c r="Q8071">
        <v>1</v>
      </c>
      <c r="R8071" t="s">
        <v>44768</v>
      </c>
      <c r="S8071" t="s">
        <v>44982</v>
      </c>
      <c r="T8071" t="s">
        <v>46533</v>
      </c>
      <c r="U8071" t="s">
        <v>53666</v>
      </c>
      <c r="W8071" t="s">
        <v>43436</v>
      </c>
      <c r="X8071" t="s">
        <v>44770</v>
      </c>
    </row>
    <row r="8072" spans="1:24">
      <c r="A8072">
        <f>HYPERLINK("https://www.philgeps.gov.ph/GEPSNONPILOT/Tender/SplashBidNoticeAbstractUI.aspx?menuIndex=3&amp;refID=7136479&amp;Result=3","7136479")</f>
        <v>0</v>
      </c>
      <c r="B8072" t="s">
        <v>2657</v>
      </c>
      <c r="C8072" t="s">
        <v>11409</v>
      </c>
      <c r="D8072" t="s">
        <v>17998</v>
      </c>
      <c r="E8072" t="s">
        <v>25103</v>
      </c>
      <c r="F8072" t="s">
        <v>30900</v>
      </c>
      <c r="G8072" t="s">
        <v>30907</v>
      </c>
      <c r="H8072" t="s">
        <v>30915</v>
      </c>
      <c r="I8072" t="s">
        <v>4050</v>
      </c>
      <c r="J8072" t="s">
        <v>31052</v>
      </c>
      <c r="K8072" t="s">
        <v>40284</v>
      </c>
      <c r="M8072" t="s">
        <v>43426</v>
      </c>
      <c r="N8072" t="s">
        <v>44759</v>
      </c>
      <c r="O8072" t="s">
        <v>44760</v>
      </c>
      <c r="P8072">
        <v>0</v>
      </c>
      <c r="Q8072">
        <v>2</v>
      </c>
      <c r="R8072" t="s">
        <v>44768</v>
      </c>
      <c r="S8072" t="s">
        <v>44982</v>
      </c>
      <c r="T8072" t="s">
        <v>46445</v>
      </c>
      <c r="U8072" t="s">
        <v>53667</v>
      </c>
      <c r="W8072" t="s">
        <v>43426</v>
      </c>
      <c r="X8072" t="s">
        <v>44770</v>
      </c>
    </row>
    <row r="8073" spans="1:24">
      <c r="A8073">
        <f>HYPERLINK("https://www.philgeps.gov.ph/GEPSNONPILOT/Tender/SplashBidNoticeAbstractUI.aspx?menuIndex=3&amp;refID=7136918&amp;Result=3","7136918")</f>
        <v>0</v>
      </c>
      <c r="B8073" t="s">
        <v>332</v>
      </c>
      <c r="C8073" t="s">
        <v>8647</v>
      </c>
      <c r="D8073" t="s">
        <v>17978</v>
      </c>
      <c r="E8073" t="s">
        <v>25104</v>
      </c>
      <c r="F8073" t="s">
        <v>30900</v>
      </c>
      <c r="G8073" t="s">
        <v>30907</v>
      </c>
      <c r="H8073" t="s">
        <v>30915</v>
      </c>
      <c r="I8073" t="s">
        <v>30919</v>
      </c>
      <c r="J8073" t="s">
        <v>31101</v>
      </c>
      <c r="K8073" t="s">
        <v>40286</v>
      </c>
      <c r="M8073" t="s">
        <v>40883</v>
      </c>
      <c r="N8073" t="s">
        <v>44759</v>
      </c>
      <c r="O8073" t="s">
        <v>44760</v>
      </c>
      <c r="P8073">
        <v>0</v>
      </c>
      <c r="Q8073">
        <v>0</v>
      </c>
      <c r="R8073" t="s">
        <v>44768</v>
      </c>
      <c r="S8073" t="s">
        <v>44982</v>
      </c>
      <c r="T8073" t="s">
        <v>46403</v>
      </c>
      <c r="U8073" t="s">
        <v>53668</v>
      </c>
      <c r="W8073" t="s">
        <v>40883</v>
      </c>
      <c r="X8073" t="s">
        <v>44770</v>
      </c>
    </row>
    <row r="8074" spans="1:24">
      <c r="A8074">
        <f>HYPERLINK("https://www.philgeps.gov.ph/GEPSNONPILOT/Tender/SplashBidNoticeAbstractUI.aspx?menuIndex=3&amp;refID=7136665&amp;Result=3","7136665")</f>
        <v>0</v>
      </c>
      <c r="B8074" t="s">
        <v>332</v>
      </c>
      <c r="C8074" t="s">
        <v>11410</v>
      </c>
      <c r="D8074" t="s">
        <v>17978</v>
      </c>
      <c r="E8074" t="s">
        <v>25104</v>
      </c>
      <c r="F8074" t="s">
        <v>30900</v>
      </c>
      <c r="G8074" t="s">
        <v>30907</v>
      </c>
      <c r="H8074" t="s">
        <v>30915</v>
      </c>
      <c r="I8074" t="s">
        <v>30919</v>
      </c>
      <c r="J8074" t="s">
        <v>31101</v>
      </c>
      <c r="K8074" t="s">
        <v>40286</v>
      </c>
      <c r="M8074" t="s">
        <v>40883</v>
      </c>
      <c r="N8074" t="s">
        <v>44759</v>
      </c>
      <c r="O8074" t="s">
        <v>44760</v>
      </c>
      <c r="P8074">
        <v>0</v>
      </c>
      <c r="Q8074">
        <v>0</v>
      </c>
      <c r="R8074" t="s">
        <v>44768</v>
      </c>
      <c r="S8074" t="s">
        <v>44982</v>
      </c>
      <c r="T8074" t="s">
        <v>46403</v>
      </c>
      <c r="U8074" t="s">
        <v>53669</v>
      </c>
      <c r="W8074" t="s">
        <v>40883</v>
      </c>
      <c r="X8074" t="s">
        <v>44770</v>
      </c>
    </row>
    <row r="8075" spans="1:24">
      <c r="A8075">
        <f>HYPERLINK("https://www.philgeps.gov.ph/GEPSNONPILOT/Tender/SplashBidNoticeAbstractUI.aspx?menuIndex=3&amp;refID=7136914&amp;Result=3","7136914")</f>
        <v>0</v>
      </c>
      <c r="B8075" t="s">
        <v>2667</v>
      </c>
      <c r="C8075" t="s">
        <v>11411</v>
      </c>
      <c r="E8075" t="s">
        <v>18282</v>
      </c>
      <c r="F8075" t="s">
        <v>30900</v>
      </c>
      <c r="G8075" t="s">
        <v>30907</v>
      </c>
      <c r="H8075" t="s">
        <v>30916</v>
      </c>
      <c r="I8075" t="s">
        <v>8123</v>
      </c>
      <c r="J8075" t="s">
        <v>36144</v>
      </c>
      <c r="K8075" t="s">
        <v>40289</v>
      </c>
      <c r="M8075" t="s">
        <v>43437</v>
      </c>
      <c r="N8075" t="s">
        <v>44759</v>
      </c>
      <c r="O8075" t="s">
        <v>44760</v>
      </c>
      <c r="P8075">
        <v>0</v>
      </c>
      <c r="Q8075">
        <v>0</v>
      </c>
      <c r="R8075" t="s">
        <v>44768</v>
      </c>
      <c r="S8075" t="s">
        <v>44982</v>
      </c>
      <c r="T8075" t="s">
        <v>46429</v>
      </c>
      <c r="U8075" t="s">
        <v>53670</v>
      </c>
      <c r="W8075" t="s">
        <v>43437</v>
      </c>
      <c r="X8075" t="s">
        <v>44770</v>
      </c>
    </row>
    <row r="8076" spans="1:24">
      <c r="A8076">
        <f>HYPERLINK("https://www.philgeps.gov.ph/GEPSNONPILOT/Tender/SplashBidNoticeAbstractUI.aspx?menuIndex=3&amp;refID=7137243&amp;Result=3","7137243")</f>
        <v>0</v>
      </c>
      <c r="B8076" t="s">
        <v>42</v>
      </c>
      <c r="C8076" t="s">
        <v>11412</v>
      </c>
      <c r="D8076" t="s">
        <v>17967</v>
      </c>
      <c r="E8076" t="s">
        <v>25105</v>
      </c>
      <c r="F8076" t="s">
        <v>30900</v>
      </c>
      <c r="G8076" t="s">
        <v>30907</v>
      </c>
      <c r="H8076" t="s">
        <v>30916</v>
      </c>
      <c r="I8076" t="s">
        <v>4545</v>
      </c>
      <c r="J8076" t="s">
        <v>31050</v>
      </c>
      <c r="K8076" t="s">
        <v>40284</v>
      </c>
      <c r="M8076" t="s">
        <v>40588</v>
      </c>
      <c r="N8076" t="s">
        <v>44759</v>
      </c>
      <c r="O8076" t="s">
        <v>44760</v>
      </c>
      <c r="P8076">
        <v>0</v>
      </c>
      <c r="Q8076">
        <v>4</v>
      </c>
      <c r="R8076" t="s">
        <v>44768</v>
      </c>
      <c r="S8076" t="s">
        <v>44982</v>
      </c>
      <c r="T8076" t="s">
        <v>46403</v>
      </c>
      <c r="U8076" t="s">
        <v>53671</v>
      </c>
      <c r="W8076" t="s">
        <v>40588</v>
      </c>
      <c r="X8076" t="s">
        <v>44770</v>
      </c>
    </row>
    <row r="8077" spans="1:24">
      <c r="A8077">
        <f>HYPERLINK("https://www.philgeps.gov.ph/GEPSNONPILOT/Tender/SplashBidNoticeAbstractUI.aspx?menuIndex=3&amp;refID=7136569&amp;Result=3","7136569")</f>
        <v>0</v>
      </c>
      <c r="B8077" t="s">
        <v>1615</v>
      </c>
      <c r="C8077" t="s">
        <v>11413</v>
      </c>
      <c r="D8077" t="s">
        <v>18025</v>
      </c>
      <c r="E8077" t="s">
        <v>25106</v>
      </c>
      <c r="F8077" t="s">
        <v>30900</v>
      </c>
      <c r="G8077" t="s">
        <v>30907</v>
      </c>
      <c r="H8077" t="s">
        <v>30915</v>
      </c>
      <c r="I8077" t="s">
        <v>30919</v>
      </c>
      <c r="J8077" t="s">
        <v>31897</v>
      </c>
      <c r="K8077" t="s">
        <v>40304</v>
      </c>
      <c r="M8077" t="s">
        <v>42265</v>
      </c>
      <c r="N8077" t="s">
        <v>44759</v>
      </c>
      <c r="O8077" t="s">
        <v>44760</v>
      </c>
      <c r="P8077">
        <v>0</v>
      </c>
      <c r="Q8077">
        <v>36</v>
      </c>
      <c r="R8077" t="s">
        <v>44768</v>
      </c>
      <c r="S8077" t="s">
        <v>44982</v>
      </c>
      <c r="T8077" t="s">
        <v>46515</v>
      </c>
      <c r="U8077" t="s">
        <v>53672</v>
      </c>
      <c r="W8077" t="s">
        <v>42265</v>
      </c>
      <c r="X8077" t="s">
        <v>44770</v>
      </c>
    </row>
    <row r="8078" spans="1:24">
      <c r="A8078">
        <f>HYPERLINK("https://www.philgeps.gov.ph/GEPSNONPILOT/Tender/SplashBidNoticeAbstractUI.aspx?menuIndex=3&amp;refID=7136898&amp;Result=3","7136898")</f>
        <v>0</v>
      </c>
      <c r="B8078" t="s">
        <v>1471</v>
      </c>
      <c r="C8078" t="s">
        <v>11414</v>
      </c>
      <c r="D8078" t="s">
        <v>18022</v>
      </c>
      <c r="E8078" t="s">
        <v>25107</v>
      </c>
      <c r="F8078" t="s">
        <v>30900</v>
      </c>
      <c r="G8078" t="s">
        <v>30907</v>
      </c>
      <c r="H8078" t="s">
        <v>30915</v>
      </c>
      <c r="I8078" t="s">
        <v>30919</v>
      </c>
      <c r="J8078" t="s">
        <v>33336</v>
      </c>
      <c r="K8078" t="s">
        <v>40446</v>
      </c>
      <c r="M8078" t="s">
        <v>42105</v>
      </c>
      <c r="N8078" t="s">
        <v>44759</v>
      </c>
      <c r="O8078" t="s">
        <v>44760</v>
      </c>
      <c r="P8078">
        <v>0</v>
      </c>
      <c r="Q8078">
        <v>1</v>
      </c>
      <c r="R8078" t="s">
        <v>44768</v>
      </c>
      <c r="S8078" t="s">
        <v>44982</v>
      </c>
      <c r="T8078" t="s">
        <v>46595</v>
      </c>
      <c r="U8078" t="s">
        <v>53673</v>
      </c>
      <c r="W8078" t="s">
        <v>42105</v>
      </c>
      <c r="X8078" t="s">
        <v>44770</v>
      </c>
    </row>
    <row r="8079" spans="1:24">
      <c r="A8079">
        <f>HYPERLINK("https://www.philgeps.gov.ph/GEPSNONPILOT/Tender/SplashBidNoticeAbstractUI.aspx?menuIndex=3&amp;refID=7137114&amp;Result=3","7137114")</f>
        <v>0</v>
      </c>
      <c r="B8079" t="s">
        <v>42</v>
      </c>
      <c r="C8079" t="s">
        <v>11254</v>
      </c>
      <c r="D8079" t="s">
        <v>17967</v>
      </c>
      <c r="E8079" t="s">
        <v>19323</v>
      </c>
      <c r="F8079" t="s">
        <v>30900</v>
      </c>
      <c r="G8079" t="s">
        <v>30907</v>
      </c>
      <c r="H8079" t="s">
        <v>30916</v>
      </c>
      <c r="I8079" t="s">
        <v>4545</v>
      </c>
      <c r="J8079" t="s">
        <v>31183</v>
      </c>
      <c r="K8079" t="s">
        <v>40284</v>
      </c>
      <c r="M8079" t="s">
        <v>40588</v>
      </c>
      <c r="N8079" t="s">
        <v>44759</v>
      </c>
      <c r="O8079" t="s">
        <v>44760</v>
      </c>
      <c r="P8079">
        <v>0</v>
      </c>
      <c r="Q8079">
        <v>0</v>
      </c>
      <c r="R8079" t="s">
        <v>44768</v>
      </c>
      <c r="S8079" t="s">
        <v>44982</v>
      </c>
      <c r="T8079" t="s">
        <v>46403</v>
      </c>
      <c r="U8079" t="s">
        <v>53674</v>
      </c>
      <c r="W8079" t="s">
        <v>40588</v>
      </c>
      <c r="X8079" t="s">
        <v>44770</v>
      </c>
    </row>
    <row r="8080" spans="1:24">
      <c r="A8080">
        <f>HYPERLINK("https://www.philgeps.gov.ph/GEPSNONPILOT/Tender/SplashBidNoticeAbstractUI.aspx?menuIndex=3&amp;refID=7137107&amp;Result=3","7137107")</f>
        <v>0</v>
      </c>
      <c r="B8080" t="s">
        <v>2668</v>
      </c>
      <c r="C8080" t="s">
        <v>11415</v>
      </c>
      <c r="D8080" t="s">
        <v>17954</v>
      </c>
      <c r="E8080" t="s">
        <v>25108</v>
      </c>
      <c r="F8080" t="s">
        <v>30900</v>
      </c>
      <c r="G8080" t="s">
        <v>30907</v>
      </c>
      <c r="H8080" t="s">
        <v>30916</v>
      </c>
      <c r="I8080" t="s">
        <v>6953</v>
      </c>
      <c r="J8080" t="s">
        <v>36145</v>
      </c>
      <c r="K8080" t="s">
        <v>40286</v>
      </c>
      <c r="M8080" t="s">
        <v>43438</v>
      </c>
      <c r="N8080" t="s">
        <v>44759</v>
      </c>
      <c r="O8080" t="s">
        <v>44760</v>
      </c>
      <c r="P8080">
        <v>0</v>
      </c>
      <c r="Q8080">
        <v>3</v>
      </c>
      <c r="R8080" t="s">
        <v>44768</v>
      </c>
      <c r="S8080" t="s">
        <v>44982</v>
      </c>
      <c r="T8080" t="s">
        <v>46361</v>
      </c>
      <c r="U8080" t="s">
        <v>53675</v>
      </c>
      <c r="V8080" t="s">
        <v>59119</v>
      </c>
      <c r="W8080" t="s">
        <v>43438</v>
      </c>
      <c r="X8080" t="s">
        <v>44770</v>
      </c>
    </row>
    <row r="8081" spans="1:24">
      <c r="A8081">
        <f>HYPERLINK("https://www.philgeps.gov.ph/GEPSNONPILOT/Tender/SplashBidNoticeAbstractUI.aspx?menuIndex=3&amp;refID=7137667&amp;Result=3","7137667")</f>
        <v>0</v>
      </c>
      <c r="B8081" t="s">
        <v>40</v>
      </c>
      <c r="C8081" t="s">
        <v>7670</v>
      </c>
      <c r="D8081" t="s">
        <v>17965</v>
      </c>
      <c r="E8081" t="s">
        <v>25109</v>
      </c>
      <c r="F8081" t="s">
        <v>30900</v>
      </c>
      <c r="G8081" t="s">
        <v>30907</v>
      </c>
      <c r="H8081" t="s">
        <v>30915</v>
      </c>
      <c r="I8081" t="s">
        <v>30919</v>
      </c>
      <c r="J8081" t="s">
        <v>36146</v>
      </c>
      <c r="K8081" t="s">
        <v>40304</v>
      </c>
      <c r="M8081" t="s">
        <v>40586</v>
      </c>
      <c r="N8081" t="s">
        <v>44759</v>
      </c>
      <c r="O8081" t="s">
        <v>44760</v>
      </c>
      <c r="P8081">
        <v>0</v>
      </c>
      <c r="Q8081">
        <v>2</v>
      </c>
      <c r="R8081" t="s">
        <v>44768</v>
      </c>
      <c r="S8081" t="s">
        <v>44982</v>
      </c>
      <c r="T8081" t="s">
        <v>46591</v>
      </c>
      <c r="U8081" t="s">
        <v>53676</v>
      </c>
      <c r="W8081" t="s">
        <v>40586</v>
      </c>
      <c r="X8081" t="s">
        <v>44770</v>
      </c>
    </row>
    <row r="8082" spans="1:24">
      <c r="A8082">
        <f>HYPERLINK("https://www.philgeps.gov.ph/GEPSNONPILOT/Tender/SplashBidNoticeAbstractUI.aspx?menuIndex=3&amp;refID=7137632&amp;Result=3","7137632")</f>
        <v>0</v>
      </c>
      <c r="B8082" t="s">
        <v>2669</v>
      </c>
      <c r="C8082" t="s">
        <v>11416</v>
      </c>
      <c r="D8082" t="s">
        <v>17971</v>
      </c>
      <c r="E8082" t="s">
        <v>25110</v>
      </c>
      <c r="F8082" t="s">
        <v>30900</v>
      </c>
      <c r="G8082" t="s">
        <v>30907</v>
      </c>
      <c r="H8082" t="s">
        <v>30915</v>
      </c>
      <c r="I8082" t="s">
        <v>30919</v>
      </c>
      <c r="J8082" t="s">
        <v>36147</v>
      </c>
      <c r="K8082" t="s">
        <v>40280</v>
      </c>
      <c r="L8082" t="s">
        <v>2669</v>
      </c>
      <c r="M8082" t="s">
        <v>43439</v>
      </c>
      <c r="N8082" t="s">
        <v>44759</v>
      </c>
      <c r="O8082" t="s">
        <v>44760</v>
      </c>
      <c r="P8082">
        <v>0</v>
      </c>
      <c r="Q8082">
        <v>18</v>
      </c>
      <c r="R8082" t="s">
        <v>44768</v>
      </c>
      <c r="S8082" t="s">
        <v>44982</v>
      </c>
      <c r="T8082" t="s">
        <v>46411</v>
      </c>
      <c r="U8082" t="s">
        <v>53677</v>
      </c>
      <c r="W8082" t="s">
        <v>43439</v>
      </c>
      <c r="X8082" t="s">
        <v>44770</v>
      </c>
    </row>
    <row r="8083" spans="1:24">
      <c r="A8083">
        <f>HYPERLINK("https://www.philgeps.gov.ph/GEPSNONPILOT/Tender/SplashBidNoticeAbstractUI.aspx?menuIndex=3&amp;refID=7136864&amp;Result=3","7136864")</f>
        <v>0</v>
      </c>
      <c r="B8083" t="s">
        <v>1747</v>
      </c>
      <c r="C8083" t="s">
        <v>11417</v>
      </c>
      <c r="E8083" t="s">
        <v>25111</v>
      </c>
      <c r="F8083" t="s">
        <v>30900</v>
      </c>
      <c r="G8083" t="s">
        <v>30907</v>
      </c>
      <c r="H8083" t="s">
        <v>30916</v>
      </c>
      <c r="I8083" t="s">
        <v>30987</v>
      </c>
      <c r="J8083" t="s">
        <v>31243</v>
      </c>
      <c r="K8083" t="s">
        <v>40289</v>
      </c>
      <c r="M8083" t="s">
        <v>42416</v>
      </c>
      <c r="N8083" t="s">
        <v>44759</v>
      </c>
      <c r="O8083" t="s">
        <v>44760</v>
      </c>
      <c r="P8083">
        <v>0</v>
      </c>
      <c r="Q8083">
        <v>3</v>
      </c>
      <c r="R8083" t="s">
        <v>44768</v>
      </c>
      <c r="S8083" t="s">
        <v>44982</v>
      </c>
      <c r="T8083" t="s">
        <v>46352</v>
      </c>
      <c r="U8083" t="s">
        <v>53678</v>
      </c>
      <c r="V8083" t="s">
        <v>59985</v>
      </c>
      <c r="W8083" t="s">
        <v>42416</v>
      </c>
      <c r="X8083" t="s">
        <v>44770</v>
      </c>
    </row>
    <row r="8084" spans="1:24">
      <c r="A8084">
        <f>HYPERLINK("https://www.philgeps.gov.ph/GEPSNONPILOT/Tender/SplashBidNoticeAbstractUI.aspx?menuIndex=3&amp;refID=7137618&amp;Result=3","7137618")</f>
        <v>0</v>
      </c>
      <c r="B8084" t="s">
        <v>73</v>
      </c>
      <c r="C8084" t="s">
        <v>11418</v>
      </c>
      <c r="D8084" t="s">
        <v>17983</v>
      </c>
      <c r="E8084" t="s">
        <v>25112</v>
      </c>
      <c r="F8084" t="s">
        <v>30900</v>
      </c>
      <c r="G8084" t="s">
        <v>30907</v>
      </c>
      <c r="H8084" t="s">
        <v>30916</v>
      </c>
      <c r="I8084" t="s">
        <v>4142</v>
      </c>
      <c r="J8084" t="s">
        <v>36148</v>
      </c>
      <c r="K8084" t="s">
        <v>40286</v>
      </c>
      <c r="M8084" t="s">
        <v>40620</v>
      </c>
      <c r="N8084" t="s">
        <v>44759</v>
      </c>
      <c r="O8084" t="s">
        <v>44760</v>
      </c>
      <c r="P8084">
        <v>0</v>
      </c>
      <c r="Q8084">
        <v>0</v>
      </c>
      <c r="R8084" t="s">
        <v>44768</v>
      </c>
      <c r="S8084" t="s">
        <v>44982</v>
      </c>
      <c r="T8084" t="s">
        <v>46658</v>
      </c>
      <c r="U8084" t="s">
        <v>53679</v>
      </c>
      <c r="W8084" t="s">
        <v>40620</v>
      </c>
      <c r="X8084" t="s">
        <v>44770</v>
      </c>
    </row>
    <row r="8085" spans="1:24">
      <c r="A8085">
        <f>HYPERLINK("https://www.philgeps.gov.ph/GEPSNONPILOT/Tender/SplashBidNoticeAbstractUI.aspx?menuIndex=3&amp;refID=7137563&amp;Result=3","7137563")</f>
        <v>0</v>
      </c>
      <c r="B8085" t="s">
        <v>2670</v>
      </c>
      <c r="C8085" t="s">
        <v>11419</v>
      </c>
      <c r="D8085" t="s">
        <v>18002</v>
      </c>
      <c r="E8085" t="s">
        <v>25113</v>
      </c>
      <c r="F8085" t="s">
        <v>30900</v>
      </c>
      <c r="G8085" t="s">
        <v>30907</v>
      </c>
      <c r="H8085" t="s">
        <v>30916</v>
      </c>
      <c r="I8085" t="s">
        <v>8123</v>
      </c>
      <c r="J8085" t="s">
        <v>36149</v>
      </c>
      <c r="K8085" t="s">
        <v>40287</v>
      </c>
      <c r="M8085" t="s">
        <v>43440</v>
      </c>
      <c r="N8085" t="s">
        <v>44759</v>
      </c>
      <c r="O8085" t="s">
        <v>44760</v>
      </c>
      <c r="P8085">
        <v>0</v>
      </c>
      <c r="Q8085">
        <v>3</v>
      </c>
      <c r="R8085" t="s">
        <v>44768</v>
      </c>
      <c r="S8085" t="s">
        <v>44982</v>
      </c>
      <c r="T8085" t="s">
        <v>46581</v>
      </c>
      <c r="U8085" t="s">
        <v>53680</v>
      </c>
      <c r="V8085" t="s">
        <v>59986</v>
      </c>
      <c r="W8085" t="s">
        <v>43440</v>
      </c>
      <c r="X8085" t="s">
        <v>44770</v>
      </c>
    </row>
    <row r="8086" spans="1:24">
      <c r="A8086">
        <f>HYPERLINK("https://www.philgeps.gov.ph/GEPSNONPILOT/Tender/SplashBidNoticeAbstractUI.aspx?menuIndex=3&amp;refID=7136871&amp;Result=3","7136871")</f>
        <v>0</v>
      </c>
      <c r="B8086" t="s">
        <v>2227</v>
      </c>
      <c r="C8086" t="s">
        <v>11420</v>
      </c>
      <c r="D8086" t="s">
        <v>18016</v>
      </c>
      <c r="E8086" t="s">
        <v>25114</v>
      </c>
      <c r="F8086" t="s">
        <v>30900</v>
      </c>
      <c r="G8086" t="s">
        <v>30907</v>
      </c>
      <c r="H8086" t="s">
        <v>30915</v>
      </c>
      <c r="I8086" t="s">
        <v>30919</v>
      </c>
      <c r="J8086" t="s">
        <v>36150</v>
      </c>
      <c r="K8086" t="s">
        <v>40289</v>
      </c>
      <c r="M8086" t="s">
        <v>43235</v>
      </c>
      <c r="N8086" t="s">
        <v>44759</v>
      </c>
      <c r="O8086" t="s">
        <v>44760</v>
      </c>
      <c r="P8086">
        <v>0</v>
      </c>
      <c r="Q8086">
        <v>1</v>
      </c>
      <c r="R8086" t="s">
        <v>44768</v>
      </c>
      <c r="S8086" t="s">
        <v>44982</v>
      </c>
      <c r="T8086" t="s">
        <v>46515</v>
      </c>
      <c r="U8086" t="s">
        <v>53681</v>
      </c>
      <c r="W8086" t="s">
        <v>43235</v>
      </c>
      <c r="X8086" t="s">
        <v>44770</v>
      </c>
    </row>
    <row r="8087" spans="1:24">
      <c r="A8087">
        <f>HYPERLINK("https://www.philgeps.gov.ph/GEPSNONPILOT/Tender/SplashBidNoticeAbstractUI.aspx?menuIndex=3&amp;refID=7137528&amp;Result=3","7137528")</f>
        <v>0</v>
      </c>
      <c r="B8087" t="s">
        <v>1314</v>
      </c>
      <c r="C8087" t="s">
        <v>11421</v>
      </c>
      <c r="D8087" t="s">
        <v>17969</v>
      </c>
      <c r="E8087" t="s">
        <v>25115</v>
      </c>
      <c r="F8087" t="s">
        <v>30900</v>
      </c>
      <c r="G8087" t="s">
        <v>30913</v>
      </c>
      <c r="H8087" t="s">
        <v>7411</v>
      </c>
      <c r="I8087" t="s">
        <v>7411</v>
      </c>
      <c r="J8087" t="s">
        <v>36151</v>
      </c>
      <c r="K8087" t="s">
        <v>40289</v>
      </c>
      <c r="L8087" t="s">
        <v>1314</v>
      </c>
      <c r="M8087" t="s">
        <v>41932</v>
      </c>
      <c r="N8087" t="s">
        <v>44759</v>
      </c>
      <c r="O8087" t="s">
        <v>44760</v>
      </c>
      <c r="Q8087">
        <v>4</v>
      </c>
      <c r="R8087" t="s">
        <v>44768</v>
      </c>
      <c r="S8087" t="s">
        <v>44988</v>
      </c>
      <c r="T8087" t="s">
        <v>46508</v>
      </c>
      <c r="U8087" t="s">
        <v>53682</v>
      </c>
      <c r="W8087" t="s">
        <v>41932</v>
      </c>
      <c r="X8087" t="s">
        <v>44770</v>
      </c>
    </row>
    <row r="8088" spans="1:24">
      <c r="A8088">
        <f>HYPERLINK("https://www.philgeps.gov.ph/GEPSNONPILOT/Tender/SplashBidNoticeAbstractUI.aspx?menuIndex=3&amp;refID=7137635&amp;Result=3","7137635")</f>
        <v>0</v>
      </c>
      <c r="B8088" t="s">
        <v>325</v>
      </c>
      <c r="C8088" t="s">
        <v>11422</v>
      </c>
      <c r="D8088" t="s">
        <v>17995</v>
      </c>
      <c r="E8088" t="s">
        <v>25116</v>
      </c>
      <c r="F8088" t="s">
        <v>30900</v>
      </c>
      <c r="G8088" t="s">
        <v>30907</v>
      </c>
      <c r="H8088" t="s">
        <v>30915</v>
      </c>
      <c r="I8088" t="s">
        <v>30919</v>
      </c>
      <c r="J8088" t="s">
        <v>36152</v>
      </c>
      <c r="K8088" t="s">
        <v>40287</v>
      </c>
      <c r="L8088" t="s">
        <v>325</v>
      </c>
      <c r="M8088" t="s">
        <v>40876</v>
      </c>
      <c r="N8088" t="s">
        <v>44759</v>
      </c>
      <c r="O8088" t="s">
        <v>44760</v>
      </c>
      <c r="P8088">
        <v>0</v>
      </c>
      <c r="Q8088">
        <v>0</v>
      </c>
      <c r="R8088" t="s">
        <v>44768</v>
      </c>
      <c r="S8088" t="s">
        <v>44982</v>
      </c>
      <c r="T8088" t="s">
        <v>46709</v>
      </c>
      <c r="U8088" t="s">
        <v>53683</v>
      </c>
      <c r="V8088" t="s">
        <v>59987</v>
      </c>
      <c r="W8088" t="s">
        <v>40876</v>
      </c>
      <c r="X8088" t="s">
        <v>44770</v>
      </c>
    </row>
    <row r="8089" spans="1:24">
      <c r="A8089">
        <f>HYPERLINK("https://www.philgeps.gov.ph/GEPSNONPILOT/Tender/SplashBidNoticeAbstractUI.aspx?menuIndex=3&amp;refID=7137479&amp;Result=3","7137479")</f>
        <v>0</v>
      </c>
      <c r="B8089" t="s">
        <v>2671</v>
      </c>
      <c r="C8089" t="s">
        <v>11423</v>
      </c>
      <c r="D8089" t="s">
        <v>17959</v>
      </c>
      <c r="E8089" t="s">
        <v>25117</v>
      </c>
      <c r="F8089" t="s">
        <v>30900</v>
      </c>
      <c r="G8089" t="s">
        <v>30907</v>
      </c>
      <c r="H8089" t="s">
        <v>30916</v>
      </c>
      <c r="I8089" t="s">
        <v>4017</v>
      </c>
      <c r="J8089" t="s">
        <v>36153</v>
      </c>
      <c r="K8089" t="s">
        <v>40289</v>
      </c>
      <c r="M8089" t="s">
        <v>43441</v>
      </c>
      <c r="N8089" t="s">
        <v>44759</v>
      </c>
      <c r="O8089" t="s">
        <v>44760</v>
      </c>
      <c r="Q8089">
        <v>16</v>
      </c>
      <c r="R8089" t="s">
        <v>44768</v>
      </c>
      <c r="S8089" t="s">
        <v>44989</v>
      </c>
      <c r="T8089" t="s">
        <v>46805</v>
      </c>
      <c r="U8089" t="s">
        <v>53684</v>
      </c>
      <c r="W8089" t="s">
        <v>43441</v>
      </c>
      <c r="X8089" t="s">
        <v>44770</v>
      </c>
    </row>
    <row r="8090" spans="1:24">
      <c r="A8090">
        <f>HYPERLINK("https://www.philgeps.gov.ph/GEPSNONPILOT/Tender/SplashBidNoticeAbstractUI.aspx?menuIndex=3&amp;refID=7137595&amp;Result=3","7137595")</f>
        <v>0</v>
      </c>
      <c r="B8090" t="s">
        <v>2672</v>
      </c>
      <c r="C8090" t="s">
        <v>11424</v>
      </c>
      <c r="D8090" t="s">
        <v>17998</v>
      </c>
      <c r="E8090" t="s">
        <v>25118</v>
      </c>
      <c r="F8090" t="s">
        <v>30900</v>
      </c>
      <c r="G8090" t="s">
        <v>30907</v>
      </c>
      <c r="H8090" t="s">
        <v>30915</v>
      </c>
      <c r="I8090" t="s">
        <v>30919</v>
      </c>
      <c r="J8090" t="s">
        <v>36154</v>
      </c>
      <c r="K8090" t="s">
        <v>40346</v>
      </c>
      <c r="M8090" t="s">
        <v>43442</v>
      </c>
      <c r="N8090" t="s">
        <v>44759</v>
      </c>
      <c r="O8090" t="s">
        <v>44760</v>
      </c>
      <c r="P8090">
        <v>0</v>
      </c>
      <c r="Q8090">
        <v>0</v>
      </c>
      <c r="R8090" t="s">
        <v>44768</v>
      </c>
      <c r="S8090" t="s">
        <v>44982</v>
      </c>
      <c r="T8090" t="s">
        <v>46445</v>
      </c>
      <c r="U8090" t="s">
        <v>53685</v>
      </c>
      <c r="W8090" t="s">
        <v>43442</v>
      </c>
      <c r="X8090" t="s">
        <v>44770</v>
      </c>
    </row>
    <row r="8091" spans="1:24">
      <c r="A8091">
        <f>HYPERLINK("https://www.philgeps.gov.ph/GEPSNONPILOT/Tender/SplashBidNoticeAbstractUI.aspx?menuIndex=3&amp;refID=7137440&amp;Result=3","7137440")</f>
        <v>0</v>
      </c>
      <c r="B8091" t="s">
        <v>42</v>
      </c>
      <c r="C8091" t="s">
        <v>4240</v>
      </c>
      <c r="D8091" t="s">
        <v>17967</v>
      </c>
      <c r="E8091" t="s">
        <v>25119</v>
      </c>
      <c r="F8091" t="s">
        <v>30900</v>
      </c>
      <c r="G8091" t="s">
        <v>30907</v>
      </c>
      <c r="H8091" t="s">
        <v>30916</v>
      </c>
      <c r="I8091" t="s">
        <v>30923</v>
      </c>
      <c r="J8091" t="s">
        <v>36155</v>
      </c>
      <c r="K8091" t="s">
        <v>40284</v>
      </c>
      <c r="M8091" t="s">
        <v>40588</v>
      </c>
      <c r="N8091" t="s">
        <v>44759</v>
      </c>
      <c r="O8091" t="s">
        <v>44760</v>
      </c>
      <c r="P8091">
        <v>0</v>
      </c>
      <c r="Q8091">
        <v>8</v>
      </c>
      <c r="R8091" t="s">
        <v>44768</v>
      </c>
      <c r="S8091" t="s">
        <v>44982</v>
      </c>
      <c r="T8091" t="s">
        <v>46403</v>
      </c>
      <c r="U8091" t="s">
        <v>53686</v>
      </c>
      <c r="W8091" t="s">
        <v>40588</v>
      </c>
      <c r="X8091" t="s">
        <v>44770</v>
      </c>
    </row>
    <row r="8092" spans="1:24">
      <c r="A8092">
        <f>HYPERLINK("https://www.philgeps.gov.ph/GEPSNONPILOT/Tender/SplashBidNoticeAbstractUI.aspx?menuIndex=3&amp;refID=7137494&amp;Result=3","7137494")</f>
        <v>0</v>
      </c>
      <c r="B8092" t="s">
        <v>1399</v>
      </c>
      <c r="C8092" t="s">
        <v>11425</v>
      </c>
      <c r="D8092" t="s">
        <v>18017</v>
      </c>
      <c r="E8092" t="s">
        <v>25120</v>
      </c>
      <c r="F8092" t="s">
        <v>30900</v>
      </c>
      <c r="G8092" t="s">
        <v>30907</v>
      </c>
      <c r="H8092" t="s">
        <v>30916</v>
      </c>
      <c r="I8092" t="s">
        <v>30923</v>
      </c>
      <c r="J8092" t="s">
        <v>36156</v>
      </c>
      <c r="K8092" t="s">
        <v>40287</v>
      </c>
      <c r="M8092" t="s">
        <v>42025</v>
      </c>
      <c r="N8092" t="s">
        <v>44759</v>
      </c>
      <c r="O8092" t="s">
        <v>44760</v>
      </c>
      <c r="P8092">
        <v>0</v>
      </c>
      <c r="Q8092">
        <v>6</v>
      </c>
      <c r="R8092" t="s">
        <v>44768</v>
      </c>
      <c r="S8092" t="s">
        <v>44982</v>
      </c>
      <c r="T8092" t="s">
        <v>46760</v>
      </c>
      <c r="U8092" t="s">
        <v>49799</v>
      </c>
      <c r="V8092" t="s">
        <v>59988</v>
      </c>
      <c r="W8092" t="s">
        <v>42025</v>
      </c>
      <c r="X8092" t="s">
        <v>44770</v>
      </c>
    </row>
    <row r="8093" spans="1:24">
      <c r="A8093">
        <f>HYPERLINK("https://www.philgeps.gov.ph/GEPSNONPILOT/Tender/SplashBidNoticeAbstractUI.aspx?menuIndex=3&amp;refID=7137480&amp;Result=3","7137480")</f>
        <v>0</v>
      </c>
      <c r="B8093" t="s">
        <v>73</v>
      </c>
      <c r="C8093" t="s">
        <v>11426</v>
      </c>
      <c r="D8093" t="s">
        <v>17983</v>
      </c>
      <c r="E8093" t="s">
        <v>25121</v>
      </c>
      <c r="F8093" t="s">
        <v>30900</v>
      </c>
      <c r="G8093" t="s">
        <v>30907</v>
      </c>
      <c r="H8093" t="s">
        <v>30916</v>
      </c>
      <c r="I8093" t="s">
        <v>8044</v>
      </c>
      <c r="J8093" t="s">
        <v>31522</v>
      </c>
      <c r="K8093" t="s">
        <v>40286</v>
      </c>
      <c r="M8093" t="s">
        <v>40620</v>
      </c>
      <c r="N8093" t="s">
        <v>44759</v>
      </c>
      <c r="O8093" t="s">
        <v>44760</v>
      </c>
      <c r="P8093">
        <v>0</v>
      </c>
      <c r="Q8093">
        <v>0</v>
      </c>
      <c r="R8093" t="s">
        <v>44768</v>
      </c>
      <c r="S8093" t="s">
        <v>44982</v>
      </c>
      <c r="T8093" t="s">
        <v>46658</v>
      </c>
      <c r="U8093" t="s">
        <v>53687</v>
      </c>
      <c r="W8093" t="s">
        <v>40620</v>
      </c>
      <c r="X8093" t="s">
        <v>44770</v>
      </c>
    </row>
    <row r="8094" spans="1:24">
      <c r="A8094">
        <f>HYPERLINK("https://www.philgeps.gov.ph/GEPSNONPILOT/Tender/SplashBidNoticeAbstractUI.aspx?menuIndex=3&amp;refID=7137373&amp;Result=3","7137373")</f>
        <v>0</v>
      </c>
      <c r="B8094" t="s">
        <v>2310</v>
      </c>
      <c r="C8094" t="s">
        <v>11427</v>
      </c>
      <c r="D8094" t="s">
        <v>17952</v>
      </c>
      <c r="E8094" t="s">
        <v>25122</v>
      </c>
      <c r="F8094" t="s">
        <v>30900</v>
      </c>
      <c r="G8094" t="s">
        <v>30908</v>
      </c>
      <c r="H8094" t="s">
        <v>30916</v>
      </c>
      <c r="I8094" t="s">
        <v>4108</v>
      </c>
      <c r="J8094" t="s">
        <v>31313</v>
      </c>
      <c r="K8094" t="s">
        <v>40289</v>
      </c>
      <c r="M8094" t="s">
        <v>43443</v>
      </c>
      <c r="N8094" t="s">
        <v>44759</v>
      </c>
      <c r="O8094" t="s">
        <v>44760</v>
      </c>
      <c r="P8094">
        <v>0</v>
      </c>
      <c r="Q8094">
        <v>4</v>
      </c>
      <c r="R8094" t="s">
        <v>44768</v>
      </c>
      <c r="S8094" t="s">
        <v>44982</v>
      </c>
      <c r="T8094" t="s">
        <v>46533</v>
      </c>
      <c r="U8094" t="s">
        <v>53688</v>
      </c>
      <c r="W8094" t="s">
        <v>43443</v>
      </c>
      <c r="X8094" t="s">
        <v>44770</v>
      </c>
    </row>
    <row r="8095" spans="1:24">
      <c r="A8095">
        <f>HYPERLINK("https://www.philgeps.gov.ph/GEPSNONPILOT/Tender/SplashBidNoticeAbstractUI.aspx?menuIndex=3&amp;refID=7137364&amp;Result=3","7137364")</f>
        <v>0</v>
      </c>
      <c r="B8095" t="s">
        <v>325</v>
      </c>
      <c r="C8095" t="s">
        <v>11428</v>
      </c>
      <c r="D8095" t="s">
        <v>17995</v>
      </c>
      <c r="E8095" t="s">
        <v>25123</v>
      </c>
      <c r="F8095" t="s">
        <v>30900</v>
      </c>
      <c r="G8095" t="s">
        <v>30907</v>
      </c>
      <c r="H8095" t="s">
        <v>30916</v>
      </c>
      <c r="I8095" t="s">
        <v>30939</v>
      </c>
      <c r="J8095" t="s">
        <v>36157</v>
      </c>
      <c r="K8095" t="s">
        <v>40304</v>
      </c>
      <c r="L8095" t="s">
        <v>325</v>
      </c>
      <c r="M8095" t="s">
        <v>40876</v>
      </c>
      <c r="N8095" t="s">
        <v>44759</v>
      </c>
      <c r="O8095" t="s">
        <v>44760</v>
      </c>
      <c r="P8095">
        <v>0</v>
      </c>
      <c r="Q8095">
        <v>0</v>
      </c>
      <c r="R8095" t="s">
        <v>44768</v>
      </c>
      <c r="S8095" t="s">
        <v>44982</v>
      </c>
      <c r="T8095" t="s">
        <v>46709</v>
      </c>
      <c r="U8095" t="s">
        <v>53689</v>
      </c>
      <c r="V8095" t="s">
        <v>59987</v>
      </c>
      <c r="W8095" t="s">
        <v>40876</v>
      </c>
      <c r="X8095" t="s">
        <v>44770</v>
      </c>
    </row>
    <row r="8096" spans="1:24">
      <c r="A8096">
        <f>HYPERLINK("https://www.philgeps.gov.ph/GEPSNONPILOT/Tender/SplashBidNoticeAbstractUI.aspx?menuIndex=3&amp;refID=7136990&amp;Result=3","7136990")</f>
        <v>0</v>
      </c>
      <c r="B8096" t="s">
        <v>2666</v>
      </c>
      <c r="C8096" t="s">
        <v>11429</v>
      </c>
      <c r="D8096" t="s">
        <v>17991</v>
      </c>
      <c r="E8096" t="s">
        <v>25124</v>
      </c>
      <c r="F8096" t="s">
        <v>30900</v>
      </c>
      <c r="G8096" t="s">
        <v>30907</v>
      </c>
      <c r="H8096" t="s">
        <v>30916</v>
      </c>
      <c r="I8096" t="s">
        <v>8123</v>
      </c>
      <c r="J8096" t="s">
        <v>36158</v>
      </c>
      <c r="K8096" t="s">
        <v>40289</v>
      </c>
      <c r="M8096" t="s">
        <v>43436</v>
      </c>
      <c r="N8096" t="s">
        <v>44759</v>
      </c>
      <c r="O8096" t="s">
        <v>44760</v>
      </c>
      <c r="P8096">
        <v>0</v>
      </c>
      <c r="Q8096">
        <v>0</v>
      </c>
      <c r="R8096" t="s">
        <v>44768</v>
      </c>
      <c r="S8096" t="s">
        <v>44982</v>
      </c>
      <c r="T8096" t="s">
        <v>46806</v>
      </c>
      <c r="U8096" t="s">
        <v>53666</v>
      </c>
      <c r="W8096" t="s">
        <v>43436</v>
      </c>
      <c r="X8096" t="s">
        <v>44770</v>
      </c>
    </row>
    <row r="8097" spans="1:24">
      <c r="A8097">
        <f>HYPERLINK("https://www.philgeps.gov.ph/GEPSNONPILOT/Tender/SplashBidNoticeAbstractUI.aspx?menuIndex=3&amp;refID=7137296&amp;Result=3","7137296")</f>
        <v>0</v>
      </c>
      <c r="B8097" t="s">
        <v>2150</v>
      </c>
      <c r="C8097" t="s">
        <v>11430</v>
      </c>
      <c r="D8097" t="s">
        <v>17951</v>
      </c>
      <c r="E8097" t="s">
        <v>25125</v>
      </c>
      <c r="F8097" t="s">
        <v>30900</v>
      </c>
      <c r="G8097" t="s">
        <v>30907</v>
      </c>
      <c r="H8097" t="s">
        <v>30915</v>
      </c>
      <c r="I8097" t="s">
        <v>30957</v>
      </c>
      <c r="J8097" t="s">
        <v>36159</v>
      </c>
      <c r="K8097" t="s">
        <v>40304</v>
      </c>
      <c r="M8097" t="s">
        <v>42854</v>
      </c>
      <c r="N8097" t="s">
        <v>44759</v>
      </c>
      <c r="O8097" t="s">
        <v>44760</v>
      </c>
      <c r="P8097">
        <v>0</v>
      </c>
      <c r="Q8097">
        <v>1</v>
      </c>
      <c r="R8097" t="s">
        <v>44768</v>
      </c>
      <c r="S8097" t="s">
        <v>44982</v>
      </c>
      <c r="T8097" t="s">
        <v>46497</v>
      </c>
      <c r="U8097" t="s">
        <v>53690</v>
      </c>
      <c r="W8097" t="s">
        <v>42854</v>
      </c>
      <c r="X8097" t="s">
        <v>44770</v>
      </c>
    </row>
    <row r="8098" spans="1:24">
      <c r="A8098">
        <f>HYPERLINK("https://www.philgeps.gov.ph/GEPSNONPILOT/Tender/SplashBidNoticeAbstractUI.aspx?menuIndex=3&amp;refID=7137692&amp;Result=3","7137692")</f>
        <v>0</v>
      </c>
      <c r="B8098" t="s">
        <v>1314</v>
      </c>
      <c r="C8098" t="s">
        <v>11431</v>
      </c>
      <c r="D8098" t="s">
        <v>18019</v>
      </c>
      <c r="E8098" t="s">
        <v>25126</v>
      </c>
      <c r="F8098" t="s">
        <v>30900</v>
      </c>
      <c r="G8098" t="s">
        <v>30913</v>
      </c>
      <c r="H8098" t="s">
        <v>7411</v>
      </c>
      <c r="I8098" t="s">
        <v>7411</v>
      </c>
      <c r="J8098" t="s">
        <v>36160</v>
      </c>
      <c r="K8098" t="s">
        <v>40289</v>
      </c>
      <c r="L8098" t="s">
        <v>1314</v>
      </c>
      <c r="M8098" t="s">
        <v>41932</v>
      </c>
      <c r="N8098" t="s">
        <v>44759</v>
      </c>
      <c r="O8098" t="s">
        <v>44760</v>
      </c>
      <c r="Q8098">
        <v>4</v>
      </c>
      <c r="R8098" t="s">
        <v>44768</v>
      </c>
      <c r="S8098" t="s">
        <v>44990</v>
      </c>
      <c r="T8098" t="s">
        <v>46508</v>
      </c>
      <c r="U8098" t="s">
        <v>53691</v>
      </c>
      <c r="W8098" t="s">
        <v>41932</v>
      </c>
      <c r="X8098" t="s">
        <v>44770</v>
      </c>
    </row>
    <row r="8099" spans="1:24">
      <c r="A8099">
        <f>HYPERLINK("https://www.philgeps.gov.ph/GEPSNONPILOT/Tender/SplashBidNoticeAbstractUI.aspx?menuIndex=3&amp;refID=7137971&amp;Result=3","7137971")</f>
        <v>0</v>
      </c>
      <c r="B8099" t="s">
        <v>2673</v>
      </c>
      <c r="C8099" t="s">
        <v>11432</v>
      </c>
      <c r="D8099" t="s">
        <v>17985</v>
      </c>
      <c r="E8099" t="s">
        <v>25127</v>
      </c>
      <c r="F8099" t="s">
        <v>30900</v>
      </c>
      <c r="G8099" t="s">
        <v>30907</v>
      </c>
      <c r="H8099" t="s">
        <v>30915</v>
      </c>
      <c r="I8099" t="s">
        <v>30919</v>
      </c>
      <c r="J8099" t="s">
        <v>36161</v>
      </c>
      <c r="K8099" t="s">
        <v>40322</v>
      </c>
      <c r="M8099" t="s">
        <v>43444</v>
      </c>
      <c r="N8099" t="s">
        <v>44759</v>
      </c>
      <c r="O8099" t="s">
        <v>44760</v>
      </c>
      <c r="Q8099">
        <v>0</v>
      </c>
      <c r="R8099" t="s">
        <v>44768</v>
      </c>
      <c r="S8099" t="s">
        <v>44991</v>
      </c>
      <c r="T8099" t="s">
        <v>46476</v>
      </c>
      <c r="U8099" t="s">
        <v>53692</v>
      </c>
      <c r="W8099" t="s">
        <v>43444</v>
      </c>
      <c r="X8099" t="s">
        <v>44770</v>
      </c>
    </row>
    <row r="8100" spans="1:24">
      <c r="A8100">
        <f>HYPERLINK("https://www.philgeps.gov.ph/GEPSNONPILOT/Tender/SplashBidNoticeAbstractUI.aspx?menuIndex=3&amp;refID=7137464&amp;Result=3","7137464")</f>
        <v>0</v>
      </c>
      <c r="B8100" t="s">
        <v>2674</v>
      </c>
      <c r="C8100" t="s">
        <v>4322</v>
      </c>
      <c r="D8100" t="s">
        <v>17963</v>
      </c>
      <c r="E8100" t="s">
        <v>18066</v>
      </c>
      <c r="F8100" t="s">
        <v>30900</v>
      </c>
      <c r="G8100" t="s">
        <v>30907</v>
      </c>
      <c r="H8100" t="s">
        <v>30916</v>
      </c>
      <c r="I8100" t="s">
        <v>5501</v>
      </c>
      <c r="J8100" t="s">
        <v>31096</v>
      </c>
      <c r="K8100" t="s">
        <v>40283</v>
      </c>
      <c r="M8100" t="s">
        <v>43445</v>
      </c>
      <c r="N8100" t="s">
        <v>44759</v>
      </c>
      <c r="O8100" t="s">
        <v>44760</v>
      </c>
      <c r="P8100">
        <v>0</v>
      </c>
      <c r="Q8100">
        <v>2</v>
      </c>
      <c r="R8100" t="s">
        <v>44768</v>
      </c>
      <c r="S8100" t="s">
        <v>44982</v>
      </c>
      <c r="T8100" t="s">
        <v>46658</v>
      </c>
      <c r="U8100" t="s">
        <v>53693</v>
      </c>
      <c r="W8100" t="s">
        <v>43445</v>
      </c>
      <c r="X8100" t="s">
        <v>44770</v>
      </c>
    </row>
    <row r="8101" spans="1:24">
      <c r="A8101">
        <f>HYPERLINK("https://www.philgeps.gov.ph/GEPSNONPILOT/Tender/SplashBidNoticeAbstractUI.aspx?menuIndex=3&amp;refID=7138076&amp;Result=3","7138076")</f>
        <v>0</v>
      </c>
      <c r="B8101" t="s">
        <v>2673</v>
      </c>
      <c r="C8101" t="s">
        <v>11433</v>
      </c>
      <c r="D8101" t="s">
        <v>17985</v>
      </c>
      <c r="E8101" t="s">
        <v>25128</v>
      </c>
      <c r="F8101" t="s">
        <v>30900</v>
      </c>
      <c r="G8101" t="s">
        <v>30907</v>
      </c>
      <c r="H8101" t="s">
        <v>30915</v>
      </c>
      <c r="I8101" t="s">
        <v>30919</v>
      </c>
      <c r="J8101" t="s">
        <v>36162</v>
      </c>
      <c r="K8101" t="s">
        <v>40304</v>
      </c>
      <c r="M8101" t="s">
        <v>43444</v>
      </c>
      <c r="N8101" t="s">
        <v>44759</v>
      </c>
      <c r="O8101" t="s">
        <v>44760</v>
      </c>
      <c r="Q8101">
        <v>0</v>
      </c>
      <c r="R8101" t="s">
        <v>44768</v>
      </c>
      <c r="S8101" t="s">
        <v>44992</v>
      </c>
      <c r="T8101" t="s">
        <v>46476</v>
      </c>
      <c r="U8101" t="s">
        <v>53694</v>
      </c>
      <c r="W8101" t="s">
        <v>43444</v>
      </c>
      <c r="X8101" t="s">
        <v>44770</v>
      </c>
    </row>
    <row r="8102" spans="1:24">
      <c r="A8102">
        <f>HYPERLINK("https://www.philgeps.gov.ph/GEPSNONPILOT/Tender/SplashBidNoticeAbstractUI.aspx?menuIndex=3&amp;refID=7138063&amp;Result=3","7138063")</f>
        <v>0</v>
      </c>
      <c r="B8102" t="s">
        <v>1399</v>
      </c>
      <c r="C8102" t="s">
        <v>11434</v>
      </c>
      <c r="D8102" t="s">
        <v>18017</v>
      </c>
      <c r="E8102" t="s">
        <v>25129</v>
      </c>
      <c r="F8102" t="s">
        <v>30900</v>
      </c>
      <c r="G8102" t="s">
        <v>30906</v>
      </c>
      <c r="H8102" t="s">
        <v>30916</v>
      </c>
      <c r="I8102" t="s">
        <v>4108</v>
      </c>
      <c r="J8102" t="s">
        <v>32153</v>
      </c>
      <c r="K8102" t="s">
        <v>40287</v>
      </c>
      <c r="M8102" t="s">
        <v>42025</v>
      </c>
      <c r="N8102" t="s">
        <v>44759</v>
      </c>
      <c r="O8102" t="s">
        <v>44760</v>
      </c>
      <c r="P8102">
        <v>0</v>
      </c>
      <c r="Q8102">
        <v>0</v>
      </c>
      <c r="R8102" t="s">
        <v>44768</v>
      </c>
      <c r="S8102" t="s">
        <v>44982</v>
      </c>
      <c r="T8102" t="s">
        <v>46760</v>
      </c>
      <c r="U8102" t="s">
        <v>53695</v>
      </c>
      <c r="W8102" t="s">
        <v>42025</v>
      </c>
      <c r="X8102" t="s">
        <v>44770</v>
      </c>
    </row>
    <row r="8103" spans="1:24">
      <c r="A8103">
        <f>HYPERLINK("https://www.philgeps.gov.ph/GEPSNONPILOT/Tender/SplashBidNoticeAbstractUI.aspx?menuIndex=3&amp;refID=7138002&amp;Result=3","7138002")</f>
        <v>0</v>
      </c>
      <c r="B8103" t="s">
        <v>1399</v>
      </c>
      <c r="C8103" t="s">
        <v>6785</v>
      </c>
      <c r="D8103" t="s">
        <v>18017</v>
      </c>
      <c r="E8103" t="s">
        <v>25130</v>
      </c>
      <c r="F8103" t="s">
        <v>30900</v>
      </c>
      <c r="G8103" t="s">
        <v>30906</v>
      </c>
      <c r="H8103" t="s">
        <v>30916</v>
      </c>
      <c r="I8103" t="s">
        <v>30923</v>
      </c>
      <c r="J8103" t="s">
        <v>36163</v>
      </c>
      <c r="K8103" t="s">
        <v>40287</v>
      </c>
      <c r="M8103" t="s">
        <v>42025</v>
      </c>
      <c r="N8103" t="s">
        <v>44759</v>
      </c>
      <c r="O8103" t="s">
        <v>44760</v>
      </c>
      <c r="P8103">
        <v>0</v>
      </c>
      <c r="Q8103">
        <v>4</v>
      </c>
      <c r="R8103" t="s">
        <v>44768</v>
      </c>
      <c r="S8103" t="s">
        <v>44982</v>
      </c>
      <c r="T8103" t="s">
        <v>46760</v>
      </c>
      <c r="U8103" t="s">
        <v>53695</v>
      </c>
      <c r="W8103" t="s">
        <v>42025</v>
      </c>
      <c r="X8103" t="s">
        <v>44770</v>
      </c>
    </row>
    <row r="8104" spans="1:24">
      <c r="A8104">
        <f>HYPERLINK("https://www.philgeps.gov.ph/GEPSNONPILOT/Tender/SplashBidNoticeAbstractUI.aspx?menuIndex=3&amp;refID=7137958&amp;Result=3","7137958")</f>
        <v>0</v>
      </c>
      <c r="B8104" t="s">
        <v>1399</v>
      </c>
      <c r="C8104" t="s">
        <v>4750</v>
      </c>
      <c r="D8104" t="s">
        <v>18017</v>
      </c>
      <c r="E8104" t="s">
        <v>25131</v>
      </c>
      <c r="F8104" t="s">
        <v>30900</v>
      </c>
      <c r="G8104" t="s">
        <v>30907</v>
      </c>
      <c r="H8104" t="s">
        <v>30916</v>
      </c>
      <c r="I8104" t="s">
        <v>5501</v>
      </c>
      <c r="J8104" t="s">
        <v>36164</v>
      </c>
      <c r="K8104" t="s">
        <v>40287</v>
      </c>
      <c r="M8104" t="s">
        <v>42025</v>
      </c>
      <c r="N8104" t="s">
        <v>44759</v>
      </c>
      <c r="O8104" t="s">
        <v>44760</v>
      </c>
      <c r="P8104">
        <v>0</v>
      </c>
      <c r="Q8104">
        <v>0</v>
      </c>
      <c r="R8104" t="s">
        <v>44768</v>
      </c>
      <c r="S8104" t="s">
        <v>44982</v>
      </c>
      <c r="T8104" t="s">
        <v>46760</v>
      </c>
      <c r="U8104" t="s">
        <v>53696</v>
      </c>
      <c r="V8104" t="s">
        <v>59989</v>
      </c>
      <c r="W8104" t="s">
        <v>42025</v>
      </c>
      <c r="X8104" t="s">
        <v>44770</v>
      </c>
    </row>
    <row r="8105" spans="1:24">
      <c r="A8105">
        <f>HYPERLINK("https://www.philgeps.gov.ph/GEPSNONPILOT/Tender/SplashBidNoticeAbstractUI.aspx?menuIndex=3&amp;refID=7137980&amp;Result=3","7137980")</f>
        <v>0</v>
      </c>
      <c r="B8105" t="s">
        <v>2675</v>
      </c>
      <c r="C8105" t="s">
        <v>11435</v>
      </c>
      <c r="D8105" t="s">
        <v>17980</v>
      </c>
      <c r="E8105" t="s">
        <v>25132</v>
      </c>
      <c r="F8105" t="s">
        <v>30900</v>
      </c>
      <c r="G8105" t="s">
        <v>30907</v>
      </c>
      <c r="H8105" t="s">
        <v>30915</v>
      </c>
      <c r="I8105" t="s">
        <v>30919</v>
      </c>
      <c r="J8105" t="s">
        <v>36165</v>
      </c>
      <c r="K8105" t="s">
        <v>40450</v>
      </c>
      <c r="M8105" t="s">
        <v>43446</v>
      </c>
      <c r="N8105" t="s">
        <v>44759</v>
      </c>
      <c r="O8105" t="s">
        <v>44760</v>
      </c>
      <c r="P8105">
        <v>0</v>
      </c>
      <c r="Q8105">
        <v>4</v>
      </c>
      <c r="R8105" t="s">
        <v>44768</v>
      </c>
      <c r="S8105" t="s">
        <v>44982</v>
      </c>
      <c r="T8105" t="s">
        <v>46411</v>
      </c>
      <c r="U8105" t="s">
        <v>53697</v>
      </c>
      <c r="W8105" t="s">
        <v>43446</v>
      </c>
      <c r="X8105" t="s">
        <v>44770</v>
      </c>
    </row>
    <row r="8106" spans="1:24">
      <c r="A8106">
        <f>HYPERLINK("https://www.philgeps.gov.ph/GEPSNONPILOT/Tender/SplashBidNoticeAbstractUI.aspx?menuIndex=3&amp;refID=7137491&amp;Result=3","7137491")</f>
        <v>0</v>
      </c>
      <c r="B8106" t="s">
        <v>2676</v>
      </c>
      <c r="C8106" t="s">
        <v>11436</v>
      </c>
      <c r="D8106" t="s">
        <v>18022</v>
      </c>
      <c r="E8106" t="s">
        <v>25133</v>
      </c>
      <c r="F8106" t="s">
        <v>30900</v>
      </c>
      <c r="G8106" t="s">
        <v>30907</v>
      </c>
      <c r="H8106" t="s">
        <v>30916</v>
      </c>
      <c r="I8106" t="s">
        <v>30974</v>
      </c>
      <c r="J8106" t="s">
        <v>36166</v>
      </c>
      <c r="K8106" t="s">
        <v>40284</v>
      </c>
      <c r="M8106" t="s">
        <v>43447</v>
      </c>
      <c r="N8106" t="s">
        <v>44759</v>
      </c>
      <c r="O8106" t="s">
        <v>44760</v>
      </c>
      <c r="P8106">
        <v>0</v>
      </c>
      <c r="Q8106">
        <v>0</v>
      </c>
      <c r="R8106" t="s">
        <v>44768</v>
      </c>
      <c r="S8106" t="s">
        <v>44982</v>
      </c>
      <c r="T8106" t="s">
        <v>46533</v>
      </c>
      <c r="U8106" t="s">
        <v>53698</v>
      </c>
      <c r="W8106" t="s">
        <v>43447</v>
      </c>
      <c r="X8106" t="s">
        <v>44770</v>
      </c>
    </row>
    <row r="8107" spans="1:24">
      <c r="A8107">
        <f>HYPERLINK("https://www.philgeps.gov.ph/GEPSNONPILOT/Tender/SplashBidNoticeAbstractUI.aspx?menuIndex=3&amp;refID=7137975&amp;Result=3","7137975")</f>
        <v>0</v>
      </c>
      <c r="B8107" t="s">
        <v>1399</v>
      </c>
      <c r="C8107" t="s">
        <v>11437</v>
      </c>
      <c r="D8107" t="s">
        <v>18017</v>
      </c>
      <c r="E8107" t="s">
        <v>25134</v>
      </c>
      <c r="F8107" t="s">
        <v>30900</v>
      </c>
      <c r="G8107" t="s">
        <v>30907</v>
      </c>
      <c r="H8107" t="s">
        <v>30916</v>
      </c>
      <c r="I8107" t="s">
        <v>30921</v>
      </c>
      <c r="J8107" t="s">
        <v>36167</v>
      </c>
      <c r="K8107" t="s">
        <v>40287</v>
      </c>
      <c r="M8107" t="s">
        <v>42025</v>
      </c>
      <c r="N8107" t="s">
        <v>44759</v>
      </c>
      <c r="O8107" t="s">
        <v>44760</v>
      </c>
      <c r="P8107">
        <v>0</v>
      </c>
      <c r="Q8107">
        <v>3</v>
      </c>
      <c r="R8107" t="s">
        <v>44768</v>
      </c>
      <c r="S8107" t="s">
        <v>44982</v>
      </c>
      <c r="T8107" t="s">
        <v>46760</v>
      </c>
      <c r="U8107" t="s">
        <v>53696</v>
      </c>
      <c r="V8107" t="s">
        <v>59990</v>
      </c>
      <c r="W8107" t="s">
        <v>42025</v>
      </c>
      <c r="X8107" t="s">
        <v>44770</v>
      </c>
    </row>
    <row r="8108" spans="1:24">
      <c r="A8108">
        <f>HYPERLINK("https://www.philgeps.gov.ph/GEPSNONPILOT/Tender/SplashBidNoticeAbstractUI.aspx?menuIndex=3&amp;refID=7138062&amp;Result=3","7138062")</f>
        <v>0</v>
      </c>
      <c r="B8108" t="s">
        <v>377</v>
      </c>
      <c r="C8108" t="s">
        <v>11438</v>
      </c>
      <c r="D8108" t="s">
        <v>17951</v>
      </c>
      <c r="E8108" t="s">
        <v>19994</v>
      </c>
      <c r="F8108" t="s">
        <v>30900</v>
      </c>
      <c r="G8108" t="s">
        <v>30907</v>
      </c>
      <c r="H8108" t="s">
        <v>30916</v>
      </c>
      <c r="I8108" t="s">
        <v>4545</v>
      </c>
      <c r="J8108" t="s">
        <v>36168</v>
      </c>
      <c r="K8108" t="s">
        <v>40286</v>
      </c>
      <c r="M8108" t="s">
        <v>40931</v>
      </c>
      <c r="N8108" t="s">
        <v>44759</v>
      </c>
      <c r="O8108" t="s">
        <v>44760</v>
      </c>
      <c r="P8108">
        <v>0</v>
      </c>
      <c r="Q8108">
        <v>8</v>
      </c>
      <c r="R8108" t="s">
        <v>44768</v>
      </c>
      <c r="S8108" t="s">
        <v>44982</v>
      </c>
      <c r="T8108" t="s">
        <v>46531</v>
      </c>
      <c r="U8108" t="s">
        <v>53699</v>
      </c>
      <c r="W8108" t="s">
        <v>40931</v>
      </c>
      <c r="X8108" t="s">
        <v>44770</v>
      </c>
    </row>
    <row r="8109" spans="1:24">
      <c r="A8109">
        <f>HYPERLINK("https://www.philgeps.gov.ph/GEPSNONPILOT/Tender/SplashBidNoticeAbstractUI.aspx?menuIndex=3&amp;refID=7137805&amp;Result=3","7137805")</f>
        <v>0</v>
      </c>
      <c r="B8109" t="s">
        <v>42</v>
      </c>
      <c r="C8109" t="s">
        <v>11439</v>
      </c>
      <c r="D8109" t="s">
        <v>17967</v>
      </c>
      <c r="E8109" t="s">
        <v>19306</v>
      </c>
      <c r="F8109" t="s">
        <v>30900</v>
      </c>
      <c r="G8109" t="s">
        <v>30907</v>
      </c>
      <c r="H8109" t="s">
        <v>30916</v>
      </c>
      <c r="I8109" t="s">
        <v>8044</v>
      </c>
      <c r="J8109" t="s">
        <v>36169</v>
      </c>
      <c r="K8109" t="s">
        <v>40284</v>
      </c>
      <c r="M8109" t="s">
        <v>40588</v>
      </c>
      <c r="N8109" t="s">
        <v>44759</v>
      </c>
      <c r="O8109" t="s">
        <v>44760</v>
      </c>
      <c r="P8109">
        <v>0</v>
      </c>
      <c r="Q8109">
        <v>0</v>
      </c>
      <c r="R8109" t="s">
        <v>44768</v>
      </c>
      <c r="S8109" t="s">
        <v>44982</v>
      </c>
      <c r="T8109" t="s">
        <v>46403</v>
      </c>
      <c r="U8109" t="s">
        <v>53700</v>
      </c>
      <c r="W8109" t="s">
        <v>40588</v>
      </c>
      <c r="X8109" t="s">
        <v>44770</v>
      </c>
    </row>
    <row r="8110" spans="1:24">
      <c r="A8110">
        <f>HYPERLINK("https://www.philgeps.gov.ph/GEPSNONPILOT/Tender/SplashBidNoticeAbstractUI.aspx?menuIndex=3&amp;refID=7137368&amp;Result=3","7137368")</f>
        <v>0</v>
      </c>
      <c r="B8110" t="s">
        <v>2676</v>
      </c>
      <c r="C8110" t="s">
        <v>11440</v>
      </c>
      <c r="D8110" t="s">
        <v>18022</v>
      </c>
      <c r="E8110" t="s">
        <v>25135</v>
      </c>
      <c r="F8110" t="s">
        <v>30900</v>
      </c>
      <c r="G8110" t="s">
        <v>30907</v>
      </c>
      <c r="H8110" t="s">
        <v>30916</v>
      </c>
      <c r="I8110" t="s">
        <v>30926</v>
      </c>
      <c r="J8110" t="s">
        <v>36170</v>
      </c>
      <c r="K8110" t="s">
        <v>40284</v>
      </c>
      <c r="M8110" t="s">
        <v>43447</v>
      </c>
      <c r="N8110" t="s">
        <v>44759</v>
      </c>
      <c r="O8110" t="s">
        <v>44760</v>
      </c>
      <c r="P8110">
        <v>0</v>
      </c>
      <c r="Q8110">
        <v>0</v>
      </c>
      <c r="R8110" t="s">
        <v>44768</v>
      </c>
      <c r="S8110" t="s">
        <v>44982</v>
      </c>
      <c r="T8110" t="s">
        <v>46533</v>
      </c>
      <c r="U8110" t="s">
        <v>53701</v>
      </c>
      <c r="W8110" t="s">
        <v>43447</v>
      </c>
      <c r="X8110" t="s">
        <v>44770</v>
      </c>
    </row>
    <row r="8111" spans="1:24">
      <c r="A8111">
        <f>HYPERLINK("https://www.philgeps.gov.ph/GEPSNONPILOT/Tender/SplashBidNoticeAbstractUI.aspx?menuIndex=3&amp;refID=7137804&amp;Result=3","7137804")</f>
        <v>0</v>
      </c>
      <c r="B8111" t="s">
        <v>1413</v>
      </c>
      <c r="C8111" t="s">
        <v>11441</v>
      </c>
      <c r="D8111" t="s">
        <v>18019</v>
      </c>
      <c r="E8111" t="s">
        <v>25136</v>
      </c>
      <c r="F8111" t="s">
        <v>30900</v>
      </c>
      <c r="G8111" t="s">
        <v>30910</v>
      </c>
      <c r="H8111" t="s">
        <v>30916</v>
      </c>
      <c r="I8111" t="s">
        <v>30924</v>
      </c>
      <c r="J8111" t="s">
        <v>36171</v>
      </c>
      <c r="K8111" t="s">
        <v>40287</v>
      </c>
      <c r="M8111" t="s">
        <v>42042</v>
      </c>
      <c r="N8111" t="s">
        <v>44759</v>
      </c>
      <c r="O8111" t="s">
        <v>44760</v>
      </c>
      <c r="P8111">
        <v>0</v>
      </c>
      <c r="Q8111">
        <v>1</v>
      </c>
      <c r="R8111" t="s">
        <v>44768</v>
      </c>
      <c r="S8111" t="s">
        <v>44982</v>
      </c>
      <c r="T8111" t="s">
        <v>46398</v>
      </c>
      <c r="U8111" t="s">
        <v>53702</v>
      </c>
      <c r="V8111" t="s">
        <v>59991</v>
      </c>
      <c r="W8111" t="s">
        <v>42042</v>
      </c>
      <c r="X8111" t="s">
        <v>44770</v>
      </c>
    </row>
    <row r="8112" spans="1:24">
      <c r="A8112">
        <f>HYPERLINK("https://www.philgeps.gov.ph/GEPSNONPILOT/Tender/SplashBidNoticeAbstractUI.aspx?menuIndex=3&amp;refID=7137776&amp;Result=3","7137776")</f>
        <v>0</v>
      </c>
      <c r="B8112" t="s">
        <v>2253</v>
      </c>
      <c r="C8112" t="s">
        <v>11442</v>
      </c>
      <c r="D8112" t="s">
        <v>17959</v>
      </c>
      <c r="E8112" t="s">
        <v>25137</v>
      </c>
      <c r="F8112" t="s">
        <v>30900</v>
      </c>
      <c r="G8112" t="s">
        <v>30908</v>
      </c>
      <c r="H8112" t="s">
        <v>30916</v>
      </c>
      <c r="I8112" t="s">
        <v>30924</v>
      </c>
      <c r="J8112" t="s">
        <v>31105</v>
      </c>
      <c r="K8112" t="s">
        <v>40286</v>
      </c>
      <c r="M8112" t="s">
        <v>42965</v>
      </c>
      <c r="N8112" t="s">
        <v>44759</v>
      </c>
      <c r="O8112" t="s">
        <v>44760</v>
      </c>
      <c r="P8112">
        <v>0</v>
      </c>
      <c r="Q8112">
        <v>4</v>
      </c>
      <c r="R8112" t="s">
        <v>44768</v>
      </c>
      <c r="S8112" t="s">
        <v>44982</v>
      </c>
      <c r="T8112" t="s">
        <v>46389</v>
      </c>
      <c r="U8112" t="s">
        <v>53703</v>
      </c>
      <c r="W8112" t="s">
        <v>42965</v>
      </c>
      <c r="X8112" t="s">
        <v>44770</v>
      </c>
    </row>
    <row r="8113" spans="1:24">
      <c r="A8113">
        <f>HYPERLINK("https://www.philgeps.gov.ph/GEPSNONPILOT/Tender/SplashBidNoticeAbstractUI.aspx?menuIndex=3&amp;refID=7137748&amp;Result=3","7137748")</f>
        <v>0</v>
      </c>
      <c r="B8113" t="s">
        <v>42</v>
      </c>
      <c r="C8113" t="s">
        <v>11443</v>
      </c>
      <c r="D8113" t="s">
        <v>17967</v>
      </c>
      <c r="E8113" t="s">
        <v>25138</v>
      </c>
      <c r="F8113" t="s">
        <v>30900</v>
      </c>
      <c r="G8113" t="s">
        <v>30907</v>
      </c>
      <c r="H8113" t="s">
        <v>30916</v>
      </c>
      <c r="I8113" t="s">
        <v>8044</v>
      </c>
      <c r="J8113" t="s">
        <v>36172</v>
      </c>
      <c r="K8113" t="s">
        <v>40284</v>
      </c>
      <c r="M8113" t="s">
        <v>40588</v>
      </c>
      <c r="N8113" t="s">
        <v>44759</v>
      </c>
      <c r="O8113" t="s">
        <v>44760</v>
      </c>
      <c r="P8113">
        <v>0</v>
      </c>
      <c r="Q8113">
        <v>0</v>
      </c>
      <c r="R8113" t="s">
        <v>44768</v>
      </c>
      <c r="S8113" t="s">
        <v>44982</v>
      </c>
      <c r="T8113" t="s">
        <v>46403</v>
      </c>
      <c r="U8113" t="s">
        <v>53704</v>
      </c>
      <c r="W8113" t="s">
        <v>40588</v>
      </c>
      <c r="X8113" t="s">
        <v>44770</v>
      </c>
    </row>
    <row r="8114" spans="1:24">
      <c r="A8114">
        <f>HYPERLINK("https://www.philgeps.gov.ph/GEPSNONPILOT/Tender/SplashBidNoticeAbstractUI.aspx?menuIndex=3&amp;refID=7137746&amp;Result=3","7137746")</f>
        <v>0</v>
      </c>
      <c r="B8114" t="s">
        <v>73</v>
      </c>
      <c r="C8114" t="s">
        <v>11444</v>
      </c>
      <c r="D8114" t="s">
        <v>17983</v>
      </c>
      <c r="E8114" t="s">
        <v>25139</v>
      </c>
      <c r="F8114" t="s">
        <v>30900</v>
      </c>
      <c r="G8114" t="s">
        <v>30907</v>
      </c>
      <c r="H8114" t="s">
        <v>30916</v>
      </c>
      <c r="I8114" t="s">
        <v>30939</v>
      </c>
      <c r="J8114" t="s">
        <v>31243</v>
      </c>
      <c r="K8114" t="s">
        <v>40280</v>
      </c>
      <c r="M8114" t="s">
        <v>40620</v>
      </c>
      <c r="N8114" t="s">
        <v>44759</v>
      </c>
      <c r="O8114" t="s">
        <v>44760</v>
      </c>
      <c r="P8114">
        <v>0</v>
      </c>
      <c r="Q8114">
        <v>0</v>
      </c>
      <c r="R8114" t="s">
        <v>44768</v>
      </c>
      <c r="S8114" t="s">
        <v>44982</v>
      </c>
      <c r="T8114" t="s">
        <v>46658</v>
      </c>
      <c r="U8114" t="s">
        <v>53705</v>
      </c>
      <c r="W8114" t="s">
        <v>40620</v>
      </c>
      <c r="X8114" t="s">
        <v>44770</v>
      </c>
    </row>
    <row r="8115" spans="1:24">
      <c r="A8115">
        <f>HYPERLINK("https://www.philgeps.gov.ph/GEPSNONPILOT/Tender/SplashBidNoticeAbstractUI.aspx?menuIndex=3&amp;refID=7136595&amp;Result=3","7136595")</f>
        <v>0</v>
      </c>
      <c r="B8115" t="s">
        <v>2677</v>
      </c>
      <c r="C8115" t="s">
        <v>11445</v>
      </c>
      <c r="D8115" t="s">
        <v>17953</v>
      </c>
      <c r="E8115" t="s">
        <v>25140</v>
      </c>
      <c r="F8115" t="s">
        <v>30900</v>
      </c>
      <c r="G8115" t="s">
        <v>30907</v>
      </c>
      <c r="H8115" t="s">
        <v>30916</v>
      </c>
      <c r="I8115" t="s">
        <v>4108</v>
      </c>
      <c r="J8115" t="s">
        <v>36173</v>
      </c>
      <c r="K8115" t="s">
        <v>40289</v>
      </c>
      <c r="M8115" t="s">
        <v>43448</v>
      </c>
      <c r="N8115" t="s">
        <v>44759</v>
      </c>
      <c r="O8115" t="s">
        <v>44760</v>
      </c>
      <c r="P8115">
        <v>0</v>
      </c>
      <c r="Q8115">
        <v>5</v>
      </c>
      <c r="R8115" t="s">
        <v>44768</v>
      </c>
      <c r="S8115" t="s">
        <v>44982</v>
      </c>
      <c r="T8115" t="s">
        <v>46606</v>
      </c>
      <c r="U8115" t="s">
        <v>53706</v>
      </c>
      <c r="W8115" t="s">
        <v>43448</v>
      </c>
      <c r="X8115" t="s">
        <v>44770</v>
      </c>
    </row>
    <row r="8116" spans="1:24">
      <c r="A8116">
        <f>HYPERLINK("https://www.philgeps.gov.ph/GEPSNONPILOT/Tender/SplashBidNoticeAbstractUI.aspx?menuIndex=3&amp;refID=7137726&amp;Result=3","7137726")</f>
        <v>0</v>
      </c>
      <c r="B8116" t="s">
        <v>34</v>
      </c>
      <c r="C8116" t="s">
        <v>11446</v>
      </c>
      <c r="D8116" t="s">
        <v>17961</v>
      </c>
      <c r="E8116" t="s">
        <v>25141</v>
      </c>
      <c r="F8116" t="s">
        <v>30900</v>
      </c>
      <c r="G8116" t="s">
        <v>30907</v>
      </c>
      <c r="H8116" t="s">
        <v>30916</v>
      </c>
      <c r="I8116" t="s">
        <v>4545</v>
      </c>
      <c r="J8116" t="s">
        <v>36174</v>
      </c>
      <c r="K8116" t="s">
        <v>40284</v>
      </c>
      <c r="M8116" t="s">
        <v>40580</v>
      </c>
      <c r="N8116" t="s">
        <v>44759</v>
      </c>
      <c r="O8116" t="s">
        <v>44760</v>
      </c>
      <c r="P8116">
        <v>0</v>
      </c>
      <c r="Q8116">
        <v>4</v>
      </c>
      <c r="R8116" t="s">
        <v>44768</v>
      </c>
      <c r="S8116" t="s">
        <v>44982</v>
      </c>
      <c r="T8116" t="s">
        <v>46771</v>
      </c>
      <c r="U8116" t="s">
        <v>46968</v>
      </c>
      <c r="V8116" t="s">
        <v>59093</v>
      </c>
      <c r="W8116" t="s">
        <v>40580</v>
      </c>
      <c r="X8116" t="s">
        <v>44770</v>
      </c>
    </row>
    <row r="8117" spans="1:24">
      <c r="A8117">
        <f>HYPERLINK("https://www.philgeps.gov.ph/GEPSNONPILOT/Tender/SplashBidNoticeAbstractUI.aspx?menuIndex=3&amp;refID=7137916&amp;Result=3","7137916")</f>
        <v>0</v>
      </c>
      <c r="B8117" t="s">
        <v>1399</v>
      </c>
      <c r="C8117" t="s">
        <v>11447</v>
      </c>
      <c r="D8117" t="s">
        <v>18017</v>
      </c>
      <c r="E8117" t="s">
        <v>25142</v>
      </c>
      <c r="F8117" t="s">
        <v>30900</v>
      </c>
      <c r="G8117" t="s">
        <v>30907</v>
      </c>
      <c r="H8117" t="s">
        <v>30916</v>
      </c>
      <c r="I8117" t="s">
        <v>4108</v>
      </c>
      <c r="J8117" t="s">
        <v>36175</v>
      </c>
      <c r="K8117" t="s">
        <v>40287</v>
      </c>
      <c r="M8117" t="s">
        <v>42025</v>
      </c>
      <c r="N8117" t="s">
        <v>44759</v>
      </c>
      <c r="O8117" t="s">
        <v>44760</v>
      </c>
      <c r="P8117">
        <v>0</v>
      </c>
      <c r="Q8117">
        <v>1</v>
      </c>
      <c r="R8117" t="s">
        <v>44768</v>
      </c>
      <c r="S8117" t="s">
        <v>44982</v>
      </c>
      <c r="T8117" t="s">
        <v>46760</v>
      </c>
      <c r="U8117" t="s">
        <v>49799</v>
      </c>
      <c r="V8117" t="s">
        <v>59992</v>
      </c>
      <c r="W8117" t="s">
        <v>42025</v>
      </c>
      <c r="X8117" t="s">
        <v>44770</v>
      </c>
    </row>
    <row r="8118" spans="1:24">
      <c r="A8118">
        <f>HYPERLINK("https://www.philgeps.gov.ph/GEPSNONPILOT/Tender/SplashBidNoticeAbstractUI.aspx?menuIndex=3&amp;refID=7137101&amp;Result=3","7137101")</f>
        <v>0</v>
      </c>
      <c r="B8118" t="s">
        <v>2678</v>
      </c>
      <c r="C8118" t="s">
        <v>11448</v>
      </c>
      <c r="D8118" t="s">
        <v>18010</v>
      </c>
      <c r="E8118" t="s">
        <v>22265</v>
      </c>
      <c r="F8118" t="s">
        <v>30899</v>
      </c>
      <c r="G8118" t="s">
        <v>30907</v>
      </c>
      <c r="H8118" t="s">
        <v>30915</v>
      </c>
      <c r="I8118" t="s">
        <v>8123</v>
      </c>
      <c r="J8118" t="s">
        <v>31049</v>
      </c>
      <c r="K8118" t="s">
        <v>40286</v>
      </c>
      <c r="M8118" t="s">
        <v>43449</v>
      </c>
      <c r="N8118" t="s">
        <v>44759</v>
      </c>
      <c r="O8118" t="s">
        <v>44760</v>
      </c>
      <c r="P8118">
        <v>0</v>
      </c>
      <c r="Q8118">
        <v>3</v>
      </c>
      <c r="R8118" t="s">
        <v>44768</v>
      </c>
      <c r="S8118" t="s">
        <v>44982</v>
      </c>
      <c r="T8118" t="s">
        <v>46369</v>
      </c>
      <c r="U8118" t="s">
        <v>53707</v>
      </c>
      <c r="W8118" t="s">
        <v>43449</v>
      </c>
      <c r="X8118" t="s">
        <v>44770</v>
      </c>
    </row>
    <row r="8119" spans="1:24">
      <c r="A8119">
        <f>HYPERLINK("https://www.philgeps.gov.ph/GEPSNONPILOT/Tender/SplashBidNoticeAbstractUI.aspx?menuIndex=3&amp;refID=7137781&amp;Result=3","7137781")</f>
        <v>0</v>
      </c>
      <c r="B8119" t="s">
        <v>2676</v>
      </c>
      <c r="C8119" t="s">
        <v>11449</v>
      </c>
      <c r="D8119" t="s">
        <v>18022</v>
      </c>
      <c r="E8119" t="s">
        <v>25143</v>
      </c>
      <c r="F8119" t="s">
        <v>30900</v>
      </c>
      <c r="G8119" t="s">
        <v>30907</v>
      </c>
      <c r="H8119" t="s">
        <v>30916</v>
      </c>
      <c r="I8119" t="s">
        <v>5501</v>
      </c>
      <c r="J8119" t="s">
        <v>36176</v>
      </c>
      <c r="K8119" t="s">
        <v>40284</v>
      </c>
      <c r="M8119" t="s">
        <v>43447</v>
      </c>
      <c r="N8119" t="s">
        <v>44759</v>
      </c>
      <c r="O8119" t="s">
        <v>44760</v>
      </c>
      <c r="P8119">
        <v>0</v>
      </c>
      <c r="Q8119">
        <v>1</v>
      </c>
      <c r="R8119" t="s">
        <v>44768</v>
      </c>
      <c r="S8119" t="s">
        <v>44982</v>
      </c>
      <c r="T8119" t="s">
        <v>46533</v>
      </c>
      <c r="U8119" t="s">
        <v>53708</v>
      </c>
      <c r="W8119" t="s">
        <v>43447</v>
      </c>
      <c r="X8119" t="s">
        <v>44770</v>
      </c>
    </row>
    <row r="8120" spans="1:24">
      <c r="A8120">
        <f>HYPERLINK("https://www.philgeps.gov.ph/GEPSNONPILOT/Tender/SplashBidNoticeAbstractUI.aspx?menuIndex=3&amp;refID=7137740&amp;Result=3","7137740")</f>
        <v>0</v>
      </c>
      <c r="B8120" t="s">
        <v>2676</v>
      </c>
      <c r="C8120" t="s">
        <v>11450</v>
      </c>
      <c r="D8120" t="s">
        <v>18022</v>
      </c>
      <c r="E8120" t="s">
        <v>25144</v>
      </c>
      <c r="F8120" t="s">
        <v>30900</v>
      </c>
      <c r="G8120" t="s">
        <v>30907</v>
      </c>
      <c r="H8120" t="s">
        <v>30916</v>
      </c>
      <c r="I8120" t="s">
        <v>30929</v>
      </c>
      <c r="J8120" t="s">
        <v>36177</v>
      </c>
      <c r="K8120" t="s">
        <v>40284</v>
      </c>
      <c r="M8120" t="s">
        <v>43447</v>
      </c>
      <c r="N8120" t="s">
        <v>44759</v>
      </c>
      <c r="O8120" t="s">
        <v>44760</v>
      </c>
      <c r="P8120">
        <v>0</v>
      </c>
      <c r="Q8120">
        <v>4</v>
      </c>
      <c r="R8120" t="s">
        <v>44768</v>
      </c>
      <c r="S8120" t="s">
        <v>44982</v>
      </c>
      <c r="T8120" t="s">
        <v>46533</v>
      </c>
      <c r="U8120" t="s">
        <v>53709</v>
      </c>
      <c r="W8120" t="s">
        <v>43447</v>
      </c>
      <c r="X8120" t="s">
        <v>44770</v>
      </c>
    </row>
    <row r="8121" spans="1:24">
      <c r="A8121">
        <f>HYPERLINK("https://www.philgeps.gov.ph/GEPSNONPILOT/Tender/SplashBidNoticeAbstractUI.aspx?menuIndex=3&amp;refID=7137697&amp;Result=3","7137697")</f>
        <v>0</v>
      </c>
      <c r="B8121" t="s">
        <v>2679</v>
      </c>
      <c r="C8121" t="s">
        <v>11451</v>
      </c>
      <c r="D8121" t="s">
        <v>17971</v>
      </c>
      <c r="E8121" t="s">
        <v>25145</v>
      </c>
      <c r="F8121" t="s">
        <v>30900</v>
      </c>
      <c r="G8121" t="s">
        <v>30908</v>
      </c>
      <c r="H8121" t="s">
        <v>30916</v>
      </c>
      <c r="I8121" t="s">
        <v>30978</v>
      </c>
      <c r="J8121" t="s">
        <v>31183</v>
      </c>
      <c r="K8121" t="s">
        <v>40287</v>
      </c>
      <c r="M8121" t="s">
        <v>43450</v>
      </c>
      <c r="N8121" t="s">
        <v>44759</v>
      </c>
      <c r="O8121" t="s">
        <v>44760</v>
      </c>
      <c r="P8121">
        <v>0</v>
      </c>
      <c r="Q8121">
        <v>1</v>
      </c>
      <c r="R8121" t="s">
        <v>44768</v>
      </c>
      <c r="S8121" t="s">
        <v>44982</v>
      </c>
      <c r="T8121" t="s">
        <v>46581</v>
      </c>
      <c r="U8121" t="s">
        <v>53710</v>
      </c>
      <c r="W8121" t="s">
        <v>43450</v>
      </c>
      <c r="X8121" t="s">
        <v>44770</v>
      </c>
    </row>
    <row r="8122" spans="1:24">
      <c r="A8122">
        <f>HYPERLINK("https://www.philgeps.gov.ph/GEPSNONPILOT/Tender/SplashBidNoticeAbstractUI.aspx?menuIndex=3&amp;refID=7137854&amp;Result=3","7137854")</f>
        <v>0</v>
      </c>
      <c r="B8122" t="s">
        <v>432</v>
      </c>
      <c r="C8122" t="s">
        <v>11452</v>
      </c>
      <c r="D8122" t="s">
        <v>17955</v>
      </c>
      <c r="E8122" t="s">
        <v>25146</v>
      </c>
      <c r="F8122" t="s">
        <v>30900</v>
      </c>
      <c r="G8122" t="s">
        <v>30907</v>
      </c>
      <c r="H8122" t="s">
        <v>30916</v>
      </c>
      <c r="I8122" t="s">
        <v>8365</v>
      </c>
      <c r="J8122" t="s">
        <v>36178</v>
      </c>
      <c r="K8122" t="s">
        <v>40286</v>
      </c>
      <c r="M8122" t="s">
        <v>40989</v>
      </c>
      <c r="N8122" t="s">
        <v>44759</v>
      </c>
      <c r="O8122" t="s">
        <v>44760</v>
      </c>
      <c r="P8122">
        <v>0</v>
      </c>
      <c r="Q8122">
        <v>8</v>
      </c>
      <c r="R8122" t="s">
        <v>44768</v>
      </c>
      <c r="S8122" t="s">
        <v>44982</v>
      </c>
      <c r="T8122" t="s">
        <v>46428</v>
      </c>
      <c r="U8122" t="s">
        <v>53711</v>
      </c>
      <c r="V8122" t="s">
        <v>59993</v>
      </c>
      <c r="W8122" t="s">
        <v>40989</v>
      </c>
      <c r="X8122" t="s">
        <v>44770</v>
      </c>
    </row>
    <row r="8123" spans="1:24">
      <c r="A8123">
        <f>HYPERLINK("https://www.philgeps.gov.ph/GEPSNONPILOT/Tender/SplashBidNoticeAbstractUI.aspx?menuIndex=3&amp;refID=7138082&amp;Result=3","7138082")</f>
        <v>0</v>
      </c>
      <c r="B8123" t="s">
        <v>1178</v>
      </c>
      <c r="C8123" t="s">
        <v>11453</v>
      </c>
      <c r="D8123" t="s">
        <v>17994</v>
      </c>
      <c r="E8123" t="s">
        <v>25147</v>
      </c>
      <c r="F8123" t="s">
        <v>30900</v>
      </c>
      <c r="G8123" t="s">
        <v>30907</v>
      </c>
      <c r="H8123" t="s">
        <v>30916</v>
      </c>
      <c r="I8123" t="s">
        <v>30939</v>
      </c>
      <c r="J8123" t="s">
        <v>36179</v>
      </c>
      <c r="K8123" t="s">
        <v>40289</v>
      </c>
      <c r="M8123" t="s">
        <v>41785</v>
      </c>
      <c r="N8123" t="s">
        <v>44759</v>
      </c>
      <c r="O8123" t="s">
        <v>44760</v>
      </c>
      <c r="P8123">
        <v>0</v>
      </c>
      <c r="Q8123">
        <v>0</v>
      </c>
      <c r="R8123" t="s">
        <v>44768</v>
      </c>
      <c r="S8123" t="s">
        <v>44982</v>
      </c>
      <c r="T8123" t="s">
        <v>46403</v>
      </c>
      <c r="U8123" t="s">
        <v>53712</v>
      </c>
      <c r="W8123" t="s">
        <v>60854</v>
      </c>
      <c r="X8123" t="s">
        <v>44770</v>
      </c>
    </row>
    <row r="8124" spans="1:24">
      <c r="A8124">
        <f>HYPERLINK("https://www.philgeps.gov.ph/GEPSNONPILOT/Tender/SplashBidNoticeAbstractUI.aspx?menuIndex=3&amp;refID=7138383&amp;Result=3","7138383")</f>
        <v>0</v>
      </c>
      <c r="B8124" t="s">
        <v>2680</v>
      </c>
      <c r="C8124" t="s">
        <v>11454</v>
      </c>
      <c r="D8124" t="s">
        <v>17981</v>
      </c>
      <c r="E8124" t="s">
        <v>25148</v>
      </c>
      <c r="F8124" t="s">
        <v>30900</v>
      </c>
      <c r="G8124" t="s">
        <v>30907</v>
      </c>
      <c r="H8124" t="s">
        <v>30916</v>
      </c>
      <c r="I8124" t="s">
        <v>30933</v>
      </c>
      <c r="J8124" t="s">
        <v>31577</v>
      </c>
      <c r="K8124" t="s">
        <v>40289</v>
      </c>
      <c r="L8124" t="s">
        <v>2680</v>
      </c>
      <c r="M8124" t="s">
        <v>43451</v>
      </c>
      <c r="N8124" t="s">
        <v>44759</v>
      </c>
      <c r="O8124" t="s">
        <v>44760</v>
      </c>
      <c r="P8124">
        <v>0</v>
      </c>
      <c r="Q8124">
        <v>12</v>
      </c>
      <c r="R8124" t="s">
        <v>44768</v>
      </c>
      <c r="S8124" t="s">
        <v>44982</v>
      </c>
      <c r="T8124" t="s">
        <v>46662</v>
      </c>
      <c r="U8124" t="s">
        <v>53713</v>
      </c>
      <c r="W8124" t="s">
        <v>43451</v>
      </c>
      <c r="X8124" t="s">
        <v>44770</v>
      </c>
    </row>
    <row r="8125" spans="1:24">
      <c r="A8125">
        <f>HYPERLINK("https://www.philgeps.gov.ph/GEPSNONPILOT/Tender/SplashBidNoticeAbstractUI.aspx?menuIndex=3&amp;refID=7138292&amp;Result=3","7138292")</f>
        <v>0</v>
      </c>
      <c r="B8125" t="s">
        <v>2680</v>
      </c>
      <c r="C8125" t="s">
        <v>11455</v>
      </c>
      <c r="D8125" t="s">
        <v>17981</v>
      </c>
      <c r="E8125" t="s">
        <v>25149</v>
      </c>
      <c r="F8125" t="s">
        <v>30900</v>
      </c>
      <c r="G8125" t="s">
        <v>30907</v>
      </c>
      <c r="H8125" t="s">
        <v>30916</v>
      </c>
      <c r="I8125" t="s">
        <v>30927</v>
      </c>
      <c r="J8125" t="s">
        <v>32616</v>
      </c>
      <c r="K8125" t="s">
        <v>40289</v>
      </c>
      <c r="L8125" t="s">
        <v>2680</v>
      </c>
      <c r="M8125" t="s">
        <v>43451</v>
      </c>
      <c r="N8125" t="s">
        <v>44759</v>
      </c>
      <c r="O8125" t="s">
        <v>44760</v>
      </c>
      <c r="P8125">
        <v>0</v>
      </c>
      <c r="Q8125">
        <v>29</v>
      </c>
      <c r="R8125" t="s">
        <v>44768</v>
      </c>
      <c r="S8125" t="s">
        <v>44982</v>
      </c>
      <c r="T8125" t="s">
        <v>46662</v>
      </c>
      <c r="U8125" t="s">
        <v>53714</v>
      </c>
      <c r="W8125" t="s">
        <v>43451</v>
      </c>
      <c r="X8125" t="s">
        <v>44770</v>
      </c>
    </row>
    <row r="8126" spans="1:24">
      <c r="A8126">
        <f>HYPERLINK("https://www.philgeps.gov.ph/GEPSNONPILOT/Tender/SplashBidNoticeAbstractUI.aspx?menuIndex=3&amp;refID=7138140&amp;Result=3","7138140")</f>
        <v>0</v>
      </c>
      <c r="B8126" t="s">
        <v>1178</v>
      </c>
      <c r="C8126" t="s">
        <v>11456</v>
      </c>
      <c r="D8126" t="s">
        <v>17994</v>
      </c>
      <c r="E8126" t="s">
        <v>25150</v>
      </c>
      <c r="F8126" t="s">
        <v>30900</v>
      </c>
      <c r="G8126" t="s">
        <v>30907</v>
      </c>
      <c r="H8126" t="s">
        <v>30916</v>
      </c>
      <c r="I8126" t="s">
        <v>8123</v>
      </c>
      <c r="J8126" t="s">
        <v>36180</v>
      </c>
      <c r="K8126" t="s">
        <v>40289</v>
      </c>
      <c r="M8126" t="s">
        <v>41785</v>
      </c>
      <c r="N8126" t="s">
        <v>44759</v>
      </c>
      <c r="O8126" t="s">
        <v>44760</v>
      </c>
      <c r="P8126">
        <v>0</v>
      </c>
      <c r="Q8126">
        <v>0</v>
      </c>
      <c r="R8126" t="s">
        <v>44768</v>
      </c>
      <c r="S8126" t="s">
        <v>44982</v>
      </c>
      <c r="T8126" t="s">
        <v>46403</v>
      </c>
      <c r="U8126" t="s">
        <v>53715</v>
      </c>
      <c r="W8126" t="s">
        <v>60854</v>
      </c>
      <c r="X8126" t="s">
        <v>44770</v>
      </c>
    </row>
    <row r="8127" spans="1:24">
      <c r="A8127">
        <f>HYPERLINK("https://www.philgeps.gov.ph/GEPSNONPILOT/Tender/SplashBidNoticeAbstractUI.aspx?menuIndex=3&amp;refID=7138180&amp;Result=3","7138180")</f>
        <v>0</v>
      </c>
      <c r="B8127" t="s">
        <v>407</v>
      </c>
      <c r="C8127" t="s">
        <v>11457</v>
      </c>
      <c r="D8127" t="s">
        <v>18018</v>
      </c>
      <c r="E8127" t="s">
        <v>25151</v>
      </c>
      <c r="F8127" t="s">
        <v>30900</v>
      </c>
      <c r="G8127" t="s">
        <v>30907</v>
      </c>
      <c r="H8127" t="s">
        <v>30916</v>
      </c>
      <c r="I8127" t="s">
        <v>30952</v>
      </c>
      <c r="J8127" t="s">
        <v>36181</v>
      </c>
      <c r="K8127" t="s">
        <v>40287</v>
      </c>
      <c r="M8127" t="s">
        <v>40963</v>
      </c>
      <c r="N8127" t="s">
        <v>44759</v>
      </c>
      <c r="O8127" t="s">
        <v>44760</v>
      </c>
      <c r="P8127">
        <v>0</v>
      </c>
      <c r="Q8127">
        <v>4</v>
      </c>
      <c r="R8127" t="s">
        <v>44768</v>
      </c>
      <c r="S8127" t="s">
        <v>44982</v>
      </c>
      <c r="T8127" t="s">
        <v>46662</v>
      </c>
      <c r="U8127" t="s">
        <v>51526</v>
      </c>
      <c r="W8127" t="s">
        <v>40963</v>
      </c>
      <c r="X8127" t="s">
        <v>44770</v>
      </c>
    </row>
    <row r="8128" spans="1:24">
      <c r="A8128">
        <f>HYPERLINK("https://www.philgeps.gov.ph/GEPSNONPILOT/Tender/SplashBidNoticeAbstractUI.aspx?menuIndex=3&amp;refID=7138109&amp;Result=3","7138109")</f>
        <v>0</v>
      </c>
      <c r="B8128" t="s">
        <v>1399</v>
      </c>
      <c r="C8128" t="s">
        <v>11458</v>
      </c>
      <c r="D8128" t="s">
        <v>18017</v>
      </c>
      <c r="E8128" t="s">
        <v>25152</v>
      </c>
      <c r="F8128" t="s">
        <v>30900</v>
      </c>
      <c r="G8128" t="s">
        <v>30906</v>
      </c>
      <c r="H8128" t="s">
        <v>30916</v>
      </c>
      <c r="I8128" t="s">
        <v>30983</v>
      </c>
      <c r="J8128" t="s">
        <v>36182</v>
      </c>
      <c r="K8128" t="s">
        <v>40287</v>
      </c>
      <c r="M8128" t="s">
        <v>42025</v>
      </c>
      <c r="N8128" t="s">
        <v>44759</v>
      </c>
      <c r="O8128" t="s">
        <v>44760</v>
      </c>
      <c r="P8128">
        <v>0</v>
      </c>
      <c r="Q8128">
        <v>0</v>
      </c>
      <c r="R8128" t="s">
        <v>44768</v>
      </c>
      <c r="S8128" t="s">
        <v>44982</v>
      </c>
      <c r="T8128" t="s">
        <v>46760</v>
      </c>
      <c r="U8128" t="s">
        <v>53695</v>
      </c>
      <c r="W8128" t="s">
        <v>42025</v>
      </c>
      <c r="X8128" t="s">
        <v>44770</v>
      </c>
    </row>
    <row r="8129" spans="1:24">
      <c r="A8129">
        <f>HYPERLINK("https://www.philgeps.gov.ph/GEPSNONPILOT/Tender/SplashBidNoticeAbstractUI.aspx?menuIndex=3&amp;refID=7138337&amp;Result=3","7138337")</f>
        <v>0</v>
      </c>
      <c r="B8129" t="s">
        <v>2428</v>
      </c>
      <c r="C8129" t="s">
        <v>11459</v>
      </c>
      <c r="D8129" t="s">
        <v>18002</v>
      </c>
      <c r="E8129" t="s">
        <v>25153</v>
      </c>
      <c r="F8129" t="s">
        <v>30900</v>
      </c>
      <c r="G8129" t="s">
        <v>30907</v>
      </c>
      <c r="H8129" t="s">
        <v>30916</v>
      </c>
      <c r="I8129" t="s">
        <v>8044</v>
      </c>
      <c r="J8129" t="s">
        <v>36183</v>
      </c>
      <c r="K8129" t="s">
        <v>40287</v>
      </c>
      <c r="M8129" t="s">
        <v>43159</v>
      </c>
      <c r="N8129" t="s">
        <v>44759</v>
      </c>
      <c r="O8129" t="s">
        <v>44760</v>
      </c>
      <c r="P8129">
        <v>0</v>
      </c>
      <c r="Q8129">
        <v>2</v>
      </c>
      <c r="R8129" t="s">
        <v>44768</v>
      </c>
      <c r="S8129" t="s">
        <v>44982</v>
      </c>
      <c r="T8129" t="s">
        <v>46658</v>
      </c>
      <c r="U8129" t="s">
        <v>53716</v>
      </c>
      <c r="V8129" t="s">
        <v>59994</v>
      </c>
      <c r="W8129" t="s">
        <v>43159</v>
      </c>
      <c r="X8129" t="s">
        <v>44770</v>
      </c>
    </row>
    <row r="8130" spans="1:24">
      <c r="A8130">
        <f>HYPERLINK("https://www.philgeps.gov.ph/GEPSNONPILOT/Tender/SplashBidNoticeAbstractUI.aspx?menuIndex=3&amp;refID=7138112&amp;Result=3","7138112")</f>
        <v>0</v>
      </c>
      <c r="B8130" t="s">
        <v>2673</v>
      </c>
      <c r="C8130" t="s">
        <v>11460</v>
      </c>
      <c r="D8130" t="s">
        <v>17985</v>
      </c>
      <c r="E8130" t="s">
        <v>25154</v>
      </c>
      <c r="F8130" t="s">
        <v>30900</v>
      </c>
      <c r="G8130" t="s">
        <v>30907</v>
      </c>
      <c r="H8130" t="s">
        <v>30915</v>
      </c>
      <c r="I8130" t="s">
        <v>30919</v>
      </c>
      <c r="J8130" t="s">
        <v>36184</v>
      </c>
      <c r="K8130" t="s">
        <v>40342</v>
      </c>
      <c r="M8130" t="s">
        <v>43444</v>
      </c>
      <c r="N8130" t="s">
        <v>44759</v>
      </c>
      <c r="O8130" t="s">
        <v>44760</v>
      </c>
      <c r="Q8130">
        <v>0</v>
      </c>
      <c r="R8130" t="s">
        <v>44768</v>
      </c>
      <c r="S8130" t="s">
        <v>44993</v>
      </c>
      <c r="T8130" t="s">
        <v>46476</v>
      </c>
      <c r="U8130" t="s">
        <v>53717</v>
      </c>
      <c r="W8130" t="s">
        <v>43444</v>
      </c>
      <c r="X8130" t="s">
        <v>44770</v>
      </c>
    </row>
    <row r="8131" spans="1:24">
      <c r="A8131">
        <f>HYPERLINK("https://www.philgeps.gov.ph/GEPSNONPILOT/Tender/SplashBidNoticeAbstractUI.aspx?menuIndex=3&amp;refID=7138560&amp;Result=3","7138560")</f>
        <v>0</v>
      </c>
      <c r="B8131" t="s">
        <v>2680</v>
      </c>
      <c r="C8131" t="s">
        <v>11461</v>
      </c>
      <c r="D8131" t="s">
        <v>17981</v>
      </c>
      <c r="E8131" t="s">
        <v>25155</v>
      </c>
      <c r="F8131" t="s">
        <v>30900</v>
      </c>
      <c r="G8131" t="s">
        <v>30907</v>
      </c>
      <c r="H8131" t="s">
        <v>30916</v>
      </c>
      <c r="I8131" t="s">
        <v>30919</v>
      </c>
      <c r="J8131" t="s">
        <v>36185</v>
      </c>
      <c r="K8131" t="s">
        <v>40289</v>
      </c>
      <c r="L8131" t="s">
        <v>2680</v>
      </c>
      <c r="M8131" t="s">
        <v>43451</v>
      </c>
      <c r="N8131" t="s">
        <v>44759</v>
      </c>
      <c r="O8131" t="s">
        <v>44760</v>
      </c>
      <c r="P8131">
        <v>0</v>
      </c>
      <c r="Q8131">
        <v>88</v>
      </c>
      <c r="R8131" t="s">
        <v>44768</v>
      </c>
      <c r="S8131" t="s">
        <v>44982</v>
      </c>
      <c r="T8131" t="s">
        <v>46662</v>
      </c>
      <c r="U8131" t="s">
        <v>53718</v>
      </c>
      <c r="W8131" t="s">
        <v>43451</v>
      </c>
      <c r="X8131" t="s">
        <v>44770</v>
      </c>
    </row>
    <row r="8132" spans="1:24">
      <c r="A8132">
        <f>HYPERLINK("https://www.philgeps.gov.ph/GEPSNONPILOT/Tender/SplashBidNoticeAbstractUI.aspx?menuIndex=3&amp;refID=7138535&amp;Result=3","7138535")</f>
        <v>0</v>
      </c>
      <c r="B8132" t="s">
        <v>1500</v>
      </c>
      <c r="C8132" t="s">
        <v>11462</v>
      </c>
      <c r="D8132" t="s">
        <v>17978</v>
      </c>
      <c r="E8132" t="s">
        <v>25156</v>
      </c>
      <c r="F8132" t="s">
        <v>30900</v>
      </c>
      <c r="G8132" t="s">
        <v>30907</v>
      </c>
      <c r="H8132" t="s">
        <v>30916</v>
      </c>
      <c r="I8132" t="s">
        <v>30924</v>
      </c>
      <c r="J8132" t="s">
        <v>33919</v>
      </c>
      <c r="K8132" t="s">
        <v>40283</v>
      </c>
      <c r="M8132" t="s">
        <v>42141</v>
      </c>
      <c r="N8132" t="s">
        <v>44759</v>
      </c>
      <c r="O8132" t="s">
        <v>44760</v>
      </c>
      <c r="P8132">
        <v>0</v>
      </c>
      <c r="Q8132">
        <v>4</v>
      </c>
      <c r="R8132" t="s">
        <v>44768</v>
      </c>
      <c r="S8132" t="s">
        <v>44982</v>
      </c>
      <c r="T8132" t="s">
        <v>46802</v>
      </c>
      <c r="U8132" t="s">
        <v>53578</v>
      </c>
      <c r="V8132" t="s">
        <v>59995</v>
      </c>
      <c r="W8132" t="s">
        <v>42141</v>
      </c>
      <c r="X8132" t="s">
        <v>44770</v>
      </c>
    </row>
    <row r="8133" spans="1:24">
      <c r="A8133">
        <f>HYPERLINK("https://www.philgeps.gov.ph/GEPSNONPILOT/Tender/SplashBidNoticeAbstractUI.aspx?menuIndex=3&amp;refID=7138504&amp;Result=3","7138504")</f>
        <v>0</v>
      </c>
      <c r="B8133" t="s">
        <v>2673</v>
      </c>
      <c r="C8133" t="s">
        <v>11463</v>
      </c>
      <c r="D8133" t="s">
        <v>17985</v>
      </c>
      <c r="E8133" t="s">
        <v>25157</v>
      </c>
      <c r="F8133" t="s">
        <v>30900</v>
      </c>
      <c r="G8133" t="s">
        <v>30907</v>
      </c>
      <c r="H8133" t="s">
        <v>30916</v>
      </c>
      <c r="I8133" t="s">
        <v>5501</v>
      </c>
      <c r="J8133" t="s">
        <v>36186</v>
      </c>
      <c r="K8133" t="s">
        <v>40284</v>
      </c>
      <c r="M8133" t="s">
        <v>43444</v>
      </c>
      <c r="N8133" t="s">
        <v>44759</v>
      </c>
      <c r="O8133" t="s">
        <v>44760</v>
      </c>
      <c r="Q8133">
        <v>5</v>
      </c>
      <c r="R8133" t="s">
        <v>44768</v>
      </c>
      <c r="S8133" t="s">
        <v>44994</v>
      </c>
      <c r="T8133" t="s">
        <v>46476</v>
      </c>
      <c r="U8133" t="s">
        <v>53719</v>
      </c>
      <c r="W8133" t="s">
        <v>43444</v>
      </c>
      <c r="X8133" t="s">
        <v>44770</v>
      </c>
    </row>
    <row r="8134" spans="1:24">
      <c r="A8134">
        <f>HYPERLINK("https://www.philgeps.gov.ph/GEPSNONPILOT/Tender/SplashBidNoticeAbstractUI.aspx?menuIndex=3&amp;refID=7138408&amp;Result=3","7138408")</f>
        <v>0</v>
      </c>
      <c r="B8134" t="s">
        <v>2680</v>
      </c>
      <c r="C8134" t="s">
        <v>11464</v>
      </c>
      <c r="D8134" t="s">
        <v>17981</v>
      </c>
      <c r="E8134" t="s">
        <v>25158</v>
      </c>
      <c r="F8134" t="s">
        <v>30900</v>
      </c>
      <c r="G8134" t="s">
        <v>30907</v>
      </c>
      <c r="H8134" t="s">
        <v>30915</v>
      </c>
      <c r="I8134" t="s">
        <v>30919</v>
      </c>
      <c r="J8134" t="s">
        <v>36187</v>
      </c>
      <c r="K8134" t="s">
        <v>40289</v>
      </c>
      <c r="L8134" t="s">
        <v>2680</v>
      </c>
      <c r="M8134" t="s">
        <v>43451</v>
      </c>
      <c r="N8134" t="s">
        <v>44759</v>
      </c>
      <c r="O8134" t="s">
        <v>44760</v>
      </c>
      <c r="P8134">
        <v>0</v>
      </c>
      <c r="Q8134">
        <v>65</v>
      </c>
      <c r="R8134" t="s">
        <v>44768</v>
      </c>
      <c r="S8134" t="s">
        <v>44982</v>
      </c>
      <c r="T8134" t="s">
        <v>46662</v>
      </c>
      <c r="U8134" t="s">
        <v>53720</v>
      </c>
      <c r="W8134" t="s">
        <v>43451</v>
      </c>
      <c r="X8134" t="s">
        <v>44770</v>
      </c>
    </row>
    <row r="8135" spans="1:24">
      <c r="A8135">
        <f>HYPERLINK("https://www.philgeps.gov.ph/GEPSNONPILOT/Tender/SplashBidNoticeAbstractUI.aspx?menuIndex=3&amp;refID=7138124&amp;Result=3","7138124")</f>
        <v>0</v>
      </c>
      <c r="B8135" t="s">
        <v>1399</v>
      </c>
      <c r="C8135" t="s">
        <v>11465</v>
      </c>
      <c r="D8135" t="s">
        <v>18017</v>
      </c>
      <c r="E8135" t="s">
        <v>25159</v>
      </c>
      <c r="F8135" t="s">
        <v>30900</v>
      </c>
      <c r="G8135" t="s">
        <v>30906</v>
      </c>
      <c r="H8135" t="s">
        <v>30916</v>
      </c>
      <c r="I8135" t="s">
        <v>30933</v>
      </c>
      <c r="J8135" t="s">
        <v>36188</v>
      </c>
      <c r="K8135" t="s">
        <v>40286</v>
      </c>
      <c r="M8135" t="s">
        <v>42025</v>
      </c>
      <c r="N8135" t="s">
        <v>44759</v>
      </c>
      <c r="O8135" t="s">
        <v>44760</v>
      </c>
      <c r="P8135">
        <v>0</v>
      </c>
      <c r="Q8135">
        <v>2</v>
      </c>
      <c r="R8135" t="s">
        <v>44768</v>
      </c>
      <c r="S8135" t="s">
        <v>44982</v>
      </c>
      <c r="T8135" t="s">
        <v>46760</v>
      </c>
      <c r="U8135" t="s">
        <v>53695</v>
      </c>
      <c r="W8135" t="s">
        <v>42025</v>
      </c>
      <c r="X8135" t="s">
        <v>44770</v>
      </c>
    </row>
    <row r="8136" spans="1:24">
      <c r="A8136">
        <f>HYPERLINK("https://www.philgeps.gov.ph/GEPSNONPILOT/Tender/SplashBidNoticeAbstractUI.aspx?menuIndex=3&amp;refID=7138428&amp;Result=3","7138428")</f>
        <v>0</v>
      </c>
      <c r="B8136" t="s">
        <v>2428</v>
      </c>
      <c r="C8136" t="s">
        <v>11466</v>
      </c>
      <c r="D8136" t="s">
        <v>18002</v>
      </c>
      <c r="E8136" t="s">
        <v>25160</v>
      </c>
      <c r="F8136" t="s">
        <v>30900</v>
      </c>
      <c r="G8136" t="s">
        <v>30907</v>
      </c>
      <c r="H8136" t="s">
        <v>30916</v>
      </c>
      <c r="I8136" t="s">
        <v>30924</v>
      </c>
      <c r="J8136" t="s">
        <v>36189</v>
      </c>
      <c r="K8136" t="s">
        <v>40287</v>
      </c>
      <c r="M8136" t="s">
        <v>43159</v>
      </c>
      <c r="N8136" t="s">
        <v>44759</v>
      </c>
      <c r="O8136" t="s">
        <v>44760</v>
      </c>
      <c r="P8136">
        <v>0</v>
      </c>
      <c r="Q8136">
        <v>4</v>
      </c>
      <c r="R8136" t="s">
        <v>44768</v>
      </c>
      <c r="S8136" t="s">
        <v>44982</v>
      </c>
      <c r="T8136" t="s">
        <v>46658</v>
      </c>
      <c r="U8136" t="s">
        <v>53721</v>
      </c>
      <c r="V8136" t="s">
        <v>59996</v>
      </c>
      <c r="W8136" t="s">
        <v>43159</v>
      </c>
      <c r="X8136" t="s">
        <v>44770</v>
      </c>
    </row>
    <row r="8137" spans="1:24">
      <c r="A8137">
        <f>HYPERLINK("https://www.philgeps.gov.ph/GEPSNONPILOT/Tender/SplashBidNoticeAbstractUI.aspx?menuIndex=3&amp;refID=7138496&amp;Result=3","7138496")</f>
        <v>0</v>
      </c>
      <c r="B8137" t="s">
        <v>2428</v>
      </c>
      <c r="C8137" t="s">
        <v>11467</v>
      </c>
      <c r="D8137" t="s">
        <v>18002</v>
      </c>
      <c r="E8137" t="s">
        <v>25161</v>
      </c>
      <c r="F8137" t="s">
        <v>30900</v>
      </c>
      <c r="G8137" t="s">
        <v>30907</v>
      </c>
      <c r="H8137" t="s">
        <v>30916</v>
      </c>
      <c r="I8137" t="s">
        <v>30924</v>
      </c>
      <c r="J8137" t="s">
        <v>31341</v>
      </c>
      <c r="K8137" t="s">
        <v>40287</v>
      </c>
      <c r="M8137" t="s">
        <v>43159</v>
      </c>
      <c r="N8137" t="s">
        <v>44759</v>
      </c>
      <c r="O8137" t="s">
        <v>44760</v>
      </c>
      <c r="P8137">
        <v>0</v>
      </c>
      <c r="Q8137">
        <v>4</v>
      </c>
      <c r="R8137" t="s">
        <v>44768</v>
      </c>
      <c r="S8137" t="s">
        <v>44982</v>
      </c>
      <c r="T8137" t="s">
        <v>46658</v>
      </c>
      <c r="U8137" t="s">
        <v>53722</v>
      </c>
      <c r="V8137" t="s">
        <v>59994</v>
      </c>
      <c r="W8137" t="s">
        <v>43159</v>
      </c>
      <c r="X8137" t="s">
        <v>44770</v>
      </c>
    </row>
    <row r="8138" spans="1:24">
      <c r="A8138">
        <f>HYPERLINK("https://www.philgeps.gov.ph/GEPSNONPILOT/Tender/SplashBidNoticeAbstractUI.aspx?menuIndex=3&amp;refID=7138601&amp;Result=3","7138601")</f>
        <v>0</v>
      </c>
      <c r="B8138" t="s">
        <v>1791</v>
      </c>
      <c r="C8138" t="s">
        <v>11468</v>
      </c>
      <c r="D8138" t="s">
        <v>17966</v>
      </c>
      <c r="E8138" t="s">
        <v>25162</v>
      </c>
      <c r="F8138" t="s">
        <v>30900</v>
      </c>
      <c r="G8138" t="s">
        <v>30908</v>
      </c>
      <c r="H8138" t="s">
        <v>30916</v>
      </c>
      <c r="I8138" t="s">
        <v>8123</v>
      </c>
      <c r="J8138" t="s">
        <v>36190</v>
      </c>
      <c r="K8138" t="s">
        <v>40286</v>
      </c>
      <c r="M8138" t="s">
        <v>42465</v>
      </c>
      <c r="N8138" t="s">
        <v>44759</v>
      </c>
      <c r="O8138" t="s">
        <v>44760</v>
      </c>
      <c r="P8138">
        <v>0</v>
      </c>
      <c r="Q8138">
        <v>0</v>
      </c>
      <c r="R8138" t="s">
        <v>44768</v>
      </c>
      <c r="S8138" t="s">
        <v>44982</v>
      </c>
      <c r="T8138" t="s">
        <v>46760</v>
      </c>
      <c r="U8138" t="s">
        <v>53723</v>
      </c>
      <c r="V8138" t="s">
        <v>59997</v>
      </c>
      <c r="W8138" t="s">
        <v>42465</v>
      </c>
      <c r="X8138" t="s">
        <v>44770</v>
      </c>
    </row>
    <row r="8139" spans="1:24">
      <c r="A8139">
        <f>HYPERLINK("https://www.philgeps.gov.ph/GEPSNONPILOT/Tender/SplashBidNoticeAbstractUI.aspx?menuIndex=3&amp;refID=7138599&amp;Result=3","7138599")</f>
        <v>0</v>
      </c>
      <c r="B8139" t="s">
        <v>2681</v>
      </c>
      <c r="C8139" t="s">
        <v>11469</v>
      </c>
      <c r="D8139" t="s">
        <v>17984</v>
      </c>
      <c r="E8139" t="s">
        <v>25163</v>
      </c>
      <c r="F8139" t="s">
        <v>30900</v>
      </c>
      <c r="G8139" t="s">
        <v>30907</v>
      </c>
      <c r="H8139" t="s">
        <v>30915</v>
      </c>
      <c r="I8139" t="s">
        <v>30919</v>
      </c>
      <c r="J8139" t="s">
        <v>36191</v>
      </c>
      <c r="K8139" t="s">
        <v>40451</v>
      </c>
      <c r="M8139" t="s">
        <v>43452</v>
      </c>
      <c r="N8139" t="s">
        <v>44759</v>
      </c>
      <c r="O8139" t="s">
        <v>44760</v>
      </c>
      <c r="P8139">
        <v>0</v>
      </c>
      <c r="Q8139">
        <v>1</v>
      </c>
      <c r="R8139" t="s">
        <v>44768</v>
      </c>
      <c r="S8139" t="s">
        <v>44982</v>
      </c>
      <c r="T8139" t="s">
        <v>46666</v>
      </c>
      <c r="U8139" t="s">
        <v>53724</v>
      </c>
      <c r="W8139" t="s">
        <v>43452</v>
      </c>
      <c r="X8139" t="s">
        <v>44770</v>
      </c>
    </row>
    <row r="8140" spans="1:24">
      <c r="A8140">
        <f>HYPERLINK("https://www.philgeps.gov.ph/GEPSNONPILOT/Tender/SplashBidNoticeAbstractUI.aspx?menuIndex=3&amp;refID=7138948&amp;Result=3","7138948")</f>
        <v>0</v>
      </c>
      <c r="B8140" t="s">
        <v>1471</v>
      </c>
      <c r="C8140" t="s">
        <v>11470</v>
      </c>
      <c r="D8140" t="s">
        <v>18022</v>
      </c>
      <c r="E8140" t="s">
        <v>25164</v>
      </c>
      <c r="F8140" t="s">
        <v>30900</v>
      </c>
      <c r="G8140" t="s">
        <v>30907</v>
      </c>
      <c r="H8140" t="s">
        <v>30916</v>
      </c>
      <c r="I8140" t="s">
        <v>30928</v>
      </c>
      <c r="J8140" t="s">
        <v>36192</v>
      </c>
      <c r="K8140" t="s">
        <v>40286</v>
      </c>
      <c r="M8140" t="s">
        <v>42105</v>
      </c>
      <c r="N8140" t="s">
        <v>44759</v>
      </c>
      <c r="O8140" t="s">
        <v>44760</v>
      </c>
      <c r="P8140">
        <v>0</v>
      </c>
      <c r="Q8140">
        <v>10</v>
      </c>
      <c r="R8140" t="s">
        <v>44768</v>
      </c>
      <c r="S8140" t="s">
        <v>44982</v>
      </c>
      <c r="T8140" t="s">
        <v>46548</v>
      </c>
      <c r="U8140" t="s">
        <v>53725</v>
      </c>
      <c r="W8140" t="s">
        <v>42105</v>
      </c>
      <c r="X8140" t="s">
        <v>44770</v>
      </c>
    </row>
    <row r="8141" spans="1:24">
      <c r="A8141">
        <f>HYPERLINK("https://www.philgeps.gov.ph/GEPSNONPILOT/Tender/SplashBidNoticeAbstractUI.aspx?menuIndex=3&amp;refID=7138942&amp;Result=3","7138942")</f>
        <v>0</v>
      </c>
      <c r="B8141" t="s">
        <v>1060</v>
      </c>
      <c r="C8141" t="s">
        <v>11471</v>
      </c>
      <c r="D8141" t="s">
        <v>17975</v>
      </c>
      <c r="E8141" t="s">
        <v>25165</v>
      </c>
      <c r="F8141" t="s">
        <v>30900</v>
      </c>
      <c r="G8141" t="s">
        <v>30907</v>
      </c>
      <c r="H8141" t="s">
        <v>30916</v>
      </c>
      <c r="I8141" t="s">
        <v>5501</v>
      </c>
      <c r="J8141" t="s">
        <v>31101</v>
      </c>
      <c r="K8141" t="s">
        <v>40286</v>
      </c>
      <c r="M8141" t="s">
        <v>41657</v>
      </c>
      <c r="N8141" t="s">
        <v>44759</v>
      </c>
      <c r="O8141" t="s">
        <v>44760</v>
      </c>
      <c r="P8141">
        <v>0</v>
      </c>
      <c r="Q8141">
        <v>7</v>
      </c>
      <c r="R8141" t="s">
        <v>44768</v>
      </c>
      <c r="S8141" t="s">
        <v>44982</v>
      </c>
      <c r="T8141" t="s">
        <v>46393</v>
      </c>
      <c r="U8141" t="s">
        <v>48945</v>
      </c>
      <c r="W8141" t="s">
        <v>41657</v>
      </c>
      <c r="X8141" t="s">
        <v>44770</v>
      </c>
    </row>
    <row r="8142" spans="1:24">
      <c r="A8142">
        <f>HYPERLINK("https://www.philgeps.gov.ph/GEPSNONPILOT/Tender/SplashBidNoticeAbstractUI.aspx?menuIndex=3&amp;refID=7138477&amp;Result=3","7138477")</f>
        <v>0</v>
      </c>
      <c r="B8142" t="s">
        <v>2428</v>
      </c>
      <c r="C8142" t="s">
        <v>11472</v>
      </c>
      <c r="D8142" t="s">
        <v>18002</v>
      </c>
      <c r="E8142" t="s">
        <v>25166</v>
      </c>
      <c r="F8142" t="s">
        <v>30900</v>
      </c>
      <c r="G8142" t="s">
        <v>30907</v>
      </c>
      <c r="H8142" t="s">
        <v>30916</v>
      </c>
      <c r="I8142" t="s">
        <v>30924</v>
      </c>
      <c r="J8142" t="s">
        <v>32666</v>
      </c>
      <c r="K8142" t="s">
        <v>40287</v>
      </c>
      <c r="M8142" t="s">
        <v>43159</v>
      </c>
      <c r="N8142" t="s">
        <v>44759</v>
      </c>
      <c r="O8142" t="s">
        <v>44760</v>
      </c>
      <c r="P8142">
        <v>0</v>
      </c>
      <c r="Q8142">
        <v>6</v>
      </c>
      <c r="R8142" t="s">
        <v>44768</v>
      </c>
      <c r="S8142" t="s">
        <v>44982</v>
      </c>
      <c r="T8142" t="s">
        <v>46658</v>
      </c>
      <c r="U8142" t="s">
        <v>53726</v>
      </c>
      <c r="V8142" t="s">
        <v>59994</v>
      </c>
      <c r="W8142" t="s">
        <v>43159</v>
      </c>
      <c r="X8142" t="s">
        <v>44770</v>
      </c>
    </row>
    <row r="8143" spans="1:24">
      <c r="A8143">
        <f>HYPERLINK("https://www.philgeps.gov.ph/GEPSNONPILOT/Tender/SplashBidNoticeAbstractUI.aspx?menuIndex=3&amp;refID=7138920&amp;Result=3","7138920")</f>
        <v>0</v>
      </c>
      <c r="B8143" t="s">
        <v>1471</v>
      </c>
      <c r="C8143" t="s">
        <v>11473</v>
      </c>
      <c r="D8143" t="s">
        <v>18022</v>
      </c>
      <c r="E8143" t="s">
        <v>25167</v>
      </c>
      <c r="F8143" t="s">
        <v>30900</v>
      </c>
      <c r="G8143" t="s">
        <v>30907</v>
      </c>
      <c r="H8143" t="s">
        <v>30915</v>
      </c>
      <c r="I8143" t="s">
        <v>30919</v>
      </c>
      <c r="J8143" t="s">
        <v>34659</v>
      </c>
      <c r="K8143" t="s">
        <v>40301</v>
      </c>
      <c r="M8143" t="s">
        <v>42105</v>
      </c>
      <c r="N8143" t="s">
        <v>44759</v>
      </c>
      <c r="O8143" t="s">
        <v>44760</v>
      </c>
      <c r="P8143">
        <v>0</v>
      </c>
      <c r="Q8143">
        <v>1</v>
      </c>
      <c r="R8143" t="s">
        <v>44768</v>
      </c>
      <c r="S8143" t="s">
        <v>44982</v>
      </c>
      <c r="T8143" t="s">
        <v>46595</v>
      </c>
      <c r="U8143" t="s">
        <v>53727</v>
      </c>
      <c r="W8143" t="s">
        <v>42105</v>
      </c>
      <c r="X8143" t="s">
        <v>44770</v>
      </c>
    </row>
    <row r="8144" spans="1:24">
      <c r="A8144">
        <f>HYPERLINK("https://www.philgeps.gov.ph/GEPSNONPILOT/Tender/SplashBidNoticeAbstractUI.aspx?menuIndex=3&amp;refID=7138585&amp;Result=3","7138585")</f>
        <v>0</v>
      </c>
      <c r="B8144" t="s">
        <v>2681</v>
      </c>
      <c r="C8144" t="s">
        <v>11474</v>
      </c>
      <c r="D8144" t="s">
        <v>17984</v>
      </c>
      <c r="E8144" t="s">
        <v>25168</v>
      </c>
      <c r="F8144" t="s">
        <v>30900</v>
      </c>
      <c r="G8144" t="s">
        <v>30907</v>
      </c>
      <c r="H8144" t="s">
        <v>30915</v>
      </c>
      <c r="I8144" t="s">
        <v>30919</v>
      </c>
      <c r="J8144" t="s">
        <v>36193</v>
      </c>
      <c r="K8144" t="s">
        <v>40452</v>
      </c>
      <c r="M8144" t="s">
        <v>43452</v>
      </c>
      <c r="N8144" t="s">
        <v>44759</v>
      </c>
      <c r="O8144" t="s">
        <v>44760</v>
      </c>
      <c r="P8144">
        <v>0</v>
      </c>
      <c r="Q8144">
        <v>1</v>
      </c>
      <c r="R8144" t="s">
        <v>44768</v>
      </c>
      <c r="S8144" t="s">
        <v>44982</v>
      </c>
      <c r="T8144" t="s">
        <v>46666</v>
      </c>
      <c r="U8144" t="s">
        <v>53728</v>
      </c>
      <c r="W8144" t="s">
        <v>43452</v>
      </c>
      <c r="X8144" t="s">
        <v>44770</v>
      </c>
    </row>
    <row r="8145" spans="1:24">
      <c r="A8145">
        <f>HYPERLINK("https://www.philgeps.gov.ph/GEPSNONPILOT/Tender/SplashBidNoticeAbstractUI.aspx?menuIndex=3&amp;refID=7138940&amp;Result=3","7138940")</f>
        <v>0</v>
      </c>
      <c r="B8145" t="s">
        <v>1471</v>
      </c>
      <c r="C8145" t="s">
        <v>11475</v>
      </c>
      <c r="D8145" t="s">
        <v>18022</v>
      </c>
      <c r="E8145" t="s">
        <v>25107</v>
      </c>
      <c r="F8145" t="s">
        <v>30900</v>
      </c>
      <c r="G8145" t="s">
        <v>30907</v>
      </c>
      <c r="H8145" t="s">
        <v>30916</v>
      </c>
      <c r="I8145" t="s">
        <v>4142</v>
      </c>
      <c r="J8145" t="s">
        <v>36194</v>
      </c>
      <c r="K8145" t="s">
        <v>40286</v>
      </c>
      <c r="M8145" t="s">
        <v>42105</v>
      </c>
      <c r="N8145" t="s">
        <v>44759</v>
      </c>
      <c r="O8145" t="s">
        <v>44760</v>
      </c>
      <c r="P8145">
        <v>0</v>
      </c>
      <c r="Q8145">
        <v>9</v>
      </c>
      <c r="R8145" t="s">
        <v>44768</v>
      </c>
      <c r="S8145" t="s">
        <v>44982</v>
      </c>
      <c r="T8145" t="s">
        <v>46548</v>
      </c>
      <c r="U8145" t="s">
        <v>53729</v>
      </c>
      <c r="W8145" t="s">
        <v>42105</v>
      </c>
      <c r="X8145" t="s">
        <v>44770</v>
      </c>
    </row>
    <row r="8146" spans="1:24">
      <c r="A8146">
        <f>HYPERLINK("https://www.philgeps.gov.ph/GEPSNONPILOT/Tender/SplashBidNoticeAbstractUI.aspx?menuIndex=3&amp;refID=7138934&amp;Result=3","7138934")</f>
        <v>0</v>
      </c>
      <c r="B8146" t="s">
        <v>1060</v>
      </c>
      <c r="C8146" t="s">
        <v>11476</v>
      </c>
      <c r="D8146" t="s">
        <v>17975</v>
      </c>
      <c r="E8146" t="s">
        <v>25169</v>
      </c>
      <c r="F8146" t="s">
        <v>30900</v>
      </c>
      <c r="G8146" t="s">
        <v>30907</v>
      </c>
      <c r="H8146" t="s">
        <v>30916</v>
      </c>
      <c r="I8146" t="s">
        <v>30997</v>
      </c>
      <c r="J8146" t="s">
        <v>31313</v>
      </c>
      <c r="K8146" t="s">
        <v>40286</v>
      </c>
      <c r="M8146" t="s">
        <v>41657</v>
      </c>
      <c r="N8146" t="s">
        <v>44759</v>
      </c>
      <c r="O8146" t="s">
        <v>44760</v>
      </c>
      <c r="P8146">
        <v>0</v>
      </c>
      <c r="Q8146">
        <v>3</v>
      </c>
      <c r="R8146" t="s">
        <v>44768</v>
      </c>
      <c r="S8146" t="s">
        <v>44982</v>
      </c>
      <c r="T8146" t="s">
        <v>46393</v>
      </c>
      <c r="U8146" t="s">
        <v>48945</v>
      </c>
      <c r="W8146" t="s">
        <v>41657</v>
      </c>
      <c r="X8146" t="s">
        <v>44770</v>
      </c>
    </row>
    <row r="8147" spans="1:24">
      <c r="A8147">
        <f>HYPERLINK("https://www.philgeps.gov.ph/GEPSNONPILOT/Tender/SplashBidNoticeAbstractUI.aspx?menuIndex=3&amp;refID=7138954&amp;Result=3","7138954")</f>
        <v>0</v>
      </c>
      <c r="B8147" t="s">
        <v>1146</v>
      </c>
      <c r="C8147" t="s">
        <v>11477</v>
      </c>
      <c r="D8147" t="s">
        <v>18025</v>
      </c>
      <c r="E8147" t="s">
        <v>25170</v>
      </c>
      <c r="F8147" t="s">
        <v>30900</v>
      </c>
      <c r="G8147" t="s">
        <v>30907</v>
      </c>
      <c r="H8147" t="s">
        <v>30916</v>
      </c>
      <c r="I8147" t="s">
        <v>9385</v>
      </c>
      <c r="J8147" t="s">
        <v>36195</v>
      </c>
      <c r="K8147" t="s">
        <v>40287</v>
      </c>
      <c r="M8147" t="s">
        <v>41752</v>
      </c>
      <c r="N8147" t="s">
        <v>44759</v>
      </c>
      <c r="O8147" t="s">
        <v>44760</v>
      </c>
      <c r="P8147">
        <v>0</v>
      </c>
      <c r="Q8147">
        <v>11</v>
      </c>
      <c r="R8147" t="s">
        <v>44768</v>
      </c>
      <c r="S8147" t="s">
        <v>44982</v>
      </c>
      <c r="T8147" t="s">
        <v>46591</v>
      </c>
      <c r="U8147" t="s">
        <v>53730</v>
      </c>
      <c r="W8147" t="s">
        <v>41752</v>
      </c>
      <c r="X8147" t="s">
        <v>44769</v>
      </c>
    </row>
    <row r="8148" spans="1:24">
      <c r="A8148">
        <f>HYPERLINK("https://www.philgeps.gov.ph/GEPSNONPILOT/Tender/SplashBidNoticeAbstractUI.aspx?menuIndex=3&amp;refID=7138121&amp;Result=3","7138121")</f>
        <v>0</v>
      </c>
      <c r="B8148" t="s">
        <v>419</v>
      </c>
      <c r="C8148" t="s">
        <v>11478</v>
      </c>
      <c r="D8148" t="s">
        <v>18012</v>
      </c>
      <c r="E8148" t="s">
        <v>25171</v>
      </c>
      <c r="F8148" t="s">
        <v>30900</v>
      </c>
      <c r="G8148" t="s">
        <v>30907</v>
      </c>
      <c r="H8148" t="s">
        <v>30915</v>
      </c>
      <c r="I8148" t="s">
        <v>30919</v>
      </c>
      <c r="J8148" t="s">
        <v>36196</v>
      </c>
      <c r="K8148" t="s">
        <v>40304</v>
      </c>
      <c r="M8148" t="s">
        <v>40975</v>
      </c>
      <c r="N8148" t="s">
        <v>44759</v>
      </c>
      <c r="O8148" t="s">
        <v>44760</v>
      </c>
      <c r="P8148">
        <v>0</v>
      </c>
      <c r="Q8148">
        <v>0</v>
      </c>
      <c r="R8148" t="s">
        <v>44768</v>
      </c>
      <c r="S8148" t="s">
        <v>44982</v>
      </c>
      <c r="T8148" t="s">
        <v>46606</v>
      </c>
      <c r="U8148" t="s">
        <v>53731</v>
      </c>
      <c r="V8148" t="s">
        <v>59206</v>
      </c>
      <c r="W8148" t="s">
        <v>40975</v>
      </c>
      <c r="X8148" t="s">
        <v>44770</v>
      </c>
    </row>
    <row r="8149" spans="1:24">
      <c r="A8149">
        <f>HYPERLINK("https://www.philgeps.gov.ph/GEPSNONPILOT/Tender/SplashBidNoticeAbstractUI.aspx?menuIndex=3&amp;refID=7138953&amp;Result=3","7138953")</f>
        <v>0</v>
      </c>
      <c r="B8149" t="s">
        <v>2682</v>
      </c>
      <c r="C8149" t="s">
        <v>7091</v>
      </c>
      <c r="D8149" t="s">
        <v>17972</v>
      </c>
      <c r="E8149" t="s">
        <v>18169</v>
      </c>
      <c r="F8149" t="s">
        <v>30900</v>
      </c>
      <c r="G8149" t="s">
        <v>30907</v>
      </c>
      <c r="H8149" t="s">
        <v>30916</v>
      </c>
      <c r="I8149" t="s">
        <v>8123</v>
      </c>
      <c r="J8149" t="s">
        <v>36197</v>
      </c>
      <c r="K8149" t="s">
        <v>40287</v>
      </c>
      <c r="M8149" t="s">
        <v>43453</v>
      </c>
      <c r="N8149" t="s">
        <v>44759</v>
      </c>
      <c r="O8149" t="s">
        <v>44760</v>
      </c>
      <c r="P8149">
        <v>0</v>
      </c>
      <c r="Q8149">
        <v>0</v>
      </c>
      <c r="R8149" t="s">
        <v>44768</v>
      </c>
      <c r="S8149" t="s">
        <v>44982</v>
      </c>
      <c r="T8149" t="s">
        <v>46356</v>
      </c>
      <c r="U8149" t="s">
        <v>53732</v>
      </c>
      <c r="W8149" t="s">
        <v>43453</v>
      </c>
      <c r="X8149" t="s">
        <v>44769</v>
      </c>
    </row>
    <row r="8150" spans="1:24">
      <c r="A8150">
        <f>HYPERLINK("https://www.philgeps.gov.ph/GEPSNONPILOT/Tender/SplashBidNoticeAbstractUI.aspx?menuIndex=3&amp;refID=7138884&amp;Result=3","7138884")</f>
        <v>0</v>
      </c>
      <c r="B8150" t="s">
        <v>1060</v>
      </c>
      <c r="C8150" t="s">
        <v>11479</v>
      </c>
      <c r="D8150" t="s">
        <v>17975</v>
      </c>
      <c r="E8150" t="s">
        <v>25172</v>
      </c>
      <c r="F8150" t="s">
        <v>30900</v>
      </c>
      <c r="G8150" t="s">
        <v>30907</v>
      </c>
      <c r="H8150" t="s">
        <v>30916</v>
      </c>
      <c r="I8150" t="s">
        <v>30933</v>
      </c>
      <c r="J8150" t="s">
        <v>33932</v>
      </c>
      <c r="K8150" t="s">
        <v>40286</v>
      </c>
      <c r="M8150" t="s">
        <v>41657</v>
      </c>
      <c r="N8150" t="s">
        <v>44759</v>
      </c>
      <c r="O8150" t="s">
        <v>44760</v>
      </c>
      <c r="P8150">
        <v>0</v>
      </c>
      <c r="Q8150">
        <v>0</v>
      </c>
      <c r="R8150" t="s">
        <v>44768</v>
      </c>
      <c r="S8150" t="s">
        <v>44982</v>
      </c>
      <c r="T8150" t="s">
        <v>46393</v>
      </c>
      <c r="U8150" t="s">
        <v>48945</v>
      </c>
      <c r="W8150" t="s">
        <v>41657</v>
      </c>
      <c r="X8150" t="s">
        <v>44770</v>
      </c>
    </row>
    <row r="8151" spans="1:24">
      <c r="A8151">
        <f>HYPERLINK("https://www.philgeps.gov.ph/GEPSNONPILOT/Tender/SplashBidNoticeAbstractUI.aspx?menuIndex=3&amp;refID=7138913&amp;Result=3","7138913")</f>
        <v>0</v>
      </c>
      <c r="B8151" t="s">
        <v>1060</v>
      </c>
      <c r="C8151" t="s">
        <v>11480</v>
      </c>
      <c r="D8151" t="s">
        <v>17975</v>
      </c>
      <c r="E8151" t="s">
        <v>25173</v>
      </c>
      <c r="F8151" t="s">
        <v>30900</v>
      </c>
      <c r="G8151" t="s">
        <v>30907</v>
      </c>
      <c r="H8151" t="s">
        <v>30916</v>
      </c>
      <c r="I8151" t="s">
        <v>30970</v>
      </c>
      <c r="J8151" t="s">
        <v>31352</v>
      </c>
      <c r="K8151" t="s">
        <v>40286</v>
      </c>
      <c r="M8151" t="s">
        <v>41657</v>
      </c>
      <c r="N8151" t="s">
        <v>44759</v>
      </c>
      <c r="O8151" t="s">
        <v>44760</v>
      </c>
      <c r="P8151">
        <v>0</v>
      </c>
      <c r="Q8151">
        <v>3</v>
      </c>
      <c r="R8151" t="s">
        <v>44768</v>
      </c>
      <c r="S8151" t="s">
        <v>44982</v>
      </c>
      <c r="T8151" t="s">
        <v>46393</v>
      </c>
      <c r="U8151" t="s">
        <v>48945</v>
      </c>
      <c r="W8151" t="s">
        <v>41657</v>
      </c>
      <c r="X8151" t="s">
        <v>44770</v>
      </c>
    </row>
    <row r="8152" spans="1:24">
      <c r="A8152">
        <f>HYPERLINK("https://www.philgeps.gov.ph/GEPSNONPILOT/Tender/SplashBidNoticeAbstractUI.aspx?menuIndex=3&amp;refID=7138675&amp;Result=3","7138675")</f>
        <v>0</v>
      </c>
      <c r="B8152" t="s">
        <v>2683</v>
      </c>
      <c r="C8152" t="s">
        <v>4532</v>
      </c>
      <c r="D8152" t="s">
        <v>17961</v>
      </c>
      <c r="E8152" t="s">
        <v>18935</v>
      </c>
      <c r="F8152" t="s">
        <v>30900</v>
      </c>
      <c r="G8152" t="s">
        <v>30910</v>
      </c>
      <c r="H8152" t="s">
        <v>30916</v>
      </c>
      <c r="I8152" t="s">
        <v>6396</v>
      </c>
      <c r="J8152" t="s">
        <v>36198</v>
      </c>
      <c r="K8152" t="s">
        <v>40281</v>
      </c>
      <c r="M8152" t="s">
        <v>43454</v>
      </c>
      <c r="N8152" t="s">
        <v>44759</v>
      </c>
      <c r="O8152" t="s">
        <v>44760</v>
      </c>
      <c r="P8152">
        <v>0</v>
      </c>
      <c r="Q8152">
        <v>1</v>
      </c>
      <c r="R8152" t="s">
        <v>44768</v>
      </c>
      <c r="S8152" t="s">
        <v>44982</v>
      </c>
      <c r="T8152" t="s">
        <v>46398</v>
      </c>
      <c r="U8152" t="s">
        <v>53733</v>
      </c>
      <c r="W8152" t="s">
        <v>43454</v>
      </c>
      <c r="X8152" t="s">
        <v>44770</v>
      </c>
    </row>
    <row r="8153" spans="1:24">
      <c r="A8153">
        <f>HYPERLINK("https://www.philgeps.gov.ph/GEPSNONPILOT/Tender/SplashBidNoticeAbstractUI.aspx?menuIndex=3&amp;refID=7138651&amp;Result=3","7138651")</f>
        <v>0</v>
      </c>
      <c r="B8153" t="s">
        <v>1506</v>
      </c>
      <c r="C8153" t="s">
        <v>11481</v>
      </c>
      <c r="D8153" t="s">
        <v>18001</v>
      </c>
      <c r="E8153" t="s">
        <v>25174</v>
      </c>
      <c r="F8153" t="s">
        <v>30900</v>
      </c>
      <c r="G8153" t="s">
        <v>30907</v>
      </c>
      <c r="H8153" t="s">
        <v>30916</v>
      </c>
      <c r="I8153" t="s">
        <v>30923</v>
      </c>
      <c r="J8153" t="s">
        <v>36199</v>
      </c>
      <c r="K8153" t="s">
        <v>40283</v>
      </c>
      <c r="M8153" t="s">
        <v>42147</v>
      </c>
      <c r="N8153" t="s">
        <v>44759</v>
      </c>
      <c r="O8153" t="s">
        <v>44760</v>
      </c>
      <c r="P8153">
        <v>0</v>
      </c>
      <c r="Q8153">
        <v>20</v>
      </c>
      <c r="R8153" t="s">
        <v>44768</v>
      </c>
      <c r="S8153" t="s">
        <v>44982</v>
      </c>
      <c r="T8153" t="s">
        <v>46621</v>
      </c>
      <c r="U8153" t="s">
        <v>53734</v>
      </c>
      <c r="W8153" t="s">
        <v>42147</v>
      </c>
      <c r="X8153" t="s">
        <v>44770</v>
      </c>
    </row>
    <row r="8154" spans="1:24">
      <c r="A8154">
        <f>HYPERLINK("https://www.philgeps.gov.ph/GEPSNONPILOT/Tender/SplashBidNoticeAbstractUI.aspx?menuIndex=3&amp;refID=7138958&amp;Result=3","7138958")</f>
        <v>0</v>
      </c>
      <c r="B8154" t="s">
        <v>1060</v>
      </c>
      <c r="C8154" t="s">
        <v>7365</v>
      </c>
      <c r="D8154" t="s">
        <v>17975</v>
      </c>
      <c r="E8154" t="s">
        <v>25175</v>
      </c>
      <c r="F8154" t="s">
        <v>30900</v>
      </c>
      <c r="G8154" t="s">
        <v>30907</v>
      </c>
      <c r="H8154" t="s">
        <v>30916</v>
      </c>
      <c r="I8154" t="s">
        <v>5501</v>
      </c>
      <c r="J8154" t="s">
        <v>31243</v>
      </c>
      <c r="K8154" t="s">
        <v>40286</v>
      </c>
      <c r="M8154" t="s">
        <v>41657</v>
      </c>
      <c r="N8154" t="s">
        <v>44759</v>
      </c>
      <c r="O8154" t="s">
        <v>44760</v>
      </c>
      <c r="P8154">
        <v>0</v>
      </c>
      <c r="Q8154">
        <v>9</v>
      </c>
      <c r="R8154" t="s">
        <v>44768</v>
      </c>
      <c r="S8154" t="s">
        <v>44982</v>
      </c>
      <c r="T8154" t="s">
        <v>46393</v>
      </c>
      <c r="U8154" t="s">
        <v>48945</v>
      </c>
      <c r="W8154" t="s">
        <v>41657</v>
      </c>
      <c r="X8154" t="s">
        <v>44769</v>
      </c>
    </row>
    <row r="8155" spans="1:24">
      <c r="A8155">
        <f>HYPERLINK("https://www.philgeps.gov.ph/GEPSNONPILOT/Tender/SplashBidNoticeAbstractUI.aspx?menuIndex=3&amp;refID=7138639&amp;Result=3","7138639")</f>
        <v>0</v>
      </c>
      <c r="B8155" t="s">
        <v>1506</v>
      </c>
      <c r="C8155" t="s">
        <v>11482</v>
      </c>
      <c r="D8155" t="s">
        <v>18001</v>
      </c>
      <c r="E8155" t="s">
        <v>25176</v>
      </c>
      <c r="F8155" t="s">
        <v>30900</v>
      </c>
      <c r="G8155" t="s">
        <v>30907</v>
      </c>
      <c r="H8155" t="s">
        <v>30916</v>
      </c>
      <c r="I8155" t="s">
        <v>30929</v>
      </c>
      <c r="J8155" t="s">
        <v>31152</v>
      </c>
      <c r="K8155" t="s">
        <v>40283</v>
      </c>
      <c r="M8155" t="s">
        <v>42147</v>
      </c>
      <c r="N8155" t="s">
        <v>44759</v>
      </c>
      <c r="O8155" t="s">
        <v>44760</v>
      </c>
      <c r="P8155">
        <v>0</v>
      </c>
      <c r="Q8155">
        <v>17</v>
      </c>
      <c r="R8155" t="s">
        <v>44768</v>
      </c>
      <c r="S8155" t="s">
        <v>44982</v>
      </c>
      <c r="T8155" t="s">
        <v>46621</v>
      </c>
      <c r="U8155" t="s">
        <v>53734</v>
      </c>
      <c r="W8155" t="s">
        <v>42147</v>
      </c>
      <c r="X8155" t="s">
        <v>44770</v>
      </c>
    </row>
    <row r="8156" spans="1:24">
      <c r="A8156">
        <f>HYPERLINK("https://www.philgeps.gov.ph/GEPSNONPILOT/Tender/SplashBidNoticeAbstractUI.aspx?menuIndex=3&amp;refID=7138628&amp;Result=3","7138628")</f>
        <v>0</v>
      </c>
      <c r="B8156" t="s">
        <v>2684</v>
      </c>
      <c r="C8156" t="s">
        <v>11483</v>
      </c>
      <c r="D8156" t="s">
        <v>17973</v>
      </c>
      <c r="E8156" t="s">
        <v>25177</v>
      </c>
      <c r="F8156" t="s">
        <v>30900</v>
      </c>
      <c r="G8156" t="s">
        <v>30908</v>
      </c>
      <c r="H8156" t="s">
        <v>30916</v>
      </c>
      <c r="I8156" t="s">
        <v>30985</v>
      </c>
      <c r="J8156" t="s">
        <v>32138</v>
      </c>
      <c r="K8156" t="s">
        <v>40283</v>
      </c>
      <c r="M8156" t="s">
        <v>43455</v>
      </c>
      <c r="N8156" t="s">
        <v>44759</v>
      </c>
      <c r="O8156" t="s">
        <v>44760</v>
      </c>
      <c r="P8156">
        <v>0</v>
      </c>
      <c r="Q8156">
        <v>3</v>
      </c>
      <c r="R8156" t="s">
        <v>44768</v>
      </c>
      <c r="S8156" t="s">
        <v>44982</v>
      </c>
      <c r="T8156" t="s">
        <v>46533</v>
      </c>
      <c r="U8156" t="s">
        <v>53735</v>
      </c>
      <c r="W8156" t="s">
        <v>60898</v>
      </c>
      <c r="X8156" t="s">
        <v>44770</v>
      </c>
    </row>
    <row r="8157" spans="1:24">
      <c r="A8157">
        <f>HYPERLINK("https://www.philgeps.gov.ph/GEPSNONPILOT/Tender/SplashBidNoticeAbstractUI.aspx?menuIndex=3&amp;refID=7138970&amp;Result=3","7138970")</f>
        <v>0</v>
      </c>
      <c r="B8157" t="s">
        <v>2685</v>
      </c>
      <c r="C8157" t="s">
        <v>4211</v>
      </c>
      <c r="D8157" t="s">
        <v>18019</v>
      </c>
      <c r="E8157" t="s">
        <v>25178</v>
      </c>
      <c r="F8157" t="s">
        <v>30900</v>
      </c>
      <c r="G8157" t="s">
        <v>30907</v>
      </c>
      <c r="H8157" t="s">
        <v>30916</v>
      </c>
      <c r="I8157" t="s">
        <v>30919</v>
      </c>
      <c r="J8157" t="s">
        <v>31243</v>
      </c>
      <c r="K8157" t="s">
        <v>40293</v>
      </c>
      <c r="M8157" t="s">
        <v>43456</v>
      </c>
      <c r="N8157" t="s">
        <v>44759</v>
      </c>
      <c r="O8157" t="s">
        <v>44760</v>
      </c>
      <c r="P8157">
        <v>0</v>
      </c>
      <c r="Q8157">
        <v>0</v>
      </c>
      <c r="R8157" t="s">
        <v>44768</v>
      </c>
      <c r="S8157" t="s">
        <v>44982</v>
      </c>
      <c r="T8157" t="s">
        <v>46531</v>
      </c>
      <c r="U8157" t="s">
        <v>53736</v>
      </c>
      <c r="W8157" t="s">
        <v>43456</v>
      </c>
      <c r="X8157" t="s">
        <v>44769</v>
      </c>
    </row>
    <row r="8158" spans="1:24">
      <c r="A8158">
        <f>HYPERLINK("https://www.philgeps.gov.ph/GEPSNONPILOT/Tender/SplashBidNoticeAbstractUI.aspx?menuIndex=3&amp;refID=7138969&amp;Result=3","7138969")</f>
        <v>0</v>
      </c>
      <c r="B8158" t="s">
        <v>2686</v>
      </c>
      <c r="C8158" t="s">
        <v>11484</v>
      </c>
      <c r="D8158" t="s">
        <v>17963</v>
      </c>
      <c r="E8158" t="s">
        <v>25179</v>
      </c>
      <c r="F8158" t="s">
        <v>30900</v>
      </c>
      <c r="G8158" t="s">
        <v>30907</v>
      </c>
      <c r="H8158" t="s">
        <v>30917</v>
      </c>
      <c r="I8158" t="s">
        <v>30919</v>
      </c>
      <c r="J8158" t="s">
        <v>36200</v>
      </c>
      <c r="K8158" t="s">
        <v>40324</v>
      </c>
      <c r="M8158" t="s">
        <v>43457</v>
      </c>
      <c r="N8158" t="s">
        <v>44759</v>
      </c>
      <c r="O8158" t="s">
        <v>44760</v>
      </c>
      <c r="P8158">
        <v>0</v>
      </c>
      <c r="Q8158">
        <v>0</v>
      </c>
      <c r="R8158" t="s">
        <v>44768</v>
      </c>
      <c r="S8158" t="s">
        <v>44982</v>
      </c>
      <c r="T8158" t="s">
        <v>46364</v>
      </c>
      <c r="U8158" t="s">
        <v>53737</v>
      </c>
      <c r="W8158" t="s">
        <v>43457</v>
      </c>
      <c r="X8158" t="s">
        <v>44769</v>
      </c>
    </row>
    <row r="8159" spans="1:24">
      <c r="A8159">
        <f>HYPERLINK("https://www.philgeps.gov.ph/GEPSNONPILOT/Tender/SplashBidNoticeAbstractUI.aspx?menuIndex=3&amp;refID=7138968&amp;Result=3","7138968")</f>
        <v>0</v>
      </c>
      <c r="B8159" t="s">
        <v>2685</v>
      </c>
      <c r="C8159" t="s">
        <v>11485</v>
      </c>
      <c r="D8159" t="s">
        <v>18019</v>
      </c>
      <c r="E8159" t="s">
        <v>25180</v>
      </c>
      <c r="F8159" t="s">
        <v>30900</v>
      </c>
      <c r="G8159" t="s">
        <v>30907</v>
      </c>
      <c r="H8159" t="s">
        <v>30916</v>
      </c>
      <c r="I8159" t="s">
        <v>30919</v>
      </c>
      <c r="J8159" t="s">
        <v>36201</v>
      </c>
      <c r="K8159" t="s">
        <v>40280</v>
      </c>
      <c r="M8159" t="s">
        <v>43456</v>
      </c>
      <c r="N8159" t="s">
        <v>44759</v>
      </c>
      <c r="O8159" t="s">
        <v>44760</v>
      </c>
      <c r="P8159">
        <v>0</v>
      </c>
      <c r="Q8159">
        <v>0</v>
      </c>
      <c r="R8159" t="s">
        <v>44768</v>
      </c>
      <c r="S8159" t="s">
        <v>44982</v>
      </c>
      <c r="T8159" t="s">
        <v>46531</v>
      </c>
      <c r="U8159" t="s">
        <v>53738</v>
      </c>
      <c r="W8159" t="s">
        <v>43456</v>
      </c>
      <c r="X8159" t="s">
        <v>44769</v>
      </c>
    </row>
    <row r="8160" spans="1:24">
      <c r="A8160">
        <f>HYPERLINK("https://www.philgeps.gov.ph/GEPSNONPILOT/Tender/SplashBidNoticeAbstractUI.aspx?menuIndex=3&amp;refID=7139023&amp;Result=3","7139023")</f>
        <v>0</v>
      </c>
      <c r="B8160" t="s">
        <v>377</v>
      </c>
      <c r="C8160" t="s">
        <v>11486</v>
      </c>
      <c r="D8160" t="s">
        <v>17951</v>
      </c>
      <c r="E8160" t="s">
        <v>25181</v>
      </c>
      <c r="F8160" t="s">
        <v>30900</v>
      </c>
      <c r="G8160" t="s">
        <v>30907</v>
      </c>
      <c r="H8160" t="s">
        <v>30916</v>
      </c>
      <c r="I8160" t="s">
        <v>5501</v>
      </c>
      <c r="J8160" t="s">
        <v>35396</v>
      </c>
      <c r="K8160" t="s">
        <v>40286</v>
      </c>
      <c r="M8160" t="s">
        <v>40931</v>
      </c>
      <c r="N8160" t="s">
        <v>44759</v>
      </c>
      <c r="O8160" t="s">
        <v>44760</v>
      </c>
      <c r="P8160">
        <v>0</v>
      </c>
      <c r="Q8160">
        <v>2</v>
      </c>
      <c r="R8160" t="s">
        <v>44768</v>
      </c>
      <c r="S8160" t="s">
        <v>44982</v>
      </c>
      <c r="T8160" t="s">
        <v>46531</v>
      </c>
      <c r="U8160" t="s">
        <v>53739</v>
      </c>
      <c r="W8160" t="s">
        <v>40931</v>
      </c>
      <c r="X8160" t="s">
        <v>44769</v>
      </c>
    </row>
    <row r="8161" spans="1:24">
      <c r="A8161">
        <f>HYPERLINK("https://www.philgeps.gov.ph/GEPSNONPILOT/Tender/SplashBidNoticeAbstractUI.aspx?menuIndex=3&amp;refID=7138403&amp;Result=3","7138403")</f>
        <v>0</v>
      </c>
      <c r="B8161" t="s">
        <v>2673</v>
      </c>
      <c r="C8161" t="s">
        <v>11487</v>
      </c>
      <c r="D8161" t="s">
        <v>17985</v>
      </c>
      <c r="E8161" t="s">
        <v>25182</v>
      </c>
      <c r="F8161" t="s">
        <v>30900</v>
      </c>
      <c r="G8161" t="s">
        <v>30907</v>
      </c>
      <c r="H8161" t="s">
        <v>30916</v>
      </c>
      <c r="I8161" t="s">
        <v>5501</v>
      </c>
      <c r="J8161" t="s">
        <v>36202</v>
      </c>
      <c r="K8161" t="s">
        <v>40284</v>
      </c>
      <c r="M8161" t="s">
        <v>43444</v>
      </c>
      <c r="N8161" t="s">
        <v>44759</v>
      </c>
      <c r="O8161" t="s">
        <v>44760</v>
      </c>
      <c r="Q8161">
        <v>7</v>
      </c>
      <c r="R8161" t="s">
        <v>44768</v>
      </c>
      <c r="S8161" t="s">
        <v>44995</v>
      </c>
      <c r="T8161" t="s">
        <v>46476</v>
      </c>
      <c r="U8161" t="s">
        <v>53740</v>
      </c>
      <c r="W8161" t="s">
        <v>43444</v>
      </c>
      <c r="X8161" t="s">
        <v>44770</v>
      </c>
    </row>
    <row r="8162" spans="1:24">
      <c r="A8162">
        <f>HYPERLINK("https://www.philgeps.gov.ph/GEPSNONPILOT/Tender/SplashBidNoticeAbstractUI.aspx?menuIndex=3&amp;refID=7138633&amp;Result=3","7138633")</f>
        <v>0</v>
      </c>
      <c r="B8162" t="s">
        <v>1100</v>
      </c>
      <c r="C8162" t="s">
        <v>11488</v>
      </c>
      <c r="D8162" t="s">
        <v>17980</v>
      </c>
      <c r="E8162" t="s">
        <v>25183</v>
      </c>
      <c r="F8162" t="s">
        <v>30900</v>
      </c>
      <c r="G8162" t="s">
        <v>30909</v>
      </c>
      <c r="H8162" t="s">
        <v>30916</v>
      </c>
      <c r="I8162" t="s">
        <v>30921</v>
      </c>
      <c r="J8162" t="s">
        <v>36203</v>
      </c>
      <c r="K8162" t="s">
        <v>40289</v>
      </c>
      <c r="M8162" t="s">
        <v>41789</v>
      </c>
      <c r="N8162" t="s">
        <v>44759</v>
      </c>
      <c r="O8162" t="s">
        <v>44760</v>
      </c>
      <c r="P8162">
        <v>0</v>
      </c>
      <c r="Q8162">
        <v>2</v>
      </c>
      <c r="R8162" t="s">
        <v>44768</v>
      </c>
      <c r="S8162" t="s">
        <v>44982</v>
      </c>
      <c r="T8162" t="s">
        <v>46548</v>
      </c>
      <c r="U8162" t="s">
        <v>53741</v>
      </c>
      <c r="W8162" t="s">
        <v>41789</v>
      </c>
      <c r="X8162" t="s">
        <v>44770</v>
      </c>
    </row>
    <row r="8163" spans="1:24">
      <c r="A8163">
        <f>HYPERLINK("https://www.philgeps.gov.ph/GEPSNONPILOT/Tender/SplashBidNoticeAbstractUI.aspx?menuIndex=3&amp;refID=7139020&amp;Result=3","7139020")</f>
        <v>0</v>
      </c>
      <c r="B8163" t="s">
        <v>1322</v>
      </c>
      <c r="C8163" t="s">
        <v>11489</v>
      </c>
      <c r="D8163" t="s">
        <v>17996</v>
      </c>
      <c r="E8163" t="s">
        <v>25184</v>
      </c>
      <c r="F8163" t="s">
        <v>30900</v>
      </c>
      <c r="G8163" t="s">
        <v>30907</v>
      </c>
      <c r="H8163" t="s">
        <v>30915</v>
      </c>
      <c r="I8163" t="s">
        <v>30919</v>
      </c>
      <c r="J8163" t="s">
        <v>36204</v>
      </c>
      <c r="K8163" t="s">
        <v>40322</v>
      </c>
      <c r="M8163" t="s">
        <v>41941</v>
      </c>
      <c r="N8163" t="s">
        <v>44759</v>
      </c>
      <c r="O8163" t="s">
        <v>44760</v>
      </c>
      <c r="P8163">
        <v>0</v>
      </c>
      <c r="Q8163">
        <v>5</v>
      </c>
      <c r="R8163" t="s">
        <v>44768</v>
      </c>
      <c r="S8163" t="s">
        <v>44982</v>
      </c>
      <c r="T8163" t="s">
        <v>46595</v>
      </c>
      <c r="U8163" t="s">
        <v>53742</v>
      </c>
      <c r="W8163" t="s">
        <v>60858</v>
      </c>
      <c r="X8163" t="s">
        <v>44769</v>
      </c>
    </row>
    <row r="8164" spans="1:24">
      <c r="A8164">
        <f>HYPERLINK("https://www.philgeps.gov.ph/GEPSNONPILOT/Tender/SplashBidNoticeAbstractUI.aspx?menuIndex=3&amp;refID=7138332&amp;Result=3","7138332")</f>
        <v>0</v>
      </c>
      <c r="B8164" t="s">
        <v>2680</v>
      </c>
      <c r="C8164" t="s">
        <v>11490</v>
      </c>
      <c r="D8164" t="s">
        <v>17981</v>
      </c>
      <c r="E8164" t="s">
        <v>25185</v>
      </c>
      <c r="F8164" t="s">
        <v>30900</v>
      </c>
      <c r="G8164" t="s">
        <v>30907</v>
      </c>
      <c r="H8164" t="s">
        <v>30916</v>
      </c>
      <c r="I8164" t="s">
        <v>8123</v>
      </c>
      <c r="J8164" t="s">
        <v>36205</v>
      </c>
      <c r="K8164" t="s">
        <v>40289</v>
      </c>
      <c r="L8164" t="s">
        <v>2680</v>
      </c>
      <c r="M8164" t="s">
        <v>43451</v>
      </c>
      <c r="N8164" t="s">
        <v>44759</v>
      </c>
      <c r="O8164" t="s">
        <v>44760</v>
      </c>
      <c r="P8164">
        <v>0</v>
      </c>
      <c r="Q8164">
        <v>29</v>
      </c>
      <c r="R8164" t="s">
        <v>44768</v>
      </c>
      <c r="S8164" t="s">
        <v>44982</v>
      </c>
      <c r="T8164" t="s">
        <v>46662</v>
      </c>
      <c r="U8164" t="s">
        <v>53743</v>
      </c>
      <c r="W8164" t="s">
        <v>43451</v>
      </c>
      <c r="X8164" t="s">
        <v>44770</v>
      </c>
    </row>
    <row r="8165" spans="1:24">
      <c r="A8165">
        <f>HYPERLINK("https://www.philgeps.gov.ph/GEPSNONPILOT/Tender/SplashBidNoticeAbstractUI.aspx?menuIndex=3&amp;refID=7138892&amp;Result=3","7138892")</f>
        <v>0</v>
      </c>
      <c r="B8165" t="s">
        <v>1143</v>
      </c>
      <c r="C8165" t="s">
        <v>11491</v>
      </c>
      <c r="D8165" t="s">
        <v>17990</v>
      </c>
      <c r="E8165" t="s">
        <v>25186</v>
      </c>
      <c r="F8165" t="s">
        <v>30900</v>
      </c>
      <c r="G8165" t="s">
        <v>30907</v>
      </c>
      <c r="H8165" t="s">
        <v>30916</v>
      </c>
      <c r="I8165" t="s">
        <v>30924</v>
      </c>
      <c r="J8165" t="s">
        <v>36206</v>
      </c>
      <c r="K8165" t="s">
        <v>40287</v>
      </c>
      <c r="M8165" t="s">
        <v>42441</v>
      </c>
      <c r="N8165" t="s">
        <v>44759</v>
      </c>
      <c r="O8165" t="s">
        <v>44760</v>
      </c>
      <c r="P8165">
        <v>0</v>
      </c>
      <c r="Q8165">
        <v>7</v>
      </c>
      <c r="R8165" t="s">
        <v>44768</v>
      </c>
      <c r="S8165" t="s">
        <v>44982</v>
      </c>
      <c r="T8165" t="s">
        <v>46661</v>
      </c>
      <c r="U8165" t="s">
        <v>53744</v>
      </c>
      <c r="W8165" t="s">
        <v>42441</v>
      </c>
      <c r="X8165" t="s">
        <v>44770</v>
      </c>
    </row>
    <row r="8166" spans="1:24">
      <c r="A8166">
        <f>HYPERLINK("https://www.philgeps.gov.ph/GEPSNONPILOT/Tender/SplashBidNoticeAbstractUI.aspx?menuIndex=3&amp;refID=7139012&amp;Result=3","7139012")</f>
        <v>0</v>
      </c>
      <c r="B8166" t="s">
        <v>34</v>
      </c>
      <c r="C8166" t="s">
        <v>11492</v>
      </c>
      <c r="D8166" t="s">
        <v>17961</v>
      </c>
      <c r="E8166" t="s">
        <v>25187</v>
      </c>
      <c r="F8166" t="s">
        <v>30900</v>
      </c>
      <c r="G8166" t="s">
        <v>30908</v>
      </c>
      <c r="H8166" t="s">
        <v>30916</v>
      </c>
      <c r="I8166" t="s">
        <v>10847</v>
      </c>
      <c r="J8166" t="s">
        <v>31183</v>
      </c>
      <c r="K8166" t="s">
        <v>40284</v>
      </c>
      <c r="M8166" t="s">
        <v>40580</v>
      </c>
      <c r="N8166" t="s">
        <v>44759</v>
      </c>
      <c r="O8166" t="s">
        <v>44760</v>
      </c>
      <c r="P8166">
        <v>0</v>
      </c>
      <c r="Q8166">
        <v>0</v>
      </c>
      <c r="R8166" t="s">
        <v>44768</v>
      </c>
      <c r="S8166" t="s">
        <v>44982</v>
      </c>
      <c r="T8166" t="s">
        <v>46771</v>
      </c>
      <c r="U8166" t="s">
        <v>47814</v>
      </c>
      <c r="V8166" t="s">
        <v>59234</v>
      </c>
      <c r="W8166" t="s">
        <v>40580</v>
      </c>
      <c r="X8166" t="s">
        <v>44769</v>
      </c>
    </row>
    <row r="8167" spans="1:24">
      <c r="A8167">
        <f>HYPERLINK("https://www.philgeps.gov.ph/GEPSNONPILOT/Tender/SplashBidNoticeAbstractUI.aspx?menuIndex=3&amp;refID=7139016&amp;Result=3","7139016")</f>
        <v>0</v>
      </c>
      <c r="B8167" t="s">
        <v>34</v>
      </c>
      <c r="C8167" t="s">
        <v>11493</v>
      </c>
      <c r="D8167" t="s">
        <v>17961</v>
      </c>
      <c r="E8167" t="s">
        <v>25188</v>
      </c>
      <c r="F8167" t="s">
        <v>30900</v>
      </c>
      <c r="G8167" t="s">
        <v>30908</v>
      </c>
      <c r="H8167" t="s">
        <v>30916</v>
      </c>
      <c r="I8167" t="s">
        <v>4545</v>
      </c>
      <c r="J8167" t="s">
        <v>31183</v>
      </c>
      <c r="K8167" t="s">
        <v>40284</v>
      </c>
      <c r="M8167" t="s">
        <v>40580</v>
      </c>
      <c r="N8167" t="s">
        <v>44759</v>
      </c>
      <c r="O8167" t="s">
        <v>44760</v>
      </c>
      <c r="P8167">
        <v>0</v>
      </c>
      <c r="Q8167">
        <v>1</v>
      </c>
      <c r="R8167" t="s">
        <v>44768</v>
      </c>
      <c r="S8167" t="s">
        <v>44982</v>
      </c>
      <c r="T8167" t="s">
        <v>46771</v>
      </c>
      <c r="U8167" t="s">
        <v>47814</v>
      </c>
      <c r="V8167" t="s">
        <v>59234</v>
      </c>
      <c r="W8167" t="s">
        <v>40580</v>
      </c>
      <c r="X8167" t="s">
        <v>44769</v>
      </c>
    </row>
    <row r="8168" spans="1:24">
      <c r="A8168">
        <f>HYPERLINK("https://www.philgeps.gov.ph/GEPSNONPILOT/Tender/SplashBidNoticeAbstractUI.aspx?menuIndex=3&amp;refID=7139005&amp;Result=3","7139005")</f>
        <v>0</v>
      </c>
      <c r="B8168" t="s">
        <v>2687</v>
      </c>
      <c r="C8168" t="s">
        <v>11494</v>
      </c>
      <c r="D8168" t="s">
        <v>17963</v>
      </c>
      <c r="E8168" t="s">
        <v>18249</v>
      </c>
      <c r="F8168" t="s">
        <v>30900</v>
      </c>
      <c r="G8168" t="s">
        <v>30909</v>
      </c>
      <c r="H8168" t="s">
        <v>30916</v>
      </c>
      <c r="I8168" t="s">
        <v>30965</v>
      </c>
      <c r="J8168" t="s">
        <v>31048</v>
      </c>
      <c r="K8168" t="s">
        <v>40287</v>
      </c>
      <c r="M8168" t="s">
        <v>43458</v>
      </c>
      <c r="N8168" t="s">
        <v>44759</v>
      </c>
      <c r="O8168" t="s">
        <v>44760</v>
      </c>
      <c r="P8168">
        <v>0</v>
      </c>
      <c r="Q8168">
        <v>4</v>
      </c>
      <c r="R8168" t="s">
        <v>44768</v>
      </c>
      <c r="S8168" t="s">
        <v>44982</v>
      </c>
      <c r="T8168" t="s">
        <v>46591</v>
      </c>
      <c r="U8168" t="s">
        <v>53745</v>
      </c>
      <c r="W8168" t="s">
        <v>43458</v>
      </c>
      <c r="X8168" t="s">
        <v>44769</v>
      </c>
    </row>
    <row r="8169" spans="1:24">
      <c r="A8169">
        <f>HYPERLINK("https://www.philgeps.gov.ph/GEPSNONPILOT/Tender/SplashBidNoticeAbstractUI.aspx?menuIndex=3&amp;refID=7139004&amp;Result=3","7139004")</f>
        <v>0</v>
      </c>
      <c r="B8169" t="s">
        <v>2675</v>
      </c>
      <c r="C8169" t="s">
        <v>11495</v>
      </c>
      <c r="D8169" t="s">
        <v>17980</v>
      </c>
      <c r="E8169" t="s">
        <v>25189</v>
      </c>
      <c r="F8169" t="s">
        <v>30900</v>
      </c>
      <c r="G8169" t="s">
        <v>30907</v>
      </c>
      <c r="H8169" t="s">
        <v>30915</v>
      </c>
      <c r="I8169" t="s">
        <v>30919</v>
      </c>
      <c r="J8169" t="s">
        <v>36207</v>
      </c>
      <c r="K8169" t="s">
        <v>40453</v>
      </c>
      <c r="M8169" t="s">
        <v>43446</v>
      </c>
      <c r="N8169" t="s">
        <v>44759</v>
      </c>
      <c r="O8169" t="s">
        <v>44760</v>
      </c>
      <c r="P8169">
        <v>0</v>
      </c>
      <c r="Q8169">
        <v>6</v>
      </c>
      <c r="R8169" t="s">
        <v>44768</v>
      </c>
      <c r="S8169" t="s">
        <v>44982</v>
      </c>
      <c r="T8169" t="s">
        <v>46411</v>
      </c>
      <c r="U8169" t="s">
        <v>53697</v>
      </c>
      <c r="W8169" t="s">
        <v>43446</v>
      </c>
      <c r="X8169" t="s">
        <v>44769</v>
      </c>
    </row>
    <row r="8170" spans="1:24">
      <c r="A8170">
        <f>HYPERLINK("https://www.philgeps.gov.ph/GEPSNONPILOT/Tender/SplashBidNoticeAbstractUI.aspx?menuIndex=3&amp;refID=7139000&amp;Result=3","7139000")</f>
        <v>0</v>
      </c>
      <c r="B8170" t="s">
        <v>2688</v>
      </c>
      <c r="C8170" t="s">
        <v>11496</v>
      </c>
      <c r="E8170" t="s">
        <v>25190</v>
      </c>
      <c r="F8170" t="s">
        <v>30900</v>
      </c>
      <c r="G8170" t="s">
        <v>30907</v>
      </c>
      <c r="H8170" t="s">
        <v>30916</v>
      </c>
      <c r="I8170" t="s">
        <v>30927</v>
      </c>
      <c r="J8170" t="s">
        <v>31070</v>
      </c>
      <c r="K8170" t="s">
        <v>40288</v>
      </c>
      <c r="M8170" t="s">
        <v>43459</v>
      </c>
      <c r="N8170" t="s">
        <v>44759</v>
      </c>
      <c r="O8170" t="s">
        <v>44760</v>
      </c>
      <c r="P8170">
        <v>0</v>
      </c>
      <c r="Q8170">
        <v>0</v>
      </c>
      <c r="R8170" t="s">
        <v>44768</v>
      </c>
      <c r="S8170" t="s">
        <v>44982</v>
      </c>
      <c r="T8170" t="s">
        <v>46519</v>
      </c>
      <c r="U8170" t="s">
        <v>53746</v>
      </c>
      <c r="W8170" t="s">
        <v>43459</v>
      </c>
      <c r="X8170" t="s">
        <v>44769</v>
      </c>
    </row>
    <row r="8171" spans="1:24">
      <c r="A8171">
        <f>HYPERLINK("https://www.philgeps.gov.ph/GEPSNONPILOT/Tender/SplashBidNoticeAbstractUI.aspx?menuIndex=3&amp;refID=7138999&amp;Result=3","7138999")</f>
        <v>0</v>
      </c>
      <c r="B8171" t="s">
        <v>1236</v>
      </c>
      <c r="C8171" t="s">
        <v>11497</v>
      </c>
      <c r="D8171" t="s">
        <v>17998</v>
      </c>
      <c r="E8171" t="s">
        <v>25191</v>
      </c>
      <c r="F8171" t="s">
        <v>30900</v>
      </c>
      <c r="G8171" t="s">
        <v>30907</v>
      </c>
      <c r="H8171" t="s">
        <v>30916</v>
      </c>
      <c r="I8171" t="s">
        <v>30983</v>
      </c>
      <c r="J8171" t="s">
        <v>36208</v>
      </c>
      <c r="K8171" t="s">
        <v>40286</v>
      </c>
      <c r="L8171" t="s">
        <v>1236</v>
      </c>
      <c r="M8171" t="s">
        <v>41848</v>
      </c>
      <c r="N8171" t="s">
        <v>44759</v>
      </c>
      <c r="O8171" t="s">
        <v>44760</v>
      </c>
      <c r="P8171">
        <v>0</v>
      </c>
      <c r="Q8171">
        <v>0</v>
      </c>
      <c r="R8171" t="s">
        <v>44768</v>
      </c>
      <c r="S8171" t="s">
        <v>44982</v>
      </c>
      <c r="T8171" t="s">
        <v>46389</v>
      </c>
      <c r="U8171" t="s">
        <v>53747</v>
      </c>
      <c r="V8171" t="s">
        <v>59443</v>
      </c>
      <c r="W8171" t="s">
        <v>41848</v>
      </c>
      <c r="X8171" t="s">
        <v>44769</v>
      </c>
    </row>
    <row r="8172" spans="1:24">
      <c r="A8172">
        <f>HYPERLINK("https://www.philgeps.gov.ph/GEPSNONPILOT/Tender/SplashBidNoticeAbstractUI.aspx?menuIndex=3&amp;refID=7138986&amp;Result=3","7138986")</f>
        <v>0</v>
      </c>
      <c r="B8172" t="s">
        <v>2321</v>
      </c>
      <c r="C8172" t="s">
        <v>11498</v>
      </c>
      <c r="D8172" t="s">
        <v>17993</v>
      </c>
      <c r="E8172" t="s">
        <v>25192</v>
      </c>
      <c r="F8172" t="s">
        <v>30900</v>
      </c>
      <c r="G8172" t="s">
        <v>30907</v>
      </c>
      <c r="H8172" t="s">
        <v>30915</v>
      </c>
      <c r="I8172" t="s">
        <v>30934</v>
      </c>
      <c r="J8172" t="s">
        <v>36209</v>
      </c>
      <c r="K8172" t="s">
        <v>40287</v>
      </c>
      <c r="M8172" t="s">
        <v>43460</v>
      </c>
      <c r="N8172" t="s">
        <v>44759</v>
      </c>
      <c r="O8172" t="s">
        <v>44760</v>
      </c>
      <c r="P8172">
        <v>0</v>
      </c>
      <c r="Q8172">
        <v>2</v>
      </c>
      <c r="R8172" t="s">
        <v>44768</v>
      </c>
      <c r="S8172" t="s">
        <v>44982</v>
      </c>
      <c r="T8172" t="s">
        <v>46495</v>
      </c>
      <c r="U8172" t="s">
        <v>53748</v>
      </c>
      <c r="V8172" t="s">
        <v>59998</v>
      </c>
      <c r="W8172" t="s">
        <v>43460</v>
      </c>
      <c r="X8172" t="s">
        <v>44769</v>
      </c>
    </row>
    <row r="8173" spans="1:24">
      <c r="A8173">
        <f>HYPERLINK("https://www.philgeps.gov.ph/GEPSNONPILOT/Tender/SplashBidNoticeAbstractUI.aspx?menuIndex=3&amp;refID=7139006&amp;Result=3","7139006")</f>
        <v>0</v>
      </c>
      <c r="B8173" t="s">
        <v>2675</v>
      </c>
      <c r="C8173" t="s">
        <v>11499</v>
      </c>
      <c r="D8173" t="s">
        <v>17980</v>
      </c>
      <c r="E8173" t="s">
        <v>25193</v>
      </c>
      <c r="F8173" t="s">
        <v>30900</v>
      </c>
      <c r="G8173" t="s">
        <v>30907</v>
      </c>
      <c r="H8173" t="s">
        <v>30915</v>
      </c>
      <c r="I8173" t="s">
        <v>30919</v>
      </c>
      <c r="J8173" t="s">
        <v>36210</v>
      </c>
      <c r="K8173" t="s">
        <v>40454</v>
      </c>
      <c r="M8173" t="s">
        <v>43446</v>
      </c>
      <c r="N8173" t="s">
        <v>44759</v>
      </c>
      <c r="O8173" t="s">
        <v>44760</v>
      </c>
      <c r="P8173">
        <v>0</v>
      </c>
      <c r="Q8173">
        <v>4</v>
      </c>
      <c r="R8173" t="s">
        <v>44768</v>
      </c>
      <c r="S8173" t="s">
        <v>44982</v>
      </c>
      <c r="T8173" t="s">
        <v>46411</v>
      </c>
      <c r="U8173" t="s">
        <v>53697</v>
      </c>
      <c r="W8173" t="s">
        <v>43446</v>
      </c>
      <c r="X8173" t="s">
        <v>44769</v>
      </c>
    </row>
    <row r="8174" spans="1:24">
      <c r="A8174">
        <f>HYPERLINK("https://www.philgeps.gov.ph/GEPSNONPILOT/Tender/SplashBidNoticeAbstractUI.aspx?menuIndex=3&amp;refID=7138409&amp;Result=3","7138409")</f>
        <v>0</v>
      </c>
      <c r="B8174" t="s">
        <v>2689</v>
      </c>
      <c r="C8174" t="s">
        <v>11500</v>
      </c>
      <c r="D8174" t="s">
        <v>17959</v>
      </c>
      <c r="E8174" t="s">
        <v>22383</v>
      </c>
      <c r="F8174" t="s">
        <v>30900</v>
      </c>
      <c r="G8174" t="s">
        <v>30907</v>
      </c>
      <c r="H8174" t="s">
        <v>30916</v>
      </c>
      <c r="I8174" t="s">
        <v>4108</v>
      </c>
      <c r="J8174" t="s">
        <v>36211</v>
      </c>
      <c r="K8174" t="s">
        <v>40288</v>
      </c>
      <c r="M8174" t="s">
        <v>43461</v>
      </c>
      <c r="N8174" t="s">
        <v>44759</v>
      </c>
      <c r="O8174" t="s">
        <v>44760</v>
      </c>
      <c r="P8174">
        <v>0</v>
      </c>
      <c r="Q8174">
        <v>3</v>
      </c>
      <c r="R8174" t="s">
        <v>44768</v>
      </c>
      <c r="S8174" t="s">
        <v>44982</v>
      </c>
      <c r="T8174" t="s">
        <v>46625</v>
      </c>
      <c r="U8174" t="s">
        <v>53749</v>
      </c>
      <c r="W8174" t="s">
        <v>43461</v>
      </c>
      <c r="X8174" t="s">
        <v>44770</v>
      </c>
    </row>
    <row r="8175" spans="1:24">
      <c r="A8175">
        <f>HYPERLINK("https://www.philgeps.gov.ph/GEPSNONPILOT/Tender/SplashBidNoticeAbstractUI.aspx?menuIndex=3&amp;refID=7139098&amp;Result=3","7139098")</f>
        <v>0</v>
      </c>
      <c r="B8175" t="s">
        <v>2690</v>
      </c>
      <c r="C8175" t="s">
        <v>11501</v>
      </c>
      <c r="D8175" t="s">
        <v>17975</v>
      </c>
      <c r="E8175" t="s">
        <v>25194</v>
      </c>
      <c r="F8175" t="s">
        <v>30900</v>
      </c>
      <c r="G8175" t="s">
        <v>30909</v>
      </c>
      <c r="H8175" t="s">
        <v>30916</v>
      </c>
      <c r="I8175" t="s">
        <v>8123</v>
      </c>
      <c r="J8175" t="s">
        <v>36212</v>
      </c>
      <c r="K8175" t="s">
        <v>40286</v>
      </c>
      <c r="M8175" t="s">
        <v>43462</v>
      </c>
      <c r="N8175" t="s">
        <v>44759</v>
      </c>
      <c r="O8175" t="s">
        <v>44760</v>
      </c>
      <c r="P8175">
        <v>0</v>
      </c>
      <c r="Q8175">
        <v>2</v>
      </c>
      <c r="R8175" t="s">
        <v>44768</v>
      </c>
      <c r="S8175" t="s">
        <v>44982</v>
      </c>
      <c r="T8175" t="s">
        <v>46376</v>
      </c>
      <c r="U8175" t="s">
        <v>53750</v>
      </c>
      <c r="W8175" t="s">
        <v>43462</v>
      </c>
      <c r="X8175" t="s">
        <v>44769</v>
      </c>
    </row>
    <row r="8176" spans="1:24">
      <c r="A8176">
        <f>HYPERLINK("https://www.philgeps.gov.ph/GEPSNONPILOT/Tender/SplashBidNoticeAbstractUI.aspx?menuIndex=3&amp;refID=7139106&amp;Result=3","7139106")</f>
        <v>0</v>
      </c>
      <c r="B8176" t="s">
        <v>2691</v>
      </c>
      <c r="C8176" t="s">
        <v>11502</v>
      </c>
      <c r="D8176" t="s">
        <v>18016</v>
      </c>
      <c r="E8176" t="s">
        <v>24423</v>
      </c>
      <c r="F8176" t="s">
        <v>30900</v>
      </c>
      <c r="G8176" t="s">
        <v>30907</v>
      </c>
      <c r="H8176" t="s">
        <v>30916</v>
      </c>
      <c r="I8176" t="s">
        <v>4142</v>
      </c>
      <c r="J8176" t="s">
        <v>36213</v>
      </c>
      <c r="K8176" t="s">
        <v>40287</v>
      </c>
      <c r="M8176" t="s">
        <v>43463</v>
      </c>
      <c r="N8176" t="s">
        <v>44759</v>
      </c>
      <c r="O8176" t="s">
        <v>44760</v>
      </c>
      <c r="P8176">
        <v>0</v>
      </c>
      <c r="Q8176">
        <v>0</v>
      </c>
      <c r="R8176" t="s">
        <v>44768</v>
      </c>
      <c r="S8176" t="s">
        <v>44982</v>
      </c>
      <c r="T8176" t="s">
        <v>46457</v>
      </c>
      <c r="U8176" t="s">
        <v>53751</v>
      </c>
      <c r="W8176" t="s">
        <v>43463</v>
      </c>
      <c r="X8176" t="s">
        <v>44769</v>
      </c>
    </row>
    <row r="8177" spans="1:24">
      <c r="A8177">
        <f>HYPERLINK("https://www.philgeps.gov.ph/GEPSNONPILOT/Tender/SplashBidNoticeAbstractUI.aspx?menuIndex=3&amp;refID=7139014&amp;Result=3","7139014")</f>
        <v>0</v>
      </c>
      <c r="B8177" t="s">
        <v>2692</v>
      </c>
      <c r="C8177" t="s">
        <v>11503</v>
      </c>
      <c r="E8177" t="s">
        <v>19274</v>
      </c>
      <c r="F8177" t="s">
        <v>30900</v>
      </c>
      <c r="G8177" t="s">
        <v>30907</v>
      </c>
      <c r="H8177" t="s">
        <v>30916</v>
      </c>
      <c r="I8177" t="s">
        <v>4142</v>
      </c>
      <c r="J8177" t="s">
        <v>31043</v>
      </c>
      <c r="K8177" t="s">
        <v>40289</v>
      </c>
      <c r="M8177" t="s">
        <v>43464</v>
      </c>
      <c r="N8177" t="s">
        <v>44759</v>
      </c>
      <c r="O8177" t="s">
        <v>44760</v>
      </c>
      <c r="P8177">
        <v>0</v>
      </c>
      <c r="Q8177">
        <v>0</v>
      </c>
      <c r="R8177" t="s">
        <v>44768</v>
      </c>
      <c r="S8177" t="s">
        <v>44982</v>
      </c>
      <c r="T8177" t="s">
        <v>46409</v>
      </c>
      <c r="U8177" t="s">
        <v>53752</v>
      </c>
      <c r="W8177" t="s">
        <v>43464</v>
      </c>
      <c r="X8177" t="s">
        <v>44769</v>
      </c>
    </row>
    <row r="8178" spans="1:24">
      <c r="A8178">
        <f>HYPERLINK("https://www.philgeps.gov.ph/GEPSNONPILOT/Tender/SplashBidNoticeAbstractUI.aspx?menuIndex=3&amp;refID=7139097&amp;Result=3","7139097")</f>
        <v>0</v>
      </c>
      <c r="B8178" t="s">
        <v>380</v>
      </c>
      <c r="C8178" t="s">
        <v>11504</v>
      </c>
      <c r="D8178" t="s">
        <v>18003</v>
      </c>
      <c r="E8178" t="s">
        <v>25195</v>
      </c>
      <c r="F8178" t="s">
        <v>30900</v>
      </c>
      <c r="G8178" t="s">
        <v>30908</v>
      </c>
      <c r="H8178" t="s">
        <v>30916</v>
      </c>
      <c r="I8178" t="s">
        <v>30927</v>
      </c>
      <c r="J8178" t="s">
        <v>36214</v>
      </c>
      <c r="K8178" t="s">
        <v>40287</v>
      </c>
      <c r="M8178" t="s">
        <v>40934</v>
      </c>
      <c r="N8178" t="s">
        <v>44759</v>
      </c>
      <c r="O8178" t="s">
        <v>44760</v>
      </c>
      <c r="P8178">
        <v>0</v>
      </c>
      <c r="Q8178">
        <v>0</v>
      </c>
      <c r="R8178" t="s">
        <v>44768</v>
      </c>
      <c r="S8178" t="s">
        <v>44982</v>
      </c>
      <c r="T8178" t="s">
        <v>46591</v>
      </c>
      <c r="U8178" t="s">
        <v>47553</v>
      </c>
      <c r="W8178" t="s">
        <v>40934</v>
      </c>
      <c r="X8178" t="s">
        <v>44769</v>
      </c>
    </row>
    <row r="8179" spans="1:24">
      <c r="A8179">
        <f>HYPERLINK("https://www.philgeps.gov.ph/GEPSNONPILOT/Tender/SplashBidNoticeAbstractUI.aspx?menuIndex=3&amp;refID=7139095&amp;Result=3","7139095")</f>
        <v>0</v>
      </c>
      <c r="B8179" t="s">
        <v>520</v>
      </c>
      <c r="C8179" t="s">
        <v>11505</v>
      </c>
      <c r="D8179" t="s">
        <v>18019</v>
      </c>
      <c r="E8179" t="s">
        <v>25196</v>
      </c>
      <c r="F8179" t="s">
        <v>30900</v>
      </c>
      <c r="G8179" t="s">
        <v>30907</v>
      </c>
      <c r="H8179" t="s">
        <v>30916</v>
      </c>
      <c r="I8179" t="s">
        <v>30975</v>
      </c>
      <c r="J8179" t="s">
        <v>33171</v>
      </c>
      <c r="K8179" t="s">
        <v>40283</v>
      </c>
      <c r="M8179" t="s">
        <v>41080</v>
      </c>
      <c r="N8179" t="s">
        <v>44759</v>
      </c>
      <c r="O8179" t="s">
        <v>44760</v>
      </c>
      <c r="P8179">
        <v>0</v>
      </c>
      <c r="Q8179">
        <v>2</v>
      </c>
      <c r="R8179" t="s">
        <v>44768</v>
      </c>
      <c r="S8179" t="s">
        <v>44982</v>
      </c>
      <c r="T8179" t="s">
        <v>46689</v>
      </c>
      <c r="U8179" t="s">
        <v>53753</v>
      </c>
      <c r="W8179" t="s">
        <v>41080</v>
      </c>
      <c r="X8179" t="s">
        <v>44769</v>
      </c>
    </row>
    <row r="8180" spans="1:24">
      <c r="A8180">
        <f>HYPERLINK("https://www.philgeps.gov.ph/GEPSNONPILOT/Tender/SplashBidNoticeAbstractUI.aspx?menuIndex=3&amp;refID=7139093&amp;Result=3","7139093")</f>
        <v>0</v>
      </c>
      <c r="B8180" t="s">
        <v>2693</v>
      </c>
      <c r="C8180" t="s">
        <v>11506</v>
      </c>
      <c r="D8180" t="s">
        <v>17995</v>
      </c>
      <c r="E8180" t="s">
        <v>25197</v>
      </c>
      <c r="F8180" t="s">
        <v>30899</v>
      </c>
      <c r="G8180" t="s">
        <v>30907</v>
      </c>
      <c r="H8180" t="s">
        <v>30915</v>
      </c>
      <c r="I8180" t="s">
        <v>30919</v>
      </c>
      <c r="J8180" t="s">
        <v>36215</v>
      </c>
      <c r="K8180" t="s">
        <v>40280</v>
      </c>
      <c r="M8180" t="s">
        <v>43465</v>
      </c>
      <c r="N8180" t="s">
        <v>44759</v>
      </c>
      <c r="O8180" t="s">
        <v>44760</v>
      </c>
      <c r="P8180">
        <v>0</v>
      </c>
      <c r="Q8180">
        <v>0</v>
      </c>
      <c r="R8180" t="s">
        <v>44768</v>
      </c>
      <c r="S8180" t="s">
        <v>44982</v>
      </c>
      <c r="T8180" t="s">
        <v>46369</v>
      </c>
      <c r="U8180" t="s">
        <v>53754</v>
      </c>
      <c r="W8180" t="s">
        <v>43465</v>
      </c>
      <c r="X8180" t="s">
        <v>44769</v>
      </c>
    </row>
    <row r="8181" spans="1:24">
      <c r="A8181">
        <f>HYPERLINK("https://www.philgeps.gov.ph/GEPSNONPILOT/Tender/SplashBidNoticeAbstractUI.aspx?menuIndex=3&amp;refID=7139075&amp;Result=3","7139075")</f>
        <v>0</v>
      </c>
      <c r="B8181" t="s">
        <v>380</v>
      </c>
      <c r="C8181" t="s">
        <v>11507</v>
      </c>
      <c r="D8181" t="s">
        <v>18003</v>
      </c>
      <c r="E8181" t="s">
        <v>25198</v>
      </c>
      <c r="F8181" t="s">
        <v>30900</v>
      </c>
      <c r="G8181" t="s">
        <v>30908</v>
      </c>
      <c r="H8181" t="s">
        <v>30916</v>
      </c>
      <c r="I8181" t="s">
        <v>5830</v>
      </c>
      <c r="J8181" t="s">
        <v>36216</v>
      </c>
      <c r="K8181" t="s">
        <v>40287</v>
      </c>
      <c r="M8181" t="s">
        <v>40934</v>
      </c>
      <c r="N8181" t="s">
        <v>44759</v>
      </c>
      <c r="O8181" t="s">
        <v>44760</v>
      </c>
      <c r="P8181">
        <v>0</v>
      </c>
      <c r="Q8181">
        <v>0</v>
      </c>
      <c r="R8181" t="s">
        <v>44768</v>
      </c>
      <c r="S8181" t="s">
        <v>44982</v>
      </c>
      <c r="T8181" t="s">
        <v>46591</v>
      </c>
      <c r="U8181" t="s">
        <v>47553</v>
      </c>
      <c r="W8181" t="s">
        <v>40934</v>
      </c>
      <c r="X8181" t="s">
        <v>44769</v>
      </c>
    </row>
    <row r="8182" spans="1:24">
      <c r="A8182">
        <f>HYPERLINK("https://www.philgeps.gov.ph/GEPSNONPILOT/Tender/SplashBidNoticeAbstractUI.aspx?menuIndex=3&amp;refID=7139082&amp;Result=3","7139082")</f>
        <v>0</v>
      </c>
      <c r="B8182" t="s">
        <v>380</v>
      </c>
      <c r="C8182" t="s">
        <v>11508</v>
      </c>
      <c r="D8182" t="s">
        <v>18003</v>
      </c>
      <c r="E8182" t="s">
        <v>25199</v>
      </c>
      <c r="F8182" t="s">
        <v>30900</v>
      </c>
      <c r="G8182" t="s">
        <v>30908</v>
      </c>
      <c r="H8182" t="s">
        <v>30916</v>
      </c>
      <c r="I8182" t="s">
        <v>4545</v>
      </c>
      <c r="J8182" t="s">
        <v>31257</v>
      </c>
      <c r="K8182" t="s">
        <v>40287</v>
      </c>
      <c r="M8182" t="s">
        <v>40934</v>
      </c>
      <c r="N8182" t="s">
        <v>44759</v>
      </c>
      <c r="O8182" t="s">
        <v>44760</v>
      </c>
      <c r="P8182">
        <v>0</v>
      </c>
      <c r="Q8182">
        <v>0</v>
      </c>
      <c r="R8182" t="s">
        <v>44768</v>
      </c>
      <c r="S8182" t="s">
        <v>44982</v>
      </c>
      <c r="T8182" t="s">
        <v>46591</v>
      </c>
      <c r="U8182" t="s">
        <v>47553</v>
      </c>
      <c r="W8182" t="s">
        <v>40934</v>
      </c>
      <c r="X8182" t="s">
        <v>44769</v>
      </c>
    </row>
    <row r="8183" spans="1:24">
      <c r="A8183">
        <f>HYPERLINK("https://www.philgeps.gov.ph/GEPSNONPILOT/Tender/SplashBidNoticeAbstractUI.aspx?menuIndex=3&amp;refID=7139100&amp;Result=3","7139100")</f>
        <v>0</v>
      </c>
      <c r="B8183" t="s">
        <v>2694</v>
      </c>
      <c r="C8183" t="s">
        <v>11509</v>
      </c>
      <c r="D8183" t="s">
        <v>17998</v>
      </c>
      <c r="E8183" t="s">
        <v>18935</v>
      </c>
      <c r="F8183" t="s">
        <v>30900</v>
      </c>
      <c r="G8183" t="s">
        <v>30907</v>
      </c>
      <c r="H8183" t="s">
        <v>30915</v>
      </c>
      <c r="I8183" t="s">
        <v>30919</v>
      </c>
      <c r="J8183" t="s">
        <v>36217</v>
      </c>
      <c r="K8183" t="s">
        <v>40299</v>
      </c>
      <c r="M8183" t="s">
        <v>43466</v>
      </c>
      <c r="N8183" t="s">
        <v>44759</v>
      </c>
      <c r="O8183" t="s">
        <v>44760</v>
      </c>
      <c r="P8183">
        <v>0</v>
      </c>
      <c r="Q8183">
        <v>0</v>
      </c>
      <c r="R8183" t="s">
        <v>44768</v>
      </c>
      <c r="S8183" t="s">
        <v>44982</v>
      </c>
      <c r="T8183" t="s">
        <v>46409</v>
      </c>
      <c r="U8183" t="s">
        <v>53755</v>
      </c>
      <c r="W8183" t="s">
        <v>43466</v>
      </c>
      <c r="X8183" t="s">
        <v>44769</v>
      </c>
    </row>
    <row r="8184" spans="1:24">
      <c r="A8184">
        <f>HYPERLINK("https://www.philgeps.gov.ph/GEPSNONPILOT/Tender/SplashBidNoticeAbstractUI.aspx?menuIndex=3&amp;refID=7139066&amp;Result=3","7139066")</f>
        <v>0</v>
      </c>
      <c r="B8184" t="s">
        <v>520</v>
      </c>
      <c r="C8184" t="s">
        <v>11510</v>
      </c>
      <c r="D8184" t="s">
        <v>18019</v>
      </c>
      <c r="E8184" t="s">
        <v>25200</v>
      </c>
      <c r="F8184" t="s">
        <v>30900</v>
      </c>
      <c r="G8184" t="s">
        <v>30907</v>
      </c>
      <c r="H8184" t="s">
        <v>30916</v>
      </c>
      <c r="I8184" t="s">
        <v>10602</v>
      </c>
      <c r="J8184" t="s">
        <v>31098</v>
      </c>
      <c r="K8184" t="s">
        <v>40285</v>
      </c>
      <c r="M8184" t="s">
        <v>41080</v>
      </c>
      <c r="N8184" t="s">
        <v>44759</v>
      </c>
      <c r="O8184" t="s">
        <v>44760</v>
      </c>
      <c r="P8184">
        <v>0</v>
      </c>
      <c r="Q8184">
        <v>2</v>
      </c>
      <c r="R8184" t="s">
        <v>44768</v>
      </c>
      <c r="S8184" t="s">
        <v>44982</v>
      </c>
      <c r="T8184" t="s">
        <v>46403</v>
      </c>
      <c r="U8184" t="s">
        <v>53756</v>
      </c>
      <c r="W8184" t="s">
        <v>41080</v>
      </c>
      <c r="X8184" t="s">
        <v>44769</v>
      </c>
    </row>
    <row r="8185" spans="1:24">
      <c r="A8185">
        <f>HYPERLINK("https://www.philgeps.gov.ph/GEPSNONPILOT/Tender/SplashBidNoticeAbstractUI.aspx?menuIndex=3&amp;refID=7139010&amp;Result=3","7139010")</f>
        <v>0</v>
      </c>
      <c r="B8185" t="s">
        <v>34</v>
      </c>
      <c r="C8185" t="s">
        <v>11511</v>
      </c>
      <c r="D8185" t="s">
        <v>17961</v>
      </c>
      <c r="E8185" t="s">
        <v>25201</v>
      </c>
      <c r="F8185" t="s">
        <v>30900</v>
      </c>
      <c r="G8185" t="s">
        <v>30908</v>
      </c>
      <c r="H8185" t="s">
        <v>30916</v>
      </c>
      <c r="I8185" t="s">
        <v>4142</v>
      </c>
      <c r="J8185" t="s">
        <v>36218</v>
      </c>
      <c r="K8185" t="s">
        <v>40284</v>
      </c>
      <c r="M8185" t="s">
        <v>40580</v>
      </c>
      <c r="N8185" t="s">
        <v>44759</v>
      </c>
      <c r="O8185" t="s">
        <v>44760</v>
      </c>
      <c r="P8185">
        <v>0</v>
      </c>
      <c r="Q8185">
        <v>2</v>
      </c>
      <c r="R8185" t="s">
        <v>44768</v>
      </c>
      <c r="S8185" t="s">
        <v>44982</v>
      </c>
      <c r="T8185" t="s">
        <v>46771</v>
      </c>
      <c r="U8185" t="s">
        <v>47814</v>
      </c>
      <c r="V8185" t="s">
        <v>59234</v>
      </c>
      <c r="W8185" t="s">
        <v>40580</v>
      </c>
      <c r="X8185" t="s">
        <v>44769</v>
      </c>
    </row>
    <row r="8186" spans="1:24">
      <c r="A8186">
        <f>HYPERLINK("https://www.philgeps.gov.ph/GEPSNONPILOT/Tender/SplashBidNoticeAbstractUI.aspx?menuIndex=3&amp;refID=7139057&amp;Result=3","7139057")</f>
        <v>0</v>
      </c>
      <c r="B8186" t="s">
        <v>1242</v>
      </c>
      <c r="C8186" t="s">
        <v>11512</v>
      </c>
      <c r="D8186" t="s">
        <v>17959</v>
      </c>
      <c r="E8186" t="s">
        <v>25202</v>
      </c>
      <c r="F8186" t="s">
        <v>30900</v>
      </c>
      <c r="G8186" t="s">
        <v>30907</v>
      </c>
      <c r="H8186" t="s">
        <v>30916</v>
      </c>
      <c r="I8186" t="s">
        <v>30918</v>
      </c>
      <c r="J8186" t="s">
        <v>34061</v>
      </c>
      <c r="K8186" t="s">
        <v>40286</v>
      </c>
      <c r="M8186" t="s">
        <v>42919</v>
      </c>
      <c r="N8186" t="s">
        <v>44759</v>
      </c>
      <c r="O8186" t="s">
        <v>44760</v>
      </c>
      <c r="P8186">
        <v>0</v>
      </c>
      <c r="Q8186">
        <v>14</v>
      </c>
      <c r="R8186" t="s">
        <v>44768</v>
      </c>
      <c r="S8186" t="s">
        <v>44982</v>
      </c>
      <c r="T8186" t="s">
        <v>46515</v>
      </c>
      <c r="U8186" t="s">
        <v>53757</v>
      </c>
      <c r="W8186" t="s">
        <v>42919</v>
      </c>
      <c r="X8186" t="s">
        <v>44769</v>
      </c>
    </row>
    <row r="8187" spans="1:24">
      <c r="A8187">
        <f>HYPERLINK("https://www.philgeps.gov.ph/GEPSNONPILOT/Tender/SplashBidNoticeAbstractUI.aspx?menuIndex=3&amp;refID=7139062&amp;Result=3","7139062")</f>
        <v>0</v>
      </c>
      <c r="B8187" t="s">
        <v>2472</v>
      </c>
      <c r="C8187" t="s">
        <v>11513</v>
      </c>
      <c r="D8187" t="s">
        <v>17962</v>
      </c>
      <c r="E8187" t="s">
        <v>25203</v>
      </c>
      <c r="F8187" t="s">
        <v>30900</v>
      </c>
      <c r="G8187" t="s">
        <v>30907</v>
      </c>
      <c r="H8187" t="s">
        <v>30916</v>
      </c>
      <c r="I8187" t="s">
        <v>30924</v>
      </c>
      <c r="J8187" t="s">
        <v>36219</v>
      </c>
      <c r="K8187" t="s">
        <v>40286</v>
      </c>
      <c r="M8187" t="s">
        <v>43210</v>
      </c>
      <c r="N8187" t="s">
        <v>44759</v>
      </c>
      <c r="O8187" t="s">
        <v>44760</v>
      </c>
      <c r="P8187">
        <v>0</v>
      </c>
      <c r="Q8187">
        <v>7</v>
      </c>
      <c r="R8187" t="s">
        <v>44768</v>
      </c>
      <c r="S8187" t="s">
        <v>44982</v>
      </c>
      <c r="T8187" t="s">
        <v>46375</v>
      </c>
      <c r="U8187" t="s">
        <v>53758</v>
      </c>
      <c r="V8187" t="s">
        <v>59226</v>
      </c>
      <c r="W8187" t="s">
        <v>43210</v>
      </c>
      <c r="X8187" t="s">
        <v>44769</v>
      </c>
    </row>
    <row r="8188" spans="1:24">
      <c r="A8188">
        <f>HYPERLINK("https://www.philgeps.gov.ph/GEPSNONPILOT/Tender/SplashBidNoticeAbstractUI.aspx?menuIndex=3&amp;refID=7139056&amp;Result=3","7139056")</f>
        <v>0</v>
      </c>
      <c r="B8188" t="s">
        <v>40</v>
      </c>
      <c r="C8188" t="s">
        <v>11514</v>
      </c>
      <c r="D8188" t="s">
        <v>17965</v>
      </c>
      <c r="E8188" t="s">
        <v>25204</v>
      </c>
      <c r="F8188" t="s">
        <v>30900</v>
      </c>
      <c r="G8188" t="s">
        <v>30907</v>
      </c>
      <c r="H8188" t="s">
        <v>30915</v>
      </c>
      <c r="I8188" t="s">
        <v>30919</v>
      </c>
      <c r="J8188" t="s">
        <v>31270</v>
      </c>
      <c r="K8188" t="s">
        <v>40302</v>
      </c>
      <c r="M8188" t="s">
        <v>40586</v>
      </c>
      <c r="N8188" t="s">
        <v>44759</v>
      </c>
      <c r="O8188" t="s">
        <v>44760</v>
      </c>
      <c r="P8188">
        <v>0</v>
      </c>
      <c r="Q8188">
        <v>0</v>
      </c>
      <c r="R8188" t="s">
        <v>44768</v>
      </c>
      <c r="S8188" t="s">
        <v>44982</v>
      </c>
      <c r="T8188" t="s">
        <v>46591</v>
      </c>
      <c r="U8188" t="s">
        <v>53759</v>
      </c>
      <c r="W8188" t="s">
        <v>40586</v>
      </c>
      <c r="X8188" t="s">
        <v>44769</v>
      </c>
    </row>
    <row r="8189" spans="1:24">
      <c r="A8189">
        <f>HYPERLINK("https://www.philgeps.gov.ph/GEPSNONPILOT/Tender/SplashBidNoticeAbstractUI.aspx?menuIndex=3&amp;refID=7139055&amp;Result=3","7139055")</f>
        <v>0</v>
      </c>
      <c r="B8189" t="s">
        <v>2423</v>
      </c>
      <c r="C8189" t="s">
        <v>11515</v>
      </c>
      <c r="D8189" t="s">
        <v>17996</v>
      </c>
      <c r="E8189" t="s">
        <v>25205</v>
      </c>
      <c r="F8189" t="s">
        <v>30900</v>
      </c>
      <c r="G8189" t="s">
        <v>30907</v>
      </c>
      <c r="H8189" t="s">
        <v>30915</v>
      </c>
      <c r="I8189" t="s">
        <v>30919</v>
      </c>
      <c r="J8189" t="s">
        <v>32110</v>
      </c>
      <c r="K8189" t="s">
        <v>40291</v>
      </c>
      <c r="M8189" t="s">
        <v>43152</v>
      </c>
      <c r="N8189" t="s">
        <v>44759</v>
      </c>
      <c r="O8189" t="s">
        <v>44760</v>
      </c>
      <c r="Q8189">
        <v>0</v>
      </c>
      <c r="R8189" t="s">
        <v>44768</v>
      </c>
      <c r="S8189" t="s">
        <v>44996</v>
      </c>
      <c r="T8189" t="s">
        <v>46414</v>
      </c>
      <c r="U8189" t="s">
        <v>53760</v>
      </c>
      <c r="W8189" t="s">
        <v>43152</v>
      </c>
      <c r="X8189" t="s">
        <v>44769</v>
      </c>
    </row>
    <row r="8190" spans="1:24">
      <c r="A8190">
        <f>HYPERLINK("https://www.philgeps.gov.ph/GEPSNONPILOT/Tender/SplashBidNoticeAbstractUI.aspx?menuIndex=3&amp;refID=7139038&amp;Result=3","7139038")</f>
        <v>0</v>
      </c>
      <c r="B8190" t="s">
        <v>2695</v>
      </c>
      <c r="C8190" t="s">
        <v>11516</v>
      </c>
      <c r="D8190" t="s">
        <v>17968</v>
      </c>
      <c r="E8190" t="s">
        <v>22470</v>
      </c>
      <c r="F8190" t="s">
        <v>30900</v>
      </c>
      <c r="G8190" t="s">
        <v>30909</v>
      </c>
      <c r="H8190" t="s">
        <v>30916</v>
      </c>
      <c r="I8190" t="s">
        <v>30919</v>
      </c>
      <c r="J8190" t="s">
        <v>36220</v>
      </c>
      <c r="K8190" t="s">
        <v>40284</v>
      </c>
      <c r="M8190" t="s">
        <v>43467</v>
      </c>
      <c r="N8190" t="s">
        <v>44759</v>
      </c>
      <c r="O8190" t="s">
        <v>44760</v>
      </c>
      <c r="P8190">
        <v>0</v>
      </c>
      <c r="Q8190">
        <v>2</v>
      </c>
      <c r="R8190" t="s">
        <v>44768</v>
      </c>
      <c r="S8190" t="s">
        <v>44982</v>
      </c>
      <c r="T8190" t="s">
        <v>46356</v>
      </c>
      <c r="U8190" t="s">
        <v>53761</v>
      </c>
      <c r="W8190" t="s">
        <v>43467</v>
      </c>
      <c r="X8190" t="s">
        <v>44769</v>
      </c>
    </row>
    <row r="8191" spans="1:24">
      <c r="A8191">
        <f>HYPERLINK("https://www.philgeps.gov.ph/GEPSNONPILOT/Tender/SplashBidNoticeAbstractUI.aspx?menuIndex=3&amp;refID=7139030&amp;Result=3","7139030")</f>
        <v>0</v>
      </c>
      <c r="B8191" t="s">
        <v>34</v>
      </c>
      <c r="C8191" t="s">
        <v>11517</v>
      </c>
      <c r="D8191" t="s">
        <v>17961</v>
      </c>
      <c r="E8191" t="s">
        <v>25206</v>
      </c>
      <c r="F8191" t="s">
        <v>30900</v>
      </c>
      <c r="G8191" t="s">
        <v>30908</v>
      </c>
      <c r="H8191" t="s">
        <v>30916</v>
      </c>
      <c r="I8191" t="s">
        <v>6746</v>
      </c>
      <c r="J8191" t="s">
        <v>36221</v>
      </c>
      <c r="K8191" t="s">
        <v>40284</v>
      </c>
      <c r="M8191" t="s">
        <v>40580</v>
      </c>
      <c r="N8191" t="s">
        <v>44759</v>
      </c>
      <c r="O8191" t="s">
        <v>44760</v>
      </c>
      <c r="P8191">
        <v>0</v>
      </c>
      <c r="Q8191">
        <v>0</v>
      </c>
      <c r="R8191" t="s">
        <v>44768</v>
      </c>
      <c r="S8191" t="s">
        <v>44982</v>
      </c>
      <c r="T8191" t="s">
        <v>46771</v>
      </c>
      <c r="U8191" t="s">
        <v>47814</v>
      </c>
      <c r="V8191" t="s">
        <v>59234</v>
      </c>
      <c r="W8191" t="s">
        <v>40580</v>
      </c>
      <c r="X8191" t="s">
        <v>44769</v>
      </c>
    </row>
    <row r="8192" spans="1:24">
      <c r="A8192">
        <f>HYPERLINK("https://www.philgeps.gov.ph/GEPSNONPILOT/Tender/SplashBidNoticeAbstractUI.aspx?menuIndex=3&amp;refID=7139024&amp;Result=3","7139024")</f>
        <v>0</v>
      </c>
      <c r="B8192" t="s">
        <v>568</v>
      </c>
      <c r="C8192" t="s">
        <v>11518</v>
      </c>
      <c r="D8192" t="s">
        <v>17981</v>
      </c>
      <c r="E8192" t="s">
        <v>25207</v>
      </c>
      <c r="F8192" t="s">
        <v>30900</v>
      </c>
      <c r="G8192" t="s">
        <v>30907</v>
      </c>
      <c r="H8192" t="s">
        <v>30915</v>
      </c>
      <c r="I8192" t="s">
        <v>30919</v>
      </c>
      <c r="J8192" t="s">
        <v>36222</v>
      </c>
      <c r="K8192" t="s">
        <v>40289</v>
      </c>
      <c r="M8192" t="s">
        <v>41129</v>
      </c>
      <c r="N8192" t="s">
        <v>44759</v>
      </c>
      <c r="O8192" t="s">
        <v>44760</v>
      </c>
      <c r="P8192">
        <v>0</v>
      </c>
      <c r="Q8192">
        <v>61</v>
      </c>
      <c r="R8192" t="s">
        <v>44768</v>
      </c>
      <c r="S8192" t="s">
        <v>44982</v>
      </c>
      <c r="T8192" t="s">
        <v>46625</v>
      </c>
      <c r="U8192" t="s">
        <v>53762</v>
      </c>
      <c r="W8192" t="s">
        <v>41129</v>
      </c>
      <c r="X8192" t="s">
        <v>44769</v>
      </c>
    </row>
    <row r="8193" spans="1:24">
      <c r="A8193">
        <f>HYPERLINK("https://www.philgeps.gov.ph/GEPSNONPILOT/Tender/SplashBidNoticeAbstractUI.aspx?menuIndex=3&amp;refID=7139017&amp;Result=3","7139017")</f>
        <v>0</v>
      </c>
      <c r="B8193" t="s">
        <v>377</v>
      </c>
      <c r="C8193" t="s">
        <v>11519</v>
      </c>
      <c r="D8193" t="s">
        <v>17951</v>
      </c>
      <c r="E8193" t="s">
        <v>25208</v>
      </c>
      <c r="F8193" t="s">
        <v>30900</v>
      </c>
      <c r="G8193" t="s">
        <v>30907</v>
      </c>
      <c r="H8193" t="s">
        <v>30916</v>
      </c>
      <c r="I8193" t="s">
        <v>30922</v>
      </c>
      <c r="J8193" t="s">
        <v>36223</v>
      </c>
      <c r="K8193" t="s">
        <v>40455</v>
      </c>
      <c r="M8193" t="s">
        <v>40931</v>
      </c>
      <c r="N8193" t="s">
        <v>44759</v>
      </c>
      <c r="O8193" t="s">
        <v>44760</v>
      </c>
      <c r="P8193">
        <v>0</v>
      </c>
      <c r="Q8193">
        <v>1</v>
      </c>
      <c r="R8193" t="s">
        <v>44768</v>
      </c>
      <c r="S8193" t="s">
        <v>44982</v>
      </c>
      <c r="T8193" t="s">
        <v>46531</v>
      </c>
      <c r="U8193" t="s">
        <v>53763</v>
      </c>
      <c r="W8193" t="s">
        <v>40931</v>
      </c>
      <c r="X8193" t="s">
        <v>44769</v>
      </c>
    </row>
    <row r="8194" spans="1:24">
      <c r="A8194">
        <f>HYPERLINK("https://www.philgeps.gov.ph/GEPSNONPILOT/Tender/SplashBidNoticeAbstractUI.aspx?menuIndex=3&amp;refID=7139067&amp;Result=3","7139067")</f>
        <v>0</v>
      </c>
      <c r="B8194" t="s">
        <v>380</v>
      </c>
      <c r="C8194" t="s">
        <v>11520</v>
      </c>
      <c r="D8194" t="s">
        <v>18003</v>
      </c>
      <c r="E8194" t="s">
        <v>25209</v>
      </c>
      <c r="F8194" t="s">
        <v>30900</v>
      </c>
      <c r="G8194" t="s">
        <v>30908</v>
      </c>
      <c r="H8194" t="s">
        <v>30916</v>
      </c>
      <c r="I8194" t="s">
        <v>4108</v>
      </c>
      <c r="J8194" t="s">
        <v>36224</v>
      </c>
      <c r="K8194" t="s">
        <v>40287</v>
      </c>
      <c r="M8194" t="s">
        <v>40934</v>
      </c>
      <c r="N8194" t="s">
        <v>44759</v>
      </c>
      <c r="O8194" t="s">
        <v>44760</v>
      </c>
      <c r="P8194">
        <v>0</v>
      </c>
      <c r="Q8194">
        <v>4</v>
      </c>
      <c r="R8194" t="s">
        <v>44768</v>
      </c>
      <c r="S8194" t="s">
        <v>44982</v>
      </c>
      <c r="T8194" t="s">
        <v>46591</v>
      </c>
      <c r="U8194" t="s">
        <v>47553</v>
      </c>
      <c r="W8194" t="s">
        <v>40934</v>
      </c>
      <c r="X8194" t="s">
        <v>44769</v>
      </c>
    </row>
    <row r="8195" spans="1:24">
      <c r="A8195">
        <f>HYPERLINK("https://www.philgeps.gov.ph/GEPSNONPILOT/Tender/SplashBidNoticeAbstractUI.aspx?menuIndex=3&amp;refID=7139165&amp;Result=3","7139165")</f>
        <v>0</v>
      </c>
      <c r="B8195" t="s">
        <v>2696</v>
      </c>
      <c r="C8195" t="s">
        <v>11521</v>
      </c>
      <c r="E8195" t="s">
        <v>25210</v>
      </c>
      <c r="F8195" t="s">
        <v>30900</v>
      </c>
      <c r="G8195" t="s">
        <v>30908</v>
      </c>
      <c r="H8195" t="s">
        <v>30916</v>
      </c>
      <c r="I8195" t="s">
        <v>30988</v>
      </c>
      <c r="J8195" t="s">
        <v>36225</v>
      </c>
      <c r="K8195" t="s">
        <v>40289</v>
      </c>
      <c r="M8195" t="s">
        <v>43468</v>
      </c>
      <c r="N8195" t="s">
        <v>44759</v>
      </c>
      <c r="O8195" t="s">
        <v>44760</v>
      </c>
      <c r="Q8195">
        <v>2</v>
      </c>
      <c r="R8195" t="s">
        <v>44768</v>
      </c>
      <c r="S8195" t="s">
        <v>44997</v>
      </c>
      <c r="T8195" t="s">
        <v>46391</v>
      </c>
      <c r="U8195" t="s">
        <v>47009</v>
      </c>
      <c r="W8195" t="s">
        <v>43468</v>
      </c>
      <c r="X8195" t="s">
        <v>44769</v>
      </c>
    </row>
    <row r="8196" spans="1:24">
      <c r="A8196">
        <f>HYPERLINK("https://www.philgeps.gov.ph/GEPSNONPILOT/Tender/SplashBidNoticeAbstractUI.aspx?menuIndex=3&amp;refID=7139164&amp;Result=3","7139164")</f>
        <v>0</v>
      </c>
      <c r="B8196" t="s">
        <v>380</v>
      </c>
      <c r="C8196" t="s">
        <v>11522</v>
      </c>
      <c r="D8196" t="s">
        <v>18003</v>
      </c>
      <c r="E8196" t="s">
        <v>25211</v>
      </c>
      <c r="F8196" t="s">
        <v>30900</v>
      </c>
      <c r="G8196" t="s">
        <v>30908</v>
      </c>
      <c r="H8196" t="s">
        <v>30916</v>
      </c>
      <c r="I8196" t="s">
        <v>30947</v>
      </c>
      <c r="J8196" t="s">
        <v>36226</v>
      </c>
      <c r="K8196" t="s">
        <v>40287</v>
      </c>
      <c r="M8196" t="s">
        <v>40934</v>
      </c>
      <c r="N8196" t="s">
        <v>44759</v>
      </c>
      <c r="O8196" t="s">
        <v>44760</v>
      </c>
      <c r="P8196">
        <v>0</v>
      </c>
      <c r="Q8196">
        <v>1</v>
      </c>
      <c r="R8196" t="s">
        <v>44768</v>
      </c>
      <c r="S8196" t="s">
        <v>44982</v>
      </c>
      <c r="T8196" t="s">
        <v>46591</v>
      </c>
      <c r="U8196" t="s">
        <v>47553</v>
      </c>
      <c r="W8196" t="s">
        <v>40934</v>
      </c>
      <c r="X8196" t="s">
        <v>44769</v>
      </c>
    </row>
    <row r="8197" spans="1:24">
      <c r="A8197">
        <f>HYPERLINK("https://www.philgeps.gov.ph/GEPSNONPILOT/Tender/SplashBidNoticeAbstractUI.aspx?menuIndex=3&amp;refID=7139162&amp;Result=3","7139162")</f>
        <v>0</v>
      </c>
      <c r="B8197" t="s">
        <v>515</v>
      </c>
      <c r="C8197" t="s">
        <v>11523</v>
      </c>
      <c r="D8197" t="s">
        <v>17966</v>
      </c>
      <c r="E8197" t="s">
        <v>25212</v>
      </c>
      <c r="F8197" t="s">
        <v>30900</v>
      </c>
      <c r="G8197" t="s">
        <v>30907</v>
      </c>
      <c r="H8197" t="s">
        <v>30917</v>
      </c>
      <c r="I8197" t="s">
        <v>30981</v>
      </c>
      <c r="J8197" t="s">
        <v>32527</v>
      </c>
      <c r="K8197" t="s">
        <v>40286</v>
      </c>
      <c r="M8197" t="s">
        <v>43469</v>
      </c>
      <c r="N8197" t="s">
        <v>44759</v>
      </c>
      <c r="O8197" t="s">
        <v>44760</v>
      </c>
      <c r="P8197">
        <v>0</v>
      </c>
      <c r="Q8197">
        <v>0</v>
      </c>
      <c r="R8197" t="s">
        <v>44768</v>
      </c>
      <c r="S8197" t="s">
        <v>44982</v>
      </c>
      <c r="T8197" t="s">
        <v>46488</v>
      </c>
      <c r="U8197" t="s">
        <v>53764</v>
      </c>
      <c r="V8197" t="s">
        <v>59999</v>
      </c>
      <c r="W8197" t="s">
        <v>60899</v>
      </c>
      <c r="X8197" t="s">
        <v>44769</v>
      </c>
    </row>
    <row r="8198" spans="1:24">
      <c r="A8198">
        <f>HYPERLINK("https://www.philgeps.gov.ph/GEPSNONPILOT/Tender/SplashBidNoticeAbstractUI.aspx?menuIndex=3&amp;refID=7139154&amp;Result=3","7139154")</f>
        <v>0</v>
      </c>
      <c r="B8198" t="s">
        <v>1959</v>
      </c>
      <c r="C8198" t="s">
        <v>11524</v>
      </c>
      <c r="D8198" t="s">
        <v>17972</v>
      </c>
      <c r="E8198" t="s">
        <v>25213</v>
      </c>
      <c r="F8198" t="s">
        <v>30900</v>
      </c>
      <c r="G8198" t="s">
        <v>30908</v>
      </c>
      <c r="H8198" t="s">
        <v>30916</v>
      </c>
      <c r="I8198" t="s">
        <v>4142</v>
      </c>
      <c r="J8198" t="s">
        <v>36227</v>
      </c>
      <c r="K8198" t="s">
        <v>40287</v>
      </c>
      <c r="M8198" t="s">
        <v>42643</v>
      </c>
      <c r="N8198" t="s">
        <v>44759</v>
      </c>
      <c r="O8198" t="s">
        <v>44760</v>
      </c>
      <c r="P8198">
        <v>0</v>
      </c>
      <c r="Q8198">
        <v>5</v>
      </c>
      <c r="R8198" t="s">
        <v>44768</v>
      </c>
      <c r="S8198" t="s">
        <v>44982</v>
      </c>
      <c r="T8198" t="s">
        <v>46658</v>
      </c>
      <c r="U8198" t="s">
        <v>53765</v>
      </c>
      <c r="W8198" t="s">
        <v>42643</v>
      </c>
      <c r="X8198" t="s">
        <v>44769</v>
      </c>
    </row>
    <row r="8199" spans="1:24">
      <c r="A8199">
        <f>HYPERLINK("https://www.philgeps.gov.ph/GEPSNONPILOT/Tender/SplashBidNoticeAbstractUI.aspx?menuIndex=3&amp;refID=7139152&amp;Result=3","7139152")</f>
        <v>0</v>
      </c>
      <c r="B8199" t="s">
        <v>2697</v>
      </c>
      <c r="C8199" t="s">
        <v>11525</v>
      </c>
      <c r="D8199" t="s">
        <v>17973</v>
      </c>
      <c r="E8199" t="s">
        <v>25214</v>
      </c>
      <c r="F8199" t="s">
        <v>30900</v>
      </c>
      <c r="G8199" t="s">
        <v>30908</v>
      </c>
      <c r="H8199" t="s">
        <v>30916</v>
      </c>
      <c r="I8199" t="s">
        <v>6953</v>
      </c>
      <c r="J8199" t="s">
        <v>36228</v>
      </c>
      <c r="K8199" t="s">
        <v>40286</v>
      </c>
      <c r="M8199" t="s">
        <v>43470</v>
      </c>
      <c r="N8199" t="s">
        <v>44759</v>
      </c>
      <c r="O8199" t="s">
        <v>44760</v>
      </c>
      <c r="P8199">
        <v>0</v>
      </c>
      <c r="Q8199">
        <v>0</v>
      </c>
      <c r="R8199" t="s">
        <v>44768</v>
      </c>
      <c r="S8199" t="s">
        <v>44982</v>
      </c>
      <c r="T8199" t="s">
        <v>46357</v>
      </c>
      <c r="U8199" t="s">
        <v>53766</v>
      </c>
      <c r="W8199" t="s">
        <v>60900</v>
      </c>
      <c r="X8199" t="s">
        <v>44769</v>
      </c>
    </row>
    <row r="8200" spans="1:24">
      <c r="A8200">
        <f>HYPERLINK("https://www.philgeps.gov.ph/GEPSNONPILOT/Tender/SplashBidNoticeAbstractUI.aspx?menuIndex=3&amp;refID=7139048&amp;Result=3","7139048")</f>
        <v>0</v>
      </c>
      <c r="B8200" t="s">
        <v>34</v>
      </c>
      <c r="C8200" t="s">
        <v>11526</v>
      </c>
      <c r="D8200" t="s">
        <v>17961</v>
      </c>
      <c r="E8200" t="s">
        <v>25215</v>
      </c>
      <c r="F8200" t="s">
        <v>30900</v>
      </c>
      <c r="G8200" t="s">
        <v>30908</v>
      </c>
      <c r="H8200" t="s">
        <v>30916</v>
      </c>
      <c r="I8200" t="s">
        <v>4545</v>
      </c>
      <c r="J8200" t="s">
        <v>32006</v>
      </c>
      <c r="K8200" t="s">
        <v>40284</v>
      </c>
      <c r="M8200" t="s">
        <v>40580</v>
      </c>
      <c r="N8200" t="s">
        <v>44759</v>
      </c>
      <c r="O8200" t="s">
        <v>44760</v>
      </c>
      <c r="P8200">
        <v>0</v>
      </c>
      <c r="Q8200">
        <v>1</v>
      </c>
      <c r="R8200" t="s">
        <v>44768</v>
      </c>
      <c r="S8200" t="s">
        <v>44982</v>
      </c>
      <c r="T8200" t="s">
        <v>46771</v>
      </c>
      <c r="U8200" t="s">
        <v>47814</v>
      </c>
      <c r="V8200" t="s">
        <v>59234</v>
      </c>
      <c r="W8200" t="s">
        <v>40580</v>
      </c>
      <c r="X8200" t="s">
        <v>44769</v>
      </c>
    </row>
    <row r="8201" spans="1:24">
      <c r="A8201">
        <f>HYPERLINK("https://www.philgeps.gov.ph/GEPSNONPILOT/Tender/SplashBidNoticeAbstractUI.aspx?menuIndex=3&amp;refID=7139151&amp;Result=3","7139151")</f>
        <v>0</v>
      </c>
      <c r="B8201" t="s">
        <v>380</v>
      </c>
      <c r="C8201" t="s">
        <v>11527</v>
      </c>
      <c r="D8201" t="s">
        <v>18003</v>
      </c>
      <c r="E8201" t="s">
        <v>25216</v>
      </c>
      <c r="F8201" t="s">
        <v>30900</v>
      </c>
      <c r="G8201" t="s">
        <v>30908</v>
      </c>
      <c r="H8201" t="s">
        <v>30916</v>
      </c>
      <c r="I8201" t="s">
        <v>4108</v>
      </c>
      <c r="J8201" t="s">
        <v>36229</v>
      </c>
      <c r="K8201" t="s">
        <v>40287</v>
      </c>
      <c r="M8201" t="s">
        <v>40934</v>
      </c>
      <c r="N8201" t="s">
        <v>44759</v>
      </c>
      <c r="O8201" t="s">
        <v>44760</v>
      </c>
      <c r="P8201">
        <v>0</v>
      </c>
      <c r="Q8201">
        <v>0</v>
      </c>
      <c r="R8201" t="s">
        <v>44768</v>
      </c>
      <c r="S8201" t="s">
        <v>44982</v>
      </c>
      <c r="T8201" t="s">
        <v>46591</v>
      </c>
      <c r="U8201" t="s">
        <v>47553</v>
      </c>
      <c r="W8201" t="s">
        <v>40934</v>
      </c>
      <c r="X8201" t="s">
        <v>44769</v>
      </c>
    </row>
    <row r="8202" spans="1:24">
      <c r="A8202">
        <f>HYPERLINK("https://www.philgeps.gov.ph/GEPSNONPILOT/Tender/SplashBidNoticeAbstractUI.aspx?menuIndex=3&amp;refID=7138842&amp;Result=3","7138842")</f>
        <v>0</v>
      </c>
      <c r="B8202" t="s">
        <v>138</v>
      </c>
      <c r="C8202" t="s">
        <v>11528</v>
      </c>
      <c r="D8202" t="s">
        <v>17965</v>
      </c>
      <c r="E8202" t="s">
        <v>25217</v>
      </c>
      <c r="F8202" t="s">
        <v>30900</v>
      </c>
      <c r="G8202" t="s">
        <v>30907</v>
      </c>
      <c r="H8202" t="s">
        <v>30915</v>
      </c>
      <c r="I8202" t="s">
        <v>30919</v>
      </c>
      <c r="J8202" t="s">
        <v>36230</v>
      </c>
      <c r="K8202" t="s">
        <v>40286</v>
      </c>
      <c r="M8202" t="s">
        <v>43018</v>
      </c>
      <c r="N8202" t="s">
        <v>44759</v>
      </c>
      <c r="O8202" t="s">
        <v>44760</v>
      </c>
      <c r="P8202">
        <v>0</v>
      </c>
      <c r="Q8202">
        <v>0</v>
      </c>
      <c r="R8202" t="s">
        <v>44768</v>
      </c>
      <c r="S8202" t="s">
        <v>44982</v>
      </c>
      <c r="T8202" t="s">
        <v>46418</v>
      </c>
      <c r="U8202" t="s">
        <v>53767</v>
      </c>
      <c r="W8202" t="s">
        <v>43018</v>
      </c>
      <c r="X8202" t="s">
        <v>44770</v>
      </c>
    </row>
    <row r="8203" spans="1:24">
      <c r="A8203">
        <f>HYPERLINK("https://www.philgeps.gov.ph/GEPSNONPILOT/Tender/SplashBidNoticeAbstractUI.aspx?menuIndex=3&amp;refID=7139150&amp;Result=3","7139150")</f>
        <v>0</v>
      </c>
      <c r="B8203" t="s">
        <v>2694</v>
      </c>
      <c r="C8203" t="s">
        <v>11529</v>
      </c>
      <c r="D8203" t="s">
        <v>17998</v>
      </c>
      <c r="E8203" t="s">
        <v>19026</v>
      </c>
      <c r="F8203" t="s">
        <v>30900</v>
      </c>
      <c r="G8203" t="s">
        <v>30907</v>
      </c>
      <c r="H8203" t="s">
        <v>30915</v>
      </c>
      <c r="I8203" t="s">
        <v>30919</v>
      </c>
      <c r="J8203" t="s">
        <v>36231</v>
      </c>
      <c r="K8203" t="s">
        <v>40280</v>
      </c>
      <c r="M8203" t="s">
        <v>43466</v>
      </c>
      <c r="N8203" t="s">
        <v>44759</v>
      </c>
      <c r="O8203" t="s">
        <v>44760</v>
      </c>
      <c r="P8203">
        <v>0</v>
      </c>
      <c r="Q8203">
        <v>1</v>
      </c>
      <c r="R8203" t="s">
        <v>44768</v>
      </c>
      <c r="S8203" t="s">
        <v>44982</v>
      </c>
      <c r="T8203" t="s">
        <v>46409</v>
      </c>
      <c r="U8203" t="s">
        <v>53768</v>
      </c>
      <c r="W8203" t="s">
        <v>43466</v>
      </c>
      <c r="X8203" t="s">
        <v>44769</v>
      </c>
    </row>
    <row r="8204" spans="1:24">
      <c r="A8204">
        <f>HYPERLINK("https://www.philgeps.gov.ph/GEPSNONPILOT/Tender/SplashBidNoticeAbstractUI.aspx?menuIndex=3&amp;refID=7139069&amp;Result=3","7139069")</f>
        <v>0</v>
      </c>
      <c r="B8204" t="s">
        <v>2698</v>
      </c>
      <c r="C8204" t="s">
        <v>11530</v>
      </c>
      <c r="D8204" t="s">
        <v>17957</v>
      </c>
      <c r="E8204" t="s">
        <v>18141</v>
      </c>
      <c r="F8204" t="s">
        <v>30900</v>
      </c>
      <c r="G8204" t="s">
        <v>30907</v>
      </c>
      <c r="H8204" t="s">
        <v>30915</v>
      </c>
      <c r="I8204" t="s">
        <v>30919</v>
      </c>
      <c r="J8204" t="s">
        <v>31391</v>
      </c>
      <c r="K8204" t="s">
        <v>40392</v>
      </c>
      <c r="M8204" t="s">
        <v>43471</v>
      </c>
      <c r="N8204" t="s">
        <v>44759</v>
      </c>
      <c r="O8204" t="s">
        <v>44760</v>
      </c>
      <c r="P8204">
        <v>0</v>
      </c>
      <c r="Q8204">
        <v>1</v>
      </c>
      <c r="R8204" t="s">
        <v>44768</v>
      </c>
      <c r="S8204" t="s">
        <v>44982</v>
      </c>
      <c r="T8204" t="s">
        <v>46515</v>
      </c>
      <c r="U8204" t="s">
        <v>53769</v>
      </c>
      <c r="V8204" t="s">
        <v>59200</v>
      </c>
      <c r="W8204" t="s">
        <v>43471</v>
      </c>
      <c r="X8204" t="s">
        <v>44769</v>
      </c>
    </row>
    <row r="8205" spans="1:24">
      <c r="A8205">
        <f>HYPERLINK("https://www.philgeps.gov.ph/GEPSNONPILOT/Tender/SplashBidNoticeAbstractUI.aspx?menuIndex=3&amp;refID=7139140&amp;Result=3","7139140")</f>
        <v>0</v>
      </c>
      <c r="B8205" t="s">
        <v>1959</v>
      </c>
      <c r="C8205" t="s">
        <v>11531</v>
      </c>
      <c r="D8205" t="s">
        <v>17972</v>
      </c>
      <c r="E8205" t="s">
        <v>25218</v>
      </c>
      <c r="F8205" t="s">
        <v>30900</v>
      </c>
      <c r="G8205" t="s">
        <v>30908</v>
      </c>
      <c r="H8205" t="s">
        <v>30916</v>
      </c>
      <c r="I8205" t="s">
        <v>4142</v>
      </c>
      <c r="J8205" t="s">
        <v>36232</v>
      </c>
      <c r="K8205" t="s">
        <v>40287</v>
      </c>
      <c r="M8205" t="s">
        <v>42643</v>
      </c>
      <c r="N8205" t="s">
        <v>44759</v>
      </c>
      <c r="O8205" t="s">
        <v>44760</v>
      </c>
      <c r="P8205">
        <v>0</v>
      </c>
      <c r="Q8205">
        <v>3</v>
      </c>
      <c r="R8205" t="s">
        <v>44768</v>
      </c>
      <c r="S8205" t="s">
        <v>44982</v>
      </c>
      <c r="T8205" t="s">
        <v>46658</v>
      </c>
      <c r="U8205" t="s">
        <v>53770</v>
      </c>
      <c r="W8205" t="s">
        <v>42643</v>
      </c>
      <c r="X8205" t="s">
        <v>44769</v>
      </c>
    </row>
    <row r="8206" spans="1:24">
      <c r="A8206">
        <f>HYPERLINK("https://www.philgeps.gov.ph/GEPSNONPILOT/Tender/SplashBidNoticeAbstractUI.aspx?menuIndex=3&amp;refID=7139133&amp;Result=3","7139133")</f>
        <v>0</v>
      </c>
      <c r="B8206" t="s">
        <v>1959</v>
      </c>
      <c r="C8206" t="s">
        <v>11532</v>
      </c>
      <c r="D8206" t="s">
        <v>17972</v>
      </c>
      <c r="E8206" t="s">
        <v>25219</v>
      </c>
      <c r="F8206" t="s">
        <v>30900</v>
      </c>
      <c r="G8206" t="s">
        <v>30908</v>
      </c>
      <c r="H8206" t="s">
        <v>30916</v>
      </c>
      <c r="I8206" t="s">
        <v>8123</v>
      </c>
      <c r="J8206" t="s">
        <v>36233</v>
      </c>
      <c r="K8206" t="s">
        <v>40287</v>
      </c>
      <c r="M8206" t="s">
        <v>42643</v>
      </c>
      <c r="N8206" t="s">
        <v>44759</v>
      </c>
      <c r="O8206" t="s">
        <v>44760</v>
      </c>
      <c r="P8206">
        <v>0</v>
      </c>
      <c r="Q8206">
        <v>0</v>
      </c>
      <c r="R8206" t="s">
        <v>44768</v>
      </c>
      <c r="S8206" t="s">
        <v>44982</v>
      </c>
      <c r="T8206" t="s">
        <v>46658</v>
      </c>
      <c r="U8206" t="s">
        <v>53771</v>
      </c>
      <c r="W8206" t="s">
        <v>42643</v>
      </c>
      <c r="X8206" t="s">
        <v>44769</v>
      </c>
    </row>
    <row r="8207" spans="1:24">
      <c r="A8207">
        <f>HYPERLINK("https://www.philgeps.gov.ph/GEPSNONPILOT/Tender/SplashBidNoticeAbstractUI.aspx?menuIndex=3&amp;refID=7139158&amp;Result=3","7139158")</f>
        <v>0</v>
      </c>
      <c r="B8207" t="s">
        <v>1638</v>
      </c>
      <c r="C8207" t="s">
        <v>11533</v>
      </c>
      <c r="D8207" t="s">
        <v>17969</v>
      </c>
      <c r="E8207" t="s">
        <v>25220</v>
      </c>
      <c r="F8207" t="s">
        <v>30900</v>
      </c>
      <c r="G8207" t="s">
        <v>30908</v>
      </c>
      <c r="H8207" t="s">
        <v>30916</v>
      </c>
      <c r="I8207" t="s">
        <v>30940</v>
      </c>
      <c r="J8207" t="s">
        <v>36234</v>
      </c>
      <c r="K8207" t="s">
        <v>40283</v>
      </c>
      <c r="M8207" t="s">
        <v>42294</v>
      </c>
      <c r="N8207" t="s">
        <v>44759</v>
      </c>
      <c r="O8207" t="s">
        <v>44760</v>
      </c>
      <c r="P8207">
        <v>0</v>
      </c>
      <c r="Q8207">
        <v>0</v>
      </c>
      <c r="R8207" t="s">
        <v>44768</v>
      </c>
      <c r="S8207" t="s">
        <v>44982</v>
      </c>
      <c r="T8207" t="s">
        <v>46625</v>
      </c>
      <c r="U8207" t="s">
        <v>53772</v>
      </c>
      <c r="W8207" t="s">
        <v>42294</v>
      </c>
      <c r="X8207" t="s">
        <v>44769</v>
      </c>
    </row>
    <row r="8208" spans="1:24">
      <c r="A8208">
        <f>HYPERLINK("https://www.philgeps.gov.ph/GEPSNONPILOT/Tender/SplashBidNoticeAbstractUI.aspx?menuIndex=3&amp;refID=7139121&amp;Result=3","7139121")</f>
        <v>0</v>
      </c>
      <c r="B8208" t="s">
        <v>1959</v>
      </c>
      <c r="C8208" t="s">
        <v>11534</v>
      </c>
      <c r="D8208" t="s">
        <v>17972</v>
      </c>
      <c r="E8208" t="s">
        <v>25221</v>
      </c>
      <c r="F8208" t="s">
        <v>30900</v>
      </c>
      <c r="G8208" t="s">
        <v>30908</v>
      </c>
      <c r="H8208" t="s">
        <v>30916</v>
      </c>
      <c r="I8208" t="s">
        <v>4108</v>
      </c>
      <c r="J8208" t="s">
        <v>36235</v>
      </c>
      <c r="K8208" t="s">
        <v>40287</v>
      </c>
      <c r="M8208" t="s">
        <v>42643</v>
      </c>
      <c r="N8208" t="s">
        <v>44759</v>
      </c>
      <c r="O8208" t="s">
        <v>44760</v>
      </c>
      <c r="P8208">
        <v>0</v>
      </c>
      <c r="Q8208">
        <v>3</v>
      </c>
      <c r="R8208" t="s">
        <v>44768</v>
      </c>
      <c r="S8208" t="s">
        <v>44982</v>
      </c>
      <c r="T8208" t="s">
        <v>46658</v>
      </c>
      <c r="U8208" t="s">
        <v>53773</v>
      </c>
      <c r="W8208" t="s">
        <v>42643</v>
      </c>
      <c r="X8208" t="s">
        <v>44769</v>
      </c>
    </row>
    <row r="8209" spans="1:24">
      <c r="A8209">
        <f>HYPERLINK("https://www.philgeps.gov.ph/GEPSNONPILOT/Tender/SplashBidNoticeAbstractUI.aspx?menuIndex=3&amp;refID=7139088&amp;Result=3","7139088")</f>
        <v>0</v>
      </c>
      <c r="B8209" t="s">
        <v>1625</v>
      </c>
      <c r="C8209" t="s">
        <v>7812</v>
      </c>
      <c r="D8209" t="s">
        <v>17967</v>
      </c>
      <c r="E8209" t="s">
        <v>25222</v>
      </c>
      <c r="F8209" t="s">
        <v>30900</v>
      </c>
      <c r="G8209" t="s">
        <v>30908</v>
      </c>
      <c r="H8209" t="s">
        <v>30916</v>
      </c>
      <c r="I8209" t="s">
        <v>30983</v>
      </c>
      <c r="J8209" t="s">
        <v>31067</v>
      </c>
      <c r="K8209" t="s">
        <v>40287</v>
      </c>
      <c r="M8209" t="s">
        <v>42276</v>
      </c>
      <c r="N8209" t="s">
        <v>44759</v>
      </c>
      <c r="O8209" t="s">
        <v>44760</v>
      </c>
      <c r="P8209">
        <v>0</v>
      </c>
      <c r="Q8209">
        <v>2</v>
      </c>
      <c r="R8209" t="s">
        <v>44768</v>
      </c>
      <c r="S8209" t="s">
        <v>44982</v>
      </c>
      <c r="T8209" t="s">
        <v>46398</v>
      </c>
      <c r="U8209" t="s">
        <v>53774</v>
      </c>
      <c r="W8209" t="s">
        <v>42276</v>
      </c>
      <c r="X8209" t="s">
        <v>44769</v>
      </c>
    </row>
    <row r="8210" spans="1:24">
      <c r="A8210">
        <f>HYPERLINK("https://www.philgeps.gov.ph/GEPSNONPILOT/Tender/SplashBidNoticeAbstractUI.aspx?menuIndex=3&amp;refID=7139115&amp;Result=3","7139115")</f>
        <v>0</v>
      </c>
      <c r="B8210" t="s">
        <v>438</v>
      </c>
      <c r="C8210" t="s">
        <v>11535</v>
      </c>
      <c r="E8210" t="s">
        <v>25223</v>
      </c>
      <c r="F8210" t="s">
        <v>30900</v>
      </c>
      <c r="G8210" t="s">
        <v>30907</v>
      </c>
      <c r="H8210" t="s">
        <v>30915</v>
      </c>
      <c r="I8210" t="s">
        <v>30919</v>
      </c>
      <c r="J8210" t="s">
        <v>36236</v>
      </c>
      <c r="K8210" t="s">
        <v>40304</v>
      </c>
      <c r="M8210" t="s">
        <v>40995</v>
      </c>
      <c r="N8210" t="s">
        <v>44759</v>
      </c>
      <c r="O8210" t="s">
        <v>44760</v>
      </c>
      <c r="P8210">
        <v>0</v>
      </c>
      <c r="Q8210">
        <v>0</v>
      </c>
      <c r="R8210" t="s">
        <v>44768</v>
      </c>
      <c r="S8210" t="s">
        <v>44982</v>
      </c>
      <c r="T8210" t="s">
        <v>46708</v>
      </c>
      <c r="U8210" t="s">
        <v>53775</v>
      </c>
      <c r="W8210" t="s">
        <v>40995</v>
      </c>
      <c r="X8210" t="s">
        <v>44769</v>
      </c>
    </row>
    <row r="8211" spans="1:24">
      <c r="A8211">
        <f>HYPERLINK("https://www.philgeps.gov.ph/GEPSNONPILOT/Tender/SplashBidNoticeAbstractUI.aspx?menuIndex=3&amp;refID=7139111&amp;Result=3","7139111")</f>
        <v>0</v>
      </c>
      <c r="B8211" t="s">
        <v>2699</v>
      </c>
      <c r="C8211" t="s">
        <v>11536</v>
      </c>
      <c r="D8211" t="s">
        <v>18001</v>
      </c>
      <c r="E8211" t="s">
        <v>18094</v>
      </c>
      <c r="F8211" t="s">
        <v>30900</v>
      </c>
      <c r="G8211" t="s">
        <v>30909</v>
      </c>
      <c r="H8211" t="s">
        <v>30916</v>
      </c>
      <c r="I8211" t="s">
        <v>4545</v>
      </c>
      <c r="J8211" t="s">
        <v>31048</v>
      </c>
      <c r="K8211" t="s">
        <v>40289</v>
      </c>
      <c r="M8211" t="s">
        <v>43472</v>
      </c>
      <c r="N8211" t="s">
        <v>44759</v>
      </c>
      <c r="O8211" t="s">
        <v>44760</v>
      </c>
      <c r="P8211">
        <v>0</v>
      </c>
      <c r="Q8211">
        <v>3</v>
      </c>
      <c r="R8211" t="s">
        <v>44768</v>
      </c>
      <c r="S8211" t="s">
        <v>44982</v>
      </c>
      <c r="T8211" t="s">
        <v>46662</v>
      </c>
      <c r="U8211" t="s">
        <v>53776</v>
      </c>
      <c r="W8211" t="s">
        <v>43472</v>
      </c>
      <c r="X8211" t="s">
        <v>44769</v>
      </c>
    </row>
    <row r="8212" spans="1:24">
      <c r="A8212">
        <f>HYPERLINK("https://www.philgeps.gov.ph/GEPSNONPILOT/Tender/SplashBidNoticeAbstractUI.aspx?menuIndex=3&amp;refID=7139125&amp;Result=3","7139125")</f>
        <v>0</v>
      </c>
      <c r="B8212" t="s">
        <v>2700</v>
      </c>
      <c r="C8212" t="s">
        <v>11537</v>
      </c>
      <c r="D8212" t="s">
        <v>18010</v>
      </c>
      <c r="E8212" t="s">
        <v>25224</v>
      </c>
      <c r="F8212" t="s">
        <v>30900</v>
      </c>
      <c r="G8212" t="s">
        <v>30907</v>
      </c>
      <c r="H8212" t="s">
        <v>30915</v>
      </c>
      <c r="I8212" t="s">
        <v>30919</v>
      </c>
      <c r="J8212" t="s">
        <v>36237</v>
      </c>
      <c r="K8212" t="s">
        <v>40360</v>
      </c>
      <c r="M8212" t="s">
        <v>43473</v>
      </c>
      <c r="N8212" t="s">
        <v>44759</v>
      </c>
      <c r="O8212" t="s">
        <v>44760</v>
      </c>
      <c r="Q8212">
        <v>11</v>
      </c>
      <c r="R8212" t="s">
        <v>44768</v>
      </c>
      <c r="S8212" t="s">
        <v>44998</v>
      </c>
      <c r="T8212" t="s">
        <v>46411</v>
      </c>
      <c r="U8212" t="s">
        <v>53777</v>
      </c>
      <c r="W8212" t="s">
        <v>43473</v>
      </c>
      <c r="X8212" t="s">
        <v>44769</v>
      </c>
    </row>
    <row r="8213" spans="1:24">
      <c r="A8213">
        <f>HYPERLINK("https://www.philgeps.gov.ph/GEPSNONPILOT/Tender/SplashBidNoticeAbstractUI.aspx?menuIndex=3&amp;refID=7139145&amp;Result=3","7139145")</f>
        <v>0</v>
      </c>
      <c r="B8213" t="s">
        <v>736</v>
      </c>
      <c r="C8213" t="s">
        <v>11538</v>
      </c>
      <c r="D8213" t="s">
        <v>18013</v>
      </c>
      <c r="E8213" t="s">
        <v>25225</v>
      </c>
      <c r="F8213" t="s">
        <v>30900</v>
      </c>
      <c r="G8213" t="s">
        <v>30907</v>
      </c>
      <c r="H8213" t="s">
        <v>30916</v>
      </c>
      <c r="I8213" t="s">
        <v>8123</v>
      </c>
      <c r="J8213" t="s">
        <v>36238</v>
      </c>
      <c r="K8213" t="s">
        <v>40292</v>
      </c>
      <c r="M8213" t="s">
        <v>41300</v>
      </c>
      <c r="N8213" t="s">
        <v>44759</v>
      </c>
      <c r="O8213" t="s">
        <v>44760</v>
      </c>
      <c r="Q8213">
        <v>1</v>
      </c>
      <c r="R8213" t="s">
        <v>44768</v>
      </c>
      <c r="S8213" t="s">
        <v>44999</v>
      </c>
      <c r="T8213" t="s">
        <v>46472</v>
      </c>
      <c r="U8213" t="s">
        <v>53778</v>
      </c>
      <c r="W8213" t="s">
        <v>41300</v>
      </c>
      <c r="X8213" t="s">
        <v>44769</v>
      </c>
    </row>
    <row r="8214" spans="1:24">
      <c r="A8214">
        <f>HYPERLINK("https://www.philgeps.gov.ph/GEPSNONPILOT/Tender/SplashBidNoticeAbstractUI.aspx?menuIndex=3&amp;refID=7138983&amp;Result=3","7138983")</f>
        <v>0</v>
      </c>
      <c r="B8214" t="s">
        <v>2701</v>
      </c>
      <c r="C8214" t="s">
        <v>6603</v>
      </c>
      <c r="D8214" t="s">
        <v>17984</v>
      </c>
      <c r="E8214" t="s">
        <v>22726</v>
      </c>
      <c r="F8214" t="s">
        <v>30900</v>
      </c>
      <c r="G8214" t="s">
        <v>30907</v>
      </c>
      <c r="H8214" t="s">
        <v>30915</v>
      </c>
      <c r="I8214" t="s">
        <v>30919</v>
      </c>
      <c r="J8214" t="s">
        <v>31101</v>
      </c>
      <c r="K8214" t="s">
        <v>40287</v>
      </c>
      <c r="M8214" t="s">
        <v>43474</v>
      </c>
      <c r="N8214" t="s">
        <v>44759</v>
      </c>
      <c r="O8214" t="s">
        <v>44760</v>
      </c>
      <c r="P8214">
        <v>0</v>
      </c>
      <c r="Q8214">
        <v>0</v>
      </c>
      <c r="R8214" t="s">
        <v>44768</v>
      </c>
      <c r="S8214" t="s">
        <v>44982</v>
      </c>
      <c r="T8214" t="s">
        <v>46807</v>
      </c>
      <c r="U8214" t="s">
        <v>53779</v>
      </c>
      <c r="W8214" t="s">
        <v>43474</v>
      </c>
      <c r="X8214" t="s">
        <v>44769</v>
      </c>
    </row>
    <row r="8215" spans="1:24">
      <c r="A8215">
        <f>HYPERLINK("https://www.philgeps.gov.ph/GEPSNONPILOT/Tender/SplashBidNoticeAbstractUI.aspx?menuIndex=3&amp;refID=7139113&amp;Result=3","7139113")</f>
        <v>0</v>
      </c>
      <c r="B8215" t="s">
        <v>42</v>
      </c>
      <c r="C8215" t="s">
        <v>11539</v>
      </c>
      <c r="D8215" t="s">
        <v>17967</v>
      </c>
      <c r="E8215" t="s">
        <v>25226</v>
      </c>
      <c r="F8215" t="s">
        <v>30900</v>
      </c>
      <c r="G8215" t="s">
        <v>30907</v>
      </c>
      <c r="H8215" t="s">
        <v>30916</v>
      </c>
      <c r="I8215" t="s">
        <v>30947</v>
      </c>
      <c r="J8215" t="s">
        <v>36239</v>
      </c>
      <c r="K8215" t="s">
        <v>40284</v>
      </c>
      <c r="M8215" t="s">
        <v>40588</v>
      </c>
      <c r="N8215" t="s">
        <v>44759</v>
      </c>
      <c r="O8215" t="s">
        <v>44760</v>
      </c>
      <c r="P8215">
        <v>0</v>
      </c>
      <c r="Q8215">
        <v>0</v>
      </c>
      <c r="R8215" t="s">
        <v>44768</v>
      </c>
      <c r="S8215" t="s">
        <v>44982</v>
      </c>
      <c r="T8215" t="s">
        <v>46374</v>
      </c>
      <c r="U8215" t="s">
        <v>53780</v>
      </c>
      <c r="W8215" t="s">
        <v>40588</v>
      </c>
      <c r="X8215" t="s">
        <v>44769</v>
      </c>
    </row>
    <row r="8216" spans="1:24">
      <c r="A8216">
        <f>HYPERLINK("https://www.philgeps.gov.ph/GEPSNONPILOT/Tender/SplashBidNoticeAbstractUI.aspx?menuIndex=3&amp;refID=7138975&amp;Result=3","7138975")</f>
        <v>0</v>
      </c>
      <c r="B8216" t="s">
        <v>2702</v>
      </c>
      <c r="C8216" t="s">
        <v>11540</v>
      </c>
      <c r="D8216" t="s">
        <v>17959</v>
      </c>
      <c r="E8216" t="s">
        <v>19293</v>
      </c>
      <c r="F8216" t="s">
        <v>30900</v>
      </c>
      <c r="G8216" t="s">
        <v>30908</v>
      </c>
      <c r="H8216" t="s">
        <v>30915</v>
      </c>
      <c r="I8216" t="s">
        <v>8123</v>
      </c>
      <c r="J8216" t="s">
        <v>31355</v>
      </c>
      <c r="K8216" t="s">
        <v>40284</v>
      </c>
      <c r="L8216" t="s">
        <v>2702</v>
      </c>
      <c r="M8216" t="s">
        <v>43475</v>
      </c>
      <c r="N8216" t="s">
        <v>44759</v>
      </c>
      <c r="O8216" t="s">
        <v>44760</v>
      </c>
      <c r="P8216">
        <v>0</v>
      </c>
      <c r="Q8216">
        <v>3</v>
      </c>
      <c r="R8216" t="s">
        <v>44768</v>
      </c>
      <c r="S8216" t="s">
        <v>44982</v>
      </c>
      <c r="T8216" t="s">
        <v>46398</v>
      </c>
      <c r="U8216" t="s">
        <v>53781</v>
      </c>
      <c r="W8216" t="s">
        <v>43475</v>
      </c>
      <c r="X8216" t="s">
        <v>44769</v>
      </c>
    </row>
    <row r="8217" spans="1:24">
      <c r="A8217">
        <f>HYPERLINK("https://www.philgeps.gov.ph/GEPSNONPILOT/Tender/SplashBidNoticeAbstractUI.aspx?menuIndex=3&amp;refID=7138972&amp;Result=3","7138972")</f>
        <v>0</v>
      </c>
      <c r="B8217" t="s">
        <v>2703</v>
      </c>
      <c r="C8217" t="s">
        <v>11541</v>
      </c>
      <c r="D8217" t="s">
        <v>17963</v>
      </c>
      <c r="E8217" t="s">
        <v>25227</v>
      </c>
      <c r="F8217" t="s">
        <v>30900</v>
      </c>
      <c r="G8217" t="s">
        <v>30906</v>
      </c>
      <c r="H8217" t="s">
        <v>30916</v>
      </c>
      <c r="I8217" t="s">
        <v>30933</v>
      </c>
      <c r="J8217" t="s">
        <v>31048</v>
      </c>
      <c r="K8217" t="s">
        <v>40289</v>
      </c>
      <c r="M8217" t="s">
        <v>43476</v>
      </c>
      <c r="N8217" t="s">
        <v>44759</v>
      </c>
      <c r="O8217" t="s">
        <v>44760</v>
      </c>
      <c r="P8217">
        <v>0</v>
      </c>
      <c r="Q8217">
        <v>0</v>
      </c>
      <c r="R8217" t="s">
        <v>44768</v>
      </c>
      <c r="S8217" t="s">
        <v>44982</v>
      </c>
      <c r="T8217" t="s">
        <v>46458</v>
      </c>
      <c r="U8217" t="s">
        <v>53782</v>
      </c>
      <c r="W8217" t="s">
        <v>43476</v>
      </c>
      <c r="X8217" t="s">
        <v>44769</v>
      </c>
    </row>
    <row r="8218" spans="1:24">
      <c r="A8218">
        <f>HYPERLINK("https://www.philgeps.gov.ph/GEPSNONPILOT/Tender/SplashBidNoticeAbstractUI.aspx?menuIndex=3&amp;refID=7139110&amp;Result=3","7139110")</f>
        <v>0</v>
      </c>
      <c r="B8218" t="s">
        <v>1959</v>
      </c>
      <c r="C8218" t="s">
        <v>11542</v>
      </c>
      <c r="D8218" t="s">
        <v>17972</v>
      </c>
      <c r="E8218" t="s">
        <v>25228</v>
      </c>
      <c r="F8218" t="s">
        <v>30900</v>
      </c>
      <c r="G8218" t="s">
        <v>30908</v>
      </c>
      <c r="H8218" t="s">
        <v>30916</v>
      </c>
      <c r="I8218" t="s">
        <v>30924</v>
      </c>
      <c r="J8218" t="s">
        <v>36240</v>
      </c>
      <c r="K8218" t="s">
        <v>40287</v>
      </c>
      <c r="M8218" t="s">
        <v>42643</v>
      </c>
      <c r="N8218" t="s">
        <v>44759</v>
      </c>
      <c r="O8218" t="s">
        <v>44760</v>
      </c>
      <c r="P8218">
        <v>0</v>
      </c>
      <c r="Q8218">
        <v>5</v>
      </c>
      <c r="R8218" t="s">
        <v>44768</v>
      </c>
      <c r="S8218" t="s">
        <v>44982</v>
      </c>
      <c r="T8218" t="s">
        <v>46658</v>
      </c>
      <c r="U8218" t="s">
        <v>53783</v>
      </c>
      <c r="W8218" t="s">
        <v>42643</v>
      </c>
      <c r="X8218" t="s">
        <v>44769</v>
      </c>
    </row>
    <row r="8219" spans="1:24">
      <c r="A8219">
        <f>HYPERLINK("https://www.philgeps.gov.ph/GEPSNONPILOT/Tender/SplashBidNoticeAbstractUI.aspx?menuIndex=3&amp;refID=7139109&amp;Result=3","7139109")</f>
        <v>0</v>
      </c>
      <c r="B8219" t="s">
        <v>380</v>
      </c>
      <c r="C8219" t="s">
        <v>4013</v>
      </c>
      <c r="D8219" t="s">
        <v>18003</v>
      </c>
      <c r="E8219" t="s">
        <v>25229</v>
      </c>
      <c r="F8219" t="s">
        <v>30900</v>
      </c>
      <c r="G8219" t="s">
        <v>30908</v>
      </c>
      <c r="H8219" t="s">
        <v>30916</v>
      </c>
      <c r="I8219" t="s">
        <v>4142</v>
      </c>
      <c r="J8219" t="s">
        <v>36241</v>
      </c>
      <c r="K8219" t="s">
        <v>40287</v>
      </c>
      <c r="M8219" t="s">
        <v>40934</v>
      </c>
      <c r="N8219" t="s">
        <v>44759</v>
      </c>
      <c r="O8219" t="s">
        <v>44760</v>
      </c>
      <c r="P8219">
        <v>0</v>
      </c>
      <c r="Q8219">
        <v>0</v>
      </c>
      <c r="R8219" t="s">
        <v>44768</v>
      </c>
      <c r="S8219" t="s">
        <v>44982</v>
      </c>
      <c r="T8219" t="s">
        <v>46591</v>
      </c>
      <c r="U8219" t="s">
        <v>47553</v>
      </c>
      <c r="W8219" t="s">
        <v>40934</v>
      </c>
      <c r="X8219" t="s">
        <v>44769</v>
      </c>
    </row>
    <row r="8220" spans="1:24">
      <c r="A8220">
        <f>HYPERLINK("https://www.philgeps.gov.ph/GEPSNONPILOT/Tender/SplashBidNoticeAbstractUI.aspx?menuIndex=3&amp;refID=7139131&amp;Result=3","7139131")</f>
        <v>0</v>
      </c>
      <c r="B8220" t="s">
        <v>380</v>
      </c>
      <c r="C8220" t="s">
        <v>4395</v>
      </c>
      <c r="D8220" t="s">
        <v>18003</v>
      </c>
      <c r="E8220" t="s">
        <v>25230</v>
      </c>
      <c r="F8220" t="s">
        <v>30900</v>
      </c>
      <c r="G8220" t="s">
        <v>30908</v>
      </c>
      <c r="H8220" t="s">
        <v>30916</v>
      </c>
      <c r="I8220" t="s">
        <v>10602</v>
      </c>
      <c r="J8220" t="s">
        <v>36242</v>
      </c>
      <c r="K8220" t="s">
        <v>40287</v>
      </c>
      <c r="M8220" t="s">
        <v>40934</v>
      </c>
      <c r="N8220" t="s">
        <v>44759</v>
      </c>
      <c r="O8220" t="s">
        <v>44760</v>
      </c>
      <c r="P8220">
        <v>0</v>
      </c>
      <c r="Q8220">
        <v>0</v>
      </c>
      <c r="R8220" t="s">
        <v>44768</v>
      </c>
      <c r="S8220" t="s">
        <v>44982</v>
      </c>
      <c r="T8220" t="s">
        <v>46591</v>
      </c>
      <c r="U8220" t="s">
        <v>47553</v>
      </c>
      <c r="W8220" t="s">
        <v>40934</v>
      </c>
      <c r="X8220" t="s">
        <v>44769</v>
      </c>
    </row>
    <row r="8221" spans="1:24">
      <c r="A8221">
        <f>HYPERLINK("https://www.philgeps.gov.ph/GEPSNONPILOT/Tender/SplashBidNoticeAbstractUI.aspx?menuIndex=3&amp;refID=7138973&amp;Result=3","7138973")</f>
        <v>0</v>
      </c>
      <c r="B8221" t="s">
        <v>2333</v>
      </c>
      <c r="C8221" t="s">
        <v>11543</v>
      </c>
      <c r="D8221" t="s">
        <v>18003</v>
      </c>
      <c r="E8221" t="s">
        <v>25231</v>
      </c>
      <c r="F8221" t="s">
        <v>30904</v>
      </c>
      <c r="G8221" t="s">
        <v>30907</v>
      </c>
      <c r="H8221" t="s">
        <v>30916</v>
      </c>
      <c r="I8221" t="s">
        <v>8123</v>
      </c>
      <c r="J8221" t="s">
        <v>31271</v>
      </c>
      <c r="K8221" t="s">
        <v>40284</v>
      </c>
      <c r="M8221" t="s">
        <v>43055</v>
      </c>
      <c r="N8221" t="s">
        <v>44759</v>
      </c>
      <c r="O8221" t="s">
        <v>44760</v>
      </c>
      <c r="P8221">
        <v>0</v>
      </c>
      <c r="Q8221">
        <v>0</v>
      </c>
      <c r="R8221" t="s">
        <v>44768</v>
      </c>
      <c r="S8221" t="s">
        <v>44982</v>
      </c>
      <c r="T8221" t="s">
        <v>46396</v>
      </c>
      <c r="U8221" t="s">
        <v>53784</v>
      </c>
      <c r="W8221" t="s">
        <v>43055</v>
      </c>
      <c r="X8221" t="s">
        <v>44769</v>
      </c>
    </row>
    <row r="8222" spans="1:24">
      <c r="A8222">
        <f>HYPERLINK("https://www.philgeps.gov.ph/GEPSNONPILOT/Tender/SplashBidNoticeAbstractUI.aspx?menuIndex=3&amp;refID=7139134&amp;Result=3","7139134")</f>
        <v>0</v>
      </c>
      <c r="B8222" t="s">
        <v>2704</v>
      </c>
      <c r="C8222" t="s">
        <v>11544</v>
      </c>
      <c r="D8222" t="s">
        <v>17974</v>
      </c>
      <c r="E8222" t="s">
        <v>24954</v>
      </c>
      <c r="F8222" t="s">
        <v>30900</v>
      </c>
      <c r="G8222" t="s">
        <v>30907</v>
      </c>
      <c r="H8222" t="s">
        <v>30915</v>
      </c>
      <c r="I8222" t="s">
        <v>30919</v>
      </c>
      <c r="J8222" t="s">
        <v>31341</v>
      </c>
      <c r="K8222" t="s">
        <v>40283</v>
      </c>
      <c r="M8222" t="s">
        <v>43477</v>
      </c>
      <c r="N8222" t="s">
        <v>44759</v>
      </c>
      <c r="O8222" t="s">
        <v>44760</v>
      </c>
      <c r="P8222">
        <v>0</v>
      </c>
      <c r="Q8222">
        <v>0</v>
      </c>
      <c r="R8222" t="s">
        <v>44768</v>
      </c>
      <c r="S8222" t="s">
        <v>44982</v>
      </c>
      <c r="T8222" t="s">
        <v>46552</v>
      </c>
      <c r="U8222" t="s">
        <v>53785</v>
      </c>
      <c r="W8222" t="s">
        <v>43477</v>
      </c>
      <c r="X8222" t="s">
        <v>44769</v>
      </c>
    </row>
    <row r="8223" spans="1:24">
      <c r="A8223">
        <f>HYPERLINK("https://www.philgeps.gov.ph/GEPSNONPILOT/Tender/SplashBidNoticeAbstractUI.aspx?menuIndex=3&amp;refID=7139178&amp;Result=3","7139178")</f>
        <v>0</v>
      </c>
      <c r="B8223" t="s">
        <v>380</v>
      </c>
      <c r="C8223" t="s">
        <v>4427</v>
      </c>
      <c r="D8223" t="s">
        <v>18003</v>
      </c>
      <c r="E8223" t="s">
        <v>25232</v>
      </c>
      <c r="F8223" t="s">
        <v>30900</v>
      </c>
      <c r="G8223" t="s">
        <v>30908</v>
      </c>
      <c r="H8223" t="s">
        <v>30916</v>
      </c>
      <c r="I8223" t="s">
        <v>6953</v>
      </c>
      <c r="J8223" t="s">
        <v>36243</v>
      </c>
      <c r="K8223" t="s">
        <v>40287</v>
      </c>
      <c r="M8223" t="s">
        <v>40934</v>
      </c>
      <c r="N8223" t="s">
        <v>44759</v>
      </c>
      <c r="O8223" t="s">
        <v>44760</v>
      </c>
      <c r="P8223">
        <v>0</v>
      </c>
      <c r="Q8223">
        <v>0</v>
      </c>
      <c r="R8223" t="s">
        <v>44768</v>
      </c>
      <c r="S8223" t="s">
        <v>44982</v>
      </c>
      <c r="T8223" t="s">
        <v>46591</v>
      </c>
      <c r="U8223" t="s">
        <v>47553</v>
      </c>
      <c r="W8223" t="s">
        <v>40934</v>
      </c>
      <c r="X8223" t="s">
        <v>44769</v>
      </c>
    </row>
    <row r="8224" spans="1:24">
      <c r="A8224">
        <f>HYPERLINK("https://www.philgeps.gov.ph/GEPSNONPILOT/Tender/SplashBidNoticeAbstractUI.aspx?menuIndex=3&amp;refID=7139213&amp;Result=3","7139213")</f>
        <v>0</v>
      </c>
      <c r="B8224" t="s">
        <v>2705</v>
      </c>
      <c r="C8224" t="s">
        <v>11545</v>
      </c>
      <c r="D8224" t="s">
        <v>17993</v>
      </c>
      <c r="E8224" t="s">
        <v>25233</v>
      </c>
      <c r="F8224" t="s">
        <v>30900</v>
      </c>
      <c r="G8224" t="s">
        <v>30908</v>
      </c>
      <c r="H8224" t="s">
        <v>30916</v>
      </c>
      <c r="I8224" t="s">
        <v>8123</v>
      </c>
      <c r="J8224" t="s">
        <v>31049</v>
      </c>
      <c r="K8224" t="s">
        <v>40288</v>
      </c>
      <c r="M8224" t="s">
        <v>43478</v>
      </c>
      <c r="N8224" t="s">
        <v>44759</v>
      </c>
      <c r="O8224" t="s">
        <v>44760</v>
      </c>
      <c r="P8224">
        <v>0</v>
      </c>
      <c r="Q8224">
        <v>0</v>
      </c>
      <c r="R8224" t="s">
        <v>44768</v>
      </c>
      <c r="S8224" t="s">
        <v>44982</v>
      </c>
      <c r="T8224" t="s">
        <v>46414</v>
      </c>
      <c r="U8224" t="s">
        <v>53786</v>
      </c>
      <c r="W8224" t="s">
        <v>43478</v>
      </c>
      <c r="X8224" t="s">
        <v>44769</v>
      </c>
    </row>
    <row r="8225" spans="1:24">
      <c r="A8225">
        <f>HYPERLINK("https://www.philgeps.gov.ph/GEPSNONPILOT/Tender/SplashBidNoticeAbstractUI.aspx?menuIndex=3&amp;refID=7139205&amp;Result=3","7139205")</f>
        <v>0</v>
      </c>
      <c r="B8225" t="s">
        <v>1274</v>
      </c>
      <c r="C8225" t="s">
        <v>11546</v>
      </c>
      <c r="D8225" t="s">
        <v>18017</v>
      </c>
      <c r="E8225" t="s">
        <v>25234</v>
      </c>
      <c r="F8225" t="s">
        <v>30900</v>
      </c>
      <c r="G8225" t="s">
        <v>30907</v>
      </c>
      <c r="H8225" t="s">
        <v>30916</v>
      </c>
      <c r="I8225" t="s">
        <v>30939</v>
      </c>
      <c r="J8225" t="s">
        <v>36244</v>
      </c>
      <c r="K8225" t="s">
        <v>40333</v>
      </c>
      <c r="M8225" t="s">
        <v>41890</v>
      </c>
      <c r="N8225" t="s">
        <v>44759</v>
      </c>
      <c r="O8225" t="s">
        <v>44760</v>
      </c>
      <c r="P8225">
        <v>0</v>
      </c>
      <c r="Q8225">
        <v>0</v>
      </c>
      <c r="R8225" t="s">
        <v>44768</v>
      </c>
      <c r="S8225" t="s">
        <v>44982</v>
      </c>
      <c r="T8225" t="s">
        <v>46581</v>
      </c>
      <c r="U8225" t="s">
        <v>53787</v>
      </c>
      <c r="V8225" t="s">
        <v>59453</v>
      </c>
      <c r="W8225" t="s">
        <v>41890</v>
      </c>
      <c r="X8225" t="s">
        <v>44769</v>
      </c>
    </row>
    <row r="8226" spans="1:24">
      <c r="A8226">
        <f>HYPERLINK("https://www.philgeps.gov.ph/GEPSNONPILOT/Tender/SplashBidNoticeAbstractUI.aspx?menuIndex=3&amp;refID=7139195&amp;Result=3","7139195")</f>
        <v>0</v>
      </c>
      <c r="B8226" t="s">
        <v>380</v>
      </c>
      <c r="C8226" t="s">
        <v>11547</v>
      </c>
      <c r="D8226" t="s">
        <v>18003</v>
      </c>
      <c r="E8226" t="s">
        <v>25235</v>
      </c>
      <c r="F8226" t="s">
        <v>30900</v>
      </c>
      <c r="G8226" t="s">
        <v>30908</v>
      </c>
      <c r="H8226" t="s">
        <v>30916</v>
      </c>
      <c r="I8226" t="s">
        <v>30939</v>
      </c>
      <c r="J8226" t="s">
        <v>36245</v>
      </c>
      <c r="K8226" t="s">
        <v>40287</v>
      </c>
      <c r="M8226" t="s">
        <v>40934</v>
      </c>
      <c r="N8226" t="s">
        <v>44759</v>
      </c>
      <c r="O8226" t="s">
        <v>44760</v>
      </c>
      <c r="P8226">
        <v>0</v>
      </c>
      <c r="Q8226">
        <v>0</v>
      </c>
      <c r="R8226" t="s">
        <v>44768</v>
      </c>
      <c r="S8226" t="s">
        <v>44982</v>
      </c>
      <c r="T8226" t="s">
        <v>46591</v>
      </c>
      <c r="U8226" t="s">
        <v>47553</v>
      </c>
      <c r="W8226" t="s">
        <v>40934</v>
      </c>
      <c r="X8226" t="s">
        <v>44769</v>
      </c>
    </row>
    <row r="8227" spans="1:24">
      <c r="A8227">
        <f>HYPERLINK("https://www.philgeps.gov.ph/GEPSNONPILOT/Tender/SplashBidNoticeAbstractUI.aspx?menuIndex=3&amp;refID=7139182&amp;Result=3","7139182")</f>
        <v>0</v>
      </c>
      <c r="B8227" t="s">
        <v>1959</v>
      </c>
      <c r="C8227" t="s">
        <v>11548</v>
      </c>
      <c r="D8227" t="s">
        <v>17972</v>
      </c>
      <c r="E8227" t="s">
        <v>25236</v>
      </c>
      <c r="F8227" t="s">
        <v>30900</v>
      </c>
      <c r="G8227" t="s">
        <v>30908</v>
      </c>
      <c r="H8227" t="s">
        <v>30916</v>
      </c>
      <c r="I8227" t="s">
        <v>4108</v>
      </c>
      <c r="J8227" t="s">
        <v>31070</v>
      </c>
      <c r="K8227" t="s">
        <v>40287</v>
      </c>
      <c r="M8227" t="s">
        <v>42643</v>
      </c>
      <c r="N8227" t="s">
        <v>44759</v>
      </c>
      <c r="O8227" t="s">
        <v>44760</v>
      </c>
      <c r="P8227">
        <v>0</v>
      </c>
      <c r="Q8227">
        <v>1</v>
      </c>
      <c r="R8227" t="s">
        <v>44768</v>
      </c>
      <c r="S8227" t="s">
        <v>44982</v>
      </c>
      <c r="T8227" t="s">
        <v>46658</v>
      </c>
      <c r="U8227" t="s">
        <v>53788</v>
      </c>
      <c r="W8227" t="s">
        <v>42643</v>
      </c>
      <c r="X8227" t="s">
        <v>44769</v>
      </c>
    </row>
    <row r="8228" spans="1:24">
      <c r="A8228">
        <f>HYPERLINK("https://www.philgeps.gov.ph/GEPSNONPILOT/Tender/SplashBidNoticeAbstractUI.aspx?menuIndex=3&amp;refID=7139210&amp;Result=3","7139210")</f>
        <v>0</v>
      </c>
      <c r="B8228" t="s">
        <v>1959</v>
      </c>
      <c r="C8228" t="s">
        <v>11549</v>
      </c>
      <c r="D8228" t="s">
        <v>17972</v>
      </c>
      <c r="E8228" t="s">
        <v>25237</v>
      </c>
      <c r="F8228" t="s">
        <v>30900</v>
      </c>
      <c r="G8228" t="s">
        <v>30908</v>
      </c>
      <c r="H8228" t="s">
        <v>30916</v>
      </c>
      <c r="I8228" t="s">
        <v>8123</v>
      </c>
      <c r="J8228" t="s">
        <v>36246</v>
      </c>
      <c r="K8228" t="s">
        <v>40287</v>
      </c>
      <c r="M8228" t="s">
        <v>42643</v>
      </c>
      <c r="N8228" t="s">
        <v>44759</v>
      </c>
      <c r="O8228" t="s">
        <v>44760</v>
      </c>
      <c r="P8228">
        <v>0</v>
      </c>
      <c r="Q8228">
        <v>0</v>
      </c>
      <c r="R8228" t="s">
        <v>44768</v>
      </c>
      <c r="S8228" t="s">
        <v>44982</v>
      </c>
      <c r="T8228" t="s">
        <v>46658</v>
      </c>
      <c r="U8228" t="s">
        <v>53789</v>
      </c>
      <c r="W8228" t="s">
        <v>42643</v>
      </c>
      <c r="X8228" t="s">
        <v>44769</v>
      </c>
    </row>
    <row r="8229" spans="1:24">
      <c r="A8229">
        <f>HYPERLINK("https://www.philgeps.gov.ph/GEPSNONPILOT/Tender/SplashBidNoticeAbstractUI.aspx?menuIndex=3&amp;refID=7139193&amp;Result=3","7139193")</f>
        <v>0</v>
      </c>
      <c r="B8229" t="s">
        <v>2697</v>
      </c>
      <c r="C8229" t="s">
        <v>11550</v>
      </c>
      <c r="D8229" t="s">
        <v>17973</v>
      </c>
      <c r="E8229" t="s">
        <v>25238</v>
      </c>
      <c r="F8229" t="s">
        <v>30900</v>
      </c>
      <c r="G8229" t="s">
        <v>30908</v>
      </c>
      <c r="H8229" t="s">
        <v>30916</v>
      </c>
      <c r="I8229" t="s">
        <v>8123</v>
      </c>
      <c r="J8229" t="s">
        <v>36247</v>
      </c>
      <c r="K8229" t="s">
        <v>40286</v>
      </c>
      <c r="M8229" t="s">
        <v>43470</v>
      </c>
      <c r="N8229" t="s">
        <v>44759</v>
      </c>
      <c r="O8229" t="s">
        <v>44760</v>
      </c>
      <c r="P8229">
        <v>0</v>
      </c>
      <c r="Q8229">
        <v>1</v>
      </c>
      <c r="R8229" t="s">
        <v>44768</v>
      </c>
      <c r="S8229" t="s">
        <v>44982</v>
      </c>
      <c r="T8229" t="s">
        <v>46357</v>
      </c>
      <c r="U8229" t="s">
        <v>53766</v>
      </c>
      <c r="W8229" t="s">
        <v>60900</v>
      </c>
      <c r="X8229" t="s">
        <v>44769</v>
      </c>
    </row>
    <row r="8230" spans="1:24">
      <c r="A8230">
        <f>HYPERLINK("https://www.philgeps.gov.ph/GEPSNONPILOT/Tender/SplashBidNoticeAbstractUI.aspx?menuIndex=3&amp;refID=7139192&amp;Result=3","7139192")</f>
        <v>0</v>
      </c>
      <c r="B8230" t="s">
        <v>2215</v>
      </c>
      <c r="C8230" t="s">
        <v>11551</v>
      </c>
      <c r="E8230" t="s">
        <v>25239</v>
      </c>
      <c r="F8230" t="s">
        <v>30900</v>
      </c>
      <c r="G8230" t="s">
        <v>30907</v>
      </c>
      <c r="H8230" t="s">
        <v>30915</v>
      </c>
      <c r="I8230" t="s">
        <v>30919</v>
      </c>
      <c r="J8230" t="s">
        <v>31297</v>
      </c>
      <c r="K8230" t="s">
        <v>40292</v>
      </c>
      <c r="M8230" t="s">
        <v>42924</v>
      </c>
      <c r="N8230" t="s">
        <v>44759</v>
      </c>
      <c r="O8230" t="s">
        <v>44760</v>
      </c>
      <c r="P8230">
        <v>0</v>
      </c>
      <c r="Q8230">
        <v>0</v>
      </c>
      <c r="R8230" t="s">
        <v>44768</v>
      </c>
      <c r="S8230" t="s">
        <v>44982</v>
      </c>
      <c r="T8230" t="s">
        <v>46428</v>
      </c>
      <c r="U8230" t="s">
        <v>53790</v>
      </c>
      <c r="W8230" t="s">
        <v>42924</v>
      </c>
      <c r="X8230" t="s">
        <v>44769</v>
      </c>
    </row>
    <row r="8231" spans="1:24">
      <c r="A8231">
        <f>HYPERLINK("https://www.philgeps.gov.ph/GEPSNONPILOT/Tender/SplashBidNoticeAbstractUI.aspx?menuIndex=3&amp;refID=7139187&amp;Result=3","7139187")</f>
        <v>0</v>
      </c>
      <c r="B8231" t="s">
        <v>2706</v>
      </c>
      <c r="C8231" t="s">
        <v>11552</v>
      </c>
      <c r="D8231" t="s">
        <v>18028</v>
      </c>
      <c r="E8231" t="s">
        <v>25240</v>
      </c>
      <c r="F8231" t="s">
        <v>30900</v>
      </c>
      <c r="G8231" t="s">
        <v>30907</v>
      </c>
      <c r="H8231" t="s">
        <v>30916</v>
      </c>
      <c r="I8231" t="s">
        <v>6408</v>
      </c>
      <c r="J8231" t="s">
        <v>36248</v>
      </c>
      <c r="K8231" t="s">
        <v>40286</v>
      </c>
      <c r="M8231" t="s">
        <v>43479</v>
      </c>
      <c r="N8231" t="s">
        <v>44759</v>
      </c>
      <c r="O8231" t="s">
        <v>44760</v>
      </c>
      <c r="P8231">
        <v>0</v>
      </c>
      <c r="Q8231">
        <v>4</v>
      </c>
      <c r="R8231" t="s">
        <v>44768</v>
      </c>
      <c r="S8231" t="s">
        <v>44982</v>
      </c>
      <c r="T8231" t="s">
        <v>46465</v>
      </c>
      <c r="U8231" t="s">
        <v>53791</v>
      </c>
      <c r="W8231" t="s">
        <v>43479</v>
      </c>
      <c r="X8231" t="s">
        <v>44769</v>
      </c>
    </row>
    <row r="8232" spans="1:24">
      <c r="A8232">
        <f>HYPERLINK("https://www.philgeps.gov.ph/GEPSNONPILOT/Tender/SplashBidNoticeAbstractUI.aspx?menuIndex=3&amp;refID=7139186&amp;Result=3","7139186")</f>
        <v>0</v>
      </c>
      <c r="B8232" t="s">
        <v>1584</v>
      </c>
      <c r="C8232" t="s">
        <v>11553</v>
      </c>
      <c r="D8232" t="s">
        <v>18025</v>
      </c>
      <c r="E8232" t="s">
        <v>25241</v>
      </c>
      <c r="F8232" t="s">
        <v>30900</v>
      </c>
      <c r="G8232" t="s">
        <v>30907</v>
      </c>
      <c r="H8232" t="s">
        <v>30917</v>
      </c>
      <c r="I8232" t="s">
        <v>30942</v>
      </c>
      <c r="J8232" t="s">
        <v>36249</v>
      </c>
      <c r="K8232" t="s">
        <v>40369</v>
      </c>
      <c r="M8232" t="s">
        <v>42231</v>
      </c>
      <c r="N8232" t="s">
        <v>44759</v>
      </c>
      <c r="O8232" t="s">
        <v>44760</v>
      </c>
      <c r="P8232">
        <v>0</v>
      </c>
      <c r="Q8232">
        <v>2</v>
      </c>
      <c r="R8232" t="s">
        <v>44768</v>
      </c>
      <c r="S8232" t="s">
        <v>44982</v>
      </c>
      <c r="T8232" t="s">
        <v>46495</v>
      </c>
      <c r="U8232" t="s">
        <v>53792</v>
      </c>
      <c r="W8232" t="s">
        <v>42231</v>
      </c>
      <c r="X8232" t="s">
        <v>44769</v>
      </c>
    </row>
    <row r="8233" spans="1:24">
      <c r="A8233">
        <f>HYPERLINK("https://www.philgeps.gov.ph/GEPSNONPILOT/Tender/SplashBidNoticeAbstractUI.aspx?menuIndex=3&amp;refID=7139172&amp;Result=3","7139172")</f>
        <v>0</v>
      </c>
      <c r="B8233" t="s">
        <v>1959</v>
      </c>
      <c r="C8233" t="s">
        <v>11554</v>
      </c>
      <c r="D8233" t="s">
        <v>17972</v>
      </c>
      <c r="E8233" t="s">
        <v>25242</v>
      </c>
      <c r="F8233" t="s">
        <v>30900</v>
      </c>
      <c r="G8233" t="s">
        <v>30908</v>
      </c>
      <c r="H8233" t="s">
        <v>30916</v>
      </c>
      <c r="I8233" t="s">
        <v>6408</v>
      </c>
      <c r="J8233" t="s">
        <v>31183</v>
      </c>
      <c r="K8233" t="s">
        <v>40287</v>
      </c>
      <c r="M8233" t="s">
        <v>42643</v>
      </c>
      <c r="N8233" t="s">
        <v>44759</v>
      </c>
      <c r="O8233" t="s">
        <v>44760</v>
      </c>
      <c r="P8233">
        <v>0</v>
      </c>
      <c r="Q8233">
        <v>1</v>
      </c>
      <c r="R8233" t="s">
        <v>44768</v>
      </c>
      <c r="S8233" t="s">
        <v>44982</v>
      </c>
      <c r="T8233" t="s">
        <v>46658</v>
      </c>
      <c r="U8233" t="s">
        <v>53793</v>
      </c>
      <c r="W8233" t="s">
        <v>42643</v>
      </c>
      <c r="X8233" t="s">
        <v>44769</v>
      </c>
    </row>
    <row r="8234" spans="1:24">
      <c r="A8234">
        <f>HYPERLINK("https://www.philgeps.gov.ph/GEPSNONPILOT/Tender/SplashBidNoticeAbstractUI.aspx?menuIndex=3&amp;refID=7139214&amp;Result=3","7139214")</f>
        <v>0</v>
      </c>
      <c r="B8234" t="s">
        <v>2707</v>
      </c>
      <c r="C8234" t="s">
        <v>4355</v>
      </c>
      <c r="D8234" t="s">
        <v>17953</v>
      </c>
      <c r="E8234" t="s">
        <v>25243</v>
      </c>
      <c r="F8234" t="s">
        <v>30900</v>
      </c>
      <c r="G8234" t="s">
        <v>30907</v>
      </c>
      <c r="H8234" t="s">
        <v>30916</v>
      </c>
      <c r="I8234" t="s">
        <v>4545</v>
      </c>
      <c r="J8234" t="s">
        <v>31944</v>
      </c>
      <c r="K8234" t="s">
        <v>40286</v>
      </c>
      <c r="M8234" t="s">
        <v>43480</v>
      </c>
      <c r="N8234" t="s">
        <v>44759</v>
      </c>
      <c r="O8234" t="s">
        <v>44760</v>
      </c>
      <c r="P8234">
        <v>0</v>
      </c>
      <c r="Q8234">
        <v>4</v>
      </c>
      <c r="R8234" t="s">
        <v>44768</v>
      </c>
      <c r="S8234" t="s">
        <v>44982</v>
      </c>
      <c r="T8234" t="s">
        <v>46374</v>
      </c>
      <c r="U8234" t="s">
        <v>53794</v>
      </c>
      <c r="W8234" t="s">
        <v>43480</v>
      </c>
      <c r="X8234" t="s">
        <v>44769</v>
      </c>
    </row>
    <row r="8235" spans="1:24">
      <c r="A8235">
        <f>HYPERLINK("https://www.philgeps.gov.ph/GEPSNONPILOT/Tender/SplashBidNoticeAbstractUI.aspx?menuIndex=3&amp;refID=7139227&amp;Result=3","7139227")</f>
        <v>0</v>
      </c>
      <c r="B8235" t="s">
        <v>2215</v>
      </c>
      <c r="C8235" t="s">
        <v>11555</v>
      </c>
      <c r="E8235" t="s">
        <v>25244</v>
      </c>
      <c r="F8235" t="s">
        <v>30900</v>
      </c>
      <c r="G8235" t="s">
        <v>30907</v>
      </c>
      <c r="H8235" t="s">
        <v>30915</v>
      </c>
      <c r="I8235" t="s">
        <v>30919</v>
      </c>
      <c r="J8235" t="s">
        <v>32324</v>
      </c>
      <c r="K8235" t="s">
        <v>40292</v>
      </c>
      <c r="M8235" t="s">
        <v>42924</v>
      </c>
      <c r="N8235" t="s">
        <v>44759</v>
      </c>
      <c r="O8235" t="s">
        <v>44760</v>
      </c>
      <c r="P8235">
        <v>0</v>
      </c>
      <c r="Q8235">
        <v>0</v>
      </c>
      <c r="R8235" t="s">
        <v>44768</v>
      </c>
      <c r="S8235" t="s">
        <v>44982</v>
      </c>
      <c r="T8235" t="s">
        <v>46428</v>
      </c>
      <c r="U8235" t="s">
        <v>53795</v>
      </c>
      <c r="W8235" t="s">
        <v>42924</v>
      </c>
      <c r="X8235" t="s">
        <v>44769</v>
      </c>
    </row>
    <row r="8236" spans="1:24">
      <c r="A8236">
        <f>HYPERLINK("https://www.philgeps.gov.ph/GEPSNONPILOT/Tender/SplashBidNoticeAbstractUI.aspx?menuIndex=3&amp;refID=7139216&amp;Result=3","7139216")</f>
        <v>0</v>
      </c>
      <c r="B8236" t="s">
        <v>515</v>
      </c>
      <c r="C8236" t="s">
        <v>11556</v>
      </c>
      <c r="D8236" t="s">
        <v>17966</v>
      </c>
      <c r="E8236" t="s">
        <v>25245</v>
      </c>
      <c r="F8236" t="s">
        <v>30900</v>
      </c>
      <c r="G8236" t="s">
        <v>30907</v>
      </c>
      <c r="H8236" t="s">
        <v>30917</v>
      </c>
      <c r="I8236" t="s">
        <v>30981</v>
      </c>
      <c r="J8236" t="s">
        <v>36250</v>
      </c>
      <c r="K8236" t="s">
        <v>40286</v>
      </c>
      <c r="M8236" t="s">
        <v>43469</v>
      </c>
      <c r="N8236" t="s">
        <v>44759</v>
      </c>
      <c r="O8236" t="s">
        <v>44760</v>
      </c>
      <c r="P8236">
        <v>0</v>
      </c>
      <c r="Q8236">
        <v>1</v>
      </c>
      <c r="R8236" t="s">
        <v>44768</v>
      </c>
      <c r="S8236" t="s">
        <v>44982</v>
      </c>
      <c r="T8236" t="s">
        <v>46488</v>
      </c>
      <c r="U8236" t="s">
        <v>53764</v>
      </c>
      <c r="V8236" t="s">
        <v>59999</v>
      </c>
      <c r="W8236" t="s">
        <v>60899</v>
      </c>
      <c r="X8236" t="s">
        <v>44769</v>
      </c>
    </row>
    <row r="8237" spans="1:24">
      <c r="A8237">
        <f>HYPERLINK("https://www.philgeps.gov.ph/GEPSNONPILOT/Tender/SplashBidNoticeAbstractUI.aspx?menuIndex=3&amp;refID=7139222&amp;Result=3","7139222")</f>
        <v>0</v>
      </c>
      <c r="B8237" t="s">
        <v>2708</v>
      </c>
      <c r="C8237" t="s">
        <v>11557</v>
      </c>
      <c r="D8237" t="s">
        <v>17954</v>
      </c>
      <c r="E8237" t="s">
        <v>25246</v>
      </c>
      <c r="F8237" t="s">
        <v>30900</v>
      </c>
      <c r="G8237" t="s">
        <v>30907</v>
      </c>
      <c r="H8237" t="s">
        <v>30915</v>
      </c>
      <c r="I8237" t="s">
        <v>30919</v>
      </c>
      <c r="J8237" t="s">
        <v>31105</v>
      </c>
      <c r="K8237" t="s">
        <v>40304</v>
      </c>
      <c r="M8237" t="s">
        <v>43481</v>
      </c>
      <c r="N8237" t="s">
        <v>44759</v>
      </c>
      <c r="O8237" t="s">
        <v>44760</v>
      </c>
      <c r="P8237">
        <v>0</v>
      </c>
      <c r="Q8237">
        <v>0</v>
      </c>
      <c r="R8237" t="s">
        <v>44768</v>
      </c>
      <c r="S8237" t="s">
        <v>44982</v>
      </c>
      <c r="T8237" t="s">
        <v>46807</v>
      </c>
      <c r="U8237" t="s">
        <v>53796</v>
      </c>
      <c r="W8237" t="s">
        <v>43481</v>
      </c>
      <c r="X8237" t="s">
        <v>44769</v>
      </c>
    </row>
    <row r="8238" spans="1:24">
      <c r="A8238">
        <f>HYPERLINK("https://www.philgeps.gov.ph/GEPSNONPILOT/Tender/SplashBidNoticeAbstractUI.aspx?menuIndex=3&amp;refID=7139203&amp;Result=3","7139203")</f>
        <v>0</v>
      </c>
      <c r="B8238" t="s">
        <v>2709</v>
      </c>
      <c r="C8238" t="s">
        <v>11558</v>
      </c>
      <c r="D8238" t="s">
        <v>17975</v>
      </c>
      <c r="E8238" t="s">
        <v>18094</v>
      </c>
      <c r="F8238" t="s">
        <v>30900</v>
      </c>
      <c r="G8238" t="s">
        <v>30907</v>
      </c>
      <c r="H8238" t="s">
        <v>30916</v>
      </c>
      <c r="I8238" t="s">
        <v>8123</v>
      </c>
      <c r="J8238" t="s">
        <v>36251</v>
      </c>
      <c r="K8238" t="s">
        <v>40283</v>
      </c>
      <c r="M8238" t="s">
        <v>43482</v>
      </c>
      <c r="N8238" t="s">
        <v>44759</v>
      </c>
      <c r="O8238" t="s">
        <v>44760</v>
      </c>
      <c r="P8238">
        <v>0</v>
      </c>
      <c r="Q8238">
        <v>1</v>
      </c>
      <c r="R8238" t="s">
        <v>44768</v>
      </c>
      <c r="S8238" t="s">
        <v>44982</v>
      </c>
      <c r="T8238" t="s">
        <v>46676</v>
      </c>
      <c r="U8238" t="s">
        <v>53797</v>
      </c>
      <c r="W8238" t="s">
        <v>43482</v>
      </c>
      <c r="X8238" t="s">
        <v>44769</v>
      </c>
    </row>
    <row r="8239" spans="1:24">
      <c r="A8239">
        <f>HYPERLINK("https://www.philgeps.gov.ph/GEPSNONPILOT/Tender/SplashBidNoticeAbstractUI.aspx?menuIndex=3&amp;refID=7139217&amp;Result=3","7139217")</f>
        <v>0</v>
      </c>
      <c r="B8239" t="s">
        <v>1959</v>
      </c>
      <c r="C8239" t="s">
        <v>11559</v>
      </c>
      <c r="D8239" t="s">
        <v>17972</v>
      </c>
      <c r="E8239" t="s">
        <v>25247</v>
      </c>
      <c r="F8239" t="s">
        <v>30900</v>
      </c>
      <c r="G8239" t="s">
        <v>30908</v>
      </c>
      <c r="H8239" t="s">
        <v>30916</v>
      </c>
      <c r="I8239" t="s">
        <v>8123</v>
      </c>
      <c r="J8239" t="s">
        <v>36252</v>
      </c>
      <c r="K8239" t="s">
        <v>40287</v>
      </c>
      <c r="M8239" t="s">
        <v>42643</v>
      </c>
      <c r="N8239" t="s">
        <v>44759</v>
      </c>
      <c r="O8239" t="s">
        <v>44760</v>
      </c>
      <c r="P8239">
        <v>0</v>
      </c>
      <c r="Q8239">
        <v>0</v>
      </c>
      <c r="R8239" t="s">
        <v>44768</v>
      </c>
      <c r="S8239" t="s">
        <v>44982</v>
      </c>
      <c r="T8239" t="s">
        <v>46658</v>
      </c>
      <c r="U8239" t="s">
        <v>53798</v>
      </c>
      <c r="W8239" t="s">
        <v>42643</v>
      </c>
      <c r="X8239" t="s">
        <v>44769</v>
      </c>
    </row>
    <row r="8240" spans="1:24">
      <c r="A8240">
        <f>HYPERLINK("https://www.philgeps.gov.ph/GEPSNONPILOT/Tender/SplashBidNoticeAbstractUI.aspx?menuIndex=3&amp;refID=7139194&amp;Result=3","7139194")</f>
        <v>0</v>
      </c>
      <c r="B8240" t="s">
        <v>1959</v>
      </c>
      <c r="C8240" t="s">
        <v>11560</v>
      </c>
      <c r="D8240" t="s">
        <v>17972</v>
      </c>
      <c r="E8240" t="s">
        <v>25236</v>
      </c>
      <c r="F8240" t="s">
        <v>30900</v>
      </c>
      <c r="G8240" t="s">
        <v>30908</v>
      </c>
      <c r="H8240" t="s">
        <v>30916</v>
      </c>
      <c r="I8240" t="s">
        <v>4108</v>
      </c>
      <c r="J8240" t="s">
        <v>33919</v>
      </c>
      <c r="K8240" t="s">
        <v>40287</v>
      </c>
      <c r="M8240" t="s">
        <v>42643</v>
      </c>
      <c r="N8240" t="s">
        <v>44759</v>
      </c>
      <c r="O8240" t="s">
        <v>44760</v>
      </c>
      <c r="P8240">
        <v>0</v>
      </c>
      <c r="Q8240">
        <v>0</v>
      </c>
      <c r="R8240" t="s">
        <v>44768</v>
      </c>
      <c r="S8240" t="s">
        <v>44982</v>
      </c>
      <c r="T8240" t="s">
        <v>46658</v>
      </c>
      <c r="U8240" t="s">
        <v>53799</v>
      </c>
      <c r="W8240" t="s">
        <v>42643</v>
      </c>
      <c r="X8240" t="s">
        <v>44769</v>
      </c>
    </row>
    <row r="8241" spans="1:24">
      <c r="A8241">
        <f>HYPERLINK("https://www.philgeps.gov.ph/GEPSNONPILOT/Tender/SplashBidNoticeAbstractUI.aspx?menuIndex=3&amp;refID=7139183&amp;Result=3","7139183")</f>
        <v>0</v>
      </c>
      <c r="B8241" t="s">
        <v>1534</v>
      </c>
      <c r="C8241" t="s">
        <v>11561</v>
      </c>
      <c r="D8241" t="s">
        <v>18004</v>
      </c>
      <c r="E8241" t="s">
        <v>24197</v>
      </c>
      <c r="F8241" t="s">
        <v>30900</v>
      </c>
      <c r="G8241" t="s">
        <v>30908</v>
      </c>
      <c r="H8241" t="s">
        <v>30916</v>
      </c>
      <c r="I8241" t="s">
        <v>4454</v>
      </c>
      <c r="J8241" t="s">
        <v>33432</v>
      </c>
      <c r="K8241" t="s">
        <v>40287</v>
      </c>
      <c r="M8241" t="s">
        <v>42177</v>
      </c>
      <c r="N8241" t="s">
        <v>44759</v>
      </c>
      <c r="O8241" t="s">
        <v>44760</v>
      </c>
      <c r="P8241">
        <v>0</v>
      </c>
      <c r="Q8241">
        <v>1</v>
      </c>
      <c r="R8241" t="s">
        <v>44768</v>
      </c>
      <c r="S8241" t="s">
        <v>44982</v>
      </c>
      <c r="T8241" t="s">
        <v>46808</v>
      </c>
      <c r="U8241" t="s">
        <v>53800</v>
      </c>
      <c r="W8241" t="s">
        <v>42177</v>
      </c>
      <c r="X8241" t="s">
        <v>44769</v>
      </c>
    </row>
    <row r="8242" spans="1:24">
      <c r="A8242">
        <f>HYPERLINK("https://www.philgeps.gov.ph/GEPSNONPILOT/Tender/SplashBidNoticeAbstractUI.aspx?menuIndex=3&amp;refID=7139236&amp;Result=3","7139236")</f>
        <v>0</v>
      </c>
      <c r="B8242" t="s">
        <v>278</v>
      </c>
      <c r="C8242" t="s">
        <v>6556</v>
      </c>
      <c r="D8242" t="s">
        <v>17995</v>
      </c>
      <c r="E8242" t="s">
        <v>25248</v>
      </c>
      <c r="F8242" t="s">
        <v>30900</v>
      </c>
      <c r="G8242" t="s">
        <v>30909</v>
      </c>
      <c r="H8242" t="s">
        <v>30916</v>
      </c>
      <c r="I8242" t="s">
        <v>30939</v>
      </c>
      <c r="J8242" t="s">
        <v>31388</v>
      </c>
      <c r="K8242" t="s">
        <v>40289</v>
      </c>
      <c r="M8242" t="s">
        <v>40887</v>
      </c>
      <c r="N8242" t="s">
        <v>44759</v>
      </c>
      <c r="O8242" t="s">
        <v>44760</v>
      </c>
      <c r="P8242">
        <v>0</v>
      </c>
      <c r="Q8242">
        <v>0</v>
      </c>
      <c r="R8242" t="s">
        <v>44768</v>
      </c>
      <c r="S8242" t="s">
        <v>44982</v>
      </c>
      <c r="T8242" t="s">
        <v>46533</v>
      </c>
      <c r="U8242" t="s">
        <v>49422</v>
      </c>
      <c r="W8242" t="s">
        <v>60825</v>
      </c>
      <c r="X8242" t="s">
        <v>44769</v>
      </c>
    </row>
    <row r="8243" spans="1:24">
      <c r="A8243">
        <f>HYPERLINK("https://www.philgeps.gov.ph/GEPSNONPILOT/Tender/SplashBidNoticeAbstractUI.aspx?menuIndex=3&amp;refID=7139257&amp;Result=3","7139257")</f>
        <v>0</v>
      </c>
      <c r="B8243" t="s">
        <v>2710</v>
      </c>
      <c r="C8243" t="s">
        <v>11562</v>
      </c>
      <c r="D8243" t="s">
        <v>17985</v>
      </c>
      <c r="E8243" t="s">
        <v>25249</v>
      </c>
      <c r="F8243" t="s">
        <v>30900</v>
      </c>
      <c r="G8243" t="s">
        <v>30907</v>
      </c>
      <c r="H8243" t="s">
        <v>30916</v>
      </c>
      <c r="I8243" t="s">
        <v>8123</v>
      </c>
      <c r="J8243" t="s">
        <v>31407</v>
      </c>
      <c r="K8243" t="s">
        <v>40286</v>
      </c>
      <c r="M8243" t="s">
        <v>43483</v>
      </c>
      <c r="N8243" t="s">
        <v>44759</v>
      </c>
      <c r="O8243" t="s">
        <v>44760</v>
      </c>
      <c r="P8243">
        <v>0</v>
      </c>
      <c r="Q8243">
        <v>0</v>
      </c>
      <c r="R8243" t="s">
        <v>44768</v>
      </c>
      <c r="S8243" t="s">
        <v>44982</v>
      </c>
      <c r="T8243" t="s">
        <v>46414</v>
      </c>
      <c r="U8243" t="s">
        <v>53801</v>
      </c>
      <c r="W8243" t="s">
        <v>43483</v>
      </c>
      <c r="X8243" t="s">
        <v>44769</v>
      </c>
    </row>
    <row r="8244" spans="1:24">
      <c r="A8244">
        <f>HYPERLINK("https://www.philgeps.gov.ph/GEPSNONPILOT/Tender/SplashBidNoticeAbstractUI.aspx?menuIndex=3&amp;refID=7139256&amp;Result=3","7139256")</f>
        <v>0</v>
      </c>
      <c r="B8244" t="s">
        <v>2711</v>
      </c>
      <c r="C8244" t="s">
        <v>11563</v>
      </c>
      <c r="D8244" t="s">
        <v>17953</v>
      </c>
      <c r="E8244" t="s">
        <v>25250</v>
      </c>
      <c r="F8244" t="s">
        <v>30900</v>
      </c>
      <c r="G8244" t="s">
        <v>30907</v>
      </c>
      <c r="H8244" t="s">
        <v>30915</v>
      </c>
      <c r="I8244" t="s">
        <v>30919</v>
      </c>
      <c r="J8244" t="s">
        <v>36253</v>
      </c>
      <c r="K8244" t="s">
        <v>40354</v>
      </c>
      <c r="M8244" t="s">
        <v>43484</v>
      </c>
      <c r="N8244" t="s">
        <v>44759</v>
      </c>
      <c r="O8244" t="s">
        <v>44760</v>
      </c>
      <c r="P8244">
        <v>0</v>
      </c>
      <c r="Q8244">
        <v>0</v>
      </c>
      <c r="R8244" t="s">
        <v>44768</v>
      </c>
      <c r="S8244" t="s">
        <v>44982</v>
      </c>
      <c r="T8244" t="s">
        <v>46662</v>
      </c>
      <c r="U8244" t="s">
        <v>53802</v>
      </c>
      <c r="W8244" t="s">
        <v>43484</v>
      </c>
      <c r="X8244" t="s">
        <v>44769</v>
      </c>
    </row>
    <row r="8245" spans="1:24">
      <c r="A8245">
        <f>HYPERLINK("https://www.philgeps.gov.ph/GEPSNONPILOT/Tender/SplashBidNoticeAbstractUI.aspx?menuIndex=3&amp;refID=7139270&amp;Result=3","7139270")</f>
        <v>0</v>
      </c>
      <c r="B8245" t="s">
        <v>2215</v>
      </c>
      <c r="C8245" t="s">
        <v>11564</v>
      </c>
      <c r="E8245" t="s">
        <v>25251</v>
      </c>
      <c r="F8245" t="s">
        <v>30900</v>
      </c>
      <c r="G8245" t="s">
        <v>30907</v>
      </c>
      <c r="H8245" t="s">
        <v>30915</v>
      </c>
      <c r="I8245" t="s">
        <v>30919</v>
      </c>
      <c r="J8245" t="s">
        <v>31214</v>
      </c>
      <c r="K8245" t="s">
        <v>40456</v>
      </c>
      <c r="M8245" t="s">
        <v>42924</v>
      </c>
      <c r="N8245" t="s">
        <v>44759</v>
      </c>
      <c r="O8245" t="s">
        <v>44760</v>
      </c>
      <c r="P8245">
        <v>0</v>
      </c>
      <c r="Q8245">
        <v>0</v>
      </c>
      <c r="R8245" t="s">
        <v>44768</v>
      </c>
      <c r="S8245" t="s">
        <v>44982</v>
      </c>
      <c r="T8245" t="s">
        <v>46428</v>
      </c>
      <c r="U8245" t="s">
        <v>53803</v>
      </c>
      <c r="W8245" t="s">
        <v>42924</v>
      </c>
      <c r="X8245" t="s">
        <v>44769</v>
      </c>
    </row>
    <row r="8246" spans="1:24">
      <c r="A8246">
        <f>HYPERLINK("https://www.philgeps.gov.ph/GEPSNONPILOT/Tender/SplashBidNoticeAbstractUI.aspx?menuIndex=3&amp;refID=7139247&amp;Result=3","7139247")</f>
        <v>0</v>
      </c>
      <c r="B8246" t="s">
        <v>88</v>
      </c>
      <c r="C8246" t="s">
        <v>11565</v>
      </c>
      <c r="D8246" t="s">
        <v>17992</v>
      </c>
      <c r="E8246" t="s">
        <v>25252</v>
      </c>
      <c r="F8246" t="s">
        <v>30900</v>
      </c>
      <c r="G8246" t="s">
        <v>30908</v>
      </c>
      <c r="H8246" t="s">
        <v>30916</v>
      </c>
      <c r="I8246" t="s">
        <v>30974</v>
      </c>
      <c r="J8246" t="s">
        <v>36254</v>
      </c>
      <c r="K8246" t="s">
        <v>40287</v>
      </c>
      <c r="M8246" t="s">
        <v>40635</v>
      </c>
      <c r="N8246" t="s">
        <v>44759</v>
      </c>
      <c r="O8246" t="s">
        <v>44760</v>
      </c>
      <c r="P8246">
        <v>0</v>
      </c>
      <c r="Q8246">
        <v>0</v>
      </c>
      <c r="R8246" t="s">
        <v>44768</v>
      </c>
      <c r="S8246" t="s">
        <v>44982</v>
      </c>
      <c r="T8246" t="s">
        <v>46658</v>
      </c>
      <c r="U8246" t="s">
        <v>53804</v>
      </c>
      <c r="W8246" t="s">
        <v>40635</v>
      </c>
      <c r="X8246" t="s">
        <v>44769</v>
      </c>
    </row>
    <row r="8247" spans="1:24">
      <c r="A8247">
        <f>HYPERLINK("https://www.philgeps.gov.ph/GEPSNONPILOT/Tender/SplashBidNoticeAbstractUI.aspx?menuIndex=3&amp;refID=7139209&amp;Result=3","7139209")</f>
        <v>0</v>
      </c>
      <c r="B8247" t="s">
        <v>380</v>
      </c>
      <c r="C8247" t="s">
        <v>11566</v>
      </c>
      <c r="D8247" t="s">
        <v>18003</v>
      </c>
      <c r="E8247" t="s">
        <v>25253</v>
      </c>
      <c r="F8247" t="s">
        <v>30900</v>
      </c>
      <c r="G8247" t="s">
        <v>30908</v>
      </c>
      <c r="H8247" t="s">
        <v>30916</v>
      </c>
      <c r="I8247" t="s">
        <v>30943</v>
      </c>
      <c r="J8247" t="s">
        <v>31257</v>
      </c>
      <c r="K8247" t="s">
        <v>40287</v>
      </c>
      <c r="M8247" t="s">
        <v>40934</v>
      </c>
      <c r="N8247" t="s">
        <v>44759</v>
      </c>
      <c r="O8247" t="s">
        <v>44760</v>
      </c>
      <c r="P8247">
        <v>0</v>
      </c>
      <c r="Q8247">
        <v>2</v>
      </c>
      <c r="R8247" t="s">
        <v>44768</v>
      </c>
      <c r="S8247" t="s">
        <v>44982</v>
      </c>
      <c r="T8247" t="s">
        <v>46591</v>
      </c>
      <c r="U8247" t="s">
        <v>47553</v>
      </c>
      <c r="W8247" t="s">
        <v>40934</v>
      </c>
      <c r="X8247" t="s">
        <v>44769</v>
      </c>
    </row>
    <row r="8248" spans="1:24">
      <c r="A8248">
        <f>HYPERLINK("https://www.philgeps.gov.ph/GEPSNONPILOT/Tender/SplashBidNoticeAbstractUI.aspx?menuIndex=3&amp;refID=7139246&amp;Result=3","7139246")</f>
        <v>0</v>
      </c>
      <c r="B8248" t="s">
        <v>2712</v>
      </c>
      <c r="C8248" t="s">
        <v>11567</v>
      </c>
      <c r="D8248" t="s">
        <v>17989</v>
      </c>
      <c r="E8248" t="s">
        <v>20255</v>
      </c>
      <c r="F8248" t="s">
        <v>30900</v>
      </c>
      <c r="G8248" t="s">
        <v>30907</v>
      </c>
      <c r="H8248" t="s">
        <v>30915</v>
      </c>
      <c r="I8248" t="s">
        <v>30919</v>
      </c>
      <c r="J8248" t="s">
        <v>36255</v>
      </c>
      <c r="K8248" t="s">
        <v>40289</v>
      </c>
      <c r="M8248" t="s">
        <v>43485</v>
      </c>
      <c r="N8248" t="s">
        <v>44759</v>
      </c>
      <c r="O8248" t="s">
        <v>44760</v>
      </c>
      <c r="P8248">
        <v>0</v>
      </c>
      <c r="Q8248">
        <v>0</v>
      </c>
      <c r="R8248" t="s">
        <v>44768</v>
      </c>
      <c r="S8248" t="s">
        <v>44982</v>
      </c>
      <c r="T8248" t="s">
        <v>46427</v>
      </c>
      <c r="U8248" t="s">
        <v>53805</v>
      </c>
      <c r="W8248" t="s">
        <v>43485</v>
      </c>
      <c r="X8248" t="s">
        <v>44769</v>
      </c>
    </row>
    <row r="8249" spans="1:24">
      <c r="A8249">
        <f>HYPERLINK("https://www.philgeps.gov.ph/GEPSNONPILOT/Tender/SplashBidNoticeAbstractUI.aspx?menuIndex=3&amp;refID=7139244&amp;Result=3","7139244")</f>
        <v>0</v>
      </c>
      <c r="B8249" t="s">
        <v>2713</v>
      </c>
      <c r="C8249" t="s">
        <v>11568</v>
      </c>
      <c r="E8249" t="s">
        <v>25254</v>
      </c>
      <c r="F8249" t="s">
        <v>30903</v>
      </c>
      <c r="G8249" t="s">
        <v>30907</v>
      </c>
      <c r="H8249" t="s">
        <v>30915</v>
      </c>
      <c r="I8249" t="s">
        <v>6746</v>
      </c>
      <c r="J8249" t="s">
        <v>31913</v>
      </c>
      <c r="K8249" t="s">
        <v>40293</v>
      </c>
      <c r="M8249" t="s">
        <v>43486</v>
      </c>
      <c r="N8249" t="s">
        <v>44759</v>
      </c>
      <c r="O8249" t="s">
        <v>44760</v>
      </c>
      <c r="P8249">
        <v>0</v>
      </c>
      <c r="Q8249">
        <v>0</v>
      </c>
      <c r="R8249" t="s">
        <v>44768</v>
      </c>
      <c r="S8249" t="s">
        <v>44982</v>
      </c>
      <c r="T8249" t="s">
        <v>46606</v>
      </c>
      <c r="U8249" t="s">
        <v>53806</v>
      </c>
      <c r="W8249" t="s">
        <v>43486</v>
      </c>
      <c r="X8249" t="s">
        <v>44769</v>
      </c>
    </row>
    <row r="8250" spans="1:24">
      <c r="A8250">
        <f>HYPERLINK("https://www.philgeps.gov.ph/GEPSNONPILOT/Tender/SplashBidNoticeAbstractUI.aspx?menuIndex=3&amp;refID=7139232&amp;Result=3","7139232")</f>
        <v>0</v>
      </c>
      <c r="B8250" t="s">
        <v>176</v>
      </c>
      <c r="C8250" t="s">
        <v>11569</v>
      </c>
      <c r="D8250" t="s">
        <v>18012</v>
      </c>
      <c r="E8250" t="s">
        <v>25255</v>
      </c>
      <c r="F8250" t="s">
        <v>30900</v>
      </c>
      <c r="G8250" t="s">
        <v>30908</v>
      </c>
      <c r="H8250" t="s">
        <v>30916</v>
      </c>
      <c r="I8250" t="s">
        <v>30924</v>
      </c>
      <c r="J8250" t="s">
        <v>31183</v>
      </c>
      <c r="K8250" t="s">
        <v>40289</v>
      </c>
      <c r="M8250" t="s">
        <v>40723</v>
      </c>
      <c r="N8250" t="s">
        <v>44759</v>
      </c>
      <c r="O8250" t="s">
        <v>44760</v>
      </c>
      <c r="P8250">
        <v>0</v>
      </c>
      <c r="Q8250">
        <v>2</v>
      </c>
      <c r="R8250" t="s">
        <v>44768</v>
      </c>
      <c r="S8250" t="s">
        <v>44982</v>
      </c>
      <c r="T8250" t="s">
        <v>46533</v>
      </c>
      <c r="U8250" t="s">
        <v>53807</v>
      </c>
      <c r="W8250" t="s">
        <v>40723</v>
      </c>
      <c r="X8250" t="s">
        <v>44769</v>
      </c>
    </row>
    <row r="8251" spans="1:24">
      <c r="A8251">
        <f>HYPERLINK("https://www.philgeps.gov.ph/GEPSNONPILOT/Tender/SplashBidNoticeAbstractUI.aspx?menuIndex=3&amp;refID=7139269&amp;Result=3","7139269")</f>
        <v>0</v>
      </c>
      <c r="B8251" t="s">
        <v>1274</v>
      </c>
      <c r="C8251" t="s">
        <v>11546</v>
      </c>
      <c r="D8251" t="s">
        <v>18017</v>
      </c>
      <c r="E8251" t="s">
        <v>25256</v>
      </c>
      <c r="F8251" t="s">
        <v>30900</v>
      </c>
      <c r="G8251" t="s">
        <v>30907</v>
      </c>
      <c r="H8251" t="s">
        <v>30916</v>
      </c>
      <c r="I8251" t="s">
        <v>30939</v>
      </c>
      <c r="J8251" t="s">
        <v>36256</v>
      </c>
      <c r="K8251" t="s">
        <v>40333</v>
      </c>
      <c r="M8251" t="s">
        <v>41890</v>
      </c>
      <c r="N8251" t="s">
        <v>44759</v>
      </c>
      <c r="O8251" t="s">
        <v>44760</v>
      </c>
      <c r="P8251">
        <v>0</v>
      </c>
      <c r="Q8251">
        <v>0</v>
      </c>
      <c r="R8251" t="s">
        <v>44768</v>
      </c>
      <c r="S8251" t="s">
        <v>44982</v>
      </c>
      <c r="T8251" t="s">
        <v>46450</v>
      </c>
      <c r="U8251" t="s">
        <v>53808</v>
      </c>
      <c r="V8251" t="s">
        <v>59453</v>
      </c>
      <c r="W8251" t="s">
        <v>41890</v>
      </c>
      <c r="X8251" t="s">
        <v>44769</v>
      </c>
    </row>
    <row r="8252" spans="1:24">
      <c r="A8252">
        <f>HYPERLINK("https://www.philgeps.gov.ph/GEPSNONPILOT/Tender/SplashBidNoticeAbstractUI.aspx?menuIndex=3&amp;refID=7139286&amp;Result=3","7139286")</f>
        <v>0</v>
      </c>
      <c r="B8252" t="s">
        <v>2714</v>
      </c>
      <c r="C8252" t="s">
        <v>11570</v>
      </c>
      <c r="D8252" t="s">
        <v>18017</v>
      </c>
      <c r="E8252" t="s">
        <v>25257</v>
      </c>
      <c r="F8252" t="s">
        <v>30900</v>
      </c>
      <c r="G8252" t="s">
        <v>30907</v>
      </c>
      <c r="H8252" t="s">
        <v>30916</v>
      </c>
      <c r="I8252" t="s">
        <v>8123</v>
      </c>
      <c r="J8252" t="s">
        <v>36257</v>
      </c>
      <c r="K8252" t="s">
        <v>40285</v>
      </c>
      <c r="M8252" t="s">
        <v>43487</v>
      </c>
      <c r="N8252" t="s">
        <v>44759</v>
      </c>
      <c r="O8252" t="s">
        <v>44760</v>
      </c>
      <c r="P8252">
        <v>0</v>
      </c>
      <c r="Q8252">
        <v>0</v>
      </c>
      <c r="R8252" t="s">
        <v>44768</v>
      </c>
      <c r="S8252" t="s">
        <v>44982</v>
      </c>
      <c r="T8252" t="s">
        <v>46625</v>
      </c>
      <c r="U8252" t="s">
        <v>53809</v>
      </c>
      <c r="W8252" t="s">
        <v>43487</v>
      </c>
      <c r="X8252" t="s">
        <v>44769</v>
      </c>
    </row>
    <row r="8253" spans="1:24">
      <c r="A8253">
        <f>HYPERLINK("https://www.philgeps.gov.ph/GEPSNONPILOT/Tender/SplashBidNoticeAbstractUI.aspx?menuIndex=3&amp;refID=7139245&amp;Result=3","7139245")</f>
        <v>0</v>
      </c>
      <c r="B8253" t="s">
        <v>1534</v>
      </c>
      <c r="C8253" t="s">
        <v>11571</v>
      </c>
      <c r="D8253" t="s">
        <v>18004</v>
      </c>
      <c r="E8253" t="s">
        <v>24197</v>
      </c>
      <c r="F8253" t="s">
        <v>30900</v>
      </c>
      <c r="G8253" t="s">
        <v>30908</v>
      </c>
      <c r="H8253" t="s">
        <v>30916</v>
      </c>
      <c r="I8253" t="s">
        <v>4454</v>
      </c>
      <c r="J8253" t="s">
        <v>33432</v>
      </c>
      <c r="K8253" t="s">
        <v>40287</v>
      </c>
      <c r="M8253" t="s">
        <v>42177</v>
      </c>
      <c r="N8253" t="s">
        <v>44759</v>
      </c>
      <c r="O8253" t="s">
        <v>44760</v>
      </c>
      <c r="P8253">
        <v>0</v>
      </c>
      <c r="Q8253">
        <v>1</v>
      </c>
      <c r="R8253" t="s">
        <v>44768</v>
      </c>
      <c r="S8253" t="s">
        <v>44982</v>
      </c>
      <c r="T8253" t="s">
        <v>46574</v>
      </c>
      <c r="U8253" t="s">
        <v>53800</v>
      </c>
      <c r="W8253" t="s">
        <v>42177</v>
      </c>
      <c r="X8253" t="s">
        <v>44769</v>
      </c>
    </row>
    <row r="8254" spans="1:24">
      <c r="A8254">
        <f>HYPERLINK("https://www.philgeps.gov.ph/GEPSNONPILOT/Tender/SplashBidNoticeAbstractUI.aspx?menuIndex=3&amp;refID=7139241&amp;Result=3","7139241")</f>
        <v>0</v>
      </c>
      <c r="B8254" t="s">
        <v>1413</v>
      </c>
      <c r="C8254" t="s">
        <v>11572</v>
      </c>
      <c r="D8254" t="s">
        <v>17985</v>
      </c>
      <c r="E8254" t="s">
        <v>25258</v>
      </c>
      <c r="F8254" t="s">
        <v>30900</v>
      </c>
      <c r="G8254" t="s">
        <v>30910</v>
      </c>
      <c r="H8254" t="s">
        <v>30916</v>
      </c>
      <c r="I8254" t="s">
        <v>30924</v>
      </c>
      <c r="J8254" t="s">
        <v>31092</v>
      </c>
      <c r="K8254" t="s">
        <v>40287</v>
      </c>
      <c r="M8254" t="s">
        <v>42042</v>
      </c>
      <c r="N8254" t="s">
        <v>44759</v>
      </c>
      <c r="O8254" t="s">
        <v>44760</v>
      </c>
      <c r="P8254">
        <v>0</v>
      </c>
      <c r="Q8254">
        <v>1</v>
      </c>
      <c r="R8254" t="s">
        <v>44768</v>
      </c>
      <c r="S8254" t="s">
        <v>44982</v>
      </c>
      <c r="T8254" t="s">
        <v>46398</v>
      </c>
      <c r="U8254" t="s">
        <v>53810</v>
      </c>
      <c r="V8254" t="s">
        <v>60000</v>
      </c>
      <c r="W8254" t="s">
        <v>42042</v>
      </c>
      <c r="X8254" t="s">
        <v>44769</v>
      </c>
    </row>
    <row r="8255" spans="1:24">
      <c r="A8255">
        <f>HYPERLINK("https://www.philgeps.gov.ph/GEPSNONPILOT/Tender/SplashBidNoticeAbstractUI.aspx?menuIndex=3&amp;refID=7139272&amp;Result=3","7139272")</f>
        <v>0</v>
      </c>
      <c r="B8255" t="s">
        <v>2380</v>
      </c>
      <c r="C8255" t="s">
        <v>11573</v>
      </c>
      <c r="D8255" t="s">
        <v>17951</v>
      </c>
      <c r="E8255" t="s">
        <v>25259</v>
      </c>
      <c r="F8255" t="s">
        <v>30900</v>
      </c>
      <c r="G8255" t="s">
        <v>30908</v>
      </c>
      <c r="H8255" t="s">
        <v>7411</v>
      </c>
      <c r="I8255" t="s">
        <v>7411</v>
      </c>
      <c r="J8255" t="s">
        <v>36258</v>
      </c>
      <c r="K8255" t="s">
        <v>40283</v>
      </c>
      <c r="M8255" t="s">
        <v>43106</v>
      </c>
      <c r="N8255" t="s">
        <v>44759</v>
      </c>
      <c r="O8255" t="s">
        <v>44760</v>
      </c>
      <c r="P8255">
        <v>0</v>
      </c>
      <c r="Q8255">
        <v>3</v>
      </c>
      <c r="R8255" t="s">
        <v>44768</v>
      </c>
      <c r="S8255" t="s">
        <v>44982</v>
      </c>
      <c r="T8255" t="s">
        <v>46625</v>
      </c>
      <c r="U8255" t="s">
        <v>53811</v>
      </c>
      <c r="W8255" t="s">
        <v>43106</v>
      </c>
      <c r="X8255" t="s">
        <v>44769</v>
      </c>
    </row>
    <row r="8256" spans="1:24">
      <c r="A8256">
        <f>HYPERLINK("https://www.philgeps.gov.ph/GEPSNONPILOT/Tender/SplashBidNoticeAbstractUI.aspx?menuIndex=3&amp;refID=7139275&amp;Result=3","7139275")</f>
        <v>0</v>
      </c>
      <c r="B8256" t="s">
        <v>1155</v>
      </c>
      <c r="C8256" t="s">
        <v>11574</v>
      </c>
      <c r="D8256" t="s">
        <v>17968</v>
      </c>
      <c r="E8256" t="s">
        <v>25260</v>
      </c>
      <c r="F8256" t="s">
        <v>30900</v>
      </c>
      <c r="G8256" t="s">
        <v>30908</v>
      </c>
      <c r="H8256" t="s">
        <v>30916</v>
      </c>
      <c r="I8256" t="s">
        <v>30924</v>
      </c>
      <c r="J8256" t="s">
        <v>36259</v>
      </c>
      <c r="K8256" t="s">
        <v>40284</v>
      </c>
      <c r="M8256" t="s">
        <v>43488</v>
      </c>
      <c r="N8256" t="s">
        <v>44759</v>
      </c>
      <c r="O8256" t="s">
        <v>44760</v>
      </c>
      <c r="P8256">
        <v>0</v>
      </c>
      <c r="Q8256">
        <v>5</v>
      </c>
      <c r="R8256" t="s">
        <v>44768</v>
      </c>
      <c r="S8256" t="s">
        <v>44982</v>
      </c>
      <c r="T8256" t="s">
        <v>46625</v>
      </c>
      <c r="U8256" t="s">
        <v>53812</v>
      </c>
      <c r="W8256" t="s">
        <v>43488</v>
      </c>
      <c r="X8256" t="s">
        <v>44769</v>
      </c>
    </row>
    <row r="8257" spans="1:24">
      <c r="A8257">
        <f>HYPERLINK("https://www.philgeps.gov.ph/GEPSNONPILOT/Tender/SplashBidNoticeAbstractUI.aspx?menuIndex=3&amp;refID=7139239&amp;Result=3","7139239")</f>
        <v>0</v>
      </c>
      <c r="B8257" t="s">
        <v>2697</v>
      </c>
      <c r="C8257" t="s">
        <v>11575</v>
      </c>
      <c r="D8257" t="s">
        <v>17973</v>
      </c>
      <c r="E8257" t="s">
        <v>25261</v>
      </c>
      <c r="F8257" t="s">
        <v>30900</v>
      </c>
      <c r="G8257" t="s">
        <v>30908</v>
      </c>
      <c r="H8257" t="s">
        <v>30916</v>
      </c>
      <c r="I8257" t="s">
        <v>8123</v>
      </c>
      <c r="J8257" t="s">
        <v>36260</v>
      </c>
      <c r="K8257" t="s">
        <v>40286</v>
      </c>
      <c r="M8257" t="s">
        <v>43470</v>
      </c>
      <c r="N8257" t="s">
        <v>44759</v>
      </c>
      <c r="O8257" t="s">
        <v>44760</v>
      </c>
      <c r="P8257">
        <v>0</v>
      </c>
      <c r="Q8257">
        <v>0</v>
      </c>
      <c r="R8257" t="s">
        <v>44768</v>
      </c>
      <c r="S8257" t="s">
        <v>44982</v>
      </c>
      <c r="T8257" t="s">
        <v>46357</v>
      </c>
      <c r="U8257" t="s">
        <v>53766</v>
      </c>
      <c r="W8257" t="s">
        <v>60900</v>
      </c>
      <c r="X8257" t="s">
        <v>44769</v>
      </c>
    </row>
    <row r="8258" spans="1:24">
      <c r="A8258">
        <f>HYPERLINK("https://www.philgeps.gov.ph/GEPSNONPILOT/Tender/SplashBidNoticeAbstractUI.aspx?menuIndex=3&amp;refID=7139297&amp;Result=3","7139297")</f>
        <v>0</v>
      </c>
      <c r="B8258" t="s">
        <v>46</v>
      </c>
      <c r="C8258" t="s">
        <v>11576</v>
      </c>
      <c r="D8258" t="s">
        <v>17953</v>
      </c>
      <c r="E8258" t="s">
        <v>25262</v>
      </c>
      <c r="F8258" t="s">
        <v>30900</v>
      </c>
      <c r="G8258" t="s">
        <v>30907</v>
      </c>
      <c r="H8258" t="s">
        <v>30916</v>
      </c>
      <c r="I8258" t="s">
        <v>4142</v>
      </c>
      <c r="J8258" t="s">
        <v>36261</v>
      </c>
      <c r="K8258" t="s">
        <v>40291</v>
      </c>
      <c r="M8258" t="s">
        <v>40592</v>
      </c>
      <c r="N8258" t="s">
        <v>44759</v>
      </c>
      <c r="O8258" t="s">
        <v>44760</v>
      </c>
      <c r="P8258">
        <v>0</v>
      </c>
      <c r="Q8258">
        <v>5</v>
      </c>
      <c r="R8258" t="s">
        <v>44768</v>
      </c>
      <c r="S8258" t="s">
        <v>44982</v>
      </c>
      <c r="T8258" t="s">
        <v>46641</v>
      </c>
      <c r="U8258" t="s">
        <v>46984</v>
      </c>
      <c r="W8258" t="s">
        <v>60814</v>
      </c>
      <c r="X8258" t="s">
        <v>44769</v>
      </c>
    </row>
    <row r="8259" spans="1:24">
      <c r="A8259">
        <f>HYPERLINK("https://www.philgeps.gov.ph/GEPSNONPILOT/Tender/SplashBidNoticeAbstractUI.aspx?menuIndex=3&amp;refID=7139288&amp;Result=3","7139288")</f>
        <v>0</v>
      </c>
      <c r="B8259" t="s">
        <v>2715</v>
      </c>
      <c r="C8259" t="s">
        <v>4165</v>
      </c>
      <c r="D8259" t="s">
        <v>17954</v>
      </c>
      <c r="E8259" t="s">
        <v>25263</v>
      </c>
      <c r="F8259" t="s">
        <v>30900</v>
      </c>
      <c r="G8259" t="s">
        <v>30907</v>
      </c>
      <c r="H8259" t="s">
        <v>30915</v>
      </c>
      <c r="I8259" t="s">
        <v>30919</v>
      </c>
      <c r="J8259" t="s">
        <v>31050</v>
      </c>
      <c r="K8259" t="s">
        <v>40408</v>
      </c>
      <c r="M8259" t="s">
        <v>43489</v>
      </c>
      <c r="N8259" t="s">
        <v>44759</v>
      </c>
      <c r="O8259" t="s">
        <v>44760</v>
      </c>
      <c r="P8259">
        <v>0</v>
      </c>
      <c r="Q8259">
        <v>0</v>
      </c>
      <c r="R8259" t="s">
        <v>44768</v>
      </c>
      <c r="S8259" t="s">
        <v>44982</v>
      </c>
      <c r="T8259" t="s">
        <v>46625</v>
      </c>
      <c r="U8259" t="s">
        <v>53813</v>
      </c>
      <c r="W8259" t="s">
        <v>43489</v>
      </c>
      <c r="X8259" t="s">
        <v>44769</v>
      </c>
    </row>
    <row r="8260" spans="1:24">
      <c r="A8260">
        <f>HYPERLINK("https://www.philgeps.gov.ph/GEPSNONPILOT/Tender/SplashBidNoticeAbstractUI.aspx?menuIndex=3&amp;refID=7139279&amp;Result=3","7139279")</f>
        <v>0</v>
      </c>
      <c r="B8260" t="s">
        <v>295</v>
      </c>
      <c r="C8260" t="s">
        <v>11577</v>
      </c>
      <c r="D8260" t="s">
        <v>17951</v>
      </c>
      <c r="E8260" t="s">
        <v>25264</v>
      </c>
      <c r="F8260" t="s">
        <v>30900</v>
      </c>
      <c r="G8260" t="s">
        <v>30907</v>
      </c>
      <c r="H8260" t="s">
        <v>30916</v>
      </c>
      <c r="I8260" t="s">
        <v>30924</v>
      </c>
      <c r="J8260" t="s">
        <v>36262</v>
      </c>
      <c r="K8260" t="s">
        <v>40288</v>
      </c>
      <c r="M8260" t="s">
        <v>43490</v>
      </c>
      <c r="N8260" t="s">
        <v>44759</v>
      </c>
      <c r="O8260" t="s">
        <v>44760</v>
      </c>
      <c r="P8260">
        <v>0</v>
      </c>
      <c r="Q8260">
        <v>2</v>
      </c>
      <c r="R8260" t="s">
        <v>44768</v>
      </c>
      <c r="S8260" t="s">
        <v>44982</v>
      </c>
      <c r="T8260" t="s">
        <v>46760</v>
      </c>
      <c r="U8260" t="s">
        <v>53814</v>
      </c>
      <c r="W8260" t="s">
        <v>43490</v>
      </c>
      <c r="X8260" t="s">
        <v>44769</v>
      </c>
    </row>
    <row r="8261" spans="1:24">
      <c r="A8261">
        <f>HYPERLINK("https://www.philgeps.gov.ph/GEPSNONPILOT/Tender/SplashBidNoticeAbstractUI.aspx?menuIndex=3&amp;refID=7139342&amp;Result=3","7139342")</f>
        <v>0</v>
      </c>
      <c r="B8261" t="s">
        <v>2716</v>
      </c>
      <c r="C8261" t="s">
        <v>11578</v>
      </c>
      <c r="D8261" t="s">
        <v>17989</v>
      </c>
      <c r="E8261" t="s">
        <v>20040</v>
      </c>
      <c r="F8261" t="s">
        <v>30900</v>
      </c>
      <c r="G8261" t="s">
        <v>30907</v>
      </c>
      <c r="H8261" t="s">
        <v>30915</v>
      </c>
      <c r="I8261" t="s">
        <v>30919</v>
      </c>
      <c r="J8261" t="s">
        <v>36263</v>
      </c>
      <c r="K8261" t="s">
        <v>40289</v>
      </c>
      <c r="M8261" t="s">
        <v>43491</v>
      </c>
      <c r="N8261" t="s">
        <v>44759</v>
      </c>
      <c r="O8261" t="s">
        <v>44760</v>
      </c>
      <c r="P8261">
        <v>0</v>
      </c>
      <c r="Q8261">
        <v>0</v>
      </c>
      <c r="R8261" t="s">
        <v>44768</v>
      </c>
      <c r="S8261" t="s">
        <v>44982</v>
      </c>
      <c r="T8261" t="s">
        <v>46427</v>
      </c>
      <c r="U8261" t="s">
        <v>53815</v>
      </c>
      <c r="W8261" t="s">
        <v>43491</v>
      </c>
      <c r="X8261" t="s">
        <v>44769</v>
      </c>
    </row>
    <row r="8262" spans="1:24">
      <c r="A8262">
        <f>HYPERLINK("https://www.philgeps.gov.ph/GEPSNONPILOT/Tender/SplashBidNoticeAbstractUI.aspx?menuIndex=3&amp;refID=7139341&amp;Result=3","7139341")</f>
        <v>0</v>
      </c>
      <c r="B8262" t="s">
        <v>46</v>
      </c>
      <c r="C8262" t="s">
        <v>11579</v>
      </c>
      <c r="D8262" t="s">
        <v>17953</v>
      </c>
      <c r="E8262" t="s">
        <v>25265</v>
      </c>
      <c r="F8262" t="s">
        <v>30900</v>
      </c>
      <c r="G8262" t="s">
        <v>30907</v>
      </c>
      <c r="H8262" t="s">
        <v>30916</v>
      </c>
      <c r="I8262" t="s">
        <v>6746</v>
      </c>
      <c r="J8262" t="s">
        <v>36264</v>
      </c>
      <c r="K8262" t="s">
        <v>40291</v>
      </c>
      <c r="M8262" t="s">
        <v>40592</v>
      </c>
      <c r="N8262" t="s">
        <v>44759</v>
      </c>
      <c r="O8262" t="s">
        <v>44760</v>
      </c>
      <c r="P8262">
        <v>0</v>
      </c>
      <c r="Q8262">
        <v>0</v>
      </c>
      <c r="R8262" t="s">
        <v>44768</v>
      </c>
      <c r="S8262" t="s">
        <v>44982</v>
      </c>
      <c r="T8262" t="s">
        <v>46641</v>
      </c>
      <c r="U8262" t="s">
        <v>46984</v>
      </c>
      <c r="W8262" t="s">
        <v>60814</v>
      </c>
      <c r="X8262" t="s">
        <v>44769</v>
      </c>
    </row>
    <row r="8263" spans="1:24">
      <c r="A8263">
        <f>HYPERLINK("https://www.philgeps.gov.ph/GEPSNONPILOT/Tender/SplashBidNoticeAbstractUI.aspx?menuIndex=3&amp;refID=7139335&amp;Result=3","7139335")</f>
        <v>0</v>
      </c>
      <c r="B8263" t="s">
        <v>1413</v>
      </c>
      <c r="C8263" t="s">
        <v>11580</v>
      </c>
      <c r="D8263" t="s">
        <v>17959</v>
      </c>
      <c r="E8263" t="s">
        <v>25266</v>
      </c>
      <c r="F8263" t="s">
        <v>30900</v>
      </c>
      <c r="G8263" t="s">
        <v>30908</v>
      </c>
      <c r="H8263" t="s">
        <v>30916</v>
      </c>
      <c r="I8263" t="s">
        <v>30924</v>
      </c>
      <c r="J8263" t="s">
        <v>31050</v>
      </c>
      <c r="K8263" t="s">
        <v>40287</v>
      </c>
      <c r="M8263" t="s">
        <v>42042</v>
      </c>
      <c r="N8263" t="s">
        <v>44759</v>
      </c>
      <c r="O8263" t="s">
        <v>44760</v>
      </c>
      <c r="P8263">
        <v>0</v>
      </c>
      <c r="Q8263">
        <v>10</v>
      </c>
      <c r="R8263" t="s">
        <v>44768</v>
      </c>
      <c r="S8263" t="s">
        <v>44982</v>
      </c>
      <c r="T8263" t="s">
        <v>46398</v>
      </c>
      <c r="U8263" t="s">
        <v>53816</v>
      </c>
      <c r="V8263" t="s">
        <v>60001</v>
      </c>
      <c r="W8263" t="s">
        <v>42042</v>
      </c>
      <c r="X8263" t="s">
        <v>44769</v>
      </c>
    </row>
    <row r="8264" spans="1:24">
      <c r="A8264">
        <f>HYPERLINK("https://www.philgeps.gov.ph/GEPSNONPILOT/Tender/SplashBidNoticeAbstractUI.aspx?menuIndex=3&amp;refID=7139265&amp;Result=3","7139265")</f>
        <v>0</v>
      </c>
      <c r="B8264" t="s">
        <v>2697</v>
      </c>
      <c r="C8264" t="s">
        <v>11581</v>
      </c>
      <c r="D8264" t="s">
        <v>17973</v>
      </c>
      <c r="E8264" t="s">
        <v>23144</v>
      </c>
      <c r="F8264" t="s">
        <v>30900</v>
      </c>
      <c r="G8264" t="s">
        <v>30910</v>
      </c>
      <c r="H8264" t="s">
        <v>30916</v>
      </c>
      <c r="I8264" t="s">
        <v>4142</v>
      </c>
      <c r="J8264" t="s">
        <v>36265</v>
      </c>
      <c r="K8264" t="s">
        <v>40286</v>
      </c>
      <c r="M8264" t="s">
        <v>43470</v>
      </c>
      <c r="N8264" t="s">
        <v>44759</v>
      </c>
      <c r="O8264" t="s">
        <v>44760</v>
      </c>
      <c r="P8264">
        <v>0</v>
      </c>
      <c r="Q8264">
        <v>2</v>
      </c>
      <c r="R8264" t="s">
        <v>44768</v>
      </c>
      <c r="S8264" t="s">
        <v>44982</v>
      </c>
      <c r="T8264" t="s">
        <v>46357</v>
      </c>
      <c r="U8264" t="s">
        <v>53766</v>
      </c>
      <c r="W8264" t="s">
        <v>60900</v>
      </c>
      <c r="X8264" t="s">
        <v>44769</v>
      </c>
    </row>
    <row r="8265" spans="1:24">
      <c r="A8265">
        <f>HYPERLINK("https://www.philgeps.gov.ph/GEPSNONPILOT/Tender/SplashBidNoticeAbstractUI.aspx?menuIndex=3&amp;refID=7139329&amp;Result=3","7139329")</f>
        <v>0</v>
      </c>
      <c r="B8265" t="s">
        <v>2706</v>
      </c>
      <c r="C8265" t="s">
        <v>11582</v>
      </c>
      <c r="D8265" t="s">
        <v>18028</v>
      </c>
      <c r="E8265" t="s">
        <v>25267</v>
      </c>
      <c r="F8265" t="s">
        <v>30900</v>
      </c>
      <c r="G8265" t="s">
        <v>30907</v>
      </c>
      <c r="H8265" t="s">
        <v>30916</v>
      </c>
      <c r="I8265" t="s">
        <v>30949</v>
      </c>
      <c r="J8265" t="s">
        <v>36266</v>
      </c>
      <c r="K8265" t="s">
        <v>40286</v>
      </c>
      <c r="M8265" t="s">
        <v>43479</v>
      </c>
      <c r="N8265" t="s">
        <v>44759</v>
      </c>
      <c r="O8265" t="s">
        <v>44760</v>
      </c>
      <c r="P8265">
        <v>0</v>
      </c>
      <c r="Q8265">
        <v>2</v>
      </c>
      <c r="R8265" t="s">
        <v>44768</v>
      </c>
      <c r="S8265" t="s">
        <v>44982</v>
      </c>
      <c r="T8265" t="s">
        <v>46465</v>
      </c>
      <c r="U8265" t="s">
        <v>53817</v>
      </c>
      <c r="W8265" t="s">
        <v>43479</v>
      </c>
      <c r="X8265" t="s">
        <v>44769</v>
      </c>
    </row>
    <row r="8266" spans="1:24">
      <c r="A8266">
        <f>HYPERLINK("https://www.philgeps.gov.ph/GEPSNONPILOT/Tender/SplashBidNoticeAbstractUI.aspx?menuIndex=3&amp;refID=7139238&amp;Result=3","7139238")</f>
        <v>0</v>
      </c>
      <c r="B8266" t="s">
        <v>319</v>
      </c>
      <c r="C8266" t="s">
        <v>11583</v>
      </c>
      <c r="D8266" t="s">
        <v>18021</v>
      </c>
      <c r="E8266" t="s">
        <v>25268</v>
      </c>
      <c r="F8266" t="s">
        <v>30900</v>
      </c>
      <c r="G8266" t="s">
        <v>30907</v>
      </c>
      <c r="H8266" t="s">
        <v>30915</v>
      </c>
      <c r="I8266" t="s">
        <v>30919</v>
      </c>
      <c r="J8266" t="s">
        <v>31297</v>
      </c>
      <c r="K8266" t="s">
        <v>40304</v>
      </c>
      <c r="M8266" t="s">
        <v>40870</v>
      </c>
      <c r="N8266" t="s">
        <v>44759</v>
      </c>
      <c r="O8266" t="s">
        <v>44760</v>
      </c>
      <c r="Q8266">
        <v>1</v>
      </c>
      <c r="R8266" t="s">
        <v>44768</v>
      </c>
      <c r="S8266" t="s">
        <v>45000</v>
      </c>
      <c r="T8266" t="s">
        <v>46405</v>
      </c>
      <c r="U8266" t="s">
        <v>53818</v>
      </c>
      <c r="W8266" t="s">
        <v>40870</v>
      </c>
      <c r="X8266" t="s">
        <v>44769</v>
      </c>
    </row>
    <row r="8267" spans="1:24">
      <c r="A8267">
        <f>HYPERLINK("https://www.philgeps.gov.ph/GEPSNONPILOT/Tender/SplashBidNoticeAbstractUI.aspx?menuIndex=3&amp;refID=7139281&amp;Result=3","7139281")</f>
        <v>0</v>
      </c>
      <c r="B8267" t="s">
        <v>1971</v>
      </c>
      <c r="C8267" t="s">
        <v>11584</v>
      </c>
      <c r="D8267" t="s">
        <v>17971</v>
      </c>
      <c r="E8267" t="s">
        <v>25269</v>
      </c>
      <c r="F8267" t="s">
        <v>30900</v>
      </c>
      <c r="G8267" t="s">
        <v>30907</v>
      </c>
      <c r="H8267" t="s">
        <v>30916</v>
      </c>
      <c r="I8267" t="s">
        <v>30939</v>
      </c>
      <c r="J8267" t="s">
        <v>32454</v>
      </c>
      <c r="K8267" t="s">
        <v>40283</v>
      </c>
      <c r="M8267" t="s">
        <v>42659</v>
      </c>
      <c r="N8267" t="s">
        <v>44759</v>
      </c>
      <c r="O8267" t="s">
        <v>44760</v>
      </c>
      <c r="P8267">
        <v>0</v>
      </c>
      <c r="Q8267">
        <v>0</v>
      </c>
      <c r="R8267" t="s">
        <v>44768</v>
      </c>
      <c r="S8267" t="s">
        <v>44982</v>
      </c>
      <c r="T8267" t="s">
        <v>46581</v>
      </c>
      <c r="U8267" t="s">
        <v>53819</v>
      </c>
      <c r="V8267" t="s">
        <v>60002</v>
      </c>
      <c r="W8267" t="s">
        <v>42659</v>
      </c>
      <c r="X8267" t="s">
        <v>44769</v>
      </c>
    </row>
    <row r="8268" spans="1:24">
      <c r="A8268">
        <f>HYPERLINK("https://www.philgeps.gov.ph/GEPSNONPILOT/Tender/SplashBidNoticeAbstractUI.aspx?menuIndex=3&amp;refID=7139323&amp;Result=3","7139323")</f>
        <v>0</v>
      </c>
      <c r="B8268" t="s">
        <v>2519</v>
      </c>
      <c r="C8268" t="s">
        <v>11585</v>
      </c>
      <c r="D8268" t="s">
        <v>18012</v>
      </c>
      <c r="E8268" t="s">
        <v>25270</v>
      </c>
      <c r="F8268" t="s">
        <v>30900</v>
      </c>
      <c r="G8268" t="s">
        <v>30907</v>
      </c>
      <c r="H8268" t="s">
        <v>30916</v>
      </c>
      <c r="I8268" t="s">
        <v>8123</v>
      </c>
      <c r="J8268" t="s">
        <v>36267</v>
      </c>
      <c r="K8268" t="s">
        <v>40289</v>
      </c>
      <c r="M8268" t="s">
        <v>43266</v>
      </c>
      <c r="N8268" t="s">
        <v>44759</v>
      </c>
      <c r="O8268" t="s">
        <v>44760</v>
      </c>
      <c r="P8268">
        <v>0</v>
      </c>
      <c r="Q8268">
        <v>1</v>
      </c>
      <c r="R8268" t="s">
        <v>44768</v>
      </c>
      <c r="S8268" t="s">
        <v>44982</v>
      </c>
      <c r="T8268" t="s">
        <v>46531</v>
      </c>
      <c r="U8268" t="s">
        <v>53820</v>
      </c>
      <c r="W8268" t="s">
        <v>43266</v>
      </c>
      <c r="X8268" t="s">
        <v>44769</v>
      </c>
    </row>
    <row r="8269" spans="1:24">
      <c r="A8269">
        <f>HYPERLINK("https://www.philgeps.gov.ph/GEPSNONPILOT/Tender/SplashBidNoticeAbstractUI.aspx?menuIndex=3&amp;refID=7139320&amp;Result=3","7139320")</f>
        <v>0</v>
      </c>
      <c r="B8269" t="s">
        <v>2717</v>
      </c>
      <c r="C8269" t="s">
        <v>11586</v>
      </c>
      <c r="D8269" t="s">
        <v>17973</v>
      </c>
      <c r="E8269" t="s">
        <v>25271</v>
      </c>
      <c r="F8269" t="s">
        <v>30900</v>
      </c>
      <c r="G8269" t="s">
        <v>30907</v>
      </c>
      <c r="H8269" t="s">
        <v>7411</v>
      </c>
      <c r="I8269" t="s">
        <v>7411</v>
      </c>
      <c r="J8269" t="s">
        <v>36268</v>
      </c>
      <c r="K8269" t="s">
        <v>40342</v>
      </c>
      <c r="M8269" t="s">
        <v>43492</v>
      </c>
      <c r="N8269" t="s">
        <v>44759</v>
      </c>
      <c r="O8269" t="s">
        <v>44760</v>
      </c>
      <c r="P8269">
        <v>0</v>
      </c>
      <c r="Q8269">
        <v>3</v>
      </c>
      <c r="R8269" t="s">
        <v>44768</v>
      </c>
      <c r="S8269" t="s">
        <v>44982</v>
      </c>
      <c r="T8269" t="s">
        <v>46625</v>
      </c>
      <c r="U8269" t="s">
        <v>53821</v>
      </c>
      <c r="W8269" t="s">
        <v>43492</v>
      </c>
      <c r="X8269" t="s">
        <v>44769</v>
      </c>
    </row>
    <row r="8270" spans="1:24">
      <c r="A8270">
        <f>HYPERLINK("https://www.philgeps.gov.ph/GEPSNONPILOT/Tender/SplashBidNoticeAbstractUI.aspx?menuIndex=3&amp;refID=7139357&amp;Result=3","7139357")</f>
        <v>0</v>
      </c>
      <c r="B8270" t="s">
        <v>2718</v>
      </c>
      <c r="C8270" t="s">
        <v>11587</v>
      </c>
      <c r="D8270" t="s">
        <v>17951</v>
      </c>
      <c r="E8270" t="s">
        <v>25272</v>
      </c>
      <c r="F8270" t="s">
        <v>30900</v>
      </c>
      <c r="G8270" t="s">
        <v>30907</v>
      </c>
      <c r="H8270" t="s">
        <v>30916</v>
      </c>
      <c r="I8270" t="s">
        <v>8123</v>
      </c>
      <c r="J8270" t="s">
        <v>32766</v>
      </c>
      <c r="K8270" t="s">
        <v>40283</v>
      </c>
      <c r="M8270" t="s">
        <v>43493</v>
      </c>
      <c r="N8270" t="s">
        <v>44759</v>
      </c>
      <c r="O8270" t="s">
        <v>44760</v>
      </c>
      <c r="P8270">
        <v>0</v>
      </c>
      <c r="Q8270">
        <v>0</v>
      </c>
      <c r="R8270" t="s">
        <v>44768</v>
      </c>
      <c r="S8270" t="s">
        <v>44982</v>
      </c>
      <c r="T8270" t="s">
        <v>46625</v>
      </c>
      <c r="U8270" t="s">
        <v>53822</v>
      </c>
      <c r="W8270" t="s">
        <v>43493</v>
      </c>
      <c r="X8270" t="s">
        <v>44769</v>
      </c>
    </row>
    <row r="8271" spans="1:24">
      <c r="A8271">
        <f>HYPERLINK("https://www.philgeps.gov.ph/GEPSNONPILOT/Tender/SplashBidNoticeAbstractUI.aspx?menuIndex=3&amp;refID=7139330&amp;Result=3","7139330")</f>
        <v>0</v>
      </c>
      <c r="B8271" t="s">
        <v>1274</v>
      </c>
      <c r="C8271" t="s">
        <v>11588</v>
      </c>
      <c r="D8271" t="s">
        <v>18017</v>
      </c>
      <c r="E8271" t="s">
        <v>25273</v>
      </c>
      <c r="F8271" t="s">
        <v>30900</v>
      </c>
      <c r="G8271" t="s">
        <v>30907</v>
      </c>
      <c r="H8271" t="s">
        <v>30916</v>
      </c>
      <c r="I8271" t="s">
        <v>30947</v>
      </c>
      <c r="J8271" t="s">
        <v>36269</v>
      </c>
      <c r="K8271" t="s">
        <v>40333</v>
      </c>
      <c r="M8271" t="s">
        <v>41890</v>
      </c>
      <c r="N8271" t="s">
        <v>44759</v>
      </c>
      <c r="O8271" t="s">
        <v>44760</v>
      </c>
      <c r="P8271">
        <v>0</v>
      </c>
      <c r="Q8271">
        <v>1</v>
      </c>
      <c r="R8271" t="s">
        <v>44768</v>
      </c>
      <c r="S8271" t="s">
        <v>44982</v>
      </c>
      <c r="T8271" t="s">
        <v>46581</v>
      </c>
      <c r="U8271" t="s">
        <v>53823</v>
      </c>
      <c r="V8271" t="s">
        <v>59453</v>
      </c>
      <c r="W8271" t="s">
        <v>41890</v>
      </c>
      <c r="X8271" t="s">
        <v>44769</v>
      </c>
    </row>
    <row r="8272" spans="1:24">
      <c r="A8272">
        <f>HYPERLINK("https://www.philgeps.gov.ph/GEPSNONPILOT/Tender/SplashBidNoticeAbstractUI.aspx?menuIndex=3&amp;refID=7139254&amp;Result=3","7139254")</f>
        <v>0</v>
      </c>
      <c r="B8272" t="s">
        <v>278</v>
      </c>
      <c r="C8272" t="s">
        <v>11589</v>
      </c>
      <c r="D8272" t="s">
        <v>17995</v>
      </c>
      <c r="E8272" t="s">
        <v>25274</v>
      </c>
      <c r="F8272" t="s">
        <v>30900</v>
      </c>
      <c r="G8272" t="s">
        <v>30909</v>
      </c>
      <c r="H8272" t="s">
        <v>30916</v>
      </c>
      <c r="I8272" t="s">
        <v>4142</v>
      </c>
      <c r="J8272" t="s">
        <v>36270</v>
      </c>
      <c r="K8272" t="s">
        <v>40289</v>
      </c>
      <c r="M8272" t="s">
        <v>40887</v>
      </c>
      <c r="N8272" t="s">
        <v>44759</v>
      </c>
      <c r="O8272" t="s">
        <v>44760</v>
      </c>
      <c r="P8272">
        <v>0</v>
      </c>
      <c r="Q8272">
        <v>1</v>
      </c>
      <c r="R8272" t="s">
        <v>44768</v>
      </c>
      <c r="S8272" t="s">
        <v>44982</v>
      </c>
      <c r="T8272" t="s">
        <v>46533</v>
      </c>
      <c r="U8272" t="s">
        <v>53824</v>
      </c>
      <c r="W8272" t="s">
        <v>60825</v>
      </c>
      <c r="X8272" t="s">
        <v>44769</v>
      </c>
    </row>
    <row r="8273" spans="1:24">
      <c r="A8273">
        <f>HYPERLINK("https://www.philgeps.gov.ph/GEPSNONPILOT/Tender/SplashBidNoticeAbstractUI.aspx?menuIndex=3&amp;refID=7139301&amp;Result=3","7139301")</f>
        <v>0</v>
      </c>
      <c r="B8273" t="s">
        <v>278</v>
      </c>
      <c r="C8273" t="s">
        <v>11590</v>
      </c>
      <c r="D8273" t="s">
        <v>17995</v>
      </c>
      <c r="E8273" t="s">
        <v>25275</v>
      </c>
      <c r="F8273" t="s">
        <v>30900</v>
      </c>
      <c r="G8273" t="s">
        <v>30909</v>
      </c>
      <c r="H8273" t="s">
        <v>30916</v>
      </c>
      <c r="I8273" t="s">
        <v>4545</v>
      </c>
      <c r="J8273" t="s">
        <v>32818</v>
      </c>
      <c r="K8273" t="s">
        <v>40289</v>
      </c>
      <c r="M8273" t="s">
        <v>40887</v>
      </c>
      <c r="N8273" t="s">
        <v>44759</v>
      </c>
      <c r="O8273" t="s">
        <v>44760</v>
      </c>
      <c r="P8273">
        <v>0</v>
      </c>
      <c r="Q8273">
        <v>2</v>
      </c>
      <c r="R8273" t="s">
        <v>44768</v>
      </c>
      <c r="S8273" t="s">
        <v>44982</v>
      </c>
      <c r="T8273" t="s">
        <v>46533</v>
      </c>
      <c r="U8273" t="s">
        <v>53825</v>
      </c>
      <c r="W8273" t="s">
        <v>60825</v>
      </c>
      <c r="X8273" t="s">
        <v>44769</v>
      </c>
    </row>
    <row r="8274" spans="1:24">
      <c r="A8274">
        <f>HYPERLINK("https://www.philgeps.gov.ph/GEPSNONPILOT/Tender/SplashBidNoticeAbstractUI.aspx?menuIndex=3&amp;refID=7139318&amp;Result=3","7139318")</f>
        <v>0</v>
      </c>
      <c r="B8274" t="s">
        <v>656</v>
      </c>
      <c r="C8274" t="s">
        <v>11591</v>
      </c>
      <c r="D8274" t="s">
        <v>17973</v>
      </c>
      <c r="E8274" t="s">
        <v>19262</v>
      </c>
      <c r="F8274" t="s">
        <v>30900</v>
      </c>
      <c r="G8274" t="s">
        <v>30907</v>
      </c>
      <c r="H8274" t="s">
        <v>30916</v>
      </c>
      <c r="I8274" t="s">
        <v>4108</v>
      </c>
      <c r="J8274" t="s">
        <v>31043</v>
      </c>
      <c r="K8274" t="s">
        <v>40286</v>
      </c>
      <c r="M8274" t="s">
        <v>41219</v>
      </c>
      <c r="N8274" t="s">
        <v>44759</v>
      </c>
      <c r="O8274" t="s">
        <v>44760</v>
      </c>
      <c r="P8274">
        <v>0</v>
      </c>
      <c r="Q8274">
        <v>1</v>
      </c>
      <c r="R8274" t="s">
        <v>44768</v>
      </c>
      <c r="S8274" t="s">
        <v>44982</v>
      </c>
      <c r="T8274" t="s">
        <v>46389</v>
      </c>
      <c r="U8274" t="s">
        <v>53826</v>
      </c>
      <c r="W8274" t="s">
        <v>41219</v>
      </c>
      <c r="X8274" t="s">
        <v>44769</v>
      </c>
    </row>
    <row r="8275" spans="1:24">
      <c r="A8275">
        <f>HYPERLINK("https://www.philgeps.gov.ph/GEPSNONPILOT/Tender/SplashBidNoticeAbstractUI.aspx?menuIndex=3&amp;refID=7139315&amp;Result=3","7139315")</f>
        <v>0</v>
      </c>
      <c r="B8275" t="s">
        <v>2719</v>
      </c>
      <c r="C8275" t="s">
        <v>11592</v>
      </c>
      <c r="D8275" t="s">
        <v>17977</v>
      </c>
      <c r="E8275" t="s">
        <v>25276</v>
      </c>
      <c r="F8275" t="s">
        <v>30900</v>
      </c>
      <c r="G8275" t="s">
        <v>30907</v>
      </c>
      <c r="H8275" t="s">
        <v>30916</v>
      </c>
      <c r="I8275" t="s">
        <v>30942</v>
      </c>
      <c r="J8275" t="s">
        <v>36271</v>
      </c>
      <c r="K8275" t="s">
        <v>40286</v>
      </c>
      <c r="M8275" t="s">
        <v>43494</v>
      </c>
      <c r="N8275" t="s">
        <v>44759</v>
      </c>
      <c r="O8275" t="s">
        <v>44760</v>
      </c>
      <c r="P8275">
        <v>0</v>
      </c>
      <c r="Q8275">
        <v>0</v>
      </c>
      <c r="R8275" t="s">
        <v>44768</v>
      </c>
      <c r="S8275" t="s">
        <v>44982</v>
      </c>
      <c r="T8275" t="s">
        <v>46533</v>
      </c>
      <c r="U8275" t="s">
        <v>53827</v>
      </c>
      <c r="W8275" t="s">
        <v>43494</v>
      </c>
      <c r="X8275" t="s">
        <v>44769</v>
      </c>
    </row>
    <row r="8276" spans="1:24">
      <c r="A8276">
        <f>HYPERLINK("https://www.philgeps.gov.ph/GEPSNONPILOT/Tender/SplashBidNoticeAbstractUI.aspx?menuIndex=3&amp;refID=7139302&amp;Result=3","7139302")</f>
        <v>0</v>
      </c>
      <c r="B8276" t="s">
        <v>2720</v>
      </c>
      <c r="C8276" t="s">
        <v>11593</v>
      </c>
      <c r="D8276" t="s">
        <v>18002</v>
      </c>
      <c r="E8276" t="s">
        <v>25277</v>
      </c>
      <c r="F8276" t="s">
        <v>30900</v>
      </c>
      <c r="G8276" t="s">
        <v>30909</v>
      </c>
      <c r="H8276" t="s">
        <v>30916</v>
      </c>
      <c r="I8276" t="s">
        <v>4108</v>
      </c>
      <c r="J8276" t="s">
        <v>36272</v>
      </c>
      <c r="K8276" t="s">
        <v>40283</v>
      </c>
      <c r="M8276" t="s">
        <v>43495</v>
      </c>
      <c r="N8276" t="s">
        <v>44759</v>
      </c>
      <c r="O8276" t="s">
        <v>44760</v>
      </c>
      <c r="P8276">
        <v>0</v>
      </c>
      <c r="Q8276">
        <v>0</v>
      </c>
      <c r="R8276" t="s">
        <v>44768</v>
      </c>
      <c r="S8276" t="s">
        <v>44982</v>
      </c>
      <c r="T8276" t="s">
        <v>46809</v>
      </c>
      <c r="U8276" t="s">
        <v>53828</v>
      </c>
      <c r="W8276" t="s">
        <v>43495</v>
      </c>
      <c r="X8276" t="s">
        <v>44769</v>
      </c>
    </row>
    <row r="8277" spans="1:24">
      <c r="A8277">
        <f>HYPERLINK("https://www.philgeps.gov.ph/GEPSNONPILOT/Tender/SplashBidNoticeAbstractUI.aspx?menuIndex=3&amp;refID=7139366&amp;Result=3","7139366")</f>
        <v>0</v>
      </c>
      <c r="B8277" t="s">
        <v>2721</v>
      </c>
      <c r="C8277" t="s">
        <v>11594</v>
      </c>
      <c r="D8277" t="s">
        <v>18023</v>
      </c>
      <c r="E8277" t="s">
        <v>25278</v>
      </c>
      <c r="F8277" t="s">
        <v>30900</v>
      </c>
      <c r="G8277" t="s">
        <v>30908</v>
      </c>
      <c r="H8277" t="s">
        <v>30916</v>
      </c>
      <c r="I8277" t="s">
        <v>30939</v>
      </c>
      <c r="J8277" t="s">
        <v>33353</v>
      </c>
      <c r="K8277" t="s">
        <v>40287</v>
      </c>
      <c r="M8277" t="s">
        <v>43496</v>
      </c>
      <c r="N8277" t="s">
        <v>44759</v>
      </c>
      <c r="O8277" t="s">
        <v>44760</v>
      </c>
      <c r="P8277">
        <v>0</v>
      </c>
      <c r="Q8277">
        <v>0</v>
      </c>
      <c r="R8277" t="s">
        <v>44768</v>
      </c>
      <c r="S8277" t="s">
        <v>44982</v>
      </c>
      <c r="T8277" t="s">
        <v>46625</v>
      </c>
      <c r="U8277" t="s">
        <v>53829</v>
      </c>
      <c r="V8277" t="s">
        <v>60003</v>
      </c>
      <c r="W8277" t="s">
        <v>43496</v>
      </c>
      <c r="X8277" t="s">
        <v>44769</v>
      </c>
    </row>
    <row r="8278" spans="1:24">
      <c r="A8278">
        <f>HYPERLINK("https://www.philgeps.gov.ph/GEPSNONPILOT/Tender/SplashBidNoticeAbstractUI.aspx?menuIndex=3&amp;refID=7139350&amp;Result=3","7139350")</f>
        <v>0</v>
      </c>
      <c r="B8278" t="s">
        <v>2721</v>
      </c>
      <c r="C8278" t="s">
        <v>11595</v>
      </c>
      <c r="D8278" t="s">
        <v>18023</v>
      </c>
      <c r="E8278" t="s">
        <v>25279</v>
      </c>
      <c r="F8278" t="s">
        <v>30900</v>
      </c>
      <c r="G8278" t="s">
        <v>30908</v>
      </c>
      <c r="H8278" t="s">
        <v>30916</v>
      </c>
      <c r="I8278" t="s">
        <v>6746</v>
      </c>
      <c r="J8278" t="s">
        <v>35210</v>
      </c>
      <c r="K8278" t="s">
        <v>40287</v>
      </c>
      <c r="M8278" t="s">
        <v>43496</v>
      </c>
      <c r="N8278" t="s">
        <v>44759</v>
      </c>
      <c r="O8278" t="s">
        <v>44760</v>
      </c>
      <c r="P8278">
        <v>0</v>
      </c>
      <c r="Q8278">
        <v>0</v>
      </c>
      <c r="R8278" t="s">
        <v>44768</v>
      </c>
      <c r="S8278" t="s">
        <v>44982</v>
      </c>
      <c r="T8278" t="s">
        <v>46625</v>
      </c>
      <c r="U8278" t="s">
        <v>53829</v>
      </c>
      <c r="V8278" t="s">
        <v>60003</v>
      </c>
      <c r="W8278" t="s">
        <v>43496</v>
      </c>
      <c r="X8278" t="s">
        <v>44769</v>
      </c>
    </row>
    <row r="8279" spans="1:24">
      <c r="A8279">
        <f>HYPERLINK("https://www.philgeps.gov.ph/GEPSNONPILOT/Tender/SplashBidNoticeAbstractUI.aspx?menuIndex=3&amp;refID=7139363&amp;Result=3","7139363")</f>
        <v>0</v>
      </c>
      <c r="B8279" t="s">
        <v>2722</v>
      </c>
      <c r="C8279" t="s">
        <v>11596</v>
      </c>
      <c r="D8279" t="s">
        <v>17978</v>
      </c>
      <c r="E8279" t="s">
        <v>25280</v>
      </c>
      <c r="F8279" t="s">
        <v>30900</v>
      </c>
      <c r="G8279" t="s">
        <v>30907</v>
      </c>
      <c r="H8279" t="s">
        <v>30915</v>
      </c>
      <c r="I8279" t="s">
        <v>30919</v>
      </c>
      <c r="J8279" t="s">
        <v>31243</v>
      </c>
      <c r="K8279" t="s">
        <v>40293</v>
      </c>
      <c r="L8279" t="s">
        <v>2722</v>
      </c>
      <c r="M8279" t="s">
        <v>43497</v>
      </c>
      <c r="N8279" t="s">
        <v>44759</v>
      </c>
      <c r="O8279" t="s">
        <v>44760</v>
      </c>
      <c r="P8279">
        <v>0</v>
      </c>
      <c r="Q8279">
        <v>0</v>
      </c>
      <c r="R8279" t="s">
        <v>44768</v>
      </c>
      <c r="S8279" t="s">
        <v>44982</v>
      </c>
      <c r="T8279" t="s">
        <v>46703</v>
      </c>
      <c r="U8279" t="s">
        <v>53830</v>
      </c>
      <c r="W8279" t="s">
        <v>43497</v>
      </c>
      <c r="X8279" t="s">
        <v>44769</v>
      </c>
    </row>
    <row r="8280" spans="1:24">
      <c r="A8280">
        <f>HYPERLINK("https://www.philgeps.gov.ph/GEPSNONPILOT/Tender/SplashBidNoticeAbstractUI.aspx?menuIndex=3&amp;refID=7139405&amp;Result=3","7139405")</f>
        <v>0</v>
      </c>
      <c r="B8280" t="s">
        <v>46</v>
      </c>
      <c r="C8280" t="s">
        <v>11597</v>
      </c>
      <c r="D8280" t="s">
        <v>17953</v>
      </c>
      <c r="E8280" t="s">
        <v>25281</v>
      </c>
      <c r="F8280" t="s">
        <v>30900</v>
      </c>
      <c r="G8280" t="s">
        <v>30907</v>
      </c>
      <c r="H8280" t="s">
        <v>30916</v>
      </c>
      <c r="I8280" t="s">
        <v>30934</v>
      </c>
      <c r="J8280" t="s">
        <v>36273</v>
      </c>
      <c r="K8280" t="s">
        <v>40291</v>
      </c>
      <c r="M8280" t="s">
        <v>40592</v>
      </c>
      <c r="N8280" t="s">
        <v>44759</v>
      </c>
      <c r="O8280" t="s">
        <v>44760</v>
      </c>
      <c r="P8280">
        <v>0</v>
      </c>
      <c r="Q8280">
        <v>2</v>
      </c>
      <c r="R8280" t="s">
        <v>44768</v>
      </c>
      <c r="S8280" t="s">
        <v>44982</v>
      </c>
      <c r="T8280" t="s">
        <v>46641</v>
      </c>
      <c r="U8280" t="s">
        <v>46984</v>
      </c>
      <c r="W8280" t="s">
        <v>60814</v>
      </c>
      <c r="X8280" t="s">
        <v>44769</v>
      </c>
    </row>
    <row r="8281" spans="1:24">
      <c r="A8281">
        <f>HYPERLINK("https://www.philgeps.gov.ph/GEPSNONPILOT/Tender/SplashBidNoticeAbstractUI.aspx?menuIndex=3&amp;refID=7139402&amp;Result=3","7139402")</f>
        <v>0</v>
      </c>
      <c r="B8281" t="s">
        <v>2679</v>
      </c>
      <c r="C8281" t="s">
        <v>11598</v>
      </c>
      <c r="D8281" t="s">
        <v>17971</v>
      </c>
      <c r="E8281" t="s">
        <v>25282</v>
      </c>
      <c r="F8281" t="s">
        <v>30900</v>
      </c>
      <c r="G8281" t="s">
        <v>30907</v>
      </c>
      <c r="H8281" t="s">
        <v>30916</v>
      </c>
      <c r="I8281" t="s">
        <v>6953</v>
      </c>
      <c r="J8281" t="s">
        <v>36274</v>
      </c>
      <c r="K8281" t="s">
        <v>40283</v>
      </c>
      <c r="M8281" t="s">
        <v>43450</v>
      </c>
      <c r="N8281" t="s">
        <v>44759</v>
      </c>
      <c r="O8281" t="s">
        <v>44760</v>
      </c>
      <c r="P8281">
        <v>0</v>
      </c>
      <c r="Q8281">
        <v>0</v>
      </c>
      <c r="R8281" t="s">
        <v>44768</v>
      </c>
      <c r="S8281" t="s">
        <v>44982</v>
      </c>
      <c r="T8281" t="s">
        <v>46399</v>
      </c>
      <c r="U8281" t="s">
        <v>53831</v>
      </c>
      <c r="W8281" t="s">
        <v>43450</v>
      </c>
      <c r="X8281" t="s">
        <v>44769</v>
      </c>
    </row>
    <row r="8282" spans="1:24">
      <c r="A8282">
        <f>HYPERLINK("https://www.philgeps.gov.ph/GEPSNONPILOT/Tender/SplashBidNoticeAbstractUI.aspx?menuIndex=3&amp;refID=7139389&amp;Result=3","7139389")</f>
        <v>0</v>
      </c>
      <c r="B8282" t="s">
        <v>2723</v>
      </c>
      <c r="C8282" t="s">
        <v>3769</v>
      </c>
      <c r="E8282" t="s">
        <v>25283</v>
      </c>
      <c r="F8282" t="s">
        <v>30900</v>
      </c>
      <c r="G8282" t="s">
        <v>30907</v>
      </c>
      <c r="H8282" t="s">
        <v>30915</v>
      </c>
      <c r="I8282" t="s">
        <v>30919</v>
      </c>
      <c r="J8282" t="s">
        <v>31341</v>
      </c>
      <c r="K8282" t="s">
        <v>40283</v>
      </c>
      <c r="M8282" t="s">
        <v>43498</v>
      </c>
      <c r="N8282" t="s">
        <v>44759</v>
      </c>
      <c r="O8282" t="s">
        <v>44760</v>
      </c>
      <c r="P8282">
        <v>0</v>
      </c>
      <c r="Q8282">
        <v>0</v>
      </c>
      <c r="R8282" t="s">
        <v>44768</v>
      </c>
      <c r="S8282" t="s">
        <v>44982</v>
      </c>
      <c r="T8282" t="s">
        <v>46700</v>
      </c>
      <c r="U8282" t="s">
        <v>53832</v>
      </c>
      <c r="W8282" t="s">
        <v>43498</v>
      </c>
      <c r="X8282" t="s">
        <v>44769</v>
      </c>
    </row>
    <row r="8283" spans="1:24">
      <c r="A8283">
        <f>HYPERLINK("https://www.philgeps.gov.ph/GEPSNONPILOT/Tender/SplashBidNoticeAbstractUI.aspx?menuIndex=3&amp;refID=7139352&amp;Result=3","7139352")</f>
        <v>0</v>
      </c>
      <c r="B8283" t="s">
        <v>222</v>
      </c>
      <c r="C8283" t="s">
        <v>11599</v>
      </c>
      <c r="D8283" t="s">
        <v>17957</v>
      </c>
      <c r="E8283" t="s">
        <v>25284</v>
      </c>
      <c r="F8283" t="s">
        <v>30900</v>
      </c>
      <c r="G8283" t="s">
        <v>30908</v>
      </c>
      <c r="H8283" t="s">
        <v>30916</v>
      </c>
      <c r="I8283" t="s">
        <v>4108</v>
      </c>
      <c r="J8283" t="s">
        <v>31341</v>
      </c>
      <c r="K8283" t="s">
        <v>40287</v>
      </c>
      <c r="M8283" t="s">
        <v>41878</v>
      </c>
      <c r="N8283" t="s">
        <v>44759</v>
      </c>
      <c r="O8283" t="s">
        <v>44760</v>
      </c>
      <c r="P8283">
        <v>0</v>
      </c>
      <c r="Q8283">
        <v>3</v>
      </c>
      <c r="R8283" t="s">
        <v>44768</v>
      </c>
      <c r="S8283" t="s">
        <v>44982</v>
      </c>
      <c r="T8283" t="s">
        <v>46591</v>
      </c>
      <c r="U8283" t="s">
        <v>53833</v>
      </c>
      <c r="W8283" t="s">
        <v>41878</v>
      </c>
      <c r="X8283" t="s">
        <v>44769</v>
      </c>
    </row>
    <row r="8284" spans="1:24">
      <c r="A8284">
        <f>HYPERLINK("https://www.philgeps.gov.ph/GEPSNONPILOT/Tender/SplashBidNoticeAbstractUI.aspx?menuIndex=3&amp;refID=7139313&amp;Result=3","7139313")</f>
        <v>0</v>
      </c>
      <c r="B8284" t="s">
        <v>2721</v>
      </c>
      <c r="C8284" t="s">
        <v>11600</v>
      </c>
      <c r="D8284" t="s">
        <v>18023</v>
      </c>
      <c r="E8284" t="s">
        <v>25285</v>
      </c>
      <c r="F8284" t="s">
        <v>30900</v>
      </c>
      <c r="G8284" t="s">
        <v>30908</v>
      </c>
      <c r="H8284" t="s">
        <v>30916</v>
      </c>
      <c r="I8284" t="s">
        <v>30926</v>
      </c>
      <c r="J8284" t="s">
        <v>31206</v>
      </c>
      <c r="K8284" t="s">
        <v>40287</v>
      </c>
      <c r="M8284" t="s">
        <v>43496</v>
      </c>
      <c r="N8284" t="s">
        <v>44759</v>
      </c>
      <c r="O8284" t="s">
        <v>44760</v>
      </c>
      <c r="P8284">
        <v>0</v>
      </c>
      <c r="Q8284">
        <v>1</v>
      </c>
      <c r="R8284" t="s">
        <v>44768</v>
      </c>
      <c r="S8284" t="s">
        <v>44982</v>
      </c>
      <c r="T8284" t="s">
        <v>46625</v>
      </c>
      <c r="U8284" t="s">
        <v>53829</v>
      </c>
      <c r="V8284" t="s">
        <v>60003</v>
      </c>
      <c r="W8284" t="s">
        <v>43496</v>
      </c>
      <c r="X8284" t="s">
        <v>44769</v>
      </c>
    </row>
    <row r="8285" spans="1:24">
      <c r="A8285">
        <f>HYPERLINK("https://www.philgeps.gov.ph/GEPSNONPILOT/Tender/SplashBidNoticeAbstractUI.aspx?menuIndex=3&amp;refID=7139309&amp;Result=3","7139309")</f>
        <v>0</v>
      </c>
      <c r="B8285" t="s">
        <v>2724</v>
      </c>
      <c r="C8285" t="s">
        <v>11601</v>
      </c>
      <c r="D8285" t="s">
        <v>17989</v>
      </c>
      <c r="E8285" t="s">
        <v>20286</v>
      </c>
      <c r="F8285" t="s">
        <v>30900</v>
      </c>
      <c r="G8285" t="s">
        <v>30907</v>
      </c>
      <c r="H8285" t="s">
        <v>30915</v>
      </c>
      <c r="I8285" t="s">
        <v>30919</v>
      </c>
      <c r="J8285" t="s">
        <v>31096</v>
      </c>
      <c r="K8285" t="s">
        <v>40289</v>
      </c>
      <c r="M8285" t="s">
        <v>43499</v>
      </c>
      <c r="N8285" t="s">
        <v>44759</v>
      </c>
      <c r="O8285" t="s">
        <v>44760</v>
      </c>
      <c r="P8285">
        <v>0</v>
      </c>
      <c r="Q8285">
        <v>0</v>
      </c>
      <c r="R8285" t="s">
        <v>44768</v>
      </c>
      <c r="S8285" t="s">
        <v>44982</v>
      </c>
      <c r="T8285" t="s">
        <v>46427</v>
      </c>
      <c r="U8285" t="s">
        <v>53834</v>
      </c>
      <c r="W8285" t="s">
        <v>43499</v>
      </c>
      <c r="X8285" t="s">
        <v>44769</v>
      </c>
    </row>
    <row r="8286" spans="1:24">
      <c r="A8286">
        <f>HYPERLINK("https://www.philgeps.gov.ph/GEPSNONPILOT/Tender/SplashBidNoticeAbstractUI.aspx?menuIndex=3&amp;refID=7139349&amp;Result=3","7139349")</f>
        <v>0</v>
      </c>
      <c r="B8286" t="s">
        <v>2331</v>
      </c>
      <c r="C8286" t="s">
        <v>11602</v>
      </c>
      <c r="D8286" t="s">
        <v>17959</v>
      </c>
      <c r="E8286" t="s">
        <v>25286</v>
      </c>
      <c r="F8286" t="s">
        <v>30900</v>
      </c>
      <c r="G8286" t="s">
        <v>30908</v>
      </c>
      <c r="H8286" t="s">
        <v>30917</v>
      </c>
      <c r="I8286" t="s">
        <v>8044</v>
      </c>
      <c r="J8286" t="s">
        <v>36275</v>
      </c>
      <c r="K8286" t="s">
        <v>40332</v>
      </c>
      <c r="M8286" t="s">
        <v>43053</v>
      </c>
      <c r="N8286" t="s">
        <v>44759</v>
      </c>
      <c r="O8286" t="s">
        <v>44760</v>
      </c>
      <c r="P8286">
        <v>0</v>
      </c>
      <c r="Q8286">
        <v>10</v>
      </c>
      <c r="R8286" t="s">
        <v>44768</v>
      </c>
      <c r="S8286" t="s">
        <v>44982</v>
      </c>
      <c r="T8286" t="s">
        <v>46662</v>
      </c>
      <c r="U8286" t="s">
        <v>53835</v>
      </c>
      <c r="W8286" t="s">
        <v>43053</v>
      </c>
      <c r="X8286" t="s">
        <v>44769</v>
      </c>
    </row>
    <row r="8287" spans="1:24">
      <c r="A8287">
        <f>HYPERLINK("https://www.philgeps.gov.ph/GEPSNONPILOT/Tender/SplashBidNoticeAbstractUI.aspx?menuIndex=3&amp;refID=7139412&amp;Result=3","7139412")</f>
        <v>0</v>
      </c>
      <c r="B8287" t="s">
        <v>2722</v>
      </c>
      <c r="C8287" t="s">
        <v>11603</v>
      </c>
      <c r="D8287" t="s">
        <v>17978</v>
      </c>
      <c r="E8287" t="s">
        <v>25287</v>
      </c>
      <c r="F8287" t="s">
        <v>30900</v>
      </c>
      <c r="G8287" t="s">
        <v>30907</v>
      </c>
      <c r="H8287" t="s">
        <v>30915</v>
      </c>
      <c r="I8287" t="s">
        <v>30919</v>
      </c>
      <c r="J8287" t="s">
        <v>31211</v>
      </c>
      <c r="K8287" t="s">
        <v>40280</v>
      </c>
      <c r="L8287" t="s">
        <v>2722</v>
      </c>
      <c r="M8287" t="s">
        <v>43497</v>
      </c>
      <c r="N8287" t="s">
        <v>44759</v>
      </c>
      <c r="O8287" t="s">
        <v>44760</v>
      </c>
      <c r="P8287">
        <v>0</v>
      </c>
      <c r="Q8287">
        <v>0</v>
      </c>
      <c r="R8287" t="s">
        <v>44768</v>
      </c>
      <c r="S8287" t="s">
        <v>44982</v>
      </c>
      <c r="T8287" t="s">
        <v>46455</v>
      </c>
      <c r="U8287" t="s">
        <v>53830</v>
      </c>
      <c r="W8287" t="s">
        <v>43497</v>
      </c>
      <c r="X8287" t="s">
        <v>44769</v>
      </c>
    </row>
    <row r="8288" spans="1:24">
      <c r="A8288">
        <f>HYPERLINK("https://www.philgeps.gov.ph/GEPSNONPILOT/Tender/SplashBidNoticeAbstractUI.aspx?menuIndex=3&amp;refID=7139406&amp;Result=3","7139406")</f>
        <v>0</v>
      </c>
      <c r="B8288" t="s">
        <v>1635</v>
      </c>
      <c r="C8288" t="s">
        <v>11604</v>
      </c>
      <c r="D8288" t="s">
        <v>17959</v>
      </c>
      <c r="E8288" t="s">
        <v>25288</v>
      </c>
      <c r="F8288" t="s">
        <v>30900</v>
      </c>
      <c r="G8288" t="s">
        <v>30907</v>
      </c>
      <c r="H8288" t="s">
        <v>30916</v>
      </c>
      <c r="I8288" t="s">
        <v>30970</v>
      </c>
      <c r="J8288" t="s">
        <v>36276</v>
      </c>
      <c r="K8288" t="s">
        <v>40457</v>
      </c>
      <c r="M8288" t="s">
        <v>42584</v>
      </c>
      <c r="N8288" t="s">
        <v>44759</v>
      </c>
      <c r="O8288" t="s">
        <v>44760</v>
      </c>
      <c r="Q8288">
        <v>5</v>
      </c>
      <c r="R8288" t="s">
        <v>44768</v>
      </c>
      <c r="S8288" t="s">
        <v>45001</v>
      </c>
      <c r="T8288" t="s">
        <v>46504</v>
      </c>
      <c r="U8288" t="s">
        <v>53836</v>
      </c>
      <c r="W8288" t="s">
        <v>42584</v>
      </c>
      <c r="X8288" t="s">
        <v>44769</v>
      </c>
    </row>
    <row r="8289" spans="1:24">
      <c r="A8289">
        <f>HYPERLINK("https://www.philgeps.gov.ph/GEPSNONPILOT/Tender/SplashBidNoticeAbstractUI.aspx?menuIndex=3&amp;refID=7139411&amp;Result=3","7139411")</f>
        <v>0</v>
      </c>
      <c r="B8289" t="s">
        <v>842</v>
      </c>
      <c r="C8289" t="s">
        <v>11605</v>
      </c>
      <c r="D8289" t="s">
        <v>17957</v>
      </c>
      <c r="E8289" t="s">
        <v>24463</v>
      </c>
      <c r="F8289" t="s">
        <v>30900</v>
      </c>
      <c r="G8289" t="s">
        <v>30907</v>
      </c>
      <c r="H8289" t="s">
        <v>30915</v>
      </c>
      <c r="I8289" t="s">
        <v>30919</v>
      </c>
      <c r="J8289" t="s">
        <v>31152</v>
      </c>
      <c r="K8289" t="s">
        <v>40308</v>
      </c>
      <c r="M8289" t="s">
        <v>41415</v>
      </c>
      <c r="N8289" t="s">
        <v>44759</v>
      </c>
      <c r="O8289" t="s">
        <v>44760</v>
      </c>
      <c r="P8289">
        <v>0</v>
      </c>
      <c r="Q8289">
        <v>0</v>
      </c>
      <c r="R8289" t="s">
        <v>44768</v>
      </c>
      <c r="S8289" t="s">
        <v>44982</v>
      </c>
      <c r="T8289" t="s">
        <v>46387</v>
      </c>
      <c r="U8289" t="s">
        <v>53837</v>
      </c>
      <c r="W8289" t="s">
        <v>41415</v>
      </c>
      <c r="X8289" t="s">
        <v>44769</v>
      </c>
    </row>
    <row r="8290" spans="1:24">
      <c r="A8290">
        <f>HYPERLINK("https://www.philgeps.gov.ph/GEPSNONPILOT/Tender/SplashBidNoticeAbstractUI.aspx?menuIndex=3&amp;refID=7139396&amp;Result=3","7139396")</f>
        <v>0</v>
      </c>
      <c r="B8290" t="s">
        <v>46</v>
      </c>
      <c r="C8290" t="s">
        <v>11606</v>
      </c>
      <c r="D8290" t="s">
        <v>17953</v>
      </c>
      <c r="E8290" t="s">
        <v>25289</v>
      </c>
      <c r="F8290" t="s">
        <v>30900</v>
      </c>
      <c r="G8290" t="s">
        <v>30907</v>
      </c>
      <c r="H8290" t="s">
        <v>30915</v>
      </c>
      <c r="I8290" t="s">
        <v>30919</v>
      </c>
      <c r="J8290" t="s">
        <v>31241</v>
      </c>
      <c r="K8290" t="s">
        <v>40304</v>
      </c>
      <c r="M8290" t="s">
        <v>40592</v>
      </c>
      <c r="N8290" t="s">
        <v>44759</v>
      </c>
      <c r="O8290" t="s">
        <v>44760</v>
      </c>
      <c r="P8290">
        <v>0</v>
      </c>
      <c r="Q8290">
        <v>3</v>
      </c>
      <c r="R8290" t="s">
        <v>44768</v>
      </c>
      <c r="S8290" t="s">
        <v>44982</v>
      </c>
      <c r="T8290" t="s">
        <v>46544</v>
      </c>
      <c r="U8290" t="s">
        <v>53838</v>
      </c>
      <c r="W8290" t="s">
        <v>60901</v>
      </c>
      <c r="X8290" t="s">
        <v>44769</v>
      </c>
    </row>
    <row r="8291" spans="1:24">
      <c r="A8291">
        <f>HYPERLINK("https://www.philgeps.gov.ph/GEPSNONPILOT/Tender/SplashBidNoticeAbstractUI.aspx?menuIndex=3&amp;refID=7139338&amp;Result=3","7139338")</f>
        <v>0</v>
      </c>
      <c r="B8291" t="s">
        <v>2725</v>
      </c>
      <c r="C8291" t="s">
        <v>11607</v>
      </c>
      <c r="D8291" t="s">
        <v>18007</v>
      </c>
      <c r="E8291" t="s">
        <v>25290</v>
      </c>
      <c r="F8291" t="s">
        <v>30900</v>
      </c>
      <c r="G8291" t="s">
        <v>30907</v>
      </c>
      <c r="H8291" t="s">
        <v>30915</v>
      </c>
      <c r="I8291" t="s">
        <v>30919</v>
      </c>
      <c r="J8291" t="s">
        <v>31391</v>
      </c>
      <c r="K8291" t="s">
        <v>40367</v>
      </c>
      <c r="M8291" t="s">
        <v>43500</v>
      </c>
      <c r="N8291" t="s">
        <v>44759</v>
      </c>
      <c r="O8291" t="s">
        <v>44760</v>
      </c>
      <c r="P8291">
        <v>0</v>
      </c>
      <c r="Q8291">
        <v>4</v>
      </c>
      <c r="R8291" t="s">
        <v>44768</v>
      </c>
      <c r="S8291" t="s">
        <v>44982</v>
      </c>
      <c r="T8291" t="s">
        <v>46553</v>
      </c>
      <c r="U8291" t="s">
        <v>53839</v>
      </c>
      <c r="W8291" t="s">
        <v>43500</v>
      </c>
      <c r="X8291" t="s">
        <v>44769</v>
      </c>
    </row>
    <row r="8292" spans="1:24">
      <c r="A8292">
        <f>HYPERLINK("https://www.philgeps.gov.ph/GEPSNONPILOT/Tender/SplashBidNoticeAbstractUI.aspx?menuIndex=3&amp;refID=7139407&amp;Result=3","7139407")</f>
        <v>0</v>
      </c>
      <c r="B8292" t="s">
        <v>45</v>
      </c>
      <c r="C8292" t="s">
        <v>11608</v>
      </c>
      <c r="E8292" t="s">
        <v>25291</v>
      </c>
      <c r="F8292" t="s">
        <v>30900</v>
      </c>
      <c r="G8292" t="s">
        <v>30908</v>
      </c>
      <c r="H8292" t="s">
        <v>30916</v>
      </c>
      <c r="I8292" t="s">
        <v>6746</v>
      </c>
      <c r="J8292" t="s">
        <v>36277</v>
      </c>
      <c r="K8292" t="s">
        <v>40291</v>
      </c>
      <c r="M8292" t="s">
        <v>40610</v>
      </c>
      <c r="N8292" t="s">
        <v>44759</v>
      </c>
      <c r="O8292" t="s">
        <v>44760</v>
      </c>
      <c r="P8292">
        <v>0</v>
      </c>
      <c r="Q8292">
        <v>0</v>
      </c>
      <c r="R8292" t="s">
        <v>44768</v>
      </c>
      <c r="S8292" t="s">
        <v>44982</v>
      </c>
      <c r="T8292" t="s">
        <v>46658</v>
      </c>
      <c r="U8292" t="s">
        <v>47009</v>
      </c>
      <c r="W8292" t="s">
        <v>40610</v>
      </c>
      <c r="X8292" t="s">
        <v>44769</v>
      </c>
    </row>
    <row r="8293" spans="1:24">
      <c r="A8293">
        <f>HYPERLINK("https://www.philgeps.gov.ph/GEPSNONPILOT/Tender/SplashBidNoticeAbstractUI.aspx?menuIndex=3&amp;refID=7139381&amp;Result=3","7139381")</f>
        <v>0</v>
      </c>
      <c r="B8293" t="s">
        <v>2726</v>
      </c>
      <c r="C8293" t="s">
        <v>11609</v>
      </c>
      <c r="D8293" t="s">
        <v>17951</v>
      </c>
      <c r="E8293" t="s">
        <v>25292</v>
      </c>
      <c r="F8293" t="s">
        <v>30900</v>
      </c>
      <c r="G8293" t="s">
        <v>30907</v>
      </c>
      <c r="H8293" t="s">
        <v>30916</v>
      </c>
      <c r="I8293" t="s">
        <v>8123</v>
      </c>
      <c r="J8293" t="s">
        <v>36278</v>
      </c>
      <c r="K8293" t="s">
        <v>40286</v>
      </c>
      <c r="M8293" t="s">
        <v>43501</v>
      </c>
      <c r="N8293" t="s">
        <v>44759</v>
      </c>
      <c r="O8293" t="s">
        <v>44760</v>
      </c>
      <c r="P8293">
        <v>0</v>
      </c>
      <c r="Q8293">
        <v>0</v>
      </c>
      <c r="R8293" t="s">
        <v>44768</v>
      </c>
      <c r="S8293" t="s">
        <v>44982</v>
      </c>
      <c r="T8293" t="s">
        <v>46383</v>
      </c>
      <c r="U8293" t="s">
        <v>53840</v>
      </c>
      <c r="W8293" t="s">
        <v>43501</v>
      </c>
      <c r="X8293" t="s">
        <v>44769</v>
      </c>
    </row>
    <row r="8294" spans="1:24">
      <c r="A8294">
        <f>HYPERLINK("https://www.philgeps.gov.ph/GEPSNONPILOT/Tender/SplashBidNoticeAbstractUI.aspx?menuIndex=3&amp;refID=7139386&amp;Result=3","7139386")</f>
        <v>0</v>
      </c>
      <c r="B8294" t="s">
        <v>2698</v>
      </c>
      <c r="C8294" t="s">
        <v>11610</v>
      </c>
      <c r="D8294" t="s">
        <v>17957</v>
      </c>
      <c r="E8294" t="s">
        <v>20050</v>
      </c>
      <c r="F8294" t="s">
        <v>30900</v>
      </c>
      <c r="G8294" t="s">
        <v>30907</v>
      </c>
      <c r="H8294" t="s">
        <v>30915</v>
      </c>
      <c r="I8294" t="s">
        <v>30919</v>
      </c>
      <c r="J8294" t="s">
        <v>36279</v>
      </c>
      <c r="K8294" t="s">
        <v>40354</v>
      </c>
      <c r="M8294" t="s">
        <v>43471</v>
      </c>
      <c r="N8294" t="s">
        <v>44759</v>
      </c>
      <c r="O8294" t="s">
        <v>44760</v>
      </c>
      <c r="P8294">
        <v>0</v>
      </c>
      <c r="Q8294">
        <v>0</v>
      </c>
      <c r="R8294" t="s">
        <v>44768</v>
      </c>
      <c r="S8294" t="s">
        <v>44982</v>
      </c>
      <c r="T8294" t="s">
        <v>46515</v>
      </c>
      <c r="U8294" t="s">
        <v>53841</v>
      </c>
      <c r="V8294" t="s">
        <v>59200</v>
      </c>
      <c r="W8294" t="s">
        <v>43471</v>
      </c>
      <c r="X8294" t="s">
        <v>44769</v>
      </c>
    </row>
    <row r="8295" spans="1:24">
      <c r="A8295">
        <f>HYPERLINK("https://www.philgeps.gov.ph/GEPSNONPILOT/Tender/SplashBidNoticeAbstractUI.aspx?menuIndex=3&amp;refID=7139420&amp;Result=3","7139420")</f>
        <v>0</v>
      </c>
      <c r="B8295" t="s">
        <v>2679</v>
      </c>
      <c r="C8295" t="s">
        <v>11201</v>
      </c>
      <c r="D8295" t="s">
        <v>17971</v>
      </c>
      <c r="E8295" t="s">
        <v>25293</v>
      </c>
      <c r="F8295" t="s">
        <v>30900</v>
      </c>
      <c r="G8295" t="s">
        <v>30907</v>
      </c>
      <c r="H8295" t="s">
        <v>30916</v>
      </c>
      <c r="I8295" t="s">
        <v>4142</v>
      </c>
      <c r="J8295" t="s">
        <v>36280</v>
      </c>
      <c r="K8295" t="s">
        <v>40283</v>
      </c>
      <c r="M8295" t="s">
        <v>43450</v>
      </c>
      <c r="N8295" t="s">
        <v>44759</v>
      </c>
      <c r="O8295" t="s">
        <v>44760</v>
      </c>
      <c r="P8295">
        <v>0</v>
      </c>
      <c r="Q8295">
        <v>0</v>
      </c>
      <c r="R8295" t="s">
        <v>44768</v>
      </c>
      <c r="S8295" t="s">
        <v>44982</v>
      </c>
      <c r="T8295" t="s">
        <v>46399</v>
      </c>
      <c r="U8295" t="s">
        <v>53842</v>
      </c>
      <c r="W8295" t="s">
        <v>43450</v>
      </c>
      <c r="X8295" t="s">
        <v>44769</v>
      </c>
    </row>
    <row r="8296" spans="1:24">
      <c r="A8296">
        <f>HYPERLINK("https://www.philgeps.gov.ph/GEPSNONPILOT/Tender/SplashBidNoticeAbstractUI.aspx?menuIndex=3&amp;refID=7139384&amp;Result=3","7139384")</f>
        <v>0</v>
      </c>
      <c r="B8296" t="s">
        <v>2722</v>
      </c>
      <c r="C8296" t="s">
        <v>11611</v>
      </c>
      <c r="D8296" t="s">
        <v>17978</v>
      </c>
      <c r="E8296" t="s">
        <v>25294</v>
      </c>
      <c r="F8296" t="s">
        <v>30900</v>
      </c>
      <c r="G8296" t="s">
        <v>30907</v>
      </c>
      <c r="H8296" t="s">
        <v>30915</v>
      </c>
      <c r="I8296" t="s">
        <v>30919</v>
      </c>
      <c r="J8296" t="s">
        <v>31096</v>
      </c>
      <c r="K8296" t="s">
        <v>40293</v>
      </c>
      <c r="L8296" t="s">
        <v>2722</v>
      </c>
      <c r="M8296" t="s">
        <v>43497</v>
      </c>
      <c r="N8296" t="s">
        <v>44759</v>
      </c>
      <c r="O8296" t="s">
        <v>44760</v>
      </c>
      <c r="P8296">
        <v>0</v>
      </c>
      <c r="Q8296">
        <v>0</v>
      </c>
      <c r="R8296" t="s">
        <v>44768</v>
      </c>
      <c r="S8296" t="s">
        <v>44982</v>
      </c>
      <c r="T8296" t="s">
        <v>46449</v>
      </c>
      <c r="U8296" t="s">
        <v>53830</v>
      </c>
      <c r="W8296" t="s">
        <v>43497</v>
      </c>
      <c r="X8296" t="s">
        <v>44769</v>
      </c>
    </row>
    <row r="8297" spans="1:24">
      <c r="A8297">
        <f>HYPERLINK("https://www.philgeps.gov.ph/GEPSNONPILOT/Tender/SplashBidNoticeAbstractUI.aspx?menuIndex=3&amp;refID=7139371&amp;Result=3","7139371")</f>
        <v>0</v>
      </c>
      <c r="B8297" t="s">
        <v>2727</v>
      </c>
      <c r="C8297" t="s">
        <v>11612</v>
      </c>
      <c r="D8297" t="s">
        <v>17952</v>
      </c>
      <c r="E8297" t="s">
        <v>25295</v>
      </c>
      <c r="F8297" t="s">
        <v>30900</v>
      </c>
      <c r="G8297" t="s">
        <v>30908</v>
      </c>
      <c r="H8297" t="s">
        <v>30916</v>
      </c>
      <c r="I8297" t="s">
        <v>6953</v>
      </c>
      <c r="J8297" t="s">
        <v>36281</v>
      </c>
      <c r="K8297" t="s">
        <v>40287</v>
      </c>
      <c r="M8297" t="s">
        <v>43502</v>
      </c>
      <c r="N8297" t="s">
        <v>44759</v>
      </c>
      <c r="O8297" t="s">
        <v>44760</v>
      </c>
      <c r="P8297">
        <v>0</v>
      </c>
      <c r="Q8297">
        <v>1</v>
      </c>
      <c r="R8297" t="s">
        <v>44768</v>
      </c>
      <c r="S8297" t="s">
        <v>44982</v>
      </c>
      <c r="T8297" t="s">
        <v>46662</v>
      </c>
      <c r="U8297" t="s">
        <v>53843</v>
      </c>
      <c r="W8297" t="s">
        <v>43502</v>
      </c>
      <c r="X8297" t="s">
        <v>44769</v>
      </c>
    </row>
    <row r="8298" spans="1:24">
      <c r="A8298">
        <f>HYPERLINK("https://www.philgeps.gov.ph/GEPSNONPILOT/Tender/SplashBidNoticeAbstractUI.aspx?menuIndex=3&amp;refID=7139387&amp;Result=3","7139387")</f>
        <v>0</v>
      </c>
      <c r="B8298" t="s">
        <v>2699</v>
      </c>
      <c r="C8298" t="s">
        <v>4532</v>
      </c>
      <c r="D8298" t="s">
        <v>18001</v>
      </c>
      <c r="E8298" t="s">
        <v>19690</v>
      </c>
      <c r="F8298" t="s">
        <v>30900</v>
      </c>
      <c r="G8298" t="s">
        <v>30909</v>
      </c>
      <c r="H8298" t="s">
        <v>30916</v>
      </c>
      <c r="I8298" t="s">
        <v>4142</v>
      </c>
      <c r="J8298" t="s">
        <v>36282</v>
      </c>
      <c r="K8298" t="s">
        <v>40289</v>
      </c>
      <c r="M8298" t="s">
        <v>43472</v>
      </c>
      <c r="N8298" t="s">
        <v>44759</v>
      </c>
      <c r="O8298" t="s">
        <v>44760</v>
      </c>
      <c r="P8298">
        <v>0</v>
      </c>
      <c r="Q8298">
        <v>4</v>
      </c>
      <c r="R8298" t="s">
        <v>44768</v>
      </c>
      <c r="S8298" t="s">
        <v>44982</v>
      </c>
      <c r="T8298" t="s">
        <v>46662</v>
      </c>
      <c r="U8298" t="s">
        <v>53844</v>
      </c>
      <c r="W8298" t="s">
        <v>43472</v>
      </c>
      <c r="X8298" t="s">
        <v>44769</v>
      </c>
    </row>
    <row r="8299" spans="1:24">
      <c r="A8299">
        <f>HYPERLINK("https://www.philgeps.gov.ph/GEPSNONPILOT/Tender/SplashBidNoticeAbstractUI.aspx?menuIndex=3&amp;refID=7139376&amp;Result=3","7139376")</f>
        <v>0</v>
      </c>
      <c r="B8299" t="s">
        <v>2380</v>
      </c>
      <c r="C8299" t="s">
        <v>11613</v>
      </c>
      <c r="D8299" t="s">
        <v>17951</v>
      </c>
      <c r="E8299" t="s">
        <v>25296</v>
      </c>
      <c r="F8299" t="s">
        <v>30900</v>
      </c>
      <c r="G8299" t="s">
        <v>30908</v>
      </c>
      <c r="H8299" t="s">
        <v>7411</v>
      </c>
      <c r="I8299" t="s">
        <v>30973</v>
      </c>
      <c r="J8299" t="s">
        <v>31341</v>
      </c>
      <c r="K8299" t="s">
        <v>40286</v>
      </c>
      <c r="M8299" t="s">
        <v>43106</v>
      </c>
      <c r="N8299" t="s">
        <v>44759</v>
      </c>
      <c r="O8299" t="s">
        <v>44760</v>
      </c>
      <c r="P8299">
        <v>0</v>
      </c>
      <c r="Q8299">
        <v>2</v>
      </c>
      <c r="R8299" t="s">
        <v>44768</v>
      </c>
      <c r="S8299" t="s">
        <v>44982</v>
      </c>
      <c r="T8299" t="s">
        <v>46625</v>
      </c>
      <c r="U8299" t="s">
        <v>53845</v>
      </c>
      <c r="W8299" t="s">
        <v>43106</v>
      </c>
      <c r="X8299" t="s">
        <v>44769</v>
      </c>
    </row>
    <row r="8300" spans="1:24">
      <c r="A8300">
        <f>HYPERLINK("https://www.philgeps.gov.ph/GEPSNONPILOT/Tender/SplashBidNoticeAbstractUI.aspx?menuIndex=3&amp;refID=7139375&amp;Result=3","7139375")</f>
        <v>0</v>
      </c>
      <c r="B8300" t="s">
        <v>1413</v>
      </c>
      <c r="C8300" t="s">
        <v>11614</v>
      </c>
      <c r="D8300" t="s">
        <v>17959</v>
      </c>
      <c r="E8300" t="s">
        <v>25297</v>
      </c>
      <c r="F8300" t="s">
        <v>30900</v>
      </c>
      <c r="G8300" t="s">
        <v>30908</v>
      </c>
      <c r="H8300" t="s">
        <v>30916</v>
      </c>
      <c r="I8300" t="s">
        <v>30934</v>
      </c>
      <c r="J8300" t="s">
        <v>31092</v>
      </c>
      <c r="K8300" t="s">
        <v>40287</v>
      </c>
      <c r="M8300" t="s">
        <v>42042</v>
      </c>
      <c r="N8300" t="s">
        <v>44759</v>
      </c>
      <c r="O8300" t="s">
        <v>44760</v>
      </c>
      <c r="P8300">
        <v>0</v>
      </c>
      <c r="Q8300">
        <v>2</v>
      </c>
      <c r="R8300" t="s">
        <v>44768</v>
      </c>
      <c r="S8300" t="s">
        <v>44982</v>
      </c>
      <c r="T8300" t="s">
        <v>46398</v>
      </c>
      <c r="U8300" t="s">
        <v>53846</v>
      </c>
      <c r="V8300" t="s">
        <v>60004</v>
      </c>
      <c r="W8300" t="s">
        <v>42042</v>
      </c>
      <c r="X8300" t="s">
        <v>44769</v>
      </c>
    </row>
    <row r="8301" spans="1:24">
      <c r="A8301">
        <f>HYPERLINK("https://www.philgeps.gov.ph/GEPSNONPILOT/Tender/SplashBidNoticeAbstractUI.aspx?menuIndex=3&amp;refID=7139408&amp;Result=3","7139408")</f>
        <v>0</v>
      </c>
      <c r="B8301" t="s">
        <v>2727</v>
      </c>
      <c r="C8301" t="s">
        <v>11615</v>
      </c>
      <c r="D8301" t="s">
        <v>17952</v>
      </c>
      <c r="E8301" t="s">
        <v>25298</v>
      </c>
      <c r="F8301" t="s">
        <v>30900</v>
      </c>
      <c r="G8301" t="s">
        <v>30908</v>
      </c>
      <c r="H8301" t="s">
        <v>30917</v>
      </c>
      <c r="I8301" t="s">
        <v>6746</v>
      </c>
      <c r="J8301" t="s">
        <v>36283</v>
      </c>
      <c r="K8301" t="s">
        <v>40287</v>
      </c>
      <c r="M8301" t="s">
        <v>43502</v>
      </c>
      <c r="N8301" t="s">
        <v>44759</v>
      </c>
      <c r="O8301" t="s">
        <v>44760</v>
      </c>
      <c r="P8301">
        <v>0</v>
      </c>
      <c r="Q8301">
        <v>1</v>
      </c>
      <c r="R8301" t="s">
        <v>44768</v>
      </c>
      <c r="S8301" t="s">
        <v>44982</v>
      </c>
      <c r="T8301" t="s">
        <v>46662</v>
      </c>
      <c r="U8301" t="s">
        <v>53843</v>
      </c>
      <c r="W8301" t="s">
        <v>43502</v>
      </c>
      <c r="X8301" t="s">
        <v>44769</v>
      </c>
    </row>
    <row r="8302" spans="1:24">
      <c r="A8302">
        <f>HYPERLINK("https://www.philgeps.gov.ph/GEPSNONPILOT/Tender/SplashBidNoticeAbstractUI.aspx?menuIndex=3&amp;refID=7139378&amp;Result=3","7139378")</f>
        <v>0</v>
      </c>
      <c r="B8302" t="s">
        <v>587</v>
      </c>
      <c r="C8302" t="s">
        <v>11616</v>
      </c>
      <c r="D8302" t="s">
        <v>17967</v>
      </c>
      <c r="E8302" t="s">
        <v>25299</v>
      </c>
      <c r="F8302" t="s">
        <v>30900</v>
      </c>
      <c r="G8302" t="s">
        <v>30907</v>
      </c>
      <c r="H8302" t="s">
        <v>30916</v>
      </c>
      <c r="I8302" t="s">
        <v>30933</v>
      </c>
      <c r="J8302" t="s">
        <v>32324</v>
      </c>
      <c r="K8302" t="s">
        <v>40284</v>
      </c>
      <c r="M8302" t="s">
        <v>41149</v>
      </c>
      <c r="N8302" t="s">
        <v>44759</v>
      </c>
      <c r="O8302" t="s">
        <v>44760</v>
      </c>
      <c r="P8302">
        <v>0</v>
      </c>
      <c r="Q8302">
        <v>3</v>
      </c>
      <c r="R8302" t="s">
        <v>44768</v>
      </c>
      <c r="S8302" t="s">
        <v>44982</v>
      </c>
      <c r="T8302" t="s">
        <v>46412</v>
      </c>
      <c r="U8302" t="s">
        <v>53847</v>
      </c>
      <c r="W8302" t="s">
        <v>41149</v>
      </c>
      <c r="X8302" t="s">
        <v>44769</v>
      </c>
    </row>
    <row r="8303" spans="1:24">
      <c r="A8303">
        <f>HYPERLINK("https://www.philgeps.gov.ph/GEPSNONPILOT/Tender/SplashBidNoticeAbstractUI.aspx?menuIndex=3&amp;refID=7139436&amp;Result=3","7139436")</f>
        <v>0</v>
      </c>
      <c r="B8303" t="s">
        <v>46</v>
      </c>
      <c r="C8303" t="s">
        <v>11617</v>
      </c>
      <c r="D8303" t="s">
        <v>17953</v>
      </c>
      <c r="E8303" t="s">
        <v>25300</v>
      </c>
      <c r="F8303" t="s">
        <v>30900</v>
      </c>
      <c r="G8303" t="s">
        <v>30907</v>
      </c>
      <c r="H8303" t="s">
        <v>30916</v>
      </c>
      <c r="I8303" t="s">
        <v>30919</v>
      </c>
      <c r="J8303" t="s">
        <v>36284</v>
      </c>
      <c r="K8303" t="s">
        <v>40291</v>
      </c>
      <c r="M8303" t="s">
        <v>40592</v>
      </c>
      <c r="N8303" t="s">
        <v>44759</v>
      </c>
      <c r="O8303" t="s">
        <v>44760</v>
      </c>
      <c r="P8303">
        <v>0</v>
      </c>
      <c r="Q8303">
        <v>0</v>
      </c>
      <c r="R8303" t="s">
        <v>44768</v>
      </c>
      <c r="S8303" t="s">
        <v>44982</v>
      </c>
      <c r="T8303" t="s">
        <v>46641</v>
      </c>
      <c r="U8303" t="s">
        <v>46984</v>
      </c>
      <c r="W8303" t="s">
        <v>60814</v>
      </c>
      <c r="X8303" t="s">
        <v>44769</v>
      </c>
    </row>
    <row r="8304" spans="1:24">
      <c r="A8304">
        <f>HYPERLINK("https://www.philgeps.gov.ph/GEPSNONPILOT/Tender/SplashBidNoticeAbstractUI.aspx?menuIndex=3&amp;refID=7139492&amp;Result=3","7139492")</f>
        <v>0</v>
      </c>
      <c r="B8304" t="s">
        <v>46</v>
      </c>
      <c r="C8304" t="s">
        <v>11618</v>
      </c>
      <c r="D8304" t="s">
        <v>17953</v>
      </c>
      <c r="E8304" t="s">
        <v>25301</v>
      </c>
      <c r="F8304" t="s">
        <v>30900</v>
      </c>
      <c r="G8304" t="s">
        <v>30907</v>
      </c>
      <c r="H8304" t="s">
        <v>30916</v>
      </c>
      <c r="I8304" t="s">
        <v>30924</v>
      </c>
      <c r="J8304" t="s">
        <v>32712</v>
      </c>
      <c r="K8304" t="s">
        <v>40291</v>
      </c>
      <c r="M8304" t="s">
        <v>40592</v>
      </c>
      <c r="N8304" t="s">
        <v>44759</v>
      </c>
      <c r="O8304" t="s">
        <v>44760</v>
      </c>
      <c r="P8304">
        <v>0</v>
      </c>
      <c r="Q8304">
        <v>4</v>
      </c>
      <c r="R8304" t="s">
        <v>44768</v>
      </c>
      <c r="S8304" t="s">
        <v>44982</v>
      </c>
      <c r="T8304" t="s">
        <v>46641</v>
      </c>
      <c r="U8304" t="s">
        <v>46984</v>
      </c>
      <c r="W8304" t="s">
        <v>60814</v>
      </c>
      <c r="X8304" t="s">
        <v>44769</v>
      </c>
    </row>
    <row r="8305" spans="1:24">
      <c r="A8305">
        <f>HYPERLINK("https://www.philgeps.gov.ph/GEPSNONPILOT/Tender/SplashBidNoticeAbstractUI.aspx?menuIndex=3&amp;refID=7139483&amp;Result=3","7139483")</f>
        <v>0</v>
      </c>
      <c r="B8305" t="s">
        <v>842</v>
      </c>
      <c r="C8305" t="s">
        <v>11619</v>
      </c>
      <c r="D8305" t="s">
        <v>17957</v>
      </c>
      <c r="E8305" t="s">
        <v>19111</v>
      </c>
      <c r="F8305" t="s">
        <v>30900</v>
      </c>
      <c r="G8305" t="s">
        <v>30907</v>
      </c>
      <c r="H8305" t="s">
        <v>30915</v>
      </c>
      <c r="I8305" t="s">
        <v>30919</v>
      </c>
      <c r="J8305" t="s">
        <v>35135</v>
      </c>
      <c r="K8305" t="s">
        <v>40292</v>
      </c>
      <c r="M8305" t="s">
        <v>41415</v>
      </c>
      <c r="N8305" t="s">
        <v>44759</v>
      </c>
      <c r="O8305" t="s">
        <v>44760</v>
      </c>
      <c r="P8305">
        <v>0</v>
      </c>
      <c r="Q8305">
        <v>0</v>
      </c>
      <c r="R8305" t="s">
        <v>44768</v>
      </c>
      <c r="S8305" t="s">
        <v>44982</v>
      </c>
      <c r="T8305" t="s">
        <v>46425</v>
      </c>
      <c r="U8305" t="s">
        <v>53848</v>
      </c>
      <c r="W8305" t="s">
        <v>41415</v>
      </c>
      <c r="X8305" t="s">
        <v>44769</v>
      </c>
    </row>
    <row r="8306" spans="1:24">
      <c r="A8306">
        <f>HYPERLINK("https://www.philgeps.gov.ph/GEPSNONPILOT/Tender/SplashBidNoticeAbstractUI.aspx?menuIndex=3&amp;refID=7139477&amp;Result=3","7139477")</f>
        <v>0</v>
      </c>
      <c r="B8306" t="s">
        <v>1890</v>
      </c>
      <c r="C8306" t="s">
        <v>11620</v>
      </c>
      <c r="D8306" t="s">
        <v>17970</v>
      </c>
      <c r="E8306" t="s">
        <v>25302</v>
      </c>
      <c r="F8306" t="s">
        <v>30900</v>
      </c>
      <c r="G8306" t="s">
        <v>30906</v>
      </c>
      <c r="H8306" t="s">
        <v>30915</v>
      </c>
      <c r="I8306" t="s">
        <v>30919</v>
      </c>
      <c r="J8306" t="s">
        <v>36285</v>
      </c>
      <c r="K8306" t="s">
        <v>40335</v>
      </c>
      <c r="M8306" t="s">
        <v>42565</v>
      </c>
      <c r="N8306" t="s">
        <v>44759</v>
      </c>
      <c r="O8306" t="s">
        <v>44760</v>
      </c>
      <c r="P8306">
        <v>0</v>
      </c>
      <c r="Q8306">
        <v>0</v>
      </c>
      <c r="R8306" t="s">
        <v>44768</v>
      </c>
      <c r="S8306" t="s">
        <v>44982</v>
      </c>
      <c r="T8306" t="s">
        <v>46606</v>
      </c>
      <c r="U8306" t="s">
        <v>53849</v>
      </c>
      <c r="W8306" t="s">
        <v>42565</v>
      </c>
      <c r="X8306" t="s">
        <v>44769</v>
      </c>
    </row>
    <row r="8307" spans="1:24">
      <c r="A8307">
        <f>HYPERLINK("https://www.philgeps.gov.ph/GEPSNONPILOT/Tender/SplashBidNoticeAbstractUI.aspx?menuIndex=3&amp;refID=7139464&amp;Result=3","7139464")</f>
        <v>0</v>
      </c>
      <c r="B8307" t="s">
        <v>2728</v>
      </c>
      <c r="C8307" t="s">
        <v>11621</v>
      </c>
      <c r="D8307" t="s">
        <v>17990</v>
      </c>
      <c r="E8307" t="s">
        <v>19690</v>
      </c>
      <c r="F8307" t="s">
        <v>30900</v>
      </c>
      <c r="G8307" t="s">
        <v>30908</v>
      </c>
      <c r="H8307" t="s">
        <v>30917</v>
      </c>
      <c r="I8307" t="s">
        <v>8123</v>
      </c>
      <c r="J8307" t="s">
        <v>31211</v>
      </c>
      <c r="K8307" t="s">
        <v>40283</v>
      </c>
      <c r="M8307" t="s">
        <v>43503</v>
      </c>
      <c r="N8307" t="s">
        <v>44759</v>
      </c>
      <c r="O8307" t="s">
        <v>44760</v>
      </c>
      <c r="P8307">
        <v>0</v>
      </c>
      <c r="Q8307">
        <v>0</v>
      </c>
      <c r="R8307" t="s">
        <v>44768</v>
      </c>
      <c r="S8307" t="s">
        <v>44982</v>
      </c>
      <c r="T8307" t="s">
        <v>46625</v>
      </c>
      <c r="U8307" t="s">
        <v>53850</v>
      </c>
      <c r="W8307" t="s">
        <v>43503</v>
      </c>
      <c r="X8307" t="s">
        <v>44769</v>
      </c>
    </row>
    <row r="8308" spans="1:24">
      <c r="A8308">
        <f>HYPERLINK("https://www.philgeps.gov.ph/GEPSNONPILOT/Tender/SplashBidNoticeAbstractUI.aspx?menuIndex=3&amp;refID=7139462&amp;Result=3","7139462")</f>
        <v>0</v>
      </c>
      <c r="B8308" t="s">
        <v>61</v>
      </c>
      <c r="C8308" t="s">
        <v>11622</v>
      </c>
      <c r="D8308" t="s">
        <v>17974</v>
      </c>
      <c r="E8308" t="s">
        <v>25303</v>
      </c>
      <c r="F8308" t="s">
        <v>30900</v>
      </c>
      <c r="G8308" t="s">
        <v>30907</v>
      </c>
      <c r="H8308" t="s">
        <v>30915</v>
      </c>
      <c r="I8308" t="s">
        <v>30919</v>
      </c>
      <c r="J8308" t="s">
        <v>36286</v>
      </c>
      <c r="K8308" t="s">
        <v>40380</v>
      </c>
      <c r="M8308" t="s">
        <v>40607</v>
      </c>
      <c r="N8308" t="s">
        <v>44759</v>
      </c>
      <c r="O8308" t="s">
        <v>44760</v>
      </c>
      <c r="P8308">
        <v>0</v>
      </c>
      <c r="Q8308">
        <v>2</v>
      </c>
      <c r="R8308" t="s">
        <v>44768</v>
      </c>
      <c r="S8308" t="s">
        <v>44982</v>
      </c>
      <c r="T8308" t="s">
        <v>46495</v>
      </c>
      <c r="U8308" t="s">
        <v>53851</v>
      </c>
      <c r="W8308" t="s">
        <v>40607</v>
      </c>
      <c r="X8308" t="s">
        <v>44769</v>
      </c>
    </row>
    <row r="8309" spans="1:24">
      <c r="A8309">
        <f>HYPERLINK("https://www.philgeps.gov.ph/GEPSNONPILOT/Tender/SplashBidNoticeAbstractUI.aspx?menuIndex=3&amp;refID=7139458&amp;Result=3","7139458")</f>
        <v>0</v>
      </c>
      <c r="B8309" t="s">
        <v>1403</v>
      </c>
      <c r="C8309" t="s">
        <v>11623</v>
      </c>
      <c r="D8309" t="s">
        <v>17954</v>
      </c>
      <c r="E8309" t="s">
        <v>25304</v>
      </c>
      <c r="F8309" t="s">
        <v>30900</v>
      </c>
      <c r="G8309" t="s">
        <v>30907</v>
      </c>
      <c r="H8309" t="s">
        <v>30916</v>
      </c>
      <c r="I8309" t="s">
        <v>30924</v>
      </c>
      <c r="J8309" t="s">
        <v>31278</v>
      </c>
      <c r="K8309" t="s">
        <v>40331</v>
      </c>
      <c r="M8309" t="s">
        <v>42030</v>
      </c>
      <c r="N8309" t="s">
        <v>44759</v>
      </c>
      <c r="O8309" t="s">
        <v>44760</v>
      </c>
      <c r="P8309">
        <v>0</v>
      </c>
      <c r="Q8309">
        <v>1</v>
      </c>
      <c r="R8309" t="s">
        <v>44768</v>
      </c>
      <c r="S8309" t="s">
        <v>44982</v>
      </c>
      <c r="T8309" t="s">
        <v>46807</v>
      </c>
      <c r="U8309" t="s">
        <v>53852</v>
      </c>
      <c r="W8309" t="s">
        <v>42030</v>
      </c>
      <c r="X8309" t="s">
        <v>44769</v>
      </c>
    </row>
    <row r="8310" spans="1:24">
      <c r="A8310">
        <f>HYPERLINK("https://www.philgeps.gov.ph/GEPSNONPILOT/Tender/SplashBidNoticeAbstractUI.aspx?menuIndex=3&amp;refID=7139457&amp;Result=3","7139457")</f>
        <v>0</v>
      </c>
      <c r="B8310" t="s">
        <v>1816</v>
      </c>
      <c r="C8310" t="s">
        <v>3769</v>
      </c>
      <c r="E8310" t="s">
        <v>25305</v>
      </c>
      <c r="F8310" t="s">
        <v>30900</v>
      </c>
      <c r="G8310" t="s">
        <v>30907</v>
      </c>
      <c r="H8310" t="s">
        <v>30915</v>
      </c>
      <c r="I8310" t="s">
        <v>30919</v>
      </c>
      <c r="J8310" t="s">
        <v>36287</v>
      </c>
      <c r="K8310" t="s">
        <v>40343</v>
      </c>
      <c r="M8310" t="s">
        <v>40836</v>
      </c>
      <c r="N8310" t="s">
        <v>44759</v>
      </c>
      <c r="O8310" t="s">
        <v>44760</v>
      </c>
      <c r="P8310">
        <v>0</v>
      </c>
      <c r="Q8310">
        <v>0</v>
      </c>
      <c r="R8310" t="s">
        <v>44768</v>
      </c>
      <c r="S8310" t="s">
        <v>44982</v>
      </c>
      <c r="T8310" t="s">
        <v>46700</v>
      </c>
      <c r="U8310" t="s">
        <v>53853</v>
      </c>
      <c r="W8310" t="s">
        <v>40836</v>
      </c>
      <c r="X8310" t="s">
        <v>44769</v>
      </c>
    </row>
    <row r="8311" spans="1:24">
      <c r="A8311">
        <f>HYPERLINK("https://www.philgeps.gov.ph/GEPSNONPILOT/Tender/SplashBidNoticeAbstractUI.aspx?menuIndex=3&amp;refID=7139484&amp;Result=3","7139484")</f>
        <v>0</v>
      </c>
      <c r="B8311" t="s">
        <v>2519</v>
      </c>
      <c r="C8311" t="s">
        <v>11624</v>
      </c>
      <c r="D8311" t="s">
        <v>18012</v>
      </c>
      <c r="E8311" t="s">
        <v>25306</v>
      </c>
      <c r="F8311" t="s">
        <v>30900</v>
      </c>
      <c r="G8311" t="s">
        <v>30907</v>
      </c>
      <c r="H8311" t="s">
        <v>30916</v>
      </c>
      <c r="I8311" t="s">
        <v>30942</v>
      </c>
      <c r="J8311" t="s">
        <v>36288</v>
      </c>
      <c r="K8311" t="s">
        <v>40289</v>
      </c>
      <c r="M8311" t="s">
        <v>43266</v>
      </c>
      <c r="N8311" t="s">
        <v>44759</v>
      </c>
      <c r="O8311" t="s">
        <v>44760</v>
      </c>
      <c r="P8311">
        <v>0</v>
      </c>
      <c r="Q8311">
        <v>0</v>
      </c>
      <c r="R8311" t="s">
        <v>44768</v>
      </c>
      <c r="S8311" t="s">
        <v>44982</v>
      </c>
      <c r="T8311" t="s">
        <v>46531</v>
      </c>
      <c r="U8311" t="s">
        <v>53854</v>
      </c>
      <c r="W8311" t="s">
        <v>43266</v>
      </c>
      <c r="X8311" t="s">
        <v>44769</v>
      </c>
    </row>
    <row r="8312" spans="1:24">
      <c r="A8312">
        <f>HYPERLINK("https://www.philgeps.gov.ph/GEPSNONPILOT/Tender/SplashBidNoticeAbstractUI.aspx?menuIndex=3&amp;refID=7139456&amp;Result=3","7139456")</f>
        <v>0</v>
      </c>
      <c r="B8312" t="s">
        <v>2727</v>
      </c>
      <c r="C8312" t="s">
        <v>11625</v>
      </c>
      <c r="D8312" t="s">
        <v>17952</v>
      </c>
      <c r="E8312" t="s">
        <v>25307</v>
      </c>
      <c r="F8312" t="s">
        <v>30900</v>
      </c>
      <c r="G8312" t="s">
        <v>30910</v>
      </c>
      <c r="H8312" t="s">
        <v>30916</v>
      </c>
      <c r="I8312" t="s">
        <v>6396</v>
      </c>
      <c r="J8312" t="s">
        <v>36289</v>
      </c>
      <c r="K8312" t="s">
        <v>40287</v>
      </c>
      <c r="M8312" t="s">
        <v>43502</v>
      </c>
      <c r="N8312" t="s">
        <v>44759</v>
      </c>
      <c r="O8312" t="s">
        <v>44760</v>
      </c>
      <c r="P8312">
        <v>0</v>
      </c>
      <c r="Q8312">
        <v>1</v>
      </c>
      <c r="R8312" t="s">
        <v>44768</v>
      </c>
      <c r="S8312" t="s">
        <v>44982</v>
      </c>
      <c r="T8312" t="s">
        <v>46662</v>
      </c>
      <c r="U8312" t="s">
        <v>53843</v>
      </c>
      <c r="W8312" t="s">
        <v>43502</v>
      </c>
      <c r="X8312" t="s">
        <v>44769</v>
      </c>
    </row>
    <row r="8313" spans="1:24">
      <c r="A8313">
        <f>HYPERLINK("https://www.philgeps.gov.ph/GEPSNONPILOT/Tender/SplashBidNoticeAbstractUI.aspx?menuIndex=3&amp;refID=7139452&amp;Result=3","7139452")</f>
        <v>0</v>
      </c>
      <c r="B8313" t="s">
        <v>2726</v>
      </c>
      <c r="C8313" t="s">
        <v>11626</v>
      </c>
      <c r="D8313" t="s">
        <v>17951</v>
      </c>
      <c r="E8313" t="s">
        <v>25308</v>
      </c>
      <c r="F8313" t="s">
        <v>30900</v>
      </c>
      <c r="G8313" t="s">
        <v>30907</v>
      </c>
      <c r="H8313" t="s">
        <v>30915</v>
      </c>
      <c r="I8313" t="s">
        <v>30919</v>
      </c>
      <c r="J8313" t="s">
        <v>36290</v>
      </c>
      <c r="K8313" t="s">
        <v>40291</v>
      </c>
      <c r="M8313" t="s">
        <v>43501</v>
      </c>
      <c r="N8313" t="s">
        <v>44759</v>
      </c>
      <c r="O8313" t="s">
        <v>44760</v>
      </c>
      <c r="P8313">
        <v>0</v>
      </c>
      <c r="Q8313">
        <v>0</v>
      </c>
      <c r="R8313" t="s">
        <v>44768</v>
      </c>
      <c r="S8313" t="s">
        <v>44982</v>
      </c>
      <c r="T8313" t="s">
        <v>46418</v>
      </c>
      <c r="U8313" t="s">
        <v>53855</v>
      </c>
      <c r="W8313" t="s">
        <v>43501</v>
      </c>
      <c r="X8313" t="s">
        <v>44769</v>
      </c>
    </row>
    <row r="8314" spans="1:24">
      <c r="A8314">
        <f>HYPERLINK("https://www.philgeps.gov.ph/GEPSNONPILOT/Tender/SplashBidNoticeAbstractUI.aspx?menuIndex=3&amp;refID=7139494&amp;Result=3","7139494")</f>
        <v>0</v>
      </c>
      <c r="B8314" t="s">
        <v>2726</v>
      </c>
      <c r="C8314" t="s">
        <v>11627</v>
      </c>
      <c r="D8314" t="s">
        <v>17951</v>
      </c>
      <c r="E8314" t="s">
        <v>25309</v>
      </c>
      <c r="F8314" t="s">
        <v>30900</v>
      </c>
      <c r="G8314" t="s">
        <v>30907</v>
      </c>
      <c r="H8314" t="s">
        <v>30915</v>
      </c>
      <c r="I8314" t="s">
        <v>30919</v>
      </c>
      <c r="J8314" t="s">
        <v>36291</v>
      </c>
      <c r="K8314" t="s">
        <v>40291</v>
      </c>
      <c r="M8314" t="s">
        <v>43501</v>
      </c>
      <c r="N8314" t="s">
        <v>44759</v>
      </c>
      <c r="O8314" t="s">
        <v>44760</v>
      </c>
      <c r="P8314">
        <v>0</v>
      </c>
      <c r="Q8314">
        <v>0</v>
      </c>
      <c r="R8314" t="s">
        <v>44768</v>
      </c>
      <c r="S8314" t="s">
        <v>44982</v>
      </c>
      <c r="T8314" t="s">
        <v>46418</v>
      </c>
      <c r="U8314" t="s">
        <v>53856</v>
      </c>
      <c r="W8314" t="s">
        <v>43501</v>
      </c>
      <c r="X8314" t="s">
        <v>44769</v>
      </c>
    </row>
    <row r="8315" spans="1:24">
      <c r="A8315">
        <f>HYPERLINK("https://www.philgeps.gov.ph/GEPSNONPILOT/Tender/SplashBidNoticeAbstractUI.aspx?menuIndex=3&amp;refID=7139493&amp;Result=3","7139493")</f>
        <v>0</v>
      </c>
      <c r="B8315" t="s">
        <v>2047</v>
      </c>
      <c r="C8315" t="s">
        <v>11628</v>
      </c>
      <c r="D8315" t="s">
        <v>17960</v>
      </c>
      <c r="E8315" t="s">
        <v>22510</v>
      </c>
      <c r="F8315" t="s">
        <v>30900</v>
      </c>
      <c r="G8315" t="s">
        <v>30907</v>
      </c>
      <c r="H8315" t="s">
        <v>30916</v>
      </c>
      <c r="I8315" t="s">
        <v>30921</v>
      </c>
      <c r="J8315" t="s">
        <v>31669</v>
      </c>
      <c r="K8315" t="s">
        <v>40286</v>
      </c>
      <c r="M8315" t="s">
        <v>42745</v>
      </c>
      <c r="N8315" t="s">
        <v>44759</v>
      </c>
      <c r="O8315" t="s">
        <v>44760</v>
      </c>
      <c r="P8315">
        <v>0</v>
      </c>
      <c r="Q8315">
        <v>1</v>
      </c>
      <c r="R8315" t="s">
        <v>44768</v>
      </c>
      <c r="S8315" t="s">
        <v>44982</v>
      </c>
      <c r="T8315" t="s">
        <v>46414</v>
      </c>
      <c r="U8315" t="s">
        <v>53857</v>
      </c>
      <c r="W8315" t="s">
        <v>42745</v>
      </c>
      <c r="X8315" t="s">
        <v>44769</v>
      </c>
    </row>
    <row r="8316" spans="1:24">
      <c r="A8316">
        <f>HYPERLINK("https://www.philgeps.gov.ph/GEPSNONPILOT/Tender/SplashBidNoticeAbstractUI.aspx?menuIndex=3&amp;refID=7139446&amp;Result=3","7139446")</f>
        <v>0</v>
      </c>
      <c r="B8316" t="s">
        <v>355</v>
      </c>
      <c r="C8316" t="s">
        <v>11629</v>
      </c>
      <c r="D8316" t="s">
        <v>17993</v>
      </c>
      <c r="E8316" t="s">
        <v>25310</v>
      </c>
      <c r="F8316" t="s">
        <v>30900</v>
      </c>
      <c r="G8316" t="s">
        <v>30907</v>
      </c>
      <c r="H8316" t="s">
        <v>30916</v>
      </c>
      <c r="I8316" t="s">
        <v>8123</v>
      </c>
      <c r="J8316" t="s">
        <v>36292</v>
      </c>
      <c r="K8316" t="s">
        <v>40285</v>
      </c>
      <c r="M8316" t="s">
        <v>40908</v>
      </c>
      <c r="N8316" t="s">
        <v>44759</v>
      </c>
      <c r="O8316" t="s">
        <v>44760</v>
      </c>
      <c r="P8316">
        <v>0</v>
      </c>
      <c r="Q8316">
        <v>0</v>
      </c>
      <c r="R8316" t="s">
        <v>44768</v>
      </c>
      <c r="S8316" t="s">
        <v>44982</v>
      </c>
      <c r="T8316" t="s">
        <v>46625</v>
      </c>
      <c r="U8316" t="s">
        <v>53858</v>
      </c>
      <c r="W8316" t="s">
        <v>40908</v>
      </c>
      <c r="X8316" t="s">
        <v>44769</v>
      </c>
    </row>
    <row r="8317" spans="1:24">
      <c r="A8317">
        <f>HYPERLINK("https://www.philgeps.gov.ph/GEPSNONPILOT/Tender/SplashBidNoticeAbstractUI.aspx?menuIndex=3&amp;refID=7139486&amp;Result=3","7139486")</f>
        <v>0</v>
      </c>
      <c r="B8317" t="s">
        <v>2729</v>
      </c>
      <c r="C8317" t="s">
        <v>11630</v>
      </c>
      <c r="D8317" t="s">
        <v>17978</v>
      </c>
      <c r="E8317" t="s">
        <v>25311</v>
      </c>
      <c r="F8317" t="s">
        <v>30900</v>
      </c>
      <c r="G8317" t="s">
        <v>30907</v>
      </c>
      <c r="H8317" t="s">
        <v>30915</v>
      </c>
      <c r="I8317" t="s">
        <v>30919</v>
      </c>
      <c r="J8317" t="s">
        <v>31907</v>
      </c>
      <c r="K8317" t="s">
        <v>40286</v>
      </c>
      <c r="M8317" t="s">
        <v>43504</v>
      </c>
      <c r="N8317" t="s">
        <v>44759</v>
      </c>
      <c r="O8317" t="s">
        <v>44760</v>
      </c>
      <c r="P8317">
        <v>0</v>
      </c>
      <c r="Q8317">
        <v>0</v>
      </c>
      <c r="R8317" t="s">
        <v>44768</v>
      </c>
      <c r="S8317" t="s">
        <v>44982</v>
      </c>
      <c r="T8317" t="s">
        <v>46383</v>
      </c>
      <c r="U8317" t="s">
        <v>53859</v>
      </c>
      <c r="W8317" t="s">
        <v>43504</v>
      </c>
      <c r="X8317" t="s">
        <v>44769</v>
      </c>
    </row>
    <row r="8318" spans="1:24">
      <c r="A8318">
        <f>HYPERLINK("https://www.philgeps.gov.ph/GEPSNONPILOT/Tender/SplashBidNoticeAbstractUI.aspx?menuIndex=3&amp;refID=7139495&amp;Result=3","7139495")</f>
        <v>0</v>
      </c>
      <c r="B8318" t="s">
        <v>73</v>
      </c>
      <c r="C8318" t="s">
        <v>3872</v>
      </c>
      <c r="D8318" t="s">
        <v>17983</v>
      </c>
      <c r="E8318" t="s">
        <v>25312</v>
      </c>
      <c r="F8318" t="s">
        <v>30900</v>
      </c>
      <c r="G8318" t="s">
        <v>30907</v>
      </c>
      <c r="H8318" t="s">
        <v>30916</v>
      </c>
      <c r="I8318" t="s">
        <v>4142</v>
      </c>
      <c r="J8318" t="s">
        <v>36293</v>
      </c>
      <c r="K8318" t="s">
        <v>40286</v>
      </c>
      <c r="M8318" t="s">
        <v>40620</v>
      </c>
      <c r="N8318" t="s">
        <v>44759</v>
      </c>
      <c r="O8318" t="s">
        <v>44760</v>
      </c>
      <c r="P8318">
        <v>0</v>
      </c>
      <c r="Q8318">
        <v>1</v>
      </c>
      <c r="R8318" t="s">
        <v>44768</v>
      </c>
      <c r="S8318" t="s">
        <v>44982</v>
      </c>
      <c r="T8318" t="s">
        <v>46658</v>
      </c>
      <c r="U8318" t="s">
        <v>53860</v>
      </c>
      <c r="W8318" t="s">
        <v>40620</v>
      </c>
      <c r="X8318" t="s">
        <v>44769</v>
      </c>
    </row>
    <row r="8319" spans="1:24">
      <c r="A8319">
        <f>HYPERLINK("https://www.philgeps.gov.ph/GEPSNONPILOT/Tender/SplashBidNoticeAbstractUI.aspx?menuIndex=3&amp;refID=7139518&amp;Result=3","7139518")</f>
        <v>0</v>
      </c>
      <c r="B8319" t="s">
        <v>2038</v>
      </c>
      <c r="C8319" t="s">
        <v>11631</v>
      </c>
      <c r="D8319" t="s">
        <v>17971</v>
      </c>
      <c r="E8319" t="s">
        <v>25313</v>
      </c>
      <c r="F8319" t="s">
        <v>30900</v>
      </c>
      <c r="G8319" t="s">
        <v>30907</v>
      </c>
      <c r="H8319" t="s">
        <v>30916</v>
      </c>
      <c r="I8319" t="s">
        <v>10847</v>
      </c>
      <c r="J8319" t="s">
        <v>36294</v>
      </c>
      <c r="K8319" t="s">
        <v>40288</v>
      </c>
      <c r="M8319" t="s">
        <v>42735</v>
      </c>
      <c r="N8319" t="s">
        <v>44759</v>
      </c>
      <c r="O8319" t="s">
        <v>44760</v>
      </c>
      <c r="P8319">
        <v>0</v>
      </c>
      <c r="Q8319">
        <v>1</v>
      </c>
      <c r="R8319" t="s">
        <v>44768</v>
      </c>
      <c r="S8319" t="s">
        <v>44982</v>
      </c>
      <c r="T8319" t="s">
        <v>46760</v>
      </c>
      <c r="U8319" t="s">
        <v>51699</v>
      </c>
      <c r="W8319" t="s">
        <v>42735</v>
      </c>
      <c r="X8319" t="s">
        <v>44769</v>
      </c>
    </row>
    <row r="8320" spans="1:24">
      <c r="A8320">
        <f>HYPERLINK("https://www.philgeps.gov.ph/GEPSNONPILOT/Tender/SplashBidNoticeAbstractUI.aspx?menuIndex=3&amp;refID=7139509&amp;Result=3","7139509")</f>
        <v>0</v>
      </c>
      <c r="B8320" t="s">
        <v>2730</v>
      </c>
      <c r="C8320" t="s">
        <v>11632</v>
      </c>
      <c r="D8320" t="s">
        <v>17979</v>
      </c>
      <c r="E8320" t="s">
        <v>25314</v>
      </c>
      <c r="F8320" t="s">
        <v>30900</v>
      </c>
      <c r="G8320" t="s">
        <v>30912</v>
      </c>
      <c r="H8320" t="s">
        <v>30915</v>
      </c>
      <c r="I8320" t="s">
        <v>30919</v>
      </c>
      <c r="J8320" t="s">
        <v>31098</v>
      </c>
      <c r="K8320" t="s">
        <v>40286</v>
      </c>
      <c r="M8320" t="s">
        <v>43505</v>
      </c>
      <c r="N8320" t="s">
        <v>44759</v>
      </c>
      <c r="O8320" t="s">
        <v>44760</v>
      </c>
      <c r="P8320">
        <v>0</v>
      </c>
      <c r="Q8320">
        <v>2</v>
      </c>
      <c r="R8320" t="s">
        <v>44768</v>
      </c>
      <c r="S8320" t="s">
        <v>44982</v>
      </c>
      <c r="T8320" t="s">
        <v>46538</v>
      </c>
      <c r="U8320" t="s">
        <v>53861</v>
      </c>
      <c r="V8320" t="s">
        <v>59116</v>
      </c>
      <c r="W8320" t="s">
        <v>43505</v>
      </c>
      <c r="X8320" t="s">
        <v>44769</v>
      </c>
    </row>
    <row r="8321" spans="1:24">
      <c r="A8321">
        <f>HYPERLINK("https://www.philgeps.gov.ph/GEPSNONPILOT/Tender/SplashBidNoticeAbstractUI.aspx?menuIndex=3&amp;refID=7139439&amp;Result=3","7139439")</f>
        <v>0</v>
      </c>
      <c r="B8321" t="s">
        <v>2731</v>
      </c>
      <c r="C8321" t="s">
        <v>11633</v>
      </c>
      <c r="D8321" t="s">
        <v>17994</v>
      </c>
      <c r="E8321" t="s">
        <v>25315</v>
      </c>
      <c r="F8321" t="s">
        <v>30900</v>
      </c>
      <c r="G8321" t="s">
        <v>30907</v>
      </c>
      <c r="H8321" t="s">
        <v>30916</v>
      </c>
      <c r="I8321" t="s">
        <v>4965</v>
      </c>
      <c r="J8321" t="s">
        <v>31069</v>
      </c>
      <c r="K8321" t="s">
        <v>40286</v>
      </c>
      <c r="M8321" t="s">
        <v>43506</v>
      </c>
      <c r="N8321" t="s">
        <v>44759</v>
      </c>
      <c r="O8321" t="s">
        <v>44760</v>
      </c>
      <c r="P8321">
        <v>0</v>
      </c>
      <c r="Q8321">
        <v>1</v>
      </c>
      <c r="R8321" t="s">
        <v>44768</v>
      </c>
      <c r="S8321" t="s">
        <v>44982</v>
      </c>
      <c r="T8321" t="s">
        <v>46487</v>
      </c>
      <c r="U8321" t="s">
        <v>53862</v>
      </c>
      <c r="W8321" t="s">
        <v>43506</v>
      </c>
      <c r="X8321" t="s">
        <v>44769</v>
      </c>
    </row>
    <row r="8322" spans="1:24">
      <c r="A8322">
        <f>HYPERLINK("https://www.philgeps.gov.ph/GEPSNONPILOT/Tender/SplashBidNoticeAbstractUI.aspx?menuIndex=3&amp;refID=7139507&amp;Result=3","7139507")</f>
        <v>0</v>
      </c>
      <c r="B8322" t="s">
        <v>2679</v>
      </c>
      <c r="C8322" t="s">
        <v>11634</v>
      </c>
      <c r="D8322" t="s">
        <v>17971</v>
      </c>
      <c r="E8322" t="s">
        <v>25316</v>
      </c>
      <c r="F8322" t="s">
        <v>30900</v>
      </c>
      <c r="G8322" t="s">
        <v>30907</v>
      </c>
      <c r="H8322" t="s">
        <v>30915</v>
      </c>
      <c r="I8322" t="s">
        <v>30919</v>
      </c>
      <c r="J8322" t="s">
        <v>36295</v>
      </c>
      <c r="K8322" t="s">
        <v>40304</v>
      </c>
      <c r="M8322" t="s">
        <v>43450</v>
      </c>
      <c r="N8322" t="s">
        <v>44759</v>
      </c>
      <c r="O8322" t="s">
        <v>44760</v>
      </c>
      <c r="P8322">
        <v>0</v>
      </c>
      <c r="Q8322">
        <v>30</v>
      </c>
      <c r="R8322" t="s">
        <v>44768</v>
      </c>
      <c r="S8322" t="s">
        <v>44982</v>
      </c>
      <c r="T8322" t="s">
        <v>46399</v>
      </c>
      <c r="U8322" t="s">
        <v>53863</v>
      </c>
      <c r="W8322" t="s">
        <v>43450</v>
      </c>
      <c r="X8322" t="s">
        <v>44769</v>
      </c>
    </row>
    <row r="8323" spans="1:24">
      <c r="A8323">
        <f>HYPERLINK("https://www.philgeps.gov.ph/GEPSNONPILOT/Tender/SplashBidNoticeAbstractUI.aspx?menuIndex=3&amp;refID=7139427&amp;Result=3","7139427")</f>
        <v>0</v>
      </c>
      <c r="B8323" t="s">
        <v>278</v>
      </c>
      <c r="C8323" t="s">
        <v>11635</v>
      </c>
      <c r="D8323" t="s">
        <v>17995</v>
      </c>
      <c r="E8323" t="s">
        <v>25317</v>
      </c>
      <c r="F8323" t="s">
        <v>30900</v>
      </c>
      <c r="G8323" t="s">
        <v>30909</v>
      </c>
      <c r="H8323" t="s">
        <v>30916</v>
      </c>
      <c r="I8323" t="s">
        <v>4545</v>
      </c>
      <c r="J8323" t="s">
        <v>36296</v>
      </c>
      <c r="K8323" t="s">
        <v>40289</v>
      </c>
      <c r="M8323" t="s">
        <v>40887</v>
      </c>
      <c r="N8323" t="s">
        <v>44759</v>
      </c>
      <c r="O8323" t="s">
        <v>44760</v>
      </c>
      <c r="P8323">
        <v>0</v>
      </c>
      <c r="Q8323">
        <v>1</v>
      </c>
      <c r="R8323" t="s">
        <v>44768</v>
      </c>
      <c r="S8323" t="s">
        <v>44982</v>
      </c>
      <c r="T8323" t="s">
        <v>46533</v>
      </c>
      <c r="U8323" t="s">
        <v>53864</v>
      </c>
      <c r="W8323" t="s">
        <v>60825</v>
      </c>
      <c r="X8323" t="s">
        <v>44769</v>
      </c>
    </row>
    <row r="8324" spans="1:24">
      <c r="A8324">
        <f>HYPERLINK("https://www.philgeps.gov.ph/GEPSNONPILOT/Tender/SplashBidNoticeAbstractUI.aspx?menuIndex=3&amp;refID=7139500&amp;Result=3","7139500")</f>
        <v>0</v>
      </c>
      <c r="B8324" t="s">
        <v>278</v>
      </c>
      <c r="C8324" t="s">
        <v>11636</v>
      </c>
      <c r="D8324" t="s">
        <v>17995</v>
      </c>
      <c r="E8324" t="s">
        <v>25318</v>
      </c>
      <c r="F8324" t="s">
        <v>30900</v>
      </c>
      <c r="G8324" t="s">
        <v>30907</v>
      </c>
      <c r="H8324" t="s">
        <v>30915</v>
      </c>
      <c r="I8324" t="s">
        <v>30919</v>
      </c>
      <c r="J8324" t="s">
        <v>32125</v>
      </c>
      <c r="K8324" t="s">
        <v>40292</v>
      </c>
      <c r="M8324" t="s">
        <v>40887</v>
      </c>
      <c r="N8324" t="s">
        <v>44759</v>
      </c>
      <c r="O8324" t="s">
        <v>44760</v>
      </c>
      <c r="P8324">
        <v>0</v>
      </c>
      <c r="Q8324">
        <v>0</v>
      </c>
      <c r="R8324" t="s">
        <v>44768</v>
      </c>
      <c r="S8324" t="s">
        <v>44982</v>
      </c>
      <c r="T8324" t="s">
        <v>46428</v>
      </c>
      <c r="U8324" t="s">
        <v>53865</v>
      </c>
      <c r="W8324" t="s">
        <v>60825</v>
      </c>
      <c r="X8324" t="s">
        <v>44769</v>
      </c>
    </row>
    <row r="8325" spans="1:24">
      <c r="A8325">
        <f>HYPERLINK("https://www.philgeps.gov.ph/GEPSNONPILOT/Tender/SplashBidNoticeAbstractUI.aspx?menuIndex=3&amp;refID=7139514&amp;Result=3","7139514")</f>
        <v>0</v>
      </c>
      <c r="B8325" t="s">
        <v>2710</v>
      </c>
      <c r="C8325" t="s">
        <v>11637</v>
      </c>
      <c r="D8325" t="s">
        <v>17985</v>
      </c>
      <c r="E8325" t="s">
        <v>25319</v>
      </c>
      <c r="F8325" t="s">
        <v>30900</v>
      </c>
      <c r="G8325" t="s">
        <v>30907</v>
      </c>
      <c r="H8325" t="s">
        <v>30916</v>
      </c>
      <c r="I8325" t="s">
        <v>8123</v>
      </c>
      <c r="J8325" t="s">
        <v>31270</v>
      </c>
      <c r="K8325" t="s">
        <v>40286</v>
      </c>
      <c r="M8325" t="s">
        <v>43483</v>
      </c>
      <c r="N8325" t="s">
        <v>44759</v>
      </c>
      <c r="O8325" t="s">
        <v>44760</v>
      </c>
      <c r="P8325">
        <v>0</v>
      </c>
      <c r="Q8325">
        <v>0</v>
      </c>
      <c r="R8325" t="s">
        <v>44768</v>
      </c>
      <c r="S8325" t="s">
        <v>44982</v>
      </c>
      <c r="T8325" t="s">
        <v>46414</v>
      </c>
      <c r="U8325" t="s">
        <v>53866</v>
      </c>
      <c r="W8325" t="s">
        <v>43483</v>
      </c>
      <c r="X8325" t="s">
        <v>44769</v>
      </c>
    </row>
    <row r="8326" spans="1:24">
      <c r="A8326">
        <f>HYPERLINK("https://www.philgeps.gov.ph/GEPSNONPILOT/Tender/SplashBidNoticeAbstractUI.aspx?menuIndex=3&amp;refID=7139504&amp;Result=3","7139504")</f>
        <v>0</v>
      </c>
      <c r="B8326" t="s">
        <v>2732</v>
      </c>
      <c r="C8326" t="s">
        <v>11638</v>
      </c>
      <c r="D8326" t="s">
        <v>17990</v>
      </c>
      <c r="E8326" t="s">
        <v>18282</v>
      </c>
      <c r="F8326" t="s">
        <v>30900</v>
      </c>
      <c r="G8326" t="s">
        <v>30908</v>
      </c>
      <c r="H8326" t="s">
        <v>30916</v>
      </c>
      <c r="I8326" t="s">
        <v>4545</v>
      </c>
      <c r="J8326" t="s">
        <v>31096</v>
      </c>
      <c r="K8326" t="s">
        <v>40286</v>
      </c>
      <c r="M8326" t="s">
        <v>43507</v>
      </c>
      <c r="N8326" t="s">
        <v>44759</v>
      </c>
      <c r="O8326" t="s">
        <v>44760</v>
      </c>
      <c r="P8326">
        <v>0</v>
      </c>
      <c r="Q8326">
        <v>4</v>
      </c>
      <c r="R8326" t="s">
        <v>44768</v>
      </c>
      <c r="S8326" t="s">
        <v>44982</v>
      </c>
      <c r="T8326" t="s">
        <v>46662</v>
      </c>
      <c r="U8326" t="s">
        <v>53867</v>
      </c>
      <c r="V8326" t="s">
        <v>60005</v>
      </c>
      <c r="W8326" t="s">
        <v>43507</v>
      </c>
      <c r="X8326" t="s">
        <v>44769</v>
      </c>
    </row>
    <row r="8327" spans="1:24">
      <c r="A8327">
        <f>HYPERLINK("https://www.philgeps.gov.ph/GEPSNONPILOT/Tender/SplashBidNoticeAbstractUI.aspx?menuIndex=3&amp;refID=7139510&amp;Result=3","7139510")</f>
        <v>0</v>
      </c>
      <c r="B8327" t="s">
        <v>2733</v>
      </c>
      <c r="C8327" t="s">
        <v>3769</v>
      </c>
      <c r="E8327" t="s">
        <v>25320</v>
      </c>
      <c r="F8327" t="s">
        <v>30900</v>
      </c>
      <c r="G8327" t="s">
        <v>30907</v>
      </c>
      <c r="H8327" t="s">
        <v>30915</v>
      </c>
      <c r="I8327" t="s">
        <v>30919</v>
      </c>
      <c r="J8327" t="s">
        <v>31341</v>
      </c>
      <c r="K8327" t="s">
        <v>40283</v>
      </c>
      <c r="M8327" t="s">
        <v>40836</v>
      </c>
      <c r="N8327" t="s">
        <v>44759</v>
      </c>
      <c r="O8327" t="s">
        <v>44760</v>
      </c>
      <c r="P8327">
        <v>0</v>
      </c>
      <c r="Q8327">
        <v>0</v>
      </c>
      <c r="R8327" t="s">
        <v>44768</v>
      </c>
      <c r="S8327" t="s">
        <v>44982</v>
      </c>
      <c r="T8327" t="s">
        <v>46700</v>
      </c>
      <c r="U8327" t="s">
        <v>53582</v>
      </c>
      <c r="W8327" t="s">
        <v>40836</v>
      </c>
      <c r="X8327" t="s">
        <v>44769</v>
      </c>
    </row>
    <row r="8328" spans="1:24">
      <c r="A8328">
        <f>HYPERLINK("https://www.philgeps.gov.ph/GEPSNONPILOT/Tender/SplashBidNoticeAbstractUI.aspx?menuIndex=3&amp;refID=7139551&amp;Result=3","7139551")</f>
        <v>0</v>
      </c>
      <c r="B8328" t="s">
        <v>2310</v>
      </c>
      <c r="C8328" t="s">
        <v>11639</v>
      </c>
      <c r="D8328" t="s">
        <v>17952</v>
      </c>
      <c r="E8328" t="s">
        <v>25321</v>
      </c>
      <c r="F8328" t="s">
        <v>30900</v>
      </c>
      <c r="G8328" t="s">
        <v>30908</v>
      </c>
      <c r="H8328" t="s">
        <v>30916</v>
      </c>
      <c r="I8328" t="s">
        <v>8044</v>
      </c>
      <c r="J8328" t="s">
        <v>36297</v>
      </c>
      <c r="K8328" t="s">
        <v>40289</v>
      </c>
      <c r="M8328" t="s">
        <v>43443</v>
      </c>
      <c r="N8328" t="s">
        <v>44759</v>
      </c>
      <c r="O8328" t="s">
        <v>44760</v>
      </c>
      <c r="P8328">
        <v>0</v>
      </c>
      <c r="Q8328">
        <v>0</v>
      </c>
      <c r="R8328" t="s">
        <v>44768</v>
      </c>
      <c r="S8328" t="s">
        <v>44982</v>
      </c>
      <c r="T8328" t="s">
        <v>46533</v>
      </c>
      <c r="U8328" t="s">
        <v>53688</v>
      </c>
      <c r="W8328" t="s">
        <v>43443</v>
      </c>
      <c r="X8328" t="s">
        <v>44769</v>
      </c>
    </row>
    <row r="8329" spans="1:24">
      <c r="A8329">
        <f>HYPERLINK("https://www.philgeps.gov.ph/GEPSNONPILOT/Tender/SplashBidNoticeAbstractUI.aspx?menuIndex=3&amp;refID=7139538&amp;Result=3","7139538")</f>
        <v>0</v>
      </c>
      <c r="B8329" t="s">
        <v>2729</v>
      </c>
      <c r="C8329" t="s">
        <v>11640</v>
      </c>
      <c r="D8329" t="s">
        <v>17978</v>
      </c>
      <c r="E8329" t="s">
        <v>25322</v>
      </c>
      <c r="F8329" t="s">
        <v>30900</v>
      </c>
      <c r="G8329" t="s">
        <v>30907</v>
      </c>
      <c r="H8329" t="s">
        <v>30915</v>
      </c>
      <c r="I8329" t="s">
        <v>30919</v>
      </c>
      <c r="J8329" t="s">
        <v>31048</v>
      </c>
      <c r="K8329" t="s">
        <v>40288</v>
      </c>
      <c r="M8329" t="s">
        <v>43504</v>
      </c>
      <c r="N8329" t="s">
        <v>44759</v>
      </c>
      <c r="O8329" t="s">
        <v>44760</v>
      </c>
      <c r="P8329">
        <v>0</v>
      </c>
      <c r="Q8329">
        <v>0</v>
      </c>
      <c r="R8329" t="s">
        <v>44768</v>
      </c>
      <c r="S8329" t="s">
        <v>44982</v>
      </c>
      <c r="T8329" t="s">
        <v>46383</v>
      </c>
      <c r="U8329" t="s">
        <v>53868</v>
      </c>
      <c r="W8329" t="s">
        <v>43504</v>
      </c>
      <c r="X8329" t="s">
        <v>44769</v>
      </c>
    </row>
    <row r="8330" spans="1:24">
      <c r="A8330">
        <f>HYPERLINK("https://www.philgeps.gov.ph/GEPSNONPILOT/Tender/SplashBidNoticeAbstractUI.aspx?menuIndex=3&amp;refID=7139534&amp;Result=3","7139534")</f>
        <v>0</v>
      </c>
      <c r="B8330" t="s">
        <v>2380</v>
      </c>
      <c r="C8330" t="s">
        <v>11641</v>
      </c>
      <c r="D8330" t="s">
        <v>17951</v>
      </c>
      <c r="E8330" t="s">
        <v>25323</v>
      </c>
      <c r="F8330" t="s">
        <v>30900</v>
      </c>
      <c r="G8330" t="s">
        <v>30908</v>
      </c>
      <c r="H8330" t="s">
        <v>7411</v>
      </c>
      <c r="I8330" t="s">
        <v>30973</v>
      </c>
      <c r="J8330" t="s">
        <v>36258</v>
      </c>
      <c r="K8330" t="s">
        <v>40283</v>
      </c>
      <c r="M8330" t="s">
        <v>43106</v>
      </c>
      <c r="N8330" t="s">
        <v>44759</v>
      </c>
      <c r="O8330" t="s">
        <v>44760</v>
      </c>
      <c r="P8330">
        <v>0</v>
      </c>
      <c r="Q8330">
        <v>3</v>
      </c>
      <c r="R8330" t="s">
        <v>44768</v>
      </c>
      <c r="S8330" t="s">
        <v>44982</v>
      </c>
      <c r="T8330" t="s">
        <v>46625</v>
      </c>
      <c r="U8330" t="s">
        <v>53869</v>
      </c>
      <c r="W8330" t="s">
        <v>43106</v>
      </c>
      <c r="X8330" t="s">
        <v>44769</v>
      </c>
    </row>
    <row r="8331" spans="1:24">
      <c r="A8331">
        <f>HYPERLINK("https://www.philgeps.gov.ph/GEPSNONPILOT/Tender/SplashBidNoticeAbstractUI.aspx?menuIndex=3&amp;refID=7139490&amp;Result=3","7139490")</f>
        <v>0</v>
      </c>
      <c r="B8331" t="s">
        <v>2727</v>
      </c>
      <c r="C8331" t="s">
        <v>11642</v>
      </c>
      <c r="D8331" t="s">
        <v>17952</v>
      </c>
      <c r="E8331" t="s">
        <v>25324</v>
      </c>
      <c r="F8331" t="s">
        <v>30900</v>
      </c>
      <c r="G8331" t="s">
        <v>30910</v>
      </c>
      <c r="H8331" t="s">
        <v>30916</v>
      </c>
      <c r="I8331" t="s">
        <v>4142</v>
      </c>
      <c r="J8331" t="s">
        <v>36298</v>
      </c>
      <c r="K8331" t="s">
        <v>40287</v>
      </c>
      <c r="M8331" t="s">
        <v>43502</v>
      </c>
      <c r="N8331" t="s">
        <v>44759</v>
      </c>
      <c r="O8331" t="s">
        <v>44760</v>
      </c>
      <c r="P8331">
        <v>0</v>
      </c>
      <c r="Q8331">
        <v>0</v>
      </c>
      <c r="R8331" t="s">
        <v>44768</v>
      </c>
      <c r="S8331" t="s">
        <v>44982</v>
      </c>
      <c r="T8331" t="s">
        <v>46662</v>
      </c>
      <c r="U8331" t="s">
        <v>53843</v>
      </c>
      <c r="W8331" t="s">
        <v>43502</v>
      </c>
      <c r="X8331" t="s">
        <v>44769</v>
      </c>
    </row>
    <row r="8332" spans="1:24">
      <c r="A8332">
        <f>HYPERLINK("https://www.philgeps.gov.ph/GEPSNONPILOT/Tender/SplashBidNoticeAbstractUI.aspx?menuIndex=3&amp;refID=7139528&amp;Result=3","7139528")</f>
        <v>0</v>
      </c>
      <c r="B8332" t="s">
        <v>42</v>
      </c>
      <c r="C8332" t="s">
        <v>4240</v>
      </c>
      <c r="D8332" t="s">
        <v>17967</v>
      </c>
      <c r="E8332" t="s">
        <v>24624</v>
      </c>
      <c r="F8332" t="s">
        <v>30900</v>
      </c>
      <c r="G8332" t="s">
        <v>30907</v>
      </c>
      <c r="H8332" t="s">
        <v>30916</v>
      </c>
      <c r="I8332" t="s">
        <v>30923</v>
      </c>
      <c r="J8332" t="s">
        <v>36299</v>
      </c>
      <c r="K8332" t="s">
        <v>40284</v>
      </c>
      <c r="M8332" t="s">
        <v>40588</v>
      </c>
      <c r="N8332" t="s">
        <v>44759</v>
      </c>
      <c r="O8332" t="s">
        <v>44760</v>
      </c>
      <c r="P8332">
        <v>0</v>
      </c>
      <c r="Q8332">
        <v>5</v>
      </c>
      <c r="R8332" t="s">
        <v>44768</v>
      </c>
      <c r="S8332" t="s">
        <v>44982</v>
      </c>
      <c r="T8332" t="s">
        <v>46403</v>
      </c>
      <c r="U8332" t="s">
        <v>53870</v>
      </c>
      <c r="W8332" t="s">
        <v>40588</v>
      </c>
      <c r="X8332" t="s">
        <v>44769</v>
      </c>
    </row>
    <row r="8333" spans="1:24">
      <c r="A8333">
        <f>HYPERLINK("https://www.philgeps.gov.ph/GEPSNONPILOT/Tender/SplashBidNoticeAbstractUI.aspx?menuIndex=3&amp;refID=7139498&amp;Result=3","7139498")</f>
        <v>0</v>
      </c>
      <c r="B8333" t="s">
        <v>2450</v>
      </c>
      <c r="C8333" t="s">
        <v>11643</v>
      </c>
      <c r="D8333" t="s">
        <v>17970</v>
      </c>
      <c r="E8333" t="s">
        <v>25325</v>
      </c>
      <c r="F8333" t="s">
        <v>30900</v>
      </c>
      <c r="G8333" t="s">
        <v>30907</v>
      </c>
      <c r="H8333" t="s">
        <v>30916</v>
      </c>
      <c r="I8333" t="s">
        <v>8123</v>
      </c>
      <c r="J8333" t="s">
        <v>36300</v>
      </c>
      <c r="K8333" t="s">
        <v>40293</v>
      </c>
      <c r="M8333" t="s">
        <v>43187</v>
      </c>
      <c r="N8333" t="s">
        <v>44759</v>
      </c>
      <c r="O8333" t="s">
        <v>44760</v>
      </c>
      <c r="P8333">
        <v>0</v>
      </c>
      <c r="Q8333">
        <v>2</v>
      </c>
      <c r="R8333" t="s">
        <v>44768</v>
      </c>
      <c r="S8333" t="s">
        <v>44982</v>
      </c>
      <c r="T8333" t="s">
        <v>46495</v>
      </c>
      <c r="U8333" t="s">
        <v>53871</v>
      </c>
      <c r="V8333" t="s">
        <v>60006</v>
      </c>
      <c r="W8333" t="s">
        <v>43187</v>
      </c>
      <c r="X8333" t="s">
        <v>44769</v>
      </c>
    </row>
    <row r="8334" spans="1:24">
      <c r="A8334">
        <f>HYPERLINK("https://www.philgeps.gov.ph/GEPSNONPILOT/Tender/SplashBidNoticeAbstractUI.aspx?menuIndex=3&amp;refID=7139523&amp;Result=3","7139523")</f>
        <v>0</v>
      </c>
      <c r="B8334" t="s">
        <v>2734</v>
      </c>
      <c r="C8334" t="s">
        <v>11644</v>
      </c>
      <c r="D8334" t="s">
        <v>17995</v>
      </c>
      <c r="E8334" t="s">
        <v>25326</v>
      </c>
      <c r="F8334" t="s">
        <v>30900</v>
      </c>
      <c r="G8334" t="s">
        <v>30907</v>
      </c>
      <c r="H8334" t="s">
        <v>30916</v>
      </c>
      <c r="I8334" t="s">
        <v>8123</v>
      </c>
      <c r="J8334" t="s">
        <v>36301</v>
      </c>
      <c r="K8334" t="s">
        <v>40283</v>
      </c>
      <c r="M8334" t="s">
        <v>43508</v>
      </c>
      <c r="N8334" t="s">
        <v>44759</v>
      </c>
      <c r="O8334" t="s">
        <v>44760</v>
      </c>
      <c r="P8334">
        <v>0</v>
      </c>
      <c r="Q8334">
        <v>0</v>
      </c>
      <c r="R8334" t="s">
        <v>44768</v>
      </c>
      <c r="S8334" t="s">
        <v>44982</v>
      </c>
      <c r="T8334" t="s">
        <v>46488</v>
      </c>
      <c r="U8334" t="s">
        <v>53872</v>
      </c>
      <c r="V8334" t="s">
        <v>60007</v>
      </c>
      <c r="W8334" t="s">
        <v>43508</v>
      </c>
      <c r="X8334" t="s">
        <v>44769</v>
      </c>
    </row>
    <row r="8335" spans="1:24">
      <c r="A8335">
        <f>HYPERLINK("https://www.philgeps.gov.ph/GEPSNONPILOT/Tender/SplashBidNoticeAbstractUI.aspx?menuIndex=3&amp;refID=7139497&amp;Result=3","7139497")</f>
        <v>0</v>
      </c>
      <c r="B8335" t="s">
        <v>2663</v>
      </c>
      <c r="C8335" t="s">
        <v>11645</v>
      </c>
      <c r="D8335" t="s">
        <v>17988</v>
      </c>
      <c r="E8335" t="s">
        <v>20226</v>
      </c>
      <c r="F8335" t="s">
        <v>30900</v>
      </c>
      <c r="G8335" t="s">
        <v>30907</v>
      </c>
      <c r="H8335" t="s">
        <v>30916</v>
      </c>
      <c r="I8335" t="s">
        <v>30929</v>
      </c>
      <c r="J8335" t="s">
        <v>36302</v>
      </c>
      <c r="K8335" t="s">
        <v>40286</v>
      </c>
      <c r="M8335" t="s">
        <v>43433</v>
      </c>
      <c r="N8335" t="s">
        <v>44759</v>
      </c>
      <c r="O8335" t="s">
        <v>44760</v>
      </c>
      <c r="P8335">
        <v>0</v>
      </c>
      <c r="Q8335">
        <v>36</v>
      </c>
      <c r="R8335" t="s">
        <v>44768</v>
      </c>
      <c r="S8335" t="s">
        <v>44982</v>
      </c>
      <c r="T8335" t="s">
        <v>46595</v>
      </c>
      <c r="U8335" t="s">
        <v>53873</v>
      </c>
      <c r="W8335" t="s">
        <v>43433</v>
      </c>
      <c r="X8335" t="s">
        <v>44769</v>
      </c>
    </row>
    <row r="8336" spans="1:24">
      <c r="A8336">
        <f>HYPERLINK("https://www.philgeps.gov.ph/GEPSNONPILOT/Tender/SplashBidNoticeAbstractUI.aspx?menuIndex=3&amp;refID=7139521&amp;Result=3","7139521")</f>
        <v>0</v>
      </c>
      <c r="B8336" t="s">
        <v>818</v>
      </c>
      <c r="C8336" t="s">
        <v>11646</v>
      </c>
      <c r="D8336" t="s">
        <v>17959</v>
      </c>
      <c r="E8336" t="s">
        <v>24727</v>
      </c>
      <c r="F8336" t="s">
        <v>30900</v>
      </c>
      <c r="G8336" t="s">
        <v>30908</v>
      </c>
      <c r="H8336" t="s">
        <v>30916</v>
      </c>
      <c r="I8336" t="s">
        <v>30940</v>
      </c>
      <c r="J8336" t="s">
        <v>36303</v>
      </c>
      <c r="K8336" t="s">
        <v>40288</v>
      </c>
      <c r="M8336" t="s">
        <v>41389</v>
      </c>
      <c r="N8336" t="s">
        <v>44759</v>
      </c>
      <c r="O8336" t="s">
        <v>44760</v>
      </c>
      <c r="P8336">
        <v>0</v>
      </c>
      <c r="Q8336">
        <v>15</v>
      </c>
      <c r="R8336" t="s">
        <v>44768</v>
      </c>
      <c r="S8336" t="s">
        <v>44982</v>
      </c>
      <c r="T8336" t="s">
        <v>46662</v>
      </c>
      <c r="U8336" t="s">
        <v>53874</v>
      </c>
      <c r="W8336" t="s">
        <v>41389</v>
      </c>
      <c r="X8336" t="s">
        <v>44769</v>
      </c>
    </row>
    <row r="8337" spans="1:24">
      <c r="A8337">
        <f>HYPERLINK("https://www.philgeps.gov.ph/GEPSNONPILOT/Tender/SplashBidNoticeAbstractUI.aspx?menuIndex=3&amp;refID=7139559&amp;Result=3","7139559")</f>
        <v>0</v>
      </c>
      <c r="B8337" t="s">
        <v>895</v>
      </c>
      <c r="C8337" t="s">
        <v>11647</v>
      </c>
      <c r="D8337" t="s">
        <v>18009</v>
      </c>
      <c r="E8337" t="s">
        <v>25327</v>
      </c>
      <c r="F8337" t="s">
        <v>30900</v>
      </c>
      <c r="G8337" t="s">
        <v>30907</v>
      </c>
      <c r="H8337" t="s">
        <v>30915</v>
      </c>
      <c r="I8337" t="s">
        <v>30919</v>
      </c>
      <c r="J8337" t="s">
        <v>31391</v>
      </c>
      <c r="K8337" t="s">
        <v>40280</v>
      </c>
      <c r="M8337" t="s">
        <v>41469</v>
      </c>
      <c r="N8337" t="s">
        <v>44759</v>
      </c>
      <c r="O8337" t="s">
        <v>44760</v>
      </c>
      <c r="P8337">
        <v>0</v>
      </c>
      <c r="Q8337">
        <v>1</v>
      </c>
      <c r="R8337" t="s">
        <v>44768</v>
      </c>
      <c r="S8337" t="s">
        <v>44982</v>
      </c>
      <c r="T8337" t="s">
        <v>46472</v>
      </c>
      <c r="U8337" t="s">
        <v>53875</v>
      </c>
      <c r="W8337" t="s">
        <v>41469</v>
      </c>
      <c r="X8337" t="s">
        <v>44769</v>
      </c>
    </row>
    <row r="8338" spans="1:24">
      <c r="A8338">
        <f>HYPERLINK("https://www.philgeps.gov.ph/GEPSNONPILOT/Tender/SplashBidNoticeAbstractUI.aspx?menuIndex=3&amp;refID=7139554&amp;Result=3","7139554")</f>
        <v>0</v>
      </c>
      <c r="B8338" t="s">
        <v>770</v>
      </c>
      <c r="C8338" t="s">
        <v>11648</v>
      </c>
      <c r="D8338" t="s">
        <v>17981</v>
      </c>
      <c r="E8338" t="s">
        <v>25328</v>
      </c>
      <c r="F8338" t="s">
        <v>30900</v>
      </c>
      <c r="G8338" t="s">
        <v>30908</v>
      </c>
      <c r="H8338" t="s">
        <v>30916</v>
      </c>
      <c r="I8338" t="s">
        <v>8123</v>
      </c>
      <c r="J8338" t="s">
        <v>36304</v>
      </c>
      <c r="K8338" t="s">
        <v>40281</v>
      </c>
      <c r="M8338" t="s">
        <v>41336</v>
      </c>
      <c r="N8338" t="s">
        <v>44759</v>
      </c>
      <c r="O8338" t="s">
        <v>44760</v>
      </c>
      <c r="P8338">
        <v>0</v>
      </c>
      <c r="Q8338">
        <v>2</v>
      </c>
      <c r="R8338" t="s">
        <v>44768</v>
      </c>
      <c r="S8338" t="s">
        <v>44982</v>
      </c>
      <c r="T8338" t="s">
        <v>46810</v>
      </c>
      <c r="U8338" t="s">
        <v>53876</v>
      </c>
      <c r="W8338" t="s">
        <v>41336</v>
      </c>
      <c r="X8338" t="s">
        <v>44769</v>
      </c>
    </row>
    <row r="8339" spans="1:24">
      <c r="A8339">
        <f>HYPERLINK("https://www.philgeps.gov.ph/GEPSNONPILOT/Tender/SplashBidNoticeAbstractUI.aspx?menuIndex=3&amp;refID=7139607&amp;Result=3","7139607")</f>
        <v>0</v>
      </c>
      <c r="B8339" t="s">
        <v>770</v>
      </c>
      <c r="C8339" t="s">
        <v>11649</v>
      </c>
      <c r="D8339" t="s">
        <v>17981</v>
      </c>
      <c r="E8339" t="s">
        <v>25329</v>
      </c>
      <c r="F8339" t="s">
        <v>30900</v>
      </c>
      <c r="G8339" t="s">
        <v>30908</v>
      </c>
      <c r="H8339" t="s">
        <v>30916</v>
      </c>
      <c r="I8339" t="s">
        <v>8123</v>
      </c>
      <c r="J8339" t="s">
        <v>36305</v>
      </c>
      <c r="K8339" t="s">
        <v>40281</v>
      </c>
      <c r="M8339" t="s">
        <v>41336</v>
      </c>
      <c r="N8339" t="s">
        <v>44759</v>
      </c>
      <c r="O8339" t="s">
        <v>44760</v>
      </c>
      <c r="P8339">
        <v>0</v>
      </c>
      <c r="Q8339">
        <v>2</v>
      </c>
      <c r="R8339" t="s">
        <v>44768</v>
      </c>
      <c r="S8339" t="s">
        <v>44982</v>
      </c>
      <c r="T8339" t="s">
        <v>46810</v>
      </c>
      <c r="U8339" t="s">
        <v>53877</v>
      </c>
      <c r="W8339" t="s">
        <v>41336</v>
      </c>
      <c r="X8339" t="s">
        <v>44769</v>
      </c>
    </row>
    <row r="8340" spans="1:24">
      <c r="A8340">
        <f>HYPERLINK("https://www.philgeps.gov.ph/GEPSNONPILOT/Tender/SplashBidNoticeAbstractUI.aspx?menuIndex=3&amp;refID=7139604&amp;Result=3","7139604")</f>
        <v>0</v>
      </c>
      <c r="B8340" t="s">
        <v>1724</v>
      </c>
      <c r="C8340" t="s">
        <v>11650</v>
      </c>
      <c r="D8340" t="s">
        <v>18016</v>
      </c>
      <c r="E8340" t="s">
        <v>25330</v>
      </c>
      <c r="F8340" t="s">
        <v>30900</v>
      </c>
      <c r="G8340" t="s">
        <v>30906</v>
      </c>
      <c r="H8340" t="s">
        <v>30916</v>
      </c>
      <c r="I8340" t="s">
        <v>30923</v>
      </c>
      <c r="J8340" t="s">
        <v>36306</v>
      </c>
      <c r="K8340" t="s">
        <v>40284</v>
      </c>
      <c r="M8340" t="s">
        <v>42697</v>
      </c>
      <c r="N8340" t="s">
        <v>44759</v>
      </c>
      <c r="O8340" t="s">
        <v>44760</v>
      </c>
      <c r="P8340">
        <v>0</v>
      </c>
      <c r="Q8340">
        <v>2</v>
      </c>
      <c r="R8340" t="s">
        <v>44768</v>
      </c>
      <c r="S8340" t="s">
        <v>44982</v>
      </c>
      <c r="T8340" t="s">
        <v>46533</v>
      </c>
      <c r="U8340" t="s">
        <v>53878</v>
      </c>
      <c r="W8340" t="s">
        <v>60878</v>
      </c>
      <c r="X8340" t="s">
        <v>44769</v>
      </c>
    </row>
    <row r="8341" spans="1:24">
      <c r="A8341">
        <f>HYPERLINK("https://www.philgeps.gov.ph/GEPSNONPILOT/Tender/SplashBidNoticeAbstractUI.aspx?menuIndex=3&amp;refID=7139600&amp;Result=3","7139600")</f>
        <v>0</v>
      </c>
      <c r="B8341" t="s">
        <v>2042</v>
      </c>
      <c r="C8341" t="s">
        <v>11651</v>
      </c>
      <c r="D8341" t="s">
        <v>17969</v>
      </c>
      <c r="E8341" t="s">
        <v>25331</v>
      </c>
      <c r="F8341" t="s">
        <v>30900</v>
      </c>
      <c r="G8341" t="s">
        <v>30907</v>
      </c>
      <c r="H8341" t="s">
        <v>30916</v>
      </c>
      <c r="I8341" t="s">
        <v>4965</v>
      </c>
      <c r="J8341" t="s">
        <v>36307</v>
      </c>
      <c r="K8341" t="s">
        <v>40289</v>
      </c>
      <c r="M8341" t="s">
        <v>42739</v>
      </c>
      <c r="N8341" t="s">
        <v>44759</v>
      </c>
      <c r="O8341" t="s">
        <v>44760</v>
      </c>
      <c r="P8341">
        <v>0</v>
      </c>
      <c r="Q8341">
        <v>0</v>
      </c>
      <c r="R8341" t="s">
        <v>44768</v>
      </c>
      <c r="S8341" t="s">
        <v>44982</v>
      </c>
      <c r="T8341" t="s">
        <v>46811</v>
      </c>
      <c r="U8341" t="s">
        <v>53879</v>
      </c>
      <c r="V8341" t="s">
        <v>60008</v>
      </c>
      <c r="W8341" t="s">
        <v>42739</v>
      </c>
      <c r="X8341" t="s">
        <v>44769</v>
      </c>
    </row>
    <row r="8342" spans="1:24">
      <c r="A8342">
        <f>HYPERLINK("https://www.philgeps.gov.ph/GEPSNONPILOT/Tender/SplashBidNoticeAbstractUI.aspx?menuIndex=3&amp;refID=7139533&amp;Result=3","7139533")</f>
        <v>0</v>
      </c>
      <c r="B8342" t="s">
        <v>2679</v>
      </c>
      <c r="C8342" t="s">
        <v>11652</v>
      </c>
      <c r="D8342" t="s">
        <v>17971</v>
      </c>
      <c r="E8342" t="s">
        <v>25332</v>
      </c>
      <c r="F8342" t="s">
        <v>30900</v>
      </c>
      <c r="G8342" t="s">
        <v>30907</v>
      </c>
      <c r="H8342" t="s">
        <v>30915</v>
      </c>
      <c r="I8342" t="s">
        <v>30919</v>
      </c>
      <c r="J8342" t="s">
        <v>36308</v>
      </c>
      <c r="K8342" t="s">
        <v>40280</v>
      </c>
      <c r="M8342" t="s">
        <v>43450</v>
      </c>
      <c r="N8342" t="s">
        <v>44759</v>
      </c>
      <c r="O8342" t="s">
        <v>44760</v>
      </c>
      <c r="P8342">
        <v>0</v>
      </c>
      <c r="Q8342">
        <v>30</v>
      </c>
      <c r="R8342" t="s">
        <v>44768</v>
      </c>
      <c r="S8342" t="s">
        <v>44982</v>
      </c>
      <c r="T8342" t="s">
        <v>46399</v>
      </c>
      <c r="U8342" t="s">
        <v>53880</v>
      </c>
      <c r="W8342" t="s">
        <v>43450</v>
      </c>
      <c r="X8342" t="s">
        <v>44769</v>
      </c>
    </row>
    <row r="8343" spans="1:24">
      <c r="A8343">
        <f>HYPERLINK("https://www.philgeps.gov.ph/GEPSNONPILOT/Tender/SplashBidNoticeAbstractUI.aspx?menuIndex=3&amp;refID=7139597&amp;Result=3","7139597")</f>
        <v>0</v>
      </c>
      <c r="B8343" t="s">
        <v>1251</v>
      </c>
      <c r="C8343" t="s">
        <v>11653</v>
      </c>
      <c r="D8343" t="s">
        <v>17963</v>
      </c>
      <c r="E8343" t="s">
        <v>25333</v>
      </c>
      <c r="F8343" t="s">
        <v>30900</v>
      </c>
      <c r="G8343" t="s">
        <v>30908</v>
      </c>
      <c r="H8343" t="s">
        <v>30916</v>
      </c>
      <c r="I8343" t="s">
        <v>30932</v>
      </c>
      <c r="J8343" t="s">
        <v>31101</v>
      </c>
      <c r="K8343" t="s">
        <v>40286</v>
      </c>
      <c r="M8343" t="s">
        <v>41863</v>
      </c>
      <c r="N8343" t="s">
        <v>44759</v>
      </c>
      <c r="O8343" t="s">
        <v>44760</v>
      </c>
      <c r="P8343">
        <v>0</v>
      </c>
      <c r="Q8343">
        <v>9</v>
      </c>
      <c r="R8343" t="s">
        <v>44768</v>
      </c>
      <c r="S8343" t="s">
        <v>44982</v>
      </c>
      <c r="T8343" t="s">
        <v>46662</v>
      </c>
      <c r="U8343" t="s">
        <v>53881</v>
      </c>
      <c r="W8343" t="s">
        <v>41863</v>
      </c>
      <c r="X8343" t="s">
        <v>44769</v>
      </c>
    </row>
    <row r="8344" spans="1:24">
      <c r="A8344">
        <f>HYPERLINK("https://www.philgeps.gov.ph/GEPSNONPILOT/Tender/SplashBidNoticeAbstractUI.aspx?menuIndex=3&amp;refID=7139540&amp;Result=3","7139540")</f>
        <v>0</v>
      </c>
      <c r="B8344" t="s">
        <v>2735</v>
      </c>
      <c r="C8344" t="s">
        <v>11654</v>
      </c>
      <c r="D8344" t="s">
        <v>17974</v>
      </c>
      <c r="E8344" t="s">
        <v>25334</v>
      </c>
      <c r="F8344" t="s">
        <v>30900</v>
      </c>
      <c r="G8344" t="s">
        <v>30909</v>
      </c>
      <c r="H8344" t="s">
        <v>30916</v>
      </c>
      <c r="I8344" t="s">
        <v>30926</v>
      </c>
      <c r="J8344" t="s">
        <v>36309</v>
      </c>
      <c r="K8344" t="s">
        <v>40287</v>
      </c>
      <c r="M8344" t="s">
        <v>43509</v>
      </c>
      <c r="N8344" t="s">
        <v>44759</v>
      </c>
      <c r="O8344" t="s">
        <v>44760</v>
      </c>
      <c r="P8344">
        <v>0</v>
      </c>
      <c r="Q8344">
        <v>0</v>
      </c>
      <c r="R8344" t="s">
        <v>44768</v>
      </c>
      <c r="S8344" t="s">
        <v>44982</v>
      </c>
      <c r="T8344" t="s">
        <v>46357</v>
      </c>
      <c r="U8344" t="s">
        <v>53882</v>
      </c>
      <c r="W8344" t="s">
        <v>43509</v>
      </c>
      <c r="X8344" t="s">
        <v>44769</v>
      </c>
    </row>
    <row r="8345" spans="1:24">
      <c r="A8345">
        <f>HYPERLINK("https://www.philgeps.gov.ph/GEPSNONPILOT/Tender/SplashBidNoticeAbstractUI.aspx?menuIndex=3&amp;refID=7139579&amp;Result=3","7139579")</f>
        <v>0</v>
      </c>
      <c r="B8345" t="s">
        <v>2710</v>
      </c>
      <c r="C8345" t="s">
        <v>11655</v>
      </c>
      <c r="D8345" t="s">
        <v>17985</v>
      </c>
      <c r="E8345" t="s">
        <v>25335</v>
      </c>
      <c r="F8345" t="s">
        <v>30900</v>
      </c>
      <c r="G8345" t="s">
        <v>30907</v>
      </c>
      <c r="H8345" t="s">
        <v>30916</v>
      </c>
      <c r="I8345" t="s">
        <v>8123</v>
      </c>
      <c r="J8345" t="s">
        <v>31243</v>
      </c>
      <c r="K8345" t="s">
        <v>40286</v>
      </c>
      <c r="M8345" t="s">
        <v>43483</v>
      </c>
      <c r="N8345" t="s">
        <v>44759</v>
      </c>
      <c r="O8345" t="s">
        <v>44760</v>
      </c>
      <c r="P8345">
        <v>0</v>
      </c>
      <c r="Q8345">
        <v>0</v>
      </c>
      <c r="R8345" t="s">
        <v>44768</v>
      </c>
      <c r="S8345" t="s">
        <v>44982</v>
      </c>
      <c r="T8345" t="s">
        <v>46414</v>
      </c>
      <c r="U8345" t="s">
        <v>53883</v>
      </c>
      <c r="W8345" t="s">
        <v>43483</v>
      </c>
      <c r="X8345" t="s">
        <v>44769</v>
      </c>
    </row>
    <row r="8346" spans="1:24">
      <c r="A8346">
        <f>HYPERLINK("https://www.philgeps.gov.ph/GEPSNONPILOT/Tender/SplashBidNoticeAbstractUI.aspx?menuIndex=3&amp;refID=7139520&amp;Result=3","7139520")</f>
        <v>0</v>
      </c>
      <c r="B8346" t="s">
        <v>46</v>
      </c>
      <c r="C8346" t="s">
        <v>11656</v>
      </c>
      <c r="D8346" t="s">
        <v>17953</v>
      </c>
      <c r="E8346" t="s">
        <v>25336</v>
      </c>
      <c r="F8346" t="s">
        <v>30900</v>
      </c>
      <c r="G8346" t="s">
        <v>30907</v>
      </c>
      <c r="H8346" t="s">
        <v>30916</v>
      </c>
      <c r="I8346" t="s">
        <v>30923</v>
      </c>
      <c r="J8346" t="s">
        <v>36310</v>
      </c>
      <c r="K8346" t="s">
        <v>40291</v>
      </c>
      <c r="M8346" t="s">
        <v>40592</v>
      </c>
      <c r="N8346" t="s">
        <v>44759</v>
      </c>
      <c r="O8346" t="s">
        <v>44760</v>
      </c>
      <c r="P8346">
        <v>0</v>
      </c>
      <c r="Q8346">
        <v>8</v>
      </c>
      <c r="R8346" t="s">
        <v>44768</v>
      </c>
      <c r="S8346" t="s">
        <v>44982</v>
      </c>
      <c r="T8346" t="s">
        <v>46641</v>
      </c>
      <c r="U8346" t="s">
        <v>46984</v>
      </c>
      <c r="W8346" t="s">
        <v>60814</v>
      </c>
      <c r="X8346" t="s">
        <v>44769</v>
      </c>
    </row>
    <row r="8347" spans="1:24">
      <c r="A8347">
        <f>HYPERLINK("https://www.philgeps.gov.ph/GEPSNONPILOT/Tender/SplashBidNoticeAbstractUI.aspx?menuIndex=3&amp;refID=7139429&amp;Result=3","7139429")</f>
        <v>0</v>
      </c>
      <c r="B8347" t="s">
        <v>2736</v>
      </c>
      <c r="C8347" t="s">
        <v>11657</v>
      </c>
      <c r="D8347" t="s">
        <v>18009</v>
      </c>
      <c r="E8347" t="s">
        <v>25337</v>
      </c>
      <c r="F8347" t="s">
        <v>30900</v>
      </c>
      <c r="G8347" t="s">
        <v>30907</v>
      </c>
      <c r="H8347" t="s">
        <v>30915</v>
      </c>
      <c r="I8347" t="s">
        <v>30919</v>
      </c>
      <c r="J8347" t="s">
        <v>31105</v>
      </c>
      <c r="K8347" t="s">
        <v>40283</v>
      </c>
      <c r="M8347" t="s">
        <v>43510</v>
      </c>
      <c r="N8347" t="s">
        <v>44759</v>
      </c>
      <c r="O8347" t="s">
        <v>44760</v>
      </c>
      <c r="P8347">
        <v>0</v>
      </c>
      <c r="Q8347">
        <v>0</v>
      </c>
      <c r="R8347" t="s">
        <v>44768</v>
      </c>
      <c r="S8347" t="s">
        <v>44982</v>
      </c>
      <c r="T8347" t="s">
        <v>46625</v>
      </c>
      <c r="U8347" t="s">
        <v>53884</v>
      </c>
      <c r="W8347" t="s">
        <v>43510</v>
      </c>
      <c r="X8347" t="s">
        <v>44769</v>
      </c>
    </row>
    <row r="8348" spans="1:24">
      <c r="A8348">
        <f>HYPERLINK("https://www.philgeps.gov.ph/GEPSNONPILOT/Tender/SplashBidNoticeAbstractUI.aspx?menuIndex=3&amp;refID=7139580&amp;Result=3","7139580")</f>
        <v>0</v>
      </c>
      <c r="B8348" t="s">
        <v>2737</v>
      </c>
      <c r="C8348" t="s">
        <v>6544</v>
      </c>
      <c r="D8348" t="s">
        <v>17972</v>
      </c>
      <c r="E8348" t="s">
        <v>25338</v>
      </c>
      <c r="F8348" t="s">
        <v>30900</v>
      </c>
      <c r="G8348" t="s">
        <v>30907</v>
      </c>
      <c r="H8348" t="s">
        <v>30916</v>
      </c>
      <c r="I8348" t="s">
        <v>4050</v>
      </c>
      <c r="J8348" t="s">
        <v>36311</v>
      </c>
      <c r="K8348" t="s">
        <v>40287</v>
      </c>
      <c r="M8348" t="s">
        <v>43511</v>
      </c>
      <c r="N8348" t="s">
        <v>44759</v>
      </c>
      <c r="O8348" t="s">
        <v>44760</v>
      </c>
      <c r="P8348">
        <v>0</v>
      </c>
      <c r="Q8348">
        <v>0</v>
      </c>
      <c r="R8348" t="s">
        <v>44768</v>
      </c>
      <c r="S8348" t="s">
        <v>44982</v>
      </c>
      <c r="T8348" t="s">
        <v>46357</v>
      </c>
      <c r="U8348" t="s">
        <v>53885</v>
      </c>
      <c r="W8348" t="s">
        <v>43511</v>
      </c>
      <c r="X8348" t="s">
        <v>44769</v>
      </c>
    </row>
    <row r="8349" spans="1:24">
      <c r="A8349">
        <f>HYPERLINK("https://www.philgeps.gov.ph/GEPSNONPILOT/Tender/SplashBidNoticeAbstractUI.aspx?menuIndex=3&amp;refID=7139568&amp;Result=3","7139568")</f>
        <v>0</v>
      </c>
      <c r="B8349" t="s">
        <v>73</v>
      </c>
      <c r="C8349" t="s">
        <v>11658</v>
      </c>
      <c r="D8349" t="s">
        <v>17983</v>
      </c>
      <c r="E8349" t="s">
        <v>25339</v>
      </c>
      <c r="F8349" t="s">
        <v>30900</v>
      </c>
      <c r="G8349" t="s">
        <v>30907</v>
      </c>
      <c r="H8349" t="s">
        <v>30916</v>
      </c>
      <c r="I8349" t="s">
        <v>4142</v>
      </c>
      <c r="J8349" t="s">
        <v>31043</v>
      </c>
      <c r="K8349" t="s">
        <v>40286</v>
      </c>
      <c r="M8349" t="s">
        <v>40620</v>
      </c>
      <c r="N8349" t="s">
        <v>44759</v>
      </c>
      <c r="O8349" t="s">
        <v>44760</v>
      </c>
      <c r="P8349">
        <v>0</v>
      </c>
      <c r="Q8349">
        <v>0</v>
      </c>
      <c r="R8349" t="s">
        <v>44768</v>
      </c>
      <c r="S8349" t="s">
        <v>44982</v>
      </c>
      <c r="T8349" t="s">
        <v>46658</v>
      </c>
      <c r="U8349" t="s">
        <v>53886</v>
      </c>
      <c r="W8349" t="s">
        <v>40620</v>
      </c>
      <c r="X8349" t="s">
        <v>44769</v>
      </c>
    </row>
    <row r="8350" spans="1:24">
      <c r="A8350">
        <f>HYPERLINK("https://www.philgeps.gov.ph/GEPSNONPILOT/Tender/SplashBidNoticeAbstractUI.aspx?menuIndex=3&amp;refID=7139569&amp;Result=3","7139569")</f>
        <v>0</v>
      </c>
      <c r="B8350" t="s">
        <v>2698</v>
      </c>
      <c r="C8350" t="s">
        <v>11659</v>
      </c>
      <c r="D8350" t="s">
        <v>17957</v>
      </c>
      <c r="E8350" t="s">
        <v>18545</v>
      </c>
      <c r="F8350" t="s">
        <v>30900</v>
      </c>
      <c r="G8350" t="s">
        <v>30907</v>
      </c>
      <c r="H8350" t="s">
        <v>30915</v>
      </c>
      <c r="I8350" t="s">
        <v>30919</v>
      </c>
      <c r="J8350" t="s">
        <v>31069</v>
      </c>
      <c r="K8350" t="s">
        <v>40304</v>
      </c>
      <c r="M8350" t="s">
        <v>43471</v>
      </c>
      <c r="N8350" t="s">
        <v>44759</v>
      </c>
      <c r="O8350" t="s">
        <v>44760</v>
      </c>
      <c r="P8350">
        <v>0</v>
      </c>
      <c r="Q8350">
        <v>0</v>
      </c>
      <c r="R8350" t="s">
        <v>44768</v>
      </c>
      <c r="S8350" t="s">
        <v>44982</v>
      </c>
      <c r="T8350" t="s">
        <v>46515</v>
      </c>
      <c r="U8350" t="s">
        <v>53887</v>
      </c>
      <c r="V8350" t="s">
        <v>59200</v>
      </c>
      <c r="W8350" t="s">
        <v>43471</v>
      </c>
      <c r="X8350" t="s">
        <v>44769</v>
      </c>
    </row>
    <row r="8351" spans="1:24">
      <c r="A8351">
        <f>HYPERLINK("https://www.philgeps.gov.ph/GEPSNONPILOT/Tender/SplashBidNoticeAbstractUI.aspx?menuIndex=3&amp;refID=7139572&amp;Result=3","7139572")</f>
        <v>0</v>
      </c>
      <c r="B8351" t="s">
        <v>1405</v>
      </c>
      <c r="C8351" t="s">
        <v>11660</v>
      </c>
      <c r="D8351" t="s">
        <v>17959</v>
      </c>
      <c r="E8351" t="s">
        <v>25340</v>
      </c>
      <c r="F8351" t="s">
        <v>30900</v>
      </c>
      <c r="G8351" t="s">
        <v>30907</v>
      </c>
      <c r="H8351" t="s">
        <v>30916</v>
      </c>
      <c r="I8351" t="s">
        <v>4017</v>
      </c>
      <c r="J8351" t="s">
        <v>36312</v>
      </c>
      <c r="K8351" t="s">
        <v>40293</v>
      </c>
      <c r="M8351" t="s">
        <v>42034</v>
      </c>
      <c r="N8351" t="s">
        <v>44759</v>
      </c>
      <c r="O8351" t="s">
        <v>44760</v>
      </c>
      <c r="P8351">
        <v>0</v>
      </c>
      <c r="Q8351">
        <v>23</v>
      </c>
      <c r="R8351" t="s">
        <v>44768</v>
      </c>
      <c r="S8351" t="s">
        <v>44982</v>
      </c>
      <c r="T8351" t="s">
        <v>46441</v>
      </c>
      <c r="U8351" t="s">
        <v>53888</v>
      </c>
      <c r="W8351" t="s">
        <v>42034</v>
      </c>
      <c r="X8351" t="s">
        <v>44769</v>
      </c>
    </row>
    <row r="8352" spans="1:24">
      <c r="A8352">
        <f>HYPERLINK("https://www.philgeps.gov.ph/GEPSNONPILOT/Tender/SplashBidNoticeAbstractUI.aspx?menuIndex=3&amp;refID=7139566&amp;Result=3","7139566")</f>
        <v>0</v>
      </c>
      <c r="B8352" t="s">
        <v>2042</v>
      </c>
      <c r="C8352" t="s">
        <v>11661</v>
      </c>
      <c r="D8352" t="s">
        <v>17969</v>
      </c>
      <c r="E8352" t="s">
        <v>25341</v>
      </c>
      <c r="F8352" t="s">
        <v>30900</v>
      </c>
      <c r="G8352" t="s">
        <v>30907</v>
      </c>
      <c r="H8352" t="s">
        <v>30916</v>
      </c>
      <c r="I8352" t="s">
        <v>6396</v>
      </c>
      <c r="J8352" t="s">
        <v>36313</v>
      </c>
      <c r="K8352" t="s">
        <v>40289</v>
      </c>
      <c r="M8352" t="s">
        <v>42739</v>
      </c>
      <c r="N8352" t="s">
        <v>44759</v>
      </c>
      <c r="O8352" t="s">
        <v>44760</v>
      </c>
      <c r="P8352">
        <v>0</v>
      </c>
      <c r="Q8352">
        <v>5</v>
      </c>
      <c r="R8352" t="s">
        <v>44768</v>
      </c>
      <c r="S8352" t="s">
        <v>44982</v>
      </c>
      <c r="T8352" t="s">
        <v>46811</v>
      </c>
      <c r="U8352" t="s">
        <v>53879</v>
      </c>
      <c r="V8352" t="s">
        <v>60009</v>
      </c>
      <c r="W8352" t="s">
        <v>42739</v>
      </c>
      <c r="X8352" t="s">
        <v>44769</v>
      </c>
    </row>
    <row r="8353" spans="1:24">
      <c r="A8353">
        <f>HYPERLINK("https://www.philgeps.gov.ph/GEPSNONPILOT/Tender/SplashBidNoticeAbstractUI.aspx?menuIndex=3&amp;refID=7139565&amp;Result=3","7139565")</f>
        <v>0</v>
      </c>
      <c r="B8353" t="s">
        <v>2738</v>
      </c>
      <c r="C8353" t="s">
        <v>11662</v>
      </c>
      <c r="D8353" t="s">
        <v>17978</v>
      </c>
      <c r="E8353" t="s">
        <v>25342</v>
      </c>
      <c r="F8353" t="s">
        <v>30903</v>
      </c>
      <c r="G8353" t="s">
        <v>30909</v>
      </c>
      <c r="H8353" t="s">
        <v>30916</v>
      </c>
      <c r="I8353" t="s">
        <v>11785</v>
      </c>
      <c r="J8353" t="s">
        <v>34166</v>
      </c>
      <c r="K8353" t="s">
        <v>40284</v>
      </c>
      <c r="M8353" t="s">
        <v>43512</v>
      </c>
      <c r="N8353" t="s">
        <v>44759</v>
      </c>
      <c r="O8353" t="s">
        <v>44760</v>
      </c>
      <c r="P8353">
        <v>0</v>
      </c>
      <c r="Q8353">
        <v>2</v>
      </c>
      <c r="R8353" t="s">
        <v>44768</v>
      </c>
      <c r="S8353" t="s">
        <v>44982</v>
      </c>
      <c r="T8353" t="s">
        <v>46581</v>
      </c>
      <c r="U8353" t="s">
        <v>53889</v>
      </c>
      <c r="W8353" t="s">
        <v>43512</v>
      </c>
      <c r="X8353" t="s">
        <v>44769</v>
      </c>
    </row>
    <row r="8354" spans="1:24">
      <c r="A8354">
        <f>HYPERLINK("https://www.philgeps.gov.ph/GEPSNONPILOT/Tender/SplashBidNoticeAbstractUI.aspx?menuIndex=3&amp;refID=7139563&amp;Result=3","7139563")</f>
        <v>0</v>
      </c>
      <c r="B8354" t="s">
        <v>2739</v>
      </c>
      <c r="C8354" t="s">
        <v>11663</v>
      </c>
      <c r="D8354" t="s">
        <v>17978</v>
      </c>
      <c r="E8354" t="s">
        <v>25343</v>
      </c>
      <c r="F8354" t="s">
        <v>30900</v>
      </c>
      <c r="G8354" t="s">
        <v>30907</v>
      </c>
      <c r="H8354" t="s">
        <v>30917</v>
      </c>
      <c r="I8354" t="s">
        <v>30930</v>
      </c>
      <c r="J8354" t="s">
        <v>31070</v>
      </c>
      <c r="K8354" t="s">
        <v>40284</v>
      </c>
      <c r="M8354" t="s">
        <v>43513</v>
      </c>
      <c r="N8354" t="s">
        <v>44759</v>
      </c>
      <c r="O8354" t="s">
        <v>44760</v>
      </c>
      <c r="P8354">
        <v>0</v>
      </c>
      <c r="Q8354">
        <v>0</v>
      </c>
      <c r="R8354" t="s">
        <v>44768</v>
      </c>
      <c r="S8354" t="s">
        <v>44982</v>
      </c>
      <c r="T8354" t="s">
        <v>46398</v>
      </c>
      <c r="U8354" t="s">
        <v>53890</v>
      </c>
      <c r="W8354" t="s">
        <v>43513</v>
      </c>
      <c r="X8354" t="s">
        <v>44769</v>
      </c>
    </row>
    <row r="8355" spans="1:24">
      <c r="A8355">
        <f>HYPERLINK("https://www.philgeps.gov.ph/GEPSNONPILOT/Tender/SplashBidNoticeAbstractUI.aspx?menuIndex=3&amp;refID=7139562&amp;Result=3","7139562")</f>
        <v>0</v>
      </c>
      <c r="B8355" t="s">
        <v>793</v>
      </c>
      <c r="C8355" t="s">
        <v>11664</v>
      </c>
      <c r="D8355" t="s">
        <v>18017</v>
      </c>
      <c r="E8355" t="s">
        <v>25344</v>
      </c>
      <c r="F8355" t="s">
        <v>30900</v>
      </c>
      <c r="G8355" t="s">
        <v>30906</v>
      </c>
      <c r="H8355" t="s">
        <v>30916</v>
      </c>
      <c r="I8355" t="s">
        <v>4545</v>
      </c>
      <c r="J8355" t="s">
        <v>34521</v>
      </c>
      <c r="K8355" t="s">
        <v>40286</v>
      </c>
      <c r="M8355" t="s">
        <v>43514</v>
      </c>
      <c r="N8355" t="s">
        <v>44759</v>
      </c>
      <c r="O8355" t="s">
        <v>44760</v>
      </c>
      <c r="P8355">
        <v>0</v>
      </c>
      <c r="Q8355">
        <v>0</v>
      </c>
      <c r="R8355" t="s">
        <v>44768</v>
      </c>
      <c r="S8355" t="s">
        <v>44982</v>
      </c>
      <c r="T8355" t="s">
        <v>46662</v>
      </c>
      <c r="U8355" t="s">
        <v>48032</v>
      </c>
      <c r="W8355" t="s">
        <v>43514</v>
      </c>
      <c r="X8355" t="s">
        <v>44769</v>
      </c>
    </row>
    <row r="8356" spans="1:24">
      <c r="A8356">
        <f>HYPERLINK("https://www.philgeps.gov.ph/GEPSNONPILOT/Tender/SplashBidNoticeAbstractUI.aspx?menuIndex=3&amp;refID=7139556&amp;Result=3","7139556")</f>
        <v>0</v>
      </c>
      <c r="B8356" t="s">
        <v>1254</v>
      </c>
      <c r="C8356" t="s">
        <v>11665</v>
      </c>
      <c r="D8356" t="s">
        <v>17998</v>
      </c>
      <c r="E8356" t="s">
        <v>25345</v>
      </c>
      <c r="F8356" t="s">
        <v>30899</v>
      </c>
      <c r="G8356" t="s">
        <v>30907</v>
      </c>
      <c r="H8356" t="s">
        <v>30915</v>
      </c>
      <c r="I8356" t="s">
        <v>30919</v>
      </c>
      <c r="J8356" t="s">
        <v>32324</v>
      </c>
      <c r="K8356" t="s">
        <v>40342</v>
      </c>
      <c r="M8356" t="s">
        <v>41866</v>
      </c>
      <c r="N8356" t="s">
        <v>44759</v>
      </c>
      <c r="O8356" t="s">
        <v>44760</v>
      </c>
      <c r="P8356">
        <v>0</v>
      </c>
      <c r="Q8356">
        <v>2</v>
      </c>
      <c r="R8356" t="s">
        <v>44768</v>
      </c>
      <c r="S8356" t="s">
        <v>44982</v>
      </c>
      <c r="T8356" t="s">
        <v>46394</v>
      </c>
      <c r="U8356" t="s">
        <v>53891</v>
      </c>
      <c r="V8356" t="s">
        <v>60010</v>
      </c>
      <c r="W8356" t="s">
        <v>41866</v>
      </c>
      <c r="X8356" t="s">
        <v>44769</v>
      </c>
    </row>
    <row r="8357" spans="1:24">
      <c r="A8357">
        <f>HYPERLINK("https://www.philgeps.gov.ph/GEPSNONPILOT/Tender/SplashBidNoticeAbstractUI.aspx?menuIndex=3&amp;refID=7139612&amp;Result=3","7139612")</f>
        <v>0</v>
      </c>
      <c r="B8357" t="s">
        <v>1403</v>
      </c>
      <c r="C8357" t="s">
        <v>11666</v>
      </c>
      <c r="D8357" t="s">
        <v>17954</v>
      </c>
      <c r="E8357" t="s">
        <v>25346</v>
      </c>
      <c r="F8357" t="s">
        <v>30900</v>
      </c>
      <c r="G8357" t="s">
        <v>30907</v>
      </c>
      <c r="H8357" t="s">
        <v>30915</v>
      </c>
      <c r="I8357" t="s">
        <v>30919</v>
      </c>
      <c r="J8357" t="s">
        <v>36314</v>
      </c>
      <c r="K8357" t="s">
        <v>40300</v>
      </c>
      <c r="M8357" t="s">
        <v>42030</v>
      </c>
      <c r="N8357" t="s">
        <v>44759</v>
      </c>
      <c r="O8357" t="s">
        <v>44760</v>
      </c>
      <c r="P8357">
        <v>0</v>
      </c>
      <c r="Q8357">
        <v>0</v>
      </c>
      <c r="R8357" t="s">
        <v>44768</v>
      </c>
      <c r="S8357" t="s">
        <v>44982</v>
      </c>
      <c r="T8357" t="s">
        <v>46807</v>
      </c>
      <c r="U8357" t="s">
        <v>53892</v>
      </c>
      <c r="W8357" t="s">
        <v>42030</v>
      </c>
      <c r="X8357" t="s">
        <v>44769</v>
      </c>
    </row>
    <row r="8358" spans="1:24">
      <c r="A8358">
        <f>HYPERLINK("https://www.philgeps.gov.ph/GEPSNONPILOT/Tender/SplashBidNoticeAbstractUI.aspx?menuIndex=3&amp;refID=7139574&amp;Result=3","7139574")</f>
        <v>0</v>
      </c>
      <c r="B8358" t="s">
        <v>2740</v>
      </c>
      <c r="C8358" t="s">
        <v>8434</v>
      </c>
      <c r="D8358" t="s">
        <v>17996</v>
      </c>
      <c r="E8358" t="s">
        <v>18935</v>
      </c>
      <c r="F8358" t="s">
        <v>30900</v>
      </c>
      <c r="G8358" t="s">
        <v>30907</v>
      </c>
      <c r="H8358" t="s">
        <v>30915</v>
      </c>
      <c r="I8358" t="s">
        <v>30919</v>
      </c>
      <c r="J8358" t="s">
        <v>31096</v>
      </c>
      <c r="K8358" t="s">
        <v>40288</v>
      </c>
      <c r="M8358" t="s">
        <v>43515</v>
      </c>
      <c r="N8358" t="s">
        <v>44759</v>
      </c>
      <c r="O8358" t="s">
        <v>44760</v>
      </c>
      <c r="P8358">
        <v>0</v>
      </c>
      <c r="Q8358">
        <v>0</v>
      </c>
      <c r="R8358" t="s">
        <v>44768</v>
      </c>
      <c r="S8358" t="s">
        <v>44982</v>
      </c>
      <c r="T8358" t="s">
        <v>46700</v>
      </c>
      <c r="U8358" t="s">
        <v>53893</v>
      </c>
      <c r="W8358" t="s">
        <v>43515</v>
      </c>
      <c r="X8358" t="s">
        <v>44769</v>
      </c>
    </row>
    <row r="8359" spans="1:24">
      <c r="A8359">
        <f>HYPERLINK("https://www.philgeps.gov.ph/GEPSNONPILOT/Tender/SplashBidNoticeAbstractUI.aspx?menuIndex=3&amp;refID=7139586&amp;Result=3","7139586")</f>
        <v>0</v>
      </c>
      <c r="B8359" t="s">
        <v>2741</v>
      </c>
      <c r="C8359" t="s">
        <v>11667</v>
      </c>
      <c r="D8359" t="s">
        <v>17952</v>
      </c>
      <c r="E8359" t="s">
        <v>25225</v>
      </c>
      <c r="F8359" t="s">
        <v>30900</v>
      </c>
      <c r="G8359" t="s">
        <v>30907</v>
      </c>
      <c r="H8359" t="s">
        <v>30916</v>
      </c>
      <c r="I8359" t="s">
        <v>30927</v>
      </c>
      <c r="J8359" t="s">
        <v>31204</v>
      </c>
      <c r="K8359" t="s">
        <v>40281</v>
      </c>
      <c r="M8359" t="s">
        <v>43516</v>
      </c>
      <c r="N8359" t="s">
        <v>44759</v>
      </c>
      <c r="O8359" t="s">
        <v>44760</v>
      </c>
      <c r="P8359">
        <v>0</v>
      </c>
      <c r="Q8359">
        <v>1</v>
      </c>
      <c r="R8359" t="s">
        <v>44768</v>
      </c>
      <c r="S8359" t="s">
        <v>44982</v>
      </c>
      <c r="T8359" t="s">
        <v>46625</v>
      </c>
      <c r="U8359" t="s">
        <v>53894</v>
      </c>
      <c r="V8359" t="s">
        <v>59867</v>
      </c>
      <c r="W8359" t="s">
        <v>43516</v>
      </c>
      <c r="X8359" t="s">
        <v>44769</v>
      </c>
    </row>
    <row r="8360" spans="1:24">
      <c r="A8360">
        <f>HYPERLINK("https://www.philgeps.gov.ph/GEPSNONPILOT/Tender/SplashBidNoticeAbstractUI.aspx?menuIndex=3&amp;refID=7139673&amp;Result=3","7139673")</f>
        <v>0</v>
      </c>
      <c r="B8360" t="s">
        <v>2729</v>
      </c>
      <c r="C8360" t="s">
        <v>11668</v>
      </c>
      <c r="D8360" t="s">
        <v>17978</v>
      </c>
      <c r="E8360" t="s">
        <v>25347</v>
      </c>
      <c r="F8360" t="s">
        <v>30900</v>
      </c>
      <c r="G8360" t="s">
        <v>30907</v>
      </c>
      <c r="H8360" t="s">
        <v>30915</v>
      </c>
      <c r="I8360" t="s">
        <v>30919</v>
      </c>
      <c r="J8360" t="s">
        <v>31049</v>
      </c>
      <c r="K8360" t="s">
        <v>40282</v>
      </c>
      <c r="M8360" t="s">
        <v>43504</v>
      </c>
      <c r="N8360" t="s">
        <v>44759</v>
      </c>
      <c r="O8360" t="s">
        <v>44760</v>
      </c>
      <c r="P8360">
        <v>0</v>
      </c>
      <c r="Q8360">
        <v>0</v>
      </c>
      <c r="R8360" t="s">
        <v>44768</v>
      </c>
      <c r="S8360" t="s">
        <v>44982</v>
      </c>
      <c r="T8360" t="s">
        <v>46383</v>
      </c>
      <c r="U8360" t="s">
        <v>53895</v>
      </c>
      <c r="W8360" t="s">
        <v>43504</v>
      </c>
      <c r="X8360" t="s">
        <v>44769</v>
      </c>
    </row>
    <row r="8361" spans="1:24">
      <c r="A8361">
        <f>HYPERLINK("https://www.philgeps.gov.ph/GEPSNONPILOT/Tender/SplashBidNoticeAbstractUI.aspx?menuIndex=3&amp;refID=7139431&amp;Result=3","7139431")</f>
        <v>0</v>
      </c>
      <c r="B8361" t="s">
        <v>2707</v>
      </c>
      <c r="C8361" t="s">
        <v>11669</v>
      </c>
      <c r="D8361" t="s">
        <v>17953</v>
      </c>
      <c r="E8361" t="s">
        <v>25348</v>
      </c>
      <c r="F8361" t="s">
        <v>30900</v>
      </c>
      <c r="G8361" t="s">
        <v>30907</v>
      </c>
      <c r="H8361" t="s">
        <v>30916</v>
      </c>
      <c r="I8361" t="s">
        <v>8365</v>
      </c>
      <c r="J8361" t="s">
        <v>36315</v>
      </c>
      <c r="K8361" t="s">
        <v>40289</v>
      </c>
      <c r="M8361" t="s">
        <v>43480</v>
      </c>
      <c r="N8361" t="s">
        <v>44759</v>
      </c>
      <c r="O8361" t="s">
        <v>44760</v>
      </c>
      <c r="P8361">
        <v>0</v>
      </c>
      <c r="Q8361">
        <v>2</v>
      </c>
      <c r="R8361" t="s">
        <v>44768</v>
      </c>
      <c r="S8361" t="s">
        <v>44982</v>
      </c>
      <c r="T8361" t="s">
        <v>46374</v>
      </c>
      <c r="U8361" t="s">
        <v>53896</v>
      </c>
      <c r="W8361" t="s">
        <v>43480</v>
      </c>
      <c r="X8361" t="s">
        <v>44769</v>
      </c>
    </row>
    <row r="8362" spans="1:24">
      <c r="A8362">
        <f>HYPERLINK("https://www.philgeps.gov.ph/GEPSNONPILOT/Tender/SplashBidNoticeAbstractUI.aspx?menuIndex=3&amp;refID=7139668&amp;Result=3","7139668")</f>
        <v>0</v>
      </c>
      <c r="B8362" t="s">
        <v>41</v>
      </c>
      <c r="C8362" t="s">
        <v>11670</v>
      </c>
      <c r="D8362" t="s">
        <v>17966</v>
      </c>
      <c r="E8362" t="s">
        <v>25349</v>
      </c>
      <c r="F8362" t="s">
        <v>30900</v>
      </c>
      <c r="G8362" t="s">
        <v>30908</v>
      </c>
      <c r="H8362" t="s">
        <v>30916</v>
      </c>
      <c r="I8362" t="s">
        <v>5830</v>
      </c>
      <c r="J8362" t="s">
        <v>31048</v>
      </c>
      <c r="K8362" t="s">
        <v>40284</v>
      </c>
      <c r="M8362" t="s">
        <v>43517</v>
      </c>
      <c r="N8362" t="s">
        <v>44759</v>
      </c>
      <c r="O8362" t="s">
        <v>44760</v>
      </c>
      <c r="P8362">
        <v>0</v>
      </c>
      <c r="Q8362">
        <v>2</v>
      </c>
      <c r="R8362" t="s">
        <v>44768</v>
      </c>
      <c r="S8362" t="s">
        <v>44982</v>
      </c>
      <c r="T8362" t="s">
        <v>46389</v>
      </c>
      <c r="U8362" t="s">
        <v>53897</v>
      </c>
      <c r="V8362" t="s">
        <v>59095</v>
      </c>
      <c r="W8362" t="s">
        <v>43517</v>
      </c>
      <c r="X8362" t="s">
        <v>44769</v>
      </c>
    </row>
    <row r="8363" spans="1:24">
      <c r="A8363">
        <f>HYPERLINK("https://www.philgeps.gov.ph/GEPSNONPILOT/Tender/SplashBidNoticeAbstractUI.aspx?menuIndex=3&amp;refID=7139666&amp;Result=3","7139666")</f>
        <v>0</v>
      </c>
      <c r="B8363" t="s">
        <v>1254</v>
      </c>
      <c r="C8363" t="s">
        <v>11671</v>
      </c>
      <c r="D8363" t="s">
        <v>17998</v>
      </c>
      <c r="E8363" t="s">
        <v>25350</v>
      </c>
      <c r="F8363" t="s">
        <v>30899</v>
      </c>
      <c r="G8363" t="s">
        <v>30907</v>
      </c>
      <c r="H8363" t="s">
        <v>30915</v>
      </c>
      <c r="I8363" t="s">
        <v>30919</v>
      </c>
      <c r="J8363" t="s">
        <v>36316</v>
      </c>
      <c r="K8363" t="s">
        <v>40292</v>
      </c>
      <c r="M8363" t="s">
        <v>41866</v>
      </c>
      <c r="N8363" t="s">
        <v>44759</v>
      </c>
      <c r="O8363" t="s">
        <v>44760</v>
      </c>
      <c r="P8363">
        <v>0</v>
      </c>
      <c r="Q8363">
        <v>2</v>
      </c>
      <c r="R8363" t="s">
        <v>44768</v>
      </c>
      <c r="S8363" t="s">
        <v>44982</v>
      </c>
      <c r="T8363" t="s">
        <v>46349</v>
      </c>
      <c r="U8363" t="s">
        <v>53898</v>
      </c>
      <c r="V8363" t="s">
        <v>60011</v>
      </c>
      <c r="W8363" t="s">
        <v>41866</v>
      </c>
      <c r="X8363" t="s">
        <v>44769</v>
      </c>
    </row>
    <row r="8364" spans="1:24">
      <c r="A8364">
        <f>HYPERLINK("https://www.philgeps.gov.ph/GEPSNONPILOT/Tender/SplashBidNoticeAbstractUI.aspx?menuIndex=3&amp;refID=7139663&amp;Result=3","7139663")</f>
        <v>0</v>
      </c>
      <c r="B8364" t="s">
        <v>2726</v>
      </c>
      <c r="C8364" t="s">
        <v>11672</v>
      </c>
      <c r="D8364" t="s">
        <v>17951</v>
      </c>
      <c r="E8364" t="s">
        <v>25351</v>
      </c>
      <c r="F8364" t="s">
        <v>30900</v>
      </c>
      <c r="G8364" t="s">
        <v>30907</v>
      </c>
      <c r="H8364" t="s">
        <v>30915</v>
      </c>
      <c r="I8364" t="s">
        <v>30919</v>
      </c>
      <c r="J8364" t="s">
        <v>31577</v>
      </c>
      <c r="K8364" t="s">
        <v>40292</v>
      </c>
      <c r="M8364" t="s">
        <v>43501</v>
      </c>
      <c r="N8364" t="s">
        <v>44759</v>
      </c>
      <c r="O8364" t="s">
        <v>44760</v>
      </c>
      <c r="P8364">
        <v>0</v>
      </c>
      <c r="Q8364">
        <v>0</v>
      </c>
      <c r="R8364" t="s">
        <v>44768</v>
      </c>
      <c r="S8364" t="s">
        <v>44982</v>
      </c>
      <c r="T8364" t="s">
        <v>46405</v>
      </c>
      <c r="U8364" t="s">
        <v>53899</v>
      </c>
      <c r="W8364" t="s">
        <v>43501</v>
      </c>
      <c r="X8364" t="s">
        <v>44769</v>
      </c>
    </row>
    <row r="8365" spans="1:24">
      <c r="A8365">
        <f>HYPERLINK("https://www.philgeps.gov.ph/GEPSNONPILOT/Tender/SplashBidNoticeAbstractUI.aspx?menuIndex=3&amp;refID=7139591&amp;Result=3","7139591")</f>
        <v>0</v>
      </c>
      <c r="B8365" t="s">
        <v>2380</v>
      </c>
      <c r="C8365" t="s">
        <v>11673</v>
      </c>
      <c r="D8365" t="s">
        <v>17951</v>
      </c>
      <c r="E8365" t="s">
        <v>25352</v>
      </c>
      <c r="F8365" t="s">
        <v>30900</v>
      </c>
      <c r="G8365" t="s">
        <v>30908</v>
      </c>
      <c r="H8365" t="s">
        <v>7411</v>
      </c>
      <c r="I8365" t="s">
        <v>7411</v>
      </c>
      <c r="J8365" t="s">
        <v>36258</v>
      </c>
      <c r="K8365" t="s">
        <v>40283</v>
      </c>
      <c r="M8365" t="s">
        <v>43106</v>
      </c>
      <c r="N8365" t="s">
        <v>44759</v>
      </c>
      <c r="O8365" t="s">
        <v>44760</v>
      </c>
      <c r="P8365">
        <v>0</v>
      </c>
      <c r="Q8365">
        <v>3</v>
      </c>
      <c r="R8365" t="s">
        <v>44768</v>
      </c>
      <c r="S8365" t="s">
        <v>44982</v>
      </c>
      <c r="T8365" t="s">
        <v>46625</v>
      </c>
      <c r="U8365" t="s">
        <v>53811</v>
      </c>
      <c r="W8365" t="s">
        <v>43106</v>
      </c>
      <c r="X8365" t="s">
        <v>44769</v>
      </c>
    </row>
    <row r="8366" spans="1:24">
      <c r="A8366">
        <f>HYPERLINK("https://www.philgeps.gov.ph/GEPSNONPILOT/Tender/SplashBidNoticeAbstractUI.aspx?menuIndex=3&amp;refID=7139660&amp;Result=3","7139660")</f>
        <v>0</v>
      </c>
      <c r="B8366" t="s">
        <v>1405</v>
      </c>
      <c r="C8366" t="s">
        <v>11674</v>
      </c>
      <c r="D8366" t="s">
        <v>17959</v>
      </c>
      <c r="E8366" t="s">
        <v>25353</v>
      </c>
      <c r="F8366" t="s">
        <v>30900</v>
      </c>
      <c r="G8366" t="s">
        <v>30907</v>
      </c>
      <c r="H8366" t="s">
        <v>30916</v>
      </c>
      <c r="I8366" t="s">
        <v>4142</v>
      </c>
      <c r="J8366" t="s">
        <v>36317</v>
      </c>
      <c r="K8366" t="s">
        <v>40284</v>
      </c>
      <c r="M8366" t="s">
        <v>42034</v>
      </c>
      <c r="N8366" t="s">
        <v>44759</v>
      </c>
      <c r="O8366" t="s">
        <v>44760</v>
      </c>
      <c r="P8366">
        <v>0</v>
      </c>
      <c r="Q8366">
        <v>19</v>
      </c>
      <c r="R8366" t="s">
        <v>44768</v>
      </c>
      <c r="S8366" t="s">
        <v>44982</v>
      </c>
      <c r="T8366" t="s">
        <v>46495</v>
      </c>
      <c r="U8366" t="s">
        <v>53888</v>
      </c>
      <c r="W8366" t="s">
        <v>42034</v>
      </c>
      <c r="X8366" t="s">
        <v>44769</v>
      </c>
    </row>
    <row r="8367" spans="1:24">
      <c r="A8367">
        <f>HYPERLINK("https://www.philgeps.gov.ph/GEPSNONPILOT/Tender/SplashBidNoticeAbstractUI.aspx?menuIndex=3&amp;refID=7139557&amp;Result=3","7139557")</f>
        <v>0</v>
      </c>
      <c r="B8367" t="s">
        <v>384</v>
      </c>
      <c r="C8367" t="s">
        <v>11675</v>
      </c>
      <c r="D8367" t="s">
        <v>17987</v>
      </c>
      <c r="E8367" t="s">
        <v>25354</v>
      </c>
      <c r="F8367" t="s">
        <v>30900</v>
      </c>
      <c r="G8367" t="s">
        <v>30909</v>
      </c>
      <c r="H8367" t="s">
        <v>30916</v>
      </c>
      <c r="I8367" t="s">
        <v>4004</v>
      </c>
      <c r="J8367" t="s">
        <v>31049</v>
      </c>
      <c r="K8367" t="s">
        <v>40294</v>
      </c>
      <c r="M8367" t="s">
        <v>40939</v>
      </c>
      <c r="N8367" t="s">
        <v>44759</v>
      </c>
      <c r="O8367" t="s">
        <v>44760</v>
      </c>
      <c r="P8367">
        <v>0</v>
      </c>
      <c r="Q8367">
        <v>1</v>
      </c>
      <c r="R8367" t="s">
        <v>44768</v>
      </c>
      <c r="S8367" t="s">
        <v>44982</v>
      </c>
      <c r="T8367" t="s">
        <v>46409</v>
      </c>
      <c r="U8367" t="s">
        <v>53900</v>
      </c>
      <c r="W8367" t="s">
        <v>40939</v>
      </c>
      <c r="X8367" t="s">
        <v>44769</v>
      </c>
    </row>
    <row r="8368" spans="1:24">
      <c r="A8368">
        <f>HYPERLINK("https://www.philgeps.gov.ph/GEPSNONPILOT/Tender/SplashBidNoticeAbstractUI.aspx?menuIndex=3&amp;refID=7139649&amp;Result=3","7139649")</f>
        <v>0</v>
      </c>
      <c r="B8368" t="s">
        <v>2742</v>
      </c>
      <c r="C8368" t="s">
        <v>11676</v>
      </c>
      <c r="D8368" t="s">
        <v>17993</v>
      </c>
      <c r="E8368" t="s">
        <v>25355</v>
      </c>
      <c r="F8368" t="s">
        <v>30900</v>
      </c>
      <c r="G8368" t="s">
        <v>30907</v>
      </c>
      <c r="H8368" t="s">
        <v>30915</v>
      </c>
      <c r="I8368" t="s">
        <v>30919</v>
      </c>
      <c r="J8368" t="s">
        <v>36318</v>
      </c>
      <c r="K8368" t="s">
        <v>40286</v>
      </c>
      <c r="M8368" t="s">
        <v>43518</v>
      </c>
      <c r="N8368" t="s">
        <v>44759</v>
      </c>
      <c r="O8368" t="s">
        <v>44760</v>
      </c>
      <c r="P8368">
        <v>0</v>
      </c>
      <c r="Q8368">
        <v>1</v>
      </c>
      <c r="R8368" t="s">
        <v>44768</v>
      </c>
      <c r="S8368" t="s">
        <v>44982</v>
      </c>
      <c r="T8368" t="s">
        <v>46533</v>
      </c>
      <c r="U8368" t="s">
        <v>49511</v>
      </c>
      <c r="W8368" t="s">
        <v>43518</v>
      </c>
      <c r="X8368" t="s">
        <v>44769</v>
      </c>
    </row>
    <row r="8369" spans="1:24">
      <c r="A8369">
        <f>HYPERLINK("https://www.philgeps.gov.ph/GEPSNONPILOT/Tender/SplashBidNoticeAbstractUI.aspx?menuIndex=3&amp;refID=7139642&amp;Result=3","7139642")</f>
        <v>0</v>
      </c>
      <c r="B8369" t="s">
        <v>73</v>
      </c>
      <c r="C8369" t="s">
        <v>11677</v>
      </c>
      <c r="D8369" t="s">
        <v>17983</v>
      </c>
      <c r="E8369" t="s">
        <v>25356</v>
      </c>
      <c r="F8369" t="s">
        <v>30900</v>
      </c>
      <c r="G8369" t="s">
        <v>30907</v>
      </c>
      <c r="H8369" t="s">
        <v>30916</v>
      </c>
      <c r="I8369" t="s">
        <v>6396</v>
      </c>
      <c r="J8369" t="s">
        <v>31830</v>
      </c>
      <c r="K8369" t="s">
        <v>40286</v>
      </c>
      <c r="M8369" t="s">
        <v>40620</v>
      </c>
      <c r="N8369" t="s">
        <v>44759</v>
      </c>
      <c r="O8369" t="s">
        <v>44760</v>
      </c>
      <c r="P8369">
        <v>0</v>
      </c>
      <c r="Q8369">
        <v>1</v>
      </c>
      <c r="R8369" t="s">
        <v>44768</v>
      </c>
      <c r="S8369" t="s">
        <v>44982</v>
      </c>
      <c r="T8369" t="s">
        <v>46658</v>
      </c>
      <c r="U8369" t="s">
        <v>53901</v>
      </c>
      <c r="W8369" t="s">
        <v>40620</v>
      </c>
      <c r="X8369" t="s">
        <v>44769</v>
      </c>
    </row>
    <row r="8370" spans="1:24">
      <c r="A8370">
        <f>HYPERLINK("https://www.philgeps.gov.ph/GEPSNONPILOT/Tender/SplashBidNoticeAbstractUI.aspx?menuIndex=3&amp;refID=7139635&amp;Result=3","7139635")</f>
        <v>0</v>
      </c>
      <c r="B8370" t="s">
        <v>2743</v>
      </c>
      <c r="C8370" t="s">
        <v>11678</v>
      </c>
      <c r="D8370" t="s">
        <v>17966</v>
      </c>
      <c r="E8370" t="s">
        <v>25357</v>
      </c>
      <c r="F8370" t="s">
        <v>30900</v>
      </c>
      <c r="G8370" t="s">
        <v>30907</v>
      </c>
      <c r="H8370" t="s">
        <v>30916</v>
      </c>
      <c r="I8370" t="s">
        <v>9385</v>
      </c>
      <c r="J8370" t="s">
        <v>31105</v>
      </c>
      <c r="K8370" t="s">
        <v>40286</v>
      </c>
      <c r="M8370" t="s">
        <v>43519</v>
      </c>
      <c r="N8370" t="s">
        <v>44759</v>
      </c>
      <c r="O8370" t="s">
        <v>44760</v>
      </c>
      <c r="P8370">
        <v>0</v>
      </c>
      <c r="Q8370">
        <v>8</v>
      </c>
      <c r="R8370" t="s">
        <v>44768</v>
      </c>
      <c r="S8370" t="s">
        <v>44982</v>
      </c>
      <c r="T8370" t="s">
        <v>46428</v>
      </c>
      <c r="U8370" t="s">
        <v>53902</v>
      </c>
      <c r="W8370" t="s">
        <v>43519</v>
      </c>
      <c r="X8370" t="s">
        <v>44769</v>
      </c>
    </row>
    <row r="8371" spans="1:24">
      <c r="A8371">
        <f>HYPERLINK("https://www.philgeps.gov.ph/GEPSNONPILOT/Tender/SplashBidNoticeAbstractUI.aspx?menuIndex=3&amp;refID=7139609&amp;Result=3","7139609")</f>
        <v>0</v>
      </c>
      <c r="B8371" t="s">
        <v>1492</v>
      </c>
      <c r="C8371" t="s">
        <v>11679</v>
      </c>
      <c r="D8371" t="s">
        <v>17961</v>
      </c>
      <c r="E8371" t="s">
        <v>25358</v>
      </c>
      <c r="F8371" t="s">
        <v>30899</v>
      </c>
      <c r="G8371" t="s">
        <v>30907</v>
      </c>
      <c r="H8371" t="s">
        <v>30916</v>
      </c>
      <c r="I8371" t="s">
        <v>31030</v>
      </c>
      <c r="J8371" t="s">
        <v>31243</v>
      </c>
      <c r="K8371" t="s">
        <v>40284</v>
      </c>
      <c r="M8371" t="s">
        <v>42131</v>
      </c>
      <c r="N8371" t="s">
        <v>44759</v>
      </c>
      <c r="O8371" t="s">
        <v>44760</v>
      </c>
      <c r="P8371">
        <v>0</v>
      </c>
      <c r="Q8371">
        <v>2</v>
      </c>
      <c r="R8371" t="s">
        <v>44768</v>
      </c>
      <c r="S8371" t="s">
        <v>44982</v>
      </c>
      <c r="T8371" t="s">
        <v>46606</v>
      </c>
      <c r="U8371" t="s">
        <v>53903</v>
      </c>
      <c r="W8371" t="s">
        <v>42131</v>
      </c>
      <c r="X8371" t="s">
        <v>44769</v>
      </c>
    </row>
    <row r="8372" spans="1:24">
      <c r="A8372">
        <f>HYPERLINK("https://www.philgeps.gov.ph/GEPSNONPILOT/Tender/SplashBidNoticeAbstractUI.aspx?menuIndex=3&amp;refID=7139661&amp;Result=3","7139661")</f>
        <v>0</v>
      </c>
      <c r="B8372" t="s">
        <v>1403</v>
      </c>
      <c r="C8372" t="s">
        <v>11680</v>
      </c>
      <c r="D8372" t="s">
        <v>17954</v>
      </c>
      <c r="E8372" t="s">
        <v>25359</v>
      </c>
      <c r="F8372" t="s">
        <v>30900</v>
      </c>
      <c r="G8372" t="s">
        <v>30907</v>
      </c>
      <c r="H8372" t="s">
        <v>30916</v>
      </c>
      <c r="I8372" t="s">
        <v>30919</v>
      </c>
      <c r="J8372" t="s">
        <v>31130</v>
      </c>
      <c r="K8372" t="s">
        <v>40331</v>
      </c>
      <c r="M8372" t="s">
        <v>42030</v>
      </c>
      <c r="N8372" t="s">
        <v>44759</v>
      </c>
      <c r="O8372" t="s">
        <v>44760</v>
      </c>
      <c r="P8372">
        <v>0</v>
      </c>
      <c r="Q8372">
        <v>0</v>
      </c>
      <c r="R8372" t="s">
        <v>44768</v>
      </c>
      <c r="S8372" t="s">
        <v>44982</v>
      </c>
      <c r="T8372" t="s">
        <v>46552</v>
      </c>
      <c r="U8372" t="s">
        <v>53904</v>
      </c>
      <c r="W8372" t="s">
        <v>42030</v>
      </c>
      <c r="X8372" t="s">
        <v>44769</v>
      </c>
    </row>
    <row r="8373" spans="1:24">
      <c r="A8373">
        <f>HYPERLINK("https://www.philgeps.gov.ph/GEPSNONPILOT/Tender/SplashBidNoticeAbstractUI.aspx?menuIndex=3&amp;refID=7139625&amp;Result=3","7139625")</f>
        <v>0</v>
      </c>
      <c r="B8373" t="s">
        <v>2042</v>
      </c>
      <c r="C8373" t="s">
        <v>11681</v>
      </c>
      <c r="D8373" t="s">
        <v>17969</v>
      </c>
      <c r="E8373" t="s">
        <v>25360</v>
      </c>
      <c r="F8373" t="s">
        <v>30900</v>
      </c>
      <c r="G8373" t="s">
        <v>30907</v>
      </c>
      <c r="H8373" t="s">
        <v>30916</v>
      </c>
      <c r="I8373" t="s">
        <v>30919</v>
      </c>
      <c r="J8373" t="s">
        <v>36319</v>
      </c>
      <c r="K8373" t="s">
        <v>40289</v>
      </c>
      <c r="M8373" t="s">
        <v>42739</v>
      </c>
      <c r="N8373" t="s">
        <v>44759</v>
      </c>
      <c r="O8373" t="s">
        <v>44760</v>
      </c>
      <c r="P8373">
        <v>0</v>
      </c>
      <c r="Q8373">
        <v>0</v>
      </c>
      <c r="R8373" t="s">
        <v>44768</v>
      </c>
      <c r="S8373" t="s">
        <v>44982</v>
      </c>
      <c r="T8373" t="s">
        <v>46811</v>
      </c>
      <c r="U8373" t="s">
        <v>53879</v>
      </c>
      <c r="V8373" t="s">
        <v>60012</v>
      </c>
      <c r="W8373" t="s">
        <v>42739</v>
      </c>
      <c r="X8373" t="s">
        <v>44769</v>
      </c>
    </row>
    <row r="8374" spans="1:24">
      <c r="A8374">
        <f>HYPERLINK("https://www.philgeps.gov.ph/GEPSNONPILOT/Tender/SplashBidNoticeAbstractUI.aspx?menuIndex=3&amp;refID=7139622&amp;Result=3","7139622")</f>
        <v>0</v>
      </c>
      <c r="B8374" t="s">
        <v>1132</v>
      </c>
      <c r="C8374" t="s">
        <v>11682</v>
      </c>
      <c r="D8374" t="s">
        <v>17980</v>
      </c>
      <c r="E8374" t="s">
        <v>25361</v>
      </c>
      <c r="F8374" t="s">
        <v>30899</v>
      </c>
      <c r="G8374" t="s">
        <v>30910</v>
      </c>
      <c r="H8374" t="s">
        <v>30916</v>
      </c>
      <c r="I8374" t="s">
        <v>6396</v>
      </c>
      <c r="J8374" t="s">
        <v>36320</v>
      </c>
      <c r="K8374" t="s">
        <v>40289</v>
      </c>
      <c r="M8374" t="s">
        <v>41734</v>
      </c>
      <c r="N8374" t="s">
        <v>44759</v>
      </c>
      <c r="O8374" t="s">
        <v>44760</v>
      </c>
      <c r="P8374">
        <v>0</v>
      </c>
      <c r="Q8374">
        <v>0</v>
      </c>
      <c r="R8374" t="s">
        <v>44768</v>
      </c>
      <c r="S8374" t="s">
        <v>44982</v>
      </c>
      <c r="T8374" t="s">
        <v>46662</v>
      </c>
      <c r="U8374" t="s">
        <v>53905</v>
      </c>
      <c r="W8374" t="s">
        <v>41734</v>
      </c>
      <c r="X8374" t="s">
        <v>44769</v>
      </c>
    </row>
    <row r="8375" spans="1:24">
      <c r="A8375">
        <f>HYPERLINK("https://www.philgeps.gov.ph/GEPSNONPILOT/Tender/SplashBidNoticeAbstractUI.aspx?menuIndex=3&amp;refID=7139636&amp;Result=3","7139636")</f>
        <v>0</v>
      </c>
      <c r="B8375" t="s">
        <v>41</v>
      </c>
      <c r="C8375" t="s">
        <v>11683</v>
      </c>
      <c r="D8375" t="s">
        <v>17966</v>
      </c>
      <c r="E8375" t="s">
        <v>25362</v>
      </c>
      <c r="F8375" t="s">
        <v>30900</v>
      </c>
      <c r="G8375" t="s">
        <v>30908</v>
      </c>
      <c r="H8375" t="s">
        <v>30916</v>
      </c>
      <c r="I8375" t="s">
        <v>4545</v>
      </c>
      <c r="J8375" t="s">
        <v>32818</v>
      </c>
      <c r="K8375" t="s">
        <v>40284</v>
      </c>
      <c r="M8375" t="s">
        <v>43517</v>
      </c>
      <c r="N8375" t="s">
        <v>44759</v>
      </c>
      <c r="O8375" t="s">
        <v>44760</v>
      </c>
      <c r="P8375">
        <v>0</v>
      </c>
      <c r="Q8375">
        <v>1</v>
      </c>
      <c r="R8375" t="s">
        <v>44768</v>
      </c>
      <c r="S8375" t="s">
        <v>44982</v>
      </c>
      <c r="T8375" t="s">
        <v>46389</v>
      </c>
      <c r="U8375" t="s">
        <v>53897</v>
      </c>
      <c r="V8375" t="s">
        <v>59095</v>
      </c>
      <c r="W8375" t="s">
        <v>43517</v>
      </c>
      <c r="X8375" t="s">
        <v>44769</v>
      </c>
    </row>
    <row r="8376" spans="1:24">
      <c r="A8376">
        <f>HYPERLINK("https://www.philgeps.gov.ph/GEPSNONPILOT/Tender/SplashBidNoticeAbstractUI.aspx?menuIndex=3&amp;refID=7139611&amp;Result=3","7139611")</f>
        <v>0</v>
      </c>
      <c r="B8376" t="s">
        <v>895</v>
      </c>
      <c r="C8376" t="s">
        <v>11684</v>
      </c>
      <c r="D8376" t="s">
        <v>18009</v>
      </c>
      <c r="E8376" t="s">
        <v>25363</v>
      </c>
      <c r="F8376" t="s">
        <v>30900</v>
      </c>
      <c r="G8376" t="s">
        <v>30907</v>
      </c>
      <c r="H8376" t="s">
        <v>30915</v>
      </c>
      <c r="I8376" t="s">
        <v>30919</v>
      </c>
      <c r="J8376" t="s">
        <v>31391</v>
      </c>
      <c r="K8376" t="s">
        <v>40280</v>
      </c>
      <c r="M8376" t="s">
        <v>41469</v>
      </c>
      <c r="N8376" t="s">
        <v>44759</v>
      </c>
      <c r="O8376" t="s">
        <v>44760</v>
      </c>
      <c r="P8376">
        <v>0</v>
      </c>
      <c r="Q8376">
        <v>2</v>
      </c>
      <c r="R8376" t="s">
        <v>44768</v>
      </c>
      <c r="S8376" t="s">
        <v>44982</v>
      </c>
      <c r="T8376" t="s">
        <v>46488</v>
      </c>
      <c r="U8376" t="s">
        <v>53906</v>
      </c>
      <c r="W8376" t="s">
        <v>41469</v>
      </c>
      <c r="X8376" t="s">
        <v>44769</v>
      </c>
    </row>
    <row r="8377" spans="1:24">
      <c r="A8377">
        <f>HYPERLINK("https://www.philgeps.gov.ph/GEPSNONPILOT/Tender/SplashBidNoticeAbstractUI.aspx?menuIndex=3&amp;refID=7139626&amp;Result=3","7139626")</f>
        <v>0</v>
      </c>
      <c r="B8377" t="s">
        <v>892</v>
      </c>
      <c r="C8377" t="s">
        <v>5383</v>
      </c>
      <c r="D8377" t="s">
        <v>17978</v>
      </c>
      <c r="E8377" t="s">
        <v>25364</v>
      </c>
      <c r="F8377" t="s">
        <v>30900</v>
      </c>
      <c r="G8377" t="s">
        <v>30907</v>
      </c>
      <c r="H8377" t="s">
        <v>30916</v>
      </c>
      <c r="I8377" t="s">
        <v>4142</v>
      </c>
      <c r="J8377" t="s">
        <v>36321</v>
      </c>
      <c r="K8377" t="s">
        <v>40284</v>
      </c>
      <c r="M8377" t="s">
        <v>41466</v>
      </c>
      <c r="N8377" t="s">
        <v>44759</v>
      </c>
      <c r="O8377" t="s">
        <v>44760</v>
      </c>
      <c r="Q8377">
        <v>4</v>
      </c>
      <c r="R8377" t="s">
        <v>44768</v>
      </c>
      <c r="S8377" t="s">
        <v>45002</v>
      </c>
      <c r="T8377" t="s">
        <v>46515</v>
      </c>
      <c r="U8377" t="s">
        <v>53907</v>
      </c>
      <c r="W8377" t="s">
        <v>41466</v>
      </c>
      <c r="X8377" t="s">
        <v>44769</v>
      </c>
    </row>
    <row r="8378" spans="1:24">
      <c r="A8378">
        <f>HYPERLINK("https://www.philgeps.gov.ph/GEPSNONPILOT/Tender/SplashBidNoticeAbstractUI.aspx?menuIndex=3&amp;refID=7139674&amp;Result=3","7139674")</f>
        <v>0</v>
      </c>
      <c r="B8378" t="s">
        <v>1890</v>
      </c>
      <c r="C8378" t="s">
        <v>11685</v>
      </c>
      <c r="D8378" t="s">
        <v>17970</v>
      </c>
      <c r="E8378" t="s">
        <v>25365</v>
      </c>
      <c r="F8378" t="s">
        <v>30900</v>
      </c>
      <c r="G8378" t="s">
        <v>30906</v>
      </c>
      <c r="H8378" t="s">
        <v>30915</v>
      </c>
      <c r="I8378" t="s">
        <v>30919</v>
      </c>
      <c r="J8378" t="s">
        <v>36322</v>
      </c>
      <c r="K8378" t="s">
        <v>40317</v>
      </c>
      <c r="M8378" t="s">
        <v>42565</v>
      </c>
      <c r="N8378" t="s">
        <v>44759</v>
      </c>
      <c r="O8378" t="s">
        <v>44760</v>
      </c>
      <c r="P8378">
        <v>0</v>
      </c>
      <c r="Q8378">
        <v>0</v>
      </c>
      <c r="R8378" t="s">
        <v>44768</v>
      </c>
      <c r="S8378" t="s">
        <v>44982</v>
      </c>
      <c r="T8378" t="s">
        <v>46606</v>
      </c>
      <c r="U8378" t="s">
        <v>53908</v>
      </c>
      <c r="W8378" t="s">
        <v>42565</v>
      </c>
      <c r="X8378" t="s">
        <v>44769</v>
      </c>
    </row>
    <row r="8379" spans="1:24">
      <c r="A8379">
        <f>HYPERLINK("https://www.philgeps.gov.ph/GEPSNONPILOT/Tender/SplashBidNoticeAbstractUI.aspx?menuIndex=3&amp;refID=7139697&amp;Result=3","7139697")</f>
        <v>0</v>
      </c>
      <c r="B8379" t="s">
        <v>1459</v>
      </c>
      <c r="C8379" t="s">
        <v>11686</v>
      </c>
      <c r="D8379" t="s">
        <v>17975</v>
      </c>
      <c r="E8379" t="s">
        <v>25366</v>
      </c>
      <c r="F8379" t="s">
        <v>30900</v>
      </c>
      <c r="G8379" t="s">
        <v>30907</v>
      </c>
      <c r="H8379" t="s">
        <v>30916</v>
      </c>
      <c r="I8379" t="s">
        <v>31024</v>
      </c>
      <c r="J8379" t="s">
        <v>31341</v>
      </c>
      <c r="K8379" t="s">
        <v>40284</v>
      </c>
      <c r="L8379" t="s">
        <v>1459</v>
      </c>
      <c r="M8379" t="s">
        <v>42091</v>
      </c>
      <c r="N8379" t="s">
        <v>44759</v>
      </c>
      <c r="O8379" t="s">
        <v>44760</v>
      </c>
      <c r="P8379">
        <v>0</v>
      </c>
      <c r="Q8379">
        <v>2</v>
      </c>
      <c r="R8379" t="s">
        <v>44768</v>
      </c>
      <c r="S8379" t="s">
        <v>44982</v>
      </c>
      <c r="T8379" t="s">
        <v>46625</v>
      </c>
      <c r="U8379" t="s">
        <v>53909</v>
      </c>
      <c r="W8379" t="s">
        <v>42091</v>
      </c>
      <c r="X8379" t="s">
        <v>44769</v>
      </c>
    </row>
    <row r="8380" spans="1:24">
      <c r="A8380">
        <f>HYPERLINK("https://www.philgeps.gov.ph/GEPSNONPILOT/Tender/SplashBidNoticeAbstractUI.aspx?menuIndex=3&amp;refID=7139615&amp;Result=3","7139615")</f>
        <v>0</v>
      </c>
      <c r="B8380" t="s">
        <v>1040</v>
      </c>
      <c r="C8380" t="s">
        <v>11687</v>
      </c>
      <c r="D8380" t="s">
        <v>17978</v>
      </c>
      <c r="E8380" t="s">
        <v>25367</v>
      </c>
      <c r="F8380" t="s">
        <v>30900</v>
      </c>
      <c r="G8380" t="s">
        <v>30907</v>
      </c>
      <c r="H8380" t="s">
        <v>30916</v>
      </c>
      <c r="I8380" t="s">
        <v>8123</v>
      </c>
      <c r="J8380" t="s">
        <v>36323</v>
      </c>
      <c r="K8380" t="s">
        <v>40283</v>
      </c>
      <c r="M8380" t="s">
        <v>41632</v>
      </c>
      <c r="N8380" t="s">
        <v>44759</v>
      </c>
      <c r="O8380" t="s">
        <v>44760</v>
      </c>
      <c r="P8380">
        <v>0</v>
      </c>
      <c r="Q8380">
        <v>1</v>
      </c>
      <c r="R8380" t="s">
        <v>44768</v>
      </c>
      <c r="S8380" t="s">
        <v>44982</v>
      </c>
      <c r="T8380" t="s">
        <v>46812</v>
      </c>
      <c r="U8380" t="s">
        <v>53910</v>
      </c>
      <c r="V8380" t="s">
        <v>60013</v>
      </c>
      <c r="W8380" t="s">
        <v>41632</v>
      </c>
      <c r="X8380" t="s">
        <v>44769</v>
      </c>
    </row>
    <row r="8381" spans="1:24">
      <c r="A8381">
        <f>HYPERLINK("https://www.philgeps.gov.ph/GEPSNONPILOT/Tender/SplashBidNoticeAbstractUI.aspx?menuIndex=3&amp;refID=7139720&amp;Result=3","7139720")</f>
        <v>0</v>
      </c>
      <c r="B8381" t="s">
        <v>2583</v>
      </c>
      <c r="C8381" t="s">
        <v>11688</v>
      </c>
      <c r="D8381" t="s">
        <v>17998</v>
      </c>
      <c r="E8381" t="s">
        <v>25368</v>
      </c>
      <c r="F8381" t="s">
        <v>30900</v>
      </c>
      <c r="G8381" t="s">
        <v>30908</v>
      </c>
      <c r="H8381" t="s">
        <v>30916</v>
      </c>
      <c r="I8381" t="s">
        <v>30923</v>
      </c>
      <c r="J8381" t="s">
        <v>36324</v>
      </c>
      <c r="K8381" t="s">
        <v>40286</v>
      </c>
      <c r="M8381" t="s">
        <v>43342</v>
      </c>
      <c r="N8381" t="s">
        <v>44759</v>
      </c>
      <c r="O8381" t="s">
        <v>44760</v>
      </c>
      <c r="P8381">
        <v>0</v>
      </c>
      <c r="Q8381">
        <v>6</v>
      </c>
      <c r="R8381" t="s">
        <v>44768</v>
      </c>
      <c r="S8381" t="s">
        <v>44982</v>
      </c>
      <c r="T8381" t="s">
        <v>46403</v>
      </c>
      <c r="U8381" t="s">
        <v>53911</v>
      </c>
      <c r="W8381" t="s">
        <v>43342</v>
      </c>
      <c r="X8381" t="s">
        <v>44769</v>
      </c>
    </row>
    <row r="8382" spans="1:24">
      <c r="A8382">
        <f>HYPERLINK("https://www.philgeps.gov.ph/GEPSNONPILOT/Tender/SplashBidNoticeAbstractUI.aspx?menuIndex=3&amp;refID=7139645&amp;Result=3","7139645")</f>
        <v>0</v>
      </c>
      <c r="B8382" t="s">
        <v>2744</v>
      </c>
      <c r="C8382" t="s">
        <v>11689</v>
      </c>
      <c r="D8382" t="s">
        <v>17952</v>
      </c>
      <c r="E8382" t="s">
        <v>25369</v>
      </c>
      <c r="F8382" t="s">
        <v>30900</v>
      </c>
      <c r="G8382" t="s">
        <v>30907</v>
      </c>
      <c r="H8382" t="s">
        <v>30916</v>
      </c>
      <c r="I8382" t="s">
        <v>8123</v>
      </c>
      <c r="J8382" t="s">
        <v>36325</v>
      </c>
      <c r="K8382" t="s">
        <v>40283</v>
      </c>
      <c r="M8382" t="s">
        <v>43520</v>
      </c>
      <c r="N8382" t="s">
        <v>44759</v>
      </c>
      <c r="O8382" t="s">
        <v>44760</v>
      </c>
      <c r="P8382">
        <v>0</v>
      </c>
      <c r="Q8382">
        <v>1</v>
      </c>
      <c r="R8382" t="s">
        <v>44768</v>
      </c>
      <c r="S8382" t="s">
        <v>44982</v>
      </c>
      <c r="T8382" t="s">
        <v>46371</v>
      </c>
      <c r="U8382" t="s">
        <v>53912</v>
      </c>
      <c r="W8382" t="s">
        <v>43520</v>
      </c>
      <c r="X8382" t="s">
        <v>44769</v>
      </c>
    </row>
    <row r="8383" spans="1:24">
      <c r="A8383">
        <f>HYPERLINK("https://www.philgeps.gov.ph/GEPSNONPILOT/Tender/SplashBidNoticeAbstractUI.aspx?menuIndex=3&amp;refID=7139709&amp;Result=3","7139709")</f>
        <v>0</v>
      </c>
      <c r="B8383" t="s">
        <v>400</v>
      </c>
      <c r="C8383" t="s">
        <v>11690</v>
      </c>
      <c r="D8383" t="s">
        <v>17971</v>
      </c>
      <c r="E8383" t="s">
        <v>25370</v>
      </c>
      <c r="F8383" t="s">
        <v>30900</v>
      </c>
      <c r="G8383" t="s">
        <v>30907</v>
      </c>
      <c r="H8383" t="s">
        <v>30915</v>
      </c>
      <c r="I8383" t="s">
        <v>30919</v>
      </c>
      <c r="J8383" t="s">
        <v>36326</v>
      </c>
      <c r="K8383" t="s">
        <v>40289</v>
      </c>
      <c r="M8383" t="s">
        <v>40955</v>
      </c>
      <c r="N8383" t="s">
        <v>44759</v>
      </c>
      <c r="O8383" t="s">
        <v>44760</v>
      </c>
      <c r="P8383">
        <v>0</v>
      </c>
      <c r="Q8383">
        <v>1</v>
      </c>
      <c r="R8383" t="s">
        <v>44768</v>
      </c>
      <c r="S8383" t="s">
        <v>44982</v>
      </c>
      <c r="T8383" t="s">
        <v>46515</v>
      </c>
      <c r="U8383" t="s">
        <v>53913</v>
      </c>
      <c r="W8383" t="s">
        <v>40955</v>
      </c>
      <c r="X8383" t="s">
        <v>44769</v>
      </c>
    </row>
    <row r="8384" spans="1:24">
      <c r="A8384">
        <f>HYPERLINK("https://www.philgeps.gov.ph/GEPSNONPILOT/Tender/SplashBidNoticeAbstractUI.aspx?menuIndex=3&amp;refID=7139704&amp;Result=3","7139704")</f>
        <v>0</v>
      </c>
      <c r="B8384" t="s">
        <v>654</v>
      </c>
      <c r="C8384" t="s">
        <v>11691</v>
      </c>
      <c r="D8384" t="s">
        <v>17983</v>
      </c>
      <c r="E8384" t="s">
        <v>25371</v>
      </c>
      <c r="F8384" t="s">
        <v>30900</v>
      </c>
      <c r="G8384" t="s">
        <v>30907</v>
      </c>
      <c r="H8384" t="s">
        <v>30916</v>
      </c>
      <c r="I8384" t="s">
        <v>8123</v>
      </c>
      <c r="J8384" t="s">
        <v>36327</v>
      </c>
      <c r="K8384" t="s">
        <v>40280</v>
      </c>
      <c r="M8384" t="s">
        <v>41217</v>
      </c>
      <c r="N8384" t="s">
        <v>44759</v>
      </c>
      <c r="O8384" t="s">
        <v>44760</v>
      </c>
      <c r="P8384">
        <v>0</v>
      </c>
      <c r="Q8384">
        <v>0</v>
      </c>
      <c r="R8384" t="s">
        <v>44768</v>
      </c>
      <c r="S8384" t="s">
        <v>44982</v>
      </c>
      <c r="T8384" t="s">
        <v>46625</v>
      </c>
      <c r="U8384" t="s">
        <v>53914</v>
      </c>
      <c r="W8384" t="s">
        <v>41217</v>
      </c>
      <c r="X8384" t="s">
        <v>44769</v>
      </c>
    </row>
    <row r="8385" spans="1:24">
      <c r="A8385">
        <f>HYPERLINK("https://www.philgeps.gov.ph/GEPSNONPILOT/Tender/SplashBidNoticeAbstractUI.aspx?menuIndex=3&amp;refID=7139696&amp;Result=3","7139696")</f>
        <v>0</v>
      </c>
      <c r="B8385" t="s">
        <v>2745</v>
      </c>
      <c r="C8385" t="s">
        <v>11692</v>
      </c>
      <c r="D8385" t="s">
        <v>17985</v>
      </c>
      <c r="E8385" t="s">
        <v>25372</v>
      </c>
      <c r="F8385" t="s">
        <v>30900</v>
      </c>
      <c r="G8385" t="s">
        <v>30907</v>
      </c>
      <c r="H8385" t="s">
        <v>30916</v>
      </c>
      <c r="I8385" t="s">
        <v>30924</v>
      </c>
      <c r="J8385" t="s">
        <v>36328</v>
      </c>
      <c r="K8385" t="s">
        <v>40293</v>
      </c>
      <c r="M8385" t="s">
        <v>43521</v>
      </c>
      <c r="N8385" t="s">
        <v>44759</v>
      </c>
      <c r="O8385" t="s">
        <v>44760</v>
      </c>
      <c r="P8385">
        <v>0</v>
      </c>
      <c r="Q8385">
        <v>15</v>
      </c>
      <c r="R8385" t="s">
        <v>44768</v>
      </c>
      <c r="S8385" t="s">
        <v>44982</v>
      </c>
      <c r="T8385" t="s">
        <v>46515</v>
      </c>
      <c r="U8385" t="s">
        <v>53915</v>
      </c>
      <c r="W8385" t="s">
        <v>43521</v>
      </c>
      <c r="X8385" t="s">
        <v>44769</v>
      </c>
    </row>
    <row r="8386" spans="1:24">
      <c r="A8386">
        <f>HYPERLINK("https://www.philgeps.gov.ph/GEPSNONPILOT/Tender/SplashBidNoticeAbstractUI.aspx?menuIndex=3&amp;refID=7139614&amp;Result=3","7139614")</f>
        <v>0</v>
      </c>
      <c r="B8386" t="s">
        <v>1613</v>
      </c>
      <c r="C8386" t="s">
        <v>11693</v>
      </c>
      <c r="D8386" t="s">
        <v>18000</v>
      </c>
      <c r="E8386" t="s">
        <v>25373</v>
      </c>
      <c r="F8386" t="s">
        <v>30900</v>
      </c>
      <c r="G8386" t="s">
        <v>30907</v>
      </c>
      <c r="H8386" t="s">
        <v>30916</v>
      </c>
      <c r="I8386" t="s">
        <v>8123</v>
      </c>
      <c r="J8386" t="s">
        <v>36100</v>
      </c>
      <c r="K8386" t="s">
        <v>40283</v>
      </c>
      <c r="M8386" t="s">
        <v>42263</v>
      </c>
      <c r="N8386" t="s">
        <v>44759</v>
      </c>
      <c r="O8386" t="s">
        <v>44760</v>
      </c>
      <c r="P8386">
        <v>0</v>
      </c>
      <c r="Q8386">
        <v>0</v>
      </c>
      <c r="R8386" t="s">
        <v>44768</v>
      </c>
      <c r="S8386" t="s">
        <v>44982</v>
      </c>
      <c r="T8386" t="s">
        <v>46581</v>
      </c>
      <c r="U8386" t="s">
        <v>53916</v>
      </c>
      <c r="V8386" t="s">
        <v>60014</v>
      </c>
      <c r="W8386" t="s">
        <v>42263</v>
      </c>
      <c r="X8386" t="s">
        <v>44769</v>
      </c>
    </row>
    <row r="8387" spans="1:24">
      <c r="A8387">
        <f>HYPERLINK("https://www.philgeps.gov.ph/GEPSNONPILOT/Tender/SplashBidNoticeAbstractUI.aspx?menuIndex=3&amp;refID=7139711&amp;Result=3","7139711")</f>
        <v>0</v>
      </c>
      <c r="B8387" t="s">
        <v>2519</v>
      </c>
      <c r="C8387" t="s">
        <v>11694</v>
      </c>
      <c r="D8387" t="s">
        <v>18012</v>
      </c>
      <c r="E8387" t="s">
        <v>25374</v>
      </c>
      <c r="F8387" t="s">
        <v>30900</v>
      </c>
      <c r="G8387" t="s">
        <v>30907</v>
      </c>
      <c r="H8387" t="s">
        <v>30916</v>
      </c>
      <c r="I8387" t="s">
        <v>30942</v>
      </c>
      <c r="J8387" t="s">
        <v>36329</v>
      </c>
      <c r="K8387" t="s">
        <v>40289</v>
      </c>
      <c r="M8387" t="s">
        <v>43266</v>
      </c>
      <c r="N8387" t="s">
        <v>44759</v>
      </c>
      <c r="O8387" t="s">
        <v>44760</v>
      </c>
      <c r="P8387">
        <v>0</v>
      </c>
      <c r="Q8387">
        <v>0</v>
      </c>
      <c r="R8387" t="s">
        <v>44768</v>
      </c>
      <c r="S8387" t="s">
        <v>44982</v>
      </c>
      <c r="T8387" t="s">
        <v>46531</v>
      </c>
      <c r="U8387" t="s">
        <v>53917</v>
      </c>
      <c r="W8387" t="s">
        <v>43266</v>
      </c>
      <c r="X8387" t="s">
        <v>44769</v>
      </c>
    </row>
    <row r="8388" spans="1:24">
      <c r="A8388">
        <f>HYPERLINK("https://www.philgeps.gov.ph/GEPSNONPILOT/Tender/SplashBidNoticeAbstractUI.aspx?menuIndex=3&amp;refID=7139693&amp;Result=3","7139693")</f>
        <v>0</v>
      </c>
      <c r="B8388" t="s">
        <v>1963</v>
      </c>
      <c r="C8388" t="s">
        <v>11695</v>
      </c>
      <c r="D8388" t="s">
        <v>18018</v>
      </c>
      <c r="E8388" t="s">
        <v>25375</v>
      </c>
      <c r="F8388" t="s">
        <v>30900</v>
      </c>
      <c r="G8388" t="s">
        <v>30907</v>
      </c>
      <c r="H8388" t="s">
        <v>30916</v>
      </c>
      <c r="I8388" t="s">
        <v>30933</v>
      </c>
      <c r="J8388" t="s">
        <v>33743</v>
      </c>
      <c r="K8388" t="s">
        <v>40289</v>
      </c>
      <c r="M8388" t="s">
        <v>42647</v>
      </c>
      <c r="N8388" t="s">
        <v>44759</v>
      </c>
      <c r="O8388" t="s">
        <v>44760</v>
      </c>
      <c r="P8388">
        <v>0</v>
      </c>
      <c r="Q8388">
        <v>2</v>
      </c>
      <c r="R8388" t="s">
        <v>44768</v>
      </c>
      <c r="S8388" t="s">
        <v>44982</v>
      </c>
      <c r="T8388" t="s">
        <v>46366</v>
      </c>
      <c r="U8388" t="s">
        <v>53918</v>
      </c>
      <c r="V8388" t="s">
        <v>60015</v>
      </c>
      <c r="W8388" t="s">
        <v>42647</v>
      </c>
      <c r="X8388" t="s">
        <v>44769</v>
      </c>
    </row>
    <row r="8389" spans="1:24">
      <c r="A8389">
        <f>HYPERLINK("https://www.philgeps.gov.ph/GEPSNONPILOT/Tender/SplashBidNoticeAbstractUI.aspx?menuIndex=3&amp;refID=7139692&amp;Result=3","7139692")</f>
        <v>0</v>
      </c>
      <c r="B8389" t="s">
        <v>2743</v>
      </c>
      <c r="C8389" t="s">
        <v>11696</v>
      </c>
      <c r="D8389" t="s">
        <v>17966</v>
      </c>
      <c r="E8389" t="s">
        <v>25376</v>
      </c>
      <c r="F8389" t="s">
        <v>30900</v>
      </c>
      <c r="G8389" t="s">
        <v>30907</v>
      </c>
      <c r="H8389" t="s">
        <v>30916</v>
      </c>
      <c r="I8389" t="s">
        <v>6396</v>
      </c>
      <c r="J8389" t="s">
        <v>36330</v>
      </c>
      <c r="K8389" t="s">
        <v>40280</v>
      </c>
      <c r="M8389" t="s">
        <v>43519</v>
      </c>
      <c r="N8389" t="s">
        <v>44759</v>
      </c>
      <c r="O8389" t="s">
        <v>44760</v>
      </c>
      <c r="P8389">
        <v>0</v>
      </c>
      <c r="Q8389">
        <v>5</v>
      </c>
      <c r="R8389" t="s">
        <v>44768</v>
      </c>
      <c r="S8389" t="s">
        <v>44982</v>
      </c>
      <c r="T8389" t="s">
        <v>46732</v>
      </c>
      <c r="U8389" t="s">
        <v>53919</v>
      </c>
      <c r="W8389" t="s">
        <v>43519</v>
      </c>
      <c r="X8389" t="s">
        <v>44769</v>
      </c>
    </row>
    <row r="8390" spans="1:24">
      <c r="A8390">
        <f>HYPERLINK("https://www.philgeps.gov.ph/GEPSNONPILOT/Tender/SplashBidNoticeAbstractUI.aspx?menuIndex=3&amp;refID=7139706&amp;Result=3","7139706")</f>
        <v>0</v>
      </c>
      <c r="B8390" t="s">
        <v>168</v>
      </c>
      <c r="C8390" t="s">
        <v>11697</v>
      </c>
      <c r="D8390" t="s">
        <v>18007</v>
      </c>
      <c r="E8390" t="s">
        <v>25377</v>
      </c>
      <c r="F8390" t="s">
        <v>30900</v>
      </c>
      <c r="G8390" t="s">
        <v>30907</v>
      </c>
      <c r="H8390" t="s">
        <v>30916</v>
      </c>
      <c r="I8390" t="s">
        <v>5501</v>
      </c>
      <c r="J8390" t="s">
        <v>36331</v>
      </c>
      <c r="K8390" t="s">
        <v>40286</v>
      </c>
      <c r="M8390" t="s">
        <v>40715</v>
      </c>
      <c r="N8390" t="s">
        <v>44759</v>
      </c>
      <c r="O8390" t="s">
        <v>44760</v>
      </c>
      <c r="P8390">
        <v>0</v>
      </c>
      <c r="Q8390">
        <v>4</v>
      </c>
      <c r="R8390" t="s">
        <v>44768</v>
      </c>
      <c r="S8390" t="s">
        <v>44982</v>
      </c>
      <c r="T8390" t="s">
        <v>46495</v>
      </c>
      <c r="U8390" t="s">
        <v>53920</v>
      </c>
      <c r="W8390" t="s">
        <v>40715</v>
      </c>
      <c r="X8390" t="s">
        <v>44769</v>
      </c>
    </row>
    <row r="8391" spans="1:24">
      <c r="A8391">
        <f>HYPERLINK("https://www.philgeps.gov.ph/GEPSNONPILOT/Tender/SplashBidNoticeAbstractUI.aspx?menuIndex=3&amp;refID=7139705&amp;Result=3","7139705")</f>
        <v>0</v>
      </c>
      <c r="B8391" t="s">
        <v>2746</v>
      </c>
      <c r="C8391" t="s">
        <v>11698</v>
      </c>
      <c r="D8391" t="s">
        <v>17976</v>
      </c>
      <c r="E8391" t="s">
        <v>23683</v>
      </c>
      <c r="F8391" t="s">
        <v>30900</v>
      </c>
      <c r="G8391" t="s">
        <v>30907</v>
      </c>
      <c r="H8391" t="s">
        <v>30916</v>
      </c>
      <c r="I8391" t="s">
        <v>8123</v>
      </c>
      <c r="J8391" t="s">
        <v>31182</v>
      </c>
      <c r="K8391" t="s">
        <v>40289</v>
      </c>
      <c r="M8391" t="s">
        <v>43522</v>
      </c>
      <c r="N8391" t="s">
        <v>44759</v>
      </c>
      <c r="O8391" t="s">
        <v>44760</v>
      </c>
      <c r="P8391">
        <v>0</v>
      </c>
      <c r="Q8391">
        <v>0</v>
      </c>
      <c r="R8391" t="s">
        <v>44768</v>
      </c>
      <c r="S8391" t="s">
        <v>44982</v>
      </c>
      <c r="T8391" t="s">
        <v>46591</v>
      </c>
      <c r="U8391" t="s">
        <v>53921</v>
      </c>
      <c r="W8391" t="s">
        <v>43522</v>
      </c>
      <c r="X8391" t="s">
        <v>44769</v>
      </c>
    </row>
    <row r="8392" spans="1:24">
      <c r="A8392">
        <f>HYPERLINK("https://www.philgeps.gov.ph/GEPSNONPILOT/Tender/SplashBidNoticeAbstractUI.aspx?menuIndex=3&amp;refID=7139687&amp;Result=3","7139687")</f>
        <v>0</v>
      </c>
      <c r="B8392" t="s">
        <v>2583</v>
      </c>
      <c r="C8392" t="s">
        <v>11699</v>
      </c>
      <c r="D8392" t="s">
        <v>17998</v>
      </c>
      <c r="E8392" t="s">
        <v>25378</v>
      </c>
      <c r="F8392" t="s">
        <v>30900</v>
      </c>
      <c r="G8392" t="s">
        <v>30908</v>
      </c>
      <c r="H8392" t="s">
        <v>30916</v>
      </c>
      <c r="I8392" t="s">
        <v>30924</v>
      </c>
      <c r="J8392" t="s">
        <v>31101</v>
      </c>
      <c r="K8392" t="s">
        <v>40286</v>
      </c>
      <c r="M8392" t="s">
        <v>43342</v>
      </c>
      <c r="N8392" t="s">
        <v>44759</v>
      </c>
      <c r="O8392" t="s">
        <v>44760</v>
      </c>
      <c r="P8392">
        <v>0</v>
      </c>
      <c r="Q8392">
        <v>5</v>
      </c>
      <c r="R8392" t="s">
        <v>44768</v>
      </c>
      <c r="S8392" t="s">
        <v>44982</v>
      </c>
      <c r="T8392" t="s">
        <v>46403</v>
      </c>
      <c r="U8392" t="s">
        <v>53922</v>
      </c>
      <c r="W8392" t="s">
        <v>43342</v>
      </c>
      <c r="X8392" t="s">
        <v>44769</v>
      </c>
    </row>
    <row r="8393" spans="1:24">
      <c r="A8393">
        <f>HYPERLINK("https://www.philgeps.gov.ph/GEPSNONPILOT/Tender/SplashBidNoticeAbstractUI.aspx?menuIndex=3&amp;refID=7139802&amp;Result=3","7139802")</f>
        <v>0</v>
      </c>
      <c r="B8393" t="s">
        <v>1492</v>
      </c>
      <c r="C8393" t="s">
        <v>11700</v>
      </c>
      <c r="D8393" t="s">
        <v>17961</v>
      </c>
      <c r="E8393" t="s">
        <v>25379</v>
      </c>
      <c r="F8393" t="s">
        <v>30899</v>
      </c>
      <c r="G8393" t="s">
        <v>30907</v>
      </c>
      <c r="H8393" t="s">
        <v>30916</v>
      </c>
      <c r="I8393" t="s">
        <v>8123</v>
      </c>
      <c r="J8393" t="s">
        <v>36332</v>
      </c>
      <c r="K8393" t="s">
        <v>40284</v>
      </c>
      <c r="M8393" t="s">
        <v>42131</v>
      </c>
      <c r="N8393" t="s">
        <v>44759</v>
      </c>
      <c r="O8393" t="s">
        <v>44760</v>
      </c>
      <c r="P8393">
        <v>0</v>
      </c>
      <c r="Q8393">
        <v>1</v>
      </c>
      <c r="R8393" t="s">
        <v>44768</v>
      </c>
      <c r="S8393" t="s">
        <v>44982</v>
      </c>
      <c r="T8393" t="s">
        <v>46450</v>
      </c>
      <c r="U8393" t="s">
        <v>53923</v>
      </c>
      <c r="W8393" t="s">
        <v>42131</v>
      </c>
      <c r="X8393" t="s">
        <v>44769</v>
      </c>
    </row>
    <row r="8394" spans="1:24">
      <c r="A8394">
        <f>HYPERLINK("https://www.philgeps.gov.ph/GEPSNONPILOT/Tender/SplashBidNoticeAbstractUI.aspx?menuIndex=3&amp;refID=7139800&amp;Result=3","7139800")</f>
        <v>0</v>
      </c>
      <c r="B8394" t="s">
        <v>1890</v>
      </c>
      <c r="C8394" t="s">
        <v>8326</v>
      </c>
      <c r="D8394" t="s">
        <v>17970</v>
      </c>
      <c r="E8394" t="s">
        <v>25380</v>
      </c>
      <c r="F8394" t="s">
        <v>30900</v>
      </c>
      <c r="G8394" t="s">
        <v>30906</v>
      </c>
      <c r="H8394" t="s">
        <v>30916</v>
      </c>
      <c r="I8394" t="s">
        <v>8123</v>
      </c>
      <c r="J8394" t="s">
        <v>36333</v>
      </c>
      <c r="K8394" t="s">
        <v>40283</v>
      </c>
      <c r="M8394" t="s">
        <v>42565</v>
      </c>
      <c r="N8394" t="s">
        <v>44759</v>
      </c>
      <c r="O8394" t="s">
        <v>44760</v>
      </c>
      <c r="P8394">
        <v>0</v>
      </c>
      <c r="Q8394">
        <v>1</v>
      </c>
      <c r="R8394" t="s">
        <v>44768</v>
      </c>
      <c r="S8394" t="s">
        <v>44982</v>
      </c>
      <c r="T8394" t="s">
        <v>46606</v>
      </c>
      <c r="U8394" t="s">
        <v>53924</v>
      </c>
      <c r="W8394" t="s">
        <v>42565</v>
      </c>
      <c r="X8394" t="s">
        <v>44769</v>
      </c>
    </row>
    <row r="8395" spans="1:24">
      <c r="A8395">
        <f>HYPERLINK("https://www.philgeps.gov.ph/GEPSNONPILOT/Tender/SplashBidNoticeAbstractUI.aspx?menuIndex=3&amp;refID=7139795&amp;Result=3","7139795")</f>
        <v>0</v>
      </c>
      <c r="B8395" t="s">
        <v>41</v>
      </c>
      <c r="C8395" t="s">
        <v>11701</v>
      </c>
      <c r="D8395" t="s">
        <v>17966</v>
      </c>
      <c r="E8395" t="s">
        <v>25381</v>
      </c>
      <c r="F8395" t="s">
        <v>30900</v>
      </c>
      <c r="G8395" t="s">
        <v>30908</v>
      </c>
      <c r="H8395" t="s">
        <v>30915</v>
      </c>
      <c r="I8395" t="s">
        <v>30946</v>
      </c>
      <c r="J8395" t="s">
        <v>36334</v>
      </c>
      <c r="K8395" t="s">
        <v>40302</v>
      </c>
      <c r="M8395" t="s">
        <v>43517</v>
      </c>
      <c r="N8395" t="s">
        <v>44759</v>
      </c>
      <c r="O8395" t="s">
        <v>44760</v>
      </c>
      <c r="P8395">
        <v>0</v>
      </c>
      <c r="Q8395">
        <v>0</v>
      </c>
      <c r="R8395" t="s">
        <v>44768</v>
      </c>
      <c r="S8395" t="s">
        <v>44982</v>
      </c>
      <c r="T8395" t="s">
        <v>46389</v>
      </c>
      <c r="U8395" t="s">
        <v>53925</v>
      </c>
      <c r="V8395" t="s">
        <v>59095</v>
      </c>
      <c r="W8395" t="s">
        <v>43517</v>
      </c>
      <c r="X8395" t="s">
        <v>44769</v>
      </c>
    </row>
    <row r="8396" spans="1:24">
      <c r="A8396">
        <f>HYPERLINK("https://www.philgeps.gov.ph/GEPSNONPILOT/Tender/SplashBidNoticeAbstractUI.aspx?menuIndex=3&amp;refID=7139782&amp;Result=3","7139782")</f>
        <v>0</v>
      </c>
      <c r="B8396" t="s">
        <v>41</v>
      </c>
      <c r="C8396" t="s">
        <v>11702</v>
      </c>
      <c r="D8396" t="s">
        <v>17966</v>
      </c>
      <c r="E8396" t="s">
        <v>25382</v>
      </c>
      <c r="F8396" t="s">
        <v>30900</v>
      </c>
      <c r="G8396" t="s">
        <v>30908</v>
      </c>
      <c r="H8396" t="s">
        <v>30916</v>
      </c>
      <c r="I8396" t="s">
        <v>4017</v>
      </c>
      <c r="J8396" t="s">
        <v>36335</v>
      </c>
      <c r="K8396" t="s">
        <v>40283</v>
      </c>
      <c r="M8396" t="s">
        <v>43517</v>
      </c>
      <c r="N8396" t="s">
        <v>44759</v>
      </c>
      <c r="O8396" t="s">
        <v>44760</v>
      </c>
      <c r="P8396">
        <v>0</v>
      </c>
      <c r="Q8396">
        <v>0</v>
      </c>
      <c r="R8396" t="s">
        <v>44768</v>
      </c>
      <c r="S8396" t="s">
        <v>44982</v>
      </c>
      <c r="T8396" t="s">
        <v>46389</v>
      </c>
      <c r="U8396" t="s">
        <v>53897</v>
      </c>
      <c r="V8396" t="s">
        <v>59095</v>
      </c>
      <c r="W8396" t="s">
        <v>43517</v>
      </c>
      <c r="X8396" t="s">
        <v>44769</v>
      </c>
    </row>
    <row r="8397" spans="1:24">
      <c r="A8397">
        <f>HYPERLINK("https://www.philgeps.gov.ph/GEPSNONPILOT/Tender/SplashBidNoticeAbstractUI.aspx?menuIndex=3&amp;refID=7139775&amp;Result=3","7139775")</f>
        <v>0</v>
      </c>
      <c r="B8397" t="s">
        <v>2747</v>
      </c>
      <c r="C8397" t="s">
        <v>11703</v>
      </c>
      <c r="D8397" t="s">
        <v>17963</v>
      </c>
      <c r="E8397" t="s">
        <v>25383</v>
      </c>
      <c r="F8397" t="s">
        <v>30900</v>
      </c>
      <c r="G8397" t="s">
        <v>30907</v>
      </c>
      <c r="H8397" t="s">
        <v>30915</v>
      </c>
      <c r="I8397" t="s">
        <v>30919</v>
      </c>
      <c r="J8397" t="s">
        <v>32558</v>
      </c>
      <c r="K8397" t="s">
        <v>40458</v>
      </c>
      <c r="M8397" t="s">
        <v>43523</v>
      </c>
      <c r="N8397" t="s">
        <v>44759</v>
      </c>
      <c r="O8397" t="s">
        <v>44760</v>
      </c>
      <c r="P8397">
        <v>0</v>
      </c>
      <c r="Q8397">
        <v>7</v>
      </c>
      <c r="R8397" t="s">
        <v>44768</v>
      </c>
      <c r="S8397" t="s">
        <v>44982</v>
      </c>
      <c r="T8397" t="s">
        <v>46606</v>
      </c>
      <c r="U8397" t="s">
        <v>53926</v>
      </c>
      <c r="W8397" t="s">
        <v>43523</v>
      </c>
      <c r="X8397" t="s">
        <v>44769</v>
      </c>
    </row>
    <row r="8398" spans="1:24">
      <c r="A8398">
        <f>HYPERLINK("https://www.philgeps.gov.ph/GEPSNONPILOT/Tender/SplashBidNoticeAbstractUI.aspx?menuIndex=3&amp;refID=7139763&amp;Result=3","7139763")</f>
        <v>0</v>
      </c>
      <c r="B8398" t="s">
        <v>1459</v>
      </c>
      <c r="C8398" t="s">
        <v>11704</v>
      </c>
      <c r="D8398" t="s">
        <v>17975</v>
      </c>
      <c r="E8398" t="s">
        <v>25384</v>
      </c>
      <c r="F8398" t="s">
        <v>30900</v>
      </c>
      <c r="G8398" t="s">
        <v>30907</v>
      </c>
      <c r="H8398" t="s">
        <v>30916</v>
      </c>
      <c r="I8398" t="s">
        <v>30933</v>
      </c>
      <c r="J8398" t="s">
        <v>33932</v>
      </c>
      <c r="K8398" t="s">
        <v>40286</v>
      </c>
      <c r="L8398" t="s">
        <v>1459</v>
      </c>
      <c r="M8398" t="s">
        <v>42091</v>
      </c>
      <c r="N8398" t="s">
        <v>44759</v>
      </c>
      <c r="O8398" t="s">
        <v>44760</v>
      </c>
      <c r="P8398">
        <v>0</v>
      </c>
      <c r="Q8398">
        <v>0</v>
      </c>
      <c r="R8398" t="s">
        <v>44768</v>
      </c>
      <c r="S8398" t="s">
        <v>44982</v>
      </c>
      <c r="T8398" t="s">
        <v>46625</v>
      </c>
      <c r="U8398" t="s">
        <v>53909</v>
      </c>
      <c r="W8398" t="s">
        <v>42091</v>
      </c>
      <c r="X8398" t="s">
        <v>44769</v>
      </c>
    </row>
    <row r="8399" spans="1:24">
      <c r="A8399">
        <f>HYPERLINK("https://www.philgeps.gov.ph/GEPSNONPILOT/Tender/SplashBidNoticeAbstractUI.aspx?menuIndex=3&amp;refID=7139762&amp;Result=3","7139762")</f>
        <v>0</v>
      </c>
      <c r="B8399" t="s">
        <v>1380</v>
      </c>
      <c r="C8399" t="s">
        <v>11705</v>
      </c>
      <c r="D8399" t="s">
        <v>18025</v>
      </c>
      <c r="E8399" t="s">
        <v>25385</v>
      </c>
      <c r="F8399" t="s">
        <v>30900</v>
      </c>
      <c r="G8399" t="s">
        <v>30907</v>
      </c>
      <c r="H8399" t="s">
        <v>30916</v>
      </c>
      <c r="I8399" t="s">
        <v>5501</v>
      </c>
      <c r="J8399" t="s">
        <v>36336</v>
      </c>
      <c r="K8399" t="s">
        <v>40284</v>
      </c>
      <c r="M8399" t="s">
        <v>42004</v>
      </c>
      <c r="N8399" t="s">
        <v>44759</v>
      </c>
      <c r="O8399" t="s">
        <v>44760</v>
      </c>
      <c r="P8399">
        <v>0</v>
      </c>
      <c r="Q8399">
        <v>11</v>
      </c>
      <c r="R8399" t="s">
        <v>44768</v>
      </c>
      <c r="S8399" t="s">
        <v>44982</v>
      </c>
      <c r="T8399" t="s">
        <v>46428</v>
      </c>
      <c r="U8399" t="s">
        <v>53927</v>
      </c>
      <c r="V8399" t="s">
        <v>60016</v>
      </c>
      <c r="W8399" t="s">
        <v>42004</v>
      </c>
      <c r="X8399" t="s">
        <v>44769</v>
      </c>
    </row>
    <row r="8400" spans="1:24">
      <c r="A8400">
        <f>HYPERLINK("https://www.philgeps.gov.ph/GEPSNONPILOT/Tender/SplashBidNoticeAbstractUI.aspx?menuIndex=3&amp;refID=7139690&amp;Result=3","7139690")</f>
        <v>0</v>
      </c>
      <c r="B8400" t="s">
        <v>2746</v>
      </c>
      <c r="C8400" t="s">
        <v>11706</v>
      </c>
      <c r="D8400" t="s">
        <v>17976</v>
      </c>
      <c r="E8400" t="s">
        <v>19079</v>
      </c>
      <c r="F8400" t="s">
        <v>30900</v>
      </c>
      <c r="G8400" t="s">
        <v>30907</v>
      </c>
      <c r="H8400" t="s">
        <v>30916</v>
      </c>
      <c r="I8400" t="s">
        <v>8123</v>
      </c>
      <c r="J8400" t="s">
        <v>32058</v>
      </c>
      <c r="K8400" t="s">
        <v>40289</v>
      </c>
      <c r="M8400" t="s">
        <v>43522</v>
      </c>
      <c r="N8400" t="s">
        <v>44759</v>
      </c>
      <c r="O8400" t="s">
        <v>44760</v>
      </c>
      <c r="P8400">
        <v>0</v>
      </c>
      <c r="Q8400">
        <v>0</v>
      </c>
      <c r="R8400" t="s">
        <v>44768</v>
      </c>
      <c r="S8400" t="s">
        <v>44982</v>
      </c>
      <c r="T8400" t="s">
        <v>46591</v>
      </c>
      <c r="U8400" t="s">
        <v>53928</v>
      </c>
      <c r="W8400" t="s">
        <v>43522</v>
      </c>
      <c r="X8400" t="s">
        <v>44769</v>
      </c>
    </row>
    <row r="8401" spans="1:24">
      <c r="A8401">
        <f>HYPERLINK("https://www.philgeps.gov.ph/GEPSNONPILOT/Tender/SplashBidNoticeAbstractUI.aspx?menuIndex=3&amp;refID=7139752&amp;Result=3","7139752")</f>
        <v>0</v>
      </c>
      <c r="B8401" t="s">
        <v>2747</v>
      </c>
      <c r="C8401" t="s">
        <v>11707</v>
      </c>
      <c r="D8401" t="s">
        <v>17963</v>
      </c>
      <c r="E8401" t="s">
        <v>25386</v>
      </c>
      <c r="F8401" t="s">
        <v>30900</v>
      </c>
      <c r="G8401" t="s">
        <v>30907</v>
      </c>
      <c r="H8401" t="s">
        <v>30915</v>
      </c>
      <c r="I8401" t="s">
        <v>30919</v>
      </c>
      <c r="J8401" t="s">
        <v>32523</v>
      </c>
      <c r="K8401" t="s">
        <v>40458</v>
      </c>
      <c r="M8401" t="s">
        <v>43523</v>
      </c>
      <c r="N8401" t="s">
        <v>44759</v>
      </c>
      <c r="O8401" t="s">
        <v>44760</v>
      </c>
      <c r="P8401">
        <v>0</v>
      </c>
      <c r="Q8401">
        <v>6</v>
      </c>
      <c r="R8401" t="s">
        <v>44768</v>
      </c>
      <c r="S8401" t="s">
        <v>44982</v>
      </c>
      <c r="T8401" t="s">
        <v>46606</v>
      </c>
      <c r="U8401" t="s">
        <v>53929</v>
      </c>
      <c r="W8401" t="s">
        <v>43523</v>
      </c>
      <c r="X8401" t="s">
        <v>44769</v>
      </c>
    </row>
    <row r="8402" spans="1:24">
      <c r="A8402">
        <f>HYPERLINK("https://www.philgeps.gov.ph/GEPSNONPILOT/Tender/SplashBidNoticeAbstractUI.aspx?menuIndex=3&amp;refID=7139578&amp;Result=3","7139578")</f>
        <v>0</v>
      </c>
      <c r="B8402" t="s">
        <v>2038</v>
      </c>
      <c r="C8402" t="s">
        <v>11708</v>
      </c>
      <c r="D8402" t="s">
        <v>17971</v>
      </c>
      <c r="E8402" t="s">
        <v>25387</v>
      </c>
      <c r="F8402" t="s">
        <v>30900</v>
      </c>
      <c r="G8402" t="s">
        <v>30907</v>
      </c>
      <c r="H8402" t="s">
        <v>30916</v>
      </c>
      <c r="I8402" t="s">
        <v>4108</v>
      </c>
      <c r="J8402" t="s">
        <v>31341</v>
      </c>
      <c r="K8402" t="s">
        <v>40284</v>
      </c>
      <c r="M8402" t="s">
        <v>42735</v>
      </c>
      <c r="N8402" t="s">
        <v>44759</v>
      </c>
      <c r="O8402" t="s">
        <v>44760</v>
      </c>
      <c r="P8402">
        <v>0</v>
      </c>
      <c r="Q8402">
        <v>2</v>
      </c>
      <c r="R8402" t="s">
        <v>44768</v>
      </c>
      <c r="S8402" t="s">
        <v>44982</v>
      </c>
      <c r="T8402" t="s">
        <v>46625</v>
      </c>
      <c r="U8402" t="s">
        <v>51699</v>
      </c>
      <c r="W8402" t="s">
        <v>42735</v>
      </c>
      <c r="X8402" t="s">
        <v>44769</v>
      </c>
    </row>
    <row r="8403" spans="1:24">
      <c r="A8403">
        <f>HYPERLINK("https://www.philgeps.gov.ph/GEPSNONPILOT/Tender/SplashBidNoticeAbstractUI.aspx?menuIndex=3&amp;refID=7139749&amp;Result=3","7139749")</f>
        <v>0</v>
      </c>
      <c r="B8403" t="s">
        <v>73</v>
      </c>
      <c r="C8403" t="s">
        <v>11709</v>
      </c>
      <c r="D8403" t="s">
        <v>17983</v>
      </c>
      <c r="E8403" t="s">
        <v>25388</v>
      </c>
      <c r="F8403" t="s">
        <v>30900</v>
      </c>
      <c r="G8403" t="s">
        <v>30907</v>
      </c>
      <c r="H8403" t="s">
        <v>30916</v>
      </c>
      <c r="I8403" t="s">
        <v>30921</v>
      </c>
      <c r="J8403" t="s">
        <v>31449</v>
      </c>
      <c r="K8403" t="s">
        <v>40293</v>
      </c>
      <c r="M8403" t="s">
        <v>40620</v>
      </c>
      <c r="N8403" t="s">
        <v>44759</v>
      </c>
      <c r="O8403" t="s">
        <v>44760</v>
      </c>
      <c r="P8403">
        <v>0</v>
      </c>
      <c r="Q8403">
        <v>1</v>
      </c>
      <c r="R8403" t="s">
        <v>44768</v>
      </c>
      <c r="S8403" t="s">
        <v>44982</v>
      </c>
      <c r="T8403" t="s">
        <v>46658</v>
      </c>
      <c r="U8403" t="s">
        <v>53930</v>
      </c>
      <c r="W8403" t="s">
        <v>40620</v>
      </c>
      <c r="X8403" t="s">
        <v>44769</v>
      </c>
    </row>
    <row r="8404" spans="1:24">
      <c r="A8404">
        <f>HYPERLINK("https://www.philgeps.gov.ph/GEPSNONPILOT/Tender/SplashBidNoticeAbstractUI.aspx?menuIndex=3&amp;refID=7139739&amp;Result=3","7139739")</f>
        <v>0</v>
      </c>
      <c r="B8404" t="s">
        <v>2748</v>
      </c>
      <c r="C8404" t="s">
        <v>11710</v>
      </c>
      <c r="D8404" t="s">
        <v>17993</v>
      </c>
      <c r="E8404" t="s">
        <v>19262</v>
      </c>
      <c r="F8404" t="s">
        <v>30900</v>
      </c>
      <c r="G8404" t="s">
        <v>30907</v>
      </c>
      <c r="H8404" t="s">
        <v>30915</v>
      </c>
      <c r="I8404" t="s">
        <v>30919</v>
      </c>
      <c r="J8404" t="s">
        <v>31096</v>
      </c>
      <c r="K8404" t="s">
        <v>40283</v>
      </c>
      <c r="M8404" t="s">
        <v>43524</v>
      </c>
      <c r="N8404" t="s">
        <v>44759</v>
      </c>
      <c r="O8404" t="s">
        <v>44760</v>
      </c>
      <c r="P8404">
        <v>0</v>
      </c>
      <c r="Q8404">
        <v>1</v>
      </c>
      <c r="R8404" t="s">
        <v>44768</v>
      </c>
      <c r="S8404" t="s">
        <v>44982</v>
      </c>
      <c r="T8404" t="s">
        <v>46533</v>
      </c>
      <c r="U8404" t="s">
        <v>53931</v>
      </c>
      <c r="W8404" t="s">
        <v>43524</v>
      </c>
      <c r="X8404" t="s">
        <v>44769</v>
      </c>
    </row>
    <row r="8405" spans="1:24">
      <c r="A8405">
        <f>HYPERLINK("https://www.philgeps.gov.ph/GEPSNONPILOT/Tender/SplashBidNoticeAbstractUI.aspx?menuIndex=3&amp;refID=7139742&amp;Result=3","7139742")</f>
        <v>0</v>
      </c>
      <c r="B8405" t="s">
        <v>1031</v>
      </c>
      <c r="C8405" t="s">
        <v>11711</v>
      </c>
      <c r="D8405" t="s">
        <v>17960</v>
      </c>
      <c r="E8405" t="s">
        <v>25389</v>
      </c>
      <c r="F8405" t="s">
        <v>30900</v>
      </c>
      <c r="G8405" t="s">
        <v>30907</v>
      </c>
      <c r="H8405" t="s">
        <v>30916</v>
      </c>
      <c r="I8405" t="s">
        <v>6396</v>
      </c>
      <c r="J8405" t="s">
        <v>36337</v>
      </c>
      <c r="K8405" t="s">
        <v>40283</v>
      </c>
      <c r="M8405" t="s">
        <v>41622</v>
      </c>
      <c r="N8405" t="s">
        <v>44759</v>
      </c>
      <c r="O8405" t="s">
        <v>44760</v>
      </c>
      <c r="P8405">
        <v>0</v>
      </c>
      <c r="Q8405">
        <v>4</v>
      </c>
      <c r="R8405" t="s">
        <v>44768</v>
      </c>
      <c r="S8405" t="s">
        <v>44982</v>
      </c>
      <c r="T8405" t="s">
        <v>46813</v>
      </c>
      <c r="U8405" t="s">
        <v>53932</v>
      </c>
      <c r="V8405" t="s">
        <v>59366</v>
      </c>
      <c r="W8405" t="s">
        <v>41622</v>
      </c>
      <c r="X8405" t="s">
        <v>44769</v>
      </c>
    </row>
    <row r="8406" spans="1:24">
      <c r="A8406">
        <f>HYPERLINK("https://www.philgeps.gov.ph/GEPSNONPILOT/Tender/SplashBidNoticeAbstractUI.aspx?menuIndex=3&amp;refID=7139737&amp;Result=3","7139737")</f>
        <v>0</v>
      </c>
      <c r="B8406" t="s">
        <v>1635</v>
      </c>
      <c r="C8406" t="s">
        <v>11712</v>
      </c>
      <c r="D8406" t="s">
        <v>17959</v>
      </c>
      <c r="E8406" t="s">
        <v>25390</v>
      </c>
      <c r="F8406" t="s">
        <v>30900</v>
      </c>
      <c r="G8406" t="s">
        <v>30907</v>
      </c>
      <c r="H8406" t="s">
        <v>30917</v>
      </c>
      <c r="I8406" t="s">
        <v>30921</v>
      </c>
      <c r="J8406" t="s">
        <v>36338</v>
      </c>
      <c r="K8406" t="s">
        <v>40294</v>
      </c>
      <c r="M8406" t="s">
        <v>42584</v>
      </c>
      <c r="N8406" t="s">
        <v>44759</v>
      </c>
      <c r="O8406" t="s">
        <v>44760</v>
      </c>
      <c r="Q8406">
        <v>12</v>
      </c>
      <c r="R8406" t="s">
        <v>44768</v>
      </c>
      <c r="S8406" t="s">
        <v>45003</v>
      </c>
      <c r="T8406" t="s">
        <v>46504</v>
      </c>
      <c r="U8406" t="s">
        <v>53933</v>
      </c>
      <c r="W8406" t="s">
        <v>42584</v>
      </c>
      <c r="X8406" t="s">
        <v>44769</v>
      </c>
    </row>
    <row r="8407" spans="1:24">
      <c r="A8407">
        <f>HYPERLINK("https://www.philgeps.gov.ph/GEPSNONPILOT/Tender/SplashBidNoticeAbstractUI.aspx?menuIndex=3&amp;refID=7139726&amp;Result=3","7139726")</f>
        <v>0</v>
      </c>
      <c r="B8407" t="s">
        <v>894</v>
      </c>
      <c r="C8407" t="s">
        <v>11713</v>
      </c>
      <c r="D8407" t="s">
        <v>18011</v>
      </c>
      <c r="E8407" t="s">
        <v>25391</v>
      </c>
      <c r="F8407" t="s">
        <v>30900</v>
      </c>
      <c r="G8407" t="s">
        <v>30907</v>
      </c>
      <c r="H8407" t="s">
        <v>30915</v>
      </c>
      <c r="I8407" t="s">
        <v>30919</v>
      </c>
      <c r="J8407" t="s">
        <v>36339</v>
      </c>
      <c r="K8407" t="s">
        <v>40419</v>
      </c>
      <c r="M8407" t="s">
        <v>41468</v>
      </c>
      <c r="N8407" t="s">
        <v>44759</v>
      </c>
      <c r="O8407" t="s">
        <v>44760</v>
      </c>
      <c r="P8407">
        <v>0</v>
      </c>
      <c r="Q8407">
        <v>0</v>
      </c>
      <c r="R8407" t="s">
        <v>44768</v>
      </c>
      <c r="S8407" t="s">
        <v>44982</v>
      </c>
      <c r="T8407" t="s">
        <v>46515</v>
      </c>
      <c r="U8407" t="s">
        <v>53934</v>
      </c>
      <c r="W8407" t="s">
        <v>41468</v>
      </c>
      <c r="X8407" t="s">
        <v>44769</v>
      </c>
    </row>
    <row r="8408" spans="1:24">
      <c r="A8408">
        <f>HYPERLINK("https://www.philgeps.gov.ph/GEPSNONPILOT/Tender/SplashBidNoticeAbstractUI.aspx?menuIndex=3&amp;refID=7139623&amp;Result=3","7139623")</f>
        <v>0</v>
      </c>
      <c r="B8408" t="s">
        <v>1405</v>
      </c>
      <c r="C8408" t="s">
        <v>11714</v>
      </c>
      <c r="D8408" t="s">
        <v>17959</v>
      </c>
      <c r="E8408" t="s">
        <v>25392</v>
      </c>
      <c r="F8408" t="s">
        <v>30900</v>
      </c>
      <c r="G8408" t="s">
        <v>30907</v>
      </c>
      <c r="H8408" t="s">
        <v>30915</v>
      </c>
      <c r="I8408" t="s">
        <v>30919</v>
      </c>
      <c r="J8408" t="s">
        <v>36340</v>
      </c>
      <c r="K8408" t="s">
        <v>40293</v>
      </c>
      <c r="M8408" t="s">
        <v>42034</v>
      </c>
      <c r="N8408" t="s">
        <v>44759</v>
      </c>
      <c r="O8408" t="s">
        <v>44760</v>
      </c>
      <c r="P8408">
        <v>0</v>
      </c>
      <c r="Q8408">
        <v>4</v>
      </c>
      <c r="R8408" t="s">
        <v>44768</v>
      </c>
      <c r="S8408" t="s">
        <v>44982</v>
      </c>
      <c r="T8408" t="s">
        <v>46495</v>
      </c>
      <c r="U8408" t="s">
        <v>53888</v>
      </c>
      <c r="W8408" t="s">
        <v>42034</v>
      </c>
      <c r="X8408" t="s">
        <v>44769</v>
      </c>
    </row>
    <row r="8409" spans="1:24">
      <c r="A8409">
        <f>HYPERLINK("https://www.philgeps.gov.ph/GEPSNONPILOT/Tender/SplashBidNoticeAbstractUI.aspx?menuIndex=3&amp;refID=7139740&amp;Result=3","7139740")</f>
        <v>0</v>
      </c>
      <c r="B8409" t="s">
        <v>400</v>
      </c>
      <c r="C8409" t="s">
        <v>11715</v>
      </c>
      <c r="D8409" t="s">
        <v>17971</v>
      </c>
      <c r="E8409" t="s">
        <v>25393</v>
      </c>
      <c r="F8409" t="s">
        <v>30900</v>
      </c>
      <c r="G8409" t="s">
        <v>30907</v>
      </c>
      <c r="H8409" t="s">
        <v>30915</v>
      </c>
      <c r="I8409" t="s">
        <v>30919</v>
      </c>
      <c r="J8409" t="s">
        <v>36341</v>
      </c>
      <c r="K8409" t="s">
        <v>40289</v>
      </c>
      <c r="M8409" t="s">
        <v>40955</v>
      </c>
      <c r="N8409" t="s">
        <v>44759</v>
      </c>
      <c r="O8409" t="s">
        <v>44760</v>
      </c>
      <c r="P8409">
        <v>0</v>
      </c>
      <c r="Q8409">
        <v>1</v>
      </c>
      <c r="R8409" t="s">
        <v>44768</v>
      </c>
      <c r="S8409" t="s">
        <v>44982</v>
      </c>
      <c r="T8409" t="s">
        <v>46515</v>
      </c>
      <c r="U8409" t="s">
        <v>53913</v>
      </c>
      <c r="W8409" t="s">
        <v>40955</v>
      </c>
      <c r="X8409" t="s">
        <v>44769</v>
      </c>
    </row>
    <row r="8410" spans="1:24">
      <c r="A8410">
        <f>HYPERLINK("https://www.philgeps.gov.ph/GEPSNONPILOT/Tender/SplashBidNoticeAbstractUI.aspx?menuIndex=3&amp;refID=7139725&amp;Result=3","7139725")</f>
        <v>0</v>
      </c>
      <c r="B8410" t="s">
        <v>41</v>
      </c>
      <c r="C8410" t="s">
        <v>11716</v>
      </c>
      <c r="D8410" t="s">
        <v>17966</v>
      </c>
      <c r="E8410" t="s">
        <v>25394</v>
      </c>
      <c r="F8410" t="s">
        <v>30900</v>
      </c>
      <c r="G8410" t="s">
        <v>30908</v>
      </c>
      <c r="H8410" t="s">
        <v>30915</v>
      </c>
      <c r="I8410" t="s">
        <v>30919</v>
      </c>
      <c r="J8410" t="s">
        <v>36342</v>
      </c>
      <c r="K8410" t="s">
        <v>40286</v>
      </c>
      <c r="M8410" t="s">
        <v>43517</v>
      </c>
      <c r="N8410" t="s">
        <v>44759</v>
      </c>
      <c r="O8410" t="s">
        <v>44760</v>
      </c>
      <c r="P8410">
        <v>0</v>
      </c>
      <c r="Q8410">
        <v>2</v>
      </c>
      <c r="R8410" t="s">
        <v>44768</v>
      </c>
      <c r="S8410" t="s">
        <v>44982</v>
      </c>
      <c r="T8410" t="s">
        <v>46389</v>
      </c>
      <c r="U8410" t="s">
        <v>53935</v>
      </c>
      <c r="V8410" t="s">
        <v>59095</v>
      </c>
      <c r="W8410" t="s">
        <v>43517</v>
      </c>
      <c r="X8410" t="s">
        <v>44769</v>
      </c>
    </row>
    <row r="8411" spans="1:24">
      <c r="A8411">
        <f>HYPERLINK("https://www.philgeps.gov.ph/GEPSNONPILOT/Tender/SplashBidNoticeAbstractUI.aspx?menuIndex=3&amp;refID=7139715&amp;Result=3","7139715")</f>
        <v>0</v>
      </c>
      <c r="B8411" t="s">
        <v>2746</v>
      </c>
      <c r="C8411" t="s">
        <v>11717</v>
      </c>
      <c r="D8411" t="s">
        <v>17976</v>
      </c>
      <c r="E8411" t="s">
        <v>18964</v>
      </c>
      <c r="F8411" t="s">
        <v>30900</v>
      </c>
      <c r="G8411" t="s">
        <v>30907</v>
      </c>
      <c r="H8411" t="s">
        <v>30916</v>
      </c>
      <c r="I8411" t="s">
        <v>8123</v>
      </c>
      <c r="J8411" t="s">
        <v>36343</v>
      </c>
      <c r="K8411" t="s">
        <v>40289</v>
      </c>
      <c r="M8411" t="s">
        <v>43522</v>
      </c>
      <c r="N8411" t="s">
        <v>44759</v>
      </c>
      <c r="O8411" t="s">
        <v>44760</v>
      </c>
      <c r="P8411">
        <v>0</v>
      </c>
      <c r="Q8411">
        <v>1</v>
      </c>
      <c r="R8411" t="s">
        <v>44768</v>
      </c>
      <c r="S8411" t="s">
        <v>44982</v>
      </c>
      <c r="T8411" t="s">
        <v>46591</v>
      </c>
      <c r="U8411" t="s">
        <v>53936</v>
      </c>
      <c r="W8411" t="s">
        <v>43522</v>
      </c>
      <c r="X8411" t="s">
        <v>44769</v>
      </c>
    </row>
    <row r="8412" spans="1:24">
      <c r="A8412">
        <f>HYPERLINK("https://www.philgeps.gov.ph/GEPSNONPILOT/Tender/SplashBidNoticeAbstractUI.aspx?menuIndex=3&amp;refID=7139684&amp;Result=3","7139684")</f>
        <v>0</v>
      </c>
      <c r="B8412" t="s">
        <v>2462</v>
      </c>
      <c r="C8412" t="s">
        <v>11718</v>
      </c>
      <c r="D8412" t="s">
        <v>17964</v>
      </c>
      <c r="E8412" t="s">
        <v>25395</v>
      </c>
      <c r="F8412" t="s">
        <v>30900</v>
      </c>
      <c r="G8412" t="s">
        <v>30907</v>
      </c>
      <c r="H8412" t="s">
        <v>30916</v>
      </c>
      <c r="I8412" t="s">
        <v>4050</v>
      </c>
      <c r="J8412" t="s">
        <v>36344</v>
      </c>
      <c r="K8412" t="s">
        <v>40286</v>
      </c>
      <c r="M8412" t="s">
        <v>43199</v>
      </c>
      <c r="N8412" t="s">
        <v>44759</v>
      </c>
      <c r="O8412" t="s">
        <v>44760</v>
      </c>
      <c r="P8412">
        <v>0</v>
      </c>
      <c r="Q8412">
        <v>2</v>
      </c>
      <c r="R8412" t="s">
        <v>44768</v>
      </c>
      <c r="S8412" t="s">
        <v>44982</v>
      </c>
      <c r="T8412" t="s">
        <v>46414</v>
      </c>
      <c r="U8412" t="s">
        <v>53937</v>
      </c>
      <c r="W8412" t="s">
        <v>43199</v>
      </c>
      <c r="X8412" t="s">
        <v>44769</v>
      </c>
    </row>
    <row r="8413" spans="1:24">
      <c r="A8413">
        <f>HYPERLINK("https://www.philgeps.gov.ph/GEPSNONPILOT/Tender/SplashBidNoticeAbstractUI.aspx?menuIndex=3&amp;refID=7139735&amp;Result=3","7139735")</f>
        <v>0</v>
      </c>
      <c r="B8413" t="s">
        <v>363</v>
      </c>
      <c r="C8413" t="s">
        <v>11719</v>
      </c>
      <c r="D8413" t="s">
        <v>17980</v>
      </c>
      <c r="E8413" t="s">
        <v>25396</v>
      </c>
      <c r="F8413" t="s">
        <v>30900</v>
      </c>
      <c r="G8413" t="s">
        <v>30907</v>
      </c>
      <c r="H8413" t="s">
        <v>30916</v>
      </c>
      <c r="I8413" t="s">
        <v>8123</v>
      </c>
      <c r="J8413" t="s">
        <v>31049</v>
      </c>
      <c r="K8413" t="s">
        <v>40286</v>
      </c>
      <c r="M8413" t="s">
        <v>40917</v>
      </c>
      <c r="N8413" t="s">
        <v>44759</v>
      </c>
      <c r="O8413" t="s">
        <v>44760</v>
      </c>
      <c r="P8413">
        <v>0</v>
      </c>
      <c r="Q8413">
        <v>0</v>
      </c>
      <c r="R8413" t="s">
        <v>44768</v>
      </c>
      <c r="S8413" t="s">
        <v>44982</v>
      </c>
      <c r="T8413" t="s">
        <v>46379</v>
      </c>
      <c r="U8413" t="s">
        <v>53938</v>
      </c>
      <c r="V8413" t="s">
        <v>60017</v>
      </c>
      <c r="W8413" t="s">
        <v>40917</v>
      </c>
      <c r="X8413" t="s">
        <v>44769</v>
      </c>
    </row>
    <row r="8414" spans="1:24">
      <c r="A8414">
        <f>HYPERLINK("https://www.philgeps.gov.ph/GEPSNONPILOT/Tender/SplashBidNoticeAbstractUI.aspx?menuIndex=3&amp;refID=7139733&amp;Result=3","7139733")</f>
        <v>0</v>
      </c>
      <c r="B8414" t="s">
        <v>2746</v>
      </c>
      <c r="C8414" t="s">
        <v>11720</v>
      </c>
      <c r="D8414" t="s">
        <v>17976</v>
      </c>
      <c r="E8414" t="s">
        <v>20879</v>
      </c>
      <c r="F8414" t="s">
        <v>30900</v>
      </c>
      <c r="G8414" t="s">
        <v>30907</v>
      </c>
      <c r="H8414" t="s">
        <v>30916</v>
      </c>
      <c r="I8414" t="s">
        <v>8123</v>
      </c>
      <c r="J8414" t="s">
        <v>36345</v>
      </c>
      <c r="K8414" t="s">
        <v>40289</v>
      </c>
      <c r="M8414" t="s">
        <v>43522</v>
      </c>
      <c r="N8414" t="s">
        <v>44759</v>
      </c>
      <c r="O8414" t="s">
        <v>44760</v>
      </c>
      <c r="P8414">
        <v>0</v>
      </c>
      <c r="Q8414">
        <v>2</v>
      </c>
      <c r="R8414" t="s">
        <v>44768</v>
      </c>
      <c r="S8414" t="s">
        <v>44982</v>
      </c>
      <c r="T8414" t="s">
        <v>46591</v>
      </c>
      <c r="U8414" t="s">
        <v>53939</v>
      </c>
      <c r="W8414" t="s">
        <v>43522</v>
      </c>
      <c r="X8414" t="s">
        <v>44769</v>
      </c>
    </row>
    <row r="8415" spans="1:24">
      <c r="A8415">
        <f>HYPERLINK("https://www.philgeps.gov.ph/GEPSNONPILOT/Tender/SplashBidNoticeAbstractUI.aspx?menuIndex=3&amp;refID=7139804&amp;Result=3","7139804")</f>
        <v>0</v>
      </c>
      <c r="B8415" t="s">
        <v>44</v>
      </c>
      <c r="C8415" t="s">
        <v>4750</v>
      </c>
      <c r="D8415" t="s">
        <v>17969</v>
      </c>
      <c r="E8415" t="s">
        <v>25397</v>
      </c>
      <c r="F8415" t="s">
        <v>30900</v>
      </c>
      <c r="G8415" t="s">
        <v>30907</v>
      </c>
      <c r="H8415" t="s">
        <v>30916</v>
      </c>
      <c r="I8415" t="s">
        <v>5501</v>
      </c>
      <c r="J8415" t="s">
        <v>36346</v>
      </c>
      <c r="K8415" t="s">
        <v>40284</v>
      </c>
      <c r="M8415" t="s">
        <v>43525</v>
      </c>
      <c r="N8415" t="s">
        <v>44759</v>
      </c>
      <c r="O8415" t="s">
        <v>44760</v>
      </c>
      <c r="P8415">
        <v>0</v>
      </c>
      <c r="Q8415">
        <v>2</v>
      </c>
      <c r="R8415" t="s">
        <v>44768</v>
      </c>
      <c r="S8415" t="s">
        <v>44982</v>
      </c>
      <c r="T8415" t="s">
        <v>46450</v>
      </c>
      <c r="U8415" t="s">
        <v>53940</v>
      </c>
      <c r="W8415" t="s">
        <v>43525</v>
      </c>
      <c r="X8415" t="s">
        <v>44769</v>
      </c>
    </row>
    <row r="8416" spans="1:24">
      <c r="A8416">
        <f>HYPERLINK("https://www.philgeps.gov.ph/GEPSNONPILOT/Tender/SplashBidNoticeAbstractUI.aspx?menuIndex=3&amp;refID=7139872&amp;Result=3","7139872")</f>
        <v>0</v>
      </c>
      <c r="B8416" t="s">
        <v>2749</v>
      </c>
      <c r="C8416" t="s">
        <v>11721</v>
      </c>
      <c r="D8416" t="s">
        <v>17966</v>
      </c>
      <c r="E8416" t="s">
        <v>25398</v>
      </c>
      <c r="F8416" t="s">
        <v>30900</v>
      </c>
      <c r="G8416" t="s">
        <v>30907</v>
      </c>
      <c r="H8416" t="s">
        <v>30915</v>
      </c>
      <c r="I8416" t="s">
        <v>8123</v>
      </c>
      <c r="J8416" t="s">
        <v>35237</v>
      </c>
      <c r="K8416" t="s">
        <v>40289</v>
      </c>
      <c r="M8416" t="s">
        <v>43526</v>
      </c>
      <c r="N8416" t="s">
        <v>44759</v>
      </c>
      <c r="O8416" t="s">
        <v>44760</v>
      </c>
      <c r="P8416">
        <v>0</v>
      </c>
      <c r="Q8416">
        <v>0</v>
      </c>
      <c r="R8416" t="s">
        <v>44768</v>
      </c>
      <c r="S8416" t="s">
        <v>44982</v>
      </c>
      <c r="T8416" t="s">
        <v>46700</v>
      </c>
      <c r="U8416" t="s">
        <v>53941</v>
      </c>
      <c r="W8416" t="s">
        <v>43526</v>
      </c>
      <c r="X8416" t="s">
        <v>44769</v>
      </c>
    </row>
    <row r="8417" spans="1:24">
      <c r="A8417">
        <f>HYPERLINK("https://www.philgeps.gov.ph/GEPSNONPILOT/Tender/SplashBidNoticeAbstractUI.aspx?menuIndex=3&amp;refID=7139691&amp;Result=3","7139691")</f>
        <v>0</v>
      </c>
      <c r="B8417" t="s">
        <v>2750</v>
      </c>
      <c r="C8417" t="s">
        <v>11722</v>
      </c>
      <c r="D8417" t="s">
        <v>18025</v>
      </c>
      <c r="E8417" t="s">
        <v>24107</v>
      </c>
      <c r="F8417" t="s">
        <v>30900</v>
      </c>
      <c r="G8417" t="s">
        <v>30907</v>
      </c>
      <c r="H8417" t="s">
        <v>30916</v>
      </c>
      <c r="I8417" t="s">
        <v>10847</v>
      </c>
      <c r="J8417" t="s">
        <v>36347</v>
      </c>
      <c r="K8417" t="s">
        <v>40286</v>
      </c>
      <c r="M8417" t="s">
        <v>43527</v>
      </c>
      <c r="N8417" t="s">
        <v>44759</v>
      </c>
      <c r="O8417" t="s">
        <v>44760</v>
      </c>
      <c r="P8417">
        <v>0</v>
      </c>
      <c r="Q8417">
        <v>0</v>
      </c>
      <c r="R8417" t="s">
        <v>44768</v>
      </c>
      <c r="S8417" t="s">
        <v>44982</v>
      </c>
      <c r="T8417" t="s">
        <v>46700</v>
      </c>
      <c r="U8417" t="s">
        <v>53942</v>
      </c>
      <c r="V8417" t="s">
        <v>60018</v>
      </c>
      <c r="W8417" t="s">
        <v>43527</v>
      </c>
      <c r="X8417" t="s">
        <v>44769</v>
      </c>
    </row>
    <row r="8418" spans="1:24">
      <c r="A8418">
        <f>HYPERLINK("https://www.philgeps.gov.ph/GEPSNONPILOT/Tender/SplashBidNoticeAbstractUI.aspx?menuIndex=3&amp;refID=7139857&amp;Result=3","7139857")</f>
        <v>0</v>
      </c>
      <c r="B8418" t="s">
        <v>2749</v>
      </c>
      <c r="C8418" t="s">
        <v>11723</v>
      </c>
      <c r="D8418" t="s">
        <v>17966</v>
      </c>
      <c r="E8418" t="s">
        <v>25398</v>
      </c>
      <c r="F8418" t="s">
        <v>30900</v>
      </c>
      <c r="G8418" t="s">
        <v>30907</v>
      </c>
      <c r="H8418" t="s">
        <v>30915</v>
      </c>
      <c r="I8418" t="s">
        <v>8123</v>
      </c>
      <c r="J8418" t="s">
        <v>36348</v>
      </c>
      <c r="K8418" t="s">
        <v>40289</v>
      </c>
      <c r="M8418" t="s">
        <v>43526</v>
      </c>
      <c r="N8418" t="s">
        <v>44759</v>
      </c>
      <c r="O8418" t="s">
        <v>44760</v>
      </c>
      <c r="P8418">
        <v>0</v>
      </c>
      <c r="Q8418">
        <v>0</v>
      </c>
      <c r="R8418" t="s">
        <v>44768</v>
      </c>
      <c r="S8418" t="s">
        <v>44982</v>
      </c>
      <c r="T8418" t="s">
        <v>46700</v>
      </c>
      <c r="U8418" t="s">
        <v>53943</v>
      </c>
      <c r="W8418" t="s">
        <v>43526</v>
      </c>
      <c r="X8418" t="s">
        <v>44769</v>
      </c>
    </row>
    <row r="8419" spans="1:24">
      <c r="A8419">
        <f>HYPERLINK("https://www.philgeps.gov.ph/GEPSNONPILOT/Tender/SplashBidNoticeAbstractUI.aspx?menuIndex=3&amp;refID=7139722&amp;Result=3","7139722")</f>
        <v>0</v>
      </c>
      <c r="B8419" t="s">
        <v>2751</v>
      </c>
      <c r="C8419" t="s">
        <v>11724</v>
      </c>
      <c r="D8419" t="s">
        <v>17953</v>
      </c>
      <c r="E8419" t="s">
        <v>25399</v>
      </c>
      <c r="F8419" t="s">
        <v>30900</v>
      </c>
      <c r="G8419" t="s">
        <v>30907</v>
      </c>
      <c r="H8419" t="s">
        <v>30916</v>
      </c>
      <c r="I8419" t="s">
        <v>30999</v>
      </c>
      <c r="J8419" t="s">
        <v>31767</v>
      </c>
      <c r="K8419" t="s">
        <v>40281</v>
      </c>
      <c r="M8419" t="s">
        <v>43528</v>
      </c>
      <c r="N8419" t="s">
        <v>44759</v>
      </c>
      <c r="O8419" t="s">
        <v>44760</v>
      </c>
      <c r="P8419">
        <v>0</v>
      </c>
      <c r="Q8419">
        <v>0</v>
      </c>
      <c r="R8419" t="s">
        <v>44768</v>
      </c>
      <c r="S8419" t="s">
        <v>44982</v>
      </c>
      <c r="T8419" t="s">
        <v>46807</v>
      </c>
      <c r="U8419" t="s">
        <v>53944</v>
      </c>
      <c r="W8419" t="s">
        <v>43528</v>
      </c>
      <c r="X8419" t="s">
        <v>44769</v>
      </c>
    </row>
    <row r="8420" spans="1:24">
      <c r="A8420">
        <f>HYPERLINK("https://www.philgeps.gov.ph/GEPSNONPILOT/Tender/SplashBidNoticeAbstractUI.aspx?menuIndex=3&amp;refID=7139746&amp;Result=3","7139746")</f>
        <v>0</v>
      </c>
      <c r="B8420" t="s">
        <v>2710</v>
      </c>
      <c r="C8420" t="s">
        <v>11725</v>
      </c>
      <c r="D8420" t="s">
        <v>17985</v>
      </c>
      <c r="E8420" t="s">
        <v>25400</v>
      </c>
      <c r="F8420" t="s">
        <v>30900</v>
      </c>
      <c r="G8420" t="s">
        <v>30907</v>
      </c>
      <c r="H8420" t="s">
        <v>30916</v>
      </c>
      <c r="I8420" t="s">
        <v>8123</v>
      </c>
      <c r="J8420" t="s">
        <v>36349</v>
      </c>
      <c r="K8420" t="s">
        <v>40286</v>
      </c>
      <c r="M8420" t="s">
        <v>43483</v>
      </c>
      <c r="N8420" t="s">
        <v>44759</v>
      </c>
      <c r="O8420" t="s">
        <v>44760</v>
      </c>
      <c r="P8420">
        <v>0</v>
      </c>
      <c r="Q8420">
        <v>0</v>
      </c>
      <c r="R8420" t="s">
        <v>44768</v>
      </c>
      <c r="S8420" t="s">
        <v>44982</v>
      </c>
      <c r="T8420" t="s">
        <v>46414</v>
      </c>
      <c r="U8420" t="s">
        <v>53945</v>
      </c>
      <c r="W8420" t="s">
        <v>43483</v>
      </c>
      <c r="X8420" t="s">
        <v>44769</v>
      </c>
    </row>
    <row r="8421" spans="1:24">
      <c r="A8421">
        <f>HYPERLINK("https://www.philgeps.gov.ph/GEPSNONPILOT/Tender/SplashBidNoticeAbstractUI.aspx?menuIndex=3&amp;refID=7139856&amp;Result=3","7139856")</f>
        <v>0</v>
      </c>
      <c r="B8421" t="s">
        <v>1459</v>
      </c>
      <c r="C8421" t="s">
        <v>11726</v>
      </c>
      <c r="D8421" t="s">
        <v>17975</v>
      </c>
      <c r="E8421" t="s">
        <v>25401</v>
      </c>
      <c r="F8421" t="s">
        <v>30900</v>
      </c>
      <c r="G8421" t="s">
        <v>30907</v>
      </c>
      <c r="H8421" t="s">
        <v>30916</v>
      </c>
      <c r="I8421" t="s">
        <v>31024</v>
      </c>
      <c r="J8421" t="s">
        <v>36350</v>
      </c>
      <c r="K8421" t="s">
        <v>40280</v>
      </c>
      <c r="L8421" t="s">
        <v>1459</v>
      </c>
      <c r="M8421" t="s">
        <v>42091</v>
      </c>
      <c r="N8421" t="s">
        <v>44759</v>
      </c>
      <c r="O8421" t="s">
        <v>44760</v>
      </c>
      <c r="P8421">
        <v>0</v>
      </c>
      <c r="Q8421">
        <v>3</v>
      </c>
      <c r="R8421" t="s">
        <v>44768</v>
      </c>
      <c r="S8421" t="s">
        <v>44982</v>
      </c>
      <c r="T8421" t="s">
        <v>46625</v>
      </c>
      <c r="U8421" t="s">
        <v>53909</v>
      </c>
      <c r="W8421" t="s">
        <v>42091</v>
      </c>
      <c r="X8421" t="s">
        <v>44769</v>
      </c>
    </row>
    <row r="8422" spans="1:24">
      <c r="A8422">
        <f>HYPERLINK("https://www.philgeps.gov.ph/GEPSNONPILOT/Tender/SplashBidNoticeAbstractUI.aspx?menuIndex=3&amp;refID=7139841&amp;Result=3","7139841")</f>
        <v>0</v>
      </c>
      <c r="B8422" t="s">
        <v>1152</v>
      </c>
      <c r="C8422" t="s">
        <v>11727</v>
      </c>
      <c r="D8422" t="s">
        <v>18015</v>
      </c>
      <c r="E8422" t="s">
        <v>25402</v>
      </c>
      <c r="F8422" t="s">
        <v>30900</v>
      </c>
      <c r="G8422" t="s">
        <v>30907</v>
      </c>
      <c r="H8422" t="s">
        <v>30915</v>
      </c>
      <c r="I8422" t="s">
        <v>30919</v>
      </c>
      <c r="J8422" t="s">
        <v>36351</v>
      </c>
      <c r="K8422" t="s">
        <v>40342</v>
      </c>
      <c r="M8422" t="s">
        <v>41758</v>
      </c>
      <c r="N8422" t="s">
        <v>44759</v>
      </c>
      <c r="O8422" t="s">
        <v>44760</v>
      </c>
      <c r="P8422">
        <v>0</v>
      </c>
      <c r="Q8422">
        <v>0</v>
      </c>
      <c r="R8422" t="s">
        <v>44768</v>
      </c>
      <c r="S8422" t="s">
        <v>44982</v>
      </c>
      <c r="T8422" t="s">
        <v>46515</v>
      </c>
      <c r="U8422" t="s">
        <v>53946</v>
      </c>
      <c r="V8422" t="s">
        <v>60019</v>
      </c>
      <c r="W8422" t="s">
        <v>41758</v>
      </c>
      <c r="X8422" t="s">
        <v>44769</v>
      </c>
    </row>
    <row r="8423" spans="1:24">
      <c r="A8423">
        <f>HYPERLINK("https://www.philgeps.gov.ph/GEPSNONPILOT/Tender/SplashBidNoticeAbstractUI.aspx?menuIndex=3&amp;refID=7139879&amp;Result=3","7139879")</f>
        <v>0</v>
      </c>
      <c r="B8423" t="s">
        <v>2621</v>
      </c>
      <c r="C8423" t="s">
        <v>11728</v>
      </c>
      <c r="D8423" t="s">
        <v>17979</v>
      </c>
      <c r="E8423" t="s">
        <v>24671</v>
      </c>
      <c r="F8423" t="s">
        <v>30900</v>
      </c>
      <c r="G8423" t="s">
        <v>30907</v>
      </c>
      <c r="H8423" t="s">
        <v>30916</v>
      </c>
      <c r="I8423" t="s">
        <v>30933</v>
      </c>
      <c r="J8423" t="s">
        <v>31391</v>
      </c>
      <c r="K8423" t="s">
        <v>40286</v>
      </c>
      <c r="M8423" t="s">
        <v>43385</v>
      </c>
      <c r="N8423" t="s">
        <v>44759</v>
      </c>
      <c r="O8423" t="s">
        <v>44760</v>
      </c>
      <c r="P8423">
        <v>0</v>
      </c>
      <c r="Q8423">
        <v>6</v>
      </c>
      <c r="R8423" t="s">
        <v>44768</v>
      </c>
      <c r="S8423" t="s">
        <v>44982</v>
      </c>
      <c r="T8423" t="s">
        <v>46515</v>
      </c>
      <c r="U8423" t="s">
        <v>53513</v>
      </c>
      <c r="W8423" t="s">
        <v>43385</v>
      </c>
      <c r="X8423" t="s">
        <v>44769</v>
      </c>
    </row>
    <row r="8424" spans="1:24">
      <c r="A8424">
        <f>HYPERLINK("https://www.philgeps.gov.ph/GEPSNONPILOT/Tender/SplashBidNoticeAbstractUI.aspx?menuIndex=3&amp;refID=7139832&amp;Result=3","7139832")</f>
        <v>0</v>
      </c>
      <c r="B8424" t="s">
        <v>73</v>
      </c>
      <c r="C8424" t="s">
        <v>11729</v>
      </c>
      <c r="D8424" t="s">
        <v>17983</v>
      </c>
      <c r="E8424" t="s">
        <v>25403</v>
      </c>
      <c r="F8424" t="s">
        <v>30900</v>
      </c>
      <c r="G8424" t="s">
        <v>30907</v>
      </c>
      <c r="H8424" t="s">
        <v>30916</v>
      </c>
      <c r="I8424" t="s">
        <v>10847</v>
      </c>
      <c r="J8424" t="s">
        <v>32288</v>
      </c>
      <c r="K8424" t="s">
        <v>40293</v>
      </c>
      <c r="M8424" t="s">
        <v>40620</v>
      </c>
      <c r="N8424" t="s">
        <v>44759</v>
      </c>
      <c r="O8424" t="s">
        <v>44760</v>
      </c>
      <c r="P8424">
        <v>0</v>
      </c>
      <c r="Q8424">
        <v>0</v>
      </c>
      <c r="R8424" t="s">
        <v>44768</v>
      </c>
      <c r="S8424" t="s">
        <v>44982</v>
      </c>
      <c r="T8424" t="s">
        <v>46658</v>
      </c>
      <c r="U8424" t="s">
        <v>53947</v>
      </c>
      <c r="W8424" t="s">
        <v>40620</v>
      </c>
      <c r="X8424" t="s">
        <v>44769</v>
      </c>
    </row>
    <row r="8425" spans="1:24">
      <c r="A8425">
        <f>HYPERLINK("https://www.philgeps.gov.ph/GEPSNONPILOT/Tender/SplashBidNoticeAbstractUI.aspx?menuIndex=3&amp;refID=7139847&amp;Result=3","7139847")</f>
        <v>0</v>
      </c>
      <c r="B8425" t="s">
        <v>2752</v>
      </c>
      <c r="C8425" t="s">
        <v>11730</v>
      </c>
      <c r="D8425" t="s">
        <v>17967</v>
      </c>
      <c r="E8425" t="s">
        <v>25404</v>
      </c>
      <c r="F8425" t="s">
        <v>30900</v>
      </c>
      <c r="G8425" t="s">
        <v>30907</v>
      </c>
      <c r="H8425" t="s">
        <v>30916</v>
      </c>
      <c r="I8425" t="s">
        <v>30927</v>
      </c>
      <c r="J8425" t="s">
        <v>36352</v>
      </c>
      <c r="K8425" t="s">
        <v>40289</v>
      </c>
      <c r="M8425" t="s">
        <v>43529</v>
      </c>
      <c r="N8425" t="s">
        <v>44759</v>
      </c>
      <c r="O8425" t="s">
        <v>44760</v>
      </c>
      <c r="P8425">
        <v>0</v>
      </c>
      <c r="Q8425">
        <v>0</v>
      </c>
      <c r="R8425" t="s">
        <v>44768</v>
      </c>
      <c r="S8425" t="s">
        <v>44982</v>
      </c>
      <c r="T8425" t="s">
        <v>46495</v>
      </c>
      <c r="U8425" t="s">
        <v>53948</v>
      </c>
      <c r="W8425" t="s">
        <v>43529</v>
      </c>
      <c r="X8425" t="s">
        <v>44769</v>
      </c>
    </row>
    <row r="8426" spans="1:24">
      <c r="A8426">
        <f>HYPERLINK("https://www.philgeps.gov.ph/GEPSNONPILOT/Tender/SplashBidNoticeAbstractUI.aspx?menuIndex=3&amp;refID=7139827&amp;Result=3","7139827")</f>
        <v>0</v>
      </c>
      <c r="B8426" t="s">
        <v>1132</v>
      </c>
      <c r="C8426" t="s">
        <v>11731</v>
      </c>
      <c r="D8426" t="s">
        <v>17980</v>
      </c>
      <c r="E8426" t="s">
        <v>20354</v>
      </c>
      <c r="F8426" t="s">
        <v>30899</v>
      </c>
      <c r="G8426" t="s">
        <v>30907</v>
      </c>
      <c r="H8426" t="s">
        <v>30916</v>
      </c>
      <c r="I8426" t="s">
        <v>30960</v>
      </c>
      <c r="J8426" t="s">
        <v>36353</v>
      </c>
      <c r="K8426" t="s">
        <v>40289</v>
      </c>
      <c r="M8426" t="s">
        <v>41734</v>
      </c>
      <c r="N8426" t="s">
        <v>44759</v>
      </c>
      <c r="O8426" t="s">
        <v>44760</v>
      </c>
      <c r="P8426">
        <v>0</v>
      </c>
      <c r="Q8426">
        <v>11</v>
      </c>
      <c r="R8426" t="s">
        <v>44768</v>
      </c>
      <c r="S8426" t="s">
        <v>44982</v>
      </c>
      <c r="T8426" t="s">
        <v>46503</v>
      </c>
      <c r="U8426" t="s">
        <v>53949</v>
      </c>
      <c r="W8426" t="s">
        <v>41734</v>
      </c>
      <c r="X8426" t="s">
        <v>44769</v>
      </c>
    </row>
    <row r="8427" spans="1:24">
      <c r="A8427">
        <f>HYPERLINK("https://www.philgeps.gov.ph/GEPSNONPILOT/Tender/SplashBidNoticeAbstractUI.aspx?menuIndex=3&amp;refID=7139825&amp;Result=3","7139825")</f>
        <v>0</v>
      </c>
      <c r="B8427" t="s">
        <v>2753</v>
      </c>
      <c r="C8427" t="s">
        <v>11732</v>
      </c>
      <c r="D8427" t="s">
        <v>18038</v>
      </c>
      <c r="E8427" t="s">
        <v>25405</v>
      </c>
      <c r="F8427" t="s">
        <v>30900</v>
      </c>
      <c r="G8427" t="s">
        <v>30907</v>
      </c>
      <c r="H8427" t="s">
        <v>30916</v>
      </c>
      <c r="I8427" t="s">
        <v>30924</v>
      </c>
      <c r="J8427" t="s">
        <v>31669</v>
      </c>
      <c r="K8427" t="s">
        <v>40284</v>
      </c>
      <c r="M8427" t="s">
        <v>43530</v>
      </c>
      <c r="N8427" t="s">
        <v>44759</v>
      </c>
      <c r="O8427" t="s">
        <v>44760</v>
      </c>
      <c r="P8427">
        <v>0</v>
      </c>
      <c r="Q8427">
        <v>4</v>
      </c>
      <c r="R8427" t="s">
        <v>44768</v>
      </c>
      <c r="S8427" t="s">
        <v>44982</v>
      </c>
      <c r="T8427" t="s">
        <v>46814</v>
      </c>
      <c r="U8427" t="s">
        <v>53950</v>
      </c>
      <c r="V8427" t="s">
        <v>60020</v>
      </c>
      <c r="W8427" t="s">
        <v>43530</v>
      </c>
      <c r="X8427" t="s">
        <v>44769</v>
      </c>
    </row>
    <row r="8428" spans="1:24">
      <c r="A8428">
        <f>HYPERLINK("https://www.philgeps.gov.ph/GEPSNONPILOT/Tender/SplashBidNoticeAbstractUI.aspx?menuIndex=3&amp;refID=7139836&amp;Result=3","7139836")</f>
        <v>0</v>
      </c>
      <c r="B8428" t="s">
        <v>2749</v>
      </c>
      <c r="C8428" t="s">
        <v>11733</v>
      </c>
      <c r="D8428" t="s">
        <v>17966</v>
      </c>
      <c r="E8428" t="s">
        <v>25406</v>
      </c>
      <c r="F8428" t="s">
        <v>30900</v>
      </c>
      <c r="G8428" t="s">
        <v>30907</v>
      </c>
      <c r="H8428" t="s">
        <v>30915</v>
      </c>
      <c r="I8428" t="s">
        <v>8123</v>
      </c>
      <c r="J8428" t="s">
        <v>36348</v>
      </c>
      <c r="K8428" t="s">
        <v>40289</v>
      </c>
      <c r="M8428" t="s">
        <v>43526</v>
      </c>
      <c r="N8428" t="s">
        <v>44759</v>
      </c>
      <c r="O8428" t="s">
        <v>44760</v>
      </c>
      <c r="P8428">
        <v>0</v>
      </c>
      <c r="Q8428">
        <v>0</v>
      </c>
      <c r="R8428" t="s">
        <v>44768</v>
      </c>
      <c r="S8428" t="s">
        <v>44982</v>
      </c>
      <c r="T8428" t="s">
        <v>46700</v>
      </c>
      <c r="U8428" t="s">
        <v>53951</v>
      </c>
      <c r="W8428" t="s">
        <v>43526</v>
      </c>
      <c r="X8428" t="s">
        <v>44769</v>
      </c>
    </row>
    <row r="8429" spans="1:24">
      <c r="A8429">
        <f>HYPERLINK("https://www.philgeps.gov.ph/GEPSNONPILOT/Tender/SplashBidNoticeAbstractUI.aspx?menuIndex=3&amp;refID=7139855&amp;Result=3","7139855")</f>
        <v>0</v>
      </c>
      <c r="B8429" t="s">
        <v>45</v>
      </c>
      <c r="C8429" t="s">
        <v>11734</v>
      </c>
      <c r="E8429" t="s">
        <v>25407</v>
      </c>
      <c r="F8429" t="s">
        <v>30900</v>
      </c>
      <c r="G8429" t="s">
        <v>30908</v>
      </c>
      <c r="H8429" t="s">
        <v>30915</v>
      </c>
      <c r="I8429" t="s">
        <v>30919</v>
      </c>
      <c r="J8429" t="s">
        <v>36354</v>
      </c>
      <c r="K8429" t="s">
        <v>40354</v>
      </c>
      <c r="M8429" t="s">
        <v>40591</v>
      </c>
      <c r="N8429" t="s">
        <v>44759</v>
      </c>
      <c r="O8429" t="s">
        <v>44760</v>
      </c>
      <c r="P8429">
        <v>0</v>
      </c>
      <c r="Q8429">
        <v>0</v>
      </c>
      <c r="R8429" t="s">
        <v>44768</v>
      </c>
      <c r="S8429" t="s">
        <v>44982</v>
      </c>
      <c r="T8429" t="s">
        <v>46658</v>
      </c>
      <c r="U8429" t="s">
        <v>53952</v>
      </c>
      <c r="W8429" t="s">
        <v>40591</v>
      </c>
      <c r="X8429" t="s">
        <v>44769</v>
      </c>
    </row>
    <row r="8430" spans="1:24">
      <c r="A8430">
        <f>HYPERLINK("https://www.philgeps.gov.ph/GEPSNONPILOT/Tender/SplashBidNoticeAbstractUI.aspx?menuIndex=3&amp;refID=7139685&amp;Result=3","7139685")</f>
        <v>0</v>
      </c>
      <c r="B8430" t="s">
        <v>41</v>
      </c>
      <c r="C8430" t="s">
        <v>11735</v>
      </c>
      <c r="D8430" t="s">
        <v>17966</v>
      </c>
      <c r="E8430" t="s">
        <v>25408</v>
      </c>
      <c r="F8430" t="s">
        <v>30900</v>
      </c>
      <c r="G8430" t="s">
        <v>30908</v>
      </c>
      <c r="H8430" t="s">
        <v>30916</v>
      </c>
      <c r="I8430" t="s">
        <v>30941</v>
      </c>
      <c r="J8430" t="s">
        <v>36355</v>
      </c>
      <c r="K8430" t="s">
        <v>40284</v>
      </c>
      <c r="M8430" t="s">
        <v>43517</v>
      </c>
      <c r="N8430" t="s">
        <v>44759</v>
      </c>
      <c r="O8430" t="s">
        <v>44760</v>
      </c>
      <c r="P8430">
        <v>0</v>
      </c>
      <c r="Q8430">
        <v>0</v>
      </c>
      <c r="R8430" t="s">
        <v>44768</v>
      </c>
      <c r="S8430" t="s">
        <v>44982</v>
      </c>
      <c r="T8430" t="s">
        <v>46389</v>
      </c>
      <c r="U8430" t="s">
        <v>53897</v>
      </c>
      <c r="V8430" t="s">
        <v>59095</v>
      </c>
      <c r="W8430" t="s">
        <v>43517</v>
      </c>
      <c r="X8430" t="s">
        <v>44769</v>
      </c>
    </row>
    <row r="8431" spans="1:24">
      <c r="A8431">
        <f>HYPERLINK("https://www.philgeps.gov.ph/GEPSNONPILOT/Tender/SplashBidNoticeAbstractUI.aspx?menuIndex=3&amp;refID=7139824&amp;Result=3","7139824")</f>
        <v>0</v>
      </c>
      <c r="B8431" t="s">
        <v>2752</v>
      </c>
      <c r="C8431" t="s">
        <v>11736</v>
      </c>
      <c r="D8431" t="s">
        <v>17967</v>
      </c>
      <c r="E8431" t="s">
        <v>25409</v>
      </c>
      <c r="F8431" t="s">
        <v>30900</v>
      </c>
      <c r="G8431" t="s">
        <v>30907</v>
      </c>
      <c r="H8431" t="s">
        <v>30916</v>
      </c>
      <c r="I8431" t="s">
        <v>30927</v>
      </c>
      <c r="J8431" t="s">
        <v>36356</v>
      </c>
      <c r="K8431" t="s">
        <v>40289</v>
      </c>
      <c r="M8431" t="s">
        <v>43529</v>
      </c>
      <c r="N8431" t="s">
        <v>44759</v>
      </c>
      <c r="O8431" t="s">
        <v>44760</v>
      </c>
      <c r="P8431">
        <v>0</v>
      </c>
      <c r="Q8431">
        <v>0</v>
      </c>
      <c r="R8431" t="s">
        <v>44768</v>
      </c>
      <c r="S8431" t="s">
        <v>44982</v>
      </c>
      <c r="T8431" t="s">
        <v>46495</v>
      </c>
      <c r="U8431" t="s">
        <v>53953</v>
      </c>
      <c r="W8431" t="s">
        <v>43529</v>
      </c>
      <c r="X8431" t="s">
        <v>44769</v>
      </c>
    </row>
    <row r="8432" spans="1:24">
      <c r="A8432">
        <f>HYPERLINK("https://www.philgeps.gov.ph/GEPSNONPILOT/Tender/SplashBidNoticeAbstractUI.aspx?menuIndex=3&amp;refID=7139940&amp;Result=3","7139940")</f>
        <v>0</v>
      </c>
      <c r="B8432" t="s">
        <v>2754</v>
      </c>
      <c r="C8432" t="s">
        <v>11737</v>
      </c>
      <c r="D8432" t="s">
        <v>17961</v>
      </c>
      <c r="E8432" t="s">
        <v>25410</v>
      </c>
      <c r="F8432" t="s">
        <v>30900</v>
      </c>
      <c r="G8432" t="s">
        <v>30907</v>
      </c>
      <c r="H8432" t="s">
        <v>7411</v>
      </c>
      <c r="I8432" t="s">
        <v>4142</v>
      </c>
      <c r="J8432" t="s">
        <v>31077</v>
      </c>
      <c r="K8432" t="s">
        <v>40289</v>
      </c>
      <c r="M8432" t="s">
        <v>43531</v>
      </c>
      <c r="N8432" t="s">
        <v>44759</v>
      </c>
      <c r="O8432" t="s">
        <v>44760</v>
      </c>
      <c r="P8432">
        <v>0</v>
      </c>
      <c r="Q8432">
        <v>0</v>
      </c>
      <c r="R8432" t="s">
        <v>44768</v>
      </c>
      <c r="S8432" t="s">
        <v>44982</v>
      </c>
      <c r="T8432" t="s">
        <v>46398</v>
      </c>
      <c r="U8432" t="s">
        <v>53954</v>
      </c>
      <c r="W8432" t="s">
        <v>43531</v>
      </c>
      <c r="X8432" t="s">
        <v>44769</v>
      </c>
    </row>
    <row r="8433" spans="1:24">
      <c r="A8433">
        <f>HYPERLINK("https://www.philgeps.gov.ph/GEPSNONPILOT/Tender/SplashBidNoticeAbstractUI.aspx?menuIndex=3&amp;refID=7139829&amp;Result=3","7139829")</f>
        <v>0</v>
      </c>
      <c r="B8433" t="s">
        <v>2755</v>
      </c>
      <c r="C8433" t="s">
        <v>11738</v>
      </c>
      <c r="D8433" t="s">
        <v>17959</v>
      </c>
      <c r="E8433" t="s">
        <v>25411</v>
      </c>
      <c r="F8433" t="s">
        <v>30900</v>
      </c>
      <c r="G8433" t="s">
        <v>30907</v>
      </c>
      <c r="H8433" t="s">
        <v>30916</v>
      </c>
      <c r="I8433" t="s">
        <v>4142</v>
      </c>
      <c r="J8433" t="s">
        <v>36357</v>
      </c>
      <c r="K8433" t="s">
        <v>40286</v>
      </c>
      <c r="M8433" t="s">
        <v>43532</v>
      </c>
      <c r="N8433" t="s">
        <v>44759</v>
      </c>
      <c r="O8433" t="s">
        <v>44760</v>
      </c>
      <c r="P8433">
        <v>0</v>
      </c>
      <c r="Q8433">
        <v>2</v>
      </c>
      <c r="R8433" t="s">
        <v>44768</v>
      </c>
      <c r="S8433" t="s">
        <v>44982</v>
      </c>
      <c r="T8433" t="s">
        <v>46531</v>
      </c>
      <c r="U8433" t="s">
        <v>53955</v>
      </c>
      <c r="W8433" t="s">
        <v>43532</v>
      </c>
      <c r="X8433" t="s">
        <v>44769</v>
      </c>
    </row>
    <row r="8434" spans="1:24">
      <c r="A8434">
        <f>HYPERLINK("https://www.philgeps.gov.ph/GEPSNONPILOT/Tender/SplashBidNoticeAbstractUI.aspx?menuIndex=3&amp;refID=7139833&amp;Result=3","7139833")</f>
        <v>0</v>
      </c>
      <c r="B8434" t="s">
        <v>1031</v>
      </c>
      <c r="C8434" t="s">
        <v>11739</v>
      </c>
      <c r="D8434" t="s">
        <v>17960</v>
      </c>
      <c r="E8434" t="s">
        <v>25412</v>
      </c>
      <c r="F8434" t="s">
        <v>30900</v>
      </c>
      <c r="G8434" t="s">
        <v>30907</v>
      </c>
      <c r="H8434" t="s">
        <v>30915</v>
      </c>
      <c r="I8434" t="s">
        <v>30919</v>
      </c>
      <c r="J8434" t="s">
        <v>36358</v>
      </c>
      <c r="K8434" t="s">
        <v>40358</v>
      </c>
      <c r="M8434" t="s">
        <v>41622</v>
      </c>
      <c r="N8434" t="s">
        <v>44759</v>
      </c>
      <c r="O8434" t="s">
        <v>44760</v>
      </c>
      <c r="P8434">
        <v>0</v>
      </c>
      <c r="Q8434">
        <v>0</v>
      </c>
      <c r="R8434" t="s">
        <v>44768</v>
      </c>
      <c r="S8434" t="s">
        <v>44982</v>
      </c>
      <c r="T8434" t="s">
        <v>46815</v>
      </c>
      <c r="U8434" t="s">
        <v>53956</v>
      </c>
      <c r="V8434" t="s">
        <v>59366</v>
      </c>
      <c r="W8434" t="s">
        <v>41622</v>
      </c>
      <c r="X8434" t="s">
        <v>44769</v>
      </c>
    </row>
    <row r="8435" spans="1:24">
      <c r="A8435">
        <f>HYPERLINK("https://www.philgeps.gov.ph/GEPSNONPILOT/Tender/SplashBidNoticeAbstractUI.aspx?menuIndex=3&amp;refID=7139928&amp;Result=3","7139928")</f>
        <v>0</v>
      </c>
      <c r="B8435" t="s">
        <v>2756</v>
      </c>
      <c r="C8435" t="s">
        <v>11740</v>
      </c>
      <c r="D8435" t="s">
        <v>17971</v>
      </c>
      <c r="E8435" t="s">
        <v>21298</v>
      </c>
      <c r="F8435" t="s">
        <v>30900</v>
      </c>
      <c r="G8435" t="s">
        <v>30907</v>
      </c>
      <c r="H8435" t="s">
        <v>30916</v>
      </c>
      <c r="I8435" t="s">
        <v>8123</v>
      </c>
      <c r="J8435" t="s">
        <v>31043</v>
      </c>
      <c r="K8435" t="s">
        <v>40287</v>
      </c>
      <c r="M8435" t="s">
        <v>43533</v>
      </c>
      <c r="N8435" t="s">
        <v>44759</v>
      </c>
      <c r="O8435" t="s">
        <v>44760</v>
      </c>
      <c r="P8435">
        <v>0</v>
      </c>
      <c r="Q8435">
        <v>0</v>
      </c>
      <c r="R8435" t="s">
        <v>44768</v>
      </c>
      <c r="S8435" t="s">
        <v>44982</v>
      </c>
      <c r="T8435" t="s">
        <v>46700</v>
      </c>
      <c r="U8435" t="s">
        <v>53957</v>
      </c>
      <c r="W8435" t="s">
        <v>43533</v>
      </c>
      <c r="X8435" t="s">
        <v>44769</v>
      </c>
    </row>
    <row r="8436" spans="1:24">
      <c r="A8436">
        <f>HYPERLINK("https://www.philgeps.gov.ph/GEPSNONPILOT/Tender/SplashBidNoticeAbstractUI.aspx?menuIndex=3&amp;refID=7139935&amp;Result=3","7139935")</f>
        <v>0</v>
      </c>
      <c r="B8436" t="s">
        <v>2059</v>
      </c>
      <c r="C8436" t="s">
        <v>11741</v>
      </c>
      <c r="D8436" t="s">
        <v>17995</v>
      </c>
      <c r="E8436" t="s">
        <v>25413</v>
      </c>
      <c r="F8436" t="s">
        <v>30900</v>
      </c>
      <c r="G8436" t="s">
        <v>30907</v>
      </c>
      <c r="H8436" t="s">
        <v>30916</v>
      </c>
      <c r="I8436" t="s">
        <v>30939</v>
      </c>
      <c r="J8436" t="s">
        <v>31130</v>
      </c>
      <c r="K8436" t="s">
        <v>40287</v>
      </c>
      <c r="M8436" t="s">
        <v>42758</v>
      </c>
      <c r="N8436" t="s">
        <v>44759</v>
      </c>
      <c r="O8436" t="s">
        <v>44760</v>
      </c>
      <c r="P8436">
        <v>0</v>
      </c>
      <c r="Q8436">
        <v>0</v>
      </c>
      <c r="R8436" t="s">
        <v>44768</v>
      </c>
      <c r="S8436" t="s">
        <v>44982</v>
      </c>
      <c r="T8436" t="s">
        <v>46425</v>
      </c>
      <c r="U8436" t="s">
        <v>53958</v>
      </c>
      <c r="V8436" t="s">
        <v>60021</v>
      </c>
      <c r="W8436" t="s">
        <v>42758</v>
      </c>
      <c r="X8436" t="s">
        <v>44769</v>
      </c>
    </row>
    <row r="8437" spans="1:24">
      <c r="A8437">
        <f>HYPERLINK("https://www.philgeps.gov.ph/GEPSNONPILOT/Tender/SplashBidNoticeAbstractUI.aspx?menuIndex=3&amp;refID=7139721&amp;Result=3","7139721")</f>
        <v>0</v>
      </c>
      <c r="B8437" t="s">
        <v>1403</v>
      </c>
      <c r="C8437" t="s">
        <v>11742</v>
      </c>
      <c r="D8437" t="s">
        <v>17954</v>
      </c>
      <c r="E8437" t="s">
        <v>25414</v>
      </c>
      <c r="F8437" t="s">
        <v>30900</v>
      </c>
      <c r="G8437" t="s">
        <v>30907</v>
      </c>
      <c r="H8437" t="s">
        <v>30916</v>
      </c>
      <c r="I8437" t="s">
        <v>30919</v>
      </c>
      <c r="J8437" t="s">
        <v>36359</v>
      </c>
      <c r="K8437" t="s">
        <v>40331</v>
      </c>
      <c r="M8437" t="s">
        <v>42030</v>
      </c>
      <c r="N8437" t="s">
        <v>44759</v>
      </c>
      <c r="O8437" t="s">
        <v>44760</v>
      </c>
      <c r="P8437">
        <v>0</v>
      </c>
      <c r="Q8437">
        <v>0</v>
      </c>
      <c r="R8437" t="s">
        <v>44768</v>
      </c>
      <c r="S8437" t="s">
        <v>44982</v>
      </c>
      <c r="T8437" t="s">
        <v>46540</v>
      </c>
      <c r="U8437" t="s">
        <v>53959</v>
      </c>
      <c r="W8437" t="s">
        <v>42030</v>
      </c>
      <c r="X8437" t="s">
        <v>44769</v>
      </c>
    </row>
    <row r="8438" spans="1:24">
      <c r="A8438">
        <f>HYPERLINK("https://www.philgeps.gov.ph/GEPSNONPILOT/Tender/SplashBidNoticeAbstractUI.aspx?menuIndex=3&amp;refID=7139930&amp;Result=3","7139930")</f>
        <v>0</v>
      </c>
      <c r="B8438" t="s">
        <v>399</v>
      </c>
      <c r="C8438" t="s">
        <v>11743</v>
      </c>
      <c r="D8438" t="s">
        <v>17977</v>
      </c>
      <c r="E8438" t="s">
        <v>25415</v>
      </c>
      <c r="F8438" t="s">
        <v>30900</v>
      </c>
      <c r="G8438" t="s">
        <v>30907</v>
      </c>
      <c r="H8438" t="s">
        <v>30916</v>
      </c>
      <c r="I8438" t="s">
        <v>30940</v>
      </c>
      <c r="J8438" t="s">
        <v>36360</v>
      </c>
      <c r="K8438" t="s">
        <v>40283</v>
      </c>
      <c r="M8438" t="s">
        <v>40954</v>
      </c>
      <c r="N8438" t="s">
        <v>44759</v>
      </c>
      <c r="O8438" t="s">
        <v>44760</v>
      </c>
      <c r="P8438">
        <v>0</v>
      </c>
      <c r="Q8438">
        <v>0</v>
      </c>
      <c r="R8438" t="s">
        <v>44768</v>
      </c>
      <c r="S8438" t="s">
        <v>44982</v>
      </c>
      <c r="T8438" t="s">
        <v>46641</v>
      </c>
      <c r="U8438" t="s">
        <v>53960</v>
      </c>
      <c r="W8438" t="s">
        <v>40954</v>
      </c>
      <c r="X8438" t="s">
        <v>44769</v>
      </c>
    </row>
    <row r="8439" spans="1:24">
      <c r="A8439">
        <f>HYPERLINK("https://www.philgeps.gov.ph/GEPSNONPILOT/Tender/SplashBidNoticeAbstractUI.aspx?menuIndex=3&amp;refID=7139921&amp;Result=3","7139921")</f>
        <v>0</v>
      </c>
      <c r="B8439" t="s">
        <v>2757</v>
      </c>
      <c r="C8439" t="s">
        <v>11744</v>
      </c>
      <c r="D8439" t="s">
        <v>17954</v>
      </c>
      <c r="E8439" t="s">
        <v>25416</v>
      </c>
      <c r="F8439" t="s">
        <v>30900</v>
      </c>
      <c r="G8439" t="s">
        <v>30907</v>
      </c>
      <c r="H8439" t="s">
        <v>30916</v>
      </c>
      <c r="I8439" t="s">
        <v>30939</v>
      </c>
      <c r="J8439" t="s">
        <v>36361</v>
      </c>
      <c r="K8439" t="s">
        <v>40292</v>
      </c>
      <c r="M8439" t="s">
        <v>43534</v>
      </c>
      <c r="N8439" t="s">
        <v>44759</v>
      </c>
      <c r="O8439" t="s">
        <v>44760</v>
      </c>
      <c r="P8439">
        <v>0</v>
      </c>
      <c r="Q8439">
        <v>1</v>
      </c>
      <c r="R8439" t="s">
        <v>44768</v>
      </c>
      <c r="S8439" t="s">
        <v>44982</v>
      </c>
      <c r="T8439" t="s">
        <v>46495</v>
      </c>
      <c r="U8439" t="s">
        <v>53961</v>
      </c>
      <c r="W8439" t="s">
        <v>43534</v>
      </c>
      <c r="X8439" t="s">
        <v>44769</v>
      </c>
    </row>
    <row r="8440" spans="1:24">
      <c r="A8440">
        <f>HYPERLINK("https://www.philgeps.gov.ph/GEPSNONPILOT/Tender/SplashBidNoticeAbstractUI.aspx?menuIndex=3&amp;refID=7139917&amp;Result=3","7139917")</f>
        <v>0</v>
      </c>
      <c r="B8440" t="s">
        <v>399</v>
      </c>
      <c r="C8440" t="s">
        <v>11745</v>
      </c>
      <c r="D8440" t="s">
        <v>17977</v>
      </c>
      <c r="E8440" t="s">
        <v>25417</v>
      </c>
      <c r="F8440" t="s">
        <v>30900</v>
      </c>
      <c r="G8440" t="s">
        <v>30908</v>
      </c>
      <c r="H8440" t="s">
        <v>30916</v>
      </c>
      <c r="I8440" t="s">
        <v>30967</v>
      </c>
      <c r="J8440" t="s">
        <v>31056</v>
      </c>
      <c r="K8440" t="s">
        <v>40283</v>
      </c>
      <c r="M8440" t="s">
        <v>40954</v>
      </c>
      <c r="N8440" t="s">
        <v>44759</v>
      </c>
      <c r="O8440" t="s">
        <v>44760</v>
      </c>
      <c r="P8440">
        <v>0</v>
      </c>
      <c r="Q8440">
        <v>1</v>
      </c>
      <c r="R8440" t="s">
        <v>44768</v>
      </c>
      <c r="S8440" t="s">
        <v>44982</v>
      </c>
      <c r="T8440" t="s">
        <v>46641</v>
      </c>
      <c r="U8440" t="s">
        <v>47585</v>
      </c>
      <c r="W8440" t="s">
        <v>40954</v>
      </c>
      <c r="X8440" t="s">
        <v>44769</v>
      </c>
    </row>
    <row r="8441" spans="1:24">
      <c r="A8441">
        <f>HYPERLINK("https://www.philgeps.gov.ph/GEPSNONPILOT/Tender/SplashBidNoticeAbstractUI.aspx?menuIndex=3&amp;refID=7139910&amp;Result=3","7139910")</f>
        <v>0</v>
      </c>
      <c r="B8441" t="s">
        <v>2758</v>
      </c>
      <c r="C8441" t="s">
        <v>11746</v>
      </c>
      <c r="D8441" t="s">
        <v>17952</v>
      </c>
      <c r="E8441" t="s">
        <v>25418</v>
      </c>
      <c r="F8441" t="s">
        <v>30900</v>
      </c>
      <c r="G8441" t="s">
        <v>30907</v>
      </c>
      <c r="H8441" t="s">
        <v>30916</v>
      </c>
      <c r="I8441" t="s">
        <v>6396</v>
      </c>
      <c r="J8441" t="s">
        <v>31101</v>
      </c>
      <c r="K8441" t="s">
        <v>40280</v>
      </c>
      <c r="M8441" t="s">
        <v>43535</v>
      </c>
      <c r="N8441" t="s">
        <v>44759</v>
      </c>
      <c r="O8441" t="s">
        <v>44760</v>
      </c>
      <c r="P8441">
        <v>0</v>
      </c>
      <c r="Q8441">
        <v>2</v>
      </c>
      <c r="R8441" t="s">
        <v>44768</v>
      </c>
      <c r="S8441" t="s">
        <v>44982</v>
      </c>
      <c r="T8441" t="s">
        <v>46591</v>
      </c>
      <c r="U8441" t="s">
        <v>53962</v>
      </c>
      <c r="W8441" t="s">
        <v>43535</v>
      </c>
      <c r="X8441" t="s">
        <v>44769</v>
      </c>
    </row>
    <row r="8442" spans="1:24">
      <c r="A8442">
        <f>HYPERLINK("https://www.philgeps.gov.ph/GEPSNONPILOT/Tender/SplashBidNoticeAbstractUI.aspx?menuIndex=3&amp;refID=7139936&amp;Result=3","7139936")</f>
        <v>0</v>
      </c>
      <c r="B8442" t="s">
        <v>421</v>
      </c>
      <c r="C8442" t="s">
        <v>11747</v>
      </c>
      <c r="D8442" t="s">
        <v>18012</v>
      </c>
      <c r="E8442" t="s">
        <v>25419</v>
      </c>
      <c r="F8442" t="s">
        <v>30900</v>
      </c>
      <c r="G8442" t="s">
        <v>30907</v>
      </c>
      <c r="H8442" t="s">
        <v>30916</v>
      </c>
      <c r="I8442" t="s">
        <v>30924</v>
      </c>
      <c r="J8442" t="s">
        <v>36362</v>
      </c>
      <c r="K8442" t="s">
        <v>40284</v>
      </c>
      <c r="M8442" t="s">
        <v>40977</v>
      </c>
      <c r="N8442" t="s">
        <v>44759</v>
      </c>
      <c r="O8442" t="s">
        <v>44760</v>
      </c>
      <c r="P8442">
        <v>0</v>
      </c>
      <c r="Q8442">
        <v>1</v>
      </c>
      <c r="R8442" t="s">
        <v>44768</v>
      </c>
      <c r="S8442" t="s">
        <v>44982</v>
      </c>
      <c r="T8442" t="s">
        <v>46581</v>
      </c>
      <c r="U8442" t="s">
        <v>47624</v>
      </c>
      <c r="V8442" t="s">
        <v>59207</v>
      </c>
      <c r="W8442" t="s">
        <v>40977</v>
      </c>
      <c r="X8442" t="s">
        <v>44769</v>
      </c>
    </row>
    <row r="8443" spans="1:24">
      <c r="A8443">
        <f>HYPERLINK("https://www.philgeps.gov.ph/GEPSNONPILOT/Tender/SplashBidNoticeAbstractUI.aspx?menuIndex=3&amp;refID=7139902&amp;Result=3","7139902")</f>
        <v>0</v>
      </c>
      <c r="B8443" t="s">
        <v>2749</v>
      </c>
      <c r="C8443" t="s">
        <v>11748</v>
      </c>
      <c r="D8443" t="s">
        <v>17966</v>
      </c>
      <c r="E8443" t="s">
        <v>25398</v>
      </c>
      <c r="F8443" t="s">
        <v>30900</v>
      </c>
      <c r="G8443" t="s">
        <v>30907</v>
      </c>
      <c r="H8443" t="s">
        <v>30915</v>
      </c>
      <c r="I8443" t="s">
        <v>8123</v>
      </c>
      <c r="J8443" t="s">
        <v>36363</v>
      </c>
      <c r="K8443" t="s">
        <v>40289</v>
      </c>
      <c r="M8443" t="s">
        <v>43526</v>
      </c>
      <c r="N8443" t="s">
        <v>44759</v>
      </c>
      <c r="O8443" t="s">
        <v>44760</v>
      </c>
      <c r="P8443">
        <v>0</v>
      </c>
      <c r="Q8443">
        <v>0</v>
      </c>
      <c r="R8443" t="s">
        <v>44768</v>
      </c>
      <c r="S8443" t="s">
        <v>44982</v>
      </c>
      <c r="T8443" t="s">
        <v>46700</v>
      </c>
      <c r="U8443" t="s">
        <v>53963</v>
      </c>
      <c r="W8443" t="s">
        <v>43526</v>
      </c>
      <c r="X8443" t="s">
        <v>44769</v>
      </c>
    </row>
    <row r="8444" spans="1:24">
      <c r="A8444">
        <f>HYPERLINK("https://www.philgeps.gov.ph/GEPSNONPILOT/Tender/SplashBidNoticeAbstractUI.aspx?menuIndex=3&amp;refID=7139826&amp;Result=3","7139826")</f>
        <v>0</v>
      </c>
      <c r="B8444" t="s">
        <v>1459</v>
      </c>
      <c r="C8444" t="s">
        <v>11749</v>
      </c>
      <c r="D8444" t="s">
        <v>17975</v>
      </c>
      <c r="E8444" t="s">
        <v>25420</v>
      </c>
      <c r="F8444" t="s">
        <v>30900</v>
      </c>
      <c r="G8444" t="s">
        <v>30907</v>
      </c>
      <c r="H8444" t="s">
        <v>30916</v>
      </c>
      <c r="I8444" t="s">
        <v>11785</v>
      </c>
      <c r="J8444" t="s">
        <v>31413</v>
      </c>
      <c r="K8444" t="s">
        <v>40284</v>
      </c>
      <c r="L8444" t="s">
        <v>1459</v>
      </c>
      <c r="M8444" t="s">
        <v>42091</v>
      </c>
      <c r="N8444" t="s">
        <v>44759</v>
      </c>
      <c r="O8444" t="s">
        <v>44760</v>
      </c>
      <c r="P8444">
        <v>0</v>
      </c>
      <c r="Q8444">
        <v>1</v>
      </c>
      <c r="R8444" t="s">
        <v>44768</v>
      </c>
      <c r="S8444" t="s">
        <v>44982</v>
      </c>
      <c r="T8444" t="s">
        <v>46625</v>
      </c>
      <c r="U8444" t="s">
        <v>53909</v>
      </c>
      <c r="W8444" t="s">
        <v>42091</v>
      </c>
      <c r="X8444" t="s">
        <v>44769</v>
      </c>
    </row>
    <row r="8445" spans="1:24">
      <c r="A8445">
        <f>HYPERLINK("https://www.philgeps.gov.ph/GEPSNONPILOT/Tender/SplashBidNoticeAbstractUI.aspx?menuIndex=3&amp;refID=7139897&amp;Result=3","7139897")</f>
        <v>0</v>
      </c>
      <c r="B8445" t="s">
        <v>1459</v>
      </c>
      <c r="C8445" t="s">
        <v>11750</v>
      </c>
      <c r="D8445" t="s">
        <v>17975</v>
      </c>
      <c r="E8445" t="s">
        <v>25421</v>
      </c>
      <c r="F8445" t="s">
        <v>30900</v>
      </c>
      <c r="G8445" t="s">
        <v>30906</v>
      </c>
      <c r="H8445" t="s">
        <v>30916</v>
      </c>
      <c r="I8445" t="s">
        <v>30933</v>
      </c>
      <c r="J8445" t="s">
        <v>31152</v>
      </c>
      <c r="K8445" t="s">
        <v>40286</v>
      </c>
      <c r="L8445" t="s">
        <v>1459</v>
      </c>
      <c r="M8445" t="s">
        <v>42091</v>
      </c>
      <c r="N8445" t="s">
        <v>44759</v>
      </c>
      <c r="O8445" t="s">
        <v>44760</v>
      </c>
      <c r="P8445">
        <v>0</v>
      </c>
      <c r="Q8445">
        <v>1</v>
      </c>
      <c r="R8445" t="s">
        <v>44768</v>
      </c>
      <c r="S8445" t="s">
        <v>44982</v>
      </c>
      <c r="T8445" t="s">
        <v>46625</v>
      </c>
      <c r="U8445" t="s">
        <v>49925</v>
      </c>
      <c r="W8445" t="s">
        <v>42091</v>
      </c>
      <c r="X8445" t="s">
        <v>44769</v>
      </c>
    </row>
    <row r="8446" spans="1:24">
      <c r="A8446">
        <f>HYPERLINK("https://www.philgeps.gov.ph/GEPSNONPILOT/Tender/SplashBidNoticeAbstractUI.aspx?menuIndex=3&amp;refID=7139892&amp;Result=3","7139892")</f>
        <v>0</v>
      </c>
      <c r="B8446" t="s">
        <v>2759</v>
      </c>
      <c r="C8446" t="s">
        <v>11751</v>
      </c>
      <c r="E8446" t="s">
        <v>25422</v>
      </c>
      <c r="F8446" t="s">
        <v>30900</v>
      </c>
      <c r="G8446" t="s">
        <v>30908</v>
      </c>
      <c r="H8446" t="s">
        <v>30916</v>
      </c>
      <c r="I8446" t="s">
        <v>4142</v>
      </c>
      <c r="J8446" t="s">
        <v>33489</v>
      </c>
      <c r="K8446" t="s">
        <v>40286</v>
      </c>
      <c r="M8446" t="s">
        <v>43536</v>
      </c>
      <c r="N8446" t="s">
        <v>44759</v>
      </c>
      <c r="O8446" t="s">
        <v>44760</v>
      </c>
      <c r="P8446">
        <v>0</v>
      </c>
      <c r="Q8446">
        <v>2</v>
      </c>
      <c r="R8446" t="s">
        <v>44768</v>
      </c>
      <c r="S8446" t="s">
        <v>44982</v>
      </c>
      <c r="T8446" t="s">
        <v>46581</v>
      </c>
      <c r="U8446" t="s">
        <v>53964</v>
      </c>
      <c r="W8446" t="s">
        <v>43536</v>
      </c>
      <c r="X8446" t="s">
        <v>44769</v>
      </c>
    </row>
    <row r="8447" spans="1:24">
      <c r="A8447">
        <f>HYPERLINK("https://www.philgeps.gov.ph/GEPSNONPILOT/Tender/SplashBidNoticeAbstractUI.aspx?menuIndex=3&amp;refID=7139889&amp;Result=3","7139889")</f>
        <v>0</v>
      </c>
      <c r="B8447" t="s">
        <v>2095</v>
      </c>
      <c r="C8447" t="s">
        <v>11752</v>
      </c>
      <c r="D8447" t="s">
        <v>17975</v>
      </c>
      <c r="E8447" t="s">
        <v>20228</v>
      </c>
      <c r="F8447" t="s">
        <v>30900</v>
      </c>
      <c r="G8447" t="s">
        <v>30908</v>
      </c>
      <c r="H8447" t="s">
        <v>30916</v>
      </c>
      <c r="I8447" t="s">
        <v>8123</v>
      </c>
      <c r="J8447" t="s">
        <v>36364</v>
      </c>
      <c r="K8447" t="s">
        <v>40287</v>
      </c>
      <c r="M8447" t="s">
        <v>42794</v>
      </c>
      <c r="N8447" t="s">
        <v>44759</v>
      </c>
      <c r="O8447" t="s">
        <v>44760</v>
      </c>
      <c r="P8447">
        <v>0</v>
      </c>
      <c r="Q8447">
        <v>2</v>
      </c>
      <c r="R8447" t="s">
        <v>44768</v>
      </c>
      <c r="S8447" t="s">
        <v>44982</v>
      </c>
      <c r="T8447" t="s">
        <v>46384</v>
      </c>
      <c r="U8447" t="s">
        <v>53965</v>
      </c>
      <c r="W8447" t="s">
        <v>42794</v>
      </c>
      <c r="X8447" t="s">
        <v>44769</v>
      </c>
    </row>
    <row r="8448" spans="1:24">
      <c r="A8448">
        <f>HYPERLINK("https://www.philgeps.gov.ph/GEPSNONPILOT/Tender/SplashBidNoticeAbstractUI.aspx?menuIndex=3&amp;refID=7139887&amp;Result=3","7139887")</f>
        <v>0</v>
      </c>
      <c r="B8448" t="s">
        <v>45</v>
      </c>
      <c r="C8448" t="s">
        <v>11753</v>
      </c>
      <c r="E8448" t="s">
        <v>25423</v>
      </c>
      <c r="F8448" t="s">
        <v>30900</v>
      </c>
      <c r="G8448" t="s">
        <v>30908</v>
      </c>
      <c r="H8448" t="s">
        <v>30915</v>
      </c>
      <c r="I8448" t="s">
        <v>30919</v>
      </c>
      <c r="J8448" t="s">
        <v>36365</v>
      </c>
      <c r="K8448" t="s">
        <v>40291</v>
      </c>
      <c r="M8448" t="s">
        <v>40591</v>
      </c>
      <c r="N8448" t="s">
        <v>44759</v>
      </c>
      <c r="O8448" t="s">
        <v>44760</v>
      </c>
      <c r="P8448">
        <v>0</v>
      </c>
      <c r="Q8448">
        <v>0</v>
      </c>
      <c r="R8448" t="s">
        <v>44768</v>
      </c>
      <c r="S8448" t="s">
        <v>44982</v>
      </c>
      <c r="T8448" t="s">
        <v>46658</v>
      </c>
      <c r="U8448" t="s">
        <v>53966</v>
      </c>
      <c r="W8448" t="s">
        <v>40591</v>
      </c>
      <c r="X8448" t="s">
        <v>44769</v>
      </c>
    </row>
    <row r="8449" spans="1:24">
      <c r="A8449">
        <f>HYPERLINK("https://www.philgeps.gov.ph/GEPSNONPILOT/Tender/SplashBidNoticeAbstractUI.aspx?menuIndex=3&amp;refID=7139948&amp;Result=3","7139948")</f>
        <v>0</v>
      </c>
      <c r="B8449" t="s">
        <v>527</v>
      </c>
      <c r="C8449" t="s">
        <v>11754</v>
      </c>
      <c r="D8449" t="s">
        <v>17961</v>
      </c>
      <c r="E8449" t="s">
        <v>25424</v>
      </c>
      <c r="F8449" t="s">
        <v>30900</v>
      </c>
      <c r="G8449" t="s">
        <v>30908</v>
      </c>
      <c r="H8449" t="s">
        <v>30916</v>
      </c>
      <c r="I8449" t="s">
        <v>30930</v>
      </c>
      <c r="J8449" t="s">
        <v>31101</v>
      </c>
      <c r="K8449" t="s">
        <v>40284</v>
      </c>
      <c r="M8449" t="s">
        <v>41087</v>
      </c>
      <c r="N8449" t="s">
        <v>44759</v>
      </c>
      <c r="O8449" t="s">
        <v>44760</v>
      </c>
      <c r="P8449">
        <v>0</v>
      </c>
      <c r="Q8449">
        <v>1</v>
      </c>
      <c r="R8449" t="s">
        <v>44768</v>
      </c>
      <c r="S8449" t="s">
        <v>44982</v>
      </c>
      <c r="T8449" t="s">
        <v>46662</v>
      </c>
      <c r="U8449" t="s">
        <v>47825</v>
      </c>
      <c r="V8449" t="s">
        <v>60022</v>
      </c>
      <c r="W8449" t="s">
        <v>41087</v>
      </c>
      <c r="X8449" t="s">
        <v>44769</v>
      </c>
    </row>
    <row r="8450" spans="1:24">
      <c r="A8450">
        <f>HYPERLINK("https://www.philgeps.gov.ph/GEPSNONPILOT/Tender/SplashBidNoticeAbstractUI.aspx?menuIndex=3&amp;refID=7139818&amp;Result=3","7139818")</f>
        <v>0</v>
      </c>
      <c r="B8450" t="s">
        <v>2760</v>
      </c>
      <c r="C8450" t="s">
        <v>11755</v>
      </c>
      <c r="D8450" t="s">
        <v>17975</v>
      </c>
      <c r="E8450" t="s">
        <v>18066</v>
      </c>
      <c r="F8450" t="s">
        <v>30900</v>
      </c>
      <c r="G8450" t="s">
        <v>30907</v>
      </c>
      <c r="H8450" t="s">
        <v>30916</v>
      </c>
      <c r="I8450" t="s">
        <v>30922</v>
      </c>
      <c r="J8450" t="s">
        <v>36366</v>
      </c>
      <c r="K8450" t="s">
        <v>40283</v>
      </c>
      <c r="M8450" t="s">
        <v>43537</v>
      </c>
      <c r="N8450" t="s">
        <v>44759</v>
      </c>
      <c r="O8450" t="s">
        <v>44760</v>
      </c>
      <c r="P8450">
        <v>0</v>
      </c>
      <c r="Q8450">
        <v>0</v>
      </c>
      <c r="R8450" t="s">
        <v>44768</v>
      </c>
      <c r="S8450" t="s">
        <v>44982</v>
      </c>
      <c r="T8450" t="s">
        <v>46472</v>
      </c>
      <c r="U8450" t="s">
        <v>53967</v>
      </c>
      <c r="W8450" t="s">
        <v>43537</v>
      </c>
      <c r="X8450" t="s">
        <v>44769</v>
      </c>
    </row>
    <row r="8451" spans="1:24">
      <c r="A8451">
        <f>HYPERLINK("https://www.philgeps.gov.ph/GEPSNONPILOT/Tender/SplashBidNoticeAbstractUI.aspx?menuIndex=3&amp;refID=7139909&amp;Result=3","7139909")</f>
        <v>0</v>
      </c>
      <c r="B8451" t="s">
        <v>871</v>
      </c>
      <c r="C8451" t="s">
        <v>11756</v>
      </c>
      <c r="D8451" t="s">
        <v>18017</v>
      </c>
      <c r="E8451" t="s">
        <v>25425</v>
      </c>
      <c r="F8451" t="s">
        <v>30899</v>
      </c>
      <c r="G8451" t="s">
        <v>30907</v>
      </c>
      <c r="H8451" t="s">
        <v>30916</v>
      </c>
      <c r="I8451" t="s">
        <v>31024</v>
      </c>
      <c r="J8451" t="s">
        <v>36367</v>
      </c>
      <c r="K8451" t="s">
        <v>40286</v>
      </c>
      <c r="M8451" t="s">
        <v>41444</v>
      </c>
      <c r="N8451" t="s">
        <v>44759</v>
      </c>
      <c r="O8451" t="s">
        <v>44760</v>
      </c>
      <c r="P8451">
        <v>0</v>
      </c>
      <c r="Q8451">
        <v>1</v>
      </c>
      <c r="R8451" t="s">
        <v>44768</v>
      </c>
      <c r="S8451" t="s">
        <v>44982</v>
      </c>
      <c r="T8451" t="s">
        <v>46757</v>
      </c>
      <c r="U8451" t="s">
        <v>53968</v>
      </c>
      <c r="W8451" t="s">
        <v>41444</v>
      </c>
      <c r="X8451" t="s">
        <v>44769</v>
      </c>
    </row>
    <row r="8452" spans="1:24">
      <c r="A8452">
        <f>HYPERLINK("https://www.philgeps.gov.ph/GEPSNONPILOT/Tender/SplashBidNoticeAbstractUI.aspx?menuIndex=3&amp;refID=7140018&amp;Result=3","7140018")</f>
        <v>0</v>
      </c>
      <c r="B8452" t="s">
        <v>56</v>
      </c>
      <c r="C8452" t="s">
        <v>11757</v>
      </c>
      <c r="D8452" t="s">
        <v>17952</v>
      </c>
      <c r="E8452" t="s">
        <v>25426</v>
      </c>
      <c r="F8452" t="s">
        <v>30900</v>
      </c>
      <c r="G8452" t="s">
        <v>30907</v>
      </c>
      <c r="H8452" t="s">
        <v>30916</v>
      </c>
      <c r="I8452" t="s">
        <v>30976</v>
      </c>
      <c r="J8452" t="s">
        <v>36368</v>
      </c>
      <c r="K8452" t="s">
        <v>40294</v>
      </c>
      <c r="M8452" t="s">
        <v>43052</v>
      </c>
      <c r="N8452" t="s">
        <v>44759</v>
      </c>
      <c r="O8452" t="s">
        <v>44760</v>
      </c>
      <c r="P8452">
        <v>0</v>
      </c>
      <c r="Q8452">
        <v>3</v>
      </c>
      <c r="R8452" t="s">
        <v>44768</v>
      </c>
      <c r="S8452" t="s">
        <v>44982</v>
      </c>
      <c r="T8452" t="s">
        <v>46450</v>
      </c>
      <c r="U8452" t="s">
        <v>53969</v>
      </c>
      <c r="V8452" t="s">
        <v>59226</v>
      </c>
      <c r="W8452" t="s">
        <v>43052</v>
      </c>
      <c r="X8452" t="s">
        <v>44769</v>
      </c>
    </row>
    <row r="8453" spans="1:24">
      <c r="A8453">
        <f>HYPERLINK("https://www.philgeps.gov.ph/GEPSNONPILOT/Tender/SplashBidNoticeAbstractUI.aspx?menuIndex=3&amp;refID=7139905&amp;Result=3","7139905")</f>
        <v>0</v>
      </c>
      <c r="B8453" t="s">
        <v>620</v>
      </c>
      <c r="C8453" t="s">
        <v>11758</v>
      </c>
      <c r="D8453" t="s">
        <v>17980</v>
      </c>
      <c r="E8453" t="s">
        <v>25427</v>
      </c>
      <c r="F8453" t="s">
        <v>30899</v>
      </c>
      <c r="G8453" t="s">
        <v>30908</v>
      </c>
      <c r="H8453" t="s">
        <v>30916</v>
      </c>
      <c r="I8453" t="s">
        <v>10602</v>
      </c>
      <c r="J8453" t="s">
        <v>34617</v>
      </c>
      <c r="K8453" t="s">
        <v>40286</v>
      </c>
      <c r="M8453" t="s">
        <v>41182</v>
      </c>
      <c r="N8453" t="s">
        <v>44759</v>
      </c>
      <c r="O8453" t="s">
        <v>44760</v>
      </c>
      <c r="P8453">
        <v>0</v>
      </c>
      <c r="Q8453">
        <v>0</v>
      </c>
      <c r="R8453" t="s">
        <v>44768</v>
      </c>
      <c r="S8453" t="s">
        <v>44982</v>
      </c>
      <c r="T8453" t="s">
        <v>46548</v>
      </c>
      <c r="U8453" t="s">
        <v>53970</v>
      </c>
      <c r="W8453" t="s">
        <v>41182</v>
      </c>
      <c r="X8453" t="s">
        <v>44769</v>
      </c>
    </row>
    <row r="8454" spans="1:24">
      <c r="A8454">
        <f>HYPERLINK("https://www.philgeps.gov.ph/GEPSNONPILOT/Tender/SplashBidNoticeAbstractUI.aspx?menuIndex=3&amp;refID=7140012&amp;Result=3","7140012")</f>
        <v>0</v>
      </c>
      <c r="B8454" t="s">
        <v>2761</v>
      </c>
      <c r="C8454" t="s">
        <v>11759</v>
      </c>
      <c r="D8454" t="s">
        <v>17952</v>
      </c>
      <c r="E8454" t="s">
        <v>25428</v>
      </c>
      <c r="F8454" t="s">
        <v>30900</v>
      </c>
      <c r="G8454" t="s">
        <v>30907</v>
      </c>
      <c r="H8454" t="s">
        <v>30916</v>
      </c>
      <c r="I8454" t="s">
        <v>8123</v>
      </c>
      <c r="J8454" t="s">
        <v>32849</v>
      </c>
      <c r="K8454" t="s">
        <v>40284</v>
      </c>
      <c r="M8454" t="s">
        <v>43538</v>
      </c>
      <c r="N8454" t="s">
        <v>44759</v>
      </c>
      <c r="O8454" t="s">
        <v>44760</v>
      </c>
      <c r="P8454">
        <v>0</v>
      </c>
      <c r="Q8454">
        <v>0</v>
      </c>
      <c r="R8454" t="s">
        <v>44768</v>
      </c>
      <c r="S8454" t="s">
        <v>44982</v>
      </c>
      <c r="T8454" t="s">
        <v>46533</v>
      </c>
      <c r="U8454" t="s">
        <v>53971</v>
      </c>
      <c r="W8454" t="s">
        <v>43538</v>
      </c>
      <c r="X8454" t="s">
        <v>44769</v>
      </c>
    </row>
    <row r="8455" spans="1:24">
      <c r="A8455">
        <f>HYPERLINK("https://www.philgeps.gov.ph/GEPSNONPILOT/Tender/SplashBidNoticeAbstractUI.aspx?menuIndex=3&amp;refID=7139926&amp;Result=3","7139926")</f>
        <v>0</v>
      </c>
      <c r="B8455" t="s">
        <v>284</v>
      </c>
      <c r="C8455" t="s">
        <v>4269</v>
      </c>
      <c r="D8455" t="s">
        <v>18009</v>
      </c>
      <c r="E8455" t="s">
        <v>24624</v>
      </c>
      <c r="F8455" t="s">
        <v>30900</v>
      </c>
      <c r="G8455" t="s">
        <v>30908</v>
      </c>
      <c r="H8455" t="s">
        <v>30916</v>
      </c>
      <c r="I8455" t="s">
        <v>4545</v>
      </c>
      <c r="J8455" t="s">
        <v>31179</v>
      </c>
      <c r="K8455" t="s">
        <v>40287</v>
      </c>
      <c r="M8455" t="s">
        <v>41050</v>
      </c>
      <c r="N8455" t="s">
        <v>44759</v>
      </c>
      <c r="O8455" t="s">
        <v>44760</v>
      </c>
      <c r="P8455">
        <v>0</v>
      </c>
      <c r="Q8455">
        <v>1</v>
      </c>
      <c r="R8455" t="s">
        <v>44768</v>
      </c>
      <c r="S8455" t="s">
        <v>44982</v>
      </c>
      <c r="T8455" t="s">
        <v>46403</v>
      </c>
      <c r="U8455" t="s">
        <v>53972</v>
      </c>
      <c r="W8455" t="s">
        <v>41050</v>
      </c>
      <c r="X8455" t="s">
        <v>44769</v>
      </c>
    </row>
    <row r="8456" spans="1:24">
      <c r="A8456">
        <f>HYPERLINK("https://www.philgeps.gov.ph/GEPSNONPILOT/Tender/SplashBidNoticeAbstractUI.aspx?menuIndex=3&amp;refID=7140006&amp;Result=3","7140006")</f>
        <v>0</v>
      </c>
      <c r="B8456" t="s">
        <v>56</v>
      </c>
      <c r="C8456" t="s">
        <v>11760</v>
      </c>
      <c r="D8456" t="s">
        <v>17952</v>
      </c>
      <c r="E8456" t="s">
        <v>25429</v>
      </c>
      <c r="F8456" t="s">
        <v>30900</v>
      </c>
      <c r="G8456" t="s">
        <v>30907</v>
      </c>
      <c r="H8456" t="s">
        <v>30916</v>
      </c>
      <c r="I8456" t="s">
        <v>8123</v>
      </c>
      <c r="J8456" t="s">
        <v>36369</v>
      </c>
      <c r="K8456" t="s">
        <v>40294</v>
      </c>
      <c r="M8456" t="s">
        <v>43052</v>
      </c>
      <c r="N8456" t="s">
        <v>44759</v>
      </c>
      <c r="O8456" t="s">
        <v>44760</v>
      </c>
      <c r="Q8456">
        <v>1</v>
      </c>
      <c r="R8456" t="s">
        <v>44768</v>
      </c>
      <c r="S8456" t="s">
        <v>45004</v>
      </c>
      <c r="T8456" t="s">
        <v>46418</v>
      </c>
      <c r="U8456" t="s">
        <v>53973</v>
      </c>
      <c r="V8456" t="s">
        <v>59226</v>
      </c>
      <c r="W8456" t="s">
        <v>43052</v>
      </c>
      <c r="X8456" t="s">
        <v>44769</v>
      </c>
    </row>
    <row r="8457" spans="1:24">
      <c r="A8457">
        <f>HYPERLINK("https://www.philgeps.gov.ph/GEPSNONPILOT/Tender/SplashBidNoticeAbstractUI.aspx?menuIndex=3&amp;refID=7140004&amp;Result=3","7140004")</f>
        <v>0</v>
      </c>
      <c r="B8457" t="s">
        <v>2213</v>
      </c>
      <c r="C8457" t="s">
        <v>11761</v>
      </c>
      <c r="D8457" t="s">
        <v>18015</v>
      </c>
      <c r="E8457" t="s">
        <v>20040</v>
      </c>
      <c r="F8457" t="s">
        <v>30900</v>
      </c>
      <c r="G8457" t="s">
        <v>30907</v>
      </c>
      <c r="H8457" t="s">
        <v>30916</v>
      </c>
      <c r="I8457" t="s">
        <v>4545</v>
      </c>
      <c r="J8457" t="s">
        <v>31341</v>
      </c>
      <c r="K8457" t="s">
        <v>40283</v>
      </c>
      <c r="M8457" t="s">
        <v>42922</v>
      </c>
      <c r="N8457" t="s">
        <v>44759</v>
      </c>
      <c r="O8457" t="s">
        <v>44760</v>
      </c>
      <c r="P8457">
        <v>0</v>
      </c>
      <c r="Q8457">
        <v>3</v>
      </c>
      <c r="R8457" t="s">
        <v>44768</v>
      </c>
      <c r="S8457" t="s">
        <v>44982</v>
      </c>
      <c r="T8457" t="s">
        <v>46625</v>
      </c>
      <c r="U8457" t="s">
        <v>53974</v>
      </c>
      <c r="W8457" t="s">
        <v>42922</v>
      </c>
      <c r="X8457" t="s">
        <v>44769</v>
      </c>
    </row>
    <row r="8458" spans="1:24">
      <c r="A8458">
        <f>HYPERLINK("https://www.philgeps.gov.ph/GEPSNONPILOT/Tender/SplashBidNoticeAbstractUI.aspx?menuIndex=3&amp;refID=7140003&amp;Result=3","7140003")</f>
        <v>0</v>
      </c>
      <c r="B8458" t="s">
        <v>856</v>
      </c>
      <c r="C8458" t="s">
        <v>11762</v>
      </c>
      <c r="D8458" t="s">
        <v>17971</v>
      </c>
      <c r="E8458" t="s">
        <v>25430</v>
      </c>
      <c r="F8458" t="s">
        <v>30900</v>
      </c>
      <c r="G8458" t="s">
        <v>30907</v>
      </c>
      <c r="H8458" t="s">
        <v>30916</v>
      </c>
      <c r="I8458" t="s">
        <v>30923</v>
      </c>
      <c r="J8458" t="s">
        <v>31391</v>
      </c>
      <c r="K8458" t="s">
        <v>40286</v>
      </c>
      <c r="M8458" t="s">
        <v>41429</v>
      </c>
      <c r="N8458" t="s">
        <v>44759</v>
      </c>
      <c r="O8458" t="s">
        <v>44760</v>
      </c>
      <c r="P8458">
        <v>0</v>
      </c>
      <c r="Q8458">
        <v>10</v>
      </c>
      <c r="R8458" t="s">
        <v>44768</v>
      </c>
      <c r="S8458" t="s">
        <v>44982</v>
      </c>
      <c r="T8458" t="s">
        <v>46350</v>
      </c>
      <c r="U8458" t="s">
        <v>53975</v>
      </c>
      <c r="W8458" t="s">
        <v>41429</v>
      </c>
      <c r="X8458" t="s">
        <v>44769</v>
      </c>
    </row>
    <row r="8459" spans="1:24">
      <c r="A8459">
        <f>HYPERLINK("https://www.philgeps.gov.ph/GEPSNONPILOT/Tender/SplashBidNoticeAbstractUI.aspx?menuIndex=3&amp;refID=7140008&amp;Result=3","7140008")</f>
        <v>0</v>
      </c>
      <c r="B8459" t="s">
        <v>570</v>
      </c>
      <c r="C8459" t="s">
        <v>11763</v>
      </c>
      <c r="D8459" t="s">
        <v>17985</v>
      </c>
      <c r="E8459" t="s">
        <v>25431</v>
      </c>
      <c r="F8459" t="s">
        <v>30900</v>
      </c>
      <c r="G8459" t="s">
        <v>30907</v>
      </c>
      <c r="H8459" t="s">
        <v>30916</v>
      </c>
      <c r="I8459" t="s">
        <v>8365</v>
      </c>
      <c r="J8459" t="s">
        <v>36370</v>
      </c>
      <c r="K8459" t="s">
        <v>40280</v>
      </c>
      <c r="M8459" t="s">
        <v>43539</v>
      </c>
      <c r="N8459" t="s">
        <v>44759</v>
      </c>
      <c r="O8459" t="s">
        <v>44760</v>
      </c>
      <c r="P8459">
        <v>0</v>
      </c>
      <c r="Q8459">
        <v>0</v>
      </c>
      <c r="R8459" t="s">
        <v>44768</v>
      </c>
      <c r="S8459" t="s">
        <v>44982</v>
      </c>
      <c r="T8459" t="s">
        <v>46595</v>
      </c>
      <c r="U8459" t="s">
        <v>53976</v>
      </c>
      <c r="W8459" t="s">
        <v>43539</v>
      </c>
      <c r="X8459" t="s">
        <v>44769</v>
      </c>
    </row>
    <row r="8460" spans="1:24">
      <c r="A8460">
        <f>HYPERLINK("https://www.philgeps.gov.ph/GEPSNONPILOT/Tender/SplashBidNoticeAbstractUI.aspx?menuIndex=3&amp;refID=7139995&amp;Result=3","7139995")</f>
        <v>0</v>
      </c>
      <c r="B8460" t="s">
        <v>2762</v>
      </c>
      <c r="C8460" t="s">
        <v>11764</v>
      </c>
      <c r="D8460" t="s">
        <v>17979</v>
      </c>
      <c r="E8460" t="s">
        <v>25432</v>
      </c>
      <c r="F8460" t="s">
        <v>30900</v>
      </c>
      <c r="G8460" t="s">
        <v>30907</v>
      </c>
      <c r="H8460" t="s">
        <v>30916</v>
      </c>
      <c r="I8460" t="s">
        <v>30940</v>
      </c>
      <c r="J8460" t="s">
        <v>31049</v>
      </c>
      <c r="K8460" t="s">
        <v>40286</v>
      </c>
      <c r="M8460" t="s">
        <v>43540</v>
      </c>
      <c r="N8460" t="s">
        <v>44759</v>
      </c>
      <c r="O8460" t="s">
        <v>44760</v>
      </c>
      <c r="P8460">
        <v>0</v>
      </c>
      <c r="Q8460">
        <v>2</v>
      </c>
      <c r="R8460" t="s">
        <v>44768</v>
      </c>
      <c r="S8460" t="s">
        <v>44982</v>
      </c>
      <c r="T8460" t="s">
        <v>46548</v>
      </c>
      <c r="U8460" t="s">
        <v>50643</v>
      </c>
      <c r="W8460" t="s">
        <v>43540</v>
      </c>
      <c r="X8460" t="s">
        <v>44769</v>
      </c>
    </row>
    <row r="8461" spans="1:24">
      <c r="A8461">
        <f>HYPERLINK("https://www.philgeps.gov.ph/GEPSNONPILOT/Tender/SplashBidNoticeAbstractUI.aspx?menuIndex=3&amp;refID=7139990&amp;Result=3","7139990")</f>
        <v>0</v>
      </c>
      <c r="B8461" t="s">
        <v>871</v>
      </c>
      <c r="C8461" t="s">
        <v>11765</v>
      </c>
      <c r="D8461" t="s">
        <v>18017</v>
      </c>
      <c r="E8461" t="s">
        <v>25433</v>
      </c>
      <c r="F8461" t="s">
        <v>30899</v>
      </c>
      <c r="G8461" t="s">
        <v>30908</v>
      </c>
      <c r="H8461" t="s">
        <v>30917</v>
      </c>
      <c r="I8461" t="s">
        <v>30995</v>
      </c>
      <c r="J8461" t="s">
        <v>31449</v>
      </c>
      <c r="K8461" t="s">
        <v>40288</v>
      </c>
      <c r="M8461" t="s">
        <v>41444</v>
      </c>
      <c r="N8461" t="s">
        <v>44759</v>
      </c>
      <c r="O8461" t="s">
        <v>44760</v>
      </c>
      <c r="P8461">
        <v>0</v>
      </c>
      <c r="Q8461">
        <v>0</v>
      </c>
      <c r="R8461" t="s">
        <v>44768</v>
      </c>
      <c r="S8461" t="s">
        <v>44982</v>
      </c>
      <c r="T8461" t="s">
        <v>46704</v>
      </c>
      <c r="U8461" t="s">
        <v>53977</v>
      </c>
      <c r="W8461" t="s">
        <v>41444</v>
      </c>
      <c r="X8461" t="s">
        <v>44769</v>
      </c>
    </row>
    <row r="8462" spans="1:24">
      <c r="A8462">
        <f>HYPERLINK("https://www.philgeps.gov.ph/GEPSNONPILOT/Tender/SplashBidNoticeAbstractUI.aspx?menuIndex=3&amp;refID=7139883&amp;Result=3","7139883")</f>
        <v>0</v>
      </c>
      <c r="B8462" t="s">
        <v>2150</v>
      </c>
      <c r="C8462" t="s">
        <v>11766</v>
      </c>
      <c r="D8462" t="s">
        <v>17951</v>
      </c>
      <c r="E8462" t="s">
        <v>25434</v>
      </c>
      <c r="F8462" t="s">
        <v>30900</v>
      </c>
      <c r="G8462" t="s">
        <v>30907</v>
      </c>
      <c r="H8462" t="s">
        <v>30916</v>
      </c>
      <c r="I8462" t="s">
        <v>30944</v>
      </c>
      <c r="J8462" t="s">
        <v>36371</v>
      </c>
      <c r="K8462" t="s">
        <v>40280</v>
      </c>
      <c r="M8462" t="s">
        <v>42854</v>
      </c>
      <c r="N8462" t="s">
        <v>44759</v>
      </c>
      <c r="O8462" t="s">
        <v>44760</v>
      </c>
      <c r="P8462">
        <v>0</v>
      </c>
      <c r="Q8462">
        <v>0</v>
      </c>
      <c r="R8462" t="s">
        <v>44768</v>
      </c>
      <c r="S8462" t="s">
        <v>44982</v>
      </c>
      <c r="T8462" t="s">
        <v>46497</v>
      </c>
      <c r="U8462" t="s">
        <v>53978</v>
      </c>
      <c r="W8462" t="s">
        <v>42854</v>
      </c>
      <c r="X8462" t="s">
        <v>44769</v>
      </c>
    </row>
    <row r="8463" spans="1:24">
      <c r="A8463">
        <f>HYPERLINK("https://www.philgeps.gov.ph/GEPSNONPILOT/Tender/SplashBidNoticeAbstractUI.aspx?menuIndex=3&amp;refID=7139986&amp;Result=3","7139986")</f>
        <v>0</v>
      </c>
      <c r="B8463" t="s">
        <v>2763</v>
      </c>
      <c r="C8463" t="s">
        <v>11767</v>
      </c>
      <c r="D8463" t="s">
        <v>17952</v>
      </c>
      <c r="E8463" t="s">
        <v>25435</v>
      </c>
      <c r="F8463" t="s">
        <v>30899</v>
      </c>
      <c r="G8463" t="s">
        <v>30907</v>
      </c>
      <c r="H8463" t="s">
        <v>30916</v>
      </c>
      <c r="I8463" t="s">
        <v>8123</v>
      </c>
      <c r="J8463" t="s">
        <v>36372</v>
      </c>
      <c r="K8463" t="s">
        <v>40291</v>
      </c>
      <c r="M8463" t="s">
        <v>43541</v>
      </c>
      <c r="N8463" t="s">
        <v>44759</v>
      </c>
      <c r="O8463" t="s">
        <v>44760</v>
      </c>
      <c r="P8463">
        <v>0</v>
      </c>
      <c r="Q8463">
        <v>1</v>
      </c>
      <c r="R8463" t="s">
        <v>44768</v>
      </c>
      <c r="S8463" t="s">
        <v>44982</v>
      </c>
      <c r="T8463" t="s">
        <v>46428</v>
      </c>
      <c r="U8463" t="s">
        <v>47755</v>
      </c>
      <c r="V8463" t="s">
        <v>60023</v>
      </c>
      <c r="W8463" t="s">
        <v>43541</v>
      </c>
      <c r="X8463" t="s">
        <v>44769</v>
      </c>
    </row>
    <row r="8464" spans="1:24">
      <c r="A8464">
        <f>HYPERLINK("https://www.philgeps.gov.ph/GEPSNONPILOT/Tender/SplashBidNoticeAbstractUI.aspx?menuIndex=3&amp;refID=7139975&amp;Result=3","7139975")</f>
        <v>0</v>
      </c>
      <c r="B8464" t="s">
        <v>681</v>
      </c>
      <c r="C8464" t="s">
        <v>11768</v>
      </c>
      <c r="D8464" t="s">
        <v>17982</v>
      </c>
      <c r="E8464" t="s">
        <v>20805</v>
      </c>
      <c r="F8464" t="s">
        <v>30900</v>
      </c>
      <c r="G8464" t="s">
        <v>30907</v>
      </c>
      <c r="H8464" t="s">
        <v>30916</v>
      </c>
      <c r="I8464" t="s">
        <v>8123</v>
      </c>
      <c r="J8464" t="s">
        <v>36373</v>
      </c>
      <c r="K8464" t="s">
        <v>40286</v>
      </c>
      <c r="M8464" t="s">
        <v>41244</v>
      </c>
      <c r="N8464" t="s">
        <v>44759</v>
      </c>
      <c r="O8464" t="s">
        <v>44760</v>
      </c>
      <c r="P8464">
        <v>0</v>
      </c>
      <c r="Q8464">
        <v>0</v>
      </c>
      <c r="R8464" t="s">
        <v>44768</v>
      </c>
      <c r="S8464" t="s">
        <v>44982</v>
      </c>
      <c r="T8464" t="s">
        <v>46369</v>
      </c>
      <c r="U8464" t="s">
        <v>53979</v>
      </c>
      <c r="V8464" t="s">
        <v>60024</v>
      </c>
      <c r="W8464" t="s">
        <v>41244</v>
      </c>
      <c r="X8464" t="s">
        <v>44769</v>
      </c>
    </row>
    <row r="8465" spans="1:24">
      <c r="A8465">
        <f>HYPERLINK("https://www.philgeps.gov.ph/GEPSNONPILOT/Tender/SplashBidNoticeAbstractUI.aspx?menuIndex=3&amp;refID=7139970&amp;Result=3","7139970")</f>
        <v>0</v>
      </c>
      <c r="B8465" t="s">
        <v>1532</v>
      </c>
      <c r="C8465" t="s">
        <v>11769</v>
      </c>
      <c r="D8465" t="s">
        <v>17993</v>
      </c>
      <c r="E8465" t="s">
        <v>25436</v>
      </c>
      <c r="F8465" t="s">
        <v>30900</v>
      </c>
      <c r="G8465" t="s">
        <v>30907</v>
      </c>
      <c r="H8465" t="s">
        <v>30915</v>
      </c>
      <c r="I8465" t="s">
        <v>30919</v>
      </c>
      <c r="J8465" t="s">
        <v>31270</v>
      </c>
      <c r="K8465" t="s">
        <v>40391</v>
      </c>
      <c r="M8465" t="s">
        <v>42175</v>
      </c>
      <c r="N8465" t="s">
        <v>44759</v>
      </c>
      <c r="O8465" t="s">
        <v>44760</v>
      </c>
      <c r="P8465">
        <v>0</v>
      </c>
      <c r="Q8465">
        <v>0</v>
      </c>
      <c r="R8465" t="s">
        <v>44768</v>
      </c>
      <c r="S8465" t="s">
        <v>44982</v>
      </c>
      <c r="T8465" t="s">
        <v>46591</v>
      </c>
      <c r="U8465" t="s">
        <v>53980</v>
      </c>
      <c r="W8465" t="s">
        <v>42175</v>
      </c>
      <c r="X8465" t="s">
        <v>44769</v>
      </c>
    </row>
    <row r="8466" spans="1:24">
      <c r="A8466">
        <f>HYPERLINK("https://www.philgeps.gov.ph/GEPSNONPILOT/Tender/SplashBidNoticeAbstractUI.aspx?menuIndex=3&amp;refID=7139967&amp;Result=3","7139967")</f>
        <v>0</v>
      </c>
      <c r="B8466" t="s">
        <v>2762</v>
      </c>
      <c r="C8466" t="s">
        <v>11770</v>
      </c>
      <c r="D8466" t="s">
        <v>17979</v>
      </c>
      <c r="E8466" t="s">
        <v>25437</v>
      </c>
      <c r="F8466" t="s">
        <v>30900</v>
      </c>
      <c r="G8466" t="s">
        <v>30907</v>
      </c>
      <c r="H8466" t="s">
        <v>30916</v>
      </c>
      <c r="I8466" t="s">
        <v>30933</v>
      </c>
      <c r="J8466" t="s">
        <v>36374</v>
      </c>
      <c r="K8466" t="s">
        <v>40286</v>
      </c>
      <c r="M8466" t="s">
        <v>43540</v>
      </c>
      <c r="N8466" t="s">
        <v>44759</v>
      </c>
      <c r="O8466" t="s">
        <v>44760</v>
      </c>
      <c r="P8466">
        <v>0</v>
      </c>
      <c r="Q8466">
        <v>6</v>
      </c>
      <c r="R8466" t="s">
        <v>44768</v>
      </c>
      <c r="S8466" t="s">
        <v>44982</v>
      </c>
      <c r="T8466" t="s">
        <v>46595</v>
      </c>
      <c r="U8466" t="s">
        <v>50643</v>
      </c>
      <c r="W8466" t="s">
        <v>43540</v>
      </c>
      <c r="X8466" t="s">
        <v>44769</v>
      </c>
    </row>
    <row r="8467" spans="1:24">
      <c r="A8467">
        <f>HYPERLINK("https://www.philgeps.gov.ph/GEPSNONPILOT/Tender/SplashBidNoticeAbstractUI.aspx?menuIndex=3&amp;refID=7140105&amp;Result=3","7140105")</f>
        <v>0</v>
      </c>
      <c r="B8467" t="s">
        <v>2764</v>
      </c>
      <c r="C8467" t="s">
        <v>11771</v>
      </c>
      <c r="D8467" t="s">
        <v>17957</v>
      </c>
      <c r="E8467" t="s">
        <v>22992</v>
      </c>
      <c r="F8467" t="s">
        <v>30900</v>
      </c>
      <c r="G8467" t="s">
        <v>30907</v>
      </c>
      <c r="H8467" t="s">
        <v>30915</v>
      </c>
      <c r="I8467" t="s">
        <v>30919</v>
      </c>
      <c r="J8467" t="s">
        <v>36375</v>
      </c>
      <c r="K8467" t="s">
        <v>40304</v>
      </c>
      <c r="M8467" t="s">
        <v>43542</v>
      </c>
      <c r="N8467" t="s">
        <v>44759</v>
      </c>
      <c r="O8467" t="s">
        <v>44760</v>
      </c>
      <c r="P8467">
        <v>0</v>
      </c>
      <c r="Q8467">
        <v>0</v>
      </c>
      <c r="R8467" t="s">
        <v>44768</v>
      </c>
      <c r="S8467" t="s">
        <v>44982</v>
      </c>
      <c r="T8467" t="s">
        <v>46411</v>
      </c>
      <c r="U8467" t="s">
        <v>53981</v>
      </c>
      <c r="W8467" t="s">
        <v>43542</v>
      </c>
      <c r="X8467" t="s">
        <v>44769</v>
      </c>
    </row>
    <row r="8468" spans="1:24">
      <c r="A8468">
        <f>HYPERLINK("https://www.philgeps.gov.ph/GEPSNONPILOT/Tender/SplashBidNoticeAbstractUI.aspx?menuIndex=3&amp;refID=7140011&amp;Result=3","7140011")</f>
        <v>0</v>
      </c>
      <c r="B8468" t="s">
        <v>56</v>
      </c>
      <c r="C8468" t="s">
        <v>11772</v>
      </c>
      <c r="D8468" t="s">
        <v>17952</v>
      </c>
      <c r="E8468" t="s">
        <v>11772</v>
      </c>
      <c r="F8468" t="s">
        <v>30900</v>
      </c>
      <c r="G8468" t="s">
        <v>30908</v>
      </c>
      <c r="H8468" t="s">
        <v>30916</v>
      </c>
      <c r="I8468" t="s">
        <v>10602</v>
      </c>
      <c r="J8468" t="s">
        <v>32386</v>
      </c>
      <c r="K8468" t="s">
        <v>40289</v>
      </c>
      <c r="M8468" t="s">
        <v>41803</v>
      </c>
      <c r="N8468" t="s">
        <v>44759</v>
      </c>
      <c r="O8468" t="s">
        <v>44760</v>
      </c>
      <c r="P8468">
        <v>0</v>
      </c>
      <c r="Q8468">
        <v>0</v>
      </c>
      <c r="R8468" t="s">
        <v>44768</v>
      </c>
      <c r="S8468" t="s">
        <v>44982</v>
      </c>
      <c r="T8468" t="s">
        <v>46581</v>
      </c>
      <c r="U8468" t="s">
        <v>53982</v>
      </c>
      <c r="W8468" t="s">
        <v>41803</v>
      </c>
      <c r="X8468" t="s">
        <v>44769</v>
      </c>
    </row>
    <row r="8469" spans="1:24">
      <c r="A8469">
        <f>HYPERLINK("https://www.philgeps.gov.ph/GEPSNONPILOT/Tender/SplashBidNoticeAbstractUI.aspx?menuIndex=3&amp;refID=7140098&amp;Result=3","7140098")</f>
        <v>0</v>
      </c>
      <c r="B8469" t="s">
        <v>2765</v>
      </c>
      <c r="C8469" t="s">
        <v>11773</v>
      </c>
      <c r="D8469" t="s">
        <v>17966</v>
      </c>
      <c r="E8469" t="s">
        <v>25438</v>
      </c>
      <c r="F8469" t="s">
        <v>30900</v>
      </c>
      <c r="G8469" t="s">
        <v>30907</v>
      </c>
      <c r="H8469" t="s">
        <v>30916</v>
      </c>
      <c r="I8469" t="s">
        <v>4108</v>
      </c>
      <c r="J8469" t="s">
        <v>31101</v>
      </c>
      <c r="K8469" t="s">
        <v>40289</v>
      </c>
      <c r="M8469" t="s">
        <v>43543</v>
      </c>
      <c r="N8469" t="s">
        <v>44759</v>
      </c>
      <c r="O8469" t="s">
        <v>44760</v>
      </c>
      <c r="P8469">
        <v>0</v>
      </c>
      <c r="Q8469">
        <v>0</v>
      </c>
      <c r="R8469" t="s">
        <v>44768</v>
      </c>
      <c r="S8469" t="s">
        <v>44982</v>
      </c>
      <c r="T8469" t="s">
        <v>46700</v>
      </c>
      <c r="U8469" t="s">
        <v>53983</v>
      </c>
      <c r="W8469" t="s">
        <v>43543</v>
      </c>
      <c r="X8469" t="s">
        <v>44769</v>
      </c>
    </row>
    <row r="8470" spans="1:24">
      <c r="A8470">
        <f>HYPERLINK("https://www.philgeps.gov.ph/GEPSNONPILOT/Tender/SplashBidNoticeAbstractUI.aspx?menuIndex=3&amp;refID=7140099&amp;Result=3","7140099")</f>
        <v>0</v>
      </c>
      <c r="B8470" t="s">
        <v>1232</v>
      </c>
      <c r="C8470" t="s">
        <v>11774</v>
      </c>
      <c r="D8470" t="s">
        <v>17969</v>
      </c>
      <c r="E8470" t="s">
        <v>25439</v>
      </c>
      <c r="F8470" t="s">
        <v>30900</v>
      </c>
      <c r="G8470" t="s">
        <v>30907</v>
      </c>
      <c r="H8470" t="s">
        <v>30916</v>
      </c>
      <c r="I8470" t="s">
        <v>4050</v>
      </c>
      <c r="J8470" t="s">
        <v>31896</v>
      </c>
      <c r="K8470" t="s">
        <v>40280</v>
      </c>
      <c r="M8470" t="s">
        <v>43544</v>
      </c>
      <c r="N8470" t="s">
        <v>44759</v>
      </c>
      <c r="O8470" t="s">
        <v>44760</v>
      </c>
      <c r="P8470">
        <v>0</v>
      </c>
      <c r="Q8470">
        <v>4</v>
      </c>
      <c r="R8470" t="s">
        <v>44768</v>
      </c>
      <c r="S8470" t="s">
        <v>44982</v>
      </c>
      <c r="T8470" t="s">
        <v>46613</v>
      </c>
      <c r="U8470" t="s">
        <v>53984</v>
      </c>
      <c r="W8470" t="s">
        <v>60902</v>
      </c>
      <c r="X8470" t="s">
        <v>44769</v>
      </c>
    </row>
    <row r="8471" spans="1:24">
      <c r="A8471">
        <f>HYPERLINK("https://www.philgeps.gov.ph/GEPSNONPILOT/Tender/SplashBidNoticeAbstractUI.aspx?menuIndex=3&amp;refID=7139918&amp;Result=3","7139918")</f>
        <v>0</v>
      </c>
      <c r="B8471" t="s">
        <v>2760</v>
      </c>
      <c r="C8471" t="s">
        <v>11775</v>
      </c>
      <c r="D8471" t="s">
        <v>17975</v>
      </c>
      <c r="E8471" t="s">
        <v>18149</v>
      </c>
      <c r="F8471" t="s">
        <v>30900</v>
      </c>
      <c r="G8471" t="s">
        <v>30907</v>
      </c>
      <c r="H8471" t="s">
        <v>30916</v>
      </c>
      <c r="I8471" t="s">
        <v>8123</v>
      </c>
      <c r="J8471" t="s">
        <v>36376</v>
      </c>
      <c r="K8471" t="s">
        <v>40283</v>
      </c>
      <c r="M8471" t="s">
        <v>43537</v>
      </c>
      <c r="N8471" t="s">
        <v>44759</v>
      </c>
      <c r="O8471" t="s">
        <v>44760</v>
      </c>
      <c r="P8471">
        <v>0</v>
      </c>
      <c r="Q8471">
        <v>0</v>
      </c>
      <c r="R8471" t="s">
        <v>44768</v>
      </c>
      <c r="S8471" t="s">
        <v>44982</v>
      </c>
      <c r="T8471" t="s">
        <v>46472</v>
      </c>
      <c r="U8471" t="s">
        <v>53985</v>
      </c>
      <c r="W8471" t="s">
        <v>43537</v>
      </c>
      <c r="X8471" t="s">
        <v>44769</v>
      </c>
    </row>
    <row r="8472" spans="1:24">
      <c r="A8472">
        <f>HYPERLINK("https://www.philgeps.gov.ph/GEPSNONPILOT/Tender/SplashBidNoticeAbstractUI.aspx?menuIndex=3&amp;refID=7140087&amp;Result=3","7140087")</f>
        <v>0</v>
      </c>
      <c r="B8472" t="s">
        <v>379</v>
      </c>
      <c r="C8472" t="s">
        <v>11776</v>
      </c>
      <c r="D8472" t="s">
        <v>18015</v>
      </c>
      <c r="E8472" t="s">
        <v>25440</v>
      </c>
      <c r="F8472" t="s">
        <v>30900</v>
      </c>
      <c r="G8472" t="s">
        <v>30908</v>
      </c>
      <c r="H8472" t="s">
        <v>30916</v>
      </c>
      <c r="I8472" t="s">
        <v>5501</v>
      </c>
      <c r="J8472" t="s">
        <v>36377</v>
      </c>
      <c r="K8472" t="s">
        <v>40281</v>
      </c>
      <c r="M8472" t="s">
        <v>40933</v>
      </c>
      <c r="N8472" t="s">
        <v>44759</v>
      </c>
      <c r="O8472" t="s">
        <v>44760</v>
      </c>
      <c r="P8472">
        <v>0</v>
      </c>
      <c r="Q8472">
        <v>2</v>
      </c>
      <c r="R8472" t="s">
        <v>44768</v>
      </c>
      <c r="S8472" t="s">
        <v>44982</v>
      </c>
      <c r="T8472" t="s">
        <v>46658</v>
      </c>
      <c r="U8472" t="s">
        <v>53986</v>
      </c>
      <c r="W8472" t="s">
        <v>40933</v>
      </c>
      <c r="X8472" t="s">
        <v>44769</v>
      </c>
    </row>
    <row r="8473" spans="1:24">
      <c r="A8473">
        <f>HYPERLINK("https://www.philgeps.gov.ph/GEPSNONPILOT/Tender/SplashBidNoticeAbstractUI.aspx?menuIndex=3&amp;refID=7140084&amp;Result=3","7140084")</f>
        <v>0</v>
      </c>
      <c r="B8473" t="s">
        <v>1401</v>
      </c>
      <c r="C8473" t="s">
        <v>11777</v>
      </c>
      <c r="D8473" t="s">
        <v>17982</v>
      </c>
      <c r="E8473" t="s">
        <v>25441</v>
      </c>
      <c r="F8473" t="s">
        <v>30900</v>
      </c>
      <c r="G8473" t="s">
        <v>30908</v>
      </c>
      <c r="H8473" t="s">
        <v>30916</v>
      </c>
      <c r="I8473" t="s">
        <v>30967</v>
      </c>
      <c r="J8473" t="s">
        <v>36378</v>
      </c>
      <c r="K8473" t="s">
        <v>40294</v>
      </c>
      <c r="M8473" t="s">
        <v>42027</v>
      </c>
      <c r="N8473" t="s">
        <v>44759</v>
      </c>
      <c r="O8473" t="s">
        <v>44760</v>
      </c>
      <c r="P8473">
        <v>0</v>
      </c>
      <c r="Q8473">
        <v>0</v>
      </c>
      <c r="R8473" t="s">
        <v>44768</v>
      </c>
      <c r="S8473" t="s">
        <v>44982</v>
      </c>
      <c r="T8473" t="s">
        <v>46625</v>
      </c>
      <c r="U8473" t="s">
        <v>53987</v>
      </c>
      <c r="V8473" t="s">
        <v>59786</v>
      </c>
      <c r="W8473" t="s">
        <v>42027</v>
      </c>
      <c r="X8473" t="s">
        <v>44769</v>
      </c>
    </row>
    <row r="8474" spans="1:24">
      <c r="A8474">
        <f>HYPERLINK("https://www.philgeps.gov.ph/GEPSNONPILOT/Tender/SplashBidNoticeAbstractUI.aspx?menuIndex=3&amp;refID=7140077&amp;Result=3","7140077")</f>
        <v>0</v>
      </c>
      <c r="B8474" t="s">
        <v>705</v>
      </c>
      <c r="C8474" t="s">
        <v>11778</v>
      </c>
      <c r="D8474" t="s">
        <v>17961</v>
      </c>
      <c r="E8474" t="s">
        <v>25442</v>
      </c>
      <c r="F8474" t="s">
        <v>30900</v>
      </c>
      <c r="G8474" t="s">
        <v>30907</v>
      </c>
      <c r="H8474" t="s">
        <v>30915</v>
      </c>
      <c r="I8474" t="s">
        <v>30919</v>
      </c>
      <c r="J8474" t="s">
        <v>35793</v>
      </c>
      <c r="K8474" t="s">
        <v>40459</v>
      </c>
      <c r="M8474" t="s">
        <v>41269</v>
      </c>
      <c r="N8474" t="s">
        <v>44759</v>
      </c>
      <c r="O8474" t="s">
        <v>44760</v>
      </c>
      <c r="P8474">
        <v>0</v>
      </c>
      <c r="Q8474">
        <v>0</v>
      </c>
      <c r="R8474" t="s">
        <v>44768</v>
      </c>
      <c r="S8474" t="s">
        <v>44982</v>
      </c>
      <c r="T8474" t="s">
        <v>46411</v>
      </c>
      <c r="U8474" t="s">
        <v>53988</v>
      </c>
      <c r="W8474" t="s">
        <v>41269</v>
      </c>
      <c r="X8474" t="s">
        <v>44769</v>
      </c>
    </row>
    <row r="8475" spans="1:24">
      <c r="A8475">
        <f>HYPERLINK("https://www.philgeps.gov.ph/GEPSNONPILOT/Tender/SplashBidNoticeAbstractUI.aspx?menuIndex=3&amp;refID=7139998&amp;Result=3","7139998")</f>
        <v>0</v>
      </c>
      <c r="B8475" t="s">
        <v>2766</v>
      </c>
      <c r="C8475" t="s">
        <v>5049</v>
      </c>
      <c r="D8475" t="s">
        <v>17963</v>
      </c>
      <c r="E8475" t="s">
        <v>23812</v>
      </c>
      <c r="F8475" t="s">
        <v>30900</v>
      </c>
      <c r="G8475" t="s">
        <v>30907</v>
      </c>
      <c r="H8475" t="s">
        <v>30916</v>
      </c>
      <c r="I8475" t="s">
        <v>30923</v>
      </c>
      <c r="J8475" t="s">
        <v>36379</v>
      </c>
      <c r="K8475" t="s">
        <v>40283</v>
      </c>
      <c r="M8475" t="s">
        <v>43545</v>
      </c>
      <c r="N8475" t="s">
        <v>44759</v>
      </c>
      <c r="O8475" t="s">
        <v>44760</v>
      </c>
      <c r="P8475">
        <v>0</v>
      </c>
      <c r="Q8475">
        <v>1</v>
      </c>
      <c r="R8475" t="s">
        <v>44768</v>
      </c>
      <c r="S8475" t="s">
        <v>44982</v>
      </c>
      <c r="T8475" t="s">
        <v>46383</v>
      </c>
      <c r="U8475" t="s">
        <v>53989</v>
      </c>
      <c r="W8475" t="s">
        <v>43545</v>
      </c>
      <c r="X8475" t="s">
        <v>44769</v>
      </c>
    </row>
    <row r="8476" spans="1:24">
      <c r="A8476">
        <f>HYPERLINK("https://www.philgeps.gov.ph/GEPSNONPILOT/Tender/SplashBidNoticeAbstractUI.aspx?menuIndex=3&amp;refID=7140067&amp;Result=3","7140067")</f>
        <v>0</v>
      </c>
      <c r="B8476" t="s">
        <v>1232</v>
      </c>
      <c r="C8476" t="s">
        <v>11779</v>
      </c>
      <c r="D8476" t="s">
        <v>17969</v>
      </c>
      <c r="E8476" t="s">
        <v>25443</v>
      </c>
      <c r="F8476" t="s">
        <v>30900</v>
      </c>
      <c r="G8476" t="s">
        <v>30907</v>
      </c>
      <c r="H8476" t="s">
        <v>30916</v>
      </c>
      <c r="I8476" t="s">
        <v>31007</v>
      </c>
      <c r="J8476" t="s">
        <v>36380</v>
      </c>
      <c r="K8476" t="s">
        <v>40286</v>
      </c>
      <c r="M8476" t="s">
        <v>43544</v>
      </c>
      <c r="N8476" t="s">
        <v>44759</v>
      </c>
      <c r="O8476" t="s">
        <v>44760</v>
      </c>
      <c r="P8476">
        <v>0</v>
      </c>
      <c r="Q8476">
        <v>3</v>
      </c>
      <c r="R8476" t="s">
        <v>44768</v>
      </c>
      <c r="S8476" t="s">
        <v>44982</v>
      </c>
      <c r="T8476" t="s">
        <v>46613</v>
      </c>
      <c r="U8476" t="s">
        <v>53984</v>
      </c>
      <c r="W8476" t="s">
        <v>60902</v>
      </c>
      <c r="X8476" t="s">
        <v>44769</v>
      </c>
    </row>
    <row r="8477" spans="1:24">
      <c r="A8477">
        <f>HYPERLINK("https://www.philgeps.gov.ph/GEPSNONPILOT/Tender/SplashBidNoticeAbstractUI.aspx?menuIndex=3&amp;refID=7140094&amp;Result=3","7140094")</f>
        <v>0</v>
      </c>
      <c r="B8477" t="s">
        <v>218</v>
      </c>
      <c r="C8477" t="s">
        <v>11780</v>
      </c>
      <c r="D8477" t="s">
        <v>17985</v>
      </c>
      <c r="E8477" t="s">
        <v>25444</v>
      </c>
      <c r="F8477" t="s">
        <v>30900</v>
      </c>
      <c r="G8477" t="s">
        <v>30907</v>
      </c>
      <c r="H8477" t="s">
        <v>30916</v>
      </c>
      <c r="I8477" t="s">
        <v>30933</v>
      </c>
      <c r="J8477" t="s">
        <v>36381</v>
      </c>
      <c r="K8477" t="s">
        <v>40284</v>
      </c>
      <c r="M8477" t="s">
        <v>40765</v>
      </c>
      <c r="N8477" t="s">
        <v>44759</v>
      </c>
      <c r="O8477" t="s">
        <v>44760</v>
      </c>
      <c r="P8477">
        <v>0</v>
      </c>
      <c r="Q8477">
        <v>0</v>
      </c>
      <c r="R8477" t="s">
        <v>44768</v>
      </c>
      <c r="S8477" t="s">
        <v>44982</v>
      </c>
      <c r="T8477" t="s">
        <v>46383</v>
      </c>
      <c r="U8477" t="s">
        <v>53990</v>
      </c>
      <c r="V8477" t="s">
        <v>60025</v>
      </c>
      <c r="W8477" t="s">
        <v>40765</v>
      </c>
      <c r="X8477" t="s">
        <v>44769</v>
      </c>
    </row>
    <row r="8478" spans="1:24">
      <c r="A8478">
        <f>HYPERLINK("https://www.philgeps.gov.ph/GEPSNONPILOT/Tender/SplashBidNoticeAbstractUI.aspx?menuIndex=3&amp;refID=7140066&amp;Result=3","7140066")</f>
        <v>0</v>
      </c>
      <c r="B8478" t="s">
        <v>2767</v>
      </c>
      <c r="C8478" t="s">
        <v>11781</v>
      </c>
      <c r="D8478" t="s">
        <v>17993</v>
      </c>
      <c r="E8478" t="s">
        <v>18066</v>
      </c>
      <c r="F8478" t="s">
        <v>30900</v>
      </c>
      <c r="G8478" t="s">
        <v>30907</v>
      </c>
      <c r="H8478" t="s">
        <v>30915</v>
      </c>
      <c r="I8478" t="s">
        <v>30919</v>
      </c>
      <c r="J8478" t="s">
        <v>36382</v>
      </c>
      <c r="K8478" t="s">
        <v>40333</v>
      </c>
      <c r="M8478" t="s">
        <v>43546</v>
      </c>
      <c r="N8478" t="s">
        <v>44759</v>
      </c>
      <c r="O8478" t="s">
        <v>44760</v>
      </c>
      <c r="P8478">
        <v>0</v>
      </c>
      <c r="Q8478">
        <v>0</v>
      </c>
      <c r="R8478" t="s">
        <v>44768</v>
      </c>
      <c r="S8478" t="s">
        <v>44982</v>
      </c>
      <c r="T8478" t="s">
        <v>46625</v>
      </c>
      <c r="U8478" t="s">
        <v>53991</v>
      </c>
      <c r="V8478" t="s">
        <v>60026</v>
      </c>
      <c r="W8478" t="s">
        <v>43546</v>
      </c>
      <c r="X8478" t="s">
        <v>44769</v>
      </c>
    </row>
    <row r="8479" spans="1:24">
      <c r="A8479">
        <f>HYPERLINK("https://www.philgeps.gov.ph/GEPSNONPILOT/Tender/SplashBidNoticeAbstractUI.aspx?menuIndex=3&amp;refID=7140060&amp;Result=3","7140060")</f>
        <v>0</v>
      </c>
      <c r="B8479" t="s">
        <v>2755</v>
      </c>
      <c r="C8479" t="s">
        <v>3773</v>
      </c>
      <c r="D8479" t="s">
        <v>17959</v>
      </c>
      <c r="E8479" t="s">
        <v>25445</v>
      </c>
      <c r="F8479" t="s">
        <v>30900</v>
      </c>
      <c r="G8479" t="s">
        <v>30907</v>
      </c>
      <c r="H8479" t="s">
        <v>30916</v>
      </c>
      <c r="I8479" t="s">
        <v>4142</v>
      </c>
      <c r="J8479" t="s">
        <v>31669</v>
      </c>
      <c r="K8479" t="s">
        <v>40286</v>
      </c>
      <c r="M8479" t="s">
        <v>43532</v>
      </c>
      <c r="N8479" t="s">
        <v>44759</v>
      </c>
      <c r="O8479" t="s">
        <v>44760</v>
      </c>
      <c r="P8479">
        <v>0</v>
      </c>
      <c r="Q8479">
        <v>2</v>
      </c>
      <c r="R8479" t="s">
        <v>44768</v>
      </c>
      <c r="S8479" t="s">
        <v>44982</v>
      </c>
      <c r="T8479" t="s">
        <v>46531</v>
      </c>
      <c r="U8479" t="s">
        <v>53992</v>
      </c>
      <c r="W8479" t="s">
        <v>43532</v>
      </c>
      <c r="X8479" t="s">
        <v>44769</v>
      </c>
    </row>
    <row r="8480" spans="1:24">
      <c r="A8480">
        <f>HYPERLINK("https://www.philgeps.gov.ph/GEPSNONPILOT/Tender/SplashBidNoticeAbstractUI.aspx?menuIndex=3&amp;refID=7140185&amp;Result=3","7140185")</f>
        <v>0</v>
      </c>
      <c r="B8480" t="s">
        <v>172</v>
      </c>
      <c r="C8480" t="s">
        <v>11782</v>
      </c>
      <c r="D8480" t="s">
        <v>17963</v>
      </c>
      <c r="E8480" t="s">
        <v>25446</v>
      </c>
      <c r="F8480" t="s">
        <v>30900</v>
      </c>
      <c r="G8480" t="s">
        <v>30907</v>
      </c>
      <c r="H8480" t="s">
        <v>30916</v>
      </c>
      <c r="I8480" t="s">
        <v>30932</v>
      </c>
      <c r="J8480" t="s">
        <v>36383</v>
      </c>
      <c r="K8480" t="s">
        <v>40286</v>
      </c>
      <c r="M8480" t="s">
        <v>42609</v>
      </c>
      <c r="N8480" t="s">
        <v>44759</v>
      </c>
      <c r="O8480" t="s">
        <v>44760</v>
      </c>
      <c r="P8480">
        <v>0</v>
      </c>
      <c r="Q8480">
        <v>14</v>
      </c>
      <c r="R8480" t="s">
        <v>44768</v>
      </c>
      <c r="S8480" t="s">
        <v>44982</v>
      </c>
      <c r="T8480" t="s">
        <v>46808</v>
      </c>
      <c r="U8480" t="s">
        <v>51389</v>
      </c>
      <c r="W8480" t="s">
        <v>42609</v>
      </c>
      <c r="X8480" t="s">
        <v>44769</v>
      </c>
    </row>
    <row r="8481" spans="1:24">
      <c r="A8481">
        <f>HYPERLINK("https://www.philgeps.gov.ph/GEPSNONPILOT/Tender/SplashBidNoticeAbstractUI.aspx?menuIndex=3&amp;refID=7140023&amp;Result=3","7140023")</f>
        <v>0</v>
      </c>
      <c r="B8481" t="s">
        <v>2462</v>
      </c>
      <c r="C8481" t="s">
        <v>11783</v>
      </c>
      <c r="D8481" t="s">
        <v>17964</v>
      </c>
      <c r="E8481" t="s">
        <v>25447</v>
      </c>
      <c r="F8481" t="s">
        <v>30900</v>
      </c>
      <c r="G8481" t="s">
        <v>30907</v>
      </c>
      <c r="H8481" t="s">
        <v>30916</v>
      </c>
      <c r="I8481" t="s">
        <v>8044</v>
      </c>
      <c r="J8481" t="s">
        <v>36384</v>
      </c>
      <c r="K8481" t="s">
        <v>40286</v>
      </c>
      <c r="M8481" t="s">
        <v>43199</v>
      </c>
      <c r="N8481" t="s">
        <v>44759</v>
      </c>
      <c r="O8481" t="s">
        <v>44760</v>
      </c>
      <c r="P8481">
        <v>0</v>
      </c>
      <c r="Q8481">
        <v>2</v>
      </c>
      <c r="R8481" t="s">
        <v>44768</v>
      </c>
      <c r="S8481" t="s">
        <v>44982</v>
      </c>
      <c r="T8481" t="s">
        <v>46495</v>
      </c>
      <c r="U8481" t="s">
        <v>53993</v>
      </c>
      <c r="W8481" t="s">
        <v>43199</v>
      </c>
      <c r="X8481" t="s">
        <v>44769</v>
      </c>
    </row>
    <row r="8482" spans="1:24">
      <c r="A8482">
        <f>HYPERLINK("https://www.philgeps.gov.ph/GEPSNONPILOT/Tender/SplashBidNoticeAbstractUI.aspx?menuIndex=3&amp;refID=7140079&amp;Result=3","7140079")</f>
        <v>0</v>
      </c>
      <c r="B8482" t="s">
        <v>574</v>
      </c>
      <c r="C8482" t="s">
        <v>11784</v>
      </c>
      <c r="D8482" t="s">
        <v>17951</v>
      </c>
      <c r="E8482" t="s">
        <v>25405</v>
      </c>
      <c r="F8482" t="s">
        <v>30900</v>
      </c>
      <c r="G8482" t="s">
        <v>30907</v>
      </c>
      <c r="H8482" t="s">
        <v>30916</v>
      </c>
      <c r="I8482" t="s">
        <v>30927</v>
      </c>
      <c r="J8482" t="s">
        <v>36385</v>
      </c>
      <c r="K8482" t="s">
        <v>40284</v>
      </c>
      <c r="M8482" t="s">
        <v>41135</v>
      </c>
      <c r="N8482" t="s">
        <v>44759</v>
      </c>
      <c r="O8482" t="s">
        <v>44760</v>
      </c>
      <c r="P8482">
        <v>0</v>
      </c>
      <c r="Q8482">
        <v>0</v>
      </c>
      <c r="R8482" t="s">
        <v>44768</v>
      </c>
      <c r="S8482" t="s">
        <v>44982</v>
      </c>
      <c r="T8482" t="s">
        <v>46694</v>
      </c>
      <c r="U8482" t="s">
        <v>53994</v>
      </c>
      <c r="W8482" t="s">
        <v>41135</v>
      </c>
      <c r="X8482" t="s">
        <v>44769</v>
      </c>
    </row>
    <row r="8483" spans="1:24">
      <c r="A8483">
        <f>HYPERLINK("https://www.philgeps.gov.ph/GEPSNONPILOT/Tender/SplashBidNoticeAbstractUI.aspx?menuIndex=3&amp;refID=7140109&amp;Result=3","7140109")</f>
        <v>0</v>
      </c>
      <c r="B8483" t="s">
        <v>2768</v>
      </c>
      <c r="C8483" t="s">
        <v>11785</v>
      </c>
      <c r="D8483" t="s">
        <v>17953</v>
      </c>
      <c r="E8483" t="s">
        <v>20219</v>
      </c>
      <c r="F8483" t="s">
        <v>30900</v>
      </c>
      <c r="G8483" t="s">
        <v>30907</v>
      </c>
      <c r="H8483" t="s">
        <v>30916</v>
      </c>
      <c r="I8483" t="s">
        <v>11785</v>
      </c>
      <c r="J8483" t="s">
        <v>36386</v>
      </c>
      <c r="K8483" t="s">
        <v>40281</v>
      </c>
      <c r="M8483" t="s">
        <v>43547</v>
      </c>
      <c r="N8483" t="s">
        <v>44759</v>
      </c>
      <c r="O8483" t="s">
        <v>44760</v>
      </c>
      <c r="P8483">
        <v>0</v>
      </c>
      <c r="Q8483">
        <v>3</v>
      </c>
      <c r="R8483" t="s">
        <v>44768</v>
      </c>
      <c r="S8483" t="s">
        <v>44982</v>
      </c>
      <c r="T8483" t="s">
        <v>46807</v>
      </c>
      <c r="U8483" t="s">
        <v>53995</v>
      </c>
      <c r="W8483" t="s">
        <v>43547</v>
      </c>
      <c r="X8483" t="s">
        <v>44769</v>
      </c>
    </row>
    <row r="8484" spans="1:24">
      <c r="A8484">
        <f>HYPERLINK("https://www.philgeps.gov.ph/GEPSNONPILOT/Tender/SplashBidNoticeAbstractUI.aspx?menuIndex=3&amp;refID=7140175&amp;Result=3","7140175")</f>
        <v>0</v>
      </c>
      <c r="B8484" t="s">
        <v>1232</v>
      </c>
      <c r="C8484" t="s">
        <v>11786</v>
      </c>
      <c r="D8484" t="s">
        <v>17969</v>
      </c>
      <c r="E8484" t="s">
        <v>25448</v>
      </c>
      <c r="F8484" t="s">
        <v>30900</v>
      </c>
      <c r="G8484" t="s">
        <v>30907</v>
      </c>
      <c r="H8484" t="s">
        <v>30917</v>
      </c>
      <c r="I8484" t="s">
        <v>4050</v>
      </c>
      <c r="J8484" t="s">
        <v>36387</v>
      </c>
      <c r="K8484" t="s">
        <v>40358</v>
      </c>
      <c r="M8484" t="s">
        <v>43544</v>
      </c>
      <c r="N8484" t="s">
        <v>44759</v>
      </c>
      <c r="O8484" t="s">
        <v>44760</v>
      </c>
      <c r="P8484">
        <v>0</v>
      </c>
      <c r="Q8484">
        <v>4</v>
      </c>
      <c r="R8484" t="s">
        <v>44768</v>
      </c>
      <c r="S8484" t="s">
        <v>44982</v>
      </c>
      <c r="T8484" t="s">
        <v>46613</v>
      </c>
      <c r="U8484" t="s">
        <v>53996</v>
      </c>
      <c r="W8484" t="s">
        <v>60902</v>
      </c>
      <c r="X8484" t="s">
        <v>44769</v>
      </c>
    </row>
    <row r="8485" spans="1:24">
      <c r="A8485">
        <f>HYPERLINK("https://www.philgeps.gov.ph/GEPSNONPILOT/Tender/SplashBidNoticeAbstractUI.aspx?menuIndex=3&amp;refID=7140174&amp;Result=3","7140174")</f>
        <v>0</v>
      </c>
      <c r="B8485" t="s">
        <v>2769</v>
      </c>
      <c r="C8485" t="s">
        <v>11787</v>
      </c>
      <c r="D8485" t="s">
        <v>17998</v>
      </c>
      <c r="E8485" t="s">
        <v>25449</v>
      </c>
      <c r="F8485" t="s">
        <v>30900</v>
      </c>
      <c r="G8485" t="s">
        <v>30908</v>
      </c>
      <c r="H8485" t="s">
        <v>30916</v>
      </c>
      <c r="I8485" t="s">
        <v>30919</v>
      </c>
      <c r="J8485" t="s">
        <v>36388</v>
      </c>
      <c r="K8485" t="s">
        <v>40286</v>
      </c>
      <c r="M8485" t="s">
        <v>43548</v>
      </c>
      <c r="N8485" t="s">
        <v>44759</v>
      </c>
      <c r="O8485" t="s">
        <v>44760</v>
      </c>
      <c r="P8485">
        <v>0</v>
      </c>
      <c r="Q8485">
        <v>0</v>
      </c>
      <c r="R8485" t="s">
        <v>44768</v>
      </c>
      <c r="S8485" t="s">
        <v>44982</v>
      </c>
      <c r="T8485" t="s">
        <v>46403</v>
      </c>
      <c r="U8485" t="s">
        <v>53997</v>
      </c>
      <c r="W8485" t="s">
        <v>43548</v>
      </c>
      <c r="X8485" t="s">
        <v>44769</v>
      </c>
    </row>
    <row r="8486" spans="1:24">
      <c r="A8486">
        <f>HYPERLINK("https://www.philgeps.gov.ph/GEPSNONPILOT/Tender/SplashBidNoticeAbstractUI.aspx?menuIndex=3&amp;refID=7140177&amp;Result=3","7140177")</f>
        <v>0</v>
      </c>
      <c r="B8486" t="s">
        <v>2770</v>
      </c>
      <c r="C8486" t="s">
        <v>11788</v>
      </c>
      <c r="D8486" t="s">
        <v>17970</v>
      </c>
      <c r="E8486" t="s">
        <v>25450</v>
      </c>
      <c r="F8486" t="s">
        <v>30900</v>
      </c>
      <c r="G8486" t="s">
        <v>30909</v>
      </c>
      <c r="H8486" t="s">
        <v>30916</v>
      </c>
      <c r="I8486" t="s">
        <v>30933</v>
      </c>
      <c r="J8486" t="s">
        <v>36389</v>
      </c>
      <c r="K8486" t="s">
        <v>40288</v>
      </c>
      <c r="L8486" t="s">
        <v>2770</v>
      </c>
      <c r="M8486" t="s">
        <v>43549</v>
      </c>
      <c r="N8486" t="s">
        <v>44759</v>
      </c>
      <c r="O8486" t="s">
        <v>44760</v>
      </c>
      <c r="P8486">
        <v>0</v>
      </c>
      <c r="Q8486">
        <v>0</v>
      </c>
      <c r="R8486" t="s">
        <v>44768</v>
      </c>
      <c r="S8486" t="s">
        <v>44982</v>
      </c>
      <c r="T8486" t="s">
        <v>46548</v>
      </c>
      <c r="U8486" t="s">
        <v>53998</v>
      </c>
      <c r="W8486" t="s">
        <v>43549</v>
      </c>
      <c r="X8486" t="s">
        <v>44769</v>
      </c>
    </row>
    <row r="8487" spans="1:24">
      <c r="A8487">
        <f>HYPERLINK("https://www.philgeps.gov.ph/GEPSNONPILOT/Tender/SplashBidNoticeAbstractUI.aspx?menuIndex=3&amp;refID=7140151&amp;Result=3","7140151")</f>
        <v>0</v>
      </c>
      <c r="B8487" t="s">
        <v>218</v>
      </c>
      <c r="C8487" t="s">
        <v>11789</v>
      </c>
      <c r="D8487" t="s">
        <v>17985</v>
      </c>
      <c r="E8487" t="s">
        <v>25451</v>
      </c>
      <c r="F8487" t="s">
        <v>30900</v>
      </c>
      <c r="G8487" t="s">
        <v>30907</v>
      </c>
      <c r="H8487" t="s">
        <v>30916</v>
      </c>
      <c r="I8487" t="s">
        <v>30919</v>
      </c>
      <c r="J8487" t="s">
        <v>33275</v>
      </c>
      <c r="K8487" t="s">
        <v>40284</v>
      </c>
      <c r="M8487" t="s">
        <v>40765</v>
      </c>
      <c r="N8487" t="s">
        <v>44759</v>
      </c>
      <c r="O8487" t="s">
        <v>44760</v>
      </c>
      <c r="P8487">
        <v>0</v>
      </c>
      <c r="Q8487">
        <v>1</v>
      </c>
      <c r="R8487" t="s">
        <v>44768</v>
      </c>
      <c r="S8487" t="s">
        <v>44982</v>
      </c>
      <c r="T8487" t="s">
        <v>46536</v>
      </c>
      <c r="U8487" t="s">
        <v>53999</v>
      </c>
      <c r="V8487" t="s">
        <v>60027</v>
      </c>
      <c r="W8487" t="s">
        <v>40765</v>
      </c>
      <c r="X8487" t="s">
        <v>44769</v>
      </c>
    </row>
    <row r="8488" spans="1:24">
      <c r="A8488">
        <f>HYPERLINK("https://www.philgeps.gov.ph/GEPSNONPILOT/Tender/SplashBidNoticeAbstractUI.aspx?menuIndex=3&amp;refID=7140182&amp;Result=3","7140182")</f>
        <v>0</v>
      </c>
      <c r="B8488" t="s">
        <v>705</v>
      </c>
      <c r="C8488" t="s">
        <v>11790</v>
      </c>
      <c r="D8488" t="s">
        <v>17961</v>
      </c>
      <c r="E8488" t="s">
        <v>25452</v>
      </c>
      <c r="F8488" t="s">
        <v>30900</v>
      </c>
      <c r="G8488" t="s">
        <v>30907</v>
      </c>
      <c r="H8488" t="s">
        <v>30915</v>
      </c>
      <c r="I8488" t="s">
        <v>30919</v>
      </c>
      <c r="J8488" t="s">
        <v>34915</v>
      </c>
      <c r="K8488" t="s">
        <v>40301</v>
      </c>
      <c r="M8488" t="s">
        <v>41269</v>
      </c>
      <c r="N8488" t="s">
        <v>44759</v>
      </c>
      <c r="O8488" t="s">
        <v>44760</v>
      </c>
      <c r="P8488">
        <v>0</v>
      </c>
      <c r="Q8488">
        <v>0</v>
      </c>
      <c r="R8488" t="s">
        <v>44768</v>
      </c>
      <c r="S8488" t="s">
        <v>44982</v>
      </c>
      <c r="T8488" t="s">
        <v>46411</v>
      </c>
      <c r="U8488" t="s">
        <v>54000</v>
      </c>
      <c r="W8488" t="s">
        <v>41269</v>
      </c>
      <c r="X8488" t="s">
        <v>44769</v>
      </c>
    </row>
    <row r="8489" spans="1:24">
      <c r="A8489">
        <f>HYPERLINK("https://www.philgeps.gov.ph/GEPSNONPILOT/Tender/SplashBidNoticeAbstractUI.aspx?menuIndex=3&amp;refID=7140180&amp;Result=3","7140180")</f>
        <v>0</v>
      </c>
      <c r="B8489" t="s">
        <v>2771</v>
      </c>
      <c r="C8489" t="s">
        <v>11791</v>
      </c>
      <c r="D8489" t="s">
        <v>17953</v>
      </c>
      <c r="E8489" t="s">
        <v>25453</v>
      </c>
      <c r="F8489" t="s">
        <v>30900</v>
      </c>
      <c r="G8489" t="s">
        <v>30908</v>
      </c>
      <c r="H8489" t="s">
        <v>30916</v>
      </c>
      <c r="I8489" t="s">
        <v>30924</v>
      </c>
      <c r="J8489" t="s">
        <v>31585</v>
      </c>
      <c r="K8489" t="s">
        <v>40287</v>
      </c>
      <c r="M8489" t="s">
        <v>43550</v>
      </c>
      <c r="N8489" t="s">
        <v>44759</v>
      </c>
      <c r="O8489" t="s">
        <v>44760</v>
      </c>
      <c r="P8489">
        <v>0</v>
      </c>
      <c r="Q8489">
        <v>2</v>
      </c>
      <c r="R8489" t="s">
        <v>44768</v>
      </c>
      <c r="S8489" t="s">
        <v>44982</v>
      </c>
      <c r="T8489" t="s">
        <v>46662</v>
      </c>
      <c r="U8489" t="s">
        <v>54001</v>
      </c>
      <c r="V8489" t="s">
        <v>60028</v>
      </c>
      <c r="W8489" t="s">
        <v>43550</v>
      </c>
      <c r="X8489" t="s">
        <v>44769</v>
      </c>
    </row>
    <row r="8490" spans="1:24">
      <c r="A8490">
        <f>HYPERLINK("https://www.philgeps.gov.ph/GEPSNONPILOT/Tender/SplashBidNoticeAbstractUI.aspx?menuIndex=3&amp;refID=7140142&amp;Result=3","7140142")</f>
        <v>0</v>
      </c>
      <c r="B8490" t="s">
        <v>73</v>
      </c>
      <c r="C8490" t="s">
        <v>11426</v>
      </c>
      <c r="D8490" t="s">
        <v>17983</v>
      </c>
      <c r="E8490" t="s">
        <v>25454</v>
      </c>
      <c r="F8490" t="s">
        <v>30900</v>
      </c>
      <c r="G8490" t="s">
        <v>30907</v>
      </c>
      <c r="H8490" t="s">
        <v>30916</v>
      </c>
      <c r="I8490" t="s">
        <v>30927</v>
      </c>
      <c r="J8490" t="s">
        <v>31183</v>
      </c>
      <c r="K8490" t="s">
        <v>40286</v>
      </c>
      <c r="M8490" t="s">
        <v>40620</v>
      </c>
      <c r="N8490" t="s">
        <v>44759</v>
      </c>
      <c r="O8490" t="s">
        <v>44760</v>
      </c>
      <c r="P8490">
        <v>0</v>
      </c>
      <c r="Q8490">
        <v>0</v>
      </c>
      <c r="R8490" t="s">
        <v>44768</v>
      </c>
      <c r="S8490" t="s">
        <v>44982</v>
      </c>
      <c r="T8490" t="s">
        <v>46658</v>
      </c>
      <c r="U8490" t="s">
        <v>53627</v>
      </c>
      <c r="W8490" t="s">
        <v>40620</v>
      </c>
      <c r="X8490" t="s">
        <v>44769</v>
      </c>
    </row>
    <row r="8491" spans="1:24">
      <c r="A8491">
        <f>HYPERLINK("https://www.philgeps.gov.ph/GEPSNONPILOT/Tender/SplashBidNoticeAbstractUI.aspx?menuIndex=3&amp;refID=7140136&amp;Result=3","7140136")</f>
        <v>0</v>
      </c>
      <c r="B8491" t="s">
        <v>1232</v>
      </c>
      <c r="C8491" t="s">
        <v>11792</v>
      </c>
      <c r="D8491" t="s">
        <v>17969</v>
      </c>
      <c r="E8491" t="s">
        <v>25455</v>
      </c>
      <c r="F8491" t="s">
        <v>30900</v>
      </c>
      <c r="G8491" t="s">
        <v>30907</v>
      </c>
      <c r="H8491" t="s">
        <v>30917</v>
      </c>
      <c r="I8491" t="s">
        <v>4050</v>
      </c>
      <c r="J8491" t="s">
        <v>36390</v>
      </c>
      <c r="K8491" t="s">
        <v>40280</v>
      </c>
      <c r="M8491" t="s">
        <v>43544</v>
      </c>
      <c r="N8491" t="s">
        <v>44759</v>
      </c>
      <c r="O8491" t="s">
        <v>44760</v>
      </c>
      <c r="P8491">
        <v>0</v>
      </c>
      <c r="Q8491">
        <v>3</v>
      </c>
      <c r="R8491" t="s">
        <v>44768</v>
      </c>
      <c r="S8491" t="s">
        <v>44982</v>
      </c>
      <c r="T8491" t="s">
        <v>46613</v>
      </c>
      <c r="U8491" t="s">
        <v>53984</v>
      </c>
      <c r="W8491" t="s">
        <v>60902</v>
      </c>
      <c r="X8491" t="s">
        <v>44769</v>
      </c>
    </row>
    <row r="8492" spans="1:24">
      <c r="A8492">
        <f>HYPERLINK("https://www.philgeps.gov.ph/GEPSNONPILOT/Tender/SplashBidNoticeAbstractUI.aspx?menuIndex=3&amp;refID=7139912&amp;Result=3","7139912")</f>
        <v>0</v>
      </c>
      <c r="B8492" t="s">
        <v>400</v>
      </c>
      <c r="C8492" t="s">
        <v>11793</v>
      </c>
      <c r="D8492" t="s">
        <v>17971</v>
      </c>
      <c r="E8492" t="s">
        <v>25456</v>
      </c>
      <c r="F8492" t="s">
        <v>30900</v>
      </c>
      <c r="G8492" t="s">
        <v>30907</v>
      </c>
      <c r="H8492" t="s">
        <v>30916</v>
      </c>
      <c r="I8492" t="s">
        <v>5501</v>
      </c>
      <c r="J8492" t="s">
        <v>36391</v>
      </c>
      <c r="K8492" t="s">
        <v>40289</v>
      </c>
      <c r="M8492" t="s">
        <v>40955</v>
      </c>
      <c r="N8492" t="s">
        <v>44759</v>
      </c>
      <c r="O8492" t="s">
        <v>44760</v>
      </c>
      <c r="P8492">
        <v>0</v>
      </c>
      <c r="Q8492">
        <v>1</v>
      </c>
      <c r="R8492" t="s">
        <v>44768</v>
      </c>
      <c r="S8492" t="s">
        <v>44982</v>
      </c>
      <c r="T8492" t="s">
        <v>46515</v>
      </c>
      <c r="U8492" t="s">
        <v>54002</v>
      </c>
      <c r="W8492" t="s">
        <v>40955</v>
      </c>
      <c r="X8492" t="s">
        <v>44769</v>
      </c>
    </row>
    <row r="8493" spans="1:24">
      <c r="A8493">
        <f>HYPERLINK("https://www.philgeps.gov.ph/GEPSNONPILOT/Tender/SplashBidNoticeAbstractUI.aspx?menuIndex=3&amp;refID=7140134&amp;Result=3","7140134")</f>
        <v>0</v>
      </c>
      <c r="B8493" t="s">
        <v>2765</v>
      </c>
      <c r="C8493" t="s">
        <v>11794</v>
      </c>
      <c r="D8493" t="s">
        <v>17966</v>
      </c>
      <c r="E8493" t="s">
        <v>25457</v>
      </c>
      <c r="F8493" t="s">
        <v>30900</v>
      </c>
      <c r="G8493" t="s">
        <v>30907</v>
      </c>
      <c r="H8493" t="s">
        <v>30916</v>
      </c>
      <c r="I8493" t="s">
        <v>6396</v>
      </c>
      <c r="J8493" t="s">
        <v>31070</v>
      </c>
      <c r="K8493" t="s">
        <v>40289</v>
      </c>
      <c r="M8493" t="s">
        <v>43543</v>
      </c>
      <c r="N8493" t="s">
        <v>44759</v>
      </c>
      <c r="O8493" t="s">
        <v>44760</v>
      </c>
      <c r="P8493">
        <v>0</v>
      </c>
      <c r="Q8493">
        <v>1</v>
      </c>
      <c r="R8493" t="s">
        <v>44768</v>
      </c>
      <c r="S8493" t="s">
        <v>44982</v>
      </c>
      <c r="T8493" t="s">
        <v>46700</v>
      </c>
      <c r="U8493" t="s">
        <v>54003</v>
      </c>
      <c r="W8493" t="s">
        <v>43543</v>
      </c>
      <c r="X8493" t="s">
        <v>44769</v>
      </c>
    </row>
    <row r="8494" spans="1:24">
      <c r="A8494">
        <f>HYPERLINK("https://www.philgeps.gov.ph/GEPSNONPILOT/Tender/SplashBidNoticeAbstractUI.aspx?menuIndex=3&amp;refID=7140257&amp;Result=3","7140257")</f>
        <v>0</v>
      </c>
      <c r="B8494" t="s">
        <v>2772</v>
      </c>
      <c r="C8494" t="s">
        <v>11795</v>
      </c>
      <c r="D8494" t="s">
        <v>17989</v>
      </c>
      <c r="E8494" t="s">
        <v>18169</v>
      </c>
      <c r="F8494" t="s">
        <v>30904</v>
      </c>
      <c r="G8494" t="s">
        <v>30907</v>
      </c>
      <c r="H8494" t="s">
        <v>30916</v>
      </c>
      <c r="I8494" t="s">
        <v>8123</v>
      </c>
      <c r="J8494" t="s">
        <v>36392</v>
      </c>
      <c r="K8494" t="s">
        <v>40289</v>
      </c>
      <c r="M8494" t="s">
        <v>43551</v>
      </c>
      <c r="N8494" t="s">
        <v>44759</v>
      </c>
      <c r="O8494" t="s">
        <v>44760</v>
      </c>
      <c r="P8494">
        <v>0</v>
      </c>
      <c r="Q8494">
        <v>1</v>
      </c>
      <c r="R8494" t="s">
        <v>44768</v>
      </c>
      <c r="S8494" t="s">
        <v>44982</v>
      </c>
      <c r="T8494" t="s">
        <v>46593</v>
      </c>
      <c r="U8494" t="s">
        <v>54004</v>
      </c>
      <c r="W8494" t="s">
        <v>43551</v>
      </c>
      <c r="X8494" t="s">
        <v>44769</v>
      </c>
    </row>
    <row r="8495" spans="1:24">
      <c r="A8495">
        <f>HYPERLINK("https://www.philgeps.gov.ph/GEPSNONPILOT/Tender/SplashBidNoticeAbstractUI.aspx?menuIndex=3&amp;refID=7140274&amp;Result=3","7140274")</f>
        <v>0</v>
      </c>
      <c r="B8495" t="s">
        <v>1328</v>
      </c>
      <c r="C8495" t="s">
        <v>11796</v>
      </c>
      <c r="D8495" t="s">
        <v>17973</v>
      </c>
      <c r="E8495" t="s">
        <v>18308</v>
      </c>
      <c r="F8495" t="s">
        <v>30900</v>
      </c>
      <c r="G8495" t="s">
        <v>30907</v>
      </c>
      <c r="H8495" t="s">
        <v>30916</v>
      </c>
      <c r="I8495" t="s">
        <v>8123</v>
      </c>
      <c r="J8495" t="s">
        <v>31116</v>
      </c>
      <c r="K8495" t="s">
        <v>40283</v>
      </c>
      <c r="M8495" t="s">
        <v>41948</v>
      </c>
      <c r="N8495" t="s">
        <v>44759</v>
      </c>
      <c r="O8495" t="s">
        <v>44760</v>
      </c>
      <c r="P8495">
        <v>0</v>
      </c>
      <c r="Q8495">
        <v>0</v>
      </c>
      <c r="R8495" t="s">
        <v>44768</v>
      </c>
      <c r="S8495" t="s">
        <v>44982</v>
      </c>
      <c r="T8495" t="s">
        <v>46352</v>
      </c>
      <c r="U8495" t="s">
        <v>54005</v>
      </c>
      <c r="W8495" t="s">
        <v>41948</v>
      </c>
      <c r="X8495" t="s">
        <v>44769</v>
      </c>
    </row>
    <row r="8496" spans="1:24">
      <c r="A8496">
        <f>HYPERLINK("https://www.philgeps.gov.ph/GEPSNONPILOT/Tender/SplashBidNoticeAbstractUI.aspx?menuIndex=3&amp;refID=7140146&amp;Result=3","7140146")</f>
        <v>0</v>
      </c>
      <c r="B8496" t="s">
        <v>382</v>
      </c>
      <c r="C8496" t="s">
        <v>11797</v>
      </c>
      <c r="E8496" t="s">
        <v>25458</v>
      </c>
      <c r="F8496" t="s">
        <v>30900</v>
      </c>
      <c r="G8496" t="s">
        <v>30907</v>
      </c>
      <c r="H8496" t="s">
        <v>30916</v>
      </c>
      <c r="I8496" t="s">
        <v>8123</v>
      </c>
      <c r="J8496" t="s">
        <v>36393</v>
      </c>
      <c r="K8496" t="s">
        <v>40286</v>
      </c>
      <c r="M8496" t="s">
        <v>43552</v>
      </c>
      <c r="N8496" t="s">
        <v>44759</v>
      </c>
      <c r="O8496" t="s">
        <v>44760</v>
      </c>
      <c r="P8496">
        <v>0</v>
      </c>
      <c r="Q8496">
        <v>3</v>
      </c>
      <c r="R8496" t="s">
        <v>44768</v>
      </c>
      <c r="S8496" t="s">
        <v>44982</v>
      </c>
      <c r="T8496" t="s">
        <v>46515</v>
      </c>
      <c r="U8496" t="s">
        <v>50345</v>
      </c>
      <c r="W8496" t="s">
        <v>43552</v>
      </c>
      <c r="X8496" t="s">
        <v>44769</v>
      </c>
    </row>
    <row r="8497" spans="1:24">
      <c r="A8497">
        <f>HYPERLINK("https://www.philgeps.gov.ph/GEPSNONPILOT/Tender/SplashBidNoticeAbstractUI.aspx?menuIndex=3&amp;refID=7140144&amp;Result=3","7140144")</f>
        <v>0</v>
      </c>
      <c r="B8497" t="s">
        <v>243</v>
      </c>
      <c r="C8497" t="s">
        <v>11798</v>
      </c>
      <c r="E8497" t="s">
        <v>25459</v>
      </c>
      <c r="F8497" t="s">
        <v>30900</v>
      </c>
      <c r="G8497" t="s">
        <v>30906</v>
      </c>
      <c r="H8497" t="s">
        <v>30916</v>
      </c>
      <c r="I8497" t="s">
        <v>30933</v>
      </c>
      <c r="J8497" t="s">
        <v>31391</v>
      </c>
      <c r="K8497" t="s">
        <v>40293</v>
      </c>
      <c r="M8497" t="s">
        <v>40790</v>
      </c>
      <c r="N8497" t="s">
        <v>44759</v>
      </c>
      <c r="O8497" t="s">
        <v>44760</v>
      </c>
      <c r="P8497">
        <v>0</v>
      </c>
      <c r="Q8497">
        <v>1</v>
      </c>
      <c r="R8497" t="s">
        <v>44768</v>
      </c>
      <c r="S8497" t="s">
        <v>44982</v>
      </c>
      <c r="T8497" t="s">
        <v>46454</v>
      </c>
      <c r="U8497" t="s">
        <v>54006</v>
      </c>
      <c r="V8497" t="s">
        <v>60029</v>
      </c>
      <c r="W8497" t="s">
        <v>42208</v>
      </c>
      <c r="X8497" t="s">
        <v>44769</v>
      </c>
    </row>
    <row r="8498" spans="1:24">
      <c r="A8498">
        <f>HYPERLINK("https://www.philgeps.gov.ph/GEPSNONPILOT/Tender/SplashBidNoticeAbstractUI.aspx?menuIndex=3&amp;refID=7140261&amp;Result=3","7140261")</f>
        <v>0</v>
      </c>
      <c r="B8498" t="s">
        <v>1380</v>
      </c>
      <c r="C8498" t="s">
        <v>11799</v>
      </c>
      <c r="D8498" t="s">
        <v>18025</v>
      </c>
      <c r="E8498" t="s">
        <v>25460</v>
      </c>
      <c r="F8498" t="s">
        <v>30900</v>
      </c>
      <c r="G8498" t="s">
        <v>30907</v>
      </c>
      <c r="H8498" t="s">
        <v>30916</v>
      </c>
      <c r="I8498" t="s">
        <v>4545</v>
      </c>
      <c r="J8498" t="s">
        <v>36394</v>
      </c>
      <c r="K8498" t="s">
        <v>40284</v>
      </c>
      <c r="M8498" t="s">
        <v>42004</v>
      </c>
      <c r="N8498" t="s">
        <v>44759</v>
      </c>
      <c r="O8498" t="s">
        <v>44760</v>
      </c>
      <c r="P8498">
        <v>0</v>
      </c>
      <c r="Q8498">
        <v>6</v>
      </c>
      <c r="R8498" t="s">
        <v>44768</v>
      </c>
      <c r="S8498" t="s">
        <v>44982</v>
      </c>
      <c r="T8498" t="s">
        <v>46455</v>
      </c>
      <c r="U8498" t="s">
        <v>54007</v>
      </c>
      <c r="V8498" t="s">
        <v>60030</v>
      </c>
      <c r="W8498" t="s">
        <v>42004</v>
      </c>
      <c r="X8498" t="s">
        <v>44769</v>
      </c>
    </row>
    <row r="8499" spans="1:24">
      <c r="A8499">
        <f>HYPERLINK("https://www.philgeps.gov.ph/GEPSNONPILOT/Tender/SplashBidNoticeAbstractUI.aspx?menuIndex=3&amp;refID=7140262&amp;Result=3","7140262")</f>
        <v>0</v>
      </c>
      <c r="B8499" t="s">
        <v>56</v>
      </c>
      <c r="C8499" t="s">
        <v>11800</v>
      </c>
      <c r="D8499" t="s">
        <v>17952</v>
      </c>
      <c r="E8499" t="s">
        <v>25461</v>
      </c>
      <c r="F8499" t="s">
        <v>30900</v>
      </c>
      <c r="G8499" t="s">
        <v>30907</v>
      </c>
      <c r="H8499" t="s">
        <v>30916</v>
      </c>
      <c r="I8499" t="s">
        <v>6953</v>
      </c>
      <c r="J8499" t="s">
        <v>36395</v>
      </c>
      <c r="K8499" t="s">
        <v>40294</v>
      </c>
      <c r="M8499" t="s">
        <v>43553</v>
      </c>
      <c r="N8499" t="s">
        <v>44759</v>
      </c>
      <c r="O8499" t="s">
        <v>44760</v>
      </c>
      <c r="Q8499">
        <v>2</v>
      </c>
      <c r="R8499" t="s">
        <v>44768</v>
      </c>
      <c r="S8499" t="s">
        <v>45005</v>
      </c>
      <c r="T8499" t="s">
        <v>46418</v>
      </c>
      <c r="U8499" t="s">
        <v>54008</v>
      </c>
      <c r="V8499" t="s">
        <v>59226</v>
      </c>
      <c r="W8499" t="s">
        <v>43553</v>
      </c>
      <c r="X8499" t="s">
        <v>44769</v>
      </c>
    </row>
    <row r="8500" spans="1:24">
      <c r="A8500">
        <f>HYPERLINK("https://www.philgeps.gov.ph/GEPSNONPILOT/Tender/SplashBidNoticeAbstractUI.aspx?menuIndex=3&amp;refID=7140252&amp;Result=3","7140252")</f>
        <v>0</v>
      </c>
      <c r="B8500" t="s">
        <v>2175</v>
      </c>
      <c r="C8500" t="s">
        <v>11801</v>
      </c>
      <c r="E8500" t="s">
        <v>25462</v>
      </c>
      <c r="F8500" t="s">
        <v>30900</v>
      </c>
      <c r="G8500" t="s">
        <v>30908</v>
      </c>
      <c r="H8500" t="s">
        <v>30916</v>
      </c>
      <c r="I8500" t="s">
        <v>30993</v>
      </c>
      <c r="J8500" t="s">
        <v>33599</v>
      </c>
      <c r="K8500" t="s">
        <v>40289</v>
      </c>
      <c r="M8500" t="s">
        <v>42880</v>
      </c>
      <c r="N8500" t="s">
        <v>44759</v>
      </c>
      <c r="O8500" t="s">
        <v>44760</v>
      </c>
      <c r="P8500">
        <v>0</v>
      </c>
      <c r="Q8500">
        <v>8</v>
      </c>
      <c r="R8500" t="s">
        <v>44768</v>
      </c>
      <c r="S8500" t="s">
        <v>44982</v>
      </c>
      <c r="T8500" t="s">
        <v>46658</v>
      </c>
      <c r="U8500" t="s">
        <v>54009</v>
      </c>
      <c r="W8500" t="s">
        <v>42880</v>
      </c>
      <c r="X8500" t="s">
        <v>44769</v>
      </c>
    </row>
    <row r="8501" spans="1:24">
      <c r="A8501">
        <f>HYPERLINK("https://www.philgeps.gov.ph/GEPSNONPILOT/Tender/SplashBidNoticeAbstractUI.aspx?menuIndex=3&amp;refID=7140244&amp;Result=3","7140244")</f>
        <v>0</v>
      </c>
      <c r="B8501" t="s">
        <v>81</v>
      </c>
      <c r="C8501" t="s">
        <v>11802</v>
      </c>
      <c r="D8501" t="s">
        <v>17959</v>
      </c>
      <c r="E8501" t="s">
        <v>19323</v>
      </c>
      <c r="F8501" t="s">
        <v>30900</v>
      </c>
      <c r="G8501" t="s">
        <v>30908</v>
      </c>
      <c r="H8501" t="s">
        <v>30916</v>
      </c>
      <c r="I8501" t="s">
        <v>4108</v>
      </c>
      <c r="J8501" t="s">
        <v>34753</v>
      </c>
      <c r="K8501" t="s">
        <v>40289</v>
      </c>
      <c r="M8501" t="s">
        <v>42693</v>
      </c>
      <c r="N8501" t="s">
        <v>44759</v>
      </c>
      <c r="O8501" t="s">
        <v>44760</v>
      </c>
      <c r="P8501">
        <v>0</v>
      </c>
      <c r="Q8501">
        <v>4</v>
      </c>
      <c r="R8501" t="s">
        <v>44768</v>
      </c>
      <c r="S8501" t="s">
        <v>44982</v>
      </c>
      <c r="T8501" t="s">
        <v>46581</v>
      </c>
      <c r="U8501" t="s">
        <v>54010</v>
      </c>
      <c r="W8501" t="s">
        <v>42693</v>
      </c>
      <c r="X8501" t="s">
        <v>44769</v>
      </c>
    </row>
    <row r="8502" spans="1:24">
      <c r="A8502">
        <f>HYPERLINK("https://www.philgeps.gov.ph/GEPSNONPILOT/Tender/SplashBidNoticeAbstractUI.aspx?menuIndex=3&amp;refID=7140265&amp;Result=3","7140265")</f>
        <v>0</v>
      </c>
      <c r="B8502" t="s">
        <v>172</v>
      </c>
      <c r="C8502" t="s">
        <v>11803</v>
      </c>
      <c r="D8502" t="s">
        <v>17979</v>
      </c>
      <c r="E8502" t="s">
        <v>25463</v>
      </c>
      <c r="F8502" t="s">
        <v>30900</v>
      </c>
      <c r="G8502" t="s">
        <v>30907</v>
      </c>
      <c r="H8502" t="s">
        <v>30916</v>
      </c>
      <c r="I8502" t="s">
        <v>4050</v>
      </c>
      <c r="J8502" t="s">
        <v>36396</v>
      </c>
      <c r="K8502" t="s">
        <v>40280</v>
      </c>
      <c r="M8502" t="s">
        <v>42609</v>
      </c>
      <c r="N8502" t="s">
        <v>44759</v>
      </c>
      <c r="O8502" t="s">
        <v>44760</v>
      </c>
      <c r="P8502">
        <v>0</v>
      </c>
      <c r="Q8502">
        <v>6</v>
      </c>
      <c r="R8502" t="s">
        <v>44768</v>
      </c>
      <c r="S8502" t="s">
        <v>44982</v>
      </c>
      <c r="T8502" t="s">
        <v>46808</v>
      </c>
      <c r="U8502" t="s">
        <v>51389</v>
      </c>
      <c r="W8502" t="s">
        <v>42609</v>
      </c>
      <c r="X8502" t="s">
        <v>44769</v>
      </c>
    </row>
    <row r="8503" spans="1:24">
      <c r="A8503">
        <f>HYPERLINK("https://www.philgeps.gov.ph/GEPSNONPILOT/Tender/SplashBidNoticeAbstractUI.aspx?menuIndex=3&amp;refID=7140127&amp;Result=3","7140127")</f>
        <v>0</v>
      </c>
      <c r="B8503" t="s">
        <v>705</v>
      </c>
      <c r="C8503" t="s">
        <v>11804</v>
      </c>
      <c r="D8503" t="s">
        <v>17961</v>
      </c>
      <c r="E8503" t="s">
        <v>25464</v>
      </c>
      <c r="F8503" t="s">
        <v>30900</v>
      </c>
      <c r="G8503" t="s">
        <v>30907</v>
      </c>
      <c r="H8503" t="s">
        <v>30915</v>
      </c>
      <c r="I8503" t="s">
        <v>30919</v>
      </c>
      <c r="J8503" t="s">
        <v>32558</v>
      </c>
      <c r="K8503" t="s">
        <v>40310</v>
      </c>
      <c r="M8503" t="s">
        <v>41269</v>
      </c>
      <c r="N8503" t="s">
        <v>44759</v>
      </c>
      <c r="O8503" t="s">
        <v>44760</v>
      </c>
      <c r="P8503">
        <v>0</v>
      </c>
      <c r="Q8503">
        <v>1</v>
      </c>
      <c r="R8503" t="s">
        <v>44768</v>
      </c>
      <c r="S8503" t="s">
        <v>44982</v>
      </c>
      <c r="T8503" t="s">
        <v>46411</v>
      </c>
      <c r="U8503" t="s">
        <v>54000</v>
      </c>
      <c r="W8503" t="s">
        <v>41269</v>
      </c>
      <c r="X8503" t="s">
        <v>44769</v>
      </c>
    </row>
    <row r="8504" spans="1:24">
      <c r="A8504">
        <f>HYPERLINK("https://www.philgeps.gov.ph/GEPSNONPILOT/Tender/SplashBidNoticeAbstractUI.aspx?menuIndex=3&amp;refID=7140152&amp;Result=3","7140152")</f>
        <v>0</v>
      </c>
      <c r="B8504" t="s">
        <v>705</v>
      </c>
      <c r="C8504" t="s">
        <v>11805</v>
      </c>
      <c r="D8504" t="s">
        <v>17961</v>
      </c>
      <c r="E8504" t="s">
        <v>25465</v>
      </c>
      <c r="F8504" t="s">
        <v>30900</v>
      </c>
      <c r="G8504" t="s">
        <v>30907</v>
      </c>
      <c r="H8504" t="s">
        <v>30915</v>
      </c>
      <c r="I8504" t="s">
        <v>30919</v>
      </c>
      <c r="J8504" t="s">
        <v>32523</v>
      </c>
      <c r="K8504" t="s">
        <v>40360</v>
      </c>
      <c r="M8504" t="s">
        <v>41269</v>
      </c>
      <c r="N8504" t="s">
        <v>44759</v>
      </c>
      <c r="O8504" t="s">
        <v>44760</v>
      </c>
      <c r="P8504">
        <v>0</v>
      </c>
      <c r="Q8504">
        <v>0</v>
      </c>
      <c r="R8504" t="s">
        <v>44768</v>
      </c>
      <c r="S8504" t="s">
        <v>44982</v>
      </c>
      <c r="T8504" t="s">
        <v>46411</v>
      </c>
      <c r="U8504" t="s">
        <v>54000</v>
      </c>
      <c r="W8504" t="s">
        <v>41269</v>
      </c>
      <c r="X8504" t="s">
        <v>44769</v>
      </c>
    </row>
    <row r="8505" spans="1:24">
      <c r="A8505">
        <f>HYPERLINK("https://www.philgeps.gov.ph/GEPSNONPILOT/Tender/SplashBidNoticeAbstractUI.aspx?menuIndex=3&amp;refID=7140232&amp;Result=3","7140232")</f>
        <v>0</v>
      </c>
      <c r="B8505" t="s">
        <v>2773</v>
      </c>
      <c r="C8505" t="s">
        <v>11806</v>
      </c>
      <c r="D8505" t="s">
        <v>17969</v>
      </c>
      <c r="E8505" t="s">
        <v>25466</v>
      </c>
      <c r="F8505" t="s">
        <v>30900</v>
      </c>
      <c r="G8505" t="s">
        <v>30910</v>
      </c>
      <c r="H8505" t="s">
        <v>30916</v>
      </c>
      <c r="I8505" t="s">
        <v>4142</v>
      </c>
      <c r="J8505" t="s">
        <v>31443</v>
      </c>
      <c r="K8505" t="s">
        <v>40287</v>
      </c>
      <c r="M8505" t="s">
        <v>43554</v>
      </c>
      <c r="N8505" t="s">
        <v>44759</v>
      </c>
      <c r="O8505" t="s">
        <v>44760</v>
      </c>
      <c r="P8505">
        <v>0</v>
      </c>
      <c r="Q8505">
        <v>1</v>
      </c>
      <c r="R8505" t="s">
        <v>44768</v>
      </c>
      <c r="S8505" t="s">
        <v>44982</v>
      </c>
      <c r="T8505" t="s">
        <v>46662</v>
      </c>
      <c r="U8505" t="s">
        <v>54011</v>
      </c>
      <c r="W8505" t="s">
        <v>43554</v>
      </c>
      <c r="X8505" t="s">
        <v>44769</v>
      </c>
    </row>
    <row r="8506" spans="1:24">
      <c r="A8506">
        <f>HYPERLINK("https://www.philgeps.gov.ph/GEPSNONPILOT/Tender/SplashBidNoticeAbstractUI.aspx?menuIndex=3&amp;refID=7140229&amp;Result=3","7140229")</f>
        <v>0</v>
      </c>
      <c r="B8506" t="s">
        <v>928</v>
      </c>
      <c r="C8506" t="s">
        <v>11807</v>
      </c>
      <c r="D8506" t="s">
        <v>17972</v>
      </c>
      <c r="E8506" t="s">
        <v>21661</v>
      </c>
      <c r="F8506" t="s">
        <v>30900</v>
      </c>
      <c r="G8506" t="s">
        <v>30907</v>
      </c>
      <c r="H8506" t="s">
        <v>30916</v>
      </c>
      <c r="I8506" t="s">
        <v>8123</v>
      </c>
      <c r="J8506" t="s">
        <v>36397</v>
      </c>
      <c r="K8506" t="s">
        <v>40289</v>
      </c>
      <c r="M8506" t="s">
        <v>41510</v>
      </c>
      <c r="N8506" t="s">
        <v>44759</v>
      </c>
      <c r="O8506" t="s">
        <v>44760</v>
      </c>
      <c r="P8506">
        <v>0</v>
      </c>
      <c r="Q8506">
        <v>0</v>
      </c>
      <c r="R8506" t="s">
        <v>44768</v>
      </c>
      <c r="S8506" t="s">
        <v>44982</v>
      </c>
      <c r="T8506" t="s">
        <v>46711</v>
      </c>
      <c r="U8506" t="s">
        <v>54012</v>
      </c>
      <c r="W8506" t="s">
        <v>41510</v>
      </c>
      <c r="X8506" t="s">
        <v>44769</v>
      </c>
    </row>
    <row r="8507" spans="1:24">
      <c r="A8507">
        <f>HYPERLINK("https://www.philgeps.gov.ph/GEPSNONPILOT/Tender/SplashBidNoticeAbstractUI.aspx?menuIndex=3&amp;refID=7140228&amp;Result=3","7140228")</f>
        <v>0</v>
      </c>
      <c r="B8507" t="s">
        <v>2036</v>
      </c>
      <c r="C8507" t="s">
        <v>11808</v>
      </c>
      <c r="D8507" t="s">
        <v>17959</v>
      </c>
      <c r="E8507" t="s">
        <v>25467</v>
      </c>
      <c r="F8507" t="s">
        <v>30900</v>
      </c>
      <c r="G8507" t="s">
        <v>30913</v>
      </c>
      <c r="H8507" t="s">
        <v>30916</v>
      </c>
      <c r="I8507" t="s">
        <v>30927</v>
      </c>
      <c r="J8507" t="s">
        <v>36398</v>
      </c>
      <c r="K8507" t="s">
        <v>40286</v>
      </c>
      <c r="M8507" t="s">
        <v>43430</v>
      </c>
      <c r="N8507" t="s">
        <v>44759</v>
      </c>
      <c r="O8507" t="s">
        <v>44760</v>
      </c>
      <c r="P8507">
        <v>0</v>
      </c>
      <c r="Q8507">
        <v>4</v>
      </c>
      <c r="R8507" t="s">
        <v>44768</v>
      </c>
      <c r="S8507" t="s">
        <v>44982</v>
      </c>
      <c r="T8507" t="s">
        <v>46515</v>
      </c>
      <c r="U8507" t="s">
        <v>53635</v>
      </c>
      <c r="W8507" t="s">
        <v>43430</v>
      </c>
      <c r="X8507" t="s">
        <v>44769</v>
      </c>
    </row>
    <row r="8508" spans="1:24">
      <c r="A8508">
        <f>HYPERLINK("https://www.philgeps.gov.ph/GEPSNONPILOT/Tender/SplashBidNoticeAbstractUI.aspx?menuIndex=3&amp;refID=7140281&amp;Result=3","7140281")</f>
        <v>0</v>
      </c>
      <c r="B8508" t="s">
        <v>2774</v>
      </c>
      <c r="C8508" t="s">
        <v>11809</v>
      </c>
      <c r="D8508" t="s">
        <v>17951</v>
      </c>
      <c r="E8508" t="s">
        <v>25468</v>
      </c>
      <c r="F8508" t="s">
        <v>30900</v>
      </c>
      <c r="G8508" t="s">
        <v>30907</v>
      </c>
      <c r="H8508" t="s">
        <v>30915</v>
      </c>
      <c r="I8508" t="s">
        <v>30919</v>
      </c>
      <c r="J8508" t="s">
        <v>32152</v>
      </c>
      <c r="K8508" t="s">
        <v>40286</v>
      </c>
      <c r="M8508" t="s">
        <v>43555</v>
      </c>
      <c r="N8508" t="s">
        <v>44759</v>
      </c>
      <c r="O8508" t="s">
        <v>44760</v>
      </c>
      <c r="P8508">
        <v>0</v>
      </c>
      <c r="Q8508">
        <v>0</v>
      </c>
      <c r="R8508" t="s">
        <v>44768</v>
      </c>
      <c r="S8508" t="s">
        <v>44982</v>
      </c>
      <c r="T8508" t="s">
        <v>46421</v>
      </c>
      <c r="U8508" t="s">
        <v>54013</v>
      </c>
      <c r="W8508" t="s">
        <v>43555</v>
      </c>
      <c r="X8508" t="s">
        <v>44769</v>
      </c>
    </row>
    <row r="8509" spans="1:24">
      <c r="A8509">
        <f>HYPERLINK("https://www.philgeps.gov.ph/GEPSNONPILOT/Tender/SplashBidNoticeAbstractUI.aspx?menuIndex=3&amp;refID=7140241&amp;Result=3","7140241")</f>
        <v>0</v>
      </c>
      <c r="B8509" t="s">
        <v>2775</v>
      </c>
      <c r="C8509" t="s">
        <v>11810</v>
      </c>
      <c r="D8509" t="s">
        <v>17963</v>
      </c>
      <c r="E8509" t="s">
        <v>23085</v>
      </c>
      <c r="F8509" t="s">
        <v>30899</v>
      </c>
      <c r="G8509" t="s">
        <v>30909</v>
      </c>
      <c r="H8509" t="s">
        <v>30916</v>
      </c>
      <c r="I8509" t="s">
        <v>4142</v>
      </c>
      <c r="J8509" t="s">
        <v>31092</v>
      </c>
      <c r="K8509" t="s">
        <v>40281</v>
      </c>
      <c r="M8509" t="s">
        <v>43556</v>
      </c>
      <c r="N8509" t="s">
        <v>44759</v>
      </c>
      <c r="O8509" t="s">
        <v>44760</v>
      </c>
      <c r="P8509">
        <v>0</v>
      </c>
      <c r="Q8509">
        <v>0</v>
      </c>
      <c r="R8509" t="s">
        <v>44768</v>
      </c>
      <c r="S8509" t="s">
        <v>44982</v>
      </c>
      <c r="T8509" t="s">
        <v>46816</v>
      </c>
      <c r="U8509" t="s">
        <v>54014</v>
      </c>
      <c r="W8509" t="s">
        <v>43556</v>
      </c>
      <c r="X8509" t="s">
        <v>44769</v>
      </c>
    </row>
    <row r="8510" spans="1:24">
      <c r="A8510">
        <f>HYPERLINK("https://www.philgeps.gov.ph/GEPSNONPILOT/Tender/SplashBidNoticeAbstractUI.aspx?menuIndex=3&amp;refID=7140355&amp;Result=3","7140355")</f>
        <v>0</v>
      </c>
      <c r="B8510" t="s">
        <v>586</v>
      </c>
      <c r="C8510" t="s">
        <v>11811</v>
      </c>
      <c r="D8510" t="s">
        <v>17952</v>
      </c>
      <c r="E8510" t="s">
        <v>25469</v>
      </c>
      <c r="F8510" t="s">
        <v>30900</v>
      </c>
      <c r="G8510" t="s">
        <v>30907</v>
      </c>
      <c r="H8510" t="s">
        <v>30916</v>
      </c>
      <c r="I8510" t="s">
        <v>30923</v>
      </c>
      <c r="J8510" t="s">
        <v>31243</v>
      </c>
      <c r="K8510" t="s">
        <v>40283</v>
      </c>
      <c r="M8510" t="s">
        <v>43557</v>
      </c>
      <c r="N8510" t="s">
        <v>44759</v>
      </c>
      <c r="O8510" t="s">
        <v>44760</v>
      </c>
      <c r="P8510">
        <v>0</v>
      </c>
      <c r="Q8510">
        <v>3</v>
      </c>
      <c r="R8510" t="s">
        <v>44768</v>
      </c>
      <c r="S8510" t="s">
        <v>44982</v>
      </c>
      <c r="T8510" t="s">
        <v>46689</v>
      </c>
      <c r="U8510" t="s">
        <v>54015</v>
      </c>
      <c r="V8510" t="s">
        <v>60031</v>
      </c>
      <c r="W8510" t="s">
        <v>43557</v>
      </c>
      <c r="X8510" t="s">
        <v>44769</v>
      </c>
    </row>
    <row r="8511" spans="1:24">
      <c r="A8511">
        <f>HYPERLINK("https://www.philgeps.gov.ph/GEPSNONPILOT/Tender/SplashBidNoticeAbstractUI.aspx?menuIndex=3&amp;refID=7140343&amp;Result=3","7140343")</f>
        <v>0</v>
      </c>
      <c r="B8511" t="s">
        <v>2648</v>
      </c>
      <c r="C8511" t="s">
        <v>11812</v>
      </c>
      <c r="D8511" t="s">
        <v>18025</v>
      </c>
      <c r="E8511" t="s">
        <v>25470</v>
      </c>
      <c r="F8511" t="s">
        <v>30900</v>
      </c>
      <c r="G8511" t="s">
        <v>30908</v>
      </c>
      <c r="H8511" t="s">
        <v>30916</v>
      </c>
      <c r="I8511" t="s">
        <v>8123</v>
      </c>
      <c r="J8511" t="s">
        <v>31096</v>
      </c>
      <c r="K8511" t="s">
        <v>40315</v>
      </c>
      <c r="M8511" t="s">
        <v>43414</v>
      </c>
      <c r="N8511" t="s">
        <v>44759</v>
      </c>
      <c r="O8511" t="s">
        <v>44760</v>
      </c>
      <c r="P8511">
        <v>0</v>
      </c>
      <c r="Q8511">
        <v>0</v>
      </c>
      <c r="R8511" t="s">
        <v>44768</v>
      </c>
      <c r="S8511" t="s">
        <v>44982</v>
      </c>
      <c r="T8511" t="s">
        <v>46625</v>
      </c>
      <c r="U8511" t="s">
        <v>54016</v>
      </c>
      <c r="W8511" t="s">
        <v>43414</v>
      </c>
      <c r="X8511" t="s">
        <v>44769</v>
      </c>
    </row>
    <row r="8512" spans="1:24">
      <c r="A8512">
        <f>HYPERLINK("https://www.philgeps.gov.ph/GEPSNONPILOT/Tender/SplashBidNoticeAbstractUI.aspx?menuIndex=3&amp;refID=7140234&amp;Result=3","7140234")</f>
        <v>0</v>
      </c>
      <c r="B8512" t="s">
        <v>2769</v>
      </c>
      <c r="C8512" t="s">
        <v>11813</v>
      </c>
      <c r="D8512" t="s">
        <v>17998</v>
      </c>
      <c r="E8512" t="s">
        <v>25471</v>
      </c>
      <c r="F8512" t="s">
        <v>30900</v>
      </c>
      <c r="G8512" t="s">
        <v>30908</v>
      </c>
      <c r="H8512" t="s">
        <v>30916</v>
      </c>
      <c r="I8512" t="s">
        <v>30919</v>
      </c>
      <c r="J8512" t="s">
        <v>36399</v>
      </c>
      <c r="K8512" t="s">
        <v>40286</v>
      </c>
      <c r="M8512" t="s">
        <v>43548</v>
      </c>
      <c r="N8512" t="s">
        <v>44759</v>
      </c>
      <c r="O8512" t="s">
        <v>44760</v>
      </c>
      <c r="P8512">
        <v>0</v>
      </c>
      <c r="Q8512">
        <v>0</v>
      </c>
      <c r="R8512" t="s">
        <v>44768</v>
      </c>
      <c r="S8512" t="s">
        <v>44982</v>
      </c>
      <c r="T8512" t="s">
        <v>46403</v>
      </c>
      <c r="U8512" t="s">
        <v>54017</v>
      </c>
      <c r="W8512" t="s">
        <v>43548</v>
      </c>
      <c r="X8512" t="s">
        <v>44769</v>
      </c>
    </row>
    <row r="8513" spans="1:24">
      <c r="A8513">
        <f>HYPERLINK("https://www.philgeps.gov.ph/GEPSNONPILOT/Tender/SplashBidNoticeAbstractUI.aspx?menuIndex=3&amp;refID=7140349&amp;Result=3","7140349")</f>
        <v>0</v>
      </c>
      <c r="B8513" t="s">
        <v>172</v>
      </c>
      <c r="C8513" t="s">
        <v>11814</v>
      </c>
      <c r="D8513" t="s">
        <v>18021</v>
      </c>
      <c r="E8513" t="s">
        <v>25472</v>
      </c>
      <c r="F8513" t="s">
        <v>30900</v>
      </c>
      <c r="G8513" t="s">
        <v>30907</v>
      </c>
      <c r="H8513" t="s">
        <v>30916</v>
      </c>
      <c r="I8513" t="s">
        <v>4108</v>
      </c>
      <c r="J8513" t="s">
        <v>31152</v>
      </c>
      <c r="K8513" t="s">
        <v>40280</v>
      </c>
      <c r="M8513" t="s">
        <v>42609</v>
      </c>
      <c r="N8513" t="s">
        <v>44759</v>
      </c>
      <c r="O8513" t="s">
        <v>44760</v>
      </c>
      <c r="P8513">
        <v>0</v>
      </c>
      <c r="Q8513">
        <v>13</v>
      </c>
      <c r="R8513" t="s">
        <v>44768</v>
      </c>
      <c r="S8513" t="s">
        <v>44982</v>
      </c>
      <c r="T8513" t="s">
        <v>46808</v>
      </c>
      <c r="U8513" t="s">
        <v>51389</v>
      </c>
      <c r="W8513" t="s">
        <v>42609</v>
      </c>
      <c r="X8513" t="s">
        <v>44769</v>
      </c>
    </row>
    <row r="8514" spans="1:24">
      <c r="A8514">
        <f>HYPERLINK("https://www.philgeps.gov.ph/GEPSNONPILOT/Tender/SplashBidNoticeAbstractUI.aspx?menuIndex=3&amp;refID=7140337&amp;Result=3","7140337")</f>
        <v>0</v>
      </c>
      <c r="B8514" t="s">
        <v>1232</v>
      </c>
      <c r="C8514" t="s">
        <v>11815</v>
      </c>
      <c r="D8514" t="s">
        <v>17969</v>
      </c>
      <c r="E8514" t="s">
        <v>25473</v>
      </c>
      <c r="F8514" t="s">
        <v>30900</v>
      </c>
      <c r="G8514" t="s">
        <v>30910</v>
      </c>
      <c r="H8514" t="s">
        <v>30916</v>
      </c>
      <c r="I8514" t="s">
        <v>4050</v>
      </c>
      <c r="J8514" t="s">
        <v>31066</v>
      </c>
      <c r="K8514" t="s">
        <v>40286</v>
      </c>
      <c r="M8514" t="s">
        <v>41844</v>
      </c>
      <c r="N8514" t="s">
        <v>44759</v>
      </c>
      <c r="O8514" t="s">
        <v>44760</v>
      </c>
      <c r="P8514">
        <v>0</v>
      </c>
      <c r="Q8514">
        <v>2</v>
      </c>
      <c r="R8514" t="s">
        <v>44768</v>
      </c>
      <c r="S8514" t="s">
        <v>44982</v>
      </c>
      <c r="T8514" t="s">
        <v>46581</v>
      </c>
      <c r="U8514" t="s">
        <v>54018</v>
      </c>
      <c r="W8514" t="s">
        <v>41844</v>
      </c>
      <c r="X8514" t="s">
        <v>44769</v>
      </c>
    </row>
    <row r="8515" spans="1:24">
      <c r="A8515">
        <f>HYPERLINK("https://www.philgeps.gov.ph/GEPSNONPILOT/Tender/SplashBidNoticeAbstractUI.aspx?menuIndex=3&amp;refID=7140333&amp;Result=3","7140333")</f>
        <v>0</v>
      </c>
      <c r="B8515" t="s">
        <v>1355</v>
      </c>
      <c r="C8515" t="s">
        <v>11816</v>
      </c>
      <c r="D8515" t="s">
        <v>18003</v>
      </c>
      <c r="E8515" t="s">
        <v>25474</v>
      </c>
      <c r="F8515" t="s">
        <v>30900</v>
      </c>
      <c r="G8515" t="s">
        <v>30907</v>
      </c>
      <c r="H8515" t="s">
        <v>30916</v>
      </c>
      <c r="I8515" t="s">
        <v>8123</v>
      </c>
      <c r="J8515" t="s">
        <v>36400</v>
      </c>
      <c r="K8515" t="s">
        <v>40289</v>
      </c>
      <c r="M8515" t="s">
        <v>41977</v>
      </c>
      <c r="N8515" t="s">
        <v>44759</v>
      </c>
      <c r="O8515" t="s">
        <v>44760</v>
      </c>
      <c r="P8515">
        <v>0</v>
      </c>
      <c r="Q8515">
        <v>0</v>
      </c>
      <c r="R8515" t="s">
        <v>44768</v>
      </c>
      <c r="S8515" t="s">
        <v>44982</v>
      </c>
      <c r="T8515" t="s">
        <v>46581</v>
      </c>
      <c r="U8515" t="s">
        <v>54019</v>
      </c>
      <c r="W8515" t="s">
        <v>41977</v>
      </c>
      <c r="X8515" t="s">
        <v>44769</v>
      </c>
    </row>
    <row r="8516" spans="1:24">
      <c r="A8516">
        <f>HYPERLINK("https://www.philgeps.gov.ph/GEPSNONPILOT/Tender/SplashBidNoticeAbstractUI.aspx?menuIndex=3&amp;refID=7140330&amp;Result=3","7140330")</f>
        <v>0</v>
      </c>
      <c r="B8516" t="s">
        <v>965</v>
      </c>
      <c r="C8516" t="s">
        <v>11817</v>
      </c>
      <c r="D8516" t="s">
        <v>18010</v>
      </c>
      <c r="E8516" t="s">
        <v>24668</v>
      </c>
      <c r="F8516" t="s">
        <v>30900</v>
      </c>
      <c r="G8516" t="s">
        <v>30908</v>
      </c>
      <c r="H8516" t="s">
        <v>30916</v>
      </c>
      <c r="I8516" t="s">
        <v>6953</v>
      </c>
      <c r="J8516" t="s">
        <v>36401</v>
      </c>
      <c r="K8516" t="s">
        <v>40283</v>
      </c>
      <c r="M8516" t="s">
        <v>41552</v>
      </c>
      <c r="N8516" t="s">
        <v>44759</v>
      </c>
      <c r="O8516" t="s">
        <v>44760</v>
      </c>
      <c r="P8516">
        <v>0</v>
      </c>
      <c r="Q8516">
        <v>4</v>
      </c>
      <c r="R8516" t="s">
        <v>44768</v>
      </c>
      <c r="S8516" t="s">
        <v>44982</v>
      </c>
      <c r="T8516" t="s">
        <v>46581</v>
      </c>
      <c r="U8516" t="s">
        <v>54020</v>
      </c>
      <c r="V8516" t="s">
        <v>59800</v>
      </c>
      <c r="W8516" t="s">
        <v>41552</v>
      </c>
      <c r="X8516" t="s">
        <v>44769</v>
      </c>
    </row>
    <row r="8517" spans="1:24">
      <c r="A8517">
        <f>HYPERLINK("https://www.philgeps.gov.ph/GEPSNONPILOT/Tender/SplashBidNoticeAbstractUI.aspx?menuIndex=3&amp;refID=7140326&amp;Result=3","7140326")</f>
        <v>0</v>
      </c>
      <c r="B8517" t="s">
        <v>620</v>
      </c>
      <c r="C8517" t="s">
        <v>11818</v>
      </c>
      <c r="D8517" t="s">
        <v>17980</v>
      </c>
      <c r="E8517" t="s">
        <v>25475</v>
      </c>
      <c r="F8517" t="s">
        <v>30899</v>
      </c>
      <c r="G8517" t="s">
        <v>30908</v>
      </c>
      <c r="H8517" t="s">
        <v>30916</v>
      </c>
      <c r="I8517" t="s">
        <v>30934</v>
      </c>
      <c r="J8517" t="s">
        <v>36402</v>
      </c>
      <c r="K8517" t="s">
        <v>40286</v>
      </c>
      <c r="M8517" t="s">
        <v>41182</v>
      </c>
      <c r="N8517" t="s">
        <v>44759</v>
      </c>
      <c r="O8517" t="s">
        <v>44760</v>
      </c>
      <c r="P8517">
        <v>0</v>
      </c>
      <c r="Q8517">
        <v>0</v>
      </c>
      <c r="R8517" t="s">
        <v>44768</v>
      </c>
      <c r="S8517" t="s">
        <v>44982</v>
      </c>
      <c r="T8517" t="s">
        <v>46548</v>
      </c>
      <c r="U8517" t="s">
        <v>54021</v>
      </c>
      <c r="W8517" t="s">
        <v>41182</v>
      </c>
      <c r="X8517" t="s">
        <v>44769</v>
      </c>
    </row>
    <row r="8518" spans="1:24">
      <c r="A8518">
        <f>HYPERLINK("https://www.philgeps.gov.ph/GEPSNONPILOT/Tender/SplashBidNoticeAbstractUI.aspx?menuIndex=3&amp;refID=7140096&amp;Result=3","7140096")</f>
        <v>0</v>
      </c>
      <c r="B8518" t="s">
        <v>2776</v>
      </c>
      <c r="C8518" t="s">
        <v>11819</v>
      </c>
      <c r="D8518" t="s">
        <v>17964</v>
      </c>
      <c r="E8518" t="s">
        <v>25476</v>
      </c>
      <c r="F8518" t="s">
        <v>30900</v>
      </c>
      <c r="G8518" t="s">
        <v>30907</v>
      </c>
      <c r="H8518" t="s">
        <v>30915</v>
      </c>
      <c r="I8518" t="s">
        <v>30932</v>
      </c>
      <c r="J8518" t="s">
        <v>36403</v>
      </c>
      <c r="K8518" t="s">
        <v>40284</v>
      </c>
      <c r="M8518" t="s">
        <v>43558</v>
      </c>
      <c r="N8518" t="s">
        <v>44759</v>
      </c>
      <c r="O8518" t="s">
        <v>44760</v>
      </c>
      <c r="P8518">
        <v>0</v>
      </c>
      <c r="Q8518">
        <v>1</v>
      </c>
      <c r="R8518" t="s">
        <v>44768</v>
      </c>
      <c r="S8518" t="s">
        <v>44982</v>
      </c>
      <c r="T8518" t="s">
        <v>46472</v>
      </c>
      <c r="U8518" t="s">
        <v>54022</v>
      </c>
      <c r="W8518" t="s">
        <v>43558</v>
      </c>
      <c r="X8518" t="s">
        <v>44769</v>
      </c>
    </row>
    <row r="8519" spans="1:24">
      <c r="A8519">
        <f>HYPERLINK("https://www.philgeps.gov.ph/GEPSNONPILOT/Tender/SplashBidNoticeAbstractUI.aspx?menuIndex=3&amp;refID=7140324&amp;Result=3","7140324")</f>
        <v>0</v>
      </c>
      <c r="B8519" t="s">
        <v>218</v>
      </c>
      <c r="C8519" t="s">
        <v>11820</v>
      </c>
      <c r="D8519" t="s">
        <v>17985</v>
      </c>
      <c r="E8519" t="s">
        <v>25477</v>
      </c>
      <c r="F8519" t="s">
        <v>30900</v>
      </c>
      <c r="G8519" t="s">
        <v>30907</v>
      </c>
      <c r="H8519" t="s">
        <v>30916</v>
      </c>
      <c r="I8519" t="s">
        <v>30919</v>
      </c>
      <c r="J8519" t="s">
        <v>36404</v>
      </c>
      <c r="K8519" t="s">
        <v>40284</v>
      </c>
      <c r="M8519" t="s">
        <v>40765</v>
      </c>
      <c r="N8519" t="s">
        <v>44759</v>
      </c>
      <c r="O8519" t="s">
        <v>44760</v>
      </c>
      <c r="P8519">
        <v>0</v>
      </c>
      <c r="Q8519">
        <v>2</v>
      </c>
      <c r="R8519" t="s">
        <v>44768</v>
      </c>
      <c r="S8519" t="s">
        <v>44982</v>
      </c>
      <c r="T8519" t="s">
        <v>46547</v>
      </c>
      <c r="U8519" t="s">
        <v>54023</v>
      </c>
      <c r="V8519" t="s">
        <v>60032</v>
      </c>
      <c r="W8519" t="s">
        <v>40765</v>
      </c>
      <c r="X8519" t="s">
        <v>44769</v>
      </c>
    </row>
    <row r="8520" spans="1:24">
      <c r="A8520">
        <f>HYPERLINK("https://www.philgeps.gov.ph/GEPSNONPILOT/Tender/SplashBidNoticeAbstractUI.aspx?menuIndex=3&amp;refID=7140323&amp;Result=3","7140323")</f>
        <v>0</v>
      </c>
      <c r="B8520" t="s">
        <v>2777</v>
      </c>
      <c r="C8520" t="s">
        <v>11821</v>
      </c>
      <c r="D8520" t="s">
        <v>17993</v>
      </c>
      <c r="E8520" t="s">
        <v>25478</v>
      </c>
      <c r="F8520" t="s">
        <v>30900</v>
      </c>
      <c r="G8520" t="s">
        <v>30908</v>
      </c>
      <c r="H8520" t="s">
        <v>30916</v>
      </c>
      <c r="I8520" t="s">
        <v>8123</v>
      </c>
      <c r="J8520" t="s">
        <v>36405</v>
      </c>
      <c r="K8520" t="s">
        <v>40289</v>
      </c>
      <c r="M8520" t="s">
        <v>43559</v>
      </c>
      <c r="N8520" t="s">
        <v>44759</v>
      </c>
      <c r="O8520" t="s">
        <v>44760</v>
      </c>
      <c r="P8520">
        <v>0</v>
      </c>
      <c r="Q8520">
        <v>1</v>
      </c>
      <c r="R8520" t="s">
        <v>44768</v>
      </c>
      <c r="S8520" t="s">
        <v>44982</v>
      </c>
      <c r="T8520" t="s">
        <v>46693</v>
      </c>
      <c r="U8520" t="s">
        <v>54024</v>
      </c>
      <c r="W8520" t="s">
        <v>43559</v>
      </c>
      <c r="X8520" t="s">
        <v>44769</v>
      </c>
    </row>
    <row r="8521" spans="1:24">
      <c r="A8521">
        <f>HYPERLINK("https://www.philgeps.gov.ph/GEPSNONPILOT/Tender/SplashBidNoticeAbstractUI.aspx?menuIndex=3&amp;refID=7140320&amp;Result=3","7140320")</f>
        <v>0</v>
      </c>
      <c r="B8521" t="s">
        <v>176</v>
      </c>
      <c r="C8521" t="s">
        <v>11822</v>
      </c>
      <c r="D8521" t="s">
        <v>18012</v>
      </c>
      <c r="E8521" t="s">
        <v>25479</v>
      </c>
      <c r="F8521" t="s">
        <v>30900</v>
      </c>
      <c r="G8521" t="s">
        <v>30907</v>
      </c>
      <c r="H8521" t="s">
        <v>7411</v>
      </c>
      <c r="I8521" t="s">
        <v>7411</v>
      </c>
      <c r="J8521" t="s">
        <v>31412</v>
      </c>
      <c r="K8521" t="s">
        <v>40289</v>
      </c>
      <c r="M8521" t="s">
        <v>40723</v>
      </c>
      <c r="N8521" t="s">
        <v>44759</v>
      </c>
      <c r="O8521" t="s">
        <v>44760</v>
      </c>
      <c r="P8521">
        <v>0</v>
      </c>
      <c r="Q8521">
        <v>4</v>
      </c>
      <c r="R8521" t="s">
        <v>44768</v>
      </c>
      <c r="S8521" t="s">
        <v>44982</v>
      </c>
      <c r="T8521" t="s">
        <v>46408</v>
      </c>
      <c r="U8521" t="s">
        <v>54025</v>
      </c>
      <c r="W8521" t="s">
        <v>40723</v>
      </c>
      <c r="X8521" t="s">
        <v>44769</v>
      </c>
    </row>
    <row r="8522" spans="1:24">
      <c r="A8522">
        <f>HYPERLINK("https://www.philgeps.gov.ph/GEPSNONPILOT/Tender/SplashBidNoticeAbstractUI.aspx?menuIndex=3&amp;refID=7140342&amp;Result=3","7140342")</f>
        <v>0</v>
      </c>
      <c r="B8522" t="s">
        <v>1415</v>
      </c>
      <c r="C8522" t="s">
        <v>11823</v>
      </c>
      <c r="D8522" t="s">
        <v>17995</v>
      </c>
      <c r="E8522" t="s">
        <v>25480</v>
      </c>
      <c r="F8522" t="s">
        <v>30900</v>
      </c>
      <c r="G8522" t="s">
        <v>30907</v>
      </c>
      <c r="H8522" t="s">
        <v>30916</v>
      </c>
      <c r="I8522" t="s">
        <v>8123</v>
      </c>
      <c r="J8522" t="s">
        <v>36406</v>
      </c>
      <c r="K8522" t="s">
        <v>40286</v>
      </c>
      <c r="M8522" t="s">
        <v>42044</v>
      </c>
      <c r="N8522" t="s">
        <v>44759</v>
      </c>
      <c r="O8522" t="s">
        <v>44760</v>
      </c>
      <c r="P8522">
        <v>0</v>
      </c>
      <c r="Q8522">
        <v>0</v>
      </c>
      <c r="R8522" t="s">
        <v>44768</v>
      </c>
      <c r="S8522" t="s">
        <v>44982</v>
      </c>
      <c r="T8522" t="s">
        <v>46531</v>
      </c>
      <c r="U8522" t="s">
        <v>54026</v>
      </c>
      <c r="W8522" t="s">
        <v>42044</v>
      </c>
      <c r="X8522" t="s">
        <v>44769</v>
      </c>
    </row>
    <row r="8523" spans="1:24">
      <c r="A8523">
        <f>HYPERLINK("https://www.philgeps.gov.ph/GEPSNONPILOT/Tender/SplashBidNoticeAbstractUI.aspx?menuIndex=3&amp;refID=7140314&amp;Result=3","7140314")</f>
        <v>0</v>
      </c>
      <c r="B8523" t="s">
        <v>539</v>
      </c>
      <c r="C8523" t="s">
        <v>11824</v>
      </c>
      <c r="D8523" t="s">
        <v>17984</v>
      </c>
      <c r="E8523" t="s">
        <v>25481</v>
      </c>
      <c r="F8523" t="s">
        <v>30900</v>
      </c>
      <c r="G8523" t="s">
        <v>30907</v>
      </c>
      <c r="H8523" t="s">
        <v>30915</v>
      </c>
      <c r="I8523" t="s">
        <v>30919</v>
      </c>
      <c r="J8523" t="s">
        <v>31105</v>
      </c>
      <c r="K8523" t="s">
        <v>40283</v>
      </c>
      <c r="M8523" t="s">
        <v>41099</v>
      </c>
      <c r="N8523" t="s">
        <v>44759</v>
      </c>
      <c r="O8523" t="s">
        <v>44760</v>
      </c>
      <c r="P8523">
        <v>0</v>
      </c>
      <c r="Q8523">
        <v>0</v>
      </c>
      <c r="R8523" t="s">
        <v>44768</v>
      </c>
      <c r="S8523" t="s">
        <v>44982</v>
      </c>
      <c r="T8523" t="s">
        <v>46411</v>
      </c>
      <c r="U8523" t="s">
        <v>47846</v>
      </c>
      <c r="W8523" t="s">
        <v>41099</v>
      </c>
      <c r="X8523" t="s">
        <v>44769</v>
      </c>
    </row>
    <row r="8524" spans="1:24">
      <c r="A8524">
        <f>HYPERLINK("https://www.philgeps.gov.ph/GEPSNONPILOT/Tender/SplashBidNoticeAbstractUI.aspx?menuIndex=3&amp;refID=7140327&amp;Result=3","7140327")</f>
        <v>0</v>
      </c>
      <c r="B8524" t="s">
        <v>1960</v>
      </c>
      <c r="C8524" t="s">
        <v>11825</v>
      </c>
      <c r="E8524" t="s">
        <v>25482</v>
      </c>
      <c r="F8524" t="s">
        <v>30900</v>
      </c>
      <c r="G8524" t="s">
        <v>30907</v>
      </c>
      <c r="H8524" t="s">
        <v>30915</v>
      </c>
      <c r="I8524" t="s">
        <v>30919</v>
      </c>
      <c r="J8524" t="s">
        <v>36407</v>
      </c>
      <c r="K8524" t="s">
        <v>40371</v>
      </c>
      <c r="N8524" t="s">
        <v>44759</v>
      </c>
      <c r="O8524" t="s">
        <v>44760</v>
      </c>
      <c r="P8524">
        <v>0</v>
      </c>
      <c r="Q8524">
        <v>1</v>
      </c>
      <c r="R8524" t="s">
        <v>44768</v>
      </c>
      <c r="S8524" t="s">
        <v>44982</v>
      </c>
      <c r="T8524" t="s">
        <v>46515</v>
      </c>
      <c r="U8524" t="s">
        <v>54027</v>
      </c>
      <c r="W8524" t="s">
        <v>42644</v>
      </c>
      <c r="X8524" t="s">
        <v>44769</v>
      </c>
    </row>
    <row r="8525" spans="1:24">
      <c r="A8525">
        <f>HYPERLINK("https://www.philgeps.gov.ph/GEPSNONPILOT/Tender/SplashBidNoticeAbstractUI.aspx?menuIndex=3&amp;refID=7140304&amp;Result=3","7140304")</f>
        <v>0</v>
      </c>
      <c r="B8525" t="s">
        <v>56</v>
      </c>
      <c r="C8525" t="s">
        <v>11826</v>
      </c>
      <c r="D8525" t="s">
        <v>17952</v>
      </c>
      <c r="E8525" t="s">
        <v>25483</v>
      </c>
      <c r="F8525" t="s">
        <v>30900</v>
      </c>
      <c r="G8525" t="s">
        <v>30907</v>
      </c>
      <c r="H8525" t="s">
        <v>30916</v>
      </c>
      <c r="I8525" t="s">
        <v>6953</v>
      </c>
      <c r="J8525" t="s">
        <v>36408</v>
      </c>
      <c r="K8525" t="s">
        <v>40294</v>
      </c>
      <c r="M8525" t="s">
        <v>43553</v>
      </c>
      <c r="N8525" t="s">
        <v>44759</v>
      </c>
      <c r="O8525" t="s">
        <v>44760</v>
      </c>
      <c r="Q8525">
        <v>0</v>
      </c>
      <c r="R8525" t="s">
        <v>44768</v>
      </c>
      <c r="S8525" t="s">
        <v>45006</v>
      </c>
      <c r="T8525" t="s">
        <v>46418</v>
      </c>
      <c r="U8525" t="s">
        <v>54028</v>
      </c>
      <c r="V8525" t="s">
        <v>59226</v>
      </c>
      <c r="W8525" t="s">
        <v>43553</v>
      </c>
      <c r="X8525" t="s">
        <v>44769</v>
      </c>
    </row>
    <row r="8526" spans="1:24">
      <c r="A8526">
        <f>HYPERLINK("https://www.philgeps.gov.ph/GEPSNONPILOT/Tender/SplashBidNoticeAbstractUI.aspx?menuIndex=3&amp;refID=7140312&amp;Result=3","7140312")</f>
        <v>0</v>
      </c>
      <c r="B8526" t="s">
        <v>2773</v>
      </c>
      <c r="C8526" t="s">
        <v>11827</v>
      </c>
      <c r="D8526" t="s">
        <v>17969</v>
      </c>
      <c r="E8526" t="s">
        <v>25484</v>
      </c>
      <c r="F8526" t="s">
        <v>30900</v>
      </c>
      <c r="G8526" t="s">
        <v>30910</v>
      </c>
      <c r="H8526" t="s">
        <v>30916</v>
      </c>
      <c r="I8526" t="s">
        <v>4545</v>
      </c>
      <c r="J8526" t="s">
        <v>31288</v>
      </c>
      <c r="K8526" t="s">
        <v>40287</v>
      </c>
      <c r="M8526" t="s">
        <v>43554</v>
      </c>
      <c r="N8526" t="s">
        <v>44759</v>
      </c>
      <c r="O8526" t="s">
        <v>44760</v>
      </c>
      <c r="P8526">
        <v>0</v>
      </c>
      <c r="Q8526">
        <v>1</v>
      </c>
      <c r="R8526" t="s">
        <v>44768</v>
      </c>
      <c r="S8526" t="s">
        <v>44982</v>
      </c>
      <c r="T8526" t="s">
        <v>46662</v>
      </c>
      <c r="U8526" t="s">
        <v>54029</v>
      </c>
      <c r="W8526" t="s">
        <v>43554</v>
      </c>
      <c r="X8526" t="s">
        <v>44769</v>
      </c>
    </row>
    <row r="8527" spans="1:24">
      <c r="A8527">
        <f>HYPERLINK("https://www.philgeps.gov.ph/GEPSNONPILOT/Tender/SplashBidNoticeAbstractUI.aspx?menuIndex=3&amp;refID=7139988&amp;Result=3","7139988")</f>
        <v>0</v>
      </c>
      <c r="B8527" t="s">
        <v>2762</v>
      </c>
      <c r="C8527" t="s">
        <v>11828</v>
      </c>
      <c r="D8527" t="s">
        <v>17979</v>
      </c>
      <c r="E8527" t="s">
        <v>25485</v>
      </c>
      <c r="F8527" t="s">
        <v>30900</v>
      </c>
      <c r="G8527" t="s">
        <v>30907</v>
      </c>
      <c r="H8527" t="s">
        <v>30916</v>
      </c>
      <c r="I8527" t="s">
        <v>6834</v>
      </c>
      <c r="J8527" t="s">
        <v>31101</v>
      </c>
      <c r="K8527" t="s">
        <v>40286</v>
      </c>
      <c r="M8527" t="s">
        <v>43540</v>
      </c>
      <c r="N8527" t="s">
        <v>44759</v>
      </c>
      <c r="O8527" t="s">
        <v>44760</v>
      </c>
      <c r="P8527">
        <v>0</v>
      </c>
      <c r="Q8527">
        <v>0</v>
      </c>
      <c r="R8527" t="s">
        <v>44768</v>
      </c>
      <c r="S8527" t="s">
        <v>44982</v>
      </c>
      <c r="T8527" t="s">
        <v>46548</v>
      </c>
      <c r="U8527" t="s">
        <v>50643</v>
      </c>
      <c r="W8527" t="s">
        <v>43540</v>
      </c>
      <c r="X8527" t="s">
        <v>44769</v>
      </c>
    </row>
    <row r="8528" spans="1:24">
      <c r="A8528">
        <f>HYPERLINK("https://www.philgeps.gov.ph/GEPSNONPILOT/Tender/SplashBidNoticeAbstractUI.aspx?menuIndex=3&amp;refID=7140291&amp;Result=3","7140291")</f>
        <v>0</v>
      </c>
      <c r="B8528" t="s">
        <v>539</v>
      </c>
      <c r="C8528" t="s">
        <v>11829</v>
      </c>
      <c r="D8528" t="s">
        <v>17984</v>
      </c>
      <c r="E8528" t="s">
        <v>25486</v>
      </c>
      <c r="F8528" t="s">
        <v>30900</v>
      </c>
      <c r="G8528" t="s">
        <v>30907</v>
      </c>
      <c r="H8528" t="s">
        <v>30915</v>
      </c>
      <c r="I8528" t="s">
        <v>30919</v>
      </c>
      <c r="J8528" t="s">
        <v>36409</v>
      </c>
      <c r="K8528" t="s">
        <v>40283</v>
      </c>
      <c r="M8528" t="s">
        <v>41099</v>
      </c>
      <c r="N8528" t="s">
        <v>44759</v>
      </c>
      <c r="O8528" t="s">
        <v>44760</v>
      </c>
      <c r="P8528">
        <v>0</v>
      </c>
      <c r="Q8528">
        <v>0</v>
      </c>
      <c r="R8528" t="s">
        <v>44768</v>
      </c>
      <c r="S8528" t="s">
        <v>44982</v>
      </c>
      <c r="T8528" t="s">
        <v>46472</v>
      </c>
      <c r="U8528" t="s">
        <v>54030</v>
      </c>
      <c r="W8528" t="s">
        <v>41099</v>
      </c>
      <c r="X8528" t="s">
        <v>44769</v>
      </c>
    </row>
    <row r="8529" spans="1:24">
      <c r="A8529">
        <f>HYPERLINK("https://www.philgeps.gov.ph/GEPSNONPILOT/Tender/SplashBidNoticeAbstractUI.aspx?menuIndex=3&amp;refID=7140292&amp;Result=3","7140292")</f>
        <v>0</v>
      </c>
      <c r="B8529" t="s">
        <v>1232</v>
      </c>
      <c r="C8529" t="s">
        <v>11830</v>
      </c>
      <c r="D8529" t="s">
        <v>17969</v>
      </c>
      <c r="E8529" t="s">
        <v>25487</v>
      </c>
      <c r="F8529" t="s">
        <v>30900</v>
      </c>
      <c r="G8529" t="s">
        <v>30907</v>
      </c>
      <c r="H8529" t="s">
        <v>30916</v>
      </c>
      <c r="I8529" t="s">
        <v>4050</v>
      </c>
      <c r="J8529" t="s">
        <v>36410</v>
      </c>
      <c r="K8529" t="s">
        <v>40293</v>
      </c>
      <c r="M8529" t="s">
        <v>43544</v>
      </c>
      <c r="N8529" t="s">
        <v>44759</v>
      </c>
      <c r="O8529" t="s">
        <v>44760</v>
      </c>
      <c r="P8529">
        <v>0</v>
      </c>
      <c r="Q8529">
        <v>2</v>
      </c>
      <c r="R8529" t="s">
        <v>44768</v>
      </c>
      <c r="S8529" t="s">
        <v>44982</v>
      </c>
      <c r="T8529" t="s">
        <v>46613</v>
      </c>
      <c r="U8529" t="s">
        <v>53984</v>
      </c>
      <c r="W8529" t="s">
        <v>60902</v>
      </c>
      <c r="X8529" t="s">
        <v>44769</v>
      </c>
    </row>
    <row r="8530" spans="1:24">
      <c r="A8530">
        <f>HYPERLINK("https://www.philgeps.gov.ph/GEPSNONPILOT/Tender/SplashBidNoticeAbstractUI.aspx?menuIndex=3&amp;refID=7140301&amp;Result=3","7140301")</f>
        <v>0</v>
      </c>
      <c r="B8530" t="s">
        <v>1188</v>
      </c>
      <c r="C8530" t="s">
        <v>11831</v>
      </c>
      <c r="D8530" t="s">
        <v>18019</v>
      </c>
      <c r="E8530" t="s">
        <v>25488</v>
      </c>
      <c r="F8530" t="s">
        <v>30900</v>
      </c>
      <c r="G8530" t="s">
        <v>30908</v>
      </c>
      <c r="H8530" t="s">
        <v>30916</v>
      </c>
      <c r="I8530" t="s">
        <v>30922</v>
      </c>
      <c r="J8530" t="s">
        <v>36411</v>
      </c>
      <c r="K8530" t="s">
        <v>40286</v>
      </c>
      <c r="M8530" t="s">
        <v>41797</v>
      </c>
      <c r="N8530" t="s">
        <v>44759</v>
      </c>
      <c r="O8530" t="s">
        <v>44760</v>
      </c>
      <c r="P8530">
        <v>0</v>
      </c>
      <c r="Q8530">
        <v>2</v>
      </c>
      <c r="R8530" t="s">
        <v>44768</v>
      </c>
      <c r="S8530" t="s">
        <v>44982</v>
      </c>
      <c r="T8530" t="s">
        <v>46699</v>
      </c>
      <c r="U8530" t="s">
        <v>54031</v>
      </c>
      <c r="W8530" t="s">
        <v>41797</v>
      </c>
      <c r="X8530" t="s">
        <v>44769</v>
      </c>
    </row>
    <row r="8531" spans="1:24">
      <c r="A8531">
        <f>HYPERLINK("https://www.philgeps.gov.ph/GEPSNONPILOT/Tender/SplashBidNoticeAbstractUI.aspx?menuIndex=3&amp;refID=7140206&amp;Result=3","7140206")</f>
        <v>0</v>
      </c>
      <c r="B8531" t="s">
        <v>705</v>
      </c>
      <c r="C8531" t="s">
        <v>11832</v>
      </c>
      <c r="D8531" t="s">
        <v>17961</v>
      </c>
      <c r="E8531" t="s">
        <v>25489</v>
      </c>
      <c r="F8531" t="s">
        <v>30900</v>
      </c>
      <c r="G8531" t="s">
        <v>30907</v>
      </c>
      <c r="H8531" t="s">
        <v>30915</v>
      </c>
      <c r="I8531" t="s">
        <v>30919</v>
      </c>
      <c r="J8531" t="s">
        <v>34915</v>
      </c>
      <c r="K8531" t="s">
        <v>40301</v>
      </c>
      <c r="M8531" t="s">
        <v>41269</v>
      </c>
      <c r="N8531" t="s">
        <v>44759</v>
      </c>
      <c r="O8531" t="s">
        <v>44760</v>
      </c>
      <c r="P8531">
        <v>0</v>
      </c>
      <c r="Q8531">
        <v>0</v>
      </c>
      <c r="R8531" t="s">
        <v>44768</v>
      </c>
      <c r="S8531" t="s">
        <v>44982</v>
      </c>
      <c r="T8531" t="s">
        <v>46411</v>
      </c>
      <c r="U8531" t="s">
        <v>54000</v>
      </c>
      <c r="W8531" t="s">
        <v>41269</v>
      </c>
      <c r="X8531" t="s">
        <v>44769</v>
      </c>
    </row>
    <row r="8532" spans="1:24">
      <c r="A8532">
        <f>HYPERLINK("https://www.philgeps.gov.ph/GEPSNONPILOT/Tender/SplashBidNoticeAbstractUI.aspx?menuIndex=3&amp;refID=7140321&amp;Result=3","7140321")</f>
        <v>0</v>
      </c>
      <c r="B8532" t="s">
        <v>2669</v>
      </c>
      <c r="C8532" t="s">
        <v>11833</v>
      </c>
      <c r="D8532" t="s">
        <v>17971</v>
      </c>
      <c r="E8532" t="s">
        <v>25490</v>
      </c>
      <c r="F8532" t="s">
        <v>30900</v>
      </c>
      <c r="G8532" t="s">
        <v>30907</v>
      </c>
      <c r="H8532" t="s">
        <v>30915</v>
      </c>
      <c r="I8532" t="s">
        <v>30919</v>
      </c>
      <c r="J8532" t="s">
        <v>36412</v>
      </c>
      <c r="K8532" t="s">
        <v>40342</v>
      </c>
      <c r="L8532" t="s">
        <v>2669</v>
      </c>
      <c r="M8532" t="s">
        <v>43439</v>
      </c>
      <c r="N8532" t="s">
        <v>44759</v>
      </c>
      <c r="O8532" t="s">
        <v>44760</v>
      </c>
      <c r="P8532">
        <v>0</v>
      </c>
      <c r="Q8532">
        <v>25</v>
      </c>
      <c r="R8532" t="s">
        <v>44768</v>
      </c>
      <c r="S8532" t="s">
        <v>44982</v>
      </c>
      <c r="T8532" t="s">
        <v>46411</v>
      </c>
      <c r="U8532" t="s">
        <v>53677</v>
      </c>
      <c r="V8532" t="s">
        <v>60033</v>
      </c>
      <c r="W8532" t="s">
        <v>43439</v>
      </c>
      <c r="X8532" t="s">
        <v>44769</v>
      </c>
    </row>
    <row r="8533" spans="1:24">
      <c r="A8533">
        <f>HYPERLINK("https://www.philgeps.gov.ph/GEPSNONPILOT/Tender/SplashBidNoticeAbstractUI.aspx?menuIndex=3&amp;refID=7140190&amp;Result=3","7140190")</f>
        <v>0</v>
      </c>
      <c r="B8533" t="s">
        <v>2669</v>
      </c>
      <c r="C8533" t="s">
        <v>11834</v>
      </c>
      <c r="D8533" t="s">
        <v>17971</v>
      </c>
      <c r="E8533" t="s">
        <v>25491</v>
      </c>
      <c r="F8533" t="s">
        <v>30900</v>
      </c>
      <c r="G8533" t="s">
        <v>30907</v>
      </c>
      <c r="H8533" t="s">
        <v>30915</v>
      </c>
      <c r="I8533" t="s">
        <v>30919</v>
      </c>
      <c r="J8533" t="s">
        <v>36413</v>
      </c>
      <c r="K8533" t="s">
        <v>40304</v>
      </c>
      <c r="L8533" t="s">
        <v>2669</v>
      </c>
      <c r="M8533" t="s">
        <v>43439</v>
      </c>
      <c r="N8533" t="s">
        <v>44759</v>
      </c>
      <c r="O8533" t="s">
        <v>44760</v>
      </c>
      <c r="P8533">
        <v>0</v>
      </c>
      <c r="Q8533">
        <v>19</v>
      </c>
      <c r="R8533" t="s">
        <v>44768</v>
      </c>
      <c r="S8533" t="s">
        <v>44982</v>
      </c>
      <c r="T8533" t="s">
        <v>46411</v>
      </c>
      <c r="U8533" t="s">
        <v>53677</v>
      </c>
      <c r="V8533" t="s">
        <v>60034</v>
      </c>
      <c r="W8533" t="s">
        <v>43439</v>
      </c>
      <c r="X8533" t="s">
        <v>44769</v>
      </c>
    </row>
    <row r="8534" spans="1:24">
      <c r="A8534">
        <f>HYPERLINK("https://www.philgeps.gov.ph/GEPSNONPILOT/Tender/SplashBidNoticeAbstractUI.aspx?menuIndex=3&amp;refID=7140126&amp;Result=3","7140126")</f>
        <v>0</v>
      </c>
      <c r="B8534" t="s">
        <v>2676</v>
      </c>
      <c r="C8534" t="s">
        <v>11835</v>
      </c>
      <c r="D8534" t="s">
        <v>18022</v>
      </c>
      <c r="E8534" t="s">
        <v>25492</v>
      </c>
      <c r="F8534" t="s">
        <v>30900</v>
      </c>
      <c r="G8534" t="s">
        <v>30907</v>
      </c>
      <c r="H8534" t="s">
        <v>30916</v>
      </c>
      <c r="I8534" t="s">
        <v>5501</v>
      </c>
      <c r="J8534" t="s">
        <v>31527</v>
      </c>
      <c r="K8534" t="s">
        <v>40284</v>
      </c>
      <c r="M8534" t="s">
        <v>43447</v>
      </c>
      <c r="N8534" t="s">
        <v>44759</v>
      </c>
      <c r="O8534" t="s">
        <v>44760</v>
      </c>
      <c r="P8534">
        <v>0</v>
      </c>
      <c r="Q8534">
        <v>2</v>
      </c>
      <c r="R8534" t="s">
        <v>44768</v>
      </c>
      <c r="S8534" t="s">
        <v>44982</v>
      </c>
      <c r="T8534" t="s">
        <v>46533</v>
      </c>
      <c r="U8534" t="s">
        <v>54032</v>
      </c>
      <c r="W8534" t="s">
        <v>43447</v>
      </c>
      <c r="X8534" t="s">
        <v>44769</v>
      </c>
    </row>
    <row r="8535" spans="1:24">
      <c r="A8535">
        <f>HYPERLINK("https://www.philgeps.gov.ph/GEPSNONPILOT/Tender/SplashBidNoticeAbstractUI.aspx?menuIndex=3&amp;refID=7140117&amp;Result=3","7140117")</f>
        <v>0</v>
      </c>
      <c r="B8535" t="s">
        <v>2778</v>
      </c>
      <c r="C8535" t="s">
        <v>11836</v>
      </c>
      <c r="D8535" t="s">
        <v>18010</v>
      </c>
      <c r="E8535" t="s">
        <v>25493</v>
      </c>
      <c r="F8535" t="s">
        <v>30900</v>
      </c>
      <c r="G8535" t="s">
        <v>30907</v>
      </c>
      <c r="H8535" t="s">
        <v>30916</v>
      </c>
      <c r="I8535" t="s">
        <v>30927</v>
      </c>
      <c r="J8535" t="s">
        <v>36414</v>
      </c>
      <c r="K8535" t="s">
        <v>40287</v>
      </c>
      <c r="M8535" t="s">
        <v>43560</v>
      </c>
      <c r="N8535" t="s">
        <v>44759</v>
      </c>
      <c r="O8535" t="s">
        <v>44760</v>
      </c>
      <c r="P8535">
        <v>0</v>
      </c>
      <c r="Q8535">
        <v>1</v>
      </c>
      <c r="R8535" t="s">
        <v>44768</v>
      </c>
      <c r="S8535" t="s">
        <v>44982</v>
      </c>
      <c r="T8535" t="s">
        <v>46581</v>
      </c>
      <c r="U8535" t="s">
        <v>54033</v>
      </c>
      <c r="W8535" t="s">
        <v>43560</v>
      </c>
      <c r="X8535" t="s">
        <v>44769</v>
      </c>
    </row>
    <row r="8536" spans="1:24">
      <c r="A8536">
        <f>HYPERLINK("https://www.philgeps.gov.ph/GEPSNONPILOT/Tender/SplashBidNoticeAbstractUI.aspx?menuIndex=3&amp;refID=7140107&amp;Result=3","7140107")</f>
        <v>0</v>
      </c>
      <c r="B8536" t="s">
        <v>2462</v>
      </c>
      <c r="C8536" t="s">
        <v>11837</v>
      </c>
      <c r="D8536" t="s">
        <v>17964</v>
      </c>
      <c r="E8536" t="s">
        <v>25494</v>
      </c>
      <c r="F8536" t="s">
        <v>30900</v>
      </c>
      <c r="G8536" t="s">
        <v>30907</v>
      </c>
      <c r="H8536" t="s">
        <v>30916</v>
      </c>
      <c r="I8536" t="s">
        <v>4142</v>
      </c>
      <c r="J8536" t="s">
        <v>36415</v>
      </c>
      <c r="K8536" t="s">
        <v>40286</v>
      </c>
      <c r="M8536" t="s">
        <v>43199</v>
      </c>
      <c r="N8536" t="s">
        <v>44759</v>
      </c>
      <c r="O8536" t="s">
        <v>44760</v>
      </c>
      <c r="P8536">
        <v>0</v>
      </c>
      <c r="Q8536">
        <v>0</v>
      </c>
      <c r="R8536" t="s">
        <v>44768</v>
      </c>
      <c r="S8536" t="s">
        <v>44982</v>
      </c>
      <c r="T8536" t="s">
        <v>46495</v>
      </c>
      <c r="U8536" t="s">
        <v>54034</v>
      </c>
      <c r="W8536" t="s">
        <v>43199</v>
      </c>
      <c r="X8536" t="s">
        <v>44769</v>
      </c>
    </row>
    <row r="8537" spans="1:24">
      <c r="A8537">
        <f>HYPERLINK("https://www.philgeps.gov.ph/GEPSNONPILOT/Tender/SplashBidNoticeAbstractUI.aspx?menuIndex=3&amp;refID=7140215&amp;Result=3","7140215")</f>
        <v>0</v>
      </c>
      <c r="B8537" t="s">
        <v>218</v>
      </c>
      <c r="C8537" t="s">
        <v>11838</v>
      </c>
      <c r="D8537" t="s">
        <v>17985</v>
      </c>
      <c r="E8537" t="s">
        <v>25495</v>
      </c>
      <c r="F8537" t="s">
        <v>30900</v>
      </c>
      <c r="G8537" t="s">
        <v>30907</v>
      </c>
      <c r="H8537" t="s">
        <v>30916</v>
      </c>
      <c r="I8537" t="s">
        <v>30919</v>
      </c>
      <c r="J8537" t="s">
        <v>36416</v>
      </c>
      <c r="K8537" t="s">
        <v>40284</v>
      </c>
      <c r="M8537" t="s">
        <v>40765</v>
      </c>
      <c r="N8537" t="s">
        <v>44759</v>
      </c>
      <c r="O8537" t="s">
        <v>44760</v>
      </c>
      <c r="P8537">
        <v>0</v>
      </c>
      <c r="Q8537">
        <v>1</v>
      </c>
      <c r="R8537" t="s">
        <v>44768</v>
      </c>
      <c r="S8537" t="s">
        <v>44982</v>
      </c>
      <c r="T8537" t="s">
        <v>46457</v>
      </c>
      <c r="U8537" t="s">
        <v>54035</v>
      </c>
      <c r="V8537" t="s">
        <v>60035</v>
      </c>
      <c r="W8537" t="s">
        <v>40765</v>
      </c>
      <c r="X8537" t="s">
        <v>44769</v>
      </c>
    </row>
    <row r="8538" spans="1:24">
      <c r="A8538">
        <f>HYPERLINK("https://www.philgeps.gov.ph/GEPSNONPILOT/Tender/SplashBidNoticeAbstractUI.aspx?menuIndex=3&amp;refID=7140193&amp;Result=3","7140193")</f>
        <v>0</v>
      </c>
      <c r="B8538" t="s">
        <v>45</v>
      </c>
      <c r="C8538" t="s">
        <v>11839</v>
      </c>
      <c r="E8538" t="s">
        <v>25496</v>
      </c>
      <c r="F8538" t="s">
        <v>30900</v>
      </c>
      <c r="G8538" t="s">
        <v>30908</v>
      </c>
      <c r="H8538" t="s">
        <v>30915</v>
      </c>
      <c r="I8538" t="s">
        <v>30919</v>
      </c>
      <c r="J8538" t="s">
        <v>36417</v>
      </c>
      <c r="K8538" t="s">
        <v>40292</v>
      </c>
      <c r="M8538" t="s">
        <v>40591</v>
      </c>
      <c r="N8538" t="s">
        <v>44759</v>
      </c>
      <c r="O8538" t="s">
        <v>44760</v>
      </c>
      <c r="P8538">
        <v>0</v>
      </c>
      <c r="Q8538">
        <v>0</v>
      </c>
      <c r="R8538" t="s">
        <v>44768</v>
      </c>
      <c r="S8538" t="s">
        <v>44982</v>
      </c>
      <c r="T8538" t="s">
        <v>46658</v>
      </c>
      <c r="U8538" t="s">
        <v>54036</v>
      </c>
      <c r="W8538" t="s">
        <v>40591</v>
      </c>
      <c r="X8538" t="s">
        <v>44769</v>
      </c>
    </row>
    <row r="8539" spans="1:24">
      <c r="A8539">
        <f>HYPERLINK("https://www.philgeps.gov.ph/GEPSNONPILOT/Tender/SplashBidNoticeAbstractUI.aspx?menuIndex=3&amp;refID=7140369&amp;Result=3","7140369")</f>
        <v>0</v>
      </c>
      <c r="B8539" t="s">
        <v>1232</v>
      </c>
      <c r="C8539" t="s">
        <v>11840</v>
      </c>
      <c r="D8539" t="s">
        <v>17969</v>
      </c>
      <c r="E8539" t="s">
        <v>25497</v>
      </c>
      <c r="F8539" t="s">
        <v>30900</v>
      </c>
      <c r="G8539" t="s">
        <v>30910</v>
      </c>
      <c r="H8539" t="s">
        <v>30916</v>
      </c>
      <c r="I8539" t="s">
        <v>4050</v>
      </c>
      <c r="J8539" t="s">
        <v>31341</v>
      </c>
      <c r="K8539" t="s">
        <v>40286</v>
      </c>
      <c r="M8539" t="s">
        <v>41844</v>
      </c>
      <c r="N8539" t="s">
        <v>44759</v>
      </c>
      <c r="O8539" t="s">
        <v>44760</v>
      </c>
      <c r="P8539">
        <v>0</v>
      </c>
      <c r="Q8539">
        <v>1</v>
      </c>
      <c r="R8539" t="s">
        <v>44768</v>
      </c>
      <c r="S8539" t="s">
        <v>44982</v>
      </c>
      <c r="T8539" t="s">
        <v>46581</v>
      </c>
      <c r="U8539" t="s">
        <v>54037</v>
      </c>
      <c r="W8539" t="s">
        <v>41844</v>
      </c>
      <c r="X8539" t="s">
        <v>44769</v>
      </c>
    </row>
    <row r="8540" spans="1:24">
      <c r="A8540">
        <f>HYPERLINK("https://www.philgeps.gov.ph/GEPSNONPILOT/Tender/SplashBidNoticeAbstractUI.aspx?menuIndex=3&amp;refID=7140434&amp;Result=3","7140434")</f>
        <v>0</v>
      </c>
      <c r="B8540" t="s">
        <v>2779</v>
      </c>
      <c r="C8540" t="s">
        <v>11841</v>
      </c>
      <c r="E8540" t="s">
        <v>18066</v>
      </c>
      <c r="F8540" t="s">
        <v>30900</v>
      </c>
      <c r="G8540" t="s">
        <v>30907</v>
      </c>
      <c r="H8540" t="s">
        <v>30916</v>
      </c>
      <c r="I8540" t="s">
        <v>8123</v>
      </c>
      <c r="J8540" t="s">
        <v>36418</v>
      </c>
      <c r="K8540" t="s">
        <v>40283</v>
      </c>
      <c r="M8540" t="s">
        <v>43561</v>
      </c>
      <c r="N8540" t="s">
        <v>44759</v>
      </c>
      <c r="O8540" t="s">
        <v>44760</v>
      </c>
      <c r="P8540">
        <v>0</v>
      </c>
      <c r="Q8540">
        <v>0</v>
      </c>
      <c r="R8540" t="s">
        <v>44768</v>
      </c>
      <c r="S8540" t="s">
        <v>44982</v>
      </c>
      <c r="T8540" t="s">
        <v>46450</v>
      </c>
      <c r="U8540" t="s">
        <v>54038</v>
      </c>
      <c r="W8540" t="s">
        <v>43561</v>
      </c>
      <c r="X8540" t="s">
        <v>44769</v>
      </c>
    </row>
    <row r="8541" spans="1:24">
      <c r="A8541">
        <f>HYPERLINK("https://www.philgeps.gov.ph/GEPSNONPILOT/Tender/SplashBidNoticeAbstractUI.aspx?menuIndex=3&amp;refID=7140111&amp;Result=3","7140111")</f>
        <v>0</v>
      </c>
      <c r="B8541" t="s">
        <v>705</v>
      </c>
      <c r="C8541" t="s">
        <v>11842</v>
      </c>
      <c r="D8541" t="s">
        <v>17961</v>
      </c>
      <c r="E8541" t="s">
        <v>25498</v>
      </c>
      <c r="F8541" t="s">
        <v>30900</v>
      </c>
      <c r="G8541" t="s">
        <v>30907</v>
      </c>
      <c r="H8541" t="s">
        <v>30915</v>
      </c>
      <c r="I8541" t="s">
        <v>30919</v>
      </c>
      <c r="J8541" t="s">
        <v>36419</v>
      </c>
      <c r="K8541" t="s">
        <v>40375</v>
      </c>
      <c r="M8541" t="s">
        <v>41269</v>
      </c>
      <c r="N8541" t="s">
        <v>44759</v>
      </c>
      <c r="O8541" t="s">
        <v>44760</v>
      </c>
      <c r="P8541">
        <v>0</v>
      </c>
      <c r="Q8541">
        <v>0</v>
      </c>
      <c r="R8541" t="s">
        <v>44768</v>
      </c>
      <c r="S8541" t="s">
        <v>44982</v>
      </c>
      <c r="T8541" t="s">
        <v>46411</v>
      </c>
      <c r="U8541" t="s">
        <v>54000</v>
      </c>
      <c r="W8541" t="s">
        <v>41269</v>
      </c>
      <c r="X8541" t="s">
        <v>44769</v>
      </c>
    </row>
    <row r="8542" spans="1:24">
      <c r="A8542">
        <f>HYPERLINK("https://www.philgeps.gov.ph/GEPSNONPILOT/Tender/SplashBidNoticeAbstractUI.aspx?menuIndex=3&amp;refID=7140222&amp;Result=3","7140222")</f>
        <v>0</v>
      </c>
      <c r="B8542" t="s">
        <v>1232</v>
      </c>
      <c r="C8542" t="s">
        <v>11843</v>
      </c>
      <c r="D8542" t="s">
        <v>17969</v>
      </c>
      <c r="E8542" t="s">
        <v>25499</v>
      </c>
      <c r="F8542" t="s">
        <v>30900</v>
      </c>
      <c r="G8542" t="s">
        <v>30907</v>
      </c>
      <c r="H8542" t="s">
        <v>30916</v>
      </c>
      <c r="I8542" t="s">
        <v>4050</v>
      </c>
      <c r="J8542" t="s">
        <v>31243</v>
      </c>
      <c r="K8542" t="s">
        <v>40280</v>
      </c>
      <c r="M8542" t="s">
        <v>43544</v>
      </c>
      <c r="N8542" t="s">
        <v>44759</v>
      </c>
      <c r="O8542" t="s">
        <v>44760</v>
      </c>
      <c r="P8542">
        <v>0</v>
      </c>
      <c r="Q8542">
        <v>1</v>
      </c>
      <c r="R8542" t="s">
        <v>44768</v>
      </c>
      <c r="S8542" t="s">
        <v>44982</v>
      </c>
      <c r="T8542" t="s">
        <v>46613</v>
      </c>
      <c r="U8542" t="s">
        <v>53984</v>
      </c>
      <c r="W8542" t="s">
        <v>60902</v>
      </c>
      <c r="X8542" t="s">
        <v>44769</v>
      </c>
    </row>
    <row r="8543" spans="1:24">
      <c r="A8543">
        <f>HYPERLINK("https://www.philgeps.gov.ph/GEPSNONPILOT/Tender/SplashBidNoticeAbstractUI.aspx?menuIndex=3&amp;refID=7140248&amp;Result=3","7140248")</f>
        <v>0</v>
      </c>
      <c r="B8543" t="s">
        <v>1415</v>
      </c>
      <c r="C8543" t="s">
        <v>11844</v>
      </c>
      <c r="D8543" t="s">
        <v>17995</v>
      </c>
      <c r="E8543" t="s">
        <v>25500</v>
      </c>
      <c r="F8543" t="s">
        <v>30900</v>
      </c>
      <c r="G8543" t="s">
        <v>30907</v>
      </c>
      <c r="H8543" t="s">
        <v>30916</v>
      </c>
      <c r="I8543" t="s">
        <v>8123</v>
      </c>
      <c r="J8543" t="s">
        <v>36420</v>
      </c>
      <c r="K8543" t="s">
        <v>40283</v>
      </c>
      <c r="M8543" t="s">
        <v>42044</v>
      </c>
      <c r="N8543" t="s">
        <v>44759</v>
      </c>
      <c r="O8543" t="s">
        <v>44760</v>
      </c>
      <c r="P8543">
        <v>0</v>
      </c>
      <c r="Q8543">
        <v>0</v>
      </c>
      <c r="R8543" t="s">
        <v>44768</v>
      </c>
      <c r="S8543" t="s">
        <v>44982</v>
      </c>
      <c r="T8543" t="s">
        <v>46531</v>
      </c>
      <c r="U8543" t="s">
        <v>54039</v>
      </c>
      <c r="W8543" t="s">
        <v>42044</v>
      </c>
      <c r="X8543" t="s">
        <v>44769</v>
      </c>
    </row>
    <row r="8544" spans="1:24">
      <c r="A8544">
        <f>HYPERLINK("https://www.philgeps.gov.ph/GEPSNONPILOT/Tender/SplashBidNoticeAbstractUI.aspx?menuIndex=3&amp;refID=7140427&amp;Result=3","7140427")</f>
        <v>0</v>
      </c>
      <c r="B8544" t="s">
        <v>908</v>
      </c>
      <c r="C8544" t="s">
        <v>11845</v>
      </c>
      <c r="D8544" t="s">
        <v>17952</v>
      </c>
      <c r="E8544" t="s">
        <v>25501</v>
      </c>
      <c r="F8544" t="s">
        <v>30900</v>
      </c>
      <c r="G8544" t="s">
        <v>30907</v>
      </c>
      <c r="H8544" t="s">
        <v>30916</v>
      </c>
      <c r="I8544" t="s">
        <v>8123</v>
      </c>
      <c r="J8544" t="s">
        <v>36421</v>
      </c>
      <c r="K8544" t="s">
        <v>40286</v>
      </c>
      <c r="M8544" t="s">
        <v>43562</v>
      </c>
      <c r="N8544" t="s">
        <v>44759</v>
      </c>
      <c r="O8544" t="s">
        <v>44760</v>
      </c>
      <c r="P8544">
        <v>0</v>
      </c>
      <c r="Q8544">
        <v>1</v>
      </c>
      <c r="R8544" t="s">
        <v>44768</v>
      </c>
      <c r="S8544" t="s">
        <v>44982</v>
      </c>
      <c r="T8544" t="s">
        <v>46376</v>
      </c>
      <c r="U8544" t="s">
        <v>54040</v>
      </c>
      <c r="W8544" t="s">
        <v>41483</v>
      </c>
      <c r="X8544" t="s">
        <v>44769</v>
      </c>
    </row>
    <row r="8545" spans="1:24">
      <c r="A8545">
        <f>HYPERLINK("https://www.philgeps.gov.ph/GEPSNONPILOT/Tender/SplashBidNoticeAbstractUI.aspx?menuIndex=3&amp;refID=7140106&amp;Result=3","7140106")</f>
        <v>0</v>
      </c>
      <c r="B8545" t="s">
        <v>1604</v>
      </c>
      <c r="C8545" t="s">
        <v>11846</v>
      </c>
      <c r="D8545" t="s">
        <v>18025</v>
      </c>
      <c r="E8545" t="s">
        <v>25502</v>
      </c>
      <c r="F8545" t="s">
        <v>30900</v>
      </c>
      <c r="G8545" t="s">
        <v>30909</v>
      </c>
      <c r="H8545" t="s">
        <v>30916</v>
      </c>
      <c r="I8545" t="s">
        <v>31021</v>
      </c>
      <c r="J8545" t="s">
        <v>36422</v>
      </c>
      <c r="K8545" t="s">
        <v>40287</v>
      </c>
      <c r="M8545" t="s">
        <v>42254</v>
      </c>
      <c r="N8545" t="s">
        <v>44759</v>
      </c>
      <c r="O8545" t="s">
        <v>44760</v>
      </c>
      <c r="P8545">
        <v>0</v>
      </c>
      <c r="Q8545">
        <v>0</v>
      </c>
      <c r="R8545" t="s">
        <v>44768</v>
      </c>
      <c r="S8545" t="s">
        <v>44982</v>
      </c>
      <c r="T8545" t="s">
        <v>46363</v>
      </c>
      <c r="U8545" t="s">
        <v>54041</v>
      </c>
      <c r="W8545" t="s">
        <v>42254</v>
      </c>
      <c r="X8545" t="s">
        <v>44769</v>
      </c>
    </row>
    <row r="8546" spans="1:24">
      <c r="A8546">
        <f>HYPERLINK("https://www.philgeps.gov.ph/GEPSNONPILOT/Tender/SplashBidNoticeAbstractUI.aspx?menuIndex=3&amp;refID=7140423&amp;Result=3","7140423")</f>
        <v>0</v>
      </c>
      <c r="B8546" t="s">
        <v>2780</v>
      </c>
      <c r="C8546" t="s">
        <v>11847</v>
      </c>
      <c r="D8546" t="s">
        <v>17952</v>
      </c>
      <c r="E8546" t="s">
        <v>25503</v>
      </c>
      <c r="F8546" t="s">
        <v>30900</v>
      </c>
      <c r="G8546" t="s">
        <v>30907</v>
      </c>
      <c r="H8546" t="s">
        <v>30916</v>
      </c>
      <c r="I8546" t="s">
        <v>8123</v>
      </c>
      <c r="J8546" t="s">
        <v>36423</v>
      </c>
      <c r="K8546" t="s">
        <v>40287</v>
      </c>
      <c r="M8546" t="s">
        <v>43563</v>
      </c>
      <c r="N8546" t="s">
        <v>44759</v>
      </c>
      <c r="O8546" t="s">
        <v>44760</v>
      </c>
      <c r="P8546">
        <v>0</v>
      </c>
      <c r="Q8546">
        <v>0</v>
      </c>
      <c r="R8546" t="s">
        <v>44768</v>
      </c>
      <c r="S8546" t="s">
        <v>44982</v>
      </c>
      <c r="T8546" t="s">
        <v>46730</v>
      </c>
      <c r="U8546" t="s">
        <v>54042</v>
      </c>
      <c r="V8546" t="s">
        <v>60036</v>
      </c>
      <c r="W8546" t="s">
        <v>43563</v>
      </c>
      <c r="X8546" t="s">
        <v>44769</v>
      </c>
    </row>
    <row r="8547" spans="1:24">
      <c r="A8547">
        <f>HYPERLINK("https://www.philgeps.gov.ph/GEPSNONPILOT/Tender/SplashBidNoticeAbstractUI.aspx?menuIndex=3&amp;refID=7140416&amp;Result=3","7140416")</f>
        <v>0</v>
      </c>
      <c r="B8547" t="s">
        <v>496</v>
      </c>
      <c r="C8547" t="s">
        <v>11848</v>
      </c>
      <c r="D8547" t="s">
        <v>18019</v>
      </c>
      <c r="E8547" t="s">
        <v>25504</v>
      </c>
      <c r="F8547" t="s">
        <v>30900</v>
      </c>
      <c r="G8547" t="s">
        <v>30908</v>
      </c>
      <c r="H8547" t="s">
        <v>30916</v>
      </c>
      <c r="I8547" t="s">
        <v>30928</v>
      </c>
      <c r="J8547" t="s">
        <v>36424</v>
      </c>
      <c r="K8547" t="s">
        <v>40283</v>
      </c>
      <c r="M8547" t="s">
        <v>41055</v>
      </c>
      <c r="N8547" t="s">
        <v>44759</v>
      </c>
      <c r="O8547" t="s">
        <v>44760</v>
      </c>
      <c r="P8547">
        <v>0</v>
      </c>
      <c r="Q8547">
        <v>4</v>
      </c>
      <c r="R8547" t="s">
        <v>44768</v>
      </c>
      <c r="S8547" t="s">
        <v>44982</v>
      </c>
      <c r="T8547" t="s">
        <v>46658</v>
      </c>
      <c r="U8547" t="s">
        <v>54043</v>
      </c>
      <c r="W8547" t="s">
        <v>41055</v>
      </c>
      <c r="X8547" t="s">
        <v>44769</v>
      </c>
    </row>
    <row r="8548" spans="1:24">
      <c r="A8548">
        <f>HYPERLINK("https://www.philgeps.gov.ph/GEPSNONPILOT/Tender/SplashBidNoticeAbstractUI.aspx?menuIndex=3&amp;refID=7140410&amp;Result=3","7140410")</f>
        <v>0</v>
      </c>
      <c r="B8548" t="s">
        <v>2781</v>
      </c>
      <c r="C8548" t="s">
        <v>11849</v>
      </c>
      <c r="D8548" t="s">
        <v>17951</v>
      </c>
      <c r="E8548" t="s">
        <v>25505</v>
      </c>
      <c r="F8548" t="s">
        <v>30900</v>
      </c>
      <c r="G8548" t="s">
        <v>30906</v>
      </c>
      <c r="H8548" t="s">
        <v>30915</v>
      </c>
      <c r="I8548" t="s">
        <v>8123</v>
      </c>
      <c r="J8548" t="s">
        <v>36425</v>
      </c>
      <c r="K8548" t="s">
        <v>40289</v>
      </c>
      <c r="M8548" t="s">
        <v>43564</v>
      </c>
      <c r="N8548" t="s">
        <v>44759</v>
      </c>
      <c r="O8548" t="s">
        <v>44760</v>
      </c>
      <c r="P8548">
        <v>0</v>
      </c>
      <c r="Q8548">
        <v>0</v>
      </c>
      <c r="R8548" t="s">
        <v>44768</v>
      </c>
      <c r="S8548" t="s">
        <v>44982</v>
      </c>
      <c r="T8548" t="s">
        <v>46403</v>
      </c>
      <c r="U8548" t="s">
        <v>54044</v>
      </c>
      <c r="W8548" t="s">
        <v>43564</v>
      </c>
      <c r="X8548" t="s">
        <v>44769</v>
      </c>
    </row>
    <row r="8549" spans="1:24">
      <c r="A8549">
        <f>HYPERLINK("https://www.philgeps.gov.ph/GEPSNONPILOT/Tender/SplashBidNoticeAbstractUI.aspx?menuIndex=3&amp;refID=7140225&amp;Result=3","7140225")</f>
        <v>0</v>
      </c>
      <c r="B8549" t="s">
        <v>56</v>
      </c>
      <c r="C8549" t="s">
        <v>11850</v>
      </c>
      <c r="D8549" t="s">
        <v>17952</v>
      </c>
      <c r="E8549" t="s">
        <v>25506</v>
      </c>
      <c r="F8549" t="s">
        <v>30900</v>
      </c>
      <c r="G8549" t="s">
        <v>30907</v>
      </c>
      <c r="H8549" t="s">
        <v>30916</v>
      </c>
      <c r="I8549" t="s">
        <v>6953</v>
      </c>
      <c r="J8549" t="s">
        <v>36426</v>
      </c>
      <c r="K8549" t="s">
        <v>40294</v>
      </c>
      <c r="M8549" t="s">
        <v>43553</v>
      </c>
      <c r="N8549" t="s">
        <v>44759</v>
      </c>
      <c r="O8549" t="s">
        <v>44760</v>
      </c>
      <c r="P8549">
        <v>0</v>
      </c>
      <c r="Q8549">
        <v>1</v>
      </c>
      <c r="R8549" t="s">
        <v>44768</v>
      </c>
      <c r="S8549" t="s">
        <v>44982</v>
      </c>
      <c r="T8549" t="s">
        <v>46399</v>
      </c>
      <c r="U8549" t="s">
        <v>54045</v>
      </c>
      <c r="V8549" t="s">
        <v>59226</v>
      </c>
      <c r="W8549" t="s">
        <v>43553</v>
      </c>
      <c r="X8549" t="s">
        <v>44769</v>
      </c>
    </row>
    <row r="8550" spans="1:24">
      <c r="A8550">
        <f>HYPERLINK("https://www.philgeps.gov.ph/GEPSNONPILOT/Tender/SplashBidNoticeAbstractUI.aspx?menuIndex=3&amp;refID=7140401&amp;Result=3","7140401")</f>
        <v>0</v>
      </c>
      <c r="B8550" t="s">
        <v>875</v>
      </c>
      <c r="C8550" t="s">
        <v>11851</v>
      </c>
      <c r="D8550" t="s">
        <v>17985</v>
      </c>
      <c r="E8550" t="s">
        <v>25507</v>
      </c>
      <c r="F8550" t="s">
        <v>30900</v>
      </c>
      <c r="G8550" t="s">
        <v>30907</v>
      </c>
      <c r="H8550" t="s">
        <v>30916</v>
      </c>
      <c r="I8550" t="s">
        <v>30950</v>
      </c>
      <c r="J8550" t="s">
        <v>31152</v>
      </c>
      <c r="K8550" t="s">
        <v>40284</v>
      </c>
      <c r="M8550" t="s">
        <v>41448</v>
      </c>
      <c r="N8550" t="s">
        <v>44759</v>
      </c>
      <c r="O8550" t="s">
        <v>44760</v>
      </c>
      <c r="P8550">
        <v>0</v>
      </c>
      <c r="Q8550">
        <v>4</v>
      </c>
      <c r="R8550" t="s">
        <v>44768</v>
      </c>
      <c r="S8550" t="s">
        <v>44982</v>
      </c>
      <c r="T8550" t="s">
        <v>46549</v>
      </c>
      <c r="U8550" t="s">
        <v>54046</v>
      </c>
      <c r="W8550" t="s">
        <v>41448</v>
      </c>
      <c r="X8550" t="s">
        <v>44769</v>
      </c>
    </row>
    <row r="8551" spans="1:24">
      <c r="A8551">
        <f>HYPERLINK("https://www.philgeps.gov.ph/GEPSNONPILOT/Tender/SplashBidNoticeAbstractUI.aspx?menuIndex=3&amp;refID=7140420&amp;Result=3","7140420")</f>
        <v>0</v>
      </c>
      <c r="B8551" t="s">
        <v>1346</v>
      </c>
      <c r="C8551" t="s">
        <v>11852</v>
      </c>
      <c r="D8551" t="s">
        <v>17965</v>
      </c>
      <c r="E8551" t="s">
        <v>25508</v>
      </c>
      <c r="F8551" t="s">
        <v>30900</v>
      </c>
      <c r="G8551" t="s">
        <v>30907</v>
      </c>
      <c r="H8551" t="s">
        <v>30915</v>
      </c>
      <c r="I8551" t="s">
        <v>30919</v>
      </c>
      <c r="J8551" t="s">
        <v>32523</v>
      </c>
      <c r="K8551" t="s">
        <v>40388</v>
      </c>
      <c r="M8551" t="s">
        <v>41968</v>
      </c>
      <c r="N8551" t="s">
        <v>44759</v>
      </c>
      <c r="O8551" t="s">
        <v>44760</v>
      </c>
      <c r="P8551">
        <v>0</v>
      </c>
      <c r="Q8551">
        <v>0</v>
      </c>
      <c r="R8551" t="s">
        <v>44768</v>
      </c>
      <c r="S8551" t="s">
        <v>44982</v>
      </c>
      <c r="T8551" t="s">
        <v>46515</v>
      </c>
      <c r="U8551" t="s">
        <v>54047</v>
      </c>
      <c r="V8551" t="s">
        <v>59777</v>
      </c>
      <c r="W8551" t="s">
        <v>41968</v>
      </c>
      <c r="X8551" t="s">
        <v>44769</v>
      </c>
    </row>
    <row r="8552" spans="1:24">
      <c r="A8552">
        <f>HYPERLINK("https://www.philgeps.gov.ph/GEPSNONPILOT/Tender/SplashBidNoticeAbstractUI.aspx?menuIndex=3&amp;refID=7140407&amp;Result=3","7140407")</f>
        <v>0</v>
      </c>
      <c r="B8552" t="s">
        <v>243</v>
      </c>
      <c r="C8552" t="s">
        <v>11853</v>
      </c>
      <c r="E8552" t="s">
        <v>25509</v>
      </c>
      <c r="F8552" t="s">
        <v>30900</v>
      </c>
      <c r="G8552" t="s">
        <v>30906</v>
      </c>
      <c r="H8552" t="s">
        <v>30916</v>
      </c>
      <c r="I8552" t="s">
        <v>30933</v>
      </c>
      <c r="J8552" t="s">
        <v>35591</v>
      </c>
      <c r="K8552" t="s">
        <v>40293</v>
      </c>
      <c r="M8552" t="s">
        <v>40790</v>
      </c>
      <c r="N8552" t="s">
        <v>44759</v>
      </c>
      <c r="O8552" t="s">
        <v>44760</v>
      </c>
      <c r="P8552">
        <v>0</v>
      </c>
      <c r="Q8552">
        <v>1</v>
      </c>
      <c r="R8552" t="s">
        <v>44768</v>
      </c>
      <c r="S8552" t="s">
        <v>44982</v>
      </c>
      <c r="T8552" t="s">
        <v>46454</v>
      </c>
      <c r="U8552" t="s">
        <v>54048</v>
      </c>
      <c r="V8552" t="s">
        <v>60037</v>
      </c>
      <c r="W8552" t="s">
        <v>42208</v>
      </c>
      <c r="X8552" t="s">
        <v>44769</v>
      </c>
    </row>
    <row r="8553" spans="1:24">
      <c r="A8553">
        <f>HYPERLINK("https://www.philgeps.gov.ph/GEPSNONPILOT/Tender/SplashBidNoticeAbstractUI.aspx?menuIndex=3&amp;refID=7140394&amp;Result=3","7140394")</f>
        <v>0</v>
      </c>
      <c r="B8553" t="s">
        <v>218</v>
      </c>
      <c r="C8553" t="s">
        <v>11854</v>
      </c>
      <c r="D8553" t="s">
        <v>17985</v>
      </c>
      <c r="E8553" t="s">
        <v>25510</v>
      </c>
      <c r="F8553" t="s">
        <v>30900</v>
      </c>
      <c r="G8553" t="s">
        <v>30907</v>
      </c>
      <c r="H8553" t="s">
        <v>30916</v>
      </c>
      <c r="I8553" t="s">
        <v>30919</v>
      </c>
      <c r="J8553" t="s">
        <v>36427</v>
      </c>
      <c r="K8553" t="s">
        <v>40284</v>
      </c>
      <c r="M8553" t="s">
        <v>40765</v>
      </c>
      <c r="N8553" t="s">
        <v>44759</v>
      </c>
      <c r="O8553" t="s">
        <v>44760</v>
      </c>
      <c r="P8553">
        <v>0</v>
      </c>
      <c r="Q8553">
        <v>0</v>
      </c>
      <c r="R8553" t="s">
        <v>44768</v>
      </c>
      <c r="S8553" t="s">
        <v>44982</v>
      </c>
      <c r="T8553" t="s">
        <v>46399</v>
      </c>
      <c r="U8553" t="s">
        <v>54049</v>
      </c>
      <c r="V8553" t="s">
        <v>60038</v>
      </c>
      <c r="W8553" t="s">
        <v>40765</v>
      </c>
      <c r="X8553" t="s">
        <v>44769</v>
      </c>
    </row>
    <row r="8554" spans="1:24">
      <c r="A8554">
        <f>HYPERLINK("https://www.philgeps.gov.ph/GEPSNONPILOT/Tender/SplashBidNoticeAbstractUI.aspx?menuIndex=3&amp;refID=7140392&amp;Result=3","7140392")</f>
        <v>0</v>
      </c>
      <c r="B8554" t="s">
        <v>73</v>
      </c>
      <c r="C8554" t="s">
        <v>11855</v>
      </c>
      <c r="D8554" t="s">
        <v>17983</v>
      </c>
      <c r="E8554" t="s">
        <v>25511</v>
      </c>
      <c r="F8554" t="s">
        <v>30900</v>
      </c>
      <c r="G8554" t="s">
        <v>30907</v>
      </c>
      <c r="H8554" t="s">
        <v>30916</v>
      </c>
      <c r="I8554" t="s">
        <v>4545</v>
      </c>
      <c r="J8554" t="s">
        <v>31204</v>
      </c>
      <c r="K8554" t="s">
        <v>40286</v>
      </c>
      <c r="M8554" t="s">
        <v>40620</v>
      </c>
      <c r="N8554" t="s">
        <v>44759</v>
      </c>
      <c r="O8554" t="s">
        <v>44760</v>
      </c>
      <c r="P8554">
        <v>0</v>
      </c>
      <c r="Q8554">
        <v>0</v>
      </c>
      <c r="R8554" t="s">
        <v>44768</v>
      </c>
      <c r="S8554" t="s">
        <v>44982</v>
      </c>
      <c r="T8554" t="s">
        <v>46658</v>
      </c>
      <c r="U8554" t="s">
        <v>54050</v>
      </c>
      <c r="W8554" t="s">
        <v>40620</v>
      </c>
      <c r="X8554" t="s">
        <v>44769</v>
      </c>
    </row>
    <row r="8555" spans="1:24">
      <c r="A8555">
        <f>HYPERLINK("https://www.philgeps.gov.ph/GEPSNONPILOT/Tender/SplashBidNoticeAbstractUI.aspx?menuIndex=3&amp;refID=7140378&amp;Result=3","7140378")</f>
        <v>0</v>
      </c>
      <c r="B8555" t="s">
        <v>1401</v>
      </c>
      <c r="C8555" t="s">
        <v>11856</v>
      </c>
      <c r="D8555" t="s">
        <v>17982</v>
      </c>
      <c r="E8555" t="s">
        <v>25512</v>
      </c>
      <c r="F8555" t="s">
        <v>30900</v>
      </c>
      <c r="G8555" t="s">
        <v>30907</v>
      </c>
      <c r="H8555" t="s">
        <v>30916</v>
      </c>
      <c r="I8555" t="s">
        <v>7708</v>
      </c>
      <c r="J8555" t="s">
        <v>36428</v>
      </c>
      <c r="K8555" t="s">
        <v>40286</v>
      </c>
      <c r="M8555" t="s">
        <v>42027</v>
      </c>
      <c r="N8555" t="s">
        <v>44759</v>
      </c>
      <c r="O8555" t="s">
        <v>44760</v>
      </c>
      <c r="P8555">
        <v>0</v>
      </c>
      <c r="Q8555">
        <v>5</v>
      </c>
      <c r="R8555" t="s">
        <v>44768</v>
      </c>
      <c r="S8555" t="s">
        <v>44982</v>
      </c>
      <c r="T8555" t="s">
        <v>46411</v>
      </c>
      <c r="U8555" t="s">
        <v>54051</v>
      </c>
      <c r="V8555" t="s">
        <v>59786</v>
      </c>
      <c r="W8555" t="s">
        <v>42027</v>
      </c>
      <c r="X8555" t="s">
        <v>44769</v>
      </c>
    </row>
    <row r="8556" spans="1:24">
      <c r="A8556">
        <f>HYPERLINK("https://www.philgeps.gov.ph/GEPSNONPILOT/Tender/SplashBidNoticeAbstractUI.aspx?menuIndex=3&amp;refID=7140405&amp;Result=3","7140405")</f>
        <v>0</v>
      </c>
      <c r="B8556" t="s">
        <v>586</v>
      </c>
      <c r="C8556" t="s">
        <v>11857</v>
      </c>
      <c r="D8556" t="s">
        <v>17952</v>
      </c>
      <c r="E8556" t="s">
        <v>25513</v>
      </c>
      <c r="F8556" t="s">
        <v>30900</v>
      </c>
      <c r="G8556" t="s">
        <v>30907</v>
      </c>
      <c r="H8556" t="s">
        <v>30916</v>
      </c>
      <c r="I8556" t="s">
        <v>30952</v>
      </c>
      <c r="J8556" t="s">
        <v>36429</v>
      </c>
      <c r="K8556" t="s">
        <v>40286</v>
      </c>
      <c r="M8556" t="s">
        <v>43557</v>
      </c>
      <c r="N8556" t="s">
        <v>44759</v>
      </c>
      <c r="O8556" t="s">
        <v>44760</v>
      </c>
      <c r="P8556">
        <v>0</v>
      </c>
      <c r="Q8556">
        <v>10</v>
      </c>
      <c r="R8556" t="s">
        <v>44768</v>
      </c>
      <c r="S8556" t="s">
        <v>44982</v>
      </c>
      <c r="T8556" t="s">
        <v>46689</v>
      </c>
      <c r="U8556" t="s">
        <v>54052</v>
      </c>
      <c r="V8556" t="s">
        <v>60039</v>
      </c>
      <c r="W8556" t="s">
        <v>43557</v>
      </c>
      <c r="X8556" t="s">
        <v>44769</v>
      </c>
    </row>
    <row r="8557" spans="1:24">
      <c r="A8557">
        <f>HYPERLINK("https://www.philgeps.gov.ph/GEPSNONPILOT/Tender/SplashBidNoticeAbstractUI.aspx?menuIndex=3&amp;refID=7140404&amp;Result=3","7140404")</f>
        <v>0</v>
      </c>
      <c r="B8557" t="s">
        <v>1350</v>
      </c>
      <c r="C8557" t="s">
        <v>11858</v>
      </c>
      <c r="D8557" t="s">
        <v>17996</v>
      </c>
      <c r="E8557" t="s">
        <v>25514</v>
      </c>
      <c r="F8557" t="s">
        <v>30900</v>
      </c>
      <c r="G8557" t="s">
        <v>30907</v>
      </c>
      <c r="H8557" t="s">
        <v>30915</v>
      </c>
      <c r="I8557" t="s">
        <v>4050</v>
      </c>
      <c r="J8557" t="s">
        <v>36430</v>
      </c>
      <c r="K8557" t="s">
        <v>40289</v>
      </c>
      <c r="M8557" t="s">
        <v>41972</v>
      </c>
      <c r="N8557" t="s">
        <v>44759</v>
      </c>
      <c r="O8557" t="s">
        <v>44760</v>
      </c>
      <c r="P8557">
        <v>0</v>
      </c>
      <c r="Q8557">
        <v>1</v>
      </c>
      <c r="R8557" t="s">
        <v>44768</v>
      </c>
      <c r="S8557" t="s">
        <v>44982</v>
      </c>
      <c r="T8557" t="s">
        <v>46533</v>
      </c>
      <c r="U8557" t="s">
        <v>54053</v>
      </c>
      <c r="W8557" t="s">
        <v>41972</v>
      </c>
      <c r="X8557" t="s">
        <v>44769</v>
      </c>
    </row>
    <row r="8558" spans="1:24">
      <c r="A8558">
        <f>HYPERLINK("https://www.philgeps.gov.ph/GEPSNONPILOT/Tender/SplashBidNoticeAbstractUI.aspx?menuIndex=3&amp;refID=7140268&amp;Result=3","7140268")</f>
        <v>0</v>
      </c>
      <c r="B8558" t="s">
        <v>2721</v>
      </c>
      <c r="C8558" t="s">
        <v>11859</v>
      </c>
      <c r="D8558" t="s">
        <v>18023</v>
      </c>
      <c r="E8558" t="s">
        <v>25515</v>
      </c>
      <c r="F8558" t="s">
        <v>30900</v>
      </c>
      <c r="G8558" t="s">
        <v>30908</v>
      </c>
      <c r="H8558" t="s">
        <v>30916</v>
      </c>
      <c r="I8558" t="s">
        <v>30933</v>
      </c>
      <c r="J8558" t="s">
        <v>31050</v>
      </c>
      <c r="K8558" t="s">
        <v>40287</v>
      </c>
      <c r="M8558" t="s">
        <v>43496</v>
      </c>
      <c r="N8558" t="s">
        <v>44759</v>
      </c>
      <c r="O8558" t="s">
        <v>44760</v>
      </c>
      <c r="P8558">
        <v>0</v>
      </c>
      <c r="Q8558">
        <v>0</v>
      </c>
      <c r="R8558" t="s">
        <v>44768</v>
      </c>
      <c r="S8558" t="s">
        <v>44982</v>
      </c>
      <c r="T8558" t="s">
        <v>46625</v>
      </c>
      <c r="U8558" t="s">
        <v>53829</v>
      </c>
      <c r="V8558" t="s">
        <v>60003</v>
      </c>
      <c r="W8558" t="s">
        <v>43496</v>
      </c>
      <c r="X8558" t="s">
        <v>44769</v>
      </c>
    </row>
    <row r="8559" spans="1:24">
      <c r="A8559">
        <f>HYPERLINK("https://www.philgeps.gov.ph/GEPSNONPILOT/Tender/SplashBidNoticeAbstractUI.aspx?menuIndex=3&amp;refID=7140387&amp;Result=3","7140387")</f>
        <v>0</v>
      </c>
      <c r="B8559" t="s">
        <v>1232</v>
      </c>
      <c r="C8559" t="s">
        <v>11860</v>
      </c>
      <c r="D8559" t="s">
        <v>17969</v>
      </c>
      <c r="E8559" t="s">
        <v>25516</v>
      </c>
      <c r="F8559" t="s">
        <v>30900</v>
      </c>
      <c r="G8559" t="s">
        <v>30907</v>
      </c>
      <c r="H8559" t="s">
        <v>30917</v>
      </c>
      <c r="I8559" t="s">
        <v>31029</v>
      </c>
      <c r="J8559" t="s">
        <v>36431</v>
      </c>
      <c r="K8559" t="s">
        <v>40286</v>
      </c>
      <c r="M8559" t="s">
        <v>43544</v>
      </c>
      <c r="N8559" t="s">
        <v>44759</v>
      </c>
      <c r="O8559" t="s">
        <v>44760</v>
      </c>
      <c r="P8559">
        <v>0</v>
      </c>
      <c r="Q8559">
        <v>4</v>
      </c>
      <c r="R8559" t="s">
        <v>44768</v>
      </c>
      <c r="S8559" t="s">
        <v>44982</v>
      </c>
      <c r="T8559" t="s">
        <v>46613</v>
      </c>
      <c r="U8559" t="s">
        <v>53984</v>
      </c>
      <c r="W8559" t="s">
        <v>60902</v>
      </c>
      <c r="X8559" t="s">
        <v>44769</v>
      </c>
    </row>
    <row r="8560" spans="1:24">
      <c r="A8560">
        <f>HYPERLINK("https://www.philgeps.gov.ph/GEPSNONPILOT/Tender/SplashBidNoticeAbstractUI.aspx?menuIndex=3&amp;refID=7140358&amp;Result=3","7140358")</f>
        <v>0</v>
      </c>
      <c r="B8560" t="s">
        <v>411</v>
      </c>
      <c r="C8560" t="s">
        <v>11861</v>
      </c>
      <c r="D8560" t="s">
        <v>17959</v>
      </c>
      <c r="E8560" t="s">
        <v>25517</v>
      </c>
      <c r="F8560" t="s">
        <v>30900</v>
      </c>
      <c r="G8560" t="s">
        <v>30908</v>
      </c>
      <c r="H8560" t="s">
        <v>30916</v>
      </c>
      <c r="I8560" t="s">
        <v>31031</v>
      </c>
      <c r="J8560" t="s">
        <v>36432</v>
      </c>
      <c r="K8560" t="s">
        <v>40287</v>
      </c>
      <c r="M8560" t="s">
        <v>40967</v>
      </c>
      <c r="N8560" t="s">
        <v>44759</v>
      </c>
      <c r="O8560" t="s">
        <v>44760</v>
      </c>
      <c r="Q8560">
        <v>6</v>
      </c>
      <c r="R8560" t="s">
        <v>44768</v>
      </c>
      <c r="S8560" t="s">
        <v>45007</v>
      </c>
      <c r="T8560" t="s">
        <v>46538</v>
      </c>
      <c r="U8560" t="s">
        <v>54054</v>
      </c>
      <c r="V8560" t="s">
        <v>60040</v>
      </c>
      <c r="W8560" t="s">
        <v>40967</v>
      </c>
      <c r="X8560" t="s">
        <v>44769</v>
      </c>
    </row>
    <row r="8561" spans="1:24">
      <c r="A8561">
        <f>HYPERLINK("https://www.philgeps.gov.ph/GEPSNONPILOT/Tender/SplashBidNoticeAbstractUI.aspx?menuIndex=3&amp;refID=7140356&amp;Result=3","7140356")</f>
        <v>0</v>
      </c>
      <c r="B8561" t="s">
        <v>2782</v>
      </c>
      <c r="C8561" t="s">
        <v>11862</v>
      </c>
      <c r="D8561" t="s">
        <v>17977</v>
      </c>
      <c r="E8561" t="s">
        <v>25518</v>
      </c>
      <c r="F8561" t="s">
        <v>30900</v>
      </c>
      <c r="G8561" t="s">
        <v>30907</v>
      </c>
      <c r="H8561" t="s">
        <v>30915</v>
      </c>
      <c r="I8561" t="s">
        <v>30919</v>
      </c>
      <c r="J8561" t="s">
        <v>31897</v>
      </c>
      <c r="K8561" t="s">
        <v>40312</v>
      </c>
      <c r="M8561" t="s">
        <v>43565</v>
      </c>
      <c r="N8561" t="s">
        <v>44759</v>
      </c>
      <c r="O8561" t="s">
        <v>44760</v>
      </c>
      <c r="P8561">
        <v>0</v>
      </c>
      <c r="Q8561">
        <v>1</v>
      </c>
      <c r="R8561" t="s">
        <v>44768</v>
      </c>
      <c r="S8561" t="s">
        <v>44982</v>
      </c>
      <c r="T8561" t="s">
        <v>46450</v>
      </c>
      <c r="U8561" t="s">
        <v>54055</v>
      </c>
      <c r="W8561" t="s">
        <v>43565</v>
      </c>
      <c r="X8561" t="s">
        <v>44769</v>
      </c>
    </row>
    <row r="8562" spans="1:24">
      <c r="A8562">
        <f>HYPERLINK("https://www.philgeps.gov.ph/GEPSNONPILOT/Tender/SplashBidNoticeAbstractUI.aspx?menuIndex=3&amp;refID=7140382&amp;Result=3","7140382")</f>
        <v>0</v>
      </c>
      <c r="B8562" t="s">
        <v>2783</v>
      </c>
      <c r="C8562" t="s">
        <v>11863</v>
      </c>
      <c r="D8562" t="s">
        <v>17961</v>
      </c>
      <c r="E8562" t="s">
        <v>19382</v>
      </c>
      <c r="F8562" t="s">
        <v>30900</v>
      </c>
      <c r="G8562" t="s">
        <v>30907</v>
      </c>
      <c r="H8562" t="s">
        <v>30915</v>
      </c>
      <c r="I8562" t="s">
        <v>30946</v>
      </c>
      <c r="J8562" t="s">
        <v>32049</v>
      </c>
      <c r="K8562" t="s">
        <v>40280</v>
      </c>
      <c r="M8562" t="s">
        <v>43566</v>
      </c>
      <c r="N8562" t="s">
        <v>44759</v>
      </c>
      <c r="O8562" t="s">
        <v>44760</v>
      </c>
      <c r="P8562">
        <v>0</v>
      </c>
      <c r="Q8562">
        <v>1</v>
      </c>
      <c r="R8562" t="s">
        <v>44768</v>
      </c>
      <c r="S8562" t="s">
        <v>44982</v>
      </c>
      <c r="T8562" t="s">
        <v>46357</v>
      </c>
      <c r="U8562" t="s">
        <v>54056</v>
      </c>
      <c r="W8562" t="s">
        <v>43566</v>
      </c>
      <c r="X8562" t="s">
        <v>44769</v>
      </c>
    </row>
    <row r="8563" spans="1:24">
      <c r="A8563">
        <f>HYPERLINK("https://www.philgeps.gov.ph/GEPSNONPILOT/Tender/SplashBidNoticeAbstractUI.aspx?menuIndex=3&amp;refID=7140059&amp;Result=3","7140059")</f>
        <v>0</v>
      </c>
      <c r="B8563" t="s">
        <v>2196</v>
      </c>
      <c r="C8563" t="s">
        <v>11864</v>
      </c>
      <c r="D8563" t="s">
        <v>17963</v>
      </c>
      <c r="E8563" t="s">
        <v>25519</v>
      </c>
      <c r="F8563" t="s">
        <v>30900</v>
      </c>
      <c r="G8563" t="s">
        <v>30907</v>
      </c>
      <c r="H8563" t="s">
        <v>30916</v>
      </c>
      <c r="I8563" t="s">
        <v>4017</v>
      </c>
      <c r="J8563" t="s">
        <v>31096</v>
      </c>
      <c r="K8563" t="s">
        <v>40287</v>
      </c>
      <c r="M8563" t="s">
        <v>42903</v>
      </c>
      <c r="N8563" t="s">
        <v>44759</v>
      </c>
      <c r="O8563" t="s">
        <v>44760</v>
      </c>
      <c r="P8563">
        <v>0</v>
      </c>
      <c r="Q8563">
        <v>1</v>
      </c>
      <c r="R8563" t="s">
        <v>44768</v>
      </c>
      <c r="S8563" t="s">
        <v>44982</v>
      </c>
      <c r="T8563" t="s">
        <v>46591</v>
      </c>
      <c r="U8563" t="s">
        <v>54057</v>
      </c>
      <c r="W8563" t="s">
        <v>42903</v>
      </c>
      <c r="X8563" t="s">
        <v>44769</v>
      </c>
    </row>
    <row r="8564" spans="1:24">
      <c r="A8564">
        <f>HYPERLINK("https://www.philgeps.gov.ph/GEPSNONPILOT/Tender/SplashBidNoticeAbstractUI.aspx?menuIndex=3&amp;refID=7140045&amp;Result=3","7140045")</f>
        <v>0</v>
      </c>
      <c r="B8564" t="s">
        <v>1191</v>
      </c>
      <c r="C8564" t="s">
        <v>11865</v>
      </c>
      <c r="D8564" t="s">
        <v>17980</v>
      </c>
      <c r="E8564" t="s">
        <v>25520</v>
      </c>
      <c r="F8564" t="s">
        <v>30900</v>
      </c>
      <c r="G8564" t="s">
        <v>30907</v>
      </c>
      <c r="H8564" t="s">
        <v>30916</v>
      </c>
      <c r="I8564" t="s">
        <v>30933</v>
      </c>
      <c r="J8564" t="s">
        <v>31066</v>
      </c>
      <c r="K8564" t="s">
        <v>40286</v>
      </c>
      <c r="M8564" t="s">
        <v>41801</v>
      </c>
      <c r="N8564" t="s">
        <v>44759</v>
      </c>
      <c r="O8564" t="s">
        <v>44760</v>
      </c>
      <c r="P8564">
        <v>0</v>
      </c>
      <c r="Q8564">
        <v>1</v>
      </c>
      <c r="R8564" t="s">
        <v>44768</v>
      </c>
      <c r="S8564" t="s">
        <v>44982</v>
      </c>
      <c r="T8564" t="s">
        <v>46606</v>
      </c>
      <c r="U8564" t="s">
        <v>54058</v>
      </c>
      <c r="W8564" t="s">
        <v>41801</v>
      </c>
      <c r="X8564" t="s">
        <v>44769</v>
      </c>
    </row>
    <row r="8565" spans="1:24">
      <c r="A8565">
        <f>HYPERLINK("https://www.philgeps.gov.ph/GEPSNONPILOT/Tender/SplashBidNoticeAbstractUI.aspx?menuIndex=3&amp;refID=7140044&amp;Result=3","7140044")</f>
        <v>0</v>
      </c>
      <c r="B8565" t="s">
        <v>1831</v>
      </c>
      <c r="C8565" t="s">
        <v>11866</v>
      </c>
      <c r="D8565" t="s">
        <v>18015</v>
      </c>
      <c r="E8565" t="s">
        <v>23186</v>
      </c>
      <c r="F8565" t="s">
        <v>30900</v>
      </c>
      <c r="G8565" t="s">
        <v>30907</v>
      </c>
      <c r="H8565" t="s">
        <v>30916</v>
      </c>
      <c r="I8565" t="s">
        <v>4108</v>
      </c>
      <c r="J8565" t="s">
        <v>36433</v>
      </c>
      <c r="K8565" t="s">
        <v>40289</v>
      </c>
      <c r="M8565" t="s">
        <v>42504</v>
      </c>
      <c r="N8565" t="s">
        <v>44759</v>
      </c>
      <c r="O8565" t="s">
        <v>44760</v>
      </c>
      <c r="P8565">
        <v>0</v>
      </c>
      <c r="Q8565">
        <v>0</v>
      </c>
      <c r="R8565" t="s">
        <v>44768</v>
      </c>
      <c r="S8565" t="s">
        <v>44982</v>
      </c>
      <c r="T8565" t="s">
        <v>46658</v>
      </c>
      <c r="U8565" t="s">
        <v>51116</v>
      </c>
      <c r="V8565" t="s">
        <v>59253</v>
      </c>
      <c r="W8565" t="s">
        <v>42504</v>
      </c>
      <c r="X8565" t="s">
        <v>44769</v>
      </c>
    </row>
    <row r="8566" spans="1:24">
      <c r="A8566">
        <f>HYPERLINK("https://www.philgeps.gov.ph/GEPSNONPILOT/Tender/SplashBidNoticeAbstractUI.aspx?menuIndex=3&amp;refID=7140022&amp;Result=3","7140022")</f>
        <v>0</v>
      </c>
      <c r="B8566" t="s">
        <v>2022</v>
      </c>
      <c r="C8566" t="s">
        <v>11867</v>
      </c>
      <c r="D8566" t="s">
        <v>17990</v>
      </c>
      <c r="E8566" t="s">
        <v>25521</v>
      </c>
      <c r="F8566" t="s">
        <v>30900</v>
      </c>
      <c r="G8566" t="s">
        <v>30907</v>
      </c>
      <c r="H8566" t="s">
        <v>30916</v>
      </c>
      <c r="I8566" t="s">
        <v>30933</v>
      </c>
      <c r="J8566" t="s">
        <v>34061</v>
      </c>
      <c r="K8566" t="s">
        <v>40280</v>
      </c>
      <c r="M8566" t="s">
        <v>43567</v>
      </c>
      <c r="N8566" t="s">
        <v>44759</v>
      </c>
      <c r="O8566" t="s">
        <v>44760</v>
      </c>
      <c r="P8566">
        <v>0</v>
      </c>
      <c r="Q8566">
        <v>10</v>
      </c>
      <c r="R8566" t="s">
        <v>44768</v>
      </c>
      <c r="S8566" t="s">
        <v>44982</v>
      </c>
      <c r="T8566" t="s">
        <v>46495</v>
      </c>
      <c r="U8566" t="s">
        <v>54059</v>
      </c>
      <c r="W8566" t="s">
        <v>43567</v>
      </c>
      <c r="X8566" t="s">
        <v>44769</v>
      </c>
    </row>
    <row r="8567" spans="1:24">
      <c r="A8567">
        <f>HYPERLINK("https://www.philgeps.gov.ph/GEPSNONPILOT/Tender/SplashBidNoticeAbstractUI.aspx?menuIndex=3&amp;refID=7139965&amp;Result=3","7139965")</f>
        <v>0</v>
      </c>
      <c r="B8567" t="s">
        <v>2470</v>
      </c>
      <c r="C8567" t="s">
        <v>11868</v>
      </c>
      <c r="D8567" t="s">
        <v>17976</v>
      </c>
      <c r="E8567" t="s">
        <v>25522</v>
      </c>
      <c r="F8567" t="s">
        <v>30900</v>
      </c>
      <c r="G8567" t="s">
        <v>30908</v>
      </c>
      <c r="H8567" t="s">
        <v>30916</v>
      </c>
      <c r="I8567" t="s">
        <v>11785</v>
      </c>
      <c r="J8567" t="s">
        <v>31811</v>
      </c>
      <c r="K8567" t="s">
        <v>40286</v>
      </c>
      <c r="M8567" t="s">
        <v>43208</v>
      </c>
      <c r="N8567" t="s">
        <v>44759</v>
      </c>
      <c r="O8567" t="s">
        <v>44760</v>
      </c>
      <c r="P8567">
        <v>0</v>
      </c>
      <c r="Q8567">
        <v>11</v>
      </c>
      <c r="R8567" t="s">
        <v>44768</v>
      </c>
      <c r="S8567" t="s">
        <v>44982</v>
      </c>
      <c r="T8567" t="s">
        <v>46704</v>
      </c>
      <c r="U8567" t="s">
        <v>54060</v>
      </c>
      <c r="W8567" t="s">
        <v>43208</v>
      </c>
      <c r="X8567" t="s">
        <v>44769</v>
      </c>
    </row>
    <row r="8568" spans="1:24">
      <c r="A8568">
        <f>HYPERLINK("https://www.philgeps.gov.ph/GEPSNONPILOT/Tender/SplashBidNoticeAbstractUI.aspx?menuIndex=3&amp;refID=7139963&amp;Result=3","7139963")</f>
        <v>0</v>
      </c>
      <c r="B8568" t="s">
        <v>2784</v>
      </c>
      <c r="C8568" t="s">
        <v>11869</v>
      </c>
      <c r="D8568" t="s">
        <v>18007</v>
      </c>
      <c r="E8568" t="s">
        <v>25523</v>
      </c>
      <c r="F8568" t="s">
        <v>30900</v>
      </c>
      <c r="G8568" t="s">
        <v>30907</v>
      </c>
      <c r="H8568" t="s">
        <v>30915</v>
      </c>
      <c r="I8568" t="s">
        <v>30922</v>
      </c>
      <c r="J8568" t="s">
        <v>31341</v>
      </c>
      <c r="K8568" t="s">
        <v>40367</v>
      </c>
      <c r="M8568" t="s">
        <v>43568</v>
      </c>
      <c r="N8568" t="s">
        <v>44759</v>
      </c>
      <c r="O8568" t="s">
        <v>44760</v>
      </c>
      <c r="P8568">
        <v>0</v>
      </c>
      <c r="Q8568">
        <v>0</v>
      </c>
      <c r="R8568" t="s">
        <v>44768</v>
      </c>
      <c r="S8568" t="s">
        <v>44982</v>
      </c>
      <c r="T8568" t="s">
        <v>46409</v>
      </c>
      <c r="U8568" t="s">
        <v>54061</v>
      </c>
      <c r="W8568" t="s">
        <v>43568</v>
      </c>
      <c r="X8568" t="s">
        <v>44769</v>
      </c>
    </row>
    <row r="8569" spans="1:24">
      <c r="A8569">
        <f>HYPERLINK("https://www.philgeps.gov.ph/GEPSNONPILOT/Tender/SplashBidNoticeAbstractUI.aspx?menuIndex=3&amp;refID=7139956&amp;Result=3","7139956")</f>
        <v>0</v>
      </c>
      <c r="B8569" t="s">
        <v>2641</v>
      </c>
      <c r="C8569" t="s">
        <v>11870</v>
      </c>
      <c r="D8569" t="s">
        <v>18018</v>
      </c>
      <c r="E8569" t="s">
        <v>19396</v>
      </c>
      <c r="F8569" t="s">
        <v>30900</v>
      </c>
      <c r="G8569" t="s">
        <v>30907</v>
      </c>
      <c r="H8569" t="s">
        <v>30915</v>
      </c>
      <c r="I8569" t="s">
        <v>30919</v>
      </c>
      <c r="J8569" t="s">
        <v>36434</v>
      </c>
      <c r="K8569" t="s">
        <v>40460</v>
      </c>
      <c r="M8569" t="s">
        <v>43407</v>
      </c>
      <c r="N8569" t="s">
        <v>44759</v>
      </c>
      <c r="O8569" t="s">
        <v>44760</v>
      </c>
      <c r="P8569">
        <v>0</v>
      </c>
      <c r="Q8569">
        <v>0</v>
      </c>
      <c r="R8569" t="s">
        <v>44768</v>
      </c>
      <c r="S8569" t="s">
        <v>44982</v>
      </c>
      <c r="T8569" t="s">
        <v>46511</v>
      </c>
      <c r="U8569" t="s">
        <v>54062</v>
      </c>
      <c r="W8569" t="s">
        <v>43407</v>
      </c>
      <c r="X8569" t="s">
        <v>44769</v>
      </c>
    </row>
    <row r="8570" spans="1:24">
      <c r="A8570">
        <f>HYPERLINK("https://www.philgeps.gov.ph/GEPSNONPILOT/Tender/SplashBidNoticeAbstractUI.aspx?menuIndex=3&amp;refID=7140049&amp;Result=3","7140049")</f>
        <v>0</v>
      </c>
      <c r="B8570" t="s">
        <v>2785</v>
      </c>
      <c r="C8570" t="s">
        <v>3769</v>
      </c>
      <c r="E8570" t="s">
        <v>25524</v>
      </c>
      <c r="F8570" t="s">
        <v>30900</v>
      </c>
      <c r="G8570" t="s">
        <v>30907</v>
      </c>
      <c r="H8570" t="s">
        <v>30915</v>
      </c>
      <c r="I8570" t="s">
        <v>30919</v>
      </c>
      <c r="J8570" t="s">
        <v>31048</v>
      </c>
      <c r="K8570" t="s">
        <v>40287</v>
      </c>
      <c r="M8570" t="s">
        <v>40836</v>
      </c>
      <c r="N8570" t="s">
        <v>44759</v>
      </c>
      <c r="O8570" t="s">
        <v>44760</v>
      </c>
      <c r="P8570">
        <v>0</v>
      </c>
      <c r="Q8570">
        <v>0</v>
      </c>
      <c r="R8570" t="s">
        <v>44768</v>
      </c>
      <c r="S8570" t="s">
        <v>44982</v>
      </c>
      <c r="T8570" t="s">
        <v>46700</v>
      </c>
      <c r="U8570" t="s">
        <v>48098</v>
      </c>
      <c r="W8570" t="s">
        <v>40836</v>
      </c>
      <c r="X8570" t="s">
        <v>44769</v>
      </c>
    </row>
    <row r="8571" spans="1:24">
      <c r="A8571">
        <f>HYPERLINK("https://www.philgeps.gov.ph/GEPSNONPILOT/Tender/SplashBidNoticeAbstractUI.aspx?menuIndex=3&amp;refID=7139954&amp;Result=3","7139954")</f>
        <v>0</v>
      </c>
      <c r="B8571" t="s">
        <v>2059</v>
      </c>
      <c r="C8571" t="s">
        <v>11871</v>
      </c>
      <c r="D8571" t="s">
        <v>17995</v>
      </c>
      <c r="E8571" t="s">
        <v>25525</v>
      </c>
      <c r="F8571" t="s">
        <v>30900</v>
      </c>
      <c r="G8571" t="s">
        <v>30907</v>
      </c>
      <c r="H8571" t="s">
        <v>30916</v>
      </c>
      <c r="I8571" t="s">
        <v>30939</v>
      </c>
      <c r="J8571" t="s">
        <v>36435</v>
      </c>
      <c r="K8571" t="s">
        <v>40287</v>
      </c>
      <c r="M8571" t="s">
        <v>42758</v>
      </c>
      <c r="N8571" t="s">
        <v>44759</v>
      </c>
      <c r="O8571" t="s">
        <v>44760</v>
      </c>
      <c r="P8571">
        <v>0</v>
      </c>
      <c r="Q8571">
        <v>0</v>
      </c>
      <c r="R8571" t="s">
        <v>44768</v>
      </c>
      <c r="S8571" t="s">
        <v>44982</v>
      </c>
      <c r="T8571" t="s">
        <v>46425</v>
      </c>
      <c r="U8571" t="s">
        <v>53958</v>
      </c>
      <c r="V8571" t="s">
        <v>60041</v>
      </c>
      <c r="W8571" t="s">
        <v>42758</v>
      </c>
      <c r="X8571" t="s">
        <v>44769</v>
      </c>
    </row>
    <row r="8572" spans="1:24">
      <c r="A8572">
        <f>HYPERLINK("https://www.philgeps.gov.ph/GEPSNONPILOT/Tender/SplashBidNoticeAbstractUI.aspx?menuIndex=3&amp;refID=7140028&amp;Result=3","7140028")</f>
        <v>0</v>
      </c>
      <c r="B8572" t="s">
        <v>407</v>
      </c>
      <c r="C8572" t="s">
        <v>11872</v>
      </c>
      <c r="D8572" t="s">
        <v>18018</v>
      </c>
      <c r="E8572" t="s">
        <v>25526</v>
      </c>
      <c r="F8572" t="s">
        <v>30900</v>
      </c>
      <c r="G8572" t="s">
        <v>30907</v>
      </c>
      <c r="H8572" t="s">
        <v>30916</v>
      </c>
      <c r="I8572" t="s">
        <v>8123</v>
      </c>
      <c r="J8572" t="s">
        <v>33309</v>
      </c>
      <c r="K8572" t="s">
        <v>40287</v>
      </c>
      <c r="M8572" t="s">
        <v>40963</v>
      </c>
      <c r="N8572" t="s">
        <v>44759</v>
      </c>
      <c r="O8572" t="s">
        <v>44760</v>
      </c>
      <c r="P8572">
        <v>0</v>
      </c>
      <c r="Q8572">
        <v>0</v>
      </c>
      <c r="R8572" t="s">
        <v>44768</v>
      </c>
      <c r="S8572" t="s">
        <v>44982</v>
      </c>
      <c r="T8572" t="s">
        <v>46662</v>
      </c>
      <c r="U8572" t="s">
        <v>51526</v>
      </c>
      <c r="W8572" t="s">
        <v>40963</v>
      </c>
      <c r="X8572" t="s">
        <v>44769</v>
      </c>
    </row>
    <row r="8573" spans="1:24">
      <c r="A8573">
        <f>HYPERLINK("https://www.philgeps.gov.ph/GEPSNONPILOT/Tender/SplashBidNoticeAbstractUI.aspx?menuIndex=3&amp;refID=7139812&amp;Result=3","7139812")</f>
        <v>0</v>
      </c>
      <c r="B8573" t="s">
        <v>1963</v>
      </c>
      <c r="C8573" t="s">
        <v>11873</v>
      </c>
      <c r="D8573" t="s">
        <v>18018</v>
      </c>
      <c r="E8573" t="s">
        <v>25527</v>
      </c>
      <c r="F8573" t="s">
        <v>30900</v>
      </c>
      <c r="G8573" t="s">
        <v>30907</v>
      </c>
      <c r="H8573" t="s">
        <v>30916</v>
      </c>
      <c r="I8573" t="s">
        <v>4050</v>
      </c>
      <c r="J8573" t="s">
        <v>31585</v>
      </c>
      <c r="K8573" t="s">
        <v>40289</v>
      </c>
      <c r="M8573" t="s">
        <v>42647</v>
      </c>
      <c r="N8573" t="s">
        <v>44759</v>
      </c>
      <c r="O8573" t="s">
        <v>44760</v>
      </c>
      <c r="P8573">
        <v>0</v>
      </c>
      <c r="Q8573">
        <v>0</v>
      </c>
      <c r="R8573" t="s">
        <v>44768</v>
      </c>
      <c r="S8573" t="s">
        <v>44982</v>
      </c>
      <c r="T8573" t="s">
        <v>46366</v>
      </c>
      <c r="U8573" t="s">
        <v>54063</v>
      </c>
      <c r="V8573" t="s">
        <v>60042</v>
      </c>
      <c r="W8573" t="s">
        <v>42647</v>
      </c>
      <c r="X8573" t="s">
        <v>44769</v>
      </c>
    </row>
    <row r="8574" spans="1:24">
      <c r="A8574">
        <f>HYPERLINK("https://www.philgeps.gov.ph/GEPSNONPILOT/Tender/SplashBidNoticeAbstractUI.aspx?menuIndex=3&amp;refID=7139811&amp;Result=3","7139811")</f>
        <v>0</v>
      </c>
      <c r="B8574" t="s">
        <v>2022</v>
      </c>
      <c r="C8574" t="s">
        <v>11874</v>
      </c>
      <c r="D8574" t="s">
        <v>17990</v>
      </c>
      <c r="E8574" t="s">
        <v>25528</v>
      </c>
      <c r="F8574" t="s">
        <v>30900</v>
      </c>
      <c r="G8574" t="s">
        <v>30907</v>
      </c>
      <c r="H8574" t="s">
        <v>30916</v>
      </c>
      <c r="I8574" t="s">
        <v>30950</v>
      </c>
      <c r="J8574" t="s">
        <v>36436</v>
      </c>
      <c r="K8574" t="s">
        <v>40286</v>
      </c>
      <c r="M8574" t="s">
        <v>43567</v>
      </c>
      <c r="N8574" t="s">
        <v>44759</v>
      </c>
      <c r="O8574" t="s">
        <v>44760</v>
      </c>
      <c r="P8574">
        <v>0</v>
      </c>
      <c r="Q8574">
        <v>12</v>
      </c>
      <c r="R8574" t="s">
        <v>44768</v>
      </c>
      <c r="S8574" t="s">
        <v>44982</v>
      </c>
      <c r="T8574" t="s">
        <v>46606</v>
      </c>
      <c r="U8574" t="s">
        <v>54064</v>
      </c>
      <c r="W8574" t="s">
        <v>43567</v>
      </c>
      <c r="X8574" t="s">
        <v>44769</v>
      </c>
    </row>
    <row r="8575" spans="1:24">
      <c r="A8575">
        <f>HYPERLINK("https://www.philgeps.gov.ph/GEPSNONPILOT/Tender/SplashBidNoticeAbstractUI.aspx?menuIndex=3&amp;refID=7140431&amp;Result=3","7140431")</f>
        <v>0</v>
      </c>
      <c r="B8575" t="s">
        <v>2786</v>
      </c>
      <c r="C8575" t="s">
        <v>11875</v>
      </c>
      <c r="D8575" t="s">
        <v>17978</v>
      </c>
      <c r="E8575" t="s">
        <v>25529</v>
      </c>
      <c r="F8575" t="s">
        <v>30900</v>
      </c>
      <c r="G8575" t="s">
        <v>30907</v>
      </c>
      <c r="H8575" t="s">
        <v>30916</v>
      </c>
      <c r="I8575" t="s">
        <v>30950</v>
      </c>
      <c r="J8575" t="s">
        <v>36437</v>
      </c>
      <c r="K8575" t="s">
        <v>40289</v>
      </c>
      <c r="M8575" t="s">
        <v>43569</v>
      </c>
      <c r="N8575" t="s">
        <v>44759</v>
      </c>
      <c r="O8575" t="s">
        <v>44760</v>
      </c>
      <c r="P8575">
        <v>0</v>
      </c>
      <c r="Q8575">
        <v>21</v>
      </c>
      <c r="R8575" t="s">
        <v>44768</v>
      </c>
      <c r="S8575" t="s">
        <v>44982</v>
      </c>
      <c r="T8575" t="s">
        <v>46552</v>
      </c>
      <c r="U8575" t="s">
        <v>54065</v>
      </c>
      <c r="W8575" t="s">
        <v>43569</v>
      </c>
      <c r="X8575" t="s">
        <v>44769</v>
      </c>
    </row>
    <row r="8576" spans="1:24">
      <c r="A8576">
        <f>HYPERLINK("https://www.philgeps.gov.ph/GEPSNONPILOT/Tender/SplashBidNoticeAbstractUI.aspx?menuIndex=3&amp;refID=7139679&amp;Result=3","7139679")</f>
        <v>0</v>
      </c>
      <c r="B8576" t="s">
        <v>1724</v>
      </c>
      <c r="C8576" t="s">
        <v>11876</v>
      </c>
      <c r="D8576" t="s">
        <v>18016</v>
      </c>
      <c r="E8576" t="s">
        <v>25530</v>
      </c>
      <c r="F8576" t="s">
        <v>30900</v>
      </c>
      <c r="G8576" t="s">
        <v>30906</v>
      </c>
      <c r="H8576" t="s">
        <v>30916</v>
      </c>
      <c r="I8576" t="s">
        <v>30923</v>
      </c>
      <c r="J8576" t="s">
        <v>36438</v>
      </c>
      <c r="K8576" t="s">
        <v>40284</v>
      </c>
      <c r="M8576" t="s">
        <v>42697</v>
      </c>
      <c r="N8576" t="s">
        <v>44759</v>
      </c>
      <c r="O8576" t="s">
        <v>44760</v>
      </c>
      <c r="P8576">
        <v>0</v>
      </c>
      <c r="Q8576">
        <v>5</v>
      </c>
      <c r="R8576" t="s">
        <v>44768</v>
      </c>
      <c r="S8576" t="s">
        <v>44982</v>
      </c>
      <c r="T8576" t="s">
        <v>46533</v>
      </c>
      <c r="U8576" t="s">
        <v>54066</v>
      </c>
      <c r="W8576" t="s">
        <v>60878</v>
      </c>
      <c r="X8576" t="s">
        <v>44769</v>
      </c>
    </row>
    <row r="8577" spans="1:24">
      <c r="A8577">
        <f>HYPERLINK("https://www.philgeps.gov.ph/GEPSNONPILOT/Tender/SplashBidNoticeAbstractUI.aspx?menuIndex=3&amp;refID=7139959&amp;Result=3","7139959")</f>
        <v>0</v>
      </c>
      <c r="B8577" t="s">
        <v>2787</v>
      </c>
      <c r="C8577" t="s">
        <v>11877</v>
      </c>
      <c r="D8577" t="s">
        <v>17975</v>
      </c>
      <c r="E8577" t="s">
        <v>25531</v>
      </c>
      <c r="F8577" t="s">
        <v>30900</v>
      </c>
      <c r="G8577" t="s">
        <v>30907</v>
      </c>
      <c r="H8577" t="s">
        <v>30916</v>
      </c>
      <c r="I8577" t="s">
        <v>8123</v>
      </c>
      <c r="J8577" t="s">
        <v>36439</v>
      </c>
      <c r="K8577" t="s">
        <v>40287</v>
      </c>
      <c r="M8577" t="s">
        <v>43570</v>
      </c>
      <c r="N8577" t="s">
        <v>44759</v>
      </c>
      <c r="O8577" t="s">
        <v>44760</v>
      </c>
      <c r="P8577">
        <v>0</v>
      </c>
      <c r="Q8577">
        <v>0</v>
      </c>
      <c r="R8577" t="s">
        <v>44768</v>
      </c>
      <c r="S8577" t="s">
        <v>44982</v>
      </c>
      <c r="T8577" t="s">
        <v>46606</v>
      </c>
      <c r="U8577" t="s">
        <v>54067</v>
      </c>
      <c r="V8577" t="s">
        <v>60043</v>
      </c>
      <c r="W8577" t="s">
        <v>43570</v>
      </c>
      <c r="X8577" t="s">
        <v>44769</v>
      </c>
    </row>
    <row r="8578" spans="1:24">
      <c r="A8578">
        <f>HYPERLINK("https://www.philgeps.gov.ph/GEPSNONPILOT/Tender/SplashBidNoticeAbstractUI.aspx?menuIndex=3&amp;refID=7139675&amp;Result=3","7139675")</f>
        <v>0</v>
      </c>
      <c r="B8578" t="s">
        <v>892</v>
      </c>
      <c r="C8578" t="s">
        <v>5383</v>
      </c>
      <c r="D8578" t="s">
        <v>17978</v>
      </c>
      <c r="E8578" t="s">
        <v>25532</v>
      </c>
      <c r="F8578" t="s">
        <v>30900</v>
      </c>
      <c r="G8578" t="s">
        <v>30907</v>
      </c>
      <c r="H8578" t="s">
        <v>30916</v>
      </c>
      <c r="I8578" t="s">
        <v>4142</v>
      </c>
      <c r="J8578" t="s">
        <v>31183</v>
      </c>
      <c r="K8578" t="s">
        <v>40284</v>
      </c>
      <c r="M8578" t="s">
        <v>41466</v>
      </c>
      <c r="N8578" t="s">
        <v>44759</v>
      </c>
      <c r="O8578" t="s">
        <v>44760</v>
      </c>
      <c r="Q8578">
        <v>1</v>
      </c>
      <c r="R8578" t="s">
        <v>44768</v>
      </c>
      <c r="S8578" t="s">
        <v>45008</v>
      </c>
      <c r="T8578" t="s">
        <v>46515</v>
      </c>
      <c r="U8578" t="s">
        <v>54068</v>
      </c>
      <c r="W8578" t="s">
        <v>41466</v>
      </c>
      <c r="X8578" t="s">
        <v>44769</v>
      </c>
    </row>
    <row r="8579" spans="1:24">
      <c r="A8579">
        <f>HYPERLINK("https://www.philgeps.gov.ph/GEPSNONPILOT/Tender/SplashBidNoticeAbstractUI.aspx?menuIndex=3&amp;refID=7140364&amp;Result=3","7140364")</f>
        <v>0</v>
      </c>
      <c r="B8579" t="s">
        <v>2788</v>
      </c>
      <c r="C8579" t="s">
        <v>11878</v>
      </c>
      <c r="D8579" t="s">
        <v>17963</v>
      </c>
      <c r="E8579" t="s">
        <v>25533</v>
      </c>
      <c r="F8579" t="s">
        <v>30900</v>
      </c>
      <c r="G8579" t="s">
        <v>30907</v>
      </c>
      <c r="H8579" t="s">
        <v>30916</v>
      </c>
      <c r="I8579" t="s">
        <v>8123</v>
      </c>
      <c r="J8579" t="s">
        <v>32153</v>
      </c>
      <c r="K8579" t="s">
        <v>40283</v>
      </c>
      <c r="M8579" t="s">
        <v>43571</v>
      </c>
      <c r="N8579" t="s">
        <v>44759</v>
      </c>
      <c r="O8579" t="s">
        <v>44760</v>
      </c>
      <c r="P8579">
        <v>0</v>
      </c>
      <c r="Q8579">
        <v>0</v>
      </c>
      <c r="R8579" t="s">
        <v>44768</v>
      </c>
      <c r="S8579" t="s">
        <v>44982</v>
      </c>
      <c r="T8579" t="s">
        <v>46452</v>
      </c>
      <c r="U8579" t="s">
        <v>54069</v>
      </c>
      <c r="W8579" t="s">
        <v>43571</v>
      </c>
      <c r="X8579" t="s">
        <v>44769</v>
      </c>
    </row>
    <row r="8580" spans="1:24">
      <c r="A8580">
        <f>HYPERLINK("https://www.philgeps.gov.ph/GEPSNONPILOT/Tender/SplashBidNoticeAbstractUI.aspx?menuIndex=3&amp;refID=7140037&amp;Result=3","7140037")</f>
        <v>0</v>
      </c>
      <c r="B8580" t="s">
        <v>1492</v>
      </c>
      <c r="C8580" t="s">
        <v>11879</v>
      </c>
      <c r="D8580" t="s">
        <v>17961</v>
      </c>
      <c r="E8580" t="s">
        <v>25534</v>
      </c>
      <c r="F8580" t="s">
        <v>30899</v>
      </c>
      <c r="G8580" t="s">
        <v>30907</v>
      </c>
      <c r="H8580" t="s">
        <v>30915</v>
      </c>
      <c r="I8580" t="s">
        <v>30919</v>
      </c>
      <c r="J8580" t="s">
        <v>36440</v>
      </c>
      <c r="K8580" t="s">
        <v>40340</v>
      </c>
      <c r="M8580" t="s">
        <v>42131</v>
      </c>
      <c r="N8580" t="s">
        <v>44759</v>
      </c>
      <c r="O8580" t="s">
        <v>44760</v>
      </c>
      <c r="P8580">
        <v>0</v>
      </c>
      <c r="Q8580">
        <v>1</v>
      </c>
      <c r="R8580" t="s">
        <v>44768</v>
      </c>
      <c r="S8580" t="s">
        <v>44982</v>
      </c>
      <c r="T8580" t="s">
        <v>46450</v>
      </c>
      <c r="U8580" t="s">
        <v>54070</v>
      </c>
      <c r="W8580" t="s">
        <v>42131</v>
      </c>
      <c r="X8580" t="s">
        <v>44769</v>
      </c>
    </row>
    <row r="8581" spans="1:24">
      <c r="A8581">
        <f>HYPERLINK("https://www.philgeps.gov.ph/GEPSNONPILOT/Tender/SplashBidNoticeAbstractUI.aspx?menuIndex=3&amp;refID=7139813&amp;Result=3","7139813")</f>
        <v>0</v>
      </c>
      <c r="B8581" t="s">
        <v>45</v>
      </c>
      <c r="C8581" t="s">
        <v>11880</v>
      </c>
      <c r="E8581" t="s">
        <v>25535</v>
      </c>
      <c r="F8581" t="s">
        <v>30900</v>
      </c>
      <c r="G8581" t="s">
        <v>30908</v>
      </c>
      <c r="H8581" t="s">
        <v>30915</v>
      </c>
      <c r="I8581" t="s">
        <v>30919</v>
      </c>
      <c r="J8581" t="s">
        <v>36441</v>
      </c>
      <c r="K8581" t="s">
        <v>40325</v>
      </c>
      <c r="M8581" t="s">
        <v>40591</v>
      </c>
      <c r="N8581" t="s">
        <v>44759</v>
      </c>
      <c r="O8581" t="s">
        <v>44760</v>
      </c>
      <c r="P8581">
        <v>0</v>
      </c>
      <c r="Q8581">
        <v>0</v>
      </c>
      <c r="R8581" t="s">
        <v>44768</v>
      </c>
      <c r="S8581" t="s">
        <v>44982</v>
      </c>
      <c r="T8581" t="s">
        <v>46658</v>
      </c>
      <c r="U8581" t="s">
        <v>54071</v>
      </c>
      <c r="W8581" t="s">
        <v>40591</v>
      </c>
      <c r="X8581" t="s">
        <v>44769</v>
      </c>
    </row>
    <row r="8582" spans="1:24">
      <c r="A8582">
        <f>HYPERLINK("https://www.philgeps.gov.ph/GEPSNONPILOT/Tender/SplashBidNoticeAbstractUI.aspx?menuIndex=3&amp;refID=7139677&amp;Result=3","7139677")</f>
        <v>0</v>
      </c>
      <c r="B8582" t="s">
        <v>2789</v>
      </c>
      <c r="C8582" t="s">
        <v>11881</v>
      </c>
      <c r="D8582" t="s">
        <v>18011</v>
      </c>
      <c r="E8582" t="s">
        <v>25536</v>
      </c>
      <c r="F8582" t="s">
        <v>30900</v>
      </c>
      <c r="G8582" t="s">
        <v>30907</v>
      </c>
      <c r="H8582" t="s">
        <v>30916</v>
      </c>
      <c r="I8582" t="s">
        <v>30933</v>
      </c>
      <c r="J8582" t="s">
        <v>31098</v>
      </c>
      <c r="K8582" t="s">
        <v>40284</v>
      </c>
      <c r="M8582" t="s">
        <v>43572</v>
      </c>
      <c r="N8582" t="s">
        <v>44759</v>
      </c>
      <c r="O8582" t="s">
        <v>44760</v>
      </c>
      <c r="P8582">
        <v>0</v>
      </c>
      <c r="Q8582">
        <v>1</v>
      </c>
      <c r="R8582" t="s">
        <v>44768</v>
      </c>
      <c r="S8582" t="s">
        <v>44982</v>
      </c>
      <c r="T8582" t="s">
        <v>46515</v>
      </c>
      <c r="U8582" t="s">
        <v>54072</v>
      </c>
      <c r="W8582" t="s">
        <v>43572</v>
      </c>
      <c r="X8582" t="s">
        <v>44769</v>
      </c>
    </row>
    <row r="8583" spans="1:24">
      <c r="A8583">
        <f>HYPERLINK("https://www.philgeps.gov.ph/GEPSNONPILOT/Tender/SplashBidNoticeAbstractUI.aspx?menuIndex=3&amp;refID=7140437&amp;Result=3","7140437")</f>
        <v>0</v>
      </c>
      <c r="B8583" t="s">
        <v>2790</v>
      </c>
      <c r="C8583" t="s">
        <v>11882</v>
      </c>
      <c r="D8583" t="s">
        <v>17961</v>
      </c>
      <c r="E8583" t="s">
        <v>25537</v>
      </c>
      <c r="F8583" t="s">
        <v>30900</v>
      </c>
      <c r="G8583" t="s">
        <v>30907</v>
      </c>
      <c r="H8583" t="s">
        <v>30916</v>
      </c>
      <c r="I8583" t="s">
        <v>8123</v>
      </c>
      <c r="J8583" t="s">
        <v>36442</v>
      </c>
      <c r="K8583" t="s">
        <v>40283</v>
      </c>
      <c r="M8583" t="s">
        <v>43573</v>
      </c>
      <c r="N8583" t="s">
        <v>44759</v>
      </c>
      <c r="O8583" t="s">
        <v>44760</v>
      </c>
      <c r="P8583">
        <v>0</v>
      </c>
      <c r="Q8583">
        <v>1</v>
      </c>
      <c r="R8583" t="s">
        <v>44768</v>
      </c>
      <c r="S8583" t="s">
        <v>44982</v>
      </c>
      <c r="T8583" t="s">
        <v>46511</v>
      </c>
      <c r="U8583" t="s">
        <v>54073</v>
      </c>
      <c r="V8583" t="s">
        <v>60044</v>
      </c>
      <c r="W8583" t="s">
        <v>43573</v>
      </c>
      <c r="X8583" t="s">
        <v>44769</v>
      </c>
    </row>
    <row r="8584" spans="1:24">
      <c r="A8584">
        <f>HYPERLINK("https://www.philgeps.gov.ph/GEPSNONPILOT/Tender/SplashBidNoticeAbstractUI.aspx?menuIndex=3&amp;refID=7140473&amp;Result=3","7140473")</f>
        <v>0</v>
      </c>
      <c r="B8584" t="s">
        <v>2791</v>
      </c>
      <c r="C8584" t="s">
        <v>11883</v>
      </c>
      <c r="D8584" t="s">
        <v>17951</v>
      </c>
      <c r="E8584" t="s">
        <v>25505</v>
      </c>
      <c r="F8584" t="s">
        <v>30900</v>
      </c>
      <c r="G8584" t="s">
        <v>30906</v>
      </c>
      <c r="H8584" t="s">
        <v>30915</v>
      </c>
      <c r="I8584" t="s">
        <v>8123</v>
      </c>
      <c r="J8584" t="s">
        <v>31049</v>
      </c>
      <c r="K8584" t="s">
        <v>40289</v>
      </c>
      <c r="M8584" t="s">
        <v>43574</v>
      </c>
      <c r="N8584" t="s">
        <v>44759</v>
      </c>
      <c r="O8584" t="s">
        <v>44760</v>
      </c>
      <c r="P8584">
        <v>0</v>
      </c>
      <c r="Q8584">
        <v>0</v>
      </c>
      <c r="R8584" t="s">
        <v>44768</v>
      </c>
      <c r="S8584" t="s">
        <v>44982</v>
      </c>
      <c r="T8584" t="s">
        <v>46403</v>
      </c>
      <c r="U8584" t="s">
        <v>54074</v>
      </c>
      <c r="W8584" t="s">
        <v>43574</v>
      </c>
      <c r="X8584" t="s">
        <v>44769</v>
      </c>
    </row>
    <row r="8585" spans="1:24">
      <c r="A8585">
        <f>HYPERLINK("https://www.philgeps.gov.ph/GEPSNONPILOT/Tender/SplashBidNoticeAbstractUI.aspx?menuIndex=3&amp;refID=7140461&amp;Result=3","7140461")</f>
        <v>0</v>
      </c>
      <c r="B8585" t="s">
        <v>2655</v>
      </c>
      <c r="C8585" t="s">
        <v>11884</v>
      </c>
      <c r="E8585" t="s">
        <v>25538</v>
      </c>
      <c r="F8585" t="s">
        <v>30900</v>
      </c>
      <c r="G8585" t="s">
        <v>30907</v>
      </c>
      <c r="H8585" t="s">
        <v>30915</v>
      </c>
      <c r="I8585" t="s">
        <v>30919</v>
      </c>
      <c r="J8585" t="s">
        <v>31069</v>
      </c>
      <c r="K8585" t="s">
        <v>40289</v>
      </c>
      <c r="M8585" t="s">
        <v>43424</v>
      </c>
      <c r="N8585" t="s">
        <v>44759</v>
      </c>
      <c r="O8585" t="s">
        <v>44760</v>
      </c>
      <c r="P8585">
        <v>0</v>
      </c>
      <c r="Q8585">
        <v>1</v>
      </c>
      <c r="R8585" t="s">
        <v>44768</v>
      </c>
      <c r="S8585" t="s">
        <v>44982</v>
      </c>
      <c r="T8585" t="s">
        <v>46488</v>
      </c>
      <c r="U8585" t="s">
        <v>54075</v>
      </c>
      <c r="W8585" t="s">
        <v>43424</v>
      </c>
      <c r="X8585" t="s">
        <v>44769</v>
      </c>
    </row>
    <row r="8586" spans="1:24">
      <c r="A8586">
        <f>HYPERLINK("https://www.philgeps.gov.ph/GEPSNONPILOT/Tender/SplashBidNoticeAbstractUI.aspx?menuIndex=3&amp;refID=7140480&amp;Result=3","7140480")</f>
        <v>0</v>
      </c>
      <c r="B8586" t="s">
        <v>243</v>
      </c>
      <c r="C8586" t="s">
        <v>11885</v>
      </c>
      <c r="E8586" t="s">
        <v>25539</v>
      </c>
      <c r="F8586" t="s">
        <v>30900</v>
      </c>
      <c r="G8586" t="s">
        <v>30906</v>
      </c>
      <c r="H8586" t="s">
        <v>30916</v>
      </c>
      <c r="I8586" t="s">
        <v>30933</v>
      </c>
      <c r="J8586" t="s">
        <v>31153</v>
      </c>
      <c r="K8586" t="s">
        <v>40293</v>
      </c>
      <c r="M8586" t="s">
        <v>40790</v>
      </c>
      <c r="N8586" t="s">
        <v>44759</v>
      </c>
      <c r="O8586" t="s">
        <v>44760</v>
      </c>
      <c r="P8586">
        <v>0</v>
      </c>
      <c r="Q8586">
        <v>1</v>
      </c>
      <c r="R8586" t="s">
        <v>44768</v>
      </c>
      <c r="S8586" t="s">
        <v>44982</v>
      </c>
      <c r="T8586" t="s">
        <v>46454</v>
      </c>
      <c r="U8586" t="s">
        <v>54076</v>
      </c>
      <c r="V8586" t="s">
        <v>60045</v>
      </c>
      <c r="W8586" t="s">
        <v>42208</v>
      </c>
      <c r="X8586" t="s">
        <v>44769</v>
      </c>
    </row>
    <row r="8587" spans="1:24">
      <c r="A8587">
        <f>HYPERLINK("https://www.philgeps.gov.ph/GEPSNONPILOT/Tender/SplashBidNoticeAbstractUI.aspx?menuIndex=3&amp;refID=7140456&amp;Result=3","7140456")</f>
        <v>0</v>
      </c>
      <c r="B8587" t="s">
        <v>290</v>
      </c>
      <c r="C8587" t="s">
        <v>11886</v>
      </c>
      <c r="D8587" t="s">
        <v>17993</v>
      </c>
      <c r="E8587" t="s">
        <v>22492</v>
      </c>
      <c r="F8587" t="s">
        <v>30900</v>
      </c>
      <c r="G8587" t="s">
        <v>30907</v>
      </c>
      <c r="H8587" t="s">
        <v>30915</v>
      </c>
      <c r="I8587" t="s">
        <v>30922</v>
      </c>
      <c r="J8587" t="s">
        <v>36443</v>
      </c>
      <c r="K8587" t="s">
        <v>40314</v>
      </c>
      <c r="M8587" t="s">
        <v>40838</v>
      </c>
      <c r="N8587" t="s">
        <v>44759</v>
      </c>
      <c r="O8587" t="s">
        <v>44760</v>
      </c>
      <c r="P8587">
        <v>0</v>
      </c>
      <c r="Q8587">
        <v>5</v>
      </c>
      <c r="R8587" t="s">
        <v>44768</v>
      </c>
      <c r="S8587" t="s">
        <v>44982</v>
      </c>
      <c r="T8587" t="s">
        <v>46363</v>
      </c>
      <c r="U8587" t="s">
        <v>54077</v>
      </c>
      <c r="W8587" t="s">
        <v>40838</v>
      </c>
      <c r="X8587" t="s">
        <v>44769</v>
      </c>
    </row>
    <row r="8588" spans="1:24">
      <c r="A8588">
        <f>HYPERLINK("https://www.philgeps.gov.ph/GEPSNONPILOT/Tender/SplashBidNoticeAbstractUI.aspx?menuIndex=3&amp;refID=7140459&amp;Result=3","7140459")</f>
        <v>0</v>
      </c>
      <c r="B8588" t="s">
        <v>2792</v>
      </c>
      <c r="C8588" t="s">
        <v>11887</v>
      </c>
      <c r="D8588" t="s">
        <v>17972</v>
      </c>
      <c r="E8588" t="s">
        <v>25540</v>
      </c>
      <c r="F8588" t="s">
        <v>30900</v>
      </c>
      <c r="G8588" t="s">
        <v>30906</v>
      </c>
      <c r="H8588" t="s">
        <v>30915</v>
      </c>
      <c r="I8588" t="s">
        <v>30919</v>
      </c>
      <c r="J8588" t="s">
        <v>36444</v>
      </c>
      <c r="K8588" t="s">
        <v>40301</v>
      </c>
      <c r="M8588" t="s">
        <v>43575</v>
      </c>
      <c r="N8588" t="s">
        <v>44759</v>
      </c>
      <c r="O8588" t="s">
        <v>44760</v>
      </c>
      <c r="P8588">
        <v>0</v>
      </c>
      <c r="Q8588">
        <v>1</v>
      </c>
      <c r="R8588" t="s">
        <v>44768</v>
      </c>
      <c r="S8588" t="s">
        <v>44982</v>
      </c>
      <c r="T8588" t="s">
        <v>46606</v>
      </c>
      <c r="U8588" t="s">
        <v>54078</v>
      </c>
      <c r="V8588" t="s">
        <v>60046</v>
      </c>
      <c r="W8588" t="s">
        <v>43575</v>
      </c>
      <c r="X8588" t="s">
        <v>44769</v>
      </c>
    </row>
    <row r="8589" spans="1:24">
      <c r="A8589">
        <f>HYPERLINK("https://www.philgeps.gov.ph/GEPSNONPILOT/Tender/SplashBidNoticeAbstractUI.aspx?menuIndex=3&amp;refID=7140453&amp;Result=3","7140453")</f>
        <v>0</v>
      </c>
      <c r="B8589" t="s">
        <v>496</v>
      </c>
      <c r="C8589" t="s">
        <v>11888</v>
      </c>
      <c r="D8589" t="s">
        <v>18019</v>
      </c>
      <c r="E8589" t="s">
        <v>25541</v>
      </c>
      <c r="F8589" t="s">
        <v>30900</v>
      </c>
      <c r="G8589" t="s">
        <v>30908</v>
      </c>
      <c r="H8589" t="s">
        <v>30916</v>
      </c>
      <c r="I8589" t="s">
        <v>8123</v>
      </c>
      <c r="J8589" t="s">
        <v>36445</v>
      </c>
      <c r="K8589" t="s">
        <v>40283</v>
      </c>
      <c r="M8589" t="s">
        <v>41055</v>
      </c>
      <c r="N8589" t="s">
        <v>44759</v>
      </c>
      <c r="O8589" t="s">
        <v>44760</v>
      </c>
      <c r="P8589">
        <v>0</v>
      </c>
      <c r="Q8589">
        <v>2</v>
      </c>
      <c r="R8589" t="s">
        <v>44768</v>
      </c>
      <c r="S8589" t="s">
        <v>44982</v>
      </c>
      <c r="T8589" t="s">
        <v>46658</v>
      </c>
      <c r="U8589" t="s">
        <v>54079</v>
      </c>
      <c r="W8589" t="s">
        <v>41055</v>
      </c>
      <c r="X8589" t="s">
        <v>44769</v>
      </c>
    </row>
    <row r="8590" spans="1:24">
      <c r="A8590">
        <f>HYPERLINK("https://www.philgeps.gov.ph/GEPSNONPILOT/Tender/SplashBidNoticeAbstractUI.aspx?menuIndex=3&amp;refID=7140487&amp;Result=3","7140487")</f>
        <v>0</v>
      </c>
      <c r="B8590" t="s">
        <v>2793</v>
      </c>
      <c r="C8590" t="s">
        <v>11889</v>
      </c>
      <c r="D8590" t="s">
        <v>17974</v>
      </c>
      <c r="E8590" t="s">
        <v>25542</v>
      </c>
      <c r="F8590" t="s">
        <v>30900</v>
      </c>
      <c r="G8590" t="s">
        <v>30907</v>
      </c>
      <c r="H8590" t="s">
        <v>30915</v>
      </c>
      <c r="I8590" t="s">
        <v>30919</v>
      </c>
      <c r="J8590" t="s">
        <v>31135</v>
      </c>
      <c r="K8590" t="s">
        <v>40280</v>
      </c>
      <c r="M8590" t="s">
        <v>43576</v>
      </c>
      <c r="N8590" t="s">
        <v>44759</v>
      </c>
      <c r="O8590" t="s">
        <v>44760</v>
      </c>
      <c r="Q8590">
        <v>0</v>
      </c>
      <c r="R8590" t="s">
        <v>44768</v>
      </c>
      <c r="S8590" t="s">
        <v>45009</v>
      </c>
      <c r="T8590" t="s">
        <v>46425</v>
      </c>
      <c r="U8590" t="s">
        <v>54080</v>
      </c>
      <c r="V8590" t="s">
        <v>60047</v>
      </c>
      <c r="W8590" t="s">
        <v>43576</v>
      </c>
      <c r="X8590" t="s">
        <v>44769</v>
      </c>
    </row>
    <row r="8591" spans="1:24">
      <c r="A8591">
        <f>HYPERLINK("https://www.philgeps.gov.ph/GEPSNONPILOT/Tender/SplashBidNoticeAbstractUI.aspx?menuIndex=3&amp;refID=7140450&amp;Result=3","7140450")</f>
        <v>0</v>
      </c>
      <c r="B8591" t="s">
        <v>218</v>
      </c>
      <c r="C8591" t="s">
        <v>11890</v>
      </c>
      <c r="D8591" t="s">
        <v>17985</v>
      </c>
      <c r="E8591" t="s">
        <v>25543</v>
      </c>
      <c r="F8591" t="s">
        <v>30900</v>
      </c>
      <c r="G8591" t="s">
        <v>30907</v>
      </c>
      <c r="H8591" t="s">
        <v>30916</v>
      </c>
      <c r="I8591" t="s">
        <v>30919</v>
      </c>
      <c r="J8591" t="s">
        <v>36416</v>
      </c>
      <c r="K8591" t="s">
        <v>40284</v>
      </c>
      <c r="M8591" t="s">
        <v>40765</v>
      </c>
      <c r="N8591" t="s">
        <v>44759</v>
      </c>
      <c r="O8591" t="s">
        <v>44760</v>
      </c>
      <c r="P8591">
        <v>0</v>
      </c>
      <c r="Q8591">
        <v>0</v>
      </c>
      <c r="R8591" t="s">
        <v>44768</v>
      </c>
      <c r="S8591" t="s">
        <v>44982</v>
      </c>
      <c r="T8591" t="s">
        <v>46443</v>
      </c>
      <c r="U8591" t="s">
        <v>54081</v>
      </c>
      <c r="V8591" t="s">
        <v>60048</v>
      </c>
      <c r="W8591" t="s">
        <v>40765</v>
      </c>
      <c r="X8591" t="s">
        <v>44769</v>
      </c>
    </row>
    <row r="8592" spans="1:24">
      <c r="A8592">
        <f>HYPERLINK("https://www.philgeps.gov.ph/GEPSNONPILOT/Tender/SplashBidNoticeAbstractUI.aspx?menuIndex=3&amp;refID=7140445&amp;Result=3","7140445")</f>
        <v>0</v>
      </c>
      <c r="B8592" t="s">
        <v>2794</v>
      </c>
      <c r="C8592" t="s">
        <v>11891</v>
      </c>
      <c r="D8592" t="s">
        <v>18011</v>
      </c>
      <c r="E8592" t="s">
        <v>25544</v>
      </c>
      <c r="F8592" t="s">
        <v>30900</v>
      </c>
      <c r="G8592" t="s">
        <v>30907</v>
      </c>
      <c r="H8592" t="s">
        <v>30915</v>
      </c>
      <c r="I8592" t="s">
        <v>30919</v>
      </c>
      <c r="J8592" t="s">
        <v>36446</v>
      </c>
      <c r="K8592" t="s">
        <v>40280</v>
      </c>
      <c r="M8592" t="s">
        <v>43577</v>
      </c>
      <c r="N8592" t="s">
        <v>44759</v>
      </c>
      <c r="O8592" t="s">
        <v>44760</v>
      </c>
      <c r="P8592">
        <v>0</v>
      </c>
      <c r="Q8592">
        <v>1</v>
      </c>
      <c r="R8592" t="s">
        <v>44768</v>
      </c>
      <c r="S8592" t="s">
        <v>44982</v>
      </c>
      <c r="T8592" t="s">
        <v>46658</v>
      </c>
      <c r="U8592" t="s">
        <v>54082</v>
      </c>
      <c r="W8592" t="s">
        <v>43577</v>
      </c>
      <c r="X8592" t="s">
        <v>44769</v>
      </c>
    </row>
    <row r="8593" spans="1:24">
      <c r="A8593">
        <f>HYPERLINK("https://www.philgeps.gov.ph/GEPSNONPILOT/Tender/SplashBidNoticeAbstractUI.aspx?menuIndex=3&amp;refID=7140510&amp;Result=3","7140510")</f>
        <v>0</v>
      </c>
      <c r="B8593" t="s">
        <v>908</v>
      </c>
      <c r="C8593" t="s">
        <v>11892</v>
      </c>
      <c r="D8593" t="s">
        <v>17952</v>
      </c>
      <c r="E8593" t="s">
        <v>25545</v>
      </c>
      <c r="F8593" t="s">
        <v>30900</v>
      </c>
      <c r="G8593" t="s">
        <v>30907</v>
      </c>
      <c r="H8593" t="s">
        <v>30916</v>
      </c>
      <c r="I8593" t="s">
        <v>8123</v>
      </c>
      <c r="J8593" t="s">
        <v>36447</v>
      </c>
      <c r="K8593" t="s">
        <v>40286</v>
      </c>
      <c r="M8593" t="s">
        <v>43578</v>
      </c>
      <c r="N8593" t="s">
        <v>44759</v>
      </c>
      <c r="O8593" t="s">
        <v>44760</v>
      </c>
      <c r="P8593">
        <v>0</v>
      </c>
      <c r="Q8593">
        <v>1</v>
      </c>
      <c r="R8593" t="s">
        <v>44768</v>
      </c>
      <c r="S8593" t="s">
        <v>44982</v>
      </c>
      <c r="T8593" t="s">
        <v>46421</v>
      </c>
      <c r="U8593" t="s">
        <v>54083</v>
      </c>
      <c r="W8593" t="s">
        <v>41483</v>
      </c>
      <c r="X8593" t="s">
        <v>44769</v>
      </c>
    </row>
    <row r="8594" spans="1:24">
      <c r="A8594">
        <f>HYPERLINK("https://www.philgeps.gov.ph/GEPSNONPILOT/Tender/SplashBidNoticeAbstractUI.aspx?menuIndex=3&amp;refID=7140435&amp;Result=3","7140435")</f>
        <v>0</v>
      </c>
      <c r="B8594" t="s">
        <v>1572</v>
      </c>
      <c r="C8594" t="s">
        <v>11893</v>
      </c>
      <c r="E8594" t="s">
        <v>25546</v>
      </c>
      <c r="F8594" t="s">
        <v>30900</v>
      </c>
      <c r="G8594" t="s">
        <v>30907</v>
      </c>
      <c r="H8594" t="s">
        <v>30916</v>
      </c>
      <c r="I8594" t="s">
        <v>30985</v>
      </c>
      <c r="J8594" t="s">
        <v>36448</v>
      </c>
      <c r="K8594" t="s">
        <v>40292</v>
      </c>
      <c r="M8594" t="s">
        <v>43579</v>
      </c>
      <c r="N8594" t="s">
        <v>44759</v>
      </c>
      <c r="O8594" t="s">
        <v>44760</v>
      </c>
      <c r="Q8594">
        <v>5</v>
      </c>
      <c r="R8594" t="s">
        <v>44768</v>
      </c>
      <c r="S8594" t="s">
        <v>45010</v>
      </c>
      <c r="T8594" t="s">
        <v>46377</v>
      </c>
      <c r="U8594" t="s">
        <v>54084</v>
      </c>
      <c r="W8594" t="s">
        <v>43579</v>
      </c>
      <c r="X8594" t="s">
        <v>44769</v>
      </c>
    </row>
    <row r="8595" spans="1:24">
      <c r="A8595">
        <f>HYPERLINK("https://www.philgeps.gov.ph/GEPSNONPILOT/Tender/SplashBidNoticeAbstractUI.aspx?menuIndex=3&amp;refID=7140452&amp;Result=3","7140452")</f>
        <v>0</v>
      </c>
      <c r="B8595" t="s">
        <v>1350</v>
      </c>
      <c r="C8595" t="s">
        <v>11894</v>
      </c>
      <c r="D8595" t="s">
        <v>17996</v>
      </c>
      <c r="E8595" t="s">
        <v>25547</v>
      </c>
      <c r="F8595" t="s">
        <v>30900</v>
      </c>
      <c r="G8595" t="s">
        <v>30907</v>
      </c>
      <c r="H8595" t="s">
        <v>30916</v>
      </c>
      <c r="I8595" t="s">
        <v>30926</v>
      </c>
      <c r="J8595" t="s">
        <v>36449</v>
      </c>
      <c r="K8595" t="s">
        <v>40289</v>
      </c>
      <c r="M8595" t="s">
        <v>41972</v>
      </c>
      <c r="N8595" t="s">
        <v>44759</v>
      </c>
      <c r="O8595" t="s">
        <v>44760</v>
      </c>
      <c r="P8595">
        <v>0</v>
      </c>
      <c r="Q8595">
        <v>0</v>
      </c>
      <c r="R8595" t="s">
        <v>44768</v>
      </c>
      <c r="S8595" t="s">
        <v>44982</v>
      </c>
      <c r="T8595" t="s">
        <v>46519</v>
      </c>
      <c r="U8595" t="s">
        <v>54085</v>
      </c>
      <c r="W8595" t="s">
        <v>41972</v>
      </c>
      <c r="X8595" t="s">
        <v>44769</v>
      </c>
    </row>
    <row r="8596" spans="1:24">
      <c r="A8596">
        <f>HYPERLINK("https://www.philgeps.gov.ph/GEPSNONPILOT/Tender/SplashBidNoticeAbstractUI.aspx?menuIndex=3&amp;refID=7140490&amp;Result=3","7140490")</f>
        <v>0</v>
      </c>
      <c r="B8596" t="s">
        <v>2795</v>
      </c>
      <c r="C8596" t="s">
        <v>11895</v>
      </c>
      <c r="D8596" t="s">
        <v>17955</v>
      </c>
      <c r="E8596" t="s">
        <v>20208</v>
      </c>
      <c r="F8596" t="s">
        <v>30900</v>
      </c>
      <c r="G8596" t="s">
        <v>30907</v>
      </c>
      <c r="H8596" t="s">
        <v>30915</v>
      </c>
      <c r="I8596" t="s">
        <v>30919</v>
      </c>
      <c r="J8596" t="s">
        <v>31243</v>
      </c>
      <c r="K8596" t="s">
        <v>40293</v>
      </c>
      <c r="M8596" t="s">
        <v>43580</v>
      </c>
      <c r="N8596" t="s">
        <v>44759</v>
      </c>
      <c r="O8596" t="s">
        <v>44760</v>
      </c>
      <c r="P8596">
        <v>0</v>
      </c>
      <c r="Q8596">
        <v>0</v>
      </c>
      <c r="R8596" t="s">
        <v>44768</v>
      </c>
      <c r="S8596" t="s">
        <v>44982</v>
      </c>
      <c r="T8596" t="s">
        <v>46533</v>
      </c>
      <c r="U8596" t="s">
        <v>54086</v>
      </c>
      <c r="W8596" t="s">
        <v>43580</v>
      </c>
      <c r="X8596" t="s">
        <v>44769</v>
      </c>
    </row>
    <row r="8597" spans="1:24">
      <c r="A8597">
        <f>HYPERLINK("https://www.philgeps.gov.ph/GEPSNONPILOT/Tender/SplashBidNoticeAbstractUI.aspx?menuIndex=3&amp;refID=7140438&amp;Result=3","7140438")</f>
        <v>0</v>
      </c>
      <c r="B8597" t="s">
        <v>586</v>
      </c>
      <c r="C8597" t="s">
        <v>11896</v>
      </c>
      <c r="D8597" t="s">
        <v>17952</v>
      </c>
      <c r="E8597" t="s">
        <v>25548</v>
      </c>
      <c r="F8597" t="s">
        <v>30900</v>
      </c>
      <c r="G8597" t="s">
        <v>30907</v>
      </c>
      <c r="H8597" t="s">
        <v>30916</v>
      </c>
      <c r="I8597" t="s">
        <v>30923</v>
      </c>
      <c r="J8597" t="s">
        <v>36450</v>
      </c>
      <c r="K8597" t="s">
        <v>40283</v>
      </c>
      <c r="M8597" t="s">
        <v>43557</v>
      </c>
      <c r="N8597" t="s">
        <v>44759</v>
      </c>
      <c r="O8597" t="s">
        <v>44760</v>
      </c>
      <c r="P8597">
        <v>0</v>
      </c>
      <c r="Q8597">
        <v>12</v>
      </c>
      <c r="R8597" t="s">
        <v>44768</v>
      </c>
      <c r="S8597" t="s">
        <v>44982</v>
      </c>
      <c r="T8597" t="s">
        <v>46689</v>
      </c>
      <c r="U8597" t="s">
        <v>54087</v>
      </c>
      <c r="V8597" t="s">
        <v>60049</v>
      </c>
      <c r="W8597" t="s">
        <v>43557</v>
      </c>
      <c r="X8597" t="s">
        <v>44769</v>
      </c>
    </row>
    <row r="8598" spans="1:24">
      <c r="A8598">
        <f>HYPERLINK("https://www.philgeps.gov.ph/GEPSNONPILOT/Tender/SplashBidNoticeAbstractUI.aspx?menuIndex=3&amp;refID=7140511&amp;Result=3","7140511")</f>
        <v>0</v>
      </c>
      <c r="B8598" t="s">
        <v>2706</v>
      </c>
      <c r="C8598" t="s">
        <v>11897</v>
      </c>
      <c r="D8598" t="s">
        <v>18028</v>
      </c>
      <c r="E8598" t="s">
        <v>25549</v>
      </c>
      <c r="F8598" t="s">
        <v>30900</v>
      </c>
      <c r="G8598" t="s">
        <v>30907</v>
      </c>
      <c r="H8598" t="s">
        <v>30915</v>
      </c>
      <c r="I8598" t="s">
        <v>30928</v>
      </c>
      <c r="J8598" t="s">
        <v>36451</v>
      </c>
      <c r="K8598" t="s">
        <v>40286</v>
      </c>
      <c r="M8598" t="s">
        <v>43479</v>
      </c>
      <c r="N8598" t="s">
        <v>44759</v>
      </c>
      <c r="O8598" t="s">
        <v>44760</v>
      </c>
      <c r="P8598">
        <v>0</v>
      </c>
      <c r="Q8598">
        <v>5</v>
      </c>
      <c r="R8598" t="s">
        <v>44768</v>
      </c>
      <c r="S8598" t="s">
        <v>44982</v>
      </c>
      <c r="T8598" t="s">
        <v>46544</v>
      </c>
      <c r="U8598" t="s">
        <v>54088</v>
      </c>
      <c r="W8598" t="s">
        <v>43479</v>
      </c>
      <c r="X8598" t="s">
        <v>44769</v>
      </c>
    </row>
    <row r="8599" spans="1:24">
      <c r="A8599">
        <f>HYPERLINK("https://www.philgeps.gov.ph/GEPSNONPILOT/Tender/SplashBidNoticeAbstractUI.aspx?menuIndex=3&amp;refID=7140466&amp;Result=3","7140466")</f>
        <v>0</v>
      </c>
      <c r="B8599" t="s">
        <v>586</v>
      </c>
      <c r="C8599" t="s">
        <v>11898</v>
      </c>
      <c r="D8599" t="s">
        <v>17952</v>
      </c>
      <c r="E8599" t="s">
        <v>25550</v>
      </c>
      <c r="F8599" t="s">
        <v>30900</v>
      </c>
      <c r="G8599" t="s">
        <v>30907</v>
      </c>
      <c r="H8599" t="s">
        <v>30916</v>
      </c>
      <c r="I8599" t="s">
        <v>9385</v>
      </c>
      <c r="J8599" t="s">
        <v>36452</v>
      </c>
      <c r="K8599" t="s">
        <v>40286</v>
      </c>
      <c r="M8599" t="s">
        <v>43557</v>
      </c>
      <c r="N8599" t="s">
        <v>44759</v>
      </c>
      <c r="O8599" t="s">
        <v>44760</v>
      </c>
      <c r="P8599">
        <v>0</v>
      </c>
      <c r="Q8599">
        <v>10</v>
      </c>
      <c r="R8599" t="s">
        <v>44768</v>
      </c>
      <c r="S8599" t="s">
        <v>44982</v>
      </c>
      <c r="T8599" t="s">
        <v>46689</v>
      </c>
      <c r="U8599" t="s">
        <v>54089</v>
      </c>
      <c r="V8599" t="s">
        <v>60050</v>
      </c>
      <c r="W8599" t="s">
        <v>43557</v>
      </c>
      <c r="X8599" t="s">
        <v>44769</v>
      </c>
    </row>
    <row r="8600" spans="1:24">
      <c r="A8600">
        <f>HYPERLINK("https://www.philgeps.gov.ph/GEPSNONPILOT/Tender/SplashBidNoticeAbstractUI.aspx?menuIndex=3&amp;refID=7140574&amp;Result=3","7140574")</f>
        <v>0</v>
      </c>
      <c r="B8600" t="s">
        <v>784</v>
      </c>
      <c r="C8600" t="s">
        <v>11899</v>
      </c>
      <c r="D8600" t="s">
        <v>17971</v>
      </c>
      <c r="E8600" t="s">
        <v>25551</v>
      </c>
      <c r="F8600" t="s">
        <v>30900</v>
      </c>
      <c r="G8600" t="s">
        <v>30907</v>
      </c>
      <c r="H8600" t="s">
        <v>30916</v>
      </c>
      <c r="I8600" t="s">
        <v>8123</v>
      </c>
      <c r="J8600" t="s">
        <v>36453</v>
      </c>
      <c r="K8600" t="s">
        <v>40283</v>
      </c>
      <c r="M8600" t="s">
        <v>41353</v>
      </c>
      <c r="N8600" t="s">
        <v>44759</v>
      </c>
      <c r="O8600" t="s">
        <v>44760</v>
      </c>
      <c r="P8600">
        <v>0</v>
      </c>
      <c r="Q8600">
        <v>12</v>
      </c>
      <c r="R8600" t="s">
        <v>44768</v>
      </c>
      <c r="S8600" t="s">
        <v>44982</v>
      </c>
      <c r="T8600" t="s">
        <v>46581</v>
      </c>
      <c r="U8600" t="s">
        <v>54090</v>
      </c>
      <c r="V8600" t="s">
        <v>60051</v>
      </c>
      <c r="W8600" t="s">
        <v>41353</v>
      </c>
      <c r="X8600" t="s">
        <v>44769</v>
      </c>
    </row>
    <row r="8601" spans="1:24">
      <c r="A8601">
        <f>HYPERLINK("https://www.philgeps.gov.ph/GEPSNONPILOT/Tender/SplashBidNoticeAbstractUI.aspx?menuIndex=3&amp;refID=7140573&amp;Result=3","7140573")</f>
        <v>0</v>
      </c>
      <c r="B8601" t="s">
        <v>2796</v>
      </c>
      <c r="C8601" t="s">
        <v>11900</v>
      </c>
      <c r="D8601" t="s">
        <v>18012</v>
      </c>
      <c r="E8601" t="s">
        <v>21118</v>
      </c>
      <c r="F8601" t="s">
        <v>30900</v>
      </c>
      <c r="G8601" t="s">
        <v>30907</v>
      </c>
      <c r="H8601" t="s">
        <v>30916</v>
      </c>
      <c r="I8601" t="s">
        <v>30963</v>
      </c>
      <c r="J8601" t="s">
        <v>34641</v>
      </c>
      <c r="K8601" t="s">
        <v>40286</v>
      </c>
      <c r="M8601" t="s">
        <v>43581</v>
      </c>
      <c r="N8601" t="s">
        <v>44759</v>
      </c>
      <c r="O8601" t="s">
        <v>44760</v>
      </c>
      <c r="Q8601">
        <v>2</v>
      </c>
      <c r="R8601" t="s">
        <v>44768</v>
      </c>
      <c r="S8601" t="s">
        <v>45011</v>
      </c>
      <c r="T8601" t="s">
        <v>46581</v>
      </c>
      <c r="U8601" t="s">
        <v>54091</v>
      </c>
      <c r="W8601" t="s">
        <v>43581</v>
      </c>
      <c r="X8601" t="s">
        <v>44769</v>
      </c>
    </row>
    <row r="8602" spans="1:24">
      <c r="A8602">
        <f>HYPERLINK("https://www.philgeps.gov.ph/GEPSNONPILOT/Tender/SplashBidNoticeAbstractUI.aspx?menuIndex=3&amp;refID=7140568&amp;Result=3","7140568")</f>
        <v>0</v>
      </c>
      <c r="B8602" t="s">
        <v>2036</v>
      </c>
      <c r="C8602" t="s">
        <v>11901</v>
      </c>
      <c r="D8602" t="s">
        <v>17959</v>
      </c>
      <c r="E8602" t="s">
        <v>25552</v>
      </c>
      <c r="F8602" t="s">
        <v>30900</v>
      </c>
      <c r="G8602" t="s">
        <v>30913</v>
      </c>
      <c r="H8602" t="s">
        <v>30916</v>
      </c>
      <c r="I8602" t="s">
        <v>4545</v>
      </c>
      <c r="J8602" t="s">
        <v>31214</v>
      </c>
      <c r="K8602" t="s">
        <v>40293</v>
      </c>
      <c r="M8602" t="s">
        <v>43430</v>
      </c>
      <c r="N8602" t="s">
        <v>44759</v>
      </c>
      <c r="O8602" t="s">
        <v>44760</v>
      </c>
      <c r="P8602">
        <v>0</v>
      </c>
      <c r="Q8602">
        <v>8</v>
      </c>
      <c r="R8602" t="s">
        <v>44768</v>
      </c>
      <c r="S8602" t="s">
        <v>44982</v>
      </c>
      <c r="T8602" t="s">
        <v>46380</v>
      </c>
      <c r="U8602" t="s">
        <v>53635</v>
      </c>
      <c r="W8602" t="s">
        <v>43430</v>
      </c>
      <c r="X8602" t="s">
        <v>44769</v>
      </c>
    </row>
    <row r="8603" spans="1:24">
      <c r="A8603">
        <f>HYPERLINK("https://www.philgeps.gov.ph/GEPSNONPILOT/Tender/SplashBidNoticeAbstractUI.aspx?menuIndex=3&amp;refID=7140564&amp;Result=3","7140564")</f>
        <v>0</v>
      </c>
      <c r="B8603" t="s">
        <v>586</v>
      </c>
      <c r="C8603" t="s">
        <v>11902</v>
      </c>
      <c r="D8603" t="s">
        <v>17952</v>
      </c>
      <c r="E8603" t="s">
        <v>25553</v>
      </c>
      <c r="F8603" t="s">
        <v>30900</v>
      </c>
      <c r="G8603" t="s">
        <v>30907</v>
      </c>
      <c r="H8603" t="s">
        <v>30916</v>
      </c>
      <c r="I8603" t="s">
        <v>30923</v>
      </c>
      <c r="J8603" t="s">
        <v>36454</v>
      </c>
      <c r="K8603" t="s">
        <v>40286</v>
      </c>
      <c r="M8603" t="s">
        <v>43557</v>
      </c>
      <c r="N8603" t="s">
        <v>44759</v>
      </c>
      <c r="O8603" t="s">
        <v>44760</v>
      </c>
      <c r="P8603">
        <v>0</v>
      </c>
      <c r="Q8603">
        <v>10</v>
      </c>
      <c r="R8603" t="s">
        <v>44768</v>
      </c>
      <c r="S8603" t="s">
        <v>44982</v>
      </c>
      <c r="T8603" t="s">
        <v>46689</v>
      </c>
      <c r="U8603" t="s">
        <v>54092</v>
      </c>
      <c r="V8603" t="s">
        <v>60052</v>
      </c>
      <c r="W8603" t="s">
        <v>43557</v>
      </c>
      <c r="X8603" t="s">
        <v>44769</v>
      </c>
    </row>
    <row r="8604" spans="1:24">
      <c r="A8604">
        <f>HYPERLINK("https://www.philgeps.gov.ph/GEPSNONPILOT/Tender/SplashBidNoticeAbstractUI.aspx?menuIndex=3&amp;refID=7140552&amp;Result=3","7140552")</f>
        <v>0</v>
      </c>
      <c r="B8604" t="s">
        <v>2797</v>
      </c>
      <c r="C8604" t="s">
        <v>11903</v>
      </c>
      <c r="D8604" t="s">
        <v>17985</v>
      </c>
      <c r="E8604" t="s">
        <v>25554</v>
      </c>
      <c r="F8604" t="s">
        <v>30900</v>
      </c>
      <c r="G8604" t="s">
        <v>30907</v>
      </c>
      <c r="H8604" t="s">
        <v>30916</v>
      </c>
      <c r="I8604" t="s">
        <v>30932</v>
      </c>
      <c r="J8604" t="s">
        <v>31049</v>
      </c>
      <c r="K8604" t="s">
        <v>40289</v>
      </c>
      <c r="M8604" t="s">
        <v>43582</v>
      </c>
      <c r="N8604" t="s">
        <v>44759</v>
      </c>
      <c r="O8604" t="s">
        <v>44760</v>
      </c>
      <c r="P8604">
        <v>0</v>
      </c>
      <c r="Q8604">
        <v>2</v>
      </c>
      <c r="R8604" t="s">
        <v>44768</v>
      </c>
      <c r="S8604" t="s">
        <v>44982</v>
      </c>
      <c r="T8604" t="s">
        <v>46544</v>
      </c>
      <c r="U8604" t="s">
        <v>54093</v>
      </c>
      <c r="W8604" t="s">
        <v>43582</v>
      </c>
      <c r="X8604" t="s">
        <v>44769</v>
      </c>
    </row>
    <row r="8605" spans="1:24">
      <c r="A8605">
        <f>HYPERLINK("https://www.philgeps.gov.ph/GEPSNONPILOT/Tender/SplashBidNoticeAbstractUI.aspx?menuIndex=3&amp;refID=7140549&amp;Result=3","7140549")</f>
        <v>0</v>
      </c>
      <c r="B8605" t="s">
        <v>2790</v>
      </c>
      <c r="C8605" t="s">
        <v>11882</v>
      </c>
      <c r="D8605" t="s">
        <v>17961</v>
      </c>
      <c r="E8605" t="s">
        <v>25555</v>
      </c>
      <c r="F8605" t="s">
        <v>30900</v>
      </c>
      <c r="G8605" t="s">
        <v>30907</v>
      </c>
      <c r="H8605" t="s">
        <v>30916</v>
      </c>
      <c r="I8605" t="s">
        <v>8123</v>
      </c>
      <c r="J8605" t="s">
        <v>36455</v>
      </c>
      <c r="K8605" t="s">
        <v>40283</v>
      </c>
      <c r="M8605" t="s">
        <v>43573</v>
      </c>
      <c r="N8605" t="s">
        <v>44759</v>
      </c>
      <c r="O8605" t="s">
        <v>44760</v>
      </c>
      <c r="P8605">
        <v>0</v>
      </c>
      <c r="Q8605">
        <v>0</v>
      </c>
      <c r="R8605" t="s">
        <v>44768</v>
      </c>
      <c r="S8605" t="s">
        <v>44982</v>
      </c>
      <c r="T8605" t="s">
        <v>46511</v>
      </c>
      <c r="U8605" t="s">
        <v>54073</v>
      </c>
      <c r="V8605" t="s">
        <v>60044</v>
      </c>
      <c r="W8605" t="s">
        <v>43573</v>
      </c>
      <c r="X8605" t="s">
        <v>44769</v>
      </c>
    </row>
    <row r="8606" spans="1:24">
      <c r="A8606">
        <f>HYPERLINK("https://www.philgeps.gov.ph/GEPSNONPILOT/Tender/SplashBidNoticeAbstractUI.aspx?menuIndex=3&amp;refID=7140516&amp;Result=3","7140516")</f>
        <v>0</v>
      </c>
      <c r="B8606" t="s">
        <v>2798</v>
      </c>
      <c r="C8606" t="s">
        <v>11904</v>
      </c>
      <c r="D8606" t="s">
        <v>17973</v>
      </c>
      <c r="E8606" t="s">
        <v>19703</v>
      </c>
      <c r="F8606" t="s">
        <v>30900</v>
      </c>
      <c r="G8606" t="s">
        <v>30907</v>
      </c>
      <c r="H8606" t="s">
        <v>30916</v>
      </c>
      <c r="I8606" t="s">
        <v>10602</v>
      </c>
      <c r="J8606" t="s">
        <v>36456</v>
      </c>
      <c r="K8606" t="s">
        <v>40281</v>
      </c>
      <c r="M8606" t="s">
        <v>43583</v>
      </c>
      <c r="N8606" t="s">
        <v>44759</v>
      </c>
      <c r="O8606" t="s">
        <v>44760</v>
      </c>
      <c r="P8606">
        <v>0</v>
      </c>
      <c r="Q8606">
        <v>0</v>
      </c>
      <c r="R8606" t="s">
        <v>44768</v>
      </c>
      <c r="S8606" t="s">
        <v>44982</v>
      </c>
      <c r="T8606" t="s">
        <v>46607</v>
      </c>
      <c r="U8606" t="s">
        <v>54094</v>
      </c>
      <c r="W8606" t="s">
        <v>43583</v>
      </c>
      <c r="X8606" t="s">
        <v>44769</v>
      </c>
    </row>
    <row r="8607" spans="1:24">
      <c r="A8607">
        <f>HYPERLINK("https://www.philgeps.gov.ph/GEPSNONPILOT/Tender/SplashBidNoticeAbstractUI.aspx?menuIndex=3&amp;refID=7140531&amp;Result=3","7140531")</f>
        <v>0</v>
      </c>
      <c r="B8607" t="s">
        <v>290</v>
      </c>
      <c r="C8607" t="s">
        <v>11905</v>
      </c>
      <c r="D8607" t="s">
        <v>17993</v>
      </c>
      <c r="E8607" t="s">
        <v>25556</v>
      </c>
      <c r="F8607" t="s">
        <v>30900</v>
      </c>
      <c r="G8607" t="s">
        <v>30907</v>
      </c>
      <c r="H8607" t="s">
        <v>30916</v>
      </c>
      <c r="I8607" t="s">
        <v>4017</v>
      </c>
      <c r="J8607" t="s">
        <v>36457</v>
      </c>
      <c r="K8607" t="s">
        <v>40286</v>
      </c>
      <c r="M8607" t="s">
        <v>40838</v>
      </c>
      <c r="N8607" t="s">
        <v>44759</v>
      </c>
      <c r="O8607" t="s">
        <v>44760</v>
      </c>
      <c r="P8607">
        <v>0</v>
      </c>
      <c r="Q8607">
        <v>2</v>
      </c>
      <c r="R8607" t="s">
        <v>44768</v>
      </c>
      <c r="S8607" t="s">
        <v>44982</v>
      </c>
      <c r="T8607" t="s">
        <v>46658</v>
      </c>
      <c r="U8607" t="s">
        <v>54095</v>
      </c>
      <c r="W8607" t="s">
        <v>40838</v>
      </c>
      <c r="X8607" t="s">
        <v>44769</v>
      </c>
    </row>
    <row r="8608" spans="1:24">
      <c r="A8608">
        <f>HYPERLINK("https://www.philgeps.gov.ph/GEPSNONPILOT/Tender/SplashBidNoticeAbstractUI.aspx?menuIndex=3&amp;refID=7140583&amp;Result=3","7140583")</f>
        <v>0</v>
      </c>
      <c r="B8608" t="s">
        <v>1585</v>
      </c>
      <c r="C8608" t="s">
        <v>11906</v>
      </c>
      <c r="D8608" t="s">
        <v>17953</v>
      </c>
      <c r="E8608" t="s">
        <v>25557</v>
      </c>
      <c r="F8608" t="s">
        <v>30900</v>
      </c>
      <c r="G8608" t="s">
        <v>30908</v>
      </c>
      <c r="H8608" t="s">
        <v>30916</v>
      </c>
      <c r="I8608" t="s">
        <v>5830</v>
      </c>
      <c r="J8608" t="s">
        <v>36458</v>
      </c>
      <c r="K8608" t="s">
        <v>40287</v>
      </c>
      <c r="M8608" t="s">
        <v>42232</v>
      </c>
      <c r="N8608" t="s">
        <v>44759</v>
      </c>
      <c r="O8608" t="s">
        <v>44760</v>
      </c>
      <c r="P8608">
        <v>0</v>
      </c>
      <c r="Q8608">
        <v>9</v>
      </c>
      <c r="R8608" t="s">
        <v>44768</v>
      </c>
      <c r="S8608" t="s">
        <v>44982</v>
      </c>
      <c r="T8608" t="s">
        <v>46625</v>
      </c>
      <c r="U8608" t="s">
        <v>50305</v>
      </c>
      <c r="W8608" t="s">
        <v>42232</v>
      </c>
      <c r="X8608" t="s">
        <v>44769</v>
      </c>
    </row>
    <row r="8609" spans="1:24">
      <c r="A8609">
        <f>HYPERLINK("https://www.philgeps.gov.ph/GEPSNONPILOT/Tender/SplashBidNoticeAbstractUI.aspx?menuIndex=3&amp;refID=7140580&amp;Result=3","7140580")</f>
        <v>0</v>
      </c>
      <c r="B8609" t="s">
        <v>2799</v>
      </c>
      <c r="C8609" t="s">
        <v>11907</v>
      </c>
      <c r="D8609" t="s">
        <v>18019</v>
      </c>
      <c r="E8609" t="s">
        <v>25558</v>
      </c>
      <c r="F8609" t="s">
        <v>30900</v>
      </c>
      <c r="G8609" t="s">
        <v>30907</v>
      </c>
      <c r="H8609" t="s">
        <v>30916</v>
      </c>
      <c r="I8609" t="s">
        <v>6396</v>
      </c>
      <c r="J8609" t="s">
        <v>36459</v>
      </c>
      <c r="K8609" t="s">
        <v>40321</v>
      </c>
      <c r="M8609" t="s">
        <v>43584</v>
      </c>
      <c r="N8609" t="s">
        <v>44759</v>
      </c>
      <c r="O8609" t="s">
        <v>44760</v>
      </c>
      <c r="P8609">
        <v>0</v>
      </c>
      <c r="Q8609">
        <v>12</v>
      </c>
      <c r="R8609" t="s">
        <v>44768</v>
      </c>
      <c r="S8609" t="s">
        <v>44982</v>
      </c>
      <c r="T8609" t="s">
        <v>46455</v>
      </c>
      <c r="U8609" t="s">
        <v>54096</v>
      </c>
      <c r="W8609" t="s">
        <v>43584</v>
      </c>
      <c r="X8609" t="s">
        <v>44769</v>
      </c>
    </row>
    <row r="8610" spans="1:24">
      <c r="A8610">
        <f>HYPERLINK("https://www.philgeps.gov.ph/GEPSNONPILOT/Tender/SplashBidNoticeAbstractUI.aspx?menuIndex=3&amp;refID=7140539&amp;Result=3","7140539")</f>
        <v>0</v>
      </c>
      <c r="B8610" t="s">
        <v>527</v>
      </c>
      <c r="C8610" t="s">
        <v>11908</v>
      </c>
      <c r="D8610" t="s">
        <v>17961</v>
      </c>
      <c r="E8610" t="s">
        <v>25559</v>
      </c>
      <c r="F8610" t="s">
        <v>30900</v>
      </c>
      <c r="G8610" t="s">
        <v>30908</v>
      </c>
      <c r="H8610" t="s">
        <v>30916</v>
      </c>
      <c r="I8610" t="s">
        <v>30923</v>
      </c>
      <c r="J8610" t="s">
        <v>31070</v>
      </c>
      <c r="K8610" t="s">
        <v>40284</v>
      </c>
      <c r="M8610" t="s">
        <v>41087</v>
      </c>
      <c r="N8610" t="s">
        <v>44759</v>
      </c>
      <c r="O8610" t="s">
        <v>44760</v>
      </c>
      <c r="P8610">
        <v>0</v>
      </c>
      <c r="Q8610">
        <v>11</v>
      </c>
      <c r="R8610" t="s">
        <v>44768</v>
      </c>
      <c r="S8610" t="s">
        <v>44982</v>
      </c>
      <c r="T8610" t="s">
        <v>46662</v>
      </c>
      <c r="U8610" t="s">
        <v>47825</v>
      </c>
      <c r="W8610" t="s">
        <v>41087</v>
      </c>
      <c r="X8610" t="s">
        <v>44769</v>
      </c>
    </row>
    <row r="8611" spans="1:24">
      <c r="A8611">
        <f>HYPERLINK("https://www.philgeps.gov.ph/GEPSNONPILOT/Tender/SplashBidNoticeAbstractUI.aspx?menuIndex=3&amp;refID=7140530&amp;Result=3","7140530")</f>
        <v>0</v>
      </c>
      <c r="B8611" t="s">
        <v>496</v>
      </c>
      <c r="C8611" t="s">
        <v>11909</v>
      </c>
      <c r="D8611" t="s">
        <v>18019</v>
      </c>
      <c r="E8611" t="s">
        <v>25560</v>
      </c>
      <c r="F8611" t="s">
        <v>30900</v>
      </c>
      <c r="G8611" t="s">
        <v>30908</v>
      </c>
      <c r="H8611" t="s">
        <v>30916</v>
      </c>
      <c r="I8611" t="s">
        <v>30921</v>
      </c>
      <c r="J8611" t="s">
        <v>36460</v>
      </c>
      <c r="K8611" t="s">
        <v>40283</v>
      </c>
      <c r="M8611" t="s">
        <v>41055</v>
      </c>
      <c r="N8611" t="s">
        <v>44759</v>
      </c>
      <c r="O8611" t="s">
        <v>44760</v>
      </c>
      <c r="P8611">
        <v>0</v>
      </c>
      <c r="Q8611">
        <v>7</v>
      </c>
      <c r="R8611" t="s">
        <v>44768</v>
      </c>
      <c r="S8611" t="s">
        <v>44982</v>
      </c>
      <c r="T8611" t="s">
        <v>46658</v>
      </c>
      <c r="U8611" t="s">
        <v>54097</v>
      </c>
      <c r="W8611" t="s">
        <v>41055</v>
      </c>
      <c r="X8611" t="s">
        <v>44769</v>
      </c>
    </row>
    <row r="8612" spans="1:24">
      <c r="A8612">
        <f>HYPERLINK("https://www.philgeps.gov.ph/GEPSNONPILOT/Tender/SplashBidNoticeAbstractUI.aspx?menuIndex=3&amp;refID=7140559&amp;Result=3","7140559")</f>
        <v>0</v>
      </c>
      <c r="B8612" t="s">
        <v>2800</v>
      </c>
      <c r="C8612" t="s">
        <v>11910</v>
      </c>
      <c r="D8612" t="s">
        <v>18019</v>
      </c>
      <c r="E8612" t="s">
        <v>25561</v>
      </c>
      <c r="F8612" t="s">
        <v>30900</v>
      </c>
      <c r="G8612" t="s">
        <v>30907</v>
      </c>
      <c r="H8612" t="s">
        <v>30916</v>
      </c>
      <c r="I8612" t="s">
        <v>31006</v>
      </c>
      <c r="J8612" t="s">
        <v>36461</v>
      </c>
      <c r="K8612" t="s">
        <v>40287</v>
      </c>
      <c r="M8612" t="s">
        <v>43585</v>
      </c>
      <c r="N8612" t="s">
        <v>44759</v>
      </c>
      <c r="O8612" t="s">
        <v>44760</v>
      </c>
      <c r="P8612">
        <v>0</v>
      </c>
      <c r="Q8612">
        <v>2</v>
      </c>
      <c r="R8612" t="s">
        <v>44768</v>
      </c>
      <c r="S8612" t="s">
        <v>44982</v>
      </c>
      <c r="T8612" t="s">
        <v>46730</v>
      </c>
      <c r="U8612" t="s">
        <v>54098</v>
      </c>
      <c r="W8612" t="s">
        <v>43585</v>
      </c>
      <c r="X8612" t="s">
        <v>44769</v>
      </c>
    </row>
    <row r="8613" spans="1:24">
      <c r="A8613">
        <f>HYPERLINK("https://www.philgeps.gov.ph/GEPSNONPILOT/Tender/SplashBidNoticeAbstractUI.aspx?menuIndex=3&amp;refID=7140526&amp;Result=3","7140526")</f>
        <v>0</v>
      </c>
      <c r="B8613" t="s">
        <v>2018</v>
      </c>
      <c r="C8613" t="s">
        <v>11911</v>
      </c>
      <c r="D8613" t="s">
        <v>17951</v>
      </c>
      <c r="E8613" t="s">
        <v>22308</v>
      </c>
      <c r="F8613" t="s">
        <v>30900</v>
      </c>
      <c r="G8613" t="s">
        <v>30906</v>
      </c>
      <c r="H8613" t="s">
        <v>30916</v>
      </c>
      <c r="I8613" t="s">
        <v>4142</v>
      </c>
      <c r="J8613" t="s">
        <v>36462</v>
      </c>
      <c r="K8613" t="s">
        <v>40283</v>
      </c>
      <c r="M8613" t="s">
        <v>42714</v>
      </c>
      <c r="N8613" t="s">
        <v>44759</v>
      </c>
      <c r="O8613" t="s">
        <v>44760</v>
      </c>
      <c r="P8613">
        <v>0</v>
      </c>
      <c r="Q8613">
        <v>0</v>
      </c>
      <c r="R8613" t="s">
        <v>44768</v>
      </c>
      <c r="S8613" t="s">
        <v>44982</v>
      </c>
      <c r="T8613" t="s">
        <v>46363</v>
      </c>
      <c r="U8613" t="s">
        <v>54099</v>
      </c>
      <c r="W8613" t="s">
        <v>42714</v>
      </c>
      <c r="X8613" t="s">
        <v>44769</v>
      </c>
    </row>
    <row r="8614" spans="1:24">
      <c r="A8614">
        <f>HYPERLINK("https://www.philgeps.gov.ph/GEPSNONPILOT/Tender/SplashBidNoticeAbstractUI.aspx?menuIndex=3&amp;refID=7140524&amp;Result=3","7140524")</f>
        <v>0</v>
      </c>
      <c r="B8614" t="s">
        <v>2771</v>
      </c>
      <c r="C8614" t="s">
        <v>11912</v>
      </c>
      <c r="D8614" t="s">
        <v>17953</v>
      </c>
      <c r="E8614" t="s">
        <v>25562</v>
      </c>
      <c r="F8614" t="s">
        <v>30900</v>
      </c>
      <c r="G8614" t="s">
        <v>30908</v>
      </c>
      <c r="H8614" t="s">
        <v>30916</v>
      </c>
      <c r="I8614" t="s">
        <v>4142</v>
      </c>
      <c r="J8614" t="s">
        <v>36463</v>
      </c>
      <c r="K8614" t="s">
        <v>40283</v>
      </c>
      <c r="M8614" t="s">
        <v>43550</v>
      </c>
      <c r="N8614" t="s">
        <v>44759</v>
      </c>
      <c r="O8614" t="s">
        <v>44760</v>
      </c>
      <c r="P8614">
        <v>0</v>
      </c>
      <c r="Q8614">
        <v>3</v>
      </c>
      <c r="R8614" t="s">
        <v>44768</v>
      </c>
      <c r="S8614" t="s">
        <v>44982</v>
      </c>
      <c r="T8614" t="s">
        <v>46662</v>
      </c>
      <c r="U8614" t="s">
        <v>54001</v>
      </c>
      <c r="V8614" t="s">
        <v>60028</v>
      </c>
      <c r="W8614" t="s">
        <v>43550</v>
      </c>
      <c r="X8614" t="s">
        <v>44769</v>
      </c>
    </row>
    <row r="8615" spans="1:24">
      <c r="A8615">
        <f>HYPERLINK("https://www.philgeps.gov.ph/GEPSNONPILOT/Tender/SplashBidNoticeAbstractUI.aspx?menuIndex=3&amp;refID=7140501&amp;Result=3","7140501")</f>
        <v>0</v>
      </c>
      <c r="B8615" t="s">
        <v>586</v>
      </c>
      <c r="C8615" t="s">
        <v>11913</v>
      </c>
      <c r="D8615" t="s">
        <v>17952</v>
      </c>
      <c r="E8615" t="s">
        <v>25563</v>
      </c>
      <c r="F8615" t="s">
        <v>30900</v>
      </c>
      <c r="G8615" t="s">
        <v>30907</v>
      </c>
      <c r="H8615" t="s">
        <v>30916</v>
      </c>
      <c r="I8615" t="s">
        <v>9385</v>
      </c>
      <c r="J8615" t="s">
        <v>31101</v>
      </c>
      <c r="K8615" t="s">
        <v>40286</v>
      </c>
      <c r="M8615" t="s">
        <v>43557</v>
      </c>
      <c r="N8615" t="s">
        <v>44759</v>
      </c>
      <c r="O8615" t="s">
        <v>44760</v>
      </c>
      <c r="P8615">
        <v>0</v>
      </c>
      <c r="Q8615">
        <v>5</v>
      </c>
      <c r="R8615" t="s">
        <v>44768</v>
      </c>
      <c r="S8615" t="s">
        <v>44982</v>
      </c>
      <c r="T8615" t="s">
        <v>46689</v>
      </c>
      <c r="U8615" t="s">
        <v>54100</v>
      </c>
      <c r="V8615" t="s">
        <v>60053</v>
      </c>
      <c r="W8615" t="s">
        <v>43557</v>
      </c>
      <c r="X8615" t="s">
        <v>44769</v>
      </c>
    </row>
    <row r="8616" spans="1:24">
      <c r="A8616">
        <f>HYPERLINK("https://www.philgeps.gov.ph/GEPSNONPILOT/Tender/SplashBidNoticeAbstractUI.aspx?menuIndex=3&amp;refID=7140517&amp;Result=3","7140517")</f>
        <v>0</v>
      </c>
      <c r="B8616" t="s">
        <v>2801</v>
      </c>
      <c r="C8616" t="s">
        <v>11914</v>
      </c>
      <c r="D8616" t="s">
        <v>17968</v>
      </c>
      <c r="E8616" t="s">
        <v>25564</v>
      </c>
      <c r="F8616" t="s">
        <v>30900</v>
      </c>
      <c r="G8616" t="s">
        <v>30907</v>
      </c>
      <c r="H8616" t="s">
        <v>30916</v>
      </c>
      <c r="I8616" t="s">
        <v>30933</v>
      </c>
      <c r="J8616" t="s">
        <v>31412</v>
      </c>
      <c r="K8616" t="s">
        <v>40286</v>
      </c>
      <c r="M8616" t="s">
        <v>43586</v>
      </c>
      <c r="N8616" t="s">
        <v>44759</v>
      </c>
      <c r="O8616" t="s">
        <v>44760</v>
      </c>
      <c r="P8616">
        <v>0</v>
      </c>
      <c r="Q8616">
        <v>3</v>
      </c>
      <c r="R8616" t="s">
        <v>44768</v>
      </c>
      <c r="S8616" t="s">
        <v>44982</v>
      </c>
      <c r="T8616" t="s">
        <v>46817</v>
      </c>
      <c r="U8616" t="s">
        <v>54101</v>
      </c>
      <c r="W8616" t="s">
        <v>43586</v>
      </c>
      <c r="X8616" t="s">
        <v>44769</v>
      </c>
    </row>
    <row r="8617" spans="1:24">
      <c r="A8617">
        <f>HYPERLINK("https://www.philgeps.gov.ph/GEPSNONPILOT/Tender/SplashBidNoticeAbstractUI.aspx?menuIndex=3&amp;refID=7140586&amp;Result=3","7140586")</f>
        <v>0</v>
      </c>
      <c r="B8617" t="s">
        <v>1530</v>
      </c>
      <c r="C8617" t="s">
        <v>11915</v>
      </c>
      <c r="D8617" t="s">
        <v>18010</v>
      </c>
      <c r="E8617" t="s">
        <v>25565</v>
      </c>
      <c r="F8617" t="s">
        <v>30900</v>
      </c>
      <c r="G8617" t="s">
        <v>30907</v>
      </c>
      <c r="H8617" t="s">
        <v>30916</v>
      </c>
      <c r="I8617" t="s">
        <v>30933</v>
      </c>
      <c r="J8617" t="s">
        <v>31412</v>
      </c>
      <c r="K8617" t="s">
        <v>40286</v>
      </c>
      <c r="M8617" t="s">
        <v>42173</v>
      </c>
      <c r="N8617" t="s">
        <v>44759</v>
      </c>
      <c r="O8617" t="s">
        <v>44760</v>
      </c>
      <c r="P8617">
        <v>0</v>
      </c>
      <c r="Q8617">
        <v>2</v>
      </c>
      <c r="R8617" t="s">
        <v>44768</v>
      </c>
      <c r="S8617" t="s">
        <v>44982</v>
      </c>
      <c r="T8617" t="s">
        <v>46428</v>
      </c>
      <c r="U8617" t="s">
        <v>54102</v>
      </c>
      <c r="V8617" t="s">
        <v>60054</v>
      </c>
      <c r="W8617" t="s">
        <v>42173</v>
      </c>
      <c r="X8617" t="s">
        <v>44769</v>
      </c>
    </row>
    <row r="8618" spans="1:24">
      <c r="A8618">
        <f>HYPERLINK("https://www.philgeps.gov.ph/GEPSNONPILOT/Tender/SplashBidNoticeAbstractUI.aspx?menuIndex=3&amp;refID=7140525&amp;Result=3","7140525")</f>
        <v>0</v>
      </c>
      <c r="B8618" t="s">
        <v>620</v>
      </c>
      <c r="C8618" t="s">
        <v>11916</v>
      </c>
      <c r="D8618" t="s">
        <v>17980</v>
      </c>
      <c r="E8618" t="s">
        <v>25566</v>
      </c>
      <c r="F8618" t="s">
        <v>30899</v>
      </c>
      <c r="G8618" t="s">
        <v>30907</v>
      </c>
      <c r="H8618" t="s">
        <v>30916</v>
      </c>
      <c r="I8618" t="s">
        <v>30934</v>
      </c>
      <c r="J8618" t="s">
        <v>31788</v>
      </c>
      <c r="K8618" t="s">
        <v>40293</v>
      </c>
      <c r="M8618" t="s">
        <v>41182</v>
      </c>
      <c r="N8618" t="s">
        <v>44759</v>
      </c>
      <c r="O8618" t="s">
        <v>44760</v>
      </c>
      <c r="P8618">
        <v>0</v>
      </c>
      <c r="Q8618">
        <v>0</v>
      </c>
      <c r="R8618" t="s">
        <v>44768</v>
      </c>
      <c r="S8618" t="s">
        <v>44982</v>
      </c>
      <c r="T8618" t="s">
        <v>46512</v>
      </c>
      <c r="U8618" t="s">
        <v>54103</v>
      </c>
      <c r="W8618" t="s">
        <v>41182</v>
      </c>
      <c r="X8618" t="s">
        <v>44769</v>
      </c>
    </row>
    <row r="8619" spans="1:24">
      <c r="A8619">
        <f>HYPERLINK("https://www.philgeps.gov.ph/GEPSNONPILOT/Tender/SplashBidNoticeAbstractUI.aspx?menuIndex=3&amp;refID=7140584&amp;Result=3","7140584")</f>
        <v>0</v>
      </c>
      <c r="B8619" t="s">
        <v>2802</v>
      </c>
      <c r="C8619" t="s">
        <v>11917</v>
      </c>
      <c r="D8619" t="s">
        <v>17972</v>
      </c>
      <c r="E8619" t="s">
        <v>24091</v>
      </c>
      <c r="F8619" t="s">
        <v>30904</v>
      </c>
      <c r="G8619" t="s">
        <v>30907</v>
      </c>
      <c r="H8619" t="s">
        <v>30916</v>
      </c>
      <c r="I8619" t="s">
        <v>8123</v>
      </c>
      <c r="J8619" t="s">
        <v>36464</v>
      </c>
      <c r="K8619" t="s">
        <v>40287</v>
      </c>
      <c r="M8619" t="s">
        <v>43587</v>
      </c>
      <c r="N8619" t="s">
        <v>44759</v>
      </c>
      <c r="O8619" t="s">
        <v>44760</v>
      </c>
      <c r="P8619">
        <v>0</v>
      </c>
      <c r="Q8619">
        <v>0</v>
      </c>
      <c r="R8619" t="s">
        <v>44768</v>
      </c>
      <c r="S8619" t="s">
        <v>44982</v>
      </c>
      <c r="T8619" t="s">
        <v>46451</v>
      </c>
      <c r="U8619" t="s">
        <v>54104</v>
      </c>
      <c r="W8619" t="s">
        <v>43587</v>
      </c>
      <c r="X8619" t="s">
        <v>44769</v>
      </c>
    </row>
    <row r="8620" spans="1:24">
      <c r="A8620">
        <f>HYPERLINK("https://www.philgeps.gov.ph/GEPSNONPILOT/Tender/SplashBidNoticeAbstractUI.aspx?menuIndex=3&amp;refID=7140654&amp;Result=3","7140654")</f>
        <v>0</v>
      </c>
      <c r="B8620" t="s">
        <v>2803</v>
      </c>
      <c r="C8620" t="s">
        <v>11918</v>
      </c>
      <c r="D8620" t="s">
        <v>18022</v>
      </c>
      <c r="E8620" t="s">
        <v>25567</v>
      </c>
      <c r="F8620" t="s">
        <v>30900</v>
      </c>
      <c r="G8620" t="s">
        <v>30909</v>
      </c>
      <c r="H8620" t="s">
        <v>30916</v>
      </c>
      <c r="I8620" t="s">
        <v>6953</v>
      </c>
      <c r="J8620" t="s">
        <v>36465</v>
      </c>
      <c r="K8620" t="s">
        <v>40288</v>
      </c>
      <c r="M8620" t="s">
        <v>43588</v>
      </c>
      <c r="N8620" t="s">
        <v>44759</v>
      </c>
      <c r="O8620" t="s">
        <v>44760</v>
      </c>
      <c r="P8620">
        <v>0</v>
      </c>
      <c r="Q8620">
        <v>0</v>
      </c>
      <c r="R8620" t="s">
        <v>44768</v>
      </c>
      <c r="S8620" t="s">
        <v>44982</v>
      </c>
      <c r="T8620" t="s">
        <v>46700</v>
      </c>
      <c r="U8620" t="s">
        <v>54105</v>
      </c>
      <c r="W8620" t="s">
        <v>43588</v>
      </c>
      <c r="X8620" t="s">
        <v>44769</v>
      </c>
    </row>
    <row r="8621" spans="1:24">
      <c r="A8621">
        <f>HYPERLINK("https://www.philgeps.gov.ph/GEPSNONPILOT/Tender/SplashBidNoticeAbstractUI.aspx?menuIndex=3&amp;refID=7140652&amp;Result=3","7140652")</f>
        <v>0</v>
      </c>
      <c r="B8621" t="s">
        <v>2804</v>
      </c>
      <c r="C8621" t="s">
        <v>11919</v>
      </c>
      <c r="D8621" t="s">
        <v>17978</v>
      </c>
      <c r="E8621" t="s">
        <v>18758</v>
      </c>
      <c r="F8621" t="s">
        <v>30900</v>
      </c>
      <c r="G8621" t="s">
        <v>30910</v>
      </c>
      <c r="H8621" t="s">
        <v>30916</v>
      </c>
      <c r="I8621" t="s">
        <v>30922</v>
      </c>
      <c r="J8621" t="s">
        <v>31183</v>
      </c>
      <c r="K8621" t="s">
        <v>40284</v>
      </c>
      <c r="M8621" t="s">
        <v>43589</v>
      </c>
      <c r="N8621" t="s">
        <v>44759</v>
      </c>
      <c r="O8621" t="s">
        <v>44760</v>
      </c>
      <c r="P8621">
        <v>0</v>
      </c>
      <c r="Q8621">
        <v>9</v>
      </c>
      <c r="R8621" t="s">
        <v>44768</v>
      </c>
      <c r="S8621" t="s">
        <v>44982</v>
      </c>
      <c r="T8621" t="s">
        <v>46410</v>
      </c>
      <c r="U8621" t="s">
        <v>54106</v>
      </c>
      <c r="W8621" t="s">
        <v>43589</v>
      </c>
      <c r="X8621" t="s">
        <v>44769</v>
      </c>
    </row>
    <row r="8622" spans="1:24">
      <c r="A8622">
        <f>HYPERLINK("https://www.philgeps.gov.ph/GEPSNONPILOT/Tender/SplashBidNoticeAbstractUI.aspx?menuIndex=3&amp;refID=7140489&amp;Result=3","7140489")</f>
        <v>0</v>
      </c>
      <c r="B8622" t="s">
        <v>218</v>
      </c>
      <c r="C8622" t="s">
        <v>11920</v>
      </c>
      <c r="D8622" t="s">
        <v>17985</v>
      </c>
      <c r="E8622" t="s">
        <v>25568</v>
      </c>
      <c r="F8622" t="s">
        <v>30900</v>
      </c>
      <c r="G8622" t="s">
        <v>30907</v>
      </c>
      <c r="H8622" t="s">
        <v>30916</v>
      </c>
      <c r="I8622" t="s">
        <v>30919</v>
      </c>
      <c r="J8622" t="s">
        <v>36466</v>
      </c>
      <c r="K8622" t="s">
        <v>40284</v>
      </c>
      <c r="M8622" t="s">
        <v>40765</v>
      </c>
      <c r="N8622" t="s">
        <v>44759</v>
      </c>
      <c r="O8622" t="s">
        <v>44760</v>
      </c>
      <c r="P8622">
        <v>0</v>
      </c>
      <c r="Q8622">
        <v>0</v>
      </c>
      <c r="R8622" t="s">
        <v>44768</v>
      </c>
      <c r="S8622" t="s">
        <v>44982</v>
      </c>
      <c r="T8622" t="s">
        <v>46412</v>
      </c>
      <c r="U8622" t="s">
        <v>54107</v>
      </c>
      <c r="V8622" t="s">
        <v>60055</v>
      </c>
      <c r="W8622" t="s">
        <v>40765</v>
      </c>
      <c r="X8622" t="s">
        <v>44769</v>
      </c>
    </row>
    <row r="8623" spans="1:24">
      <c r="A8623">
        <f>HYPERLINK("https://www.philgeps.gov.ph/GEPSNONPILOT/Tender/SplashBidNoticeAbstractUI.aspx?menuIndex=3&amp;refID=7140518&amp;Result=3","7140518")</f>
        <v>0</v>
      </c>
      <c r="B8623" t="s">
        <v>2795</v>
      </c>
      <c r="C8623" t="s">
        <v>11921</v>
      </c>
      <c r="D8623" t="s">
        <v>17955</v>
      </c>
      <c r="E8623" t="s">
        <v>20206</v>
      </c>
      <c r="F8623" t="s">
        <v>30900</v>
      </c>
      <c r="G8623" t="s">
        <v>30907</v>
      </c>
      <c r="H8623" t="s">
        <v>30915</v>
      </c>
      <c r="I8623" t="s">
        <v>30919</v>
      </c>
      <c r="J8623" t="s">
        <v>31341</v>
      </c>
      <c r="K8623" t="s">
        <v>40286</v>
      </c>
      <c r="M8623" t="s">
        <v>43580</v>
      </c>
      <c r="N8623" t="s">
        <v>44759</v>
      </c>
      <c r="O8623" t="s">
        <v>44760</v>
      </c>
      <c r="P8623">
        <v>0</v>
      </c>
      <c r="Q8623">
        <v>1</v>
      </c>
      <c r="R8623" t="s">
        <v>44768</v>
      </c>
      <c r="S8623" t="s">
        <v>44982</v>
      </c>
      <c r="T8623" t="s">
        <v>46533</v>
      </c>
      <c r="U8623" t="s">
        <v>54108</v>
      </c>
      <c r="W8623" t="s">
        <v>43580</v>
      </c>
      <c r="X8623" t="s">
        <v>44769</v>
      </c>
    </row>
    <row r="8624" spans="1:24">
      <c r="A8624">
        <f>HYPERLINK("https://www.philgeps.gov.ph/GEPSNONPILOT/Tender/SplashBidNoticeAbstractUI.aspx?menuIndex=3&amp;refID=7140625&amp;Result=3","7140625")</f>
        <v>0</v>
      </c>
      <c r="B8624" t="s">
        <v>1960</v>
      </c>
      <c r="C8624" t="s">
        <v>11922</v>
      </c>
      <c r="D8624" t="s">
        <v>17975</v>
      </c>
      <c r="E8624" t="s">
        <v>25482</v>
      </c>
      <c r="F8624" t="s">
        <v>30900</v>
      </c>
      <c r="G8624" t="s">
        <v>30907</v>
      </c>
      <c r="H8624" t="s">
        <v>30915</v>
      </c>
      <c r="I8624" t="s">
        <v>30919</v>
      </c>
      <c r="J8624" t="s">
        <v>36407</v>
      </c>
      <c r="K8624" t="s">
        <v>40301</v>
      </c>
      <c r="M8624" t="s">
        <v>42644</v>
      </c>
      <c r="N8624" t="s">
        <v>44759</v>
      </c>
      <c r="O8624" t="s">
        <v>44760</v>
      </c>
      <c r="P8624">
        <v>0</v>
      </c>
      <c r="Q8624">
        <v>1</v>
      </c>
      <c r="R8624" t="s">
        <v>44768</v>
      </c>
      <c r="S8624" t="s">
        <v>44982</v>
      </c>
      <c r="T8624" t="s">
        <v>46515</v>
      </c>
      <c r="U8624" t="s">
        <v>54109</v>
      </c>
      <c r="W8624" t="s">
        <v>42644</v>
      </c>
      <c r="X8624" t="s">
        <v>44769</v>
      </c>
    </row>
    <row r="8625" spans="1:24">
      <c r="A8625">
        <f>HYPERLINK("https://www.philgeps.gov.ph/GEPSNONPILOT/Tender/SplashBidNoticeAbstractUI.aspx?menuIndex=3&amp;refID=7140664&amp;Result=3","7140664")</f>
        <v>0</v>
      </c>
      <c r="B8625" t="s">
        <v>539</v>
      </c>
      <c r="C8625" t="s">
        <v>11923</v>
      </c>
      <c r="D8625" t="s">
        <v>17984</v>
      </c>
      <c r="E8625" t="s">
        <v>25569</v>
      </c>
      <c r="F8625" t="s">
        <v>30900</v>
      </c>
      <c r="G8625" t="s">
        <v>30909</v>
      </c>
      <c r="H8625" t="s">
        <v>30916</v>
      </c>
      <c r="I8625" t="s">
        <v>4108</v>
      </c>
      <c r="J8625" t="s">
        <v>35098</v>
      </c>
      <c r="K8625" t="s">
        <v>40287</v>
      </c>
      <c r="M8625" t="s">
        <v>41099</v>
      </c>
      <c r="N8625" t="s">
        <v>44759</v>
      </c>
      <c r="O8625" t="s">
        <v>44760</v>
      </c>
      <c r="P8625">
        <v>0</v>
      </c>
      <c r="Q8625">
        <v>0</v>
      </c>
      <c r="R8625" t="s">
        <v>44768</v>
      </c>
      <c r="S8625" t="s">
        <v>44982</v>
      </c>
      <c r="T8625" t="s">
        <v>46581</v>
      </c>
      <c r="U8625" t="s">
        <v>54110</v>
      </c>
      <c r="W8625" t="s">
        <v>41099</v>
      </c>
      <c r="X8625" t="s">
        <v>44769</v>
      </c>
    </row>
    <row r="8626" spans="1:24">
      <c r="A8626">
        <f>HYPERLINK("https://www.philgeps.gov.ph/GEPSNONPILOT/Tender/SplashBidNoticeAbstractUI.aspx?menuIndex=3&amp;refID=7140576&amp;Result=3","7140576")</f>
        <v>0</v>
      </c>
      <c r="B8626" t="s">
        <v>695</v>
      </c>
      <c r="C8626" t="s">
        <v>11924</v>
      </c>
      <c r="D8626" t="s">
        <v>17958</v>
      </c>
      <c r="E8626" t="s">
        <v>25570</v>
      </c>
      <c r="F8626" t="s">
        <v>30900</v>
      </c>
      <c r="G8626" t="s">
        <v>30907</v>
      </c>
      <c r="H8626" t="s">
        <v>30916</v>
      </c>
      <c r="I8626" t="s">
        <v>5501</v>
      </c>
      <c r="J8626" t="s">
        <v>36467</v>
      </c>
      <c r="K8626" t="s">
        <v>40286</v>
      </c>
      <c r="M8626" t="s">
        <v>41259</v>
      </c>
      <c r="N8626" t="s">
        <v>44759</v>
      </c>
      <c r="O8626" t="s">
        <v>44760</v>
      </c>
      <c r="Q8626">
        <v>0</v>
      </c>
      <c r="R8626" t="s">
        <v>44768</v>
      </c>
      <c r="S8626" t="s">
        <v>45012</v>
      </c>
      <c r="T8626" t="s">
        <v>46704</v>
      </c>
      <c r="U8626" t="s">
        <v>54111</v>
      </c>
      <c r="W8626" t="s">
        <v>60834</v>
      </c>
      <c r="X8626" t="s">
        <v>44769</v>
      </c>
    </row>
    <row r="8627" spans="1:24">
      <c r="A8627">
        <f>HYPERLINK("https://www.philgeps.gov.ph/GEPSNONPILOT/Tender/SplashBidNoticeAbstractUI.aspx?menuIndex=3&amp;refID=7140620&amp;Result=3","7140620")</f>
        <v>0</v>
      </c>
      <c r="B8627" t="s">
        <v>217</v>
      </c>
      <c r="C8627" t="s">
        <v>4480</v>
      </c>
      <c r="D8627" t="s">
        <v>17966</v>
      </c>
      <c r="E8627" t="s">
        <v>25571</v>
      </c>
      <c r="F8627" t="s">
        <v>30900</v>
      </c>
      <c r="G8627" t="s">
        <v>30908</v>
      </c>
      <c r="H8627" t="s">
        <v>30916</v>
      </c>
      <c r="I8627" t="s">
        <v>30923</v>
      </c>
      <c r="J8627" t="s">
        <v>31096</v>
      </c>
      <c r="K8627" t="s">
        <v>40284</v>
      </c>
      <c r="M8627" t="s">
        <v>40979</v>
      </c>
      <c r="N8627" t="s">
        <v>44759</v>
      </c>
      <c r="O8627" t="s">
        <v>44760</v>
      </c>
      <c r="P8627">
        <v>0</v>
      </c>
      <c r="Q8627">
        <v>8</v>
      </c>
      <c r="R8627" t="s">
        <v>44768</v>
      </c>
      <c r="S8627" t="s">
        <v>44982</v>
      </c>
      <c r="T8627" t="s">
        <v>46625</v>
      </c>
      <c r="U8627" t="s">
        <v>54112</v>
      </c>
      <c r="W8627" t="s">
        <v>40979</v>
      </c>
      <c r="X8627" t="s">
        <v>44769</v>
      </c>
    </row>
    <row r="8628" spans="1:24">
      <c r="A8628">
        <f>HYPERLINK("https://www.philgeps.gov.ph/GEPSNONPILOT/Tender/SplashBidNoticeAbstractUI.aspx?menuIndex=3&amp;refID=7140663&amp;Result=3","7140663")</f>
        <v>0</v>
      </c>
      <c r="B8628" t="s">
        <v>2805</v>
      </c>
      <c r="C8628" t="s">
        <v>11925</v>
      </c>
      <c r="D8628" t="s">
        <v>17952</v>
      </c>
      <c r="E8628" t="s">
        <v>25572</v>
      </c>
      <c r="F8628" t="s">
        <v>30900</v>
      </c>
      <c r="G8628" t="s">
        <v>30907</v>
      </c>
      <c r="H8628" t="s">
        <v>30916</v>
      </c>
      <c r="I8628" t="s">
        <v>30932</v>
      </c>
      <c r="J8628" t="s">
        <v>31101</v>
      </c>
      <c r="K8628" t="s">
        <v>40283</v>
      </c>
      <c r="M8628" t="s">
        <v>43590</v>
      </c>
      <c r="N8628" t="s">
        <v>44759</v>
      </c>
      <c r="O8628" t="s">
        <v>44760</v>
      </c>
      <c r="P8628">
        <v>0</v>
      </c>
      <c r="Q8628">
        <v>0</v>
      </c>
      <c r="R8628" t="s">
        <v>44768</v>
      </c>
      <c r="S8628" t="s">
        <v>44982</v>
      </c>
      <c r="T8628" t="s">
        <v>46414</v>
      </c>
      <c r="U8628" t="s">
        <v>54113</v>
      </c>
      <c r="W8628" t="s">
        <v>43590</v>
      </c>
      <c r="X8628" t="s">
        <v>44769</v>
      </c>
    </row>
    <row r="8629" spans="1:24">
      <c r="A8629">
        <f>HYPERLINK("https://www.philgeps.gov.ph/GEPSNONPILOT/Tender/SplashBidNoticeAbstractUI.aspx?menuIndex=3&amp;refID=7140615&amp;Result=3","7140615")</f>
        <v>0</v>
      </c>
      <c r="B8629" t="s">
        <v>1087</v>
      </c>
      <c r="C8629" t="s">
        <v>11926</v>
      </c>
      <c r="D8629" t="s">
        <v>17972</v>
      </c>
      <c r="E8629" t="s">
        <v>25573</v>
      </c>
      <c r="F8629" t="s">
        <v>30900</v>
      </c>
      <c r="G8629" t="s">
        <v>30907</v>
      </c>
      <c r="H8629" t="s">
        <v>30915</v>
      </c>
      <c r="I8629" t="s">
        <v>30971</v>
      </c>
      <c r="J8629" t="s">
        <v>31391</v>
      </c>
      <c r="K8629" t="s">
        <v>40292</v>
      </c>
      <c r="M8629" t="s">
        <v>41687</v>
      </c>
      <c r="N8629" t="s">
        <v>44759</v>
      </c>
      <c r="O8629" t="s">
        <v>44760</v>
      </c>
      <c r="P8629">
        <v>0</v>
      </c>
      <c r="Q8629">
        <v>0</v>
      </c>
      <c r="R8629" t="s">
        <v>44768</v>
      </c>
      <c r="S8629" t="s">
        <v>44982</v>
      </c>
      <c r="T8629" t="s">
        <v>46410</v>
      </c>
      <c r="U8629" t="s">
        <v>54114</v>
      </c>
      <c r="W8629" t="s">
        <v>41687</v>
      </c>
      <c r="X8629" t="s">
        <v>44769</v>
      </c>
    </row>
    <row r="8630" spans="1:24">
      <c r="A8630">
        <f>HYPERLINK("https://www.philgeps.gov.ph/GEPSNONPILOT/Tender/SplashBidNoticeAbstractUI.aspx?menuIndex=3&amp;refID=7140633&amp;Result=3","7140633")</f>
        <v>0</v>
      </c>
      <c r="B8630" t="s">
        <v>2346</v>
      </c>
      <c r="C8630" t="s">
        <v>11927</v>
      </c>
      <c r="D8630" t="s">
        <v>17976</v>
      </c>
      <c r="E8630" t="s">
        <v>25574</v>
      </c>
      <c r="F8630" t="s">
        <v>30900</v>
      </c>
      <c r="G8630" t="s">
        <v>30908</v>
      </c>
      <c r="H8630" t="s">
        <v>30916</v>
      </c>
      <c r="I8630" t="s">
        <v>30978</v>
      </c>
      <c r="J8630" t="s">
        <v>31048</v>
      </c>
      <c r="K8630" t="s">
        <v>40292</v>
      </c>
      <c r="M8630" t="s">
        <v>43070</v>
      </c>
      <c r="N8630" t="s">
        <v>44759</v>
      </c>
      <c r="O8630" t="s">
        <v>44760</v>
      </c>
      <c r="P8630">
        <v>0</v>
      </c>
      <c r="Q8630">
        <v>2</v>
      </c>
      <c r="R8630" t="s">
        <v>44768</v>
      </c>
      <c r="S8630" t="s">
        <v>44982</v>
      </c>
      <c r="T8630" t="s">
        <v>46658</v>
      </c>
      <c r="U8630" t="s">
        <v>54115</v>
      </c>
      <c r="W8630" t="s">
        <v>43070</v>
      </c>
      <c r="X8630" t="s">
        <v>44769</v>
      </c>
    </row>
    <row r="8631" spans="1:24">
      <c r="A8631">
        <f>HYPERLINK("https://www.philgeps.gov.ph/GEPSNONPILOT/Tender/SplashBidNoticeAbstractUI.aspx?menuIndex=3&amp;refID=7140636&amp;Result=3","7140636")</f>
        <v>0</v>
      </c>
      <c r="B8631" t="s">
        <v>586</v>
      </c>
      <c r="C8631" t="s">
        <v>11928</v>
      </c>
      <c r="D8631" t="s">
        <v>17952</v>
      </c>
      <c r="E8631" t="s">
        <v>25575</v>
      </c>
      <c r="F8631" t="s">
        <v>30900</v>
      </c>
      <c r="G8631" t="s">
        <v>30907</v>
      </c>
      <c r="H8631" t="s">
        <v>30916</v>
      </c>
      <c r="I8631" t="s">
        <v>9385</v>
      </c>
      <c r="J8631" t="s">
        <v>36468</v>
      </c>
      <c r="K8631" t="s">
        <v>40286</v>
      </c>
      <c r="M8631" t="s">
        <v>43557</v>
      </c>
      <c r="N8631" t="s">
        <v>44759</v>
      </c>
      <c r="O8631" t="s">
        <v>44760</v>
      </c>
      <c r="P8631">
        <v>0</v>
      </c>
      <c r="Q8631">
        <v>5</v>
      </c>
      <c r="R8631" t="s">
        <v>44768</v>
      </c>
      <c r="S8631" t="s">
        <v>44982</v>
      </c>
      <c r="T8631" t="s">
        <v>46689</v>
      </c>
      <c r="U8631" t="s">
        <v>54116</v>
      </c>
      <c r="V8631" t="s">
        <v>60056</v>
      </c>
      <c r="W8631" t="s">
        <v>43557</v>
      </c>
      <c r="X8631" t="s">
        <v>44769</v>
      </c>
    </row>
    <row r="8632" spans="1:24">
      <c r="A8632">
        <f>HYPERLINK("https://www.philgeps.gov.ph/GEPSNONPILOT/Tender/SplashBidNoticeAbstractUI.aspx?menuIndex=3&amp;refID=7140611&amp;Result=3","7140611")</f>
        <v>0</v>
      </c>
      <c r="B8632" t="s">
        <v>1530</v>
      </c>
      <c r="C8632" t="s">
        <v>11929</v>
      </c>
      <c r="D8632" t="s">
        <v>18010</v>
      </c>
      <c r="E8632" t="s">
        <v>25576</v>
      </c>
      <c r="F8632" t="s">
        <v>30900</v>
      </c>
      <c r="G8632" t="s">
        <v>30907</v>
      </c>
      <c r="H8632" t="s">
        <v>30916</v>
      </c>
      <c r="I8632" t="s">
        <v>30933</v>
      </c>
      <c r="J8632" t="s">
        <v>35229</v>
      </c>
      <c r="K8632" t="s">
        <v>40286</v>
      </c>
      <c r="M8632" t="s">
        <v>42173</v>
      </c>
      <c r="N8632" t="s">
        <v>44759</v>
      </c>
      <c r="O8632" t="s">
        <v>44760</v>
      </c>
      <c r="P8632">
        <v>0</v>
      </c>
      <c r="Q8632">
        <v>2</v>
      </c>
      <c r="R8632" t="s">
        <v>44768</v>
      </c>
      <c r="S8632" t="s">
        <v>44982</v>
      </c>
      <c r="T8632" t="s">
        <v>46428</v>
      </c>
      <c r="U8632" t="s">
        <v>54117</v>
      </c>
      <c r="V8632" t="s">
        <v>60057</v>
      </c>
      <c r="W8632" t="s">
        <v>42173</v>
      </c>
      <c r="X8632" t="s">
        <v>44769</v>
      </c>
    </row>
    <row r="8633" spans="1:24">
      <c r="A8633">
        <f>HYPERLINK("https://www.philgeps.gov.ph/GEPSNONPILOT/Tender/SplashBidNoticeAbstractUI.aspx?menuIndex=3&amp;refID=7140608&amp;Result=3","7140608")</f>
        <v>0</v>
      </c>
      <c r="B8633" t="s">
        <v>695</v>
      </c>
      <c r="C8633" t="s">
        <v>11930</v>
      </c>
      <c r="D8633" t="s">
        <v>17958</v>
      </c>
      <c r="E8633" t="s">
        <v>25577</v>
      </c>
      <c r="F8633" t="s">
        <v>30900</v>
      </c>
      <c r="G8633" t="s">
        <v>30907</v>
      </c>
      <c r="H8633" t="s">
        <v>30916</v>
      </c>
      <c r="I8633" t="s">
        <v>5501</v>
      </c>
      <c r="J8633" t="s">
        <v>36469</v>
      </c>
      <c r="K8633" t="s">
        <v>40286</v>
      </c>
      <c r="M8633" t="s">
        <v>41259</v>
      </c>
      <c r="N8633" t="s">
        <v>44759</v>
      </c>
      <c r="O8633" t="s">
        <v>44760</v>
      </c>
      <c r="Q8633">
        <v>1</v>
      </c>
      <c r="R8633" t="s">
        <v>44768</v>
      </c>
      <c r="S8633" t="s">
        <v>44969</v>
      </c>
      <c r="T8633" t="s">
        <v>46704</v>
      </c>
      <c r="U8633" t="s">
        <v>54118</v>
      </c>
      <c r="W8633" t="s">
        <v>60834</v>
      </c>
      <c r="X8633" t="s">
        <v>44769</v>
      </c>
    </row>
    <row r="8634" spans="1:24">
      <c r="A8634">
        <f>HYPERLINK("https://www.philgeps.gov.ph/GEPSNONPILOT/Tender/SplashBidNoticeAbstractUI.aspx?menuIndex=3&amp;refID=7140597&amp;Result=3","7140597")</f>
        <v>0</v>
      </c>
      <c r="B8634" t="s">
        <v>586</v>
      </c>
      <c r="C8634" t="s">
        <v>11931</v>
      </c>
      <c r="D8634" t="s">
        <v>17952</v>
      </c>
      <c r="E8634" t="s">
        <v>25578</v>
      </c>
      <c r="F8634" t="s">
        <v>30900</v>
      </c>
      <c r="G8634" t="s">
        <v>30907</v>
      </c>
      <c r="H8634" t="s">
        <v>30916</v>
      </c>
      <c r="I8634" t="s">
        <v>5501</v>
      </c>
      <c r="J8634" t="s">
        <v>36470</v>
      </c>
      <c r="K8634" t="s">
        <v>40291</v>
      </c>
      <c r="M8634" t="s">
        <v>43557</v>
      </c>
      <c r="N8634" t="s">
        <v>44759</v>
      </c>
      <c r="O8634" t="s">
        <v>44760</v>
      </c>
      <c r="P8634">
        <v>0</v>
      </c>
      <c r="Q8634">
        <v>9</v>
      </c>
      <c r="R8634" t="s">
        <v>44768</v>
      </c>
      <c r="S8634" t="s">
        <v>44982</v>
      </c>
      <c r="T8634" t="s">
        <v>46689</v>
      </c>
      <c r="U8634" t="s">
        <v>54119</v>
      </c>
      <c r="V8634" t="s">
        <v>60058</v>
      </c>
      <c r="W8634" t="s">
        <v>43557</v>
      </c>
      <c r="X8634" t="s">
        <v>44769</v>
      </c>
    </row>
    <row r="8635" spans="1:24">
      <c r="A8635">
        <f>HYPERLINK("https://www.philgeps.gov.ph/GEPSNONPILOT/Tender/SplashBidNoticeAbstractUI.aspx?menuIndex=3&amp;refID=7140596&amp;Result=3","7140596")</f>
        <v>0</v>
      </c>
      <c r="B8635" t="s">
        <v>379</v>
      </c>
      <c r="C8635" t="s">
        <v>11932</v>
      </c>
      <c r="D8635" t="s">
        <v>18015</v>
      </c>
      <c r="E8635" t="s">
        <v>25579</v>
      </c>
      <c r="F8635" t="s">
        <v>30900</v>
      </c>
      <c r="G8635" t="s">
        <v>30907</v>
      </c>
      <c r="H8635" t="s">
        <v>30916</v>
      </c>
      <c r="I8635" t="s">
        <v>4545</v>
      </c>
      <c r="J8635" t="s">
        <v>31163</v>
      </c>
      <c r="K8635" t="s">
        <v>40283</v>
      </c>
      <c r="M8635" t="s">
        <v>40933</v>
      </c>
      <c r="N8635" t="s">
        <v>44759</v>
      </c>
      <c r="O8635" t="s">
        <v>44760</v>
      </c>
      <c r="P8635">
        <v>0</v>
      </c>
      <c r="Q8635">
        <v>0</v>
      </c>
      <c r="R8635" t="s">
        <v>44768</v>
      </c>
      <c r="S8635" t="s">
        <v>44982</v>
      </c>
      <c r="T8635" t="s">
        <v>46455</v>
      </c>
      <c r="U8635" t="s">
        <v>54120</v>
      </c>
      <c r="W8635" t="s">
        <v>40933</v>
      </c>
      <c r="X8635" t="s">
        <v>44769</v>
      </c>
    </row>
    <row r="8636" spans="1:24">
      <c r="A8636">
        <f>HYPERLINK("https://www.philgeps.gov.ph/GEPSNONPILOT/Tender/SplashBidNoticeAbstractUI.aspx?menuIndex=3&amp;refID=7140591&amp;Result=3","7140591")</f>
        <v>0</v>
      </c>
      <c r="B8636" t="s">
        <v>480</v>
      </c>
      <c r="C8636" t="s">
        <v>11933</v>
      </c>
      <c r="D8636" t="s">
        <v>17972</v>
      </c>
      <c r="E8636" t="s">
        <v>25580</v>
      </c>
      <c r="F8636" t="s">
        <v>30900</v>
      </c>
      <c r="G8636" t="s">
        <v>30909</v>
      </c>
      <c r="H8636" t="s">
        <v>30916</v>
      </c>
      <c r="I8636" t="s">
        <v>4142</v>
      </c>
      <c r="J8636" t="s">
        <v>31043</v>
      </c>
      <c r="K8636" t="s">
        <v>40283</v>
      </c>
      <c r="M8636" t="s">
        <v>41038</v>
      </c>
      <c r="N8636" t="s">
        <v>44759</v>
      </c>
      <c r="O8636" t="s">
        <v>44760</v>
      </c>
      <c r="P8636">
        <v>0</v>
      </c>
      <c r="Q8636">
        <v>1</v>
      </c>
      <c r="R8636" t="s">
        <v>44768</v>
      </c>
      <c r="S8636" t="s">
        <v>44982</v>
      </c>
      <c r="T8636" t="s">
        <v>46581</v>
      </c>
      <c r="U8636" t="s">
        <v>54121</v>
      </c>
      <c r="W8636" t="s">
        <v>41038</v>
      </c>
      <c r="X8636" t="s">
        <v>44769</v>
      </c>
    </row>
    <row r="8637" spans="1:24">
      <c r="A8637">
        <f>HYPERLINK("https://www.philgeps.gov.ph/GEPSNONPILOT/Tender/SplashBidNoticeAbstractUI.aspx?menuIndex=3&amp;refID=7140657&amp;Result=3","7140657")</f>
        <v>0</v>
      </c>
      <c r="B8637" t="s">
        <v>2346</v>
      </c>
      <c r="C8637" t="s">
        <v>11934</v>
      </c>
      <c r="D8637" t="s">
        <v>17976</v>
      </c>
      <c r="E8637" t="s">
        <v>25581</v>
      </c>
      <c r="F8637" t="s">
        <v>30900</v>
      </c>
      <c r="G8637" t="s">
        <v>30908</v>
      </c>
      <c r="H8637" t="s">
        <v>30916</v>
      </c>
      <c r="I8637" t="s">
        <v>6746</v>
      </c>
      <c r="J8637" t="s">
        <v>36471</v>
      </c>
      <c r="K8637" t="s">
        <v>40283</v>
      </c>
      <c r="M8637" t="s">
        <v>43070</v>
      </c>
      <c r="N8637" t="s">
        <v>44759</v>
      </c>
      <c r="O8637" t="s">
        <v>44760</v>
      </c>
      <c r="P8637">
        <v>0</v>
      </c>
      <c r="Q8637">
        <v>1</v>
      </c>
      <c r="R8637" t="s">
        <v>44768</v>
      </c>
      <c r="S8637" t="s">
        <v>44982</v>
      </c>
      <c r="T8637" t="s">
        <v>46658</v>
      </c>
      <c r="U8637" t="s">
        <v>54122</v>
      </c>
      <c r="W8637" t="s">
        <v>43070</v>
      </c>
      <c r="X8637" t="s">
        <v>44769</v>
      </c>
    </row>
    <row r="8638" spans="1:24">
      <c r="A8638">
        <f>HYPERLINK("https://www.philgeps.gov.ph/GEPSNONPILOT/Tender/SplashBidNoticeAbstractUI.aspx?menuIndex=3&amp;refID=7140673&amp;Result=3","7140673")</f>
        <v>0</v>
      </c>
      <c r="B8638" t="s">
        <v>2806</v>
      </c>
      <c r="C8638" t="s">
        <v>11935</v>
      </c>
      <c r="D8638" t="s">
        <v>17975</v>
      </c>
      <c r="E8638" t="s">
        <v>25582</v>
      </c>
      <c r="F8638" t="s">
        <v>30901</v>
      </c>
      <c r="G8638" t="s">
        <v>30907</v>
      </c>
      <c r="H8638" t="s">
        <v>30916</v>
      </c>
      <c r="I8638" t="s">
        <v>30927</v>
      </c>
      <c r="J8638" t="s">
        <v>36472</v>
      </c>
      <c r="K8638" t="s">
        <v>40287</v>
      </c>
      <c r="M8638" t="s">
        <v>43591</v>
      </c>
      <c r="N8638" t="s">
        <v>44759</v>
      </c>
      <c r="O8638" t="s">
        <v>44760</v>
      </c>
      <c r="P8638">
        <v>0</v>
      </c>
      <c r="Q8638">
        <v>0</v>
      </c>
      <c r="R8638" t="s">
        <v>44768</v>
      </c>
      <c r="S8638" t="s">
        <v>44982</v>
      </c>
      <c r="T8638" t="s">
        <v>46369</v>
      </c>
      <c r="U8638" t="s">
        <v>54123</v>
      </c>
      <c r="V8638" t="s">
        <v>60059</v>
      </c>
      <c r="W8638" t="s">
        <v>43591</v>
      </c>
      <c r="X8638" t="s">
        <v>44769</v>
      </c>
    </row>
    <row r="8639" spans="1:24">
      <c r="A8639">
        <f>HYPERLINK("https://www.philgeps.gov.ph/GEPSNONPILOT/Tender/SplashBidNoticeAbstractUI.aspx?menuIndex=3&amp;refID=7140729&amp;Result=3","7140729")</f>
        <v>0</v>
      </c>
      <c r="B8639" t="s">
        <v>1888</v>
      </c>
      <c r="C8639" t="s">
        <v>11936</v>
      </c>
      <c r="D8639" t="s">
        <v>18033</v>
      </c>
      <c r="E8639" t="s">
        <v>25583</v>
      </c>
      <c r="F8639" t="s">
        <v>30900</v>
      </c>
      <c r="G8639" t="s">
        <v>30908</v>
      </c>
      <c r="H8639" t="s">
        <v>7411</v>
      </c>
      <c r="I8639" t="s">
        <v>7411</v>
      </c>
      <c r="J8639" t="s">
        <v>32049</v>
      </c>
      <c r="K8639" t="s">
        <v>40280</v>
      </c>
      <c r="M8639" t="s">
        <v>42563</v>
      </c>
      <c r="N8639" t="s">
        <v>44759</v>
      </c>
      <c r="O8639" t="s">
        <v>44760</v>
      </c>
      <c r="P8639">
        <v>0</v>
      </c>
      <c r="Q8639">
        <v>3</v>
      </c>
      <c r="R8639" t="s">
        <v>44768</v>
      </c>
      <c r="S8639" t="s">
        <v>44982</v>
      </c>
      <c r="T8639" t="s">
        <v>46383</v>
      </c>
      <c r="U8639" t="s">
        <v>53648</v>
      </c>
      <c r="W8639" t="s">
        <v>42563</v>
      </c>
      <c r="X8639" t="s">
        <v>44769</v>
      </c>
    </row>
    <row r="8640" spans="1:24">
      <c r="A8640">
        <f>HYPERLINK("https://www.philgeps.gov.ph/GEPSNONPILOT/Tender/SplashBidNoticeAbstractUI.aspx?menuIndex=3&amp;refID=7140619&amp;Result=3","7140619")</f>
        <v>0</v>
      </c>
      <c r="B8640" t="s">
        <v>819</v>
      </c>
      <c r="C8640" t="s">
        <v>11937</v>
      </c>
      <c r="D8640" t="s">
        <v>18025</v>
      </c>
      <c r="E8640" t="s">
        <v>25584</v>
      </c>
      <c r="F8640" t="s">
        <v>30900</v>
      </c>
      <c r="G8640" t="s">
        <v>30907</v>
      </c>
      <c r="H8640" t="s">
        <v>30915</v>
      </c>
      <c r="I8640" t="s">
        <v>30919</v>
      </c>
      <c r="J8640" t="s">
        <v>36473</v>
      </c>
      <c r="K8640" t="s">
        <v>40293</v>
      </c>
      <c r="M8640" t="s">
        <v>41390</v>
      </c>
      <c r="N8640" t="s">
        <v>44759</v>
      </c>
      <c r="O8640" t="s">
        <v>44760</v>
      </c>
      <c r="P8640">
        <v>0</v>
      </c>
      <c r="Q8640">
        <v>0</v>
      </c>
      <c r="R8640" t="s">
        <v>44768</v>
      </c>
      <c r="S8640" t="s">
        <v>44982</v>
      </c>
      <c r="T8640" t="s">
        <v>46503</v>
      </c>
      <c r="U8640" t="s">
        <v>54124</v>
      </c>
      <c r="W8640" t="s">
        <v>41390</v>
      </c>
      <c r="X8640" t="s">
        <v>44769</v>
      </c>
    </row>
    <row r="8641" spans="1:24">
      <c r="A8641">
        <f>HYPERLINK("https://www.philgeps.gov.ph/GEPSNONPILOT/Tender/SplashBidNoticeAbstractUI.aspx?menuIndex=3&amp;refID=7140724&amp;Result=3","7140724")</f>
        <v>0</v>
      </c>
      <c r="B8641" t="s">
        <v>568</v>
      </c>
      <c r="C8641" t="s">
        <v>11938</v>
      </c>
      <c r="E8641" t="s">
        <v>25585</v>
      </c>
      <c r="F8641" t="s">
        <v>30900</v>
      </c>
      <c r="G8641" t="s">
        <v>30907</v>
      </c>
      <c r="H8641" t="s">
        <v>30915</v>
      </c>
      <c r="I8641" t="s">
        <v>30919</v>
      </c>
      <c r="J8641" t="s">
        <v>36474</v>
      </c>
      <c r="K8641" t="s">
        <v>40289</v>
      </c>
      <c r="M8641" t="s">
        <v>41129</v>
      </c>
      <c r="N8641" t="s">
        <v>44759</v>
      </c>
      <c r="O8641" t="s">
        <v>44760</v>
      </c>
      <c r="P8641">
        <v>0</v>
      </c>
      <c r="Q8641">
        <v>87</v>
      </c>
      <c r="R8641" t="s">
        <v>44768</v>
      </c>
      <c r="S8641" t="s">
        <v>44982</v>
      </c>
      <c r="T8641" t="s">
        <v>46625</v>
      </c>
      <c r="U8641" t="s">
        <v>54125</v>
      </c>
      <c r="W8641" t="s">
        <v>41129</v>
      </c>
      <c r="X8641" t="s">
        <v>44769</v>
      </c>
    </row>
    <row r="8642" spans="1:24">
      <c r="A8642">
        <f>HYPERLINK("https://www.philgeps.gov.ph/GEPSNONPILOT/Tender/SplashBidNoticeAbstractUI.aspx?menuIndex=3&amp;refID=7140607&amp;Result=3","7140607")</f>
        <v>0</v>
      </c>
      <c r="B8642" t="s">
        <v>1959</v>
      </c>
      <c r="C8642" t="s">
        <v>11939</v>
      </c>
      <c r="D8642" t="s">
        <v>17972</v>
      </c>
      <c r="E8642" t="s">
        <v>25586</v>
      </c>
      <c r="F8642" t="s">
        <v>30900</v>
      </c>
      <c r="G8642" t="s">
        <v>30907</v>
      </c>
      <c r="H8642" t="s">
        <v>30915</v>
      </c>
      <c r="I8642" t="s">
        <v>30919</v>
      </c>
      <c r="J8642" t="s">
        <v>36475</v>
      </c>
      <c r="K8642" t="s">
        <v>40399</v>
      </c>
      <c r="M8642" t="s">
        <v>42643</v>
      </c>
      <c r="N8642" t="s">
        <v>44759</v>
      </c>
      <c r="O8642" t="s">
        <v>44760</v>
      </c>
      <c r="P8642">
        <v>0</v>
      </c>
      <c r="Q8642">
        <v>0</v>
      </c>
      <c r="R8642" t="s">
        <v>44768</v>
      </c>
      <c r="S8642" t="s">
        <v>44982</v>
      </c>
      <c r="T8642" t="s">
        <v>46544</v>
      </c>
      <c r="U8642" t="s">
        <v>54126</v>
      </c>
      <c r="W8642" t="s">
        <v>42643</v>
      </c>
      <c r="X8642" t="s">
        <v>44769</v>
      </c>
    </row>
    <row r="8643" spans="1:24">
      <c r="A8643">
        <f>HYPERLINK("https://www.philgeps.gov.ph/GEPSNONPILOT/Tender/SplashBidNoticeAbstractUI.aspx?menuIndex=3&amp;refID=7140638&amp;Result=3","7140638")</f>
        <v>0</v>
      </c>
      <c r="B8643" t="s">
        <v>784</v>
      </c>
      <c r="C8643" t="s">
        <v>11940</v>
      </c>
      <c r="D8643" t="s">
        <v>17971</v>
      </c>
      <c r="E8643" t="s">
        <v>25587</v>
      </c>
      <c r="F8643" t="s">
        <v>30900</v>
      </c>
      <c r="G8643" t="s">
        <v>30907</v>
      </c>
      <c r="H8643" t="s">
        <v>30916</v>
      </c>
      <c r="I8643" t="s">
        <v>8123</v>
      </c>
      <c r="J8643" t="s">
        <v>36476</v>
      </c>
      <c r="K8643" t="s">
        <v>40283</v>
      </c>
      <c r="M8643" t="s">
        <v>41353</v>
      </c>
      <c r="N8643" t="s">
        <v>44759</v>
      </c>
      <c r="O8643" t="s">
        <v>44760</v>
      </c>
      <c r="P8643">
        <v>0</v>
      </c>
      <c r="Q8643">
        <v>5</v>
      </c>
      <c r="R8643" t="s">
        <v>44768</v>
      </c>
      <c r="S8643" t="s">
        <v>44982</v>
      </c>
      <c r="T8643" t="s">
        <v>46581</v>
      </c>
      <c r="U8643" t="s">
        <v>54127</v>
      </c>
      <c r="V8643" t="s">
        <v>60060</v>
      </c>
      <c r="W8643" t="s">
        <v>41353</v>
      </c>
      <c r="X8643" t="s">
        <v>44769</v>
      </c>
    </row>
    <row r="8644" spans="1:24">
      <c r="A8644">
        <f>HYPERLINK("https://www.philgeps.gov.ph/GEPSNONPILOT/Tender/SplashBidNoticeAbstractUI.aspx?menuIndex=3&amp;refID=7140457&amp;Result=3","7140457")</f>
        <v>0</v>
      </c>
      <c r="B8644" t="s">
        <v>2796</v>
      </c>
      <c r="C8644" t="s">
        <v>11941</v>
      </c>
      <c r="D8644" t="s">
        <v>18012</v>
      </c>
      <c r="E8644" t="s">
        <v>19293</v>
      </c>
      <c r="F8644" t="s">
        <v>30900</v>
      </c>
      <c r="G8644" t="s">
        <v>30907</v>
      </c>
      <c r="H8644" t="s">
        <v>30916</v>
      </c>
      <c r="I8644" t="s">
        <v>8123</v>
      </c>
      <c r="J8644" t="s">
        <v>36477</v>
      </c>
      <c r="K8644" t="s">
        <v>40284</v>
      </c>
      <c r="M8644" t="s">
        <v>43581</v>
      </c>
      <c r="N8644" t="s">
        <v>44759</v>
      </c>
      <c r="O8644" t="s">
        <v>44760</v>
      </c>
      <c r="Q8644">
        <v>1</v>
      </c>
      <c r="R8644" t="s">
        <v>44768</v>
      </c>
      <c r="S8644" t="s">
        <v>45013</v>
      </c>
      <c r="T8644" t="s">
        <v>46581</v>
      </c>
      <c r="U8644" t="s">
        <v>47670</v>
      </c>
      <c r="W8644" t="s">
        <v>43581</v>
      </c>
      <c r="X8644" t="s">
        <v>44769</v>
      </c>
    </row>
    <row r="8645" spans="1:24">
      <c r="A8645">
        <f>HYPERLINK("https://www.philgeps.gov.ph/GEPSNONPILOT/Tender/SplashBidNoticeAbstractUI.aspx?menuIndex=3&amp;refID=7140727&amp;Result=3","7140727")</f>
        <v>0</v>
      </c>
      <c r="B8645" t="s">
        <v>1530</v>
      </c>
      <c r="C8645" t="s">
        <v>11942</v>
      </c>
      <c r="D8645" t="s">
        <v>18010</v>
      </c>
      <c r="E8645" t="s">
        <v>25588</v>
      </c>
      <c r="F8645" t="s">
        <v>30900</v>
      </c>
      <c r="G8645" t="s">
        <v>30907</v>
      </c>
      <c r="H8645" t="s">
        <v>30916</v>
      </c>
      <c r="I8645" t="s">
        <v>30925</v>
      </c>
      <c r="J8645" t="s">
        <v>31270</v>
      </c>
      <c r="K8645" t="s">
        <v>40286</v>
      </c>
      <c r="M8645" t="s">
        <v>42173</v>
      </c>
      <c r="N8645" t="s">
        <v>44759</v>
      </c>
      <c r="O8645" t="s">
        <v>44760</v>
      </c>
      <c r="P8645">
        <v>0</v>
      </c>
      <c r="Q8645">
        <v>5</v>
      </c>
      <c r="R8645" t="s">
        <v>44768</v>
      </c>
      <c r="S8645" t="s">
        <v>44982</v>
      </c>
      <c r="T8645" t="s">
        <v>46352</v>
      </c>
      <c r="U8645" t="s">
        <v>54128</v>
      </c>
      <c r="V8645" t="s">
        <v>60061</v>
      </c>
      <c r="W8645" t="s">
        <v>42173</v>
      </c>
      <c r="X8645" t="s">
        <v>44769</v>
      </c>
    </row>
    <row r="8646" spans="1:24">
      <c r="A8646">
        <f>HYPERLINK("https://www.philgeps.gov.ph/GEPSNONPILOT/Tender/SplashBidNoticeAbstractUI.aspx?menuIndex=3&amp;refID=7140714&amp;Result=3","7140714")</f>
        <v>0</v>
      </c>
      <c r="B8646" t="s">
        <v>56</v>
      </c>
      <c r="C8646" t="s">
        <v>11943</v>
      </c>
      <c r="D8646" t="s">
        <v>17952</v>
      </c>
      <c r="E8646" t="s">
        <v>25589</v>
      </c>
      <c r="F8646" t="s">
        <v>30900</v>
      </c>
      <c r="G8646" t="s">
        <v>30907</v>
      </c>
      <c r="H8646" t="s">
        <v>30916</v>
      </c>
      <c r="I8646" t="s">
        <v>17295</v>
      </c>
      <c r="J8646" t="s">
        <v>36478</v>
      </c>
      <c r="K8646" t="s">
        <v>40294</v>
      </c>
      <c r="M8646" t="s">
        <v>41803</v>
      </c>
      <c r="N8646" t="s">
        <v>44759</v>
      </c>
      <c r="O8646" t="s">
        <v>44760</v>
      </c>
      <c r="P8646">
        <v>0</v>
      </c>
      <c r="Q8646">
        <v>6</v>
      </c>
      <c r="R8646" t="s">
        <v>44768</v>
      </c>
      <c r="S8646" t="s">
        <v>44982</v>
      </c>
      <c r="T8646" t="s">
        <v>46450</v>
      </c>
      <c r="U8646" t="s">
        <v>54129</v>
      </c>
      <c r="V8646" t="s">
        <v>59226</v>
      </c>
      <c r="W8646" t="s">
        <v>41803</v>
      </c>
      <c r="X8646" t="s">
        <v>44769</v>
      </c>
    </row>
    <row r="8647" spans="1:24">
      <c r="A8647">
        <f>HYPERLINK("https://www.philgeps.gov.ph/GEPSNONPILOT/Tender/SplashBidNoticeAbstractUI.aspx?menuIndex=3&amp;refID=7140706&amp;Result=3","7140706")</f>
        <v>0</v>
      </c>
      <c r="B8647" t="s">
        <v>2807</v>
      </c>
      <c r="C8647" t="s">
        <v>11944</v>
      </c>
      <c r="D8647" t="s">
        <v>17979</v>
      </c>
      <c r="E8647" t="s">
        <v>25590</v>
      </c>
      <c r="F8647" t="s">
        <v>30900</v>
      </c>
      <c r="G8647" t="s">
        <v>30907</v>
      </c>
      <c r="H8647" t="s">
        <v>30915</v>
      </c>
      <c r="I8647" t="s">
        <v>30919</v>
      </c>
      <c r="J8647" t="s">
        <v>36479</v>
      </c>
      <c r="K8647" t="s">
        <v>40280</v>
      </c>
      <c r="M8647" t="s">
        <v>43592</v>
      </c>
      <c r="N8647" t="s">
        <v>44759</v>
      </c>
      <c r="O8647" t="s">
        <v>44760</v>
      </c>
      <c r="P8647">
        <v>0</v>
      </c>
      <c r="Q8647">
        <v>5</v>
      </c>
      <c r="R8647" t="s">
        <v>44768</v>
      </c>
      <c r="S8647" t="s">
        <v>44982</v>
      </c>
      <c r="T8647" t="s">
        <v>46515</v>
      </c>
      <c r="U8647" t="s">
        <v>54130</v>
      </c>
      <c r="W8647" t="s">
        <v>43592</v>
      </c>
      <c r="X8647" t="s">
        <v>44769</v>
      </c>
    </row>
    <row r="8648" spans="1:24">
      <c r="A8648">
        <f>HYPERLINK("https://www.philgeps.gov.ph/GEPSNONPILOT/Tender/SplashBidNoticeAbstractUI.aspx?menuIndex=3&amp;refID=7140704&amp;Result=3","7140704")</f>
        <v>0</v>
      </c>
      <c r="B8648" t="s">
        <v>2808</v>
      </c>
      <c r="C8648" t="s">
        <v>11945</v>
      </c>
      <c r="D8648" t="s">
        <v>17957</v>
      </c>
      <c r="E8648" t="s">
        <v>25591</v>
      </c>
      <c r="F8648" t="s">
        <v>30900</v>
      </c>
      <c r="G8648" t="s">
        <v>30907</v>
      </c>
      <c r="H8648" t="s">
        <v>30915</v>
      </c>
      <c r="I8648" t="s">
        <v>30919</v>
      </c>
      <c r="J8648" t="s">
        <v>36480</v>
      </c>
      <c r="K8648" t="s">
        <v>40376</v>
      </c>
      <c r="M8648" t="s">
        <v>43593</v>
      </c>
      <c r="N8648" t="s">
        <v>44759</v>
      </c>
      <c r="O8648" t="s">
        <v>44760</v>
      </c>
      <c r="P8648">
        <v>0</v>
      </c>
      <c r="Q8648">
        <v>0</v>
      </c>
      <c r="R8648" t="s">
        <v>44768</v>
      </c>
      <c r="S8648" t="s">
        <v>44982</v>
      </c>
      <c r="T8648" t="s">
        <v>46495</v>
      </c>
      <c r="U8648" t="s">
        <v>54131</v>
      </c>
      <c r="W8648" t="s">
        <v>43593</v>
      </c>
      <c r="X8648" t="s">
        <v>44769</v>
      </c>
    </row>
    <row r="8649" spans="1:24">
      <c r="A8649">
        <f>HYPERLINK("https://www.philgeps.gov.ph/GEPSNONPILOT/Tender/SplashBidNoticeAbstractUI.aspx?menuIndex=3&amp;refID=7140720&amp;Result=3","7140720")</f>
        <v>0</v>
      </c>
      <c r="B8649" t="s">
        <v>819</v>
      </c>
      <c r="C8649" t="s">
        <v>11946</v>
      </c>
      <c r="D8649" t="s">
        <v>18025</v>
      </c>
      <c r="E8649" t="s">
        <v>25584</v>
      </c>
      <c r="F8649" t="s">
        <v>30900</v>
      </c>
      <c r="G8649" t="s">
        <v>30907</v>
      </c>
      <c r="H8649" t="s">
        <v>30915</v>
      </c>
      <c r="I8649" t="s">
        <v>30919</v>
      </c>
      <c r="J8649" t="s">
        <v>36481</v>
      </c>
      <c r="K8649" t="s">
        <v>40342</v>
      </c>
      <c r="M8649" t="s">
        <v>41390</v>
      </c>
      <c r="N8649" t="s">
        <v>44759</v>
      </c>
      <c r="O8649" t="s">
        <v>44760</v>
      </c>
      <c r="P8649">
        <v>0</v>
      </c>
      <c r="Q8649">
        <v>1</v>
      </c>
      <c r="R8649" t="s">
        <v>44768</v>
      </c>
      <c r="S8649" t="s">
        <v>44982</v>
      </c>
      <c r="T8649" t="s">
        <v>46807</v>
      </c>
      <c r="U8649" t="s">
        <v>54124</v>
      </c>
      <c r="W8649" t="s">
        <v>41390</v>
      </c>
      <c r="X8649" t="s">
        <v>44769</v>
      </c>
    </row>
    <row r="8650" spans="1:24">
      <c r="A8650">
        <f>HYPERLINK("https://www.philgeps.gov.ph/GEPSNONPILOT/Tender/SplashBidNoticeAbstractUI.aspx?menuIndex=3&amp;refID=7140701&amp;Result=3","7140701")</f>
        <v>0</v>
      </c>
      <c r="B8650" t="s">
        <v>1994</v>
      </c>
      <c r="C8650" t="s">
        <v>11947</v>
      </c>
      <c r="D8650" t="s">
        <v>17968</v>
      </c>
      <c r="E8650" t="s">
        <v>25592</v>
      </c>
      <c r="F8650" t="s">
        <v>30900</v>
      </c>
      <c r="G8650" t="s">
        <v>30907</v>
      </c>
      <c r="H8650" t="s">
        <v>30915</v>
      </c>
      <c r="I8650" t="s">
        <v>30919</v>
      </c>
      <c r="J8650" t="s">
        <v>32074</v>
      </c>
      <c r="K8650" t="s">
        <v>40304</v>
      </c>
      <c r="M8650" t="s">
        <v>42686</v>
      </c>
      <c r="N8650" t="s">
        <v>44759</v>
      </c>
      <c r="O8650" t="s">
        <v>44760</v>
      </c>
      <c r="P8650">
        <v>0</v>
      </c>
      <c r="Q8650">
        <v>0</v>
      </c>
      <c r="R8650" t="s">
        <v>44768</v>
      </c>
      <c r="S8650" t="s">
        <v>44982</v>
      </c>
      <c r="T8650" t="s">
        <v>46495</v>
      </c>
      <c r="U8650" t="s">
        <v>54132</v>
      </c>
      <c r="W8650" t="s">
        <v>42686</v>
      </c>
      <c r="X8650" t="s">
        <v>44769</v>
      </c>
    </row>
    <row r="8651" spans="1:24">
      <c r="A8651">
        <f>HYPERLINK("https://www.philgeps.gov.ph/GEPSNONPILOT/Tender/SplashBidNoticeAbstractUI.aspx?menuIndex=3&amp;refID=7140694&amp;Result=3","7140694")</f>
        <v>0</v>
      </c>
      <c r="B8651" t="s">
        <v>819</v>
      </c>
      <c r="C8651" t="s">
        <v>11948</v>
      </c>
      <c r="D8651" t="s">
        <v>18025</v>
      </c>
      <c r="E8651" t="s">
        <v>25584</v>
      </c>
      <c r="F8651" t="s">
        <v>30900</v>
      </c>
      <c r="G8651" t="s">
        <v>30907</v>
      </c>
      <c r="H8651" t="s">
        <v>30915</v>
      </c>
      <c r="I8651" t="s">
        <v>30919</v>
      </c>
      <c r="J8651" t="s">
        <v>36482</v>
      </c>
      <c r="K8651" t="s">
        <v>40292</v>
      </c>
      <c r="M8651" t="s">
        <v>41390</v>
      </c>
      <c r="N8651" t="s">
        <v>44759</v>
      </c>
      <c r="O8651" t="s">
        <v>44760</v>
      </c>
      <c r="P8651">
        <v>0</v>
      </c>
      <c r="Q8651">
        <v>1</v>
      </c>
      <c r="R8651" t="s">
        <v>44768</v>
      </c>
      <c r="S8651" t="s">
        <v>44982</v>
      </c>
      <c r="T8651" t="s">
        <v>46472</v>
      </c>
      <c r="U8651" t="s">
        <v>54124</v>
      </c>
      <c r="W8651" t="s">
        <v>41390</v>
      </c>
      <c r="X8651" t="s">
        <v>44769</v>
      </c>
    </row>
    <row r="8652" spans="1:24">
      <c r="A8652">
        <f>HYPERLINK("https://www.philgeps.gov.ph/GEPSNONPILOT/Tender/SplashBidNoticeAbstractUI.aspx?menuIndex=3&amp;refID=7140691&amp;Result=3","7140691")</f>
        <v>0</v>
      </c>
      <c r="B8652" t="s">
        <v>2407</v>
      </c>
      <c r="C8652" t="s">
        <v>11949</v>
      </c>
      <c r="D8652" t="s">
        <v>17985</v>
      </c>
      <c r="E8652" t="s">
        <v>25593</v>
      </c>
      <c r="F8652" t="s">
        <v>30900</v>
      </c>
      <c r="G8652" t="s">
        <v>30907</v>
      </c>
      <c r="H8652" t="s">
        <v>30916</v>
      </c>
      <c r="I8652" t="s">
        <v>30922</v>
      </c>
      <c r="J8652" t="s">
        <v>36483</v>
      </c>
      <c r="K8652" t="s">
        <v>40286</v>
      </c>
      <c r="M8652" t="s">
        <v>43284</v>
      </c>
      <c r="N8652" t="s">
        <v>44759</v>
      </c>
      <c r="O8652" t="s">
        <v>44760</v>
      </c>
      <c r="P8652">
        <v>0</v>
      </c>
      <c r="Q8652">
        <v>4</v>
      </c>
      <c r="R8652" t="s">
        <v>44768</v>
      </c>
      <c r="S8652" t="s">
        <v>44982</v>
      </c>
      <c r="T8652" t="s">
        <v>46689</v>
      </c>
      <c r="U8652" t="s">
        <v>54133</v>
      </c>
      <c r="W8652" t="s">
        <v>43284</v>
      </c>
      <c r="X8652" t="s">
        <v>44769</v>
      </c>
    </row>
    <row r="8653" spans="1:24">
      <c r="A8653">
        <f>HYPERLINK("https://www.philgeps.gov.ph/GEPSNONPILOT/Tender/SplashBidNoticeAbstractUI.aspx?menuIndex=3&amp;refID=7140712&amp;Result=3","7140712")</f>
        <v>0</v>
      </c>
      <c r="B8653" t="s">
        <v>2407</v>
      </c>
      <c r="C8653" t="s">
        <v>11950</v>
      </c>
      <c r="D8653" t="s">
        <v>17985</v>
      </c>
      <c r="E8653" t="s">
        <v>25594</v>
      </c>
      <c r="F8653" t="s">
        <v>30900</v>
      </c>
      <c r="G8653" t="s">
        <v>30907</v>
      </c>
      <c r="H8653" t="s">
        <v>30916</v>
      </c>
      <c r="I8653" t="s">
        <v>30922</v>
      </c>
      <c r="J8653" t="s">
        <v>32110</v>
      </c>
      <c r="K8653" t="s">
        <v>40292</v>
      </c>
      <c r="M8653" t="s">
        <v>43284</v>
      </c>
      <c r="N8653" t="s">
        <v>44759</v>
      </c>
      <c r="O8653" t="s">
        <v>44760</v>
      </c>
      <c r="P8653">
        <v>0</v>
      </c>
      <c r="Q8653">
        <v>4</v>
      </c>
      <c r="R8653" t="s">
        <v>44768</v>
      </c>
      <c r="S8653" t="s">
        <v>44982</v>
      </c>
      <c r="T8653" t="s">
        <v>46689</v>
      </c>
      <c r="U8653" t="s">
        <v>54134</v>
      </c>
      <c r="W8653" t="s">
        <v>43284</v>
      </c>
      <c r="X8653" t="s">
        <v>44769</v>
      </c>
    </row>
    <row r="8654" spans="1:24">
      <c r="A8654">
        <f>HYPERLINK("https://www.philgeps.gov.ph/GEPSNONPILOT/Tender/SplashBidNoticeAbstractUI.aspx?menuIndex=3&amp;refID=7140681&amp;Result=3","7140681")</f>
        <v>0</v>
      </c>
      <c r="B8654" t="s">
        <v>586</v>
      </c>
      <c r="C8654" t="s">
        <v>11951</v>
      </c>
      <c r="D8654" t="s">
        <v>17952</v>
      </c>
      <c r="E8654" t="s">
        <v>25595</v>
      </c>
      <c r="F8654" t="s">
        <v>30900</v>
      </c>
      <c r="G8654" t="s">
        <v>30907</v>
      </c>
      <c r="H8654" t="s">
        <v>30916</v>
      </c>
      <c r="I8654" t="s">
        <v>30923</v>
      </c>
      <c r="J8654" t="s">
        <v>36484</v>
      </c>
      <c r="K8654" t="s">
        <v>40286</v>
      </c>
      <c r="M8654" t="s">
        <v>43557</v>
      </c>
      <c r="N8654" t="s">
        <v>44759</v>
      </c>
      <c r="O8654" t="s">
        <v>44760</v>
      </c>
      <c r="P8654">
        <v>0</v>
      </c>
      <c r="Q8654">
        <v>4</v>
      </c>
      <c r="R8654" t="s">
        <v>44768</v>
      </c>
      <c r="S8654" t="s">
        <v>44982</v>
      </c>
      <c r="T8654" t="s">
        <v>46689</v>
      </c>
      <c r="U8654" t="s">
        <v>54135</v>
      </c>
      <c r="V8654" t="s">
        <v>60062</v>
      </c>
      <c r="W8654" t="s">
        <v>43557</v>
      </c>
      <c r="X8654" t="s">
        <v>44769</v>
      </c>
    </row>
    <row r="8655" spans="1:24">
      <c r="A8655">
        <f>HYPERLINK("https://www.philgeps.gov.ph/GEPSNONPILOT/Tender/SplashBidNoticeAbstractUI.aspx?menuIndex=3&amp;refID=7140716&amp;Result=3","7140716")</f>
        <v>0</v>
      </c>
      <c r="B8655" t="s">
        <v>2809</v>
      </c>
      <c r="C8655" t="s">
        <v>11952</v>
      </c>
      <c r="D8655" t="s">
        <v>17961</v>
      </c>
      <c r="E8655" t="s">
        <v>25596</v>
      </c>
      <c r="F8655" t="s">
        <v>30900</v>
      </c>
      <c r="G8655" t="s">
        <v>30907</v>
      </c>
      <c r="H8655" t="s">
        <v>30916</v>
      </c>
      <c r="I8655" t="s">
        <v>8123</v>
      </c>
      <c r="J8655" t="s">
        <v>36485</v>
      </c>
      <c r="K8655" t="s">
        <v>40284</v>
      </c>
      <c r="M8655" t="s">
        <v>43594</v>
      </c>
      <c r="N8655" t="s">
        <v>44759</v>
      </c>
      <c r="O8655" t="s">
        <v>44760</v>
      </c>
      <c r="P8655">
        <v>0</v>
      </c>
      <c r="Q8655">
        <v>1</v>
      </c>
      <c r="R8655" t="s">
        <v>44768</v>
      </c>
      <c r="S8655" t="s">
        <v>44982</v>
      </c>
      <c r="T8655" t="s">
        <v>46410</v>
      </c>
      <c r="U8655" t="s">
        <v>54136</v>
      </c>
      <c r="W8655" t="s">
        <v>43594</v>
      </c>
      <c r="X8655" t="s">
        <v>44769</v>
      </c>
    </row>
    <row r="8656" spans="1:24">
      <c r="A8656">
        <f>HYPERLINK("https://www.philgeps.gov.ph/GEPSNONPILOT/Tender/SplashBidNoticeAbstractUI.aspx?menuIndex=3&amp;refID=7140680&amp;Result=3","7140680")</f>
        <v>0</v>
      </c>
      <c r="B8656" t="s">
        <v>1386</v>
      </c>
      <c r="C8656" t="s">
        <v>11953</v>
      </c>
      <c r="D8656" t="s">
        <v>17998</v>
      </c>
      <c r="E8656" t="s">
        <v>19390</v>
      </c>
      <c r="F8656" t="s">
        <v>30900</v>
      </c>
      <c r="G8656" t="s">
        <v>30907</v>
      </c>
      <c r="H8656" t="s">
        <v>30916</v>
      </c>
      <c r="I8656" t="s">
        <v>30933</v>
      </c>
      <c r="J8656" t="s">
        <v>34659</v>
      </c>
      <c r="K8656" t="s">
        <v>40284</v>
      </c>
      <c r="M8656" t="s">
        <v>42010</v>
      </c>
      <c r="N8656" t="s">
        <v>44759</v>
      </c>
      <c r="O8656" t="s">
        <v>44760</v>
      </c>
      <c r="P8656">
        <v>0</v>
      </c>
      <c r="Q8656">
        <v>4</v>
      </c>
      <c r="R8656" t="s">
        <v>44768</v>
      </c>
      <c r="S8656" t="s">
        <v>44982</v>
      </c>
      <c r="T8656" t="s">
        <v>46504</v>
      </c>
      <c r="U8656" t="s">
        <v>54137</v>
      </c>
      <c r="W8656" t="s">
        <v>42010</v>
      </c>
      <c r="X8656" t="s">
        <v>44769</v>
      </c>
    </row>
    <row r="8657" spans="1:24">
      <c r="A8657">
        <f>HYPERLINK("https://www.philgeps.gov.ph/GEPSNONPILOT/Tender/SplashBidNoticeAbstractUI.aspx?menuIndex=3&amp;refID=7140676&amp;Result=3","7140676")</f>
        <v>0</v>
      </c>
      <c r="B8657" t="s">
        <v>784</v>
      </c>
      <c r="C8657" t="s">
        <v>11954</v>
      </c>
      <c r="D8657" t="s">
        <v>17971</v>
      </c>
      <c r="E8657" t="s">
        <v>25597</v>
      </c>
      <c r="F8657" t="s">
        <v>30900</v>
      </c>
      <c r="G8657" t="s">
        <v>30907</v>
      </c>
      <c r="H8657" t="s">
        <v>30916</v>
      </c>
      <c r="I8657" t="s">
        <v>8123</v>
      </c>
      <c r="J8657" t="s">
        <v>36486</v>
      </c>
      <c r="K8657" t="s">
        <v>40283</v>
      </c>
      <c r="M8657" t="s">
        <v>41353</v>
      </c>
      <c r="N8657" t="s">
        <v>44759</v>
      </c>
      <c r="O8657" t="s">
        <v>44760</v>
      </c>
      <c r="P8657">
        <v>0</v>
      </c>
      <c r="Q8657">
        <v>11</v>
      </c>
      <c r="R8657" t="s">
        <v>44768</v>
      </c>
      <c r="S8657" t="s">
        <v>44982</v>
      </c>
      <c r="T8657" t="s">
        <v>46581</v>
      </c>
      <c r="U8657" t="s">
        <v>54138</v>
      </c>
      <c r="V8657" t="s">
        <v>60063</v>
      </c>
      <c r="W8657" t="s">
        <v>41353</v>
      </c>
      <c r="X8657" t="s">
        <v>44769</v>
      </c>
    </row>
    <row r="8658" spans="1:24">
      <c r="A8658">
        <f>HYPERLINK("https://www.philgeps.gov.ph/GEPSNONPILOT/Tender/SplashBidNoticeAbstractUI.aspx?menuIndex=3&amp;refID=7140692&amp;Result=3","7140692")</f>
        <v>0</v>
      </c>
      <c r="B8658" t="s">
        <v>379</v>
      </c>
      <c r="C8658" t="s">
        <v>11955</v>
      </c>
      <c r="D8658" t="s">
        <v>18015</v>
      </c>
      <c r="E8658" t="s">
        <v>25598</v>
      </c>
      <c r="F8658" t="s">
        <v>30900</v>
      </c>
      <c r="G8658" t="s">
        <v>30907</v>
      </c>
      <c r="H8658" t="s">
        <v>30916</v>
      </c>
      <c r="I8658" t="s">
        <v>4545</v>
      </c>
      <c r="J8658" t="s">
        <v>32794</v>
      </c>
      <c r="K8658" t="s">
        <v>40283</v>
      </c>
      <c r="M8658" t="s">
        <v>40933</v>
      </c>
      <c r="N8658" t="s">
        <v>44759</v>
      </c>
      <c r="O8658" t="s">
        <v>44760</v>
      </c>
      <c r="P8658">
        <v>0</v>
      </c>
      <c r="Q8658">
        <v>0</v>
      </c>
      <c r="R8658" t="s">
        <v>44768</v>
      </c>
      <c r="S8658" t="s">
        <v>44982</v>
      </c>
      <c r="T8658" t="s">
        <v>46455</v>
      </c>
      <c r="U8658" t="s">
        <v>54139</v>
      </c>
      <c r="W8658" t="s">
        <v>40933</v>
      </c>
      <c r="X8658" t="s">
        <v>44769</v>
      </c>
    </row>
    <row r="8659" spans="1:24">
      <c r="A8659">
        <f>HYPERLINK("https://www.philgeps.gov.ph/GEPSNONPILOT/Tender/SplashBidNoticeAbstractUI.aspx?menuIndex=3&amp;refID=7140719&amp;Result=3","7140719")</f>
        <v>0</v>
      </c>
      <c r="B8659" t="s">
        <v>211</v>
      </c>
      <c r="C8659" t="s">
        <v>11956</v>
      </c>
      <c r="D8659" t="s">
        <v>18016</v>
      </c>
      <c r="E8659" t="s">
        <v>25599</v>
      </c>
      <c r="F8659" t="s">
        <v>30900</v>
      </c>
      <c r="G8659" t="s">
        <v>30908</v>
      </c>
      <c r="H8659" t="s">
        <v>30916</v>
      </c>
      <c r="I8659" t="s">
        <v>4004</v>
      </c>
      <c r="J8659" t="s">
        <v>31070</v>
      </c>
      <c r="K8659" t="s">
        <v>40289</v>
      </c>
      <c r="M8659" t="s">
        <v>40758</v>
      </c>
      <c r="N8659" t="s">
        <v>44759</v>
      </c>
      <c r="O8659" t="s">
        <v>44760</v>
      </c>
      <c r="P8659">
        <v>0</v>
      </c>
      <c r="Q8659">
        <v>1</v>
      </c>
      <c r="R8659" t="s">
        <v>44768</v>
      </c>
      <c r="S8659" t="s">
        <v>44982</v>
      </c>
      <c r="T8659" t="s">
        <v>46363</v>
      </c>
      <c r="U8659" t="s">
        <v>54140</v>
      </c>
      <c r="W8659" t="s">
        <v>40758</v>
      </c>
      <c r="X8659" t="s">
        <v>44769</v>
      </c>
    </row>
    <row r="8660" spans="1:24">
      <c r="A8660">
        <f>HYPERLINK("https://www.philgeps.gov.ph/GEPSNONPILOT/Tender/SplashBidNoticeAbstractUI.aspx?menuIndex=3&amp;refID=7140684&amp;Result=3","7140684")</f>
        <v>0</v>
      </c>
      <c r="B8660" t="s">
        <v>2810</v>
      </c>
      <c r="C8660" t="s">
        <v>11957</v>
      </c>
      <c r="D8660" t="s">
        <v>17963</v>
      </c>
      <c r="E8660" t="s">
        <v>24745</v>
      </c>
      <c r="F8660" t="s">
        <v>30900</v>
      </c>
      <c r="G8660" t="s">
        <v>30907</v>
      </c>
      <c r="H8660" t="s">
        <v>30916</v>
      </c>
      <c r="I8660" t="s">
        <v>8365</v>
      </c>
      <c r="J8660" t="s">
        <v>31070</v>
      </c>
      <c r="K8660" t="s">
        <v>40284</v>
      </c>
      <c r="M8660" t="s">
        <v>43595</v>
      </c>
      <c r="N8660" t="s">
        <v>44759</v>
      </c>
      <c r="O8660" t="s">
        <v>44760</v>
      </c>
      <c r="P8660">
        <v>0</v>
      </c>
      <c r="Q8660">
        <v>1</v>
      </c>
      <c r="R8660" t="s">
        <v>44768</v>
      </c>
      <c r="S8660" t="s">
        <v>44982</v>
      </c>
      <c r="T8660" t="s">
        <v>46658</v>
      </c>
      <c r="U8660" t="s">
        <v>54141</v>
      </c>
      <c r="W8660" t="s">
        <v>43595</v>
      </c>
      <c r="X8660" t="s">
        <v>44769</v>
      </c>
    </row>
    <row r="8661" spans="1:24">
      <c r="A8661">
        <f>HYPERLINK("https://www.philgeps.gov.ph/GEPSNONPILOT/Tender/SplashBidNoticeAbstractUI.aspx?menuIndex=3&amp;refID=7140462&amp;Result=3","7140462")</f>
        <v>0</v>
      </c>
      <c r="B8661" t="s">
        <v>2387</v>
      </c>
      <c r="C8661" t="s">
        <v>11958</v>
      </c>
      <c r="D8661" t="s">
        <v>17995</v>
      </c>
      <c r="E8661" t="s">
        <v>25600</v>
      </c>
      <c r="F8661" t="s">
        <v>30900</v>
      </c>
      <c r="G8661" t="s">
        <v>30908</v>
      </c>
      <c r="H8661" t="s">
        <v>30916</v>
      </c>
      <c r="I8661" t="s">
        <v>30939</v>
      </c>
      <c r="J8661" t="s">
        <v>36487</v>
      </c>
      <c r="K8661" t="s">
        <v>40287</v>
      </c>
      <c r="M8661" t="s">
        <v>43113</v>
      </c>
      <c r="N8661" t="s">
        <v>44759</v>
      </c>
      <c r="O8661" t="s">
        <v>44760</v>
      </c>
      <c r="P8661">
        <v>0</v>
      </c>
      <c r="Q8661">
        <v>0</v>
      </c>
      <c r="R8661" t="s">
        <v>44768</v>
      </c>
      <c r="S8661" t="s">
        <v>44982</v>
      </c>
      <c r="T8661" t="s">
        <v>46623</v>
      </c>
      <c r="U8661" t="s">
        <v>54142</v>
      </c>
      <c r="W8661" t="s">
        <v>43113</v>
      </c>
      <c r="X8661" t="s">
        <v>44769</v>
      </c>
    </row>
    <row r="8662" spans="1:24">
      <c r="A8662">
        <f>HYPERLINK("https://www.philgeps.gov.ph/GEPSNONPILOT/Tender/SplashBidNoticeAbstractUI.aspx?menuIndex=3&amp;refID=7140686&amp;Result=3","7140686")</f>
        <v>0</v>
      </c>
      <c r="B8662" t="s">
        <v>2811</v>
      </c>
      <c r="C8662" t="s">
        <v>11959</v>
      </c>
      <c r="D8662" t="s">
        <v>17969</v>
      </c>
      <c r="E8662" t="s">
        <v>25601</v>
      </c>
      <c r="F8662" t="s">
        <v>30900</v>
      </c>
      <c r="G8662" t="s">
        <v>30910</v>
      </c>
      <c r="H8662" t="s">
        <v>30916</v>
      </c>
      <c r="I8662" t="s">
        <v>8123</v>
      </c>
      <c r="J8662" t="s">
        <v>32257</v>
      </c>
      <c r="K8662" t="s">
        <v>40285</v>
      </c>
      <c r="M8662" t="s">
        <v>43596</v>
      </c>
      <c r="N8662" t="s">
        <v>44759</v>
      </c>
      <c r="O8662" t="s">
        <v>44760</v>
      </c>
      <c r="P8662">
        <v>0</v>
      </c>
      <c r="Q8662">
        <v>0</v>
      </c>
      <c r="R8662" t="s">
        <v>44768</v>
      </c>
      <c r="S8662" t="s">
        <v>44982</v>
      </c>
      <c r="T8662" t="s">
        <v>46390</v>
      </c>
      <c r="U8662" t="s">
        <v>54143</v>
      </c>
      <c r="W8662" t="s">
        <v>43596</v>
      </c>
      <c r="X8662" t="s">
        <v>44769</v>
      </c>
    </row>
    <row r="8663" spans="1:24">
      <c r="A8663">
        <f>HYPERLINK("https://www.philgeps.gov.ph/GEPSNONPILOT/Tender/SplashBidNoticeAbstractUI.aspx?menuIndex=3&amp;refID=7140730&amp;Result=3","7140730")</f>
        <v>0</v>
      </c>
      <c r="B8663" t="s">
        <v>2812</v>
      </c>
      <c r="C8663" t="s">
        <v>11960</v>
      </c>
      <c r="D8663" t="s">
        <v>18019</v>
      </c>
      <c r="E8663" t="s">
        <v>25602</v>
      </c>
      <c r="F8663" t="s">
        <v>30900</v>
      </c>
      <c r="G8663" t="s">
        <v>30908</v>
      </c>
      <c r="H8663" t="s">
        <v>30916</v>
      </c>
      <c r="I8663" t="s">
        <v>30924</v>
      </c>
      <c r="J8663" t="s">
        <v>31101</v>
      </c>
      <c r="K8663" t="s">
        <v>40280</v>
      </c>
      <c r="M8663" t="s">
        <v>43597</v>
      </c>
      <c r="N8663" t="s">
        <v>44759</v>
      </c>
      <c r="O8663" t="s">
        <v>44760</v>
      </c>
      <c r="P8663">
        <v>0</v>
      </c>
      <c r="Q8663">
        <v>4</v>
      </c>
      <c r="R8663" t="s">
        <v>44768</v>
      </c>
      <c r="S8663" t="s">
        <v>44982</v>
      </c>
      <c r="T8663" t="s">
        <v>46357</v>
      </c>
      <c r="U8663" t="s">
        <v>54144</v>
      </c>
      <c r="W8663" t="s">
        <v>43597</v>
      </c>
      <c r="X8663" t="s">
        <v>44769</v>
      </c>
    </row>
    <row r="8664" spans="1:24">
      <c r="A8664">
        <f>HYPERLINK("https://www.philgeps.gov.ph/GEPSNONPILOT/Tender/SplashBidNoticeAbstractUI.aspx?menuIndex=3&amp;refID=7140770&amp;Result=3","7140770")</f>
        <v>0</v>
      </c>
      <c r="B8664" t="s">
        <v>2808</v>
      </c>
      <c r="C8664" t="s">
        <v>11961</v>
      </c>
      <c r="D8664" t="s">
        <v>17957</v>
      </c>
      <c r="E8664" t="s">
        <v>25603</v>
      </c>
      <c r="F8664" t="s">
        <v>30900</v>
      </c>
      <c r="G8664" t="s">
        <v>30907</v>
      </c>
      <c r="H8664" t="s">
        <v>30915</v>
      </c>
      <c r="I8664" t="s">
        <v>30919</v>
      </c>
      <c r="J8664" t="s">
        <v>36488</v>
      </c>
      <c r="K8664" t="s">
        <v>40353</v>
      </c>
      <c r="M8664" t="s">
        <v>43593</v>
      </c>
      <c r="N8664" t="s">
        <v>44759</v>
      </c>
      <c r="O8664" t="s">
        <v>44760</v>
      </c>
      <c r="P8664">
        <v>0</v>
      </c>
      <c r="Q8664">
        <v>0</v>
      </c>
      <c r="R8664" t="s">
        <v>44768</v>
      </c>
      <c r="S8664" t="s">
        <v>44982</v>
      </c>
      <c r="T8664" t="s">
        <v>46495</v>
      </c>
      <c r="U8664" t="s">
        <v>54145</v>
      </c>
      <c r="W8664" t="s">
        <v>43593</v>
      </c>
      <c r="X8664" t="s">
        <v>44769</v>
      </c>
    </row>
    <row r="8665" spans="1:24">
      <c r="A8665">
        <f>HYPERLINK("https://www.philgeps.gov.ph/GEPSNONPILOT/Tender/SplashBidNoticeAbstractUI.aspx?menuIndex=3&amp;refID=7140761&amp;Result=3","7140761")</f>
        <v>0</v>
      </c>
      <c r="B8665" t="s">
        <v>379</v>
      </c>
      <c r="C8665" t="s">
        <v>11962</v>
      </c>
      <c r="D8665" t="s">
        <v>18015</v>
      </c>
      <c r="E8665" t="s">
        <v>25604</v>
      </c>
      <c r="F8665" t="s">
        <v>30900</v>
      </c>
      <c r="G8665" t="s">
        <v>30907</v>
      </c>
      <c r="H8665" t="s">
        <v>30916</v>
      </c>
      <c r="I8665" t="s">
        <v>4545</v>
      </c>
      <c r="J8665" t="s">
        <v>36489</v>
      </c>
      <c r="K8665" t="s">
        <v>40283</v>
      </c>
      <c r="M8665" t="s">
        <v>40933</v>
      </c>
      <c r="N8665" t="s">
        <v>44759</v>
      </c>
      <c r="O8665" t="s">
        <v>44760</v>
      </c>
      <c r="P8665">
        <v>0</v>
      </c>
      <c r="Q8665">
        <v>0</v>
      </c>
      <c r="R8665" t="s">
        <v>44768</v>
      </c>
      <c r="S8665" t="s">
        <v>44982</v>
      </c>
      <c r="T8665" t="s">
        <v>46455</v>
      </c>
      <c r="U8665" t="s">
        <v>54146</v>
      </c>
      <c r="W8665" t="s">
        <v>40933</v>
      </c>
      <c r="X8665" t="s">
        <v>44769</v>
      </c>
    </row>
    <row r="8666" spans="1:24">
      <c r="A8666">
        <f>HYPERLINK("https://www.philgeps.gov.ph/GEPSNONPILOT/Tender/SplashBidNoticeAbstractUI.aspx?menuIndex=3&amp;refID=7140749&amp;Result=3","7140749")</f>
        <v>0</v>
      </c>
      <c r="B8666" t="s">
        <v>819</v>
      </c>
      <c r="C8666" t="s">
        <v>11963</v>
      </c>
      <c r="D8666" t="s">
        <v>18025</v>
      </c>
      <c r="E8666" t="s">
        <v>25584</v>
      </c>
      <c r="F8666" t="s">
        <v>30900</v>
      </c>
      <c r="G8666" t="s">
        <v>30907</v>
      </c>
      <c r="H8666" t="s">
        <v>30915</v>
      </c>
      <c r="I8666" t="s">
        <v>30919</v>
      </c>
      <c r="J8666" t="s">
        <v>36490</v>
      </c>
      <c r="K8666" t="s">
        <v>40304</v>
      </c>
      <c r="M8666" t="s">
        <v>41390</v>
      </c>
      <c r="N8666" t="s">
        <v>44759</v>
      </c>
      <c r="O8666" t="s">
        <v>44760</v>
      </c>
      <c r="P8666">
        <v>0</v>
      </c>
      <c r="Q8666">
        <v>1</v>
      </c>
      <c r="R8666" t="s">
        <v>44768</v>
      </c>
      <c r="S8666" t="s">
        <v>44982</v>
      </c>
      <c r="T8666" t="s">
        <v>46807</v>
      </c>
      <c r="U8666" t="s">
        <v>54124</v>
      </c>
      <c r="W8666" t="s">
        <v>41390</v>
      </c>
      <c r="X8666" t="s">
        <v>44769</v>
      </c>
    </row>
    <row r="8667" spans="1:24">
      <c r="A8667">
        <f>HYPERLINK("https://www.philgeps.gov.ph/GEPSNONPILOT/Tender/SplashBidNoticeAbstractUI.aspx?menuIndex=3&amp;refID=7140745&amp;Result=3","7140745")</f>
        <v>0</v>
      </c>
      <c r="B8667" t="s">
        <v>743</v>
      </c>
      <c r="C8667" t="s">
        <v>11964</v>
      </c>
      <c r="D8667" t="s">
        <v>18013</v>
      </c>
      <c r="E8667" t="s">
        <v>25605</v>
      </c>
      <c r="F8667" t="s">
        <v>30900</v>
      </c>
      <c r="G8667" t="s">
        <v>30907</v>
      </c>
      <c r="H8667" t="s">
        <v>30916</v>
      </c>
      <c r="I8667" t="s">
        <v>4545</v>
      </c>
      <c r="J8667" t="s">
        <v>32467</v>
      </c>
      <c r="K8667" t="s">
        <v>40286</v>
      </c>
      <c r="M8667" t="s">
        <v>41307</v>
      </c>
      <c r="N8667" t="s">
        <v>44759</v>
      </c>
      <c r="O8667" t="s">
        <v>44760</v>
      </c>
      <c r="P8667">
        <v>0</v>
      </c>
      <c r="Q8667">
        <v>2</v>
      </c>
      <c r="R8667" t="s">
        <v>44768</v>
      </c>
      <c r="S8667" t="s">
        <v>44982</v>
      </c>
      <c r="T8667" t="s">
        <v>46409</v>
      </c>
      <c r="U8667" t="s">
        <v>54147</v>
      </c>
      <c r="W8667" t="s">
        <v>41307</v>
      </c>
      <c r="X8667" t="s">
        <v>44769</v>
      </c>
    </row>
    <row r="8668" spans="1:24">
      <c r="A8668">
        <f>HYPERLINK("https://www.philgeps.gov.ph/GEPSNONPILOT/Tender/SplashBidNoticeAbstractUI.aspx?menuIndex=3&amp;refID=7140742&amp;Result=3","7140742")</f>
        <v>0</v>
      </c>
      <c r="B8668" t="s">
        <v>2644</v>
      </c>
      <c r="C8668" t="s">
        <v>11965</v>
      </c>
      <c r="D8668" t="s">
        <v>18019</v>
      </c>
      <c r="E8668" t="s">
        <v>25606</v>
      </c>
      <c r="F8668" t="s">
        <v>30899</v>
      </c>
      <c r="G8668" t="s">
        <v>30912</v>
      </c>
      <c r="H8668" t="s">
        <v>30915</v>
      </c>
      <c r="I8668" t="s">
        <v>30932</v>
      </c>
      <c r="J8668" t="s">
        <v>31288</v>
      </c>
      <c r="K8668" t="s">
        <v>40287</v>
      </c>
      <c r="M8668" t="s">
        <v>43410</v>
      </c>
      <c r="N8668" t="s">
        <v>44759</v>
      </c>
      <c r="O8668" t="s">
        <v>44760</v>
      </c>
      <c r="P8668">
        <v>0</v>
      </c>
      <c r="Q8668">
        <v>0</v>
      </c>
      <c r="R8668" t="s">
        <v>44768</v>
      </c>
      <c r="S8668" t="s">
        <v>44982</v>
      </c>
      <c r="T8668" t="s">
        <v>46533</v>
      </c>
      <c r="U8668" t="s">
        <v>54148</v>
      </c>
      <c r="W8668" t="s">
        <v>43410</v>
      </c>
      <c r="X8668" t="s">
        <v>44769</v>
      </c>
    </row>
    <row r="8669" spans="1:24">
      <c r="A8669">
        <f>HYPERLINK("https://www.philgeps.gov.ph/GEPSNONPILOT/Tender/SplashBidNoticeAbstractUI.aspx?menuIndex=3&amp;refID=7140744&amp;Result=3","7140744")</f>
        <v>0</v>
      </c>
      <c r="B8669" t="s">
        <v>2407</v>
      </c>
      <c r="C8669" t="s">
        <v>11966</v>
      </c>
      <c r="D8669" t="s">
        <v>17985</v>
      </c>
      <c r="E8669" t="s">
        <v>25607</v>
      </c>
      <c r="F8669" t="s">
        <v>30900</v>
      </c>
      <c r="G8669" t="s">
        <v>30907</v>
      </c>
      <c r="H8669" t="s">
        <v>30916</v>
      </c>
      <c r="I8669" t="s">
        <v>30945</v>
      </c>
      <c r="J8669" t="s">
        <v>34972</v>
      </c>
      <c r="K8669" t="s">
        <v>40286</v>
      </c>
      <c r="M8669" t="s">
        <v>43284</v>
      </c>
      <c r="N8669" t="s">
        <v>44759</v>
      </c>
      <c r="O8669" t="s">
        <v>44760</v>
      </c>
      <c r="P8669">
        <v>0</v>
      </c>
      <c r="Q8669">
        <v>3</v>
      </c>
      <c r="R8669" t="s">
        <v>44768</v>
      </c>
      <c r="S8669" t="s">
        <v>44982</v>
      </c>
      <c r="T8669" t="s">
        <v>46689</v>
      </c>
      <c r="U8669" t="s">
        <v>54149</v>
      </c>
      <c r="W8669" t="s">
        <v>43284</v>
      </c>
      <c r="X8669" t="s">
        <v>44769</v>
      </c>
    </row>
    <row r="8670" spans="1:24">
      <c r="A8670">
        <f>HYPERLINK("https://www.philgeps.gov.ph/GEPSNONPILOT/Tender/SplashBidNoticeAbstractUI.aspx?menuIndex=3&amp;refID=7140764&amp;Result=3","7140764")</f>
        <v>0</v>
      </c>
      <c r="B8670" t="s">
        <v>2407</v>
      </c>
      <c r="C8670" t="s">
        <v>11967</v>
      </c>
      <c r="D8670" t="s">
        <v>17985</v>
      </c>
      <c r="E8670" t="s">
        <v>25608</v>
      </c>
      <c r="F8670" t="s">
        <v>30900</v>
      </c>
      <c r="G8670" t="s">
        <v>30907</v>
      </c>
      <c r="H8670" t="s">
        <v>30916</v>
      </c>
      <c r="I8670" t="s">
        <v>30945</v>
      </c>
      <c r="J8670" t="s">
        <v>31269</v>
      </c>
      <c r="K8670" t="s">
        <v>40293</v>
      </c>
      <c r="M8670" t="s">
        <v>43284</v>
      </c>
      <c r="N8670" t="s">
        <v>44759</v>
      </c>
      <c r="O8670" t="s">
        <v>44760</v>
      </c>
      <c r="P8670">
        <v>0</v>
      </c>
      <c r="Q8670">
        <v>5</v>
      </c>
      <c r="R8670" t="s">
        <v>44768</v>
      </c>
      <c r="S8670" t="s">
        <v>44982</v>
      </c>
      <c r="T8670" t="s">
        <v>46524</v>
      </c>
      <c r="U8670" t="s">
        <v>54150</v>
      </c>
      <c r="W8670" t="s">
        <v>43284</v>
      </c>
      <c r="X8670" t="s">
        <v>44769</v>
      </c>
    </row>
    <row r="8671" spans="1:24">
      <c r="A8671">
        <f>HYPERLINK("https://www.philgeps.gov.ph/GEPSNONPILOT/Tender/SplashBidNoticeAbstractUI.aspx?menuIndex=3&amp;refID=7140818&amp;Result=3","7140818")</f>
        <v>0</v>
      </c>
      <c r="B8671" t="s">
        <v>2813</v>
      </c>
      <c r="C8671" t="s">
        <v>11968</v>
      </c>
      <c r="D8671" t="s">
        <v>17987</v>
      </c>
      <c r="E8671" t="s">
        <v>25609</v>
      </c>
      <c r="F8671" t="s">
        <v>30900</v>
      </c>
      <c r="G8671" t="s">
        <v>30907</v>
      </c>
      <c r="H8671" t="s">
        <v>30915</v>
      </c>
      <c r="I8671" t="s">
        <v>30919</v>
      </c>
      <c r="J8671" t="s">
        <v>32324</v>
      </c>
      <c r="K8671" t="s">
        <v>40304</v>
      </c>
      <c r="M8671" t="s">
        <v>43598</v>
      </c>
      <c r="N8671" t="s">
        <v>44759</v>
      </c>
      <c r="O8671" t="s">
        <v>44760</v>
      </c>
      <c r="P8671">
        <v>0</v>
      </c>
      <c r="Q8671">
        <v>0</v>
      </c>
      <c r="R8671" t="s">
        <v>44768</v>
      </c>
      <c r="S8671" t="s">
        <v>44982</v>
      </c>
      <c r="T8671" t="s">
        <v>46606</v>
      </c>
      <c r="U8671" t="s">
        <v>54151</v>
      </c>
      <c r="W8671" t="s">
        <v>43598</v>
      </c>
      <c r="X8671" t="s">
        <v>44769</v>
      </c>
    </row>
    <row r="8672" spans="1:24">
      <c r="A8672">
        <f>HYPERLINK("https://www.philgeps.gov.ph/GEPSNONPILOT/Tender/SplashBidNoticeAbstractUI.aspx?menuIndex=3&amp;refID=7140817&amp;Result=3","7140817")</f>
        <v>0</v>
      </c>
      <c r="B8672" t="s">
        <v>790</v>
      </c>
      <c r="C8672" t="s">
        <v>11969</v>
      </c>
      <c r="D8672" t="s">
        <v>17988</v>
      </c>
      <c r="E8672" t="s">
        <v>25610</v>
      </c>
      <c r="F8672" t="s">
        <v>30900</v>
      </c>
      <c r="G8672" t="s">
        <v>30907</v>
      </c>
      <c r="H8672" t="s">
        <v>30915</v>
      </c>
      <c r="I8672" t="s">
        <v>30919</v>
      </c>
      <c r="J8672" t="s">
        <v>34915</v>
      </c>
      <c r="K8672" t="s">
        <v>40406</v>
      </c>
      <c r="M8672" t="s">
        <v>41359</v>
      </c>
      <c r="N8672" t="s">
        <v>44759</v>
      </c>
      <c r="O8672" t="s">
        <v>44760</v>
      </c>
      <c r="P8672">
        <v>0</v>
      </c>
      <c r="Q8672">
        <v>0</v>
      </c>
      <c r="R8672" t="s">
        <v>44768</v>
      </c>
      <c r="S8672" t="s">
        <v>44982</v>
      </c>
      <c r="T8672" t="s">
        <v>46515</v>
      </c>
      <c r="U8672" t="s">
        <v>54152</v>
      </c>
      <c r="W8672" t="s">
        <v>41359</v>
      </c>
      <c r="X8672" t="s">
        <v>44769</v>
      </c>
    </row>
    <row r="8673" spans="1:24">
      <c r="A8673">
        <f>HYPERLINK("https://www.philgeps.gov.ph/GEPSNONPILOT/Tender/SplashBidNoticeAbstractUI.aspx?menuIndex=3&amp;refID=7140815&amp;Result=3","7140815")</f>
        <v>0</v>
      </c>
      <c r="B8673" t="s">
        <v>379</v>
      </c>
      <c r="C8673" t="s">
        <v>11970</v>
      </c>
      <c r="D8673" t="s">
        <v>18015</v>
      </c>
      <c r="E8673" t="s">
        <v>25611</v>
      </c>
      <c r="F8673" t="s">
        <v>30900</v>
      </c>
      <c r="G8673" t="s">
        <v>30907</v>
      </c>
      <c r="H8673" t="s">
        <v>30916</v>
      </c>
      <c r="I8673" t="s">
        <v>4545</v>
      </c>
      <c r="J8673" t="s">
        <v>31522</v>
      </c>
      <c r="K8673" t="s">
        <v>40283</v>
      </c>
      <c r="M8673" t="s">
        <v>40933</v>
      </c>
      <c r="N8673" t="s">
        <v>44759</v>
      </c>
      <c r="O8673" t="s">
        <v>44760</v>
      </c>
      <c r="P8673">
        <v>0</v>
      </c>
      <c r="Q8673">
        <v>1</v>
      </c>
      <c r="R8673" t="s">
        <v>44768</v>
      </c>
      <c r="S8673" t="s">
        <v>44982</v>
      </c>
      <c r="T8673" t="s">
        <v>46455</v>
      </c>
      <c r="U8673" t="s">
        <v>54153</v>
      </c>
      <c r="W8673" t="s">
        <v>40933</v>
      </c>
      <c r="X8673" t="s">
        <v>44769</v>
      </c>
    </row>
    <row r="8674" spans="1:24">
      <c r="A8674">
        <f>HYPERLINK("https://www.philgeps.gov.ph/GEPSNONPILOT/Tender/SplashBidNoticeAbstractUI.aspx?menuIndex=3&amp;refID=7140812&amp;Result=3","7140812")</f>
        <v>0</v>
      </c>
      <c r="B8674" t="s">
        <v>2814</v>
      </c>
      <c r="C8674" t="s">
        <v>11971</v>
      </c>
      <c r="D8674" t="s">
        <v>17985</v>
      </c>
      <c r="E8674" t="s">
        <v>25612</v>
      </c>
      <c r="F8674" t="s">
        <v>30900</v>
      </c>
      <c r="G8674" t="s">
        <v>30907</v>
      </c>
      <c r="H8674" t="s">
        <v>30915</v>
      </c>
      <c r="I8674" t="s">
        <v>30919</v>
      </c>
      <c r="J8674" t="s">
        <v>36491</v>
      </c>
      <c r="K8674" t="s">
        <v>40286</v>
      </c>
      <c r="M8674" t="s">
        <v>43599</v>
      </c>
      <c r="N8674" t="s">
        <v>44759</v>
      </c>
      <c r="O8674" t="s">
        <v>44760</v>
      </c>
      <c r="P8674">
        <v>0</v>
      </c>
      <c r="Q8674">
        <v>0</v>
      </c>
      <c r="R8674" t="s">
        <v>44768</v>
      </c>
      <c r="S8674" t="s">
        <v>44982</v>
      </c>
      <c r="T8674" t="s">
        <v>46441</v>
      </c>
      <c r="U8674" t="s">
        <v>54154</v>
      </c>
      <c r="W8674" t="s">
        <v>43599</v>
      </c>
      <c r="X8674" t="s">
        <v>44769</v>
      </c>
    </row>
    <row r="8675" spans="1:24">
      <c r="A8675">
        <f>HYPERLINK("https://www.philgeps.gov.ph/GEPSNONPILOT/Tender/SplashBidNoticeAbstractUI.aspx?menuIndex=3&amp;refID=7140811&amp;Result=3","7140811")</f>
        <v>0</v>
      </c>
      <c r="B8675" t="s">
        <v>2526</v>
      </c>
      <c r="C8675" t="s">
        <v>11972</v>
      </c>
      <c r="D8675" t="s">
        <v>17951</v>
      </c>
      <c r="E8675" t="s">
        <v>25613</v>
      </c>
      <c r="F8675" t="s">
        <v>30900</v>
      </c>
      <c r="G8675" t="s">
        <v>30907</v>
      </c>
      <c r="H8675" t="s">
        <v>30916</v>
      </c>
      <c r="I8675" t="s">
        <v>30923</v>
      </c>
      <c r="J8675" t="s">
        <v>36492</v>
      </c>
      <c r="K8675" t="s">
        <v>40284</v>
      </c>
      <c r="M8675" t="s">
        <v>43277</v>
      </c>
      <c r="N8675" t="s">
        <v>44759</v>
      </c>
      <c r="O8675" t="s">
        <v>44760</v>
      </c>
      <c r="P8675">
        <v>0</v>
      </c>
      <c r="Q8675">
        <v>4</v>
      </c>
      <c r="R8675" t="s">
        <v>44768</v>
      </c>
      <c r="S8675" t="s">
        <v>44982</v>
      </c>
      <c r="T8675" t="s">
        <v>46625</v>
      </c>
      <c r="U8675" t="s">
        <v>53151</v>
      </c>
      <c r="W8675" t="s">
        <v>43277</v>
      </c>
      <c r="X8675" t="s">
        <v>44769</v>
      </c>
    </row>
    <row r="8676" spans="1:24">
      <c r="A8676">
        <f>HYPERLINK("https://www.philgeps.gov.ph/GEPSNONPILOT/Tender/SplashBidNoticeAbstractUI.aspx?menuIndex=3&amp;refID=7140810&amp;Result=3","7140810")</f>
        <v>0</v>
      </c>
      <c r="B8676" t="s">
        <v>2808</v>
      </c>
      <c r="C8676" t="s">
        <v>11973</v>
      </c>
      <c r="D8676" t="s">
        <v>17957</v>
      </c>
      <c r="E8676" t="s">
        <v>25614</v>
      </c>
      <c r="F8676" t="s">
        <v>30900</v>
      </c>
      <c r="G8676" t="s">
        <v>30907</v>
      </c>
      <c r="H8676" t="s">
        <v>30915</v>
      </c>
      <c r="I8676" t="s">
        <v>30919</v>
      </c>
      <c r="J8676" t="s">
        <v>36493</v>
      </c>
      <c r="K8676" t="s">
        <v>40461</v>
      </c>
      <c r="M8676" t="s">
        <v>43593</v>
      </c>
      <c r="N8676" t="s">
        <v>44759</v>
      </c>
      <c r="O8676" t="s">
        <v>44760</v>
      </c>
      <c r="P8676">
        <v>0</v>
      </c>
      <c r="Q8676">
        <v>0</v>
      </c>
      <c r="R8676" t="s">
        <v>44768</v>
      </c>
      <c r="S8676" t="s">
        <v>44982</v>
      </c>
      <c r="T8676" t="s">
        <v>46495</v>
      </c>
      <c r="U8676" t="s">
        <v>54155</v>
      </c>
      <c r="W8676" t="s">
        <v>43593</v>
      </c>
      <c r="X8676" t="s">
        <v>44769</v>
      </c>
    </row>
    <row r="8677" spans="1:24">
      <c r="A8677">
        <f>HYPERLINK("https://www.philgeps.gov.ph/GEPSNONPILOT/Tender/SplashBidNoticeAbstractUI.aspx?menuIndex=3&amp;refID=7140806&amp;Result=3","7140806")</f>
        <v>0</v>
      </c>
      <c r="B8677" t="s">
        <v>280</v>
      </c>
      <c r="C8677" t="s">
        <v>11974</v>
      </c>
      <c r="D8677" t="s">
        <v>17985</v>
      </c>
      <c r="E8677" t="s">
        <v>25615</v>
      </c>
      <c r="F8677" t="s">
        <v>30900</v>
      </c>
      <c r="G8677" t="s">
        <v>30907</v>
      </c>
      <c r="H8677" t="s">
        <v>30915</v>
      </c>
      <c r="I8677" t="s">
        <v>30932</v>
      </c>
      <c r="J8677" t="s">
        <v>31391</v>
      </c>
      <c r="K8677" t="s">
        <v>40317</v>
      </c>
      <c r="M8677" t="s">
        <v>40827</v>
      </c>
      <c r="N8677" t="s">
        <v>44759</v>
      </c>
      <c r="O8677" t="s">
        <v>44760</v>
      </c>
      <c r="P8677">
        <v>0</v>
      </c>
      <c r="Q8677">
        <v>0</v>
      </c>
      <c r="R8677" t="s">
        <v>44768</v>
      </c>
      <c r="S8677" t="s">
        <v>44982</v>
      </c>
      <c r="T8677" t="s">
        <v>46515</v>
      </c>
      <c r="U8677" t="s">
        <v>54156</v>
      </c>
      <c r="W8677" t="s">
        <v>40827</v>
      </c>
      <c r="X8677" t="s">
        <v>44769</v>
      </c>
    </row>
    <row r="8678" spans="1:24">
      <c r="A8678">
        <f>HYPERLINK("https://www.philgeps.gov.ph/GEPSNONPILOT/Tender/SplashBidNoticeAbstractUI.aspx?menuIndex=3&amp;refID=7140748&amp;Result=3","7140748")</f>
        <v>0</v>
      </c>
      <c r="B8678" t="s">
        <v>280</v>
      </c>
      <c r="C8678" t="s">
        <v>11975</v>
      </c>
      <c r="D8678" t="s">
        <v>17985</v>
      </c>
      <c r="E8678" t="s">
        <v>25616</v>
      </c>
      <c r="F8678" t="s">
        <v>30900</v>
      </c>
      <c r="G8678" t="s">
        <v>30907</v>
      </c>
      <c r="H8678" t="s">
        <v>30915</v>
      </c>
      <c r="I8678" t="s">
        <v>30919</v>
      </c>
      <c r="J8678" t="s">
        <v>36494</v>
      </c>
      <c r="K8678" t="s">
        <v>40358</v>
      </c>
      <c r="M8678" t="s">
        <v>40827</v>
      </c>
      <c r="N8678" t="s">
        <v>44759</v>
      </c>
      <c r="O8678" t="s">
        <v>44760</v>
      </c>
      <c r="P8678">
        <v>0</v>
      </c>
      <c r="Q8678">
        <v>0</v>
      </c>
      <c r="R8678" t="s">
        <v>44768</v>
      </c>
      <c r="S8678" t="s">
        <v>44982</v>
      </c>
      <c r="T8678" t="s">
        <v>46515</v>
      </c>
      <c r="U8678" t="s">
        <v>54157</v>
      </c>
      <c r="W8678" t="s">
        <v>40827</v>
      </c>
      <c r="X8678" t="s">
        <v>44769</v>
      </c>
    </row>
    <row r="8679" spans="1:24">
      <c r="A8679">
        <f>HYPERLINK("https://www.philgeps.gov.ph/GEPSNONPILOT/Tender/SplashBidNoticeAbstractUI.aspx?menuIndex=3&amp;refID=7140819&amp;Result=3","7140819")</f>
        <v>0</v>
      </c>
      <c r="B8679" t="s">
        <v>2088</v>
      </c>
      <c r="C8679" t="s">
        <v>11976</v>
      </c>
      <c r="D8679" t="s">
        <v>17978</v>
      </c>
      <c r="E8679" t="s">
        <v>25617</v>
      </c>
      <c r="F8679" t="s">
        <v>30900</v>
      </c>
      <c r="G8679" t="s">
        <v>30907</v>
      </c>
      <c r="H8679" t="s">
        <v>30915</v>
      </c>
      <c r="I8679" t="s">
        <v>30919</v>
      </c>
      <c r="J8679" t="s">
        <v>36495</v>
      </c>
      <c r="K8679" t="s">
        <v>40293</v>
      </c>
      <c r="M8679" t="s">
        <v>42787</v>
      </c>
      <c r="N8679" t="s">
        <v>44759</v>
      </c>
      <c r="O8679" t="s">
        <v>44760</v>
      </c>
      <c r="P8679">
        <v>0</v>
      </c>
      <c r="Q8679">
        <v>0</v>
      </c>
      <c r="R8679" t="s">
        <v>44768</v>
      </c>
      <c r="S8679" t="s">
        <v>44982</v>
      </c>
      <c r="T8679" t="s">
        <v>46411</v>
      </c>
      <c r="U8679" t="s">
        <v>54158</v>
      </c>
      <c r="V8679" t="s">
        <v>60064</v>
      </c>
      <c r="W8679" t="s">
        <v>60881</v>
      </c>
      <c r="X8679" t="s">
        <v>44769</v>
      </c>
    </row>
    <row r="8680" spans="1:24">
      <c r="A8680">
        <f>HYPERLINK("https://www.philgeps.gov.ph/GEPSNONPILOT/Tender/SplashBidNoticeAbstractUI.aspx?menuIndex=3&amp;refID=7140801&amp;Result=3","7140801")</f>
        <v>0</v>
      </c>
      <c r="B8680" t="s">
        <v>1994</v>
      </c>
      <c r="C8680" t="s">
        <v>11977</v>
      </c>
      <c r="D8680" t="s">
        <v>17968</v>
      </c>
      <c r="E8680" t="s">
        <v>25618</v>
      </c>
      <c r="F8680" t="s">
        <v>30900</v>
      </c>
      <c r="G8680" t="s">
        <v>30907</v>
      </c>
      <c r="H8680" t="s">
        <v>30915</v>
      </c>
      <c r="I8680" t="s">
        <v>30919</v>
      </c>
      <c r="J8680" t="s">
        <v>36496</v>
      </c>
      <c r="K8680" t="s">
        <v>40304</v>
      </c>
      <c r="M8680" t="s">
        <v>42686</v>
      </c>
      <c r="N8680" t="s">
        <v>44759</v>
      </c>
      <c r="O8680" t="s">
        <v>44760</v>
      </c>
      <c r="P8680">
        <v>0</v>
      </c>
      <c r="Q8680">
        <v>0</v>
      </c>
      <c r="R8680" t="s">
        <v>44768</v>
      </c>
      <c r="S8680" t="s">
        <v>44982</v>
      </c>
      <c r="T8680" t="s">
        <v>46730</v>
      </c>
      <c r="U8680" t="s">
        <v>54159</v>
      </c>
      <c r="W8680" t="s">
        <v>42686</v>
      </c>
      <c r="X8680" t="s">
        <v>44769</v>
      </c>
    </row>
    <row r="8681" spans="1:24">
      <c r="A8681">
        <f>HYPERLINK("https://www.philgeps.gov.ph/GEPSNONPILOT/Tender/SplashBidNoticeAbstractUI.aspx?menuIndex=3&amp;refID=7140878&amp;Result=3","7140878")</f>
        <v>0</v>
      </c>
      <c r="B8681" t="s">
        <v>2815</v>
      </c>
      <c r="C8681" t="s">
        <v>11978</v>
      </c>
      <c r="D8681" t="s">
        <v>17987</v>
      </c>
      <c r="F8681" t="s">
        <v>30900</v>
      </c>
      <c r="G8681" t="s">
        <v>30907</v>
      </c>
      <c r="H8681" t="s">
        <v>30916</v>
      </c>
      <c r="I8681" t="s">
        <v>30919</v>
      </c>
      <c r="J8681" t="s">
        <v>31066</v>
      </c>
      <c r="K8681" t="s">
        <v>40289</v>
      </c>
      <c r="M8681" t="s">
        <v>43600</v>
      </c>
      <c r="N8681" t="s">
        <v>44759</v>
      </c>
      <c r="O8681" t="s">
        <v>44760</v>
      </c>
      <c r="P8681">
        <v>0</v>
      </c>
      <c r="Q8681">
        <v>0</v>
      </c>
      <c r="R8681" t="s">
        <v>44768</v>
      </c>
      <c r="S8681" t="s">
        <v>44982</v>
      </c>
      <c r="T8681" t="s">
        <v>46398</v>
      </c>
      <c r="U8681" t="s">
        <v>54160</v>
      </c>
      <c r="W8681" t="s">
        <v>43600</v>
      </c>
      <c r="X8681" t="s">
        <v>44769</v>
      </c>
    </row>
    <row r="8682" spans="1:24">
      <c r="A8682">
        <f>HYPERLINK("https://www.philgeps.gov.ph/GEPSNONPILOT/Tender/SplashBidNoticeAbstractUI.aspx?menuIndex=3&amp;refID=7140858&amp;Result=3","7140858")</f>
        <v>0</v>
      </c>
      <c r="B8682" t="s">
        <v>280</v>
      </c>
      <c r="C8682" t="s">
        <v>11979</v>
      </c>
      <c r="D8682" t="s">
        <v>17985</v>
      </c>
      <c r="E8682" t="s">
        <v>25619</v>
      </c>
      <c r="F8682" t="s">
        <v>30900</v>
      </c>
      <c r="G8682" t="s">
        <v>30907</v>
      </c>
      <c r="H8682" t="s">
        <v>30915</v>
      </c>
      <c r="I8682" t="s">
        <v>30919</v>
      </c>
      <c r="J8682" t="s">
        <v>36497</v>
      </c>
      <c r="K8682" t="s">
        <v>40300</v>
      </c>
      <c r="M8682" t="s">
        <v>40827</v>
      </c>
      <c r="N8682" t="s">
        <v>44759</v>
      </c>
      <c r="O8682" t="s">
        <v>44760</v>
      </c>
      <c r="P8682">
        <v>0</v>
      </c>
      <c r="Q8682">
        <v>1</v>
      </c>
      <c r="R8682" t="s">
        <v>44768</v>
      </c>
      <c r="S8682" t="s">
        <v>44982</v>
      </c>
      <c r="T8682" t="s">
        <v>46515</v>
      </c>
      <c r="U8682" t="s">
        <v>54161</v>
      </c>
      <c r="W8682" t="s">
        <v>40827</v>
      </c>
      <c r="X8682" t="s">
        <v>44769</v>
      </c>
    </row>
    <row r="8683" spans="1:24">
      <c r="A8683">
        <f>HYPERLINK("https://www.philgeps.gov.ph/GEPSNONPILOT/Tender/SplashBidNoticeAbstractUI.aspx?menuIndex=3&amp;refID=7140854&amp;Result=3","7140854")</f>
        <v>0</v>
      </c>
      <c r="B8683" t="s">
        <v>2279</v>
      </c>
      <c r="C8683" t="s">
        <v>11980</v>
      </c>
      <c r="D8683" t="s">
        <v>17980</v>
      </c>
      <c r="E8683" t="s">
        <v>25620</v>
      </c>
      <c r="F8683" t="s">
        <v>30900</v>
      </c>
      <c r="G8683" t="s">
        <v>30909</v>
      </c>
      <c r="H8683" t="s">
        <v>30916</v>
      </c>
      <c r="I8683" t="s">
        <v>4545</v>
      </c>
      <c r="J8683" t="s">
        <v>31352</v>
      </c>
      <c r="K8683" t="s">
        <v>40293</v>
      </c>
      <c r="M8683" t="s">
        <v>42993</v>
      </c>
      <c r="N8683" t="s">
        <v>44759</v>
      </c>
      <c r="O8683" t="s">
        <v>44760</v>
      </c>
      <c r="P8683">
        <v>0</v>
      </c>
      <c r="Q8683">
        <v>4</v>
      </c>
      <c r="R8683" t="s">
        <v>44768</v>
      </c>
      <c r="S8683" t="s">
        <v>44982</v>
      </c>
      <c r="T8683" t="s">
        <v>46625</v>
      </c>
      <c r="U8683" t="s">
        <v>54162</v>
      </c>
      <c r="W8683" t="s">
        <v>42993</v>
      </c>
      <c r="X8683" t="s">
        <v>44769</v>
      </c>
    </row>
    <row r="8684" spans="1:24">
      <c r="A8684">
        <f>HYPERLINK("https://www.philgeps.gov.ph/GEPSNONPILOT/Tender/SplashBidNoticeAbstractUI.aspx?menuIndex=3&amp;refID=7140857&amp;Result=3","7140857")</f>
        <v>0</v>
      </c>
      <c r="B8684" t="s">
        <v>2813</v>
      </c>
      <c r="C8684" t="s">
        <v>11981</v>
      </c>
      <c r="D8684" t="s">
        <v>17987</v>
      </c>
      <c r="E8684" t="s">
        <v>25621</v>
      </c>
      <c r="F8684" t="s">
        <v>30900</v>
      </c>
      <c r="G8684" t="s">
        <v>30907</v>
      </c>
      <c r="H8684" t="s">
        <v>30915</v>
      </c>
      <c r="I8684" t="s">
        <v>30919</v>
      </c>
      <c r="J8684" t="s">
        <v>36498</v>
      </c>
      <c r="K8684" t="s">
        <v>40283</v>
      </c>
      <c r="M8684" t="s">
        <v>43598</v>
      </c>
      <c r="N8684" t="s">
        <v>44759</v>
      </c>
      <c r="O8684" t="s">
        <v>44760</v>
      </c>
      <c r="P8684">
        <v>0</v>
      </c>
      <c r="Q8684">
        <v>0</v>
      </c>
      <c r="R8684" t="s">
        <v>44768</v>
      </c>
      <c r="S8684" t="s">
        <v>44982</v>
      </c>
      <c r="T8684" t="s">
        <v>46606</v>
      </c>
      <c r="U8684" t="s">
        <v>54163</v>
      </c>
      <c r="W8684" t="s">
        <v>43598</v>
      </c>
      <c r="X8684" t="s">
        <v>44769</v>
      </c>
    </row>
    <row r="8685" spans="1:24">
      <c r="A8685">
        <f>HYPERLINK("https://www.philgeps.gov.ph/GEPSNONPILOT/Tender/SplashBidNoticeAbstractUI.aspx?menuIndex=3&amp;refID=7140853&amp;Result=3","7140853")</f>
        <v>0</v>
      </c>
      <c r="B8685" t="s">
        <v>1232</v>
      </c>
      <c r="C8685" t="s">
        <v>11982</v>
      </c>
      <c r="D8685" t="s">
        <v>17969</v>
      </c>
      <c r="E8685" t="s">
        <v>25622</v>
      </c>
      <c r="F8685" t="s">
        <v>30900</v>
      </c>
      <c r="G8685" t="s">
        <v>30908</v>
      </c>
      <c r="H8685" t="s">
        <v>30916</v>
      </c>
      <c r="I8685" t="s">
        <v>30942</v>
      </c>
      <c r="J8685" t="s">
        <v>31341</v>
      </c>
      <c r="K8685" t="s">
        <v>40314</v>
      </c>
      <c r="M8685" t="s">
        <v>41844</v>
      </c>
      <c r="N8685" t="s">
        <v>44759</v>
      </c>
      <c r="O8685" t="s">
        <v>44760</v>
      </c>
      <c r="P8685">
        <v>0</v>
      </c>
      <c r="Q8685">
        <v>1</v>
      </c>
      <c r="R8685" t="s">
        <v>44768</v>
      </c>
      <c r="S8685" t="s">
        <v>44982</v>
      </c>
      <c r="T8685" t="s">
        <v>46581</v>
      </c>
      <c r="U8685" t="s">
        <v>54164</v>
      </c>
      <c r="W8685" t="s">
        <v>41844</v>
      </c>
      <c r="X8685" t="s">
        <v>44769</v>
      </c>
    </row>
    <row r="8686" spans="1:24">
      <c r="A8686">
        <f>HYPERLINK("https://www.philgeps.gov.ph/GEPSNONPILOT/Tender/SplashBidNoticeAbstractUI.aspx?menuIndex=3&amp;refID=7140846&amp;Result=3","7140846")</f>
        <v>0</v>
      </c>
      <c r="B8686" t="s">
        <v>667</v>
      </c>
      <c r="C8686" t="s">
        <v>11983</v>
      </c>
      <c r="D8686" t="s">
        <v>17977</v>
      </c>
      <c r="E8686" t="s">
        <v>25623</v>
      </c>
      <c r="F8686" t="s">
        <v>30900</v>
      </c>
      <c r="G8686" t="s">
        <v>30907</v>
      </c>
      <c r="H8686" t="s">
        <v>30915</v>
      </c>
      <c r="I8686" t="s">
        <v>30919</v>
      </c>
      <c r="J8686" t="s">
        <v>31153</v>
      </c>
      <c r="K8686" t="s">
        <v>40286</v>
      </c>
      <c r="M8686" t="s">
        <v>41230</v>
      </c>
      <c r="N8686" t="s">
        <v>44759</v>
      </c>
      <c r="O8686" t="s">
        <v>44760</v>
      </c>
      <c r="P8686">
        <v>0</v>
      </c>
      <c r="Q8686">
        <v>1</v>
      </c>
      <c r="R8686" t="s">
        <v>44768</v>
      </c>
      <c r="S8686" t="s">
        <v>44982</v>
      </c>
      <c r="T8686" t="s">
        <v>46455</v>
      </c>
      <c r="U8686" t="s">
        <v>54165</v>
      </c>
      <c r="W8686" t="s">
        <v>41230</v>
      </c>
      <c r="X8686" t="s">
        <v>44769</v>
      </c>
    </row>
    <row r="8687" spans="1:24">
      <c r="A8687">
        <f>HYPERLINK("https://www.philgeps.gov.ph/GEPSNONPILOT/Tender/SplashBidNoticeAbstractUI.aspx?menuIndex=3&amp;refID=7140805&amp;Result=3","7140805")</f>
        <v>0</v>
      </c>
      <c r="B8687" t="s">
        <v>2150</v>
      </c>
      <c r="C8687" t="s">
        <v>11984</v>
      </c>
      <c r="D8687" t="s">
        <v>17951</v>
      </c>
      <c r="E8687" t="s">
        <v>25624</v>
      </c>
      <c r="F8687" t="s">
        <v>30900</v>
      </c>
      <c r="G8687" t="s">
        <v>30907</v>
      </c>
      <c r="H8687" t="s">
        <v>30916</v>
      </c>
      <c r="I8687" t="s">
        <v>5501</v>
      </c>
      <c r="J8687" t="s">
        <v>36499</v>
      </c>
      <c r="K8687" t="s">
        <v>40286</v>
      </c>
      <c r="M8687" t="s">
        <v>42854</v>
      </c>
      <c r="N8687" t="s">
        <v>44759</v>
      </c>
      <c r="O8687" t="s">
        <v>44760</v>
      </c>
      <c r="P8687">
        <v>0</v>
      </c>
      <c r="Q8687">
        <v>1</v>
      </c>
      <c r="R8687" t="s">
        <v>44768</v>
      </c>
      <c r="S8687" t="s">
        <v>44982</v>
      </c>
      <c r="T8687" t="s">
        <v>46531</v>
      </c>
      <c r="U8687" t="s">
        <v>54166</v>
      </c>
      <c r="W8687" t="s">
        <v>42854</v>
      </c>
      <c r="X8687" t="s">
        <v>44769</v>
      </c>
    </row>
    <row r="8688" spans="1:24">
      <c r="A8688">
        <f>HYPERLINK("https://www.philgeps.gov.ph/GEPSNONPILOT/Tender/SplashBidNoticeAbstractUI.aspx?menuIndex=3&amp;refID=7140845&amp;Result=3","7140845")</f>
        <v>0</v>
      </c>
      <c r="B8688" t="s">
        <v>2526</v>
      </c>
      <c r="C8688" t="s">
        <v>11985</v>
      </c>
      <c r="D8688" t="s">
        <v>17951</v>
      </c>
      <c r="E8688" t="s">
        <v>25625</v>
      </c>
      <c r="F8688" t="s">
        <v>30900</v>
      </c>
      <c r="G8688" t="s">
        <v>30907</v>
      </c>
      <c r="H8688" t="s">
        <v>30916</v>
      </c>
      <c r="I8688" t="s">
        <v>10847</v>
      </c>
      <c r="J8688" t="s">
        <v>36500</v>
      </c>
      <c r="K8688" t="s">
        <v>40284</v>
      </c>
      <c r="M8688" t="s">
        <v>43277</v>
      </c>
      <c r="N8688" t="s">
        <v>44759</v>
      </c>
      <c r="O8688" t="s">
        <v>44760</v>
      </c>
      <c r="P8688">
        <v>0</v>
      </c>
      <c r="Q8688">
        <v>0</v>
      </c>
      <c r="R8688" t="s">
        <v>44768</v>
      </c>
      <c r="S8688" t="s">
        <v>44982</v>
      </c>
      <c r="T8688" t="s">
        <v>46625</v>
      </c>
      <c r="U8688" t="s">
        <v>53151</v>
      </c>
      <c r="W8688" t="s">
        <v>43277</v>
      </c>
      <c r="X8688" t="s">
        <v>44769</v>
      </c>
    </row>
    <row r="8689" spans="1:24">
      <c r="A8689">
        <f>HYPERLINK("https://www.philgeps.gov.ph/GEPSNONPILOT/Tender/SplashBidNoticeAbstractUI.aspx?menuIndex=3&amp;refID=7140832&amp;Result=3","7140832")</f>
        <v>0</v>
      </c>
      <c r="B8689" t="s">
        <v>384</v>
      </c>
      <c r="C8689" t="s">
        <v>11986</v>
      </c>
      <c r="D8689" t="s">
        <v>17987</v>
      </c>
      <c r="E8689" t="s">
        <v>25626</v>
      </c>
      <c r="F8689" t="s">
        <v>30900</v>
      </c>
      <c r="G8689" t="s">
        <v>30907</v>
      </c>
      <c r="H8689" t="s">
        <v>30916</v>
      </c>
      <c r="I8689" t="s">
        <v>30922</v>
      </c>
      <c r="J8689" t="s">
        <v>36501</v>
      </c>
      <c r="K8689" t="s">
        <v>40294</v>
      </c>
      <c r="M8689" t="s">
        <v>40939</v>
      </c>
      <c r="N8689" t="s">
        <v>44759</v>
      </c>
      <c r="O8689" t="s">
        <v>44760</v>
      </c>
      <c r="P8689">
        <v>0</v>
      </c>
      <c r="Q8689">
        <v>0</v>
      </c>
      <c r="R8689" t="s">
        <v>44768</v>
      </c>
      <c r="S8689" t="s">
        <v>44982</v>
      </c>
      <c r="T8689" t="s">
        <v>46409</v>
      </c>
      <c r="U8689" t="s">
        <v>54167</v>
      </c>
      <c r="W8689" t="s">
        <v>40939</v>
      </c>
      <c r="X8689" t="s">
        <v>44769</v>
      </c>
    </row>
    <row r="8690" spans="1:24">
      <c r="A8690">
        <f>HYPERLINK("https://www.philgeps.gov.ph/GEPSNONPILOT/Tender/SplashBidNoticeAbstractUI.aspx?menuIndex=3&amp;refID=7140887&amp;Result=3","7140887")</f>
        <v>0</v>
      </c>
      <c r="B8690" t="s">
        <v>379</v>
      </c>
      <c r="C8690" t="s">
        <v>11987</v>
      </c>
      <c r="D8690" t="s">
        <v>18015</v>
      </c>
      <c r="E8690" t="s">
        <v>25627</v>
      </c>
      <c r="F8690" t="s">
        <v>30900</v>
      </c>
      <c r="G8690" t="s">
        <v>30907</v>
      </c>
      <c r="H8690" t="s">
        <v>30916</v>
      </c>
      <c r="I8690" t="s">
        <v>4545</v>
      </c>
      <c r="J8690" t="s">
        <v>36502</v>
      </c>
      <c r="K8690" t="s">
        <v>40283</v>
      </c>
      <c r="M8690" t="s">
        <v>40933</v>
      </c>
      <c r="N8690" t="s">
        <v>44759</v>
      </c>
      <c r="O8690" t="s">
        <v>44760</v>
      </c>
      <c r="P8690">
        <v>0</v>
      </c>
      <c r="Q8690">
        <v>0</v>
      </c>
      <c r="R8690" t="s">
        <v>44768</v>
      </c>
      <c r="S8690" t="s">
        <v>44982</v>
      </c>
      <c r="T8690" t="s">
        <v>46455</v>
      </c>
      <c r="U8690" t="s">
        <v>54168</v>
      </c>
      <c r="W8690" t="s">
        <v>40933</v>
      </c>
      <c r="X8690" t="s">
        <v>44769</v>
      </c>
    </row>
    <row r="8691" spans="1:24">
      <c r="A8691">
        <f>HYPERLINK("https://www.philgeps.gov.ph/GEPSNONPILOT/Tender/SplashBidNoticeAbstractUI.aspx?menuIndex=3&amp;refID=7140848&amp;Result=3","7140848")</f>
        <v>0</v>
      </c>
      <c r="B8691" t="s">
        <v>2808</v>
      </c>
      <c r="C8691" t="s">
        <v>11988</v>
      </c>
      <c r="D8691" t="s">
        <v>17957</v>
      </c>
      <c r="E8691" t="s">
        <v>25628</v>
      </c>
      <c r="F8691" t="s">
        <v>30900</v>
      </c>
      <c r="G8691" t="s">
        <v>30907</v>
      </c>
      <c r="H8691" t="s">
        <v>30915</v>
      </c>
      <c r="I8691" t="s">
        <v>30919</v>
      </c>
      <c r="J8691" t="s">
        <v>36503</v>
      </c>
      <c r="K8691" t="s">
        <v>40462</v>
      </c>
      <c r="M8691" t="s">
        <v>43593</v>
      </c>
      <c r="N8691" t="s">
        <v>44759</v>
      </c>
      <c r="O8691" t="s">
        <v>44760</v>
      </c>
      <c r="P8691">
        <v>0</v>
      </c>
      <c r="Q8691">
        <v>0</v>
      </c>
      <c r="R8691" t="s">
        <v>44768</v>
      </c>
      <c r="S8691" t="s">
        <v>44982</v>
      </c>
      <c r="T8691" t="s">
        <v>46495</v>
      </c>
      <c r="U8691" t="s">
        <v>54169</v>
      </c>
      <c r="W8691" t="s">
        <v>43593</v>
      </c>
      <c r="X8691" t="s">
        <v>44769</v>
      </c>
    </row>
    <row r="8692" spans="1:24">
      <c r="A8692">
        <f>HYPERLINK("https://www.philgeps.gov.ph/GEPSNONPILOT/Tender/SplashBidNoticeAbstractUI.aspx?menuIndex=3&amp;refID=7140886&amp;Result=3","7140886")</f>
        <v>0</v>
      </c>
      <c r="B8692" t="s">
        <v>1232</v>
      </c>
      <c r="C8692" t="s">
        <v>11989</v>
      </c>
      <c r="D8692" t="s">
        <v>17969</v>
      </c>
      <c r="E8692" t="s">
        <v>25629</v>
      </c>
      <c r="F8692" t="s">
        <v>30900</v>
      </c>
      <c r="G8692" t="s">
        <v>30908</v>
      </c>
      <c r="H8692" t="s">
        <v>30916</v>
      </c>
      <c r="I8692" t="s">
        <v>30942</v>
      </c>
      <c r="J8692" t="s">
        <v>31049</v>
      </c>
      <c r="K8692" t="s">
        <v>40291</v>
      </c>
      <c r="M8692" t="s">
        <v>41844</v>
      </c>
      <c r="N8692" t="s">
        <v>44759</v>
      </c>
      <c r="O8692" t="s">
        <v>44760</v>
      </c>
      <c r="P8692">
        <v>0</v>
      </c>
      <c r="Q8692">
        <v>0</v>
      </c>
      <c r="R8692" t="s">
        <v>44768</v>
      </c>
      <c r="S8692" t="s">
        <v>44982</v>
      </c>
      <c r="T8692" t="s">
        <v>46581</v>
      </c>
      <c r="U8692" t="s">
        <v>54170</v>
      </c>
      <c r="W8692" t="s">
        <v>41844</v>
      </c>
      <c r="X8692" t="s">
        <v>44769</v>
      </c>
    </row>
    <row r="8693" spans="1:24">
      <c r="A8693">
        <f>HYPERLINK("https://www.philgeps.gov.ph/GEPSNONPILOT/Tender/SplashBidNoticeAbstractUI.aspx?menuIndex=3&amp;refID=7140882&amp;Result=3","7140882")</f>
        <v>0</v>
      </c>
      <c r="B8693" t="s">
        <v>2813</v>
      </c>
      <c r="C8693" t="s">
        <v>11990</v>
      </c>
      <c r="D8693" t="s">
        <v>17987</v>
      </c>
      <c r="E8693" t="s">
        <v>25630</v>
      </c>
      <c r="F8693" t="s">
        <v>30900</v>
      </c>
      <c r="G8693" t="s">
        <v>30907</v>
      </c>
      <c r="H8693" t="s">
        <v>30915</v>
      </c>
      <c r="I8693" t="s">
        <v>30919</v>
      </c>
      <c r="J8693" t="s">
        <v>36504</v>
      </c>
      <c r="K8693" t="s">
        <v>40280</v>
      </c>
      <c r="M8693" t="s">
        <v>43598</v>
      </c>
      <c r="N8693" t="s">
        <v>44759</v>
      </c>
      <c r="O8693" t="s">
        <v>44760</v>
      </c>
      <c r="P8693">
        <v>0</v>
      </c>
      <c r="Q8693">
        <v>0</v>
      </c>
      <c r="R8693" t="s">
        <v>44768</v>
      </c>
      <c r="S8693" t="s">
        <v>44982</v>
      </c>
      <c r="T8693" t="s">
        <v>46606</v>
      </c>
      <c r="U8693" t="s">
        <v>54171</v>
      </c>
      <c r="W8693" t="s">
        <v>43598</v>
      </c>
      <c r="X8693" t="s">
        <v>44769</v>
      </c>
    </row>
    <row r="8694" spans="1:24">
      <c r="A8694">
        <f>HYPERLINK("https://www.philgeps.gov.ph/GEPSNONPILOT/Tender/SplashBidNoticeAbstractUI.aspx?menuIndex=3&amp;refID=7140881&amp;Result=3","7140881")</f>
        <v>0</v>
      </c>
      <c r="B8694" t="s">
        <v>81</v>
      </c>
      <c r="C8694" t="s">
        <v>11991</v>
      </c>
      <c r="D8694" t="s">
        <v>17959</v>
      </c>
      <c r="E8694" t="s">
        <v>19306</v>
      </c>
      <c r="F8694" t="s">
        <v>30900</v>
      </c>
      <c r="G8694" t="s">
        <v>30909</v>
      </c>
      <c r="H8694" t="s">
        <v>30916</v>
      </c>
      <c r="I8694" t="s">
        <v>4142</v>
      </c>
      <c r="J8694" t="s">
        <v>36505</v>
      </c>
      <c r="K8694" t="s">
        <v>40289</v>
      </c>
      <c r="M8694" t="s">
        <v>42693</v>
      </c>
      <c r="N8694" t="s">
        <v>44759</v>
      </c>
      <c r="O8694" t="s">
        <v>44760</v>
      </c>
      <c r="P8694">
        <v>0</v>
      </c>
      <c r="Q8694">
        <v>4</v>
      </c>
      <c r="R8694" t="s">
        <v>44768</v>
      </c>
      <c r="S8694" t="s">
        <v>44982</v>
      </c>
      <c r="T8694" t="s">
        <v>46818</v>
      </c>
      <c r="U8694" t="s">
        <v>54172</v>
      </c>
      <c r="W8694" t="s">
        <v>42693</v>
      </c>
      <c r="X8694" t="s">
        <v>44769</v>
      </c>
    </row>
    <row r="8695" spans="1:24">
      <c r="A8695">
        <f>HYPERLINK("https://www.philgeps.gov.ph/GEPSNONPILOT/Tender/SplashBidNoticeAbstractUI.aspx?menuIndex=3&amp;refID=7140884&amp;Result=3","7140884")</f>
        <v>0</v>
      </c>
      <c r="B8695" t="s">
        <v>2816</v>
      </c>
      <c r="C8695" t="s">
        <v>11992</v>
      </c>
      <c r="D8695" t="s">
        <v>17978</v>
      </c>
      <c r="E8695" t="s">
        <v>18066</v>
      </c>
      <c r="F8695" t="s">
        <v>30900</v>
      </c>
      <c r="G8695" t="s">
        <v>30909</v>
      </c>
      <c r="H8695" t="s">
        <v>30916</v>
      </c>
      <c r="I8695" t="s">
        <v>8123</v>
      </c>
      <c r="J8695" t="s">
        <v>36506</v>
      </c>
      <c r="K8695" t="s">
        <v>40283</v>
      </c>
      <c r="M8695" t="s">
        <v>43601</v>
      </c>
      <c r="N8695" t="s">
        <v>44759</v>
      </c>
      <c r="O8695" t="s">
        <v>44760</v>
      </c>
      <c r="P8695">
        <v>0</v>
      </c>
      <c r="Q8695">
        <v>0</v>
      </c>
      <c r="R8695" t="s">
        <v>44768</v>
      </c>
      <c r="S8695" t="s">
        <v>44982</v>
      </c>
      <c r="T8695" t="s">
        <v>46472</v>
      </c>
      <c r="U8695" t="s">
        <v>54173</v>
      </c>
      <c r="W8695" t="s">
        <v>43601</v>
      </c>
      <c r="X8695" t="s">
        <v>44769</v>
      </c>
    </row>
    <row r="8696" spans="1:24">
      <c r="A8696">
        <f>HYPERLINK("https://www.philgeps.gov.ph/GEPSNONPILOT/Tender/SplashBidNoticeAbstractUI.aspx?menuIndex=3&amp;refID=7140828&amp;Result=3","7140828")</f>
        <v>0</v>
      </c>
      <c r="B8696" t="s">
        <v>2228</v>
      </c>
      <c r="C8696" t="s">
        <v>11993</v>
      </c>
      <c r="E8696" t="s">
        <v>18786</v>
      </c>
      <c r="F8696" t="s">
        <v>30900</v>
      </c>
      <c r="G8696" t="s">
        <v>30908</v>
      </c>
      <c r="H8696" t="s">
        <v>30915</v>
      </c>
      <c r="I8696" t="s">
        <v>8123</v>
      </c>
      <c r="J8696" t="s">
        <v>36507</v>
      </c>
      <c r="K8696" t="s">
        <v>40289</v>
      </c>
      <c r="M8696" t="s">
        <v>42938</v>
      </c>
      <c r="N8696" t="s">
        <v>44759</v>
      </c>
      <c r="O8696" t="s">
        <v>44760</v>
      </c>
      <c r="P8696">
        <v>0</v>
      </c>
      <c r="Q8696">
        <v>0</v>
      </c>
      <c r="R8696" t="s">
        <v>44768</v>
      </c>
      <c r="S8696" t="s">
        <v>44982</v>
      </c>
      <c r="T8696" t="s">
        <v>46625</v>
      </c>
      <c r="U8696" t="s">
        <v>54174</v>
      </c>
      <c r="W8696" t="s">
        <v>42938</v>
      </c>
      <c r="X8696" t="s">
        <v>44769</v>
      </c>
    </row>
    <row r="8697" spans="1:24">
      <c r="A8697">
        <f>HYPERLINK("https://www.philgeps.gov.ph/GEPSNONPILOT/Tender/SplashBidNoticeAbstractUI.aspx?menuIndex=3&amp;refID=7140826&amp;Result=3","7140826")</f>
        <v>0</v>
      </c>
      <c r="B8697" t="s">
        <v>1881</v>
      </c>
      <c r="C8697" t="s">
        <v>11994</v>
      </c>
      <c r="D8697" t="s">
        <v>17997</v>
      </c>
      <c r="E8697" t="s">
        <v>25631</v>
      </c>
      <c r="F8697" t="s">
        <v>30900</v>
      </c>
      <c r="G8697" t="s">
        <v>30909</v>
      </c>
      <c r="H8697" t="s">
        <v>30916</v>
      </c>
      <c r="I8697" t="s">
        <v>4108</v>
      </c>
      <c r="J8697" t="s">
        <v>31513</v>
      </c>
      <c r="K8697" t="s">
        <v>40314</v>
      </c>
      <c r="M8697" t="s">
        <v>42555</v>
      </c>
      <c r="N8697" t="s">
        <v>44759</v>
      </c>
      <c r="O8697" t="s">
        <v>44760</v>
      </c>
      <c r="P8697">
        <v>0</v>
      </c>
      <c r="Q8697">
        <v>0</v>
      </c>
      <c r="R8697" t="s">
        <v>44768</v>
      </c>
      <c r="S8697" t="s">
        <v>44982</v>
      </c>
      <c r="T8697" t="s">
        <v>46516</v>
      </c>
      <c r="U8697" t="s">
        <v>54175</v>
      </c>
      <c r="W8697" t="s">
        <v>42555</v>
      </c>
      <c r="X8697" t="s">
        <v>44769</v>
      </c>
    </row>
    <row r="8698" spans="1:24">
      <c r="A8698">
        <f>HYPERLINK("https://www.philgeps.gov.ph/GEPSNONPILOT/Tender/SplashBidNoticeAbstractUI.aspx?menuIndex=3&amp;refID=7140883&amp;Result=3","7140883")</f>
        <v>0</v>
      </c>
      <c r="B8698" t="s">
        <v>2806</v>
      </c>
      <c r="C8698" t="s">
        <v>11995</v>
      </c>
      <c r="D8698" t="s">
        <v>17975</v>
      </c>
      <c r="E8698" t="s">
        <v>25632</v>
      </c>
      <c r="F8698" t="s">
        <v>30900</v>
      </c>
      <c r="G8698" t="s">
        <v>30907</v>
      </c>
      <c r="H8698" t="s">
        <v>30916</v>
      </c>
      <c r="I8698" t="s">
        <v>30932</v>
      </c>
      <c r="J8698" t="s">
        <v>36508</v>
      </c>
      <c r="K8698" t="s">
        <v>40287</v>
      </c>
      <c r="M8698" t="s">
        <v>43591</v>
      </c>
      <c r="N8698" t="s">
        <v>44759</v>
      </c>
      <c r="O8698" t="s">
        <v>44760</v>
      </c>
      <c r="P8698">
        <v>0</v>
      </c>
      <c r="Q8698">
        <v>1</v>
      </c>
      <c r="R8698" t="s">
        <v>44768</v>
      </c>
      <c r="S8698" t="s">
        <v>44982</v>
      </c>
      <c r="T8698" t="s">
        <v>46361</v>
      </c>
      <c r="U8698" t="s">
        <v>54123</v>
      </c>
      <c r="V8698" t="s">
        <v>60065</v>
      </c>
      <c r="W8698" t="s">
        <v>43591</v>
      </c>
      <c r="X8698" t="s">
        <v>44769</v>
      </c>
    </row>
    <row r="8699" spans="1:24">
      <c r="A8699">
        <f>HYPERLINK("https://www.philgeps.gov.ph/GEPSNONPILOT/Tender/SplashBidNoticeAbstractUI.aspx?menuIndex=3&amp;refID=7140888&amp;Result=3","7140888")</f>
        <v>0</v>
      </c>
      <c r="B8699" t="s">
        <v>2145</v>
      </c>
      <c r="C8699" t="s">
        <v>11996</v>
      </c>
      <c r="D8699" t="s">
        <v>17973</v>
      </c>
      <c r="E8699" t="s">
        <v>25633</v>
      </c>
      <c r="F8699" t="s">
        <v>30900</v>
      </c>
      <c r="G8699" t="s">
        <v>30907</v>
      </c>
      <c r="H8699" t="s">
        <v>30916</v>
      </c>
      <c r="I8699" t="s">
        <v>8365</v>
      </c>
      <c r="J8699" t="s">
        <v>36509</v>
      </c>
      <c r="K8699" t="s">
        <v>40289</v>
      </c>
      <c r="M8699" t="s">
        <v>42848</v>
      </c>
      <c r="N8699" t="s">
        <v>44759</v>
      </c>
      <c r="O8699" t="s">
        <v>44760</v>
      </c>
      <c r="P8699">
        <v>0</v>
      </c>
      <c r="Q8699">
        <v>4</v>
      </c>
      <c r="R8699" t="s">
        <v>44768</v>
      </c>
      <c r="S8699" t="s">
        <v>44982</v>
      </c>
      <c r="T8699" t="s">
        <v>46689</v>
      </c>
      <c r="U8699" t="s">
        <v>54176</v>
      </c>
      <c r="W8699" t="s">
        <v>42848</v>
      </c>
      <c r="X8699" t="s">
        <v>44769</v>
      </c>
    </row>
    <row r="8700" spans="1:24">
      <c r="A8700">
        <f>HYPERLINK("https://www.philgeps.gov.ph/GEPSNONPILOT/Tender/SplashBidNoticeAbstractUI.aspx?menuIndex=3&amp;refID=7140925&amp;Result=3","7140925")</f>
        <v>0</v>
      </c>
      <c r="B8700" t="s">
        <v>469</v>
      </c>
      <c r="C8700" t="s">
        <v>7411</v>
      </c>
      <c r="D8700" t="s">
        <v>17981</v>
      </c>
      <c r="E8700" t="s">
        <v>25634</v>
      </c>
      <c r="F8700" t="s">
        <v>30900</v>
      </c>
      <c r="G8700" t="s">
        <v>30911</v>
      </c>
      <c r="H8700" t="s">
        <v>7411</v>
      </c>
      <c r="I8700" t="s">
        <v>7411</v>
      </c>
      <c r="J8700" t="s">
        <v>31449</v>
      </c>
      <c r="K8700" t="s">
        <v>40334</v>
      </c>
      <c r="M8700" t="s">
        <v>41027</v>
      </c>
      <c r="N8700" t="s">
        <v>44759</v>
      </c>
      <c r="O8700" t="s">
        <v>44760</v>
      </c>
      <c r="P8700">
        <v>0</v>
      </c>
      <c r="Q8700">
        <v>3</v>
      </c>
      <c r="R8700" t="s">
        <v>44768</v>
      </c>
      <c r="S8700" t="s">
        <v>44982</v>
      </c>
      <c r="T8700" t="s">
        <v>46662</v>
      </c>
      <c r="U8700" t="s">
        <v>54177</v>
      </c>
      <c r="W8700" t="s">
        <v>41027</v>
      </c>
      <c r="X8700" t="s">
        <v>44769</v>
      </c>
    </row>
    <row r="8701" spans="1:24">
      <c r="A8701">
        <f>HYPERLINK("https://www.philgeps.gov.ph/GEPSNONPILOT/Tender/SplashBidNoticeAbstractUI.aspx?menuIndex=3&amp;refID=7140944&amp;Result=3","7140944")</f>
        <v>0</v>
      </c>
      <c r="B8701" t="s">
        <v>753</v>
      </c>
      <c r="C8701" t="s">
        <v>11997</v>
      </c>
      <c r="D8701" t="s">
        <v>17976</v>
      </c>
      <c r="E8701" t="s">
        <v>25635</v>
      </c>
      <c r="F8701" t="s">
        <v>30900</v>
      </c>
      <c r="G8701" t="s">
        <v>30907</v>
      </c>
      <c r="H8701" t="s">
        <v>30916</v>
      </c>
      <c r="I8701" t="s">
        <v>5501</v>
      </c>
      <c r="J8701" t="s">
        <v>36510</v>
      </c>
      <c r="K8701" t="s">
        <v>40284</v>
      </c>
      <c r="L8701" t="s">
        <v>753</v>
      </c>
      <c r="M8701" t="s">
        <v>41317</v>
      </c>
      <c r="N8701" t="s">
        <v>44759</v>
      </c>
      <c r="O8701" t="s">
        <v>44760</v>
      </c>
      <c r="P8701">
        <v>0</v>
      </c>
      <c r="Q8701">
        <v>5</v>
      </c>
      <c r="R8701" t="s">
        <v>44768</v>
      </c>
      <c r="S8701" t="s">
        <v>44982</v>
      </c>
      <c r="T8701" t="s">
        <v>46689</v>
      </c>
      <c r="U8701" t="s">
        <v>53011</v>
      </c>
      <c r="V8701" t="s">
        <v>59295</v>
      </c>
      <c r="W8701" t="s">
        <v>41317</v>
      </c>
      <c r="X8701" t="s">
        <v>44769</v>
      </c>
    </row>
    <row r="8702" spans="1:24">
      <c r="A8702">
        <f>HYPERLINK("https://www.philgeps.gov.ph/GEPSNONPILOT/Tender/SplashBidNoticeAbstractUI.aspx?menuIndex=3&amp;refID=7140924&amp;Result=3","7140924")</f>
        <v>0</v>
      </c>
      <c r="B8702" t="s">
        <v>819</v>
      </c>
      <c r="C8702" t="s">
        <v>11998</v>
      </c>
      <c r="D8702" t="s">
        <v>18025</v>
      </c>
      <c r="E8702" t="s">
        <v>25584</v>
      </c>
      <c r="F8702" t="s">
        <v>30900</v>
      </c>
      <c r="G8702" t="s">
        <v>30907</v>
      </c>
      <c r="H8702" t="s">
        <v>30915</v>
      </c>
      <c r="I8702" t="s">
        <v>30919</v>
      </c>
      <c r="J8702" t="s">
        <v>36511</v>
      </c>
      <c r="K8702" t="s">
        <v>40292</v>
      </c>
      <c r="M8702" t="s">
        <v>41390</v>
      </c>
      <c r="N8702" t="s">
        <v>44759</v>
      </c>
      <c r="O8702" t="s">
        <v>44760</v>
      </c>
      <c r="P8702">
        <v>0</v>
      </c>
      <c r="Q8702">
        <v>1</v>
      </c>
      <c r="R8702" t="s">
        <v>44768</v>
      </c>
      <c r="S8702" t="s">
        <v>44982</v>
      </c>
      <c r="T8702" t="s">
        <v>46807</v>
      </c>
      <c r="U8702" t="s">
        <v>54124</v>
      </c>
      <c r="W8702" t="s">
        <v>41390</v>
      </c>
      <c r="X8702" t="s">
        <v>44769</v>
      </c>
    </row>
    <row r="8703" spans="1:24">
      <c r="A8703">
        <f>HYPERLINK("https://www.philgeps.gov.ph/GEPSNONPILOT/Tender/SplashBidNoticeAbstractUI.aspx?menuIndex=3&amp;refID=7140873&amp;Result=3","7140873")</f>
        <v>0</v>
      </c>
      <c r="B8703" t="s">
        <v>1232</v>
      </c>
      <c r="C8703" t="s">
        <v>11999</v>
      </c>
      <c r="D8703" t="s">
        <v>17969</v>
      </c>
      <c r="E8703" t="s">
        <v>25636</v>
      </c>
      <c r="F8703" t="s">
        <v>30900</v>
      </c>
      <c r="G8703" t="s">
        <v>30908</v>
      </c>
      <c r="H8703" t="s">
        <v>30916</v>
      </c>
      <c r="I8703" t="s">
        <v>30942</v>
      </c>
      <c r="J8703" t="s">
        <v>36512</v>
      </c>
      <c r="K8703" t="s">
        <v>40391</v>
      </c>
      <c r="M8703" t="s">
        <v>41844</v>
      </c>
      <c r="N8703" t="s">
        <v>44759</v>
      </c>
      <c r="O8703" t="s">
        <v>44760</v>
      </c>
      <c r="P8703">
        <v>0</v>
      </c>
      <c r="Q8703">
        <v>0</v>
      </c>
      <c r="R8703" t="s">
        <v>44768</v>
      </c>
      <c r="S8703" t="s">
        <v>44982</v>
      </c>
      <c r="T8703" t="s">
        <v>46581</v>
      </c>
      <c r="U8703" t="s">
        <v>54178</v>
      </c>
      <c r="W8703" t="s">
        <v>41844</v>
      </c>
      <c r="X8703" t="s">
        <v>44769</v>
      </c>
    </row>
    <row r="8704" spans="1:24">
      <c r="A8704">
        <f>HYPERLINK("https://www.philgeps.gov.ph/GEPSNONPILOT/Tender/SplashBidNoticeAbstractUI.aspx?menuIndex=3&amp;refID=7140918&amp;Result=3","7140918")</f>
        <v>0</v>
      </c>
      <c r="B8704" t="s">
        <v>280</v>
      </c>
      <c r="C8704" t="s">
        <v>12000</v>
      </c>
      <c r="D8704" t="s">
        <v>17985</v>
      </c>
      <c r="E8704" t="s">
        <v>25637</v>
      </c>
      <c r="F8704" t="s">
        <v>30900</v>
      </c>
      <c r="G8704" t="s">
        <v>30907</v>
      </c>
      <c r="H8704" t="s">
        <v>30915</v>
      </c>
      <c r="I8704" t="s">
        <v>30919</v>
      </c>
      <c r="J8704" t="s">
        <v>36513</v>
      </c>
      <c r="K8704" t="s">
        <v>40308</v>
      </c>
      <c r="M8704" t="s">
        <v>40827</v>
      </c>
      <c r="N8704" t="s">
        <v>44759</v>
      </c>
      <c r="O8704" t="s">
        <v>44760</v>
      </c>
      <c r="P8704">
        <v>0</v>
      </c>
      <c r="Q8704">
        <v>0</v>
      </c>
      <c r="R8704" t="s">
        <v>44768</v>
      </c>
      <c r="S8704" t="s">
        <v>44982</v>
      </c>
      <c r="T8704" t="s">
        <v>46515</v>
      </c>
      <c r="U8704" t="s">
        <v>54161</v>
      </c>
      <c r="W8704" t="s">
        <v>40827</v>
      </c>
      <c r="X8704" t="s">
        <v>44769</v>
      </c>
    </row>
    <row r="8705" spans="1:24">
      <c r="A8705">
        <f>HYPERLINK("https://www.philgeps.gov.ph/GEPSNONPILOT/Tender/SplashBidNoticeAbstractUI.aspx?menuIndex=3&amp;refID=7140894&amp;Result=3","7140894")</f>
        <v>0</v>
      </c>
      <c r="B8705" t="s">
        <v>469</v>
      </c>
      <c r="C8705" t="s">
        <v>12001</v>
      </c>
      <c r="D8705" t="s">
        <v>17981</v>
      </c>
      <c r="E8705" t="s">
        <v>25638</v>
      </c>
      <c r="F8705" t="s">
        <v>30900</v>
      </c>
      <c r="G8705" t="s">
        <v>30907</v>
      </c>
      <c r="H8705" t="s">
        <v>30916</v>
      </c>
      <c r="I8705" t="s">
        <v>4017</v>
      </c>
      <c r="J8705" t="s">
        <v>36514</v>
      </c>
      <c r="K8705" t="s">
        <v>40280</v>
      </c>
      <c r="M8705" t="s">
        <v>41027</v>
      </c>
      <c r="N8705" t="s">
        <v>44759</v>
      </c>
      <c r="O8705" t="s">
        <v>44760</v>
      </c>
      <c r="P8705">
        <v>0</v>
      </c>
      <c r="Q8705">
        <v>7</v>
      </c>
      <c r="R8705" t="s">
        <v>44768</v>
      </c>
      <c r="S8705" t="s">
        <v>44982</v>
      </c>
      <c r="T8705" t="s">
        <v>46457</v>
      </c>
      <c r="U8705" t="s">
        <v>54179</v>
      </c>
      <c r="W8705" t="s">
        <v>41027</v>
      </c>
      <c r="X8705" t="s">
        <v>44769</v>
      </c>
    </row>
    <row r="8706" spans="1:24">
      <c r="A8706">
        <f>HYPERLINK("https://www.philgeps.gov.ph/GEPSNONPILOT/Tender/SplashBidNoticeAbstractUI.aspx?menuIndex=3&amp;refID=7140958&amp;Result=3","7140958")</f>
        <v>0</v>
      </c>
      <c r="B8706" t="s">
        <v>2813</v>
      </c>
      <c r="C8706" t="s">
        <v>12002</v>
      </c>
      <c r="D8706" t="s">
        <v>17987</v>
      </c>
      <c r="E8706" t="s">
        <v>25639</v>
      </c>
      <c r="F8706" t="s">
        <v>30900</v>
      </c>
      <c r="G8706" t="s">
        <v>30907</v>
      </c>
      <c r="H8706" t="s">
        <v>30915</v>
      </c>
      <c r="I8706" t="s">
        <v>30919</v>
      </c>
      <c r="J8706" t="s">
        <v>31391</v>
      </c>
      <c r="K8706" t="s">
        <v>40304</v>
      </c>
      <c r="M8706" t="s">
        <v>43598</v>
      </c>
      <c r="N8706" t="s">
        <v>44759</v>
      </c>
      <c r="O8706" t="s">
        <v>44760</v>
      </c>
      <c r="P8706">
        <v>0</v>
      </c>
      <c r="Q8706">
        <v>1</v>
      </c>
      <c r="R8706" t="s">
        <v>44768</v>
      </c>
      <c r="S8706" t="s">
        <v>44982</v>
      </c>
      <c r="T8706" t="s">
        <v>46606</v>
      </c>
      <c r="U8706" t="s">
        <v>54180</v>
      </c>
      <c r="W8706" t="s">
        <v>43598</v>
      </c>
      <c r="X8706" t="s">
        <v>44769</v>
      </c>
    </row>
    <row r="8707" spans="1:24">
      <c r="A8707">
        <f>HYPERLINK("https://www.philgeps.gov.ph/GEPSNONPILOT/Tender/SplashBidNoticeAbstractUI.aspx?menuIndex=3&amp;refID=7140941&amp;Result=3","7140941")</f>
        <v>0</v>
      </c>
      <c r="B8707" t="s">
        <v>2813</v>
      </c>
      <c r="C8707" t="s">
        <v>12003</v>
      </c>
      <c r="D8707" t="s">
        <v>17987</v>
      </c>
      <c r="E8707" t="s">
        <v>25640</v>
      </c>
      <c r="F8707" t="s">
        <v>30900</v>
      </c>
      <c r="G8707" t="s">
        <v>30907</v>
      </c>
      <c r="H8707" t="s">
        <v>30915</v>
      </c>
      <c r="I8707" t="s">
        <v>30919</v>
      </c>
      <c r="J8707" t="s">
        <v>31669</v>
      </c>
      <c r="K8707" t="s">
        <v>40292</v>
      </c>
      <c r="M8707" t="s">
        <v>43598</v>
      </c>
      <c r="N8707" t="s">
        <v>44759</v>
      </c>
      <c r="O8707" t="s">
        <v>44760</v>
      </c>
      <c r="P8707">
        <v>0</v>
      </c>
      <c r="Q8707">
        <v>0</v>
      </c>
      <c r="R8707" t="s">
        <v>44768</v>
      </c>
      <c r="S8707" t="s">
        <v>44982</v>
      </c>
      <c r="T8707" t="s">
        <v>46606</v>
      </c>
      <c r="U8707" t="s">
        <v>54181</v>
      </c>
      <c r="W8707" t="s">
        <v>43598</v>
      </c>
      <c r="X8707" t="s">
        <v>44769</v>
      </c>
    </row>
    <row r="8708" spans="1:24">
      <c r="A8708">
        <f>HYPERLINK("https://www.philgeps.gov.ph/GEPSNONPILOT/Tender/SplashBidNoticeAbstractUI.aspx?menuIndex=3&amp;refID=7140949&amp;Result=3","7140949")</f>
        <v>0</v>
      </c>
      <c r="B8708" t="s">
        <v>2817</v>
      </c>
      <c r="C8708" t="s">
        <v>10009</v>
      </c>
      <c r="D8708" t="s">
        <v>17971</v>
      </c>
      <c r="E8708" t="s">
        <v>25641</v>
      </c>
      <c r="F8708" t="s">
        <v>30900</v>
      </c>
      <c r="G8708" t="s">
        <v>30907</v>
      </c>
      <c r="H8708" t="s">
        <v>30915</v>
      </c>
      <c r="I8708" t="s">
        <v>30919</v>
      </c>
      <c r="J8708" t="s">
        <v>36515</v>
      </c>
      <c r="K8708" t="s">
        <v>40287</v>
      </c>
      <c r="M8708" t="s">
        <v>43602</v>
      </c>
      <c r="N8708" t="s">
        <v>44759</v>
      </c>
      <c r="O8708" t="s">
        <v>44760</v>
      </c>
      <c r="P8708">
        <v>0</v>
      </c>
      <c r="Q8708">
        <v>0</v>
      </c>
      <c r="R8708" t="s">
        <v>44768</v>
      </c>
      <c r="S8708" t="s">
        <v>44982</v>
      </c>
      <c r="T8708" t="s">
        <v>46662</v>
      </c>
      <c r="U8708" t="s">
        <v>54182</v>
      </c>
      <c r="V8708" t="s">
        <v>60066</v>
      </c>
      <c r="W8708" t="s">
        <v>43602</v>
      </c>
      <c r="X8708" t="s">
        <v>44769</v>
      </c>
    </row>
    <row r="8709" spans="1:24">
      <c r="A8709">
        <f>HYPERLINK("https://www.philgeps.gov.ph/GEPSNONPILOT/Tender/SplashBidNoticeAbstractUI.aspx?menuIndex=3&amp;refID=7140917&amp;Result=3","7140917")</f>
        <v>0</v>
      </c>
      <c r="B8709" t="s">
        <v>2773</v>
      </c>
      <c r="C8709" t="s">
        <v>12004</v>
      </c>
      <c r="D8709" t="s">
        <v>17969</v>
      </c>
      <c r="E8709" t="s">
        <v>25372</v>
      </c>
      <c r="F8709" t="s">
        <v>30900</v>
      </c>
      <c r="G8709" t="s">
        <v>30910</v>
      </c>
      <c r="H8709" t="s">
        <v>30916</v>
      </c>
      <c r="I8709" t="s">
        <v>4142</v>
      </c>
      <c r="J8709" t="s">
        <v>31066</v>
      </c>
      <c r="K8709" t="s">
        <v>40287</v>
      </c>
      <c r="M8709" t="s">
        <v>43554</v>
      </c>
      <c r="N8709" t="s">
        <v>44759</v>
      </c>
      <c r="O8709" t="s">
        <v>44760</v>
      </c>
      <c r="P8709">
        <v>0</v>
      </c>
      <c r="Q8709">
        <v>1</v>
      </c>
      <c r="R8709" t="s">
        <v>44768</v>
      </c>
      <c r="S8709" t="s">
        <v>44982</v>
      </c>
      <c r="T8709" t="s">
        <v>46662</v>
      </c>
      <c r="U8709" t="s">
        <v>54183</v>
      </c>
      <c r="W8709" t="s">
        <v>43554</v>
      </c>
      <c r="X8709" t="s">
        <v>44769</v>
      </c>
    </row>
    <row r="8710" spans="1:24">
      <c r="A8710">
        <f>HYPERLINK("https://www.philgeps.gov.ph/GEPSNONPILOT/Tender/SplashBidNoticeAbstractUI.aspx?menuIndex=3&amp;refID=7140771&amp;Result=3","7140771")</f>
        <v>0</v>
      </c>
      <c r="B8710" t="s">
        <v>2145</v>
      </c>
      <c r="C8710" t="s">
        <v>12005</v>
      </c>
      <c r="D8710" t="s">
        <v>17973</v>
      </c>
      <c r="E8710" t="s">
        <v>25642</v>
      </c>
      <c r="F8710" t="s">
        <v>30900</v>
      </c>
      <c r="G8710" t="s">
        <v>30907</v>
      </c>
      <c r="H8710" t="s">
        <v>30916</v>
      </c>
      <c r="I8710" t="s">
        <v>30927</v>
      </c>
      <c r="J8710" t="s">
        <v>36516</v>
      </c>
      <c r="K8710" t="s">
        <v>40289</v>
      </c>
      <c r="M8710" t="s">
        <v>42848</v>
      </c>
      <c r="N8710" t="s">
        <v>44759</v>
      </c>
      <c r="O8710" t="s">
        <v>44760</v>
      </c>
      <c r="P8710">
        <v>0</v>
      </c>
      <c r="Q8710">
        <v>1</v>
      </c>
      <c r="R8710" t="s">
        <v>44768</v>
      </c>
      <c r="S8710" t="s">
        <v>44982</v>
      </c>
      <c r="T8710" t="s">
        <v>46689</v>
      </c>
      <c r="U8710" t="s">
        <v>54184</v>
      </c>
      <c r="W8710" t="s">
        <v>42848</v>
      </c>
      <c r="X8710" t="s">
        <v>44769</v>
      </c>
    </row>
    <row r="8711" spans="1:24">
      <c r="A8711">
        <f>HYPERLINK("https://www.philgeps.gov.ph/GEPSNONPILOT/Tender/SplashBidNoticeAbstractUI.aspx?menuIndex=3&amp;refID=7140916&amp;Result=3","7140916")</f>
        <v>0</v>
      </c>
      <c r="B8711" t="s">
        <v>2816</v>
      </c>
      <c r="C8711" t="s">
        <v>12006</v>
      </c>
      <c r="D8711" t="s">
        <v>17978</v>
      </c>
      <c r="E8711" t="s">
        <v>18149</v>
      </c>
      <c r="F8711" t="s">
        <v>30900</v>
      </c>
      <c r="G8711" t="s">
        <v>30909</v>
      </c>
      <c r="H8711" t="s">
        <v>30916</v>
      </c>
      <c r="I8711" t="s">
        <v>4050</v>
      </c>
      <c r="J8711" t="s">
        <v>36517</v>
      </c>
      <c r="K8711" t="s">
        <v>40283</v>
      </c>
      <c r="M8711" t="s">
        <v>43601</v>
      </c>
      <c r="N8711" t="s">
        <v>44759</v>
      </c>
      <c r="O8711" t="s">
        <v>44760</v>
      </c>
      <c r="P8711">
        <v>0</v>
      </c>
      <c r="Q8711">
        <v>0</v>
      </c>
      <c r="R8711" t="s">
        <v>44768</v>
      </c>
      <c r="S8711" t="s">
        <v>44982</v>
      </c>
      <c r="T8711" t="s">
        <v>46472</v>
      </c>
      <c r="U8711" t="s">
        <v>54185</v>
      </c>
      <c r="W8711" t="s">
        <v>43601</v>
      </c>
      <c r="X8711" t="s">
        <v>44769</v>
      </c>
    </row>
    <row r="8712" spans="1:24">
      <c r="A8712">
        <f>HYPERLINK("https://www.philgeps.gov.ph/GEPSNONPILOT/Tender/SplashBidNoticeAbstractUI.aspx?menuIndex=3&amp;refID=7140910&amp;Result=3","7140910")</f>
        <v>0</v>
      </c>
      <c r="B8712" t="s">
        <v>2470</v>
      </c>
      <c r="C8712" t="s">
        <v>12007</v>
      </c>
      <c r="D8712" t="s">
        <v>17976</v>
      </c>
      <c r="E8712" t="s">
        <v>25643</v>
      </c>
      <c r="F8712" t="s">
        <v>30900</v>
      </c>
      <c r="G8712" t="s">
        <v>30908</v>
      </c>
      <c r="H8712" t="s">
        <v>30916</v>
      </c>
      <c r="I8712" t="s">
        <v>6408</v>
      </c>
      <c r="J8712" t="s">
        <v>33995</v>
      </c>
      <c r="K8712" t="s">
        <v>40286</v>
      </c>
      <c r="M8712" t="s">
        <v>43208</v>
      </c>
      <c r="N8712" t="s">
        <v>44759</v>
      </c>
      <c r="O8712" t="s">
        <v>44760</v>
      </c>
      <c r="P8712">
        <v>0</v>
      </c>
      <c r="Q8712">
        <v>0</v>
      </c>
      <c r="R8712" t="s">
        <v>44768</v>
      </c>
      <c r="S8712" t="s">
        <v>44982</v>
      </c>
      <c r="T8712" t="s">
        <v>46704</v>
      </c>
      <c r="U8712" t="s">
        <v>54186</v>
      </c>
      <c r="W8712" t="s">
        <v>43208</v>
      </c>
      <c r="X8712" t="s">
        <v>44769</v>
      </c>
    </row>
    <row r="8713" spans="1:24">
      <c r="A8713">
        <f>HYPERLINK("https://www.philgeps.gov.ph/GEPSNONPILOT/Tender/SplashBidNoticeAbstractUI.aspx?menuIndex=3&amp;refID=7140904&amp;Result=3","7140904")</f>
        <v>0</v>
      </c>
      <c r="B8713" t="s">
        <v>1232</v>
      </c>
      <c r="C8713" t="s">
        <v>12008</v>
      </c>
      <c r="D8713" t="s">
        <v>17969</v>
      </c>
      <c r="E8713" t="s">
        <v>25644</v>
      </c>
      <c r="F8713" t="s">
        <v>30900</v>
      </c>
      <c r="G8713" t="s">
        <v>30908</v>
      </c>
      <c r="H8713" t="s">
        <v>30916</v>
      </c>
      <c r="I8713" t="s">
        <v>30942</v>
      </c>
      <c r="J8713" t="s">
        <v>31944</v>
      </c>
      <c r="K8713" t="s">
        <v>40283</v>
      </c>
      <c r="M8713" t="s">
        <v>41844</v>
      </c>
      <c r="N8713" t="s">
        <v>44759</v>
      </c>
      <c r="O8713" t="s">
        <v>44760</v>
      </c>
      <c r="P8713">
        <v>0</v>
      </c>
      <c r="Q8713">
        <v>0</v>
      </c>
      <c r="R8713" t="s">
        <v>44768</v>
      </c>
      <c r="S8713" t="s">
        <v>44982</v>
      </c>
      <c r="T8713" t="s">
        <v>46581</v>
      </c>
      <c r="U8713" t="s">
        <v>54170</v>
      </c>
      <c r="W8713" t="s">
        <v>41844</v>
      </c>
      <c r="X8713" t="s">
        <v>44769</v>
      </c>
    </row>
    <row r="8714" spans="1:24">
      <c r="A8714">
        <f>HYPERLINK("https://www.philgeps.gov.ph/GEPSNONPILOT/Tender/SplashBidNoticeAbstractUI.aspx?menuIndex=3&amp;refID=7140902&amp;Result=3","7140902")</f>
        <v>0</v>
      </c>
      <c r="B8714" t="s">
        <v>2036</v>
      </c>
      <c r="C8714" t="s">
        <v>12009</v>
      </c>
      <c r="D8714" t="s">
        <v>17959</v>
      </c>
      <c r="E8714" t="s">
        <v>25645</v>
      </c>
      <c r="F8714" t="s">
        <v>30900</v>
      </c>
      <c r="G8714" t="s">
        <v>30913</v>
      </c>
      <c r="H8714" t="s">
        <v>30916</v>
      </c>
      <c r="I8714" t="s">
        <v>4050</v>
      </c>
      <c r="J8714" t="s">
        <v>36518</v>
      </c>
      <c r="K8714" t="s">
        <v>40286</v>
      </c>
      <c r="M8714" t="s">
        <v>43430</v>
      </c>
      <c r="N8714" t="s">
        <v>44759</v>
      </c>
      <c r="O8714" t="s">
        <v>44760</v>
      </c>
      <c r="P8714">
        <v>0</v>
      </c>
      <c r="Q8714">
        <v>10</v>
      </c>
      <c r="R8714" t="s">
        <v>44768</v>
      </c>
      <c r="S8714" t="s">
        <v>44982</v>
      </c>
      <c r="T8714" t="s">
        <v>46375</v>
      </c>
      <c r="U8714" t="s">
        <v>53635</v>
      </c>
      <c r="W8714" t="s">
        <v>43430</v>
      </c>
      <c r="X8714" t="s">
        <v>44769</v>
      </c>
    </row>
    <row r="8715" spans="1:24">
      <c r="A8715">
        <f>HYPERLINK("https://www.philgeps.gov.ph/GEPSNONPILOT/Tender/SplashBidNoticeAbstractUI.aspx?menuIndex=3&amp;refID=7140900&amp;Result=3","7140900")</f>
        <v>0</v>
      </c>
      <c r="B8715" t="s">
        <v>819</v>
      </c>
      <c r="C8715" t="s">
        <v>12010</v>
      </c>
      <c r="D8715" t="s">
        <v>18025</v>
      </c>
      <c r="E8715" t="s">
        <v>25584</v>
      </c>
      <c r="F8715" t="s">
        <v>30900</v>
      </c>
      <c r="G8715" t="s">
        <v>30907</v>
      </c>
      <c r="H8715" t="s">
        <v>30915</v>
      </c>
      <c r="I8715" t="s">
        <v>30919</v>
      </c>
      <c r="J8715" t="s">
        <v>36519</v>
      </c>
      <c r="K8715" t="s">
        <v>40292</v>
      </c>
      <c r="M8715" t="s">
        <v>41390</v>
      </c>
      <c r="N8715" t="s">
        <v>44759</v>
      </c>
      <c r="O8715" t="s">
        <v>44760</v>
      </c>
      <c r="P8715">
        <v>0</v>
      </c>
      <c r="Q8715">
        <v>0</v>
      </c>
      <c r="R8715" t="s">
        <v>44768</v>
      </c>
      <c r="S8715" t="s">
        <v>44982</v>
      </c>
      <c r="T8715" t="s">
        <v>46807</v>
      </c>
      <c r="U8715" t="s">
        <v>54124</v>
      </c>
      <c r="W8715" t="s">
        <v>41390</v>
      </c>
      <c r="X8715" t="s">
        <v>44769</v>
      </c>
    </row>
    <row r="8716" spans="1:24">
      <c r="A8716">
        <f>HYPERLINK("https://www.philgeps.gov.ph/GEPSNONPILOT/Tender/SplashBidNoticeAbstractUI.aspx?menuIndex=3&amp;refID=7140898&amp;Result=3","7140898")</f>
        <v>0</v>
      </c>
      <c r="B8716" t="s">
        <v>2802</v>
      </c>
      <c r="C8716" t="s">
        <v>12011</v>
      </c>
      <c r="D8716" t="s">
        <v>18033</v>
      </c>
      <c r="E8716" t="s">
        <v>18328</v>
      </c>
      <c r="F8716" t="s">
        <v>30900</v>
      </c>
      <c r="G8716" t="s">
        <v>30907</v>
      </c>
      <c r="H8716" t="s">
        <v>30916</v>
      </c>
      <c r="I8716" t="s">
        <v>4965</v>
      </c>
      <c r="J8716" t="s">
        <v>36520</v>
      </c>
      <c r="K8716" t="s">
        <v>40343</v>
      </c>
      <c r="M8716" t="s">
        <v>43587</v>
      </c>
      <c r="N8716" t="s">
        <v>44759</v>
      </c>
      <c r="O8716" t="s">
        <v>44760</v>
      </c>
      <c r="P8716">
        <v>0</v>
      </c>
      <c r="Q8716">
        <v>0</v>
      </c>
      <c r="R8716" t="s">
        <v>44768</v>
      </c>
      <c r="S8716" t="s">
        <v>44982</v>
      </c>
      <c r="T8716" t="s">
        <v>46451</v>
      </c>
      <c r="U8716" t="s">
        <v>54187</v>
      </c>
      <c r="W8716" t="s">
        <v>43587</v>
      </c>
      <c r="X8716" t="s">
        <v>44769</v>
      </c>
    </row>
    <row r="8717" spans="1:24">
      <c r="A8717">
        <f>HYPERLINK("https://www.philgeps.gov.ph/GEPSNONPILOT/Tender/SplashBidNoticeAbstractUI.aspx?menuIndex=3&amp;refID=7140895&amp;Result=3","7140895")</f>
        <v>0</v>
      </c>
      <c r="B8717" t="s">
        <v>34</v>
      </c>
      <c r="C8717" t="s">
        <v>12012</v>
      </c>
      <c r="D8717" t="s">
        <v>17961</v>
      </c>
      <c r="E8717" t="s">
        <v>25646</v>
      </c>
      <c r="F8717" t="s">
        <v>30900</v>
      </c>
      <c r="G8717" t="s">
        <v>30907</v>
      </c>
      <c r="H8717" t="s">
        <v>30916</v>
      </c>
      <c r="I8717" t="s">
        <v>6953</v>
      </c>
      <c r="J8717" t="s">
        <v>32707</v>
      </c>
      <c r="K8717" t="s">
        <v>40284</v>
      </c>
      <c r="M8717" t="s">
        <v>40580</v>
      </c>
      <c r="N8717" t="s">
        <v>44759</v>
      </c>
      <c r="O8717" t="s">
        <v>44760</v>
      </c>
      <c r="P8717">
        <v>0</v>
      </c>
      <c r="Q8717">
        <v>0</v>
      </c>
      <c r="R8717" t="s">
        <v>44768</v>
      </c>
      <c r="S8717" t="s">
        <v>44982</v>
      </c>
      <c r="T8717" t="s">
        <v>46771</v>
      </c>
      <c r="U8717" t="s">
        <v>46968</v>
      </c>
      <c r="V8717" t="s">
        <v>59093</v>
      </c>
      <c r="W8717" t="s">
        <v>40580</v>
      </c>
      <c r="X8717" t="s">
        <v>44769</v>
      </c>
    </row>
    <row r="8718" spans="1:24">
      <c r="A8718">
        <f>HYPERLINK("https://www.philgeps.gov.ph/GEPSNONPILOT/Tender/SplashBidNoticeAbstractUI.aspx?menuIndex=3&amp;refID=7140789&amp;Result=3","7140789")</f>
        <v>0</v>
      </c>
      <c r="B8718" t="s">
        <v>2809</v>
      </c>
      <c r="C8718" t="s">
        <v>12013</v>
      </c>
      <c r="D8718" t="s">
        <v>17961</v>
      </c>
      <c r="E8718" t="s">
        <v>25596</v>
      </c>
      <c r="F8718" t="s">
        <v>30900</v>
      </c>
      <c r="G8718" t="s">
        <v>30907</v>
      </c>
      <c r="H8718" t="s">
        <v>30916</v>
      </c>
      <c r="I8718" t="s">
        <v>8123</v>
      </c>
      <c r="J8718" t="s">
        <v>36521</v>
      </c>
      <c r="K8718" t="s">
        <v>40284</v>
      </c>
      <c r="M8718" t="s">
        <v>43594</v>
      </c>
      <c r="N8718" t="s">
        <v>44759</v>
      </c>
      <c r="O8718" t="s">
        <v>44760</v>
      </c>
      <c r="P8718">
        <v>0</v>
      </c>
      <c r="Q8718">
        <v>0</v>
      </c>
      <c r="R8718" t="s">
        <v>44768</v>
      </c>
      <c r="S8718" t="s">
        <v>44982</v>
      </c>
      <c r="T8718" t="s">
        <v>46410</v>
      </c>
      <c r="U8718" t="s">
        <v>54188</v>
      </c>
      <c r="W8718" t="s">
        <v>43594</v>
      </c>
      <c r="X8718" t="s">
        <v>44769</v>
      </c>
    </row>
    <row r="8719" spans="1:24">
      <c r="A8719">
        <f>HYPERLINK("https://www.philgeps.gov.ph/GEPSNONPILOT/Tender/SplashBidNoticeAbstractUI.aspx?menuIndex=3&amp;refID=7140911&amp;Result=3","7140911")</f>
        <v>0</v>
      </c>
      <c r="B8719" t="s">
        <v>2228</v>
      </c>
      <c r="C8719" t="s">
        <v>12014</v>
      </c>
      <c r="E8719" t="s">
        <v>25647</v>
      </c>
      <c r="F8719" t="s">
        <v>30900</v>
      </c>
      <c r="G8719" t="s">
        <v>30908</v>
      </c>
      <c r="H8719" t="s">
        <v>30915</v>
      </c>
      <c r="I8719" t="s">
        <v>30927</v>
      </c>
      <c r="J8719" t="s">
        <v>36522</v>
      </c>
      <c r="K8719" t="s">
        <v>40289</v>
      </c>
      <c r="M8719" t="s">
        <v>42938</v>
      </c>
      <c r="N8719" t="s">
        <v>44759</v>
      </c>
      <c r="O8719" t="s">
        <v>44760</v>
      </c>
      <c r="P8719">
        <v>0</v>
      </c>
      <c r="Q8719">
        <v>2</v>
      </c>
      <c r="R8719" t="s">
        <v>44768</v>
      </c>
      <c r="S8719" t="s">
        <v>44982</v>
      </c>
      <c r="T8719" t="s">
        <v>46625</v>
      </c>
      <c r="U8719" t="s">
        <v>54189</v>
      </c>
      <c r="W8719" t="s">
        <v>42938</v>
      </c>
      <c r="X8719" t="s">
        <v>44769</v>
      </c>
    </row>
    <row r="8720" spans="1:24">
      <c r="A8720">
        <f>HYPERLINK("https://www.philgeps.gov.ph/GEPSNONPILOT/Tender/SplashBidNoticeAbstractUI.aspx?menuIndex=3&amp;refID=7140951&amp;Result=3","7140951")</f>
        <v>0</v>
      </c>
      <c r="B8720" t="s">
        <v>1152</v>
      </c>
      <c r="C8720" t="s">
        <v>12015</v>
      </c>
      <c r="D8720" t="s">
        <v>18015</v>
      </c>
      <c r="E8720" t="s">
        <v>18345</v>
      </c>
      <c r="F8720" t="s">
        <v>30900</v>
      </c>
      <c r="G8720" t="s">
        <v>30907</v>
      </c>
      <c r="H8720" t="s">
        <v>30916</v>
      </c>
      <c r="I8720" t="s">
        <v>8123</v>
      </c>
      <c r="J8720" t="s">
        <v>36523</v>
      </c>
      <c r="K8720" t="s">
        <v>40286</v>
      </c>
      <c r="M8720" t="s">
        <v>41758</v>
      </c>
      <c r="N8720" t="s">
        <v>44759</v>
      </c>
      <c r="O8720" t="s">
        <v>44760</v>
      </c>
      <c r="P8720">
        <v>0</v>
      </c>
      <c r="Q8720">
        <v>0</v>
      </c>
      <c r="R8720" t="s">
        <v>44768</v>
      </c>
      <c r="S8720" t="s">
        <v>44982</v>
      </c>
      <c r="T8720" t="s">
        <v>46421</v>
      </c>
      <c r="U8720" t="s">
        <v>54190</v>
      </c>
      <c r="V8720" t="s">
        <v>60067</v>
      </c>
      <c r="W8720" t="s">
        <v>41758</v>
      </c>
      <c r="X8720" t="s">
        <v>44769</v>
      </c>
    </row>
    <row r="8721" spans="1:24">
      <c r="A8721">
        <f>HYPERLINK("https://www.philgeps.gov.ph/GEPSNONPILOT/Tender/SplashBidNoticeAbstractUI.aspx?menuIndex=3&amp;refID=7140877&amp;Result=3","7140877")</f>
        <v>0</v>
      </c>
      <c r="B8721" t="s">
        <v>2228</v>
      </c>
      <c r="C8721" t="s">
        <v>12016</v>
      </c>
      <c r="E8721" t="s">
        <v>18816</v>
      </c>
      <c r="F8721" t="s">
        <v>30900</v>
      </c>
      <c r="G8721" t="s">
        <v>30908</v>
      </c>
      <c r="H8721" t="s">
        <v>30915</v>
      </c>
      <c r="I8721" t="s">
        <v>30927</v>
      </c>
      <c r="J8721" t="s">
        <v>36524</v>
      </c>
      <c r="K8721" t="s">
        <v>40289</v>
      </c>
      <c r="M8721" t="s">
        <v>42938</v>
      </c>
      <c r="N8721" t="s">
        <v>44759</v>
      </c>
      <c r="O8721" t="s">
        <v>44760</v>
      </c>
      <c r="P8721">
        <v>0</v>
      </c>
      <c r="Q8721">
        <v>0</v>
      </c>
      <c r="R8721" t="s">
        <v>44768</v>
      </c>
      <c r="S8721" t="s">
        <v>44982</v>
      </c>
      <c r="T8721" t="s">
        <v>46625</v>
      </c>
      <c r="U8721" t="s">
        <v>54191</v>
      </c>
      <c r="W8721" t="s">
        <v>42938</v>
      </c>
      <c r="X8721" t="s">
        <v>44769</v>
      </c>
    </row>
    <row r="8722" spans="1:24">
      <c r="A8722">
        <f>HYPERLINK("https://www.philgeps.gov.ph/GEPSNONPILOT/Tender/SplashBidNoticeAbstractUI.aspx?menuIndex=3&amp;refID=7140964&amp;Result=3","7140964")</f>
        <v>0</v>
      </c>
      <c r="B8722" t="s">
        <v>2818</v>
      </c>
      <c r="C8722" t="s">
        <v>12017</v>
      </c>
      <c r="D8722" t="s">
        <v>18028</v>
      </c>
      <c r="E8722" t="s">
        <v>19701</v>
      </c>
      <c r="F8722" t="s">
        <v>30900</v>
      </c>
      <c r="G8722" t="s">
        <v>30907</v>
      </c>
      <c r="H8722" t="s">
        <v>30916</v>
      </c>
      <c r="I8722" t="s">
        <v>4050</v>
      </c>
      <c r="J8722" t="s">
        <v>36525</v>
      </c>
      <c r="K8722" t="s">
        <v>40284</v>
      </c>
      <c r="M8722" t="s">
        <v>43603</v>
      </c>
      <c r="N8722" t="s">
        <v>44759</v>
      </c>
      <c r="O8722" t="s">
        <v>44760</v>
      </c>
      <c r="P8722">
        <v>0</v>
      </c>
      <c r="Q8722">
        <v>0</v>
      </c>
      <c r="R8722" t="s">
        <v>44768</v>
      </c>
      <c r="S8722" t="s">
        <v>44982</v>
      </c>
      <c r="T8722" t="s">
        <v>46399</v>
      </c>
      <c r="U8722" t="s">
        <v>54192</v>
      </c>
      <c r="W8722" t="s">
        <v>43603</v>
      </c>
      <c r="X8722" t="s">
        <v>44769</v>
      </c>
    </row>
    <row r="8723" spans="1:24">
      <c r="A8723">
        <f>HYPERLINK("https://www.philgeps.gov.ph/GEPSNONPILOT/Tender/SplashBidNoticeAbstractUI.aspx?menuIndex=3&amp;refID=7141014&amp;Result=3","7141014")</f>
        <v>0</v>
      </c>
      <c r="B8723" t="s">
        <v>2817</v>
      </c>
      <c r="C8723" t="s">
        <v>12018</v>
      </c>
      <c r="D8723" t="s">
        <v>17971</v>
      </c>
      <c r="E8723" t="s">
        <v>25648</v>
      </c>
      <c r="F8723" t="s">
        <v>30900</v>
      </c>
      <c r="G8723" t="s">
        <v>30907</v>
      </c>
      <c r="H8723" t="s">
        <v>30915</v>
      </c>
      <c r="I8723" t="s">
        <v>30919</v>
      </c>
      <c r="J8723" t="s">
        <v>31050</v>
      </c>
      <c r="K8723" t="s">
        <v>40287</v>
      </c>
      <c r="M8723" t="s">
        <v>43602</v>
      </c>
      <c r="N8723" t="s">
        <v>44759</v>
      </c>
      <c r="O8723" t="s">
        <v>44760</v>
      </c>
      <c r="P8723">
        <v>0</v>
      </c>
      <c r="Q8723">
        <v>0</v>
      </c>
      <c r="R8723" t="s">
        <v>44768</v>
      </c>
      <c r="S8723" t="s">
        <v>44982</v>
      </c>
      <c r="T8723" t="s">
        <v>46662</v>
      </c>
      <c r="U8723" t="s">
        <v>54182</v>
      </c>
      <c r="V8723" t="s">
        <v>60066</v>
      </c>
      <c r="W8723" t="s">
        <v>43602</v>
      </c>
      <c r="X8723" t="s">
        <v>44769</v>
      </c>
    </row>
    <row r="8724" spans="1:24">
      <c r="A8724">
        <f>HYPERLINK("https://www.philgeps.gov.ph/GEPSNONPILOT/Tender/SplashBidNoticeAbstractUI.aspx?menuIndex=3&amp;refID=7141001&amp;Result=3","7141001")</f>
        <v>0</v>
      </c>
      <c r="B8724" t="s">
        <v>2819</v>
      </c>
      <c r="C8724" t="s">
        <v>12019</v>
      </c>
      <c r="E8724" t="s">
        <v>25649</v>
      </c>
      <c r="F8724" t="s">
        <v>30900</v>
      </c>
      <c r="G8724" t="s">
        <v>30907</v>
      </c>
      <c r="H8724" t="s">
        <v>30916</v>
      </c>
      <c r="I8724" t="s">
        <v>30947</v>
      </c>
      <c r="J8724" t="s">
        <v>31152</v>
      </c>
      <c r="K8724" t="s">
        <v>40289</v>
      </c>
      <c r="M8724" t="s">
        <v>43604</v>
      </c>
      <c r="N8724" t="s">
        <v>44759</v>
      </c>
      <c r="O8724" t="s">
        <v>44760</v>
      </c>
      <c r="P8724">
        <v>0</v>
      </c>
      <c r="Q8724">
        <v>6</v>
      </c>
      <c r="R8724" t="s">
        <v>44768</v>
      </c>
      <c r="S8724" t="s">
        <v>44982</v>
      </c>
      <c r="T8724" t="s">
        <v>46428</v>
      </c>
      <c r="U8724" t="s">
        <v>54193</v>
      </c>
      <c r="W8724" t="s">
        <v>43604</v>
      </c>
      <c r="X8724" t="s">
        <v>44769</v>
      </c>
    </row>
    <row r="8725" spans="1:24">
      <c r="A8725">
        <f>HYPERLINK("https://www.philgeps.gov.ph/GEPSNONPILOT/Tender/SplashBidNoticeAbstractUI.aspx?menuIndex=3&amp;refID=7140996&amp;Result=3","7140996")</f>
        <v>0</v>
      </c>
      <c r="B8725" t="s">
        <v>2145</v>
      </c>
      <c r="C8725" t="s">
        <v>12020</v>
      </c>
      <c r="D8725" t="s">
        <v>17973</v>
      </c>
      <c r="E8725" t="s">
        <v>25650</v>
      </c>
      <c r="F8725" t="s">
        <v>30900</v>
      </c>
      <c r="G8725" t="s">
        <v>30907</v>
      </c>
      <c r="H8725" t="s">
        <v>30916</v>
      </c>
      <c r="I8725" t="s">
        <v>4108</v>
      </c>
      <c r="J8725" t="s">
        <v>36526</v>
      </c>
      <c r="K8725" t="s">
        <v>40289</v>
      </c>
      <c r="M8725" t="s">
        <v>42848</v>
      </c>
      <c r="N8725" t="s">
        <v>44759</v>
      </c>
      <c r="O8725" t="s">
        <v>44760</v>
      </c>
      <c r="P8725">
        <v>0</v>
      </c>
      <c r="Q8725">
        <v>4</v>
      </c>
      <c r="R8725" t="s">
        <v>44768</v>
      </c>
      <c r="S8725" t="s">
        <v>44982</v>
      </c>
      <c r="T8725" t="s">
        <v>46689</v>
      </c>
      <c r="U8725" t="s">
        <v>54194</v>
      </c>
      <c r="W8725" t="s">
        <v>42848</v>
      </c>
      <c r="X8725" t="s">
        <v>44769</v>
      </c>
    </row>
    <row r="8726" spans="1:24">
      <c r="A8726">
        <f>HYPERLINK("https://www.philgeps.gov.ph/GEPSNONPILOT/Tender/SplashBidNoticeAbstractUI.aspx?menuIndex=3&amp;refID=7140969&amp;Result=3","7140969")</f>
        <v>0</v>
      </c>
      <c r="B8726" t="s">
        <v>1567</v>
      </c>
      <c r="C8726" t="s">
        <v>12021</v>
      </c>
      <c r="D8726" t="s">
        <v>18006</v>
      </c>
      <c r="E8726" t="s">
        <v>25651</v>
      </c>
      <c r="F8726" t="s">
        <v>30900</v>
      </c>
      <c r="G8726" t="s">
        <v>30907</v>
      </c>
      <c r="H8726" t="s">
        <v>30915</v>
      </c>
      <c r="I8726" t="s">
        <v>30919</v>
      </c>
      <c r="J8726" t="s">
        <v>36527</v>
      </c>
      <c r="K8726" t="s">
        <v>40289</v>
      </c>
      <c r="M8726" t="s">
        <v>42215</v>
      </c>
      <c r="N8726" t="s">
        <v>44759</v>
      </c>
      <c r="O8726" t="s">
        <v>44760</v>
      </c>
      <c r="P8726">
        <v>0</v>
      </c>
      <c r="Q8726">
        <v>0</v>
      </c>
      <c r="R8726" t="s">
        <v>44768</v>
      </c>
      <c r="S8726" t="s">
        <v>44982</v>
      </c>
      <c r="T8726" t="s">
        <v>46757</v>
      </c>
      <c r="U8726" t="s">
        <v>54195</v>
      </c>
      <c r="W8726" t="s">
        <v>42215</v>
      </c>
      <c r="X8726" t="s">
        <v>44769</v>
      </c>
    </row>
    <row r="8727" spans="1:24">
      <c r="A8727">
        <f>HYPERLINK("https://www.philgeps.gov.ph/GEPSNONPILOT/Tender/SplashBidNoticeAbstractUI.aspx?menuIndex=3&amp;refID=7140987&amp;Result=3","7140987")</f>
        <v>0</v>
      </c>
      <c r="B8727" t="s">
        <v>2820</v>
      </c>
      <c r="C8727" t="s">
        <v>12022</v>
      </c>
      <c r="D8727" t="s">
        <v>17976</v>
      </c>
      <c r="E8727" t="s">
        <v>25652</v>
      </c>
      <c r="F8727" t="s">
        <v>30900</v>
      </c>
      <c r="G8727" t="s">
        <v>30907</v>
      </c>
      <c r="H8727" t="s">
        <v>30916</v>
      </c>
      <c r="I8727" t="s">
        <v>31006</v>
      </c>
      <c r="J8727" t="s">
        <v>36528</v>
      </c>
      <c r="K8727" t="s">
        <v>40283</v>
      </c>
      <c r="M8727" t="s">
        <v>43605</v>
      </c>
      <c r="N8727" t="s">
        <v>44759</v>
      </c>
      <c r="O8727" t="s">
        <v>44760</v>
      </c>
      <c r="P8727">
        <v>0</v>
      </c>
      <c r="Q8727">
        <v>0</v>
      </c>
      <c r="R8727" t="s">
        <v>44768</v>
      </c>
      <c r="S8727" t="s">
        <v>44982</v>
      </c>
      <c r="T8727" t="s">
        <v>46488</v>
      </c>
      <c r="U8727" t="s">
        <v>54196</v>
      </c>
      <c r="V8727" t="s">
        <v>60068</v>
      </c>
      <c r="W8727" t="s">
        <v>60903</v>
      </c>
      <c r="X8727" t="s">
        <v>44769</v>
      </c>
    </row>
    <row r="8728" spans="1:24">
      <c r="A8728">
        <f>HYPERLINK("https://www.philgeps.gov.ph/GEPSNONPILOT/Tender/SplashBidNoticeAbstractUI.aspx?menuIndex=3&amp;refID=7141011&amp;Result=3","7141011")</f>
        <v>0</v>
      </c>
      <c r="B8728" t="s">
        <v>379</v>
      </c>
      <c r="C8728" t="s">
        <v>12023</v>
      </c>
      <c r="D8728" t="s">
        <v>18015</v>
      </c>
      <c r="E8728" t="s">
        <v>25653</v>
      </c>
      <c r="F8728" t="s">
        <v>30900</v>
      </c>
      <c r="G8728" t="s">
        <v>30907</v>
      </c>
      <c r="H8728" t="s">
        <v>30916</v>
      </c>
      <c r="I8728" t="s">
        <v>30921</v>
      </c>
      <c r="J8728" t="s">
        <v>36169</v>
      </c>
      <c r="K8728" t="s">
        <v>40283</v>
      </c>
      <c r="M8728" t="s">
        <v>40933</v>
      </c>
      <c r="N8728" t="s">
        <v>44759</v>
      </c>
      <c r="O8728" t="s">
        <v>44760</v>
      </c>
      <c r="P8728">
        <v>0</v>
      </c>
      <c r="Q8728">
        <v>0</v>
      </c>
      <c r="R8728" t="s">
        <v>44768</v>
      </c>
      <c r="S8728" t="s">
        <v>44982</v>
      </c>
      <c r="T8728" t="s">
        <v>46455</v>
      </c>
      <c r="U8728" t="s">
        <v>54197</v>
      </c>
      <c r="W8728" t="s">
        <v>40933</v>
      </c>
      <c r="X8728" t="s">
        <v>44769</v>
      </c>
    </row>
    <row r="8729" spans="1:24">
      <c r="A8729">
        <f>HYPERLINK("https://www.philgeps.gov.ph/GEPSNONPILOT/Tender/SplashBidNoticeAbstractUI.aspx?menuIndex=3&amp;refID=7140985&amp;Result=3","7140985")</f>
        <v>0</v>
      </c>
      <c r="B8729" t="s">
        <v>2821</v>
      </c>
      <c r="C8729" t="s">
        <v>12024</v>
      </c>
      <c r="D8729" t="s">
        <v>17959</v>
      </c>
      <c r="E8729" t="s">
        <v>25654</v>
      </c>
      <c r="F8729" t="s">
        <v>30900</v>
      </c>
      <c r="G8729" t="s">
        <v>30908</v>
      </c>
      <c r="H8729" t="s">
        <v>30916</v>
      </c>
      <c r="I8729" t="s">
        <v>31000</v>
      </c>
      <c r="J8729" t="s">
        <v>36529</v>
      </c>
      <c r="K8729" t="s">
        <v>40289</v>
      </c>
      <c r="M8729" t="s">
        <v>43606</v>
      </c>
      <c r="N8729" t="s">
        <v>44759</v>
      </c>
      <c r="O8729" t="s">
        <v>44760</v>
      </c>
      <c r="P8729">
        <v>0</v>
      </c>
      <c r="Q8729">
        <v>2</v>
      </c>
      <c r="R8729" t="s">
        <v>44768</v>
      </c>
      <c r="S8729" t="s">
        <v>44982</v>
      </c>
      <c r="T8729" t="s">
        <v>46393</v>
      </c>
      <c r="U8729" t="s">
        <v>54198</v>
      </c>
      <c r="W8729" t="s">
        <v>43606</v>
      </c>
      <c r="X8729" t="s">
        <v>44769</v>
      </c>
    </row>
    <row r="8730" spans="1:24">
      <c r="A8730">
        <f>HYPERLINK("https://www.philgeps.gov.ph/GEPSNONPILOT/Tender/SplashBidNoticeAbstractUI.aspx?menuIndex=3&amp;refID=7140994&amp;Result=3","7140994")</f>
        <v>0</v>
      </c>
      <c r="B8730" t="s">
        <v>819</v>
      </c>
      <c r="C8730" t="s">
        <v>12025</v>
      </c>
      <c r="D8730" t="s">
        <v>18025</v>
      </c>
      <c r="E8730" t="s">
        <v>25584</v>
      </c>
      <c r="F8730" t="s">
        <v>30900</v>
      </c>
      <c r="G8730" t="s">
        <v>30907</v>
      </c>
      <c r="H8730" t="s">
        <v>30915</v>
      </c>
      <c r="I8730" t="s">
        <v>30919</v>
      </c>
      <c r="J8730" t="s">
        <v>36530</v>
      </c>
      <c r="K8730" t="s">
        <v>40292</v>
      </c>
      <c r="M8730" t="s">
        <v>41390</v>
      </c>
      <c r="N8730" t="s">
        <v>44759</v>
      </c>
      <c r="O8730" t="s">
        <v>44760</v>
      </c>
      <c r="P8730">
        <v>0</v>
      </c>
      <c r="Q8730">
        <v>0</v>
      </c>
      <c r="R8730" t="s">
        <v>44768</v>
      </c>
      <c r="S8730" t="s">
        <v>44982</v>
      </c>
      <c r="T8730" t="s">
        <v>46807</v>
      </c>
      <c r="U8730" t="s">
        <v>54124</v>
      </c>
      <c r="W8730" t="s">
        <v>41390</v>
      </c>
      <c r="X8730" t="s">
        <v>44769</v>
      </c>
    </row>
    <row r="8731" spans="1:24">
      <c r="A8731">
        <f>HYPERLINK("https://www.philgeps.gov.ph/GEPSNONPILOT/Tender/SplashBidNoticeAbstractUI.aspx?menuIndex=3&amp;refID=7140977&amp;Result=3","7140977")</f>
        <v>0</v>
      </c>
      <c r="B8731" t="s">
        <v>819</v>
      </c>
      <c r="C8731" t="s">
        <v>12026</v>
      </c>
      <c r="D8731" t="s">
        <v>18025</v>
      </c>
      <c r="E8731" t="s">
        <v>25655</v>
      </c>
      <c r="F8731" t="s">
        <v>30900</v>
      </c>
      <c r="G8731" t="s">
        <v>30907</v>
      </c>
      <c r="H8731" t="s">
        <v>30915</v>
      </c>
      <c r="I8731" t="s">
        <v>30919</v>
      </c>
      <c r="J8731" t="s">
        <v>36531</v>
      </c>
      <c r="K8731" t="s">
        <v>40342</v>
      </c>
      <c r="M8731" t="s">
        <v>41390</v>
      </c>
      <c r="N8731" t="s">
        <v>44759</v>
      </c>
      <c r="O8731" t="s">
        <v>44760</v>
      </c>
      <c r="P8731">
        <v>0</v>
      </c>
      <c r="Q8731">
        <v>1</v>
      </c>
      <c r="R8731" t="s">
        <v>44768</v>
      </c>
      <c r="S8731" t="s">
        <v>44982</v>
      </c>
      <c r="T8731" t="s">
        <v>46807</v>
      </c>
      <c r="U8731" t="s">
        <v>54124</v>
      </c>
      <c r="W8731" t="s">
        <v>41390</v>
      </c>
      <c r="X8731" t="s">
        <v>44769</v>
      </c>
    </row>
    <row r="8732" spans="1:24">
      <c r="A8732">
        <f>HYPERLINK("https://www.philgeps.gov.ph/GEPSNONPILOT/Tender/SplashBidNoticeAbstractUI.aspx?menuIndex=3&amp;refID=7140976&amp;Result=3","7140976")</f>
        <v>0</v>
      </c>
      <c r="B8732" t="s">
        <v>806</v>
      </c>
      <c r="C8732" t="s">
        <v>12027</v>
      </c>
      <c r="D8732" t="s">
        <v>18029</v>
      </c>
      <c r="E8732" t="s">
        <v>25656</v>
      </c>
      <c r="F8732" t="s">
        <v>30900</v>
      </c>
      <c r="G8732" t="s">
        <v>30907</v>
      </c>
      <c r="H8732" t="s">
        <v>30916</v>
      </c>
      <c r="I8732" t="s">
        <v>30921</v>
      </c>
      <c r="J8732" t="s">
        <v>36532</v>
      </c>
      <c r="K8732" t="s">
        <v>40286</v>
      </c>
      <c r="M8732" t="s">
        <v>41376</v>
      </c>
      <c r="N8732" t="s">
        <v>44759</v>
      </c>
      <c r="O8732" t="s">
        <v>44760</v>
      </c>
      <c r="P8732">
        <v>0</v>
      </c>
      <c r="Q8732">
        <v>2</v>
      </c>
      <c r="R8732" t="s">
        <v>44768</v>
      </c>
      <c r="S8732" t="s">
        <v>44982</v>
      </c>
      <c r="T8732" t="s">
        <v>46819</v>
      </c>
      <c r="U8732" t="s">
        <v>54199</v>
      </c>
      <c r="W8732" t="s">
        <v>41376</v>
      </c>
      <c r="X8732" t="s">
        <v>44769</v>
      </c>
    </row>
    <row r="8733" spans="1:24">
      <c r="A8733">
        <f>HYPERLINK("https://www.philgeps.gov.ph/GEPSNONPILOT/Tender/SplashBidNoticeAbstractUI.aspx?menuIndex=3&amp;refID=7141024&amp;Result=3","7141024")</f>
        <v>0</v>
      </c>
      <c r="B8733" t="s">
        <v>819</v>
      </c>
      <c r="C8733" t="s">
        <v>12028</v>
      </c>
      <c r="D8733" t="s">
        <v>18025</v>
      </c>
      <c r="E8733" t="s">
        <v>25584</v>
      </c>
      <c r="F8733" t="s">
        <v>30900</v>
      </c>
      <c r="G8733" t="s">
        <v>30907</v>
      </c>
      <c r="H8733" t="s">
        <v>30915</v>
      </c>
      <c r="I8733" t="s">
        <v>30919</v>
      </c>
      <c r="J8733" t="s">
        <v>36533</v>
      </c>
      <c r="K8733" t="s">
        <v>40292</v>
      </c>
      <c r="M8733" t="s">
        <v>41390</v>
      </c>
      <c r="N8733" t="s">
        <v>44759</v>
      </c>
      <c r="O8733" t="s">
        <v>44760</v>
      </c>
      <c r="P8733">
        <v>0</v>
      </c>
      <c r="Q8733">
        <v>2</v>
      </c>
      <c r="R8733" t="s">
        <v>44768</v>
      </c>
      <c r="S8733" t="s">
        <v>44982</v>
      </c>
      <c r="T8733" t="s">
        <v>46503</v>
      </c>
      <c r="U8733" t="s">
        <v>54124</v>
      </c>
      <c r="W8733" t="s">
        <v>41390</v>
      </c>
      <c r="X8733" t="s">
        <v>44769</v>
      </c>
    </row>
    <row r="8734" spans="1:24">
      <c r="A8734">
        <f>HYPERLINK("https://www.philgeps.gov.ph/GEPSNONPILOT/Tender/SplashBidNoticeAbstractUI.aspx?menuIndex=3&amp;refID=7141021&amp;Result=3","7141021")</f>
        <v>0</v>
      </c>
      <c r="B8734" t="s">
        <v>40</v>
      </c>
      <c r="C8734" t="s">
        <v>9200</v>
      </c>
      <c r="D8734" t="s">
        <v>17965</v>
      </c>
      <c r="E8734" t="s">
        <v>25657</v>
      </c>
      <c r="F8734" t="s">
        <v>30900</v>
      </c>
      <c r="G8734" t="s">
        <v>30907</v>
      </c>
      <c r="H8734" t="s">
        <v>30915</v>
      </c>
      <c r="I8734" t="s">
        <v>30919</v>
      </c>
      <c r="J8734" t="s">
        <v>31152</v>
      </c>
      <c r="K8734" t="s">
        <v>40280</v>
      </c>
      <c r="M8734" t="s">
        <v>40586</v>
      </c>
      <c r="N8734" t="s">
        <v>44759</v>
      </c>
      <c r="O8734" t="s">
        <v>44760</v>
      </c>
      <c r="P8734">
        <v>0</v>
      </c>
      <c r="Q8734">
        <v>0</v>
      </c>
      <c r="R8734" t="s">
        <v>44768</v>
      </c>
      <c r="S8734" t="s">
        <v>44982</v>
      </c>
      <c r="T8734" t="s">
        <v>46591</v>
      </c>
      <c r="U8734" t="s">
        <v>54200</v>
      </c>
      <c r="W8734" t="s">
        <v>40586</v>
      </c>
      <c r="X8734" t="s">
        <v>44769</v>
      </c>
    </row>
    <row r="8735" spans="1:24">
      <c r="A8735">
        <f>HYPERLINK("https://www.philgeps.gov.ph/GEPSNONPILOT/Tender/SplashBidNoticeAbstractUI.aspx?menuIndex=3&amp;refID=7141020&amp;Result=3","7141020")</f>
        <v>0</v>
      </c>
      <c r="B8735" t="s">
        <v>2813</v>
      </c>
      <c r="C8735" t="s">
        <v>12029</v>
      </c>
      <c r="D8735" t="s">
        <v>17987</v>
      </c>
      <c r="E8735" t="s">
        <v>25658</v>
      </c>
      <c r="F8735" t="s">
        <v>30900</v>
      </c>
      <c r="G8735" t="s">
        <v>30907</v>
      </c>
      <c r="H8735" t="s">
        <v>30915</v>
      </c>
      <c r="I8735" t="s">
        <v>30919</v>
      </c>
      <c r="J8735" t="s">
        <v>31256</v>
      </c>
      <c r="K8735" t="s">
        <v>40292</v>
      </c>
      <c r="M8735" t="s">
        <v>43598</v>
      </c>
      <c r="N8735" t="s">
        <v>44759</v>
      </c>
      <c r="O8735" t="s">
        <v>44760</v>
      </c>
      <c r="P8735">
        <v>0</v>
      </c>
      <c r="Q8735">
        <v>0</v>
      </c>
      <c r="R8735" t="s">
        <v>44768</v>
      </c>
      <c r="S8735" t="s">
        <v>44982</v>
      </c>
      <c r="T8735" t="s">
        <v>46606</v>
      </c>
      <c r="U8735" t="s">
        <v>54201</v>
      </c>
      <c r="W8735" t="s">
        <v>43598</v>
      </c>
      <c r="X8735" t="s">
        <v>44769</v>
      </c>
    </row>
    <row r="8736" spans="1:24">
      <c r="A8736">
        <f>HYPERLINK("https://www.philgeps.gov.ph/GEPSNONPILOT/Tender/SplashBidNoticeAbstractUI.aspx?menuIndex=3&amp;refID=7141029&amp;Result=3","7141029")</f>
        <v>0</v>
      </c>
      <c r="B8736" t="s">
        <v>2822</v>
      </c>
      <c r="C8736" t="s">
        <v>12030</v>
      </c>
      <c r="D8736" t="s">
        <v>17978</v>
      </c>
      <c r="E8736" t="s">
        <v>25659</v>
      </c>
      <c r="F8736" t="s">
        <v>30900</v>
      </c>
      <c r="G8736" t="s">
        <v>30907</v>
      </c>
      <c r="H8736" t="s">
        <v>30916</v>
      </c>
      <c r="I8736" t="s">
        <v>10879</v>
      </c>
      <c r="J8736" t="s">
        <v>31182</v>
      </c>
      <c r="K8736" t="s">
        <v>40285</v>
      </c>
      <c r="M8736" t="s">
        <v>43607</v>
      </c>
      <c r="N8736" t="s">
        <v>44759</v>
      </c>
      <c r="O8736" t="s">
        <v>44760</v>
      </c>
      <c r="P8736">
        <v>0</v>
      </c>
      <c r="Q8736">
        <v>0</v>
      </c>
      <c r="R8736" t="s">
        <v>44768</v>
      </c>
      <c r="S8736" t="s">
        <v>44982</v>
      </c>
      <c r="T8736" t="s">
        <v>46383</v>
      </c>
      <c r="U8736" t="s">
        <v>54202</v>
      </c>
      <c r="W8736" t="s">
        <v>43607</v>
      </c>
      <c r="X8736" t="s">
        <v>44769</v>
      </c>
    </row>
    <row r="8737" spans="1:24">
      <c r="A8737">
        <f>HYPERLINK("https://www.philgeps.gov.ph/GEPSNONPILOT/Tender/SplashBidNoticeAbstractUI.aspx?menuIndex=3&amp;refID=7141027&amp;Result=3","7141027")</f>
        <v>0</v>
      </c>
      <c r="B8737" t="s">
        <v>909</v>
      </c>
      <c r="C8737" t="s">
        <v>12031</v>
      </c>
      <c r="E8737" t="s">
        <v>25660</v>
      </c>
      <c r="F8737" t="s">
        <v>30900</v>
      </c>
      <c r="G8737" t="s">
        <v>30907</v>
      </c>
      <c r="H8737" t="s">
        <v>30915</v>
      </c>
      <c r="I8737" t="s">
        <v>30919</v>
      </c>
      <c r="J8737" t="s">
        <v>36534</v>
      </c>
      <c r="K8737" t="s">
        <v>40289</v>
      </c>
      <c r="M8737" t="s">
        <v>41486</v>
      </c>
      <c r="N8737" t="s">
        <v>44759</v>
      </c>
      <c r="O8737" t="s">
        <v>44760</v>
      </c>
      <c r="P8737">
        <v>0</v>
      </c>
      <c r="Q8737">
        <v>8</v>
      </c>
      <c r="R8737" t="s">
        <v>44768</v>
      </c>
      <c r="S8737" t="s">
        <v>44982</v>
      </c>
      <c r="T8737" t="s">
        <v>46503</v>
      </c>
      <c r="U8737" t="s">
        <v>54203</v>
      </c>
      <c r="W8737" t="s">
        <v>60844</v>
      </c>
      <c r="X8737" t="s">
        <v>44769</v>
      </c>
    </row>
    <row r="8738" spans="1:24">
      <c r="A8738">
        <f>HYPERLINK("https://www.philgeps.gov.ph/GEPSNONPILOT/Tender/SplashBidNoticeAbstractUI.aspx?menuIndex=3&amp;refID=7141052&amp;Result=3","7141052")</f>
        <v>0</v>
      </c>
      <c r="B8738" t="s">
        <v>1903</v>
      </c>
      <c r="C8738" t="s">
        <v>12032</v>
      </c>
      <c r="D8738" t="s">
        <v>17979</v>
      </c>
      <c r="E8738" t="s">
        <v>25661</v>
      </c>
      <c r="F8738" t="s">
        <v>30900</v>
      </c>
      <c r="G8738" t="s">
        <v>30907</v>
      </c>
      <c r="H8738" t="s">
        <v>30916</v>
      </c>
      <c r="I8738" t="s">
        <v>5501</v>
      </c>
      <c r="J8738" t="s">
        <v>36535</v>
      </c>
      <c r="K8738" t="s">
        <v>40292</v>
      </c>
      <c r="M8738" t="s">
        <v>42580</v>
      </c>
      <c r="N8738" t="s">
        <v>44759</v>
      </c>
      <c r="O8738" t="s">
        <v>44760</v>
      </c>
      <c r="P8738">
        <v>0</v>
      </c>
      <c r="Q8738">
        <v>9</v>
      </c>
      <c r="R8738" t="s">
        <v>44768</v>
      </c>
      <c r="S8738" t="s">
        <v>44982</v>
      </c>
      <c r="T8738" t="s">
        <v>46411</v>
      </c>
      <c r="U8738" t="s">
        <v>54204</v>
      </c>
      <c r="W8738" t="s">
        <v>42580</v>
      </c>
      <c r="X8738" t="s">
        <v>44769</v>
      </c>
    </row>
    <row r="8739" spans="1:24">
      <c r="A8739">
        <f>HYPERLINK("https://www.philgeps.gov.ph/GEPSNONPILOT/Tender/SplashBidNoticeAbstractUI.aspx?menuIndex=3&amp;refID=7141051&amp;Result=3","7141051")</f>
        <v>0</v>
      </c>
      <c r="B8739" t="s">
        <v>819</v>
      </c>
      <c r="C8739" t="s">
        <v>12033</v>
      </c>
      <c r="D8739" t="s">
        <v>18025</v>
      </c>
      <c r="E8739" t="s">
        <v>25584</v>
      </c>
      <c r="F8739" t="s">
        <v>30900</v>
      </c>
      <c r="G8739" t="s">
        <v>30907</v>
      </c>
      <c r="H8739" t="s">
        <v>30915</v>
      </c>
      <c r="I8739" t="s">
        <v>30919</v>
      </c>
      <c r="J8739" t="s">
        <v>36536</v>
      </c>
      <c r="K8739" t="s">
        <v>40292</v>
      </c>
      <c r="M8739" t="s">
        <v>41390</v>
      </c>
      <c r="N8739" t="s">
        <v>44759</v>
      </c>
      <c r="O8739" t="s">
        <v>44760</v>
      </c>
      <c r="P8739">
        <v>0</v>
      </c>
      <c r="Q8739">
        <v>0</v>
      </c>
      <c r="R8739" t="s">
        <v>44768</v>
      </c>
      <c r="S8739" t="s">
        <v>44982</v>
      </c>
      <c r="T8739" t="s">
        <v>46807</v>
      </c>
      <c r="U8739" t="s">
        <v>54124</v>
      </c>
      <c r="W8739" t="s">
        <v>41390</v>
      </c>
      <c r="X8739" t="s">
        <v>44769</v>
      </c>
    </row>
    <row r="8740" spans="1:24">
      <c r="A8740">
        <f>HYPERLINK("https://www.philgeps.gov.ph/GEPSNONPILOT/Tender/SplashBidNoticeAbstractUI.aspx?menuIndex=3&amp;refID=7141049&amp;Result=3","7141049")</f>
        <v>0</v>
      </c>
      <c r="B8740" t="s">
        <v>280</v>
      </c>
      <c r="C8740" t="s">
        <v>12034</v>
      </c>
      <c r="D8740" t="s">
        <v>17985</v>
      </c>
      <c r="E8740" t="s">
        <v>25662</v>
      </c>
      <c r="F8740" t="s">
        <v>30900</v>
      </c>
      <c r="G8740" t="s">
        <v>30907</v>
      </c>
      <c r="H8740" t="s">
        <v>30915</v>
      </c>
      <c r="I8740" t="s">
        <v>30919</v>
      </c>
      <c r="J8740" t="s">
        <v>36537</v>
      </c>
      <c r="K8740" t="s">
        <v>40346</v>
      </c>
      <c r="M8740" t="s">
        <v>40827</v>
      </c>
      <c r="N8740" t="s">
        <v>44759</v>
      </c>
      <c r="O8740" t="s">
        <v>44760</v>
      </c>
      <c r="P8740">
        <v>0</v>
      </c>
      <c r="Q8740">
        <v>0</v>
      </c>
      <c r="R8740" t="s">
        <v>44768</v>
      </c>
      <c r="S8740" t="s">
        <v>44982</v>
      </c>
      <c r="T8740" t="s">
        <v>46515</v>
      </c>
      <c r="U8740" t="s">
        <v>54205</v>
      </c>
      <c r="W8740" t="s">
        <v>40827</v>
      </c>
      <c r="X8740" t="s">
        <v>44769</v>
      </c>
    </row>
    <row r="8741" spans="1:24">
      <c r="A8741">
        <f>HYPERLINK("https://www.philgeps.gov.ph/GEPSNONPILOT/Tender/SplashBidNoticeAbstractUI.aspx?menuIndex=3&amp;refID=7140992&amp;Result=3","7140992")</f>
        <v>0</v>
      </c>
      <c r="B8741" t="s">
        <v>2813</v>
      </c>
      <c r="C8741" t="s">
        <v>12035</v>
      </c>
      <c r="D8741" t="s">
        <v>17987</v>
      </c>
      <c r="E8741" t="s">
        <v>25663</v>
      </c>
      <c r="F8741" t="s">
        <v>30900</v>
      </c>
      <c r="G8741" t="s">
        <v>30907</v>
      </c>
      <c r="H8741" t="s">
        <v>30915</v>
      </c>
      <c r="I8741" t="s">
        <v>30919</v>
      </c>
      <c r="J8741" t="s">
        <v>32324</v>
      </c>
      <c r="K8741" t="s">
        <v>40304</v>
      </c>
      <c r="M8741" t="s">
        <v>43598</v>
      </c>
      <c r="N8741" t="s">
        <v>44759</v>
      </c>
      <c r="O8741" t="s">
        <v>44760</v>
      </c>
      <c r="P8741">
        <v>0</v>
      </c>
      <c r="Q8741">
        <v>0</v>
      </c>
      <c r="R8741" t="s">
        <v>44768</v>
      </c>
      <c r="S8741" t="s">
        <v>44982</v>
      </c>
      <c r="T8741" t="s">
        <v>46606</v>
      </c>
      <c r="U8741" t="s">
        <v>54206</v>
      </c>
      <c r="W8741" t="s">
        <v>43598</v>
      </c>
      <c r="X8741" t="s">
        <v>44769</v>
      </c>
    </row>
    <row r="8742" spans="1:24">
      <c r="A8742">
        <f>HYPERLINK("https://www.philgeps.gov.ph/GEPSNONPILOT/Tender/SplashBidNoticeAbstractUI.aspx?menuIndex=3&amp;refID=7141046&amp;Result=3","7141046")</f>
        <v>0</v>
      </c>
      <c r="B8742" t="s">
        <v>2819</v>
      </c>
      <c r="C8742" t="s">
        <v>12036</v>
      </c>
      <c r="E8742" t="s">
        <v>25664</v>
      </c>
      <c r="F8742" t="s">
        <v>30900</v>
      </c>
      <c r="G8742" t="s">
        <v>30907</v>
      </c>
      <c r="H8742" t="s">
        <v>30915</v>
      </c>
      <c r="I8742" t="s">
        <v>30919</v>
      </c>
      <c r="J8742" t="s">
        <v>36538</v>
      </c>
      <c r="K8742" t="s">
        <v>40289</v>
      </c>
      <c r="M8742" t="s">
        <v>43604</v>
      </c>
      <c r="N8742" t="s">
        <v>44759</v>
      </c>
      <c r="O8742" t="s">
        <v>44760</v>
      </c>
      <c r="P8742">
        <v>0</v>
      </c>
      <c r="Q8742">
        <v>0</v>
      </c>
      <c r="R8742" t="s">
        <v>44768</v>
      </c>
      <c r="S8742" t="s">
        <v>44982</v>
      </c>
      <c r="T8742" t="s">
        <v>46428</v>
      </c>
      <c r="U8742" t="s">
        <v>54207</v>
      </c>
      <c r="W8742" t="s">
        <v>43604</v>
      </c>
      <c r="X8742" t="s">
        <v>44769</v>
      </c>
    </row>
    <row r="8743" spans="1:24">
      <c r="A8743">
        <f>HYPERLINK("https://www.philgeps.gov.ph/GEPSNONPILOT/Tender/SplashBidNoticeAbstractUI.aspx?menuIndex=3&amp;refID=7141003&amp;Result=3","7141003")</f>
        <v>0</v>
      </c>
      <c r="B8743" t="s">
        <v>2773</v>
      </c>
      <c r="C8743" t="s">
        <v>12037</v>
      </c>
      <c r="D8743" t="s">
        <v>17969</v>
      </c>
      <c r="E8743" t="s">
        <v>25665</v>
      </c>
      <c r="F8743" t="s">
        <v>30900</v>
      </c>
      <c r="G8743" t="s">
        <v>30910</v>
      </c>
      <c r="H8743" t="s">
        <v>30916</v>
      </c>
      <c r="I8743" t="s">
        <v>8123</v>
      </c>
      <c r="J8743" t="s">
        <v>33503</v>
      </c>
      <c r="K8743" t="s">
        <v>40287</v>
      </c>
      <c r="M8743" t="s">
        <v>43554</v>
      </c>
      <c r="N8743" t="s">
        <v>44759</v>
      </c>
      <c r="O8743" t="s">
        <v>44760</v>
      </c>
      <c r="P8743">
        <v>0</v>
      </c>
      <c r="Q8743">
        <v>1</v>
      </c>
      <c r="R8743" t="s">
        <v>44768</v>
      </c>
      <c r="S8743" t="s">
        <v>44982</v>
      </c>
      <c r="T8743" t="s">
        <v>46662</v>
      </c>
      <c r="U8743" t="s">
        <v>54208</v>
      </c>
      <c r="W8743" t="s">
        <v>43554</v>
      </c>
      <c r="X8743" t="s">
        <v>44769</v>
      </c>
    </row>
    <row r="8744" spans="1:24">
      <c r="A8744">
        <f>HYPERLINK("https://www.philgeps.gov.ph/GEPSNONPILOT/Tender/SplashBidNoticeAbstractUI.aspx?menuIndex=3&amp;refID=7140973&amp;Result=3","7140973")</f>
        <v>0</v>
      </c>
      <c r="B8744" t="s">
        <v>753</v>
      </c>
      <c r="C8744" t="s">
        <v>12038</v>
      </c>
      <c r="D8744" t="s">
        <v>17976</v>
      </c>
      <c r="E8744" t="s">
        <v>25666</v>
      </c>
      <c r="F8744" t="s">
        <v>30900</v>
      </c>
      <c r="G8744" t="s">
        <v>30907</v>
      </c>
      <c r="H8744" t="s">
        <v>30916</v>
      </c>
      <c r="I8744" t="s">
        <v>8365</v>
      </c>
      <c r="J8744" t="s">
        <v>31391</v>
      </c>
      <c r="K8744" t="s">
        <v>40284</v>
      </c>
      <c r="L8744" t="s">
        <v>753</v>
      </c>
      <c r="M8744" t="s">
        <v>41317</v>
      </c>
      <c r="N8744" t="s">
        <v>44759</v>
      </c>
      <c r="O8744" t="s">
        <v>44760</v>
      </c>
      <c r="P8744">
        <v>0</v>
      </c>
      <c r="Q8744">
        <v>5</v>
      </c>
      <c r="R8744" t="s">
        <v>44768</v>
      </c>
      <c r="S8744" t="s">
        <v>44982</v>
      </c>
      <c r="T8744" t="s">
        <v>46689</v>
      </c>
      <c r="U8744" t="s">
        <v>53011</v>
      </c>
      <c r="V8744" t="s">
        <v>59295</v>
      </c>
      <c r="W8744" t="s">
        <v>41317</v>
      </c>
      <c r="X8744" t="s">
        <v>44769</v>
      </c>
    </row>
    <row r="8745" spans="1:24">
      <c r="A8745">
        <f>HYPERLINK("https://www.philgeps.gov.ph/GEPSNONPILOT/Tender/SplashBidNoticeAbstractUI.aspx?menuIndex=3&amp;refID=7141044&amp;Result=3","7141044")</f>
        <v>0</v>
      </c>
      <c r="B8745" t="s">
        <v>629</v>
      </c>
      <c r="C8745" t="s">
        <v>12039</v>
      </c>
      <c r="D8745" t="s">
        <v>17992</v>
      </c>
      <c r="E8745" t="s">
        <v>25667</v>
      </c>
      <c r="F8745" t="s">
        <v>30900</v>
      </c>
      <c r="G8745" t="s">
        <v>30907</v>
      </c>
      <c r="H8745" t="s">
        <v>30916</v>
      </c>
      <c r="I8745" t="s">
        <v>30933</v>
      </c>
      <c r="J8745" t="s">
        <v>31577</v>
      </c>
      <c r="K8745" t="s">
        <v>40286</v>
      </c>
      <c r="M8745" t="s">
        <v>41485</v>
      </c>
      <c r="N8745" t="s">
        <v>44759</v>
      </c>
      <c r="O8745" t="s">
        <v>44760</v>
      </c>
      <c r="P8745">
        <v>0</v>
      </c>
      <c r="Q8745">
        <v>3</v>
      </c>
      <c r="R8745" t="s">
        <v>44768</v>
      </c>
      <c r="S8745" t="s">
        <v>44982</v>
      </c>
      <c r="T8745" t="s">
        <v>46814</v>
      </c>
      <c r="U8745" t="s">
        <v>54209</v>
      </c>
      <c r="W8745" t="s">
        <v>41485</v>
      </c>
      <c r="X8745" t="s">
        <v>44769</v>
      </c>
    </row>
    <row r="8746" spans="1:24">
      <c r="A8746">
        <f>HYPERLINK("https://www.philgeps.gov.ph/GEPSNONPILOT/Tender/SplashBidNoticeAbstractUI.aspx?menuIndex=3&amp;refID=7141040&amp;Result=3","7141040")</f>
        <v>0</v>
      </c>
      <c r="B8746" t="s">
        <v>2478</v>
      </c>
      <c r="C8746" t="s">
        <v>12040</v>
      </c>
      <c r="D8746" t="s">
        <v>17958</v>
      </c>
      <c r="E8746" t="s">
        <v>25668</v>
      </c>
      <c r="F8746" t="s">
        <v>30900</v>
      </c>
      <c r="G8746" t="s">
        <v>30907</v>
      </c>
      <c r="H8746" t="s">
        <v>30916</v>
      </c>
      <c r="I8746" t="s">
        <v>30940</v>
      </c>
      <c r="J8746" t="s">
        <v>36539</v>
      </c>
      <c r="K8746" t="s">
        <v>40293</v>
      </c>
      <c r="M8746" t="s">
        <v>43217</v>
      </c>
      <c r="N8746" t="s">
        <v>44759</v>
      </c>
      <c r="O8746" t="s">
        <v>44760</v>
      </c>
      <c r="P8746">
        <v>0</v>
      </c>
      <c r="Q8746">
        <v>5</v>
      </c>
      <c r="R8746" t="s">
        <v>44768</v>
      </c>
      <c r="S8746" t="s">
        <v>44982</v>
      </c>
      <c r="T8746" t="s">
        <v>46606</v>
      </c>
      <c r="U8746" t="s">
        <v>54210</v>
      </c>
      <c r="W8746" t="s">
        <v>43217</v>
      </c>
      <c r="X8746" t="s">
        <v>44769</v>
      </c>
    </row>
    <row r="8747" spans="1:24">
      <c r="A8747">
        <f>HYPERLINK("https://www.philgeps.gov.ph/GEPSNONPILOT/Tender/SplashBidNoticeAbstractUI.aspx?menuIndex=3&amp;refID=7141079&amp;Result=3","7141079")</f>
        <v>0</v>
      </c>
      <c r="B8747" t="s">
        <v>801</v>
      </c>
      <c r="C8747" t="s">
        <v>12041</v>
      </c>
      <c r="D8747" t="s">
        <v>17984</v>
      </c>
      <c r="E8747" t="s">
        <v>25669</v>
      </c>
      <c r="F8747" t="s">
        <v>30900</v>
      </c>
      <c r="G8747" t="s">
        <v>30907</v>
      </c>
      <c r="H8747" t="s">
        <v>30916</v>
      </c>
      <c r="I8747" t="s">
        <v>8123</v>
      </c>
      <c r="J8747" t="s">
        <v>36540</v>
      </c>
      <c r="K8747" t="s">
        <v>40281</v>
      </c>
      <c r="M8747" t="s">
        <v>41371</v>
      </c>
      <c r="N8747" t="s">
        <v>44759</v>
      </c>
      <c r="O8747" t="s">
        <v>44760</v>
      </c>
      <c r="P8747">
        <v>0</v>
      </c>
      <c r="Q8747">
        <v>0</v>
      </c>
      <c r="R8747" t="s">
        <v>44768</v>
      </c>
      <c r="S8747" t="s">
        <v>44982</v>
      </c>
      <c r="T8747" t="s">
        <v>46658</v>
      </c>
      <c r="U8747" t="s">
        <v>54211</v>
      </c>
      <c r="W8747" t="s">
        <v>41371</v>
      </c>
      <c r="X8747" t="s">
        <v>44769</v>
      </c>
    </row>
    <row r="8748" spans="1:24">
      <c r="A8748">
        <f>HYPERLINK("https://www.philgeps.gov.ph/GEPSNONPILOT/Tender/SplashBidNoticeAbstractUI.aspx?menuIndex=3&amp;refID=7141077&amp;Result=3","7141077")</f>
        <v>0</v>
      </c>
      <c r="B8748" t="s">
        <v>2819</v>
      </c>
      <c r="C8748" t="s">
        <v>12042</v>
      </c>
      <c r="E8748" t="s">
        <v>25670</v>
      </c>
      <c r="F8748" t="s">
        <v>30900</v>
      </c>
      <c r="G8748" t="s">
        <v>30907</v>
      </c>
      <c r="H8748" t="s">
        <v>30915</v>
      </c>
      <c r="I8748" t="s">
        <v>30919</v>
      </c>
      <c r="J8748" t="s">
        <v>36541</v>
      </c>
      <c r="K8748" t="s">
        <v>40289</v>
      </c>
      <c r="M8748" t="s">
        <v>43604</v>
      </c>
      <c r="N8748" t="s">
        <v>44759</v>
      </c>
      <c r="O8748" t="s">
        <v>44760</v>
      </c>
      <c r="P8748">
        <v>0</v>
      </c>
      <c r="Q8748">
        <v>0</v>
      </c>
      <c r="R8748" t="s">
        <v>44768</v>
      </c>
      <c r="S8748" t="s">
        <v>44982</v>
      </c>
      <c r="T8748" t="s">
        <v>46428</v>
      </c>
      <c r="U8748" t="s">
        <v>54212</v>
      </c>
      <c r="W8748" t="s">
        <v>43604</v>
      </c>
      <c r="X8748" t="s">
        <v>44769</v>
      </c>
    </row>
    <row r="8749" spans="1:24">
      <c r="A8749">
        <f>HYPERLINK("https://www.philgeps.gov.ph/GEPSNONPILOT/Tender/SplashBidNoticeAbstractUI.aspx?menuIndex=3&amp;refID=7141038&amp;Result=3","7141038")</f>
        <v>0</v>
      </c>
      <c r="B8749" t="s">
        <v>1031</v>
      </c>
      <c r="C8749" t="s">
        <v>12043</v>
      </c>
      <c r="D8749" t="s">
        <v>17960</v>
      </c>
      <c r="E8749" t="s">
        <v>25671</v>
      </c>
      <c r="F8749" t="s">
        <v>30900</v>
      </c>
      <c r="G8749" t="s">
        <v>30908</v>
      </c>
      <c r="H8749" t="s">
        <v>30917</v>
      </c>
      <c r="I8749" t="s">
        <v>31031</v>
      </c>
      <c r="J8749" t="s">
        <v>36542</v>
      </c>
      <c r="K8749" t="s">
        <v>40369</v>
      </c>
      <c r="M8749" t="s">
        <v>41622</v>
      </c>
      <c r="N8749" t="s">
        <v>44759</v>
      </c>
      <c r="O8749" t="s">
        <v>44760</v>
      </c>
      <c r="P8749">
        <v>0</v>
      </c>
      <c r="Q8749">
        <v>7</v>
      </c>
      <c r="R8749" t="s">
        <v>44768</v>
      </c>
      <c r="S8749" t="s">
        <v>44982</v>
      </c>
      <c r="T8749" t="s">
        <v>46700</v>
      </c>
      <c r="U8749" t="s">
        <v>54213</v>
      </c>
      <c r="V8749" t="s">
        <v>60069</v>
      </c>
      <c r="W8749" t="s">
        <v>41622</v>
      </c>
      <c r="X8749" t="s">
        <v>44769</v>
      </c>
    </row>
    <row r="8750" spans="1:24">
      <c r="A8750">
        <f>HYPERLINK("https://www.philgeps.gov.ph/GEPSNONPILOT/Tender/SplashBidNoticeAbstractUI.aspx?menuIndex=3&amp;refID=7141050&amp;Result=3","7141050")</f>
        <v>0</v>
      </c>
      <c r="B8750" t="s">
        <v>2823</v>
      </c>
      <c r="C8750" t="s">
        <v>12044</v>
      </c>
      <c r="D8750" t="s">
        <v>18006</v>
      </c>
      <c r="E8750" t="s">
        <v>25672</v>
      </c>
      <c r="F8750" t="s">
        <v>30900</v>
      </c>
      <c r="G8750" t="s">
        <v>30907</v>
      </c>
      <c r="H8750" t="s">
        <v>30915</v>
      </c>
      <c r="I8750" t="s">
        <v>30932</v>
      </c>
      <c r="J8750" t="s">
        <v>31243</v>
      </c>
      <c r="K8750" t="s">
        <v>40289</v>
      </c>
      <c r="M8750" t="s">
        <v>43608</v>
      </c>
      <c r="N8750" t="s">
        <v>44759</v>
      </c>
      <c r="O8750" t="s">
        <v>44760</v>
      </c>
      <c r="P8750">
        <v>0</v>
      </c>
      <c r="Q8750">
        <v>1</v>
      </c>
      <c r="R8750" t="s">
        <v>44768</v>
      </c>
      <c r="S8750" t="s">
        <v>44982</v>
      </c>
      <c r="T8750" t="s">
        <v>46472</v>
      </c>
      <c r="U8750" t="s">
        <v>54214</v>
      </c>
      <c r="V8750" t="s">
        <v>60070</v>
      </c>
      <c r="W8750" t="s">
        <v>43608</v>
      </c>
      <c r="X8750" t="s">
        <v>44769</v>
      </c>
    </row>
    <row r="8751" spans="1:24">
      <c r="A8751">
        <f>HYPERLINK("https://www.philgeps.gov.ph/GEPSNONPILOT/Tender/SplashBidNoticeAbstractUI.aspx?menuIndex=3&amp;refID=7140970&amp;Result=3","7140970")</f>
        <v>0</v>
      </c>
      <c r="B8751" t="s">
        <v>2824</v>
      </c>
      <c r="C8751" t="s">
        <v>12045</v>
      </c>
      <c r="D8751" t="s">
        <v>18001</v>
      </c>
      <c r="E8751" t="s">
        <v>25673</v>
      </c>
      <c r="F8751" t="s">
        <v>30900</v>
      </c>
      <c r="G8751" t="s">
        <v>30907</v>
      </c>
      <c r="H8751" t="s">
        <v>30916</v>
      </c>
      <c r="I8751" t="s">
        <v>30952</v>
      </c>
      <c r="J8751" t="s">
        <v>36543</v>
      </c>
      <c r="K8751" t="s">
        <v>40282</v>
      </c>
      <c r="M8751" t="s">
        <v>43609</v>
      </c>
      <c r="N8751" t="s">
        <v>44759</v>
      </c>
      <c r="O8751" t="s">
        <v>44760</v>
      </c>
      <c r="Q8751">
        <v>1</v>
      </c>
      <c r="R8751" t="s">
        <v>44768</v>
      </c>
      <c r="S8751" t="s">
        <v>45014</v>
      </c>
      <c r="T8751" t="s">
        <v>46544</v>
      </c>
      <c r="U8751" t="s">
        <v>54215</v>
      </c>
      <c r="V8751" t="s">
        <v>60071</v>
      </c>
      <c r="W8751" t="s">
        <v>43609</v>
      </c>
      <c r="X8751" t="s">
        <v>44769</v>
      </c>
    </row>
    <row r="8752" spans="1:24">
      <c r="A8752">
        <f>HYPERLINK("https://www.philgeps.gov.ph/GEPSNONPILOT/Tender/SplashBidNoticeAbstractUI.aspx?menuIndex=3&amp;refID=7141069&amp;Result=3","7141069")</f>
        <v>0</v>
      </c>
      <c r="B8752" t="s">
        <v>2825</v>
      </c>
      <c r="C8752" t="s">
        <v>12046</v>
      </c>
      <c r="D8752" t="s">
        <v>18038</v>
      </c>
      <c r="E8752" t="s">
        <v>25674</v>
      </c>
      <c r="F8752" t="s">
        <v>30900</v>
      </c>
      <c r="G8752" t="s">
        <v>30907</v>
      </c>
      <c r="H8752" t="s">
        <v>30915</v>
      </c>
      <c r="I8752" t="s">
        <v>30919</v>
      </c>
      <c r="J8752" t="s">
        <v>36544</v>
      </c>
      <c r="K8752" t="s">
        <v>40293</v>
      </c>
      <c r="M8752" t="s">
        <v>43610</v>
      </c>
      <c r="N8752" t="s">
        <v>44759</v>
      </c>
      <c r="O8752" t="s">
        <v>44760</v>
      </c>
      <c r="Q8752">
        <v>0</v>
      </c>
      <c r="R8752" t="s">
        <v>44768</v>
      </c>
      <c r="S8752" t="s">
        <v>45015</v>
      </c>
      <c r="T8752" t="s">
        <v>46390</v>
      </c>
      <c r="U8752" t="s">
        <v>54216</v>
      </c>
      <c r="W8752" t="s">
        <v>43610</v>
      </c>
      <c r="X8752" t="s">
        <v>44769</v>
      </c>
    </row>
    <row r="8753" spans="1:24">
      <c r="A8753">
        <f>HYPERLINK("https://www.philgeps.gov.ph/GEPSNONPILOT/Tender/SplashBidNoticeAbstractUI.aspx?menuIndex=3&amp;refID=7141064&amp;Result=3","7141064")</f>
        <v>0</v>
      </c>
      <c r="B8753" t="s">
        <v>1574</v>
      </c>
      <c r="C8753" t="s">
        <v>12047</v>
      </c>
      <c r="D8753" t="s">
        <v>18019</v>
      </c>
      <c r="E8753" t="s">
        <v>25675</v>
      </c>
      <c r="F8753" t="s">
        <v>30900</v>
      </c>
      <c r="G8753" t="s">
        <v>30907</v>
      </c>
      <c r="H8753" t="s">
        <v>30916</v>
      </c>
      <c r="I8753" t="s">
        <v>4545</v>
      </c>
      <c r="J8753" t="s">
        <v>36545</v>
      </c>
      <c r="K8753" t="s">
        <v>40308</v>
      </c>
      <c r="M8753" t="s">
        <v>42222</v>
      </c>
      <c r="N8753" t="s">
        <v>44759</v>
      </c>
      <c r="O8753" t="s">
        <v>44760</v>
      </c>
      <c r="P8753">
        <v>0</v>
      </c>
      <c r="Q8753">
        <v>12</v>
      </c>
      <c r="R8753" t="s">
        <v>44768</v>
      </c>
      <c r="S8753" t="s">
        <v>44982</v>
      </c>
      <c r="T8753" t="s">
        <v>46480</v>
      </c>
      <c r="U8753" t="s">
        <v>54217</v>
      </c>
      <c r="W8753" t="s">
        <v>42222</v>
      </c>
      <c r="X8753" t="s">
        <v>44769</v>
      </c>
    </row>
    <row r="8754" spans="1:24">
      <c r="A8754">
        <f>HYPERLINK("https://www.philgeps.gov.ph/GEPSNONPILOT/Tender/SplashBidNoticeAbstractUI.aspx?menuIndex=3&amp;refID=7141005&amp;Result=3","7141005")</f>
        <v>0</v>
      </c>
      <c r="B8754" t="s">
        <v>2826</v>
      </c>
      <c r="C8754" t="s">
        <v>12048</v>
      </c>
      <c r="D8754" t="s">
        <v>18010</v>
      </c>
      <c r="E8754" t="s">
        <v>25676</v>
      </c>
      <c r="F8754" t="s">
        <v>30900</v>
      </c>
      <c r="G8754" t="s">
        <v>30907</v>
      </c>
      <c r="H8754" t="s">
        <v>30916</v>
      </c>
      <c r="I8754" t="s">
        <v>11785</v>
      </c>
      <c r="J8754" t="s">
        <v>35542</v>
      </c>
      <c r="K8754" t="s">
        <v>40286</v>
      </c>
      <c r="M8754" t="s">
        <v>43611</v>
      </c>
      <c r="N8754" t="s">
        <v>44759</v>
      </c>
      <c r="O8754" t="s">
        <v>44760</v>
      </c>
      <c r="P8754">
        <v>0</v>
      </c>
      <c r="Q8754">
        <v>3</v>
      </c>
      <c r="R8754" t="s">
        <v>44768</v>
      </c>
      <c r="S8754" t="s">
        <v>44982</v>
      </c>
      <c r="T8754" t="s">
        <v>46591</v>
      </c>
      <c r="U8754" t="s">
        <v>54218</v>
      </c>
      <c r="W8754" t="s">
        <v>43611</v>
      </c>
      <c r="X8754" t="s">
        <v>44769</v>
      </c>
    </row>
    <row r="8755" spans="1:24">
      <c r="A8755">
        <f>HYPERLINK("https://www.philgeps.gov.ph/GEPSNONPILOT/Tender/SplashBidNoticeAbstractUI.aspx?menuIndex=3&amp;refID=7141061&amp;Result=3","7141061")</f>
        <v>0</v>
      </c>
      <c r="B8755" t="s">
        <v>379</v>
      </c>
      <c r="C8755" t="s">
        <v>12049</v>
      </c>
      <c r="D8755" t="s">
        <v>18015</v>
      </c>
      <c r="E8755" t="s">
        <v>25677</v>
      </c>
      <c r="F8755" t="s">
        <v>30900</v>
      </c>
      <c r="G8755" t="s">
        <v>30907</v>
      </c>
      <c r="H8755" t="s">
        <v>30916</v>
      </c>
      <c r="I8755" t="s">
        <v>4017</v>
      </c>
      <c r="J8755" t="s">
        <v>36546</v>
      </c>
      <c r="K8755" t="s">
        <v>40283</v>
      </c>
      <c r="M8755" t="s">
        <v>40933</v>
      </c>
      <c r="N8755" t="s">
        <v>44759</v>
      </c>
      <c r="O8755" t="s">
        <v>44760</v>
      </c>
      <c r="P8755">
        <v>0</v>
      </c>
      <c r="Q8755">
        <v>0</v>
      </c>
      <c r="R8755" t="s">
        <v>44768</v>
      </c>
      <c r="S8755" t="s">
        <v>44982</v>
      </c>
      <c r="T8755" t="s">
        <v>46455</v>
      </c>
      <c r="U8755" t="s">
        <v>54219</v>
      </c>
      <c r="W8755" t="s">
        <v>40933</v>
      </c>
      <c r="X8755" t="s">
        <v>44769</v>
      </c>
    </row>
    <row r="8756" spans="1:24">
      <c r="A8756">
        <f>HYPERLINK("https://www.philgeps.gov.ph/GEPSNONPILOT/Tender/SplashBidNoticeAbstractUI.aspx?menuIndex=3&amp;refID=7141056&amp;Result=3","7141056")</f>
        <v>0</v>
      </c>
      <c r="B8756" t="s">
        <v>812</v>
      </c>
      <c r="C8756" t="s">
        <v>12050</v>
      </c>
      <c r="D8756" t="s">
        <v>18028</v>
      </c>
      <c r="E8756" t="s">
        <v>25678</v>
      </c>
      <c r="F8756" t="s">
        <v>30900</v>
      </c>
      <c r="G8756" t="s">
        <v>30907</v>
      </c>
      <c r="H8756" t="s">
        <v>30915</v>
      </c>
      <c r="I8756" t="s">
        <v>30919</v>
      </c>
      <c r="J8756" t="s">
        <v>36547</v>
      </c>
      <c r="K8756" t="s">
        <v>40280</v>
      </c>
      <c r="M8756" t="s">
        <v>41383</v>
      </c>
      <c r="N8756" t="s">
        <v>44759</v>
      </c>
      <c r="O8756" t="s">
        <v>44760</v>
      </c>
      <c r="P8756">
        <v>0</v>
      </c>
      <c r="Q8756">
        <v>1</v>
      </c>
      <c r="R8756" t="s">
        <v>44768</v>
      </c>
      <c r="S8756" t="s">
        <v>44982</v>
      </c>
      <c r="T8756" t="s">
        <v>46606</v>
      </c>
      <c r="U8756" t="s">
        <v>54220</v>
      </c>
      <c r="W8756" t="s">
        <v>41383</v>
      </c>
      <c r="X8756" t="s">
        <v>44769</v>
      </c>
    </row>
    <row r="8757" spans="1:24">
      <c r="A8757">
        <f>HYPERLINK("https://www.philgeps.gov.ph/GEPSNONPILOT/Tender/SplashBidNoticeAbstractUI.aspx?menuIndex=3&amp;refID=7141037&amp;Result=3","7141037")</f>
        <v>0</v>
      </c>
      <c r="B8757" t="s">
        <v>1529</v>
      </c>
      <c r="C8757" t="s">
        <v>12051</v>
      </c>
      <c r="D8757" t="s">
        <v>18010</v>
      </c>
      <c r="E8757" t="s">
        <v>25679</v>
      </c>
      <c r="F8757" t="s">
        <v>30900</v>
      </c>
      <c r="G8757" t="s">
        <v>30907</v>
      </c>
      <c r="H8757" t="s">
        <v>30916</v>
      </c>
      <c r="I8757" t="s">
        <v>30947</v>
      </c>
      <c r="J8757" t="s">
        <v>36548</v>
      </c>
      <c r="K8757" t="s">
        <v>40286</v>
      </c>
      <c r="M8757" t="s">
        <v>42172</v>
      </c>
      <c r="N8757" t="s">
        <v>44759</v>
      </c>
      <c r="O8757" t="s">
        <v>44760</v>
      </c>
      <c r="P8757">
        <v>0</v>
      </c>
      <c r="Q8757">
        <v>6</v>
      </c>
      <c r="R8757" t="s">
        <v>44768</v>
      </c>
      <c r="S8757" t="s">
        <v>44982</v>
      </c>
      <c r="T8757" t="s">
        <v>46544</v>
      </c>
      <c r="U8757" t="s">
        <v>50151</v>
      </c>
      <c r="W8757" t="s">
        <v>60866</v>
      </c>
      <c r="X8757" t="s">
        <v>44769</v>
      </c>
    </row>
    <row r="8758" spans="1:24">
      <c r="A8758">
        <f>HYPERLINK("https://www.philgeps.gov.ph/GEPSNONPILOT/Tender/SplashBidNoticeAbstractUI.aspx?menuIndex=3&amp;refID=7141082&amp;Result=3","7141082")</f>
        <v>0</v>
      </c>
      <c r="B8758" t="s">
        <v>2827</v>
      </c>
      <c r="C8758" t="s">
        <v>12052</v>
      </c>
      <c r="E8758" t="s">
        <v>19463</v>
      </c>
      <c r="F8758" t="s">
        <v>30900</v>
      </c>
      <c r="G8758" t="s">
        <v>30907</v>
      </c>
      <c r="H8758" t="s">
        <v>30916</v>
      </c>
      <c r="I8758" t="s">
        <v>30923</v>
      </c>
      <c r="J8758" t="s">
        <v>36549</v>
      </c>
      <c r="K8758" t="s">
        <v>40289</v>
      </c>
      <c r="M8758" t="s">
        <v>43612</v>
      </c>
      <c r="N8758" t="s">
        <v>44759</v>
      </c>
      <c r="O8758" t="s">
        <v>44760</v>
      </c>
      <c r="P8758">
        <v>0</v>
      </c>
      <c r="Q8758">
        <v>2</v>
      </c>
      <c r="R8758" t="s">
        <v>44768</v>
      </c>
      <c r="S8758" t="s">
        <v>44982</v>
      </c>
      <c r="T8758" t="s">
        <v>46807</v>
      </c>
      <c r="U8758" t="s">
        <v>54221</v>
      </c>
      <c r="W8758" t="s">
        <v>43612</v>
      </c>
      <c r="X8758" t="s">
        <v>44769</v>
      </c>
    </row>
    <row r="8759" spans="1:24">
      <c r="A8759">
        <f>HYPERLINK("https://www.philgeps.gov.ph/GEPSNONPILOT/Tender/SplashBidNoticeAbstractUI.aspx?menuIndex=3&amp;refID=7141081&amp;Result=3","7141081")</f>
        <v>0</v>
      </c>
      <c r="B8759" t="s">
        <v>2820</v>
      </c>
      <c r="C8759" t="s">
        <v>12053</v>
      </c>
      <c r="D8759" t="s">
        <v>17976</v>
      </c>
      <c r="E8759" t="s">
        <v>25680</v>
      </c>
      <c r="F8759" t="s">
        <v>30900</v>
      </c>
      <c r="G8759" t="s">
        <v>30907</v>
      </c>
      <c r="H8759" t="s">
        <v>30916</v>
      </c>
      <c r="I8759" t="s">
        <v>17295</v>
      </c>
      <c r="J8759" t="s">
        <v>36550</v>
      </c>
      <c r="K8759" t="s">
        <v>40283</v>
      </c>
      <c r="M8759" t="s">
        <v>43605</v>
      </c>
      <c r="N8759" t="s">
        <v>44759</v>
      </c>
      <c r="O8759" t="s">
        <v>44760</v>
      </c>
      <c r="Q8759">
        <v>2</v>
      </c>
      <c r="R8759" t="s">
        <v>44768</v>
      </c>
      <c r="S8759" t="s">
        <v>45016</v>
      </c>
      <c r="T8759" t="s">
        <v>46820</v>
      </c>
      <c r="U8759" t="s">
        <v>54222</v>
      </c>
      <c r="V8759" t="s">
        <v>59391</v>
      </c>
      <c r="W8759" t="s">
        <v>60903</v>
      </c>
      <c r="X8759" t="s">
        <v>44769</v>
      </c>
    </row>
    <row r="8760" spans="1:24">
      <c r="A8760">
        <f>HYPERLINK("https://www.philgeps.gov.ph/GEPSNONPILOT/Tender/SplashBidNoticeAbstractUI.aspx?menuIndex=3&amp;refID=7141112&amp;Result=3","7141112")</f>
        <v>0</v>
      </c>
      <c r="B8760" t="s">
        <v>2828</v>
      </c>
      <c r="C8760" t="s">
        <v>12054</v>
      </c>
      <c r="D8760" t="s">
        <v>17973</v>
      </c>
      <c r="E8760" t="s">
        <v>25681</v>
      </c>
      <c r="F8760" t="s">
        <v>30900</v>
      </c>
      <c r="G8760" t="s">
        <v>30907</v>
      </c>
      <c r="H8760" t="s">
        <v>30916</v>
      </c>
      <c r="I8760" t="s">
        <v>4545</v>
      </c>
      <c r="J8760" t="s">
        <v>36551</v>
      </c>
      <c r="K8760" t="s">
        <v>40283</v>
      </c>
      <c r="M8760" t="s">
        <v>43613</v>
      </c>
      <c r="N8760" t="s">
        <v>44759</v>
      </c>
      <c r="O8760" t="s">
        <v>44760</v>
      </c>
      <c r="P8760">
        <v>0</v>
      </c>
      <c r="Q8760">
        <v>4</v>
      </c>
      <c r="R8760" t="s">
        <v>44768</v>
      </c>
      <c r="S8760" t="s">
        <v>44982</v>
      </c>
      <c r="T8760" t="s">
        <v>46581</v>
      </c>
      <c r="U8760" t="s">
        <v>54223</v>
      </c>
      <c r="W8760" t="s">
        <v>43613</v>
      </c>
      <c r="X8760" t="s">
        <v>44769</v>
      </c>
    </row>
    <row r="8761" spans="1:24">
      <c r="A8761">
        <f>HYPERLINK("https://www.philgeps.gov.ph/GEPSNONPILOT/Tender/SplashBidNoticeAbstractUI.aspx?menuIndex=3&amp;refID=7141067&amp;Result=3","7141067")</f>
        <v>0</v>
      </c>
      <c r="B8761" t="s">
        <v>2813</v>
      </c>
      <c r="C8761" t="s">
        <v>12055</v>
      </c>
      <c r="D8761" t="s">
        <v>17987</v>
      </c>
      <c r="E8761" t="s">
        <v>25682</v>
      </c>
      <c r="F8761" t="s">
        <v>30900</v>
      </c>
      <c r="G8761" t="s">
        <v>30907</v>
      </c>
      <c r="H8761" t="s">
        <v>30915</v>
      </c>
      <c r="I8761" t="s">
        <v>30919</v>
      </c>
      <c r="J8761" t="s">
        <v>31297</v>
      </c>
      <c r="K8761" t="s">
        <v>40304</v>
      </c>
      <c r="M8761" t="s">
        <v>43598</v>
      </c>
      <c r="N8761" t="s">
        <v>44759</v>
      </c>
      <c r="O8761" t="s">
        <v>44760</v>
      </c>
      <c r="P8761">
        <v>0</v>
      </c>
      <c r="Q8761">
        <v>0</v>
      </c>
      <c r="R8761" t="s">
        <v>44768</v>
      </c>
      <c r="S8761" t="s">
        <v>44982</v>
      </c>
      <c r="T8761" t="s">
        <v>46606</v>
      </c>
      <c r="U8761" t="s">
        <v>54224</v>
      </c>
      <c r="W8761" t="s">
        <v>43598</v>
      </c>
      <c r="X8761" t="s">
        <v>44769</v>
      </c>
    </row>
    <row r="8762" spans="1:24">
      <c r="A8762">
        <f>HYPERLINK("https://www.philgeps.gov.ph/GEPSNONPILOT/Tender/SplashBidNoticeAbstractUI.aspx?menuIndex=3&amp;refID=7141103&amp;Result=3","7141103")</f>
        <v>0</v>
      </c>
      <c r="B8762" t="s">
        <v>2819</v>
      </c>
      <c r="C8762" t="s">
        <v>12056</v>
      </c>
      <c r="E8762" t="s">
        <v>25683</v>
      </c>
      <c r="F8762" t="s">
        <v>30900</v>
      </c>
      <c r="G8762" t="s">
        <v>30907</v>
      </c>
      <c r="H8762" t="s">
        <v>30915</v>
      </c>
      <c r="I8762" t="s">
        <v>30919</v>
      </c>
      <c r="J8762" t="s">
        <v>36552</v>
      </c>
      <c r="K8762" t="s">
        <v>40289</v>
      </c>
      <c r="M8762" t="s">
        <v>43604</v>
      </c>
      <c r="N8762" t="s">
        <v>44759</v>
      </c>
      <c r="O8762" t="s">
        <v>44760</v>
      </c>
      <c r="P8762">
        <v>0</v>
      </c>
      <c r="Q8762">
        <v>0</v>
      </c>
      <c r="R8762" t="s">
        <v>44768</v>
      </c>
      <c r="S8762" t="s">
        <v>44982</v>
      </c>
      <c r="T8762" t="s">
        <v>46428</v>
      </c>
      <c r="U8762" t="s">
        <v>54225</v>
      </c>
      <c r="W8762" t="s">
        <v>43604</v>
      </c>
      <c r="X8762" t="s">
        <v>44769</v>
      </c>
    </row>
    <row r="8763" spans="1:24">
      <c r="A8763">
        <f>HYPERLINK("https://www.philgeps.gov.ph/GEPSNONPILOT/Tender/SplashBidNoticeAbstractUI.aspx?menuIndex=3&amp;refID=7141059&amp;Result=3","7141059")</f>
        <v>0</v>
      </c>
      <c r="B8763" t="s">
        <v>2826</v>
      </c>
      <c r="C8763" t="s">
        <v>12057</v>
      </c>
      <c r="D8763" t="s">
        <v>18010</v>
      </c>
      <c r="E8763" t="s">
        <v>25684</v>
      </c>
      <c r="F8763" t="s">
        <v>30900</v>
      </c>
      <c r="G8763" t="s">
        <v>30907</v>
      </c>
      <c r="H8763" t="s">
        <v>30916</v>
      </c>
      <c r="I8763" t="s">
        <v>4454</v>
      </c>
      <c r="J8763" t="s">
        <v>31282</v>
      </c>
      <c r="K8763" t="s">
        <v>40286</v>
      </c>
      <c r="M8763" t="s">
        <v>43611</v>
      </c>
      <c r="N8763" t="s">
        <v>44759</v>
      </c>
      <c r="O8763" t="s">
        <v>44760</v>
      </c>
      <c r="P8763">
        <v>0</v>
      </c>
      <c r="Q8763">
        <v>4</v>
      </c>
      <c r="R8763" t="s">
        <v>44768</v>
      </c>
      <c r="S8763" t="s">
        <v>44982</v>
      </c>
      <c r="T8763" t="s">
        <v>46771</v>
      </c>
      <c r="U8763" t="s">
        <v>54226</v>
      </c>
      <c r="W8763" t="s">
        <v>43611</v>
      </c>
      <c r="X8763" t="s">
        <v>44769</v>
      </c>
    </row>
    <row r="8764" spans="1:24">
      <c r="A8764">
        <f>HYPERLINK("https://www.philgeps.gov.ph/GEPSNONPILOT/Tender/SplashBidNoticeAbstractUI.aspx?menuIndex=3&amp;refID=7141118&amp;Result=3","7141118")</f>
        <v>0</v>
      </c>
      <c r="B8764" t="s">
        <v>2806</v>
      </c>
      <c r="C8764" t="s">
        <v>12058</v>
      </c>
      <c r="D8764" t="s">
        <v>17975</v>
      </c>
      <c r="E8764" t="s">
        <v>25685</v>
      </c>
      <c r="F8764" t="s">
        <v>30900</v>
      </c>
      <c r="G8764" t="s">
        <v>30909</v>
      </c>
      <c r="H8764" t="s">
        <v>30916</v>
      </c>
      <c r="I8764" t="s">
        <v>5501</v>
      </c>
      <c r="J8764" t="s">
        <v>31183</v>
      </c>
      <c r="K8764" t="s">
        <v>40289</v>
      </c>
      <c r="M8764" t="s">
        <v>43591</v>
      </c>
      <c r="N8764" t="s">
        <v>44759</v>
      </c>
      <c r="O8764" t="s">
        <v>44760</v>
      </c>
      <c r="P8764">
        <v>0</v>
      </c>
      <c r="Q8764">
        <v>0</v>
      </c>
      <c r="R8764" t="s">
        <v>44768</v>
      </c>
      <c r="S8764" t="s">
        <v>44982</v>
      </c>
      <c r="T8764" t="s">
        <v>46398</v>
      </c>
      <c r="U8764" t="s">
        <v>54227</v>
      </c>
      <c r="V8764" t="s">
        <v>60072</v>
      </c>
      <c r="W8764" t="s">
        <v>43591</v>
      </c>
      <c r="X8764" t="s">
        <v>44769</v>
      </c>
    </row>
    <row r="8765" spans="1:24">
      <c r="A8765">
        <f>HYPERLINK("https://www.philgeps.gov.ph/GEPSNONPILOT/Tender/SplashBidNoticeAbstractUI.aspx?menuIndex=3&amp;refID=7141080&amp;Result=3","7141080")</f>
        <v>0</v>
      </c>
      <c r="B8765" t="s">
        <v>2829</v>
      </c>
      <c r="C8765" t="s">
        <v>12059</v>
      </c>
      <c r="D8765" t="s">
        <v>18035</v>
      </c>
      <c r="E8765" t="s">
        <v>25674</v>
      </c>
      <c r="F8765" t="s">
        <v>30900</v>
      </c>
      <c r="G8765" t="s">
        <v>30907</v>
      </c>
      <c r="H8765" t="s">
        <v>30916</v>
      </c>
      <c r="I8765" t="s">
        <v>30939</v>
      </c>
      <c r="J8765" t="s">
        <v>31152</v>
      </c>
      <c r="K8765" t="s">
        <v>40286</v>
      </c>
      <c r="M8765" t="s">
        <v>43614</v>
      </c>
      <c r="N8765" t="s">
        <v>44759</v>
      </c>
      <c r="O8765" t="s">
        <v>44760</v>
      </c>
      <c r="P8765">
        <v>0</v>
      </c>
      <c r="Q8765">
        <v>0</v>
      </c>
      <c r="R8765" t="s">
        <v>44768</v>
      </c>
      <c r="S8765" t="s">
        <v>44982</v>
      </c>
      <c r="T8765" t="s">
        <v>46515</v>
      </c>
      <c r="U8765" t="s">
        <v>54228</v>
      </c>
      <c r="W8765" t="s">
        <v>43614</v>
      </c>
      <c r="X8765" t="s">
        <v>44769</v>
      </c>
    </row>
    <row r="8766" spans="1:24">
      <c r="A8766">
        <f>HYPERLINK("https://www.philgeps.gov.ph/GEPSNONPILOT/Tender/SplashBidNoticeAbstractUI.aspx?menuIndex=3&amp;refID=7141130&amp;Result=3","7141130")</f>
        <v>0</v>
      </c>
      <c r="B8766" t="s">
        <v>379</v>
      </c>
      <c r="C8766" t="s">
        <v>12060</v>
      </c>
      <c r="D8766" t="s">
        <v>18015</v>
      </c>
      <c r="E8766" t="s">
        <v>25686</v>
      </c>
      <c r="F8766" t="s">
        <v>30900</v>
      </c>
      <c r="G8766" t="s">
        <v>30907</v>
      </c>
      <c r="H8766" t="s">
        <v>30916</v>
      </c>
      <c r="I8766" t="s">
        <v>4545</v>
      </c>
      <c r="J8766" t="s">
        <v>31635</v>
      </c>
      <c r="K8766" t="s">
        <v>40283</v>
      </c>
      <c r="M8766" t="s">
        <v>40933</v>
      </c>
      <c r="N8766" t="s">
        <v>44759</v>
      </c>
      <c r="O8766" t="s">
        <v>44760</v>
      </c>
      <c r="P8766">
        <v>0</v>
      </c>
      <c r="Q8766">
        <v>0</v>
      </c>
      <c r="R8766" t="s">
        <v>44768</v>
      </c>
      <c r="S8766" t="s">
        <v>44982</v>
      </c>
      <c r="T8766" t="s">
        <v>46455</v>
      </c>
      <c r="U8766" t="s">
        <v>54229</v>
      </c>
      <c r="W8766" t="s">
        <v>40933</v>
      </c>
      <c r="X8766" t="s">
        <v>44769</v>
      </c>
    </row>
    <row r="8767" spans="1:24">
      <c r="A8767">
        <f>HYPERLINK("https://www.philgeps.gov.ph/GEPSNONPILOT/Tender/SplashBidNoticeAbstractUI.aspx?menuIndex=3&amp;refID=7141126&amp;Result=3","7141126")</f>
        <v>0</v>
      </c>
      <c r="B8767" t="s">
        <v>2561</v>
      </c>
      <c r="C8767" t="s">
        <v>12061</v>
      </c>
      <c r="D8767" t="s">
        <v>17951</v>
      </c>
      <c r="E8767" t="s">
        <v>25687</v>
      </c>
      <c r="F8767" t="s">
        <v>30900</v>
      </c>
      <c r="G8767" t="s">
        <v>30908</v>
      </c>
      <c r="H8767" t="s">
        <v>30916</v>
      </c>
      <c r="I8767" t="s">
        <v>30922</v>
      </c>
      <c r="J8767" t="s">
        <v>36553</v>
      </c>
      <c r="K8767" t="s">
        <v>40286</v>
      </c>
      <c r="M8767" t="s">
        <v>43319</v>
      </c>
      <c r="N8767" t="s">
        <v>44759</v>
      </c>
      <c r="O8767" t="s">
        <v>44760</v>
      </c>
      <c r="P8767">
        <v>0</v>
      </c>
      <c r="Q8767">
        <v>1</v>
      </c>
      <c r="R8767" t="s">
        <v>44768</v>
      </c>
      <c r="S8767" t="s">
        <v>44982</v>
      </c>
      <c r="T8767" t="s">
        <v>46771</v>
      </c>
      <c r="U8767" t="s">
        <v>54230</v>
      </c>
      <c r="W8767" t="s">
        <v>43319</v>
      </c>
      <c r="X8767" t="s">
        <v>44769</v>
      </c>
    </row>
    <row r="8768" spans="1:24">
      <c r="A8768">
        <f>HYPERLINK("https://www.philgeps.gov.ph/GEPSNONPILOT/Tender/SplashBidNoticeAbstractUI.aspx?menuIndex=3&amp;refID=7141123&amp;Result=3","7141123")</f>
        <v>0</v>
      </c>
      <c r="B8768" t="s">
        <v>2824</v>
      </c>
      <c r="C8768" t="s">
        <v>12062</v>
      </c>
      <c r="D8768" t="s">
        <v>18001</v>
      </c>
      <c r="E8768" t="s">
        <v>25688</v>
      </c>
      <c r="F8768" t="s">
        <v>30900</v>
      </c>
      <c r="G8768" t="s">
        <v>30907</v>
      </c>
      <c r="H8768" t="s">
        <v>30916</v>
      </c>
      <c r="I8768" t="s">
        <v>4545</v>
      </c>
      <c r="J8768" t="s">
        <v>36554</v>
      </c>
      <c r="K8768" t="s">
        <v>40288</v>
      </c>
      <c r="M8768" t="s">
        <v>43609</v>
      </c>
      <c r="N8768" t="s">
        <v>44759</v>
      </c>
      <c r="O8768" t="s">
        <v>44760</v>
      </c>
      <c r="Q8768">
        <v>3</v>
      </c>
      <c r="R8768" t="s">
        <v>44768</v>
      </c>
      <c r="S8768" t="s">
        <v>45017</v>
      </c>
      <c r="T8768" t="s">
        <v>46490</v>
      </c>
      <c r="U8768" t="s">
        <v>54231</v>
      </c>
      <c r="V8768" t="s">
        <v>60073</v>
      </c>
      <c r="W8768" t="s">
        <v>43609</v>
      </c>
      <c r="X8768" t="s">
        <v>44769</v>
      </c>
    </row>
    <row r="8769" spans="1:24">
      <c r="A8769">
        <f>HYPERLINK("https://www.philgeps.gov.ph/GEPSNONPILOT/Tender/SplashBidNoticeAbstractUI.aspx?menuIndex=3&amp;refID=7141124&amp;Result=3","7141124")</f>
        <v>0</v>
      </c>
      <c r="B8769" t="s">
        <v>1661</v>
      </c>
      <c r="C8769" t="s">
        <v>12063</v>
      </c>
      <c r="D8769" t="s">
        <v>18019</v>
      </c>
      <c r="E8769" t="s">
        <v>25689</v>
      </c>
      <c r="F8769" t="s">
        <v>30900</v>
      </c>
      <c r="G8769" t="s">
        <v>30907</v>
      </c>
      <c r="H8769" t="s">
        <v>30916</v>
      </c>
      <c r="I8769" t="s">
        <v>30972</v>
      </c>
      <c r="J8769" t="s">
        <v>36555</v>
      </c>
      <c r="K8769" t="s">
        <v>40289</v>
      </c>
      <c r="L8769" t="s">
        <v>1661</v>
      </c>
      <c r="M8769" t="s">
        <v>42318</v>
      </c>
      <c r="N8769" t="s">
        <v>44759</v>
      </c>
      <c r="O8769" t="s">
        <v>44760</v>
      </c>
      <c r="P8769">
        <v>0</v>
      </c>
      <c r="Q8769">
        <v>2</v>
      </c>
      <c r="R8769" t="s">
        <v>44768</v>
      </c>
      <c r="S8769" t="s">
        <v>44982</v>
      </c>
      <c r="T8769" t="s">
        <v>46606</v>
      </c>
      <c r="U8769" t="s">
        <v>50658</v>
      </c>
      <c r="W8769" t="s">
        <v>42318</v>
      </c>
      <c r="X8769" t="s">
        <v>44769</v>
      </c>
    </row>
    <row r="8770" spans="1:24">
      <c r="A8770">
        <f>HYPERLINK("https://www.philgeps.gov.ph/GEPSNONPILOT/Tender/SplashBidNoticeAbstractUI.aspx?menuIndex=3&amp;refID=7141066&amp;Result=3","7141066")</f>
        <v>0</v>
      </c>
      <c r="B8770" t="s">
        <v>2145</v>
      </c>
      <c r="C8770" t="s">
        <v>12064</v>
      </c>
      <c r="D8770" t="s">
        <v>17973</v>
      </c>
      <c r="E8770" t="s">
        <v>25690</v>
      </c>
      <c r="F8770" t="s">
        <v>30900</v>
      </c>
      <c r="G8770" t="s">
        <v>30907</v>
      </c>
      <c r="H8770" t="s">
        <v>30916</v>
      </c>
      <c r="I8770" t="s">
        <v>30923</v>
      </c>
      <c r="J8770" t="s">
        <v>36556</v>
      </c>
      <c r="K8770" t="s">
        <v>40289</v>
      </c>
      <c r="M8770" t="s">
        <v>42848</v>
      </c>
      <c r="N8770" t="s">
        <v>44759</v>
      </c>
      <c r="O8770" t="s">
        <v>44760</v>
      </c>
      <c r="P8770">
        <v>0</v>
      </c>
      <c r="Q8770">
        <v>11</v>
      </c>
      <c r="R8770" t="s">
        <v>44768</v>
      </c>
      <c r="S8770" t="s">
        <v>44982</v>
      </c>
      <c r="T8770" t="s">
        <v>46689</v>
      </c>
      <c r="U8770" t="s">
        <v>54232</v>
      </c>
      <c r="W8770" t="s">
        <v>42848</v>
      </c>
      <c r="X8770" t="s">
        <v>44769</v>
      </c>
    </row>
    <row r="8771" spans="1:24">
      <c r="A8771">
        <f>HYPERLINK("https://www.philgeps.gov.ph/GEPSNONPILOT/Tender/SplashBidNoticeAbstractUI.aspx?menuIndex=3&amp;refID=7141121&amp;Result=3","7141121")</f>
        <v>0</v>
      </c>
      <c r="B8771" t="s">
        <v>2830</v>
      </c>
      <c r="C8771" t="s">
        <v>12065</v>
      </c>
      <c r="D8771" t="s">
        <v>17952</v>
      </c>
      <c r="E8771" t="s">
        <v>19690</v>
      </c>
      <c r="F8771" t="s">
        <v>30900</v>
      </c>
      <c r="G8771" t="s">
        <v>30907</v>
      </c>
      <c r="H8771" t="s">
        <v>30915</v>
      </c>
      <c r="I8771" t="s">
        <v>30919</v>
      </c>
      <c r="J8771" t="s">
        <v>31243</v>
      </c>
      <c r="K8771" t="s">
        <v>40289</v>
      </c>
      <c r="M8771" t="s">
        <v>43615</v>
      </c>
      <c r="N8771" t="s">
        <v>44759</v>
      </c>
      <c r="O8771" t="s">
        <v>44760</v>
      </c>
      <c r="P8771">
        <v>0</v>
      </c>
      <c r="Q8771">
        <v>0</v>
      </c>
      <c r="R8771" t="s">
        <v>44768</v>
      </c>
      <c r="S8771" t="s">
        <v>44982</v>
      </c>
      <c r="T8771" t="s">
        <v>46425</v>
      </c>
      <c r="U8771" t="s">
        <v>54233</v>
      </c>
      <c r="W8771" t="s">
        <v>43615</v>
      </c>
      <c r="X8771" t="s">
        <v>44769</v>
      </c>
    </row>
    <row r="8772" spans="1:24">
      <c r="A8772">
        <f>HYPERLINK("https://www.philgeps.gov.ph/GEPSNONPILOT/Tender/SplashBidNoticeAbstractUI.aspx?menuIndex=3&amp;refID=7141096&amp;Result=3","7141096")</f>
        <v>0</v>
      </c>
      <c r="B8772" t="s">
        <v>40</v>
      </c>
      <c r="C8772" t="s">
        <v>12066</v>
      </c>
      <c r="D8772" t="s">
        <v>17965</v>
      </c>
      <c r="E8772" t="s">
        <v>25691</v>
      </c>
      <c r="F8772" t="s">
        <v>30900</v>
      </c>
      <c r="G8772" t="s">
        <v>30907</v>
      </c>
      <c r="H8772" t="s">
        <v>30915</v>
      </c>
      <c r="I8772" t="s">
        <v>30919</v>
      </c>
      <c r="J8772" t="s">
        <v>31049</v>
      </c>
      <c r="K8772" t="s">
        <v>40315</v>
      </c>
      <c r="M8772" t="s">
        <v>40586</v>
      </c>
      <c r="N8772" t="s">
        <v>44759</v>
      </c>
      <c r="O8772" t="s">
        <v>44760</v>
      </c>
      <c r="P8772">
        <v>0</v>
      </c>
      <c r="Q8772">
        <v>0</v>
      </c>
      <c r="R8772" t="s">
        <v>44768</v>
      </c>
      <c r="S8772" t="s">
        <v>44982</v>
      </c>
      <c r="T8772" t="s">
        <v>46591</v>
      </c>
      <c r="U8772" t="s">
        <v>54234</v>
      </c>
      <c r="W8772" t="s">
        <v>40586</v>
      </c>
      <c r="X8772" t="s">
        <v>44769</v>
      </c>
    </row>
    <row r="8773" spans="1:24">
      <c r="A8773">
        <f>HYPERLINK("https://www.philgeps.gov.ph/GEPSNONPILOT/Tender/SplashBidNoticeAbstractUI.aspx?menuIndex=3&amp;refID=7141095&amp;Result=3","7141095")</f>
        <v>0</v>
      </c>
      <c r="B8773" t="s">
        <v>2817</v>
      </c>
      <c r="C8773" t="s">
        <v>12067</v>
      </c>
      <c r="D8773" t="s">
        <v>17971</v>
      </c>
      <c r="E8773" t="s">
        <v>25692</v>
      </c>
      <c r="F8773" t="s">
        <v>30900</v>
      </c>
      <c r="G8773" t="s">
        <v>30907</v>
      </c>
      <c r="H8773" t="s">
        <v>30915</v>
      </c>
      <c r="I8773" t="s">
        <v>30922</v>
      </c>
      <c r="J8773" t="s">
        <v>36557</v>
      </c>
      <c r="K8773" t="s">
        <v>40287</v>
      </c>
      <c r="M8773" t="s">
        <v>43602</v>
      </c>
      <c r="N8773" t="s">
        <v>44759</v>
      </c>
      <c r="O8773" t="s">
        <v>44760</v>
      </c>
      <c r="P8773">
        <v>0</v>
      </c>
      <c r="Q8773">
        <v>1</v>
      </c>
      <c r="R8773" t="s">
        <v>44768</v>
      </c>
      <c r="S8773" t="s">
        <v>44982</v>
      </c>
      <c r="T8773" t="s">
        <v>46662</v>
      </c>
      <c r="U8773" t="s">
        <v>54182</v>
      </c>
      <c r="V8773" t="s">
        <v>60066</v>
      </c>
      <c r="W8773" t="s">
        <v>43602</v>
      </c>
      <c r="X8773" t="s">
        <v>44769</v>
      </c>
    </row>
    <row r="8774" spans="1:24">
      <c r="A8774">
        <f>HYPERLINK("https://www.philgeps.gov.ph/GEPSNONPILOT/Tender/SplashBidNoticeAbstractUI.aspx?menuIndex=3&amp;refID=7141093&amp;Result=3","7141093")</f>
        <v>0</v>
      </c>
      <c r="B8774" t="s">
        <v>2831</v>
      </c>
      <c r="C8774" t="s">
        <v>12068</v>
      </c>
      <c r="D8774" t="s">
        <v>17959</v>
      </c>
      <c r="E8774" t="s">
        <v>25693</v>
      </c>
      <c r="F8774" t="s">
        <v>30900</v>
      </c>
      <c r="G8774" t="s">
        <v>30908</v>
      </c>
      <c r="H8774" t="s">
        <v>30916</v>
      </c>
      <c r="I8774" t="s">
        <v>30924</v>
      </c>
      <c r="J8774" t="s">
        <v>31049</v>
      </c>
      <c r="K8774" t="s">
        <v>40332</v>
      </c>
      <c r="M8774" t="s">
        <v>43616</v>
      </c>
      <c r="N8774" t="s">
        <v>44759</v>
      </c>
      <c r="O8774" t="s">
        <v>44760</v>
      </c>
      <c r="Q8774">
        <v>9</v>
      </c>
      <c r="R8774" t="s">
        <v>44768</v>
      </c>
      <c r="S8774" t="s">
        <v>45018</v>
      </c>
      <c r="T8774" t="s">
        <v>46410</v>
      </c>
      <c r="U8774" t="s">
        <v>54235</v>
      </c>
      <c r="V8774" t="s">
        <v>60074</v>
      </c>
      <c r="W8774" t="s">
        <v>43616</v>
      </c>
      <c r="X8774" t="s">
        <v>44769</v>
      </c>
    </row>
    <row r="8775" spans="1:24">
      <c r="A8775">
        <f>HYPERLINK("https://www.philgeps.gov.ph/GEPSNONPILOT/Tender/SplashBidNoticeAbstractUI.aspx?menuIndex=3&amp;refID=7141091&amp;Result=3","7141091")</f>
        <v>0</v>
      </c>
      <c r="B8775" t="s">
        <v>1529</v>
      </c>
      <c r="C8775" t="s">
        <v>12069</v>
      </c>
      <c r="D8775" t="s">
        <v>18010</v>
      </c>
      <c r="E8775" t="s">
        <v>25694</v>
      </c>
      <c r="F8775" t="s">
        <v>30900</v>
      </c>
      <c r="G8775" t="s">
        <v>30907</v>
      </c>
      <c r="H8775" t="s">
        <v>30916</v>
      </c>
      <c r="I8775" t="s">
        <v>9385</v>
      </c>
      <c r="J8775" t="s">
        <v>36558</v>
      </c>
      <c r="K8775" t="s">
        <v>40286</v>
      </c>
      <c r="M8775" t="s">
        <v>42172</v>
      </c>
      <c r="N8775" t="s">
        <v>44759</v>
      </c>
      <c r="O8775" t="s">
        <v>44760</v>
      </c>
      <c r="P8775">
        <v>0</v>
      </c>
      <c r="Q8775">
        <v>7</v>
      </c>
      <c r="R8775" t="s">
        <v>44768</v>
      </c>
      <c r="S8775" t="s">
        <v>44982</v>
      </c>
      <c r="T8775" t="s">
        <v>46544</v>
      </c>
      <c r="U8775" t="s">
        <v>50151</v>
      </c>
      <c r="W8775" t="s">
        <v>60866</v>
      </c>
      <c r="X8775" t="s">
        <v>44769</v>
      </c>
    </row>
    <row r="8776" spans="1:24">
      <c r="A8776">
        <f>HYPERLINK("https://www.philgeps.gov.ph/GEPSNONPILOT/Tender/SplashBidNoticeAbstractUI.aspx?menuIndex=3&amp;refID=7141090&amp;Result=3","7141090")</f>
        <v>0</v>
      </c>
      <c r="B8776" t="s">
        <v>2832</v>
      </c>
      <c r="C8776" t="s">
        <v>12070</v>
      </c>
      <c r="D8776" t="s">
        <v>17969</v>
      </c>
      <c r="E8776" t="s">
        <v>25695</v>
      </c>
      <c r="F8776" t="s">
        <v>30900</v>
      </c>
      <c r="G8776" t="s">
        <v>30907</v>
      </c>
      <c r="H8776" t="s">
        <v>30915</v>
      </c>
      <c r="I8776" t="s">
        <v>30919</v>
      </c>
      <c r="J8776" t="s">
        <v>36559</v>
      </c>
      <c r="K8776" t="s">
        <v>40301</v>
      </c>
      <c r="M8776" t="s">
        <v>43617</v>
      </c>
      <c r="N8776" t="s">
        <v>44759</v>
      </c>
      <c r="O8776" t="s">
        <v>44760</v>
      </c>
      <c r="P8776">
        <v>0</v>
      </c>
      <c r="Q8776">
        <v>0</v>
      </c>
      <c r="R8776" t="s">
        <v>44768</v>
      </c>
      <c r="S8776" t="s">
        <v>44982</v>
      </c>
      <c r="T8776" t="s">
        <v>46595</v>
      </c>
      <c r="U8776" t="s">
        <v>54236</v>
      </c>
      <c r="W8776" t="s">
        <v>43617</v>
      </c>
      <c r="X8776" t="s">
        <v>44769</v>
      </c>
    </row>
    <row r="8777" spans="1:24">
      <c r="A8777">
        <f>HYPERLINK("https://www.philgeps.gov.ph/GEPSNONPILOT/Tender/SplashBidNoticeAbstractUI.aspx?menuIndex=3&amp;refID=7141084&amp;Result=3","7141084")</f>
        <v>0</v>
      </c>
      <c r="B8777" t="s">
        <v>2753</v>
      </c>
      <c r="C8777" t="s">
        <v>12071</v>
      </c>
      <c r="D8777" t="s">
        <v>18038</v>
      </c>
      <c r="E8777" t="s">
        <v>25696</v>
      </c>
      <c r="F8777" t="s">
        <v>30900</v>
      </c>
      <c r="G8777" t="s">
        <v>30907</v>
      </c>
      <c r="H8777" t="s">
        <v>30915</v>
      </c>
      <c r="I8777" t="s">
        <v>30919</v>
      </c>
      <c r="J8777" t="s">
        <v>33518</v>
      </c>
      <c r="K8777" t="s">
        <v>40342</v>
      </c>
      <c r="M8777" t="s">
        <v>43530</v>
      </c>
      <c r="N8777" t="s">
        <v>44759</v>
      </c>
      <c r="O8777" t="s">
        <v>44760</v>
      </c>
      <c r="P8777">
        <v>0</v>
      </c>
      <c r="Q8777">
        <v>1</v>
      </c>
      <c r="R8777" t="s">
        <v>44768</v>
      </c>
      <c r="S8777" t="s">
        <v>44982</v>
      </c>
      <c r="T8777" t="s">
        <v>46814</v>
      </c>
      <c r="U8777" t="s">
        <v>53950</v>
      </c>
      <c r="V8777" t="s">
        <v>60075</v>
      </c>
      <c r="W8777" t="s">
        <v>43530</v>
      </c>
      <c r="X8777" t="s">
        <v>44769</v>
      </c>
    </row>
    <row r="8778" spans="1:24">
      <c r="A8778">
        <f>HYPERLINK("https://www.philgeps.gov.ph/GEPSNONPILOT/Tender/SplashBidNoticeAbstractUI.aspx?menuIndex=3&amp;refID=7141132&amp;Result=3","7141132")</f>
        <v>0</v>
      </c>
      <c r="B8778" t="s">
        <v>1529</v>
      </c>
      <c r="C8778" t="s">
        <v>12072</v>
      </c>
      <c r="D8778" t="s">
        <v>18010</v>
      </c>
      <c r="E8778" t="s">
        <v>25697</v>
      </c>
      <c r="F8778" t="s">
        <v>30900</v>
      </c>
      <c r="G8778" t="s">
        <v>30907</v>
      </c>
      <c r="H8778" t="s">
        <v>30916</v>
      </c>
      <c r="I8778" t="s">
        <v>30923</v>
      </c>
      <c r="J8778" t="s">
        <v>36560</v>
      </c>
      <c r="K8778" t="s">
        <v>40286</v>
      </c>
      <c r="M8778" t="s">
        <v>42172</v>
      </c>
      <c r="N8778" t="s">
        <v>44759</v>
      </c>
      <c r="O8778" t="s">
        <v>44760</v>
      </c>
      <c r="P8778">
        <v>0</v>
      </c>
      <c r="Q8778">
        <v>6</v>
      </c>
      <c r="R8778" t="s">
        <v>44768</v>
      </c>
      <c r="S8778" t="s">
        <v>44982</v>
      </c>
      <c r="T8778" t="s">
        <v>46544</v>
      </c>
      <c r="U8778" t="s">
        <v>50151</v>
      </c>
      <c r="W8778" t="s">
        <v>60866</v>
      </c>
      <c r="X8778" t="s">
        <v>44769</v>
      </c>
    </row>
    <row r="8779" spans="1:24">
      <c r="A8779">
        <f>HYPERLINK("https://www.philgeps.gov.ph/GEPSNONPILOT/Tender/SplashBidNoticeAbstractUI.aspx?menuIndex=3&amp;refID=7141155&amp;Result=3","7141155")</f>
        <v>0</v>
      </c>
      <c r="B8779" t="s">
        <v>1285</v>
      </c>
      <c r="C8779" t="s">
        <v>12073</v>
      </c>
      <c r="D8779" t="s">
        <v>17958</v>
      </c>
      <c r="E8779" t="s">
        <v>25698</v>
      </c>
      <c r="F8779" t="s">
        <v>30900</v>
      </c>
      <c r="G8779" t="s">
        <v>30913</v>
      </c>
      <c r="H8779" t="s">
        <v>30916</v>
      </c>
      <c r="I8779" t="s">
        <v>4061</v>
      </c>
      <c r="J8779" t="s">
        <v>36561</v>
      </c>
      <c r="K8779" t="s">
        <v>40287</v>
      </c>
      <c r="M8779" t="s">
        <v>41902</v>
      </c>
      <c r="N8779" t="s">
        <v>44759</v>
      </c>
      <c r="O8779" t="s">
        <v>44760</v>
      </c>
      <c r="P8779">
        <v>0</v>
      </c>
      <c r="Q8779">
        <v>1</v>
      </c>
      <c r="R8779" t="s">
        <v>44768</v>
      </c>
      <c r="S8779" t="s">
        <v>44982</v>
      </c>
      <c r="T8779" t="s">
        <v>46455</v>
      </c>
      <c r="U8779" t="s">
        <v>54237</v>
      </c>
      <c r="V8779" t="s">
        <v>60076</v>
      </c>
      <c r="W8779" t="s">
        <v>41902</v>
      </c>
      <c r="X8779" t="s">
        <v>44769</v>
      </c>
    </row>
    <row r="8780" spans="1:24">
      <c r="A8780">
        <f>HYPERLINK("https://www.philgeps.gov.ph/GEPSNONPILOT/Tender/SplashBidNoticeAbstractUI.aspx?menuIndex=3&amp;refID=7141152&amp;Result=3","7141152")</f>
        <v>0</v>
      </c>
      <c r="B8780" t="s">
        <v>2833</v>
      </c>
      <c r="C8780" t="s">
        <v>12074</v>
      </c>
      <c r="D8780" t="s">
        <v>17963</v>
      </c>
      <c r="E8780" t="s">
        <v>25699</v>
      </c>
      <c r="F8780" t="s">
        <v>30900</v>
      </c>
      <c r="G8780" t="s">
        <v>30912</v>
      </c>
      <c r="H8780" t="s">
        <v>30916</v>
      </c>
      <c r="I8780" t="s">
        <v>30934</v>
      </c>
      <c r="J8780" t="s">
        <v>31495</v>
      </c>
      <c r="K8780" t="s">
        <v>40288</v>
      </c>
      <c r="M8780" t="s">
        <v>43618</v>
      </c>
      <c r="N8780" t="s">
        <v>44759</v>
      </c>
      <c r="O8780" t="s">
        <v>44760</v>
      </c>
      <c r="P8780">
        <v>0</v>
      </c>
      <c r="Q8780">
        <v>1</v>
      </c>
      <c r="R8780" t="s">
        <v>44768</v>
      </c>
      <c r="S8780" t="s">
        <v>44982</v>
      </c>
      <c r="T8780" t="s">
        <v>46439</v>
      </c>
      <c r="U8780" t="s">
        <v>54238</v>
      </c>
      <c r="W8780" t="s">
        <v>43618</v>
      </c>
      <c r="X8780" t="s">
        <v>44769</v>
      </c>
    </row>
    <row r="8781" spans="1:24">
      <c r="A8781">
        <f>HYPERLINK("https://www.philgeps.gov.ph/GEPSNONPILOT/Tender/SplashBidNoticeAbstractUI.aspx?menuIndex=3&amp;refID=7141186&amp;Result=3","7141186")</f>
        <v>0</v>
      </c>
      <c r="B8781" t="s">
        <v>2561</v>
      </c>
      <c r="C8781" t="s">
        <v>12075</v>
      </c>
      <c r="D8781" t="s">
        <v>17951</v>
      </c>
      <c r="E8781" t="s">
        <v>25700</v>
      </c>
      <c r="F8781" t="s">
        <v>30900</v>
      </c>
      <c r="G8781" t="s">
        <v>30908</v>
      </c>
      <c r="H8781" t="s">
        <v>30916</v>
      </c>
      <c r="I8781" t="s">
        <v>6953</v>
      </c>
      <c r="J8781" t="s">
        <v>31183</v>
      </c>
      <c r="K8781" t="s">
        <v>40286</v>
      </c>
      <c r="M8781" t="s">
        <v>43319</v>
      </c>
      <c r="N8781" t="s">
        <v>44759</v>
      </c>
      <c r="O8781" t="s">
        <v>44760</v>
      </c>
      <c r="P8781">
        <v>0</v>
      </c>
      <c r="Q8781">
        <v>0</v>
      </c>
      <c r="R8781" t="s">
        <v>44768</v>
      </c>
      <c r="S8781" t="s">
        <v>44982</v>
      </c>
      <c r="T8781" t="s">
        <v>46771</v>
      </c>
      <c r="U8781" t="s">
        <v>54230</v>
      </c>
      <c r="W8781" t="s">
        <v>43319</v>
      </c>
      <c r="X8781" t="s">
        <v>44769</v>
      </c>
    </row>
    <row r="8782" spans="1:24">
      <c r="A8782">
        <f>HYPERLINK("https://www.philgeps.gov.ph/GEPSNONPILOT/Tender/SplashBidNoticeAbstractUI.aspx?menuIndex=3&amp;refID=7141092&amp;Result=3","7141092")</f>
        <v>0</v>
      </c>
      <c r="B8782" t="s">
        <v>2813</v>
      </c>
      <c r="C8782" t="s">
        <v>12076</v>
      </c>
      <c r="D8782" t="s">
        <v>17987</v>
      </c>
      <c r="E8782" t="s">
        <v>25701</v>
      </c>
      <c r="F8782" t="s">
        <v>30900</v>
      </c>
      <c r="G8782" t="s">
        <v>30907</v>
      </c>
      <c r="H8782" t="s">
        <v>30915</v>
      </c>
      <c r="I8782" t="s">
        <v>30919</v>
      </c>
      <c r="J8782" t="s">
        <v>36562</v>
      </c>
      <c r="K8782" t="s">
        <v>40342</v>
      </c>
      <c r="M8782" t="s">
        <v>43598</v>
      </c>
      <c r="N8782" t="s">
        <v>44759</v>
      </c>
      <c r="O8782" t="s">
        <v>44760</v>
      </c>
      <c r="P8782">
        <v>0</v>
      </c>
      <c r="Q8782">
        <v>0</v>
      </c>
      <c r="R8782" t="s">
        <v>44768</v>
      </c>
      <c r="S8782" t="s">
        <v>44982</v>
      </c>
      <c r="T8782" t="s">
        <v>46606</v>
      </c>
      <c r="U8782" t="s">
        <v>54239</v>
      </c>
      <c r="W8782" t="s">
        <v>43598</v>
      </c>
      <c r="X8782" t="s">
        <v>44769</v>
      </c>
    </row>
    <row r="8783" spans="1:24">
      <c r="A8783">
        <f>HYPERLINK("https://www.philgeps.gov.ph/GEPSNONPILOT/Tender/SplashBidNoticeAbstractUI.aspx?menuIndex=3&amp;refID=7141174&amp;Result=3","7141174")</f>
        <v>0</v>
      </c>
      <c r="B8783" t="s">
        <v>965</v>
      </c>
      <c r="C8783" t="s">
        <v>12077</v>
      </c>
      <c r="D8783" t="s">
        <v>18010</v>
      </c>
      <c r="E8783" t="s">
        <v>24635</v>
      </c>
      <c r="F8783" t="s">
        <v>30900</v>
      </c>
      <c r="G8783" t="s">
        <v>30908</v>
      </c>
      <c r="H8783" t="s">
        <v>30916</v>
      </c>
      <c r="I8783" t="s">
        <v>6953</v>
      </c>
      <c r="J8783" t="s">
        <v>34743</v>
      </c>
      <c r="K8783" t="s">
        <v>40283</v>
      </c>
      <c r="M8783" t="s">
        <v>41552</v>
      </c>
      <c r="N8783" t="s">
        <v>44759</v>
      </c>
      <c r="O8783" t="s">
        <v>44760</v>
      </c>
      <c r="P8783">
        <v>0</v>
      </c>
      <c r="Q8783">
        <v>4</v>
      </c>
      <c r="R8783" t="s">
        <v>44768</v>
      </c>
      <c r="S8783" t="s">
        <v>44982</v>
      </c>
      <c r="T8783" t="s">
        <v>46581</v>
      </c>
      <c r="U8783" t="s">
        <v>54240</v>
      </c>
      <c r="V8783" t="s">
        <v>59800</v>
      </c>
      <c r="W8783" t="s">
        <v>41552</v>
      </c>
      <c r="X8783" t="s">
        <v>44769</v>
      </c>
    </row>
    <row r="8784" spans="1:24">
      <c r="A8784">
        <f>HYPERLINK("https://www.philgeps.gov.ph/GEPSNONPILOT/Tender/SplashBidNoticeAbstractUI.aspx?menuIndex=3&amp;refID=7141182&amp;Result=3","7141182")</f>
        <v>0</v>
      </c>
      <c r="B8784" t="s">
        <v>1459</v>
      </c>
      <c r="C8784" t="s">
        <v>12078</v>
      </c>
      <c r="D8784" t="s">
        <v>17975</v>
      </c>
      <c r="E8784" t="s">
        <v>20785</v>
      </c>
      <c r="F8784" t="s">
        <v>30900</v>
      </c>
      <c r="G8784" t="s">
        <v>30907</v>
      </c>
      <c r="H8784" t="s">
        <v>30916</v>
      </c>
      <c r="I8784" t="s">
        <v>30933</v>
      </c>
      <c r="J8784" t="s">
        <v>36563</v>
      </c>
      <c r="K8784" t="s">
        <v>40280</v>
      </c>
      <c r="L8784" t="s">
        <v>1459</v>
      </c>
      <c r="M8784" t="s">
        <v>42091</v>
      </c>
      <c r="N8784" t="s">
        <v>44759</v>
      </c>
      <c r="O8784" t="s">
        <v>44760</v>
      </c>
      <c r="P8784">
        <v>0</v>
      </c>
      <c r="Q8784">
        <v>3</v>
      </c>
      <c r="R8784" t="s">
        <v>44768</v>
      </c>
      <c r="S8784" t="s">
        <v>44982</v>
      </c>
      <c r="T8784" t="s">
        <v>46411</v>
      </c>
      <c r="U8784" t="s">
        <v>53229</v>
      </c>
      <c r="W8784" t="s">
        <v>42091</v>
      </c>
      <c r="X8784" t="s">
        <v>44769</v>
      </c>
    </row>
    <row r="8785" spans="1:24">
      <c r="A8785">
        <f>HYPERLINK("https://www.philgeps.gov.ph/GEPSNONPILOT/Tender/SplashBidNoticeAbstractUI.aspx?menuIndex=3&amp;refID=7141173&amp;Result=3","7141173")</f>
        <v>0</v>
      </c>
      <c r="B8785" t="s">
        <v>2819</v>
      </c>
      <c r="C8785" t="s">
        <v>12079</v>
      </c>
      <c r="E8785" t="s">
        <v>25702</v>
      </c>
      <c r="F8785" t="s">
        <v>30900</v>
      </c>
      <c r="G8785" t="s">
        <v>30907</v>
      </c>
      <c r="H8785" t="s">
        <v>30915</v>
      </c>
      <c r="I8785" t="s">
        <v>30919</v>
      </c>
      <c r="J8785" t="s">
        <v>36564</v>
      </c>
      <c r="K8785" t="s">
        <v>40289</v>
      </c>
      <c r="M8785" t="s">
        <v>43604</v>
      </c>
      <c r="N8785" t="s">
        <v>44759</v>
      </c>
      <c r="O8785" t="s">
        <v>44760</v>
      </c>
      <c r="P8785">
        <v>0</v>
      </c>
      <c r="Q8785">
        <v>0</v>
      </c>
      <c r="R8785" t="s">
        <v>44768</v>
      </c>
      <c r="S8785" t="s">
        <v>44982</v>
      </c>
      <c r="T8785" t="s">
        <v>46428</v>
      </c>
      <c r="U8785" t="s">
        <v>54241</v>
      </c>
      <c r="W8785" t="s">
        <v>43604</v>
      </c>
      <c r="X8785" t="s">
        <v>44769</v>
      </c>
    </row>
    <row r="8786" spans="1:24">
      <c r="A8786">
        <f>HYPERLINK("https://www.philgeps.gov.ph/GEPSNONPILOT/Tender/SplashBidNoticeAbstractUI.aspx?menuIndex=3&amp;refID=7141006&amp;Result=3","7141006")</f>
        <v>0</v>
      </c>
      <c r="B8786" t="s">
        <v>2827</v>
      </c>
      <c r="C8786" t="s">
        <v>12080</v>
      </c>
      <c r="E8786" t="s">
        <v>19464</v>
      </c>
      <c r="F8786" t="s">
        <v>30900</v>
      </c>
      <c r="G8786" t="s">
        <v>30907</v>
      </c>
      <c r="H8786" t="s">
        <v>30916</v>
      </c>
      <c r="I8786" t="s">
        <v>6396</v>
      </c>
      <c r="J8786" t="s">
        <v>36565</v>
      </c>
      <c r="K8786" t="s">
        <v>40289</v>
      </c>
      <c r="M8786" t="s">
        <v>43612</v>
      </c>
      <c r="N8786" t="s">
        <v>44759</v>
      </c>
      <c r="O8786" t="s">
        <v>44760</v>
      </c>
      <c r="P8786">
        <v>0</v>
      </c>
      <c r="Q8786">
        <v>1</v>
      </c>
      <c r="R8786" t="s">
        <v>44768</v>
      </c>
      <c r="S8786" t="s">
        <v>44982</v>
      </c>
      <c r="T8786" t="s">
        <v>46807</v>
      </c>
      <c r="U8786" t="s">
        <v>54242</v>
      </c>
      <c r="W8786" t="s">
        <v>43612</v>
      </c>
      <c r="X8786" t="s">
        <v>44769</v>
      </c>
    </row>
    <row r="8787" spans="1:24">
      <c r="A8787">
        <f>HYPERLINK("https://www.philgeps.gov.ph/GEPSNONPILOT/Tender/SplashBidNoticeAbstractUI.aspx?menuIndex=3&amp;refID=7141177&amp;Result=3","7141177")</f>
        <v>0</v>
      </c>
      <c r="B8787" t="s">
        <v>34</v>
      </c>
      <c r="C8787" t="s">
        <v>12081</v>
      </c>
      <c r="D8787" t="s">
        <v>17961</v>
      </c>
      <c r="E8787" t="s">
        <v>25703</v>
      </c>
      <c r="F8787" t="s">
        <v>30900</v>
      </c>
      <c r="G8787" t="s">
        <v>30908</v>
      </c>
      <c r="H8787" t="s">
        <v>30916</v>
      </c>
      <c r="I8787" t="s">
        <v>10879</v>
      </c>
      <c r="J8787" t="s">
        <v>31443</v>
      </c>
      <c r="K8787" t="s">
        <v>40284</v>
      </c>
      <c r="M8787" t="s">
        <v>40580</v>
      </c>
      <c r="N8787" t="s">
        <v>44759</v>
      </c>
      <c r="O8787" t="s">
        <v>44760</v>
      </c>
      <c r="P8787">
        <v>0</v>
      </c>
      <c r="Q8787">
        <v>3</v>
      </c>
      <c r="R8787" t="s">
        <v>44768</v>
      </c>
      <c r="S8787" t="s">
        <v>44982</v>
      </c>
      <c r="T8787" t="s">
        <v>46771</v>
      </c>
      <c r="U8787" t="s">
        <v>47814</v>
      </c>
      <c r="V8787" t="s">
        <v>59234</v>
      </c>
      <c r="W8787" t="s">
        <v>40580</v>
      </c>
      <c r="X8787" t="s">
        <v>44769</v>
      </c>
    </row>
    <row r="8788" spans="1:24">
      <c r="A8788">
        <f>HYPERLINK("https://www.philgeps.gov.ph/GEPSNONPILOT/Tender/SplashBidNoticeAbstractUI.aspx?menuIndex=3&amp;refID=7141163&amp;Result=3","7141163")</f>
        <v>0</v>
      </c>
      <c r="B8788" t="s">
        <v>419</v>
      </c>
      <c r="C8788" t="s">
        <v>12082</v>
      </c>
      <c r="D8788" t="s">
        <v>18012</v>
      </c>
      <c r="E8788" t="s">
        <v>25704</v>
      </c>
      <c r="F8788" t="s">
        <v>30900</v>
      </c>
      <c r="G8788" t="s">
        <v>30907</v>
      </c>
      <c r="H8788" t="s">
        <v>30916</v>
      </c>
      <c r="I8788" t="s">
        <v>4108</v>
      </c>
      <c r="J8788" t="s">
        <v>36566</v>
      </c>
      <c r="K8788" t="s">
        <v>40284</v>
      </c>
      <c r="M8788" t="s">
        <v>40975</v>
      </c>
      <c r="N8788" t="s">
        <v>44759</v>
      </c>
      <c r="O8788" t="s">
        <v>44760</v>
      </c>
      <c r="P8788">
        <v>0</v>
      </c>
      <c r="Q8788">
        <v>1</v>
      </c>
      <c r="R8788" t="s">
        <v>44768</v>
      </c>
      <c r="S8788" t="s">
        <v>44982</v>
      </c>
      <c r="T8788" t="s">
        <v>46662</v>
      </c>
      <c r="U8788" t="s">
        <v>54243</v>
      </c>
      <c r="V8788" t="s">
        <v>59206</v>
      </c>
      <c r="W8788" t="s">
        <v>40975</v>
      </c>
      <c r="X8788" t="s">
        <v>44769</v>
      </c>
    </row>
    <row r="8789" spans="1:24">
      <c r="A8789">
        <f>HYPERLINK("https://www.philgeps.gov.ph/GEPSNONPILOT/Tender/SplashBidNoticeAbstractUI.aspx?menuIndex=3&amp;refID=7141099&amp;Result=3","7141099")</f>
        <v>0</v>
      </c>
      <c r="B8789" t="s">
        <v>629</v>
      </c>
      <c r="C8789" t="s">
        <v>12083</v>
      </c>
      <c r="D8789" t="s">
        <v>17992</v>
      </c>
      <c r="E8789" t="s">
        <v>25705</v>
      </c>
      <c r="F8789" t="s">
        <v>30900</v>
      </c>
      <c r="G8789" t="s">
        <v>30907</v>
      </c>
      <c r="H8789" t="s">
        <v>30916</v>
      </c>
      <c r="I8789" t="s">
        <v>30933</v>
      </c>
      <c r="J8789" t="s">
        <v>31297</v>
      </c>
      <c r="K8789" t="s">
        <v>40286</v>
      </c>
      <c r="M8789" t="s">
        <v>41485</v>
      </c>
      <c r="N8789" t="s">
        <v>44759</v>
      </c>
      <c r="O8789" t="s">
        <v>44760</v>
      </c>
      <c r="P8789">
        <v>0</v>
      </c>
      <c r="Q8789">
        <v>4</v>
      </c>
      <c r="R8789" t="s">
        <v>44768</v>
      </c>
      <c r="S8789" t="s">
        <v>44982</v>
      </c>
      <c r="T8789" t="s">
        <v>46814</v>
      </c>
      <c r="U8789" t="s">
        <v>54209</v>
      </c>
      <c r="W8789" t="s">
        <v>41485</v>
      </c>
      <c r="X8789" t="s">
        <v>44769</v>
      </c>
    </row>
    <row r="8790" spans="1:24">
      <c r="A8790">
        <f>HYPERLINK("https://www.philgeps.gov.ph/GEPSNONPILOT/Tender/SplashBidNoticeAbstractUI.aspx?menuIndex=3&amp;refID=7141157&amp;Result=3","7141157")</f>
        <v>0</v>
      </c>
      <c r="B8790" t="s">
        <v>2036</v>
      </c>
      <c r="C8790" t="s">
        <v>12084</v>
      </c>
      <c r="D8790" t="s">
        <v>17959</v>
      </c>
      <c r="E8790" t="s">
        <v>25706</v>
      </c>
      <c r="F8790" t="s">
        <v>30900</v>
      </c>
      <c r="G8790" t="s">
        <v>30913</v>
      </c>
      <c r="H8790" t="s">
        <v>30916</v>
      </c>
      <c r="I8790" t="s">
        <v>4545</v>
      </c>
      <c r="J8790" t="s">
        <v>31124</v>
      </c>
      <c r="K8790" t="s">
        <v>40293</v>
      </c>
      <c r="M8790" t="s">
        <v>43430</v>
      </c>
      <c r="N8790" t="s">
        <v>44759</v>
      </c>
      <c r="O8790" t="s">
        <v>44760</v>
      </c>
      <c r="P8790">
        <v>0</v>
      </c>
      <c r="Q8790">
        <v>4</v>
      </c>
      <c r="R8790" t="s">
        <v>44768</v>
      </c>
      <c r="S8790" t="s">
        <v>44982</v>
      </c>
      <c r="T8790" t="s">
        <v>46550</v>
      </c>
      <c r="U8790" t="s">
        <v>53635</v>
      </c>
      <c r="W8790" t="s">
        <v>43430</v>
      </c>
      <c r="X8790" t="s">
        <v>44769</v>
      </c>
    </row>
    <row r="8791" spans="1:24">
      <c r="A8791">
        <f>HYPERLINK("https://www.philgeps.gov.ph/GEPSNONPILOT/Tender/SplashBidNoticeAbstractUI.aspx?menuIndex=3&amp;refID=7141151&amp;Result=3","7141151")</f>
        <v>0</v>
      </c>
      <c r="B8791" t="s">
        <v>2834</v>
      </c>
      <c r="C8791" t="s">
        <v>9393</v>
      </c>
      <c r="D8791" t="s">
        <v>18007</v>
      </c>
      <c r="E8791" t="s">
        <v>25707</v>
      </c>
      <c r="F8791" t="s">
        <v>30900</v>
      </c>
      <c r="G8791" t="s">
        <v>30907</v>
      </c>
      <c r="H8791" t="s">
        <v>30916</v>
      </c>
      <c r="I8791" t="s">
        <v>30923</v>
      </c>
      <c r="J8791" t="s">
        <v>36567</v>
      </c>
      <c r="K8791" t="s">
        <v>40286</v>
      </c>
      <c r="M8791" t="s">
        <v>43619</v>
      </c>
      <c r="N8791" t="s">
        <v>44759</v>
      </c>
      <c r="O8791" t="s">
        <v>44760</v>
      </c>
      <c r="P8791">
        <v>0</v>
      </c>
      <c r="Q8791">
        <v>0</v>
      </c>
      <c r="R8791" t="s">
        <v>44768</v>
      </c>
      <c r="S8791" t="s">
        <v>44982</v>
      </c>
      <c r="T8791" t="s">
        <v>46797</v>
      </c>
      <c r="U8791" t="s">
        <v>54244</v>
      </c>
      <c r="W8791" t="s">
        <v>43619</v>
      </c>
      <c r="X8791" t="s">
        <v>44769</v>
      </c>
    </row>
    <row r="8792" spans="1:24">
      <c r="A8792">
        <f>HYPERLINK("https://www.philgeps.gov.ph/GEPSNONPILOT/Tender/SplashBidNoticeAbstractUI.aspx?menuIndex=3&amp;refID=7141147&amp;Result=3","7141147")</f>
        <v>0</v>
      </c>
      <c r="B8792" t="s">
        <v>2835</v>
      </c>
      <c r="C8792" t="s">
        <v>12085</v>
      </c>
      <c r="D8792" t="s">
        <v>17968</v>
      </c>
      <c r="E8792" t="s">
        <v>25708</v>
      </c>
      <c r="F8792" t="s">
        <v>30900</v>
      </c>
      <c r="G8792" t="s">
        <v>30907</v>
      </c>
      <c r="H8792" t="s">
        <v>30916</v>
      </c>
      <c r="I8792" t="s">
        <v>8123</v>
      </c>
      <c r="J8792" t="s">
        <v>36568</v>
      </c>
      <c r="K8792" t="s">
        <v>40289</v>
      </c>
      <c r="M8792" t="s">
        <v>43620</v>
      </c>
      <c r="N8792" t="s">
        <v>44759</v>
      </c>
      <c r="O8792" t="s">
        <v>44760</v>
      </c>
      <c r="P8792">
        <v>0</v>
      </c>
      <c r="Q8792">
        <v>1</v>
      </c>
      <c r="R8792" t="s">
        <v>44768</v>
      </c>
      <c r="S8792" t="s">
        <v>44982</v>
      </c>
      <c r="T8792" t="s">
        <v>46441</v>
      </c>
      <c r="U8792" t="s">
        <v>54245</v>
      </c>
      <c r="W8792" t="s">
        <v>43620</v>
      </c>
      <c r="X8792" t="s">
        <v>44769</v>
      </c>
    </row>
    <row r="8793" spans="1:24">
      <c r="A8793">
        <f>HYPERLINK("https://www.philgeps.gov.ph/GEPSNONPILOT/Tender/SplashBidNoticeAbstractUI.aspx?menuIndex=3&amp;refID=7141228&amp;Result=3","7141228")</f>
        <v>0</v>
      </c>
      <c r="B8793" t="s">
        <v>1459</v>
      </c>
      <c r="C8793" t="s">
        <v>12086</v>
      </c>
      <c r="D8793" t="s">
        <v>17975</v>
      </c>
      <c r="E8793" t="s">
        <v>25709</v>
      </c>
      <c r="F8793" t="s">
        <v>30900</v>
      </c>
      <c r="G8793" t="s">
        <v>30907</v>
      </c>
      <c r="H8793" t="s">
        <v>30916</v>
      </c>
      <c r="I8793" t="s">
        <v>30933</v>
      </c>
      <c r="J8793" t="s">
        <v>36569</v>
      </c>
      <c r="K8793" t="s">
        <v>40280</v>
      </c>
      <c r="L8793" t="s">
        <v>1459</v>
      </c>
      <c r="M8793" t="s">
        <v>42091</v>
      </c>
      <c r="N8793" t="s">
        <v>44759</v>
      </c>
      <c r="O8793" t="s">
        <v>44760</v>
      </c>
      <c r="P8793">
        <v>0</v>
      </c>
      <c r="Q8793">
        <v>2</v>
      </c>
      <c r="R8793" t="s">
        <v>44768</v>
      </c>
      <c r="S8793" t="s">
        <v>44982</v>
      </c>
      <c r="T8793" t="s">
        <v>46411</v>
      </c>
      <c r="U8793" t="s">
        <v>53229</v>
      </c>
      <c r="W8793" t="s">
        <v>42091</v>
      </c>
      <c r="X8793" t="s">
        <v>44769</v>
      </c>
    </row>
    <row r="8794" spans="1:24">
      <c r="A8794">
        <f>HYPERLINK("https://www.philgeps.gov.ph/GEPSNONPILOT/Tender/SplashBidNoticeAbstractUI.aspx?menuIndex=3&amp;refID=7141164&amp;Result=3","7141164")</f>
        <v>0</v>
      </c>
      <c r="B8794" t="s">
        <v>2187</v>
      </c>
      <c r="C8794" t="s">
        <v>12087</v>
      </c>
      <c r="D8794" t="s">
        <v>17955</v>
      </c>
      <c r="E8794" t="s">
        <v>19823</v>
      </c>
      <c r="F8794" t="s">
        <v>30900</v>
      </c>
      <c r="G8794" t="s">
        <v>30907</v>
      </c>
      <c r="H8794" t="s">
        <v>30915</v>
      </c>
      <c r="I8794" t="s">
        <v>30919</v>
      </c>
      <c r="J8794" t="s">
        <v>36570</v>
      </c>
      <c r="K8794" t="s">
        <v>40289</v>
      </c>
      <c r="M8794" t="s">
        <v>42894</v>
      </c>
      <c r="N8794" t="s">
        <v>44759</v>
      </c>
      <c r="O8794" t="s">
        <v>44760</v>
      </c>
      <c r="P8794">
        <v>0</v>
      </c>
      <c r="Q8794">
        <v>0</v>
      </c>
      <c r="R8794" t="s">
        <v>44768</v>
      </c>
      <c r="S8794" t="s">
        <v>44982</v>
      </c>
      <c r="T8794" t="s">
        <v>46533</v>
      </c>
      <c r="U8794" t="s">
        <v>54246</v>
      </c>
      <c r="W8794" t="s">
        <v>42894</v>
      </c>
      <c r="X8794" t="s">
        <v>44769</v>
      </c>
    </row>
    <row r="8795" spans="1:24">
      <c r="A8795">
        <f>HYPERLINK("https://www.philgeps.gov.ph/GEPSNONPILOT/Tender/SplashBidNoticeAbstractUI.aspx?menuIndex=3&amp;refID=7141255&amp;Result=3","7141255")</f>
        <v>0</v>
      </c>
      <c r="B8795" t="s">
        <v>2561</v>
      </c>
      <c r="C8795" t="s">
        <v>12088</v>
      </c>
      <c r="D8795" t="s">
        <v>17951</v>
      </c>
      <c r="E8795" t="s">
        <v>25710</v>
      </c>
      <c r="F8795" t="s">
        <v>30900</v>
      </c>
      <c r="G8795" t="s">
        <v>30908</v>
      </c>
      <c r="H8795" t="s">
        <v>30916</v>
      </c>
      <c r="I8795" t="s">
        <v>30939</v>
      </c>
      <c r="J8795" t="s">
        <v>31951</v>
      </c>
      <c r="K8795" t="s">
        <v>40286</v>
      </c>
      <c r="M8795" t="s">
        <v>43319</v>
      </c>
      <c r="N8795" t="s">
        <v>44759</v>
      </c>
      <c r="O8795" t="s">
        <v>44760</v>
      </c>
      <c r="P8795">
        <v>0</v>
      </c>
      <c r="Q8795">
        <v>0</v>
      </c>
      <c r="R8795" t="s">
        <v>44768</v>
      </c>
      <c r="S8795" t="s">
        <v>44982</v>
      </c>
      <c r="T8795" t="s">
        <v>46771</v>
      </c>
      <c r="U8795" t="s">
        <v>54230</v>
      </c>
      <c r="W8795" t="s">
        <v>43319</v>
      </c>
      <c r="X8795" t="s">
        <v>44769</v>
      </c>
    </row>
    <row r="8796" spans="1:24">
      <c r="A8796">
        <f>HYPERLINK("https://www.philgeps.gov.ph/GEPSNONPILOT/Tender/SplashBidNoticeAbstractUI.aspx?menuIndex=3&amp;refID=7141251&amp;Result=3","7141251")</f>
        <v>0</v>
      </c>
      <c r="B8796" t="s">
        <v>1167</v>
      </c>
      <c r="C8796" t="s">
        <v>12089</v>
      </c>
      <c r="D8796" t="s">
        <v>17952</v>
      </c>
      <c r="E8796" t="s">
        <v>25711</v>
      </c>
      <c r="F8796" t="s">
        <v>30900</v>
      </c>
      <c r="G8796" t="s">
        <v>30907</v>
      </c>
      <c r="H8796" t="s">
        <v>30916</v>
      </c>
      <c r="I8796" t="s">
        <v>30921</v>
      </c>
      <c r="J8796" t="s">
        <v>36571</v>
      </c>
      <c r="K8796" t="s">
        <v>40286</v>
      </c>
      <c r="M8796" t="s">
        <v>41774</v>
      </c>
      <c r="N8796" t="s">
        <v>44759</v>
      </c>
      <c r="O8796" t="s">
        <v>44760</v>
      </c>
      <c r="P8796">
        <v>0</v>
      </c>
      <c r="Q8796">
        <v>10</v>
      </c>
      <c r="R8796" t="s">
        <v>44768</v>
      </c>
      <c r="S8796" t="s">
        <v>44982</v>
      </c>
      <c r="T8796" t="s">
        <v>46370</v>
      </c>
      <c r="U8796" t="s">
        <v>54247</v>
      </c>
      <c r="W8796" t="s">
        <v>41774</v>
      </c>
      <c r="X8796" t="s">
        <v>44769</v>
      </c>
    </row>
    <row r="8797" spans="1:24">
      <c r="A8797">
        <f>HYPERLINK("https://www.philgeps.gov.ph/GEPSNONPILOT/Tender/SplashBidNoticeAbstractUI.aspx?menuIndex=3&amp;refID=7141250&amp;Result=3","7141250")</f>
        <v>0</v>
      </c>
      <c r="B8797" t="s">
        <v>2478</v>
      </c>
      <c r="C8797" t="s">
        <v>12090</v>
      </c>
      <c r="D8797" t="s">
        <v>17958</v>
      </c>
      <c r="E8797" t="s">
        <v>25712</v>
      </c>
      <c r="F8797" t="s">
        <v>30900</v>
      </c>
      <c r="G8797" t="s">
        <v>30907</v>
      </c>
      <c r="H8797" t="s">
        <v>30916</v>
      </c>
      <c r="I8797" t="s">
        <v>30932</v>
      </c>
      <c r="J8797" t="s">
        <v>31374</v>
      </c>
      <c r="K8797" t="s">
        <v>40283</v>
      </c>
      <c r="M8797" t="s">
        <v>43217</v>
      </c>
      <c r="N8797" t="s">
        <v>44759</v>
      </c>
      <c r="O8797" t="s">
        <v>44760</v>
      </c>
      <c r="P8797">
        <v>0</v>
      </c>
      <c r="Q8797">
        <v>5</v>
      </c>
      <c r="R8797" t="s">
        <v>44768</v>
      </c>
      <c r="S8797" t="s">
        <v>44982</v>
      </c>
      <c r="T8797" t="s">
        <v>46606</v>
      </c>
      <c r="U8797" t="s">
        <v>54248</v>
      </c>
      <c r="W8797" t="s">
        <v>43217</v>
      </c>
      <c r="X8797" t="s">
        <v>44769</v>
      </c>
    </row>
    <row r="8798" spans="1:24">
      <c r="A8798">
        <f>HYPERLINK("https://www.philgeps.gov.ph/GEPSNONPILOT/Tender/SplashBidNoticeAbstractUI.aspx?menuIndex=3&amp;refID=7141245&amp;Result=3","7141245")</f>
        <v>0</v>
      </c>
      <c r="B8798" t="s">
        <v>2836</v>
      </c>
      <c r="C8798" t="s">
        <v>12091</v>
      </c>
      <c r="D8798" t="s">
        <v>17973</v>
      </c>
      <c r="E8798" t="s">
        <v>25713</v>
      </c>
      <c r="F8798" t="s">
        <v>30900</v>
      </c>
      <c r="G8798" t="s">
        <v>30907</v>
      </c>
      <c r="H8798" t="s">
        <v>30915</v>
      </c>
      <c r="I8798" t="s">
        <v>30919</v>
      </c>
      <c r="J8798" t="s">
        <v>31341</v>
      </c>
      <c r="K8798" t="s">
        <v>40280</v>
      </c>
      <c r="L8798" t="s">
        <v>2836</v>
      </c>
      <c r="M8798" t="s">
        <v>43621</v>
      </c>
      <c r="N8798" t="s">
        <v>44759</v>
      </c>
      <c r="O8798" t="s">
        <v>44760</v>
      </c>
      <c r="P8798">
        <v>0</v>
      </c>
      <c r="Q8798">
        <v>0</v>
      </c>
      <c r="R8798" t="s">
        <v>44768</v>
      </c>
      <c r="S8798" t="s">
        <v>44982</v>
      </c>
      <c r="T8798" t="s">
        <v>46595</v>
      </c>
      <c r="U8798" t="s">
        <v>54249</v>
      </c>
      <c r="W8798" t="s">
        <v>43621</v>
      </c>
      <c r="X8798" t="s">
        <v>44769</v>
      </c>
    </row>
    <row r="8799" spans="1:24">
      <c r="A8799">
        <f>HYPERLINK("https://www.philgeps.gov.ph/GEPSNONPILOT/Tender/SplashBidNoticeAbstractUI.aspx?menuIndex=3&amp;refID=7141242&amp;Result=3","7141242")</f>
        <v>0</v>
      </c>
      <c r="B8799" t="s">
        <v>812</v>
      </c>
      <c r="C8799" t="s">
        <v>12092</v>
      </c>
      <c r="D8799" t="s">
        <v>18028</v>
      </c>
      <c r="E8799" t="s">
        <v>25714</v>
      </c>
      <c r="F8799" t="s">
        <v>30900</v>
      </c>
      <c r="G8799" t="s">
        <v>30907</v>
      </c>
      <c r="H8799" t="s">
        <v>30915</v>
      </c>
      <c r="I8799" t="s">
        <v>30919</v>
      </c>
      <c r="J8799" t="s">
        <v>36572</v>
      </c>
      <c r="K8799" t="s">
        <v>40463</v>
      </c>
      <c r="M8799" t="s">
        <v>41383</v>
      </c>
      <c r="N8799" t="s">
        <v>44759</v>
      </c>
      <c r="O8799" t="s">
        <v>44760</v>
      </c>
      <c r="P8799">
        <v>0</v>
      </c>
      <c r="Q8799">
        <v>1</v>
      </c>
      <c r="R8799" t="s">
        <v>44768</v>
      </c>
      <c r="S8799" t="s">
        <v>44982</v>
      </c>
      <c r="T8799" t="s">
        <v>46606</v>
      </c>
      <c r="U8799" t="s">
        <v>54250</v>
      </c>
      <c r="W8799" t="s">
        <v>41383</v>
      </c>
      <c r="X8799" t="s">
        <v>44769</v>
      </c>
    </row>
    <row r="8800" spans="1:24">
      <c r="A8800">
        <f>HYPERLINK("https://www.philgeps.gov.ph/GEPSNONPILOT/Tender/SplashBidNoticeAbstractUI.aspx?menuIndex=3&amp;refID=7141236&amp;Result=3","7141236")</f>
        <v>0</v>
      </c>
      <c r="B8800" t="s">
        <v>1937</v>
      </c>
      <c r="C8800" t="s">
        <v>12093</v>
      </c>
      <c r="D8800" t="s">
        <v>17961</v>
      </c>
      <c r="E8800" t="s">
        <v>19057</v>
      </c>
      <c r="F8800" t="s">
        <v>30900</v>
      </c>
      <c r="G8800" t="s">
        <v>30907</v>
      </c>
      <c r="H8800" t="s">
        <v>30916</v>
      </c>
      <c r="I8800" t="s">
        <v>30947</v>
      </c>
      <c r="J8800" t="s">
        <v>32176</v>
      </c>
      <c r="K8800" t="s">
        <v>40283</v>
      </c>
      <c r="M8800" t="s">
        <v>42618</v>
      </c>
      <c r="N8800" t="s">
        <v>44759</v>
      </c>
      <c r="O8800" t="s">
        <v>44760</v>
      </c>
      <c r="P8800">
        <v>0</v>
      </c>
      <c r="Q8800">
        <v>2</v>
      </c>
      <c r="R8800" t="s">
        <v>44768</v>
      </c>
      <c r="S8800" t="s">
        <v>44982</v>
      </c>
      <c r="T8800" t="s">
        <v>46351</v>
      </c>
      <c r="U8800" t="s">
        <v>54251</v>
      </c>
      <c r="W8800" t="s">
        <v>42618</v>
      </c>
      <c r="X8800" t="s">
        <v>44769</v>
      </c>
    </row>
    <row r="8801" spans="1:24">
      <c r="A8801">
        <f>HYPERLINK("https://www.philgeps.gov.ph/GEPSNONPILOT/Tender/SplashBidNoticeAbstractUI.aspx?menuIndex=3&amp;refID=7141227&amp;Result=3","7141227")</f>
        <v>0</v>
      </c>
      <c r="B8801" t="s">
        <v>2837</v>
      </c>
      <c r="C8801" t="s">
        <v>12094</v>
      </c>
      <c r="D8801" t="s">
        <v>17952</v>
      </c>
      <c r="E8801" t="s">
        <v>25405</v>
      </c>
      <c r="F8801" t="s">
        <v>30904</v>
      </c>
      <c r="G8801" t="s">
        <v>30907</v>
      </c>
      <c r="H8801" t="s">
        <v>30915</v>
      </c>
      <c r="I8801" t="s">
        <v>30932</v>
      </c>
      <c r="J8801" t="s">
        <v>31443</v>
      </c>
      <c r="K8801" t="s">
        <v>40289</v>
      </c>
      <c r="M8801" t="s">
        <v>43622</v>
      </c>
      <c r="N8801" t="s">
        <v>44759</v>
      </c>
      <c r="O8801" t="s">
        <v>44760</v>
      </c>
      <c r="P8801">
        <v>0</v>
      </c>
      <c r="Q8801">
        <v>0</v>
      </c>
      <c r="R8801" t="s">
        <v>44768</v>
      </c>
      <c r="S8801" t="s">
        <v>44982</v>
      </c>
      <c r="T8801" t="s">
        <v>46515</v>
      </c>
      <c r="U8801" t="s">
        <v>54252</v>
      </c>
      <c r="V8801" t="s">
        <v>60077</v>
      </c>
      <c r="W8801" t="s">
        <v>43622</v>
      </c>
      <c r="X8801" t="s">
        <v>44769</v>
      </c>
    </row>
    <row r="8802" spans="1:24">
      <c r="A8802">
        <f>HYPERLINK("https://www.philgeps.gov.ph/GEPSNONPILOT/Tender/SplashBidNoticeAbstractUI.aspx?menuIndex=3&amp;refID=7141223&amp;Result=3","7141223")</f>
        <v>0</v>
      </c>
      <c r="B8802" t="s">
        <v>526</v>
      </c>
      <c r="C8802" t="s">
        <v>12095</v>
      </c>
      <c r="D8802" t="s">
        <v>17984</v>
      </c>
      <c r="E8802" t="s">
        <v>25715</v>
      </c>
      <c r="F8802" t="s">
        <v>30900</v>
      </c>
      <c r="G8802" t="s">
        <v>30907</v>
      </c>
      <c r="H8802" t="s">
        <v>30916</v>
      </c>
      <c r="I8802" t="s">
        <v>6834</v>
      </c>
      <c r="J8802" t="s">
        <v>36573</v>
      </c>
      <c r="K8802" t="s">
        <v>40286</v>
      </c>
      <c r="M8802" t="s">
        <v>41086</v>
      </c>
      <c r="N8802" t="s">
        <v>44759</v>
      </c>
      <c r="O8802" t="s">
        <v>44760</v>
      </c>
      <c r="P8802">
        <v>0</v>
      </c>
      <c r="Q8802">
        <v>0</v>
      </c>
      <c r="R8802" t="s">
        <v>44768</v>
      </c>
      <c r="S8802" t="s">
        <v>44982</v>
      </c>
      <c r="T8802" t="s">
        <v>46544</v>
      </c>
      <c r="U8802" t="s">
        <v>54253</v>
      </c>
      <c r="W8802" t="s">
        <v>41086</v>
      </c>
      <c r="X8802" t="s">
        <v>44769</v>
      </c>
    </row>
    <row r="8803" spans="1:24">
      <c r="A8803">
        <f>HYPERLINK("https://www.philgeps.gov.ph/GEPSNONPILOT/Tender/SplashBidNoticeAbstractUI.aspx?menuIndex=3&amp;refID=7141102&amp;Result=3","7141102")</f>
        <v>0</v>
      </c>
      <c r="B8803" t="s">
        <v>2838</v>
      </c>
      <c r="C8803" t="s">
        <v>12096</v>
      </c>
      <c r="D8803" t="s">
        <v>17959</v>
      </c>
      <c r="E8803" t="s">
        <v>23433</v>
      </c>
      <c r="F8803" t="s">
        <v>30900</v>
      </c>
      <c r="G8803" t="s">
        <v>30907</v>
      </c>
      <c r="H8803" t="s">
        <v>30916</v>
      </c>
      <c r="I8803" t="s">
        <v>4545</v>
      </c>
      <c r="J8803" t="s">
        <v>36574</v>
      </c>
      <c r="K8803" t="s">
        <v>40284</v>
      </c>
      <c r="M8803" t="s">
        <v>43623</v>
      </c>
      <c r="N8803" t="s">
        <v>44759</v>
      </c>
      <c r="O8803" t="s">
        <v>44760</v>
      </c>
      <c r="P8803">
        <v>0</v>
      </c>
      <c r="Q8803">
        <v>6</v>
      </c>
      <c r="R8803" t="s">
        <v>44768</v>
      </c>
      <c r="S8803" t="s">
        <v>44982</v>
      </c>
      <c r="T8803" t="s">
        <v>46662</v>
      </c>
      <c r="U8803" t="s">
        <v>54254</v>
      </c>
      <c r="W8803" t="s">
        <v>43623</v>
      </c>
      <c r="X8803" t="s">
        <v>44769</v>
      </c>
    </row>
    <row r="8804" spans="1:24">
      <c r="A8804">
        <f>HYPERLINK("https://www.philgeps.gov.ph/GEPSNONPILOT/Tender/SplashBidNoticeAbstractUI.aspx?menuIndex=3&amp;refID=7141214&amp;Result=3","7141214")</f>
        <v>0</v>
      </c>
      <c r="B8804" t="s">
        <v>2006</v>
      </c>
      <c r="C8804" t="s">
        <v>12097</v>
      </c>
      <c r="D8804" t="s">
        <v>17980</v>
      </c>
      <c r="E8804" t="s">
        <v>25716</v>
      </c>
      <c r="F8804" t="s">
        <v>30900</v>
      </c>
      <c r="G8804" t="s">
        <v>30908</v>
      </c>
      <c r="H8804" t="s">
        <v>30916</v>
      </c>
      <c r="I8804" t="s">
        <v>4545</v>
      </c>
      <c r="J8804" t="s">
        <v>35065</v>
      </c>
      <c r="K8804" t="s">
        <v>40287</v>
      </c>
      <c r="M8804" t="s">
        <v>42700</v>
      </c>
      <c r="N8804" t="s">
        <v>44759</v>
      </c>
      <c r="O8804" t="s">
        <v>44760</v>
      </c>
      <c r="P8804">
        <v>0</v>
      </c>
      <c r="Q8804">
        <v>2</v>
      </c>
      <c r="R8804" t="s">
        <v>44768</v>
      </c>
      <c r="S8804" t="s">
        <v>44982</v>
      </c>
      <c r="T8804" t="s">
        <v>46383</v>
      </c>
      <c r="U8804" t="s">
        <v>54255</v>
      </c>
      <c r="W8804" t="s">
        <v>42700</v>
      </c>
      <c r="X8804" t="s">
        <v>44769</v>
      </c>
    </row>
    <row r="8805" spans="1:24">
      <c r="A8805">
        <f>HYPERLINK("https://www.philgeps.gov.ph/GEPSNONPILOT/Tender/SplashBidNoticeAbstractUI.aspx?menuIndex=3&amp;refID=7141161&amp;Result=3","7141161")</f>
        <v>0</v>
      </c>
      <c r="B8805" t="s">
        <v>2839</v>
      </c>
      <c r="C8805" t="s">
        <v>12098</v>
      </c>
      <c r="D8805" t="s">
        <v>17955</v>
      </c>
      <c r="E8805" t="s">
        <v>25717</v>
      </c>
      <c r="F8805" t="s">
        <v>30900</v>
      </c>
      <c r="G8805" t="s">
        <v>30907</v>
      </c>
      <c r="H8805" t="s">
        <v>30915</v>
      </c>
      <c r="I8805" t="s">
        <v>30919</v>
      </c>
      <c r="J8805" t="s">
        <v>36575</v>
      </c>
      <c r="K8805" t="s">
        <v>40280</v>
      </c>
      <c r="M8805" t="s">
        <v>43624</v>
      </c>
      <c r="N8805" t="s">
        <v>44759</v>
      </c>
      <c r="O8805" t="s">
        <v>44760</v>
      </c>
      <c r="P8805">
        <v>0</v>
      </c>
      <c r="Q8805">
        <v>0</v>
      </c>
      <c r="R8805" t="s">
        <v>44768</v>
      </c>
      <c r="S8805" t="s">
        <v>44982</v>
      </c>
      <c r="T8805" t="s">
        <v>46376</v>
      </c>
      <c r="U8805" t="s">
        <v>54256</v>
      </c>
      <c r="W8805" t="s">
        <v>43624</v>
      </c>
      <c r="X8805" t="s">
        <v>44769</v>
      </c>
    </row>
    <row r="8806" spans="1:24">
      <c r="A8806">
        <f>HYPERLINK("https://www.philgeps.gov.ph/GEPSNONPILOT/Tender/SplashBidNoticeAbstractUI.aspx?menuIndex=3&amp;refID=7141074&amp;Result=3","7141074")</f>
        <v>0</v>
      </c>
      <c r="B8806" t="s">
        <v>2832</v>
      </c>
      <c r="C8806" t="s">
        <v>12099</v>
      </c>
      <c r="D8806" t="s">
        <v>17969</v>
      </c>
      <c r="E8806" t="s">
        <v>25718</v>
      </c>
      <c r="F8806" t="s">
        <v>30900</v>
      </c>
      <c r="G8806" t="s">
        <v>30907</v>
      </c>
      <c r="H8806" t="s">
        <v>30916</v>
      </c>
      <c r="I8806" t="s">
        <v>30940</v>
      </c>
      <c r="J8806" t="s">
        <v>31391</v>
      </c>
      <c r="K8806" t="s">
        <v>40286</v>
      </c>
      <c r="M8806" t="s">
        <v>43617</v>
      </c>
      <c r="N8806" t="s">
        <v>44759</v>
      </c>
      <c r="O8806" t="s">
        <v>44760</v>
      </c>
      <c r="P8806">
        <v>0</v>
      </c>
      <c r="Q8806">
        <v>1</v>
      </c>
      <c r="R8806" t="s">
        <v>44768</v>
      </c>
      <c r="S8806" t="s">
        <v>44982</v>
      </c>
      <c r="T8806" t="s">
        <v>46595</v>
      </c>
      <c r="U8806" t="s">
        <v>54257</v>
      </c>
      <c r="W8806" t="s">
        <v>43617</v>
      </c>
      <c r="X8806" t="s">
        <v>44769</v>
      </c>
    </row>
    <row r="8807" spans="1:24">
      <c r="A8807">
        <f>HYPERLINK("https://www.philgeps.gov.ph/GEPSNONPILOT/Tender/SplashBidNoticeAbstractUI.aspx?menuIndex=3&amp;refID=7141215&amp;Result=3","7141215")</f>
        <v>0</v>
      </c>
      <c r="B8807" t="s">
        <v>2561</v>
      </c>
      <c r="C8807" t="s">
        <v>12100</v>
      </c>
      <c r="D8807" t="s">
        <v>17951</v>
      </c>
      <c r="E8807" t="s">
        <v>25719</v>
      </c>
      <c r="F8807" t="s">
        <v>30900</v>
      </c>
      <c r="G8807" t="s">
        <v>30908</v>
      </c>
      <c r="H8807" t="s">
        <v>30916</v>
      </c>
      <c r="I8807" t="s">
        <v>8123</v>
      </c>
      <c r="J8807" t="s">
        <v>36576</v>
      </c>
      <c r="K8807" t="s">
        <v>40286</v>
      </c>
      <c r="M8807" t="s">
        <v>43319</v>
      </c>
      <c r="N8807" t="s">
        <v>44759</v>
      </c>
      <c r="O8807" t="s">
        <v>44760</v>
      </c>
      <c r="P8807">
        <v>0</v>
      </c>
      <c r="Q8807">
        <v>0</v>
      </c>
      <c r="R8807" t="s">
        <v>44768</v>
      </c>
      <c r="S8807" t="s">
        <v>44982</v>
      </c>
      <c r="T8807" t="s">
        <v>46771</v>
      </c>
      <c r="U8807" t="s">
        <v>54230</v>
      </c>
      <c r="W8807" t="s">
        <v>43319</v>
      </c>
      <c r="X8807" t="s">
        <v>44769</v>
      </c>
    </row>
    <row r="8808" spans="1:24">
      <c r="A8808">
        <f>HYPERLINK("https://www.philgeps.gov.ph/GEPSNONPILOT/Tender/SplashBidNoticeAbstractUI.aspx?menuIndex=3&amp;refID=7141208&amp;Result=3","7141208")</f>
        <v>0</v>
      </c>
      <c r="B8808" t="s">
        <v>2526</v>
      </c>
      <c r="C8808" t="s">
        <v>12101</v>
      </c>
      <c r="D8808" t="s">
        <v>17951</v>
      </c>
      <c r="E8808" t="s">
        <v>25720</v>
      </c>
      <c r="F8808" t="s">
        <v>30900</v>
      </c>
      <c r="G8808" t="s">
        <v>30907</v>
      </c>
      <c r="H8808" t="s">
        <v>30916</v>
      </c>
      <c r="I8808" t="s">
        <v>8123</v>
      </c>
      <c r="J8808" t="s">
        <v>36577</v>
      </c>
      <c r="K8808" t="s">
        <v>40314</v>
      </c>
      <c r="M8808" t="s">
        <v>43277</v>
      </c>
      <c r="N8808" t="s">
        <v>44759</v>
      </c>
      <c r="O8808" t="s">
        <v>44760</v>
      </c>
      <c r="P8808">
        <v>0</v>
      </c>
      <c r="Q8808">
        <v>0</v>
      </c>
      <c r="R8808" t="s">
        <v>44768</v>
      </c>
      <c r="S8808" t="s">
        <v>44982</v>
      </c>
      <c r="T8808" t="s">
        <v>46625</v>
      </c>
      <c r="U8808" t="s">
        <v>53151</v>
      </c>
      <c r="W8808" t="s">
        <v>43277</v>
      </c>
      <c r="X8808" t="s">
        <v>44769</v>
      </c>
    </row>
    <row r="8809" spans="1:24">
      <c r="A8809">
        <f>HYPERLINK("https://www.philgeps.gov.ph/GEPSNONPILOT/Tender/SplashBidNoticeAbstractUI.aspx?menuIndex=3&amp;refID=7141213&amp;Result=3","7141213")</f>
        <v>0</v>
      </c>
      <c r="B8809" t="s">
        <v>2145</v>
      </c>
      <c r="C8809" t="s">
        <v>12102</v>
      </c>
      <c r="D8809" t="s">
        <v>17973</v>
      </c>
      <c r="E8809" t="s">
        <v>25721</v>
      </c>
      <c r="F8809" t="s">
        <v>30900</v>
      </c>
      <c r="G8809" t="s">
        <v>30907</v>
      </c>
      <c r="H8809" t="s">
        <v>30916</v>
      </c>
      <c r="I8809" t="s">
        <v>30939</v>
      </c>
      <c r="J8809" t="s">
        <v>36578</v>
      </c>
      <c r="K8809" t="s">
        <v>40289</v>
      </c>
      <c r="M8809" t="s">
        <v>42848</v>
      </c>
      <c r="N8809" t="s">
        <v>44759</v>
      </c>
      <c r="O8809" t="s">
        <v>44760</v>
      </c>
      <c r="P8809">
        <v>0</v>
      </c>
      <c r="Q8809">
        <v>1</v>
      </c>
      <c r="R8809" t="s">
        <v>44768</v>
      </c>
      <c r="S8809" t="s">
        <v>44982</v>
      </c>
      <c r="T8809" t="s">
        <v>46689</v>
      </c>
      <c r="U8809" t="s">
        <v>54258</v>
      </c>
      <c r="W8809" t="s">
        <v>42848</v>
      </c>
      <c r="X8809" t="s">
        <v>44769</v>
      </c>
    </row>
    <row r="8810" spans="1:24">
      <c r="A8810">
        <f>HYPERLINK("https://www.philgeps.gov.ph/GEPSNONPILOT/Tender/SplashBidNoticeAbstractUI.aspx?menuIndex=3&amp;refID=7141198&amp;Result=3","7141198")</f>
        <v>0</v>
      </c>
      <c r="B8810" t="s">
        <v>2840</v>
      </c>
      <c r="C8810" t="s">
        <v>12103</v>
      </c>
      <c r="D8810" t="s">
        <v>17963</v>
      </c>
      <c r="E8810" t="s">
        <v>25722</v>
      </c>
      <c r="F8810" t="s">
        <v>30900</v>
      </c>
      <c r="G8810" t="s">
        <v>30907</v>
      </c>
      <c r="H8810" t="s">
        <v>30916</v>
      </c>
      <c r="I8810" t="s">
        <v>5501</v>
      </c>
      <c r="J8810" t="s">
        <v>36579</v>
      </c>
      <c r="K8810" t="s">
        <v>40284</v>
      </c>
      <c r="M8810" t="s">
        <v>43625</v>
      </c>
      <c r="N8810" t="s">
        <v>44759</v>
      </c>
      <c r="O8810" t="s">
        <v>44760</v>
      </c>
      <c r="P8810">
        <v>0</v>
      </c>
      <c r="Q8810">
        <v>1</v>
      </c>
      <c r="R8810" t="s">
        <v>44768</v>
      </c>
      <c r="S8810" t="s">
        <v>44982</v>
      </c>
      <c r="T8810" t="s">
        <v>46531</v>
      </c>
      <c r="U8810" t="s">
        <v>54259</v>
      </c>
      <c r="W8810" t="s">
        <v>43625</v>
      </c>
      <c r="X8810" t="s">
        <v>44769</v>
      </c>
    </row>
    <row r="8811" spans="1:24">
      <c r="A8811">
        <f>HYPERLINK("https://www.philgeps.gov.ph/GEPSNONPILOT/Tender/SplashBidNoticeAbstractUI.aspx?menuIndex=3&amp;refID=7141206&amp;Result=3","7141206")</f>
        <v>0</v>
      </c>
      <c r="B8811" t="s">
        <v>2819</v>
      </c>
      <c r="C8811" t="s">
        <v>12104</v>
      </c>
      <c r="E8811" t="s">
        <v>25723</v>
      </c>
      <c r="F8811" t="s">
        <v>30900</v>
      </c>
      <c r="G8811" t="s">
        <v>30907</v>
      </c>
      <c r="H8811" t="s">
        <v>30915</v>
      </c>
      <c r="I8811" t="s">
        <v>30919</v>
      </c>
      <c r="J8811" t="s">
        <v>36580</v>
      </c>
      <c r="K8811" t="s">
        <v>40289</v>
      </c>
      <c r="M8811" t="s">
        <v>43604</v>
      </c>
      <c r="N8811" t="s">
        <v>44759</v>
      </c>
      <c r="O8811" t="s">
        <v>44760</v>
      </c>
      <c r="P8811">
        <v>0</v>
      </c>
      <c r="Q8811">
        <v>0</v>
      </c>
      <c r="R8811" t="s">
        <v>44768</v>
      </c>
      <c r="S8811" t="s">
        <v>44982</v>
      </c>
      <c r="T8811" t="s">
        <v>46428</v>
      </c>
      <c r="U8811" t="s">
        <v>54260</v>
      </c>
      <c r="W8811" t="s">
        <v>43604</v>
      </c>
      <c r="X8811" t="s">
        <v>44769</v>
      </c>
    </row>
    <row r="8812" spans="1:24">
      <c r="A8812">
        <f>HYPERLINK("https://www.philgeps.gov.ph/GEPSNONPILOT/Tender/SplashBidNoticeAbstractUI.aspx?menuIndex=3&amp;refID=7141189&amp;Result=3","7141189")</f>
        <v>0</v>
      </c>
      <c r="B8812" t="s">
        <v>2841</v>
      </c>
      <c r="C8812" t="s">
        <v>12105</v>
      </c>
      <c r="D8812" t="s">
        <v>17978</v>
      </c>
      <c r="E8812" t="s">
        <v>25724</v>
      </c>
      <c r="F8812" t="s">
        <v>30900</v>
      </c>
      <c r="G8812" t="s">
        <v>30907</v>
      </c>
      <c r="H8812" t="s">
        <v>30915</v>
      </c>
      <c r="I8812" t="s">
        <v>30919</v>
      </c>
      <c r="J8812" t="s">
        <v>31105</v>
      </c>
      <c r="K8812" t="s">
        <v>40294</v>
      </c>
      <c r="M8812" t="s">
        <v>43626</v>
      </c>
      <c r="N8812" t="s">
        <v>44759</v>
      </c>
      <c r="O8812" t="s">
        <v>44760</v>
      </c>
      <c r="P8812">
        <v>0</v>
      </c>
      <c r="Q8812">
        <v>1</v>
      </c>
      <c r="R8812" t="s">
        <v>44768</v>
      </c>
      <c r="S8812" t="s">
        <v>44982</v>
      </c>
      <c r="T8812" t="s">
        <v>46606</v>
      </c>
      <c r="U8812" t="s">
        <v>54261</v>
      </c>
      <c r="V8812" t="s">
        <v>59692</v>
      </c>
      <c r="W8812" t="s">
        <v>43626</v>
      </c>
      <c r="X8812" t="s">
        <v>44769</v>
      </c>
    </row>
    <row r="8813" spans="1:24">
      <c r="A8813">
        <f>HYPERLINK("https://www.philgeps.gov.ph/GEPSNONPILOT/Tender/SplashBidNoticeAbstractUI.aspx?menuIndex=3&amp;refID=7141194&amp;Result=3","7141194")</f>
        <v>0</v>
      </c>
      <c r="B8813" t="s">
        <v>812</v>
      </c>
      <c r="C8813" t="s">
        <v>12106</v>
      </c>
      <c r="D8813" t="s">
        <v>18028</v>
      </c>
      <c r="E8813" t="s">
        <v>25725</v>
      </c>
      <c r="F8813" t="s">
        <v>30900</v>
      </c>
      <c r="G8813" t="s">
        <v>30907</v>
      </c>
      <c r="H8813" t="s">
        <v>30915</v>
      </c>
      <c r="I8813" t="s">
        <v>30919</v>
      </c>
      <c r="J8813" t="s">
        <v>36581</v>
      </c>
      <c r="K8813" t="s">
        <v>40451</v>
      </c>
      <c r="M8813" t="s">
        <v>41383</v>
      </c>
      <c r="N8813" t="s">
        <v>44759</v>
      </c>
      <c r="O8813" t="s">
        <v>44760</v>
      </c>
      <c r="P8813">
        <v>0</v>
      </c>
      <c r="Q8813">
        <v>0</v>
      </c>
      <c r="R8813" t="s">
        <v>44768</v>
      </c>
      <c r="S8813" t="s">
        <v>44982</v>
      </c>
      <c r="T8813" t="s">
        <v>46552</v>
      </c>
      <c r="U8813" t="s">
        <v>54262</v>
      </c>
      <c r="W8813" t="s">
        <v>41383</v>
      </c>
      <c r="X8813" t="s">
        <v>44769</v>
      </c>
    </row>
    <row r="8814" spans="1:24">
      <c r="A8814">
        <f>HYPERLINK("https://www.philgeps.gov.ph/GEPSNONPILOT/Tender/SplashBidNoticeAbstractUI.aspx?menuIndex=3&amp;refID=7141185&amp;Result=3","7141185")</f>
        <v>0</v>
      </c>
      <c r="B8814" t="s">
        <v>968</v>
      </c>
      <c r="C8814" t="s">
        <v>12107</v>
      </c>
      <c r="D8814" t="s">
        <v>18002</v>
      </c>
      <c r="E8814" t="s">
        <v>25612</v>
      </c>
      <c r="F8814" t="s">
        <v>30900</v>
      </c>
      <c r="G8814" t="s">
        <v>30907</v>
      </c>
      <c r="H8814" t="s">
        <v>30916</v>
      </c>
      <c r="I8814" t="s">
        <v>8123</v>
      </c>
      <c r="J8814" t="s">
        <v>36582</v>
      </c>
      <c r="K8814" t="s">
        <v>40283</v>
      </c>
      <c r="M8814" t="s">
        <v>41555</v>
      </c>
      <c r="N8814" t="s">
        <v>44759</v>
      </c>
      <c r="O8814" t="s">
        <v>44760</v>
      </c>
      <c r="P8814">
        <v>0</v>
      </c>
      <c r="Q8814">
        <v>3</v>
      </c>
      <c r="R8814" t="s">
        <v>44768</v>
      </c>
      <c r="S8814" t="s">
        <v>44982</v>
      </c>
      <c r="T8814" t="s">
        <v>46662</v>
      </c>
      <c r="U8814" t="s">
        <v>54263</v>
      </c>
      <c r="W8814" t="s">
        <v>41555</v>
      </c>
      <c r="X8814" t="s">
        <v>44769</v>
      </c>
    </row>
    <row r="8815" spans="1:24">
      <c r="A8815">
        <f>HYPERLINK("https://www.philgeps.gov.ph/GEPSNONPILOT/Tender/SplashBidNoticeAbstractUI.aspx?menuIndex=3&amp;refID=7141202&amp;Result=3","7141202")</f>
        <v>0</v>
      </c>
      <c r="B8815" t="s">
        <v>379</v>
      </c>
      <c r="C8815" t="s">
        <v>12108</v>
      </c>
      <c r="D8815" t="s">
        <v>18015</v>
      </c>
      <c r="E8815" t="s">
        <v>25726</v>
      </c>
      <c r="F8815" t="s">
        <v>30900</v>
      </c>
      <c r="G8815" t="s">
        <v>30907</v>
      </c>
      <c r="H8815" t="s">
        <v>30916</v>
      </c>
      <c r="I8815" t="s">
        <v>4545</v>
      </c>
      <c r="J8815" t="s">
        <v>31204</v>
      </c>
      <c r="K8815" t="s">
        <v>40283</v>
      </c>
      <c r="M8815" t="s">
        <v>40933</v>
      </c>
      <c r="N8815" t="s">
        <v>44759</v>
      </c>
      <c r="O8815" t="s">
        <v>44760</v>
      </c>
      <c r="P8815">
        <v>0</v>
      </c>
      <c r="Q8815">
        <v>0</v>
      </c>
      <c r="R8815" t="s">
        <v>44768</v>
      </c>
      <c r="S8815" t="s">
        <v>44982</v>
      </c>
      <c r="T8815" t="s">
        <v>46455</v>
      </c>
      <c r="U8815" t="s">
        <v>54264</v>
      </c>
      <c r="W8815" t="s">
        <v>40933</v>
      </c>
      <c r="X8815" t="s">
        <v>44769</v>
      </c>
    </row>
    <row r="8816" spans="1:24">
      <c r="A8816">
        <f>HYPERLINK("https://www.philgeps.gov.ph/GEPSNONPILOT/Tender/SplashBidNoticeAbstractUI.aspx?menuIndex=3&amp;refID=7141149&amp;Result=3","7141149")</f>
        <v>0</v>
      </c>
      <c r="B8816" t="s">
        <v>2842</v>
      </c>
      <c r="C8816" t="s">
        <v>12109</v>
      </c>
      <c r="D8816" t="s">
        <v>17978</v>
      </c>
      <c r="E8816" t="s">
        <v>25727</v>
      </c>
      <c r="F8816" t="s">
        <v>30900</v>
      </c>
      <c r="G8816" t="s">
        <v>30910</v>
      </c>
      <c r="H8816" t="s">
        <v>30916</v>
      </c>
      <c r="I8816" t="s">
        <v>6396</v>
      </c>
      <c r="J8816" t="s">
        <v>36583</v>
      </c>
      <c r="K8816" t="s">
        <v>40283</v>
      </c>
      <c r="M8816" t="s">
        <v>43627</v>
      </c>
      <c r="N8816" t="s">
        <v>44759</v>
      </c>
      <c r="O8816" t="s">
        <v>44760</v>
      </c>
      <c r="P8816">
        <v>0</v>
      </c>
      <c r="Q8816">
        <v>6</v>
      </c>
      <c r="R8816" t="s">
        <v>44768</v>
      </c>
      <c r="S8816" t="s">
        <v>44982</v>
      </c>
      <c r="T8816" t="s">
        <v>46625</v>
      </c>
      <c r="U8816" t="s">
        <v>54265</v>
      </c>
      <c r="W8816" t="s">
        <v>43627</v>
      </c>
      <c r="X8816" t="s">
        <v>44769</v>
      </c>
    </row>
    <row r="8817" spans="1:24">
      <c r="A8817">
        <f>HYPERLINK("https://www.philgeps.gov.ph/GEPSNONPILOT/Tender/SplashBidNoticeAbstractUI.aspx?menuIndex=3&amp;refID=7141133&amp;Result=3","7141133")</f>
        <v>0</v>
      </c>
      <c r="B8817" t="s">
        <v>280</v>
      </c>
      <c r="C8817" t="s">
        <v>12110</v>
      </c>
      <c r="D8817" t="s">
        <v>17985</v>
      </c>
      <c r="E8817" t="s">
        <v>25728</v>
      </c>
      <c r="F8817" t="s">
        <v>30900</v>
      </c>
      <c r="G8817" t="s">
        <v>30907</v>
      </c>
      <c r="H8817" t="s">
        <v>30915</v>
      </c>
      <c r="I8817" t="s">
        <v>30919</v>
      </c>
      <c r="J8817" t="s">
        <v>36584</v>
      </c>
      <c r="K8817" t="s">
        <v>40464</v>
      </c>
      <c r="M8817" t="s">
        <v>40827</v>
      </c>
      <c r="N8817" t="s">
        <v>44759</v>
      </c>
      <c r="O8817" t="s">
        <v>44760</v>
      </c>
      <c r="P8817">
        <v>0</v>
      </c>
      <c r="Q8817">
        <v>0</v>
      </c>
      <c r="R8817" t="s">
        <v>44768</v>
      </c>
      <c r="S8817" t="s">
        <v>44982</v>
      </c>
      <c r="T8817" t="s">
        <v>46515</v>
      </c>
      <c r="U8817" t="s">
        <v>54161</v>
      </c>
      <c r="W8817" t="s">
        <v>40827</v>
      </c>
      <c r="X8817" t="s">
        <v>44769</v>
      </c>
    </row>
    <row r="8818" spans="1:24">
      <c r="A8818">
        <f>HYPERLINK("https://www.philgeps.gov.ph/GEPSNONPILOT/Tender/SplashBidNoticeAbstractUI.aspx?menuIndex=3&amp;refID=7141187&amp;Result=3","7141187")</f>
        <v>0</v>
      </c>
      <c r="B8818" t="s">
        <v>2843</v>
      </c>
      <c r="C8818" t="s">
        <v>12111</v>
      </c>
      <c r="D8818" t="s">
        <v>17980</v>
      </c>
      <c r="E8818" t="s">
        <v>25729</v>
      </c>
      <c r="F8818" t="s">
        <v>30900</v>
      </c>
      <c r="G8818" t="s">
        <v>30907</v>
      </c>
      <c r="H8818" t="s">
        <v>30916</v>
      </c>
      <c r="I8818" t="s">
        <v>6396</v>
      </c>
      <c r="J8818" t="s">
        <v>36585</v>
      </c>
      <c r="K8818" t="s">
        <v>40293</v>
      </c>
      <c r="M8818" t="s">
        <v>43628</v>
      </c>
      <c r="N8818" t="s">
        <v>44759</v>
      </c>
      <c r="O8818" t="s">
        <v>44760</v>
      </c>
      <c r="P8818">
        <v>0</v>
      </c>
      <c r="Q8818">
        <v>6</v>
      </c>
      <c r="R8818" t="s">
        <v>44768</v>
      </c>
      <c r="S8818" t="s">
        <v>44982</v>
      </c>
      <c r="T8818" t="s">
        <v>46644</v>
      </c>
      <c r="U8818" t="s">
        <v>54266</v>
      </c>
      <c r="W8818" t="s">
        <v>43628</v>
      </c>
      <c r="X8818" t="s">
        <v>44769</v>
      </c>
    </row>
    <row r="8819" spans="1:24">
      <c r="A8819">
        <f>HYPERLINK("https://www.philgeps.gov.ph/GEPSNONPILOT/Tender/SplashBidNoticeAbstractUI.aspx?menuIndex=3&amp;refID=7141264&amp;Result=3","7141264")</f>
        <v>0</v>
      </c>
      <c r="B8819" t="s">
        <v>1274</v>
      </c>
      <c r="C8819" t="s">
        <v>12112</v>
      </c>
      <c r="D8819" t="s">
        <v>18017</v>
      </c>
      <c r="E8819" t="s">
        <v>25730</v>
      </c>
      <c r="F8819" t="s">
        <v>30900</v>
      </c>
      <c r="G8819" t="s">
        <v>30907</v>
      </c>
      <c r="H8819" t="s">
        <v>30916</v>
      </c>
      <c r="I8819" t="s">
        <v>30941</v>
      </c>
      <c r="J8819" t="s">
        <v>36586</v>
      </c>
      <c r="K8819" t="s">
        <v>40333</v>
      </c>
      <c r="M8819" t="s">
        <v>41890</v>
      </c>
      <c r="N8819" t="s">
        <v>44759</v>
      </c>
      <c r="O8819" t="s">
        <v>44760</v>
      </c>
      <c r="P8819">
        <v>0</v>
      </c>
      <c r="Q8819">
        <v>1</v>
      </c>
      <c r="R8819" t="s">
        <v>44768</v>
      </c>
      <c r="S8819" t="s">
        <v>44982</v>
      </c>
      <c r="T8819" t="s">
        <v>46581</v>
      </c>
      <c r="U8819" t="s">
        <v>54267</v>
      </c>
      <c r="V8819" t="s">
        <v>60078</v>
      </c>
      <c r="W8819" t="s">
        <v>41890</v>
      </c>
      <c r="X8819" t="s">
        <v>44769</v>
      </c>
    </row>
    <row r="8820" spans="1:24">
      <c r="A8820">
        <f>HYPERLINK("https://www.philgeps.gov.ph/GEPSNONPILOT/Tender/SplashBidNoticeAbstractUI.aspx?menuIndex=3&amp;refID=7141290&amp;Result=3","7141290")</f>
        <v>0</v>
      </c>
      <c r="B8820" t="s">
        <v>2006</v>
      </c>
      <c r="C8820" t="s">
        <v>12113</v>
      </c>
      <c r="D8820" t="s">
        <v>17980</v>
      </c>
      <c r="E8820" t="s">
        <v>25731</v>
      </c>
      <c r="F8820" t="s">
        <v>30900</v>
      </c>
      <c r="G8820" t="s">
        <v>30908</v>
      </c>
      <c r="H8820" t="s">
        <v>30916</v>
      </c>
      <c r="I8820" t="s">
        <v>4017</v>
      </c>
      <c r="J8820" t="s">
        <v>36587</v>
      </c>
      <c r="K8820" t="s">
        <v>40287</v>
      </c>
      <c r="M8820" t="s">
        <v>42700</v>
      </c>
      <c r="N8820" t="s">
        <v>44759</v>
      </c>
      <c r="O8820" t="s">
        <v>44760</v>
      </c>
      <c r="P8820">
        <v>0</v>
      </c>
      <c r="Q8820">
        <v>1</v>
      </c>
      <c r="R8820" t="s">
        <v>44768</v>
      </c>
      <c r="S8820" t="s">
        <v>44982</v>
      </c>
      <c r="T8820" t="s">
        <v>46383</v>
      </c>
      <c r="U8820" t="s">
        <v>54268</v>
      </c>
      <c r="W8820" t="s">
        <v>42700</v>
      </c>
      <c r="X8820" t="s">
        <v>44769</v>
      </c>
    </row>
    <row r="8821" spans="1:24">
      <c r="A8821">
        <f>HYPERLINK("https://www.philgeps.gov.ph/GEPSNONPILOT/Tender/SplashBidNoticeAbstractUI.aspx?menuIndex=3&amp;refID=7141289&amp;Result=3","7141289")</f>
        <v>0</v>
      </c>
      <c r="B8821" t="s">
        <v>2844</v>
      </c>
      <c r="C8821" t="s">
        <v>12114</v>
      </c>
      <c r="D8821" t="s">
        <v>17968</v>
      </c>
      <c r="E8821" t="s">
        <v>24671</v>
      </c>
      <c r="F8821" t="s">
        <v>30900</v>
      </c>
      <c r="G8821" t="s">
        <v>30907</v>
      </c>
      <c r="H8821" t="s">
        <v>30916</v>
      </c>
      <c r="I8821" t="s">
        <v>8123</v>
      </c>
      <c r="J8821" t="s">
        <v>36588</v>
      </c>
      <c r="K8821" t="s">
        <v>40289</v>
      </c>
      <c r="M8821" t="s">
        <v>43629</v>
      </c>
      <c r="N8821" t="s">
        <v>44759</v>
      </c>
      <c r="O8821" t="s">
        <v>44760</v>
      </c>
      <c r="P8821">
        <v>0</v>
      </c>
      <c r="Q8821">
        <v>2</v>
      </c>
      <c r="R8821" t="s">
        <v>44768</v>
      </c>
      <c r="S8821" t="s">
        <v>44982</v>
      </c>
      <c r="T8821" t="s">
        <v>46495</v>
      </c>
      <c r="U8821" t="s">
        <v>54269</v>
      </c>
      <c r="W8821" t="s">
        <v>43629</v>
      </c>
      <c r="X8821" t="s">
        <v>44769</v>
      </c>
    </row>
    <row r="8822" spans="1:24">
      <c r="A8822">
        <f>HYPERLINK("https://www.philgeps.gov.ph/GEPSNONPILOT/Tender/SplashBidNoticeAbstractUI.aspx?menuIndex=3&amp;refID=7141285&amp;Result=3","7141285")</f>
        <v>0</v>
      </c>
      <c r="B8822" t="s">
        <v>965</v>
      </c>
      <c r="C8822" t="s">
        <v>12115</v>
      </c>
      <c r="D8822" t="s">
        <v>18010</v>
      </c>
      <c r="E8822" t="s">
        <v>25732</v>
      </c>
      <c r="F8822" t="s">
        <v>30900</v>
      </c>
      <c r="G8822" t="s">
        <v>30908</v>
      </c>
      <c r="H8822" t="s">
        <v>30916</v>
      </c>
      <c r="I8822" t="s">
        <v>6953</v>
      </c>
      <c r="J8822" t="s">
        <v>31355</v>
      </c>
      <c r="K8822" t="s">
        <v>40283</v>
      </c>
      <c r="M8822" t="s">
        <v>41552</v>
      </c>
      <c r="N8822" t="s">
        <v>44759</v>
      </c>
      <c r="O8822" t="s">
        <v>44760</v>
      </c>
      <c r="P8822">
        <v>0</v>
      </c>
      <c r="Q8822">
        <v>4</v>
      </c>
      <c r="R8822" t="s">
        <v>44768</v>
      </c>
      <c r="S8822" t="s">
        <v>44982</v>
      </c>
      <c r="T8822" t="s">
        <v>46581</v>
      </c>
      <c r="U8822" t="s">
        <v>54270</v>
      </c>
      <c r="V8822" t="s">
        <v>59800</v>
      </c>
      <c r="W8822" t="s">
        <v>41552</v>
      </c>
      <c r="X8822" t="s">
        <v>44769</v>
      </c>
    </row>
    <row r="8823" spans="1:24">
      <c r="A8823">
        <f>HYPERLINK("https://www.philgeps.gov.ph/GEPSNONPILOT/Tender/SplashBidNoticeAbstractUI.aspx?menuIndex=3&amp;refID=7141283&amp;Result=3","7141283")</f>
        <v>0</v>
      </c>
      <c r="B8823" t="s">
        <v>617</v>
      </c>
      <c r="C8823" t="s">
        <v>12116</v>
      </c>
      <c r="D8823" t="s">
        <v>17995</v>
      </c>
      <c r="E8823" t="s">
        <v>25733</v>
      </c>
      <c r="F8823" t="s">
        <v>30900</v>
      </c>
      <c r="G8823" t="s">
        <v>30907</v>
      </c>
      <c r="H8823" t="s">
        <v>30916</v>
      </c>
      <c r="I8823" t="s">
        <v>8123</v>
      </c>
      <c r="J8823" t="s">
        <v>31257</v>
      </c>
      <c r="K8823" t="s">
        <v>40284</v>
      </c>
      <c r="M8823" t="s">
        <v>41179</v>
      </c>
      <c r="N8823" t="s">
        <v>44759</v>
      </c>
      <c r="O8823" t="s">
        <v>44760</v>
      </c>
      <c r="P8823">
        <v>0</v>
      </c>
      <c r="Q8823">
        <v>1</v>
      </c>
      <c r="R8823" t="s">
        <v>44768</v>
      </c>
      <c r="S8823" t="s">
        <v>44982</v>
      </c>
      <c r="T8823" t="s">
        <v>46390</v>
      </c>
      <c r="U8823" t="s">
        <v>54271</v>
      </c>
      <c r="V8823" t="s">
        <v>59265</v>
      </c>
      <c r="W8823" t="s">
        <v>41179</v>
      </c>
      <c r="X8823" t="s">
        <v>44769</v>
      </c>
    </row>
    <row r="8824" spans="1:24">
      <c r="A8824">
        <f>HYPERLINK("https://www.philgeps.gov.ph/GEPSNONPILOT/Tender/SplashBidNoticeAbstractUI.aspx?menuIndex=3&amp;refID=7141281&amp;Result=3","7141281")</f>
        <v>0</v>
      </c>
      <c r="B8824" t="s">
        <v>962</v>
      </c>
      <c r="C8824" t="s">
        <v>12117</v>
      </c>
      <c r="D8824" t="s">
        <v>18019</v>
      </c>
      <c r="E8824" t="s">
        <v>25734</v>
      </c>
      <c r="F8824" t="s">
        <v>30904</v>
      </c>
      <c r="G8824" t="s">
        <v>30908</v>
      </c>
      <c r="H8824" t="s">
        <v>30916</v>
      </c>
      <c r="I8824" t="s">
        <v>11785</v>
      </c>
      <c r="J8824" t="s">
        <v>32386</v>
      </c>
      <c r="K8824" t="s">
        <v>40284</v>
      </c>
      <c r="M8824" t="s">
        <v>41549</v>
      </c>
      <c r="N8824" t="s">
        <v>44759</v>
      </c>
      <c r="O8824" t="s">
        <v>44760</v>
      </c>
      <c r="P8824">
        <v>0</v>
      </c>
      <c r="Q8824">
        <v>0</v>
      </c>
      <c r="R8824" t="s">
        <v>44768</v>
      </c>
      <c r="S8824" t="s">
        <v>44982</v>
      </c>
      <c r="T8824" t="s">
        <v>46662</v>
      </c>
      <c r="U8824" t="s">
        <v>54272</v>
      </c>
      <c r="V8824" t="s">
        <v>59343</v>
      </c>
      <c r="W8824" t="s">
        <v>41549</v>
      </c>
      <c r="X8824" t="s">
        <v>44769</v>
      </c>
    </row>
    <row r="8825" spans="1:24">
      <c r="A8825">
        <f>HYPERLINK("https://www.philgeps.gov.ph/GEPSNONPILOT/Tender/SplashBidNoticeAbstractUI.aspx?menuIndex=3&amp;refID=7141193&amp;Result=3","7141193")</f>
        <v>0</v>
      </c>
      <c r="B8825" t="s">
        <v>526</v>
      </c>
      <c r="C8825" t="s">
        <v>12118</v>
      </c>
      <c r="D8825" t="s">
        <v>17984</v>
      </c>
      <c r="E8825" t="s">
        <v>25735</v>
      </c>
      <c r="F8825" t="s">
        <v>30900</v>
      </c>
      <c r="G8825" t="s">
        <v>30907</v>
      </c>
      <c r="H8825" t="s">
        <v>30916</v>
      </c>
      <c r="I8825" t="s">
        <v>30933</v>
      </c>
      <c r="J8825" t="s">
        <v>36049</v>
      </c>
      <c r="K8825" t="s">
        <v>40286</v>
      </c>
      <c r="M8825" t="s">
        <v>41086</v>
      </c>
      <c r="N8825" t="s">
        <v>44759</v>
      </c>
      <c r="O8825" t="s">
        <v>44760</v>
      </c>
      <c r="P8825">
        <v>0</v>
      </c>
      <c r="Q8825">
        <v>7</v>
      </c>
      <c r="R8825" t="s">
        <v>44768</v>
      </c>
      <c r="S8825" t="s">
        <v>44982</v>
      </c>
      <c r="T8825" t="s">
        <v>46544</v>
      </c>
      <c r="U8825" t="s">
        <v>54253</v>
      </c>
      <c r="W8825" t="s">
        <v>41086</v>
      </c>
      <c r="X8825" t="s">
        <v>44769</v>
      </c>
    </row>
    <row r="8826" spans="1:24">
      <c r="A8826">
        <f>HYPERLINK("https://www.philgeps.gov.ph/GEPSNONPILOT/Tender/SplashBidNoticeAbstractUI.aspx?menuIndex=3&amp;refID=7141257&amp;Result=3","7141257")</f>
        <v>0</v>
      </c>
      <c r="B8826" t="s">
        <v>1197</v>
      </c>
      <c r="C8826" t="s">
        <v>12119</v>
      </c>
      <c r="D8826" t="s">
        <v>18002</v>
      </c>
      <c r="E8826" t="s">
        <v>25736</v>
      </c>
      <c r="F8826" t="s">
        <v>30900</v>
      </c>
      <c r="G8826" t="s">
        <v>30907</v>
      </c>
      <c r="H8826" t="s">
        <v>30916</v>
      </c>
      <c r="I8826" t="s">
        <v>30928</v>
      </c>
      <c r="J8826" t="s">
        <v>36589</v>
      </c>
      <c r="K8826" t="s">
        <v>40287</v>
      </c>
      <c r="M8826" t="s">
        <v>41808</v>
      </c>
      <c r="N8826" t="s">
        <v>44759</v>
      </c>
      <c r="O8826" t="s">
        <v>44760</v>
      </c>
      <c r="P8826">
        <v>0</v>
      </c>
      <c r="Q8826">
        <v>4</v>
      </c>
      <c r="R8826" t="s">
        <v>44768</v>
      </c>
      <c r="S8826" t="s">
        <v>44982</v>
      </c>
      <c r="T8826" t="s">
        <v>46607</v>
      </c>
      <c r="U8826" t="s">
        <v>49321</v>
      </c>
      <c r="W8826" t="s">
        <v>41808</v>
      </c>
      <c r="X8826" t="s">
        <v>44769</v>
      </c>
    </row>
    <row r="8827" spans="1:24">
      <c r="A8827">
        <f>HYPERLINK("https://www.philgeps.gov.ph/GEPSNONPILOT/Tender/SplashBidNoticeAbstractUI.aspx?menuIndex=3&amp;refID=7141275&amp;Result=3","7141275")</f>
        <v>0</v>
      </c>
      <c r="B8827" t="s">
        <v>379</v>
      </c>
      <c r="C8827" t="s">
        <v>12120</v>
      </c>
      <c r="D8827" t="s">
        <v>18015</v>
      </c>
      <c r="E8827" t="s">
        <v>25737</v>
      </c>
      <c r="F8827" t="s">
        <v>30900</v>
      </c>
      <c r="G8827" t="s">
        <v>30907</v>
      </c>
      <c r="H8827" t="s">
        <v>30916</v>
      </c>
      <c r="I8827" t="s">
        <v>8123</v>
      </c>
      <c r="J8827" t="s">
        <v>33477</v>
      </c>
      <c r="K8827" t="s">
        <v>40283</v>
      </c>
      <c r="M8827" t="s">
        <v>40933</v>
      </c>
      <c r="N8827" t="s">
        <v>44759</v>
      </c>
      <c r="O8827" t="s">
        <v>44760</v>
      </c>
      <c r="P8827">
        <v>0</v>
      </c>
      <c r="Q8827">
        <v>0</v>
      </c>
      <c r="R8827" t="s">
        <v>44768</v>
      </c>
      <c r="S8827" t="s">
        <v>44982</v>
      </c>
      <c r="T8827" t="s">
        <v>46455</v>
      </c>
      <c r="U8827" t="s">
        <v>54273</v>
      </c>
      <c r="W8827" t="s">
        <v>40933</v>
      </c>
      <c r="X8827" t="s">
        <v>44769</v>
      </c>
    </row>
    <row r="8828" spans="1:24">
      <c r="A8828">
        <f>HYPERLINK("https://www.philgeps.gov.ph/GEPSNONPILOT/Tender/SplashBidNoticeAbstractUI.aspx?menuIndex=3&amp;refID=7141299&amp;Result=3","7141299")</f>
        <v>0</v>
      </c>
      <c r="B8828" t="s">
        <v>812</v>
      </c>
      <c r="C8828" t="s">
        <v>12121</v>
      </c>
      <c r="D8828" t="s">
        <v>18028</v>
      </c>
      <c r="E8828" t="s">
        <v>25738</v>
      </c>
      <c r="F8828" t="s">
        <v>30900</v>
      </c>
      <c r="G8828" t="s">
        <v>30907</v>
      </c>
      <c r="H8828" t="s">
        <v>30915</v>
      </c>
      <c r="I8828" t="s">
        <v>30919</v>
      </c>
      <c r="J8828" t="s">
        <v>36590</v>
      </c>
      <c r="K8828" t="s">
        <v>40308</v>
      </c>
      <c r="M8828" t="s">
        <v>41383</v>
      </c>
      <c r="N8828" t="s">
        <v>44759</v>
      </c>
      <c r="O8828" t="s">
        <v>44760</v>
      </c>
      <c r="P8828">
        <v>0</v>
      </c>
      <c r="Q8828">
        <v>2</v>
      </c>
      <c r="R8828" t="s">
        <v>44768</v>
      </c>
      <c r="S8828" t="s">
        <v>44982</v>
      </c>
      <c r="T8828" t="s">
        <v>46606</v>
      </c>
      <c r="U8828" t="s">
        <v>54274</v>
      </c>
      <c r="W8828" t="s">
        <v>41383</v>
      </c>
      <c r="X8828" t="s">
        <v>44769</v>
      </c>
    </row>
    <row r="8829" spans="1:24">
      <c r="A8829">
        <f>HYPERLINK("https://www.philgeps.gov.ph/GEPSNONPILOT/Tender/SplashBidNoticeAbstractUI.aspx?menuIndex=3&amp;refID=7141298&amp;Result=3","7141298")</f>
        <v>0</v>
      </c>
      <c r="B8829" t="s">
        <v>81</v>
      </c>
      <c r="C8829" t="s">
        <v>12122</v>
      </c>
      <c r="D8829" t="s">
        <v>17959</v>
      </c>
      <c r="E8829" t="s">
        <v>19085</v>
      </c>
      <c r="F8829" t="s">
        <v>30900</v>
      </c>
      <c r="G8829" t="s">
        <v>30908</v>
      </c>
      <c r="H8829" t="s">
        <v>30916</v>
      </c>
      <c r="I8829" t="s">
        <v>30923</v>
      </c>
      <c r="J8829" t="s">
        <v>36591</v>
      </c>
      <c r="K8829" t="s">
        <v>40289</v>
      </c>
      <c r="M8829" t="s">
        <v>41401</v>
      </c>
      <c r="N8829" t="s">
        <v>44759</v>
      </c>
      <c r="O8829" t="s">
        <v>44760</v>
      </c>
      <c r="P8829">
        <v>0</v>
      </c>
      <c r="Q8829">
        <v>4</v>
      </c>
      <c r="R8829" t="s">
        <v>44768</v>
      </c>
      <c r="S8829" t="s">
        <v>44982</v>
      </c>
      <c r="T8829" t="s">
        <v>46581</v>
      </c>
      <c r="U8829" t="s">
        <v>54275</v>
      </c>
      <c r="V8829" t="s">
        <v>59313</v>
      </c>
      <c r="W8829" t="s">
        <v>41401</v>
      </c>
      <c r="X8829" t="s">
        <v>44769</v>
      </c>
    </row>
    <row r="8830" spans="1:24">
      <c r="A8830">
        <f>HYPERLINK("https://www.philgeps.gov.ph/GEPSNONPILOT/Tender/SplashBidNoticeAbstractUI.aspx?menuIndex=3&amp;refID=7141282&amp;Result=3","7141282")</f>
        <v>0</v>
      </c>
      <c r="B8830" t="s">
        <v>1937</v>
      </c>
      <c r="C8830" t="s">
        <v>12123</v>
      </c>
      <c r="D8830" t="s">
        <v>17961</v>
      </c>
      <c r="E8830" t="s">
        <v>22506</v>
      </c>
      <c r="F8830" t="s">
        <v>30900</v>
      </c>
      <c r="G8830" t="s">
        <v>30907</v>
      </c>
      <c r="H8830" t="s">
        <v>30916</v>
      </c>
      <c r="I8830" t="s">
        <v>30986</v>
      </c>
      <c r="J8830" t="s">
        <v>31285</v>
      </c>
      <c r="K8830" t="s">
        <v>40283</v>
      </c>
      <c r="M8830" t="s">
        <v>42618</v>
      </c>
      <c r="N8830" t="s">
        <v>44759</v>
      </c>
      <c r="O8830" t="s">
        <v>44760</v>
      </c>
      <c r="P8830">
        <v>0</v>
      </c>
      <c r="Q8830">
        <v>4</v>
      </c>
      <c r="R8830" t="s">
        <v>44768</v>
      </c>
      <c r="S8830" t="s">
        <v>44982</v>
      </c>
      <c r="T8830" t="s">
        <v>46351</v>
      </c>
      <c r="U8830" t="s">
        <v>54276</v>
      </c>
      <c r="W8830" t="s">
        <v>42618</v>
      </c>
      <c r="X8830" t="s">
        <v>44769</v>
      </c>
    </row>
    <row r="8831" spans="1:24">
      <c r="A8831">
        <f>HYPERLINK("https://www.philgeps.gov.ph/GEPSNONPILOT/Tender/SplashBidNoticeAbstractUI.aspx?menuIndex=3&amp;refID=7141294&amp;Result=3","7141294")</f>
        <v>0</v>
      </c>
      <c r="B8831" t="s">
        <v>1974</v>
      </c>
      <c r="C8831" t="s">
        <v>12124</v>
      </c>
      <c r="D8831" t="s">
        <v>17985</v>
      </c>
      <c r="E8831" t="s">
        <v>25739</v>
      </c>
      <c r="F8831" t="s">
        <v>30900</v>
      </c>
      <c r="G8831" t="s">
        <v>30907</v>
      </c>
      <c r="H8831" t="s">
        <v>30916</v>
      </c>
      <c r="I8831" t="s">
        <v>30933</v>
      </c>
      <c r="J8831" t="s">
        <v>31897</v>
      </c>
      <c r="K8831" t="s">
        <v>40289</v>
      </c>
      <c r="M8831" t="s">
        <v>43630</v>
      </c>
      <c r="N8831" t="s">
        <v>44759</v>
      </c>
      <c r="O8831" t="s">
        <v>44760</v>
      </c>
      <c r="Q8831">
        <v>5</v>
      </c>
      <c r="R8831" t="s">
        <v>44768</v>
      </c>
      <c r="S8831" t="s">
        <v>45019</v>
      </c>
      <c r="T8831" t="s">
        <v>46350</v>
      </c>
      <c r="U8831" t="s">
        <v>54277</v>
      </c>
      <c r="V8831" t="s">
        <v>60079</v>
      </c>
      <c r="W8831" t="s">
        <v>43630</v>
      </c>
      <c r="X8831" t="s">
        <v>44769</v>
      </c>
    </row>
    <row r="8832" spans="1:24">
      <c r="A8832">
        <f>HYPERLINK("https://www.philgeps.gov.ph/GEPSNONPILOT/Tender/SplashBidNoticeAbstractUI.aspx?menuIndex=3&amp;refID=7141277&amp;Result=3","7141277")</f>
        <v>0</v>
      </c>
      <c r="B8832" t="s">
        <v>812</v>
      </c>
      <c r="C8832" t="s">
        <v>12125</v>
      </c>
      <c r="D8832" t="s">
        <v>18028</v>
      </c>
      <c r="E8832" t="s">
        <v>25740</v>
      </c>
      <c r="F8832" t="s">
        <v>30900</v>
      </c>
      <c r="G8832" t="s">
        <v>30907</v>
      </c>
      <c r="H8832" t="s">
        <v>30915</v>
      </c>
      <c r="I8832" t="s">
        <v>30919</v>
      </c>
      <c r="J8832" t="s">
        <v>36592</v>
      </c>
      <c r="K8832" t="s">
        <v>40451</v>
      </c>
      <c r="M8832" t="s">
        <v>41383</v>
      </c>
      <c r="N8832" t="s">
        <v>44759</v>
      </c>
      <c r="O8832" t="s">
        <v>44760</v>
      </c>
      <c r="P8832">
        <v>0</v>
      </c>
      <c r="Q8832">
        <v>0</v>
      </c>
      <c r="R8832" t="s">
        <v>44768</v>
      </c>
      <c r="S8832" t="s">
        <v>44982</v>
      </c>
      <c r="T8832" t="s">
        <v>46606</v>
      </c>
      <c r="U8832" t="s">
        <v>54278</v>
      </c>
      <c r="W8832" t="s">
        <v>41383</v>
      </c>
      <c r="X8832" t="s">
        <v>44769</v>
      </c>
    </row>
    <row r="8833" spans="1:24">
      <c r="A8833">
        <f>HYPERLINK("https://www.philgeps.gov.ph/GEPSNONPILOT/Tender/SplashBidNoticeAbstractUI.aspx?menuIndex=3&amp;refID=7141259&amp;Result=3","7141259")</f>
        <v>0</v>
      </c>
      <c r="B8833" t="s">
        <v>2845</v>
      </c>
      <c r="C8833" t="s">
        <v>12126</v>
      </c>
      <c r="D8833" t="s">
        <v>18038</v>
      </c>
      <c r="E8833" t="s">
        <v>25674</v>
      </c>
      <c r="F8833" t="s">
        <v>30900</v>
      </c>
      <c r="G8833" t="s">
        <v>30907</v>
      </c>
      <c r="H8833" t="s">
        <v>30915</v>
      </c>
      <c r="I8833" t="s">
        <v>30919</v>
      </c>
      <c r="J8833" t="s">
        <v>36593</v>
      </c>
      <c r="K8833" t="s">
        <v>40280</v>
      </c>
      <c r="M8833" t="s">
        <v>43631</v>
      </c>
      <c r="N8833" t="s">
        <v>44759</v>
      </c>
      <c r="O8833" t="s">
        <v>44760</v>
      </c>
      <c r="Q8833">
        <v>0</v>
      </c>
      <c r="R8833" t="s">
        <v>44768</v>
      </c>
      <c r="S8833" t="s">
        <v>45020</v>
      </c>
      <c r="T8833" t="s">
        <v>46469</v>
      </c>
      <c r="U8833" t="s">
        <v>54279</v>
      </c>
      <c r="W8833" t="s">
        <v>43631</v>
      </c>
      <c r="X8833" t="s">
        <v>44769</v>
      </c>
    </row>
    <row r="8834" spans="1:24">
      <c r="A8834">
        <f>HYPERLINK("https://www.philgeps.gov.ph/GEPSNONPILOT/Tender/SplashBidNoticeAbstractUI.aspx?menuIndex=3&amp;refID=7141292&amp;Result=3","7141292")</f>
        <v>0</v>
      </c>
      <c r="B8834" t="s">
        <v>526</v>
      </c>
      <c r="C8834" t="s">
        <v>12127</v>
      </c>
      <c r="D8834" t="s">
        <v>17984</v>
      </c>
      <c r="E8834" t="s">
        <v>25741</v>
      </c>
      <c r="F8834" t="s">
        <v>30900</v>
      </c>
      <c r="G8834" t="s">
        <v>30907</v>
      </c>
      <c r="H8834" t="s">
        <v>30916</v>
      </c>
      <c r="I8834" t="s">
        <v>30921</v>
      </c>
      <c r="J8834" t="s">
        <v>33599</v>
      </c>
      <c r="K8834" t="s">
        <v>40283</v>
      </c>
      <c r="M8834" t="s">
        <v>41086</v>
      </c>
      <c r="N8834" t="s">
        <v>44759</v>
      </c>
      <c r="O8834" t="s">
        <v>44760</v>
      </c>
      <c r="P8834">
        <v>0</v>
      </c>
      <c r="Q8834">
        <v>0</v>
      </c>
      <c r="R8834" t="s">
        <v>44768</v>
      </c>
      <c r="S8834" t="s">
        <v>44982</v>
      </c>
      <c r="T8834" t="s">
        <v>46544</v>
      </c>
      <c r="U8834" t="s">
        <v>54253</v>
      </c>
      <c r="W8834" t="s">
        <v>41086</v>
      </c>
      <c r="X8834" t="s">
        <v>44769</v>
      </c>
    </row>
    <row r="8835" spans="1:24">
      <c r="A8835">
        <f>HYPERLINK("https://www.philgeps.gov.ph/GEPSNONPILOT/Tender/SplashBidNoticeAbstractUI.aspx?menuIndex=3&amp;refID=7141274&amp;Result=3","7141274")</f>
        <v>0</v>
      </c>
      <c r="B8835" t="s">
        <v>56</v>
      </c>
      <c r="C8835" t="s">
        <v>12128</v>
      </c>
      <c r="D8835" t="s">
        <v>17952</v>
      </c>
      <c r="E8835" t="s">
        <v>25742</v>
      </c>
      <c r="F8835" t="s">
        <v>30900</v>
      </c>
      <c r="G8835" t="s">
        <v>30907</v>
      </c>
      <c r="H8835" t="s">
        <v>30916</v>
      </c>
      <c r="I8835" t="s">
        <v>30921</v>
      </c>
      <c r="J8835" t="s">
        <v>33088</v>
      </c>
      <c r="K8835" t="s">
        <v>40294</v>
      </c>
      <c r="M8835" t="s">
        <v>43052</v>
      </c>
      <c r="N8835" t="s">
        <v>44759</v>
      </c>
      <c r="O8835" t="s">
        <v>44760</v>
      </c>
      <c r="P8835">
        <v>0</v>
      </c>
      <c r="Q8835">
        <v>0</v>
      </c>
      <c r="R8835" t="s">
        <v>44768</v>
      </c>
      <c r="S8835" t="s">
        <v>44982</v>
      </c>
      <c r="T8835" t="s">
        <v>46450</v>
      </c>
      <c r="U8835" t="s">
        <v>54280</v>
      </c>
      <c r="V8835" t="s">
        <v>59226</v>
      </c>
      <c r="W8835" t="s">
        <v>43052</v>
      </c>
      <c r="X8835" t="s">
        <v>44769</v>
      </c>
    </row>
    <row r="8836" spans="1:24">
      <c r="A8836">
        <f>HYPERLINK("https://www.philgeps.gov.ph/GEPSNONPILOT/Tender/SplashBidNoticeAbstractUI.aspx?menuIndex=3&amp;refID=7141267&amp;Result=3","7141267")</f>
        <v>0</v>
      </c>
      <c r="B8836" t="s">
        <v>81</v>
      </c>
      <c r="C8836" t="s">
        <v>12129</v>
      </c>
      <c r="D8836" t="s">
        <v>17959</v>
      </c>
      <c r="E8836" t="s">
        <v>23921</v>
      </c>
      <c r="F8836" t="s">
        <v>30900</v>
      </c>
      <c r="G8836" t="s">
        <v>30908</v>
      </c>
      <c r="H8836" t="s">
        <v>30916</v>
      </c>
      <c r="I8836" t="s">
        <v>30924</v>
      </c>
      <c r="J8836" t="s">
        <v>35587</v>
      </c>
      <c r="K8836" t="s">
        <v>40289</v>
      </c>
      <c r="M8836" t="s">
        <v>41401</v>
      </c>
      <c r="N8836" t="s">
        <v>44759</v>
      </c>
      <c r="O8836" t="s">
        <v>44760</v>
      </c>
      <c r="P8836">
        <v>0</v>
      </c>
      <c r="Q8836">
        <v>6</v>
      </c>
      <c r="R8836" t="s">
        <v>44768</v>
      </c>
      <c r="S8836" t="s">
        <v>44982</v>
      </c>
      <c r="T8836" t="s">
        <v>46581</v>
      </c>
      <c r="U8836" t="s">
        <v>54281</v>
      </c>
      <c r="V8836" t="s">
        <v>59313</v>
      </c>
      <c r="W8836" t="s">
        <v>41401</v>
      </c>
      <c r="X8836" t="s">
        <v>44769</v>
      </c>
    </row>
    <row r="8837" spans="1:24">
      <c r="A8837">
        <f>HYPERLINK("https://www.philgeps.gov.ph/GEPSNONPILOT/Tender/SplashBidNoticeAbstractUI.aspx?menuIndex=3&amp;refID=7141270&amp;Result=3","7141270")</f>
        <v>0</v>
      </c>
      <c r="B8837" t="s">
        <v>1974</v>
      </c>
      <c r="C8837" t="s">
        <v>12130</v>
      </c>
      <c r="D8837" t="s">
        <v>17985</v>
      </c>
      <c r="E8837" t="s">
        <v>25743</v>
      </c>
      <c r="F8837" t="s">
        <v>30900</v>
      </c>
      <c r="G8837" t="s">
        <v>30907</v>
      </c>
      <c r="H8837" t="s">
        <v>30916</v>
      </c>
      <c r="I8837" t="s">
        <v>6953</v>
      </c>
      <c r="J8837" t="s">
        <v>36594</v>
      </c>
      <c r="K8837" t="s">
        <v>40289</v>
      </c>
      <c r="M8837" t="s">
        <v>43630</v>
      </c>
      <c r="N8837" t="s">
        <v>44759</v>
      </c>
      <c r="O8837" t="s">
        <v>44760</v>
      </c>
      <c r="Q8837">
        <v>7</v>
      </c>
      <c r="R8837" t="s">
        <v>44768</v>
      </c>
      <c r="S8837" t="s">
        <v>45021</v>
      </c>
      <c r="T8837" t="s">
        <v>46389</v>
      </c>
      <c r="U8837" t="s">
        <v>54282</v>
      </c>
      <c r="V8837" t="s">
        <v>60079</v>
      </c>
      <c r="W8837" t="s">
        <v>43630</v>
      </c>
      <c r="X8837" t="s">
        <v>44769</v>
      </c>
    </row>
    <row r="8838" spans="1:24">
      <c r="A8838">
        <f>HYPERLINK("https://www.philgeps.gov.ph/GEPSNONPILOT/Tender/SplashBidNoticeAbstractUI.aspx?menuIndex=3&amp;refID=7141265&amp;Result=3","7141265")</f>
        <v>0</v>
      </c>
      <c r="B8838" t="s">
        <v>864</v>
      </c>
      <c r="C8838" t="s">
        <v>12131</v>
      </c>
      <c r="D8838" t="s">
        <v>18025</v>
      </c>
      <c r="E8838" t="s">
        <v>25744</v>
      </c>
      <c r="F8838" t="s">
        <v>30900</v>
      </c>
      <c r="G8838" t="s">
        <v>30907</v>
      </c>
      <c r="H8838" t="s">
        <v>30916</v>
      </c>
      <c r="I8838" t="s">
        <v>4545</v>
      </c>
      <c r="J8838" t="s">
        <v>36595</v>
      </c>
      <c r="K8838" t="s">
        <v>40283</v>
      </c>
      <c r="M8838" t="s">
        <v>41437</v>
      </c>
      <c r="N8838" t="s">
        <v>44759</v>
      </c>
      <c r="O8838" t="s">
        <v>44760</v>
      </c>
      <c r="P8838">
        <v>0</v>
      </c>
      <c r="Q8838">
        <v>13</v>
      </c>
      <c r="R8838" t="s">
        <v>44768</v>
      </c>
      <c r="S8838" t="s">
        <v>44982</v>
      </c>
      <c r="T8838" t="s">
        <v>46495</v>
      </c>
      <c r="U8838" t="s">
        <v>54283</v>
      </c>
      <c r="V8838" t="s">
        <v>59116</v>
      </c>
      <c r="W8838" t="s">
        <v>41437</v>
      </c>
      <c r="X8838" t="s">
        <v>44769</v>
      </c>
    </row>
    <row r="8839" spans="1:24">
      <c r="A8839">
        <f>HYPERLINK("https://www.philgeps.gov.ph/GEPSNONPILOT/Tender/SplashBidNoticeAbstractUI.aspx?menuIndex=3&amp;refID=7141306&amp;Result=3","7141306")</f>
        <v>0</v>
      </c>
      <c r="B8839" t="s">
        <v>2846</v>
      </c>
      <c r="C8839" t="s">
        <v>12132</v>
      </c>
      <c r="D8839" t="s">
        <v>17971</v>
      </c>
      <c r="E8839" t="s">
        <v>19382</v>
      </c>
      <c r="F8839" t="s">
        <v>30900</v>
      </c>
      <c r="G8839" t="s">
        <v>30907</v>
      </c>
      <c r="H8839" t="s">
        <v>30915</v>
      </c>
      <c r="I8839" t="s">
        <v>8123</v>
      </c>
      <c r="J8839" t="s">
        <v>36596</v>
      </c>
      <c r="K8839" t="s">
        <v>40286</v>
      </c>
      <c r="M8839" t="s">
        <v>43632</v>
      </c>
      <c r="N8839" t="s">
        <v>44759</v>
      </c>
      <c r="O8839" t="s">
        <v>44760</v>
      </c>
      <c r="P8839">
        <v>0</v>
      </c>
      <c r="Q8839">
        <v>1</v>
      </c>
      <c r="R8839" t="s">
        <v>44768</v>
      </c>
      <c r="S8839" t="s">
        <v>44982</v>
      </c>
      <c r="T8839" t="s">
        <v>46623</v>
      </c>
      <c r="U8839" t="s">
        <v>54284</v>
      </c>
      <c r="W8839" t="s">
        <v>43632</v>
      </c>
      <c r="X8839" t="s">
        <v>44769</v>
      </c>
    </row>
    <row r="8840" spans="1:24">
      <c r="A8840">
        <f>HYPERLINK("https://www.philgeps.gov.ph/GEPSNONPILOT/Tender/SplashBidNoticeAbstractUI.aspx?menuIndex=3&amp;refID=7141301&amp;Result=3","7141301")</f>
        <v>0</v>
      </c>
      <c r="B8840" t="s">
        <v>2847</v>
      </c>
      <c r="C8840" t="s">
        <v>12133</v>
      </c>
      <c r="D8840" t="s">
        <v>17952</v>
      </c>
      <c r="E8840" t="s">
        <v>25745</v>
      </c>
      <c r="F8840" t="s">
        <v>30900</v>
      </c>
      <c r="G8840" t="s">
        <v>30907</v>
      </c>
      <c r="H8840" t="s">
        <v>30916</v>
      </c>
      <c r="I8840" t="s">
        <v>4545</v>
      </c>
      <c r="J8840" t="s">
        <v>36597</v>
      </c>
      <c r="K8840" t="s">
        <v>40293</v>
      </c>
      <c r="M8840" t="s">
        <v>43633</v>
      </c>
      <c r="N8840" t="s">
        <v>44759</v>
      </c>
      <c r="O8840" t="s">
        <v>44760</v>
      </c>
      <c r="P8840">
        <v>0</v>
      </c>
      <c r="Q8840">
        <v>3</v>
      </c>
      <c r="R8840" t="s">
        <v>44768</v>
      </c>
      <c r="S8840" t="s">
        <v>44982</v>
      </c>
      <c r="T8840" t="s">
        <v>46472</v>
      </c>
      <c r="U8840" t="s">
        <v>54285</v>
      </c>
      <c r="W8840" t="s">
        <v>43633</v>
      </c>
      <c r="X8840" t="s">
        <v>44769</v>
      </c>
    </row>
    <row r="8841" spans="1:24">
      <c r="A8841">
        <f>HYPERLINK("https://www.philgeps.gov.ph/GEPSNONPILOT/Tender/SplashBidNoticeAbstractUI.aspx?menuIndex=3&amp;refID=7141349&amp;Result=3","7141349")</f>
        <v>0</v>
      </c>
      <c r="B8841" t="s">
        <v>244</v>
      </c>
      <c r="C8841" t="s">
        <v>12134</v>
      </c>
      <c r="D8841" t="s">
        <v>17958</v>
      </c>
      <c r="E8841" t="s">
        <v>25746</v>
      </c>
      <c r="F8841" t="s">
        <v>30900</v>
      </c>
      <c r="G8841" t="s">
        <v>30908</v>
      </c>
      <c r="H8841" t="s">
        <v>30916</v>
      </c>
      <c r="I8841" t="s">
        <v>4142</v>
      </c>
      <c r="J8841" t="s">
        <v>31513</v>
      </c>
      <c r="K8841" t="s">
        <v>40284</v>
      </c>
      <c r="M8841" t="s">
        <v>40791</v>
      </c>
      <c r="N8841" t="s">
        <v>44759</v>
      </c>
      <c r="O8841" t="s">
        <v>44760</v>
      </c>
      <c r="P8841">
        <v>0</v>
      </c>
      <c r="Q8841">
        <v>0</v>
      </c>
      <c r="R8841" t="s">
        <v>44768</v>
      </c>
      <c r="S8841" t="s">
        <v>44982</v>
      </c>
      <c r="T8841" t="s">
        <v>46414</v>
      </c>
      <c r="U8841" t="s">
        <v>54286</v>
      </c>
      <c r="W8841" t="s">
        <v>40791</v>
      </c>
      <c r="X8841" t="s">
        <v>44769</v>
      </c>
    </row>
    <row r="8842" spans="1:24">
      <c r="A8842">
        <f>HYPERLINK("https://www.philgeps.gov.ph/GEPSNONPILOT/Tender/SplashBidNoticeAbstractUI.aspx?menuIndex=3&amp;refID=7141135&amp;Result=3","7141135")</f>
        <v>0</v>
      </c>
      <c r="B8842" t="s">
        <v>25</v>
      </c>
      <c r="C8842" t="s">
        <v>12135</v>
      </c>
      <c r="D8842" t="s">
        <v>17952</v>
      </c>
      <c r="E8842" t="s">
        <v>25747</v>
      </c>
      <c r="F8842" t="s">
        <v>30900</v>
      </c>
      <c r="G8842" t="s">
        <v>30908</v>
      </c>
      <c r="H8842" t="s">
        <v>30916</v>
      </c>
      <c r="I8842" t="s">
        <v>30929</v>
      </c>
      <c r="J8842" t="s">
        <v>33655</v>
      </c>
      <c r="K8842" t="s">
        <v>40287</v>
      </c>
      <c r="M8842" t="s">
        <v>40571</v>
      </c>
      <c r="N8842" t="s">
        <v>44759</v>
      </c>
      <c r="O8842" t="s">
        <v>44760</v>
      </c>
      <c r="P8842">
        <v>0</v>
      </c>
      <c r="Q8842">
        <v>6</v>
      </c>
      <c r="R8842" t="s">
        <v>44768</v>
      </c>
      <c r="S8842" t="s">
        <v>44982</v>
      </c>
      <c r="T8842" t="s">
        <v>46612</v>
      </c>
      <c r="U8842" t="s">
        <v>54287</v>
      </c>
      <c r="W8842" t="s">
        <v>40571</v>
      </c>
      <c r="X8842" t="s">
        <v>44769</v>
      </c>
    </row>
    <row r="8843" spans="1:24">
      <c r="A8843">
        <f>HYPERLINK("https://www.philgeps.gov.ph/GEPSNONPILOT/Tender/SplashBidNoticeAbstractUI.aspx?menuIndex=3&amp;refID=7141346&amp;Result=3","7141346")</f>
        <v>0</v>
      </c>
      <c r="B8843" t="s">
        <v>2848</v>
      </c>
      <c r="C8843" t="s">
        <v>12136</v>
      </c>
      <c r="D8843" t="s">
        <v>17963</v>
      </c>
      <c r="E8843" t="s">
        <v>25748</v>
      </c>
      <c r="F8843" t="s">
        <v>30900</v>
      </c>
      <c r="G8843" t="s">
        <v>30908</v>
      </c>
      <c r="H8843" t="s">
        <v>30915</v>
      </c>
      <c r="I8843" t="s">
        <v>30919</v>
      </c>
      <c r="J8843" t="s">
        <v>36598</v>
      </c>
      <c r="K8843" t="s">
        <v>40286</v>
      </c>
      <c r="M8843" t="s">
        <v>43634</v>
      </c>
      <c r="N8843" t="s">
        <v>44759</v>
      </c>
      <c r="O8843" t="s">
        <v>44760</v>
      </c>
      <c r="P8843">
        <v>0</v>
      </c>
      <c r="Q8843">
        <v>0</v>
      </c>
      <c r="R8843" t="s">
        <v>44768</v>
      </c>
      <c r="S8843" t="s">
        <v>44982</v>
      </c>
      <c r="T8843" t="s">
        <v>46662</v>
      </c>
      <c r="U8843" t="s">
        <v>54288</v>
      </c>
      <c r="W8843" t="s">
        <v>43634</v>
      </c>
      <c r="X8843" t="s">
        <v>44769</v>
      </c>
    </row>
    <row r="8844" spans="1:24">
      <c r="A8844">
        <f>HYPERLINK("https://www.philgeps.gov.ph/GEPSNONPILOT/Tender/SplashBidNoticeAbstractUI.aspx?menuIndex=3&amp;refID=7141345&amp;Result=3","7141345")</f>
        <v>0</v>
      </c>
      <c r="B8844" t="s">
        <v>1974</v>
      </c>
      <c r="C8844" t="s">
        <v>12137</v>
      </c>
      <c r="D8844" t="s">
        <v>17985</v>
      </c>
      <c r="E8844" t="s">
        <v>25749</v>
      </c>
      <c r="F8844" t="s">
        <v>30900</v>
      </c>
      <c r="G8844" t="s">
        <v>30907</v>
      </c>
      <c r="H8844" t="s">
        <v>30916</v>
      </c>
      <c r="I8844" t="s">
        <v>30928</v>
      </c>
      <c r="J8844" t="s">
        <v>36599</v>
      </c>
      <c r="K8844" t="s">
        <v>40289</v>
      </c>
      <c r="M8844" t="s">
        <v>43630</v>
      </c>
      <c r="N8844" t="s">
        <v>44759</v>
      </c>
      <c r="O8844" t="s">
        <v>44760</v>
      </c>
      <c r="Q8844">
        <v>10</v>
      </c>
      <c r="R8844" t="s">
        <v>44768</v>
      </c>
      <c r="S8844" t="s">
        <v>45022</v>
      </c>
      <c r="T8844" t="s">
        <v>46350</v>
      </c>
      <c r="U8844" t="s">
        <v>54289</v>
      </c>
      <c r="V8844" t="s">
        <v>60079</v>
      </c>
      <c r="W8844" t="s">
        <v>43630</v>
      </c>
      <c r="X8844" t="s">
        <v>44769</v>
      </c>
    </row>
    <row r="8845" spans="1:24">
      <c r="A8845">
        <f>HYPERLINK("https://www.philgeps.gov.ph/GEPSNONPILOT/Tender/SplashBidNoticeAbstractUI.aspx?menuIndex=3&amp;refID=7141362&amp;Result=3","7141362")</f>
        <v>0</v>
      </c>
      <c r="B8845" t="s">
        <v>163</v>
      </c>
      <c r="C8845" t="s">
        <v>12138</v>
      </c>
      <c r="D8845" t="s">
        <v>17999</v>
      </c>
      <c r="E8845" t="s">
        <v>25750</v>
      </c>
      <c r="F8845" t="s">
        <v>30900</v>
      </c>
      <c r="G8845" t="s">
        <v>30907</v>
      </c>
      <c r="H8845" t="s">
        <v>30915</v>
      </c>
      <c r="I8845" t="s">
        <v>30919</v>
      </c>
      <c r="J8845" t="s">
        <v>36600</v>
      </c>
      <c r="K8845" t="s">
        <v>40280</v>
      </c>
      <c r="M8845" t="s">
        <v>43635</v>
      </c>
      <c r="N8845" t="s">
        <v>44759</v>
      </c>
      <c r="O8845" t="s">
        <v>44760</v>
      </c>
      <c r="P8845">
        <v>0</v>
      </c>
      <c r="Q8845">
        <v>0</v>
      </c>
      <c r="R8845" t="s">
        <v>44768</v>
      </c>
      <c r="S8845" t="s">
        <v>44982</v>
      </c>
      <c r="T8845" t="s">
        <v>46428</v>
      </c>
      <c r="U8845" t="s">
        <v>54290</v>
      </c>
      <c r="V8845" t="s">
        <v>60080</v>
      </c>
      <c r="W8845" t="s">
        <v>40710</v>
      </c>
      <c r="X8845" t="s">
        <v>44769</v>
      </c>
    </row>
    <row r="8846" spans="1:24">
      <c r="A8846">
        <f>HYPERLINK("https://www.philgeps.gov.ph/GEPSNONPILOT/Tender/SplashBidNoticeAbstractUI.aspx?menuIndex=3&amp;refID=7141354&amp;Result=3","7141354")</f>
        <v>0</v>
      </c>
      <c r="B8846" t="s">
        <v>2849</v>
      </c>
      <c r="C8846" t="s">
        <v>12139</v>
      </c>
      <c r="D8846" t="s">
        <v>17977</v>
      </c>
      <c r="E8846" t="s">
        <v>19690</v>
      </c>
      <c r="F8846" t="s">
        <v>30900</v>
      </c>
      <c r="G8846" t="s">
        <v>30907</v>
      </c>
      <c r="H8846" t="s">
        <v>30917</v>
      </c>
      <c r="I8846" t="s">
        <v>17295</v>
      </c>
      <c r="J8846" t="s">
        <v>33932</v>
      </c>
      <c r="K8846" t="s">
        <v>40285</v>
      </c>
      <c r="M8846" t="s">
        <v>43636</v>
      </c>
      <c r="N8846" t="s">
        <v>44759</v>
      </c>
      <c r="O8846" t="s">
        <v>44760</v>
      </c>
      <c r="P8846">
        <v>0</v>
      </c>
      <c r="Q8846">
        <v>3</v>
      </c>
      <c r="R8846" t="s">
        <v>44768</v>
      </c>
      <c r="S8846" t="s">
        <v>44982</v>
      </c>
      <c r="T8846" t="s">
        <v>46625</v>
      </c>
      <c r="U8846" t="s">
        <v>54291</v>
      </c>
      <c r="W8846" t="s">
        <v>43636</v>
      </c>
      <c r="X8846" t="s">
        <v>44769</v>
      </c>
    </row>
    <row r="8847" spans="1:24">
      <c r="A8847">
        <f>HYPERLINK("https://www.philgeps.gov.ph/GEPSNONPILOT/Tender/SplashBidNoticeAbstractUI.aspx?menuIndex=3&amp;refID=7141360&amp;Result=3","7141360")</f>
        <v>0</v>
      </c>
      <c r="B8847" t="s">
        <v>2850</v>
      </c>
      <c r="C8847" t="s">
        <v>12140</v>
      </c>
      <c r="E8847" t="s">
        <v>25751</v>
      </c>
      <c r="F8847" t="s">
        <v>30900</v>
      </c>
      <c r="G8847" t="s">
        <v>30908</v>
      </c>
      <c r="H8847" t="s">
        <v>30917</v>
      </c>
      <c r="I8847" t="s">
        <v>30980</v>
      </c>
      <c r="J8847" t="s">
        <v>36601</v>
      </c>
      <c r="K8847" t="s">
        <v>40291</v>
      </c>
      <c r="M8847" t="s">
        <v>43637</v>
      </c>
      <c r="N8847" t="s">
        <v>44759</v>
      </c>
      <c r="O8847" t="s">
        <v>44760</v>
      </c>
      <c r="P8847">
        <v>0</v>
      </c>
      <c r="Q8847">
        <v>2</v>
      </c>
      <c r="R8847" t="s">
        <v>44768</v>
      </c>
      <c r="S8847" t="s">
        <v>44982</v>
      </c>
      <c r="T8847" t="s">
        <v>46531</v>
      </c>
      <c r="U8847" t="s">
        <v>54292</v>
      </c>
      <c r="W8847" t="s">
        <v>43637</v>
      </c>
      <c r="X8847" t="s">
        <v>44769</v>
      </c>
    </row>
    <row r="8848" spans="1:24">
      <c r="A8848">
        <f>HYPERLINK("https://www.philgeps.gov.ph/GEPSNONPILOT/Tender/SplashBidNoticeAbstractUI.aspx?menuIndex=3&amp;refID=7141355&amp;Result=3","7141355")</f>
        <v>0</v>
      </c>
      <c r="B8848" t="s">
        <v>2117</v>
      </c>
      <c r="C8848" t="s">
        <v>12141</v>
      </c>
      <c r="E8848" t="s">
        <v>25752</v>
      </c>
      <c r="F8848" t="s">
        <v>30900</v>
      </c>
      <c r="G8848" t="s">
        <v>30907</v>
      </c>
      <c r="H8848" t="s">
        <v>30916</v>
      </c>
      <c r="I8848" t="s">
        <v>30921</v>
      </c>
      <c r="J8848" t="s">
        <v>31341</v>
      </c>
      <c r="K8848" t="s">
        <v>40289</v>
      </c>
      <c r="M8848" t="s">
        <v>42818</v>
      </c>
      <c r="N8848" t="s">
        <v>44759</v>
      </c>
      <c r="O8848" t="s">
        <v>44760</v>
      </c>
      <c r="P8848">
        <v>0</v>
      </c>
      <c r="Q8848">
        <v>1</v>
      </c>
      <c r="R8848" t="s">
        <v>44768</v>
      </c>
      <c r="S8848" t="s">
        <v>44982</v>
      </c>
      <c r="T8848" t="s">
        <v>46641</v>
      </c>
      <c r="U8848" t="s">
        <v>54293</v>
      </c>
      <c r="W8848" t="s">
        <v>42818</v>
      </c>
      <c r="X8848" t="s">
        <v>44769</v>
      </c>
    </row>
    <row r="8849" spans="1:24">
      <c r="A8849">
        <f>HYPERLINK("https://www.philgeps.gov.ph/GEPSNONPILOT/Tender/SplashBidNoticeAbstractUI.aspx?menuIndex=3&amp;refID=7141332&amp;Result=3","7141332")</f>
        <v>0</v>
      </c>
      <c r="B8849" t="s">
        <v>2163</v>
      </c>
      <c r="C8849" t="s">
        <v>12142</v>
      </c>
      <c r="D8849" t="s">
        <v>17999</v>
      </c>
      <c r="E8849" t="s">
        <v>25753</v>
      </c>
      <c r="F8849" t="s">
        <v>30900</v>
      </c>
      <c r="G8849" t="s">
        <v>30907</v>
      </c>
      <c r="H8849" t="s">
        <v>30916</v>
      </c>
      <c r="I8849" t="s">
        <v>4454</v>
      </c>
      <c r="J8849" t="s">
        <v>36602</v>
      </c>
      <c r="K8849" t="s">
        <v>40286</v>
      </c>
      <c r="M8849" t="s">
        <v>42868</v>
      </c>
      <c r="N8849" t="s">
        <v>44759</v>
      </c>
      <c r="O8849" t="s">
        <v>44760</v>
      </c>
      <c r="P8849">
        <v>0</v>
      </c>
      <c r="Q8849">
        <v>3</v>
      </c>
      <c r="R8849" t="s">
        <v>44768</v>
      </c>
      <c r="S8849" t="s">
        <v>44982</v>
      </c>
      <c r="T8849" t="s">
        <v>46625</v>
      </c>
      <c r="U8849" t="s">
        <v>54294</v>
      </c>
      <c r="W8849" t="s">
        <v>42868</v>
      </c>
      <c r="X8849" t="s">
        <v>44769</v>
      </c>
    </row>
    <row r="8850" spans="1:24">
      <c r="A8850">
        <f>HYPERLINK("https://www.philgeps.gov.ph/GEPSNONPILOT/Tender/SplashBidNoticeAbstractUI.aspx?menuIndex=3&amp;refID=7141340&amp;Result=3","7141340")</f>
        <v>0</v>
      </c>
      <c r="B8850" t="s">
        <v>2117</v>
      </c>
      <c r="C8850" t="s">
        <v>12143</v>
      </c>
      <c r="E8850" t="s">
        <v>25754</v>
      </c>
      <c r="F8850" t="s">
        <v>30900</v>
      </c>
      <c r="G8850" t="s">
        <v>30907</v>
      </c>
      <c r="H8850" t="s">
        <v>30916</v>
      </c>
      <c r="I8850" t="s">
        <v>4142</v>
      </c>
      <c r="J8850" t="s">
        <v>36603</v>
      </c>
      <c r="K8850" t="s">
        <v>40289</v>
      </c>
      <c r="M8850" t="s">
        <v>42818</v>
      </c>
      <c r="N8850" t="s">
        <v>44759</v>
      </c>
      <c r="O8850" t="s">
        <v>44760</v>
      </c>
      <c r="P8850">
        <v>0</v>
      </c>
      <c r="Q8850">
        <v>1</v>
      </c>
      <c r="R8850" t="s">
        <v>44768</v>
      </c>
      <c r="S8850" t="s">
        <v>44982</v>
      </c>
      <c r="T8850" t="s">
        <v>46403</v>
      </c>
      <c r="U8850" t="s">
        <v>54295</v>
      </c>
      <c r="W8850" t="s">
        <v>42818</v>
      </c>
      <c r="X8850" t="s">
        <v>44769</v>
      </c>
    </row>
    <row r="8851" spans="1:24">
      <c r="A8851">
        <f>HYPERLINK("https://www.philgeps.gov.ph/GEPSNONPILOT/Tender/SplashBidNoticeAbstractUI.aspx?menuIndex=3&amp;refID=7141320&amp;Result=3","7141320")</f>
        <v>0</v>
      </c>
      <c r="B8851" t="s">
        <v>1937</v>
      </c>
      <c r="C8851" t="s">
        <v>12144</v>
      </c>
      <c r="D8851" t="s">
        <v>17961</v>
      </c>
      <c r="E8851" t="s">
        <v>19044</v>
      </c>
      <c r="F8851" t="s">
        <v>30900</v>
      </c>
      <c r="G8851" t="s">
        <v>30907</v>
      </c>
      <c r="H8851" t="s">
        <v>30916</v>
      </c>
      <c r="I8851" t="s">
        <v>30949</v>
      </c>
      <c r="J8851" t="s">
        <v>36604</v>
      </c>
      <c r="K8851" t="s">
        <v>40293</v>
      </c>
      <c r="M8851" t="s">
        <v>42618</v>
      </c>
      <c r="N8851" t="s">
        <v>44759</v>
      </c>
      <c r="O8851" t="s">
        <v>44760</v>
      </c>
      <c r="P8851">
        <v>0</v>
      </c>
      <c r="Q8851">
        <v>22</v>
      </c>
      <c r="R8851" t="s">
        <v>44768</v>
      </c>
      <c r="S8851" t="s">
        <v>44982</v>
      </c>
      <c r="T8851" t="s">
        <v>46370</v>
      </c>
      <c r="U8851" t="s">
        <v>54296</v>
      </c>
      <c r="W8851" t="s">
        <v>42618</v>
      </c>
      <c r="X8851" t="s">
        <v>44769</v>
      </c>
    </row>
    <row r="8852" spans="1:24">
      <c r="A8852">
        <f>HYPERLINK("https://www.philgeps.gov.ph/GEPSNONPILOT/Tender/SplashBidNoticeAbstractUI.aspx?menuIndex=3&amp;refID=7141305&amp;Result=3","7141305")</f>
        <v>0</v>
      </c>
      <c r="B8852" t="s">
        <v>2561</v>
      </c>
      <c r="C8852" t="s">
        <v>12145</v>
      </c>
      <c r="D8852" t="s">
        <v>17951</v>
      </c>
      <c r="E8852" t="s">
        <v>25755</v>
      </c>
      <c r="F8852" t="s">
        <v>30900</v>
      </c>
      <c r="G8852" t="s">
        <v>30909</v>
      </c>
      <c r="H8852" t="s">
        <v>30916</v>
      </c>
      <c r="I8852" t="s">
        <v>30926</v>
      </c>
      <c r="J8852" t="s">
        <v>36605</v>
      </c>
      <c r="K8852" t="s">
        <v>40286</v>
      </c>
      <c r="M8852" t="s">
        <v>43319</v>
      </c>
      <c r="N8852" t="s">
        <v>44759</v>
      </c>
      <c r="O8852" t="s">
        <v>44760</v>
      </c>
      <c r="P8852">
        <v>0</v>
      </c>
      <c r="Q8852">
        <v>0</v>
      </c>
      <c r="R8852" t="s">
        <v>44768</v>
      </c>
      <c r="S8852" t="s">
        <v>44982</v>
      </c>
      <c r="T8852" t="s">
        <v>46771</v>
      </c>
      <c r="U8852" t="s">
        <v>54230</v>
      </c>
      <c r="W8852" t="s">
        <v>43319</v>
      </c>
      <c r="X8852" t="s">
        <v>44769</v>
      </c>
    </row>
    <row r="8853" spans="1:24">
      <c r="A8853">
        <f>HYPERLINK("https://www.philgeps.gov.ph/GEPSNONPILOT/Tender/SplashBidNoticeAbstractUI.aspx?menuIndex=3&amp;refID=7141323&amp;Result=3","7141323")</f>
        <v>0</v>
      </c>
      <c r="B8853" t="s">
        <v>1274</v>
      </c>
      <c r="C8853" t="s">
        <v>11599</v>
      </c>
      <c r="D8853" t="s">
        <v>18017</v>
      </c>
      <c r="E8853" t="s">
        <v>25756</v>
      </c>
      <c r="F8853" t="s">
        <v>30900</v>
      </c>
      <c r="G8853" t="s">
        <v>30907</v>
      </c>
      <c r="H8853" t="s">
        <v>30916</v>
      </c>
      <c r="I8853" t="s">
        <v>4108</v>
      </c>
      <c r="J8853" t="s">
        <v>36606</v>
      </c>
      <c r="K8853" t="s">
        <v>40333</v>
      </c>
      <c r="M8853" t="s">
        <v>41890</v>
      </c>
      <c r="N8853" t="s">
        <v>44759</v>
      </c>
      <c r="O8853" t="s">
        <v>44760</v>
      </c>
      <c r="P8853">
        <v>0</v>
      </c>
      <c r="Q8853">
        <v>0</v>
      </c>
      <c r="R8853" t="s">
        <v>44768</v>
      </c>
      <c r="S8853" t="s">
        <v>44982</v>
      </c>
      <c r="T8853" t="s">
        <v>46581</v>
      </c>
      <c r="U8853" t="s">
        <v>54297</v>
      </c>
      <c r="V8853" t="s">
        <v>59453</v>
      </c>
      <c r="W8853" t="s">
        <v>41890</v>
      </c>
      <c r="X8853" t="s">
        <v>44769</v>
      </c>
    </row>
    <row r="8854" spans="1:24">
      <c r="A8854">
        <f>HYPERLINK("https://www.philgeps.gov.ph/GEPSNONPILOT/Tender/SplashBidNoticeAbstractUI.aspx?menuIndex=3&amp;refID=7141336&amp;Result=3","7141336")</f>
        <v>0</v>
      </c>
      <c r="B8854" t="s">
        <v>81</v>
      </c>
      <c r="C8854" t="s">
        <v>12146</v>
      </c>
      <c r="D8854" t="s">
        <v>17959</v>
      </c>
      <c r="E8854" t="s">
        <v>25757</v>
      </c>
      <c r="F8854" t="s">
        <v>30900</v>
      </c>
      <c r="G8854" t="s">
        <v>30908</v>
      </c>
      <c r="H8854" t="s">
        <v>30916</v>
      </c>
      <c r="I8854" t="s">
        <v>11785</v>
      </c>
      <c r="J8854" t="s">
        <v>36607</v>
      </c>
      <c r="K8854" t="s">
        <v>40289</v>
      </c>
      <c r="M8854" t="s">
        <v>41401</v>
      </c>
      <c r="N8854" t="s">
        <v>44759</v>
      </c>
      <c r="O8854" t="s">
        <v>44760</v>
      </c>
      <c r="P8854">
        <v>0</v>
      </c>
      <c r="Q8854">
        <v>3</v>
      </c>
      <c r="R8854" t="s">
        <v>44768</v>
      </c>
      <c r="S8854" t="s">
        <v>44982</v>
      </c>
      <c r="T8854" t="s">
        <v>46581</v>
      </c>
      <c r="U8854" t="s">
        <v>54298</v>
      </c>
      <c r="V8854" t="s">
        <v>59313</v>
      </c>
      <c r="W8854" t="s">
        <v>41401</v>
      </c>
      <c r="X8854" t="s">
        <v>44769</v>
      </c>
    </row>
    <row r="8855" spans="1:24">
      <c r="A8855">
        <f>HYPERLINK("https://www.philgeps.gov.ph/GEPSNONPILOT/Tender/SplashBidNoticeAbstractUI.aspx?menuIndex=3&amp;refID=7141310&amp;Result=3","7141310")</f>
        <v>0</v>
      </c>
      <c r="B8855" t="s">
        <v>1232</v>
      </c>
      <c r="C8855" t="s">
        <v>12147</v>
      </c>
      <c r="D8855" t="s">
        <v>17969</v>
      </c>
      <c r="E8855" t="s">
        <v>25758</v>
      </c>
      <c r="F8855" t="s">
        <v>30900</v>
      </c>
      <c r="G8855" t="s">
        <v>30910</v>
      </c>
      <c r="H8855" t="s">
        <v>30916</v>
      </c>
      <c r="I8855" t="s">
        <v>4108</v>
      </c>
      <c r="J8855" t="s">
        <v>36608</v>
      </c>
      <c r="K8855" t="s">
        <v>40286</v>
      </c>
      <c r="M8855" t="s">
        <v>41844</v>
      </c>
      <c r="N8855" t="s">
        <v>44759</v>
      </c>
      <c r="O8855" t="s">
        <v>44760</v>
      </c>
      <c r="P8855">
        <v>0</v>
      </c>
      <c r="Q8855">
        <v>3</v>
      </c>
      <c r="R8855" t="s">
        <v>44768</v>
      </c>
      <c r="S8855" t="s">
        <v>44982</v>
      </c>
      <c r="T8855" t="s">
        <v>46581</v>
      </c>
      <c r="U8855" t="s">
        <v>54299</v>
      </c>
      <c r="W8855" t="s">
        <v>41844</v>
      </c>
      <c r="X8855" t="s">
        <v>44769</v>
      </c>
    </row>
    <row r="8856" spans="1:24">
      <c r="A8856">
        <f>HYPERLINK("https://www.philgeps.gov.ph/GEPSNONPILOT/Tender/SplashBidNoticeAbstractUI.aspx?menuIndex=3&amp;refID=7141308&amp;Result=3","7141308")</f>
        <v>0</v>
      </c>
      <c r="B8856" t="s">
        <v>2806</v>
      </c>
      <c r="C8856" t="s">
        <v>4796</v>
      </c>
      <c r="D8856" t="s">
        <v>17975</v>
      </c>
      <c r="E8856" t="s">
        <v>25759</v>
      </c>
      <c r="F8856" t="s">
        <v>30900</v>
      </c>
      <c r="G8856" t="s">
        <v>30907</v>
      </c>
      <c r="H8856" t="s">
        <v>30916</v>
      </c>
      <c r="I8856" t="s">
        <v>30993</v>
      </c>
      <c r="J8856" t="s">
        <v>31043</v>
      </c>
      <c r="K8856" t="s">
        <v>40287</v>
      </c>
      <c r="M8856" t="s">
        <v>43591</v>
      </c>
      <c r="N8856" t="s">
        <v>44759</v>
      </c>
      <c r="O8856" t="s">
        <v>44760</v>
      </c>
      <c r="P8856">
        <v>0</v>
      </c>
      <c r="Q8856">
        <v>1</v>
      </c>
      <c r="R8856" t="s">
        <v>44768</v>
      </c>
      <c r="S8856" t="s">
        <v>44982</v>
      </c>
      <c r="T8856" t="s">
        <v>46361</v>
      </c>
      <c r="U8856" t="s">
        <v>54123</v>
      </c>
      <c r="V8856" t="s">
        <v>60059</v>
      </c>
      <c r="W8856" t="s">
        <v>43591</v>
      </c>
      <c r="X8856" t="s">
        <v>44769</v>
      </c>
    </row>
    <row r="8857" spans="1:24">
      <c r="A8857">
        <f>HYPERLINK("https://www.philgeps.gov.ph/GEPSNONPILOT/Tender/SplashBidNoticeAbstractUI.aspx?menuIndex=3&amp;refID=7141363&amp;Result=3","7141363")</f>
        <v>0</v>
      </c>
      <c r="B8857" t="s">
        <v>2561</v>
      </c>
      <c r="C8857" t="s">
        <v>12148</v>
      </c>
      <c r="D8857" t="s">
        <v>17951</v>
      </c>
      <c r="E8857" t="s">
        <v>25760</v>
      </c>
      <c r="F8857" t="s">
        <v>30900</v>
      </c>
      <c r="G8857" t="s">
        <v>30906</v>
      </c>
      <c r="H8857" t="s">
        <v>30916</v>
      </c>
      <c r="I8857" t="s">
        <v>6953</v>
      </c>
      <c r="J8857" t="s">
        <v>36609</v>
      </c>
      <c r="K8857" t="s">
        <v>40286</v>
      </c>
      <c r="M8857" t="s">
        <v>43319</v>
      </c>
      <c r="N8857" t="s">
        <v>44759</v>
      </c>
      <c r="O8857" t="s">
        <v>44760</v>
      </c>
      <c r="P8857">
        <v>0</v>
      </c>
      <c r="Q8857">
        <v>0</v>
      </c>
      <c r="R8857" t="s">
        <v>44768</v>
      </c>
      <c r="S8857" t="s">
        <v>44982</v>
      </c>
      <c r="T8857" t="s">
        <v>46771</v>
      </c>
      <c r="U8857" t="s">
        <v>54230</v>
      </c>
      <c r="W8857" t="s">
        <v>43319</v>
      </c>
      <c r="X8857" t="s">
        <v>44769</v>
      </c>
    </row>
    <row r="8858" spans="1:24">
      <c r="A8858">
        <f>HYPERLINK("https://www.philgeps.gov.ph/GEPSNONPILOT/Tender/SplashBidNoticeAbstractUI.aspx?menuIndex=3&amp;refID=7141331&amp;Result=3","7141331")</f>
        <v>0</v>
      </c>
      <c r="B8858" t="s">
        <v>1974</v>
      </c>
      <c r="C8858" t="s">
        <v>12149</v>
      </c>
      <c r="D8858" t="s">
        <v>17985</v>
      </c>
      <c r="E8858" t="s">
        <v>25761</v>
      </c>
      <c r="F8858" t="s">
        <v>30900</v>
      </c>
      <c r="G8858" t="s">
        <v>30907</v>
      </c>
      <c r="H8858" t="s">
        <v>30916</v>
      </c>
      <c r="I8858" t="s">
        <v>8123</v>
      </c>
      <c r="J8858" t="s">
        <v>36610</v>
      </c>
      <c r="K8858" t="s">
        <v>40289</v>
      </c>
      <c r="M8858" t="s">
        <v>43630</v>
      </c>
      <c r="N8858" t="s">
        <v>44759</v>
      </c>
      <c r="O8858" t="s">
        <v>44760</v>
      </c>
      <c r="Q8858">
        <v>7</v>
      </c>
      <c r="R8858" t="s">
        <v>44768</v>
      </c>
      <c r="S8858" t="s">
        <v>45023</v>
      </c>
      <c r="T8858" t="s">
        <v>46350</v>
      </c>
      <c r="U8858" t="s">
        <v>54300</v>
      </c>
      <c r="V8858" t="s">
        <v>60079</v>
      </c>
      <c r="W8858" t="s">
        <v>43630</v>
      </c>
      <c r="X8858" t="s">
        <v>44769</v>
      </c>
    </row>
    <row r="8859" spans="1:24">
      <c r="A8859">
        <f>HYPERLINK("https://www.philgeps.gov.ph/GEPSNONPILOT/Tender/SplashBidNoticeAbstractUI.aspx?menuIndex=3&amp;refID=7141398&amp;Result=3","7141398")</f>
        <v>0</v>
      </c>
      <c r="B8859" t="s">
        <v>2851</v>
      </c>
      <c r="C8859" t="s">
        <v>12150</v>
      </c>
      <c r="D8859" t="s">
        <v>17968</v>
      </c>
      <c r="E8859" t="s">
        <v>24671</v>
      </c>
      <c r="F8859" t="s">
        <v>30900</v>
      </c>
      <c r="G8859" t="s">
        <v>30907</v>
      </c>
      <c r="H8859" t="s">
        <v>30916</v>
      </c>
      <c r="I8859" t="s">
        <v>30927</v>
      </c>
      <c r="J8859" t="s">
        <v>36611</v>
      </c>
      <c r="K8859" t="s">
        <v>40289</v>
      </c>
      <c r="M8859" t="s">
        <v>43638</v>
      </c>
      <c r="N8859" t="s">
        <v>44759</v>
      </c>
      <c r="O8859" t="s">
        <v>44760</v>
      </c>
      <c r="P8859">
        <v>0</v>
      </c>
      <c r="Q8859">
        <v>2</v>
      </c>
      <c r="R8859" t="s">
        <v>44768</v>
      </c>
      <c r="S8859" t="s">
        <v>44982</v>
      </c>
      <c r="T8859" t="s">
        <v>46495</v>
      </c>
      <c r="U8859" t="s">
        <v>54301</v>
      </c>
      <c r="W8859" t="s">
        <v>43638</v>
      </c>
      <c r="X8859" t="s">
        <v>44769</v>
      </c>
    </row>
    <row r="8860" spans="1:24">
      <c r="A8860">
        <f>HYPERLINK("https://www.philgeps.gov.ph/GEPSNONPILOT/Tender/SplashBidNoticeAbstractUI.aspx?menuIndex=3&amp;refID=7141311&amp;Result=3","7141311")</f>
        <v>0</v>
      </c>
      <c r="B8860" t="s">
        <v>1974</v>
      </c>
      <c r="C8860" t="s">
        <v>12151</v>
      </c>
      <c r="D8860" t="s">
        <v>17985</v>
      </c>
      <c r="E8860" t="s">
        <v>25762</v>
      </c>
      <c r="F8860" t="s">
        <v>30900</v>
      </c>
      <c r="G8860" t="s">
        <v>30907</v>
      </c>
      <c r="H8860" t="s">
        <v>30916</v>
      </c>
      <c r="I8860" t="s">
        <v>6396</v>
      </c>
      <c r="J8860" t="s">
        <v>36612</v>
      </c>
      <c r="K8860" t="s">
        <v>40289</v>
      </c>
      <c r="M8860" t="s">
        <v>43630</v>
      </c>
      <c r="N8860" t="s">
        <v>44759</v>
      </c>
      <c r="O8860" t="s">
        <v>44760</v>
      </c>
      <c r="Q8860">
        <v>14</v>
      </c>
      <c r="R8860" t="s">
        <v>44768</v>
      </c>
      <c r="S8860" t="s">
        <v>45024</v>
      </c>
      <c r="T8860" t="s">
        <v>46350</v>
      </c>
      <c r="U8860" t="s">
        <v>54302</v>
      </c>
      <c r="V8860" t="s">
        <v>60079</v>
      </c>
      <c r="W8860" t="s">
        <v>43630</v>
      </c>
      <c r="X8860" t="s">
        <v>44769</v>
      </c>
    </row>
    <row r="8861" spans="1:24">
      <c r="A8861">
        <f>HYPERLINK("https://www.philgeps.gov.ph/GEPSNONPILOT/Tender/SplashBidNoticeAbstractUI.aspx?menuIndex=3&amp;refID=7141390&amp;Result=3","7141390")</f>
        <v>0</v>
      </c>
      <c r="B8861" t="s">
        <v>2852</v>
      </c>
      <c r="C8861" t="s">
        <v>12152</v>
      </c>
      <c r="D8861" t="s">
        <v>17963</v>
      </c>
      <c r="E8861" t="s">
        <v>19570</v>
      </c>
      <c r="F8861" t="s">
        <v>30900</v>
      </c>
      <c r="G8861" t="s">
        <v>30907</v>
      </c>
      <c r="H8861" t="s">
        <v>30915</v>
      </c>
      <c r="I8861" t="s">
        <v>30970</v>
      </c>
      <c r="J8861" t="s">
        <v>31049</v>
      </c>
      <c r="K8861" t="s">
        <v>40283</v>
      </c>
      <c r="M8861" t="s">
        <v>43639</v>
      </c>
      <c r="N8861" t="s">
        <v>44759</v>
      </c>
      <c r="O8861" t="s">
        <v>44760</v>
      </c>
      <c r="P8861">
        <v>0</v>
      </c>
      <c r="Q8861">
        <v>0</v>
      </c>
      <c r="R8861" t="s">
        <v>44768</v>
      </c>
      <c r="S8861" t="s">
        <v>44982</v>
      </c>
      <c r="T8861" t="s">
        <v>46591</v>
      </c>
      <c r="U8861" t="s">
        <v>54303</v>
      </c>
      <c r="W8861" t="s">
        <v>43639</v>
      </c>
      <c r="X8861" t="s">
        <v>44769</v>
      </c>
    </row>
    <row r="8862" spans="1:24">
      <c r="A8862">
        <f>HYPERLINK("https://www.philgeps.gov.ph/GEPSNONPILOT/Tender/SplashBidNoticeAbstractUI.aspx?menuIndex=3&amp;refID=7141368&amp;Result=3","7141368")</f>
        <v>0</v>
      </c>
      <c r="B8862" t="s">
        <v>81</v>
      </c>
      <c r="C8862" t="s">
        <v>12153</v>
      </c>
      <c r="D8862" t="s">
        <v>17959</v>
      </c>
      <c r="E8862" t="s">
        <v>25763</v>
      </c>
      <c r="F8862" t="s">
        <v>30900</v>
      </c>
      <c r="G8862" t="s">
        <v>30908</v>
      </c>
      <c r="H8862" t="s">
        <v>30916</v>
      </c>
      <c r="I8862" t="s">
        <v>30999</v>
      </c>
      <c r="J8862" t="s">
        <v>35293</v>
      </c>
      <c r="K8862" t="s">
        <v>40289</v>
      </c>
      <c r="M8862" t="s">
        <v>41401</v>
      </c>
      <c r="N8862" t="s">
        <v>44759</v>
      </c>
      <c r="O8862" t="s">
        <v>44760</v>
      </c>
      <c r="P8862">
        <v>0</v>
      </c>
      <c r="Q8862">
        <v>0</v>
      </c>
      <c r="R8862" t="s">
        <v>44768</v>
      </c>
      <c r="S8862" t="s">
        <v>44982</v>
      </c>
      <c r="T8862" t="s">
        <v>46581</v>
      </c>
      <c r="U8862" t="s">
        <v>54304</v>
      </c>
      <c r="V8862" t="s">
        <v>59313</v>
      </c>
      <c r="W8862" t="s">
        <v>41401</v>
      </c>
      <c r="X8862" t="s">
        <v>44769</v>
      </c>
    </row>
    <row r="8863" spans="1:24">
      <c r="A8863">
        <f>HYPERLINK("https://www.philgeps.gov.ph/GEPSNONPILOT/Tender/SplashBidNoticeAbstractUI.aspx?menuIndex=3&amp;refID=7141140&amp;Result=3","7141140")</f>
        <v>0</v>
      </c>
      <c r="B8863" t="s">
        <v>2819</v>
      </c>
      <c r="C8863" t="s">
        <v>12154</v>
      </c>
      <c r="E8863" t="s">
        <v>25764</v>
      </c>
      <c r="F8863" t="s">
        <v>30900</v>
      </c>
      <c r="G8863" t="s">
        <v>30907</v>
      </c>
      <c r="H8863" t="s">
        <v>30915</v>
      </c>
      <c r="I8863" t="s">
        <v>30919</v>
      </c>
      <c r="J8863" t="s">
        <v>36613</v>
      </c>
      <c r="K8863" t="s">
        <v>40289</v>
      </c>
      <c r="M8863" t="s">
        <v>43604</v>
      </c>
      <c r="N8863" t="s">
        <v>44759</v>
      </c>
      <c r="O8863" t="s">
        <v>44760</v>
      </c>
      <c r="P8863">
        <v>0</v>
      </c>
      <c r="Q8863">
        <v>0</v>
      </c>
      <c r="R8863" t="s">
        <v>44768</v>
      </c>
      <c r="S8863" t="s">
        <v>44982</v>
      </c>
      <c r="T8863" t="s">
        <v>46428</v>
      </c>
      <c r="U8863" t="s">
        <v>54305</v>
      </c>
      <c r="W8863" t="s">
        <v>43604</v>
      </c>
      <c r="X8863" t="s">
        <v>44769</v>
      </c>
    </row>
    <row r="8864" spans="1:24">
      <c r="A8864">
        <f>HYPERLINK("https://www.philgeps.gov.ph/GEPSNONPILOT/Tender/SplashBidNoticeAbstractUI.aspx?menuIndex=3&amp;refID=7141269&amp;Result=3","7141269")</f>
        <v>0</v>
      </c>
      <c r="B8864" t="s">
        <v>1829</v>
      </c>
      <c r="C8864" t="s">
        <v>12155</v>
      </c>
      <c r="D8864" t="s">
        <v>17955</v>
      </c>
      <c r="E8864" t="s">
        <v>18872</v>
      </c>
      <c r="F8864" t="s">
        <v>30900</v>
      </c>
      <c r="G8864" t="s">
        <v>30907</v>
      </c>
      <c r="H8864" t="s">
        <v>30915</v>
      </c>
      <c r="I8864" t="s">
        <v>30919</v>
      </c>
      <c r="J8864" t="s">
        <v>36614</v>
      </c>
      <c r="K8864" t="s">
        <v>40289</v>
      </c>
      <c r="M8864" t="s">
        <v>42502</v>
      </c>
      <c r="N8864" t="s">
        <v>44759</v>
      </c>
      <c r="O8864" t="s">
        <v>44760</v>
      </c>
      <c r="P8864">
        <v>0</v>
      </c>
      <c r="Q8864">
        <v>2</v>
      </c>
      <c r="R8864" t="s">
        <v>44768</v>
      </c>
      <c r="S8864" t="s">
        <v>44982</v>
      </c>
      <c r="T8864" t="s">
        <v>46700</v>
      </c>
      <c r="U8864" t="s">
        <v>54306</v>
      </c>
      <c r="W8864" t="s">
        <v>42502</v>
      </c>
      <c r="X8864" t="s">
        <v>44769</v>
      </c>
    </row>
    <row r="8865" spans="1:24">
      <c r="A8865">
        <f>HYPERLINK("https://www.philgeps.gov.ph/GEPSNONPILOT/Tender/SplashBidNoticeAbstractUI.aspx?menuIndex=3&amp;refID=7141413&amp;Result=3","7141413")</f>
        <v>0</v>
      </c>
      <c r="B8865" t="s">
        <v>2853</v>
      </c>
      <c r="C8865" t="s">
        <v>4074</v>
      </c>
      <c r="D8865" t="s">
        <v>17996</v>
      </c>
      <c r="E8865" t="s">
        <v>25765</v>
      </c>
      <c r="F8865" t="s">
        <v>30900</v>
      </c>
      <c r="G8865" t="s">
        <v>30907</v>
      </c>
      <c r="H8865" t="s">
        <v>30915</v>
      </c>
      <c r="I8865" t="s">
        <v>30919</v>
      </c>
      <c r="J8865" t="s">
        <v>31355</v>
      </c>
      <c r="K8865" t="s">
        <v>40288</v>
      </c>
      <c r="M8865" t="s">
        <v>43640</v>
      </c>
      <c r="N8865" t="s">
        <v>44759</v>
      </c>
      <c r="O8865" t="s">
        <v>44760</v>
      </c>
      <c r="P8865">
        <v>0</v>
      </c>
      <c r="Q8865">
        <v>1</v>
      </c>
      <c r="R8865" t="s">
        <v>44768</v>
      </c>
      <c r="S8865" t="s">
        <v>44982</v>
      </c>
      <c r="T8865" t="s">
        <v>46533</v>
      </c>
      <c r="U8865" t="s">
        <v>54307</v>
      </c>
      <c r="W8865" t="s">
        <v>43640</v>
      </c>
      <c r="X8865" t="s">
        <v>44769</v>
      </c>
    </row>
    <row r="8866" spans="1:24">
      <c r="A8866">
        <f>HYPERLINK("https://www.philgeps.gov.ph/GEPSNONPILOT/Tender/SplashBidNoticeAbstractUI.aspx?menuIndex=3&amp;refID=7141410&amp;Result=3","7141410")</f>
        <v>0</v>
      </c>
      <c r="B8866" t="s">
        <v>2806</v>
      </c>
      <c r="C8866" t="s">
        <v>12156</v>
      </c>
      <c r="D8866" t="s">
        <v>17975</v>
      </c>
      <c r="E8866" t="s">
        <v>25766</v>
      </c>
      <c r="F8866" t="s">
        <v>30900</v>
      </c>
      <c r="G8866" t="s">
        <v>30909</v>
      </c>
      <c r="H8866" t="s">
        <v>30916</v>
      </c>
      <c r="I8866" t="s">
        <v>30931</v>
      </c>
      <c r="J8866" t="s">
        <v>31728</v>
      </c>
      <c r="K8866" t="s">
        <v>40289</v>
      </c>
      <c r="M8866" t="s">
        <v>43591</v>
      </c>
      <c r="N8866" t="s">
        <v>44759</v>
      </c>
      <c r="O8866" t="s">
        <v>44760</v>
      </c>
      <c r="P8866">
        <v>0</v>
      </c>
      <c r="Q8866">
        <v>2</v>
      </c>
      <c r="R8866" t="s">
        <v>44768</v>
      </c>
      <c r="S8866" t="s">
        <v>44982</v>
      </c>
      <c r="T8866" t="s">
        <v>46363</v>
      </c>
      <c r="U8866" t="s">
        <v>54308</v>
      </c>
      <c r="V8866" t="s">
        <v>60059</v>
      </c>
      <c r="W8866" t="s">
        <v>43591</v>
      </c>
      <c r="X8866" t="s">
        <v>44769</v>
      </c>
    </row>
    <row r="8867" spans="1:24">
      <c r="A8867">
        <f>HYPERLINK("https://www.philgeps.gov.ph/GEPSNONPILOT/Tender/SplashBidNoticeAbstractUI.aspx?menuIndex=3&amp;refID=7141416&amp;Result=3","7141416")</f>
        <v>0</v>
      </c>
      <c r="B8867" t="s">
        <v>2006</v>
      </c>
      <c r="C8867" t="s">
        <v>12157</v>
      </c>
      <c r="D8867" t="s">
        <v>17980</v>
      </c>
      <c r="E8867" t="s">
        <v>25767</v>
      </c>
      <c r="F8867" t="s">
        <v>30900</v>
      </c>
      <c r="G8867" t="s">
        <v>30908</v>
      </c>
      <c r="H8867" t="s">
        <v>30916</v>
      </c>
      <c r="I8867" t="s">
        <v>30997</v>
      </c>
      <c r="J8867" t="s">
        <v>31070</v>
      </c>
      <c r="K8867" t="s">
        <v>40287</v>
      </c>
      <c r="M8867" t="s">
        <v>42700</v>
      </c>
      <c r="N8867" t="s">
        <v>44759</v>
      </c>
      <c r="O8867" t="s">
        <v>44760</v>
      </c>
      <c r="P8867">
        <v>0</v>
      </c>
      <c r="Q8867">
        <v>1</v>
      </c>
      <c r="R8867" t="s">
        <v>44768</v>
      </c>
      <c r="S8867" t="s">
        <v>44982</v>
      </c>
      <c r="T8867" t="s">
        <v>46383</v>
      </c>
      <c r="U8867" t="s">
        <v>54309</v>
      </c>
      <c r="W8867" t="s">
        <v>42700</v>
      </c>
      <c r="X8867" t="s">
        <v>44769</v>
      </c>
    </row>
    <row r="8868" spans="1:24">
      <c r="A8868">
        <f>HYPERLINK("https://www.philgeps.gov.ph/GEPSNONPILOT/Tender/SplashBidNoticeAbstractUI.aspx?menuIndex=3&amp;refID=7141403&amp;Result=3","7141403")</f>
        <v>0</v>
      </c>
      <c r="B8868" t="s">
        <v>2583</v>
      </c>
      <c r="C8868" t="s">
        <v>12158</v>
      </c>
      <c r="D8868" t="s">
        <v>17998</v>
      </c>
      <c r="E8868" t="s">
        <v>25768</v>
      </c>
      <c r="F8868" t="s">
        <v>30900</v>
      </c>
      <c r="G8868" t="s">
        <v>30907</v>
      </c>
      <c r="H8868" t="s">
        <v>30915</v>
      </c>
      <c r="I8868" t="s">
        <v>30919</v>
      </c>
      <c r="J8868" t="s">
        <v>31153</v>
      </c>
      <c r="K8868" t="s">
        <v>40292</v>
      </c>
      <c r="M8868" t="s">
        <v>43342</v>
      </c>
      <c r="N8868" t="s">
        <v>44759</v>
      </c>
      <c r="O8868" t="s">
        <v>44760</v>
      </c>
      <c r="P8868">
        <v>0</v>
      </c>
      <c r="Q8868">
        <v>0</v>
      </c>
      <c r="R8868" t="s">
        <v>44768</v>
      </c>
      <c r="S8868" t="s">
        <v>44982</v>
      </c>
      <c r="T8868" t="s">
        <v>46606</v>
      </c>
      <c r="U8868" t="s">
        <v>54310</v>
      </c>
      <c r="W8868" t="s">
        <v>43342</v>
      </c>
      <c r="X8868" t="s">
        <v>44769</v>
      </c>
    </row>
    <row r="8869" spans="1:24">
      <c r="A8869">
        <f>HYPERLINK("https://www.philgeps.gov.ph/GEPSNONPILOT/Tender/SplashBidNoticeAbstractUI.aspx?menuIndex=3&amp;refID=7141418&amp;Result=3","7141418")</f>
        <v>0</v>
      </c>
      <c r="B8869" t="s">
        <v>2852</v>
      </c>
      <c r="C8869" t="s">
        <v>12159</v>
      </c>
      <c r="D8869" t="s">
        <v>17963</v>
      </c>
      <c r="E8869" t="s">
        <v>20359</v>
      </c>
      <c r="F8869" t="s">
        <v>30900</v>
      </c>
      <c r="G8869" t="s">
        <v>30907</v>
      </c>
      <c r="H8869" t="s">
        <v>30915</v>
      </c>
      <c r="I8869" t="s">
        <v>30970</v>
      </c>
      <c r="J8869" t="s">
        <v>31049</v>
      </c>
      <c r="K8869" t="s">
        <v>40283</v>
      </c>
      <c r="M8869" t="s">
        <v>43639</v>
      </c>
      <c r="N8869" t="s">
        <v>44759</v>
      </c>
      <c r="O8869" t="s">
        <v>44760</v>
      </c>
      <c r="P8869">
        <v>0</v>
      </c>
      <c r="Q8869">
        <v>0</v>
      </c>
      <c r="R8869" t="s">
        <v>44768</v>
      </c>
      <c r="S8869" t="s">
        <v>44982</v>
      </c>
      <c r="T8869" t="s">
        <v>46591</v>
      </c>
      <c r="U8869" t="s">
        <v>54303</v>
      </c>
      <c r="W8869" t="s">
        <v>43639</v>
      </c>
      <c r="X8869" t="s">
        <v>44769</v>
      </c>
    </row>
    <row r="8870" spans="1:24">
      <c r="A8870">
        <f>HYPERLINK("https://www.philgeps.gov.ph/GEPSNONPILOT/Tender/SplashBidNoticeAbstractUI.aspx?menuIndex=3&amp;refID=7141393&amp;Result=3","7141393")</f>
        <v>0</v>
      </c>
      <c r="B8870" t="s">
        <v>2854</v>
      </c>
      <c r="C8870" t="s">
        <v>12160</v>
      </c>
      <c r="D8870" t="s">
        <v>17993</v>
      </c>
      <c r="E8870" t="s">
        <v>25769</v>
      </c>
      <c r="F8870" t="s">
        <v>30900</v>
      </c>
      <c r="G8870" t="s">
        <v>30906</v>
      </c>
      <c r="H8870" t="s">
        <v>30916</v>
      </c>
      <c r="I8870" t="s">
        <v>30933</v>
      </c>
      <c r="J8870" t="s">
        <v>31204</v>
      </c>
      <c r="K8870" t="s">
        <v>40287</v>
      </c>
      <c r="M8870" t="s">
        <v>43641</v>
      </c>
      <c r="N8870" t="s">
        <v>44759</v>
      </c>
      <c r="O8870" t="s">
        <v>44760</v>
      </c>
      <c r="P8870">
        <v>0</v>
      </c>
      <c r="Q8870">
        <v>1</v>
      </c>
      <c r="R8870" t="s">
        <v>44768</v>
      </c>
      <c r="S8870" t="s">
        <v>44982</v>
      </c>
      <c r="T8870" t="s">
        <v>46625</v>
      </c>
      <c r="U8870" t="s">
        <v>51006</v>
      </c>
      <c r="W8870" t="s">
        <v>43641</v>
      </c>
      <c r="X8870" t="s">
        <v>44769</v>
      </c>
    </row>
    <row r="8871" spans="1:24">
      <c r="A8871">
        <f>HYPERLINK("https://www.philgeps.gov.ph/GEPSNONPILOT/Tender/SplashBidNoticeAbstractUI.aspx?menuIndex=3&amp;refID=7141384&amp;Result=3","7141384")</f>
        <v>0</v>
      </c>
      <c r="B8871" t="s">
        <v>34</v>
      </c>
      <c r="C8871" t="s">
        <v>12161</v>
      </c>
      <c r="D8871" t="s">
        <v>17961</v>
      </c>
      <c r="E8871" t="s">
        <v>25770</v>
      </c>
      <c r="F8871" t="s">
        <v>30900</v>
      </c>
      <c r="G8871" t="s">
        <v>30907</v>
      </c>
      <c r="H8871" t="s">
        <v>30916</v>
      </c>
      <c r="I8871" t="s">
        <v>4545</v>
      </c>
      <c r="J8871" t="s">
        <v>35272</v>
      </c>
      <c r="K8871" t="s">
        <v>40284</v>
      </c>
      <c r="M8871" t="s">
        <v>40580</v>
      </c>
      <c r="N8871" t="s">
        <v>44759</v>
      </c>
      <c r="O8871" t="s">
        <v>44760</v>
      </c>
      <c r="P8871">
        <v>0</v>
      </c>
      <c r="Q8871">
        <v>2</v>
      </c>
      <c r="R8871" t="s">
        <v>44768</v>
      </c>
      <c r="S8871" t="s">
        <v>44982</v>
      </c>
      <c r="T8871" t="s">
        <v>46771</v>
      </c>
      <c r="U8871" t="s">
        <v>54311</v>
      </c>
      <c r="V8871" t="s">
        <v>60081</v>
      </c>
      <c r="W8871" t="s">
        <v>40580</v>
      </c>
      <c r="X8871" t="s">
        <v>44769</v>
      </c>
    </row>
    <row r="8872" spans="1:24">
      <c r="A8872">
        <f>HYPERLINK("https://www.philgeps.gov.ph/GEPSNONPILOT/Tender/SplashBidNoticeAbstractUI.aspx?menuIndex=3&amp;refID=7141381&amp;Result=3","7141381")</f>
        <v>0</v>
      </c>
      <c r="B8872" t="s">
        <v>1974</v>
      </c>
      <c r="C8872" t="s">
        <v>12162</v>
      </c>
      <c r="D8872" t="s">
        <v>17985</v>
      </c>
      <c r="E8872" t="s">
        <v>25771</v>
      </c>
      <c r="F8872" t="s">
        <v>30900</v>
      </c>
      <c r="G8872" t="s">
        <v>30907</v>
      </c>
      <c r="H8872" t="s">
        <v>30916</v>
      </c>
      <c r="I8872" t="s">
        <v>6953</v>
      </c>
      <c r="J8872" t="s">
        <v>36615</v>
      </c>
      <c r="K8872" t="s">
        <v>40289</v>
      </c>
      <c r="M8872" t="s">
        <v>43630</v>
      </c>
      <c r="N8872" t="s">
        <v>44759</v>
      </c>
      <c r="O8872" t="s">
        <v>44760</v>
      </c>
      <c r="Q8872">
        <v>5</v>
      </c>
      <c r="R8872" t="s">
        <v>44768</v>
      </c>
      <c r="S8872" t="s">
        <v>45025</v>
      </c>
      <c r="T8872" t="s">
        <v>46350</v>
      </c>
      <c r="U8872" t="s">
        <v>54312</v>
      </c>
      <c r="V8872" t="s">
        <v>60079</v>
      </c>
      <c r="W8872" t="s">
        <v>43630</v>
      </c>
      <c r="X8872" t="s">
        <v>44769</v>
      </c>
    </row>
    <row r="8873" spans="1:24">
      <c r="A8873">
        <f>HYPERLINK("https://www.philgeps.gov.ph/GEPSNONPILOT/Tender/SplashBidNoticeAbstractUI.aspx?menuIndex=3&amp;refID=7141319&amp;Result=3","7141319")</f>
        <v>0</v>
      </c>
      <c r="B8873" t="s">
        <v>2145</v>
      </c>
      <c r="C8873" t="s">
        <v>12163</v>
      </c>
      <c r="D8873" t="s">
        <v>17973</v>
      </c>
      <c r="E8873" t="s">
        <v>25772</v>
      </c>
      <c r="F8873" t="s">
        <v>30900</v>
      </c>
      <c r="G8873" t="s">
        <v>30907</v>
      </c>
      <c r="H8873" t="s">
        <v>30915</v>
      </c>
      <c r="I8873" t="s">
        <v>30919</v>
      </c>
      <c r="J8873" t="s">
        <v>36616</v>
      </c>
      <c r="K8873" t="s">
        <v>40289</v>
      </c>
      <c r="M8873" t="s">
        <v>42848</v>
      </c>
      <c r="N8873" t="s">
        <v>44759</v>
      </c>
      <c r="O8873" t="s">
        <v>44760</v>
      </c>
      <c r="P8873">
        <v>0</v>
      </c>
      <c r="Q8873">
        <v>0</v>
      </c>
      <c r="R8873" t="s">
        <v>44768</v>
      </c>
      <c r="S8873" t="s">
        <v>44982</v>
      </c>
      <c r="T8873" t="s">
        <v>46689</v>
      </c>
      <c r="U8873" t="s">
        <v>54313</v>
      </c>
      <c r="W8873" t="s">
        <v>42848</v>
      </c>
      <c r="X8873" t="s">
        <v>44769</v>
      </c>
    </row>
    <row r="8874" spans="1:24">
      <c r="A8874">
        <f>HYPERLINK("https://www.philgeps.gov.ph/GEPSNONPILOT/Tender/SplashBidNoticeAbstractUI.aspx?menuIndex=3&amp;refID=7141378&amp;Result=3","7141378")</f>
        <v>0</v>
      </c>
      <c r="B8874" t="s">
        <v>969</v>
      </c>
      <c r="C8874" t="s">
        <v>12164</v>
      </c>
      <c r="D8874" t="s">
        <v>17981</v>
      </c>
      <c r="E8874" t="s">
        <v>19779</v>
      </c>
      <c r="F8874" t="s">
        <v>30900</v>
      </c>
      <c r="G8874" t="s">
        <v>30907</v>
      </c>
      <c r="H8874" t="s">
        <v>30916</v>
      </c>
      <c r="I8874" t="s">
        <v>8123</v>
      </c>
      <c r="J8874" t="s">
        <v>36617</v>
      </c>
      <c r="K8874" t="s">
        <v>40289</v>
      </c>
      <c r="M8874" t="s">
        <v>41556</v>
      </c>
      <c r="N8874" t="s">
        <v>44759</v>
      </c>
      <c r="O8874" t="s">
        <v>44760</v>
      </c>
      <c r="P8874">
        <v>0</v>
      </c>
      <c r="Q8874">
        <v>0</v>
      </c>
      <c r="R8874" t="s">
        <v>44768</v>
      </c>
      <c r="S8874" t="s">
        <v>44982</v>
      </c>
      <c r="T8874" t="s">
        <v>46662</v>
      </c>
      <c r="U8874" t="s">
        <v>54314</v>
      </c>
      <c r="W8874" t="s">
        <v>41556</v>
      </c>
      <c r="X8874" t="s">
        <v>44769</v>
      </c>
    </row>
    <row r="8875" spans="1:24">
      <c r="A8875">
        <f>HYPERLINK("https://www.philgeps.gov.ph/GEPSNONPILOT/Tender/SplashBidNoticeAbstractUI.aspx?menuIndex=3&amp;refID=7141377&amp;Result=3","7141377")</f>
        <v>0</v>
      </c>
      <c r="B8875" t="s">
        <v>1274</v>
      </c>
      <c r="C8875" t="s">
        <v>4010</v>
      </c>
      <c r="D8875" t="s">
        <v>18017</v>
      </c>
      <c r="E8875" t="s">
        <v>25773</v>
      </c>
      <c r="F8875" t="s">
        <v>30900</v>
      </c>
      <c r="G8875" t="s">
        <v>30907</v>
      </c>
      <c r="H8875" t="s">
        <v>30916</v>
      </c>
      <c r="I8875" t="s">
        <v>4545</v>
      </c>
      <c r="J8875" t="s">
        <v>36618</v>
      </c>
      <c r="K8875" t="s">
        <v>40324</v>
      </c>
      <c r="M8875" t="s">
        <v>41890</v>
      </c>
      <c r="N8875" t="s">
        <v>44759</v>
      </c>
      <c r="O8875" t="s">
        <v>44760</v>
      </c>
      <c r="P8875">
        <v>0</v>
      </c>
      <c r="Q8875">
        <v>1</v>
      </c>
      <c r="R8875" t="s">
        <v>44768</v>
      </c>
      <c r="S8875" t="s">
        <v>44982</v>
      </c>
      <c r="T8875" t="s">
        <v>46581</v>
      </c>
      <c r="U8875" t="s">
        <v>54315</v>
      </c>
      <c r="V8875" t="s">
        <v>59453</v>
      </c>
      <c r="W8875" t="s">
        <v>41890</v>
      </c>
      <c r="X8875" t="s">
        <v>44769</v>
      </c>
    </row>
    <row r="8876" spans="1:24">
      <c r="A8876">
        <f>HYPERLINK("https://www.philgeps.gov.ph/GEPSNONPILOT/Tender/SplashBidNoticeAbstractUI.aspx?menuIndex=3&amp;refID=7141139&amp;Result=3","7141139")</f>
        <v>0</v>
      </c>
      <c r="B8876" t="s">
        <v>2521</v>
      </c>
      <c r="C8876" t="s">
        <v>10794</v>
      </c>
      <c r="D8876" t="s">
        <v>17978</v>
      </c>
      <c r="E8876" t="s">
        <v>25774</v>
      </c>
      <c r="F8876" t="s">
        <v>30900</v>
      </c>
      <c r="G8876" t="s">
        <v>30907</v>
      </c>
      <c r="H8876" t="s">
        <v>30916</v>
      </c>
      <c r="I8876" t="s">
        <v>8123</v>
      </c>
      <c r="J8876" t="s">
        <v>36619</v>
      </c>
      <c r="K8876" t="s">
        <v>40287</v>
      </c>
      <c r="M8876" t="s">
        <v>43269</v>
      </c>
      <c r="N8876" t="s">
        <v>44759</v>
      </c>
      <c r="O8876" t="s">
        <v>44760</v>
      </c>
      <c r="P8876">
        <v>0</v>
      </c>
      <c r="Q8876">
        <v>0</v>
      </c>
      <c r="R8876" t="s">
        <v>44768</v>
      </c>
      <c r="S8876" t="s">
        <v>44982</v>
      </c>
      <c r="T8876" t="s">
        <v>46625</v>
      </c>
      <c r="U8876" t="s">
        <v>53125</v>
      </c>
      <c r="V8876" t="s">
        <v>60082</v>
      </c>
      <c r="W8876" t="s">
        <v>43269</v>
      </c>
      <c r="X8876" t="s">
        <v>44769</v>
      </c>
    </row>
    <row r="8877" spans="1:24">
      <c r="A8877">
        <f>HYPERLINK("https://www.philgeps.gov.ph/GEPSNONPILOT/Tender/SplashBidNoticeAbstractUI.aspx?menuIndex=3&amp;refID=7141463&amp;Result=3","7141463")</f>
        <v>0</v>
      </c>
      <c r="B8877" t="s">
        <v>629</v>
      </c>
      <c r="C8877" t="s">
        <v>12165</v>
      </c>
      <c r="D8877" t="s">
        <v>17992</v>
      </c>
      <c r="E8877" t="s">
        <v>25775</v>
      </c>
      <c r="F8877" t="s">
        <v>30900</v>
      </c>
      <c r="G8877" t="s">
        <v>30907</v>
      </c>
      <c r="H8877" t="s">
        <v>30916</v>
      </c>
      <c r="I8877" t="s">
        <v>30968</v>
      </c>
      <c r="J8877" t="s">
        <v>31096</v>
      </c>
      <c r="K8877" t="s">
        <v>40283</v>
      </c>
      <c r="M8877" t="s">
        <v>41195</v>
      </c>
      <c r="N8877" t="s">
        <v>44759</v>
      </c>
      <c r="O8877" t="s">
        <v>44760</v>
      </c>
      <c r="P8877">
        <v>0</v>
      </c>
      <c r="Q8877">
        <v>2</v>
      </c>
      <c r="R8877" t="s">
        <v>44768</v>
      </c>
      <c r="S8877" t="s">
        <v>44982</v>
      </c>
      <c r="T8877" t="s">
        <v>46814</v>
      </c>
      <c r="U8877" t="s">
        <v>54316</v>
      </c>
      <c r="V8877" t="s">
        <v>59226</v>
      </c>
      <c r="W8877" t="s">
        <v>41195</v>
      </c>
      <c r="X8877" t="s">
        <v>44769</v>
      </c>
    </row>
    <row r="8878" spans="1:24">
      <c r="A8878">
        <f>HYPERLINK("https://www.philgeps.gov.ph/GEPSNONPILOT/Tender/SplashBidNoticeAbstractUI.aspx?menuIndex=3&amp;refID=7141387&amp;Result=3","7141387")</f>
        <v>0</v>
      </c>
      <c r="B8878" t="s">
        <v>2855</v>
      </c>
      <c r="C8878" t="s">
        <v>12166</v>
      </c>
      <c r="D8878" t="s">
        <v>17995</v>
      </c>
      <c r="E8878" t="s">
        <v>25776</v>
      </c>
      <c r="F8878" t="s">
        <v>30900</v>
      </c>
      <c r="G8878" t="s">
        <v>30913</v>
      </c>
      <c r="H8878" t="s">
        <v>30916</v>
      </c>
      <c r="I8878" t="s">
        <v>30949</v>
      </c>
      <c r="J8878" t="s">
        <v>36620</v>
      </c>
      <c r="K8878" t="s">
        <v>40293</v>
      </c>
      <c r="M8878" t="s">
        <v>43642</v>
      </c>
      <c r="N8878" t="s">
        <v>44759</v>
      </c>
      <c r="O8878" t="s">
        <v>44760</v>
      </c>
      <c r="Q8878">
        <v>4</v>
      </c>
      <c r="R8878" t="s">
        <v>44768</v>
      </c>
      <c r="S8878" t="s">
        <v>45026</v>
      </c>
      <c r="T8878" t="s">
        <v>46591</v>
      </c>
      <c r="U8878" t="s">
        <v>54317</v>
      </c>
      <c r="V8878" t="s">
        <v>60083</v>
      </c>
      <c r="W8878" t="s">
        <v>60904</v>
      </c>
      <c r="X8878" t="s">
        <v>44769</v>
      </c>
    </row>
    <row r="8879" spans="1:24">
      <c r="A8879">
        <f>HYPERLINK("https://www.philgeps.gov.ph/GEPSNONPILOT/Tender/SplashBidNoticeAbstractUI.aspx?menuIndex=3&amp;refID=7141385&amp;Result=3","7141385")</f>
        <v>0</v>
      </c>
      <c r="B8879" t="s">
        <v>2856</v>
      </c>
      <c r="C8879" t="s">
        <v>12167</v>
      </c>
      <c r="D8879" t="s">
        <v>17981</v>
      </c>
      <c r="E8879" t="s">
        <v>25777</v>
      </c>
      <c r="F8879" t="s">
        <v>30900</v>
      </c>
      <c r="G8879" t="s">
        <v>30908</v>
      </c>
      <c r="H8879" t="s">
        <v>30916</v>
      </c>
      <c r="I8879" t="s">
        <v>10847</v>
      </c>
      <c r="J8879" t="s">
        <v>31096</v>
      </c>
      <c r="K8879" t="s">
        <v>40289</v>
      </c>
      <c r="M8879" t="s">
        <v>43643</v>
      </c>
      <c r="N8879" t="s">
        <v>44759</v>
      </c>
      <c r="O8879" t="s">
        <v>44760</v>
      </c>
      <c r="P8879">
        <v>0</v>
      </c>
      <c r="Q8879">
        <v>0</v>
      </c>
      <c r="R8879" t="s">
        <v>44768</v>
      </c>
      <c r="S8879" t="s">
        <v>44982</v>
      </c>
      <c r="T8879" t="s">
        <v>46662</v>
      </c>
      <c r="U8879" t="s">
        <v>54318</v>
      </c>
      <c r="W8879" t="s">
        <v>43643</v>
      </c>
      <c r="X8879" t="s">
        <v>44769</v>
      </c>
    </row>
    <row r="8880" spans="1:24">
      <c r="A8880">
        <f>HYPERLINK("https://www.philgeps.gov.ph/GEPSNONPILOT/Tender/SplashBidNoticeAbstractUI.aspx?menuIndex=3&amp;refID=7141452&amp;Result=3","7141452")</f>
        <v>0</v>
      </c>
      <c r="B8880" t="s">
        <v>2857</v>
      </c>
      <c r="C8880" t="s">
        <v>12168</v>
      </c>
      <c r="D8880" t="s">
        <v>17971</v>
      </c>
      <c r="E8880" t="s">
        <v>25778</v>
      </c>
      <c r="F8880" t="s">
        <v>30900</v>
      </c>
      <c r="G8880" t="s">
        <v>30907</v>
      </c>
      <c r="H8880" t="s">
        <v>30915</v>
      </c>
      <c r="I8880" t="s">
        <v>30919</v>
      </c>
      <c r="J8880" t="s">
        <v>36066</v>
      </c>
      <c r="K8880" t="s">
        <v>40286</v>
      </c>
      <c r="L8880" t="s">
        <v>2857</v>
      </c>
      <c r="M8880" t="s">
        <v>43644</v>
      </c>
      <c r="N8880" t="s">
        <v>44759</v>
      </c>
      <c r="O8880" t="s">
        <v>44760</v>
      </c>
      <c r="P8880">
        <v>0</v>
      </c>
      <c r="Q8880">
        <v>1</v>
      </c>
      <c r="R8880" t="s">
        <v>44768</v>
      </c>
      <c r="S8880" t="s">
        <v>44982</v>
      </c>
      <c r="T8880" t="s">
        <v>46423</v>
      </c>
      <c r="U8880" t="s">
        <v>54319</v>
      </c>
      <c r="V8880" t="s">
        <v>60084</v>
      </c>
      <c r="W8880" t="s">
        <v>43644</v>
      </c>
      <c r="X8880" t="s">
        <v>44769</v>
      </c>
    </row>
    <row r="8881" spans="1:24">
      <c r="A8881">
        <f>HYPERLINK("https://www.philgeps.gov.ph/GEPSNONPILOT/Tender/SplashBidNoticeAbstractUI.aspx?menuIndex=3&amp;refID=7141459&amp;Result=3","7141459")</f>
        <v>0</v>
      </c>
      <c r="B8881" t="s">
        <v>2850</v>
      </c>
      <c r="C8881" t="s">
        <v>12169</v>
      </c>
      <c r="E8881" t="s">
        <v>25779</v>
      </c>
      <c r="F8881" t="s">
        <v>30900</v>
      </c>
      <c r="G8881" t="s">
        <v>30908</v>
      </c>
      <c r="H8881" t="s">
        <v>30917</v>
      </c>
      <c r="I8881" t="s">
        <v>30963</v>
      </c>
      <c r="J8881" t="s">
        <v>32707</v>
      </c>
      <c r="K8881" t="s">
        <v>40280</v>
      </c>
      <c r="M8881" t="s">
        <v>43637</v>
      </c>
      <c r="N8881" t="s">
        <v>44759</v>
      </c>
      <c r="O8881" t="s">
        <v>44760</v>
      </c>
      <c r="P8881">
        <v>0</v>
      </c>
      <c r="Q8881">
        <v>4</v>
      </c>
      <c r="R8881" t="s">
        <v>44768</v>
      </c>
      <c r="S8881" t="s">
        <v>44982</v>
      </c>
      <c r="T8881" t="s">
        <v>46374</v>
      </c>
      <c r="U8881" t="s">
        <v>54320</v>
      </c>
      <c r="W8881" t="s">
        <v>43637</v>
      </c>
      <c r="X8881" t="s">
        <v>44769</v>
      </c>
    </row>
    <row r="8882" spans="1:24">
      <c r="A8882">
        <f>HYPERLINK("https://www.philgeps.gov.ph/GEPSNONPILOT/Tender/SplashBidNoticeAbstractUI.aspx?menuIndex=3&amp;refID=7141447&amp;Result=3","7141447")</f>
        <v>0</v>
      </c>
      <c r="B8882" t="s">
        <v>223</v>
      </c>
      <c r="C8882" t="s">
        <v>12170</v>
      </c>
      <c r="E8882" t="s">
        <v>25780</v>
      </c>
      <c r="F8882" t="s">
        <v>30900</v>
      </c>
      <c r="G8882" t="s">
        <v>30907</v>
      </c>
      <c r="H8882" t="s">
        <v>30916</v>
      </c>
      <c r="I8882" t="s">
        <v>30981</v>
      </c>
      <c r="J8882" t="s">
        <v>36621</v>
      </c>
      <c r="K8882" t="s">
        <v>40289</v>
      </c>
      <c r="M8882" t="s">
        <v>41103</v>
      </c>
      <c r="N8882" t="s">
        <v>44759</v>
      </c>
      <c r="O8882" t="s">
        <v>44760</v>
      </c>
      <c r="P8882">
        <v>0</v>
      </c>
      <c r="Q8882">
        <v>2</v>
      </c>
      <c r="R8882" t="s">
        <v>44768</v>
      </c>
      <c r="S8882" t="s">
        <v>44982</v>
      </c>
      <c r="T8882" t="s">
        <v>46821</v>
      </c>
      <c r="U8882" t="s">
        <v>54321</v>
      </c>
      <c r="W8882" t="s">
        <v>41103</v>
      </c>
      <c r="X8882" t="s">
        <v>44769</v>
      </c>
    </row>
    <row r="8883" spans="1:24">
      <c r="A8883">
        <f>HYPERLINK("https://www.philgeps.gov.ph/GEPSNONPILOT/Tender/SplashBidNoticeAbstractUI.aspx?menuIndex=3&amp;refID=7141389&amp;Result=3","7141389")</f>
        <v>0</v>
      </c>
      <c r="B8883" t="s">
        <v>223</v>
      </c>
      <c r="C8883" t="s">
        <v>12171</v>
      </c>
      <c r="E8883" t="s">
        <v>25781</v>
      </c>
      <c r="F8883" t="s">
        <v>30900</v>
      </c>
      <c r="G8883" t="s">
        <v>30907</v>
      </c>
      <c r="H8883" t="s">
        <v>30916</v>
      </c>
      <c r="I8883" t="s">
        <v>30921</v>
      </c>
      <c r="J8883" t="s">
        <v>36622</v>
      </c>
      <c r="K8883" t="s">
        <v>40289</v>
      </c>
      <c r="M8883" t="s">
        <v>41103</v>
      </c>
      <c r="N8883" t="s">
        <v>44759</v>
      </c>
      <c r="O8883" t="s">
        <v>44760</v>
      </c>
      <c r="P8883">
        <v>0</v>
      </c>
      <c r="Q8883">
        <v>11</v>
      </c>
      <c r="R8883" t="s">
        <v>44768</v>
      </c>
      <c r="S8883" t="s">
        <v>44982</v>
      </c>
      <c r="T8883" t="s">
        <v>46822</v>
      </c>
      <c r="U8883" t="s">
        <v>54322</v>
      </c>
      <c r="W8883" t="s">
        <v>41103</v>
      </c>
      <c r="X8883" t="s">
        <v>44769</v>
      </c>
    </row>
    <row r="8884" spans="1:24">
      <c r="A8884">
        <f>HYPERLINK("https://www.philgeps.gov.ph/GEPSNONPILOT/Tender/SplashBidNoticeAbstractUI.aspx?menuIndex=3&amp;refID=7141422&amp;Result=3","7141422")</f>
        <v>0</v>
      </c>
      <c r="B8884" t="s">
        <v>2858</v>
      </c>
      <c r="C8884" t="s">
        <v>12172</v>
      </c>
      <c r="D8884" t="s">
        <v>17961</v>
      </c>
      <c r="E8884" t="s">
        <v>18158</v>
      </c>
      <c r="F8884" t="s">
        <v>30900</v>
      </c>
      <c r="G8884" t="s">
        <v>30907</v>
      </c>
      <c r="H8884" t="s">
        <v>30916</v>
      </c>
      <c r="I8884" t="s">
        <v>8365</v>
      </c>
      <c r="J8884" t="s">
        <v>36623</v>
      </c>
      <c r="K8884" t="s">
        <v>40285</v>
      </c>
      <c r="M8884" t="s">
        <v>43645</v>
      </c>
      <c r="N8884" t="s">
        <v>44759</v>
      </c>
      <c r="O8884" t="s">
        <v>44760</v>
      </c>
      <c r="P8884">
        <v>0</v>
      </c>
      <c r="Q8884">
        <v>0</v>
      </c>
      <c r="R8884" t="s">
        <v>44768</v>
      </c>
      <c r="S8884" t="s">
        <v>44982</v>
      </c>
      <c r="T8884" t="s">
        <v>46374</v>
      </c>
      <c r="U8884" t="s">
        <v>54323</v>
      </c>
      <c r="W8884" t="s">
        <v>43645</v>
      </c>
      <c r="X8884" t="s">
        <v>44769</v>
      </c>
    </row>
    <row r="8885" spans="1:24">
      <c r="A8885">
        <f>HYPERLINK("https://www.philgeps.gov.ph/GEPSNONPILOT/Tender/SplashBidNoticeAbstractUI.aspx?menuIndex=3&amp;refID=7141446&amp;Result=3","7141446")</f>
        <v>0</v>
      </c>
      <c r="B8885" t="s">
        <v>2852</v>
      </c>
      <c r="C8885" t="s">
        <v>12173</v>
      </c>
      <c r="D8885" t="s">
        <v>17963</v>
      </c>
      <c r="E8885" t="s">
        <v>24239</v>
      </c>
      <c r="F8885" t="s">
        <v>30900</v>
      </c>
      <c r="G8885" t="s">
        <v>30907</v>
      </c>
      <c r="H8885" t="s">
        <v>30915</v>
      </c>
      <c r="I8885" t="s">
        <v>30919</v>
      </c>
      <c r="J8885" t="s">
        <v>32324</v>
      </c>
      <c r="K8885" t="s">
        <v>40280</v>
      </c>
      <c r="M8885" t="s">
        <v>43639</v>
      </c>
      <c r="N8885" t="s">
        <v>44759</v>
      </c>
      <c r="O8885" t="s">
        <v>44760</v>
      </c>
      <c r="P8885">
        <v>0</v>
      </c>
      <c r="Q8885">
        <v>0</v>
      </c>
      <c r="R8885" t="s">
        <v>44768</v>
      </c>
      <c r="S8885" t="s">
        <v>44982</v>
      </c>
      <c r="T8885" t="s">
        <v>46373</v>
      </c>
      <c r="U8885" t="s">
        <v>54303</v>
      </c>
      <c r="W8885" t="s">
        <v>43639</v>
      </c>
      <c r="X8885" t="s">
        <v>44769</v>
      </c>
    </row>
    <row r="8886" spans="1:24">
      <c r="A8886">
        <f>HYPERLINK("https://www.philgeps.gov.ph/GEPSNONPILOT/Tender/SplashBidNoticeAbstractUI.aspx?menuIndex=3&amp;refID=7141443&amp;Result=3","7141443")</f>
        <v>0</v>
      </c>
      <c r="B8886" t="s">
        <v>1262</v>
      </c>
      <c r="C8886" t="s">
        <v>12174</v>
      </c>
      <c r="D8886" t="s">
        <v>18002</v>
      </c>
      <c r="E8886" t="s">
        <v>25782</v>
      </c>
      <c r="F8886" t="s">
        <v>30900</v>
      </c>
      <c r="G8886" t="s">
        <v>30908</v>
      </c>
      <c r="H8886" t="s">
        <v>30916</v>
      </c>
      <c r="I8886" t="s">
        <v>30981</v>
      </c>
      <c r="J8886" t="s">
        <v>33907</v>
      </c>
      <c r="K8886" t="s">
        <v>40465</v>
      </c>
      <c r="M8886" t="s">
        <v>43646</v>
      </c>
      <c r="N8886" t="s">
        <v>44759</v>
      </c>
      <c r="O8886" t="s">
        <v>44760</v>
      </c>
      <c r="P8886">
        <v>0</v>
      </c>
      <c r="Q8886">
        <v>0</v>
      </c>
      <c r="R8886" t="s">
        <v>44768</v>
      </c>
      <c r="S8886" t="s">
        <v>44982</v>
      </c>
      <c r="T8886" t="s">
        <v>46591</v>
      </c>
      <c r="U8886" t="s">
        <v>54324</v>
      </c>
      <c r="W8886" t="s">
        <v>43646</v>
      </c>
      <c r="X8886" t="s">
        <v>44769</v>
      </c>
    </row>
    <row r="8887" spans="1:24">
      <c r="A8887">
        <f>HYPERLINK("https://www.philgeps.gov.ph/GEPSNONPILOT/Tender/SplashBidNoticeAbstractUI.aspx?menuIndex=3&amp;refID=7141455&amp;Result=3","7141455")</f>
        <v>0</v>
      </c>
      <c r="B8887" t="s">
        <v>2859</v>
      </c>
      <c r="C8887" t="s">
        <v>12175</v>
      </c>
      <c r="D8887" t="s">
        <v>17963</v>
      </c>
      <c r="E8887" t="s">
        <v>20397</v>
      </c>
      <c r="F8887" t="s">
        <v>30900</v>
      </c>
      <c r="G8887" t="s">
        <v>30907</v>
      </c>
      <c r="H8887" t="s">
        <v>30915</v>
      </c>
      <c r="I8887" t="s">
        <v>30957</v>
      </c>
      <c r="J8887" t="s">
        <v>31130</v>
      </c>
      <c r="K8887" t="s">
        <v>40333</v>
      </c>
      <c r="M8887" t="s">
        <v>43647</v>
      </c>
      <c r="N8887" t="s">
        <v>44759</v>
      </c>
      <c r="O8887" t="s">
        <v>44760</v>
      </c>
      <c r="P8887">
        <v>0</v>
      </c>
      <c r="Q8887">
        <v>0</v>
      </c>
      <c r="R8887" t="s">
        <v>44768</v>
      </c>
      <c r="S8887" t="s">
        <v>44982</v>
      </c>
      <c r="T8887" t="s">
        <v>46421</v>
      </c>
      <c r="U8887" t="s">
        <v>54325</v>
      </c>
      <c r="W8887" t="s">
        <v>43647</v>
      </c>
      <c r="X8887" t="s">
        <v>44769</v>
      </c>
    </row>
    <row r="8888" spans="1:24">
      <c r="A8888">
        <f>HYPERLINK("https://www.philgeps.gov.ph/GEPSNONPILOT/Tender/SplashBidNoticeAbstractUI.aspx?menuIndex=3&amp;refID=7141433&amp;Result=3","7141433")</f>
        <v>0</v>
      </c>
      <c r="B8888" t="s">
        <v>629</v>
      </c>
      <c r="C8888" t="s">
        <v>12176</v>
      </c>
      <c r="D8888" t="s">
        <v>17992</v>
      </c>
      <c r="E8888" t="s">
        <v>25783</v>
      </c>
      <c r="F8888" t="s">
        <v>30900</v>
      </c>
      <c r="G8888" t="s">
        <v>30907</v>
      </c>
      <c r="H8888" t="s">
        <v>30916</v>
      </c>
      <c r="I8888" t="s">
        <v>30926</v>
      </c>
      <c r="J8888" t="s">
        <v>36624</v>
      </c>
      <c r="K8888" t="s">
        <v>40283</v>
      </c>
      <c r="M8888" t="s">
        <v>41195</v>
      </c>
      <c r="N8888" t="s">
        <v>44759</v>
      </c>
      <c r="O8888" t="s">
        <v>44760</v>
      </c>
      <c r="P8888">
        <v>0</v>
      </c>
      <c r="Q8888">
        <v>2</v>
      </c>
      <c r="R8888" t="s">
        <v>44768</v>
      </c>
      <c r="S8888" t="s">
        <v>44982</v>
      </c>
      <c r="T8888" t="s">
        <v>46814</v>
      </c>
      <c r="U8888" t="s">
        <v>54326</v>
      </c>
      <c r="V8888" t="s">
        <v>59226</v>
      </c>
      <c r="W8888" t="s">
        <v>41195</v>
      </c>
      <c r="X8888" t="s">
        <v>44769</v>
      </c>
    </row>
    <row r="8889" spans="1:24">
      <c r="A8889">
        <f>HYPERLINK("https://www.philgeps.gov.ph/GEPSNONPILOT/Tender/SplashBidNoticeAbstractUI.aspx?menuIndex=3&amp;refID=7141431&amp;Result=3","7141431")</f>
        <v>0</v>
      </c>
      <c r="B8889" t="s">
        <v>244</v>
      </c>
      <c r="C8889" t="s">
        <v>12177</v>
      </c>
      <c r="D8889" t="s">
        <v>17958</v>
      </c>
      <c r="E8889" t="s">
        <v>25784</v>
      </c>
      <c r="F8889" t="s">
        <v>30900</v>
      </c>
      <c r="G8889" t="s">
        <v>30908</v>
      </c>
      <c r="H8889" t="s">
        <v>30916</v>
      </c>
      <c r="I8889" t="s">
        <v>6396</v>
      </c>
      <c r="J8889" t="s">
        <v>31449</v>
      </c>
      <c r="K8889" t="s">
        <v>40284</v>
      </c>
      <c r="M8889" t="s">
        <v>40791</v>
      </c>
      <c r="N8889" t="s">
        <v>44759</v>
      </c>
      <c r="O8889" t="s">
        <v>44760</v>
      </c>
      <c r="P8889">
        <v>0</v>
      </c>
      <c r="Q8889">
        <v>0</v>
      </c>
      <c r="R8889" t="s">
        <v>44768</v>
      </c>
      <c r="S8889" t="s">
        <v>44982</v>
      </c>
      <c r="T8889" t="s">
        <v>46414</v>
      </c>
      <c r="U8889" t="s">
        <v>54327</v>
      </c>
      <c r="W8889" t="s">
        <v>40791</v>
      </c>
      <c r="X8889" t="s">
        <v>44769</v>
      </c>
    </row>
    <row r="8890" spans="1:24">
      <c r="A8890">
        <f>HYPERLINK("https://www.philgeps.gov.ph/GEPSNONPILOT/Tender/SplashBidNoticeAbstractUI.aspx?menuIndex=3&amp;refID=7141450&amp;Result=3","7141450")</f>
        <v>0</v>
      </c>
      <c r="B8890" t="s">
        <v>1279</v>
      </c>
      <c r="C8890" t="s">
        <v>12178</v>
      </c>
      <c r="D8890" t="s">
        <v>17963</v>
      </c>
      <c r="E8890" t="s">
        <v>25785</v>
      </c>
      <c r="F8890" t="s">
        <v>30900</v>
      </c>
      <c r="G8890" t="s">
        <v>30907</v>
      </c>
      <c r="H8890" t="s">
        <v>30916</v>
      </c>
      <c r="I8890" t="s">
        <v>4142</v>
      </c>
      <c r="J8890" t="s">
        <v>36625</v>
      </c>
      <c r="K8890" t="s">
        <v>40286</v>
      </c>
      <c r="M8890" t="s">
        <v>41896</v>
      </c>
      <c r="N8890" t="s">
        <v>44759</v>
      </c>
      <c r="O8890" t="s">
        <v>44760</v>
      </c>
      <c r="P8890">
        <v>0</v>
      </c>
      <c r="Q8890">
        <v>0</v>
      </c>
      <c r="R8890" t="s">
        <v>44768</v>
      </c>
      <c r="S8890" t="s">
        <v>44982</v>
      </c>
      <c r="T8890" t="s">
        <v>46533</v>
      </c>
      <c r="U8890" t="s">
        <v>54328</v>
      </c>
      <c r="W8890" t="s">
        <v>41896</v>
      </c>
      <c r="X8890" t="s">
        <v>44769</v>
      </c>
    </row>
    <row r="8891" spans="1:24">
      <c r="A8891">
        <f>HYPERLINK("https://www.philgeps.gov.ph/GEPSNONPILOT/Tender/SplashBidNoticeAbstractUI.aspx?menuIndex=3&amp;refID=7141453&amp;Result=3","7141453")</f>
        <v>0</v>
      </c>
      <c r="B8891" t="s">
        <v>2834</v>
      </c>
      <c r="C8891" t="s">
        <v>12179</v>
      </c>
      <c r="D8891" t="s">
        <v>18007</v>
      </c>
      <c r="E8891" t="s">
        <v>22605</v>
      </c>
      <c r="F8891" t="s">
        <v>30900</v>
      </c>
      <c r="G8891" t="s">
        <v>30907</v>
      </c>
      <c r="H8891" t="s">
        <v>30916</v>
      </c>
      <c r="I8891" t="s">
        <v>30926</v>
      </c>
      <c r="J8891" t="s">
        <v>36626</v>
      </c>
      <c r="K8891" t="s">
        <v>40293</v>
      </c>
      <c r="M8891" t="s">
        <v>43619</v>
      </c>
      <c r="N8891" t="s">
        <v>44759</v>
      </c>
      <c r="O8891" t="s">
        <v>44760</v>
      </c>
      <c r="P8891">
        <v>0</v>
      </c>
      <c r="Q8891">
        <v>0</v>
      </c>
      <c r="R8891" t="s">
        <v>44768</v>
      </c>
      <c r="S8891" t="s">
        <v>44982</v>
      </c>
      <c r="T8891" t="s">
        <v>46561</v>
      </c>
      <c r="U8891" t="s">
        <v>54329</v>
      </c>
      <c r="W8891" t="s">
        <v>43619</v>
      </c>
      <c r="X8891" t="s">
        <v>44769</v>
      </c>
    </row>
    <row r="8892" spans="1:24">
      <c r="A8892">
        <f>HYPERLINK("https://www.philgeps.gov.ph/GEPSNONPILOT/Tender/SplashBidNoticeAbstractUI.aspx?menuIndex=3&amp;refID=7141511&amp;Result=3","7141511")</f>
        <v>0</v>
      </c>
      <c r="B8892" t="s">
        <v>2834</v>
      </c>
      <c r="C8892" t="s">
        <v>12180</v>
      </c>
      <c r="D8892" t="s">
        <v>18007</v>
      </c>
      <c r="E8892" t="s">
        <v>25786</v>
      </c>
      <c r="F8892" t="s">
        <v>30900</v>
      </c>
      <c r="G8892" t="s">
        <v>30907</v>
      </c>
      <c r="H8892" t="s">
        <v>30916</v>
      </c>
      <c r="I8892" t="s">
        <v>30945</v>
      </c>
      <c r="J8892" t="s">
        <v>36627</v>
      </c>
      <c r="K8892" t="s">
        <v>40286</v>
      </c>
      <c r="M8892" t="s">
        <v>43619</v>
      </c>
      <c r="N8892" t="s">
        <v>44759</v>
      </c>
      <c r="O8892" t="s">
        <v>44760</v>
      </c>
      <c r="P8892">
        <v>0</v>
      </c>
      <c r="Q8892">
        <v>1</v>
      </c>
      <c r="R8892" t="s">
        <v>44768</v>
      </c>
      <c r="S8892" t="s">
        <v>44982</v>
      </c>
      <c r="T8892" t="s">
        <v>46823</v>
      </c>
      <c r="U8892" t="s">
        <v>54330</v>
      </c>
      <c r="W8892" t="s">
        <v>43619</v>
      </c>
      <c r="X8892" t="s">
        <v>44769</v>
      </c>
    </row>
    <row r="8893" spans="1:24">
      <c r="A8893">
        <f>HYPERLINK("https://www.philgeps.gov.ph/GEPSNONPILOT/Tender/SplashBidNoticeAbstractUI.aspx?menuIndex=3&amp;refID=7141508&amp;Result=3","7141508")</f>
        <v>0</v>
      </c>
      <c r="B8893" t="s">
        <v>1777</v>
      </c>
      <c r="C8893" t="s">
        <v>12181</v>
      </c>
      <c r="D8893" t="s">
        <v>17994</v>
      </c>
      <c r="E8893" t="s">
        <v>25787</v>
      </c>
      <c r="F8893" t="s">
        <v>30900</v>
      </c>
      <c r="G8893" t="s">
        <v>30907</v>
      </c>
      <c r="H8893" t="s">
        <v>30916</v>
      </c>
      <c r="I8893" t="s">
        <v>30947</v>
      </c>
      <c r="J8893" t="s">
        <v>36628</v>
      </c>
      <c r="K8893" t="s">
        <v>40286</v>
      </c>
      <c r="M8893" t="s">
        <v>42460</v>
      </c>
      <c r="N8893" t="s">
        <v>44759</v>
      </c>
      <c r="O8893" t="s">
        <v>44760</v>
      </c>
      <c r="P8893">
        <v>0</v>
      </c>
      <c r="Q8893">
        <v>1</v>
      </c>
      <c r="R8893" t="s">
        <v>44768</v>
      </c>
      <c r="S8893" t="s">
        <v>44982</v>
      </c>
      <c r="T8893" t="s">
        <v>46612</v>
      </c>
      <c r="U8893" t="s">
        <v>54331</v>
      </c>
      <c r="W8893" t="s">
        <v>42460</v>
      </c>
      <c r="X8893" t="s">
        <v>44769</v>
      </c>
    </row>
    <row r="8894" spans="1:24">
      <c r="A8894">
        <f>HYPERLINK("https://www.philgeps.gov.ph/GEPSNONPILOT/Tender/SplashBidNoticeAbstractUI.aspx?menuIndex=3&amp;refID=7141402&amp;Result=3","7141402")</f>
        <v>0</v>
      </c>
      <c r="B8894" t="s">
        <v>2834</v>
      </c>
      <c r="C8894" t="s">
        <v>12182</v>
      </c>
      <c r="D8894" t="s">
        <v>18007</v>
      </c>
      <c r="E8894" t="s">
        <v>22617</v>
      </c>
      <c r="F8894" t="s">
        <v>30900</v>
      </c>
      <c r="G8894" t="s">
        <v>30907</v>
      </c>
      <c r="H8894" t="s">
        <v>30916</v>
      </c>
      <c r="I8894" t="s">
        <v>30929</v>
      </c>
      <c r="J8894" t="s">
        <v>36629</v>
      </c>
      <c r="K8894" t="s">
        <v>40286</v>
      </c>
      <c r="M8894" t="s">
        <v>43619</v>
      </c>
      <c r="N8894" t="s">
        <v>44759</v>
      </c>
      <c r="O8894" t="s">
        <v>44760</v>
      </c>
      <c r="P8894">
        <v>0</v>
      </c>
      <c r="Q8894">
        <v>9</v>
      </c>
      <c r="R8894" t="s">
        <v>44768</v>
      </c>
      <c r="S8894" t="s">
        <v>44982</v>
      </c>
      <c r="T8894" t="s">
        <v>46799</v>
      </c>
      <c r="U8894" t="s">
        <v>54332</v>
      </c>
      <c r="W8894" t="s">
        <v>43619</v>
      </c>
      <c r="X8894" t="s">
        <v>44769</v>
      </c>
    </row>
    <row r="8895" spans="1:24">
      <c r="A8895">
        <f>HYPERLINK("https://www.philgeps.gov.ph/GEPSNONPILOT/Tender/SplashBidNoticeAbstractUI.aspx?menuIndex=3&amp;refID=7141515&amp;Result=3","7141515")</f>
        <v>0</v>
      </c>
      <c r="B8895" t="s">
        <v>2860</v>
      </c>
      <c r="C8895" t="s">
        <v>12183</v>
      </c>
      <c r="D8895" t="s">
        <v>17978</v>
      </c>
      <c r="E8895" t="s">
        <v>25788</v>
      </c>
      <c r="F8895" t="s">
        <v>30901</v>
      </c>
      <c r="G8895" t="s">
        <v>30908</v>
      </c>
      <c r="H8895" t="s">
        <v>30915</v>
      </c>
      <c r="I8895" t="s">
        <v>30919</v>
      </c>
      <c r="J8895" t="s">
        <v>31271</v>
      </c>
      <c r="K8895" t="s">
        <v>40289</v>
      </c>
      <c r="M8895" t="s">
        <v>43648</v>
      </c>
      <c r="N8895" t="s">
        <v>44759</v>
      </c>
      <c r="O8895" t="s">
        <v>44760</v>
      </c>
      <c r="P8895">
        <v>0</v>
      </c>
      <c r="Q8895">
        <v>2</v>
      </c>
      <c r="R8895" t="s">
        <v>44768</v>
      </c>
      <c r="S8895" t="s">
        <v>44982</v>
      </c>
      <c r="T8895" t="s">
        <v>46704</v>
      </c>
      <c r="U8895" t="s">
        <v>54333</v>
      </c>
      <c r="W8895" t="s">
        <v>43648</v>
      </c>
      <c r="X8895" t="s">
        <v>44769</v>
      </c>
    </row>
    <row r="8896" spans="1:24">
      <c r="A8896">
        <f>HYPERLINK("https://www.philgeps.gov.ph/GEPSNONPILOT/Tender/SplashBidNoticeAbstractUI.aspx?menuIndex=3&amp;refID=7141514&amp;Result=3","7141514")</f>
        <v>0</v>
      </c>
      <c r="B8896" t="s">
        <v>2132</v>
      </c>
      <c r="C8896" t="s">
        <v>12184</v>
      </c>
      <c r="D8896" t="s">
        <v>18033</v>
      </c>
      <c r="E8896" t="s">
        <v>25789</v>
      </c>
      <c r="F8896" t="s">
        <v>30900</v>
      </c>
      <c r="G8896" t="s">
        <v>30907</v>
      </c>
      <c r="H8896" t="s">
        <v>30917</v>
      </c>
      <c r="I8896" t="s">
        <v>30933</v>
      </c>
      <c r="J8896" t="s">
        <v>31069</v>
      </c>
      <c r="K8896" t="s">
        <v>40286</v>
      </c>
      <c r="M8896" t="s">
        <v>42834</v>
      </c>
      <c r="N8896" t="s">
        <v>44759</v>
      </c>
      <c r="O8896" t="s">
        <v>44760</v>
      </c>
      <c r="P8896">
        <v>0</v>
      </c>
      <c r="Q8896">
        <v>3</v>
      </c>
      <c r="R8896" t="s">
        <v>44768</v>
      </c>
      <c r="S8896" t="s">
        <v>44982</v>
      </c>
      <c r="T8896" t="s">
        <v>46703</v>
      </c>
      <c r="U8896" t="s">
        <v>54334</v>
      </c>
      <c r="V8896" t="s">
        <v>60085</v>
      </c>
      <c r="W8896" t="s">
        <v>42834</v>
      </c>
      <c r="X8896" t="s">
        <v>44769</v>
      </c>
    </row>
    <row r="8897" spans="1:24">
      <c r="A8897">
        <f>HYPERLINK("https://www.philgeps.gov.ph/GEPSNONPILOT/Tender/SplashBidNoticeAbstractUI.aspx?menuIndex=3&amp;refID=7141458&amp;Result=3","7141458")</f>
        <v>0</v>
      </c>
      <c r="B8897" t="s">
        <v>1274</v>
      </c>
      <c r="C8897" t="s">
        <v>12185</v>
      </c>
      <c r="D8897" t="s">
        <v>18017</v>
      </c>
      <c r="E8897" t="s">
        <v>25790</v>
      </c>
      <c r="F8897" t="s">
        <v>30900</v>
      </c>
      <c r="G8897" t="s">
        <v>30907</v>
      </c>
      <c r="H8897" t="s">
        <v>30916</v>
      </c>
      <c r="I8897" t="s">
        <v>30933</v>
      </c>
      <c r="J8897" t="s">
        <v>32110</v>
      </c>
      <c r="K8897" t="s">
        <v>40324</v>
      </c>
      <c r="M8897" t="s">
        <v>41890</v>
      </c>
      <c r="N8897" t="s">
        <v>44759</v>
      </c>
      <c r="O8897" t="s">
        <v>44760</v>
      </c>
      <c r="P8897">
        <v>0</v>
      </c>
      <c r="Q8897">
        <v>3</v>
      </c>
      <c r="R8897" t="s">
        <v>44768</v>
      </c>
      <c r="S8897" t="s">
        <v>44982</v>
      </c>
      <c r="T8897" t="s">
        <v>46450</v>
      </c>
      <c r="U8897" t="s">
        <v>54335</v>
      </c>
      <c r="V8897" t="s">
        <v>59453</v>
      </c>
      <c r="W8897" t="s">
        <v>41890</v>
      </c>
      <c r="X8897" t="s">
        <v>44769</v>
      </c>
    </row>
    <row r="8898" spans="1:24">
      <c r="A8898">
        <f>HYPERLINK("https://www.philgeps.gov.ph/GEPSNONPILOT/Tender/SplashBidNoticeAbstractUI.aspx?menuIndex=3&amp;refID=7141500&amp;Result=3","7141500")</f>
        <v>0</v>
      </c>
      <c r="B8898" t="s">
        <v>2852</v>
      </c>
      <c r="C8898" t="s">
        <v>12186</v>
      </c>
      <c r="D8898" t="s">
        <v>17963</v>
      </c>
      <c r="E8898" t="s">
        <v>18653</v>
      </c>
      <c r="F8898" t="s">
        <v>30900</v>
      </c>
      <c r="G8898" t="s">
        <v>30907</v>
      </c>
      <c r="H8898" t="s">
        <v>30915</v>
      </c>
      <c r="I8898" t="s">
        <v>30919</v>
      </c>
      <c r="J8898" t="s">
        <v>31101</v>
      </c>
      <c r="K8898" t="s">
        <v>40286</v>
      </c>
      <c r="M8898" t="s">
        <v>43639</v>
      </c>
      <c r="N8898" t="s">
        <v>44759</v>
      </c>
      <c r="O8898" t="s">
        <v>44760</v>
      </c>
      <c r="P8898">
        <v>0</v>
      </c>
      <c r="Q8898">
        <v>0</v>
      </c>
      <c r="R8898" t="s">
        <v>44768</v>
      </c>
      <c r="S8898" t="s">
        <v>44982</v>
      </c>
      <c r="T8898" t="s">
        <v>46591</v>
      </c>
      <c r="U8898" t="s">
        <v>54303</v>
      </c>
      <c r="W8898" t="s">
        <v>43639</v>
      </c>
      <c r="X8898" t="s">
        <v>44769</v>
      </c>
    </row>
    <row r="8899" spans="1:24">
      <c r="A8899">
        <f>HYPERLINK("https://www.philgeps.gov.ph/GEPSNONPILOT/Tender/SplashBidNoticeAbstractUI.aspx?menuIndex=3&amp;refID=7141435&amp;Result=3","7141435")</f>
        <v>0</v>
      </c>
      <c r="B8899" t="s">
        <v>2861</v>
      </c>
      <c r="C8899" t="s">
        <v>12187</v>
      </c>
      <c r="D8899" t="s">
        <v>17973</v>
      </c>
      <c r="E8899" t="s">
        <v>12187</v>
      </c>
      <c r="F8899" t="s">
        <v>30900</v>
      </c>
      <c r="G8899" t="s">
        <v>30907</v>
      </c>
      <c r="H8899" t="s">
        <v>30916</v>
      </c>
      <c r="I8899" t="s">
        <v>5501</v>
      </c>
      <c r="J8899" t="s">
        <v>36630</v>
      </c>
      <c r="K8899" t="s">
        <v>40289</v>
      </c>
      <c r="M8899" t="s">
        <v>43649</v>
      </c>
      <c r="N8899" t="s">
        <v>44759</v>
      </c>
      <c r="O8899" t="s">
        <v>44760</v>
      </c>
      <c r="P8899">
        <v>0</v>
      </c>
      <c r="Q8899">
        <v>4</v>
      </c>
      <c r="R8899" t="s">
        <v>44768</v>
      </c>
      <c r="S8899" t="s">
        <v>44982</v>
      </c>
      <c r="T8899" t="s">
        <v>46606</v>
      </c>
      <c r="U8899" t="s">
        <v>54336</v>
      </c>
      <c r="V8899" t="s">
        <v>60086</v>
      </c>
      <c r="W8899" t="s">
        <v>43649</v>
      </c>
      <c r="X8899" t="s">
        <v>44769</v>
      </c>
    </row>
    <row r="8900" spans="1:24">
      <c r="A8900">
        <f>HYPERLINK("https://www.philgeps.gov.ph/GEPSNONPILOT/Tender/SplashBidNoticeAbstractUI.aspx?menuIndex=3&amp;refID=7141506&amp;Result=3","7141506")</f>
        <v>0</v>
      </c>
      <c r="B8900" t="s">
        <v>2088</v>
      </c>
      <c r="C8900" t="s">
        <v>12188</v>
      </c>
      <c r="D8900" t="s">
        <v>17978</v>
      </c>
      <c r="E8900" t="s">
        <v>25791</v>
      </c>
      <c r="F8900" t="s">
        <v>30900</v>
      </c>
      <c r="G8900" t="s">
        <v>30907</v>
      </c>
      <c r="H8900" t="s">
        <v>30915</v>
      </c>
      <c r="I8900" t="s">
        <v>30919</v>
      </c>
      <c r="J8900" t="s">
        <v>36631</v>
      </c>
      <c r="K8900" t="s">
        <v>40286</v>
      </c>
      <c r="M8900" t="s">
        <v>42787</v>
      </c>
      <c r="N8900" t="s">
        <v>44759</v>
      </c>
      <c r="O8900" t="s">
        <v>44760</v>
      </c>
      <c r="P8900">
        <v>0</v>
      </c>
      <c r="Q8900">
        <v>0</v>
      </c>
      <c r="R8900" t="s">
        <v>44768</v>
      </c>
      <c r="S8900" t="s">
        <v>44982</v>
      </c>
      <c r="T8900" t="s">
        <v>46411</v>
      </c>
      <c r="U8900" t="s">
        <v>54337</v>
      </c>
      <c r="V8900" t="s">
        <v>60087</v>
      </c>
      <c r="W8900" t="s">
        <v>60881</v>
      </c>
      <c r="X8900" t="s">
        <v>44769</v>
      </c>
    </row>
    <row r="8901" spans="1:24">
      <c r="A8901">
        <f>HYPERLINK("https://www.philgeps.gov.ph/GEPSNONPILOT/Tender/SplashBidNoticeAbstractUI.aspx?menuIndex=3&amp;refID=7141503&amp;Result=3","7141503")</f>
        <v>0</v>
      </c>
      <c r="B8901" t="s">
        <v>1274</v>
      </c>
      <c r="C8901" t="s">
        <v>12189</v>
      </c>
      <c r="D8901" t="s">
        <v>18017</v>
      </c>
      <c r="E8901" t="s">
        <v>25792</v>
      </c>
      <c r="F8901" t="s">
        <v>30900</v>
      </c>
      <c r="G8901" t="s">
        <v>30907</v>
      </c>
      <c r="H8901" t="s">
        <v>30916</v>
      </c>
      <c r="I8901" t="s">
        <v>30924</v>
      </c>
      <c r="J8901" t="s">
        <v>36632</v>
      </c>
      <c r="K8901" t="s">
        <v>40333</v>
      </c>
      <c r="M8901" t="s">
        <v>41890</v>
      </c>
      <c r="N8901" t="s">
        <v>44759</v>
      </c>
      <c r="O8901" t="s">
        <v>44760</v>
      </c>
      <c r="P8901">
        <v>0</v>
      </c>
      <c r="Q8901">
        <v>3</v>
      </c>
      <c r="R8901" t="s">
        <v>44768</v>
      </c>
      <c r="S8901" t="s">
        <v>44982</v>
      </c>
      <c r="T8901" t="s">
        <v>46581</v>
      </c>
      <c r="U8901" t="s">
        <v>54338</v>
      </c>
      <c r="V8901" t="s">
        <v>59453</v>
      </c>
      <c r="W8901" t="s">
        <v>41890</v>
      </c>
      <c r="X8901" t="s">
        <v>44769</v>
      </c>
    </row>
    <row r="8902" spans="1:24">
      <c r="A8902">
        <f>HYPERLINK("https://www.philgeps.gov.ph/GEPSNONPILOT/Tender/SplashBidNoticeAbstractUI.aspx?menuIndex=3&amp;refID=7141485&amp;Result=3","7141485")</f>
        <v>0</v>
      </c>
      <c r="B8902" t="s">
        <v>629</v>
      </c>
      <c r="C8902" t="s">
        <v>12190</v>
      </c>
      <c r="D8902" t="s">
        <v>17992</v>
      </c>
      <c r="E8902" t="s">
        <v>25793</v>
      </c>
      <c r="F8902" t="s">
        <v>30900</v>
      </c>
      <c r="G8902" t="s">
        <v>30907</v>
      </c>
      <c r="H8902" t="s">
        <v>30916</v>
      </c>
      <c r="I8902" t="s">
        <v>4545</v>
      </c>
      <c r="J8902" t="s">
        <v>31096</v>
      </c>
      <c r="K8902" t="s">
        <v>40283</v>
      </c>
      <c r="M8902" t="s">
        <v>41195</v>
      </c>
      <c r="N8902" t="s">
        <v>44759</v>
      </c>
      <c r="O8902" t="s">
        <v>44760</v>
      </c>
      <c r="P8902">
        <v>0</v>
      </c>
      <c r="Q8902">
        <v>4</v>
      </c>
      <c r="R8902" t="s">
        <v>44768</v>
      </c>
      <c r="S8902" t="s">
        <v>44982</v>
      </c>
      <c r="T8902" t="s">
        <v>46814</v>
      </c>
      <c r="U8902" t="s">
        <v>54339</v>
      </c>
      <c r="V8902" t="s">
        <v>59226</v>
      </c>
      <c r="W8902" t="s">
        <v>41195</v>
      </c>
      <c r="X8902" t="s">
        <v>44769</v>
      </c>
    </row>
    <row r="8903" spans="1:24">
      <c r="A8903">
        <f>HYPERLINK("https://www.philgeps.gov.ph/GEPSNONPILOT/Tender/SplashBidNoticeAbstractUI.aspx?menuIndex=3&amp;refID=7141502&amp;Result=3","7141502")</f>
        <v>0</v>
      </c>
      <c r="B8903" t="s">
        <v>177</v>
      </c>
      <c r="C8903" t="s">
        <v>4117</v>
      </c>
      <c r="D8903" t="s">
        <v>17999</v>
      </c>
      <c r="E8903" t="s">
        <v>18410</v>
      </c>
      <c r="F8903" t="s">
        <v>30900</v>
      </c>
      <c r="G8903" t="s">
        <v>30908</v>
      </c>
      <c r="H8903" t="s">
        <v>30917</v>
      </c>
      <c r="I8903" t="s">
        <v>6746</v>
      </c>
      <c r="J8903" t="s">
        <v>31067</v>
      </c>
      <c r="K8903" t="s">
        <v>40288</v>
      </c>
      <c r="M8903" t="s">
        <v>40724</v>
      </c>
      <c r="N8903" t="s">
        <v>44759</v>
      </c>
      <c r="O8903" t="s">
        <v>44760</v>
      </c>
      <c r="P8903">
        <v>0</v>
      </c>
      <c r="Q8903">
        <v>0</v>
      </c>
      <c r="R8903" t="s">
        <v>44768</v>
      </c>
      <c r="S8903" t="s">
        <v>44982</v>
      </c>
      <c r="T8903" t="s">
        <v>46751</v>
      </c>
      <c r="U8903" t="s">
        <v>54340</v>
      </c>
      <c r="W8903" t="s">
        <v>40724</v>
      </c>
      <c r="X8903" t="s">
        <v>44769</v>
      </c>
    </row>
    <row r="8904" spans="1:24">
      <c r="A8904">
        <f>HYPERLINK("https://www.philgeps.gov.ph/GEPSNONPILOT/Tender/SplashBidNoticeAbstractUI.aspx?menuIndex=3&amp;refID=7141571&amp;Result=3","7141571")</f>
        <v>0</v>
      </c>
      <c r="B8904" t="s">
        <v>2438</v>
      </c>
      <c r="C8904" t="s">
        <v>12191</v>
      </c>
      <c r="D8904" t="s">
        <v>17951</v>
      </c>
      <c r="E8904" t="s">
        <v>25794</v>
      </c>
      <c r="F8904" t="s">
        <v>30900</v>
      </c>
      <c r="G8904" t="s">
        <v>30907</v>
      </c>
      <c r="H8904" t="s">
        <v>30916</v>
      </c>
      <c r="I8904" t="s">
        <v>30941</v>
      </c>
      <c r="J8904" t="s">
        <v>36633</v>
      </c>
      <c r="K8904" t="s">
        <v>40286</v>
      </c>
      <c r="M8904" t="s">
        <v>43169</v>
      </c>
      <c r="N8904" t="s">
        <v>44759</v>
      </c>
      <c r="O8904" t="s">
        <v>44760</v>
      </c>
      <c r="P8904">
        <v>0</v>
      </c>
      <c r="Q8904">
        <v>0</v>
      </c>
      <c r="R8904" t="s">
        <v>44768</v>
      </c>
      <c r="S8904" t="s">
        <v>44982</v>
      </c>
      <c r="T8904" t="s">
        <v>46824</v>
      </c>
      <c r="U8904" t="s">
        <v>54341</v>
      </c>
      <c r="W8904" t="s">
        <v>43169</v>
      </c>
      <c r="X8904" t="s">
        <v>44769</v>
      </c>
    </row>
    <row r="8905" spans="1:24">
      <c r="A8905">
        <f>HYPERLINK("https://www.philgeps.gov.ph/GEPSNONPILOT/Tender/SplashBidNoticeAbstractUI.aspx?menuIndex=3&amp;refID=7141569&amp;Result=3","7141569")</f>
        <v>0</v>
      </c>
      <c r="B8905" t="s">
        <v>1972</v>
      </c>
      <c r="C8905" t="s">
        <v>12192</v>
      </c>
      <c r="D8905" t="s">
        <v>17971</v>
      </c>
      <c r="E8905" t="s">
        <v>25795</v>
      </c>
      <c r="F8905" t="s">
        <v>30900</v>
      </c>
      <c r="G8905" t="s">
        <v>30907</v>
      </c>
      <c r="H8905" t="s">
        <v>30915</v>
      </c>
      <c r="I8905" t="s">
        <v>30919</v>
      </c>
      <c r="J8905" t="s">
        <v>31243</v>
      </c>
      <c r="K8905" t="s">
        <v>40293</v>
      </c>
      <c r="L8905" t="s">
        <v>1972</v>
      </c>
      <c r="M8905" t="s">
        <v>42660</v>
      </c>
      <c r="N8905" t="s">
        <v>44759</v>
      </c>
      <c r="O8905" t="s">
        <v>44760</v>
      </c>
      <c r="P8905">
        <v>0</v>
      </c>
      <c r="Q8905">
        <v>48</v>
      </c>
      <c r="R8905" t="s">
        <v>44768</v>
      </c>
      <c r="S8905" t="s">
        <v>44982</v>
      </c>
      <c r="T8905" t="s">
        <v>46625</v>
      </c>
      <c r="U8905" t="s">
        <v>54342</v>
      </c>
      <c r="W8905" t="s">
        <v>42660</v>
      </c>
      <c r="X8905" t="s">
        <v>44769</v>
      </c>
    </row>
    <row r="8906" spans="1:24">
      <c r="A8906">
        <f>HYPERLINK("https://www.philgeps.gov.ph/GEPSNONPILOT/Tender/SplashBidNoticeAbstractUI.aspx?menuIndex=3&amp;refID=7141565&amp;Result=3","7141565")</f>
        <v>0</v>
      </c>
      <c r="B8906" t="s">
        <v>1777</v>
      </c>
      <c r="C8906" t="s">
        <v>12193</v>
      </c>
      <c r="D8906" t="s">
        <v>17994</v>
      </c>
      <c r="E8906" t="s">
        <v>12193</v>
      </c>
      <c r="F8906" t="s">
        <v>30900</v>
      </c>
      <c r="G8906" t="s">
        <v>30907</v>
      </c>
      <c r="H8906" t="s">
        <v>30916</v>
      </c>
      <c r="I8906" t="s">
        <v>4545</v>
      </c>
      <c r="J8906" t="s">
        <v>36634</v>
      </c>
      <c r="K8906" t="s">
        <v>40286</v>
      </c>
      <c r="M8906" t="s">
        <v>42460</v>
      </c>
      <c r="N8906" t="s">
        <v>44759</v>
      </c>
      <c r="O8906" t="s">
        <v>44760</v>
      </c>
      <c r="P8906">
        <v>0</v>
      </c>
      <c r="Q8906">
        <v>1</v>
      </c>
      <c r="R8906" t="s">
        <v>44768</v>
      </c>
      <c r="S8906" t="s">
        <v>44982</v>
      </c>
      <c r="T8906" t="s">
        <v>46612</v>
      </c>
      <c r="U8906" t="s">
        <v>54343</v>
      </c>
      <c r="W8906" t="s">
        <v>42460</v>
      </c>
      <c r="X8906" t="s">
        <v>44769</v>
      </c>
    </row>
    <row r="8907" spans="1:24">
      <c r="A8907">
        <f>HYPERLINK("https://www.philgeps.gov.ph/GEPSNONPILOT/Tender/SplashBidNoticeAbstractUI.aspx?menuIndex=3&amp;refID=7141494&amp;Result=3","7141494")</f>
        <v>0</v>
      </c>
      <c r="B8907" t="s">
        <v>1574</v>
      </c>
      <c r="C8907" t="s">
        <v>12194</v>
      </c>
      <c r="D8907" t="s">
        <v>18019</v>
      </c>
      <c r="E8907" t="s">
        <v>25796</v>
      </c>
      <c r="F8907" t="s">
        <v>30900</v>
      </c>
      <c r="G8907" t="s">
        <v>30907</v>
      </c>
      <c r="H8907" t="s">
        <v>30916</v>
      </c>
      <c r="I8907" t="s">
        <v>4545</v>
      </c>
      <c r="J8907" t="s">
        <v>31574</v>
      </c>
      <c r="K8907" t="s">
        <v>40308</v>
      </c>
      <c r="M8907" t="s">
        <v>42222</v>
      </c>
      <c r="N8907" t="s">
        <v>44759</v>
      </c>
      <c r="O8907" t="s">
        <v>44760</v>
      </c>
      <c r="P8907">
        <v>0</v>
      </c>
      <c r="Q8907">
        <v>8</v>
      </c>
      <c r="R8907" t="s">
        <v>44768</v>
      </c>
      <c r="S8907" t="s">
        <v>44982</v>
      </c>
      <c r="T8907" t="s">
        <v>46480</v>
      </c>
      <c r="U8907" t="s">
        <v>54344</v>
      </c>
      <c r="W8907" t="s">
        <v>42222</v>
      </c>
      <c r="X8907" t="s">
        <v>44769</v>
      </c>
    </row>
    <row r="8908" spans="1:24">
      <c r="A8908">
        <f>HYPERLINK("https://www.philgeps.gov.ph/GEPSNONPILOT/Tender/SplashBidNoticeAbstractUI.aspx?menuIndex=3&amp;refID=7141489&amp;Result=3","7141489")</f>
        <v>0</v>
      </c>
      <c r="B8908" t="s">
        <v>1777</v>
      </c>
      <c r="C8908" t="s">
        <v>12195</v>
      </c>
      <c r="D8908" t="s">
        <v>17994</v>
      </c>
      <c r="E8908" t="s">
        <v>25797</v>
      </c>
      <c r="F8908" t="s">
        <v>30900</v>
      </c>
      <c r="G8908" t="s">
        <v>30907</v>
      </c>
      <c r="H8908" t="s">
        <v>30916</v>
      </c>
      <c r="I8908" t="s">
        <v>30939</v>
      </c>
      <c r="J8908" t="s">
        <v>36635</v>
      </c>
      <c r="K8908" t="s">
        <v>40281</v>
      </c>
      <c r="M8908" t="s">
        <v>42460</v>
      </c>
      <c r="N8908" t="s">
        <v>44759</v>
      </c>
      <c r="O8908" t="s">
        <v>44760</v>
      </c>
      <c r="P8908">
        <v>0</v>
      </c>
      <c r="Q8908">
        <v>0</v>
      </c>
      <c r="R8908" t="s">
        <v>44768</v>
      </c>
      <c r="S8908" t="s">
        <v>44982</v>
      </c>
      <c r="T8908" t="s">
        <v>46612</v>
      </c>
      <c r="U8908" t="s">
        <v>54345</v>
      </c>
      <c r="W8908" t="s">
        <v>42460</v>
      </c>
      <c r="X8908" t="s">
        <v>44769</v>
      </c>
    </row>
    <row r="8909" spans="1:24">
      <c r="A8909">
        <f>HYPERLINK("https://www.philgeps.gov.ph/GEPSNONPILOT/Tender/SplashBidNoticeAbstractUI.aspx?menuIndex=3&amp;refID=7141554&amp;Result=3","7141554")</f>
        <v>0</v>
      </c>
      <c r="B8909" t="s">
        <v>1733</v>
      </c>
      <c r="C8909" t="s">
        <v>12196</v>
      </c>
      <c r="D8909" t="s">
        <v>17990</v>
      </c>
      <c r="E8909" t="s">
        <v>25798</v>
      </c>
      <c r="F8909" t="s">
        <v>30900</v>
      </c>
      <c r="G8909" t="s">
        <v>30907</v>
      </c>
      <c r="H8909" t="s">
        <v>30915</v>
      </c>
      <c r="I8909" t="s">
        <v>30919</v>
      </c>
      <c r="J8909" t="s">
        <v>36636</v>
      </c>
      <c r="K8909" t="s">
        <v>40289</v>
      </c>
      <c r="M8909" t="s">
        <v>42400</v>
      </c>
      <c r="N8909" t="s">
        <v>44759</v>
      </c>
      <c r="O8909" t="s">
        <v>44760</v>
      </c>
      <c r="P8909">
        <v>0</v>
      </c>
      <c r="Q8909">
        <v>12</v>
      </c>
      <c r="R8909" t="s">
        <v>44768</v>
      </c>
      <c r="S8909" t="s">
        <v>44982</v>
      </c>
      <c r="T8909" t="s">
        <v>46428</v>
      </c>
      <c r="U8909" t="s">
        <v>54346</v>
      </c>
      <c r="W8909" t="s">
        <v>42400</v>
      </c>
      <c r="X8909" t="s">
        <v>44769</v>
      </c>
    </row>
    <row r="8910" spans="1:24">
      <c r="A8910">
        <f>HYPERLINK("https://www.philgeps.gov.ph/GEPSNONPILOT/Tender/SplashBidNoticeAbstractUI.aspx?menuIndex=3&amp;refID=7141495&amp;Result=3","7141495")</f>
        <v>0</v>
      </c>
      <c r="B8910" t="s">
        <v>2862</v>
      </c>
      <c r="C8910" t="s">
        <v>12197</v>
      </c>
      <c r="D8910" t="s">
        <v>17959</v>
      </c>
      <c r="E8910" t="s">
        <v>25799</v>
      </c>
      <c r="F8910" t="s">
        <v>30900</v>
      </c>
      <c r="G8910" t="s">
        <v>30907</v>
      </c>
      <c r="H8910" t="s">
        <v>30916</v>
      </c>
      <c r="I8910" t="s">
        <v>30942</v>
      </c>
      <c r="J8910" t="s">
        <v>36637</v>
      </c>
      <c r="K8910" t="s">
        <v>40289</v>
      </c>
      <c r="M8910" t="s">
        <v>43650</v>
      </c>
      <c r="N8910" t="s">
        <v>44759</v>
      </c>
      <c r="O8910" t="s">
        <v>44760</v>
      </c>
      <c r="P8910">
        <v>0</v>
      </c>
      <c r="Q8910">
        <v>3</v>
      </c>
      <c r="R8910" t="s">
        <v>44768</v>
      </c>
      <c r="S8910" t="s">
        <v>44982</v>
      </c>
      <c r="T8910" t="s">
        <v>46825</v>
      </c>
      <c r="U8910" t="s">
        <v>54347</v>
      </c>
      <c r="V8910" t="s">
        <v>60088</v>
      </c>
      <c r="W8910" t="s">
        <v>43650</v>
      </c>
      <c r="X8910" t="s">
        <v>44769</v>
      </c>
    </row>
    <row r="8911" spans="1:24">
      <c r="A8911">
        <f>HYPERLINK("https://www.philgeps.gov.ph/GEPSNONPILOT/Tender/SplashBidNoticeAbstractUI.aspx?menuIndex=3&amp;refID=7141552&amp;Result=3","7141552")</f>
        <v>0</v>
      </c>
      <c r="B8911" t="s">
        <v>2863</v>
      </c>
      <c r="C8911" t="s">
        <v>12198</v>
      </c>
      <c r="D8911" t="s">
        <v>17975</v>
      </c>
      <c r="E8911" t="s">
        <v>25800</v>
      </c>
      <c r="F8911" t="s">
        <v>30900</v>
      </c>
      <c r="G8911" t="s">
        <v>30907</v>
      </c>
      <c r="H8911" t="s">
        <v>30916</v>
      </c>
      <c r="I8911" t="s">
        <v>4050</v>
      </c>
      <c r="J8911" t="s">
        <v>34975</v>
      </c>
      <c r="K8911" t="s">
        <v>40294</v>
      </c>
      <c r="M8911" t="s">
        <v>43651</v>
      </c>
      <c r="N8911" t="s">
        <v>44759</v>
      </c>
      <c r="O8911" t="s">
        <v>44760</v>
      </c>
      <c r="P8911">
        <v>0</v>
      </c>
      <c r="Q8911">
        <v>0</v>
      </c>
      <c r="R8911" t="s">
        <v>44768</v>
      </c>
      <c r="S8911" t="s">
        <v>44982</v>
      </c>
      <c r="T8911" t="s">
        <v>46826</v>
      </c>
      <c r="U8911" t="s">
        <v>54348</v>
      </c>
      <c r="V8911" t="s">
        <v>60089</v>
      </c>
      <c r="W8911" t="s">
        <v>43651</v>
      </c>
      <c r="X8911" t="s">
        <v>44769</v>
      </c>
    </row>
    <row r="8912" spans="1:24">
      <c r="A8912">
        <f>HYPERLINK("https://www.philgeps.gov.ph/GEPSNONPILOT/Tender/SplashBidNoticeAbstractUI.aspx?menuIndex=3&amp;refID=7141559&amp;Result=3","7141559")</f>
        <v>0</v>
      </c>
      <c r="B8912" t="s">
        <v>2478</v>
      </c>
      <c r="C8912" t="s">
        <v>12199</v>
      </c>
      <c r="D8912" t="s">
        <v>17958</v>
      </c>
      <c r="E8912" t="s">
        <v>25801</v>
      </c>
      <c r="F8912" t="s">
        <v>30900</v>
      </c>
      <c r="G8912" t="s">
        <v>30907</v>
      </c>
      <c r="H8912" t="s">
        <v>30916</v>
      </c>
      <c r="I8912" t="s">
        <v>10879</v>
      </c>
      <c r="J8912" t="s">
        <v>31270</v>
      </c>
      <c r="K8912" t="s">
        <v>40292</v>
      </c>
      <c r="M8912" t="s">
        <v>43217</v>
      </c>
      <c r="N8912" t="s">
        <v>44759</v>
      </c>
      <c r="O8912" t="s">
        <v>44760</v>
      </c>
      <c r="P8912">
        <v>0</v>
      </c>
      <c r="Q8912">
        <v>3</v>
      </c>
      <c r="R8912" t="s">
        <v>44768</v>
      </c>
      <c r="S8912" t="s">
        <v>44982</v>
      </c>
      <c r="T8912" t="s">
        <v>46606</v>
      </c>
      <c r="U8912" t="s">
        <v>54349</v>
      </c>
      <c r="W8912" t="s">
        <v>43217</v>
      </c>
      <c r="X8912" t="s">
        <v>44769</v>
      </c>
    </row>
    <row r="8913" spans="1:24">
      <c r="A8913">
        <f>HYPERLINK("https://www.philgeps.gov.ph/GEPSNONPILOT/Tender/SplashBidNoticeAbstractUI.aspx?menuIndex=3&amp;refID=7141558&amp;Result=3","7141558")</f>
        <v>0</v>
      </c>
      <c r="B8913" t="s">
        <v>1841</v>
      </c>
      <c r="C8913" t="s">
        <v>12200</v>
      </c>
      <c r="E8913" t="s">
        <v>25802</v>
      </c>
      <c r="F8913" t="s">
        <v>30900</v>
      </c>
      <c r="G8913" t="s">
        <v>30907</v>
      </c>
      <c r="H8913" t="s">
        <v>30916</v>
      </c>
      <c r="I8913" t="s">
        <v>4142</v>
      </c>
      <c r="J8913" t="s">
        <v>34119</v>
      </c>
      <c r="K8913" t="s">
        <v>40289</v>
      </c>
      <c r="M8913" t="s">
        <v>42513</v>
      </c>
      <c r="N8913" t="s">
        <v>44759</v>
      </c>
      <c r="O8913" t="s">
        <v>44760</v>
      </c>
      <c r="P8913">
        <v>0</v>
      </c>
      <c r="Q8913">
        <v>0</v>
      </c>
      <c r="R8913" t="s">
        <v>44768</v>
      </c>
      <c r="S8913" t="s">
        <v>44982</v>
      </c>
      <c r="T8913" t="s">
        <v>46548</v>
      </c>
      <c r="U8913" t="s">
        <v>51140</v>
      </c>
      <c r="W8913" t="s">
        <v>42513</v>
      </c>
      <c r="X8913" t="s">
        <v>44769</v>
      </c>
    </row>
    <row r="8914" spans="1:24">
      <c r="A8914">
        <f>HYPERLINK("https://www.philgeps.gov.ph/GEPSNONPILOT/Tender/SplashBidNoticeAbstractUI.aspx?menuIndex=3&amp;refID=7141547&amp;Result=3","7141547")</f>
        <v>0</v>
      </c>
      <c r="B8914" t="s">
        <v>1777</v>
      </c>
      <c r="C8914" t="s">
        <v>12201</v>
      </c>
      <c r="D8914" t="s">
        <v>17994</v>
      </c>
      <c r="E8914" t="s">
        <v>25803</v>
      </c>
      <c r="F8914" t="s">
        <v>30900</v>
      </c>
      <c r="G8914" t="s">
        <v>30907</v>
      </c>
      <c r="H8914" t="s">
        <v>30916</v>
      </c>
      <c r="I8914" t="s">
        <v>5830</v>
      </c>
      <c r="J8914" t="s">
        <v>36638</v>
      </c>
      <c r="K8914" t="s">
        <v>40286</v>
      </c>
      <c r="M8914" t="s">
        <v>42460</v>
      </c>
      <c r="N8914" t="s">
        <v>44759</v>
      </c>
      <c r="O8914" t="s">
        <v>44760</v>
      </c>
      <c r="P8914">
        <v>0</v>
      </c>
      <c r="Q8914">
        <v>4</v>
      </c>
      <c r="R8914" t="s">
        <v>44768</v>
      </c>
      <c r="S8914" t="s">
        <v>44982</v>
      </c>
      <c r="T8914" t="s">
        <v>46612</v>
      </c>
      <c r="U8914" t="s">
        <v>54350</v>
      </c>
      <c r="W8914" t="s">
        <v>42460</v>
      </c>
      <c r="X8914" t="s">
        <v>44769</v>
      </c>
    </row>
    <row r="8915" spans="1:24">
      <c r="A8915">
        <f>HYPERLINK("https://www.philgeps.gov.ph/GEPSNONPILOT/Tender/SplashBidNoticeAbstractUI.aspx?menuIndex=3&amp;refID=7141541&amp;Result=3","7141541")</f>
        <v>0</v>
      </c>
      <c r="B8915" t="s">
        <v>56</v>
      </c>
      <c r="C8915" t="s">
        <v>12202</v>
      </c>
      <c r="D8915" t="s">
        <v>17952</v>
      </c>
      <c r="E8915" t="s">
        <v>25804</v>
      </c>
      <c r="F8915" t="s">
        <v>30900</v>
      </c>
      <c r="G8915" t="s">
        <v>30907</v>
      </c>
      <c r="H8915" t="s">
        <v>30916</v>
      </c>
      <c r="I8915" t="s">
        <v>30923</v>
      </c>
      <c r="J8915" t="s">
        <v>36639</v>
      </c>
      <c r="K8915" t="s">
        <v>40294</v>
      </c>
      <c r="M8915" t="s">
        <v>43052</v>
      </c>
      <c r="N8915" t="s">
        <v>44759</v>
      </c>
      <c r="O8915" t="s">
        <v>44760</v>
      </c>
      <c r="P8915">
        <v>0</v>
      </c>
      <c r="Q8915">
        <v>6</v>
      </c>
      <c r="R8915" t="s">
        <v>44768</v>
      </c>
      <c r="S8915" t="s">
        <v>44982</v>
      </c>
      <c r="T8915" t="s">
        <v>46450</v>
      </c>
      <c r="U8915" t="s">
        <v>54351</v>
      </c>
      <c r="V8915" t="s">
        <v>59108</v>
      </c>
      <c r="W8915" t="s">
        <v>43052</v>
      </c>
      <c r="X8915" t="s">
        <v>44769</v>
      </c>
    </row>
    <row r="8916" spans="1:24">
      <c r="A8916">
        <f>HYPERLINK("https://www.philgeps.gov.ph/GEPSNONPILOT/Tender/SplashBidNoticeAbstractUI.aspx?menuIndex=3&amp;refID=7141538&amp;Result=3","7141538")</f>
        <v>0</v>
      </c>
      <c r="B8916" t="s">
        <v>1972</v>
      </c>
      <c r="C8916" t="s">
        <v>12203</v>
      </c>
      <c r="D8916" t="s">
        <v>17971</v>
      </c>
      <c r="E8916" t="s">
        <v>25805</v>
      </c>
      <c r="F8916" t="s">
        <v>30900</v>
      </c>
      <c r="G8916" t="s">
        <v>30907</v>
      </c>
      <c r="H8916" t="s">
        <v>30915</v>
      </c>
      <c r="I8916" t="s">
        <v>30919</v>
      </c>
      <c r="J8916" t="s">
        <v>31243</v>
      </c>
      <c r="K8916" t="s">
        <v>40302</v>
      </c>
      <c r="L8916" t="s">
        <v>1972</v>
      </c>
      <c r="M8916" t="s">
        <v>42660</v>
      </c>
      <c r="N8916" t="s">
        <v>44759</v>
      </c>
      <c r="O8916" t="s">
        <v>44760</v>
      </c>
      <c r="P8916">
        <v>0</v>
      </c>
      <c r="Q8916">
        <v>46</v>
      </c>
      <c r="R8916" t="s">
        <v>44768</v>
      </c>
      <c r="S8916" t="s">
        <v>44982</v>
      </c>
      <c r="T8916" t="s">
        <v>46581</v>
      </c>
      <c r="U8916" t="s">
        <v>54352</v>
      </c>
      <c r="W8916" t="s">
        <v>42660</v>
      </c>
      <c r="X8916" t="s">
        <v>44769</v>
      </c>
    </row>
    <row r="8917" spans="1:24">
      <c r="A8917">
        <f>HYPERLINK("https://www.philgeps.gov.ph/GEPSNONPILOT/Tender/SplashBidNoticeAbstractUI.aspx?menuIndex=3&amp;refID=7141537&amp;Result=3","7141537")</f>
        <v>0</v>
      </c>
      <c r="B8917" t="s">
        <v>2834</v>
      </c>
      <c r="C8917" t="s">
        <v>12180</v>
      </c>
      <c r="D8917" t="s">
        <v>18007</v>
      </c>
      <c r="E8917" t="s">
        <v>25806</v>
      </c>
      <c r="F8917" t="s">
        <v>30900</v>
      </c>
      <c r="G8917" t="s">
        <v>30907</v>
      </c>
      <c r="H8917" t="s">
        <v>30916</v>
      </c>
      <c r="I8917" t="s">
        <v>30945</v>
      </c>
      <c r="J8917" t="s">
        <v>36640</v>
      </c>
      <c r="K8917" t="s">
        <v>40286</v>
      </c>
      <c r="M8917" t="s">
        <v>43619</v>
      </c>
      <c r="N8917" t="s">
        <v>44759</v>
      </c>
      <c r="O8917" t="s">
        <v>44760</v>
      </c>
      <c r="P8917">
        <v>0</v>
      </c>
      <c r="Q8917">
        <v>1</v>
      </c>
      <c r="R8917" t="s">
        <v>44768</v>
      </c>
      <c r="S8917" t="s">
        <v>44982</v>
      </c>
      <c r="T8917" t="s">
        <v>46733</v>
      </c>
      <c r="U8917" t="s">
        <v>54353</v>
      </c>
      <c r="W8917" t="s">
        <v>43619</v>
      </c>
      <c r="X8917" t="s">
        <v>44769</v>
      </c>
    </row>
    <row r="8918" spans="1:24">
      <c r="A8918">
        <f>HYPERLINK("https://www.philgeps.gov.ph/GEPSNONPILOT/Tender/SplashBidNoticeAbstractUI.aspx?menuIndex=3&amp;refID=7141549&amp;Result=3","7141549")</f>
        <v>0</v>
      </c>
      <c r="B8918" t="s">
        <v>2864</v>
      </c>
      <c r="C8918" t="s">
        <v>12204</v>
      </c>
      <c r="D8918" t="s">
        <v>17998</v>
      </c>
      <c r="E8918" t="s">
        <v>25807</v>
      </c>
      <c r="F8918" t="s">
        <v>30900</v>
      </c>
      <c r="G8918" t="s">
        <v>30907</v>
      </c>
      <c r="H8918" t="s">
        <v>30916</v>
      </c>
      <c r="I8918" t="s">
        <v>30949</v>
      </c>
      <c r="J8918" t="s">
        <v>31653</v>
      </c>
      <c r="K8918" t="s">
        <v>40289</v>
      </c>
      <c r="M8918" t="s">
        <v>43652</v>
      </c>
      <c r="N8918" t="s">
        <v>44759</v>
      </c>
      <c r="O8918" t="s">
        <v>44760</v>
      </c>
      <c r="P8918">
        <v>0</v>
      </c>
      <c r="Q8918">
        <v>8</v>
      </c>
      <c r="R8918" t="s">
        <v>44768</v>
      </c>
      <c r="S8918" t="s">
        <v>44982</v>
      </c>
      <c r="T8918" t="s">
        <v>46420</v>
      </c>
      <c r="U8918" t="s">
        <v>54354</v>
      </c>
      <c r="W8918" t="s">
        <v>43652</v>
      </c>
      <c r="X8918" t="s">
        <v>44769</v>
      </c>
    </row>
    <row r="8919" spans="1:24">
      <c r="A8919">
        <f>HYPERLINK("https://www.philgeps.gov.ph/GEPSNONPILOT/Tender/SplashBidNoticeAbstractUI.aspx?menuIndex=3&amp;refID=7141532&amp;Result=3","7141532")</f>
        <v>0</v>
      </c>
      <c r="B8919" t="s">
        <v>2852</v>
      </c>
      <c r="C8919" t="s">
        <v>12205</v>
      </c>
      <c r="D8919" t="s">
        <v>17963</v>
      </c>
      <c r="E8919" t="s">
        <v>21012</v>
      </c>
      <c r="F8919" t="s">
        <v>30900</v>
      </c>
      <c r="G8919" t="s">
        <v>30907</v>
      </c>
      <c r="H8919" t="s">
        <v>30916</v>
      </c>
      <c r="I8919" t="s">
        <v>30919</v>
      </c>
      <c r="J8919" t="s">
        <v>36641</v>
      </c>
      <c r="K8919" t="s">
        <v>40286</v>
      </c>
      <c r="M8919" t="s">
        <v>43639</v>
      </c>
      <c r="N8919" t="s">
        <v>44759</v>
      </c>
      <c r="O8919" t="s">
        <v>44760</v>
      </c>
      <c r="P8919">
        <v>0</v>
      </c>
      <c r="Q8919">
        <v>0</v>
      </c>
      <c r="R8919" t="s">
        <v>44768</v>
      </c>
      <c r="S8919" t="s">
        <v>44982</v>
      </c>
      <c r="T8919" t="s">
        <v>46591</v>
      </c>
      <c r="U8919" t="s">
        <v>54303</v>
      </c>
      <c r="W8919" t="s">
        <v>43639</v>
      </c>
      <c r="X8919" t="s">
        <v>44769</v>
      </c>
    </row>
    <row r="8920" spans="1:24">
      <c r="A8920">
        <f>HYPERLINK("https://www.philgeps.gov.ph/GEPSNONPILOT/Tender/SplashBidNoticeAbstractUI.aspx?menuIndex=3&amp;refID=7141530&amp;Result=3","7141530")</f>
        <v>0</v>
      </c>
      <c r="B8920" t="s">
        <v>1777</v>
      </c>
      <c r="C8920" t="s">
        <v>12206</v>
      </c>
      <c r="D8920" t="s">
        <v>17994</v>
      </c>
      <c r="E8920" t="s">
        <v>12206</v>
      </c>
      <c r="F8920" t="s">
        <v>30900</v>
      </c>
      <c r="G8920" t="s">
        <v>30907</v>
      </c>
      <c r="H8920" t="s">
        <v>30916</v>
      </c>
      <c r="I8920" t="s">
        <v>30963</v>
      </c>
      <c r="J8920" t="s">
        <v>31101</v>
      </c>
      <c r="K8920" t="s">
        <v>40283</v>
      </c>
      <c r="M8920" t="s">
        <v>42460</v>
      </c>
      <c r="N8920" t="s">
        <v>44759</v>
      </c>
      <c r="O8920" t="s">
        <v>44760</v>
      </c>
      <c r="P8920">
        <v>0</v>
      </c>
      <c r="Q8920">
        <v>1</v>
      </c>
      <c r="R8920" t="s">
        <v>44768</v>
      </c>
      <c r="S8920" t="s">
        <v>44982</v>
      </c>
      <c r="T8920" t="s">
        <v>46612</v>
      </c>
      <c r="U8920" t="s">
        <v>54355</v>
      </c>
      <c r="W8920" t="s">
        <v>42460</v>
      </c>
      <c r="X8920" t="s">
        <v>44769</v>
      </c>
    </row>
    <row r="8921" spans="1:24">
      <c r="A8921">
        <f>HYPERLINK("https://www.philgeps.gov.ph/GEPSNONPILOT/Tender/SplashBidNoticeAbstractUI.aspx?menuIndex=3&amp;refID=7141517&amp;Result=3","7141517")</f>
        <v>0</v>
      </c>
      <c r="B8921" t="s">
        <v>1155</v>
      </c>
      <c r="C8921" t="s">
        <v>12207</v>
      </c>
      <c r="D8921" t="s">
        <v>17968</v>
      </c>
      <c r="E8921" t="s">
        <v>25808</v>
      </c>
      <c r="F8921" t="s">
        <v>30900</v>
      </c>
      <c r="G8921" t="s">
        <v>30908</v>
      </c>
      <c r="H8921" t="s">
        <v>30916</v>
      </c>
      <c r="I8921" t="s">
        <v>4017</v>
      </c>
      <c r="J8921" t="s">
        <v>31449</v>
      </c>
      <c r="K8921" t="s">
        <v>40284</v>
      </c>
      <c r="M8921" t="s">
        <v>43488</v>
      </c>
      <c r="N8921" t="s">
        <v>44759</v>
      </c>
      <c r="O8921" t="s">
        <v>44760</v>
      </c>
      <c r="P8921">
        <v>0</v>
      </c>
      <c r="Q8921">
        <v>0</v>
      </c>
      <c r="R8921" t="s">
        <v>44768</v>
      </c>
      <c r="S8921" t="s">
        <v>44982</v>
      </c>
      <c r="T8921" t="s">
        <v>46625</v>
      </c>
      <c r="U8921" t="s">
        <v>54356</v>
      </c>
      <c r="W8921" t="s">
        <v>43488</v>
      </c>
      <c r="X8921" t="s">
        <v>44769</v>
      </c>
    </row>
    <row r="8922" spans="1:24">
      <c r="A8922">
        <f>HYPERLINK("https://www.philgeps.gov.ph/GEPSNONPILOT/Tender/SplashBidNoticeAbstractUI.aspx?menuIndex=3&amp;refID=7141528&amp;Result=3","7141528")</f>
        <v>0</v>
      </c>
      <c r="B8922" t="s">
        <v>1733</v>
      </c>
      <c r="C8922" t="s">
        <v>12208</v>
      </c>
      <c r="D8922" t="s">
        <v>17990</v>
      </c>
      <c r="E8922" t="s">
        <v>25809</v>
      </c>
      <c r="F8922" t="s">
        <v>30900</v>
      </c>
      <c r="G8922" t="s">
        <v>30907</v>
      </c>
      <c r="H8922" t="s">
        <v>30915</v>
      </c>
      <c r="I8922" t="s">
        <v>30919</v>
      </c>
      <c r="J8922" t="s">
        <v>35651</v>
      </c>
      <c r="K8922" t="s">
        <v>40289</v>
      </c>
      <c r="M8922" t="s">
        <v>42400</v>
      </c>
      <c r="N8922" t="s">
        <v>44759</v>
      </c>
      <c r="O8922" t="s">
        <v>44760</v>
      </c>
      <c r="P8922">
        <v>0</v>
      </c>
      <c r="Q8922">
        <v>16</v>
      </c>
      <c r="R8922" t="s">
        <v>44768</v>
      </c>
      <c r="S8922" t="s">
        <v>44982</v>
      </c>
      <c r="T8922" t="s">
        <v>46428</v>
      </c>
      <c r="U8922" t="s">
        <v>54357</v>
      </c>
      <c r="W8922" t="s">
        <v>42400</v>
      </c>
      <c r="X8922" t="s">
        <v>44769</v>
      </c>
    </row>
    <row r="8923" spans="1:24">
      <c r="A8923">
        <f>HYPERLINK("https://www.philgeps.gov.ph/GEPSNONPILOT/Tender/SplashBidNoticeAbstractUI.aspx?menuIndex=3&amp;refID=7141522&amp;Result=3","7141522")</f>
        <v>0</v>
      </c>
      <c r="B8923" t="s">
        <v>2863</v>
      </c>
      <c r="C8923" t="s">
        <v>12209</v>
      </c>
      <c r="D8923" t="s">
        <v>17975</v>
      </c>
      <c r="E8923" t="s">
        <v>25800</v>
      </c>
      <c r="F8923" t="s">
        <v>30900</v>
      </c>
      <c r="G8923" t="s">
        <v>30907</v>
      </c>
      <c r="H8923" t="s">
        <v>30916</v>
      </c>
      <c r="I8923" t="s">
        <v>4050</v>
      </c>
      <c r="J8923" t="s">
        <v>31341</v>
      </c>
      <c r="K8923" t="s">
        <v>40294</v>
      </c>
      <c r="M8923" t="s">
        <v>43651</v>
      </c>
      <c r="N8923" t="s">
        <v>44759</v>
      </c>
      <c r="O8923" t="s">
        <v>44760</v>
      </c>
      <c r="P8923">
        <v>0</v>
      </c>
      <c r="Q8923">
        <v>0</v>
      </c>
      <c r="R8923" t="s">
        <v>44768</v>
      </c>
      <c r="S8923" t="s">
        <v>44982</v>
      </c>
      <c r="T8923" t="s">
        <v>46357</v>
      </c>
      <c r="U8923" t="s">
        <v>54348</v>
      </c>
      <c r="V8923" t="s">
        <v>60089</v>
      </c>
      <c r="W8923" t="s">
        <v>43651</v>
      </c>
      <c r="X8923" t="s">
        <v>44769</v>
      </c>
    </row>
    <row r="8924" spans="1:24">
      <c r="A8924">
        <f>HYPERLINK("https://www.philgeps.gov.ph/GEPSNONPILOT/Tender/SplashBidNoticeAbstractUI.aspx?menuIndex=3&amp;refID=7141481&amp;Result=3","7141481")</f>
        <v>0</v>
      </c>
      <c r="B8924" t="s">
        <v>2655</v>
      </c>
      <c r="C8924" t="s">
        <v>12210</v>
      </c>
      <c r="E8924" t="s">
        <v>25810</v>
      </c>
      <c r="F8924" t="s">
        <v>30900</v>
      </c>
      <c r="G8924" t="s">
        <v>30907</v>
      </c>
      <c r="H8924" t="s">
        <v>30916</v>
      </c>
      <c r="I8924" t="s">
        <v>8123</v>
      </c>
      <c r="J8924" t="s">
        <v>31552</v>
      </c>
      <c r="K8924" t="s">
        <v>40280</v>
      </c>
      <c r="M8924" t="s">
        <v>43424</v>
      </c>
      <c r="N8924" t="s">
        <v>44759</v>
      </c>
      <c r="O8924" t="s">
        <v>44760</v>
      </c>
      <c r="P8924">
        <v>0</v>
      </c>
      <c r="Q8924">
        <v>0</v>
      </c>
      <c r="R8924" t="s">
        <v>44768</v>
      </c>
      <c r="S8924" t="s">
        <v>44982</v>
      </c>
      <c r="T8924" t="s">
        <v>46488</v>
      </c>
      <c r="U8924" t="s">
        <v>54358</v>
      </c>
      <c r="W8924" t="s">
        <v>43424</v>
      </c>
      <c r="X8924" t="s">
        <v>44769</v>
      </c>
    </row>
    <row r="8925" spans="1:24">
      <c r="A8925">
        <f>HYPERLINK("https://www.philgeps.gov.ph/GEPSNONPILOT/Tender/SplashBidNoticeAbstractUI.aspx?menuIndex=3&amp;refID=7141477&amp;Result=3","7141477")</f>
        <v>0</v>
      </c>
      <c r="B8925" t="s">
        <v>1777</v>
      </c>
      <c r="C8925" t="s">
        <v>12211</v>
      </c>
      <c r="D8925" t="s">
        <v>17994</v>
      </c>
      <c r="E8925" t="s">
        <v>25811</v>
      </c>
      <c r="F8925" t="s">
        <v>30900</v>
      </c>
      <c r="G8925" t="s">
        <v>30907</v>
      </c>
      <c r="H8925" t="s">
        <v>30916</v>
      </c>
      <c r="I8925" t="s">
        <v>30977</v>
      </c>
      <c r="J8925" t="s">
        <v>36642</v>
      </c>
      <c r="K8925" t="s">
        <v>40286</v>
      </c>
      <c r="M8925" t="s">
        <v>42460</v>
      </c>
      <c r="N8925" t="s">
        <v>44759</v>
      </c>
      <c r="O8925" t="s">
        <v>44760</v>
      </c>
      <c r="P8925">
        <v>0</v>
      </c>
      <c r="Q8925">
        <v>0</v>
      </c>
      <c r="R8925" t="s">
        <v>44768</v>
      </c>
      <c r="S8925" t="s">
        <v>44982</v>
      </c>
      <c r="T8925" t="s">
        <v>46612</v>
      </c>
      <c r="U8925" t="s">
        <v>54359</v>
      </c>
      <c r="W8925" t="s">
        <v>42460</v>
      </c>
      <c r="X8925" t="s">
        <v>44769</v>
      </c>
    </row>
    <row r="8926" spans="1:24">
      <c r="A8926">
        <f>HYPERLINK("https://www.philgeps.gov.ph/GEPSNONPILOT/Tender/SplashBidNoticeAbstractUI.aspx?menuIndex=3&amp;refID=7141475&amp;Result=3","7141475")</f>
        <v>0</v>
      </c>
      <c r="B8926" t="s">
        <v>1119</v>
      </c>
      <c r="C8926" t="s">
        <v>12212</v>
      </c>
      <c r="D8926" t="s">
        <v>18038</v>
      </c>
      <c r="E8926" t="s">
        <v>25812</v>
      </c>
      <c r="F8926" t="s">
        <v>30900</v>
      </c>
      <c r="G8926" t="s">
        <v>30907</v>
      </c>
      <c r="H8926" t="s">
        <v>30916</v>
      </c>
      <c r="I8926" t="s">
        <v>7708</v>
      </c>
      <c r="J8926" t="s">
        <v>36643</v>
      </c>
      <c r="K8926" t="s">
        <v>40292</v>
      </c>
      <c r="M8926" t="s">
        <v>42602</v>
      </c>
      <c r="N8926" t="s">
        <v>44759</v>
      </c>
      <c r="O8926" t="s">
        <v>44760</v>
      </c>
      <c r="Q8926">
        <v>6</v>
      </c>
      <c r="R8926" t="s">
        <v>44768</v>
      </c>
      <c r="S8926" t="s">
        <v>45027</v>
      </c>
      <c r="T8926" t="s">
        <v>46370</v>
      </c>
      <c r="U8926" t="s">
        <v>54360</v>
      </c>
      <c r="V8926" t="s">
        <v>59685</v>
      </c>
      <c r="W8926" t="s">
        <v>42602</v>
      </c>
      <c r="X8926" t="s">
        <v>44769</v>
      </c>
    </row>
    <row r="8927" spans="1:24">
      <c r="A8927">
        <f>HYPERLINK("https://www.philgeps.gov.ph/GEPSNONPILOT/Tender/SplashBidNoticeAbstractUI.aspx?menuIndex=3&amp;refID=7141480&amp;Result=3","7141480")</f>
        <v>0</v>
      </c>
      <c r="B8927" t="s">
        <v>2856</v>
      </c>
      <c r="C8927" t="s">
        <v>12213</v>
      </c>
      <c r="D8927" t="s">
        <v>17981</v>
      </c>
      <c r="E8927" t="s">
        <v>25813</v>
      </c>
      <c r="F8927" t="s">
        <v>30900</v>
      </c>
      <c r="G8927" t="s">
        <v>30907</v>
      </c>
      <c r="H8927" t="s">
        <v>30915</v>
      </c>
      <c r="I8927" t="s">
        <v>30919</v>
      </c>
      <c r="J8927" t="s">
        <v>36644</v>
      </c>
      <c r="K8927" t="s">
        <v>40289</v>
      </c>
      <c r="M8927" t="s">
        <v>43643</v>
      </c>
      <c r="N8927" t="s">
        <v>44759</v>
      </c>
      <c r="O8927" t="s">
        <v>44760</v>
      </c>
      <c r="P8927">
        <v>0</v>
      </c>
      <c r="Q8927">
        <v>8</v>
      </c>
      <c r="R8927" t="s">
        <v>44768</v>
      </c>
      <c r="S8927" t="s">
        <v>44982</v>
      </c>
      <c r="T8927" t="s">
        <v>46662</v>
      </c>
      <c r="U8927" t="s">
        <v>54361</v>
      </c>
      <c r="V8927" t="s">
        <v>60090</v>
      </c>
      <c r="W8927" t="s">
        <v>43643</v>
      </c>
      <c r="X8927" t="s">
        <v>44769</v>
      </c>
    </row>
    <row r="8928" spans="1:24">
      <c r="A8928">
        <f>HYPERLINK("https://www.philgeps.gov.ph/GEPSNONPILOT/Tender/SplashBidNoticeAbstractUI.aspx?menuIndex=3&amp;refID=7141465&amp;Result=3","7141465")</f>
        <v>0</v>
      </c>
      <c r="B8928" t="s">
        <v>1155</v>
      </c>
      <c r="C8928" t="s">
        <v>12214</v>
      </c>
      <c r="D8928" t="s">
        <v>17968</v>
      </c>
      <c r="E8928" t="s">
        <v>25814</v>
      </c>
      <c r="F8928" t="s">
        <v>30900</v>
      </c>
      <c r="G8928" t="s">
        <v>30908</v>
      </c>
      <c r="H8928" t="s">
        <v>30916</v>
      </c>
      <c r="I8928" t="s">
        <v>30923</v>
      </c>
      <c r="J8928" t="s">
        <v>36645</v>
      </c>
      <c r="K8928" t="s">
        <v>40284</v>
      </c>
      <c r="M8928" t="s">
        <v>43488</v>
      </c>
      <c r="N8928" t="s">
        <v>44759</v>
      </c>
      <c r="O8928" t="s">
        <v>44760</v>
      </c>
      <c r="P8928">
        <v>0</v>
      </c>
      <c r="Q8928">
        <v>7</v>
      </c>
      <c r="R8928" t="s">
        <v>44768</v>
      </c>
      <c r="S8928" t="s">
        <v>44982</v>
      </c>
      <c r="T8928" t="s">
        <v>46625</v>
      </c>
      <c r="U8928" t="s">
        <v>54362</v>
      </c>
      <c r="W8928" t="s">
        <v>43488</v>
      </c>
      <c r="X8928" t="s">
        <v>44769</v>
      </c>
    </row>
    <row r="8929" spans="1:24">
      <c r="A8929">
        <f>HYPERLINK("https://www.philgeps.gov.ph/GEPSNONPILOT/Tender/SplashBidNoticeAbstractUI.aspx?menuIndex=3&amp;refID=7141476&amp;Result=3","7141476")</f>
        <v>0</v>
      </c>
      <c r="B8929" t="s">
        <v>2852</v>
      </c>
      <c r="C8929" t="s">
        <v>12215</v>
      </c>
      <c r="D8929" t="s">
        <v>17963</v>
      </c>
      <c r="E8929" t="s">
        <v>18916</v>
      </c>
      <c r="F8929" t="s">
        <v>30900</v>
      </c>
      <c r="G8929" t="s">
        <v>30907</v>
      </c>
      <c r="H8929" t="s">
        <v>30915</v>
      </c>
      <c r="I8929" t="s">
        <v>30919</v>
      </c>
      <c r="J8929" t="s">
        <v>36646</v>
      </c>
      <c r="K8929" t="s">
        <v>40280</v>
      </c>
      <c r="M8929" t="s">
        <v>43639</v>
      </c>
      <c r="N8929" t="s">
        <v>44759</v>
      </c>
      <c r="O8929" t="s">
        <v>44760</v>
      </c>
      <c r="P8929">
        <v>0</v>
      </c>
      <c r="Q8929">
        <v>0</v>
      </c>
      <c r="R8929" t="s">
        <v>44768</v>
      </c>
      <c r="S8929" t="s">
        <v>44982</v>
      </c>
      <c r="T8929" t="s">
        <v>46591</v>
      </c>
      <c r="U8929" t="s">
        <v>54303</v>
      </c>
      <c r="W8929" t="s">
        <v>43639</v>
      </c>
      <c r="X8929" t="s">
        <v>44769</v>
      </c>
    </row>
    <row r="8930" spans="1:24">
      <c r="A8930">
        <f>HYPERLINK("https://www.philgeps.gov.ph/GEPSNONPILOT/Tender/SplashBidNoticeAbstractUI.aspx?menuIndex=3&amp;refID=7141430&amp;Result=3","7141430")</f>
        <v>0</v>
      </c>
      <c r="B8930" t="s">
        <v>223</v>
      </c>
      <c r="C8930" t="s">
        <v>12216</v>
      </c>
      <c r="E8930" t="s">
        <v>25815</v>
      </c>
      <c r="F8930" t="s">
        <v>30900</v>
      </c>
      <c r="G8930" t="s">
        <v>30907</v>
      </c>
      <c r="H8930" t="s">
        <v>30916</v>
      </c>
      <c r="I8930" t="s">
        <v>30952</v>
      </c>
      <c r="J8930" t="s">
        <v>36647</v>
      </c>
      <c r="K8930" t="s">
        <v>40289</v>
      </c>
      <c r="M8930" t="s">
        <v>41103</v>
      </c>
      <c r="N8930" t="s">
        <v>44759</v>
      </c>
      <c r="O8930" t="s">
        <v>44760</v>
      </c>
      <c r="P8930">
        <v>0</v>
      </c>
      <c r="Q8930">
        <v>10</v>
      </c>
      <c r="R8930" t="s">
        <v>44768</v>
      </c>
      <c r="S8930" t="s">
        <v>44982</v>
      </c>
      <c r="T8930" t="s">
        <v>46449</v>
      </c>
      <c r="U8930" t="s">
        <v>54363</v>
      </c>
      <c r="W8930" t="s">
        <v>41103</v>
      </c>
      <c r="X8930" t="s">
        <v>44769</v>
      </c>
    </row>
    <row r="8931" spans="1:24">
      <c r="A8931">
        <f>HYPERLINK("https://www.philgeps.gov.ph/GEPSNONPILOT/Tender/SplashBidNoticeAbstractUI.aspx?menuIndex=3&amp;refID=7141578&amp;Result=3","7141578")</f>
        <v>0</v>
      </c>
      <c r="B8931" t="s">
        <v>1108</v>
      </c>
      <c r="C8931" t="s">
        <v>12217</v>
      </c>
      <c r="D8931" t="s">
        <v>17959</v>
      </c>
      <c r="E8931" t="s">
        <v>25816</v>
      </c>
      <c r="F8931" t="s">
        <v>30900</v>
      </c>
      <c r="G8931" t="s">
        <v>30907</v>
      </c>
      <c r="H8931" t="s">
        <v>30916</v>
      </c>
      <c r="I8931" t="s">
        <v>30924</v>
      </c>
      <c r="J8931" t="s">
        <v>36648</v>
      </c>
      <c r="K8931" t="s">
        <v>40280</v>
      </c>
      <c r="M8931" t="s">
        <v>41708</v>
      </c>
      <c r="N8931" t="s">
        <v>44759</v>
      </c>
      <c r="O8931" t="s">
        <v>44760</v>
      </c>
      <c r="P8931">
        <v>0</v>
      </c>
      <c r="Q8931">
        <v>13</v>
      </c>
      <c r="R8931" t="s">
        <v>44768</v>
      </c>
      <c r="S8931" t="s">
        <v>44982</v>
      </c>
      <c r="T8931" t="s">
        <v>46370</v>
      </c>
      <c r="U8931" t="s">
        <v>54364</v>
      </c>
      <c r="W8931" t="s">
        <v>41708</v>
      </c>
      <c r="X8931" t="s">
        <v>44769</v>
      </c>
    </row>
    <row r="8932" spans="1:24">
      <c r="A8932">
        <f>HYPERLINK("https://www.philgeps.gov.ph/GEPSNONPILOT/Tender/SplashBidNoticeAbstractUI.aspx?menuIndex=3&amp;refID=7141468&amp;Result=3","7141468")</f>
        <v>0</v>
      </c>
      <c r="B8932" t="s">
        <v>188</v>
      </c>
      <c r="C8932" t="s">
        <v>12218</v>
      </c>
      <c r="D8932" t="s">
        <v>17992</v>
      </c>
      <c r="E8932" t="s">
        <v>25817</v>
      </c>
      <c r="F8932" t="s">
        <v>30900</v>
      </c>
      <c r="G8932" t="s">
        <v>30907</v>
      </c>
      <c r="H8932" t="s">
        <v>30916</v>
      </c>
      <c r="I8932" t="s">
        <v>6746</v>
      </c>
      <c r="J8932" t="s">
        <v>36649</v>
      </c>
      <c r="K8932" t="s">
        <v>40291</v>
      </c>
      <c r="M8932" t="s">
        <v>40735</v>
      </c>
      <c r="N8932" t="s">
        <v>44759</v>
      </c>
      <c r="O8932" t="s">
        <v>44760</v>
      </c>
      <c r="P8932">
        <v>0</v>
      </c>
      <c r="Q8932">
        <v>0</v>
      </c>
      <c r="R8932" t="s">
        <v>44768</v>
      </c>
      <c r="S8932" t="s">
        <v>44982</v>
      </c>
      <c r="T8932" t="s">
        <v>46703</v>
      </c>
      <c r="U8932" t="s">
        <v>54365</v>
      </c>
      <c r="V8932" t="s">
        <v>59644</v>
      </c>
      <c r="W8932" t="s">
        <v>40735</v>
      </c>
      <c r="X8932" t="s">
        <v>44769</v>
      </c>
    </row>
    <row r="8933" spans="1:24">
      <c r="A8933">
        <f>HYPERLINK("https://www.philgeps.gov.ph/GEPSNONPILOT/Tender/SplashBidNoticeAbstractUI.aspx?menuIndex=3&amp;refID=7141614&amp;Result=3","7141614")</f>
        <v>0</v>
      </c>
      <c r="B8933" t="s">
        <v>2483</v>
      </c>
      <c r="C8933" t="s">
        <v>12219</v>
      </c>
      <c r="D8933" t="s">
        <v>17959</v>
      </c>
      <c r="E8933" t="s">
        <v>20256</v>
      </c>
      <c r="F8933" t="s">
        <v>30900</v>
      </c>
      <c r="G8933" t="s">
        <v>30907</v>
      </c>
      <c r="H8933" t="s">
        <v>30915</v>
      </c>
      <c r="I8933" t="s">
        <v>30948</v>
      </c>
      <c r="J8933" t="s">
        <v>36650</v>
      </c>
      <c r="K8933" t="s">
        <v>40293</v>
      </c>
      <c r="M8933" t="s">
        <v>43224</v>
      </c>
      <c r="N8933" t="s">
        <v>44759</v>
      </c>
      <c r="O8933" t="s">
        <v>44760</v>
      </c>
      <c r="P8933">
        <v>0</v>
      </c>
      <c r="Q8933">
        <v>0</v>
      </c>
      <c r="R8933" t="s">
        <v>44768</v>
      </c>
      <c r="S8933" t="s">
        <v>44982</v>
      </c>
      <c r="T8933" t="s">
        <v>46612</v>
      </c>
      <c r="U8933" t="s">
        <v>54366</v>
      </c>
      <c r="W8933" t="s">
        <v>43224</v>
      </c>
      <c r="X8933" t="s">
        <v>44769</v>
      </c>
    </row>
    <row r="8934" spans="1:24">
      <c r="A8934">
        <f>HYPERLINK("https://www.philgeps.gov.ph/GEPSNONPILOT/Tender/SplashBidNoticeAbstractUI.aspx?menuIndex=3&amp;refID=7141536&amp;Result=3","7141536")</f>
        <v>0</v>
      </c>
      <c r="B8934" t="s">
        <v>1119</v>
      </c>
      <c r="C8934" t="s">
        <v>12220</v>
      </c>
      <c r="D8934" t="s">
        <v>18038</v>
      </c>
      <c r="E8934" t="s">
        <v>25818</v>
      </c>
      <c r="F8934" t="s">
        <v>30900</v>
      </c>
      <c r="G8934" t="s">
        <v>30907</v>
      </c>
      <c r="H8934" t="s">
        <v>30916</v>
      </c>
      <c r="I8934" t="s">
        <v>7708</v>
      </c>
      <c r="J8934" t="s">
        <v>36651</v>
      </c>
      <c r="K8934" t="s">
        <v>40280</v>
      </c>
      <c r="M8934" t="s">
        <v>42602</v>
      </c>
      <c r="N8934" t="s">
        <v>44759</v>
      </c>
      <c r="O8934" t="s">
        <v>44760</v>
      </c>
      <c r="Q8934">
        <v>6</v>
      </c>
      <c r="R8934" t="s">
        <v>44768</v>
      </c>
      <c r="S8934" t="s">
        <v>45028</v>
      </c>
      <c r="T8934" t="s">
        <v>46370</v>
      </c>
      <c r="U8934" t="s">
        <v>54360</v>
      </c>
      <c r="V8934" t="s">
        <v>59685</v>
      </c>
      <c r="W8934" t="s">
        <v>42602</v>
      </c>
      <c r="X8934" t="s">
        <v>44769</v>
      </c>
    </row>
    <row r="8935" spans="1:24">
      <c r="A8935">
        <f>HYPERLINK("https://www.philgeps.gov.ph/GEPSNONPILOT/Tender/SplashBidNoticeAbstractUI.aspx?menuIndex=3&amp;refID=7141606&amp;Result=3","7141606")</f>
        <v>0</v>
      </c>
      <c r="B8935" t="s">
        <v>1777</v>
      </c>
      <c r="C8935" t="s">
        <v>12221</v>
      </c>
      <c r="D8935" t="s">
        <v>17994</v>
      </c>
      <c r="E8935" t="s">
        <v>12221</v>
      </c>
      <c r="F8935" t="s">
        <v>30900</v>
      </c>
      <c r="G8935" t="s">
        <v>30907</v>
      </c>
      <c r="H8935" t="s">
        <v>30916</v>
      </c>
      <c r="I8935" t="s">
        <v>10847</v>
      </c>
      <c r="J8935" t="s">
        <v>36652</v>
      </c>
      <c r="K8935" t="s">
        <v>40286</v>
      </c>
      <c r="M8935" t="s">
        <v>42460</v>
      </c>
      <c r="N8935" t="s">
        <v>44759</v>
      </c>
      <c r="O8935" t="s">
        <v>44760</v>
      </c>
      <c r="P8935">
        <v>0</v>
      </c>
      <c r="Q8935">
        <v>0</v>
      </c>
      <c r="R8935" t="s">
        <v>44768</v>
      </c>
      <c r="S8935" t="s">
        <v>44982</v>
      </c>
      <c r="T8935" t="s">
        <v>46612</v>
      </c>
      <c r="U8935" t="s">
        <v>54367</v>
      </c>
      <c r="W8935" t="s">
        <v>42460</v>
      </c>
      <c r="X8935" t="s">
        <v>44769</v>
      </c>
    </row>
    <row r="8936" spans="1:24">
      <c r="A8936">
        <f>HYPERLINK("https://www.philgeps.gov.ph/GEPSNONPILOT/Tender/SplashBidNoticeAbstractUI.aspx?menuIndex=3&amp;refID=7141609&amp;Result=3","7141609")</f>
        <v>0</v>
      </c>
      <c r="B8936" t="s">
        <v>1972</v>
      </c>
      <c r="C8936" t="s">
        <v>12222</v>
      </c>
      <c r="D8936" t="s">
        <v>17971</v>
      </c>
      <c r="E8936" t="s">
        <v>25819</v>
      </c>
      <c r="F8936" t="s">
        <v>30900</v>
      </c>
      <c r="G8936" t="s">
        <v>30907</v>
      </c>
      <c r="H8936" t="s">
        <v>30915</v>
      </c>
      <c r="I8936" t="s">
        <v>30919</v>
      </c>
      <c r="J8936" t="s">
        <v>31243</v>
      </c>
      <c r="K8936" t="s">
        <v>40302</v>
      </c>
      <c r="L8936" t="s">
        <v>1972</v>
      </c>
      <c r="M8936" t="s">
        <v>42660</v>
      </c>
      <c r="N8936" t="s">
        <v>44759</v>
      </c>
      <c r="O8936" t="s">
        <v>44760</v>
      </c>
      <c r="P8936">
        <v>0</v>
      </c>
      <c r="Q8936">
        <v>47</v>
      </c>
      <c r="R8936" t="s">
        <v>44768</v>
      </c>
      <c r="S8936" t="s">
        <v>44982</v>
      </c>
      <c r="T8936" t="s">
        <v>46591</v>
      </c>
      <c r="U8936" t="s">
        <v>54368</v>
      </c>
      <c r="W8936" t="s">
        <v>42660</v>
      </c>
      <c r="X8936" t="s">
        <v>44769</v>
      </c>
    </row>
    <row r="8937" spans="1:24">
      <c r="A8937">
        <f>HYPERLINK("https://www.philgeps.gov.ph/GEPSNONPILOT/Tender/SplashBidNoticeAbstractUI.aspx?menuIndex=3&amp;refID=7141602&amp;Result=3","7141602")</f>
        <v>0</v>
      </c>
      <c r="B8937" t="s">
        <v>2865</v>
      </c>
      <c r="C8937" t="s">
        <v>12223</v>
      </c>
      <c r="D8937" t="s">
        <v>18025</v>
      </c>
      <c r="E8937" t="s">
        <v>25820</v>
      </c>
      <c r="F8937" t="s">
        <v>30900</v>
      </c>
      <c r="G8937" t="s">
        <v>30906</v>
      </c>
      <c r="H8937" t="s">
        <v>30916</v>
      </c>
      <c r="I8937" t="s">
        <v>6834</v>
      </c>
      <c r="J8937" t="s">
        <v>31066</v>
      </c>
      <c r="K8937" t="s">
        <v>40283</v>
      </c>
      <c r="M8937" t="s">
        <v>43653</v>
      </c>
      <c r="N8937" t="s">
        <v>44759</v>
      </c>
      <c r="O8937" t="s">
        <v>44760</v>
      </c>
      <c r="P8937">
        <v>0</v>
      </c>
      <c r="Q8937">
        <v>3</v>
      </c>
      <c r="R8937" t="s">
        <v>44768</v>
      </c>
      <c r="S8937" t="s">
        <v>44982</v>
      </c>
      <c r="T8937" t="s">
        <v>46625</v>
      </c>
      <c r="U8937" t="s">
        <v>47619</v>
      </c>
      <c r="V8937" t="s">
        <v>60091</v>
      </c>
      <c r="W8937" t="s">
        <v>43653</v>
      </c>
      <c r="X8937" t="s">
        <v>44769</v>
      </c>
    </row>
    <row r="8938" spans="1:24">
      <c r="A8938">
        <f>HYPERLINK("https://www.philgeps.gov.ph/GEPSNONPILOT/Tender/SplashBidNoticeAbstractUI.aspx?menuIndex=3&amp;refID=7141599&amp;Result=3","7141599")</f>
        <v>0</v>
      </c>
      <c r="B8938" t="s">
        <v>1119</v>
      </c>
      <c r="C8938" t="s">
        <v>12224</v>
      </c>
      <c r="D8938" t="s">
        <v>18038</v>
      </c>
      <c r="E8938" t="s">
        <v>25821</v>
      </c>
      <c r="F8938" t="s">
        <v>30900</v>
      </c>
      <c r="G8938" t="s">
        <v>30907</v>
      </c>
      <c r="H8938" t="s">
        <v>30916</v>
      </c>
      <c r="I8938" t="s">
        <v>7708</v>
      </c>
      <c r="J8938" t="s">
        <v>36653</v>
      </c>
      <c r="K8938" t="s">
        <v>40280</v>
      </c>
      <c r="M8938" t="s">
        <v>42602</v>
      </c>
      <c r="N8938" t="s">
        <v>44759</v>
      </c>
      <c r="O8938" t="s">
        <v>44760</v>
      </c>
      <c r="Q8938">
        <v>5</v>
      </c>
      <c r="R8938" t="s">
        <v>44768</v>
      </c>
      <c r="S8938" t="s">
        <v>45029</v>
      </c>
      <c r="T8938" t="s">
        <v>46561</v>
      </c>
      <c r="U8938" t="s">
        <v>54360</v>
      </c>
      <c r="V8938" t="s">
        <v>59685</v>
      </c>
      <c r="W8938" t="s">
        <v>42602</v>
      </c>
      <c r="X8938" t="s">
        <v>44769</v>
      </c>
    </row>
    <row r="8939" spans="1:24">
      <c r="A8939">
        <f>HYPERLINK("https://www.philgeps.gov.ph/GEPSNONPILOT/Tender/SplashBidNoticeAbstractUI.aspx?menuIndex=3&amp;refID=7141595&amp;Result=3","7141595")</f>
        <v>0</v>
      </c>
      <c r="B8939" t="s">
        <v>1972</v>
      </c>
      <c r="C8939" t="s">
        <v>12225</v>
      </c>
      <c r="D8939" t="s">
        <v>17971</v>
      </c>
      <c r="E8939" t="s">
        <v>25822</v>
      </c>
      <c r="F8939" t="s">
        <v>30900</v>
      </c>
      <c r="G8939" t="s">
        <v>30907</v>
      </c>
      <c r="H8939" t="s">
        <v>30915</v>
      </c>
      <c r="I8939" t="s">
        <v>30919</v>
      </c>
      <c r="J8939" t="s">
        <v>36654</v>
      </c>
      <c r="K8939" t="s">
        <v>40302</v>
      </c>
      <c r="L8939" t="s">
        <v>1972</v>
      </c>
      <c r="M8939" t="s">
        <v>42660</v>
      </c>
      <c r="N8939" t="s">
        <v>44759</v>
      </c>
      <c r="O8939" t="s">
        <v>44760</v>
      </c>
      <c r="P8939">
        <v>0</v>
      </c>
      <c r="Q8939">
        <v>48</v>
      </c>
      <c r="R8939" t="s">
        <v>44768</v>
      </c>
      <c r="S8939" t="s">
        <v>44982</v>
      </c>
      <c r="T8939" t="s">
        <v>46541</v>
      </c>
      <c r="U8939" t="s">
        <v>54369</v>
      </c>
      <c r="W8939" t="s">
        <v>42660</v>
      </c>
      <c r="X8939" t="s">
        <v>44769</v>
      </c>
    </row>
    <row r="8940" spans="1:24">
      <c r="A8940">
        <f>HYPERLINK("https://www.philgeps.gov.ph/GEPSNONPILOT/Tender/SplashBidNoticeAbstractUI.aspx?menuIndex=3&amp;refID=7141498&amp;Result=3","7141498")</f>
        <v>0</v>
      </c>
      <c r="B8940" t="s">
        <v>2866</v>
      </c>
      <c r="C8940" t="s">
        <v>12226</v>
      </c>
      <c r="D8940" t="s">
        <v>17977</v>
      </c>
      <c r="E8940" t="s">
        <v>25823</v>
      </c>
      <c r="F8940" t="s">
        <v>30900</v>
      </c>
      <c r="G8940" t="s">
        <v>30908</v>
      </c>
      <c r="H8940" t="s">
        <v>30915</v>
      </c>
      <c r="I8940" t="s">
        <v>30964</v>
      </c>
      <c r="J8940" t="s">
        <v>31096</v>
      </c>
      <c r="K8940" t="s">
        <v>40280</v>
      </c>
      <c r="M8940" t="s">
        <v>43654</v>
      </c>
      <c r="N8940" t="s">
        <v>44759</v>
      </c>
      <c r="O8940" t="s">
        <v>44760</v>
      </c>
      <c r="P8940">
        <v>0</v>
      </c>
      <c r="Q8940">
        <v>1</v>
      </c>
      <c r="R8940" t="s">
        <v>44768</v>
      </c>
      <c r="S8940" t="s">
        <v>44982</v>
      </c>
      <c r="T8940" t="s">
        <v>46699</v>
      </c>
      <c r="U8940" t="s">
        <v>47043</v>
      </c>
      <c r="W8940" t="s">
        <v>43654</v>
      </c>
      <c r="X8940" t="s">
        <v>44769</v>
      </c>
    </row>
    <row r="8941" spans="1:24">
      <c r="A8941">
        <f>HYPERLINK("https://www.philgeps.gov.ph/GEPSNONPILOT/Tender/SplashBidNoticeAbstractUI.aspx?menuIndex=3&amp;refID=7141593&amp;Result=3","7141593")</f>
        <v>0</v>
      </c>
      <c r="B8941" t="s">
        <v>2438</v>
      </c>
      <c r="C8941" t="s">
        <v>12227</v>
      </c>
      <c r="D8941" t="s">
        <v>17951</v>
      </c>
      <c r="E8941" t="s">
        <v>25824</v>
      </c>
      <c r="F8941" t="s">
        <v>30900</v>
      </c>
      <c r="G8941" t="s">
        <v>30907</v>
      </c>
      <c r="H8941" t="s">
        <v>30916</v>
      </c>
      <c r="I8941" t="s">
        <v>4545</v>
      </c>
      <c r="J8941" t="s">
        <v>31484</v>
      </c>
      <c r="K8941" t="s">
        <v>40286</v>
      </c>
      <c r="M8941" t="s">
        <v>43169</v>
      </c>
      <c r="N8941" t="s">
        <v>44759</v>
      </c>
      <c r="O8941" t="s">
        <v>44760</v>
      </c>
      <c r="P8941">
        <v>0</v>
      </c>
      <c r="Q8941">
        <v>1</v>
      </c>
      <c r="R8941" t="s">
        <v>44768</v>
      </c>
      <c r="S8941" t="s">
        <v>44982</v>
      </c>
      <c r="T8941" t="s">
        <v>46433</v>
      </c>
      <c r="U8941" t="s">
        <v>54370</v>
      </c>
      <c r="W8941" t="s">
        <v>43169</v>
      </c>
      <c r="X8941" t="s">
        <v>44769</v>
      </c>
    </row>
    <row r="8942" spans="1:24">
      <c r="A8942">
        <f>HYPERLINK("https://www.philgeps.gov.ph/GEPSNONPILOT/Tender/SplashBidNoticeAbstractUI.aspx?menuIndex=3&amp;refID=7141591&amp;Result=3","7141591")</f>
        <v>0</v>
      </c>
      <c r="B8942" t="s">
        <v>2867</v>
      </c>
      <c r="C8942" t="s">
        <v>7987</v>
      </c>
      <c r="D8942" t="s">
        <v>17963</v>
      </c>
      <c r="E8942" t="s">
        <v>20359</v>
      </c>
      <c r="F8942" t="s">
        <v>30900</v>
      </c>
      <c r="G8942" t="s">
        <v>30907</v>
      </c>
      <c r="H8942" t="s">
        <v>30915</v>
      </c>
      <c r="I8942" t="s">
        <v>30919</v>
      </c>
      <c r="J8942" t="s">
        <v>36655</v>
      </c>
      <c r="K8942" t="s">
        <v>40280</v>
      </c>
      <c r="M8942" t="s">
        <v>43655</v>
      </c>
      <c r="N8942" t="s">
        <v>44759</v>
      </c>
      <c r="O8942" t="s">
        <v>44760</v>
      </c>
      <c r="P8942">
        <v>0</v>
      </c>
      <c r="Q8942">
        <v>0</v>
      </c>
      <c r="R8942" t="s">
        <v>44768</v>
      </c>
      <c r="S8942" t="s">
        <v>44982</v>
      </c>
      <c r="T8942" t="s">
        <v>46373</v>
      </c>
      <c r="U8942" t="s">
        <v>54371</v>
      </c>
      <c r="W8942" t="s">
        <v>43655</v>
      </c>
      <c r="X8942" t="s">
        <v>44769</v>
      </c>
    </row>
    <row r="8943" spans="1:24">
      <c r="A8943">
        <f>HYPERLINK("https://www.philgeps.gov.ph/GEPSNONPILOT/Tender/SplashBidNoticeAbstractUI.aspx?menuIndex=3&amp;refID=7141551&amp;Result=3","7141551")</f>
        <v>0</v>
      </c>
      <c r="B8943" t="s">
        <v>1119</v>
      </c>
      <c r="C8943" t="s">
        <v>12228</v>
      </c>
      <c r="D8943" t="s">
        <v>18038</v>
      </c>
      <c r="E8943" t="s">
        <v>25825</v>
      </c>
      <c r="F8943" t="s">
        <v>30900</v>
      </c>
      <c r="G8943" t="s">
        <v>30907</v>
      </c>
      <c r="H8943" t="s">
        <v>30916</v>
      </c>
      <c r="I8943" t="s">
        <v>7708</v>
      </c>
      <c r="J8943" t="s">
        <v>36656</v>
      </c>
      <c r="K8943" t="s">
        <v>40292</v>
      </c>
      <c r="M8943" t="s">
        <v>42602</v>
      </c>
      <c r="N8943" t="s">
        <v>44759</v>
      </c>
      <c r="O8943" t="s">
        <v>44760</v>
      </c>
      <c r="Q8943">
        <v>4</v>
      </c>
      <c r="R8943" t="s">
        <v>44768</v>
      </c>
      <c r="S8943" t="s">
        <v>45030</v>
      </c>
      <c r="T8943" t="s">
        <v>46370</v>
      </c>
      <c r="U8943" t="s">
        <v>54360</v>
      </c>
      <c r="V8943" t="s">
        <v>59685</v>
      </c>
      <c r="W8943" t="s">
        <v>42602</v>
      </c>
      <c r="X8943" t="s">
        <v>44769</v>
      </c>
    </row>
    <row r="8944" spans="1:24">
      <c r="A8944">
        <f>HYPERLINK("https://www.philgeps.gov.ph/GEPSNONPILOT/Tender/SplashBidNoticeAbstractUI.aspx?menuIndex=3&amp;refID=7141586&amp;Result=3","7141586")</f>
        <v>0</v>
      </c>
      <c r="B8944" t="s">
        <v>1777</v>
      </c>
      <c r="C8944" t="s">
        <v>12229</v>
      </c>
      <c r="D8944" t="s">
        <v>17994</v>
      </c>
      <c r="E8944" t="s">
        <v>25826</v>
      </c>
      <c r="F8944" t="s">
        <v>30900</v>
      </c>
      <c r="G8944" t="s">
        <v>30907</v>
      </c>
      <c r="H8944" t="s">
        <v>30916</v>
      </c>
      <c r="I8944" t="s">
        <v>31007</v>
      </c>
      <c r="J8944" t="s">
        <v>36657</v>
      </c>
      <c r="K8944" t="s">
        <v>40286</v>
      </c>
      <c r="M8944" t="s">
        <v>42460</v>
      </c>
      <c r="N8944" t="s">
        <v>44759</v>
      </c>
      <c r="O8944" t="s">
        <v>44760</v>
      </c>
      <c r="P8944">
        <v>0</v>
      </c>
      <c r="Q8944">
        <v>0</v>
      </c>
      <c r="R8944" t="s">
        <v>44768</v>
      </c>
      <c r="S8944" t="s">
        <v>44982</v>
      </c>
      <c r="T8944" t="s">
        <v>46612</v>
      </c>
      <c r="U8944" t="s">
        <v>54372</v>
      </c>
      <c r="W8944" t="s">
        <v>42460</v>
      </c>
      <c r="X8944" t="s">
        <v>44769</v>
      </c>
    </row>
    <row r="8945" spans="1:24">
      <c r="A8945">
        <f>HYPERLINK("https://www.philgeps.gov.ph/GEPSNONPILOT/Tender/SplashBidNoticeAbstractUI.aspx?menuIndex=3&amp;refID=7141612&amp;Result=3","7141612")</f>
        <v>0</v>
      </c>
      <c r="B8945" t="s">
        <v>1777</v>
      </c>
      <c r="C8945" t="s">
        <v>12230</v>
      </c>
      <c r="D8945" t="s">
        <v>17994</v>
      </c>
      <c r="E8945" t="s">
        <v>25827</v>
      </c>
      <c r="F8945" t="s">
        <v>30900</v>
      </c>
      <c r="G8945" t="s">
        <v>30907</v>
      </c>
      <c r="H8945" t="s">
        <v>30916</v>
      </c>
      <c r="I8945" t="s">
        <v>6953</v>
      </c>
      <c r="J8945" t="s">
        <v>36658</v>
      </c>
      <c r="K8945" t="s">
        <v>40286</v>
      </c>
      <c r="M8945" t="s">
        <v>42460</v>
      </c>
      <c r="N8945" t="s">
        <v>44759</v>
      </c>
      <c r="O8945" t="s">
        <v>44760</v>
      </c>
      <c r="P8945">
        <v>0</v>
      </c>
      <c r="Q8945">
        <v>0</v>
      </c>
      <c r="R8945" t="s">
        <v>44768</v>
      </c>
      <c r="S8945" t="s">
        <v>44982</v>
      </c>
      <c r="T8945" t="s">
        <v>46612</v>
      </c>
      <c r="U8945" t="s">
        <v>54373</v>
      </c>
      <c r="W8945" t="s">
        <v>42460</v>
      </c>
      <c r="X8945" t="s">
        <v>44769</v>
      </c>
    </row>
    <row r="8946" spans="1:24">
      <c r="A8946">
        <f>HYPERLINK("https://www.philgeps.gov.ph/GEPSNONPILOT/Tender/SplashBidNoticeAbstractUI.aspx?menuIndex=3&amp;refID=7141643&amp;Result=3","7141643")</f>
        <v>0</v>
      </c>
      <c r="B8946" t="s">
        <v>2478</v>
      </c>
      <c r="C8946" t="s">
        <v>12231</v>
      </c>
      <c r="D8946" t="s">
        <v>17958</v>
      </c>
      <c r="E8946" t="s">
        <v>25828</v>
      </c>
      <c r="F8946" t="s">
        <v>30900</v>
      </c>
      <c r="G8946" t="s">
        <v>30907</v>
      </c>
      <c r="H8946" t="s">
        <v>30915</v>
      </c>
      <c r="I8946" t="s">
        <v>30919</v>
      </c>
      <c r="J8946" t="s">
        <v>34984</v>
      </c>
      <c r="K8946" t="s">
        <v>40355</v>
      </c>
      <c r="M8946" t="s">
        <v>43217</v>
      </c>
      <c r="N8946" t="s">
        <v>44759</v>
      </c>
      <c r="O8946" t="s">
        <v>44760</v>
      </c>
      <c r="P8946">
        <v>0</v>
      </c>
      <c r="Q8946">
        <v>0</v>
      </c>
      <c r="R8946" t="s">
        <v>44768</v>
      </c>
      <c r="S8946" t="s">
        <v>44982</v>
      </c>
      <c r="T8946" t="s">
        <v>46606</v>
      </c>
      <c r="U8946" t="s">
        <v>54374</v>
      </c>
      <c r="W8946" t="s">
        <v>43217</v>
      </c>
      <c r="X8946" t="s">
        <v>44769</v>
      </c>
    </row>
    <row r="8947" spans="1:24">
      <c r="A8947">
        <f>HYPERLINK("https://www.philgeps.gov.ph/GEPSNONPILOT/Tender/SplashBidNoticeAbstractUI.aspx?menuIndex=3&amp;refID=7141598&amp;Result=3","7141598")</f>
        <v>0</v>
      </c>
      <c r="B8947" t="s">
        <v>1733</v>
      </c>
      <c r="C8947" t="s">
        <v>12232</v>
      </c>
      <c r="D8947" t="s">
        <v>17968</v>
      </c>
      <c r="E8947" t="s">
        <v>25829</v>
      </c>
      <c r="F8947" t="s">
        <v>30900</v>
      </c>
      <c r="G8947" t="s">
        <v>30907</v>
      </c>
      <c r="H8947" t="s">
        <v>30916</v>
      </c>
      <c r="I8947" t="s">
        <v>31032</v>
      </c>
      <c r="J8947" t="s">
        <v>31241</v>
      </c>
      <c r="K8947" t="s">
        <v>40289</v>
      </c>
      <c r="M8947" t="s">
        <v>42400</v>
      </c>
      <c r="N8947" t="s">
        <v>44759</v>
      </c>
      <c r="O8947" t="s">
        <v>44760</v>
      </c>
      <c r="P8947">
        <v>0</v>
      </c>
      <c r="Q8947">
        <v>4</v>
      </c>
      <c r="R8947" t="s">
        <v>44768</v>
      </c>
      <c r="S8947" t="s">
        <v>44982</v>
      </c>
      <c r="T8947" t="s">
        <v>46455</v>
      </c>
      <c r="U8947" t="s">
        <v>54375</v>
      </c>
      <c r="W8947" t="s">
        <v>42400</v>
      </c>
      <c r="X8947" t="s">
        <v>44769</v>
      </c>
    </row>
    <row r="8948" spans="1:24">
      <c r="A8948">
        <f>HYPERLINK("https://www.philgeps.gov.ph/GEPSNONPILOT/Tender/SplashBidNoticeAbstractUI.aspx?menuIndex=3&amp;refID=7141441&amp;Result=3","7141441")</f>
        <v>0</v>
      </c>
      <c r="B8948" t="s">
        <v>322</v>
      </c>
      <c r="C8948" t="s">
        <v>12233</v>
      </c>
      <c r="D8948" t="s">
        <v>17959</v>
      </c>
      <c r="E8948" t="s">
        <v>25830</v>
      </c>
      <c r="F8948" t="s">
        <v>30900</v>
      </c>
      <c r="G8948" t="s">
        <v>30908</v>
      </c>
      <c r="H8948" t="s">
        <v>30916</v>
      </c>
      <c r="I8948" t="s">
        <v>30928</v>
      </c>
      <c r="J8948" t="s">
        <v>36659</v>
      </c>
      <c r="K8948" t="s">
        <v>40286</v>
      </c>
      <c r="M8948" t="s">
        <v>43656</v>
      </c>
      <c r="N8948" t="s">
        <v>44759</v>
      </c>
      <c r="O8948" t="s">
        <v>44760</v>
      </c>
      <c r="P8948">
        <v>0</v>
      </c>
      <c r="Q8948">
        <v>4</v>
      </c>
      <c r="R8948" t="s">
        <v>44768</v>
      </c>
      <c r="S8948" t="s">
        <v>44982</v>
      </c>
      <c r="T8948" t="s">
        <v>46704</v>
      </c>
      <c r="U8948" t="s">
        <v>54376</v>
      </c>
      <c r="W8948" t="s">
        <v>43656</v>
      </c>
      <c r="X8948" t="s">
        <v>44769</v>
      </c>
    </row>
    <row r="8949" spans="1:24">
      <c r="A8949">
        <f>HYPERLINK("https://www.philgeps.gov.ph/GEPSNONPILOT/Tender/SplashBidNoticeAbstractUI.aspx?menuIndex=3&amp;refID=7141638&amp;Result=3","7141638")</f>
        <v>0</v>
      </c>
      <c r="B8949" t="s">
        <v>2861</v>
      </c>
      <c r="C8949" t="s">
        <v>12234</v>
      </c>
      <c r="D8949" t="s">
        <v>17973</v>
      </c>
      <c r="E8949" t="s">
        <v>12234</v>
      </c>
      <c r="F8949" t="s">
        <v>30900</v>
      </c>
      <c r="G8949" t="s">
        <v>30907</v>
      </c>
      <c r="H8949" t="s">
        <v>30916</v>
      </c>
      <c r="I8949" t="s">
        <v>4108</v>
      </c>
      <c r="J8949" t="s">
        <v>36660</v>
      </c>
      <c r="K8949" t="s">
        <v>40289</v>
      </c>
      <c r="M8949" t="s">
        <v>43649</v>
      </c>
      <c r="N8949" t="s">
        <v>44759</v>
      </c>
      <c r="O8949" t="s">
        <v>44760</v>
      </c>
      <c r="P8949">
        <v>0</v>
      </c>
      <c r="Q8949">
        <v>1</v>
      </c>
      <c r="R8949" t="s">
        <v>44768</v>
      </c>
      <c r="S8949" t="s">
        <v>44982</v>
      </c>
      <c r="T8949" t="s">
        <v>46606</v>
      </c>
      <c r="U8949" t="s">
        <v>54336</v>
      </c>
      <c r="V8949" t="s">
        <v>60086</v>
      </c>
      <c r="W8949" t="s">
        <v>43649</v>
      </c>
      <c r="X8949" t="s">
        <v>44769</v>
      </c>
    </row>
    <row r="8950" spans="1:24">
      <c r="A8950">
        <f>HYPERLINK("https://www.philgeps.gov.ph/GEPSNONPILOT/Tender/SplashBidNoticeAbstractUI.aspx?menuIndex=3&amp;refID=7141641&amp;Result=3","7141641")</f>
        <v>0</v>
      </c>
      <c r="B8950" t="s">
        <v>1777</v>
      </c>
      <c r="C8950" t="s">
        <v>12235</v>
      </c>
      <c r="D8950" t="s">
        <v>17994</v>
      </c>
      <c r="E8950" t="s">
        <v>12235</v>
      </c>
      <c r="F8950" t="s">
        <v>30900</v>
      </c>
      <c r="G8950" t="s">
        <v>30907</v>
      </c>
      <c r="H8950" t="s">
        <v>30916</v>
      </c>
      <c r="I8950" t="s">
        <v>4142</v>
      </c>
      <c r="J8950" t="s">
        <v>36661</v>
      </c>
      <c r="K8950" t="s">
        <v>40286</v>
      </c>
      <c r="M8950" t="s">
        <v>42460</v>
      </c>
      <c r="N8950" t="s">
        <v>44759</v>
      </c>
      <c r="O8950" t="s">
        <v>44760</v>
      </c>
      <c r="P8950">
        <v>0</v>
      </c>
      <c r="Q8950">
        <v>4</v>
      </c>
      <c r="R8950" t="s">
        <v>44768</v>
      </c>
      <c r="S8950" t="s">
        <v>44982</v>
      </c>
      <c r="T8950" t="s">
        <v>46661</v>
      </c>
      <c r="U8950" t="s">
        <v>54377</v>
      </c>
      <c r="W8950" t="s">
        <v>42460</v>
      </c>
      <c r="X8950" t="s">
        <v>44769</v>
      </c>
    </row>
    <row r="8951" spans="1:24">
      <c r="A8951">
        <f>HYPERLINK("https://www.philgeps.gov.ph/GEPSNONPILOT/Tender/SplashBidNoticeAbstractUI.aspx?menuIndex=3&amp;refID=7141590&amp;Result=3","7141590")</f>
        <v>0</v>
      </c>
      <c r="B8951" t="s">
        <v>2865</v>
      </c>
      <c r="C8951" t="s">
        <v>12236</v>
      </c>
      <c r="D8951" t="s">
        <v>18025</v>
      </c>
      <c r="E8951" t="s">
        <v>25831</v>
      </c>
      <c r="F8951" t="s">
        <v>30900</v>
      </c>
      <c r="G8951" t="s">
        <v>30906</v>
      </c>
      <c r="H8951" t="s">
        <v>30916</v>
      </c>
      <c r="I8951" t="s">
        <v>5501</v>
      </c>
      <c r="J8951" t="s">
        <v>31049</v>
      </c>
      <c r="K8951" t="s">
        <v>40284</v>
      </c>
      <c r="M8951" t="s">
        <v>43653</v>
      </c>
      <c r="N8951" t="s">
        <v>44759</v>
      </c>
      <c r="O8951" t="s">
        <v>44760</v>
      </c>
      <c r="P8951">
        <v>0</v>
      </c>
      <c r="Q8951">
        <v>2</v>
      </c>
      <c r="R8951" t="s">
        <v>44768</v>
      </c>
      <c r="S8951" t="s">
        <v>44982</v>
      </c>
      <c r="T8951" t="s">
        <v>46625</v>
      </c>
      <c r="U8951" t="s">
        <v>47619</v>
      </c>
      <c r="V8951" t="s">
        <v>60091</v>
      </c>
      <c r="W8951" t="s">
        <v>43653</v>
      </c>
      <c r="X8951" t="s">
        <v>44769</v>
      </c>
    </row>
    <row r="8952" spans="1:24">
      <c r="A8952">
        <f>HYPERLINK("https://www.philgeps.gov.ph/GEPSNONPILOT/Tender/SplashBidNoticeAbstractUI.aspx?menuIndex=3&amp;refID=7141555&amp;Result=3","7141555")</f>
        <v>0</v>
      </c>
      <c r="B8952" t="s">
        <v>2834</v>
      </c>
      <c r="C8952" t="s">
        <v>12237</v>
      </c>
      <c r="D8952" t="s">
        <v>18007</v>
      </c>
      <c r="E8952" t="s">
        <v>22095</v>
      </c>
      <c r="F8952" t="s">
        <v>30900</v>
      </c>
      <c r="G8952" t="s">
        <v>30907</v>
      </c>
      <c r="H8952" t="s">
        <v>30915</v>
      </c>
      <c r="I8952" t="s">
        <v>30919</v>
      </c>
      <c r="J8952" t="s">
        <v>31669</v>
      </c>
      <c r="K8952" t="s">
        <v>40293</v>
      </c>
      <c r="M8952" t="s">
        <v>43619</v>
      </c>
      <c r="N8952" t="s">
        <v>44759</v>
      </c>
      <c r="O8952" t="s">
        <v>44760</v>
      </c>
      <c r="P8952">
        <v>0</v>
      </c>
      <c r="Q8952">
        <v>0</v>
      </c>
      <c r="R8952" t="s">
        <v>44768</v>
      </c>
      <c r="S8952" t="s">
        <v>44982</v>
      </c>
      <c r="T8952" t="s">
        <v>46739</v>
      </c>
      <c r="U8952" t="s">
        <v>54378</v>
      </c>
      <c r="W8952" t="s">
        <v>43619</v>
      </c>
      <c r="X8952" t="s">
        <v>44769</v>
      </c>
    </row>
    <row r="8953" spans="1:24">
      <c r="A8953">
        <f>HYPERLINK("https://www.philgeps.gov.ph/GEPSNONPILOT/Tender/SplashBidNoticeAbstractUI.aspx?menuIndex=3&amp;refID=7141632&amp;Result=3","7141632")</f>
        <v>0</v>
      </c>
      <c r="B8953" t="s">
        <v>2868</v>
      </c>
      <c r="C8953" t="s">
        <v>7987</v>
      </c>
      <c r="D8953" t="s">
        <v>17963</v>
      </c>
      <c r="E8953" t="s">
        <v>22234</v>
      </c>
      <c r="F8953" t="s">
        <v>30900</v>
      </c>
      <c r="G8953" t="s">
        <v>30907</v>
      </c>
      <c r="H8953" t="s">
        <v>30915</v>
      </c>
      <c r="I8953" t="s">
        <v>30919</v>
      </c>
      <c r="J8953" t="s">
        <v>36662</v>
      </c>
      <c r="K8953" t="s">
        <v>40286</v>
      </c>
      <c r="M8953" t="s">
        <v>43657</v>
      </c>
      <c r="N8953" t="s">
        <v>44759</v>
      </c>
      <c r="O8953" t="s">
        <v>44760</v>
      </c>
      <c r="P8953">
        <v>0</v>
      </c>
      <c r="Q8953">
        <v>0</v>
      </c>
      <c r="R8953" t="s">
        <v>44768</v>
      </c>
      <c r="S8953" t="s">
        <v>44982</v>
      </c>
      <c r="T8953" t="s">
        <v>46591</v>
      </c>
      <c r="U8953" t="s">
        <v>54379</v>
      </c>
      <c r="W8953" t="s">
        <v>43657</v>
      </c>
      <c r="X8953" t="s">
        <v>44769</v>
      </c>
    </row>
    <row r="8954" spans="1:24">
      <c r="A8954">
        <f>HYPERLINK("https://www.philgeps.gov.ph/GEPSNONPILOT/Tender/SplashBidNoticeAbstractUI.aspx?menuIndex=3&amp;refID=7141631&amp;Result=3","7141631")</f>
        <v>0</v>
      </c>
      <c r="B8954" t="s">
        <v>1108</v>
      </c>
      <c r="C8954" t="s">
        <v>12238</v>
      </c>
      <c r="D8954" t="s">
        <v>17959</v>
      </c>
      <c r="E8954" t="s">
        <v>25832</v>
      </c>
      <c r="F8954" t="s">
        <v>30900</v>
      </c>
      <c r="G8954" t="s">
        <v>30907</v>
      </c>
      <c r="H8954" t="s">
        <v>30916</v>
      </c>
      <c r="I8954" t="s">
        <v>4545</v>
      </c>
      <c r="J8954" t="s">
        <v>36663</v>
      </c>
      <c r="K8954" t="s">
        <v>40280</v>
      </c>
      <c r="M8954" t="s">
        <v>41708</v>
      </c>
      <c r="N8954" t="s">
        <v>44759</v>
      </c>
      <c r="O8954" t="s">
        <v>44760</v>
      </c>
      <c r="P8954">
        <v>0</v>
      </c>
      <c r="Q8954">
        <v>5</v>
      </c>
      <c r="R8954" t="s">
        <v>44768</v>
      </c>
      <c r="S8954" t="s">
        <v>44982</v>
      </c>
      <c r="T8954" t="s">
        <v>46370</v>
      </c>
      <c r="U8954" t="s">
        <v>54380</v>
      </c>
      <c r="W8954" t="s">
        <v>41708</v>
      </c>
      <c r="X8954" t="s">
        <v>44769</v>
      </c>
    </row>
    <row r="8955" spans="1:24">
      <c r="A8955">
        <f>HYPERLINK("https://www.philgeps.gov.ph/GEPSNONPILOT/Tender/SplashBidNoticeAbstractUI.aspx?menuIndex=3&amp;refID=7141616&amp;Result=3","7141616")</f>
        <v>0</v>
      </c>
      <c r="B8955" t="s">
        <v>143</v>
      </c>
      <c r="C8955" t="s">
        <v>12239</v>
      </c>
      <c r="D8955" t="s">
        <v>17965</v>
      </c>
      <c r="E8955" t="s">
        <v>25833</v>
      </c>
      <c r="F8955" t="s">
        <v>30900</v>
      </c>
      <c r="G8955" t="s">
        <v>30907</v>
      </c>
      <c r="H8955" t="s">
        <v>30915</v>
      </c>
      <c r="I8955" t="s">
        <v>30919</v>
      </c>
      <c r="J8955" t="s">
        <v>36664</v>
      </c>
      <c r="K8955" t="s">
        <v>40283</v>
      </c>
      <c r="M8955" t="s">
        <v>40854</v>
      </c>
      <c r="N8955" t="s">
        <v>44759</v>
      </c>
      <c r="O8955" t="s">
        <v>44760</v>
      </c>
      <c r="P8955">
        <v>0</v>
      </c>
      <c r="Q8955">
        <v>0</v>
      </c>
      <c r="R8955" t="s">
        <v>44768</v>
      </c>
      <c r="S8955" t="s">
        <v>44982</v>
      </c>
      <c r="T8955" t="s">
        <v>46581</v>
      </c>
      <c r="U8955" t="s">
        <v>54381</v>
      </c>
      <c r="W8955" t="s">
        <v>40854</v>
      </c>
      <c r="X8955" t="s">
        <v>44769</v>
      </c>
    </row>
    <row r="8956" spans="1:24">
      <c r="A8956">
        <f>HYPERLINK("https://www.philgeps.gov.ph/GEPSNONPILOT/Tender/SplashBidNoticeAbstractUI.aspx?menuIndex=3&amp;refID=7141629&amp;Result=3","7141629")</f>
        <v>0</v>
      </c>
      <c r="B8956" t="s">
        <v>2438</v>
      </c>
      <c r="C8956" t="s">
        <v>12240</v>
      </c>
      <c r="D8956" t="s">
        <v>17951</v>
      </c>
      <c r="E8956" t="s">
        <v>25834</v>
      </c>
      <c r="F8956" t="s">
        <v>30900</v>
      </c>
      <c r="G8956" t="s">
        <v>30907</v>
      </c>
      <c r="H8956" t="s">
        <v>30916</v>
      </c>
      <c r="I8956" t="s">
        <v>4545</v>
      </c>
      <c r="J8956" t="s">
        <v>36665</v>
      </c>
      <c r="K8956" t="s">
        <v>40286</v>
      </c>
      <c r="M8956" t="s">
        <v>43169</v>
      </c>
      <c r="N8956" t="s">
        <v>44759</v>
      </c>
      <c r="O8956" t="s">
        <v>44760</v>
      </c>
      <c r="P8956">
        <v>0</v>
      </c>
      <c r="Q8956">
        <v>4</v>
      </c>
      <c r="R8956" t="s">
        <v>44768</v>
      </c>
      <c r="S8956" t="s">
        <v>44982</v>
      </c>
      <c r="T8956" t="s">
        <v>46375</v>
      </c>
      <c r="U8956" t="s">
        <v>54382</v>
      </c>
      <c r="W8956" t="s">
        <v>43169</v>
      </c>
      <c r="X8956" t="s">
        <v>44769</v>
      </c>
    </row>
    <row r="8957" spans="1:24">
      <c r="A8957">
        <f>HYPERLINK("https://www.philgeps.gov.ph/GEPSNONPILOT/Tender/SplashBidNoticeAbstractUI.aspx?menuIndex=3&amp;refID=7141625&amp;Result=3","7141625")</f>
        <v>0</v>
      </c>
      <c r="B8957" t="s">
        <v>1024</v>
      </c>
      <c r="C8957" t="s">
        <v>12241</v>
      </c>
      <c r="D8957" t="s">
        <v>17999</v>
      </c>
      <c r="E8957" t="s">
        <v>25835</v>
      </c>
      <c r="F8957" t="s">
        <v>30900</v>
      </c>
      <c r="G8957" t="s">
        <v>30907</v>
      </c>
      <c r="H8957" t="s">
        <v>30916</v>
      </c>
      <c r="I8957" t="s">
        <v>4142</v>
      </c>
      <c r="J8957" t="s">
        <v>36666</v>
      </c>
      <c r="K8957" t="s">
        <v>40283</v>
      </c>
      <c r="M8957" t="s">
        <v>41614</v>
      </c>
      <c r="N8957" t="s">
        <v>44759</v>
      </c>
      <c r="O8957" t="s">
        <v>44760</v>
      </c>
      <c r="P8957">
        <v>0</v>
      </c>
      <c r="Q8957">
        <v>3</v>
      </c>
      <c r="R8957" t="s">
        <v>44768</v>
      </c>
      <c r="S8957" t="s">
        <v>44982</v>
      </c>
      <c r="T8957" t="s">
        <v>46472</v>
      </c>
      <c r="U8957" t="s">
        <v>54383</v>
      </c>
      <c r="W8957" t="s">
        <v>41614</v>
      </c>
      <c r="X8957" t="s">
        <v>44769</v>
      </c>
    </row>
    <row r="8958" spans="1:24">
      <c r="A8958">
        <f>HYPERLINK("https://www.philgeps.gov.ph/GEPSNONPILOT/Tender/SplashBidNoticeAbstractUI.aspx?menuIndex=3&amp;refID=7141624&amp;Result=3","7141624")</f>
        <v>0</v>
      </c>
      <c r="B8958" t="s">
        <v>143</v>
      </c>
      <c r="C8958" t="s">
        <v>12242</v>
      </c>
      <c r="D8958" t="s">
        <v>17965</v>
      </c>
      <c r="E8958" t="s">
        <v>25836</v>
      </c>
      <c r="F8958" t="s">
        <v>30900</v>
      </c>
      <c r="G8958" t="s">
        <v>30907</v>
      </c>
      <c r="H8958" t="s">
        <v>30915</v>
      </c>
      <c r="I8958" t="s">
        <v>30919</v>
      </c>
      <c r="J8958" t="s">
        <v>36667</v>
      </c>
      <c r="K8958" t="s">
        <v>40284</v>
      </c>
      <c r="M8958" t="s">
        <v>40854</v>
      </c>
      <c r="N8958" t="s">
        <v>44759</v>
      </c>
      <c r="O8958" t="s">
        <v>44760</v>
      </c>
      <c r="P8958">
        <v>0</v>
      </c>
      <c r="Q8958">
        <v>0</v>
      </c>
      <c r="R8958" t="s">
        <v>44768</v>
      </c>
      <c r="S8958" t="s">
        <v>44982</v>
      </c>
      <c r="T8958" t="s">
        <v>46581</v>
      </c>
      <c r="U8958" t="s">
        <v>54381</v>
      </c>
      <c r="W8958" t="s">
        <v>40854</v>
      </c>
      <c r="X8958" t="s">
        <v>44769</v>
      </c>
    </row>
    <row r="8959" spans="1:24">
      <c r="A8959">
        <f>HYPERLINK("https://www.philgeps.gov.ph/GEPSNONPILOT/Tender/SplashBidNoticeAbstractUI.aspx?menuIndex=3&amp;refID=7141687&amp;Result=3","7141687")</f>
        <v>0</v>
      </c>
      <c r="B8959" t="s">
        <v>143</v>
      </c>
      <c r="C8959" t="s">
        <v>12243</v>
      </c>
      <c r="D8959" t="s">
        <v>17965</v>
      </c>
      <c r="E8959" t="s">
        <v>25837</v>
      </c>
      <c r="F8959" t="s">
        <v>30900</v>
      </c>
      <c r="G8959" t="s">
        <v>30907</v>
      </c>
      <c r="H8959" t="s">
        <v>30915</v>
      </c>
      <c r="I8959" t="s">
        <v>30919</v>
      </c>
      <c r="J8959" t="s">
        <v>36668</v>
      </c>
      <c r="K8959" t="s">
        <v>40284</v>
      </c>
      <c r="M8959" t="s">
        <v>40854</v>
      </c>
      <c r="N8959" t="s">
        <v>44759</v>
      </c>
      <c r="O8959" t="s">
        <v>44760</v>
      </c>
      <c r="P8959">
        <v>0</v>
      </c>
      <c r="Q8959">
        <v>0</v>
      </c>
      <c r="R8959" t="s">
        <v>44768</v>
      </c>
      <c r="S8959" t="s">
        <v>44982</v>
      </c>
      <c r="T8959" t="s">
        <v>46581</v>
      </c>
      <c r="U8959" t="s">
        <v>54381</v>
      </c>
      <c r="W8959" t="s">
        <v>40854</v>
      </c>
      <c r="X8959" t="s">
        <v>44769</v>
      </c>
    </row>
    <row r="8960" spans="1:24">
      <c r="A8960">
        <f>HYPERLINK("https://www.philgeps.gov.ph/GEPSNONPILOT/Tender/SplashBidNoticeAbstractUI.aspx?menuIndex=3&amp;refID=7141634&amp;Result=3","7141634")</f>
        <v>0</v>
      </c>
      <c r="B8960" t="s">
        <v>1777</v>
      </c>
      <c r="C8960" t="s">
        <v>12244</v>
      </c>
      <c r="D8960" t="s">
        <v>17994</v>
      </c>
      <c r="E8960" t="s">
        <v>25838</v>
      </c>
      <c r="F8960" t="s">
        <v>30900</v>
      </c>
      <c r="G8960" t="s">
        <v>30907</v>
      </c>
      <c r="H8960" t="s">
        <v>30916</v>
      </c>
      <c r="I8960" t="s">
        <v>4108</v>
      </c>
      <c r="J8960" t="s">
        <v>36669</v>
      </c>
      <c r="K8960" t="s">
        <v>40286</v>
      </c>
      <c r="M8960" t="s">
        <v>42460</v>
      </c>
      <c r="N8960" t="s">
        <v>44759</v>
      </c>
      <c r="O8960" t="s">
        <v>44760</v>
      </c>
      <c r="P8960">
        <v>0</v>
      </c>
      <c r="Q8960">
        <v>0</v>
      </c>
      <c r="R8960" t="s">
        <v>44768</v>
      </c>
      <c r="S8960" t="s">
        <v>44982</v>
      </c>
      <c r="T8960" t="s">
        <v>46403</v>
      </c>
      <c r="U8960" t="s">
        <v>54384</v>
      </c>
      <c r="W8960" t="s">
        <v>42460</v>
      </c>
      <c r="X8960" t="s">
        <v>44769</v>
      </c>
    </row>
    <row r="8961" spans="1:24">
      <c r="A8961">
        <f>HYPERLINK("https://www.philgeps.gov.ph/GEPSNONPILOT/Tender/SplashBidNoticeAbstractUI.aspx?menuIndex=3&amp;refID=7141693&amp;Result=3","7141693")</f>
        <v>0</v>
      </c>
      <c r="B8961" t="s">
        <v>2274</v>
      </c>
      <c r="C8961" t="s">
        <v>12245</v>
      </c>
      <c r="D8961" t="s">
        <v>17972</v>
      </c>
      <c r="E8961" t="s">
        <v>25839</v>
      </c>
      <c r="F8961" t="s">
        <v>30900</v>
      </c>
      <c r="G8961" t="s">
        <v>30907</v>
      </c>
      <c r="H8961" t="s">
        <v>30916</v>
      </c>
      <c r="I8961" t="s">
        <v>8123</v>
      </c>
      <c r="J8961" t="s">
        <v>36670</v>
      </c>
      <c r="K8961" t="s">
        <v>40286</v>
      </c>
      <c r="M8961" t="s">
        <v>42988</v>
      </c>
      <c r="N8961" t="s">
        <v>44759</v>
      </c>
      <c r="O8961" t="s">
        <v>44760</v>
      </c>
      <c r="P8961">
        <v>0</v>
      </c>
      <c r="Q8961">
        <v>0</v>
      </c>
      <c r="R8961" t="s">
        <v>44768</v>
      </c>
      <c r="S8961" t="s">
        <v>44982</v>
      </c>
      <c r="T8961" t="s">
        <v>46827</v>
      </c>
      <c r="U8961" t="s">
        <v>54385</v>
      </c>
      <c r="V8961" t="s">
        <v>59116</v>
      </c>
      <c r="W8961" t="s">
        <v>42988</v>
      </c>
      <c r="X8961" t="s">
        <v>44769</v>
      </c>
    </row>
    <row r="8962" spans="1:24">
      <c r="A8962">
        <f>HYPERLINK("https://www.philgeps.gov.ph/GEPSNONPILOT/Tender/SplashBidNoticeAbstractUI.aspx?menuIndex=3&amp;refID=7141627&amp;Result=3","7141627")</f>
        <v>0</v>
      </c>
      <c r="B8962" t="s">
        <v>1777</v>
      </c>
      <c r="C8962" t="s">
        <v>12246</v>
      </c>
      <c r="D8962" t="s">
        <v>17994</v>
      </c>
      <c r="E8962" t="s">
        <v>25840</v>
      </c>
      <c r="F8962" t="s">
        <v>30900</v>
      </c>
      <c r="G8962" t="s">
        <v>30907</v>
      </c>
      <c r="H8962" t="s">
        <v>30916</v>
      </c>
      <c r="I8962" t="s">
        <v>30929</v>
      </c>
      <c r="J8962" t="s">
        <v>36671</v>
      </c>
      <c r="K8962" t="s">
        <v>40286</v>
      </c>
      <c r="M8962" t="s">
        <v>42460</v>
      </c>
      <c r="N8962" t="s">
        <v>44759</v>
      </c>
      <c r="O8962" t="s">
        <v>44760</v>
      </c>
      <c r="P8962">
        <v>0</v>
      </c>
      <c r="Q8962">
        <v>6</v>
      </c>
      <c r="R8962" t="s">
        <v>44768</v>
      </c>
      <c r="S8962" t="s">
        <v>44982</v>
      </c>
      <c r="T8962" t="s">
        <v>46612</v>
      </c>
      <c r="U8962" t="s">
        <v>54386</v>
      </c>
      <c r="W8962" t="s">
        <v>42460</v>
      </c>
      <c r="X8962" t="s">
        <v>44769</v>
      </c>
    </row>
    <row r="8963" spans="1:24">
      <c r="A8963">
        <f>HYPERLINK("https://www.philgeps.gov.ph/GEPSNONPILOT/Tender/SplashBidNoticeAbstractUI.aspx?menuIndex=3&amp;refID=7141692&amp;Result=3","7141692")</f>
        <v>0</v>
      </c>
      <c r="B8963" t="s">
        <v>2631</v>
      </c>
      <c r="C8963" t="s">
        <v>12247</v>
      </c>
      <c r="D8963" t="s">
        <v>17959</v>
      </c>
      <c r="E8963" t="s">
        <v>25841</v>
      </c>
      <c r="F8963" t="s">
        <v>30900</v>
      </c>
      <c r="G8963" t="s">
        <v>30908</v>
      </c>
      <c r="H8963" t="s">
        <v>30916</v>
      </c>
      <c r="I8963" t="s">
        <v>6396</v>
      </c>
      <c r="J8963" t="s">
        <v>36672</v>
      </c>
      <c r="K8963" t="s">
        <v>40286</v>
      </c>
      <c r="M8963" t="s">
        <v>43395</v>
      </c>
      <c r="N8963" t="s">
        <v>44759</v>
      </c>
      <c r="O8963" t="s">
        <v>44760</v>
      </c>
      <c r="Q8963">
        <v>11</v>
      </c>
      <c r="R8963" t="s">
        <v>44768</v>
      </c>
      <c r="S8963" t="s">
        <v>45031</v>
      </c>
      <c r="T8963" t="s">
        <v>46383</v>
      </c>
      <c r="U8963" t="s">
        <v>54387</v>
      </c>
      <c r="W8963" t="s">
        <v>43395</v>
      </c>
      <c r="X8963" t="s">
        <v>44769</v>
      </c>
    </row>
    <row r="8964" spans="1:24">
      <c r="A8964">
        <f>HYPERLINK("https://www.philgeps.gov.ph/GEPSNONPILOT/Tender/SplashBidNoticeAbstractUI.aspx?menuIndex=3&amp;refID=7141691&amp;Result=3","7141691")</f>
        <v>0</v>
      </c>
      <c r="B8964" t="s">
        <v>2478</v>
      </c>
      <c r="C8964" t="s">
        <v>12248</v>
      </c>
      <c r="D8964" t="s">
        <v>17958</v>
      </c>
      <c r="E8964" t="s">
        <v>25842</v>
      </c>
      <c r="F8964" t="s">
        <v>30900</v>
      </c>
      <c r="G8964" t="s">
        <v>30907</v>
      </c>
      <c r="H8964" t="s">
        <v>30915</v>
      </c>
      <c r="I8964" t="s">
        <v>30919</v>
      </c>
      <c r="J8964" t="s">
        <v>31243</v>
      </c>
      <c r="K8964" t="s">
        <v>40441</v>
      </c>
      <c r="M8964" t="s">
        <v>43217</v>
      </c>
      <c r="N8964" t="s">
        <v>44759</v>
      </c>
      <c r="O8964" t="s">
        <v>44760</v>
      </c>
      <c r="P8964">
        <v>0</v>
      </c>
      <c r="Q8964">
        <v>0</v>
      </c>
      <c r="R8964" t="s">
        <v>44768</v>
      </c>
      <c r="S8964" t="s">
        <v>44982</v>
      </c>
      <c r="T8964" t="s">
        <v>46606</v>
      </c>
      <c r="U8964" t="s">
        <v>54388</v>
      </c>
      <c r="W8964" t="s">
        <v>43217</v>
      </c>
      <c r="X8964" t="s">
        <v>44769</v>
      </c>
    </row>
    <row r="8965" spans="1:24">
      <c r="A8965">
        <f>HYPERLINK("https://www.philgeps.gov.ph/GEPSNONPILOT/Tender/SplashBidNoticeAbstractUI.aspx?menuIndex=3&amp;refID=7141686&amp;Result=3","7141686")</f>
        <v>0</v>
      </c>
      <c r="B8965" t="s">
        <v>2869</v>
      </c>
      <c r="C8965" t="s">
        <v>12249</v>
      </c>
      <c r="D8965" t="s">
        <v>17963</v>
      </c>
      <c r="E8965" t="s">
        <v>19585</v>
      </c>
      <c r="F8965" t="s">
        <v>30900</v>
      </c>
      <c r="G8965" t="s">
        <v>30907</v>
      </c>
      <c r="H8965" t="s">
        <v>30915</v>
      </c>
      <c r="I8965" t="s">
        <v>30919</v>
      </c>
      <c r="J8965" t="s">
        <v>31101</v>
      </c>
      <c r="K8965" t="s">
        <v>40283</v>
      </c>
      <c r="M8965" t="s">
        <v>43658</v>
      </c>
      <c r="N8965" t="s">
        <v>44759</v>
      </c>
      <c r="O8965" t="s">
        <v>44760</v>
      </c>
      <c r="P8965">
        <v>0</v>
      </c>
      <c r="Q8965">
        <v>0</v>
      </c>
      <c r="R8965" t="s">
        <v>44768</v>
      </c>
      <c r="S8965" t="s">
        <v>44982</v>
      </c>
      <c r="T8965" t="s">
        <v>46591</v>
      </c>
      <c r="U8965" t="s">
        <v>54389</v>
      </c>
      <c r="W8965" t="s">
        <v>43658</v>
      </c>
      <c r="X8965" t="s">
        <v>44769</v>
      </c>
    </row>
    <row r="8966" spans="1:24">
      <c r="A8966">
        <f>HYPERLINK("https://www.philgeps.gov.ph/GEPSNONPILOT/Tender/SplashBidNoticeAbstractUI.aspx?menuIndex=3&amp;refID=7141685&amp;Result=3","7141685")</f>
        <v>0</v>
      </c>
      <c r="B8966" t="s">
        <v>1108</v>
      </c>
      <c r="C8966" t="s">
        <v>12250</v>
      </c>
      <c r="D8966" t="s">
        <v>17959</v>
      </c>
      <c r="E8966" t="s">
        <v>25843</v>
      </c>
      <c r="F8966" t="s">
        <v>30900</v>
      </c>
      <c r="G8966" t="s">
        <v>30907</v>
      </c>
      <c r="H8966" t="s">
        <v>30916</v>
      </c>
      <c r="I8966" t="s">
        <v>30994</v>
      </c>
      <c r="J8966" t="s">
        <v>36673</v>
      </c>
      <c r="K8966" t="s">
        <v>40280</v>
      </c>
      <c r="M8966" t="s">
        <v>41708</v>
      </c>
      <c r="N8966" t="s">
        <v>44759</v>
      </c>
      <c r="O8966" t="s">
        <v>44760</v>
      </c>
      <c r="P8966">
        <v>0</v>
      </c>
      <c r="Q8966">
        <v>3</v>
      </c>
      <c r="R8966" t="s">
        <v>44768</v>
      </c>
      <c r="S8966" t="s">
        <v>44982</v>
      </c>
      <c r="T8966" t="s">
        <v>46370</v>
      </c>
      <c r="U8966" t="s">
        <v>54390</v>
      </c>
      <c r="W8966" t="s">
        <v>41708</v>
      </c>
      <c r="X8966" t="s">
        <v>44769</v>
      </c>
    </row>
    <row r="8967" spans="1:24">
      <c r="A8967">
        <f>HYPERLINK("https://www.philgeps.gov.ph/GEPSNONPILOT/Tender/SplashBidNoticeAbstractUI.aspx?menuIndex=3&amp;refID=7141635&amp;Result=3","7141635")</f>
        <v>0</v>
      </c>
      <c r="B8967" t="s">
        <v>1673</v>
      </c>
      <c r="C8967" t="s">
        <v>12251</v>
      </c>
      <c r="D8967" t="s">
        <v>17971</v>
      </c>
      <c r="E8967" t="s">
        <v>25844</v>
      </c>
      <c r="F8967" t="s">
        <v>30900</v>
      </c>
      <c r="G8967" t="s">
        <v>30907</v>
      </c>
      <c r="H8967" t="s">
        <v>30916</v>
      </c>
      <c r="I8967" t="s">
        <v>30933</v>
      </c>
      <c r="J8967" t="s">
        <v>36674</v>
      </c>
      <c r="K8967" t="s">
        <v>40289</v>
      </c>
      <c r="M8967" t="s">
        <v>42331</v>
      </c>
      <c r="N8967" t="s">
        <v>44759</v>
      </c>
      <c r="O8967" t="s">
        <v>44760</v>
      </c>
      <c r="P8967">
        <v>0</v>
      </c>
      <c r="Q8967">
        <v>1</v>
      </c>
      <c r="R8967" t="s">
        <v>44768</v>
      </c>
      <c r="S8967" t="s">
        <v>44982</v>
      </c>
      <c r="T8967" t="s">
        <v>46658</v>
      </c>
      <c r="U8967" t="s">
        <v>54391</v>
      </c>
      <c r="W8967" t="s">
        <v>42331</v>
      </c>
      <c r="X8967" t="s">
        <v>44769</v>
      </c>
    </row>
    <row r="8968" spans="1:24">
      <c r="A8968">
        <f>HYPERLINK("https://www.philgeps.gov.ph/GEPSNONPILOT/Tender/SplashBidNoticeAbstractUI.aspx?menuIndex=3&amp;refID=7141680&amp;Result=3","7141680")</f>
        <v>0</v>
      </c>
      <c r="B8968" t="s">
        <v>255</v>
      </c>
      <c r="C8968" t="s">
        <v>12252</v>
      </c>
      <c r="D8968" t="s">
        <v>17980</v>
      </c>
      <c r="E8968" t="s">
        <v>25845</v>
      </c>
      <c r="F8968" t="s">
        <v>30900</v>
      </c>
      <c r="G8968" t="s">
        <v>30907</v>
      </c>
      <c r="H8968" t="s">
        <v>30916</v>
      </c>
      <c r="I8968" t="s">
        <v>30960</v>
      </c>
      <c r="J8968" t="s">
        <v>36675</v>
      </c>
      <c r="K8968" t="s">
        <v>40286</v>
      </c>
      <c r="M8968" t="s">
        <v>40802</v>
      </c>
      <c r="N8968" t="s">
        <v>44759</v>
      </c>
      <c r="O8968" t="s">
        <v>44760</v>
      </c>
      <c r="P8968">
        <v>0</v>
      </c>
      <c r="Q8968">
        <v>2</v>
      </c>
      <c r="R8968" t="s">
        <v>44768</v>
      </c>
      <c r="S8968" t="s">
        <v>44982</v>
      </c>
      <c r="T8968" t="s">
        <v>46403</v>
      </c>
      <c r="U8968" t="s">
        <v>52217</v>
      </c>
      <c r="W8968" t="s">
        <v>40802</v>
      </c>
      <c r="X8968" t="s">
        <v>44769</v>
      </c>
    </row>
    <row r="8969" spans="1:24">
      <c r="A8969">
        <f>HYPERLINK("https://www.philgeps.gov.ph/GEPSNONPILOT/Tender/SplashBidNoticeAbstractUI.aspx?menuIndex=3&amp;refID=7141678&amp;Result=3","7141678")</f>
        <v>0</v>
      </c>
      <c r="B8969" t="s">
        <v>2274</v>
      </c>
      <c r="C8969" t="s">
        <v>12253</v>
      </c>
      <c r="D8969" t="s">
        <v>17972</v>
      </c>
      <c r="E8969" t="s">
        <v>25846</v>
      </c>
      <c r="F8969" t="s">
        <v>30900</v>
      </c>
      <c r="G8969" t="s">
        <v>30907</v>
      </c>
      <c r="H8969" t="s">
        <v>30916</v>
      </c>
      <c r="I8969" t="s">
        <v>8123</v>
      </c>
      <c r="J8969" t="s">
        <v>36670</v>
      </c>
      <c r="K8969" t="s">
        <v>40286</v>
      </c>
      <c r="M8969" t="s">
        <v>42988</v>
      </c>
      <c r="N8969" t="s">
        <v>44759</v>
      </c>
      <c r="O8969" t="s">
        <v>44760</v>
      </c>
      <c r="P8969">
        <v>0</v>
      </c>
      <c r="Q8969">
        <v>0</v>
      </c>
      <c r="R8969" t="s">
        <v>44768</v>
      </c>
      <c r="S8969" t="s">
        <v>44982</v>
      </c>
      <c r="T8969" t="s">
        <v>46827</v>
      </c>
      <c r="U8969" t="s">
        <v>54392</v>
      </c>
      <c r="V8969" t="s">
        <v>60092</v>
      </c>
      <c r="W8969" t="s">
        <v>42988</v>
      </c>
      <c r="X8969" t="s">
        <v>44769</v>
      </c>
    </row>
    <row r="8970" spans="1:24">
      <c r="A8970">
        <f>HYPERLINK("https://www.philgeps.gov.ph/GEPSNONPILOT/Tender/SplashBidNoticeAbstractUI.aspx?menuIndex=3&amp;refID=7141666&amp;Result=3","7141666")</f>
        <v>0</v>
      </c>
      <c r="B8970" t="s">
        <v>2870</v>
      </c>
      <c r="C8970" t="s">
        <v>12254</v>
      </c>
      <c r="D8970" t="s">
        <v>17963</v>
      </c>
      <c r="E8970" t="s">
        <v>18916</v>
      </c>
      <c r="F8970" t="s">
        <v>30900</v>
      </c>
      <c r="G8970" t="s">
        <v>30907</v>
      </c>
      <c r="H8970" t="s">
        <v>30915</v>
      </c>
      <c r="I8970" t="s">
        <v>30919</v>
      </c>
      <c r="J8970" t="s">
        <v>31105</v>
      </c>
      <c r="K8970" t="s">
        <v>40286</v>
      </c>
      <c r="M8970" t="s">
        <v>43659</v>
      </c>
      <c r="N8970" t="s">
        <v>44759</v>
      </c>
      <c r="O8970" t="s">
        <v>44760</v>
      </c>
      <c r="P8970">
        <v>0</v>
      </c>
      <c r="Q8970">
        <v>0</v>
      </c>
      <c r="R8970" t="s">
        <v>44768</v>
      </c>
      <c r="S8970" t="s">
        <v>44982</v>
      </c>
      <c r="T8970" t="s">
        <v>46591</v>
      </c>
      <c r="U8970" t="s">
        <v>54393</v>
      </c>
      <c r="W8970" t="s">
        <v>43659</v>
      </c>
      <c r="X8970" t="s">
        <v>44769</v>
      </c>
    </row>
    <row r="8971" spans="1:24">
      <c r="A8971">
        <f>HYPERLINK("https://www.philgeps.gov.ph/GEPSNONPILOT/Tender/SplashBidNoticeAbstractUI.aspx?menuIndex=3&amp;refID=7141639&amp;Result=3","7141639")</f>
        <v>0</v>
      </c>
      <c r="B8971" t="s">
        <v>2871</v>
      </c>
      <c r="C8971" t="s">
        <v>12255</v>
      </c>
      <c r="D8971" t="s">
        <v>18002</v>
      </c>
      <c r="E8971" t="s">
        <v>25847</v>
      </c>
      <c r="F8971" t="s">
        <v>30900</v>
      </c>
      <c r="G8971" t="s">
        <v>30907</v>
      </c>
      <c r="H8971" t="s">
        <v>30915</v>
      </c>
      <c r="I8971" t="s">
        <v>30919</v>
      </c>
      <c r="J8971" t="s">
        <v>32153</v>
      </c>
      <c r="K8971" t="s">
        <v>40289</v>
      </c>
      <c r="M8971" t="s">
        <v>43660</v>
      </c>
      <c r="N8971" t="s">
        <v>44759</v>
      </c>
      <c r="O8971" t="s">
        <v>44760</v>
      </c>
      <c r="P8971">
        <v>0</v>
      </c>
      <c r="Q8971">
        <v>0</v>
      </c>
      <c r="R8971" t="s">
        <v>44768</v>
      </c>
      <c r="S8971" t="s">
        <v>44982</v>
      </c>
      <c r="T8971" t="s">
        <v>46541</v>
      </c>
      <c r="U8971" t="s">
        <v>54394</v>
      </c>
      <c r="W8971" t="s">
        <v>43660</v>
      </c>
      <c r="X8971" t="s">
        <v>44769</v>
      </c>
    </row>
    <row r="8972" spans="1:24">
      <c r="A8972">
        <f>HYPERLINK("https://www.philgeps.gov.ph/GEPSNONPILOT/Tender/SplashBidNoticeAbstractUI.aspx?menuIndex=3&amp;refID=7141633&amp;Result=3","7141633")</f>
        <v>0</v>
      </c>
      <c r="B8972" t="s">
        <v>2478</v>
      </c>
      <c r="C8972" t="s">
        <v>12256</v>
      </c>
      <c r="D8972" t="s">
        <v>17958</v>
      </c>
      <c r="E8972" t="s">
        <v>25848</v>
      </c>
      <c r="F8972" t="s">
        <v>30900</v>
      </c>
      <c r="G8972" t="s">
        <v>30907</v>
      </c>
      <c r="H8972" t="s">
        <v>30915</v>
      </c>
      <c r="I8972" t="s">
        <v>30919</v>
      </c>
      <c r="J8972" t="s">
        <v>31297</v>
      </c>
      <c r="K8972" t="s">
        <v>40337</v>
      </c>
      <c r="M8972" t="s">
        <v>43217</v>
      </c>
      <c r="N8972" t="s">
        <v>44759</v>
      </c>
      <c r="O8972" t="s">
        <v>44760</v>
      </c>
      <c r="P8972">
        <v>0</v>
      </c>
      <c r="Q8972">
        <v>0</v>
      </c>
      <c r="R8972" t="s">
        <v>44768</v>
      </c>
      <c r="S8972" t="s">
        <v>44982</v>
      </c>
      <c r="T8972" t="s">
        <v>46606</v>
      </c>
      <c r="U8972" t="s">
        <v>54395</v>
      </c>
      <c r="W8972" t="s">
        <v>43217</v>
      </c>
      <c r="X8972" t="s">
        <v>44769</v>
      </c>
    </row>
    <row r="8973" spans="1:24">
      <c r="A8973">
        <f>HYPERLINK("https://www.philgeps.gov.ph/GEPSNONPILOT/Tender/SplashBidNoticeAbstractUI.aspx?menuIndex=3&amp;refID=7141660&amp;Result=3","7141660")</f>
        <v>0</v>
      </c>
      <c r="B8973" t="s">
        <v>143</v>
      </c>
      <c r="C8973" t="s">
        <v>12257</v>
      </c>
      <c r="D8973" t="s">
        <v>17965</v>
      </c>
      <c r="E8973" t="s">
        <v>25849</v>
      </c>
      <c r="F8973" t="s">
        <v>30900</v>
      </c>
      <c r="G8973" t="s">
        <v>30907</v>
      </c>
      <c r="H8973" t="s">
        <v>30915</v>
      </c>
      <c r="I8973" t="s">
        <v>30919</v>
      </c>
      <c r="J8973" t="s">
        <v>36676</v>
      </c>
      <c r="K8973" t="s">
        <v>40291</v>
      </c>
      <c r="M8973" t="s">
        <v>40854</v>
      </c>
      <c r="N8973" t="s">
        <v>44759</v>
      </c>
      <c r="O8973" t="s">
        <v>44760</v>
      </c>
      <c r="P8973">
        <v>0</v>
      </c>
      <c r="Q8973">
        <v>0</v>
      </c>
      <c r="R8973" t="s">
        <v>44768</v>
      </c>
      <c r="S8973" t="s">
        <v>44982</v>
      </c>
      <c r="T8973" t="s">
        <v>46581</v>
      </c>
      <c r="U8973" t="s">
        <v>54381</v>
      </c>
      <c r="W8973" t="s">
        <v>40854</v>
      </c>
      <c r="X8973" t="s">
        <v>44769</v>
      </c>
    </row>
    <row r="8974" spans="1:24">
      <c r="A8974">
        <f>HYPERLINK("https://www.philgeps.gov.ph/GEPSNONPILOT/Tender/SplashBidNoticeAbstractUI.aspx?menuIndex=3&amp;refID=7141654&amp;Result=3","7141654")</f>
        <v>0</v>
      </c>
      <c r="B8974" t="s">
        <v>2823</v>
      </c>
      <c r="C8974" t="s">
        <v>12258</v>
      </c>
      <c r="D8974" t="s">
        <v>18006</v>
      </c>
      <c r="E8974" t="s">
        <v>25850</v>
      </c>
      <c r="F8974" t="s">
        <v>30900</v>
      </c>
      <c r="G8974" t="s">
        <v>30907</v>
      </c>
      <c r="H8974" t="s">
        <v>30915</v>
      </c>
      <c r="I8974" t="s">
        <v>30932</v>
      </c>
      <c r="J8974" t="s">
        <v>31243</v>
      </c>
      <c r="K8974" t="s">
        <v>40289</v>
      </c>
      <c r="M8974" t="s">
        <v>43608</v>
      </c>
      <c r="N8974" t="s">
        <v>44759</v>
      </c>
      <c r="O8974" t="s">
        <v>44760</v>
      </c>
      <c r="P8974">
        <v>0</v>
      </c>
      <c r="Q8974">
        <v>1</v>
      </c>
      <c r="R8974" t="s">
        <v>44768</v>
      </c>
      <c r="S8974" t="s">
        <v>44982</v>
      </c>
      <c r="T8974" t="s">
        <v>46472</v>
      </c>
      <c r="U8974" t="s">
        <v>54396</v>
      </c>
      <c r="V8974" t="s">
        <v>60070</v>
      </c>
      <c r="W8974" t="s">
        <v>43608</v>
      </c>
      <c r="X8974" t="s">
        <v>44769</v>
      </c>
    </row>
    <row r="8975" spans="1:24">
      <c r="A8975">
        <f>HYPERLINK("https://www.philgeps.gov.ph/GEPSNONPILOT/Tender/SplashBidNoticeAbstractUI.aspx?menuIndex=3&amp;refID=7141652&amp;Result=3","7141652")</f>
        <v>0</v>
      </c>
      <c r="B8975" t="s">
        <v>255</v>
      </c>
      <c r="C8975" t="s">
        <v>12259</v>
      </c>
      <c r="D8975" t="s">
        <v>17980</v>
      </c>
      <c r="E8975" t="s">
        <v>25851</v>
      </c>
      <c r="F8975" t="s">
        <v>30900</v>
      </c>
      <c r="G8975" t="s">
        <v>30907</v>
      </c>
      <c r="H8975" t="s">
        <v>30916</v>
      </c>
      <c r="I8975" t="s">
        <v>9385</v>
      </c>
      <c r="J8975" t="s">
        <v>36677</v>
      </c>
      <c r="K8975" t="s">
        <v>40286</v>
      </c>
      <c r="M8975" t="s">
        <v>40802</v>
      </c>
      <c r="N8975" t="s">
        <v>44759</v>
      </c>
      <c r="O8975" t="s">
        <v>44760</v>
      </c>
      <c r="P8975">
        <v>0</v>
      </c>
      <c r="Q8975">
        <v>23</v>
      </c>
      <c r="R8975" t="s">
        <v>44768</v>
      </c>
      <c r="S8975" t="s">
        <v>44982</v>
      </c>
      <c r="T8975" t="s">
        <v>46606</v>
      </c>
      <c r="U8975" t="s">
        <v>52217</v>
      </c>
      <c r="W8975" t="s">
        <v>40802</v>
      </c>
      <c r="X8975" t="s">
        <v>44769</v>
      </c>
    </row>
    <row r="8976" spans="1:24">
      <c r="A8976">
        <f>HYPERLINK("https://www.philgeps.gov.ph/GEPSNONPILOT/Tender/SplashBidNoticeAbstractUI.aspx?menuIndex=3&amp;refID=7141672&amp;Result=3","7141672")</f>
        <v>0</v>
      </c>
      <c r="B8976" t="s">
        <v>143</v>
      </c>
      <c r="C8976" t="s">
        <v>12260</v>
      </c>
      <c r="D8976" t="s">
        <v>17965</v>
      </c>
      <c r="E8976" t="s">
        <v>25852</v>
      </c>
      <c r="F8976" t="s">
        <v>30900</v>
      </c>
      <c r="G8976" t="s">
        <v>30907</v>
      </c>
      <c r="H8976" t="s">
        <v>30915</v>
      </c>
      <c r="I8976" t="s">
        <v>30919</v>
      </c>
      <c r="J8976" t="s">
        <v>36678</v>
      </c>
      <c r="K8976" t="s">
        <v>40283</v>
      </c>
      <c r="M8976" t="s">
        <v>40854</v>
      </c>
      <c r="N8976" t="s">
        <v>44759</v>
      </c>
      <c r="O8976" t="s">
        <v>44760</v>
      </c>
      <c r="P8976">
        <v>0</v>
      </c>
      <c r="Q8976">
        <v>0</v>
      </c>
      <c r="R8976" t="s">
        <v>44768</v>
      </c>
      <c r="S8976" t="s">
        <v>44982</v>
      </c>
      <c r="T8976" t="s">
        <v>46581</v>
      </c>
      <c r="U8976" t="s">
        <v>54381</v>
      </c>
      <c r="W8976" t="s">
        <v>40854</v>
      </c>
      <c r="X8976" t="s">
        <v>44769</v>
      </c>
    </row>
    <row r="8977" spans="1:24">
      <c r="A8977">
        <f>HYPERLINK("https://www.philgeps.gov.ph/GEPSNONPILOT/Tender/SplashBidNoticeAbstractUI.aspx?menuIndex=3&amp;refID=7141659&amp;Result=3","7141659")</f>
        <v>0</v>
      </c>
      <c r="B8977" t="s">
        <v>2478</v>
      </c>
      <c r="C8977" t="s">
        <v>12261</v>
      </c>
      <c r="D8977" t="s">
        <v>17958</v>
      </c>
      <c r="E8977" t="s">
        <v>25853</v>
      </c>
      <c r="F8977" t="s">
        <v>30900</v>
      </c>
      <c r="G8977" t="s">
        <v>30907</v>
      </c>
      <c r="H8977" t="s">
        <v>30915</v>
      </c>
      <c r="I8977" t="s">
        <v>30919</v>
      </c>
      <c r="J8977" t="s">
        <v>36679</v>
      </c>
      <c r="K8977" t="s">
        <v>40292</v>
      </c>
      <c r="M8977" t="s">
        <v>43217</v>
      </c>
      <c r="N8977" t="s">
        <v>44759</v>
      </c>
      <c r="O8977" t="s">
        <v>44760</v>
      </c>
      <c r="P8977">
        <v>0</v>
      </c>
      <c r="Q8977">
        <v>0</v>
      </c>
      <c r="R8977" t="s">
        <v>44768</v>
      </c>
      <c r="S8977" t="s">
        <v>44982</v>
      </c>
      <c r="T8977" t="s">
        <v>46606</v>
      </c>
      <c r="U8977" t="s">
        <v>54397</v>
      </c>
      <c r="W8977" t="s">
        <v>43217</v>
      </c>
      <c r="X8977" t="s">
        <v>44769</v>
      </c>
    </row>
    <row r="8978" spans="1:24">
      <c r="A8978">
        <f>HYPERLINK("https://www.philgeps.gov.ph/GEPSNONPILOT/Tender/SplashBidNoticeAbstractUI.aspx?menuIndex=3&amp;refID=7141649&amp;Result=3","7141649")</f>
        <v>0</v>
      </c>
      <c r="B8978" t="s">
        <v>2868</v>
      </c>
      <c r="C8978" t="s">
        <v>12262</v>
      </c>
      <c r="D8978" t="s">
        <v>17963</v>
      </c>
      <c r="E8978" t="s">
        <v>22263</v>
      </c>
      <c r="F8978" t="s">
        <v>30900</v>
      </c>
      <c r="G8978" t="s">
        <v>30907</v>
      </c>
      <c r="H8978" t="s">
        <v>30915</v>
      </c>
      <c r="I8978" t="s">
        <v>30919</v>
      </c>
      <c r="J8978" t="s">
        <v>36680</v>
      </c>
      <c r="K8978" t="s">
        <v>40286</v>
      </c>
      <c r="M8978" t="s">
        <v>43657</v>
      </c>
      <c r="N8978" t="s">
        <v>44759</v>
      </c>
      <c r="O8978" t="s">
        <v>44760</v>
      </c>
      <c r="P8978">
        <v>0</v>
      </c>
      <c r="Q8978">
        <v>0</v>
      </c>
      <c r="R8978" t="s">
        <v>44768</v>
      </c>
      <c r="S8978" t="s">
        <v>44982</v>
      </c>
      <c r="T8978" t="s">
        <v>46591</v>
      </c>
      <c r="U8978" t="s">
        <v>54379</v>
      </c>
      <c r="W8978" t="s">
        <v>43657</v>
      </c>
      <c r="X8978" t="s">
        <v>44769</v>
      </c>
    </row>
    <row r="8979" spans="1:24">
      <c r="A8979">
        <f>HYPERLINK("https://www.philgeps.gov.ph/GEPSNONPILOT/Tender/SplashBidNoticeAbstractUI.aspx?menuIndex=3&amp;refID=7141648&amp;Result=3","7141648")</f>
        <v>0</v>
      </c>
      <c r="B8979" t="s">
        <v>1777</v>
      </c>
      <c r="C8979" t="s">
        <v>12263</v>
      </c>
      <c r="D8979" t="s">
        <v>17994</v>
      </c>
      <c r="E8979" t="s">
        <v>12263</v>
      </c>
      <c r="F8979" t="s">
        <v>30900</v>
      </c>
      <c r="G8979" t="s">
        <v>30907</v>
      </c>
      <c r="H8979" t="s">
        <v>30916</v>
      </c>
      <c r="I8979" t="s">
        <v>4017</v>
      </c>
      <c r="J8979" t="s">
        <v>36681</v>
      </c>
      <c r="K8979" t="s">
        <v>40286</v>
      </c>
      <c r="M8979" t="s">
        <v>42460</v>
      </c>
      <c r="N8979" t="s">
        <v>44759</v>
      </c>
      <c r="O8979" t="s">
        <v>44760</v>
      </c>
      <c r="P8979">
        <v>0</v>
      </c>
      <c r="Q8979">
        <v>1</v>
      </c>
      <c r="R8979" t="s">
        <v>44768</v>
      </c>
      <c r="S8979" t="s">
        <v>44982</v>
      </c>
      <c r="T8979" t="s">
        <v>46612</v>
      </c>
      <c r="U8979" t="s">
        <v>54398</v>
      </c>
      <c r="W8979" t="s">
        <v>42460</v>
      </c>
      <c r="X8979" t="s">
        <v>44769</v>
      </c>
    </row>
    <row r="8980" spans="1:24">
      <c r="A8980">
        <f>HYPERLINK("https://www.philgeps.gov.ph/GEPSNONPILOT/Tender/SplashBidNoticeAbstractUI.aspx?menuIndex=3&amp;refID=7141646&amp;Result=3","7141646")</f>
        <v>0</v>
      </c>
      <c r="B8980" t="s">
        <v>143</v>
      </c>
      <c r="C8980" t="s">
        <v>12264</v>
      </c>
      <c r="D8980" t="s">
        <v>17965</v>
      </c>
      <c r="E8980" t="s">
        <v>25854</v>
      </c>
      <c r="F8980" t="s">
        <v>30900</v>
      </c>
      <c r="G8980" t="s">
        <v>30907</v>
      </c>
      <c r="H8980" t="s">
        <v>30915</v>
      </c>
      <c r="I8980" t="s">
        <v>30919</v>
      </c>
      <c r="J8980" t="s">
        <v>36682</v>
      </c>
      <c r="K8980" t="s">
        <v>40291</v>
      </c>
      <c r="M8980" t="s">
        <v>40854</v>
      </c>
      <c r="N8980" t="s">
        <v>44759</v>
      </c>
      <c r="O8980" t="s">
        <v>44760</v>
      </c>
      <c r="P8980">
        <v>0</v>
      </c>
      <c r="Q8980">
        <v>0</v>
      </c>
      <c r="R8980" t="s">
        <v>44768</v>
      </c>
      <c r="S8980" t="s">
        <v>44982</v>
      </c>
      <c r="T8980" t="s">
        <v>46581</v>
      </c>
      <c r="U8980" t="s">
        <v>54381</v>
      </c>
      <c r="W8980" t="s">
        <v>40854</v>
      </c>
      <c r="X8980" t="s">
        <v>44769</v>
      </c>
    </row>
    <row r="8981" spans="1:24">
      <c r="A8981">
        <f>HYPERLINK("https://www.philgeps.gov.ph/GEPSNONPILOT/Tender/SplashBidNoticeAbstractUI.aspx?menuIndex=3&amp;refID=7141619&amp;Result=3","7141619")</f>
        <v>0</v>
      </c>
      <c r="B8981" t="s">
        <v>2478</v>
      </c>
      <c r="C8981" t="s">
        <v>12265</v>
      </c>
      <c r="D8981" t="s">
        <v>17958</v>
      </c>
      <c r="E8981" t="s">
        <v>25855</v>
      </c>
      <c r="F8981" t="s">
        <v>30900</v>
      </c>
      <c r="G8981" t="s">
        <v>30907</v>
      </c>
      <c r="H8981" t="s">
        <v>30915</v>
      </c>
      <c r="I8981" t="s">
        <v>30919</v>
      </c>
      <c r="J8981" t="s">
        <v>34097</v>
      </c>
      <c r="K8981" t="s">
        <v>40430</v>
      </c>
      <c r="M8981" t="s">
        <v>43217</v>
      </c>
      <c r="N8981" t="s">
        <v>44759</v>
      </c>
      <c r="O8981" t="s">
        <v>44760</v>
      </c>
      <c r="P8981">
        <v>0</v>
      </c>
      <c r="Q8981">
        <v>0</v>
      </c>
      <c r="R8981" t="s">
        <v>44768</v>
      </c>
      <c r="S8981" t="s">
        <v>44982</v>
      </c>
      <c r="T8981" t="s">
        <v>46606</v>
      </c>
      <c r="U8981" t="s">
        <v>54399</v>
      </c>
      <c r="W8981" t="s">
        <v>43217</v>
      </c>
      <c r="X8981" t="s">
        <v>44769</v>
      </c>
    </row>
    <row r="8982" spans="1:24">
      <c r="A8982">
        <f>HYPERLINK("https://www.philgeps.gov.ph/GEPSNONPILOT/Tender/SplashBidNoticeAbstractUI.aspx?menuIndex=3&amp;refID=7141655&amp;Result=3","7141655")</f>
        <v>0</v>
      </c>
      <c r="B8982" t="s">
        <v>2274</v>
      </c>
      <c r="C8982" t="s">
        <v>12266</v>
      </c>
      <c r="D8982" t="s">
        <v>17972</v>
      </c>
      <c r="E8982" t="s">
        <v>25856</v>
      </c>
      <c r="F8982" t="s">
        <v>30900</v>
      </c>
      <c r="G8982" t="s">
        <v>30907</v>
      </c>
      <c r="H8982" t="s">
        <v>30916</v>
      </c>
      <c r="I8982" t="s">
        <v>8123</v>
      </c>
      <c r="J8982" t="s">
        <v>36670</v>
      </c>
      <c r="K8982" t="s">
        <v>40286</v>
      </c>
      <c r="M8982" t="s">
        <v>42988</v>
      </c>
      <c r="N8982" t="s">
        <v>44759</v>
      </c>
      <c r="O8982" t="s">
        <v>44760</v>
      </c>
      <c r="P8982">
        <v>0</v>
      </c>
      <c r="Q8982">
        <v>0</v>
      </c>
      <c r="R8982" t="s">
        <v>44768</v>
      </c>
      <c r="S8982" t="s">
        <v>44982</v>
      </c>
      <c r="T8982" t="s">
        <v>46827</v>
      </c>
      <c r="U8982" t="s">
        <v>54400</v>
      </c>
      <c r="V8982" t="s">
        <v>59116</v>
      </c>
      <c r="W8982" t="s">
        <v>42988</v>
      </c>
      <c r="X8982" t="s">
        <v>44769</v>
      </c>
    </row>
    <row r="8983" spans="1:24">
      <c r="A8983">
        <f>HYPERLINK("https://www.philgeps.gov.ph/GEPSNONPILOT/Tender/SplashBidNoticeAbstractUI.aspx?menuIndex=3&amp;refID=7141618&amp;Result=3","7141618")</f>
        <v>0</v>
      </c>
      <c r="B8983" t="s">
        <v>1972</v>
      </c>
      <c r="C8983" t="s">
        <v>12267</v>
      </c>
      <c r="D8983" t="s">
        <v>17971</v>
      </c>
      <c r="E8983" t="s">
        <v>25857</v>
      </c>
      <c r="F8983" t="s">
        <v>30900</v>
      </c>
      <c r="G8983" t="s">
        <v>30907</v>
      </c>
      <c r="H8983" t="s">
        <v>30915</v>
      </c>
      <c r="I8983" t="s">
        <v>30919</v>
      </c>
      <c r="J8983" t="s">
        <v>31270</v>
      </c>
      <c r="K8983" t="s">
        <v>40308</v>
      </c>
      <c r="L8983" t="s">
        <v>1972</v>
      </c>
      <c r="M8983" t="s">
        <v>42660</v>
      </c>
      <c r="N8983" t="s">
        <v>44759</v>
      </c>
      <c r="O8983" t="s">
        <v>44760</v>
      </c>
      <c r="P8983">
        <v>0</v>
      </c>
      <c r="Q8983">
        <v>46</v>
      </c>
      <c r="R8983" t="s">
        <v>44768</v>
      </c>
      <c r="S8983" t="s">
        <v>44982</v>
      </c>
      <c r="T8983" t="s">
        <v>46658</v>
      </c>
      <c r="U8983" t="s">
        <v>54401</v>
      </c>
      <c r="W8983" t="s">
        <v>42660</v>
      </c>
      <c r="X8983" t="s">
        <v>44769</v>
      </c>
    </row>
    <row r="8984" spans="1:24">
      <c r="A8984">
        <f>HYPERLINK("https://www.philgeps.gov.ph/GEPSNONPILOT/Tender/SplashBidNoticeAbstractUI.aspx?menuIndex=3&amp;refID=7141617&amp;Result=3","7141617")</f>
        <v>0</v>
      </c>
      <c r="B8984" t="s">
        <v>2438</v>
      </c>
      <c r="C8984" t="s">
        <v>12268</v>
      </c>
      <c r="D8984" t="s">
        <v>17951</v>
      </c>
      <c r="E8984" t="s">
        <v>25858</v>
      </c>
      <c r="F8984" t="s">
        <v>30900</v>
      </c>
      <c r="G8984" t="s">
        <v>30907</v>
      </c>
      <c r="H8984" t="s">
        <v>30916</v>
      </c>
      <c r="I8984" t="s">
        <v>30934</v>
      </c>
      <c r="J8984" t="s">
        <v>36683</v>
      </c>
      <c r="K8984" t="s">
        <v>40286</v>
      </c>
      <c r="M8984" t="s">
        <v>43169</v>
      </c>
      <c r="N8984" t="s">
        <v>44759</v>
      </c>
      <c r="O8984" t="s">
        <v>44760</v>
      </c>
      <c r="P8984">
        <v>0</v>
      </c>
      <c r="Q8984">
        <v>1</v>
      </c>
      <c r="R8984" t="s">
        <v>44768</v>
      </c>
      <c r="S8984" t="s">
        <v>44982</v>
      </c>
      <c r="T8984" t="s">
        <v>46417</v>
      </c>
      <c r="U8984" t="s">
        <v>54402</v>
      </c>
      <c r="W8984" t="s">
        <v>43169</v>
      </c>
      <c r="X8984" t="s">
        <v>44769</v>
      </c>
    </row>
    <row r="8985" spans="1:24">
      <c r="A8985">
        <f>HYPERLINK("https://www.philgeps.gov.ph/GEPSNONPILOT/Tender/SplashBidNoticeAbstractUI.aspx?menuIndex=3&amp;refID=7141695&amp;Result=3","7141695")</f>
        <v>0</v>
      </c>
      <c r="B8985" t="s">
        <v>1055</v>
      </c>
      <c r="C8985" t="s">
        <v>12269</v>
      </c>
      <c r="D8985" t="s">
        <v>18017</v>
      </c>
      <c r="E8985" t="s">
        <v>25859</v>
      </c>
      <c r="F8985" t="s">
        <v>30900</v>
      </c>
      <c r="G8985" t="s">
        <v>30908</v>
      </c>
      <c r="H8985" t="s">
        <v>30916</v>
      </c>
      <c r="I8985" t="s">
        <v>10602</v>
      </c>
      <c r="J8985" t="s">
        <v>36684</v>
      </c>
      <c r="K8985" t="s">
        <v>40282</v>
      </c>
      <c r="L8985" t="s">
        <v>1055</v>
      </c>
      <c r="M8985" t="s">
        <v>41652</v>
      </c>
      <c r="N8985" t="s">
        <v>44759</v>
      </c>
      <c r="O8985" t="s">
        <v>44760</v>
      </c>
      <c r="P8985">
        <v>0</v>
      </c>
      <c r="Q8985">
        <v>0</v>
      </c>
      <c r="R8985" t="s">
        <v>44768</v>
      </c>
      <c r="S8985" t="s">
        <v>44982</v>
      </c>
      <c r="T8985" t="s">
        <v>46395</v>
      </c>
      <c r="U8985" t="s">
        <v>54403</v>
      </c>
      <c r="W8985" t="s">
        <v>41652</v>
      </c>
      <c r="X8985" t="s">
        <v>44769</v>
      </c>
    </row>
    <row r="8986" spans="1:24">
      <c r="A8986">
        <f>HYPERLINK("https://www.philgeps.gov.ph/GEPSNONPILOT/Tender/SplashBidNoticeAbstractUI.aspx?menuIndex=3&amp;refID=7141739&amp;Result=3","7141739")</f>
        <v>0</v>
      </c>
      <c r="B8986" t="s">
        <v>1841</v>
      </c>
      <c r="C8986" t="s">
        <v>12270</v>
      </c>
      <c r="E8986" t="s">
        <v>25860</v>
      </c>
      <c r="F8986" t="s">
        <v>30900</v>
      </c>
      <c r="G8986" t="s">
        <v>30907</v>
      </c>
      <c r="H8986" t="s">
        <v>30916</v>
      </c>
      <c r="I8986" t="s">
        <v>30939</v>
      </c>
      <c r="J8986" t="s">
        <v>31257</v>
      </c>
      <c r="K8986" t="s">
        <v>40289</v>
      </c>
      <c r="M8986" t="s">
        <v>42513</v>
      </c>
      <c r="N8986" t="s">
        <v>44759</v>
      </c>
      <c r="O8986" t="s">
        <v>44760</v>
      </c>
      <c r="P8986">
        <v>0</v>
      </c>
      <c r="Q8986">
        <v>0</v>
      </c>
      <c r="R8986" t="s">
        <v>44768</v>
      </c>
      <c r="S8986" t="s">
        <v>44982</v>
      </c>
      <c r="T8986" t="s">
        <v>46548</v>
      </c>
      <c r="U8986" t="s">
        <v>51140</v>
      </c>
      <c r="W8986" t="s">
        <v>42513</v>
      </c>
      <c r="X8986" t="s">
        <v>44769</v>
      </c>
    </row>
    <row r="8987" spans="1:24">
      <c r="A8987">
        <f>HYPERLINK("https://www.philgeps.gov.ph/GEPSNONPILOT/Tender/SplashBidNoticeAbstractUI.aspx?menuIndex=3&amp;refID=7141735&amp;Result=3","7141735")</f>
        <v>0</v>
      </c>
      <c r="B8987" t="s">
        <v>1841</v>
      </c>
      <c r="C8987" t="s">
        <v>12271</v>
      </c>
      <c r="E8987" t="s">
        <v>25861</v>
      </c>
      <c r="F8987" t="s">
        <v>30900</v>
      </c>
      <c r="G8987" t="s">
        <v>30907</v>
      </c>
      <c r="H8987" t="s">
        <v>30916</v>
      </c>
      <c r="I8987" t="s">
        <v>10847</v>
      </c>
      <c r="J8987" t="s">
        <v>32129</v>
      </c>
      <c r="K8987" t="s">
        <v>40289</v>
      </c>
      <c r="M8987" t="s">
        <v>42513</v>
      </c>
      <c r="N8987" t="s">
        <v>44759</v>
      </c>
      <c r="O8987" t="s">
        <v>44760</v>
      </c>
      <c r="P8987">
        <v>0</v>
      </c>
      <c r="Q8987">
        <v>0</v>
      </c>
      <c r="R8987" t="s">
        <v>44768</v>
      </c>
      <c r="S8987" t="s">
        <v>44982</v>
      </c>
      <c r="T8987" t="s">
        <v>46548</v>
      </c>
      <c r="U8987" t="s">
        <v>51140</v>
      </c>
      <c r="W8987" t="s">
        <v>42513</v>
      </c>
      <c r="X8987" t="s">
        <v>44769</v>
      </c>
    </row>
    <row r="8988" spans="1:24">
      <c r="A8988">
        <f>HYPERLINK("https://www.philgeps.gov.ph/GEPSNONPILOT/Tender/SplashBidNoticeAbstractUI.aspx?menuIndex=3&amp;refID=7141620&amp;Result=3","7141620")</f>
        <v>0</v>
      </c>
      <c r="B8988" t="s">
        <v>1777</v>
      </c>
      <c r="C8988" t="s">
        <v>12272</v>
      </c>
      <c r="D8988" t="s">
        <v>17994</v>
      </c>
      <c r="E8988" t="s">
        <v>12272</v>
      </c>
      <c r="F8988" t="s">
        <v>30900</v>
      </c>
      <c r="G8988" t="s">
        <v>30907</v>
      </c>
      <c r="H8988" t="s">
        <v>30916</v>
      </c>
      <c r="I8988" t="s">
        <v>4545</v>
      </c>
      <c r="J8988" t="s">
        <v>36685</v>
      </c>
      <c r="K8988" t="s">
        <v>40286</v>
      </c>
      <c r="M8988" t="s">
        <v>42460</v>
      </c>
      <c r="N8988" t="s">
        <v>44759</v>
      </c>
      <c r="O8988" t="s">
        <v>44760</v>
      </c>
      <c r="P8988">
        <v>0</v>
      </c>
      <c r="Q8988">
        <v>0</v>
      </c>
      <c r="R8988" t="s">
        <v>44768</v>
      </c>
      <c r="S8988" t="s">
        <v>44982</v>
      </c>
      <c r="T8988" t="s">
        <v>46612</v>
      </c>
      <c r="U8988" t="s">
        <v>54404</v>
      </c>
      <c r="W8988" t="s">
        <v>42460</v>
      </c>
      <c r="X8988" t="s">
        <v>44769</v>
      </c>
    </row>
    <row r="8989" spans="1:24">
      <c r="A8989">
        <f>HYPERLINK("https://www.philgeps.gov.ph/GEPSNONPILOT/Tender/SplashBidNoticeAbstractUI.aspx?menuIndex=3&amp;refID=7141615&amp;Result=3","7141615")</f>
        <v>0</v>
      </c>
      <c r="B8989" t="s">
        <v>2861</v>
      </c>
      <c r="C8989" t="s">
        <v>12273</v>
      </c>
      <c r="D8989" t="s">
        <v>17973</v>
      </c>
      <c r="E8989" t="s">
        <v>12273</v>
      </c>
      <c r="F8989" t="s">
        <v>30900</v>
      </c>
      <c r="G8989" t="s">
        <v>30907</v>
      </c>
      <c r="H8989" t="s">
        <v>30916</v>
      </c>
      <c r="I8989" t="s">
        <v>30952</v>
      </c>
      <c r="J8989" t="s">
        <v>36686</v>
      </c>
      <c r="K8989" t="s">
        <v>40289</v>
      </c>
      <c r="M8989" t="s">
        <v>43649</v>
      </c>
      <c r="N8989" t="s">
        <v>44759</v>
      </c>
      <c r="O8989" t="s">
        <v>44760</v>
      </c>
      <c r="P8989">
        <v>0</v>
      </c>
      <c r="Q8989">
        <v>1</v>
      </c>
      <c r="R8989" t="s">
        <v>44768</v>
      </c>
      <c r="S8989" t="s">
        <v>44982</v>
      </c>
      <c r="T8989" t="s">
        <v>46606</v>
      </c>
      <c r="U8989" t="s">
        <v>54336</v>
      </c>
      <c r="V8989" t="s">
        <v>60086</v>
      </c>
      <c r="W8989" t="s">
        <v>43649</v>
      </c>
      <c r="X8989" t="s">
        <v>44769</v>
      </c>
    </row>
    <row r="8990" spans="1:24">
      <c r="A8990">
        <f>HYPERLINK("https://www.philgeps.gov.ph/GEPSNONPILOT/Tender/SplashBidNoticeAbstractUI.aspx?menuIndex=3&amp;refID=7141623&amp;Result=3","7141623")</f>
        <v>0</v>
      </c>
      <c r="B8990" t="s">
        <v>1777</v>
      </c>
      <c r="C8990" t="s">
        <v>12274</v>
      </c>
      <c r="D8990" t="s">
        <v>17994</v>
      </c>
      <c r="E8990" t="s">
        <v>12274</v>
      </c>
      <c r="F8990" t="s">
        <v>30900</v>
      </c>
      <c r="G8990" t="s">
        <v>30907</v>
      </c>
      <c r="H8990" t="s">
        <v>30916</v>
      </c>
      <c r="I8990" t="s">
        <v>30924</v>
      </c>
      <c r="J8990" t="s">
        <v>31278</v>
      </c>
      <c r="K8990" t="s">
        <v>40286</v>
      </c>
      <c r="M8990" t="s">
        <v>42460</v>
      </c>
      <c r="N8990" t="s">
        <v>44759</v>
      </c>
      <c r="O8990" t="s">
        <v>44760</v>
      </c>
      <c r="P8990">
        <v>0</v>
      </c>
      <c r="Q8990">
        <v>1</v>
      </c>
      <c r="R8990" t="s">
        <v>44768</v>
      </c>
      <c r="S8990" t="s">
        <v>44982</v>
      </c>
      <c r="T8990" t="s">
        <v>46612</v>
      </c>
      <c r="U8990" t="s">
        <v>54405</v>
      </c>
      <c r="W8990" t="s">
        <v>42460</v>
      </c>
      <c r="X8990" t="s">
        <v>44769</v>
      </c>
    </row>
    <row r="8991" spans="1:24">
      <c r="A8991">
        <f>HYPERLINK("https://www.philgeps.gov.ph/GEPSNONPILOT/Tender/SplashBidNoticeAbstractUI.aspx?menuIndex=3&amp;refID=7141725&amp;Result=3","7141725")</f>
        <v>0</v>
      </c>
      <c r="B8991" t="s">
        <v>1024</v>
      </c>
      <c r="C8991" t="s">
        <v>12275</v>
      </c>
      <c r="D8991" t="s">
        <v>17999</v>
      </c>
      <c r="E8991" t="s">
        <v>25862</v>
      </c>
      <c r="F8991" t="s">
        <v>30900</v>
      </c>
      <c r="G8991" t="s">
        <v>30907</v>
      </c>
      <c r="H8991" t="s">
        <v>30916</v>
      </c>
      <c r="I8991" t="s">
        <v>30923</v>
      </c>
      <c r="J8991" t="s">
        <v>31066</v>
      </c>
      <c r="K8991" t="s">
        <v>40283</v>
      </c>
      <c r="M8991" t="s">
        <v>41614</v>
      </c>
      <c r="N8991" t="s">
        <v>44759</v>
      </c>
      <c r="O8991" t="s">
        <v>44760</v>
      </c>
      <c r="P8991">
        <v>0</v>
      </c>
      <c r="Q8991">
        <v>5</v>
      </c>
      <c r="R8991" t="s">
        <v>44768</v>
      </c>
      <c r="S8991" t="s">
        <v>44982</v>
      </c>
      <c r="T8991" t="s">
        <v>46472</v>
      </c>
      <c r="U8991" t="s">
        <v>54406</v>
      </c>
      <c r="W8991" t="s">
        <v>41614</v>
      </c>
      <c r="X8991" t="s">
        <v>44769</v>
      </c>
    </row>
    <row r="8992" spans="1:24">
      <c r="A8992">
        <f>HYPERLINK("https://www.philgeps.gov.ph/GEPSNONPILOT/Tender/SplashBidNoticeAbstractUI.aspx?menuIndex=3&amp;refID=7141734&amp;Result=3","7141734")</f>
        <v>0</v>
      </c>
      <c r="B8992" t="s">
        <v>2872</v>
      </c>
      <c r="C8992" t="s">
        <v>12276</v>
      </c>
      <c r="E8992" t="s">
        <v>25863</v>
      </c>
      <c r="F8992" t="s">
        <v>30900</v>
      </c>
      <c r="G8992" t="s">
        <v>30907</v>
      </c>
      <c r="H8992" t="s">
        <v>30916</v>
      </c>
      <c r="I8992" t="s">
        <v>30924</v>
      </c>
      <c r="J8992" t="s">
        <v>36687</v>
      </c>
      <c r="K8992" t="s">
        <v>40289</v>
      </c>
      <c r="M8992" t="s">
        <v>43661</v>
      </c>
      <c r="N8992" t="s">
        <v>44759</v>
      </c>
      <c r="O8992" t="s">
        <v>44760</v>
      </c>
      <c r="Q8992">
        <v>10</v>
      </c>
      <c r="R8992" t="s">
        <v>44768</v>
      </c>
      <c r="S8992" t="s">
        <v>45032</v>
      </c>
      <c r="T8992" t="s">
        <v>46428</v>
      </c>
      <c r="U8992" t="s">
        <v>54407</v>
      </c>
      <c r="V8992" t="s">
        <v>60093</v>
      </c>
      <c r="W8992" t="s">
        <v>43661</v>
      </c>
      <c r="X8992" t="s">
        <v>44769</v>
      </c>
    </row>
    <row r="8993" spans="1:24">
      <c r="A8993">
        <f>HYPERLINK("https://www.philgeps.gov.ph/GEPSNONPILOT/Tender/SplashBidNoticeAbstractUI.aspx?menuIndex=3&amp;refID=7141723&amp;Result=3","7141723")</f>
        <v>0</v>
      </c>
      <c r="B8993" t="s">
        <v>1055</v>
      </c>
      <c r="C8993" t="s">
        <v>12277</v>
      </c>
      <c r="D8993" t="s">
        <v>18017</v>
      </c>
      <c r="E8993" t="s">
        <v>25864</v>
      </c>
      <c r="F8993" t="s">
        <v>30900</v>
      </c>
      <c r="G8993" t="s">
        <v>30908</v>
      </c>
      <c r="H8993" t="s">
        <v>30916</v>
      </c>
      <c r="I8993" t="s">
        <v>10602</v>
      </c>
      <c r="J8993" t="s">
        <v>32699</v>
      </c>
      <c r="K8993" t="s">
        <v>40282</v>
      </c>
      <c r="L8993" t="s">
        <v>1055</v>
      </c>
      <c r="M8993" t="s">
        <v>41652</v>
      </c>
      <c r="N8993" t="s">
        <v>44759</v>
      </c>
      <c r="O8993" t="s">
        <v>44760</v>
      </c>
      <c r="P8993">
        <v>0</v>
      </c>
      <c r="Q8993">
        <v>0</v>
      </c>
      <c r="R8993" t="s">
        <v>44768</v>
      </c>
      <c r="S8993" t="s">
        <v>44982</v>
      </c>
      <c r="T8993" t="s">
        <v>46395</v>
      </c>
      <c r="U8993" t="s">
        <v>54408</v>
      </c>
      <c r="W8993" t="s">
        <v>41652</v>
      </c>
      <c r="X8993" t="s">
        <v>44769</v>
      </c>
    </row>
    <row r="8994" spans="1:24">
      <c r="A8994">
        <f>HYPERLINK("https://www.philgeps.gov.ph/GEPSNONPILOT/Tender/SplashBidNoticeAbstractUI.aspx?menuIndex=3&amp;refID=7141715&amp;Result=3","7141715")</f>
        <v>0</v>
      </c>
      <c r="B8994" t="s">
        <v>255</v>
      </c>
      <c r="C8994" t="s">
        <v>12278</v>
      </c>
      <c r="D8994" t="s">
        <v>17980</v>
      </c>
      <c r="E8994" t="s">
        <v>25865</v>
      </c>
      <c r="F8994" t="s">
        <v>30900</v>
      </c>
      <c r="G8994" t="s">
        <v>30907</v>
      </c>
      <c r="H8994" t="s">
        <v>30916</v>
      </c>
      <c r="I8994" t="s">
        <v>30924</v>
      </c>
      <c r="J8994" t="s">
        <v>36688</v>
      </c>
      <c r="K8994" t="s">
        <v>40286</v>
      </c>
      <c r="M8994" t="s">
        <v>40802</v>
      </c>
      <c r="N8994" t="s">
        <v>44759</v>
      </c>
      <c r="O8994" t="s">
        <v>44760</v>
      </c>
      <c r="P8994">
        <v>0</v>
      </c>
      <c r="Q8994">
        <v>2</v>
      </c>
      <c r="R8994" t="s">
        <v>44768</v>
      </c>
      <c r="S8994" t="s">
        <v>44982</v>
      </c>
      <c r="T8994" t="s">
        <v>46403</v>
      </c>
      <c r="U8994" t="s">
        <v>52217</v>
      </c>
      <c r="W8994" t="s">
        <v>40802</v>
      </c>
      <c r="X8994" t="s">
        <v>44769</v>
      </c>
    </row>
    <row r="8995" spans="1:24">
      <c r="A8995">
        <f>HYPERLINK("https://www.philgeps.gov.ph/GEPSNONPILOT/Tender/SplashBidNoticeAbstractUI.aspx?menuIndex=3&amp;refID=7141592&amp;Result=3","7141592")</f>
        <v>0</v>
      </c>
      <c r="B8995" t="s">
        <v>1777</v>
      </c>
      <c r="C8995" t="s">
        <v>12279</v>
      </c>
      <c r="D8995" t="s">
        <v>17994</v>
      </c>
      <c r="E8995" t="s">
        <v>12279</v>
      </c>
      <c r="F8995" t="s">
        <v>30900</v>
      </c>
      <c r="G8995" t="s">
        <v>30907</v>
      </c>
      <c r="H8995" t="s">
        <v>30916</v>
      </c>
      <c r="I8995" t="s">
        <v>30939</v>
      </c>
      <c r="J8995" t="s">
        <v>36689</v>
      </c>
      <c r="K8995" t="s">
        <v>40281</v>
      </c>
      <c r="M8995" t="s">
        <v>42460</v>
      </c>
      <c r="N8995" t="s">
        <v>44759</v>
      </c>
      <c r="O8995" t="s">
        <v>44760</v>
      </c>
      <c r="P8995">
        <v>0</v>
      </c>
      <c r="Q8995">
        <v>0</v>
      </c>
      <c r="R8995" t="s">
        <v>44768</v>
      </c>
      <c r="S8995" t="s">
        <v>44982</v>
      </c>
      <c r="T8995" t="s">
        <v>46612</v>
      </c>
      <c r="U8995" t="s">
        <v>54409</v>
      </c>
      <c r="W8995" t="s">
        <v>42460</v>
      </c>
      <c r="X8995" t="s">
        <v>44769</v>
      </c>
    </row>
    <row r="8996" spans="1:24">
      <c r="A8996">
        <f>HYPERLINK("https://www.philgeps.gov.ph/GEPSNONPILOT/Tender/SplashBidNoticeAbstractUI.aspx?menuIndex=3&amp;refID=7141713&amp;Result=3","7141713")</f>
        <v>0</v>
      </c>
      <c r="B8996" t="s">
        <v>143</v>
      </c>
      <c r="C8996" t="s">
        <v>12280</v>
      </c>
      <c r="D8996" t="s">
        <v>17965</v>
      </c>
      <c r="E8996" t="s">
        <v>25866</v>
      </c>
      <c r="F8996" t="s">
        <v>30900</v>
      </c>
      <c r="G8996" t="s">
        <v>30907</v>
      </c>
      <c r="H8996" t="s">
        <v>30915</v>
      </c>
      <c r="I8996" t="s">
        <v>30919</v>
      </c>
      <c r="J8996" t="s">
        <v>36690</v>
      </c>
      <c r="K8996" t="s">
        <v>40317</v>
      </c>
      <c r="M8996" t="s">
        <v>40854</v>
      </c>
      <c r="N8996" t="s">
        <v>44759</v>
      </c>
      <c r="O8996" t="s">
        <v>44760</v>
      </c>
      <c r="P8996">
        <v>0</v>
      </c>
      <c r="Q8996">
        <v>0</v>
      </c>
      <c r="R8996" t="s">
        <v>44768</v>
      </c>
      <c r="S8996" t="s">
        <v>44982</v>
      </c>
      <c r="T8996" t="s">
        <v>46581</v>
      </c>
      <c r="U8996" t="s">
        <v>54381</v>
      </c>
      <c r="W8996" t="s">
        <v>40854</v>
      </c>
      <c r="X8996" t="s">
        <v>44769</v>
      </c>
    </row>
    <row r="8997" spans="1:24">
      <c r="A8997">
        <f>HYPERLINK("https://www.philgeps.gov.ph/GEPSNONPILOT/Tender/SplashBidNoticeAbstractUI.aspx?menuIndex=3&amp;refID=7141709&amp;Result=3","7141709")</f>
        <v>0</v>
      </c>
      <c r="B8997" t="s">
        <v>2873</v>
      </c>
      <c r="C8997" t="s">
        <v>12281</v>
      </c>
      <c r="D8997" t="s">
        <v>17963</v>
      </c>
      <c r="E8997" t="s">
        <v>25867</v>
      </c>
      <c r="F8997" t="s">
        <v>30900</v>
      </c>
      <c r="G8997" t="s">
        <v>30907</v>
      </c>
      <c r="H8997" t="s">
        <v>30915</v>
      </c>
      <c r="I8997" t="s">
        <v>30919</v>
      </c>
      <c r="J8997" t="s">
        <v>36691</v>
      </c>
      <c r="K8997" t="s">
        <v>40286</v>
      </c>
      <c r="M8997" t="s">
        <v>43662</v>
      </c>
      <c r="N8997" t="s">
        <v>44759</v>
      </c>
      <c r="O8997" t="s">
        <v>44760</v>
      </c>
      <c r="P8997">
        <v>0</v>
      </c>
      <c r="Q8997">
        <v>0</v>
      </c>
      <c r="R8997" t="s">
        <v>44768</v>
      </c>
      <c r="S8997" t="s">
        <v>44982</v>
      </c>
      <c r="T8997" t="s">
        <v>46591</v>
      </c>
      <c r="U8997" t="s">
        <v>54410</v>
      </c>
      <c r="W8997" t="s">
        <v>43662</v>
      </c>
      <c r="X8997" t="s">
        <v>44769</v>
      </c>
    </row>
    <row r="8998" spans="1:24">
      <c r="A8998">
        <f>HYPERLINK("https://www.philgeps.gov.ph/GEPSNONPILOT/Tender/SplashBidNoticeAbstractUI.aspx?menuIndex=3&amp;refID=7141733&amp;Result=3","7141733")</f>
        <v>0</v>
      </c>
      <c r="B8998" t="s">
        <v>1055</v>
      </c>
      <c r="C8998" t="s">
        <v>12282</v>
      </c>
      <c r="D8998" t="s">
        <v>18017</v>
      </c>
      <c r="E8998" t="s">
        <v>25868</v>
      </c>
      <c r="F8998" t="s">
        <v>30900</v>
      </c>
      <c r="G8998" t="s">
        <v>30908</v>
      </c>
      <c r="H8998" t="s">
        <v>30916</v>
      </c>
      <c r="I8998" t="s">
        <v>10602</v>
      </c>
      <c r="J8998" t="s">
        <v>31785</v>
      </c>
      <c r="K8998" t="s">
        <v>40315</v>
      </c>
      <c r="L8998" t="s">
        <v>1055</v>
      </c>
      <c r="M8998" t="s">
        <v>41652</v>
      </c>
      <c r="N8998" t="s">
        <v>44759</v>
      </c>
      <c r="O8998" t="s">
        <v>44760</v>
      </c>
      <c r="P8998">
        <v>0</v>
      </c>
      <c r="Q8998">
        <v>0</v>
      </c>
      <c r="R8998" t="s">
        <v>44768</v>
      </c>
      <c r="S8998" t="s">
        <v>44982</v>
      </c>
      <c r="T8998" t="s">
        <v>46395</v>
      </c>
      <c r="U8998" t="s">
        <v>54411</v>
      </c>
      <c r="W8998" t="s">
        <v>41652</v>
      </c>
      <c r="X8998" t="s">
        <v>44769</v>
      </c>
    </row>
    <row r="8999" spans="1:24">
      <c r="A8999">
        <f>HYPERLINK("https://www.philgeps.gov.ph/GEPSNONPILOT/Tender/SplashBidNoticeAbstractUI.aspx?menuIndex=3&amp;refID=7141719&amp;Result=3","7141719")</f>
        <v>0</v>
      </c>
      <c r="B8999" t="s">
        <v>2874</v>
      </c>
      <c r="C8999" t="s">
        <v>12283</v>
      </c>
      <c r="D8999" t="s">
        <v>17963</v>
      </c>
      <c r="E8999" t="s">
        <v>22270</v>
      </c>
      <c r="F8999" t="s">
        <v>30900</v>
      </c>
      <c r="G8999" t="s">
        <v>30907</v>
      </c>
      <c r="H8999" t="s">
        <v>30915</v>
      </c>
      <c r="I8999" t="s">
        <v>30919</v>
      </c>
      <c r="J8999" t="s">
        <v>36692</v>
      </c>
      <c r="K8999" t="s">
        <v>40291</v>
      </c>
      <c r="M8999" t="s">
        <v>43663</v>
      </c>
      <c r="N8999" t="s">
        <v>44759</v>
      </c>
      <c r="O8999" t="s">
        <v>44760</v>
      </c>
      <c r="P8999">
        <v>0</v>
      </c>
      <c r="Q8999">
        <v>0</v>
      </c>
      <c r="R8999" t="s">
        <v>44768</v>
      </c>
      <c r="S8999" t="s">
        <v>44982</v>
      </c>
      <c r="T8999" t="s">
        <v>46591</v>
      </c>
      <c r="U8999" t="s">
        <v>54412</v>
      </c>
      <c r="W8999" t="s">
        <v>43663</v>
      </c>
      <c r="X8999" t="s">
        <v>44769</v>
      </c>
    </row>
    <row r="9000" spans="1:24">
      <c r="A9000">
        <f>HYPERLINK("https://www.philgeps.gov.ph/GEPSNONPILOT/Tender/SplashBidNoticeAbstractUI.aspx?menuIndex=3&amp;refID=7141710&amp;Result=3","7141710")</f>
        <v>0</v>
      </c>
      <c r="B9000" t="s">
        <v>390</v>
      </c>
      <c r="C9000" t="s">
        <v>4545</v>
      </c>
      <c r="D9000" t="s">
        <v>17953</v>
      </c>
      <c r="E9000" t="s">
        <v>25869</v>
      </c>
      <c r="F9000" t="s">
        <v>30900</v>
      </c>
      <c r="G9000" t="s">
        <v>30908</v>
      </c>
      <c r="H9000" t="s">
        <v>30916</v>
      </c>
      <c r="I9000" t="s">
        <v>4545</v>
      </c>
      <c r="J9000" t="s">
        <v>36693</v>
      </c>
      <c r="K9000" t="s">
        <v>40289</v>
      </c>
      <c r="M9000" t="s">
        <v>40945</v>
      </c>
      <c r="N9000" t="s">
        <v>44759</v>
      </c>
      <c r="O9000" t="s">
        <v>44760</v>
      </c>
      <c r="P9000">
        <v>0</v>
      </c>
      <c r="Q9000">
        <v>1</v>
      </c>
      <c r="R9000" t="s">
        <v>44768</v>
      </c>
      <c r="S9000" t="s">
        <v>44982</v>
      </c>
      <c r="T9000" t="s">
        <v>46403</v>
      </c>
      <c r="U9000" t="s">
        <v>48167</v>
      </c>
      <c r="W9000" t="s">
        <v>40945</v>
      </c>
      <c r="X9000" t="s">
        <v>44769</v>
      </c>
    </row>
    <row r="9001" spans="1:24">
      <c r="A9001">
        <f>HYPERLINK("https://www.philgeps.gov.ph/GEPSNONPILOT/Tender/SplashBidNoticeAbstractUI.aspx?menuIndex=3&amp;refID=7141783&amp;Result=3","7141783")</f>
        <v>0</v>
      </c>
      <c r="B9001" t="s">
        <v>1055</v>
      </c>
      <c r="C9001" t="s">
        <v>12284</v>
      </c>
      <c r="D9001" t="s">
        <v>18017</v>
      </c>
      <c r="E9001" t="s">
        <v>25870</v>
      </c>
      <c r="F9001" t="s">
        <v>30900</v>
      </c>
      <c r="G9001" t="s">
        <v>30908</v>
      </c>
      <c r="H9001" t="s">
        <v>30916</v>
      </c>
      <c r="I9001" t="s">
        <v>10602</v>
      </c>
      <c r="J9001" t="s">
        <v>36694</v>
      </c>
      <c r="K9001" t="s">
        <v>40282</v>
      </c>
      <c r="L9001" t="s">
        <v>1055</v>
      </c>
      <c r="M9001" t="s">
        <v>41652</v>
      </c>
      <c r="N9001" t="s">
        <v>44759</v>
      </c>
      <c r="O9001" t="s">
        <v>44760</v>
      </c>
      <c r="P9001">
        <v>0</v>
      </c>
      <c r="Q9001">
        <v>0</v>
      </c>
      <c r="R9001" t="s">
        <v>44768</v>
      </c>
      <c r="S9001" t="s">
        <v>44982</v>
      </c>
      <c r="T9001" t="s">
        <v>46549</v>
      </c>
      <c r="U9001" t="s">
        <v>54413</v>
      </c>
      <c r="W9001" t="s">
        <v>41652</v>
      </c>
      <c r="X9001" t="s">
        <v>44769</v>
      </c>
    </row>
    <row r="9002" spans="1:24">
      <c r="A9002">
        <f>HYPERLINK("https://www.philgeps.gov.ph/GEPSNONPILOT/Tender/SplashBidNoticeAbstractUI.aspx?menuIndex=3&amp;refID=7141781&amp;Result=3","7141781")</f>
        <v>0</v>
      </c>
      <c r="B9002" t="s">
        <v>1841</v>
      </c>
      <c r="C9002" t="s">
        <v>12285</v>
      </c>
      <c r="E9002" t="s">
        <v>25871</v>
      </c>
      <c r="F9002" t="s">
        <v>30900</v>
      </c>
      <c r="G9002" t="s">
        <v>30907</v>
      </c>
      <c r="H9002" t="s">
        <v>30916</v>
      </c>
      <c r="I9002" t="s">
        <v>30933</v>
      </c>
      <c r="J9002" t="s">
        <v>31297</v>
      </c>
      <c r="K9002" t="s">
        <v>40289</v>
      </c>
      <c r="M9002" t="s">
        <v>42513</v>
      </c>
      <c r="N9002" t="s">
        <v>44759</v>
      </c>
      <c r="O9002" t="s">
        <v>44760</v>
      </c>
      <c r="P9002">
        <v>0</v>
      </c>
      <c r="Q9002">
        <v>4</v>
      </c>
      <c r="R9002" t="s">
        <v>44768</v>
      </c>
      <c r="S9002" t="s">
        <v>44982</v>
      </c>
      <c r="T9002" t="s">
        <v>46595</v>
      </c>
      <c r="U9002" t="s">
        <v>51140</v>
      </c>
      <c r="W9002" t="s">
        <v>42513</v>
      </c>
      <c r="X9002" t="s">
        <v>44769</v>
      </c>
    </row>
    <row r="9003" spans="1:24">
      <c r="A9003">
        <f>HYPERLINK("https://www.philgeps.gov.ph/GEPSNONPILOT/Tender/SplashBidNoticeAbstractUI.aspx?menuIndex=3&amp;refID=7141786&amp;Result=3","7141786")</f>
        <v>0</v>
      </c>
      <c r="B9003" t="s">
        <v>244</v>
      </c>
      <c r="C9003" t="s">
        <v>12286</v>
      </c>
      <c r="D9003" t="s">
        <v>17958</v>
      </c>
      <c r="E9003" t="s">
        <v>25872</v>
      </c>
      <c r="F9003" t="s">
        <v>30900</v>
      </c>
      <c r="G9003" t="s">
        <v>30907</v>
      </c>
      <c r="H9003" t="s">
        <v>30915</v>
      </c>
      <c r="I9003" t="s">
        <v>30919</v>
      </c>
      <c r="J9003" t="s">
        <v>36695</v>
      </c>
      <c r="K9003" t="s">
        <v>40436</v>
      </c>
      <c r="M9003" t="s">
        <v>40791</v>
      </c>
      <c r="N9003" t="s">
        <v>44759</v>
      </c>
      <c r="O9003" t="s">
        <v>44760</v>
      </c>
      <c r="P9003">
        <v>0</v>
      </c>
      <c r="Q9003">
        <v>4</v>
      </c>
      <c r="R9003" t="s">
        <v>44768</v>
      </c>
      <c r="S9003" t="s">
        <v>44982</v>
      </c>
      <c r="T9003" t="s">
        <v>46495</v>
      </c>
      <c r="U9003" t="s">
        <v>54414</v>
      </c>
      <c r="V9003" t="s">
        <v>60094</v>
      </c>
      <c r="W9003" t="s">
        <v>40791</v>
      </c>
      <c r="X9003" t="s">
        <v>44769</v>
      </c>
    </row>
    <row r="9004" spans="1:24">
      <c r="A9004">
        <f>HYPERLINK("https://www.philgeps.gov.ph/GEPSNONPILOT/Tender/SplashBidNoticeAbstractUI.aspx?menuIndex=3&amp;refID=7141778&amp;Result=3","7141778")</f>
        <v>0</v>
      </c>
      <c r="B9004" t="s">
        <v>1029</v>
      </c>
      <c r="C9004" t="s">
        <v>12287</v>
      </c>
      <c r="D9004" t="s">
        <v>17973</v>
      </c>
      <c r="E9004" t="s">
        <v>25873</v>
      </c>
      <c r="F9004" t="s">
        <v>30900</v>
      </c>
      <c r="G9004" t="s">
        <v>30907</v>
      </c>
      <c r="H9004" t="s">
        <v>30915</v>
      </c>
      <c r="I9004" t="s">
        <v>30919</v>
      </c>
      <c r="J9004" t="s">
        <v>36696</v>
      </c>
      <c r="K9004" t="s">
        <v>40293</v>
      </c>
      <c r="M9004" t="s">
        <v>41620</v>
      </c>
      <c r="N9004" t="s">
        <v>44759</v>
      </c>
      <c r="O9004" t="s">
        <v>44760</v>
      </c>
      <c r="P9004">
        <v>0</v>
      </c>
      <c r="Q9004">
        <v>0</v>
      </c>
      <c r="R9004" t="s">
        <v>44768</v>
      </c>
      <c r="S9004" t="s">
        <v>44982</v>
      </c>
      <c r="T9004" t="s">
        <v>46699</v>
      </c>
      <c r="U9004" t="s">
        <v>54415</v>
      </c>
      <c r="W9004" t="s">
        <v>41620</v>
      </c>
      <c r="X9004" t="s">
        <v>44769</v>
      </c>
    </row>
    <row r="9005" spans="1:24">
      <c r="A9005">
        <f>HYPERLINK("https://www.philgeps.gov.ph/GEPSNONPILOT/Tender/SplashBidNoticeAbstractUI.aspx?menuIndex=3&amp;refID=7141774&amp;Result=3","7141774")</f>
        <v>0</v>
      </c>
      <c r="B9005" t="s">
        <v>1055</v>
      </c>
      <c r="C9005" t="s">
        <v>12288</v>
      </c>
      <c r="D9005" t="s">
        <v>18017</v>
      </c>
      <c r="E9005" t="s">
        <v>25874</v>
      </c>
      <c r="F9005" t="s">
        <v>30900</v>
      </c>
      <c r="G9005" t="s">
        <v>30908</v>
      </c>
      <c r="H9005" t="s">
        <v>30916</v>
      </c>
      <c r="I9005" t="s">
        <v>10602</v>
      </c>
      <c r="J9005" t="s">
        <v>36697</v>
      </c>
      <c r="K9005" t="s">
        <v>40282</v>
      </c>
      <c r="L9005" t="s">
        <v>1055</v>
      </c>
      <c r="M9005" t="s">
        <v>41652</v>
      </c>
      <c r="N9005" t="s">
        <v>44759</v>
      </c>
      <c r="O9005" t="s">
        <v>44760</v>
      </c>
      <c r="P9005">
        <v>0</v>
      </c>
      <c r="Q9005">
        <v>0</v>
      </c>
      <c r="R9005" t="s">
        <v>44768</v>
      </c>
      <c r="S9005" t="s">
        <v>44982</v>
      </c>
      <c r="T9005" t="s">
        <v>46549</v>
      </c>
      <c r="U9005" t="s">
        <v>54416</v>
      </c>
      <c r="W9005" t="s">
        <v>41652</v>
      </c>
      <c r="X9005" t="s">
        <v>44769</v>
      </c>
    </row>
    <row r="9006" spans="1:24">
      <c r="A9006">
        <f>HYPERLINK("https://www.philgeps.gov.ph/GEPSNONPILOT/Tender/SplashBidNoticeAbstractUI.aspx?menuIndex=3&amp;refID=7141784&amp;Result=3","7141784")</f>
        <v>0</v>
      </c>
      <c r="B9006" t="s">
        <v>2660</v>
      </c>
      <c r="C9006" t="s">
        <v>12289</v>
      </c>
      <c r="D9006" t="s">
        <v>17954</v>
      </c>
      <c r="E9006" t="s">
        <v>25875</v>
      </c>
      <c r="F9006" t="s">
        <v>30900</v>
      </c>
      <c r="G9006" t="s">
        <v>30907</v>
      </c>
      <c r="H9006" t="s">
        <v>30915</v>
      </c>
      <c r="I9006" t="s">
        <v>30919</v>
      </c>
      <c r="J9006" t="s">
        <v>31391</v>
      </c>
      <c r="K9006" t="s">
        <v>40302</v>
      </c>
      <c r="M9006" t="s">
        <v>43429</v>
      </c>
      <c r="N9006" t="s">
        <v>44759</v>
      </c>
      <c r="O9006" t="s">
        <v>44760</v>
      </c>
      <c r="P9006">
        <v>0</v>
      </c>
      <c r="Q9006">
        <v>2</v>
      </c>
      <c r="R9006" t="s">
        <v>44768</v>
      </c>
      <c r="S9006" t="s">
        <v>44982</v>
      </c>
      <c r="T9006" t="s">
        <v>46515</v>
      </c>
      <c r="U9006" t="s">
        <v>54417</v>
      </c>
      <c r="W9006" t="s">
        <v>43429</v>
      </c>
      <c r="X9006" t="s">
        <v>44769</v>
      </c>
    </row>
    <row r="9007" spans="1:24">
      <c r="A9007">
        <f>HYPERLINK("https://www.philgeps.gov.ph/GEPSNONPILOT/Tender/SplashBidNoticeAbstractUI.aspx?menuIndex=3&amp;refID=7141771&amp;Result=3","7141771")</f>
        <v>0</v>
      </c>
      <c r="B9007" t="s">
        <v>1055</v>
      </c>
      <c r="C9007" t="s">
        <v>12290</v>
      </c>
      <c r="D9007" t="s">
        <v>18017</v>
      </c>
      <c r="E9007" t="s">
        <v>25876</v>
      </c>
      <c r="F9007" t="s">
        <v>30900</v>
      </c>
      <c r="G9007" t="s">
        <v>30908</v>
      </c>
      <c r="H9007" t="s">
        <v>30916</v>
      </c>
      <c r="I9007" t="s">
        <v>10602</v>
      </c>
      <c r="J9007" t="s">
        <v>36698</v>
      </c>
      <c r="K9007" t="s">
        <v>40282</v>
      </c>
      <c r="L9007" t="s">
        <v>1055</v>
      </c>
      <c r="M9007" t="s">
        <v>41652</v>
      </c>
      <c r="N9007" t="s">
        <v>44759</v>
      </c>
      <c r="O9007" t="s">
        <v>44760</v>
      </c>
      <c r="P9007">
        <v>0</v>
      </c>
      <c r="Q9007">
        <v>0</v>
      </c>
      <c r="R9007" t="s">
        <v>44768</v>
      </c>
      <c r="S9007" t="s">
        <v>44982</v>
      </c>
      <c r="T9007" t="s">
        <v>46549</v>
      </c>
      <c r="U9007" t="s">
        <v>54418</v>
      </c>
      <c r="W9007" t="s">
        <v>41652</v>
      </c>
      <c r="X9007" t="s">
        <v>44769</v>
      </c>
    </row>
    <row r="9008" spans="1:24">
      <c r="A9008">
        <f>HYPERLINK("https://www.philgeps.gov.ph/GEPSNONPILOT/Tender/SplashBidNoticeAbstractUI.aspx?menuIndex=3&amp;refID=7141763&amp;Result=3","7141763")</f>
        <v>0</v>
      </c>
      <c r="B9008" t="s">
        <v>2435</v>
      </c>
      <c r="C9008" t="s">
        <v>12291</v>
      </c>
      <c r="D9008" t="s">
        <v>18009</v>
      </c>
      <c r="E9008" t="s">
        <v>25877</v>
      </c>
      <c r="F9008" t="s">
        <v>30900</v>
      </c>
      <c r="G9008" t="s">
        <v>30907</v>
      </c>
      <c r="H9008" t="s">
        <v>30916</v>
      </c>
      <c r="I9008" t="s">
        <v>30941</v>
      </c>
      <c r="J9008" t="s">
        <v>31243</v>
      </c>
      <c r="K9008" t="s">
        <v>40286</v>
      </c>
      <c r="M9008" t="s">
        <v>43166</v>
      </c>
      <c r="N9008" t="s">
        <v>44759</v>
      </c>
      <c r="O9008" t="s">
        <v>44760</v>
      </c>
      <c r="P9008">
        <v>0</v>
      </c>
      <c r="Q9008">
        <v>1</v>
      </c>
      <c r="R9008" t="s">
        <v>44768</v>
      </c>
      <c r="S9008" t="s">
        <v>44982</v>
      </c>
      <c r="T9008" t="s">
        <v>46428</v>
      </c>
      <c r="U9008" t="s">
        <v>54419</v>
      </c>
      <c r="W9008" t="s">
        <v>43166</v>
      </c>
      <c r="X9008" t="s">
        <v>44769</v>
      </c>
    </row>
    <row r="9009" spans="1:24">
      <c r="A9009">
        <f>HYPERLINK("https://www.philgeps.gov.ph/GEPSNONPILOT/Tender/SplashBidNoticeAbstractUI.aspx?menuIndex=3&amp;refID=7141762&amp;Result=3","7141762")</f>
        <v>0</v>
      </c>
      <c r="B9009" t="s">
        <v>1055</v>
      </c>
      <c r="C9009" t="s">
        <v>12292</v>
      </c>
      <c r="D9009" t="s">
        <v>18017</v>
      </c>
      <c r="E9009" t="s">
        <v>25878</v>
      </c>
      <c r="F9009" t="s">
        <v>30900</v>
      </c>
      <c r="G9009" t="s">
        <v>30908</v>
      </c>
      <c r="H9009" t="s">
        <v>30916</v>
      </c>
      <c r="I9009" t="s">
        <v>10602</v>
      </c>
      <c r="J9009" t="s">
        <v>36694</v>
      </c>
      <c r="K9009" t="s">
        <v>40282</v>
      </c>
      <c r="L9009" t="s">
        <v>1055</v>
      </c>
      <c r="M9009" t="s">
        <v>41652</v>
      </c>
      <c r="N9009" t="s">
        <v>44759</v>
      </c>
      <c r="O9009" t="s">
        <v>44760</v>
      </c>
      <c r="P9009">
        <v>0</v>
      </c>
      <c r="Q9009">
        <v>0</v>
      </c>
      <c r="R9009" t="s">
        <v>44768</v>
      </c>
      <c r="S9009" t="s">
        <v>44982</v>
      </c>
      <c r="T9009" t="s">
        <v>46549</v>
      </c>
      <c r="U9009" t="s">
        <v>54420</v>
      </c>
      <c r="W9009" t="s">
        <v>41652</v>
      </c>
      <c r="X9009" t="s">
        <v>44769</v>
      </c>
    </row>
    <row r="9010" spans="1:24">
      <c r="A9010">
        <f>HYPERLINK("https://www.philgeps.gov.ph/GEPSNONPILOT/Tender/SplashBidNoticeAbstractUI.aspx?menuIndex=3&amp;refID=7141755&amp;Result=3","7141755")</f>
        <v>0</v>
      </c>
      <c r="B9010" t="s">
        <v>2631</v>
      </c>
      <c r="C9010" t="s">
        <v>12293</v>
      </c>
      <c r="D9010" t="s">
        <v>17959</v>
      </c>
      <c r="E9010" t="s">
        <v>25879</v>
      </c>
      <c r="F9010" t="s">
        <v>30900</v>
      </c>
      <c r="G9010" t="s">
        <v>30908</v>
      </c>
      <c r="H9010" t="s">
        <v>30916</v>
      </c>
      <c r="I9010" t="s">
        <v>30934</v>
      </c>
      <c r="J9010" t="s">
        <v>31043</v>
      </c>
      <c r="K9010" t="s">
        <v>40286</v>
      </c>
      <c r="M9010" t="s">
        <v>43395</v>
      </c>
      <c r="N9010" t="s">
        <v>44759</v>
      </c>
      <c r="O9010" t="s">
        <v>44760</v>
      </c>
      <c r="Q9010">
        <v>3</v>
      </c>
      <c r="R9010" t="s">
        <v>44768</v>
      </c>
      <c r="S9010" t="s">
        <v>45033</v>
      </c>
      <c r="T9010" t="s">
        <v>46383</v>
      </c>
      <c r="U9010" t="s">
        <v>54421</v>
      </c>
      <c r="W9010" t="s">
        <v>43395</v>
      </c>
      <c r="X9010" t="s">
        <v>44769</v>
      </c>
    </row>
    <row r="9011" spans="1:24">
      <c r="A9011">
        <f>HYPERLINK("https://www.philgeps.gov.ph/GEPSNONPILOT/Tender/SplashBidNoticeAbstractUI.aspx?menuIndex=3&amp;refID=7141729&amp;Result=3","7141729")</f>
        <v>0</v>
      </c>
      <c r="B9011" t="s">
        <v>143</v>
      </c>
      <c r="C9011" t="s">
        <v>12294</v>
      </c>
      <c r="D9011" t="s">
        <v>17965</v>
      </c>
      <c r="E9011" t="s">
        <v>25880</v>
      </c>
      <c r="F9011" t="s">
        <v>30900</v>
      </c>
      <c r="G9011" t="s">
        <v>30907</v>
      </c>
      <c r="H9011" t="s">
        <v>30915</v>
      </c>
      <c r="I9011" t="s">
        <v>30919</v>
      </c>
      <c r="J9011" t="s">
        <v>36699</v>
      </c>
      <c r="K9011" t="s">
        <v>40291</v>
      </c>
      <c r="M9011" t="s">
        <v>40854</v>
      </c>
      <c r="N9011" t="s">
        <v>44759</v>
      </c>
      <c r="O9011" t="s">
        <v>44760</v>
      </c>
      <c r="P9011">
        <v>0</v>
      </c>
      <c r="Q9011">
        <v>0</v>
      </c>
      <c r="R9011" t="s">
        <v>44768</v>
      </c>
      <c r="S9011" t="s">
        <v>44982</v>
      </c>
      <c r="T9011" t="s">
        <v>46581</v>
      </c>
      <c r="U9011" t="s">
        <v>54381</v>
      </c>
      <c r="W9011" t="s">
        <v>40854</v>
      </c>
      <c r="X9011" t="s">
        <v>44769</v>
      </c>
    </row>
    <row r="9012" spans="1:24">
      <c r="A9012">
        <f>HYPERLINK("https://www.philgeps.gov.ph/GEPSNONPILOT/Tender/SplashBidNoticeAbstractUI.aspx?menuIndex=3&amp;refID=7141780&amp;Result=3","7141780")</f>
        <v>0</v>
      </c>
      <c r="B9012" t="s">
        <v>1055</v>
      </c>
      <c r="C9012" t="s">
        <v>12295</v>
      </c>
      <c r="D9012" t="s">
        <v>18017</v>
      </c>
      <c r="E9012" t="s">
        <v>25881</v>
      </c>
      <c r="F9012" t="s">
        <v>30900</v>
      </c>
      <c r="G9012" t="s">
        <v>30908</v>
      </c>
      <c r="H9012" t="s">
        <v>30916</v>
      </c>
      <c r="I9012" t="s">
        <v>10602</v>
      </c>
      <c r="J9012" t="s">
        <v>33774</v>
      </c>
      <c r="K9012" t="s">
        <v>40282</v>
      </c>
      <c r="L9012" t="s">
        <v>1055</v>
      </c>
      <c r="M9012" t="s">
        <v>41652</v>
      </c>
      <c r="N9012" t="s">
        <v>44759</v>
      </c>
      <c r="O9012" t="s">
        <v>44760</v>
      </c>
      <c r="P9012">
        <v>0</v>
      </c>
      <c r="Q9012">
        <v>0</v>
      </c>
      <c r="R9012" t="s">
        <v>44768</v>
      </c>
      <c r="S9012" t="s">
        <v>44982</v>
      </c>
      <c r="T9012" t="s">
        <v>46549</v>
      </c>
      <c r="U9012" t="s">
        <v>54422</v>
      </c>
      <c r="W9012" t="s">
        <v>41652</v>
      </c>
      <c r="X9012" t="s">
        <v>44769</v>
      </c>
    </row>
    <row r="9013" spans="1:24">
      <c r="A9013">
        <f>HYPERLINK("https://www.philgeps.gov.ph/GEPSNONPILOT/Tender/SplashBidNoticeAbstractUI.aspx?menuIndex=3&amp;refID=7141732&amp;Result=3","7141732")</f>
        <v>0</v>
      </c>
      <c r="B9013" t="s">
        <v>2435</v>
      </c>
      <c r="C9013" t="s">
        <v>12296</v>
      </c>
      <c r="D9013" t="s">
        <v>18009</v>
      </c>
      <c r="E9013" t="s">
        <v>25877</v>
      </c>
      <c r="F9013" t="s">
        <v>30900</v>
      </c>
      <c r="G9013" t="s">
        <v>30907</v>
      </c>
      <c r="H9013" t="s">
        <v>30915</v>
      </c>
      <c r="I9013" t="s">
        <v>30919</v>
      </c>
      <c r="J9013" t="s">
        <v>36700</v>
      </c>
      <c r="K9013" t="s">
        <v>40466</v>
      </c>
      <c r="M9013" t="s">
        <v>43166</v>
      </c>
      <c r="N9013" t="s">
        <v>44759</v>
      </c>
      <c r="O9013" t="s">
        <v>44760</v>
      </c>
      <c r="P9013">
        <v>0</v>
      </c>
      <c r="Q9013">
        <v>1</v>
      </c>
      <c r="R9013" t="s">
        <v>44768</v>
      </c>
      <c r="S9013" t="s">
        <v>44982</v>
      </c>
      <c r="T9013" t="s">
        <v>46428</v>
      </c>
      <c r="U9013" t="s">
        <v>54423</v>
      </c>
      <c r="W9013" t="s">
        <v>43166</v>
      </c>
      <c r="X9013" t="s">
        <v>44769</v>
      </c>
    </row>
    <row r="9014" spans="1:24">
      <c r="A9014">
        <f>HYPERLINK("https://www.philgeps.gov.ph/GEPSNONPILOT/Tender/SplashBidNoticeAbstractUI.aspx?menuIndex=3&amp;refID=7141835&amp;Result=3","7141835")</f>
        <v>0</v>
      </c>
      <c r="B9014" t="s">
        <v>2875</v>
      </c>
      <c r="C9014" t="s">
        <v>12297</v>
      </c>
      <c r="D9014" t="s">
        <v>17961</v>
      </c>
      <c r="E9014" t="s">
        <v>18615</v>
      </c>
      <c r="F9014" t="s">
        <v>30900</v>
      </c>
      <c r="G9014" t="s">
        <v>30910</v>
      </c>
      <c r="H9014" t="s">
        <v>30916</v>
      </c>
      <c r="I9014" t="s">
        <v>8365</v>
      </c>
      <c r="J9014" t="s">
        <v>36701</v>
      </c>
      <c r="K9014" t="s">
        <v>40285</v>
      </c>
      <c r="M9014" t="s">
        <v>43664</v>
      </c>
      <c r="N9014" t="s">
        <v>44759</v>
      </c>
      <c r="O9014" t="s">
        <v>44760</v>
      </c>
      <c r="P9014">
        <v>0</v>
      </c>
      <c r="Q9014">
        <v>0</v>
      </c>
      <c r="R9014" t="s">
        <v>44768</v>
      </c>
      <c r="S9014" t="s">
        <v>44982</v>
      </c>
      <c r="T9014" t="s">
        <v>46374</v>
      </c>
      <c r="U9014" t="s">
        <v>54424</v>
      </c>
      <c r="V9014" t="s">
        <v>60095</v>
      </c>
      <c r="W9014" t="s">
        <v>43664</v>
      </c>
      <c r="X9014" t="s">
        <v>44769</v>
      </c>
    </row>
    <row r="9015" spans="1:24">
      <c r="A9015">
        <f>HYPERLINK("https://www.philgeps.gov.ph/GEPSNONPILOT/Tender/SplashBidNoticeAbstractUI.aspx?menuIndex=3&amp;refID=7141788&amp;Result=3","7141788")</f>
        <v>0</v>
      </c>
      <c r="B9015" t="s">
        <v>1029</v>
      </c>
      <c r="C9015" t="s">
        <v>12298</v>
      </c>
      <c r="D9015" t="s">
        <v>17973</v>
      </c>
      <c r="E9015" t="s">
        <v>25882</v>
      </c>
      <c r="F9015" t="s">
        <v>30900</v>
      </c>
      <c r="G9015" t="s">
        <v>30907</v>
      </c>
      <c r="H9015" t="s">
        <v>30915</v>
      </c>
      <c r="I9015" t="s">
        <v>30919</v>
      </c>
      <c r="J9015" t="s">
        <v>36702</v>
      </c>
      <c r="K9015" t="s">
        <v>40280</v>
      </c>
      <c r="M9015" t="s">
        <v>41620</v>
      </c>
      <c r="N9015" t="s">
        <v>44759</v>
      </c>
      <c r="O9015" t="s">
        <v>44760</v>
      </c>
      <c r="P9015">
        <v>0</v>
      </c>
      <c r="Q9015">
        <v>0</v>
      </c>
      <c r="R9015" t="s">
        <v>44768</v>
      </c>
      <c r="S9015" t="s">
        <v>44982</v>
      </c>
      <c r="T9015" t="s">
        <v>46699</v>
      </c>
      <c r="U9015" t="s">
        <v>54425</v>
      </c>
      <c r="W9015" t="s">
        <v>41620</v>
      </c>
      <c r="X9015" t="s">
        <v>44769</v>
      </c>
    </row>
    <row r="9016" spans="1:24">
      <c r="A9016">
        <f>HYPERLINK("https://www.philgeps.gov.ph/GEPSNONPILOT/Tender/SplashBidNoticeAbstractUI.aspx?menuIndex=3&amp;refID=7141832&amp;Result=3","7141832")</f>
        <v>0</v>
      </c>
      <c r="B9016" t="s">
        <v>1232</v>
      </c>
      <c r="C9016" t="s">
        <v>12299</v>
      </c>
      <c r="D9016" t="s">
        <v>17969</v>
      </c>
      <c r="E9016" t="s">
        <v>25883</v>
      </c>
      <c r="F9016" t="s">
        <v>30900</v>
      </c>
      <c r="G9016" t="s">
        <v>30909</v>
      </c>
      <c r="H9016" t="s">
        <v>30916</v>
      </c>
      <c r="I9016" t="s">
        <v>8123</v>
      </c>
      <c r="J9016" t="s">
        <v>33171</v>
      </c>
      <c r="K9016" t="s">
        <v>40280</v>
      </c>
      <c r="M9016" t="s">
        <v>43665</v>
      </c>
      <c r="N9016" t="s">
        <v>44759</v>
      </c>
      <c r="O9016" t="s">
        <v>44760</v>
      </c>
      <c r="P9016">
        <v>0</v>
      </c>
      <c r="Q9016">
        <v>2</v>
      </c>
      <c r="R9016" t="s">
        <v>44768</v>
      </c>
      <c r="S9016" t="s">
        <v>44982</v>
      </c>
      <c r="T9016" t="s">
        <v>46625</v>
      </c>
      <c r="U9016" t="s">
        <v>54426</v>
      </c>
      <c r="V9016" t="s">
        <v>60096</v>
      </c>
      <c r="W9016" t="s">
        <v>43665</v>
      </c>
      <c r="X9016" t="s">
        <v>44769</v>
      </c>
    </row>
    <row r="9017" spans="1:24">
      <c r="A9017">
        <f>HYPERLINK("https://www.philgeps.gov.ph/GEPSNONPILOT/Tender/SplashBidNoticeAbstractUI.aspx?menuIndex=3&amp;refID=7141830&amp;Result=3","7141830")</f>
        <v>0</v>
      </c>
      <c r="B9017" t="s">
        <v>2876</v>
      </c>
      <c r="C9017" t="s">
        <v>12300</v>
      </c>
      <c r="D9017" t="s">
        <v>17963</v>
      </c>
      <c r="E9017" t="s">
        <v>18282</v>
      </c>
      <c r="F9017" t="s">
        <v>30900</v>
      </c>
      <c r="G9017" t="s">
        <v>30907</v>
      </c>
      <c r="H9017" t="s">
        <v>30915</v>
      </c>
      <c r="I9017" t="s">
        <v>30919</v>
      </c>
      <c r="J9017" t="s">
        <v>35390</v>
      </c>
      <c r="K9017" t="s">
        <v>40283</v>
      </c>
      <c r="M9017" t="s">
        <v>43666</v>
      </c>
      <c r="N9017" t="s">
        <v>44759</v>
      </c>
      <c r="O9017" t="s">
        <v>44760</v>
      </c>
      <c r="P9017">
        <v>0</v>
      </c>
      <c r="Q9017">
        <v>0</v>
      </c>
      <c r="R9017" t="s">
        <v>44768</v>
      </c>
      <c r="S9017" t="s">
        <v>44982</v>
      </c>
      <c r="T9017" t="s">
        <v>46591</v>
      </c>
      <c r="U9017" t="s">
        <v>46962</v>
      </c>
      <c r="W9017" t="s">
        <v>43666</v>
      </c>
      <c r="X9017" t="s">
        <v>44769</v>
      </c>
    </row>
    <row r="9018" spans="1:24">
      <c r="A9018">
        <f>HYPERLINK("https://www.philgeps.gov.ph/GEPSNONPILOT/Tender/SplashBidNoticeAbstractUI.aspx?menuIndex=3&amp;refID=7141825&amp;Result=3","7141825")</f>
        <v>0</v>
      </c>
      <c r="B9018" t="s">
        <v>2877</v>
      </c>
      <c r="C9018" t="s">
        <v>12301</v>
      </c>
      <c r="D9018" t="s">
        <v>17954</v>
      </c>
      <c r="E9018" t="s">
        <v>25884</v>
      </c>
      <c r="F9018" t="s">
        <v>30900</v>
      </c>
      <c r="G9018" t="s">
        <v>30907</v>
      </c>
      <c r="H9018" t="s">
        <v>30916</v>
      </c>
      <c r="I9018" t="s">
        <v>30932</v>
      </c>
      <c r="J9018" t="s">
        <v>36703</v>
      </c>
      <c r="K9018" t="s">
        <v>40284</v>
      </c>
      <c r="L9018" t="s">
        <v>2877</v>
      </c>
      <c r="M9018" t="s">
        <v>43667</v>
      </c>
      <c r="N9018" t="s">
        <v>44759</v>
      </c>
      <c r="O9018" t="s">
        <v>44760</v>
      </c>
      <c r="P9018">
        <v>0</v>
      </c>
      <c r="Q9018">
        <v>2</v>
      </c>
      <c r="R9018" t="s">
        <v>44768</v>
      </c>
      <c r="S9018" t="s">
        <v>44982</v>
      </c>
      <c r="T9018" t="s">
        <v>46625</v>
      </c>
      <c r="U9018" t="s">
        <v>54427</v>
      </c>
      <c r="V9018" t="s">
        <v>60097</v>
      </c>
      <c r="W9018" t="s">
        <v>43667</v>
      </c>
      <c r="X9018" t="s">
        <v>44769</v>
      </c>
    </row>
    <row r="9019" spans="1:24">
      <c r="A9019">
        <f>HYPERLINK("https://www.philgeps.gov.ph/GEPSNONPILOT/Tender/SplashBidNoticeAbstractUI.aspx?menuIndex=3&amp;refID=7141833&amp;Result=3","7141833")</f>
        <v>0</v>
      </c>
      <c r="B9019" t="s">
        <v>559</v>
      </c>
      <c r="C9019" t="s">
        <v>12302</v>
      </c>
      <c r="D9019" t="s">
        <v>17990</v>
      </c>
      <c r="E9019" t="s">
        <v>25885</v>
      </c>
      <c r="F9019" t="s">
        <v>30900</v>
      </c>
      <c r="G9019" t="s">
        <v>30908</v>
      </c>
      <c r="H9019" t="s">
        <v>30915</v>
      </c>
      <c r="I9019" t="s">
        <v>30919</v>
      </c>
      <c r="J9019" t="s">
        <v>36704</v>
      </c>
      <c r="K9019" t="s">
        <v>40280</v>
      </c>
      <c r="M9019" t="s">
        <v>42412</v>
      </c>
      <c r="N9019" t="s">
        <v>44759</v>
      </c>
      <c r="O9019" t="s">
        <v>44760</v>
      </c>
      <c r="P9019">
        <v>0</v>
      </c>
      <c r="Q9019">
        <v>3</v>
      </c>
      <c r="R9019" t="s">
        <v>44768</v>
      </c>
      <c r="S9019" t="s">
        <v>44982</v>
      </c>
      <c r="T9019" t="s">
        <v>46662</v>
      </c>
      <c r="U9019" t="s">
        <v>54428</v>
      </c>
      <c r="W9019" t="s">
        <v>60872</v>
      </c>
      <c r="X9019" t="s">
        <v>44769</v>
      </c>
    </row>
    <row r="9020" spans="1:24">
      <c r="A9020">
        <f>HYPERLINK("https://www.philgeps.gov.ph/GEPSNONPILOT/Tender/SplashBidNoticeAbstractUI.aspx?menuIndex=3&amp;refID=7141759&amp;Result=3","7141759")</f>
        <v>0</v>
      </c>
      <c r="B9020" t="s">
        <v>1029</v>
      </c>
      <c r="C9020" t="s">
        <v>12303</v>
      </c>
      <c r="D9020" t="s">
        <v>17973</v>
      </c>
      <c r="E9020" t="s">
        <v>25886</v>
      </c>
      <c r="F9020" t="s">
        <v>30900</v>
      </c>
      <c r="G9020" t="s">
        <v>30907</v>
      </c>
      <c r="H9020" t="s">
        <v>30916</v>
      </c>
      <c r="I9020" t="s">
        <v>30919</v>
      </c>
      <c r="J9020" t="s">
        <v>36705</v>
      </c>
      <c r="K9020" t="s">
        <v>40289</v>
      </c>
      <c r="M9020" t="s">
        <v>41620</v>
      </c>
      <c r="N9020" t="s">
        <v>44759</v>
      </c>
      <c r="O9020" t="s">
        <v>44760</v>
      </c>
      <c r="P9020">
        <v>0</v>
      </c>
      <c r="Q9020">
        <v>0</v>
      </c>
      <c r="R9020" t="s">
        <v>44768</v>
      </c>
      <c r="S9020" t="s">
        <v>44982</v>
      </c>
      <c r="T9020" t="s">
        <v>46699</v>
      </c>
      <c r="U9020" t="s">
        <v>54429</v>
      </c>
      <c r="W9020" t="s">
        <v>41620</v>
      </c>
      <c r="X9020" t="s">
        <v>44769</v>
      </c>
    </row>
    <row r="9021" spans="1:24">
      <c r="A9021">
        <f>HYPERLINK("https://www.philgeps.gov.ph/GEPSNONPILOT/Tender/SplashBidNoticeAbstractUI.aspx?menuIndex=3&amp;refID=7141822&amp;Result=3","7141822")</f>
        <v>0</v>
      </c>
      <c r="B9021" t="s">
        <v>559</v>
      </c>
      <c r="C9021" t="s">
        <v>12304</v>
      </c>
      <c r="D9021" t="s">
        <v>17990</v>
      </c>
      <c r="E9021" t="s">
        <v>25887</v>
      </c>
      <c r="F9021" t="s">
        <v>30900</v>
      </c>
      <c r="G9021" t="s">
        <v>30908</v>
      </c>
      <c r="H9021" t="s">
        <v>30915</v>
      </c>
      <c r="I9021" t="s">
        <v>30919</v>
      </c>
      <c r="J9021" t="s">
        <v>36706</v>
      </c>
      <c r="K9021" t="s">
        <v>40280</v>
      </c>
      <c r="M9021" t="s">
        <v>42412</v>
      </c>
      <c r="N9021" t="s">
        <v>44759</v>
      </c>
      <c r="O9021" t="s">
        <v>44760</v>
      </c>
      <c r="P9021">
        <v>0</v>
      </c>
      <c r="Q9021">
        <v>4</v>
      </c>
      <c r="R9021" t="s">
        <v>44768</v>
      </c>
      <c r="S9021" t="s">
        <v>44982</v>
      </c>
      <c r="T9021" t="s">
        <v>46662</v>
      </c>
      <c r="U9021" t="s">
        <v>54428</v>
      </c>
      <c r="W9021" t="s">
        <v>60872</v>
      </c>
      <c r="X9021" t="s">
        <v>44769</v>
      </c>
    </row>
    <row r="9022" spans="1:24">
      <c r="A9022">
        <f>HYPERLINK("https://www.philgeps.gov.ph/GEPSNONPILOT/Tender/SplashBidNoticeAbstractUI.aspx?menuIndex=3&amp;refID=7141817&amp;Result=3","7141817")</f>
        <v>0</v>
      </c>
      <c r="B9022" t="s">
        <v>1232</v>
      </c>
      <c r="C9022" t="s">
        <v>12305</v>
      </c>
      <c r="D9022" t="s">
        <v>17969</v>
      </c>
      <c r="E9022" t="s">
        <v>25888</v>
      </c>
      <c r="F9022" t="s">
        <v>30900</v>
      </c>
      <c r="G9022" t="s">
        <v>30909</v>
      </c>
      <c r="H9022" t="s">
        <v>30916</v>
      </c>
      <c r="I9022" t="s">
        <v>8123</v>
      </c>
      <c r="J9022" t="s">
        <v>32775</v>
      </c>
      <c r="K9022" t="s">
        <v>40286</v>
      </c>
      <c r="M9022" t="s">
        <v>43665</v>
      </c>
      <c r="N9022" t="s">
        <v>44759</v>
      </c>
      <c r="O9022" t="s">
        <v>44760</v>
      </c>
      <c r="P9022">
        <v>0</v>
      </c>
      <c r="Q9022">
        <v>2</v>
      </c>
      <c r="R9022" t="s">
        <v>44768</v>
      </c>
      <c r="S9022" t="s">
        <v>44982</v>
      </c>
      <c r="T9022" t="s">
        <v>46625</v>
      </c>
      <c r="U9022" t="s">
        <v>54430</v>
      </c>
      <c r="V9022" t="s">
        <v>60096</v>
      </c>
      <c r="W9022" t="s">
        <v>43665</v>
      </c>
      <c r="X9022" t="s">
        <v>44769</v>
      </c>
    </row>
    <row r="9023" spans="1:24">
      <c r="A9023">
        <f>HYPERLINK("https://www.philgeps.gov.ph/GEPSNONPILOT/Tender/SplashBidNoticeAbstractUI.aspx?menuIndex=3&amp;refID=7141696&amp;Result=3","7141696")</f>
        <v>0</v>
      </c>
      <c r="B9023" t="s">
        <v>143</v>
      </c>
      <c r="C9023" t="s">
        <v>12306</v>
      </c>
      <c r="D9023" t="s">
        <v>17965</v>
      </c>
      <c r="E9023" t="s">
        <v>25889</v>
      </c>
      <c r="F9023" t="s">
        <v>30900</v>
      </c>
      <c r="G9023" t="s">
        <v>30907</v>
      </c>
      <c r="H9023" t="s">
        <v>30915</v>
      </c>
      <c r="I9023" t="s">
        <v>30919</v>
      </c>
      <c r="J9023" t="s">
        <v>36707</v>
      </c>
      <c r="K9023" t="s">
        <v>40284</v>
      </c>
      <c r="M9023" t="s">
        <v>40854</v>
      </c>
      <c r="N9023" t="s">
        <v>44759</v>
      </c>
      <c r="O9023" t="s">
        <v>44760</v>
      </c>
      <c r="P9023">
        <v>0</v>
      </c>
      <c r="Q9023">
        <v>0</v>
      </c>
      <c r="R9023" t="s">
        <v>44768</v>
      </c>
      <c r="S9023" t="s">
        <v>44982</v>
      </c>
      <c r="T9023" t="s">
        <v>46581</v>
      </c>
      <c r="U9023" t="s">
        <v>54381</v>
      </c>
      <c r="W9023" t="s">
        <v>40854</v>
      </c>
      <c r="X9023" t="s">
        <v>44769</v>
      </c>
    </row>
    <row r="9024" spans="1:24">
      <c r="A9024">
        <f>HYPERLINK("https://www.philgeps.gov.ph/GEPSNONPILOT/Tender/SplashBidNoticeAbstractUI.aspx?menuIndex=3&amp;refID=7141815&amp;Result=3","7141815")</f>
        <v>0</v>
      </c>
      <c r="B9024" t="s">
        <v>2878</v>
      </c>
      <c r="C9024" t="s">
        <v>12307</v>
      </c>
      <c r="D9024" t="s">
        <v>18022</v>
      </c>
      <c r="E9024" t="s">
        <v>25890</v>
      </c>
      <c r="F9024" t="s">
        <v>30900</v>
      </c>
      <c r="G9024" t="s">
        <v>30907</v>
      </c>
      <c r="H9024" t="s">
        <v>30916</v>
      </c>
      <c r="I9024" t="s">
        <v>8123</v>
      </c>
      <c r="J9024" t="s">
        <v>36708</v>
      </c>
      <c r="K9024" t="s">
        <v>40287</v>
      </c>
      <c r="M9024" t="s">
        <v>43668</v>
      </c>
      <c r="N9024" t="s">
        <v>44759</v>
      </c>
      <c r="O9024" t="s">
        <v>44760</v>
      </c>
      <c r="P9024">
        <v>0</v>
      </c>
      <c r="Q9024">
        <v>2</v>
      </c>
      <c r="R9024" t="s">
        <v>44768</v>
      </c>
      <c r="S9024" t="s">
        <v>44982</v>
      </c>
      <c r="T9024" t="s">
        <v>46403</v>
      </c>
      <c r="U9024" t="s">
        <v>54431</v>
      </c>
      <c r="W9024" t="s">
        <v>43668</v>
      </c>
      <c r="X9024" t="s">
        <v>44769</v>
      </c>
    </row>
    <row r="9025" spans="1:24">
      <c r="A9025">
        <f>HYPERLINK("https://www.philgeps.gov.ph/GEPSNONPILOT/Tender/SplashBidNoticeAbstractUI.aspx?menuIndex=3&amp;refID=7141799&amp;Result=3","7141799")</f>
        <v>0</v>
      </c>
      <c r="B9025" t="s">
        <v>2506</v>
      </c>
      <c r="C9025" t="s">
        <v>12308</v>
      </c>
      <c r="D9025" t="s">
        <v>18005</v>
      </c>
      <c r="E9025" t="s">
        <v>25891</v>
      </c>
      <c r="F9025" t="s">
        <v>30900</v>
      </c>
      <c r="G9025" t="s">
        <v>30907</v>
      </c>
      <c r="H9025" t="s">
        <v>30915</v>
      </c>
      <c r="I9025" t="s">
        <v>30919</v>
      </c>
      <c r="J9025" t="s">
        <v>36709</v>
      </c>
      <c r="K9025" t="s">
        <v>40342</v>
      </c>
      <c r="M9025" t="s">
        <v>43669</v>
      </c>
      <c r="N9025" t="s">
        <v>44759</v>
      </c>
      <c r="O9025" t="s">
        <v>44760</v>
      </c>
      <c r="P9025">
        <v>0</v>
      </c>
      <c r="Q9025">
        <v>4</v>
      </c>
      <c r="R9025" t="s">
        <v>44768</v>
      </c>
      <c r="S9025" t="s">
        <v>44982</v>
      </c>
      <c r="T9025" t="s">
        <v>46828</v>
      </c>
      <c r="U9025" t="s">
        <v>54432</v>
      </c>
      <c r="W9025" t="s">
        <v>60905</v>
      </c>
      <c r="X9025" t="s">
        <v>44769</v>
      </c>
    </row>
    <row r="9026" spans="1:24">
      <c r="A9026">
        <f>HYPERLINK("https://www.philgeps.gov.ph/GEPSNONPILOT/Tender/SplashBidNoticeAbstractUI.aspx?menuIndex=3&amp;refID=7141834&amp;Result=3","7141834")</f>
        <v>0</v>
      </c>
      <c r="B9026" t="s">
        <v>2319</v>
      </c>
      <c r="C9026" t="s">
        <v>12309</v>
      </c>
      <c r="D9026" t="s">
        <v>17959</v>
      </c>
      <c r="E9026" t="s">
        <v>24491</v>
      </c>
      <c r="F9026" t="s">
        <v>30900</v>
      </c>
      <c r="G9026" t="s">
        <v>30907</v>
      </c>
      <c r="H9026" t="s">
        <v>30916</v>
      </c>
      <c r="I9026" t="s">
        <v>30942</v>
      </c>
      <c r="J9026" t="s">
        <v>31311</v>
      </c>
      <c r="K9026" t="s">
        <v>40289</v>
      </c>
      <c r="M9026" t="s">
        <v>43039</v>
      </c>
      <c r="N9026" t="s">
        <v>44759</v>
      </c>
      <c r="O9026" t="s">
        <v>44760</v>
      </c>
      <c r="P9026">
        <v>0</v>
      </c>
      <c r="Q9026">
        <v>4</v>
      </c>
      <c r="R9026" t="s">
        <v>44768</v>
      </c>
      <c r="S9026" t="s">
        <v>44982</v>
      </c>
      <c r="T9026" t="s">
        <v>46515</v>
      </c>
      <c r="U9026" t="s">
        <v>54433</v>
      </c>
      <c r="V9026" t="s">
        <v>60098</v>
      </c>
      <c r="W9026" t="s">
        <v>43039</v>
      </c>
      <c r="X9026" t="s">
        <v>44769</v>
      </c>
    </row>
    <row r="9027" spans="1:24">
      <c r="A9027">
        <f>HYPERLINK("https://www.philgeps.gov.ph/GEPSNONPILOT/Tender/SplashBidNoticeAbstractUI.aspx?menuIndex=3&amp;refID=7141820&amp;Result=3","7141820")</f>
        <v>0</v>
      </c>
      <c r="B9027" t="s">
        <v>2823</v>
      </c>
      <c r="C9027" t="s">
        <v>12310</v>
      </c>
      <c r="D9027" t="s">
        <v>18006</v>
      </c>
      <c r="E9027" t="s">
        <v>25892</v>
      </c>
      <c r="F9027" t="s">
        <v>30900</v>
      </c>
      <c r="G9027" t="s">
        <v>30907</v>
      </c>
      <c r="H9027" t="s">
        <v>30915</v>
      </c>
      <c r="I9027" t="s">
        <v>30932</v>
      </c>
      <c r="J9027" t="s">
        <v>31243</v>
      </c>
      <c r="K9027" t="s">
        <v>40289</v>
      </c>
      <c r="M9027" t="s">
        <v>43608</v>
      </c>
      <c r="N9027" t="s">
        <v>44759</v>
      </c>
      <c r="O9027" t="s">
        <v>44760</v>
      </c>
      <c r="P9027">
        <v>0</v>
      </c>
      <c r="Q9027">
        <v>0</v>
      </c>
      <c r="R9027" t="s">
        <v>44768</v>
      </c>
      <c r="S9027" t="s">
        <v>44982</v>
      </c>
      <c r="T9027" t="s">
        <v>46472</v>
      </c>
      <c r="U9027" t="s">
        <v>54214</v>
      </c>
      <c r="V9027" t="s">
        <v>60070</v>
      </c>
      <c r="W9027" t="s">
        <v>43608</v>
      </c>
      <c r="X9027" t="s">
        <v>44769</v>
      </c>
    </row>
    <row r="9028" spans="1:24">
      <c r="A9028">
        <f>HYPERLINK("https://www.philgeps.gov.ph/GEPSNONPILOT/Tender/SplashBidNoticeAbstractUI.aspx?menuIndex=3&amp;refID=7141818&amp;Result=3","7141818")</f>
        <v>0</v>
      </c>
      <c r="B9028" t="s">
        <v>2879</v>
      </c>
      <c r="C9028" t="s">
        <v>12311</v>
      </c>
      <c r="D9028" t="s">
        <v>17959</v>
      </c>
      <c r="E9028" t="s">
        <v>25893</v>
      </c>
      <c r="F9028" t="s">
        <v>30900</v>
      </c>
      <c r="G9028" t="s">
        <v>30907</v>
      </c>
      <c r="H9028" t="s">
        <v>30916</v>
      </c>
      <c r="I9028" t="s">
        <v>30985</v>
      </c>
      <c r="J9028" t="s">
        <v>36710</v>
      </c>
      <c r="K9028" t="s">
        <v>40286</v>
      </c>
      <c r="M9028" t="s">
        <v>43670</v>
      </c>
      <c r="N9028" t="s">
        <v>44759</v>
      </c>
      <c r="O9028" t="s">
        <v>44760</v>
      </c>
      <c r="P9028">
        <v>0</v>
      </c>
      <c r="Q9028">
        <v>14</v>
      </c>
      <c r="R9028" t="s">
        <v>44768</v>
      </c>
      <c r="S9028" t="s">
        <v>44982</v>
      </c>
      <c r="T9028" t="s">
        <v>46495</v>
      </c>
      <c r="U9028" t="s">
        <v>54434</v>
      </c>
      <c r="W9028" t="s">
        <v>43670</v>
      </c>
      <c r="X9028" t="s">
        <v>44769</v>
      </c>
    </row>
    <row r="9029" spans="1:24">
      <c r="A9029">
        <f>HYPERLINK("https://www.philgeps.gov.ph/GEPSNONPILOT/Tender/SplashBidNoticeAbstractUI.aspx?menuIndex=3&amp;refID=7141907&amp;Result=3","7141907")</f>
        <v>0</v>
      </c>
      <c r="B9029" t="s">
        <v>918</v>
      </c>
      <c r="C9029" t="s">
        <v>12312</v>
      </c>
      <c r="D9029" t="s">
        <v>17959</v>
      </c>
      <c r="E9029" t="s">
        <v>25894</v>
      </c>
      <c r="F9029" t="s">
        <v>30900</v>
      </c>
      <c r="G9029" t="s">
        <v>30907</v>
      </c>
      <c r="H9029" t="s">
        <v>30915</v>
      </c>
      <c r="I9029" t="s">
        <v>30919</v>
      </c>
      <c r="J9029" t="s">
        <v>36711</v>
      </c>
      <c r="K9029" t="s">
        <v>40292</v>
      </c>
      <c r="M9029" t="s">
        <v>43671</v>
      </c>
      <c r="N9029" t="s">
        <v>44759</v>
      </c>
      <c r="O9029" t="s">
        <v>44760</v>
      </c>
      <c r="P9029">
        <v>0</v>
      </c>
      <c r="Q9029">
        <v>28</v>
      </c>
      <c r="R9029" t="s">
        <v>44768</v>
      </c>
      <c r="S9029" t="s">
        <v>44982</v>
      </c>
      <c r="T9029" t="s">
        <v>46606</v>
      </c>
      <c r="U9029" t="s">
        <v>54435</v>
      </c>
      <c r="W9029" t="s">
        <v>43671</v>
      </c>
      <c r="X9029" t="s">
        <v>44769</v>
      </c>
    </row>
    <row r="9030" spans="1:24">
      <c r="A9030">
        <f>HYPERLINK("https://www.philgeps.gov.ph/GEPSNONPILOT/Tender/SplashBidNoticeAbstractUI.aspx?menuIndex=3&amp;refID=7141900&amp;Result=3","7141900")</f>
        <v>0</v>
      </c>
      <c r="B9030" t="s">
        <v>2880</v>
      </c>
      <c r="C9030" t="s">
        <v>12313</v>
      </c>
      <c r="D9030" t="s">
        <v>17966</v>
      </c>
      <c r="E9030" t="s">
        <v>25895</v>
      </c>
      <c r="F9030" t="s">
        <v>30900</v>
      </c>
      <c r="G9030" t="s">
        <v>30907</v>
      </c>
      <c r="H9030" t="s">
        <v>30916</v>
      </c>
      <c r="I9030" t="s">
        <v>6746</v>
      </c>
      <c r="J9030" t="s">
        <v>36712</v>
      </c>
      <c r="K9030" t="s">
        <v>40286</v>
      </c>
      <c r="M9030" t="s">
        <v>43672</v>
      </c>
      <c r="N9030" t="s">
        <v>44759</v>
      </c>
      <c r="O9030" t="s">
        <v>44760</v>
      </c>
      <c r="P9030">
        <v>0</v>
      </c>
      <c r="Q9030">
        <v>0</v>
      </c>
      <c r="R9030" t="s">
        <v>44768</v>
      </c>
      <c r="S9030" t="s">
        <v>44982</v>
      </c>
      <c r="T9030" t="s">
        <v>46495</v>
      </c>
      <c r="U9030" t="s">
        <v>54436</v>
      </c>
      <c r="V9030" t="s">
        <v>60099</v>
      </c>
      <c r="W9030" t="s">
        <v>43672</v>
      </c>
      <c r="X9030" t="s">
        <v>44769</v>
      </c>
    </row>
    <row r="9031" spans="1:24">
      <c r="A9031">
        <f>HYPERLINK("https://www.philgeps.gov.ph/GEPSNONPILOT/Tender/SplashBidNoticeAbstractUI.aspx?menuIndex=3&amp;refID=7141828&amp;Result=3","7141828")</f>
        <v>0</v>
      </c>
      <c r="B9031" t="s">
        <v>2823</v>
      </c>
      <c r="C9031" t="s">
        <v>12314</v>
      </c>
      <c r="D9031" t="s">
        <v>18006</v>
      </c>
      <c r="E9031" t="s">
        <v>25896</v>
      </c>
      <c r="F9031" t="s">
        <v>30900</v>
      </c>
      <c r="G9031" t="s">
        <v>30907</v>
      </c>
      <c r="H9031" t="s">
        <v>30915</v>
      </c>
      <c r="I9031" t="s">
        <v>30932</v>
      </c>
      <c r="J9031" t="s">
        <v>31243</v>
      </c>
      <c r="K9031" t="s">
        <v>40289</v>
      </c>
      <c r="M9031" t="s">
        <v>43608</v>
      </c>
      <c r="N9031" t="s">
        <v>44759</v>
      </c>
      <c r="O9031" t="s">
        <v>44760</v>
      </c>
      <c r="P9031">
        <v>0</v>
      </c>
      <c r="Q9031">
        <v>1</v>
      </c>
      <c r="R9031" t="s">
        <v>44768</v>
      </c>
      <c r="S9031" t="s">
        <v>44982</v>
      </c>
      <c r="T9031" t="s">
        <v>46472</v>
      </c>
      <c r="U9031" t="s">
        <v>54214</v>
      </c>
      <c r="V9031" t="s">
        <v>60070</v>
      </c>
      <c r="W9031" t="s">
        <v>43608</v>
      </c>
      <c r="X9031" t="s">
        <v>44769</v>
      </c>
    </row>
    <row r="9032" spans="1:24">
      <c r="A9032">
        <f>HYPERLINK("https://www.philgeps.gov.ph/GEPSNONPILOT/Tender/SplashBidNoticeAbstractUI.aspx?menuIndex=3&amp;refID=7141803&amp;Result=3","7141803")</f>
        <v>0</v>
      </c>
      <c r="B9032" t="s">
        <v>1089</v>
      </c>
      <c r="C9032" t="s">
        <v>12315</v>
      </c>
      <c r="D9032" t="s">
        <v>17959</v>
      </c>
      <c r="E9032" t="s">
        <v>25897</v>
      </c>
      <c r="F9032" t="s">
        <v>30900</v>
      </c>
      <c r="G9032" t="s">
        <v>30908</v>
      </c>
      <c r="H9032" t="s">
        <v>30916</v>
      </c>
      <c r="I9032" t="s">
        <v>30940</v>
      </c>
      <c r="J9032" t="s">
        <v>36713</v>
      </c>
      <c r="K9032" t="s">
        <v>40291</v>
      </c>
      <c r="M9032" t="s">
        <v>41689</v>
      </c>
      <c r="N9032" t="s">
        <v>44759</v>
      </c>
      <c r="O9032" t="s">
        <v>44760</v>
      </c>
      <c r="P9032">
        <v>0</v>
      </c>
      <c r="Q9032">
        <v>5</v>
      </c>
      <c r="R9032" t="s">
        <v>44768</v>
      </c>
      <c r="S9032" t="s">
        <v>44982</v>
      </c>
      <c r="T9032" t="s">
        <v>46658</v>
      </c>
      <c r="U9032" t="s">
        <v>54437</v>
      </c>
      <c r="W9032" t="s">
        <v>41689</v>
      </c>
      <c r="X9032" t="s">
        <v>44769</v>
      </c>
    </row>
    <row r="9033" spans="1:24">
      <c r="A9033">
        <f>HYPERLINK("https://www.philgeps.gov.ph/GEPSNONPILOT/Tender/SplashBidNoticeAbstractUI.aspx?menuIndex=3&amp;refID=7141895&amp;Result=3","7141895")</f>
        <v>0</v>
      </c>
      <c r="B9033" t="s">
        <v>2609</v>
      </c>
      <c r="C9033" t="s">
        <v>12316</v>
      </c>
      <c r="D9033" t="s">
        <v>17993</v>
      </c>
      <c r="E9033" t="s">
        <v>23046</v>
      </c>
      <c r="F9033" t="s">
        <v>30900</v>
      </c>
      <c r="G9033" t="s">
        <v>30907</v>
      </c>
      <c r="H9033" t="s">
        <v>30915</v>
      </c>
      <c r="I9033" t="s">
        <v>30919</v>
      </c>
      <c r="J9033" t="s">
        <v>36714</v>
      </c>
      <c r="K9033" t="s">
        <v>40286</v>
      </c>
      <c r="M9033" t="s">
        <v>43372</v>
      </c>
      <c r="N9033" t="s">
        <v>44759</v>
      </c>
      <c r="O9033" t="s">
        <v>44760</v>
      </c>
      <c r="P9033">
        <v>0</v>
      </c>
      <c r="Q9033">
        <v>0</v>
      </c>
      <c r="R9033" t="s">
        <v>44768</v>
      </c>
      <c r="S9033" t="s">
        <v>44982</v>
      </c>
      <c r="T9033" t="s">
        <v>46591</v>
      </c>
      <c r="U9033" t="s">
        <v>54438</v>
      </c>
      <c r="W9033" t="s">
        <v>43372</v>
      </c>
      <c r="X9033" t="s">
        <v>44769</v>
      </c>
    </row>
    <row r="9034" spans="1:24">
      <c r="A9034">
        <f>HYPERLINK("https://www.philgeps.gov.ph/GEPSNONPILOT/Tender/SplashBidNoticeAbstractUI.aspx?menuIndex=3&amp;refID=7141893&amp;Result=3","7141893")</f>
        <v>0</v>
      </c>
      <c r="B9034" t="s">
        <v>2881</v>
      </c>
      <c r="C9034" t="s">
        <v>12317</v>
      </c>
      <c r="D9034" t="s">
        <v>18031</v>
      </c>
      <c r="E9034" t="s">
        <v>25898</v>
      </c>
      <c r="F9034" t="s">
        <v>30900</v>
      </c>
      <c r="G9034" t="s">
        <v>30907</v>
      </c>
      <c r="H9034" t="s">
        <v>30915</v>
      </c>
      <c r="I9034" t="s">
        <v>30919</v>
      </c>
      <c r="J9034" t="s">
        <v>34097</v>
      </c>
      <c r="K9034" t="s">
        <v>40431</v>
      </c>
      <c r="M9034" t="s">
        <v>43673</v>
      </c>
      <c r="N9034" t="s">
        <v>44759</v>
      </c>
      <c r="O9034" t="s">
        <v>44760</v>
      </c>
      <c r="P9034">
        <v>0</v>
      </c>
      <c r="Q9034">
        <v>1</v>
      </c>
      <c r="R9034" t="s">
        <v>44768</v>
      </c>
      <c r="S9034" t="s">
        <v>44982</v>
      </c>
      <c r="T9034" t="s">
        <v>46606</v>
      </c>
      <c r="U9034" t="s">
        <v>54439</v>
      </c>
      <c r="W9034" t="s">
        <v>43673</v>
      </c>
      <c r="X9034" t="s">
        <v>44769</v>
      </c>
    </row>
    <row r="9035" spans="1:24">
      <c r="A9035">
        <f>HYPERLINK("https://www.philgeps.gov.ph/GEPSNONPILOT/Tender/SplashBidNoticeAbstractUI.aspx?menuIndex=3&amp;refID=7141838&amp;Result=3","7141838")</f>
        <v>0</v>
      </c>
      <c r="B9035" t="s">
        <v>2823</v>
      </c>
      <c r="C9035" t="s">
        <v>12318</v>
      </c>
      <c r="D9035" t="s">
        <v>18006</v>
      </c>
      <c r="E9035" t="s">
        <v>25899</v>
      </c>
      <c r="F9035" t="s">
        <v>30900</v>
      </c>
      <c r="G9035" t="s">
        <v>30907</v>
      </c>
      <c r="H9035" t="s">
        <v>30915</v>
      </c>
      <c r="I9035" t="s">
        <v>30919</v>
      </c>
      <c r="J9035" t="s">
        <v>33323</v>
      </c>
      <c r="K9035" t="s">
        <v>40289</v>
      </c>
      <c r="M9035" t="s">
        <v>43608</v>
      </c>
      <c r="N9035" t="s">
        <v>44759</v>
      </c>
      <c r="O9035" t="s">
        <v>44760</v>
      </c>
      <c r="P9035">
        <v>0</v>
      </c>
      <c r="Q9035">
        <v>0</v>
      </c>
      <c r="R9035" t="s">
        <v>44768</v>
      </c>
      <c r="S9035" t="s">
        <v>44982</v>
      </c>
      <c r="T9035" t="s">
        <v>46472</v>
      </c>
      <c r="U9035" t="s">
        <v>54440</v>
      </c>
      <c r="V9035" t="s">
        <v>60070</v>
      </c>
      <c r="W9035" t="s">
        <v>43608</v>
      </c>
      <c r="X9035" t="s">
        <v>44769</v>
      </c>
    </row>
    <row r="9036" spans="1:24">
      <c r="A9036">
        <f>HYPERLINK("https://www.philgeps.gov.ph/GEPSNONPILOT/Tender/SplashBidNoticeAbstractUI.aspx?menuIndex=3&amp;refID=7141892&amp;Result=3","7141892")</f>
        <v>0</v>
      </c>
      <c r="B9036" t="s">
        <v>2882</v>
      </c>
      <c r="C9036" t="s">
        <v>12319</v>
      </c>
      <c r="D9036" t="s">
        <v>17952</v>
      </c>
      <c r="E9036" t="s">
        <v>12319</v>
      </c>
      <c r="F9036" t="s">
        <v>30900</v>
      </c>
      <c r="G9036" t="s">
        <v>30907</v>
      </c>
      <c r="H9036" t="s">
        <v>30916</v>
      </c>
      <c r="I9036" t="s">
        <v>5501</v>
      </c>
      <c r="J9036" t="s">
        <v>31049</v>
      </c>
      <c r="K9036" t="s">
        <v>40287</v>
      </c>
      <c r="M9036" t="s">
        <v>43674</v>
      </c>
      <c r="N9036" t="s">
        <v>44759</v>
      </c>
      <c r="O9036" t="s">
        <v>44760</v>
      </c>
      <c r="P9036">
        <v>0</v>
      </c>
      <c r="Q9036">
        <v>5</v>
      </c>
      <c r="R9036" t="s">
        <v>44768</v>
      </c>
      <c r="S9036" t="s">
        <v>44982</v>
      </c>
      <c r="T9036" t="s">
        <v>46699</v>
      </c>
      <c r="U9036" t="s">
        <v>54441</v>
      </c>
      <c r="W9036" t="s">
        <v>43674</v>
      </c>
      <c r="X9036" t="s">
        <v>44769</v>
      </c>
    </row>
    <row r="9037" spans="1:24">
      <c r="A9037">
        <f>HYPERLINK("https://www.philgeps.gov.ph/GEPSNONPILOT/Tender/SplashBidNoticeAbstractUI.aspx?menuIndex=3&amp;refID=7141896&amp;Result=3","7141896")</f>
        <v>0</v>
      </c>
      <c r="B9037" t="s">
        <v>2823</v>
      </c>
      <c r="C9037" t="s">
        <v>12320</v>
      </c>
      <c r="D9037" t="s">
        <v>18006</v>
      </c>
      <c r="E9037" t="s">
        <v>25900</v>
      </c>
      <c r="F9037" t="s">
        <v>30900</v>
      </c>
      <c r="G9037" t="s">
        <v>30907</v>
      </c>
      <c r="H9037" t="s">
        <v>30915</v>
      </c>
      <c r="I9037" t="s">
        <v>30919</v>
      </c>
      <c r="J9037" t="s">
        <v>33323</v>
      </c>
      <c r="K9037" t="s">
        <v>40289</v>
      </c>
      <c r="M9037" t="s">
        <v>43608</v>
      </c>
      <c r="N9037" t="s">
        <v>44759</v>
      </c>
      <c r="O9037" t="s">
        <v>44760</v>
      </c>
      <c r="P9037">
        <v>0</v>
      </c>
      <c r="Q9037">
        <v>0</v>
      </c>
      <c r="R9037" t="s">
        <v>44768</v>
      </c>
      <c r="S9037" t="s">
        <v>44982</v>
      </c>
      <c r="T9037" t="s">
        <v>46472</v>
      </c>
      <c r="U9037" t="s">
        <v>54442</v>
      </c>
      <c r="V9037" t="s">
        <v>60070</v>
      </c>
      <c r="W9037" t="s">
        <v>43608</v>
      </c>
      <c r="X9037" t="s">
        <v>44769</v>
      </c>
    </row>
    <row r="9038" spans="1:24">
      <c r="A9038">
        <f>HYPERLINK("https://www.philgeps.gov.ph/GEPSNONPILOT/Tender/SplashBidNoticeAbstractUI.aspx?menuIndex=3&amp;refID=7141668&amp;Result=3","7141668")</f>
        <v>0</v>
      </c>
      <c r="B9038" t="s">
        <v>2478</v>
      </c>
      <c r="C9038" t="s">
        <v>12321</v>
      </c>
      <c r="D9038" t="s">
        <v>17958</v>
      </c>
      <c r="E9038" t="s">
        <v>25901</v>
      </c>
      <c r="F9038" t="s">
        <v>30900</v>
      </c>
      <c r="G9038" t="s">
        <v>30907</v>
      </c>
      <c r="H9038" t="s">
        <v>30915</v>
      </c>
      <c r="I9038" t="s">
        <v>30919</v>
      </c>
      <c r="J9038" t="s">
        <v>36367</v>
      </c>
      <c r="K9038" t="s">
        <v>40293</v>
      </c>
      <c r="M9038" t="s">
        <v>43217</v>
      </c>
      <c r="N9038" t="s">
        <v>44759</v>
      </c>
      <c r="O9038" t="s">
        <v>44760</v>
      </c>
      <c r="P9038">
        <v>0</v>
      </c>
      <c r="Q9038">
        <v>0</v>
      </c>
      <c r="R9038" t="s">
        <v>44768</v>
      </c>
      <c r="S9038" t="s">
        <v>44982</v>
      </c>
      <c r="T9038" t="s">
        <v>46606</v>
      </c>
      <c r="U9038" t="s">
        <v>54443</v>
      </c>
      <c r="W9038" t="s">
        <v>43217</v>
      </c>
      <c r="X9038" t="s">
        <v>44769</v>
      </c>
    </row>
    <row r="9039" spans="1:24">
      <c r="A9039">
        <f>HYPERLINK("https://www.philgeps.gov.ph/GEPSNONPILOT/Tender/SplashBidNoticeAbstractUI.aspx?menuIndex=3&amp;refID=7141878&amp;Result=3","7141878")</f>
        <v>0</v>
      </c>
      <c r="B9039" t="s">
        <v>379</v>
      </c>
      <c r="C9039" t="s">
        <v>12322</v>
      </c>
      <c r="D9039" t="s">
        <v>18015</v>
      </c>
      <c r="E9039" t="s">
        <v>25392</v>
      </c>
      <c r="F9039" t="s">
        <v>30900</v>
      </c>
      <c r="G9039" t="s">
        <v>30907</v>
      </c>
      <c r="H9039" t="s">
        <v>30915</v>
      </c>
      <c r="I9039" t="s">
        <v>30919</v>
      </c>
      <c r="J9039" t="s">
        <v>31701</v>
      </c>
      <c r="K9039" t="s">
        <v>40415</v>
      </c>
      <c r="M9039" t="s">
        <v>40933</v>
      </c>
      <c r="N9039" t="s">
        <v>44759</v>
      </c>
      <c r="O9039" t="s">
        <v>44760</v>
      </c>
      <c r="P9039">
        <v>0</v>
      </c>
      <c r="Q9039">
        <v>0</v>
      </c>
      <c r="R9039" t="s">
        <v>44768</v>
      </c>
      <c r="S9039" t="s">
        <v>44982</v>
      </c>
      <c r="T9039" t="s">
        <v>46455</v>
      </c>
      <c r="U9039" t="s">
        <v>54444</v>
      </c>
      <c r="W9039" t="s">
        <v>40933</v>
      </c>
      <c r="X9039" t="s">
        <v>44769</v>
      </c>
    </row>
    <row r="9040" spans="1:24">
      <c r="A9040">
        <f>HYPERLINK("https://www.philgeps.gov.ph/GEPSNONPILOT/Tender/SplashBidNoticeAbstractUI.aspx?menuIndex=3&amp;refID=7141875&amp;Result=3","7141875")</f>
        <v>0</v>
      </c>
      <c r="B9040" t="s">
        <v>2883</v>
      </c>
      <c r="C9040" t="s">
        <v>12323</v>
      </c>
      <c r="D9040" t="s">
        <v>17990</v>
      </c>
      <c r="E9040" t="s">
        <v>25902</v>
      </c>
      <c r="F9040" t="s">
        <v>30899</v>
      </c>
      <c r="G9040" t="s">
        <v>30907</v>
      </c>
      <c r="H9040" t="s">
        <v>30916</v>
      </c>
      <c r="I9040" t="s">
        <v>8123</v>
      </c>
      <c r="J9040" t="s">
        <v>35622</v>
      </c>
      <c r="K9040" t="s">
        <v>40287</v>
      </c>
      <c r="M9040" t="s">
        <v>43675</v>
      </c>
      <c r="N9040" t="s">
        <v>44759</v>
      </c>
      <c r="O9040" t="s">
        <v>44760</v>
      </c>
      <c r="P9040">
        <v>0</v>
      </c>
      <c r="Q9040">
        <v>0</v>
      </c>
      <c r="R9040" t="s">
        <v>44768</v>
      </c>
      <c r="S9040" t="s">
        <v>44982</v>
      </c>
      <c r="T9040" t="s">
        <v>46426</v>
      </c>
      <c r="U9040" t="s">
        <v>54445</v>
      </c>
      <c r="W9040" t="s">
        <v>43675</v>
      </c>
      <c r="X9040" t="s">
        <v>44769</v>
      </c>
    </row>
    <row r="9041" spans="1:24">
      <c r="A9041">
        <f>HYPERLINK("https://www.philgeps.gov.ph/GEPSNONPILOT/Tender/SplashBidNoticeAbstractUI.aspx?menuIndex=3&amp;refID=7141880&amp;Result=3","7141880")</f>
        <v>0</v>
      </c>
      <c r="B9041" t="s">
        <v>2884</v>
      </c>
      <c r="C9041" t="s">
        <v>12324</v>
      </c>
      <c r="D9041" t="s">
        <v>17971</v>
      </c>
      <c r="E9041" t="s">
        <v>25903</v>
      </c>
      <c r="F9041" t="s">
        <v>30900</v>
      </c>
      <c r="G9041" t="s">
        <v>30907</v>
      </c>
      <c r="H9041" t="s">
        <v>30915</v>
      </c>
      <c r="I9041" t="s">
        <v>30919</v>
      </c>
      <c r="J9041" t="s">
        <v>36715</v>
      </c>
      <c r="K9041" t="s">
        <v>40287</v>
      </c>
      <c r="M9041" t="s">
        <v>43676</v>
      </c>
      <c r="N9041" t="s">
        <v>44759</v>
      </c>
      <c r="O9041" t="s">
        <v>44760</v>
      </c>
      <c r="P9041">
        <v>0</v>
      </c>
      <c r="Q9041">
        <v>0</v>
      </c>
      <c r="R9041" t="s">
        <v>44768</v>
      </c>
      <c r="S9041" t="s">
        <v>44982</v>
      </c>
      <c r="T9041" t="s">
        <v>46374</v>
      </c>
      <c r="U9041" t="s">
        <v>54446</v>
      </c>
      <c r="V9041" t="s">
        <v>60100</v>
      </c>
      <c r="W9041" t="s">
        <v>43676</v>
      </c>
      <c r="X9041" t="s">
        <v>44769</v>
      </c>
    </row>
    <row r="9042" spans="1:24">
      <c r="A9042">
        <f>HYPERLINK("https://www.philgeps.gov.ph/GEPSNONPILOT/Tender/SplashBidNoticeAbstractUI.aspx?menuIndex=3&amp;refID=7141872&amp;Result=3","7141872")</f>
        <v>0</v>
      </c>
      <c r="B9042" t="s">
        <v>2823</v>
      </c>
      <c r="C9042" t="s">
        <v>12325</v>
      </c>
      <c r="D9042" t="s">
        <v>18006</v>
      </c>
      <c r="E9042" t="s">
        <v>25904</v>
      </c>
      <c r="F9042" t="s">
        <v>30900</v>
      </c>
      <c r="G9042" t="s">
        <v>30907</v>
      </c>
      <c r="H9042" t="s">
        <v>30915</v>
      </c>
      <c r="I9042" t="s">
        <v>30919</v>
      </c>
      <c r="J9042" t="s">
        <v>31577</v>
      </c>
      <c r="K9042" t="s">
        <v>40289</v>
      </c>
      <c r="M9042" t="s">
        <v>43608</v>
      </c>
      <c r="N9042" t="s">
        <v>44759</v>
      </c>
      <c r="O9042" t="s">
        <v>44760</v>
      </c>
      <c r="P9042">
        <v>0</v>
      </c>
      <c r="Q9042">
        <v>0</v>
      </c>
      <c r="R9042" t="s">
        <v>44768</v>
      </c>
      <c r="S9042" t="s">
        <v>44982</v>
      </c>
      <c r="T9042" t="s">
        <v>46472</v>
      </c>
      <c r="U9042" t="s">
        <v>54447</v>
      </c>
      <c r="V9042" t="s">
        <v>60070</v>
      </c>
      <c r="W9042" t="s">
        <v>43608</v>
      </c>
      <c r="X9042" t="s">
        <v>44769</v>
      </c>
    </row>
    <row r="9043" spans="1:24">
      <c r="A9043">
        <f>HYPERLINK("https://www.philgeps.gov.ph/GEPSNONPILOT/Tender/SplashBidNoticeAbstractUI.aspx?menuIndex=3&amp;refID=7141858&amp;Result=3","7141858")</f>
        <v>0</v>
      </c>
      <c r="B9043" t="s">
        <v>2885</v>
      </c>
      <c r="C9043" t="s">
        <v>12326</v>
      </c>
      <c r="D9043" t="s">
        <v>17976</v>
      </c>
      <c r="E9043" t="s">
        <v>25905</v>
      </c>
      <c r="F9043" t="s">
        <v>30900</v>
      </c>
      <c r="G9043" t="s">
        <v>30907</v>
      </c>
      <c r="H9043" t="s">
        <v>30916</v>
      </c>
      <c r="I9043" t="s">
        <v>8365</v>
      </c>
      <c r="J9043" t="s">
        <v>36716</v>
      </c>
      <c r="K9043" t="s">
        <v>40289</v>
      </c>
      <c r="M9043" t="s">
        <v>43677</v>
      </c>
      <c r="N9043" t="s">
        <v>44759</v>
      </c>
      <c r="O9043" t="s">
        <v>44760</v>
      </c>
      <c r="P9043">
        <v>0</v>
      </c>
      <c r="Q9043">
        <v>1</v>
      </c>
      <c r="R9043" t="s">
        <v>44768</v>
      </c>
      <c r="S9043" t="s">
        <v>44982</v>
      </c>
      <c r="T9043" t="s">
        <v>46374</v>
      </c>
      <c r="U9043" t="s">
        <v>54448</v>
      </c>
      <c r="W9043" t="s">
        <v>43677</v>
      </c>
      <c r="X9043" t="s">
        <v>44769</v>
      </c>
    </row>
    <row r="9044" spans="1:24">
      <c r="A9044">
        <f>HYPERLINK("https://www.philgeps.gov.ph/GEPSNONPILOT/Tender/SplashBidNoticeAbstractUI.aspx?menuIndex=3&amp;refID=7141861&amp;Result=3","7141861")</f>
        <v>0</v>
      </c>
      <c r="B9044" t="s">
        <v>2612</v>
      </c>
      <c r="C9044" t="s">
        <v>12327</v>
      </c>
      <c r="D9044" t="s">
        <v>18018</v>
      </c>
      <c r="E9044" t="s">
        <v>25906</v>
      </c>
      <c r="F9044" t="s">
        <v>30900</v>
      </c>
      <c r="G9044" t="s">
        <v>30913</v>
      </c>
      <c r="H9044" t="s">
        <v>30915</v>
      </c>
      <c r="I9044" t="s">
        <v>30919</v>
      </c>
      <c r="J9044" t="s">
        <v>36717</v>
      </c>
      <c r="K9044" t="s">
        <v>40301</v>
      </c>
      <c r="M9044" t="s">
        <v>43376</v>
      </c>
      <c r="N9044" t="s">
        <v>44759</v>
      </c>
      <c r="O9044" t="s">
        <v>44760</v>
      </c>
      <c r="P9044">
        <v>0</v>
      </c>
      <c r="Q9044">
        <v>0</v>
      </c>
      <c r="R9044" t="s">
        <v>44768</v>
      </c>
      <c r="S9044" t="s">
        <v>44982</v>
      </c>
      <c r="T9044" t="s">
        <v>46495</v>
      </c>
      <c r="U9044" t="s">
        <v>53490</v>
      </c>
      <c r="V9044" t="s">
        <v>60101</v>
      </c>
      <c r="W9044" t="s">
        <v>60897</v>
      </c>
      <c r="X9044" t="s">
        <v>44769</v>
      </c>
    </row>
    <row r="9045" spans="1:24">
      <c r="A9045">
        <f>HYPERLINK("https://www.philgeps.gov.ph/GEPSNONPILOT/Tender/SplashBidNoticeAbstractUI.aspx?menuIndex=3&amp;refID=7141848&amp;Result=3","7141848")</f>
        <v>0</v>
      </c>
      <c r="B9045" t="s">
        <v>2886</v>
      </c>
      <c r="C9045" t="s">
        <v>12328</v>
      </c>
      <c r="D9045" t="s">
        <v>18033</v>
      </c>
      <c r="E9045" t="s">
        <v>20674</v>
      </c>
      <c r="F9045" t="s">
        <v>30900</v>
      </c>
      <c r="G9045" t="s">
        <v>30907</v>
      </c>
      <c r="H9045" t="s">
        <v>30916</v>
      </c>
      <c r="I9045" t="s">
        <v>8123</v>
      </c>
      <c r="J9045" t="s">
        <v>36718</v>
      </c>
      <c r="K9045" t="s">
        <v>40284</v>
      </c>
      <c r="M9045" t="s">
        <v>43678</v>
      </c>
      <c r="N9045" t="s">
        <v>44759</v>
      </c>
      <c r="O9045" t="s">
        <v>44760</v>
      </c>
      <c r="P9045">
        <v>0</v>
      </c>
      <c r="Q9045">
        <v>0</v>
      </c>
      <c r="R9045" t="s">
        <v>44768</v>
      </c>
      <c r="S9045" t="s">
        <v>44982</v>
      </c>
      <c r="T9045" t="s">
        <v>46353</v>
      </c>
      <c r="U9045" t="s">
        <v>54449</v>
      </c>
      <c r="W9045" t="s">
        <v>43678</v>
      </c>
      <c r="X9045" t="s">
        <v>44769</v>
      </c>
    </row>
    <row r="9046" spans="1:24">
      <c r="A9046">
        <f>HYPERLINK("https://www.philgeps.gov.ph/GEPSNONPILOT/Tender/SplashBidNoticeAbstractUI.aspx?menuIndex=3&amp;refID=7141842&amp;Result=3","7141842")</f>
        <v>0</v>
      </c>
      <c r="B9046" t="s">
        <v>1871</v>
      </c>
      <c r="C9046" t="s">
        <v>12329</v>
      </c>
      <c r="D9046" t="s">
        <v>18016</v>
      </c>
      <c r="E9046" t="s">
        <v>25907</v>
      </c>
      <c r="F9046" t="s">
        <v>30900</v>
      </c>
      <c r="G9046" t="s">
        <v>30908</v>
      </c>
      <c r="H9046" t="s">
        <v>30916</v>
      </c>
      <c r="I9046" t="s">
        <v>10602</v>
      </c>
      <c r="J9046" t="s">
        <v>36719</v>
      </c>
      <c r="K9046" t="s">
        <v>40288</v>
      </c>
      <c r="M9046" t="s">
        <v>42545</v>
      </c>
      <c r="N9046" t="s">
        <v>44759</v>
      </c>
      <c r="O9046" t="s">
        <v>44760</v>
      </c>
      <c r="P9046">
        <v>0</v>
      </c>
      <c r="Q9046">
        <v>0</v>
      </c>
      <c r="R9046" t="s">
        <v>44768</v>
      </c>
      <c r="S9046" t="s">
        <v>44982</v>
      </c>
      <c r="T9046" t="s">
        <v>46390</v>
      </c>
      <c r="U9046" t="s">
        <v>54450</v>
      </c>
      <c r="V9046" t="s">
        <v>60102</v>
      </c>
      <c r="W9046" t="s">
        <v>42545</v>
      </c>
      <c r="X9046" t="s">
        <v>44769</v>
      </c>
    </row>
    <row r="9047" spans="1:24">
      <c r="A9047">
        <f>HYPERLINK("https://www.philgeps.gov.ph/GEPSNONPILOT/Tender/SplashBidNoticeAbstractUI.aspx?menuIndex=3&amp;refID=7141837&amp;Result=3","7141837")</f>
        <v>0</v>
      </c>
      <c r="B9047" t="s">
        <v>2887</v>
      </c>
      <c r="C9047" t="s">
        <v>12330</v>
      </c>
      <c r="D9047" t="s">
        <v>17971</v>
      </c>
      <c r="E9047" t="s">
        <v>25908</v>
      </c>
      <c r="F9047" t="s">
        <v>30900</v>
      </c>
      <c r="G9047" t="s">
        <v>30907</v>
      </c>
      <c r="H9047" t="s">
        <v>30916</v>
      </c>
      <c r="I9047" t="s">
        <v>30951</v>
      </c>
      <c r="J9047" t="s">
        <v>36720</v>
      </c>
      <c r="K9047" t="s">
        <v>40286</v>
      </c>
      <c r="M9047" t="s">
        <v>43679</v>
      </c>
      <c r="N9047" t="s">
        <v>44759</v>
      </c>
      <c r="O9047" t="s">
        <v>44760</v>
      </c>
      <c r="P9047">
        <v>0</v>
      </c>
      <c r="Q9047">
        <v>6</v>
      </c>
      <c r="R9047" t="s">
        <v>44768</v>
      </c>
      <c r="S9047" t="s">
        <v>44982</v>
      </c>
      <c r="T9047" t="s">
        <v>46374</v>
      </c>
      <c r="U9047" t="s">
        <v>54451</v>
      </c>
      <c r="W9047" t="s">
        <v>43679</v>
      </c>
      <c r="X9047" t="s">
        <v>44769</v>
      </c>
    </row>
    <row r="9048" spans="1:24">
      <c r="A9048">
        <f>HYPERLINK("https://www.philgeps.gov.ph/GEPSNONPILOT/Tender/SplashBidNoticeAbstractUI.aspx?menuIndex=3&amp;refID=7141870&amp;Result=3","7141870")</f>
        <v>0</v>
      </c>
      <c r="B9048" t="s">
        <v>1773</v>
      </c>
      <c r="C9048" t="s">
        <v>12331</v>
      </c>
      <c r="D9048" t="s">
        <v>17953</v>
      </c>
      <c r="E9048" t="s">
        <v>18852</v>
      </c>
      <c r="F9048" t="s">
        <v>30900</v>
      </c>
      <c r="G9048" t="s">
        <v>30907</v>
      </c>
      <c r="H9048" t="s">
        <v>30916</v>
      </c>
      <c r="I9048" t="s">
        <v>6396</v>
      </c>
      <c r="J9048" t="s">
        <v>31257</v>
      </c>
      <c r="K9048" t="s">
        <v>40289</v>
      </c>
      <c r="M9048" t="s">
        <v>42446</v>
      </c>
      <c r="N9048" t="s">
        <v>44759</v>
      </c>
      <c r="O9048" t="s">
        <v>44760</v>
      </c>
      <c r="P9048">
        <v>0</v>
      </c>
      <c r="Q9048">
        <v>1</v>
      </c>
      <c r="R9048" t="s">
        <v>44768</v>
      </c>
      <c r="S9048" t="s">
        <v>44982</v>
      </c>
      <c r="T9048" t="s">
        <v>46376</v>
      </c>
      <c r="U9048" t="s">
        <v>54452</v>
      </c>
      <c r="W9048" t="s">
        <v>42446</v>
      </c>
      <c r="X9048" t="s">
        <v>44769</v>
      </c>
    </row>
    <row r="9049" spans="1:24">
      <c r="A9049">
        <f>HYPERLINK("https://www.philgeps.gov.ph/GEPSNONPILOT/Tender/SplashBidNoticeAbstractUI.aspx?menuIndex=3&amp;refID=7141889&amp;Result=3","7141889")</f>
        <v>0</v>
      </c>
      <c r="B9049" t="s">
        <v>2562</v>
      </c>
      <c r="C9049" t="s">
        <v>12332</v>
      </c>
      <c r="D9049" t="s">
        <v>18005</v>
      </c>
      <c r="E9049" t="s">
        <v>25909</v>
      </c>
      <c r="F9049" t="s">
        <v>30900</v>
      </c>
      <c r="G9049" t="s">
        <v>30907</v>
      </c>
      <c r="H9049" t="s">
        <v>7411</v>
      </c>
      <c r="I9049" t="s">
        <v>7411</v>
      </c>
      <c r="J9049" t="s">
        <v>36721</v>
      </c>
      <c r="K9049" t="s">
        <v>40280</v>
      </c>
      <c r="M9049" t="s">
        <v>43320</v>
      </c>
      <c r="N9049" t="s">
        <v>44759</v>
      </c>
      <c r="O9049" t="s">
        <v>44760</v>
      </c>
      <c r="P9049">
        <v>0</v>
      </c>
      <c r="Q9049">
        <v>5</v>
      </c>
      <c r="R9049" t="s">
        <v>44768</v>
      </c>
      <c r="S9049" t="s">
        <v>44982</v>
      </c>
      <c r="T9049" t="s">
        <v>46625</v>
      </c>
      <c r="U9049" t="s">
        <v>54453</v>
      </c>
      <c r="W9049" t="s">
        <v>60894</v>
      </c>
      <c r="X9049" t="s">
        <v>44769</v>
      </c>
    </row>
    <row r="9050" spans="1:24">
      <c r="A9050">
        <f>HYPERLINK("https://www.philgeps.gov.ph/GEPSNONPILOT/Tender/SplashBidNoticeAbstractUI.aspx?menuIndex=3&amp;refID=7141902&amp;Result=3","7141902")</f>
        <v>0</v>
      </c>
      <c r="B9050" t="s">
        <v>2823</v>
      </c>
      <c r="C9050" t="s">
        <v>12333</v>
      </c>
      <c r="D9050" t="s">
        <v>18006</v>
      </c>
      <c r="E9050" t="s">
        <v>25910</v>
      </c>
      <c r="F9050" t="s">
        <v>30900</v>
      </c>
      <c r="G9050" t="s">
        <v>30907</v>
      </c>
      <c r="H9050" t="s">
        <v>30915</v>
      </c>
      <c r="I9050" t="s">
        <v>30919</v>
      </c>
      <c r="J9050" t="s">
        <v>31243</v>
      </c>
      <c r="K9050" t="s">
        <v>40289</v>
      </c>
      <c r="M9050" t="s">
        <v>43608</v>
      </c>
      <c r="N9050" t="s">
        <v>44759</v>
      </c>
      <c r="O9050" t="s">
        <v>44760</v>
      </c>
      <c r="P9050">
        <v>0</v>
      </c>
      <c r="Q9050">
        <v>0</v>
      </c>
      <c r="R9050" t="s">
        <v>44768</v>
      </c>
      <c r="S9050" t="s">
        <v>44982</v>
      </c>
      <c r="T9050" t="s">
        <v>46472</v>
      </c>
      <c r="U9050" t="s">
        <v>54454</v>
      </c>
      <c r="V9050" t="s">
        <v>60070</v>
      </c>
      <c r="W9050" t="s">
        <v>43608</v>
      </c>
      <c r="X9050" t="s">
        <v>44769</v>
      </c>
    </row>
    <row r="9051" spans="1:24">
      <c r="A9051">
        <f>HYPERLINK("https://www.philgeps.gov.ph/GEPSNONPILOT/Tender/SplashBidNoticeAbstractUI.aspx?menuIndex=3&amp;refID=7141794&amp;Result=3","7141794")</f>
        <v>0</v>
      </c>
      <c r="B9051" t="s">
        <v>918</v>
      </c>
      <c r="C9051" t="s">
        <v>12334</v>
      </c>
      <c r="D9051" t="s">
        <v>17959</v>
      </c>
      <c r="E9051" t="s">
        <v>25911</v>
      </c>
      <c r="F9051" t="s">
        <v>30900</v>
      </c>
      <c r="G9051" t="s">
        <v>30907</v>
      </c>
      <c r="H9051" t="s">
        <v>30915</v>
      </c>
      <c r="I9051" t="s">
        <v>30919</v>
      </c>
      <c r="J9051" t="s">
        <v>36722</v>
      </c>
      <c r="K9051" t="s">
        <v>40293</v>
      </c>
      <c r="M9051" t="s">
        <v>43671</v>
      </c>
      <c r="N9051" t="s">
        <v>44759</v>
      </c>
      <c r="O9051" t="s">
        <v>44760</v>
      </c>
      <c r="P9051">
        <v>0</v>
      </c>
      <c r="Q9051">
        <v>26</v>
      </c>
      <c r="R9051" t="s">
        <v>44768</v>
      </c>
      <c r="S9051" t="s">
        <v>44982</v>
      </c>
      <c r="T9051" t="s">
        <v>46606</v>
      </c>
      <c r="U9051" t="s">
        <v>54435</v>
      </c>
      <c r="W9051" t="s">
        <v>43671</v>
      </c>
      <c r="X9051" t="s">
        <v>44769</v>
      </c>
    </row>
    <row r="9052" spans="1:24">
      <c r="A9052">
        <f>HYPERLINK("https://www.philgeps.gov.ph/GEPSNONPILOT/Tender/SplashBidNoticeAbstractUI.aspx?menuIndex=3&amp;refID=7141758&amp;Result=3","7141758")</f>
        <v>0</v>
      </c>
      <c r="B9052" t="s">
        <v>2506</v>
      </c>
      <c r="C9052" t="s">
        <v>12335</v>
      </c>
      <c r="D9052" t="s">
        <v>18005</v>
      </c>
      <c r="E9052" t="s">
        <v>25912</v>
      </c>
      <c r="F9052" t="s">
        <v>30900</v>
      </c>
      <c r="G9052" t="s">
        <v>30907</v>
      </c>
      <c r="H9052" t="s">
        <v>30915</v>
      </c>
      <c r="I9052" t="s">
        <v>30919</v>
      </c>
      <c r="J9052" t="s">
        <v>36723</v>
      </c>
      <c r="K9052" t="s">
        <v>40280</v>
      </c>
      <c r="M9052" t="s">
        <v>43669</v>
      </c>
      <c r="N9052" t="s">
        <v>44759</v>
      </c>
      <c r="O9052" t="s">
        <v>44760</v>
      </c>
      <c r="P9052">
        <v>0</v>
      </c>
      <c r="Q9052">
        <v>3</v>
      </c>
      <c r="R9052" t="s">
        <v>44768</v>
      </c>
      <c r="S9052" t="s">
        <v>44982</v>
      </c>
      <c r="T9052" t="s">
        <v>46828</v>
      </c>
      <c r="U9052" t="s">
        <v>54455</v>
      </c>
      <c r="W9052" t="s">
        <v>60905</v>
      </c>
      <c r="X9052" t="s">
        <v>44769</v>
      </c>
    </row>
    <row r="9053" spans="1:24">
      <c r="A9053">
        <f>HYPERLINK("https://www.philgeps.gov.ph/GEPSNONPILOT/Tender/SplashBidNoticeAbstractUI.aspx?menuIndex=3&amp;refID=7141966&amp;Result=3","7141966")</f>
        <v>0</v>
      </c>
      <c r="B9053" t="s">
        <v>2888</v>
      </c>
      <c r="C9053" t="s">
        <v>12336</v>
      </c>
      <c r="D9053" t="s">
        <v>18021</v>
      </c>
      <c r="E9053" t="s">
        <v>22444</v>
      </c>
      <c r="F9053" t="s">
        <v>30900</v>
      </c>
      <c r="G9053" t="s">
        <v>30907</v>
      </c>
      <c r="H9053" t="s">
        <v>30916</v>
      </c>
      <c r="I9053" t="s">
        <v>8123</v>
      </c>
      <c r="J9053" t="s">
        <v>36724</v>
      </c>
      <c r="K9053" t="s">
        <v>40286</v>
      </c>
      <c r="M9053" t="s">
        <v>43680</v>
      </c>
      <c r="N9053" t="s">
        <v>44759</v>
      </c>
      <c r="O9053" t="s">
        <v>44760</v>
      </c>
      <c r="P9053">
        <v>0</v>
      </c>
      <c r="Q9053">
        <v>0</v>
      </c>
      <c r="R9053" t="s">
        <v>44768</v>
      </c>
      <c r="S9053" t="s">
        <v>44982</v>
      </c>
      <c r="T9053" t="s">
        <v>46541</v>
      </c>
      <c r="U9053" t="s">
        <v>54456</v>
      </c>
      <c r="W9053" t="s">
        <v>43680</v>
      </c>
      <c r="X9053" t="s">
        <v>44769</v>
      </c>
    </row>
    <row r="9054" spans="1:24">
      <c r="A9054">
        <f>HYPERLINK("https://www.philgeps.gov.ph/GEPSNONPILOT/Tender/SplashBidNoticeAbstractUI.aspx?menuIndex=3&amp;refID=7141965&amp;Result=3","7141965")</f>
        <v>0</v>
      </c>
      <c r="B9054" t="s">
        <v>1571</v>
      </c>
      <c r="C9054" t="s">
        <v>12337</v>
      </c>
      <c r="D9054" t="s">
        <v>17960</v>
      </c>
      <c r="E9054" t="s">
        <v>25913</v>
      </c>
      <c r="F9054" t="s">
        <v>30900</v>
      </c>
      <c r="G9054" t="s">
        <v>30907</v>
      </c>
      <c r="H9054" t="s">
        <v>30915</v>
      </c>
      <c r="I9054" t="s">
        <v>30919</v>
      </c>
      <c r="J9054" t="s">
        <v>36725</v>
      </c>
      <c r="K9054" t="s">
        <v>40361</v>
      </c>
      <c r="L9054" t="s">
        <v>1571</v>
      </c>
      <c r="M9054" t="s">
        <v>42219</v>
      </c>
      <c r="N9054" t="s">
        <v>44759</v>
      </c>
      <c r="O9054" t="s">
        <v>44760</v>
      </c>
      <c r="P9054">
        <v>0</v>
      </c>
      <c r="Q9054">
        <v>1</v>
      </c>
      <c r="R9054" t="s">
        <v>44768</v>
      </c>
      <c r="S9054" t="s">
        <v>44982</v>
      </c>
      <c r="T9054" t="s">
        <v>46606</v>
      </c>
      <c r="U9054" t="s">
        <v>54457</v>
      </c>
      <c r="W9054" t="s">
        <v>42219</v>
      </c>
      <c r="X9054" t="s">
        <v>44769</v>
      </c>
    </row>
    <row r="9055" spans="1:24">
      <c r="A9055">
        <f>HYPERLINK("https://www.philgeps.gov.ph/GEPSNONPILOT/Tender/SplashBidNoticeAbstractUI.aspx?menuIndex=3&amp;refID=7141797&amp;Result=3","7141797")</f>
        <v>0</v>
      </c>
      <c r="B9055" t="s">
        <v>1089</v>
      </c>
      <c r="C9055" t="s">
        <v>12338</v>
      </c>
      <c r="D9055" t="s">
        <v>17959</v>
      </c>
      <c r="E9055" t="s">
        <v>25914</v>
      </c>
      <c r="F9055" t="s">
        <v>30900</v>
      </c>
      <c r="G9055" t="s">
        <v>30908</v>
      </c>
      <c r="H9055" t="s">
        <v>30916</v>
      </c>
      <c r="I9055" t="s">
        <v>4017</v>
      </c>
      <c r="J9055" t="s">
        <v>32609</v>
      </c>
      <c r="K9055" t="s">
        <v>40284</v>
      </c>
      <c r="M9055" t="s">
        <v>41689</v>
      </c>
      <c r="N9055" t="s">
        <v>44759</v>
      </c>
      <c r="O9055" t="s">
        <v>44760</v>
      </c>
      <c r="P9055">
        <v>0</v>
      </c>
      <c r="Q9055">
        <v>13</v>
      </c>
      <c r="R9055" t="s">
        <v>44768</v>
      </c>
      <c r="S9055" t="s">
        <v>44982</v>
      </c>
      <c r="T9055" t="s">
        <v>46658</v>
      </c>
      <c r="U9055" t="s">
        <v>54458</v>
      </c>
      <c r="W9055" t="s">
        <v>41689</v>
      </c>
      <c r="X9055" t="s">
        <v>44769</v>
      </c>
    </row>
    <row r="9056" spans="1:24">
      <c r="A9056">
        <f>HYPERLINK("https://www.philgeps.gov.ph/GEPSNONPILOT/Tender/SplashBidNoticeAbstractUI.aspx?menuIndex=3&amp;refID=7141888&amp;Result=3","7141888")</f>
        <v>0</v>
      </c>
      <c r="B9056" t="s">
        <v>2609</v>
      </c>
      <c r="C9056" t="s">
        <v>12339</v>
      </c>
      <c r="D9056" t="s">
        <v>17993</v>
      </c>
      <c r="E9056" t="s">
        <v>25915</v>
      </c>
      <c r="F9056" t="s">
        <v>30900</v>
      </c>
      <c r="G9056" t="s">
        <v>30907</v>
      </c>
      <c r="H9056" t="s">
        <v>30915</v>
      </c>
      <c r="I9056" t="s">
        <v>30919</v>
      </c>
      <c r="J9056" t="s">
        <v>36726</v>
      </c>
      <c r="K9056" t="s">
        <v>40283</v>
      </c>
      <c r="M9056" t="s">
        <v>43372</v>
      </c>
      <c r="N9056" t="s">
        <v>44759</v>
      </c>
      <c r="O9056" t="s">
        <v>44760</v>
      </c>
      <c r="P9056">
        <v>0</v>
      </c>
      <c r="Q9056">
        <v>0</v>
      </c>
      <c r="R9056" t="s">
        <v>44768</v>
      </c>
      <c r="S9056" t="s">
        <v>44982</v>
      </c>
      <c r="T9056" t="s">
        <v>46591</v>
      </c>
      <c r="U9056" t="s">
        <v>54459</v>
      </c>
      <c r="W9056" t="s">
        <v>43372</v>
      </c>
      <c r="X9056" t="s">
        <v>44769</v>
      </c>
    </row>
    <row r="9057" spans="1:24">
      <c r="A9057">
        <f>HYPERLINK("https://www.philgeps.gov.ph/GEPSNONPILOT/Tender/SplashBidNoticeAbstractUI.aspx?menuIndex=3&amp;refID=7141960&amp;Result=3","7141960")</f>
        <v>0</v>
      </c>
      <c r="B9057" t="s">
        <v>379</v>
      </c>
      <c r="C9057" t="s">
        <v>12340</v>
      </c>
      <c r="D9057" t="s">
        <v>18015</v>
      </c>
      <c r="E9057" t="s">
        <v>25916</v>
      </c>
      <c r="F9057" t="s">
        <v>30900</v>
      </c>
      <c r="G9057" t="s">
        <v>30907</v>
      </c>
      <c r="H9057" t="s">
        <v>30915</v>
      </c>
      <c r="I9057" t="s">
        <v>30919</v>
      </c>
      <c r="J9057" t="s">
        <v>32074</v>
      </c>
      <c r="K9057" t="s">
        <v>40376</v>
      </c>
      <c r="M9057" t="s">
        <v>40933</v>
      </c>
      <c r="N9057" t="s">
        <v>44759</v>
      </c>
      <c r="O9057" t="s">
        <v>44760</v>
      </c>
      <c r="P9057">
        <v>0</v>
      </c>
      <c r="Q9057">
        <v>0</v>
      </c>
      <c r="R9057" t="s">
        <v>44768</v>
      </c>
      <c r="S9057" t="s">
        <v>44982</v>
      </c>
      <c r="T9057" t="s">
        <v>46455</v>
      </c>
      <c r="U9057" t="s">
        <v>54460</v>
      </c>
      <c r="W9057" t="s">
        <v>40933</v>
      </c>
      <c r="X9057" t="s">
        <v>44769</v>
      </c>
    </row>
    <row r="9058" spans="1:24">
      <c r="A9058">
        <f>HYPERLINK("https://www.philgeps.gov.ph/GEPSNONPILOT/Tender/SplashBidNoticeAbstractUI.aspx?menuIndex=3&amp;refID=7141958&amp;Result=3","7141958")</f>
        <v>0</v>
      </c>
      <c r="B9058" t="s">
        <v>2889</v>
      </c>
      <c r="C9058" t="s">
        <v>12341</v>
      </c>
      <c r="D9058" t="s">
        <v>17962</v>
      </c>
      <c r="E9058" t="s">
        <v>25917</v>
      </c>
      <c r="F9058" t="s">
        <v>30900</v>
      </c>
      <c r="G9058" t="s">
        <v>30907</v>
      </c>
      <c r="H9058" t="s">
        <v>30916</v>
      </c>
      <c r="I9058" t="s">
        <v>4545</v>
      </c>
      <c r="J9058" t="s">
        <v>31337</v>
      </c>
      <c r="K9058" t="s">
        <v>40283</v>
      </c>
      <c r="M9058" t="s">
        <v>43681</v>
      </c>
      <c r="N9058" t="s">
        <v>44759</v>
      </c>
      <c r="O9058" t="s">
        <v>44760</v>
      </c>
      <c r="P9058">
        <v>0</v>
      </c>
      <c r="Q9058">
        <v>6</v>
      </c>
      <c r="R9058" t="s">
        <v>44768</v>
      </c>
      <c r="S9058" t="s">
        <v>44982</v>
      </c>
      <c r="T9058" t="s">
        <v>46544</v>
      </c>
      <c r="U9058" t="s">
        <v>54461</v>
      </c>
      <c r="W9058" t="s">
        <v>43681</v>
      </c>
      <c r="X9058" t="s">
        <v>44769</v>
      </c>
    </row>
    <row r="9059" spans="1:24">
      <c r="A9059">
        <f>HYPERLINK("https://www.philgeps.gov.ph/GEPSNONPILOT/Tender/SplashBidNoticeAbstractUI.aspx?menuIndex=3&amp;refID=7141939&amp;Result=3","7141939")</f>
        <v>0</v>
      </c>
      <c r="B9059" t="s">
        <v>918</v>
      </c>
      <c r="C9059" t="s">
        <v>12342</v>
      </c>
      <c r="D9059" t="s">
        <v>17959</v>
      </c>
      <c r="E9059" t="s">
        <v>25918</v>
      </c>
      <c r="F9059" t="s">
        <v>30900</v>
      </c>
      <c r="G9059" t="s">
        <v>30907</v>
      </c>
      <c r="H9059" t="s">
        <v>30915</v>
      </c>
      <c r="I9059" t="s">
        <v>30919</v>
      </c>
      <c r="J9059" t="s">
        <v>36727</v>
      </c>
      <c r="K9059" t="s">
        <v>40342</v>
      </c>
      <c r="M9059" t="s">
        <v>43671</v>
      </c>
      <c r="N9059" t="s">
        <v>44759</v>
      </c>
      <c r="O9059" t="s">
        <v>44760</v>
      </c>
      <c r="P9059">
        <v>0</v>
      </c>
      <c r="Q9059">
        <v>25</v>
      </c>
      <c r="R9059" t="s">
        <v>44768</v>
      </c>
      <c r="S9059" t="s">
        <v>44982</v>
      </c>
      <c r="T9059" t="s">
        <v>46606</v>
      </c>
      <c r="U9059" t="s">
        <v>54462</v>
      </c>
      <c r="W9059" t="s">
        <v>43671</v>
      </c>
      <c r="X9059" t="s">
        <v>44769</v>
      </c>
    </row>
    <row r="9060" spans="1:24">
      <c r="A9060">
        <f>HYPERLINK("https://www.philgeps.gov.ph/GEPSNONPILOT/Tender/SplashBidNoticeAbstractUI.aspx?menuIndex=3&amp;refID=7141932&amp;Result=3","7141932")</f>
        <v>0</v>
      </c>
      <c r="B9060" t="s">
        <v>2823</v>
      </c>
      <c r="C9060" t="s">
        <v>12343</v>
      </c>
      <c r="D9060" t="s">
        <v>18006</v>
      </c>
      <c r="E9060" t="s">
        <v>25919</v>
      </c>
      <c r="F9060" t="s">
        <v>30900</v>
      </c>
      <c r="G9060" t="s">
        <v>30907</v>
      </c>
      <c r="H9060" t="s">
        <v>30915</v>
      </c>
      <c r="I9060" t="s">
        <v>30919</v>
      </c>
      <c r="J9060" t="s">
        <v>31152</v>
      </c>
      <c r="K9060" t="s">
        <v>40289</v>
      </c>
      <c r="M9060" t="s">
        <v>43608</v>
      </c>
      <c r="N9060" t="s">
        <v>44759</v>
      </c>
      <c r="O9060" t="s">
        <v>44760</v>
      </c>
      <c r="P9060">
        <v>0</v>
      </c>
      <c r="Q9060">
        <v>1</v>
      </c>
      <c r="R9060" t="s">
        <v>44768</v>
      </c>
      <c r="S9060" t="s">
        <v>44982</v>
      </c>
      <c r="T9060" t="s">
        <v>46472</v>
      </c>
      <c r="U9060" t="s">
        <v>54463</v>
      </c>
      <c r="V9060" t="s">
        <v>60070</v>
      </c>
      <c r="W9060" t="s">
        <v>43608</v>
      </c>
      <c r="X9060" t="s">
        <v>44769</v>
      </c>
    </row>
    <row r="9061" spans="1:24">
      <c r="A9061">
        <f>HYPERLINK("https://www.philgeps.gov.ph/GEPSNONPILOT/Tender/SplashBidNoticeAbstractUI.aspx?menuIndex=3&amp;refID=7141957&amp;Result=3","7141957")</f>
        <v>0</v>
      </c>
      <c r="B9061" t="s">
        <v>2890</v>
      </c>
      <c r="C9061" t="s">
        <v>12344</v>
      </c>
      <c r="D9061" t="s">
        <v>17971</v>
      </c>
      <c r="E9061" t="s">
        <v>25920</v>
      </c>
      <c r="F9061" t="s">
        <v>30900</v>
      </c>
      <c r="G9061" t="s">
        <v>30907</v>
      </c>
      <c r="H9061" t="s">
        <v>30915</v>
      </c>
      <c r="I9061" t="s">
        <v>30919</v>
      </c>
      <c r="J9061" t="s">
        <v>36728</v>
      </c>
      <c r="K9061" t="s">
        <v>40293</v>
      </c>
      <c r="M9061" t="s">
        <v>43682</v>
      </c>
      <c r="N9061" t="s">
        <v>44759</v>
      </c>
      <c r="O9061" t="s">
        <v>44760</v>
      </c>
      <c r="P9061">
        <v>0</v>
      </c>
      <c r="Q9061">
        <v>1</v>
      </c>
      <c r="R9061" t="s">
        <v>44768</v>
      </c>
      <c r="S9061" t="s">
        <v>44982</v>
      </c>
      <c r="T9061" t="s">
        <v>46625</v>
      </c>
      <c r="U9061" t="s">
        <v>54464</v>
      </c>
      <c r="V9061" t="s">
        <v>59200</v>
      </c>
      <c r="W9061" t="s">
        <v>43682</v>
      </c>
      <c r="X9061" t="s">
        <v>44769</v>
      </c>
    </row>
    <row r="9062" spans="1:24">
      <c r="A9062">
        <f>HYPERLINK("https://www.philgeps.gov.ph/GEPSNONPILOT/Tender/SplashBidNoticeAbstractUI.aspx?menuIndex=3&amp;refID=7141944&amp;Result=3","7141944")</f>
        <v>0</v>
      </c>
      <c r="B9062" t="s">
        <v>2823</v>
      </c>
      <c r="C9062" t="s">
        <v>12345</v>
      </c>
      <c r="D9062" t="s">
        <v>18006</v>
      </c>
      <c r="E9062" t="s">
        <v>25921</v>
      </c>
      <c r="F9062" t="s">
        <v>30900</v>
      </c>
      <c r="G9062" t="s">
        <v>30907</v>
      </c>
      <c r="H9062" t="s">
        <v>30915</v>
      </c>
      <c r="I9062" t="s">
        <v>30919</v>
      </c>
      <c r="J9062" t="s">
        <v>31241</v>
      </c>
      <c r="K9062" t="s">
        <v>40289</v>
      </c>
      <c r="M9062" t="s">
        <v>43608</v>
      </c>
      <c r="N9062" t="s">
        <v>44759</v>
      </c>
      <c r="O9062" t="s">
        <v>44760</v>
      </c>
      <c r="P9062">
        <v>0</v>
      </c>
      <c r="Q9062">
        <v>1</v>
      </c>
      <c r="R9062" t="s">
        <v>44768</v>
      </c>
      <c r="S9062" t="s">
        <v>44982</v>
      </c>
      <c r="T9062" t="s">
        <v>46472</v>
      </c>
      <c r="U9062" t="s">
        <v>54465</v>
      </c>
      <c r="V9062" t="s">
        <v>60070</v>
      </c>
      <c r="W9062" t="s">
        <v>43608</v>
      </c>
      <c r="X9062" t="s">
        <v>44769</v>
      </c>
    </row>
    <row r="9063" spans="1:24">
      <c r="A9063">
        <f>HYPERLINK("https://www.philgeps.gov.ph/GEPSNONPILOT/Tender/SplashBidNoticeAbstractUI.aspx?menuIndex=3&amp;refID=7142009&amp;Result=3","7142009")</f>
        <v>0</v>
      </c>
      <c r="B9063" t="s">
        <v>2889</v>
      </c>
      <c r="C9063" t="s">
        <v>12346</v>
      </c>
      <c r="D9063" t="s">
        <v>17962</v>
      </c>
      <c r="E9063" t="s">
        <v>25922</v>
      </c>
      <c r="F9063" t="s">
        <v>30900</v>
      </c>
      <c r="G9063" t="s">
        <v>30907</v>
      </c>
      <c r="H9063" t="s">
        <v>30917</v>
      </c>
      <c r="I9063" t="s">
        <v>30973</v>
      </c>
      <c r="J9063" t="s">
        <v>31341</v>
      </c>
      <c r="K9063" t="s">
        <v>40293</v>
      </c>
      <c r="M9063" t="s">
        <v>43681</v>
      </c>
      <c r="N9063" t="s">
        <v>44759</v>
      </c>
      <c r="O9063" t="s">
        <v>44760</v>
      </c>
      <c r="P9063">
        <v>0</v>
      </c>
      <c r="Q9063">
        <v>2</v>
      </c>
      <c r="R9063" t="s">
        <v>44768</v>
      </c>
      <c r="S9063" t="s">
        <v>44982</v>
      </c>
      <c r="T9063" t="s">
        <v>46544</v>
      </c>
      <c r="U9063" t="s">
        <v>54466</v>
      </c>
      <c r="W9063" t="s">
        <v>43681</v>
      </c>
      <c r="X9063" t="s">
        <v>44769</v>
      </c>
    </row>
    <row r="9064" spans="1:24">
      <c r="A9064">
        <f>HYPERLINK("https://www.philgeps.gov.ph/GEPSNONPILOT/Tender/SplashBidNoticeAbstractUI.aspx?menuIndex=3&amp;refID=7141941&amp;Result=3","7141941")</f>
        <v>0</v>
      </c>
      <c r="B9064" t="s">
        <v>379</v>
      </c>
      <c r="C9064" t="s">
        <v>12347</v>
      </c>
      <c r="D9064" t="s">
        <v>18015</v>
      </c>
      <c r="E9064" t="s">
        <v>25923</v>
      </c>
      <c r="F9064" t="s">
        <v>30900</v>
      </c>
      <c r="G9064" t="s">
        <v>30907</v>
      </c>
      <c r="H9064" t="s">
        <v>30915</v>
      </c>
      <c r="I9064" t="s">
        <v>30919</v>
      </c>
      <c r="J9064" t="s">
        <v>31153</v>
      </c>
      <c r="K9064" t="s">
        <v>40361</v>
      </c>
      <c r="M9064" t="s">
        <v>40933</v>
      </c>
      <c r="N9064" t="s">
        <v>44759</v>
      </c>
      <c r="O9064" t="s">
        <v>44760</v>
      </c>
      <c r="P9064">
        <v>0</v>
      </c>
      <c r="Q9064">
        <v>0</v>
      </c>
      <c r="R9064" t="s">
        <v>44768</v>
      </c>
      <c r="S9064" t="s">
        <v>44982</v>
      </c>
      <c r="T9064" t="s">
        <v>46455</v>
      </c>
      <c r="U9064" t="s">
        <v>54467</v>
      </c>
      <c r="W9064" t="s">
        <v>40933</v>
      </c>
      <c r="X9064" t="s">
        <v>44769</v>
      </c>
    </row>
    <row r="9065" spans="1:24">
      <c r="A9065">
        <f>HYPERLINK("https://www.philgeps.gov.ph/GEPSNONPILOT/Tender/SplashBidNoticeAbstractUI.aspx?menuIndex=3&amp;refID=7141967&amp;Result=3","7141967")</f>
        <v>0</v>
      </c>
      <c r="B9065" t="s">
        <v>2891</v>
      </c>
      <c r="C9065" t="s">
        <v>12348</v>
      </c>
      <c r="D9065" t="s">
        <v>18019</v>
      </c>
      <c r="E9065" t="s">
        <v>18094</v>
      </c>
      <c r="F9065" t="s">
        <v>30900</v>
      </c>
      <c r="G9065" t="s">
        <v>30907</v>
      </c>
      <c r="H9065" t="s">
        <v>30916</v>
      </c>
      <c r="I9065" t="s">
        <v>8123</v>
      </c>
      <c r="J9065" t="s">
        <v>31101</v>
      </c>
      <c r="K9065" t="s">
        <v>40288</v>
      </c>
      <c r="M9065" t="s">
        <v>43683</v>
      </c>
      <c r="N9065" t="s">
        <v>44759</v>
      </c>
      <c r="O9065" t="s">
        <v>44760</v>
      </c>
      <c r="P9065">
        <v>0</v>
      </c>
      <c r="Q9065">
        <v>1</v>
      </c>
      <c r="R9065" t="s">
        <v>44768</v>
      </c>
      <c r="S9065" t="s">
        <v>44982</v>
      </c>
      <c r="T9065" t="s">
        <v>46581</v>
      </c>
      <c r="U9065" t="s">
        <v>54468</v>
      </c>
      <c r="W9065" t="s">
        <v>43683</v>
      </c>
      <c r="X9065" t="s">
        <v>44769</v>
      </c>
    </row>
    <row r="9066" spans="1:24">
      <c r="A9066">
        <f>HYPERLINK("https://www.philgeps.gov.ph/GEPSNONPILOT/Tender/SplashBidNoticeAbstractUI.aspx?menuIndex=3&amp;refID=7142007&amp;Result=3","7142007")</f>
        <v>0</v>
      </c>
      <c r="B9066" t="s">
        <v>1988</v>
      </c>
      <c r="C9066" t="s">
        <v>12349</v>
      </c>
      <c r="D9066" t="s">
        <v>17959</v>
      </c>
      <c r="E9066" t="s">
        <v>25924</v>
      </c>
      <c r="F9066" t="s">
        <v>30900</v>
      </c>
      <c r="G9066" t="s">
        <v>30907</v>
      </c>
      <c r="H9066" t="s">
        <v>30916</v>
      </c>
      <c r="I9066" t="s">
        <v>30923</v>
      </c>
      <c r="J9066" t="s">
        <v>36729</v>
      </c>
      <c r="K9066" t="s">
        <v>40289</v>
      </c>
      <c r="M9066" t="s">
        <v>43684</v>
      </c>
      <c r="N9066" t="s">
        <v>44759</v>
      </c>
      <c r="O9066" t="s">
        <v>44760</v>
      </c>
      <c r="Q9066">
        <v>42</v>
      </c>
      <c r="R9066" t="s">
        <v>44768</v>
      </c>
      <c r="S9066" t="s">
        <v>45034</v>
      </c>
      <c r="T9066" t="s">
        <v>46508</v>
      </c>
      <c r="U9066" t="s">
        <v>54469</v>
      </c>
      <c r="W9066" t="s">
        <v>43684</v>
      </c>
      <c r="X9066" t="s">
        <v>44769</v>
      </c>
    </row>
    <row r="9067" spans="1:24">
      <c r="A9067">
        <f>HYPERLINK("https://www.philgeps.gov.ph/GEPSNONPILOT/Tender/SplashBidNoticeAbstractUI.aspx?menuIndex=3&amp;refID=7142004&amp;Result=3","7142004")</f>
        <v>0</v>
      </c>
      <c r="B9067" t="s">
        <v>1750</v>
      </c>
      <c r="C9067" t="s">
        <v>12350</v>
      </c>
      <c r="D9067" t="s">
        <v>17966</v>
      </c>
      <c r="E9067" t="s">
        <v>25925</v>
      </c>
      <c r="F9067" t="s">
        <v>30900</v>
      </c>
      <c r="G9067" t="s">
        <v>30907</v>
      </c>
      <c r="H9067" t="s">
        <v>30916</v>
      </c>
      <c r="I9067" t="s">
        <v>10834</v>
      </c>
      <c r="J9067" t="s">
        <v>31391</v>
      </c>
      <c r="K9067" t="s">
        <v>40283</v>
      </c>
      <c r="M9067" t="s">
        <v>42419</v>
      </c>
      <c r="N9067" t="s">
        <v>44759</v>
      </c>
      <c r="O9067" t="s">
        <v>44760</v>
      </c>
      <c r="P9067">
        <v>0</v>
      </c>
      <c r="Q9067">
        <v>1</v>
      </c>
      <c r="R9067" t="s">
        <v>44768</v>
      </c>
      <c r="S9067" t="s">
        <v>44982</v>
      </c>
      <c r="T9067" t="s">
        <v>46450</v>
      </c>
      <c r="U9067" t="s">
        <v>54470</v>
      </c>
      <c r="W9067" t="s">
        <v>60873</v>
      </c>
      <c r="X9067" t="s">
        <v>44769</v>
      </c>
    </row>
    <row r="9068" spans="1:24">
      <c r="A9068">
        <f>HYPERLINK("https://www.philgeps.gov.ph/GEPSNONPILOT/Tender/SplashBidNoticeAbstractUI.aspx?menuIndex=3&amp;refID=7141938&amp;Result=3","7141938")</f>
        <v>0</v>
      </c>
      <c r="B9068" t="s">
        <v>1119</v>
      </c>
      <c r="C9068" t="s">
        <v>12351</v>
      </c>
      <c r="D9068" t="s">
        <v>18038</v>
      </c>
      <c r="E9068" t="s">
        <v>25926</v>
      </c>
      <c r="F9068" t="s">
        <v>30900</v>
      </c>
      <c r="G9068" t="s">
        <v>30907</v>
      </c>
      <c r="H9068" t="s">
        <v>30916</v>
      </c>
      <c r="I9068" t="s">
        <v>7708</v>
      </c>
      <c r="J9068" t="s">
        <v>36730</v>
      </c>
      <c r="K9068" t="s">
        <v>40280</v>
      </c>
      <c r="M9068" t="s">
        <v>42602</v>
      </c>
      <c r="N9068" t="s">
        <v>44759</v>
      </c>
      <c r="O9068" t="s">
        <v>44760</v>
      </c>
      <c r="Q9068">
        <v>8</v>
      </c>
      <c r="R9068" t="s">
        <v>44768</v>
      </c>
      <c r="S9068" t="s">
        <v>45035</v>
      </c>
      <c r="T9068" t="s">
        <v>46370</v>
      </c>
      <c r="U9068" t="s">
        <v>54471</v>
      </c>
      <c r="V9068" t="s">
        <v>60103</v>
      </c>
      <c r="W9068" t="s">
        <v>42602</v>
      </c>
      <c r="X9068" t="s">
        <v>44769</v>
      </c>
    </row>
    <row r="9069" spans="1:24">
      <c r="A9069">
        <f>HYPERLINK("https://www.philgeps.gov.ph/GEPSNONPILOT/Tender/SplashBidNoticeAbstractUI.aspx?menuIndex=3&amp;refID=7142002&amp;Result=3","7142002")</f>
        <v>0</v>
      </c>
      <c r="B9069" t="s">
        <v>2892</v>
      </c>
      <c r="C9069" t="s">
        <v>12352</v>
      </c>
      <c r="D9069" t="s">
        <v>17998</v>
      </c>
      <c r="E9069" t="s">
        <v>25927</v>
      </c>
      <c r="F9069" t="s">
        <v>30900</v>
      </c>
      <c r="G9069" t="s">
        <v>30907</v>
      </c>
      <c r="H9069" t="s">
        <v>30916</v>
      </c>
      <c r="I9069" t="s">
        <v>6834</v>
      </c>
      <c r="J9069" t="s">
        <v>31407</v>
      </c>
      <c r="K9069" t="s">
        <v>40286</v>
      </c>
      <c r="M9069" t="s">
        <v>43685</v>
      </c>
      <c r="N9069" t="s">
        <v>44759</v>
      </c>
      <c r="O9069" t="s">
        <v>44760</v>
      </c>
      <c r="P9069">
        <v>0</v>
      </c>
      <c r="Q9069">
        <v>1</v>
      </c>
      <c r="R9069" t="s">
        <v>44768</v>
      </c>
      <c r="S9069" t="s">
        <v>44982</v>
      </c>
      <c r="T9069" t="s">
        <v>46389</v>
      </c>
      <c r="U9069" t="s">
        <v>54472</v>
      </c>
      <c r="W9069" t="s">
        <v>43685</v>
      </c>
      <c r="X9069" t="s">
        <v>44769</v>
      </c>
    </row>
    <row r="9070" spans="1:24">
      <c r="A9070">
        <f>HYPERLINK("https://www.philgeps.gov.ph/GEPSNONPILOT/Tender/SplashBidNoticeAbstractUI.aspx?menuIndex=3&amp;refID=7141935&amp;Result=3","7141935")</f>
        <v>0</v>
      </c>
      <c r="B9070" t="s">
        <v>918</v>
      </c>
      <c r="C9070" t="s">
        <v>12353</v>
      </c>
      <c r="D9070" t="s">
        <v>17959</v>
      </c>
      <c r="E9070" t="s">
        <v>25928</v>
      </c>
      <c r="F9070" t="s">
        <v>30900</v>
      </c>
      <c r="G9070" t="s">
        <v>30907</v>
      </c>
      <c r="H9070" t="s">
        <v>30915</v>
      </c>
      <c r="I9070" t="s">
        <v>30919</v>
      </c>
      <c r="J9070" t="s">
        <v>36731</v>
      </c>
      <c r="K9070" t="s">
        <v>40304</v>
      </c>
      <c r="M9070" t="s">
        <v>43671</v>
      </c>
      <c r="N9070" t="s">
        <v>44759</v>
      </c>
      <c r="O9070" t="s">
        <v>44760</v>
      </c>
      <c r="P9070">
        <v>0</v>
      </c>
      <c r="Q9070">
        <v>26</v>
      </c>
      <c r="R9070" t="s">
        <v>44768</v>
      </c>
      <c r="S9070" t="s">
        <v>44982</v>
      </c>
      <c r="T9070" t="s">
        <v>46606</v>
      </c>
      <c r="U9070" t="s">
        <v>54473</v>
      </c>
      <c r="W9070" t="s">
        <v>43671</v>
      </c>
      <c r="X9070" t="s">
        <v>44769</v>
      </c>
    </row>
    <row r="9071" spans="1:24">
      <c r="A9071">
        <f>HYPERLINK("https://www.philgeps.gov.ph/GEPSNONPILOT/Tender/SplashBidNoticeAbstractUI.aspx?menuIndex=3&amp;refID=7142001&amp;Result=3","7142001")</f>
        <v>0</v>
      </c>
      <c r="B9071" t="s">
        <v>1750</v>
      </c>
      <c r="C9071" t="s">
        <v>12354</v>
      </c>
      <c r="D9071" t="s">
        <v>17966</v>
      </c>
      <c r="E9071" t="s">
        <v>25929</v>
      </c>
      <c r="F9071" t="s">
        <v>30900</v>
      </c>
      <c r="G9071" t="s">
        <v>30907</v>
      </c>
      <c r="H9071" t="s">
        <v>30916</v>
      </c>
      <c r="I9071" t="s">
        <v>30947</v>
      </c>
      <c r="J9071" t="s">
        <v>36732</v>
      </c>
      <c r="K9071" t="s">
        <v>40283</v>
      </c>
      <c r="M9071" t="s">
        <v>42419</v>
      </c>
      <c r="N9071" t="s">
        <v>44759</v>
      </c>
      <c r="O9071" t="s">
        <v>44760</v>
      </c>
      <c r="P9071">
        <v>0</v>
      </c>
      <c r="Q9071">
        <v>2</v>
      </c>
      <c r="R9071" t="s">
        <v>44768</v>
      </c>
      <c r="S9071" t="s">
        <v>44982</v>
      </c>
      <c r="T9071" t="s">
        <v>46450</v>
      </c>
      <c r="U9071" t="s">
        <v>54474</v>
      </c>
      <c r="W9071" t="s">
        <v>60873</v>
      </c>
      <c r="X9071" t="s">
        <v>44769</v>
      </c>
    </row>
    <row r="9072" spans="1:24">
      <c r="A9072">
        <f>HYPERLINK("https://www.philgeps.gov.ph/GEPSNONPILOT/Tender/SplashBidNoticeAbstractUI.aspx?menuIndex=3&amp;refID=7142000&amp;Result=3","7142000")</f>
        <v>0</v>
      </c>
      <c r="B9072" t="s">
        <v>1571</v>
      </c>
      <c r="C9072" t="s">
        <v>12355</v>
      </c>
      <c r="D9072" t="s">
        <v>17960</v>
      </c>
      <c r="E9072" t="s">
        <v>25930</v>
      </c>
      <c r="F9072" t="s">
        <v>30900</v>
      </c>
      <c r="G9072" t="s">
        <v>30907</v>
      </c>
      <c r="H9072" t="s">
        <v>30915</v>
      </c>
      <c r="I9072" t="s">
        <v>30919</v>
      </c>
      <c r="J9072" t="s">
        <v>32276</v>
      </c>
      <c r="K9072" t="s">
        <v>40377</v>
      </c>
      <c r="L9072" t="s">
        <v>1571</v>
      </c>
      <c r="M9072" t="s">
        <v>42219</v>
      </c>
      <c r="N9072" t="s">
        <v>44759</v>
      </c>
      <c r="O9072" t="s">
        <v>44760</v>
      </c>
      <c r="P9072">
        <v>0</v>
      </c>
      <c r="Q9072">
        <v>1</v>
      </c>
      <c r="R9072" t="s">
        <v>44768</v>
      </c>
      <c r="S9072" t="s">
        <v>44982</v>
      </c>
      <c r="T9072" t="s">
        <v>46606</v>
      </c>
      <c r="U9072" t="s">
        <v>54475</v>
      </c>
      <c r="W9072" t="s">
        <v>42219</v>
      </c>
      <c r="X9072" t="s">
        <v>44769</v>
      </c>
    </row>
    <row r="9073" spans="1:24">
      <c r="A9073">
        <f>HYPERLINK("https://www.philgeps.gov.ph/GEPSNONPILOT/Tender/SplashBidNoticeAbstractUI.aspx?menuIndex=3&amp;refID=7141996&amp;Result=3","7141996")</f>
        <v>0</v>
      </c>
      <c r="B9073" t="s">
        <v>2893</v>
      </c>
      <c r="C9073" t="s">
        <v>12356</v>
      </c>
      <c r="D9073" t="s">
        <v>17978</v>
      </c>
      <c r="E9073" t="s">
        <v>25931</v>
      </c>
      <c r="F9073" t="s">
        <v>30900</v>
      </c>
      <c r="G9073" t="s">
        <v>30907</v>
      </c>
      <c r="H9073" t="s">
        <v>30915</v>
      </c>
      <c r="I9073" t="s">
        <v>30919</v>
      </c>
      <c r="J9073" t="s">
        <v>36733</v>
      </c>
      <c r="K9073" t="s">
        <v>40286</v>
      </c>
      <c r="M9073" t="s">
        <v>43686</v>
      </c>
      <c r="N9073" t="s">
        <v>44759</v>
      </c>
      <c r="O9073" t="s">
        <v>44760</v>
      </c>
      <c r="P9073">
        <v>0</v>
      </c>
      <c r="Q9073">
        <v>1</v>
      </c>
      <c r="R9073" t="s">
        <v>44768</v>
      </c>
      <c r="S9073" t="s">
        <v>44982</v>
      </c>
      <c r="T9073" t="s">
        <v>46369</v>
      </c>
      <c r="U9073" t="s">
        <v>54476</v>
      </c>
      <c r="W9073" t="s">
        <v>43686</v>
      </c>
      <c r="X9073" t="s">
        <v>44769</v>
      </c>
    </row>
    <row r="9074" spans="1:24">
      <c r="A9074">
        <f>HYPERLINK("https://www.philgeps.gov.ph/GEPSNONPILOT/Tender/SplashBidNoticeAbstractUI.aspx?menuIndex=3&amp;refID=7141992&amp;Result=3","7141992")</f>
        <v>0</v>
      </c>
      <c r="B9074" t="s">
        <v>2823</v>
      </c>
      <c r="C9074" t="s">
        <v>12357</v>
      </c>
      <c r="D9074" t="s">
        <v>18006</v>
      </c>
      <c r="E9074" t="s">
        <v>25932</v>
      </c>
      <c r="F9074" t="s">
        <v>30900</v>
      </c>
      <c r="G9074" t="s">
        <v>30907</v>
      </c>
      <c r="H9074" t="s">
        <v>30916</v>
      </c>
      <c r="I9074" t="s">
        <v>4108</v>
      </c>
      <c r="J9074" t="s">
        <v>36734</v>
      </c>
      <c r="K9074" t="s">
        <v>40289</v>
      </c>
      <c r="M9074" t="s">
        <v>43608</v>
      </c>
      <c r="N9074" t="s">
        <v>44759</v>
      </c>
      <c r="O9074" t="s">
        <v>44760</v>
      </c>
      <c r="Q9074">
        <v>1</v>
      </c>
      <c r="R9074" t="s">
        <v>44768</v>
      </c>
      <c r="S9074" t="s">
        <v>45036</v>
      </c>
      <c r="T9074" t="s">
        <v>46581</v>
      </c>
      <c r="U9074" t="s">
        <v>54477</v>
      </c>
      <c r="V9074" t="s">
        <v>60070</v>
      </c>
      <c r="W9074" t="s">
        <v>43608</v>
      </c>
      <c r="X9074" t="s">
        <v>44769</v>
      </c>
    </row>
    <row r="9075" spans="1:24">
      <c r="A9075">
        <f>HYPERLINK("https://www.philgeps.gov.ph/GEPSNONPILOT/Tender/SplashBidNoticeAbstractUI.aspx?menuIndex=3&amp;refID=7142008&amp;Result=3","7142008")</f>
        <v>0</v>
      </c>
      <c r="B9075" t="s">
        <v>1750</v>
      </c>
      <c r="C9075" t="s">
        <v>12358</v>
      </c>
      <c r="D9075" t="s">
        <v>17966</v>
      </c>
      <c r="E9075" t="s">
        <v>25933</v>
      </c>
      <c r="F9075" t="s">
        <v>30900</v>
      </c>
      <c r="G9075" t="s">
        <v>30907</v>
      </c>
      <c r="H9075" t="s">
        <v>30916</v>
      </c>
      <c r="I9075" t="s">
        <v>30990</v>
      </c>
      <c r="J9075" t="s">
        <v>36735</v>
      </c>
      <c r="K9075" t="s">
        <v>40286</v>
      </c>
      <c r="M9075" t="s">
        <v>42419</v>
      </c>
      <c r="N9075" t="s">
        <v>44759</v>
      </c>
      <c r="O9075" t="s">
        <v>44760</v>
      </c>
      <c r="P9075">
        <v>0</v>
      </c>
      <c r="Q9075">
        <v>2</v>
      </c>
      <c r="R9075" t="s">
        <v>44768</v>
      </c>
      <c r="S9075" t="s">
        <v>44982</v>
      </c>
      <c r="T9075" t="s">
        <v>46450</v>
      </c>
      <c r="U9075" t="s">
        <v>54478</v>
      </c>
      <c r="W9075" t="s">
        <v>60873</v>
      </c>
      <c r="X9075" t="s">
        <v>44769</v>
      </c>
    </row>
    <row r="9076" spans="1:24">
      <c r="A9076">
        <f>HYPERLINK("https://www.philgeps.gov.ph/GEPSNONPILOT/Tender/SplashBidNoticeAbstractUI.aspx?menuIndex=3&amp;refID=7141990&amp;Result=3","7141990")</f>
        <v>0</v>
      </c>
      <c r="B9076" t="s">
        <v>2889</v>
      </c>
      <c r="C9076" t="s">
        <v>12359</v>
      </c>
      <c r="D9076" t="s">
        <v>17962</v>
      </c>
      <c r="E9076" t="s">
        <v>25934</v>
      </c>
      <c r="F9076" t="s">
        <v>30900</v>
      </c>
      <c r="G9076" t="s">
        <v>30907</v>
      </c>
      <c r="H9076" t="s">
        <v>30916</v>
      </c>
      <c r="I9076" t="s">
        <v>30981</v>
      </c>
      <c r="J9076" t="s">
        <v>34162</v>
      </c>
      <c r="K9076" t="s">
        <v>40314</v>
      </c>
      <c r="M9076" t="s">
        <v>43681</v>
      </c>
      <c r="N9076" t="s">
        <v>44759</v>
      </c>
      <c r="O9076" t="s">
        <v>44760</v>
      </c>
      <c r="P9076">
        <v>0</v>
      </c>
      <c r="Q9076">
        <v>0</v>
      </c>
      <c r="R9076" t="s">
        <v>44768</v>
      </c>
      <c r="S9076" t="s">
        <v>44982</v>
      </c>
      <c r="T9076" t="s">
        <v>46544</v>
      </c>
      <c r="U9076" t="s">
        <v>54479</v>
      </c>
      <c r="W9076" t="s">
        <v>43681</v>
      </c>
      <c r="X9076" t="s">
        <v>44769</v>
      </c>
    </row>
    <row r="9077" spans="1:24">
      <c r="A9077">
        <f>HYPERLINK("https://www.philgeps.gov.ph/GEPSNONPILOT/Tender/SplashBidNoticeAbstractUI.aspx?menuIndex=3&amp;refID=7141988&amp;Result=3","7141988")</f>
        <v>0</v>
      </c>
      <c r="B9077" t="s">
        <v>1143</v>
      </c>
      <c r="C9077" t="s">
        <v>12360</v>
      </c>
      <c r="D9077" t="s">
        <v>17990</v>
      </c>
      <c r="E9077" t="s">
        <v>25935</v>
      </c>
      <c r="F9077" t="s">
        <v>30903</v>
      </c>
      <c r="G9077" t="s">
        <v>30909</v>
      </c>
      <c r="H9077" t="s">
        <v>30916</v>
      </c>
      <c r="I9077" t="s">
        <v>30949</v>
      </c>
      <c r="J9077" t="s">
        <v>31944</v>
      </c>
      <c r="K9077" t="s">
        <v>40286</v>
      </c>
      <c r="M9077" t="s">
        <v>42441</v>
      </c>
      <c r="N9077" t="s">
        <v>44759</v>
      </c>
      <c r="O9077" t="s">
        <v>44760</v>
      </c>
      <c r="P9077">
        <v>0</v>
      </c>
      <c r="Q9077">
        <v>4</v>
      </c>
      <c r="R9077" t="s">
        <v>44768</v>
      </c>
      <c r="S9077" t="s">
        <v>44982</v>
      </c>
      <c r="T9077" t="s">
        <v>46414</v>
      </c>
      <c r="U9077" t="s">
        <v>54480</v>
      </c>
      <c r="W9077" t="s">
        <v>42441</v>
      </c>
      <c r="X9077" t="s">
        <v>44769</v>
      </c>
    </row>
    <row r="9078" spans="1:24">
      <c r="A9078">
        <f>HYPERLINK("https://www.philgeps.gov.ph/GEPSNONPILOT/Tender/SplashBidNoticeAbstractUI.aspx?menuIndex=3&amp;refID=7141987&amp;Result=3","7141987")</f>
        <v>0</v>
      </c>
      <c r="B9078" t="s">
        <v>2892</v>
      </c>
      <c r="C9078" t="s">
        <v>12361</v>
      </c>
      <c r="D9078" t="s">
        <v>17998</v>
      </c>
      <c r="E9078" t="s">
        <v>25936</v>
      </c>
      <c r="F9078" t="s">
        <v>30900</v>
      </c>
      <c r="G9078" t="s">
        <v>30907</v>
      </c>
      <c r="H9078" t="s">
        <v>30916</v>
      </c>
      <c r="I9078" t="s">
        <v>10847</v>
      </c>
      <c r="J9078" t="s">
        <v>36736</v>
      </c>
      <c r="K9078" t="s">
        <v>40287</v>
      </c>
      <c r="M9078" t="s">
        <v>43685</v>
      </c>
      <c r="N9078" t="s">
        <v>44759</v>
      </c>
      <c r="O9078" t="s">
        <v>44760</v>
      </c>
      <c r="P9078">
        <v>0</v>
      </c>
      <c r="Q9078">
        <v>0</v>
      </c>
      <c r="R9078" t="s">
        <v>44768</v>
      </c>
      <c r="S9078" t="s">
        <v>44982</v>
      </c>
      <c r="T9078" t="s">
        <v>46389</v>
      </c>
      <c r="U9078" t="s">
        <v>54481</v>
      </c>
      <c r="W9078" t="s">
        <v>43685</v>
      </c>
      <c r="X9078" t="s">
        <v>44769</v>
      </c>
    </row>
    <row r="9079" spans="1:24">
      <c r="A9079">
        <f>HYPERLINK("https://www.philgeps.gov.ph/GEPSNONPILOT/Tender/SplashBidNoticeAbstractUI.aspx?menuIndex=3&amp;refID=7141983&amp;Result=3","7141983")</f>
        <v>0</v>
      </c>
      <c r="B9079" t="s">
        <v>1143</v>
      </c>
      <c r="C9079" t="s">
        <v>12362</v>
      </c>
      <c r="D9079" t="s">
        <v>17990</v>
      </c>
      <c r="E9079" t="s">
        <v>25937</v>
      </c>
      <c r="F9079" t="s">
        <v>30903</v>
      </c>
      <c r="G9079" t="s">
        <v>30909</v>
      </c>
      <c r="H9079" t="s">
        <v>30916</v>
      </c>
      <c r="I9079" t="s">
        <v>30949</v>
      </c>
      <c r="J9079" t="s">
        <v>36737</v>
      </c>
      <c r="K9079" t="s">
        <v>40286</v>
      </c>
      <c r="M9079" t="s">
        <v>42441</v>
      </c>
      <c r="N9079" t="s">
        <v>44759</v>
      </c>
      <c r="O9079" t="s">
        <v>44760</v>
      </c>
      <c r="P9079">
        <v>0</v>
      </c>
      <c r="Q9079">
        <v>4</v>
      </c>
      <c r="R9079" t="s">
        <v>44768</v>
      </c>
      <c r="S9079" t="s">
        <v>44982</v>
      </c>
      <c r="T9079" t="s">
        <v>46414</v>
      </c>
      <c r="U9079" t="s">
        <v>54482</v>
      </c>
      <c r="W9079" t="s">
        <v>42441</v>
      </c>
      <c r="X9079" t="s">
        <v>44769</v>
      </c>
    </row>
    <row r="9080" spans="1:24">
      <c r="A9080">
        <f>HYPERLINK("https://www.philgeps.gov.ph/GEPSNONPILOT/Tender/SplashBidNoticeAbstractUI.aspx?menuIndex=3&amp;refID=7141975&amp;Result=3","7141975")</f>
        <v>0</v>
      </c>
      <c r="B9080" t="s">
        <v>1791</v>
      </c>
      <c r="C9080" t="s">
        <v>12363</v>
      </c>
      <c r="D9080" t="s">
        <v>17966</v>
      </c>
      <c r="E9080" t="s">
        <v>25938</v>
      </c>
      <c r="F9080" t="s">
        <v>30900</v>
      </c>
      <c r="G9080" t="s">
        <v>30908</v>
      </c>
      <c r="H9080" t="s">
        <v>30916</v>
      </c>
      <c r="I9080" t="s">
        <v>8123</v>
      </c>
      <c r="J9080" t="s">
        <v>36738</v>
      </c>
      <c r="K9080" t="s">
        <v>40283</v>
      </c>
      <c r="M9080" t="s">
        <v>42465</v>
      </c>
      <c r="N9080" t="s">
        <v>44759</v>
      </c>
      <c r="O9080" t="s">
        <v>44760</v>
      </c>
      <c r="P9080">
        <v>0</v>
      </c>
      <c r="Q9080">
        <v>0</v>
      </c>
      <c r="R9080" t="s">
        <v>44768</v>
      </c>
      <c r="S9080" t="s">
        <v>44982</v>
      </c>
      <c r="T9080" t="s">
        <v>46760</v>
      </c>
      <c r="U9080" t="s">
        <v>54483</v>
      </c>
      <c r="W9080" t="s">
        <v>42465</v>
      </c>
      <c r="X9080" t="s">
        <v>44769</v>
      </c>
    </row>
    <row r="9081" spans="1:24">
      <c r="A9081">
        <f>HYPERLINK("https://www.philgeps.gov.ph/GEPSNONPILOT/Tender/SplashBidNoticeAbstractUI.aspx?menuIndex=3&amp;refID=7141974&amp;Result=3","7141974")</f>
        <v>0</v>
      </c>
      <c r="B9081" t="s">
        <v>1571</v>
      </c>
      <c r="C9081" t="s">
        <v>12364</v>
      </c>
      <c r="D9081" t="s">
        <v>17960</v>
      </c>
      <c r="E9081" t="s">
        <v>25939</v>
      </c>
      <c r="F9081" t="s">
        <v>30900</v>
      </c>
      <c r="G9081" t="s">
        <v>30907</v>
      </c>
      <c r="H9081" t="s">
        <v>30915</v>
      </c>
      <c r="I9081" t="s">
        <v>30919</v>
      </c>
      <c r="J9081" t="s">
        <v>32276</v>
      </c>
      <c r="K9081" t="s">
        <v>40292</v>
      </c>
      <c r="L9081" t="s">
        <v>1571</v>
      </c>
      <c r="M9081" t="s">
        <v>42219</v>
      </c>
      <c r="N9081" t="s">
        <v>44759</v>
      </c>
      <c r="O9081" t="s">
        <v>44760</v>
      </c>
      <c r="P9081">
        <v>0</v>
      </c>
      <c r="Q9081">
        <v>1</v>
      </c>
      <c r="R9081" t="s">
        <v>44768</v>
      </c>
      <c r="S9081" t="s">
        <v>44982</v>
      </c>
      <c r="T9081" t="s">
        <v>46606</v>
      </c>
      <c r="U9081" t="s">
        <v>54484</v>
      </c>
      <c r="W9081" t="s">
        <v>42219</v>
      </c>
      <c r="X9081" t="s">
        <v>44769</v>
      </c>
    </row>
    <row r="9082" spans="1:24">
      <c r="A9082">
        <f>HYPERLINK("https://www.philgeps.gov.ph/GEPSNONPILOT/Tender/SplashBidNoticeAbstractUI.aspx?menuIndex=3&amp;refID=7141930&amp;Result=3","7141930")</f>
        <v>0</v>
      </c>
      <c r="B9082" t="s">
        <v>918</v>
      </c>
      <c r="C9082" t="s">
        <v>12365</v>
      </c>
      <c r="D9082" t="s">
        <v>17959</v>
      </c>
      <c r="E9082" t="s">
        <v>25940</v>
      </c>
      <c r="F9082" t="s">
        <v>30900</v>
      </c>
      <c r="G9082" t="s">
        <v>30907</v>
      </c>
      <c r="H9082" t="s">
        <v>30915</v>
      </c>
      <c r="I9082" t="s">
        <v>30919</v>
      </c>
      <c r="J9082" t="s">
        <v>36739</v>
      </c>
      <c r="K9082" t="s">
        <v>40304</v>
      </c>
      <c r="M9082" t="s">
        <v>43671</v>
      </c>
      <c r="N9082" t="s">
        <v>44759</v>
      </c>
      <c r="O9082" t="s">
        <v>44760</v>
      </c>
      <c r="P9082">
        <v>0</v>
      </c>
      <c r="Q9082">
        <v>26</v>
      </c>
      <c r="R9082" t="s">
        <v>44768</v>
      </c>
      <c r="S9082" t="s">
        <v>44982</v>
      </c>
      <c r="T9082" t="s">
        <v>46606</v>
      </c>
      <c r="U9082" t="s">
        <v>54473</v>
      </c>
      <c r="W9082" t="s">
        <v>43671</v>
      </c>
      <c r="X9082" t="s">
        <v>44769</v>
      </c>
    </row>
    <row r="9083" spans="1:24">
      <c r="A9083">
        <f>HYPERLINK("https://www.philgeps.gov.ph/GEPSNONPILOT/Tender/SplashBidNoticeAbstractUI.aspx?menuIndex=3&amp;refID=7142006&amp;Result=3","7142006")</f>
        <v>0</v>
      </c>
      <c r="B9083" t="s">
        <v>1750</v>
      </c>
      <c r="C9083" t="s">
        <v>12366</v>
      </c>
      <c r="D9083" t="s">
        <v>17966</v>
      </c>
      <c r="E9083" t="s">
        <v>25941</v>
      </c>
      <c r="F9083" t="s">
        <v>30900</v>
      </c>
      <c r="G9083" t="s">
        <v>30907</v>
      </c>
      <c r="H9083" t="s">
        <v>30916</v>
      </c>
      <c r="I9083" t="s">
        <v>30939</v>
      </c>
      <c r="J9083" t="s">
        <v>36740</v>
      </c>
      <c r="K9083" t="s">
        <v>40292</v>
      </c>
      <c r="M9083" t="s">
        <v>42419</v>
      </c>
      <c r="N9083" t="s">
        <v>44759</v>
      </c>
      <c r="O9083" t="s">
        <v>44760</v>
      </c>
      <c r="P9083">
        <v>0</v>
      </c>
      <c r="Q9083">
        <v>0</v>
      </c>
      <c r="R9083" t="s">
        <v>44768</v>
      </c>
      <c r="S9083" t="s">
        <v>44982</v>
      </c>
      <c r="T9083" t="s">
        <v>46450</v>
      </c>
      <c r="U9083" t="s">
        <v>54485</v>
      </c>
      <c r="W9083" t="s">
        <v>60873</v>
      </c>
      <c r="X9083" t="s">
        <v>44769</v>
      </c>
    </row>
    <row r="9084" spans="1:24">
      <c r="A9084">
        <f>HYPERLINK("https://www.philgeps.gov.ph/GEPSNONPILOT/Tender/SplashBidNoticeAbstractUI.aspx?menuIndex=3&amp;refID=7141950&amp;Result=3","7141950")</f>
        <v>0</v>
      </c>
      <c r="B9084" t="s">
        <v>2894</v>
      </c>
      <c r="C9084" t="s">
        <v>12367</v>
      </c>
      <c r="D9084" t="s">
        <v>17959</v>
      </c>
      <c r="E9084" t="s">
        <v>24091</v>
      </c>
      <c r="F9084" t="s">
        <v>30899</v>
      </c>
      <c r="G9084" t="s">
        <v>30908</v>
      </c>
      <c r="H9084" t="s">
        <v>30916</v>
      </c>
      <c r="I9084" t="s">
        <v>8365</v>
      </c>
      <c r="J9084" t="s">
        <v>31206</v>
      </c>
      <c r="K9084" t="s">
        <v>40287</v>
      </c>
      <c r="M9084" t="s">
        <v>43687</v>
      </c>
      <c r="N9084" t="s">
        <v>44759</v>
      </c>
      <c r="O9084" t="s">
        <v>44760</v>
      </c>
      <c r="P9084">
        <v>0</v>
      </c>
      <c r="Q9084">
        <v>9</v>
      </c>
      <c r="R9084" t="s">
        <v>44768</v>
      </c>
      <c r="S9084" t="s">
        <v>44982</v>
      </c>
      <c r="T9084" t="s">
        <v>46700</v>
      </c>
      <c r="U9084" t="s">
        <v>54486</v>
      </c>
      <c r="W9084" t="s">
        <v>43687</v>
      </c>
      <c r="X9084" t="s">
        <v>44769</v>
      </c>
    </row>
    <row r="9085" spans="1:24">
      <c r="A9085">
        <f>HYPERLINK("https://www.philgeps.gov.ph/GEPSNONPILOT/Tender/SplashBidNoticeAbstractUI.aspx?menuIndex=3&amp;refID=7141924&amp;Result=3","7141924")</f>
        <v>0</v>
      </c>
      <c r="B9085" t="s">
        <v>1143</v>
      </c>
      <c r="C9085" t="s">
        <v>12368</v>
      </c>
      <c r="D9085" t="s">
        <v>17990</v>
      </c>
      <c r="E9085" t="s">
        <v>25942</v>
      </c>
      <c r="F9085" t="s">
        <v>30900</v>
      </c>
      <c r="G9085" t="s">
        <v>30907</v>
      </c>
      <c r="H9085" t="s">
        <v>30916</v>
      </c>
      <c r="I9085" t="s">
        <v>30924</v>
      </c>
      <c r="J9085" t="s">
        <v>33379</v>
      </c>
      <c r="K9085" t="s">
        <v>40292</v>
      </c>
      <c r="M9085" t="s">
        <v>42441</v>
      </c>
      <c r="N9085" t="s">
        <v>44759</v>
      </c>
      <c r="O9085" t="s">
        <v>44760</v>
      </c>
      <c r="P9085">
        <v>0</v>
      </c>
      <c r="Q9085">
        <v>6</v>
      </c>
      <c r="R9085" t="s">
        <v>44768</v>
      </c>
      <c r="S9085" t="s">
        <v>44982</v>
      </c>
      <c r="T9085" t="s">
        <v>46661</v>
      </c>
      <c r="U9085" t="s">
        <v>54487</v>
      </c>
      <c r="W9085" t="s">
        <v>42441</v>
      </c>
      <c r="X9085" t="s">
        <v>44769</v>
      </c>
    </row>
    <row r="9086" spans="1:24">
      <c r="A9086">
        <f>HYPERLINK("https://www.philgeps.gov.ph/GEPSNONPILOT/Tender/SplashBidNoticeAbstractUI.aspx?menuIndex=3&amp;refID=7142003&amp;Result=3","7142003")</f>
        <v>0</v>
      </c>
      <c r="B9086" t="s">
        <v>2895</v>
      </c>
      <c r="C9086" t="s">
        <v>12369</v>
      </c>
      <c r="D9086" t="s">
        <v>17953</v>
      </c>
      <c r="E9086" t="s">
        <v>25943</v>
      </c>
      <c r="F9086" t="s">
        <v>30900</v>
      </c>
      <c r="G9086" t="s">
        <v>30907</v>
      </c>
      <c r="H9086" t="s">
        <v>30916</v>
      </c>
      <c r="I9086" t="s">
        <v>30921</v>
      </c>
      <c r="J9086" t="s">
        <v>36741</v>
      </c>
      <c r="K9086" t="s">
        <v>40286</v>
      </c>
      <c r="M9086" t="s">
        <v>43688</v>
      </c>
      <c r="N9086" t="s">
        <v>44759</v>
      </c>
      <c r="O9086" t="s">
        <v>44760</v>
      </c>
      <c r="P9086">
        <v>0</v>
      </c>
      <c r="Q9086">
        <v>1</v>
      </c>
      <c r="R9086" t="s">
        <v>44768</v>
      </c>
      <c r="S9086" t="s">
        <v>44982</v>
      </c>
      <c r="T9086" t="s">
        <v>46625</v>
      </c>
      <c r="U9086" t="s">
        <v>54488</v>
      </c>
      <c r="W9086" t="s">
        <v>43688</v>
      </c>
      <c r="X9086" t="s">
        <v>44769</v>
      </c>
    </row>
    <row r="9087" spans="1:24">
      <c r="A9087">
        <f>HYPERLINK("https://www.philgeps.gov.ph/GEPSNONPILOT/Tender/SplashBidNoticeAbstractUI.aspx?menuIndex=3&amp;refID=7141921&amp;Result=3","7141921")</f>
        <v>0</v>
      </c>
      <c r="B9087" t="s">
        <v>1119</v>
      </c>
      <c r="C9087" t="s">
        <v>12370</v>
      </c>
      <c r="D9087" t="s">
        <v>18038</v>
      </c>
      <c r="E9087" t="s">
        <v>25944</v>
      </c>
      <c r="F9087" t="s">
        <v>30900</v>
      </c>
      <c r="G9087" t="s">
        <v>30907</v>
      </c>
      <c r="H9087" t="s">
        <v>30916</v>
      </c>
      <c r="I9087" t="s">
        <v>7708</v>
      </c>
      <c r="J9087" t="s">
        <v>31094</v>
      </c>
      <c r="K9087" t="s">
        <v>40280</v>
      </c>
      <c r="M9087" t="s">
        <v>42602</v>
      </c>
      <c r="N9087" t="s">
        <v>44759</v>
      </c>
      <c r="O9087" t="s">
        <v>44760</v>
      </c>
      <c r="Q9087">
        <v>11</v>
      </c>
      <c r="R9087" t="s">
        <v>44768</v>
      </c>
      <c r="S9087" t="s">
        <v>45037</v>
      </c>
      <c r="T9087" t="s">
        <v>46370</v>
      </c>
      <c r="U9087" t="s">
        <v>54471</v>
      </c>
      <c r="V9087" t="s">
        <v>60104</v>
      </c>
      <c r="W9087" t="s">
        <v>42602</v>
      </c>
      <c r="X9087" t="s">
        <v>44769</v>
      </c>
    </row>
    <row r="9088" spans="1:24">
      <c r="A9088">
        <f>HYPERLINK("https://www.philgeps.gov.ph/GEPSNONPILOT/Tender/SplashBidNoticeAbstractUI.aspx?menuIndex=3&amp;refID=7141920&amp;Result=3","7141920")</f>
        <v>0</v>
      </c>
      <c r="B9088" t="s">
        <v>918</v>
      </c>
      <c r="C9088" t="s">
        <v>12371</v>
      </c>
      <c r="D9088" t="s">
        <v>17959</v>
      </c>
      <c r="E9088" t="s">
        <v>25945</v>
      </c>
      <c r="F9088" t="s">
        <v>30900</v>
      </c>
      <c r="G9088" t="s">
        <v>30907</v>
      </c>
      <c r="H9088" t="s">
        <v>30915</v>
      </c>
      <c r="I9088" t="s">
        <v>30919</v>
      </c>
      <c r="J9088" t="s">
        <v>36742</v>
      </c>
      <c r="K9088" t="s">
        <v>40304</v>
      </c>
      <c r="M9088" t="s">
        <v>43671</v>
      </c>
      <c r="N9088" t="s">
        <v>44759</v>
      </c>
      <c r="O9088" t="s">
        <v>44760</v>
      </c>
      <c r="P9088">
        <v>0</v>
      </c>
      <c r="Q9088">
        <v>28</v>
      </c>
      <c r="R9088" t="s">
        <v>44768</v>
      </c>
      <c r="S9088" t="s">
        <v>44982</v>
      </c>
      <c r="T9088" t="s">
        <v>46606</v>
      </c>
      <c r="U9088" t="s">
        <v>54473</v>
      </c>
      <c r="W9088" t="s">
        <v>43671</v>
      </c>
      <c r="X9088" t="s">
        <v>44769</v>
      </c>
    </row>
    <row r="9089" spans="1:24">
      <c r="A9089">
        <f>HYPERLINK("https://www.philgeps.gov.ph/GEPSNONPILOT/Tender/SplashBidNoticeAbstractUI.aspx?menuIndex=3&amp;refID=7141969&amp;Result=3","7141969")</f>
        <v>0</v>
      </c>
      <c r="B9089" t="s">
        <v>2319</v>
      </c>
      <c r="C9089" t="s">
        <v>12372</v>
      </c>
      <c r="E9089" t="s">
        <v>21532</v>
      </c>
      <c r="F9089" t="s">
        <v>30900</v>
      </c>
      <c r="G9089" t="s">
        <v>30907</v>
      </c>
      <c r="H9089" t="s">
        <v>30916</v>
      </c>
      <c r="I9089" t="s">
        <v>30942</v>
      </c>
      <c r="J9089" t="s">
        <v>31241</v>
      </c>
      <c r="K9089" t="s">
        <v>40289</v>
      </c>
      <c r="M9089" t="s">
        <v>43039</v>
      </c>
      <c r="N9089" t="s">
        <v>44759</v>
      </c>
      <c r="O9089" t="s">
        <v>44760</v>
      </c>
      <c r="P9089">
        <v>0</v>
      </c>
      <c r="Q9089">
        <v>3</v>
      </c>
      <c r="R9089" t="s">
        <v>44768</v>
      </c>
      <c r="S9089" t="s">
        <v>44982</v>
      </c>
      <c r="T9089" t="s">
        <v>46586</v>
      </c>
      <c r="U9089" t="s">
        <v>54489</v>
      </c>
      <c r="V9089" t="s">
        <v>59838</v>
      </c>
      <c r="W9089" t="s">
        <v>43039</v>
      </c>
      <c r="X9089" t="s">
        <v>44769</v>
      </c>
    </row>
    <row r="9090" spans="1:24">
      <c r="A9090">
        <f>HYPERLINK("https://www.philgeps.gov.ph/GEPSNONPILOT/Tender/SplashBidNoticeAbstractUI.aspx?menuIndex=3&amp;refID=7141998&amp;Result=3","7141998")</f>
        <v>0</v>
      </c>
      <c r="B9090" t="s">
        <v>1750</v>
      </c>
      <c r="C9090" t="s">
        <v>12373</v>
      </c>
      <c r="D9090" t="s">
        <v>17966</v>
      </c>
      <c r="E9090" t="s">
        <v>25946</v>
      </c>
      <c r="F9090" t="s">
        <v>30900</v>
      </c>
      <c r="G9090" t="s">
        <v>30907</v>
      </c>
      <c r="H9090" t="s">
        <v>30916</v>
      </c>
      <c r="I9090" t="s">
        <v>30923</v>
      </c>
      <c r="J9090" t="s">
        <v>36743</v>
      </c>
      <c r="K9090" t="s">
        <v>40283</v>
      </c>
      <c r="M9090" t="s">
        <v>42419</v>
      </c>
      <c r="N9090" t="s">
        <v>44759</v>
      </c>
      <c r="O9090" t="s">
        <v>44760</v>
      </c>
      <c r="P9090">
        <v>0</v>
      </c>
      <c r="Q9090">
        <v>6</v>
      </c>
      <c r="R9090" t="s">
        <v>44768</v>
      </c>
      <c r="S9090" t="s">
        <v>44982</v>
      </c>
      <c r="T9090" t="s">
        <v>46581</v>
      </c>
      <c r="U9090" t="s">
        <v>54490</v>
      </c>
      <c r="W9090" t="s">
        <v>60873</v>
      </c>
      <c r="X9090" t="s">
        <v>44769</v>
      </c>
    </row>
    <row r="9091" spans="1:24">
      <c r="A9091">
        <f>HYPERLINK("https://www.philgeps.gov.ph/GEPSNONPILOT/Tender/SplashBidNoticeAbstractUI.aspx?menuIndex=3&amp;refID=7141787&amp;Result=3","7141787")</f>
        <v>0</v>
      </c>
      <c r="B9091" t="s">
        <v>379</v>
      </c>
      <c r="C9091" t="s">
        <v>12374</v>
      </c>
      <c r="D9091" t="s">
        <v>18015</v>
      </c>
      <c r="E9091" t="s">
        <v>25947</v>
      </c>
      <c r="F9091" t="s">
        <v>30900</v>
      </c>
      <c r="G9091" t="s">
        <v>30907</v>
      </c>
      <c r="H9091" t="s">
        <v>30915</v>
      </c>
      <c r="I9091" t="s">
        <v>30919</v>
      </c>
      <c r="J9091" t="s">
        <v>31243</v>
      </c>
      <c r="K9091" t="s">
        <v>40302</v>
      </c>
      <c r="M9091" t="s">
        <v>40933</v>
      </c>
      <c r="N9091" t="s">
        <v>44759</v>
      </c>
      <c r="O9091" t="s">
        <v>44760</v>
      </c>
      <c r="Q9091">
        <v>0</v>
      </c>
      <c r="R9091" t="s">
        <v>44768</v>
      </c>
      <c r="S9091" t="s">
        <v>45038</v>
      </c>
      <c r="T9091" t="s">
        <v>46455</v>
      </c>
      <c r="U9091" t="s">
        <v>54491</v>
      </c>
      <c r="W9091" t="s">
        <v>40933</v>
      </c>
      <c r="X9091" t="s">
        <v>44769</v>
      </c>
    </row>
    <row r="9092" spans="1:24">
      <c r="A9092">
        <f>HYPERLINK("https://www.philgeps.gov.ph/GEPSNONPILOT/Tender/SplashBidNoticeAbstractUI.aspx?menuIndex=3&amp;refID=7141926&amp;Result=3","7141926")</f>
        <v>0</v>
      </c>
      <c r="B9092" t="s">
        <v>379</v>
      </c>
      <c r="C9092" t="s">
        <v>12375</v>
      </c>
      <c r="D9092" t="s">
        <v>18015</v>
      </c>
      <c r="E9092" t="s">
        <v>25948</v>
      </c>
      <c r="F9092" t="s">
        <v>30900</v>
      </c>
      <c r="G9092" t="s">
        <v>30907</v>
      </c>
      <c r="H9092" t="s">
        <v>30915</v>
      </c>
      <c r="I9092" t="s">
        <v>30919</v>
      </c>
      <c r="J9092" t="s">
        <v>31701</v>
      </c>
      <c r="K9092" t="s">
        <v>40295</v>
      </c>
      <c r="M9092" t="s">
        <v>40933</v>
      </c>
      <c r="N9092" t="s">
        <v>44759</v>
      </c>
      <c r="O9092" t="s">
        <v>44760</v>
      </c>
      <c r="P9092">
        <v>0</v>
      </c>
      <c r="Q9092">
        <v>0</v>
      </c>
      <c r="R9092" t="s">
        <v>44768</v>
      </c>
      <c r="S9092" t="s">
        <v>44982</v>
      </c>
      <c r="T9092" t="s">
        <v>46455</v>
      </c>
      <c r="U9092" t="s">
        <v>54492</v>
      </c>
      <c r="W9092" t="s">
        <v>40933</v>
      </c>
      <c r="X9092" t="s">
        <v>44769</v>
      </c>
    </row>
    <row r="9093" spans="1:24">
      <c r="A9093">
        <f>HYPERLINK("https://www.philgeps.gov.ph/GEPSNONPILOT/Tender/SplashBidNoticeAbstractUI.aspx?menuIndex=3&amp;refID=7141751&amp;Result=3","7141751")</f>
        <v>0</v>
      </c>
      <c r="B9093" t="s">
        <v>1055</v>
      </c>
      <c r="C9093" t="s">
        <v>12376</v>
      </c>
      <c r="D9093" t="s">
        <v>18017</v>
      </c>
      <c r="E9093" t="s">
        <v>24548</v>
      </c>
      <c r="F9093" t="s">
        <v>30900</v>
      </c>
      <c r="G9093" t="s">
        <v>30908</v>
      </c>
      <c r="H9093" t="s">
        <v>30916</v>
      </c>
      <c r="I9093" t="s">
        <v>10602</v>
      </c>
      <c r="J9093" t="s">
        <v>36744</v>
      </c>
      <c r="K9093" t="s">
        <v>40282</v>
      </c>
      <c r="L9093" t="s">
        <v>1055</v>
      </c>
      <c r="M9093" t="s">
        <v>41652</v>
      </c>
      <c r="N9093" t="s">
        <v>44759</v>
      </c>
      <c r="O9093" t="s">
        <v>44760</v>
      </c>
      <c r="P9093">
        <v>0</v>
      </c>
      <c r="Q9093">
        <v>0</v>
      </c>
      <c r="R9093" t="s">
        <v>44768</v>
      </c>
      <c r="S9093" t="s">
        <v>44982</v>
      </c>
      <c r="T9093" t="s">
        <v>46549</v>
      </c>
      <c r="U9093" t="s">
        <v>54493</v>
      </c>
      <c r="W9093" t="s">
        <v>41652</v>
      </c>
      <c r="X9093" t="s">
        <v>44769</v>
      </c>
    </row>
    <row r="9094" spans="1:24">
      <c r="A9094">
        <f>HYPERLINK("https://www.philgeps.gov.ph/GEPSNONPILOT/Tender/SplashBidNoticeAbstractUI.aspx?menuIndex=3&amp;refID=7141982&amp;Result=3","7141982")</f>
        <v>0</v>
      </c>
      <c r="B9094" t="s">
        <v>2896</v>
      </c>
      <c r="C9094" t="s">
        <v>12377</v>
      </c>
      <c r="D9094" t="s">
        <v>17985</v>
      </c>
      <c r="E9094" t="s">
        <v>18282</v>
      </c>
      <c r="F9094" t="s">
        <v>30899</v>
      </c>
      <c r="G9094" t="s">
        <v>30907</v>
      </c>
      <c r="H9094" t="s">
        <v>30917</v>
      </c>
      <c r="I9094" t="s">
        <v>30933</v>
      </c>
      <c r="J9094" t="s">
        <v>31341</v>
      </c>
      <c r="K9094" t="s">
        <v>40286</v>
      </c>
      <c r="M9094" t="s">
        <v>43689</v>
      </c>
      <c r="N9094" t="s">
        <v>44759</v>
      </c>
      <c r="O9094" t="s">
        <v>44760</v>
      </c>
      <c r="P9094">
        <v>0</v>
      </c>
      <c r="Q9094">
        <v>0</v>
      </c>
      <c r="R9094" t="s">
        <v>44768</v>
      </c>
      <c r="S9094" t="s">
        <v>44982</v>
      </c>
      <c r="T9094" t="s">
        <v>46743</v>
      </c>
      <c r="U9094" t="s">
        <v>54494</v>
      </c>
      <c r="V9094" t="s">
        <v>60105</v>
      </c>
      <c r="W9094" t="s">
        <v>43689</v>
      </c>
      <c r="X9094" t="s">
        <v>44769</v>
      </c>
    </row>
    <row r="9095" spans="1:24">
      <c r="A9095">
        <f>HYPERLINK("https://www.philgeps.gov.ph/GEPSNONPILOT/Tender/SplashBidNoticeAbstractUI.aspx?menuIndex=3&amp;refID=7141750&amp;Result=3","7141750")</f>
        <v>0</v>
      </c>
      <c r="B9095" t="s">
        <v>2897</v>
      </c>
      <c r="C9095" t="s">
        <v>12378</v>
      </c>
      <c r="E9095" t="s">
        <v>25949</v>
      </c>
      <c r="F9095" t="s">
        <v>30900</v>
      </c>
      <c r="G9095" t="s">
        <v>30907</v>
      </c>
      <c r="H9095" t="s">
        <v>30916</v>
      </c>
      <c r="I9095" t="s">
        <v>10961</v>
      </c>
      <c r="J9095" t="s">
        <v>33787</v>
      </c>
      <c r="K9095" t="s">
        <v>40289</v>
      </c>
      <c r="M9095" t="s">
        <v>43690</v>
      </c>
      <c r="N9095" t="s">
        <v>44759</v>
      </c>
      <c r="O9095" t="s">
        <v>44760</v>
      </c>
      <c r="P9095">
        <v>0</v>
      </c>
      <c r="Q9095">
        <v>11</v>
      </c>
      <c r="R9095" t="s">
        <v>44768</v>
      </c>
      <c r="S9095" t="s">
        <v>44982</v>
      </c>
      <c r="T9095" t="s">
        <v>46495</v>
      </c>
      <c r="U9095" t="s">
        <v>54495</v>
      </c>
      <c r="V9095" t="s">
        <v>60106</v>
      </c>
      <c r="W9095" t="s">
        <v>43690</v>
      </c>
      <c r="X9095" t="s">
        <v>44769</v>
      </c>
    </row>
    <row r="9096" spans="1:24">
      <c r="A9096">
        <f>HYPERLINK("https://www.philgeps.gov.ph/GEPSNONPILOT/Tender/SplashBidNoticeAbstractUI.aspx?menuIndex=3&amp;refID=7141749&amp;Result=3","7141749")</f>
        <v>0</v>
      </c>
      <c r="B9096" t="s">
        <v>143</v>
      </c>
      <c r="C9096" t="s">
        <v>12379</v>
      </c>
      <c r="D9096" t="s">
        <v>17965</v>
      </c>
      <c r="E9096" t="s">
        <v>25950</v>
      </c>
      <c r="F9096" t="s">
        <v>30900</v>
      </c>
      <c r="G9096" t="s">
        <v>30907</v>
      </c>
      <c r="H9096" t="s">
        <v>30915</v>
      </c>
      <c r="I9096" t="s">
        <v>30919</v>
      </c>
      <c r="J9096" t="s">
        <v>36745</v>
      </c>
      <c r="K9096" t="s">
        <v>40329</v>
      </c>
      <c r="M9096" t="s">
        <v>40854</v>
      </c>
      <c r="N9096" t="s">
        <v>44759</v>
      </c>
      <c r="O9096" t="s">
        <v>44760</v>
      </c>
      <c r="P9096">
        <v>0</v>
      </c>
      <c r="Q9096">
        <v>0</v>
      </c>
      <c r="R9096" t="s">
        <v>44768</v>
      </c>
      <c r="S9096" t="s">
        <v>44982</v>
      </c>
      <c r="T9096" t="s">
        <v>46581</v>
      </c>
      <c r="U9096" t="s">
        <v>54381</v>
      </c>
      <c r="W9096" t="s">
        <v>40854</v>
      </c>
      <c r="X9096" t="s">
        <v>44769</v>
      </c>
    </row>
    <row r="9097" spans="1:24">
      <c r="A9097">
        <f>HYPERLINK("https://www.philgeps.gov.ph/GEPSNONPILOT/Tender/SplashBidNoticeAbstractUI.aspx?menuIndex=3&amp;refID=7141908&amp;Result=3","7141908")</f>
        <v>0</v>
      </c>
      <c r="B9097" t="s">
        <v>2880</v>
      </c>
      <c r="C9097" t="s">
        <v>12380</v>
      </c>
      <c r="D9097" t="s">
        <v>17966</v>
      </c>
      <c r="E9097" t="s">
        <v>25951</v>
      </c>
      <c r="F9097" t="s">
        <v>30900</v>
      </c>
      <c r="G9097" t="s">
        <v>30907</v>
      </c>
      <c r="H9097" t="s">
        <v>30916</v>
      </c>
      <c r="I9097" t="s">
        <v>6746</v>
      </c>
      <c r="J9097" t="s">
        <v>36746</v>
      </c>
      <c r="K9097" t="s">
        <v>40286</v>
      </c>
      <c r="M9097" t="s">
        <v>43672</v>
      </c>
      <c r="N9097" t="s">
        <v>44759</v>
      </c>
      <c r="O9097" t="s">
        <v>44760</v>
      </c>
      <c r="P9097">
        <v>0</v>
      </c>
      <c r="Q9097">
        <v>0</v>
      </c>
      <c r="R9097" t="s">
        <v>44768</v>
      </c>
      <c r="S9097" t="s">
        <v>44982</v>
      </c>
      <c r="T9097" t="s">
        <v>46495</v>
      </c>
      <c r="U9097" t="s">
        <v>54496</v>
      </c>
      <c r="V9097" t="s">
        <v>60107</v>
      </c>
      <c r="W9097" t="s">
        <v>43672</v>
      </c>
      <c r="X9097" t="s">
        <v>44769</v>
      </c>
    </row>
    <row r="9098" spans="1:24">
      <c r="A9098">
        <f>HYPERLINK("https://www.philgeps.gov.ph/GEPSNONPILOT/Tender/SplashBidNoticeAbstractUI.aspx?menuIndex=3&amp;refID=7141741&amp;Result=3","7141741")</f>
        <v>0</v>
      </c>
      <c r="B9098" t="s">
        <v>1055</v>
      </c>
      <c r="C9098" t="s">
        <v>12381</v>
      </c>
      <c r="D9098" t="s">
        <v>18017</v>
      </c>
      <c r="E9098" t="s">
        <v>25952</v>
      </c>
      <c r="F9098" t="s">
        <v>30900</v>
      </c>
      <c r="G9098" t="s">
        <v>30908</v>
      </c>
      <c r="H9098" t="s">
        <v>30916</v>
      </c>
      <c r="I9098" t="s">
        <v>10602</v>
      </c>
      <c r="J9098" t="s">
        <v>36747</v>
      </c>
      <c r="K9098" t="s">
        <v>40282</v>
      </c>
      <c r="L9098" t="s">
        <v>1055</v>
      </c>
      <c r="M9098" t="s">
        <v>41652</v>
      </c>
      <c r="N9098" t="s">
        <v>44759</v>
      </c>
      <c r="O9098" t="s">
        <v>44760</v>
      </c>
      <c r="P9098">
        <v>0</v>
      </c>
      <c r="Q9098">
        <v>0</v>
      </c>
      <c r="R9098" t="s">
        <v>44768</v>
      </c>
      <c r="S9098" t="s">
        <v>44982</v>
      </c>
      <c r="T9098" t="s">
        <v>46549</v>
      </c>
      <c r="U9098" t="s">
        <v>54497</v>
      </c>
      <c r="W9098" t="s">
        <v>41652</v>
      </c>
      <c r="X9098" t="s">
        <v>44769</v>
      </c>
    </row>
    <row r="9099" spans="1:24">
      <c r="A9099">
        <f>HYPERLINK("https://www.philgeps.gov.ph/GEPSNONPILOT/Tender/SplashBidNoticeAbstractUI.aspx?menuIndex=3&amp;refID=7141707&amp;Result=3","7141707")</f>
        <v>0</v>
      </c>
      <c r="B9099" t="s">
        <v>255</v>
      </c>
      <c r="C9099" t="s">
        <v>12382</v>
      </c>
      <c r="D9099" t="s">
        <v>17980</v>
      </c>
      <c r="E9099" t="s">
        <v>25953</v>
      </c>
      <c r="F9099" t="s">
        <v>30900</v>
      </c>
      <c r="G9099" t="s">
        <v>30907</v>
      </c>
      <c r="H9099" t="s">
        <v>30916</v>
      </c>
      <c r="I9099" t="s">
        <v>6953</v>
      </c>
      <c r="J9099" t="s">
        <v>31285</v>
      </c>
      <c r="K9099" t="s">
        <v>40286</v>
      </c>
      <c r="M9099" t="s">
        <v>40802</v>
      </c>
      <c r="N9099" t="s">
        <v>44759</v>
      </c>
      <c r="O9099" t="s">
        <v>44760</v>
      </c>
      <c r="P9099">
        <v>0</v>
      </c>
      <c r="Q9099">
        <v>0</v>
      </c>
      <c r="R9099" t="s">
        <v>44768</v>
      </c>
      <c r="S9099" t="s">
        <v>44982</v>
      </c>
      <c r="T9099" t="s">
        <v>46403</v>
      </c>
      <c r="U9099" t="s">
        <v>52217</v>
      </c>
      <c r="W9099" t="s">
        <v>40802</v>
      </c>
      <c r="X9099" t="s">
        <v>44769</v>
      </c>
    </row>
    <row r="9100" spans="1:24">
      <c r="A9100">
        <f>HYPERLINK("https://www.philgeps.gov.ph/GEPSNONPILOT/Tender/SplashBidNoticeAbstractUI.aspx?menuIndex=3&amp;refID=7141790&amp;Result=3","7141790")</f>
        <v>0</v>
      </c>
      <c r="B9100" t="s">
        <v>1089</v>
      </c>
      <c r="C9100" t="s">
        <v>12383</v>
      </c>
      <c r="D9100" t="s">
        <v>17959</v>
      </c>
      <c r="E9100" t="s">
        <v>25954</v>
      </c>
      <c r="F9100" t="s">
        <v>30900</v>
      </c>
      <c r="G9100" t="s">
        <v>30908</v>
      </c>
      <c r="H9100" t="s">
        <v>30916</v>
      </c>
      <c r="I9100" t="s">
        <v>8123</v>
      </c>
      <c r="J9100" t="s">
        <v>36748</v>
      </c>
      <c r="K9100" t="s">
        <v>40284</v>
      </c>
      <c r="M9100" t="s">
        <v>41689</v>
      </c>
      <c r="N9100" t="s">
        <v>44759</v>
      </c>
      <c r="O9100" t="s">
        <v>44760</v>
      </c>
      <c r="P9100">
        <v>0</v>
      </c>
      <c r="Q9100">
        <v>7</v>
      </c>
      <c r="R9100" t="s">
        <v>44768</v>
      </c>
      <c r="S9100" t="s">
        <v>44982</v>
      </c>
      <c r="T9100" t="s">
        <v>46658</v>
      </c>
      <c r="U9100" t="s">
        <v>54498</v>
      </c>
      <c r="W9100" t="s">
        <v>41689</v>
      </c>
      <c r="X9100" t="s">
        <v>44769</v>
      </c>
    </row>
    <row r="9101" spans="1:24">
      <c r="A9101">
        <f>HYPERLINK("https://www.philgeps.gov.ph/GEPSNONPILOT/Tender/SplashBidNoticeAbstractUI.aspx?menuIndex=3&amp;refID=7141706&amp;Result=3","7141706")</f>
        <v>0</v>
      </c>
      <c r="B9101" t="s">
        <v>2898</v>
      </c>
      <c r="C9101" t="s">
        <v>12384</v>
      </c>
      <c r="D9101" t="s">
        <v>17951</v>
      </c>
      <c r="E9101" t="s">
        <v>25955</v>
      </c>
      <c r="F9101" t="s">
        <v>30900</v>
      </c>
      <c r="G9101" t="s">
        <v>30907</v>
      </c>
      <c r="H9101" t="s">
        <v>30916</v>
      </c>
      <c r="I9101" t="s">
        <v>8123</v>
      </c>
      <c r="J9101" t="s">
        <v>36749</v>
      </c>
      <c r="K9101" t="s">
        <v>40280</v>
      </c>
      <c r="M9101" t="s">
        <v>43691</v>
      </c>
      <c r="N9101" t="s">
        <v>44759</v>
      </c>
      <c r="O9101" t="s">
        <v>44760</v>
      </c>
      <c r="P9101">
        <v>0</v>
      </c>
      <c r="Q9101">
        <v>0</v>
      </c>
      <c r="R9101" t="s">
        <v>44768</v>
      </c>
      <c r="S9101" t="s">
        <v>44982</v>
      </c>
      <c r="T9101" t="s">
        <v>46625</v>
      </c>
      <c r="U9101" t="s">
        <v>54499</v>
      </c>
      <c r="W9101" t="s">
        <v>43691</v>
      </c>
      <c r="X9101" t="s">
        <v>44769</v>
      </c>
    </row>
    <row r="9102" spans="1:24">
      <c r="A9102">
        <f>HYPERLINK("https://www.philgeps.gov.ph/GEPSNONPILOT/Tender/SplashBidNoticeAbstractUI.aspx?menuIndex=3&amp;refID=7141917&amp;Result=3","7141917")</f>
        <v>0</v>
      </c>
      <c r="B9102" t="s">
        <v>2823</v>
      </c>
      <c r="C9102" t="s">
        <v>12385</v>
      </c>
      <c r="D9102" t="s">
        <v>18006</v>
      </c>
      <c r="E9102" t="s">
        <v>25956</v>
      </c>
      <c r="F9102" t="s">
        <v>30900</v>
      </c>
      <c r="G9102" t="s">
        <v>30907</v>
      </c>
      <c r="H9102" t="s">
        <v>30915</v>
      </c>
      <c r="I9102" t="s">
        <v>30919</v>
      </c>
      <c r="J9102" t="s">
        <v>31152</v>
      </c>
      <c r="K9102" t="s">
        <v>40289</v>
      </c>
      <c r="M9102" t="s">
        <v>43608</v>
      </c>
      <c r="N9102" t="s">
        <v>44759</v>
      </c>
      <c r="O9102" t="s">
        <v>44760</v>
      </c>
      <c r="P9102">
        <v>0</v>
      </c>
      <c r="Q9102">
        <v>1</v>
      </c>
      <c r="R9102" t="s">
        <v>44768</v>
      </c>
      <c r="S9102" t="s">
        <v>44982</v>
      </c>
      <c r="T9102" t="s">
        <v>46472</v>
      </c>
      <c r="U9102" t="s">
        <v>54500</v>
      </c>
      <c r="V9102" t="s">
        <v>60070</v>
      </c>
      <c r="W9102" t="s">
        <v>43608</v>
      </c>
      <c r="X9102" t="s">
        <v>44769</v>
      </c>
    </row>
    <row r="9103" spans="1:24">
      <c r="A9103">
        <f>HYPERLINK("https://www.philgeps.gov.ph/GEPSNONPILOT/Tender/SplashBidNoticeAbstractUI.aspx?menuIndex=3&amp;refID=7141745&amp;Result=3","7141745")</f>
        <v>0</v>
      </c>
      <c r="B9103" t="s">
        <v>2899</v>
      </c>
      <c r="C9103" t="s">
        <v>12386</v>
      </c>
      <c r="D9103" t="s">
        <v>17952</v>
      </c>
      <c r="E9103" t="s">
        <v>25957</v>
      </c>
      <c r="F9103" t="s">
        <v>30900</v>
      </c>
      <c r="G9103" t="s">
        <v>30907</v>
      </c>
      <c r="H9103" t="s">
        <v>30916</v>
      </c>
      <c r="I9103" t="s">
        <v>30977</v>
      </c>
      <c r="J9103" t="s">
        <v>31152</v>
      </c>
      <c r="K9103" t="s">
        <v>40286</v>
      </c>
      <c r="M9103" t="s">
        <v>43692</v>
      </c>
      <c r="N9103" t="s">
        <v>44759</v>
      </c>
      <c r="O9103" t="s">
        <v>44760</v>
      </c>
      <c r="P9103">
        <v>0</v>
      </c>
      <c r="Q9103">
        <v>1</v>
      </c>
      <c r="R9103" t="s">
        <v>44768</v>
      </c>
      <c r="S9103" t="s">
        <v>44982</v>
      </c>
      <c r="T9103" t="s">
        <v>46829</v>
      </c>
      <c r="U9103" t="s">
        <v>54501</v>
      </c>
      <c r="W9103" t="s">
        <v>43692</v>
      </c>
      <c r="X9103" t="s">
        <v>44769</v>
      </c>
    </row>
    <row r="9104" spans="1:24">
      <c r="A9104">
        <f>HYPERLINK("https://www.philgeps.gov.ph/GEPSNONPILOT/Tender/SplashBidNoticeAbstractUI.aspx?menuIndex=3&amp;refID=7141698&amp;Result=3","7141698")</f>
        <v>0</v>
      </c>
      <c r="B9104" t="s">
        <v>2900</v>
      </c>
      <c r="C9104" t="s">
        <v>12387</v>
      </c>
      <c r="D9104" t="s">
        <v>17952</v>
      </c>
      <c r="E9104" t="s">
        <v>18935</v>
      </c>
      <c r="F9104" t="s">
        <v>30900</v>
      </c>
      <c r="G9104" t="s">
        <v>30907</v>
      </c>
      <c r="H9104" t="s">
        <v>30916</v>
      </c>
      <c r="I9104" t="s">
        <v>30919</v>
      </c>
      <c r="J9104" t="s">
        <v>36750</v>
      </c>
      <c r="K9104" t="s">
        <v>40289</v>
      </c>
      <c r="M9104" t="s">
        <v>43693</v>
      </c>
      <c r="N9104" t="s">
        <v>44759</v>
      </c>
      <c r="O9104" t="s">
        <v>44760</v>
      </c>
      <c r="P9104">
        <v>0</v>
      </c>
      <c r="Q9104">
        <v>0</v>
      </c>
      <c r="R9104" t="s">
        <v>44768</v>
      </c>
      <c r="S9104" t="s">
        <v>44982</v>
      </c>
      <c r="T9104" t="s">
        <v>46625</v>
      </c>
      <c r="U9104" t="s">
        <v>54502</v>
      </c>
      <c r="W9104" t="s">
        <v>43693</v>
      </c>
      <c r="X9104" t="s">
        <v>44769</v>
      </c>
    </row>
    <row r="9105" spans="1:24">
      <c r="A9105">
        <f>HYPERLINK("https://www.philgeps.gov.ph/GEPSNONPILOT/Tender/SplashBidNoticeAbstractUI.aspx?menuIndex=3&amp;refID=7141740&amp;Result=3","7141740")</f>
        <v>0</v>
      </c>
      <c r="B9105" t="s">
        <v>143</v>
      </c>
      <c r="C9105" t="s">
        <v>12388</v>
      </c>
      <c r="D9105" t="s">
        <v>17965</v>
      </c>
      <c r="E9105" t="s">
        <v>25958</v>
      </c>
      <c r="F9105" t="s">
        <v>30900</v>
      </c>
      <c r="G9105" t="s">
        <v>30907</v>
      </c>
      <c r="H9105" t="s">
        <v>30915</v>
      </c>
      <c r="I9105" t="s">
        <v>30919</v>
      </c>
      <c r="J9105" t="s">
        <v>36751</v>
      </c>
      <c r="K9105" t="s">
        <v>40284</v>
      </c>
      <c r="M9105" t="s">
        <v>40854</v>
      </c>
      <c r="N9105" t="s">
        <v>44759</v>
      </c>
      <c r="O9105" t="s">
        <v>44760</v>
      </c>
      <c r="P9105">
        <v>0</v>
      </c>
      <c r="Q9105">
        <v>0</v>
      </c>
      <c r="R9105" t="s">
        <v>44768</v>
      </c>
      <c r="S9105" t="s">
        <v>44982</v>
      </c>
      <c r="T9105" t="s">
        <v>46581</v>
      </c>
      <c r="U9105" t="s">
        <v>54381</v>
      </c>
      <c r="W9105" t="s">
        <v>40854</v>
      </c>
      <c r="X9105" t="s">
        <v>44769</v>
      </c>
    </row>
    <row r="9106" spans="1:24">
      <c r="A9106">
        <f>HYPERLINK("https://www.philgeps.gov.ph/GEPSNONPILOT/Tender/SplashBidNoticeAbstractUI.aspx?menuIndex=3&amp;refID=7141584&amp;Result=3","7141584")</f>
        <v>0</v>
      </c>
      <c r="B9106" t="s">
        <v>1841</v>
      </c>
      <c r="C9106" t="s">
        <v>12389</v>
      </c>
      <c r="E9106" t="s">
        <v>25959</v>
      </c>
      <c r="F9106" t="s">
        <v>30900</v>
      </c>
      <c r="G9106" t="s">
        <v>30907</v>
      </c>
      <c r="H9106" t="s">
        <v>30916</v>
      </c>
      <c r="I9106" t="s">
        <v>4108</v>
      </c>
      <c r="J9106" t="s">
        <v>34185</v>
      </c>
      <c r="K9106" t="s">
        <v>40289</v>
      </c>
      <c r="M9106" t="s">
        <v>42513</v>
      </c>
      <c r="N9106" t="s">
        <v>44759</v>
      </c>
      <c r="O9106" t="s">
        <v>44760</v>
      </c>
      <c r="P9106">
        <v>0</v>
      </c>
      <c r="Q9106">
        <v>0</v>
      </c>
      <c r="R9106" t="s">
        <v>44768</v>
      </c>
      <c r="S9106" t="s">
        <v>44982</v>
      </c>
      <c r="T9106" t="s">
        <v>46548</v>
      </c>
      <c r="U9106" t="s">
        <v>51140</v>
      </c>
      <c r="W9106" t="s">
        <v>42513</v>
      </c>
      <c r="X9106" t="s">
        <v>44769</v>
      </c>
    </row>
    <row r="9107" spans="1:24">
      <c r="A9107">
        <f>HYPERLINK("https://www.philgeps.gov.ph/GEPSNONPILOT/Tender/SplashBidNoticeAbstractUI.aspx?menuIndex=3&amp;refID=7141582&amp;Result=3","7141582")</f>
        <v>0</v>
      </c>
      <c r="B9107" t="s">
        <v>1119</v>
      </c>
      <c r="C9107" t="s">
        <v>12390</v>
      </c>
      <c r="D9107" t="s">
        <v>18038</v>
      </c>
      <c r="E9107" t="s">
        <v>25960</v>
      </c>
      <c r="F9107" t="s">
        <v>30900</v>
      </c>
      <c r="G9107" t="s">
        <v>30907</v>
      </c>
      <c r="H9107" t="s">
        <v>30916</v>
      </c>
      <c r="I9107" t="s">
        <v>7708</v>
      </c>
      <c r="J9107" t="s">
        <v>36752</v>
      </c>
      <c r="K9107" t="s">
        <v>40280</v>
      </c>
      <c r="M9107" t="s">
        <v>42602</v>
      </c>
      <c r="N9107" t="s">
        <v>44759</v>
      </c>
      <c r="O9107" t="s">
        <v>44760</v>
      </c>
      <c r="Q9107">
        <v>7</v>
      </c>
      <c r="R9107" t="s">
        <v>44768</v>
      </c>
      <c r="S9107" t="s">
        <v>45039</v>
      </c>
      <c r="T9107" t="s">
        <v>46561</v>
      </c>
      <c r="U9107" t="s">
        <v>54360</v>
      </c>
      <c r="V9107" t="s">
        <v>59685</v>
      </c>
      <c r="W9107" t="s">
        <v>42602</v>
      </c>
      <c r="X9107" t="s">
        <v>44769</v>
      </c>
    </row>
    <row r="9108" spans="1:24">
      <c r="A9108">
        <f>HYPERLINK("https://www.philgeps.gov.ph/GEPSNONPILOT/Tender/SplashBidNoticeAbstractUI.aspx?menuIndex=3&amp;refID=7141704&amp;Result=3","7141704")</f>
        <v>0</v>
      </c>
      <c r="B9108" t="s">
        <v>1055</v>
      </c>
      <c r="C9108" t="s">
        <v>12391</v>
      </c>
      <c r="D9108" t="s">
        <v>18017</v>
      </c>
      <c r="E9108" t="s">
        <v>25961</v>
      </c>
      <c r="F9108" t="s">
        <v>30900</v>
      </c>
      <c r="G9108" t="s">
        <v>30908</v>
      </c>
      <c r="H9108" t="s">
        <v>30916</v>
      </c>
      <c r="I9108" t="s">
        <v>10602</v>
      </c>
      <c r="J9108" t="s">
        <v>36753</v>
      </c>
      <c r="K9108" t="s">
        <v>40317</v>
      </c>
      <c r="L9108" t="s">
        <v>1055</v>
      </c>
      <c r="M9108" t="s">
        <v>41652</v>
      </c>
      <c r="N9108" t="s">
        <v>44759</v>
      </c>
      <c r="O9108" t="s">
        <v>44760</v>
      </c>
      <c r="P9108">
        <v>0</v>
      </c>
      <c r="Q9108">
        <v>0</v>
      </c>
      <c r="R9108" t="s">
        <v>44768</v>
      </c>
      <c r="S9108" t="s">
        <v>44982</v>
      </c>
      <c r="T9108" t="s">
        <v>46395</v>
      </c>
      <c r="U9108" t="s">
        <v>54503</v>
      </c>
      <c r="W9108" t="s">
        <v>41652</v>
      </c>
      <c r="X9108" t="s">
        <v>44769</v>
      </c>
    </row>
    <row r="9109" spans="1:24">
      <c r="A9109">
        <f>HYPERLINK("https://www.philgeps.gov.ph/GEPSNONPILOT/Tender/SplashBidNoticeAbstractUI.aspx?menuIndex=3&amp;refID=7141742&amp;Result=3","7141742")</f>
        <v>0</v>
      </c>
      <c r="B9109" t="s">
        <v>1117</v>
      </c>
      <c r="C9109" t="s">
        <v>12392</v>
      </c>
      <c r="D9109" t="s">
        <v>17959</v>
      </c>
      <c r="E9109" t="s">
        <v>25962</v>
      </c>
      <c r="F9109" t="s">
        <v>30900</v>
      </c>
      <c r="G9109" t="s">
        <v>30907</v>
      </c>
      <c r="H9109" t="s">
        <v>7411</v>
      </c>
      <c r="I9109" t="s">
        <v>7411</v>
      </c>
      <c r="J9109" t="s">
        <v>31069</v>
      </c>
      <c r="K9109" t="s">
        <v>40334</v>
      </c>
      <c r="M9109" t="s">
        <v>43694</v>
      </c>
      <c r="N9109" t="s">
        <v>44759</v>
      </c>
      <c r="O9109" t="s">
        <v>44760</v>
      </c>
      <c r="Q9109">
        <v>5</v>
      </c>
      <c r="R9109" t="s">
        <v>44768</v>
      </c>
      <c r="S9109" t="s">
        <v>45040</v>
      </c>
      <c r="T9109" t="s">
        <v>46771</v>
      </c>
      <c r="U9109" t="s">
        <v>54504</v>
      </c>
      <c r="W9109" t="s">
        <v>43694</v>
      </c>
      <c r="X9109" t="s">
        <v>44769</v>
      </c>
    </row>
    <row r="9110" spans="1:24">
      <c r="A9110">
        <f>HYPERLINK("https://www.philgeps.gov.ph/GEPSNONPILOT/Tender/SplashBidNoticeAbstractUI.aspx?menuIndex=3&amp;refID=7141581&amp;Result=3","7141581")</f>
        <v>0</v>
      </c>
      <c r="B9110" t="s">
        <v>2865</v>
      </c>
      <c r="C9110" t="s">
        <v>12393</v>
      </c>
      <c r="D9110" t="s">
        <v>18025</v>
      </c>
      <c r="E9110" t="s">
        <v>25963</v>
      </c>
      <c r="F9110" t="s">
        <v>30900</v>
      </c>
      <c r="G9110" t="s">
        <v>30906</v>
      </c>
      <c r="H9110" t="s">
        <v>30916</v>
      </c>
      <c r="I9110" t="s">
        <v>8123</v>
      </c>
      <c r="J9110" t="s">
        <v>36754</v>
      </c>
      <c r="K9110" t="s">
        <v>40284</v>
      </c>
      <c r="M9110" t="s">
        <v>43653</v>
      </c>
      <c r="N9110" t="s">
        <v>44759</v>
      </c>
      <c r="O9110" t="s">
        <v>44760</v>
      </c>
      <c r="P9110">
        <v>0</v>
      </c>
      <c r="Q9110">
        <v>0</v>
      </c>
      <c r="R9110" t="s">
        <v>44768</v>
      </c>
      <c r="S9110" t="s">
        <v>44982</v>
      </c>
      <c r="T9110" t="s">
        <v>46625</v>
      </c>
      <c r="U9110" t="s">
        <v>47619</v>
      </c>
      <c r="V9110" t="s">
        <v>60091</v>
      </c>
      <c r="W9110" t="s">
        <v>43653</v>
      </c>
      <c r="X9110" t="s">
        <v>44769</v>
      </c>
    </row>
    <row r="9111" spans="1:24">
      <c r="A9111">
        <f>HYPERLINK("https://www.philgeps.gov.ph/GEPSNONPILOT/Tender/SplashBidNoticeAbstractUI.aspx?menuIndex=3&amp;refID=7141572&amp;Result=3","7141572")</f>
        <v>0</v>
      </c>
      <c r="B9111" t="s">
        <v>1119</v>
      </c>
      <c r="C9111" t="s">
        <v>12394</v>
      </c>
      <c r="D9111" t="s">
        <v>18038</v>
      </c>
      <c r="E9111" t="s">
        <v>25964</v>
      </c>
      <c r="F9111" t="s">
        <v>30900</v>
      </c>
      <c r="G9111" t="s">
        <v>30907</v>
      </c>
      <c r="H9111" t="s">
        <v>30916</v>
      </c>
      <c r="I9111" t="s">
        <v>7708</v>
      </c>
      <c r="J9111" t="s">
        <v>36755</v>
      </c>
      <c r="K9111" t="s">
        <v>40292</v>
      </c>
      <c r="M9111" t="s">
        <v>42602</v>
      </c>
      <c r="N9111" t="s">
        <v>44759</v>
      </c>
      <c r="O9111" t="s">
        <v>44760</v>
      </c>
      <c r="Q9111">
        <v>7</v>
      </c>
      <c r="R9111" t="s">
        <v>44768</v>
      </c>
      <c r="S9111" t="s">
        <v>45041</v>
      </c>
      <c r="T9111" t="s">
        <v>46370</v>
      </c>
      <c r="U9111" t="s">
        <v>54360</v>
      </c>
      <c r="V9111" t="s">
        <v>59685</v>
      </c>
      <c r="W9111" t="s">
        <v>42602</v>
      </c>
      <c r="X9111" t="s">
        <v>44769</v>
      </c>
    </row>
    <row r="9112" spans="1:24">
      <c r="A9112">
        <f>HYPERLINK("https://www.philgeps.gov.ph/GEPSNONPILOT/Tender/SplashBidNoticeAbstractUI.aspx?menuIndex=3&amp;refID=7141701&amp;Result=3","7141701")</f>
        <v>0</v>
      </c>
      <c r="B9112" t="s">
        <v>255</v>
      </c>
      <c r="C9112" t="s">
        <v>12395</v>
      </c>
      <c r="D9112" t="s">
        <v>17980</v>
      </c>
      <c r="E9112" t="s">
        <v>25965</v>
      </c>
      <c r="F9112" t="s">
        <v>30900</v>
      </c>
      <c r="G9112" t="s">
        <v>30907</v>
      </c>
      <c r="H9112" t="s">
        <v>30916</v>
      </c>
      <c r="I9112" t="s">
        <v>6396</v>
      </c>
      <c r="J9112" t="s">
        <v>36756</v>
      </c>
      <c r="K9112" t="s">
        <v>40286</v>
      </c>
      <c r="M9112" t="s">
        <v>40802</v>
      </c>
      <c r="N9112" t="s">
        <v>44759</v>
      </c>
      <c r="O9112" t="s">
        <v>44760</v>
      </c>
      <c r="P9112">
        <v>0</v>
      </c>
      <c r="Q9112">
        <v>2</v>
      </c>
      <c r="R9112" t="s">
        <v>44768</v>
      </c>
      <c r="S9112" t="s">
        <v>44982</v>
      </c>
      <c r="T9112" t="s">
        <v>46606</v>
      </c>
      <c r="U9112" t="s">
        <v>52217</v>
      </c>
      <c r="W9112" t="s">
        <v>40802</v>
      </c>
      <c r="X9112" t="s">
        <v>44769</v>
      </c>
    </row>
    <row r="9113" spans="1:24">
      <c r="A9113">
        <f>HYPERLINK("https://www.philgeps.gov.ph/GEPSNONPILOT/Tender/SplashBidNoticeAbstractUI.aspx?menuIndex=3&amp;refID=7141428&amp;Result=3","7141428")</f>
        <v>0</v>
      </c>
      <c r="B9113" t="s">
        <v>56</v>
      </c>
      <c r="C9113" t="s">
        <v>12396</v>
      </c>
      <c r="D9113" t="s">
        <v>17952</v>
      </c>
      <c r="E9113" t="s">
        <v>25966</v>
      </c>
      <c r="F9113" t="s">
        <v>30900</v>
      </c>
      <c r="G9113" t="s">
        <v>30907</v>
      </c>
      <c r="H9113" t="s">
        <v>30916</v>
      </c>
      <c r="I9113" t="s">
        <v>4545</v>
      </c>
      <c r="J9113" t="s">
        <v>36757</v>
      </c>
      <c r="K9113" t="s">
        <v>40294</v>
      </c>
      <c r="M9113" t="s">
        <v>43052</v>
      </c>
      <c r="N9113" t="s">
        <v>44759</v>
      </c>
      <c r="O9113" t="s">
        <v>44760</v>
      </c>
      <c r="P9113">
        <v>0</v>
      </c>
      <c r="Q9113">
        <v>0</v>
      </c>
      <c r="R9113" t="s">
        <v>44768</v>
      </c>
      <c r="S9113" t="s">
        <v>44982</v>
      </c>
      <c r="T9113" t="s">
        <v>46450</v>
      </c>
      <c r="U9113" t="s">
        <v>54505</v>
      </c>
      <c r="V9113" t="s">
        <v>59108</v>
      </c>
      <c r="W9113" t="s">
        <v>43052</v>
      </c>
      <c r="X9113" t="s">
        <v>44769</v>
      </c>
    </row>
    <row r="9114" spans="1:24">
      <c r="A9114">
        <f>HYPERLINK("https://www.philgeps.gov.ph/GEPSNONPILOT/Tender/SplashBidNoticeAbstractUI.aspx?menuIndex=3&amp;refID=7141421&amp;Result=3","7141421")</f>
        <v>0</v>
      </c>
      <c r="B9114" t="s">
        <v>1274</v>
      </c>
      <c r="C9114" t="s">
        <v>12397</v>
      </c>
      <c r="D9114" t="s">
        <v>18017</v>
      </c>
      <c r="E9114" t="s">
        <v>25967</v>
      </c>
      <c r="F9114" t="s">
        <v>30900</v>
      </c>
      <c r="G9114" t="s">
        <v>30907</v>
      </c>
      <c r="H9114" t="s">
        <v>30916</v>
      </c>
      <c r="I9114" t="s">
        <v>30947</v>
      </c>
      <c r="J9114" t="s">
        <v>31243</v>
      </c>
      <c r="K9114" t="s">
        <v>40333</v>
      </c>
      <c r="M9114" t="s">
        <v>41890</v>
      </c>
      <c r="N9114" t="s">
        <v>44759</v>
      </c>
      <c r="O9114" t="s">
        <v>44760</v>
      </c>
      <c r="P9114">
        <v>0</v>
      </c>
      <c r="Q9114">
        <v>0</v>
      </c>
      <c r="R9114" t="s">
        <v>44768</v>
      </c>
      <c r="S9114" t="s">
        <v>44982</v>
      </c>
      <c r="T9114" t="s">
        <v>46581</v>
      </c>
      <c r="U9114" t="s">
        <v>54506</v>
      </c>
      <c r="V9114" t="s">
        <v>59453</v>
      </c>
      <c r="W9114" t="s">
        <v>41890</v>
      </c>
      <c r="X9114" t="s">
        <v>44769</v>
      </c>
    </row>
    <row r="9115" spans="1:24">
      <c r="A9115">
        <f>HYPERLINK("https://www.philgeps.gov.ph/GEPSNONPILOT/Tender/SplashBidNoticeAbstractUI.aspx?menuIndex=3&amp;refID=7141793&amp;Result=3","7141793")</f>
        <v>0</v>
      </c>
      <c r="B9115" t="s">
        <v>2901</v>
      </c>
      <c r="C9115" t="s">
        <v>12398</v>
      </c>
      <c r="D9115" t="s">
        <v>17991</v>
      </c>
      <c r="E9115" t="s">
        <v>25968</v>
      </c>
      <c r="F9115" t="s">
        <v>30900</v>
      </c>
      <c r="G9115" t="s">
        <v>30907</v>
      </c>
      <c r="H9115" t="s">
        <v>30915</v>
      </c>
      <c r="I9115" t="s">
        <v>30919</v>
      </c>
      <c r="J9115" t="s">
        <v>36758</v>
      </c>
      <c r="K9115" t="s">
        <v>40304</v>
      </c>
      <c r="M9115" t="s">
        <v>43695</v>
      </c>
      <c r="N9115" t="s">
        <v>44759</v>
      </c>
      <c r="O9115" t="s">
        <v>44760</v>
      </c>
      <c r="P9115">
        <v>0</v>
      </c>
      <c r="Q9115">
        <v>0</v>
      </c>
      <c r="R9115" t="s">
        <v>44768</v>
      </c>
      <c r="S9115" t="s">
        <v>44982</v>
      </c>
      <c r="T9115" t="s">
        <v>46411</v>
      </c>
      <c r="U9115" t="s">
        <v>54507</v>
      </c>
      <c r="W9115" t="s">
        <v>43695</v>
      </c>
      <c r="X9115" t="s">
        <v>44769</v>
      </c>
    </row>
    <row r="9116" spans="1:24">
      <c r="A9116">
        <f>HYPERLINK("https://www.philgeps.gov.ph/GEPSNONPILOT/Tender/SplashBidNoticeAbstractUI.aspx?menuIndex=3&amp;refID=7141375&amp;Result=3","7141375")</f>
        <v>0</v>
      </c>
      <c r="B9116" t="s">
        <v>2823</v>
      </c>
      <c r="C9116" t="s">
        <v>12399</v>
      </c>
      <c r="D9116" t="s">
        <v>18006</v>
      </c>
      <c r="E9116" t="s">
        <v>25969</v>
      </c>
      <c r="F9116" t="s">
        <v>30900</v>
      </c>
      <c r="G9116" t="s">
        <v>30907</v>
      </c>
      <c r="H9116" t="s">
        <v>30915</v>
      </c>
      <c r="I9116" t="s">
        <v>30932</v>
      </c>
      <c r="J9116" t="s">
        <v>31669</v>
      </c>
      <c r="K9116" t="s">
        <v>40289</v>
      </c>
      <c r="M9116" t="s">
        <v>43608</v>
      </c>
      <c r="N9116" t="s">
        <v>44759</v>
      </c>
      <c r="O9116" t="s">
        <v>44760</v>
      </c>
      <c r="P9116">
        <v>0</v>
      </c>
      <c r="Q9116">
        <v>0</v>
      </c>
      <c r="R9116" t="s">
        <v>44768</v>
      </c>
      <c r="S9116" t="s">
        <v>44982</v>
      </c>
      <c r="T9116" t="s">
        <v>46472</v>
      </c>
      <c r="U9116" t="s">
        <v>54214</v>
      </c>
      <c r="V9116" t="s">
        <v>60070</v>
      </c>
      <c r="W9116" t="s">
        <v>43608</v>
      </c>
      <c r="X9116" t="s">
        <v>44769</v>
      </c>
    </row>
    <row r="9117" spans="1:24">
      <c r="A9117">
        <f>HYPERLINK("https://www.philgeps.gov.ph/GEPSNONPILOT/Tender/SplashBidNoticeAbstractUI.aspx?menuIndex=3&amp;refID=7141370&amp;Result=3","7141370")</f>
        <v>0</v>
      </c>
      <c r="B9117" t="s">
        <v>2806</v>
      </c>
      <c r="C9117" t="s">
        <v>12400</v>
      </c>
      <c r="D9117" t="s">
        <v>17975</v>
      </c>
      <c r="E9117" t="s">
        <v>25970</v>
      </c>
      <c r="F9117" t="s">
        <v>30900</v>
      </c>
      <c r="G9117" t="s">
        <v>30909</v>
      </c>
      <c r="H9117" t="s">
        <v>30916</v>
      </c>
      <c r="I9117" t="s">
        <v>4108</v>
      </c>
      <c r="J9117" t="s">
        <v>36759</v>
      </c>
      <c r="K9117" t="s">
        <v>40289</v>
      </c>
      <c r="M9117" t="s">
        <v>43591</v>
      </c>
      <c r="N9117" t="s">
        <v>44759</v>
      </c>
      <c r="O9117" t="s">
        <v>44760</v>
      </c>
      <c r="P9117">
        <v>0</v>
      </c>
      <c r="Q9117">
        <v>0</v>
      </c>
      <c r="R9117" t="s">
        <v>44768</v>
      </c>
      <c r="S9117" t="s">
        <v>44982</v>
      </c>
      <c r="T9117" t="s">
        <v>46363</v>
      </c>
      <c r="U9117" t="s">
        <v>54508</v>
      </c>
      <c r="V9117" t="s">
        <v>60065</v>
      </c>
      <c r="W9117" t="s">
        <v>43591</v>
      </c>
      <c r="X9117" t="s">
        <v>44769</v>
      </c>
    </row>
    <row r="9118" spans="1:24">
      <c r="A9118">
        <f>HYPERLINK("https://www.philgeps.gov.ph/GEPSNONPILOT/Tender/SplashBidNoticeAbstractUI.aspx?menuIndex=3&amp;refID=7141424&amp;Result=3","7141424")</f>
        <v>0</v>
      </c>
      <c r="B9118" t="s">
        <v>864</v>
      </c>
      <c r="C9118" t="s">
        <v>12401</v>
      </c>
      <c r="D9118" t="s">
        <v>18025</v>
      </c>
      <c r="E9118" t="s">
        <v>25971</v>
      </c>
      <c r="F9118" t="s">
        <v>30900</v>
      </c>
      <c r="G9118" t="s">
        <v>30907</v>
      </c>
      <c r="H9118" t="s">
        <v>30916</v>
      </c>
      <c r="I9118" t="s">
        <v>4545</v>
      </c>
      <c r="J9118" t="s">
        <v>36760</v>
      </c>
      <c r="K9118" t="s">
        <v>40283</v>
      </c>
      <c r="M9118" t="s">
        <v>41437</v>
      </c>
      <c r="N9118" t="s">
        <v>44759</v>
      </c>
      <c r="O9118" t="s">
        <v>44760</v>
      </c>
      <c r="P9118">
        <v>0</v>
      </c>
      <c r="Q9118">
        <v>11</v>
      </c>
      <c r="R9118" t="s">
        <v>44768</v>
      </c>
      <c r="S9118" t="s">
        <v>44982</v>
      </c>
      <c r="T9118" t="s">
        <v>46531</v>
      </c>
      <c r="U9118" t="s">
        <v>54509</v>
      </c>
      <c r="V9118" t="s">
        <v>59116</v>
      </c>
      <c r="W9118" t="s">
        <v>41437</v>
      </c>
      <c r="X9118" t="s">
        <v>44769</v>
      </c>
    </row>
    <row r="9119" spans="1:24">
      <c r="A9119">
        <f>HYPERLINK("https://www.philgeps.gov.ph/GEPSNONPILOT/Tender/SplashBidNoticeAbstractUI.aspx?menuIndex=3&amp;refID=7141423&amp;Result=3","7141423")</f>
        <v>0</v>
      </c>
      <c r="B9119" t="s">
        <v>2902</v>
      </c>
      <c r="C9119" t="s">
        <v>12402</v>
      </c>
      <c r="D9119" t="s">
        <v>18002</v>
      </c>
      <c r="E9119" t="s">
        <v>25972</v>
      </c>
      <c r="F9119" t="s">
        <v>30900</v>
      </c>
      <c r="G9119" t="s">
        <v>30907</v>
      </c>
      <c r="H9119" t="s">
        <v>30915</v>
      </c>
      <c r="I9119" t="s">
        <v>30919</v>
      </c>
      <c r="J9119" t="s">
        <v>36761</v>
      </c>
      <c r="K9119" t="s">
        <v>40322</v>
      </c>
      <c r="M9119" t="s">
        <v>43696</v>
      </c>
      <c r="N9119" t="s">
        <v>44759</v>
      </c>
      <c r="O9119" t="s">
        <v>44760</v>
      </c>
      <c r="P9119">
        <v>0</v>
      </c>
      <c r="Q9119">
        <v>1</v>
      </c>
      <c r="R9119" t="s">
        <v>44768</v>
      </c>
      <c r="S9119" t="s">
        <v>44982</v>
      </c>
      <c r="T9119" t="s">
        <v>46495</v>
      </c>
      <c r="U9119" t="s">
        <v>54510</v>
      </c>
      <c r="W9119" t="s">
        <v>43696</v>
      </c>
      <c r="X9119" t="s">
        <v>44769</v>
      </c>
    </row>
    <row r="9120" spans="1:24">
      <c r="A9120">
        <f>HYPERLINK("https://www.philgeps.gov.ph/GEPSNONPILOT/Tender/SplashBidNoticeAbstractUI.aspx?menuIndex=3&amp;refID=7141579&amp;Result=3","7141579")</f>
        <v>0</v>
      </c>
      <c r="B9120" t="s">
        <v>2861</v>
      </c>
      <c r="C9120" t="s">
        <v>12403</v>
      </c>
      <c r="D9120" t="s">
        <v>17973</v>
      </c>
      <c r="E9120" t="s">
        <v>25973</v>
      </c>
      <c r="F9120" t="s">
        <v>30900</v>
      </c>
      <c r="G9120" t="s">
        <v>30907</v>
      </c>
      <c r="H9120" t="s">
        <v>30916</v>
      </c>
      <c r="I9120" t="s">
        <v>30923</v>
      </c>
      <c r="J9120" t="s">
        <v>36762</v>
      </c>
      <c r="K9120" t="s">
        <v>40289</v>
      </c>
      <c r="M9120" t="s">
        <v>43649</v>
      </c>
      <c r="N9120" t="s">
        <v>44759</v>
      </c>
      <c r="O9120" t="s">
        <v>44760</v>
      </c>
      <c r="P9120">
        <v>0</v>
      </c>
      <c r="Q9120">
        <v>6</v>
      </c>
      <c r="R9120" t="s">
        <v>44768</v>
      </c>
      <c r="S9120" t="s">
        <v>44982</v>
      </c>
      <c r="T9120" t="s">
        <v>46606</v>
      </c>
      <c r="U9120" t="s">
        <v>54336</v>
      </c>
      <c r="V9120" t="s">
        <v>60086</v>
      </c>
      <c r="W9120" t="s">
        <v>43649</v>
      </c>
      <c r="X9120" t="s">
        <v>44769</v>
      </c>
    </row>
    <row r="9121" spans="1:24">
      <c r="A9121">
        <f>HYPERLINK("https://www.philgeps.gov.ph/GEPSNONPILOT/Tender/SplashBidNoticeAbstractUI.aspx?menuIndex=3&amp;refID=7141585&amp;Result=3","7141585")</f>
        <v>0</v>
      </c>
      <c r="B9121" t="s">
        <v>2871</v>
      </c>
      <c r="C9121" t="s">
        <v>12404</v>
      </c>
      <c r="D9121" t="s">
        <v>18002</v>
      </c>
      <c r="E9121" t="s">
        <v>25974</v>
      </c>
      <c r="F9121" t="s">
        <v>30900</v>
      </c>
      <c r="G9121" t="s">
        <v>30907</v>
      </c>
      <c r="H9121" t="s">
        <v>30915</v>
      </c>
      <c r="I9121" t="s">
        <v>30919</v>
      </c>
      <c r="J9121" t="s">
        <v>31341</v>
      </c>
      <c r="K9121" t="s">
        <v>40289</v>
      </c>
      <c r="M9121" t="s">
        <v>43660</v>
      </c>
      <c r="N9121" t="s">
        <v>44759</v>
      </c>
      <c r="O9121" t="s">
        <v>44760</v>
      </c>
      <c r="P9121">
        <v>0</v>
      </c>
      <c r="Q9121">
        <v>0</v>
      </c>
      <c r="R9121" t="s">
        <v>44768</v>
      </c>
      <c r="S9121" t="s">
        <v>44982</v>
      </c>
      <c r="T9121" t="s">
        <v>46625</v>
      </c>
      <c r="U9121" t="s">
        <v>54511</v>
      </c>
      <c r="W9121" t="s">
        <v>43660</v>
      </c>
      <c r="X9121" t="s">
        <v>44769</v>
      </c>
    </row>
    <row r="9122" spans="1:24">
      <c r="A9122">
        <f>HYPERLINK("https://www.philgeps.gov.ph/GEPSNONPILOT/Tender/SplashBidNoticeAbstractUI.aspx?menuIndex=3&amp;refID=7141705&amp;Result=3","7141705")</f>
        <v>0</v>
      </c>
      <c r="B9122" t="s">
        <v>143</v>
      </c>
      <c r="C9122" t="s">
        <v>12405</v>
      </c>
      <c r="D9122" t="s">
        <v>17965</v>
      </c>
      <c r="E9122" t="s">
        <v>25975</v>
      </c>
      <c r="F9122" t="s">
        <v>30900</v>
      </c>
      <c r="G9122" t="s">
        <v>30907</v>
      </c>
      <c r="H9122" t="s">
        <v>30915</v>
      </c>
      <c r="I9122" t="s">
        <v>30919</v>
      </c>
      <c r="J9122" t="s">
        <v>36763</v>
      </c>
      <c r="K9122" t="s">
        <v>40283</v>
      </c>
      <c r="M9122" t="s">
        <v>40854</v>
      </c>
      <c r="N9122" t="s">
        <v>44759</v>
      </c>
      <c r="O9122" t="s">
        <v>44760</v>
      </c>
      <c r="P9122">
        <v>0</v>
      </c>
      <c r="Q9122">
        <v>0</v>
      </c>
      <c r="R9122" t="s">
        <v>44768</v>
      </c>
      <c r="S9122" t="s">
        <v>44982</v>
      </c>
      <c r="T9122" t="s">
        <v>46581</v>
      </c>
      <c r="U9122" t="s">
        <v>54381</v>
      </c>
      <c r="W9122" t="s">
        <v>40854</v>
      </c>
      <c r="X9122" t="s">
        <v>44769</v>
      </c>
    </row>
    <row r="9123" spans="1:24">
      <c r="A9123">
        <f>HYPERLINK("https://www.philgeps.gov.ph/GEPSNONPILOT/Tender/SplashBidNoticeAbstractUI.aspx?menuIndex=3&amp;refID=7142010&amp;Result=3","7142010")</f>
        <v>0</v>
      </c>
      <c r="B9123" t="s">
        <v>2823</v>
      </c>
      <c r="C9123" t="s">
        <v>12406</v>
      </c>
      <c r="D9123" t="s">
        <v>18006</v>
      </c>
      <c r="E9123" t="s">
        <v>25976</v>
      </c>
      <c r="F9123" t="s">
        <v>30900</v>
      </c>
      <c r="G9123" t="s">
        <v>30906</v>
      </c>
      <c r="H9123" t="s">
        <v>30916</v>
      </c>
      <c r="I9123" t="s">
        <v>30933</v>
      </c>
      <c r="J9123" t="s">
        <v>33171</v>
      </c>
      <c r="K9123" t="s">
        <v>40289</v>
      </c>
      <c r="M9123" t="s">
        <v>43608</v>
      </c>
      <c r="N9123" t="s">
        <v>44759</v>
      </c>
      <c r="O9123" t="s">
        <v>44760</v>
      </c>
      <c r="Q9123">
        <v>1</v>
      </c>
      <c r="R9123" t="s">
        <v>44768</v>
      </c>
      <c r="S9123" t="s">
        <v>45042</v>
      </c>
      <c r="T9123" t="s">
        <v>46541</v>
      </c>
      <c r="U9123" t="s">
        <v>54512</v>
      </c>
      <c r="V9123" t="s">
        <v>60108</v>
      </c>
      <c r="W9123" t="s">
        <v>43608</v>
      </c>
      <c r="X9123" t="s">
        <v>44769</v>
      </c>
    </row>
    <row r="9124" spans="1:24">
      <c r="A9124">
        <f>HYPERLINK("https://www.philgeps.gov.ph/GEPSNONPILOT/Tender/SplashBidNoticeAbstractUI.aspx?menuIndex=3&amp;refID=7142016&amp;Result=3","7142016")</f>
        <v>0</v>
      </c>
      <c r="B9124" t="s">
        <v>1750</v>
      </c>
      <c r="C9124" t="s">
        <v>12407</v>
      </c>
      <c r="D9124" t="s">
        <v>17966</v>
      </c>
      <c r="E9124" t="s">
        <v>25977</v>
      </c>
      <c r="F9124" t="s">
        <v>30900</v>
      </c>
      <c r="G9124" t="s">
        <v>30907</v>
      </c>
      <c r="H9124" t="s">
        <v>30916</v>
      </c>
      <c r="I9124" t="s">
        <v>30923</v>
      </c>
      <c r="J9124" t="s">
        <v>36764</v>
      </c>
      <c r="K9124" t="s">
        <v>40283</v>
      </c>
      <c r="M9124" t="s">
        <v>42419</v>
      </c>
      <c r="N9124" t="s">
        <v>44759</v>
      </c>
      <c r="O9124" t="s">
        <v>44760</v>
      </c>
      <c r="P9124">
        <v>0</v>
      </c>
      <c r="Q9124">
        <v>4</v>
      </c>
      <c r="R9124" t="s">
        <v>44768</v>
      </c>
      <c r="S9124" t="s">
        <v>44982</v>
      </c>
      <c r="T9124" t="s">
        <v>46581</v>
      </c>
      <c r="U9124" t="s">
        <v>54513</v>
      </c>
      <c r="W9124" t="s">
        <v>60873</v>
      </c>
      <c r="X9124" t="s">
        <v>44769</v>
      </c>
    </row>
    <row r="9125" spans="1:24">
      <c r="A9125">
        <f>HYPERLINK("https://www.philgeps.gov.ph/GEPSNONPILOT/Tender/SplashBidNoticeAbstractUI.aspx?menuIndex=3&amp;refID=7142015&amp;Result=3","7142015")</f>
        <v>0</v>
      </c>
      <c r="B9125" t="s">
        <v>2895</v>
      </c>
      <c r="C9125" t="s">
        <v>12408</v>
      </c>
      <c r="D9125" t="s">
        <v>17953</v>
      </c>
      <c r="E9125" t="s">
        <v>25978</v>
      </c>
      <c r="F9125" t="s">
        <v>30900</v>
      </c>
      <c r="G9125" t="s">
        <v>30907</v>
      </c>
      <c r="H9125" t="s">
        <v>30916</v>
      </c>
      <c r="I9125" t="s">
        <v>4545</v>
      </c>
      <c r="J9125" t="s">
        <v>32236</v>
      </c>
      <c r="K9125" t="s">
        <v>40286</v>
      </c>
      <c r="M9125" t="s">
        <v>43688</v>
      </c>
      <c r="N9125" t="s">
        <v>44759</v>
      </c>
      <c r="O9125" t="s">
        <v>44760</v>
      </c>
      <c r="P9125">
        <v>0</v>
      </c>
      <c r="Q9125">
        <v>2</v>
      </c>
      <c r="R9125" t="s">
        <v>44768</v>
      </c>
      <c r="S9125" t="s">
        <v>44982</v>
      </c>
      <c r="T9125" t="s">
        <v>46625</v>
      </c>
      <c r="U9125" t="s">
        <v>54514</v>
      </c>
      <c r="W9125" t="s">
        <v>43688</v>
      </c>
      <c r="X9125" t="s">
        <v>44769</v>
      </c>
    </row>
    <row r="9126" spans="1:24">
      <c r="A9126">
        <f>HYPERLINK("https://www.philgeps.gov.ph/GEPSNONPILOT/Tender/SplashBidNoticeAbstractUI.aspx?menuIndex=3&amp;refID=7142014&amp;Result=3","7142014")</f>
        <v>0</v>
      </c>
      <c r="B9126" t="s">
        <v>1750</v>
      </c>
      <c r="C9126" t="s">
        <v>12409</v>
      </c>
      <c r="D9126" t="s">
        <v>17966</v>
      </c>
      <c r="E9126" t="s">
        <v>25979</v>
      </c>
      <c r="F9126" t="s">
        <v>30900</v>
      </c>
      <c r="G9126" t="s">
        <v>30907</v>
      </c>
      <c r="H9126" t="s">
        <v>30916</v>
      </c>
      <c r="I9126" t="s">
        <v>30923</v>
      </c>
      <c r="J9126" t="s">
        <v>36765</v>
      </c>
      <c r="K9126" t="s">
        <v>40283</v>
      </c>
      <c r="M9126" t="s">
        <v>42419</v>
      </c>
      <c r="N9126" t="s">
        <v>44759</v>
      </c>
      <c r="O9126" t="s">
        <v>44760</v>
      </c>
      <c r="P9126">
        <v>0</v>
      </c>
      <c r="Q9126">
        <v>10</v>
      </c>
      <c r="R9126" t="s">
        <v>44768</v>
      </c>
      <c r="S9126" t="s">
        <v>44982</v>
      </c>
      <c r="T9126" t="s">
        <v>46581</v>
      </c>
      <c r="U9126" t="s">
        <v>54515</v>
      </c>
      <c r="W9126" t="s">
        <v>60873</v>
      </c>
      <c r="X9126" t="s">
        <v>44769</v>
      </c>
    </row>
    <row r="9127" spans="1:24">
      <c r="A9127">
        <f>HYPERLINK("https://www.philgeps.gov.ph/GEPSNONPILOT/Tender/SplashBidNoticeAbstractUI.aspx?menuIndex=3&amp;refID=7142013&amp;Result=3","7142013")</f>
        <v>0</v>
      </c>
      <c r="B9127" t="s">
        <v>1750</v>
      </c>
      <c r="C9127" t="s">
        <v>12410</v>
      </c>
      <c r="D9127" t="s">
        <v>17966</v>
      </c>
      <c r="E9127" t="s">
        <v>25980</v>
      </c>
      <c r="F9127" t="s">
        <v>30900</v>
      </c>
      <c r="G9127" t="s">
        <v>30907</v>
      </c>
      <c r="H9127" t="s">
        <v>30916</v>
      </c>
      <c r="I9127" t="s">
        <v>30936</v>
      </c>
      <c r="J9127" t="s">
        <v>31152</v>
      </c>
      <c r="K9127" t="s">
        <v>40283</v>
      </c>
      <c r="M9127" t="s">
        <v>42419</v>
      </c>
      <c r="N9127" t="s">
        <v>44759</v>
      </c>
      <c r="O9127" t="s">
        <v>44760</v>
      </c>
      <c r="P9127">
        <v>0</v>
      </c>
      <c r="Q9127">
        <v>4</v>
      </c>
      <c r="R9127" t="s">
        <v>44768</v>
      </c>
      <c r="S9127" t="s">
        <v>44982</v>
      </c>
      <c r="T9127" t="s">
        <v>46450</v>
      </c>
      <c r="U9127" t="s">
        <v>54516</v>
      </c>
      <c r="W9127" t="s">
        <v>60873</v>
      </c>
      <c r="X9127" t="s">
        <v>44769</v>
      </c>
    </row>
    <row r="9128" spans="1:24">
      <c r="A9128">
        <f>HYPERLINK("https://www.philgeps.gov.ph/GEPSNONPILOT/Tender/SplashBidNoticeAbstractUI.aspx?menuIndex=3&amp;refID=7142021&amp;Result=3","7142021")</f>
        <v>0</v>
      </c>
      <c r="B9128" t="s">
        <v>1750</v>
      </c>
      <c r="C9128" t="s">
        <v>12411</v>
      </c>
      <c r="D9128" t="s">
        <v>17966</v>
      </c>
      <c r="E9128" t="s">
        <v>25981</v>
      </c>
      <c r="F9128" t="s">
        <v>30900</v>
      </c>
      <c r="G9128" t="s">
        <v>30907</v>
      </c>
      <c r="H9128" t="s">
        <v>30916</v>
      </c>
      <c r="I9128" t="s">
        <v>30924</v>
      </c>
      <c r="J9128" t="s">
        <v>31518</v>
      </c>
      <c r="K9128" t="s">
        <v>40283</v>
      </c>
      <c r="M9128" t="s">
        <v>42419</v>
      </c>
      <c r="N9128" t="s">
        <v>44759</v>
      </c>
      <c r="O9128" t="s">
        <v>44760</v>
      </c>
      <c r="P9128">
        <v>0</v>
      </c>
      <c r="Q9128">
        <v>3</v>
      </c>
      <c r="R9128" t="s">
        <v>44768</v>
      </c>
      <c r="S9128" t="s">
        <v>44982</v>
      </c>
      <c r="T9128" t="s">
        <v>46581</v>
      </c>
      <c r="U9128" t="s">
        <v>54517</v>
      </c>
      <c r="W9128" t="s">
        <v>60873</v>
      </c>
      <c r="X9128" t="s">
        <v>44769</v>
      </c>
    </row>
    <row r="9129" spans="1:24">
      <c r="A9129">
        <f>HYPERLINK("https://www.philgeps.gov.ph/GEPSNONPILOT/Tender/SplashBidNoticeAbstractUI.aspx?menuIndex=3&amp;refID=7142012&amp;Result=3","7142012")</f>
        <v>0</v>
      </c>
      <c r="B9129" t="s">
        <v>2903</v>
      </c>
      <c r="C9129" t="s">
        <v>12412</v>
      </c>
      <c r="D9129" t="s">
        <v>17993</v>
      </c>
      <c r="E9129" t="s">
        <v>19771</v>
      </c>
      <c r="F9129" t="s">
        <v>30900</v>
      </c>
      <c r="G9129" t="s">
        <v>30907</v>
      </c>
      <c r="H9129" t="s">
        <v>30916</v>
      </c>
      <c r="I9129" t="s">
        <v>30933</v>
      </c>
      <c r="J9129" t="s">
        <v>36766</v>
      </c>
      <c r="K9129" t="s">
        <v>40287</v>
      </c>
      <c r="M9129" t="s">
        <v>43697</v>
      </c>
      <c r="N9129" t="s">
        <v>44759</v>
      </c>
      <c r="O9129" t="s">
        <v>44760</v>
      </c>
      <c r="P9129">
        <v>0</v>
      </c>
      <c r="Q9129">
        <v>1</v>
      </c>
      <c r="R9129" t="s">
        <v>44768</v>
      </c>
      <c r="S9129" t="s">
        <v>44982</v>
      </c>
      <c r="T9129" t="s">
        <v>46581</v>
      </c>
      <c r="U9129" t="s">
        <v>54518</v>
      </c>
      <c r="W9129" t="s">
        <v>43697</v>
      </c>
      <c r="X9129" t="s">
        <v>44769</v>
      </c>
    </row>
    <row r="9130" spans="1:24">
      <c r="A9130">
        <f>HYPERLINK("https://www.philgeps.gov.ph/GEPSNONPILOT/Tender/SplashBidNoticeAbstractUI.aspx?menuIndex=3&amp;refID=7142011&amp;Result=3","7142011")</f>
        <v>0</v>
      </c>
      <c r="B9130" t="s">
        <v>1750</v>
      </c>
      <c r="C9130" t="s">
        <v>12413</v>
      </c>
      <c r="D9130" t="s">
        <v>17966</v>
      </c>
      <c r="E9130" t="s">
        <v>25982</v>
      </c>
      <c r="F9130" t="s">
        <v>30900</v>
      </c>
      <c r="G9130" t="s">
        <v>30907</v>
      </c>
      <c r="H9130" t="s">
        <v>30916</v>
      </c>
      <c r="I9130" t="s">
        <v>30936</v>
      </c>
      <c r="J9130" t="s">
        <v>36767</v>
      </c>
      <c r="K9130" t="s">
        <v>40283</v>
      </c>
      <c r="M9130" t="s">
        <v>42419</v>
      </c>
      <c r="N9130" t="s">
        <v>44759</v>
      </c>
      <c r="O9130" t="s">
        <v>44760</v>
      </c>
      <c r="P9130">
        <v>0</v>
      </c>
      <c r="Q9130">
        <v>0</v>
      </c>
      <c r="R9130" t="s">
        <v>44768</v>
      </c>
      <c r="S9130" t="s">
        <v>44982</v>
      </c>
      <c r="T9130" t="s">
        <v>46450</v>
      </c>
      <c r="U9130" t="s">
        <v>54519</v>
      </c>
      <c r="W9130" t="s">
        <v>60873</v>
      </c>
      <c r="X9130" t="s">
        <v>44769</v>
      </c>
    </row>
    <row r="9131" spans="1:24">
      <c r="A9131">
        <f>HYPERLINK("https://www.philgeps.gov.ph/GEPSNONPILOT/Tender/SplashBidNoticeAbstractUI.aspx?menuIndex=3&amp;refID=7142040&amp;Result=3","7142040")</f>
        <v>0</v>
      </c>
      <c r="B9131" t="s">
        <v>1750</v>
      </c>
      <c r="C9131" t="s">
        <v>12414</v>
      </c>
      <c r="D9131" t="s">
        <v>17966</v>
      </c>
      <c r="E9131" t="s">
        <v>25983</v>
      </c>
      <c r="F9131" t="s">
        <v>30900</v>
      </c>
      <c r="G9131" t="s">
        <v>30907</v>
      </c>
      <c r="H9131" t="s">
        <v>30916</v>
      </c>
      <c r="I9131" t="s">
        <v>5501</v>
      </c>
      <c r="J9131" t="s">
        <v>36768</v>
      </c>
      <c r="K9131" t="s">
        <v>40283</v>
      </c>
      <c r="M9131" t="s">
        <v>42419</v>
      </c>
      <c r="N9131" t="s">
        <v>44759</v>
      </c>
      <c r="O9131" t="s">
        <v>44760</v>
      </c>
      <c r="P9131">
        <v>0</v>
      </c>
      <c r="Q9131">
        <v>3</v>
      </c>
      <c r="R9131" t="s">
        <v>44768</v>
      </c>
      <c r="S9131" t="s">
        <v>44982</v>
      </c>
      <c r="T9131" t="s">
        <v>46581</v>
      </c>
      <c r="U9131" t="s">
        <v>54520</v>
      </c>
      <c r="W9131" t="s">
        <v>60873</v>
      </c>
      <c r="X9131" t="s">
        <v>44769</v>
      </c>
    </row>
    <row r="9132" spans="1:24">
      <c r="A9132">
        <f>HYPERLINK("https://www.philgeps.gov.ph/GEPSNONPILOT/Tender/SplashBidNoticeAbstractUI.aspx?menuIndex=3&amp;refID=7142039&amp;Result=3","7142039")</f>
        <v>0</v>
      </c>
      <c r="B9132" t="s">
        <v>1870</v>
      </c>
      <c r="C9132" t="s">
        <v>12415</v>
      </c>
      <c r="D9132" t="s">
        <v>17992</v>
      </c>
      <c r="E9132" t="s">
        <v>25984</v>
      </c>
      <c r="F9132" t="s">
        <v>30900</v>
      </c>
      <c r="G9132" t="s">
        <v>30907</v>
      </c>
      <c r="H9132" t="s">
        <v>30915</v>
      </c>
      <c r="I9132" t="s">
        <v>30919</v>
      </c>
      <c r="J9132" t="s">
        <v>36769</v>
      </c>
      <c r="K9132" t="s">
        <v>40308</v>
      </c>
      <c r="M9132" t="s">
        <v>42544</v>
      </c>
      <c r="N9132" t="s">
        <v>44759</v>
      </c>
      <c r="O9132" t="s">
        <v>44760</v>
      </c>
      <c r="P9132">
        <v>0</v>
      </c>
      <c r="Q9132">
        <v>0</v>
      </c>
      <c r="R9132" t="s">
        <v>44768</v>
      </c>
      <c r="S9132" t="s">
        <v>44982</v>
      </c>
      <c r="T9132" t="s">
        <v>46625</v>
      </c>
      <c r="U9132" t="s">
        <v>54521</v>
      </c>
      <c r="W9132" t="s">
        <v>42544</v>
      </c>
      <c r="X9132" t="s">
        <v>44769</v>
      </c>
    </row>
    <row r="9133" spans="1:24">
      <c r="A9133">
        <f>HYPERLINK("https://www.philgeps.gov.ph/GEPSNONPILOT/Tender/SplashBidNoticeAbstractUI.aspx?menuIndex=3&amp;refID=7142018&amp;Result=3","7142018")</f>
        <v>0</v>
      </c>
      <c r="B9133" t="s">
        <v>1750</v>
      </c>
      <c r="C9133" t="s">
        <v>12416</v>
      </c>
      <c r="D9133" t="s">
        <v>17966</v>
      </c>
      <c r="E9133" t="s">
        <v>25985</v>
      </c>
      <c r="F9133" t="s">
        <v>30900</v>
      </c>
      <c r="G9133" t="s">
        <v>30907</v>
      </c>
      <c r="H9133" t="s">
        <v>30916</v>
      </c>
      <c r="I9133" t="s">
        <v>4142</v>
      </c>
      <c r="J9133" t="s">
        <v>36770</v>
      </c>
      <c r="K9133" t="s">
        <v>40283</v>
      </c>
      <c r="M9133" t="s">
        <v>42419</v>
      </c>
      <c r="N9133" t="s">
        <v>44759</v>
      </c>
      <c r="O9133" t="s">
        <v>44760</v>
      </c>
      <c r="P9133">
        <v>0</v>
      </c>
      <c r="Q9133">
        <v>1</v>
      </c>
      <c r="R9133" t="s">
        <v>44768</v>
      </c>
      <c r="S9133" t="s">
        <v>44982</v>
      </c>
      <c r="T9133" t="s">
        <v>46581</v>
      </c>
      <c r="U9133" t="s">
        <v>54522</v>
      </c>
      <c r="W9133" t="s">
        <v>60873</v>
      </c>
      <c r="X9133" t="s">
        <v>44769</v>
      </c>
    </row>
    <row r="9134" spans="1:24">
      <c r="A9134">
        <f>HYPERLINK("https://www.philgeps.gov.ph/GEPSNONPILOT/Tender/SplashBidNoticeAbstractUI.aspx?menuIndex=3&amp;refID=7142037&amp;Result=3","7142037")</f>
        <v>0</v>
      </c>
      <c r="B9134" t="s">
        <v>2823</v>
      </c>
      <c r="C9134" t="s">
        <v>12417</v>
      </c>
      <c r="D9134" t="s">
        <v>18006</v>
      </c>
      <c r="E9134" t="s">
        <v>25986</v>
      </c>
      <c r="F9134" t="s">
        <v>30900</v>
      </c>
      <c r="G9134" t="s">
        <v>30906</v>
      </c>
      <c r="H9134" t="s">
        <v>30916</v>
      </c>
      <c r="I9134" t="s">
        <v>30936</v>
      </c>
      <c r="J9134" t="s">
        <v>31552</v>
      </c>
      <c r="K9134" t="s">
        <v>40289</v>
      </c>
      <c r="M9134" t="s">
        <v>43608</v>
      </c>
      <c r="N9134" t="s">
        <v>44759</v>
      </c>
      <c r="O9134" t="s">
        <v>44760</v>
      </c>
      <c r="P9134">
        <v>0</v>
      </c>
      <c r="Q9134">
        <v>1</v>
      </c>
      <c r="R9134" t="s">
        <v>44768</v>
      </c>
      <c r="S9134" t="s">
        <v>44982</v>
      </c>
      <c r="T9134" t="s">
        <v>46541</v>
      </c>
      <c r="U9134" t="s">
        <v>54523</v>
      </c>
      <c r="V9134" t="s">
        <v>60108</v>
      </c>
      <c r="W9134" t="s">
        <v>43608</v>
      </c>
      <c r="X9134" t="s">
        <v>44769</v>
      </c>
    </row>
    <row r="9135" spans="1:24">
      <c r="A9135">
        <f>HYPERLINK("https://www.philgeps.gov.ph/GEPSNONPILOT/Tender/SplashBidNoticeAbstractUI.aspx?menuIndex=3&amp;refID=7142036&amp;Result=3","7142036")</f>
        <v>0</v>
      </c>
      <c r="B9135" t="s">
        <v>2895</v>
      </c>
      <c r="C9135" t="s">
        <v>12418</v>
      </c>
      <c r="D9135" t="s">
        <v>17953</v>
      </c>
      <c r="E9135" t="s">
        <v>25987</v>
      </c>
      <c r="F9135" t="s">
        <v>30900</v>
      </c>
      <c r="G9135" t="s">
        <v>30907</v>
      </c>
      <c r="H9135" t="s">
        <v>30915</v>
      </c>
      <c r="I9135" t="s">
        <v>30919</v>
      </c>
      <c r="J9135" t="s">
        <v>36771</v>
      </c>
      <c r="K9135" t="s">
        <v>40304</v>
      </c>
      <c r="M9135" t="s">
        <v>43688</v>
      </c>
      <c r="N9135" t="s">
        <v>44759</v>
      </c>
      <c r="O9135" t="s">
        <v>44760</v>
      </c>
      <c r="P9135">
        <v>0</v>
      </c>
      <c r="Q9135">
        <v>2</v>
      </c>
      <c r="R9135" t="s">
        <v>44768</v>
      </c>
      <c r="S9135" t="s">
        <v>44982</v>
      </c>
      <c r="T9135" t="s">
        <v>46428</v>
      </c>
      <c r="U9135" t="s">
        <v>54524</v>
      </c>
      <c r="V9135" t="s">
        <v>60109</v>
      </c>
      <c r="W9135" t="s">
        <v>43688</v>
      </c>
      <c r="X9135" t="s">
        <v>44769</v>
      </c>
    </row>
    <row r="9136" spans="1:24">
      <c r="A9136">
        <f>HYPERLINK("https://www.philgeps.gov.ph/GEPSNONPILOT/Tender/SplashBidNoticeAbstractUI.aspx?menuIndex=3&amp;refID=7142035&amp;Result=3","7142035")</f>
        <v>0</v>
      </c>
      <c r="B9136" t="s">
        <v>1870</v>
      </c>
      <c r="C9136" t="s">
        <v>12419</v>
      </c>
      <c r="D9136" t="s">
        <v>17992</v>
      </c>
      <c r="E9136" t="s">
        <v>25988</v>
      </c>
      <c r="F9136" t="s">
        <v>30900</v>
      </c>
      <c r="G9136" t="s">
        <v>30907</v>
      </c>
      <c r="H9136" t="s">
        <v>30916</v>
      </c>
      <c r="I9136" t="s">
        <v>6834</v>
      </c>
      <c r="J9136" t="s">
        <v>36772</v>
      </c>
      <c r="K9136" t="s">
        <v>40308</v>
      </c>
      <c r="M9136" t="s">
        <v>42544</v>
      </c>
      <c r="N9136" t="s">
        <v>44759</v>
      </c>
      <c r="O9136" t="s">
        <v>44760</v>
      </c>
      <c r="P9136">
        <v>0</v>
      </c>
      <c r="Q9136">
        <v>3</v>
      </c>
      <c r="R9136" t="s">
        <v>44768</v>
      </c>
      <c r="S9136" t="s">
        <v>44982</v>
      </c>
      <c r="T9136" t="s">
        <v>46625</v>
      </c>
      <c r="U9136" t="s">
        <v>54525</v>
      </c>
      <c r="W9136" t="s">
        <v>42544</v>
      </c>
      <c r="X9136" t="s">
        <v>44769</v>
      </c>
    </row>
    <row r="9137" spans="1:24">
      <c r="A9137">
        <f>HYPERLINK("https://www.philgeps.gov.ph/GEPSNONPILOT/Tender/SplashBidNoticeAbstractUI.aspx?menuIndex=3&amp;refID=7142034&amp;Result=3","7142034")</f>
        <v>0</v>
      </c>
      <c r="B9137" t="s">
        <v>1143</v>
      </c>
      <c r="C9137" t="s">
        <v>12420</v>
      </c>
      <c r="D9137" t="s">
        <v>17990</v>
      </c>
      <c r="E9137" t="s">
        <v>25989</v>
      </c>
      <c r="F9137" t="s">
        <v>30900</v>
      </c>
      <c r="G9137" t="s">
        <v>30907</v>
      </c>
      <c r="H9137" t="s">
        <v>30915</v>
      </c>
      <c r="I9137" t="s">
        <v>30919</v>
      </c>
      <c r="J9137" t="s">
        <v>36773</v>
      </c>
      <c r="K9137" t="s">
        <v>40304</v>
      </c>
      <c r="M9137" t="s">
        <v>42441</v>
      </c>
      <c r="N9137" t="s">
        <v>44759</v>
      </c>
      <c r="O9137" t="s">
        <v>44760</v>
      </c>
      <c r="P9137">
        <v>0</v>
      </c>
      <c r="Q9137">
        <v>0</v>
      </c>
      <c r="R9137" t="s">
        <v>44768</v>
      </c>
      <c r="S9137" t="s">
        <v>44982</v>
      </c>
      <c r="T9137" t="s">
        <v>46661</v>
      </c>
      <c r="U9137" t="s">
        <v>54526</v>
      </c>
      <c r="W9137" t="s">
        <v>42441</v>
      </c>
      <c r="X9137" t="s">
        <v>44769</v>
      </c>
    </row>
    <row r="9138" spans="1:24">
      <c r="A9138">
        <f>HYPERLINK("https://www.philgeps.gov.ph/GEPSNONPILOT/Tender/SplashBidNoticeAbstractUI.aspx?menuIndex=3&amp;refID=7142024&amp;Result=3","7142024")</f>
        <v>0</v>
      </c>
      <c r="B9138" t="s">
        <v>2904</v>
      </c>
      <c r="C9138" t="s">
        <v>12421</v>
      </c>
      <c r="D9138" t="s">
        <v>17959</v>
      </c>
      <c r="E9138" t="s">
        <v>25990</v>
      </c>
      <c r="F9138" t="s">
        <v>30900</v>
      </c>
      <c r="G9138" t="s">
        <v>30907</v>
      </c>
      <c r="H9138" t="s">
        <v>30916</v>
      </c>
      <c r="I9138" t="s">
        <v>30924</v>
      </c>
      <c r="J9138" t="s">
        <v>36774</v>
      </c>
      <c r="K9138" t="s">
        <v>40292</v>
      </c>
      <c r="M9138" t="s">
        <v>43698</v>
      </c>
      <c r="N9138" t="s">
        <v>44759</v>
      </c>
      <c r="O9138" t="s">
        <v>44760</v>
      </c>
      <c r="P9138">
        <v>0</v>
      </c>
      <c r="Q9138">
        <v>17</v>
      </c>
      <c r="R9138" t="s">
        <v>44768</v>
      </c>
      <c r="S9138" t="s">
        <v>44982</v>
      </c>
      <c r="T9138" t="s">
        <v>46561</v>
      </c>
      <c r="U9138" t="s">
        <v>54527</v>
      </c>
      <c r="V9138" t="s">
        <v>60110</v>
      </c>
      <c r="W9138" t="s">
        <v>43698</v>
      </c>
      <c r="X9138" t="s">
        <v>44769</v>
      </c>
    </row>
    <row r="9139" spans="1:24">
      <c r="A9139">
        <f>HYPERLINK("https://www.philgeps.gov.ph/GEPSNONPILOT/Tender/SplashBidNoticeAbstractUI.aspx?menuIndex=3&amp;refID=7142031&amp;Result=3","7142031")</f>
        <v>0</v>
      </c>
      <c r="B9139" t="s">
        <v>2892</v>
      </c>
      <c r="C9139" t="s">
        <v>12422</v>
      </c>
      <c r="D9139" t="s">
        <v>17998</v>
      </c>
      <c r="E9139" t="s">
        <v>25991</v>
      </c>
      <c r="F9139" t="s">
        <v>30900</v>
      </c>
      <c r="G9139" t="s">
        <v>30907</v>
      </c>
      <c r="H9139" t="s">
        <v>30916</v>
      </c>
      <c r="I9139" t="s">
        <v>6746</v>
      </c>
      <c r="J9139" t="s">
        <v>31313</v>
      </c>
      <c r="K9139" t="s">
        <v>40291</v>
      </c>
      <c r="M9139" t="s">
        <v>43685</v>
      </c>
      <c r="N9139" t="s">
        <v>44759</v>
      </c>
      <c r="O9139" t="s">
        <v>44760</v>
      </c>
      <c r="P9139">
        <v>0</v>
      </c>
      <c r="Q9139">
        <v>0</v>
      </c>
      <c r="R9139" t="s">
        <v>44768</v>
      </c>
      <c r="S9139" t="s">
        <v>44982</v>
      </c>
      <c r="T9139" t="s">
        <v>46389</v>
      </c>
      <c r="U9139" t="s">
        <v>54528</v>
      </c>
      <c r="W9139" t="s">
        <v>43685</v>
      </c>
      <c r="X9139" t="s">
        <v>44769</v>
      </c>
    </row>
    <row r="9140" spans="1:24">
      <c r="A9140">
        <f>HYPERLINK("https://www.philgeps.gov.ph/GEPSNONPILOT/Tender/SplashBidNoticeAbstractUI.aspx?menuIndex=3&amp;refID=7142041&amp;Result=3","7142041")</f>
        <v>0</v>
      </c>
      <c r="B9140" t="s">
        <v>1750</v>
      </c>
      <c r="C9140" t="s">
        <v>12423</v>
      </c>
      <c r="D9140" t="s">
        <v>17966</v>
      </c>
      <c r="E9140" t="s">
        <v>25992</v>
      </c>
      <c r="F9140" t="s">
        <v>30900</v>
      </c>
      <c r="G9140" t="s">
        <v>30907</v>
      </c>
      <c r="H9140" t="s">
        <v>30916</v>
      </c>
      <c r="I9140" t="s">
        <v>5501</v>
      </c>
      <c r="J9140" t="s">
        <v>36775</v>
      </c>
      <c r="K9140" t="s">
        <v>40283</v>
      </c>
      <c r="M9140" t="s">
        <v>42419</v>
      </c>
      <c r="N9140" t="s">
        <v>44759</v>
      </c>
      <c r="O9140" t="s">
        <v>44760</v>
      </c>
      <c r="P9140">
        <v>0</v>
      </c>
      <c r="Q9140">
        <v>3</v>
      </c>
      <c r="R9140" t="s">
        <v>44768</v>
      </c>
      <c r="S9140" t="s">
        <v>44982</v>
      </c>
      <c r="T9140" t="s">
        <v>46581</v>
      </c>
      <c r="U9140" t="s">
        <v>54529</v>
      </c>
      <c r="W9140" t="s">
        <v>60873</v>
      </c>
      <c r="X9140" t="s">
        <v>44769</v>
      </c>
    </row>
    <row r="9141" spans="1:24">
      <c r="A9141">
        <f>HYPERLINK("https://www.philgeps.gov.ph/GEPSNONPILOT/Tender/SplashBidNoticeAbstractUI.aspx?menuIndex=3&amp;refID=7142023&amp;Result=3","7142023")</f>
        <v>0</v>
      </c>
      <c r="B9141" t="s">
        <v>2905</v>
      </c>
      <c r="C9141" t="s">
        <v>12424</v>
      </c>
      <c r="D9141" t="s">
        <v>17993</v>
      </c>
      <c r="E9141" t="s">
        <v>19771</v>
      </c>
      <c r="F9141" t="s">
        <v>30900</v>
      </c>
      <c r="G9141" t="s">
        <v>30907</v>
      </c>
      <c r="H9141" t="s">
        <v>30915</v>
      </c>
      <c r="I9141" t="s">
        <v>30932</v>
      </c>
      <c r="J9141" t="s">
        <v>31211</v>
      </c>
      <c r="K9141" t="s">
        <v>40314</v>
      </c>
      <c r="M9141" t="s">
        <v>43699</v>
      </c>
      <c r="N9141" t="s">
        <v>44759</v>
      </c>
      <c r="O9141" t="s">
        <v>44760</v>
      </c>
      <c r="P9141">
        <v>0</v>
      </c>
      <c r="Q9141">
        <v>1</v>
      </c>
      <c r="R9141" t="s">
        <v>44768</v>
      </c>
      <c r="S9141" t="s">
        <v>44982</v>
      </c>
      <c r="T9141" t="s">
        <v>46581</v>
      </c>
      <c r="U9141" t="s">
        <v>54530</v>
      </c>
      <c r="W9141" t="s">
        <v>43699</v>
      </c>
      <c r="X9141" t="s">
        <v>44769</v>
      </c>
    </row>
    <row r="9142" spans="1:24">
      <c r="A9142">
        <f>HYPERLINK("https://www.philgeps.gov.ph/GEPSNONPILOT/Tender/SplashBidNoticeAbstractUI.aspx?menuIndex=3&amp;refID=7142048&amp;Result=3","7142048")</f>
        <v>0</v>
      </c>
      <c r="B9142" t="s">
        <v>1119</v>
      </c>
      <c r="C9142" t="s">
        <v>12425</v>
      </c>
      <c r="D9142" t="s">
        <v>17959</v>
      </c>
      <c r="E9142" t="s">
        <v>25993</v>
      </c>
      <c r="F9142" t="s">
        <v>30900</v>
      </c>
      <c r="G9142" t="s">
        <v>30908</v>
      </c>
      <c r="H9142" t="s">
        <v>30916</v>
      </c>
      <c r="I9142" t="s">
        <v>30924</v>
      </c>
      <c r="J9142" t="s">
        <v>35272</v>
      </c>
      <c r="K9142" t="s">
        <v>40286</v>
      </c>
      <c r="M9142" t="s">
        <v>41721</v>
      </c>
      <c r="N9142" t="s">
        <v>44759</v>
      </c>
      <c r="O9142" t="s">
        <v>44760</v>
      </c>
      <c r="P9142">
        <v>0</v>
      </c>
      <c r="Q9142">
        <v>5</v>
      </c>
      <c r="R9142" t="s">
        <v>44768</v>
      </c>
      <c r="S9142" t="s">
        <v>44982</v>
      </c>
      <c r="T9142" t="s">
        <v>46531</v>
      </c>
      <c r="U9142" t="s">
        <v>49074</v>
      </c>
      <c r="V9142" t="s">
        <v>60111</v>
      </c>
      <c r="W9142" t="s">
        <v>41721</v>
      </c>
      <c r="X9142" t="s">
        <v>44769</v>
      </c>
    </row>
    <row r="9143" spans="1:24">
      <c r="A9143">
        <f>HYPERLINK("https://www.philgeps.gov.ph/GEPSNONPILOT/Tender/SplashBidNoticeAbstractUI.aspx?menuIndex=3&amp;refID=7142045&amp;Result=3","7142045")</f>
        <v>0</v>
      </c>
      <c r="B9143" t="s">
        <v>2892</v>
      </c>
      <c r="C9143" t="s">
        <v>12426</v>
      </c>
      <c r="D9143" t="s">
        <v>17998</v>
      </c>
      <c r="E9143" t="s">
        <v>25994</v>
      </c>
      <c r="F9143" t="s">
        <v>30900</v>
      </c>
      <c r="G9143" t="s">
        <v>30907</v>
      </c>
      <c r="H9143" t="s">
        <v>30916</v>
      </c>
      <c r="I9143" t="s">
        <v>6746</v>
      </c>
      <c r="J9143" t="s">
        <v>34987</v>
      </c>
      <c r="K9143" t="s">
        <v>40314</v>
      </c>
      <c r="M9143" t="s">
        <v>43685</v>
      </c>
      <c r="N9143" t="s">
        <v>44759</v>
      </c>
      <c r="O9143" t="s">
        <v>44760</v>
      </c>
      <c r="P9143">
        <v>0</v>
      </c>
      <c r="Q9143">
        <v>0</v>
      </c>
      <c r="R9143" t="s">
        <v>44768</v>
      </c>
      <c r="S9143" t="s">
        <v>44982</v>
      </c>
      <c r="T9143" t="s">
        <v>46389</v>
      </c>
      <c r="U9143" t="s">
        <v>54531</v>
      </c>
      <c r="W9143" t="s">
        <v>43685</v>
      </c>
      <c r="X9143" t="s">
        <v>44769</v>
      </c>
    </row>
    <row r="9144" spans="1:24">
      <c r="A9144">
        <f>HYPERLINK("https://www.philgeps.gov.ph/GEPSNONPILOT/Tender/SplashBidNoticeAbstractUI.aspx?menuIndex=3&amp;refID=7142044&amp;Result=3","7142044")</f>
        <v>0</v>
      </c>
      <c r="B9144" t="s">
        <v>1750</v>
      </c>
      <c r="C9144" t="s">
        <v>12427</v>
      </c>
      <c r="D9144" t="s">
        <v>17966</v>
      </c>
      <c r="E9144" t="s">
        <v>25995</v>
      </c>
      <c r="F9144" t="s">
        <v>30900</v>
      </c>
      <c r="G9144" t="s">
        <v>30907</v>
      </c>
      <c r="H9144" t="s">
        <v>30916</v>
      </c>
      <c r="I9144" t="s">
        <v>5501</v>
      </c>
      <c r="J9144" t="s">
        <v>36776</v>
      </c>
      <c r="K9144" t="s">
        <v>40283</v>
      </c>
      <c r="M9144" t="s">
        <v>42419</v>
      </c>
      <c r="N9144" t="s">
        <v>44759</v>
      </c>
      <c r="O9144" t="s">
        <v>44760</v>
      </c>
      <c r="P9144">
        <v>0</v>
      </c>
      <c r="Q9144">
        <v>2</v>
      </c>
      <c r="R9144" t="s">
        <v>44768</v>
      </c>
      <c r="S9144" t="s">
        <v>44982</v>
      </c>
      <c r="T9144" t="s">
        <v>46581</v>
      </c>
      <c r="U9144" t="s">
        <v>54532</v>
      </c>
      <c r="W9144" t="s">
        <v>60873</v>
      </c>
      <c r="X9144" t="s">
        <v>44769</v>
      </c>
    </row>
    <row r="9145" spans="1:24">
      <c r="A9145">
        <f>HYPERLINK("https://www.philgeps.gov.ph/GEPSNONPILOT/Tender/SplashBidNoticeAbstractUI.aspx?menuIndex=3&amp;refID=7142043&amp;Result=3","7142043")</f>
        <v>0</v>
      </c>
      <c r="B9145" t="s">
        <v>2889</v>
      </c>
      <c r="C9145" t="s">
        <v>12428</v>
      </c>
      <c r="D9145" t="s">
        <v>17962</v>
      </c>
      <c r="E9145" t="s">
        <v>25996</v>
      </c>
      <c r="F9145" t="s">
        <v>30900</v>
      </c>
      <c r="G9145" t="s">
        <v>30907</v>
      </c>
      <c r="H9145" t="s">
        <v>30917</v>
      </c>
      <c r="I9145" t="s">
        <v>30981</v>
      </c>
      <c r="J9145" t="s">
        <v>36777</v>
      </c>
      <c r="K9145" t="s">
        <v>40293</v>
      </c>
      <c r="M9145" t="s">
        <v>43681</v>
      </c>
      <c r="N9145" t="s">
        <v>44759</v>
      </c>
      <c r="O9145" t="s">
        <v>44760</v>
      </c>
      <c r="P9145">
        <v>0</v>
      </c>
      <c r="Q9145">
        <v>0</v>
      </c>
      <c r="R9145" t="s">
        <v>44768</v>
      </c>
      <c r="S9145" t="s">
        <v>44982</v>
      </c>
      <c r="T9145" t="s">
        <v>46544</v>
      </c>
      <c r="U9145" t="s">
        <v>54533</v>
      </c>
      <c r="W9145" t="s">
        <v>43681</v>
      </c>
      <c r="X9145" t="s">
        <v>44769</v>
      </c>
    </row>
    <row r="9146" spans="1:24">
      <c r="A9146">
        <f>HYPERLINK("https://www.philgeps.gov.ph/GEPSNONPILOT/Tender/SplashBidNoticeAbstractUI.aspx?menuIndex=3&amp;refID=7142060&amp;Result=3","7142060")</f>
        <v>0</v>
      </c>
      <c r="B9146" t="s">
        <v>1143</v>
      </c>
      <c r="C9146" t="s">
        <v>12429</v>
      </c>
      <c r="D9146" t="s">
        <v>17990</v>
      </c>
      <c r="E9146" t="s">
        <v>25997</v>
      </c>
      <c r="F9146" t="s">
        <v>30900</v>
      </c>
      <c r="G9146" t="s">
        <v>30907</v>
      </c>
      <c r="H9146" t="s">
        <v>30916</v>
      </c>
      <c r="I9146" t="s">
        <v>30939</v>
      </c>
      <c r="J9146" t="s">
        <v>36778</v>
      </c>
      <c r="K9146" t="s">
        <v>40283</v>
      </c>
      <c r="M9146" t="s">
        <v>42441</v>
      </c>
      <c r="N9146" t="s">
        <v>44759</v>
      </c>
      <c r="O9146" t="s">
        <v>44760</v>
      </c>
      <c r="P9146">
        <v>0</v>
      </c>
      <c r="Q9146">
        <v>1</v>
      </c>
      <c r="R9146" t="s">
        <v>44768</v>
      </c>
      <c r="S9146" t="s">
        <v>44982</v>
      </c>
      <c r="T9146" t="s">
        <v>46661</v>
      </c>
      <c r="U9146" t="s">
        <v>54534</v>
      </c>
      <c r="W9146" t="s">
        <v>42441</v>
      </c>
      <c r="X9146" t="s">
        <v>44769</v>
      </c>
    </row>
    <row r="9147" spans="1:24">
      <c r="A9147">
        <f>HYPERLINK("https://www.philgeps.gov.ph/GEPSNONPILOT/Tender/SplashBidNoticeAbstractUI.aspx?menuIndex=3&amp;refID=7142046&amp;Result=3","7142046")</f>
        <v>0</v>
      </c>
      <c r="B9147" t="s">
        <v>1870</v>
      </c>
      <c r="C9147" t="s">
        <v>12430</v>
      </c>
      <c r="D9147" t="s">
        <v>17992</v>
      </c>
      <c r="E9147" t="s">
        <v>25998</v>
      </c>
      <c r="F9147" t="s">
        <v>30900</v>
      </c>
      <c r="G9147" t="s">
        <v>30907</v>
      </c>
      <c r="H9147" t="s">
        <v>30916</v>
      </c>
      <c r="I9147" t="s">
        <v>4545</v>
      </c>
      <c r="J9147" t="s">
        <v>36779</v>
      </c>
      <c r="K9147" t="s">
        <v>40286</v>
      </c>
      <c r="M9147" t="s">
        <v>42544</v>
      </c>
      <c r="N9147" t="s">
        <v>44759</v>
      </c>
      <c r="O9147" t="s">
        <v>44760</v>
      </c>
      <c r="P9147">
        <v>0</v>
      </c>
      <c r="Q9147">
        <v>6</v>
      </c>
      <c r="R9147" t="s">
        <v>44768</v>
      </c>
      <c r="S9147" t="s">
        <v>44982</v>
      </c>
      <c r="T9147" t="s">
        <v>46625</v>
      </c>
      <c r="U9147" t="s">
        <v>54535</v>
      </c>
      <c r="W9147" t="s">
        <v>42544</v>
      </c>
      <c r="X9147" t="s">
        <v>44769</v>
      </c>
    </row>
    <row r="9148" spans="1:24">
      <c r="A9148">
        <f>HYPERLINK("https://www.philgeps.gov.ph/GEPSNONPILOT/Tender/SplashBidNoticeAbstractUI.aspx?menuIndex=3&amp;refID=7142075&amp;Result=3","7142075")</f>
        <v>0</v>
      </c>
      <c r="B9148" t="s">
        <v>1919</v>
      </c>
      <c r="C9148" t="s">
        <v>12431</v>
      </c>
      <c r="D9148" t="s">
        <v>17953</v>
      </c>
      <c r="E9148" t="s">
        <v>25999</v>
      </c>
      <c r="F9148" t="s">
        <v>30900</v>
      </c>
      <c r="G9148" t="s">
        <v>30908</v>
      </c>
      <c r="H9148" t="s">
        <v>7411</v>
      </c>
      <c r="I9148" t="s">
        <v>30933</v>
      </c>
      <c r="J9148" t="s">
        <v>31043</v>
      </c>
      <c r="K9148" t="s">
        <v>40283</v>
      </c>
      <c r="M9148" t="s">
        <v>42597</v>
      </c>
      <c r="N9148" t="s">
        <v>44759</v>
      </c>
      <c r="O9148" t="s">
        <v>44760</v>
      </c>
      <c r="P9148">
        <v>0</v>
      </c>
      <c r="Q9148">
        <v>0</v>
      </c>
      <c r="R9148" t="s">
        <v>44768</v>
      </c>
      <c r="S9148" t="s">
        <v>44982</v>
      </c>
      <c r="T9148" t="s">
        <v>46658</v>
      </c>
      <c r="U9148" t="s">
        <v>54536</v>
      </c>
      <c r="V9148" t="s">
        <v>51724</v>
      </c>
      <c r="W9148" t="s">
        <v>60876</v>
      </c>
      <c r="X9148" t="s">
        <v>44769</v>
      </c>
    </row>
    <row r="9149" spans="1:24">
      <c r="A9149">
        <f>HYPERLINK("https://www.philgeps.gov.ph/GEPSNONPILOT/Tender/SplashBidNoticeAbstractUI.aspx?menuIndex=3&amp;refID=7142042&amp;Result=3","7142042")</f>
        <v>0</v>
      </c>
      <c r="B9149" t="s">
        <v>1988</v>
      </c>
      <c r="C9149" t="s">
        <v>12432</v>
      </c>
      <c r="D9149" t="s">
        <v>17959</v>
      </c>
      <c r="E9149" t="s">
        <v>26000</v>
      </c>
      <c r="F9149" t="s">
        <v>30900</v>
      </c>
      <c r="G9149" t="s">
        <v>30906</v>
      </c>
      <c r="H9149" t="s">
        <v>30916</v>
      </c>
      <c r="I9149" t="s">
        <v>5501</v>
      </c>
      <c r="J9149" t="s">
        <v>36780</v>
      </c>
      <c r="K9149" t="s">
        <v>40289</v>
      </c>
      <c r="M9149" t="s">
        <v>43684</v>
      </c>
      <c r="N9149" t="s">
        <v>44759</v>
      </c>
      <c r="O9149" t="s">
        <v>44760</v>
      </c>
      <c r="Q9149">
        <v>32</v>
      </c>
      <c r="R9149" t="s">
        <v>44768</v>
      </c>
      <c r="S9149" t="s">
        <v>45043</v>
      </c>
      <c r="T9149" t="s">
        <v>46508</v>
      </c>
      <c r="U9149" t="s">
        <v>54469</v>
      </c>
      <c r="W9149" t="s">
        <v>43684</v>
      </c>
      <c r="X9149" t="s">
        <v>44769</v>
      </c>
    </row>
    <row r="9150" spans="1:24">
      <c r="A9150">
        <f>HYPERLINK("https://www.philgeps.gov.ph/GEPSNONPILOT/Tender/SplashBidNoticeAbstractUI.aspx?menuIndex=3&amp;refID=7142072&amp;Result=3","7142072")</f>
        <v>0</v>
      </c>
      <c r="B9150" t="s">
        <v>2906</v>
      </c>
      <c r="C9150" t="s">
        <v>12433</v>
      </c>
      <c r="D9150" t="s">
        <v>18031</v>
      </c>
      <c r="E9150" t="s">
        <v>26001</v>
      </c>
      <c r="F9150" t="s">
        <v>30900</v>
      </c>
      <c r="G9150" t="s">
        <v>30909</v>
      </c>
      <c r="H9150" t="s">
        <v>30916</v>
      </c>
      <c r="I9150" t="s">
        <v>6396</v>
      </c>
      <c r="J9150" t="s">
        <v>36781</v>
      </c>
      <c r="K9150" t="s">
        <v>40287</v>
      </c>
      <c r="M9150" t="s">
        <v>43700</v>
      </c>
      <c r="N9150" t="s">
        <v>44759</v>
      </c>
      <c r="O9150" t="s">
        <v>44760</v>
      </c>
      <c r="P9150">
        <v>0</v>
      </c>
      <c r="Q9150">
        <v>0</v>
      </c>
      <c r="R9150" t="s">
        <v>44768</v>
      </c>
      <c r="S9150" t="s">
        <v>44982</v>
      </c>
      <c r="T9150" t="s">
        <v>46625</v>
      </c>
      <c r="U9150" t="s">
        <v>54537</v>
      </c>
      <c r="V9150" t="s">
        <v>60112</v>
      </c>
      <c r="W9150" t="s">
        <v>43700</v>
      </c>
      <c r="X9150" t="s">
        <v>44769</v>
      </c>
    </row>
    <row r="9151" spans="1:24">
      <c r="A9151">
        <f>HYPERLINK("https://www.philgeps.gov.ph/GEPSNONPILOT/Tender/SplashBidNoticeAbstractUI.aspx?menuIndex=3&amp;refID=7142073&amp;Result=3","7142073")</f>
        <v>0</v>
      </c>
      <c r="B9151" t="s">
        <v>2323</v>
      </c>
      <c r="C9151" t="s">
        <v>12434</v>
      </c>
      <c r="D9151" t="s">
        <v>18039</v>
      </c>
      <c r="E9151" t="s">
        <v>18909</v>
      </c>
      <c r="F9151" t="s">
        <v>30900</v>
      </c>
      <c r="G9151" t="s">
        <v>30907</v>
      </c>
      <c r="H9151" t="s">
        <v>30915</v>
      </c>
      <c r="I9151" t="s">
        <v>30919</v>
      </c>
      <c r="J9151" t="s">
        <v>31241</v>
      </c>
      <c r="K9151" t="s">
        <v>40301</v>
      </c>
      <c r="M9151" t="s">
        <v>43044</v>
      </c>
      <c r="N9151" t="s">
        <v>44759</v>
      </c>
      <c r="O9151" t="s">
        <v>44760</v>
      </c>
      <c r="P9151">
        <v>0</v>
      </c>
      <c r="Q9151">
        <v>2</v>
      </c>
      <c r="R9151" t="s">
        <v>44768</v>
      </c>
      <c r="S9151" t="s">
        <v>44982</v>
      </c>
      <c r="T9151" t="s">
        <v>46544</v>
      </c>
      <c r="U9151" t="s">
        <v>54538</v>
      </c>
      <c r="W9151" t="s">
        <v>43044</v>
      </c>
      <c r="X9151" t="s">
        <v>44769</v>
      </c>
    </row>
    <row r="9152" spans="1:24">
      <c r="A9152">
        <f>HYPERLINK("https://www.philgeps.gov.ph/GEPSNONPILOT/Tender/SplashBidNoticeAbstractUI.aspx?menuIndex=3&amp;refID=7142068&amp;Result=3","7142068")</f>
        <v>0</v>
      </c>
      <c r="B9152" t="s">
        <v>2907</v>
      </c>
      <c r="C9152" t="s">
        <v>12435</v>
      </c>
      <c r="D9152" t="s">
        <v>18017</v>
      </c>
      <c r="E9152" t="s">
        <v>26002</v>
      </c>
      <c r="F9152" t="s">
        <v>30900</v>
      </c>
      <c r="G9152" t="s">
        <v>30907</v>
      </c>
      <c r="H9152" t="s">
        <v>30916</v>
      </c>
      <c r="I9152" t="s">
        <v>8123</v>
      </c>
      <c r="J9152" t="s">
        <v>36782</v>
      </c>
      <c r="K9152" t="s">
        <v>40286</v>
      </c>
      <c r="M9152" t="s">
        <v>43701</v>
      </c>
      <c r="N9152" t="s">
        <v>44759</v>
      </c>
      <c r="O9152" t="s">
        <v>44760</v>
      </c>
      <c r="P9152">
        <v>0</v>
      </c>
      <c r="Q9152">
        <v>0</v>
      </c>
      <c r="R9152" t="s">
        <v>44768</v>
      </c>
      <c r="S9152" t="s">
        <v>44982</v>
      </c>
      <c r="T9152" t="s">
        <v>46595</v>
      </c>
      <c r="U9152" t="s">
        <v>54539</v>
      </c>
      <c r="W9152" t="s">
        <v>60906</v>
      </c>
      <c r="X9152" t="s">
        <v>44769</v>
      </c>
    </row>
    <row r="9153" spans="1:24">
      <c r="A9153">
        <f>HYPERLINK("https://www.philgeps.gov.ph/GEPSNONPILOT/Tender/SplashBidNoticeAbstractUI.aspx?menuIndex=3&amp;refID=7142057&amp;Result=3","7142057")</f>
        <v>0</v>
      </c>
      <c r="B9153" t="s">
        <v>2907</v>
      </c>
      <c r="C9153" t="s">
        <v>12436</v>
      </c>
      <c r="D9153" t="s">
        <v>18017</v>
      </c>
      <c r="E9153" t="s">
        <v>26003</v>
      </c>
      <c r="F9153" t="s">
        <v>30900</v>
      </c>
      <c r="G9153" t="s">
        <v>30907</v>
      </c>
      <c r="H9153" t="s">
        <v>30916</v>
      </c>
      <c r="I9153" t="s">
        <v>8123</v>
      </c>
      <c r="J9153" t="s">
        <v>36783</v>
      </c>
      <c r="K9153" t="s">
        <v>40286</v>
      </c>
      <c r="M9153" t="s">
        <v>43701</v>
      </c>
      <c r="N9153" t="s">
        <v>44759</v>
      </c>
      <c r="O9153" t="s">
        <v>44760</v>
      </c>
      <c r="P9153">
        <v>0</v>
      </c>
      <c r="Q9153">
        <v>0</v>
      </c>
      <c r="R9153" t="s">
        <v>44768</v>
      </c>
      <c r="S9153" t="s">
        <v>44982</v>
      </c>
      <c r="T9153" t="s">
        <v>46595</v>
      </c>
      <c r="U9153" t="s">
        <v>54539</v>
      </c>
      <c r="W9153" t="s">
        <v>60906</v>
      </c>
      <c r="X9153" t="s">
        <v>44769</v>
      </c>
    </row>
    <row r="9154" spans="1:24">
      <c r="A9154">
        <f>HYPERLINK("https://www.philgeps.gov.ph/GEPSNONPILOT/Tender/SplashBidNoticeAbstractUI.aspx?menuIndex=3&amp;refID=7142066&amp;Result=3","7142066")</f>
        <v>0</v>
      </c>
      <c r="B9154" t="s">
        <v>2907</v>
      </c>
      <c r="C9154" t="s">
        <v>12437</v>
      </c>
      <c r="D9154" t="s">
        <v>18017</v>
      </c>
      <c r="E9154" t="s">
        <v>26004</v>
      </c>
      <c r="F9154" t="s">
        <v>30900</v>
      </c>
      <c r="G9154" t="s">
        <v>30907</v>
      </c>
      <c r="H9154" t="s">
        <v>30916</v>
      </c>
      <c r="I9154" t="s">
        <v>8123</v>
      </c>
      <c r="J9154" t="s">
        <v>36784</v>
      </c>
      <c r="K9154" t="s">
        <v>40286</v>
      </c>
      <c r="M9154" t="s">
        <v>43701</v>
      </c>
      <c r="N9154" t="s">
        <v>44759</v>
      </c>
      <c r="O9154" t="s">
        <v>44760</v>
      </c>
      <c r="P9154">
        <v>0</v>
      </c>
      <c r="Q9154">
        <v>0</v>
      </c>
      <c r="R9154" t="s">
        <v>44768</v>
      </c>
      <c r="S9154" t="s">
        <v>44982</v>
      </c>
      <c r="T9154" t="s">
        <v>46595</v>
      </c>
      <c r="U9154" t="s">
        <v>54539</v>
      </c>
      <c r="W9154" t="s">
        <v>60906</v>
      </c>
      <c r="X9154" t="s">
        <v>44769</v>
      </c>
    </row>
    <row r="9155" spans="1:24">
      <c r="A9155">
        <f>HYPERLINK("https://www.philgeps.gov.ph/GEPSNONPILOT/Tender/SplashBidNoticeAbstractUI.aspx?menuIndex=3&amp;refID=7142061&amp;Result=3","7142061")</f>
        <v>0</v>
      </c>
      <c r="B9155" t="s">
        <v>2907</v>
      </c>
      <c r="C9155" t="s">
        <v>12438</v>
      </c>
      <c r="D9155" t="s">
        <v>18017</v>
      </c>
      <c r="E9155" t="s">
        <v>26005</v>
      </c>
      <c r="F9155" t="s">
        <v>30900</v>
      </c>
      <c r="G9155" t="s">
        <v>30907</v>
      </c>
      <c r="H9155" t="s">
        <v>30916</v>
      </c>
      <c r="I9155" t="s">
        <v>8123</v>
      </c>
      <c r="J9155" t="s">
        <v>36785</v>
      </c>
      <c r="K9155" t="s">
        <v>40286</v>
      </c>
      <c r="M9155" t="s">
        <v>43701</v>
      </c>
      <c r="N9155" t="s">
        <v>44759</v>
      </c>
      <c r="O9155" t="s">
        <v>44760</v>
      </c>
      <c r="P9155">
        <v>0</v>
      </c>
      <c r="Q9155">
        <v>0</v>
      </c>
      <c r="R9155" t="s">
        <v>44768</v>
      </c>
      <c r="S9155" t="s">
        <v>44982</v>
      </c>
      <c r="T9155" t="s">
        <v>46595</v>
      </c>
      <c r="U9155" t="s">
        <v>54539</v>
      </c>
      <c r="W9155" t="s">
        <v>60906</v>
      </c>
      <c r="X9155" t="s">
        <v>44769</v>
      </c>
    </row>
    <row r="9156" spans="1:24">
      <c r="A9156">
        <f>HYPERLINK("https://www.philgeps.gov.ph/GEPSNONPILOT/Tender/SplashBidNoticeAbstractUI.aspx?menuIndex=3&amp;refID=7142071&amp;Result=3","7142071")</f>
        <v>0</v>
      </c>
      <c r="B9156" t="s">
        <v>2907</v>
      </c>
      <c r="C9156" t="s">
        <v>12439</v>
      </c>
      <c r="D9156" t="s">
        <v>18017</v>
      </c>
      <c r="E9156" t="s">
        <v>26006</v>
      </c>
      <c r="F9156" t="s">
        <v>30900</v>
      </c>
      <c r="G9156" t="s">
        <v>30907</v>
      </c>
      <c r="H9156" t="s">
        <v>30916</v>
      </c>
      <c r="I9156" t="s">
        <v>8123</v>
      </c>
      <c r="J9156" t="s">
        <v>36786</v>
      </c>
      <c r="K9156" t="s">
        <v>40286</v>
      </c>
      <c r="M9156" t="s">
        <v>43701</v>
      </c>
      <c r="N9156" t="s">
        <v>44759</v>
      </c>
      <c r="O9156" t="s">
        <v>44760</v>
      </c>
      <c r="P9156">
        <v>0</v>
      </c>
      <c r="Q9156">
        <v>1</v>
      </c>
      <c r="R9156" t="s">
        <v>44768</v>
      </c>
      <c r="S9156" t="s">
        <v>44982</v>
      </c>
      <c r="T9156" t="s">
        <v>46595</v>
      </c>
      <c r="U9156" t="s">
        <v>54539</v>
      </c>
      <c r="W9156" t="s">
        <v>60906</v>
      </c>
      <c r="X9156" t="s">
        <v>44769</v>
      </c>
    </row>
    <row r="9157" spans="1:24">
      <c r="A9157">
        <f>HYPERLINK("https://www.philgeps.gov.ph/GEPSNONPILOT/Tender/SplashBidNoticeAbstractUI.aspx?menuIndex=3&amp;refID=7142053&amp;Result=3","7142053")</f>
        <v>0</v>
      </c>
      <c r="B9157" t="s">
        <v>1119</v>
      </c>
      <c r="C9157" t="s">
        <v>12440</v>
      </c>
      <c r="D9157" t="s">
        <v>17959</v>
      </c>
      <c r="E9157" t="s">
        <v>26007</v>
      </c>
      <c r="F9157" t="s">
        <v>30900</v>
      </c>
      <c r="G9157" t="s">
        <v>30908</v>
      </c>
      <c r="H9157" t="s">
        <v>30916</v>
      </c>
      <c r="I9157" t="s">
        <v>10879</v>
      </c>
      <c r="J9157" t="s">
        <v>31243</v>
      </c>
      <c r="K9157" t="s">
        <v>40286</v>
      </c>
      <c r="M9157" t="s">
        <v>41721</v>
      </c>
      <c r="N9157" t="s">
        <v>44759</v>
      </c>
      <c r="O9157" t="s">
        <v>44760</v>
      </c>
      <c r="P9157">
        <v>0</v>
      </c>
      <c r="Q9157">
        <v>5</v>
      </c>
      <c r="R9157" t="s">
        <v>44768</v>
      </c>
      <c r="S9157" t="s">
        <v>44982</v>
      </c>
      <c r="T9157" t="s">
        <v>46421</v>
      </c>
      <c r="U9157" t="s">
        <v>49074</v>
      </c>
      <c r="V9157" t="s">
        <v>59506</v>
      </c>
      <c r="W9157" t="s">
        <v>41721</v>
      </c>
      <c r="X9157" t="s">
        <v>44769</v>
      </c>
    </row>
    <row r="9158" spans="1:24">
      <c r="A9158">
        <f>HYPERLINK("https://www.philgeps.gov.ph/GEPSNONPILOT/Tender/SplashBidNoticeAbstractUI.aspx?menuIndex=3&amp;refID=7104524&amp;Result=3","7104524")</f>
        <v>0</v>
      </c>
      <c r="B9158" t="s">
        <v>2908</v>
      </c>
      <c r="C9158" t="s">
        <v>12441</v>
      </c>
      <c r="D9158" t="s">
        <v>17998</v>
      </c>
      <c r="E9158" t="s">
        <v>26008</v>
      </c>
      <c r="F9158" t="s">
        <v>30900</v>
      </c>
      <c r="G9158" t="s">
        <v>30907</v>
      </c>
      <c r="H9158" t="s">
        <v>30915</v>
      </c>
      <c r="I9158" t="s">
        <v>30919</v>
      </c>
      <c r="J9158" t="s">
        <v>36787</v>
      </c>
      <c r="K9158" t="s">
        <v>40314</v>
      </c>
      <c r="M9158" t="s">
        <v>43702</v>
      </c>
      <c r="N9158" t="s">
        <v>44759</v>
      </c>
      <c r="O9158" t="s">
        <v>44760</v>
      </c>
      <c r="P9158">
        <v>0</v>
      </c>
      <c r="Q9158">
        <v>0</v>
      </c>
      <c r="R9158" t="s">
        <v>44769</v>
      </c>
      <c r="S9158" t="s">
        <v>45044</v>
      </c>
      <c r="T9158" t="s">
        <v>46383</v>
      </c>
      <c r="U9158" t="s">
        <v>54540</v>
      </c>
      <c r="W9158" t="s">
        <v>43702</v>
      </c>
      <c r="X9158" t="s">
        <v>44784</v>
      </c>
    </row>
    <row r="9159" spans="1:24">
      <c r="A9159">
        <f>HYPERLINK("https://www.philgeps.gov.ph/GEPSNONPILOT/Tender/SplashBidNoticeAbstractUI.aspx?menuIndex=3&amp;refID=7062644-2&amp;Result=3","7062644-2")</f>
        <v>0</v>
      </c>
      <c r="B9159" t="s">
        <v>2909</v>
      </c>
      <c r="C9159" t="s">
        <v>12442</v>
      </c>
      <c r="D9159" t="s">
        <v>17959</v>
      </c>
      <c r="E9159" t="s">
        <v>26009</v>
      </c>
      <c r="F9159" t="s">
        <v>30900</v>
      </c>
      <c r="G9159" t="s">
        <v>30907</v>
      </c>
      <c r="H9159" t="s">
        <v>7411</v>
      </c>
      <c r="I9159" t="s">
        <v>7411</v>
      </c>
      <c r="J9159" t="s">
        <v>36788</v>
      </c>
      <c r="K9159" t="s">
        <v>40319</v>
      </c>
      <c r="M9159" t="s">
        <v>43703</v>
      </c>
      <c r="N9159" t="s">
        <v>44759</v>
      </c>
      <c r="O9159" t="s">
        <v>44760</v>
      </c>
      <c r="P9159">
        <v>0</v>
      </c>
      <c r="Q9159">
        <v>0</v>
      </c>
      <c r="R9159" t="s">
        <v>44769</v>
      </c>
      <c r="S9159" t="s">
        <v>45044</v>
      </c>
      <c r="T9159" t="s">
        <v>46397</v>
      </c>
      <c r="U9159" t="s">
        <v>54541</v>
      </c>
      <c r="W9159" t="s">
        <v>43703</v>
      </c>
      <c r="X9159" t="s">
        <v>44770</v>
      </c>
    </row>
    <row r="9160" spans="1:24">
      <c r="A9160">
        <f>HYPERLINK("https://www.philgeps.gov.ph/GEPSNONPILOT/Tender/SplashBidNoticeAbstractUI.aspx?menuIndex=3&amp;refID=7142076&amp;Result=3","7142076")</f>
        <v>0</v>
      </c>
      <c r="B9160" t="s">
        <v>2907</v>
      </c>
      <c r="C9160" t="s">
        <v>12443</v>
      </c>
      <c r="D9160" t="s">
        <v>18017</v>
      </c>
      <c r="E9160" t="s">
        <v>26010</v>
      </c>
      <c r="F9160" t="s">
        <v>30900</v>
      </c>
      <c r="G9160" t="s">
        <v>30907</v>
      </c>
      <c r="H9160" t="s">
        <v>30916</v>
      </c>
      <c r="I9160" t="s">
        <v>8123</v>
      </c>
      <c r="J9160" t="s">
        <v>36789</v>
      </c>
      <c r="K9160" t="s">
        <v>40286</v>
      </c>
      <c r="M9160" t="s">
        <v>43701</v>
      </c>
      <c r="N9160" t="s">
        <v>44759</v>
      </c>
      <c r="O9160" t="s">
        <v>44760</v>
      </c>
      <c r="P9160">
        <v>0</v>
      </c>
      <c r="Q9160">
        <v>0</v>
      </c>
      <c r="R9160" t="s">
        <v>44768</v>
      </c>
      <c r="S9160" t="s">
        <v>44982</v>
      </c>
      <c r="T9160" t="s">
        <v>46595</v>
      </c>
      <c r="U9160" t="s">
        <v>54539</v>
      </c>
      <c r="W9160" t="s">
        <v>60906</v>
      </c>
      <c r="X9160" t="s">
        <v>44769</v>
      </c>
    </row>
    <row r="9161" spans="1:24">
      <c r="A9161">
        <f>HYPERLINK("https://www.philgeps.gov.ph/GEPSNONPILOT/Tender/SplashBidNoticeAbstractUI.aspx?menuIndex=3&amp;refID=7129679&amp;Result=3","7129679")</f>
        <v>0</v>
      </c>
      <c r="B9161" t="s">
        <v>1088</v>
      </c>
      <c r="C9161" t="s">
        <v>12444</v>
      </c>
      <c r="D9161" t="s">
        <v>17959</v>
      </c>
      <c r="E9161" t="s">
        <v>26011</v>
      </c>
      <c r="F9161" t="s">
        <v>30900</v>
      </c>
      <c r="G9161" t="s">
        <v>30907</v>
      </c>
      <c r="H9161" t="s">
        <v>30916</v>
      </c>
      <c r="I9161" t="s">
        <v>4108</v>
      </c>
      <c r="J9161" t="s">
        <v>31297</v>
      </c>
      <c r="K9161" t="s">
        <v>40292</v>
      </c>
      <c r="M9161" t="s">
        <v>43704</v>
      </c>
      <c r="N9161" t="s">
        <v>44759</v>
      </c>
      <c r="O9161" t="s">
        <v>44760</v>
      </c>
      <c r="P9161">
        <v>0</v>
      </c>
      <c r="Q9161">
        <v>16</v>
      </c>
      <c r="R9161" t="s">
        <v>44769</v>
      </c>
      <c r="S9161" t="s">
        <v>45044</v>
      </c>
      <c r="T9161" t="s">
        <v>46450</v>
      </c>
      <c r="U9161" t="s">
        <v>54542</v>
      </c>
      <c r="W9161" t="s">
        <v>43704</v>
      </c>
      <c r="X9161" t="s">
        <v>44774</v>
      </c>
    </row>
    <row r="9162" spans="1:24">
      <c r="A9162">
        <f>HYPERLINK("https://www.philgeps.gov.ph/GEPSNONPILOT/Tender/SplashBidNoticeAbstractUI.aspx?menuIndex=3&amp;refID=7142049&amp;Result=3","7142049")</f>
        <v>0</v>
      </c>
      <c r="B9162" t="s">
        <v>2910</v>
      </c>
      <c r="C9162" t="s">
        <v>12445</v>
      </c>
      <c r="D9162" t="s">
        <v>17959</v>
      </c>
      <c r="E9162" t="s">
        <v>26012</v>
      </c>
      <c r="F9162" t="s">
        <v>30900</v>
      </c>
      <c r="G9162" t="s">
        <v>30907</v>
      </c>
      <c r="H9162" t="s">
        <v>30916</v>
      </c>
      <c r="I9162" t="s">
        <v>30921</v>
      </c>
      <c r="J9162" t="s">
        <v>33323</v>
      </c>
      <c r="K9162" t="s">
        <v>40286</v>
      </c>
      <c r="M9162" t="s">
        <v>43705</v>
      </c>
      <c r="N9162" t="s">
        <v>44759</v>
      </c>
      <c r="O9162" t="s">
        <v>44760</v>
      </c>
      <c r="P9162">
        <v>0</v>
      </c>
      <c r="Q9162">
        <v>15</v>
      </c>
      <c r="R9162" t="s">
        <v>44768</v>
      </c>
      <c r="S9162" t="s">
        <v>44982</v>
      </c>
      <c r="T9162" t="s">
        <v>46689</v>
      </c>
      <c r="U9162" t="s">
        <v>54543</v>
      </c>
      <c r="V9162" t="s">
        <v>60113</v>
      </c>
      <c r="W9162" t="s">
        <v>43705</v>
      </c>
      <c r="X9162" t="s">
        <v>44769</v>
      </c>
    </row>
    <row r="9163" spans="1:24">
      <c r="A9163">
        <f>HYPERLINK("https://www.philgeps.gov.ph/GEPSNONPILOT/Tender/SplashBidNoticeAbstractUI.aspx?menuIndex=3&amp;refID=7129259&amp;Result=3","7129259")</f>
        <v>0</v>
      </c>
      <c r="B9163" t="s">
        <v>2911</v>
      </c>
      <c r="C9163" t="s">
        <v>12446</v>
      </c>
      <c r="D9163" t="s">
        <v>18040</v>
      </c>
      <c r="E9163" t="s">
        <v>26013</v>
      </c>
      <c r="F9163" t="s">
        <v>30900</v>
      </c>
      <c r="G9163" t="s">
        <v>30907</v>
      </c>
      <c r="H9163" t="s">
        <v>30915</v>
      </c>
      <c r="I9163" t="s">
        <v>30919</v>
      </c>
      <c r="J9163" t="s">
        <v>36790</v>
      </c>
      <c r="K9163" t="s">
        <v>40304</v>
      </c>
      <c r="M9163" t="s">
        <v>43706</v>
      </c>
      <c r="N9163" t="s">
        <v>44759</v>
      </c>
      <c r="O9163" t="s">
        <v>44760</v>
      </c>
      <c r="P9163">
        <v>0</v>
      </c>
      <c r="Q9163">
        <v>8</v>
      </c>
      <c r="R9163" t="s">
        <v>44769</v>
      </c>
      <c r="S9163" t="s">
        <v>45044</v>
      </c>
      <c r="T9163" t="s">
        <v>46606</v>
      </c>
      <c r="U9163" t="s">
        <v>54544</v>
      </c>
      <c r="V9163" t="s">
        <v>60114</v>
      </c>
      <c r="W9163" t="s">
        <v>43706</v>
      </c>
      <c r="X9163" t="s">
        <v>44775</v>
      </c>
    </row>
    <row r="9164" spans="1:24">
      <c r="A9164">
        <f>HYPERLINK("https://www.philgeps.gov.ph/GEPSNONPILOT/Tender/SplashBidNoticeAbstractUI.aspx?menuIndex=3&amp;refID=7128534&amp;Result=3","7128534")</f>
        <v>0</v>
      </c>
      <c r="B9164" t="s">
        <v>904</v>
      </c>
      <c r="C9164" t="s">
        <v>12447</v>
      </c>
      <c r="D9164" t="s">
        <v>17993</v>
      </c>
      <c r="E9164" t="s">
        <v>26014</v>
      </c>
      <c r="F9164" t="s">
        <v>30900</v>
      </c>
      <c r="G9164" t="s">
        <v>30907</v>
      </c>
      <c r="H9164" t="s">
        <v>30916</v>
      </c>
      <c r="I9164" t="s">
        <v>30924</v>
      </c>
      <c r="J9164" t="s">
        <v>36791</v>
      </c>
      <c r="K9164" t="s">
        <v>40286</v>
      </c>
      <c r="M9164" t="s">
        <v>41479</v>
      </c>
      <c r="N9164" t="s">
        <v>44759</v>
      </c>
      <c r="O9164" t="s">
        <v>44760</v>
      </c>
      <c r="P9164">
        <v>0</v>
      </c>
      <c r="Q9164">
        <v>9</v>
      </c>
      <c r="R9164" t="s">
        <v>44769</v>
      </c>
      <c r="S9164" t="s">
        <v>45044</v>
      </c>
      <c r="T9164" t="s">
        <v>46374</v>
      </c>
      <c r="U9164" t="s">
        <v>54545</v>
      </c>
      <c r="W9164" t="s">
        <v>41479</v>
      </c>
      <c r="X9164" t="s">
        <v>44775</v>
      </c>
    </row>
    <row r="9165" spans="1:24">
      <c r="A9165">
        <f>HYPERLINK("https://www.philgeps.gov.ph/GEPSNONPILOT/Tender/SplashBidNoticeAbstractUI.aspx?menuIndex=3&amp;refID=7128779&amp;Result=3","7128779")</f>
        <v>0</v>
      </c>
      <c r="B9165" t="s">
        <v>2912</v>
      </c>
      <c r="C9165" t="s">
        <v>12448</v>
      </c>
      <c r="D9165" t="s">
        <v>18029</v>
      </c>
      <c r="E9165" t="s">
        <v>26015</v>
      </c>
      <c r="F9165" t="s">
        <v>30900</v>
      </c>
      <c r="G9165" t="s">
        <v>30907</v>
      </c>
      <c r="H9165" t="s">
        <v>30916</v>
      </c>
      <c r="I9165" t="s">
        <v>30924</v>
      </c>
      <c r="J9165" t="s">
        <v>36792</v>
      </c>
      <c r="K9165" t="s">
        <v>40283</v>
      </c>
      <c r="M9165" t="s">
        <v>43707</v>
      </c>
      <c r="N9165" t="s">
        <v>44759</v>
      </c>
      <c r="O9165" t="s">
        <v>44760</v>
      </c>
      <c r="P9165">
        <v>0</v>
      </c>
      <c r="Q9165">
        <v>2</v>
      </c>
      <c r="R9165" t="s">
        <v>44769</v>
      </c>
      <c r="S9165" t="s">
        <v>45044</v>
      </c>
      <c r="T9165" t="s">
        <v>46488</v>
      </c>
      <c r="U9165" t="s">
        <v>54546</v>
      </c>
      <c r="W9165" t="s">
        <v>43707</v>
      </c>
      <c r="X9165" t="s">
        <v>44775</v>
      </c>
    </row>
    <row r="9166" spans="1:24">
      <c r="A9166">
        <f>HYPERLINK("https://www.philgeps.gov.ph/GEPSNONPILOT/Tender/SplashBidNoticeAbstractUI.aspx?menuIndex=3&amp;refID=7128508&amp;Result=3","7128508")</f>
        <v>0</v>
      </c>
      <c r="B9166" t="s">
        <v>2913</v>
      </c>
      <c r="C9166" t="s">
        <v>12449</v>
      </c>
      <c r="D9166" t="s">
        <v>18021</v>
      </c>
      <c r="E9166" t="s">
        <v>26016</v>
      </c>
      <c r="F9166" t="s">
        <v>30900</v>
      </c>
      <c r="G9166" t="s">
        <v>30907</v>
      </c>
      <c r="H9166" t="s">
        <v>30916</v>
      </c>
      <c r="I9166" t="s">
        <v>9385</v>
      </c>
      <c r="J9166" t="s">
        <v>36793</v>
      </c>
      <c r="K9166" t="s">
        <v>40286</v>
      </c>
      <c r="M9166" t="s">
        <v>43708</v>
      </c>
      <c r="N9166" t="s">
        <v>44759</v>
      </c>
      <c r="O9166" t="s">
        <v>44760</v>
      </c>
      <c r="P9166">
        <v>0</v>
      </c>
      <c r="Q9166">
        <v>2</v>
      </c>
      <c r="R9166" t="s">
        <v>44769</v>
      </c>
      <c r="S9166" t="s">
        <v>45044</v>
      </c>
      <c r="T9166" t="s">
        <v>46495</v>
      </c>
      <c r="U9166" t="s">
        <v>54547</v>
      </c>
      <c r="W9166" t="s">
        <v>43708</v>
      </c>
      <c r="X9166" t="s">
        <v>44775</v>
      </c>
    </row>
    <row r="9167" spans="1:24">
      <c r="A9167">
        <f>HYPERLINK("https://www.philgeps.gov.ph/GEPSNONPILOT/Tender/SplashBidNoticeAbstractUI.aspx?menuIndex=3&amp;refID=7127223&amp;Result=3","7127223")</f>
        <v>0</v>
      </c>
      <c r="B9167" t="s">
        <v>195</v>
      </c>
      <c r="C9167" t="s">
        <v>12450</v>
      </c>
      <c r="D9167" t="s">
        <v>17989</v>
      </c>
      <c r="E9167" t="s">
        <v>26017</v>
      </c>
      <c r="F9167" t="s">
        <v>30900</v>
      </c>
      <c r="G9167" t="s">
        <v>30907</v>
      </c>
      <c r="H9167" t="s">
        <v>30915</v>
      </c>
      <c r="I9167" t="s">
        <v>30919</v>
      </c>
      <c r="J9167" t="s">
        <v>36794</v>
      </c>
      <c r="K9167" t="s">
        <v>40291</v>
      </c>
      <c r="M9167" t="s">
        <v>40742</v>
      </c>
      <c r="N9167" t="s">
        <v>44759</v>
      </c>
      <c r="O9167" t="s">
        <v>44760</v>
      </c>
      <c r="P9167">
        <v>0</v>
      </c>
      <c r="Q9167">
        <v>0</v>
      </c>
      <c r="R9167" t="s">
        <v>44769</v>
      </c>
      <c r="S9167" t="s">
        <v>45044</v>
      </c>
      <c r="T9167" t="s">
        <v>46411</v>
      </c>
      <c r="U9167" t="s">
        <v>54548</v>
      </c>
      <c r="W9167" t="s">
        <v>40742</v>
      </c>
      <c r="X9167" t="s">
        <v>44775</v>
      </c>
    </row>
    <row r="9168" spans="1:24">
      <c r="A9168">
        <f>HYPERLINK("https://www.philgeps.gov.ph/GEPSNONPILOT/Tender/SplashBidNoticeAbstractUI.aspx?menuIndex=3&amp;refID=7129193&amp;Result=3","7129193")</f>
        <v>0</v>
      </c>
      <c r="B9168" t="s">
        <v>2314</v>
      </c>
      <c r="C9168" t="s">
        <v>12451</v>
      </c>
      <c r="D9168" t="s">
        <v>18000</v>
      </c>
      <c r="E9168" t="s">
        <v>26018</v>
      </c>
      <c r="F9168" t="s">
        <v>30900</v>
      </c>
      <c r="G9168" t="s">
        <v>30907</v>
      </c>
      <c r="H9168" t="s">
        <v>30916</v>
      </c>
      <c r="I9168" t="s">
        <v>30933</v>
      </c>
      <c r="J9168" t="s">
        <v>31214</v>
      </c>
      <c r="K9168" t="s">
        <v>40289</v>
      </c>
      <c r="M9168" t="s">
        <v>43032</v>
      </c>
      <c r="N9168" t="s">
        <v>44759</v>
      </c>
      <c r="O9168" t="s">
        <v>44760</v>
      </c>
      <c r="P9168">
        <v>0</v>
      </c>
      <c r="Q9168">
        <v>2</v>
      </c>
      <c r="R9168" t="s">
        <v>44769</v>
      </c>
      <c r="S9168" t="s">
        <v>45044</v>
      </c>
      <c r="T9168" t="s">
        <v>46488</v>
      </c>
      <c r="U9168" t="s">
        <v>54549</v>
      </c>
      <c r="W9168" t="s">
        <v>43032</v>
      </c>
      <c r="X9168" t="s">
        <v>44775</v>
      </c>
    </row>
    <row r="9169" spans="1:24">
      <c r="A9169">
        <f>HYPERLINK("https://www.philgeps.gov.ph/GEPSNONPILOT/Tender/SplashBidNoticeAbstractUI.aspx?menuIndex=3&amp;refID=7127132&amp;Result=3","7127132")</f>
        <v>0</v>
      </c>
      <c r="B9169" t="s">
        <v>195</v>
      </c>
      <c r="C9169" t="s">
        <v>12452</v>
      </c>
      <c r="D9169" t="s">
        <v>17989</v>
      </c>
      <c r="E9169" t="s">
        <v>26019</v>
      </c>
      <c r="F9169" t="s">
        <v>30900</v>
      </c>
      <c r="G9169" t="s">
        <v>30907</v>
      </c>
      <c r="H9169" t="s">
        <v>30915</v>
      </c>
      <c r="I9169" t="s">
        <v>30919</v>
      </c>
      <c r="J9169" t="s">
        <v>36795</v>
      </c>
      <c r="K9169" t="s">
        <v>40342</v>
      </c>
      <c r="M9169" t="s">
        <v>40742</v>
      </c>
      <c r="N9169" t="s">
        <v>44759</v>
      </c>
      <c r="O9169" t="s">
        <v>44760</v>
      </c>
      <c r="P9169">
        <v>0</v>
      </c>
      <c r="Q9169">
        <v>1</v>
      </c>
      <c r="R9169" t="s">
        <v>44769</v>
      </c>
      <c r="S9169" t="s">
        <v>45044</v>
      </c>
      <c r="T9169" t="s">
        <v>46503</v>
      </c>
      <c r="U9169" t="s">
        <v>54550</v>
      </c>
      <c r="W9169" t="s">
        <v>40742</v>
      </c>
      <c r="X9169" t="s">
        <v>44775</v>
      </c>
    </row>
    <row r="9170" spans="1:24">
      <c r="A9170">
        <f>HYPERLINK("https://www.philgeps.gov.ph/GEPSNONPILOT/Tender/SplashBidNoticeAbstractUI.aspx?menuIndex=3&amp;refID=7126871&amp;Result=3","7126871")</f>
        <v>0</v>
      </c>
      <c r="B9170" t="s">
        <v>2914</v>
      </c>
      <c r="C9170" t="s">
        <v>12453</v>
      </c>
      <c r="E9170" t="s">
        <v>26020</v>
      </c>
      <c r="F9170" t="s">
        <v>30900</v>
      </c>
      <c r="G9170" t="s">
        <v>30907</v>
      </c>
      <c r="H9170" t="s">
        <v>30916</v>
      </c>
      <c r="I9170" t="s">
        <v>8123</v>
      </c>
      <c r="J9170" t="s">
        <v>36796</v>
      </c>
      <c r="K9170" t="s">
        <v>40289</v>
      </c>
      <c r="M9170" t="s">
        <v>43709</v>
      </c>
      <c r="N9170" t="s">
        <v>44759</v>
      </c>
      <c r="O9170" t="s">
        <v>44760</v>
      </c>
      <c r="P9170">
        <v>0</v>
      </c>
      <c r="Q9170">
        <v>4</v>
      </c>
      <c r="R9170" t="s">
        <v>44769</v>
      </c>
      <c r="S9170" t="s">
        <v>45044</v>
      </c>
      <c r="T9170" t="s">
        <v>46606</v>
      </c>
      <c r="U9170" t="s">
        <v>54551</v>
      </c>
      <c r="W9170" t="s">
        <v>43709</v>
      </c>
      <c r="X9170" t="s">
        <v>44775</v>
      </c>
    </row>
    <row r="9171" spans="1:24">
      <c r="A9171">
        <f>HYPERLINK("https://www.philgeps.gov.ph/GEPSNONPILOT/Tender/SplashBidNoticeAbstractUI.aspx?menuIndex=3&amp;refID=7142063&amp;Result=3","7142063")</f>
        <v>0</v>
      </c>
      <c r="B9171" t="s">
        <v>629</v>
      </c>
      <c r="C9171" t="s">
        <v>12454</v>
      </c>
      <c r="D9171" t="s">
        <v>17992</v>
      </c>
      <c r="E9171" t="s">
        <v>26021</v>
      </c>
      <c r="F9171" t="s">
        <v>30900</v>
      </c>
      <c r="G9171" t="s">
        <v>30907</v>
      </c>
      <c r="H9171" t="s">
        <v>30916</v>
      </c>
      <c r="I9171" t="s">
        <v>30924</v>
      </c>
      <c r="J9171" t="s">
        <v>33065</v>
      </c>
      <c r="K9171" t="s">
        <v>40283</v>
      </c>
      <c r="M9171" t="s">
        <v>41195</v>
      </c>
      <c r="N9171" t="s">
        <v>44759</v>
      </c>
      <c r="O9171" t="s">
        <v>44760</v>
      </c>
      <c r="P9171">
        <v>0</v>
      </c>
      <c r="Q9171">
        <v>5</v>
      </c>
      <c r="R9171" t="s">
        <v>44768</v>
      </c>
      <c r="S9171" t="s">
        <v>44982</v>
      </c>
      <c r="T9171" t="s">
        <v>46814</v>
      </c>
      <c r="U9171" t="s">
        <v>54552</v>
      </c>
      <c r="V9171" t="s">
        <v>59226</v>
      </c>
      <c r="W9171" t="s">
        <v>41195</v>
      </c>
      <c r="X9171" t="s">
        <v>44769</v>
      </c>
    </row>
    <row r="9172" spans="1:24">
      <c r="A9172">
        <f>HYPERLINK("https://www.philgeps.gov.ph/GEPSNONPILOT/Tender/SplashBidNoticeAbstractUI.aspx?menuIndex=3&amp;refID=7128357&amp;Result=3","7128357")</f>
        <v>0</v>
      </c>
      <c r="B9172" t="s">
        <v>2913</v>
      </c>
      <c r="C9172" t="s">
        <v>12455</v>
      </c>
      <c r="D9172" t="s">
        <v>18021</v>
      </c>
      <c r="E9172" t="s">
        <v>26022</v>
      </c>
      <c r="F9172" t="s">
        <v>30900</v>
      </c>
      <c r="G9172" t="s">
        <v>30907</v>
      </c>
      <c r="H9172" t="s">
        <v>30916</v>
      </c>
      <c r="I9172" t="s">
        <v>30933</v>
      </c>
      <c r="J9172" t="s">
        <v>36797</v>
      </c>
      <c r="K9172" t="s">
        <v>40293</v>
      </c>
      <c r="M9172" t="s">
        <v>43708</v>
      </c>
      <c r="N9172" t="s">
        <v>44759</v>
      </c>
      <c r="O9172" t="s">
        <v>44760</v>
      </c>
      <c r="P9172">
        <v>0</v>
      </c>
      <c r="Q9172">
        <v>4</v>
      </c>
      <c r="R9172" t="s">
        <v>44769</v>
      </c>
      <c r="S9172" t="s">
        <v>45044</v>
      </c>
      <c r="T9172" t="s">
        <v>46495</v>
      </c>
      <c r="U9172" t="s">
        <v>54553</v>
      </c>
      <c r="W9172" t="s">
        <v>43708</v>
      </c>
      <c r="X9172" t="s">
        <v>44775</v>
      </c>
    </row>
    <row r="9173" spans="1:24">
      <c r="A9173">
        <f>HYPERLINK("https://www.philgeps.gov.ph/GEPSNONPILOT/Tender/SplashBidNoticeAbstractUI.aspx?menuIndex=3&amp;refID=7132232&amp;Result=3","7132232")</f>
        <v>0</v>
      </c>
      <c r="B9173" t="s">
        <v>2915</v>
      </c>
      <c r="C9173" t="s">
        <v>12456</v>
      </c>
      <c r="D9173" t="s">
        <v>17988</v>
      </c>
      <c r="E9173" t="s">
        <v>26023</v>
      </c>
      <c r="F9173" t="s">
        <v>30900</v>
      </c>
      <c r="G9173" t="s">
        <v>30907</v>
      </c>
      <c r="H9173" t="s">
        <v>30915</v>
      </c>
      <c r="I9173" t="s">
        <v>30919</v>
      </c>
      <c r="J9173" t="s">
        <v>31297</v>
      </c>
      <c r="K9173" t="s">
        <v>40292</v>
      </c>
      <c r="M9173" t="s">
        <v>43710</v>
      </c>
      <c r="N9173" t="s">
        <v>44759</v>
      </c>
      <c r="O9173" t="s">
        <v>44760</v>
      </c>
      <c r="P9173">
        <v>0</v>
      </c>
      <c r="Q9173">
        <v>0</v>
      </c>
      <c r="R9173" t="s">
        <v>44769</v>
      </c>
      <c r="S9173" t="s">
        <v>45044</v>
      </c>
      <c r="T9173" t="s">
        <v>46506</v>
      </c>
      <c r="U9173" t="s">
        <v>54554</v>
      </c>
      <c r="W9173" t="s">
        <v>43710</v>
      </c>
      <c r="X9173" t="s">
        <v>44774</v>
      </c>
    </row>
    <row r="9174" spans="1:24">
      <c r="A9174">
        <f>HYPERLINK("https://www.philgeps.gov.ph/GEPSNONPILOT/Tender/SplashBidNoticeAbstractUI.aspx?menuIndex=3&amp;refID=7127040&amp;Result=3","7127040")</f>
        <v>0</v>
      </c>
      <c r="B9174" t="s">
        <v>56</v>
      </c>
      <c r="C9174" t="s">
        <v>12457</v>
      </c>
      <c r="D9174" t="s">
        <v>17952</v>
      </c>
      <c r="E9174" t="s">
        <v>26024</v>
      </c>
      <c r="F9174" t="s">
        <v>30900</v>
      </c>
      <c r="G9174" t="s">
        <v>30907</v>
      </c>
      <c r="H9174" t="s">
        <v>30916</v>
      </c>
      <c r="I9174" t="s">
        <v>30939</v>
      </c>
      <c r="J9174" t="s">
        <v>36798</v>
      </c>
      <c r="K9174" t="s">
        <v>40294</v>
      </c>
      <c r="M9174" t="s">
        <v>43553</v>
      </c>
      <c r="N9174" t="s">
        <v>44759</v>
      </c>
      <c r="O9174" t="s">
        <v>44760</v>
      </c>
      <c r="Q9174">
        <v>0</v>
      </c>
      <c r="R9174" t="s">
        <v>44769</v>
      </c>
      <c r="S9174" t="s">
        <v>45045</v>
      </c>
      <c r="T9174" t="s">
        <v>46418</v>
      </c>
      <c r="U9174" t="s">
        <v>54555</v>
      </c>
      <c r="V9174" t="s">
        <v>59226</v>
      </c>
      <c r="W9174" t="s">
        <v>43553</v>
      </c>
      <c r="X9174" t="s">
        <v>44775</v>
      </c>
    </row>
    <row r="9175" spans="1:24">
      <c r="A9175">
        <f>HYPERLINK("https://www.philgeps.gov.ph/GEPSNONPILOT/Tender/SplashBidNoticeAbstractUI.aspx?menuIndex=3&amp;refID=7131685&amp;Result=3","7131685")</f>
        <v>0</v>
      </c>
      <c r="B9175" t="s">
        <v>2780</v>
      </c>
      <c r="C9175" t="s">
        <v>12458</v>
      </c>
      <c r="D9175" t="s">
        <v>17952</v>
      </c>
      <c r="E9175" t="s">
        <v>24574</v>
      </c>
      <c r="F9175" t="s">
        <v>30900</v>
      </c>
      <c r="G9175" t="s">
        <v>30907</v>
      </c>
      <c r="H9175" t="s">
        <v>30916</v>
      </c>
      <c r="I9175" t="s">
        <v>4545</v>
      </c>
      <c r="J9175" t="s">
        <v>31337</v>
      </c>
      <c r="K9175" t="s">
        <v>40281</v>
      </c>
      <c r="M9175" t="s">
        <v>43563</v>
      </c>
      <c r="N9175" t="s">
        <v>44759</v>
      </c>
      <c r="O9175" t="s">
        <v>44760</v>
      </c>
      <c r="P9175">
        <v>0</v>
      </c>
      <c r="Q9175">
        <v>0</v>
      </c>
      <c r="R9175" t="s">
        <v>44769</v>
      </c>
      <c r="S9175" t="s">
        <v>45044</v>
      </c>
      <c r="T9175" t="s">
        <v>46712</v>
      </c>
      <c r="U9175" t="s">
        <v>54556</v>
      </c>
      <c r="V9175" t="s">
        <v>60115</v>
      </c>
      <c r="W9175" t="s">
        <v>43563</v>
      </c>
      <c r="X9175" t="s">
        <v>44774</v>
      </c>
    </row>
    <row r="9176" spans="1:24">
      <c r="A9176">
        <f>HYPERLINK("https://www.philgeps.gov.ph/GEPSNONPILOT/Tender/SplashBidNoticeAbstractUI.aspx?menuIndex=3&amp;refID=7130542&amp;Result=3","7130542")</f>
        <v>0</v>
      </c>
      <c r="B9176" t="s">
        <v>1647</v>
      </c>
      <c r="C9176" t="s">
        <v>12459</v>
      </c>
      <c r="D9176" t="s">
        <v>18002</v>
      </c>
      <c r="E9176" t="s">
        <v>26025</v>
      </c>
      <c r="F9176" t="s">
        <v>30900</v>
      </c>
      <c r="G9176" t="s">
        <v>30907</v>
      </c>
      <c r="H9176" t="s">
        <v>30916</v>
      </c>
      <c r="I9176" t="s">
        <v>30934</v>
      </c>
      <c r="J9176" t="s">
        <v>36799</v>
      </c>
      <c r="K9176" t="s">
        <v>40284</v>
      </c>
      <c r="M9176" t="s">
        <v>42303</v>
      </c>
      <c r="N9176" t="s">
        <v>44759</v>
      </c>
      <c r="O9176" t="s">
        <v>44760</v>
      </c>
      <c r="P9176">
        <v>0</v>
      </c>
      <c r="Q9176">
        <v>10</v>
      </c>
      <c r="R9176" t="s">
        <v>44769</v>
      </c>
      <c r="S9176" t="s">
        <v>45044</v>
      </c>
      <c r="T9176" t="s">
        <v>46428</v>
      </c>
      <c r="U9176" t="s">
        <v>54557</v>
      </c>
      <c r="W9176" t="s">
        <v>60907</v>
      </c>
      <c r="X9176" t="s">
        <v>44774</v>
      </c>
    </row>
    <row r="9177" spans="1:24">
      <c r="A9177">
        <f>HYPERLINK("https://www.philgeps.gov.ph/GEPSNONPILOT/Tender/SplashBidNoticeAbstractUI.aspx?menuIndex=3&amp;refID=7130513&amp;Result=3","7130513")</f>
        <v>0</v>
      </c>
      <c r="B9177" t="s">
        <v>1647</v>
      </c>
      <c r="C9177" t="s">
        <v>12460</v>
      </c>
      <c r="D9177" t="s">
        <v>18002</v>
      </c>
      <c r="E9177" t="s">
        <v>26026</v>
      </c>
      <c r="F9177" t="s">
        <v>30900</v>
      </c>
      <c r="G9177" t="s">
        <v>30907</v>
      </c>
      <c r="H9177" t="s">
        <v>30916</v>
      </c>
      <c r="I9177" t="s">
        <v>5501</v>
      </c>
      <c r="J9177" t="s">
        <v>36800</v>
      </c>
      <c r="K9177" t="s">
        <v>40284</v>
      </c>
      <c r="M9177" t="s">
        <v>42303</v>
      </c>
      <c r="N9177" t="s">
        <v>44759</v>
      </c>
      <c r="O9177" t="s">
        <v>44760</v>
      </c>
      <c r="P9177">
        <v>0</v>
      </c>
      <c r="Q9177">
        <v>4</v>
      </c>
      <c r="R9177" t="s">
        <v>44769</v>
      </c>
      <c r="S9177" t="s">
        <v>45044</v>
      </c>
      <c r="T9177" t="s">
        <v>46428</v>
      </c>
      <c r="U9177" t="s">
        <v>54558</v>
      </c>
      <c r="W9177" t="s">
        <v>60907</v>
      </c>
      <c r="X9177" t="s">
        <v>44774</v>
      </c>
    </row>
    <row r="9178" spans="1:24">
      <c r="A9178">
        <f>HYPERLINK("https://www.philgeps.gov.ph/GEPSNONPILOT/Tender/SplashBidNoticeAbstractUI.aspx?menuIndex=3&amp;refID=7130439&amp;Result=3","7130439")</f>
        <v>0</v>
      </c>
      <c r="B9178" t="s">
        <v>1647</v>
      </c>
      <c r="C9178" t="s">
        <v>12461</v>
      </c>
      <c r="D9178" t="s">
        <v>18002</v>
      </c>
      <c r="E9178" t="s">
        <v>26027</v>
      </c>
      <c r="F9178" t="s">
        <v>30900</v>
      </c>
      <c r="G9178" t="s">
        <v>30907</v>
      </c>
      <c r="H9178" t="s">
        <v>30916</v>
      </c>
      <c r="I9178" t="s">
        <v>30933</v>
      </c>
      <c r="J9178" t="s">
        <v>36801</v>
      </c>
      <c r="K9178" t="s">
        <v>40280</v>
      </c>
      <c r="M9178" t="s">
        <v>42303</v>
      </c>
      <c r="N9178" t="s">
        <v>44759</v>
      </c>
      <c r="O9178" t="s">
        <v>44760</v>
      </c>
      <c r="P9178">
        <v>0</v>
      </c>
      <c r="Q9178">
        <v>8</v>
      </c>
      <c r="R9178" t="s">
        <v>44769</v>
      </c>
      <c r="S9178" t="s">
        <v>45044</v>
      </c>
      <c r="T9178" t="s">
        <v>46428</v>
      </c>
      <c r="U9178" t="s">
        <v>54559</v>
      </c>
      <c r="W9178" t="s">
        <v>60907</v>
      </c>
      <c r="X9178" t="s">
        <v>44774</v>
      </c>
    </row>
    <row r="9179" spans="1:24">
      <c r="A9179">
        <f>HYPERLINK("https://www.philgeps.gov.ph/GEPSNONPILOT/Tender/SplashBidNoticeAbstractUI.aspx?menuIndex=3&amp;refID=7130406&amp;Result=3","7130406")</f>
        <v>0</v>
      </c>
      <c r="B9179" t="s">
        <v>1647</v>
      </c>
      <c r="C9179" t="s">
        <v>12462</v>
      </c>
      <c r="D9179" t="s">
        <v>18002</v>
      </c>
      <c r="E9179" t="s">
        <v>26028</v>
      </c>
      <c r="F9179" t="s">
        <v>30900</v>
      </c>
      <c r="G9179" t="s">
        <v>30907</v>
      </c>
      <c r="H9179" t="s">
        <v>30916</v>
      </c>
      <c r="I9179" t="s">
        <v>5501</v>
      </c>
      <c r="J9179" t="s">
        <v>36802</v>
      </c>
      <c r="K9179" t="s">
        <v>40284</v>
      </c>
      <c r="M9179" t="s">
        <v>42303</v>
      </c>
      <c r="N9179" t="s">
        <v>44759</v>
      </c>
      <c r="O9179" t="s">
        <v>44760</v>
      </c>
      <c r="P9179">
        <v>0</v>
      </c>
      <c r="Q9179">
        <v>10</v>
      </c>
      <c r="R9179" t="s">
        <v>44769</v>
      </c>
      <c r="S9179" t="s">
        <v>45044</v>
      </c>
      <c r="T9179" t="s">
        <v>46428</v>
      </c>
      <c r="U9179" t="s">
        <v>54560</v>
      </c>
      <c r="W9179" t="s">
        <v>60907</v>
      </c>
      <c r="X9179" t="s">
        <v>44774</v>
      </c>
    </row>
    <row r="9180" spans="1:24">
      <c r="A9180">
        <f>HYPERLINK("https://www.philgeps.gov.ph/GEPSNONPILOT/Tender/SplashBidNoticeAbstractUI.aspx?menuIndex=3&amp;refID=7130342&amp;Result=3","7130342")</f>
        <v>0</v>
      </c>
      <c r="B9180" t="s">
        <v>100</v>
      </c>
      <c r="C9180" t="s">
        <v>12463</v>
      </c>
      <c r="D9180" t="s">
        <v>17995</v>
      </c>
      <c r="E9180" t="s">
        <v>26029</v>
      </c>
      <c r="F9180" t="s">
        <v>30900</v>
      </c>
      <c r="G9180" t="s">
        <v>30907</v>
      </c>
      <c r="H9180" t="s">
        <v>30916</v>
      </c>
      <c r="I9180" t="s">
        <v>5501</v>
      </c>
      <c r="J9180" t="s">
        <v>31101</v>
      </c>
      <c r="K9180" t="s">
        <v>40289</v>
      </c>
      <c r="M9180" t="s">
        <v>40647</v>
      </c>
      <c r="N9180" t="s">
        <v>44759</v>
      </c>
      <c r="O9180" t="s">
        <v>44760</v>
      </c>
      <c r="P9180">
        <v>0</v>
      </c>
      <c r="Q9180">
        <v>2</v>
      </c>
      <c r="R9180" t="s">
        <v>44769</v>
      </c>
      <c r="S9180" t="s">
        <v>45044</v>
      </c>
      <c r="T9180" t="s">
        <v>46544</v>
      </c>
      <c r="U9180" t="s">
        <v>54561</v>
      </c>
      <c r="V9180" t="s">
        <v>60116</v>
      </c>
      <c r="W9180" t="s">
        <v>40647</v>
      </c>
      <c r="X9180" t="s">
        <v>44774</v>
      </c>
    </row>
    <row r="9181" spans="1:24">
      <c r="A9181">
        <f>HYPERLINK("https://www.philgeps.gov.ph/GEPSNONPILOT/Tender/SplashBidNoticeAbstractUI.aspx?menuIndex=3&amp;refID=7130209&amp;Result=3","7130209")</f>
        <v>0</v>
      </c>
      <c r="B9181" t="s">
        <v>2916</v>
      </c>
      <c r="C9181" t="s">
        <v>12464</v>
      </c>
      <c r="E9181" t="s">
        <v>26030</v>
      </c>
      <c r="F9181" t="s">
        <v>30900</v>
      </c>
      <c r="G9181" t="s">
        <v>30907</v>
      </c>
      <c r="H9181" t="s">
        <v>30915</v>
      </c>
      <c r="I9181" t="s">
        <v>30919</v>
      </c>
      <c r="J9181" t="s">
        <v>36803</v>
      </c>
      <c r="K9181" t="s">
        <v>40289</v>
      </c>
      <c r="M9181" t="s">
        <v>43711</v>
      </c>
      <c r="N9181" t="s">
        <v>44759</v>
      </c>
      <c r="O9181" t="s">
        <v>44760</v>
      </c>
      <c r="P9181">
        <v>0</v>
      </c>
      <c r="Q9181">
        <v>1</v>
      </c>
      <c r="R9181" t="s">
        <v>44769</v>
      </c>
      <c r="S9181" t="s">
        <v>45044</v>
      </c>
      <c r="T9181" t="s">
        <v>46421</v>
      </c>
      <c r="U9181" t="s">
        <v>54562</v>
      </c>
      <c r="W9181" t="s">
        <v>43711</v>
      </c>
      <c r="X9181" t="s">
        <v>44774</v>
      </c>
    </row>
    <row r="9182" spans="1:24">
      <c r="A9182">
        <f>HYPERLINK("https://www.philgeps.gov.ph/GEPSNONPILOT/Tender/SplashBidNoticeAbstractUI.aspx?menuIndex=3&amp;refID=7130096&amp;Result=3","7130096")</f>
        <v>0</v>
      </c>
      <c r="B9182" t="s">
        <v>1450</v>
      </c>
      <c r="C9182" t="s">
        <v>12465</v>
      </c>
      <c r="D9182" t="s">
        <v>17975</v>
      </c>
      <c r="E9182" t="s">
        <v>26031</v>
      </c>
      <c r="F9182" t="s">
        <v>30900</v>
      </c>
      <c r="G9182" t="s">
        <v>30907</v>
      </c>
      <c r="H9182" t="s">
        <v>30915</v>
      </c>
      <c r="I9182" t="s">
        <v>30919</v>
      </c>
      <c r="J9182" t="s">
        <v>36804</v>
      </c>
      <c r="K9182" t="s">
        <v>40293</v>
      </c>
      <c r="M9182" t="s">
        <v>42082</v>
      </c>
      <c r="N9182" t="s">
        <v>44759</v>
      </c>
      <c r="O9182" t="s">
        <v>44760</v>
      </c>
      <c r="P9182">
        <v>0</v>
      </c>
      <c r="Q9182">
        <v>0</v>
      </c>
      <c r="R9182" t="s">
        <v>44769</v>
      </c>
      <c r="S9182" t="s">
        <v>45044</v>
      </c>
      <c r="T9182" t="s">
        <v>46472</v>
      </c>
      <c r="U9182" t="s">
        <v>54563</v>
      </c>
      <c r="W9182" t="s">
        <v>60862</v>
      </c>
      <c r="X9182" t="s">
        <v>44774</v>
      </c>
    </row>
    <row r="9183" spans="1:24">
      <c r="A9183">
        <f>HYPERLINK("https://www.philgeps.gov.ph/GEPSNONPILOT/Tender/SplashBidNoticeAbstractUI.aspx?menuIndex=3&amp;refID=7142028&amp;Result=3","7142028")</f>
        <v>0</v>
      </c>
      <c r="B9183" t="s">
        <v>2917</v>
      </c>
      <c r="C9183" t="s">
        <v>12466</v>
      </c>
      <c r="E9183" t="s">
        <v>26032</v>
      </c>
      <c r="F9183" t="s">
        <v>30900</v>
      </c>
      <c r="G9183" t="s">
        <v>30907</v>
      </c>
      <c r="H9183" t="s">
        <v>30916</v>
      </c>
      <c r="I9183" t="s">
        <v>8123</v>
      </c>
      <c r="J9183" t="s">
        <v>36805</v>
      </c>
      <c r="K9183" t="s">
        <v>40286</v>
      </c>
      <c r="M9183" t="s">
        <v>43712</v>
      </c>
      <c r="N9183" t="s">
        <v>44759</v>
      </c>
      <c r="O9183" t="s">
        <v>44760</v>
      </c>
      <c r="P9183">
        <v>0</v>
      </c>
      <c r="Q9183">
        <v>1</v>
      </c>
      <c r="R9183" t="s">
        <v>44768</v>
      </c>
      <c r="S9183" t="s">
        <v>44982</v>
      </c>
      <c r="T9183" t="s">
        <v>46625</v>
      </c>
      <c r="U9183" t="s">
        <v>54564</v>
      </c>
      <c r="W9183" t="s">
        <v>43712</v>
      </c>
      <c r="X9183" t="s">
        <v>44769</v>
      </c>
    </row>
    <row r="9184" spans="1:24">
      <c r="A9184">
        <f>HYPERLINK("https://www.philgeps.gov.ph/GEPSNONPILOT/Tender/SplashBidNoticeAbstractUI.aspx?menuIndex=3&amp;refID=7134428&amp;Result=3","7134428")</f>
        <v>0</v>
      </c>
      <c r="B9184" t="s">
        <v>2459</v>
      </c>
      <c r="C9184" t="s">
        <v>12467</v>
      </c>
      <c r="D9184" t="s">
        <v>18001</v>
      </c>
      <c r="E9184" t="s">
        <v>26033</v>
      </c>
      <c r="F9184" t="s">
        <v>30900</v>
      </c>
      <c r="G9184" t="s">
        <v>30907</v>
      </c>
      <c r="H9184" t="s">
        <v>30916</v>
      </c>
      <c r="I9184" t="s">
        <v>17295</v>
      </c>
      <c r="J9184" t="s">
        <v>36806</v>
      </c>
      <c r="K9184" t="s">
        <v>40332</v>
      </c>
      <c r="M9184" t="s">
        <v>43196</v>
      </c>
      <c r="N9184" t="s">
        <v>44759</v>
      </c>
      <c r="O9184" t="s">
        <v>44760</v>
      </c>
      <c r="P9184">
        <v>0</v>
      </c>
      <c r="Q9184">
        <v>1</v>
      </c>
      <c r="R9184" t="s">
        <v>44769</v>
      </c>
      <c r="S9184" t="s">
        <v>45044</v>
      </c>
      <c r="T9184" t="s">
        <v>46411</v>
      </c>
      <c r="U9184" t="s">
        <v>54565</v>
      </c>
      <c r="V9184" t="s">
        <v>59884</v>
      </c>
      <c r="W9184" t="s">
        <v>43196</v>
      </c>
      <c r="X9184" t="s">
        <v>44773</v>
      </c>
    </row>
    <row r="9185" spans="1:24">
      <c r="A9185">
        <f>HYPERLINK("https://www.philgeps.gov.ph/GEPSNONPILOT/Tender/SplashBidNoticeAbstractUI.aspx?menuIndex=3&amp;refID=7134368&amp;Result=3","7134368")</f>
        <v>0</v>
      </c>
      <c r="B9185" t="s">
        <v>1195</v>
      </c>
      <c r="C9185" t="s">
        <v>12468</v>
      </c>
      <c r="D9185" t="s">
        <v>17987</v>
      </c>
      <c r="E9185" t="s">
        <v>26034</v>
      </c>
      <c r="F9185" t="s">
        <v>30900</v>
      </c>
      <c r="G9185" t="s">
        <v>30907</v>
      </c>
      <c r="H9185" t="s">
        <v>30915</v>
      </c>
      <c r="I9185" t="s">
        <v>30919</v>
      </c>
      <c r="J9185" t="s">
        <v>36807</v>
      </c>
      <c r="K9185" t="s">
        <v>40354</v>
      </c>
      <c r="M9185" t="s">
        <v>41806</v>
      </c>
      <c r="N9185" t="s">
        <v>44759</v>
      </c>
      <c r="O9185" t="s">
        <v>44760</v>
      </c>
      <c r="Q9185">
        <v>0</v>
      </c>
      <c r="R9185" t="s">
        <v>44769</v>
      </c>
      <c r="S9185" t="s">
        <v>45046</v>
      </c>
      <c r="T9185" t="s">
        <v>46515</v>
      </c>
      <c r="U9185" t="s">
        <v>54566</v>
      </c>
      <c r="W9185" t="s">
        <v>41806</v>
      </c>
      <c r="X9185" t="s">
        <v>44773</v>
      </c>
    </row>
    <row r="9186" spans="1:24">
      <c r="A9186">
        <f>HYPERLINK("https://www.philgeps.gov.ph/GEPSNONPILOT/Tender/SplashBidNoticeAbstractUI.aspx?menuIndex=3&amp;refID=7130583&amp;Result=3","7130583")</f>
        <v>0</v>
      </c>
      <c r="B9186" t="s">
        <v>2918</v>
      </c>
      <c r="C9186" t="s">
        <v>12469</v>
      </c>
      <c r="D9186" t="s">
        <v>17975</v>
      </c>
      <c r="E9186" t="s">
        <v>26035</v>
      </c>
      <c r="F9186" t="s">
        <v>30900</v>
      </c>
      <c r="G9186" t="s">
        <v>30907</v>
      </c>
      <c r="H9186" t="s">
        <v>30916</v>
      </c>
      <c r="I9186" t="s">
        <v>30933</v>
      </c>
      <c r="J9186" t="s">
        <v>35994</v>
      </c>
      <c r="K9186" t="s">
        <v>40280</v>
      </c>
      <c r="M9186" t="s">
        <v>43713</v>
      </c>
      <c r="N9186" t="s">
        <v>44759</v>
      </c>
      <c r="O9186" t="s">
        <v>44760</v>
      </c>
      <c r="P9186">
        <v>0</v>
      </c>
      <c r="Q9186">
        <v>3</v>
      </c>
      <c r="R9186" t="s">
        <v>44769</v>
      </c>
      <c r="S9186" t="s">
        <v>45044</v>
      </c>
      <c r="T9186" t="s">
        <v>46808</v>
      </c>
      <c r="U9186" t="s">
        <v>54567</v>
      </c>
      <c r="W9186" t="s">
        <v>43713</v>
      </c>
      <c r="X9186" t="s">
        <v>44774</v>
      </c>
    </row>
    <row r="9187" spans="1:24">
      <c r="A9187">
        <f>HYPERLINK("https://www.philgeps.gov.ph/GEPSNONPILOT/Tender/SplashBidNoticeAbstractUI.aspx?menuIndex=3&amp;refID=7134305&amp;Result=3","7134305")</f>
        <v>0</v>
      </c>
      <c r="B9187" t="s">
        <v>2919</v>
      </c>
      <c r="C9187" t="s">
        <v>12470</v>
      </c>
      <c r="D9187" t="s">
        <v>17977</v>
      </c>
      <c r="E9187" t="s">
        <v>18169</v>
      </c>
      <c r="F9187" t="s">
        <v>30900</v>
      </c>
      <c r="G9187" t="s">
        <v>30907</v>
      </c>
      <c r="H9187" t="s">
        <v>30916</v>
      </c>
      <c r="I9187" t="s">
        <v>30947</v>
      </c>
      <c r="J9187" t="s">
        <v>31069</v>
      </c>
      <c r="K9187" t="s">
        <v>40288</v>
      </c>
      <c r="M9187" t="s">
        <v>43714</v>
      </c>
      <c r="N9187" t="s">
        <v>44759</v>
      </c>
      <c r="O9187" t="s">
        <v>44760</v>
      </c>
      <c r="Q9187">
        <v>4</v>
      </c>
      <c r="R9187" t="s">
        <v>44769</v>
      </c>
      <c r="S9187" t="s">
        <v>45047</v>
      </c>
      <c r="T9187" t="s">
        <v>46830</v>
      </c>
      <c r="U9187" t="s">
        <v>54568</v>
      </c>
      <c r="W9187" t="s">
        <v>43714</v>
      </c>
      <c r="X9187" t="s">
        <v>44773</v>
      </c>
    </row>
    <row r="9188" spans="1:24">
      <c r="A9188">
        <f>HYPERLINK("https://www.philgeps.gov.ph/GEPSNONPILOT/Tender/SplashBidNoticeAbstractUI.aspx?menuIndex=3&amp;refID=7134285&amp;Result=3","7134285")</f>
        <v>0</v>
      </c>
      <c r="B9188" t="s">
        <v>1195</v>
      </c>
      <c r="C9188" t="s">
        <v>12471</v>
      </c>
      <c r="D9188" t="s">
        <v>17987</v>
      </c>
      <c r="E9188" t="s">
        <v>26036</v>
      </c>
      <c r="F9188" t="s">
        <v>30900</v>
      </c>
      <c r="G9188" t="s">
        <v>30907</v>
      </c>
      <c r="H9188" t="s">
        <v>30916</v>
      </c>
      <c r="I9188" t="s">
        <v>6396</v>
      </c>
      <c r="J9188" t="s">
        <v>36808</v>
      </c>
      <c r="K9188" t="s">
        <v>40286</v>
      </c>
      <c r="M9188" t="s">
        <v>41806</v>
      </c>
      <c r="N9188" t="s">
        <v>44759</v>
      </c>
      <c r="O9188" t="s">
        <v>44760</v>
      </c>
      <c r="P9188">
        <v>0</v>
      </c>
      <c r="Q9188">
        <v>0</v>
      </c>
      <c r="R9188" t="s">
        <v>44769</v>
      </c>
      <c r="S9188" t="s">
        <v>45044</v>
      </c>
      <c r="T9188" t="s">
        <v>46515</v>
      </c>
      <c r="U9188" t="s">
        <v>54569</v>
      </c>
      <c r="W9188" t="s">
        <v>41806</v>
      </c>
      <c r="X9188" t="s">
        <v>44773</v>
      </c>
    </row>
    <row r="9189" spans="1:24">
      <c r="A9189">
        <f>HYPERLINK("https://www.philgeps.gov.ph/GEPSNONPILOT/Tender/SplashBidNoticeAbstractUI.aspx?menuIndex=3&amp;refID=7134252&amp;Result=3","7134252")</f>
        <v>0</v>
      </c>
      <c r="B9189" t="s">
        <v>89</v>
      </c>
      <c r="C9189" t="s">
        <v>12472</v>
      </c>
      <c r="D9189" t="s">
        <v>17971</v>
      </c>
      <c r="E9189" t="s">
        <v>26037</v>
      </c>
      <c r="F9189" t="s">
        <v>30900</v>
      </c>
      <c r="G9189" t="s">
        <v>30909</v>
      </c>
      <c r="H9189" t="s">
        <v>30916</v>
      </c>
      <c r="I9189" t="s">
        <v>4050</v>
      </c>
      <c r="J9189" t="s">
        <v>31098</v>
      </c>
      <c r="K9189" t="s">
        <v>40289</v>
      </c>
      <c r="M9189" t="s">
        <v>40636</v>
      </c>
      <c r="N9189" t="s">
        <v>44759</v>
      </c>
      <c r="O9189" t="s">
        <v>44760</v>
      </c>
      <c r="Q9189">
        <v>5</v>
      </c>
      <c r="R9189" t="s">
        <v>44769</v>
      </c>
      <c r="S9189" t="s">
        <v>45048</v>
      </c>
      <c r="T9189" t="s">
        <v>46391</v>
      </c>
      <c r="U9189" t="s">
        <v>54570</v>
      </c>
      <c r="V9189" t="s">
        <v>60117</v>
      </c>
      <c r="W9189" t="s">
        <v>40636</v>
      </c>
      <c r="X9189" t="s">
        <v>44773</v>
      </c>
    </row>
    <row r="9190" spans="1:24">
      <c r="A9190">
        <f>HYPERLINK("https://www.philgeps.gov.ph/GEPSNONPILOT/Tender/SplashBidNoticeAbstractUI.aspx?menuIndex=3&amp;refID=7134180&amp;Result=3","7134180")</f>
        <v>0</v>
      </c>
      <c r="B9190" t="s">
        <v>2912</v>
      </c>
      <c r="C9190" t="s">
        <v>12473</v>
      </c>
      <c r="D9190" t="s">
        <v>18029</v>
      </c>
      <c r="E9190" t="s">
        <v>26038</v>
      </c>
      <c r="F9190" t="s">
        <v>30900</v>
      </c>
      <c r="G9190" t="s">
        <v>30907</v>
      </c>
      <c r="H9190" t="s">
        <v>30915</v>
      </c>
      <c r="I9190" t="s">
        <v>30919</v>
      </c>
      <c r="J9190" t="s">
        <v>35994</v>
      </c>
      <c r="K9190" t="s">
        <v>40467</v>
      </c>
      <c r="M9190" t="s">
        <v>43707</v>
      </c>
      <c r="N9190" t="s">
        <v>44759</v>
      </c>
      <c r="O9190" t="s">
        <v>44760</v>
      </c>
      <c r="P9190">
        <v>0</v>
      </c>
      <c r="Q9190">
        <v>1</v>
      </c>
      <c r="R9190" t="s">
        <v>44769</v>
      </c>
      <c r="S9190" t="s">
        <v>45044</v>
      </c>
      <c r="T9190" t="s">
        <v>46488</v>
      </c>
      <c r="U9190" t="s">
        <v>54571</v>
      </c>
      <c r="W9190" t="s">
        <v>43707</v>
      </c>
      <c r="X9190" t="s">
        <v>44773</v>
      </c>
    </row>
    <row r="9191" spans="1:24">
      <c r="A9191">
        <f>HYPERLINK("https://www.philgeps.gov.ph/GEPSNONPILOT/Tender/SplashBidNoticeAbstractUI.aspx?menuIndex=3&amp;refID=7133900&amp;Result=3","7133900")</f>
        <v>0</v>
      </c>
      <c r="B9191" t="s">
        <v>290</v>
      </c>
      <c r="C9191" t="s">
        <v>12474</v>
      </c>
      <c r="D9191" t="s">
        <v>17993</v>
      </c>
      <c r="E9191" t="s">
        <v>26039</v>
      </c>
      <c r="F9191" t="s">
        <v>30900</v>
      </c>
      <c r="G9191" t="s">
        <v>30907</v>
      </c>
      <c r="H9191" t="s">
        <v>30915</v>
      </c>
      <c r="I9191" t="s">
        <v>30919</v>
      </c>
      <c r="J9191" t="s">
        <v>36809</v>
      </c>
      <c r="K9191" t="s">
        <v>40357</v>
      </c>
      <c r="M9191" t="s">
        <v>40838</v>
      </c>
      <c r="N9191" t="s">
        <v>44759</v>
      </c>
      <c r="O9191" t="s">
        <v>44760</v>
      </c>
      <c r="P9191">
        <v>0</v>
      </c>
      <c r="Q9191">
        <v>4</v>
      </c>
      <c r="R9191" t="s">
        <v>44769</v>
      </c>
      <c r="S9191" t="s">
        <v>45044</v>
      </c>
      <c r="T9191" t="s">
        <v>46515</v>
      </c>
      <c r="U9191" t="s">
        <v>54572</v>
      </c>
      <c r="W9191" t="s">
        <v>40838</v>
      </c>
      <c r="X9191" t="s">
        <v>44773</v>
      </c>
    </row>
    <row r="9192" spans="1:24">
      <c r="A9192">
        <f>HYPERLINK("https://www.philgeps.gov.ph/GEPSNONPILOT/Tender/SplashBidNoticeAbstractUI.aspx?menuIndex=3&amp;refID=7134336&amp;Result=3","7134336")</f>
        <v>0</v>
      </c>
      <c r="B9192" t="s">
        <v>85</v>
      </c>
      <c r="C9192" t="s">
        <v>12475</v>
      </c>
      <c r="D9192" t="s">
        <v>17991</v>
      </c>
      <c r="E9192" t="s">
        <v>26040</v>
      </c>
      <c r="F9192" t="s">
        <v>30900</v>
      </c>
      <c r="G9192" t="s">
        <v>30907</v>
      </c>
      <c r="H9192" t="s">
        <v>30916</v>
      </c>
      <c r="I9192" t="s">
        <v>8123</v>
      </c>
      <c r="J9192" t="s">
        <v>36810</v>
      </c>
      <c r="K9192" t="s">
        <v>40289</v>
      </c>
      <c r="M9192" t="s">
        <v>40632</v>
      </c>
      <c r="N9192" t="s">
        <v>44759</v>
      </c>
      <c r="O9192" t="s">
        <v>44760</v>
      </c>
      <c r="P9192">
        <v>0</v>
      </c>
      <c r="Q9192">
        <v>0</v>
      </c>
      <c r="R9192" t="s">
        <v>44769</v>
      </c>
      <c r="S9192" t="s">
        <v>45044</v>
      </c>
      <c r="T9192" t="s">
        <v>46709</v>
      </c>
      <c r="U9192" t="s">
        <v>49343</v>
      </c>
      <c r="W9192" t="s">
        <v>60817</v>
      </c>
      <c r="X9192" t="s">
        <v>44773</v>
      </c>
    </row>
    <row r="9193" spans="1:24">
      <c r="A9193">
        <f>HYPERLINK("https://www.philgeps.gov.ph/GEPSNONPILOT/Tender/SplashBidNoticeAbstractUI.aspx?menuIndex=3&amp;refID=7133789&amp;Result=3","7133789")</f>
        <v>0</v>
      </c>
      <c r="B9193" t="s">
        <v>2920</v>
      </c>
      <c r="C9193" t="s">
        <v>12476</v>
      </c>
      <c r="D9193" t="s">
        <v>17975</v>
      </c>
      <c r="E9193" t="s">
        <v>26041</v>
      </c>
      <c r="F9193" t="s">
        <v>30900</v>
      </c>
      <c r="G9193" t="s">
        <v>30907</v>
      </c>
      <c r="H9193" t="s">
        <v>30916</v>
      </c>
      <c r="I9193" t="s">
        <v>5501</v>
      </c>
      <c r="J9193" t="s">
        <v>36811</v>
      </c>
      <c r="K9193" t="s">
        <v>40286</v>
      </c>
      <c r="M9193" t="s">
        <v>43715</v>
      </c>
      <c r="N9193" t="s">
        <v>44759</v>
      </c>
      <c r="O9193" t="s">
        <v>44760</v>
      </c>
      <c r="P9193">
        <v>0</v>
      </c>
      <c r="Q9193">
        <v>8</v>
      </c>
      <c r="R9193" t="s">
        <v>44769</v>
      </c>
      <c r="S9193" t="s">
        <v>45044</v>
      </c>
      <c r="T9193" t="s">
        <v>46771</v>
      </c>
      <c r="U9193" t="s">
        <v>54573</v>
      </c>
      <c r="W9193" t="s">
        <v>43715</v>
      </c>
      <c r="X9193" t="s">
        <v>44773</v>
      </c>
    </row>
    <row r="9194" spans="1:24">
      <c r="A9194">
        <f>HYPERLINK("https://www.philgeps.gov.ph/GEPSNONPILOT/Tender/SplashBidNoticeAbstractUI.aspx?menuIndex=3&amp;refID=7134338&amp;Result=3","7134338")</f>
        <v>0</v>
      </c>
      <c r="B9194" t="s">
        <v>1195</v>
      </c>
      <c r="C9194" t="s">
        <v>12477</v>
      </c>
      <c r="D9194" t="s">
        <v>17987</v>
      </c>
      <c r="E9194" t="s">
        <v>26042</v>
      </c>
      <c r="F9194" t="s">
        <v>30900</v>
      </c>
      <c r="G9194" t="s">
        <v>30907</v>
      </c>
      <c r="H9194" t="s">
        <v>30915</v>
      </c>
      <c r="I9194" t="s">
        <v>30919</v>
      </c>
      <c r="J9194" t="s">
        <v>36812</v>
      </c>
      <c r="K9194" t="s">
        <v>40292</v>
      </c>
      <c r="M9194" t="s">
        <v>41806</v>
      </c>
      <c r="N9194" t="s">
        <v>44759</v>
      </c>
      <c r="O9194" t="s">
        <v>44760</v>
      </c>
      <c r="Q9194">
        <v>0</v>
      </c>
      <c r="R9194" t="s">
        <v>44769</v>
      </c>
      <c r="S9194" t="s">
        <v>45049</v>
      </c>
      <c r="T9194" t="s">
        <v>46515</v>
      </c>
      <c r="U9194" t="s">
        <v>54574</v>
      </c>
      <c r="W9194" t="s">
        <v>41806</v>
      </c>
      <c r="X9194" t="s">
        <v>44773</v>
      </c>
    </row>
    <row r="9195" spans="1:24">
      <c r="A9195">
        <f>HYPERLINK("https://www.philgeps.gov.ph/GEPSNONPILOT/Tender/SplashBidNoticeAbstractUI.aspx?menuIndex=3&amp;refID=7135516&amp;Result=3","7135516")</f>
        <v>0</v>
      </c>
      <c r="B9195" t="s">
        <v>2921</v>
      </c>
      <c r="C9195" t="s">
        <v>12478</v>
      </c>
      <c r="D9195" t="s">
        <v>17974</v>
      </c>
      <c r="E9195" t="s">
        <v>26043</v>
      </c>
      <c r="F9195" t="s">
        <v>30900</v>
      </c>
      <c r="G9195" t="s">
        <v>30907</v>
      </c>
      <c r="H9195" t="s">
        <v>30916</v>
      </c>
      <c r="I9195" t="s">
        <v>4108</v>
      </c>
      <c r="J9195" t="s">
        <v>31728</v>
      </c>
      <c r="K9195" t="s">
        <v>40286</v>
      </c>
      <c r="M9195" t="s">
        <v>43716</v>
      </c>
      <c r="N9195" t="s">
        <v>44759</v>
      </c>
      <c r="O9195" t="s">
        <v>44760</v>
      </c>
      <c r="P9195">
        <v>0</v>
      </c>
      <c r="Q9195">
        <v>0</v>
      </c>
      <c r="R9195" t="s">
        <v>44769</v>
      </c>
      <c r="S9195" t="s">
        <v>45044</v>
      </c>
      <c r="T9195" t="s">
        <v>46495</v>
      </c>
      <c r="U9195" t="s">
        <v>54575</v>
      </c>
      <c r="W9195" t="s">
        <v>43716</v>
      </c>
      <c r="X9195" t="s">
        <v>44772</v>
      </c>
    </row>
    <row r="9196" spans="1:24">
      <c r="A9196">
        <f>HYPERLINK("https://www.philgeps.gov.ph/GEPSNONPILOT/Tender/SplashBidNoticeAbstractUI.aspx?menuIndex=3&amp;refID=7135400&amp;Result=3","7135400")</f>
        <v>0</v>
      </c>
      <c r="B9196" t="s">
        <v>2921</v>
      </c>
      <c r="C9196" t="s">
        <v>12479</v>
      </c>
      <c r="D9196" t="s">
        <v>17974</v>
      </c>
      <c r="E9196" t="s">
        <v>26043</v>
      </c>
      <c r="F9196" t="s">
        <v>30900</v>
      </c>
      <c r="G9196" t="s">
        <v>30907</v>
      </c>
      <c r="H9196" t="s">
        <v>30916</v>
      </c>
      <c r="I9196" t="s">
        <v>4142</v>
      </c>
      <c r="J9196" t="s">
        <v>36813</v>
      </c>
      <c r="K9196" t="s">
        <v>40286</v>
      </c>
      <c r="M9196" t="s">
        <v>43716</v>
      </c>
      <c r="N9196" t="s">
        <v>44759</v>
      </c>
      <c r="O9196" t="s">
        <v>44760</v>
      </c>
      <c r="P9196">
        <v>0</v>
      </c>
      <c r="Q9196">
        <v>1</v>
      </c>
      <c r="R9196" t="s">
        <v>44769</v>
      </c>
      <c r="S9196" t="s">
        <v>45044</v>
      </c>
      <c r="T9196" t="s">
        <v>46495</v>
      </c>
      <c r="U9196" t="s">
        <v>54575</v>
      </c>
      <c r="W9196" t="s">
        <v>43716</v>
      </c>
      <c r="X9196" t="s">
        <v>44772</v>
      </c>
    </row>
    <row r="9197" spans="1:24">
      <c r="A9197">
        <f>HYPERLINK("https://www.philgeps.gov.ph/GEPSNONPILOT/Tender/SplashBidNoticeAbstractUI.aspx?menuIndex=3&amp;refID=7135215&amp;Result=3","7135215")</f>
        <v>0</v>
      </c>
      <c r="B9197" t="s">
        <v>2922</v>
      </c>
      <c r="C9197" t="s">
        <v>12480</v>
      </c>
      <c r="D9197" t="s">
        <v>17999</v>
      </c>
      <c r="E9197" t="s">
        <v>26044</v>
      </c>
      <c r="F9197" t="s">
        <v>30900</v>
      </c>
      <c r="G9197" t="s">
        <v>30907</v>
      </c>
      <c r="H9197" t="s">
        <v>30916</v>
      </c>
      <c r="I9197" t="s">
        <v>4965</v>
      </c>
      <c r="J9197" t="s">
        <v>32324</v>
      </c>
      <c r="K9197" t="s">
        <v>40283</v>
      </c>
      <c r="M9197" t="s">
        <v>43717</v>
      </c>
      <c r="N9197" t="s">
        <v>44759</v>
      </c>
      <c r="O9197" t="s">
        <v>44760</v>
      </c>
      <c r="P9197">
        <v>0</v>
      </c>
      <c r="Q9197">
        <v>3</v>
      </c>
      <c r="R9197" t="s">
        <v>44769</v>
      </c>
      <c r="S9197" t="s">
        <v>45044</v>
      </c>
      <c r="T9197" t="s">
        <v>46814</v>
      </c>
      <c r="U9197" t="s">
        <v>54576</v>
      </c>
      <c r="W9197" t="s">
        <v>43717</v>
      </c>
      <c r="X9197" t="s">
        <v>44773</v>
      </c>
    </row>
    <row r="9198" spans="1:24">
      <c r="A9198">
        <f>HYPERLINK("https://www.philgeps.gov.ph/GEPSNONPILOT/Tender/SplashBidNoticeAbstractUI.aspx?menuIndex=3&amp;refID=7135176&amp;Result=3","7135176")</f>
        <v>0</v>
      </c>
      <c r="B9198" t="s">
        <v>2923</v>
      </c>
      <c r="C9198" t="s">
        <v>12481</v>
      </c>
      <c r="D9198" t="s">
        <v>17959</v>
      </c>
      <c r="E9198" t="s">
        <v>26045</v>
      </c>
      <c r="F9198" t="s">
        <v>30900</v>
      </c>
      <c r="G9198" t="s">
        <v>30907</v>
      </c>
      <c r="H9198" t="s">
        <v>30916</v>
      </c>
      <c r="I9198" t="s">
        <v>30920</v>
      </c>
      <c r="J9198" t="s">
        <v>33379</v>
      </c>
      <c r="K9198" t="s">
        <v>40434</v>
      </c>
      <c r="M9198" t="s">
        <v>43718</v>
      </c>
      <c r="N9198" t="s">
        <v>44759</v>
      </c>
      <c r="O9198" t="s">
        <v>44760</v>
      </c>
      <c r="P9198">
        <v>0</v>
      </c>
      <c r="Q9198">
        <v>0</v>
      </c>
      <c r="R9198" t="s">
        <v>44769</v>
      </c>
      <c r="S9198" t="s">
        <v>45044</v>
      </c>
      <c r="T9198" t="s">
        <v>46764</v>
      </c>
      <c r="U9198" t="s">
        <v>54577</v>
      </c>
      <c r="V9198" t="s">
        <v>60118</v>
      </c>
      <c r="W9198" t="s">
        <v>43718</v>
      </c>
      <c r="X9198" t="s">
        <v>44773</v>
      </c>
    </row>
    <row r="9199" spans="1:24">
      <c r="A9199">
        <f>HYPERLINK("https://www.philgeps.gov.ph/GEPSNONPILOT/Tender/SplashBidNoticeAbstractUI.aspx?menuIndex=3&amp;refID=7135097&amp;Result=3","7135097")</f>
        <v>0</v>
      </c>
      <c r="B9199" t="s">
        <v>614</v>
      </c>
      <c r="C9199" t="s">
        <v>12482</v>
      </c>
      <c r="D9199" t="s">
        <v>17996</v>
      </c>
      <c r="E9199" t="s">
        <v>26046</v>
      </c>
      <c r="F9199" t="s">
        <v>30900</v>
      </c>
      <c r="G9199" t="s">
        <v>30907</v>
      </c>
      <c r="H9199" t="s">
        <v>30915</v>
      </c>
      <c r="I9199" t="s">
        <v>30919</v>
      </c>
      <c r="J9199" t="s">
        <v>31243</v>
      </c>
      <c r="K9199" t="s">
        <v>40355</v>
      </c>
      <c r="M9199" t="s">
        <v>41176</v>
      </c>
      <c r="N9199" t="s">
        <v>44759</v>
      </c>
      <c r="O9199" t="s">
        <v>44760</v>
      </c>
      <c r="Q9199">
        <v>0</v>
      </c>
      <c r="R9199" t="s">
        <v>44769</v>
      </c>
      <c r="S9199" t="s">
        <v>45050</v>
      </c>
      <c r="T9199" t="s">
        <v>46472</v>
      </c>
      <c r="U9199" t="s">
        <v>54578</v>
      </c>
      <c r="W9199" t="s">
        <v>41176</v>
      </c>
      <c r="X9199" t="s">
        <v>44773</v>
      </c>
    </row>
    <row r="9200" spans="1:24">
      <c r="A9200">
        <f>HYPERLINK("https://www.philgeps.gov.ph/GEPSNONPILOT/Tender/SplashBidNoticeAbstractUI.aspx?menuIndex=3&amp;refID=7135089&amp;Result=3","7135089")</f>
        <v>0</v>
      </c>
      <c r="B9200" t="s">
        <v>614</v>
      </c>
      <c r="C9200" t="s">
        <v>12483</v>
      </c>
      <c r="D9200" t="s">
        <v>17996</v>
      </c>
      <c r="E9200" t="s">
        <v>26047</v>
      </c>
      <c r="F9200" t="s">
        <v>30900</v>
      </c>
      <c r="G9200" t="s">
        <v>30907</v>
      </c>
      <c r="H9200" t="s">
        <v>30915</v>
      </c>
      <c r="I9200" t="s">
        <v>30919</v>
      </c>
      <c r="J9200" t="s">
        <v>31243</v>
      </c>
      <c r="K9200" t="s">
        <v>40433</v>
      </c>
      <c r="M9200" t="s">
        <v>41176</v>
      </c>
      <c r="N9200" t="s">
        <v>44759</v>
      </c>
      <c r="O9200" t="s">
        <v>44760</v>
      </c>
      <c r="Q9200">
        <v>0</v>
      </c>
      <c r="R9200" t="s">
        <v>44769</v>
      </c>
      <c r="S9200" t="s">
        <v>45051</v>
      </c>
      <c r="T9200" t="s">
        <v>46472</v>
      </c>
      <c r="U9200" t="s">
        <v>54579</v>
      </c>
      <c r="W9200" t="s">
        <v>41176</v>
      </c>
      <c r="X9200" t="s">
        <v>44773</v>
      </c>
    </row>
    <row r="9201" spans="1:24">
      <c r="A9201">
        <f>HYPERLINK("https://www.philgeps.gov.ph/GEPSNONPILOT/Tender/SplashBidNoticeAbstractUI.aspx?menuIndex=3&amp;refID=7135083&amp;Result=3","7135083")</f>
        <v>0</v>
      </c>
      <c r="B9201" t="s">
        <v>614</v>
      </c>
      <c r="C9201" t="s">
        <v>12484</v>
      </c>
      <c r="D9201" t="s">
        <v>17996</v>
      </c>
      <c r="E9201" t="s">
        <v>26048</v>
      </c>
      <c r="F9201" t="s">
        <v>30900</v>
      </c>
      <c r="G9201" t="s">
        <v>30907</v>
      </c>
      <c r="H9201" t="s">
        <v>30915</v>
      </c>
      <c r="I9201" t="s">
        <v>30919</v>
      </c>
      <c r="J9201" t="s">
        <v>31152</v>
      </c>
      <c r="K9201" t="s">
        <v>40283</v>
      </c>
      <c r="M9201" t="s">
        <v>41176</v>
      </c>
      <c r="N9201" t="s">
        <v>44759</v>
      </c>
      <c r="O9201" t="s">
        <v>44760</v>
      </c>
      <c r="P9201">
        <v>0</v>
      </c>
      <c r="Q9201">
        <v>0</v>
      </c>
      <c r="R9201" t="s">
        <v>44769</v>
      </c>
      <c r="S9201" t="s">
        <v>45044</v>
      </c>
      <c r="T9201" t="s">
        <v>46472</v>
      </c>
      <c r="U9201" t="s">
        <v>54580</v>
      </c>
      <c r="W9201" t="s">
        <v>41176</v>
      </c>
      <c r="X9201" t="s">
        <v>44773</v>
      </c>
    </row>
    <row r="9202" spans="1:24">
      <c r="A9202">
        <f>HYPERLINK("https://www.philgeps.gov.ph/GEPSNONPILOT/Tender/SplashBidNoticeAbstractUI.aspx?menuIndex=3&amp;refID=7135071&amp;Result=3","7135071")</f>
        <v>0</v>
      </c>
      <c r="B9202" t="s">
        <v>614</v>
      </c>
      <c r="C9202" t="s">
        <v>12485</v>
      </c>
      <c r="D9202" t="s">
        <v>17996</v>
      </c>
      <c r="E9202" t="s">
        <v>26049</v>
      </c>
      <c r="F9202" t="s">
        <v>30900</v>
      </c>
      <c r="G9202" t="s">
        <v>30907</v>
      </c>
      <c r="H9202" t="s">
        <v>30915</v>
      </c>
      <c r="I9202" t="s">
        <v>30919</v>
      </c>
      <c r="J9202" t="s">
        <v>31577</v>
      </c>
      <c r="K9202" t="s">
        <v>40433</v>
      </c>
      <c r="M9202" t="s">
        <v>41176</v>
      </c>
      <c r="N9202" t="s">
        <v>44759</v>
      </c>
      <c r="O9202" t="s">
        <v>44760</v>
      </c>
      <c r="P9202">
        <v>0</v>
      </c>
      <c r="Q9202">
        <v>0</v>
      </c>
      <c r="R9202" t="s">
        <v>44769</v>
      </c>
      <c r="S9202" t="s">
        <v>45044</v>
      </c>
      <c r="T9202" t="s">
        <v>46472</v>
      </c>
      <c r="U9202" t="s">
        <v>54581</v>
      </c>
      <c r="W9202" t="s">
        <v>41176</v>
      </c>
      <c r="X9202" t="s">
        <v>44773</v>
      </c>
    </row>
    <row r="9203" spans="1:24">
      <c r="A9203">
        <f>HYPERLINK("https://www.philgeps.gov.ph/GEPSNONPILOT/Tender/SplashBidNoticeAbstractUI.aspx?menuIndex=3&amp;refID=7135063&amp;Result=3","7135063")</f>
        <v>0</v>
      </c>
      <c r="B9203" t="s">
        <v>614</v>
      </c>
      <c r="C9203" t="s">
        <v>12486</v>
      </c>
      <c r="D9203" t="s">
        <v>17996</v>
      </c>
      <c r="E9203" t="s">
        <v>26050</v>
      </c>
      <c r="F9203" t="s">
        <v>30900</v>
      </c>
      <c r="G9203" t="s">
        <v>30907</v>
      </c>
      <c r="H9203" t="s">
        <v>30916</v>
      </c>
      <c r="I9203" t="s">
        <v>6408</v>
      </c>
      <c r="J9203" t="s">
        <v>36814</v>
      </c>
      <c r="K9203" t="s">
        <v>40286</v>
      </c>
      <c r="M9203" t="s">
        <v>41176</v>
      </c>
      <c r="N9203" t="s">
        <v>44759</v>
      </c>
      <c r="O9203" t="s">
        <v>44760</v>
      </c>
      <c r="P9203">
        <v>0</v>
      </c>
      <c r="Q9203">
        <v>4</v>
      </c>
      <c r="R9203" t="s">
        <v>44769</v>
      </c>
      <c r="S9203" t="s">
        <v>45044</v>
      </c>
      <c r="T9203" t="s">
        <v>46472</v>
      </c>
      <c r="U9203" t="s">
        <v>54582</v>
      </c>
      <c r="W9203" t="s">
        <v>41176</v>
      </c>
      <c r="X9203" t="s">
        <v>44773</v>
      </c>
    </row>
    <row r="9204" spans="1:24">
      <c r="A9204">
        <f>HYPERLINK("https://www.philgeps.gov.ph/GEPSNONPILOT/Tender/SplashBidNoticeAbstractUI.aspx?menuIndex=3&amp;refID=7135060&amp;Result=3","7135060")</f>
        <v>0</v>
      </c>
      <c r="B9204" t="s">
        <v>2912</v>
      </c>
      <c r="C9204" t="s">
        <v>12487</v>
      </c>
      <c r="D9204" t="s">
        <v>18029</v>
      </c>
      <c r="E9204" t="s">
        <v>26051</v>
      </c>
      <c r="F9204" t="s">
        <v>30900</v>
      </c>
      <c r="G9204" t="s">
        <v>30907</v>
      </c>
      <c r="H9204" t="s">
        <v>30915</v>
      </c>
      <c r="I9204" t="s">
        <v>30919</v>
      </c>
      <c r="J9204" t="s">
        <v>31152</v>
      </c>
      <c r="K9204" t="s">
        <v>40375</v>
      </c>
      <c r="M9204" t="s">
        <v>43707</v>
      </c>
      <c r="N9204" t="s">
        <v>44759</v>
      </c>
      <c r="O9204" t="s">
        <v>44760</v>
      </c>
      <c r="P9204">
        <v>0</v>
      </c>
      <c r="Q9204">
        <v>1</v>
      </c>
      <c r="R9204" t="s">
        <v>44769</v>
      </c>
      <c r="S9204" t="s">
        <v>45044</v>
      </c>
      <c r="T9204" t="s">
        <v>46488</v>
      </c>
      <c r="U9204" t="s">
        <v>54583</v>
      </c>
      <c r="W9204" t="s">
        <v>43707</v>
      </c>
      <c r="X9204" t="s">
        <v>44773</v>
      </c>
    </row>
    <row r="9205" spans="1:24">
      <c r="A9205">
        <f>HYPERLINK("https://www.philgeps.gov.ph/GEPSNONPILOT/Tender/SplashBidNoticeAbstractUI.aspx?menuIndex=3&amp;refID=7134998&amp;Result=3","7134998")</f>
        <v>0</v>
      </c>
      <c r="B9205" t="s">
        <v>2912</v>
      </c>
      <c r="C9205" t="s">
        <v>12488</v>
      </c>
      <c r="D9205" t="s">
        <v>18029</v>
      </c>
      <c r="E9205" t="s">
        <v>26052</v>
      </c>
      <c r="F9205" t="s">
        <v>30900</v>
      </c>
      <c r="G9205" t="s">
        <v>30907</v>
      </c>
      <c r="H9205" t="s">
        <v>30916</v>
      </c>
      <c r="I9205" t="s">
        <v>8123</v>
      </c>
      <c r="J9205" t="s">
        <v>36815</v>
      </c>
      <c r="K9205" t="s">
        <v>40283</v>
      </c>
      <c r="M9205" t="s">
        <v>43707</v>
      </c>
      <c r="N9205" t="s">
        <v>44759</v>
      </c>
      <c r="O9205" t="s">
        <v>44760</v>
      </c>
      <c r="P9205">
        <v>0</v>
      </c>
      <c r="Q9205">
        <v>1</v>
      </c>
      <c r="R9205" t="s">
        <v>44769</v>
      </c>
      <c r="S9205" t="s">
        <v>45044</v>
      </c>
      <c r="T9205" t="s">
        <v>46488</v>
      </c>
      <c r="U9205" t="s">
        <v>54584</v>
      </c>
      <c r="W9205" t="s">
        <v>43707</v>
      </c>
      <c r="X9205" t="s">
        <v>44773</v>
      </c>
    </row>
    <row r="9206" spans="1:24">
      <c r="A9206">
        <f>HYPERLINK("https://www.philgeps.gov.ph/GEPSNONPILOT/Tender/SplashBidNoticeAbstractUI.aspx?menuIndex=3&amp;refID=7135509&amp;Result=3","7135509")</f>
        <v>0</v>
      </c>
      <c r="B9206" t="s">
        <v>2912</v>
      </c>
      <c r="C9206" t="s">
        <v>12489</v>
      </c>
      <c r="D9206" t="s">
        <v>18029</v>
      </c>
      <c r="E9206" t="s">
        <v>26053</v>
      </c>
      <c r="F9206" t="s">
        <v>30900</v>
      </c>
      <c r="G9206" t="s">
        <v>30907</v>
      </c>
      <c r="H9206" t="s">
        <v>30915</v>
      </c>
      <c r="I9206" t="s">
        <v>30919</v>
      </c>
      <c r="J9206" t="s">
        <v>31241</v>
      </c>
      <c r="K9206" t="s">
        <v>40468</v>
      </c>
      <c r="M9206" t="s">
        <v>43707</v>
      </c>
      <c r="N9206" t="s">
        <v>44759</v>
      </c>
      <c r="O9206" t="s">
        <v>44760</v>
      </c>
      <c r="P9206">
        <v>0</v>
      </c>
      <c r="Q9206">
        <v>1</v>
      </c>
      <c r="R9206" t="s">
        <v>44769</v>
      </c>
      <c r="S9206" t="s">
        <v>45044</v>
      </c>
      <c r="T9206" t="s">
        <v>46488</v>
      </c>
      <c r="U9206" t="s">
        <v>54585</v>
      </c>
      <c r="W9206" t="s">
        <v>43707</v>
      </c>
      <c r="X9206" t="s">
        <v>44772</v>
      </c>
    </row>
    <row r="9207" spans="1:24">
      <c r="A9207">
        <f>HYPERLINK("https://www.philgeps.gov.ph/GEPSNONPILOT/Tender/SplashBidNoticeAbstractUI.aspx?menuIndex=3&amp;refID=7133870&amp;Result=3","7133870")</f>
        <v>0</v>
      </c>
      <c r="B9207" t="s">
        <v>1204</v>
      </c>
      <c r="C9207" t="s">
        <v>12490</v>
      </c>
      <c r="D9207" t="s">
        <v>17963</v>
      </c>
      <c r="E9207" t="s">
        <v>26054</v>
      </c>
      <c r="F9207" t="s">
        <v>30900</v>
      </c>
      <c r="G9207" t="s">
        <v>30907</v>
      </c>
      <c r="H9207" t="s">
        <v>30916</v>
      </c>
      <c r="I9207" t="s">
        <v>5501</v>
      </c>
      <c r="J9207" t="s">
        <v>36816</v>
      </c>
      <c r="K9207" t="s">
        <v>40289</v>
      </c>
      <c r="M9207" t="s">
        <v>43719</v>
      </c>
      <c r="N9207" t="s">
        <v>44759</v>
      </c>
      <c r="O9207" t="s">
        <v>44760</v>
      </c>
      <c r="P9207">
        <v>0</v>
      </c>
      <c r="Q9207">
        <v>17</v>
      </c>
      <c r="R9207" t="s">
        <v>44769</v>
      </c>
      <c r="S9207" t="s">
        <v>45044</v>
      </c>
      <c r="T9207" t="s">
        <v>46653</v>
      </c>
      <c r="U9207" t="s">
        <v>54586</v>
      </c>
      <c r="W9207" t="s">
        <v>41815</v>
      </c>
      <c r="X9207" t="s">
        <v>44773</v>
      </c>
    </row>
    <row r="9208" spans="1:24">
      <c r="A9208">
        <f>HYPERLINK("https://www.philgeps.gov.ph/GEPSNONPILOT/Tender/SplashBidNoticeAbstractUI.aspx?menuIndex=3&amp;refID=7135631&amp;Result=3","7135631")</f>
        <v>0</v>
      </c>
      <c r="B9208" t="s">
        <v>2921</v>
      </c>
      <c r="C9208" t="s">
        <v>12491</v>
      </c>
      <c r="D9208" t="s">
        <v>17974</v>
      </c>
      <c r="E9208" t="s">
        <v>26055</v>
      </c>
      <c r="F9208" t="s">
        <v>30900</v>
      </c>
      <c r="G9208" t="s">
        <v>30907</v>
      </c>
      <c r="H9208" t="s">
        <v>30916</v>
      </c>
      <c r="I9208" t="s">
        <v>6746</v>
      </c>
      <c r="J9208" t="s">
        <v>36817</v>
      </c>
      <c r="K9208" t="s">
        <v>40286</v>
      </c>
      <c r="M9208" t="s">
        <v>43716</v>
      </c>
      <c r="N9208" t="s">
        <v>44759</v>
      </c>
      <c r="O9208" t="s">
        <v>44760</v>
      </c>
      <c r="P9208">
        <v>0</v>
      </c>
      <c r="Q9208">
        <v>0</v>
      </c>
      <c r="R9208" t="s">
        <v>44769</v>
      </c>
      <c r="S9208" t="s">
        <v>45044</v>
      </c>
      <c r="T9208" t="s">
        <v>46495</v>
      </c>
      <c r="U9208" t="s">
        <v>54587</v>
      </c>
      <c r="W9208" t="s">
        <v>43716</v>
      </c>
      <c r="X9208" t="s">
        <v>44772</v>
      </c>
    </row>
    <row r="9209" spans="1:24">
      <c r="A9209">
        <f>HYPERLINK("https://www.philgeps.gov.ph/GEPSNONPILOT/Tender/SplashBidNoticeAbstractUI.aspx?menuIndex=3&amp;refID=7128801&amp;Result=3","7128801")</f>
        <v>0</v>
      </c>
      <c r="B9209" t="s">
        <v>2913</v>
      </c>
      <c r="C9209" t="s">
        <v>12492</v>
      </c>
      <c r="D9209" t="s">
        <v>18021</v>
      </c>
      <c r="E9209" t="s">
        <v>26056</v>
      </c>
      <c r="F9209" t="s">
        <v>30900</v>
      </c>
      <c r="G9209" t="s">
        <v>30907</v>
      </c>
      <c r="H9209" t="s">
        <v>30916</v>
      </c>
      <c r="I9209" t="s">
        <v>30933</v>
      </c>
      <c r="J9209" t="s">
        <v>32074</v>
      </c>
      <c r="K9209" t="s">
        <v>40293</v>
      </c>
      <c r="M9209" t="s">
        <v>43708</v>
      </c>
      <c r="N9209" t="s">
        <v>44759</v>
      </c>
      <c r="O9209" t="s">
        <v>44760</v>
      </c>
      <c r="P9209">
        <v>0</v>
      </c>
      <c r="Q9209">
        <v>7</v>
      </c>
      <c r="R9209" t="s">
        <v>44769</v>
      </c>
      <c r="S9209" t="s">
        <v>45044</v>
      </c>
      <c r="T9209" t="s">
        <v>46495</v>
      </c>
      <c r="U9209" t="s">
        <v>54588</v>
      </c>
      <c r="W9209" t="s">
        <v>43708</v>
      </c>
      <c r="X9209" t="s">
        <v>44775</v>
      </c>
    </row>
    <row r="9210" spans="1:24">
      <c r="A9210">
        <f>HYPERLINK("https://www.philgeps.gov.ph/GEPSNONPILOT/Tender/SplashBidNoticeAbstractUI.aspx?menuIndex=3&amp;refID=7135617&amp;Result=3","7135617")</f>
        <v>0</v>
      </c>
      <c r="B9210" t="s">
        <v>2921</v>
      </c>
      <c r="C9210" t="s">
        <v>12493</v>
      </c>
      <c r="D9210" t="s">
        <v>17974</v>
      </c>
      <c r="E9210" t="s">
        <v>26057</v>
      </c>
      <c r="F9210" t="s">
        <v>30900</v>
      </c>
      <c r="G9210" t="s">
        <v>30907</v>
      </c>
      <c r="H9210" t="s">
        <v>30916</v>
      </c>
      <c r="I9210" t="s">
        <v>30939</v>
      </c>
      <c r="J9210" t="s">
        <v>33481</v>
      </c>
      <c r="K9210" t="s">
        <v>40286</v>
      </c>
      <c r="M9210" t="s">
        <v>43716</v>
      </c>
      <c r="N9210" t="s">
        <v>44759</v>
      </c>
      <c r="O9210" t="s">
        <v>44760</v>
      </c>
      <c r="P9210">
        <v>0</v>
      </c>
      <c r="Q9210">
        <v>0</v>
      </c>
      <c r="R9210" t="s">
        <v>44769</v>
      </c>
      <c r="S9210" t="s">
        <v>45044</v>
      </c>
      <c r="T9210" t="s">
        <v>46495</v>
      </c>
      <c r="U9210" t="s">
        <v>54589</v>
      </c>
      <c r="W9210" t="s">
        <v>43716</v>
      </c>
      <c r="X9210" t="s">
        <v>44772</v>
      </c>
    </row>
    <row r="9211" spans="1:24">
      <c r="A9211">
        <f>HYPERLINK("https://www.philgeps.gov.ph/GEPSNONPILOT/Tender/SplashBidNoticeAbstractUI.aspx?menuIndex=3&amp;refID=7135623&amp;Result=3","7135623")</f>
        <v>0</v>
      </c>
      <c r="B9211" t="s">
        <v>2921</v>
      </c>
      <c r="C9211" t="s">
        <v>12494</v>
      </c>
      <c r="D9211" t="s">
        <v>17974</v>
      </c>
      <c r="E9211" t="s">
        <v>26058</v>
      </c>
      <c r="F9211" t="s">
        <v>30900</v>
      </c>
      <c r="G9211" t="s">
        <v>30907</v>
      </c>
      <c r="H9211" t="s">
        <v>30916</v>
      </c>
      <c r="I9211" t="s">
        <v>30933</v>
      </c>
      <c r="J9211" t="s">
        <v>36818</v>
      </c>
      <c r="K9211" t="s">
        <v>40286</v>
      </c>
      <c r="M9211" t="s">
        <v>43716</v>
      </c>
      <c r="N9211" t="s">
        <v>44759</v>
      </c>
      <c r="O9211" t="s">
        <v>44760</v>
      </c>
      <c r="P9211">
        <v>0</v>
      </c>
      <c r="Q9211">
        <v>0</v>
      </c>
      <c r="R9211" t="s">
        <v>44769</v>
      </c>
      <c r="S9211" t="s">
        <v>45044</v>
      </c>
      <c r="T9211" t="s">
        <v>46495</v>
      </c>
      <c r="U9211" t="s">
        <v>54590</v>
      </c>
      <c r="W9211" t="s">
        <v>43716</v>
      </c>
      <c r="X9211" t="s">
        <v>44772</v>
      </c>
    </row>
    <row r="9212" spans="1:24">
      <c r="A9212">
        <f>HYPERLINK("https://www.philgeps.gov.ph/GEPSNONPILOT/Tender/SplashBidNoticeAbstractUI.aspx?menuIndex=3&amp;refID=7135609&amp;Result=3","7135609")</f>
        <v>0</v>
      </c>
      <c r="B9212" t="s">
        <v>2921</v>
      </c>
      <c r="C9212" t="s">
        <v>12495</v>
      </c>
      <c r="D9212" t="s">
        <v>17974</v>
      </c>
      <c r="E9212" t="s">
        <v>26059</v>
      </c>
      <c r="F9212" t="s">
        <v>30900</v>
      </c>
      <c r="G9212" t="s">
        <v>30907</v>
      </c>
      <c r="H9212" t="s">
        <v>30916</v>
      </c>
      <c r="I9212" t="s">
        <v>4142</v>
      </c>
      <c r="J9212" t="s">
        <v>36819</v>
      </c>
      <c r="K9212" t="s">
        <v>40286</v>
      </c>
      <c r="M9212" t="s">
        <v>43716</v>
      </c>
      <c r="N9212" t="s">
        <v>44759</v>
      </c>
      <c r="O9212" t="s">
        <v>44760</v>
      </c>
      <c r="P9212">
        <v>0</v>
      </c>
      <c r="Q9212">
        <v>2</v>
      </c>
      <c r="R9212" t="s">
        <v>44769</v>
      </c>
      <c r="S9212" t="s">
        <v>45044</v>
      </c>
      <c r="T9212" t="s">
        <v>46495</v>
      </c>
      <c r="U9212" t="s">
        <v>54591</v>
      </c>
      <c r="W9212" t="s">
        <v>43716</v>
      </c>
      <c r="X9212" t="s">
        <v>44772</v>
      </c>
    </row>
    <row r="9213" spans="1:24">
      <c r="A9213">
        <f>HYPERLINK("https://www.philgeps.gov.ph/GEPSNONPILOT/Tender/SplashBidNoticeAbstractUI.aspx?menuIndex=3&amp;refID=7135603&amp;Result=3","7135603")</f>
        <v>0</v>
      </c>
      <c r="B9213" t="s">
        <v>2921</v>
      </c>
      <c r="C9213" t="s">
        <v>12496</v>
      </c>
      <c r="D9213" t="s">
        <v>17974</v>
      </c>
      <c r="E9213" t="s">
        <v>26060</v>
      </c>
      <c r="F9213" t="s">
        <v>30900</v>
      </c>
      <c r="G9213" t="s">
        <v>30907</v>
      </c>
      <c r="H9213" t="s">
        <v>30916</v>
      </c>
      <c r="I9213" t="s">
        <v>6746</v>
      </c>
      <c r="J9213" t="s">
        <v>31638</v>
      </c>
      <c r="K9213" t="s">
        <v>40286</v>
      </c>
      <c r="M9213" t="s">
        <v>43716</v>
      </c>
      <c r="N9213" t="s">
        <v>44759</v>
      </c>
      <c r="O9213" t="s">
        <v>44760</v>
      </c>
      <c r="P9213">
        <v>0</v>
      </c>
      <c r="Q9213">
        <v>0</v>
      </c>
      <c r="R9213" t="s">
        <v>44769</v>
      </c>
      <c r="S9213" t="s">
        <v>45044</v>
      </c>
      <c r="T9213" t="s">
        <v>46495</v>
      </c>
      <c r="U9213" t="s">
        <v>54592</v>
      </c>
      <c r="W9213" t="s">
        <v>43716</v>
      </c>
      <c r="X9213" t="s">
        <v>44772</v>
      </c>
    </row>
    <row r="9214" spans="1:24">
      <c r="A9214">
        <f>HYPERLINK("https://www.philgeps.gov.ph/GEPSNONPILOT/Tender/SplashBidNoticeAbstractUI.aspx?menuIndex=3&amp;refID=7135599&amp;Result=3","7135599")</f>
        <v>0</v>
      </c>
      <c r="B9214" t="s">
        <v>2921</v>
      </c>
      <c r="C9214" t="s">
        <v>12497</v>
      </c>
      <c r="D9214" t="s">
        <v>17974</v>
      </c>
      <c r="E9214" t="s">
        <v>26061</v>
      </c>
      <c r="F9214" t="s">
        <v>30900</v>
      </c>
      <c r="G9214" t="s">
        <v>30907</v>
      </c>
      <c r="H9214" t="s">
        <v>30916</v>
      </c>
      <c r="I9214" t="s">
        <v>4142</v>
      </c>
      <c r="J9214" t="s">
        <v>36820</v>
      </c>
      <c r="K9214" t="s">
        <v>40286</v>
      </c>
      <c r="M9214" t="s">
        <v>43716</v>
      </c>
      <c r="N9214" t="s">
        <v>44759</v>
      </c>
      <c r="O9214" t="s">
        <v>44760</v>
      </c>
      <c r="P9214">
        <v>0</v>
      </c>
      <c r="Q9214">
        <v>0</v>
      </c>
      <c r="R9214" t="s">
        <v>44769</v>
      </c>
      <c r="S9214" t="s">
        <v>45044</v>
      </c>
      <c r="T9214" t="s">
        <v>46495</v>
      </c>
      <c r="U9214" t="s">
        <v>54593</v>
      </c>
      <c r="W9214" t="s">
        <v>43716</v>
      </c>
      <c r="X9214" t="s">
        <v>44772</v>
      </c>
    </row>
    <row r="9215" spans="1:24">
      <c r="A9215">
        <f>HYPERLINK("https://www.philgeps.gov.ph/GEPSNONPILOT/Tender/SplashBidNoticeAbstractUI.aspx?menuIndex=3&amp;refID=7135582&amp;Result=3","7135582")</f>
        <v>0</v>
      </c>
      <c r="B9215" t="s">
        <v>2921</v>
      </c>
      <c r="C9215" t="s">
        <v>12498</v>
      </c>
      <c r="D9215" t="s">
        <v>17974</v>
      </c>
      <c r="E9215" t="s">
        <v>26062</v>
      </c>
      <c r="F9215" t="s">
        <v>30900</v>
      </c>
      <c r="G9215" t="s">
        <v>30907</v>
      </c>
      <c r="H9215" t="s">
        <v>30916</v>
      </c>
      <c r="I9215" t="s">
        <v>30933</v>
      </c>
      <c r="J9215" t="s">
        <v>36821</v>
      </c>
      <c r="K9215" t="s">
        <v>40286</v>
      </c>
      <c r="M9215" t="s">
        <v>43716</v>
      </c>
      <c r="N9215" t="s">
        <v>44759</v>
      </c>
      <c r="O9215" t="s">
        <v>44760</v>
      </c>
      <c r="P9215">
        <v>0</v>
      </c>
      <c r="Q9215">
        <v>6</v>
      </c>
      <c r="R9215" t="s">
        <v>44769</v>
      </c>
      <c r="S9215" t="s">
        <v>45044</v>
      </c>
      <c r="T9215" t="s">
        <v>46495</v>
      </c>
      <c r="U9215" t="s">
        <v>54594</v>
      </c>
      <c r="W9215" t="s">
        <v>43716</v>
      </c>
      <c r="X9215" t="s">
        <v>44772</v>
      </c>
    </row>
    <row r="9216" spans="1:24">
      <c r="A9216">
        <f>HYPERLINK("https://www.philgeps.gov.ph/GEPSNONPILOT/Tender/SplashBidNoticeAbstractUI.aspx?menuIndex=3&amp;refID=7135613&amp;Result=3","7135613")</f>
        <v>0</v>
      </c>
      <c r="B9216" t="s">
        <v>2921</v>
      </c>
      <c r="C9216" t="s">
        <v>12499</v>
      </c>
      <c r="D9216" t="s">
        <v>17974</v>
      </c>
      <c r="E9216" t="s">
        <v>26063</v>
      </c>
      <c r="F9216" t="s">
        <v>30900</v>
      </c>
      <c r="G9216" t="s">
        <v>30907</v>
      </c>
      <c r="H9216" t="s">
        <v>30916</v>
      </c>
      <c r="I9216" t="s">
        <v>4142</v>
      </c>
      <c r="J9216" t="s">
        <v>36822</v>
      </c>
      <c r="K9216" t="s">
        <v>40286</v>
      </c>
      <c r="M9216" t="s">
        <v>43716</v>
      </c>
      <c r="N9216" t="s">
        <v>44759</v>
      </c>
      <c r="O9216" t="s">
        <v>44760</v>
      </c>
      <c r="P9216">
        <v>0</v>
      </c>
      <c r="Q9216">
        <v>2</v>
      </c>
      <c r="R9216" t="s">
        <v>44769</v>
      </c>
      <c r="S9216" t="s">
        <v>45044</v>
      </c>
      <c r="T9216" t="s">
        <v>46495</v>
      </c>
      <c r="U9216" t="s">
        <v>54595</v>
      </c>
      <c r="W9216" t="s">
        <v>43716</v>
      </c>
      <c r="X9216" t="s">
        <v>44772</v>
      </c>
    </row>
    <row r="9217" spans="1:24">
      <c r="A9217">
        <f>HYPERLINK("https://www.philgeps.gov.ph/GEPSNONPILOT/Tender/SplashBidNoticeAbstractUI.aspx?menuIndex=3&amp;refID=7135571&amp;Result=3","7135571")</f>
        <v>0</v>
      </c>
      <c r="B9217" t="s">
        <v>2921</v>
      </c>
      <c r="C9217" t="s">
        <v>12500</v>
      </c>
      <c r="D9217" t="s">
        <v>17974</v>
      </c>
      <c r="E9217" t="s">
        <v>26064</v>
      </c>
      <c r="F9217" t="s">
        <v>30900</v>
      </c>
      <c r="G9217" t="s">
        <v>30907</v>
      </c>
      <c r="H9217" t="s">
        <v>30916</v>
      </c>
      <c r="I9217" t="s">
        <v>30924</v>
      </c>
      <c r="J9217" t="s">
        <v>31092</v>
      </c>
      <c r="K9217" t="s">
        <v>40286</v>
      </c>
      <c r="M9217" t="s">
        <v>43716</v>
      </c>
      <c r="N9217" t="s">
        <v>44759</v>
      </c>
      <c r="O9217" t="s">
        <v>44760</v>
      </c>
      <c r="P9217">
        <v>0</v>
      </c>
      <c r="Q9217">
        <v>0</v>
      </c>
      <c r="R9217" t="s">
        <v>44769</v>
      </c>
      <c r="S9217" t="s">
        <v>45044</v>
      </c>
      <c r="T9217" t="s">
        <v>46495</v>
      </c>
      <c r="U9217" t="s">
        <v>54596</v>
      </c>
      <c r="W9217" t="s">
        <v>43716</v>
      </c>
      <c r="X9217" t="s">
        <v>44772</v>
      </c>
    </row>
    <row r="9218" spans="1:24">
      <c r="A9218">
        <f>HYPERLINK("https://www.philgeps.gov.ph/GEPSNONPILOT/Tender/SplashBidNoticeAbstractUI.aspx?menuIndex=3&amp;refID=7142064&amp;Result=3","7142064")</f>
        <v>0</v>
      </c>
      <c r="B9218" t="s">
        <v>2906</v>
      </c>
      <c r="C9218" t="s">
        <v>12501</v>
      </c>
      <c r="D9218" t="s">
        <v>18031</v>
      </c>
      <c r="E9218" t="s">
        <v>26065</v>
      </c>
      <c r="F9218" t="s">
        <v>30900</v>
      </c>
      <c r="G9218" t="s">
        <v>30909</v>
      </c>
      <c r="H9218" t="s">
        <v>30916</v>
      </c>
      <c r="I9218" t="s">
        <v>30933</v>
      </c>
      <c r="J9218" t="s">
        <v>36823</v>
      </c>
      <c r="K9218" t="s">
        <v>40283</v>
      </c>
      <c r="M9218" t="s">
        <v>43700</v>
      </c>
      <c r="N9218" t="s">
        <v>44759</v>
      </c>
      <c r="O9218" t="s">
        <v>44760</v>
      </c>
      <c r="P9218">
        <v>0</v>
      </c>
      <c r="Q9218">
        <v>0</v>
      </c>
      <c r="R9218" t="s">
        <v>44768</v>
      </c>
      <c r="S9218" t="s">
        <v>44982</v>
      </c>
      <c r="T9218" t="s">
        <v>46353</v>
      </c>
      <c r="U9218" t="s">
        <v>54597</v>
      </c>
      <c r="V9218" t="s">
        <v>60119</v>
      </c>
      <c r="W9218" t="s">
        <v>43700</v>
      </c>
      <c r="X9218" t="s">
        <v>44769</v>
      </c>
    </row>
    <row r="9219" spans="1:24">
      <c r="A9219">
        <f>HYPERLINK("https://www.philgeps.gov.ph/GEPSNONPILOT/Tender/SplashBidNoticeAbstractUI.aspx?menuIndex=3&amp;refID=7135556&amp;Result=3","7135556")</f>
        <v>0</v>
      </c>
      <c r="B9219" t="s">
        <v>2921</v>
      </c>
      <c r="C9219" t="s">
        <v>12502</v>
      </c>
      <c r="D9219" t="s">
        <v>17974</v>
      </c>
      <c r="E9219" t="s">
        <v>26066</v>
      </c>
      <c r="F9219" t="s">
        <v>30900</v>
      </c>
      <c r="G9219" t="s">
        <v>30907</v>
      </c>
      <c r="H9219" t="s">
        <v>30916</v>
      </c>
      <c r="I9219" t="s">
        <v>6953</v>
      </c>
      <c r="J9219" t="s">
        <v>32040</v>
      </c>
      <c r="K9219" t="s">
        <v>40286</v>
      </c>
      <c r="M9219" t="s">
        <v>43716</v>
      </c>
      <c r="N9219" t="s">
        <v>44759</v>
      </c>
      <c r="O9219" t="s">
        <v>44760</v>
      </c>
      <c r="P9219">
        <v>0</v>
      </c>
      <c r="Q9219">
        <v>0</v>
      </c>
      <c r="R9219" t="s">
        <v>44769</v>
      </c>
      <c r="S9219" t="s">
        <v>45044</v>
      </c>
      <c r="T9219" t="s">
        <v>46495</v>
      </c>
      <c r="U9219" t="s">
        <v>54598</v>
      </c>
      <c r="W9219" t="s">
        <v>43716</v>
      </c>
      <c r="X9219" t="s">
        <v>44772</v>
      </c>
    </row>
    <row r="9220" spans="1:24">
      <c r="A9220">
        <f>HYPERLINK("https://www.philgeps.gov.ph/GEPSNONPILOT/Tender/SplashBidNoticeAbstractUI.aspx?menuIndex=3&amp;refID=7135550&amp;Result=3","7135550")</f>
        <v>0</v>
      </c>
      <c r="B9220" t="s">
        <v>2921</v>
      </c>
      <c r="C9220" t="s">
        <v>12503</v>
      </c>
      <c r="D9220" t="s">
        <v>17974</v>
      </c>
      <c r="E9220" t="s">
        <v>26066</v>
      </c>
      <c r="F9220" t="s">
        <v>30900</v>
      </c>
      <c r="G9220" t="s">
        <v>30907</v>
      </c>
      <c r="H9220" t="s">
        <v>30916</v>
      </c>
      <c r="I9220" t="s">
        <v>6953</v>
      </c>
      <c r="J9220" t="s">
        <v>36824</v>
      </c>
      <c r="K9220" t="s">
        <v>40286</v>
      </c>
      <c r="M9220" t="s">
        <v>43716</v>
      </c>
      <c r="N9220" t="s">
        <v>44759</v>
      </c>
      <c r="O9220" t="s">
        <v>44760</v>
      </c>
      <c r="P9220">
        <v>0</v>
      </c>
      <c r="Q9220">
        <v>0</v>
      </c>
      <c r="R9220" t="s">
        <v>44769</v>
      </c>
      <c r="S9220" t="s">
        <v>45044</v>
      </c>
      <c r="T9220" t="s">
        <v>46495</v>
      </c>
      <c r="U9220" t="s">
        <v>54598</v>
      </c>
      <c r="W9220" t="s">
        <v>43716</v>
      </c>
      <c r="X9220" t="s">
        <v>44772</v>
      </c>
    </row>
    <row r="9221" spans="1:24">
      <c r="A9221">
        <f>HYPERLINK("https://www.philgeps.gov.ph/GEPSNONPILOT/Tender/SplashBidNoticeAbstractUI.aspx?menuIndex=3&amp;refID=7135563&amp;Result=3","7135563")</f>
        <v>0</v>
      </c>
      <c r="B9221" t="s">
        <v>2921</v>
      </c>
      <c r="C9221" t="s">
        <v>12504</v>
      </c>
      <c r="D9221" t="s">
        <v>17974</v>
      </c>
      <c r="E9221" t="s">
        <v>26064</v>
      </c>
      <c r="F9221" t="s">
        <v>30900</v>
      </c>
      <c r="G9221" t="s">
        <v>30907</v>
      </c>
      <c r="H9221" t="s">
        <v>30916</v>
      </c>
      <c r="I9221" t="s">
        <v>30934</v>
      </c>
      <c r="J9221" t="s">
        <v>31447</v>
      </c>
      <c r="K9221" t="s">
        <v>40286</v>
      </c>
      <c r="M9221" t="s">
        <v>43716</v>
      </c>
      <c r="N9221" t="s">
        <v>44759</v>
      </c>
      <c r="O9221" t="s">
        <v>44760</v>
      </c>
      <c r="P9221">
        <v>0</v>
      </c>
      <c r="Q9221">
        <v>2</v>
      </c>
      <c r="R9221" t="s">
        <v>44769</v>
      </c>
      <c r="S9221" t="s">
        <v>45044</v>
      </c>
      <c r="T9221" t="s">
        <v>46495</v>
      </c>
      <c r="U9221" t="s">
        <v>54596</v>
      </c>
      <c r="W9221" t="s">
        <v>43716</v>
      </c>
      <c r="X9221" t="s">
        <v>44772</v>
      </c>
    </row>
    <row r="9222" spans="1:24">
      <c r="A9222">
        <f>HYPERLINK("https://www.philgeps.gov.ph/GEPSNONPILOT/Tender/SplashBidNoticeAbstractUI.aspx?menuIndex=3&amp;refID=7135586&amp;Result=3","7135586")</f>
        <v>0</v>
      </c>
      <c r="B9222" t="s">
        <v>2921</v>
      </c>
      <c r="C9222" t="s">
        <v>12505</v>
      </c>
      <c r="D9222" t="s">
        <v>17974</v>
      </c>
      <c r="E9222" t="s">
        <v>26067</v>
      </c>
      <c r="F9222" t="s">
        <v>30900</v>
      </c>
      <c r="G9222" t="s">
        <v>30907</v>
      </c>
      <c r="H9222" t="s">
        <v>30916</v>
      </c>
      <c r="I9222" t="s">
        <v>4545</v>
      </c>
      <c r="J9222" t="s">
        <v>31096</v>
      </c>
      <c r="K9222" t="s">
        <v>40286</v>
      </c>
      <c r="M9222" t="s">
        <v>43716</v>
      </c>
      <c r="N9222" t="s">
        <v>44759</v>
      </c>
      <c r="O9222" t="s">
        <v>44760</v>
      </c>
      <c r="P9222">
        <v>0</v>
      </c>
      <c r="Q9222">
        <v>11</v>
      </c>
      <c r="R9222" t="s">
        <v>44769</v>
      </c>
      <c r="S9222" t="s">
        <v>45044</v>
      </c>
      <c r="T9222" t="s">
        <v>46495</v>
      </c>
      <c r="U9222" t="s">
        <v>54599</v>
      </c>
      <c r="W9222" t="s">
        <v>43716</v>
      </c>
      <c r="X9222" t="s">
        <v>44772</v>
      </c>
    </row>
    <row r="9223" spans="1:24">
      <c r="A9223">
        <f>HYPERLINK("https://www.philgeps.gov.ph/GEPSNONPILOT/Tender/SplashBidNoticeAbstractUI.aspx?menuIndex=3&amp;refID=7135543&amp;Result=3","7135543")</f>
        <v>0</v>
      </c>
      <c r="B9223" t="s">
        <v>2921</v>
      </c>
      <c r="C9223" t="s">
        <v>12506</v>
      </c>
      <c r="D9223" t="s">
        <v>17974</v>
      </c>
      <c r="E9223" t="s">
        <v>26066</v>
      </c>
      <c r="F9223" t="s">
        <v>30900</v>
      </c>
      <c r="G9223" t="s">
        <v>30907</v>
      </c>
      <c r="H9223" t="s">
        <v>30916</v>
      </c>
      <c r="I9223" t="s">
        <v>6953</v>
      </c>
      <c r="J9223" t="s">
        <v>33629</v>
      </c>
      <c r="K9223" t="s">
        <v>40286</v>
      </c>
      <c r="M9223" t="s">
        <v>43716</v>
      </c>
      <c r="N9223" t="s">
        <v>44759</v>
      </c>
      <c r="O9223" t="s">
        <v>44760</v>
      </c>
      <c r="P9223">
        <v>0</v>
      </c>
      <c r="Q9223">
        <v>0</v>
      </c>
      <c r="R9223" t="s">
        <v>44769</v>
      </c>
      <c r="S9223" t="s">
        <v>45044</v>
      </c>
      <c r="T9223" t="s">
        <v>46495</v>
      </c>
      <c r="U9223" t="s">
        <v>54598</v>
      </c>
      <c r="W9223" t="s">
        <v>43716</v>
      </c>
      <c r="X9223" t="s">
        <v>44772</v>
      </c>
    </row>
    <row r="9224" spans="1:24">
      <c r="A9224">
        <f>HYPERLINK("https://www.philgeps.gov.ph/GEPSNONPILOT/Tender/SplashBidNoticeAbstractUI.aspx?menuIndex=3&amp;refID=7135528&amp;Result=3","7135528")</f>
        <v>0</v>
      </c>
      <c r="B9224" t="s">
        <v>89</v>
      </c>
      <c r="C9224" t="s">
        <v>12507</v>
      </c>
      <c r="D9224" t="s">
        <v>17971</v>
      </c>
      <c r="E9224" t="s">
        <v>26068</v>
      </c>
      <c r="F9224" t="s">
        <v>30900</v>
      </c>
      <c r="G9224" t="s">
        <v>30907</v>
      </c>
      <c r="H9224" t="s">
        <v>30916</v>
      </c>
      <c r="I9224" t="s">
        <v>30918</v>
      </c>
      <c r="J9224" t="s">
        <v>36825</v>
      </c>
      <c r="K9224" t="s">
        <v>40289</v>
      </c>
      <c r="M9224" t="s">
        <v>40636</v>
      </c>
      <c r="N9224" t="s">
        <v>44759</v>
      </c>
      <c r="O9224" t="s">
        <v>44760</v>
      </c>
      <c r="P9224">
        <v>0</v>
      </c>
      <c r="Q9224">
        <v>35</v>
      </c>
      <c r="R9224" t="s">
        <v>44769</v>
      </c>
      <c r="S9224" t="s">
        <v>45044</v>
      </c>
      <c r="T9224" t="s">
        <v>46712</v>
      </c>
      <c r="U9224" t="s">
        <v>54600</v>
      </c>
      <c r="V9224" t="s">
        <v>60120</v>
      </c>
      <c r="W9224" t="s">
        <v>40636</v>
      </c>
      <c r="X9224" t="s">
        <v>44772</v>
      </c>
    </row>
    <row r="9225" spans="1:24">
      <c r="A9225">
        <f>HYPERLINK("https://www.philgeps.gov.ph/GEPSNONPILOT/Tender/SplashBidNoticeAbstractUI.aspx?menuIndex=3&amp;refID=7135569&amp;Result=3","7135569")</f>
        <v>0</v>
      </c>
      <c r="B9225" t="s">
        <v>2921</v>
      </c>
      <c r="C9225" t="s">
        <v>12508</v>
      </c>
      <c r="D9225" t="s">
        <v>17974</v>
      </c>
      <c r="E9225" t="s">
        <v>26064</v>
      </c>
      <c r="F9225" t="s">
        <v>30900</v>
      </c>
      <c r="G9225" t="s">
        <v>30907</v>
      </c>
      <c r="H9225" t="s">
        <v>30916</v>
      </c>
      <c r="I9225" t="s">
        <v>30962</v>
      </c>
      <c r="J9225" t="s">
        <v>31206</v>
      </c>
      <c r="K9225" t="s">
        <v>40286</v>
      </c>
      <c r="M9225" t="s">
        <v>43716</v>
      </c>
      <c r="N9225" t="s">
        <v>44759</v>
      </c>
      <c r="O9225" t="s">
        <v>44760</v>
      </c>
      <c r="P9225">
        <v>0</v>
      </c>
      <c r="Q9225">
        <v>0</v>
      </c>
      <c r="R9225" t="s">
        <v>44769</v>
      </c>
      <c r="S9225" t="s">
        <v>45044</v>
      </c>
      <c r="T9225" t="s">
        <v>46495</v>
      </c>
      <c r="U9225" t="s">
        <v>54596</v>
      </c>
      <c r="W9225" t="s">
        <v>43716</v>
      </c>
      <c r="X9225" t="s">
        <v>44772</v>
      </c>
    </row>
    <row r="9226" spans="1:24">
      <c r="A9226">
        <f>HYPERLINK("https://www.philgeps.gov.ph/GEPSNONPILOT/Tender/SplashBidNoticeAbstractUI.aspx?menuIndex=3&amp;refID=7134842&amp;Result=3","7134842")</f>
        <v>0</v>
      </c>
      <c r="B9226" t="s">
        <v>2836</v>
      </c>
      <c r="C9226" t="s">
        <v>12509</v>
      </c>
      <c r="D9226" t="s">
        <v>17973</v>
      </c>
      <c r="E9226" t="s">
        <v>23105</v>
      </c>
      <c r="F9226" t="s">
        <v>30900</v>
      </c>
      <c r="G9226" t="s">
        <v>30907</v>
      </c>
      <c r="H9226" t="s">
        <v>30916</v>
      </c>
      <c r="I9226" t="s">
        <v>4545</v>
      </c>
      <c r="J9226" t="s">
        <v>34479</v>
      </c>
      <c r="K9226" t="s">
        <v>40286</v>
      </c>
      <c r="L9226" t="s">
        <v>2836</v>
      </c>
      <c r="M9226" t="s">
        <v>43621</v>
      </c>
      <c r="N9226" t="s">
        <v>44759</v>
      </c>
      <c r="O9226" t="s">
        <v>44760</v>
      </c>
      <c r="P9226">
        <v>0</v>
      </c>
      <c r="Q9226">
        <v>8</v>
      </c>
      <c r="R9226" t="s">
        <v>44769</v>
      </c>
      <c r="S9226" t="s">
        <v>45044</v>
      </c>
      <c r="T9226" t="s">
        <v>46488</v>
      </c>
      <c r="U9226" t="s">
        <v>54601</v>
      </c>
      <c r="W9226" t="s">
        <v>43621</v>
      </c>
      <c r="X9226" t="s">
        <v>44773</v>
      </c>
    </row>
    <row r="9227" spans="1:24">
      <c r="A9227">
        <f>HYPERLINK("https://www.philgeps.gov.ph/GEPSNONPILOT/Tender/SplashBidNoticeAbstractUI.aspx?menuIndex=3&amp;refID=7134653&amp;Result=3","7134653")</f>
        <v>0</v>
      </c>
      <c r="B9227" t="s">
        <v>2920</v>
      </c>
      <c r="C9227" t="s">
        <v>12510</v>
      </c>
      <c r="D9227" t="s">
        <v>17975</v>
      </c>
      <c r="E9227" t="s">
        <v>26069</v>
      </c>
      <c r="F9227" t="s">
        <v>30900</v>
      </c>
      <c r="G9227" t="s">
        <v>30907</v>
      </c>
      <c r="H9227" t="s">
        <v>30916</v>
      </c>
      <c r="I9227" t="s">
        <v>5501</v>
      </c>
      <c r="J9227" t="s">
        <v>35052</v>
      </c>
      <c r="K9227" t="s">
        <v>40286</v>
      </c>
      <c r="M9227" t="s">
        <v>43715</v>
      </c>
      <c r="N9227" t="s">
        <v>44759</v>
      </c>
      <c r="O9227" t="s">
        <v>44760</v>
      </c>
      <c r="P9227">
        <v>0</v>
      </c>
      <c r="Q9227">
        <v>4</v>
      </c>
      <c r="R9227" t="s">
        <v>44769</v>
      </c>
      <c r="S9227" t="s">
        <v>45044</v>
      </c>
      <c r="T9227" t="s">
        <v>46771</v>
      </c>
      <c r="U9227" t="s">
        <v>54602</v>
      </c>
      <c r="W9227" t="s">
        <v>43715</v>
      </c>
      <c r="X9227" t="s">
        <v>44773</v>
      </c>
    </row>
    <row r="9228" spans="1:24">
      <c r="A9228">
        <f>HYPERLINK("https://www.philgeps.gov.ph/GEPSNONPILOT/Tender/SplashBidNoticeAbstractUI.aspx?menuIndex=3&amp;refID=7131478&amp;Result=3","7131478")</f>
        <v>0</v>
      </c>
      <c r="B9228" t="s">
        <v>1188</v>
      </c>
      <c r="C9228" t="s">
        <v>12511</v>
      </c>
      <c r="D9228" t="s">
        <v>18019</v>
      </c>
      <c r="E9228" t="s">
        <v>26070</v>
      </c>
      <c r="F9228" t="s">
        <v>30900</v>
      </c>
      <c r="G9228" t="s">
        <v>30907</v>
      </c>
      <c r="H9228" t="s">
        <v>30916</v>
      </c>
      <c r="I9228" t="s">
        <v>30922</v>
      </c>
      <c r="J9228" t="s">
        <v>36826</v>
      </c>
      <c r="K9228" t="s">
        <v>40286</v>
      </c>
      <c r="M9228" t="s">
        <v>43019</v>
      </c>
      <c r="N9228" t="s">
        <v>44759</v>
      </c>
      <c r="O9228" t="s">
        <v>44760</v>
      </c>
      <c r="P9228">
        <v>0</v>
      </c>
      <c r="Q9228">
        <v>6</v>
      </c>
      <c r="R9228" t="s">
        <v>44769</v>
      </c>
      <c r="S9228" t="s">
        <v>45044</v>
      </c>
      <c r="T9228" t="s">
        <v>46709</v>
      </c>
      <c r="U9228" t="s">
        <v>54603</v>
      </c>
      <c r="W9228" t="s">
        <v>43019</v>
      </c>
      <c r="X9228" t="s">
        <v>44774</v>
      </c>
    </row>
    <row r="9229" spans="1:24">
      <c r="A9229">
        <f>HYPERLINK("https://www.philgeps.gov.ph/GEPSNONPILOT/Tender/SplashBidNoticeAbstractUI.aspx?menuIndex=3&amp;refID=7135524&amp;Result=3","7135524")</f>
        <v>0</v>
      </c>
      <c r="B9229" t="s">
        <v>2921</v>
      </c>
      <c r="C9229" t="s">
        <v>12512</v>
      </c>
      <c r="D9229" t="s">
        <v>17974</v>
      </c>
      <c r="E9229" t="s">
        <v>26071</v>
      </c>
      <c r="F9229" t="s">
        <v>30900</v>
      </c>
      <c r="G9229" t="s">
        <v>30907</v>
      </c>
      <c r="H9229" t="s">
        <v>30916</v>
      </c>
      <c r="I9229" t="s">
        <v>30967</v>
      </c>
      <c r="J9229" t="s">
        <v>31142</v>
      </c>
      <c r="K9229" t="s">
        <v>40286</v>
      </c>
      <c r="M9229" t="s">
        <v>43716</v>
      </c>
      <c r="N9229" t="s">
        <v>44759</v>
      </c>
      <c r="O9229" t="s">
        <v>44760</v>
      </c>
      <c r="P9229">
        <v>0</v>
      </c>
      <c r="Q9229">
        <v>0</v>
      </c>
      <c r="R9229" t="s">
        <v>44769</v>
      </c>
      <c r="S9229" t="s">
        <v>45044</v>
      </c>
      <c r="T9229" t="s">
        <v>46495</v>
      </c>
      <c r="U9229" t="s">
        <v>54604</v>
      </c>
      <c r="W9229" t="s">
        <v>43716</v>
      </c>
      <c r="X9229" t="s">
        <v>44772</v>
      </c>
    </row>
    <row r="9230" spans="1:24">
      <c r="A9230">
        <f>HYPERLINK("https://www.philgeps.gov.ph/GEPSNONPILOT/Tender/SplashBidNoticeAbstractUI.aspx?menuIndex=3&amp;refID=7135522&amp;Result=3","7135522")</f>
        <v>0</v>
      </c>
      <c r="B9230" t="s">
        <v>89</v>
      </c>
      <c r="C9230" t="s">
        <v>12513</v>
      </c>
      <c r="D9230" t="s">
        <v>17971</v>
      </c>
      <c r="E9230" t="s">
        <v>26072</v>
      </c>
      <c r="F9230" t="s">
        <v>30900</v>
      </c>
      <c r="G9230" t="s">
        <v>30907</v>
      </c>
      <c r="H9230" t="s">
        <v>30916</v>
      </c>
      <c r="I9230" t="s">
        <v>30923</v>
      </c>
      <c r="J9230" t="s">
        <v>36827</v>
      </c>
      <c r="K9230" t="s">
        <v>40289</v>
      </c>
      <c r="M9230" t="s">
        <v>40636</v>
      </c>
      <c r="N9230" t="s">
        <v>44759</v>
      </c>
      <c r="O9230" t="s">
        <v>44760</v>
      </c>
      <c r="P9230">
        <v>0</v>
      </c>
      <c r="Q9230">
        <v>13</v>
      </c>
      <c r="R9230" t="s">
        <v>44769</v>
      </c>
      <c r="S9230" t="s">
        <v>45044</v>
      </c>
      <c r="T9230" t="s">
        <v>46752</v>
      </c>
      <c r="U9230" t="s">
        <v>54605</v>
      </c>
      <c r="V9230" t="s">
        <v>60121</v>
      </c>
      <c r="W9230" t="s">
        <v>40636</v>
      </c>
      <c r="X9230" t="s">
        <v>44772</v>
      </c>
    </row>
    <row r="9231" spans="1:24">
      <c r="A9231">
        <f>HYPERLINK("https://www.philgeps.gov.ph/GEPSNONPILOT/Tender/SplashBidNoticeAbstractUI.aspx?menuIndex=3&amp;refID=7136082&amp;Result=3","7136082")</f>
        <v>0</v>
      </c>
      <c r="B9231" t="s">
        <v>2924</v>
      </c>
      <c r="C9231" t="s">
        <v>8615</v>
      </c>
      <c r="E9231" t="s">
        <v>19701</v>
      </c>
      <c r="F9231" t="s">
        <v>30900</v>
      </c>
      <c r="G9231" t="s">
        <v>30907</v>
      </c>
      <c r="H9231" t="s">
        <v>30916</v>
      </c>
      <c r="I9231" t="s">
        <v>30919</v>
      </c>
      <c r="J9231" t="s">
        <v>36828</v>
      </c>
      <c r="K9231" t="s">
        <v>40289</v>
      </c>
      <c r="M9231" t="s">
        <v>43720</v>
      </c>
      <c r="N9231" t="s">
        <v>44759</v>
      </c>
      <c r="O9231" t="s">
        <v>44760</v>
      </c>
      <c r="P9231">
        <v>0</v>
      </c>
      <c r="Q9231">
        <v>1</v>
      </c>
      <c r="R9231" t="s">
        <v>44769</v>
      </c>
      <c r="S9231" t="s">
        <v>45044</v>
      </c>
      <c r="T9231" t="s">
        <v>46533</v>
      </c>
      <c r="U9231" t="s">
        <v>51781</v>
      </c>
      <c r="V9231" t="s">
        <v>60122</v>
      </c>
      <c r="W9231" t="s">
        <v>43720</v>
      </c>
      <c r="X9231" t="s">
        <v>44770</v>
      </c>
    </row>
    <row r="9232" spans="1:24">
      <c r="A9232">
        <f>HYPERLINK("https://www.philgeps.gov.ph/GEPSNONPILOT/Tender/SplashBidNoticeAbstractUI.aspx?menuIndex=3&amp;refID=7136074&amp;Result=3","7136074")</f>
        <v>0</v>
      </c>
      <c r="B9232" t="s">
        <v>2925</v>
      </c>
      <c r="C9232" t="s">
        <v>12514</v>
      </c>
      <c r="E9232" t="s">
        <v>18935</v>
      </c>
      <c r="F9232" t="s">
        <v>30900</v>
      </c>
      <c r="G9232" t="s">
        <v>30907</v>
      </c>
      <c r="H9232" t="s">
        <v>30916</v>
      </c>
      <c r="I9232" t="s">
        <v>30919</v>
      </c>
      <c r="J9232" t="s">
        <v>36829</v>
      </c>
      <c r="K9232" t="s">
        <v>40289</v>
      </c>
      <c r="M9232" t="s">
        <v>43721</v>
      </c>
      <c r="N9232" t="s">
        <v>44759</v>
      </c>
      <c r="O9232" t="s">
        <v>44760</v>
      </c>
      <c r="P9232">
        <v>0</v>
      </c>
      <c r="Q9232">
        <v>1</v>
      </c>
      <c r="R9232" t="s">
        <v>44769</v>
      </c>
      <c r="S9232" t="s">
        <v>45044</v>
      </c>
      <c r="T9232" t="s">
        <v>46411</v>
      </c>
      <c r="U9232" t="s">
        <v>51781</v>
      </c>
      <c r="V9232" t="s">
        <v>60123</v>
      </c>
      <c r="W9232" t="s">
        <v>43721</v>
      </c>
      <c r="X9232" t="s">
        <v>44770</v>
      </c>
    </row>
    <row r="9233" spans="1:24">
      <c r="A9233">
        <f>HYPERLINK("https://www.philgeps.gov.ph/GEPSNONPILOT/Tender/SplashBidNoticeAbstractUI.aspx?menuIndex=3&amp;refID=7135626&amp;Result=3","7135626")</f>
        <v>0</v>
      </c>
      <c r="B9233" t="s">
        <v>2921</v>
      </c>
      <c r="C9233" t="s">
        <v>12515</v>
      </c>
      <c r="D9233" t="s">
        <v>17974</v>
      </c>
      <c r="E9233" t="s">
        <v>26073</v>
      </c>
      <c r="F9233" t="s">
        <v>30900</v>
      </c>
      <c r="G9233" t="s">
        <v>30907</v>
      </c>
      <c r="H9233" t="s">
        <v>30916</v>
      </c>
      <c r="I9233" t="s">
        <v>30939</v>
      </c>
      <c r="J9233" t="s">
        <v>36830</v>
      </c>
      <c r="K9233" t="s">
        <v>40286</v>
      </c>
      <c r="M9233" t="s">
        <v>43716</v>
      </c>
      <c r="N9233" t="s">
        <v>44759</v>
      </c>
      <c r="O9233" t="s">
        <v>44760</v>
      </c>
      <c r="P9233">
        <v>0</v>
      </c>
      <c r="Q9233">
        <v>0</v>
      </c>
      <c r="R9233" t="s">
        <v>44769</v>
      </c>
      <c r="S9233" t="s">
        <v>45044</v>
      </c>
      <c r="T9233" t="s">
        <v>46495</v>
      </c>
      <c r="U9233" t="s">
        <v>54606</v>
      </c>
      <c r="W9233" t="s">
        <v>43716</v>
      </c>
      <c r="X9233" t="s">
        <v>44772</v>
      </c>
    </row>
    <row r="9234" spans="1:24">
      <c r="A9234">
        <f>HYPERLINK("https://www.philgeps.gov.ph/GEPSNONPILOT/Tender/SplashBidNoticeAbstractUI.aspx?menuIndex=3&amp;refID=7136079&amp;Result=3","7136079")</f>
        <v>0</v>
      </c>
      <c r="B9234" t="s">
        <v>2926</v>
      </c>
      <c r="C9234" t="s">
        <v>12516</v>
      </c>
      <c r="D9234" t="s">
        <v>17979</v>
      </c>
      <c r="E9234" t="s">
        <v>26074</v>
      </c>
      <c r="F9234" t="s">
        <v>30899</v>
      </c>
      <c r="G9234" t="s">
        <v>30908</v>
      </c>
      <c r="H9234" t="s">
        <v>30915</v>
      </c>
      <c r="I9234" t="s">
        <v>30957</v>
      </c>
      <c r="J9234" t="s">
        <v>36831</v>
      </c>
      <c r="K9234" t="s">
        <v>40283</v>
      </c>
      <c r="M9234" t="s">
        <v>43722</v>
      </c>
      <c r="N9234" t="s">
        <v>44759</v>
      </c>
      <c r="O9234" t="s">
        <v>44760</v>
      </c>
      <c r="P9234">
        <v>0</v>
      </c>
      <c r="Q9234">
        <v>0</v>
      </c>
      <c r="R9234" t="s">
        <v>44769</v>
      </c>
      <c r="S9234" t="s">
        <v>45044</v>
      </c>
      <c r="T9234" t="s">
        <v>46831</v>
      </c>
      <c r="U9234" t="s">
        <v>54607</v>
      </c>
      <c r="V9234" t="s">
        <v>60124</v>
      </c>
      <c r="W9234" t="s">
        <v>43722</v>
      </c>
      <c r="X9234" t="s">
        <v>44770</v>
      </c>
    </row>
    <row r="9235" spans="1:24">
      <c r="A9235">
        <f>HYPERLINK("https://www.philgeps.gov.ph/GEPSNONPILOT/Tender/SplashBidNoticeAbstractUI.aspx?menuIndex=3&amp;refID=7136068&amp;Result=3","7136068")</f>
        <v>0</v>
      </c>
      <c r="B9235" t="s">
        <v>138</v>
      </c>
      <c r="C9235" t="s">
        <v>12517</v>
      </c>
      <c r="D9235" t="s">
        <v>17965</v>
      </c>
      <c r="E9235" t="s">
        <v>26075</v>
      </c>
      <c r="F9235" t="s">
        <v>30900</v>
      </c>
      <c r="G9235" t="s">
        <v>30907</v>
      </c>
      <c r="H9235" t="s">
        <v>30915</v>
      </c>
      <c r="I9235" t="s">
        <v>30919</v>
      </c>
      <c r="J9235" t="s">
        <v>36832</v>
      </c>
      <c r="K9235" t="s">
        <v>40294</v>
      </c>
      <c r="M9235" t="s">
        <v>40685</v>
      </c>
      <c r="N9235" t="s">
        <v>44759</v>
      </c>
      <c r="O9235" t="s">
        <v>44760</v>
      </c>
      <c r="P9235">
        <v>0</v>
      </c>
      <c r="Q9235">
        <v>0</v>
      </c>
      <c r="R9235" t="s">
        <v>44769</v>
      </c>
      <c r="S9235" t="s">
        <v>45044</v>
      </c>
      <c r="T9235" t="s">
        <v>46383</v>
      </c>
      <c r="U9235" t="s">
        <v>54608</v>
      </c>
      <c r="W9235" t="s">
        <v>40685</v>
      </c>
      <c r="X9235" t="s">
        <v>44770</v>
      </c>
    </row>
    <row r="9236" spans="1:24">
      <c r="A9236">
        <f>HYPERLINK("https://www.philgeps.gov.ph/GEPSNONPILOT/Tender/SplashBidNoticeAbstractUI.aspx?menuIndex=3&amp;refID=7134663&amp;Result=3","7134663")</f>
        <v>0</v>
      </c>
      <c r="B9236" t="s">
        <v>2927</v>
      </c>
      <c r="C9236" t="s">
        <v>12518</v>
      </c>
      <c r="D9236" t="s">
        <v>17963</v>
      </c>
      <c r="E9236" t="s">
        <v>26076</v>
      </c>
      <c r="F9236" t="s">
        <v>30900</v>
      </c>
      <c r="G9236" t="s">
        <v>30907</v>
      </c>
      <c r="H9236" t="s">
        <v>30916</v>
      </c>
      <c r="I9236" t="s">
        <v>30933</v>
      </c>
      <c r="J9236" t="s">
        <v>31050</v>
      </c>
      <c r="K9236" t="s">
        <v>40289</v>
      </c>
      <c r="M9236" t="s">
        <v>43723</v>
      </c>
      <c r="N9236" t="s">
        <v>44759</v>
      </c>
      <c r="O9236" t="s">
        <v>44760</v>
      </c>
      <c r="P9236">
        <v>0</v>
      </c>
      <c r="Q9236">
        <v>0</v>
      </c>
      <c r="R9236" t="s">
        <v>44769</v>
      </c>
      <c r="S9236" t="s">
        <v>45044</v>
      </c>
      <c r="T9236" t="s">
        <v>46363</v>
      </c>
      <c r="U9236" t="s">
        <v>54609</v>
      </c>
      <c r="W9236" t="s">
        <v>43723</v>
      </c>
      <c r="X9236" t="s">
        <v>44773</v>
      </c>
    </row>
    <row r="9237" spans="1:24">
      <c r="A9237">
        <f>HYPERLINK("https://www.philgeps.gov.ph/GEPSNONPILOT/Tender/SplashBidNoticeAbstractUI.aspx?menuIndex=3&amp;refID=7134631&amp;Result=3","7134631")</f>
        <v>0</v>
      </c>
      <c r="B9237" t="s">
        <v>2836</v>
      </c>
      <c r="C9237" t="s">
        <v>12519</v>
      </c>
      <c r="D9237" t="s">
        <v>17973</v>
      </c>
      <c r="E9237" t="s">
        <v>22635</v>
      </c>
      <c r="F9237" t="s">
        <v>30900</v>
      </c>
      <c r="G9237" t="s">
        <v>30907</v>
      </c>
      <c r="H9237" t="s">
        <v>30915</v>
      </c>
      <c r="I9237" t="s">
        <v>30919</v>
      </c>
      <c r="J9237" t="s">
        <v>31152</v>
      </c>
      <c r="K9237" t="s">
        <v>40292</v>
      </c>
      <c r="L9237" t="s">
        <v>2836</v>
      </c>
      <c r="M9237" t="s">
        <v>43621</v>
      </c>
      <c r="N9237" t="s">
        <v>44759</v>
      </c>
      <c r="O9237" t="s">
        <v>44760</v>
      </c>
      <c r="P9237">
        <v>0</v>
      </c>
      <c r="Q9237">
        <v>0</v>
      </c>
      <c r="R9237" t="s">
        <v>44769</v>
      </c>
      <c r="S9237" t="s">
        <v>45044</v>
      </c>
      <c r="T9237" t="s">
        <v>46488</v>
      </c>
      <c r="U9237" t="s">
        <v>54610</v>
      </c>
      <c r="W9237" t="s">
        <v>43621</v>
      </c>
      <c r="X9237" t="s">
        <v>44773</v>
      </c>
    </row>
    <row r="9238" spans="1:24">
      <c r="A9238">
        <f>HYPERLINK("https://www.philgeps.gov.ph/GEPSNONPILOT/Tender/SplashBidNoticeAbstractUI.aspx?menuIndex=3&amp;refID=7136037&amp;Result=3","7136037")</f>
        <v>0</v>
      </c>
      <c r="B9238" t="s">
        <v>2928</v>
      </c>
      <c r="C9238" t="s">
        <v>12520</v>
      </c>
      <c r="D9238" t="s">
        <v>18003</v>
      </c>
      <c r="E9238" t="s">
        <v>26077</v>
      </c>
      <c r="F9238" t="s">
        <v>30900</v>
      </c>
      <c r="G9238" t="s">
        <v>30907</v>
      </c>
      <c r="H9238" t="s">
        <v>30916</v>
      </c>
      <c r="I9238" t="s">
        <v>30932</v>
      </c>
      <c r="J9238" t="s">
        <v>31070</v>
      </c>
      <c r="K9238" t="s">
        <v>40288</v>
      </c>
      <c r="M9238" t="s">
        <v>43724</v>
      </c>
      <c r="N9238" t="s">
        <v>44759</v>
      </c>
      <c r="O9238" t="s">
        <v>44760</v>
      </c>
      <c r="P9238">
        <v>0</v>
      </c>
      <c r="Q9238">
        <v>0</v>
      </c>
      <c r="R9238" t="s">
        <v>44769</v>
      </c>
      <c r="S9238" t="s">
        <v>45044</v>
      </c>
      <c r="T9238" t="s">
        <v>46450</v>
      </c>
      <c r="U9238" t="s">
        <v>54611</v>
      </c>
      <c r="W9238" t="s">
        <v>43724</v>
      </c>
      <c r="X9238" t="s">
        <v>44771</v>
      </c>
    </row>
    <row r="9239" spans="1:24">
      <c r="A9239">
        <f>HYPERLINK("https://www.philgeps.gov.ph/GEPSNONPILOT/Tender/SplashBidNoticeAbstractUI.aspx?menuIndex=3&amp;refID=7135521&amp;Result=3","7135521")</f>
        <v>0</v>
      </c>
      <c r="B9239" t="s">
        <v>2921</v>
      </c>
      <c r="C9239" t="s">
        <v>12521</v>
      </c>
      <c r="D9239" t="s">
        <v>17974</v>
      </c>
      <c r="E9239" t="s">
        <v>26071</v>
      </c>
      <c r="F9239" t="s">
        <v>30900</v>
      </c>
      <c r="G9239" t="s">
        <v>30907</v>
      </c>
      <c r="H9239" t="s">
        <v>30916</v>
      </c>
      <c r="I9239" t="s">
        <v>10602</v>
      </c>
      <c r="J9239" t="s">
        <v>36833</v>
      </c>
      <c r="K9239" t="s">
        <v>40286</v>
      </c>
      <c r="M9239" t="s">
        <v>43716</v>
      </c>
      <c r="N9239" t="s">
        <v>44759</v>
      </c>
      <c r="O9239" t="s">
        <v>44760</v>
      </c>
      <c r="P9239">
        <v>0</v>
      </c>
      <c r="Q9239">
        <v>0</v>
      </c>
      <c r="R9239" t="s">
        <v>44769</v>
      </c>
      <c r="S9239" t="s">
        <v>45044</v>
      </c>
      <c r="T9239" t="s">
        <v>46495</v>
      </c>
      <c r="U9239" t="s">
        <v>54604</v>
      </c>
      <c r="W9239" t="s">
        <v>43716</v>
      </c>
      <c r="X9239" t="s">
        <v>44772</v>
      </c>
    </row>
    <row r="9240" spans="1:24">
      <c r="A9240">
        <f>HYPERLINK("https://www.philgeps.gov.ph/GEPSNONPILOT/Tender/SplashBidNoticeAbstractUI.aspx?menuIndex=3&amp;refID=7136035&amp;Result=3","7136035")</f>
        <v>0</v>
      </c>
      <c r="B9240" t="s">
        <v>2928</v>
      </c>
      <c r="C9240" t="s">
        <v>12522</v>
      </c>
      <c r="D9240" t="s">
        <v>18003</v>
      </c>
      <c r="E9240" t="s">
        <v>26078</v>
      </c>
      <c r="F9240" t="s">
        <v>30900</v>
      </c>
      <c r="G9240" t="s">
        <v>30907</v>
      </c>
      <c r="H9240" t="s">
        <v>30916</v>
      </c>
      <c r="I9240" t="s">
        <v>30927</v>
      </c>
      <c r="J9240" t="s">
        <v>36834</v>
      </c>
      <c r="K9240" t="s">
        <v>40288</v>
      </c>
      <c r="M9240" t="s">
        <v>43724</v>
      </c>
      <c r="N9240" t="s">
        <v>44759</v>
      </c>
      <c r="O9240" t="s">
        <v>44760</v>
      </c>
      <c r="P9240">
        <v>0</v>
      </c>
      <c r="Q9240">
        <v>0</v>
      </c>
      <c r="R9240" t="s">
        <v>44769</v>
      </c>
      <c r="S9240" t="s">
        <v>45044</v>
      </c>
      <c r="T9240" t="s">
        <v>46450</v>
      </c>
      <c r="U9240" t="s">
        <v>54612</v>
      </c>
      <c r="W9240" t="s">
        <v>43724</v>
      </c>
      <c r="X9240" t="s">
        <v>44771</v>
      </c>
    </row>
    <row r="9241" spans="1:24">
      <c r="A9241">
        <f>HYPERLINK("https://www.philgeps.gov.ph/GEPSNONPILOT/Tender/SplashBidNoticeAbstractUI.aspx?menuIndex=3&amp;refID=7136028&amp;Result=3","7136028")</f>
        <v>0</v>
      </c>
      <c r="B9241" t="s">
        <v>2929</v>
      </c>
      <c r="C9241" t="s">
        <v>12523</v>
      </c>
      <c r="D9241" t="s">
        <v>17993</v>
      </c>
      <c r="E9241" t="s">
        <v>26079</v>
      </c>
      <c r="F9241" t="s">
        <v>30900</v>
      </c>
      <c r="G9241" t="s">
        <v>30907</v>
      </c>
      <c r="H9241" t="s">
        <v>30915</v>
      </c>
      <c r="I9241" t="s">
        <v>30919</v>
      </c>
      <c r="J9241" t="s">
        <v>36835</v>
      </c>
      <c r="K9241" t="s">
        <v>40414</v>
      </c>
      <c r="M9241" t="s">
        <v>43725</v>
      </c>
      <c r="N9241" t="s">
        <v>44759</v>
      </c>
      <c r="O9241" t="s">
        <v>44760</v>
      </c>
      <c r="Q9241">
        <v>9</v>
      </c>
      <c r="R9241" t="s">
        <v>44769</v>
      </c>
      <c r="S9241" t="s">
        <v>45052</v>
      </c>
      <c r="T9241" t="s">
        <v>46488</v>
      </c>
      <c r="U9241" t="s">
        <v>54613</v>
      </c>
      <c r="W9241" t="s">
        <v>43725</v>
      </c>
      <c r="X9241" t="s">
        <v>44771</v>
      </c>
    </row>
    <row r="9242" spans="1:24">
      <c r="A9242">
        <f>HYPERLINK("https://www.philgeps.gov.ph/GEPSNONPILOT/Tender/SplashBidNoticeAbstractUI.aspx?menuIndex=3&amp;refID=7136089&amp;Result=3","7136089")</f>
        <v>0</v>
      </c>
      <c r="B9242" t="s">
        <v>2930</v>
      </c>
      <c r="C9242" t="s">
        <v>12524</v>
      </c>
      <c r="D9242" t="s">
        <v>17985</v>
      </c>
      <c r="E9242" t="s">
        <v>26080</v>
      </c>
      <c r="F9242" t="s">
        <v>30900</v>
      </c>
      <c r="G9242" t="s">
        <v>30907</v>
      </c>
      <c r="H9242" t="s">
        <v>30916</v>
      </c>
      <c r="I9242" t="s">
        <v>30939</v>
      </c>
      <c r="J9242" t="s">
        <v>36836</v>
      </c>
      <c r="K9242" t="s">
        <v>40284</v>
      </c>
      <c r="M9242" t="s">
        <v>43726</v>
      </c>
      <c r="N9242" t="s">
        <v>44759</v>
      </c>
      <c r="O9242" t="s">
        <v>44760</v>
      </c>
      <c r="P9242">
        <v>0</v>
      </c>
      <c r="Q9242">
        <v>0</v>
      </c>
      <c r="R9242" t="s">
        <v>44769</v>
      </c>
      <c r="S9242" t="s">
        <v>45044</v>
      </c>
      <c r="T9242" t="s">
        <v>46808</v>
      </c>
      <c r="U9242" t="s">
        <v>54614</v>
      </c>
      <c r="W9242" t="s">
        <v>43726</v>
      </c>
      <c r="X9242" t="s">
        <v>44770</v>
      </c>
    </row>
    <row r="9243" spans="1:24">
      <c r="A9243">
        <f>HYPERLINK("https://www.philgeps.gov.ph/GEPSNONPILOT/Tender/SplashBidNoticeAbstractUI.aspx?menuIndex=3&amp;refID=7136080&amp;Result=3","7136080")</f>
        <v>0</v>
      </c>
      <c r="B9243" t="s">
        <v>1944</v>
      </c>
      <c r="C9243" t="s">
        <v>12525</v>
      </c>
      <c r="D9243" t="s">
        <v>17973</v>
      </c>
      <c r="E9243" t="s">
        <v>26081</v>
      </c>
      <c r="F9243" t="s">
        <v>30900</v>
      </c>
      <c r="G9243" t="s">
        <v>30907</v>
      </c>
      <c r="H9243" t="s">
        <v>30915</v>
      </c>
      <c r="I9243" t="s">
        <v>30919</v>
      </c>
      <c r="J9243" t="s">
        <v>31391</v>
      </c>
      <c r="K9243" t="s">
        <v>40280</v>
      </c>
      <c r="M9243" t="s">
        <v>42626</v>
      </c>
      <c r="N9243" t="s">
        <v>44759</v>
      </c>
      <c r="O9243" t="s">
        <v>44760</v>
      </c>
      <c r="P9243">
        <v>0</v>
      </c>
      <c r="Q9243">
        <v>0</v>
      </c>
      <c r="R9243" t="s">
        <v>44769</v>
      </c>
      <c r="S9243" t="s">
        <v>45044</v>
      </c>
      <c r="T9243" t="s">
        <v>46390</v>
      </c>
      <c r="U9243" t="s">
        <v>51419</v>
      </c>
      <c r="W9243" t="s">
        <v>42626</v>
      </c>
      <c r="X9243" t="s">
        <v>44770</v>
      </c>
    </row>
    <row r="9244" spans="1:24">
      <c r="A9244">
        <f>HYPERLINK("https://www.philgeps.gov.ph/GEPSNONPILOT/Tender/SplashBidNoticeAbstractUI.aspx?menuIndex=3&amp;refID=7136066&amp;Result=3","7136066")</f>
        <v>0</v>
      </c>
      <c r="B9244" t="s">
        <v>2931</v>
      </c>
      <c r="C9244" t="s">
        <v>12526</v>
      </c>
      <c r="D9244" t="s">
        <v>17993</v>
      </c>
      <c r="E9244" t="s">
        <v>18295</v>
      </c>
      <c r="F9244" t="s">
        <v>30900</v>
      </c>
      <c r="G9244" t="s">
        <v>30907</v>
      </c>
      <c r="H9244" t="s">
        <v>30915</v>
      </c>
      <c r="I9244" t="s">
        <v>8123</v>
      </c>
      <c r="J9244" t="s">
        <v>36837</v>
      </c>
      <c r="K9244" t="s">
        <v>40287</v>
      </c>
      <c r="M9244" t="s">
        <v>43727</v>
      </c>
      <c r="N9244" t="s">
        <v>44759</v>
      </c>
      <c r="O9244" t="s">
        <v>44760</v>
      </c>
      <c r="P9244">
        <v>0</v>
      </c>
      <c r="Q9244">
        <v>0</v>
      </c>
      <c r="R9244" t="s">
        <v>44769</v>
      </c>
      <c r="S9244" t="s">
        <v>45044</v>
      </c>
      <c r="T9244" t="s">
        <v>46374</v>
      </c>
      <c r="U9244" t="s">
        <v>54615</v>
      </c>
      <c r="W9244" t="s">
        <v>43727</v>
      </c>
      <c r="X9244" t="s">
        <v>44770</v>
      </c>
    </row>
    <row r="9245" spans="1:24">
      <c r="A9245">
        <f>HYPERLINK("https://www.philgeps.gov.ph/GEPSNONPILOT/Tender/SplashBidNoticeAbstractUI.aspx?menuIndex=3&amp;refID=7136021&amp;Result=3","7136021")</f>
        <v>0</v>
      </c>
      <c r="B9245" t="s">
        <v>1428</v>
      </c>
      <c r="C9245" t="s">
        <v>12527</v>
      </c>
      <c r="D9245" t="s">
        <v>18017</v>
      </c>
      <c r="E9245" t="s">
        <v>26082</v>
      </c>
      <c r="F9245" t="s">
        <v>30900</v>
      </c>
      <c r="G9245" t="s">
        <v>30908</v>
      </c>
      <c r="H9245" t="s">
        <v>30916</v>
      </c>
      <c r="I9245" t="s">
        <v>30922</v>
      </c>
      <c r="J9245" t="s">
        <v>31713</v>
      </c>
      <c r="K9245" t="s">
        <v>40286</v>
      </c>
      <c r="M9245" t="s">
        <v>43728</v>
      </c>
      <c r="N9245" t="s">
        <v>44759</v>
      </c>
      <c r="O9245" t="s">
        <v>44760</v>
      </c>
      <c r="P9245">
        <v>0</v>
      </c>
      <c r="Q9245">
        <v>2</v>
      </c>
      <c r="R9245" t="s">
        <v>44769</v>
      </c>
      <c r="S9245" t="s">
        <v>45044</v>
      </c>
      <c r="T9245" t="s">
        <v>46391</v>
      </c>
      <c r="U9245" t="s">
        <v>54616</v>
      </c>
      <c r="W9245" t="s">
        <v>43728</v>
      </c>
      <c r="X9245" t="s">
        <v>44771</v>
      </c>
    </row>
    <row r="9246" spans="1:24">
      <c r="A9246">
        <f>HYPERLINK("https://www.philgeps.gov.ph/GEPSNONPILOT/Tender/SplashBidNoticeAbstractUI.aspx?menuIndex=3&amp;refID=7136143&amp;Result=3","7136143")</f>
        <v>0</v>
      </c>
      <c r="B9246" t="s">
        <v>654</v>
      </c>
      <c r="C9246" t="s">
        <v>12528</v>
      </c>
      <c r="D9246" t="s">
        <v>17983</v>
      </c>
      <c r="E9246" t="s">
        <v>26083</v>
      </c>
      <c r="F9246" t="s">
        <v>30900</v>
      </c>
      <c r="G9246" t="s">
        <v>30907</v>
      </c>
      <c r="H9246" t="s">
        <v>30916</v>
      </c>
      <c r="I9246" t="s">
        <v>4108</v>
      </c>
      <c r="J9246" t="s">
        <v>36838</v>
      </c>
      <c r="K9246" t="s">
        <v>40280</v>
      </c>
      <c r="M9246" t="s">
        <v>41217</v>
      </c>
      <c r="N9246" t="s">
        <v>44759</v>
      </c>
      <c r="O9246" t="s">
        <v>44760</v>
      </c>
      <c r="P9246">
        <v>0</v>
      </c>
      <c r="Q9246">
        <v>3</v>
      </c>
      <c r="R9246" t="s">
        <v>44769</v>
      </c>
      <c r="S9246" t="s">
        <v>45044</v>
      </c>
      <c r="T9246" t="s">
        <v>46411</v>
      </c>
      <c r="U9246" t="s">
        <v>54617</v>
      </c>
      <c r="W9246" t="s">
        <v>41217</v>
      </c>
      <c r="X9246" t="s">
        <v>44770</v>
      </c>
    </row>
    <row r="9247" spans="1:24">
      <c r="A9247">
        <f>HYPERLINK("https://www.philgeps.gov.ph/GEPSNONPILOT/Tender/SplashBidNoticeAbstractUI.aspx?menuIndex=3&amp;refID=7142019&amp;Result=3","7142019")</f>
        <v>0</v>
      </c>
      <c r="B9247" t="s">
        <v>2892</v>
      </c>
      <c r="C9247" t="s">
        <v>12529</v>
      </c>
      <c r="D9247" t="s">
        <v>17998</v>
      </c>
      <c r="E9247" t="s">
        <v>26084</v>
      </c>
      <c r="F9247" t="s">
        <v>30900</v>
      </c>
      <c r="G9247" t="s">
        <v>30907</v>
      </c>
      <c r="H9247" t="s">
        <v>30916</v>
      </c>
      <c r="I9247" t="s">
        <v>31019</v>
      </c>
      <c r="J9247" t="s">
        <v>32666</v>
      </c>
      <c r="K9247" t="s">
        <v>40286</v>
      </c>
      <c r="M9247" t="s">
        <v>43685</v>
      </c>
      <c r="N9247" t="s">
        <v>44759</v>
      </c>
      <c r="O9247" t="s">
        <v>44760</v>
      </c>
      <c r="P9247">
        <v>0</v>
      </c>
      <c r="Q9247">
        <v>2</v>
      </c>
      <c r="R9247" t="s">
        <v>44768</v>
      </c>
      <c r="S9247" t="s">
        <v>44982</v>
      </c>
      <c r="T9247" t="s">
        <v>46389</v>
      </c>
      <c r="U9247" t="s">
        <v>54618</v>
      </c>
      <c r="W9247" t="s">
        <v>43685</v>
      </c>
      <c r="X9247" t="s">
        <v>44769</v>
      </c>
    </row>
    <row r="9248" spans="1:24">
      <c r="A9248">
        <f>HYPERLINK("https://www.philgeps.gov.ph/GEPSNONPILOT/Tender/SplashBidNoticeAbstractUI.aspx?menuIndex=3&amp;refID=7136157&amp;Result=3","7136157")</f>
        <v>0</v>
      </c>
      <c r="B9248" t="s">
        <v>894</v>
      </c>
      <c r="C9248" t="s">
        <v>12530</v>
      </c>
      <c r="D9248" t="s">
        <v>18011</v>
      </c>
      <c r="E9248" t="s">
        <v>26085</v>
      </c>
      <c r="F9248" t="s">
        <v>30900</v>
      </c>
      <c r="G9248" t="s">
        <v>30907</v>
      </c>
      <c r="H9248" t="s">
        <v>30915</v>
      </c>
      <c r="I9248" t="s">
        <v>30919</v>
      </c>
      <c r="J9248" t="s">
        <v>36839</v>
      </c>
      <c r="K9248" t="s">
        <v>40304</v>
      </c>
      <c r="M9248" t="s">
        <v>41468</v>
      </c>
      <c r="N9248" t="s">
        <v>44759</v>
      </c>
      <c r="O9248" t="s">
        <v>44760</v>
      </c>
      <c r="P9248">
        <v>0</v>
      </c>
      <c r="Q9248">
        <v>0</v>
      </c>
      <c r="R9248" t="s">
        <v>44769</v>
      </c>
      <c r="S9248" t="s">
        <v>45044</v>
      </c>
      <c r="T9248" t="s">
        <v>46544</v>
      </c>
      <c r="U9248" t="s">
        <v>54619</v>
      </c>
      <c r="W9248" t="s">
        <v>41468</v>
      </c>
      <c r="X9248" t="s">
        <v>44770</v>
      </c>
    </row>
    <row r="9249" spans="1:24">
      <c r="A9249">
        <f>HYPERLINK("https://www.philgeps.gov.ph/GEPSNONPILOT/Tender/SplashBidNoticeAbstractUI.aspx?menuIndex=3&amp;refID=7136061&amp;Result=3","7136061")</f>
        <v>0</v>
      </c>
      <c r="B9249" t="s">
        <v>2932</v>
      </c>
      <c r="C9249" t="s">
        <v>12531</v>
      </c>
      <c r="D9249" t="s">
        <v>17977</v>
      </c>
      <c r="E9249" t="s">
        <v>26086</v>
      </c>
      <c r="F9249" t="s">
        <v>30900</v>
      </c>
      <c r="G9249" t="s">
        <v>30907</v>
      </c>
      <c r="H9249" t="s">
        <v>30916</v>
      </c>
      <c r="I9249" t="s">
        <v>30922</v>
      </c>
      <c r="J9249" t="s">
        <v>36840</v>
      </c>
      <c r="K9249" t="s">
        <v>40284</v>
      </c>
      <c r="M9249" t="s">
        <v>43729</v>
      </c>
      <c r="N9249" t="s">
        <v>44759</v>
      </c>
      <c r="O9249" t="s">
        <v>44760</v>
      </c>
      <c r="P9249">
        <v>0</v>
      </c>
      <c r="Q9249">
        <v>1</v>
      </c>
      <c r="R9249" t="s">
        <v>44769</v>
      </c>
      <c r="S9249" t="s">
        <v>45044</v>
      </c>
      <c r="T9249" t="s">
        <v>46662</v>
      </c>
      <c r="U9249" t="s">
        <v>54620</v>
      </c>
      <c r="W9249" t="s">
        <v>43729</v>
      </c>
      <c r="X9249" t="s">
        <v>44770</v>
      </c>
    </row>
    <row r="9250" spans="1:24">
      <c r="A9250">
        <f>HYPERLINK("https://www.philgeps.gov.ph/GEPSNONPILOT/Tender/SplashBidNoticeAbstractUI.aspx?menuIndex=3&amp;refID=7136124&amp;Result=3","7136124")</f>
        <v>0</v>
      </c>
      <c r="B9250" t="s">
        <v>1246</v>
      </c>
      <c r="C9250" t="s">
        <v>12532</v>
      </c>
      <c r="E9250" t="s">
        <v>26087</v>
      </c>
      <c r="F9250" t="s">
        <v>30900</v>
      </c>
      <c r="G9250" t="s">
        <v>30907</v>
      </c>
      <c r="H9250" t="s">
        <v>30916</v>
      </c>
      <c r="I9250" t="s">
        <v>30922</v>
      </c>
      <c r="J9250" t="s">
        <v>36841</v>
      </c>
      <c r="K9250" t="s">
        <v>40289</v>
      </c>
      <c r="M9250" t="s">
        <v>41858</v>
      </c>
      <c r="N9250" t="s">
        <v>44759</v>
      </c>
      <c r="O9250" t="s">
        <v>44760</v>
      </c>
      <c r="P9250">
        <v>0</v>
      </c>
      <c r="Q9250">
        <v>1</v>
      </c>
      <c r="R9250" t="s">
        <v>44769</v>
      </c>
      <c r="S9250" t="s">
        <v>45044</v>
      </c>
      <c r="T9250" t="s">
        <v>46694</v>
      </c>
      <c r="U9250" t="s">
        <v>54621</v>
      </c>
      <c r="W9250" t="s">
        <v>41858</v>
      </c>
      <c r="X9250" t="s">
        <v>44770</v>
      </c>
    </row>
    <row r="9251" spans="1:24">
      <c r="A9251">
        <f>HYPERLINK("https://www.philgeps.gov.ph/GEPSNONPILOT/Tender/SplashBidNoticeAbstractUI.aspx?menuIndex=3&amp;refID=7136134&amp;Result=3","7136134")</f>
        <v>0</v>
      </c>
      <c r="B9251" t="s">
        <v>704</v>
      </c>
      <c r="C9251" t="s">
        <v>12533</v>
      </c>
      <c r="D9251" t="s">
        <v>17987</v>
      </c>
      <c r="E9251" t="s">
        <v>26088</v>
      </c>
      <c r="F9251" t="s">
        <v>30900</v>
      </c>
      <c r="G9251" t="s">
        <v>30908</v>
      </c>
      <c r="H9251" t="s">
        <v>30916</v>
      </c>
      <c r="I9251" t="s">
        <v>30924</v>
      </c>
      <c r="J9251" t="s">
        <v>32370</v>
      </c>
      <c r="K9251" t="s">
        <v>40283</v>
      </c>
      <c r="M9251" t="s">
        <v>42242</v>
      </c>
      <c r="N9251" t="s">
        <v>44759</v>
      </c>
      <c r="O9251" t="s">
        <v>44760</v>
      </c>
      <c r="P9251">
        <v>0</v>
      </c>
      <c r="Q9251">
        <v>4</v>
      </c>
      <c r="R9251" t="s">
        <v>44769</v>
      </c>
      <c r="S9251" t="s">
        <v>45044</v>
      </c>
      <c r="T9251" t="s">
        <v>46662</v>
      </c>
      <c r="U9251" t="s">
        <v>54622</v>
      </c>
      <c r="W9251" t="s">
        <v>42242</v>
      </c>
      <c r="X9251" t="s">
        <v>44770</v>
      </c>
    </row>
    <row r="9252" spans="1:24">
      <c r="A9252">
        <f>HYPERLINK("https://www.philgeps.gov.ph/GEPSNONPILOT/Tender/SplashBidNoticeAbstractUI.aspx?menuIndex=3&amp;refID=7136049&amp;Result=3","7136049")</f>
        <v>0</v>
      </c>
      <c r="B9252" t="s">
        <v>2929</v>
      </c>
      <c r="C9252" t="s">
        <v>12534</v>
      </c>
      <c r="D9252" t="s">
        <v>17962</v>
      </c>
      <c r="E9252" t="s">
        <v>26089</v>
      </c>
      <c r="F9252" t="s">
        <v>30900</v>
      </c>
      <c r="G9252" t="s">
        <v>30907</v>
      </c>
      <c r="H9252" t="s">
        <v>30915</v>
      </c>
      <c r="I9252" t="s">
        <v>30919</v>
      </c>
      <c r="J9252" t="s">
        <v>36842</v>
      </c>
      <c r="K9252" t="s">
        <v>40301</v>
      </c>
      <c r="M9252" t="s">
        <v>43725</v>
      </c>
      <c r="N9252" t="s">
        <v>44759</v>
      </c>
      <c r="O9252" t="s">
        <v>44760</v>
      </c>
      <c r="Q9252">
        <v>4</v>
      </c>
      <c r="R9252" t="s">
        <v>44769</v>
      </c>
      <c r="S9252" t="s">
        <v>45053</v>
      </c>
      <c r="T9252" t="s">
        <v>46488</v>
      </c>
      <c r="U9252" t="s">
        <v>54613</v>
      </c>
      <c r="W9252" t="s">
        <v>43725</v>
      </c>
      <c r="X9252" t="s">
        <v>44771</v>
      </c>
    </row>
    <row r="9253" spans="1:24">
      <c r="A9253">
        <f>HYPERLINK("https://www.philgeps.gov.ph/GEPSNONPILOT/Tender/SplashBidNoticeAbstractUI.aspx?menuIndex=3&amp;refID=7136150&amp;Result=3","7136150")</f>
        <v>0</v>
      </c>
      <c r="B9253" t="s">
        <v>2921</v>
      </c>
      <c r="C9253" t="s">
        <v>12535</v>
      </c>
      <c r="D9253" t="s">
        <v>17974</v>
      </c>
      <c r="E9253" t="s">
        <v>26090</v>
      </c>
      <c r="F9253" t="s">
        <v>30900</v>
      </c>
      <c r="G9253" t="s">
        <v>30907</v>
      </c>
      <c r="H9253" t="s">
        <v>30916</v>
      </c>
      <c r="I9253" t="s">
        <v>30924</v>
      </c>
      <c r="J9253" t="s">
        <v>35661</v>
      </c>
      <c r="K9253" t="s">
        <v>40280</v>
      </c>
      <c r="M9253" t="s">
        <v>43716</v>
      </c>
      <c r="N9253" t="s">
        <v>44759</v>
      </c>
      <c r="O9253" t="s">
        <v>44760</v>
      </c>
      <c r="P9253">
        <v>0</v>
      </c>
      <c r="Q9253">
        <v>1</v>
      </c>
      <c r="R9253" t="s">
        <v>44769</v>
      </c>
      <c r="S9253" t="s">
        <v>45044</v>
      </c>
      <c r="T9253" t="s">
        <v>46495</v>
      </c>
      <c r="U9253" t="s">
        <v>54623</v>
      </c>
      <c r="W9253" t="s">
        <v>43716</v>
      </c>
      <c r="X9253" t="s">
        <v>44770</v>
      </c>
    </row>
    <row r="9254" spans="1:24">
      <c r="A9254">
        <f>HYPERLINK("https://www.philgeps.gov.ph/GEPSNONPILOT/Tender/SplashBidNoticeAbstractUI.aspx?menuIndex=3&amp;refID=7136123&amp;Result=3","7136123")</f>
        <v>0</v>
      </c>
      <c r="B9254" t="s">
        <v>2921</v>
      </c>
      <c r="C9254" t="s">
        <v>12536</v>
      </c>
      <c r="D9254" t="s">
        <v>17974</v>
      </c>
      <c r="E9254" t="s">
        <v>26091</v>
      </c>
      <c r="F9254" t="s">
        <v>30900</v>
      </c>
      <c r="G9254" t="s">
        <v>30907</v>
      </c>
      <c r="H9254" t="s">
        <v>30916</v>
      </c>
      <c r="I9254" t="s">
        <v>30933</v>
      </c>
      <c r="J9254" t="s">
        <v>31094</v>
      </c>
      <c r="K9254" t="s">
        <v>40286</v>
      </c>
      <c r="M9254" t="s">
        <v>43716</v>
      </c>
      <c r="N9254" t="s">
        <v>44759</v>
      </c>
      <c r="O9254" t="s">
        <v>44760</v>
      </c>
      <c r="Q9254">
        <v>4</v>
      </c>
      <c r="R9254" t="s">
        <v>44769</v>
      </c>
      <c r="S9254" t="s">
        <v>45054</v>
      </c>
      <c r="T9254" t="s">
        <v>46495</v>
      </c>
      <c r="U9254" t="s">
        <v>54624</v>
      </c>
      <c r="W9254" t="s">
        <v>43716</v>
      </c>
      <c r="X9254" t="s">
        <v>44770</v>
      </c>
    </row>
    <row r="9255" spans="1:24">
      <c r="A9255">
        <f>HYPERLINK("https://www.philgeps.gov.ph/GEPSNONPILOT/Tender/SplashBidNoticeAbstractUI.aspx?menuIndex=3&amp;refID=7136117&amp;Result=3","7136117")</f>
        <v>0</v>
      </c>
      <c r="B9255" t="s">
        <v>28</v>
      </c>
      <c r="C9255" t="s">
        <v>12537</v>
      </c>
      <c r="D9255" t="s">
        <v>17955</v>
      </c>
      <c r="E9255" t="s">
        <v>26092</v>
      </c>
      <c r="F9255" t="s">
        <v>30900</v>
      </c>
      <c r="G9255" t="s">
        <v>30907</v>
      </c>
      <c r="H9255" t="s">
        <v>30915</v>
      </c>
      <c r="I9255" t="s">
        <v>30919</v>
      </c>
      <c r="J9255" t="s">
        <v>36843</v>
      </c>
      <c r="K9255" t="s">
        <v>40341</v>
      </c>
      <c r="M9255" t="s">
        <v>40574</v>
      </c>
      <c r="N9255" t="s">
        <v>44759</v>
      </c>
      <c r="O9255" t="s">
        <v>44760</v>
      </c>
      <c r="Q9255">
        <v>7</v>
      </c>
      <c r="R9255" t="s">
        <v>44769</v>
      </c>
      <c r="S9255" t="s">
        <v>45055</v>
      </c>
      <c r="T9255" t="s">
        <v>46428</v>
      </c>
      <c r="U9255" t="s">
        <v>54625</v>
      </c>
      <c r="W9255" t="s">
        <v>40574</v>
      </c>
      <c r="X9255" t="s">
        <v>44770</v>
      </c>
    </row>
    <row r="9256" spans="1:24">
      <c r="A9256">
        <f>HYPERLINK("https://www.philgeps.gov.ph/GEPSNONPILOT/Tender/SplashBidNoticeAbstractUI.aspx?menuIndex=3&amp;refID=7136161&amp;Result=3","7136161")</f>
        <v>0</v>
      </c>
      <c r="B9256" t="s">
        <v>704</v>
      </c>
      <c r="C9256" t="s">
        <v>12538</v>
      </c>
      <c r="D9256" t="s">
        <v>17987</v>
      </c>
      <c r="E9256" t="s">
        <v>26093</v>
      </c>
      <c r="F9256" t="s">
        <v>30900</v>
      </c>
      <c r="G9256" t="s">
        <v>30908</v>
      </c>
      <c r="H9256" t="s">
        <v>30916</v>
      </c>
      <c r="I9256" t="s">
        <v>10879</v>
      </c>
      <c r="J9256" t="s">
        <v>31355</v>
      </c>
      <c r="K9256" t="s">
        <v>40283</v>
      </c>
      <c r="M9256" t="s">
        <v>42242</v>
      </c>
      <c r="N9256" t="s">
        <v>44759</v>
      </c>
      <c r="O9256" t="s">
        <v>44760</v>
      </c>
      <c r="P9256">
        <v>0</v>
      </c>
      <c r="Q9256">
        <v>1</v>
      </c>
      <c r="R9256" t="s">
        <v>44769</v>
      </c>
      <c r="S9256" t="s">
        <v>45044</v>
      </c>
      <c r="T9256" t="s">
        <v>46662</v>
      </c>
      <c r="U9256" t="s">
        <v>54626</v>
      </c>
      <c r="W9256" t="s">
        <v>42242</v>
      </c>
      <c r="X9256" t="s">
        <v>44770</v>
      </c>
    </row>
    <row r="9257" spans="1:24">
      <c r="A9257">
        <f>HYPERLINK("https://www.philgeps.gov.ph/GEPSNONPILOT/Tender/SplashBidNoticeAbstractUI.aspx?menuIndex=3&amp;refID=7136139&amp;Result=3","7136139")</f>
        <v>0</v>
      </c>
      <c r="B9257" t="s">
        <v>551</v>
      </c>
      <c r="C9257" t="s">
        <v>12539</v>
      </c>
      <c r="D9257" t="s">
        <v>18004</v>
      </c>
      <c r="E9257" t="s">
        <v>26094</v>
      </c>
      <c r="F9257" t="s">
        <v>30900</v>
      </c>
      <c r="G9257" t="s">
        <v>30907</v>
      </c>
      <c r="H9257" t="s">
        <v>7411</v>
      </c>
      <c r="I9257" t="s">
        <v>7411</v>
      </c>
      <c r="J9257" t="s">
        <v>31211</v>
      </c>
      <c r="K9257" t="s">
        <v>40283</v>
      </c>
      <c r="M9257" t="s">
        <v>41112</v>
      </c>
      <c r="N9257" t="s">
        <v>44759</v>
      </c>
      <c r="O9257" t="s">
        <v>44760</v>
      </c>
      <c r="P9257">
        <v>0</v>
      </c>
      <c r="Q9257">
        <v>0</v>
      </c>
      <c r="R9257" t="s">
        <v>44769</v>
      </c>
      <c r="S9257" t="s">
        <v>45044</v>
      </c>
      <c r="T9257" t="s">
        <v>46519</v>
      </c>
      <c r="U9257" t="s">
        <v>54627</v>
      </c>
      <c r="W9257" t="s">
        <v>41112</v>
      </c>
      <c r="X9257" t="s">
        <v>44770</v>
      </c>
    </row>
    <row r="9258" spans="1:24">
      <c r="A9258">
        <f>HYPERLINK("https://www.philgeps.gov.ph/GEPSNONPILOT/Tender/SplashBidNoticeAbstractUI.aspx?menuIndex=3&amp;refID=7136144&amp;Result=3","7136144")</f>
        <v>0</v>
      </c>
      <c r="B9258" t="s">
        <v>2933</v>
      </c>
      <c r="C9258" t="s">
        <v>12540</v>
      </c>
      <c r="D9258" t="s">
        <v>17981</v>
      </c>
      <c r="E9258" t="s">
        <v>26095</v>
      </c>
      <c r="F9258" t="s">
        <v>30900</v>
      </c>
      <c r="G9258" t="s">
        <v>30906</v>
      </c>
      <c r="H9258" t="s">
        <v>30916</v>
      </c>
      <c r="I9258" t="s">
        <v>4965</v>
      </c>
      <c r="J9258" t="s">
        <v>31152</v>
      </c>
      <c r="K9258" t="s">
        <v>40286</v>
      </c>
      <c r="M9258" t="s">
        <v>43730</v>
      </c>
      <c r="N9258" t="s">
        <v>44759</v>
      </c>
      <c r="O9258" t="s">
        <v>44760</v>
      </c>
      <c r="P9258">
        <v>0</v>
      </c>
      <c r="Q9258">
        <v>5</v>
      </c>
      <c r="R9258" t="s">
        <v>44769</v>
      </c>
      <c r="S9258" t="s">
        <v>45044</v>
      </c>
      <c r="T9258" t="s">
        <v>46625</v>
      </c>
      <c r="U9258" t="s">
        <v>54628</v>
      </c>
      <c r="V9258" t="s">
        <v>60125</v>
      </c>
      <c r="W9258" t="s">
        <v>43730</v>
      </c>
      <c r="X9258" t="s">
        <v>44770</v>
      </c>
    </row>
    <row r="9259" spans="1:24">
      <c r="A9259">
        <f>HYPERLINK("https://www.philgeps.gov.ph/GEPSNONPILOT/Tender/SplashBidNoticeAbstractUI.aspx?menuIndex=3&amp;refID=7136141&amp;Result=3","7136141")</f>
        <v>0</v>
      </c>
      <c r="B9259" t="s">
        <v>2921</v>
      </c>
      <c r="C9259" t="s">
        <v>12541</v>
      </c>
      <c r="D9259" t="s">
        <v>17974</v>
      </c>
      <c r="E9259" t="s">
        <v>26090</v>
      </c>
      <c r="F9259" t="s">
        <v>30900</v>
      </c>
      <c r="G9259" t="s">
        <v>30907</v>
      </c>
      <c r="H9259" t="s">
        <v>30916</v>
      </c>
      <c r="I9259" t="s">
        <v>4545</v>
      </c>
      <c r="J9259" t="s">
        <v>36844</v>
      </c>
      <c r="K9259" t="s">
        <v>40286</v>
      </c>
      <c r="M9259" t="s">
        <v>43716</v>
      </c>
      <c r="N9259" t="s">
        <v>44759</v>
      </c>
      <c r="O9259" t="s">
        <v>44760</v>
      </c>
      <c r="P9259">
        <v>0</v>
      </c>
      <c r="Q9259">
        <v>3</v>
      </c>
      <c r="R9259" t="s">
        <v>44769</v>
      </c>
      <c r="S9259" t="s">
        <v>45044</v>
      </c>
      <c r="T9259" t="s">
        <v>46495</v>
      </c>
      <c r="U9259" t="s">
        <v>54623</v>
      </c>
      <c r="W9259" t="s">
        <v>43716</v>
      </c>
      <c r="X9259" t="s">
        <v>44770</v>
      </c>
    </row>
    <row r="9260" spans="1:24">
      <c r="A9260">
        <f>HYPERLINK("https://www.philgeps.gov.ph/GEPSNONPILOT/Tender/SplashBidNoticeAbstractUI.aspx?menuIndex=3&amp;refID=7136212&amp;Result=3","7136212")</f>
        <v>0</v>
      </c>
      <c r="B9260" t="s">
        <v>812</v>
      </c>
      <c r="C9260" t="s">
        <v>12542</v>
      </c>
      <c r="D9260" t="s">
        <v>18028</v>
      </c>
      <c r="E9260" t="s">
        <v>26096</v>
      </c>
      <c r="F9260" t="s">
        <v>30900</v>
      </c>
      <c r="G9260" t="s">
        <v>30907</v>
      </c>
      <c r="H9260" t="s">
        <v>30916</v>
      </c>
      <c r="I9260" t="s">
        <v>30923</v>
      </c>
      <c r="J9260" t="s">
        <v>36845</v>
      </c>
      <c r="K9260" t="s">
        <v>40283</v>
      </c>
      <c r="M9260" t="s">
        <v>41383</v>
      </c>
      <c r="N9260" t="s">
        <v>44759</v>
      </c>
      <c r="O9260" t="s">
        <v>44760</v>
      </c>
      <c r="P9260">
        <v>0</v>
      </c>
      <c r="Q9260">
        <v>12</v>
      </c>
      <c r="R9260" t="s">
        <v>44769</v>
      </c>
      <c r="S9260" t="s">
        <v>45044</v>
      </c>
      <c r="T9260" t="s">
        <v>46606</v>
      </c>
      <c r="U9260" t="s">
        <v>54629</v>
      </c>
      <c r="W9260" t="s">
        <v>41383</v>
      </c>
      <c r="X9260" t="s">
        <v>44770</v>
      </c>
    </row>
    <row r="9261" spans="1:24">
      <c r="A9261">
        <f>HYPERLINK("https://www.philgeps.gov.ph/GEPSNONPILOT/Tender/SplashBidNoticeAbstractUI.aspx?menuIndex=3&amp;refID=7136199&amp;Result=3","7136199")</f>
        <v>0</v>
      </c>
      <c r="B9261" t="s">
        <v>2809</v>
      </c>
      <c r="C9261" t="s">
        <v>12543</v>
      </c>
      <c r="D9261" t="s">
        <v>17961</v>
      </c>
      <c r="E9261" t="s">
        <v>25596</v>
      </c>
      <c r="F9261" t="s">
        <v>30900</v>
      </c>
      <c r="G9261" t="s">
        <v>30907</v>
      </c>
      <c r="H9261" t="s">
        <v>30916</v>
      </c>
      <c r="I9261" t="s">
        <v>15007</v>
      </c>
      <c r="J9261" t="s">
        <v>33481</v>
      </c>
      <c r="K9261" t="s">
        <v>40283</v>
      </c>
      <c r="M9261" t="s">
        <v>43594</v>
      </c>
      <c r="N9261" t="s">
        <v>44759</v>
      </c>
      <c r="O9261" t="s">
        <v>44760</v>
      </c>
      <c r="P9261">
        <v>0</v>
      </c>
      <c r="Q9261">
        <v>3</v>
      </c>
      <c r="R9261" t="s">
        <v>44769</v>
      </c>
      <c r="S9261" t="s">
        <v>45044</v>
      </c>
      <c r="T9261" t="s">
        <v>46410</v>
      </c>
      <c r="U9261" t="s">
        <v>54630</v>
      </c>
      <c r="W9261" t="s">
        <v>43594</v>
      </c>
      <c r="X9261" t="s">
        <v>44770</v>
      </c>
    </row>
    <row r="9262" spans="1:24">
      <c r="A9262">
        <f>HYPERLINK("https://www.philgeps.gov.ph/GEPSNONPILOT/Tender/SplashBidNoticeAbstractUI.aspx?menuIndex=3&amp;refID=7136198&amp;Result=3","7136198")</f>
        <v>0</v>
      </c>
      <c r="B9262" t="s">
        <v>2934</v>
      </c>
      <c r="C9262" t="s">
        <v>12544</v>
      </c>
      <c r="E9262" t="s">
        <v>26097</v>
      </c>
      <c r="F9262" t="s">
        <v>30900</v>
      </c>
      <c r="G9262" t="s">
        <v>30907</v>
      </c>
      <c r="H9262" t="s">
        <v>30916</v>
      </c>
      <c r="I9262" t="s">
        <v>8123</v>
      </c>
      <c r="J9262" t="s">
        <v>36846</v>
      </c>
      <c r="K9262" t="s">
        <v>40289</v>
      </c>
      <c r="M9262" t="s">
        <v>43731</v>
      </c>
      <c r="N9262" t="s">
        <v>44759</v>
      </c>
      <c r="O9262" t="s">
        <v>44760</v>
      </c>
      <c r="P9262">
        <v>0</v>
      </c>
      <c r="Q9262">
        <v>0</v>
      </c>
      <c r="R9262" t="s">
        <v>44769</v>
      </c>
      <c r="S9262" t="s">
        <v>45044</v>
      </c>
      <c r="T9262" t="s">
        <v>46591</v>
      </c>
      <c r="U9262" t="s">
        <v>54631</v>
      </c>
      <c r="W9262" t="s">
        <v>43731</v>
      </c>
      <c r="X9262" t="s">
        <v>44770</v>
      </c>
    </row>
    <row r="9263" spans="1:24">
      <c r="A9263">
        <f>HYPERLINK("https://www.philgeps.gov.ph/GEPSNONPILOT/Tender/SplashBidNoticeAbstractUI.aspx?menuIndex=3&amp;refID=7136197&amp;Result=3","7136197")</f>
        <v>0</v>
      </c>
      <c r="B9263" t="s">
        <v>267</v>
      </c>
      <c r="C9263" t="s">
        <v>12545</v>
      </c>
      <c r="D9263" t="s">
        <v>17959</v>
      </c>
      <c r="E9263" t="s">
        <v>26098</v>
      </c>
      <c r="F9263" t="s">
        <v>30900</v>
      </c>
      <c r="G9263" t="s">
        <v>30907</v>
      </c>
      <c r="H9263" t="s">
        <v>30916</v>
      </c>
      <c r="I9263" t="s">
        <v>4108</v>
      </c>
      <c r="J9263" t="s">
        <v>36847</v>
      </c>
      <c r="K9263" t="s">
        <v>40283</v>
      </c>
      <c r="M9263" t="s">
        <v>41338</v>
      </c>
      <c r="N9263" t="s">
        <v>44759</v>
      </c>
      <c r="O9263" t="s">
        <v>44760</v>
      </c>
      <c r="P9263">
        <v>0</v>
      </c>
      <c r="Q9263">
        <v>7</v>
      </c>
      <c r="R9263" t="s">
        <v>44769</v>
      </c>
      <c r="S9263" t="s">
        <v>45044</v>
      </c>
      <c r="T9263" t="s">
        <v>46544</v>
      </c>
      <c r="U9263" t="s">
        <v>54632</v>
      </c>
      <c r="W9263" t="s">
        <v>41338</v>
      </c>
      <c r="X9263" t="s">
        <v>44770</v>
      </c>
    </row>
    <row r="9264" spans="1:24">
      <c r="A9264">
        <f>HYPERLINK("https://www.philgeps.gov.ph/GEPSNONPILOT/Tender/SplashBidNoticeAbstractUI.aspx?menuIndex=3&amp;refID=7136211&amp;Result=3","7136211")</f>
        <v>0</v>
      </c>
      <c r="B9264" t="s">
        <v>459</v>
      </c>
      <c r="C9264" t="s">
        <v>12546</v>
      </c>
      <c r="D9264" t="s">
        <v>17978</v>
      </c>
      <c r="E9264" t="s">
        <v>26099</v>
      </c>
      <c r="F9264" t="s">
        <v>30900</v>
      </c>
      <c r="G9264" t="s">
        <v>30908</v>
      </c>
      <c r="H9264" t="s">
        <v>30916</v>
      </c>
      <c r="I9264" t="s">
        <v>8044</v>
      </c>
      <c r="J9264" t="s">
        <v>36848</v>
      </c>
      <c r="K9264" t="s">
        <v>40288</v>
      </c>
      <c r="M9264" t="s">
        <v>41017</v>
      </c>
      <c r="N9264" t="s">
        <v>44759</v>
      </c>
      <c r="O9264" t="s">
        <v>44760</v>
      </c>
      <c r="P9264">
        <v>0</v>
      </c>
      <c r="Q9264">
        <v>3</v>
      </c>
      <c r="R9264" t="s">
        <v>44769</v>
      </c>
      <c r="S9264" t="s">
        <v>45044</v>
      </c>
      <c r="T9264" t="s">
        <v>46658</v>
      </c>
      <c r="U9264" t="s">
        <v>54633</v>
      </c>
      <c r="W9264" t="s">
        <v>41017</v>
      </c>
      <c r="X9264" t="s">
        <v>44770</v>
      </c>
    </row>
    <row r="9265" spans="1:24">
      <c r="A9265">
        <f>HYPERLINK("https://www.philgeps.gov.ph/GEPSNONPILOT/Tender/SplashBidNoticeAbstractUI.aspx?menuIndex=3&amp;refID=7136189&amp;Result=3","7136189")</f>
        <v>0</v>
      </c>
      <c r="B9265" t="s">
        <v>1009</v>
      </c>
      <c r="C9265" t="s">
        <v>12547</v>
      </c>
      <c r="D9265" t="s">
        <v>17980</v>
      </c>
      <c r="E9265" t="s">
        <v>26100</v>
      </c>
      <c r="F9265" t="s">
        <v>30900</v>
      </c>
      <c r="G9265" t="s">
        <v>30907</v>
      </c>
      <c r="H9265" t="s">
        <v>30916</v>
      </c>
      <c r="I9265" t="s">
        <v>10961</v>
      </c>
      <c r="J9265" t="s">
        <v>31897</v>
      </c>
      <c r="K9265" t="s">
        <v>40304</v>
      </c>
      <c r="M9265" t="s">
        <v>41598</v>
      </c>
      <c r="N9265" t="s">
        <v>44759</v>
      </c>
      <c r="O9265" t="s">
        <v>44760</v>
      </c>
      <c r="P9265">
        <v>0</v>
      </c>
      <c r="Q9265">
        <v>6</v>
      </c>
      <c r="R9265" t="s">
        <v>44769</v>
      </c>
      <c r="S9265" t="s">
        <v>45044</v>
      </c>
      <c r="T9265" t="s">
        <v>46411</v>
      </c>
      <c r="U9265" t="s">
        <v>54634</v>
      </c>
      <c r="W9265" t="s">
        <v>41598</v>
      </c>
      <c r="X9265" t="s">
        <v>44770</v>
      </c>
    </row>
    <row r="9266" spans="1:24">
      <c r="A9266">
        <f>HYPERLINK("https://www.philgeps.gov.ph/GEPSNONPILOT/Tender/SplashBidNoticeAbstractUI.aspx?menuIndex=3&amp;refID=7136187&amp;Result=3","7136187")</f>
        <v>0</v>
      </c>
      <c r="B9266" t="s">
        <v>2935</v>
      </c>
      <c r="C9266" t="s">
        <v>12548</v>
      </c>
      <c r="D9266" t="s">
        <v>17978</v>
      </c>
      <c r="E9266" t="s">
        <v>26101</v>
      </c>
      <c r="F9266" t="s">
        <v>30900</v>
      </c>
      <c r="G9266" t="s">
        <v>30907</v>
      </c>
      <c r="H9266" t="s">
        <v>30915</v>
      </c>
      <c r="I9266" t="s">
        <v>30919</v>
      </c>
      <c r="J9266" t="s">
        <v>31263</v>
      </c>
      <c r="K9266" t="s">
        <v>40286</v>
      </c>
      <c r="M9266" t="s">
        <v>43732</v>
      </c>
      <c r="N9266" t="s">
        <v>44759</v>
      </c>
      <c r="O9266" t="s">
        <v>44760</v>
      </c>
      <c r="P9266">
        <v>0</v>
      </c>
      <c r="Q9266">
        <v>1</v>
      </c>
      <c r="R9266" t="s">
        <v>44769</v>
      </c>
      <c r="S9266" t="s">
        <v>45044</v>
      </c>
      <c r="T9266" t="s">
        <v>46700</v>
      </c>
      <c r="U9266" t="s">
        <v>54635</v>
      </c>
      <c r="W9266" t="s">
        <v>43732</v>
      </c>
      <c r="X9266" t="s">
        <v>44770</v>
      </c>
    </row>
    <row r="9267" spans="1:24">
      <c r="A9267">
        <f>HYPERLINK("https://www.philgeps.gov.ph/GEPSNONPILOT/Tender/SplashBidNoticeAbstractUI.aspx?menuIndex=3&amp;refID=7136186&amp;Result=3","7136186")</f>
        <v>0</v>
      </c>
      <c r="B9267" t="s">
        <v>2809</v>
      </c>
      <c r="C9267" t="s">
        <v>12549</v>
      </c>
      <c r="D9267" t="s">
        <v>17961</v>
      </c>
      <c r="E9267" t="s">
        <v>25596</v>
      </c>
      <c r="F9267" t="s">
        <v>30900</v>
      </c>
      <c r="G9267" t="s">
        <v>30907</v>
      </c>
      <c r="H9267" t="s">
        <v>30916</v>
      </c>
      <c r="I9267" t="s">
        <v>30924</v>
      </c>
      <c r="J9267" t="s">
        <v>31669</v>
      </c>
      <c r="K9267" t="s">
        <v>40283</v>
      </c>
      <c r="M9267" t="s">
        <v>43594</v>
      </c>
      <c r="N9267" t="s">
        <v>44759</v>
      </c>
      <c r="O9267" t="s">
        <v>44760</v>
      </c>
      <c r="P9267">
        <v>0</v>
      </c>
      <c r="Q9267">
        <v>2</v>
      </c>
      <c r="R9267" t="s">
        <v>44769</v>
      </c>
      <c r="S9267" t="s">
        <v>45044</v>
      </c>
      <c r="T9267" t="s">
        <v>46410</v>
      </c>
      <c r="U9267" t="s">
        <v>54636</v>
      </c>
      <c r="W9267" t="s">
        <v>43594</v>
      </c>
      <c r="X9267" t="s">
        <v>44770</v>
      </c>
    </row>
    <row r="9268" spans="1:24">
      <c r="A9268">
        <f>HYPERLINK("https://www.philgeps.gov.ph/GEPSNONPILOT/Tender/SplashBidNoticeAbstractUI.aspx?menuIndex=3&amp;refID=7136113&amp;Result=3","7136113")</f>
        <v>0</v>
      </c>
      <c r="B9268" t="s">
        <v>28</v>
      </c>
      <c r="C9268" t="s">
        <v>12550</v>
      </c>
      <c r="D9268" t="s">
        <v>17955</v>
      </c>
      <c r="E9268" t="s">
        <v>26102</v>
      </c>
      <c r="F9268" t="s">
        <v>30900</v>
      </c>
      <c r="G9268" t="s">
        <v>30907</v>
      </c>
      <c r="H9268" t="s">
        <v>30915</v>
      </c>
      <c r="I9268" t="s">
        <v>30919</v>
      </c>
      <c r="J9268" t="s">
        <v>35232</v>
      </c>
      <c r="K9268" t="s">
        <v>40341</v>
      </c>
      <c r="M9268" t="s">
        <v>40574</v>
      </c>
      <c r="N9268" t="s">
        <v>44759</v>
      </c>
      <c r="O9268" t="s">
        <v>44760</v>
      </c>
      <c r="Q9268">
        <v>9</v>
      </c>
      <c r="R9268" t="s">
        <v>44769</v>
      </c>
      <c r="S9268" t="s">
        <v>44913</v>
      </c>
      <c r="T9268" t="s">
        <v>46428</v>
      </c>
      <c r="U9268" t="s">
        <v>54637</v>
      </c>
      <c r="W9268" t="s">
        <v>40574</v>
      </c>
      <c r="X9268" t="s">
        <v>44770</v>
      </c>
    </row>
    <row r="9269" spans="1:24">
      <c r="A9269">
        <f>HYPERLINK("https://www.philgeps.gov.ph/GEPSNONPILOT/Tender/SplashBidNoticeAbstractUI.aspx?menuIndex=3&amp;refID=7136200&amp;Result=3","7136200")</f>
        <v>0</v>
      </c>
      <c r="B9269" t="s">
        <v>812</v>
      </c>
      <c r="C9269" t="s">
        <v>12551</v>
      </c>
      <c r="D9269" t="s">
        <v>18028</v>
      </c>
      <c r="E9269" t="s">
        <v>26103</v>
      </c>
      <c r="F9269" t="s">
        <v>30900</v>
      </c>
      <c r="G9269" t="s">
        <v>30907</v>
      </c>
      <c r="H9269" t="s">
        <v>30916</v>
      </c>
      <c r="I9269" t="s">
        <v>30921</v>
      </c>
      <c r="J9269" t="s">
        <v>36849</v>
      </c>
      <c r="K9269" t="s">
        <v>40283</v>
      </c>
      <c r="M9269" t="s">
        <v>41383</v>
      </c>
      <c r="N9269" t="s">
        <v>44759</v>
      </c>
      <c r="O9269" t="s">
        <v>44760</v>
      </c>
      <c r="P9269">
        <v>0</v>
      </c>
      <c r="Q9269">
        <v>1</v>
      </c>
      <c r="R9269" t="s">
        <v>44769</v>
      </c>
      <c r="S9269" t="s">
        <v>45044</v>
      </c>
      <c r="T9269" t="s">
        <v>46606</v>
      </c>
      <c r="U9269" t="s">
        <v>54638</v>
      </c>
      <c r="W9269" t="s">
        <v>41383</v>
      </c>
      <c r="X9269" t="s">
        <v>44770</v>
      </c>
    </row>
    <row r="9270" spans="1:24">
      <c r="A9270">
        <f>HYPERLINK("https://www.philgeps.gov.ph/GEPSNONPILOT/Tender/SplashBidNoticeAbstractUI.aspx?menuIndex=3&amp;refID=7136180&amp;Result=3","7136180")</f>
        <v>0</v>
      </c>
      <c r="B9270" t="s">
        <v>704</v>
      </c>
      <c r="C9270" t="s">
        <v>12552</v>
      </c>
      <c r="D9270" t="s">
        <v>17987</v>
      </c>
      <c r="E9270" t="s">
        <v>26104</v>
      </c>
      <c r="F9270" t="s">
        <v>30900</v>
      </c>
      <c r="G9270" t="s">
        <v>30908</v>
      </c>
      <c r="H9270" t="s">
        <v>30916</v>
      </c>
      <c r="I9270" t="s">
        <v>30997</v>
      </c>
      <c r="J9270" t="s">
        <v>33353</v>
      </c>
      <c r="K9270" t="s">
        <v>40283</v>
      </c>
      <c r="M9270" t="s">
        <v>42242</v>
      </c>
      <c r="N9270" t="s">
        <v>44759</v>
      </c>
      <c r="O9270" t="s">
        <v>44760</v>
      </c>
      <c r="P9270">
        <v>0</v>
      </c>
      <c r="Q9270">
        <v>0</v>
      </c>
      <c r="R9270" t="s">
        <v>44769</v>
      </c>
      <c r="S9270" t="s">
        <v>45044</v>
      </c>
      <c r="T9270" t="s">
        <v>46662</v>
      </c>
      <c r="U9270" t="s">
        <v>54639</v>
      </c>
      <c r="W9270" t="s">
        <v>42242</v>
      </c>
      <c r="X9270" t="s">
        <v>44770</v>
      </c>
    </row>
    <row r="9271" spans="1:24">
      <c r="A9271">
        <f>HYPERLINK("https://www.philgeps.gov.ph/GEPSNONPILOT/Tender/SplashBidNoticeAbstractUI.aspx?menuIndex=3&amp;refID=7136279&amp;Result=3","7136279")</f>
        <v>0</v>
      </c>
      <c r="B9271" t="s">
        <v>1100</v>
      </c>
      <c r="C9271" t="s">
        <v>12553</v>
      </c>
      <c r="D9271" t="s">
        <v>17980</v>
      </c>
      <c r="E9271" t="s">
        <v>26105</v>
      </c>
      <c r="F9271" t="s">
        <v>30900</v>
      </c>
      <c r="G9271" t="s">
        <v>30909</v>
      </c>
      <c r="H9271" t="s">
        <v>30916</v>
      </c>
      <c r="I9271" t="s">
        <v>30997</v>
      </c>
      <c r="J9271" t="s">
        <v>36850</v>
      </c>
      <c r="K9271" t="s">
        <v>40289</v>
      </c>
      <c r="M9271" t="s">
        <v>41789</v>
      </c>
      <c r="N9271" t="s">
        <v>44759</v>
      </c>
      <c r="O9271" t="s">
        <v>44760</v>
      </c>
      <c r="P9271">
        <v>0</v>
      </c>
      <c r="Q9271">
        <v>2</v>
      </c>
      <c r="R9271" t="s">
        <v>44769</v>
      </c>
      <c r="S9271" t="s">
        <v>45044</v>
      </c>
      <c r="T9271" t="s">
        <v>46548</v>
      </c>
      <c r="U9271" t="s">
        <v>54640</v>
      </c>
      <c r="W9271" t="s">
        <v>41789</v>
      </c>
      <c r="X9271" t="s">
        <v>44770</v>
      </c>
    </row>
    <row r="9272" spans="1:24">
      <c r="A9272">
        <f>HYPERLINK("https://www.philgeps.gov.ph/GEPSNONPILOT/Tender/SplashBidNoticeAbstractUI.aspx?menuIndex=3&amp;refID=7136301&amp;Result=3","7136301")</f>
        <v>0</v>
      </c>
      <c r="B9272" t="s">
        <v>232</v>
      </c>
      <c r="C9272" t="s">
        <v>12554</v>
      </c>
      <c r="D9272" t="s">
        <v>17987</v>
      </c>
      <c r="E9272" t="s">
        <v>26106</v>
      </c>
      <c r="F9272" t="s">
        <v>30899</v>
      </c>
      <c r="G9272" t="s">
        <v>30907</v>
      </c>
      <c r="H9272" t="s">
        <v>30915</v>
      </c>
      <c r="I9272" t="s">
        <v>30919</v>
      </c>
      <c r="J9272" t="s">
        <v>31152</v>
      </c>
      <c r="K9272" t="s">
        <v>40469</v>
      </c>
      <c r="M9272" t="s">
        <v>40779</v>
      </c>
      <c r="N9272" t="s">
        <v>44759</v>
      </c>
      <c r="O9272" t="s">
        <v>44760</v>
      </c>
      <c r="P9272">
        <v>0</v>
      </c>
      <c r="Q9272">
        <v>0</v>
      </c>
      <c r="R9272" t="s">
        <v>44769</v>
      </c>
      <c r="S9272" t="s">
        <v>45044</v>
      </c>
      <c r="T9272" t="s">
        <v>46614</v>
      </c>
      <c r="U9272" t="s">
        <v>54641</v>
      </c>
      <c r="W9272" t="s">
        <v>40779</v>
      </c>
      <c r="X9272" t="s">
        <v>44770</v>
      </c>
    </row>
    <row r="9273" spans="1:24">
      <c r="A9273">
        <f>HYPERLINK("https://www.philgeps.gov.ph/GEPSNONPILOT/Tender/SplashBidNoticeAbstractUI.aspx?menuIndex=3&amp;refID=7136297&amp;Result=3","7136297")</f>
        <v>0</v>
      </c>
      <c r="B9273" t="s">
        <v>2936</v>
      </c>
      <c r="C9273" t="s">
        <v>8615</v>
      </c>
      <c r="D9273" t="s">
        <v>17984</v>
      </c>
      <c r="E9273" t="s">
        <v>20338</v>
      </c>
      <c r="F9273" t="s">
        <v>30900</v>
      </c>
      <c r="G9273" t="s">
        <v>30907</v>
      </c>
      <c r="H9273" t="s">
        <v>30915</v>
      </c>
      <c r="I9273" t="s">
        <v>30919</v>
      </c>
      <c r="J9273" t="s">
        <v>36851</v>
      </c>
      <c r="K9273" t="s">
        <v>40408</v>
      </c>
      <c r="M9273" t="s">
        <v>43733</v>
      </c>
      <c r="N9273" t="s">
        <v>44759</v>
      </c>
      <c r="O9273" t="s">
        <v>44760</v>
      </c>
      <c r="P9273">
        <v>0</v>
      </c>
      <c r="Q9273">
        <v>0</v>
      </c>
      <c r="R9273" t="s">
        <v>44769</v>
      </c>
      <c r="S9273" t="s">
        <v>45044</v>
      </c>
      <c r="T9273" t="s">
        <v>46376</v>
      </c>
      <c r="U9273" t="s">
        <v>54642</v>
      </c>
      <c r="W9273" t="s">
        <v>43733</v>
      </c>
      <c r="X9273" t="s">
        <v>44770</v>
      </c>
    </row>
    <row r="9274" spans="1:24">
      <c r="A9274">
        <f>HYPERLINK("https://www.philgeps.gov.ph/GEPSNONPILOT/Tender/SplashBidNoticeAbstractUI.aspx?menuIndex=3&amp;refID=7136188&amp;Result=3","7136188")</f>
        <v>0</v>
      </c>
      <c r="B9274" t="s">
        <v>2921</v>
      </c>
      <c r="C9274" t="s">
        <v>12555</v>
      </c>
      <c r="D9274" t="s">
        <v>17974</v>
      </c>
      <c r="E9274" t="s">
        <v>26107</v>
      </c>
      <c r="F9274" t="s">
        <v>30900</v>
      </c>
      <c r="G9274" t="s">
        <v>30907</v>
      </c>
      <c r="H9274" t="s">
        <v>30916</v>
      </c>
      <c r="I9274" t="s">
        <v>8123</v>
      </c>
      <c r="J9274" t="s">
        <v>32157</v>
      </c>
      <c r="K9274" t="s">
        <v>40286</v>
      </c>
      <c r="M9274" t="s">
        <v>43716</v>
      </c>
      <c r="N9274" t="s">
        <v>44759</v>
      </c>
      <c r="O9274" t="s">
        <v>44760</v>
      </c>
      <c r="P9274">
        <v>0</v>
      </c>
      <c r="Q9274">
        <v>0</v>
      </c>
      <c r="R9274" t="s">
        <v>44769</v>
      </c>
      <c r="S9274" t="s">
        <v>45044</v>
      </c>
      <c r="T9274" t="s">
        <v>46495</v>
      </c>
      <c r="U9274" t="s">
        <v>54643</v>
      </c>
      <c r="W9274" t="s">
        <v>43716</v>
      </c>
      <c r="X9274" t="s">
        <v>44770</v>
      </c>
    </row>
    <row r="9275" spans="1:24">
      <c r="A9275">
        <f>HYPERLINK("https://www.philgeps.gov.ph/GEPSNONPILOT/Tender/SplashBidNoticeAbstractUI.aspx?menuIndex=3&amp;refID=7136116&amp;Result=3","7136116")</f>
        <v>0</v>
      </c>
      <c r="B9275" t="s">
        <v>1246</v>
      </c>
      <c r="C9275" t="s">
        <v>12556</v>
      </c>
      <c r="E9275" t="s">
        <v>26108</v>
      </c>
      <c r="F9275" t="s">
        <v>30900</v>
      </c>
      <c r="G9275" t="s">
        <v>30907</v>
      </c>
      <c r="H9275" t="s">
        <v>30916</v>
      </c>
      <c r="I9275" t="s">
        <v>8123</v>
      </c>
      <c r="J9275" t="s">
        <v>36852</v>
      </c>
      <c r="K9275" t="s">
        <v>40289</v>
      </c>
      <c r="M9275" t="s">
        <v>41858</v>
      </c>
      <c r="N9275" t="s">
        <v>44759</v>
      </c>
      <c r="O9275" t="s">
        <v>44760</v>
      </c>
      <c r="P9275">
        <v>0</v>
      </c>
      <c r="Q9275">
        <v>1</v>
      </c>
      <c r="R9275" t="s">
        <v>44769</v>
      </c>
      <c r="S9275" t="s">
        <v>45044</v>
      </c>
      <c r="T9275" t="s">
        <v>46694</v>
      </c>
      <c r="U9275" t="s">
        <v>54621</v>
      </c>
      <c r="W9275" t="s">
        <v>41858</v>
      </c>
      <c r="X9275" t="s">
        <v>44770</v>
      </c>
    </row>
    <row r="9276" spans="1:24">
      <c r="A9276">
        <f>HYPERLINK("https://www.philgeps.gov.ph/GEPSNONPILOT/Tender/SplashBidNoticeAbstractUI.aspx?menuIndex=3&amp;refID=7136185&amp;Result=3","7136185")</f>
        <v>0</v>
      </c>
      <c r="B9276" t="s">
        <v>2937</v>
      </c>
      <c r="C9276" t="s">
        <v>12557</v>
      </c>
      <c r="D9276" t="s">
        <v>17953</v>
      </c>
      <c r="E9276" t="s">
        <v>24954</v>
      </c>
      <c r="F9276" t="s">
        <v>30900</v>
      </c>
      <c r="G9276" t="s">
        <v>30907</v>
      </c>
      <c r="H9276" t="s">
        <v>30916</v>
      </c>
      <c r="I9276" t="s">
        <v>30923</v>
      </c>
      <c r="J9276" t="s">
        <v>36853</v>
      </c>
      <c r="K9276" t="s">
        <v>40288</v>
      </c>
      <c r="M9276" t="s">
        <v>43734</v>
      </c>
      <c r="N9276" t="s">
        <v>44759</v>
      </c>
      <c r="O9276" t="s">
        <v>44760</v>
      </c>
      <c r="P9276">
        <v>0</v>
      </c>
      <c r="Q9276">
        <v>7</v>
      </c>
      <c r="R9276" t="s">
        <v>44769</v>
      </c>
      <c r="S9276" t="s">
        <v>45044</v>
      </c>
      <c r="T9276" t="s">
        <v>46544</v>
      </c>
      <c r="U9276" t="s">
        <v>54644</v>
      </c>
      <c r="W9276" t="s">
        <v>43734</v>
      </c>
      <c r="X9276" t="s">
        <v>44770</v>
      </c>
    </row>
    <row r="9277" spans="1:24">
      <c r="A9277">
        <f>HYPERLINK("https://www.philgeps.gov.ph/GEPSNONPILOT/Tender/SplashBidNoticeAbstractUI.aspx?menuIndex=3&amp;refID=7136295&amp;Result=3","7136295")</f>
        <v>0</v>
      </c>
      <c r="B9277" t="s">
        <v>1399</v>
      </c>
      <c r="C9277" t="s">
        <v>12558</v>
      </c>
      <c r="D9277" t="s">
        <v>18017</v>
      </c>
      <c r="E9277" t="s">
        <v>26109</v>
      </c>
      <c r="F9277" t="s">
        <v>30900</v>
      </c>
      <c r="G9277" t="s">
        <v>30907</v>
      </c>
      <c r="H9277" t="s">
        <v>30915</v>
      </c>
      <c r="I9277" t="s">
        <v>30919</v>
      </c>
      <c r="J9277" t="s">
        <v>36854</v>
      </c>
      <c r="K9277" t="s">
        <v>40470</v>
      </c>
      <c r="M9277" t="s">
        <v>42025</v>
      </c>
      <c r="N9277" t="s">
        <v>44759</v>
      </c>
      <c r="O9277" t="s">
        <v>44760</v>
      </c>
      <c r="P9277">
        <v>0</v>
      </c>
      <c r="Q9277">
        <v>3</v>
      </c>
      <c r="R9277" t="s">
        <v>44769</v>
      </c>
      <c r="S9277" t="s">
        <v>45044</v>
      </c>
      <c r="T9277" t="s">
        <v>46455</v>
      </c>
      <c r="U9277" t="s">
        <v>54645</v>
      </c>
      <c r="W9277" t="s">
        <v>42025</v>
      </c>
      <c r="X9277" t="s">
        <v>44770</v>
      </c>
    </row>
    <row r="9278" spans="1:24">
      <c r="A9278">
        <f>HYPERLINK("https://www.philgeps.gov.ph/GEPSNONPILOT/Tender/SplashBidNoticeAbstractUI.aspx?menuIndex=3&amp;refID=7136288&amp;Result=3","7136288")</f>
        <v>0</v>
      </c>
      <c r="B9278" t="s">
        <v>2072</v>
      </c>
      <c r="C9278" t="s">
        <v>12559</v>
      </c>
      <c r="D9278" t="s">
        <v>17951</v>
      </c>
      <c r="E9278" t="s">
        <v>26110</v>
      </c>
      <c r="F9278" t="s">
        <v>30900</v>
      </c>
      <c r="G9278" t="s">
        <v>30907</v>
      </c>
      <c r="H9278" t="s">
        <v>30915</v>
      </c>
      <c r="I9278" t="s">
        <v>30919</v>
      </c>
      <c r="J9278" t="s">
        <v>36855</v>
      </c>
      <c r="K9278" t="s">
        <v>40292</v>
      </c>
      <c r="M9278" t="s">
        <v>42771</v>
      </c>
      <c r="N9278" t="s">
        <v>44759</v>
      </c>
      <c r="O9278" t="s">
        <v>44760</v>
      </c>
      <c r="P9278">
        <v>0</v>
      </c>
      <c r="Q9278">
        <v>0</v>
      </c>
      <c r="R9278" t="s">
        <v>44769</v>
      </c>
      <c r="S9278" t="s">
        <v>45044</v>
      </c>
      <c r="T9278" t="s">
        <v>46805</v>
      </c>
      <c r="U9278" t="s">
        <v>54646</v>
      </c>
      <c r="W9278" t="s">
        <v>42771</v>
      </c>
      <c r="X9278" t="s">
        <v>44770</v>
      </c>
    </row>
    <row r="9279" spans="1:24">
      <c r="A9279">
        <f>HYPERLINK("https://www.philgeps.gov.ph/GEPSNONPILOT/Tender/SplashBidNoticeAbstractUI.aspx?menuIndex=3&amp;refID=7136275&amp;Result=3","7136275")</f>
        <v>0</v>
      </c>
      <c r="B9279" t="s">
        <v>2938</v>
      </c>
      <c r="C9279" t="s">
        <v>12560</v>
      </c>
      <c r="D9279" t="s">
        <v>17959</v>
      </c>
      <c r="E9279" t="s">
        <v>26111</v>
      </c>
      <c r="F9279" t="s">
        <v>30900</v>
      </c>
      <c r="G9279" t="s">
        <v>30907</v>
      </c>
      <c r="H9279" t="s">
        <v>30917</v>
      </c>
      <c r="I9279" t="s">
        <v>30924</v>
      </c>
      <c r="J9279" t="s">
        <v>32125</v>
      </c>
      <c r="K9279" t="s">
        <v>40286</v>
      </c>
      <c r="M9279" t="s">
        <v>43735</v>
      </c>
      <c r="N9279" t="s">
        <v>44759</v>
      </c>
      <c r="O9279" t="s">
        <v>44760</v>
      </c>
      <c r="P9279">
        <v>0</v>
      </c>
      <c r="Q9279">
        <v>17</v>
      </c>
      <c r="R9279" t="s">
        <v>44769</v>
      </c>
      <c r="S9279" t="s">
        <v>45044</v>
      </c>
      <c r="T9279" t="s">
        <v>46549</v>
      </c>
      <c r="U9279" t="s">
        <v>54647</v>
      </c>
      <c r="W9279" t="s">
        <v>43735</v>
      </c>
      <c r="X9279" t="s">
        <v>44770</v>
      </c>
    </row>
    <row r="9280" spans="1:24">
      <c r="A9280">
        <f>HYPERLINK("https://www.philgeps.gov.ph/GEPSNONPILOT/Tender/SplashBidNoticeAbstractUI.aspx?menuIndex=3&amp;refID=7136268&amp;Result=3","7136268")</f>
        <v>0</v>
      </c>
      <c r="B9280" t="s">
        <v>2939</v>
      </c>
      <c r="C9280" t="s">
        <v>12561</v>
      </c>
      <c r="D9280" t="s">
        <v>17973</v>
      </c>
      <c r="E9280" t="s">
        <v>19262</v>
      </c>
      <c r="F9280" t="s">
        <v>30900</v>
      </c>
      <c r="G9280" t="s">
        <v>30907</v>
      </c>
      <c r="H9280" t="s">
        <v>30916</v>
      </c>
      <c r="I9280" t="s">
        <v>30919</v>
      </c>
      <c r="J9280" t="s">
        <v>32792</v>
      </c>
      <c r="K9280" t="s">
        <v>40284</v>
      </c>
      <c r="M9280" t="s">
        <v>43736</v>
      </c>
      <c r="N9280" t="s">
        <v>44759</v>
      </c>
      <c r="O9280" t="s">
        <v>44760</v>
      </c>
      <c r="P9280">
        <v>0</v>
      </c>
      <c r="Q9280">
        <v>0</v>
      </c>
      <c r="R9280" t="s">
        <v>44769</v>
      </c>
      <c r="S9280" t="s">
        <v>45044</v>
      </c>
      <c r="T9280" t="s">
        <v>46399</v>
      </c>
      <c r="U9280" t="s">
        <v>54648</v>
      </c>
      <c r="W9280" t="s">
        <v>43736</v>
      </c>
      <c r="X9280" t="s">
        <v>44770</v>
      </c>
    </row>
    <row r="9281" spans="1:24">
      <c r="A9281">
        <f>HYPERLINK("https://www.philgeps.gov.ph/GEPSNONPILOT/Tender/SplashBidNoticeAbstractUI.aspx?menuIndex=3&amp;refID=7136264&amp;Result=3","7136264")</f>
        <v>0</v>
      </c>
      <c r="B9281" t="s">
        <v>2937</v>
      </c>
      <c r="C9281" t="s">
        <v>12562</v>
      </c>
      <c r="D9281" t="s">
        <v>17953</v>
      </c>
      <c r="E9281" t="s">
        <v>24727</v>
      </c>
      <c r="F9281" t="s">
        <v>30900</v>
      </c>
      <c r="G9281" t="s">
        <v>30907</v>
      </c>
      <c r="H9281" t="s">
        <v>30916</v>
      </c>
      <c r="I9281" t="s">
        <v>8123</v>
      </c>
      <c r="J9281" t="s">
        <v>36856</v>
      </c>
      <c r="K9281" t="s">
        <v>40283</v>
      </c>
      <c r="M9281" t="s">
        <v>43734</v>
      </c>
      <c r="N9281" t="s">
        <v>44759</v>
      </c>
      <c r="O9281" t="s">
        <v>44760</v>
      </c>
      <c r="P9281">
        <v>0</v>
      </c>
      <c r="Q9281">
        <v>0</v>
      </c>
      <c r="R9281" t="s">
        <v>44769</v>
      </c>
      <c r="S9281" t="s">
        <v>45044</v>
      </c>
      <c r="T9281" t="s">
        <v>46544</v>
      </c>
      <c r="U9281" t="s">
        <v>54649</v>
      </c>
      <c r="W9281" t="s">
        <v>43734</v>
      </c>
      <c r="X9281" t="s">
        <v>44770</v>
      </c>
    </row>
    <row r="9282" spans="1:24">
      <c r="A9282">
        <f>HYPERLINK("https://www.philgeps.gov.ph/GEPSNONPILOT/Tender/SplashBidNoticeAbstractUI.aspx?menuIndex=3&amp;refID=7136119&amp;Result=3","7136119")</f>
        <v>0</v>
      </c>
      <c r="B9282" t="s">
        <v>2940</v>
      </c>
      <c r="C9282" t="s">
        <v>12563</v>
      </c>
      <c r="E9282" t="s">
        <v>20245</v>
      </c>
      <c r="F9282" t="s">
        <v>30900</v>
      </c>
      <c r="G9282" t="s">
        <v>30907</v>
      </c>
      <c r="H9282" t="s">
        <v>30915</v>
      </c>
      <c r="I9282" t="s">
        <v>30919</v>
      </c>
      <c r="J9282" t="s">
        <v>35714</v>
      </c>
      <c r="K9282" t="s">
        <v>40471</v>
      </c>
      <c r="M9282" t="s">
        <v>43737</v>
      </c>
      <c r="N9282" t="s">
        <v>44759</v>
      </c>
      <c r="O9282" t="s">
        <v>44760</v>
      </c>
      <c r="P9282">
        <v>0</v>
      </c>
      <c r="Q9282">
        <v>22</v>
      </c>
      <c r="R9282" t="s">
        <v>44769</v>
      </c>
      <c r="S9282" t="s">
        <v>45044</v>
      </c>
      <c r="T9282" t="s">
        <v>46411</v>
      </c>
      <c r="U9282" t="s">
        <v>54650</v>
      </c>
      <c r="W9282" t="s">
        <v>43737</v>
      </c>
      <c r="X9282" t="s">
        <v>44770</v>
      </c>
    </row>
    <row r="9283" spans="1:24">
      <c r="A9283">
        <f>HYPERLINK("https://www.philgeps.gov.ph/GEPSNONPILOT/Tender/SplashBidNoticeAbstractUI.aspx?menuIndex=3&amp;refID=7136267&amp;Result=3","7136267")</f>
        <v>0</v>
      </c>
      <c r="B9283" t="s">
        <v>232</v>
      </c>
      <c r="C9283" t="s">
        <v>12564</v>
      </c>
      <c r="D9283" t="s">
        <v>17987</v>
      </c>
      <c r="E9283" t="s">
        <v>26112</v>
      </c>
      <c r="F9283" t="s">
        <v>30899</v>
      </c>
      <c r="G9283" t="s">
        <v>30907</v>
      </c>
      <c r="H9283" t="s">
        <v>30915</v>
      </c>
      <c r="I9283" t="s">
        <v>30919</v>
      </c>
      <c r="J9283" t="s">
        <v>31391</v>
      </c>
      <c r="K9283" t="s">
        <v>40391</v>
      </c>
      <c r="M9283" t="s">
        <v>40779</v>
      </c>
      <c r="N9283" t="s">
        <v>44759</v>
      </c>
      <c r="O9283" t="s">
        <v>44760</v>
      </c>
      <c r="P9283">
        <v>0</v>
      </c>
      <c r="Q9283">
        <v>0</v>
      </c>
      <c r="R9283" t="s">
        <v>44769</v>
      </c>
      <c r="S9283" t="s">
        <v>45044</v>
      </c>
      <c r="T9283" t="s">
        <v>46387</v>
      </c>
      <c r="U9283" t="s">
        <v>54641</v>
      </c>
      <c r="W9283" t="s">
        <v>40779</v>
      </c>
      <c r="X9283" t="s">
        <v>44770</v>
      </c>
    </row>
    <row r="9284" spans="1:24">
      <c r="A9284">
        <f>HYPERLINK("https://www.philgeps.gov.ph/GEPSNONPILOT/Tender/SplashBidNoticeAbstractUI.aspx?menuIndex=3&amp;refID=7136258&amp;Result=3","7136258")</f>
        <v>0</v>
      </c>
      <c r="B9284" t="s">
        <v>2941</v>
      </c>
      <c r="C9284" t="s">
        <v>12565</v>
      </c>
      <c r="D9284" t="s">
        <v>17980</v>
      </c>
      <c r="E9284" t="s">
        <v>26113</v>
      </c>
      <c r="F9284" t="s">
        <v>30900</v>
      </c>
      <c r="G9284" t="s">
        <v>30907</v>
      </c>
      <c r="H9284" t="s">
        <v>30915</v>
      </c>
      <c r="I9284" t="s">
        <v>30919</v>
      </c>
      <c r="J9284" t="s">
        <v>32523</v>
      </c>
      <c r="K9284" t="s">
        <v>40451</v>
      </c>
      <c r="M9284" t="s">
        <v>43738</v>
      </c>
      <c r="N9284" t="s">
        <v>44759</v>
      </c>
      <c r="O9284" t="s">
        <v>44760</v>
      </c>
      <c r="P9284">
        <v>0</v>
      </c>
      <c r="Q9284">
        <v>3</v>
      </c>
      <c r="R9284" t="s">
        <v>44769</v>
      </c>
      <c r="S9284" t="s">
        <v>45044</v>
      </c>
      <c r="T9284" t="s">
        <v>46411</v>
      </c>
      <c r="U9284" t="s">
        <v>54651</v>
      </c>
      <c r="W9284" t="s">
        <v>43738</v>
      </c>
      <c r="X9284" t="s">
        <v>44770</v>
      </c>
    </row>
    <row r="9285" spans="1:24">
      <c r="A9285">
        <f>HYPERLINK("https://www.philgeps.gov.ph/GEPSNONPILOT/Tender/SplashBidNoticeAbstractUI.aspx?menuIndex=3&amp;refID=7136257&amp;Result=3","7136257")</f>
        <v>0</v>
      </c>
      <c r="B9285" t="s">
        <v>461</v>
      </c>
      <c r="C9285" t="s">
        <v>12566</v>
      </c>
      <c r="D9285" t="s">
        <v>17977</v>
      </c>
      <c r="E9285" t="s">
        <v>26114</v>
      </c>
      <c r="F9285" t="s">
        <v>30900</v>
      </c>
      <c r="G9285" t="s">
        <v>30908</v>
      </c>
      <c r="H9285" t="s">
        <v>30916</v>
      </c>
      <c r="I9285" t="s">
        <v>30927</v>
      </c>
      <c r="J9285" t="s">
        <v>36857</v>
      </c>
      <c r="K9285" t="s">
        <v>40289</v>
      </c>
      <c r="M9285" t="s">
        <v>41019</v>
      </c>
      <c r="N9285" t="s">
        <v>44759</v>
      </c>
      <c r="O9285" t="s">
        <v>44760</v>
      </c>
      <c r="P9285">
        <v>0</v>
      </c>
      <c r="Q9285">
        <v>0</v>
      </c>
      <c r="R9285" t="s">
        <v>44769</v>
      </c>
      <c r="S9285" t="s">
        <v>45044</v>
      </c>
      <c r="T9285" t="s">
        <v>46404</v>
      </c>
      <c r="U9285" t="s">
        <v>54652</v>
      </c>
      <c r="W9285" t="s">
        <v>41019</v>
      </c>
      <c r="X9285" t="s">
        <v>44770</v>
      </c>
    </row>
    <row r="9286" spans="1:24">
      <c r="A9286">
        <f>HYPERLINK("https://www.philgeps.gov.ph/GEPSNONPILOT/Tender/SplashBidNoticeAbstractUI.aspx?menuIndex=3&amp;refID=7136260&amp;Result=3","7136260")</f>
        <v>0</v>
      </c>
      <c r="B9286" t="s">
        <v>2069</v>
      </c>
      <c r="C9286" t="s">
        <v>12567</v>
      </c>
      <c r="D9286" t="s">
        <v>17968</v>
      </c>
      <c r="E9286" t="s">
        <v>26115</v>
      </c>
      <c r="F9286" t="s">
        <v>30900</v>
      </c>
      <c r="G9286" t="s">
        <v>30907</v>
      </c>
      <c r="H9286" t="s">
        <v>30916</v>
      </c>
      <c r="I9286" t="s">
        <v>30933</v>
      </c>
      <c r="J9286" t="s">
        <v>36858</v>
      </c>
      <c r="K9286" t="s">
        <v>40283</v>
      </c>
      <c r="M9286" t="s">
        <v>42768</v>
      </c>
      <c r="N9286" t="s">
        <v>44759</v>
      </c>
      <c r="O9286" t="s">
        <v>44760</v>
      </c>
      <c r="P9286">
        <v>0</v>
      </c>
      <c r="Q9286">
        <v>2</v>
      </c>
      <c r="R9286" t="s">
        <v>44769</v>
      </c>
      <c r="S9286" t="s">
        <v>45044</v>
      </c>
      <c r="T9286" t="s">
        <v>46472</v>
      </c>
      <c r="U9286" t="s">
        <v>54653</v>
      </c>
      <c r="W9286" t="s">
        <v>42768</v>
      </c>
      <c r="X9286" t="s">
        <v>44770</v>
      </c>
    </row>
    <row r="9287" spans="1:24">
      <c r="A9287">
        <f>HYPERLINK("https://www.philgeps.gov.ph/GEPSNONPILOT/Tender/SplashBidNoticeAbstractUI.aspx?menuIndex=3&amp;refID=7136253&amp;Result=3","7136253")</f>
        <v>0</v>
      </c>
      <c r="B9287" t="s">
        <v>2942</v>
      </c>
      <c r="C9287" t="s">
        <v>12568</v>
      </c>
      <c r="D9287" t="s">
        <v>18013</v>
      </c>
      <c r="E9287" t="s">
        <v>18158</v>
      </c>
      <c r="F9287" t="s">
        <v>30900</v>
      </c>
      <c r="G9287" t="s">
        <v>30907</v>
      </c>
      <c r="H9287" t="s">
        <v>30916</v>
      </c>
      <c r="I9287" t="s">
        <v>30971</v>
      </c>
      <c r="J9287" t="s">
        <v>36859</v>
      </c>
      <c r="K9287" t="s">
        <v>40283</v>
      </c>
      <c r="M9287" t="s">
        <v>43739</v>
      </c>
      <c r="N9287" t="s">
        <v>44759</v>
      </c>
      <c r="O9287" t="s">
        <v>44760</v>
      </c>
      <c r="P9287">
        <v>0</v>
      </c>
      <c r="Q9287">
        <v>0</v>
      </c>
      <c r="R9287" t="s">
        <v>44769</v>
      </c>
      <c r="S9287" t="s">
        <v>45044</v>
      </c>
      <c r="T9287" t="s">
        <v>46393</v>
      </c>
      <c r="U9287" t="s">
        <v>54654</v>
      </c>
      <c r="W9287" t="s">
        <v>43739</v>
      </c>
      <c r="X9287" t="s">
        <v>44770</v>
      </c>
    </row>
    <row r="9288" spans="1:24">
      <c r="A9288">
        <f>HYPERLINK("https://www.philgeps.gov.ph/GEPSNONPILOT/Tender/SplashBidNoticeAbstractUI.aspx?menuIndex=3&amp;refID=7136283&amp;Result=3","7136283")</f>
        <v>0</v>
      </c>
      <c r="B9288" t="s">
        <v>2943</v>
      </c>
      <c r="C9288" t="s">
        <v>12569</v>
      </c>
      <c r="D9288" t="s">
        <v>17951</v>
      </c>
      <c r="E9288" t="s">
        <v>20527</v>
      </c>
      <c r="F9288" t="s">
        <v>30900</v>
      </c>
      <c r="G9288" t="s">
        <v>30907</v>
      </c>
      <c r="H9288" t="s">
        <v>30916</v>
      </c>
      <c r="I9288" t="s">
        <v>8123</v>
      </c>
      <c r="J9288" t="s">
        <v>36860</v>
      </c>
      <c r="K9288" t="s">
        <v>40287</v>
      </c>
      <c r="L9288" t="s">
        <v>2943</v>
      </c>
      <c r="M9288" t="s">
        <v>43740</v>
      </c>
      <c r="N9288" t="s">
        <v>44759</v>
      </c>
      <c r="O9288" t="s">
        <v>44760</v>
      </c>
      <c r="P9288">
        <v>0</v>
      </c>
      <c r="Q9288">
        <v>0</v>
      </c>
      <c r="R9288" t="s">
        <v>44769</v>
      </c>
      <c r="S9288" t="s">
        <v>45044</v>
      </c>
      <c r="T9288" t="s">
        <v>46658</v>
      </c>
      <c r="U9288" t="s">
        <v>54655</v>
      </c>
      <c r="W9288" t="s">
        <v>43740</v>
      </c>
      <c r="X9288" t="s">
        <v>44770</v>
      </c>
    </row>
    <row r="9289" spans="1:24">
      <c r="A9289">
        <f>HYPERLINK("https://www.philgeps.gov.ph/GEPSNONPILOT/Tender/SplashBidNoticeAbstractUI.aspx?menuIndex=3&amp;refID=7136248&amp;Result=3","7136248")</f>
        <v>0</v>
      </c>
      <c r="B9289" t="s">
        <v>2941</v>
      </c>
      <c r="C9289" t="s">
        <v>12570</v>
      </c>
      <c r="D9289" t="s">
        <v>17980</v>
      </c>
      <c r="E9289" t="s">
        <v>26116</v>
      </c>
      <c r="F9289" t="s">
        <v>30900</v>
      </c>
      <c r="G9289" t="s">
        <v>30907</v>
      </c>
      <c r="H9289" t="s">
        <v>30915</v>
      </c>
      <c r="I9289" t="s">
        <v>30919</v>
      </c>
      <c r="J9289" t="s">
        <v>32523</v>
      </c>
      <c r="K9289" t="s">
        <v>40451</v>
      </c>
      <c r="M9289" t="s">
        <v>43738</v>
      </c>
      <c r="N9289" t="s">
        <v>44759</v>
      </c>
      <c r="O9289" t="s">
        <v>44760</v>
      </c>
      <c r="P9289">
        <v>0</v>
      </c>
      <c r="Q9289">
        <v>3</v>
      </c>
      <c r="R9289" t="s">
        <v>44769</v>
      </c>
      <c r="S9289" t="s">
        <v>45044</v>
      </c>
      <c r="T9289" t="s">
        <v>46411</v>
      </c>
      <c r="U9289" t="s">
        <v>54656</v>
      </c>
      <c r="W9289" t="s">
        <v>43738</v>
      </c>
      <c r="X9289" t="s">
        <v>44770</v>
      </c>
    </row>
    <row r="9290" spans="1:24">
      <c r="A9290">
        <f>HYPERLINK("https://www.philgeps.gov.ph/GEPSNONPILOT/Tender/SplashBidNoticeAbstractUI.aspx?menuIndex=3&amp;refID=7136176&amp;Result=3","7136176")</f>
        <v>0</v>
      </c>
      <c r="B9290" t="s">
        <v>2944</v>
      </c>
      <c r="C9290" t="s">
        <v>12571</v>
      </c>
      <c r="D9290" t="s">
        <v>17971</v>
      </c>
      <c r="E9290" t="s">
        <v>26117</v>
      </c>
      <c r="F9290" t="s">
        <v>30900</v>
      </c>
      <c r="G9290" t="s">
        <v>30907</v>
      </c>
      <c r="H9290" t="s">
        <v>30916</v>
      </c>
      <c r="I9290" t="s">
        <v>8123</v>
      </c>
      <c r="J9290" t="s">
        <v>36861</v>
      </c>
      <c r="K9290" t="s">
        <v>40286</v>
      </c>
      <c r="M9290" t="s">
        <v>43741</v>
      </c>
      <c r="N9290" t="s">
        <v>44759</v>
      </c>
      <c r="O9290" t="s">
        <v>44760</v>
      </c>
      <c r="P9290">
        <v>0</v>
      </c>
      <c r="Q9290">
        <v>3</v>
      </c>
      <c r="R9290" t="s">
        <v>44769</v>
      </c>
      <c r="S9290" t="s">
        <v>45044</v>
      </c>
      <c r="T9290" t="s">
        <v>46409</v>
      </c>
      <c r="U9290" t="s">
        <v>54657</v>
      </c>
      <c r="W9290" t="s">
        <v>43741</v>
      </c>
      <c r="X9290" t="s">
        <v>44770</v>
      </c>
    </row>
    <row r="9291" spans="1:24">
      <c r="A9291">
        <f>HYPERLINK("https://www.philgeps.gov.ph/GEPSNONPILOT/Tender/SplashBidNoticeAbstractUI.aspx?menuIndex=3&amp;refID=7136273&amp;Result=3","7136273")</f>
        <v>0</v>
      </c>
      <c r="B9291" t="s">
        <v>2945</v>
      </c>
      <c r="C9291" t="s">
        <v>12572</v>
      </c>
      <c r="D9291" t="s">
        <v>17953</v>
      </c>
      <c r="E9291" t="s">
        <v>26118</v>
      </c>
      <c r="F9291" t="s">
        <v>30900</v>
      </c>
      <c r="G9291" t="s">
        <v>30908</v>
      </c>
      <c r="H9291" t="s">
        <v>30916</v>
      </c>
      <c r="I9291" t="s">
        <v>4108</v>
      </c>
      <c r="J9291" t="s">
        <v>36862</v>
      </c>
      <c r="K9291" t="s">
        <v>40286</v>
      </c>
      <c r="M9291" t="s">
        <v>43742</v>
      </c>
      <c r="N9291" t="s">
        <v>44759</v>
      </c>
      <c r="O9291" t="s">
        <v>44760</v>
      </c>
      <c r="P9291">
        <v>0</v>
      </c>
      <c r="Q9291">
        <v>0</v>
      </c>
      <c r="R9291" t="s">
        <v>44769</v>
      </c>
      <c r="S9291" t="s">
        <v>45044</v>
      </c>
      <c r="T9291" t="s">
        <v>46410</v>
      </c>
      <c r="U9291" t="s">
        <v>54658</v>
      </c>
      <c r="W9291" t="s">
        <v>43742</v>
      </c>
      <c r="X9291" t="s">
        <v>44770</v>
      </c>
    </row>
    <row r="9292" spans="1:24">
      <c r="A9292">
        <f>HYPERLINK("https://www.philgeps.gov.ph/GEPSNONPILOT/Tender/SplashBidNoticeAbstractUI.aspx?menuIndex=3&amp;refID=7136172&amp;Result=3","7136172")</f>
        <v>0</v>
      </c>
      <c r="B9292" t="s">
        <v>2921</v>
      </c>
      <c r="C9292" t="s">
        <v>12573</v>
      </c>
      <c r="D9292" t="s">
        <v>17974</v>
      </c>
      <c r="E9292" t="s">
        <v>26119</v>
      </c>
      <c r="F9292" t="s">
        <v>30900</v>
      </c>
      <c r="G9292" t="s">
        <v>30907</v>
      </c>
      <c r="H9292" t="s">
        <v>30916</v>
      </c>
      <c r="I9292" t="s">
        <v>30918</v>
      </c>
      <c r="J9292" t="s">
        <v>36863</v>
      </c>
      <c r="K9292" t="s">
        <v>40286</v>
      </c>
      <c r="M9292" t="s">
        <v>43716</v>
      </c>
      <c r="N9292" t="s">
        <v>44759</v>
      </c>
      <c r="O9292" t="s">
        <v>44760</v>
      </c>
      <c r="P9292">
        <v>0</v>
      </c>
      <c r="Q9292">
        <v>23</v>
      </c>
      <c r="R9292" t="s">
        <v>44769</v>
      </c>
      <c r="S9292" t="s">
        <v>45044</v>
      </c>
      <c r="T9292" t="s">
        <v>46495</v>
      </c>
      <c r="U9292" t="s">
        <v>54659</v>
      </c>
      <c r="W9292" t="s">
        <v>43716</v>
      </c>
      <c r="X9292" t="s">
        <v>44770</v>
      </c>
    </row>
    <row r="9293" spans="1:24">
      <c r="A9293">
        <f>HYPERLINK("https://www.philgeps.gov.ph/GEPSNONPILOT/Tender/SplashBidNoticeAbstractUI.aspx?menuIndex=3&amp;refID=7136309&amp;Result=3","7136309")</f>
        <v>0</v>
      </c>
      <c r="B9293" t="s">
        <v>2751</v>
      </c>
      <c r="C9293" t="s">
        <v>12574</v>
      </c>
      <c r="D9293" t="s">
        <v>17953</v>
      </c>
      <c r="E9293" t="s">
        <v>22759</v>
      </c>
      <c r="F9293" t="s">
        <v>30900</v>
      </c>
      <c r="G9293" t="s">
        <v>30907</v>
      </c>
      <c r="H9293" t="s">
        <v>30916</v>
      </c>
      <c r="I9293" t="s">
        <v>4545</v>
      </c>
      <c r="J9293" t="s">
        <v>36864</v>
      </c>
      <c r="K9293" t="s">
        <v>40281</v>
      </c>
      <c r="M9293" t="s">
        <v>43528</v>
      </c>
      <c r="N9293" t="s">
        <v>44759</v>
      </c>
      <c r="O9293" t="s">
        <v>44760</v>
      </c>
      <c r="P9293">
        <v>0</v>
      </c>
      <c r="Q9293">
        <v>3</v>
      </c>
      <c r="R9293" t="s">
        <v>44769</v>
      </c>
      <c r="S9293" t="s">
        <v>45044</v>
      </c>
      <c r="T9293" t="s">
        <v>46593</v>
      </c>
      <c r="U9293" t="s">
        <v>54660</v>
      </c>
      <c r="W9293" t="s">
        <v>43528</v>
      </c>
      <c r="X9293" t="s">
        <v>44770</v>
      </c>
    </row>
    <row r="9294" spans="1:24">
      <c r="A9294">
        <f>HYPERLINK("https://www.philgeps.gov.ph/GEPSNONPILOT/Tender/SplashBidNoticeAbstractUI.aspx?menuIndex=3&amp;refID=7136259&amp;Result=3","7136259")</f>
        <v>0</v>
      </c>
      <c r="B9294" t="s">
        <v>2946</v>
      </c>
      <c r="C9294" t="s">
        <v>5004</v>
      </c>
      <c r="D9294" t="s">
        <v>17989</v>
      </c>
      <c r="E9294" t="s">
        <v>18282</v>
      </c>
      <c r="F9294" t="s">
        <v>30904</v>
      </c>
      <c r="G9294" t="s">
        <v>30907</v>
      </c>
      <c r="H9294" t="s">
        <v>30916</v>
      </c>
      <c r="I9294" t="s">
        <v>8123</v>
      </c>
      <c r="J9294" t="s">
        <v>36865</v>
      </c>
      <c r="K9294" t="s">
        <v>40289</v>
      </c>
      <c r="M9294" t="s">
        <v>43743</v>
      </c>
      <c r="N9294" t="s">
        <v>44759</v>
      </c>
      <c r="O9294" t="s">
        <v>44760</v>
      </c>
      <c r="P9294">
        <v>0</v>
      </c>
      <c r="Q9294">
        <v>0</v>
      </c>
      <c r="R9294" t="s">
        <v>44769</v>
      </c>
      <c r="S9294" t="s">
        <v>45044</v>
      </c>
      <c r="T9294" t="s">
        <v>46832</v>
      </c>
      <c r="U9294" t="s">
        <v>54661</v>
      </c>
      <c r="W9294" t="s">
        <v>43743</v>
      </c>
      <c r="X9294" t="s">
        <v>44770</v>
      </c>
    </row>
    <row r="9295" spans="1:24">
      <c r="A9295">
        <f>HYPERLINK("https://www.philgeps.gov.ph/GEPSNONPILOT/Tender/SplashBidNoticeAbstractUI.aspx?menuIndex=3&amp;refID=7136230&amp;Result=3","7136230")</f>
        <v>0</v>
      </c>
      <c r="B9295" t="s">
        <v>812</v>
      </c>
      <c r="C9295" t="s">
        <v>12575</v>
      </c>
      <c r="D9295" t="s">
        <v>18028</v>
      </c>
      <c r="E9295" t="s">
        <v>26120</v>
      </c>
      <c r="F9295" t="s">
        <v>30900</v>
      </c>
      <c r="G9295" t="s">
        <v>30907</v>
      </c>
      <c r="H9295" t="s">
        <v>30916</v>
      </c>
      <c r="I9295" t="s">
        <v>30933</v>
      </c>
      <c r="J9295" t="s">
        <v>35994</v>
      </c>
      <c r="K9295" t="s">
        <v>40283</v>
      </c>
      <c r="M9295" t="s">
        <v>41383</v>
      </c>
      <c r="N9295" t="s">
        <v>44759</v>
      </c>
      <c r="O9295" t="s">
        <v>44760</v>
      </c>
      <c r="P9295">
        <v>0</v>
      </c>
      <c r="Q9295">
        <v>4</v>
      </c>
      <c r="R9295" t="s">
        <v>44769</v>
      </c>
      <c r="S9295" t="s">
        <v>45044</v>
      </c>
      <c r="T9295" t="s">
        <v>46606</v>
      </c>
      <c r="U9295" t="s">
        <v>54662</v>
      </c>
      <c r="W9295" t="s">
        <v>41383</v>
      </c>
      <c r="X9295" t="s">
        <v>44770</v>
      </c>
    </row>
    <row r="9296" spans="1:24">
      <c r="A9296">
        <f>HYPERLINK("https://www.philgeps.gov.ph/GEPSNONPILOT/Tender/SplashBidNoticeAbstractUI.aspx?menuIndex=3&amp;refID=7136219&amp;Result=3","7136219")</f>
        <v>0</v>
      </c>
      <c r="B9296" t="s">
        <v>2947</v>
      </c>
      <c r="C9296" t="s">
        <v>12576</v>
      </c>
      <c r="D9296" t="s">
        <v>17978</v>
      </c>
      <c r="E9296" t="s">
        <v>26101</v>
      </c>
      <c r="F9296" t="s">
        <v>30900</v>
      </c>
      <c r="G9296" t="s">
        <v>30907</v>
      </c>
      <c r="H9296" t="s">
        <v>30915</v>
      </c>
      <c r="I9296" t="s">
        <v>30919</v>
      </c>
      <c r="J9296" t="s">
        <v>31589</v>
      </c>
      <c r="K9296" t="s">
        <v>40293</v>
      </c>
      <c r="M9296" t="s">
        <v>43744</v>
      </c>
      <c r="N9296" t="s">
        <v>44759</v>
      </c>
      <c r="O9296" t="s">
        <v>44760</v>
      </c>
      <c r="P9296">
        <v>0</v>
      </c>
      <c r="Q9296">
        <v>1</v>
      </c>
      <c r="R9296" t="s">
        <v>44769</v>
      </c>
      <c r="S9296" t="s">
        <v>45044</v>
      </c>
      <c r="T9296" t="s">
        <v>46700</v>
      </c>
      <c r="U9296" t="s">
        <v>54663</v>
      </c>
      <c r="W9296" t="s">
        <v>43744</v>
      </c>
      <c r="X9296" t="s">
        <v>44770</v>
      </c>
    </row>
    <row r="9297" spans="1:24">
      <c r="A9297">
        <f>HYPERLINK("https://www.philgeps.gov.ph/GEPSNONPILOT/Tender/SplashBidNoticeAbstractUI.aspx?menuIndex=3&amp;refID=7136238&amp;Result=3","7136238")</f>
        <v>0</v>
      </c>
      <c r="B9297" t="s">
        <v>2934</v>
      </c>
      <c r="C9297" t="s">
        <v>12577</v>
      </c>
      <c r="E9297" t="s">
        <v>19690</v>
      </c>
      <c r="F9297" t="s">
        <v>30900</v>
      </c>
      <c r="G9297" t="s">
        <v>30907</v>
      </c>
      <c r="H9297" t="s">
        <v>30916</v>
      </c>
      <c r="I9297" t="s">
        <v>8123</v>
      </c>
      <c r="J9297" t="s">
        <v>36866</v>
      </c>
      <c r="K9297" t="s">
        <v>40289</v>
      </c>
      <c r="M9297" t="s">
        <v>43731</v>
      </c>
      <c r="N9297" t="s">
        <v>44759</v>
      </c>
      <c r="O9297" t="s">
        <v>44760</v>
      </c>
      <c r="P9297">
        <v>0</v>
      </c>
      <c r="Q9297">
        <v>0</v>
      </c>
      <c r="R9297" t="s">
        <v>44769</v>
      </c>
      <c r="S9297" t="s">
        <v>45044</v>
      </c>
      <c r="T9297" t="s">
        <v>46591</v>
      </c>
      <c r="U9297" t="s">
        <v>54664</v>
      </c>
      <c r="W9297" t="s">
        <v>43731</v>
      </c>
      <c r="X9297" t="s">
        <v>44770</v>
      </c>
    </row>
    <row r="9298" spans="1:24">
      <c r="A9298">
        <f>HYPERLINK("https://www.philgeps.gov.ph/GEPSNONPILOT/Tender/SplashBidNoticeAbstractUI.aspx?menuIndex=3&amp;refID=7136173&amp;Result=3","7136173")</f>
        <v>0</v>
      </c>
      <c r="B9298" t="s">
        <v>2937</v>
      </c>
      <c r="C9298" t="s">
        <v>12578</v>
      </c>
      <c r="D9298" t="s">
        <v>17953</v>
      </c>
      <c r="E9298" t="s">
        <v>24671</v>
      </c>
      <c r="F9298" t="s">
        <v>30900</v>
      </c>
      <c r="G9298" t="s">
        <v>30907</v>
      </c>
      <c r="H9298" t="s">
        <v>30916</v>
      </c>
      <c r="I9298" t="s">
        <v>30939</v>
      </c>
      <c r="J9298" t="s">
        <v>36867</v>
      </c>
      <c r="K9298" t="s">
        <v>40286</v>
      </c>
      <c r="M9298" t="s">
        <v>43734</v>
      </c>
      <c r="N9298" t="s">
        <v>44759</v>
      </c>
      <c r="O9298" t="s">
        <v>44760</v>
      </c>
      <c r="P9298">
        <v>0</v>
      </c>
      <c r="Q9298">
        <v>0</v>
      </c>
      <c r="R9298" t="s">
        <v>44769</v>
      </c>
      <c r="S9298" t="s">
        <v>45044</v>
      </c>
      <c r="T9298" t="s">
        <v>46544</v>
      </c>
      <c r="U9298" t="s">
        <v>54665</v>
      </c>
      <c r="W9298" t="s">
        <v>43734</v>
      </c>
      <c r="X9298" t="s">
        <v>44770</v>
      </c>
    </row>
    <row r="9299" spans="1:24">
      <c r="A9299">
        <f>HYPERLINK("https://www.philgeps.gov.ph/GEPSNONPILOT/Tender/SplashBidNoticeAbstractUI.aspx?menuIndex=3&amp;refID=7136184&amp;Result=3","7136184")</f>
        <v>0</v>
      </c>
      <c r="B9299" t="s">
        <v>2944</v>
      </c>
      <c r="C9299" t="s">
        <v>12579</v>
      </c>
      <c r="D9299" t="s">
        <v>17971</v>
      </c>
      <c r="E9299" t="s">
        <v>26121</v>
      </c>
      <c r="F9299" t="s">
        <v>30900</v>
      </c>
      <c r="G9299" t="s">
        <v>30907</v>
      </c>
      <c r="H9299" t="s">
        <v>30916</v>
      </c>
      <c r="I9299" t="s">
        <v>30939</v>
      </c>
      <c r="J9299" t="s">
        <v>36868</v>
      </c>
      <c r="K9299" t="s">
        <v>40301</v>
      </c>
      <c r="M9299" t="s">
        <v>43741</v>
      </c>
      <c r="N9299" t="s">
        <v>44759</v>
      </c>
      <c r="O9299" t="s">
        <v>44760</v>
      </c>
      <c r="P9299">
        <v>0</v>
      </c>
      <c r="Q9299">
        <v>0</v>
      </c>
      <c r="R9299" t="s">
        <v>44769</v>
      </c>
      <c r="S9299" t="s">
        <v>45044</v>
      </c>
      <c r="T9299" t="s">
        <v>46409</v>
      </c>
      <c r="U9299" t="s">
        <v>54657</v>
      </c>
      <c r="W9299" t="s">
        <v>43741</v>
      </c>
      <c r="X9299" t="s">
        <v>44770</v>
      </c>
    </row>
    <row r="9300" spans="1:24">
      <c r="A9300">
        <f>HYPERLINK("https://www.philgeps.gov.ph/GEPSNONPILOT/Tender/SplashBidNoticeAbstractUI.aspx?menuIndex=3&amp;refID=7136375&amp;Result=3","7136375")</f>
        <v>0</v>
      </c>
      <c r="B9300" t="s">
        <v>424</v>
      </c>
      <c r="C9300" t="s">
        <v>12580</v>
      </c>
      <c r="D9300" t="s">
        <v>17955</v>
      </c>
      <c r="E9300" t="s">
        <v>26122</v>
      </c>
      <c r="F9300" t="s">
        <v>30900</v>
      </c>
      <c r="G9300" t="s">
        <v>30907</v>
      </c>
      <c r="H9300" t="s">
        <v>30915</v>
      </c>
      <c r="I9300" t="s">
        <v>30919</v>
      </c>
      <c r="J9300" t="s">
        <v>36869</v>
      </c>
      <c r="K9300" t="s">
        <v>40294</v>
      </c>
      <c r="M9300" t="s">
        <v>40981</v>
      </c>
      <c r="N9300" t="s">
        <v>44759</v>
      </c>
      <c r="O9300" t="s">
        <v>44760</v>
      </c>
      <c r="P9300">
        <v>0</v>
      </c>
      <c r="Q9300">
        <v>1</v>
      </c>
      <c r="R9300" t="s">
        <v>44769</v>
      </c>
      <c r="S9300" t="s">
        <v>45044</v>
      </c>
      <c r="T9300" t="s">
        <v>46374</v>
      </c>
      <c r="U9300" t="s">
        <v>47629</v>
      </c>
      <c r="W9300" t="s">
        <v>40981</v>
      </c>
      <c r="X9300" t="s">
        <v>44770</v>
      </c>
    </row>
    <row r="9301" spans="1:24">
      <c r="A9301">
        <f>HYPERLINK("https://www.philgeps.gov.ph/GEPSNONPILOT/Tender/SplashBidNoticeAbstractUI.aspx?menuIndex=3&amp;refID=7136401&amp;Result=3","7136401")</f>
        <v>0</v>
      </c>
      <c r="B9301" t="s">
        <v>2836</v>
      </c>
      <c r="C9301" t="s">
        <v>12581</v>
      </c>
      <c r="D9301" t="s">
        <v>17973</v>
      </c>
      <c r="E9301" t="s">
        <v>19740</v>
      </c>
      <c r="F9301" t="s">
        <v>30900</v>
      </c>
      <c r="G9301" t="s">
        <v>30907</v>
      </c>
      <c r="H9301" t="s">
        <v>30915</v>
      </c>
      <c r="I9301" t="s">
        <v>30919</v>
      </c>
      <c r="J9301" t="s">
        <v>32324</v>
      </c>
      <c r="K9301" t="s">
        <v>40301</v>
      </c>
      <c r="L9301" t="s">
        <v>2836</v>
      </c>
      <c r="M9301" t="s">
        <v>43621</v>
      </c>
      <c r="N9301" t="s">
        <v>44759</v>
      </c>
      <c r="O9301" t="s">
        <v>44760</v>
      </c>
      <c r="P9301">
        <v>0</v>
      </c>
      <c r="Q9301">
        <v>0</v>
      </c>
      <c r="R9301" t="s">
        <v>44769</v>
      </c>
      <c r="S9301" t="s">
        <v>45044</v>
      </c>
      <c r="T9301" t="s">
        <v>46488</v>
      </c>
      <c r="U9301" t="s">
        <v>54666</v>
      </c>
      <c r="W9301" t="s">
        <v>43621</v>
      </c>
      <c r="X9301" t="s">
        <v>44770</v>
      </c>
    </row>
    <row r="9302" spans="1:24">
      <c r="A9302">
        <f>HYPERLINK("https://www.philgeps.gov.ph/GEPSNONPILOT/Tender/SplashBidNoticeAbstractUI.aspx?menuIndex=3&amp;refID=7136389&amp;Result=3","7136389")</f>
        <v>0</v>
      </c>
      <c r="B9302" t="s">
        <v>1879</v>
      </c>
      <c r="C9302" t="s">
        <v>8615</v>
      </c>
      <c r="D9302" t="s">
        <v>17963</v>
      </c>
      <c r="E9302" t="s">
        <v>26123</v>
      </c>
      <c r="F9302" t="s">
        <v>30900</v>
      </c>
      <c r="G9302" t="s">
        <v>30907</v>
      </c>
      <c r="H9302" t="s">
        <v>30915</v>
      </c>
      <c r="I9302" t="s">
        <v>30919</v>
      </c>
      <c r="J9302" t="s">
        <v>36870</v>
      </c>
      <c r="K9302" t="s">
        <v>40292</v>
      </c>
      <c r="M9302" t="s">
        <v>42553</v>
      </c>
      <c r="N9302" t="s">
        <v>44759</v>
      </c>
      <c r="O9302" t="s">
        <v>44760</v>
      </c>
      <c r="P9302">
        <v>0</v>
      </c>
      <c r="Q9302">
        <v>0</v>
      </c>
      <c r="R9302" t="s">
        <v>44769</v>
      </c>
      <c r="S9302" t="s">
        <v>45044</v>
      </c>
      <c r="T9302" t="s">
        <v>46625</v>
      </c>
      <c r="U9302" t="s">
        <v>54667</v>
      </c>
      <c r="W9302" t="s">
        <v>42553</v>
      </c>
      <c r="X9302" t="s">
        <v>44770</v>
      </c>
    </row>
    <row r="9303" spans="1:24">
      <c r="A9303">
        <f>HYPERLINK("https://www.philgeps.gov.ph/GEPSNONPILOT/Tender/SplashBidNoticeAbstractUI.aspx?menuIndex=3&amp;refID=7136368&amp;Result=3","7136368")</f>
        <v>0</v>
      </c>
      <c r="B9303" t="s">
        <v>1119</v>
      </c>
      <c r="C9303" t="s">
        <v>12582</v>
      </c>
      <c r="D9303" t="s">
        <v>17959</v>
      </c>
      <c r="E9303" t="s">
        <v>26124</v>
      </c>
      <c r="F9303" t="s">
        <v>30900</v>
      </c>
      <c r="G9303" t="s">
        <v>30910</v>
      </c>
      <c r="H9303" t="s">
        <v>30916</v>
      </c>
      <c r="I9303" t="s">
        <v>6396</v>
      </c>
      <c r="J9303" t="s">
        <v>31077</v>
      </c>
      <c r="K9303" t="s">
        <v>40283</v>
      </c>
      <c r="M9303" t="s">
        <v>41749</v>
      </c>
      <c r="N9303" t="s">
        <v>44759</v>
      </c>
      <c r="O9303" t="s">
        <v>44760</v>
      </c>
      <c r="P9303">
        <v>0</v>
      </c>
      <c r="Q9303">
        <v>9</v>
      </c>
      <c r="R9303" t="s">
        <v>44769</v>
      </c>
      <c r="S9303" t="s">
        <v>45044</v>
      </c>
      <c r="T9303" t="s">
        <v>46658</v>
      </c>
      <c r="U9303" t="s">
        <v>49074</v>
      </c>
      <c r="V9303" t="s">
        <v>59399</v>
      </c>
      <c r="W9303" t="s">
        <v>41749</v>
      </c>
      <c r="X9303" t="s">
        <v>44770</v>
      </c>
    </row>
    <row r="9304" spans="1:24">
      <c r="A9304">
        <f>HYPERLINK("https://www.philgeps.gov.ph/GEPSNONPILOT/Tender/SplashBidNoticeAbstractUI.aspx?menuIndex=3&amp;refID=7136364&amp;Result=3","7136364")</f>
        <v>0</v>
      </c>
      <c r="B9304" t="s">
        <v>1240</v>
      </c>
      <c r="C9304" t="s">
        <v>12387</v>
      </c>
      <c r="D9304" t="s">
        <v>18010</v>
      </c>
      <c r="E9304" t="s">
        <v>26125</v>
      </c>
      <c r="F9304" t="s">
        <v>30900</v>
      </c>
      <c r="G9304" t="s">
        <v>30907</v>
      </c>
      <c r="H9304" t="s">
        <v>30915</v>
      </c>
      <c r="I9304" t="s">
        <v>30919</v>
      </c>
      <c r="J9304" t="s">
        <v>36871</v>
      </c>
      <c r="K9304" t="s">
        <v>40287</v>
      </c>
      <c r="M9304" t="s">
        <v>41852</v>
      </c>
      <c r="N9304" t="s">
        <v>44759</v>
      </c>
      <c r="O9304" t="s">
        <v>44760</v>
      </c>
      <c r="P9304">
        <v>0</v>
      </c>
      <c r="Q9304">
        <v>0</v>
      </c>
      <c r="R9304" t="s">
        <v>44769</v>
      </c>
      <c r="S9304" t="s">
        <v>45044</v>
      </c>
      <c r="T9304" t="s">
        <v>46533</v>
      </c>
      <c r="U9304" t="s">
        <v>54668</v>
      </c>
      <c r="V9304" t="s">
        <v>60126</v>
      </c>
      <c r="W9304" t="s">
        <v>41852</v>
      </c>
      <c r="X9304" t="s">
        <v>44770</v>
      </c>
    </row>
    <row r="9305" spans="1:24">
      <c r="A9305">
        <f>HYPERLINK("https://www.philgeps.gov.ph/GEPSNONPILOT/Tender/SplashBidNoticeAbstractUI.aspx?menuIndex=3&amp;refID=7136377&amp;Result=3","7136377")</f>
        <v>0</v>
      </c>
      <c r="B9305" t="s">
        <v>2948</v>
      </c>
      <c r="C9305" t="s">
        <v>12583</v>
      </c>
      <c r="D9305" t="s">
        <v>17980</v>
      </c>
      <c r="E9305" t="s">
        <v>26126</v>
      </c>
      <c r="F9305" t="s">
        <v>30900</v>
      </c>
      <c r="G9305" t="s">
        <v>30907</v>
      </c>
      <c r="H9305" t="s">
        <v>30916</v>
      </c>
      <c r="I9305" t="s">
        <v>30933</v>
      </c>
      <c r="J9305" t="s">
        <v>32271</v>
      </c>
      <c r="K9305" t="s">
        <v>40280</v>
      </c>
      <c r="M9305" t="s">
        <v>43745</v>
      </c>
      <c r="N9305" t="s">
        <v>44759</v>
      </c>
      <c r="O9305" t="s">
        <v>44760</v>
      </c>
      <c r="P9305">
        <v>0</v>
      </c>
      <c r="Q9305">
        <v>3</v>
      </c>
      <c r="R9305" t="s">
        <v>44769</v>
      </c>
      <c r="S9305" t="s">
        <v>45044</v>
      </c>
      <c r="T9305" t="s">
        <v>46411</v>
      </c>
      <c r="U9305" t="s">
        <v>54669</v>
      </c>
      <c r="V9305" t="s">
        <v>60127</v>
      </c>
      <c r="W9305" t="s">
        <v>43745</v>
      </c>
      <c r="X9305" t="s">
        <v>44770</v>
      </c>
    </row>
    <row r="9306" spans="1:24">
      <c r="A9306">
        <f>HYPERLINK("https://www.philgeps.gov.ph/GEPSNONPILOT/Tender/SplashBidNoticeAbstractUI.aspx?menuIndex=3&amp;refID=7136351&amp;Result=3","7136351")</f>
        <v>0</v>
      </c>
      <c r="B9306" t="s">
        <v>987</v>
      </c>
      <c r="C9306" t="s">
        <v>12584</v>
      </c>
      <c r="E9306" t="s">
        <v>26127</v>
      </c>
      <c r="F9306" t="s">
        <v>30900</v>
      </c>
      <c r="G9306" t="s">
        <v>30908</v>
      </c>
      <c r="H9306" t="s">
        <v>30916</v>
      </c>
      <c r="I9306" t="s">
        <v>30943</v>
      </c>
      <c r="J9306" t="s">
        <v>32038</v>
      </c>
      <c r="K9306" t="s">
        <v>40289</v>
      </c>
      <c r="M9306" t="s">
        <v>43746</v>
      </c>
      <c r="N9306" t="s">
        <v>44759</v>
      </c>
      <c r="O9306" t="s">
        <v>44760</v>
      </c>
      <c r="P9306">
        <v>0</v>
      </c>
      <c r="Q9306">
        <v>4</v>
      </c>
      <c r="R9306" t="s">
        <v>44769</v>
      </c>
      <c r="S9306" t="s">
        <v>45044</v>
      </c>
      <c r="T9306" t="s">
        <v>46581</v>
      </c>
      <c r="U9306" t="s">
        <v>54670</v>
      </c>
      <c r="W9306" t="s">
        <v>43746</v>
      </c>
      <c r="X9306" t="s">
        <v>44770</v>
      </c>
    </row>
    <row r="9307" spans="1:24">
      <c r="A9307">
        <f>HYPERLINK("https://www.philgeps.gov.ph/GEPSNONPILOT/Tender/SplashBidNoticeAbstractUI.aspx?menuIndex=3&amp;refID=7136345&amp;Result=3","7136345")</f>
        <v>0</v>
      </c>
      <c r="B9307" t="s">
        <v>58</v>
      </c>
      <c r="C9307" t="s">
        <v>12585</v>
      </c>
      <c r="D9307" t="s">
        <v>17977</v>
      </c>
      <c r="E9307" t="s">
        <v>26128</v>
      </c>
      <c r="F9307" t="s">
        <v>30900</v>
      </c>
      <c r="G9307" t="s">
        <v>30907</v>
      </c>
      <c r="H9307" t="s">
        <v>30916</v>
      </c>
      <c r="I9307" t="s">
        <v>30939</v>
      </c>
      <c r="J9307" t="s">
        <v>36872</v>
      </c>
      <c r="K9307" t="s">
        <v>40287</v>
      </c>
      <c r="M9307" t="s">
        <v>40604</v>
      </c>
      <c r="N9307" t="s">
        <v>44759</v>
      </c>
      <c r="O9307" t="s">
        <v>44760</v>
      </c>
      <c r="P9307">
        <v>0</v>
      </c>
      <c r="Q9307">
        <v>0</v>
      </c>
      <c r="R9307" t="s">
        <v>44769</v>
      </c>
      <c r="S9307" t="s">
        <v>45044</v>
      </c>
      <c r="T9307" t="s">
        <v>46625</v>
      </c>
      <c r="U9307" t="s">
        <v>54671</v>
      </c>
      <c r="W9307" t="s">
        <v>60815</v>
      </c>
      <c r="X9307" t="s">
        <v>44770</v>
      </c>
    </row>
    <row r="9308" spans="1:24">
      <c r="A9308">
        <f>HYPERLINK("https://www.philgeps.gov.ph/GEPSNONPILOT/Tender/SplashBidNoticeAbstractUI.aspx?menuIndex=3&amp;refID=7136416&amp;Result=3","7136416")</f>
        <v>0</v>
      </c>
      <c r="B9308" t="s">
        <v>1100</v>
      </c>
      <c r="C9308" t="s">
        <v>12586</v>
      </c>
      <c r="D9308" t="s">
        <v>17980</v>
      </c>
      <c r="E9308" t="s">
        <v>26129</v>
      </c>
      <c r="F9308" t="s">
        <v>30900</v>
      </c>
      <c r="G9308" t="s">
        <v>30909</v>
      </c>
      <c r="H9308" t="s">
        <v>30916</v>
      </c>
      <c r="I9308" t="s">
        <v>10847</v>
      </c>
      <c r="J9308" t="s">
        <v>34328</v>
      </c>
      <c r="K9308" t="s">
        <v>40289</v>
      </c>
      <c r="M9308" t="s">
        <v>41789</v>
      </c>
      <c r="N9308" t="s">
        <v>44759</v>
      </c>
      <c r="O9308" t="s">
        <v>44760</v>
      </c>
      <c r="P9308">
        <v>0</v>
      </c>
      <c r="Q9308">
        <v>0</v>
      </c>
      <c r="R9308" t="s">
        <v>44769</v>
      </c>
      <c r="S9308" t="s">
        <v>45044</v>
      </c>
      <c r="T9308" t="s">
        <v>46548</v>
      </c>
      <c r="U9308" t="s">
        <v>54672</v>
      </c>
      <c r="W9308" t="s">
        <v>41789</v>
      </c>
      <c r="X9308" t="s">
        <v>44770</v>
      </c>
    </row>
    <row r="9309" spans="1:24">
      <c r="A9309">
        <f>HYPERLINK("https://www.philgeps.gov.ph/GEPSNONPILOT/Tender/SplashBidNoticeAbstractUI.aspx?menuIndex=3&amp;refID=7136356&amp;Result=3","7136356")</f>
        <v>0</v>
      </c>
      <c r="B9309" t="s">
        <v>2462</v>
      </c>
      <c r="C9309" t="s">
        <v>12587</v>
      </c>
      <c r="D9309" t="s">
        <v>17964</v>
      </c>
      <c r="E9309" t="s">
        <v>26130</v>
      </c>
      <c r="F9309" t="s">
        <v>30900</v>
      </c>
      <c r="G9309" t="s">
        <v>30907</v>
      </c>
      <c r="H9309" t="s">
        <v>30915</v>
      </c>
      <c r="I9309" t="s">
        <v>30919</v>
      </c>
      <c r="J9309" t="s">
        <v>36873</v>
      </c>
      <c r="K9309" t="s">
        <v>40446</v>
      </c>
      <c r="M9309" t="s">
        <v>43747</v>
      </c>
      <c r="N9309" t="s">
        <v>44759</v>
      </c>
      <c r="O9309" t="s">
        <v>44760</v>
      </c>
      <c r="P9309">
        <v>0</v>
      </c>
      <c r="Q9309">
        <v>0</v>
      </c>
      <c r="R9309" t="s">
        <v>44769</v>
      </c>
      <c r="S9309" t="s">
        <v>45044</v>
      </c>
      <c r="T9309" t="s">
        <v>46544</v>
      </c>
      <c r="U9309" t="s">
        <v>54673</v>
      </c>
      <c r="W9309" t="s">
        <v>43747</v>
      </c>
      <c r="X9309" t="s">
        <v>44770</v>
      </c>
    </row>
    <row r="9310" spans="1:24">
      <c r="A9310">
        <f>HYPERLINK("https://www.philgeps.gov.ph/GEPSNONPILOT/Tender/SplashBidNoticeAbstractUI.aspx?menuIndex=3&amp;refID=7136331&amp;Result=3","7136331")</f>
        <v>0</v>
      </c>
      <c r="B9310" t="s">
        <v>1879</v>
      </c>
      <c r="C9310" t="s">
        <v>8615</v>
      </c>
      <c r="D9310" t="s">
        <v>17963</v>
      </c>
      <c r="E9310" t="s">
        <v>26131</v>
      </c>
      <c r="F9310" t="s">
        <v>30900</v>
      </c>
      <c r="G9310" t="s">
        <v>30907</v>
      </c>
      <c r="H9310" t="s">
        <v>30915</v>
      </c>
      <c r="I9310" t="s">
        <v>30919</v>
      </c>
      <c r="J9310" t="s">
        <v>36874</v>
      </c>
      <c r="K9310" t="s">
        <v>40280</v>
      </c>
      <c r="M9310" t="s">
        <v>42553</v>
      </c>
      <c r="N9310" t="s">
        <v>44759</v>
      </c>
      <c r="O9310" t="s">
        <v>44760</v>
      </c>
      <c r="P9310">
        <v>0</v>
      </c>
      <c r="Q9310">
        <v>0</v>
      </c>
      <c r="R9310" t="s">
        <v>44769</v>
      </c>
      <c r="S9310" t="s">
        <v>45044</v>
      </c>
      <c r="T9310" t="s">
        <v>46625</v>
      </c>
      <c r="U9310" t="s">
        <v>54674</v>
      </c>
      <c r="W9310" t="s">
        <v>42553</v>
      </c>
      <c r="X9310" t="s">
        <v>44770</v>
      </c>
    </row>
    <row r="9311" spans="1:24">
      <c r="A9311">
        <f>HYPERLINK("https://www.philgeps.gov.ph/GEPSNONPILOT/Tender/SplashBidNoticeAbstractUI.aspx?menuIndex=3&amp;refID=7136398&amp;Result=3","7136398")</f>
        <v>0</v>
      </c>
      <c r="B9311" t="s">
        <v>2840</v>
      </c>
      <c r="C9311" t="s">
        <v>12588</v>
      </c>
      <c r="D9311" t="s">
        <v>17963</v>
      </c>
      <c r="E9311" t="s">
        <v>26132</v>
      </c>
      <c r="F9311" t="s">
        <v>30900</v>
      </c>
      <c r="G9311" t="s">
        <v>30907</v>
      </c>
      <c r="H9311" t="s">
        <v>30916</v>
      </c>
      <c r="I9311" t="s">
        <v>30999</v>
      </c>
      <c r="J9311" t="s">
        <v>31449</v>
      </c>
      <c r="K9311" t="s">
        <v>40283</v>
      </c>
      <c r="M9311" t="s">
        <v>43625</v>
      </c>
      <c r="N9311" t="s">
        <v>44759</v>
      </c>
      <c r="O9311" t="s">
        <v>44760</v>
      </c>
      <c r="P9311">
        <v>0</v>
      </c>
      <c r="Q9311">
        <v>0</v>
      </c>
      <c r="R9311" t="s">
        <v>44769</v>
      </c>
      <c r="S9311" t="s">
        <v>45044</v>
      </c>
      <c r="T9311" t="s">
        <v>46658</v>
      </c>
      <c r="U9311" t="s">
        <v>54675</v>
      </c>
      <c r="W9311" t="s">
        <v>43625</v>
      </c>
      <c r="X9311" t="s">
        <v>44770</v>
      </c>
    </row>
    <row r="9312" spans="1:24">
      <c r="A9312">
        <f>HYPERLINK("https://www.philgeps.gov.ph/GEPSNONPILOT/Tender/SplashBidNoticeAbstractUI.aspx?menuIndex=3&amp;refID=7136412&amp;Result=3","7136412")</f>
        <v>0</v>
      </c>
      <c r="B9312" t="s">
        <v>2949</v>
      </c>
      <c r="C9312" t="s">
        <v>12589</v>
      </c>
      <c r="D9312" t="s">
        <v>17952</v>
      </c>
      <c r="E9312" t="s">
        <v>26133</v>
      </c>
      <c r="F9312" t="s">
        <v>30900</v>
      </c>
      <c r="G9312" t="s">
        <v>30907</v>
      </c>
      <c r="H9312" t="s">
        <v>30916</v>
      </c>
      <c r="I9312" t="s">
        <v>30933</v>
      </c>
      <c r="J9312" t="s">
        <v>31577</v>
      </c>
      <c r="K9312" t="s">
        <v>40293</v>
      </c>
      <c r="M9312" t="s">
        <v>43748</v>
      </c>
      <c r="N9312" t="s">
        <v>44759</v>
      </c>
      <c r="O9312" t="s">
        <v>44760</v>
      </c>
      <c r="P9312">
        <v>0</v>
      </c>
      <c r="Q9312">
        <v>4</v>
      </c>
      <c r="R9312" t="s">
        <v>44769</v>
      </c>
      <c r="S9312" t="s">
        <v>45044</v>
      </c>
      <c r="T9312" t="s">
        <v>46511</v>
      </c>
      <c r="U9312" t="s">
        <v>54676</v>
      </c>
      <c r="W9312" t="s">
        <v>43748</v>
      </c>
      <c r="X9312" t="s">
        <v>44770</v>
      </c>
    </row>
    <row r="9313" spans="1:24">
      <c r="A9313">
        <f>HYPERLINK("https://www.philgeps.gov.ph/GEPSNONPILOT/Tender/SplashBidNoticeAbstractUI.aspx?menuIndex=3&amp;refID=7136490&amp;Result=3","7136490")</f>
        <v>0</v>
      </c>
      <c r="B9313" t="s">
        <v>2950</v>
      </c>
      <c r="C9313" t="s">
        <v>12590</v>
      </c>
      <c r="D9313" t="s">
        <v>18034</v>
      </c>
      <c r="E9313" t="s">
        <v>26134</v>
      </c>
      <c r="F9313" t="s">
        <v>30900</v>
      </c>
      <c r="G9313" t="s">
        <v>30907</v>
      </c>
      <c r="H9313" t="s">
        <v>30916</v>
      </c>
      <c r="I9313" t="s">
        <v>30919</v>
      </c>
      <c r="J9313" t="s">
        <v>36875</v>
      </c>
      <c r="K9313" t="s">
        <v>40283</v>
      </c>
      <c r="M9313" t="s">
        <v>43749</v>
      </c>
      <c r="N9313" t="s">
        <v>44759</v>
      </c>
      <c r="O9313" t="s">
        <v>44760</v>
      </c>
      <c r="P9313">
        <v>0</v>
      </c>
      <c r="Q9313">
        <v>0</v>
      </c>
      <c r="R9313" t="s">
        <v>44769</v>
      </c>
      <c r="S9313" t="s">
        <v>45044</v>
      </c>
      <c r="T9313" t="s">
        <v>46544</v>
      </c>
      <c r="U9313" t="s">
        <v>54677</v>
      </c>
      <c r="V9313" t="s">
        <v>60128</v>
      </c>
      <c r="W9313" t="s">
        <v>43749</v>
      </c>
      <c r="X9313" t="s">
        <v>44770</v>
      </c>
    </row>
    <row r="9314" spans="1:24">
      <c r="A9314">
        <f>HYPERLINK("https://www.philgeps.gov.ph/GEPSNONPILOT/Tender/SplashBidNoticeAbstractUI.aspx?menuIndex=3&amp;refID=7136342&amp;Result=3","7136342")</f>
        <v>0</v>
      </c>
      <c r="B9314" t="s">
        <v>987</v>
      </c>
      <c r="C9314" t="s">
        <v>12591</v>
      </c>
      <c r="E9314" t="s">
        <v>26135</v>
      </c>
      <c r="F9314" t="s">
        <v>30900</v>
      </c>
      <c r="G9314" t="s">
        <v>30908</v>
      </c>
      <c r="H9314" t="s">
        <v>30916</v>
      </c>
      <c r="I9314" t="s">
        <v>9385</v>
      </c>
      <c r="J9314" t="s">
        <v>36876</v>
      </c>
      <c r="K9314" t="s">
        <v>40289</v>
      </c>
      <c r="M9314" t="s">
        <v>43746</v>
      </c>
      <c r="N9314" t="s">
        <v>44759</v>
      </c>
      <c r="O9314" t="s">
        <v>44760</v>
      </c>
      <c r="P9314">
        <v>0</v>
      </c>
      <c r="Q9314">
        <v>6</v>
      </c>
      <c r="R9314" t="s">
        <v>44769</v>
      </c>
      <c r="S9314" t="s">
        <v>45044</v>
      </c>
      <c r="T9314" t="s">
        <v>46581</v>
      </c>
      <c r="U9314" t="s">
        <v>54678</v>
      </c>
      <c r="W9314" t="s">
        <v>43746</v>
      </c>
      <c r="X9314" t="s">
        <v>44770</v>
      </c>
    </row>
    <row r="9315" spans="1:24">
      <c r="A9315">
        <f>HYPERLINK("https://www.philgeps.gov.ph/GEPSNONPILOT/Tender/SplashBidNoticeAbstractUI.aspx?menuIndex=3&amp;refID=7136488&amp;Result=3","7136488")</f>
        <v>0</v>
      </c>
      <c r="B9315" t="s">
        <v>2408</v>
      </c>
      <c r="C9315" t="s">
        <v>5259</v>
      </c>
      <c r="D9315" t="s">
        <v>18032</v>
      </c>
      <c r="E9315" t="s">
        <v>26136</v>
      </c>
      <c r="F9315" t="s">
        <v>30900</v>
      </c>
      <c r="G9315" t="s">
        <v>30907</v>
      </c>
      <c r="H9315" t="s">
        <v>30916</v>
      </c>
      <c r="I9315" t="s">
        <v>30923</v>
      </c>
      <c r="J9315" t="s">
        <v>36877</v>
      </c>
      <c r="K9315" t="s">
        <v>40286</v>
      </c>
      <c r="M9315" t="s">
        <v>43135</v>
      </c>
      <c r="N9315" t="s">
        <v>44759</v>
      </c>
      <c r="O9315" t="s">
        <v>44760</v>
      </c>
      <c r="P9315">
        <v>0</v>
      </c>
      <c r="Q9315">
        <v>17</v>
      </c>
      <c r="R9315" t="s">
        <v>44769</v>
      </c>
      <c r="S9315" t="s">
        <v>45044</v>
      </c>
      <c r="T9315" t="s">
        <v>46450</v>
      </c>
      <c r="U9315" t="s">
        <v>54679</v>
      </c>
      <c r="W9315" t="s">
        <v>43135</v>
      </c>
      <c r="X9315" t="s">
        <v>44770</v>
      </c>
    </row>
    <row r="9316" spans="1:24">
      <c r="A9316">
        <f>HYPERLINK("https://www.philgeps.gov.ph/GEPSNONPILOT/Tender/SplashBidNoticeAbstractUI.aspx?menuIndex=3&amp;refID=7136486&amp;Result=3","7136486")</f>
        <v>0</v>
      </c>
      <c r="B9316" t="s">
        <v>2951</v>
      </c>
      <c r="C9316" t="s">
        <v>12592</v>
      </c>
      <c r="D9316" t="s">
        <v>17982</v>
      </c>
      <c r="E9316" t="s">
        <v>26137</v>
      </c>
      <c r="F9316" t="s">
        <v>30900</v>
      </c>
      <c r="G9316" t="s">
        <v>30907</v>
      </c>
      <c r="H9316" t="s">
        <v>30916</v>
      </c>
      <c r="I9316" t="s">
        <v>30949</v>
      </c>
      <c r="J9316" t="s">
        <v>36878</v>
      </c>
      <c r="K9316" t="s">
        <v>40283</v>
      </c>
      <c r="M9316" t="s">
        <v>43750</v>
      </c>
      <c r="N9316" t="s">
        <v>44759</v>
      </c>
      <c r="O9316" t="s">
        <v>44760</v>
      </c>
      <c r="P9316">
        <v>0</v>
      </c>
      <c r="Q9316">
        <v>1</v>
      </c>
      <c r="R9316" t="s">
        <v>44769</v>
      </c>
      <c r="S9316" t="s">
        <v>45044</v>
      </c>
      <c r="T9316" t="s">
        <v>46411</v>
      </c>
      <c r="U9316" t="s">
        <v>54680</v>
      </c>
      <c r="W9316" t="s">
        <v>43750</v>
      </c>
      <c r="X9316" t="s">
        <v>44770</v>
      </c>
    </row>
    <row r="9317" spans="1:24">
      <c r="A9317">
        <f>HYPERLINK("https://www.philgeps.gov.ph/GEPSNONPILOT/Tender/SplashBidNoticeAbstractUI.aspx?menuIndex=3&amp;refID=7136373&amp;Result=3","7136373")</f>
        <v>0</v>
      </c>
      <c r="B9317" t="s">
        <v>987</v>
      </c>
      <c r="C9317" t="s">
        <v>12593</v>
      </c>
      <c r="E9317" t="s">
        <v>26138</v>
      </c>
      <c r="F9317" t="s">
        <v>30900</v>
      </c>
      <c r="G9317" t="s">
        <v>30908</v>
      </c>
      <c r="H9317" t="s">
        <v>30916</v>
      </c>
      <c r="I9317" t="s">
        <v>31004</v>
      </c>
      <c r="J9317" t="s">
        <v>36879</v>
      </c>
      <c r="K9317" t="s">
        <v>40289</v>
      </c>
      <c r="M9317" t="s">
        <v>43746</v>
      </c>
      <c r="N9317" t="s">
        <v>44759</v>
      </c>
      <c r="O9317" t="s">
        <v>44760</v>
      </c>
      <c r="P9317">
        <v>0</v>
      </c>
      <c r="Q9317">
        <v>2</v>
      </c>
      <c r="R9317" t="s">
        <v>44769</v>
      </c>
      <c r="S9317" t="s">
        <v>45044</v>
      </c>
      <c r="T9317" t="s">
        <v>46581</v>
      </c>
      <c r="U9317" t="s">
        <v>54681</v>
      </c>
      <c r="W9317" t="s">
        <v>43746</v>
      </c>
      <c r="X9317" t="s">
        <v>44770</v>
      </c>
    </row>
    <row r="9318" spans="1:24">
      <c r="A9318">
        <f>HYPERLINK("https://www.philgeps.gov.ph/GEPSNONPILOT/Tender/SplashBidNoticeAbstractUI.aspx?menuIndex=3&amp;refID=7136483&amp;Result=3","7136483")</f>
        <v>0</v>
      </c>
      <c r="B9318" t="s">
        <v>424</v>
      </c>
      <c r="C9318" t="s">
        <v>12594</v>
      </c>
      <c r="D9318" t="s">
        <v>17955</v>
      </c>
      <c r="E9318" t="s">
        <v>21852</v>
      </c>
      <c r="F9318" t="s">
        <v>30900</v>
      </c>
      <c r="G9318" t="s">
        <v>30907</v>
      </c>
      <c r="H9318" t="s">
        <v>30915</v>
      </c>
      <c r="I9318" t="s">
        <v>30919</v>
      </c>
      <c r="J9318" t="s">
        <v>36880</v>
      </c>
      <c r="K9318" t="s">
        <v>40321</v>
      </c>
      <c r="M9318" t="s">
        <v>40981</v>
      </c>
      <c r="N9318" t="s">
        <v>44759</v>
      </c>
      <c r="O9318" t="s">
        <v>44760</v>
      </c>
      <c r="P9318">
        <v>0</v>
      </c>
      <c r="Q9318">
        <v>1</v>
      </c>
      <c r="R9318" t="s">
        <v>44769</v>
      </c>
      <c r="S9318" t="s">
        <v>45044</v>
      </c>
      <c r="T9318" t="s">
        <v>46531</v>
      </c>
      <c r="U9318" t="s">
        <v>47629</v>
      </c>
      <c r="W9318" t="s">
        <v>40981</v>
      </c>
      <c r="X9318" t="s">
        <v>44770</v>
      </c>
    </row>
    <row r="9319" spans="1:24">
      <c r="A9319">
        <f>HYPERLINK("https://www.philgeps.gov.ph/GEPSNONPILOT/Tender/SplashBidNoticeAbstractUI.aspx?menuIndex=3&amp;refID=7136472&amp;Result=3","7136472")</f>
        <v>0</v>
      </c>
      <c r="B9319" t="s">
        <v>582</v>
      </c>
      <c r="C9319" t="s">
        <v>12595</v>
      </c>
      <c r="D9319" t="s">
        <v>18019</v>
      </c>
      <c r="E9319" t="s">
        <v>21515</v>
      </c>
      <c r="F9319" t="s">
        <v>30900</v>
      </c>
      <c r="G9319" t="s">
        <v>30907</v>
      </c>
      <c r="H9319" t="s">
        <v>30916</v>
      </c>
      <c r="I9319" t="s">
        <v>30939</v>
      </c>
      <c r="J9319" t="s">
        <v>36881</v>
      </c>
      <c r="K9319" t="s">
        <v>40283</v>
      </c>
      <c r="M9319" t="s">
        <v>41144</v>
      </c>
      <c r="N9319" t="s">
        <v>44759</v>
      </c>
      <c r="O9319" t="s">
        <v>44760</v>
      </c>
      <c r="P9319">
        <v>0</v>
      </c>
      <c r="Q9319">
        <v>2</v>
      </c>
      <c r="R9319" t="s">
        <v>44769</v>
      </c>
      <c r="S9319" t="s">
        <v>45044</v>
      </c>
      <c r="T9319" t="s">
        <v>46495</v>
      </c>
      <c r="U9319" t="s">
        <v>54682</v>
      </c>
      <c r="W9319" t="s">
        <v>41144</v>
      </c>
      <c r="X9319" t="s">
        <v>44770</v>
      </c>
    </row>
    <row r="9320" spans="1:24">
      <c r="A9320">
        <f>HYPERLINK("https://www.philgeps.gov.ph/GEPSNONPILOT/Tender/SplashBidNoticeAbstractUI.aspx?menuIndex=3&amp;refID=7136466&amp;Result=3","7136466")</f>
        <v>0</v>
      </c>
      <c r="B9320" t="s">
        <v>2072</v>
      </c>
      <c r="C9320" t="s">
        <v>12596</v>
      </c>
      <c r="D9320" t="s">
        <v>17951</v>
      </c>
      <c r="E9320" t="s">
        <v>26139</v>
      </c>
      <c r="F9320" t="s">
        <v>30900</v>
      </c>
      <c r="G9320" t="s">
        <v>30907</v>
      </c>
      <c r="H9320" t="s">
        <v>30916</v>
      </c>
      <c r="I9320" t="s">
        <v>30934</v>
      </c>
      <c r="J9320" t="s">
        <v>36882</v>
      </c>
      <c r="K9320" t="s">
        <v>40286</v>
      </c>
      <c r="M9320" t="s">
        <v>42771</v>
      </c>
      <c r="N9320" t="s">
        <v>44759</v>
      </c>
      <c r="O9320" t="s">
        <v>44760</v>
      </c>
      <c r="P9320">
        <v>0</v>
      </c>
      <c r="Q9320">
        <v>1</v>
      </c>
      <c r="R9320" t="s">
        <v>44769</v>
      </c>
      <c r="S9320" t="s">
        <v>45044</v>
      </c>
      <c r="T9320" t="s">
        <v>46644</v>
      </c>
      <c r="U9320" t="s">
        <v>51776</v>
      </c>
      <c r="W9320" t="s">
        <v>42771</v>
      </c>
      <c r="X9320" t="s">
        <v>44770</v>
      </c>
    </row>
    <row r="9321" spans="1:24">
      <c r="A9321">
        <f>HYPERLINK("https://www.philgeps.gov.ph/GEPSNONPILOT/Tender/SplashBidNoticeAbstractUI.aspx?menuIndex=3&amp;refID=7136457&amp;Result=3","7136457")</f>
        <v>0</v>
      </c>
      <c r="B9321" t="s">
        <v>2930</v>
      </c>
      <c r="C9321" t="s">
        <v>12597</v>
      </c>
      <c r="D9321" t="s">
        <v>17985</v>
      </c>
      <c r="E9321" t="s">
        <v>26140</v>
      </c>
      <c r="F9321" t="s">
        <v>30900</v>
      </c>
      <c r="G9321" t="s">
        <v>30907</v>
      </c>
      <c r="H9321" t="s">
        <v>30916</v>
      </c>
      <c r="I9321" t="s">
        <v>30963</v>
      </c>
      <c r="J9321" t="s">
        <v>36883</v>
      </c>
      <c r="K9321" t="s">
        <v>40286</v>
      </c>
      <c r="M9321" t="s">
        <v>43726</v>
      </c>
      <c r="N9321" t="s">
        <v>44759</v>
      </c>
      <c r="O9321" t="s">
        <v>44760</v>
      </c>
      <c r="P9321">
        <v>0</v>
      </c>
      <c r="Q9321">
        <v>2</v>
      </c>
      <c r="R9321" t="s">
        <v>44769</v>
      </c>
      <c r="S9321" t="s">
        <v>45044</v>
      </c>
      <c r="T9321" t="s">
        <v>46808</v>
      </c>
      <c r="U9321" t="s">
        <v>54683</v>
      </c>
      <c r="W9321" t="s">
        <v>43726</v>
      </c>
      <c r="X9321" t="s">
        <v>44770</v>
      </c>
    </row>
    <row r="9322" spans="1:24">
      <c r="A9322">
        <f>HYPERLINK("https://www.philgeps.gov.ph/GEPSNONPILOT/Tender/SplashBidNoticeAbstractUI.aspx?menuIndex=3&amp;refID=7136453&amp;Result=3","7136453")</f>
        <v>0</v>
      </c>
      <c r="B9322" t="s">
        <v>2952</v>
      </c>
      <c r="C9322" t="s">
        <v>12598</v>
      </c>
      <c r="D9322" t="s">
        <v>17987</v>
      </c>
      <c r="E9322" t="s">
        <v>25031</v>
      </c>
      <c r="F9322" t="s">
        <v>30904</v>
      </c>
      <c r="G9322" t="s">
        <v>30907</v>
      </c>
      <c r="H9322" t="s">
        <v>30916</v>
      </c>
      <c r="I9322" t="s">
        <v>30933</v>
      </c>
      <c r="J9322" t="s">
        <v>36428</v>
      </c>
      <c r="K9322" t="s">
        <v>40284</v>
      </c>
      <c r="L9322" t="s">
        <v>2952</v>
      </c>
      <c r="M9322" t="s">
        <v>43751</v>
      </c>
      <c r="N9322" t="s">
        <v>44759</v>
      </c>
      <c r="O9322" t="s">
        <v>44760</v>
      </c>
      <c r="P9322">
        <v>0</v>
      </c>
      <c r="Q9322">
        <v>1</v>
      </c>
      <c r="R9322" t="s">
        <v>44769</v>
      </c>
      <c r="S9322" t="s">
        <v>45044</v>
      </c>
      <c r="T9322" t="s">
        <v>46549</v>
      </c>
      <c r="U9322" t="s">
        <v>54684</v>
      </c>
      <c r="V9322" t="s">
        <v>60129</v>
      </c>
      <c r="W9322" t="s">
        <v>43751</v>
      </c>
      <c r="X9322" t="s">
        <v>44770</v>
      </c>
    </row>
    <row r="9323" spans="1:24">
      <c r="A9323">
        <f>HYPERLINK("https://www.philgeps.gov.ph/GEPSNONPILOT/Tender/SplashBidNoticeAbstractUI.aspx?menuIndex=3&amp;refID=7136451&amp;Result=3","7136451")</f>
        <v>0</v>
      </c>
      <c r="B9323" t="s">
        <v>267</v>
      </c>
      <c r="C9323" t="s">
        <v>12599</v>
      </c>
      <c r="D9323" t="s">
        <v>17959</v>
      </c>
      <c r="E9323" t="s">
        <v>26141</v>
      </c>
      <c r="F9323" t="s">
        <v>30900</v>
      </c>
      <c r="G9323" t="s">
        <v>30907</v>
      </c>
      <c r="H9323" t="s">
        <v>30915</v>
      </c>
      <c r="I9323" t="s">
        <v>30919</v>
      </c>
      <c r="J9323" t="s">
        <v>36884</v>
      </c>
      <c r="K9323" t="s">
        <v>40293</v>
      </c>
      <c r="M9323" t="s">
        <v>41338</v>
      </c>
      <c r="N9323" t="s">
        <v>44759</v>
      </c>
      <c r="O9323" t="s">
        <v>44760</v>
      </c>
      <c r="P9323">
        <v>0</v>
      </c>
      <c r="Q9323">
        <v>0</v>
      </c>
      <c r="R9323" t="s">
        <v>44769</v>
      </c>
      <c r="S9323" t="s">
        <v>45044</v>
      </c>
      <c r="T9323" t="s">
        <v>46544</v>
      </c>
      <c r="U9323" t="s">
        <v>54685</v>
      </c>
      <c r="W9323" t="s">
        <v>41338</v>
      </c>
      <c r="X9323" t="s">
        <v>44770</v>
      </c>
    </row>
    <row r="9324" spans="1:24">
      <c r="A9324">
        <f>HYPERLINK("https://www.philgeps.gov.ph/GEPSNONPILOT/Tender/SplashBidNoticeAbstractUI.aspx?menuIndex=3&amp;refID=7136378&amp;Result=3","7136378")</f>
        <v>0</v>
      </c>
      <c r="B9324" t="s">
        <v>1119</v>
      </c>
      <c r="C9324" t="s">
        <v>12600</v>
      </c>
      <c r="D9324" t="s">
        <v>17959</v>
      </c>
      <c r="E9324" t="s">
        <v>26142</v>
      </c>
      <c r="F9324" t="s">
        <v>30900</v>
      </c>
      <c r="G9324" t="s">
        <v>30910</v>
      </c>
      <c r="H9324" t="s">
        <v>30916</v>
      </c>
      <c r="I9324" t="s">
        <v>6396</v>
      </c>
      <c r="J9324" t="s">
        <v>32570</v>
      </c>
      <c r="K9324" t="s">
        <v>40283</v>
      </c>
      <c r="M9324" t="s">
        <v>41749</v>
      </c>
      <c r="N9324" t="s">
        <v>44759</v>
      </c>
      <c r="O9324" t="s">
        <v>44760</v>
      </c>
      <c r="P9324">
        <v>0</v>
      </c>
      <c r="Q9324">
        <v>33</v>
      </c>
      <c r="R9324" t="s">
        <v>44769</v>
      </c>
      <c r="S9324" t="s">
        <v>45044</v>
      </c>
      <c r="T9324" t="s">
        <v>46531</v>
      </c>
      <c r="U9324" t="s">
        <v>49074</v>
      </c>
      <c r="V9324" t="s">
        <v>59399</v>
      </c>
      <c r="W9324" t="s">
        <v>41749</v>
      </c>
      <c r="X9324" t="s">
        <v>44770</v>
      </c>
    </row>
    <row r="9325" spans="1:24">
      <c r="A9325">
        <f>HYPERLINK("https://www.philgeps.gov.ph/GEPSNONPILOT/Tender/SplashBidNoticeAbstractUI.aspx?menuIndex=3&amp;refID=7136450&amp;Result=3","7136450")</f>
        <v>0</v>
      </c>
      <c r="B9325" t="s">
        <v>1879</v>
      </c>
      <c r="C9325" t="s">
        <v>5990</v>
      </c>
      <c r="D9325" t="s">
        <v>17963</v>
      </c>
      <c r="E9325" t="s">
        <v>26143</v>
      </c>
      <c r="F9325" t="s">
        <v>30900</v>
      </c>
      <c r="G9325" t="s">
        <v>30907</v>
      </c>
      <c r="H9325" t="s">
        <v>30917</v>
      </c>
      <c r="I9325" t="s">
        <v>30919</v>
      </c>
      <c r="J9325" t="s">
        <v>36885</v>
      </c>
      <c r="K9325" t="s">
        <v>40280</v>
      </c>
      <c r="M9325" t="s">
        <v>42553</v>
      </c>
      <c r="N9325" t="s">
        <v>44759</v>
      </c>
      <c r="O9325" t="s">
        <v>44760</v>
      </c>
      <c r="P9325">
        <v>0</v>
      </c>
      <c r="Q9325">
        <v>0</v>
      </c>
      <c r="R9325" t="s">
        <v>44769</v>
      </c>
      <c r="S9325" t="s">
        <v>45044</v>
      </c>
      <c r="T9325" t="s">
        <v>46625</v>
      </c>
      <c r="U9325" t="s">
        <v>54667</v>
      </c>
      <c r="W9325" t="s">
        <v>42553</v>
      </c>
      <c r="X9325" t="s">
        <v>44770</v>
      </c>
    </row>
    <row r="9326" spans="1:24">
      <c r="A9326">
        <f>HYPERLINK("https://www.philgeps.gov.ph/GEPSNONPILOT/Tender/SplashBidNoticeAbstractUI.aspx?menuIndex=3&amp;refID=7136168&amp;Result=3","7136168")</f>
        <v>0</v>
      </c>
      <c r="B9326" t="s">
        <v>2944</v>
      </c>
      <c r="C9326" t="s">
        <v>12601</v>
      </c>
      <c r="D9326" t="s">
        <v>17971</v>
      </c>
      <c r="E9326" t="s">
        <v>26144</v>
      </c>
      <c r="F9326" t="s">
        <v>30900</v>
      </c>
      <c r="G9326" t="s">
        <v>30907</v>
      </c>
      <c r="H9326" t="s">
        <v>30916</v>
      </c>
      <c r="I9326" t="s">
        <v>8123</v>
      </c>
      <c r="J9326" t="s">
        <v>36886</v>
      </c>
      <c r="K9326" t="s">
        <v>40286</v>
      </c>
      <c r="M9326" t="s">
        <v>43741</v>
      </c>
      <c r="N9326" t="s">
        <v>44759</v>
      </c>
      <c r="O9326" t="s">
        <v>44760</v>
      </c>
      <c r="P9326">
        <v>0</v>
      </c>
      <c r="Q9326">
        <v>5</v>
      </c>
      <c r="R9326" t="s">
        <v>44769</v>
      </c>
      <c r="S9326" t="s">
        <v>45044</v>
      </c>
      <c r="T9326" t="s">
        <v>46409</v>
      </c>
      <c r="U9326" t="s">
        <v>54657</v>
      </c>
      <c r="W9326" t="s">
        <v>43741</v>
      </c>
      <c r="X9326" t="s">
        <v>44770</v>
      </c>
    </row>
    <row r="9327" spans="1:24">
      <c r="A9327">
        <f>HYPERLINK("https://www.philgeps.gov.ph/GEPSNONPILOT/Tender/SplashBidNoticeAbstractUI.aspx?menuIndex=3&amp;refID=7136447&amp;Result=3","7136447")</f>
        <v>0</v>
      </c>
      <c r="B9327" t="s">
        <v>2809</v>
      </c>
      <c r="C9327" t="s">
        <v>12602</v>
      </c>
      <c r="D9327" t="s">
        <v>17961</v>
      </c>
      <c r="E9327" t="s">
        <v>25596</v>
      </c>
      <c r="F9327" t="s">
        <v>30900</v>
      </c>
      <c r="G9327" t="s">
        <v>30907</v>
      </c>
      <c r="H9327" t="s">
        <v>30916</v>
      </c>
      <c r="I9327" t="s">
        <v>10879</v>
      </c>
      <c r="J9327" t="s">
        <v>31589</v>
      </c>
      <c r="K9327" t="s">
        <v>40284</v>
      </c>
      <c r="M9327" t="s">
        <v>43594</v>
      </c>
      <c r="N9327" t="s">
        <v>44759</v>
      </c>
      <c r="O9327" t="s">
        <v>44760</v>
      </c>
      <c r="P9327">
        <v>0</v>
      </c>
      <c r="Q9327">
        <v>0</v>
      </c>
      <c r="R9327" t="s">
        <v>44769</v>
      </c>
      <c r="S9327" t="s">
        <v>45044</v>
      </c>
      <c r="T9327" t="s">
        <v>46562</v>
      </c>
      <c r="U9327" t="s">
        <v>54686</v>
      </c>
      <c r="W9327" t="s">
        <v>43594</v>
      </c>
      <c r="X9327" t="s">
        <v>44770</v>
      </c>
    </row>
    <row r="9328" spans="1:24">
      <c r="A9328">
        <f>HYPERLINK("https://www.philgeps.gov.ph/GEPSNONPILOT/Tender/SplashBidNoticeAbstractUI.aspx?menuIndex=3&amp;refID=7136468&amp;Result=3","7136468")</f>
        <v>0</v>
      </c>
      <c r="B9328" t="s">
        <v>278</v>
      </c>
      <c r="C9328" t="s">
        <v>12603</v>
      </c>
      <c r="D9328" t="s">
        <v>17995</v>
      </c>
      <c r="E9328" t="s">
        <v>26145</v>
      </c>
      <c r="F9328" t="s">
        <v>30900</v>
      </c>
      <c r="G9328" t="s">
        <v>30909</v>
      </c>
      <c r="H9328" t="s">
        <v>30916</v>
      </c>
      <c r="I9328" t="s">
        <v>10602</v>
      </c>
      <c r="J9328" t="s">
        <v>36887</v>
      </c>
      <c r="K9328" t="s">
        <v>40289</v>
      </c>
      <c r="M9328" t="s">
        <v>40887</v>
      </c>
      <c r="N9328" t="s">
        <v>44759</v>
      </c>
      <c r="O9328" t="s">
        <v>44760</v>
      </c>
      <c r="P9328">
        <v>0</v>
      </c>
      <c r="Q9328">
        <v>0</v>
      </c>
      <c r="R9328" t="s">
        <v>44769</v>
      </c>
      <c r="S9328" t="s">
        <v>45044</v>
      </c>
      <c r="T9328" t="s">
        <v>46625</v>
      </c>
      <c r="U9328" t="s">
        <v>54687</v>
      </c>
      <c r="W9328" t="s">
        <v>60825</v>
      </c>
      <c r="X9328" t="s">
        <v>44770</v>
      </c>
    </row>
    <row r="9329" spans="1:24">
      <c r="A9329">
        <f>HYPERLINK("https://www.philgeps.gov.ph/GEPSNONPILOT/Tender/SplashBidNoticeAbstractUI.aspx?menuIndex=3&amp;refID=7136435&amp;Result=3","7136435")</f>
        <v>0</v>
      </c>
      <c r="B9329" t="s">
        <v>2462</v>
      </c>
      <c r="C9329" t="s">
        <v>12604</v>
      </c>
      <c r="D9329" t="s">
        <v>17964</v>
      </c>
      <c r="E9329" t="s">
        <v>26146</v>
      </c>
      <c r="F9329" t="s">
        <v>30900</v>
      </c>
      <c r="G9329" t="s">
        <v>30907</v>
      </c>
      <c r="H9329" t="s">
        <v>30915</v>
      </c>
      <c r="I9329" t="s">
        <v>30919</v>
      </c>
      <c r="J9329" t="s">
        <v>31214</v>
      </c>
      <c r="K9329" t="s">
        <v>40301</v>
      </c>
      <c r="M9329" t="s">
        <v>43752</v>
      </c>
      <c r="N9329" t="s">
        <v>44759</v>
      </c>
      <c r="O9329" t="s">
        <v>44760</v>
      </c>
      <c r="P9329">
        <v>0</v>
      </c>
      <c r="Q9329">
        <v>4</v>
      </c>
      <c r="R9329" t="s">
        <v>44769</v>
      </c>
      <c r="S9329" t="s">
        <v>45044</v>
      </c>
      <c r="T9329" t="s">
        <v>46544</v>
      </c>
      <c r="U9329" t="s">
        <v>54688</v>
      </c>
      <c r="W9329" t="s">
        <v>43747</v>
      </c>
      <c r="X9329" t="s">
        <v>44770</v>
      </c>
    </row>
    <row r="9330" spans="1:24">
      <c r="A9330">
        <f>HYPERLINK("https://www.philgeps.gov.ph/GEPSNONPILOT/Tender/SplashBidNoticeAbstractUI.aspx?menuIndex=3&amp;refID=7136491&amp;Result=3","7136491")</f>
        <v>0</v>
      </c>
      <c r="B9330" t="s">
        <v>2215</v>
      </c>
      <c r="C9330" t="s">
        <v>12605</v>
      </c>
      <c r="E9330" t="s">
        <v>26147</v>
      </c>
      <c r="F9330" t="s">
        <v>30900</v>
      </c>
      <c r="G9330" t="s">
        <v>30907</v>
      </c>
      <c r="H9330" t="s">
        <v>30915</v>
      </c>
      <c r="I9330" t="s">
        <v>30919</v>
      </c>
      <c r="J9330" t="s">
        <v>31152</v>
      </c>
      <c r="K9330" t="s">
        <v>40280</v>
      </c>
      <c r="M9330" t="s">
        <v>42924</v>
      </c>
      <c r="N9330" t="s">
        <v>44759</v>
      </c>
      <c r="O9330" t="s">
        <v>44760</v>
      </c>
      <c r="P9330">
        <v>0</v>
      </c>
      <c r="Q9330">
        <v>0</v>
      </c>
      <c r="R9330" t="s">
        <v>44769</v>
      </c>
      <c r="S9330" t="s">
        <v>45044</v>
      </c>
      <c r="T9330" t="s">
        <v>46411</v>
      </c>
      <c r="U9330" t="s">
        <v>54689</v>
      </c>
      <c r="W9330" t="s">
        <v>42924</v>
      </c>
      <c r="X9330" t="s">
        <v>44770</v>
      </c>
    </row>
    <row r="9331" spans="1:24">
      <c r="A9331">
        <f>HYPERLINK("https://www.philgeps.gov.ph/GEPSNONPILOT/Tender/SplashBidNoticeAbstractUI.aspx?menuIndex=3&amp;refID=7136312&amp;Result=3","7136312")</f>
        <v>0</v>
      </c>
      <c r="B9331" t="s">
        <v>2953</v>
      </c>
      <c r="C9331" t="s">
        <v>12606</v>
      </c>
      <c r="E9331" t="s">
        <v>24471</v>
      </c>
      <c r="F9331" t="s">
        <v>30900</v>
      </c>
      <c r="G9331" t="s">
        <v>30907</v>
      </c>
      <c r="H9331" t="s">
        <v>30915</v>
      </c>
      <c r="I9331" t="s">
        <v>30919</v>
      </c>
      <c r="J9331" t="s">
        <v>36888</v>
      </c>
      <c r="K9331" t="s">
        <v>40291</v>
      </c>
      <c r="M9331" t="s">
        <v>43753</v>
      </c>
      <c r="N9331" t="s">
        <v>44759</v>
      </c>
      <c r="O9331" t="s">
        <v>44760</v>
      </c>
      <c r="P9331">
        <v>0</v>
      </c>
      <c r="Q9331">
        <v>1</v>
      </c>
      <c r="R9331" t="s">
        <v>44769</v>
      </c>
      <c r="S9331" t="s">
        <v>45044</v>
      </c>
      <c r="T9331" t="s">
        <v>46412</v>
      </c>
      <c r="U9331" t="s">
        <v>54690</v>
      </c>
      <c r="W9331" t="s">
        <v>43753</v>
      </c>
      <c r="X9331" t="s">
        <v>44770</v>
      </c>
    </row>
    <row r="9332" spans="1:24">
      <c r="A9332">
        <f>HYPERLINK("https://www.philgeps.gov.ph/GEPSNONPILOT/Tender/SplashBidNoticeAbstractUI.aspx?menuIndex=3&amp;refID=7136310&amp;Result=3","7136310")</f>
        <v>0</v>
      </c>
      <c r="B9332" t="s">
        <v>2954</v>
      </c>
      <c r="C9332" t="s">
        <v>12607</v>
      </c>
      <c r="D9332" t="s">
        <v>18003</v>
      </c>
      <c r="E9332" t="s">
        <v>24423</v>
      </c>
      <c r="F9332" t="s">
        <v>30904</v>
      </c>
      <c r="G9332" t="s">
        <v>30907</v>
      </c>
      <c r="H9332" t="s">
        <v>30916</v>
      </c>
      <c r="I9332" t="s">
        <v>8123</v>
      </c>
      <c r="J9332" t="s">
        <v>31066</v>
      </c>
      <c r="K9332" t="s">
        <v>40283</v>
      </c>
      <c r="L9332" t="s">
        <v>2954</v>
      </c>
      <c r="M9332" t="s">
        <v>43754</v>
      </c>
      <c r="N9332" t="s">
        <v>44759</v>
      </c>
      <c r="O9332" t="s">
        <v>44760</v>
      </c>
      <c r="P9332">
        <v>0</v>
      </c>
      <c r="Q9332">
        <v>0</v>
      </c>
      <c r="R9332" t="s">
        <v>44769</v>
      </c>
      <c r="S9332" t="s">
        <v>45044</v>
      </c>
      <c r="T9332" t="s">
        <v>46389</v>
      </c>
      <c r="U9332" t="s">
        <v>54691</v>
      </c>
      <c r="W9332" t="s">
        <v>43754</v>
      </c>
      <c r="X9332" t="s">
        <v>44770</v>
      </c>
    </row>
    <row r="9333" spans="1:24">
      <c r="A9333">
        <f>HYPERLINK("https://www.philgeps.gov.ph/GEPSNONPILOT/Tender/SplashBidNoticeAbstractUI.aspx?menuIndex=3&amp;refID=7136417&amp;Result=3","7136417")</f>
        <v>0</v>
      </c>
      <c r="B9333" t="s">
        <v>58</v>
      </c>
      <c r="C9333" t="s">
        <v>12608</v>
      </c>
      <c r="D9333" t="s">
        <v>17977</v>
      </c>
      <c r="E9333" t="s">
        <v>26148</v>
      </c>
      <c r="F9333" t="s">
        <v>30900</v>
      </c>
      <c r="G9333" t="s">
        <v>30907</v>
      </c>
      <c r="H9333" t="s">
        <v>30916</v>
      </c>
      <c r="I9333" t="s">
        <v>4108</v>
      </c>
      <c r="J9333" t="s">
        <v>36889</v>
      </c>
      <c r="K9333" t="s">
        <v>40287</v>
      </c>
      <c r="M9333" t="s">
        <v>40604</v>
      </c>
      <c r="N9333" t="s">
        <v>44759</v>
      </c>
      <c r="O9333" t="s">
        <v>44760</v>
      </c>
      <c r="P9333">
        <v>0</v>
      </c>
      <c r="Q9333">
        <v>3</v>
      </c>
      <c r="R9333" t="s">
        <v>44769</v>
      </c>
      <c r="S9333" t="s">
        <v>45044</v>
      </c>
      <c r="T9333" t="s">
        <v>46428</v>
      </c>
      <c r="U9333" t="s">
        <v>54692</v>
      </c>
      <c r="W9333" t="s">
        <v>60815</v>
      </c>
      <c r="X9333" t="s">
        <v>44770</v>
      </c>
    </row>
    <row r="9334" spans="1:24">
      <c r="A9334">
        <f>HYPERLINK("https://www.philgeps.gov.ph/GEPSNONPILOT/Tender/SplashBidNoticeAbstractUI.aspx?menuIndex=3&amp;refID=7136164&amp;Result=3","7136164")</f>
        <v>0</v>
      </c>
      <c r="B9334" t="s">
        <v>2937</v>
      </c>
      <c r="C9334" t="s">
        <v>12609</v>
      </c>
      <c r="D9334" t="s">
        <v>17953</v>
      </c>
      <c r="E9334" t="s">
        <v>18117</v>
      </c>
      <c r="F9334" t="s">
        <v>30900</v>
      </c>
      <c r="G9334" t="s">
        <v>30907</v>
      </c>
      <c r="H9334" t="s">
        <v>30916</v>
      </c>
      <c r="I9334" t="s">
        <v>8123</v>
      </c>
      <c r="J9334" t="s">
        <v>33171</v>
      </c>
      <c r="K9334" t="s">
        <v>40283</v>
      </c>
      <c r="M9334" t="s">
        <v>43734</v>
      </c>
      <c r="N9334" t="s">
        <v>44759</v>
      </c>
      <c r="O9334" t="s">
        <v>44760</v>
      </c>
      <c r="P9334">
        <v>0</v>
      </c>
      <c r="Q9334">
        <v>0</v>
      </c>
      <c r="R9334" t="s">
        <v>44769</v>
      </c>
      <c r="S9334" t="s">
        <v>45044</v>
      </c>
      <c r="T9334" t="s">
        <v>46544</v>
      </c>
      <c r="U9334" t="s">
        <v>54693</v>
      </c>
      <c r="W9334" t="s">
        <v>43734</v>
      </c>
      <c r="X9334" t="s">
        <v>44770</v>
      </c>
    </row>
    <row r="9335" spans="1:24">
      <c r="A9335">
        <f>HYPERLINK("https://www.philgeps.gov.ph/GEPSNONPILOT/Tender/SplashBidNoticeAbstractUI.aspx?menuIndex=3&amp;refID=7136159&amp;Result=3","7136159")</f>
        <v>0</v>
      </c>
      <c r="B9335" t="s">
        <v>2921</v>
      </c>
      <c r="C9335" t="s">
        <v>12610</v>
      </c>
      <c r="D9335" t="s">
        <v>17974</v>
      </c>
      <c r="E9335" t="s">
        <v>26149</v>
      </c>
      <c r="F9335" t="s">
        <v>30900</v>
      </c>
      <c r="G9335" t="s">
        <v>30907</v>
      </c>
      <c r="H9335" t="s">
        <v>30916</v>
      </c>
      <c r="I9335" t="s">
        <v>9385</v>
      </c>
      <c r="J9335" t="s">
        <v>32145</v>
      </c>
      <c r="K9335" t="s">
        <v>40286</v>
      </c>
      <c r="M9335" t="s">
        <v>43716</v>
      </c>
      <c r="N9335" t="s">
        <v>44759</v>
      </c>
      <c r="O9335" t="s">
        <v>44760</v>
      </c>
      <c r="P9335">
        <v>0</v>
      </c>
      <c r="Q9335">
        <v>7</v>
      </c>
      <c r="R9335" t="s">
        <v>44769</v>
      </c>
      <c r="S9335" t="s">
        <v>45044</v>
      </c>
      <c r="T9335" t="s">
        <v>46495</v>
      </c>
      <c r="U9335" t="s">
        <v>54694</v>
      </c>
      <c r="W9335" t="s">
        <v>43716</v>
      </c>
      <c r="X9335" t="s">
        <v>44770</v>
      </c>
    </row>
    <row r="9336" spans="1:24">
      <c r="A9336">
        <f>HYPERLINK("https://www.philgeps.gov.ph/GEPSNONPILOT/Tender/SplashBidNoticeAbstractUI.aspx?menuIndex=3&amp;refID=7136404&amp;Result=3","7136404")</f>
        <v>0</v>
      </c>
      <c r="B9336" t="s">
        <v>1578</v>
      </c>
      <c r="C9336" t="s">
        <v>12611</v>
      </c>
      <c r="D9336" t="s">
        <v>17957</v>
      </c>
      <c r="E9336" t="s">
        <v>26150</v>
      </c>
      <c r="F9336" t="s">
        <v>30900</v>
      </c>
      <c r="G9336" t="s">
        <v>30908</v>
      </c>
      <c r="H9336" t="s">
        <v>30916</v>
      </c>
      <c r="I9336" t="s">
        <v>30941</v>
      </c>
      <c r="J9336" t="s">
        <v>31049</v>
      </c>
      <c r="K9336" t="s">
        <v>40287</v>
      </c>
      <c r="M9336" t="s">
        <v>42225</v>
      </c>
      <c r="N9336" t="s">
        <v>44759</v>
      </c>
      <c r="O9336" t="s">
        <v>44760</v>
      </c>
      <c r="P9336">
        <v>0</v>
      </c>
      <c r="Q9336">
        <v>0</v>
      </c>
      <c r="R9336" t="s">
        <v>44769</v>
      </c>
      <c r="S9336" t="s">
        <v>45044</v>
      </c>
      <c r="T9336" t="s">
        <v>46414</v>
      </c>
      <c r="U9336" t="s">
        <v>54695</v>
      </c>
      <c r="W9336" t="s">
        <v>42225</v>
      </c>
      <c r="X9336" t="s">
        <v>44770</v>
      </c>
    </row>
    <row r="9337" spans="1:24">
      <c r="A9337">
        <f>HYPERLINK("https://www.philgeps.gov.ph/GEPSNONPILOT/Tender/SplashBidNoticeAbstractUI.aspx?menuIndex=3&amp;refID=7136316&amp;Result=3","7136316")</f>
        <v>0</v>
      </c>
      <c r="B9337" t="s">
        <v>1399</v>
      </c>
      <c r="C9337" t="s">
        <v>12612</v>
      </c>
      <c r="D9337" t="s">
        <v>18017</v>
      </c>
      <c r="E9337" t="s">
        <v>26151</v>
      </c>
      <c r="F9337" t="s">
        <v>30900</v>
      </c>
      <c r="G9337" t="s">
        <v>30907</v>
      </c>
      <c r="H9337" t="s">
        <v>30915</v>
      </c>
      <c r="I9337" t="s">
        <v>30919</v>
      </c>
      <c r="J9337" t="s">
        <v>36890</v>
      </c>
      <c r="K9337" t="s">
        <v>40304</v>
      </c>
      <c r="M9337" t="s">
        <v>42025</v>
      </c>
      <c r="N9337" t="s">
        <v>44759</v>
      </c>
      <c r="O9337" t="s">
        <v>44760</v>
      </c>
      <c r="P9337">
        <v>0</v>
      </c>
      <c r="Q9337">
        <v>1</v>
      </c>
      <c r="R9337" t="s">
        <v>44769</v>
      </c>
      <c r="S9337" t="s">
        <v>45044</v>
      </c>
      <c r="T9337" t="s">
        <v>46455</v>
      </c>
      <c r="U9337" t="s">
        <v>54696</v>
      </c>
      <c r="W9337" t="s">
        <v>42025</v>
      </c>
      <c r="X9337" t="s">
        <v>44770</v>
      </c>
    </row>
    <row r="9338" spans="1:24">
      <c r="A9338">
        <f>HYPERLINK("https://www.philgeps.gov.ph/GEPSNONPILOT/Tender/SplashBidNoticeAbstractUI.aspx?menuIndex=3&amp;refID=7136492&amp;Result=3","7136492")</f>
        <v>0</v>
      </c>
      <c r="B9338" t="s">
        <v>2930</v>
      </c>
      <c r="C9338" t="s">
        <v>12613</v>
      </c>
      <c r="D9338" t="s">
        <v>17985</v>
      </c>
      <c r="E9338" t="s">
        <v>26152</v>
      </c>
      <c r="F9338" t="s">
        <v>30900</v>
      </c>
      <c r="G9338" t="s">
        <v>30907</v>
      </c>
      <c r="H9338" t="s">
        <v>30916</v>
      </c>
      <c r="I9338" t="s">
        <v>4545</v>
      </c>
      <c r="J9338" t="s">
        <v>36891</v>
      </c>
      <c r="K9338" t="s">
        <v>40284</v>
      </c>
      <c r="M9338" t="s">
        <v>43726</v>
      </c>
      <c r="N9338" t="s">
        <v>44759</v>
      </c>
      <c r="O9338" t="s">
        <v>44760</v>
      </c>
      <c r="P9338">
        <v>0</v>
      </c>
      <c r="Q9338">
        <v>11</v>
      </c>
      <c r="R9338" t="s">
        <v>44769</v>
      </c>
      <c r="S9338" t="s">
        <v>45044</v>
      </c>
      <c r="T9338" t="s">
        <v>46808</v>
      </c>
      <c r="U9338" t="s">
        <v>54697</v>
      </c>
      <c r="W9338" t="s">
        <v>43726</v>
      </c>
      <c r="X9338" t="s">
        <v>44770</v>
      </c>
    </row>
    <row r="9339" spans="1:24">
      <c r="A9339">
        <f>HYPERLINK("https://www.philgeps.gov.ph/GEPSNONPILOT/Tender/SplashBidNoticeAbstractUI.aspx?menuIndex=3&amp;refID=7136302&amp;Result=3","7136302")</f>
        <v>0</v>
      </c>
      <c r="B9339" t="s">
        <v>424</v>
      </c>
      <c r="C9339" t="s">
        <v>12614</v>
      </c>
      <c r="D9339" t="s">
        <v>17955</v>
      </c>
      <c r="E9339" t="s">
        <v>26153</v>
      </c>
      <c r="F9339" t="s">
        <v>30900</v>
      </c>
      <c r="G9339" t="s">
        <v>30907</v>
      </c>
      <c r="H9339" t="s">
        <v>30915</v>
      </c>
      <c r="I9339" t="s">
        <v>30919</v>
      </c>
      <c r="J9339" t="s">
        <v>36892</v>
      </c>
      <c r="K9339" t="s">
        <v>40291</v>
      </c>
      <c r="M9339" t="s">
        <v>40981</v>
      </c>
      <c r="N9339" t="s">
        <v>44759</v>
      </c>
      <c r="O9339" t="s">
        <v>44760</v>
      </c>
      <c r="P9339">
        <v>0</v>
      </c>
      <c r="Q9339">
        <v>2</v>
      </c>
      <c r="R9339" t="s">
        <v>44769</v>
      </c>
      <c r="S9339" t="s">
        <v>45044</v>
      </c>
      <c r="T9339" t="s">
        <v>46531</v>
      </c>
      <c r="U9339" t="s">
        <v>47629</v>
      </c>
      <c r="W9339" t="s">
        <v>40981</v>
      </c>
      <c r="X9339" t="s">
        <v>44770</v>
      </c>
    </row>
    <row r="9340" spans="1:24">
      <c r="A9340">
        <f>HYPERLINK("https://www.philgeps.gov.ph/GEPSNONPILOT/Tender/SplashBidNoticeAbstractUI.aspx?menuIndex=3&amp;refID=7136575&amp;Result=3","7136575")</f>
        <v>0</v>
      </c>
      <c r="B9340" t="s">
        <v>2955</v>
      </c>
      <c r="C9340" t="s">
        <v>12615</v>
      </c>
      <c r="D9340" t="s">
        <v>17975</v>
      </c>
      <c r="E9340" t="s">
        <v>26154</v>
      </c>
      <c r="F9340" t="s">
        <v>30900</v>
      </c>
      <c r="G9340" t="s">
        <v>30907</v>
      </c>
      <c r="H9340" t="s">
        <v>7411</v>
      </c>
      <c r="I9340" t="s">
        <v>7411</v>
      </c>
      <c r="J9340" t="s">
        <v>31105</v>
      </c>
      <c r="K9340" t="s">
        <v>40321</v>
      </c>
      <c r="M9340" t="s">
        <v>43755</v>
      </c>
      <c r="N9340" t="s">
        <v>44759</v>
      </c>
      <c r="O9340" t="s">
        <v>44760</v>
      </c>
      <c r="P9340">
        <v>0</v>
      </c>
      <c r="Q9340">
        <v>2</v>
      </c>
      <c r="R9340" t="s">
        <v>44769</v>
      </c>
      <c r="S9340" t="s">
        <v>45044</v>
      </c>
      <c r="T9340" t="s">
        <v>46658</v>
      </c>
      <c r="U9340" t="s">
        <v>54698</v>
      </c>
      <c r="V9340" t="s">
        <v>60130</v>
      </c>
      <c r="W9340" t="s">
        <v>43755</v>
      </c>
      <c r="X9340" t="s">
        <v>44770</v>
      </c>
    </row>
    <row r="9341" spans="1:24">
      <c r="A9341">
        <f>HYPERLINK("https://www.philgeps.gov.ph/GEPSNONPILOT/Tender/SplashBidNoticeAbstractUI.aspx?menuIndex=3&amp;refID=7136421&amp;Result=3","7136421")</f>
        <v>0</v>
      </c>
      <c r="B9341" t="s">
        <v>2908</v>
      </c>
      <c r="C9341" t="s">
        <v>12616</v>
      </c>
      <c r="D9341" t="s">
        <v>17998</v>
      </c>
      <c r="E9341" t="s">
        <v>26155</v>
      </c>
      <c r="F9341" t="s">
        <v>30900</v>
      </c>
      <c r="G9341" t="s">
        <v>30907</v>
      </c>
      <c r="H9341" t="s">
        <v>30915</v>
      </c>
      <c r="I9341" t="s">
        <v>30919</v>
      </c>
      <c r="J9341" t="s">
        <v>33518</v>
      </c>
      <c r="K9341" t="s">
        <v>40304</v>
      </c>
      <c r="M9341" t="s">
        <v>43702</v>
      </c>
      <c r="N9341" t="s">
        <v>44759</v>
      </c>
      <c r="O9341" t="s">
        <v>44760</v>
      </c>
      <c r="P9341">
        <v>0</v>
      </c>
      <c r="Q9341">
        <v>4</v>
      </c>
      <c r="R9341" t="s">
        <v>44769</v>
      </c>
      <c r="S9341" t="s">
        <v>45044</v>
      </c>
      <c r="T9341" t="s">
        <v>46689</v>
      </c>
      <c r="U9341" t="s">
        <v>54699</v>
      </c>
      <c r="W9341" t="s">
        <v>43702</v>
      </c>
      <c r="X9341" t="s">
        <v>44770</v>
      </c>
    </row>
    <row r="9342" spans="1:24">
      <c r="A9342">
        <f>HYPERLINK("https://www.philgeps.gov.ph/GEPSNONPILOT/Tender/SplashBidNoticeAbstractUI.aspx?menuIndex=3&amp;refID=7136574&amp;Result=3","7136574")</f>
        <v>0</v>
      </c>
      <c r="B9342" t="s">
        <v>2956</v>
      </c>
      <c r="C9342" t="s">
        <v>12617</v>
      </c>
      <c r="D9342" t="s">
        <v>17969</v>
      </c>
      <c r="E9342" t="s">
        <v>26156</v>
      </c>
      <c r="F9342" t="s">
        <v>30900</v>
      </c>
      <c r="G9342" t="s">
        <v>30907</v>
      </c>
      <c r="H9342" t="s">
        <v>30915</v>
      </c>
      <c r="I9342" t="s">
        <v>30919</v>
      </c>
      <c r="J9342" t="s">
        <v>36893</v>
      </c>
      <c r="K9342" t="s">
        <v>40280</v>
      </c>
      <c r="M9342" t="s">
        <v>43756</v>
      </c>
      <c r="N9342" t="s">
        <v>44759</v>
      </c>
      <c r="O9342" t="s">
        <v>44760</v>
      </c>
      <c r="P9342">
        <v>0</v>
      </c>
      <c r="Q9342">
        <v>0</v>
      </c>
      <c r="R9342" t="s">
        <v>44769</v>
      </c>
      <c r="S9342" t="s">
        <v>45044</v>
      </c>
      <c r="T9342" t="s">
        <v>46488</v>
      </c>
      <c r="U9342" t="s">
        <v>54700</v>
      </c>
      <c r="W9342" t="s">
        <v>43756</v>
      </c>
      <c r="X9342" t="s">
        <v>44770</v>
      </c>
    </row>
    <row r="9343" spans="1:24">
      <c r="A9343">
        <f>HYPERLINK("https://www.philgeps.gov.ph/GEPSNONPILOT/Tender/SplashBidNoticeAbstractUI.aspx?menuIndex=3&amp;refID=7136560&amp;Result=3","7136560")</f>
        <v>0</v>
      </c>
      <c r="B9343" t="s">
        <v>2957</v>
      </c>
      <c r="C9343" t="s">
        <v>12618</v>
      </c>
      <c r="D9343" t="s">
        <v>17963</v>
      </c>
      <c r="E9343" t="s">
        <v>26157</v>
      </c>
      <c r="F9343" t="s">
        <v>30900</v>
      </c>
      <c r="G9343" t="s">
        <v>30907</v>
      </c>
      <c r="H9343" t="s">
        <v>30916</v>
      </c>
      <c r="I9343" t="s">
        <v>8365</v>
      </c>
      <c r="J9343" t="s">
        <v>36894</v>
      </c>
      <c r="K9343" t="s">
        <v>40288</v>
      </c>
      <c r="M9343" t="s">
        <v>43757</v>
      </c>
      <c r="N9343" t="s">
        <v>44759</v>
      </c>
      <c r="O9343" t="s">
        <v>44760</v>
      </c>
      <c r="P9343">
        <v>0</v>
      </c>
      <c r="Q9343">
        <v>5</v>
      </c>
      <c r="R9343" t="s">
        <v>44769</v>
      </c>
      <c r="S9343" t="s">
        <v>45044</v>
      </c>
      <c r="T9343" t="s">
        <v>46625</v>
      </c>
      <c r="U9343" t="s">
        <v>54701</v>
      </c>
      <c r="V9343" t="s">
        <v>60131</v>
      </c>
      <c r="W9343" t="s">
        <v>43757</v>
      </c>
      <c r="X9343" t="s">
        <v>44770</v>
      </c>
    </row>
    <row r="9344" spans="1:24">
      <c r="A9344">
        <f>HYPERLINK("https://www.philgeps.gov.ph/GEPSNONPILOT/Tender/SplashBidNoticeAbstractUI.aspx?menuIndex=3&amp;refID=7136572&amp;Result=3","7136572")</f>
        <v>0</v>
      </c>
      <c r="B9344" t="s">
        <v>424</v>
      </c>
      <c r="C9344" t="s">
        <v>12619</v>
      </c>
      <c r="D9344" t="s">
        <v>17955</v>
      </c>
      <c r="E9344" t="s">
        <v>26158</v>
      </c>
      <c r="F9344" t="s">
        <v>30900</v>
      </c>
      <c r="G9344" t="s">
        <v>30907</v>
      </c>
      <c r="H9344" t="s">
        <v>30916</v>
      </c>
      <c r="I9344" t="s">
        <v>31014</v>
      </c>
      <c r="J9344" t="s">
        <v>36895</v>
      </c>
      <c r="K9344" t="s">
        <v>40289</v>
      </c>
      <c r="M9344" t="s">
        <v>40981</v>
      </c>
      <c r="N9344" t="s">
        <v>44759</v>
      </c>
      <c r="O9344" t="s">
        <v>44760</v>
      </c>
      <c r="P9344">
        <v>0</v>
      </c>
      <c r="Q9344">
        <v>4</v>
      </c>
      <c r="R9344" t="s">
        <v>44769</v>
      </c>
      <c r="S9344" t="s">
        <v>45044</v>
      </c>
      <c r="T9344" t="s">
        <v>46497</v>
      </c>
      <c r="U9344" t="s">
        <v>54702</v>
      </c>
      <c r="W9344" t="s">
        <v>40981</v>
      </c>
      <c r="X9344" t="s">
        <v>44770</v>
      </c>
    </row>
    <row r="9345" spans="1:24">
      <c r="A9345">
        <f>HYPERLINK("https://www.philgeps.gov.ph/GEPSNONPILOT/Tender/SplashBidNoticeAbstractUI.aspx?menuIndex=3&amp;refID=7136568&amp;Result=3","7136568")</f>
        <v>0</v>
      </c>
      <c r="B9345" t="s">
        <v>2575</v>
      </c>
      <c r="C9345" t="s">
        <v>12620</v>
      </c>
      <c r="D9345" t="s">
        <v>17957</v>
      </c>
      <c r="E9345" t="s">
        <v>26159</v>
      </c>
      <c r="F9345" t="s">
        <v>30900</v>
      </c>
      <c r="G9345" t="s">
        <v>30907</v>
      </c>
      <c r="H9345" t="s">
        <v>30916</v>
      </c>
      <c r="I9345" t="s">
        <v>30933</v>
      </c>
      <c r="J9345" t="s">
        <v>36896</v>
      </c>
      <c r="K9345" t="s">
        <v>40289</v>
      </c>
      <c r="M9345" t="s">
        <v>43334</v>
      </c>
      <c r="N9345" t="s">
        <v>44759</v>
      </c>
      <c r="O9345" t="s">
        <v>44760</v>
      </c>
      <c r="P9345">
        <v>0</v>
      </c>
      <c r="Q9345">
        <v>7</v>
      </c>
      <c r="R9345" t="s">
        <v>44769</v>
      </c>
      <c r="S9345" t="s">
        <v>45044</v>
      </c>
      <c r="T9345" t="s">
        <v>46791</v>
      </c>
      <c r="U9345" t="s">
        <v>54703</v>
      </c>
      <c r="W9345" t="s">
        <v>43334</v>
      </c>
      <c r="X9345" t="s">
        <v>44770</v>
      </c>
    </row>
    <row r="9346" spans="1:24">
      <c r="A9346">
        <f>HYPERLINK("https://www.philgeps.gov.ph/GEPSNONPILOT/Tender/SplashBidNoticeAbstractUI.aspx?menuIndex=3&amp;refID=7136536&amp;Result=3","7136536")</f>
        <v>0</v>
      </c>
      <c r="B9346" t="s">
        <v>2958</v>
      </c>
      <c r="C9346" t="s">
        <v>12621</v>
      </c>
      <c r="D9346" t="s">
        <v>18025</v>
      </c>
      <c r="E9346" t="s">
        <v>26160</v>
      </c>
      <c r="F9346" t="s">
        <v>30900</v>
      </c>
      <c r="G9346" t="s">
        <v>30907</v>
      </c>
      <c r="H9346" t="s">
        <v>30915</v>
      </c>
      <c r="I9346" t="s">
        <v>30919</v>
      </c>
      <c r="J9346" t="s">
        <v>31297</v>
      </c>
      <c r="K9346" t="s">
        <v>40280</v>
      </c>
      <c r="M9346" t="s">
        <v>43758</v>
      </c>
      <c r="N9346" t="s">
        <v>44759</v>
      </c>
      <c r="O9346" t="s">
        <v>44760</v>
      </c>
      <c r="P9346">
        <v>0</v>
      </c>
      <c r="Q9346">
        <v>0</v>
      </c>
      <c r="R9346" t="s">
        <v>44769</v>
      </c>
      <c r="S9346" t="s">
        <v>45044</v>
      </c>
      <c r="T9346" t="s">
        <v>46410</v>
      </c>
      <c r="U9346" t="s">
        <v>54704</v>
      </c>
      <c r="W9346" t="s">
        <v>43758</v>
      </c>
      <c r="X9346" t="s">
        <v>44770</v>
      </c>
    </row>
    <row r="9347" spans="1:24">
      <c r="A9347">
        <f>HYPERLINK("https://www.philgeps.gov.ph/GEPSNONPILOT/Tender/SplashBidNoticeAbstractUI.aspx?menuIndex=3&amp;refID=7136527&amp;Result=3","7136527")</f>
        <v>0</v>
      </c>
      <c r="B9347" t="s">
        <v>2959</v>
      </c>
      <c r="C9347" t="s">
        <v>12622</v>
      </c>
      <c r="D9347" t="s">
        <v>17951</v>
      </c>
      <c r="E9347" t="s">
        <v>26161</v>
      </c>
      <c r="F9347" t="s">
        <v>30900</v>
      </c>
      <c r="G9347" t="s">
        <v>30907</v>
      </c>
      <c r="H9347" t="s">
        <v>30916</v>
      </c>
      <c r="I9347" t="s">
        <v>8123</v>
      </c>
      <c r="J9347" t="s">
        <v>36897</v>
      </c>
      <c r="K9347" t="s">
        <v>40287</v>
      </c>
      <c r="M9347" t="s">
        <v>43759</v>
      </c>
      <c r="N9347" t="s">
        <v>44759</v>
      </c>
      <c r="O9347" t="s">
        <v>44760</v>
      </c>
      <c r="P9347">
        <v>0</v>
      </c>
      <c r="Q9347">
        <v>0</v>
      </c>
      <c r="R9347" t="s">
        <v>44769</v>
      </c>
      <c r="S9347" t="s">
        <v>45044</v>
      </c>
      <c r="T9347" t="s">
        <v>46658</v>
      </c>
      <c r="U9347" t="s">
        <v>47259</v>
      </c>
      <c r="W9347" t="s">
        <v>43759</v>
      </c>
      <c r="X9347" t="s">
        <v>44770</v>
      </c>
    </row>
    <row r="9348" spans="1:24">
      <c r="A9348">
        <f>HYPERLINK("https://www.philgeps.gov.ph/GEPSNONPILOT/Tender/SplashBidNoticeAbstractUI.aspx?menuIndex=3&amp;refID=7136562&amp;Result=3","7136562")</f>
        <v>0</v>
      </c>
      <c r="B9348" t="s">
        <v>2930</v>
      </c>
      <c r="C9348" t="s">
        <v>12623</v>
      </c>
      <c r="D9348" t="s">
        <v>17985</v>
      </c>
      <c r="E9348" t="s">
        <v>26162</v>
      </c>
      <c r="F9348" t="s">
        <v>30900</v>
      </c>
      <c r="G9348" t="s">
        <v>30907</v>
      </c>
      <c r="H9348" t="s">
        <v>30916</v>
      </c>
      <c r="I9348" t="s">
        <v>4545</v>
      </c>
      <c r="J9348" t="s">
        <v>32794</v>
      </c>
      <c r="K9348" t="s">
        <v>40284</v>
      </c>
      <c r="M9348" t="s">
        <v>43726</v>
      </c>
      <c r="N9348" t="s">
        <v>44759</v>
      </c>
      <c r="O9348" t="s">
        <v>44760</v>
      </c>
      <c r="P9348">
        <v>0</v>
      </c>
      <c r="Q9348">
        <v>8</v>
      </c>
      <c r="R9348" t="s">
        <v>44769</v>
      </c>
      <c r="S9348" t="s">
        <v>45044</v>
      </c>
      <c r="T9348" t="s">
        <v>46771</v>
      </c>
      <c r="U9348" t="s">
        <v>54705</v>
      </c>
      <c r="W9348" t="s">
        <v>43726</v>
      </c>
      <c r="X9348" t="s">
        <v>44770</v>
      </c>
    </row>
    <row r="9349" spans="1:24">
      <c r="A9349">
        <f>HYPERLINK("https://www.philgeps.gov.ph/GEPSNONPILOT/Tender/SplashBidNoticeAbstractUI.aspx?menuIndex=3&amp;refID=7136526&amp;Result=3","7136526")</f>
        <v>0</v>
      </c>
      <c r="B9349" t="s">
        <v>2215</v>
      </c>
      <c r="C9349" t="s">
        <v>12624</v>
      </c>
      <c r="E9349" t="s">
        <v>26163</v>
      </c>
      <c r="F9349" t="s">
        <v>30900</v>
      </c>
      <c r="G9349" t="s">
        <v>30907</v>
      </c>
      <c r="H9349" t="s">
        <v>30915</v>
      </c>
      <c r="I9349" t="s">
        <v>30919</v>
      </c>
      <c r="J9349" t="s">
        <v>31069</v>
      </c>
      <c r="K9349" t="s">
        <v>40293</v>
      </c>
      <c r="M9349" t="s">
        <v>42924</v>
      </c>
      <c r="N9349" t="s">
        <v>44759</v>
      </c>
      <c r="O9349" t="s">
        <v>44760</v>
      </c>
      <c r="P9349">
        <v>0</v>
      </c>
      <c r="Q9349">
        <v>0</v>
      </c>
      <c r="R9349" t="s">
        <v>44769</v>
      </c>
      <c r="S9349" t="s">
        <v>45044</v>
      </c>
      <c r="T9349" t="s">
        <v>46411</v>
      </c>
      <c r="U9349" t="s">
        <v>54706</v>
      </c>
      <c r="W9349" t="s">
        <v>42924</v>
      </c>
      <c r="X9349" t="s">
        <v>44770</v>
      </c>
    </row>
    <row r="9350" spans="1:24">
      <c r="A9350">
        <f>HYPERLINK("https://www.philgeps.gov.ph/GEPSNONPILOT/Tender/SplashBidNoticeAbstractUI.aspx?menuIndex=3&amp;refID=7136512&amp;Result=3","7136512")</f>
        <v>0</v>
      </c>
      <c r="B9350" t="s">
        <v>424</v>
      </c>
      <c r="C9350" t="s">
        <v>12625</v>
      </c>
      <c r="D9350" t="s">
        <v>17955</v>
      </c>
      <c r="E9350" t="s">
        <v>26164</v>
      </c>
      <c r="F9350" t="s">
        <v>30900</v>
      </c>
      <c r="G9350" t="s">
        <v>30907</v>
      </c>
      <c r="H9350" t="s">
        <v>30915</v>
      </c>
      <c r="I9350" t="s">
        <v>30919</v>
      </c>
      <c r="J9350" t="s">
        <v>36898</v>
      </c>
      <c r="K9350" t="s">
        <v>40291</v>
      </c>
      <c r="M9350" t="s">
        <v>40981</v>
      </c>
      <c r="N9350" t="s">
        <v>44759</v>
      </c>
      <c r="O9350" t="s">
        <v>44760</v>
      </c>
      <c r="P9350">
        <v>0</v>
      </c>
      <c r="Q9350">
        <v>2</v>
      </c>
      <c r="R9350" t="s">
        <v>44769</v>
      </c>
      <c r="S9350" t="s">
        <v>45044</v>
      </c>
      <c r="T9350" t="s">
        <v>46531</v>
      </c>
      <c r="U9350" t="s">
        <v>47629</v>
      </c>
      <c r="W9350" t="s">
        <v>40981</v>
      </c>
      <c r="X9350" t="s">
        <v>44770</v>
      </c>
    </row>
    <row r="9351" spans="1:24">
      <c r="A9351">
        <f>HYPERLINK("https://www.philgeps.gov.ph/GEPSNONPILOT/Tender/SplashBidNoticeAbstractUI.aspx?menuIndex=3&amp;refID=7136544&amp;Result=3","7136544")</f>
        <v>0</v>
      </c>
      <c r="B9351" t="s">
        <v>2945</v>
      </c>
      <c r="C9351" t="s">
        <v>12626</v>
      </c>
      <c r="D9351" t="s">
        <v>17953</v>
      </c>
      <c r="E9351" t="s">
        <v>26165</v>
      </c>
      <c r="F9351" t="s">
        <v>30900</v>
      </c>
      <c r="G9351" t="s">
        <v>30908</v>
      </c>
      <c r="H9351" t="s">
        <v>30916</v>
      </c>
      <c r="I9351" t="s">
        <v>30952</v>
      </c>
      <c r="J9351" t="s">
        <v>36899</v>
      </c>
      <c r="K9351" t="s">
        <v>40286</v>
      </c>
      <c r="M9351" t="s">
        <v>43742</v>
      </c>
      <c r="N9351" t="s">
        <v>44759</v>
      </c>
      <c r="O9351" t="s">
        <v>44760</v>
      </c>
      <c r="P9351">
        <v>0</v>
      </c>
      <c r="Q9351">
        <v>4</v>
      </c>
      <c r="R9351" t="s">
        <v>44769</v>
      </c>
      <c r="S9351" t="s">
        <v>45044</v>
      </c>
      <c r="T9351" t="s">
        <v>46410</v>
      </c>
      <c r="U9351" t="s">
        <v>54707</v>
      </c>
      <c r="W9351" t="s">
        <v>43742</v>
      </c>
      <c r="X9351" t="s">
        <v>44770</v>
      </c>
    </row>
    <row r="9352" spans="1:24">
      <c r="A9352">
        <f>HYPERLINK("https://www.philgeps.gov.ph/GEPSNONPILOT/Tender/SplashBidNoticeAbstractUI.aspx?menuIndex=3&amp;refID=7136559&amp;Result=3","7136559")</f>
        <v>0</v>
      </c>
      <c r="B9352" t="s">
        <v>2956</v>
      </c>
      <c r="C9352" t="s">
        <v>12627</v>
      </c>
      <c r="D9352" t="s">
        <v>17969</v>
      </c>
      <c r="E9352" t="s">
        <v>26166</v>
      </c>
      <c r="F9352" t="s">
        <v>30900</v>
      </c>
      <c r="G9352" t="s">
        <v>30907</v>
      </c>
      <c r="H9352" t="s">
        <v>30915</v>
      </c>
      <c r="I9352" t="s">
        <v>31019</v>
      </c>
      <c r="J9352" t="s">
        <v>36900</v>
      </c>
      <c r="K9352" t="s">
        <v>40282</v>
      </c>
      <c r="M9352" t="s">
        <v>43756</v>
      </c>
      <c r="N9352" t="s">
        <v>44759</v>
      </c>
      <c r="O9352" t="s">
        <v>44760</v>
      </c>
      <c r="P9352">
        <v>0</v>
      </c>
      <c r="Q9352">
        <v>0</v>
      </c>
      <c r="R9352" t="s">
        <v>44769</v>
      </c>
      <c r="S9352" t="s">
        <v>45044</v>
      </c>
      <c r="T9352" t="s">
        <v>46488</v>
      </c>
      <c r="U9352" t="s">
        <v>54708</v>
      </c>
      <c r="W9352" t="s">
        <v>43756</v>
      </c>
      <c r="X9352" t="s">
        <v>44770</v>
      </c>
    </row>
    <row r="9353" spans="1:24">
      <c r="A9353">
        <f>HYPERLINK("https://www.philgeps.gov.ph/GEPSNONPILOT/Tender/SplashBidNoticeAbstractUI.aspx?menuIndex=3&amp;refID=7136506&amp;Result=3","7136506")</f>
        <v>0</v>
      </c>
      <c r="B9353" t="s">
        <v>267</v>
      </c>
      <c r="C9353" t="s">
        <v>12628</v>
      </c>
      <c r="D9353" t="s">
        <v>17959</v>
      </c>
      <c r="E9353" t="s">
        <v>26167</v>
      </c>
      <c r="F9353" t="s">
        <v>30900</v>
      </c>
      <c r="G9353" t="s">
        <v>30907</v>
      </c>
      <c r="H9353" t="s">
        <v>30915</v>
      </c>
      <c r="I9353" t="s">
        <v>30919</v>
      </c>
      <c r="J9353" t="s">
        <v>36901</v>
      </c>
      <c r="K9353" t="s">
        <v>40293</v>
      </c>
      <c r="M9353" t="s">
        <v>41338</v>
      </c>
      <c r="N9353" t="s">
        <v>44759</v>
      </c>
      <c r="O9353" t="s">
        <v>44760</v>
      </c>
      <c r="P9353">
        <v>0</v>
      </c>
      <c r="Q9353">
        <v>0</v>
      </c>
      <c r="R9353" t="s">
        <v>44769</v>
      </c>
      <c r="S9353" t="s">
        <v>45044</v>
      </c>
      <c r="T9353" t="s">
        <v>46544</v>
      </c>
      <c r="U9353" t="s">
        <v>54685</v>
      </c>
      <c r="W9353" t="s">
        <v>41338</v>
      </c>
      <c r="X9353" t="s">
        <v>44770</v>
      </c>
    </row>
    <row r="9354" spans="1:24">
      <c r="A9354">
        <f>HYPERLINK("https://www.philgeps.gov.ph/GEPSNONPILOT/Tender/SplashBidNoticeAbstractUI.aspx?menuIndex=3&amp;refID=7136505&amp;Result=3","7136505")</f>
        <v>0</v>
      </c>
      <c r="B9354" t="s">
        <v>2945</v>
      </c>
      <c r="C9354" t="s">
        <v>12629</v>
      </c>
      <c r="D9354" t="s">
        <v>17953</v>
      </c>
      <c r="E9354" t="s">
        <v>26168</v>
      </c>
      <c r="F9354" t="s">
        <v>30900</v>
      </c>
      <c r="G9354" t="s">
        <v>30908</v>
      </c>
      <c r="H9354" t="s">
        <v>30916</v>
      </c>
      <c r="I9354" t="s">
        <v>30952</v>
      </c>
      <c r="J9354" t="s">
        <v>36902</v>
      </c>
      <c r="K9354" t="s">
        <v>40286</v>
      </c>
      <c r="M9354" t="s">
        <v>43742</v>
      </c>
      <c r="N9354" t="s">
        <v>44759</v>
      </c>
      <c r="O9354" t="s">
        <v>44760</v>
      </c>
      <c r="P9354">
        <v>0</v>
      </c>
      <c r="Q9354">
        <v>4</v>
      </c>
      <c r="R9354" t="s">
        <v>44769</v>
      </c>
      <c r="S9354" t="s">
        <v>45044</v>
      </c>
      <c r="T9354" t="s">
        <v>46410</v>
      </c>
      <c r="U9354" t="s">
        <v>54709</v>
      </c>
      <c r="W9354" t="s">
        <v>43742</v>
      </c>
      <c r="X9354" t="s">
        <v>44770</v>
      </c>
    </row>
    <row r="9355" spans="1:24">
      <c r="A9355">
        <f>HYPERLINK("https://www.philgeps.gov.ph/GEPSNONPILOT/Tender/SplashBidNoticeAbstractUI.aspx?menuIndex=3&amp;refID=7136503&amp;Result=3","7136503")</f>
        <v>0</v>
      </c>
      <c r="B9355" t="s">
        <v>2227</v>
      </c>
      <c r="C9355" t="s">
        <v>12630</v>
      </c>
      <c r="D9355" t="s">
        <v>18016</v>
      </c>
      <c r="E9355" t="s">
        <v>18094</v>
      </c>
      <c r="F9355" t="s">
        <v>30900</v>
      </c>
      <c r="G9355" t="s">
        <v>30909</v>
      </c>
      <c r="H9355" t="s">
        <v>30916</v>
      </c>
      <c r="I9355" t="s">
        <v>6408</v>
      </c>
      <c r="J9355" t="s">
        <v>31050</v>
      </c>
      <c r="K9355" t="s">
        <v>40283</v>
      </c>
      <c r="M9355" t="s">
        <v>43760</v>
      </c>
      <c r="N9355" t="s">
        <v>44759</v>
      </c>
      <c r="O9355" t="s">
        <v>44760</v>
      </c>
      <c r="P9355">
        <v>0</v>
      </c>
      <c r="Q9355">
        <v>2</v>
      </c>
      <c r="R9355" t="s">
        <v>44769</v>
      </c>
      <c r="S9355" t="s">
        <v>45044</v>
      </c>
      <c r="T9355" t="s">
        <v>46406</v>
      </c>
      <c r="U9355" t="s">
        <v>54710</v>
      </c>
      <c r="W9355" t="s">
        <v>43760</v>
      </c>
      <c r="X9355" t="s">
        <v>44770</v>
      </c>
    </row>
    <row r="9356" spans="1:24">
      <c r="A9356">
        <f>HYPERLINK("https://www.philgeps.gov.ph/GEPSNONPILOT/Tender/SplashBidNoticeAbstractUI.aspx?menuIndex=3&amp;refID=7136325&amp;Result=3","7136325")</f>
        <v>0</v>
      </c>
      <c r="B9356" t="s">
        <v>2960</v>
      </c>
      <c r="C9356" t="s">
        <v>12631</v>
      </c>
      <c r="D9356" t="s">
        <v>17978</v>
      </c>
      <c r="E9356" t="s">
        <v>26169</v>
      </c>
      <c r="F9356" t="s">
        <v>30900</v>
      </c>
      <c r="G9356" t="s">
        <v>30907</v>
      </c>
      <c r="H9356" t="s">
        <v>30916</v>
      </c>
      <c r="I9356" t="s">
        <v>30973</v>
      </c>
      <c r="J9356" t="s">
        <v>34097</v>
      </c>
      <c r="K9356" t="s">
        <v>40286</v>
      </c>
      <c r="M9356" t="s">
        <v>43761</v>
      </c>
      <c r="N9356" t="s">
        <v>44759</v>
      </c>
      <c r="O9356" t="s">
        <v>44760</v>
      </c>
      <c r="P9356">
        <v>0</v>
      </c>
      <c r="Q9356">
        <v>4</v>
      </c>
      <c r="R9356" t="s">
        <v>44769</v>
      </c>
      <c r="S9356" t="s">
        <v>45044</v>
      </c>
      <c r="T9356" t="s">
        <v>46511</v>
      </c>
      <c r="U9356" t="s">
        <v>54711</v>
      </c>
      <c r="V9356" t="s">
        <v>60132</v>
      </c>
      <c r="W9356" t="s">
        <v>60908</v>
      </c>
      <c r="X9356" t="s">
        <v>44770</v>
      </c>
    </row>
    <row r="9357" spans="1:24">
      <c r="A9357">
        <f>HYPERLINK("https://www.philgeps.gov.ph/GEPSNONPILOT/Tender/SplashBidNoticeAbstractUI.aspx?menuIndex=3&amp;refID=7136493&amp;Result=3","7136493")</f>
        <v>0</v>
      </c>
      <c r="B9357" t="s">
        <v>2961</v>
      </c>
      <c r="C9357" t="s">
        <v>12632</v>
      </c>
      <c r="D9357" t="s">
        <v>18004</v>
      </c>
      <c r="E9357" t="s">
        <v>26170</v>
      </c>
      <c r="F9357" t="s">
        <v>30900</v>
      </c>
      <c r="G9357" t="s">
        <v>30907</v>
      </c>
      <c r="H9357" t="s">
        <v>30915</v>
      </c>
      <c r="I9357" t="s">
        <v>30919</v>
      </c>
      <c r="J9357" t="s">
        <v>36903</v>
      </c>
      <c r="K9357" t="s">
        <v>40335</v>
      </c>
      <c r="M9357" t="s">
        <v>43762</v>
      </c>
      <c r="N9357" t="s">
        <v>44759</v>
      </c>
      <c r="O9357" t="s">
        <v>44760</v>
      </c>
      <c r="P9357">
        <v>0</v>
      </c>
      <c r="Q9357">
        <v>18</v>
      </c>
      <c r="R9357" t="s">
        <v>44769</v>
      </c>
      <c r="S9357" t="s">
        <v>45044</v>
      </c>
      <c r="T9357" t="s">
        <v>46411</v>
      </c>
      <c r="U9357" t="s">
        <v>54712</v>
      </c>
      <c r="W9357" t="s">
        <v>60909</v>
      </c>
      <c r="X9357" t="s">
        <v>44770</v>
      </c>
    </row>
    <row r="9358" spans="1:24">
      <c r="A9358">
        <f>HYPERLINK("https://www.philgeps.gov.ph/GEPSNONPILOT/Tender/SplashBidNoticeAbstractUI.aspx?menuIndex=3&amp;refID=7136504&amp;Result=3","7136504")</f>
        <v>0</v>
      </c>
      <c r="B9358" t="s">
        <v>721</v>
      </c>
      <c r="C9358" t="s">
        <v>12633</v>
      </c>
      <c r="E9358" t="s">
        <v>26171</v>
      </c>
      <c r="F9358" t="s">
        <v>30900</v>
      </c>
      <c r="G9358" t="s">
        <v>30907</v>
      </c>
      <c r="H9358" t="s">
        <v>30915</v>
      </c>
      <c r="I9358" t="s">
        <v>30919</v>
      </c>
      <c r="J9358" t="s">
        <v>36904</v>
      </c>
      <c r="K9358" t="s">
        <v>40342</v>
      </c>
      <c r="M9358" t="s">
        <v>41285</v>
      </c>
      <c r="N9358" t="s">
        <v>44759</v>
      </c>
      <c r="O9358" t="s">
        <v>44760</v>
      </c>
      <c r="P9358">
        <v>0</v>
      </c>
      <c r="Q9358">
        <v>1</v>
      </c>
      <c r="R9358" t="s">
        <v>44769</v>
      </c>
      <c r="S9358" t="s">
        <v>45044</v>
      </c>
      <c r="T9358" t="s">
        <v>46549</v>
      </c>
      <c r="U9358" t="s">
        <v>54713</v>
      </c>
      <c r="W9358" t="s">
        <v>41285</v>
      </c>
      <c r="X9358" t="s">
        <v>44770</v>
      </c>
    </row>
    <row r="9359" spans="1:24">
      <c r="A9359">
        <f>HYPERLINK("https://www.philgeps.gov.ph/GEPSNONPILOT/Tender/SplashBidNoticeAbstractUI.aspx?menuIndex=3&amp;refID=7136648&amp;Result=3","7136648")</f>
        <v>0</v>
      </c>
      <c r="B9359" t="s">
        <v>582</v>
      </c>
      <c r="C9359" t="s">
        <v>12634</v>
      </c>
      <c r="D9359" t="s">
        <v>18019</v>
      </c>
      <c r="E9359" t="s">
        <v>26172</v>
      </c>
      <c r="F9359" t="s">
        <v>30900</v>
      </c>
      <c r="G9359" t="s">
        <v>30907</v>
      </c>
      <c r="H9359" t="s">
        <v>30916</v>
      </c>
      <c r="I9359" t="s">
        <v>30939</v>
      </c>
      <c r="J9359" t="s">
        <v>36905</v>
      </c>
      <c r="K9359" t="s">
        <v>40283</v>
      </c>
      <c r="M9359" t="s">
        <v>41144</v>
      </c>
      <c r="N9359" t="s">
        <v>44759</v>
      </c>
      <c r="O9359" t="s">
        <v>44760</v>
      </c>
      <c r="P9359">
        <v>0</v>
      </c>
      <c r="Q9359">
        <v>2</v>
      </c>
      <c r="R9359" t="s">
        <v>44769</v>
      </c>
      <c r="S9359" t="s">
        <v>45044</v>
      </c>
      <c r="T9359" t="s">
        <v>46495</v>
      </c>
      <c r="U9359" t="s">
        <v>54714</v>
      </c>
      <c r="W9359" t="s">
        <v>41144</v>
      </c>
      <c r="X9359" t="s">
        <v>44770</v>
      </c>
    </row>
    <row r="9360" spans="1:24">
      <c r="A9360">
        <f>HYPERLINK("https://www.philgeps.gov.ph/GEPSNONPILOT/Tender/SplashBidNoticeAbstractUI.aspx?menuIndex=3&amp;refID=7136658&amp;Result=3","7136658")</f>
        <v>0</v>
      </c>
      <c r="B9360" t="s">
        <v>905</v>
      </c>
      <c r="C9360" t="s">
        <v>12635</v>
      </c>
      <c r="D9360" t="s">
        <v>18015</v>
      </c>
      <c r="E9360" t="s">
        <v>20359</v>
      </c>
      <c r="F9360" t="s">
        <v>30900</v>
      </c>
      <c r="G9360" t="s">
        <v>30907</v>
      </c>
      <c r="H9360" t="s">
        <v>30916</v>
      </c>
      <c r="I9360" t="s">
        <v>30926</v>
      </c>
      <c r="J9360" t="s">
        <v>36906</v>
      </c>
      <c r="K9360" t="s">
        <v>40286</v>
      </c>
      <c r="L9360" t="s">
        <v>905</v>
      </c>
      <c r="M9360" t="s">
        <v>41480</v>
      </c>
      <c r="N9360" t="s">
        <v>44759</v>
      </c>
      <c r="O9360" t="s">
        <v>44760</v>
      </c>
      <c r="P9360">
        <v>0</v>
      </c>
      <c r="Q9360">
        <v>0</v>
      </c>
      <c r="R9360" t="s">
        <v>44769</v>
      </c>
      <c r="S9360" t="s">
        <v>45044</v>
      </c>
      <c r="T9360" t="s">
        <v>46370</v>
      </c>
      <c r="U9360" t="s">
        <v>54715</v>
      </c>
      <c r="W9360" t="s">
        <v>41480</v>
      </c>
      <c r="X9360" t="s">
        <v>44770</v>
      </c>
    </row>
    <row r="9361" spans="1:24">
      <c r="A9361">
        <f>HYPERLINK("https://www.philgeps.gov.ph/GEPSNONPILOT/Tender/SplashBidNoticeAbstractUI.aspx?menuIndex=3&amp;refID=7136642&amp;Result=3","7136642")</f>
        <v>0</v>
      </c>
      <c r="B9361" t="s">
        <v>2962</v>
      </c>
      <c r="C9361" t="s">
        <v>12636</v>
      </c>
      <c r="D9361" t="s">
        <v>18025</v>
      </c>
      <c r="E9361" t="s">
        <v>18435</v>
      </c>
      <c r="F9361" t="s">
        <v>30899</v>
      </c>
      <c r="G9361" t="s">
        <v>30909</v>
      </c>
      <c r="H9361" t="s">
        <v>30916</v>
      </c>
      <c r="I9361" t="s">
        <v>30933</v>
      </c>
      <c r="J9361" t="s">
        <v>35994</v>
      </c>
      <c r="K9361" t="s">
        <v>40289</v>
      </c>
      <c r="M9361" t="s">
        <v>43763</v>
      </c>
      <c r="N9361" t="s">
        <v>44759</v>
      </c>
      <c r="O9361" t="s">
        <v>44760</v>
      </c>
      <c r="P9361">
        <v>0</v>
      </c>
      <c r="Q9361">
        <v>3</v>
      </c>
      <c r="R9361" t="s">
        <v>44769</v>
      </c>
      <c r="S9361" t="s">
        <v>45044</v>
      </c>
      <c r="T9361" t="s">
        <v>46489</v>
      </c>
      <c r="U9361" t="s">
        <v>54716</v>
      </c>
      <c r="W9361" t="s">
        <v>43763</v>
      </c>
      <c r="X9361" t="s">
        <v>44770</v>
      </c>
    </row>
    <row r="9362" spans="1:24">
      <c r="A9362">
        <f>HYPERLINK("https://www.philgeps.gov.ph/GEPSNONPILOT/Tender/SplashBidNoticeAbstractUI.aspx?menuIndex=3&amp;refID=7136561&amp;Result=3","7136561")</f>
        <v>0</v>
      </c>
      <c r="B9362" t="s">
        <v>2487</v>
      </c>
      <c r="C9362" t="s">
        <v>12637</v>
      </c>
      <c r="D9362" t="s">
        <v>17976</v>
      </c>
      <c r="E9362" t="s">
        <v>26173</v>
      </c>
      <c r="F9362" t="s">
        <v>30900</v>
      </c>
      <c r="G9362" t="s">
        <v>30907</v>
      </c>
      <c r="H9362" t="s">
        <v>30916</v>
      </c>
      <c r="I9362" t="s">
        <v>30921</v>
      </c>
      <c r="J9362" t="s">
        <v>36907</v>
      </c>
      <c r="K9362" t="s">
        <v>40292</v>
      </c>
      <c r="M9362" t="s">
        <v>43228</v>
      </c>
      <c r="N9362" t="s">
        <v>44759</v>
      </c>
      <c r="O9362" t="s">
        <v>44760</v>
      </c>
      <c r="P9362">
        <v>0</v>
      </c>
      <c r="Q9362">
        <v>12</v>
      </c>
      <c r="R9362" t="s">
        <v>44769</v>
      </c>
      <c r="S9362" t="s">
        <v>45044</v>
      </c>
      <c r="T9362" t="s">
        <v>46488</v>
      </c>
      <c r="U9362" t="s">
        <v>54717</v>
      </c>
      <c r="W9362" t="s">
        <v>43228</v>
      </c>
      <c r="X9362" t="s">
        <v>44770</v>
      </c>
    </row>
    <row r="9363" spans="1:24">
      <c r="A9363">
        <f>HYPERLINK("https://www.philgeps.gov.ph/GEPSNONPILOT/Tender/SplashBidNoticeAbstractUI.aspx?menuIndex=3&amp;refID=7136636&amp;Result=3","7136636")</f>
        <v>0</v>
      </c>
      <c r="B9363" t="s">
        <v>387</v>
      </c>
      <c r="C9363" t="s">
        <v>12638</v>
      </c>
      <c r="D9363" t="s">
        <v>17977</v>
      </c>
      <c r="E9363" t="s">
        <v>26174</v>
      </c>
      <c r="F9363" t="s">
        <v>30900</v>
      </c>
      <c r="G9363" t="s">
        <v>30908</v>
      </c>
      <c r="H9363" t="s">
        <v>30916</v>
      </c>
      <c r="I9363" t="s">
        <v>8123</v>
      </c>
      <c r="J9363" t="s">
        <v>36908</v>
      </c>
      <c r="K9363" t="s">
        <v>40286</v>
      </c>
      <c r="M9363" t="s">
        <v>40942</v>
      </c>
      <c r="N9363" t="s">
        <v>44759</v>
      </c>
      <c r="O9363" t="s">
        <v>44760</v>
      </c>
      <c r="P9363">
        <v>0</v>
      </c>
      <c r="Q9363">
        <v>0</v>
      </c>
      <c r="R9363" t="s">
        <v>44769</v>
      </c>
      <c r="S9363" t="s">
        <v>45044</v>
      </c>
      <c r="T9363" t="s">
        <v>46548</v>
      </c>
      <c r="U9363" t="s">
        <v>54718</v>
      </c>
      <c r="V9363" t="s">
        <v>60133</v>
      </c>
      <c r="W9363" t="s">
        <v>40942</v>
      </c>
      <c r="X9363" t="s">
        <v>44770</v>
      </c>
    </row>
    <row r="9364" spans="1:24">
      <c r="A9364">
        <f>HYPERLINK("https://www.philgeps.gov.ph/GEPSNONPILOT/Tender/SplashBidNoticeAbstractUI.aspx?menuIndex=3&amp;refID=7136519&amp;Result=3","7136519")</f>
        <v>0</v>
      </c>
      <c r="B9364" t="s">
        <v>2930</v>
      </c>
      <c r="C9364" t="s">
        <v>12639</v>
      </c>
      <c r="D9364" t="s">
        <v>17985</v>
      </c>
      <c r="E9364" t="s">
        <v>26175</v>
      </c>
      <c r="F9364" t="s">
        <v>30900</v>
      </c>
      <c r="G9364" t="s">
        <v>30907</v>
      </c>
      <c r="H9364" t="s">
        <v>30916</v>
      </c>
      <c r="I9364" t="s">
        <v>4545</v>
      </c>
      <c r="J9364" t="s">
        <v>36909</v>
      </c>
      <c r="K9364" t="s">
        <v>40284</v>
      </c>
      <c r="M9364" t="s">
        <v>43726</v>
      </c>
      <c r="N9364" t="s">
        <v>44759</v>
      </c>
      <c r="O9364" t="s">
        <v>44760</v>
      </c>
      <c r="P9364">
        <v>0</v>
      </c>
      <c r="Q9364">
        <v>6</v>
      </c>
      <c r="R9364" t="s">
        <v>44769</v>
      </c>
      <c r="S9364" t="s">
        <v>45044</v>
      </c>
      <c r="T9364" t="s">
        <v>46771</v>
      </c>
      <c r="U9364" t="s">
        <v>54719</v>
      </c>
      <c r="W9364" t="s">
        <v>43726</v>
      </c>
      <c r="X9364" t="s">
        <v>44770</v>
      </c>
    </row>
    <row r="9365" spans="1:24">
      <c r="A9365">
        <f>HYPERLINK("https://www.philgeps.gov.ph/GEPSNONPILOT/Tender/SplashBidNoticeAbstractUI.aspx?menuIndex=3&amp;refID=7136634&amp;Result=3","7136634")</f>
        <v>0</v>
      </c>
      <c r="B9365" t="s">
        <v>295</v>
      </c>
      <c r="C9365" t="s">
        <v>12640</v>
      </c>
      <c r="D9365" t="s">
        <v>17951</v>
      </c>
      <c r="E9365" t="s">
        <v>26176</v>
      </c>
      <c r="F9365" t="s">
        <v>30900</v>
      </c>
      <c r="G9365" t="s">
        <v>30907</v>
      </c>
      <c r="H9365" t="s">
        <v>30916</v>
      </c>
      <c r="I9365" t="s">
        <v>8123</v>
      </c>
      <c r="J9365" t="s">
        <v>36910</v>
      </c>
      <c r="K9365" t="s">
        <v>40369</v>
      </c>
      <c r="M9365" t="s">
        <v>40843</v>
      </c>
      <c r="N9365" t="s">
        <v>44759</v>
      </c>
      <c r="O9365" t="s">
        <v>44760</v>
      </c>
      <c r="P9365">
        <v>0</v>
      </c>
      <c r="Q9365">
        <v>0</v>
      </c>
      <c r="R9365" t="s">
        <v>44769</v>
      </c>
      <c r="S9365" t="s">
        <v>45044</v>
      </c>
      <c r="T9365" t="s">
        <v>46504</v>
      </c>
      <c r="U9365" t="s">
        <v>54720</v>
      </c>
      <c r="W9365" t="s">
        <v>40843</v>
      </c>
      <c r="X9365" t="s">
        <v>44770</v>
      </c>
    </row>
    <row r="9366" spans="1:24">
      <c r="A9366">
        <f>HYPERLINK("https://www.philgeps.gov.ph/GEPSNONPILOT/Tender/SplashBidNoticeAbstractUI.aspx?menuIndex=3&amp;refID=7136631&amp;Result=3","7136631")</f>
        <v>0</v>
      </c>
      <c r="B9366" t="s">
        <v>721</v>
      </c>
      <c r="C9366" t="s">
        <v>12641</v>
      </c>
      <c r="E9366" t="s">
        <v>26177</v>
      </c>
      <c r="F9366" t="s">
        <v>30900</v>
      </c>
      <c r="G9366" t="s">
        <v>30907</v>
      </c>
      <c r="H9366" t="s">
        <v>30915</v>
      </c>
      <c r="I9366" t="s">
        <v>30919</v>
      </c>
      <c r="J9366" t="s">
        <v>36911</v>
      </c>
      <c r="K9366" t="s">
        <v>40378</v>
      </c>
      <c r="M9366" t="s">
        <v>41285</v>
      </c>
      <c r="N9366" t="s">
        <v>44759</v>
      </c>
      <c r="O9366" t="s">
        <v>44760</v>
      </c>
      <c r="P9366">
        <v>0</v>
      </c>
      <c r="Q9366">
        <v>0</v>
      </c>
      <c r="R9366" t="s">
        <v>44769</v>
      </c>
      <c r="S9366" t="s">
        <v>45044</v>
      </c>
      <c r="T9366" t="s">
        <v>46549</v>
      </c>
      <c r="U9366" t="s">
        <v>54721</v>
      </c>
      <c r="W9366" t="s">
        <v>41285</v>
      </c>
      <c r="X9366" t="s">
        <v>44770</v>
      </c>
    </row>
    <row r="9367" spans="1:24">
      <c r="A9367">
        <f>HYPERLINK("https://www.philgeps.gov.ph/GEPSNONPILOT/Tender/SplashBidNoticeAbstractUI.aspx?menuIndex=3&amp;refID=7136645&amp;Result=3","7136645")</f>
        <v>0</v>
      </c>
      <c r="B9367" t="s">
        <v>2963</v>
      </c>
      <c r="C9367" t="s">
        <v>12642</v>
      </c>
      <c r="D9367" t="s">
        <v>17960</v>
      </c>
      <c r="E9367" t="s">
        <v>26178</v>
      </c>
      <c r="F9367" t="s">
        <v>30900</v>
      </c>
      <c r="G9367" t="s">
        <v>30907</v>
      </c>
      <c r="H9367" t="s">
        <v>30915</v>
      </c>
      <c r="I9367" t="s">
        <v>30919</v>
      </c>
      <c r="J9367" t="s">
        <v>36912</v>
      </c>
      <c r="K9367" t="s">
        <v>40292</v>
      </c>
      <c r="M9367" t="s">
        <v>43764</v>
      </c>
      <c r="N9367" t="s">
        <v>44759</v>
      </c>
      <c r="O9367" t="s">
        <v>44760</v>
      </c>
      <c r="Q9367">
        <v>7</v>
      </c>
      <c r="R9367" t="s">
        <v>44769</v>
      </c>
      <c r="S9367" t="s">
        <v>45056</v>
      </c>
      <c r="T9367" t="s">
        <v>46472</v>
      </c>
      <c r="U9367" t="s">
        <v>54722</v>
      </c>
      <c r="W9367" t="s">
        <v>43764</v>
      </c>
      <c r="X9367" t="s">
        <v>44770</v>
      </c>
    </row>
    <row r="9368" spans="1:24">
      <c r="A9368">
        <f>HYPERLINK("https://www.philgeps.gov.ph/GEPSNONPILOT/Tender/SplashBidNoticeAbstractUI.aspx?menuIndex=3&amp;refID=7136656&amp;Result=3","7136656")</f>
        <v>0</v>
      </c>
      <c r="B9368" t="s">
        <v>1276</v>
      </c>
      <c r="C9368" t="s">
        <v>12643</v>
      </c>
      <c r="D9368" t="s">
        <v>17962</v>
      </c>
      <c r="E9368" t="s">
        <v>26179</v>
      </c>
      <c r="F9368" t="s">
        <v>30900</v>
      </c>
      <c r="G9368" t="s">
        <v>30909</v>
      </c>
      <c r="H9368" t="s">
        <v>30916</v>
      </c>
      <c r="I9368" t="s">
        <v>10847</v>
      </c>
      <c r="J9368" t="s">
        <v>36913</v>
      </c>
      <c r="K9368" t="s">
        <v>40289</v>
      </c>
      <c r="M9368" t="s">
        <v>41892</v>
      </c>
      <c r="N9368" t="s">
        <v>44759</v>
      </c>
      <c r="O9368" t="s">
        <v>44760</v>
      </c>
      <c r="P9368">
        <v>0</v>
      </c>
      <c r="Q9368">
        <v>2</v>
      </c>
      <c r="R9368" t="s">
        <v>44769</v>
      </c>
      <c r="S9368" t="s">
        <v>45044</v>
      </c>
      <c r="T9368" t="s">
        <v>46410</v>
      </c>
      <c r="U9368" t="s">
        <v>54723</v>
      </c>
      <c r="W9368" t="s">
        <v>41892</v>
      </c>
      <c r="X9368" t="s">
        <v>44770</v>
      </c>
    </row>
    <row r="9369" spans="1:24">
      <c r="A9369">
        <f>HYPERLINK("https://www.philgeps.gov.ph/GEPSNONPILOT/Tender/SplashBidNoticeAbstractUI.aspx?menuIndex=3&amp;refID=7136659&amp;Result=3","7136659")</f>
        <v>0</v>
      </c>
      <c r="B9369" t="s">
        <v>2964</v>
      </c>
      <c r="C9369" t="s">
        <v>12644</v>
      </c>
      <c r="D9369" t="s">
        <v>17981</v>
      </c>
      <c r="E9369" t="s">
        <v>26180</v>
      </c>
      <c r="F9369" t="s">
        <v>30900</v>
      </c>
      <c r="G9369" t="s">
        <v>30907</v>
      </c>
      <c r="H9369" t="s">
        <v>30916</v>
      </c>
      <c r="I9369" t="s">
        <v>4545</v>
      </c>
      <c r="J9369" t="s">
        <v>36914</v>
      </c>
      <c r="K9369" t="s">
        <v>40286</v>
      </c>
      <c r="M9369" t="s">
        <v>43765</v>
      </c>
      <c r="N9369" t="s">
        <v>44759</v>
      </c>
      <c r="O9369" t="s">
        <v>44760</v>
      </c>
      <c r="P9369">
        <v>0</v>
      </c>
      <c r="Q9369">
        <v>7</v>
      </c>
      <c r="R9369" t="s">
        <v>44769</v>
      </c>
      <c r="S9369" t="s">
        <v>45044</v>
      </c>
      <c r="T9369" t="s">
        <v>46495</v>
      </c>
      <c r="U9369" t="s">
        <v>54724</v>
      </c>
      <c r="V9369" t="s">
        <v>60134</v>
      </c>
      <c r="W9369" t="s">
        <v>43765</v>
      </c>
      <c r="X9369" t="s">
        <v>44770</v>
      </c>
    </row>
    <row r="9370" spans="1:24">
      <c r="A9370">
        <f>HYPERLINK("https://www.philgeps.gov.ph/GEPSNONPILOT/Tender/SplashBidNoticeAbstractUI.aspx?menuIndex=3&amp;refID=7136652&amp;Result=3","7136652")</f>
        <v>0</v>
      </c>
      <c r="B9370" t="s">
        <v>721</v>
      </c>
      <c r="C9370" t="s">
        <v>12645</v>
      </c>
      <c r="E9370" t="s">
        <v>26181</v>
      </c>
      <c r="F9370" t="s">
        <v>30900</v>
      </c>
      <c r="G9370" t="s">
        <v>30907</v>
      </c>
      <c r="H9370" t="s">
        <v>30915</v>
      </c>
      <c r="I9370" t="s">
        <v>30919</v>
      </c>
      <c r="J9370" t="s">
        <v>36915</v>
      </c>
      <c r="K9370" t="s">
        <v>40280</v>
      </c>
      <c r="M9370" t="s">
        <v>41285</v>
      </c>
      <c r="N9370" t="s">
        <v>44759</v>
      </c>
      <c r="O9370" t="s">
        <v>44760</v>
      </c>
      <c r="P9370">
        <v>0</v>
      </c>
      <c r="Q9370">
        <v>0</v>
      </c>
      <c r="R9370" t="s">
        <v>44769</v>
      </c>
      <c r="S9370" t="s">
        <v>45044</v>
      </c>
      <c r="T9370" t="s">
        <v>46549</v>
      </c>
      <c r="U9370" t="s">
        <v>54725</v>
      </c>
      <c r="W9370" t="s">
        <v>41285</v>
      </c>
      <c r="X9370" t="s">
        <v>44770</v>
      </c>
    </row>
    <row r="9371" spans="1:24">
      <c r="A9371">
        <f>HYPERLINK("https://www.philgeps.gov.ph/GEPSNONPILOT/Tender/SplashBidNoticeAbstractUI.aspx?menuIndex=3&amp;refID=7136639&amp;Result=3","7136639")</f>
        <v>0</v>
      </c>
      <c r="B9371" t="s">
        <v>2930</v>
      </c>
      <c r="C9371" t="s">
        <v>12646</v>
      </c>
      <c r="D9371" t="s">
        <v>17985</v>
      </c>
      <c r="E9371" t="s">
        <v>26182</v>
      </c>
      <c r="F9371" t="s">
        <v>30900</v>
      </c>
      <c r="G9371" t="s">
        <v>30907</v>
      </c>
      <c r="H9371" t="s">
        <v>30916</v>
      </c>
      <c r="I9371" t="s">
        <v>4017</v>
      </c>
      <c r="J9371" t="s">
        <v>36916</v>
      </c>
      <c r="K9371" t="s">
        <v>40286</v>
      </c>
      <c r="M9371" t="s">
        <v>43726</v>
      </c>
      <c r="N9371" t="s">
        <v>44759</v>
      </c>
      <c r="O9371" t="s">
        <v>44760</v>
      </c>
      <c r="P9371">
        <v>0</v>
      </c>
      <c r="Q9371">
        <v>1</v>
      </c>
      <c r="R9371" t="s">
        <v>44769</v>
      </c>
      <c r="S9371" t="s">
        <v>45044</v>
      </c>
      <c r="T9371" t="s">
        <v>46771</v>
      </c>
      <c r="U9371" t="s">
        <v>54726</v>
      </c>
      <c r="W9371" t="s">
        <v>43726</v>
      </c>
      <c r="X9371" t="s">
        <v>44770</v>
      </c>
    </row>
    <row r="9372" spans="1:24">
      <c r="A9372">
        <f>HYPERLINK("https://www.philgeps.gov.ph/GEPSNONPILOT/Tender/SplashBidNoticeAbstractUI.aspx?menuIndex=3&amp;refID=7136630&amp;Result=3","7136630")</f>
        <v>0</v>
      </c>
      <c r="B9372" t="s">
        <v>2462</v>
      </c>
      <c r="C9372" t="s">
        <v>12647</v>
      </c>
      <c r="D9372" t="s">
        <v>17964</v>
      </c>
      <c r="E9372" t="s">
        <v>26183</v>
      </c>
      <c r="F9372" t="s">
        <v>30900</v>
      </c>
      <c r="G9372" t="s">
        <v>30907</v>
      </c>
      <c r="H9372" t="s">
        <v>30915</v>
      </c>
      <c r="I9372" t="s">
        <v>30919</v>
      </c>
      <c r="J9372" t="s">
        <v>31069</v>
      </c>
      <c r="K9372" t="s">
        <v>40301</v>
      </c>
      <c r="M9372" t="s">
        <v>43752</v>
      </c>
      <c r="N9372" t="s">
        <v>44759</v>
      </c>
      <c r="O9372" t="s">
        <v>44760</v>
      </c>
      <c r="P9372">
        <v>0</v>
      </c>
      <c r="Q9372">
        <v>1</v>
      </c>
      <c r="R9372" t="s">
        <v>44769</v>
      </c>
      <c r="S9372" t="s">
        <v>45044</v>
      </c>
      <c r="T9372" t="s">
        <v>46544</v>
      </c>
      <c r="U9372" t="s">
        <v>54727</v>
      </c>
      <c r="W9372" t="s">
        <v>43747</v>
      </c>
      <c r="X9372" t="s">
        <v>44770</v>
      </c>
    </row>
    <row r="9373" spans="1:24">
      <c r="A9373">
        <f>HYPERLINK("https://www.philgeps.gov.ph/GEPSNONPILOT/Tender/SplashBidNoticeAbstractUI.aspx?menuIndex=3&amp;refID=7136628&amp;Result=3","7136628")</f>
        <v>0</v>
      </c>
      <c r="B9373" t="s">
        <v>244</v>
      </c>
      <c r="C9373" t="s">
        <v>12648</v>
      </c>
      <c r="D9373" t="s">
        <v>17958</v>
      </c>
      <c r="E9373" t="s">
        <v>26184</v>
      </c>
      <c r="F9373" t="s">
        <v>30900</v>
      </c>
      <c r="G9373" t="s">
        <v>30908</v>
      </c>
      <c r="H9373" t="s">
        <v>30916</v>
      </c>
      <c r="I9373" t="s">
        <v>30939</v>
      </c>
      <c r="J9373" t="s">
        <v>32046</v>
      </c>
      <c r="K9373" t="s">
        <v>40284</v>
      </c>
      <c r="M9373" t="s">
        <v>40791</v>
      </c>
      <c r="N9373" t="s">
        <v>44759</v>
      </c>
      <c r="O9373" t="s">
        <v>44760</v>
      </c>
      <c r="P9373">
        <v>0</v>
      </c>
      <c r="Q9373">
        <v>0</v>
      </c>
      <c r="R9373" t="s">
        <v>44769</v>
      </c>
      <c r="S9373" t="s">
        <v>45044</v>
      </c>
      <c r="T9373" t="s">
        <v>46533</v>
      </c>
      <c r="U9373" t="s">
        <v>54728</v>
      </c>
      <c r="W9373" t="s">
        <v>40791</v>
      </c>
      <c r="X9373" t="s">
        <v>44770</v>
      </c>
    </row>
    <row r="9374" spans="1:24">
      <c r="A9374">
        <f>HYPERLINK("https://www.philgeps.gov.ph/GEPSNONPILOT/Tender/SplashBidNoticeAbstractUI.aspx?menuIndex=3&amp;refID=7136736&amp;Result=3","7136736")</f>
        <v>0</v>
      </c>
      <c r="B9374" t="s">
        <v>625</v>
      </c>
      <c r="C9374" t="s">
        <v>12649</v>
      </c>
      <c r="D9374" t="s">
        <v>17984</v>
      </c>
      <c r="E9374" t="s">
        <v>26185</v>
      </c>
      <c r="F9374" t="s">
        <v>30900</v>
      </c>
      <c r="G9374" t="s">
        <v>30907</v>
      </c>
      <c r="H9374" t="s">
        <v>30916</v>
      </c>
      <c r="I9374" t="s">
        <v>8123</v>
      </c>
      <c r="J9374" t="s">
        <v>32552</v>
      </c>
      <c r="K9374" t="s">
        <v>40286</v>
      </c>
      <c r="M9374" t="s">
        <v>41187</v>
      </c>
      <c r="N9374" t="s">
        <v>44759</v>
      </c>
      <c r="O9374" t="s">
        <v>44760</v>
      </c>
      <c r="P9374">
        <v>0</v>
      </c>
      <c r="Q9374">
        <v>0</v>
      </c>
      <c r="R9374" t="s">
        <v>44769</v>
      </c>
      <c r="S9374" t="s">
        <v>45044</v>
      </c>
      <c r="T9374" t="s">
        <v>46376</v>
      </c>
      <c r="U9374" t="s">
        <v>48041</v>
      </c>
      <c r="W9374" t="s">
        <v>41187</v>
      </c>
      <c r="X9374" t="s">
        <v>44770</v>
      </c>
    </row>
    <row r="9375" spans="1:24">
      <c r="A9375">
        <f>HYPERLINK("https://www.philgeps.gov.ph/GEPSNONPILOT/Tender/SplashBidNoticeAbstractUI.aspx?menuIndex=3&amp;refID=7136525&amp;Result=3","7136525")</f>
        <v>0</v>
      </c>
      <c r="B9375" t="s">
        <v>2950</v>
      </c>
      <c r="C9375" t="s">
        <v>12650</v>
      </c>
      <c r="D9375" t="s">
        <v>18034</v>
      </c>
      <c r="E9375" t="s">
        <v>26186</v>
      </c>
      <c r="F9375" t="s">
        <v>30900</v>
      </c>
      <c r="G9375" t="s">
        <v>30907</v>
      </c>
      <c r="H9375" t="s">
        <v>30916</v>
      </c>
      <c r="I9375" t="s">
        <v>30919</v>
      </c>
      <c r="J9375" t="s">
        <v>36917</v>
      </c>
      <c r="K9375" t="s">
        <v>40286</v>
      </c>
      <c r="M9375" t="s">
        <v>43749</v>
      </c>
      <c r="N9375" t="s">
        <v>44759</v>
      </c>
      <c r="O9375" t="s">
        <v>44760</v>
      </c>
      <c r="P9375">
        <v>0</v>
      </c>
      <c r="Q9375">
        <v>1</v>
      </c>
      <c r="R9375" t="s">
        <v>44769</v>
      </c>
      <c r="S9375" t="s">
        <v>45044</v>
      </c>
      <c r="T9375" t="s">
        <v>46544</v>
      </c>
      <c r="U9375" t="s">
        <v>54729</v>
      </c>
      <c r="V9375" t="s">
        <v>60135</v>
      </c>
      <c r="W9375" t="s">
        <v>43749</v>
      </c>
      <c r="X9375" t="s">
        <v>44770</v>
      </c>
    </row>
    <row r="9376" spans="1:24">
      <c r="A9376">
        <f>HYPERLINK("https://www.philgeps.gov.ph/GEPSNONPILOT/Tender/SplashBidNoticeAbstractUI.aspx?menuIndex=3&amp;refID=7136732&amp;Result=3","7136732")</f>
        <v>0</v>
      </c>
      <c r="B9376" t="s">
        <v>2930</v>
      </c>
      <c r="C9376" t="s">
        <v>12651</v>
      </c>
      <c r="D9376" t="s">
        <v>17985</v>
      </c>
      <c r="E9376" t="s">
        <v>26187</v>
      </c>
      <c r="F9376" t="s">
        <v>30900</v>
      </c>
      <c r="G9376" t="s">
        <v>30907</v>
      </c>
      <c r="H9376" t="s">
        <v>30916</v>
      </c>
      <c r="I9376" t="s">
        <v>10847</v>
      </c>
      <c r="J9376" t="s">
        <v>36918</v>
      </c>
      <c r="K9376" t="s">
        <v>40284</v>
      </c>
      <c r="M9376" t="s">
        <v>43726</v>
      </c>
      <c r="N9376" t="s">
        <v>44759</v>
      </c>
      <c r="O9376" t="s">
        <v>44760</v>
      </c>
      <c r="P9376">
        <v>0</v>
      </c>
      <c r="Q9376">
        <v>2</v>
      </c>
      <c r="R9376" t="s">
        <v>44769</v>
      </c>
      <c r="S9376" t="s">
        <v>45044</v>
      </c>
      <c r="T9376" t="s">
        <v>46771</v>
      </c>
      <c r="U9376" t="s">
        <v>54730</v>
      </c>
      <c r="W9376" t="s">
        <v>43726</v>
      </c>
      <c r="X9376" t="s">
        <v>44770</v>
      </c>
    </row>
    <row r="9377" spans="1:24">
      <c r="A9377">
        <f>HYPERLINK("https://www.philgeps.gov.ph/GEPSNONPILOT/Tender/SplashBidNoticeAbstractUI.aspx?menuIndex=3&amp;refID=7136744&amp;Result=3","7136744")</f>
        <v>0</v>
      </c>
      <c r="B9377" t="s">
        <v>2965</v>
      </c>
      <c r="C9377" t="s">
        <v>12652</v>
      </c>
      <c r="D9377" t="s">
        <v>18021</v>
      </c>
      <c r="E9377" t="s">
        <v>26188</v>
      </c>
      <c r="F9377" t="s">
        <v>30900</v>
      </c>
      <c r="G9377" t="s">
        <v>30907</v>
      </c>
      <c r="H9377" t="s">
        <v>30916</v>
      </c>
      <c r="I9377" t="s">
        <v>4545</v>
      </c>
      <c r="J9377" t="s">
        <v>34743</v>
      </c>
      <c r="K9377" t="s">
        <v>40286</v>
      </c>
      <c r="M9377" t="s">
        <v>43766</v>
      </c>
      <c r="N9377" t="s">
        <v>44759</v>
      </c>
      <c r="O9377" t="s">
        <v>44760</v>
      </c>
      <c r="P9377">
        <v>0</v>
      </c>
      <c r="Q9377">
        <v>3</v>
      </c>
      <c r="R9377" t="s">
        <v>44769</v>
      </c>
      <c r="S9377" t="s">
        <v>45044</v>
      </c>
      <c r="T9377" t="s">
        <v>46658</v>
      </c>
      <c r="U9377" t="s">
        <v>54731</v>
      </c>
      <c r="W9377" t="s">
        <v>43766</v>
      </c>
      <c r="X9377" t="s">
        <v>44770</v>
      </c>
    </row>
    <row r="9378" spans="1:24">
      <c r="A9378">
        <f>HYPERLINK("https://www.philgeps.gov.ph/GEPSNONPILOT/Tender/SplashBidNoticeAbstractUI.aspx?menuIndex=3&amp;refID=7136713&amp;Result=3","7136713")</f>
        <v>0</v>
      </c>
      <c r="B9378" t="s">
        <v>2961</v>
      </c>
      <c r="C9378" t="s">
        <v>12653</v>
      </c>
      <c r="D9378" t="s">
        <v>18004</v>
      </c>
      <c r="E9378" t="s">
        <v>26189</v>
      </c>
      <c r="F9378" t="s">
        <v>30900</v>
      </c>
      <c r="G9378" t="s">
        <v>30907</v>
      </c>
      <c r="H9378" t="s">
        <v>30915</v>
      </c>
      <c r="I9378" t="s">
        <v>30919</v>
      </c>
      <c r="J9378" t="s">
        <v>36919</v>
      </c>
      <c r="K9378" t="s">
        <v>40472</v>
      </c>
      <c r="M9378" t="s">
        <v>43762</v>
      </c>
      <c r="N9378" t="s">
        <v>44759</v>
      </c>
      <c r="O9378" t="s">
        <v>44760</v>
      </c>
      <c r="P9378">
        <v>0</v>
      </c>
      <c r="Q9378">
        <v>15</v>
      </c>
      <c r="R9378" t="s">
        <v>44769</v>
      </c>
      <c r="S9378" t="s">
        <v>45044</v>
      </c>
      <c r="T9378" t="s">
        <v>46411</v>
      </c>
      <c r="U9378" t="s">
        <v>54732</v>
      </c>
      <c r="W9378" t="s">
        <v>60909</v>
      </c>
      <c r="X9378" t="s">
        <v>44770</v>
      </c>
    </row>
    <row r="9379" spans="1:24">
      <c r="A9379">
        <f>HYPERLINK("https://www.philgeps.gov.ph/GEPSNONPILOT/Tender/SplashBidNoticeAbstractUI.aspx?menuIndex=3&amp;refID=7136740&amp;Result=3","7136740")</f>
        <v>0</v>
      </c>
      <c r="B9379" t="s">
        <v>2462</v>
      </c>
      <c r="C9379" t="s">
        <v>12654</v>
      </c>
      <c r="D9379" t="s">
        <v>17964</v>
      </c>
      <c r="E9379" t="s">
        <v>26190</v>
      </c>
      <c r="F9379" t="s">
        <v>30900</v>
      </c>
      <c r="G9379" t="s">
        <v>30907</v>
      </c>
      <c r="H9379" t="s">
        <v>30915</v>
      </c>
      <c r="I9379" t="s">
        <v>30919</v>
      </c>
      <c r="J9379" t="s">
        <v>31152</v>
      </c>
      <c r="K9379" t="s">
        <v>40280</v>
      </c>
      <c r="M9379" t="s">
        <v>43752</v>
      </c>
      <c r="N9379" t="s">
        <v>44759</v>
      </c>
      <c r="O9379" t="s">
        <v>44760</v>
      </c>
      <c r="P9379">
        <v>0</v>
      </c>
      <c r="Q9379">
        <v>1</v>
      </c>
      <c r="R9379" t="s">
        <v>44769</v>
      </c>
      <c r="S9379" t="s">
        <v>45044</v>
      </c>
      <c r="T9379" t="s">
        <v>46544</v>
      </c>
      <c r="U9379" t="s">
        <v>54733</v>
      </c>
      <c r="W9379" t="s">
        <v>43747</v>
      </c>
      <c r="X9379" t="s">
        <v>44770</v>
      </c>
    </row>
    <row r="9380" spans="1:24">
      <c r="A9380">
        <f>HYPERLINK("https://www.philgeps.gov.ph/GEPSNONPILOT/Tender/SplashBidNoticeAbstractUI.aspx?menuIndex=3&amp;refID=7136692&amp;Result=3","7136692")</f>
        <v>0</v>
      </c>
      <c r="B9380" t="s">
        <v>1530</v>
      </c>
      <c r="C9380" t="s">
        <v>12655</v>
      </c>
      <c r="D9380" t="s">
        <v>18010</v>
      </c>
      <c r="E9380" t="s">
        <v>26191</v>
      </c>
      <c r="F9380" t="s">
        <v>30900</v>
      </c>
      <c r="G9380" t="s">
        <v>30907</v>
      </c>
      <c r="H9380" t="s">
        <v>30916</v>
      </c>
      <c r="I9380" t="s">
        <v>4108</v>
      </c>
      <c r="J9380" t="s">
        <v>31263</v>
      </c>
      <c r="K9380" t="s">
        <v>40286</v>
      </c>
      <c r="M9380" t="s">
        <v>42173</v>
      </c>
      <c r="N9380" t="s">
        <v>44759</v>
      </c>
      <c r="O9380" t="s">
        <v>44760</v>
      </c>
      <c r="P9380">
        <v>0</v>
      </c>
      <c r="Q9380">
        <v>5</v>
      </c>
      <c r="R9380" t="s">
        <v>44769</v>
      </c>
      <c r="S9380" t="s">
        <v>45044</v>
      </c>
      <c r="T9380" t="s">
        <v>46352</v>
      </c>
      <c r="U9380" t="s">
        <v>54734</v>
      </c>
      <c r="V9380" t="s">
        <v>60136</v>
      </c>
      <c r="W9380" t="s">
        <v>42173</v>
      </c>
      <c r="X9380" t="s">
        <v>44770</v>
      </c>
    </row>
    <row r="9381" spans="1:24">
      <c r="A9381">
        <f>HYPERLINK("https://www.philgeps.gov.ph/GEPSNONPILOT/Tender/SplashBidNoticeAbstractUI.aspx?menuIndex=3&amp;refID=7136711&amp;Result=3","7136711")</f>
        <v>0</v>
      </c>
      <c r="B9381" t="s">
        <v>1276</v>
      </c>
      <c r="C9381" t="s">
        <v>12656</v>
      </c>
      <c r="D9381" t="s">
        <v>17962</v>
      </c>
      <c r="E9381" t="s">
        <v>26192</v>
      </c>
      <c r="F9381" t="s">
        <v>30900</v>
      </c>
      <c r="G9381" t="s">
        <v>30909</v>
      </c>
      <c r="H9381" t="s">
        <v>30916</v>
      </c>
      <c r="I9381" t="s">
        <v>30923</v>
      </c>
      <c r="J9381" t="s">
        <v>36920</v>
      </c>
      <c r="K9381" t="s">
        <v>40289</v>
      </c>
      <c r="M9381" t="s">
        <v>41892</v>
      </c>
      <c r="N9381" t="s">
        <v>44759</v>
      </c>
      <c r="O9381" t="s">
        <v>44760</v>
      </c>
      <c r="P9381">
        <v>0</v>
      </c>
      <c r="Q9381">
        <v>4</v>
      </c>
      <c r="R9381" t="s">
        <v>44769</v>
      </c>
      <c r="S9381" t="s">
        <v>45044</v>
      </c>
      <c r="T9381" t="s">
        <v>46391</v>
      </c>
      <c r="U9381" t="s">
        <v>54735</v>
      </c>
      <c r="W9381" t="s">
        <v>41892</v>
      </c>
      <c r="X9381" t="s">
        <v>44770</v>
      </c>
    </row>
    <row r="9382" spans="1:24">
      <c r="A9382">
        <f>HYPERLINK("https://www.philgeps.gov.ph/GEPSNONPILOT/Tender/SplashBidNoticeAbstractUI.aspx?menuIndex=3&amp;refID=7136690&amp;Result=3","7136690")</f>
        <v>0</v>
      </c>
      <c r="B9382" t="s">
        <v>721</v>
      </c>
      <c r="C9382" t="s">
        <v>12657</v>
      </c>
      <c r="E9382" t="s">
        <v>26193</v>
      </c>
      <c r="F9382" t="s">
        <v>30900</v>
      </c>
      <c r="G9382" t="s">
        <v>30907</v>
      </c>
      <c r="H9382" t="s">
        <v>30915</v>
      </c>
      <c r="I9382" t="s">
        <v>30919</v>
      </c>
      <c r="J9382" t="s">
        <v>36921</v>
      </c>
      <c r="K9382" t="s">
        <v>40390</v>
      </c>
      <c r="M9382" t="s">
        <v>41285</v>
      </c>
      <c r="N9382" t="s">
        <v>44759</v>
      </c>
      <c r="O9382" t="s">
        <v>44760</v>
      </c>
      <c r="Q9382">
        <v>0</v>
      </c>
      <c r="R9382" t="s">
        <v>44769</v>
      </c>
      <c r="S9382" t="s">
        <v>45057</v>
      </c>
      <c r="T9382" t="s">
        <v>46549</v>
      </c>
      <c r="U9382" t="s">
        <v>54736</v>
      </c>
      <c r="W9382" t="s">
        <v>41285</v>
      </c>
      <c r="X9382" t="s">
        <v>44770</v>
      </c>
    </row>
    <row r="9383" spans="1:24">
      <c r="A9383">
        <f>HYPERLINK("https://www.philgeps.gov.ph/GEPSNONPILOT/Tender/SplashBidNoticeAbstractUI.aspx?menuIndex=3&amp;refID=7136733&amp;Result=3","7136733")</f>
        <v>0</v>
      </c>
      <c r="B9383" t="s">
        <v>468</v>
      </c>
      <c r="C9383" t="s">
        <v>12658</v>
      </c>
      <c r="E9383" t="s">
        <v>26194</v>
      </c>
      <c r="F9383" t="s">
        <v>30900</v>
      </c>
      <c r="G9383" t="s">
        <v>30907</v>
      </c>
      <c r="H9383" t="s">
        <v>30916</v>
      </c>
      <c r="I9383" t="s">
        <v>30929</v>
      </c>
      <c r="J9383" t="s">
        <v>36922</v>
      </c>
      <c r="K9383" t="s">
        <v>40289</v>
      </c>
      <c r="M9383" t="s">
        <v>41026</v>
      </c>
      <c r="N9383" t="s">
        <v>44759</v>
      </c>
      <c r="O9383" t="s">
        <v>44760</v>
      </c>
      <c r="P9383">
        <v>0</v>
      </c>
      <c r="Q9383">
        <v>13</v>
      </c>
      <c r="R9383" t="s">
        <v>44769</v>
      </c>
      <c r="S9383" t="s">
        <v>45044</v>
      </c>
      <c r="T9383" t="s">
        <v>46662</v>
      </c>
      <c r="U9383" t="s">
        <v>47714</v>
      </c>
      <c r="V9383" t="s">
        <v>59226</v>
      </c>
      <c r="W9383" t="s">
        <v>41026</v>
      </c>
      <c r="X9383" t="s">
        <v>44770</v>
      </c>
    </row>
    <row r="9384" spans="1:24">
      <c r="A9384">
        <f>HYPERLINK("https://www.philgeps.gov.ph/GEPSNONPILOT/Tender/SplashBidNoticeAbstractUI.aspx?menuIndex=3&amp;refID=7136723&amp;Result=3","7136723")</f>
        <v>0</v>
      </c>
      <c r="B9384" t="s">
        <v>2945</v>
      </c>
      <c r="C9384" t="s">
        <v>12659</v>
      </c>
      <c r="D9384" t="s">
        <v>17953</v>
      </c>
      <c r="E9384" t="s">
        <v>26195</v>
      </c>
      <c r="F9384" t="s">
        <v>30900</v>
      </c>
      <c r="G9384" t="s">
        <v>30908</v>
      </c>
      <c r="H9384" t="s">
        <v>30916</v>
      </c>
      <c r="I9384" t="s">
        <v>30977</v>
      </c>
      <c r="J9384" t="s">
        <v>31686</v>
      </c>
      <c r="K9384" t="s">
        <v>40286</v>
      </c>
      <c r="M9384" t="s">
        <v>43742</v>
      </c>
      <c r="N9384" t="s">
        <v>44759</v>
      </c>
      <c r="O9384" t="s">
        <v>44760</v>
      </c>
      <c r="P9384">
        <v>0</v>
      </c>
      <c r="Q9384">
        <v>1</v>
      </c>
      <c r="R9384" t="s">
        <v>44769</v>
      </c>
      <c r="S9384" t="s">
        <v>45044</v>
      </c>
      <c r="T9384" t="s">
        <v>46662</v>
      </c>
      <c r="U9384" t="s">
        <v>54737</v>
      </c>
      <c r="W9384" t="s">
        <v>43742</v>
      </c>
      <c r="X9384" t="s">
        <v>44770</v>
      </c>
    </row>
    <row r="9385" spans="1:24">
      <c r="A9385">
        <f>HYPERLINK("https://www.philgeps.gov.ph/GEPSNONPILOT/Tender/SplashBidNoticeAbstractUI.aspx?menuIndex=3&amp;refID=7136716&amp;Result=3","7136716")</f>
        <v>0</v>
      </c>
      <c r="B9385" t="s">
        <v>295</v>
      </c>
      <c r="C9385" t="s">
        <v>12660</v>
      </c>
      <c r="D9385" t="s">
        <v>17951</v>
      </c>
      <c r="E9385" t="s">
        <v>26196</v>
      </c>
      <c r="F9385" t="s">
        <v>30900</v>
      </c>
      <c r="G9385" t="s">
        <v>30907</v>
      </c>
      <c r="H9385" t="s">
        <v>30916</v>
      </c>
      <c r="I9385" t="s">
        <v>30919</v>
      </c>
      <c r="J9385" t="s">
        <v>36923</v>
      </c>
      <c r="K9385" t="s">
        <v>40369</v>
      </c>
      <c r="M9385" t="s">
        <v>40843</v>
      </c>
      <c r="N9385" t="s">
        <v>44759</v>
      </c>
      <c r="O9385" t="s">
        <v>44760</v>
      </c>
      <c r="P9385">
        <v>0</v>
      </c>
      <c r="Q9385">
        <v>0</v>
      </c>
      <c r="R9385" t="s">
        <v>44769</v>
      </c>
      <c r="S9385" t="s">
        <v>45044</v>
      </c>
      <c r="T9385" t="s">
        <v>46504</v>
      </c>
      <c r="U9385" t="s">
        <v>54738</v>
      </c>
      <c r="W9385" t="s">
        <v>40843</v>
      </c>
      <c r="X9385" t="s">
        <v>44770</v>
      </c>
    </row>
    <row r="9386" spans="1:24">
      <c r="A9386">
        <f>HYPERLINK("https://www.philgeps.gov.ph/GEPSNONPILOT/Tender/SplashBidNoticeAbstractUI.aspx?menuIndex=3&amp;refID=7136753&amp;Result=3","7136753")</f>
        <v>0</v>
      </c>
      <c r="B9386" t="s">
        <v>468</v>
      </c>
      <c r="C9386" t="s">
        <v>12661</v>
      </c>
      <c r="E9386" t="s">
        <v>26197</v>
      </c>
      <c r="F9386" t="s">
        <v>30900</v>
      </c>
      <c r="G9386" t="s">
        <v>30907</v>
      </c>
      <c r="H9386" t="s">
        <v>30916</v>
      </c>
      <c r="I9386" t="s">
        <v>30961</v>
      </c>
      <c r="J9386" t="s">
        <v>36924</v>
      </c>
      <c r="K9386" t="s">
        <v>40289</v>
      </c>
      <c r="M9386" t="s">
        <v>41026</v>
      </c>
      <c r="N9386" t="s">
        <v>44759</v>
      </c>
      <c r="O9386" t="s">
        <v>44760</v>
      </c>
      <c r="P9386">
        <v>0</v>
      </c>
      <c r="Q9386">
        <v>0</v>
      </c>
      <c r="R9386" t="s">
        <v>44769</v>
      </c>
      <c r="S9386" t="s">
        <v>45044</v>
      </c>
      <c r="T9386" t="s">
        <v>46662</v>
      </c>
      <c r="U9386" t="s">
        <v>47714</v>
      </c>
      <c r="V9386" t="s">
        <v>59226</v>
      </c>
      <c r="W9386" t="s">
        <v>41026</v>
      </c>
      <c r="X9386" t="s">
        <v>44770</v>
      </c>
    </row>
    <row r="9387" spans="1:24">
      <c r="A9387">
        <f>HYPERLINK("https://www.philgeps.gov.ph/GEPSNONPILOT/Tender/SplashBidNoticeAbstractUI.aspx?menuIndex=3&amp;refID=7136676&amp;Result=3","7136676")</f>
        <v>0</v>
      </c>
      <c r="B9387" t="s">
        <v>2966</v>
      </c>
      <c r="C9387" t="s">
        <v>12662</v>
      </c>
      <c r="D9387" t="s">
        <v>17994</v>
      </c>
      <c r="E9387" t="s">
        <v>26198</v>
      </c>
      <c r="F9387" t="s">
        <v>30900</v>
      </c>
      <c r="G9387" t="s">
        <v>30907</v>
      </c>
      <c r="H9387" t="s">
        <v>30916</v>
      </c>
      <c r="I9387" t="s">
        <v>9385</v>
      </c>
      <c r="J9387" t="s">
        <v>36925</v>
      </c>
      <c r="K9387" t="s">
        <v>40291</v>
      </c>
      <c r="L9387" t="s">
        <v>2966</v>
      </c>
      <c r="M9387" t="s">
        <v>43767</v>
      </c>
      <c r="N9387" t="s">
        <v>44759</v>
      </c>
      <c r="O9387" t="s">
        <v>44760</v>
      </c>
      <c r="P9387">
        <v>0</v>
      </c>
      <c r="Q9387">
        <v>29</v>
      </c>
      <c r="R9387" t="s">
        <v>44769</v>
      </c>
      <c r="S9387" t="s">
        <v>45044</v>
      </c>
      <c r="T9387" t="s">
        <v>46757</v>
      </c>
      <c r="U9387" t="s">
        <v>54739</v>
      </c>
      <c r="W9387" t="s">
        <v>43767</v>
      </c>
      <c r="X9387" t="s">
        <v>44770</v>
      </c>
    </row>
    <row r="9388" spans="1:24">
      <c r="A9388">
        <f>HYPERLINK("https://www.philgeps.gov.ph/GEPSNONPILOT/Tender/SplashBidNoticeAbstractUI.aspx?menuIndex=3&amp;refID=7136767&amp;Result=3","7136767")</f>
        <v>0</v>
      </c>
      <c r="B9388" t="s">
        <v>2967</v>
      </c>
      <c r="C9388" t="s">
        <v>12663</v>
      </c>
      <c r="D9388" t="s">
        <v>17989</v>
      </c>
      <c r="E9388" t="s">
        <v>26199</v>
      </c>
      <c r="F9388" t="s">
        <v>30900</v>
      </c>
      <c r="G9388" t="s">
        <v>30907</v>
      </c>
      <c r="H9388" t="s">
        <v>30915</v>
      </c>
      <c r="I9388" t="s">
        <v>30919</v>
      </c>
      <c r="J9388" t="s">
        <v>31049</v>
      </c>
      <c r="K9388" t="s">
        <v>40289</v>
      </c>
      <c r="M9388" t="s">
        <v>43768</v>
      </c>
      <c r="N9388" t="s">
        <v>44759</v>
      </c>
      <c r="O9388" t="s">
        <v>44760</v>
      </c>
      <c r="P9388">
        <v>0</v>
      </c>
      <c r="Q9388">
        <v>0</v>
      </c>
      <c r="R9388" t="s">
        <v>44769</v>
      </c>
      <c r="S9388" t="s">
        <v>45044</v>
      </c>
      <c r="T9388" t="s">
        <v>46495</v>
      </c>
      <c r="U9388" t="s">
        <v>54740</v>
      </c>
      <c r="W9388" t="s">
        <v>43768</v>
      </c>
      <c r="X9388" t="s">
        <v>44770</v>
      </c>
    </row>
    <row r="9389" spans="1:24">
      <c r="A9389">
        <f>HYPERLINK("https://www.philgeps.gov.ph/GEPSNONPILOT/Tender/SplashBidNoticeAbstractUI.aspx?menuIndex=3&amp;refID=7136678&amp;Result=3","7136678")</f>
        <v>0</v>
      </c>
      <c r="B9389" t="s">
        <v>721</v>
      </c>
      <c r="C9389" t="s">
        <v>12664</v>
      </c>
      <c r="E9389" t="s">
        <v>26200</v>
      </c>
      <c r="F9389" t="s">
        <v>30900</v>
      </c>
      <c r="G9389" t="s">
        <v>30907</v>
      </c>
      <c r="H9389" t="s">
        <v>30915</v>
      </c>
      <c r="I9389" t="s">
        <v>30919</v>
      </c>
      <c r="J9389" t="s">
        <v>36926</v>
      </c>
      <c r="K9389" t="s">
        <v>40342</v>
      </c>
      <c r="M9389" t="s">
        <v>41285</v>
      </c>
      <c r="N9389" t="s">
        <v>44759</v>
      </c>
      <c r="O9389" t="s">
        <v>44760</v>
      </c>
      <c r="P9389">
        <v>0</v>
      </c>
      <c r="Q9389">
        <v>1</v>
      </c>
      <c r="R9389" t="s">
        <v>44769</v>
      </c>
      <c r="S9389" t="s">
        <v>45044</v>
      </c>
      <c r="T9389" t="s">
        <v>46549</v>
      </c>
      <c r="U9389" t="s">
        <v>54741</v>
      </c>
      <c r="W9389" t="s">
        <v>41285</v>
      </c>
      <c r="X9389" t="s">
        <v>44770</v>
      </c>
    </row>
    <row r="9390" spans="1:24">
      <c r="A9390">
        <f>HYPERLINK("https://www.philgeps.gov.ph/GEPSNONPILOT/Tender/SplashBidNoticeAbstractUI.aspx?menuIndex=3&amp;refID=7136854&amp;Result=3","7136854")</f>
        <v>0</v>
      </c>
      <c r="B9390" t="s">
        <v>2968</v>
      </c>
      <c r="C9390" t="s">
        <v>12665</v>
      </c>
      <c r="D9390" t="s">
        <v>17978</v>
      </c>
      <c r="E9390" t="s">
        <v>26201</v>
      </c>
      <c r="F9390" t="s">
        <v>30900</v>
      </c>
      <c r="G9390" t="s">
        <v>30907</v>
      </c>
      <c r="H9390" t="s">
        <v>30916</v>
      </c>
      <c r="I9390" t="s">
        <v>8123</v>
      </c>
      <c r="J9390" t="s">
        <v>36927</v>
      </c>
      <c r="K9390" t="s">
        <v>40284</v>
      </c>
      <c r="M9390" t="s">
        <v>43769</v>
      </c>
      <c r="N9390" t="s">
        <v>44759</v>
      </c>
      <c r="O9390" t="s">
        <v>44760</v>
      </c>
      <c r="P9390">
        <v>0</v>
      </c>
      <c r="Q9390">
        <v>0</v>
      </c>
      <c r="R9390" t="s">
        <v>44769</v>
      </c>
      <c r="S9390" t="s">
        <v>45044</v>
      </c>
      <c r="T9390" t="s">
        <v>46368</v>
      </c>
      <c r="U9390" t="s">
        <v>54742</v>
      </c>
      <c r="W9390" t="s">
        <v>43769</v>
      </c>
      <c r="X9390" t="s">
        <v>44770</v>
      </c>
    </row>
    <row r="9391" spans="1:24">
      <c r="A9391">
        <f>HYPERLINK("https://www.philgeps.gov.ph/GEPSNONPILOT/Tender/SplashBidNoticeAbstractUI.aspx?menuIndex=3&amp;refID=7136861&amp;Result=3","7136861")</f>
        <v>0</v>
      </c>
      <c r="B9391" t="s">
        <v>1742</v>
      </c>
      <c r="C9391" t="s">
        <v>12666</v>
      </c>
      <c r="D9391" t="s">
        <v>18022</v>
      </c>
      <c r="E9391" t="s">
        <v>26202</v>
      </c>
      <c r="F9391" t="s">
        <v>30900</v>
      </c>
      <c r="G9391" t="s">
        <v>30907</v>
      </c>
      <c r="H9391" t="s">
        <v>30916</v>
      </c>
      <c r="I9391" t="s">
        <v>30934</v>
      </c>
      <c r="J9391" t="s">
        <v>36928</v>
      </c>
      <c r="K9391" t="s">
        <v>40284</v>
      </c>
      <c r="L9391" t="s">
        <v>1742</v>
      </c>
      <c r="M9391" t="s">
        <v>42410</v>
      </c>
      <c r="N9391" t="s">
        <v>44759</v>
      </c>
      <c r="O9391" t="s">
        <v>44760</v>
      </c>
      <c r="P9391">
        <v>0</v>
      </c>
      <c r="Q9391">
        <v>5</v>
      </c>
      <c r="R9391" t="s">
        <v>44769</v>
      </c>
      <c r="S9391" t="s">
        <v>45044</v>
      </c>
      <c r="T9391" t="s">
        <v>46658</v>
      </c>
      <c r="U9391" t="s">
        <v>50868</v>
      </c>
      <c r="V9391" t="s">
        <v>59611</v>
      </c>
      <c r="W9391" t="s">
        <v>42410</v>
      </c>
      <c r="X9391" t="s">
        <v>44770</v>
      </c>
    </row>
    <row r="9392" spans="1:24">
      <c r="A9392">
        <f>HYPERLINK("https://www.philgeps.gov.ph/GEPSNONPILOT/Tender/SplashBidNoticeAbstractUI.aspx?menuIndex=3&amp;refID=7136838&amp;Result=3","7136838")</f>
        <v>0</v>
      </c>
      <c r="B9392" t="s">
        <v>2969</v>
      </c>
      <c r="C9392" t="s">
        <v>12667</v>
      </c>
      <c r="D9392" t="s">
        <v>17952</v>
      </c>
      <c r="E9392" t="s">
        <v>26203</v>
      </c>
      <c r="F9392" t="s">
        <v>30900</v>
      </c>
      <c r="G9392" t="s">
        <v>30907</v>
      </c>
      <c r="H9392" t="s">
        <v>30916</v>
      </c>
      <c r="I9392" t="s">
        <v>8123</v>
      </c>
      <c r="J9392" t="s">
        <v>36929</v>
      </c>
      <c r="K9392" t="s">
        <v>40286</v>
      </c>
      <c r="M9392" t="s">
        <v>43770</v>
      </c>
      <c r="N9392" t="s">
        <v>44759</v>
      </c>
      <c r="O9392" t="s">
        <v>44760</v>
      </c>
      <c r="P9392">
        <v>0</v>
      </c>
      <c r="Q9392">
        <v>2</v>
      </c>
      <c r="R9392" t="s">
        <v>44769</v>
      </c>
      <c r="S9392" t="s">
        <v>45044</v>
      </c>
      <c r="T9392" t="s">
        <v>46481</v>
      </c>
      <c r="U9392" t="s">
        <v>54743</v>
      </c>
      <c r="V9392" t="s">
        <v>60137</v>
      </c>
      <c r="W9392" t="s">
        <v>43770</v>
      </c>
      <c r="X9392" t="s">
        <v>44770</v>
      </c>
    </row>
    <row r="9393" spans="1:24">
      <c r="A9393">
        <f>HYPERLINK("https://www.philgeps.gov.ph/GEPSNONPILOT/Tender/SplashBidNoticeAbstractUI.aspx?menuIndex=3&amp;refID=7136855&amp;Result=3","7136855")</f>
        <v>0</v>
      </c>
      <c r="B9393" t="s">
        <v>295</v>
      </c>
      <c r="C9393" t="s">
        <v>12668</v>
      </c>
      <c r="D9393" t="s">
        <v>17951</v>
      </c>
      <c r="E9393" t="s">
        <v>26204</v>
      </c>
      <c r="F9393" t="s">
        <v>30900</v>
      </c>
      <c r="G9393" t="s">
        <v>30907</v>
      </c>
      <c r="H9393" t="s">
        <v>30916</v>
      </c>
      <c r="I9393" t="s">
        <v>30924</v>
      </c>
      <c r="J9393" t="s">
        <v>32324</v>
      </c>
      <c r="K9393" t="s">
        <v>40289</v>
      </c>
      <c r="M9393" t="s">
        <v>40843</v>
      </c>
      <c r="N9393" t="s">
        <v>44759</v>
      </c>
      <c r="O9393" t="s">
        <v>44760</v>
      </c>
      <c r="Q9393">
        <v>3</v>
      </c>
      <c r="R9393" t="s">
        <v>44769</v>
      </c>
      <c r="S9393" t="s">
        <v>45058</v>
      </c>
      <c r="T9393" t="s">
        <v>46760</v>
      </c>
      <c r="U9393" t="s">
        <v>54744</v>
      </c>
      <c r="W9393" t="s">
        <v>40843</v>
      </c>
      <c r="X9393" t="s">
        <v>44770</v>
      </c>
    </row>
    <row r="9394" spans="1:24">
      <c r="A9394">
        <f>HYPERLINK("https://www.philgeps.gov.ph/GEPSNONPILOT/Tender/SplashBidNoticeAbstractUI.aspx?menuIndex=3&amp;refID=7136837&amp;Result=3","7136837")</f>
        <v>0</v>
      </c>
      <c r="B9394" t="s">
        <v>2970</v>
      </c>
      <c r="C9394" t="s">
        <v>12669</v>
      </c>
      <c r="D9394" t="s">
        <v>17956</v>
      </c>
      <c r="E9394" t="s">
        <v>26205</v>
      </c>
      <c r="F9394" t="s">
        <v>30900</v>
      </c>
      <c r="G9394" t="s">
        <v>30907</v>
      </c>
      <c r="H9394" t="s">
        <v>30916</v>
      </c>
      <c r="I9394" t="s">
        <v>4142</v>
      </c>
      <c r="J9394" t="s">
        <v>32050</v>
      </c>
      <c r="K9394" t="s">
        <v>40280</v>
      </c>
      <c r="M9394" t="s">
        <v>43771</v>
      </c>
      <c r="N9394" t="s">
        <v>44759</v>
      </c>
      <c r="O9394" t="s">
        <v>44760</v>
      </c>
      <c r="P9394">
        <v>0</v>
      </c>
      <c r="Q9394">
        <v>4</v>
      </c>
      <c r="R9394" t="s">
        <v>44769</v>
      </c>
      <c r="S9394" t="s">
        <v>45044</v>
      </c>
      <c r="T9394" t="s">
        <v>46411</v>
      </c>
      <c r="U9394" t="s">
        <v>50081</v>
      </c>
      <c r="W9394" t="s">
        <v>43771</v>
      </c>
      <c r="X9394" t="s">
        <v>44770</v>
      </c>
    </row>
    <row r="9395" spans="1:24">
      <c r="A9395">
        <f>HYPERLINK("https://www.philgeps.gov.ph/GEPSNONPILOT/Tender/SplashBidNoticeAbstractUI.aspx?menuIndex=3&amp;refID=7136826&amp;Result=3","7136826")</f>
        <v>0</v>
      </c>
      <c r="B9395" t="s">
        <v>468</v>
      </c>
      <c r="C9395" t="s">
        <v>12670</v>
      </c>
      <c r="E9395" t="s">
        <v>26206</v>
      </c>
      <c r="F9395" t="s">
        <v>30900</v>
      </c>
      <c r="G9395" t="s">
        <v>30907</v>
      </c>
      <c r="H9395" t="s">
        <v>30916</v>
      </c>
      <c r="I9395" t="s">
        <v>4050</v>
      </c>
      <c r="J9395" t="s">
        <v>36930</v>
      </c>
      <c r="K9395" t="s">
        <v>40289</v>
      </c>
      <c r="M9395" t="s">
        <v>41026</v>
      </c>
      <c r="N9395" t="s">
        <v>44759</v>
      </c>
      <c r="O9395" t="s">
        <v>44760</v>
      </c>
      <c r="P9395">
        <v>0</v>
      </c>
      <c r="Q9395">
        <v>4</v>
      </c>
      <c r="R9395" t="s">
        <v>44769</v>
      </c>
      <c r="S9395" t="s">
        <v>45044</v>
      </c>
      <c r="T9395" t="s">
        <v>46662</v>
      </c>
      <c r="U9395" t="s">
        <v>47714</v>
      </c>
      <c r="V9395" t="s">
        <v>59226</v>
      </c>
      <c r="W9395" t="s">
        <v>41026</v>
      </c>
      <c r="X9395" t="s">
        <v>44770</v>
      </c>
    </row>
    <row r="9396" spans="1:24">
      <c r="A9396">
        <f>HYPERLINK("https://www.philgeps.gov.ph/GEPSNONPILOT/Tender/SplashBidNoticeAbstractUI.aspx?menuIndex=3&amp;refID=7136640&amp;Result=3","7136640")</f>
        <v>0</v>
      </c>
      <c r="B9396" t="s">
        <v>2971</v>
      </c>
      <c r="C9396" t="s">
        <v>12671</v>
      </c>
      <c r="D9396" t="s">
        <v>17992</v>
      </c>
      <c r="E9396" t="s">
        <v>26207</v>
      </c>
      <c r="F9396" t="s">
        <v>30900</v>
      </c>
      <c r="G9396" t="s">
        <v>30907</v>
      </c>
      <c r="H9396" t="s">
        <v>30916</v>
      </c>
      <c r="I9396" t="s">
        <v>4017</v>
      </c>
      <c r="J9396" t="s">
        <v>31439</v>
      </c>
      <c r="K9396" t="s">
        <v>40327</v>
      </c>
      <c r="M9396" t="s">
        <v>43772</v>
      </c>
      <c r="N9396" t="s">
        <v>44759</v>
      </c>
      <c r="O9396" t="s">
        <v>44760</v>
      </c>
      <c r="P9396">
        <v>0</v>
      </c>
      <c r="Q9396">
        <v>4</v>
      </c>
      <c r="R9396" t="s">
        <v>44769</v>
      </c>
      <c r="S9396" t="s">
        <v>45044</v>
      </c>
      <c r="T9396" t="s">
        <v>46606</v>
      </c>
      <c r="U9396" t="s">
        <v>54745</v>
      </c>
      <c r="W9396" t="s">
        <v>43772</v>
      </c>
      <c r="X9396" t="s">
        <v>44770</v>
      </c>
    </row>
    <row r="9397" spans="1:24">
      <c r="A9397">
        <f>HYPERLINK("https://www.philgeps.gov.ph/GEPSNONPILOT/Tender/SplashBidNoticeAbstractUI.aspx?menuIndex=3&amp;refID=7136803&amp;Result=3","7136803")</f>
        <v>0</v>
      </c>
      <c r="B9397" t="s">
        <v>2945</v>
      </c>
      <c r="C9397" t="s">
        <v>12672</v>
      </c>
      <c r="D9397" t="s">
        <v>17953</v>
      </c>
      <c r="E9397" t="s">
        <v>26208</v>
      </c>
      <c r="F9397" t="s">
        <v>30900</v>
      </c>
      <c r="G9397" t="s">
        <v>30908</v>
      </c>
      <c r="H9397" t="s">
        <v>30917</v>
      </c>
      <c r="I9397" t="s">
        <v>30932</v>
      </c>
      <c r="J9397" t="s">
        <v>31341</v>
      </c>
      <c r="K9397" t="s">
        <v>40286</v>
      </c>
      <c r="M9397" t="s">
        <v>43742</v>
      </c>
      <c r="N9397" t="s">
        <v>44759</v>
      </c>
      <c r="O9397" t="s">
        <v>44760</v>
      </c>
      <c r="P9397">
        <v>0</v>
      </c>
      <c r="Q9397">
        <v>4</v>
      </c>
      <c r="R9397" t="s">
        <v>44769</v>
      </c>
      <c r="S9397" t="s">
        <v>45044</v>
      </c>
      <c r="T9397" t="s">
        <v>46410</v>
      </c>
      <c r="U9397" t="s">
        <v>54746</v>
      </c>
      <c r="W9397" t="s">
        <v>43742</v>
      </c>
      <c r="X9397" t="s">
        <v>44770</v>
      </c>
    </row>
    <row r="9398" spans="1:24">
      <c r="A9398">
        <f>HYPERLINK("https://www.philgeps.gov.ph/GEPSNONPILOT/Tender/SplashBidNoticeAbstractUI.aspx?menuIndex=3&amp;refID=7136797&amp;Result=3","7136797")</f>
        <v>0</v>
      </c>
      <c r="B9398" t="s">
        <v>869</v>
      </c>
      <c r="C9398" t="s">
        <v>12673</v>
      </c>
      <c r="D9398" t="s">
        <v>17988</v>
      </c>
      <c r="E9398" t="s">
        <v>26209</v>
      </c>
      <c r="F9398" t="s">
        <v>30900</v>
      </c>
      <c r="G9398" t="s">
        <v>30907</v>
      </c>
      <c r="H9398" t="s">
        <v>30916</v>
      </c>
      <c r="I9398" t="s">
        <v>30919</v>
      </c>
      <c r="J9398" t="s">
        <v>36931</v>
      </c>
      <c r="K9398" t="s">
        <v>40356</v>
      </c>
      <c r="M9398" t="s">
        <v>41442</v>
      </c>
      <c r="N9398" t="s">
        <v>44759</v>
      </c>
      <c r="O9398" t="s">
        <v>44760</v>
      </c>
      <c r="P9398">
        <v>0</v>
      </c>
      <c r="Q9398">
        <v>0</v>
      </c>
      <c r="R9398" t="s">
        <v>44769</v>
      </c>
      <c r="S9398" t="s">
        <v>45044</v>
      </c>
      <c r="T9398" t="s">
        <v>46581</v>
      </c>
      <c r="U9398" t="s">
        <v>54747</v>
      </c>
      <c r="W9398" t="s">
        <v>41442</v>
      </c>
      <c r="X9398" t="s">
        <v>44770</v>
      </c>
    </row>
    <row r="9399" spans="1:24">
      <c r="A9399">
        <f>HYPERLINK("https://www.philgeps.gov.ph/GEPSNONPILOT/Tender/SplashBidNoticeAbstractUI.aspx?menuIndex=3&amp;refID=7136845&amp;Result=3","7136845")</f>
        <v>0</v>
      </c>
      <c r="B9399" t="s">
        <v>2858</v>
      </c>
      <c r="C9399" t="s">
        <v>12674</v>
      </c>
      <c r="D9399" t="s">
        <v>17961</v>
      </c>
      <c r="E9399" t="s">
        <v>18282</v>
      </c>
      <c r="F9399" t="s">
        <v>30900</v>
      </c>
      <c r="G9399" t="s">
        <v>30907</v>
      </c>
      <c r="H9399" t="s">
        <v>30916</v>
      </c>
      <c r="I9399" t="s">
        <v>8365</v>
      </c>
      <c r="J9399" t="s">
        <v>31183</v>
      </c>
      <c r="K9399" t="s">
        <v>40285</v>
      </c>
      <c r="M9399" t="s">
        <v>43645</v>
      </c>
      <c r="N9399" t="s">
        <v>44759</v>
      </c>
      <c r="O9399" t="s">
        <v>44760</v>
      </c>
      <c r="P9399">
        <v>0</v>
      </c>
      <c r="Q9399">
        <v>0</v>
      </c>
      <c r="R9399" t="s">
        <v>44769</v>
      </c>
      <c r="S9399" t="s">
        <v>45044</v>
      </c>
      <c r="T9399" t="s">
        <v>46704</v>
      </c>
      <c r="U9399" t="s">
        <v>54748</v>
      </c>
      <c r="W9399" t="s">
        <v>43645</v>
      </c>
      <c r="X9399" t="s">
        <v>44770</v>
      </c>
    </row>
    <row r="9400" spans="1:24">
      <c r="A9400">
        <f>HYPERLINK("https://www.philgeps.gov.ph/GEPSNONPILOT/Tender/SplashBidNoticeAbstractUI.aspx?menuIndex=3&amp;refID=7136869&amp;Result=3","7136869")</f>
        <v>0</v>
      </c>
      <c r="B9400" t="s">
        <v>322</v>
      </c>
      <c r="C9400" t="s">
        <v>12675</v>
      </c>
      <c r="D9400" t="s">
        <v>17959</v>
      </c>
      <c r="E9400" t="s">
        <v>26210</v>
      </c>
      <c r="F9400" t="s">
        <v>30900</v>
      </c>
      <c r="G9400" t="s">
        <v>30907</v>
      </c>
      <c r="H9400" t="s">
        <v>7411</v>
      </c>
      <c r="I9400" t="s">
        <v>7411</v>
      </c>
      <c r="J9400" t="s">
        <v>36932</v>
      </c>
      <c r="K9400" t="s">
        <v>40369</v>
      </c>
      <c r="M9400" t="s">
        <v>43773</v>
      </c>
      <c r="N9400" t="s">
        <v>44759</v>
      </c>
      <c r="O9400" t="s">
        <v>44760</v>
      </c>
      <c r="P9400">
        <v>0</v>
      </c>
      <c r="Q9400">
        <v>9</v>
      </c>
      <c r="R9400" t="s">
        <v>44769</v>
      </c>
      <c r="S9400" t="s">
        <v>45044</v>
      </c>
      <c r="T9400" t="s">
        <v>46488</v>
      </c>
      <c r="U9400" t="s">
        <v>54749</v>
      </c>
      <c r="W9400" t="s">
        <v>43773</v>
      </c>
      <c r="X9400" t="s">
        <v>44770</v>
      </c>
    </row>
    <row r="9401" spans="1:24">
      <c r="A9401">
        <f>HYPERLINK("https://www.philgeps.gov.ph/GEPSNONPILOT/Tender/SplashBidNoticeAbstractUI.aspx?menuIndex=3&amp;refID=7136931&amp;Result=3","7136931")</f>
        <v>0</v>
      </c>
      <c r="B9401" t="s">
        <v>555</v>
      </c>
      <c r="C9401" t="s">
        <v>12676</v>
      </c>
      <c r="D9401" t="s">
        <v>18028</v>
      </c>
      <c r="E9401" t="s">
        <v>26211</v>
      </c>
      <c r="F9401" t="s">
        <v>30900</v>
      </c>
      <c r="G9401" t="s">
        <v>30907</v>
      </c>
      <c r="H9401" t="s">
        <v>30916</v>
      </c>
      <c r="I9401" t="s">
        <v>4108</v>
      </c>
      <c r="J9401" t="s">
        <v>31391</v>
      </c>
      <c r="K9401" t="s">
        <v>40286</v>
      </c>
      <c r="M9401" t="s">
        <v>41116</v>
      </c>
      <c r="N9401" t="s">
        <v>44759</v>
      </c>
      <c r="O9401" t="s">
        <v>44760</v>
      </c>
      <c r="P9401">
        <v>0</v>
      </c>
      <c r="Q9401">
        <v>3</v>
      </c>
      <c r="R9401" t="s">
        <v>44769</v>
      </c>
      <c r="S9401" t="s">
        <v>45044</v>
      </c>
      <c r="T9401" t="s">
        <v>46558</v>
      </c>
      <c r="U9401" t="s">
        <v>47883</v>
      </c>
      <c r="W9401" t="s">
        <v>41116</v>
      </c>
      <c r="X9401" t="s">
        <v>44770</v>
      </c>
    </row>
    <row r="9402" spans="1:24">
      <c r="A9402">
        <f>HYPERLINK("https://www.philgeps.gov.ph/GEPSNONPILOT/Tender/SplashBidNoticeAbstractUI.aspx?menuIndex=3&amp;refID=7136679&amp;Result=3","7136679")</f>
        <v>0</v>
      </c>
      <c r="B9402" t="s">
        <v>2930</v>
      </c>
      <c r="C9402" t="s">
        <v>12677</v>
      </c>
      <c r="D9402" t="s">
        <v>17985</v>
      </c>
      <c r="E9402" t="s">
        <v>26212</v>
      </c>
      <c r="F9402" t="s">
        <v>30900</v>
      </c>
      <c r="G9402" t="s">
        <v>30907</v>
      </c>
      <c r="H9402" t="s">
        <v>30916</v>
      </c>
      <c r="I9402" t="s">
        <v>10847</v>
      </c>
      <c r="J9402" t="s">
        <v>36933</v>
      </c>
      <c r="K9402" t="s">
        <v>40284</v>
      </c>
      <c r="M9402" t="s">
        <v>43726</v>
      </c>
      <c r="N9402" t="s">
        <v>44759</v>
      </c>
      <c r="O9402" t="s">
        <v>44760</v>
      </c>
      <c r="P9402">
        <v>0</v>
      </c>
      <c r="Q9402">
        <v>1</v>
      </c>
      <c r="R9402" t="s">
        <v>44769</v>
      </c>
      <c r="S9402" t="s">
        <v>45044</v>
      </c>
      <c r="T9402" t="s">
        <v>46771</v>
      </c>
      <c r="U9402" t="s">
        <v>54750</v>
      </c>
      <c r="W9402" t="s">
        <v>43726</v>
      </c>
      <c r="X9402" t="s">
        <v>44770</v>
      </c>
    </row>
    <row r="9403" spans="1:24">
      <c r="A9403">
        <f>HYPERLINK("https://www.philgeps.gov.ph/GEPSNONPILOT/Tender/SplashBidNoticeAbstractUI.aspx?menuIndex=3&amp;refID=7136816&amp;Result=3","7136816")</f>
        <v>0</v>
      </c>
      <c r="B9403" t="s">
        <v>2955</v>
      </c>
      <c r="C9403" t="s">
        <v>12678</v>
      </c>
      <c r="D9403" t="s">
        <v>17975</v>
      </c>
      <c r="E9403" t="s">
        <v>26213</v>
      </c>
      <c r="F9403" t="s">
        <v>30900</v>
      </c>
      <c r="G9403" t="s">
        <v>30907</v>
      </c>
      <c r="H9403" t="s">
        <v>30916</v>
      </c>
      <c r="I9403" t="s">
        <v>4004</v>
      </c>
      <c r="J9403" t="s">
        <v>36372</v>
      </c>
      <c r="K9403" t="s">
        <v>40283</v>
      </c>
      <c r="M9403" t="s">
        <v>43755</v>
      </c>
      <c r="N9403" t="s">
        <v>44759</v>
      </c>
      <c r="O9403" t="s">
        <v>44760</v>
      </c>
      <c r="P9403">
        <v>0</v>
      </c>
      <c r="Q9403">
        <v>3</v>
      </c>
      <c r="R9403" t="s">
        <v>44769</v>
      </c>
      <c r="S9403" t="s">
        <v>45044</v>
      </c>
      <c r="T9403" t="s">
        <v>46658</v>
      </c>
      <c r="U9403" t="s">
        <v>54751</v>
      </c>
      <c r="V9403" t="s">
        <v>60130</v>
      </c>
      <c r="W9403" t="s">
        <v>43755</v>
      </c>
      <c r="X9403" t="s">
        <v>44770</v>
      </c>
    </row>
    <row r="9404" spans="1:24">
      <c r="A9404">
        <f>HYPERLINK("https://www.philgeps.gov.ph/GEPSNONPILOT/Tender/SplashBidNoticeAbstractUI.aspx?menuIndex=3&amp;refID=7136951&amp;Result=3","7136951")</f>
        <v>0</v>
      </c>
      <c r="B9404" t="s">
        <v>566</v>
      </c>
      <c r="C9404" t="s">
        <v>12679</v>
      </c>
      <c r="D9404" t="s">
        <v>17993</v>
      </c>
      <c r="E9404" t="s">
        <v>26214</v>
      </c>
      <c r="F9404" t="s">
        <v>30900</v>
      </c>
      <c r="G9404" t="s">
        <v>30907</v>
      </c>
      <c r="H9404" t="s">
        <v>30916</v>
      </c>
      <c r="I9404" t="s">
        <v>30932</v>
      </c>
      <c r="J9404" t="s">
        <v>32049</v>
      </c>
      <c r="K9404" t="s">
        <v>40284</v>
      </c>
      <c r="M9404" t="s">
        <v>41127</v>
      </c>
      <c r="N9404" t="s">
        <v>44759</v>
      </c>
      <c r="O9404" t="s">
        <v>44760</v>
      </c>
      <c r="P9404">
        <v>0</v>
      </c>
      <c r="Q9404">
        <v>3</v>
      </c>
      <c r="R9404" t="s">
        <v>44769</v>
      </c>
      <c r="S9404" t="s">
        <v>45044</v>
      </c>
      <c r="T9404" t="s">
        <v>46625</v>
      </c>
      <c r="U9404" t="s">
        <v>54752</v>
      </c>
      <c r="V9404" t="s">
        <v>60138</v>
      </c>
      <c r="W9404" t="s">
        <v>41127</v>
      </c>
      <c r="X9404" t="s">
        <v>44770</v>
      </c>
    </row>
    <row r="9405" spans="1:24">
      <c r="A9405">
        <f>HYPERLINK("https://www.philgeps.gov.ph/GEPSNONPILOT/Tender/SplashBidNoticeAbstractUI.aspx?menuIndex=3&amp;refID=7136700&amp;Result=3","7136700")</f>
        <v>0</v>
      </c>
      <c r="B9405" t="s">
        <v>2963</v>
      </c>
      <c r="C9405" t="s">
        <v>12680</v>
      </c>
      <c r="D9405" t="s">
        <v>17960</v>
      </c>
      <c r="E9405" t="s">
        <v>26178</v>
      </c>
      <c r="F9405" t="s">
        <v>30900</v>
      </c>
      <c r="G9405" t="s">
        <v>30907</v>
      </c>
      <c r="H9405" t="s">
        <v>30915</v>
      </c>
      <c r="I9405" t="s">
        <v>30919</v>
      </c>
      <c r="J9405" t="s">
        <v>36934</v>
      </c>
      <c r="K9405" t="s">
        <v>40292</v>
      </c>
      <c r="M9405" t="s">
        <v>43764</v>
      </c>
      <c r="N9405" t="s">
        <v>44759</v>
      </c>
      <c r="O9405" t="s">
        <v>44760</v>
      </c>
      <c r="Q9405">
        <v>5</v>
      </c>
      <c r="R9405" t="s">
        <v>44769</v>
      </c>
      <c r="S9405" t="s">
        <v>45059</v>
      </c>
      <c r="T9405" t="s">
        <v>46472</v>
      </c>
      <c r="U9405" t="s">
        <v>54722</v>
      </c>
      <c r="W9405" t="s">
        <v>43764</v>
      </c>
      <c r="X9405" t="s">
        <v>44770</v>
      </c>
    </row>
    <row r="9406" spans="1:24">
      <c r="A9406">
        <f>HYPERLINK("https://www.philgeps.gov.ph/GEPSNONPILOT/Tender/SplashBidNoticeAbstractUI.aspx?menuIndex=3&amp;refID=7136933&amp;Result=3","7136933")</f>
        <v>0</v>
      </c>
      <c r="B9406" t="s">
        <v>2540</v>
      </c>
      <c r="C9406" t="s">
        <v>12681</v>
      </c>
      <c r="D9406" t="s">
        <v>17966</v>
      </c>
      <c r="E9406" t="s">
        <v>26215</v>
      </c>
      <c r="F9406" t="s">
        <v>30900</v>
      </c>
      <c r="G9406" t="s">
        <v>30908</v>
      </c>
      <c r="H9406" t="s">
        <v>30916</v>
      </c>
      <c r="I9406" t="s">
        <v>4017</v>
      </c>
      <c r="J9406" t="s">
        <v>31043</v>
      </c>
      <c r="K9406" t="s">
        <v>40287</v>
      </c>
      <c r="M9406" t="s">
        <v>43296</v>
      </c>
      <c r="N9406" t="s">
        <v>44759</v>
      </c>
      <c r="O9406" t="s">
        <v>44760</v>
      </c>
      <c r="P9406">
        <v>0</v>
      </c>
      <c r="Q9406">
        <v>2</v>
      </c>
      <c r="R9406" t="s">
        <v>44769</v>
      </c>
      <c r="S9406" t="s">
        <v>45044</v>
      </c>
      <c r="T9406" t="s">
        <v>46533</v>
      </c>
      <c r="U9406" t="s">
        <v>54753</v>
      </c>
      <c r="W9406" t="s">
        <v>43296</v>
      </c>
      <c r="X9406" t="s">
        <v>44770</v>
      </c>
    </row>
    <row r="9407" spans="1:24">
      <c r="A9407">
        <f>HYPERLINK("https://www.philgeps.gov.ph/GEPSNONPILOT/Tender/SplashBidNoticeAbstractUI.aspx?menuIndex=3&amp;refID=7136927&amp;Result=3","7136927")</f>
        <v>0</v>
      </c>
      <c r="B9407" t="s">
        <v>2972</v>
      </c>
      <c r="C9407" t="s">
        <v>12682</v>
      </c>
      <c r="D9407" t="s">
        <v>17985</v>
      </c>
      <c r="E9407" t="s">
        <v>26216</v>
      </c>
      <c r="F9407" t="s">
        <v>30900</v>
      </c>
      <c r="G9407" t="s">
        <v>30908</v>
      </c>
      <c r="H9407" t="s">
        <v>30916</v>
      </c>
      <c r="I9407" t="s">
        <v>30939</v>
      </c>
      <c r="J9407" t="s">
        <v>31238</v>
      </c>
      <c r="K9407" t="s">
        <v>40285</v>
      </c>
      <c r="M9407" t="s">
        <v>43774</v>
      </c>
      <c r="N9407" t="s">
        <v>44759</v>
      </c>
      <c r="O9407" t="s">
        <v>44760</v>
      </c>
      <c r="P9407">
        <v>0</v>
      </c>
      <c r="Q9407">
        <v>2</v>
      </c>
      <c r="R9407" t="s">
        <v>44769</v>
      </c>
      <c r="S9407" t="s">
        <v>45044</v>
      </c>
      <c r="T9407" t="s">
        <v>46704</v>
      </c>
      <c r="U9407" t="s">
        <v>54754</v>
      </c>
      <c r="W9407" t="s">
        <v>43774</v>
      </c>
      <c r="X9407" t="s">
        <v>44770</v>
      </c>
    </row>
    <row r="9408" spans="1:24">
      <c r="A9408">
        <f>HYPERLINK("https://www.philgeps.gov.ph/GEPSNONPILOT/Tender/SplashBidNoticeAbstractUI.aspx?menuIndex=3&amp;refID=7136810&amp;Result=3","7136810")</f>
        <v>0</v>
      </c>
      <c r="B9408" t="s">
        <v>2966</v>
      </c>
      <c r="C9408" t="s">
        <v>12683</v>
      </c>
      <c r="D9408" t="s">
        <v>17994</v>
      </c>
      <c r="E9408" t="s">
        <v>26217</v>
      </c>
      <c r="F9408" t="s">
        <v>30900</v>
      </c>
      <c r="G9408" t="s">
        <v>30907</v>
      </c>
      <c r="H9408" t="s">
        <v>30916</v>
      </c>
      <c r="I9408" t="s">
        <v>30918</v>
      </c>
      <c r="J9408" t="s">
        <v>36935</v>
      </c>
      <c r="K9408" t="s">
        <v>40280</v>
      </c>
      <c r="L9408" t="s">
        <v>2966</v>
      </c>
      <c r="M9408" t="s">
        <v>43767</v>
      </c>
      <c r="N9408" t="s">
        <v>44759</v>
      </c>
      <c r="O9408" t="s">
        <v>44760</v>
      </c>
      <c r="P9408">
        <v>0</v>
      </c>
      <c r="Q9408">
        <v>35</v>
      </c>
      <c r="R9408" t="s">
        <v>44769</v>
      </c>
      <c r="S9408" t="s">
        <v>45044</v>
      </c>
      <c r="T9408" t="s">
        <v>46757</v>
      </c>
      <c r="U9408" t="s">
        <v>54755</v>
      </c>
      <c r="W9408" t="s">
        <v>43767</v>
      </c>
      <c r="X9408" t="s">
        <v>44770</v>
      </c>
    </row>
    <row r="9409" spans="1:24">
      <c r="A9409">
        <f>HYPERLINK("https://www.philgeps.gov.ph/GEPSNONPILOT/Tender/SplashBidNoticeAbstractUI.aspx?menuIndex=3&amp;refID=7136947&amp;Result=3","7136947")</f>
        <v>0</v>
      </c>
      <c r="B9409" t="s">
        <v>2540</v>
      </c>
      <c r="C9409" t="s">
        <v>10602</v>
      </c>
      <c r="D9409" t="s">
        <v>17966</v>
      </c>
      <c r="E9409" t="s">
        <v>26218</v>
      </c>
      <c r="F9409" t="s">
        <v>30900</v>
      </c>
      <c r="G9409" t="s">
        <v>30908</v>
      </c>
      <c r="H9409" t="s">
        <v>30916</v>
      </c>
      <c r="I9409" t="s">
        <v>10602</v>
      </c>
      <c r="J9409" t="s">
        <v>36936</v>
      </c>
      <c r="K9409" t="s">
        <v>40287</v>
      </c>
      <c r="M9409" t="s">
        <v>43296</v>
      </c>
      <c r="N9409" t="s">
        <v>44759</v>
      </c>
      <c r="O9409" t="s">
        <v>44760</v>
      </c>
      <c r="P9409">
        <v>0</v>
      </c>
      <c r="Q9409">
        <v>0</v>
      </c>
      <c r="R9409" t="s">
        <v>44769</v>
      </c>
      <c r="S9409" t="s">
        <v>45044</v>
      </c>
      <c r="T9409" t="s">
        <v>46533</v>
      </c>
      <c r="U9409" t="s">
        <v>54756</v>
      </c>
      <c r="W9409" t="s">
        <v>43296</v>
      </c>
      <c r="X9409" t="s">
        <v>44770</v>
      </c>
    </row>
    <row r="9410" spans="1:24">
      <c r="A9410">
        <f>HYPERLINK("https://www.philgeps.gov.ph/GEPSNONPILOT/Tender/SplashBidNoticeAbstractUI.aspx?menuIndex=3&amp;refID=7136910&amp;Result=3","7136910")</f>
        <v>0</v>
      </c>
      <c r="B9410" t="s">
        <v>2069</v>
      </c>
      <c r="C9410" t="s">
        <v>12684</v>
      </c>
      <c r="D9410" t="s">
        <v>17968</v>
      </c>
      <c r="E9410" t="s">
        <v>23123</v>
      </c>
      <c r="F9410" t="s">
        <v>30900</v>
      </c>
      <c r="G9410" t="s">
        <v>30907</v>
      </c>
      <c r="H9410" t="s">
        <v>30916</v>
      </c>
      <c r="I9410" t="s">
        <v>31032</v>
      </c>
      <c r="J9410" t="s">
        <v>34437</v>
      </c>
      <c r="K9410" t="s">
        <v>40287</v>
      </c>
      <c r="M9410" t="s">
        <v>42768</v>
      </c>
      <c r="N9410" t="s">
        <v>44759</v>
      </c>
      <c r="O9410" t="s">
        <v>44760</v>
      </c>
      <c r="P9410">
        <v>0</v>
      </c>
      <c r="Q9410">
        <v>2</v>
      </c>
      <c r="R9410" t="s">
        <v>44769</v>
      </c>
      <c r="S9410" t="s">
        <v>45044</v>
      </c>
      <c r="T9410" t="s">
        <v>46581</v>
      </c>
      <c r="U9410" t="s">
        <v>54757</v>
      </c>
      <c r="W9410" t="s">
        <v>42768</v>
      </c>
      <c r="X9410" t="s">
        <v>44770</v>
      </c>
    </row>
    <row r="9411" spans="1:24">
      <c r="A9411">
        <f>HYPERLINK("https://www.philgeps.gov.ph/GEPSNONPILOT/Tender/SplashBidNoticeAbstractUI.aspx?menuIndex=3&amp;refID=7136907&amp;Result=3","7136907")</f>
        <v>0</v>
      </c>
      <c r="B9411" t="s">
        <v>2973</v>
      </c>
      <c r="C9411" t="s">
        <v>12685</v>
      </c>
      <c r="D9411" t="s">
        <v>17993</v>
      </c>
      <c r="E9411" t="s">
        <v>26219</v>
      </c>
      <c r="F9411" t="s">
        <v>30900</v>
      </c>
      <c r="G9411" t="s">
        <v>30907</v>
      </c>
      <c r="H9411" t="s">
        <v>30915</v>
      </c>
      <c r="I9411" t="s">
        <v>30919</v>
      </c>
      <c r="J9411" t="s">
        <v>36937</v>
      </c>
      <c r="K9411" t="s">
        <v>40286</v>
      </c>
      <c r="M9411" t="s">
        <v>43775</v>
      </c>
      <c r="N9411" t="s">
        <v>44759</v>
      </c>
      <c r="O9411" t="s">
        <v>44760</v>
      </c>
      <c r="P9411">
        <v>0</v>
      </c>
      <c r="Q9411">
        <v>1</v>
      </c>
      <c r="R9411" t="s">
        <v>44769</v>
      </c>
      <c r="S9411" t="s">
        <v>45044</v>
      </c>
      <c r="T9411" t="s">
        <v>46752</v>
      </c>
      <c r="U9411" t="s">
        <v>54758</v>
      </c>
      <c r="W9411" t="s">
        <v>43775</v>
      </c>
      <c r="X9411" t="s">
        <v>44770</v>
      </c>
    </row>
    <row r="9412" spans="1:24">
      <c r="A9412">
        <f>HYPERLINK("https://www.philgeps.gov.ph/GEPSNONPILOT/Tender/SplashBidNoticeAbstractUI.aspx?menuIndex=3&amp;refID=7136894&amp;Result=3","7136894")</f>
        <v>0</v>
      </c>
      <c r="B9412" t="s">
        <v>2974</v>
      </c>
      <c r="C9412" t="s">
        <v>12686</v>
      </c>
      <c r="D9412" t="s">
        <v>17952</v>
      </c>
      <c r="E9412" t="s">
        <v>26220</v>
      </c>
      <c r="F9412" t="s">
        <v>30900</v>
      </c>
      <c r="G9412" t="s">
        <v>30907</v>
      </c>
      <c r="H9412" t="s">
        <v>30916</v>
      </c>
      <c r="I9412" t="s">
        <v>8123</v>
      </c>
      <c r="J9412" t="s">
        <v>35257</v>
      </c>
      <c r="K9412" t="s">
        <v>40286</v>
      </c>
      <c r="M9412" t="s">
        <v>43776</v>
      </c>
      <c r="N9412" t="s">
        <v>44759</v>
      </c>
      <c r="O9412" t="s">
        <v>44760</v>
      </c>
      <c r="P9412">
        <v>0</v>
      </c>
      <c r="Q9412">
        <v>6</v>
      </c>
      <c r="R9412" t="s">
        <v>44769</v>
      </c>
      <c r="S9412" t="s">
        <v>45044</v>
      </c>
      <c r="T9412" t="s">
        <v>46413</v>
      </c>
      <c r="U9412" t="s">
        <v>54759</v>
      </c>
      <c r="W9412" t="s">
        <v>43776</v>
      </c>
      <c r="X9412" t="s">
        <v>44770</v>
      </c>
    </row>
    <row r="9413" spans="1:24">
      <c r="A9413">
        <f>HYPERLINK("https://www.philgeps.gov.ph/GEPSNONPILOT/Tender/SplashBidNoticeAbstractUI.aspx?menuIndex=3&amp;refID=7136884&amp;Result=3","7136884")</f>
        <v>0</v>
      </c>
      <c r="B9413" t="s">
        <v>1328</v>
      </c>
      <c r="C9413" t="s">
        <v>12687</v>
      </c>
      <c r="D9413" t="s">
        <v>17973</v>
      </c>
      <c r="E9413" t="s">
        <v>26221</v>
      </c>
      <c r="F9413" t="s">
        <v>30900</v>
      </c>
      <c r="G9413" t="s">
        <v>30907</v>
      </c>
      <c r="H9413" t="s">
        <v>30916</v>
      </c>
      <c r="I9413" t="s">
        <v>8123</v>
      </c>
      <c r="J9413" t="s">
        <v>36938</v>
      </c>
      <c r="K9413" t="s">
        <v>40283</v>
      </c>
      <c r="M9413" t="s">
        <v>41948</v>
      </c>
      <c r="N9413" t="s">
        <v>44759</v>
      </c>
      <c r="O9413" t="s">
        <v>44760</v>
      </c>
      <c r="P9413">
        <v>0</v>
      </c>
      <c r="Q9413">
        <v>0</v>
      </c>
      <c r="R9413" t="s">
        <v>44769</v>
      </c>
      <c r="S9413" t="s">
        <v>45044</v>
      </c>
      <c r="T9413" t="s">
        <v>46409</v>
      </c>
      <c r="U9413" t="s">
        <v>54760</v>
      </c>
      <c r="W9413" t="s">
        <v>41948</v>
      </c>
      <c r="X9413" t="s">
        <v>44770</v>
      </c>
    </row>
    <row r="9414" spans="1:24">
      <c r="A9414">
        <f>HYPERLINK("https://www.philgeps.gov.ph/GEPSNONPILOT/Tender/SplashBidNoticeAbstractUI.aspx?menuIndex=3&amp;refID=7136881&amp;Result=3","7136881")</f>
        <v>0</v>
      </c>
      <c r="B9414" t="s">
        <v>468</v>
      </c>
      <c r="C9414" t="s">
        <v>12688</v>
      </c>
      <c r="E9414" t="s">
        <v>26222</v>
      </c>
      <c r="F9414" t="s">
        <v>30900</v>
      </c>
      <c r="G9414" t="s">
        <v>30907</v>
      </c>
      <c r="H9414" t="s">
        <v>30916</v>
      </c>
      <c r="I9414" t="s">
        <v>30929</v>
      </c>
      <c r="J9414" t="s">
        <v>36939</v>
      </c>
      <c r="K9414" t="s">
        <v>40289</v>
      </c>
      <c r="M9414" t="s">
        <v>41026</v>
      </c>
      <c r="N9414" t="s">
        <v>44759</v>
      </c>
      <c r="O9414" t="s">
        <v>44760</v>
      </c>
      <c r="P9414">
        <v>0</v>
      </c>
      <c r="Q9414">
        <v>9</v>
      </c>
      <c r="R9414" t="s">
        <v>44769</v>
      </c>
      <c r="S9414" t="s">
        <v>45044</v>
      </c>
      <c r="T9414" t="s">
        <v>46662</v>
      </c>
      <c r="U9414" t="s">
        <v>47714</v>
      </c>
      <c r="V9414" t="s">
        <v>59226</v>
      </c>
      <c r="W9414" t="s">
        <v>41026</v>
      </c>
      <c r="X9414" t="s">
        <v>44770</v>
      </c>
    </row>
    <row r="9415" spans="1:24">
      <c r="A9415">
        <f>HYPERLINK("https://www.philgeps.gov.ph/GEPSNONPILOT/Tender/SplashBidNoticeAbstractUI.aspx?menuIndex=3&amp;refID=7136880&amp;Result=3","7136880")</f>
        <v>0</v>
      </c>
      <c r="B9415" t="s">
        <v>2966</v>
      </c>
      <c r="C9415" t="s">
        <v>12689</v>
      </c>
      <c r="D9415" t="s">
        <v>17994</v>
      </c>
      <c r="E9415" t="s">
        <v>26223</v>
      </c>
      <c r="F9415" t="s">
        <v>30900</v>
      </c>
      <c r="G9415" t="s">
        <v>30907</v>
      </c>
      <c r="H9415" t="s">
        <v>30916</v>
      </c>
      <c r="I9415" t="s">
        <v>30939</v>
      </c>
      <c r="J9415" t="s">
        <v>36940</v>
      </c>
      <c r="K9415" t="s">
        <v>40283</v>
      </c>
      <c r="L9415" t="s">
        <v>2966</v>
      </c>
      <c r="M9415" t="s">
        <v>43767</v>
      </c>
      <c r="N9415" t="s">
        <v>44759</v>
      </c>
      <c r="O9415" t="s">
        <v>44760</v>
      </c>
      <c r="P9415">
        <v>0</v>
      </c>
      <c r="Q9415">
        <v>0</v>
      </c>
      <c r="R9415" t="s">
        <v>44769</v>
      </c>
      <c r="S9415" t="s">
        <v>45044</v>
      </c>
      <c r="T9415" t="s">
        <v>46757</v>
      </c>
      <c r="U9415" t="s">
        <v>54761</v>
      </c>
      <c r="W9415" t="s">
        <v>43767</v>
      </c>
      <c r="X9415" t="s">
        <v>44770</v>
      </c>
    </row>
    <row r="9416" spans="1:24">
      <c r="A9416">
        <f>HYPERLINK("https://www.philgeps.gov.ph/GEPSNONPILOT/Tender/SplashBidNoticeAbstractUI.aspx?menuIndex=3&amp;refID=7136879&amp;Result=3","7136879")</f>
        <v>0</v>
      </c>
      <c r="B9416" t="s">
        <v>2970</v>
      </c>
      <c r="C9416" t="s">
        <v>12690</v>
      </c>
      <c r="D9416" t="s">
        <v>17956</v>
      </c>
      <c r="E9416" t="s">
        <v>26224</v>
      </c>
      <c r="F9416" t="s">
        <v>30900</v>
      </c>
      <c r="G9416" t="s">
        <v>30907</v>
      </c>
      <c r="H9416" t="s">
        <v>30916</v>
      </c>
      <c r="I9416" t="s">
        <v>30949</v>
      </c>
      <c r="J9416" t="s">
        <v>36941</v>
      </c>
      <c r="K9416" t="s">
        <v>40280</v>
      </c>
      <c r="M9416" t="s">
        <v>43771</v>
      </c>
      <c r="N9416" t="s">
        <v>44759</v>
      </c>
      <c r="O9416" t="s">
        <v>44760</v>
      </c>
      <c r="P9416">
        <v>0</v>
      </c>
      <c r="Q9416">
        <v>2</v>
      </c>
      <c r="R9416" t="s">
        <v>44769</v>
      </c>
      <c r="S9416" t="s">
        <v>45044</v>
      </c>
      <c r="T9416" t="s">
        <v>46411</v>
      </c>
      <c r="U9416" t="s">
        <v>50057</v>
      </c>
      <c r="W9416" t="s">
        <v>43771</v>
      </c>
      <c r="X9416" t="s">
        <v>44770</v>
      </c>
    </row>
    <row r="9417" spans="1:24">
      <c r="A9417">
        <f>HYPERLINK("https://www.philgeps.gov.ph/GEPSNONPILOT/Tender/SplashBidNoticeAbstractUI.aspx?menuIndex=3&amp;refID=7136915&amp;Result=3","7136915")</f>
        <v>0</v>
      </c>
      <c r="B9417" t="s">
        <v>2975</v>
      </c>
      <c r="C9417" t="s">
        <v>12691</v>
      </c>
      <c r="D9417" t="s">
        <v>18013</v>
      </c>
      <c r="E9417" t="s">
        <v>26225</v>
      </c>
      <c r="F9417" t="s">
        <v>30900</v>
      </c>
      <c r="G9417" t="s">
        <v>30907</v>
      </c>
      <c r="H9417" t="s">
        <v>30916</v>
      </c>
      <c r="I9417" t="s">
        <v>8123</v>
      </c>
      <c r="J9417" t="s">
        <v>36942</v>
      </c>
      <c r="K9417" t="s">
        <v>40283</v>
      </c>
      <c r="M9417" t="s">
        <v>43777</v>
      </c>
      <c r="N9417" t="s">
        <v>44759</v>
      </c>
      <c r="O9417" t="s">
        <v>44760</v>
      </c>
      <c r="Q9417">
        <v>0</v>
      </c>
      <c r="R9417" t="s">
        <v>44769</v>
      </c>
      <c r="S9417" t="s">
        <v>45060</v>
      </c>
      <c r="T9417" t="s">
        <v>46429</v>
      </c>
      <c r="U9417" t="s">
        <v>54762</v>
      </c>
      <c r="W9417" t="s">
        <v>43777</v>
      </c>
      <c r="X9417" t="s">
        <v>44770</v>
      </c>
    </row>
    <row r="9418" spans="1:24">
      <c r="A9418">
        <f>HYPERLINK("https://www.philgeps.gov.ph/GEPSNONPILOT/Tender/SplashBidNoticeAbstractUI.aspx?menuIndex=3&amp;refID=7136906&amp;Result=3","7136906")</f>
        <v>0</v>
      </c>
      <c r="B9418" t="s">
        <v>2966</v>
      </c>
      <c r="C9418" t="s">
        <v>12692</v>
      </c>
      <c r="D9418" t="s">
        <v>17994</v>
      </c>
      <c r="E9418" t="s">
        <v>26226</v>
      </c>
      <c r="F9418" t="s">
        <v>30900</v>
      </c>
      <c r="G9418" t="s">
        <v>30907</v>
      </c>
      <c r="H9418" t="s">
        <v>30916</v>
      </c>
      <c r="I9418" t="s">
        <v>4017</v>
      </c>
      <c r="J9418" t="s">
        <v>36943</v>
      </c>
      <c r="K9418" t="s">
        <v>40354</v>
      </c>
      <c r="L9418" t="s">
        <v>2966</v>
      </c>
      <c r="M9418" t="s">
        <v>43767</v>
      </c>
      <c r="N9418" t="s">
        <v>44759</v>
      </c>
      <c r="O9418" t="s">
        <v>44760</v>
      </c>
      <c r="P9418">
        <v>0</v>
      </c>
      <c r="Q9418">
        <v>15</v>
      </c>
      <c r="R9418" t="s">
        <v>44769</v>
      </c>
      <c r="S9418" t="s">
        <v>45044</v>
      </c>
      <c r="T9418" t="s">
        <v>46757</v>
      </c>
      <c r="U9418" t="s">
        <v>54763</v>
      </c>
      <c r="W9418" t="s">
        <v>43767</v>
      </c>
      <c r="X9418" t="s">
        <v>44770</v>
      </c>
    </row>
    <row r="9419" spans="1:24">
      <c r="A9419">
        <f>HYPERLINK("https://www.philgeps.gov.ph/GEPSNONPILOT/Tender/SplashBidNoticeAbstractUI.aspx?menuIndex=3&amp;refID=7136868&amp;Result=3","7136868")</f>
        <v>0</v>
      </c>
      <c r="B9419" t="s">
        <v>468</v>
      </c>
      <c r="C9419" t="s">
        <v>12693</v>
      </c>
      <c r="E9419" t="s">
        <v>26227</v>
      </c>
      <c r="F9419" t="s">
        <v>30900</v>
      </c>
      <c r="G9419" t="s">
        <v>30907</v>
      </c>
      <c r="H9419" t="s">
        <v>30916</v>
      </c>
      <c r="I9419" t="s">
        <v>8123</v>
      </c>
      <c r="J9419" t="s">
        <v>36944</v>
      </c>
      <c r="K9419" t="s">
        <v>40289</v>
      </c>
      <c r="M9419" t="s">
        <v>41026</v>
      </c>
      <c r="N9419" t="s">
        <v>44759</v>
      </c>
      <c r="O9419" t="s">
        <v>44760</v>
      </c>
      <c r="P9419">
        <v>0</v>
      </c>
      <c r="Q9419">
        <v>4</v>
      </c>
      <c r="R9419" t="s">
        <v>44769</v>
      </c>
      <c r="S9419" t="s">
        <v>45044</v>
      </c>
      <c r="T9419" t="s">
        <v>46662</v>
      </c>
      <c r="U9419" t="s">
        <v>47714</v>
      </c>
      <c r="V9419" t="s">
        <v>59226</v>
      </c>
      <c r="W9419" t="s">
        <v>41026</v>
      </c>
      <c r="X9419" t="s">
        <v>44770</v>
      </c>
    </row>
    <row r="9420" spans="1:24">
      <c r="A9420">
        <f>HYPERLINK("https://www.philgeps.gov.ph/GEPSNONPILOT/Tender/SplashBidNoticeAbstractUI.aspx?menuIndex=3&amp;refID=7136957&amp;Result=3","7136957")</f>
        <v>0</v>
      </c>
      <c r="B9420" t="s">
        <v>2973</v>
      </c>
      <c r="C9420" t="s">
        <v>12694</v>
      </c>
      <c r="D9420" t="s">
        <v>17993</v>
      </c>
      <c r="E9420" t="s">
        <v>26219</v>
      </c>
      <c r="F9420" t="s">
        <v>30900</v>
      </c>
      <c r="G9420" t="s">
        <v>30907</v>
      </c>
      <c r="H9420" t="s">
        <v>30915</v>
      </c>
      <c r="I9420" t="s">
        <v>30919</v>
      </c>
      <c r="J9420" t="s">
        <v>36945</v>
      </c>
      <c r="K9420" t="s">
        <v>40433</v>
      </c>
      <c r="M9420" t="s">
        <v>43775</v>
      </c>
      <c r="N9420" t="s">
        <v>44759</v>
      </c>
      <c r="O9420" t="s">
        <v>44760</v>
      </c>
      <c r="P9420">
        <v>0</v>
      </c>
      <c r="Q9420">
        <v>1</v>
      </c>
      <c r="R9420" t="s">
        <v>44769</v>
      </c>
      <c r="S9420" t="s">
        <v>45044</v>
      </c>
      <c r="T9420" t="s">
        <v>46752</v>
      </c>
      <c r="U9420" t="s">
        <v>54764</v>
      </c>
      <c r="W9420" t="s">
        <v>43775</v>
      </c>
      <c r="X9420" t="s">
        <v>44770</v>
      </c>
    </row>
    <row r="9421" spans="1:24">
      <c r="A9421">
        <f>HYPERLINK("https://www.philgeps.gov.ph/GEPSNONPILOT/Tender/SplashBidNoticeAbstractUI.aspx?menuIndex=3&amp;refID=7137020&amp;Result=3","7137020")</f>
        <v>0</v>
      </c>
      <c r="B9421" t="s">
        <v>888</v>
      </c>
      <c r="C9421" t="s">
        <v>12695</v>
      </c>
      <c r="D9421" t="s">
        <v>17951</v>
      </c>
      <c r="E9421" t="s">
        <v>26228</v>
      </c>
      <c r="F9421" t="s">
        <v>30900</v>
      </c>
      <c r="G9421" t="s">
        <v>30907</v>
      </c>
      <c r="H9421" t="s">
        <v>30916</v>
      </c>
      <c r="I9421" t="s">
        <v>30921</v>
      </c>
      <c r="J9421" t="s">
        <v>35056</v>
      </c>
      <c r="K9421" t="s">
        <v>40308</v>
      </c>
      <c r="M9421" t="s">
        <v>41461</v>
      </c>
      <c r="N9421" t="s">
        <v>44759</v>
      </c>
      <c r="O9421" t="s">
        <v>44760</v>
      </c>
      <c r="P9421">
        <v>0</v>
      </c>
      <c r="Q9421">
        <v>0</v>
      </c>
      <c r="R9421" t="s">
        <v>44769</v>
      </c>
      <c r="S9421" t="s">
        <v>45044</v>
      </c>
      <c r="T9421" t="s">
        <v>46504</v>
      </c>
      <c r="U9421" t="s">
        <v>54765</v>
      </c>
      <c r="V9421" t="s">
        <v>60139</v>
      </c>
      <c r="W9421" t="s">
        <v>41461</v>
      </c>
      <c r="X9421" t="s">
        <v>44770</v>
      </c>
    </row>
    <row r="9422" spans="1:24">
      <c r="A9422">
        <f>HYPERLINK("https://www.philgeps.gov.ph/GEPSNONPILOT/Tender/SplashBidNoticeAbstractUI.aspx?menuIndex=3&amp;refID=7137019&amp;Result=3","7137019")</f>
        <v>0</v>
      </c>
      <c r="B9422" t="s">
        <v>2976</v>
      </c>
      <c r="C9422" t="s">
        <v>12696</v>
      </c>
      <c r="D9422" t="s">
        <v>17959</v>
      </c>
      <c r="E9422" t="s">
        <v>26229</v>
      </c>
      <c r="F9422" t="s">
        <v>30900</v>
      </c>
      <c r="G9422" t="s">
        <v>30907</v>
      </c>
      <c r="H9422" t="s">
        <v>30916</v>
      </c>
      <c r="I9422" t="s">
        <v>30932</v>
      </c>
      <c r="J9422" t="s">
        <v>36946</v>
      </c>
      <c r="K9422" t="s">
        <v>40280</v>
      </c>
      <c r="M9422" t="s">
        <v>43778</v>
      </c>
      <c r="N9422" t="s">
        <v>44759</v>
      </c>
      <c r="O9422" t="s">
        <v>44760</v>
      </c>
      <c r="Q9422">
        <v>14</v>
      </c>
      <c r="R9422" t="s">
        <v>44769</v>
      </c>
      <c r="S9422" t="s">
        <v>45061</v>
      </c>
      <c r="T9422" t="s">
        <v>46472</v>
      </c>
      <c r="U9422" t="s">
        <v>54766</v>
      </c>
      <c r="W9422" t="s">
        <v>43778</v>
      </c>
      <c r="X9422" t="s">
        <v>44770</v>
      </c>
    </row>
    <row r="9423" spans="1:24">
      <c r="A9423">
        <f>HYPERLINK("https://www.philgeps.gov.ph/GEPSNONPILOT/Tender/SplashBidNoticeAbstractUI.aspx?menuIndex=3&amp;refID=7137011&amp;Result=3","7137011")</f>
        <v>0</v>
      </c>
      <c r="B9423" t="s">
        <v>2977</v>
      </c>
      <c r="C9423" t="s">
        <v>12697</v>
      </c>
      <c r="D9423" t="s">
        <v>18013</v>
      </c>
      <c r="E9423" t="s">
        <v>26230</v>
      </c>
      <c r="F9423" t="s">
        <v>30900</v>
      </c>
      <c r="G9423" t="s">
        <v>30907</v>
      </c>
      <c r="H9423" t="s">
        <v>30916</v>
      </c>
      <c r="I9423" t="s">
        <v>4108</v>
      </c>
      <c r="J9423" t="s">
        <v>31256</v>
      </c>
      <c r="K9423" t="s">
        <v>40284</v>
      </c>
      <c r="M9423" t="s">
        <v>43779</v>
      </c>
      <c r="N9423" t="s">
        <v>44759</v>
      </c>
      <c r="O9423" t="s">
        <v>44760</v>
      </c>
      <c r="P9423">
        <v>0</v>
      </c>
      <c r="Q9423">
        <v>2</v>
      </c>
      <c r="R9423" t="s">
        <v>44769</v>
      </c>
      <c r="S9423" t="s">
        <v>45044</v>
      </c>
      <c r="T9423" t="s">
        <v>46352</v>
      </c>
      <c r="U9423" t="s">
        <v>54767</v>
      </c>
      <c r="W9423" t="s">
        <v>43779</v>
      </c>
      <c r="X9423" t="s">
        <v>44770</v>
      </c>
    </row>
    <row r="9424" spans="1:24">
      <c r="A9424">
        <f>HYPERLINK("https://www.philgeps.gov.ph/GEPSNONPILOT/Tender/SplashBidNoticeAbstractUI.aspx?menuIndex=3&amp;refID=7136877&amp;Result=3","7136877")</f>
        <v>0</v>
      </c>
      <c r="B9424" t="s">
        <v>597</v>
      </c>
      <c r="C9424" t="s">
        <v>12698</v>
      </c>
      <c r="D9424" t="s">
        <v>17970</v>
      </c>
      <c r="E9424" t="s">
        <v>26231</v>
      </c>
      <c r="F9424" t="s">
        <v>30900</v>
      </c>
      <c r="G9424" t="s">
        <v>30907</v>
      </c>
      <c r="H9424" t="s">
        <v>30916</v>
      </c>
      <c r="I9424" t="s">
        <v>30926</v>
      </c>
      <c r="J9424" t="s">
        <v>36947</v>
      </c>
      <c r="K9424" t="s">
        <v>40286</v>
      </c>
      <c r="M9424" t="s">
        <v>41159</v>
      </c>
      <c r="N9424" t="s">
        <v>44759</v>
      </c>
      <c r="O9424" t="s">
        <v>44760</v>
      </c>
      <c r="P9424">
        <v>0</v>
      </c>
      <c r="Q9424">
        <v>2</v>
      </c>
      <c r="R9424" t="s">
        <v>44769</v>
      </c>
      <c r="S9424" t="s">
        <v>45044</v>
      </c>
      <c r="T9424" t="s">
        <v>46472</v>
      </c>
      <c r="U9424" t="s">
        <v>54768</v>
      </c>
      <c r="W9424" t="s">
        <v>41159</v>
      </c>
      <c r="X9424" t="s">
        <v>44770</v>
      </c>
    </row>
    <row r="9425" spans="1:24">
      <c r="A9425">
        <f>HYPERLINK("https://www.philgeps.gov.ph/GEPSNONPILOT/Tender/SplashBidNoticeAbstractUI.aspx?menuIndex=3&amp;refID=7136938&amp;Result=3","7136938")</f>
        <v>0</v>
      </c>
      <c r="B9425" t="s">
        <v>2978</v>
      </c>
      <c r="C9425" t="s">
        <v>12699</v>
      </c>
      <c r="D9425" t="s">
        <v>17961</v>
      </c>
      <c r="E9425" t="s">
        <v>18149</v>
      </c>
      <c r="F9425" t="s">
        <v>30900</v>
      </c>
      <c r="G9425" t="s">
        <v>30908</v>
      </c>
      <c r="H9425" t="s">
        <v>30916</v>
      </c>
      <c r="I9425" t="s">
        <v>8365</v>
      </c>
      <c r="J9425" t="s">
        <v>36948</v>
      </c>
      <c r="K9425" t="s">
        <v>40287</v>
      </c>
      <c r="M9425" t="s">
        <v>43780</v>
      </c>
      <c r="N9425" t="s">
        <v>44759</v>
      </c>
      <c r="O9425" t="s">
        <v>44760</v>
      </c>
      <c r="P9425">
        <v>0</v>
      </c>
      <c r="Q9425">
        <v>1</v>
      </c>
      <c r="R9425" t="s">
        <v>44769</v>
      </c>
      <c r="S9425" t="s">
        <v>45044</v>
      </c>
      <c r="T9425" t="s">
        <v>46374</v>
      </c>
      <c r="U9425" t="s">
        <v>48111</v>
      </c>
      <c r="W9425" t="s">
        <v>43780</v>
      </c>
      <c r="X9425" t="s">
        <v>44770</v>
      </c>
    </row>
    <row r="9426" spans="1:24">
      <c r="A9426">
        <f>HYPERLINK("https://www.philgeps.gov.ph/GEPSNONPILOT/Tender/SplashBidNoticeAbstractUI.aspx?menuIndex=3&amp;refID=7137005&amp;Result=3","7137005")</f>
        <v>0</v>
      </c>
      <c r="B9426" t="s">
        <v>2979</v>
      </c>
      <c r="C9426" t="s">
        <v>12700</v>
      </c>
      <c r="D9426" t="s">
        <v>18021</v>
      </c>
      <c r="E9426" t="s">
        <v>26232</v>
      </c>
      <c r="F9426" t="s">
        <v>30900</v>
      </c>
      <c r="G9426" t="s">
        <v>30908</v>
      </c>
      <c r="H9426" t="s">
        <v>30916</v>
      </c>
      <c r="I9426" t="s">
        <v>4142</v>
      </c>
      <c r="J9426" t="s">
        <v>36949</v>
      </c>
      <c r="K9426" t="s">
        <v>40286</v>
      </c>
      <c r="M9426" t="s">
        <v>43781</v>
      </c>
      <c r="N9426" t="s">
        <v>44759</v>
      </c>
      <c r="O9426" t="s">
        <v>44760</v>
      </c>
      <c r="P9426">
        <v>0</v>
      </c>
      <c r="Q9426">
        <v>0</v>
      </c>
      <c r="R9426" t="s">
        <v>44769</v>
      </c>
      <c r="S9426" t="s">
        <v>45044</v>
      </c>
      <c r="T9426" t="s">
        <v>46383</v>
      </c>
      <c r="U9426" t="s">
        <v>48263</v>
      </c>
      <c r="V9426" t="s">
        <v>60140</v>
      </c>
      <c r="W9426" t="s">
        <v>43781</v>
      </c>
      <c r="X9426" t="s">
        <v>44770</v>
      </c>
    </row>
    <row r="9427" spans="1:24">
      <c r="A9427">
        <f>HYPERLINK("https://www.philgeps.gov.ph/GEPSNONPILOT/Tender/SplashBidNoticeAbstractUI.aspx?menuIndex=3&amp;refID=7137001&amp;Result=3","7137001")</f>
        <v>0</v>
      </c>
      <c r="B9427" t="s">
        <v>736</v>
      </c>
      <c r="C9427" t="s">
        <v>12701</v>
      </c>
      <c r="D9427" t="s">
        <v>18013</v>
      </c>
      <c r="E9427" t="s">
        <v>26233</v>
      </c>
      <c r="F9427" t="s">
        <v>30900</v>
      </c>
      <c r="G9427" t="s">
        <v>30907</v>
      </c>
      <c r="H9427" t="s">
        <v>30916</v>
      </c>
      <c r="I9427" t="s">
        <v>11785</v>
      </c>
      <c r="J9427" t="s">
        <v>33654</v>
      </c>
      <c r="K9427" t="s">
        <v>40286</v>
      </c>
      <c r="M9427" t="s">
        <v>41300</v>
      </c>
      <c r="N9427" t="s">
        <v>44759</v>
      </c>
      <c r="O9427" t="s">
        <v>44760</v>
      </c>
      <c r="P9427">
        <v>0</v>
      </c>
      <c r="Q9427">
        <v>1</v>
      </c>
      <c r="R9427" t="s">
        <v>44769</v>
      </c>
      <c r="S9427" t="s">
        <v>45044</v>
      </c>
      <c r="T9427" t="s">
        <v>46488</v>
      </c>
      <c r="U9427" t="s">
        <v>54769</v>
      </c>
      <c r="W9427" t="s">
        <v>41300</v>
      </c>
      <c r="X9427" t="s">
        <v>44770</v>
      </c>
    </row>
    <row r="9428" spans="1:24">
      <c r="A9428">
        <f>HYPERLINK("https://www.philgeps.gov.ph/GEPSNONPILOT/Tender/SplashBidNoticeAbstractUI.aspx?menuIndex=3&amp;refID=7137006&amp;Result=3","7137006")</f>
        <v>0</v>
      </c>
      <c r="B9428" t="s">
        <v>243</v>
      </c>
      <c r="C9428" t="s">
        <v>12702</v>
      </c>
      <c r="D9428" t="s">
        <v>17999</v>
      </c>
      <c r="E9428" t="s">
        <v>26234</v>
      </c>
      <c r="F9428" t="s">
        <v>30900</v>
      </c>
      <c r="G9428" t="s">
        <v>30908</v>
      </c>
      <c r="H9428" t="s">
        <v>30916</v>
      </c>
      <c r="I9428" t="s">
        <v>30931</v>
      </c>
      <c r="J9428" t="s">
        <v>31105</v>
      </c>
      <c r="K9428" t="s">
        <v>40289</v>
      </c>
      <c r="M9428" t="s">
        <v>42208</v>
      </c>
      <c r="N9428" t="s">
        <v>44759</v>
      </c>
      <c r="O9428" t="s">
        <v>44760</v>
      </c>
      <c r="P9428">
        <v>0</v>
      </c>
      <c r="Q9428">
        <v>4</v>
      </c>
      <c r="R9428" t="s">
        <v>44769</v>
      </c>
      <c r="S9428" t="s">
        <v>45044</v>
      </c>
      <c r="T9428" t="s">
        <v>46454</v>
      </c>
      <c r="U9428" t="s">
        <v>54770</v>
      </c>
      <c r="W9428" t="s">
        <v>60867</v>
      </c>
      <c r="X9428" t="s">
        <v>44770</v>
      </c>
    </row>
    <row r="9429" spans="1:24">
      <c r="A9429">
        <f>HYPERLINK("https://www.philgeps.gov.ph/GEPSNONPILOT/Tender/SplashBidNoticeAbstractUI.aspx?menuIndex=3&amp;refID=7136997&amp;Result=3","7136997")</f>
        <v>0</v>
      </c>
      <c r="B9429" t="s">
        <v>645</v>
      </c>
      <c r="C9429" t="s">
        <v>12703</v>
      </c>
      <c r="D9429" t="s">
        <v>17951</v>
      </c>
      <c r="E9429" t="s">
        <v>20050</v>
      </c>
      <c r="F9429" t="s">
        <v>30900</v>
      </c>
      <c r="G9429" t="s">
        <v>30907</v>
      </c>
      <c r="H9429" t="s">
        <v>30916</v>
      </c>
      <c r="I9429" t="s">
        <v>30933</v>
      </c>
      <c r="J9429" t="s">
        <v>36950</v>
      </c>
      <c r="K9429" t="s">
        <v>40293</v>
      </c>
      <c r="M9429" t="s">
        <v>41208</v>
      </c>
      <c r="N9429" t="s">
        <v>44759</v>
      </c>
      <c r="O9429" t="s">
        <v>44760</v>
      </c>
      <c r="P9429">
        <v>0</v>
      </c>
      <c r="Q9429">
        <v>2</v>
      </c>
      <c r="R9429" t="s">
        <v>44769</v>
      </c>
      <c r="S9429" t="s">
        <v>45044</v>
      </c>
      <c r="T9429" t="s">
        <v>46472</v>
      </c>
      <c r="U9429" t="s">
        <v>54771</v>
      </c>
      <c r="W9429" t="s">
        <v>41208</v>
      </c>
      <c r="X9429" t="s">
        <v>44770</v>
      </c>
    </row>
    <row r="9430" spans="1:24">
      <c r="A9430">
        <f>HYPERLINK("https://www.philgeps.gov.ph/GEPSNONPILOT/Tender/SplashBidNoticeAbstractUI.aspx?menuIndex=3&amp;refID=7136876&amp;Result=3","7136876")</f>
        <v>0</v>
      </c>
      <c r="B9430" t="s">
        <v>2974</v>
      </c>
      <c r="C9430" t="s">
        <v>12704</v>
      </c>
      <c r="D9430" t="s">
        <v>17952</v>
      </c>
      <c r="E9430" t="s">
        <v>21126</v>
      </c>
      <c r="F9430" t="s">
        <v>30900</v>
      </c>
      <c r="G9430" t="s">
        <v>30907</v>
      </c>
      <c r="H9430" t="s">
        <v>30916</v>
      </c>
      <c r="I9430" t="s">
        <v>8123</v>
      </c>
      <c r="J9430" t="s">
        <v>36951</v>
      </c>
      <c r="K9430" t="s">
        <v>40292</v>
      </c>
      <c r="M9430" t="s">
        <v>43776</v>
      </c>
      <c r="N9430" t="s">
        <v>44759</v>
      </c>
      <c r="O9430" t="s">
        <v>44760</v>
      </c>
      <c r="P9430">
        <v>0</v>
      </c>
      <c r="Q9430">
        <v>2</v>
      </c>
      <c r="R9430" t="s">
        <v>44769</v>
      </c>
      <c r="S9430" t="s">
        <v>45044</v>
      </c>
      <c r="T9430" t="s">
        <v>46413</v>
      </c>
      <c r="U9430" t="s">
        <v>54772</v>
      </c>
      <c r="W9430" t="s">
        <v>43776</v>
      </c>
      <c r="X9430" t="s">
        <v>44770</v>
      </c>
    </row>
    <row r="9431" spans="1:24">
      <c r="A9431">
        <f>HYPERLINK("https://www.philgeps.gov.ph/GEPSNONPILOT/Tender/SplashBidNoticeAbstractUI.aspx?menuIndex=3&amp;refID=7136988&amp;Result=3","7136988")</f>
        <v>0</v>
      </c>
      <c r="B9431" t="s">
        <v>2980</v>
      </c>
      <c r="C9431" t="s">
        <v>12699</v>
      </c>
      <c r="D9431" t="s">
        <v>17961</v>
      </c>
      <c r="E9431" t="s">
        <v>18149</v>
      </c>
      <c r="F9431" t="s">
        <v>30900</v>
      </c>
      <c r="G9431" t="s">
        <v>30908</v>
      </c>
      <c r="H9431" t="s">
        <v>30916</v>
      </c>
      <c r="I9431" t="s">
        <v>8365</v>
      </c>
      <c r="J9431" t="s">
        <v>36952</v>
      </c>
      <c r="K9431" t="s">
        <v>40287</v>
      </c>
      <c r="M9431" t="s">
        <v>43782</v>
      </c>
      <c r="N9431" t="s">
        <v>44759</v>
      </c>
      <c r="O9431" t="s">
        <v>44760</v>
      </c>
      <c r="P9431">
        <v>0</v>
      </c>
      <c r="Q9431">
        <v>1</v>
      </c>
      <c r="R9431" t="s">
        <v>44769</v>
      </c>
      <c r="S9431" t="s">
        <v>45044</v>
      </c>
      <c r="T9431" t="s">
        <v>46374</v>
      </c>
      <c r="U9431" t="s">
        <v>48111</v>
      </c>
      <c r="W9431" t="s">
        <v>43782</v>
      </c>
      <c r="X9431" t="s">
        <v>44770</v>
      </c>
    </row>
    <row r="9432" spans="1:24">
      <c r="A9432">
        <f>HYPERLINK("https://www.philgeps.gov.ph/GEPSNONPILOT/Tender/SplashBidNoticeAbstractUI.aspx?menuIndex=3&amp;refID=7136983&amp;Result=3","7136983")</f>
        <v>0</v>
      </c>
      <c r="B9432" t="s">
        <v>2981</v>
      </c>
      <c r="C9432" t="s">
        <v>12705</v>
      </c>
      <c r="E9432" t="s">
        <v>18282</v>
      </c>
      <c r="F9432" t="s">
        <v>30900</v>
      </c>
      <c r="G9432" t="s">
        <v>30907</v>
      </c>
      <c r="H9432" t="s">
        <v>30916</v>
      </c>
      <c r="I9432" t="s">
        <v>30933</v>
      </c>
      <c r="J9432" t="s">
        <v>35199</v>
      </c>
      <c r="K9432" t="s">
        <v>40289</v>
      </c>
      <c r="M9432" t="s">
        <v>43783</v>
      </c>
      <c r="N9432" t="s">
        <v>44759</v>
      </c>
      <c r="O9432" t="s">
        <v>44760</v>
      </c>
      <c r="P9432">
        <v>0</v>
      </c>
      <c r="Q9432">
        <v>0</v>
      </c>
      <c r="R9432" t="s">
        <v>44769</v>
      </c>
      <c r="S9432" t="s">
        <v>45044</v>
      </c>
      <c r="T9432" t="s">
        <v>46421</v>
      </c>
      <c r="U9432" t="s">
        <v>54773</v>
      </c>
      <c r="W9432" t="s">
        <v>43783</v>
      </c>
      <c r="X9432" t="s">
        <v>44770</v>
      </c>
    </row>
    <row r="9433" spans="1:24">
      <c r="A9433">
        <f>HYPERLINK("https://www.philgeps.gov.ph/GEPSNONPILOT/Tender/SplashBidNoticeAbstractUI.aspx?menuIndex=3&amp;refID=7136980&amp;Result=3","7136980")</f>
        <v>0</v>
      </c>
      <c r="B9433" t="s">
        <v>2540</v>
      </c>
      <c r="C9433" t="s">
        <v>8326</v>
      </c>
      <c r="D9433" t="s">
        <v>17966</v>
      </c>
      <c r="E9433" t="s">
        <v>26235</v>
      </c>
      <c r="F9433" t="s">
        <v>30900</v>
      </c>
      <c r="G9433" t="s">
        <v>30908</v>
      </c>
      <c r="H9433" t="s">
        <v>30916</v>
      </c>
      <c r="I9433" t="s">
        <v>8123</v>
      </c>
      <c r="J9433" t="s">
        <v>36953</v>
      </c>
      <c r="K9433" t="s">
        <v>40287</v>
      </c>
      <c r="M9433" t="s">
        <v>43296</v>
      </c>
      <c r="N9433" t="s">
        <v>44759</v>
      </c>
      <c r="O9433" t="s">
        <v>44760</v>
      </c>
      <c r="P9433">
        <v>0</v>
      </c>
      <c r="Q9433">
        <v>1</v>
      </c>
      <c r="R9433" t="s">
        <v>44769</v>
      </c>
      <c r="S9433" t="s">
        <v>45044</v>
      </c>
      <c r="T9433" t="s">
        <v>46533</v>
      </c>
      <c r="U9433" t="s">
        <v>54774</v>
      </c>
      <c r="W9433" t="s">
        <v>43296</v>
      </c>
      <c r="X9433" t="s">
        <v>44770</v>
      </c>
    </row>
    <row r="9434" spans="1:24">
      <c r="A9434">
        <f>HYPERLINK("https://www.philgeps.gov.ph/GEPSNONPILOT/Tender/SplashBidNoticeAbstractUI.aspx?menuIndex=3&amp;refID=7137003&amp;Result=3","7137003")</f>
        <v>0</v>
      </c>
      <c r="B9434" t="s">
        <v>2982</v>
      </c>
      <c r="C9434" t="s">
        <v>12706</v>
      </c>
      <c r="D9434" t="s">
        <v>17985</v>
      </c>
      <c r="E9434" t="s">
        <v>20202</v>
      </c>
      <c r="F9434" t="s">
        <v>30900</v>
      </c>
      <c r="G9434" t="s">
        <v>30906</v>
      </c>
      <c r="H9434" t="s">
        <v>30916</v>
      </c>
      <c r="I9434" t="s">
        <v>30939</v>
      </c>
      <c r="J9434" t="s">
        <v>36954</v>
      </c>
      <c r="K9434" t="s">
        <v>40319</v>
      </c>
      <c r="M9434" t="s">
        <v>43784</v>
      </c>
      <c r="N9434" t="s">
        <v>44759</v>
      </c>
      <c r="O9434" t="s">
        <v>44760</v>
      </c>
      <c r="P9434">
        <v>0</v>
      </c>
      <c r="Q9434">
        <v>0</v>
      </c>
      <c r="R9434" t="s">
        <v>44769</v>
      </c>
      <c r="S9434" t="s">
        <v>45044</v>
      </c>
      <c r="T9434" t="s">
        <v>46591</v>
      </c>
      <c r="U9434" t="s">
        <v>54775</v>
      </c>
      <c r="W9434" t="s">
        <v>43784</v>
      </c>
      <c r="X9434" t="s">
        <v>44770</v>
      </c>
    </row>
    <row r="9435" spans="1:24">
      <c r="A9435">
        <f>HYPERLINK("https://www.philgeps.gov.ph/GEPSNONPILOT/Tender/SplashBidNoticeAbstractUI.aspx?menuIndex=3&amp;refID=7136993&amp;Result=3","7136993")</f>
        <v>0</v>
      </c>
      <c r="B9435" t="s">
        <v>555</v>
      </c>
      <c r="C9435" t="s">
        <v>12707</v>
      </c>
      <c r="D9435" t="s">
        <v>18028</v>
      </c>
      <c r="E9435" t="s">
        <v>26236</v>
      </c>
      <c r="F9435" t="s">
        <v>30900</v>
      </c>
      <c r="G9435" t="s">
        <v>30907</v>
      </c>
      <c r="H9435" t="s">
        <v>30916</v>
      </c>
      <c r="I9435" t="s">
        <v>4142</v>
      </c>
      <c r="J9435" t="s">
        <v>31092</v>
      </c>
      <c r="K9435" t="s">
        <v>40286</v>
      </c>
      <c r="M9435" t="s">
        <v>41116</v>
      </c>
      <c r="N9435" t="s">
        <v>44759</v>
      </c>
      <c r="O9435" t="s">
        <v>44760</v>
      </c>
      <c r="P9435">
        <v>0</v>
      </c>
      <c r="Q9435">
        <v>1</v>
      </c>
      <c r="R9435" t="s">
        <v>44769</v>
      </c>
      <c r="S9435" t="s">
        <v>45044</v>
      </c>
      <c r="T9435" t="s">
        <v>46760</v>
      </c>
      <c r="U9435" t="s">
        <v>47883</v>
      </c>
      <c r="V9435" t="s">
        <v>59246</v>
      </c>
      <c r="W9435" t="s">
        <v>41116</v>
      </c>
      <c r="X9435" t="s">
        <v>44770</v>
      </c>
    </row>
    <row r="9436" spans="1:24">
      <c r="A9436">
        <f>HYPERLINK("https://www.philgeps.gov.ph/GEPSNONPILOT/Tender/SplashBidNoticeAbstractUI.aspx?menuIndex=3&amp;refID=7136945&amp;Result=3","7136945")</f>
        <v>0</v>
      </c>
      <c r="B9436" t="s">
        <v>2983</v>
      </c>
      <c r="C9436" t="s">
        <v>12708</v>
      </c>
      <c r="D9436" t="s">
        <v>17959</v>
      </c>
      <c r="E9436" t="s">
        <v>26237</v>
      </c>
      <c r="F9436" t="s">
        <v>30900</v>
      </c>
      <c r="G9436" t="s">
        <v>30907</v>
      </c>
      <c r="H9436" t="s">
        <v>30916</v>
      </c>
      <c r="I9436" t="s">
        <v>8365</v>
      </c>
      <c r="J9436" t="s">
        <v>36955</v>
      </c>
      <c r="K9436" t="s">
        <v>40281</v>
      </c>
      <c r="M9436" t="s">
        <v>43785</v>
      </c>
      <c r="N9436" t="s">
        <v>44759</v>
      </c>
      <c r="O9436" t="s">
        <v>44760</v>
      </c>
      <c r="P9436">
        <v>0</v>
      </c>
      <c r="Q9436">
        <v>1</v>
      </c>
      <c r="R9436" t="s">
        <v>44769</v>
      </c>
      <c r="S9436" t="s">
        <v>45044</v>
      </c>
      <c r="T9436" t="s">
        <v>46414</v>
      </c>
      <c r="U9436" t="s">
        <v>54776</v>
      </c>
      <c r="V9436" t="s">
        <v>60141</v>
      </c>
      <c r="W9436" t="s">
        <v>43785</v>
      </c>
      <c r="X9436" t="s">
        <v>44770</v>
      </c>
    </row>
    <row r="9437" spans="1:24">
      <c r="A9437">
        <f>HYPERLINK("https://www.philgeps.gov.ph/GEPSNONPILOT/Tender/SplashBidNoticeAbstractUI.aspx?menuIndex=3&amp;refID=7137105&amp;Result=3","7137105")</f>
        <v>0</v>
      </c>
      <c r="B9437" t="s">
        <v>2984</v>
      </c>
      <c r="C9437" t="s">
        <v>12709</v>
      </c>
      <c r="D9437" t="s">
        <v>17964</v>
      </c>
      <c r="E9437" t="s">
        <v>18608</v>
      </c>
      <c r="F9437" t="s">
        <v>30900</v>
      </c>
      <c r="G9437" t="s">
        <v>30907</v>
      </c>
      <c r="H9437" t="s">
        <v>30916</v>
      </c>
      <c r="I9437" t="s">
        <v>8123</v>
      </c>
      <c r="J9437" t="s">
        <v>36956</v>
      </c>
      <c r="K9437" t="s">
        <v>40286</v>
      </c>
      <c r="M9437" t="s">
        <v>43786</v>
      </c>
      <c r="N9437" t="s">
        <v>44759</v>
      </c>
      <c r="O9437" t="s">
        <v>44760</v>
      </c>
      <c r="P9437">
        <v>0</v>
      </c>
      <c r="Q9437">
        <v>0</v>
      </c>
      <c r="R9437" t="s">
        <v>44769</v>
      </c>
      <c r="S9437" t="s">
        <v>45044</v>
      </c>
      <c r="T9437" t="s">
        <v>46511</v>
      </c>
      <c r="U9437" t="s">
        <v>54777</v>
      </c>
      <c r="V9437" t="s">
        <v>60142</v>
      </c>
      <c r="W9437" t="s">
        <v>43786</v>
      </c>
      <c r="X9437" t="s">
        <v>44770</v>
      </c>
    </row>
    <row r="9438" spans="1:24">
      <c r="A9438">
        <f>HYPERLINK("https://www.philgeps.gov.ph/GEPSNONPILOT/Tender/SplashBidNoticeAbstractUI.aspx?menuIndex=3&amp;refID=7136981&amp;Result=3","7136981")</f>
        <v>0</v>
      </c>
      <c r="B9438" t="s">
        <v>2215</v>
      </c>
      <c r="C9438" t="s">
        <v>12710</v>
      </c>
      <c r="E9438" t="s">
        <v>26238</v>
      </c>
      <c r="F9438" t="s">
        <v>30900</v>
      </c>
      <c r="G9438" t="s">
        <v>30907</v>
      </c>
      <c r="H9438" t="s">
        <v>30915</v>
      </c>
      <c r="I9438" t="s">
        <v>30919</v>
      </c>
      <c r="J9438" t="s">
        <v>36957</v>
      </c>
      <c r="K9438" t="s">
        <v>40292</v>
      </c>
      <c r="M9438" t="s">
        <v>42924</v>
      </c>
      <c r="N9438" t="s">
        <v>44759</v>
      </c>
      <c r="O9438" t="s">
        <v>44760</v>
      </c>
      <c r="P9438">
        <v>0</v>
      </c>
      <c r="Q9438">
        <v>0</v>
      </c>
      <c r="R9438" t="s">
        <v>44769</v>
      </c>
      <c r="S9438" t="s">
        <v>45044</v>
      </c>
      <c r="T9438" t="s">
        <v>46411</v>
      </c>
      <c r="U9438" t="s">
        <v>54778</v>
      </c>
      <c r="W9438" t="s">
        <v>42924</v>
      </c>
      <c r="X9438" t="s">
        <v>44770</v>
      </c>
    </row>
    <row r="9439" spans="1:24">
      <c r="A9439">
        <f>HYPERLINK("https://www.philgeps.gov.ph/GEPSNONPILOT/Tender/SplashBidNoticeAbstractUI.aspx?menuIndex=3&amp;refID=7137009&amp;Result=3","7137009")</f>
        <v>0</v>
      </c>
      <c r="B9439" t="s">
        <v>928</v>
      </c>
      <c r="C9439" t="s">
        <v>12711</v>
      </c>
      <c r="D9439" t="s">
        <v>17972</v>
      </c>
      <c r="E9439" t="s">
        <v>19055</v>
      </c>
      <c r="F9439" t="s">
        <v>30900</v>
      </c>
      <c r="G9439" t="s">
        <v>30907</v>
      </c>
      <c r="H9439" t="s">
        <v>30915</v>
      </c>
      <c r="I9439" t="s">
        <v>30919</v>
      </c>
      <c r="J9439" t="s">
        <v>36958</v>
      </c>
      <c r="K9439" t="s">
        <v>40289</v>
      </c>
      <c r="M9439" t="s">
        <v>41510</v>
      </c>
      <c r="N9439" t="s">
        <v>44759</v>
      </c>
      <c r="O9439" t="s">
        <v>44760</v>
      </c>
      <c r="P9439">
        <v>0</v>
      </c>
      <c r="Q9439">
        <v>0</v>
      </c>
      <c r="R9439" t="s">
        <v>44769</v>
      </c>
      <c r="S9439" t="s">
        <v>45044</v>
      </c>
      <c r="T9439" t="s">
        <v>46814</v>
      </c>
      <c r="U9439" t="s">
        <v>54779</v>
      </c>
      <c r="W9439" t="s">
        <v>41510</v>
      </c>
      <c r="X9439" t="s">
        <v>44770</v>
      </c>
    </row>
    <row r="9440" spans="1:24">
      <c r="A9440">
        <f>HYPERLINK("https://www.philgeps.gov.ph/GEPSNONPILOT/Tender/SplashBidNoticeAbstractUI.aspx?menuIndex=3&amp;refID=7137100&amp;Result=3","7137100")</f>
        <v>0</v>
      </c>
      <c r="B9440" t="s">
        <v>1318</v>
      </c>
      <c r="C9440" t="s">
        <v>12712</v>
      </c>
      <c r="D9440" t="s">
        <v>18007</v>
      </c>
      <c r="E9440" t="s">
        <v>26239</v>
      </c>
      <c r="F9440" t="s">
        <v>30900</v>
      </c>
      <c r="G9440" t="s">
        <v>30907</v>
      </c>
      <c r="H9440" t="s">
        <v>30916</v>
      </c>
      <c r="I9440" t="s">
        <v>30942</v>
      </c>
      <c r="J9440" t="s">
        <v>31050</v>
      </c>
      <c r="K9440" t="s">
        <v>40291</v>
      </c>
      <c r="M9440" t="s">
        <v>41936</v>
      </c>
      <c r="N9440" t="s">
        <v>44759</v>
      </c>
      <c r="O9440" t="s">
        <v>44760</v>
      </c>
      <c r="P9440">
        <v>0</v>
      </c>
      <c r="Q9440">
        <v>0</v>
      </c>
      <c r="R9440" t="s">
        <v>44769</v>
      </c>
      <c r="S9440" t="s">
        <v>45044</v>
      </c>
      <c r="T9440" t="s">
        <v>46833</v>
      </c>
      <c r="U9440" t="s">
        <v>54780</v>
      </c>
      <c r="V9440" t="s">
        <v>60143</v>
      </c>
      <c r="W9440" t="s">
        <v>41936</v>
      </c>
      <c r="X9440" t="s">
        <v>44770</v>
      </c>
    </row>
    <row r="9441" spans="1:24">
      <c r="A9441">
        <f>HYPERLINK("https://www.philgeps.gov.ph/GEPSNONPILOT/Tender/SplashBidNoticeAbstractUI.aspx?menuIndex=3&amp;refID=7137096&amp;Result=3","7137096")</f>
        <v>0</v>
      </c>
      <c r="B9441" t="s">
        <v>1328</v>
      </c>
      <c r="C9441" t="s">
        <v>12713</v>
      </c>
      <c r="D9441" t="s">
        <v>17973</v>
      </c>
      <c r="E9441" t="s">
        <v>19886</v>
      </c>
      <c r="F9441" t="s">
        <v>30900</v>
      </c>
      <c r="G9441" t="s">
        <v>30907</v>
      </c>
      <c r="H9441" t="s">
        <v>30916</v>
      </c>
      <c r="I9441" t="s">
        <v>30921</v>
      </c>
      <c r="J9441" t="s">
        <v>31204</v>
      </c>
      <c r="K9441" t="s">
        <v>40283</v>
      </c>
      <c r="M9441" t="s">
        <v>41948</v>
      </c>
      <c r="N9441" t="s">
        <v>44759</v>
      </c>
      <c r="O9441" t="s">
        <v>44760</v>
      </c>
      <c r="P9441">
        <v>0</v>
      </c>
      <c r="Q9441">
        <v>0</v>
      </c>
      <c r="R9441" t="s">
        <v>44769</v>
      </c>
      <c r="S9441" t="s">
        <v>45044</v>
      </c>
      <c r="T9441" t="s">
        <v>46409</v>
      </c>
      <c r="U9441" t="s">
        <v>54005</v>
      </c>
      <c r="W9441" t="s">
        <v>41948</v>
      </c>
      <c r="X9441" t="s">
        <v>44770</v>
      </c>
    </row>
    <row r="9442" spans="1:24">
      <c r="A9442">
        <f>HYPERLINK("https://www.philgeps.gov.ph/GEPSNONPILOT/Tender/SplashBidNoticeAbstractUI.aspx?menuIndex=3&amp;refID=7137023&amp;Result=3","7137023")</f>
        <v>0</v>
      </c>
      <c r="B9442" t="s">
        <v>2982</v>
      </c>
      <c r="C9442" t="s">
        <v>12714</v>
      </c>
      <c r="D9442" t="s">
        <v>17985</v>
      </c>
      <c r="E9442" t="s">
        <v>18345</v>
      </c>
      <c r="F9442" t="s">
        <v>30900</v>
      </c>
      <c r="G9442" t="s">
        <v>30906</v>
      </c>
      <c r="H9442" t="s">
        <v>30916</v>
      </c>
      <c r="I9442" t="s">
        <v>6953</v>
      </c>
      <c r="J9442" t="s">
        <v>36959</v>
      </c>
      <c r="K9442" t="s">
        <v>40286</v>
      </c>
      <c r="M9442" t="s">
        <v>43784</v>
      </c>
      <c r="N9442" t="s">
        <v>44759</v>
      </c>
      <c r="O9442" t="s">
        <v>44760</v>
      </c>
      <c r="P9442">
        <v>0</v>
      </c>
      <c r="Q9442">
        <v>0</v>
      </c>
      <c r="R9442" t="s">
        <v>44769</v>
      </c>
      <c r="S9442" t="s">
        <v>45044</v>
      </c>
      <c r="T9442" t="s">
        <v>46591</v>
      </c>
      <c r="U9442" t="s">
        <v>54775</v>
      </c>
      <c r="W9442" t="s">
        <v>43784</v>
      </c>
      <c r="X9442" t="s">
        <v>44770</v>
      </c>
    </row>
    <row r="9443" spans="1:24">
      <c r="A9443">
        <f>HYPERLINK("https://www.philgeps.gov.ph/GEPSNONPILOT/Tender/SplashBidNoticeAbstractUI.aspx?menuIndex=3&amp;refID=7137084&amp;Result=3","7137084")</f>
        <v>0</v>
      </c>
      <c r="B9443" t="s">
        <v>888</v>
      </c>
      <c r="C9443" t="s">
        <v>12715</v>
      </c>
      <c r="D9443" t="s">
        <v>17951</v>
      </c>
      <c r="E9443" t="s">
        <v>26240</v>
      </c>
      <c r="F9443" t="s">
        <v>30900</v>
      </c>
      <c r="G9443" t="s">
        <v>30907</v>
      </c>
      <c r="H9443" t="s">
        <v>30916</v>
      </c>
      <c r="I9443" t="s">
        <v>30924</v>
      </c>
      <c r="J9443" t="s">
        <v>31669</v>
      </c>
      <c r="K9443" t="s">
        <v>40308</v>
      </c>
      <c r="M9443" t="s">
        <v>41461</v>
      </c>
      <c r="N9443" t="s">
        <v>44759</v>
      </c>
      <c r="O9443" t="s">
        <v>44760</v>
      </c>
      <c r="P9443">
        <v>0</v>
      </c>
      <c r="Q9443">
        <v>5</v>
      </c>
      <c r="R9443" t="s">
        <v>44769</v>
      </c>
      <c r="S9443" t="s">
        <v>45044</v>
      </c>
      <c r="T9443" t="s">
        <v>46504</v>
      </c>
      <c r="U9443" t="s">
        <v>54781</v>
      </c>
      <c r="V9443" t="s">
        <v>60144</v>
      </c>
      <c r="W9443" t="s">
        <v>41461</v>
      </c>
      <c r="X9443" t="s">
        <v>44770</v>
      </c>
    </row>
    <row r="9444" spans="1:24">
      <c r="A9444">
        <f>HYPERLINK("https://www.philgeps.gov.ph/GEPSNONPILOT/Tender/SplashBidNoticeAbstractUI.aspx?menuIndex=3&amp;refID=7137067&amp;Result=3","7137067")</f>
        <v>0</v>
      </c>
      <c r="B9444" t="s">
        <v>1531</v>
      </c>
      <c r="C9444" t="s">
        <v>12716</v>
      </c>
      <c r="D9444" t="s">
        <v>17959</v>
      </c>
      <c r="E9444" t="s">
        <v>26241</v>
      </c>
      <c r="F9444" t="s">
        <v>30900</v>
      </c>
      <c r="G9444" t="s">
        <v>30907</v>
      </c>
      <c r="H9444" t="s">
        <v>30916</v>
      </c>
      <c r="I9444" t="s">
        <v>30934</v>
      </c>
      <c r="J9444" t="s">
        <v>34061</v>
      </c>
      <c r="K9444" t="s">
        <v>40280</v>
      </c>
      <c r="M9444" t="s">
        <v>42174</v>
      </c>
      <c r="N9444" t="s">
        <v>44759</v>
      </c>
      <c r="O9444" t="s">
        <v>44760</v>
      </c>
      <c r="Q9444">
        <v>12</v>
      </c>
      <c r="R9444" t="s">
        <v>44769</v>
      </c>
      <c r="S9444" t="s">
        <v>45062</v>
      </c>
      <c r="T9444" t="s">
        <v>46703</v>
      </c>
      <c r="U9444" t="s">
        <v>54782</v>
      </c>
      <c r="W9444" t="s">
        <v>42174</v>
      </c>
      <c r="X9444" t="s">
        <v>44770</v>
      </c>
    </row>
    <row r="9445" spans="1:24">
      <c r="A9445">
        <f>HYPERLINK("https://www.philgeps.gov.ph/GEPSNONPILOT/Tender/SplashBidNoticeAbstractUI.aspx?menuIndex=3&amp;refID=7137065&amp;Result=3","7137065")</f>
        <v>0</v>
      </c>
      <c r="B9445" t="s">
        <v>738</v>
      </c>
      <c r="C9445" t="s">
        <v>12717</v>
      </c>
      <c r="D9445" t="s">
        <v>17959</v>
      </c>
      <c r="E9445" t="s">
        <v>20803</v>
      </c>
      <c r="F9445" t="s">
        <v>30900</v>
      </c>
      <c r="G9445" t="s">
        <v>30908</v>
      </c>
      <c r="H9445" t="s">
        <v>30916</v>
      </c>
      <c r="I9445" t="s">
        <v>30998</v>
      </c>
      <c r="J9445" t="s">
        <v>32049</v>
      </c>
      <c r="K9445" t="s">
        <v>40289</v>
      </c>
      <c r="M9445" t="s">
        <v>43787</v>
      </c>
      <c r="N9445" t="s">
        <v>44759</v>
      </c>
      <c r="O9445" t="s">
        <v>44760</v>
      </c>
      <c r="Q9445">
        <v>1</v>
      </c>
      <c r="R9445" t="s">
        <v>44769</v>
      </c>
      <c r="S9445" t="s">
        <v>45063</v>
      </c>
      <c r="T9445" t="s">
        <v>46391</v>
      </c>
      <c r="U9445" t="s">
        <v>54783</v>
      </c>
      <c r="V9445" t="s">
        <v>60145</v>
      </c>
      <c r="W9445" t="s">
        <v>43787</v>
      </c>
      <c r="X9445" t="s">
        <v>44770</v>
      </c>
    </row>
    <row r="9446" spans="1:24">
      <c r="A9446">
        <f>HYPERLINK("https://www.philgeps.gov.ph/GEPSNONPILOT/Tender/SplashBidNoticeAbstractUI.aspx?menuIndex=3&amp;refID=7137093&amp;Result=3","7137093")</f>
        <v>0</v>
      </c>
      <c r="B9446" t="s">
        <v>2976</v>
      </c>
      <c r="C9446" t="s">
        <v>12718</v>
      </c>
      <c r="D9446" t="s">
        <v>18002</v>
      </c>
      <c r="E9446" t="s">
        <v>26242</v>
      </c>
      <c r="F9446" t="s">
        <v>30900</v>
      </c>
      <c r="G9446" t="s">
        <v>30907</v>
      </c>
      <c r="H9446" t="s">
        <v>30916</v>
      </c>
      <c r="I9446" t="s">
        <v>30934</v>
      </c>
      <c r="J9446" t="s">
        <v>36960</v>
      </c>
      <c r="K9446" t="s">
        <v>40280</v>
      </c>
      <c r="M9446" t="s">
        <v>43778</v>
      </c>
      <c r="N9446" t="s">
        <v>44759</v>
      </c>
      <c r="O9446" t="s">
        <v>44760</v>
      </c>
      <c r="Q9446">
        <v>14</v>
      </c>
      <c r="R9446" t="s">
        <v>44769</v>
      </c>
      <c r="S9446" t="s">
        <v>45064</v>
      </c>
      <c r="T9446" t="s">
        <v>46472</v>
      </c>
      <c r="U9446" t="s">
        <v>54784</v>
      </c>
      <c r="W9446" t="s">
        <v>43778</v>
      </c>
      <c r="X9446" t="s">
        <v>44770</v>
      </c>
    </row>
    <row r="9447" spans="1:24">
      <c r="A9447">
        <f>HYPERLINK("https://www.philgeps.gov.ph/GEPSNONPILOT/Tender/SplashBidNoticeAbstractUI.aspx?menuIndex=3&amp;refID=7137090&amp;Result=3","7137090")</f>
        <v>0</v>
      </c>
      <c r="B9447" t="s">
        <v>2963</v>
      </c>
      <c r="C9447" t="s">
        <v>12719</v>
      </c>
      <c r="D9447" t="s">
        <v>17960</v>
      </c>
      <c r="E9447" t="s">
        <v>26178</v>
      </c>
      <c r="F9447" t="s">
        <v>30900</v>
      </c>
      <c r="G9447" t="s">
        <v>30907</v>
      </c>
      <c r="H9447" t="s">
        <v>30915</v>
      </c>
      <c r="I9447" t="s">
        <v>30919</v>
      </c>
      <c r="J9447" t="s">
        <v>36961</v>
      </c>
      <c r="K9447" t="s">
        <v>40292</v>
      </c>
      <c r="M9447" t="s">
        <v>43764</v>
      </c>
      <c r="N9447" t="s">
        <v>44759</v>
      </c>
      <c r="O9447" t="s">
        <v>44760</v>
      </c>
      <c r="Q9447">
        <v>7</v>
      </c>
      <c r="R9447" t="s">
        <v>44769</v>
      </c>
      <c r="S9447" t="s">
        <v>45065</v>
      </c>
      <c r="T9447" t="s">
        <v>46472</v>
      </c>
      <c r="U9447" t="s">
        <v>54722</v>
      </c>
      <c r="W9447" t="s">
        <v>43764</v>
      </c>
      <c r="X9447" t="s">
        <v>44770</v>
      </c>
    </row>
    <row r="9448" spans="1:24">
      <c r="A9448">
        <f>HYPERLINK("https://www.philgeps.gov.ph/GEPSNONPILOT/Tender/SplashBidNoticeAbstractUI.aspx?menuIndex=3&amp;refID=7137059&amp;Result=3","7137059")</f>
        <v>0</v>
      </c>
      <c r="B9448" t="s">
        <v>2985</v>
      </c>
      <c r="C9448" t="s">
        <v>12720</v>
      </c>
      <c r="E9448" t="s">
        <v>26243</v>
      </c>
      <c r="F9448" t="s">
        <v>30900</v>
      </c>
      <c r="G9448" t="s">
        <v>30907</v>
      </c>
      <c r="H9448" t="s">
        <v>30915</v>
      </c>
      <c r="I9448" t="s">
        <v>30919</v>
      </c>
      <c r="J9448" t="s">
        <v>36962</v>
      </c>
      <c r="K9448" t="s">
        <v>40289</v>
      </c>
      <c r="M9448" t="s">
        <v>43788</v>
      </c>
      <c r="N9448" t="s">
        <v>44759</v>
      </c>
      <c r="O9448" t="s">
        <v>44760</v>
      </c>
      <c r="P9448">
        <v>0</v>
      </c>
      <c r="Q9448">
        <v>0</v>
      </c>
      <c r="R9448" t="s">
        <v>44769</v>
      </c>
      <c r="S9448" t="s">
        <v>45044</v>
      </c>
      <c r="T9448" t="s">
        <v>46834</v>
      </c>
      <c r="U9448" t="s">
        <v>54785</v>
      </c>
      <c r="W9448" t="s">
        <v>43788</v>
      </c>
      <c r="X9448" t="s">
        <v>44770</v>
      </c>
    </row>
    <row r="9449" spans="1:24">
      <c r="A9449">
        <f>HYPERLINK("https://www.philgeps.gov.ph/GEPSNONPILOT/Tender/SplashBidNoticeAbstractUI.aspx?menuIndex=3&amp;refID=7137050&amp;Result=3","7137050")</f>
        <v>0</v>
      </c>
      <c r="B9449" t="s">
        <v>1083</v>
      </c>
      <c r="C9449" t="s">
        <v>12721</v>
      </c>
      <c r="D9449" t="s">
        <v>17999</v>
      </c>
      <c r="E9449" t="s">
        <v>26244</v>
      </c>
      <c r="F9449" t="s">
        <v>30900</v>
      </c>
      <c r="G9449" t="s">
        <v>30907</v>
      </c>
      <c r="H9449" t="s">
        <v>30915</v>
      </c>
      <c r="I9449" t="s">
        <v>30919</v>
      </c>
      <c r="J9449" t="s">
        <v>36963</v>
      </c>
      <c r="K9449" t="s">
        <v>40381</v>
      </c>
      <c r="M9449" t="s">
        <v>41682</v>
      </c>
      <c r="N9449" t="s">
        <v>44759</v>
      </c>
      <c r="O9449" t="s">
        <v>44760</v>
      </c>
      <c r="P9449">
        <v>0</v>
      </c>
      <c r="Q9449">
        <v>1</v>
      </c>
      <c r="R9449" t="s">
        <v>44769</v>
      </c>
      <c r="S9449" t="s">
        <v>45044</v>
      </c>
      <c r="T9449" t="s">
        <v>46595</v>
      </c>
      <c r="U9449" t="s">
        <v>54786</v>
      </c>
      <c r="V9449" t="s">
        <v>59392</v>
      </c>
      <c r="W9449" t="s">
        <v>41682</v>
      </c>
      <c r="X9449" t="s">
        <v>44770</v>
      </c>
    </row>
    <row r="9450" spans="1:24">
      <c r="A9450">
        <f>HYPERLINK("https://www.philgeps.gov.ph/GEPSNONPILOT/Tender/SplashBidNoticeAbstractUI.aspx?menuIndex=3&amp;refID=7137080&amp;Result=3","7137080")</f>
        <v>0</v>
      </c>
      <c r="B9450" t="s">
        <v>2540</v>
      </c>
      <c r="C9450" t="s">
        <v>12722</v>
      </c>
      <c r="D9450" t="s">
        <v>17966</v>
      </c>
      <c r="E9450" t="s">
        <v>26245</v>
      </c>
      <c r="F9450" t="s">
        <v>30900</v>
      </c>
      <c r="G9450" t="s">
        <v>30907</v>
      </c>
      <c r="H9450" t="s">
        <v>30916</v>
      </c>
      <c r="I9450" t="s">
        <v>6408</v>
      </c>
      <c r="J9450" t="s">
        <v>36964</v>
      </c>
      <c r="K9450" t="s">
        <v>40287</v>
      </c>
      <c r="M9450" t="s">
        <v>43296</v>
      </c>
      <c r="N9450" t="s">
        <v>44759</v>
      </c>
      <c r="O9450" t="s">
        <v>44760</v>
      </c>
      <c r="P9450">
        <v>0</v>
      </c>
      <c r="Q9450">
        <v>4</v>
      </c>
      <c r="R9450" t="s">
        <v>44769</v>
      </c>
      <c r="S9450" t="s">
        <v>45044</v>
      </c>
      <c r="T9450" t="s">
        <v>46411</v>
      </c>
      <c r="U9450" t="s">
        <v>54787</v>
      </c>
      <c r="V9450" t="s">
        <v>60146</v>
      </c>
      <c r="W9450" t="s">
        <v>43296</v>
      </c>
      <c r="X9450" t="s">
        <v>44770</v>
      </c>
    </row>
    <row r="9451" spans="1:24">
      <c r="A9451">
        <f>HYPERLINK("https://www.philgeps.gov.ph/GEPSNONPILOT/Tender/SplashBidNoticeAbstractUI.aspx?menuIndex=3&amp;refID=7137070&amp;Result=3","7137070")</f>
        <v>0</v>
      </c>
      <c r="B9451" t="s">
        <v>2986</v>
      </c>
      <c r="C9451" t="s">
        <v>12723</v>
      </c>
      <c r="D9451" t="s">
        <v>17975</v>
      </c>
      <c r="E9451" t="s">
        <v>26246</v>
      </c>
      <c r="F9451" t="s">
        <v>30900</v>
      </c>
      <c r="G9451" t="s">
        <v>30907</v>
      </c>
      <c r="H9451" t="s">
        <v>30916</v>
      </c>
      <c r="I9451" t="s">
        <v>8123</v>
      </c>
      <c r="J9451" t="s">
        <v>36965</v>
      </c>
      <c r="K9451" t="s">
        <v>40287</v>
      </c>
      <c r="M9451" t="s">
        <v>43789</v>
      </c>
      <c r="N9451" t="s">
        <v>44759</v>
      </c>
      <c r="O9451" t="s">
        <v>44760</v>
      </c>
      <c r="P9451">
        <v>0</v>
      </c>
      <c r="Q9451">
        <v>0</v>
      </c>
      <c r="R9451" t="s">
        <v>44769</v>
      </c>
      <c r="S9451" t="s">
        <v>45044</v>
      </c>
      <c r="T9451" t="s">
        <v>46429</v>
      </c>
      <c r="U9451" t="s">
        <v>54788</v>
      </c>
      <c r="V9451" t="s">
        <v>60147</v>
      </c>
      <c r="W9451" t="s">
        <v>43789</v>
      </c>
      <c r="X9451" t="s">
        <v>44770</v>
      </c>
    </row>
    <row r="9452" spans="1:24">
      <c r="A9452">
        <f>HYPERLINK("https://www.philgeps.gov.ph/GEPSNONPILOT/Tender/SplashBidNoticeAbstractUI.aspx?menuIndex=3&amp;refID=7137130&amp;Result=3","7137130")</f>
        <v>0</v>
      </c>
      <c r="B9452" t="s">
        <v>2540</v>
      </c>
      <c r="C9452" t="s">
        <v>4240</v>
      </c>
      <c r="D9452" t="s">
        <v>17966</v>
      </c>
      <c r="E9452" t="s">
        <v>26247</v>
      </c>
      <c r="F9452" t="s">
        <v>30900</v>
      </c>
      <c r="G9452" t="s">
        <v>30907</v>
      </c>
      <c r="H9452" t="s">
        <v>30916</v>
      </c>
      <c r="I9452" t="s">
        <v>30923</v>
      </c>
      <c r="J9452" t="s">
        <v>32707</v>
      </c>
      <c r="K9452" t="s">
        <v>40287</v>
      </c>
      <c r="M9452" t="s">
        <v>43296</v>
      </c>
      <c r="N9452" t="s">
        <v>44759</v>
      </c>
      <c r="O9452" t="s">
        <v>44760</v>
      </c>
      <c r="P9452">
        <v>0</v>
      </c>
      <c r="Q9452">
        <v>8</v>
      </c>
      <c r="R9452" t="s">
        <v>44769</v>
      </c>
      <c r="S9452" t="s">
        <v>45044</v>
      </c>
      <c r="T9452" t="s">
        <v>46411</v>
      </c>
      <c r="U9452" t="s">
        <v>54789</v>
      </c>
      <c r="V9452" t="s">
        <v>60148</v>
      </c>
      <c r="W9452" t="s">
        <v>43296</v>
      </c>
      <c r="X9452" t="s">
        <v>44770</v>
      </c>
    </row>
    <row r="9453" spans="1:24">
      <c r="A9453">
        <f>HYPERLINK("https://www.philgeps.gov.ph/GEPSNONPILOT/Tender/SplashBidNoticeAbstractUI.aspx?menuIndex=3&amp;refID=7137218&amp;Result=3","7137218")</f>
        <v>0</v>
      </c>
      <c r="B9453" t="s">
        <v>704</v>
      </c>
      <c r="C9453" t="s">
        <v>12724</v>
      </c>
      <c r="D9453" t="s">
        <v>17987</v>
      </c>
      <c r="E9453" t="s">
        <v>26248</v>
      </c>
      <c r="F9453" t="s">
        <v>30900</v>
      </c>
      <c r="G9453" t="s">
        <v>30907</v>
      </c>
      <c r="H9453" t="s">
        <v>30916</v>
      </c>
      <c r="I9453" t="s">
        <v>4545</v>
      </c>
      <c r="J9453" t="s">
        <v>36966</v>
      </c>
      <c r="K9453" t="s">
        <v>40286</v>
      </c>
      <c r="M9453" t="s">
        <v>41268</v>
      </c>
      <c r="N9453" t="s">
        <v>44759</v>
      </c>
      <c r="O9453" t="s">
        <v>44760</v>
      </c>
      <c r="P9453">
        <v>0</v>
      </c>
      <c r="Q9453">
        <v>0</v>
      </c>
      <c r="R9453" t="s">
        <v>44769</v>
      </c>
      <c r="S9453" t="s">
        <v>45044</v>
      </c>
      <c r="T9453" t="s">
        <v>46495</v>
      </c>
      <c r="U9453" t="s">
        <v>54790</v>
      </c>
      <c r="W9453" t="s">
        <v>41268</v>
      </c>
      <c r="X9453" t="s">
        <v>44770</v>
      </c>
    </row>
    <row r="9454" spans="1:24">
      <c r="A9454">
        <f>HYPERLINK("https://www.philgeps.gov.ph/GEPSNONPILOT/Tender/SplashBidNoticeAbstractUI.aspx?menuIndex=3&amp;refID=7137217&amp;Result=3","7137217")</f>
        <v>0</v>
      </c>
      <c r="B9454" t="s">
        <v>1721</v>
      </c>
      <c r="C9454" t="s">
        <v>12725</v>
      </c>
      <c r="E9454" t="s">
        <v>26249</v>
      </c>
      <c r="F9454" t="s">
        <v>30900</v>
      </c>
      <c r="G9454" t="s">
        <v>30913</v>
      </c>
      <c r="H9454" t="s">
        <v>30916</v>
      </c>
      <c r="I9454" t="s">
        <v>10847</v>
      </c>
      <c r="J9454" t="s">
        <v>36967</v>
      </c>
      <c r="K9454" t="s">
        <v>40289</v>
      </c>
      <c r="M9454" t="s">
        <v>42385</v>
      </c>
      <c r="N9454" t="s">
        <v>44759</v>
      </c>
      <c r="O9454" t="s">
        <v>44760</v>
      </c>
      <c r="P9454">
        <v>0</v>
      </c>
      <c r="Q9454">
        <v>13</v>
      </c>
      <c r="R9454" t="s">
        <v>44769</v>
      </c>
      <c r="S9454" t="s">
        <v>45044</v>
      </c>
      <c r="T9454" t="s">
        <v>46835</v>
      </c>
      <c r="U9454" t="s">
        <v>54791</v>
      </c>
      <c r="W9454" t="s">
        <v>42385</v>
      </c>
      <c r="X9454" t="s">
        <v>44770</v>
      </c>
    </row>
    <row r="9455" spans="1:24">
      <c r="A9455">
        <f>HYPERLINK("https://www.philgeps.gov.ph/GEPSNONPILOT/Tender/SplashBidNoticeAbstractUI.aspx?menuIndex=3&amp;refID=7137215&amp;Result=3","7137215")</f>
        <v>0</v>
      </c>
      <c r="B9455" t="s">
        <v>2963</v>
      </c>
      <c r="C9455" t="s">
        <v>12726</v>
      </c>
      <c r="D9455" t="s">
        <v>17960</v>
      </c>
      <c r="E9455" t="s">
        <v>26178</v>
      </c>
      <c r="F9455" t="s">
        <v>30900</v>
      </c>
      <c r="G9455" t="s">
        <v>30907</v>
      </c>
      <c r="H9455" t="s">
        <v>30915</v>
      </c>
      <c r="I9455" t="s">
        <v>30919</v>
      </c>
      <c r="J9455" t="s">
        <v>36968</v>
      </c>
      <c r="K9455" t="s">
        <v>40292</v>
      </c>
      <c r="M9455" t="s">
        <v>43764</v>
      </c>
      <c r="N9455" t="s">
        <v>44759</v>
      </c>
      <c r="O9455" t="s">
        <v>44760</v>
      </c>
      <c r="Q9455">
        <v>9</v>
      </c>
      <c r="R9455" t="s">
        <v>44769</v>
      </c>
      <c r="S9455" t="s">
        <v>45066</v>
      </c>
      <c r="T9455" t="s">
        <v>46472</v>
      </c>
      <c r="U9455" t="s">
        <v>54722</v>
      </c>
      <c r="W9455" t="s">
        <v>43764</v>
      </c>
      <c r="X9455" t="s">
        <v>44770</v>
      </c>
    </row>
    <row r="9456" spans="1:24">
      <c r="A9456">
        <f>HYPERLINK("https://www.philgeps.gov.ph/GEPSNONPILOT/Tender/SplashBidNoticeAbstractUI.aspx?menuIndex=3&amp;refID=7137207&amp;Result=3","7137207")</f>
        <v>0</v>
      </c>
      <c r="B9456" t="s">
        <v>704</v>
      </c>
      <c r="C9456" t="s">
        <v>12727</v>
      </c>
      <c r="D9456" t="s">
        <v>17987</v>
      </c>
      <c r="E9456" t="s">
        <v>26250</v>
      </c>
      <c r="F9456" t="s">
        <v>30900</v>
      </c>
      <c r="G9456" t="s">
        <v>30908</v>
      </c>
      <c r="H9456" t="s">
        <v>30916</v>
      </c>
      <c r="I9456" t="s">
        <v>5501</v>
      </c>
      <c r="J9456" t="s">
        <v>31914</v>
      </c>
      <c r="K9456" t="s">
        <v>40283</v>
      </c>
      <c r="M9456" t="s">
        <v>42242</v>
      </c>
      <c r="N9456" t="s">
        <v>44759</v>
      </c>
      <c r="O9456" t="s">
        <v>44760</v>
      </c>
      <c r="P9456">
        <v>0</v>
      </c>
      <c r="Q9456">
        <v>2</v>
      </c>
      <c r="R9456" t="s">
        <v>44769</v>
      </c>
      <c r="S9456" t="s">
        <v>45044</v>
      </c>
      <c r="T9456" t="s">
        <v>46662</v>
      </c>
      <c r="U9456" t="s">
        <v>54792</v>
      </c>
      <c r="W9456" t="s">
        <v>42242</v>
      </c>
      <c r="X9456" t="s">
        <v>44770</v>
      </c>
    </row>
    <row r="9457" spans="1:24">
      <c r="A9457">
        <f>HYPERLINK("https://www.philgeps.gov.ph/GEPSNONPILOT/Tender/SplashBidNoticeAbstractUI.aspx?menuIndex=3&amp;refID=7137201&amp;Result=3","7137201")</f>
        <v>0</v>
      </c>
      <c r="B9457" t="s">
        <v>2987</v>
      </c>
      <c r="C9457" t="s">
        <v>12728</v>
      </c>
      <c r="D9457" t="s">
        <v>17951</v>
      </c>
      <c r="E9457" t="s">
        <v>26251</v>
      </c>
      <c r="F9457" t="s">
        <v>30900</v>
      </c>
      <c r="G9457" t="s">
        <v>30908</v>
      </c>
      <c r="H9457" t="s">
        <v>30916</v>
      </c>
      <c r="I9457" t="s">
        <v>4545</v>
      </c>
      <c r="J9457" t="s">
        <v>31183</v>
      </c>
      <c r="K9457" t="s">
        <v>40287</v>
      </c>
      <c r="M9457" t="s">
        <v>43790</v>
      </c>
      <c r="N9457" t="s">
        <v>44759</v>
      </c>
      <c r="O9457" t="s">
        <v>44760</v>
      </c>
      <c r="P9457">
        <v>0</v>
      </c>
      <c r="Q9457">
        <v>2</v>
      </c>
      <c r="R9457" t="s">
        <v>44769</v>
      </c>
      <c r="S9457" t="s">
        <v>45044</v>
      </c>
      <c r="T9457" t="s">
        <v>46398</v>
      </c>
      <c r="U9457" t="s">
        <v>54793</v>
      </c>
      <c r="V9457" t="s">
        <v>60149</v>
      </c>
      <c r="W9457" t="s">
        <v>43790</v>
      </c>
      <c r="X9457" t="s">
        <v>44770</v>
      </c>
    </row>
    <row r="9458" spans="1:24">
      <c r="A9458">
        <f>HYPERLINK("https://www.philgeps.gov.ph/GEPSNONPILOT/Tender/SplashBidNoticeAbstractUI.aspx?menuIndex=3&amp;refID=7137200&amp;Result=3","7137200")</f>
        <v>0</v>
      </c>
      <c r="B9458" t="s">
        <v>721</v>
      </c>
      <c r="C9458" t="s">
        <v>12729</v>
      </c>
      <c r="E9458" t="s">
        <v>26252</v>
      </c>
      <c r="F9458" t="s">
        <v>30900</v>
      </c>
      <c r="G9458" t="s">
        <v>30907</v>
      </c>
      <c r="H9458" t="s">
        <v>30915</v>
      </c>
      <c r="I9458" t="s">
        <v>30919</v>
      </c>
      <c r="J9458" t="s">
        <v>36969</v>
      </c>
      <c r="K9458" t="s">
        <v>40335</v>
      </c>
      <c r="M9458" t="s">
        <v>41285</v>
      </c>
      <c r="N9458" t="s">
        <v>44759</v>
      </c>
      <c r="O9458" t="s">
        <v>44760</v>
      </c>
      <c r="P9458">
        <v>0</v>
      </c>
      <c r="Q9458">
        <v>1</v>
      </c>
      <c r="R9458" t="s">
        <v>44769</v>
      </c>
      <c r="S9458" t="s">
        <v>45044</v>
      </c>
      <c r="T9458" t="s">
        <v>46495</v>
      </c>
      <c r="U9458" t="s">
        <v>54794</v>
      </c>
      <c r="W9458" t="s">
        <v>41285</v>
      </c>
      <c r="X9458" t="s">
        <v>44770</v>
      </c>
    </row>
    <row r="9459" spans="1:24">
      <c r="A9459">
        <f>HYPERLINK("https://www.philgeps.gov.ph/GEPSNONPILOT/Tender/SplashBidNoticeAbstractUI.aspx?menuIndex=3&amp;refID=7137190&amp;Result=3","7137190")</f>
        <v>0</v>
      </c>
      <c r="B9459" t="s">
        <v>888</v>
      </c>
      <c r="C9459" t="s">
        <v>12730</v>
      </c>
      <c r="D9459" t="s">
        <v>17951</v>
      </c>
      <c r="E9459" t="s">
        <v>26253</v>
      </c>
      <c r="F9459" t="s">
        <v>30900</v>
      </c>
      <c r="G9459" t="s">
        <v>30907</v>
      </c>
      <c r="H9459" t="s">
        <v>30916</v>
      </c>
      <c r="I9459" t="s">
        <v>4017</v>
      </c>
      <c r="J9459" t="s">
        <v>36970</v>
      </c>
      <c r="K9459" t="s">
        <v>40308</v>
      </c>
      <c r="M9459" t="s">
        <v>41461</v>
      </c>
      <c r="N9459" t="s">
        <v>44759</v>
      </c>
      <c r="O9459" t="s">
        <v>44760</v>
      </c>
      <c r="P9459">
        <v>0</v>
      </c>
      <c r="Q9459">
        <v>4</v>
      </c>
      <c r="R9459" t="s">
        <v>44769</v>
      </c>
      <c r="S9459" t="s">
        <v>45044</v>
      </c>
      <c r="T9459" t="s">
        <v>46504</v>
      </c>
      <c r="U9459" t="s">
        <v>54795</v>
      </c>
      <c r="V9459" t="s">
        <v>60150</v>
      </c>
      <c r="W9459" t="s">
        <v>41461</v>
      </c>
      <c r="X9459" t="s">
        <v>44770</v>
      </c>
    </row>
    <row r="9460" spans="1:24">
      <c r="A9460">
        <f>HYPERLINK("https://www.philgeps.gov.ph/GEPSNONPILOT/Tender/SplashBidNoticeAbstractUI.aspx?menuIndex=3&amp;refID=7137184&amp;Result=3","7137184")</f>
        <v>0</v>
      </c>
      <c r="B9460" t="s">
        <v>869</v>
      </c>
      <c r="C9460" t="s">
        <v>12731</v>
      </c>
      <c r="D9460" t="s">
        <v>17988</v>
      </c>
      <c r="E9460" t="s">
        <v>26254</v>
      </c>
      <c r="F9460" t="s">
        <v>30900</v>
      </c>
      <c r="G9460" t="s">
        <v>30907</v>
      </c>
      <c r="H9460" t="s">
        <v>30915</v>
      </c>
      <c r="I9460" t="s">
        <v>30919</v>
      </c>
      <c r="J9460" t="s">
        <v>36971</v>
      </c>
      <c r="K9460" t="s">
        <v>40473</v>
      </c>
      <c r="M9460" t="s">
        <v>41442</v>
      </c>
      <c r="N9460" t="s">
        <v>44759</v>
      </c>
      <c r="O9460" t="s">
        <v>44760</v>
      </c>
      <c r="P9460">
        <v>0</v>
      </c>
      <c r="Q9460">
        <v>0</v>
      </c>
      <c r="R9460" t="s">
        <v>44769</v>
      </c>
      <c r="S9460" t="s">
        <v>45044</v>
      </c>
      <c r="T9460" t="s">
        <v>46450</v>
      </c>
      <c r="U9460" t="s">
        <v>54796</v>
      </c>
      <c r="W9460" t="s">
        <v>41442</v>
      </c>
      <c r="X9460" t="s">
        <v>44770</v>
      </c>
    </row>
    <row r="9461" spans="1:24">
      <c r="A9461">
        <f>HYPERLINK("https://www.philgeps.gov.ph/GEPSNONPILOT/Tender/SplashBidNoticeAbstractUI.aspx?menuIndex=3&amp;refID=7137180&amp;Result=3","7137180")</f>
        <v>0</v>
      </c>
      <c r="B9461" t="s">
        <v>2979</v>
      </c>
      <c r="C9461" t="s">
        <v>12732</v>
      </c>
      <c r="D9461" t="s">
        <v>18021</v>
      </c>
      <c r="E9461" t="s">
        <v>26255</v>
      </c>
      <c r="F9461" t="s">
        <v>30900</v>
      </c>
      <c r="G9461" t="s">
        <v>30908</v>
      </c>
      <c r="H9461" t="s">
        <v>30916</v>
      </c>
      <c r="I9461" t="s">
        <v>5501</v>
      </c>
      <c r="J9461" t="s">
        <v>33488</v>
      </c>
      <c r="K9461" t="s">
        <v>40286</v>
      </c>
      <c r="M9461" t="s">
        <v>43781</v>
      </c>
      <c r="N9461" t="s">
        <v>44759</v>
      </c>
      <c r="O9461" t="s">
        <v>44760</v>
      </c>
      <c r="P9461">
        <v>0</v>
      </c>
      <c r="Q9461">
        <v>3</v>
      </c>
      <c r="R9461" t="s">
        <v>44769</v>
      </c>
      <c r="S9461" t="s">
        <v>45044</v>
      </c>
      <c r="T9461" t="s">
        <v>46383</v>
      </c>
      <c r="U9461" t="s">
        <v>54797</v>
      </c>
      <c r="V9461" t="s">
        <v>60140</v>
      </c>
      <c r="W9461" t="s">
        <v>43781</v>
      </c>
      <c r="X9461" t="s">
        <v>44770</v>
      </c>
    </row>
    <row r="9462" spans="1:24">
      <c r="A9462">
        <f>HYPERLINK("https://www.philgeps.gov.ph/GEPSNONPILOT/Tender/SplashBidNoticeAbstractUI.aspx?menuIndex=3&amp;refID=7136972&amp;Result=3","7136972")</f>
        <v>0</v>
      </c>
      <c r="B9462" t="s">
        <v>888</v>
      </c>
      <c r="C9462" t="s">
        <v>12733</v>
      </c>
      <c r="D9462" t="s">
        <v>17951</v>
      </c>
      <c r="E9462" t="s">
        <v>26256</v>
      </c>
      <c r="F9462" t="s">
        <v>30900</v>
      </c>
      <c r="G9462" t="s">
        <v>30907</v>
      </c>
      <c r="H9462" t="s">
        <v>30916</v>
      </c>
      <c r="I9462" t="s">
        <v>4050</v>
      </c>
      <c r="J9462" t="s">
        <v>36972</v>
      </c>
      <c r="K9462" t="s">
        <v>40308</v>
      </c>
      <c r="M9462" t="s">
        <v>41461</v>
      </c>
      <c r="N9462" t="s">
        <v>44759</v>
      </c>
      <c r="O9462" t="s">
        <v>44760</v>
      </c>
      <c r="P9462">
        <v>0</v>
      </c>
      <c r="Q9462">
        <v>2</v>
      </c>
      <c r="R9462" t="s">
        <v>44769</v>
      </c>
      <c r="S9462" t="s">
        <v>45044</v>
      </c>
      <c r="T9462" t="s">
        <v>46504</v>
      </c>
      <c r="U9462" t="s">
        <v>54798</v>
      </c>
      <c r="V9462" t="s">
        <v>60151</v>
      </c>
      <c r="W9462" t="s">
        <v>41461</v>
      </c>
      <c r="X9462" t="s">
        <v>44770</v>
      </c>
    </row>
    <row r="9463" spans="1:24">
      <c r="A9463">
        <f>HYPERLINK("https://www.philgeps.gov.ph/GEPSNONPILOT/Tender/SplashBidNoticeAbstractUI.aspx?menuIndex=3&amp;refID=7137045&amp;Result=3","7137045")</f>
        <v>0</v>
      </c>
      <c r="B9463" t="s">
        <v>2988</v>
      </c>
      <c r="C9463" t="s">
        <v>12734</v>
      </c>
      <c r="D9463" t="s">
        <v>17978</v>
      </c>
      <c r="E9463" t="s">
        <v>26257</v>
      </c>
      <c r="F9463" t="s">
        <v>30900</v>
      </c>
      <c r="G9463" t="s">
        <v>30907</v>
      </c>
      <c r="H9463" t="s">
        <v>30916</v>
      </c>
      <c r="I9463" t="s">
        <v>30949</v>
      </c>
      <c r="J9463" t="s">
        <v>31297</v>
      </c>
      <c r="K9463" t="s">
        <v>40286</v>
      </c>
      <c r="M9463" t="s">
        <v>43791</v>
      </c>
      <c r="N9463" t="s">
        <v>44759</v>
      </c>
      <c r="O9463" t="s">
        <v>44760</v>
      </c>
      <c r="Q9463">
        <v>2</v>
      </c>
      <c r="R9463" t="s">
        <v>44769</v>
      </c>
      <c r="S9463" t="s">
        <v>45067</v>
      </c>
      <c r="T9463" t="s">
        <v>46835</v>
      </c>
      <c r="U9463" t="s">
        <v>54799</v>
      </c>
      <c r="W9463" t="s">
        <v>43791</v>
      </c>
      <c r="X9463" t="s">
        <v>44770</v>
      </c>
    </row>
    <row r="9464" spans="1:24">
      <c r="A9464">
        <f>HYPERLINK("https://www.philgeps.gov.ph/GEPSNONPILOT/Tender/SplashBidNoticeAbstractUI.aspx?menuIndex=3&amp;refID=7137167&amp;Result=3","7137167")</f>
        <v>0</v>
      </c>
      <c r="B9464" t="s">
        <v>704</v>
      </c>
      <c r="C9464" t="s">
        <v>12735</v>
      </c>
      <c r="D9464" t="s">
        <v>17987</v>
      </c>
      <c r="E9464" t="s">
        <v>26258</v>
      </c>
      <c r="F9464" t="s">
        <v>30900</v>
      </c>
      <c r="G9464" t="s">
        <v>30908</v>
      </c>
      <c r="H9464" t="s">
        <v>30916</v>
      </c>
      <c r="I9464" t="s">
        <v>6746</v>
      </c>
      <c r="J9464" t="s">
        <v>36973</v>
      </c>
      <c r="K9464" t="s">
        <v>40283</v>
      </c>
      <c r="M9464" t="s">
        <v>42242</v>
      </c>
      <c r="N9464" t="s">
        <v>44759</v>
      </c>
      <c r="O9464" t="s">
        <v>44760</v>
      </c>
      <c r="P9464">
        <v>0</v>
      </c>
      <c r="Q9464">
        <v>0</v>
      </c>
      <c r="R9464" t="s">
        <v>44769</v>
      </c>
      <c r="S9464" t="s">
        <v>45044</v>
      </c>
      <c r="T9464" t="s">
        <v>46662</v>
      </c>
      <c r="U9464" t="s">
        <v>54800</v>
      </c>
      <c r="W9464" t="s">
        <v>42242</v>
      </c>
      <c r="X9464" t="s">
        <v>44770</v>
      </c>
    </row>
    <row r="9465" spans="1:24">
      <c r="A9465">
        <f>HYPERLINK("https://www.philgeps.gov.ph/GEPSNONPILOT/Tender/SplashBidNoticeAbstractUI.aspx?menuIndex=3&amp;refID=7137156&amp;Result=3","7137156")</f>
        <v>0</v>
      </c>
      <c r="B9465" t="s">
        <v>2984</v>
      </c>
      <c r="C9465" t="s">
        <v>12736</v>
      </c>
      <c r="D9465" t="s">
        <v>17964</v>
      </c>
      <c r="E9465" t="s">
        <v>26259</v>
      </c>
      <c r="F9465" t="s">
        <v>30900</v>
      </c>
      <c r="G9465" t="s">
        <v>30907</v>
      </c>
      <c r="H9465" t="s">
        <v>30916</v>
      </c>
      <c r="I9465" t="s">
        <v>30947</v>
      </c>
      <c r="J9465" t="s">
        <v>36974</v>
      </c>
      <c r="K9465" t="s">
        <v>40286</v>
      </c>
      <c r="M9465" t="s">
        <v>43786</v>
      </c>
      <c r="N9465" t="s">
        <v>44759</v>
      </c>
      <c r="O9465" t="s">
        <v>44760</v>
      </c>
      <c r="P9465">
        <v>0</v>
      </c>
      <c r="Q9465">
        <v>0</v>
      </c>
      <c r="R9465" t="s">
        <v>44769</v>
      </c>
      <c r="S9465" t="s">
        <v>45044</v>
      </c>
      <c r="T9465" t="s">
        <v>46511</v>
      </c>
      <c r="U9465" t="s">
        <v>54801</v>
      </c>
      <c r="V9465" t="s">
        <v>60142</v>
      </c>
      <c r="W9465" t="s">
        <v>43786</v>
      </c>
      <c r="X9465" t="s">
        <v>44770</v>
      </c>
    </row>
    <row r="9466" spans="1:24">
      <c r="A9466">
        <f>HYPERLINK("https://www.philgeps.gov.ph/GEPSNONPILOT/Tender/SplashBidNoticeAbstractUI.aspx?menuIndex=3&amp;refID=7137179&amp;Result=3","7137179")</f>
        <v>0</v>
      </c>
      <c r="B9466" t="s">
        <v>240</v>
      </c>
      <c r="C9466" t="s">
        <v>12737</v>
      </c>
      <c r="D9466" t="s">
        <v>17977</v>
      </c>
      <c r="E9466" t="s">
        <v>24389</v>
      </c>
      <c r="F9466" t="s">
        <v>30900</v>
      </c>
      <c r="G9466" t="s">
        <v>30907</v>
      </c>
      <c r="H9466" t="s">
        <v>30916</v>
      </c>
      <c r="I9466" t="s">
        <v>8365</v>
      </c>
      <c r="J9466" t="s">
        <v>31183</v>
      </c>
      <c r="K9466" t="s">
        <v>40284</v>
      </c>
      <c r="M9466" t="s">
        <v>40787</v>
      </c>
      <c r="N9466" t="s">
        <v>44759</v>
      </c>
      <c r="O9466" t="s">
        <v>44760</v>
      </c>
      <c r="P9466">
        <v>0</v>
      </c>
      <c r="Q9466">
        <v>0</v>
      </c>
      <c r="R9466" t="s">
        <v>44769</v>
      </c>
      <c r="S9466" t="s">
        <v>45044</v>
      </c>
      <c r="T9466" t="s">
        <v>46398</v>
      </c>
      <c r="U9466" t="s">
        <v>54802</v>
      </c>
      <c r="W9466" t="s">
        <v>40787</v>
      </c>
      <c r="X9466" t="s">
        <v>44770</v>
      </c>
    </row>
    <row r="9467" spans="1:24">
      <c r="A9467">
        <f>HYPERLINK("https://www.philgeps.gov.ph/GEPSNONPILOT/Tender/SplashBidNoticeAbstractUI.aspx?menuIndex=3&amp;refID=7137149&amp;Result=3","7137149")</f>
        <v>0</v>
      </c>
      <c r="B9467" t="s">
        <v>2979</v>
      </c>
      <c r="C9467" t="s">
        <v>12738</v>
      </c>
      <c r="D9467" t="s">
        <v>18021</v>
      </c>
      <c r="E9467" t="s">
        <v>26260</v>
      </c>
      <c r="F9467" t="s">
        <v>30900</v>
      </c>
      <c r="G9467" t="s">
        <v>30908</v>
      </c>
      <c r="H9467" t="s">
        <v>30916</v>
      </c>
      <c r="I9467" t="s">
        <v>30925</v>
      </c>
      <c r="J9467" t="s">
        <v>31049</v>
      </c>
      <c r="K9467" t="s">
        <v>40286</v>
      </c>
      <c r="M9467" t="s">
        <v>43781</v>
      </c>
      <c r="N9467" t="s">
        <v>44759</v>
      </c>
      <c r="O9467" t="s">
        <v>44760</v>
      </c>
      <c r="P9467">
        <v>0</v>
      </c>
      <c r="Q9467">
        <v>1</v>
      </c>
      <c r="R9467" t="s">
        <v>44769</v>
      </c>
      <c r="S9467" t="s">
        <v>45044</v>
      </c>
      <c r="T9467" t="s">
        <v>46383</v>
      </c>
      <c r="U9467" t="s">
        <v>54803</v>
      </c>
      <c r="V9467" t="s">
        <v>60140</v>
      </c>
      <c r="W9467" t="s">
        <v>43781</v>
      </c>
      <c r="X9467" t="s">
        <v>44770</v>
      </c>
    </row>
    <row r="9468" spans="1:24">
      <c r="A9468">
        <f>HYPERLINK("https://www.philgeps.gov.ph/GEPSNONPILOT/Tender/SplashBidNoticeAbstractUI.aspx?menuIndex=3&amp;refID=7137152&amp;Result=3","7137152")</f>
        <v>0</v>
      </c>
      <c r="B9468" t="s">
        <v>2963</v>
      </c>
      <c r="C9468" t="s">
        <v>12739</v>
      </c>
      <c r="D9468" t="s">
        <v>17960</v>
      </c>
      <c r="E9468" t="s">
        <v>26178</v>
      </c>
      <c r="F9468" t="s">
        <v>30900</v>
      </c>
      <c r="G9468" t="s">
        <v>30907</v>
      </c>
      <c r="H9468" t="s">
        <v>30915</v>
      </c>
      <c r="I9468" t="s">
        <v>30919</v>
      </c>
      <c r="J9468" t="s">
        <v>36975</v>
      </c>
      <c r="K9468" t="s">
        <v>40292</v>
      </c>
      <c r="M9468" t="s">
        <v>43764</v>
      </c>
      <c r="N9468" t="s">
        <v>44759</v>
      </c>
      <c r="O9468" t="s">
        <v>44760</v>
      </c>
      <c r="Q9468">
        <v>4</v>
      </c>
      <c r="R9468" t="s">
        <v>44769</v>
      </c>
      <c r="S9468" t="s">
        <v>45068</v>
      </c>
      <c r="T9468" t="s">
        <v>46472</v>
      </c>
      <c r="U9468" t="s">
        <v>54722</v>
      </c>
      <c r="W9468" t="s">
        <v>43764</v>
      </c>
      <c r="X9468" t="s">
        <v>44770</v>
      </c>
    </row>
    <row r="9469" spans="1:24">
      <c r="A9469">
        <f>HYPERLINK("https://www.philgeps.gov.ph/GEPSNONPILOT/Tender/SplashBidNoticeAbstractUI.aspx?menuIndex=3&amp;refID=7137147&amp;Result=3","7137147")</f>
        <v>0</v>
      </c>
      <c r="B9469" t="s">
        <v>888</v>
      </c>
      <c r="C9469" t="s">
        <v>12740</v>
      </c>
      <c r="D9469" t="s">
        <v>17951</v>
      </c>
      <c r="E9469" t="s">
        <v>26261</v>
      </c>
      <c r="F9469" t="s">
        <v>30900</v>
      </c>
      <c r="G9469" t="s">
        <v>30907</v>
      </c>
      <c r="H9469" t="s">
        <v>30916</v>
      </c>
      <c r="I9469" t="s">
        <v>6408</v>
      </c>
      <c r="J9469" t="s">
        <v>31052</v>
      </c>
      <c r="K9469" t="s">
        <v>40308</v>
      </c>
      <c r="M9469" t="s">
        <v>41461</v>
      </c>
      <c r="N9469" t="s">
        <v>44759</v>
      </c>
      <c r="O9469" t="s">
        <v>44760</v>
      </c>
      <c r="P9469">
        <v>0</v>
      </c>
      <c r="Q9469">
        <v>1</v>
      </c>
      <c r="R9469" t="s">
        <v>44769</v>
      </c>
      <c r="S9469" t="s">
        <v>45044</v>
      </c>
      <c r="T9469" t="s">
        <v>46504</v>
      </c>
      <c r="U9469" t="s">
        <v>54804</v>
      </c>
      <c r="V9469" t="s">
        <v>60152</v>
      </c>
      <c r="W9469" t="s">
        <v>41461</v>
      </c>
      <c r="X9469" t="s">
        <v>44770</v>
      </c>
    </row>
    <row r="9470" spans="1:24">
      <c r="A9470">
        <f>HYPERLINK("https://www.philgeps.gov.ph/GEPSNONPILOT/Tender/SplashBidNoticeAbstractUI.aspx?menuIndex=3&amp;refID=7137172&amp;Result=3","7137172")</f>
        <v>0</v>
      </c>
      <c r="B9470" t="s">
        <v>527</v>
      </c>
      <c r="C9470" t="s">
        <v>12741</v>
      </c>
      <c r="D9470" t="s">
        <v>17961</v>
      </c>
      <c r="E9470" t="s">
        <v>26262</v>
      </c>
      <c r="F9470" t="s">
        <v>30900</v>
      </c>
      <c r="G9470" t="s">
        <v>30907</v>
      </c>
      <c r="H9470" t="s">
        <v>30915</v>
      </c>
      <c r="I9470" t="s">
        <v>30919</v>
      </c>
      <c r="J9470" t="s">
        <v>36976</v>
      </c>
      <c r="K9470" t="s">
        <v>40304</v>
      </c>
      <c r="M9470" t="s">
        <v>41087</v>
      </c>
      <c r="N9470" t="s">
        <v>44759</v>
      </c>
      <c r="O9470" t="s">
        <v>44760</v>
      </c>
      <c r="P9470">
        <v>0</v>
      </c>
      <c r="Q9470">
        <v>1</v>
      </c>
      <c r="R9470" t="s">
        <v>44769</v>
      </c>
      <c r="S9470" t="s">
        <v>45044</v>
      </c>
      <c r="T9470" t="s">
        <v>46519</v>
      </c>
      <c r="U9470" t="s">
        <v>54805</v>
      </c>
      <c r="V9470" t="s">
        <v>60153</v>
      </c>
      <c r="W9470" t="s">
        <v>41087</v>
      </c>
      <c r="X9470" t="s">
        <v>44770</v>
      </c>
    </row>
    <row r="9471" spans="1:24">
      <c r="A9471">
        <f>HYPERLINK("https://www.philgeps.gov.ph/GEPSNONPILOT/Tender/SplashBidNoticeAbstractUI.aspx?menuIndex=3&amp;refID=7137144&amp;Result=3","7137144")</f>
        <v>0</v>
      </c>
      <c r="B9471" t="s">
        <v>2989</v>
      </c>
      <c r="C9471" t="s">
        <v>12742</v>
      </c>
      <c r="D9471" t="s">
        <v>17975</v>
      </c>
      <c r="E9471" t="s">
        <v>26263</v>
      </c>
      <c r="F9471" t="s">
        <v>30900</v>
      </c>
      <c r="G9471" t="s">
        <v>30907</v>
      </c>
      <c r="H9471" t="s">
        <v>30916</v>
      </c>
      <c r="I9471" t="s">
        <v>8123</v>
      </c>
      <c r="J9471" t="s">
        <v>36977</v>
      </c>
      <c r="K9471" t="s">
        <v>40287</v>
      </c>
      <c r="M9471" t="s">
        <v>43792</v>
      </c>
      <c r="N9471" t="s">
        <v>44759</v>
      </c>
      <c r="O9471" t="s">
        <v>44760</v>
      </c>
      <c r="P9471">
        <v>0</v>
      </c>
      <c r="Q9471">
        <v>1</v>
      </c>
      <c r="R9471" t="s">
        <v>44769</v>
      </c>
      <c r="S9471" t="s">
        <v>45044</v>
      </c>
      <c r="T9471" t="s">
        <v>46760</v>
      </c>
      <c r="U9471" t="s">
        <v>54806</v>
      </c>
      <c r="W9471" t="s">
        <v>43792</v>
      </c>
      <c r="X9471" t="s">
        <v>44770</v>
      </c>
    </row>
    <row r="9472" spans="1:24">
      <c r="A9472">
        <f>HYPERLINK("https://www.philgeps.gov.ph/GEPSNONPILOT/Tender/SplashBidNoticeAbstractUI.aspx?menuIndex=3&amp;refID=7137128&amp;Result=3","7137128")</f>
        <v>0</v>
      </c>
      <c r="B9472" t="s">
        <v>853</v>
      </c>
      <c r="C9472" t="s">
        <v>12743</v>
      </c>
      <c r="D9472" t="s">
        <v>18018</v>
      </c>
      <c r="E9472" t="s">
        <v>26264</v>
      </c>
      <c r="F9472" t="s">
        <v>30900</v>
      </c>
      <c r="G9472" t="s">
        <v>30907</v>
      </c>
      <c r="H9472" t="s">
        <v>30915</v>
      </c>
      <c r="I9472" t="s">
        <v>30919</v>
      </c>
      <c r="J9472" t="s">
        <v>36978</v>
      </c>
      <c r="K9472" t="s">
        <v>40342</v>
      </c>
      <c r="M9472" t="s">
        <v>41426</v>
      </c>
      <c r="N9472" t="s">
        <v>44759</v>
      </c>
      <c r="O9472" t="s">
        <v>44760</v>
      </c>
      <c r="P9472">
        <v>0</v>
      </c>
      <c r="Q9472">
        <v>0</v>
      </c>
      <c r="R9472" t="s">
        <v>44769</v>
      </c>
      <c r="S9472" t="s">
        <v>45044</v>
      </c>
      <c r="T9472" t="s">
        <v>46595</v>
      </c>
      <c r="U9472" t="s">
        <v>54807</v>
      </c>
      <c r="W9472" t="s">
        <v>41426</v>
      </c>
      <c r="X9472" t="s">
        <v>44770</v>
      </c>
    </row>
    <row r="9473" spans="1:24">
      <c r="A9473">
        <f>HYPERLINK("https://www.philgeps.gov.ph/GEPSNONPILOT/Tender/SplashBidNoticeAbstractUI.aspx?menuIndex=3&amp;refID=7137035&amp;Result=3","7137035")</f>
        <v>0</v>
      </c>
      <c r="B9473" t="s">
        <v>869</v>
      </c>
      <c r="C9473" t="s">
        <v>12744</v>
      </c>
      <c r="D9473" t="s">
        <v>17988</v>
      </c>
      <c r="E9473" t="s">
        <v>26265</v>
      </c>
      <c r="F9473" t="s">
        <v>30900</v>
      </c>
      <c r="G9473" t="s">
        <v>30907</v>
      </c>
      <c r="H9473" t="s">
        <v>30916</v>
      </c>
      <c r="I9473" t="s">
        <v>8123</v>
      </c>
      <c r="J9473" t="s">
        <v>36979</v>
      </c>
      <c r="K9473" t="s">
        <v>40283</v>
      </c>
      <c r="M9473" t="s">
        <v>41442</v>
      </c>
      <c r="N9473" t="s">
        <v>44759</v>
      </c>
      <c r="O9473" t="s">
        <v>44760</v>
      </c>
      <c r="P9473">
        <v>0</v>
      </c>
      <c r="Q9473">
        <v>0</v>
      </c>
      <c r="R9473" t="s">
        <v>44769</v>
      </c>
      <c r="S9473" t="s">
        <v>45044</v>
      </c>
      <c r="T9473" t="s">
        <v>46581</v>
      </c>
      <c r="U9473" t="s">
        <v>54808</v>
      </c>
      <c r="W9473" t="s">
        <v>41442</v>
      </c>
      <c r="X9473" t="s">
        <v>44770</v>
      </c>
    </row>
    <row r="9474" spans="1:24">
      <c r="A9474">
        <f>HYPERLINK("https://www.philgeps.gov.ph/GEPSNONPILOT/Tender/SplashBidNoticeAbstractUI.aspx?menuIndex=3&amp;refID=7137031&amp;Result=3","7137031")</f>
        <v>0</v>
      </c>
      <c r="B9474" t="s">
        <v>1225</v>
      </c>
      <c r="C9474" t="s">
        <v>12745</v>
      </c>
      <c r="D9474" t="s">
        <v>17975</v>
      </c>
      <c r="E9474" t="s">
        <v>26266</v>
      </c>
      <c r="F9474" t="s">
        <v>30900</v>
      </c>
      <c r="G9474" t="s">
        <v>30907</v>
      </c>
      <c r="H9474" t="s">
        <v>30916</v>
      </c>
      <c r="I9474" t="s">
        <v>6408</v>
      </c>
      <c r="J9474" t="s">
        <v>33324</v>
      </c>
      <c r="K9474" t="s">
        <v>40284</v>
      </c>
      <c r="M9474" t="s">
        <v>41837</v>
      </c>
      <c r="N9474" t="s">
        <v>44759</v>
      </c>
      <c r="O9474" t="s">
        <v>44760</v>
      </c>
      <c r="P9474">
        <v>0</v>
      </c>
      <c r="Q9474">
        <v>1</v>
      </c>
      <c r="R9474" t="s">
        <v>44769</v>
      </c>
      <c r="S9474" t="s">
        <v>45044</v>
      </c>
      <c r="T9474" t="s">
        <v>46658</v>
      </c>
      <c r="U9474" t="s">
        <v>54809</v>
      </c>
      <c r="W9474" t="s">
        <v>41837</v>
      </c>
      <c r="X9474" t="s">
        <v>44770</v>
      </c>
    </row>
    <row r="9475" spans="1:24">
      <c r="A9475">
        <f>HYPERLINK("https://www.philgeps.gov.ph/GEPSNONPILOT/Tender/SplashBidNoticeAbstractUI.aspx?menuIndex=3&amp;refID=7136801&amp;Result=3","7136801")</f>
        <v>0</v>
      </c>
      <c r="B9475" t="s">
        <v>2990</v>
      </c>
      <c r="C9475" t="s">
        <v>12746</v>
      </c>
      <c r="D9475" t="s">
        <v>17998</v>
      </c>
      <c r="E9475" t="s">
        <v>26267</v>
      </c>
      <c r="F9475" t="s">
        <v>30900</v>
      </c>
      <c r="G9475" t="s">
        <v>30907</v>
      </c>
      <c r="H9475" t="s">
        <v>30916</v>
      </c>
      <c r="I9475" t="s">
        <v>30918</v>
      </c>
      <c r="J9475" t="s">
        <v>31157</v>
      </c>
      <c r="K9475" t="s">
        <v>40286</v>
      </c>
      <c r="L9475" t="s">
        <v>2990</v>
      </c>
      <c r="M9475" t="s">
        <v>43793</v>
      </c>
      <c r="N9475" t="s">
        <v>44759</v>
      </c>
      <c r="O9475" t="s">
        <v>44760</v>
      </c>
      <c r="P9475">
        <v>0</v>
      </c>
      <c r="Q9475">
        <v>16</v>
      </c>
      <c r="R9475" t="s">
        <v>44769</v>
      </c>
      <c r="S9475" t="s">
        <v>45044</v>
      </c>
      <c r="T9475" t="s">
        <v>46495</v>
      </c>
      <c r="U9475" t="s">
        <v>54810</v>
      </c>
      <c r="V9475" t="s">
        <v>60154</v>
      </c>
      <c r="W9475" t="s">
        <v>43793</v>
      </c>
      <c r="X9475" t="s">
        <v>44770</v>
      </c>
    </row>
    <row r="9476" spans="1:24">
      <c r="A9476">
        <f>HYPERLINK("https://www.philgeps.gov.ph/GEPSNONPILOT/Tender/SplashBidNoticeAbstractUI.aspx?menuIndex=3&amp;refID=7136970&amp;Result=3","7136970")</f>
        <v>0</v>
      </c>
      <c r="B9476" t="s">
        <v>2991</v>
      </c>
      <c r="C9476" t="s">
        <v>12747</v>
      </c>
      <c r="D9476" t="s">
        <v>17993</v>
      </c>
      <c r="E9476" t="s">
        <v>26268</v>
      </c>
      <c r="F9476" t="s">
        <v>30900</v>
      </c>
      <c r="G9476" t="s">
        <v>30907</v>
      </c>
      <c r="H9476" t="s">
        <v>30916</v>
      </c>
      <c r="I9476" t="s">
        <v>30932</v>
      </c>
      <c r="J9476" t="s">
        <v>36980</v>
      </c>
      <c r="K9476" t="s">
        <v>40315</v>
      </c>
      <c r="M9476" t="s">
        <v>43794</v>
      </c>
      <c r="N9476" t="s">
        <v>44759</v>
      </c>
      <c r="O9476" t="s">
        <v>44760</v>
      </c>
      <c r="P9476">
        <v>0</v>
      </c>
      <c r="Q9476">
        <v>1</v>
      </c>
      <c r="R9476" t="s">
        <v>44769</v>
      </c>
      <c r="S9476" t="s">
        <v>45044</v>
      </c>
      <c r="T9476" t="s">
        <v>46399</v>
      </c>
      <c r="U9476" t="s">
        <v>54811</v>
      </c>
      <c r="W9476" t="s">
        <v>43794</v>
      </c>
      <c r="X9476" t="s">
        <v>44770</v>
      </c>
    </row>
    <row r="9477" spans="1:24">
      <c r="A9477">
        <f>HYPERLINK("https://www.philgeps.gov.ph/GEPSNONPILOT/Tender/SplashBidNoticeAbstractUI.aspx?menuIndex=3&amp;refID=7137058&amp;Result=3","7137058")</f>
        <v>0</v>
      </c>
      <c r="B9477" t="s">
        <v>1328</v>
      </c>
      <c r="C9477" t="s">
        <v>12748</v>
      </c>
      <c r="D9477" t="s">
        <v>17973</v>
      </c>
      <c r="E9477" t="s">
        <v>26269</v>
      </c>
      <c r="F9477" t="s">
        <v>30900</v>
      </c>
      <c r="G9477" t="s">
        <v>30907</v>
      </c>
      <c r="H9477" t="s">
        <v>30916</v>
      </c>
      <c r="I9477" t="s">
        <v>30921</v>
      </c>
      <c r="J9477" t="s">
        <v>31522</v>
      </c>
      <c r="K9477" t="s">
        <v>40283</v>
      </c>
      <c r="M9477" t="s">
        <v>41948</v>
      </c>
      <c r="N9477" t="s">
        <v>44759</v>
      </c>
      <c r="O9477" t="s">
        <v>44760</v>
      </c>
      <c r="P9477">
        <v>0</v>
      </c>
      <c r="Q9477">
        <v>0</v>
      </c>
      <c r="R9477" t="s">
        <v>44769</v>
      </c>
      <c r="S9477" t="s">
        <v>45044</v>
      </c>
      <c r="T9477" t="s">
        <v>46409</v>
      </c>
      <c r="U9477" t="s">
        <v>54812</v>
      </c>
      <c r="W9477" t="s">
        <v>41948</v>
      </c>
      <c r="X9477" t="s">
        <v>44770</v>
      </c>
    </row>
    <row r="9478" spans="1:24">
      <c r="A9478">
        <f>HYPERLINK("https://www.philgeps.gov.ph/GEPSNONPILOT/Tender/SplashBidNoticeAbstractUI.aspx?menuIndex=3&amp;refID=7137222&amp;Result=3","7137222")</f>
        <v>0</v>
      </c>
      <c r="B9478" t="s">
        <v>2979</v>
      </c>
      <c r="C9478" t="s">
        <v>12749</v>
      </c>
      <c r="D9478" t="s">
        <v>18021</v>
      </c>
      <c r="E9478" t="s">
        <v>26270</v>
      </c>
      <c r="F9478" t="s">
        <v>30900</v>
      </c>
      <c r="G9478" t="s">
        <v>30907</v>
      </c>
      <c r="H9478" t="s">
        <v>30916</v>
      </c>
      <c r="I9478" t="s">
        <v>30936</v>
      </c>
      <c r="J9478" t="s">
        <v>36981</v>
      </c>
      <c r="K9478" t="s">
        <v>40293</v>
      </c>
      <c r="M9478" t="s">
        <v>43781</v>
      </c>
      <c r="N9478" t="s">
        <v>44759</v>
      </c>
      <c r="O9478" t="s">
        <v>44760</v>
      </c>
      <c r="P9478">
        <v>0</v>
      </c>
      <c r="Q9478">
        <v>0</v>
      </c>
      <c r="R9478" t="s">
        <v>44769</v>
      </c>
      <c r="S9478" t="s">
        <v>45044</v>
      </c>
      <c r="T9478" t="s">
        <v>46472</v>
      </c>
      <c r="U9478" t="s">
        <v>54813</v>
      </c>
      <c r="V9478" t="s">
        <v>60140</v>
      </c>
      <c r="W9478" t="s">
        <v>43781</v>
      </c>
      <c r="X9478" t="s">
        <v>44770</v>
      </c>
    </row>
    <row r="9479" spans="1:24">
      <c r="A9479">
        <f>HYPERLINK("https://www.philgeps.gov.ph/GEPSNONPILOT/Tender/SplashBidNoticeAbstractUI.aspx?menuIndex=3&amp;refID=7137036&amp;Result=3","7137036")</f>
        <v>0</v>
      </c>
      <c r="B9479" t="s">
        <v>2977</v>
      </c>
      <c r="C9479" t="s">
        <v>12750</v>
      </c>
      <c r="D9479" t="s">
        <v>18013</v>
      </c>
      <c r="E9479" t="s">
        <v>26271</v>
      </c>
      <c r="F9479" t="s">
        <v>30900</v>
      </c>
      <c r="G9479" t="s">
        <v>30907</v>
      </c>
      <c r="H9479" t="s">
        <v>30916</v>
      </c>
      <c r="I9479" t="s">
        <v>4108</v>
      </c>
      <c r="J9479" t="s">
        <v>31043</v>
      </c>
      <c r="K9479" t="s">
        <v>40284</v>
      </c>
      <c r="M9479" t="s">
        <v>43779</v>
      </c>
      <c r="N9479" t="s">
        <v>44759</v>
      </c>
      <c r="O9479" t="s">
        <v>44760</v>
      </c>
      <c r="P9479">
        <v>0</v>
      </c>
      <c r="Q9479">
        <v>0</v>
      </c>
      <c r="R9479" t="s">
        <v>44769</v>
      </c>
      <c r="S9479" t="s">
        <v>45044</v>
      </c>
      <c r="T9479" t="s">
        <v>46352</v>
      </c>
      <c r="U9479" t="s">
        <v>54814</v>
      </c>
      <c r="W9479" t="s">
        <v>43779</v>
      </c>
      <c r="X9479" t="s">
        <v>44770</v>
      </c>
    </row>
    <row r="9480" spans="1:24">
      <c r="A9480">
        <f>HYPERLINK("https://www.philgeps.gov.ph/GEPSNONPILOT/Tender/SplashBidNoticeAbstractUI.aspx?menuIndex=3&amp;refID=7137291&amp;Result=3","7137291")</f>
        <v>0</v>
      </c>
      <c r="B9480" t="s">
        <v>2963</v>
      </c>
      <c r="C9480" t="s">
        <v>12751</v>
      </c>
      <c r="D9480" t="s">
        <v>17960</v>
      </c>
      <c r="E9480" t="s">
        <v>26178</v>
      </c>
      <c r="F9480" t="s">
        <v>30900</v>
      </c>
      <c r="G9480" t="s">
        <v>30907</v>
      </c>
      <c r="H9480" t="s">
        <v>30915</v>
      </c>
      <c r="I9480" t="s">
        <v>30919</v>
      </c>
      <c r="J9480" t="s">
        <v>36982</v>
      </c>
      <c r="K9480" t="s">
        <v>40292</v>
      </c>
      <c r="M9480" t="s">
        <v>43764</v>
      </c>
      <c r="N9480" t="s">
        <v>44759</v>
      </c>
      <c r="O9480" t="s">
        <v>44760</v>
      </c>
      <c r="Q9480">
        <v>5</v>
      </c>
      <c r="R9480" t="s">
        <v>44769</v>
      </c>
      <c r="S9480" t="s">
        <v>45066</v>
      </c>
      <c r="T9480" t="s">
        <v>46472</v>
      </c>
      <c r="U9480" t="s">
        <v>54722</v>
      </c>
      <c r="W9480" t="s">
        <v>43764</v>
      </c>
      <c r="X9480" t="s">
        <v>44770</v>
      </c>
    </row>
    <row r="9481" spans="1:24">
      <c r="A9481">
        <f>HYPERLINK("https://www.philgeps.gov.ph/GEPSNONPILOT/Tender/SplashBidNoticeAbstractUI.aspx?menuIndex=3&amp;refID=7137032&amp;Result=3","7137032")</f>
        <v>0</v>
      </c>
      <c r="B9481" t="s">
        <v>736</v>
      </c>
      <c r="C9481" t="s">
        <v>12752</v>
      </c>
      <c r="D9481" t="s">
        <v>18013</v>
      </c>
      <c r="E9481" t="s">
        <v>26272</v>
      </c>
      <c r="F9481" t="s">
        <v>30900</v>
      </c>
      <c r="G9481" t="s">
        <v>30907</v>
      </c>
      <c r="H9481" t="s">
        <v>30916</v>
      </c>
      <c r="I9481" t="s">
        <v>6396</v>
      </c>
      <c r="J9481" t="s">
        <v>36983</v>
      </c>
      <c r="K9481" t="s">
        <v>40286</v>
      </c>
      <c r="M9481" t="s">
        <v>41300</v>
      </c>
      <c r="N9481" t="s">
        <v>44759</v>
      </c>
      <c r="O9481" t="s">
        <v>44760</v>
      </c>
      <c r="P9481">
        <v>0</v>
      </c>
      <c r="Q9481">
        <v>2</v>
      </c>
      <c r="R9481" t="s">
        <v>44769</v>
      </c>
      <c r="S9481" t="s">
        <v>45044</v>
      </c>
      <c r="T9481" t="s">
        <v>46488</v>
      </c>
      <c r="U9481" t="s">
        <v>54815</v>
      </c>
      <c r="W9481" t="s">
        <v>41300</v>
      </c>
      <c r="X9481" t="s">
        <v>44770</v>
      </c>
    </row>
    <row r="9482" spans="1:24">
      <c r="A9482">
        <f>HYPERLINK("https://www.philgeps.gov.ph/GEPSNONPILOT/Tender/SplashBidNoticeAbstractUI.aspx?menuIndex=3&amp;refID=7137334&amp;Result=3","7137334")</f>
        <v>0</v>
      </c>
      <c r="B9482" t="s">
        <v>303</v>
      </c>
      <c r="C9482" t="s">
        <v>12753</v>
      </c>
      <c r="D9482" t="s">
        <v>17951</v>
      </c>
      <c r="E9482" t="s">
        <v>26273</v>
      </c>
      <c r="F9482" t="s">
        <v>30900</v>
      </c>
      <c r="G9482" t="s">
        <v>30907</v>
      </c>
      <c r="H9482" t="s">
        <v>30915</v>
      </c>
      <c r="I9482" t="s">
        <v>30919</v>
      </c>
      <c r="J9482" t="s">
        <v>36984</v>
      </c>
      <c r="K9482" t="s">
        <v>40280</v>
      </c>
      <c r="M9482" t="s">
        <v>40852</v>
      </c>
      <c r="N9482" t="s">
        <v>44759</v>
      </c>
      <c r="O9482" t="s">
        <v>44760</v>
      </c>
      <c r="Q9482">
        <v>2</v>
      </c>
      <c r="R9482" t="s">
        <v>44769</v>
      </c>
      <c r="S9482" t="s">
        <v>45069</v>
      </c>
      <c r="T9482" t="s">
        <v>46411</v>
      </c>
      <c r="U9482" t="s">
        <v>54816</v>
      </c>
      <c r="W9482" t="s">
        <v>40852</v>
      </c>
      <c r="X9482" t="s">
        <v>44770</v>
      </c>
    </row>
    <row r="9483" spans="1:24">
      <c r="A9483">
        <f>HYPERLINK("https://www.philgeps.gov.ph/GEPSNONPILOT/Tender/SplashBidNoticeAbstractUI.aspx?menuIndex=3&amp;refID=7137151&amp;Result=3","7137151")</f>
        <v>0</v>
      </c>
      <c r="B9483" t="s">
        <v>869</v>
      </c>
      <c r="C9483" t="s">
        <v>12754</v>
      </c>
      <c r="D9483" t="s">
        <v>17988</v>
      </c>
      <c r="E9483" t="s">
        <v>26274</v>
      </c>
      <c r="F9483" t="s">
        <v>30900</v>
      </c>
      <c r="G9483" t="s">
        <v>30907</v>
      </c>
      <c r="H9483" t="s">
        <v>30915</v>
      </c>
      <c r="I9483" t="s">
        <v>30919</v>
      </c>
      <c r="J9483" t="s">
        <v>36985</v>
      </c>
      <c r="K9483" t="s">
        <v>40474</v>
      </c>
      <c r="M9483" t="s">
        <v>41442</v>
      </c>
      <c r="N9483" t="s">
        <v>44759</v>
      </c>
      <c r="O9483" t="s">
        <v>44760</v>
      </c>
      <c r="P9483">
        <v>0</v>
      </c>
      <c r="Q9483">
        <v>0</v>
      </c>
      <c r="R9483" t="s">
        <v>44769</v>
      </c>
      <c r="S9483" t="s">
        <v>45044</v>
      </c>
      <c r="T9483" t="s">
        <v>46450</v>
      </c>
      <c r="U9483" t="s">
        <v>54817</v>
      </c>
      <c r="W9483" t="s">
        <v>41442</v>
      </c>
      <c r="X9483" t="s">
        <v>44770</v>
      </c>
    </row>
    <row r="9484" spans="1:24">
      <c r="A9484">
        <f>HYPERLINK("https://www.philgeps.gov.ph/GEPSNONPILOT/Tender/SplashBidNoticeAbstractUI.aspx?menuIndex=3&amp;refID=7137339&amp;Result=3","7137339")</f>
        <v>0</v>
      </c>
      <c r="B9484" t="s">
        <v>2992</v>
      </c>
      <c r="C9484" t="s">
        <v>12755</v>
      </c>
      <c r="D9484" t="s">
        <v>17975</v>
      </c>
      <c r="E9484" t="s">
        <v>26275</v>
      </c>
      <c r="F9484" t="s">
        <v>30899</v>
      </c>
      <c r="G9484" t="s">
        <v>30907</v>
      </c>
      <c r="H9484" t="s">
        <v>30915</v>
      </c>
      <c r="I9484" t="s">
        <v>30919</v>
      </c>
      <c r="J9484" t="s">
        <v>31914</v>
      </c>
      <c r="K9484" t="s">
        <v>40315</v>
      </c>
      <c r="L9484" t="s">
        <v>2992</v>
      </c>
      <c r="M9484" t="s">
        <v>43795</v>
      </c>
      <c r="N9484" t="s">
        <v>44759</v>
      </c>
      <c r="O9484" t="s">
        <v>44760</v>
      </c>
      <c r="P9484">
        <v>0</v>
      </c>
      <c r="Q9484">
        <v>0</v>
      </c>
      <c r="R9484" t="s">
        <v>44769</v>
      </c>
      <c r="S9484" t="s">
        <v>45044</v>
      </c>
      <c r="T9484" t="s">
        <v>46411</v>
      </c>
      <c r="U9484" t="s">
        <v>54818</v>
      </c>
      <c r="W9484" t="s">
        <v>43795</v>
      </c>
      <c r="X9484" t="s">
        <v>44770</v>
      </c>
    </row>
    <row r="9485" spans="1:24">
      <c r="A9485">
        <f>HYPERLINK("https://www.philgeps.gov.ph/GEPSNONPILOT/Tender/SplashBidNoticeAbstractUI.aspx?menuIndex=3&amp;refID=7136966&amp;Result=3","7136966")</f>
        <v>0</v>
      </c>
      <c r="B9485" t="s">
        <v>2540</v>
      </c>
      <c r="C9485" t="s">
        <v>10602</v>
      </c>
      <c r="D9485" t="s">
        <v>17966</v>
      </c>
      <c r="E9485" t="s">
        <v>26276</v>
      </c>
      <c r="F9485" t="s">
        <v>30900</v>
      </c>
      <c r="G9485" t="s">
        <v>30908</v>
      </c>
      <c r="H9485" t="s">
        <v>30916</v>
      </c>
      <c r="I9485" t="s">
        <v>10602</v>
      </c>
      <c r="J9485" t="s">
        <v>31049</v>
      </c>
      <c r="K9485" t="s">
        <v>40287</v>
      </c>
      <c r="M9485" t="s">
        <v>43296</v>
      </c>
      <c r="N9485" t="s">
        <v>44759</v>
      </c>
      <c r="O9485" t="s">
        <v>44760</v>
      </c>
      <c r="P9485">
        <v>0</v>
      </c>
      <c r="Q9485">
        <v>0</v>
      </c>
      <c r="R9485" t="s">
        <v>44769</v>
      </c>
      <c r="S9485" t="s">
        <v>45044</v>
      </c>
      <c r="T9485" t="s">
        <v>46374</v>
      </c>
      <c r="U9485" t="s">
        <v>54819</v>
      </c>
      <c r="W9485" t="s">
        <v>43296</v>
      </c>
      <c r="X9485" t="s">
        <v>44770</v>
      </c>
    </row>
    <row r="9486" spans="1:24">
      <c r="A9486">
        <f>HYPERLINK("https://www.philgeps.gov.ph/GEPSNONPILOT/Tender/SplashBidNoticeAbstractUI.aspx?menuIndex=3&amp;refID=7137287&amp;Result=3","7137287")</f>
        <v>0</v>
      </c>
      <c r="B9486" t="s">
        <v>303</v>
      </c>
      <c r="C9486" t="s">
        <v>12756</v>
      </c>
      <c r="D9486" t="s">
        <v>17951</v>
      </c>
      <c r="E9486" t="s">
        <v>26277</v>
      </c>
      <c r="F9486" t="s">
        <v>30900</v>
      </c>
      <c r="G9486" t="s">
        <v>30907</v>
      </c>
      <c r="H9486" t="s">
        <v>30915</v>
      </c>
      <c r="I9486" t="s">
        <v>30919</v>
      </c>
      <c r="J9486" t="s">
        <v>36986</v>
      </c>
      <c r="K9486" t="s">
        <v>40280</v>
      </c>
      <c r="M9486" t="s">
        <v>40852</v>
      </c>
      <c r="N9486" t="s">
        <v>44759</v>
      </c>
      <c r="O9486" t="s">
        <v>44760</v>
      </c>
      <c r="P9486">
        <v>0</v>
      </c>
      <c r="Q9486">
        <v>1</v>
      </c>
      <c r="R9486" t="s">
        <v>44769</v>
      </c>
      <c r="S9486" t="s">
        <v>45044</v>
      </c>
      <c r="T9486" t="s">
        <v>46411</v>
      </c>
      <c r="U9486" t="s">
        <v>54816</v>
      </c>
      <c r="W9486" t="s">
        <v>40852</v>
      </c>
      <c r="X9486" t="s">
        <v>44770</v>
      </c>
    </row>
    <row r="9487" spans="1:24">
      <c r="A9487">
        <f>HYPERLINK("https://www.philgeps.gov.ph/GEPSNONPILOT/Tender/SplashBidNoticeAbstractUI.aspx?menuIndex=3&amp;refID=7137309&amp;Result=3","7137309")</f>
        <v>0</v>
      </c>
      <c r="B9487" t="s">
        <v>2993</v>
      </c>
      <c r="C9487" t="s">
        <v>12757</v>
      </c>
      <c r="D9487" t="s">
        <v>18000</v>
      </c>
      <c r="E9487" t="s">
        <v>26278</v>
      </c>
      <c r="F9487" t="s">
        <v>30900</v>
      </c>
      <c r="G9487" t="s">
        <v>30907</v>
      </c>
      <c r="H9487" t="s">
        <v>30916</v>
      </c>
      <c r="I9487" t="s">
        <v>5501</v>
      </c>
      <c r="J9487" t="s">
        <v>36987</v>
      </c>
      <c r="K9487" t="s">
        <v>40286</v>
      </c>
      <c r="M9487" t="s">
        <v>43796</v>
      </c>
      <c r="N9487" t="s">
        <v>44759</v>
      </c>
      <c r="O9487" t="s">
        <v>44760</v>
      </c>
      <c r="P9487">
        <v>0</v>
      </c>
      <c r="Q9487">
        <v>4</v>
      </c>
      <c r="R9487" t="s">
        <v>44769</v>
      </c>
      <c r="S9487" t="s">
        <v>45044</v>
      </c>
      <c r="T9487" t="s">
        <v>46760</v>
      </c>
      <c r="U9487" t="s">
        <v>54820</v>
      </c>
      <c r="W9487" t="s">
        <v>43796</v>
      </c>
      <c r="X9487" t="s">
        <v>44770</v>
      </c>
    </row>
    <row r="9488" spans="1:24">
      <c r="A9488">
        <f>HYPERLINK("https://www.philgeps.gov.ph/GEPSNONPILOT/Tender/SplashBidNoticeAbstractUI.aspx?menuIndex=3&amp;refID=7137274&amp;Result=3","7137274")</f>
        <v>0</v>
      </c>
      <c r="B9488" t="s">
        <v>2994</v>
      </c>
      <c r="C9488" t="s">
        <v>12758</v>
      </c>
      <c r="D9488" t="s">
        <v>17961</v>
      </c>
      <c r="E9488" t="s">
        <v>23958</v>
      </c>
      <c r="F9488" t="s">
        <v>30900</v>
      </c>
      <c r="G9488" t="s">
        <v>30907</v>
      </c>
      <c r="H9488" t="s">
        <v>30916</v>
      </c>
      <c r="I9488" t="s">
        <v>30923</v>
      </c>
      <c r="J9488" t="s">
        <v>36988</v>
      </c>
      <c r="K9488" t="s">
        <v>40284</v>
      </c>
      <c r="M9488" t="s">
        <v>43797</v>
      </c>
      <c r="N9488" t="s">
        <v>44759</v>
      </c>
      <c r="O9488" t="s">
        <v>44760</v>
      </c>
      <c r="P9488">
        <v>0</v>
      </c>
      <c r="Q9488">
        <v>4</v>
      </c>
      <c r="R9488" t="s">
        <v>44769</v>
      </c>
      <c r="S9488" t="s">
        <v>45044</v>
      </c>
      <c r="T9488" t="s">
        <v>46581</v>
      </c>
      <c r="U9488" t="s">
        <v>54821</v>
      </c>
      <c r="V9488" t="s">
        <v>60155</v>
      </c>
      <c r="W9488" t="s">
        <v>43797</v>
      </c>
      <c r="X9488" t="s">
        <v>44770</v>
      </c>
    </row>
    <row r="9489" spans="1:24">
      <c r="A9489">
        <f>HYPERLINK("https://www.philgeps.gov.ph/GEPSNONPILOT/Tender/SplashBidNoticeAbstractUI.aspx?menuIndex=3&amp;refID=7137272&amp;Result=3","7137272")</f>
        <v>0</v>
      </c>
      <c r="B9489" t="s">
        <v>2063</v>
      </c>
      <c r="C9489" t="s">
        <v>12759</v>
      </c>
      <c r="D9489" t="s">
        <v>17977</v>
      </c>
      <c r="E9489" t="s">
        <v>26279</v>
      </c>
      <c r="F9489" t="s">
        <v>30900</v>
      </c>
      <c r="G9489" t="s">
        <v>30907</v>
      </c>
      <c r="H9489" t="s">
        <v>30916</v>
      </c>
      <c r="I9489" t="s">
        <v>8123</v>
      </c>
      <c r="J9489" t="s">
        <v>36989</v>
      </c>
      <c r="K9489" t="s">
        <v>40289</v>
      </c>
      <c r="L9489" t="s">
        <v>2063</v>
      </c>
      <c r="M9489" t="s">
        <v>42762</v>
      </c>
      <c r="N9489" t="s">
        <v>44759</v>
      </c>
      <c r="O9489" t="s">
        <v>44760</v>
      </c>
      <c r="P9489">
        <v>0</v>
      </c>
      <c r="Q9489">
        <v>1</v>
      </c>
      <c r="R9489" t="s">
        <v>44769</v>
      </c>
      <c r="S9489" t="s">
        <v>45044</v>
      </c>
      <c r="T9489" t="s">
        <v>46495</v>
      </c>
      <c r="U9489" t="s">
        <v>54822</v>
      </c>
      <c r="W9489" t="s">
        <v>42762</v>
      </c>
      <c r="X9489" t="s">
        <v>44770</v>
      </c>
    </row>
    <row r="9490" spans="1:24">
      <c r="A9490">
        <f>HYPERLINK("https://www.philgeps.gov.ph/GEPSNONPILOT/Tender/SplashBidNoticeAbstractUI.aspx?menuIndex=3&amp;refID=7136963&amp;Result=3","7136963")</f>
        <v>0</v>
      </c>
      <c r="B9490" t="s">
        <v>2215</v>
      </c>
      <c r="C9490" t="s">
        <v>12760</v>
      </c>
      <c r="E9490" t="s">
        <v>26280</v>
      </c>
      <c r="F9490" t="s">
        <v>30900</v>
      </c>
      <c r="G9490" t="s">
        <v>30907</v>
      </c>
      <c r="H9490" t="s">
        <v>30915</v>
      </c>
      <c r="I9490" t="s">
        <v>30919</v>
      </c>
      <c r="J9490" t="s">
        <v>31069</v>
      </c>
      <c r="K9490" t="s">
        <v>40293</v>
      </c>
      <c r="M9490" t="s">
        <v>42924</v>
      </c>
      <c r="N9490" t="s">
        <v>44759</v>
      </c>
      <c r="O9490" t="s">
        <v>44760</v>
      </c>
      <c r="P9490">
        <v>0</v>
      </c>
      <c r="Q9490">
        <v>0</v>
      </c>
      <c r="R9490" t="s">
        <v>44769</v>
      </c>
      <c r="S9490" t="s">
        <v>45044</v>
      </c>
      <c r="T9490" t="s">
        <v>46411</v>
      </c>
      <c r="U9490" t="s">
        <v>54706</v>
      </c>
      <c r="W9490" t="s">
        <v>42924</v>
      </c>
      <c r="X9490" t="s">
        <v>44770</v>
      </c>
    </row>
    <row r="9491" spans="1:24">
      <c r="A9491">
        <f>HYPERLINK("https://www.philgeps.gov.ph/GEPSNONPILOT/Tender/SplashBidNoticeAbstractUI.aspx?menuIndex=3&amp;refID=7137254&amp;Result=3","7137254")</f>
        <v>0</v>
      </c>
      <c r="B9491" t="s">
        <v>721</v>
      </c>
      <c r="C9491" t="s">
        <v>12761</v>
      </c>
      <c r="E9491" t="s">
        <v>26281</v>
      </c>
      <c r="F9491" t="s">
        <v>30900</v>
      </c>
      <c r="G9491" t="s">
        <v>30907</v>
      </c>
      <c r="H9491" t="s">
        <v>30915</v>
      </c>
      <c r="I9491" t="s">
        <v>30919</v>
      </c>
      <c r="J9491" t="s">
        <v>36990</v>
      </c>
      <c r="K9491" t="s">
        <v>40475</v>
      </c>
      <c r="M9491" t="s">
        <v>41285</v>
      </c>
      <c r="N9491" t="s">
        <v>44759</v>
      </c>
      <c r="O9491" t="s">
        <v>44760</v>
      </c>
      <c r="P9491">
        <v>0</v>
      </c>
      <c r="Q9491">
        <v>1</v>
      </c>
      <c r="R9491" t="s">
        <v>44769</v>
      </c>
      <c r="S9491" t="s">
        <v>45044</v>
      </c>
      <c r="T9491" t="s">
        <v>46549</v>
      </c>
      <c r="U9491" t="s">
        <v>54823</v>
      </c>
      <c r="W9491" t="s">
        <v>41285</v>
      </c>
      <c r="X9491" t="s">
        <v>44770</v>
      </c>
    </row>
    <row r="9492" spans="1:24">
      <c r="A9492">
        <f>HYPERLINK("https://www.philgeps.gov.ph/GEPSNONPILOT/Tender/SplashBidNoticeAbstractUI.aspx?menuIndex=3&amp;refID=7137299&amp;Result=3","7137299")</f>
        <v>0</v>
      </c>
      <c r="B9492" t="s">
        <v>810</v>
      </c>
      <c r="C9492" t="s">
        <v>12762</v>
      </c>
      <c r="D9492" t="s">
        <v>18017</v>
      </c>
      <c r="E9492" t="s">
        <v>26282</v>
      </c>
      <c r="F9492" t="s">
        <v>30900</v>
      </c>
      <c r="G9492" t="s">
        <v>30907</v>
      </c>
      <c r="H9492" t="s">
        <v>30916</v>
      </c>
      <c r="I9492" t="s">
        <v>8123</v>
      </c>
      <c r="J9492" t="s">
        <v>36991</v>
      </c>
      <c r="K9492" t="s">
        <v>40286</v>
      </c>
      <c r="M9492" t="s">
        <v>41381</v>
      </c>
      <c r="N9492" t="s">
        <v>44759</v>
      </c>
      <c r="O9492" t="s">
        <v>44760</v>
      </c>
      <c r="P9492">
        <v>0</v>
      </c>
      <c r="Q9492">
        <v>1</v>
      </c>
      <c r="R9492" t="s">
        <v>44769</v>
      </c>
      <c r="S9492" t="s">
        <v>45044</v>
      </c>
      <c r="T9492" t="s">
        <v>46581</v>
      </c>
      <c r="U9492" t="s">
        <v>54824</v>
      </c>
      <c r="W9492" t="s">
        <v>41381</v>
      </c>
      <c r="X9492" t="s">
        <v>44770</v>
      </c>
    </row>
    <row r="9493" spans="1:24">
      <c r="A9493">
        <f>HYPERLINK("https://www.philgeps.gov.ph/GEPSNONPILOT/Tender/SplashBidNoticeAbstractUI.aspx?menuIndex=3&amp;refID=7137300&amp;Result=3","7137300")</f>
        <v>0</v>
      </c>
      <c r="B9493" t="s">
        <v>2995</v>
      </c>
      <c r="C9493" t="s">
        <v>12763</v>
      </c>
      <c r="D9493" t="s">
        <v>17980</v>
      </c>
      <c r="E9493" t="s">
        <v>26283</v>
      </c>
      <c r="F9493" t="s">
        <v>30900</v>
      </c>
      <c r="G9493" t="s">
        <v>30907</v>
      </c>
      <c r="H9493" t="s">
        <v>30916</v>
      </c>
      <c r="I9493" t="s">
        <v>30922</v>
      </c>
      <c r="J9493" t="s">
        <v>34250</v>
      </c>
      <c r="K9493" t="s">
        <v>40292</v>
      </c>
      <c r="M9493" t="s">
        <v>43798</v>
      </c>
      <c r="N9493" t="s">
        <v>44759</v>
      </c>
      <c r="O9493" t="s">
        <v>44760</v>
      </c>
      <c r="P9493">
        <v>0</v>
      </c>
      <c r="Q9493">
        <v>7</v>
      </c>
      <c r="R9493" t="s">
        <v>44769</v>
      </c>
      <c r="S9493" t="s">
        <v>45044</v>
      </c>
      <c r="T9493" t="s">
        <v>46357</v>
      </c>
      <c r="U9493" t="s">
        <v>54825</v>
      </c>
      <c r="W9493" t="s">
        <v>43798</v>
      </c>
      <c r="X9493" t="s">
        <v>44770</v>
      </c>
    </row>
    <row r="9494" spans="1:24">
      <c r="A9494">
        <f>HYPERLINK("https://www.philgeps.gov.ph/GEPSNONPILOT/Tender/SplashBidNoticeAbstractUI.aspx?menuIndex=3&amp;refID=7137235&amp;Result=3","7137235")</f>
        <v>0</v>
      </c>
      <c r="B9494" t="s">
        <v>2996</v>
      </c>
      <c r="C9494" t="s">
        <v>12764</v>
      </c>
      <c r="D9494" t="s">
        <v>18000</v>
      </c>
      <c r="E9494" t="s">
        <v>19026</v>
      </c>
      <c r="F9494" t="s">
        <v>30900</v>
      </c>
      <c r="G9494" t="s">
        <v>30907</v>
      </c>
      <c r="H9494" t="s">
        <v>30916</v>
      </c>
      <c r="I9494" t="s">
        <v>8123</v>
      </c>
      <c r="J9494" t="s">
        <v>34573</v>
      </c>
      <c r="K9494" t="s">
        <v>40283</v>
      </c>
      <c r="M9494" t="s">
        <v>43799</v>
      </c>
      <c r="N9494" t="s">
        <v>44759</v>
      </c>
      <c r="O9494" t="s">
        <v>44760</v>
      </c>
      <c r="P9494">
        <v>0</v>
      </c>
      <c r="Q9494">
        <v>2</v>
      </c>
      <c r="R9494" t="s">
        <v>44769</v>
      </c>
      <c r="S9494" t="s">
        <v>45044</v>
      </c>
      <c r="T9494" t="s">
        <v>46383</v>
      </c>
      <c r="U9494" t="s">
        <v>54826</v>
      </c>
      <c r="W9494" t="s">
        <v>43799</v>
      </c>
      <c r="X9494" t="s">
        <v>44770</v>
      </c>
    </row>
    <row r="9495" spans="1:24">
      <c r="A9495">
        <f>HYPERLINK("https://www.philgeps.gov.ph/GEPSNONPILOT/Tender/SplashBidNoticeAbstractUI.aspx?menuIndex=3&amp;refID=7137280&amp;Result=3","7137280")</f>
        <v>0</v>
      </c>
      <c r="B9495" t="s">
        <v>2997</v>
      </c>
      <c r="C9495" t="s">
        <v>12765</v>
      </c>
      <c r="D9495" t="s">
        <v>17963</v>
      </c>
      <c r="E9495" t="s">
        <v>18066</v>
      </c>
      <c r="F9495" t="s">
        <v>30900</v>
      </c>
      <c r="G9495" t="s">
        <v>30907</v>
      </c>
      <c r="H9495" t="s">
        <v>30916</v>
      </c>
      <c r="I9495" t="s">
        <v>8123</v>
      </c>
      <c r="J9495" t="s">
        <v>34906</v>
      </c>
      <c r="K9495" t="s">
        <v>40284</v>
      </c>
      <c r="M9495" t="s">
        <v>43800</v>
      </c>
      <c r="N9495" t="s">
        <v>44759</v>
      </c>
      <c r="O9495" t="s">
        <v>44760</v>
      </c>
      <c r="P9495">
        <v>0</v>
      </c>
      <c r="Q9495">
        <v>2</v>
      </c>
      <c r="R9495" t="s">
        <v>44769</v>
      </c>
      <c r="S9495" t="s">
        <v>45044</v>
      </c>
      <c r="T9495" t="s">
        <v>46393</v>
      </c>
      <c r="U9495" t="s">
        <v>54827</v>
      </c>
      <c r="W9495" t="s">
        <v>43800</v>
      </c>
      <c r="X9495" t="s">
        <v>44770</v>
      </c>
    </row>
    <row r="9496" spans="1:24">
      <c r="A9496">
        <f>HYPERLINK("https://www.philgeps.gov.ph/GEPSNONPILOT/Tender/SplashBidNoticeAbstractUI.aspx?menuIndex=3&amp;refID=7137268&amp;Result=3","7137268")</f>
        <v>0</v>
      </c>
      <c r="B9496" t="s">
        <v>1328</v>
      </c>
      <c r="C9496" t="s">
        <v>12766</v>
      </c>
      <c r="D9496" t="s">
        <v>17973</v>
      </c>
      <c r="E9496" t="s">
        <v>18598</v>
      </c>
      <c r="F9496" t="s">
        <v>30900</v>
      </c>
      <c r="G9496" t="s">
        <v>30907</v>
      </c>
      <c r="H9496" t="s">
        <v>30915</v>
      </c>
      <c r="I9496" t="s">
        <v>30919</v>
      </c>
      <c r="J9496" t="s">
        <v>36992</v>
      </c>
      <c r="K9496" t="s">
        <v>40398</v>
      </c>
      <c r="M9496" t="s">
        <v>41948</v>
      </c>
      <c r="N9496" t="s">
        <v>44759</v>
      </c>
      <c r="O9496" t="s">
        <v>44760</v>
      </c>
      <c r="P9496">
        <v>0</v>
      </c>
      <c r="Q9496">
        <v>0</v>
      </c>
      <c r="R9496" t="s">
        <v>44769</v>
      </c>
      <c r="S9496" t="s">
        <v>45044</v>
      </c>
      <c r="T9496" t="s">
        <v>46409</v>
      </c>
      <c r="U9496" t="s">
        <v>54828</v>
      </c>
      <c r="W9496" t="s">
        <v>41948</v>
      </c>
      <c r="X9496" t="s">
        <v>44770</v>
      </c>
    </row>
    <row r="9497" spans="1:24">
      <c r="A9497">
        <f>HYPERLINK("https://www.philgeps.gov.ph/GEPSNONPILOT/Tender/SplashBidNoticeAbstractUI.aspx?menuIndex=3&amp;refID=7137342&amp;Result=3","7137342")</f>
        <v>0</v>
      </c>
      <c r="B9497" t="s">
        <v>2063</v>
      </c>
      <c r="C9497" t="s">
        <v>12767</v>
      </c>
      <c r="D9497" t="s">
        <v>17977</v>
      </c>
      <c r="E9497" t="s">
        <v>26284</v>
      </c>
      <c r="F9497" t="s">
        <v>30900</v>
      </c>
      <c r="G9497" t="s">
        <v>30907</v>
      </c>
      <c r="H9497" t="s">
        <v>30915</v>
      </c>
      <c r="I9497" t="s">
        <v>30919</v>
      </c>
      <c r="J9497" t="s">
        <v>31152</v>
      </c>
      <c r="K9497" t="s">
        <v>40289</v>
      </c>
      <c r="L9497" t="s">
        <v>2063</v>
      </c>
      <c r="M9497" t="s">
        <v>43801</v>
      </c>
      <c r="N9497" t="s">
        <v>44759</v>
      </c>
      <c r="O9497" t="s">
        <v>44760</v>
      </c>
      <c r="P9497">
        <v>0</v>
      </c>
      <c r="Q9497">
        <v>0</v>
      </c>
      <c r="R9497" t="s">
        <v>44769</v>
      </c>
      <c r="S9497" t="s">
        <v>45044</v>
      </c>
      <c r="T9497" t="s">
        <v>46495</v>
      </c>
      <c r="U9497" t="s">
        <v>54829</v>
      </c>
      <c r="V9497" t="s">
        <v>60156</v>
      </c>
      <c r="W9497" t="s">
        <v>43801</v>
      </c>
      <c r="X9497" t="s">
        <v>44770</v>
      </c>
    </row>
    <row r="9498" spans="1:24">
      <c r="A9498">
        <f>HYPERLINK("https://www.philgeps.gov.ph/GEPSNONPILOT/Tender/SplashBidNoticeAbstractUI.aspx?menuIndex=3&amp;refID=7137429&amp;Result=3","7137429")</f>
        <v>0</v>
      </c>
      <c r="B9498" t="s">
        <v>819</v>
      </c>
      <c r="C9498" t="s">
        <v>12768</v>
      </c>
      <c r="D9498" t="s">
        <v>18025</v>
      </c>
      <c r="E9498" t="s">
        <v>26285</v>
      </c>
      <c r="F9498" t="s">
        <v>30900</v>
      </c>
      <c r="G9498" t="s">
        <v>30907</v>
      </c>
      <c r="H9498" t="s">
        <v>30916</v>
      </c>
      <c r="I9498" t="s">
        <v>30921</v>
      </c>
      <c r="J9498" t="s">
        <v>36993</v>
      </c>
      <c r="K9498" t="s">
        <v>40289</v>
      </c>
      <c r="M9498" t="s">
        <v>41390</v>
      </c>
      <c r="N9498" t="s">
        <v>44759</v>
      </c>
      <c r="O9498" t="s">
        <v>44760</v>
      </c>
      <c r="P9498">
        <v>0</v>
      </c>
      <c r="Q9498">
        <v>8</v>
      </c>
      <c r="R9498" t="s">
        <v>44769</v>
      </c>
      <c r="S9498" t="s">
        <v>45044</v>
      </c>
      <c r="T9498" t="s">
        <v>46807</v>
      </c>
      <c r="U9498" t="s">
        <v>54830</v>
      </c>
      <c r="W9498" t="s">
        <v>41390</v>
      </c>
      <c r="X9498" t="s">
        <v>44770</v>
      </c>
    </row>
    <row r="9499" spans="1:24">
      <c r="A9499">
        <f>HYPERLINK("https://www.philgeps.gov.ph/GEPSNONPILOT/Tender/SplashBidNoticeAbstractUI.aspx?menuIndex=3&amp;refID=7137260&amp;Result=3","7137260")</f>
        <v>0</v>
      </c>
      <c r="B9499" t="s">
        <v>810</v>
      </c>
      <c r="C9499" t="s">
        <v>12769</v>
      </c>
      <c r="D9499" t="s">
        <v>18017</v>
      </c>
      <c r="E9499" t="s">
        <v>26286</v>
      </c>
      <c r="F9499" t="s">
        <v>30900</v>
      </c>
      <c r="G9499" t="s">
        <v>30907</v>
      </c>
      <c r="H9499" t="s">
        <v>30916</v>
      </c>
      <c r="I9499" t="s">
        <v>8123</v>
      </c>
      <c r="J9499" t="s">
        <v>36994</v>
      </c>
      <c r="K9499" t="s">
        <v>40286</v>
      </c>
      <c r="M9499" t="s">
        <v>41381</v>
      </c>
      <c r="N9499" t="s">
        <v>44759</v>
      </c>
      <c r="O9499" t="s">
        <v>44760</v>
      </c>
      <c r="P9499">
        <v>0</v>
      </c>
      <c r="Q9499">
        <v>2</v>
      </c>
      <c r="R9499" t="s">
        <v>44769</v>
      </c>
      <c r="S9499" t="s">
        <v>45044</v>
      </c>
      <c r="T9499" t="s">
        <v>46581</v>
      </c>
      <c r="U9499" t="s">
        <v>54831</v>
      </c>
      <c r="W9499" t="s">
        <v>41381</v>
      </c>
      <c r="X9499" t="s">
        <v>44770</v>
      </c>
    </row>
    <row r="9500" spans="1:24">
      <c r="A9500">
        <f>HYPERLINK("https://www.philgeps.gov.ph/GEPSNONPILOT/Tender/SplashBidNoticeAbstractUI.aspx?menuIndex=3&amp;refID=7137421&amp;Result=3","7137421")</f>
        <v>0</v>
      </c>
      <c r="B9500" t="s">
        <v>740</v>
      </c>
      <c r="C9500" t="s">
        <v>12770</v>
      </c>
      <c r="D9500" t="s">
        <v>17974</v>
      </c>
      <c r="E9500" t="s">
        <v>26287</v>
      </c>
      <c r="F9500" t="s">
        <v>30900</v>
      </c>
      <c r="G9500" t="s">
        <v>30907</v>
      </c>
      <c r="H9500" t="s">
        <v>30916</v>
      </c>
      <c r="I9500" t="s">
        <v>10847</v>
      </c>
      <c r="J9500" t="s">
        <v>31211</v>
      </c>
      <c r="K9500" t="s">
        <v>40283</v>
      </c>
      <c r="M9500" t="s">
        <v>41304</v>
      </c>
      <c r="N9500" t="s">
        <v>44759</v>
      </c>
      <c r="O9500" t="s">
        <v>44760</v>
      </c>
      <c r="P9500">
        <v>0</v>
      </c>
      <c r="Q9500">
        <v>1</v>
      </c>
      <c r="R9500" t="s">
        <v>44769</v>
      </c>
      <c r="S9500" t="s">
        <v>45044</v>
      </c>
      <c r="T9500" t="s">
        <v>46606</v>
      </c>
      <c r="U9500" t="s">
        <v>54832</v>
      </c>
      <c r="W9500" t="s">
        <v>41304</v>
      </c>
      <c r="X9500" t="s">
        <v>44770</v>
      </c>
    </row>
    <row r="9501" spans="1:24">
      <c r="A9501">
        <f>HYPERLINK("https://www.philgeps.gov.ph/GEPSNONPILOT/Tender/SplashBidNoticeAbstractUI.aspx?menuIndex=3&amp;refID=7137038&amp;Result=3","7137038")</f>
        <v>0</v>
      </c>
      <c r="B9501" t="s">
        <v>2979</v>
      </c>
      <c r="C9501" t="s">
        <v>12771</v>
      </c>
      <c r="D9501" t="s">
        <v>18021</v>
      </c>
      <c r="E9501" t="s">
        <v>26288</v>
      </c>
      <c r="F9501" t="s">
        <v>30900</v>
      </c>
      <c r="G9501" t="s">
        <v>30908</v>
      </c>
      <c r="H9501" t="s">
        <v>30916</v>
      </c>
      <c r="I9501" t="s">
        <v>6953</v>
      </c>
      <c r="J9501" t="s">
        <v>36995</v>
      </c>
      <c r="K9501" t="s">
        <v>40286</v>
      </c>
      <c r="M9501" t="s">
        <v>43781</v>
      </c>
      <c r="N9501" t="s">
        <v>44759</v>
      </c>
      <c r="O9501" t="s">
        <v>44760</v>
      </c>
      <c r="P9501">
        <v>0</v>
      </c>
      <c r="Q9501">
        <v>0</v>
      </c>
      <c r="R9501" t="s">
        <v>44769</v>
      </c>
      <c r="S9501" t="s">
        <v>45044</v>
      </c>
      <c r="T9501" t="s">
        <v>46383</v>
      </c>
      <c r="U9501" t="s">
        <v>54833</v>
      </c>
      <c r="V9501" t="s">
        <v>60140</v>
      </c>
      <c r="W9501" t="s">
        <v>43781</v>
      </c>
      <c r="X9501" t="s">
        <v>44770</v>
      </c>
    </row>
    <row r="9502" spans="1:24">
      <c r="A9502">
        <f>HYPERLINK("https://www.philgeps.gov.ph/GEPSNONPILOT/Tender/SplashBidNoticeAbstractUI.aspx?menuIndex=3&amp;refID=7137419&amp;Result=3","7137419")</f>
        <v>0</v>
      </c>
      <c r="B9502" t="s">
        <v>2063</v>
      </c>
      <c r="C9502" t="s">
        <v>12772</v>
      </c>
      <c r="D9502" t="s">
        <v>17977</v>
      </c>
      <c r="E9502" t="s">
        <v>26289</v>
      </c>
      <c r="F9502" t="s">
        <v>30900</v>
      </c>
      <c r="G9502" t="s">
        <v>30907</v>
      </c>
      <c r="H9502" t="s">
        <v>30915</v>
      </c>
      <c r="I9502" t="s">
        <v>30919</v>
      </c>
      <c r="J9502" t="s">
        <v>32324</v>
      </c>
      <c r="K9502" t="s">
        <v>40289</v>
      </c>
      <c r="L9502" t="s">
        <v>2063</v>
      </c>
      <c r="M9502" t="s">
        <v>43801</v>
      </c>
      <c r="N9502" t="s">
        <v>44759</v>
      </c>
      <c r="O9502" t="s">
        <v>44760</v>
      </c>
      <c r="P9502">
        <v>0</v>
      </c>
      <c r="Q9502">
        <v>0</v>
      </c>
      <c r="R9502" t="s">
        <v>44769</v>
      </c>
      <c r="S9502" t="s">
        <v>45044</v>
      </c>
      <c r="T9502" t="s">
        <v>46495</v>
      </c>
      <c r="U9502" t="s">
        <v>54829</v>
      </c>
      <c r="V9502" t="s">
        <v>60156</v>
      </c>
      <c r="W9502" t="s">
        <v>43801</v>
      </c>
      <c r="X9502" t="s">
        <v>44770</v>
      </c>
    </row>
    <row r="9503" spans="1:24">
      <c r="A9503">
        <f>HYPERLINK("https://www.philgeps.gov.ph/GEPSNONPILOT/Tender/SplashBidNoticeAbstractUI.aspx?menuIndex=3&amp;refID=7137414&amp;Result=3","7137414")</f>
        <v>0</v>
      </c>
      <c r="B9503" t="s">
        <v>2908</v>
      </c>
      <c r="C9503" t="s">
        <v>12773</v>
      </c>
      <c r="D9503" t="s">
        <v>17998</v>
      </c>
      <c r="E9503" t="s">
        <v>26290</v>
      </c>
      <c r="F9503" t="s">
        <v>30900</v>
      </c>
      <c r="G9503" t="s">
        <v>30908</v>
      </c>
      <c r="H9503" t="s">
        <v>30916</v>
      </c>
      <c r="I9503" t="s">
        <v>30924</v>
      </c>
      <c r="J9503" t="s">
        <v>35610</v>
      </c>
      <c r="K9503" t="s">
        <v>40286</v>
      </c>
      <c r="M9503" t="s">
        <v>43702</v>
      </c>
      <c r="N9503" t="s">
        <v>44759</v>
      </c>
      <c r="O9503" t="s">
        <v>44760</v>
      </c>
      <c r="P9503">
        <v>0</v>
      </c>
      <c r="Q9503">
        <v>0</v>
      </c>
      <c r="R9503" t="s">
        <v>44769</v>
      </c>
      <c r="S9503" t="s">
        <v>45044</v>
      </c>
      <c r="T9503" t="s">
        <v>46383</v>
      </c>
      <c r="U9503" t="s">
        <v>54834</v>
      </c>
      <c r="W9503" t="s">
        <v>43702</v>
      </c>
      <c r="X9503" t="s">
        <v>44770</v>
      </c>
    </row>
    <row r="9504" spans="1:24">
      <c r="A9504">
        <f>HYPERLINK("https://www.philgeps.gov.ph/GEPSNONPILOT/Tender/SplashBidNoticeAbstractUI.aspx?menuIndex=3&amp;refID=7137384&amp;Result=3","7137384")</f>
        <v>0</v>
      </c>
      <c r="B9504" t="s">
        <v>2998</v>
      </c>
      <c r="C9504" t="s">
        <v>12774</v>
      </c>
      <c r="D9504" t="s">
        <v>18000</v>
      </c>
      <c r="E9504" t="s">
        <v>18484</v>
      </c>
      <c r="F9504" t="s">
        <v>30904</v>
      </c>
      <c r="G9504" t="s">
        <v>30909</v>
      </c>
      <c r="H9504" t="s">
        <v>30916</v>
      </c>
      <c r="I9504" t="s">
        <v>30922</v>
      </c>
      <c r="J9504" t="s">
        <v>32734</v>
      </c>
      <c r="K9504" t="s">
        <v>40287</v>
      </c>
      <c r="M9504" t="s">
        <v>43802</v>
      </c>
      <c r="N9504" t="s">
        <v>44759</v>
      </c>
      <c r="O9504" t="s">
        <v>44760</v>
      </c>
      <c r="P9504">
        <v>0</v>
      </c>
      <c r="Q9504">
        <v>1</v>
      </c>
      <c r="R9504" t="s">
        <v>44769</v>
      </c>
      <c r="S9504" t="s">
        <v>45044</v>
      </c>
      <c r="T9504" t="s">
        <v>46625</v>
      </c>
      <c r="U9504" t="s">
        <v>54835</v>
      </c>
      <c r="W9504" t="s">
        <v>43802</v>
      </c>
      <c r="X9504" t="s">
        <v>44770</v>
      </c>
    </row>
    <row r="9505" spans="1:24">
      <c r="A9505">
        <f>HYPERLINK("https://www.philgeps.gov.ph/GEPSNONPILOT/Tender/SplashBidNoticeAbstractUI.aspx?menuIndex=3&amp;refID=7137415&amp;Result=3","7137415")</f>
        <v>0</v>
      </c>
      <c r="B9505" t="s">
        <v>928</v>
      </c>
      <c r="C9505" t="s">
        <v>12775</v>
      </c>
      <c r="D9505" t="s">
        <v>17972</v>
      </c>
      <c r="E9505" t="s">
        <v>25418</v>
      </c>
      <c r="F9505" t="s">
        <v>30900</v>
      </c>
      <c r="G9505" t="s">
        <v>30907</v>
      </c>
      <c r="H9505" t="s">
        <v>30915</v>
      </c>
      <c r="I9505" t="s">
        <v>30919</v>
      </c>
      <c r="J9505" t="s">
        <v>36996</v>
      </c>
      <c r="K9505" t="s">
        <v>40289</v>
      </c>
      <c r="M9505" t="s">
        <v>41510</v>
      </c>
      <c r="N9505" t="s">
        <v>44759</v>
      </c>
      <c r="O9505" t="s">
        <v>44760</v>
      </c>
      <c r="P9505">
        <v>0</v>
      </c>
      <c r="Q9505">
        <v>0</v>
      </c>
      <c r="R9505" t="s">
        <v>44769</v>
      </c>
      <c r="S9505" t="s">
        <v>45044</v>
      </c>
      <c r="T9505" t="s">
        <v>46495</v>
      </c>
      <c r="U9505" t="s">
        <v>54779</v>
      </c>
      <c r="W9505" t="s">
        <v>41510</v>
      </c>
      <c r="X9505" t="s">
        <v>44770</v>
      </c>
    </row>
    <row r="9506" spans="1:24">
      <c r="A9506">
        <f>HYPERLINK("https://www.philgeps.gov.ph/GEPSNONPILOT/Tender/SplashBidNoticeAbstractUI.aspx?menuIndex=3&amp;refID=7137405&amp;Result=3","7137405")</f>
        <v>0</v>
      </c>
      <c r="B9506" t="s">
        <v>1314</v>
      </c>
      <c r="C9506" t="s">
        <v>12776</v>
      </c>
      <c r="D9506" t="s">
        <v>17961</v>
      </c>
      <c r="E9506" t="s">
        <v>26291</v>
      </c>
      <c r="F9506" t="s">
        <v>30900</v>
      </c>
      <c r="G9506" t="s">
        <v>30913</v>
      </c>
      <c r="H9506" t="s">
        <v>30915</v>
      </c>
      <c r="I9506" t="s">
        <v>30919</v>
      </c>
      <c r="J9506" t="s">
        <v>36997</v>
      </c>
      <c r="K9506" t="s">
        <v>40289</v>
      </c>
      <c r="L9506" t="s">
        <v>1314</v>
      </c>
      <c r="M9506" t="s">
        <v>41932</v>
      </c>
      <c r="N9506" t="s">
        <v>44759</v>
      </c>
      <c r="O9506" t="s">
        <v>44760</v>
      </c>
      <c r="P9506">
        <v>0</v>
      </c>
      <c r="Q9506">
        <v>4</v>
      </c>
      <c r="R9506" t="s">
        <v>44769</v>
      </c>
      <c r="S9506" t="s">
        <v>45044</v>
      </c>
      <c r="T9506" t="s">
        <v>46544</v>
      </c>
      <c r="U9506" t="s">
        <v>54836</v>
      </c>
      <c r="W9506" t="s">
        <v>41932</v>
      </c>
      <c r="X9506" t="s">
        <v>44770</v>
      </c>
    </row>
    <row r="9507" spans="1:24">
      <c r="A9507">
        <f>HYPERLINK("https://www.philgeps.gov.ph/GEPSNONPILOT/Tender/SplashBidNoticeAbstractUI.aspx?menuIndex=3&amp;refID=7137398&amp;Result=3","7137398")</f>
        <v>0</v>
      </c>
      <c r="B9507" t="s">
        <v>2063</v>
      </c>
      <c r="C9507" t="s">
        <v>12777</v>
      </c>
      <c r="D9507" t="s">
        <v>17977</v>
      </c>
      <c r="E9507" t="s">
        <v>26292</v>
      </c>
      <c r="F9507" t="s">
        <v>30900</v>
      </c>
      <c r="G9507" t="s">
        <v>30907</v>
      </c>
      <c r="H9507" t="s">
        <v>30915</v>
      </c>
      <c r="I9507" t="s">
        <v>30919</v>
      </c>
      <c r="J9507" t="s">
        <v>31214</v>
      </c>
      <c r="K9507" t="s">
        <v>40289</v>
      </c>
      <c r="L9507" t="s">
        <v>2063</v>
      </c>
      <c r="M9507" t="s">
        <v>43801</v>
      </c>
      <c r="N9507" t="s">
        <v>44759</v>
      </c>
      <c r="O9507" t="s">
        <v>44760</v>
      </c>
      <c r="P9507">
        <v>0</v>
      </c>
      <c r="Q9507">
        <v>0</v>
      </c>
      <c r="R9507" t="s">
        <v>44769</v>
      </c>
      <c r="S9507" t="s">
        <v>45044</v>
      </c>
      <c r="T9507" t="s">
        <v>46495</v>
      </c>
      <c r="U9507" t="s">
        <v>54829</v>
      </c>
      <c r="V9507" t="s">
        <v>60156</v>
      </c>
      <c r="W9507" t="s">
        <v>43801</v>
      </c>
      <c r="X9507" t="s">
        <v>44770</v>
      </c>
    </row>
    <row r="9508" spans="1:24">
      <c r="A9508">
        <f>HYPERLINK("https://www.philgeps.gov.ph/GEPSNONPILOT/Tender/SplashBidNoticeAbstractUI.aspx?menuIndex=3&amp;refID=7137371&amp;Result=3","7137371")</f>
        <v>0</v>
      </c>
      <c r="B9508" t="s">
        <v>704</v>
      </c>
      <c r="C9508" t="s">
        <v>12778</v>
      </c>
      <c r="D9508" t="s">
        <v>17987</v>
      </c>
      <c r="E9508" t="s">
        <v>26293</v>
      </c>
      <c r="F9508" t="s">
        <v>30900</v>
      </c>
      <c r="G9508" t="s">
        <v>30908</v>
      </c>
      <c r="H9508" t="s">
        <v>30916</v>
      </c>
      <c r="I9508" t="s">
        <v>4050</v>
      </c>
      <c r="J9508" t="s">
        <v>31139</v>
      </c>
      <c r="K9508" t="s">
        <v>40283</v>
      </c>
      <c r="M9508" t="s">
        <v>42242</v>
      </c>
      <c r="N9508" t="s">
        <v>44759</v>
      </c>
      <c r="O9508" t="s">
        <v>44760</v>
      </c>
      <c r="P9508">
        <v>0</v>
      </c>
      <c r="Q9508">
        <v>1</v>
      </c>
      <c r="R9508" t="s">
        <v>44769</v>
      </c>
      <c r="S9508" t="s">
        <v>45044</v>
      </c>
      <c r="T9508" t="s">
        <v>46662</v>
      </c>
      <c r="U9508" t="s">
        <v>54837</v>
      </c>
      <c r="W9508" t="s">
        <v>42242</v>
      </c>
      <c r="X9508" t="s">
        <v>44770</v>
      </c>
    </row>
    <row r="9509" spans="1:24">
      <c r="A9509">
        <f>HYPERLINK("https://www.philgeps.gov.ph/GEPSNONPILOT/Tender/SplashBidNoticeAbstractUI.aspx?menuIndex=3&amp;refID=7137370&amp;Result=3","7137370")</f>
        <v>0</v>
      </c>
      <c r="B9509" t="s">
        <v>810</v>
      </c>
      <c r="C9509" t="s">
        <v>12779</v>
      </c>
      <c r="D9509" t="s">
        <v>18017</v>
      </c>
      <c r="E9509" t="s">
        <v>26294</v>
      </c>
      <c r="F9509" t="s">
        <v>30900</v>
      </c>
      <c r="G9509" t="s">
        <v>30907</v>
      </c>
      <c r="H9509" t="s">
        <v>30916</v>
      </c>
      <c r="I9509" t="s">
        <v>8123</v>
      </c>
      <c r="J9509" t="s">
        <v>36998</v>
      </c>
      <c r="K9509" t="s">
        <v>40286</v>
      </c>
      <c r="M9509" t="s">
        <v>41381</v>
      </c>
      <c r="N9509" t="s">
        <v>44759</v>
      </c>
      <c r="O9509" t="s">
        <v>44760</v>
      </c>
      <c r="P9509">
        <v>0</v>
      </c>
      <c r="Q9509">
        <v>1</v>
      </c>
      <c r="R9509" t="s">
        <v>44769</v>
      </c>
      <c r="S9509" t="s">
        <v>45044</v>
      </c>
      <c r="T9509" t="s">
        <v>46581</v>
      </c>
      <c r="U9509" t="s">
        <v>54838</v>
      </c>
      <c r="W9509" t="s">
        <v>41381</v>
      </c>
      <c r="X9509" t="s">
        <v>44770</v>
      </c>
    </row>
    <row r="9510" spans="1:24">
      <c r="A9510">
        <f>HYPERLINK("https://www.philgeps.gov.ph/GEPSNONPILOT/Tender/SplashBidNoticeAbstractUI.aspx?menuIndex=3&amp;refID=7137365&amp;Result=3","7137365")</f>
        <v>0</v>
      </c>
      <c r="B9510" t="s">
        <v>869</v>
      </c>
      <c r="C9510" t="s">
        <v>12780</v>
      </c>
      <c r="D9510" t="s">
        <v>17988</v>
      </c>
      <c r="E9510" t="s">
        <v>26295</v>
      </c>
      <c r="F9510" t="s">
        <v>30900</v>
      </c>
      <c r="G9510" t="s">
        <v>30907</v>
      </c>
      <c r="H9510" t="s">
        <v>30915</v>
      </c>
      <c r="I9510" t="s">
        <v>30919</v>
      </c>
      <c r="J9510" t="s">
        <v>36999</v>
      </c>
      <c r="K9510" t="s">
        <v>40325</v>
      </c>
      <c r="M9510" t="s">
        <v>41442</v>
      </c>
      <c r="N9510" t="s">
        <v>44759</v>
      </c>
      <c r="O9510" t="s">
        <v>44760</v>
      </c>
      <c r="P9510">
        <v>0</v>
      </c>
      <c r="Q9510">
        <v>0</v>
      </c>
      <c r="R9510" t="s">
        <v>44769</v>
      </c>
      <c r="S9510" t="s">
        <v>45044</v>
      </c>
      <c r="T9510" t="s">
        <v>46581</v>
      </c>
      <c r="U9510" t="s">
        <v>54839</v>
      </c>
      <c r="W9510" t="s">
        <v>41442</v>
      </c>
      <c r="X9510" t="s">
        <v>44770</v>
      </c>
    </row>
    <row r="9511" spans="1:24">
      <c r="A9511">
        <f>HYPERLINK("https://www.philgeps.gov.ph/GEPSNONPILOT/Tender/SplashBidNoticeAbstractUI.aspx?menuIndex=3&amp;refID=7137413&amp;Result=3","7137413")</f>
        <v>0</v>
      </c>
      <c r="B9511" t="s">
        <v>2391</v>
      </c>
      <c r="C9511" t="s">
        <v>12781</v>
      </c>
      <c r="D9511" t="s">
        <v>17994</v>
      </c>
      <c r="E9511" t="s">
        <v>26296</v>
      </c>
      <c r="F9511" t="s">
        <v>30900</v>
      </c>
      <c r="G9511" t="s">
        <v>30907</v>
      </c>
      <c r="H9511" t="s">
        <v>30916</v>
      </c>
      <c r="I9511" t="s">
        <v>30933</v>
      </c>
      <c r="J9511" t="s">
        <v>37000</v>
      </c>
      <c r="K9511" t="s">
        <v>40286</v>
      </c>
      <c r="M9511" t="s">
        <v>43117</v>
      </c>
      <c r="N9511" t="s">
        <v>44759</v>
      </c>
      <c r="O9511" t="s">
        <v>44760</v>
      </c>
      <c r="P9511">
        <v>0</v>
      </c>
      <c r="Q9511">
        <v>1</v>
      </c>
      <c r="R9511" t="s">
        <v>44769</v>
      </c>
      <c r="S9511" t="s">
        <v>45044</v>
      </c>
      <c r="T9511" t="s">
        <v>46488</v>
      </c>
      <c r="U9511" t="s">
        <v>54840</v>
      </c>
      <c r="W9511" t="s">
        <v>43117</v>
      </c>
      <c r="X9511" t="s">
        <v>44770</v>
      </c>
    </row>
    <row r="9512" spans="1:24">
      <c r="A9512">
        <f>HYPERLINK("https://www.philgeps.gov.ph/GEPSNONPILOT/Tender/SplashBidNoticeAbstractUI.aspx?menuIndex=3&amp;refID=7137363&amp;Result=3","7137363")</f>
        <v>0</v>
      </c>
      <c r="B9512" t="s">
        <v>1314</v>
      </c>
      <c r="C9512" t="s">
        <v>12782</v>
      </c>
      <c r="D9512" t="s">
        <v>18019</v>
      </c>
      <c r="E9512" t="s">
        <v>26297</v>
      </c>
      <c r="F9512" t="s">
        <v>30900</v>
      </c>
      <c r="G9512" t="s">
        <v>30913</v>
      </c>
      <c r="H9512" t="s">
        <v>30915</v>
      </c>
      <c r="I9512" t="s">
        <v>30919</v>
      </c>
      <c r="J9512" t="s">
        <v>34719</v>
      </c>
      <c r="K9512" t="s">
        <v>40289</v>
      </c>
      <c r="L9512" t="s">
        <v>1314</v>
      </c>
      <c r="M9512" t="s">
        <v>41932</v>
      </c>
      <c r="N9512" t="s">
        <v>44759</v>
      </c>
      <c r="O9512" t="s">
        <v>44760</v>
      </c>
      <c r="P9512">
        <v>0</v>
      </c>
      <c r="Q9512">
        <v>2</v>
      </c>
      <c r="R9512" t="s">
        <v>44769</v>
      </c>
      <c r="S9512" t="s">
        <v>45044</v>
      </c>
      <c r="T9512" t="s">
        <v>46544</v>
      </c>
      <c r="U9512" t="s">
        <v>54841</v>
      </c>
      <c r="W9512" t="s">
        <v>41932</v>
      </c>
      <c r="X9512" t="s">
        <v>44770</v>
      </c>
    </row>
    <row r="9513" spans="1:24">
      <c r="A9513">
        <f>HYPERLINK("https://www.philgeps.gov.ph/GEPSNONPILOT/Tender/SplashBidNoticeAbstractUI.aspx?menuIndex=3&amp;refID=7137234&amp;Result=3","7137234")</f>
        <v>0</v>
      </c>
      <c r="B9513" t="s">
        <v>704</v>
      </c>
      <c r="C9513" t="s">
        <v>12783</v>
      </c>
      <c r="D9513" t="s">
        <v>17987</v>
      </c>
      <c r="E9513" t="s">
        <v>26298</v>
      </c>
      <c r="F9513" t="s">
        <v>30900</v>
      </c>
      <c r="G9513" t="s">
        <v>30908</v>
      </c>
      <c r="H9513" t="s">
        <v>30916</v>
      </c>
      <c r="I9513" t="s">
        <v>30942</v>
      </c>
      <c r="J9513" t="s">
        <v>37001</v>
      </c>
      <c r="K9513" t="s">
        <v>40283</v>
      </c>
      <c r="M9513" t="s">
        <v>42242</v>
      </c>
      <c r="N9513" t="s">
        <v>44759</v>
      </c>
      <c r="O9513" t="s">
        <v>44760</v>
      </c>
      <c r="P9513">
        <v>0</v>
      </c>
      <c r="Q9513">
        <v>0</v>
      </c>
      <c r="R9513" t="s">
        <v>44769</v>
      </c>
      <c r="S9513" t="s">
        <v>45044</v>
      </c>
      <c r="T9513" t="s">
        <v>46662</v>
      </c>
      <c r="U9513" t="s">
        <v>54842</v>
      </c>
      <c r="W9513" t="s">
        <v>42242</v>
      </c>
      <c r="X9513" t="s">
        <v>44770</v>
      </c>
    </row>
    <row r="9514" spans="1:24">
      <c r="A9514">
        <f>HYPERLINK("https://www.philgeps.gov.ph/GEPSNONPILOT/Tender/SplashBidNoticeAbstractUI.aspx?menuIndex=3&amp;refID=7137496&amp;Result=3","7137496")</f>
        <v>0</v>
      </c>
      <c r="B9514" t="s">
        <v>2616</v>
      </c>
      <c r="C9514" t="s">
        <v>12784</v>
      </c>
      <c r="E9514" t="s">
        <v>26299</v>
      </c>
      <c r="F9514" t="s">
        <v>30900</v>
      </c>
      <c r="G9514" t="s">
        <v>30907</v>
      </c>
      <c r="H9514" t="s">
        <v>30916</v>
      </c>
      <c r="I9514" t="s">
        <v>4108</v>
      </c>
      <c r="J9514" t="s">
        <v>31077</v>
      </c>
      <c r="K9514" t="s">
        <v>40289</v>
      </c>
      <c r="M9514" t="s">
        <v>43380</v>
      </c>
      <c r="N9514" t="s">
        <v>44759</v>
      </c>
      <c r="O9514" t="s">
        <v>44760</v>
      </c>
      <c r="P9514">
        <v>0</v>
      </c>
      <c r="Q9514">
        <v>1</v>
      </c>
      <c r="R9514" t="s">
        <v>44769</v>
      </c>
      <c r="S9514" t="s">
        <v>45044</v>
      </c>
      <c r="T9514" t="s">
        <v>46406</v>
      </c>
      <c r="U9514" t="s">
        <v>54843</v>
      </c>
      <c r="W9514" t="s">
        <v>43380</v>
      </c>
      <c r="X9514" t="s">
        <v>44770</v>
      </c>
    </row>
    <row r="9515" spans="1:24">
      <c r="A9515">
        <f>HYPERLINK("https://www.philgeps.gov.ph/GEPSNONPILOT/Tender/SplashBidNoticeAbstractUI.aspx?menuIndex=3&amp;refID=7137493&amp;Result=3","7137493")</f>
        <v>0</v>
      </c>
      <c r="B9515" t="s">
        <v>2999</v>
      </c>
      <c r="C9515" t="s">
        <v>12785</v>
      </c>
      <c r="D9515" t="s">
        <v>17963</v>
      </c>
      <c r="E9515" t="s">
        <v>26300</v>
      </c>
      <c r="F9515" t="s">
        <v>30900</v>
      </c>
      <c r="G9515" t="s">
        <v>30907</v>
      </c>
      <c r="H9515" t="s">
        <v>30915</v>
      </c>
      <c r="I9515" t="s">
        <v>30919</v>
      </c>
      <c r="J9515" t="s">
        <v>32560</v>
      </c>
      <c r="K9515" t="s">
        <v>40312</v>
      </c>
      <c r="M9515" t="s">
        <v>43803</v>
      </c>
      <c r="N9515" t="s">
        <v>44759</v>
      </c>
      <c r="O9515" t="s">
        <v>44760</v>
      </c>
      <c r="P9515">
        <v>0</v>
      </c>
      <c r="Q9515">
        <v>0</v>
      </c>
      <c r="R9515" t="s">
        <v>44769</v>
      </c>
      <c r="S9515" t="s">
        <v>45044</v>
      </c>
      <c r="T9515" t="s">
        <v>46395</v>
      </c>
      <c r="U9515" t="s">
        <v>54844</v>
      </c>
      <c r="V9515" t="s">
        <v>47619</v>
      </c>
      <c r="W9515" t="s">
        <v>43803</v>
      </c>
      <c r="X9515" t="s">
        <v>44770</v>
      </c>
    </row>
    <row r="9516" spans="1:24">
      <c r="A9516">
        <f>HYPERLINK("https://www.philgeps.gov.ph/GEPSNONPILOT/Tender/SplashBidNoticeAbstractUI.aspx?menuIndex=3&amp;refID=7137488&amp;Result=3","7137488")</f>
        <v>0</v>
      </c>
      <c r="B9516" t="s">
        <v>810</v>
      </c>
      <c r="C9516" t="s">
        <v>12786</v>
      </c>
      <c r="D9516" t="s">
        <v>18017</v>
      </c>
      <c r="E9516" t="s">
        <v>26301</v>
      </c>
      <c r="F9516" t="s">
        <v>30900</v>
      </c>
      <c r="G9516" t="s">
        <v>30907</v>
      </c>
      <c r="H9516" t="s">
        <v>30916</v>
      </c>
      <c r="I9516" t="s">
        <v>8123</v>
      </c>
      <c r="J9516" t="s">
        <v>37002</v>
      </c>
      <c r="K9516" t="s">
        <v>40286</v>
      </c>
      <c r="M9516" t="s">
        <v>41381</v>
      </c>
      <c r="N9516" t="s">
        <v>44759</v>
      </c>
      <c r="O9516" t="s">
        <v>44760</v>
      </c>
      <c r="P9516">
        <v>0</v>
      </c>
      <c r="Q9516">
        <v>1</v>
      </c>
      <c r="R9516" t="s">
        <v>44769</v>
      </c>
      <c r="S9516" t="s">
        <v>45044</v>
      </c>
      <c r="T9516" t="s">
        <v>46581</v>
      </c>
      <c r="U9516" t="s">
        <v>54845</v>
      </c>
      <c r="W9516" t="s">
        <v>41381</v>
      </c>
      <c r="X9516" t="s">
        <v>44770</v>
      </c>
    </row>
    <row r="9517" spans="1:24">
      <c r="A9517">
        <f>HYPERLINK("https://www.philgeps.gov.ph/GEPSNONPILOT/Tender/SplashBidNoticeAbstractUI.aspx?menuIndex=3&amp;refID=7137244&amp;Result=3","7137244")</f>
        <v>0</v>
      </c>
      <c r="B9517" t="s">
        <v>3000</v>
      </c>
      <c r="C9517" t="s">
        <v>12787</v>
      </c>
      <c r="D9517" t="s">
        <v>18009</v>
      </c>
      <c r="E9517" t="s">
        <v>26302</v>
      </c>
      <c r="F9517" t="s">
        <v>30900</v>
      </c>
      <c r="G9517" t="s">
        <v>30907</v>
      </c>
      <c r="H9517" t="s">
        <v>30916</v>
      </c>
      <c r="I9517" t="s">
        <v>6953</v>
      </c>
      <c r="J9517" t="s">
        <v>37003</v>
      </c>
      <c r="K9517" t="s">
        <v>40286</v>
      </c>
      <c r="M9517" t="s">
        <v>43804</v>
      </c>
      <c r="N9517" t="s">
        <v>44759</v>
      </c>
      <c r="O9517" t="s">
        <v>44760</v>
      </c>
      <c r="P9517">
        <v>0</v>
      </c>
      <c r="Q9517">
        <v>2</v>
      </c>
      <c r="R9517" t="s">
        <v>44769</v>
      </c>
      <c r="S9517" t="s">
        <v>45044</v>
      </c>
      <c r="T9517" t="s">
        <v>46472</v>
      </c>
      <c r="U9517" t="s">
        <v>54846</v>
      </c>
      <c r="W9517" t="s">
        <v>43804</v>
      </c>
      <c r="X9517" t="s">
        <v>44770</v>
      </c>
    </row>
    <row r="9518" spans="1:24">
      <c r="A9518">
        <f>HYPERLINK("https://www.philgeps.gov.ph/GEPSNONPILOT/Tender/SplashBidNoticeAbstractUI.aspx?menuIndex=3&amp;refID=7137487&amp;Result=3","7137487")</f>
        <v>0</v>
      </c>
      <c r="B9518" t="s">
        <v>3001</v>
      </c>
      <c r="C9518" t="s">
        <v>12788</v>
      </c>
      <c r="D9518" t="s">
        <v>18016</v>
      </c>
      <c r="E9518" t="s">
        <v>24670</v>
      </c>
      <c r="F9518" t="s">
        <v>30900</v>
      </c>
      <c r="G9518" t="s">
        <v>30907</v>
      </c>
      <c r="H9518" t="s">
        <v>30915</v>
      </c>
      <c r="I9518" t="s">
        <v>30919</v>
      </c>
      <c r="J9518" t="s">
        <v>31101</v>
      </c>
      <c r="K9518" t="s">
        <v>40280</v>
      </c>
      <c r="M9518" t="s">
        <v>43805</v>
      </c>
      <c r="N9518" t="s">
        <v>44759</v>
      </c>
      <c r="O9518" t="s">
        <v>44760</v>
      </c>
      <c r="P9518">
        <v>0</v>
      </c>
      <c r="Q9518">
        <v>0</v>
      </c>
      <c r="R9518" t="s">
        <v>44769</v>
      </c>
      <c r="S9518" t="s">
        <v>45044</v>
      </c>
      <c r="T9518" t="s">
        <v>46662</v>
      </c>
      <c r="U9518" t="s">
        <v>54847</v>
      </c>
      <c r="W9518" t="s">
        <v>43805</v>
      </c>
      <c r="X9518" t="s">
        <v>44770</v>
      </c>
    </row>
    <row r="9519" spans="1:24">
      <c r="A9519">
        <f>HYPERLINK("https://www.philgeps.gov.ph/GEPSNONPILOT/Tender/SplashBidNoticeAbstractUI.aspx?menuIndex=3&amp;refID=7137367&amp;Result=3","7137367")</f>
        <v>0</v>
      </c>
      <c r="B9519" t="s">
        <v>2063</v>
      </c>
      <c r="C9519" t="s">
        <v>12789</v>
      </c>
      <c r="D9519" t="s">
        <v>17977</v>
      </c>
      <c r="E9519" t="s">
        <v>26303</v>
      </c>
      <c r="F9519" t="s">
        <v>30900</v>
      </c>
      <c r="G9519" t="s">
        <v>30907</v>
      </c>
      <c r="H9519" t="s">
        <v>30915</v>
      </c>
      <c r="I9519" t="s">
        <v>30919</v>
      </c>
      <c r="J9519" t="s">
        <v>31391</v>
      </c>
      <c r="K9519" t="s">
        <v>40289</v>
      </c>
      <c r="L9519" t="s">
        <v>2063</v>
      </c>
      <c r="M9519" t="s">
        <v>43801</v>
      </c>
      <c r="N9519" t="s">
        <v>44759</v>
      </c>
      <c r="O9519" t="s">
        <v>44760</v>
      </c>
      <c r="P9519">
        <v>0</v>
      </c>
      <c r="Q9519">
        <v>0</v>
      </c>
      <c r="R9519" t="s">
        <v>44769</v>
      </c>
      <c r="S9519" t="s">
        <v>45044</v>
      </c>
      <c r="T9519" t="s">
        <v>46495</v>
      </c>
      <c r="U9519" t="s">
        <v>54829</v>
      </c>
      <c r="V9519" t="s">
        <v>60156</v>
      </c>
      <c r="W9519" t="s">
        <v>43801</v>
      </c>
      <c r="X9519" t="s">
        <v>44770</v>
      </c>
    </row>
    <row r="9520" spans="1:24">
      <c r="A9520">
        <f>HYPERLINK("https://www.philgeps.gov.ph/GEPSNONPILOT/Tender/SplashBidNoticeAbstractUI.aspx?menuIndex=3&amp;refID=7137474&amp;Result=3","7137474")</f>
        <v>0</v>
      </c>
      <c r="B9520" t="s">
        <v>2672</v>
      </c>
      <c r="C9520" t="s">
        <v>12790</v>
      </c>
      <c r="D9520" t="s">
        <v>17998</v>
      </c>
      <c r="E9520" t="s">
        <v>26304</v>
      </c>
      <c r="F9520" t="s">
        <v>30900</v>
      </c>
      <c r="G9520" t="s">
        <v>30907</v>
      </c>
      <c r="H9520" t="s">
        <v>30916</v>
      </c>
      <c r="I9520" t="s">
        <v>5501</v>
      </c>
      <c r="J9520" t="s">
        <v>37004</v>
      </c>
      <c r="K9520" t="s">
        <v>40284</v>
      </c>
      <c r="M9520" t="s">
        <v>43442</v>
      </c>
      <c r="N9520" t="s">
        <v>44759</v>
      </c>
      <c r="O9520" t="s">
        <v>44760</v>
      </c>
      <c r="P9520">
        <v>0</v>
      </c>
      <c r="Q9520">
        <v>1</v>
      </c>
      <c r="R9520" t="s">
        <v>44769</v>
      </c>
      <c r="S9520" t="s">
        <v>45044</v>
      </c>
      <c r="T9520" t="s">
        <v>46531</v>
      </c>
      <c r="U9520" t="s">
        <v>54848</v>
      </c>
      <c r="W9520" t="s">
        <v>43442</v>
      </c>
      <c r="X9520" t="s">
        <v>44770</v>
      </c>
    </row>
    <row r="9521" spans="1:24">
      <c r="A9521">
        <f>HYPERLINK("https://www.philgeps.gov.ph/GEPSNONPILOT/Tender/SplashBidNoticeAbstractUI.aspx?menuIndex=3&amp;refID=7137379&amp;Result=3","7137379")</f>
        <v>0</v>
      </c>
      <c r="B9521" t="s">
        <v>286</v>
      </c>
      <c r="C9521" t="s">
        <v>12791</v>
      </c>
      <c r="D9521" t="s">
        <v>17977</v>
      </c>
      <c r="E9521" t="s">
        <v>19079</v>
      </c>
      <c r="F9521" t="s">
        <v>30900</v>
      </c>
      <c r="G9521" t="s">
        <v>30907</v>
      </c>
      <c r="H9521" t="s">
        <v>30916</v>
      </c>
      <c r="I9521" t="s">
        <v>30924</v>
      </c>
      <c r="J9521" t="s">
        <v>37005</v>
      </c>
      <c r="K9521" t="s">
        <v>40286</v>
      </c>
      <c r="M9521" t="s">
        <v>40834</v>
      </c>
      <c r="N9521" t="s">
        <v>44759</v>
      </c>
      <c r="O9521" t="s">
        <v>44760</v>
      </c>
      <c r="P9521">
        <v>0</v>
      </c>
      <c r="Q9521">
        <v>7</v>
      </c>
      <c r="R9521" t="s">
        <v>44769</v>
      </c>
      <c r="S9521" t="s">
        <v>45044</v>
      </c>
      <c r="T9521" t="s">
        <v>46625</v>
      </c>
      <c r="U9521" t="s">
        <v>54849</v>
      </c>
      <c r="V9521" t="s">
        <v>60157</v>
      </c>
      <c r="W9521" t="s">
        <v>40834</v>
      </c>
      <c r="X9521" t="s">
        <v>44770</v>
      </c>
    </row>
    <row r="9522" spans="1:24">
      <c r="A9522">
        <f>HYPERLINK("https://www.philgeps.gov.ph/GEPSNONPILOT/Tender/SplashBidNoticeAbstractUI.aspx?menuIndex=3&amp;refID=7137471&amp;Result=3","7137471")</f>
        <v>0</v>
      </c>
      <c r="B9522" t="s">
        <v>2908</v>
      </c>
      <c r="C9522" t="s">
        <v>12792</v>
      </c>
      <c r="D9522" t="s">
        <v>17998</v>
      </c>
      <c r="E9522" t="s">
        <v>26305</v>
      </c>
      <c r="F9522" t="s">
        <v>30900</v>
      </c>
      <c r="G9522" t="s">
        <v>30908</v>
      </c>
      <c r="H9522" t="s">
        <v>30916</v>
      </c>
      <c r="I9522" t="s">
        <v>30924</v>
      </c>
      <c r="J9522" t="s">
        <v>35846</v>
      </c>
      <c r="K9522" t="s">
        <v>40286</v>
      </c>
      <c r="M9522" t="s">
        <v>43702</v>
      </c>
      <c r="N9522" t="s">
        <v>44759</v>
      </c>
      <c r="O9522" t="s">
        <v>44760</v>
      </c>
      <c r="P9522">
        <v>0</v>
      </c>
      <c r="Q9522">
        <v>1</v>
      </c>
      <c r="R9522" t="s">
        <v>44769</v>
      </c>
      <c r="S9522" t="s">
        <v>45044</v>
      </c>
      <c r="T9522" t="s">
        <v>46383</v>
      </c>
      <c r="U9522" t="s">
        <v>54850</v>
      </c>
      <c r="W9522" t="s">
        <v>43702</v>
      </c>
      <c r="X9522" t="s">
        <v>44770</v>
      </c>
    </row>
    <row r="9523" spans="1:24">
      <c r="A9523">
        <f>HYPERLINK("https://www.philgeps.gov.ph/GEPSNONPILOT/Tender/SplashBidNoticeAbstractUI.aspx?menuIndex=3&amp;refID=7137467&amp;Result=3","7137467")</f>
        <v>0</v>
      </c>
      <c r="B9523" t="s">
        <v>2063</v>
      </c>
      <c r="C9523" t="s">
        <v>12793</v>
      </c>
      <c r="D9523" t="s">
        <v>17977</v>
      </c>
      <c r="E9523" t="s">
        <v>26306</v>
      </c>
      <c r="F9523" t="s">
        <v>30900</v>
      </c>
      <c r="G9523" t="s">
        <v>30907</v>
      </c>
      <c r="H9523" t="s">
        <v>30915</v>
      </c>
      <c r="I9523" t="s">
        <v>30919</v>
      </c>
      <c r="J9523" t="s">
        <v>37006</v>
      </c>
      <c r="K9523" t="s">
        <v>40289</v>
      </c>
      <c r="L9523" t="s">
        <v>2063</v>
      </c>
      <c r="M9523" t="s">
        <v>43801</v>
      </c>
      <c r="N9523" t="s">
        <v>44759</v>
      </c>
      <c r="O9523" t="s">
        <v>44760</v>
      </c>
      <c r="P9523">
        <v>0</v>
      </c>
      <c r="Q9523">
        <v>0</v>
      </c>
      <c r="R9523" t="s">
        <v>44769</v>
      </c>
      <c r="S9523" t="s">
        <v>45044</v>
      </c>
      <c r="T9523" t="s">
        <v>46495</v>
      </c>
      <c r="U9523" t="s">
        <v>54829</v>
      </c>
      <c r="V9523" t="s">
        <v>60156</v>
      </c>
      <c r="W9523" t="s">
        <v>43801</v>
      </c>
      <c r="X9523" t="s">
        <v>44770</v>
      </c>
    </row>
    <row r="9524" spans="1:24">
      <c r="A9524">
        <f>HYPERLINK("https://www.philgeps.gov.ph/GEPSNONPILOT/Tender/SplashBidNoticeAbstractUI.aspx?menuIndex=3&amp;refID=7136858&amp;Result=3","7136858")</f>
        <v>0</v>
      </c>
      <c r="B9524" t="s">
        <v>468</v>
      </c>
      <c r="C9524" t="s">
        <v>12794</v>
      </c>
      <c r="E9524" t="s">
        <v>26307</v>
      </c>
      <c r="F9524" t="s">
        <v>30900</v>
      </c>
      <c r="G9524" t="s">
        <v>30907</v>
      </c>
      <c r="H9524" t="s">
        <v>30916</v>
      </c>
      <c r="I9524" t="s">
        <v>30923</v>
      </c>
      <c r="J9524" t="s">
        <v>37007</v>
      </c>
      <c r="K9524" t="s">
        <v>40289</v>
      </c>
      <c r="M9524" t="s">
        <v>41026</v>
      </c>
      <c r="N9524" t="s">
        <v>44759</v>
      </c>
      <c r="O9524" t="s">
        <v>44760</v>
      </c>
      <c r="P9524">
        <v>0</v>
      </c>
      <c r="Q9524">
        <v>8</v>
      </c>
      <c r="R9524" t="s">
        <v>44769</v>
      </c>
      <c r="S9524" t="s">
        <v>45044</v>
      </c>
      <c r="T9524" t="s">
        <v>46662</v>
      </c>
      <c r="U9524" t="s">
        <v>47714</v>
      </c>
      <c r="W9524" t="s">
        <v>41026</v>
      </c>
      <c r="X9524" t="s">
        <v>44770</v>
      </c>
    </row>
    <row r="9525" spans="1:24">
      <c r="A9525">
        <f>HYPERLINK("https://www.philgeps.gov.ph/GEPSNONPILOT/Tender/SplashBidNoticeAbstractUI.aspx?menuIndex=3&amp;refID=7137456&amp;Result=3","7137456")</f>
        <v>0</v>
      </c>
      <c r="B9525" t="s">
        <v>2704</v>
      </c>
      <c r="C9525" t="s">
        <v>12795</v>
      </c>
      <c r="D9525" t="s">
        <v>17974</v>
      </c>
      <c r="E9525" t="s">
        <v>24671</v>
      </c>
      <c r="F9525" t="s">
        <v>30900</v>
      </c>
      <c r="G9525" t="s">
        <v>30907</v>
      </c>
      <c r="H9525" t="s">
        <v>30915</v>
      </c>
      <c r="I9525" t="s">
        <v>30919</v>
      </c>
      <c r="J9525" t="s">
        <v>37008</v>
      </c>
      <c r="K9525" t="s">
        <v>40476</v>
      </c>
      <c r="M9525" t="s">
        <v>43477</v>
      </c>
      <c r="N9525" t="s">
        <v>44759</v>
      </c>
      <c r="O9525" t="s">
        <v>44760</v>
      </c>
      <c r="P9525">
        <v>0</v>
      </c>
      <c r="Q9525">
        <v>1</v>
      </c>
      <c r="R9525" t="s">
        <v>44769</v>
      </c>
      <c r="S9525" t="s">
        <v>45044</v>
      </c>
      <c r="T9525" t="s">
        <v>46807</v>
      </c>
      <c r="U9525" t="s">
        <v>54851</v>
      </c>
      <c r="W9525" t="s">
        <v>43477</v>
      </c>
      <c r="X9525" t="s">
        <v>44770</v>
      </c>
    </row>
    <row r="9526" spans="1:24">
      <c r="A9526">
        <f>HYPERLINK("https://www.philgeps.gov.ph/GEPSNONPILOT/Tender/SplashBidNoticeAbstractUI.aspx?menuIndex=3&amp;refID=7137448&amp;Result=3","7137448")</f>
        <v>0</v>
      </c>
      <c r="B9526" t="s">
        <v>2963</v>
      </c>
      <c r="C9526" t="s">
        <v>12796</v>
      </c>
      <c r="D9526" t="s">
        <v>17960</v>
      </c>
      <c r="E9526" t="s">
        <v>26178</v>
      </c>
      <c r="F9526" t="s">
        <v>30900</v>
      </c>
      <c r="G9526" t="s">
        <v>30907</v>
      </c>
      <c r="H9526" t="s">
        <v>30915</v>
      </c>
      <c r="I9526" t="s">
        <v>30919</v>
      </c>
      <c r="J9526" t="s">
        <v>37009</v>
      </c>
      <c r="K9526" t="s">
        <v>40292</v>
      </c>
      <c r="M9526" t="s">
        <v>43764</v>
      </c>
      <c r="N9526" t="s">
        <v>44759</v>
      </c>
      <c r="O9526" t="s">
        <v>44760</v>
      </c>
      <c r="Q9526">
        <v>6</v>
      </c>
      <c r="R9526" t="s">
        <v>44769</v>
      </c>
      <c r="S9526" t="s">
        <v>45070</v>
      </c>
      <c r="T9526" t="s">
        <v>46472</v>
      </c>
      <c r="U9526" t="s">
        <v>54722</v>
      </c>
      <c r="W9526" t="s">
        <v>43764</v>
      </c>
      <c r="X9526" t="s">
        <v>44770</v>
      </c>
    </row>
    <row r="9527" spans="1:24">
      <c r="A9527">
        <f>HYPERLINK("https://www.philgeps.gov.ph/GEPSNONPILOT/Tender/SplashBidNoticeAbstractUI.aspx?menuIndex=3&amp;refID=7137486&amp;Result=3","7137486")</f>
        <v>0</v>
      </c>
      <c r="B9527" t="s">
        <v>2963</v>
      </c>
      <c r="C9527" t="s">
        <v>12797</v>
      </c>
      <c r="D9527" t="s">
        <v>17960</v>
      </c>
      <c r="E9527" t="s">
        <v>26178</v>
      </c>
      <c r="F9527" t="s">
        <v>30900</v>
      </c>
      <c r="G9527" t="s">
        <v>30907</v>
      </c>
      <c r="H9527" t="s">
        <v>30915</v>
      </c>
      <c r="I9527" t="s">
        <v>30919</v>
      </c>
      <c r="J9527" t="s">
        <v>37010</v>
      </c>
      <c r="K9527" t="s">
        <v>40292</v>
      </c>
      <c r="M9527" t="s">
        <v>43764</v>
      </c>
      <c r="N9527" t="s">
        <v>44759</v>
      </c>
      <c r="O9527" t="s">
        <v>44760</v>
      </c>
      <c r="Q9527">
        <v>4</v>
      </c>
      <c r="R9527" t="s">
        <v>44769</v>
      </c>
      <c r="S9527" t="s">
        <v>45071</v>
      </c>
      <c r="T9527" t="s">
        <v>46472</v>
      </c>
      <c r="U9527" t="s">
        <v>54722</v>
      </c>
      <c r="W9527" t="s">
        <v>43764</v>
      </c>
      <c r="X9527" t="s">
        <v>44770</v>
      </c>
    </row>
    <row r="9528" spans="1:24">
      <c r="A9528">
        <f>HYPERLINK("https://www.philgeps.gov.ph/GEPSNONPILOT/Tender/SplashBidNoticeAbstractUI.aspx?menuIndex=3&amp;refID=7137447&amp;Result=3","7137447")</f>
        <v>0</v>
      </c>
      <c r="B9528" t="s">
        <v>888</v>
      </c>
      <c r="C9528" t="s">
        <v>12798</v>
      </c>
      <c r="D9528" t="s">
        <v>17951</v>
      </c>
      <c r="E9528" t="s">
        <v>26308</v>
      </c>
      <c r="F9528" t="s">
        <v>30900</v>
      </c>
      <c r="G9528" t="s">
        <v>30908</v>
      </c>
      <c r="H9528" t="s">
        <v>30916</v>
      </c>
      <c r="I9528" t="s">
        <v>30929</v>
      </c>
      <c r="J9528" t="s">
        <v>32204</v>
      </c>
      <c r="K9528" t="s">
        <v>40286</v>
      </c>
      <c r="M9528" t="s">
        <v>41461</v>
      </c>
      <c r="N9528" t="s">
        <v>44759</v>
      </c>
      <c r="O9528" t="s">
        <v>44760</v>
      </c>
      <c r="P9528">
        <v>0</v>
      </c>
      <c r="Q9528">
        <v>2</v>
      </c>
      <c r="R9528" t="s">
        <v>44769</v>
      </c>
      <c r="S9528" t="s">
        <v>45044</v>
      </c>
      <c r="T9528" t="s">
        <v>46373</v>
      </c>
      <c r="U9528" t="s">
        <v>48542</v>
      </c>
      <c r="W9528" t="s">
        <v>41461</v>
      </c>
      <c r="X9528" t="s">
        <v>44770</v>
      </c>
    </row>
    <row r="9529" spans="1:24">
      <c r="A9529">
        <f>HYPERLINK("https://www.philgeps.gov.ph/GEPSNONPILOT/Tender/SplashBidNoticeAbstractUI.aspx?menuIndex=3&amp;refID=7137470&amp;Result=3","7137470")</f>
        <v>0</v>
      </c>
      <c r="B9529" t="s">
        <v>853</v>
      </c>
      <c r="C9529" t="s">
        <v>12799</v>
      </c>
      <c r="D9529" t="s">
        <v>18018</v>
      </c>
      <c r="E9529" t="s">
        <v>26309</v>
      </c>
      <c r="F9529" t="s">
        <v>30900</v>
      </c>
      <c r="G9529" t="s">
        <v>30907</v>
      </c>
      <c r="H9529" t="s">
        <v>30915</v>
      </c>
      <c r="I9529" t="s">
        <v>30919</v>
      </c>
      <c r="J9529" t="s">
        <v>37011</v>
      </c>
      <c r="K9529" t="s">
        <v>40348</v>
      </c>
      <c r="M9529" t="s">
        <v>41426</v>
      </c>
      <c r="N9529" t="s">
        <v>44759</v>
      </c>
      <c r="O9529" t="s">
        <v>44760</v>
      </c>
      <c r="P9529">
        <v>0</v>
      </c>
      <c r="Q9529">
        <v>0</v>
      </c>
      <c r="R9529" t="s">
        <v>44769</v>
      </c>
      <c r="S9529" t="s">
        <v>45044</v>
      </c>
      <c r="T9529" t="s">
        <v>46595</v>
      </c>
      <c r="U9529" t="s">
        <v>54807</v>
      </c>
      <c r="W9529" t="s">
        <v>41426</v>
      </c>
      <c r="X9529" t="s">
        <v>44770</v>
      </c>
    </row>
    <row r="9530" spans="1:24">
      <c r="A9530">
        <f>HYPERLINK("https://www.philgeps.gov.ph/GEPSNONPILOT/Tender/SplashBidNoticeAbstractUI.aspx?menuIndex=3&amp;refID=7137559&amp;Result=3","7137559")</f>
        <v>0</v>
      </c>
      <c r="B9530" t="s">
        <v>2999</v>
      </c>
      <c r="C9530" t="s">
        <v>12800</v>
      </c>
      <c r="D9530" t="s">
        <v>17963</v>
      </c>
      <c r="E9530" t="s">
        <v>26310</v>
      </c>
      <c r="F9530" t="s">
        <v>30900</v>
      </c>
      <c r="G9530" t="s">
        <v>30907</v>
      </c>
      <c r="H9530" t="s">
        <v>30915</v>
      </c>
      <c r="I9530" t="s">
        <v>30919</v>
      </c>
      <c r="J9530" t="s">
        <v>35229</v>
      </c>
      <c r="K9530" t="s">
        <v>40280</v>
      </c>
      <c r="M9530" t="s">
        <v>43803</v>
      </c>
      <c r="N9530" t="s">
        <v>44759</v>
      </c>
      <c r="O9530" t="s">
        <v>44760</v>
      </c>
      <c r="P9530">
        <v>0</v>
      </c>
      <c r="Q9530">
        <v>0</v>
      </c>
      <c r="R9530" t="s">
        <v>44769</v>
      </c>
      <c r="S9530" t="s">
        <v>45044</v>
      </c>
      <c r="T9530" t="s">
        <v>46395</v>
      </c>
      <c r="U9530" t="s">
        <v>54852</v>
      </c>
      <c r="V9530" t="s">
        <v>47619</v>
      </c>
      <c r="W9530" t="s">
        <v>43803</v>
      </c>
      <c r="X9530" t="s">
        <v>44770</v>
      </c>
    </row>
    <row r="9531" spans="1:24">
      <c r="A9531">
        <f>HYPERLINK("https://www.philgeps.gov.ph/GEPSNONPILOT/Tender/SplashBidNoticeAbstractUI.aspx?menuIndex=3&amp;refID=7137460&amp;Result=3","7137460")</f>
        <v>0</v>
      </c>
      <c r="B9531" t="s">
        <v>2995</v>
      </c>
      <c r="C9531" t="s">
        <v>12801</v>
      </c>
      <c r="D9531" t="s">
        <v>17980</v>
      </c>
      <c r="E9531" t="s">
        <v>26311</v>
      </c>
      <c r="F9531" t="s">
        <v>30900</v>
      </c>
      <c r="G9531" t="s">
        <v>30907</v>
      </c>
      <c r="H9531" t="s">
        <v>30916</v>
      </c>
      <c r="I9531" t="s">
        <v>30922</v>
      </c>
      <c r="J9531" t="s">
        <v>37012</v>
      </c>
      <c r="K9531" t="s">
        <v>40292</v>
      </c>
      <c r="M9531" t="s">
        <v>43798</v>
      </c>
      <c r="N9531" t="s">
        <v>44759</v>
      </c>
      <c r="O9531" t="s">
        <v>44760</v>
      </c>
      <c r="P9531">
        <v>0</v>
      </c>
      <c r="Q9531">
        <v>9</v>
      </c>
      <c r="R9531" t="s">
        <v>44769</v>
      </c>
      <c r="S9531" t="s">
        <v>45044</v>
      </c>
      <c r="T9531" t="s">
        <v>46421</v>
      </c>
      <c r="U9531" t="s">
        <v>54853</v>
      </c>
      <c r="W9531" t="s">
        <v>43798</v>
      </c>
      <c r="X9531" t="s">
        <v>44770</v>
      </c>
    </row>
    <row r="9532" spans="1:24">
      <c r="A9532">
        <f>HYPERLINK("https://www.philgeps.gov.ph/GEPSNONPILOT/Tender/SplashBidNoticeAbstractUI.aspx?menuIndex=3&amp;refID=7137551&amp;Result=3","7137551")</f>
        <v>0</v>
      </c>
      <c r="B9532" t="s">
        <v>173</v>
      </c>
      <c r="C9532" t="s">
        <v>12802</v>
      </c>
      <c r="D9532" t="s">
        <v>17978</v>
      </c>
      <c r="E9532" t="s">
        <v>26312</v>
      </c>
      <c r="F9532" t="s">
        <v>30900</v>
      </c>
      <c r="G9532" t="s">
        <v>30907</v>
      </c>
      <c r="H9532" t="s">
        <v>30915</v>
      </c>
      <c r="I9532" t="s">
        <v>30919</v>
      </c>
      <c r="J9532" t="s">
        <v>37013</v>
      </c>
      <c r="K9532" t="s">
        <v>40280</v>
      </c>
      <c r="M9532" t="s">
        <v>40720</v>
      </c>
      <c r="N9532" t="s">
        <v>44759</v>
      </c>
      <c r="O9532" t="s">
        <v>44760</v>
      </c>
      <c r="P9532">
        <v>0</v>
      </c>
      <c r="Q9532">
        <v>6</v>
      </c>
      <c r="R9532" t="s">
        <v>44769</v>
      </c>
      <c r="S9532" t="s">
        <v>45044</v>
      </c>
      <c r="T9532" t="s">
        <v>46606</v>
      </c>
      <c r="U9532" t="s">
        <v>54854</v>
      </c>
      <c r="V9532" t="s">
        <v>60158</v>
      </c>
      <c r="W9532" t="s">
        <v>40720</v>
      </c>
      <c r="X9532" t="s">
        <v>44770</v>
      </c>
    </row>
    <row r="9533" spans="1:24">
      <c r="A9533">
        <f>HYPERLINK("https://www.philgeps.gov.ph/GEPSNONPILOT/Tender/SplashBidNoticeAbstractUI.aspx?menuIndex=3&amp;refID=7137478&amp;Result=3","7137478")</f>
        <v>0</v>
      </c>
      <c r="B9533" t="s">
        <v>718</v>
      </c>
      <c r="C9533" t="s">
        <v>12803</v>
      </c>
      <c r="D9533" t="s">
        <v>17980</v>
      </c>
      <c r="E9533" t="s">
        <v>26313</v>
      </c>
      <c r="F9533" t="s">
        <v>30900</v>
      </c>
      <c r="G9533" t="s">
        <v>30907</v>
      </c>
      <c r="H9533" t="s">
        <v>30915</v>
      </c>
      <c r="I9533" t="s">
        <v>30919</v>
      </c>
      <c r="J9533" t="s">
        <v>37014</v>
      </c>
      <c r="K9533" t="s">
        <v>40280</v>
      </c>
      <c r="M9533" t="s">
        <v>41282</v>
      </c>
      <c r="N9533" t="s">
        <v>44759</v>
      </c>
      <c r="O9533" t="s">
        <v>44760</v>
      </c>
      <c r="P9533">
        <v>0</v>
      </c>
      <c r="Q9533">
        <v>2</v>
      </c>
      <c r="R9533" t="s">
        <v>44769</v>
      </c>
      <c r="S9533" t="s">
        <v>45044</v>
      </c>
      <c r="T9533" t="s">
        <v>46807</v>
      </c>
      <c r="U9533" t="s">
        <v>48206</v>
      </c>
      <c r="V9533" t="s">
        <v>59288</v>
      </c>
      <c r="W9533" t="s">
        <v>41282</v>
      </c>
      <c r="X9533" t="s">
        <v>44770</v>
      </c>
    </row>
    <row r="9534" spans="1:24">
      <c r="A9534">
        <f>HYPERLINK("https://www.philgeps.gov.ph/GEPSNONPILOT/Tender/SplashBidNoticeAbstractUI.aspx?menuIndex=3&amp;refID=7137550&amp;Result=3","7137550")</f>
        <v>0</v>
      </c>
      <c r="B9534" t="s">
        <v>1070</v>
      </c>
      <c r="C9534" t="s">
        <v>12804</v>
      </c>
      <c r="D9534" t="s">
        <v>18017</v>
      </c>
      <c r="E9534" t="s">
        <v>26314</v>
      </c>
      <c r="F9534" t="s">
        <v>30900</v>
      </c>
      <c r="G9534" t="s">
        <v>30907</v>
      </c>
      <c r="H9534" t="s">
        <v>30915</v>
      </c>
      <c r="I9534" t="s">
        <v>30919</v>
      </c>
      <c r="J9534" t="s">
        <v>32627</v>
      </c>
      <c r="K9534" t="s">
        <v>40308</v>
      </c>
      <c r="M9534" t="s">
        <v>41668</v>
      </c>
      <c r="N9534" t="s">
        <v>44759</v>
      </c>
      <c r="O9534" t="s">
        <v>44760</v>
      </c>
      <c r="P9534">
        <v>0</v>
      </c>
      <c r="Q9534">
        <v>1</v>
      </c>
      <c r="R9534" t="s">
        <v>44769</v>
      </c>
      <c r="S9534" t="s">
        <v>45044</v>
      </c>
      <c r="T9534" t="s">
        <v>46836</v>
      </c>
      <c r="U9534" t="s">
        <v>54855</v>
      </c>
      <c r="V9534" t="s">
        <v>60159</v>
      </c>
      <c r="W9534" t="s">
        <v>41668</v>
      </c>
      <c r="X9534" t="s">
        <v>44770</v>
      </c>
    </row>
    <row r="9535" spans="1:24">
      <c r="A9535">
        <f>HYPERLINK("https://www.philgeps.gov.ph/GEPSNONPILOT/Tender/SplashBidNoticeAbstractUI.aspx?menuIndex=3&amp;refID=7137473&amp;Result=3","7137473")</f>
        <v>0</v>
      </c>
      <c r="B9535" t="s">
        <v>2187</v>
      </c>
      <c r="C9535" t="s">
        <v>12805</v>
      </c>
      <c r="D9535" t="s">
        <v>17955</v>
      </c>
      <c r="E9535" t="s">
        <v>21127</v>
      </c>
      <c r="F9535" t="s">
        <v>30900</v>
      </c>
      <c r="G9535" t="s">
        <v>30907</v>
      </c>
      <c r="H9535" t="s">
        <v>30915</v>
      </c>
      <c r="I9535" t="s">
        <v>30919</v>
      </c>
      <c r="J9535" t="s">
        <v>32110</v>
      </c>
      <c r="K9535" t="s">
        <v>40289</v>
      </c>
      <c r="M9535" t="s">
        <v>42894</v>
      </c>
      <c r="N9535" t="s">
        <v>44759</v>
      </c>
      <c r="O9535" t="s">
        <v>44760</v>
      </c>
      <c r="P9535">
        <v>0</v>
      </c>
      <c r="Q9535">
        <v>0</v>
      </c>
      <c r="R9535" t="s">
        <v>44769</v>
      </c>
      <c r="S9535" t="s">
        <v>45044</v>
      </c>
      <c r="T9535" t="s">
        <v>46533</v>
      </c>
      <c r="U9535" t="s">
        <v>54856</v>
      </c>
      <c r="W9535" t="s">
        <v>42894</v>
      </c>
      <c r="X9535" t="s">
        <v>44770</v>
      </c>
    </row>
    <row r="9536" spans="1:24">
      <c r="A9536">
        <f>HYPERLINK("https://www.philgeps.gov.ph/GEPSNONPILOT/Tender/SplashBidNoticeAbstractUI.aspx?menuIndex=3&amp;refID=7137543&amp;Result=3","7137543")</f>
        <v>0</v>
      </c>
      <c r="B9536" t="s">
        <v>1492</v>
      </c>
      <c r="C9536" t="s">
        <v>12806</v>
      </c>
      <c r="D9536" t="s">
        <v>17961</v>
      </c>
      <c r="E9536" t="s">
        <v>21302</v>
      </c>
      <c r="F9536" t="s">
        <v>30899</v>
      </c>
      <c r="G9536" t="s">
        <v>30907</v>
      </c>
      <c r="H9536" t="s">
        <v>30916</v>
      </c>
      <c r="I9536" t="s">
        <v>8123</v>
      </c>
      <c r="J9536" t="s">
        <v>37015</v>
      </c>
      <c r="K9536" t="s">
        <v>40284</v>
      </c>
      <c r="M9536" t="s">
        <v>42131</v>
      </c>
      <c r="N9536" t="s">
        <v>44759</v>
      </c>
      <c r="O9536" t="s">
        <v>44760</v>
      </c>
      <c r="P9536">
        <v>0</v>
      </c>
      <c r="Q9536">
        <v>0</v>
      </c>
      <c r="R9536" t="s">
        <v>44769</v>
      </c>
      <c r="S9536" t="s">
        <v>45044</v>
      </c>
      <c r="T9536" t="s">
        <v>46472</v>
      </c>
      <c r="U9536" t="s">
        <v>54857</v>
      </c>
      <c r="W9536" t="s">
        <v>42131</v>
      </c>
      <c r="X9536" t="s">
        <v>44770</v>
      </c>
    </row>
    <row r="9537" spans="1:24">
      <c r="A9537">
        <f>HYPERLINK("https://www.philgeps.gov.ph/GEPSNONPILOT/Tender/SplashBidNoticeAbstractUI.aspx?menuIndex=3&amp;refID=7137552&amp;Result=3","7137552")</f>
        <v>0</v>
      </c>
      <c r="B9537" t="s">
        <v>1246</v>
      </c>
      <c r="C9537" t="s">
        <v>12807</v>
      </c>
      <c r="E9537" t="s">
        <v>26315</v>
      </c>
      <c r="F9537" t="s">
        <v>30900</v>
      </c>
      <c r="G9537" t="s">
        <v>30907</v>
      </c>
      <c r="H9537" t="s">
        <v>30916</v>
      </c>
      <c r="I9537" t="s">
        <v>30932</v>
      </c>
      <c r="J9537" t="s">
        <v>37016</v>
      </c>
      <c r="K9537" t="s">
        <v>40289</v>
      </c>
      <c r="M9537" t="s">
        <v>41858</v>
      </c>
      <c r="N9537" t="s">
        <v>44759</v>
      </c>
      <c r="O9537" t="s">
        <v>44760</v>
      </c>
      <c r="P9537">
        <v>0</v>
      </c>
      <c r="Q9537">
        <v>2</v>
      </c>
      <c r="R9537" t="s">
        <v>44769</v>
      </c>
      <c r="S9537" t="s">
        <v>45044</v>
      </c>
      <c r="T9537" t="s">
        <v>46390</v>
      </c>
      <c r="U9537" t="s">
        <v>54858</v>
      </c>
      <c r="W9537" t="s">
        <v>41858</v>
      </c>
      <c r="X9537" t="s">
        <v>44770</v>
      </c>
    </row>
    <row r="9538" spans="1:24">
      <c r="A9538">
        <f>HYPERLINK("https://www.philgeps.gov.ph/GEPSNONPILOT/Tender/SplashBidNoticeAbstractUI.aspx?menuIndex=3&amp;refID=7137380&amp;Result=3","7137380")</f>
        <v>0</v>
      </c>
      <c r="B9538" t="s">
        <v>3002</v>
      </c>
      <c r="C9538" t="s">
        <v>12808</v>
      </c>
      <c r="D9538" t="s">
        <v>18005</v>
      </c>
      <c r="E9538" t="s">
        <v>26316</v>
      </c>
      <c r="F9538" t="s">
        <v>30900</v>
      </c>
      <c r="G9538" t="s">
        <v>30907</v>
      </c>
      <c r="H9538" t="s">
        <v>30915</v>
      </c>
      <c r="I9538" t="s">
        <v>30919</v>
      </c>
      <c r="J9538" t="s">
        <v>31158</v>
      </c>
      <c r="K9538" t="s">
        <v>40342</v>
      </c>
      <c r="M9538" t="s">
        <v>43806</v>
      </c>
      <c r="N9538" t="s">
        <v>44759</v>
      </c>
      <c r="O9538" t="s">
        <v>44760</v>
      </c>
      <c r="P9538">
        <v>0</v>
      </c>
      <c r="Q9538">
        <v>11</v>
      </c>
      <c r="R9538" t="s">
        <v>44769</v>
      </c>
      <c r="S9538" t="s">
        <v>45044</v>
      </c>
      <c r="T9538" t="s">
        <v>46837</v>
      </c>
      <c r="U9538" t="s">
        <v>54859</v>
      </c>
      <c r="V9538" t="s">
        <v>60160</v>
      </c>
      <c r="W9538" t="s">
        <v>43806</v>
      </c>
      <c r="X9538" t="s">
        <v>44770</v>
      </c>
    </row>
    <row r="9539" spans="1:24">
      <c r="A9539">
        <f>HYPERLINK("https://www.philgeps.gov.ph/GEPSNONPILOT/Tender/SplashBidNoticeAbstractUI.aspx?menuIndex=3&amp;refID=7137533&amp;Result=3","7137533")</f>
        <v>0</v>
      </c>
      <c r="B9539" t="s">
        <v>1399</v>
      </c>
      <c r="C9539" t="s">
        <v>12809</v>
      </c>
      <c r="D9539" t="s">
        <v>18017</v>
      </c>
      <c r="E9539" t="s">
        <v>26317</v>
      </c>
      <c r="F9539" t="s">
        <v>30900</v>
      </c>
      <c r="G9539" t="s">
        <v>30907</v>
      </c>
      <c r="H9539" t="s">
        <v>30916</v>
      </c>
      <c r="I9539" t="s">
        <v>4108</v>
      </c>
      <c r="J9539" t="s">
        <v>37017</v>
      </c>
      <c r="K9539" t="s">
        <v>40287</v>
      </c>
      <c r="M9539" t="s">
        <v>42025</v>
      </c>
      <c r="N9539" t="s">
        <v>44759</v>
      </c>
      <c r="O9539" t="s">
        <v>44760</v>
      </c>
      <c r="P9539">
        <v>0</v>
      </c>
      <c r="Q9539">
        <v>2</v>
      </c>
      <c r="R9539" t="s">
        <v>44769</v>
      </c>
      <c r="S9539" t="s">
        <v>45044</v>
      </c>
      <c r="T9539" t="s">
        <v>46504</v>
      </c>
      <c r="U9539" t="s">
        <v>53696</v>
      </c>
      <c r="V9539" t="s">
        <v>60161</v>
      </c>
      <c r="W9539" t="s">
        <v>42025</v>
      </c>
      <c r="X9539" t="s">
        <v>44770</v>
      </c>
    </row>
    <row r="9540" spans="1:24">
      <c r="A9540">
        <f>HYPERLINK("https://www.philgeps.gov.ph/GEPSNONPILOT/Tender/SplashBidNoticeAbstractUI.aspx?menuIndex=3&amp;refID=7137529&amp;Result=3","7137529")</f>
        <v>0</v>
      </c>
      <c r="B9540" t="s">
        <v>3003</v>
      </c>
      <c r="C9540" t="s">
        <v>12810</v>
      </c>
      <c r="D9540" t="s">
        <v>17952</v>
      </c>
      <c r="E9540" t="s">
        <v>26318</v>
      </c>
      <c r="F9540" t="s">
        <v>30900</v>
      </c>
      <c r="G9540" t="s">
        <v>30907</v>
      </c>
      <c r="H9540" t="s">
        <v>30916</v>
      </c>
      <c r="I9540" t="s">
        <v>30921</v>
      </c>
      <c r="J9540" t="s">
        <v>35849</v>
      </c>
      <c r="K9540" t="s">
        <v>40286</v>
      </c>
      <c r="M9540" t="s">
        <v>43807</v>
      </c>
      <c r="N9540" t="s">
        <v>44759</v>
      </c>
      <c r="O9540" t="s">
        <v>44760</v>
      </c>
      <c r="P9540">
        <v>0</v>
      </c>
      <c r="Q9540">
        <v>4</v>
      </c>
      <c r="R9540" t="s">
        <v>44769</v>
      </c>
      <c r="S9540" t="s">
        <v>45044</v>
      </c>
      <c r="T9540" t="s">
        <v>46411</v>
      </c>
      <c r="U9540" t="s">
        <v>54860</v>
      </c>
      <c r="W9540" t="s">
        <v>43807</v>
      </c>
      <c r="X9540" t="s">
        <v>44770</v>
      </c>
    </row>
    <row r="9541" spans="1:24">
      <c r="A9541">
        <f>HYPERLINK("https://www.philgeps.gov.ph/GEPSNONPILOT/Tender/SplashBidNoticeAbstractUI.aspx?menuIndex=3&amp;refID=7137521&amp;Result=3","7137521")</f>
        <v>0</v>
      </c>
      <c r="B9541" t="s">
        <v>2999</v>
      </c>
      <c r="C9541" t="s">
        <v>12811</v>
      </c>
      <c r="D9541" t="s">
        <v>17963</v>
      </c>
      <c r="E9541" t="s">
        <v>26319</v>
      </c>
      <c r="F9541" t="s">
        <v>30900</v>
      </c>
      <c r="G9541" t="s">
        <v>30907</v>
      </c>
      <c r="H9541" t="s">
        <v>30915</v>
      </c>
      <c r="I9541" t="s">
        <v>30919</v>
      </c>
      <c r="J9541" t="s">
        <v>31153</v>
      </c>
      <c r="K9541" t="s">
        <v>40280</v>
      </c>
      <c r="M9541" t="s">
        <v>43803</v>
      </c>
      <c r="N9541" t="s">
        <v>44759</v>
      </c>
      <c r="O9541" t="s">
        <v>44760</v>
      </c>
      <c r="P9541">
        <v>0</v>
      </c>
      <c r="Q9541">
        <v>0</v>
      </c>
      <c r="R9541" t="s">
        <v>44769</v>
      </c>
      <c r="S9541" t="s">
        <v>45044</v>
      </c>
      <c r="T9541" t="s">
        <v>46395</v>
      </c>
      <c r="U9541" t="s">
        <v>54852</v>
      </c>
      <c r="V9541" t="s">
        <v>47619</v>
      </c>
      <c r="W9541" t="s">
        <v>43803</v>
      </c>
      <c r="X9541" t="s">
        <v>44770</v>
      </c>
    </row>
    <row r="9542" spans="1:24">
      <c r="A9542">
        <f>HYPERLINK("https://www.philgeps.gov.ph/GEPSNONPILOT/Tender/SplashBidNoticeAbstractUI.aspx?menuIndex=3&amp;refID=7137541&amp;Result=3","7137541")</f>
        <v>0</v>
      </c>
      <c r="B9542" t="s">
        <v>1572</v>
      </c>
      <c r="C9542" t="s">
        <v>12812</v>
      </c>
      <c r="E9542" t="s">
        <v>26320</v>
      </c>
      <c r="F9542" t="s">
        <v>30900</v>
      </c>
      <c r="G9542" t="s">
        <v>30907</v>
      </c>
      <c r="H9542" t="s">
        <v>30915</v>
      </c>
      <c r="I9542" t="s">
        <v>30919</v>
      </c>
      <c r="J9542" t="s">
        <v>37018</v>
      </c>
      <c r="K9542" t="s">
        <v>40341</v>
      </c>
      <c r="M9542" t="s">
        <v>43808</v>
      </c>
      <c r="N9542" t="s">
        <v>44759</v>
      </c>
      <c r="O9542" t="s">
        <v>44760</v>
      </c>
      <c r="Q9542">
        <v>7</v>
      </c>
      <c r="R9542" t="s">
        <v>44769</v>
      </c>
      <c r="S9542" t="s">
        <v>45072</v>
      </c>
      <c r="T9542" t="s">
        <v>46428</v>
      </c>
      <c r="U9542" t="s">
        <v>54861</v>
      </c>
      <c r="W9542" t="s">
        <v>43808</v>
      </c>
      <c r="X9542" t="s">
        <v>44770</v>
      </c>
    </row>
    <row r="9543" spans="1:24">
      <c r="A9543">
        <f>HYPERLINK("https://www.philgeps.gov.ph/GEPSNONPILOT/Tender/SplashBidNoticeAbstractUI.aspx?menuIndex=3&amp;refID=7137520&amp;Result=3","7137520")</f>
        <v>0</v>
      </c>
      <c r="B9543" t="s">
        <v>810</v>
      </c>
      <c r="C9543" t="s">
        <v>12813</v>
      </c>
      <c r="D9543" t="s">
        <v>18017</v>
      </c>
      <c r="E9543" t="s">
        <v>26321</v>
      </c>
      <c r="F9543" t="s">
        <v>30900</v>
      </c>
      <c r="G9543" t="s">
        <v>30907</v>
      </c>
      <c r="H9543" t="s">
        <v>30916</v>
      </c>
      <c r="I9543" t="s">
        <v>8123</v>
      </c>
      <c r="J9543" t="s">
        <v>37019</v>
      </c>
      <c r="K9543" t="s">
        <v>40286</v>
      </c>
      <c r="M9543" t="s">
        <v>41381</v>
      </c>
      <c r="N9543" t="s">
        <v>44759</v>
      </c>
      <c r="O9543" t="s">
        <v>44760</v>
      </c>
      <c r="P9543">
        <v>0</v>
      </c>
      <c r="Q9543">
        <v>1</v>
      </c>
      <c r="R9543" t="s">
        <v>44769</v>
      </c>
      <c r="S9543" t="s">
        <v>45044</v>
      </c>
      <c r="T9543" t="s">
        <v>46581</v>
      </c>
      <c r="U9543" t="s">
        <v>54862</v>
      </c>
      <c r="W9543" t="s">
        <v>41381</v>
      </c>
      <c r="X9543" t="s">
        <v>44770</v>
      </c>
    </row>
    <row r="9544" spans="1:24">
      <c r="A9544">
        <f>HYPERLINK("https://www.philgeps.gov.ph/GEPSNONPILOT/Tender/SplashBidNoticeAbstractUI.aspx?menuIndex=3&amp;refID=7137535&amp;Result=3","7137535")</f>
        <v>0</v>
      </c>
      <c r="B9544" t="s">
        <v>89</v>
      </c>
      <c r="C9544" t="s">
        <v>12814</v>
      </c>
      <c r="D9544" t="s">
        <v>17971</v>
      </c>
      <c r="E9544" t="s">
        <v>26322</v>
      </c>
      <c r="F9544" t="s">
        <v>30900</v>
      </c>
      <c r="G9544" t="s">
        <v>30907</v>
      </c>
      <c r="H9544" t="s">
        <v>30916</v>
      </c>
      <c r="I9544" t="s">
        <v>30918</v>
      </c>
      <c r="J9544" t="s">
        <v>32560</v>
      </c>
      <c r="K9544" t="s">
        <v>40289</v>
      </c>
      <c r="M9544" t="s">
        <v>40636</v>
      </c>
      <c r="N9544" t="s">
        <v>44759</v>
      </c>
      <c r="O9544" t="s">
        <v>44760</v>
      </c>
      <c r="P9544">
        <v>0</v>
      </c>
      <c r="Q9544">
        <v>5</v>
      </c>
      <c r="R9544" t="s">
        <v>44769</v>
      </c>
      <c r="S9544" t="s">
        <v>45044</v>
      </c>
      <c r="T9544" t="s">
        <v>46770</v>
      </c>
      <c r="U9544" t="s">
        <v>54863</v>
      </c>
      <c r="V9544" t="s">
        <v>60162</v>
      </c>
      <c r="W9544" t="s">
        <v>40636</v>
      </c>
      <c r="X9544" t="s">
        <v>44770</v>
      </c>
    </row>
    <row r="9545" spans="1:24">
      <c r="A9545">
        <f>HYPERLINK("https://www.philgeps.gov.ph/GEPSNONPILOT/Tender/SplashBidNoticeAbstractUI.aspx?menuIndex=3&amp;refID=7137511&amp;Result=3","7137511")</f>
        <v>0</v>
      </c>
      <c r="B9545" t="s">
        <v>1572</v>
      </c>
      <c r="C9545" t="s">
        <v>12815</v>
      </c>
      <c r="E9545" t="s">
        <v>26323</v>
      </c>
      <c r="F9545" t="s">
        <v>30900</v>
      </c>
      <c r="G9545" t="s">
        <v>30907</v>
      </c>
      <c r="H9545" t="s">
        <v>30915</v>
      </c>
      <c r="I9545" t="s">
        <v>30919</v>
      </c>
      <c r="J9545" t="s">
        <v>37018</v>
      </c>
      <c r="K9545" t="s">
        <v>40341</v>
      </c>
      <c r="M9545" t="s">
        <v>43808</v>
      </c>
      <c r="N9545" t="s">
        <v>44759</v>
      </c>
      <c r="O9545" t="s">
        <v>44760</v>
      </c>
      <c r="Q9545">
        <v>7</v>
      </c>
      <c r="R9545" t="s">
        <v>44769</v>
      </c>
      <c r="S9545" t="s">
        <v>45073</v>
      </c>
      <c r="T9545" t="s">
        <v>46428</v>
      </c>
      <c r="U9545" t="s">
        <v>54864</v>
      </c>
      <c r="W9545" t="s">
        <v>43808</v>
      </c>
      <c r="X9545" t="s">
        <v>44770</v>
      </c>
    </row>
    <row r="9546" spans="1:24">
      <c r="A9546">
        <f>HYPERLINK("https://www.philgeps.gov.ph/GEPSNONPILOT/Tender/SplashBidNoticeAbstractUI.aspx?menuIndex=3&amp;refID=7137558&amp;Result=3","7137558")</f>
        <v>0</v>
      </c>
      <c r="B9546" t="s">
        <v>3004</v>
      </c>
      <c r="C9546" t="s">
        <v>12816</v>
      </c>
      <c r="D9546" t="s">
        <v>17978</v>
      </c>
      <c r="E9546" t="s">
        <v>18787</v>
      </c>
      <c r="F9546" t="s">
        <v>30900</v>
      </c>
      <c r="G9546" t="s">
        <v>30907</v>
      </c>
      <c r="H9546" t="s">
        <v>30915</v>
      </c>
      <c r="I9546" t="s">
        <v>30919</v>
      </c>
      <c r="J9546" t="s">
        <v>37020</v>
      </c>
      <c r="K9546" t="s">
        <v>40346</v>
      </c>
      <c r="M9546" t="s">
        <v>43809</v>
      </c>
      <c r="N9546" t="s">
        <v>44759</v>
      </c>
      <c r="O9546" t="s">
        <v>44760</v>
      </c>
      <c r="P9546">
        <v>0</v>
      </c>
      <c r="Q9546">
        <v>0</v>
      </c>
      <c r="R9546" t="s">
        <v>44769</v>
      </c>
      <c r="S9546" t="s">
        <v>45044</v>
      </c>
      <c r="T9546" t="s">
        <v>46472</v>
      </c>
      <c r="U9546" t="s">
        <v>54865</v>
      </c>
      <c r="W9546" t="s">
        <v>43809</v>
      </c>
      <c r="X9546" t="s">
        <v>44770</v>
      </c>
    </row>
    <row r="9547" spans="1:24">
      <c r="A9547">
        <f>HYPERLINK("https://www.philgeps.gov.ph/GEPSNONPILOT/Tender/SplashBidNoticeAbstractUI.aspx?menuIndex=3&amp;refID=7137507&amp;Result=3","7137507")</f>
        <v>0</v>
      </c>
      <c r="B9547" t="s">
        <v>3005</v>
      </c>
      <c r="C9547" t="s">
        <v>12817</v>
      </c>
      <c r="D9547" t="s">
        <v>17964</v>
      </c>
      <c r="E9547" t="s">
        <v>18066</v>
      </c>
      <c r="F9547" t="s">
        <v>30900</v>
      </c>
      <c r="G9547" t="s">
        <v>30907</v>
      </c>
      <c r="H9547" t="s">
        <v>30916</v>
      </c>
      <c r="I9547" t="s">
        <v>8123</v>
      </c>
      <c r="J9547" t="s">
        <v>37021</v>
      </c>
      <c r="K9547" t="s">
        <v>40283</v>
      </c>
      <c r="M9547" t="s">
        <v>43810</v>
      </c>
      <c r="N9547" t="s">
        <v>44759</v>
      </c>
      <c r="O9547" t="s">
        <v>44760</v>
      </c>
      <c r="P9547">
        <v>0</v>
      </c>
      <c r="Q9547">
        <v>0</v>
      </c>
      <c r="R9547" t="s">
        <v>44769</v>
      </c>
      <c r="S9547" t="s">
        <v>45044</v>
      </c>
      <c r="T9547" t="s">
        <v>46511</v>
      </c>
      <c r="U9547" t="s">
        <v>54866</v>
      </c>
      <c r="V9547" t="s">
        <v>60142</v>
      </c>
      <c r="W9547" t="s">
        <v>43810</v>
      </c>
      <c r="X9547" t="s">
        <v>44770</v>
      </c>
    </row>
    <row r="9548" spans="1:24">
      <c r="A9548">
        <f>HYPERLINK("https://www.philgeps.gov.ph/GEPSNONPILOT/Tender/SplashBidNoticeAbstractUI.aspx?menuIndex=3&amp;refID=7137603&amp;Result=3","7137603")</f>
        <v>0</v>
      </c>
      <c r="B9548" t="s">
        <v>2390</v>
      </c>
      <c r="C9548" t="s">
        <v>12818</v>
      </c>
      <c r="D9548" t="s">
        <v>18015</v>
      </c>
      <c r="E9548" t="s">
        <v>26324</v>
      </c>
      <c r="F9548" t="s">
        <v>30900</v>
      </c>
      <c r="G9548" t="s">
        <v>30907</v>
      </c>
      <c r="H9548" t="s">
        <v>30916</v>
      </c>
      <c r="I9548" t="s">
        <v>30924</v>
      </c>
      <c r="J9548" t="s">
        <v>37022</v>
      </c>
      <c r="K9548" t="s">
        <v>40280</v>
      </c>
      <c r="M9548" t="s">
        <v>43116</v>
      </c>
      <c r="N9548" t="s">
        <v>44759</v>
      </c>
      <c r="O9548" t="s">
        <v>44760</v>
      </c>
      <c r="P9548">
        <v>0</v>
      </c>
      <c r="Q9548">
        <v>7</v>
      </c>
      <c r="R9548" t="s">
        <v>44769</v>
      </c>
      <c r="S9548" t="s">
        <v>45044</v>
      </c>
      <c r="T9548" t="s">
        <v>46544</v>
      </c>
      <c r="U9548" t="s">
        <v>54867</v>
      </c>
      <c r="W9548" t="s">
        <v>43116</v>
      </c>
      <c r="X9548" t="s">
        <v>44770</v>
      </c>
    </row>
    <row r="9549" spans="1:24">
      <c r="A9549">
        <f>HYPERLINK("https://www.philgeps.gov.ph/GEPSNONPILOT/Tender/SplashBidNoticeAbstractUI.aspx?menuIndex=3&amp;refID=7137616&amp;Result=3","7137616")</f>
        <v>0</v>
      </c>
      <c r="B9549" t="s">
        <v>1246</v>
      </c>
      <c r="C9549" t="s">
        <v>4821</v>
      </c>
      <c r="E9549" t="s">
        <v>26325</v>
      </c>
      <c r="F9549" t="s">
        <v>30900</v>
      </c>
      <c r="G9549" t="s">
        <v>30907</v>
      </c>
      <c r="H9549" t="s">
        <v>30916</v>
      </c>
      <c r="I9549" t="s">
        <v>10847</v>
      </c>
      <c r="J9549" t="s">
        <v>32596</v>
      </c>
      <c r="K9549" t="s">
        <v>40289</v>
      </c>
      <c r="M9549" t="s">
        <v>41858</v>
      </c>
      <c r="N9549" t="s">
        <v>44759</v>
      </c>
      <c r="O9549" t="s">
        <v>44760</v>
      </c>
      <c r="P9549">
        <v>0</v>
      </c>
      <c r="Q9549">
        <v>0</v>
      </c>
      <c r="R9549" t="s">
        <v>44769</v>
      </c>
      <c r="S9549" t="s">
        <v>45044</v>
      </c>
      <c r="T9549" t="s">
        <v>46390</v>
      </c>
      <c r="U9549" t="s">
        <v>54858</v>
      </c>
      <c r="W9549" t="s">
        <v>41858</v>
      </c>
      <c r="X9549" t="s">
        <v>44770</v>
      </c>
    </row>
    <row r="9550" spans="1:24">
      <c r="A9550">
        <f>HYPERLINK("https://www.philgeps.gov.ph/GEPSNONPILOT/Tender/SplashBidNoticeAbstractUI.aspx?menuIndex=3&amp;refID=7137615&amp;Result=3","7137615")</f>
        <v>0</v>
      </c>
      <c r="B9550" t="s">
        <v>167</v>
      </c>
      <c r="C9550" t="s">
        <v>12819</v>
      </c>
      <c r="D9550" t="s">
        <v>17962</v>
      </c>
      <c r="E9550" t="s">
        <v>26326</v>
      </c>
      <c r="F9550" t="s">
        <v>30900</v>
      </c>
      <c r="G9550" t="s">
        <v>30908</v>
      </c>
      <c r="H9550" t="s">
        <v>30916</v>
      </c>
      <c r="I9550" t="s">
        <v>30924</v>
      </c>
      <c r="J9550" t="s">
        <v>31105</v>
      </c>
      <c r="K9550" t="s">
        <v>40283</v>
      </c>
      <c r="M9550" t="s">
        <v>43811</v>
      </c>
      <c r="N9550" t="s">
        <v>44759</v>
      </c>
      <c r="O9550" t="s">
        <v>44760</v>
      </c>
      <c r="Q9550">
        <v>7</v>
      </c>
      <c r="R9550" t="s">
        <v>44769</v>
      </c>
      <c r="S9550" t="s">
        <v>45074</v>
      </c>
      <c r="T9550" t="s">
        <v>46410</v>
      </c>
      <c r="U9550" t="s">
        <v>54868</v>
      </c>
      <c r="W9550" t="s">
        <v>43811</v>
      </c>
      <c r="X9550" t="s">
        <v>44770</v>
      </c>
    </row>
    <row r="9551" spans="1:24">
      <c r="A9551">
        <f>HYPERLINK("https://www.philgeps.gov.ph/GEPSNONPILOT/Tender/SplashBidNoticeAbstractUI.aspx?menuIndex=3&amp;refID=7137606&amp;Result=3","7137606")</f>
        <v>0</v>
      </c>
      <c r="B9551" t="s">
        <v>229</v>
      </c>
      <c r="C9551" t="s">
        <v>12820</v>
      </c>
      <c r="D9551" t="s">
        <v>18018</v>
      </c>
      <c r="E9551" t="s">
        <v>26327</v>
      </c>
      <c r="F9551" t="s">
        <v>30900</v>
      </c>
      <c r="G9551" t="s">
        <v>30907</v>
      </c>
      <c r="H9551" t="s">
        <v>30915</v>
      </c>
      <c r="I9551" t="s">
        <v>30919</v>
      </c>
      <c r="J9551" t="s">
        <v>37023</v>
      </c>
      <c r="K9551" t="s">
        <v>40304</v>
      </c>
      <c r="M9551" t="s">
        <v>40776</v>
      </c>
      <c r="N9551" t="s">
        <v>44759</v>
      </c>
      <c r="O9551" t="s">
        <v>44760</v>
      </c>
      <c r="P9551">
        <v>0</v>
      </c>
      <c r="Q9551">
        <v>0</v>
      </c>
      <c r="R9551" t="s">
        <v>44769</v>
      </c>
      <c r="S9551" t="s">
        <v>45044</v>
      </c>
      <c r="T9551" t="s">
        <v>46495</v>
      </c>
      <c r="U9551" t="s">
        <v>54869</v>
      </c>
      <c r="V9551" t="s">
        <v>60163</v>
      </c>
      <c r="W9551" t="s">
        <v>40776</v>
      </c>
      <c r="X9551" t="s">
        <v>44770</v>
      </c>
    </row>
    <row r="9552" spans="1:24">
      <c r="A9552">
        <f>HYPERLINK("https://www.philgeps.gov.ph/GEPSNONPILOT/Tender/SplashBidNoticeAbstractUI.aspx?menuIndex=3&amp;refID=7137527&amp;Result=3","7137527")</f>
        <v>0</v>
      </c>
      <c r="B9552" t="s">
        <v>527</v>
      </c>
      <c r="C9552" t="s">
        <v>12821</v>
      </c>
      <c r="D9552" t="s">
        <v>17961</v>
      </c>
      <c r="E9552" t="s">
        <v>26328</v>
      </c>
      <c r="F9552" t="s">
        <v>30900</v>
      </c>
      <c r="G9552" t="s">
        <v>30907</v>
      </c>
      <c r="H9552" t="s">
        <v>30916</v>
      </c>
      <c r="I9552" t="s">
        <v>10847</v>
      </c>
      <c r="J9552" t="s">
        <v>37024</v>
      </c>
      <c r="K9552" t="s">
        <v>40284</v>
      </c>
      <c r="M9552" t="s">
        <v>41087</v>
      </c>
      <c r="N9552" t="s">
        <v>44759</v>
      </c>
      <c r="O9552" t="s">
        <v>44760</v>
      </c>
      <c r="P9552">
        <v>0</v>
      </c>
      <c r="Q9552">
        <v>0</v>
      </c>
      <c r="R9552" t="s">
        <v>44769</v>
      </c>
      <c r="S9552" t="s">
        <v>45044</v>
      </c>
      <c r="T9552" t="s">
        <v>46533</v>
      </c>
      <c r="U9552" t="s">
        <v>54870</v>
      </c>
      <c r="V9552" t="s">
        <v>60164</v>
      </c>
      <c r="W9552" t="s">
        <v>41087</v>
      </c>
      <c r="X9552" t="s">
        <v>44770</v>
      </c>
    </row>
    <row r="9553" spans="1:24">
      <c r="A9553">
        <f>HYPERLINK("https://www.philgeps.gov.ph/GEPSNONPILOT/Tender/SplashBidNoticeAbstractUI.aspx?menuIndex=3&amp;refID=7137590&amp;Result=3","7137590")</f>
        <v>0</v>
      </c>
      <c r="B9553" t="s">
        <v>2999</v>
      </c>
      <c r="C9553" t="s">
        <v>12822</v>
      </c>
      <c r="D9553" t="s">
        <v>17963</v>
      </c>
      <c r="E9553" t="s">
        <v>26329</v>
      </c>
      <c r="F9553" t="s">
        <v>30900</v>
      </c>
      <c r="G9553" t="s">
        <v>30907</v>
      </c>
      <c r="H9553" t="s">
        <v>30915</v>
      </c>
      <c r="I9553" t="s">
        <v>30919</v>
      </c>
      <c r="J9553" t="s">
        <v>31153</v>
      </c>
      <c r="K9553" t="s">
        <v>40280</v>
      </c>
      <c r="M9553" t="s">
        <v>43803</v>
      </c>
      <c r="N9553" t="s">
        <v>44759</v>
      </c>
      <c r="O9553" t="s">
        <v>44760</v>
      </c>
      <c r="P9553">
        <v>0</v>
      </c>
      <c r="Q9553">
        <v>0</v>
      </c>
      <c r="R9553" t="s">
        <v>44769</v>
      </c>
      <c r="S9553" t="s">
        <v>45044</v>
      </c>
      <c r="T9553" t="s">
        <v>46395</v>
      </c>
      <c r="U9553" t="s">
        <v>54852</v>
      </c>
      <c r="V9553" t="s">
        <v>47619</v>
      </c>
      <c r="W9553" t="s">
        <v>43803</v>
      </c>
      <c r="X9553" t="s">
        <v>44770</v>
      </c>
    </row>
    <row r="9554" spans="1:24">
      <c r="A9554">
        <f>HYPERLINK("https://www.philgeps.gov.ph/GEPSNONPILOT/Tender/SplashBidNoticeAbstractUI.aspx?menuIndex=3&amp;refID=7137454&amp;Result=3","7137454")</f>
        <v>0</v>
      </c>
      <c r="B9554" t="s">
        <v>753</v>
      </c>
      <c r="C9554" t="s">
        <v>12823</v>
      </c>
      <c r="D9554" t="s">
        <v>17976</v>
      </c>
      <c r="E9554" t="s">
        <v>26330</v>
      </c>
      <c r="F9554" t="s">
        <v>30900</v>
      </c>
      <c r="G9554" t="s">
        <v>30907</v>
      </c>
      <c r="H9554" t="s">
        <v>30916</v>
      </c>
      <c r="I9554" t="s">
        <v>30933</v>
      </c>
      <c r="J9554" t="s">
        <v>37025</v>
      </c>
      <c r="K9554" t="s">
        <v>40280</v>
      </c>
      <c r="L9554" t="s">
        <v>753</v>
      </c>
      <c r="M9554" t="s">
        <v>41317</v>
      </c>
      <c r="N9554" t="s">
        <v>44759</v>
      </c>
      <c r="O9554" t="s">
        <v>44760</v>
      </c>
      <c r="P9554">
        <v>0</v>
      </c>
      <c r="Q9554">
        <v>1</v>
      </c>
      <c r="R9554" t="s">
        <v>44769</v>
      </c>
      <c r="S9554" t="s">
        <v>45044</v>
      </c>
      <c r="T9554" t="s">
        <v>46606</v>
      </c>
      <c r="U9554" t="s">
        <v>50039</v>
      </c>
      <c r="V9554" t="s">
        <v>59295</v>
      </c>
      <c r="W9554" t="s">
        <v>41317</v>
      </c>
      <c r="X9554" t="s">
        <v>44770</v>
      </c>
    </row>
    <row r="9555" spans="1:24">
      <c r="A9555">
        <f>HYPERLINK("https://www.philgeps.gov.ph/GEPSNONPILOT/Tender/SplashBidNoticeAbstractUI.aspx?menuIndex=3&amp;refID=7137584&amp;Result=3","7137584")</f>
        <v>0</v>
      </c>
      <c r="B9555" t="s">
        <v>2462</v>
      </c>
      <c r="C9555" t="s">
        <v>12824</v>
      </c>
      <c r="D9555" t="s">
        <v>17964</v>
      </c>
      <c r="E9555" t="s">
        <v>26331</v>
      </c>
      <c r="F9555" t="s">
        <v>30900</v>
      </c>
      <c r="G9555" t="s">
        <v>30907</v>
      </c>
      <c r="H9555" t="s">
        <v>30915</v>
      </c>
      <c r="I9555" t="s">
        <v>30919</v>
      </c>
      <c r="J9555" t="s">
        <v>37026</v>
      </c>
      <c r="K9555" t="s">
        <v>40392</v>
      </c>
      <c r="M9555" t="s">
        <v>43752</v>
      </c>
      <c r="N9555" t="s">
        <v>44759</v>
      </c>
      <c r="O9555" t="s">
        <v>44760</v>
      </c>
      <c r="P9555">
        <v>0</v>
      </c>
      <c r="Q9555">
        <v>2</v>
      </c>
      <c r="R9555" t="s">
        <v>44769</v>
      </c>
      <c r="S9555" t="s">
        <v>45044</v>
      </c>
      <c r="T9555" t="s">
        <v>46544</v>
      </c>
      <c r="U9555" t="s">
        <v>54871</v>
      </c>
      <c r="W9555" t="s">
        <v>43747</v>
      </c>
      <c r="X9555" t="s">
        <v>44770</v>
      </c>
    </row>
    <row r="9556" spans="1:24">
      <c r="A9556">
        <f>HYPERLINK("https://www.philgeps.gov.ph/GEPSNONPILOT/Tender/SplashBidNoticeAbstractUI.aspx?menuIndex=3&amp;refID=7137582&amp;Result=3","7137582")</f>
        <v>0</v>
      </c>
      <c r="B9556" t="s">
        <v>853</v>
      </c>
      <c r="C9556" t="s">
        <v>12825</v>
      </c>
      <c r="D9556" t="s">
        <v>18018</v>
      </c>
      <c r="E9556" t="s">
        <v>26332</v>
      </c>
      <c r="F9556" t="s">
        <v>30900</v>
      </c>
      <c r="G9556" t="s">
        <v>30907</v>
      </c>
      <c r="H9556" t="s">
        <v>30915</v>
      </c>
      <c r="I9556" t="s">
        <v>30919</v>
      </c>
      <c r="J9556" t="s">
        <v>37027</v>
      </c>
      <c r="K9556" t="s">
        <v>40280</v>
      </c>
      <c r="M9556" t="s">
        <v>41426</v>
      </c>
      <c r="N9556" t="s">
        <v>44759</v>
      </c>
      <c r="O9556" t="s">
        <v>44760</v>
      </c>
      <c r="P9556">
        <v>0</v>
      </c>
      <c r="Q9556">
        <v>0</v>
      </c>
      <c r="R9556" t="s">
        <v>44769</v>
      </c>
      <c r="S9556" t="s">
        <v>45044</v>
      </c>
      <c r="T9556" t="s">
        <v>46595</v>
      </c>
      <c r="U9556" t="s">
        <v>54807</v>
      </c>
      <c r="W9556" t="s">
        <v>41426</v>
      </c>
      <c r="X9556" t="s">
        <v>44770</v>
      </c>
    </row>
    <row r="9557" spans="1:24">
      <c r="A9557">
        <f>HYPERLINK("https://www.philgeps.gov.ph/GEPSNONPILOT/Tender/SplashBidNoticeAbstractUI.aspx?menuIndex=3&amp;refID=7137580&amp;Result=3","7137580")</f>
        <v>0</v>
      </c>
      <c r="B9557" t="s">
        <v>3006</v>
      </c>
      <c r="C9557" t="s">
        <v>12826</v>
      </c>
      <c r="D9557" t="s">
        <v>17985</v>
      </c>
      <c r="E9557" t="s">
        <v>22726</v>
      </c>
      <c r="F9557" t="s">
        <v>30900</v>
      </c>
      <c r="G9557" t="s">
        <v>30907</v>
      </c>
      <c r="H9557" t="s">
        <v>30916</v>
      </c>
      <c r="I9557" t="s">
        <v>8123</v>
      </c>
      <c r="J9557" t="s">
        <v>37028</v>
      </c>
      <c r="K9557" t="s">
        <v>40283</v>
      </c>
      <c r="L9557" t="s">
        <v>3006</v>
      </c>
      <c r="M9557" t="s">
        <v>43812</v>
      </c>
      <c r="N9557" t="s">
        <v>44759</v>
      </c>
      <c r="O9557" t="s">
        <v>44760</v>
      </c>
      <c r="P9557">
        <v>0</v>
      </c>
      <c r="Q9557">
        <v>0</v>
      </c>
      <c r="R9557" t="s">
        <v>44769</v>
      </c>
      <c r="S9557" t="s">
        <v>45044</v>
      </c>
      <c r="T9557" t="s">
        <v>46363</v>
      </c>
      <c r="U9557" t="s">
        <v>54872</v>
      </c>
      <c r="W9557" t="s">
        <v>43812</v>
      </c>
      <c r="X9557" t="s">
        <v>44770</v>
      </c>
    </row>
    <row r="9558" spans="1:24">
      <c r="A9558">
        <f>HYPERLINK("https://www.philgeps.gov.ph/GEPSNONPILOT/Tender/SplashBidNoticeAbstractUI.aspx?menuIndex=3&amp;refID=7137605&amp;Result=3","7137605")</f>
        <v>0</v>
      </c>
      <c r="B9558" t="s">
        <v>3003</v>
      </c>
      <c r="C9558" t="s">
        <v>12827</v>
      </c>
      <c r="D9558" t="s">
        <v>17952</v>
      </c>
      <c r="E9558" t="s">
        <v>26333</v>
      </c>
      <c r="F9558" t="s">
        <v>30900</v>
      </c>
      <c r="G9558" t="s">
        <v>30907</v>
      </c>
      <c r="H9558" t="s">
        <v>30916</v>
      </c>
      <c r="I9558" t="s">
        <v>4142</v>
      </c>
      <c r="J9558" t="s">
        <v>37029</v>
      </c>
      <c r="K9558" t="s">
        <v>40286</v>
      </c>
      <c r="M9558" t="s">
        <v>43807</v>
      </c>
      <c r="N9558" t="s">
        <v>44759</v>
      </c>
      <c r="O9558" t="s">
        <v>44760</v>
      </c>
      <c r="P9558">
        <v>0</v>
      </c>
      <c r="Q9558">
        <v>5</v>
      </c>
      <c r="R9558" t="s">
        <v>44769</v>
      </c>
      <c r="S9558" t="s">
        <v>45044</v>
      </c>
      <c r="T9558" t="s">
        <v>46544</v>
      </c>
      <c r="U9558" t="s">
        <v>54873</v>
      </c>
      <c r="W9558" t="s">
        <v>43807</v>
      </c>
      <c r="X9558" t="s">
        <v>44770</v>
      </c>
    </row>
    <row r="9559" spans="1:24">
      <c r="A9559">
        <f>HYPERLINK("https://www.philgeps.gov.ph/GEPSNONPILOT/Tender/SplashBidNoticeAbstractUI.aspx?menuIndex=3&amp;refID=7137576&amp;Result=3","7137576")</f>
        <v>0</v>
      </c>
      <c r="B9559" t="s">
        <v>545</v>
      </c>
      <c r="C9559" t="s">
        <v>12828</v>
      </c>
      <c r="D9559" t="s">
        <v>17951</v>
      </c>
      <c r="E9559" t="s">
        <v>26334</v>
      </c>
      <c r="F9559" t="s">
        <v>30900</v>
      </c>
      <c r="G9559" t="s">
        <v>30907</v>
      </c>
      <c r="H9559" t="s">
        <v>30915</v>
      </c>
      <c r="I9559" t="s">
        <v>30919</v>
      </c>
      <c r="J9559" t="s">
        <v>37030</v>
      </c>
      <c r="K9559" t="s">
        <v>40289</v>
      </c>
      <c r="M9559" t="s">
        <v>41106</v>
      </c>
      <c r="N9559" t="s">
        <v>44759</v>
      </c>
      <c r="O9559" t="s">
        <v>44760</v>
      </c>
      <c r="P9559">
        <v>0</v>
      </c>
      <c r="Q9559">
        <v>0</v>
      </c>
      <c r="R9559" t="s">
        <v>44769</v>
      </c>
      <c r="S9559" t="s">
        <v>45044</v>
      </c>
      <c r="T9559" t="s">
        <v>46503</v>
      </c>
      <c r="U9559" t="s">
        <v>54874</v>
      </c>
      <c r="W9559" t="s">
        <v>41106</v>
      </c>
      <c r="X9559" t="s">
        <v>44770</v>
      </c>
    </row>
    <row r="9560" spans="1:24">
      <c r="A9560">
        <f>HYPERLINK("https://www.philgeps.gov.ph/GEPSNONPILOT/Tender/SplashBidNoticeAbstractUI.aspx?menuIndex=3&amp;refID=7137602&amp;Result=3","7137602")</f>
        <v>0</v>
      </c>
      <c r="B9560" t="s">
        <v>2963</v>
      </c>
      <c r="C9560" t="s">
        <v>12829</v>
      </c>
      <c r="D9560" t="s">
        <v>17960</v>
      </c>
      <c r="E9560" t="s">
        <v>26178</v>
      </c>
      <c r="F9560" t="s">
        <v>30900</v>
      </c>
      <c r="G9560" t="s">
        <v>30907</v>
      </c>
      <c r="H9560" t="s">
        <v>30916</v>
      </c>
      <c r="I9560" t="s">
        <v>30919</v>
      </c>
      <c r="J9560" t="s">
        <v>37031</v>
      </c>
      <c r="K9560" t="s">
        <v>40292</v>
      </c>
      <c r="M9560" t="s">
        <v>43764</v>
      </c>
      <c r="N9560" t="s">
        <v>44759</v>
      </c>
      <c r="O9560" t="s">
        <v>44760</v>
      </c>
      <c r="Q9560">
        <v>5</v>
      </c>
      <c r="R9560" t="s">
        <v>44769</v>
      </c>
      <c r="S9560" t="s">
        <v>45075</v>
      </c>
      <c r="T9560" t="s">
        <v>46472</v>
      </c>
      <c r="U9560" t="s">
        <v>54722</v>
      </c>
      <c r="W9560" t="s">
        <v>43764</v>
      </c>
      <c r="X9560" t="s">
        <v>44770</v>
      </c>
    </row>
    <row r="9561" spans="1:24">
      <c r="A9561">
        <f>HYPERLINK("https://www.philgeps.gov.ph/GEPSNONPILOT/Tender/SplashBidNoticeAbstractUI.aspx?menuIndex=3&amp;refID=7137575&amp;Result=3","7137575")</f>
        <v>0</v>
      </c>
      <c r="B9561" t="s">
        <v>3007</v>
      </c>
      <c r="C9561" t="s">
        <v>12830</v>
      </c>
      <c r="D9561" t="s">
        <v>17985</v>
      </c>
      <c r="E9561" t="s">
        <v>26335</v>
      </c>
      <c r="F9561" t="s">
        <v>30900</v>
      </c>
      <c r="G9561" t="s">
        <v>30907</v>
      </c>
      <c r="H9561" t="s">
        <v>30916</v>
      </c>
      <c r="I9561" t="s">
        <v>31004</v>
      </c>
      <c r="J9561" t="s">
        <v>32074</v>
      </c>
      <c r="K9561" t="s">
        <v>40287</v>
      </c>
      <c r="M9561" t="s">
        <v>43813</v>
      </c>
      <c r="N9561" t="s">
        <v>44759</v>
      </c>
      <c r="O9561" t="s">
        <v>44760</v>
      </c>
      <c r="P9561">
        <v>0</v>
      </c>
      <c r="Q9561">
        <v>10</v>
      </c>
      <c r="R9561" t="s">
        <v>44769</v>
      </c>
      <c r="S9561" t="s">
        <v>45044</v>
      </c>
      <c r="T9561" t="s">
        <v>46503</v>
      </c>
      <c r="U9561" t="s">
        <v>54875</v>
      </c>
      <c r="V9561" t="s">
        <v>60165</v>
      </c>
      <c r="W9561" t="s">
        <v>43813</v>
      </c>
      <c r="X9561" t="s">
        <v>44770</v>
      </c>
    </row>
    <row r="9562" spans="1:24">
      <c r="A9562">
        <f>HYPERLINK("https://www.philgeps.gov.ph/GEPSNONPILOT/Tender/SplashBidNoticeAbstractUI.aspx?menuIndex=3&amp;refID=7137586&amp;Result=3","7137586")</f>
        <v>0</v>
      </c>
      <c r="B9562" t="s">
        <v>2930</v>
      </c>
      <c r="C9562" t="s">
        <v>12831</v>
      </c>
      <c r="D9562" t="s">
        <v>17985</v>
      </c>
      <c r="E9562" t="s">
        <v>26336</v>
      </c>
      <c r="F9562" t="s">
        <v>30900</v>
      </c>
      <c r="G9562" t="s">
        <v>30907</v>
      </c>
      <c r="H9562" t="s">
        <v>30916</v>
      </c>
      <c r="I9562" t="s">
        <v>30924</v>
      </c>
      <c r="J9562" t="s">
        <v>31183</v>
      </c>
      <c r="K9562" t="s">
        <v>40284</v>
      </c>
      <c r="M9562" t="s">
        <v>43726</v>
      </c>
      <c r="N9562" t="s">
        <v>44759</v>
      </c>
      <c r="O9562" t="s">
        <v>44760</v>
      </c>
      <c r="P9562">
        <v>0</v>
      </c>
      <c r="Q9562">
        <v>2</v>
      </c>
      <c r="R9562" t="s">
        <v>44769</v>
      </c>
      <c r="S9562" t="s">
        <v>45044</v>
      </c>
      <c r="T9562" t="s">
        <v>46771</v>
      </c>
      <c r="U9562" t="s">
        <v>54876</v>
      </c>
      <c r="W9562" t="s">
        <v>43726</v>
      </c>
      <c r="X9562" t="s">
        <v>44770</v>
      </c>
    </row>
    <row r="9563" spans="1:24">
      <c r="A9563">
        <f>HYPERLINK("https://www.philgeps.gov.ph/GEPSNONPILOT/Tender/SplashBidNoticeAbstractUI.aspx?menuIndex=3&amp;refID=7137574&amp;Result=3","7137574")</f>
        <v>0</v>
      </c>
      <c r="B9563" t="s">
        <v>1572</v>
      </c>
      <c r="C9563" t="s">
        <v>12832</v>
      </c>
      <c r="E9563" t="s">
        <v>26337</v>
      </c>
      <c r="F9563" t="s">
        <v>30900</v>
      </c>
      <c r="G9563" t="s">
        <v>30907</v>
      </c>
      <c r="H9563" t="s">
        <v>30915</v>
      </c>
      <c r="I9563" t="s">
        <v>30919</v>
      </c>
      <c r="J9563" t="s">
        <v>37018</v>
      </c>
      <c r="K9563" t="s">
        <v>40341</v>
      </c>
      <c r="M9563" t="s">
        <v>43808</v>
      </c>
      <c r="N9563" t="s">
        <v>44759</v>
      </c>
      <c r="O9563" t="s">
        <v>44760</v>
      </c>
      <c r="Q9563">
        <v>8</v>
      </c>
      <c r="R9563" t="s">
        <v>44769</v>
      </c>
      <c r="S9563" t="s">
        <v>45076</v>
      </c>
      <c r="T9563" t="s">
        <v>46519</v>
      </c>
      <c r="U9563" t="s">
        <v>54877</v>
      </c>
      <c r="W9563" t="s">
        <v>43808</v>
      </c>
      <c r="X9563" t="s">
        <v>44770</v>
      </c>
    </row>
    <row r="9564" spans="1:24">
      <c r="A9564">
        <f>HYPERLINK("https://www.philgeps.gov.ph/GEPSNONPILOT/Tender/SplashBidNoticeAbstractUI.aspx?menuIndex=3&amp;refID=7137572&amp;Result=3","7137572")</f>
        <v>0</v>
      </c>
      <c r="B9564" t="s">
        <v>3008</v>
      </c>
      <c r="C9564" t="s">
        <v>12833</v>
      </c>
      <c r="D9564" t="s">
        <v>17977</v>
      </c>
      <c r="E9564" t="s">
        <v>18752</v>
      </c>
      <c r="F9564" t="s">
        <v>30900</v>
      </c>
      <c r="G9564" t="s">
        <v>30909</v>
      </c>
      <c r="H9564" t="s">
        <v>30916</v>
      </c>
      <c r="I9564" t="s">
        <v>4108</v>
      </c>
      <c r="J9564" t="s">
        <v>37032</v>
      </c>
      <c r="K9564" t="s">
        <v>40284</v>
      </c>
      <c r="M9564" t="s">
        <v>43814</v>
      </c>
      <c r="N9564" t="s">
        <v>44759</v>
      </c>
      <c r="O9564" t="s">
        <v>44760</v>
      </c>
      <c r="P9564">
        <v>0</v>
      </c>
      <c r="Q9564">
        <v>0</v>
      </c>
      <c r="R9564" t="s">
        <v>44769</v>
      </c>
      <c r="S9564" t="s">
        <v>45044</v>
      </c>
      <c r="T9564" t="s">
        <v>46410</v>
      </c>
      <c r="U9564" t="s">
        <v>54878</v>
      </c>
      <c r="W9564" t="s">
        <v>43814</v>
      </c>
      <c r="X9564" t="s">
        <v>44770</v>
      </c>
    </row>
    <row r="9565" spans="1:24">
      <c r="A9565">
        <f>HYPERLINK("https://www.philgeps.gov.ph/GEPSNONPILOT/Tender/SplashBidNoticeAbstractUI.aspx?menuIndex=3&amp;refID=7137564&amp;Result=3","7137564")</f>
        <v>0</v>
      </c>
      <c r="B9565" t="s">
        <v>810</v>
      </c>
      <c r="C9565" t="s">
        <v>12834</v>
      </c>
      <c r="D9565" t="s">
        <v>18017</v>
      </c>
      <c r="E9565" t="s">
        <v>26338</v>
      </c>
      <c r="F9565" t="s">
        <v>30900</v>
      </c>
      <c r="G9565" t="s">
        <v>30907</v>
      </c>
      <c r="H9565" t="s">
        <v>30916</v>
      </c>
      <c r="I9565" t="s">
        <v>8123</v>
      </c>
      <c r="J9565" t="s">
        <v>37033</v>
      </c>
      <c r="K9565" t="s">
        <v>40286</v>
      </c>
      <c r="M9565" t="s">
        <v>41381</v>
      </c>
      <c r="N9565" t="s">
        <v>44759</v>
      </c>
      <c r="O9565" t="s">
        <v>44760</v>
      </c>
      <c r="P9565">
        <v>0</v>
      </c>
      <c r="Q9565">
        <v>2</v>
      </c>
      <c r="R9565" t="s">
        <v>44769</v>
      </c>
      <c r="S9565" t="s">
        <v>45044</v>
      </c>
      <c r="T9565" t="s">
        <v>46581</v>
      </c>
      <c r="U9565" t="s">
        <v>54879</v>
      </c>
      <c r="W9565" t="s">
        <v>41381</v>
      </c>
      <c r="X9565" t="s">
        <v>44770</v>
      </c>
    </row>
    <row r="9566" spans="1:24">
      <c r="A9566">
        <f>HYPERLINK("https://www.philgeps.gov.ph/GEPSNONPILOT/Tender/SplashBidNoticeAbstractUI.aspx?menuIndex=3&amp;refID=7137612&amp;Result=3","7137612")</f>
        <v>0</v>
      </c>
      <c r="B9566" t="s">
        <v>1314</v>
      </c>
      <c r="C9566" t="s">
        <v>12835</v>
      </c>
      <c r="D9566" t="s">
        <v>17961</v>
      </c>
      <c r="E9566" t="s">
        <v>26339</v>
      </c>
      <c r="F9566" t="s">
        <v>30900</v>
      </c>
      <c r="G9566" t="s">
        <v>30913</v>
      </c>
      <c r="H9566" t="s">
        <v>7411</v>
      </c>
      <c r="I9566" t="s">
        <v>7411</v>
      </c>
      <c r="J9566" t="s">
        <v>37034</v>
      </c>
      <c r="K9566" t="s">
        <v>40289</v>
      </c>
      <c r="L9566" t="s">
        <v>1314</v>
      </c>
      <c r="M9566" t="s">
        <v>41932</v>
      </c>
      <c r="N9566" t="s">
        <v>44759</v>
      </c>
      <c r="O9566" t="s">
        <v>44760</v>
      </c>
      <c r="Q9566">
        <v>4</v>
      </c>
      <c r="R9566" t="s">
        <v>44769</v>
      </c>
      <c r="S9566" t="s">
        <v>45077</v>
      </c>
      <c r="T9566" t="s">
        <v>46508</v>
      </c>
      <c r="U9566" t="s">
        <v>54880</v>
      </c>
      <c r="W9566" t="s">
        <v>41932</v>
      </c>
      <c r="X9566" t="s">
        <v>44770</v>
      </c>
    </row>
    <row r="9567" spans="1:24">
      <c r="A9567">
        <f>HYPERLINK("https://www.philgeps.gov.ph/GEPSNONPILOT/Tender/SplashBidNoticeAbstractUI.aspx?menuIndex=3&amp;refID=7137562&amp;Result=3","7137562")</f>
        <v>0</v>
      </c>
      <c r="B9567" t="s">
        <v>1572</v>
      </c>
      <c r="C9567" t="s">
        <v>12836</v>
      </c>
      <c r="E9567" t="s">
        <v>26340</v>
      </c>
      <c r="F9567" t="s">
        <v>30900</v>
      </c>
      <c r="G9567" t="s">
        <v>30907</v>
      </c>
      <c r="H9567" t="s">
        <v>30915</v>
      </c>
      <c r="I9567" t="s">
        <v>30919</v>
      </c>
      <c r="J9567" t="s">
        <v>37018</v>
      </c>
      <c r="K9567" t="s">
        <v>40341</v>
      </c>
      <c r="M9567" t="s">
        <v>43808</v>
      </c>
      <c r="N9567" t="s">
        <v>44759</v>
      </c>
      <c r="O9567" t="s">
        <v>44760</v>
      </c>
      <c r="Q9567">
        <v>7</v>
      </c>
      <c r="R9567" t="s">
        <v>44769</v>
      </c>
      <c r="S9567" t="s">
        <v>45078</v>
      </c>
      <c r="T9567" t="s">
        <v>46519</v>
      </c>
      <c r="U9567" t="s">
        <v>54881</v>
      </c>
      <c r="W9567" t="s">
        <v>43808</v>
      </c>
      <c r="X9567" t="s">
        <v>44770</v>
      </c>
    </row>
    <row r="9568" spans="1:24">
      <c r="A9568">
        <f>HYPERLINK("https://www.philgeps.gov.ph/GEPSNONPILOT/Tender/SplashBidNoticeAbstractUI.aspx?menuIndex=3&amp;refID=7137578&amp;Result=3","7137578")</f>
        <v>0</v>
      </c>
      <c r="B9568" t="s">
        <v>3009</v>
      </c>
      <c r="C9568" t="s">
        <v>3996</v>
      </c>
      <c r="D9568" t="s">
        <v>17997</v>
      </c>
      <c r="E9568" t="s">
        <v>26341</v>
      </c>
      <c r="F9568" t="s">
        <v>30900</v>
      </c>
      <c r="G9568" t="s">
        <v>30907</v>
      </c>
      <c r="H9568" t="s">
        <v>30916</v>
      </c>
      <c r="I9568" t="s">
        <v>4142</v>
      </c>
      <c r="J9568" t="s">
        <v>37035</v>
      </c>
      <c r="K9568" t="s">
        <v>40284</v>
      </c>
      <c r="M9568" t="s">
        <v>43815</v>
      </c>
      <c r="N9568" t="s">
        <v>44759</v>
      </c>
      <c r="O9568" t="s">
        <v>44760</v>
      </c>
      <c r="P9568">
        <v>0</v>
      </c>
      <c r="Q9568">
        <v>0</v>
      </c>
      <c r="R9568" t="s">
        <v>44769</v>
      </c>
      <c r="S9568" t="s">
        <v>45044</v>
      </c>
      <c r="T9568" t="s">
        <v>46411</v>
      </c>
      <c r="U9568" t="s">
        <v>54882</v>
      </c>
      <c r="W9568" t="s">
        <v>43815</v>
      </c>
      <c r="X9568" t="s">
        <v>44770</v>
      </c>
    </row>
    <row r="9569" spans="1:24">
      <c r="A9569">
        <f>HYPERLINK("https://www.philgeps.gov.ph/GEPSNONPILOT/Tender/SplashBidNoticeAbstractUI.aspx?menuIndex=3&amp;refID=7137545&amp;Result=3","7137545")</f>
        <v>0</v>
      </c>
      <c r="B9569" t="s">
        <v>2930</v>
      </c>
      <c r="C9569" t="s">
        <v>12837</v>
      </c>
      <c r="D9569" t="s">
        <v>17985</v>
      </c>
      <c r="E9569" t="s">
        <v>26342</v>
      </c>
      <c r="F9569" t="s">
        <v>30900</v>
      </c>
      <c r="G9569" t="s">
        <v>30907</v>
      </c>
      <c r="H9569" t="s">
        <v>30916</v>
      </c>
      <c r="I9569" t="s">
        <v>30924</v>
      </c>
      <c r="J9569" t="s">
        <v>33156</v>
      </c>
      <c r="K9569" t="s">
        <v>40284</v>
      </c>
      <c r="M9569" t="s">
        <v>43726</v>
      </c>
      <c r="N9569" t="s">
        <v>44759</v>
      </c>
      <c r="O9569" t="s">
        <v>44760</v>
      </c>
      <c r="P9569">
        <v>0</v>
      </c>
      <c r="Q9569">
        <v>2</v>
      </c>
      <c r="R9569" t="s">
        <v>44769</v>
      </c>
      <c r="S9569" t="s">
        <v>45044</v>
      </c>
      <c r="T9569" t="s">
        <v>46771</v>
      </c>
      <c r="U9569" t="s">
        <v>54883</v>
      </c>
      <c r="W9569" t="s">
        <v>43726</v>
      </c>
      <c r="X9569" t="s">
        <v>44770</v>
      </c>
    </row>
    <row r="9570" spans="1:24">
      <c r="A9570">
        <f>HYPERLINK("https://www.philgeps.gov.ph/GEPSNONPILOT/Tender/SplashBidNoticeAbstractUI.aspx?menuIndex=3&amp;refID=7137498&amp;Result=3","7137498")</f>
        <v>0</v>
      </c>
      <c r="B9570" t="s">
        <v>1246</v>
      </c>
      <c r="C9570" t="s">
        <v>12838</v>
      </c>
      <c r="E9570" t="s">
        <v>26343</v>
      </c>
      <c r="F9570" t="s">
        <v>30900</v>
      </c>
      <c r="G9570" t="s">
        <v>30907</v>
      </c>
      <c r="H9570" t="s">
        <v>30915</v>
      </c>
      <c r="I9570" t="s">
        <v>30919</v>
      </c>
      <c r="J9570" t="s">
        <v>31069</v>
      </c>
      <c r="K9570" t="s">
        <v>40289</v>
      </c>
      <c r="M9570" t="s">
        <v>41858</v>
      </c>
      <c r="N9570" t="s">
        <v>44759</v>
      </c>
      <c r="O9570" t="s">
        <v>44760</v>
      </c>
      <c r="P9570">
        <v>0</v>
      </c>
      <c r="Q9570">
        <v>6</v>
      </c>
      <c r="R9570" t="s">
        <v>44769</v>
      </c>
      <c r="S9570" t="s">
        <v>45044</v>
      </c>
      <c r="T9570" t="s">
        <v>46511</v>
      </c>
      <c r="U9570" t="s">
        <v>54884</v>
      </c>
      <c r="W9570" t="s">
        <v>41858</v>
      </c>
      <c r="X9570" t="s">
        <v>44770</v>
      </c>
    </row>
    <row r="9571" spans="1:24">
      <c r="A9571">
        <f>HYPERLINK("https://www.philgeps.gov.ph/GEPSNONPILOT/Tender/SplashBidNoticeAbstractUI.aspx?menuIndex=3&amp;refID=7137503&amp;Result=3","7137503")</f>
        <v>0</v>
      </c>
      <c r="B9571" t="s">
        <v>2930</v>
      </c>
      <c r="C9571" t="s">
        <v>12839</v>
      </c>
      <c r="D9571" t="s">
        <v>17985</v>
      </c>
      <c r="E9571" t="s">
        <v>26344</v>
      </c>
      <c r="F9571" t="s">
        <v>30900</v>
      </c>
      <c r="G9571" t="s">
        <v>30907</v>
      </c>
      <c r="H9571" t="s">
        <v>30916</v>
      </c>
      <c r="I9571" t="s">
        <v>30924</v>
      </c>
      <c r="J9571" t="s">
        <v>31826</v>
      </c>
      <c r="K9571" t="s">
        <v>40284</v>
      </c>
      <c r="M9571" t="s">
        <v>43726</v>
      </c>
      <c r="N9571" t="s">
        <v>44759</v>
      </c>
      <c r="O9571" t="s">
        <v>44760</v>
      </c>
      <c r="P9571">
        <v>0</v>
      </c>
      <c r="Q9571">
        <v>5</v>
      </c>
      <c r="R9571" t="s">
        <v>44769</v>
      </c>
      <c r="S9571" t="s">
        <v>45044</v>
      </c>
      <c r="T9571" t="s">
        <v>46771</v>
      </c>
      <c r="U9571" t="s">
        <v>54885</v>
      </c>
      <c r="W9571" t="s">
        <v>43726</v>
      </c>
      <c r="X9571" t="s">
        <v>44770</v>
      </c>
    </row>
    <row r="9572" spans="1:24">
      <c r="A9572">
        <f>HYPERLINK("https://www.philgeps.gov.ph/GEPSNONPILOT/Tender/SplashBidNoticeAbstractUI.aspx?menuIndex=3&amp;refID=7137445&amp;Result=3","7137445")</f>
        <v>0</v>
      </c>
      <c r="B9572" t="s">
        <v>704</v>
      </c>
      <c r="C9572" t="s">
        <v>12840</v>
      </c>
      <c r="D9572" t="s">
        <v>17987</v>
      </c>
      <c r="E9572" t="s">
        <v>26345</v>
      </c>
      <c r="F9572" t="s">
        <v>30900</v>
      </c>
      <c r="G9572" t="s">
        <v>30908</v>
      </c>
      <c r="H9572" t="s">
        <v>30916</v>
      </c>
      <c r="I9572" t="s">
        <v>4050</v>
      </c>
      <c r="J9572" t="s">
        <v>31282</v>
      </c>
      <c r="K9572" t="s">
        <v>40283</v>
      </c>
      <c r="M9572" t="s">
        <v>42242</v>
      </c>
      <c r="N9572" t="s">
        <v>44759</v>
      </c>
      <c r="O9572" t="s">
        <v>44760</v>
      </c>
      <c r="P9572">
        <v>0</v>
      </c>
      <c r="Q9572">
        <v>1</v>
      </c>
      <c r="R9572" t="s">
        <v>44769</v>
      </c>
      <c r="S9572" t="s">
        <v>45044</v>
      </c>
      <c r="T9572" t="s">
        <v>46662</v>
      </c>
      <c r="U9572" t="s">
        <v>54886</v>
      </c>
      <c r="W9572" t="s">
        <v>42242</v>
      </c>
      <c r="X9572" t="s">
        <v>44770</v>
      </c>
    </row>
    <row r="9573" spans="1:24">
      <c r="A9573">
        <f>HYPERLINK("https://www.philgeps.gov.ph/GEPSNONPILOT/Tender/SplashBidNoticeAbstractUI.aspx?menuIndex=3&amp;refID=7137442&amp;Result=3","7137442")</f>
        <v>0</v>
      </c>
      <c r="B9573" t="s">
        <v>2063</v>
      </c>
      <c r="C9573" t="s">
        <v>12841</v>
      </c>
      <c r="D9573" t="s">
        <v>17977</v>
      </c>
      <c r="E9573" t="s">
        <v>26346</v>
      </c>
      <c r="F9573" t="s">
        <v>30900</v>
      </c>
      <c r="G9573" t="s">
        <v>30907</v>
      </c>
      <c r="H9573" t="s">
        <v>30915</v>
      </c>
      <c r="I9573" t="s">
        <v>30919</v>
      </c>
      <c r="J9573" t="s">
        <v>31172</v>
      </c>
      <c r="K9573" t="s">
        <v>40289</v>
      </c>
      <c r="L9573" t="s">
        <v>2063</v>
      </c>
      <c r="M9573" t="s">
        <v>43801</v>
      </c>
      <c r="N9573" t="s">
        <v>44759</v>
      </c>
      <c r="O9573" t="s">
        <v>44760</v>
      </c>
      <c r="P9573">
        <v>0</v>
      </c>
      <c r="Q9573">
        <v>0</v>
      </c>
      <c r="R9573" t="s">
        <v>44769</v>
      </c>
      <c r="S9573" t="s">
        <v>45044</v>
      </c>
      <c r="T9573" t="s">
        <v>46495</v>
      </c>
      <c r="U9573" t="s">
        <v>54829</v>
      </c>
      <c r="V9573" t="s">
        <v>60156</v>
      </c>
      <c r="W9573" t="s">
        <v>43801</v>
      </c>
      <c r="X9573" t="s">
        <v>44770</v>
      </c>
    </row>
    <row r="9574" spans="1:24">
      <c r="A9574">
        <f>HYPERLINK("https://www.philgeps.gov.ph/GEPSNONPILOT/Tender/SplashBidNoticeAbstractUI.aspx?menuIndex=3&amp;refID=7137446&amp;Result=3","7137446")</f>
        <v>0</v>
      </c>
      <c r="B9574" t="s">
        <v>2722</v>
      </c>
      <c r="C9574" t="s">
        <v>12842</v>
      </c>
      <c r="D9574" t="s">
        <v>17978</v>
      </c>
      <c r="E9574" t="s">
        <v>12842</v>
      </c>
      <c r="F9574" t="s">
        <v>30900</v>
      </c>
      <c r="G9574" t="s">
        <v>30907</v>
      </c>
      <c r="H9574" t="s">
        <v>30916</v>
      </c>
      <c r="I9574" t="s">
        <v>30921</v>
      </c>
      <c r="J9574" t="s">
        <v>37036</v>
      </c>
      <c r="K9574" t="s">
        <v>40286</v>
      </c>
      <c r="L9574" t="s">
        <v>2722</v>
      </c>
      <c r="M9574" t="s">
        <v>43497</v>
      </c>
      <c r="N9574" t="s">
        <v>44759</v>
      </c>
      <c r="O9574" t="s">
        <v>44760</v>
      </c>
      <c r="P9574">
        <v>0</v>
      </c>
      <c r="Q9574">
        <v>4</v>
      </c>
      <c r="R9574" t="s">
        <v>44769</v>
      </c>
      <c r="S9574" t="s">
        <v>45044</v>
      </c>
      <c r="T9574" t="s">
        <v>46709</v>
      </c>
      <c r="U9574" t="s">
        <v>54887</v>
      </c>
      <c r="W9574" t="s">
        <v>43497</v>
      </c>
      <c r="X9574" t="s">
        <v>44770</v>
      </c>
    </row>
    <row r="9575" spans="1:24">
      <c r="A9575">
        <f>HYPERLINK("https://www.philgeps.gov.ph/GEPSNONPILOT/Tender/SplashBidNoticeAbstractUI.aspx?menuIndex=3&amp;refID=7137573&amp;Result=3","7137573")</f>
        <v>0</v>
      </c>
      <c r="B9575" t="s">
        <v>1314</v>
      </c>
      <c r="C9575" t="s">
        <v>12843</v>
      </c>
      <c r="D9575" t="s">
        <v>18019</v>
      </c>
      <c r="E9575" t="s">
        <v>26347</v>
      </c>
      <c r="F9575" t="s">
        <v>30900</v>
      </c>
      <c r="G9575" t="s">
        <v>30913</v>
      </c>
      <c r="H9575" t="s">
        <v>7411</v>
      </c>
      <c r="I9575" t="s">
        <v>7411</v>
      </c>
      <c r="J9575" t="s">
        <v>37037</v>
      </c>
      <c r="K9575" t="s">
        <v>40289</v>
      </c>
      <c r="L9575" t="s">
        <v>1314</v>
      </c>
      <c r="M9575" t="s">
        <v>41932</v>
      </c>
      <c r="N9575" t="s">
        <v>44759</v>
      </c>
      <c r="O9575" t="s">
        <v>44760</v>
      </c>
      <c r="Q9575">
        <v>5</v>
      </c>
      <c r="R9575" t="s">
        <v>44769</v>
      </c>
      <c r="S9575" t="s">
        <v>45079</v>
      </c>
      <c r="T9575" t="s">
        <v>46508</v>
      </c>
      <c r="U9575" t="s">
        <v>54888</v>
      </c>
      <c r="W9575" t="s">
        <v>41932</v>
      </c>
      <c r="X9575" t="s">
        <v>44770</v>
      </c>
    </row>
    <row r="9576" spans="1:24">
      <c r="A9576">
        <f>HYPERLINK("https://www.philgeps.gov.ph/GEPSNONPILOT/Tender/SplashBidNoticeAbstractUI.aspx?menuIndex=3&amp;refID=7137355&amp;Result=3","7137355")</f>
        <v>0</v>
      </c>
      <c r="B9576" t="s">
        <v>2722</v>
      </c>
      <c r="C9576" t="s">
        <v>12844</v>
      </c>
      <c r="D9576" t="s">
        <v>17978</v>
      </c>
      <c r="E9576" t="s">
        <v>12844</v>
      </c>
      <c r="F9576" t="s">
        <v>30900</v>
      </c>
      <c r="G9576" t="s">
        <v>30907</v>
      </c>
      <c r="H9576" t="s">
        <v>30916</v>
      </c>
      <c r="I9576" t="s">
        <v>6396</v>
      </c>
      <c r="J9576" t="s">
        <v>37038</v>
      </c>
      <c r="K9576" t="s">
        <v>40286</v>
      </c>
      <c r="L9576" t="s">
        <v>2722</v>
      </c>
      <c r="M9576" t="s">
        <v>43497</v>
      </c>
      <c r="N9576" t="s">
        <v>44759</v>
      </c>
      <c r="O9576" t="s">
        <v>44760</v>
      </c>
      <c r="P9576">
        <v>0</v>
      </c>
      <c r="Q9576">
        <v>10</v>
      </c>
      <c r="R9576" t="s">
        <v>44769</v>
      </c>
      <c r="S9576" t="s">
        <v>45044</v>
      </c>
      <c r="T9576" t="s">
        <v>46595</v>
      </c>
      <c r="U9576" t="s">
        <v>54887</v>
      </c>
      <c r="W9576" t="s">
        <v>43497</v>
      </c>
      <c r="X9576" t="s">
        <v>44770</v>
      </c>
    </row>
    <row r="9577" spans="1:24">
      <c r="A9577">
        <f>HYPERLINK("https://www.philgeps.gov.ph/GEPSNONPILOT/Tender/SplashBidNoticeAbstractUI.aspx?menuIndex=3&amp;refID=7137226&amp;Result=3","7137226")</f>
        <v>0</v>
      </c>
      <c r="B9577" t="s">
        <v>3010</v>
      </c>
      <c r="C9577" t="s">
        <v>12845</v>
      </c>
      <c r="D9577" t="s">
        <v>17953</v>
      </c>
      <c r="E9577" t="s">
        <v>19293</v>
      </c>
      <c r="F9577" t="s">
        <v>30900</v>
      </c>
      <c r="G9577" t="s">
        <v>30907</v>
      </c>
      <c r="H9577" t="s">
        <v>30917</v>
      </c>
      <c r="I9577" t="s">
        <v>30933</v>
      </c>
      <c r="J9577" t="s">
        <v>32049</v>
      </c>
      <c r="K9577" t="s">
        <v>40286</v>
      </c>
      <c r="M9577" t="s">
        <v>43816</v>
      </c>
      <c r="N9577" t="s">
        <v>44759</v>
      </c>
      <c r="O9577" t="s">
        <v>44760</v>
      </c>
      <c r="P9577">
        <v>0</v>
      </c>
      <c r="Q9577">
        <v>2</v>
      </c>
      <c r="R9577" t="s">
        <v>44769</v>
      </c>
      <c r="S9577" t="s">
        <v>45044</v>
      </c>
      <c r="T9577" t="s">
        <v>46428</v>
      </c>
      <c r="U9577" t="s">
        <v>54889</v>
      </c>
      <c r="W9577" t="s">
        <v>43816</v>
      </c>
      <c r="X9577" t="s">
        <v>44770</v>
      </c>
    </row>
    <row r="9578" spans="1:24">
      <c r="A9578">
        <f>HYPERLINK("https://www.philgeps.gov.ph/GEPSNONPILOT/Tender/SplashBidNoticeAbstractUI.aspx?menuIndex=3&amp;refID=7137505&amp;Result=3","7137505")</f>
        <v>0</v>
      </c>
      <c r="B9578" t="s">
        <v>3011</v>
      </c>
      <c r="C9578" t="s">
        <v>12846</v>
      </c>
      <c r="D9578" t="s">
        <v>18002</v>
      </c>
      <c r="E9578" t="s">
        <v>23582</v>
      </c>
      <c r="F9578" t="s">
        <v>30904</v>
      </c>
      <c r="G9578" t="s">
        <v>30910</v>
      </c>
      <c r="H9578" t="s">
        <v>30916</v>
      </c>
      <c r="I9578" t="s">
        <v>4108</v>
      </c>
      <c r="J9578" t="s">
        <v>31204</v>
      </c>
      <c r="K9578" t="s">
        <v>40331</v>
      </c>
      <c r="M9578" t="s">
        <v>43817</v>
      </c>
      <c r="N9578" t="s">
        <v>44759</v>
      </c>
      <c r="O9578" t="s">
        <v>44760</v>
      </c>
      <c r="P9578">
        <v>0</v>
      </c>
      <c r="Q9578">
        <v>1</v>
      </c>
      <c r="R9578" t="s">
        <v>44769</v>
      </c>
      <c r="S9578" t="s">
        <v>45044</v>
      </c>
      <c r="T9578" t="s">
        <v>46398</v>
      </c>
      <c r="U9578" t="s">
        <v>54890</v>
      </c>
      <c r="W9578" t="s">
        <v>43817</v>
      </c>
      <c r="X9578" t="s">
        <v>44770</v>
      </c>
    </row>
    <row r="9579" spans="1:24">
      <c r="A9579">
        <f>HYPERLINK("https://www.philgeps.gov.ph/GEPSNONPILOT/Tender/SplashBidNoticeAbstractUI.aspx?menuIndex=3&amp;refID=7137224&amp;Result=3","7137224")</f>
        <v>0</v>
      </c>
      <c r="B9579" t="s">
        <v>3012</v>
      </c>
      <c r="C9579" t="s">
        <v>12847</v>
      </c>
      <c r="D9579" t="s">
        <v>17959</v>
      </c>
      <c r="E9579" t="s">
        <v>26348</v>
      </c>
      <c r="F9579" t="s">
        <v>30900</v>
      </c>
      <c r="G9579" t="s">
        <v>30908</v>
      </c>
      <c r="H9579" t="s">
        <v>30916</v>
      </c>
      <c r="I9579" t="s">
        <v>30932</v>
      </c>
      <c r="J9579" t="s">
        <v>37039</v>
      </c>
      <c r="K9579" t="s">
        <v>40287</v>
      </c>
      <c r="M9579" t="s">
        <v>43818</v>
      </c>
      <c r="N9579" t="s">
        <v>44759</v>
      </c>
      <c r="O9579" t="s">
        <v>44760</v>
      </c>
      <c r="Q9579">
        <v>7</v>
      </c>
      <c r="R9579" t="s">
        <v>44769</v>
      </c>
      <c r="S9579" t="s">
        <v>45080</v>
      </c>
      <c r="T9579" t="s">
        <v>46383</v>
      </c>
      <c r="U9579" t="s">
        <v>54891</v>
      </c>
      <c r="W9579" t="s">
        <v>43818</v>
      </c>
      <c r="X9579" t="s">
        <v>44770</v>
      </c>
    </row>
    <row r="9580" spans="1:24">
      <c r="A9580">
        <f>HYPERLINK("https://www.philgeps.gov.ph/GEPSNONPILOT/Tender/SplashBidNoticeAbstractUI.aspx?menuIndex=3&amp;refID=7137444&amp;Result=3","7137444")</f>
        <v>0</v>
      </c>
      <c r="B9580" t="s">
        <v>1074</v>
      </c>
      <c r="C9580" t="s">
        <v>12848</v>
      </c>
      <c r="D9580" t="s">
        <v>17985</v>
      </c>
      <c r="E9580" t="s">
        <v>26349</v>
      </c>
      <c r="F9580" t="s">
        <v>30900</v>
      </c>
      <c r="G9580" t="s">
        <v>30910</v>
      </c>
      <c r="H9580" t="s">
        <v>30916</v>
      </c>
      <c r="I9580" t="s">
        <v>4142</v>
      </c>
      <c r="J9580" t="s">
        <v>37040</v>
      </c>
      <c r="K9580" t="s">
        <v>40286</v>
      </c>
      <c r="M9580" t="s">
        <v>43819</v>
      </c>
      <c r="N9580" t="s">
        <v>44759</v>
      </c>
      <c r="O9580" t="s">
        <v>44760</v>
      </c>
      <c r="P9580">
        <v>0</v>
      </c>
      <c r="Q9580">
        <v>5</v>
      </c>
      <c r="R9580" t="s">
        <v>44769</v>
      </c>
      <c r="S9580" t="s">
        <v>45044</v>
      </c>
      <c r="T9580" t="s">
        <v>46625</v>
      </c>
      <c r="U9580" t="s">
        <v>54892</v>
      </c>
      <c r="W9580" t="s">
        <v>43819</v>
      </c>
      <c r="X9580" t="s">
        <v>44770</v>
      </c>
    </row>
    <row r="9581" spans="1:24">
      <c r="A9581">
        <f>HYPERLINK("https://www.philgeps.gov.ph/GEPSNONPILOT/Tender/SplashBidNoticeAbstractUI.aspx?menuIndex=3&amp;refID=7137345&amp;Result=3","7137345")</f>
        <v>0</v>
      </c>
      <c r="B9581" t="s">
        <v>1328</v>
      </c>
      <c r="C9581" t="s">
        <v>12849</v>
      </c>
      <c r="D9581" t="s">
        <v>17973</v>
      </c>
      <c r="E9581" t="s">
        <v>18775</v>
      </c>
      <c r="F9581" t="s">
        <v>30900</v>
      </c>
      <c r="G9581" t="s">
        <v>30907</v>
      </c>
      <c r="H9581" t="s">
        <v>30915</v>
      </c>
      <c r="I9581" t="s">
        <v>30919</v>
      </c>
      <c r="J9581" t="s">
        <v>37041</v>
      </c>
      <c r="K9581" t="s">
        <v>40477</v>
      </c>
      <c r="M9581" t="s">
        <v>41948</v>
      </c>
      <c r="N9581" t="s">
        <v>44759</v>
      </c>
      <c r="O9581" t="s">
        <v>44760</v>
      </c>
      <c r="P9581">
        <v>0</v>
      </c>
      <c r="Q9581">
        <v>0</v>
      </c>
      <c r="R9581" t="s">
        <v>44769</v>
      </c>
      <c r="S9581" t="s">
        <v>45044</v>
      </c>
      <c r="T9581" t="s">
        <v>46409</v>
      </c>
      <c r="U9581" t="s">
        <v>54893</v>
      </c>
      <c r="W9581" t="s">
        <v>41948</v>
      </c>
      <c r="X9581" t="s">
        <v>44770</v>
      </c>
    </row>
    <row r="9582" spans="1:24">
      <c r="A9582">
        <f>HYPERLINK("https://www.philgeps.gov.ph/GEPSNONPILOT/Tender/SplashBidNoticeAbstractUI.aspx?menuIndex=3&amp;refID=7136955&amp;Result=3","7136955")</f>
        <v>0</v>
      </c>
      <c r="B9582" t="s">
        <v>1584</v>
      </c>
      <c r="C9582" t="s">
        <v>12850</v>
      </c>
      <c r="D9582" t="s">
        <v>18025</v>
      </c>
      <c r="E9582" t="s">
        <v>26350</v>
      </c>
      <c r="F9582" t="s">
        <v>30900</v>
      </c>
      <c r="G9582" t="s">
        <v>30907</v>
      </c>
      <c r="H9582" t="s">
        <v>30915</v>
      </c>
      <c r="I9582" t="s">
        <v>30919</v>
      </c>
      <c r="J9582" t="s">
        <v>37042</v>
      </c>
      <c r="K9582" t="s">
        <v>40342</v>
      </c>
      <c r="M9582" t="s">
        <v>42231</v>
      </c>
      <c r="N9582" t="s">
        <v>44759</v>
      </c>
      <c r="O9582" t="s">
        <v>44760</v>
      </c>
      <c r="P9582">
        <v>0</v>
      </c>
      <c r="Q9582">
        <v>10</v>
      </c>
      <c r="R9582" t="s">
        <v>44769</v>
      </c>
      <c r="S9582" t="s">
        <v>45044</v>
      </c>
      <c r="T9582" t="s">
        <v>46697</v>
      </c>
      <c r="U9582" t="s">
        <v>54894</v>
      </c>
      <c r="W9582" t="s">
        <v>42231</v>
      </c>
      <c r="X9582" t="s">
        <v>44770</v>
      </c>
    </row>
    <row r="9583" spans="1:24">
      <c r="A9583">
        <f>HYPERLINK("https://www.philgeps.gov.ph/GEPSNONPILOT/Tender/SplashBidNoticeAbstractUI.aspx?menuIndex=3&amp;refID=7136792&amp;Result=3","7136792")</f>
        <v>0</v>
      </c>
      <c r="B9583" t="s">
        <v>2988</v>
      </c>
      <c r="C9583" t="s">
        <v>12851</v>
      </c>
      <c r="D9583" t="s">
        <v>17978</v>
      </c>
      <c r="E9583" t="s">
        <v>26351</v>
      </c>
      <c r="F9583" t="s">
        <v>30900</v>
      </c>
      <c r="G9583" t="s">
        <v>30907</v>
      </c>
      <c r="H9583" t="s">
        <v>30915</v>
      </c>
      <c r="I9583" t="s">
        <v>30919</v>
      </c>
      <c r="J9583" t="s">
        <v>36620</v>
      </c>
      <c r="K9583" t="s">
        <v>40304</v>
      </c>
      <c r="M9583" t="s">
        <v>43791</v>
      </c>
      <c r="N9583" t="s">
        <v>44759</v>
      </c>
      <c r="O9583" t="s">
        <v>44760</v>
      </c>
      <c r="Q9583">
        <v>4</v>
      </c>
      <c r="R9583" t="s">
        <v>44769</v>
      </c>
      <c r="S9583" t="s">
        <v>45081</v>
      </c>
      <c r="T9583" t="s">
        <v>46835</v>
      </c>
      <c r="U9583" t="s">
        <v>54895</v>
      </c>
      <c r="W9583" t="s">
        <v>43791</v>
      </c>
      <c r="X9583" t="s">
        <v>44770</v>
      </c>
    </row>
    <row r="9584" spans="1:24">
      <c r="A9584">
        <f>HYPERLINK("https://www.philgeps.gov.ph/GEPSNONPILOT/Tender/SplashBidNoticeAbstractUI.aspx?menuIndex=3&amp;refID=7136777&amp;Result=3","7136777")</f>
        <v>0</v>
      </c>
      <c r="B9584" t="s">
        <v>2945</v>
      </c>
      <c r="C9584" t="s">
        <v>12852</v>
      </c>
      <c r="D9584" t="s">
        <v>17953</v>
      </c>
      <c r="E9584" t="s">
        <v>26352</v>
      </c>
      <c r="F9584" t="s">
        <v>30900</v>
      </c>
      <c r="G9584" t="s">
        <v>30908</v>
      </c>
      <c r="H9584" t="s">
        <v>30917</v>
      </c>
      <c r="I9584" t="s">
        <v>9385</v>
      </c>
      <c r="J9584" t="s">
        <v>31270</v>
      </c>
      <c r="K9584" t="s">
        <v>40286</v>
      </c>
      <c r="M9584" t="s">
        <v>43742</v>
      </c>
      <c r="N9584" t="s">
        <v>44759</v>
      </c>
      <c r="O9584" t="s">
        <v>44760</v>
      </c>
      <c r="P9584">
        <v>0</v>
      </c>
      <c r="Q9584">
        <v>2</v>
      </c>
      <c r="R9584" t="s">
        <v>44769</v>
      </c>
      <c r="S9584" t="s">
        <v>45044</v>
      </c>
      <c r="T9584" t="s">
        <v>46410</v>
      </c>
      <c r="U9584" t="s">
        <v>54896</v>
      </c>
      <c r="W9584" t="s">
        <v>43742</v>
      </c>
      <c r="X9584" t="s">
        <v>44770</v>
      </c>
    </row>
    <row r="9585" spans="1:24">
      <c r="A9585">
        <f>HYPERLINK("https://www.philgeps.gov.ph/GEPSNONPILOT/Tender/SplashBidNoticeAbstractUI.aspx?menuIndex=3&amp;refID=7136773&amp;Result=3","7136773")</f>
        <v>0</v>
      </c>
      <c r="B9585" t="s">
        <v>625</v>
      </c>
      <c r="C9585" t="s">
        <v>12853</v>
      </c>
      <c r="D9585" t="s">
        <v>17984</v>
      </c>
      <c r="E9585" t="s">
        <v>26353</v>
      </c>
      <c r="F9585" t="s">
        <v>30900</v>
      </c>
      <c r="G9585" t="s">
        <v>30906</v>
      </c>
      <c r="H9585" t="s">
        <v>30916</v>
      </c>
      <c r="I9585" t="s">
        <v>8123</v>
      </c>
      <c r="J9585" t="s">
        <v>31101</v>
      </c>
      <c r="K9585" t="s">
        <v>40286</v>
      </c>
      <c r="M9585" t="s">
        <v>41187</v>
      </c>
      <c r="N9585" t="s">
        <v>44759</v>
      </c>
      <c r="O9585" t="s">
        <v>44760</v>
      </c>
      <c r="P9585">
        <v>0</v>
      </c>
      <c r="Q9585">
        <v>0</v>
      </c>
      <c r="R9585" t="s">
        <v>44769</v>
      </c>
      <c r="S9585" t="s">
        <v>45044</v>
      </c>
      <c r="T9585" t="s">
        <v>46376</v>
      </c>
      <c r="U9585" t="s">
        <v>54897</v>
      </c>
      <c r="W9585" t="s">
        <v>41187</v>
      </c>
      <c r="X9585" t="s">
        <v>44770</v>
      </c>
    </row>
    <row r="9586" spans="1:24">
      <c r="A9586">
        <f>HYPERLINK("https://www.philgeps.gov.ph/GEPSNONPILOT/Tender/SplashBidNoticeAbstractUI.aspx?menuIndex=3&amp;refID=7136672&amp;Result=3","7136672")</f>
        <v>0</v>
      </c>
      <c r="B9586" t="s">
        <v>2971</v>
      </c>
      <c r="C9586" t="s">
        <v>12854</v>
      </c>
      <c r="D9586" t="s">
        <v>17992</v>
      </c>
      <c r="E9586" t="s">
        <v>26354</v>
      </c>
      <c r="F9586" t="s">
        <v>30900</v>
      </c>
      <c r="G9586" t="s">
        <v>30907</v>
      </c>
      <c r="H9586" t="s">
        <v>30915</v>
      </c>
      <c r="I9586" t="s">
        <v>30919</v>
      </c>
      <c r="J9586" t="s">
        <v>37043</v>
      </c>
      <c r="K9586" t="s">
        <v>40360</v>
      </c>
      <c r="M9586" t="s">
        <v>43772</v>
      </c>
      <c r="N9586" t="s">
        <v>44759</v>
      </c>
      <c r="O9586" t="s">
        <v>44760</v>
      </c>
      <c r="P9586">
        <v>0</v>
      </c>
      <c r="Q9586">
        <v>0</v>
      </c>
      <c r="R9586" t="s">
        <v>44769</v>
      </c>
      <c r="S9586" t="s">
        <v>45044</v>
      </c>
      <c r="T9586" t="s">
        <v>46606</v>
      </c>
      <c r="U9586" t="s">
        <v>54898</v>
      </c>
      <c r="W9586" t="s">
        <v>43772</v>
      </c>
      <c r="X9586" t="s">
        <v>44770</v>
      </c>
    </row>
    <row r="9587" spans="1:24">
      <c r="A9587">
        <f>HYPERLINK("https://www.philgeps.gov.ph/GEPSNONPILOT/Tender/SplashBidNoticeAbstractUI.aspx?menuIndex=3&amp;refID=7136785&amp;Result=3","7136785")</f>
        <v>0</v>
      </c>
      <c r="B9587" t="s">
        <v>2930</v>
      </c>
      <c r="C9587" t="s">
        <v>12855</v>
      </c>
      <c r="D9587" t="s">
        <v>17985</v>
      </c>
      <c r="E9587" t="s">
        <v>26355</v>
      </c>
      <c r="F9587" t="s">
        <v>30900</v>
      </c>
      <c r="G9587" t="s">
        <v>30907</v>
      </c>
      <c r="H9587" t="s">
        <v>30916</v>
      </c>
      <c r="I9587" t="s">
        <v>30924</v>
      </c>
      <c r="J9587" t="s">
        <v>34620</v>
      </c>
      <c r="K9587" t="s">
        <v>40284</v>
      </c>
      <c r="M9587" t="s">
        <v>43726</v>
      </c>
      <c r="N9587" t="s">
        <v>44759</v>
      </c>
      <c r="O9587" t="s">
        <v>44760</v>
      </c>
      <c r="P9587">
        <v>0</v>
      </c>
      <c r="Q9587">
        <v>2</v>
      </c>
      <c r="R9587" t="s">
        <v>44769</v>
      </c>
      <c r="S9587" t="s">
        <v>45044</v>
      </c>
      <c r="T9587" t="s">
        <v>46771</v>
      </c>
      <c r="U9587" t="s">
        <v>54899</v>
      </c>
      <c r="W9587" t="s">
        <v>43726</v>
      </c>
      <c r="X9587" t="s">
        <v>44770</v>
      </c>
    </row>
    <row r="9588" spans="1:24">
      <c r="A9588">
        <f>HYPERLINK("https://www.philgeps.gov.ph/GEPSNONPILOT/Tender/SplashBidNoticeAbstractUI.aspx?menuIndex=3&amp;refID=7136666&amp;Result=3","7136666")</f>
        <v>0</v>
      </c>
      <c r="B9588" t="s">
        <v>721</v>
      </c>
      <c r="C9588" t="s">
        <v>12856</v>
      </c>
      <c r="E9588" t="s">
        <v>26356</v>
      </c>
      <c r="F9588" t="s">
        <v>30900</v>
      </c>
      <c r="G9588" t="s">
        <v>30907</v>
      </c>
      <c r="H9588" t="s">
        <v>30915</v>
      </c>
      <c r="I9588" t="s">
        <v>30919</v>
      </c>
      <c r="J9588" t="s">
        <v>37044</v>
      </c>
      <c r="K9588" t="s">
        <v>40304</v>
      </c>
      <c r="M9588" t="s">
        <v>41285</v>
      </c>
      <c r="N9588" t="s">
        <v>44759</v>
      </c>
      <c r="O9588" t="s">
        <v>44760</v>
      </c>
      <c r="P9588">
        <v>0</v>
      </c>
      <c r="Q9588">
        <v>1</v>
      </c>
      <c r="R9588" t="s">
        <v>44769</v>
      </c>
      <c r="S9588" t="s">
        <v>45044</v>
      </c>
      <c r="T9588" t="s">
        <v>46549</v>
      </c>
      <c r="U9588" t="s">
        <v>54900</v>
      </c>
      <c r="W9588" t="s">
        <v>41285</v>
      </c>
      <c r="X9588" t="s">
        <v>44770</v>
      </c>
    </row>
    <row r="9589" spans="1:24">
      <c r="A9589">
        <f>HYPERLINK("https://www.philgeps.gov.ph/GEPSNONPILOT/Tender/SplashBidNoticeAbstractUI.aspx?menuIndex=3&amp;refID=7136764&amp;Result=3","7136764")</f>
        <v>0</v>
      </c>
      <c r="B9589" t="s">
        <v>869</v>
      </c>
      <c r="C9589" t="s">
        <v>12857</v>
      </c>
      <c r="D9589" t="s">
        <v>17988</v>
      </c>
      <c r="E9589" t="s">
        <v>26357</v>
      </c>
      <c r="F9589" t="s">
        <v>30900</v>
      </c>
      <c r="G9589" t="s">
        <v>30907</v>
      </c>
      <c r="H9589" t="s">
        <v>30915</v>
      </c>
      <c r="I9589" t="s">
        <v>30919</v>
      </c>
      <c r="J9589" t="s">
        <v>37045</v>
      </c>
      <c r="K9589" t="s">
        <v>40298</v>
      </c>
      <c r="M9589" t="s">
        <v>41442</v>
      </c>
      <c r="N9589" t="s">
        <v>44759</v>
      </c>
      <c r="O9589" t="s">
        <v>44760</v>
      </c>
      <c r="P9589">
        <v>0</v>
      </c>
      <c r="Q9589">
        <v>0</v>
      </c>
      <c r="R9589" t="s">
        <v>44769</v>
      </c>
      <c r="S9589" t="s">
        <v>45044</v>
      </c>
      <c r="T9589" t="s">
        <v>46581</v>
      </c>
      <c r="U9589" t="s">
        <v>54901</v>
      </c>
      <c r="W9589" t="s">
        <v>41442</v>
      </c>
      <c r="X9589" t="s">
        <v>44770</v>
      </c>
    </row>
    <row r="9590" spans="1:24">
      <c r="A9590">
        <f>HYPERLINK("https://www.philgeps.gov.ph/GEPSNONPILOT/Tender/SplashBidNoticeAbstractUI.aspx?menuIndex=3&amp;refID=7136774&amp;Result=3","7136774")</f>
        <v>0</v>
      </c>
      <c r="B9590" t="s">
        <v>468</v>
      </c>
      <c r="C9590" t="s">
        <v>12858</v>
      </c>
      <c r="E9590" t="s">
        <v>26358</v>
      </c>
      <c r="F9590" t="s">
        <v>30900</v>
      </c>
      <c r="G9590" t="s">
        <v>30907</v>
      </c>
      <c r="H9590" t="s">
        <v>30916</v>
      </c>
      <c r="I9590" t="s">
        <v>30961</v>
      </c>
      <c r="J9590" t="s">
        <v>37046</v>
      </c>
      <c r="K9590" t="s">
        <v>40289</v>
      </c>
      <c r="M9590" t="s">
        <v>41026</v>
      </c>
      <c r="N9590" t="s">
        <v>44759</v>
      </c>
      <c r="O9590" t="s">
        <v>44760</v>
      </c>
      <c r="P9590">
        <v>0</v>
      </c>
      <c r="Q9590">
        <v>0</v>
      </c>
      <c r="R9590" t="s">
        <v>44769</v>
      </c>
      <c r="S9590" t="s">
        <v>45044</v>
      </c>
      <c r="T9590" t="s">
        <v>46662</v>
      </c>
      <c r="U9590" t="s">
        <v>54902</v>
      </c>
      <c r="V9590" t="s">
        <v>59226</v>
      </c>
      <c r="W9590" t="s">
        <v>41026</v>
      </c>
      <c r="X9590" t="s">
        <v>44770</v>
      </c>
    </row>
    <row r="9591" spans="1:24">
      <c r="A9591">
        <f>HYPERLINK("https://www.philgeps.gov.ph/GEPSNONPILOT/Tender/SplashBidNoticeAbstractUI.aspx?menuIndex=3&amp;refID=7137360&amp;Result=3","7137360")</f>
        <v>0</v>
      </c>
      <c r="B9591" t="s">
        <v>303</v>
      </c>
      <c r="C9591" t="s">
        <v>12859</v>
      </c>
      <c r="D9591" t="s">
        <v>17951</v>
      </c>
      <c r="E9591" t="s">
        <v>26359</v>
      </c>
      <c r="F9591" t="s">
        <v>30900</v>
      </c>
      <c r="G9591" t="s">
        <v>30907</v>
      </c>
      <c r="H9591" t="s">
        <v>30915</v>
      </c>
      <c r="I9591" t="s">
        <v>30919</v>
      </c>
      <c r="J9591" t="s">
        <v>33238</v>
      </c>
      <c r="K9591" t="s">
        <v>40428</v>
      </c>
      <c r="M9591" t="s">
        <v>40852</v>
      </c>
      <c r="N9591" t="s">
        <v>44759</v>
      </c>
      <c r="O9591" t="s">
        <v>44760</v>
      </c>
      <c r="Q9591">
        <v>1</v>
      </c>
      <c r="R9591" t="s">
        <v>44769</v>
      </c>
      <c r="S9591" t="s">
        <v>45082</v>
      </c>
      <c r="T9591" t="s">
        <v>46411</v>
      </c>
      <c r="U9591" t="s">
        <v>54816</v>
      </c>
      <c r="W9591" t="s">
        <v>40852</v>
      </c>
      <c r="X9591" t="s">
        <v>44770</v>
      </c>
    </row>
    <row r="9592" spans="1:24">
      <c r="A9592">
        <f>HYPERLINK("https://www.philgeps.gov.ph/GEPSNONPILOT/Tender/SplashBidNoticeAbstractUI.aspx?menuIndex=3&amp;refID=7136600&amp;Result=3","7136600")</f>
        <v>0</v>
      </c>
      <c r="B9592" t="s">
        <v>721</v>
      </c>
      <c r="C9592" t="s">
        <v>12860</v>
      </c>
      <c r="E9592" t="s">
        <v>26360</v>
      </c>
      <c r="F9592" t="s">
        <v>30900</v>
      </c>
      <c r="G9592" t="s">
        <v>30907</v>
      </c>
      <c r="H9592" t="s">
        <v>30915</v>
      </c>
      <c r="I9592" t="s">
        <v>30919</v>
      </c>
      <c r="J9592" t="s">
        <v>37047</v>
      </c>
      <c r="K9592" t="s">
        <v>40392</v>
      </c>
      <c r="M9592" t="s">
        <v>41285</v>
      </c>
      <c r="N9592" t="s">
        <v>44759</v>
      </c>
      <c r="O9592" t="s">
        <v>44760</v>
      </c>
      <c r="P9592">
        <v>0</v>
      </c>
      <c r="Q9592">
        <v>0</v>
      </c>
      <c r="R9592" t="s">
        <v>44769</v>
      </c>
      <c r="S9592" t="s">
        <v>45044</v>
      </c>
      <c r="T9592" t="s">
        <v>46549</v>
      </c>
      <c r="U9592" t="s">
        <v>54903</v>
      </c>
      <c r="W9592" t="s">
        <v>41285</v>
      </c>
      <c r="X9592" t="s">
        <v>44770</v>
      </c>
    </row>
    <row r="9593" spans="1:24">
      <c r="A9593">
        <f>HYPERLINK("https://www.philgeps.gov.ph/GEPSNONPILOT/Tender/SplashBidNoticeAbstractUI.aspx?menuIndex=3&amp;refID=7136664&amp;Result=3","7136664")</f>
        <v>0</v>
      </c>
      <c r="B9593" t="s">
        <v>869</v>
      </c>
      <c r="C9593" t="s">
        <v>12861</v>
      </c>
      <c r="D9593" t="s">
        <v>17988</v>
      </c>
      <c r="E9593" t="s">
        <v>26361</v>
      </c>
      <c r="F9593" t="s">
        <v>30900</v>
      </c>
      <c r="G9593" t="s">
        <v>30907</v>
      </c>
      <c r="H9593" t="s">
        <v>30915</v>
      </c>
      <c r="I9593" t="s">
        <v>30919</v>
      </c>
      <c r="J9593" t="s">
        <v>37048</v>
      </c>
      <c r="K9593" t="s">
        <v>40355</v>
      </c>
      <c r="M9593" t="s">
        <v>41442</v>
      </c>
      <c r="N9593" t="s">
        <v>44759</v>
      </c>
      <c r="O9593" t="s">
        <v>44760</v>
      </c>
      <c r="P9593">
        <v>0</v>
      </c>
      <c r="Q9593">
        <v>0</v>
      </c>
      <c r="R9593" t="s">
        <v>44769</v>
      </c>
      <c r="S9593" t="s">
        <v>45044</v>
      </c>
      <c r="T9593" t="s">
        <v>46581</v>
      </c>
      <c r="U9593" t="s">
        <v>54904</v>
      </c>
      <c r="W9593" t="s">
        <v>41442</v>
      </c>
      <c r="X9593" t="s">
        <v>44770</v>
      </c>
    </row>
    <row r="9594" spans="1:24">
      <c r="A9594">
        <f>HYPERLINK("https://www.philgeps.gov.ph/GEPSNONPILOT/Tender/SplashBidNoticeAbstractUI.aspx?menuIndex=3&amp;refID=7136594&amp;Result=3","7136594")</f>
        <v>0</v>
      </c>
      <c r="B9594" t="s">
        <v>2951</v>
      </c>
      <c r="C9594" t="s">
        <v>12862</v>
      </c>
      <c r="D9594" t="s">
        <v>17982</v>
      </c>
      <c r="E9594" t="s">
        <v>26362</v>
      </c>
      <c r="F9594" t="s">
        <v>30900</v>
      </c>
      <c r="G9594" t="s">
        <v>30907</v>
      </c>
      <c r="H9594" t="s">
        <v>30916</v>
      </c>
      <c r="I9594" t="s">
        <v>30947</v>
      </c>
      <c r="J9594" t="s">
        <v>37049</v>
      </c>
      <c r="K9594" t="s">
        <v>40283</v>
      </c>
      <c r="M9594" t="s">
        <v>43750</v>
      </c>
      <c r="N9594" t="s">
        <v>44759</v>
      </c>
      <c r="O9594" t="s">
        <v>44760</v>
      </c>
      <c r="P9594">
        <v>0</v>
      </c>
      <c r="Q9594">
        <v>2</v>
      </c>
      <c r="R9594" t="s">
        <v>44769</v>
      </c>
      <c r="S9594" t="s">
        <v>45044</v>
      </c>
      <c r="T9594" t="s">
        <v>46411</v>
      </c>
      <c r="U9594" t="s">
        <v>54905</v>
      </c>
      <c r="W9594" t="s">
        <v>43750</v>
      </c>
      <c r="X9594" t="s">
        <v>44770</v>
      </c>
    </row>
    <row r="9595" spans="1:24">
      <c r="A9595">
        <f>HYPERLINK("https://www.philgeps.gov.ph/GEPSNONPILOT/Tender/SplashBidNoticeAbstractUI.aspx?menuIndex=3&amp;refID=7137549&amp;Result=3","7137549")</f>
        <v>0</v>
      </c>
      <c r="B9595" t="s">
        <v>1572</v>
      </c>
      <c r="C9595" t="s">
        <v>12863</v>
      </c>
      <c r="E9595" t="s">
        <v>26363</v>
      </c>
      <c r="F9595" t="s">
        <v>30900</v>
      </c>
      <c r="G9595" t="s">
        <v>30907</v>
      </c>
      <c r="H9595" t="s">
        <v>30915</v>
      </c>
      <c r="I9595" t="s">
        <v>30919</v>
      </c>
      <c r="J9595" t="s">
        <v>37018</v>
      </c>
      <c r="K9595" t="s">
        <v>40341</v>
      </c>
      <c r="M9595" t="s">
        <v>43808</v>
      </c>
      <c r="N9595" t="s">
        <v>44759</v>
      </c>
      <c r="O9595" t="s">
        <v>44760</v>
      </c>
      <c r="Q9595">
        <v>5</v>
      </c>
      <c r="R9595" t="s">
        <v>44769</v>
      </c>
      <c r="S9595" t="s">
        <v>45083</v>
      </c>
      <c r="T9595" t="s">
        <v>46519</v>
      </c>
      <c r="U9595" t="s">
        <v>54906</v>
      </c>
      <c r="W9595" t="s">
        <v>43808</v>
      </c>
      <c r="X9595" t="s">
        <v>44770</v>
      </c>
    </row>
    <row r="9596" spans="1:24">
      <c r="A9596">
        <f>HYPERLINK("https://www.philgeps.gov.ph/GEPSNONPILOT/Tender/SplashBidNoticeAbstractUI.aspx?menuIndex=3&amp;refID=7137689&amp;Result=3","7137689")</f>
        <v>0</v>
      </c>
      <c r="B9596" t="s">
        <v>854</v>
      </c>
      <c r="C9596" t="s">
        <v>12864</v>
      </c>
      <c r="D9596" t="s">
        <v>17963</v>
      </c>
      <c r="E9596" t="s">
        <v>26364</v>
      </c>
      <c r="F9596" t="s">
        <v>30900</v>
      </c>
      <c r="G9596" t="s">
        <v>30907</v>
      </c>
      <c r="H9596" t="s">
        <v>30916</v>
      </c>
      <c r="I9596" t="s">
        <v>8044</v>
      </c>
      <c r="J9596" t="s">
        <v>37050</v>
      </c>
      <c r="K9596" t="s">
        <v>40287</v>
      </c>
      <c r="M9596" t="s">
        <v>41427</v>
      </c>
      <c r="N9596" t="s">
        <v>44759</v>
      </c>
      <c r="O9596" t="s">
        <v>44760</v>
      </c>
      <c r="P9596">
        <v>0</v>
      </c>
      <c r="Q9596">
        <v>6</v>
      </c>
      <c r="R9596" t="s">
        <v>44769</v>
      </c>
      <c r="S9596" t="s">
        <v>45044</v>
      </c>
      <c r="T9596" t="s">
        <v>46503</v>
      </c>
      <c r="U9596" t="s">
        <v>54907</v>
      </c>
      <c r="V9596" t="s">
        <v>59319</v>
      </c>
      <c r="W9596" t="s">
        <v>41427</v>
      </c>
      <c r="X9596" t="s">
        <v>44770</v>
      </c>
    </row>
    <row r="9597" spans="1:24">
      <c r="A9597">
        <f>HYPERLINK("https://www.philgeps.gov.ph/GEPSNONPILOT/Tender/SplashBidNoticeAbstractUI.aspx?menuIndex=3&amp;refID=7136616&amp;Result=3","7136616")</f>
        <v>0</v>
      </c>
      <c r="B9597" t="s">
        <v>2965</v>
      </c>
      <c r="C9597" t="s">
        <v>12865</v>
      </c>
      <c r="D9597" t="s">
        <v>18021</v>
      </c>
      <c r="E9597" t="s">
        <v>26365</v>
      </c>
      <c r="F9597" t="s">
        <v>30900</v>
      </c>
      <c r="G9597" t="s">
        <v>30907</v>
      </c>
      <c r="H9597" t="s">
        <v>30915</v>
      </c>
      <c r="I9597" t="s">
        <v>30919</v>
      </c>
      <c r="J9597" t="s">
        <v>37051</v>
      </c>
      <c r="K9597" t="s">
        <v>40342</v>
      </c>
      <c r="M9597" t="s">
        <v>43766</v>
      </c>
      <c r="N9597" t="s">
        <v>44759</v>
      </c>
      <c r="O9597" t="s">
        <v>44760</v>
      </c>
      <c r="P9597">
        <v>0</v>
      </c>
      <c r="Q9597">
        <v>2</v>
      </c>
      <c r="R9597" t="s">
        <v>44769</v>
      </c>
      <c r="S9597" t="s">
        <v>45044</v>
      </c>
      <c r="T9597" t="s">
        <v>46531</v>
      </c>
      <c r="U9597" t="s">
        <v>54908</v>
      </c>
      <c r="W9597" t="s">
        <v>43766</v>
      </c>
      <c r="X9597" t="s">
        <v>44770</v>
      </c>
    </row>
    <row r="9598" spans="1:24">
      <c r="A9598">
        <f>HYPERLINK("https://www.philgeps.gov.ph/GEPSNONPILOT/Tender/SplashBidNoticeAbstractUI.aspx?menuIndex=3&amp;refID=7137685&amp;Result=3","7137685")</f>
        <v>0</v>
      </c>
      <c r="B9598" t="s">
        <v>1724</v>
      </c>
      <c r="C9598" t="s">
        <v>12866</v>
      </c>
      <c r="D9598" t="s">
        <v>18016</v>
      </c>
      <c r="E9598" t="s">
        <v>26366</v>
      </c>
      <c r="F9598" t="s">
        <v>30900</v>
      </c>
      <c r="G9598" t="s">
        <v>30907</v>
      </c>
      <c r="H9598" t="s">
        <v>30915</v>
      </c>
      <c r="I9598" t="s">
        <v>30919</v>
      </c>
      <c r="J9598" t="s">
        <v>37052</v>
      </c>
      <c r="K9598" t="s">
        <v>40340</v>
      </c>
      <c r="M9598" t="s">
        <v>42697</v>
      </c>
      <c r="N9598" t="s">
        <v>44759</v>
      </c>
      <c r="O9598" t="s">
        <v>44760</v>
      </c>
      <c r="P9598">
        <v>0</v>
      </c>
      <c r="Q9598">
        <v>1</v>
      </c>
      <c r="R9598" t="s">
        <v>44769</v>
      </c>
      <c r="S9598" t="s">
        <v>45044</v>
      </c>
      <c r="T9598" t="s">
        <v>46428</v>
      </c>
      <c r="U9598" t="s">
        <v>54909</v>
      </c>
      <c r="V9598" t="s">
        <v>60166</v>
      </c>
      <c r="W9598" t="s">
        <v>60878</v>
      </c>
      <c r="X9598" t="s">
        <v>44770</v>
      </c>
    </row>
    <row r="9599" spans="1:24">
      <c r="A9599">
        <f>HYPERLINK("https://www.philgeps.gov.ph/GEPSNONPILOT/Tender/SplashBidNoticeAbstractUI.aspx?menuIndex=3&amp;refID=7137680&amp;Result=3","7137680")</f>
        <v>0</v>
      </c>
      <c r="B9599" t="s">
        <v>3013</v>
      </c>
      <c r="C9599" t="s">
        <v>12867</v>
      </c>
      <c r="D9599" t="s">
        <v>17985</v>
      </c>
      <c r="E9599" t="s">
        <v>26367</v>
      </c>
      <c r="F9599" t="s">
        <v>30900</v>
      </c>
      <c r="G9599" t="s">
        <v>30907</v>
      </c>
      <c r="H9599" t="s">
        <v>30916</v>
      </c>
      <c r="I9599" t="s">
        <v>5501</v>
      </c>
      <c r="J9599" t="s">
        <v>35902</v>
      </c>
      <c r="K9599" t="s">
        <v>40283</v>
      </c>
      <c r="M9599" t="s">
        <v>43820</v>
      </c>
      <c r="N9599" t="s">
        <v>44759</v>
      </c>
      <c r="O9599" t="s">
        <v>44760</v>
      </c>
      <c r="P9599">
        <v>0</v>
      </c>
      <c r="Q9599">
        <v>4</v>
      </c>
      <c r="R9599" t="s">
        <v>44769</v>
      </c>
      <c r="S9599" t="s">
        <v>45044</v>
      </c>
      <c r="T9599" t="s">
        <v>46495</v>
      </c>
      <c r="U9599" t="s">
        <v>54910</v>
      </c>
      <c r="W9599" t="s">
        <v>43820</v>
      </c>
      <c r="X9599" t="s">
        <v>44770</v>
      </c>
    </row>
    <row r="9600" spans="1:24">
      <c r="A9600">
        <f>HYPERLINK("https://www.philgeps.gov.ph/GEPSNONPILOT/Tender/SplashBidNoticeAbstractUI.aspx?menuIndex=3&amp;refID=7136610&amp;Result=3","7136610")</f>
        <v>0</v>
      </c>
      <c r="B9600" t="s">
        <v>721</v>
      </c>
      <c r="C9600" t="s">
        <v>12868</v>
      </c>
      <c r="E9600" t="s">
        <v>26368</v>
      </c>
      <c r="F9600" t="s">
        <v>30900</v>
      </c>
      <c r="G9600" t="s">
        <v>30907</v>
      </c>
      <c r="H9600" t="s">
        <v>30915</v>
      </c>
      <c r="I9600" t="s">
        <v>30919</v>
      </c>
      <c r="J9600" t="s">
        <v>37053</v>
      </c>
      <c r="K9600" t="s">
        <v>40417</v>
      </c>
      <c r="M9600" t="s">
        <v>41285</v>
      </c>
      <c r="N9600" t="s">
        <v>44759</v>
      </c>
      <c r="O9600" t="s">
        <v>44760</v>
      </c>
      <c r="P9600">
        <v>0</v>
      </c>
      <c r="Q9600">
        <v>0</v>
      </c>
      <c r="R9600" t="s">
        <v>44769</v>
      </c>
      <c r="S9600" t="s">
        <v>45044</v>
      </c>
      <c r="T9600" t="s">
        <v>46549</v>
      </c>
      <c r="U9600" t="s">
        <v>54911</v>
      </c>
      <c r="W9600" t="s">
        <v>41285</v>
      </c>
      <c r="X9600" t="s">
        <v>44770</v>
      </c>
    </row>
    <row r="9601" spans="1:24">
      <c r="A9601">
        <f>HYPERLINK("https://www.philgeps.gov.ph/GEPSNONPILOT/Tender/SplashBidNoticeAbstractUI.aspx?menuIndex=3&amp;refID=7137617&amp;Result=3","7137617")</f>
        <v>0</v>
      </c>
      <c r="B9601" t="s">
        <v>3014</v>
      </c>
      <c r="C9601" t="s">
        <v>12869</v>
      </c>
      <c r="D9601" t="s">
        <v>17978</v>
      </c>
      <c r="E9601" t="s">
        <v>26369</v>
      </c>
      <c r="F9601" t="s">
        <v>30900</v>
      </c>
      <c r="G9601" t="s">
        <v>30907</v>
      </c>
      <c r="H9601" t="s">
        <v>30915</v>
      </c>
      <c r="I9601" t="s">
        <v>30919</v>
      </c>
      <c r="J9601" t="s">
        <v>31341</v>
      </c>
      <c r="K9601" t="s">
        <v>40280</v>
      </c>
      <c r="M9601" t="s">
        <v>43821</v>
      </c>
      <c r="N9601" t="s">
        <v>44759</v>
      </c>
      <c r="O9601" t="s">
        <v>44760</v>
      </c>
      <c r="P9601">
        <v>0</v>
      </c>
      <c r="Q9601">
        <v>1</v>
      </c>
      <c r="R9601" t="s">
        <v>44769</v>
      </c>
      <c r="S9601" t="s">
        <v>45044</v>
      </c>
      <c r="T9601" t="s">
        <v>46515</v>
      </c>
      <c r="U9601" t="s">
        <v>54912</v>
      </c>
      <c r="V9601" t="s">
        <v>59692</v>
      </c>
      <c r="W9601" t="s">
        <v>43821</v>
      </c>
      <c r="X9601" t="s">
        <v>44770</v>
      </c>
    </row>
    <row r="9602" spans="1:24">
      <c r="A9602">
        <f>HYPERLINK("https://www.philgeps.gov.ph/GEPSNONPILOT/Tender/SplashBidNoticeAbstractUI.aspx?menuIndex=3&amp;refID=7137674&amp;Result=3","7137674")</f>
        <v>0</v>
      </c>
      <c r="B9602" t="s">
        <v>2462</v>
      </c>
      <c r="C9602" t="s">
        <v>12870</v>
      </c>
      <c r="D9602" t="s">
        <v>17964</v>
      </c>
      <c r="E9602" t="s">
        <v>26370</v>
      </c>
      <c r="F9602" t="s">
        <v>30900</v>
      </c>
      <c r="G9602" t="s">
        <v>30907</v>
      </c>
      <c r="H9602" t="s">
        <v>30915</v>
      </c>
      <c r="I9602" t="s">
        <v>30919</v>
      </c>
      <c r="J9602" t="s">
        <v>31407</v>
      </c>
      <c r="K9602" t="s">
        <v>40286</v>
      </c>
      <c r="M9602" t="s">
        <v>43747</v>
      </c>
      <c r="N9602" t="s">
        <v>44759</v>
      </c>
      <c r="O9602" t="s">
        <v>44760</v>
      </c>
      <c r="P9602">
        <v>0</v>
      </c>
      <c r="Q9602">
        <v>0</v>
      </c>
      <c r="R9602" t="s">
        <v>44769</v>
      </c>
      <c r="S9602" t="s">
        <v>45044</v>
      </c>
      <c r="T9602" t="s">
        <v>46658</v>
      </c>
      <c r="U9602" t="s">
        <v>54913</v>
      </c>
      <c r="W9602" t="s">
        <v>43747</v>
      </c>
      <c r="X9602" t="s">
        <v>44770</v>
      </c>
    </row>
    <row r="9603" spans="1:24">
      <c r="A9603">
        <f>HYPERLINK("https://www.philgeps.gov.ph/GEPSNONPILOT/Tender/SplashBidNoticeAbstractUI.aspx?menuIndex=3&amp;refID=7137650&amp;Result=3","7137650")</f>
        <v>0</v>
      </c>
      <c r="B9603" t="s">
        <v>869</v>
      </c>
      <c r="C9603" t="s">
        <v>12871</v>
      </c>
      <c r="D9603" t="s">
        <v>17988</v>
      </c>
      <c r="E9603" t="s">
        <v>26371</v>
      </c>
      <c r="F9603" t="s">
        <v>30900</v>
      </c>
      <c r="G9603" t="s">
        <v>30907</v>
      </c>
      <c r="H9603" t="s">
        <v>30915</v>
      </c>
      <c r="I9603" t="s">
        <v>30919</v>
      </c>
      <c r="J9603" t="s">
        <v>37054</v>
      </c>
      <c r="K9603" t="s">
        <v>40321</v>
      </c>
      <c r="M9603" t="s">
        <v>41442</v>
      </c>
      <c r="N9603" t="s">
        <v>44759</v>
      </c>
      <c r="O9603" t="s">
        <v>44760</v>
      </c>
      <c r="P9603">
        <v>0</v>
      </c>
      <c r="Q9603">
        <v>0</v>
      </c>
      <c r="R9603" t="s">
        <v>44769</v>
      </c>
      <c r="S9603" t="s">
        <v>45044</v>
      </c>
      <c r="T9603" t="s">
        <v>46581</v>
      </c>
      <c r="U9603" t="s">
        <v>54914</v>
      </c>
      <c r="W9603" t="s">
        <v>41442</v>
      </c>
      <c r="X9603" t="s">
        <v>44770</v>
      </c>
    </row>
    <row r="9604" spans="1:24">
      <c r="A9604">
        <f>HYPERLINK("https://www.philgeps.gov.ph/GEPSNONPILOT/Tender/SplashBidNoticeAbstractUI.aspx?menuIndex=3&amp;refID=7137687&amp;Result=3","7137687")</f>
        <v>0</v>
      </c>
      <c r="B9604" t="s">
        <v>939</v>
      </c>
      <c r="C9604" t="s">
        <v>12872</v>
      </c>
      <c r="D9604" t="s">
        <v>17959</v>
      </c>
      <c r="E9604" t="s">
        <v>26372</v>
      </c>
      <c r="F9604" t="s">
        <v>30900</v>
      </c>
      <c r="G9604" t="s">
        <v>30907</v>
      </c>
      <c r="H9604" t="s">
        <v>30916</v>
      </c>
      <c r="I9604" t="s">
        <v>8365</v>
      </c>
      <c r="J9604" t="s">
        <v>37055</v>
      </c>
      <c r="K9604" t="s">
        <v>40286</v>
      </c>
      <c r="M9604" t="s">
        <v>41522</v>
      </c>
      <c r="N9604" t="s">
        <v>44759</v>
      </c>
      <c r="O9604" t="s">
        <v>44760</v>
      </c>
      <c r="Q9604">
        <v>5</v>
      </c>
      <c r="R9604" t="s">
        <v>44769</v>
      </c>
      <c r="S9604" t="s">
        <v>45084</v>
      </c>
      <c r="T9604" t="s">
        <v>46595</v>
      </c>
      <c r="U9604" t="s">
        <v>48648</v>
      </c>
      <c r="W9604" t="s">
        <v>41522</v>
      </c>
      <c r="X9604" t="s">
        <v>44770</v>
      </c>
    </row>
    <row r="9605" spans="1:24">
      <c r="A9605">
        <f>HYPERLINK("https://www.philgeps.gov.ph/GEPSNONPILOT/Tender/SplashBidNoticeAbstractUI.aspx?menuIndex=3&amp;refID=7137648&amp;Result=3","7137648")</f>
        <v>0</v>
      </c>
      <c r="B9605" t="s">
        <v>3015</v>
      </c>
      <c r="C9605" t="s">
        <v>12873</v>
      </c>
      <c r="D9605" t="s">
        <v>17959</v>
      </c>
      <c r="E9605" t="s">
        <v>26373</v>
      </c>
      <c r="F9605" t="s">
        <v>30904</v>
      </c>
      <c r="G9605" t="s">
        <v>30907</v>
      </c>
      <c r="H9605" t="s">
        <v>30916</v>
      </c>
      <c r="I9605" t="s">
        <v>4108</v>
      </c>
      <c r="J9605" t="s">
        <v>31096</v>
      </c>
      <c r="K9605" t="s">
        <v>40287</v>
      </c>
      <c r="M9605" t="s">
        <v>43822</v>
      </c>
      <c r="N9605" t="s">
        <v>44759</v>
      </c>
      <c r="O9605" t="s">
        <v>44760</v>
      </c>
      <c r="P9605">
        <v>0</v>
      </c>
      <c r="Q9605">
        <v>0</v>
      </c>
      <c r="R9605" t="s">
        <v>44769</v>
      </c>
      <c r="S9605" t="s">
        <v>45044</v>
      </c>
      <c r="T9605" t="s">
        <v>46389</v>
      </c>
      <c r="U9605" t="s">
        <v>54915</v>
      </c>
      <c r="W9605" t="s">
        <v>43822</v>
      </c>
      <c r="X9605" t="s">
        <v>44770</v>
      </c>
    </row>
    <row r="9606" spans="1:24">
      <c r="A9606">
        <f>HYPERLINK("https://www.philgeps.gov.ph/GEPSNONPILOT/Tender/SplashBidNoticeAbstractUI.aspx?menuIndex=3&amp;refID=7136626&amp;Result=3","7136626")</f>
        <v>0</v>
      </c>
      <c r="B9606" t="s">
        <v>1240</v>
      </c>
      <c r="C9606" t="s">
        <v>10976</v>
      </c>
      <c r="D9606" t="s">
        <v>18010</v>
      </c>
      <c r="E9606" t="s">
        <v>26374</v>
      </c>
      <c r="F9606" t="s">
        <v>30900</v>
      </c>
      <c r="G9606" t="s">
        <v>30907</v>
      </c>
      <c r="H9606" t="s">
        <v>30915</v>
      </c>
      <c r="I9606" t="s">
        <v>30919</v>
      </c>
      <c r="J9606" t="s">
        <v>37056</v>
      </c>
      <c r="K9606" t="s">
        <v>40287</v>
      </c>
      <c r="M9606" t="s">
        <v>41852</v>
      </c>
      <c r="N9606" t="s">
        <v>44759</v>
      </c>
      <c r="O9606" t="s">
        <v>44760</v>
      </c>
      <c r="P9606">
        <v>0</v>
      </c>
      <c r="Q9606">
        <v>0</v>
      </c>
      <c r="R9606" t="s">
        <v>44769</v>
      </c>
      <c r="S9606" t="s">
        <v>45044</v>
      </c>
      <c r="T9606" t="s">
        <v>46533</v>
      </c>
      <c r="U9606" t="s">
        <v>54916</v>
      </c>
      <c r="V9606" t="s">
        <v>60167</v>
      </c>
      <c r="W9606" t="s">
        <v>41852</v>
      </c>
      <c r="X9606" t="s">
        <v>44770</v>
      </c>
    </row>
    <row r="9607" spans="1:24">
      <c r="A9607">
        <f>HYPERLINK("https://www.philgeps.gov.ph/GEPSNONPILOT/Tender/SplashBidNoticeAbstractUI.aspx?menuIndex=3&amp;refID=7137645&amp;Result=3","7137645")</f>
        <v>0</v>
      </c>
      <c r="B9607" t="s">
        <v>2999</v>
      </c>
      <c r="C9607" t="s">
        <v>12874</v>
      </c>
      <c r="D9607" t="s">
        <v>17963</v>
      </c>
      <c r="E9607" t="s">
        <v>26375</v>
      </c>
      <c r="F9607" t="s">
        <v>30900</v>
      </c>
      <c r="G9607" t="s">
        <v>30907</v>
      </c>
      <c r="H9607" t="s">
        <v>30915</v>
      </c>
      <c r="I9607" t="s">
        <v>30919</v>
      </c>
      <c r="J9607" t="s">
        <v>31297</v>
      </c>
      <c r="K9607" t="s">
        <v>40304</v>
      </c>
      <c r="M9607" t="s">
        <v>43803</v>
      </c>
      <c r="N9607" t="s">
        <v>44759</v>
      </c>
      <c r="O9607" t="s">
        <v>44760</v>
      </c>
      <c r="P9607">
        <v>0</v>
      </c>
      <c r="Q9607">
        <v>0</v>
      </c>
      <c r="R9607" t="s">
        <v>44769</v>
      </c>
      <c r="S9607" t="s">
        <v>45044</v>
      </c>
      <c r="T9607" t="s">
        <v>46395</v>
      </c>
      <c r="U9607" t="s">
        <v>54917</v>
      </c>
      <c r="V9607" t="s">
        <v>47619</v>
      </c>
      <c r="W9607" t="s">
        <v>43803</v>
      </c>
      <c r="X9607" t="s">
        <v>44770</v>
      </c>
    </row>
    <row r="9608" spans="1:24">
      <c r="A9608">
        <f>HYPERLINK("https://www.philgeps.gov.ph/GEPSNONPILOT/Tender/SplashBidNoticeAbstractUI.aspx?menuIndex=3&amp;refID=7137634&amp;Result=3","7137634")</f>
        <v>0</v>
      </c>
      <c r="B9608" t="s">
        <v>2672</v>
      </c>
      <c r="C9608" t="s">
        <v>12875</v>
      </c>
      <c r="D9608" t="s">
        <v>17998</v>
      </c>
      <c r="E9608" t="s">
        <v>26376</v>
      </c>
      <c r="F9608" t="s">
        <v>30900</v>
      </c>
      <c r="G9608" t="s">
        <v>30907</v>
      </c>
      <c r="H9608" t="s">
        <v>30917</v>
      </c>
      <c r="I9608" t="s">
        <v>6746</v>
      </c>
      <c r="J9608" t="s">
        <v>31152</v>
      </c>
      <c r="K9608" t="s">
        <v>40283</v>
      </c>
      <c r="M9608" t="s">
        <v>43442</v>
      </c>
      <c r="N9608" t="s">
        <v>44759</v>
      </c>
      <c r="O9608" t="s">
        <v>44760</v>
      </c>
      <c r="P9608">
        <v>0</v>
      </c>
      <c r="Q9608">
        <v>0</v>
      </c>
      <c r="R9608" t="s">
        <v>44769</v>
      </c>
      <c r="S9608" t="s">
        <v>45044</v>
      </c>
      <c r="T9608" t="s">
        <v>46531</v>
      </c>
      <c r="U9608" t="s">
        <v>54918</v>
      </c>
      <c r="W9608" t="s">
        <v>43442</v>
      </c>
      <c r="X9608" t="s">
        <v>44770</v>
      </c>
    </row>
    <row r="9609" spans="1:24">
      <c r="A9609">
        <f>HYPERLINK("https://www.philgeps.gov.ph/GEPSNONPILOT/Tender/SplashBidNoticeAbstractUI.aspx?menuIndex=3&amp;refID=7137642&amp;Result=3","7137642")</f>
        <v>0</v>
      </c>
      <c r="B9609" t="s">
        <v>1724</v>
      </c>
      <c r="C9609" t="s">
        <v>12876</v>
      </c>
      <c r="D9609" t="s">
        <v>18016</v>
      </c>
      <c r="E9609" t="s">
        <v>26377</v>
      </c>
      <c r="F9609" t="s">
        <v>30900</v>
      </c>
      <c r="G9609" t="s">
        <v>30907</v>
      </c>
      <c r="H9609" t="s">
        <v>30915</v>
      </c>
      <c r="I9609" t="s">
        <v>30919</v>
      </c>
      <c r="J9609" t="s">
        <v>37052</v>
      </c>
      <c r="K9609" t="s">
        <v>40340</v>
      </c>
      <c r="M9609" t="s">
        <v>42697</v>
      </c>
      <c r="N9609" t="s">
        <v>44759</v>
      </c>
      <c r="O9609" t="s">
        <v>44760</v>
      </c>
      <c r="P9609">
        <v>0</v>
      </c>
      <c r="Q9609">
        <v>1</v>
      </c>
      <c r="R9609" t="s">
        <v>44769</v>
      </c>
      <c r="S9609" t="s">
        <v>45044</v>
      </c>
      <c r="T9609" t="s">
        <v>46428</v>
      </c>
      <c r="U9609" t="s">
        <v>54909</v>
      </c>
      <c r="V9609" t="s">
        <v>60166</v>
      </c>
      <c r="W9609" t="s">
        <v>60878</v>
      </c>
      <c r="X9609" t="s">
        <v>44770</v>
      </c>
    </row>
    <row r="9610" spans="1:24">
      <c r="A9610">
        <f>HYPERLINK("https://www.philgeps.gov.ph/GEPSNONPILOT/Tender/SplashBidNoticeAbstractUI.aspx?menuIndex=3&amp;refID=7137630&amp;Result=3","7137630")</f>
        <v>0</v>
      </c>
      <c r="B9610" t="s">
        <v>2462</v>
      </c>
      <c r="C9610" t="s">
        <v>12877</v>
      </c>
      <c r="D9610" t="s">
        <v>17964</v>
      </c>
      <c r="E9610" t="s">
        <v>26378</v>
      </c>
      <c r="F9610" t="s">
        <v>30900</v>
      </c>
      <c r="G9610" t="s">
        <v>30907</v>
      </c>
      <c r="H9610" t="s">
        <v>30915</v>
      </c>
      <c r="I9610" t="s">
        <v>30919</v>
      </c>
      <c r="J9610" t="s">
        <v>37057</v>
      </c>
      <c r="K9610" t="s">
        <v>40299</v>
      </c>
      <c r="M9610" t="s">
        <v>43752</v>
      </c>
      <c r="N9610" t="s">
        <v>44759</v>
      </c>
      <c r="O9610" t="s">
        <v>44760</v>
      </c>
      <c r="P9610">
        <v>0</v>
      </c>
      <c r="Q9610">
        <v>1</v>
      </c>
      <c r="R9610" t="s">
        <v>44769</v>
      </c>
      <c r="S9610" t="s">
        <v>45044</v>
      </c>
      <c r="T9610" t="s">
        <v>46544</v>
      </c>
      <c r="U9610" t="s">
        <v>54919</v>
      </c>
      <c r="W9610" t="s">
        <v>43747</v>
      </c>
      <c r="X9610" t="s">
        <v>44770</v>
      </c>
    </row>
    <row r="9611" spans="1:24">
      <c r="A9611">
        <f>HYPERLINK("https://www.philgeps.gov.ph/GEPSNONPILOT/Tender/SplashBidNoticeAbstractUI.aspx?menuIndex=3&amp;refID=7137654&amp;Result=3","7137654")</f>
        <v>0</v>
      </c>
      <c r="B9611" t="s">
        <v>1337</v>
      </c>
      <c r="C9611" t="s">
        <v>11957</v>
      </c>
      <c r="D9611" t="s">
        <v>18001</v>
      </c>
      <c r="E9611" t="s">
        <v>26379</v>
      </c>
      <c r="F9611" t="s">
        <v>30900</v>
      </c>
      <c r="G9611" t="s">
        <v>30909</v>
      </c>
      <c r="H9611" t="s">
        <v>30916</v>
      </c>
      <c r="I9611" t="s">
        <v>4108</v>
      </c>
      <c r="J9611" t="s">
        <v>37058</v>
      </c>
      <c r="K9611" t="s">
        <v>40287</v>
      </c>
      <c r="M9611" t="s">
        <v>41958</v>
      </c>
      <c r="N9611" t="s">
        <v>44759</v>
      </c>
      <c r="O9611" t="s">
        <v>44760</v>
      </c>
      <c r="P9611">
        <v>0</v>
      </c>
      <c r="Q9611">
        <v>4</v>
      </c>
      <c r="R9611" t="s">
        <v>44769</v>
      </c>
      <c r="S9611" t="s">
        <v>45044</v>
      </c>
      <c r="T9611" t="s">
        <v>46414</v>
      </c>
      <c r="U9611" t="s">
        <v>49650</v>
      </c>
      <c r="V9611" t="s">
        <v>60168</v>
      </c>
      <c r="W9611" t="s">
        <v>41958</v>
      </c>
      <c r="X9611" t="s">
        <v>44770</v>
      </c>
    </row>
    <row r="9612" spans="1:24">
      <c r="A9612">
        <f>HYPERLINK("https://www.philgeps.gov.ph/GEPSNONPILOT/Tender/SplashBidNoticeAbstractUI.aspx?menuIndex=3&amp;refID=7137625&amp;Result=3","7137625")</f>
        <v>0</v>
      </c>
      <c r="B9612" t="s">
        <v>2930</v>
      </c>
      <c r="C9612" t="s">
        <v>12878</v>
      </c>
      <c r="D9612" t="s">
        <v>17985</v>
      </c>
      <c r="E9612" t="s">
        <v>26380</v>
      </c>
      <c r="F9612" t="s">
        <v>30900</v>
      </c>
      <c r="G9612" t="s">
        <v>30907</v>
      </c>
      <c r="H9612" t="s">
        <v>30916</v>
      </c>
      <c r="I9612" t="s">
        <v>30924</v>
      </c>
      <c r="J9612" t="s">
        <v>37059</v>
      </c>
      <c r="K9612" t="s">
        <v>40284</v>
      </c>
      <c r="M9612" t="s">
        <v>43726</v>
      </c>
      <c r="N9612" t="s">
        <v>44759</v>
      </c>
      <c r="O9612" t="s">
        <v>44760</v>
      </c>
      <c r="P9612">
        <v>0</v>
      </c>
      <c r="Q9612">
        <v>2</v>
      </c>
      <c r="R9612" t="s">
        <v>44769</v>
      </c>
      <c r="S9612" t="s">
        <v>45044</v>
      </c>
      <c r="T9612" t="s">
        <v>46771</v>
      </c>
      <c r="U9612" t="s">
        <v>54920</v>
      </c>
      <c r="W9612" t="s">
        <v>43726</v>
      </c>
      <c r="X9612" t="s">
        <v>44770</v>
      </c>
    </row>
    <row r="9613" spans="1:24">
      <c r="A9613">
        <f>HYPERLINK("https://www.philgeps.gov.ph/GEPSNONPILOT/Tender/SplashBidNoticeAbstractUI.aspx?menuIndex=3&amp;refID=7137675&amp;Result=3","7137675")</f>
        <v>0</v>
      </c>
      <c r="B9613" t="s">
        <v>2999</v>
      </c>
      <c r="C9613" t="s">
        <v>12879</v>
      </c>
      <c r="D9613" t="s">
        <v>17963</v>
      </c>
      <c r="E9613" t="s">
        <v>26381</v>
      </c>
      <c r="F9613" t="s">
        <v>30900</v>
      </c>
      <c r="G9613" t="s">
        <v>30907</v>
      </c>
      <c r="H9613" t="s">
        <v>30915</v>
      </c>
      <c r="I9613" t="s">
        <v>30919</v>
      </c>
      <c r="J9613" t="s">
        <v>31243</v>
      </c>
      <c r="K9613" t="s">
        <v>40286</v>
      </c>
      <c r="M9613" t="s">
        <v>43803</v>
      </c>
      <c r="N9613" t="s">
        <v>44759</v>
      </c>
      <c r="O9613" t="s">
        <v>44760</v>
      </c>
      <c r="P9613">
        <v>0</v>
      </c>
      <c r="Q9613">
        <v>0</v>
      </c>
      <c r="R9613" t="s">
        <v>44769</v>
      </c>
      <c r="S9613" t="s">
        <v>45044</v>
      </c>
      <c r="T9613" t="s">
        <v>46395</v>
      </c>
      <c r="U9613" t="s">
        <v>54921</v>
      </c>
      <c r="V9613" t="s">
        <v>47619</v>
      </c>
      <c r="W9613" t="s">
        <v>43803</v>
      </c>
      <c r="X9613" t="s">
        <v>44770</v>
      </c>
    </row>
    <row r="9614" spans="1:24">
      <c r="A9614">
        <f>HYPERLINK("https://www.philgeps.gov.ph/GEPSNONPILOT/Tender/SplashBidNoticeAbstractUI.aspx?menuIndex=3&amp;refID=7137623&amp;Result=3","7137623")</f>
        <v>0</v>
      </c>
      <c r="B9614" t="s">
        <v>2456</v>
      </c>
      <c r="C9614" t="s">
        <v>12880</v>
      </c>
      <c r="D9614" t="s">
        <v>17998</v>
      </c>
      <c r="E9614" t="s">
        <v>26382</v>
      </c>
      <c r="F9614" t="s">
        <v>30900</v>
      </c>
      <c r="G9614" t="s">
        <v>30907</v>
      </c>
      <c r="H9614" t="s">
        <v>30916</v>
      </c>
      <c r="I9614" t="s">
        <v>4545</v>
      </c>
      <c r="J9614" t="s">
        <v>37060</v>
      </c>
      <c r="K9614" t="s">
        <v>40284</v>
      </c>
      <c r="M9614" t="s">
        <v>43193</v>
      </c>
      <c r="N9614" t="s">
        <v>44759</v>
      </c>
      <c r="O9614" t="s">
        <v>44760</v>
      </c>
      <c r="P9614">
        <v>0</v>
      </c>
      <c r="Q9614">
        <v>7</v>
      </c>
      <c r="R9614" t="s">
        <v>44769</v>
      </c>
      <c r="S9614" t="s">
        <v>45044</v>
      </c>
      <c r="T9614" t="s">
        <v>46544</v>
      </c>
      <c r="U9614" t="s">
        <v>52923</v>
      </c>
      <c r="W9614" t="s">
        <v>43193</v>
      </c>
      <c r="X9614" t="s">
        <v>44770</v>
      </c>
    </row>
    <row r="9615" spans="1:24">
      <c r="A9615">
        <f>HYPERLINK("https://www.philgeps.gov.ph/GEPSNONPILOT/Tender/SplashBidNoticeAbstractUI.aspx?menuIndex=3&amp;refID=7137644&amp;Result=3","7137644")</f>
        <v>0</v>
      </c>
      <c r="B9615" t="s">
        <v>2963</v>
      </c>
      <c r="C9615" t="s">
        <v>12881</v>
      </c>
      <c r="D9615" t="s">
        <v>17960</v>
      </c>
      <c r="E9615" t="s">
        <v>26178</v>
      </c>
      <c r="F9615" t="s">
        <v>30900</v>
      </c>
      <c r="G9615" t="s">
        <v>30907</v>
      </c>
      <c r="H9615" t="s">
        <v>30915</v>
      </c>
      <c r="I9615" t="s">
        <v>30919</v>
      </c>
      <c r="J9615" t="s">
        <v>37061</v>
      </c>
      <c r="K9615" t="s">
        <v>40292</v>
      </c>
      <c r="M9615" t="s">
        <v>43764</v>
      </c>
      <c r="N9615" t="s">
        <v>44759</v>
      </c>
      <c r="O9615" t="s">
        <v>44760</v>
      </c>
      <c r="Q9615">
        <v>5</v>
      </c>
      <c r="R9615" t="s">
        <v>44769</v>
      </c>
      <c r="S9615" t="s">
        <v>45085</v>
      </c>
      <c r="T9615" t="s">
        <v>46472</v>
      </c>
      <c r="U9615" t="s">
        <v>54722</v>
      </c>
      <c r="W9615" t="s">
        <v>43764</v>
      </c>
      <c r="X9615" t="s">
        <v>44770</v>
      </c>
    </row>
    <row r="9616" spans="1:24">
      <c r="A9616">
        <f>HYPERLINK("https://www.philgeps.gov.ph/GEPSNONPILOT/Tender/SplashBidNoticeAbstractUI.aspx?menuIndex=3&amp;refID=7136585&amp;Result=3","7136585")</f>
        <v>0</v>
      </c>
      <c r="B9616" t="s">
        <v>2462</v>
      </c>
      <c r="C9616" t="s">
        <v>12882</v>
      </c>
      <c r="D9616" t="s">
        <v>17964</v>
      </c>
      <c r="E9616" t="s">
        <v>26383</v>
      </c>
      <c r="F9616" t="s">
        <v>30900</v>
      </c>
      <c r="G9616" t="s">
        <v>30907</v>
      </c>
      <c r="H9616" t="s">
        <v>30915</v>
      </c>
      <c r="I9616" t="s">
        <v>30919</v>
      </c>
      <c r="J9616" t="s">
        <v>37062</v>
      </c>
      <c r="K9616" t="s">
        <v>40301</v>
      </c>
      <c r="M9616" t="s">
        <v>43752</v>
      </c>
      <c r="N9616" t="s">
        <v>44759</v>
      </c>
      <c r="O9616" t="s">
        <v>44760</v>
      </c>
      <c r="P9616">
        <v>0</v>
      </c>
      <c r="Q9616">
        <v>2</v>
      </c>
      <c r="R9616" t="s">
        <v>44769</v>
      </c>
      <c r="S9616" t="s">
        <v>45044</v>
      </c>
      <c r="T9616" t="s">
        <v>46544</v>
      </c>
      <c r="U9616" t="s">
        <v>54922</v>
      </c>
      <c r="W9616" t="s">
        <v>43747</v>
      </c>
      <c r="X9616" t="s">
        <v>44770</v>
      </c>
    </row>
    <row r="9617" spans="1:24">
      <c r="A9617">
        <f>HYPERLINK("https://www.philgeps.gov.ph/GEPSNONPILOT/Tender/SplashBidNoticeAbstractUI.aspx?menuIndex=3&amp;refID=7137661&amp;Result=3","7137661")</f>
        <v>0</v>
      </c>
      <c r="B9617" t="s">
        <v>2575</v>
      </c>
      <c r="C9617" t="s">
        <v>12883</v>
      </c>
      <c r="D9617" t="s">
        <v>17957</v>
      </c>
      <c r="E9617" t="s">
        <v>12883</v>
      </c>
      <c r="F9617" t="s">
        <v>30900</v>
      </c>
      <c r="G9617" t="s">
        <v>30907</v>
      </c>
      <c r="H9617" t="s">
        <v>30915</v>
      </c>
      <c r="I9617" t="s">
        <v>30919</v>
      </c>
      <c r="J9617" t="s">
        <v>32049</v>
      </c>
      <c r="K9617" t="s">
        <v>40304</v>
      </c>
      <c r="M9617" t="s">
        <v>43334</v>
      </c>
      <c r="N9617" t="s">
        <v>44759</v>
      </c>
      <c r="O9617" t="s">
        <v>44760</v>
      </c>
      <c r="P9617">
        <v>0</v>
      </c>
      <c r="Q9617">
        <v>0</v>
      </c>
      <c r="R9617" t="s">
        <v>44769</v>
      </c>
      <c r="S9617" t="s">
        <v>45044</v>
      </c>
      <c r="T9617" t="s">
        <v>46808</v>
      </c>
      <c r="U9617" t="s">
        <v>54923</v>
      </c>
      <c r="W9617" t="s">
        <v>43334</v>
      </c>
      <c r="X9617" t="s">
        <v>44770</v>
      </c>
    </row>
    <row r="9618" spans="1:24">
      <c r="A9618">
        <f>HYPERLINK("https://www.philgeps.gov.ph/GEPSNONPILOT/Tender/SplashBidNoticeAbstractUI.aspx?menuIndex=3&amp;refID=7136577&amp;Result=3","7136577")</f>
        <v>0</v>
      </c>
      <c r="B9618" t="s">
        <v>1100</v>
      </c>
      <c r="C9618" t="s">
        <v>12884</v>
      </c>
      <c r="E9618" t="s">
        <v>26384</v>
      </c>
      <c r="F9618" t="s">
        <v>30900</v>
      </c>
      <c r="G9618" t="s">
        <v>30909</v>
      </c>
      <c r="H9618" t="s">
        <v>30916</v>
      </c>
      <c r="I9618" t="s">
        <v>30923</v>
      </c>
      <c r="J9618" t="s">
        <v>37063</v>
      </c>
      <c r="K9618" t="s">
        <v>40289</v>
      </c>
      <c r="M9618" t="s">
        <v>41789</v>
      </c>
      <c r="N9618" t="s">
        <v>44759</v>
      </c>
      <c r="O9618" t="s">
        <v>44760</v>
      </c>
      <c r="P9618">
        <v>0</v>
      </c>
      <c r="Q9618">
        <v>1</v>
      </c>
      <c r="R9618" t="s">
        <v>44769</v>
      </c>
      <c r="S9618" t="s">
        <v>45044</v>
      </c>
      <c r="T9618" t="s">
        <v>46374</v>
      </c>
      <c r="U9618" t="s">
        <v>54924</v>
      </c>
      <c r="W9618" t="s">
        <v>41789</v>
      </c>
      <c r="X9618" t="s">
        <v>44770</v>
      </c>
    </row>
    <row r="9619" spans="1:24">
      <c r="A9619">
        <f>HYPERLINK("https://www.philgeps.gov.ph/GEPSNONPILOT/Tender/SplashBidNoticeAbstractUI.aspx?menuIndex=3&amp;refID=7136100&amp;Result=3","7136100")</f>
        <v>0</v>
      </c>
      <c r="B9619" t="s">
        <v>28</v>
      </c>
      <c r="C9619" t="s">
        <v>12885</v>
      </c>
      <c r="D9619" t="s">
        <v>17955</v>
      </c>
      <c r="E9619" t="s">
        <v>26385</v>
      </c>
      <c r="F9619" t="s">
        <v>30900</v>
      </c>
      <c r="G9619" t="s">
        <v>30907</v>
      </c>
      <c r="H9619" t="s">
        <v>30915</v>
      </c>
      <c r="I9619" t="s">
        <v>30919</v>
      </c>
      <c r="J9619" t="s">
        <v>37064</v>
      </c>
      <c r="K9619" t="s">
        <v>40328</v>
      </c>
      <c r="M9619" t="s">
        <v>40574</v>
      </c>
      <c r="N9619" t="s">
        <v>44759</v>
      </c>
      <c r="O9619" t="s">
        <v>44760</v>
      </c>
      <c r="Q9619">
        <v>6</v>
      </c>
      <c r="R9619" t="s">
        <v>44769</v>
      </c>
      <c r="S9619" t="s">
        <v>45086</v>
      </c>
      <c r="T9619" t="s">
        <v>46428</v>
      </c>
      <c r="U9619" t="s">
        <v>54925</v>
      </c>
      <c r="W9619" t="s">
        <v>40574</v>
      </c>
      <c r="X9619" t="s">
        <v>44770</v>
      </c>
    </row>
    <row r="9620" spans="1:24">
      <c r="A9620">
        <f>HYPERLINK("https://www.philgeps.gov.ph/GEPSNONPILOT/Tender/SplashBidNoticeAbstractUI.aspx?menuIndex=3&amp;refID=7136109&amp;Result=3","7136109")</f>
        <v>0</v>
      </c>
      <c r="B9620" t="s">
        <v>1246</v>
      </c>
      <c r="C9620" t="s">
        <v>12556</v>
      </c>
      <c r="E9620" t="s">
        <v>26386</v>
      </c>
      <c r="F9620" t="s">
        <v>30900</v>
      </c>
      <c r="G9620" t="s">
        <v>30907</v>
      </c>
      <c r="H9620" t="s">
        <v>30916</v>
      </c>
      <c r="I9620" t="s">
        <v>8123</v>
      </c>
      <c r="J9620" t="s">
        <v>37065</v>
      </c>
      <c r="K9620" t="s">
        <v>40289</v>
      </c>
      <c r="M9620" t="s">
        <v>41858</v>
      </c>
      <c r="N9620" t="s">
        <v>44759</v>
      </c>
      <c r="O9620" t="s">
        <v>44760</v>
      </c>
      <c r="P9620">
        <v>0</v>
      </c>
      <c r="Q9620">
        <v>1</v>
      </c>
      <c r="R9620" t="s">
        <v>44769</v>
      </c>
      <c r="S9620" t="s">
        <v>45044</v>
      </c>
      <c r="T9620" t="s">
        <v>46694</v>
      </c>
      <c r="U9620" t="s">
        <v>54926</v>
      </c>
      <c r="W9620" t="s">
        <v>41858</v>
      </c>
      <c r="X9620" t="s">
        <v>44770</v>
      </c>
    </row>
    <row r="9621" spans="1:24">
      <c r="A9621">
        <f>HYPERLINK("https://www.philgeps.gov.ph/GEPSNONPILOT/Tender/SplashBidNoticeAbstractUI.aspx?menuIndex=3&amp;refID=7136097&amp;Result=3","7136097")</f>
        <v>0</v>
      </c>
      <c r="B9621" t="s">
        <v>2141</v>
      </c>
      <c r="C9621" t="s">
        <v>12886</v>
      </c>
      <c r="D9621" t="s">
        <v>17959</v>
      </c>
      <c r="E9621" t="s">
        <v>26387</v>
      </c>
      <c r="F9621" t="s">
        <v>30900</v>
      </c>
      <c r="G9621" t="s">
        <v>30907</v>
      </c>
      <c r="H9621" t="s">
        <v>30916</v>
      </c>
      <c r="I9621" t="s">
        <v>30921</v>
      </c>
      <c r="J9621" t="s">
        <v>31653</v>
      </c>
      <c r="K9621" t="s">
        <v>40286</v>
      </c>
      <c r="M9621" t="s">
        <v>43823</v>
      </c>
      <c r="N9621" t="s">
        <v>44759</v>
      </c>
      <c r="O9621" t="s">
        <v>44760</v>
      </c>
      <c r="P9621">
        <v>0</v>
      </c>
      <c r="Q9621">
        <v>8</v>
      </c>
      <c r="R9621" t="s">
        <v>44769</v>
      </c>
      <c r="S9621" t="s">
        <v>45044</v>
      </c>
      <c r="T9621" t="s">
        <v>46606</v>
      </c>
      <c r="U9621" t="s">
        <v>54927</v>
      </c>
      <c r="W9621" t="s">
        <v>43823</v>
      </c>
      <c r="X9621" t="s">
        <v>44770</v>
      </c>
    </row>
    <row r="9622" spans="1:24">
      <c r="A9622">
        <f>HYPERLINK("https://www.philgeps.gov.ph/GEPSNONPILOT/Tender/SplashBidNoticeAbstractUI.aspx?menuIndex=3&amp;refID=7136108&amp;Result=3","7136108")</f>
        <v>0</v>
      </c>
      <c r="B9622" t="s">
        <v>3016</v>
      </c>
      <c r="C9622" t="s">
        <v>12887</v>
      </c>
      <c r="D9622" t="s">
        <v>18004</v>
      </c>
      <c r="E9622" t="s">
        <v>26388</v>
      </c>
      <c r="F9622" t="s">
        <v>30903</v>
      </c>
      <c r="G9622" t="s">
        <v>30907</v>
      </c>
      <c r="H9622" t="s">
        <v>30915</v>
      </c>
      <c r="I9622" t="s">
        <v>30919</v>
      </c>
      <c r="J9622" t="s">
        <v>33787</v>
      </c>
      <c r="K9622" t="s">
        <v>40392</v>
      </c>
      <c r="M9622" t="s">
        <v>43824</v>
      </c>
      <c r="N9622" t="s">
        <v>44759</v>
      </c>
      <c r="O9622" t="s">
        <v>44760</v>
      </c>
      <c r="P9622">
        <v>0</v>
      </c>
      <c r="Q9622">
        <v>4</v>
      </c>
      <c r="R9622" t="s">
        <v>44769</v>
      </c>
      <c r="S9622" t="s">
        <v>45044</v>
      </c>
      <c r="T9622" t="s">
        <v>46595</v>
      </c>
      <c r="U9622" t="s">
        <v>54928</v>
      </c>
      <c r="W9622" t="s">
        <v>43824</v>
      </c>
      <c r="X9622" t="s">
        <v>44770</v>
      </c>
    </row>
    <row r="9623" spans="1:24">
      <c r="A9623">
        <f>HYPERLINK("https://www.philgeps.gov.ph/GEPSNONPILOT/Tender/SplashBidNoticeAbstractUI.aspx?menuIndex=3&amp;refID=7136087&amp;Result=3","7136087")</f>
        <v>0</v>
      </c>
      <c r="B9623" t="s">
        <v>89</v>
      </c>
      <c r="C9623" t="s">
        <v>12888</v>
      </c>
      <c r="D9623" t="s">
        <v>17971</v>
      </c>
      <c r="E9623" t="s">
        <v>26389</v>
      </c>
      <c r="F9623" t="s">
        <v>30900</v>
      </c>
      <c r="G9623" t="s">
        <v>30909</v>
      </c>
      <c r="H9623" t="s">
        <v>30916</v>
      </c>
      <c r="I9623" t="s">
        <v>30960</v>
      </c>
      <c r="J9623" t="s">
        <v>36964</v>
      </c>
      <c r="K9623" t="s">
        <v>40289</v>
      </c>
      <c r="M9623" t="s">
        <v>40636</v>
      </c>
      <c r="N9623" t="s">
        <v>44759</v>
      </c>
      <c r="O9623" t="s">
        <v>44760</v>
      </c>
      <c r="Q9623">
        <v>1</v>
      </c>
      <c r="R9623" t="s">
        <v>44769</v>
      </c>
      <c r="S9623" t="s">
        <v>45087</v>
      </c>
      <c r="T9623" t="s">
        <v>46391</v>
      </c>
      <c r="U9623" t="s">
        <v>47056</v>
      </c>
      <c r="V9623" t="s">
        <v>60169</v>
      </c>
      <c r="W9623" t="s">
        <v>40636</v>
      </c>
      <c r="X9623" t="s">
        <v>44770</v>
      </c>
    </row>
    <row r="9624" spans="1:24">
      <c r="A9624">
        <f>HYPERLINK("https://www.philgeps.gov.ph/GEPSNONPILOT/Tender/SplashBidNoticeAbstractUI.aspx?menuIndex=3&amp;refID=7136105&amp;Result=3","7136105")</f>
        <v>0</v>
      </c>
      <c r="B9624" t="s">
        <v>2921</v>
      </c>
      <c r="C9624" t="s">
        <v>12889</v>
      </c>
      <c r="D9624" t="s">
        <v>17974</v>
      </c>
      <c r="E9624" t="s">
        <v>26390</v>
      </c>
      <c r="F9624" t="s">
        <v>30900</v>
      </c>
      <c r="G9624" t="s">
        <v>30907</v>
      </c>
      <c r="H9624" t="s">
        <v>7411</v>
      </c>
      <c r="I9624" t="s">
        <v>7411</v>
      </c>
      <c r="J9624" t="s">
        <v>37066</v>
      </c>
      <c r="K9624" t="s">
        <v>40286</v>
      </c>
      <c r="M9624" t="s">
        <v>43716</v>
      </c>
      <c r="N9624" t="s">
        <v>44759</v>
      </c>
      <c r="O9624" t="s">
        <v>44760</v>
      </c>
      <c r="P9624">
        <v>0</v>
      </c>
      <c r="Q9624">
        <v>4</v>
      </c>
      <c r="R9624" t="s">
        <v>44769</v>
      </c>
      <c r="S9624" t="s">
        <v>45044</v>
      </c>
      <c r="T9624" t="s">
        <v>46495</v>
      </c>
      <c r="U9624" t="s">
        <v>54929</v>
      </c>
      <c r="W9624" t="s">
        <v>43716</v>
      </c>
      <c r="X9624" t="s">
        <v>44770</v>
      </c>
    </row>
    <row r="9625" spans="1:24">
      <c r="A9625">
        <f>HYPERLINK("https://www.philgeps.gov.ph/GEPSNONPILOT/Tender/SplashBidNoticeAbstractUI.aspx?menuIndex=3&amp;refID=7135990&amp;Result=3","7135990")</f>
        <v>0</v>
      </c>
      <c r="B9625" t="s">
        <v>2921</v>
      </c>
      <c r="C9625" t="s">
        <v>12890</v>
      </c>
      <c r="D9625" t="s">
        <v>17974</v>
      </c>
      <c r="E9625" t="s">
        <v>26391</v>
      </c>
      <c r="F9625" t="s">
        <v>30900</v>
      </c>
      <c r="G9625" t="s">
        <v>30907</v>
      </c>
      <c r="H9625" t="s">
        <v>30915</v>
      </c>
      <c r="I9625" t="s">
        <v>30919</v>
      </c>
      <c r="J9625" t="s">
        <v>37067</v>
      </c>
      <c r="K9625" t="s">
        <v>40292</v>
      </c>
      <c r="M9625" t="s">
        <v>43716</v>
      </c>
      <c r="N9625" t="s">
        <v>44759</v>
      </c>
      <c r="O9625" t="s">
        <v>44760</v>
      </c>
      <c r="P9625">
        <v>0</v>
      </c>
      <c r="Q9625">
        <v>1</v>
      </c>
      <c r="R9625" t="s">
        <v>44769</v>
      </c>
      <c r="S9625" t="s">
        <v>45044</v>
      </c>
      <c r="T9625" t="s">
        <v>46495</v>
      </c>
      <c r="U9625" t="s">
        <v>54930</v>
      </c>
      <c r="W9625" t="s">
        <v>43716</v>
      </c>
      <c r="X9625" t="s">
        <v>44771</v>
      </c>
    </row>
    <row r="9626" spans="1:24">
      <c r="A9626">
        <f>HYPERLINK("https://www.philgeps.gov.ph/GEPSNONPILOT/Tender/SplashBidNoticeAbstractUI.aspx?menuIndex=3&amp;refID=7135861&amp;Result=3","7135861")</f>
        <v>0</v>
      </c>
      <c r="B9626" t="s">
        <v>3017</v>
      </c>
      <c r="C9626" t="s">
        <v>12891</v>
      </c>
      <c r="D9626" t="s">
        <v>17987</v>
      </c>
      <c r="F9626" t="s">
        <v>30900</v>
      </c>
      <c r="G9626" t="s">
        <v>30907</v>
      </c>
      <c r="H9626" t="s">
        <v>30916</v>
      </c>
      <c r="I9626" t="s">
        <v>30939</v>
      </c>
      <c r="J9626" t="s">
        <v>31101</v>
      </c>
      <c r="K9626" t="s">
        <v>40289</v>
      </c>
      <c r="M9626" t="s">
        <v>43825</v>
      </c>
      <c r="N9626" t="s">
        <v>44759</v>
      </c>
      <c r="O9626" t="s">
        <v>44760</v>
      </c>
      <c r="P9626">
        <v>0</v>
      </c>
      <c r="Q9626">
        <v>0</v>
      </c>
      <c r="R9626" t="s">
        <v>44769</v>
      </c>
      <c r="S9626" t="s">
        <v>45044</v>
      </c>
      <c r="T9626" t="s">
        <v>46398</v>
      </c>
      <c r="U9626" t="s">
        <v>54931</v>
      </c>
      <c r="W9626" t="s">
        <v>43825</v>
      </c>
      <c r="X9626" t="s">
        <v>44771</v>
      </c>
    </row>
    <row r="9627" spans="1:24">
      <c r="A9627">
        <f>HYPERLINK("https://www.philgeps.gov.ph/GEPSNONPILOT/Tender/SplashBidNoticeAbstractUI.aspx?menuIndex=3&amp;refID=7135848&amp;Result=3","7135848")</f>
        <v>0</v>
      </c>
      <c r="B9627" t="s">
        <v>3018</v>
      </c>
      <c r="C9627" t="s">
        <v>12892</v>
      </c>
      <c r="D9627" t="s">
        <v>17975</v>
      </c>
      <c r="E9627" t="s">
        <v>26392</v>
      </c>
      <c r="F9627" t="s">
        <v>30900</v>
      </c>
      <c r="G9627" t="s">
        <v>30907</v>
      </c>
      <c r="H9627" t="s">
        <v>30915</v>
      </c>
      <c r="I9627" t="s">
        <v>30919</v>
      </c>
      <c r="J9627" t="s">
        <v>32324</v>
      </c>
      <c r="K9627" t="s">
        <v>40392</v>
      </c>
      <c r="M9627" t="s">
        <v>43826</v>
      </c>
      <c r="N9627" t="s">
        <v>44759</v>
      </c>
      <c r="O9627" t="s">
        <v>44760</v>
      </c>
      <c r="P9627">
        <v>0</v>
      </c>
      <c r="Q9627">
        <v>2</v>
      </c>
      <c r="R9627" t="s">
        <v>44769</v>
      </c>
      <c r="S9627" t="s">
        <v>45044</v>
      </c>
      <c r="T9627" t="s">
        <v>46586</v>
      </c>
      <c r="U9627" t="s">
        <v>54932</v>
      </c>
      <c r="W9627" t="s">
        <v>43826</v>
      </c>
      <c r="X9627" t="s">
        <v>44771</v>
      </c>
    </row>
    <row r="9628" spans="1:24">
      <c r="A9628">
        <f>HYPERLINK("https://www.philgeps.gov.ph/GEPSNONPILOT/Tender/SplashBidNoticeAbstractUI.aspx?menuIndex=3&amp;refID=7135844&amp;Result=3","7135844")</f>
        <v>0</v>
      </c>
      <c r="B9628" t="s">
        <v>1211</v>
      </c>
      <c r="C9628" t="s">
        <v>12893</v>
      </c>
      <c r="D9628" t="s">
        <v>17980</v>
      </c>
      <c r="E9628" t="s">
        <v>26393</v>
      </c>
      <c r="F9628" t="s">
        <v>30900</v>
      </c>
      <c r="G9628" t="s">
        <v>30907</v>
      </c>
      <c r="H9628" t="s">
        <v>30916</v>
      </c>
      <c r="I9628" t="s">
        <v>4108</v>
      </c>
      <c r="J9628" t="s">
        <v>31105</v>
      </c>
      <c r="K9628" t="s">
        <v>40283</v>
      </c>
      <c r="M9628" t="s">
        <v>41822</v>
      </c>
      <c r="N9628" t="s">
        <v>44759</v>
      </c>
      <c r="O9628" t="s">
        <v>44760</v>
      </c>
      <c r="P9628">
        <v>0</v>
      </c>
      <c r="Q9628">
        <v>3</v>
      </c>
      <c r="R9628" t="s">
        <v>44769</v>
      </c>
      <c r="S9628" t="s">
        <v>45044</v>
      </c>
      <c r="T9628" t="s">
        <v>46752</v>
      </c>
      <c r="U9628" t="s">
        <v>54933</v>
      </c>
      <c r="V9628" t="s">
        <v>60170</v>
      </c>
      <c r="W9628" t="s">
        <v>41822</v>
      </c>
      <c r="X9628" t="s">
        <v>44771</v>
      </c>
    </row>
    <row r="9629" spans="1:24">
      <c r="A9629">
        <f>HYPERLINK("https://www.philgeps.gov.ph/GEPSNONPILOT/Tender/SplashBidNoticeAbstractUI.aspx?menuIndex=3&amp;refID=7135841&amp;Result=3","7135841")</f>
        <v>0</v>
      </c>
      <c r="B9629" t="s">
        <v>1211</v>
      </c>
      <c r="C9629" t="s">
        <v>12894</v>
      </c>
      <c r="D9629" t="s">
        <v>17980</v>
      </c>
      <c r="E9629" t="s">
        <v>26394</v>
      </c>
      <c r="F9629" t="s">
        <v>30900</v>
      </c>
      <c r="G9629" t="s">
        <v>30907</v>
      </c>
      <c r="H9629" t="s">
        <v>30916</v>
      </c>
      <c r="I9629" t="s">
        <v>30923</v>
      </c>
      <c r="J9629" t="s">
        <v>37068</v>
      </c>
      <c r="K9629" t="s">
        <v>40283</v>
      </c>
      <c r="M9629" t="s">
        <v>41822</v>
      </c>
      <c r="N9629" t="s">
        <v>44759</v>
      </c>
      <c r="O9629" t="s">
        <v>44760</v>
      </c>
      <c r="P9629">
        <v>0</v>
      </c>
      <c r="Q9629">
        <v>1</v>
      </c>
      <c r="R9629" t="s">
        <v>44769</v>
      </c>
      <c r="S9629" t="s">
        <v>45044</v>
      </c>
      <c r="T9629" t="s">
        <v>46752</v>
      </c>
      <c r="U9629" t="s">
        <v>54934</v>
      </c>
      <c r="V9629" t="s">
        <v>60171</v>
      </c>
      <c r="W9629" t="s">
        <v>41822</v>
      </c>
      <c r="X9629" t="s">
        <v>44771</v>
      </c>
    </row>
    <row r="9630" spans="1:24">
      <c r="A9630">
        <f>HYPERLINK("https://www.philgeps.gov.ph/GEPSNONPILOT/Tender/SplashBidNoticeAbstractUI.aspx?menuIndex=3&amp;refID=7137620&amp;Result=3","7137620")</f>
        <v>0</v>
      </c>
      <c r="B9630" t="s">
        <v>2999</v>
      </c>
      <c r="C9630" t="s">
        <v>12895</v>
      </c>
      <c r="D9630" t="s">
        <v>17963</v>
      </c>
      <c r="E9630" t="s">
        <v>26395</v>
      </c>
      <c r="F9630" t="s">
        <v>30900</v>
      </c>
      <c r="G9630" t="s">
        <v>30907</v>
      </c>
      <c r="H9630" t="s">
        <v>30915</v>
      </c>
      <c r="I9630" t="s">
        <v>30919</v>
      </c>
      <c r="J9630" t="s">
        <v>31152</v>
      </c>
      <c r="K9630" t="s">
        <v>40292</v>
      </c>
      <c r="M9630" t="s">
        <v>43803</v>
      </c>
      <c r="N9630" t="s">
        <v>44759</v>
      </c>
      <c r="O9630" t="s">
        <v>44760</v>
      </c>
      <c r="P9630">
        <v>0</v>
      </c>
      <c r="Q9630">
        <v>0</v>
      </c>
      <c r="R9630" t="s">
        <v>44769</v>
      </c>
      <c r="S9630" t="s">
        <v>45044</v>
      </c>
      <c r="T9630" t="s">
        <v>46395</v>
      </c>
      <c r="U9630" t="s">
        <v>54917</v>
      </c>
      <c r="V9630" t="s">
        <v>47619</v>
      </c>
      <c r="W9630" t="s">
        <v>43803</v>
      </c>
      <c r="X9630" t="s">
        <v>44770</v>
      </c>
    </row>
    <row r="9631" spans="1:24">
      <c r="A9631">
        <f>HYPERLINK("https://www.philgeps.gov.ph/GEPSNONPILOT/Tender/SplashBidNoticeAbstractUI.aspx?menuIndex=3&amp;refID=7137700&amp;Result=3","7137700")</f>
        <v>0</v>
      </c>
      <c r="B9631" t="s">
        <v>810</v>
      </c>
      <c r="C9631" t="s">
        <v>12896</v>
      </c>
      <c r="D9631" t="s">
        <v>18017</v>
      </c>
      <c r="E9631" t="s">
        <v>19351</v>
      </c>
      <c r="F9631" t="s">
        <v>30900</v>
      </c>
      <c r="G9631" t="s">
        <v>30907</v>
      </c>
      <c r="H9631" t="s">
        <v>30915</v>
      </c>
      <c r="I9631" t="s">
        <v>30919</v>
      </c>
      <c r="J9631" t="s">
        <v>31069</v>
      </c>
      <c r="K9631" t="s">
        <v>40428</v>
      </c>
      <c r="M9631" t="s">
        <v>41381</v>
      </c>
      <c r="N9631" t="s">
        <v>44759</v>
      </c>
      <c r="O9631" t="s">
        <v>44760</v>
      </c>
      <c r="P9631">
        <v>0</v>
      </c>
      <c r="Q9631">
        <v>3</v>
      </c>
      <c r="R9631" t="s">
        <v>44769</v>
      </c>
      <c r="S9631" t="s">
        <v>45044</v>
      </c>
      <c r="T9631" t="s">
        <v>46472</v>
      </c>
      <c r="U9631" t="s">
        <v>54935</v>
      </c>
      <c r="W9631" t="s">
        <v>41381</v>
      </c>
      <c r="X9631" t="s">
        <v>44770</v>
      </c>
    </row>
    <row r="9632" spans="1:24">
      <c r="A9632">
        <f>HYPERLINK("https://www.philgeps.gov.ph/GEPSNONPILOT/Tender/SplashBidNoticeAbstractUI.aspx?menuIndex=3&amp;refID=7135883&amp;Result=3","7135883")</f>
        <v>0</v>
      </c>
      <c r="B9632" t="s">
        <v>3019</v>
      </c>
      <c r="C9632" t="s">
        <v>12897</v>
      </c>
      <c r="D9632" t="s">
        <v>18020</v>
      </c>
      <c r="E9632" t="s">
        <v>18935</v>
      </c>
      <c r="F9632" t="s">
        <v>30900</v>
      </c>
      <c r="G9632" t="s">
        <v>30907</v>
      </c>
      <c r="H9632" t="s">
        <v>30916</v>
      </c>
      <c r="I9632" t="s">
        <v>30933</v>
      </c>
      <c r="J9632" t="s">
        <v>31412</v>
      </c>
      <c r="K9632" t="s">
        <v>40286</v>
      </c>
      <c r="M9632" t="s">
        <v>43827</v>
      </c>
      <c r="N9632" t="s">
        <v>44759</v>
      </c>
      <c r="O9632" t="s">
        <v>44760</v>
      </c>
      <c r="P9632">
        <v>0</v>
      </c>
      <c r="Q9632">
        <v>2</v>
      </c>
      <c r="R9632" t="s">
        <v>44769</v>
      </c>
      <c r="S9632" t="s">
        <v>45044</v>
      </c>
      <c r="T9632" t="s">
        <v>46653</v>
      </c>
      <c r="U9632" t="s">
        <v>54936</v>
      </c>
      <c r="W9632" t="s">
        <v>43827</v>
      </c>
      <c r="X9632" t="s">
        <v>44771</v>
      </c>
    </row>
    <row r="9633" spans="1:24">
      <c r="A9633">
        <f>HYPERLINK("https://www.philgeps.gov.ph/GEPSNONPILOT/Tender/SplashBidNoticeAbstractUI.aspx?menuIndex=3&amp;refID=7137820&amp;Result=3","7137820")</f>
        <v>0</v>
      </c>
      <c r="B9633" t="s">
        <v>229</v>
      </c>
      <c r="C9633" t="s">
        <v>12898</v>
      </c>
      <c r="D9633" t="s">
        <v>18018</v>
      </c>
      <c r="E9633" t="s">
        <v>26396</v>
      </c>
      <c r="F9633" t="s">
        <v>30900</v>
      </c>
      <c r="G9633" t="s">
        <v>30907</v>
      </c>
      <c r="H9633" t="s">
        <v>30915</v>
      </c>
      <c r="I9633" t="s">
        <v>30919</v>
      </c>
      <c r="J9633" t="s">
        <v>34915</v>
      </c>
      <c r="K9633" t="s">
        <v>40341</v>
      </c>
      <c r="M9633" t="s">
        <v>40776</v>
      </c>
      <c r="N9633" t="s">
        <v>44759</v>
      </c>
      <c r="O9633" t="s">
        <v>44760</v>
      </c>
      <c r="P9633">
        <v>0</v>
      </c>
      <c r="Q9633">
        <v>0</v>
      </c>
      <c r="R9633" t="s">
        <v>44769</v>
      </c>
      <c r="S9633" t="s">
        <v>45044</v>
      </c>
      <c r="T9633" t="s">
        <v>46495</v>
      </c>
      <c r="U9633" t="s">
        <v>54937</v>
      </c>
      <c r="V9633" t="s">
        <v>60163</v>
      </c>
      <c r="W9633" t="s">
        <v>40776</v>
      </c>
      <c r="X9633" t="s">
        <v>44770</v>
      </c>
    </row>
    <row r="9634" spans="1:24">
      <c r="A9634">
        <f>HYPERLINK("https://www.philgeps.gov.ph/GEPSNONPILOT/Tender/SplashBidNoticeAbstractUI.aspx?menuIndex=3&amp;refID=7137626&amp;Result=3","7137626")</f>
        <v>0</v>
      </c>
      <c r="B9634" t="s">
        <v>939</v>
      </c>
      <c r="C9634" t="s">
        <v>12899</v>
      </c>
      <c r="D9634" t="s">
        <v>17959</v>
      </c>
      <c r="E9634" t="s">
        <v>26397</v>
      </c>
      <c r="F9634" t="s">
        <v>30900</v>
      </c>
      <c r="G9634" t="s">
        <v>30907</v>
      </c>
      <c r="H9634" t="s">
        <v>30916</v>
      </c>
      <c r="I9634" t="s">
        <v>4050</v>
      </c>
      <c r="J9634" t="s">
        <v>37069</v>
      </c>
      <c r="K9634" t="s">
        <v>40289</v>
      </c>
      <c r="M9634" t="s">
        <v>41522</v>
      </c>
      <c r="N9634" t="s">
        <v>44759</v>
      </c>
      <c r="O9634" t="s">
        <v>44760</v>
      </c>
      <c r="Q9634">
        <v>4</v>
      </c>
      <c r="R9634" t="s">
        <v>44769</v>
      </c>
      <c r="S9634" t="s">
        <v>45088</v>
      </c>
      <c r="T9634" t="s">
        <v>46595</v>
      </c>
      <c r="U9634" t="s">
        <v>48648</v>
      </c>
      <c r="W9634" t="s">
        <v>41522</v>
      </c>
      <c r="X9634" t="s">
        <v>44770</v>
      </c>
    </row>
    <row r="9635" spans="1:24">
      <c r="A9635">
        <f>HYPERLINK("https://www.philgeps.gov.ph/GEPSNONPILOT/Tender/SplashBidNoticeAbstractUI.aspx?menuIndex=3&amp;refID=7137807&amp;Result=3","7137807")</f>
        <v>0</v>
      </c>
      <c r="B9635" t="s">
        <v>3020</v>
      </c>
      <c r="C9635" t="s">
        <v>12900</v>
      </c>
      <c r="D9635" t="s">
        <v>17978</v>
      </c>
      <c r="E9635" t="s">
        <v>26398</v>
      </c>
      <c r="F9635" t="s">
        <v>30900</v>
      </c>
      <c r="G9635" t="s">
        <v>30907</v>
      </c>
      <c r="H9635" t="s">
        <v>30915</v>
      </c>
      <c r="I9635" t="s">
        <v>30919</v>
      </c>
      <c r="J9635" t="s">
        <v>32049</v>
      </c>
      <c r="K9635" t="s">
        <v>40280</v>
      </c>
      <c r="M9635" t="s">
        <v>43828</v>
      </c>
      <c r="N9635" t="s">
        <v>44759</v>
      </c>
      <c r="O9635" t="s">
        <v>44760</v>
      </c>
      <c r="P9635">
        <v>0</v>
      </c>
      <c r="Q9635">
        <v>1</v>
      </c>
      <c r="R9635" t="s">
        <v>44769</v>
      </c>
      <c r="S9635" t="s">
        <v>45044</v>
      </c>
      <c r="T9635" t="s">
        <v>46472</v>
      </c>
      <c r="U9635" t="s">
        <v>54938</v>
      </c>
      <c r="V9635" t="s">
        <v>59692</v>
      </c>
      <c r="W9635" t="s">
        <v>43828</v>
      </c>
      <c r="X9635" t="s">
        <v>44770</v>
      </c>
    </row>
    <row r="9636" spans="1:24">
      <c r="A9636">
        <f>HYPERLINK("https://www.philgeps.gov.ph/GEPSNONPILOT/Tender/SplashBidNoticeAbstractUI.aspx?menuIndex=3&amp;refID=7135823&amp;Result=3","7135823")</f>
        <v>0</v>
      </c>
      <c r="B9636" t="s">
        <v>1211</v>
      </c>
      <c r="C9636" t="s">
        <v>12901</v>
      </c>
      <c r="D9636" t="s">
        <v>17980</v>
      </c>
      <c r="E9636" t="s">
        <v>26399</v>
      </c>
      <c r="F9636" t="s">
        <v>30900</v>
      </c>
      <c r="G9636" t="s">
        <v>30907</v>
      </c>
      <c r="H9636" t="s">
        <v>30916</v>
      </c>
      <c r="I9636" t="s">
        <v>30960</v>
      </c>
      <c r="J9636" t="s">
        <v>31391</v>
      </c>
      <c r="K9636" t="s">
        <v>40283</v>
      </c>
      <c r="M9636" t="s">
        <v>41822</v>
      </c>
      <c r="N9636" t="s">
        <v>44759</v>
      </c>
      <c r="O9636" t="s">
        <v>44760</v>
      </c>
      <c r="P9636">
        <v>0</v>
      </c>
      <c r="Q9636">
        <v>5</v>
      </c>
      <c r="R9636" t="s">
        <v>44769</v>
      </c>
      <c r="S9636" t="s">
        <v>45044</v>
      </c>
      <c r="T9636" t="s">
        <v>46752</v>
      </c>
      <c r="U9636" t="s">
        <v>54939</v>
      </c>
      <c r="V9636" t="s">
        <v>60172</v>
      </c>
      <c r="W9636" t="s">
        <v>41822</v>
      </c>
      <c r="X9636" t="s">
        <v>44771</v>
      </c>
    </row>
    <row r="9637" spans="1:24">
      <c r="A9637">
        <f>HYPERLINK("https://www.philgeps.gov.ph/GEPSNONPILOT/Tender/SplashBidNoticeAbstractUI.aspx?menuIndex=3&amp;refID=7137799&amp;Result=3","7137799")</f>
        <v>0</v>
      </c>
      <c r="B9637" t="s">
        <v>853</v>
      </c>
      <c r="C9637" t="s">
        <v>12902</v>
      </c>
      <c r="D9637" t="s">
        <v>18018</v>
      </c>
      <c r="E9637" t="s">
        <v>26400</v>
      </c>
      <c r="F9637" t="s">
        <v>30900</v>
      </c>
      <c r="G9637" t="s">
        <v>30907</v>
      </c>
      <c r="H9637" t="s">
        <v>30915</v>
      </c>
      <c r="I9637" t="s">
        <v>30919</v>
      </c>
      <c r="J9637" t="s">
        <v>37070</v>
      </c>
      <c r="K9637" t="s">
        <v>40337</v>
      </c>
      <c r="M9637" t="s">
        <v>41426</v>
      </c>
      <c r="N9637" t="s">
        <v>44759</v>
      </c>
      <c r="O9637" t="s">
        <v>44760</v>
      </c>
      <c r="P9637">
        <v>0</v>
      </c>
      <c r="Q9637">
        <v>0</v>
      </c>
      <c r="R9637" t="s">
        <v>44769</v>
      </c>
      <c r="S9637" t="s">
        <v>45044</v>
      </c>
      <c r="T9637" t="s">
        <v>46595</v>
      </c>
      <c r="U9637" t="s">
        <v>48798</v>
      </c>
      <c r="W9637" t="s">
        <v>41426</v>
      </c>
      <c r="X9637" t="s">
        <v>44770</v>
      </c>
    </row>
    <row r="9638" spans="1:24">
      <c r="A9638">
        <f>HYPERLINK("https://www.philgeps.gov.ph/GEPSNONPILOT/Tender/SplashBidNoticeAbstractUI.aspx?menuIndex=3&amp;refID=7137791&amp;Result=3","7137791")</f>
        <v>0</v>
      </c>
      <c r="B9638" t="s">
        <v>1399</v>
      </c>
      <c r="C9638" t="s">
        <v>12903</v>
      </c>
      <c r="D9638" t="s">
        <v>18017</v>
      </c>
      <c r="E9638" t="s">
        <v>26401</v>
      </c>
      <c r="F9638" t="s">
        <v>30900</v>
      </c>
      <c r="G9638" t="s">
        <v>30907</v>
      </c>
      <c r="H9638" t="s">
        <v>30916</v>
      </c>
      <c r="I9638" t="s">
        <v>30933</v>
      </c>
      <c r="J9638" t="s">
        <v>37071</v>
      </c>
      <c r="K9638" t="s">
        <v>40286</v>
      </c>
      <c r="M9638" t="s">
        <v>42025</v>
      </c>
      <c r="N9638" t="s">
        <v>44759</v>
      </c>
      <c r="O9638" t="s">
        <v>44760</v>
      </c>
      <c r="P9638">
        <v>0</v>
      </c>
      <c r="Q9638">
        <v>2</v>
      </c>
      <c r="R9638" t="s">
        <v>44769</v>
      </c>
      <c r="S9638" t="s">
        <v>45044</v>
      </c>
      <c r="T9638" t="s">
        <v>46504</v>
      </c>
      <c r="U9638" t="s">
        <v>49799</v>
      </c>
      <c r="V9638" t="s">
        <v>60173</v>
      </c>
      <c r="W9638" t="s">
        <v>42025</v>
      </c>
      <c r="X9638" t="s">
        <v>44770</v>
      </c>
    </row>
    <row r="9639" spans="1:24">
      <c r="A9639">
        <f>HYPERLINK("https://www.philgeps.gov.ph/GEPSNONPILOT/Tender/SplashBidNoticeAbstractUI.aspx?menuIndex=3&amp;refID=7137771&amp;Result=3","7137771")</f>
        <v>0</v>
      </c>
      <c r="B9639" t="s">
        <v>3021</v>
      </c>
      <c r="C9639" t="s">
        <v>12904</v>
      </c>
      <c r="E9639" t="s">
        <v>24091</v>
      </c>
      <c r="F9639" t="s">
        <v>30900</v>
      </c>
      <c r="G9639" t="s">
        <v>30907</v>
      </c>
      <c r="H9639" t="s">
        <v>30915</v>
      </c>
      <c r="I9639" t="s">
        <v>8123</v>
      </c>
      <c r="J9639" t="s">
        <v>31070</v>
      </c>
      <c r="K9639" t="s">
        <v>40287</v>
      </c>
      <c r="M9639" t="s">
        <v>43829</v>
      </c>
      <c r="N9639" t="s">
        <v>44759</v>
      </c>
      <c r="O9639" t="s">
        <v>44760</v>
      </c>
      <c r="P9639">
        <v>0</v>
      </c>
      <c r="Q9639">
        <v>1</v>
      </c>
      <c r="R9639" t="s">
        <v>44769</v>
      </c>
      <c r="S9639" t="s">
        <v>45044</v>
      </c>
      <c r="T9639" t="s">
        <v>46662</v>
      </c>
      <c r="U9639" t="s">
        <v>54940</v>
      </c>
      <c r="W9639" t="s">
        <v>43829</v>
      </c>
      <c r="X9639" t="s">
        <v>44770</v>
      </c>
    </row>
    <row r="9640" spans="1:24">
      <c r="A9640">
        <f>HYPERLINK("https://www.philgeps.gov.ph/GEPSNONPILOT/Tender/SplashBidNoticeAbstractUI.aspx?menuIndex=3&amp;refID=7137230&amp;Result=3","7137230")</f>
        <v>0</v>
      </c>
      <c r="B9640" t="s">
        <v>2989</v>
      </c>
      <c r="C9640" t="s">
        <v>12905</v>
      </c>
      <c r="D9640" t="s">
        <v>17975</v>
      </c>
      <c r="E9640" t="s">
        <v>26402</v>
      </c>
      <c r="F9640" t="s">
        <v>30900</v>
      </c>
      <c r="G9640" t="s">
        <v>30907</v>
      </c>
      <c r="H9640" t="s">
        <v>30916</v>
      </c>
      <c r="I9640" t="s">
        <v>4965</v>
      </c>
      <c r="J9640" t="s">
        <v>37072</v>
      </c>
      <c r="K9640" t="s">
        <v>40287</v>
      </c>
      <c r="M9640" t="s">
        <v>43792</v>
      </c>
      <c r="N9640" t="s">
        <v>44759</v>
      </c>
      <c r="O9640" t="s">
        <v>44760</v>
      </c>
      <c r="P9640">
        <v>0</v>
      </c>
      <c r="Q9640">
        <v>0</v>
      </c>
      <c r="R9640" t="s">
        <v>44769</v>
      </c>
      <c r="S9640" t="s">
        <v>45044</v>
      </c>
      <c r="T9640" t="s">
        <v>46760</v>
      </c>
      <c r="U9640" t="s">
        <v>54941</v>
      </c>
      <c r="W9640" t="s">
        <v>43792</v>
      </c>
      <c r="X9640" t="s">
        <v>44770</v>
      </c>
    </row>
    <row r="9641" spans="1:24">
      <c r="A9641">
        <f>HYPERLINK("https://www.philgeps.gov.ph/GEPSNONPILOT/Tender/SplashBidNoticeAbstractUI.aspx?menuIndex=3&amp;refID=7137757&amp;Result=3","7137757")</f>
        <v>0</v>
      </c>
      <c r="B9641" t="s">
        <v>1314</v>
      </c>
      <c r="C9641" t="s">
        <v>12906</v>
      </c>
      <c r="D9641" t="s">
        <v>17956</v>
      </c>
      <c r="E9641" t="s">
        <v>26403</v>
      </c>
      <c r="F9641" t="s">
        <v>30900</v>
      </c>
      <c r="G9641" t="s">
        <v>30913</v>
      </c>
      <c r="H9641" t="s">
        <v>30915</v>
      </c>
      <c r="I9641" t="s">
        <v>30919</v>
      </c>
      <c r="J9641" t="s">
        <v>31297</v>
      </c>
      <c r="K9641" t="s">
        <v>40289</v>
      </c>
      <c r="L9641" t="s">
        <v>1314</v>
      </c>
      <c r="M9641" t="s">
        <v>41932</v>
      </c>
      <c r="N9641" t="s">
        <v>44759</v>
      </c>
      <c r="O9641" t="s">
        <v>44760</v>
      </c>
      <c r="P9641">
        <v>0</v>
      </c>
      <c r="Q9641">
        <v>0</v>
      </c>
      <c r="R9641" t="s">
        <v>44769</v>
      </c>
      <c r="S9641" t="s">
        <v>45044</v>
      </c>
      <c r="T9641" t="s">
        <v>46544</v>
      </c>
      <c r="U9641" t="s">
        <v>54942</v>
      </c>
      <c r="W9641" t="s">
        <v>41932</v>
      </c>
      <c r="X9641" t="s">
        <v>44770</v>
      </c>
    </row>
    <row r="9642" spans="1:24">
      <c r="A9642">
        <f>HYPERLINK("https://www.philgeps.gov.ph/GEPSNONPILOT/Tender/SplashBidNoticeAbstractUI.aspx?menuIndex=3&amp;refID=7137816&amp;Result=3","7137816")</f>
        <v>0</v>
      </c>
      <c r="B9642" t="s">
        <v>502</v>
      </c>
      <c r="C9642" t="s">
        <v>12907</v>
      </c>
      <c r="D9642" t="s">
        <v>17985</v>
      </c>
      <c r="E9642" t="s">
        <v>26404</v>
      </c>
      <c r="F9642" t="s">
        <v>30900</v>
      </c>
      <c r="G9642" t="s">
        <v>30907</v>
      </c>
      <c r="H9642" t="s">
        <v>30915</v>
      </c>
      <c r="I9642" t="s">
        <v>30919</v>
      </c>
      <c r="J9642" t="s">
        <v>37073</v>
      </c>
      <c r="K9642" t="s">
        <v>40289</v>
      </c>
      <c r="M9642" t="s">
        <v>41062</v>
      </c>
      <c r="N9642" t="s">
        <v>44759</v>
      </c>
      <c r="O9642" t="s">
        <v>44760</v>
      </c>
      <c r="P9642">
        <v>0</v>
      </c>
      <c r="Q9642">
        <v>0</v>
      </c>
      <c r="R9642" t="s">
        <v>44769</v>
      </c>
      <c r="S9642" t="s">
        <v>45044</v>
      </c>
      <c r="T9642" t="s">
        <v>46455</v>
      </c>
      <c r="U9642" t="s">
        <v>54943</v>
      </c>
      <c r="W9642" t="s">
        <v>41062</v>
      </c>
      <c r="X9642" t="s">
        <v>44770</v>
      </c>
    </row>
    <row r="9643" spans="1:24">
      <c r="A9643">
        <f>HYPERLINK("https://www.philgeps.gov.ph/GEPSNONPILOT/Tender/SplashBidNoticeAbstractUI.aspx?menuIndex=3&amp;refID=7137755&amp;Result=3","7137755")</f>
        <v>0</v>
      </c>
      <c r="B9643" t="s">
        <v>3022</v>
      </c>
      <c r="C9643" t="s">
        <v>12908</v>
      </c>
      <c r="D9643" t="s">
        <v>17985</v>
      </c>
      <c r="E9643" t="s">
        <v>26405</v>
      </c>
      <c r="F9643" t="s">
        <v>30900</v>
      </c>
      <c r="G9643" t="s">
        <v>30913</v>
      </c>
      <c r="H9643" t="s">
        <v>30916</v>
      </c>
      <c r="I9643" t="s">
        <v>5501</v>
      </c>
      <c r="J9643" t="s">
        <v>37074</v>
      </c>
      <c r="K9643" t="s">
        <v>40286</v>
      </c>
      <c r="M9643" t="s">
        <v>43830</v>
      </c>
      <c r="N9643" t="s">
        <v>44759</v>
      </c>
      <c r="O9643" t="s">
        <v>44760</v>
      </c>
      <c r="P9643">
        <v>0</v>
      </c>
      <c r="Q9643">
        <v>7</v>
      </c>
      <c r="R9643" t="s">
        <v>44769</v>
      </c>
      <c r="S9643" t="s">
        <v>45044</v>
      </c>
      <c r="T9643" t="s">
        <v>46411</v>
      </c>
      <c r="U9643" t="s">
        <v>54944</v>
      </c>
      <c r="W9643" t="s">
        <v>43830</v>
      </c>
      <c r="X9643" t="s">
        <v>44770</v>
      </c>
    </row>
    <row r="9644" spans="1:24">
      <c r="A9644">
        <f>HYPERLINK("https://www.philgeps.gov.ph/GEPSNONPILOT/Tender/SplashBidNoticeAbstractUI.aspx?menuIndex=3&amp;refID=7137775&amp;Result=3","7137775")</f>
        <v>0</v>
      </c>
      <c r="B9644" t="s">
        <v>3013</v>
      </c>
      <c r="C9644" t="s">
        <v>12909</v>
      </c>
      <c r="D9644" t="s">
        <v>17985</v>
      </c>
      <c r="E9644" t="s">
        <v>26406</v>
      </c>
      <c r="F9644" t="s">
        <v>30900</v>
      </c>
      <c r="G9644" t="s">
        <v>30907</v>
      </c>
      <c r="H9644" t="s">
        <v>30916</v>
      </c>
      <c r="I9644" t="s">
        <v>6396</v>
      </c>
      <c r="J9644" t="s">
        <v>37075</v>
      </c>
      <c r="K9644" t="s">
        <v>40283</v>
      </c>
      <c r="M9644" t="s">
        <v>43820</v>
      </c>
      <c r="N9644" t="s">
        <v>44759</v>
      </c>
      <c r="O9644" t="s">
        <v>44760</v>
      </c>
      <c r="Q9644">
        <v>3</v>
      </c>
      <c r="R9644" t="s">
        <v>44769</v>
      </c>
      <c r="S9644" t="s">
        <v>45069</v>
      </c>
      <c r="T9644" t="s">
        <v>46495</v>
      </c>
      <c r="U9644" t="s">
        <v>54945</v>
      </c>
      <c r="W9644" t="s">
        <v>43820</v>
      </c>
      <c r="X9644" t="s">
        <v>44770</v>
      </c>
    </row>
    <row r="9645" spans="1:24">
      <c r="A9645">
        <f>HYPERLINK("https://www.philgeps.gov.ph/GEPSNONPILOT/Tender/SplashBidNoticeAbstractUI.aspx?menuIndex=3&amp;refID=7135995&amp;Result=3","7135995")</f>
        <v>0</v>
      </c>
      <c r="B9645" t="s">
        <v>2921</v>
      </c>
      <c r="C9645" t="s">
        <v>12910</v>
      </c>
      <c r="D9645" t="s">
        <v>17974</v>
      </c>
      <c r="E9645" t="s">
        <v>26407</v>
      </c>
      <c r="F9645" t="s">
        <v>30900</v>
      </c>
      <c r="G9645" t="s">
        <v>30907</v>
      </c>
      <c r="H9645" t="s">
        <v>30915</v>
      </c>
      <c r="I9645" t="s">
        <v>30919</v>
      </c>
      <c r="J9645" t="s">
        <v>37076</v>
      </c>
      <c r="K9645" t="s">
        <v>40304</v>
      </c>
      <c r="M9645" t="s">
        <v>43716</v>
      </c>
      <c r="N9645" t="s">
        <v>44759</v>
      </c>
      <c r="O9645" t="s">
        <v>44760</v>
      </c>
      <c r="P9645">
        <v>0</v>
      </c>
      <c r="Q9645">
        <v>0</v>
      </c>
      <c r="R9645" t="s">
        <v>44769</v>
      </c>
      <c r="S9645" t="s">
        <v>45044</v>
      </c>
      <c r="T9645" t="s">
        <v>46495</v>
      </c>
      <c r="U9645" t="s">
        <v>54946</v>
      </c>
      <c r="W9645" t="s">
        <v>43716</v>
      </c>
      <c r="X9645" t="s">
        <v>44771</v>
      </c>
    </row>
    <row r="9646" spans="1:24">
      <c r="A9646">
        <f>HYPERLINK("https://www.philgeps.gov.ph/GEPSNONPILOT/Tender/SplashBidNoticeAbstractUI.aspx?menuIndex=3&amp;refID=7137732&amp;Result=3","7137732")</f>
        <v>0</v>
      </c>
      <c r="B9646" t="s">
        <v>134</v>
      </c>
      <c r="C9646" t="s">
        <v>12911</v>
      </c>
      <c r="E9646" t="s">
        <v>26408</v>
      </c>
      <c r="F9646" t="s">
        <v>30900</v>
      </c>
      <c r="G9646" t="s">
        <v>30907</v>
      </c>
      <c r="H9646" t="s">
        <v>30916</v>
      </c>
      <c r="I9646" t="s">
        <v>5501</v>
      </c>
      <c r="J9646" t="s">
        <v>37077</v>
      </c>
      <c r="K9646" t="s">
        <v>40286</v>
      </c>
      <c r="M9646" t="s">
        <v>40681</v>
      </c>
      <c r="N9646" t="s">
        <v>44759</v>
      </c>
      <c r="O9646" t="s">
        <v>44760</v>
      </c>
      <c r="P9646">
        <v>0</v>
      </c>
      <c r="Q9646">
        <v>11</v>
      </c>
      <c r="R9646" t="s">
        <v>44769</v>
      </c>
      <c r="S9646" t="s">
        <v>45044</v>
      </c>
      <c r="T9646" t="s">
        <v>46544</v>
      </c>
      <c r="U9646" t="s">
        <v>54947</v>
      </c>
      <c r="W9646" t="s">
        <v>40681</v>
      </c>
      <c r="X9646" t="s">
        <v>44770</v>
      </c>
    </row>
    <row r="9647" spans="1:24">
      <c r="A9647">
        <f>HYPERLINK("https://www.philgeps.gov.ph/GEPSNONPILOT/Tender/SplashBidNoticeAbstractUI.aspx?menuIndex=3&amp;refID=7137758&amp;Result=3","7137758")</f>
        <v>0</v>
      </c>
      <c r="B9647" t="s">
        <v>2462</v>
      </c>
      <c r="C9647" t="s">
        <v>12912</v>
      </c>
      <c r="D9647" t="s">
        <v>17964</v>
      </c>
      <c r="E9647" t="s">
        <v>26409</v>
      </c>
      <c r="F9647" t="s">
        <v>30900</v>
      </c>
      <c r="G9647" t="s">
        <v>30907</v>
      </c>
      <c r="H9647" t="s">
        <v>30916</v>
      </c>
      <c r="I9647" t="s">
        <v>10961</v>
      </c>
      <c r="J9647" t="s">
        <v>33542</v>
      </c>
      <c r="K9647" t="s">
        <v>40286</v>
      </c>
      <c r="M9647" t="s">
        <v>43199</v>
      </c>
      <c r="N9647" t="s">
        <v>44759</v>
      </c>
      <c r="O9647" t="s">
        <v>44760</v>
      </c>
      <c r="P9647">
        <v>0</v>
      </c>
      <c r="Q9647">
        <v>7</v>
      </c>
      <c r="R9647" t="s">
        <v>44769</v>
      </c>
      <c r="S9647" t="s">
        <v>45044</v>
      </c>
      <c r="T9647" t="s">
        <v>46658</v>
      </c>
      <c r="U9647" t="s">
        <v>54948</v>
      </c>
      <c r="W9647" t="s">
        <v>43747</v>
      </c>
      <c r="X9647" t="s">
        <v>44770</v>
      </c>
    </row>
    <row r="9648" spans="1:24">
      <c r="A9648">
        <f>HYPERLINK("https://www.philgeps.gov.ph/GEPSNONPILOT/Tender/SplashBidNoticeAbstractUI.aspx?menuIndex=3&amp;refID=7137734&amp;Result=3","7137734")</f>
        <v>0</v>
      </c>
      <c r="B9648" t="s">
        <v>173</v>
      </c>
      <c r="C9648" t="s">
        <v>12913</v>
      </c>
      <c r="D9648" t="s">
        <v>17978</v>
      </c>
      <c r="E9648" t="s">
        <v>26410</v>
      </c>
      <c r="F9648" t="s">
        <v>30900</v>
      </c>
      <c r="G9648" t="s">
        <v>30907</v>
      </c>
      <c r="H9648" t="s">
        <v>30915</v>
      </c>
      <c r="I9648" t="s">
        <v>30919</v>
      </c>
      <c r="J9648" t="s">
        <v>37078</v>
      </c>
      <c r="K9648" t="s">
        <v>40280</v>
      </c>
      <c r="M9648" t="s">
        <v>40720</v>
      </c>
      <c r="N9648" t="s">
        <v>44759</v>
      </c>
      <c r="O9648" t="s">
        <v>44760</v>
      </c>
      <c r="P9648">
        <v>0</v>
      </c>
      <c r="Q9648">
        <v>4</v>
      </c>
      <c r="R9648" t="s">
        <v>44769</v>
      </c>
      <c r="S9648" t="s">
        <v>45044</v>
      </c>
      <c r="T9648" t="s">
        <v>46606</v>
      </c>
      <c r="U9648" t="s">
        <v>54949</v>
      </c>
      <c r="V9648" t="s">
        <v>60158</v>
      </c>
      <c r="W9648" t="s">
        <v>40720</v>
      </c>
      <c r="X9648" t="s">
        <v>44770</v>
      </c>
    </row>
    <row r="9649" spans="1:24">
      <c r="A9649">
        <f>HYPERLINK("https://www.philgeps.gov.ph/GEPSNONPILOT/Tender/SplashBidNoticeAbstractUI.aspx?menuIndex=3&amp;refID=7137706&amp;Result=3","7137706")</f>
        <v>0</v>
      </c>
      <c r="B9649" t="s">
        <v>3023</v>
      </c>
      <c r="C9649" t="s">
        <v>12914</v>
      </c>
      <c r="D9649" t="s">
        <v>18002</v>
      </c>
      <c r="E9649" t="s">
        <v>26411</v>
      </c>
      <c r="F9649" t="s">
        <v>30900</v>
      </c>
      <c r="G9649" t="s">
        <v>30907</v>
      </c>
      <c r="H9649" t="s">
        <v>30916</v>
      </c>
      <c r="I9649" t="s">
        <v>30921</v>
      </c>
      <c r="J9649" t="s">
        <v>31593</v>
      </c>
      <c r="K9649" t="s">
        <v>40280</v>
      </c>
      <c r="M9649" t="s">
        <v>43831</v>
      </c>
      <c r="N9649" t="s">
        <v>44759</v>
      </c>
      <c r="O9649" t="s">
        <v>44760</v>
      </c>
      <c r="P9649">
        <v>0</v>
      </c>
      <c r="Q9649">
        <v>5</v>
      </c>
      <c r="R9649" t="s">
        <v>44769</v>
      </c>
      <c r="S9649" t="s">
        <v>45044</v>
      </c>
      <c r="T9649" t="s">
        <v>46549</v>
      </c>
      <c r="U9649" t="s">
        <v>54950</v>
      </c>
      <c r="V9649" t="s">
        <v>60174</v>
      </c>
      <c r="W9649" t="s">
        <v>43831</v>
      </c>
      <c r="X9649" t="s">
        <v>44770</v>
      </c>
    </row>
    <row r="9650" spans="1:24">
      <c r="A9650">
        <f>HYPERLINK("https://www.philgeps.gov.ph/GEPSNONPILOT/Tender/SplashBidNoticeAbstractUI.aspx?menuIndex=3&amp;refID=7137724&amp;Result=3","7137724")</f>
        <v>0</v>
      </c>
      <c r="B9650" t="s">
        <v>2472</v>
      </c>
      <c r="C9650" t="s">
        <v>12915</v>
      </c>
      <c r="D9650" t="s">
        <v>17962</v>
      </c>
      <c r="E9650" t="s">
        <v>26412</v>
      </c>
      <c r="F9650" t="s">
        <v>30900</v>
      </c>
      <c r="G9650" t="s">
        <v>30907</v>
      </c>
      <c r="H9650" t="s">
        <v>30916</v>
      </c>
      <c r="I9650" t="s">
        <v>9385</v>
      </c>
      <c r="J9650" t="s">
        <v>37079</v>
      </c>
      <c r="K9650" t="s">
        <v>40291</v>
      </c>
      <c r="M9650" t="s">
        <v>43210</v>
      </c>
      <c r="N9650" t="s">
        <v>44759</v>
      </c>
      <c r="O9650" t="s">
        <v>44760</v>
      </c>
      <c r="P9650">
        <v>0</v>
      </c>
      <c r="Q9650">
        <v>3</v>
      </c>
      <c r="R9650" t="s">
        <v>44769</v>
      </c>
      <c r="S9650" t="s">
        <v>45044</v>
      </c>
      <c r="T9650" t="s">
        <v>46375</v>
      </c>
      <c r="U9650" t="s">
        <v>54951</v>
      </c>
      <c r="V9650" t="s">
        <v>59226</v>
      </c>
      <c r="W9650" t="s">
        <v>43210</v>
      </c>
      <c r="X9650" t="s">
        <v>44770</v>
      </c>
    </row>
    <row r="9651" spans="1:24">
      <c r="A9651">
        <f>HYPERLINK("https://www.philgeps.gov.ph/GEPSNONPILOT/Tender/SplashBidNoticeAbstractUI.aspx?menuIndex=3&amp;refID=7134571&amp;Result=3","7134571")</f>
        <v>0</v>
      </c>
      <c r="B9651" t="s">
        <v>2836</v>
      </c>
      <c r="C9651" t="s">
        <v>12916</v>
      </c>
      <c r="D9651" t="s">
        <v>17973</v>
      </c>
      <c r="E9651" t="s">
        <v>19080</v>
      </c>
      <c r="F9651" t="s">
        <v>30900</v>
      </c>
      <c r="G9651" t="s">
        <v>30907</v>
      </c>
      <c r="H9651" t="s">
        <v>30916</v>
      </c>
      <c r="I9651" t="s">
        <v>6953</v>
      </c>
      <c r="J9651" t="s">
        <v>31101</v>
      </c>
      <c r="K9651" t="s">
        <v>40286</v>
      </c>
      <c r="L9651" t="s">
        <v>2836</v>
      </c>
      <c r="M9651" t="s">
        <v>43621</v>
      </c>
      <c r="N9651" t="s">
        <v>44759</v>
      </c>
      <c r="O9651" t="s">
        <v>44760</v>
      </c>
      <c r="P9651">
        <v>0</v>
      </c>
      <c r="Q9651">
        <v>3</v>
      </c>
      <c r="R9651" t="s">
        <v>44769</v>
      </c>
      <c r="S9651" t="s">
        <v>45044</v>
      </c>
      <c r="T9651" t="s">
        <v>46488</v>
      </c>
      <c r="U9651" t="s">
        <v>54952</v>
      </c>
      <c r="W9651" t="s">
        <v>43621</v>
      </c>
      <c r="X9651" t="s">
        <v>44773</v>
      </c>
    </row>
    <row r="9652" spans="1:24">
      <c r="A9652">
        <f>HYPERLINK("https://www.philgeps.gov.ph/GEPSNONPILOT/Tender/SplashBidNoticeAbstractUI.aspx?menuIndex=3&amp;refID=7137707&amp;Result=3","7137707")</f>
        <v>0</v>
      </c>
      <c r="B9652" t="s">
        <v>3024</v>
      </c>
      <c r="C9652" t="s">
        <v>12917</v>
      </c>
      <c r="D9652" t="s">
        <v>17963</v>
      </c>
      <c r="E9652" t="s">
        <v>26413</v>
      </c>
      <c r="F9652" t="s">
        <v>30900</v>
      </c>
      <c r="G9652" t="s">
        <v>30909</v>
      </c>
      <c r="H9652" t="s">
        <v>30916</v>
      </c>
      <c r="I9652" t="s">
        <v>4108</v>
      </c>
      <c r="J9652" t="s">
        <v>31733</v>
      </c>
      <c r="K9652" t="s">
        <v>40283</v>
      </c>
      <c r="M9652" t="s">
        <v>43832</v>
      </c>
      <c r="N9652" t="s">
        <v>44759</v>
      </c>
      <c r="O9652" t="s">
        <v>44760</v>
      </c>
      <c r="P9652">
        <v>0</v>
      </c>
      <c r="Q9652">
        <v>2</v>
      </c>
      <c r="R9652" t="s">
        <v>44769</v>
      </c>
      <c r="S9652" t="s">
        <v>45044</v>
      </c>
      <c r="T9652" t="s">
        <v>46581</v>
      </c>
      <c r="U9652" t="s">
        <v>54953</v>
      </c>
      <c r="W9652" t="s">
        <v>43832</v>
      </c>
      <c r="X9652" t="s">
        <v>44770</v>
      </c>
    </row>
    <row r="9653" spans="1:24">
      <c r="A9653">
        <f>HYPERLINK("https://www.philgeps.gov.ph/GEPSNONPILOT/Tender/SplashBidNoticeAbstractUI.aspx?menuIndex=3&amp;refID=7134562&amp;Result=3","7134562")</f>
        <v>0</v>
      </c>
      <c r="B9653" t="s">
        <v>46</v>
      </c>
      <c r="C9653" t="s">
        <v>12918</v>
      </c>
      <c r="D9653" t="s">
        <v>17953</v>
      </c>
      <c r="E9653" t="s">
        <v>26414</v>
      </c>
      <c r="F9653" t="s">
        <v>30900</v>
      </c>
      <c r="G9653" t="s">
        <v>30907</v>
      </c>
      <c r="H9653" t="s">
        <v>30916</v>
      </c>
      <c r="I9653" t="s">
        <v>30976</v>
      </c>
      <c r="J9653" t="s">
        <v>31152</v>
      </c>
      <c r="K9653" t="s">
        <v>40291</v>
      </c>
      <c r="M9653" t="s">
        <v>40592</v>
      </c>
      <c r="N9653" t="s">
        <v>44759</v>
      </c>
      <c r="O9653" t="s">
        <v>44760</v>
      </c>
      <c r="P9653">
        <v>0</v>
      </c>
      <c r="Q9653">
        <v>4</v>
      </c>
      <c r="R9653" t="s">
        <v>44769</v>
      </c>
      <c r="S9653" t="s">
        <v>45044</v>
      </c>
      <c r="T9653" t="s">
        <v>46370</v>
      </c>
      <c r="U9653" t="s">
        <v>46984</v>
      </c>
      <c r="W9653" t="s">
        <v>60814</v>
      </c>
      <c r="X9653" t="s">
        <v>44773</v>
      </c>
    </row>
    <row r="9654" spans="1:24">
      <c r="A9654">
        <f>HYPERLINK("https://www.philgeps.gov.ph/GEPSNONPILOT/Tender/SplashBidNoticeAbstractUI.aspx?menuIndex=3&amp;refID=7134434&amp;Result=3","7134434")</f>
        <v>0</v>
      </c>
      <c r="B9654" t="s">
        <v>1314</v>
      </c>
      <c r="C9654" t="s">
        <v>12919</v>
      </c>
      <c r="D9654" t="s">
        <v>18019</v>
      </c>
      <c r="E9654" t="s">
        <v>26415</v>
      </c>
      <c r="F9654" t="s">
        <v>30900</v>
      </c>
      <c r="G9654" t="s">
        <v>30913</v>
      </c>
      <c r="H9654" t="s">
        <v>30915</v>
      </c>
      <c r="I9654" t="s">
        <v>30919</v>
      </c>
      <c r="J9654" t="s">
        <v>37080</v>
      </c>
      <c r="K9654" t="s">
        <v>40289</v>
      </c>
      <c r="L9654" t="s">
        <v>1314</v>
      </c>
      <c r="M9654" t="s">
        <v>41932</v>
      </c>
      <c r="N9654" t="s">
        <v>44759</v>
      </c>
      <c r="O9654" t="s">
        <v>44760</v>
      </c>
      <c r="P9654">
        <v>0</v>
      </c>
      <c r="Q9654">
        <v>4</v>
      </c>
      <c r="R9654" t="s">
        <v>44769</v>
      </c>
      <c r="S9654" t="s">
        <v>45044</v>
      </c>
      <c r="T9654" t="s">
        <v>46544</v>
      </c>
      <c r="U9654" t="s">
        <v>54954</v>
      </c>
      <c r="W9654" t="s">
        <v>41932</v>
      </c>
      <c r="X9654" t="s">
        <v>44773</v>
      </c>
    </row>
    <row r="9655" spans="1:24">
      <c r="A9655">
        <f>HYPERLINK("https://www.philgeps.gov.ph/GEPSNONPILOT/Tender/SplashBidNoticeAbstractUI.aspx?menuIndex=3&amp;refID=7133487&amp;Result=3","7133487")</f>
        <v>0</v>
      </c>
      <c r="B9655" t="s">
        <v>824</v>
      </c>
      <c r="C9655" t="s">
        <v>12920</v>
      </c>
      <c r="E9655" t="s">
        <v>26416</v>
      </c>
      <c r="F9655" t="s">
        <v>30900</v>
      </c>
      <c r="G9655" t="s">
        <v>30907</v>
      </c>
      <c r="H9655" t="s">
        <v>30916</v>
      </c>
      <c r="I9655" t="s">
        <v>9385</v>
      </c>
      <c r="J9655" t="s">
        <v>37081</v>
      </c>
      <c r="K9655" t="s">
        <v>40280</v>
      </c>
      <c r="M9655" t="s">
        <v>43833</v>
      </c>
      <c r="N9655" t="s">
        <v>44759</v>
      </c>
      <c r="O9655" t="s">
        <v>44760</v>
      </c>
      <c r="Q9655">
        <v>57</v>
      </c>
      <c r="R9655" t="s">
        <v>44769</v>
      </c>
      <c r="S9655" t="s">
        <v>45089</v>
      </c>
      <c r="T9655" t="s">
        <v>46515</v>
      </c>
      <c r="U9655" t="s">
        <v>54955</v>
      </c>
      <c r="W9655" t="s">
        <v>43833</v>
      </c>
      <c r="X9655" t="s">
        <v>44773</v>
      </c>
    </row>
    <row r="9656" spans="1:24">
      <c r="A9656">
        <f>HYPERLINK("https://www.philgeps.gov.ph/GEPSNONPILOT/Tender/SplashBidNoticeAbstractUI.aspx?menuIndex=3&amp;refID=7133445&amp;Result=3","7133445")</f>
        <v>0</v>
      </c>
      <c r="B9656" t="s">
        <v>79</v>
      </c>
      <c r="C9656" t="s">
        <v>12921</v>
      </c>
      <c r="D9656" t="s">
        <v>17988</v>
      </c>
      <c r="E9656" t="s">
        <v>26417</v>
      </c>
      <c r="F9656" t="s">
        <v>30900</v>
      </c>
      <c r="G9656" t="s">
        <v>30907</v>
      </c>
      <c r="H9656" t="s">
        <v>30916</v>
      </c>
      <c r="I9656" t="s">
        <v>9385</v>
      </c>
      <c r="J9656" t="s">
        <v>33980</v>
      </c>
      <c r="K9656" t="s">
        <v>40362</v>
      </c>
      <c r="M9656" t="s">
        <v>40626</v>
      </c>
      <c r="N9656" t="s">
        <v>44759</v>
      </c>
      <c r="O9656" t="s">
        <v>44760</v>
      </c>
      <c r="P9656">
        <v>0</v>
      </c>
      <c r="Q9656">
        <v>4</v>
      </c>
      <c r="R9656" t="s">
        <v>44769</v>
      </c>
      <c r="S9656" t="s">
        <v>45044</v>
      </c>
      <c r="T9656" t="s">
        <v>46696</v>
      </c>
      <c r="U9656" t="s">
        <v>54956</v>
      </c>
      <c r="V9656" t="s">
        <v>60175</v>
      </c>
      <c r="W9656" t="s">
        <v>40626</v>
      </c>
      <c r="X9656" t="s">
        <v>44773</v>
      </c>
    </row>
    <row r="9657" spans="1:24">
      <c r="A9657">
        <f>HYPERLINK("https://www.philgeps.gov.ph/GEPSNONPILOT/Tender/SplashBidNoticeAbstractUI.aspx?menuIndex=3&amp;refID=7137735&amp;Result=3","7137735")</f>
        <v>0</v>
      </c>
      <c r="B9657" t="s">
        <v>3025</v>
      </c>
      <c r="C9657" t="s">
        <v>12922</v>
      </c>
      <c r="D9657" t="s">
        <v>17985</v>
      </c>
      <c r="E9657" t="s">
        <v>26418</v>
      </c>
      <c r="F9657" t="s">
        <v>30900</v>
      </c>
      <c r="G9657" t="s">
        <v>30907</v>
      </c>
      <c r="H9657" t="s">
        <v>30915</v>
      </c>
      <c r="I9657" t="s">
        <v>30919</v>
      </c>
      <c r="J9657" t="s">
        <v>37082</v>
      </c>
      <c r="K9657" t="s">
        <v>40300</v>
      </c>
      <c r="L9657" t="s">
        <v>3025</v>
      </c>
      <c r="M9657" t="s">
        <v>43834</v>
      </c>
      <c r="N9657" t="s">
        <v>44759</v>
      </c>
      <c r="O9657" t="s">
        <v>44760</v>
      </c>
      <c r="Q9657">
        <v>0</v>
      </c>
      <c r="R9657" t="s">
        <v>44769</v>
      </c>
      <c r="S9657" t="s">
        <v>45090</v>
      </c>
      <c r="T9657" t="s">
        <v>46411</v>
      </c>
      <c r="U9657" t="s">
        <v>54957</v>
      </c>
      <c r="W9657" t="s">
        <v>43834</v>
      </c>
      <c r="X9657" t="s">
        <v>44770</v>
      </c>
    </row>
    <row r="9658" spans="1:24">
      <c r="A9658">
        <f>HYPERLINK("https://www.philgeps.gov.ph/GEPSNONPILOT/Tender/SplashBidNoticeAbstractUI.aspx?menuIndex=3&amp;refID=7133391&amp;Result=3","7133391")</f>
        <v>0</v>
      </c>
      <c r="B9658" t="s">
        <v>79</v>
      </c>
      <c r="C9658" t="s">
        <v>12923</v>
      </c>
      <c r="D9658" t="s">
        <v>17988</v>
      </c>
      <c r="E9658" t="s">
        <v>26419</v>
      </c>
      <c r="F9658" t="s">
        <v>30900</v>
      </c>
      <c r="G9658" t="s">
        <v>30907</v>
      </c>
      <c r="H9658" t="s">
        <v>30916</v>
      </c>
      <c r="I9658" t="s">
        <v>5501</v>
      </c>
      <c r="J9658" t="s">
        <v>37083</v>
      </c>
      <c r="K9658" t="s">
        <v>40362</v>
      </c>
      <c r="M9658" t="s">
        <v>40626</v>
      </c>
      <c r="N9658" t="s">
        <v>44759</v>
      </c>
      <c r="O9658" t="s">
        <v>44760</v>
      </c>
      <c r="P9658">
        <v>0</v>
      </c>
      <c r="Q9658">
        <v>3</v>
      </c>
      <c r="R9658" t="s">
        <v>44769</v>
      </c>
      <c r="S9658" t="s">
        <v>45044</v>
      </c>
      <c r="T9658" t="s">
        <v>46838</v>
      </c>
      <c r="U9658" t="s">
        <v>54958</v>
      </c>
      <c r="V9658" t="s">
        <v>60176</v>
      </c>
      <c r="W9658" t="s">
        <v>40626</v>
      </c>
      <c r="X9658" t="s">
        <v>44773</v>
      </c>
    </row>
    <row r="9659" spans="1:24">
      <c r="A9659">
        <f>HYPERLINK("https://www.philgeps.gov.ph/GEPSNONPILOT/Tender/SplashBidNoticeAbstractUI.aspx?menuIndex=3&amp;refID=7137939&amp;Result=3","7137939")</f>
        <v>0</v>
      </c>
      <c r="B9659" t="s">
        <v>1011</v>
      </c>
      <c r="C9659" t="s">
        <v>12924</v>
      </c>
      <c r="D9659" t="s">
        <v>17997</v>
      </c>
      <c r="E9659" t="s">
        <v>26420</v>
      </c>
      <c r="F9659" t="s">
        <v>30900</v>
      </c>
      <c r="G9659" t="s">
        <v>30908</v>
      </c>
      <c r="H9659" t="s">
        <v>30916</v>
      </c>
      <c r="I9659" t="s">
        <v>10847</v>
      </c>
      <c r="J9659" t="s">
        <v>31077</v>
      </c>
      <c r="K9659" t="s">
        <v>40283</v>
      </c>
      <c r="M9659" t="s">
        <v>41600</v>
      </c>
      <c r="N9659" t="s">
        <v>44759</v>
      </c>
      <c r="O9659" t="s">
        <v>44760</v>
      </c>
      <c r="P9659">
        <v>0</v>
      </c>
      <c r="Q9659">
        <v>0</v>
      </c>
      <c r="R9659" t="s">
        <v>44769</v>
      </c>
      <c r="S9659" t="s">
        <v>45044</v>
      </c>
      <c r="T9659" t="s">
        <v>46533</v>
      </c>
      <c r="U9659" t="s">
        <v>54959</v>
      </c>
      <c r="W9659" t="s">
        <v>41600</v>
      </c>
      <c r="X9659" t="s">
        <v>44770</v>
      </c>
    </row>
    <row r="9660" spans="1:24">
      <c r="A9660">
        <f>HYPERLINK("https://www.philgeps.gov.ph/GEPSNONPILOT/Tender/SplashBidNoticeAbstractUI.aspx?menuIndex=3&amp;refID=7137935&amp;Result=3","7137935")</f>
        <v>0</v>
      </c>
      <c r="B9660" t="s">
        <v>1399</v>
      </c>
      <c r="C9660" t="s">
        <v>11465</v>
      </c>
      <c r="D9660" t="s">
        <v>18017</v>
      </c>
      <c r="E9660" t="s">
        <v>26421</v>
      </c>
      <c r="F9660" t="s">
        <v>30900</v>
      </c>
      <c r="G9660" t="s">
        <v>30907</v>
      </c>
      <c r="H9660" t="s">
        <v>30916</v>
      </c>
      <c r="I9660" t="s">
        <v>30933</v>
      </c>
      <c r="J9660" t="s">
        <v>36896</v>
      </c>
      <c r="K9660" t="s">
        <v>40286</v>
      </c>
      <c r="M9660" t="s">
        <v>42025</v>
      </c>
      <c r="N9660" t="s">
        <v>44759</v>
      </c>
      <c r="O9660" t="s">
        <v>44760</v>
      </c>
      <c r="P9660">
        <v>0</v>
      </c>
      <c r="Q9660">
        <v>2</v>
      </c>
      <c r="R9660" t="s">
        <v>44769</v>
      </c>
      <c r="S9660" t="s">
        <v>45044</v>
      </c>
      <c r="T9660" t="s">
        <v>46504</v>
      </c>
      <c r="U9660" t="s">
        <v>49799</v>
      </c>
      <c r="V9660" t="s">
        <v>60177</v>
      </c>
      <c r="W9660" t="s">
        <v>42025</v>
      </c>
      <c r="X9660" t="s">
        <v>44770</v>
      </c>
    </row>
    <row r="9661" spans="1:24">
      <c r="A9661">
        <f>HYPERLINK("https://www.philgeps.gov.ph/GEPSNONPILOT/Tender/SplashBidNoticeAbstractUI.aspx?menuIndex=3&amp;refID=7133509&amp;Result=3","7133509")</f>
        <v>0</v>
      </c>
      <c r="B9661" t="s">
        <v>2368</v>
      </c>
      <c r="C9661" t="s">
        <v>12925</v>
      </c>
      <c r="D9661" t="s">
        <v>17996</v>
      </c>
      <c r="E9661" t="s">
        <v>19382</v>
      </c>
      <c r="F9661" t="s">
        <v>30900</v>
      </c>
      <c r="G9661" t="s">
        <v>30907</v>
      </c>
      <c r="H9661" t="s">
        <v>30915</v>
      </c>
      <c r="I9661" t="s">
        <v>30919</v>
      </c>
      <c r="J9661" t="s">
        <v>37084</v>
      </c>
      <c r="K9661" t="s">
        <v>40292</v>
      </c>
      <c r="M9661" t="s">
        <v>43094</v>
      </c>
      <c r="N9661" t="s">
        <v>44759</v>
      </c>
      <c r="O9661" t="s">
        <v>44760</v>
      </c>
      <c r="P9661">
        <v>0</v>
      </c>
      <c r="Q9661">
        <v>0</v>
      </c>
      <c r="R9661" t="s">
        <v>44769</v>
      </c>
      <c r="S9661" t="s">
        <v>45044</v>
      </c>
      <c r="T9661" t="s">
        <v>46472</v>
      </c>
      <c r="U9661" t="s">
        <v>54960</v>
      </c>
      <c r="W9661" t="s">
        <v>43094</v>
      </c>
      <c r="X9661" t="s">
        <v>44773</v>
      </c>
    </row>
    <row r="9662" spans="1:24">
      <c r="A9662">
        <f>HYPERLINK("https://www.philgeps.gov.ph/GEPSNONPILOT/Tender/SplashBidNoticeAbstractUI.aspx?menuIndex=3&amp;refID=7137926&amp;Result=3","7137926")</f>
        <v>0</v>
      </c>
      <c r="B9662" t="s">
        <v>3026</v>
      </c>
      <c r="C9662" t="s">
        <v>12926</v>
      </c>
      <c r="D9662" t="s">
        <v>17996</v>
      </c>
      <c r="E9662" t="s">
        <v>26422</v>
      </c>
      <c r="F9662" t="s">
        <v>30900</v>
      </c>
      <c r="G9662" t="s">
        <v>30907</v>
      </c>
      <c r="H9662" t="s">
        <v>30916</v>
      </c>
      <c r="I9662" t="s">
        <v>9385</v>
      </c>
      <c r="J9662" t="s">
        <v>37085</v>
      </c>
      <c r="K9662" t="s">
        <v>40280</v>
      </c>
      <c r="M9662" t="s">
        <v>43835</v>
      </c>
      <c r="N9662" t="s">
        <v>44759</v>
      </c>
      <c r="O9662" t="s">
        <v>44760</v>
      </c>
      <c r="P9662">
        <v>0</v>
      </c>
      <c r="Q9662">
        <v>26</v>
      </c>
      <c r="R9662" t="s">
        <v>44769</v>
      </c>
      <c r="S9662" t="s">
        <v>45044</v>
      </c>
      <c r="T9662" t="s">
        <v>46366</v>
      </c>
      <c r="U9662" t="s">
        <v>54961</v>
      </c>
      <c r="W9662" t="s">
        <v>43835</v>
      </c>
      <c r="X9662" t="s">
        <v>44770</v>
      </c>
    </row>
    <row r="9663" spans="1:24">
      <c r="A9663">
        <f>HYPERLINK("https://www.philgeps.gov.ph/GEPSNONPILOT/Tender/SplashBidNoticeAbstractUI.aspx?menuIndex=3&amp;refID=7137702&amp;Result=3","7137702")</f>
        <v>0</v>
      </c>
      <c r="B9663" t="s">
        <v>2930</v>
      </c>
      <c r="C9663" t="s">
        <v>12927</v>
      </c>
      <c r="D9663" t="s">
        <v>17985</v>
      </c>
      <c r="E9663" t="s">
        <v>26423</v>
      </c>
      <c r="F9663" t="s">
        <v>30900</v>
      </c>
      <c r="G9663" t="s">
        <v>30907</v>
      </c>
      <c r="H9663" t="s">
        <v>30916</v>
      </c>
      <c r="I9663" t="s">
        <v>4017</v>
      </c>
      <c r="J9663" t="s">
        <v>33488</v>
      </c>
      <c r="K9663" t="s">
        <v>40284</v>
      </c>
      <c r="M9663" t="s">
        <v>43726</v>
      </c>
      <c r="N9663" t="s">
        <v>44759</v>
      </c>
      <c r="O9663" t="s">
        <v>44760</v>
      </c>
      <c r="P9663">
        <v>0</v>
      </c>
      <c r="Q9663">
        <v>2</v>
      </c>
      <c r="R9663" t="s">
        <v>44769</v>
      </c>
      <c r="S9663" t="s">
        <v>45044</v>
      </c>
      <c r="T9663" t="s">
        <v>46771</v>
      </c>
      <c r="U9663" t="s">
        <v>54962</v>
      </c>
      <c r="W9663" t="s">
        <v>43726</v>
      </c>
      <c r="X9663" t="s">
        <v>44770</v>
      </c>
    </row>
    <row r="9664" spans="1:24">
      <c r="A9664">
        <f>HYPERLINK("https://www.philgeps.gov.ph/GEPSNONPILOT/Tender/SplashBidNoticeAbstractUI.aspx?menuIndex=3&amp;refID=7137717&amp;Result=3","7137717")</f>
        <v>0</v>
      </c>
      <c r="B9664" t="s">
        <v>2456</v>
      </c>
      <c r="C9664" t="s">
        <v>12928</v>
      </c>
      <c r="D9664" t="s">
        <v>17998</v>
      </c>
      <c r="E9664" t="s">
        <v>26424</v>
      </c>
      <c r="F9664" t="s">
        <v>30900</v>
      </c>
      <c r="G9664" t="s">
        <v>30907</v>
      </c>
      <c r="H9664" t="s">
        <v>30916</v>
      </c>
      <c r="I9664" t="s">
        <v>4545</v>
      </c>
      <c r="J9664" t="s">
        <v>32570</v>
      </c>
      <c r="K9664" t="s">
        <v>40284</v>
      </c>
      <c r="M9664" t="s">
        <v>43193</v>
      </c>
      <c r="N9664" t="s">
        <v>44759</v>
      </c>
      <c r="O9664" t="s">
        <v>44760</v>
      </c>
      <c r="P9664">
        <v>0</v>
      </c>
      <c r="Q9664">
        <v>8</v>
      </c>
      <c r="R9664" t="s">
        <v>44769</v>
      </c>
      <c r="S9664" t="s">
        <v>45044</v>
      </c>
      <c r="T9664" t="s">
        <v>46544</v>
      </c>
      <c r="U9664" t="s">
        <v>52923</v>
      </c>
      <c r="W9664" t="s">
        <v>43193</v>
      </c>
      <c r="X9664" t="s">
        <v>44770</v>
      </c>
    </row>
    <row r="9665" spans="1:24">
      <c r="A9665">
        <f>HYPERLINK("https://www.philgeps.gov.ph/GEPSNONPILOT/Tender/SplashBidNoticeAbstractUI.aspx?menuIndex=3&amp;refID=7137925&amp;Result=3","7137925")</f>
        <v>0</v>
      </c>
      <c r="B9665" t="s">
        <v>3027</v>
      </c>
      <c r="C9665" t="s">
        <v>12929</v>
      </c>
      <c r="D9665" t="s">
        <v>17953</v>
      </c>
      <c r="E9665" t="s">
        <v>26425</v>
      </c>
      <c r="F9665" t="s">
        <v>30900</v>
      </c>
      <c r="G9665" t="s">
        <v>30907</v>
      </c>
      <c r="H9665" t="s">
        <v>30916</v>
      </c>
      <c r="I9665" t="s">
        <v>4142</v>
      </c>
      <c r="J9665" t="s">
        <v>37086</v>
      </c>
      <c r="K9665" t="s">
        <v>40286</v>
      </c>
      <c r="M9665" t="s">
        <v>43836</v>
      </c>
      <c r="N9665" t="s">
        <v>44759</v>
      </c>
      <c r="O9665" t="s">
        <v>44760</v>
      </c>
      <c r="P9665">
        <v>0</v>
      </c>
      <c r="Q9665">
        <v>2</v>
      </c>
      <c r="R9665" t="s">
        <v>44769</v>
      </c>
      <c r="S9665" t="s">
        <v>45044</v>
      </c>
      <c r="T9665" t="s">
        <v>46544</v>
      </c>
      <c r="U9665" t="s">
        <v>54963</v>
      </c>
      <c r="W9665" t="s">
        <v>43836</v>
      </c>
      <c r="X9665" t="s">
        <v>44770</v>
      </c>
    </row>
    <row r="9666" spans="1:24">
      <c r="A9666">
        <f>HYPERLINK("https://www.philgeps.gov.ph/GEPSNONPILOT/Tender/SplashBidNoticeAbstractUI.aspx?menuIndex=3&amp;refID=7137891&amp;Result=3","7137891")</f>
        <v>0</v>
      </c>
      <c r="B9666" t="s">
        <v>3028</v>
      </c>
      <c r="C9666" t="s">
        <v>12930</v>
      </c>
      <c r="D9666" t="s">
        <v>17988</v>
      </c>
      <c r="E9666" t="s">
        <v>26426</v>
      </c>
      <c r="F9666" t="s">
        <v>30900</v>
      </c>
      <c r="G9666" t="s">
        <v>30907</v>
      </c>
      <c r="H9666" t="s">
        <v>30915</v>
      </c>
      <c r="I9666" t="s">
        <v>30919</v>
      </c>
      <c r="J9666" t="s">
        <v>37087</v>
      </c>
      <c r="K9666" t="s">
        <v>40317</v>
      </c>
      <c r="M9666" t="s">
        <v>43837</v>
      </c>
      <c r="N9666" t="s">
        <v>44759</v>
      </c>
      <c r="O9666" t="s">
        <v>44760</v>
      </c>
      <c r="P9666">
        <v>0</v>
      </c>
      <c r="Q9666">
        <v>0</v>
      </c>
      <c r="R9666" t="s">
        <v>44769</v>
      </c>
      <c r="S9666" t="s">
        <v>45044</v>
      </c>
      <c r="T9666" t="s">
        <v>46472</v>
      </c>
      <c r="U9666" t="s">
        <v>54964</v>
      </c>
      <c r="W9666" t="s">
        <v>43837</v>
      </c>
      <c r="X9666" t="s">
        <v>44770</v>
      </c>
    </row>
    <row r="9667" spans="1:24">
      <c r="A9667">
        <f>HYPERLINK("https://www.philgeps.gov.ph/GEPSNONPILOT/Tender/SplashBidNoticeAbstractUI.aspx?menuIndex=3&amp;refID=7133299&amp;Result=3","7133299")</f>
        <v>0</v>
      </c>
      <c r="B9667" t="s">
        <v>3029</v>
      </c>
      <c r="C9667" t="s">
        <v>12931</v>
      </c>
      <c r="D9667" t="s">
        <v>17985</v>
      </c>
      <c r="E9667" t="s">
        <v>26427</v>
      </c>
      <c r="F9667" t="s">
        <v>30900</v>
      </c>
      <c r="G9667" t="s">
        <v>30907</v>
      </c>
      <c r="H9667" t="s">
        <v>30915</v>
      </c>
      <c r="I9667" t="s">
        <v>30919</v>
      </c>
      <c r="J9667" t="s">
        <v>37088</v>
      </c>
      <c r="K9667" t="s">
        <v>40286</v>
      </c>
      <c r="M9667" t="s">
        <v>43838</v>
      </c>
      <c r="N9667" t="s">
        <v>44759</v>
      </c>
      <c r="O9667" t="s">
        <v>44760</v>
      </c>
      <c r="Q9667">
        <v>1</v>
      </c>
      <c r="R9667" t="s">
        <v>44769</v>
      </c>
      <c r="S9667" t="s">
        <v>45036</v>
      </c>
      <c r="T9667" t="s">
        <v>46411</v>
      </c>
      <c r="U9667" t="s">
        <v>54965</v>
      </c>
      <c r="W9667" t="s">
        <v>43838</v>
      </c>
      <c r="X9667" t="s">
        <v>44773</v>
      </c>
    </row>
    <row r="9668" spans="1:24">
      <c r="A9668">
        <f>HYPERLINK("https://www.philgeps.gov.ph/GEPSNONPILOT/Tender/SplashBidNoticeAbstractUI.aspx?menuIndex=3&amp;refID=7137887&amp;Result=3","7137887")</f>
        <v>0</v>
      </c>
      <c r="B9668" t="s">
        <v>3030</v>
      </c>
      <c r="C9668" t="s">
        <v>7091</v>
      </c>
      <c r="D9668" t="s">
        <v>17972</v>
      </c>
      <c r="E9668" t="s">
        <v>18282</v>
      </c>
      <c r="F9668" t="s">
        <v>30900</v>
      </c>
      <c r="G9668" t="s">
        <v>30907</v>
      </c>
      <c r="H9668" t="s">
        <v>30916</v>
      </c>
      <c r="I9668" t="s">
        <v>8123</v>
      </c>
      <c r="J9668" t="s">
        <v>37089</v>
      </c>
      <c r="K9668" t="s">
        <v>40287</v>
      </c>
      <c r="M9668" t="s">
        <v>43839</v>
      </c>
      <c r="N9668" t="s">
        <v>44759</v>
      </c>
      <c r="O9668" t="s">
        <v>44760</v>
      </c>
      <c r="P9668">
        <v>0</v>
      </c>
      <c r="Q9668">
        <v>0</v>
      </c>
      <c r="R9668" t="s">
        <v>44769</v>
      </c>
      <c r="S9668" t="s">
        <v>45044</v>
      </c>
      <c r="T9668" t="s">
        <v>46383</v>
      </c>
      <c r="U9668" t="s">
        <v>53732</v>
      </c>
      <c r="W9668" t="s">
        <v>43839</v>
      </c>
      <c r="X9668" t="s">
        <v>44770</v>
      </c>
    </row>
    <row r="9669" spans="1:24">
      <c r="A9669">
        <f>HYPERLINK("https://www.philgeps.gov.ph/GEPSNONPILOT/Tender/SplashBidNoticeAbstractUI.aspx?menuIndex=3&amp;refID=7137883&amp;Result=3","7137883")</f>
        <v>0</v>
      </c>
      <c r="B9669" t="s">
        <v>3027</v>
      </c>
      <c r="C9669" t="s">
        <v>12932</v>
      </c>
      <c r="D9669" t="s">
        <v>17953</v>
      </c>
      <c r="E9669" t="s">
        <v>26428</v>
      </c>
      <c r="F9669" t="s">
        <v>30900</v>
      </c>
      <c r="G9669" t="s">
        <v>30907</v>
      </c>
      <c r="H9669" t="s">
        <v>30916</v>
      </c>
      <c r="I9669" t="s">
        <v>4142</v>
      </c>
      <c r="J9669" t="s">
        <v>37090</v>
      </c>
      <c r="K9669" t="s">
        <v>40286</v>
      </c>
      <c r="M9669" t="s">
        <v>43836</v>
      </c>
      <c r="N9669" t="s">
        <v>44759</v>
      </c>
      <c r="O9669" t="s">
        <v>44760</v>
      </c>
      <c r="P9669">
        <v>0</v>
      </c>
      <c r="Q9669">
        <v>1</v>
      </c>
      <c r="R9669" t="s">
        <v>44769</v>
      </c>
      <c r="S9669" t="s">
        <v>45044</v>
      </c>
      <c r="T9669" t="s">
        <v>46544</v>
      </c>
      <c r="U9669" t="s">
        <v>54966</v>
      </c>
      <c r="W9669" t="s">
        <v>43836</v>
      </c>
      <c r="X9669" t="s">
        <v>44770</v>
      </c>
    </row>
    <row r="9670" spans="1:24">
      <c r="A9670">
        <f>HYPERLINK("https://www.philgeps.gov.ph/GEPSNONPILOT/Tender/SplashBidNoticeAbstractUI.aspx?menuIndex=3&amp;refID=7137878&amp;Result=3","7137878")</f>
        <v>0</v>
      </c>
      <c r="B9670" t="s">
        <v>2672</v>
      </c>
      <c r="C9670" t="s">
        <v>12933</v>
      </c>
      <c r="D9670" t="s">
        <v>17998</v>
      </c>
      <c r="E9670" t="s">
        <v>26429</v>
      </c>
      <c r="F9670" t="s">
        <v>30900</v>
      </c>
      <c r="G9670" t="s">
        <v>30907</v>
      </c>
      <c r="H9670" t="s">
        <v>30916</v>
      </c>
      <c r="I9670" t="s">
        <v>30947</v>
      </c>
      <c r="J9670" t="s">
        <v>32315</v>
      </c>
      <c r="K9670" t="s">
        <v>40284</v>
      </c>
      <c r="M9670" t="s">
        <v>43442</v>
      </c>
      <c r="N9670" t="s">
        <v>44759</v>
      </c>
      <c r="O9670" t="s">
        <v>44760</v>
      </c>
      <c r="P9670">
        <v>0</v>
      </c>
      <c r="Q9670">
        <v>2</v>
      </c>
      <c r="R9670" t="s">
        <v>44769</v>
      </c>
      <c r="S9670" t="s">
        <v>45044</v>
      </c>
      <c r="T9670" t="s">
        <v>46531</v>
      </c>
      <c r="U9670" t="s">
        <v>54967</v>
      </c>
      <c r="W9670" t="s">
        <v>43442</v>
      </c>
      <c r="X9670" t="s">
        <v>44770</v>
      </c>
    </row>
    <row r="9671" spans="1:24">
      <c r="A9671">
        <f>HYPERLINK("https://www.philgeps.gov.ph/GEPSNONPILOT/Tender/SplashBidNoticeAbstractUI.aspx?menuIndex=3&amp;refID=7137867&amp;Result=3","7137867")</f>
        <v>0</v>
      </c>
      <c r="B9671" t="s">
        <v>3031</v>
      </c>
      <c r="C9671" t="s">
        <v>9818</v>
      </c>
      <c r="D9671" t="s">
        <v>17978</v>
      </c>
      <c r="E9671" t="s">
        <v>18066</v>
      </c>
      <c r="F9671" t="s">
        <v>30900</v>
      </c>
      <c r="G9671" t="s">
        <v>30907</v>
      </c>
      <c r="H9671" t="s">
        <v>30915</v>
      </c>
      <c r="I9671" t="s">
        <v>30919</v>
      </c>
      <c r="J9671" t="s">
        <v>37091</v>
      </c>
      <c r="K9671" t="s">
        <v>40288</v>
      </c>
      <c r="M9671" t="s">
        <v>43840</v>
      </c>
      <c r="N9671" t="s">
        <v>44759</v>
      </c>
      <c r="O9671" t="s">
        <v>44760</v>
      </c>
      <c r="P9671">
        <v>0</v>
      </c>
      <c r="Q9671">
        <v>0</v>
      </c>
      <c r="R9671" t="s">
        <v>44769</v>
      </c>
      <c r="S9671" t="s">
        <v>45044</v>
      </c>
      <c r="T9671" t="s">
        <v>46512</v>
      </c>
      <c r="U9671" t="s">
        <v>54968</v>
      </c>
      <c r="W9671" t="s">
        <v>43840</v>
      </c>
      <c r="X9671" t="s">
        <v>44770</v>
      </c>
    </row>
    <row r="9672" spans="1:24">
      <c r="A9672">
        <f>HYPERLINK("https://www.philgeps.gov.ph/GEPSNONPILOT/Tender/SplashBidNoticeAbstractUI.aspx?menuIndex=3&amp;refID=7137866&amp;Result=3","7137866")</f>
        <v>0</v>
      </c>
      <c r="B9672" t="s">
        <v>3032</v>
      </c>
      <c r="C9672" t="s">
        <v>12934</v>
      </c>
      <c r="D9672" t="s">
        <v>17968</v>
      </c>
      <c r="E9672" t="s">
        <v>18094</v>
      </c>
      <c r="F9672" t="s">
        <v>30900</v>
      </c>
      <c r="G9672" t="s">
        <v>30907</v>
      </c>
      <c r="H9672" t="s">
        <v>30916</v>
      </c>
      <c r="I9672" t="s">
        <v>8123</v>
      </c>
      <c r="J9672" t="s">
        <v>37092</v>
      </c>
      <c r="K9672" t="s">
        <v>40289</v>
      </c>
      <c r="M9672" t="s">
        <v>43841</v>
      </c>
      <c r="N9672" t="s">
        <v>44759</v>
      </c>
      <c r="O9672" t="s">
        <v>44760</v>
      </c>
      <c r="P9672">
        <v>0</v>
      </c>
      <c r="Q9672">
        <v>0</v>
      </c>
      <c r="R9672" t="s">
        <v>44769</v>
      </c>
      <c r="S9672" t="s">
        <v>45044</v>
      </c>
      <c r="T9672" t="s">
        <v>46625</v>
      </c>
      <c r="U9672" t="s">
        <v>54969</v>
      </c>
      <c r="W9672" t="s">
        <v>43841</v>
      </c>
      <c r="X9672" t="s">
        <v>44770</v>
      </c>
    </row>
    <row r="9673" spans="1:24">
      <c r="A9673">
        <f>HYPERLINK("https://www.philgeps.gov.ph/GEPSNONPILOT/Tender/SplashBidNoticeAbstractUI.aspx?menuIndex=3&amp;refID=7137859&amp;Result=3","7137859")</f>
        <v>0</v>
      </c>
      <c r="B9673" t="s">
        <v>3033</v>
      </c>
      <c r="C9673" t="s">
        <v>12935</v>
      </c>
      <c r="D9673" t="s">
        <v>18020</v>
      </c>
      <c r="E9673" t="s">
        <v>26430</v>
      </c>
      <c r="F9673" t="s">
        <v>30900</v>
      </c>
      <c r="G9673" t="s">
        <v>30907</v>
      </c>
      <c r="H9673" t="s">
        <v>30916</v>
      </c>
      <c r="I9673" t="s">
        <v>30919</v>
      </c>
      <c r="J9673" t="s">
        <v>32707</v>
      </c>
      <c r="K9673" t="s">
        <v>40286</v>
      </c>
      <c r="M9673" t="s">
        <v>43842</v>
      </c>
      <c r="N9673" t="s">
        <v>44759</v>
      </c>
      <c r="O9673" t="s">
        <v>44760</v>
      </c>
      <c r="P9673">
        <v>0</v>
      </c>
      <c r="Q9673">
        <v>0</v>
      </c>
      <c r="R9673" t="s">
        <v>44769</v>
      </c>
      <c r="S9673" t="s">
        <v>45044</v>
      </c>
      <c r="T9673" t="s">
        <v>46658</v>
      </c>
      <c r="U9673" t="s">
        <v>54970</v>
      </c>
      <c r="W9673" t="s">
        <v>43842</v>
      </c>
      <c r="X9673" t="s">
        <v>44770</v>
      </c>
    </row>
    <row r="9674" spans="1:24">
      <c r="A9674">
        <f>HYPERLINK("https://www.philgeps.gov.ph/GEPSNONPILOT/Tender/SplashBidNoticeAbstractUI.aspx?menuIndex=3&amp;refID=7137832&amp;Result=3","7137832")</f>
        <v>0</v>
      </c>
      <c r="B9674" t="s">
        <v>2146</v>
      </c>
      <c r="C9674" t="s">
        <v>12936</v>
      </c>
      <c r="D9674" t="s">
        <v>17960</v>
      </c>
      <c r="E9674" t="s">
        <v>26431</v>
      </c>
      <c r="F9674" t="s">
        <v>30900</v>
      </c>
      <c r="G9674" t="s">
        <v>30907</v>
      </c>
      <c r="H9674" t="s">
        <v>30916</v>
      </c>
      <c r="I9674" t="s">
        <v>30947</v>
      </c>
      <c r="J9674" t="s">
        <v>32596</v>
      </c>
      <c r="K9674" t="s">
        <v>40286</v>
      </c>
      <c r="M9674" t="s">
        <v>42849</v>
      </c>
      <c r="N9674" t="s">
        <v>44759</v>
      </c>
      <c r="O9674" t="s">
        <v>44760</v>
      </c>
      <c r="P9674">
        <v>0</v>
      </c>
      <c r="Q9674">
        <v>2</v>
      </c>
      <c r="R9674" t="s">
        <v>44769</v>
      </c>
      <c r="S9674" t="s">
        <v>45044</v>
      </c>
      <c r="T9674" t="s">
        <v>46414</v>
      </c>
      <c r="U9674" t="s">
        <v>54971</v>
      </c>
      <c r="W9674" t="s">
        <v>42849</v>
      </c>
      <c r="X9674" t="s">
        <v>44770</v>
      </c>
    </row>
    <row r="9675" spans="1:24">
      <c r="A9675">
        <f>HYPERLINK("https://www.philgeps.gov.ph/GEPSNONPILOT/Tender/SplashBidNoticeAbstractUI.aspx?menuIndex=3&amp;refID=7137911&amp;Result=3","7137911")</f>
        <v>0</v>
      </c>
      <c r="B9675" t="s">
        <v>3022</v>
      </c>
      <c r="C9675" t="s">
        <v>12937</v>
      </c>
      <c r="D9675" t="s">
        <v>17985</v>
      </c>
      <c r="E9675" t="s">
        <v>26432</v>
      </c>
      <c r="F9675" t="s">
        <v>30900</v>
      </c>
      <c r="G9675" t="s">
        <v>30913</v>
      </c>
      <c r="H9675" t="s">
        <v>30915</v>
      </c>
      <c r="I9675" t="s">
        <v>30919</v>
      </c>
      <c r="J9675" t="s">
        <v>37093</v>
      </c>
      <c r="K9675" t="s">
        <v>40354</v>
      </c>
      <c r="M9675" t="s">
        <v>43830</v>
      </c>
      <c r="N9675" t="s">
        <v>44759</v>
      </c>
      <c r="O9675" t="s">
        <v>44760</v>
      </c>
      <c r="P9675">
        <v>0</v>
      </c>
      <c r="Q9675">
        <v>0</v>
      </c>
      <c r="R9675" t="s">
        <v>44769</v>
      </c>
      <c r="S9675" t="s">
        <v>45044</v>
      </c>
      <c r="T9675" t="s">
        <v>46411</v>
      </c>
      <c r="U9675" t="s">
        <v>54972</v>
      </c>
      <c r="W9675" t="s">
        <v>43830</v>
      </c>
      <c r="X9675" t="s">
        <v>44770</v>
      </c>
    </row>
    <row r="9676" spans="1:24">
      <c r="A9676">
        <f>HYPERLINK("https://www.philgeps.gov.ph/GEPSNONPILOT/Tender/SplashBidNoticeAbstractUI.aspx?menuIndex=3&amp;refID=7137940&amp;Result=3","7137940")</f>
        <v>0</v>
      </c>
      <c r="B9676" t="s">
        <v>3034</v>
      </c>
      <c r="C9676" t="s">
        <v>12938</v>
      </c>
      <c r="D9676" t="s">
        <v>17989</v>
      </c>
      <c r="E9676" t="s">
        <v>20242</v>
      </c>
      <c r="F9676" t="s">
        <v>30900</v>
      </c>
      <c r="G9676" t="s">
        <v>30907</v>
      </c>
      <c r="H9676" t="s">
        <v>30915</v>
      </c>
      <c r="I9676" t="s">
        <v>30919</v>
      </c>
      <c r="J9676" t="s">
        <v>37094</v>
      </c>
      <c r="K9676" t="s">
        <v>40289</v>
      </c>
      <c r="M9676" t="s">
        <v>43843</v>
      </c>
      <c r="N9676" t="s">
        <v>44759</v>
      </c>
      <c r="O9676" t="s">
        <v>44760</v>
      </c>
      <c r="P9676">
        <v>0</v>
      </c>
      <c r="Q9676">
        <v>0</v>
      </c>
      <c r="R9676" t="s">
        <v>44769</v>
      </c>
      <c r="S9676" t="s">
        <v>45044</v>
      </c>
      <c r="T9676" t="s">
        <v>46400</v>
      </c>
      <c r="U9676" t="s">
        <v>54973</v>
      </c>
      <c r="W9676" t="s">
        <v>43843</v>
      </c>
      <c r="X9676" t="s">
        <v>44770</v>
      </c>
    </row>
    <row r="9677" spans="1:24">
      <c r="A9677">
        <f>HYPERLINK("https://www.philgeps.gov.ph/GEPSNONPILOT/Tender/SplashBidNoticeAbstractUI.aspx?menuIndex=3&amp;refID=7137863&amp;Result=3","7137863")</f>
        <v>0</v>
      </c>
      <c r="B9677" t="s">
        <v>3022</v>
      </c>
      <c r="C9677" t="s">
        <v>12939</v>
      </c>
      <c r="D9677" t="s">
        <v>17985</v>
      </c>
      <c r="E9677" t="s">
        <v>26433</v>
      </c>
      <c r="F9677" t="s">
        <v>30900</v>
      </c>
      <c r="G9677" t="s">
        <v>30913</v>
      </c>
      <c r="H9677" t="s">
        <v>30915</v>
      </c>
      <c r="I9677" t="s">
        <v>30919</v>
      </c>
      <c r="J9677" t="s">
        <v>37095</v>
      </c>
      <c r="K9677" t="s">
        <v>40304</v>
      </c>
      <c r="M9677" t="s">
        <v>43830</v>
      </c>
      <c r="N9677" t="s">
        <v>44759</v>
      </c>
      <c r="O9677" t="s">
        <v>44760</v>
      </c>
      <c r="P9677">
        <v>0</v>
      </c>
      <c r="Q9677">
        <v>1</v>
      </c>
      <c r="R9677" t="s">
        <v>44769</v>
      </c>
      <c r="S9677" t="s">
        <v>45044</v>
      </c>
      <c r="T9677" t="s">
        <v>46411</v>
      </c>
      <c r="U9677" t="s">
        <v>54974</v>
      </c>
      <c r="W9677" t="s">
        <v>43830</v>
      </c>
      <c r="X9677" t="s">
        <v>44770</v>
      </c>
    </row>
    <row r="9678" spans="1:24">
      <c r="A9678">
        <f>HYPERLINK("https://www.philgeps.gov.ph/GEPSNONPILOT/Tender/SplashBidNoticeAbstractUI.aspx?menuIndex=3&amp;refID=7137990&amp;Result=3","7137990")</f>
        <v>0</v>
      </c>
      <c r="B9678" t="s">
        <v>1119</v>
      </c>
      <c r="C9678" t="s">
        <v>12940</v>
      </c>
      <c r="D9678" t="s">
        <v>18038</v>
      </c>
      <c r="E9678" t="s">
        <v>26434</v>
      </c>
      <c r="F9678" t="s">
        <v>30900</v>
      </c>
      <c r="G9678" t="s">
        <v>30907</v>
      </c>
      <c r="H9678" t="s">
        <v>30916</v>
      </c>
      <c r="I9678" t="s">
        <v>7708</v>
      </c>
      <c r="J9678" t="s">
        <v>37096</v>
      </c>
      <c r="K9678" t="s">
        <v>40280</v>
      </c>
      <c r="M9678" t="s">
        <v>42602</v>
      </c>
      <c r="N9678" t="s">
        <v>44759</v>
      </c>
      <c r="O9678" t="s">
        <v>44760</v>
      </c>
      <c r="Q9678">
        <v>6</v>
      </c>
      <c r="R9678" t="s">
        <v>44769</v>
      </c>
      <c r="S9678" t="s">
        <v>45091</v>
      </c>
      <c r="T9678" t="s">
        <v>46752</v>
      </c>
      <c r="U9678" t="s">
        <v>54975</v>
      </c>
      <c r="V9678" t="s">
        <v>59685</v>
      </c>
      <c r="W9678" t="s">
        <v>42602</v>
      </c>
      <c r="X9678" t="s">
        <v>44770</v>
      </c>
    </row>
    <row r="9679" spans="1:24">
      <c r="A9679">
        <f>HYPERLINK("https://www.philgeps.gov.ph/GEPSNONPILOT/Tender/SplashBidNoticeAbstractUI.aspx?menuIndex=3&amp;refID=7137752&amp;Result=3","7137752")</f>
        <v>0</v>
      </c>
      <c r="B9679" t="s">
        <v>2930</v>
      </c>
      <c r="C9679" t="s">
        <v>12941</v>
      </c>
      <c r="D9679" t="s">
        <v>17985</v>
      </c>
      <c r="E9679" t="s">
        <v>26435</v>
      </c>
      <c r="F9679" t="s">
        <v>30900</v>
      </c>
      <c r="G9679" t="s">
        <v>30907</v>
      </c>
      <c r="H9679" t="s">
        <v>30916</v>
      </c>
      <c r="I9679" t="s">
        <v>30924</v>
      </c>
      <c r="J9679" t="s">
        <v>32498</v>
      </c>
      <c r="K9679" t="s">
        <v>40284</v>
      </c>
      <c r="M9679" t="s">
        <v>43726</v>
      </c>
      <c r="N9679" t="s">
        <v>44759</v>
      </c>
      <c r="O9679" t="s">
        <v>44760</v>
      </c>
      <c r="P9679">
        <v>0</v>
      </c>
      <c r="Q9679">
        <v>2</v>
      </c>
      <c r="R9679" t="s">
        <v>44769</v>
      </c>
      <c r="S9679" t="s">
        <v>45044</v>
      </c>
      <c r="T9679" t="s">
        <v>46771</v>
      </c>
      <c r="U9679" t="s">
        <v>54976</v>
      </c>
      <c r="W9679" t="s">
        <v>43726</v>
      </c>
      <c r="X9679" t="s">
        <v>44770</v>
      </c>
    </row>
    <row r="9680" spans="1:24">
      <c r="A9680">
        <f>HYPERLINK("https://www.philgeps.gov.ph/GEPSNONPILOT/Tender/SplashBidNoticeAbstractUI.aspx?menuIndex=3&amp;refID=7138010&amp;Result=3","7138010")</f>
        <v>0</v>
      </c>
      <c r="B9680" t="s">
        <v>1246</v>
      </c>
      <c r="C9680" t="s">
        <v>12942</v>
      </c>
      <c r="E9680" t="s">
        <v>26436</v>
      </c>
      <c r="F9680" t="s">
        <v>30900</v>
      </c>
      <c r="G9680" t="s">
        <v>30907</v>
      </c>
      <c r="H9680" t="s">
        <v>30916</v>
      </c>
      <c r="I9680" t="s">
        <v>4108</v>
      </c>
      <c r="J9680" t="s">
        <v>33438</v>
      </c>
      <c r="K9680" t="s">
        <v>40289</v>
      </c>
      <c r="M9680" t="s">
        <v>41858</v>
      </c>
      <c r="N9680" t="s">
        <v>44759</v>
      </c>
      <c r="O9680" t="s">
        <v>44760</v>
      </c>
      <c r="P9680">
        <v>0</v>
      </c>
      <c r="Q9680">
        <v>4</v>
      </c>
      <c r="R9680" t="s">
        <v>44769</v>
      </c>
      <c r="S9680" t="s">
        <v>45044</v>
      </c>
      <c r="T9680" t="s">
        <v>46390</v>
      </c>
      <c r="U9680" t="s">
        <v>54858</v>
      </c>
      <c r="W9680" t="s">
        <v>41858</v>
      </c>
      <c r="X9680" t="s">
        <v>44770</v>
      </c>
    </row>
    <row r="9681" spans="1:24">
      <c r="A9681">
        <f>HYPERLINK("https://www.philgeps.gov.ph/GEPSNONPILOT/Tender/SplashBidNoticeAbstractUI.aspx?menuIndex=3&amp;refID=7137996&amp;Result=3","7137996")</f>
        <v>0</v>
      </c>
      <c r="B9681" t="s">
        <v>934</v>
      </c>
      <c r="C9681" t="s">
        <v>12943</v>
      </c>
      <c r="D9681" t="s">
        <v>17984</v>
      </c>
      <c r="E9681" t="s">
        <v>26437</v>
      </c>
      <c r="F9681" t="s">
        <v>30900</v>
      </c>
      <c r="G9681" t="s">
        <v>30907</v>
      </c>
      <c r="H9681" t="s">
        <v>30915</v>
      </c>
      <c r="I9681" t="s">
        <v>30919</v>
      </c>
      <c r="J9681" t="s">
        <v>37097</v>
      </c>
      <c r="K9681" t="s">
        <v>40349</v>
      </c>
      <c r="M9681" t="s">
        <v>41517</v>
      </c>
      <c r="N9681" t="s">
        <v>44759</v>
      </c>
      <c r="O9681" t="s">
        <v>44760</v>
      </c>
      <c r="P9681">
        <v>0</v>
      </c>
      <c r="Q9681">
        <v>2</v>
      </c>
      <c r="R9681" t="s">
        <v>44769</v>
      </c>
      <c r="S9681" t="s">
        <v>45044</v>
      </c>
      <c r="T9681" t="s">
        <v>46515</v>
      </c>
      <c r="U9681" t="s">
        <v>54977</v>
      </c>
      <c r="W9681" t="s">
        <v>41517</v>
      </c>
      <c r="X9681" t="s">
        <v>44770</v>
      </c>
    </row>
    <row r="9682" spans="1:24">
      <c r="A9682">
        <f>HYPERLINK("https://www.philgeps.gov.ph/GEPSNONPILOT/Tender/SplashBidNoticeAbstractUI.aspx?menuIndex=3&amp;refID=7138012&amp;Result=3","7138012")</f>
        <v>0</v>
      </c>
      <c r="B9682" t="s">
        <v>997</v>
      </c>
      <c r="C9682" t="s">
        <v>12944</v>
      </c>
      <c r="D9682" t="s">
        <v>17959</v>
      </c>
      <c r="E9682" t="s">
        <v>26438</v>
      </c>
      <c r="F9682" t="s">
        <v>30900</v>
      </c>
      <c r="G9682" t="s">
        <v>30907</v>
      </c>
      <c r="H9682" t="s">
        <v>30916</v>
      </c>
      <c r="I9682" t="s">
        <v>30942</v>
      </c>
      <c r="J9682" t="s">
        <v>37098</v>
      </c>
      <c r="K9682" t="s">
        <v>40292</v>
      </c>
      <c r="M9682" t="s">
        <v>41586</v>
      </c>
      <c r="N9682" t="s">
        <v>44759</v>
      </c>
      <c r="O9682" t="s">
        <v>44760</v>
      </c>
      <c r="P9682">
        <v>0</v>
      </c>
      <c r="Q9682">
        <v>1</v>
      </c>
      <c r="R9682" t="s">
        <v>44769</v>
      </c>
      <c r="S9682" t="s">
        <v>45044</v>
      </c>
      <c r="T9682" t="s">
        <v>46712</v>
      </c>
      <c r="U9682" t="s">
        <v>54978</v>
      </c>
      <c r="W9682" t="s">
        <v>41586</v>
      </c>
      <c r="X9682" t="s">
        <v>44770</v>
      </c>
    </row>
    <row r="9683" spans="1:24">
      <c r="A9683">
        <f>HYPERLINK("https://www.philgeps.gov.ph/GEPSNONPILOT/Tender/SplashBidNoticeAbstractUI.aspx?menuIndex=3&amp;refID=7137991&amp;Result=3","7137991")</f>
        <v>0</v>
      </c>
      <c r="B9683" t="s">
        <v>3026</v>
      </c>
      <c r="C9683" t="s">
        <v>12945</v>
      </c>
      <c r="D9683" t="s">
        <v>17996</v>
      </c>
      <c r="E9683" t="s">
        <v>26439</v>
      </c>
      <c r="F9683" t="s">
        <v>30900</v>
      </c>
      <c r="G9683" t="s">
        <v>30907</v>
      </c>
      <c r="H9683" t="s">
        <v>30916</v>
      </c>
      <c r="I9683" t="s">
        <v>9385</v>
      </c>
      <c r="J9683" t="s">
        <v>37099</v>
      </c>
      <c r="K9683" t="s">
        <v>40280</v>
      </c>
      <c r="M9683" t="s">
        <v>43835</v>
      </c>
      <c r="N9683" t="s">
        <v>44759</v>
      </c>
      <c r="O9683" t="s">
        <v>44760</v>
      </c>
      <c r="P9683">
        <v>0</v>
      </c>
      <c r="Q9683">
        <v>48</v>
      </c>
      <c r="R9683" t="s">
        <v>44769</v>
      </c>
      <c r="S9683" t="s">
        <v>45044</v>
      </c>
      <c r="T9683" t="s">
        <v>46366</v>
      </c>
      <c r="U9683" t="s">
        <v>54961</v>
      </c>
      <c r="W9683" t="s">
        <v>43835</v>
      </c>
      <c r="X9683" t="s">
        <v>44770</v>
      </c>
    </row>
    <row r="9684" spans="1:24">
      <c r="A9684">
        <f>HYPERLINK("https://www.philgeps.gov.ph/GEPSNONPILOT/Tender/SplashBidNoticeAbstractUI.aspx?menuIndex=3&amp;refID=7138011&amp;Result=3","7138011")</f>
        <v>0</v>
      </c>
      <c r="B9684" t="s">
        <v>1428</v>
      </c>
      <c r="C9684" t="s">
        <v>12946</v>
      </c>
      <c r="D9684" t="s">
        <v>18017</v>
      </c>
      <c r="E9684" t="s">
        <v>26440</v>
      </c>
      <c r="F9684" t="s">
        <v>30900</v>
      </c>
      <c r="G9684" t="s">
        <v>30908</v>
      </c>
      <c r="H9684" t="s">
        <v>30916</v>
      </c>
      <c r="I9684" t="s">
        <v>8123</v>
      </c>
      <c r="J9684" t="s">
        <v>31096</v>
      </c>
      <c r="K9684" t="s">
        <v>40286</v>
      </c>
      <c r="M9684" t="s">
        <v>43728</v>
      </c>
      <c r="N9684" t="s">
        <v>44759</v>
      </c>
      <c r="O9684" t="s">
        <v>44760</v>
      </c>
      <c r="P9684">
        <v>0</v>
      </c>
      <c r="Q9684">
        <v>1</v>
      </c>
      <c r="R9684" t="s">
        <v>44769</v>
      </c>
      <c r="S9684" t="s">
        <v>45044</v>
      </c>
      <c r="T9684" t="s">
        <v>46391</v>
      </c>
      <c r="U9684" t="s">
        <v>54979</v>
      </c>
      <c r="W9684" t="s">
        <v>43728</v>
      </c>
      <c r="X9684" t="s">
        <v>44770</v>
      </c>
    </row>
    <row r="9685" spans="1:24">
      <c r="A9685">
        <f>HYPERLINK("https://www.philgeps.gov.ph/GEPSNONPILOT/Tender/SplashBidNoticeAbstractUI.aspx?menuIndex=3&amp;refID=7137934&amp;Result=3","7137934")</f>
        <v>0</v>
      </c>
      <c r="B9685" t="s">
        <v>2672</v>
      </c>
      <c r="C9685" t="s">
        <v>12947</v>
      </c>
      <c r="D9685" t="s">
        <v>17998</v>
      </c>
      <c r="E9685" t="s">
        <v>26441</v>
      </c>
      <c r="F9685" t="s">
        <v>30900</v>
      </c>
      <c r="G9685" t="s">
        <v>30908</v>
      </c>
      <c r="H9685" t="s">
        <v>30916</v>
      </c>
      <c r="I9685" t="s">
        <v>5501</v>
      </c>
      <c r="J9685" t="s">
        <v>32653</v>
      </c>
      <c r="K9685" t="s">
        <v>40284</v>
      </c>
      <c r="M9685" t="s">
        <v>43442</v>
      </c>
      <c r="N9685" t="s">
        <v>44759</v>
      </c>
      <c r="O9685" t="s">
        <v>44760</v>
      </c>
      <c r="P9685">
        <v>0</v>
      </c>
      <c r="Q9685">
        <v>1</v>
      </c>
      <c r="R9685" t="s">
        <v>44769</v>
      </c>
      <c r="S9685" t="s">
        <v>45044</v>
      </c>
      <c r="T9685" t="s">
        <v>46531</v>
      </c>
      <c r="U9685" t="s">
        <v>54980</v>
      </c>
      <c r="W9685" t="s">
        <v>43442</v>
      </c>
      <c r="X9685" t="s">
        <v>44770</v>
      </c>
    </row>
    <row r="9686" spans="1:24">
      <c r="A9686">
        <f>HYPERLINK("https://www.philgeps.gov.ph/GEPSNONPILOT/Tender/SplashBidNoticeAbstractUI.aspx?menuIndex=3&amp;refID=7137985&amp;Result=3","7137985")</f>
        <v>0</v>
      </c>
      <c r="B9686" t="s">
        <v>2598</v>
      </c>
      <c r="C9686" t="s">
        <v>12948</v>
      </c>
      <c r="D9686" t="s">
        <v>18028</v>
      </c>
      <c r="E9686" t="s">
        <v>26442</v>
      </c>
      <c r="F9686" t="s">
        <v>30900</v>
      </c>
      <c r="G9686" t="s">
        <v>30907</v>
      </c>
      <c r="H9686" t="s">
        <v>30916</v>
      </c>
      <c r="I9686" t="s">
        <v>30949</v>
      </c>
      <c r="J9686" t="s">
        <v>37100</v>
      </c>
      <c r="K9686" t="s">
        <v>40280</v>
      </c>
      <c r="M9686" t="s">
        <v>43359</v>
      </c>
      <c r="N9686" t="s">
        <v>44759</v>
      </c>
      <c r="O9686" t="s">
        <v>44760</v>
      </c>
      <c r="P9686">
        <v>0</v>
      </c>
      <c r="Q9686">
        <v>3</v>
      </c>
      <c r="R9686" t="s">
        <v>44769</v>
      </c>
      <c r="S9686" t="s">
        <v>45044</v>
      </c>
      <c r="T9686" t="s">
        <v>46709</v>
      </c>
      <c r="U9686" t="s">
        <v>54981</v>
      </c>
      <c r="W9686" t="s">
        <v>43359</v>
      </c>
      <c r="X9686" t="s">
        <v>44770</v>
      </c>
    </row>
    <row r="9687" spans="1:24">
      <c r="A9687">
        <f>HYPERLINK("https://www.philgeps.gov.ph/GEPSNONPILOT/Tender/SplashBidNoticeAbstractUI.aspx?menuIndex=3&amp;refID=7137977&amp;Result=3","7137977")</f>
        <v>0</v>
      </c>
      <c r="B9687" t="s">
        <v>1240</v>
      </c>
      <c r="C9687" t="s">
        <v>12949</v>
      </c>
      <c r="D9687" t="s">
        <v>18010</v>
      </c>
      <c r="E9687" t="s">
        <v>26443</v>
      </c>
      <c r="F9687" t="s">
        <v>30900</v>
      </c>
      <c r="G9687" t="s">
        <v>30907</v>
      </c>
      <c r="H9687" t="s">
        <v>30915</v>
      </c>
      <c r="I9687" t="s">
        <v>30919</v>
      </c>
      <c r="J9687" t="s">
        <v>37101</v>
      </c>
      <c r="K9687" t="s">
        <v>40287</v>
      </c>
      <c r="M9687" t="s">
        <v>41852</v>
      </c>
      <c r="N9687" t="s">
        <v>44759</v>
      </c>
      <c r="O9687" t="s">
        <v>44760</v>
      </c>
      <c r="P9687">
        <v>0</v>
      </c>
      <c r="Q9687">
        <v>0</v>
      </c>
      <c r="R9687" t="s">
        <v>44769</v>
      </c>
      <c r="S9687" t="s">
        <v>45044</v>
      </c>
      <c r="T9687" t="s">
        <v>46625</v>
      </c>
      <c r="U9687" t="s">
        <v>54982</v>
      </c>
      <c r="V9687" t="s">
        <v>60178</v>
      </c>
      <c r="W9687" t="s">
        <v>41852</v>
      </c>
      <c r="X9687" t="s">
        <v>44770</v>
      </c>
    </row>
    <row r="9688" spans="1:24">
      <c r="A9688">
        <f>HYPERLINK("https://www.philgeps.gov.ph/GEPSNONPILOT/Tender/SplashBidNoticeAbstractUI.aspx?menuIndex=3&amp;refID=7137970&amp;Result=3","7137970")</f>
        <v>0</v>
      </c>
      <c r="B9688" t="s">
        <v>1236</v>
      </c>
      <c r="C9688" t="s">
        <v>12950</v>
      </c>
      <c r="D9688" t="s">
        <v>17998</v>
      </c>
      <c r="E9688" t="s">
        <v>26444</v>
      </c>
      <c r="F9688" t="s">
        <v>30900</v>
      </c>
      <c r="G9688" t="s">
        <v>30907</v>
      </c>
      <c r="H9688" t="s">
        <v>30915</v>
      </c>
      <c r="I9688" t="s">
        <v>30919</v>
      </c>
      <c r="J9688" t="s">
        <v>37102</v>
      </c>
      <c r="K9688" t="s">
        <v>40292</v>
      </c>
      <c r="L9688" t="s">
        <v>1236</v>
      </c>
      <c r="M9688" t="s">
        <v>41848</v>
      </c>
      <c r="N9688" t="s">
        <v>44759</v>
      </c>
      <c r="O9688" t="s">
        <v>44760</v>
      </c>
      <c r="P9688">
        <v>0</v>
      </c>
      <c r="Q9688">
        <v>0</v>
      </c>
      <c r="R9688" t="s">
        <v>44769</v>
      </c>
      <c r="S9688" t="s">
        <v>45044</v>
      </c>
      <c r="T9688" t="s">
        <v>46389</v>
      </c>
      <c r="U9688" t="s">
        <v>54983</v>
      </c>
      <c r="V9688" t="s">
        <v>59443</v>
      </c>
      <c r="W9688" t="s">
        <v>41848</v>
      </c>
      <c r="X9688" t="s">
        <v>44770</v>
      </c>
    </row>
    <row r="9689" spans="1:24">
      <c r="A9689">
        <f>HYPERLINK("https://www.philgeps.gov.ph/GEPSNONPILOT/Tender/SplashBidNoticeAbstractUI.aspx?menuIndex=3&amp;refID=7137993&amp;Result=3","7137993")</f>
        <v>0</v>
      </c>
      <c r="B9689" t="s">
        <v>810</v>
      </c>
      <c r="C9689" t="s">
        <v>12951</v>
      </c>
      <c r="D9689" t="s">
        <v>18017</v>
      </c>
      <c r="E9689" t="s">
        <v>25881</v>
      </c>
      <c r="F9689" t="s">
        <v>30900</v>
      </c>
      <c r="G9689" t="s">
        <v>30907</v>
      </c>
      <c r="H9689" t="s">
        <v>30916</v>
      </c>
      <c r="I9689" t="s">
        <v>31024</v>
      </c>
      <c r="J9689" t="s">
        <v>31297</v>
      </c>
      <c r="K9689" t="s">
        <v>40304</v>
      </c>
      <c r="M9689" t="s">
        <v>41381</v>
      </c>
      <c r="N9689" t="s">
        <v>44759</v>
      </c>
      <c r="O9689" t="s">
        <v>44760</v>
      </c>
      <c r="P9689">
        <v>0</v>
      </c>
      <c r="Q9689">
        <v>5</v>
      </c>
      <c r="R9689" t="s">
        <v>44769</v>
      </c>
      <c r="S9689" t="s">
        <v>45044</v>
      </c>
      <c r="T9689" t="s">
        <v>46472</v>
      </c>
      <c r="U9689" t="s">
        <v>54984</v>
      </c>
      <c r="W9689" t="s">
        <v>41381</v>
      </c>
      <c r="X9689" t="s">
        <v>44770</v>
      </c>
    </row>
    <row r="9690" spans="1:24">
      <c r="A9690">
        <f>HYPERLINK("https://www.philgeps.gov.ph/GEPSNONPILOT/Tender/SplashBidNoticeAbstractUI.aspx?menuIndex=3&amp;refID=7138055&amp;Result=3","7138055")</f>
        <v>0</v>
      </c>
      <c r="B9690" t="s">
        <v>860</v>
      </c>
      <c r="C9690" t="s">
        <v>12952</v>
      </c>
      <c r="D9690" t="s">
        <v>17959</v>
      </c>
      <c r="E9690" t="s">
        <v>26445</v>
      </c>
      <c r="F9690" t="s">
        <v>30900</v>
      </c>
      <c r="G9690" t="s">
        <v>30907</v>
      </c>
      <c r="H9690" t="s">
        <v>30916</v>
      </c>
      <c r="I9690" t="s">
        <v>4545</v>
      </c>
      <c r="J9690" t="s">
        <v>37103</v>
      </c>
      <c r="K9690" t="s">
        <v>40289</v>
      </c>
      <c r="M9690" t="s">
        <v>41433</v>
      </c>
      <c r="N9690" t="s">
        <v>44759</v>
      </c>
      <c r="O9690" t="s">
        <v>44760</v>
      </c>
      <c r="P9690">
        <v>0</v>
      </c>
      <c r="Q9690">
        <v>17</v>
      </c>
      <c r="R9690" t="s">
        <v>44769</v>
      </c>
      <c r="S9690" t="s">
        <v>45044</v>
      </c>
      <c r="T9690" t="s">
        <v>46549</v>
      </c>
      <c r="U9690" t="s">
        <v>54985</v>
      </c>
      <c r="W9690" t="s">
        <v>41433</v>
      </c>
      <c r="X9690" t="s">
        <v>44770</v>
      </c>
    </row>
    <row r="9691" spans="1:24">
      <c r="A9691">
        <f>HYPERLINK("https://www.philgeps.gov.ph/GEPSNONPILOT/Tender/SplashBidNoticeAbstractUI.aspx?menuIndex=3&amp;refID=7138088&amp;Result=3","7138088")</f>
        <v>0</v>
      </c>
      <c r="B9691" t="s">
        <v>933</v>
      </c>
      <c r="C9691" t="s">
        <v>12953</v>
      </c>
      <c r="D9691" t="s">
        <v>17952</v>
      </c>
      <c r="E9691" t="s">
        <v>26446</v>
      </c>
      <c r="F9691" t="s">
        <v>30905</v>
      </c>
      <c r="G9691" t="s">
        <v>30911</v>
      </c>
      <c r="H9691" t="s">
        <v>7411</v>
      </c>
      <c r="I9691" t="s">
        <v>7411</v>
      </c>
      <c r="J9691" t="s">
        <v>31355</v>
      </c>
      <c r="K9691" t="s">
        <v>40334</v>
      </c>
      <c r="M9691" t="s">
        <v>41516</v>
      </c>
      <c r="N9691" t="s">
        <v>44759</v>
      </c>
      <c r="O9691" t="s">
        <v>44760</v>
      </c>
      <c r="P9691">
        <v>0</v>
      </c>
      <c r="Q9691">
        <v>0</v>
      </c>
      <c r="R9691" t="s">
        <v>44769</v>
      </c>
      <c r="S9691" t="s">
        <v>45044</v>
      </c>
      <c r="T9691" t="s">
        <v>46395</v>
      </c>
      <c r="U9691" t="s">
        <v>54986</v>
      </c>
      <c r="W9691" t="s">
        <v>41516</v>
      </c>
      <c r="X9691" t="s">
        <v>44770</v>
      </c>
    </row>
    <row r="9692" spans="1:24">
      <c r="A9692">
        <f>HYPERLINK("https://www.philgeps.gov.ph/GEPSNONPILOT/Tender/SplashBidNoticeAbstractUI.aspx?menuIndex=3&amp;refID=7138087&amp;Result=3","7138087")</f>
        <v>0</v>
      </c>
      <c r="B9692" t="s">
        <v>3035</v>
      </c>
      <c r="C9692" t="s">
        <v>12954</v>
      </c>
      <c r="D9692" t="s">
        <v>17955</v>
      </c>
      <c r="E9692" t="s">
        <v>26447</v>
      </c>
      <c r="F9692" t="s">
        <v>30900</v>
      </c>
      <c r="G9692" t="s">
        <v>30907</v>
      </c>
      <c r="H9692" t="s">
        <v>30916</v>
      </c>
      <c r="I9692" t="s">
        <v>30933</v>
      </c>
      <c r="J9692" t="s">
        <v>34033</v>
      </c>
      <c r="K9692" t="s">
        <v>40291</v>
      </c>
      <c r="M9692" t="s">
        <v>43844</v>
      </c>
      <c r="N9692" t="s">
        <v>44759</v>
      </c>
      <c r="O9692" t="s">
        <v>44760</v>
      </c>
      <c r="P9692">
        <v>0</v>
      </c>
      <c r="Q9692">
        <v>0</v>
      </c>
      <c r="R9692" t="s">
        <v>44769</v>
      </c>
      <c r="S9692" t="s">
        <v>45044</v>
      </c>
      <c r="T9692" t="s">
        <v>46581</v>
      </c>
      <c r="U9692" t="s">
        <v>54987</v>
      </c>
      <c r="V9692" t="s">
        <v>60179</v>
      </c>
      <c r="W9692" t="s">
        <v>43844</v>
      </c>
      <c r="X9692" t="s">
        <v>44770</v>
      </c>
    </row>
    <row r="9693" spans="1:24">
      <c r="A9693">
        <f>HYPERLINK("https://www.philgeps.gov.ph/GEPSNONPILOT/Tender/SplashBidNoticeAbstractUI.aspx?menuIndex=3&amp;refID=7138086&amp;Result=3","7138086")</f>
        <v>0</v>
      </c>
      <c r="B9693" t="s">
        <v>2150</v>
      </c>
      <c r="C9693" t="s">
        <v>12955</v>
      </c>
      <c r="D9693" t="s">
        <v>17951</v>
      </c>
      <c r="E9693" t="s">
        <v>26448</v>
      </c>
      <c r="F9693" t="s">
        <v>30900</v>
      </c>
      <c r="G9693" t="s">
        <v>30908</v>
      </c>
      <c r="H9693" t="s">
        <v>30916</v>
      </c>
      <c r="I9693" t="s">
        <v>4545</v>
      </c>
      <c r="J9693" t="s">
        <v>31284</v>
      </c>
      <c r="K9693" t="s">
        <v>40291</v>
      </c>
      <c r="M9693" t="s">
        <v>42854</v>
      </c>
      <c r="N9693" t="s">
        <v>44759</v>
      </c>
      <c r="O9693" t="s">
        <v>44760</v>
      </c>
      <c r="P9693">
        <v>0</v>
      </c>
      <c r="Q9693">
        <v>3</v>
      </c>
      <c r="R9693" t="s">
        <v>44769</v>
      </c>
      <c r="S9693" t="s">
        <v>45044</v>
      </c>
      <c r="T9693" t="s">
        <v>46662</v>
      </c>
      <c r="U9693" t="s">
        <v>54988</v>
      </c>
      <c r="W9693" t="s">
        <v>42854</v>
      </c>
      <c r="X9693" t="s">
        <v>44770</v>
      </c>
    </row>
    <row r="9694" spans="1:24">
      <c r="A9694">
        <f>HYPERLINK("https://www.philgeps.gov.ph/GEPSNONPILOT/Tender/SplashBidNoticeAbstractUI.aspx?menuIndex=3&amp;refID=7138084&amp;Result=3","7138084")</f>
        <v>0</v>
      </c>
      <c r="B9694" t="s">
        <v>58</v>
      </c>
      <c r="C9694" t="s">
        <v>12956</v>
      </c>
      <c r="D9694" t="s">
        <v>17977</v>
      </c>
      <c r="E9694" t="s">
        <v>26449</v>
      </c>
      <c r="F9694" t="s">
        <v>30900</v>
      </c>
      <c r="G9694" t="s">
        <v>30907</v>
      </c>
      <c r="H9694" t="s">
        <v>30915</v>
      </c>
      <c r="I9694" t="s">
        <v>30919</v>
      </c>
      <c r="J9694" t="s">
        <v>36946</v>
      </c>
      <c r="K9694" t="s">
        <v>40293</v>
      </c>
      <c r="M9694" t="s">
        <v>43845</v>
      </c>
      <c r="N9694" t="s">
        <v>44759</v>
      </c>
      <c r="O9694" t="s">
        <v>44760</v>
      </c>
      <c r="P9694">
        <v>0</v>
      </c>
      <c r="Q9694">
        <v>0</v>
      </c>
      <c r="R9694" t="s">
        <v>44769</v>
      </c>
      <c r="S9694" t="s">
        <v>45044</v>
      </c>
      <c r="T9694" t="s">
        <v>46495</v>
      </c>
      <c r="U9694" t="s">
        <v>54989</v>
      </c>
      <c r="W9694" t="s">
        <v>43845</v>
      </c>
      <c r="X9694" t="s">
        <v>44770</v>
      </c>
    </row>
    <row r="9695" spans="1:24">
      <c r="A9695">
        <f>HYPERLINK("https://www.philgeps.gov.ph/GEPSNONPILOT/Tender/SplashBidNoticeAbstractUI.aspx?menuIndex=3&amp;refID=7137979&amp;Result=3","7137979")</f>
        <v>0</v>
      </c>
      <c r="B9695" t="s">
        <v>933</v>
      </c>
      <c r="C9695" t="s">
        <v>12953</v>
      </c>
      <c r="D9695" t="s">
        <v>17952</v>
      </c>
      <c r="E9695" t="s">
        <v>26450</v>
      </c>
      <c r="F9695" t="s">
        <v>30905</v>
      </c>
      <c r="G9695" t="s">
        <v>30911</v>
      </c>
      <c r="H9695" t="s">
        <v>7411</v>
      </c>
      <c r="I9695" t="s">
        <v>7411</v>
      </c>
      <c r="J9695" t="s">
        <v>31050</v>
      </c>
      <c r="K9695" t="s">
        <v>40334</v>
      </c>
      <c r="M9695" t="s">
        <v>41516</v>
      </c>
      <c r="N9695" t="s">
        <v>44759</v>
      </c>
      <c r="O9695" t="s">
        <v>44760</v>
      </c>
      <c r="P9695">
        <v>0</v>
      </c>
      <c r="Q9695">
        <v>1</v>
      </c>
      <c r="R9695" t="s">
        <v>44769</v>
      </c>
      <c r="S9695" t="s">
        <v>45044</v>
      </c>
      <c r="T9695" t="s">
        <v>46395</v>
      </c>
      <c r="U9695" t="s">
        <v>54990</v>
      </c>
      <c r="W9695" t="s">
        <v>41516</v>
      </c>
      <c r="X9695" t="s">
        <v>44770</v>
      </c>
    </row>
    <row r="9696" spans="1:24">
      <c r="A9696">
        <f>HYPERLINK("https://www.philgeps.gov.ph/GEPSNONPILOT/Tender/SplashBidNoticeAbstractUI.aspx?menuIndex=3&amp;refID=7137967&amp;Result=3","7137967")</f>
        <v>0</v>
      </c>
      <c r="B9696" t="s">
        <v>3027</v>
      </c>
      <c r="C9696" t="s">
        <v>12957</v>
      </c>
      <c r="D9696" t="s">
        <v>17953</v>
      </c>
      <c r="E9696" t="s">
        <v>26451</v>
      </c>
      <c r="F9696" t="s">
        <v>30900</v>
      </c>
      <c r="G9696" t="s">
        <v>30907</v>
      </c>
      <c r="H9696" t="s">
        <v>30916</v>
      </c>
      <c r="I9696" t="s">
        <v>4142</v>
      </c>
      <c r="J9696" t="s">
        <v>37104</v>
      </c>
      <c r="K9696" t="s">
        <v>40286</v>
      </c>
      <c r="M9696" t="s">
        <v>43836</v>
      </c>
      <c r="N9696" t="s">
        <v>44759</v>
      </c>
      <c r="O9696" t="s">
        <v>44760</v>
      </c>
      <c r="P9696">
        <v>0</v>
      </c>
      <c r="Q9696">
        <v>0</v>
      </c>
      <c r="R9696" t="s">
        <v>44769</v>
      </c>
      <c r="S9696" t="s">
        <v>45044</v>
      </c>
      <c r="T9696" t="s">
        <v>46544</v>
      </c>
      <c r="U9696" t="s">
        <v>54991</v>
      </c>
      <c r="W9696" t="s">
        <v>43836</v>
      </c>
      <c r="X9696" t="s">
        <v>44770</v>
      </c>
    </row>
    <row r="9697" spans="1:24">
      <c r="A9697">
        <f>HYPERLINK("https://www.philgeps.gov.ph/GEPSNONPILOT/Tender/SplashBidNoticeAbstractUI.aspx?menuIndex=3&amp;refID=7138071&amp;Result=3","7138071")</f>
        <v>0</v>
      </c>
      <c r="B9697" t="s">
        <v>1973</v>
      </c>
      <c r="C9697" t="s">
        <v>12958</v>
      </c>
      <c r="D9697" t="s">
        <v>18012</v>
      </c>
      <c r="E9697" t="s">
        <v>26452</v>
      </c>
      <c r="F9697" t="s">
        <v>30900</v>
      </c>
      <c r="G9697" t="s">
        <v>30907</v>
      </c>
      <c r="H9697" t="s">
        <v>30916</v>
      </c>
      <c r="I9697" t="s">
        <v>30933</v>
      </c>
      <c r="J9697" t="s">
        <v>31183</v>
      </c>
      <c r="K9697" t="s">
        <v>40284</v>
      </c>
      <c r="M9697" t="s">
        <v>42661</v>
      </c>
      <c r="N9697" t="s">
        <v>44759</v>
      </c>
      <c r="O9697" t="s">
        <v>44760</v>
      </c>
      <c r="P9697">
        <v>0</v>
      </c>
      <c r="Q9697">
        <v>0</v>
      </c>
      <c r="R9697" t="s">
        <v>44769</v>
      </c>
      <c r="S9697" t="s">
        <v>45044</v>
      </c>
      <c r="T9697" t="s">
        <v>46443</v>
      </c>
      <c r="U9697" t="s">
        <v>54992</v>
      </c>
      <c r="W9697" t="s">
        <v>42661</v>
      </c>
      <c r="X9697" t="s">
        <v>44770</v>
      </c>
    </row>
    <row r="9698" spans="1:24">
      <c r="A9698">
        <f>HYPERLINK("https://www.philgeps.gov.ph/GEPSNONPILOT/Tender/SplashBidNoticeAbstractUI.aspx?menuIndex=3&amp;refID=7138065&amp;Result=3","7138065")</f>
        <v>0</v>
      </c>
      <c r="B9698" t="s">
        <v>3036</v>
      </c>
      <c r="C9698" t="s">
        <v>12959</v>
      </c>
      <c r="D9698" t="s">
        <v>18002</v>
      </c>
      <c r="E9698" t="s">
        <v>26453</v>
      </c>
      <c r="F9698" t="s">
        <v>30900</v>
      </c>
      <c r="G9698" t="s">
        <v>30907</v>
      </c>
      <c r="H9698" t="s">
        <v>7411</v>
      </c>
      <c r="I9698" t="s">
        <v>7411</v>
      </c>
      <c r="J9698" t="s">
        <v>37105</v>
      </c>
      <c r="K9698" t="s">
        <v>40380</v>
      </c>
      <c r="M9698" t="s">
        <v>43846</v>
      </c>
      <c r="N9698" t="s">
        <v>44759</v>
      </c>
      <c r="O9698" t="s">
        <v>44760</v>
      </c>
      <c r="P9698">
        <v>0</v>
      </c>
      <c r="Q9698">
        <v>4</v>
      </c>
      <c r="R9698" t="s">
        <v>44769</v>
      </c>
      <c r="S9698" t="s">
        <v>45044</v>
      </c>
      <c r="T9698" t="s">
        <v>46377</v>
      </c>
      <c r="U9698" t="s">
        <v>54993</v>
      </c>
      <c r="V9698" t="s">
        <v>60180</v>
      </c>
      <c r="W9698" t="s">
        <v>43846</v>
      </c>
      <c r="X9698" t="s">
        <v>44770</v>
      </c>
    </row>
    <row r="9699" spans="1:24">
      <c r="A9699">
        <f>HYPERLINK("https://www.philgeps.gov.ph/GEPSNONPILOT/Tender/SplashBidNoticeAbstractUI.aspx?menuIndex=3&amp;refID=7138064&amp;Result=3","7138064")</f>
        <v>0</v>
      </c>
      <c r="B9699" t="s">
        <v>134</v>
      </c>
      <c r="C9699" t="s">
        <v>12960</v>
      </c>
      <c r="E9699" t="s">
        <v>26454</v>
      </c>
      <c r="F9699" t="s">
        <v>30900</v>
      </c>
      <c r="G9699" t="s">
        <v>30907</v>
      </c>
      <c r="H9699" t="s">
        <v>30916</v>
      </c>
      <c r="I9699" t="s">
        <v>30923</v>
      </c>
      <c r="J9699" t="s">
        <v>31391</v>
      </c>
      <c r="K9699" t="s">
        <v>40286</v>
      </c>
      <c r="M9699" t="s">
        <v>40681</v>
      </c>
      <c r="N9699" t="s">
        <v>44759</v>
      </c>
      <c r="O9699" t="s">
        <v>44760</v>
      </c>
      <c r="P9699">
        <v>0</v>
      </c>
      <c r="Q9699">
        <v>3</v>
      </c>
      <c r="R9699" t="s">
        <v>44769</v>
      </c>
      <c r="S9699" t="s">
        <v>45044</v>
      </c>
      <c r="T9699" t="s">
        <v>46544</v>
      </c>
      <c r="U9699" t="s">
        <v>54994</v>
      </c>
      <c r="W9699" t="s">
        <v>40681</v>
      </c>
      <c r="X9699" t="s">
        <v>44770</v>
      </c>
    </row>
    <row r="9700" spans="1:24">
      <c r="A9700">
        <f>HYPERLINK("https://www.philgeps.gov.ph/GEPSNONPILOT/Tender/SplashBidNoticeAbstractUI.aspx?menuIndex=3&amp;refID=7138078&amp;Result=3","7138078")</f>
        <v>0</v>
      </c>
      <c r="B9700" t="s">
        <v>3037</v>
      </c>
      <c r="C9700" t="s">
        <v>12961</v>
      </c>
      <c r="D9700" t="s">
        <v>17975</v>
      </c>
      <c r="E9700" t="s">
        <v>26455</v>
      </c>
      <c r="F9700" t="s">
        <v>30900</v>
      </c>
      <c r="G9700" t="s">
        <v>30909</v>
      </c>
      <c r="H9700" t="s">
        <v>30916</v>
      </c>
      <c r="I9700" t="s">
        <v>8123</v>
      </c>
      <c r="J9700" t="s">
        <v>31555</v>
      </c>
      <c r="K9700" t="s">
        <v>40287</v>
      </c>
      <c r="M9700" t="s">
        <v>43847</v>
      </c>
      <c r="N9700" t="s">
        <v>44759</v>
      </c>
      <c r="O9700" t="s">
        <v>44760</v>
      </c>
      <c r="P9700">
        <v>0</v>
      </c>
      <c r="Q9700">
        <v>1</v>
      </c>
      <c r="R9700" t="s">
        <v>44769</v>
      </c>
      <c r="S9700" t="s">
        <v>45044</v>
      </c>
      <c r="T9700" t="s">
        <v>46409</v>
      </c>
      <c r="U9700" t="s">
        <v>54995</v>
      </c>
      <c r="W9700" t="s">
        <v>43847</v>
      </c>
      <c r="X9700" t="s">
        <v>44770</v>
      </c>
    </row>
    <row r="9701" spans="1:24">
      <c r="A9701">
        <f>HYPERLINK("https://www.philgeps.gov.ph/GEPSNONPILOT/Tender/SplashBidNoticeAbstractUI.aspx?menuIndex=3&amp;refID=7138037&amp;Result=3","7138037")</f>
        <v>0</v>
      </c>
      <c r="B9701" t="s">
        <v>1119</v>
      </c>
      <c r="C9701" t="s">
        <v>12962</v>
      </c>
      <c r="D9701" t="s">
        <v>18038</v>
      </c>
      <c r="E9701" t="s">
        <v>26456</v>
      </c>
      <c r="F9701" t="s">
        <v>30900</v>
      </c>
      <c r="G9701" t="s">
        <v>30907</v>
      </c>
      <c r="H9701" t="s">
        <v>30916</v>
      </c>
      <c r="I9701" t="s">
        <v>7708</v>
      </c>
      <c r="J9701" t="s">
        <v>37106</v>
      </c>
      <c r="K9701" t="s">
        <v>40280</v>
      </c>
      <c r="M9701" t="s">
        <v>42602</v>
      </c>
      <c r="N9701" t="s">
        <v>44759</v>
      </c>
      <c r="O9701" t="s">
        <v>44760</v>
      </c>
      <c r="Q9701">
        <v>7</v>
      </c>
      <c r="R9701" t="s">
        <v>44769</v>
      </c>
      <c r="S9701" t="s">
        <v>45092</v>
      </c>
      <c r="T9701" t="s">
        <v>46504</v>
      </c>
      <c r="U9701" t="s">
        <v>54975</v>
      </c>
      <c r="V9701" t="s">
        <v>60181</v>
      </c>
      <c r="W9701" t="s">
        <v>42602</v>
      </c>
      <c r="X9701" t="s">
        <v>44770</v>
      </c>
    </row>
    <row r="9702" spans="1:24">
      <c r="A9702">
        <f>HYPERLINK("https://www.philgeps.gov.ph/GEPSNONPILOT/Tender/SplashBidNoticeAbstractUI.aspx?menuIndex=3&amp;refID=7138054&amp;Result=3","7138054")</f>
        <v>0</v>
      </c>
      <c r="B9702" t="s">
        <v>2150</v>
      </c>
      <c r="C9702" t="s">
        <v>12963</v>
      </c>
      <c r="D9702" t="s">
        <v>17951</v>
      </c>
      <c r="E9702" t="s">
        <v>26457</v>
      </c>
      <c r="F9702" t="s">
        <v>30900</v>
      </c>
      <c r="G9702" t="s">
        <v>30908</v>
      </c>
      <c r="H9702" t="s">
        <v>30916</v>
      </c>
      <c r="I9702" t="s">
        <v>4108</v>
      </c>
      <c r="J9702" t="s">
        <v>37107</v>
      </c>
      <c r="K9702" t="s">
        <v>40286</v>
      </c>
      <c r="M9702" t="s">
        <v>42854</v>
      </c>
      <c r="N9702" t="s">
        <v>44759</v>
      </c>
      <c r="O9702" t="s">
        <v>44760</v>
      </c>
      <c r="P9702">
        <v>0</v>
      </c>
      <c r="Q9702">
        <v>0</v>
      </c>
      <c r="R9702" t="s">
        <v>44769</v>
      </c>
      <c r="S9702" t="s">
        <v>45044</v>
      </c>
      <c r="T9702" t="s">
        <v>46662</v>
      </c>
      <c r="U9702" t="s">
        <v>54996</v>
      </c>
      <c r="W9702" t="s">
        <v>42854</v>
      </c>
      <c r="X9702" t="s">
        <v>44770</v>
      </c>
    </row>
    <row r="9703" spans="1:24">
      <c r="A9703">
        <f>HYPERLINK("https://www.philgeps.gov.ph/GEPSNONPILOT/Tender/SplashBidNoticeAbstractUI.aspx?menuIndex=3&amp;refID=7137839&amp;Result=3","7137839")</f>
        <v>0</v>
      </c>
      <c r="B9703" t="s">
        <v>2989</v>
      </c>
      <c r="C9703" t="s">
        <v>12964</v>
      </c>
      <c r="D9703" t="s">
        <v>17975</v>
      </c>
      <c r="E9703" t="s">
        <v>22351</v>
      </c>
      <c r="F9703" t="s">
        <v>30900</v>
      </c>
      <c r="G9703" t="s">
        <v>30907</v>
      </c>
      <c r="H9703" t="s">
        <v>30916</v>
      </c>
      <c r="I9703" t="s">
        <v>8123</v>
      </c>
      <c r="J9703" t="s">
        <v>37108</v>
      </c>
      <c r="K9703" t="s">
        <v>40287</v>
      </c>
      <c r="M9703" t="s">
        <v>43792</v>
      </c>
      <c r="N9703" t="s">
        <v>44759</v>
      </c>
      <c r="O9703" t="s">
        <v>44760</v>
      </c>
      <c r="P9703">
        <v>0</v>
      </c>
      <c r="Q9703">
        <v>1</v>
      </c>
      <c r="R9703" t="s">
        <v>44769</v>
      </c>
      <c r="S9703" t="s">
        <v>45044</v>
      </c>
      <c r="T9703" t="s">
        <v>46760</v>
      </c>
      <c r="U9703" t="s">
        <v>54997</v>
      </c>
      <c r="W9703" t="s">
        <v>43792</v>
      </c>
      <c r="X9703" t="s">
        <v>44770</v>
      </c>
    </row>
    <row r="9704" spans="1:24">
      <c r="A9704">
        <f>HYPERLINK("https://www.philgeps.gov.ph/GEPSNONPILOT/Tender/SplashBidNoticeAbstractUI.aspx?menuIndex=3&amp;refID=7138027&amp;Result=3","7138027")</f>
        <v>0</v>
      </c>
      <c r="B9704" t="s">
        <v>3038</v>
      </c>
      <c r="C9704" t="s">
        <v>12965</v>
      </c>
      <c r="D9704" t="s">
        <v>17952</v>
      </c>
      <c r="E9704" t="s">
        <v>26458</v>
      </c>
      <c r="F9704" t="s">
        <v>30900</v>
      </c>
      <c r="G9704" t="s">
        <v>30907</v>
      </c>
      <c r="H9704" t="s">
        <v>30915</v>
      </c>
      <c r="I9704" t="s">
        <v>30922</v>
      </c>
      <c r="J9704" t="s">
        <v>31152</v>
      </c>
      <c r="K9704" t="s">
        <v>40280</v>
      </c>
      <c r="M9704" t="s">
        <v>43848</v>
      </c>
      <c r="N9704" t="s">
        <v>44759</v>
      </c>
      <c r="O9704" t="s">
        <v>44760</v>
      </c>
      <c r="P9704">
        <v>0</v>
      </c>
      <c r="Q9704">
        <v>0</v>
      </c>
      <c r="R9704" t="s">
        <v>44769</v>
      </c>
      <c r="S9704" t="s">
        <v>45044</v>
      </c>
      <c r="T9704" t="s">
        <v>46411</v>
      </c>
      <c r="U9704" t="s">
        <v>54998</v>
      </c>
      <c r="W9704" t="s">
        <v>43848</v>
      </c>
      <c r="X9704" t="s">
        <v>44770</v>
      </c>
    </row>
    <row r="9705" spans="1:24">
      <c r="A9705">
        <f>HYPERLINK("https://www.philgeps.gov.ph/GEPSNONPILOT/Tender/SplashBidNoticeAbstractUI.aspx?menuIndex=3&amp;refID=7138025&amp;Result=3","7138025")</f>
        <v>0</v>
      </c>
      <c r="B9705" t="s">
        <v>3039</v>
      </c>
      <c r="C9705" t="s">
        <v>12966</v>
      </c>
      <c r="D9705" t="s">
        <v>17985</v>
      </c>
      <c r="E9705" t="s">
        <v>26459</v>
      </c>
      <c r="F9705" t="s">
        <v>30900</v>
      </c>
      <c r="G9705" t="s">
        <v>30907</v>
      </c>
      <c r="H9705" t="s">
        <v>30916</v>
      </c>
      <c r="I9705" t="s">
        <v>8123</v>
      </c>
      <c r="J9705" t="s">
        <v>31522</v>
      </c>
      <c r="K9705" t="s">
        <v>40283</v>
      </c>
      <c r="M9705" t="s">
        <v>43849</v>
      </c>
      <c r="N9705" t="s">
        <v>44759</v>
      </c>
      <c r="O9705" t="s">
        <v>44760</v>
      </c>
      <c r="P9705">
        <v>0</v>
      </c>
      <c r="Q9705">
        <v>0</v>
      </c>
      <c r="R9705" t="s">
        <v>44769</v>
      </c>
      <c r="S9705" t="s">
        <v>45044</v>
      </c>
      <c r="T9705" t="s">
        <v>46414</v>
      </c>
      <c r="U9705" t="s">
        <v>54999</v>
      </c>
      <c r="W9705" t="s">
        <v>43849</v>
      </c>
      <c r="X9705" t="s">
        <v>44770</v>
      </c>
    </row>
    <row r="9706" spans="1:24">
      <c r="A9706">
        <f>HYPERLINK("https://www.philgeps.gov.ph/GEPSNONPILOT/Tender/SplashBidNoticeAbstractUI.aspx?menuIndex=3&amp;refID=7138019&amp;Result=3","7138019")</f>
        <v>0</v>
      </c>
      <c r="B9706" t="s">
        <v>185</v>
      </c>
      <c r="C9706" t="s">
        <v>12967</v>
      </c>
      <c r="D9706" t="s">
        <v>18002</v>
      </c>
      <c r="E9706" t="s">
        <v>26460</v>
      </c>
      <c r="F9706" t="s">
        <v>30900</v>
      </c>
      <c r="G9706" t="s">
        <v>30907</v>
      </c>
      <c r="H9706" t="s">
        <v>30916</v>
      </c>
      <c r="I9706" t="s">
        <v>30929</v>
      </c>
      <c r="J9706" t="s">
        <v>32601</v>
      </c>
      <c r="K9706" t="s">
        <v>40292</v>
      </c>
      <c r="M9706" t="s">
        <v>40732</v>
      </c>
      <c r="N9706" t="s">
        <v>44759</v>
      </c>
      <c r="O9706" t="s">
        <v>44760</v>
      </c>
      <c r="P9706">
        <v>0</v>
      </c>
      <c r="Q9706">
        <v>9</v>
      </c>
      <c r="R9706" t="s">
        <v>44769</v>
      </c>
      <c r="S9706" t="s">
        <v>45044</v>
      </c>
      <c r="T9706" t="s">
        <v>46411</v>
      </c>
      <c r="U9706" t="s">
        <v>55000</v>
      </c>
      <c r="W9706" t="s">
        <v>60820</v>
      </c>
      <c r="X9706" t="s">
        <v>44770</v>
      </c>
    </row>
    <row r="9707" spans="1:24">
      <c r="A9707">
        <f>HYPERLINK("https://www.philgeps.gov.ph/GEPSNONPILOT/Tender/SplashBidNoticeAbstractUI.aspx?menuIndex=3&amp;refID=7137986&amp;Result=3","7137986")</f>
        <v>0</v>
      </c>
      <c r="B9707" t="s">
        <v>3036</v>
      </c>
      <c r="C9707" t="s">
        <v>12968</v>
      </c>
      <c r="D9707" t="s">
        <v>18002</v>
      </c>
      <c r="E9707" t="s">
        <v>26461</v>
      </c>
      <c r="F9707" t="s">
        <v>30900</v>
      </c>
      <c r="G9707" t="s">
        <v>30907</v>
      </c>
      <c r="H9707" t="s">
        <v>7411</v>
      </c>
      <c r="I9707" t="s">
        <v>7411</v>
      </c>
      <c r="J9707" t="s">
        <v>37109</v>
      </c>
      <c r="K9707" t="s">
        <v>40363</v>
      </c>
      <c r="M9707" t="s">
        <v>43846</v>
      </c>
      <c r="N9707" t="s">
        <v>44759</v>
      </c>
      <c r="O9707" t="s">
        <v>44760</v>
      </c>
      <c r="P9707">
        <v>0</v>
      </c>
      <c r="Q9707">
        <v>4</v>
      </c>
      <c r="R9707" t="s">
        <v>44769</v>
      </c>
      <c r="S9707" t="s">
        <v>45044</v>
      </c>
      <c r="T9707" t="s">
        <v>46377</v>
      </c>
      <c r="U9707" t="s">
        <v>55001</v>
      </c>
      <c r="V9707" t="s">
        <v>60180</v>
      </c>
      <c r="W9707" t="s">
        <v>43846</v>
      </c>
      <c r="X9707" t="s">
        <v>44770</v>
      </c>
    </row>
    <row r="9708" spans="1:24">
      <c r="A9708">
        <f>HYPERLINK("https://www.philgeps.gov.ph/GEPSNONPILOT/Tender/SplashBidNoticeAbstractUI.aspx?menuIndex=3&amp;refID=7138018&amp;Result=3","7138018")</f>
        <v>0</v>
      </c>
      <c r="B9708" t="s">
        <v>1119</v>
      </c>
      <c r="C9708" t="s">
        <v>12969</v>
      </c>
      <c r="D9708" t="s">
        <v>18038</v>
      </c>
      <c r="E9708" t="s">
        <v>26462</v>
      </c>
      <c r="F9708" t="s">
        <v>30900</v>
      </c>
      <c r="G9708" t="s">
        <v>30907</v>
      </c>
      <c r="H9708" t="s">
        <v>30916</v>
      </c>
      <c r="I9708" t="s">
        <v>7708</v>
      </c>
      <c r="J9708" t="s">
        <v>37110</v>
      </c>
      <c r="K9708" t="s">
        <v>40280</v>
      </c>
      <c r="M9708" t="s">
        <v>42602</v>
      </c>
      <c r="N9708" t="s">
        <v>44759</v>
      </c>
      <c r="O9708" t="s">
        <v>44760</v>
      </c>
      <c r="Q9708">
        <v>4</v>
      </c>
      <c r="R9708" t="s">
        <v>44769</v>
      </c>
      <c r="S9708" t="s">
        <v>45093</v>
      </c>
      <c r="T9708" t="s">
        <v>46752</v>
      </c>
      <c r="U9708" t="s">
        <v>54975</v>
      </c>
      <c r="V9708" t="s">
        <v>59685</v>
      </c>
      <c r="W9708" t="s">
        <v>42602</v>
      </c>
      <c r="X9708" t="s">
        <v>44770</v>
      </c>
    </row>
    <row r="9709" spans="1:24">
      <c r="A9709">
        <f>HYPERLINK("https://www.philgeps.gov.ph/GEPSNONPILOT/Tender/SplashBidNoticeAbstractUI.aspx?menuIndex=3&amp;refID=7138034&amp;Result=3","7138034")</f>
        <v>0</v>
      </c>
      <c r="B9709" t="s">
        <v>2542</v>
      </c>
      <c r="C9709" t="s">
        <v>12970</v>
      </c>
      <c r="E9709" t="s">
        <v>26463</v>
      </c>
      <c r="F9709" t="s">
        <v>30900</v>
      </c>
      <c r="G9709" t="s">
        <v>30907</v>
      </c>
      <c r="H9709" t="s">
        <v>30915</v>
      </c>
      <c r="I9709" t="s">
        <v>30919</v>
      </c>
      <c r="J9709" t="s">
        <v>37111</v>
      </c>
      <c r="K9709" t="s">
        <v>40289</v>
      </c>
      <c r="M9709" t="s">
        <v>43299</v>
      </c>
      <c r="N9709" t="s">
        <v>44759</v>
      </c>
      <c r="O9709" t="s">
        <v>44760</v>
      </c>
      <c r="P9709">
        <v>0</v>
      </c>
      <c r="Q9709">
        <v>12</v>
      </c>
      <c r="R9709" t="s">
        <v>44769</v>
      </c>
      <c r="S9709" t="s">
        <v>45044</v>
      </c>
      <c r="T9709" t="s">
        <v>46495</v>
      </c>
      <c r="U9709" t="s">
        <v>55002</v>
      </c>
      <c r="W9709" t="s">
        <v>60910</v>
      </c>
      <c r="X9709" t="s">
        <v>44770</v>
      </c>
    </row>
    <row r="9710" spans="1:24">
      <c r="A9710">
        <f>HYPERLINK("https://www.philgeps.gov.ph/GEPSNONPILOT/Tender/SplashBidNoticeAbstractUI.aspx?menuIndex=3&amp;refID=7138032&amp;Result=3","7138032")</f>
        <v>0</v>
      </c>
      <c r="B9710" t="s">
        <v>255</v>
      </c>
      <c r="C9710" t="s">
        <v>12971</v>
      </c>
      <c r="D9710" t="s">
        <v>17980</v>
      </c>
      <c r="E9710" t="s">
        <v>26464</v>
      </c>
      <c r="F9710" t="s">
        <v>30900</v>
      </c>
      <c r="G9710" t="s">
        <v>30907</v>
      </c>
      <c r="H9710" t="s">
        <v>30916</v>
      </c>
      <c r="I9710" t="s">
        <v>8123</v>
      </c>
      <c r="J9710" t="s">
        <v>37112</v>
      </c>
      <c r="K9710" t="s">
        <v>40280</v>
      </c>
      <c r="M9710" t="s">
        <v>40802</v>
      </c>
      <c r="N9710" t="s">
        <v>44759</v>
      </c>
      <c r="O9710" t="s">
        <v>44760</v>
      </c>
      <c r="P9710">
        <v>0</v>
      </c>
      <c r="Q9710">
        <v>1</v>
      </c>
      <c r="R9710" t="s">
        <v>44769</v>
      </c>
      <c r="S9710" t="s">
        <v>45044</v>
      </c>
      <c r="T9710" t="s">
        <v>46606</v>
      </c>
      <c r="U9710" t="s">
        <v>52217</v>
      </c>
      <c r="W9710" t="s">
        <v>40802</v>
      </c>
      <c r="X9710" t="s">
        <v>44770</v>
      </c>
    </row>
    <row r="9711" spans="1:24">
      <c r="A9711">
        <f>HYPERLINK("https://www.philgeps.gov.ph/GEPSNONPILOT/Tender/SplashBidNoticeAbstractUI.aspx?menuIndex=3&amp;refID=7138186&amp;Result=3","7138186")</f>
        <v>0</v>
      </c>
      <c r="B9711" t="s">
        <v>2425</v>
      </c>
      <c r="C9711" t="s">
        <v>12972</v>
      </c>
      <c r="D9711" t="s">
        <v>17965</v>
      </c>
      <c r="E9711" t="s">
        <v>26465</v>
      </c>
      <c r="F9711" t="s">
        <v>30900</v>
      </c>
      <c r="G9711" t="s">
        <v>30907</v>
      </c>
      <c r="H9711" t="s">
        <v>30915</v>
      </c>
      <c r="I9711" t="s">
        <v>30919</v>
      </c>
      <c r="J9711" t="s">
        <v>31243</v>
      </c>
      <c r="K9711" t="s">
        <v>40308</v>
      </c>
      <c r="M9711" t="s">
        <v>43154</v>
      </c>
      <c r="N9711" t="s">
        <v>44759</v>
      </c>
      <c r="O9711" t="s">
        <v>44760</v>
      </c>
      <c r="P9711">
        <v>0</v>
      </c>
      <c r="Q9711">
        <v>0</v>
      </c>
      <c r="R9711" t="s">
        <v>44769</v>
      </c>
      <c r="S9711" t="s">
        <v>45044</v>
      </c>
      <c r="T9711" t="s">
        <v>46704</v>
      </c>
      <c r="U9711" t="s">
        <v>55003</v>
      </c>
      <c r="W9711" t="s">
        <v>43154</v>
      </c>
      <c r="X9711" t="s">
        <v>44770</v>
      </c>
    </row>
    <row r="9712" spans="1:24">
      <c r="A9712">
        <f>HYPERLINK("https://www.philgeps.gov.ph/GEPSNONPILOT/Tender/SplashBidNoticeAbstractUI.aspx?menuIndex=3&amp;refID=7138184&amp;Result=3","7138184")</f>
        <v>0</v>
      </c>
      <c r="B9712" t="s">
        <v>894</v>
      </c>
      <c r="C9712" t="s">
        <v>12973</v>
      </c>
      <c r="D9712" t="s">
        <v>18011</v>
      </c>
      <c r="E9712" t="s">
        <v>26466</v>
      </c>
      <c r="F9712" t="s">
        <v>30900</v>
      </c>
      <c r="G9712" t="s">
        <v>30907</v>
      </c>
      <c r="H9712" t="s">
        <v>30915</v>
      </c>
      <c r="I9712" t="s">
        <v>30919</v>
      </c>
      <c r="J9712" t="s">
        <v>33175</v>
      </c>
      <c r="K9712" t="s">
        <v>40345</v>
      </c>
      <c r="M9712" t="s">
        <v>41468</v>
      </c>
      <c r="N9712" t="s">
        <v>44759</v>
      </c>
      <c r="O9712" t="s">
        <v>44760</v>
      </c>
      <c r="P9712">
        <v>0</v>
      </c>
      <c r="Q9712">
        <v>1</v>
      </c>
      <c r="R9712" t="s">
        <v>44769</v>
      </c>
      <c r="S9712" t="s">
        <v>45044</v>
      </c>
      <c r="T9712" t="s">
        <v>46544</v>
      </c>
      <c r="U9712" t="s">
        <v>55004</v>
      </c>
      <c r="W9712" t="s">
        <v>41468</v>
      </c>
      <c r="X9712" t="s">
        <v>44770</v>
      </c>
    </row>
    <row r="9713" spans="1:24">
      <c r="A9713">
        <f>HYPERLINK("https://www.philgeps.gov.ph/GEPSNONPILOT/Tender/SplashBidNoticeAbstractUI.aspx?menuIndex=3&amp;refID=7138182&amp;Result=3","7138182")</f>
        <v>0</v>
      </c>
      <c r="B9713" t="s">
        <v>767</v>
      </c>
      <c r="C9713" t="s">
        <v>12974</v>
      </c>
      <c r="D9713" t="s">
        <v>18020</v>
      </c>
      <c r="E9713" t="s">
        <v>26467</v>
      </c>
      <c r="F9713" t="s">
        <v>30900</v>
      </c>
      <c r="G9713" t="s">
        <v>30907</v>
      </c>
      <c r="H9713" t="s">
        <v>30916</v>
      </c>
      <c r="I9713" t="s">
        <v>30927</v>
      </c>
      <c r="J9713" t="s">
        <v>37113</v>
      </c>
      <c r="K9713" t="s">
        <v>40289</v>
      </c>
      <c r="M9713" t="s">
        <v>41333</v>
      </c>
      <c r="N9713" t="s">
        <v>44759</v>
      </c>
      <c r="O9713" t="s">
        <v>44760</v>
      </c>
      <c r="P9713">
        <v>0</v>
      </c>
      <c r="Q9713">
        <v>1</v>
      </c>
      <c r="R9713" t="s">
        <v>44769</v>
      </c>
      <c r="S9713" t="s">
        <v>45044</v>
      </c>
      <c r="T9713" t="s">
        <v>46544</v>
      </c>
      <c r="U9713" t="s">
        <v>55005</v>
      </c>
      <c r="V9713" t="s">
        <v>60182</v>
      </c>
      <c r="W9713" t="s">
        <v>41333</v>
      </c>
      <c r="X9713" t="s">
        <v>44770</v>
      </c>
    </row>
    <row r="9714" spans="1:24">
      <c r="A9714">
        <f>HYPERLINK("https://www.philgeps.gov.ph/GEPSNONPILOT/Tender/SplashBidNoticeAbstractUI.aspx?menuIndex=3&amp;refID=7138173&amp;Result=3","7138173")</f>
        <v>0</v>
      </c>
      <c r="B9714" t="s">
        <v>3040</v>
      </c>
      <c r="C9714" t="s">
        <v>12975</v>
      </c>
      <c r="D9714" t="s">
        <v>17959</v>
      </c>
      <c r="E9714" t="s">
        <v>26468</v>
      </c>
      <c r="F9714" t="s">
        <v>30904</v>
      </c>
      <c r="G9714" t="s">
        <v>30907</v>
      </c>
      <c r="H9714" t="s">
        <v>30916</v>
      </c>
      <c r="I9714" t="s">
        <v>4108</v>
      </c>
      <c r="J9714" t="s">
        <v>31443</v>
      </c>
      <c r="K9714" t="s">
        <v>40287</v>
      </c>
      <c r="M9714" t="s">
        <v>43850</v>
      </c>
      <c r="N9714" t="s">
        <v>44759</v>
      </c>
      <c r="O9714" t="s">
        <v>44760</v>
      </c>
      <c r="P9714">
        <v>0</v>
      </c>
      <c r="Q9714">
        <v>0</v>
      </c>
      <c r="R9714" t="s">
        <v>44769</v>
      </c>
      <c r="S9714" t="s">
        <v>45044</v>
      </c>
      <c r="T9714" t="s">
        <v>46409</v>
      </c>
      <c r="U9714" t="s">
        <v>55006</v>
      </c>
      <c r="W9714" t="s">
        <v>43850</v>
      </c>
      <c r="X9714" t="s">
        <v>44770</v>
      </c>
    </row>
    <row r="9715" spans="1:24">
      <c r="A9715">
        <f>HYPERLINK("https://www.philgeps.gov.ph/GEPSNONPILOT/Tender/SplashBidNoticeAbstractUI.aspx?menuIndex=3&amp;refID=7138171&amp;Result=3","7138171")</f>
        <v>0</v>
      </c>
      <c r="B9715" t="s">
        <v>3041</v>
      </c>
      <c r="C9715" t="s">
        <v>12976</v>
      </c>
      <c r="D9715" t="s">
        <v>17991</v>
      </c>
      <c r="E9715" t="s">
        <v>26469</v>
      </c>
      <c r="F9715" t="s">
        <v>30900</v>
      </c>
      <c r="G9715" t="s">
        <v>30907</v>
      </c>
      <c r="H9715" t="s">
        <v>30916</v>
      </c>
      <c r="I9715" t="s">
        <v>30933</v>
      </c>
      <c r="J9715" t="s">
        <v>36286</v>
      </c>
      <c r="K9715" t="s">
        <v>40286</v>
      </c>
      <c r="M9715" t="s">
        <v>43851</v>
      </c>
      <c r="N9715" t="s">
        <v>44759</v>
      </c>
      <c r="O9715" t="s">
        <v>44760</v>
      </c>
      <c r="P9715">
        <v>0</v>
      </c>
      <c r="Q9715">
        <v>4</v>
      </c>
      <c r="R9715" t="s">
        <v>44769</v>
      </c>
      <c r="S9715" t="s">
        <v>45044</v>
      </c>
      <c r="T9715" t="s">
        <v>46828</v>
      </c>
      <c r="U9715" t="s">
        <v>55007</v>
      </c>
      <c r="W9715" t="s">
        <v>43851</v>
      </c>
      <c r="X9715" t="s">
        <v>44770</v>
      </c>
    </row>
    <row r="9716" spans="1:24">
      <c r="A9716">
        <f>HYPERLINK("https://www.philgeps.gov.ph/GEPSNONPILOT/Tender/SplashBidNoticeAbstractUI.aspx?menuIndex=3&amp;refID=7138162&amp;Result=3","7138162")</f>
        <v>0</v>
      </c>
      <c r="B9716" t="s">
        <v>3033</v>
      </c>
      <c r="C9716" t="s">
        <v>12977</v>
      </c>
      <c r="D9716" t="s">
        <v>18020</v>
      </c>
      <c r="E9716" t="s">
        <v>26470</v>
      </c>
      <c r="F9716" t="s">
        <v>30900</v>
      </c>
      <c r="G9716" t="s">
        <v>30907</v>
      </c>
      <c r="H9716" t="s">
        <v>30916</v>
      </c>
      <c r="I9716" t="s">
        <v>30919</v>
      </c>
      <c r="J9716" t="s">
        <v>37114</v>
      </c>
      <c r="K9716" t="s">
        <v>40308</v>
      </c>
      <c r="M9716" t="s">
        <v>43842</v>
      </c>
      <c r="N9716" t="s">
        <v>44759</v>
      </c>
      <c r="O9716" t="s">
        <v>44760</v>
      </c>
      <c r="P9716">
        <v>0</v>
      </c>
      <c r="Q9716">
        <v>0</v>
      </c>
      <c r="R9716" t="s">
        <v>44769</v>
      </c>
      <c r="S9716" t="s">
        <v>45044</v>
      </c>
      <c r="T9716" t="s">
        <v>46658</v>
      </c>
      <c r="U9716" t="s">
        <v>55008</v>
      </c>
      <c r="W9716" t="s">
        <v>43842</v>
      </c>
      <c r="X9716" t="s">
        <v>44770</v>
      </c>
    </row>
    <row r="9717" spans="1:24">
      <c r="A9717">
        <f>HYPERLINK("https://www.philgeps.gov.ph/GEPSNONPILOT/Tender/SplashBidNoticeAbstractUI.aspx?menuIndex=3&amp;refID=7138154&amp;Result=3","7138154")</f>
        <v>0</v>
      </c>
      <c r="B9717" t="s">
        <v>134</v>
      </c>
      <c r="C9717" t="s">
        <v>8027</v>
      </c>
      <c r="E9717" t="s">
        <v>26471</v>
      </c>
      <c r="F9717" t="s">
        <v>30900</v>
      </c>
      <c r="G9717" t="s">
        <v>30907</v>
      </c>
      <c r="H9717" t="s">
        <v>30916</v>
      </c>
      <c r="I9717" t="s">
        <v>9385</v>
      </c>
      <c r="J9717" t="s">
        <v>37115</v>
      </c>
      <c r="K9717" t="s">
        <v>40286</v>
      </c>
      <c r="M9717" t="s">
        <v>40681</v>
      </c>
      <c r="N9717" t="s">
        <v>44759</v>
      </c>
      <c r="O9717" t="s">
        <v>44760</v>
      </c>
      <c r="P9717">
        <v>0</v>
      </c>
      <c r="Q9717">
        <v>8</v>
      </c>
      <c r="R9717" t="s">
        <v>44769</v>
      </c>
      <c r="S9717" t="s">
        <v>45044</v>
      </c>
      <c r="T9717" t="s">
        <v>46544</v>
      </c>
      <c r="U9717" t="s">
        <v>54994</v>
      </c>
      <c r="W9717" t="s">
        <v>40681</v>
      </c>
      <c r="X9717" t="s">
        <v>44770</v>
      </c>
    </row>
    <row r="9718" spans="1:24">
      <c r="A9718">
        <f>HYPERLINK("https://www.philgeps.gov.ph/GEPSNONPILOT/Tender/SplashBidNoticeAbstractUI.aspx?menuIndex=3&amp;refID=7138046&amp;Result=3","7138046")</f>
        <v>0</v>
      </c>
      <c r="B9718" t="s">
        <v>595</v>
      </c>
      <c r="C9718" t="s">
        <v>12978</v>
      </c>
      <c r="D9718" t="s">
        <v>17953</v>
      </c>
      <c r="E9718" t="s">
        <v>26472</v>
      </c>
      <c r="F9718" t="s">
        <v>30900</v>
      </c>
      <c r="G9718" t="s">
        <v>30908</v>
      </c>
      <c r="H9718" t="s">
        <v>30916</v>
      </c>
      <c r="I9718" t="s">
        <v>8123</v>
      </c>
      <c r="J9718" t="s">
        <v>31289</v>
      </c>
      <c r="K9718" t="s">
        <v>40283</v>
      </c>
      <c r="M9718" t="s">
        <v>41157</v>
      </c>
      <c r="N9718" t="s">
        <v>44759</v>
      </c>
      <c r="O9718" t="s">
        <v>44760</v>
      </c>
      <c r="P9718">
        <v>0</v>
      </c>
      <c r="Q9718">
        <v>3</v>
      </c>
      <c r="R9718" t="s">
        <v>44769</v>
      </c>
      <c r="S9718" t="s">
        <v>45044</v>
      </c>
      <c r="T9718" t="s">
        <v>46768</v>
      </c>
      <c r="U9718" t="s">
        <v>55009</v>
      </c>
      <c r="W9718" t="s">
        <v>41157</v>
      </c>
      <c r="X9718" t="s">
        <v>44770</v>
      </c>
    </row>
    <row r="9719" spans="1:24">
      <c r="A9719">
        <f>HYPERLINK("https://www.philgeps.gov.ph/GEPSNONPILOT/Tender/SplashBidNoticeAbstractUI.aspx?menuIndex=3&amp;refID=7138185&amp;Result=3","7138185")</f>
        <v>0</v>
      </c>
      <c r="B9719" t="s">
        <v>1491</v>
      </c>
      <c r="C9719" t="s">
        <v>12979</v>
      </c>
      <c r="D9719" t="s">
        <v>17968</v>
      </c>
      <c r="E9719" t="s">
        <v>26473</v>
      </c>
      <c r="F9719" t="s">
        <v>30900</v>
      </c>
      <c r="G9719" t="s">
        <v>30907</v>
      </c>
      <c r="H9719" t="s">
        <v>30915</v>
      </c>
      <c r="I9719" t="s">
        <v>30919</v>
      </c>
      <c r="J9719" t="s">
        <v>37116</v>
      </c>
      <c r="K9719" t="s">
        <v>40280</v>
      </c>
      <c r="M9719" t="s">
        <v>42129</v>
      </c>
      <c r="N9719" t="s">
        <v>44759</v>
      </c>
      <c r="O9719" t="s">
        <v>44760</v>
      </c>
      <c r="P9719">
        <v>0</v>
      </c>
      <c r="Q9719">
        <v>0</v>
      </c>
      <c r="R9719" t="s">
        <v>44769</v>
      </c>
      <c r="S9719" t="s">
        <v>45044</v>
      </c>
      <c r="T9719" t="s">
        <v>46411</v>
      </c>
      <c r="U9719" t="s">
        <v>55010</v>
      </c>
      <c r="W9719" t="s">
        <v>60863</v>
      </c>
      <c r="X9719" t="s">
        <v>44770</v>
      </c>
    </row>
    <row r="9720" spans="1:24">
      <c r="A9720">
        <f>HYPERLINK("https://www.philgeps.gov.ph/GEPSNONPILOT/Tender/SplashBidNoticeAbstractUI.aspx?menuIndex=3&amp;refID=7138149&amp;Result=3","7138149")</f>
        <v>0</v>
      </c>
      <c r="B9720" t="s">
        <v>3042</v>
      </c>
      <c r="C9720" t="s">
        <v>12980</v>
      </c>
      <c r="D9720" t="s">
        <v>17978</v>
      </c>
      <c r="E9720" t="s">
        <v>18935</v>
      </c>
      <c r="F9720" t="s">
        <v>30900</v>
      </c>
      <c r="G9720" t="s">
        <v>30907</v>
      </c>
      <c r="H9720" t="s">
        <v>30915</v>
      </c>
      <c r="I9720" t="s">
        <v>30919</v>
      </c>
      <c r="J9720" t="s">
        <v>37117</v>
      </c>
      <c r="K9720" t="s">
        <v>40286</v>
      </c>
      <c r="M9720" t="s">
        <v>43852</v>
      </c>
      <c r="N9720" t="s">
        <v>44759</v>
      </c>
      <c r="O9720" t="s">
        <v>44760</v>
      </c>
      <c r="P9720">
        <v>0</v>
      </c>
      <c r="Q9720">
        <v>2</v>
      </c>
      <c r="R9720" t="s">
        <v>44769</v>
      </c>
      <c r="S9720" t="s">
        <v>45044</v>
      </c>
      <c r="T9720" t="s">
        <v>46472</v>
      </c>
      <c r="U9720" t="s">
        <v>55011</v>
      </c>
      <c r="V9720" t="s">
        <v>60183</v>
      </c>
      <c r="W9720" t="s">
        <v>43852</v>
      </c>
      <c r="X9720" t="s">
        <v>44770</v>
      </c>
    </row>
    <row r="9721" spans="1:24">
      <c r="A9721">
        <f>HYPERLINK("https://www.philgeps.gov.ph/GEPSNONPILOT/Tender/SplashBidNoticeAbstractUI.aspx?menuIndex=3&amp;refID=7138020&amp;Result=3","7138020")</f>
        <v>0</v>
      </c>
      <c r="B9721" t="s">
        <v>3043</v>
      </c>
      <c r="C9721" t="s">
        <v>12981</v>
      </c>
      <c r="D9721" t="s">
        <v>17978</v>
      </c>
      <c r="E9721" t="s">
        <v>26474</v>
      </c>
      <c r="F9721" t="s">
        <v>30900</v>
      </c>
      <c r="G9721" t="s">
        <v>30907</v>
      </c>
      <c r="H9721" t="s">
        <v>30915</v>
      </c>
      <c r="I9721" t="s">
        <v>30919</v>
      </c>
      <c r="J9721" t="s">
        <v>37118</v>
      </c>
      <c r="K9721" t="s">
        <v>40293</v>
      </c>
      <c r="M9721" t="s">
        <v>43853</v>
      </c>
      <c r="N9721" t="s">
        <v>44759</v>
      </c>
      <c r="O9721" t="s">
        <v>44760</v>
      </c>
      <c r="P9721">
        <v>0</v>
      </c>
      <c r="Q9721">
        <v>1</v>
      </c>
      <c r="R9721" t="s">
        <v>44769</v>
      </c>
      <c r="S9721" t="s">
        <v>45044</v>
      </c>
      <c r="T9721" t="s">
        <v>46544</v>
      </c>
      <c r="U9721" t="s">
        <v>55012</v>
      </c>
      <c r="V9721" t="s">
        <v>59692</v>
      </c>
      <c r="W9721" t="s">
        <v>43853</v>
      </c>
      <c r="X9721" t="s">
        <v>44770</v>
      </c>
    </row>
    <row r="9722" spans="1:24">
      <c r="A9722">
        <f>HYPERLINK("https://www.philgeps.gov.ph/GEPSNONPILOT/Tender/SplashBidNoticeAbstractUI.aspx?menuIndex=3&amp;refID=7138145&amp;Result=3","7138145")</f>
        <v>0</v>
      </c>
      <c r="B9722" t="s">
        <v>860</v>
      </c>
      <c r="C9722" t="s">
        <v>12982</v>
      </c>
      <c r="D9722" t="s">
        <v>17959</v>
      </c>
      <c r="E9722" t="s">
        <v>26475</v>
      </c>
      <c r="F9722" t="s">
        <v>30900</v>
      </c>
      <c r="G9722" t="s">
        <v>30907</v>
      </c>
      <c r="H9722" t="s">
        <v>30916</v>
      </c>
      <c r="I9722" t="s">
        <v>8123</v>
      </c>
      <c r="J9722" t="s">
        <v>37119</v>
      </c>
      <c r="K9722" t="s">
        <v>40289</v>
      </c>
      <c r="M9722" t="s">
        <v>41433</v>
      </c>
      <c r="N9722" t="s">
        <v>44759</v>
      </c>
      <c r="O9722" t="s">
        <v>44760</v>
      </c>
      <c r="P9722">
        <v>0</v>
      </c>
      <c r="Q9722">
        <v>1</v>
      </c>
      <c r="R9722" t="s">
        <v>44769</v>
      </c>
      <c r="S9722" t="s">
        <v>45044</v>
      </c>
      <c r="T9722" t="s">
        <v>46549</v>
      </c>
      <c r="U9722" t="s">
        <v>55013</v>
      </c>
      <c r="W9722" t="s">
        <v>41433</v>
      </c>
      <c r="X9722" t="s">
        <v>44770</v>
      </c>
    </row>
    <row r="9723" spans="1:24">
      <c r="A9723">
        <f>HYPERLINK("https://www.philgeps.gov.ph/GEPSNONPILOT/Tender/SplashBidNoticeAbstractUI.aspx?menuIndex=3&amp;refID=7138137&amp;Result=3","7138137")</f>
        <v>0</v>
      </c>
      <c r="B9723" t="s">
        <v>3037</v>
      </c>
      <c r="C9723" t="s">
        <v>12983</v>
      </c>
      <c r="D9723" t="s">
        <v>17975</v>
      </c>
      <c r="E9723" t="s">
        <v>26476</v>
      </c>
      <c r="F9723" t="s">
        <v>30900</v>
      </c>
      <c r="G9723" t="s">
        <v>30909</v>
      </c>
      <c r="H9723" t="s">
        <v>30916</v>
      </c>
      <c r="I9723" t="s">
        <v>6953</v>
      </c>
      <c r="J9723" t="s">
        <v>37120</v>
      </c>
      <c r="K9723" t="s">
        <v>40287</v>
      </c>
      <c r="M9723" t="s">
        <v>43847</v>
      </c>
      <c r="N9723" t="s">
        <v>44759</v>
      </c>
      <c r="O9723" t="s">
        <v>44760</v>
      </c>
      <c r="P9723">
        <v>0</v>
      </c>
      <c r="Q9723">
        <v>1</v>
      </c>
      <c r="R9723" t="s">
        <v>44769</v>
      </c>
      <c r="S9723" t="s">
        <v>45044</v>
      </c>
      <c r="T9723" t="s">
        <v>46409</v>
      </c>
      <c r="U9723" t="s">
        <v>55014</v>
      </c>
      <c r="W9723" t="s">
        <v>43847</v>
      </c>
      <c r="X9723" t="s">
        <v>44770</v>
      </c>
    </row>
    <row r="9724" spans="1:24">
      <c r="A9724">
        <f>HYPERLINK("https://www.philgeps.gov.ph/GEPSNONPILOT/Tender/SplashBidNoticeAbstractUI.aspx?menuIndex=3&amp;refID=7138136&amp;Result=3","7138136")</f>
        <v>0</v>
      </c>
      <c r="B9724" t="s">
        <v>2144</v>
      </c>
      <c r="C9724" t="s">
        <v>12984</v>
      </c>
      <c r="D9724" t="s">
        <v>17957</v>
      </c>
      <c r="E9724" t="s">
        <v>26477</v>
      </c>
      <c r="F9724" t="s">
        <v>30900</v>
      </c>
      <c r="G9724" t="s">
        <v>30907</v>
      </c>
      <c r="H9724" t="s">
        <v>30916</v>
      </c>
      <c r="I9724" t="s">
        <v>4050</v>
      </c>
      <c r="J9724" t="s">
        <v>31653</v>
      </c>
      <c r="K9724" t="s">
        <v>40286</v>
      </c>
      <c r="M9724" t="s">
        <v>42847</v>
      </c>
      <c r="N9724" t="s">
        <v>44759</v>
      </c>
      <c r="O9724" t="s">
        <v>44760</v>
      </c>
      <c r="P9724">
        <v>0</v>
      </c>
      <c r="Q9724">
        <v>0</v>
      </c>
      <c r="R9724" t="s">
        <v>44769</v>
      </c>
      <c r="S9724" t="s">
        <v>45044</v>
      </c>
      <c r="T9724" t="s">
        <v>46544</v>
      </c>
      <c r="U9724" t="s">
        <v>55015</v>
      </c>
      <c r="W9724" t="s">
        <v>42847</v>
      </c>
      <c r="X9724" t="s">
        <v>44770</v>
      </c>
    </row>
    <row r="9725" spans="1:24">
      <c r="A9725">
        <f>HYPERLINK("https://www.philgeps.gov.ph/GEPSNONPILOT/Tender/SplashBidNoticeAbstractUI.aspx?menuIndex=3&amp;refID=7138129&amp;Result=3","7138129")</f>
        <v>0</v>
      </c>
      <c r="B9725" t="s">
        <v>3044</v>
      </c>
      <c r="C9725" t="s">
        <v>12985</v>
      </c>
      <c r="D9725" t="s">
        <v>17996</v>
      </c>
      <c r="E9725" t="s">
        <v>26478</v>
      </c>
      <c r="F9725" t="s">
        <v>30900</v>
      </c>
      <c r="G9725" t="s">
        <v>30907</v>
      </c>
      <c r="H9725" t="s">
        <v>30915</v>
      </c>
      <c r="I9725" t="s">
        <v>30919</v>
      </c>
      <c r="J9725" t="s">
        <v>37121</v>
      </c>
      <c r="K9725" t="s">
        <v>40303</v>
      </c>
      <c r="M9725" t="s">
        <v>43854</v>
      </c>
      <c r="N9725" t="s">
        <v>44759</v>
      </c>
      <c r="O9725" t="s">
        <v>44760</v>
      </c>
      <c r="P9725">
        <v>0</v>
      </c>
      <c r="Q9725">
        <v>5</v>
      </c>
      <c r="R9725" t="s">
        <v>44769</v>
      </c>
      <c r="S9725" t="s">
        <v>45044</v>
      </c>
      <c r="T9725" t="s">
        <v>46539</v>
      </c>
      <c r="U9725" t="s">
        <v>55016</v>
      </c>
      <c r="W9725" t="s">
        <v>43854</v>
      </c>
      <c r="X9725" t="s">
        <v>44770</v>
      </c>
    </row>
    <row r="9726" spans="1:24">
      <c r="A9726">
        <f>HYPERLINK("https://www.philgeps.gov.ph/GEPSNONPILOT/Tender/SplashBidNoticeAbstractUI.aspx?menuIndex=3&amp;refID=7138120&amp;Result=3","7138120")</f>
        <v>0</v>
      </c>
      <c r="B9726" t="s">
        <v>3037</v>
      </c>
      <c r="C9726" t="s">
        <v>12986</v>
      </c>
      <c r="D9726" t="s">
        <v>17975</v>
      </c>
      <c r="E9726" t="s">
        <v>26479</v>
      </c>
      <c r="F9726" t="s">
        <v>30900</v>
      </c>
      <c r="G9726" t="s">
        <v>30909</v>
      </c>
      <c r="H9726" t="s">
        <v>30916</v>
      </c>
      <c r="I9726" t="s">
        <v>4142</v>
      </c>
      <c r="J9726" t="s">
        <v>37122</v>
      </c>
      <c r="K9726" t="s">
        <v>40287</v>
      </c>
      <c r="M9726" t="s">
        <v>43847</v>
      </c>
      <c r="N9726" t="s">
        <v>44759</v>
      </c>
      <c r="O9726" t="s">
        <v>44760</v>
      </c>
      <c r="P9726">
        <v>0</v>
      </c>
      <c r="Q9726">
        <v>5</v>
      </c>
      <c r="R9726" t="s">
        <v>44769</v>
      </c>
      <c r="S9726" t="s">
        <v>45044</v>
      </c>
      <c r="T9726" t="s">
        <v>46409</v>
      </c>
      <c r="U9726" t="s">
        <v>55017</v>
      </c>
      <c r="W9726" t="s">
        <v>43847</v>
      </c>
      <c r="X9726" t="s">
        <v>44770</v>
      </c>
    </row>
    <row r="9727" spans="1:24">
      <c r="A9727">
        <f>HYPERLINK("https://www.philgeps.gov.ph/GEPSNONPILOT/Tender/SplashBidNoticeAbstractUI.aspx?menuIndex=3&amp;refID=7138091&amp;Result=3","7138091")</f>
        <v>0</v>
      </c>
      <c r="B9727" t="s">
        <v>860</v>
      </c>
      <c r="C9727" t="s">
        <v>12987</v>
      </c>
      <c r="D9727" t="s">
        <v>17959</v>
      </c>
      <c r="E9727" t="s">
        <v>26480</v>
      </c>
      <c r="F9727" t="s">
        <v>30900</v>
      </c>
      <c r="G9727" t="s">
        <v>30907</v>
      </c>
      <c r="H9727" t="s">
        <v>30916</v>
      </c>
      <c r="I9727" t="s">
        <v>30924</v>
      </c>
      <c r="J9727" t="s">
        <v>37123</v>
      </c>
      <c r="K9727" t="s">
        <v>40289</v>
      </c>
      <c r="M9727" t="s">
        <v>41433</v>
      </c>
      <c r="N9727" t="s">
        <v>44759</v>
      </c>
      <c r="O9727" t="s">
        <v>44760</v>
      </c>
      <c r="P9727">
        <v>0</v>
      </c>
      <c r="Q9727">
        <v>22</v>
      </c>
      <c r="R9727" t="s">
        <v>44769</v>
      </c>
      <c r="S9727" t="s">
        <v>45044</v>
      </c>
      <c r="T9727" t="s">
        <v>46549</v>
      </c>
      <c r="U9727" t="s">
        <v>55018</v>
      </c>
      <c r="W9727" t="s">
        <v>41433</v>
      </c>
      <c r="X9727" t="s">
        <v>44770</v>
      </c>
    </row>
    <row r="9728" spans="1:24">
      <c r="A9728">
        <f>HYPERLINK("https://www.philgeps.gov.ph/GEPSNONPILOT/Tender/SplashBidNoticeAbstractUI.aspx?menuIndex=3&amp;refID=7138090&amp;Result=3","7138090")</f>
        <v>0</v>
      </c>
      <c r="B9728" t="s">
        <v>3045</v>
      </c>
      <c r="C9728" t="s">
        <v>12988</v>
      </c>
      <c r="D9728" t="s">
        <v>17989</v>
      </c>
      <c r="E9728" t="s">
        <v>19555</v>
      </c>
      <c r="F9728" t="s">
        <v>30900</v>
      </c>
      <c r="G9728" t="s">
        <v>30907</v>
      </c>
      <c r="H9728" t="s">
        <v>30915</v>
      </c>
      <c r="I9728" t="s">
        <v>30919</v>
      </c>
      <c r="J9728" t="s">
        <v>37124</v>
      </c>
      <c r="K9728" t="s">
        <v>40289</v>
      </c>
      <c r="M9728" t="s">
        <v>43855</v>
      </c>
      <c r="N9728" t="s">
        <v>44759</v>
      </c>
      <c r="O9728" t="s">
        <v>44760</v>
      </c>
      <c r="P9728">
        <v>0</v>
      </c>
      <c r="Q9728">
        <v>0</v>
      </c>
      <c r="R9728" t="s">
        <v>44769</v>
      </c>
      <c r="S9728" t="s">
        <v>45044</v>
      </c>
      <c r="T9728" t="s">
        <v>46553</v>
      </c>
      <c r="U9728" t="s">
        <v>55019</v>
      </c>
      <c r="W9728" t="s">
        <v>43855</v>
      </c>
      <c r="X9728" t="s">
        <v>44770</v>
      </c>
    </row>
    <row r="9729" spans="1:24">
      <c r="A9729">
        <f>HYPERLINK("https://www.philgeps.gov.ph/GEPSNONPILOT/Tender/SplashBidNoticeAbstractUI.aspx?menuIndex=3&amp;refID=7138013&amp;Result=3","7138013")</f>
        <v>0</v>
      </c>
      <c r="B9729" t="s">
        <v>1627</v>
      </c>
      <c r="C9729" t="s">
        <v>12989</v>
      </c>
      <c r="D9729" t="s">
        <v>17978</v>
      </c>
      <c r="E9729" t="s">
        <v>26481</v>
      </c>
      <c r="F9729" t="s">
        <v>30900</v>
      </c>
      <c r="G9729" t="s">
        <v>30906</v>
      </c>
      <c r="H9729" t="s">
        <v>30916</v>
      </c>
      <c r="I9729" t="s">
        <v>4545</v>
      </c>
      <c r="J9729" t="s">
        <v>37125</v>
      </c>
      <c r="K9729" t="s">
        <v>40280</v>
      </c>
      <c r="M9729" t="s">
        <v>42279</v>
      </c>
      <c r="N9729" t="s">
        <v>44759</v>
      </c>
      <c r="O9729" t="s">
        <v>44760</v>
      </c>
      <c r="P9729">
        <v>0</v>
      </c>
      <c r="Q9729">
        <v>3</v>
      </c>
      <c r="R9729" t="s">
        <v>44769</v>
      </c>
      <c r="S9729" t="s">
        <v>45044</v>
      </c>
      <c r="T9729" t="s">
        <v>46472</v>
      </c>
      <c r="U9729" t="s">
        <v>55020</v>
      </c>
      <c r="W9729" t="s">
        <v>42279</v>
      </c>
      <c r="X9729" t="s">
        <v>44770</v>
      </c>
    </row>
    <row r="9730" spans="1:24">
      <c r="A9730">
        <f>HYPERLINK("https://www.philgeps.gov.ph/GEPSNONPILOT/Tender/SplashBidNoticeAbstractUI.aspx?menuIndex=3&amp;refID=7137957&amp;Result=3","7137957")</f>
        <v>0</v>
      </c>
      <c r="B9730" t="s">
        <v>2976</v>
      </c>
      <c r="C9730" t="s">
        <v>12990</v>
      </c>
      <c r="D9730" t="s">
        <v>18002</v>
      </c>
      <c r="E9730" t="s">
        <v>26482</v>
      </c>
      <c r="F9730" t="s">
        <v>30900</v>
      </c>
      <c r="G9730" t="s">
        <v>30907</v>
      </c>
      <c r="H9730" t="s">
        <v>30916</v>
      </c>
      <c r="I9730" t="s">
        <v>4017</v>
      </c>
      <c r="J9730" t="s">
        <v>37126</v>
      </c>
      <c r="K9730" t="s">
        <v>40280</v>
      </c>
      <c r="M9730" t="s">
        <v>43778</v>
      </c>
      <c r="N9730" t="s">
        <v>44759</v>
      </c>
      <c r="O9730" t="s">
        <v>44760</v>
      </c>
      <c r="Q9730">
        <v>17</v>
      </c>
      <c r="R9730" t="s">
        <v>44769</v>
      </c>
      <c r="S9730" t="s">
        <v>45094</v>
      </c>
      <c r="T9730" t="s">
        <v>46472</v>
      </c>
      <c r="U9730" t="s">
        <v>55021</v>
      </c>
      <c r="W9730" t="s">
        <v>43778</v>
      </c>
      <c r="X9730" t="s">
        <v>44770</v>
      </c>
    </row>
    <row r="9731" spans="1:24">
      <c r="A9731">
        <f>HYPERLINK("https://www.philgeps.gov.ph/GEPSNONPILOT/Tender/SplashBidNoticeAbstractUI.aspx?menuIndex=3&amp;refID=7137956&amp;Result=3","7137956")</f>
        <v>0</v>
      </c>
      <c r="B9731" t="s">
        <v>3022</v>
      </c>
      <c r="C9731" t="s">
        <v>12991</v>
      </c>
      <c r="D9731" t="s">
        <v>17985</v>
      </c>
      <c r="E9731" t="s">
        <v>26483</v>
      </c>
      <c r="F9731" t="s">
        <v>30900</v>
      </c>
      <c r="G9731" t="s">
        <v>30913</v>
      </c>
      <c r="H9731" t="s">
        <v>30915</v>
      </c>
      <c r="I9731" t="s">
        <v>30919</v>
      </c>
      <c r="J9731" t="s">
        <v>37127</v>
      </c>
      <c r="K9731" t="s">
        <v>40286</v>
      </c>
      <c r="M9731" t="s">
        <v>43830</v>
      </c>
      <c r="N9731" t="s">
        <v>44759</v>
      </c>
      <c r="O9731" t="s">
        <v>44760</v>
      </c>
      <c r="P9731">
        <v>0</v>
      </c>
      <c r="Q9731">
        <v>0</v>
      </c>
      <c r="R9731" t="s">
        <v>44769</v>
      </c>
      <c r="S9731" t="s">
        <v>45044</v>
      </c>
      <c r="T9731" t="s">
        <v>46411</v>
      </c>
      <c r="U9731" t="s">
        <v>55022</v>
      </c>
      <c r="W9731" t="s">
        <v>43830</v>
      </c>
      <c r="X9731" t="s">
        <v>44770</v>
      </c>
    </row>
    <row r="9732" spans="1:24">
      <c r="A9732">
        <f>HYPERLINK("https://www.philgeps.gov.ph/GEPSNONPILOT/Tender/SplashBidNoticeAbstractUI.aspx?menuIndex=3&amp;refID=7138161&amp;Result=3","7138161")</f>
        <v>0</v>
      </c>
      <c r="B9732" t="s">
        <v>3037</v>
      </c>
      <c r="C9732" t="s">
        <v>12992</v>
      </c>
      <c r="D9732" t="s">
        <v>17975</v>
      </c>
      <c r="E9732" t="s">
        <v>26484</v>
      </c>
      <c r="F9732" t="s">
        <v>30900</v>
      </c>
      <c r="G9732" t="s">
        <v>30909</v>
      </c>
      <c r="H9732" t="s">
        <v>30916</v>
      </c>
      <c r="I9732" t="s">
        <v>6953</v>
      </c>
      <c r="J9732" t="s">
        <v>37128</v>
      </c>
      <c r="K9732" t="s">
        <v>40287</v>
      </c>
      <c r="M9732" t="s">
        <v>43847</v>
      </c>
      <c r="N9732" t="s">
        <v>44759</v>
      </c>
      <c r="O9732" t="s">
        <v>44760</v>
      </c>
      <c r="P9732">
        <v>0</v>
      </c>
      <c r="Q9732">
        <v>0</v>
      </c>
      <c r="R9732" t="s">
        <v>44769</v>
      </c>
      <c r="S9732" t="s">
        <v>45044</v>
      </c>
      <c r="T9732" t="s">
        <v>46409</v>
      </c>
      <c r="U9732" t="s">
        <v>55023</v>
      </c>
      <c r="W9732" t="s">
        <v>43847</v>
      </c>
      <c r="X9732" t="s">
        <v>44770</v>
      </c>
    </row>
    <row r="9733" spans="1:24">
      <c r="A9733">
        <f>HYPERLINK("https://www.philgeps.gov.ph/GEPSNONPILOT/Tender/SplashBidNoticeAbstractUI.aspx?menuIndex=3&amp;refID=7137963&amp;Result=3","7137963")</f>
        <v>0</v>
      </c>
      <c r="B9733" t="s">
        <v>3026</v>
      </c>
      <c r="C9733" t="s">
        <v>12993</v>
      </c>
      <c r="D9733" t="s">
        <v>17996</v>
      </c>
      <c r="E9733" t="s">
        <v>26485</v>
      </c>
      <c r="F9733" t="s">
        <v>30900</v>
      </c>
      <c r="G9733" t="s">
        <v>30907</v>
      </c>
      <c r="H9733" t="s">
        <v>30916</v>
      </c>
      <c r="I9733" t="s">
        <v>9385</v>
      </c>
      <c r="J9733" t="s">
        <v>37129</v>
      </c>
      <c r="K9733" t="s">
        <v>40280</v>
      </c>
      <c r="M9733" t="s">
        <v>43835</v>
      </c>
      <c r="N9733" t="s">
        <v>44759</v>
      </c>
      <c r="O9733" t="s">
        <v>44760</v>
      </c>
      <c r="P9733">
        <v>0</v>
      </c>
      <c r="Q9733">
        <v>49</v>
      </c>
      <c r="R9733" t="s">
        <v>44769</v>
      </c>
      <c r="S9733" t="s">
        <v>45044</v>
      </c>
      <c r="T9733" t="s">
        <v>46366</v>
      </c>
      <c r="U9733" t="s">
        <v>54961</v>
      </c>
      <c r="W9733" t="s">
        <v>43835</v>
      </c>
      <c r="X9733" t="s">
        <v>44770</v>
      </c>
    </row>
    <row r="9734" spans="1:24">
      <c r="A9734">
        <f>HYPERLINK("https://www.philgeps.gov.ph/GEPSNONPILOT/Tender/SplashBidNoticeAbstractUI.aspx?menuIndex=3&amp;refID=7138252&amp;Result=3","7138252")</f>
        <v>0</v>
      </c>
      <c r="B9734" t="s">
        <v>2494</v>
      </c>
      <c r="C9734" t="s">
        <v>12994</v>
      </c>
      <c r="D9734" t="s">
        <v>17971</v>
      </c>
      <c r="E9734" t="s">
        <v>24258</v>
      </c>
      <c r="F9734" t="s">
        <v>30900</v>
      </c>
      <c r="G9734" t="s">
        <v>30907</v>
      </c>
      <c r="H9734" t="s">
        <v>30916</v>
      </c>
      <c r="I9734" t="s">
        <v>30949</v>
      </c>
      <c r="J9734" t="s">
        <v>37130</v>
      </c>
      <c r="K9734" t="s">
        <v>40285</v>
      </c>
      <c r="M9734" t="s">
        <v>43236</v>
      </c>
      <c r="N9734" t="s">
        <v>44759</v>
      </c>
      <c r="O9734" t="s">
        <v>44760</v>
      </c>
      <c r="P9734">
        <v>0</v>
      </c>
      <c r="Q9734">
        <v>3</v>
      </c>
      <c r="R9734" t="s">
        <v>44769</v>
      </c>
      <c r="S9734" t="s">
        <v>45044</v>
      </c>
      <c r="T9734" t="s">
        <v>46411</v>
      </c>
      <c r="U9734" t="s">
        <v>55024</v>
      </c>
      <c r="V9734" t="s">
        <v>60184</v>
      </c>
      <c r="W9734" t="s">
        <v>43236</v>
      </c>
      <c r="X9734" t="s">
        <v>44770</v>
      </c>
    </row>
    <row r="9735" spans="1:24">
      <c r="A9735">
        <f>HYPERLINK("https://www.philgeps.gov.ph/GEPSNONPILOT/Tender/SplashBidNoticeAbstractUI.aspx?menuIndex=3&amp;refID=7138267&amp;Result=3","7138267")</f>
        <v>0</v>
      </c>
      <c r="B9735" t="s">
        <v>3046</v>
      </c>
      <c r="C9735" t="s">
        <v>12995</v>
      </c>
      <c r="D9735" t="s">
        <v>18017</v>
      </c>
      <c r="E9735" t="s">
        <v>22304</v>
      </c>
      <c r="F9735" t="s">
        <v>30900</v>
      </c>
      <c r="G9735" t="s">
        <v>30907</v>
      </c>
      <c r="H9735" t="s">
        <v>30915</v>
      </c>
      <c r="I9735" t="s">
        <v>30919</v>
      </c>
      <c r="J9735" t="s">
        <v>31412</v>
      </c>
      <c r="K9735" t="s">
        <v>40349</v>
      </c>
      <c r="M9735" t="s">
        <v>43856</v>
      </c>
      <c r="N9735" t="s">
        <v>44759</v>
      </c>
      <c r="O9735" t="s">
        <v>44760</v>
      </c>
      <c r="P9735">
        <v>0</v>
      </c>
      <c r="Q9735">
        <v>0</v>
      </c>
      <c r="R9735" t="s">
        <v>44769</v>
      </c>
      <c r="S9735" t="s">
        <v>45044</v>
      </c>
      <c r="T9735" t="s">
        <v>46418</v>
      </c>
      <c r="U9735" t="s">
        <v>55025</v>
      </c>
      <c r="W9735" t="s">
        <v>43856</v>
      </c>
      <c r="X9735" t="s">
        <v>44770</v>
      </c>
    </row>
    <row r="9736" spans="1:24">
      <c r="A9736">
        <f>HYPERLINK("https://www.philgeps.gov.ph/GEPSNONPILOT/Tender/SplashBidNoticeAbstractUI.aspx?menuIndex=3&amp;refID=7138130&amp;Result=3","7138130")</f>
        <v>0</v>
      </c>
      <c r="B9736" t="s">
        <v>430</v>
      </c>
      <c r="C9736" t="s">
        <v>12996</v>
      </c>
      <c r="D9736" t="s">
        <v>18000</v>
      </c>
      <c r="E9736" t="s">
        <v>26486</v>
      </c>
      <c r="F9736" t="s">
        <v>30899</v>
      </c>
      <c r="G9736" t="s">
        <v>30907</v>
      </c>
      <c r="H9736" t="s">
        <v>30915</v>
      </c>
      <c r="I9736" t="s">
        <v>30919</v>
      </c>
      <c r="J9736" t="s">
        <v>31297</v>
      </c>
      <c r="K9736" t="s">
        <v>40292</v>
      </c>
      <c r="M9736" t="s">
        <v>40987</v>
      </c>
      <c r="N9736" t="s">
        <v>44759</v>
      </c>
      <c r="O9736" t="s">
        <v>44760</v>
      </c>
      <c r="P9736">
        <v>0</v>
      </c>
      <c r="Q9736">
        <v>0</v>
      </c>
      <c r="R9736" t="s">
        <v>44769</v>
      </c>
      <c r="S9736" t="s">
        <v>45044</v>
      </c>
      <c r="T9736" t="s">
        <v>46552</v>
      </c>
      <c r="U9736" t="s">
        <v>55026</v>
      </c>
      <c r="V9736" t="s">
        <v>60185</v>
      </c>
      <c r="W9736" t="s">
        <v>40987</v>
      </c>
      <c r="X9736" t="s">
        <v>44770</v>
      </c>
    </row>
    <row r="9737" spans="1:24">
      <c r="A9737">
        <f>HYPERLINK("https://www.philgeps.gov.ph/GEPSNONPILOT/Tender/SplashBidNoticeAbstractUI.aspx?menuIndex=3&amp;refID=7137857&amp;Result=3","7137857")</f>
        <v>0</v>
      </c>
      <c r="B9737" t="s">
        <v>2672</v>
      </c>
      <c r="C9737" t="s">
        <v>12997</v>
      </c>
      <c r="D9737" t="s">
        <v>17998</v>
      </c>
      <c r="E9737" t="s">
        <v>26487</v>
      </c>
      <c r="F9737" t="s">
        <v>30900</v>
      </c>
      <c r="G9737" t="s">
        <v>30907</v>
      </c>
      <c r="H9737" t="s">
        <v>30916</v>
      </c>
      <c r="I9737" t="s">
        <v>30947</v>
      </c>
      <c r="J9737" t="s">
        <v>37131</v>
      </c>
      <c r="K9737" t="s">
        <v>40284</v>
      </c>
      <c r="M9737" t="s">
        <v>43442</v>
      </c>
      <c r="N9737" t="s">
        <v>44759</v>
      </c>
      <c r="O9737" t="s">
        <v>44760</v>
      </c>
      <c r="P9737">
        <v>0</v>
      </c>
      <c r="Q9737">
        <v>2</v>
      </c>
      <c r="R9737" t="s">
        <v>44769</v>
      </c>
      <c r="S9737" t="s">
        <v>45044</v>
      </c>
      <c r="T9737" t="s">
        <v>46531</v>
      </c>
      <c r="U9737" t="s">
        <v>55027</v>
      </c>
      <c r="W9737" t="s">
        <v>43442</v>
      </c>
      <c r="X9737" t="s">
        <v>44770</v>
      </c>
    </row>
    <row r="9738" spans="1:24">
      <c r="A9738">
        <f>HYPERLINK("https://www.philgeps.gov.ph/GEPSNONPILOT/Tender/SplashBidNoticeAbstractUI.aspx?menuIndex=3&amp;refID=7138093&amp;Result=3","7138093")</f>
        <v>0</v>
      </c>
      <c r="B9738" t="s">
        <v>3037</v>
      </c>
      <c r="C9738" t="s">
        <v>12998</v>
      </c>
      <c r="D9738" t="s">
        <v>17975</v>
      </c>
      <c r="E9738" t="s">
        <v>26488</v>
      </c>
      <c r="F9738" t="s">
        <v>30900</v>
      </c>
      <c r="G9738" t="s">
        <v>30909</v>
      </c>
      <c r="H9738" t="s">
        <v>30916</v>
      </c>
      <c r="I9738" t="s">
        <v>8123</v>
      </c>
      <c r="J9738" t="s">
        <v>37132</v>
      </c>
      <c r="K9738" t="s">
        <v>40287</v>
      </c>
      <c r="M9738" t="s">
        <v>43847</v>
      </c>
      <c r="N9738" t="s">
        <v>44759</v>
      </c>
      <c r="O9738" t="s">
        <v>44760</v>
      </c>
      <c r="P9738">
        <v>0</v>
      </c>
      <c r="Q9738">
        <v>1</v>
      </c>
      <c r="R9738" t="s">
        <v>44769</v>
      </c>
      <c r="S9738" t="s">
        <v>45044</v>
      </c>
      <c r="T9738" t="s">
        <v>46409</v>
      </c>
      <c r="U9738" t="s">
        <v>55028</v>
      </c>
      <c r="W9738" t="s">
        <v>43847</v>
      </c>
      <c r="X9738" t="s">
        <v>44770</v>
      </c>
    </row>
    <row r="9739" spans="1:24">
      <c r="A9739">
        <f>HYPERLINK("https://www.philgeps.gov.ph/GEPSNONPILOT/Tender/SplashBidNoticeAbstractUI.aspx?menuIndex=3&amp;refID=7138265&amp;Result=3","7138265")</f>
        <v>0</v>
      </c>
      <c r="B9739" t="s">
        <v>3044</v>
      </c>
      <c r="C9739" t="s">
        <v>12999</v>
      </c>
      <c r="D9739" t="s">
        <v>17996</v>
      </c>
      <c r="E9739" t="s">
        <v>26489</v>
      </c>
      <c r="F9739" t="s">
        <v>30900</v>
      </c>
      <c r="G9739" t="s">
        <v>30907</v>
      </c>
      <c r="H9739" t="s">
        <v>30915</v>
      </c>
      <c r="I9739" t="s">
        <v>30919</v>
      </c>
      <c r="J9739" t="s">
        <v>37022</v>
      </c>
      <c r="K9739" t="s">
        <v>40300</v>
      </c>
      <c r="M9739" t="s">
        <v>43854</v>
      </c>
      <c r="N9739" t="s">
        <v>44759</v>
      </c>
      <c r="O9739" t="s">
        <v>44760</v>
      </c>
      <c r="P9739">
        <v>0</v>
      </c>
      <c r="Q9739">
        <v>4</v>
      </c>
      <c r="R9739" t="s">
        <v>44769</v>
      </c>
      <c r="S9739" t="s">
        <v>45044</v>
      </c>
      <c r="T9739" t="s">
        <v>46539</v>
      </c>
      <c r="U9739" t="s">
        <v>55029</v>
      </c>
      <c r="W9739" t="s">
        <v>43854</v>
      </c>
      <c r="X9739" t="s">
        <v>44770</v>
      </c>
    </row>
    <row r="9740" spans="1:24">
      <c r="A9740">
        <f>HYPERLINK("https://www.philgeps.gov.ph/GEPSNONPILOT/Tender/SplashBidNoticeAbstractUI.aspx?menuIndex=3&amp;refID=7138197&amp;Result=3","7138197")</f>
        <v>0</v>
      </c>
      <c r="B9740" t="s">
        <v>3044</v>
      </c>
      <c r="C9740" t="s">
        <v>13000</v>
      </c>
      <c r="D9740" t="s">
        <v>17996</v>
      </c>
      <c r="E9740" t="s">
        <v>26490</v>
      </c>
      <c r="F9740" t="s">
        <v>30900</v>
      </c>
      <c r="G9740" t="s">
        <v>30907</v>
      </c>
      <c r="H9740" t="s">
        <v>30915</v>
      </c>
      <c r="I9740" t="s">
        <v>30919</v>
      </c>
      <c r="J9740" t="s">
        <v>34633</v>
      </c>
      <c r="K9740" t="s">
        <v>40286</v>
      </c>
      <c r="M9740" t="s">
        <v>43854</v>
      </c>
      <c r="N9740" t="s">
        <v>44759</v>
      </c>
      <c r="O9740" t="s">
        <v>44760</v>
      </c>
      <c r="P9740">
        <v>0</v>
      </c>
      <c r="Q9740">
        <v>4</v>
      </c>
      <c r="R9740" t="s">
        <v>44769</v>
      </c>
      <c r="S9740" t="s">
        <v>45044</v>
      </c>
      <c r="T9740" t="s">
        <v>46539</v>
      </c>
      <c r="U9740" t="s">
        <v>55030</v>
      </c>
      <c r="W9740" t="s">
        <v>43854</v>
      </c>
      <c r="X9740" t="s">
        <v>44770</v>
      </c>
    </row>
    <row r="9741" spans="1:24">
      <c r="A9741">
        <f>HYPERLINK("https://www.philgeps.gov.ph/GEPSNONPILOT/Tender/SplashBidNoticeAbstractUI.aspx?menuIndex=3&amp;refID=7138258&amp;Result=3","7138258")</f>
        <v>0</v>
      </c>
      <c r="B9741" t="s">
        <v>3037</v>
      </c>
      <c r="C9741" t="s">
        <v>13001</v>
      </c>
      <c r="D9741" t="s">
        <v>17975</v>
      </c>
      <c r="E9741" t="s">
        <v>26491</v>
      </c>
      <c r="F9741" t="s">
        <v>30900</v>
      </c>
      <c r="G9741" t="s">
        <v>30909</v>
      </c>
      <c r="H9741" t="s">
        <v>30916</v>
      </c>
      <c r="I9741" t="s">
        <v>4142</v>
      </c>
      <c r="J9741" t="s">
        <v>37133</v>
      </c>
      <c r="K9741" t="s">
        <v>40287</v>
      </c>
      <c r="M9741" t="s">
        <v>43847</v>
      </c>
      <c r="N9741" t="s">
        <v>44759</v>
      </c>
      <c r="O9741" t="s">
        <v>44760</v>
      </c>
      <c r="P9741">
        <v>0</v>
      </c>
      <c r="Q9741">
        <v>0</v>
      </c>
      <c r="R9741" t="s">
        <v>44769</v>
      </c>
      <c r="S9741" t="s">
        <v>45044</v>
      </c>
      <c r="T9741" t="s">
        <v>46409</v>
      </c>
      <c r="U9741" t="s">
        <v>55031</v>
      </c>
      <c r="W9741" t="s">
        <v>43847</v>
      </c>
      <c r="X9741" t="s">
        <v>44770</v>
      </c>
    </row>
    <row r="9742" spans="1:24">
      <c r="A9742">
        <f>HYPERLINK("https://www.philgeps.gov.ph/GEPSNONPILOT/Tender/SplashBidNoticeAbstractUI.aspx?menuIndex=3&amp;refID=7138249&amp;Result=3","7138249")</f>
        <v>0</v>
      </c>
      <c r="B9742" t="s">
        <v>3047</v>
      </c>
      <c r="C9742" t="s">
        <v>13002</v>
      </c>
      <c r="E9742" t="s">
        <v>26492</v>
      </c>
      <c r="F9742" t="s">
        <v>30900</v>
      </c>
      <c r="G9742" t="s">
        <v>30907</v>
      </c>
      <c r="H9742" t="s">
        <v>30915</v>
      </c>
      <c r="I9742" t="s">
        <v>30919</v>
      </c>
      <c r="J9742" t="s">
        <v>31243</v>
      </c>
      <c r="K9742" t="s">
        <v>40392</v>
      </c>
      <c r="M9742" t="s">
        <v>43857</v>
      </c>
      <c r="N9742" t="s">
        <v>44759</v>
      </c>
      <c r="O9742" t="s">
        <v>44760</v>
      </c>
      <c r="P9742">
        <v>0</v>
      </c>
      <c r="Q9742">
        <v>0</v>
      </c>
      <c r="R9742" t="s">
        <v>44769</v>
      </c>
      <c r="S9742" t="s">
        <v>45044</v>
      </c>
      <c r="T9742" t="s">
        <v>46495</v>
      </c>
      <c r="U9742" t="s">
        <v>55032</v>
      </c>
      <c r="W9742" t="s">
        <v>43857</v>
      </c>
      <c r="X9742" t="s">
        <v>44770</v>
      </c>
    </row>
    <row r="9743" spans="1:24">
      <c r="A9743">
        <f>HYPERLINK("https://www.philgeps.gov.ph/GEPSNONPILOT/Tender/SplashBidNoticeAbstractUI.aspx?menuIndex=3&amp;refID=7138246&amp;Result=3","7138246")</f>
        <v>0</v>
      </c>
      <c r="B9743" t="s">
        <v>3037</v>
      </c>
      <c r="C9743" t="s">
        <v>13003</v>
      </c>
      <c r="D9743" t="s">
        <v>17975</v>
      </c>
      <c r="E9743" t="s">
        <v>26493</v>
      </c>
      <c r="F9743" t="s">
        <v>30900</v>
      </c>
      <c r="G9743" t="s">
        <v>30909</v>
      </c>
      <c r="H9743" t="s">
        <v>30916</v>
      </c>
      <c r="I9743" t="s">
        <v>4142</v>
      </c>
      <c r="J9743" t="s">
        <v>31968</v>
      </c>
      <c r="K9743" t="s">
        <v>40287</v>
      </c>
      <c r="M9743" t="s">
        <v>43847</v>
      </c>
      <c r="N9743" t="s">
        <v>44759</v>
      </c>
      <c r="O9743" t="s">
        <v>44760</v>
      </c>
      <c r="P9743">
        <v>0</v>
      </c>
      <c r="Q9743">
        <v>0</v>
      </c>
      <c r="R9743" t="s">
        <v>44769</v>
      </c>
      <c r="S9743" t="s">
        <v>45044</v>
      </c>
      <c r="T9743" t="s">
        <v>46409</v>
      </c>
      <c r="U9743" t="s">
        <v>55033</v>
      </c>
      <c r="W9743" t="s">
        <v>43847</v>
      </c>
      <c r="X9743" t="s">
        <v>44770</v>
      </c>
    </row>
    <row r="9744" spans="1:24">
      <c r="A9744">
        <f>HYPERLINK("https://www.philgeps.gov.ph/GEPSNONPILOT/Tender/SplashBidNoticeAbstractUI.aspx?menuIndex=3&amp;refID=7138254&amp;Result=3","7138254")</f>
        <v>0</v>
      </c>
      <c r="B9744" t="s">
        <v>3048</v>
      </c>
      <c r="C9744" t="s">
        <v>13004</v>
      </c>
      <c r="D9744" t="s">
        <v>17974</v>
      </c>
      <c r="E9744" t="s">
        <v>23472</v>
      </c>
      <c r="F9744" t="s">
        <v>30900</v>
      </c>
      <c r="G9744" t="s">
        <v>30907</v>
      </c>
      <c r="H9744" t="s">
        <v>30915</v>
      </c>
      <c r="I9744" t="s">
        <v>30919</v>
      </c>
      <c r="J9744" t="s">
        <v>31066</v>
      </c>
      <c r="K9744" t="s">
        <v>40280</v>
      </c>
      <c r="M9744" t="s">
        <v>43858</v>
      </c>
      <c r="N9744" t="s">
        <v>44759</v>
      </c>
      <c r="O9744" t="s">
        <v>44760</v>
      </c>
      <c r="P9744">
        <v>0</v>
      </c>
      <c r="Q9744">
        <v>1</v>
      </c>
      <c r="R9744" t="s">
        <v>44769</v>
      </c>
      <c r="S9744" t="s">
        <v>45044</v>
      </c>
      <c r="T9744" t="s">
        <v>46658</v>
      </c>
      <c r="U9744" t="s">
        <v>55034</v>
      </c>
      <c r="V9744" t="s">
        <v>60047</v>
      </c>
      <c r="W9744" t="s">
        <v>43858</v>
      </c>
      <c r="X9744" t="s">
        <v>44770</v>
      </c>
    </row>
    <row r="9745" spans="1:24">
      <c r="A9745">
        <f>HYPERLINK("https://www.philgeps.gov.ph/GEPSNONPILOT/Tender/SplashBidNoticeAbstractUI.aspx?menuIndex=3&amp;refID=7138242&amp;Result=3","7138242")</f>
        <v>0</v>
      </c>
      <c r="B9745" t="s">
        <v>2166</v>
      </c>
      <c r="C9745" t="s">
        <v>13005</v>
      </c>
      <c r="D9745" t="s">
        <v>18002</v>
      </c>
      <c r="E9745" t="s">
        <v>26494</v>
      </c>
      <c r="F9745" t="s">
        <v>30900</v>
      </c>
      <c r="G9745" t="s">
        <v>30909</v>
      </c>
      <c r="H9745" t="s">
        <v>30916</v>
      </c>
      <c r="I9745" t="s">
        <v>10847</v>
      </c>
      <c r="J9745" t="s">
        <v>37134</v>
      </c>
      <c r="K9745" t="s">
        <v>40281</v>
      </c>
      <c r="M9745" t="s">
        <v>42871</v>
      </c>
      <c r="N9745" t="s">
        <v>44759</v>
      </c>
      <c r="O9745" t="s">
        <v>44760</v>
      </c>
      <c r="P9745">
        <v>0</v>
      </c>
      <c r="Q9745">
        <v>0</v>
      </c>
      <c r="R9745" t="s">
        <v>44769</v>
      </c>
      <c r="S9745" t="s">
        <v>45044</v>
      </c>
      <c r="T9745" t="s">
        <v>46374</v>
      </c>
      <c r="U9745" t="s">
        <v>55035</v>
      </c>
      <c r="W9745" t="s">
        <v>60882</v>
      </c>
      <c r="X9745" t="s">
        <v>44770</v>
      </c>
    </row>
    <row r="9746" spans="1:24">
      <c r="A9746">
        <f>HYPERLINK("https://www.philgeps.gov.ph/GEPSNONPILOT/Tender/SplashBidNoticeAbstractUI.aspx?menuIndex=3&amp;refID=7138221&amp;Result=3","7138221")</f>
        <v>0</v>
      </c>
      <c r="B9746" t="s">
        <v>3044</v>
      </c>
      <c r="C9746" t="s">
        <v>13006</v>
      </c>
      <c r="D9746" t="s">
        <v>17996</v>
      </c>
      <c r="E9746" t="s">
        <v>26495</v>
      </c>
      <c r="F9746" t="s">
        <v>30900</v>
      </c>
      <c r="G9746" t="s">
        <v>30907</v>
      </c>
      <c r="H9746" t="s">
        <v>30915</v>
      </c>
      <c r="I9746" t="s">
        <v>30919</v>
      </c>
      <c r="J9746" t="s">
        <v>32199</v>
      </c>
      <c r="K9746" t="s">
        <v>40343</v>
      </c>
      <c r="M9746" t="s">
        <v>43854</v>
      </c>
      <c r="N9746" t="s">
        <v>44759</v>
      </c>
      <c r="O9746" t="s">
        <v>44760</v>
      </c>
      <c r="P9746">
        <v>0</v>
      </c>
      <c r="Q9746">
        <v>4</v>
      </c>
      <c r="R9746" t="s">
        <v>44769</v>
      </c>
      <c r="S9746" t="s">
        <v>45044</v>
      </c>
      <c r="T9746" t="s">
        <v>46539</v>
      </c>
      <c r="U9746" t="s">
        <v>55036</v>
      </c>
      <c r="W9746" t="s">
        <v>43854</v>
      </c>
      <c r="X9746" t="s">
        <v>44770</v>
      </c>
    </row>
    <row r="9747" spans="1:24">
      <c r="A9747">
        <f>HYPERLINK("https://www.philgeps.gov.ph/GEPSNONPILOT/Tender/SplashBidNoticeAbstractUI.aspx?menuIndex=3&amp;refID=7138105&amp;Result=3","7138105")</f>
        <v>0</v>
      </c>
      <c r="B9747" t="s">
        <v>3037</v>
      </c>
      <c r="C9747" t="s">
        <v>13007</v>
      </c>
      <c r="D9747" t="s">
        <v>17975</v>
      </c>
      <c r="E9747" t="s">
        <v>26496</v>
      </c>
      <c r="F9747" t="s">
        <v>30900</v>
      </c>
      <c r="G9747" t="s">
        <v>30909</v>
      </c>
      <c r="H9747" t="s">
        <v>30916</v>
      </c>
      <c r="I9747" t="s">
        <v>8123</v>
      </c>
      <c r="J9747" t="s">
        <v>37135</v>
      </c>
      <c r="K9747" t="s">
        <v>40287</v>
      </c>
      <c r="M9747" t="s">
        <v>43847</v>
      </c>
      <c r="N9747" t="s">
        <v>44759</v>
      </c>
      <c r="O9747" t="s">
        <v>44760</v>
      </c>
      <c r="P9747">
        <v>0</v>
      </c>
      <c r="Q9747">
        <v>1</v>
      </c>
      <c r="R9747" t="s">
        <v>44769</v>
      </c>
      <c r="S9747" t="s">
        <v>45044</v>
      </c>
      <c r="T9747" t="s">
        <v>46409</v>
      </c>
      <c r="U9747" t="s">
        <v>55037</v>
      </c>
      <c r="W9747" t="s">
        <v>43847</v>
      </c>
      <c r="X9747" t="s">
        <v>44770</v>
      </c>
    </row>
    <row r="9748" spans="1:24">
      <c r="A9748">
        <f>HYPERLINK("https://www.philgeps.gov.ph/GEPSNONPILOT/Tender/SplashBidNoticeAbstractUI.aspx?menuIndex=3&amp;refID=7138238&amp;Result=3","7138238")</f>
        <v>0</v>
      </c>
      <c r="B9748" t="s">
        <v>595</v>
      </c>
      <c r="C9748" t="s">
        <v>13008</v>
      </c>
      <c r="D9748" t="s">
        <v>17953</v>
      </c>
      <c r="E9748" t="s">
        <v>26497</v>
      </c>
      <c r="F9748" t="s">
        <v>30900</v>
      </c>
      <c r="G9748" t="s">
        <v>30908</v>
      </c>
      <c r="H9748" t="s">
        <v>30916</v>
      </c>
      <c r="I9748" t="s">
        <v>30965</v>
      </c>
      <c r="J9748" t="s">
        <v>37136</v>
      </c>
      <c r="K9748" t="s">
        <v>40283</v>
      </c>
      <c r="M9748" t="s">
        <v>41157</v>
      </c>
      <c r="N9748" t="s">
        <v>44759</v>
      </c>
      <c r="O9748" t="s">
        <v>44760</v>
      </c>
      <c r="P9748">
        <v>0</v>
      </c>
      <c r="Q9748">
        <v>2</v>
      </c>
      <c r="R9748" t="s">
        <v>44769</v>
      </c>
      <c r="S9748" t="s">
        <v>45044</v>
      </c>
      <c r="T9748" t="s">
        <v>46768</v>
      </c>
      <c r="U9748" t="s">
        <v>55009</v>
      </c>
      <c r="W9748" t="s">
        <v>41157</v>
      </c>
      <c r="X9748" t="s">
        <v>44770</v>
      </c>
    </row>
    <row r="9749" spans="1:24">
      <c r="A9749">
        <f>HYPERLINK("https://www.philgeps.gov.ph/GEPSNONPILOT/Tender/SplashBidNoticeAbstractUI.aspx?menuIndex=3&amp;refID=7138220&amp;Result=3","7138220")</f>
        <v>0</v>
      </c>
      <c r="B9749" t="s">
        <v>2166</v>
      </c>
      <c r="C9749" t="s">
        <v>13009</v>
      </c>
      <c r="D9749" t="s">
        <v>18002</v>
      </c>
      <c r="E9749" t="s">
        <v>26498</v>
      </c>
      <c r="F9749" t="s">
        <v>30900</v>
      </c>
      <c r="G9749" t="s">
        <v>30909</v>
      </c>
      <c r="H9749" t="s">
        <v>30916</v>
      </c>
      <c r="I9749" t="s">
        <v>30921</v>
      </c>
      <c r="J9749" t="s">
        <v>37137</v>
      </c>
      <c r="K9749" t="s">
        <v>40287</v>
      </c>
      <c r="M9749" t="s">
        <v>42871</v>
      </c>
      <c r="N9749" t="s">
        <v>44759</v>
      </c>
      <c r="O9749" t="s">
        <v>44760</v>
      </c>
      <c r="P9749">
        <v>0</v>
      </c>
      <c r="Q9749">
        <v>1</v>
      </c>
      <c r="R9749" t="s">
        <v>44769</v>
      </c>
      <c r="S9749" t="s">
        <v>45044</v>
      </c>
      <c r="T9749" t="s">
        <v>46374</v>
      </c>
      <c r="U9749" t="s">
        <v>55038</v>
      </c>
      <c r="W9749" t="s">
        <v>60882</v>
      </c>
      <c r="X9749" t="s">
        <v>44770</v>
      </c>
    </row>
    <row r="9750" spans="1:24">
      <c r="A9750">
        <f>HYPERLINK("https://www.philgeps.gov.ph/GEPSNONPILOT/Tender/SplashBidNoticeAbstractUI.aspx?menuIndex=3&amp;refID=7138212&amp;Result=3","7138212")</f>
        <v>0</v>
      </c>
      <c r="B9750" t="s">
        <v>3036</v>
      </c>
      <c r="C9750" t="s">
        <v>13010</v>
      </c>
      <c r="D9750" t="s">
        <v>18002</v>
      </c>
      <c r="E9750" t="s">
        <v>26499</v>
      </c>
      <c r="F9750" t="s">
        <v>30900</v>
      </c>
      <c r="G9750" t="s">
        <v>30907</v>
      </c>
      <c r="H9750" t="s">
        <v>7411</v>
      </c>
      <c r="I9750" t="s">
        <v>30919</v>
      </c>
      <c r="J9750" t="s">
        <v>37138</v>
      </c>
      <c r="K9750" t="s">
        <v>40388</v>
      </c>
      <c r="M9750" t="s">
        <v>43846</v>
      </c>
      <c r="N9750" t="s">
        <v>44759</v>
      </c>
      <c r="O9750" t="s">
        <v>44760</v>
      </c>
      <c r="P9750">
        <v>0</v>
      </c>
      <c r="Q9750">
        <v>5</v>
      </c>
      <c r="R9750" t="s">
        <v>44769</v>
      </c>
      <c r="S9750" t="s">
        <v>45044</v>
      </c>
      <c r="T9750" t="s">
        <v>46377</v>
      </c>
      <c r="U9750" t="s">
        <v>55039</v>
      </c>
      <c r="V9750" t="s">
        <v>60180</v>
      </c>
      <c r="W9750" t="s">
        <v>43846</v>
      </c>
      <c r="X9750" t="s">
        <v>44770</v>
      </c>
    </row>
    <row r="9751" spans="1:24">
      <c r="A9751">
        <f>HYPERLINK("https://www.philgeps.gov.ph/GEPSNONPILOT/Tender/SplashBidNoticeAbstractUI.aspx?menuIndex=3&amp;refID=7138224&amp;Result=3","7138224")</f>
        <v>0</v>
      </c>
      <c r="B9751" t="s">
        <v>3049</v>
      </c>
      <c r="C9751" t="s">
        <v>13011</v>
      </c>
      <c r="D9751" t="s">
        <v>18019</v>
      </c>
      <c r="E9751" t="s">
        <v>26500</v>
      </c>
      <c r="F9751" t="s">
        <v>30900</v>
      </c>
      <c r="G9751" t="s">
        <v>30907</v>
      </c>
      <c r="H9751" t="s">
        <v>30915</v>
      </c>
      <c r="I9751" t="s">
        <v>30919</v>
      </c>
      <c r="J9751" t="s">
        <v>31157</v>
      </c>
      <c r="K9751" t="s">
        <v>40280</v>
      </c>
      <c r="M9751" t="s">
        <v>43859</v>
      </c>
      <c r="N9751" t="s">
        <v>44759</v>
      </c>
      <c r="O9751" t="s">
        <v>44760</v>
      </c>
      <c r="P9751">
        <v>0</v>
      </c>
      <c r="Q9751">
        <v>1</v>
      </c>
      <c r="R9751" t="s">
        <v>44769</v>
      </c>
      <c r="S9751" t="s">
        <v>45044</v>
      </c>
      <c r="T9751" t="s">
        <v>46488</v>
      </c>
      <c r="U9751" t="s">
        <v>55040</v>
      </c>
      <c r="V9751" t="s">
        <v>59253</v>
      </c>
      <c r="W9751" t="s">
        <v>43859</v>
      </c>
      <c r="X9751" t="s">
        <v>44770</v>
      </c>
    </row>
    <row r="9752" spans="1:24">
      <c r="A9752">
        <f>HYPERLINK("https://www.philgeps.gov.ph/GEPSNONPILOT/Tender/SplashBidNoticeAbstractUI.aspx?menuIndex=3&amp;refID=7138191&amp;Result=3","7138191")</f>
        <v>0</v>
      </c>
      <c r="B9752" t="s">
        <v>860</v>
      </c>
      <c r="C9752" t="s">
        <v>13012</v>
      </c>
      <c r="D9752" t="s">
        <v>17959</v>
      </c>
      <c r="E9752" t="s">
        <v>26501</v>
      </c>
      <c r="F9752" t="s">
        <v>30900</v>
      </c>
      <c r="G9752" t="s">
        <v>30907</v>
      </c>
      <c r="H9752" t="s">
        <v>30915</v>
      </c>
      <c r="I9752" t="s">
        <v>30919</v>
      </c>
      <c r="J9752" t="s">
        <v>37139</v>
      </c>
      <c r="K9752" t="s">
        <v>40289</v>
      </c>
      <c r="M9752" t="s">
        <v>41433</v>
      </c>
      <c r="N9752" t="s">
        <v>44759</v>
      </c>
      <c r="O9752" t="s">
        <v>44760</v>
      </c>
      <c r="P9752">
        <v>0</v>
      </c>
      <c r="Q9752">
        <v>2</v>
      </c>
      <c r="R9752" t="s">
        <v>44769</v>
      </c>
      <c r="S9752" t="s">
        <v>45044</v>
      </c>
      <c r="T9752" t="s">
        <v>46549</v>
      </c>
      <c r="U9752" t="s">
        <v>55041</v>
      </c>
      <c r="W9752" t="s">
        <v>41433</v>
      </c>
      <c r="X9752" t="s">
        <v>44770</v>
      </c>
    </row>
    <row r="9753" spans="1:24">
      <c r="A9753">
        <f>HYPERLINK("https://www.philgeps.gov.ph/GEPSNONPILOT/Tender/SplashBidNoticeAbstractUI.aspx?menuIndex=3&amp;refID=7137953&amp;Result=3","7137953")</f>
        <v>0</v>
      </c>
      <c r="B9753" t="s">
        <v>3050</v>
      </c>
      <c r="C9753" t="s">
        <v>13013</v>
      </c>
      <c r="D9753" t="s">
        <v>17988</v>
      </c>
      <c r="E9753" t="s">
        <v>26502</v>
      </c>
      <c r="F9753" t="s">
        <v>30900</v>
      </c>
      <c r="G9753" t="s">
        <v>30907</v>
      </c>
      <c r="H9753" t="s">
        <v>30915</v>
      </c>
      <c r="I9753" t="s">
        <v>30919</v>
      </c>
      <c r="J9753" t="s">
        <v>37140</v>
      </c>
      <c r="K9753" t="s">
        <v>40283</v>
      </c>
      <c r="M9753" t="s">
        <v>43860</v>
      </c>
      <c r="N9753" t="s">
        <v>44759</v>
      </c>
      <c r="O9753" t="s">
        <v>44760</v>
      </c>
      <c r="P9753">
        <v>0</v>
      </c>
      <c r="Q9753">
        <v>0</v>
      </c>
      <c r="R9753" t="s">
        <v>44769</v>
      </c>
      <c r="S9753" t="s">
        <v>45044</v>
      </c>
      <c r="T9753" t="s">
        <v>46472</v>
      </c>
      <c r="U9753" t="s">
        <v>55042</v>
      </c>
      <c r="W9753" t="s">
        <v>43860</v>
      </c>
      <c r="X9753" t="s">
        <v>44770</v>
      </c>
    </row>
    <row r="9754" spans="1:24">
      <c r="A9754">
        <f>HYPERLINK("https://www.philgeps.gov.ph/GEPSNONPILOT/Tender/SplashBidNoticeAbstractUI.aspx?menuIndex=3&amp;refID=7138218&amp;Result=3","7138218")</f>
        <v>0</v>
      </c>
      <c r="B9754" t="s">
        <v>860</v>
      </c>
      <c r="C9754" t="s">
        <v>13014</v>
      </c>
      <c r="D9754" t="s">
        <v>17959</v>
      </c>
      <c r="E9754" t="s">
        <v>26503</v>
      </c>
      <c r="F9754" t="s">
        <v>30900</v>
      </c>
      <c r="G9754" t="s">
        <v>30907</v>
      </c>
      <c r="H9754" t="s">
        <v>30915</v>
      </c>
      <c r="I9754" t="s">
        <v>30919</v>
      </c>
      <c r="J9754" t="s">
        <v>37141</v>
      </c>
      <c r="K9754" t="s">
        <v>40289</v>
      </c>
      <c r="M9754" t="s">
        <v>41433</v>
      </c>
      <c r="N9754" t="s">
        <v>44759</v>
      </c>
      <c r="O9754" t="s">
        <v>44760</v>
      </c>
      <c r="P9754">
        <v>0</v>
      </c>
      <c r="Q9754">
        <v>1</v>
      </c>
      <c r="R9754" t="s">
        <v>44769</v>
      </c>
      <c r="S9754" t="s">
        <v>45044</v>
      </c>
      <c r="T9754" t="s">
        <v>46549</v>
      </c>
      <c r="U9754" t="s">
        <v>55043</v>
      </c>
      <c r="W9754" t="s">
        <v>41433</v>
      </c>
      <c r="X9754" t="s">
        <v>44770</v>
      </c>
    </row>
    <row r="9755" spans="1:24">
      <c r="A9755">
        <f>HYPERLINK("https://www.philgeps.gov.ph/GEPSNONPILOT/Tender/SplashBidNoticeAbstractUI.aspx?menuIndex=3&amp;refID=7137946&amp;Result=3","7137946")</f>
        <v>0</v>
      </c>
      <c r="B9755" t="s">
        <v>134</v>
      </c>
      <c r="C9755" t="s">
        <v>13015</v>
      </c>
      <c r="E9755" t="s">
        <v>26504</v>
      </c>
      <c r="F9755" t="s">
        <v>30900</v>
      </c>
      <c r="G9755" t="s">
        <v>30907</v>
      </c>
      <c r="H9755" t="s">
        <v>30916</v>
      </c>
      <c r="I9755" t="s">
        <v>30923</v>
      </c>
      <c r="J9755" t="s">
        <v>37142</v>
      </c>
      <c r="K9755" t="s">
        <v>40283</v>
      </c>
      <c r="M9755" t="s">
        <v>40681</v>
      </c>
      <c r="N9755" t="s">
        <v>44759</v>
      </c>
      <c r="O9755" t="s">
        <v>44760</v>
      </c>
      <c r="P9755">
        <v>0</v>
      </c>
      <c r="Q9755">
        <v>2</v>
      </c>
      <c r="R9755" t="s">
        <v>44769</v>
      </c>
      <c r="S9755" t="s">
        <v>45044</v>
      </c>
      <c r="T9755" t="s">
        <v>46544</v>
      </c>
      <c r="U9755" t="s">
        <v>54947</v>
      </c>
      <c r="W9755" t="s">
        <v>40681</v>
      </c>
      <c r="X9755" t="s">
        <v>44770</v>
      </c>
    </row>
    <row r="9756" spans="1:24">
      <c r="A9756">
        <f>HYPERLINK("https://www.philgeps.gov.ph/GEPSNONPILOT/Tender/SplashBidNoticeAbstractUI.aspx?menuIndex=3&amp;refID=7138324&amp;Result=3","7138324")</f>
        <v>0</v>
      </c>
      <c r="B9756" t="s">
        <v>1491</v>
      </c>
      <c r="C9756" t="s">
        <v>13016</v>
      </c>
      <c r="D9756" t="s">
        <v>17968</v>
      </c>
      <c r="E9756" t="s">
        <v>26505</v>
      </c>
      <c r="F9756" t="s">
        <v>30900</v>
      </c>
      <c r="G9756" t="s">
        <v>30907</v>
      </c>
      <c r="H9756" t="s">
        <v>30915</v>
      </c>
      <c r="I9756" t="s">
        <v>30919</v>
      </c>
      <c r="J9756" t="s">
        <v>31152</v>
      </c>
      <c r="K9756" t="s">
        <v>40293</v>
      </c>
      <c r="M9756" t="s">
        <v>42129</v>
      </c>
      <c r="N9756" t="s">
        <v>44759</v>
      </c>
      <c r="O9756" t="s">
        <v>44760</v>
      </c>
      <c r="P9756">
        <v>0</v>
      </c>
      <c r="Q9756">
        <v>0</v>
      </c>
      <c r="R9756" t="s">
        <v>44769</v>
      </c>
      <c r="S9756" t="s">
        <v>45044</v>
      </c>
      <c r="T9756" t="s">
        <v>46411</v>
      </c>
      <c r="U9756" t="s">
        <v>55044</v>
      </c>
      <c r="W9756" t="s">
        <v>60863</v>
      </c>
      <c r="X9756" t="s">
        <v>44770</v>
      </c>
    </row>
    <row r="9757" spans="1:24">
      <c r="A9757">
        <f>HYPERLINK("https://www.philgeps.gov.ph/GEPSNONPILOT/Tender/SplashBidNoticeAbstractUI.aspx?menuIndex=3&amp;refID=7138266&amp;Result=3","7138266")</f>
        <v>0</v>
      </c>
      <c r="B9757" t="s">
        <v>1788</v>
      </c>
      <c r="C9757" t="s">
        <v>13017</v>
      </c>
      <c r="D9757" t="s">
        <v>17993</v>
      </c>
      <c r="E9757" t="s">
        <v>26506</v>
      </c>
      <c r="F9757" t="s">
        <v>30900</v>
      </c>
      <c r="G9757" t="s">
        <v>30907</v>
      </c>
      <c r="H9757" t="s">
        <v>30915</v>
      </c>
      <c r="I9757" t="s">
        <v>30919</v>
      </c>
      <c r="J9757" t="s">
        <v>37143</v>
      </c>
      <c r="K9757" t="s">
        <v>40301</v>
      </c>
      <c r="M9757" t="s">
        <v>42463</v>
      </c>
      <c r="N9757" t="s">
        <v>44759</v>
      </c>
      <c r="O9757" t="s">
        <v>44760</v>
      </c>
      <c r="P9757">
        <v>0</v>
      </c>
      <c r="Q9757">
        <v>0</v>
      </c>
      <c r="R9757" t="s">
        <v>44769</v>
      </c>
      <c r="S9757" t="s">
        <v>45044</v>
      </c>
      <c r="T9757" t="s">
        <v>46503</v>
      </c>
      <c r="U9757" t="s">
        <v>55045</v>
      </c>
      <c r="V9757" t="s">
        <v>60186</v>
      </c>
      <c r="W9757" t="s">
        <v>42463</v>
      </c>
      <c r="X9757" t="s">
        <v>44770</v>
      </c>
    </row>
    <row r="9758" spans="1:24">
      <c r="A9758">
        <f>HYPERLINK("https://www.philgeps.gov.ph/GEPSNONPILOT/Tender/SplashBidNoticeAbstractUI.aspx?menuIndex=3&amp;refID=7138203&amp;Result=3","7138203")</f>
        <v>0</v>
      </c>
      <c r="B9758" t="s">
        <v>3035</v>
      </c>
      <c r="C9758" t="s">
        <v>13018</v>
      </c>
      <c r="D9758" t="s">
        <v>17955</v>
      </c>
      <c r="E9758" t="s">
        <v>26507</v>
      </c>
      <c r="F9758" t="s">
        <v>30900</v>
      </c>
      <c r="G9758" t="s">
        <v>30907</v>
      </c>
      <c r="H9758" t="s">
        <v>30916</v>
      </c>
      <c r="I9758" t="s">
        <v>30928</v>
      </c>
      <c r="J9758" t="s">
        <v>37144</v>
      </c>
      <c r="K9758" t="s">
        <v>40291</v>
      </c>
      <c r="M9758" t="s">
        <v>43844</v>
      </c>
      <c r="N9758" t="s">
        <v>44759</v>
      </c>
      <c r="O9758" t="s">
        <v>44760</v>
      </c>
      <c r="P9758">
        <v>0</v>
      </c>
      <c r="Q9758">
        <v>9</v>
      </c>
      <c r="R9758" t="s">
        <v>44769</v>
      </c>
      <c r="S9758" t="s">
        <v>45044</v>
      </c>
      <c r="T9758" t="s">
        <v>46581</v>
      </c>
      <c r="U9758" t="s">
        <v>55046</v>
      </c>
      <c r="V9758" t="s">
        <v>60187</v>
      </c>
      <c r="W9758" t="s">
        <v>43844</v>
      </c>
      <c r="X9758" t="s">
        <v>44770</v>
      </c>
    </row>
    <row r="9759" spans="1:24">
      <c r="A9759">
        <f>HYPERLINK("https://www.philgeps.gov.ph/GEPSNONPILOT/Tender/SplashBidNoticeAbstractUI.aspx?menuIndex=3&amp;refID=7138247&amp;Result=3","7138247")</f>
        <v>0</v>
      </c>
      <c r="B9759" t="s">
        <v>3044</v>
      </c>
      <c r="C9759" t="s">
        <v>13019</v>
      </c>
      <c r="D9759" t="s">
        <v>17996</v>
      </c>
      <c r="E9759" t="s">
        <v>26508</v>
      </c>
      <c r="F9759" t="s">
        <v>30900</v>
      </c>
      <c r="G9759" t="s">
        <v>30907</v>
      </c>
      <c r="H9759" t="s">
        <v>30915</v>
      </c>
      <c r="I9759" t="s">
        <v>30919</v>
      </c>
      <c r="J9759" t="s">
        <v>33266</v>
      </c>
      <c r="K9759" t="s">
        <v>40303</v>
      </c>
      <c r="M9759" t="s">
        <v>43854</v>
      </c>
      <c r="N9759" t="s">
        <v>44759</v>
      </c>
      <c r="O9759" t="s">
        <v>44760</v>
      </c>
      <c r="P9759">
        <v>0</v>
      </c>
      <c r="Q9759">
        <v>4</v>
      </c>
      <c r="R9759" t="s">
        <v>44769</v>
      </c>
      <c r="S9759" t="s">
        <v>45044</v>
      </c>
      <c r="T9759" t="s">
        <v>46539</v>
      </c>
      <c r="U9759" t="s">
        <v>55047</v>
      </c>
      <c r="W9759" t="s">
        <v>43854</v>
      </c>
      <c r="X9759" t="s">
        <v>44770</v>
      </c>
    </row>
    <row r="9760" spans="1:24">
      <c r="A9760">
        <f>HYPERLINK("https://www.philgeps.gov.ph/GEPSNONPILOT/Tender/SplashBidNoticeAbstractUI.aspx?menuIndex=3&amp;refID=7138351&amp;Result=3","7138351")</f>
        <v>0</v>
      </c>
      <c r="B9760" t="s">
        <v>2425</v>
      </c>
      <c r="C9760" t="s">
        <v>13020</v>
      </c>
      <c r="D9760" t="s">
        <v>17965</v>
      </c>
      <c r="E9760" t="s">
        <v>26509</v>
      </c>
      <c r="F9760" t="s">
        <v>30900</v>
      </c>
      <c r="G9760" t="s">
        <v>30907</v>
      </c>
      <c r="H9760" t="s">
        <v>30915</v>
      </c>
      <c r="I9760" t="s">
        <v>30919</v>
      </c>
      <c r="J9760" t="s">
        <v>31341</v>
      </c>
      <c r="K9760" t="s">
        <v>40280</v>
      </c>
      <c r="M9760" t="s">
        <v>43154</v>
      </c>
      <c r="N9760" t="s">
        <v>44759</v>
      </c>
      <c r="O9760" t="s">
        <v>44760</v>
      </c>
      <c r="P9760">
        <v>0</v>
      </c>
      <c r="Q9760">
        <v>0</v>
      </c>
      <c r="R9760" t="s">
        <v>44769</v>
      </c>
      <c r="S9760" t="s">
        <v>45044</v>
      </c>
      <c r="T9760" t="s">
        <v>46704</v>
      </c>
      <c r="U9760" t="s">
        <v>55048</v>
      </c>
      <c r="W9760" t="s">
        <v>43154</v>
      </c>
      <c r="X9760" t="s">
        <v>44770</v>
      </c>
    </row>
    <row r="9761" spans="1:24">
      <c r="A9761">
        <f>HYPERLINK("https://www.philgeps.gov.ph/GEPSNONPILOT/Tender/SplashBidNoticeAbstractUI.aspx?menuIndex=3&amp;refID=7138325&amp;Result=3","7138325")</f>
        <v>0</v>
      </c>
      <c r="B9761" t="s">
        <v>1991</v>
      </c>
      <c r="C9761" t="s">
        <v>13021</v>
      </c>
      <c r="D9761" t="s">
        <v>18012</v>
      </c>
      <c r="E9761" t="s">
        <v>26510</v>
      </c>
      <c r="F9761" t="s">
        <v>30900</v>
      </c>
      <c r="G9761" t="s">
        <v>30907</v>
      </c>
      <c r="H9761" t="s">
        <v>30915</v>
      </c>
      <c r="I9761" t="s">
        <v>30919</v>
      </c>
      <c r="J9761" t="s">
        <v>37145</v>
      </c>
      <c r="K9761" t="s">
        <v>40289</v>
      </c>
      <c r="M9761" t="s">
        <v>42682</v>
      </c>
      <c r="N9761" t="s">
        <v>44759</v>
      </c>
      <c r="O9761" t="s">
        <v>44760</v>
      </c>
      <c r="Q9761">
        <v>0</v>
      </c>
      <c r="R9761" t="s">
        <v>44769</v>
      </c>
      <c r="S9761" t="s">
        <v>45095</v>
      </c>
      <c r="T9761" t="s">
        <v>46411</v>
      </c>
      <c r="U9761" t="s">
        <v>55049</v>
      </c>
      <c r="W9761" t="s">
        <v>42682</v>
      </c>
      <c r="X9761" t="s">
        <v>44770</v>
      </c>
    </row>
    <row r="9762" spans="1:24">
      <c r="A9762">
        <f>HYPERLINK("https://www.philgeps.gov.ph/GEPSNONPILOT/Tender/SplashBidNoticeAbstractUI.aspx?menuIndex=3&amp;refID=7138321&amp;Result=3","7138321")</f>
        <v>0</v>
      </c>
      <c r="B9762" t="s">
        <v>3051</v>
      </c>
      <c r="C9762" t="s">
        <v>13022</v>
      </c>
      <c r="D9762" t="s">
        <v>17986</v>
      </c>
      <c r="E9762" t="s">
        <v>26511</v>
      </c>
      <c r="F9762" t="s">
        <v>30900</v>
      </c>
      <c r="G9762" t="s">
        <v>30907</v>
      </c>
      <c r="H9762" t="s">
        <v>30916</v>
      </c>
      <c r="I9762" t="s">
        <v>30919</v>
      </c>
      <c r="J9762" t="s">
        <v>37146</v>
      </c>
      <c r="K9762" t="s">
        <v>40478</v>
      </c>
      <c r="M9762" t="s">
        <v>43861</v>
      </c>
      <c r="N9762" t="s">
        <v>44759</v>
      </c>
      <c r="O9762" t="s">
        <v>44760</v>
      </c>
      <c r="P9762">
        <v>0</v>
      </c>
      <c r="Q9762">
        <v>0</v>
      </c>
      <c r="R9762" t="s">
        <v>44769</v>
      </c>
      <c r="S9762" t="s">
        <v>45044</v>
      </c>
      <c r="T9762" t="s">
        <v>46544</v>
      </c>
      <c r="U9762" t="s">
        <v>55050</v>
      </c>
      <c r="W9762" t="s">
        <v>43861</v>
      </c>
      <c r="X9762" t="s">
        <v>44770</v>
      </c>
    </row>
    <row r="9763" spans="1:24">
      <c r="A9763">
        <f>HYPERLINK("https://www.philgeps.gov.ph/GEPSNONPILOT/Tender/SplashBidNoticeAbstractUI.aspx?menuIndex=3&amp;refID=7138318&amp;Result=3","7138318")</f>
        <v>0</v>
      </c>
      <c r="B9763" t="s">
        <v>1967</v>
      </c>
      <c r="C9763" t="s">
        <v>13023</v>
      </c>
      <c r="D9763" t="s">
        <v>17988</v>
      </c>
      <c r="E9763" t="s">
        <v>26512</v>
      </c>
      <c r="F9763" t="s">
        <v>30900</v>
      </c>
      <c r="G9763" t="s">
        <v>30906</v>
      </c>
      <c r="H9763" t="s">
        <v>30915</v>
      </c>
      <c r="I9763" t="s">
        <v>30919</v>
      </c>
      <c r="J9763" t="s">
        <v>37147</v>
      </c>
      <c r="K9763" t="s">
        <v>40289</v>
      </c>
      <c r="M9763" t="s">
        <v>42653</v>
      </c>
      <c r="N9763" t="s">
        <v>44759</v>
      </c>
      <c r="O9763" t="s">
        <v>44760</v>
      </c>
      <c r="P9763">
        <v>0</v>
      </c>
      <c r="Q9763">
        <v>0</v>
      </c>
      <c r="R9763" t="s">
        <v>44769</v>
      </c>
      <c r="S9763" t="s">
        <v>45044</v>
      </c>
      <c r="T9763" t="s">
        <v>46625</v>
      </c>
      <c r="U9763" t="s">
        <v>55051</v>
      </c>
      <c r="W9763" t="s">
        <v>42653</v>
      </c>
      <c r="X9763" t="s">
        <v>44770</v>
      </c>
    </row>
    <row r="9764" spans="1:24">
      <c r="A9764">
        <f>HYPERLINK("https://www.philgeps.gov.ph/GEPSNONPILOT/Tender/SplashBidNoticeAbstractUI.aspx?menuIndex=3&amp;refID=7138350&amp;Result=3","7138350")</f>
        <v>0</v>
      </c>
      <c r="B9764" t="s">
        <v>3044</v>
      </c>
      <c r="C9764" t="s">
        <v>13024</v>
      </c>
      <c r="D9764" t="s">
        <v>17996</v>
      </c>
      <c r="E9764" t="s">
        <v>26513</v>
      </c>
      <c r="F9764" t="s">
        <v>30900</v>
      </c>
      <c r="G9764" t="s">
        <v>30907</v>
      </c>
      <c r="H9764" t="s">
        <v>30915</v>
      </c>
      <c r="I9764" t="s">
        <v>30919</v>
      </c>
      <c r="J9764" t="s">
        <v>37148</v>
      </c>
      <c r="K9764" t="s">
        <v>40445</v>
      </c>
      <c r="M9764" t="s">
        <v>43854</v>
      </c>
      <c r="N9764" t="s">
        <v>44759</v>
      </c>
      <c r="O9764" t="s">
        <v>44760</v>
      </c>
      <c r="P9764">
        <v>0</v>
      </c>
      <c r="Q9764">
        <v>5</v>
      </c>
      <c r="R9764" t="s">
        <v>44769</v>
      </c>
      <c r="S9764" t="s">
        <v>45044</v>
      </c>
      <c r="T9764" t="s">
        <v>46539</v>
      </c>
      <c r="U9764" t="s">
        <v>55052</v>
      </c>
      <c r="W9764" t="s">
        <v>43854</v>
      </c>
      <c r="X9764" t="s">
        <v>44770</v>
      </c>
    </row>
    <row r="9765" spans="1:24">
      <c r="A9765">
        <f>HYPERLINK("https://www.philgeps.gov.ph/GEPSNONPILOT/Tender/SplashBidNoticeAbstractUI.aspx?menuIndex=3&amp;refID=7138307&amp;Result=3","7138307")</f>
        <v>0</v>
      </c>
      <c r="B9765" t="s">
        <v>2425</v>
      </c>
      <c r="C9765" t="s">
        <v>13025</v>
      </c>
      <c r="D9765" t="s">
        <v>17965</v>
      </c>
      <c r="E9765" t="s">
        <v>26514</v>
      </c>
      <c r="F9765" t="s">
        <v>30900</v>
      </c>
      <c r="G9765" t="s">
        <v>30908</v>
      </c>
      <c r="H9765" t="s">
        <v>30915</v>
      </c>
      <c r="I9765" t="s">
        <v>30919</v>
      </c>
      <c r="J9765" t="s">
        <v>31049</v>
      </c>
      <c r="K9765" t="s">
        <v>40321</v>
      </c>
      <c r="M9765" t="s">
        <v>43154</v>
      </c>
      <c r="N9765" t="s">
        <v>44759</v>
      </c>
      <c r="O9765" t="s">
        <v>44760</v>
      </c>
      <c r="P9765">
        <v>0</v>
      </c>
      <c r="Q9765">
        <v>0</v>
      </c>
      <c r="R9765" t="s">
        <v>44769</v>
      </c>
      <c r="S9765" t="s">
        <v>45044</v>
      </c>
      <c r="T9765" t="s">
        <v>46704</v>
      </c>
      <c r="U9765" t="s">
        <v>55053</v>
      </c>
      <c r="W9765" t="s">
        <v>43154</v>
      </c>
      <c r="X9765" t="s">
        <v>44770</v>
      </c>
    </row>
    <row r="9766" spans="1:24">
      <c r="A9766">
        <f>HYPERLINK("https://www.philgeps.gov.ph/GEPSNONPILOT/Tender/SplashBidNoticeAbstractUI.aspx?menuIndex=3&amp;refID=7138206&amp;Result=3","7138206")</f>
        <v>0</v>
      </c>
      <c r="B9766" t="s">
        <v>799</v>
      </c>
      <c r="C9766" t="s">
        <v>13026</v>
      </c>
      <c r="D9766" t="s">
        <v>17985</v>
      </c>
      <c r="E9766" t="s">
        <v>26515</v>
      </c>
      <c r="F9766" t="s">
        <v>30900</v>
      </c>
      <c r="G9766" t="s">
        <v>30907</v>
      </c>
      <c r="H9766" t="s">
        <v>30916</v>
      </c>
      <c r="I9766" t="s">
        <v>5501</v>
      </c>
      <c r="J9766" t="s">
        <v>31297</v>
      </c>
      <c r="K9766" t="s">
        <v>40283</v>
      </c>
      <c r="M9766" t="s">
        <v>41369</v>
      </c>
      <c r="N9766" t="s">
        <v>44759</v>
      </c>
      <c r="O9766" t="s">
        <v>44760</v>
      </c>
      <c r="P9766">
        <v>0</v>
      </c>
      <c r="Q9766">
        <v>5</v>
      </c>
      <c r="R9766" t="s">
        <v>44769</v>
      </c>
      <c r="S9766" t="s">
        <v>45044</v>
      </c>
      <c r="T9766" t="s">
        <v>46411</v>
      </c>
      <c r="U9766" t="s">
        <v>55054</v>
      </c>
      <c r="V9766" t="s">
        <v>60188</v>
      </c>
      <c r="W9766" t="s">
        <v>41369</v>
      </c>
      <c r="X9766" t="s">
        <v>44770</v>
      </c>
    </row>
    <row r="9767" spans="1:24">
      <c r="A9767">
        <f>HYPERLINK("https://www.philgeps.gov.ph/GEPSNONPILOT/Tender/SplashBidNoticeAbstractUI.aspx?menuIndex=3&amp;refID=7138348&amp;Result=3","7138348")</f>
        <v>0</v>
      </c>
      <c r="B9767" t="s">
        <v>3051</v>
      </c>
      <c r="C9767" t="s">
        <v>13027</v>
      </c>
      <c r="D9767" t="s">
        <v>17986</v>
      </c>
      <c r="E9767" t="s">
        <v>26516</v>
      </c>
      <c r="F9767" t="s">
        <v>30900</v>
      </c>
      <c r="G9767" t="s">
        <v>30907</v>
      </c>
      <c r="H9767" t="s">
        <v>30915</v>
      </c>
      <c r="I9767" t="s">
        <v>30919</v>
      </c>
      <c r="J9767" t="s">
        <v>37149</v>
      </c>
      <c r="K9767" t="s">
        <v>40312</v>
      </c>
      <c r="M9767" t="s">
        <v>43861</v>
      </c>
      <c r="N9767" t="s">
        <v>44759</v>
      </c>
      <c r="O9767" t="s">
        <v>44760</v>
      </c>
      <c r="P9767">
        <v>0</v>
      </c>
      <c r="Q9767">
        <v>0</v>
      </c>
      <c r="R9767" t="s">
        <v>44769</v>
      </c>
      <c r="S9767" t="s">
        <v>45044</v>
      </c>
      <c r="T9767" t="s">
        <v>46544</v>
      </c>
      <c r="U9767" t="s">
        <v>55055</v>
      </c>
      <c r="W9767" t="s">
        <v>43861</v>
      </c>
      <c r="X9767" t="s">
        <v>44770</v>
      </c>
    </row>
    <row r="9768" spans="1:24">
      <c r="A9768">
        <f>HYPERLINK("https://www.philgeps.gov.ph/GEPSNONPILOT/Tender/SplashBidNoticeAbstractUI.aspx?menuIndex=3&amp;refID=7138293&amp;Result=3","7138293")</f>
        <v>0</v>
      </c>
      <c r="B9768" t="s">
        <v>255</v>
      </c>
      <c r="C9768" t="s">
        <v>13028</v>
      </c>
      <c r="D9768" t="s">
        <v>17980</v>
      </c>
      <c r="E9768" t="s">
        <v>26517</v>
      </c>
      <c r="F9768" t="s">
        <v>30900</v>
      </c>
      <c r="G9768" t="s">
        <v>30907</v>
      </c>
      <c r="H9768" t="s">
        <v>30916</v>
      </c>
      <c r="I9768" t="s">
        <v>30939</v>
      </c>
      <c r="J9768" t="s">
        <v>32560</v>
      </c>
      <c r="K9768" t="s">
        <v>40283</v>
      </c>
      <c r="M9768" t="s">
        <v>40802</v>
      </c>
      <c r="N9768" t="s">
        <v>44759</v>
      </c>
      <c r="O9768" t="s">
        <v>44760</v>
      </c>
      <c r="P9768">
        <v>0</v>
      </c>
      <c r="Q9768">
        <v>0</v>
      </c>
      <c r="R9768" t="s">
        <v>44769</v>
      </c>
      <c r="S9768" t="s">
        <v>45044</v>
      </c>
      <c r="T9768" t="s">
        <v>46606</v>
      </c>
      <c r="U9768" t="s">
        <v>52217</v>
      </c>
      <c r="W9768" t="s">
        <v>40802</v>
      </c>
      <c r="X9768" t="s">
        <v>44770</v>
      </c>
    </row>
    <row r="9769" spans="1:24">
      <c r="A9769">
        <f>HYPERLINK("https://www.philgeps.gov.ph/GEPSNONPILOT/Tender/SplashBidNoticeAbstractUI.aspx?menuIndex=3&amp;refID=7138341&amp;Result=3","7138341")</f>
        <v>0</v>
      </c>
      <c r="B9769" t="s">
        <v>3044</v>
      </c>
      <c r="C9769" t="s">
        <v>13029</v>
      </c>
      <c r="D9769" t="s">
        <v>17996</v>
      </c>
      <c r="E9769" t="s">
        <v>26518</v>
      </c>
      <c r="F9769" t="s">
        <v>30900</v>
      </c>
      <c r="G9769" t="s">
        <v>30907</v>
      </c>
      <c r="H9769" t="s">
        <v>30915</v>
      </c>
      <c r="I9769" t="s">
        <v>30919</v>
      </c>
      <c r="J9769" t="s">
        <v>37148</v>
      </c>
      <c r="K9769" t="s">
        <v>40445</v>
      </c>
      <c r="M9769" t="s">
        <v>43854</v>
      </c>
      <c r="N9769" t="s">
        <v>44759</v>
      </c>
      <c r="O9769" t="s">
        <v>44760</v>
      </c>
      <c r="P9769">
        <v>0</v>
      </c>
      <c r="Q9769">
        <v>4</v>
      </c>
      <c r="R9769" t="s">
        <v>44769</v>
      </c>
      <c r="S9769" t="s">
        <v>45044</v>
      </c>
      <c r="T9769" t="s">
        <v>46539</v>
      </c>
      <c r="U9769" t="s">
        <v>55056</v>
      </c>
      <c r="W9769" t="s">
        <v>43854</v>
      </c>
      <c r="X9769" t="s">
        <v>44770</v>
      </c>
    </row>
    <row r="9770" spans="1:24">
      <c r="A9770">
        <f>HYPERLINK("https://www.philgeps.gov.ph/GEPSNONPILOT/Tender/SplashBidNoticeAbstractUI.aspx?menuIndex=3&amp;refID=7138313&amp;Result=3","7138313")</f>
        <v>0</v>
      </c>
      <c r="B9770" t="s">
        <v>3044</v>
      </c>
      <c r="C9770" t="s">
        <v>13030</v>
      </c>
      <c r="D9770" t="s">
        <v>17996</v>
      </c>
      <c r="E9770" t="s">
        <v>26519</v>
      </c>
      <c r="F9770" t="s">
        <v>30900</v>
      </c>
      <c r="G9770" t="s">
        <v>30907</v>
      </c>
      <c r="H9770" t="s">
        <v>30915</v>
      </c>
      <c r="I9770" t="s">
        <v>30919</v>
      </c>
      <c r="J9770" t="s">
        <v>37150</v>
      </c>
      <c r="K9770" t="s">
        <v>40300</v>
      </c>
      <c r="M9770" t="s">
        <v>43854</v>
      </c>
      <c r="N9770" t="s">
        <v>44759</v>
      </c>
      <c r="O9770" t="s">
        <v>44760</v>
      </c>
      <c r="P9770">
        <v>0</v>
      </c>
      <c r="Q9770">
        <v>5</v>
      </c>
      <c r="R9770" t="s">
        <v>44769</v>
      </c>
      <c r="S9770" t="s">
        <v>45044</v>
      </c>
      <c r="T9770" t="s">
        <v>46539</v>
      </c>
      <c r="U9770" t="s">
        <v>55057</v>
      </c>
      <c r="W9770" t="s">
        <v>43854</v>
      </c>
      <c r="X9770" t="s">
        <v>44770</v>
      </c>
    </row>
    <row r="9771" spans="1:24">
      <c r="A9771">
        <f>HYPERLINK("https://www.philgeps.gov.ph/GEPSNONPILOT/Tender/SplashBidNoticeAbstractUI.aspx?menuIndex=3&amp;refID=7138359&amp;Result=3","7138359")</f>
        <v>0</v>
      </c>
      <c r="B9771" t="s">
        <v>3052</v>
      </c>
      <c r="C9771" t="s">
        <v>13031</v>
      </c>
      <c r="D9771" t="s">
        <v>18022</v>
      </c>
      <c r="E9771" t="s">
        <v>20657</v>
      </c>
      <c r="F9771" t="s">
        <v>30900</v>
      </c>
      <c r="G9771" t="s">
        <v>30907</v>
      </c>
      <c r="H9771" t="s">
        <v>30916</v>
      </c>
      <c r="I9771" t="s">
        <v>8123</v>
      </c>
      <c r="J9771" t="s">
        <v>37151</v>
      </c>
      <c r="K9771" t="s">
        <v>40287</v>
      </c>
      <c r="M9771" t="s">
        <v>43862</v>
      </c>
      <c r="N9771" t="s">
        <v>44759</v>
      </c>
      <c r="O9771" t="s">
        <v>44760</v>
      </c>
      <c r="P9771">
        <v>0</v>
      </c>
      <c r="Q9771">
        <v>5</v>
      </c>
      <c r="R9771" t="s">
        <v>44769</v>
      </c>
      <c r="S9771" t="s">
        <v>45044</v>
      </c>
      <c r="T9771" t="s">
        <v>46722</v>
      </c>
      <c r="U9771" t="s">
        <v>55058</v>
      </c>
      <c r="W9771" t="s">
        <v>43862</v>
      </c>
      <c r="X9771" t="s">
        <v>44770</v>
      </c>
    </row>
    <row r="9772" spans="1:24">
      <c r="A9772">
        <f>HYPERLINK("https://www.philgeps.gov.ph/GEPSNONPILOT/Tender/SplashBidNoticeAbstractUI.aspx?menuIndex=3&amp;refID=7138402&amp;Result=3","7138402")</f>
        <v>0</v>
      </c>
      <c r="B9772" t="s">
        <v>1870</v>
      </c>
      <c r="C9772" t="s">
        <v>13032</v>
      </c>
      <c r="D9772" t="s">
        <v>17992</v>
      </c>
      <c r="E9772" t="s">
        <v>26520</v>
      </c>
      <c r="F9772" t="s">
        <v>30900</v>
      </c>
      <c r="G9772" t="s">
        <v>30907</v>
      </c>
      <c r="H9772" t="s">
        <v>30915</v>
      </c>
      <c r="I9772" t="s">
        <v>30919</v>
      </c>
      <c r="J9772" t="s">
        <v>37152</v>
      </c>
      <c r="K9772" t="s">
        <v>40304</v>
      </c>
      <c r="M9772" t="s">
        <v>42544</v>
      </c>
      <c r="N9772" t="s">
        <v>44759</v>
      </c>
      <c r="O9772" t="s">
        <v>44760</v>
      </c>
      <c r="P9772">
        <v>0</v>
      </c>
      <c r="Q9772">
        <v>0</v>
      </c>
      <c r="R9772" t="s">
        <v>44769</v>
      </c>
      <c r="S9772" t="s">
        <v>45044</v>
      </c>
      <c r="T9772" t="s">
        <v>46428</v>
      </c>
      <c r="U9772" t="s">
        <v>55059</v>
      </c>
      <c r="W9772" t="s">
        <v>42544</v>
      </c>
      <c r="X9772" t="s">
        <v>44770</v>
      </c>
    </row>
    <row r="9773" spans="1:24">
      <c r="A9773">
        <f>HYPERLINK("https://www.philgeps.gov.ph/GEPSNONPILOT/Tender/SplashBidNoticeAbstractUI.aspx?menuIndex=3&amp;refID=7138305&amp;Result=3","7138305")</f>
        <v>0</v>
      </c>
      <c r="B9773" t="s">
        <v>3002</v>
      </c>
      <c r="C9773" t="s">
        <v>13033</v>
      </c>
      <c r="D9773" t="s">
        <v>18005</v>
      </c>
      <c r="E9773" t="s">
        <v>26521</v>
      </c>
      <c r="F9773" t="s">
        <v>30900</v>
      </c>
      <c r="G9773" t="s">
        <v>30907</v>
      </c>
      <c r="H9773" t="s">
        <v>30916</v>
      </c>
      <c r="I9773" t="s">
        <v>4108</v>
      </c>
      <c r="J9773" t="s">
        <v>37153</v>
      </c>
      <c r="K9773" t="s">
        <v>40342</v>
      </c>
      <c r="M9773" t="s">
        <v>43806</v>
      </c>
      <c r="N9773" t="s">
        <v>44759</v>
      </c>
      <c r="O9773" t="s">
        <v>44760</v>
      </c>
      <c r="P9773">
        <v>0</v>
      </c>
      <c r="Q9773">
        <v>12</v>
      </c>
      <c r="R9773" t="s">
        <v>44769</v>
      </c>
      <c r="S9773" t="s">
        <v>45044</v>
      </c>
      <c r="T9773" t="s">
        <v>46837</v>
      </c>
      <c r="U9773" t="s">
        <v>55060</v>
      </c>
      <c r="V9773" t="s">
        <v>60189</v>
      </c>
      <c r="W9773" t="s">
        <v>43806</v>
      </c>
      <c r="X9773" t="s">
        <v>44770</v>
      </c>
    </row>
    <row r="9774" spans="1:24">
      <c r="A9774">
        <f>HYPERLINK("https://www.philgeps.gov.ph/GEPSNONPILOT/Tender/SplashBidNoticeAbstractUI.aspx?menuIndex=3&amp;refID=7138297&amp;Result=3","7138297")</f>
        <v>0</v>
      </c>
      <c r="B9774" t="s">
        <v>595</v>
      </c>
      <c r="C9774" t="s">
        <v>13034</v>
      </c>
      <c r="D9774" t="s">
        <v>17953</v>
      </c>
      <c r="E9774" t="s">
        <v>26522</v>
      </c>
      <c r="F9774" t="s">
        <v>30900</v>
      </c>
      <c r="G9774" t="s">
        <v>30908</v>
      </c>
      <c r="H9774" t="s">
        <v>30916</v>
      </c>
      <c r="I9774" t="s">
        <v>8123</v>
      </c>
      <c r="J9774" t="s">
        <v>31341</v>
      </c>
      <c r="K9774" t="s">
        <v>40283</v>
      </c>
      <c r="M9774" t="s">
        <v>41157</v>
      </c>
      <c r="N9774" t="s">
        <v>44759</v>
      </c>
      <c r="O9774" t="s">
        <v>44760</v>
      </c>
      <c r="P9774">
        <v>0</v>
      </c>
      <c r="Q9774">
        <v>4</v>
      </c>
      <c r="R9774" t="s">
        <v>44769</v>
      </c>
      <c r="S9774" t="s">
        <v>45044</v>
      </c>
      <c r="T9774" t="s">
        <v>46768</v>
      </c>
      <c r="U9774" t="s">
        <v>55009</v>
      </c>
      <c r="W9774" t="s">
        <v>41157</v>
      </c>
      <c r="X9774" t="s">
        <v>44770</v>
      </c>
    </row>
    <row r="9775" spans="1:24">
      <c r="A9775">
        <f>HYPERLINK("https://www.philgeps.gov.ph/GEPSNONPILOT/Tender/SplashBidNoticeAbstractUI.aspx?menuIndex=3&amp;refID=7138425&amp;Result=3","7138425")</f>
        <v>0</v>
      </c>
      <c r="B9775" t="s">
        <v>3053</v>
      </c>
      <c r="C9775" t="s">
        <v>13035</v>
      </c>
      <c r="D9775" t="s">
        <v>17989</v>
      </c>
      <c r="E9775" t="s">
        <v>26523</v>
      </c>
      <c r="F9775" t="s">
        <v>30900</v>
      </c>
      <c r="G9775" t="s">
        <v>30907</v>
      </c>
      <c r="H9775" t="s">
        <v>30916</v>
      </c>
      <c r="I9775" t="s">
        <v>30947</v>
      </c>
      <c r="J9775" t="s">
        <v>37154</v>
      </c>
      <c r="K9775" t="s">
        <v>40286</v>
      </c>
      <c r="M9775" t="s">
        <v>43863</v>
      </c>
      <c r="N9775" t="s">
        <v>44759</v>
      </c>
      <c r="O9775" t="s">
        <v>44760</v>
      </c>
      <c r="P9775">
        <v>0</v>
      </c>
      <c r="Q9775">
        <v>1</v>
      </c>
      <c r="R9775" t="s">
        <v>44769</v>
      </c>
      <c r="S9775" t="s">
        <v>45044</v>
      </c>
      <c r="T9775" t="s">
        <v>46395</v>
      </c>
      <c r="U9775" t="s">
        <v>55061</v>
      </c>
      <c r="W9775" t="s">
        <v>43863</v>
      </c>
      <c r="X9775" t="s">
        <v>44770</v>
      </c>
    </row>
    <row r="9776" spans="1:24">
      <c r="A9776">
        <f>HYPERLINK("https://www.philgeps.gov.ph/GEPSNONPILOT/Tender/SplashBidNoticeAbstractUI.aspx?menuIndex=3&amp;refID=7138422&amp;Result=3","7138422")</f>
        <v>0</v>
      </c>
      <c r="B9776" t="s">
        <v>3054</v>
      </c>
      <c r="C9776" t="s">
        <v>6544</v>
      </c>
      <c r="D9776" t="s">
        <v>17972</v>
      </c>
      <c r="E9776" t="s">
        <v>18282</v>
      </c>
      <c r="F9776" t="s">
        <v>30900</v>
      </c>
      <c r="G9776" t="s">
        <v>30907</v>
      </c>
      <c r="H9776" t="s">
        <v>30916</v>
      </c>
      <c r="I9776" t="s">
        <v>4050</v>
      </c>
      <c r="J9776" t="s">
        <v>37155</v>
      </c>
      <c r="K9776" t="s">
        <v>40287</v>
      </c>
      <c r="M9776" t="s">
        <v>43864</v>
      </c>
      <c r="N9776" t="s">
        <v>44759</v>
      </c>
      <c r="O9776" t="s">
        <v>44760</v>
      </c>
      <c r="P9776">
        <v>0</v>
      </c>
      <c r="Q9776">
        <v>1</v>
      </c>
      <c r="R9776" t="s">
        <v>44769</v>
      </c>
      <c r="S9776" t="s">
        <v>45044</v>
      </c>
      <c r="T9776" t="s">
        <v>46414</v>
      </c>
      <c r="U9776" t="s">
        <v>55062</v>
      </c>
      <c r="W9776" t="s">
        <v>43864</v>
      </c>
      <c r="X9776" t="s">
        <v>44770</v>
      </c>
    </row>
    <row r="9777" spans="1:24">
      <c r="A9777">
        <f>HYPERLINK("https://www.philgeps.gov.ph/GEPSNONPILOT/Tender/SplashBidNoticeAbstractUI.aspx?menuIndex=3&amp;refID=7134469&amp;Result=3","7134469")</f>
        <v>0</v>
      </c>
      <c r="B9777" t="s">
        <v>46</v>
      </c>
      <c r="C9777" t="s">
        <v>13036</v>
      </c>
      <c r="D9777" t="s">
        <v>17953</v>
      </c>
      <c r="E9777" t="s">
        <v>26524</v>
      </c>
      <c r="F9777" t="s">
        <v>30900</v>
      </c>
      <c r="G9777" t="s">
        <v>30907</v>
      </c>
      <c r="H9777" t="s">
        <v>30916</v>
      </c>
      <c r="I9777" t="s">
        <v>30949</v>
      </c>
      <c r="J9777" t="s">
        <v>31153</v>
      </c>
      <c r="K9777" t="s">
        <v>40291</v>
      </c>
      <c r="M9777" t="s">
        <v>40592</v>
      </c>
      <c r="N9777" t="s">
        <v>44759</v>
      </c>
      <c r="O9777" t="s">
        <v>44760</v>
      </c>
      <c r="P9777">
        <v>0</v>
      </c>
      <c r="Q9777">
        <v>5</v>
      </c>
      <c r="R9777" t="s">
        <v>44769</v>
      </c>
      <c r="S9777" t="s">
        <v>45044</v>
      </c>
      <c r="T9777" t="s">
        <v>46370</v>
      </c>
      <c r="U9777" t="s">
        <v>46984</v>
      </c>
      <c r="W9777" t="s">
        <v>60814</v>
      </c>
      <c r="X9777" t="s">
        <v>44773</v>
      </c>
    </row>
    <row r="9778" spans="1:24">
      <c r="A9778">
        <f>HYPERLINK("https://www.philgeps.gov.ph/GEPSNONPILOT/Tender/SplashBidNoticeAbstractUI.aspx?menuIndex=3&amp;refID=7138347&amp;Result=3","7138347")</f>
        <v>0</v>
      </c>
      <c r="B9778" t="s">
        <v>3055</v>
      </c>
      <c r="C9778" t="s">
        <v>13037</v>
      </c>
      <c r="D9778" t="s">
        <v>17989</v>
      </c>
      <c r="E9778" t="s">
        <v>26525</v>
      </c>
      <c r="F9778" t="s">
        <v>30900</v>
      </c>
      <c r="G9778" t="s">
        <v>30907</v>
      </c>
      <c r="H9778" t="s">
        <v>30915</v>
      </c>
      <c r="I9778" t="s">
        <v>30919</v>
      </c>
      <c r="J9778" t="s">
        <v>31211</v>
      </c>
      <c r="K9778" t="s">
        <v>40286</v>
      </c>
      <c r="M9778" t="s">
        <v>43865</v>
      </c>
      <c r="N9778" t="s">
        <v>44759</v>
      </c>
      <c r="O9778" t="s">
        <v>44760</v>
      </c>
      <c r="P9778">
        <v>0</v>
      </c>
      <c r="Q9778">
        <v>0</v>
      </c>
      <c r="R9778" t="s">
        <v>44769</v>
      </c>
      <c r="S9778" t="s">
        <v>45044</v>
      </c>
      <c r="T9778" t="s">
        <v>46457</v>
      </c>
      <c r="U9778" t="s">
        <v>55063</v>
      </c>
      <c r="W9778" t="s">
        <v>43865</v>
      </c>
      <c r="X9778" t="s">
        <v>44770</v>
      </c>
    </row>
    <row r="9779" spans="1:24">
      <c r="A9779">
        <f>HYPERLINK("https://www.philgeps.gov.ph/GEPSNONPILOT/Tender/SplashBidNoticeAbstractUI.aspx?menuIndex=3&amp;refID=7138399&amp;Result=3","7138399")</f>
        <v>0</v>
      </c>
      <c r="B9779" t="s">
        <v>2583</v>
      </c>
      <c r="C9779" t="s">
        <v>13038</v>
      </c>
      <c r="D9779" t="s">
        <v>17998</v>
      </c>
      <c r="E9779" t="s">
        <v>26526</v>
      </c>
      <c r="F9779" t="s">
        <v>30900</v>
      </c>
      <c r="G9779" t="s">
        <v>30908</v>
      </c>
      <c r="H9779" t="s">
        <v>30916</v>
      </c>
      <c r="I9779" t="s">
        <v>4050</v>
      </c>
      <c r="J9779" t="s">
        <v>37156</v>
      </c>
      <c r="K9779" t="s">
        <v>40286</v>
      </c>
      <c r="M9779" t="s">
        <v>43342</v>
      </c>
      <c r="N9779" t="s">
        <v>44759</v>
      </c>
      <c r="O9779" t="s">
        <v>44760</v>
      </c>
      <c r="P9779">
        <v>0</v>
      </c>
      <c r="Q9779">
        <v>3</v>
      </c>
      <c r="R9779" t="s">
        <v>44769</v>
      </c>
      <c r="S9779" t="s">
        <v>45044</v>
      </c>
      <c r="T9779" t="s">
        <v>46403</v>
      </c>
      <c r="U9779" t="s">
        <v>55064</v>
      </c>
      <c r="W9779" t="s">
        <v>43342</v>
      </c>
      <c r="X9779" t="s">
        <v>44770</v>
      </c>
    </row>
    <row r="9780" spans="1:24">
      <c r="A9780">
        <f>HYPERLINK("https://www.philgeps.gov.ph/GEPSNONPILOT/Tender/SplashBidNoticeAbstractUI.aspx?menuIndex=3&amp;refID=7138289&amp;Result=3","7138289")</f>
        <v>0</v>
      </c>
      <c r="B9780" t="s">
        <v>134</v>
      </c>
      <c r="C9780" t="s">
        <v>13039</v>
      </c>
      <c r="E9780" t="s">
        <v>26527</v>
      </c>
      <c r="F9780" t="s">
        <v>30900</v>
      </c>
      <c r="G9780" t="s">
        <v>30907</v>
      </c>
      <c r="H9780" t="s">
        <v>30916</v>
      </c>
      <c r="I9780" t="s">
        <v>10602</v>
      </c>
      <c r="J9780" t="s">
        <v>37157</v>
      </c>
      <c r="K9780" t="s">
        <v>40428</v>
      </c>
      <c r="M9780" t="s">
        <v>40681</v>
      </c>
      <c r="N9780" t="s">
        <v>44759</v>
      </c>
      <c r="O9780" t="s">
        <v>44760</v>
      </c>
      <c r="P9780">
        <v>0</v>
      </c>
      <c r="Q9780">
        <v>1</v>
      </c>
      <c r="R9780" t="s">
        <v>44769</v>
      </c>
      <c r="S9780" t="s">
        <v>45044</v>
      </c>
      <c r="T9780" t="s">
        <v>46544</v>
      </c>
      <c r="U9780" t="s">
        <v>54994</v>
      </c>
      <c r="W9780" t="s">
        <v>40681</v>
      </c>
      <c r="X9780" t="s">
        <v>44770</v>
      </c>
    </row>
    <row r="9781" spans="1:24">
      <c r="A9781">
        <f>HYPERLINK("https://www.philgeps.gov.ph/GEPSNONPILOT/Tender/SplashBidNoticeAbstractUI.aspx?menuIndex=3&amp;refID=7138400&amp;Result=3","7138400")</f>
        <v>0</v>
      </c>
      <c r="B9781" t="s">
        <v>3056</v>
      </c>
      <c r="C9781" t="s">
        <v>13040</v>
      </c>
      <c r="D9781" t="s">
        <v>18017</v>
      </c>
      <c r="E9781" t="s">
        <v>26528</v>
      </c>
      <c r="F9781" t="s">
        <v>30900</v>
      </c>
      <c r="G9781" t="s">
        <v>30907</v>
      </c>
      <c r="H9781" t="s">
        <v>30916</v>
      </c>
      <c r="I9781" t="s">
        <v>30929</v>
      </c>
      <c r="J9781" t="s">
        <v>37158</v>
      </c>
      <c r="K9781" t="s">
        <v>40304</v>
      </c>
      <c r="M9781" t="s">
        <v>43866</v>
      </c>
      <c r="N9781" t="s">
        <v>44759</v>
      </c>
      <c r="O9781" t="s">
        <v>44760</v>
      </c>
      <c r="P9781">
        <v>0</v>
      </c>
      <c r="Q9781">
        <v>43</v>
      </c>
      <c r="R9781" t="s">
        <v>44769</v>
      </c>
      <c r="S9781" t="s">
        <v>45044</v>
      </c>
      <c r="T9781" t="s">
        <v>46450</v>
      </c>
      <c r="U9781" t="s">
        <v>55065</v>
      </c>
      <c r="W9781" t="s">
        <v>43866</v>
      </c>
      <c r="X9781" t="s">
        <v>44770</v>
      </c>
    </row>
    <row r="9782" spans="1:24">
      <c r="A9782">
        <f>HYPERLINK("https://www.philgeps.gov.ph/GEPSNONPILOT/Tender/SplashBidNoticeAbstractUI.aspx?menuIndex=3&amp;refID=7138394&amp;Result=3","7138394")</f>
        <v>0</v>
      </c>
      <c r="B9782" t="s">
        <v>2064</v>
      </c>
      <c r="C9782" t="s">
        <v>13041</v>
      </c>
      <c r="D9782" t="s">
        <v>17951</v>
      </c>
      <c r="E9782" t="s">
        <v>26529</v>
      </c>
      <c r="F9782" t="s">
        <v>30900</v>
      </c>
      <c r="G9782" t="s">
        <v>30907</v>
      </c>
      <c r="H9782" t="s">
        <v>30915</v>
      </c>
      <c r="I9782" t="s">
        <v>30981</v>
      </c>
      <c r="J9782" t="s">
        <v>37159</v>
      </c>
      <c r="K9782" t="s">
        <v>40280</v>
      </c>
      <c r="M9782" t="s">
        <v>42763</v>
      </c>
      <c r="N9782" t="s">
        <v>44759</v>
      </c>
      <c r="O9782" t="s">
        <v>44760</v>
      </c>
      <c r="P9782">
        <v>0</v>
      </c>
      <c r="Q9782">
        <v>3</v>
      </c>
      <c r="R9782" t="s">
        <v>44769</v>
      </c>
      <c r="S9782" t="s">
        <v>45044</v>
      </c>
      <c r="T9782" t="s">
        <v>46839</v>
      </c>
      <c r="U9782" t="s">
        <v>55066</v>
      </c>
      <c r="W9782" t="s">
        <v>42763</v>
      </c>
      <c r="X9782" t="s">
        <v>44770</v>
      </c>
    </row>
    <row r="9783" spans="1:24">
      <c r="A9783">
        <f>HYPERLINK("https://www.philgeps.gov.ph/GEPSNONPILOT/Tender/SplashBidNoticeAbstractUI.aspx?menuIndex=3&amp;refID=7138283&amp;Result=3","7138283")</f>
        <v>0</v>
      </c>
      <c r="B9783" t="s">
        <v>3057</v>
      </c>
      <c r="C9783" t="s">
        <v>13042</v>
      </c>
      <c r="D9783" t="s">
        <v>18027</v>
      </c>
      <c r="E9783" t="s">
        <v>26530</v>
      </c>
      <c r="F9783" t="s">
        <v>30900</v>
      </c>
      <c r="G9783" t="s">
        <v>30907</v>
      </c>
      <c r="H9783" t="s">
        <v>30916</v>
      </c>
      <c r="I9783" t="s">
        <v>30983</v>
      </c>
      <c r="J9783" t="s">
        <v>31049</v>
      </c>
      <c r="K9783" t="s">
        <v>40286</v>
      </c>
      <c r="M9783" t="s">
        <v>43867</v>
      </c>
      <c r="N9783" t="s">
        <v>44759</v>
      </c>
      <c r="O9783" t="s">
        <v>44760</v>
      </c>
      <c r="P9783">
        <v>0</v>
      </c>
      <c r="Q9783">
        <v>2</v>
      </c>
      <c r="R9783" t="s">
        <v>44769</v>
      </c>
      <c r="S9783" t="s">
        <v>45044</v>
      </c>
      <c r="T9783" t="s">
        <v>46391</v>
      </c>
      <c r="U9783" t="s">
        <v>55067</v>
      </c>
      <c r="W9783" t="s">
        <v>43867</v>
      </c>
      <c r="X9783" t="s">
        <v>44770</v>
      </c>
    </row>
    <row r="9784" spans="1:24">
      <c r="A9784">
        <f>HYPERLINK("https://www.philgeps.gov.ph/GEPSNONPILOT/Tender/SplashBidNoticeAbstractUI.aspx?menuIndex=3&amp;refID=7138385&amp;Result=3","7138385")</f>
        <v>0</v>
      </c>
      <c r="B9784" t="s">
        <v>3047</v>
      </c>
      <c r="C9784" t="s">
        <v>13043</v>
      </c>
      <c r="D9784" t="s">
        <v>18013</v>
      </c>
      <c r="E9784" t="s">
        <v>26531</v>
      </c>
      <c r="F9784" t="s">
        <v>30900</v>
      </c>
      <c r="G9784" t="s">
        <v>30907</v>
      </c>
      <c r="H9784" t="s">
        <v>30917</v>
      </c>
      <c r="I9784" t="s">
        <v>30924</v>
      </c>
      <c r="J9784" t="s">
        <v>32903</v>
      </c>
      <c r="K9784" t="s">
        <v>40293</v>
      </c>
      <c r="M9784" t="s">
        <v>43857</v>
      </c>
      <c r="N9784" t="s">
        <v>44759</v>
      </c>
      <c r="O9784" t="s">
        <v>44760</v>
      </c>
      <c r="P9784">
        <v>0</v>
      </c>
      <c r="Q9784">
        <v>5</v>
      </c>
      <c r="R9784" t="s">
        <v>44769</v>
      </c>
      <c r="S9784" t="s">
        <v>45044</v>
      </c>
      <c r="T9784" t="s">
        <v>46495</v>
      </c>
      <c r="U9784" t="s">
        <v>55068</v>
      </c>
      <c r="W9784" t="s">
        <v>43857</v>
      </c>
      <c r="X9784" t="s">
        <v>44770</v>
      </c>
    </row>
    <row r="9785" spans="1:24">
      <c r="A9785">
        <f>HYPERLINK("https://www.philgeps.gov.ph/GEPSNONPILOT/Tender/SplashBidNoticeAbstractUI.aspx?menuIndex=3&amp;refID=7138378&amp;Result=3","7138378")</f>
        <v>0</v>
      </c>
      <c r="B9785" t="s">
        <v>255</v>
      </c>
      <c r="C9785" t="s">
        <v>13044</v>
      </c>
      <c r="D9785" t="s">
        <v>17980</v>
      </c>
      <c r="E9785" t="s">
        <v>26532</v>
      </c>
      <c r="F9785" t="s">
        <v>30900</v>
      </c>
      <c r="G9785" t="s">
        <v>30907</v>
      </c>
      <c r="H9785" t="s">
        <v>30916</v>
      </c>
      <c r="I9785" t="s">
        <v>30933</v>
      </c>
      <c r="J9785" t="s">
        <v>37160</v>
      </c>
      <c r="K9785" t="s">
        <v>40280</v>
      </c>
      <c r="M9785" t="s">
        <v>40802</v>
      </c>
      <c r="N9785" t="s">
        <v>44759</v>
      </c>
      <c r="O9785" t="s">
        <v>44760</v>
      </c>
      <c r="P9785">
        <v>0</v>
      </c>
      <c r="Q9785">
        <v>6</v>
      </c>
      <c r="R9785" t="s">
        <v>44769</v>
      </c>
      <c r="S9785" t="s">
        <v>45044</v>
      </c>
      <c r="T9785" t="s">
        <v>46606</v>
      </c>
      <c r="U9785" t="s">
        <v>52217</v>
      </c>
      <c r="W9785" t="s">
        <v>40802</v>
      </c>
      <c r="X9785" t="s">
        <v>44770</v>
      </c>
    </row>
    <row r="9786" spans="1:24">
      <c r="A9786">
        <f>HYPERLINK("https://www.philgeps.gov.ph/GEPSNONPILOT/Tender/SplashBidNoticeAbstractUI.aspx?menuIndex=3&amp;refID=7138418&amp;Result=3","7138418")</f>
        <v>0</v>
      </c>
      <c r="B9786" t="s">
        <v>3058</v>
      </c>
      <c r="C9786" t="s">
        <v>13045</v>
      </c>
      <c r="D9786" t="s">
        <v>17989</v>
      </c>
      <c r="E9786" t="s">
        <v>26533</v>
      </c>
      <c r="F9786" t="s">
        <v>30900</v>
      </c>
      <c r="G9786" t="s">
        <v>30910</v>
      </c>
      <c r="H9786" t="s">
        <v>30916</v>
      </c>
      <c r="I9786" t="s">
        <v>4108</v>
      </c>
      <c r="J9786" t="s">
        <v>36602</v>
      </c>
      <c r="K9786" t="s">
        <v>40286</v>
      </c>
      <c r="M9786" t="s">
        <v>43868</v>
      </c>
      <c r="N9786" t="s">
        <v>44759</v>
      </c>
      <c r="O9786" t="s">
        <v>44760</v>
      </c>
      <c r="P9786">
        <v>0</v>
      </c>
      <c r="Q9786">
        <v>2</v>
      </c>
      <c r="R9786" t="s">
        <v>44769</v>
      </c>
      <c r="S9786" t="s">
        <v>45044</v>
      </c>
      <c r="T9786" t="s">
        <v>46391</v>
      </c>
      <c r="U9786" t="s">
        <v>55069</v>
      </c>
      <c r="V9786" t="s">
        <v>60190</v>
      </c>
      <c r="W9786" t="s">
        <v>43868</v>
      </c>
      <c r="X9786" t="s">
        <v>44770</v>
      </c>
    </row>
    <row r="9787" spans="1:24">
      <c r="A9787">
        <f>HYPERLINK("https://www.philgeps.gov.ph/GEPSNONPILOT/Tender/SplashBidNoticeAbstractUI.aspx?menuIndex=3&amp;refID=7138374&amp;Result=3","7138374")</f>
        <v>0</v>
      </c>
      <c r="B9787" t="s">
        <v>1991</v>
      </c>
      <c r="C9787" t="s">
        <v>13046</v>
      </c>
      <c r="D9787" t="s">
        <v>18012</v>
      </c>
      <c r="E9787" t="s">
        <v>26534</v>
      </c>
      <c r="F9787" t="s">
        <v>30900</v>
      </c>
      <c r="G9787" t="s">
        <v>30907</v>
      </c>
      <c r="H9787" t="s">
        <v>30916</v>
      </c>
      <c r="I9787" t="s">
        <v>4108</v>
      </c>
      <c r="J9787" t="s">
        <v>31096</v>
      </c>
      <c r="K9787" t="s">
        <v>40289</v>
      </c>
      <c r="M9787" t="s">
        <v>42682</v>
      </c>
      <c r="N9787" t="s">
        <v>44759</v>
      </c>
      <c r="O9787" t="s">
        <v>44760</v>
      </c>
      <c r="Q9787">
        <v>0</v>
      </c>
      <c r="R9787" t="s">
        <v>44769</v>
      </c>
      <c r="S9787" t="s">
        <v>45096</v>
      </c>
      <c r="T9787" t="s">
        <v>46411</v>
      </c>
      <c r="U9787" t="s">
        <v>55070</v>
      </c>
      <c r="W9787" t="s">
        <v>42682</v>
      </c>
      <c r="X9787" t="s">
        <v>44770</v>
      </c>
    </row>
    <row r="9788" spans="1:24">
      <c r="A9788">
        <f>HYPERLINK("https://www.philgeps.gov.ph/GEPSNONPILOT/Tender/SplashBidNoticeAbstractUI.aspx?menuIndex=3&amp;refID=7138397&amp;Result=3","7138397")</f>
        <v>0</v>
      </c>
      <c r="B9788" t="s">
        <v>2425</v>
      </c>
      <c r="C9788" t="s">
        <v>13047</v>
      </c>
      <c r="D9788" t="s">
        <v>17965</v>
      </c>
      <c r="E9788" t="s">
        <v>26535</v>
      </c>
      <c r="F9788" t="s">
        <v>30900</v>
      </c>
      <c r="G9788" t="s">
        <v>30907</v>
      </c>
      <c r="H9788" t="s">
        <v>30915</v>
      </c>
      <c r="I9788" t="s">
        <v>30919</v>
      </c>
      <c r="J9788" t="s">
        <v>32125</v>
      </c>
      <c r="K9788" t="s">
        <v>40479</v>
      </c>
      <c r="M9788" t="s">
        <v>43154</v>
      </c>
      <c r="N9788" t="s">
        <v>44759</v>
      </c>
      <c r="O9788" t="s">
        <v>44760</v>
      </c>
      <c r="P9788">
        <v>0</v>
      </c>
      <c r="Q9788">
        <v>0</v>
      </c>
      <c r="R9788" t="s">
        <v>44769</v>
      </c>
      <c r="S9788" t="s">
        <v>45044</v>
      </c>
      <c r="T9788" t="s">
        <v>46441</v>
      </c>
      <c r="U9788" t="s">
        <v>55071</v>
      </c>
      <c r="V9788" t="s">
        <v>60191</v>
      </c>
      <c r="W9788" t="s">
        <v>43154</v>
      </c>
      <c r="X9788" t="s">
        <v>44770</v>
      </c>
    </row>
    <row r="9789" spans="1:24">
      <c r="A9789">
        <f>HYPERLINK("https://www.philgeps.gov.ph/GEPSNONPILOT/Tender/SplashBidNoticeAbstractUI.aspx?menuIndex=3&amp;refID=7138390&amp;Result=3","7138390")</f>
        <v>0</v>
      </c>
      <c r="B9789" t="s">
        <v>3059</v>
      </c>
      <c r="C9789" t="s">
        <v>13048</v>
      </c>
      <c r="D9789" t="s">
        <v>17978</v>
      </c>
      <c r="E9789" t="s">
        <v>18935</v>
      </c>
      <c r="F9789" t="s">
        <v>30900</v>
      </c>
      <c r="G9789" t="s">
        <v>30907</v>
      </c>
      <c r="H9789" t="s">
        <v>30915</v>
      </c>
      <c r="I9789" t="s">
        <v>30919</v>
      </c>
      <c r="J9789" t="s">
        <v>31101</v>
      </c>
      <c r="K9789" t="s">
        <v>40286</v>
      </c>
      <c r="M9789" t="s">
        <v>43869</v>
      </c>
      <c r="N9789" t="s">
        <v>44759</v>
      </c>
      <c r="O9789" t="s">
        <v>44760</v>
      </c>
      <c r="P9789">
        <v>0</v>
      </c>
      <c r="Q9789">
        <v>0</v>
      </c>
      <c r="R9789" t="s">
        <v>44769</v>
      </c>
      <c r="S9789" t="s">
        <v>45044</v>
      </c>
      <c r="T9789" t="s">
        <v>46406</v>
      </c>
      <c r="U9789" t="s">
        <v>55072</v>
      </c>
      <c r="V9789" t="s">
        <v>60192</v>
      </c>
      <c r="W9789" t="s">
        <v>43869</v>
      </c>
      <c r="X9789" t="s">
        <v>44770</v>
      </c>
    </row>
    <row r="9790" spans="1:24">
      <c r="A9790">
        <f>HYPERLINK("https://www.philgeps.gov.ph/GEPSNONPILOT/Tender/SplashBidNoticeAbstractUI.aspx?menuIndex=3&amp;refID=7138510&amp;Result=3","7138510")</f>
        <v>0</v>
      </c>
      <c r="B9790" t="s">
        <v>928</v>
      </c>
      <c r="C9790" t="s">
        <v>13049</v>
      </c>
      <c r="D9790" t="s">
        <v>17972</v>
      </c>
      <c r="E9790" t="s">
        <v>25708</v>
      </c>
      <c r="F9790" t="s">
        <v>30900</v>
      </c>
      <c r="G9790" t="s">
        <v>30907</v>
      </c>
      <c r="H9790" t="s">
        <v>30915</v>
      </c>
      <c r="I9790" t="s">
        <v>30919</v>
      </c>
      <c r="J9790" t="s">
        <v>37161</v>
      </c>
      <c r="K9790" t="s">
        <v>40289</v>
      </c>
      <c r="M9790" t="s">
        <v>41510</v>
      </c>
      <c r="N9790" t="s">
        <v>44759</v>
      </c>
      <c r="O9790" t="s">
        <v>44760</v>
      </c>
      <c r="P9790">
        <v>0</v>
      </c>
      <c r="Q9790">
        <v>0</v>
      </c>
      <c r="R9790" t="s">
        <v>44769</v>
      </c>
      <c r="S9790" t="s">
        <v>45044</v>
      </c>
      <c r="T9790" t="s">
        <v>46488</v>
      </c>
      <c r="U9790" t="s">
        <v>54779</v>
      </c>
      <c r="W9790" t="s">
        <v>41510</v>
      </c>
      <c r="X9790" t="s">
        <v>44770</v>
      </c>
    </row>
    <row r="9791" spans="1:24">
      <c r="A9791">
        <f>HYPERLINK("https://www.philgeps.gov.ph/GEPSNONPILOT/Tender/SplashBidNoticeAbstractUI.aspx?menuIndex=3&amp;refID=7138384&amp;Result=3","7138384")</f>
        <v>0</v>
      </c>
      <c r="B9791" t="s">
        <v>3044</v>
      </c>
      <c r="C9791" t="s">
        <v>13050</v>
      </c>
      <c r="D9791" t="s">
        <v>17996</v>
      </c>
      <c r="E9791" t="s">
        <v>26536</v>
      </c>
      <c r="F9791" t="s">
        <v>30900</v>
      </c>
      <c r="G9791" t="s">
        <v>30907</v>
      </c>
      <c r="H9791" t="s">
        <v>30915</v>
      </c>
      <c r="I9791" t="s">
        <v>30919</v>
      </c>
      <c r="J9791" t="s">
        <v>37148</v>
      </c>
      <c r="K9791" t="s">
        <v>40445</v>
      </c>
      <c r="M9791" t="s">
        <v>43854</v>
      </c>
      <c r="N9791" t="s">
        <v>44759</v>
      </c>
      <c r="O9791" t="s">
        <v>44760</v>
      </c>
      <c r="P9791">
        <v>0</v>
      </c>
      <c r="Q9791">
        <v>4</v>
      </c>
      <c r="R9791" t="s">
        <v>44769</v>
      </c>
      <c r="S9791" t="s">
        <v>45044</v>
      </c>
      <c r="T9791" t="s">
        <v>46539</v>
      </c>
      <c r="U9791" t="s">
        <v>55073</v>
      </c>
      <c r="W9791" t="s">
        <v>43854</v>
      </c>
      <c r="X9791" t="s">
        <v>44770</v>
      </c>
    </row>
    <row r="9792" spans="1:24">
      <c r="A9792">
        <f>HYPERLINK("https://www.philgeps.gov.ph/GEPSNONPILOT/Tender/SplashBidNoticeAbstractUI.aspx?menuIndex=3&amp;refID=7138507&amp;Result=3","7138507")</f>
        <v>0</v>
      </c>
      <c r="B9792" t="s">
        <v>523</v>
      </c>
      <c r="C9792" t="s">
        <v>13051</v>
      </c>
      <c r="D9792" t="s">
        <v>17985</v>
      </c>
      <c r="E9792" t="s">
        <v>26537</v>
      </c>
      <c r="F9792" t="s">
        <v>30900</v>
      </c>
      <c r="G9792" t="s">
        <v>30908</v>
      </c>
      <c r="H9792" t="s">
        <v>30916</v>
      </c>
      <c r="I9792" t="s">
        <v>4108</v>
      </c>
      <c r="J9792" t="s">
        <v>37162</v>
      </c>
      <c r="K9792" t="s">
        <v>40286</v>
      </c>
      <c r="M9792" t="s">
        <v>42169</v>
      </c>
      <c r="N9792" t="s">
        <v>44759</v>
      </c>
      <c r="O9792" t="s">
        <v>44760</v>
      </c>
      <c r="Q9792">
        <v>2</v>
      </c>
      <c r="R9792" t="s">
        <v>44769</v>
      </c>
      <c r="S9792" t="s">
        <v>45097</v>
      </c>
      <c r="T9792" t="s">
        <v>46623</v>
      </c>
      <c r="U9792" t="s">
        <v>55074</v>
      </c>
      <c r="W9792" t="s">
        <v>60865</v>
      </c>
      <c r="X9792" t="s">
        <v>44770</v>
      </c>
    </row>
    <row r="9793" spans="1:24">
      <c r="A9793">
        <f>HYPERLINK("https://www.philgeps.gov.ph/GEPSNONPILOT/Tender/SplashBidNoticeAbstractUI.aspx?menuIndex=3&amp;refID=7138506&amp;Result=3","7138506")</f>
        <v>0</v>
      </c>
      <c r="B9793" t="s">
        <v>2369</v>
      </c>
      <c r="C9793" t="s">
        <v>13052</v>
      </c>
      <c r="D9793" t="s">
        <v>17985</v>
      </c>
      <c r="E9793" t="s">
        <v>25422</v>
      </c>
      <c r="F9793" t="s">
        <v>30900</v>
      </c>
      <c r="G9793" t="s">
        <v>30908</v>
      </c>
      <c r="H9793" t="s">
        <v>30916</v>
      </c>
      <c r="I9793" t="s">
        <v>4108</v>
      </c>
      <c r="J9793" t="s">
        <v>31686</v>
      </c>
      <c r="K9793" t="s">
        <v>40289</v>
      </c>
      <c r="M9793" t="s">
        <v>43095</v>
      </c>
      <c r="N9793" t="s">
        <v>44759</v>
      </c>
      <c r="O9793" t="s">
        <v>44760</v>
      </c>
      <c r="P9793">
        <v>0</v>
      </c>
      <c r="Q9793">
        <v>0</v>
      </c>
      <c r="R9793" t="s">
        <v>44769</v>
      </c>
      <c r="S9793" t="s">
        <v>45044</v>
      </c>
      <c r="T9793" t="s">
        <v>46390</v>
      </c>
      <c r="U9793" t="s">
        <v>55075</v>
      </c>
      <c r="W9793" t="s">
        <v>43095</v>
      </c>
      <c r="X9793" t="s">
        <v>44770</v>
      </c>
    </row>
    <row r="9794" spans="1:24">
      <c r="A9794">
        <f>HYPERLINK("https://www.philgeps.gov.ph/GEPSNONPILOT/Tender/SplashBidNoticeAbstractUI.aspx?menuIndex=3&amp;refID=7138509&amp;Result=3","7138509")</f>
        <v>0</v>
      </c>
      <c r="B9794" t="s">
        <v>255</v>
      </c>
      <c r="C9794" t="s">
        <v>13053</v>
      </c>
      <c r="D9794" t="s">
        <v>17980</v>
      </c>
      <c r="E9794" t="s">
        <v>26538</v>
      </c>
      <c r="F9794" t="s">
        <v>30900</v>
      </c>
      <c r="G9794" t="s">
        <v>30907</v>
      </c>
      <c r="H9794" t="s">
        <v>30916</v>
      </c>
      <c r="I9794" t="s">
        <v>30932</v>
      </c>
      <c r="J9794" t="s">
        <v>31897</v>
      </c>
      <c r="K9794" t="s">
        <v>40280</v>
      </c>
      <c r="M9794" t="s">
        <v>40802</v>
      </c>
      <c r="N9794" t="s">
        <v>44759</v>
      </c>
      <c r="O9794" t="s">
        <v>44760</v>
      </c>
      <c r="P9794">
        <v>0</v>
      </c>
      <c r="Q9794">
        <v>2</v>
      </c>
      <c r="R9794" t="s">
        <v>44769</v>
      </c>
      <c r="S9794" t="s">
        <v>45044</v>
      </c>
      <c r="T9794" t="s">
        <v>46606</v>
      </c>
      <c r="U9794" t="s">
        <v>52217</v>
      </c>
      <c r="W9794" t="s">
        <v>40802</v>
      </c>
      <c r="X9794" t="s">
        <v>44770</v>
      </c>
    </row>
    <row r="9795" spans="1:24">
      <c r="A9795">
        <f>HYPERLINK("https://www.philgeps.gov.ph/GEPSNONPILOT/Tender/SplashBidNoticeAbstractUI.aspx?menuIndex=3&amp;refID=7138502&amp;Result=3","7138502")</f>
        <v>0</v>
      </c>
      <c r="B9795" t="s">
        <v>806</v>
      </c>
      <c r="C9795" t="s">
        <v>13054</v>
      </c>
      <c r="D9795" t="s">
        <v>18029</v>
      </c>
      <c r="E9795" t="s">
        <v>26539</v>
      </c>
      <c r="F9795" t="s">
        <v>30900</v>
      </c>
      <c r="G9795" t="s">
        <v>30907</v>
      </c>
      <c r="H9795" t="s">
        <v>30915</v>
      </c>
      <c r="I9795" t="s">
        <v>30919</v>
      </c>
      <c r="J9795" t="s">
        <v>31157</v>
      </c>
      <c r="K9795" t="s">
        <v>40301</v>
      </c>
      <c r="M9795" t="s">
        <v>41376</v>
      </c>
      <c r="N9795" t="s">
        <v>44759</v>
      </c>
      <c r="O9795" t="s">
        <v>44760</v>
      </c>
      <c r="Q9795">
        <v>0</v>
      </c>
      <c r="R9795" t="s">
        <v>44769</v>
      </c>
      <c r="S9795" t="s">
        <v>45098</v>
      </c>
      <c r="T9795" t="s">
        <v>46840</v>
      </c>
      <c r="U9795" t="s">
        <v>55076</v>
      </c>
      <c r="W9795" t="s">
        <v>41376</v>
      </c>
      <c r="X9795" t="s">
        <v>44770</v>
      </c>
    </row>
    <row r="9796" spans="1:24">
      <c r="A9796">
        <f>HYPERLINK("https://www.philgeps.gov.ph/GEPSNONPILOT/Tender/SplashBidNoticeAbstractUI.aspx?menuIndex=3&amp;refID=7138501&amp;Result=3","7138501")</f>
        <v>0</v>
      </c>
      <c r="B9796" t="s">
        <v>854</v>
      </c>
      <c r="C9796" t="s">
        <v>13055</v>
      </c>
      <c r="D9796" t="s">
        <v>17963</v>
      </c>
      <c r="E9796" t="s">
        <v>26540</v>
      </c>
      <c r="F9796" t="s">
        <v>30900</v>
      </c>
      <c r="G9796" t="s">
        <v>30907</v>
      </c>
      <c r="H9796" t="s">
        <v>30916</v>
      </c>
      <c r="I9796" t="s">
        <v>30923</v>
      </c>
      <c r="J9796" t="s">
        <v>36467</v>
      </c>
      <c r="K9796" t="s">
        <v>40283</v>
      </c>
      <c r="M9796" t="s">
        <v>41427</v>
      </c>
      <c r="N9796" t="s">
        <v>44759</v>
      </c>
      <c r="O9796" t="s">
        <v>44760</v>
      </c>
      <c r="P9796">
        <v>0</v>
      </c>
      <c r="Q9796">
        <v>10</v>
      </c>
      <c r="R9796" t="s">
        <v>44769</v>
      </c>
      <c r="S9796" t="s">
        <v>45044</v>
      </c>
      <c r="T9796" t="s">
        <v>46625</v>
      </c>
      <c r="U9796" t="s">
        <v>55077</v>
      </c>
      <c r="V9796" t="s">
        <v>59319</v>
      </c>
      <c r="W9796" t="s">
        <v>41427</v>
      </c>
      <c r="X9796" t="s">
        <v>44770</v>
      </c>
    </row>
    <row r="9797" spans="1:24">
      <c r="A9797">
        <f>HYPERLINK("https://www.philgeps.gov.ph/GEPSNONPILOT/Tender/SplashBidNoticeAbstractUI.aspx?menuIndex=3&amp;refID=7138372&amp;Result=3","7138372")</f>
        <v>0</v>
      </c>
      <c r="B9797" t="s">
        <v>928</v>
      </c>
      <c r="C9797" t="s">
        <v>13056</v>
      </c>
      <c r="D9797" t="s">
        <v>17972</v>
      </c>
      <c r="E9797" t="s">
        <v>21654</v>
      </c>
      <c r="F9797" t="s">
        <v>30900</v>
      </c>
      <c r="G9797" t="s">
        <v>30907</v>
      </c>
      <c r="H9797" t="s">
        <v>30915</v>
      </c>
      <c r="I9797" t="s">
        <v>30919</v>
      </c>
      <c r="J9797" t="s">
        <v>37163</v>
      </c>
      <c r="K9797" t="s">
        <v>40289</v>
      </c>
      <c r="M9797" t="s">
        <v>41510</v>
      </c>
      <c r="N9797" t="s">
        <v>44759</v>
      </c>
      <c r="O9797" t="s">
        <v>44760</v>
      </c>
      <c r="P9797">
        <v>0</v>
      </c>
      <c r="Q9797">
        <v>1</v>
      </c>
      <c r="R9797" t="s">
        <v>44769</v>
      </c>
      <c r="S9797" t="s">
        <v>45044</v>
      </c>
      <c r="T9797" t="s">
        <v>46595</v>
      </c>
      <c r="U9797" t="s">
        <v>54779</v>
      </c>
      <c r="W9797" t="s">
        <v>41510</v>
      </c>
      <c r="X9797" t="s">
        <v>44770</v>
      </c>
    </row>
    <row r="9798" spans="1:24">
      <c r="A9798">
        <f>HYPERLINK("https://www.philgeps.gov.ph/GEPSNONPILOT/Tender/SplashBidNoticeAbstractUI.aspx?menuIndex=3&amp;refID=7138493&amp;Result=3","7138493")</f>
        <v>0</v>
      </c>
      <c r="B9798" t="s">
        <v>934</v>
      </c>
      <c r="C9798" t="s">
        <v>13057</v>
      </c>
      <c r="D9798" t="s">
        <v>17984</v>
      </c>
      <c r="E9798" t="s">
        <v>23982</v>
      </c>
      <c r="F9798" t="s">
        <v>30900</v>
      </c>
      <c r="G9798" t="s">
        <v>30907</v>
      </c>
      <c r="H9798" t="s">
        <v>30915</v>
      </c>
      <c r="I9798" t="s">
        <v>30919</v>
      </c>
      <c r="J9798" t="s">
        <v>37164</v>
      </c>
      <c r="K9798" t="s">
        <v>40348</v>
      </c>
      <c r="M9798" t="s">
        <v>41517</v>
      </c>
      <c r="N9798" t="s">
        <v>44759</v>
      </c>
      <c r="O9798" t="s">
        <v>44760</v>
      </c>
      <c r="P9798">
        <v>0</v>
      </c>
      <c r="Q9798">
        <v>1</v>
      </c>
      <c r="R9798" t="s">
        <v>44769</v>
      </c>
      <c r="S9798" t="s">
        <v>45044</v>
      </c>
      <c r="T9798" t="s">
        <v>46515</v>
      </c>
      <c r="U9798" t="s">
        <v>55078</v>
      </c>
      <c r="W9798" t="s">
        <v>41517</v>
      </c>
      <c r="X9798" t="s">
        <v>44770</v>
      </c>
    </row>
    <row r="9799" spans="1:24">
      <c r="A9799">
        <f>HYPERLINK("https://www.philgeps.gov.ph/GEPSNONPILOT/Tender/SplashBidNoticeAbstractUI.aspx?menuIndex=3&amp;refID=7138490&amp;Result=3","7138490")</f>
        <v>0</v>
      </c>
      <c r="B9799" t="s">
        <v>3047</v>
      </c>
      <c r="C9799" t="s">
        <v>13058</v>
      </c>
      <c r="D9799" t="s">
        <v>18013</v>
      </c>
      <c r="E9799" t="s">
        <v>26541</v>
      </c>
      <c r="F9799" t="s">
        <v>30900</v>
      </c>
      <c r="G9799" t="s">
        <v>30907</v>
      </c>
      <c r="H9799" t="s">
        <v>30917</v>
      </c>
      <c r="I9799" t="s">
        <v>30924</v>
      </c>
      <c r="J9799" t="s">
        <v>31214</v>
      </c>
      <c r="K9799" t="s">
        <v>40280</v>
      </c>
      <c r="M9799" t="s">
        <v>43857</v>
      </c>
      <c r="N9799" t="s">
        <v>44759</v>
      </c>
      <c r="O9799" t="s">
        <v>44760</v>
      </c>
      <c r="P9799">
        <v>0</v>
      </c>
      <c r="Q9799">
        <v>2</v>
      </c>
      <c r="R9799" t="s">
        <v>44769</v>
      </c>
      <c r="S9799" t="s">
        <v>45044</v>
      </c>
      <c r="T9799" t="s">
        <v>46495</v>
      </c>
      <c r="U9799" t="s">
        <v>55079</v>
      </c>
      <c r="W9799" t="s">
        <v>43857</v>
      </c>
      <c r="X9799" t="s">
        <v>44770</v>
      </c>
    </row>
    <row r="9800" spans="1:24">
      <c r="A9800">
        <f>HYPERLINK("https://www.philgeps.gov.ph/GEPSNONPILOT/Tender/SplashBidNoticeAbstractUI.aspx?menuIndex=3&amp;refID=7138489&amp;Result=3","7138489")</f>
        <v>0</v>
      </c>
      <c r="B9800" t="s">
        <v>1047</v>
      </c>
      <c r="C9800" t="s">
        <v>13059</v>
      </c>
      <c r="D9800" t="s">
        <v>18010</v>
      </c>
      <c r="E9800" t="s">
        <v>22726</v>
      </c>
      <c r="F9800" t="s">
        <v>30900</v>
      </c>
      <c r="G9800" t="s">
        <v>30907</v>
      </c>
      <c r="H9800" t="s">
        <v>30916</v>
      </c>
      <c r="I9800" t="s">
        <v>4142</v>
      </c>
      <c r="J9800" t="s">
        <v>37165</v>
      </c>
      <c r="K9800" t="s">
        <v>40283</v>
      </c>
      <c r="M9800" t="s">
        <v>41641</v>
      </c>
      <c r="N9800" t="s">
        <v>44759</v>
      </c>
      <c r="O9800" t="s">
        <v>44760</v>
      </c>
      <c r="P9800">
        <v>0</v>
      </c>
      <c r="Q9800">
        <v>9</v>
      </c>
      <c r="R9800" t="s">
        <v>44769</v>
      </c>
      <c r="S9800" t="s">
        <v>45044</v>
      </c>
      <c r="T9800" t="s">
        <v>46807</v>
      </c>
      <c r="U9800" t="s">
        <v>55080</v>
      </c>
      <c r="W9800" t="s">
        <v>41641</v>
      </c>
      <c r="X9800" t="s">
        <v>44770</v>
      </c>
    </row>
    <row r="9801" spans="1:24">
      <c r="A9801">
        <f>HYPERLINK("https://www.philgeps.gov.ph/GEPSNONPILOT/Tender/SplashBidNoticeAbstractUI.aspx?menuIndex=3&amp;refID=7138456&amp;Result=3","7138456")</f>
        <v>0</v>
      </c>
      <c r="B9801" t="s">
        <v>2837</v>
      </c>
      <c r="C9801" t="s">
        <v>13060</v>
      </c>
      <c r="D9801" t="s">
        <v>17952</v>
      </c>
      <c r="E9801" t="s">
        <v>26542</v>
      </c>
      <c r="F9801" t="s">
        <v>30904</v>
      </c>
      <c r="G9801" t="s">
        <v>30907</v>
      </c>
      <c r="H9801" t="s">
        <v>30915</v>
      </c>
      <c r="I9801" t="s">
        <v>30919</v>
      </c>
      <c r="J9801" t="s">
        <v>37166</v>
      </c>
      <c r="K9801" t="s">
        <v>40289</v>
      </c>
      <c r="M9801" t="s">
        <v>43622</v>
      </c>
      <c r="N9801" t="s">
        <v>44759</v>
      </c>
      <c r="O9801" t="s">
        <v>44760</v>
      </c>
      <c r="P9801">
        <v>0</v>
      </c>
      <c r="Q9801">
        <v>0</v>
      </c>
      <c r="R9801" t="s">
        <v>44769</v>
      </c>
      <c r="S9801" t="s">
        <v>45044</v>
      </c>
      <c r="T9801" t="s">
        <v>46544</v>
      </c>
      <c r="U9801" t="s">
        <v>55081</v>
      </c>
      <c r="V9801" t="s">
        <v>60077</v>
      </c>
      <c r="W9801" t="s">
        <v>43622</v>
      </c>
      <c r="X9801" t="s">
        <v>44770</v>
      </c>
    </row>
    <row r="9802" spans="1:24">
      <c r="A9802">
        <f>HYPERLINK("https://www.philgeps.gov.ph/GEPSNONPILOT/Tender/SplashBidNoticeAbstractUI.aspx?menuIndex=3&amp;refID=7138395&amp;Result=3","7138395")</f>
        <v>0</v>
      </c>
      <c r="B9802" t="s">
        <v>894</v>
      </c>
      <c r="C9802" t="s">
        <v>13061</v>
      </c>
      <c r="D9802" t="s">
        <v>18011</v>
      </c>
      <c r="E9802" t="s">
        <v>26543</v>
      </c>
      <c r="F9802" t="s">
        <v>30900</v>
      </c>
      <c r="G9802" t="s">
        <v>30907</v>
      </c>
      <c r="H9802" t="s">
        <v>30915</v>
      </c>
      <c r="I9802" t="s">
        <v>30919</v>
      </c>
      <c r="J9802" t="s">
        <v>32224</v>
      </c>
      <c r="K9802" t="s">
        <v>40480</v>
      </c>
      <c r="M9802" t="s">
        <v>41468</v>
      </c>
      <c r="N9802" t="s">
        <v>44759</v>
      </c>
      <c r="O9802" t="s">
        <v>44760</v>
      </c>
      <c r="P9802">
        <v>0</v>
      </c>
      <c r="Q9802">
        <v>1</v>
      </c>
      <c r="R9802" t="s">
        <v>44769</v>
      </c>
      <c r="S9802" t="s">
        <v>45044</v>
      </c>
      <c r="T9802" t="s">
        <v>46544</v>
      </c>
      <c r="U9802" t="s">
        <v>55082</v>
      </c>
      <c r="W9802" t="s">
        <v>41468</v>
      </c>
      <c r="X9802" t="s">
        <v>44770</v>
      </c>
    </row>
    <row r="9803" spans="1:24">
      <c r="A9803">
        <f>HYPERLINK("https://www.philgeps.gov.ph/GEPSNONPILOT/Tender/SplashBidNoticeAbstractUI.aspx?menuIndex=3&amp;refID=7138455&amp;Result=3","7138455")</f>
        <v>0</v>
      </c>
      <c r="B9803" t="s">
        <v>681</v>
      </c>
      <c r="C9803" t="s">
        <v>13062</v>
      </c>
      <c r="D9803" t="s">
        <v>17982</v>
      </c>
      <c r="E9803" t="s">
        <v>26544</v>
      </c>
      <c r="F9803" t="s">
        <v>30900</v>
      </c>
      <c r="G9803" t="s">
        <v>30907</v>
      </c>
      <c r="H9803" t="s">
        <v>30916</v>
      </c>
      <c r="I9803" t="s">
        <v>8123</v>
      </c>
      <c r="J9803" t="s">
        <v>37167</v>
      </c>
      <c r="K9803" t="s">
        <v>40286</v>
      </c>
      <c r="M9803" t="s">
        <v>41244</v>
      </c>
      <c r="N9803" t="s">
        <v>44759</v>
      </c>
      <c r="O9803" t="s">
        <v>44760</v>
      </c>
      <c r="P9803">
        <v>0</v>
      </c>
      <c r="Q9803">
        <v>0</v>
      </c>
      <c r="R9803" t="s">
        <v>44769</v>
      </c>
      <c r="S9803" t="s">
        <v>45044</v>
      </c>
      <c r="T9803" t="s">
        <v>46369</v>
      </c>
      <c r="U9803" t="s">
        <v>55083</v>
      </c>
      <c r="V9803" t="s">
        <v>60193</v>
      </c>
      <c r="W9803" t="s">
        <v>41244</v>
      </c>
      <c r="X9803" t="s">
        <v>44770</v>
      </c>
    </row>
    <row r="9804" spans="1:24">
      <c r="A9804">
        <f>HYPERLINK("https://www.philgeps.gov.ph/GEPSNONPILOT/Tender/SplashBidNoticeAbstractUI.aspx?menuIndex=3&amp;refID=7138448&amp;Result=3","7138448")</f>
        <v>0</v>
      </c>
      <c r="B9804" t="s">
        <v>2486</v>
      </c>
      <c r="C9804" t="s">
        <v>13063</v>
      </c>
      <c r="D9804" t="s">
        <v>17978</v>
      </c>
      <c r="E9804" t="s">
        <v>26545</v>
      </c>
      <c r="F9804" t="s">
        <v>30899</v>
      </c>
      <c r="G9804" t="s">
        <v>30907</v>
      </c>
      <c r="H9804" t="s">
        <v>30915</v>
      </c>
      <c r="I9804" t="s">
        <v>30919</v>
      </c>
      <c r="J9804" t="s">
        <v>37168</v>
      </c>
      <c r="K9804" t="s">
        <v>40292</v>
      </c>
      <c r="M9804" t="s">
        <v>43227</v>
      </c>
      <c r="N9804" t="s">
        <v>44759</v>
      </c>
      <c r="O9804" t="s">
        <v>44760</v>
      </c>
      <c r="P9804">
        <v>0</v>
      </c>
      <c r="Q9804">
        <v>3</v>
      </c>
      <c r="R9804" t="s">
        <v>44769</v>
      </c>
      <c r="S9804" t="s">
        <v>45044</v>
      </c>
      <c r="T9804" t="s">
        <v>46411</v>
      </c>
      <c r="U9804" t="s">
        <v>55084</v>
      </c>
      <c r="V9804" t="s">
        <v>59933</v>
      </c>
      <c r="W9804" t="s">
        <v>43227</v>
      </c>
      <c r="X9804" t="s">
        <v>44770</v>
      </c>
    </row>
    <row r="9805" spans="1:24">
      <c r="A9805">
        <f>HYPERLINK("https://www.philgeps.gov.ph/GEPSNONPILOT/Tender/SplashBidNoticeAbstractUI.aspx?menuIndex=3&amp;refID=7138491&amp;Result=3","7138491")</f>
        <v>0</v>
      </c>
      <c r="B9805" t="s">
        <v>3060</v>
      </c>
      <c r="C9805" t="s">
        <v>13064</v>
      </c>
      <c r="D9805" t="s">
        <v>17963</v>
      </c>
      <c r="E9805" t="s">
        <v>26157</v>
      </c>
      <c r="F9805" t="s">
        <v>30900</v>
      </c>
      <c r="G9805" t="s">
        <v>30907</v>
      </c>
      <c r="H9805" t="s">
        <v>30916</v>
      </c>
      <c r="I9805" t="s">
        <v>30943</v>
      </c>
      <c r="J9805" t="s">
        <v>31280</v>
      </c>
      <c r="K9805" t="s">
        <v>40285</v>
      </c>
      <c r="M9805" t="s">
        <v>43870</v>
      </c>
      <c r="N9805" t="s">
        <v>44759</v>
      </c>
      <c r="O9805" t="s">
        <v>44760</v>
      </c>
      <c r="P9805">
        <v>0</v>
      </c>
      <c r="Q9805">
        <v>10</v>
      </c>
      <c r="R9805" t="s">
        <v>44769</v>
      </c>
      <c r="S9805" t="s">
        <v>45044</v>
      </c>
      <c r="T9805" t="s">
        <v>46374</v>
      </c>
      <c r="U9805" t="s">
        <v>55085</v>
      </c>
      <c r="V9805" t="s">
        <v>60194</v>
      </c>
      <c r="W9805" t="s">
        <v>43870</v>
      </c>
      <c r="X9805" t="s">
        <v>44770</v>
      </c>
    </row>
    <row r="9806" spans="1:24">
      <c r="A9806">
        <f>HYPERLINK("https://www.philgeps.gov.ph/GEPSNONPILOT/Tender/SplashBidNoticeAbstractUI.aspx?menuIndex=3&amp;refID=7138589&amp;Result=3","7138589")</f>
        <v>0</v>
      </c>
      <c r="B9806" t="s">
        <v>934</v>
      </c>
      <c r="C9806" t="s">
        <v>13065</v>
      </c>
      <c r="D9806" t="s">
        <v>17984</v>
      </c>
      <c r="E9806" t="s">
        <v>26546</v>
      </c>
      <c r="F9806" t="s">
        <v>30900</v>
      </c>
      <c r="G9806" t="s">
        <v>30907</v>
      </c>
      <c r="H9806" t="s">
        <v>30915</v>
      </c>
      <c r="I9806" t="s">
        <v>30919</v>
      </c>
      <c r="J9806" t="s">
        <v>37169</v>
      </c>
      <c r="K9806" t="s">
        <v>40315</v>
      </c>
      <c r="M9806" t="s">
        <v>41517</v>
      </c>
      <c r="N9806" t="s">
        <v>44759</v>
      </c>
      <c r="O9806" t="s">
        <v>44760</v>
      </c>
      <c r="P9806">
        <v>0</v>
      </c>
      <c r="Q9806">
        <v>1</v>
      </c>
      <c r="R9806" t="s">
        <v>44769</v>
      </c>
      <c r="S9806" t="s">
        <v>45044</v>
      </c>
      <c r="T9806" t="s">
        <v>46515</v>
      </c>
      <c r="U9806" t="s">
        <v>55086</v>
      </c>
      <c r="W9806" t="s">
        <v>41517</v>
      </c>
      <c r="X9806" t="s">
        <v>44770</v>
      </c>
    </row>
    <row r="9807" spans="1:24">
      <c r="A9807">
        <f>HYPERLINK("https://www.philgeps.gov.ph/GEPSNONPILOT/Tender/SplashBidNoticeAbstractUI.aspx?menuIndex=3&amp;refID=7138461&amp;Result=3","7138461")</f>
        <v>0</v>
      </c>
      <c r="B9807" t="s">
        <v>3059</v>
      </c>
      <c r="C9807" t="s">
        <v>13066</v>
      </c>
      <c r="D9807" t="s">
        <v>17978</v>
      </c>
      <c r="E9807" t="s">
        <v>19026</v>
      </c>
      <c r="F9807" t="s">
        <v>30900</v>
      </c>
      <c r="G9807" t="s">
        <v>30907</v>
      </c>
      <c r="H9807" t="s">
        <v>30915</v>
      </c>
      <c r="I9807" t="s">
        <v>30919</v>
      </c>
      <c r="J9807" t="s">
        <v>37170</v>
      </c>
      <c r="K9807" t="s">
        <v>40286</v>
      </c>
      <c r="M9807" t="s">
        <v>43869</v>
      </c>
      <c r="N9807" t="s">
        <v>44759</v>
      </c>
      <c r="O9807" t="s">
        <v>44760</v>
      </c>
      <c r="P9807">
        <v>0</v>
      </c>
      <c r="Q9807">
        <v>0</v>
      </c>
      <c r="R9807" t="s">
        <v>44769</v>
      </c>
      <c r="S9807" t="s">
        <v>45044</v>
      </c>
      <c r="T9807" t="s">
        <v>46406</v>
      </c>
      <c r="U9807" t="s">
        <v>55087</v>
      </c>
      <c r="V9807" t="s">
        <v>60195</v>
      </c>
      <c r="W9807" t="s">
        <v>43869</v>
      </c>
      <c r="X9807" t="s">
        <v>44770</v>
      </c>
    </row>
    <row r="9808" spans="1:24">
      <c r="A9808">
        <f>HYPERLINK("https://www.philgeps.gov.ph/GEPSNONPILOT/Tender/SplashBidNoticeAbstractUI.aspx?menuIndex=3&amp;refID=7138588&amp;Result=3","7138588")</f>
        <v>0</v>
      </c>
      <c r="B9808" t="s">
        <v>3061</v>
      </c>
      <c r="C9808" t="s">
        <v>13067</v>
      </c>
      <c r="D9808" t="s">
        <v>18013</v>
      </c>
      <c r="E9808" t="s">
        <v>26157</v>
      </c>
      <c r="F9808" t="s">
        <v>30900</v>
      </c>
      <c r="G9808" t="s">
        <v>30907</v>
      </c>
      <c r="H9808" t="s">
        <v>30916</v>
      </c>
      <c r="I9808" t="s">
        <v>30927</v>
      </c>
      <c r="J9808" t="s">
        <v>31101</v>
      </c>
      <c r="K9808" t="s">
        <v>40283</v>
      </c>
      <c r="M9808" t="s">
        <v>43871</v>
      </c>
      <c r="N9808" t="s">
        <v>44759</v>
      </c>
      <c r="O9808" t="s">
        <v>44760</v>
      </c>
      <c r="P9808">
        <v>0</v>
      </c>
      <c r="Q9808">
        <v>0</v>
      </c>
      <c r="R9808" t="s">
        <v>44769</v>
      </c>
      <c r="S9808" t="s">
        <v>45044</v>
      </c>
      <c r="T9808" t="s">
        <v>46399</v>
      </c>
      <c r="U9808" t="s">
        <v>55088</v>
      </c>
      <c r="W9808" t="s">
        <v>43871</v>
      </c>
      <c r="X9808" t="s">
        <v>44770</v>
      </c>
    </row>
    <row r="9809" spans="1:24">
      <c r="A9809">
        <f>HYPERLINK("https://www.philgeps.gov.ph/GEPSNONPILOT/Tender/SplashBidNoticeAbstractUI.aspx?menuIndex=3&amp;refID=7138398&amp;Result=3","7138398")</f>
        <v>0</v>
      </c>
      <c r="B9809" t="s">
        <v>2486</v>
      </c>
      <c r="C9809" t="s">
        <v>13068</v>
      </c>
      <c r="D9809" t="s">
        <v>17978</v>
      </c>
      <c r="E9809" t="s">
        <v>26547</v>
      </c>
      <c r="F9809" t="s">
        <v>30899</v>
      </c>
      <c r="G9809" t="s">
        <v>30907</v>
      </c>
      <c r="H9809" t="s">
        <v>30915</v>
      </c>
      <c r="I9809" t="s">
        <v>30919</v>
      </c>
      <c r="J9809" t="s">
        <v>37171</v>
      </c>
      <c r="K9809" t="s">
        <v>40292</v>
      </c>
      <c r="M9809" t="s">
        <v>43227</v>
      </c>
      <c r="N9809" t="s">
        <v>44759</v>
      </c>
      <c r="O9809" t="s">
        <v>44760</v>
      </c>
      <c r="P9809">
        <v>0</v>
      </c>
      <c r="Q9809">
        <v>2</v>
      </c>
      <c r="R9809" t="s">
        <v>44769</v>
      </c>
      <c r="S9809" t="s">
        <v>45044</v>
      </c>
      <c r="T9809" t="s">
        <v>46411</v>
      </c>
      <c r="U9809" t="s">
        <v>55089</v>
      </c>
      <c r="V9809" t="s">
        <v>59933</v>
      </c>
      <c r="W9809" t="s">
        <v>43227</v>
      </c>
      <c r="X9809" t="s">
        <v>44770</v>
      </c>
    </row>
    <row r="9810" spans="1:24">
      <c r="A9810">
        <f>HYPERLINK("https://www.philgeps.gov.ph/GEPSNONPILOT/Tender/SplashBidNoticeAbstractUI.aspx?menuIndex=3&amp;refID=7138577&amp;Result=3","7138577")</f>
        <v>0</v>
      </c>
      <c r="B9810" t="s">
        <v>418</v>
      </c>
      <c r="C9810" t="s">
        <v>13069</v>
      </c>
      <c r="D9810" t="s">
        <v>17959</v>
      </c>
      <c r="E9810" t="s">
        <v>26548</v>
      </c>
      <c r="F9810" t="s">
        <v>30900</v>
      </c>
      <c r="G9810" t="s">
        <v>30907</v>
      </c>
      <c r="H9810" t="s">
        <v>30916</v>
      </c>
      <c r="I9810" t="s">
        <v>30924</v>
      </c>
      <c r="J9810" t="s">
        <v>37172</v>
      </c>
      <c r="K9810" t="s">
        <v>40397</v>
      </c>
      <c r="M9810" t="s">
        <v>41509</v>
      </c>
      <c r="N9810" t="s">
        <v>44759</v>
      </c>
      <c r="O9810" t="s">
        <v>44760</v>
      </c>
      <c r="P9810">
        <v>0</v>
      </c>
      <c r="Q9810">
        <v>16</v>
      </c>
      <c r="R9810" t="s">
        <v>44769</v>
      </c>
      <c r="S9810" t="s">
        <v>45044</v>
      </c>
      <c r="T9810" t="s">
        <v>46689</v>
      </c>
      <c r="U9810" t="s">
        <v>55090</v>
      </c>
      <c r="W9810" t="s">
        <v>41509</v>
      </c>
      <c r="X9810" t="s">
        <v>44770</v>
      </c>
    </row>
    <row r="9811" spans="1:24">
      <c r="A9811">
        <f>HYPERLINK("https://www.philgeps.gov.ph/GEPSNONPILOT/Tender/SplashBidNoticeAbstractUI.aspx?menuIndex=3&amp;refID=7138511&amp;Result=3","7138511")</f>
        <v>0</v>
      </c>
      <c r="B9811" t="s">
        <v>3062</v>
      </c>
      <c r="C9811" t="s">
        <v>13070</v>
      </c>
      <c r="D9811" t="s">
        <v>18020</v>
      </c>
      <c r="E9811" t="s">
        <v>19529</v>
      </c>
      <c r="F9811" t="s">
        <v>30900</v>
      </c>
      <c r="G9811" t="s">
        <v>30907</v>
      </c>
      <c r="H9811" t="s">
        <v>30916</v>
      </c>
      <c r="I9811" t="s">
        <v>4545</v>
      </c>
      <c r="J9811" t="s">
        <v>37173</v>
      </c>
      <c r="K9811" t="s">
        <v>40286</v>
      </c>
      <c r="M9811" t="s">
        <v>43872</v>
      </c>
      <c r="N9811" t="s">
        <v>44759</v>
      </c>
      <c r="O9811" t="s">
        <v>44760</v>
      </c>
      <c r="P9811">
        <v>0</v>
      </c>
      <c r="Q9811">
        <v>6</v>
      </c>
      <c r="R9811" t="s">
        <v>44769</v>
      </c>
      <c r="S9811" t="s">
        <v>45044</v>
      </c>
      <c r="T9811" t="s">
        <v>46606</v>
      </c>
      <c r="U9811" t="s">
        <v>55091</v>
      </c>
      <c r="W9811" t="s">
        <v>43872</v>
      </c>
      <c r="X9811" t="s">
        <v>44770</v>
      </c>
    </row>
    <row r="9812" spans="1:24">
      <c r="A9812">
        <f>HYPERLINK("https://www.philgeps.gov.ph/GEPSNONPILOT/Tender/SplashBidNoticeAbstractUI.aspx?menuIndex=3&amp;refID=7138568&amp;Result=3","7138568")</f>
        <v>0</v>
      </c>
      <c r="B9812" t="s">
        <v>934</v>
      </c>
      <c r="C9812" t="s">
        <v>13071</v>
      </c>
      <c r="D9812" t="s">
        <v>17984</v>
      </c>
      <c r="E9812" t="s">
        <v>24635</v>
      </c>
      <c r="F9812" t="s">
        <v>30900</v>
      </c>
      <c r="G9812" t="s">
        <v>30907</v>
      </c>
      <c r="H9812" t="s">
        <v>30915</v>
      </c>
      <c r="I9812" t="s">
        <v>30919</v>
      </c>
      <c r="J9812" t="s">
        <v>37174</v>
      </c>
      <c r="K9812" t="s">
        <v>40284</v>
      </c>
      <c r="M9812" t="s">
        <v>41517</v>
      </c>
      <c r="N9812" t="s">
        <v>44759</v>
      </c>
      <c r="O9812" t="s">
        <v>44760</v>
      </c>
      <c r="P9812">
        <v>0</v>
      </c>
      <c r="Q9812">
        <v>1</v>
      </c>
      <c r="R9812" t="s">
        <v>44769</v>
      </c>
      <c r="S9812" t="s">
        <v>45044</v>
      </c>
      <c r="T9812" t="s">
        <v>46515</v>
      </c>
      <c r="U9812" t="s">
        <v>55092</v>
      </c>
      <c r="W9812" t="s">
        <v>41517</v>
      </c>
      <c r="X9812" t="s">
        <v>44770</v>
      </c>
    </row>
    <row r="9813" spans="1:24">
      <c r="A9813">
        <f>HYPERLINK("https://www.philgeps.gov.ph/GEPSNONPILOT/Tender/SplashBidNoticeAbstractUI.aspx?menuIndex=3&amp;refID=7138465&amp;Result=3","7138465")</f>
        <v>0</v>
      </c>
      <c r="B9813" t="s">
        <v>2064</v>
      </c>
      <c r="C9813" t="s">
        <v>13072</v>
      </c>
      <c r="D9813" t="s">
        <v>17951</v>
      </c>
      <c r="E9813" t="s">
        <v>26549</v>
      </c>
      <c r="F9813" t="s">
        <v>30900</v>
      </c>
      <c r="G9813" t="s">
        <v>30907</v>
      </c>
      <c r="H9813" t="s">
        <v>30916</v>
      </c>
      <c r="I9813" t="s">
        <v>30960</v>
      </c>
      <c r="J9813" t="s">
        <v>37175</v>
      </c>
      <c r="K9813" t="s">
        <v>40286</v>
      </c>
      <c r="M9813" t="s">
        <v>42763</v>
      </c>
      <c r="N9813" t="s">
        <v>44759</v>
      </c>
      <c r="O9813" t="s">
        <v>44760</v>
      </c>
      <c r="P9813">
        <v>0</v>
      </c>
      <c r="Q9813">
        <v>2</v>
      </c>
      <c r="R9813" t="s">
        <v>44769</v>
      </c>
      <c r="S9813" t="s">
        <v>45044</v>
      </c>
      <c r="T9813" t="s">
        <v>46841</v>
      </c>
      <c r="U9813" t="s">
        <v>55093</v>
      </c>
      <c r="W9813" t="s">
        <v>42763</v>
      </c>
      <c r="X9813" t="s">
        <v>44770</v>
      </c>
    </row>
    <row r="9814" spans="1:24">
      <c r="A9814">
        <f>HYPERLINK("https://www.philgeps.gov.ph/GEPSNONPILOT/Tender/SplashBidNoticeAbstractUI.aspx?menuIndex=3&amp;refID=7138550&amp;Result=3","7138550")</f>
        <v>0</v>
      </c>
      <c r="B9814" t="s">
        <v>934</v>
      </c>
      <c r="C9814" t="s">
        <v>13073</v>
      </c>
      <c r="D9814" t="s">
        <v>17984</v>
      </c>
      <c r="E9814" t="s">
        <v>19779</v>
      </c>
      <c r="F9814" t="s">
        <v>30900</v>
      </c>
      <c r="G9814" t="s">
        <v>30907</v>
      </c>
      <c r="H9814" t="s">
        <v>30915</v>
      </c>
      <c r="I9814" t="s">
        <v>30919</v>
      </c>
      <c r="J9814" t="s">
        <v>37176</v>
      </c>
      <c r="K9814" t="s">
        <v>40284</v>
      </c>
      <c r="M9814" t="s">
        <v>41517</v>
      </c>
      <c r="N9814" t="s">
        <v>44759</v>
      </c>
      <c r="O9814" t="s">
        <v>44760</v>
      </c>
      <c r="P9814">
        <v>0</v>
      </c>
      <c r="Q9814">
        <v>1</v>
      </c>
      <c r="R9814" t="s">
        <v>44769</v>
      </c>
      <c r="S9814" t="s">
        <v>45044</v>
      </c>
      <c r="T9814" t="s">
        <v>46515</v>
      </c>
      <c r="U9814" t="s">
        <v>55094</v>
      </c>
      <c r="W9814" t="s">
        <v>41517</v>
      </c>
      <c r="X9814" t="s">
        <v>44770</v>
      </c>
    </row>
    <row r="9815" spans="1:24">
      <c r="A9815">
        <f>HYPERLINK("https://www.philgeps.gov.ph/GEPSNONPILOT/Tender/SplashBidNoticeAbstractUI.aspx?menuIndex=3&amp;refID=7138549&amp;Result=3","7138549")</f>
        <v>0</v>
      </c>
      <c r="B9815" t="s">
        <v>3063</v>
      </c>
      <c r="C9815" t="s">
        <v>13074</v>
      </c>
      <c r="D9815" t="s">
        <v>17961</v>
      </c>
      <c r="E9815" t="s">
        <v>26550</v>
      </c>
      <c r="F9815" t="s">
        <v>30900</v>
      </c>
      <c r="G9815" t="s">
        <v>30907</v>
      </c>
      <c r="H9815" t="s">
        <v>30916</v>
      </c>
      <c r="I9815" t="s">
        <v>8123</v>
      </c>
      <c r="J9815" t="s">
        <v>37177</v>
      </c>
      <c r="K9815" t="s">
        <v>40283</v>
      </c>
      <c r="M9815" t="s">
        <v>43873</v>
      </c>
      <c r="N9815" t="s">
        <v>44759</v>
      </c>
      <c r="O9815" t="s">
        <v>44760</v>
      </c>
      <c r="P9815">
        <v>0</v>
      </c>
      <c r="Q9815">
        <v>0</v>
      </c>
      <c r="R9815" t="s">
        <v>44769</v>
      </c>
      <c r="S9815" t="s">
        <v>45044</v>
      </c>
      <c r="T9815" t="s">
        <v>46414</v>
      </c>
      <c r="U9815" t="s">
        <v>55095</v>
      </c>
      <c r="V9815" t="s">
        <v>60196</v>
      </c>
      <c r="W9815" t="s">
        <v>43873</v>
      </c>
      <c r="X9815" t="s">
        <v>44770</v>
      </c>
    </row>
    <row r="9816" spans="1:24">
      <c r="A9816">
        <f>HYPERLINK("https://www.philgeps.gov.ph/GEPSNONPILOT/Tender/SplashBidNoticeAbstractUI.aspx?menuIndex=3&amp;refID=7138582&amp;Result=3","7138582")</f>
        <v>0</v>
      </c>
      <c r="B9816" t="s">
        <v>1083</v>
      </c>
      <c r="C9816" t="s">
        <v>13075</v>
      </c>
      <c r="D9816" t="s">
        <v>17999</v>
      </c>
      <c r="E9816" t="s">
        <v>26551</v>
      </c>
      <c r="F9816" t="s">
        <v>30900</v>
      </c>
      <c r="G9816" t="s">
        <v>30907</v>
      </c>
      <c r="H9816" t="s">
        <v>30915</v>
      </c>
      <c r="I9816" t="s">
        <v>30919</v>
      </c>
      <c r="J9816" t="s">
        <v>31297</v>
      </c>
      <c r="K9816" t="s">
        <v>40470</v>
      </c>
      <c r="M9816" t="s">
        <v>41682</v>
      </c>
      <c r="N9816" t="s">
        <v>44759</v>
      </c>
      <c r="O9816" t="s">
        <v>44760</v>
      </c>
      <c r="P9816">
        <v>0</v>
      </c>
      <c r="Q9816">
        <v>1</v>
      </c>
      <c r="R9816" t="s">
        <v>44769</v>
      </c>
      <c r="S9816" t="s">
        <v>45044</v>
      </c>
      <c r="T9816" t="s">
        <v>46595</v>
      </c>
      <c r="U9816" t="s">
        <v>55096</v>
      </c>
      <c r="V9816" t="s">
        <v>59392</v>
      </c>
      <c r="W9816" t="s">
        <v>41682</v>
      </c>
      <c r="X9816" t="s">
        <v>44770</v>
      </c>
    </row>
    <row r="9817" spans="1:24">
      <c r="A9817">
        <f>HYPERLINK("https://www.philgeps.gov.ph/GEPSNONPILOT/Tender/SplashBidNoticeAbstractUI.aspx?menuIndex=3&amp;refID=7138543&amp;Result=3","7138543")</f>
        <v>0</v>
      </c>
      <c r="B9817" t="s">
        <v>258</v>
      </c>
      <c r="C9817" t="s">
        <v>13076</v>
      </c>
      <c r="D9817" t="s">
        <v>18005</v>
      </c>
      <c r="E9817" t="s">
        <v>26552</v>
      </c>
      <c r="F9817" t="s">
        <v>30900</v>
      </c>
      <c r="G9817" t="s">
        <v>30907</v>
      </c>
      <c r="H9817" t="s">
        <v>30915</v>
      </c>
      <c r="I9817" t="s">
        <v>30919</v>
      </c>
      <c r="J9817" t="s">
        <v>31214</v>
      </c>
      <c r="K9817" t="s">
        <v>40342</v>
      </c>
      <c r="M9817" t="s">
        <v>40805</v>
      </c>
      <c r="N9817" t="s">
        <v>44759</v>
      </c>
      <c r="O9817" t="s">
        <v>44760</v>
      </c>
      <c r="P9817">
        <v>0</v>
      </c>
      <c r="Q9817">
        <v>2</v>
      </c>
      <c r="R9817" t="s">
        <v>44769</v>
      </c>
      <c r="S9817" t="s">
        <v>45044</v>
      </c>
      <c r="T9817" t="s">
        <v>46835</v>
      </c>
      <c r="U9817" t="s">
        <v>55097</v>
      </c>
      <c r="W9817" t="s">
        <v>40805</v>
      </c>
      <c r="X9817" t="s">
        <v>44770</v>
      </c>
    </row>
    <row r="9818" spans="1:24">
      <c r="A9818">
        <f>HYPERLINK("https://www.philgeps.gov.ph/GEPSNONPILOT/Tender/SplashBidNoticeAbstractUI.aspx?menuIndex=3&amp;refID=7138580&amp;Result=3","7138580")</f>
        <v>0</v>
      </c>
      <c r="B9818" t="s">
        <v>934</v>
      </c>
      <c r="C9818" t="s">
        <v>13077</v>
      </c>
      <c r="D9818" t="s">
        <v>17984</v>
      </c>
      <c r="E9818" t="s">
        <v>25732</v>
      </c>
      <c r="F9818" t="s">
        <v>30900</v>
      </c>
      <c r="G9818" t="s">
        <v>30907</v>
      </c>
      <c r="H9818" t="s">
        <v>30915</v>
      </c>
      <c r="I9818" t="s">
        <v>30919</v>
      </c>
      <c r="J9818" t="s">
        <v>37178</v>
      </c>
      <c r="K9818" t="s">
        <v>40279</v>
      </c>
      <c r="M9818" t="s">
        <v>41517</v>
      </c>
      <c r="N9818" t="s">
        <v>44759</v>
      </c>
      <c r="O9818" t="s">
        <v>44760</v>
      </c>
      <c r="P9818">
        <v>0</v>
      </c>
      <c r="Q9818">
        <v>1</v>
      </c>
      <c r="R9818" t="s">
        <v>44769</v>
      </c>
      <c r="S9818" t="s">
        <v>45044</v>
      </c>
      <c r="T9818" t="s">
        <v>46515</v>
      </c>
      <c r="U9818" t="s">
        <v>55098</v>
      </c>
      <c r="W9818" t="s">
        <v>41517</v>
      </c>
      <c r="X9818" t="s">
        <v>44770</v>
      </c>
    </row>
    <row r="9819" spans="1:24">
      <c r="A9819">
        <f>HYPERLINK("https://www.philgeps.gov.ph/GEPSNONPILOT/Tender/SplashBidNoticeAbstractUI.aspx?menuIndex=3&amp;refID=7138541&amp;Result=3","7138541")</f>
        <v>0</v>
      </c>
      <c r="B9819" t="s">
        <v>3064</v>
      </c>
      <c r="C9819" t="s">
        <v>13078</v>
      </c>
      <c r="E9819" t="s">
        <v>26553</v>
      </c>
      <c r="F9819" t="s">
        <v>30899</v>
      </c>
      <c r="G9819" t="s">
        <v>30907</v>
      </c>
      <c r="H9819" t="s">
        <v>30915</v>
      </c>
      <c r="I9819" t="s">
        <v>8123</v>
      </c>
      <c r="J9819" t="s">
        <v>31048</v>
      </c>
      <c r="K9819" t="s">
        <v>40289</v>
      </c>
      <c r="M9819" t="s">
        <v>43874</v>
      </c>
      <c r="N9819" t="s">
        <v>44759</v>
      </c>
      <c r="O9819" t="s">
        <v>44760</v>
      </c>
      <c r="P9819">
        <v>0</v>
      </c>
      <c r="Q9819">
        <v>0</v>
      </c>
      <c r="R9819" t="s">
        <v>44769</v>
      </c>
      <c r="S9819" t="s">
        <v>45044</v>
      </c>
      <c r="T9819" t="s">
        <v>46418</v>
      </c>
      <c r="U9819" t="s">
        <v>55099</v>
      </c>
      <c r="W9819" t="s">
        <v>43874</v>
      </c>
      <c r="X9819" t="s">
        <v>44770</v>
      </c>
    </row>
    <row r="9820" spans="1:24">
      <c r="A9820">
        <f>HYPERLINK("https://www.philgeps.gov.ph/GEPSNONPILOT/Tender/SplashBidNoticeAbstractUI.aspx?menuIndex=3&amp;refID=7138532&amp;Result=3","7138532")</f>
        <v>0</v>
      </c>
      <c r="B9820" t="s">
        <v>2583</v>
      </c>
      <c r="C9820" t="s">
        <v>13079</v>
      </c>
      <c r="D9820" t="s">
        <v>17998</v>
      </c>
      <c r="E9820" t="s">
        <v>26554</v>
      </c>
      <c r="F9820" t="s">
        <v>30900</v>
      </c>
      <c r="G9820" t="s">
        <v>30908</v>
      </c>
      <c r="H9820" t="s">
        <v>30916</v>
      </c>
      <c r="I9820" t="s">
        <v>30924</v>
      </c>
      <c r="J9820" t="s">
        <v>37179</v>
      </c>
      <c r="K9820" t="s">
        <v>40286</v>
      </c>
      <c r="M9820" t="s">
        <v>43342</v>
      </c>
      <c r="N9820" t="s">
        <v>44759</v>
      </c>
      <c r="O9820" t="s">
        <v>44760</v>
      </c>
      <c r="P9820">
        <v>0</v>
      </c>
      <c r="Q9820">
        <v>3</v>
      </c>
      <c r="R9820" t="s">
        <v>44769</v>
      </c>
      <c r="S9820" t="s">
        <v>45044</v>
      </c>
      <c r="T9820" t="s">
        <v>46403</v>
      </c>
      <c r="U9820" t="s">
        <v>55100</v>
      </c>
      <c r="W9820" t="s">
        <v>43342</v>
      </c>
      <c r="X9820" t="s">
        <v>44770</v>
      </c>
    </row>
    <row r="9821" spans="1:24">
      <c r="A9821">
        <f>HYPERLINK("https://www.philgeps.gov.ph/GEPSNONPILOT/Tender/SplashBidNoticeAbstractUI.aspx?menuIndex=3&amp;refID=7138528&amp;Result=3","7138528")</f>
        <v>0</v>
      </c>
      <c r="B9821" t="s">
        <v>934</v>
      </c>
      <c r="C9821" t="s">
        <v>13080</v>
      </c>
      <c r="D9821" t="s">
        <v>17984</v>
      </c>
      <c r="E9821" t="s">
        <v>24090</v>
      </c>
      <c r="F9821" t="s">
        <v>30900</v>
      </c>
      <c r="G9821" t="s">
        <v>30907</v>
      </c>
      <c r="H9821" t="s">
        <v>30915</v>
      </c>
      <c r="I9821" t="s">
        <v>30919</v>
      </c>
      <c r="J9821" t="s">
        <v>37180</v>
      </c>
      <c r="K9821" t="s">
        <v>40391</v>
      </c>
      <c r="M9821" t="s">
        <v>41517</v>
      </c>
      <c r="N9821" t="s">
        <v>44759</v>
      </c>
      <c r="O9821" t="s">
        <v>44760</v>
      </c>
      <c r="P9821">
        <v>0</v>
      </c>
      <c r="Q9821">
        <v>2</v>
      </c>
      <c r="R9821" t="s">
        <v>44769</v>
      </c>
      <c r="S9821" t="s">
        <v>45044</v>
      </c>
      <c r="T9821" t="s">
        <v>46515</v>
      </c>
      <c r="U9821" t="s">
        <v>55101</v>
      </c>
      <c r="W9821" t="s">
        <v>41517</v>
      </c>
      <c r="X9821" t="s">
        <v>44770</v>
      </c>
    </row>
    <row r="9822" spans="1:24">
      <c r="A9822">
        <f>HYPERLINK("https://www.philgeps.gov.ph/GEPSNONPILOT/Tender/SplashBidNoticeAbstractUI.aspx?menuIndex=3&amp;refID=7138540&amp;Result=3","7138540")</f>
        <v>0</v>
      </c>
      <c r="B9822" t="s">
        <v>3065</v>
      </c>
      <c r="C9822" t="s">
        <v>13081</v>
      </c>
      <c r="D9822" t="s">
        <v>18009</v>
      </c>
      <c r="E9822" t="s">
        <v>21654</v>
      </c>
      <c r="F9822" t="s">
        <v>30900</v>
      </c>
      <c r="G9822" t="s">
        <v>30907</v>
      </c>
      <c r="H9822" t="s">
        <v>30916</v>
      </c>
      <c r="I9822" t="s">
        <v>30947</v>
      </c>
      <c r="J9822" t="s">
        <v>31552</v>
      </c>
      <c r="K9822" t="s">
        <v>40293</v>
      </c>
      <c r="M9822" t="s">
        <v>43875</v>
      </c>
      <c r="N9822" t="s">
        <v>44759</v>
      </c>
      <c r="O9822" t="s">
        <v>44760</v>
      </c>
      <c r="P9822">
        <v>0</v>
      </c>
      <c r="Q9822">
        <v>3</v>
      </c>
      <c r="R9822" t="s">
        <v>44769</v>
      </c>
      <c r="S9822" t="s">
        <v>45044</v>
      </c>
      <c r="T9822" t="s">
        <v>46653</v>
      </c>
      <c r="U9822" t="s">
        <v>55102</v>
      </c>
      <c r="W9822" t="s">
        <v>43875</v>
      </c>
      <c r="X9822" t="s">
        <v>44770</v>
      </c>
    </row>
    <row r="9823" spans="1:24">
      <c r="A9823">
        <f>HYPERLINK("https://www.philgeps.gov.ph/GEPSNONPILOT/Tender/SplashBidNoticeAbstractUI.aspx?menuIndex=3&amp;refID=7138523&amp;Result=3","7138523")</f>
        <v>0</v>
      </c>
      <c r="B9823" t="s">
        <v>372</v>
      </c>
      <c r="C9823" t="s">
        <v>13082</v>
      </c>
      <c r="D9823" t="s">
        <v>17968</v>
      </c>
      <c r="E9823" t="s">
        <v>26555</v>
      </c>
      <c r="F9823" t="s">
        <v>30900</v>
      </c>
      <c r="G9823" t="s">
        <v>30907</v>
      </c>
      <c r="H9823" t="s">
        <v>30916</v>
      </c>
      <c r="I9823" t="s">
        <v>4142</v>
      </c>
      <c r="J9823" t="s">
        <v>31214</v>
      </c>
      <c r="K9823" t="s">
        <v>40283</v>
      </c>
      <c r="M9823" t="s">
        <v>43876</v>
      </c>
      <c r="N9823" t="s">
        <v>44759</v>
      </c>
      <c r="O9823" t="s">
        <v>44760</v>
      </c>
      <c r="P9823">
        <v>0</v>
      </c>
      <c r="Q9823">
        <v>2</v>
      </c>
      <c r="R9823" t="s">
        <v>44769</v>
      </c>
      <c r="S9823" t="s">
        <v>45044</v>
      </c>
      <c r="T9823" t="s">
        <v>46515</v>
      </c>
      <c r="U9823" t="s">
        <v>55103</v>
      </c>
      <c r="W9823" t="s">
        <v>43876</v>
      </c>
      <c r="X9823" t="s">
        <v>44770</v>
      </c>
    </row>
    <row r="9824" spans="1:24">
      <c r="A9824">
        <f>HYPERLINK("https://www.philgeps.gov.ph/GEPSNONPILOT/Tender/SplashBidNoticeAbstractUI.aspx?menuIndex=3&amp;refID=7138526&amp;Result=3","7138526")</f>
        <v>0</v>
      </c>
      <c r="B9824" t="s">
        <v>255</v>
      </c>
      <c r="C9824" t="s">
        <v>13083</v>
      </c>
      <c r="D9824" t="s">
        <v>17980</v>
      </c>
      <c r="E9824" t="s">
        <v>26556</v>
      </c>
      <c r="F9824" t="s">
        <v>30900</v>
      </c>
      <c r="G9824" t="s">
        <v>30907</v>
      </c>
      <c r="H9824" t="s">
        <v>30916</v>
      </c>
      <c r="I9824" t="s">
        <v>10602</v>
      </c>
      <c r="J9824" t="s">
        <v>31653</v>
      </c>
      <c r="K9824" t="s">
        <v>40283</v>
      </c>
      <c r="M9824" t="s">
        <v>40802</v>
      </c>
      <c r="N9824" t="s">
        <v>44759</v>
      </c>
      <c r="O9824" t="s">
        <v>44760</v>
      </c>
      <c r="P9824">
        <v>0</v>
      </c>
      <c r="Q9824">
        <v>0</v>
      </c>
      <c r="R9824" t="s">
        <v>44769</v>
      </c>
      <c r="S9824" t="s">
        <v>45044</v>
      </c>
      <c r="T9824" t="s">
        <v>46606</v>
      </c>
      <c r="U9824" t="s">
        <v>52217</v>
      </c>
      <c r="W9824" t="s">
        <v>40802</v>
      </c>
      <c r="X9824" t="s">
        <v>44770</v>
      </c>
    </row>
    <row r="9825" spans="1:24">
      <c r="A9825">
        <f>HYPERLINK("https://www.philgeps.gov.ph/GEPSNONPILOT/Tender/SplashBidNoticeAbstractUI.aspx?menuIndex=3&amp;refID=7138537&amp;Result=3","7138537")</f>
        <v>0</v>
      </c>
      <c r="B9825" t="s">
        <v>1100</v>
      </c>
      <c r="C9825" t="s">
        <v>13084</v>
      </c>
      <c r="D9825" t="s">
        <v>17980</v>
      </c>
      <c r="E9825" t="s">
        <v>26557</v>
      </c>
      <c r="F9825" t="s">
        <v>30900</v>
      </c>
      <c r="G9825" t="s">
        <v>30909</v>
      </c>
      <c r="H9825" t="s">
        <v>30916</v>
      </c>
      <c r="I9825" t="s">
        <v>10847</v>
      </c>
      <c r="J9825" t="s">
        <v>37181</v>
      </c>
      <c r="K9825" t="s">
        <v>40289</v>
      </c>
      <c r="M9825" t="s">
        <v>41789</v>
      </c>
      <c r="N9825" t="s">
        <v>44759</v>
      </c>
      <c r="O9825" t="s">
        <v>44760</v>
      </c>
      <c r="Q9825">
        <v>0</v>
      </c>
      <c r="R9825" t="s">
        <v>44769</v>
      </c>
      <c r="S9825" t="s">
        <v>45099</v>
      </c>
      <c r="T9825" t="s">
        <v>46404</v>
      </c>
      <c r="U9825" t="s">
        <v>55104</v>
      </c>
      <c r="W9825" t="s">
        <v>41789</v>
      </c>
      <c r="X9825" t="s">
        <v>44770</v>
      </c>
    </row>
    <row r="9826" spans="1:24">
      <c r="A9826">
        <f>HYPERLINK("https://www.philgeps.gov.ph/GEPSNONPILOT/Tender/SplashBidNoticeAbstractUI.aspx?menuIndex=3&amp;refID=7138536&amp;Result=3","7138536")</f>
        <v>0</v>
      </c>
      <c r="B9826" t="s">
        <v>3062</v>
      </c>
      <c r="C9826" t="s">
        <v>13085</v>
      </c>
      <c r="D9826" t="s">
        <v>18020</v>
      </c>
      <c r="E9826" t="s">
        <v>19080</v>
      </c>
      <c r="F9826" t="s">
        <v>30900</v>
      </c>
      <c r="G9826" t="s">
        <v>30907</v>
      </c>
      <c r="H9826" t="s">
        <v>30915</v>
      </c>
      <c r="I9826" t="s">
        <v>30919</v>
      </c>
      <c r="J9826" t="s">
        <v>37182</v>
      </c>
      <c r="K9826" t="s">
        <v>40304</v>
      </c>
      <c r="M9826" t="s">
        <v>43872</v>
      </c>
      <c r="N9826" t="s">
        <v>44759</v>
      </c>
      <c r="O9826" t="s">
        <v>44760</v>
      </c>
      <c r="P9826">
        <v>0</v>
      </c>
      <c r="Q9826">
        <v>5</v>
      </c>
      <c r="R9826" t="s">
        <v>44769</v>
      </c>
      <c r="S9826" t="s">
        <v>45044</v>
      </c>
      <c r="T9826" t="s">
        <v>46495</v>
      </c>
      <c r="U9826" t="s">
        <v>55105</v>
      </c>
      <c r="W9826" t="s">
        <v>43872</v>
      </c>
      <c r="X9826" t="s">
        <v>44770</v>
      </c>
    </row>
    <row r="9827" spans="1:24">
      <c r="A9827">
        <f>HYPERLINK("https://www.philgeps.gov.ph/GEPSNONPILOT/Tender/SplashBidNoticeAbstractUI.aspx?menuIndex=3&amp;refID=7138514&amp;Result=3","7138514")</f>
        <v>0</v>
      </c>
      <c r="B9827" t="s">
        <v>934</v>
      </c>
      <c r="C9827" t="s">
        <v>13086</v>
      </c>
      <c r="D9827" t="s">
        <v>17984</v>
      </c>
      <c r="E9827" t="s">
        <v>19981</v>
      </c>
      <c r="F9827" t="s">
        <v>30900</v>
      </c>
      <c r="G9827" t="s">
        <v>30907</v>
      </c>
      <c r="H9827" t="s">
        <v>30915</v>
      </c>
      <c r="I9827" t="s">
        <v>30919</v>
      </c>
      <c r="J9827" t="s">
        <v>37183</v>
      </c>
      <c r="K9827" t="s">
        <v>40285</v>
      </c>
      <c r="M9827" t="s">
        <v>41517</v>
      </c>
      <c r="N9827" t="s">
        <v>44759</v>
      </c>
      <c r="O9827" t="s">
        <v>44760</v>
      </c>
      <c r="P9827">
        <v>0</v>
      </c>
      <c r="Q9827">
        <v>1</v>
      </c>
      <c r="R9827" t="s">
        <v>44769</v>
      </c>
      <c r="S9827" t="s">
        <v>45044</v>
      </c>
      <c r="T9827" t="s">
        <v>46515</v>
      </c>
      <c r="U9827" t="s">
        <v>55106</v>
      </c>
      <c r="W9827" t="s">
        <v>41517</v>
      </c>
      <c r="X9827" t="s">
        <v>44770</v>
      </c>
    </row>
    <row r="9828" spans="1:24">
      <c r="A9828">
        <f>HYPERLINK("https://www.philgeps.gov.ph/GEPSNONPILOT/Tender/SplashBidNoticeAbstractUI.aspx?menuIndex=3&amp;refID=7138429&amp;Result=3","7138429")</f>
        <v>0</v>
      </c>
      <c r="B9828" t="s">
        <v>255</v>
      </c>
      <c r="C9828" t="s">
        <v>13087</v>
      </c>
      <c r="D9828" t="s">
        <v>17980</v>
      </c>
      <c r="E9828" t="s">
        <v>26558</v>
      </c>
      <c r="F9828" t="s">
        <v>30900</v>
      </c>
      <c r="G9828" t="s">
        <v>30907</v>
      </c>
      <c r="H9828" t="s">
        <v>30916</v>
      </c>
      <c r="I9828" t="s">
        <v>30933</v>
      </c>
      <c r="J9828" t="s">
        <v>31158</v>
      </c>
      <c r="K9828" t="s">
        <v>40280</v>
      </c>
      <c r="M9828" t="s">
        <v>40802</v>
      </c>
      <c r="N9828" t="s">
        <v>44759</v>
      </c>
      <c r="O9828" t="s">
        <v>44760</v>
      </c>
      <c r="P9828">
        <v>0</v>
      </c>
      <c r="Q9828">
        <v>0</v>
      </c>
      <c r="R9828" t="s">
        <v>44769</v>
      </c>
      <c r="S9828" t="s">
        <v>45044</v>
      </c>
      <c r="T9828" t="s">
        <v>46606</v>
      </c>
      <c r="U9828" t="s">
        <v>52217</v>
      </c>
      <c r="W9828" t="s">
        <v>40802</v>
      </c>
      <c r="X9828" t="s">
        <v>44770</v>
      </c>
    </row>
    <row r="9829" spans="1:24">
      <c r="A9829">
        <f>HYPERLINK("https://www.philgeps.gov.ph/GEPSNONPILOT/Tender/SplashBidNoticeAbstractUI.aspx?menuIndex=3&amp;refID=7138427&amp;Result=3","7138427")</f>
        <v>0</v>
      </c>
      <c r="B9829" t="s">
        <v>2583</v>
      </c>
      <c r="C9829" t="s">
        <v>13088</v>
      </c>
      <c r="D9829" t="s">
        <v>17998</v>
      </c>
      <c r="E9829" t="s">
        <v>26559</v>
      </c>
      <c r="F9829" t="s">
        <v>30900</v>
      </c>
      <c r="G9829" t="s">
        <v>30908</v>
      </c>
      <c r="H9829" t="s">
        <v>30916</v>
      </c>
      <c r="I9829" t="s">
        <v>30924</v>
      </c>
      <c r="J9829" t="s">
        <v>31070</v>
      </c>
      <c r="K9829" t="s">
        <v>40286</v>
      </c>
      <c r="M9829" t="s">
        <v>43342</v>
      </c>
      <c r="N9829" t="s">
        <v>44759</v>
      </c>
      <c r="O9829" t="s">
        <v>44760</v>
      </c>
      <c r="P9829">
        <v>0</v>
      </c>
      <c r="Q9829">
        <v>1</v>
      </c>
      <c r="R9829" t="s">
        <v>44769</v>
      </c>
      <c r="S9829" t="s">
        <v>45044</v>
      </c>
      <c r="T9829" t="s">
        <v>46403</v>
      </c>
      <c r="U9829" t="s">
        <v>55107</v>
      </c>
      <c r="W9829" t="s">
        <v>43342</v>
      </c>
      <c r="X9829" t="s">
        <v>44770</v>
      </c>
    </row>
    <row r="9830" spans="1:24">
      <c r="A9830">
        <f>HYPERLINK("https://www.philgeps.gov.ph/GEPSNONPILOT/Tender/SplashBidNoticeAbstractUI.aspx?menuIndex=3&amp;refID=7138364&amp;Result=3","7138364")</f>
        <v>0</v>
      </c>
      <c r="B9830" t="s">
        <v>3044</v>
      </c>
      <c r="C9830" t="s">
        <v>13089</v>
      </c>
      <c r="D9830" t="s">
        <v>17996</v>
      </c>
      <c r="E9830" t="s">
        <v>26560</v>
      </c>
      <c r="F9830" t="s">
        <v>30900</v>
      </c>
      <c r="G9830" t="s">
        <v>30907</v>
      </c>
      <c r="H9830" t="s">
        <v>30915</v>
      </c>
      <c r="I9830" t="s">
        <v>30919</v>
      </c>
      <c r="J9830" t="s">
        <v>37184</v>
      </c>
      <c r="K9830" t="s">
        <v>40343</v>
      </c>
      <c r="M9830" t="s">
        <v>43854</v>
      </c>
      <c r="N9830" t="s">
        <v>44759</v>
      </c>
      <c r="O9830" t="s">
        <v>44760</v>
      </c>
      <c r="P9830">
        <v>0</v>
      </c>
      <c r="Q9830">
        <v>4</v>
      </c>
      <c r="R9830" t="s">
        <v>44769</v>
      </c>
      <c r="S9830" t="s">
        <v>45044</v>
      </c>
      <c r="T9830" t="s">
        <v>46539</v>
      </c>
      <c r="U9830" t="s">
        <v>55108</v>
      </c>
      <c r="W9830" t="s">
        <v>43854</v>
      </c>
      <c r="X9830" t="s">
        <v>44770</v>
      </c>
    </row>
    <row r="9831" spans="1:24">
      <c r="A9831">
        <f>HYPERLINK("https://www.philgeps.gov.ph/GEPSNONPILOT/Tender/SplashBidNoticeAbstractUI.aspx?menuIndex=3&amp;refID=7138280&amp;Result=3","7138280")</f>
        <v>0</v>
      </c>
      <c r="B9831" t="s">
        <v>3051</v>
      </c>
      <c r="C9831" t="s">
        <v>13090</v>
      </c>
      <c r="D9831" t="s">
        <v>17986</v>
      </c>
      <c r="E9831" t="s">
        <v>26561</v>
      </c>
      <c r="F9831" t="s">
        <v>30900</v>
      </c>
      <c r="G9831" t="s">
        <v>30907</v>
      </c>
      <c r="H9831" t="s">
        <v>30915</v>
      </c>
      <c r="I9831" t="s">
        <v>30919</v>
      </c>
      <c r="J9831" t="s">
        <v>37185</v>
      </c>
      <c r="K9831" t="s">
        <v>40431</v>
      </c>
      <c r="M9831" t="s">
        <v>43861</v>
      </c>
      <c r="N9831" t="s">
        <v>44759</v>
      </c>
      <c r="O9831" t="s">
        <v>44760</v>
      </c>
      <c r="P9831">
        <v>0</v>
      </c>
      <c r="Q9831">
        <v>0</v>
      </c>
      <c r="R9831" t="s">
        <v>44769</v>
      </c>
      <c r="S9831" t="s">
        <v>45044</v>
      </c>
      <c r="T9831" t="s">
        <v>46544</v>
      </c>
      <c r="U9831" t="s">
        <v>55109</v>
      </c>
      <c r="W9831" t="s">
        <v>43861</v>
      </c>
      <c r="X9831" t="s">
        <v>44770</v>
      </c>
    </row>
    <row r="9832" spans="1:24">
      <c r="A9832">
        <f>HYPERLINK("https://www.philgeps.gov.ph/GEPSNONPILOT/Tender/SplashBidNoticeAbstractUI.aspx?menuIndex=3&amp;refID=7138556&amp;Result=3","7138556")</f>
        <v>0</v>
      </c>
      <c r="B9832" t="s">
        <v>934</v>
      </c>
      <c r="C9832" t="s">
        <v>13091</v>
      </c>
      <c r="D9832" t="s">
        <v>17984</v>
      </c>
      <c r="E9832" t="s">
        <v>24668</v>
      </c>
      <c r="F9832" t="s">
        <v>30900</v>
      </c>
      <c r="G9832" t="s">
        <v>30907</v>
      </c>
      <c r="H9832" t="s">
        <v>30915</v>
      </c>
      <c r="I9832" t="s">
        <v>30919</v>
      </c>
      <c r="J9832" t="s">
        <v>37186</v>
      </c>
      <c r="K9832" t="s">
        <v>40346</v>
      </c>
      <c r="M9832" t="s">
        <v>41517</v>
      </c>
      <c r="N9832" t="s">
        <v>44759</v>
      </c>
      <c r="O9832" t="s">
        <v>44760</v>
      </c>
      <c r="P9832">
        <v>0</v>
      </c>
      <c r="Q9832">
        <v>1</v>
      </c>
      <c r="R9832" t="s">
        <v>44769</v>
      </c>
      <c r="S9832" t="s">
        <v>45044</v>
      </c>
      <c r="T9832" t="s">
        <v>46515</v>
      </c>
      <c r="U9832" t="s">
        <v>55110</v>
      </c>
      <c r="W9832" t="s">
        <v>41517</v>
      </c>
      <c r="X9832" t="s">
        <v>44770</v>
      </c>
    </row>
    <row r="9833" spans="1:24">
      <c r="A9833">
        <f>HYPERLINK("https://www.philgeps.gov.ph/GEPSNONPILOT/Tender/SplashBidNoticeAbstractUI.aspx?menuIndex=3&amp;refID=7138274&amp;Result=3","7138274")</f>
        <v>0</v>
      </c>
      <c r="B9833" t="s">
        <v>3066</v>
      </c>
      <c r="C9833" t="s">
        <v>13092</v>
      </c>
      <c r="D9833" t="s">
        <v>17966</v>
      </c>
      <c r="E9833" t="s">
        <v>26562</v>
      </c>
      <c r="F9833" t="s">
        <v>30899</v>
      </c>
      <c r="G9833" t="s">
        <v>30908</v>
      </c>
      <c r="H9833" t="s">
        <v>30917</v>
      </c>
      <c r="I9833" t="s">
        <v>6834</v>
      </c>
      <c r="J9833" t="s">
        <v>37187</v>
      </c>
      <c r="K9833" t="s">
        <v>40281</v>
      </c>
      <c r="M9833" t="s">
        <v>43877</v>
      </c>
      <c r="N9833" t="s">
        <v>44759</v>
      </c>
      <c r="O9833" t="s">
        <v>44760</v>
      </c>
      <c r="P9833">
        <v>0</v>
      </c>
      <c r="Q9833">
        <v>3</v>
      </c>
      <c r="R9833" t="s">
        <v>44769</v>
      </c>
      <c r="S9833" t="s">
        <v>45044</v>
      </c>
      <c r="T9833" t="s">
        <v>46410</v>
      </c>
      <c r="U9833" t="s">
        <v>55111</v>
      </c>
      <c r="V9833" t="s">
        <v>60197</v>
      </c>
      <c r="W9833" t="s">
        <v>43877</v>
      </c>
      <c r="X9833" t="s">
        <v>44770</v>
      </c>
    </row>
    <row r="9834" spans="1:24">
      <c r="A9834">
        <f>HYPERLINK("https://www.philgeps.gov.ph/GEPSNONPILOT/Tender/SplashBidNoticeAbstractUI.aspx?menuIndex=3&amp;refID=7138269&amp;Result=3","7138269")</f>
        <v>0</v>
      </c>
      <c r="B9834" t="s">
        <v>881</v>
      </c>
      <c r="C9834" t="s">
        <v>13093</v>
      </c>
      <c r="D9834" t="s">
        <v>17993</v>
      </c>
      <c r="E9834" t="s">
        <v>26563</v>
      </c>
      <c r="F9834" t="s">
        <v>30900</v>
      </c>
      <c r="G9834" t="s">
        <v>30907</v>
      </c>
      <c r="H9834" t="s">
        <v>30916</v>
      </c>
      <c r="I9834" t="s">
        <v>5501</v>
      </c>
      <c r="J9834" t="s">
        <v>31066</v>
      </c>
      <c r="K9834" t="s">
        <v>40286</v>
      </c>
      <c r="M9834" t="s">
        <v>41454</v>
      </c>
      <c r="N9834" t="s">
        <v>44759</v>
      </c>
      <c r="O9834" t="s">
        <v>44760</v>
      </c>
      <c r="P9834">
        <v>0</v>
      </c>
      <c r="Q9834">
        <v>6</v>
      </c>
      <c r="R9834" t="s">
        <v>44769</v>
      </c>
      <c r="S9834" t="s">
        <v>45044</v>
      </c>
      <c r="T9834" t="s">
        <v>46420</v>
      </c>
      <c r="U9834" t="s">
        <v>55112</v>
      </c>
      <c r="W9834" t="s">
        <v>41454</v>
      </c>
      <c r="X9834" t="s">
        <v>44770</v>
      </c>
    </row>
    <row r="9835" spans="1:24">
      <c r="A9835">
        <f>HYPERLINK("https://www.philgeps.gov.ph/GEPSNONPILOT/Tender/SplashBidNoticeAbstractUI.aspx?menuIndex=3&amp;refID=7137945&amp;Result=3","7137945")</f>
        <v>0</v>
      </c>
      <c r="B9835" t="s">
        <v>810</v>
      </c>
      <c r="C9835" t="s">
        <v>12951</v>
      </c>
      <c r="D9835" t="s">
        <v>18017</v>
      </c>
      <c r="E9835" t="s">
        <v>25870</v>
      </c>
      <c r="F9835" t="s">
        <v>30900</v>
      </c>
      <c r="G9835" t="s">
        <v>30907</v>
      </c>
      <c r="H9835" t="s">
        <v>30916</v>
      </c>
      <c r="I9835" t="s">
        <v>31024</v>
      </c>
      <c r="J9835" t="s">
        <v>31297</v>
      </c>
      <c r="K9835" t="s">
        <v>40304</v>
      </c>
      <c r="M9835" t="s">
        <v>41381</v>
      </c>
      <c r="N9835" t="s">
        <v>44759</v>
      </c>
      <c r="O9835" t="s">
        <v>44760</v>
      </c>
      <c r="P9835">
        <v>0</v>
      </c>
      <c r="Q9835">
        <v>5</v>
      </c>
      <c r="R9835" t="s">
        <v>44769</v>
      </c>
      <c r="S9835" t="s">
        <v>45044</v>
      </c>
      <c r="T9835" t="s">
        <v>46712</v>
      </c>
      <c r="U9835" t="s">
        <v>55113</v>
      </c>
      <c r="W9835" t="s">
        <v>41381</v>
      </c>
      <c r="X9835" t="s">
        <v>44770</v>
      </c>
    </row>
    <row r="9836" spans="1:24">
      <c r="A9836">
        <f>HYPERLINK("https://www.philgeps.gov.ph/GEPSNONPILOT/Tender/SplashBidNoticeAbstractUI.aspx?menuIndex=3&amp;refID=7138365&amp;Result=3","7138365")</f>
        <v>0</v>
      </c>
      <c r="B9836" t="s">
        <v>1721</v>
      </c>
      <c r="C9836" t="s">
        <v>13094</v>
      </c>
      <c r="E9836" t="s">
        <v>26564</v>
      </c>
      <c r="F9836" t="s">
        <v>30900</v>
      </c>
      <c r="G9836" t="s">
        <v>30913</v>
      </c>
      <c r="H9836" t="s">
        <v>30916</v>
      </c>
      <c r="I9836" t="s">
        <v>10847</v>
      </c>
      <c r="J9836" t="s">
        <v>37188</v>
      </c>
      <c r="K9836" t="s">
        <v>40289</v>
      </c>
      <c r="M9836" t="s">
        <v>42385</v>
      </c>
      <c r="N9836" t="s">
        <v>44759</v>
      </c>
      <c r="O9836" t="s">
        <v>44760</v>
      </c>
      <c r="P9836">
        <v>0</v>
      </c>
      <c r="Q9836">
        <v>7</v>
      </c>
      <c r="R9836" t="s">
        <v>44769</v>
      </c>
      <c r="S9836" t="s">
        <v>45044</v>
      </c>
      <c r="T9836" t="s">
        <v>46503</v>
      </c>
      <c r="U9836" t="s">
        <v>55114</v>
      </c>
      <c r="W9836" t="s">
        <v>42385</v>
      </c>
      <c r="X9836" t="s">
        <v>44770</v>
      </c>
    </row>
    <row r="9837" spans="1:24">
      <c r="A9837">
        <f>HYPERLINK("https://www.philgeps.gov.ph/GEPSNONPILOT/Tender/SplashBidNoticeAbstractUI.aspx?menuIndex=3&amp;refID=7137830&amp;Result=3","7137830")</f>
        <v>0</v>
      </c>
      <c r="B9837" t="s">
        <v>3067</v>
      </c>
      <c r="C9837" t="s">
        <v>13095</v>
      </c>
      <c r="D9837" t="s">
        <v>18002</v>
      </c>
      <c r="E9837" t="s">
        <v>18484</v>
      </c>
      <c r="F9837" t="s">
        <v>30900</v>
      </c>
      <c r="G9837" t="s">
        <v>30907</v>
      </c>
      <c r="H9837" t="s">
        <v>30915</v>
      </c>
      <c r="I9837" t="s">
        <v>30919</v>
      </c>
      <c r="J9837" t="s">
        <v>37189</v>
      </c>
      <c r="K9837" t="s">
        <v>40293</v>
      </c>
      <c r="M9837" t="s">
        <v>43878</v>
      </c>
      <c r="N9837" t="s">
        <v>44759</v>
      </c>
      <c r="O9837" t="s">
        <v>44760</v>
      </c>
      <c r="P9837">
        <v>0</v>
      </c>
      <c r="Q9837">
        <v>1</v>
      </c>
      <c r="R9837" t="s">
        <v>44769</v>
      </c>
      <c r="S9837" t="s">
        <v>45044</v>
      </c>
      <c r="T9837" t="s">
        <v>46490</v>
      </c>
      <c r="U9837" t="s">
        <v>55115</v>
      </c>
      <c r="W9837" t="s">
        <v>43878</v>
      </c>
      <c r="X9837" t="s">
        <v>44770</v>
      </c>
    </row>
    <row r="9838" spans="1:24">
      <c r="A9838">
        <f>HYPERLINK("https://www.philgeps.gov.ph/GEPSNONPILOT/Tender/SplashBidNoticeAbstractUI.aspx?menuIndex=3&amp;refID=7138657&amp;Result=3","7138657")</f>
        <v>0</v>
      </c>
      <c r="B9838" t="s">
        <v>3068</v>
      </c>
      <c r="C9838" t="s">
        <v>13096</v>
      </c>
      <c r="D9838" t="s">
        <v>18025</v>
      </c>
      <c r="E9838" t="s">
        <v>26565</v>
      </c>
      <c r="F9838" t="s">
        <v>30900</v>
      </c>
      <c r="G9838" t="s">
        <v>30907</v>
      </c>
      <c r="H9838" t="s">
        <v>30915</v>
      </c>
      <c r="I9838" t="s">
        <v>30919</v>
      </c>
      <c r="J9838" t="s">
        <v>32523</v>
      </c>
      <c r="K9838" t="s">
        <v>40292</v>
      </c>
      <c r="M9838" t="s">
        <v>43879</v>
      </c>
      <c r="N9838" t="s">
        <v>44759</v>
      </c>
      <c r="O9838" t="s">
        <v>44760</v>
      </c>
      <c r="P9838">
        <v>0</v>
      </c>
      <c r="Q9838">
        <v>17</v>
      </c>
      <c r="R9838" t="s">
        <v>44769</v>
      </c>
      <c r="S9838" t="s">
        <v>45044</v>
      </c>
      <c r="T9838" t="s">
        <v>46495</v>
      </c>
      <c r="U9838" t="s">
        <v>55116</v>
      </c>
      <c r="W9838" t="s">
        <v>60911</v>
      </c>
      <c r="X9838" t="s">
        <v>44770</v>
      </c>
    </row>
    <row r="9839" spans="1:24">
      <c r="A9839">
        <f>HYPERLINK("https://www.philgeps.gov.ph/GEPSNONPILOT/Tender/SplashBidNoticeAbstractUI.aspx?menuIndex=3&amp;refID=7137827&amp;Result=3","7137827")</f>
        <v>0</v>
      </c>
      <c r="B9839" t="s">
        <v>3069</v>
      </c>
      <c r="C9839" t="s">
        <v>13097</v>
      </c>
      <c r="D9839" t="s">
        <v>17975</v>
      </c>
      <c r="E9839" t="s">
        <v>26566</v>
      </c>
      <c r="F9839" t="s">
        <v>30899</v>
      </c>
      <c r="G9839" t="s">
        <v>30909</v>
      </c>
      <c r="H9839" t="s">
        <v>30916</v>
      </c>
      <c r="I9839" t="s">
        <v>30955</v>
      </c>
      <c r="J9839" t="s">
        <v>31583</v>
      </c>
      <c r="K9839" t="s">
        <v>40282</v>
      </c>
      <c r="L9839" t="s">
        <v>3069</v>
      </c>
      <c r="M9839" t="s">
        <v>43880</v>
      </c>
      <c r="N9839" t="s">
        <v>44759</v>
      </c>
      <c r="O9839" t="s">
        <v>44760</v>
      </c>
      <c r="P9839">
        <v>0</v>
      </c>
      <c r="Q9839">
        <v>0</v>
      </c>
      <c r="R9839" t="s">
        <v>44769</v>
      </c>
      <c r="S9839" t="s">
        <v>45044</v>
      </c>
      <c r="T9839" t="s">
        <v>46414</v>
      </c>
      <c r="U9839" t="s">
        <v>55117</v>
      </c>
      <c r="W9839" t="s">
        <v>43880</v>
      </c>
      <c r="X9839" t="s">
        <v>44770</v>
      </c>
    </row>
    <row r="9840" spans="1:24">
      <c r="A9840">
        <f>HYPERLINK("https://www.philgeps.gov.ph/GEPSNONPILOT/Tender/SplashBidNoticeAbstractUI.aspx?menuIndex=3&amp;refID=7138665&amp;Result=3","7138665")</f>
        <v>0</v>
      </c>
      <c r="B9840" t="s">
        <v>3068</v>
      </c>
      <c r="C9840" t="s">
        <v>13098</v>
      </c>
      <c r="D9840" t="s">
        <v>18025</v>
      </c>
      <c r="E9840" t="s">
        <v>26567</v>
      </c>
      <c r="F9840" t="s">
        <v>30900</v>
      </c>
      <c r="G9840" t="s">
        <v>30907</v>
      </c>
      <c r="H9840" t="s">
        <v>30915</v>
      </c>
      <c r="I9840" t="s">
        <v>30919</v>
      </c>
      <c r="J9840" t="s">
        <v>32558</v>
      </c>
      <c r="K9840" t="s">
        <v>40292</v>
      </c>
      <c r="M9840" t="s">
        <v>43879</v>
      </c>
      <c r="N9840" t="s">
        <v>44759</v>
      </c>
      <c r="O9840" t="s">
        <v>44760</v>
      </c>
      <c r="P9840">
        <v>0</v>
      </c>
      <c r="Q9840">
        <v>18</v>
      </c>
      <c r="R9840" t="s">
        <v>44769</v>
      </c>
      <c r="S9840" t="s">
        <v>45044</v>
      </c>
      <c r="T9840" t="s">
        <v>46495</v>
      </c>
      <c r="U9840" t="s">
        <v>55116</v>
      </c>
      <c r="W9840" t="s">
        <v>60911</v>
      </c>
      <c r="X9840" t="s">
        <v>44770</v>
      </c>
    </row>
    <row r="9841" spans="1:24">
      <c r="A9841">
        <f>HYPERLINK("https://www.philgeps.gov.ph/GEPSNONPILOT/Tender/SplashBidNoticeAbstractUI.aspx?menuIndex=3&amp;refID=7138663&amp;Result=3","7138663")</f>
        <v>0</v>
      </c>
      <c r="B9841" t="s">
        <v>390</v>
      </c>
      <c r="C9841" t="s">
        <v>13099</v>
      </c>
      <c r="D9841" t="s">
        <v>17953</v>
      </c>
      <c r="E9841" t="s">
        <v>26568</v>
      </c>
      <c r="F9841" t="s">
        <v>30900</v>
      </c>
      <c r="G9841" t="s">
        <v>30907</v>
      </c>
      <c r="H9841" t="s">
        <v>30916</v>
      </c>
      <c r="I9841" t="s">
        <v>8123</v>
      </c>
      <c r="J9841" t="s">
        <v>37190</v>
      </c>
      <c r="K9841" t="s">
        <v>40289</v>
      </c>
      <c r="M9841" t="s">
        <v>40945</v>
      </c>
      <c r="N9841" t="s">
        <v>44759</v>
      </c>
      <c r="O9841" t="s">
        <v>44760</v>
      </c>
      <c r="P9841">
        <v>0</v>
      </c>
      <c r="Q9841">
        <v>0</v>
      </c>
      <c r="R9841" t="s">
        <v>44769</v>
      </c>
      <c r="S9841" t="s">
        <v>45044</v>
      </c>
      <c r="T9841" t="s">
        <v>46414</v>
      </c>
      <c r="U9841" t="s">
        <v>55118</v>
      </c>
      <c r="W9841" t="s">
        <v>40945</v>
      </c>
      <c r="X9841" t="s">
        <v>44770</v>
      </c>
    </row>
    <row r="9842" spans="1:24">
      <c r="A9842">
        <f>HYPERLINK("https://www.philgeps.gov.ph/GEPSNONPILOT/Tender/SplashBidNoticeAbstractUI.aspx?menuIndex=3&amp;refID=7138468&amp;Result=3","7138468")</f>
        <v>0</v>
      </c>
      <c r="B9842" t="s">
        <v>3070</v>
      </c>
      <c r="C9842" t="s">
        <v>13100</v>
      </c>
      <c r="D9842" t="s">
        <v>17976</v>
      </c>
      <c r="E9842" t="s">
        <v>18758</v>
      </c>
      <c r="F9842" t="s">
        <v>30900</v>
      </c>
      <c r="G9842" t="s">
        <v>30907</v>
      </c>
      <c r="H9842" t="s">
        <v>30915</v>
      </c>
      <c r="I9842" t="s">
        <v>30919</v>
      </c>
      <c r="J9842" t="s">
        <v>32616</v>
      </c>
      <c r="K9842" t="s">
        <v>40301</v>
      </c>
      <c r="M9842" t="s">
        <v>43881</v>
      </c>
      <c r="N9842" t="s">
        <v>44759</v>
      </c>
      <c r="O9842" t="s">
        <v>44760</v>
      </c>
      <c r="P9842">
        <v>0</v>
      </c>
      <c r="Q9842">
        <v>2</v>
      </c>
      <c r="R9842" t="s">
        <v>44769</v>
      </c>
      <c r="S9842" t="s">
        <v>45044</v>
      </c>
      <c r="T9842" t="s">
        <v>46439</v>
      </c>
      <c r="U9842" t="s">
        <v>55119</v>
      </c>
      <c r="W9842" t="s">
        <v>43881</v>
      </c>
      <c r="X9842" t="s">
        <v>44770</v>
      </c>
    </row>
    <row r="9843" spans="1:24">
      <c r="A9843">
        <f>HYPERLINK("https://www.philgeps.gov.ph/GEPSNONPILOT/Tender/SplashBidNoticeAbstractUI.aspx?menuIndex=3&amp;refID=7138662&amp;Result=3","7138662")</f>
        <v>0</v>
      </c>
      <c r="B9843" t="s">
        <v>3068</v>
      </c>
      <c r="C9843" t="s">
        <v>13101</v>
      </c>
      <c r="D9843" t="s">
        <v>18025</v>
      </c>
      <c r="E9843" t="s">
        <v>26569</v>
      </c>
      <c r="F9843" t="s">
        <v>30900</v>
      </c>
      <c r="G9843" t="s">
        <v>30907</v>
      </c>
      <c r="H9843" t="s">
        <v>30915</v>
      </c>
      <c r="I9843" t="s">
        <v>30919</v>
      </c>
      <c r="J9843" t="s">
        <v>37191</v>
      </c>
      <c r="K9843" t="s">
        <v>40292</v>
      </c>
      <c r="M9843" t="s">
        <v>43879</v>
      </c>
      <c r="N9843" t="s">
        <v>44759</v>
      </c>
      <c r="O9843" t="s">
        <v>44760</v>
      </c>
      <c r="P9843">
        <v>0</v>
      </c>
      <c r="Q9843">
        <v>17</v>
      </c>
      <c r="R9843" t="s">
        <v>44769</v>
      </c>
      <c r="S9843" t="s">
        <v>45044</v>
      </c>
      <c r="T9843" t="s">
        <v>46495</v>
      </c>
      <c r="U9843" t="s">
        <v>55116</v>
      </c>
      <c r="W9843" t="s">
        <v>60911</v>
      </c>
      <c r="X9843" t="s">
        <v>44770</v>
      </c>
    </row>
    <row r="9844" spans="1:24">
      <c r="A9844">
        <f>HYPERLINK("https://www.philgeps.gov.ph/GEPSNONPILOT/Tender/SplashBidNoticeAbstractUI.aspx?menuIndex=3&amp;refID=7138653&amp;Result=3","7138653")</f>
        <v>0</v>
      </c>
      <c r="B9844" t="s">
        <v>3071</v>
      </c>
      <c r="C9844" t="s">
        <v>13102</v>
      </c>
      <c r="D9844" t="s">
        <v>18013</v>
      </c>
      <c r="E9844" t="s">
        <v>26570</v>
      </c>
      <c r="F9844" t="s">
        <v>30900</v>
      </c>
      <c r="G9844" t="s">
        <v>30907</v>
      </c>
      <c r="H9844" t="s">
        <v>30916</v>
      </c>
      <c r="I9844" t="s">
        <v>8123</v>
      </c>
      <c r="J9844" t="s">
        <v>37192</v>
      </c>
      <c r="K9844" t="s">
        <v>40284</v>
      </c>
      <c r="M9844" t="s">
        <v>43882</v>
      </c>
      <c r="N9844" t="s">
        <v>44759</v>
      </c>
      <c r="O9844" t="s">
        <v>44760</v>
      </c>
      <c r="P9844">
        <v>0</v>
      </c>
      <c r="Q9844">
        <v>1</v>
      </c>
      <c r="R9844" t="s">
        <v>44769</v>
      </c>
      <c r="S9844" t="s">
        <v>45044</v>
      </c>
      <c r="T9844" t="s">
        <v>46490</v>
      </c>
      <c r="U9844" t="s">
        <v>55120</v>
      </c>
      <c r="V9844" t="s">
        <v>49756</v>
      </c>
      <c r="W9844" t="s">
        <v>43882</v>
      </c>
      <c r="X9844" t="s">
        <v>44770</v>
      </c>
    </row>
    <row r="9845" spans="1:24">
      <c r="A9845">
        <f>HYPERLINK("https://www.philgeps.gov.ph/GEPSNONPILOT/Tender/SplashBidNoticeAbstractUI.aspx?menuIndex=3&amp;refID=7138659&amp;Result=3","7138659")</f>
        <v>0</v>
      </c>
      <c r="B9845" t="s">
        <v>3072</v>
      </c>
      <c r="C9845" t="s">
        <v>13103</v>
      </c>
      <c r="D9845" t="s">
        <v>17977</v>
      </c>
      <c r="E9845" t="s">
        <v>26571</v>
      </c>
      <c r="F9845" t="s">
        <v>30900</v>
      </c>
      <c r="G9845" t="s">
        <v>30907</v>
      </c>
      <c r="H9845" t="s">
        <v>30916</v>
      </c>
      <c r="I9845" t="s">
        <v>30963</v>
      </c>
      <c r="J9845" t="s">
        <v>31069</v>
      </c>
      <c r="K9845" t="s">
        <v>40354</v>
      </c>
      <c r="M9845" t="s">
        <v>43883</v>
      </c>
      <c r="N9845" t="s">
        <v>44759</v>
      </c>
      <c r="O9845" t="s">
        <v>44760</v>
      </c>
      <c r="P9845">
        <v>0</v>
      </c>
      <c r="Q9845">
        <v>5</v>
      </c>
      <c r="R9845" t="s">
        <v>44769</v>
      </c>
      <c r="S9845" t="s">
        <v>45044</v>
      </c>
      <c r="T9845" t="s">
        <v>46450</v>
      </c>
      <c r="U9845" t="s">
        <v>55121</v>
      </c>
      <c r="W9845" t="s">
        <v>43883</v>
      </c>
      <c r="X9845" t="s">
        <v>44770</v>
      </c>
    </row>
    <row r="9846" spans="1:24">
      <c r="A9846">
        <f>HYPERLINK("https://www.philgeps.gov.ph/GEPSNONPILOT/Tender/SplashBidNoticeAbstractUI.aspx?menuIndex=3&amp;refID=7138652&amp;Result=3","7138652")</f>
        <v>0</v>
      </c>
      <c r="B9846" t="s">
        <v>3068</v>
      </c>
      <c r="C9846" t="s">
        <v>13104</v>
      </c>
      <c r="D9846" t="s">
        <v>18025</v>
      </c>
      <c r="E9846" t="s">
        <v>26572</v>
      </c>
      <c r="F9846" t="s">
        <v>30900</v>
      </c>
      <c r="G9846" t="s">
        <v>30907</v>
      </c>
      <c r="H9846" t="s">
        <v>30915</v>
      </c>
      <c r="I9846" t="s">
        <v>30919</v>
      </c>
      <c r="J9846" t="s">
        <v>37193</v>
      </c>
      <c r="K9846" t="s">
        <v>40292</v>
      </c>
      <c r="M9846" t="s">
        <v>43879</v>
      </c>
      <c r="N9846" t="s">
        <v>44759</v>
      </c>
      <c r="O9846" t="s">
        <v>44760</v>
      </c>
      <c r="P9846">
        <v>0</v>
      </c>
      <c r="Q9846">
        <v>17</v>
      </c>
      <c r="R9846" t="s">
        <v>44769</v>
      </c>
      <c r="S9846" t="s">
        <v>45044</v>
      </c>
      <c r="T9846" t="s">
        <v>46495</v>
      </c>
      <c r="U9846" t="s">
        <v>55116</v>
      </c>
      <c r="W9846" t="s">
        <v>60911</v>
      </c>
      <c r="X9846" t="s">
        <v>44770</v>
      </c>
    </row>
    <row r="9847" spans="1:24">
      <c r="A9847">
        <f>HYPERLINK("https://www.philgeps.gov.ph/GEPSNONPILOT/Tender/SplashBidNoticeAbstractUI.aspx?menuIndex=3&amp;refID=7138647&amp;Result=3","7138647")</f>
        <v>0</v>
      </c>
      <c r="B9847" t="s">
        <v>2053</v>
      </c>
      <c r="C9847" t="s">
        <v>13105</v>
      </c>
      <c r="D9847" t="s">
        <v>17980</v>
      </c>
      <c r="E9847" t="s">
        <v>26573</v>
      </c>
      <c r="F9847" t="s">
        <v>30900</v>
      </c>
      <c r="G9847" t="s">
        <v>30907</v>
      </c>
      <c r="H9847" t="s">
        <v>30916</v>
      </c>
      <c r="I9847" t="s">
        <v>30936</v>
      </c>
      <c r="J9847" t="s">
        <v>37194</v>
      </c>
      <c r="K9847" t="s">
        <v>40293</v>
      </c>
      <c r="M9847" t="s">
        <v>42752</v>
      </c>
      <c r="N9847" t="s">
        <v>44759</v>
      </c>
      <c r="O9847" t="s">
        <v>44760</v>
      </c>
      <c r="Q9847">
        <v>4</v>
      </c>
      <c r="R9847" t="s">
        <v>44769</v>
      </c>
      <c r="S9847" t="s">
        <v>45100</v>
      </c>
      <c r="T9847" t="s">
        <v>46503</v>
      </c>
      <c r="U9847" t="s">
        <v>55122</v>
      </c>
      <c r="W9847" t="s">
        <v>42752</v>
      </c>
      <c r="X9847" t="s">
        <v>44770</v>
      </c>
    </row>
    <row r="9848" spans="1:24">
      <c r="A9848">
        <f>HYPERLINK("https://www.philgeps.gov.ph/GEPSNONPILOT/Tender/SplashBidNoticeAbstractUI.aspx?menuIndex=3&amp;refID=7138649&amp;Result=3","7138649")</f>
        <v>0</v>
      </c>
      <c r="B9848" t="s">
        <v>3068</v>
      </c>
      <c r="C9848" t="s">
        <v>13106</v>
      </c>
      <c r="D9848" t="s">
        <v>18025</v>
      </c>
      <c r="E9848" t="s">
        <v>26574</v>
      </c>
      <c r="F9848" t="s">
        <v>30900</v>
      </c>
      <c r="G9848" t="s">
        <v>30907</v>
      </c>
      <c r="H9848" t="s">
        <v>30915</v>
      </c>
      <c r="I9848" t="s">
        <v>30919</v>
      </c>
      <c r="J9848" t="s">
        <v>34345</v>
      </c>
      <c r="K9848" t="s">
        <v>40280</v>
      </c>
      <c r="M9848" t="s">
        <v>43879</v>
      </c>
      <c r="N9848" t="s">
        <v>44759</v>
      </c>
      <c r="O9848" t="s">
        <v>44760</v>
      </c>
      <c r="P9848">
        <v>0</v>
      </c>
      <c r="Q9848">
        <v>8</v>
      </c>
      <c r="R9848" t="s">
        <v>44769</v>
      </c>
      <c r="S9848" t="s">
        <v>45044</v>
      </c>
      <c r="T9848" t="s">
        <v>46495</v>
      </c>
      <c r="U9848" t="s">
        <v>55116</v>
      </c>
      <c r="W9848" t="s">
        <v>60911</v>
      </c>
      <c r="X9848" t="s">
        <v>44770</v>
      </c>
    </row>
    <row r="9849" spans="1:24">
      <c r="A9849">
        <f>HYPERLINK("https://www.philgeps.gov.ph/GEPSNONPILOT/Tender/SplashBidNoticeAbstractUI.aspx?menuIndex=3&amp;refID=7138645&amp;Result=3","7138645")</f>
        <v>0</v>
      </c>
      <c r="B9849" t="s">
        <v>3073</v>
      </c>
      <c r="C9849" t="s">
        <v>13107</v>
      </c>
      <c r="D9849" t="s">
        <v>17994</v>
      </c>
      <c r="E9849" t="s">
        <v>26575</v>
      </c>
      <c r="F9849" t="s">
        <v>30900</v>
      </c>
      <c r="G9849" t="s">
        <v>30907</v>
      </c>
      <c r="H9849" t="s">
        <v>30915</v>
      </c>
      <c r="I9849" t="s">
        <v>30919</v>
      </c>
      <c r="J9849" t="s">
        <v>37195</v>
      </c>
      <c r="K9849" t="s">
        <v>40481</v>
      </c>
      <c r="M9849" t="s">
        <v>43884</v>
      </c>
      <c r="N9849" t="s">
        <v>44759</v>
      </c>
      <c r="O9849" t="s">
        <v>44760</v>
      </c>
      <c r="P9849">
        <v>0</v>
      </c>
      <c r="Q9849">
        <v>2</v>
      </c>
      <c r="R9849" t="s">
        <v>44769</v>
      </c>
      <c r="S9849" t="s">
        <v>45044</v>
      </c>
      <c r="T9849" t="s">
        <v>46380</v>
      </c>
      <c r="U9849" t="s">
        <v>55123</v>
      </c>
      <c r="V9849" t="s">
        <v>60198</v>
      </c>
      <c r="W9849" t="s">
        <v>43884</v>
      </c>
      <c r="X9849" t="s">
        <v>44770</v>
      </c>
    </row>
    <row r="9850" spans="1:24">
      <c r="A9850">
        <f>HYPERLINK("https://www.philgeps.gov.ph/GEPSNONPILOT/Tender/SplashBidNoticeAbstractUI.aspx?menuIndex=3&amp;refID=7138643&amp;Result=3","7138643")</f>
        <v>0</v>
      </c>
      <c r="B9850" t="s">
        <v>3074</v>
      </c>
      <c r="C9850" t="s">
        <v>13108</v>
      </c>
      <c r="D9850" t="s">
        <v>17954</v>
      </c>
      <c r="E9850" t="s">
        <v>26576</v>
      </c>
      <c r="F9850" t="s">
        <v>30900</v>
      </c>
      <c r="G9850" t="s">
        <v>30907</v>
      </c>
      <c r="H9850" t="s">
        <v>30916</v>
      </c>
      <c r="I9850" t="s">
        <v>31024</v>
      </c>
      <c r="J9850" t="s">
        <v>31243</v>
      </c>
      <c r="K9850" t="s">
        <v>40292</v>
      </c>
      <c r="M9850" t="s">
        <v>43885</v>
      </c>
      <c r="N9850" t="s">
        <v>44759</v>
      </c>
      <c r="O9850" t="s">
        <v>44760</v>
      </c>
      <c r="P9850">
        <v>0</v>
      </c>
      <c r="Q9850">
        <v>2</v>
      </c>
      <c r="R9850" t="s">
        <v>44769</v>
      </c>
      <c r="S9850" t="s">
        <v>45044</v>
      </c>
      <c r="T9850" t="s">
        <v>46472</v>
      </c>
      <c r="U9850" t="s">
        <v>55124</v>
      </c>
      <c r="W9850" t="s">
        <v>43885</v>
      </c>
      <c r="X9850" t="s">
        <v>44770</v>
      </c>
    </row>
    <row r="9851" spans="1:24">
      <c r="A9851">
        <f>HYPERLINK("https://www.philgeps.gov.ph/GEPSNONPILOT/Tender/SplashBidNoticeAbstractUI.aspx?menuIndex=3&amp;refID=7138630&amp;Result=3","7138630")</f>
        <v>0</v>
      </c>
      <c r="B9851" t="s">
        <v>3071</v>
      </c>
      <c r="C9851" t="s">
        <v>13109</v>
      </c>
      <c r="D9851" t="s">
        <v>18013</v>
      </c>
      <c r="E9851" t="s">
        <v>26577</v>
      </c>
      <c r="F9851" t="s">
        <v>30900</v>
      </c>
      <c r="G9851" t="s">
        <v>30907</v>
      </c>
      <c r="H9851" t="s">
        <v>30917</v>
      </c>
      <c r="I9851" t="s">
        <v>4965</v>
      </c>
      <c r="J9851" t="s">
        <v>31293</v>
      </c>
      <c r="K9851" t="s">
        <v>40284</v>
      </c>
      <c r="M9851" t="s">
        <v>43882</v>
      </c>
      <c r="N9851" t="s">
        <v>44759</v>
      </c>
      <c r="O9851" t="s">
        <v>44760</v>
      </c>
      <c r="P9851">
        <v>0</v>
      </c>
      <c r="Q9851">
        <v>0</v>
      </c>
      <c r="R9851" t="s">
        <v>44769</v>
      </c>
      <c r="S9851" t="s">
        <v>45044</v>
      </c>
      <c r="T9851" t="s">
        <v>46544</v>
      </c>
      <c r="U9851" t="s">
        <v>55125</v>
      </c>
      <c r="V9851" t="s">
        <v>49756</v>
      </c>
      <c r="W9851" t="s">
        <v>43882</v>
      </c>
      <c r="X9851" t="s">
        <v>44770</v>
      </c>
    </row>
    <row r="9852" spans="1:24">
      <c r="A9852">
        <f>HYPERLINK("https://www.philgeps.gov.ph/GEPSNONPILOT/Tender/SplashBidNoticeAbstractUI.aspx?menuIndex=3&amp;refID=7138658&amp;Result=3","7138658")</f>
        <v>0</v>
      </c>
      <c r="B9852" t="s">
        <v>411</v>
      </c>
      <c r="C9852" t="s">
        <v>13110</v>
      </c>
      <c r="D9852" t="s">
        <v>17959</v>
      </c>
      <c r="E9852" t="s">
        <v>26578</v>
      </c>
      <c r="F9852" t="s">
        <v>30900</v>
      </c>
      <c r="G9852" t="s">
        <v>30910</v>
      </c>
      <c r="H9852" t="s">
        <v>30916</v>
      </c>
      <c r="I9852" t="s">
        <v>30934</v>
      </c>
      <c r="J9852" t="s">
        <v>31183</v>
      </c>
      <c r="K9852" t="s">
        <v>40287</v>
      </c>
      <c r="M9852" t="s">
        <v>40967</v>
      </c>
      <c r="N9852" t="s">
        <v>44759</v>
      </c>
      <c r="O9852" t="s">
        <v>44760</v>
      </c>
      <c r="Q9852">
        <v>6</v>
      </c>
      <c r="R9852" t="s">
        <v>44769</v>
      </c>
      <c r="S9852" t="s">
        <v>45101</v>
      </c>
      <c r="T9852" t="s">
        <v>46590</v>
      </c>
      <c r="U9852" t="s">
        <v>55126</v>
      </c>
      <c r="V9852" t="s">
        <v>59532</v>
      </c>
      <c r="W9852" t="s">
        <v>40967</v>
      </c>
      <c r="X9852" t="s">
        <v>44770</v>
      </c>
    </row>
    <row r="9853" spans="1:24">
      <c r="A9853">
        <f>HYPERLINK("https://www.philgeps.gov.ph/GEPSNONPILOT/Tender/SplashBidNoticeAbstractUI.aspx?menuIndex=3&amp;refID=7138629&amp;Result=3","7138629")</f>
        <v>0</v>
      </c>
      <c r="B9853" t="s">
        <v>3075</v>
      </c>
      <c r="C9853" t="s">
        <v>13111</v>
      </c>
      <c r="D9853" t="s">
        <v>18019</v>
      </c>
      <c r="E9853" t="s">
        <v>19382</v>
      </c>
      <c r="F9853" t="s">
        <v>30900</v>
      </c>
      <c r="G9853" t="s">
        <v>30907</v>
      </c>
      <c r="H9853" t="s">
        <v>30915</v>
      </c>
      <c r="I9853" t="s">
        <v>30919</v>
      </c>
      <c r="J9853" t="s">
        <v>37196</v>
      </c>
      <c r="K9853" t="s">
        <v>40280</v>
      </c>
      <c r="M9853" t="s">
        <v>43886</v>
      </c>
      <c r="N9853" t="s">
        <v>44759</v>
      </c>
      <c r="O9853" t="s">
        <v>44760</v>
      </c>
      <c r="P9853">
        <v>0</v>
      </c>
      <c r="Q9853">
        <v>0</v>
      </c>
      <c r="R9853" t="s">
        <v>44769</v>
      </c>
      <c r="S9853" t="s">
        <v>45044</v>
      </c>
      <c r="T9853" t="s">
        <v>46644</v>
      </c>
      <c r="U9853" t="s">
        <v>55127</v>
      </c>
      <c r="W9853" t="s">
        <v>43886</v>
      </c>
      <c r="X9853" t="s">
        <v>44770</v>
      </c>
    </row>
    <row r="9854" spans="1:24">
      <c r="A9854">
        <f>HYPERLINK("https://www.philgeps.gov.ph/GEPSNONPILOT/Tender/SplashBidNoticeAbstractUI.aspx?menuIndex=3&amp;refID=7138619&amp;Result=3","7138619")</f>
        <v>0</v>
      </c>
      <c r="B9854" t="s">
        <v>1008</v>
      </c>
      <c r="C9854" t="s">
        <v>13112</v>
      </c>
      <c r="D9854" t="s">
        <v>17993</v>
      </c>
      <c r="E9854" t="s">
        <v>26579</v>
      </c>
      <c r="F9854" t="s">
        <v>30900</v>
      </c>
      <c r="G9854" t="s">
        <v>30907</v>
      </c>
      <c r="H9854" t="s">
        <v>30916</v>
      </c>
      <c r="I9854" t="s">
        <v>30923</v>
      </c>
      <c r="J9854" t="s">
        <v>37197</v>
      </c>
      <c r="K9854" t="s">
        <v>40289</v>
      </c>
      <c r="M9854" t="s">
        <v>43887</v>
      </c>
      <c r="N9854" t="s">
        <v>44759</v>
      </c>
      <c r="O9854" t="s">
        <v>44760</v>
      </c>
      <c r="P9854">
        <v>0</v>
      </c>
      <c r="Q9854">
        <v>15</v>
      </c>
      <c r="R9854" t="s">
        <v>44769</v>
      </c>
      <c r="S9854" t="s">
        <v>45044</v>
      </c>
      <c r="T9854" t="s">
        <v>46411</v>
      </c>
      <c r="U9854" t="s">
        <v>55128</v>
      </c>
      <c r="W9854" t="s">
        <v>43887</v>
      </c>
      <c r="X9854" t="s">
        <v>44770</v>
      </c>
    </row>
    <row r="9855" spans="1:24">
      <c r="A9855">
        <f>HYPERLINK("https://www.philgeps.gov.ph/GEPSNONPILOT/Tender/SplashBidNoticeAbstractUI.aspx?menuIndex=3&amp;refID=7138671&amp;Result=3","7138671")</f>
        <v>0</v>
      </c>
      <c r="B9855" t="s">
        <v>390</v>
      </c>
      <c r="C9855" t="s">
        <v>13113</v>
      </c>
      <c r="D9855" t="s">
        <v>17953</v>
      </c>
      <c r="E9855" t="s">
        <v>26580</v>
      </c>
      <c r="F9855" t="s">
        <v>30900</v>
      </c>
      <c r="G9855" t="s">
        <v>30907</v>
      </c>
      <c r="H9855" t="s">
        <v>30916</v>
      </c>
      <c r="I9855" t="s">
        <v>8123</v>
      </c>
      <c r="J9855" t="s">
        <v>37198</v>
      </c>
      <c r="K9855" t="s">
        <v>40289</v>
      </c>
      <c r="M9855" t="s">
        <v>40945</v>
      </c>
      <c r="N9855" t="s">
        <v>44759</v>
      </c>
      <c r="O9855" t="s">
        <v>44760</v>
      </c>
      <c r="P9855">
        <v>0</v>
      </c>
      <c r="Q9855">
        <v>0</v>
      </c>
      <c r="R9855" t="s">
        <v>44769</v>
      </c>
      <c r="S9855" t="s">
        <v>45044</v>
      </c>
      <c r="T9855" t="s">
        <v>46357</v>
      </c>
      <c r="U9855" t="s">
        <v>47574</v>
      </c>
      <c r="W9855" t="s">
        <v>40945</v>
      </c>
      <c r="X9855" t="s">
        <v>44770</v>
      </c>
    </row>
    <row r="9856" spans="1:24">
      <c r="A9856">
        <f>HYPERLINK("https://www.philgeps.gov.ph/GEPSNONPILOT/Tender/SplashBidNoticeAbstractUI.aspx?menuIndex=3&amp;refID=7138640&amp;Result=3","7138640")</f>
        <v>0</v>
      </c>
      <c r="B9856" t="s">
        <v>3068</v>
      </c>
      <c r="C9856" t="s">
        <v>13114</v>
      </c>
      <c r="D9856" t="s">
        <v>18025</v>
      </c>
      <c r="E9856" t="s">
        <v>26581</v>
      </c>
      <c r="F9856" t="s">
        <v>30900</v>
      </c>
      <c r="G9856" t="s">
        <v>30907</v>
      </c>
      <c r="H9856" t="s">
        <v>30915</v>
      </c>
      <c r="I9856" t="s">
        <v>30919</v>
      </c>
      <c r="J9856" t="s">
        <v>35793</v>
      </c>
      <c r="K9856" t="s">
        <v>40293</v>
      </c>
      <c r="M9856" t="s">
        <v>43879</v>
      </c>
      <c r="N9856" t="s">
        <v>44759</v>
      </c>
      <c r="O9856" t="s">
        <v>44760</v>
      </c>
      <c r="P9856">
        <v>0</v>
      </c>
      <c r="Q9856">
        <v>7</v>
      </c>
      <c r="R9856" t="s">
        <v>44769</v>
      </c>
      <c r="S9856" t="s">
        <v>45044</v>
      </c>
      <c r="T9856" t="s">
        <v>46495</v>
      </c>
      <c r="U9856" t="s">
        <v>55116</v>
      </c>
      <c r="W9856" t="s">
        <v>60911</v>
      </c>
      <c r="X9856" t="s">
        <v>44770</v>
      </c>
    </row>
    <row r="9857" spans="1:24">
      <c r="A9857">
        <f>HYPERLINK("https://www.philgeps.gov.ph/GEPSNONPILOT/Tender/SplashBidNoticeAbstractUI.aspx?menuIndex=3&amp;refID=7138726&amp;Result=3","7138726")</f>
        <v>0</v>
      </c>
      <c r="B9857" t="s">
        <v>138</v>
      </c>
      <c r="C9857" t="s">
        <v>13115</v>
      </c>
      <c r="D9857" t="s">
        <v>17965</v>
      </c>
      <c r="E9857" t="s">
        <v>26582</v>
      </c>
      <c r="F9857" t="s">
        <v>30900</v>
      </c>
      <c r="G9857" t="s">
        <v>30907</v>
      </c>
      <c r="H9857" t="s">
        <v>30915</v>
      </c>
      <c r="I9857" t="s">
        <v>30919</v>
      </c>
      <c r="J9857" t="s">
        <v>37199</v>
      </c>
      <c r="K9857" t="s">
        <v>40280</v>
      </c>
      <c r="M9857" t="s">
        <v>43018</v>
      </c>
      <c r="N9857" t="s">
        <v>44759</v>
      </c>
      <c r="O9857" t="s">
        <v>44760</v>
      </c>
      <c r="P9857">
        <v>0</v>
      </c>
      <c r="Q9857">
        <v>0</v>
      </c>
      <c r="R9857" t="s">
        <v>44769</v>
      </c>
      <c r="S9857" t="s">
        <v>45044</v>
      </c>
      <c r="T9857" t="s">
        <v>46389</v>
      </c>
      <c r="U9857" t="s">
        <v>55129</v>
      </c>
      <c r="W9857" t="s">
        <v>43018</v>
      </c>
      <c r="X9857" t="s">
        <v>44770</v>
      </c>
    </row>
    <row r="9858" spans="1:24">
      <c r="A9858">
        <f>HYPERLINK("https://www.philgeps.gov.ph/GEPSNONPILOT/Tender/SplashBidNoticeAbstractUI.aspx?menuIndex=3&amp;refID=7138763&amp;Result=3","7138763")</f>
        <v>0</v>
      </c>
      <c r="B9858" t="s">
        <v>2465</v>
      </c>
      <c r="C9858" t="s">
        <v>13116</v>
      </c>
      <c r="D9858" t="s">
        <v>17959</v>
      </c>
      <c r="E9858" t="s">
        <v>26583</v>
      </c>
      <c r="F9858" t="s">
        <v>30900</v>
      </c>
      <c r="G9858" t="s">
        <v>30907</v>
      </c>
      <c r="H9858" t="s">
        <v>30916</v>
      </c>
      <c r="I9858" t="s">
        <v>6834</v>
      </c>
      <c r="J9858" t="s">
        <v>37200</v>
      </c>
      <c r="K9858" t="s">
        <v>40286</v>
      </c>
      <c r="M9858" t="s">
        <v>43203</v>
      </c>
      <c r="N9858" t="s">
        <v>44759</v>
      </c>
      <c r="O9858" t="s">
        <v>44760</v>
      </c>
      <c r="P9858">
        <v>0</v>
      </c>
      <c r="Q9858">
        <v>11</v>
      </c>
      <c r="R9858" t="s">
        <v>44769</v>
      </c>
      <c r="S9858" t="s">
        <v>45044</v>
      </c>
      <c r="T9858" t="s">
        <v>46512</v>
      </c>
      <c r="U9858" t="s">
        <v>55130</v>
      </c>
      <c r="V9858" t="s">
        <v>60199</v>
      </c>
      <c r="W9858" t="s">
        <v>43203</v>
      </c>
      <c r="X9858" t="s">
        <v>44770</v>
      </c>
    </row>
    <row r="9859" spans="1:24">
      <c r="A9859">
        <f>HYPERLINK("https://www.philgeps.gov.ph/GEPSNONPILOT/Tender/SplashBidNoticeAbstractUI.aspx?menuIndex=3&amp;refID=7138757&amp;Result=3","7138757")</f>
        <v>0</v>
      </c>
      <c r="B9859" t="s">
        <v>3076</v>
      </c>
      <c r="C9859" t="s">
        <v>13117</v>
      </c>
      <c r="E9859" t="s">
        <v>26584</v>
      </c>
      <c r="F9859" t="s">
        <v>30900</v>
      </c>
      <c r="G9859" t="s">
        <v>30907</v>
      </c>
      <c r="H9859" t="s">
        <v>30916</v>
      </c>
      <c r="I9859" t="s">
        <v>30919</v>
      </c>
      <c r="J9859" t="s">
        <v>32549</v>
      </c>
      <c r="K9859" t="s">
        <v>40292</v>
      </c>
      <c r="M9859" t="s">
        <v>43888</v>
      </c>
      <c r="N9859" t="s">
        <v>44759</v>
      </c>
      <c r="O9859" t="s">
        <v>44760</v>
      </c>
      <c r="P9859">
        <v>0</v>
      </c>
      <c r="Q9859">
        <v>0</v>
      </c>
      <c r="R9859" t="s">
        <v>44769</v>
      </c>
      <c r="S9859" t="s">
        <v>45044</v>
      </c>
      <c r="T9859" t="s">
        <v>46495</v>
      </c>
      <c r="U9859" t="s">
        <v>55131</v>
      </c>
      <c r="W9859" t="s">
        <v>43888</v>
      </c>
      <c r="X9859" t="s">
        <v>44770</v>
      </c>
    </row>
    <row r="9860" spans="1:24">
      <c r="A9860">
        <f>HYPERLINK("https://www.philgeps.gov.ph/GEPSNONPILOT/Tender/SplashBidNoticeAbstractUI.aspx?menuIndex=3&amp;refID=7138738&amp;Result=3","7138738")</f>
        <v>0</v>
      </c>
      <c r="B9860" t="s">
        <v>3077</v>
      </c>
      <c r="C9860" t="s">
        <v>13118</v>
      </c>
      <c r="D9860" t="s">
        <v>17959</v>
      </c>
      <c r="E9860" t="s">
        <v>22383</v>
      </c>
      <c r="F9860" t="s">
        <v>30900</v>
      </c>
      <c r="G9860" t="s">
        <v>30907</v>
      </c>
      <c r="H9860" t="s">
        <v>30916</v>
      </c>
      <c r="I9860" t="s">
        <v>4108</v>
      </c>
      <c r="J9860" t="s">
        <v>37201</v>
      </c>
      <c r="K9860" t="s">
        <v>40288</v>
      </c>
      <c r="M9860" t="s">
        <v>43889</v>
      </c>
      <c r="N9860" t="s">
        <v>44759</v>
      </c>
      <c r="O9860" t="s">
        <v>44760</v>
      </c>
      <c r="P9860">
        <v>0</v>
      </c>
      <c r="Q9860">
        <v>3</v>
      </c>
      <c r="R9860" t="s">
        <v>44769</v>
      </c>
      <c r="S9860" t="s">
        <v>45044</v>
      </c>
      <c r="T9860" t="s">
        <v>46403</v>
      </c>
      <c r="U9860" t="s">
        <v>55132</v>
      </c>
      <c r="W9860" t="s">
        <v>43889</v>
      </c>
      <c r="X9860" t="s">
        <v>44770</v>
      </c>
    </row>
    <row r="9861" spans="1:24">
      <c r="A9861">
        <f>HYPERLINK("https://www.philgeps.gov.ph/GEPSNONPILOT/Tender/SplashBidNoticeAbstractUI.aspx?menuIndex=3&amp;refID=7138729&amp;Result=3","7138729")</f>
        <v>0</v>
      </c>
      <c r="B9861" t="s">
        <v>3009</v>
      </c>
      <c r="C9861" t="s">
        <v>13119</v>
      </c>
      <c r="D9861" t="s">
        <v>17997</v>
      </c>
      <c r="E9861" t="s">
        <v>26585</v>
      </c>
      <c r="F9861" t="s">
        <v>30900</v>
      </c>
      <c r="G9861" t="s">
        <v>30907</v>
      </c>
      <c r="H9861" t="s">
        <v>30916</v>
      </c>
      <c r="I9861" t="s">
        <v>30933</v>
      </c>
      <c r="J9861" t="s">
        <v>37202</v>
      </c>
      <c r="K9861" t="s">
        <v>40286</v>
      </c>
      <c r="M9861" t="s">
        <v>43815</v>
      </c>
      <c r="N9861" t="s">
        <v>44759</v>
      </c>
      <c r="O9861" t="s">
        <v>44760</v>
      </c>
      <c r="P9861">
        <v>0</v>
      </c>
      <c r="Q9861">
        <v>6</v>
      </c>
      <c r="R9861" t="s">
        <v>44769</v>
      </c>
      <c r="S9861" t="s">
        <v>45044</v>
      </c>
      <c r="T9861" t="s">
        <v>46411</v>
      </c>
      <c r="U9861" t="s">
        <v>55133</v>
      </c>
      <c r="W9861" t="s">
        <v>43815</v>
      </c>
      <c r="X9861" t="s">
        <v>44770</v>
      </c>
    </row>
    <row r="9862" spans="1:24">
      <c r="A9862">
        <f>HYPERLINK("https://www.philgeps.gov.ph/GEPSNONPILOT/Tender/SplashBidNoticeAbstractUI.aspx?menuIndex=3&amp;refID=7138436&amp;Result=3","7138436")</f>
        <v>0</v>
      </c>
      <c r="B9862" t="s">
        <v>350</v>
      </c>
      <c r="C9862" t="s">
        <v>13120</v>
      </c>
      <c r="D9862" t="s">
        <v>18025</v>
      </c>
      <c r="E9862" t="s">
        <v>26586</v>
      </c>
      <c r="F9862" t="s">
        <v>30900</v>
      </c>
      <c r="G9862" t="s">
        <v>30907</v>
      </c>
      <c r="H9862" t="s">
        <v>30916</v>
      </c>
      <c r="I9862" t="s">
        <v>30929</v>
      </c>
      <c r="J9862" t="s">
        <v>37203</v>
      </c>
      <c r="K9862" t="s">
        <v>40286</v>
      </c>
      <c r="M9862" t="s">
        <v>41477</v>
      </c>
      <c r="N9862" t="s">
        <v>44759</v>
      </c>
      <c r="O9862" t="s">
        <v>44760</v>
      </c>
      <c r="P9862">
        <v>0</v>
      </c>
      <c r="Q9862">
        <v>14</v>
      </c>
      <c r="R9862" t="s">
        <v>44769</v>
      </c>
      <c r="S9862" t="s">
        <v>45044</v>
      </c>
      <c r="T9862" t="s">
        <v>46595</v>
      </c>
      <c r="U9862" t="s">
        <v>47499</v>
      </c>
      <c r="V9862" t="s">
        <v>59326</v>
      </c>
      <c r="W9862" t="s">
        <v>60826</v>
      </c>
      <c r="X9862" t="s">
        <v>44770</v>
      </c>
    </row>
    <row r="9863" spans="1:24">
      <c r="A9863">
        <f>HYPERLINK("https://www.philgeps.gov.ph/GEPSNONPILOT/Tender/SplashBidNoticeAbstractUI.aspx?menuIndex=3&amp;refID=7138642&amp;Result=3","7138642")</f>
        <v>0</v>
      </c>
      <c r="B9863" t="s">
        <v>3068</v>
      </c>
      <c r="C9863" t="s">
        <v>13121</v>
      </c>
      <c r="D9863" t="s">
        <v>18025</v>
      </c>
      <c r="E9863" t="s">
        <v>26587</v>
      </c>
      <c r="F9863" t="s">
        <v>30900</v>
      </c>
      <c r="G9863" t="s">
        <v>30907</v>
      </c>
      <c r="H9863" t="s">
        <v>30915</v>
      </c>
      <c r="I9863" t="s">
        <v>30919</v>
      </c>
      <c r="J9863" t="s">
        <v>31157</v>
      </c>
      <c r="K9863" t="s">
        <v>40286</v>
      </c>
      <c r="M9863" t="s">
        <v>43879</v>
      </c>
      <c r="N9863" t="s">
        <v>44759</v>
      </c>
      <c r="O9863" t="s">
        <v>44760</v>
      </c>
      <c r="P9863">
        <v>0</v>
      </c>
      <c r="Q9863">
        <v>6</v>
      </c>
      <c r="R9863" t="s">
        <v>44769</v>
      </c>
      <c r="S9863" t="s">
        <v>45044</v>
      </c>
      <c r="T9863" t="s">
        <v>46495</v>
      </c>
      <c r="U9863" t="s">
        <v>55116</v>
      </c>
      <c r="W9863" t="s">
        <v>60911</v>
      </c>
      <c r="X9863" t="s">
        <v>44770</v>
      </c>
    </row>
    <row r="9864" spans="1:24">
      <c r="A9864">
        <f>HYPERLINK("https://www.philgeps.gov.ph/GEPSNONPILOT/Tender/SplashBidNoticeAbstractUI.aspx?menuIndex=3&amp;refID=7138723&amp;Result=3","7138723")</f>
        <v>0</v>
      </c>
      <c r="B9864" t="s">
        <v>3078</v>
      </c>
      <c r="C9864" t="s">
        <v>13122</v>
      </c>
      <c r="D9864" t="s">
        <v>17978</v>
      </c>
      <c r="E9864" t="s">
        <v>26588</v>
      </c>
      <c r="F9864" t="s">
        <v>30900</v>
      </c>
      <c r="G9864" t="s">
        <v>30907</v>
      </c>
      <c r="H9864" t="s">
        <v>30916</v>
      </c>
      <c r="I9864" t="s">
        <v>30947</v>
      </c>
      <c r="J9864" t="s">
        <v>37204</v>
      </c>
      <c r="K9864" t="s">
        <v>40301</v>
      </c>
      <c r="M9864" t="s">
        <v>43890</v>
      </c>
      <c r="N9864" t="s">
        <v>44759</v>
      </c>
      <c r="O9864" t="s">
        <v>44760</v>
      </c>
      <c r="P9864">
        <v>0</v>
      </c>
      <c r="Q9864">
        <v>6</v>
      </c>
      <c r="R9864" t="s">
        <v>44769</v>
      </c>
      <c r="S9864" t="s">
        <v>45044</v>
      </c>
      <c r="T9864" t="s">
        <v>46595</v>
      </c>
      <c r="U9864" t="s">
        <v>55134</v>
      </c>
      <c r="W9864" t="s">
        <v>43890</v>
      </c>
      <c r="X9864" t="s">
        <v>44770</v>
      </c>
    </row>
    <row r="9865" spans="1:24">
      <c r="A9865">
        <f>HYPERLINK("https://www.philgeps.gov.ph/GEPSNONPILOT/Tender/SplashBidNoticeAbstractUI.aspx?menuIndex=3&amp;refID=7138701&amp;Result=3","7138701")</f>
        <v>0</v>
      </c>
      <c r="B9865" t="s">
        <v>390</v>
      </c>
      <c r="C9865" t="s">
        <v>13123</v>
      </c>
      <c r="D9865" t="s">
        <v>17953</v>
      </c>
      <c r="E9865" t="s">
        <v>26589</v>
      </c>
      <c r="F9865" t="s">
        <v>30900</v>
      </c>
      <c r="G9865" t="s">
        <v>30908</v>
      </c>
      <c r="H9865" t="s">
        <v>30916</v>
      </c>
      <c r="I9865" t="s">
        <v>8365</v>
      </c>
      <c r="J9865" t="s">
        <v>37205</v>
      </c>
      <c r="K9865" t="s">
        <v>40289</v>
      </c>
      <c r="M9865" t="s">
        <v>40945</v>
      </c>
      <c r="N9865" t="s">
        <v>44759</v>
      </c>
      <c r="O9865" t="s">
        <v>44760</v>
      </c>
      <c r="P9865">
        <v>0</v>
      </c>
      <c r="Q9865">
        <v>1</v>
      </c>
      <c r="R9865" t="s">
        <v>44769</v>
      </c>
      <c r="S9865" t="s">
        <v>45044</v>
      </c>
      <c r="T9865" t="s">
        <v>46541</v>
      </c>
      <c r="U9865" t="s">
        <v>48167</v>
      </c>
      <c r="W9865" t="s">
        <v>40945</v>
      </c>
      <c r="X9865" t="s">
        <v>44770</v>
      </c>
    </row>
    <row r="9866" spans="1:24">
      <c r="A9866">
        <f>HYPERLINK("https://www.philgeps.gov.ph/GEPSNONPILOT/Tender/SplashBidNoticeAbstractUI.aspx?menuIndex=3&amp;refID=7138760&amp;Result=3","7138760")</f>
        <v>0</v>
      </c>
      <c r="B9866" t="s">
        <v>3079</v>
      </c>
      <c r="C9866" t="s">
        <v>13124</v>
      </c>
      <c r="D9866" t="s">
        <v>17978</v>
      </c>
      <c r="E9866" t="s">
        <v>26590</v>
      </c>
      <c r="F9866" t="s">
        <v>30900</v>
      </c>
      <c r="G9866" t="s">
        <v>30907</v>
      </c>
      <c r="H9866" t="s">
        <v>30915</v>
      </c>
      <c r="I9866" t="s">
        <v>30919</v>
      </c>
      <c r="J9866" t="s">
        <v>37206</v>
      </c>
      <c r="K9866" t="s">
        <v>40294</v>
      </c>
      <c r="M9866" t="s">
        <v>43891</v>
      </c>
      <c r="N9866" t="s">
        <v>44759</v>
      </c>
      <c r="O9866" t="s">
        <v>44760</v>
      </c>
      <c r="P9866">
        <v>0</v>
      </c>
      <c r="Q9866">
        <v>0</v>
      </c>
      <c r="R9866" t="s">
        <v>44769</v>
      </c>
      <c r="S9866" t="s">
        <v>45044</v>
      </c>
      <c r="T9866" t="s">
        <v>46425</v>
      </c>
      <c r="U9866" t="s">
        <v>55135</v>
      </c>
      <c r="W9866" t="s">
        <v>43891</v>
      </c>
      <c r="X9866" t="s">
        <v>44770</v>
      </c>
    </row>
    <row r="9867" spans="1:24">
      <c r="A9867">
        <f>HYPERLINK("https://www.philgeps.gov.ph/GEPSNONPILOT/Tender/SplashBidNoticeAbstractUI.aspx?menuIndex=3&amp;refID=7138690&amp;Result=3","7138690")</f>
        <v>0</v>
      </c>
      <c r="B9867" t="s">
        <v>390</v>
      </c>
      <c r="C9867" t="s">
        <v>13125</v>
      </c>
      <c r="D9867" t="s">
        <v>17953</v>
      </c>
      <c r="E9867" t="s">
        <v>26591</v>
      </c>
      <c r="F9867" t="s">
        <v>30900</v>
      </c>
      <c r="G9867" t="s">
        <v>30907</v>
      </c>
      <c r="H9867" t="s">
        <v>30916</v>
      </c>
      <c r="I9867" t="s">
        <v>8123</v>
      </c>
      <c r="J9867" t="s">
        <v>37207</v>
      </c>
      <c r="K9867" t="s">
        <v>40289</v>
      </c>
      <c r="M9867" t="s">
        <v>40945</v>
      </c>
      <c r="N9867" t="s">
        <v>44759</v>
      </c>
      <c r="O9867" t="s">
        <v>44760</v>
      </c>
      <c r="P9867">
        <v>0</v>
      </c>
      <c r="Q9867">
        <v>1</v>
      </c>
      <c r="R9867" t="s">
        <v>44769</v>
      </c>
      <c r="S9867" t="s">
        <v>45044</v>
      </c>
      <c r="T9867" t="s">
        <v>46428</v>
      </c>
      <c r="U9867" t="s">
        <v>47574</v>
      </c>
      <c r="W9867" t="s">
        <v>40945</v>
      </c>
      <c r="X9867" t="s">
        <v>44770</v>
      </c>
    </row>
    <row r="9868" spans="1:24">
      <c r="A9868">
        <f>HYPERLINK("https://www.philgeps.gov.ph/GEPSNONPILOT/Tender/SplashBidNoticeAbstractUI.aspx?menuIndex=3&amp;refID=7138272&amp;Result=3","7138272")</f>
        <v>0</v>
      </c>
      <c r="B9868" t="s">
        <v>919</v>
      </c>
      <c r="C9868" t="s">
        <v>13126</v>
      </c>
      <c r="D9868" t="s">
        <v>17962</v>
      </c>
      <c r="E9868" t="s">
        <v>20359</v>
      </c>
      <c r="F9868" t="s">
        <v>30900</v>
      </c>
      <c r="G9868" t="s">
        <v>30907</v>
      </c>
      <c r="H9868" t="s">
        <v>30916</v>
      </c>
      <c r="I9868" t="s">
        <v>30919</v>
      </c>
      <c r="J9868" t="s">
        <v>35994</v>
      </c>
      <c r="K9868" t="s">
        <v>40292</v>
      </c>
      <c r="M9868" t="s">
        <v>41499</v>
      </c>
      <c r="N9868" t="s">
        <v>44759</v>
      </c>
      <c r="O9868" t="s">
        <v>44760</v>
      </c>
      <c r="P9868">
        <v>0</v>
      </c>
      <c r="Q9868">
        <v>1</v>
      </c>
      <c r="R9868" t="s">
        <v>44769</v>
      </c>
      <c r="S9868" t="s">
        <v>45044</v>
      </c>
      <c r="T9868" t="s">
        <v>46515</v>
      </c>
      <c r="U9868" t="s">
        <v>55136</v>
      </c>
      <c r="W9868" t="s">
        <v>41499</v>
      </c>
      <c r="X9868" t="s">
        <v>44770</v>
      </c>
    </row>
    <row r="9869" spans="1:24">
      <c r="A9869">
        <f>HYPERLINK("https://www.philgeps.gov.ph/GEPSNONPILOT/Tender/SplashBidNoticeAbstractUI.aspx?menuIndex=3&amp;refID=7138439&amp;Result=3","7138439")</f>
        <v>0</v>
      </c>
      <c r="B9869" t="s">
        <v>589</v>
      </c>
      <c r="C9869" t="s">
        <v>13127</v>
      </c>
      <c r="D9869" t="s">
        <v>17969</v>
      </c>
      <c r="E9869" t="s">
        <v>26592</v>
      </c>
      <c r="F9869" t="s">
        <v>30900</v>
      </c>
      <c r="G9869" t="s">
        <v>30907</v>
      </c>
      <c r="H9869" t="s">
        <v>30916</v>
      </c>
      <c r="I9869" t="s">
        <v>30928</v>
      </c>
      <c r="J9869" t="s">
        <v>37208</v>
      </c>
      <c r="K9869" t="s">
        <v>40286</v>
      </c>
      <c r="M9869" t="s">
        <v>41151</v>
      </c>
      <c r="N9869" t="s">
        <v>44759</v>
      </c>
      <c r="O9869" t="s">
        <v>44760</v>
      </c>
      <c r="P9869">
        <v>0</v>
      </c>
      <c r="Q9869">
        <v>9</v>
      </c>
      <c r="R9869" t="s">
        <v>44769</v>
      </c>
      <c r="S9869" t="s">
        <v>45044</v>
      </c>
      <c r="T9869" t="s">
        <v>46488</v>
      </c>
      <c r="U9869" t="s">
        <v>55137</v>
      </c>
      <c r="W9869" t="s">
        <v>41151</v>
      </c>
      <c r="X9869" t="s">
        <v>44770</v>
      </c>
    </row>
    <row r="9870" spans="1:24">
      <c r="A9870">
        <f>HYPERLINK("https://www.philgeps.gov.ph/GEPSNONPILOT/Tender/SplashBidNoticeAbstractUI.aspx?menuIndex=3&amp;refID=7138681&amp;Result=3","7138681")</f>
        <v>0</v>
      </c>
      <c r="B9870" t="s">
        <v>390</v>
      </c>
      <c r="C9870" t="s">
        <v>13128</v>
      </c>
      <c r="D9870" t="s">
        <v>17953</v>
      </c>
      <c r="E9870" t="s">
        <v>26593</v>
      </c>
      <c r="F9870" t="s">
        <v>30900</v>
      </c>
      <c r="G9870" t="s">
        <v>30907</v>
      </c>
      <c r="H9870" t="s">
        <v>30916</v>
      </c>
      <c r="I9870" t="s">
        <v>8123</v>
      </c>
      <c r="J9870" t="s">
        <v>37209</v>
      </c>
      <c r="K9870" t="s">
        <v>40289</v>
      </c>
      <c r="M9870" t="s">
        <v>40945</v>
      </c>
      <c r="N9870" t="s">
        <v>44759</v>
      </c>
      <c r="O9870" t="s">
        <v>44760</v>
      </c>
      <c r="P9870">
        <v>0</v>
      </c>
      <c r="Q9870">
        <v>0</v>
      </c>
      <c r="R9870" t="s">
        <v>44769</v>
      </c>
      <c r="S9870" t="s">
        <v>45044</v>
      </c>
      <c r="T9870" t="s">
        <v>46429</v>
      </c>
      <c r="U9870" t="s">
        <v>47574</v>
      </c>
      <c r="W9870" t="s">
        <v>40945</v>
      </c>
      <c r="X9870" t="s">
        <v>44770</v>
      </c>
    </row>
    <row r="9871" spans="1:24">
      <c r="A9871">
        <f>HYPERLINK("https://www.philgeps.gov.ph/GEPSNONPILOT/Tender/SplashBidNoticeAbstractUI.aspx?menuIndex=3&amp;refID=7138679&amp;Result=3","7138679")</f>
        <v>0</v>
      </c>
      <c r="B9871" t="s">
        <v>3068</v>
      </c>
      <c r="C9871" t="s">
        <v>13129</v>
      </c>
      <c r="D9871" t="s">
        <v>18025</v>
      </c>
      <c r="E9871" t="s">
        <v>26594</v>
      </c>
      <c r="F9871" t="s">
        <v>30900</v>
      </c>
      <c r="G9871" t="s">
        <v>30907</v>
      </c>
      <c r="H9871" t="s">
        <v>30915</v>
      </c>
      <c r="I9871" t="s">
        <v>30919</v>
      </c>
      <c r="J9871" t="s">
        <v>37210</v>
      </c>
      <c r="K9871" t="s">
        <v>40456</v>
      </c>
      <c r="M9871" t="s">
        <v>43879</v>
      </c>
      <c r="N9871" t="s">
        <v>44759</v>
      </c>
      <c r="O9871" t="s">
        <v>44760</v>
      </c>
      <c r="P9871">
        <v>0</v>
      </c>
      <c r="Q9871">
        <v>19</v>
      </c>
      <c r="R9871" t="s">
        <v>44769</v>
      </c>
      <c r="S9871" t="s">
        <v>45044</v>
      </c>
      <c r="T9871" t="s">
        <v>46495</v>
      </c>
      <c r="U9871" t="s">
        <v>55116</v>
      </c>
      <c r="W9871" t="s">
        <v>60911</v>
      </c>
      <c r="X9871" t="s">
        <v>44770</v>
      </c>
    </row>
    <row r="9872" spans="1:24">
      <c r="A9872">
        <f>HYPERLINK("https://www.philgeps.gov.ph/GEPSNONPILOT/Tender/SplashBidNoticeAbstractUI.aspx?menuIndex=3&amp;refID=7138694&amp;Result=3","7138694")</f>
        <v>0</v>
      </c>
      <c r="B9872" t="s">
        <v>390</v>
      </c>
      <c r="C9872" t="s">
        <v>3773</v>
      </c>
      <c r="D9872" t="s">
        <v>17953</v>
      </c>
      <c r="E9872" t="s">
        <v>26595</v>
      </c>
      <c r="F9872" t="s">
        <v>30900</v>
      </c>
      <c r="G9872" t="s">
        <v>30909</v>
      </c>
      <c r="H9872" t="s">
        <v>30916</v>
      </c>
      <c r="I9872" t="s">
        <v>4142</v>
      </c>
      <c r="J9872" t="s">
        <v>37211</v>
      </c>
      <c r="K9872" t="s">
        <v>40289</v>
      </c>
      <c r="M9872" t="s">
        <v>40945</v>
      </c>
      <c r="N9872" t="s">
        <v>44759</v>
      </c>
      <c r="O9872" t="s">
        <v>44760</v>
      </c>
      <c r="P9872">
        <v>0</v>
      </c>
      <c r="Q9872">
        <v>0</v>
      </c>
      <c r="R9872" t="s">
        <v>44769</v>
      </c>
      <c r="S9872" t="s">
        <v>45044</v>
      </c>
      <c r="T9872" t="s">
        <v>46581</v>
      </c>
      <c r="U9872" t="s">
        <v>55138</v>
      </c>
      <c r="W9872" t="s">
        <v>40945</v>
      </c>
      <c r="X9872" t="s">
        <v>44770</v>
      </c>
    </row>
    <row r="9873" spans="1:24">
      <c r="A9873">
        <f>HYPERLINK("https://www.philgeps.gov.ph/GEPSNONPILOT/Tender/SplashBidNoticeAbstractUI.aspx?menuIndex=3&amp;refID=7138672&amp;Result=3","7138672")</f>
        <v>0</v>
      </c>
      <c r="B9873" t="s">
        <v>3054</v>
      </c>
      <c r="C9873" t="s">
        <v>13130</v>
      </c>
      <c r="D9873" t="s">
        <v>17972</v>
      </c>
      <c r="E9873" t="s">
        <v>18158</v>
      </c>
      <c r="F9873" t="s">
        <v>30900</v>
      </c>
      <c r="G9873" t="s">
        <v>30907</v>
      </c>
      <c r="H9873" t="s">
        <v>30916</v>
      </c>
      <c r="I9873" t="s">
        <v>8123</v>
      </c>
      <c r="J9873" t="s">
        <v>37212</v>
      </c>
      <c r="K9873" t="s">
        <v>40287</v>
      </c>
      <c r="M9873" t="s">
        <v>43864</v>
      </c>
      <c r="N9873" t="s">
        <v>44759</v>
      </c>
      <c r="O9873" t="s">
        <v>44760</v>
      </c>
      <c r="P9873">
        <v>0</v>
      </c>
      <c r="Q9873">
        <v>1</v>
      </c>
      <c r="R9873" t="s">
        <v>44769</v>
      </c>
      <c r="S9873" t="s">
        <v>45044</v>
      </c>
      <c r="T9873" t="s">
        <v>46414</v>
      </c>
      <c r="U9873" t="s">
        <v>55139</v>
      </c>
      <c r="W9873" t="s">
        <v>43864</v>
      </c>
      <c r="X9873" t="s">
        <v>44770</v>
      </c>
    </row>
    <row r="9874" spans="1:24">
      <c r="A9874">
        <f>HYPERLINK("https://www.philgeps.gov.ph/GEPSNONPILOT/Tender/SplashBidNoticeAbstractUI.aspx?menuIndex=3&amp;refID=7138668&amp;Result=3","7138668")</f>
        <v>0</v>
      </c>
      <c r="B9874" t="s">
        <v>3072</v>
      </c>
      <c r="C9874" t="s">
        <v>13131</v>
      </c>
      <c r="D9874" t="s">
        <v>17977</v>
      </c>
      <c r="E9874" t="s">
        <v>26596</v>
      </c>
      <c r="F9874" t="s">
        <v>30900</v>
      </c>
      <c r="G9874" t="s">
        <v>30907</v>
      </c>
      <c r="H9874" t="s">
        <v>30916</v>
      </c>
      <c r="I9874" t="s">
        <v>30922</v>
      </c>
      <c r="J9874" t="s">
        <v>35994</v>
      </c>
      <c r="K9874" t="s">
        <v>40293</v>
      </c>
      <c r="M9874" t="s">
        <v>43883</v>
      </c>
      <c r="N9874" t="s">
        <v>44759</v>
      </c>
      <c r="O9874" t="s">
        <v>44760</v>
      </c>
      <c r="P9874">
        <v>0</v>
      </c>
      <c r="Q9874">
        <v>7</v>
      </c>
      <c r="R9874" t="s">
        <v>44769</v>
      </c>
      <c r="S9874" t="s">
        <v>45044</v>
      </c>
      <c r="T9874" t="s">
        <v>46428</v>
      </c>
      <c r="U9874" t="s">
        <v>55140</v>
      </c>
      <c r="W9874" t="s">
        <v>43883</v>
      </c>
      <c r="X9874" t="s">
        <v>44770</v>
      </c>
    </row>
    <row r="9875" spans="1:24">
      <c r="A9875">
        <f>HYPERLINK("https://www.philgeps.gov.ph/GEPSNONPILOT/Tender/SplashBidNoticeAbstractUI.aspx?menuIndex=3&amp;refID=7138685&amp;Result=3","7138685")</f>
        <v>0</v>
      </c>
      <c r="B9875" t="s">
        <v>390</v>
      </c>
      <c r="C9875" t="s">
        <v>13132</v>
      </c>
      <c r="D9875" t="s">
        <v>17953</v>
      </c>
      <c r="E9875" t="s">
        <v>26597</v>
      </c>
      <c r="F9875" t="s">
        <v>30900</v>
      </c>
      <c r="G9875" t="s">
        <v>30907</v>
      </c>
      <c r="H9875" t="s">
        <v>30916</v>
      </c>
      <c r="I9875" t="s">
        <v>8123</v>
      </c>
      <c r="J9875" t="s">
        <v>37213</v>
      </c>
      <c r="K9875" t="s">
        <v>40289</v>
      </c>
      <c r="M9875" t="s">
        <v>40945</v>
      </c>
      <c r="N9875" t="s">
        <v>44759</v>
      </c>
      <c r="O9875" t="s">
        <v>44760</v>
      </c>
      <c r="P9875">
        <v>0</v>
      </c>
      <c r="Q9875">
        <v>0</v>
      </c>
      <c r="R9875" t="s">
        <v>44769</v>
      </c>
      <c r="S9875" t="s">
        <v>45044</v>
      </c>
      <c r="T9875" t="s">
        <v>46411</v>
      </c>
      <c r="U9875" t="s">
        <v>47574</v>
      </c>
      <c r="W9875" t="s">
        <v>40945</v>
      </c>
      <c r="X9875" t="s">
        <v>44770</v>
      </c>
    </row>
    <row r="9876" spans="1:24">
      <c r="A9876">
        <f>HYPERLINK("https://www.philgeps.gov.ph/GEPSNONPILOT/Tender/SplashBidNoticeAbstractUI.aspx?menuIndex=3&amp;refID=7138604&amp;Result=3","7138604")</f>
        <v>0</v>
      </c>
      <c r="B9876" t="s">
        <v>411</v>
      </c>
      <c r="C9876" t="s">
        <v>13133</v>
      </c>
      <c r="D9876" t="s">
        <v>17959</v>
      </c>
      <c r="E9876" t="s">
        <v>26598</v>
      </c>
      <c r="F9876" t="s">
        <v>30900</v>
      </c>
      <c r="G9876" t="s">
        <v>30910</v>
      </c>
      <c r="H9876" t="s">
        <v>30916</v>
      </c>
      <c r="I9876" t="s">
        <v>30921</v>
      </c>
      <c r="J9876" t="s">
        <v>37214</v>
      </c>
      <c r="K9876" t="s">
        <v>40280</v>
      </c>
      <c r="M9876" t="s">
        <v>40967</v>
      </c>
      <c r="N9876" t="s">
        <v>44759</v>
      </c>
      <c r="O9876" t="s">
        <v>44760</v>
      </c>
      <c r="Q9876">
        <v>16</v>
      </c>
      <c r="R9876" t="s">
        <v>44769</v>
      </c>
      <c r="S9876" t="s">
        <v>45102</v>
      </c>
      <c r="T9876" t="s">
        <v>46590</v>
      </c>
      <c r="U9876" t="s">
        <v>55141</v>
      </c>
      <c r="V9876" t="s">
        <v>59783</v>
      </c>
      <c r="W9876" t="s">
        <v>40967</v>
      </c>
      <c r="X9876" t="s">
        <v>44770</v>
      </c>
    </row>
    <row r="9877" spans="1:24">
      <c r="A9877">
        <f>HYPERLINK("https://www.philgeps.gov.ph/GEPSNONPILOT/Tender/SplashBidNoticeAbstractUI.aspx?menuIndex=3&amp;refID=7138716&amp;Result=3","7138716")</f>
        <v>0</v>
      </c>
      <c r="B9877" t="s">
        <v>2060</v>
      </c>
      <c r="C9877" t="s">
        <v>13134</v>
      </c>
      <c r="D9877" t="s">
        <v>17986</v>
      </c>
      <c r="E9877" t="s">
        <v>26599</v>
      </c>
      <c r="F9877" t="s">
        <v>30900</v>
      </c>
      <c r="G9877" t="s">
        <v>30907</v>
      </c>
      <c r="H9877" t="s">
        <v>30916</v>
      </c>
      <c r="I9877" t="s">
        <v>10847</v>
      </c>
      <c r="J9877" t="s">
        <v>37215</v>
      </c>
      <c r="K9877" t="s">
        <v>40287</v>
      </c>
      <c r="M9877" t="s">
        <v>42759</v>
      </c>
      <c r="N9877" t="s">
        <v>44759</v>
      </c>
      <c r="O9877" t="s">
        <v>44760</v>
      </c>
      <c r="P9877">
        <v>0</v>
      </c>
      <c r="Q9877">
        <v>0</v>
      </c>
      <c r="R9877" t="s">
        <v>44769</v>
      </c>
      <c r="S9877" t="s">
        <v>45044</v>
      </c>
      <c r="T9877" t="s">
        <v>46411</v>
      </c>
      <c r="U9877" t="s">
        <v>55142</v>
      </c>
      <c r="W9877" t="s">
        <v>42759</v>
      </c>
      <c r="X9877" t="s">
        <v>44770</v>
      </c>
    </row>
    <row r="9878" spans="1:24">
      <c r="A9878">
        <f>HYPERLINK("https://www.philgeps.gov.ph/GEPSNONPILOT/Tender/SplashBidNoticeAbstractUI.aspx?menuIndex=3&amp;refID=7138590&amp;Result=3","7138590")</f>
        <v>0</v>
      </c>
      <c r="B9878" t="s">
        <v>894</v>
      </c>
      <c r="C9878" t="s">
        <v>13135</v>
      </c>
      <c r="D9878" t="s">
        <v>18011</v>
      </c>
      <c r="E9878" t="s">
        <v>26600</v>
      </c>
      <c r="F9878" t="s">
        <v>30900</v>
      </c>
      <c r="G9878" t="s">
        <v>30907</v>
      </c>
      <c r="H9878" t="s">
        <v>30915</v>
      </c>
      <c r="I9878" t="s">
        <v>30919</v>
      </c>
      <c r="J9878" t="s">
        <v>37216</v>
      </c>
      <c r="K9878" t="s">
        <v>40399</v>
      </c>
      <c r="M9878" t="s">
        <v>41468</v>
      </c>
      <c r="N9878" t="s">
        <v>44759</v>
      </c>
      <c r="O9878" t="s">
        <v>44760</v>
      </c>
      <c r="P9878">
        <v>0</v>
      </c>
      <c r="Q9878">
        <v>1</v>
      </c>
      <c r="R9878" t="s">
        <v>44769</v>
      </c>
      <c r="S9878" t="s">
        <v>45044</v>
      </c>
      <c r="T9878" t="s">
        <v>46544</v>
      </c>
      <c r="U9878" t="s">
        <v>55143</v>
      </c>
      <c r="W9878" t="s">
        <v>41468</v>
      </c>
      <c r="X9878" t="s">
        <v>44770</v>
      </c>
    </row>
    <row r="9879" spans="1:24">
      <c r="A9879">
        <f>HYPERLINK("https://www.philgeps.gov.ph/GEPSNONPILOT/Tender/SplashBidNoticeAbstractUI.aspx?menuIndex=3&amp;refID=7137823&amp;Result=3","7137823")</f>
        <v>0</v>
      </c>
      <c r="B9879" t="s">
        <v>3080</v>
      </c>
      <c r="C9879" t="s">
        <v>13136</v>
      </c>
      <c r="D9879" t="s">
        <v>17961</v>
      </c>
      <c r="E9879" t="s">
        <v>26601</v>
      </c>
      <c r="F9879" t="s">
        <v>30900</v>
      </c>
      <c r="G9879" t="s">
        <v>30907</v>
      </c>
      <c r="H9879" t="s">
        <v>30916</v>
      </c>
      <c r="I9879" t="s">
        <v>8123</v>
      </c>
      <c r="J9879" t="s">
        <v>34923</v>
      </c>
      <c r="K9879" t="s">
        <v>40287</v>
      </c>
      <c r="M9879" t="s">
        <v>43892</v>
      </c>
      <c r="N9879" t="s">
        <v>44759</v>
      </c>
      <c r="O9879" t="s">
        <v>44760</v>
      </c>
      <c r="P9879">
        <v>0</v>
      </c>
      <c r="Q9879">
        <v>0</v>
      </c>
      <c r="R9879" t="s">
        <v>44769</v>
      </c>
      <c r="S9879" t="s">
        <v>45044</v>
      </c>
      <c r="T9879" t="s">
        <v>46376</v>
      </c>
      <c r="U9879" t="s">
        <v>55144</v>
      </c>
      <c r="W9879" t="s">
        <v>43892</v>
      </c>
      <c r="X9879" t="s">
        <v>44770</v>
      </c>
    </row>
    <row r="9880" spans="1:24">
      <c r="A9880">
        <f>HYPERLINK("https://www.philgeps.gov.ph/GEPSNONPILOT/Tender/SplashBidNoticeAbstractUI.aspx?menuIndex=3&amp;refID=7138699&amp;Result=3","7138699")</f>
        <v>0</v>
      </c>
      <c r="B9880" t="s">
        <v>390</v>
      </c>
      <c r="C9880" t="s">
        <v>13137</v>
      </c>
      <c r="D9880" t="s">
        <v>17953</v>
      </c>
      <c r="E9880" t="s">
        <v>26602</v>
      </c>
      <c r="F9880" t="s">
        <v>30900</v>
      </c>
      <c r="G9880" t="s">
        <v>30908</v>
      </c>
      <c r="H9880" t="s">
        <v>30916</v>
      </c>
      <c r="I9880" t="s">
        <v>6953</v>
      </c>
      <c r="J9880" t="s">
        <v>34673</v>
      </c>
      <c r="K9880" t="s">
        <v>40289</v>
      </c>
      <c r="M9880" t="s">
        <v>40945</v>
      </c>
      <c r="N9880" t="s">
        <v>44759</v>
      </c>
      <c r="O9880" t="s">
        <v>44760</v>
      </c>
      <c r="P9880">
        <v>0</v>
      </c>
      <c r="Q9880">
        <v>1</v>
      </c>
      <c r="R9880" t="s">
        <v>44769</v>
      </c>
      <c r="S9880" t="s">
        <v>45044</v>
      </c>
      <c r="T9880" t="s">
        <v>46625</v>
      </c>
      <c r="U9880" t="s">
        <v>48167</v>
      </c>
      <c r="W9880" t="s">
        <v>40945</v>
      </c>
      <c r="X9880" t="s">
        <v>44770</v>
      </c>
    </row>
    <row r="9881" spans="1:24">
      <c r="A9881">
        <f>HYPERLINK("https://www.philgeps.gov.ph/GEPSNONPILOT/Tender/SplashBidNoticeAbstractUI.aspx?menuIndex=3&amp;refID=7133068&amp;Result=3","7133068")</f>
        <v>0</v>
      </c>
      <c r="B9881" t="s">
        <v>824</v>
      </c>
      <c r="C9881" t="s">
        <v>13138</v>
      </c>
      <c r="E9881" t="s">
        <v>19042</v>
      </c>
      <c r="F9881" t="s">
        <v>30900</v>
      </c>
      <c r="G9881" t="s">
        <v>30907</v>
      </c>
      <c r="H9881" t="s">
        <v>30915</v>
      </c>
      <c r="I9881" t="s">
        <v>30932</v>
      </c>
      <c r="J9881" t="s">
        <v>37217</v>
      </c>
      <c r="K9881" t="s">
        <v>40358</v>
      </c>
      <c r="M9881" t="s">
        <v>43833</v>
      </c>
      <c r="N9881" t="s">
        <v>44759</v>
      </c>
      <c r="O9881" t="s">
        <v>44760</v>
      </c>
      <c r="Q9881">
        <v>5</v>
      </c>
      <c r="R9881" t="s">
        <v>44769</v>
      </c>
      <c r="S9881" t="s">
        <v>45103</v>
      </c>
      <c r="T9881" t="s">
        <v>46515</v>
      </c>
      <c r="U9881" t="s">
        <v>55145</v>
      </c>
      <c r="W9881" t="s">
        <v>43833</v>
      </c>
      <c r="X9881" t="s">
        <v>44773</v>
      </c>
    </row>
    <row r="9882" spans="1:24">
      <c r="A9882">
        <f>HYPERLINK("https://www.philgeps.gov.ph/GEPSNONPILOT/Tender/SplashBidNoticeAbstractUI.aspx?menuIndex=3&amp;refID=7132285&amp;Result=3","7132285")</f>
        <v>0</v>
      </c>
      <c r="B9882" t="s">
        <v>2915</v>
      </c>
      <c r="C9882" t="s">
        <v>13139</v>
      </c>
      <c r="D9882" t="s">
        <v>17988</v>
      </c>
      <c r="E9882" t="s">
        <v>26603</v>
      </c>
      <c r="F9882" t="s">
        <v>30900</v>
      </c>
      <c r="G9882" t="s">
        <v>30907</v>
      </c>
      <c r="H9882" t="s">
        <v>30915</v>
      </c>
      <c r="I9882" t="s">
        <v>30919</v>
      </c>
      <c r="J9882" t="s">
        <v>37218</v>
      </c>
      <c r="K9882" t="s">
        <v>40292</v>
      </c>
      <c r="M9882" t="s">
        <v>43710</v>
      </c>
      <c r="N9882" t="s">
        <v>44759</v>
      </c>
      <c r="O9882" t="s">
        <v>44760</v>
      </c>
      <c r="P9882">
        <v>0</v>
      </c>
      <c r="Q9882">
        <v>0</v>
      </c>
      <c r="R9882" t="s">
        <v>44769</v>
      </c>
      <c r="S9882" t="s">
        <v>45044</v>
      </c>
      <c r="T9882" t="s">
        <v>46506</v>
      </c>
      <c r="U9882" t="s">
        <v>55146</v>
      </c>
      <c r="W9882" t="s">
        <v>43710</v>
      </c>
      <c r="X9882" t="s">
        <v>44774</v>
      </c>
    </row>
    <row r="9883" spans="1:24">
      <c r="A9883">
        <f>HYPERLINK("https://www.philgeps.gov.ph/GEPSNONPILOT/Tender/SplashBidNoticeAbstractUI.aspx?menuIndex=3&amp;refID=7138676&amp;Result=3","7138676")</f>
        <v>0</v>
      </c>
      <c r="B9883" t="s">
        <v>390</v>
      </c>
      <c r="C9883" t="s">
        <v>13140</v>
      </c>
      <c r="D9883" t="s">
        <v>17953</v>
      </c>
      <c r="E9883" t="s">
        <v>26604</v>
      </c>
      <c r="F9883" t="s">
        <v>30900</v>
      </c>
      <c r="G9883" t="s">
        <v>30907</v>
      </c>
      <c r="H9883" t="s">
        <v>30916</v>
      </c>
      <c r="I9883" t="s">
        <v>8123</v>
      </c>
      <c r="J9883" t="s">
        <v>37219</v>
      </c>
      <c r="K9883" t="s">
        <v>40289</v>
      </c>
      <c r="M9883" t="s">
        <v>40945</v>
      </c>
      <c r="N9883" t="s">
        <v>44759</v>
      </c>
      <c r="O9883" t="s">
        <v>44760</v>
      </c>
      <c r="P9883">
        <v>0</v>
      </c>
      <c r="Q9883">
        <v>0</v>
      </c>
      <c r="R9883" t="s">
        <v>44769</v>
      </c>
      <c r="S9883" t="s">
        <v>45044</v>
      </c>
      <c r="T9883" t="s">
        <v>46352</v>
      </c>
      <c r="U9883" t="s">
        <v>47574</v>
      </c>
      <c r="W9883" t="s">
        <v>40945</v>
      </c>
      <c r="X9883" t="s">
        <v>44770</v>
      </c>
    </row>
    <row r="9884" spans="1:24">
      <c r="A9884">
        <f>HYPERLINK("https://www.philgeps.gov.ph/GEPSNONPILOT/Tender/SplashBidNoticeAbstractUI.aspx?menuIndex=3&amp;refID=7138608&amp;Result=3","7138608")</f>
        <v>0</v>
      </c>
      <c r="B9884" t="s">
        <v>2053</v>
      </c>
      <c r="C9884" t="s">
        <v>13141</v>
      </c>
      <c r="D9884" t="s">
        <v>17980</v>
      </c>
      <c r="E9884" t="s">
        <v>26605</v>
      </c>
      <c r="F9884" t="s">
        <v>30900</v>
      </c>
      <c r="G9884" t="s">
        <v>30907</v>
      </c>
      <c r="H9884" t="s">
        <v>30916</v>
      </c>
      <c r="I9884" t="s">
        <v>30941</v>
      </c>
      <c r="J9884" t="s">
        <v>37220</v>
      </c>
      <c r="K9884" t="s">
        <v>40293</v>
      </c>
      <c r="M9884" t="s">
        <v>42752</v>
      </c>
      <c r="N9884" t="s">
        <v>44759</v>
      </c>
      <c r="O9884" t="s">
        <v>44760</v>
      </c>
      <c r="Q9884">
        <v>0</v>
      </c>
      <c r="R9884" t="s">
        <v>44769</v>
      </c>
      <c r="S9884" t="s">
        <v>45104</v>
      </c>
      <c r="T9884" t="s">
        <v>46752</v>
      </c>
      <c r="U9884" t="s">
        <v>55147</v>
      </c>
      <c r="W9884" t="s">
        <v>42752</v>
      </c>
      <c r="X9884" t="s">
        <v>44770</v>
      </c>
    </row>
    <row r="9885" spans="1:24">
      <c r="A9885">
        <f>HYPERLINK("https://www.philgeps.gov.ph/GEPSNONPILOT/Tender/SplashBidNoticeAbstractUI.aspx?menuIndex=3&amp;refID=7138677&amp;Result=3","7138677")</f>
        <v>0</v>
      </c>
      <c r="B9885" t="s">
        <v>3068</v>
      </c>
      <c r="C9885" t="s">
        <v>13142</v>
      </c>
      <c r="D9885" t="s">
        <v>18025</v>
      </c>
      <c r="E9885" t="s">
        <v>26606</v>
      </c>
      <c r="F9885" t="s">
        <v>30900</v>
      </c>
      <c r="G9885" t="s">
        <v>30907</v>
      </c>
      <c r="H9885" t="s">
        <v>30915</v>
      </c>
      <c r="I9885" t="s">
        <v>30919</v>
      </c>
      <c r="J9885" t="s">
        <v>37221</v>
      </c>
      <c r="K9885" t="s">
        <v>40301</v>
      </c>
      <c r="M9885" t="s">
        <v>43879</v>
      </c>
      <c r="N9885" t="s">
        <v>44759</v>
      </c>
      <c r="O9885" t="s">
        <v>44760</v>
      </c>
      <c r="P9885">
        <v>0</v>
      </c>
      <c r="Q9885">
        <v>18</v>
      </c>
      <c r="R9885" t="s">
        <v>44769</v>
      </c>
      <c r="S9885" t="s">
        <v>45044</v>
      </c>
      <c r="T9885" t="s">
        <v>46495</v>
      </c>
      <c r="U9885" t="s">
        <v>55116</v>
      </c>
      <c r="W9885" t="s">
        <v>60911</v>
      </c>
      <c r="X9885" t="s">
        <v>44770</v>
      </c>
    </row>
    <row r="9886" spans="1:24">
      <c r="A9886">
        <f>HYPERLINK("https://www.philgeps.gov.ph/GEPSNONPILOT/Tender/SplashBidNoticeAbstractUI.aspx?menuIndex=3&amp;refID=7138840&amp;Result=3","7138840")</f>
        <v>0</v>
      </c>
      <c r="B9886" t="s">
        <v>1967</v>
      </c>
      <c r="C9886" t="s">
        <v>13143</v>
      </c>
      <c r="D9886" t="s">
        <v>17988</v>
      </c>
      <c r="E9886" t="s">
        <v>26607</v>
      </c>
      <c r="F9886" t="s">
        <v>30900</v>
      </c>
      <c r="G9886" t="s">
        <v>30907</v>
      </c>
      <c r="H9886" t="s">
        <v>30915</v>
      </c>
      <c r="I9886" t="s">
        <v>30919</v>
      </c>
      <c r="J9886" t="s">
        <v>37222</v>
      </c>
      <c r="K9886" t="s">
        <v>40289</v>
      </c>
      <c r="M9886" t="s">
        <v>42653</v>
      </c>
      <c r="N9886" t="s">
        <v>44759</v>
      </c>
      <c r="O9886" t="s">
        <v>44760</v>
      </c>
      <c r="P9886">
        <v>0</v>
      </c>
      <c r="Q9886">
        <v>0</v>
      </c>
      <c r="R9886" t="s">
        <v>44769</v>
      </c>
      <c r="S9886" t="s">
        <v>45044</v>
      </c>
      <c r="T9886" t="s">
        <v>46495</v>
      </c>
      <c r="U9886" t="s">
        <v>55148</v>
      </c>
      <c r="W9886" t="s">
        <v>42653</v>
      </c>
      <c r="X9886" t="s">
        <v>44770</v>
      </c>
    </row>
    <row r="9887" spans="1:24">
      <c r="A9887">
        <f>HYPERLINK("https://www.philgeps.gov.ph/GEPSNONPILOT/Tender/SplashBidNoticeAbstractUI.aspx?menuIndex=3&amp;refID=7132579&amp;Result=3","7132579")</f>
        <v>0</v>
      </c>
      <c r="B9887" t="s">
        <v>3081</v>
      </c>
      <c r="C9887" t="s">
        <v>13144</v>
      </c>
      <c r="D9887" t="s">
        <v>17959</v>
      </c>
      <c r="E9887" t="s">
        <v>22383</v>
      </c>
      <c r="F9887" t="s">
        <v>30900</v>
      </c>
      <c r="G9887" t="s">
        <v>30907</v>
      </c>
      <c r="H9887" t="s">
        <v>30916</v>
      </c>
      <c r="I9887" t="s">
        <v>4108</v>
      </c>
      <c r="J9887" t="s">
        <v>31050</v>
      </c>
      <c r="K9887" t="s">
        <v>40288</v>
      </c>
      <c r="M9887" t="s">
        <v>43893</v>
      </c>
      <c r="N9887" t="s">
        <v>44759</v>
      </c>
      <c r="O9887" t="s">
        <v>44760</v>
      </c>
      <c r="P9887">
        <v>0</v>
      </c>
      <c r="Q9887">
        <v>3</v>
      </c>
      <c r="R9887" t="s">
        <v>44769</v>
      </c>
      <c r="S9887" t="s">
        <v>45044</v>
      </c>
      <c r="T9887" t="s">
        <v>46607</v>
      </c>
      <c r="U9887" t="s">
        <v>55149</v>
      </c>
      <c r="W9887" t="s">
        <v>43893</v>
      </c>
      <c r="X9887" t="s">
        <v>44774</v>
      </c>
    </row>
    <row r="9888" spans="1:24">
      <c r="A9888">
        <f>HYPERLINK("https://www.philgeps.gov.ph/GEPSNONPILOT/Tender/SplashBidNoticeAbstractUI.aspx?menuIndex=3&amp;refID=7133289&amp;Result=3","7133289")</f>
        <v>0</v>
      </c>
      <c r="B9888" t="s">
        <v>3082</v>
      </c>
      <c r="C9888" t="s">
        <v>13145</v>
      </c>
      <c r="D9888" t="s">
        <v>17984</v>
      </c>
      <c r="E9888" t="s">
        <v>26608</v>
      </c>
      <c r="F9888" t="s">
        <v>30900</v>
      </c>
      <c r="G9888" t="s">
        <v>30907</v>
      </c>
      <c r="H9888" t="s">
        <v>30915</v>
      </c>
      <c r="I9888" t="s">
        <v>30919</v>
      </c>
      <c r="J9888" t="s">
        <v>37223</v>
      </c>
      <c r="K9888" t="s">
        <v>40279</v>
      </c>
      <c r="M9888" t="s">
        <v>43894</v>
      </c>
      <c r="N9888" t="s">
        <v>44759</v>
      </c>
      <c r="O9888" t="s">
        <v>44760</v>
      </c>
      <c r="P9888">
        <v>0</v>
      </c>
      <c r="Q9888">
        <v>2</v>
      </c>
      <c r="R9888" t="s">
        <v>44769</v>
      </c>
      <c r="S9888" t="s">
        <v>45044</v>
      </c>
      <c r="T9888" t="s">
        <v>46686</v>
      </c>
      <c r="U9888" t="s">
        <v>55150</v>
      </c>
      <c r="W9888" t="s">
        <v>60912</v>
      </c>
      <c r="X9888" t="s">
        <v>44773</v>
      </c>
    </row>
    <row r="9889" spans="1:24">
      <c r="A9889">
        <f>HYPERLINK("https://www.philgeps.gov.ph/GEPSNONPILOT/Tender/SplashBidNoticeAbstractUI.aspx?menuIndex=3&amp;refID=7138827&amp;Result=3","7138827")</f>
        <v>0</v>
      </c>
      <c r="B9889" t="s">
        <v>3083</v>
      </c>
      <c r="C9889" t="s">
        <v>13146</v>
      </c>
      <c r="D9889" t="s">
        <v>18025</v>
      </c>
      <c r="E9889" t="s">
        <v>26609</v>
      </c>
      <c r="F9889" t="s">
        <v>30900</v>
      </c>
      <c r="G9889" t="s">
        <v>30907</v>
      </c>
      <c r="H9889" t="s">
        <v>30915</v>
      </c>
      <c r="I9889" t="s">
        <v>30919</v>
      </c>
      <c r="J9889" t="s">
        <v>31069</v>
      </c>
      <c r="K9889" t="s">
        <v>40292</v>
      </c>
      <c r="M9889" t="s">
        <v>43895</v>
      </c>
      <c r="N9889" t="s">
        <v>44759</v>
      </c>
      <c r="O9889" t="s">
        <v>44760</v>
      </c>
      <c r="P9889">
        <v>0</v>
      </c>
      <c r="Q9889">
        <v>8</v>
      </c>
      <c r="R9889" t="s">
        <v>44769</v>
      </c>
      <c r="S9889" t="s">
        <v>45044</v>
      </c>
      <c r="T9889" t="s">
        <v>46544</v>
      </c>
      <c r="U9889" t="s">
        <v>55151</v>
      </c>
      <c r="W9889" t="s">
        <v>43895</v>
      </c>
      <c r="X9889" t="s">
        <v>44770</v>
      </c>
    </row>
    <row r="9890" spans="1:24">
      <c r="A9890">
        <f>HYPERLINK("https://www.philgeps.gov.ph/GEPSNONPILOT/Tender/SplashBidNoticeAbstractUI.aspx?menuIndex=3&amp;refID=7138822&amp;Result=3","7138822")</f>
        <v>0</v>
      </c>
      <c r="B9890" t="s">
        <v>2103</v>
      </c>
      <c r="C9890" t="s">
        <v>13147</v>
      </c>
      <c r="E9890" t="s">
        <v>26610</v>
      </c>
      <c r="F9890" t="s">
        <v>30900</v>
      </c>
      <c r="G9890" t="s">
        <v>30907</v>
      </c>
      <c r="H9890" t="s">
        <v>30915</v>
      </c>
      <c r="I9890" t="s">
        <v>30919</v>
      </c>
      <c r="J9890" t="s">
        <v>31243</v>
      </c>
      <c r="K9890" t="s">
        <v>40308</v>
      </c>
      <c r="M9890" t="s">
        <v>42802</v>
      </c>
      <c r="N9890" t="s">
        <v>44759</v>
      </c>
      <c r="O9890" t="s">
        <v>44760</v>
      </c>
      <c r="P9890">
        <v>0</v>
      </c>
      <c r="Q9890">
        <v>0</v>
      </c>
      <c r="R9890" t="s">
        <v>44769</v>
      </c>
      <c r="S9890" t="s">
        <v>45044</v>
      </c>
      <c r="T9890" t="s">
        <v>46411</v>
      </c>
      <c r="U9890" t="s">
        <v>55152</v>
      </c>
      <c r="W9890" t="s">
        <v>42802</v>
      </c>
      <c r="X9890" t="s">
        <v>44770</v>
      </c>
    </row>
    <row r="9891" spans="1:24">
      <c r="A9891">
        <f>HYPERLINK("https://www.philgeps.gov.ph/GEPSNONPILOT/Tender/SplashBidNoticeAbstractUI.aspx?menuIndex=3&amp;refID=7138820&amp;Result=3","7138820")</f>
        <v>0</v>
      </c>
      <c r="B9891" t="s">
        <v>1768</v>
      </c>
      <c r="C9891" t="s">
        <v>13148</v>
      </c>
      <c r="D9891" t="s">
        <v>17988</v>
      </c>
      <c r="E9891" t="s">
        <v>26611</v>
      </c>
      <c r="F9891" t="s">
        <v>30900</v>
      </c>
      <c r="G9891" t="s">
        <v>30907</v>
      </c>
      <c r="H9891" t="s">
        <v>30916</v>
      </c>
      <c r="I9891" t="s">
        <v>6396</v>
      </c>
      <c r="J9891" t="s">
        <v>37224</v>
      </c>
      <c r="K9891" t="s">
        <v>40286</v>
      </c>
      <c r="M9891" t="s">
        <v>42440</v>
      </c>
      <c r="N9891" t="s">
        <v>44759</v>
      </c>
      <c r="O9891" t="s">
        <v>44760</v>
      </c>
      <c r="P9891">
        <v>0</v>
      </c>
      <c r="Q9891">
        <v>4</v>
      </c>
      <c r="R9891" t="s">
        <v>44769</v>
      </c>
      <c r="S9891" t="s">
        <v>45044</v>
      </c>
      <c r="T9891" t="s">
        <v>46411</v>
      </c>
      <c r="U9891" t="s">
        <v>55153</v>
      </c>
      <c r="W9891" t="s">
        <v>42440</v>
      </c>
      <c r="X9891" t="s">
        <v>44770</v>
      </c>
    </row>
    <row r="9892" spans="1:24">
      <c r="A9892">
        <f>HYPERLINK("https://www.philgeps.gov.ph/GEPSNONPILOT/Tender/SplashBidNoticeAbstractUI.aspx?menuIndex=3&amp;refID=7138830&amp;Result=3","7138830")</f>
        <v>0</v>
      </c>
      <c r="B9892" t="s">
        <v>2103</v>
      </c>
      <c r="C9892" t="s">
        <v>13149</v>
      </c>
      <c r="D9892" t="s">
        <v>17992</v>
      </c>
      <c r="E9892" t="s">
        <v>26612</v>
      </c>
      <c r="F9892" t="s">
        <v>30900</v>
      </c>
      <c r="G9892" t="s">
        <v>30907</v>
      </c>
      <c r="H9892" t="s">
        <v>30915</v>
      </c>
      <c r="I9892" t="s">
        <v>30919</v>
      </c>
      <c r="J9892" t="s">
        <v>31243</v>
      </c>
      <c r="K9892" t="s">
        <v>40280</v>
      </c>
      <c r="M9892" t="s">
        <v>42802</v>
      </c>
      <c r="N9892" t="s">
        <v>44759</v>
      </c>
      <c r="O9892" t="s">
        <v>44760</v>
      </c>
      <c r="P9892">
        <v>0</v>
      </c>
      <c r="Q9892">
        <v>0</v>
      </c>
      <c r="R9892" t="s">
        <v>44769</v>
      </c>
      <c r="S9892" t="s">
        <v>45044</v>
      </c>
      <c r="T9892" t="s">
        <v>46411</v>
      </c>
      <c r="U9892" t="s">
        <v>55154</v>
      </c>
      <c r="W9892" t="s">
        <v>42802</v>
      </c>
      <c r="X9892" t="s">
        <v>44770</v>
      </c>
    </row>
    <row r="9893" spans="1:24">
      <c r="A9893">
        <f>HYPERLINK("https://www.philgeps.gov.ph/GEPSNONPILOT/Tender/SplashBidNoticeAbstractUI.aspx?menuIndex=3&amp;refID=7138815&amp;Result=3","7138815")</f>
        <v>0</v>
      </c>
      <c r="B9893" t="s">
        <v>3083</v>
      </c>
      <c r="C9893" t="s">
        <v>13150</v>
      </c>
      <c r="D9893" t="s">
        <v>18025</v>
      </c>
      <c r="E9893" t="s">
        <v>26613</v>
      </c>
      <c r="F9893" t="s">
        <v>30900</v>
      </c>
      <c r="G9893" t="s">
        <v>30907</v>
      </c>
      <c r="H9893" t="s">
        <v>30915</v>
      </c>
      <c r="I9893" t="s">
        <v>30919</v>
      </c>
      <c r="J9893" t="s">
        <v>31152</v>
      </c>
      <c r="K9893" t="s">
        <v>40295</v>
      </c>
      <c r="M9893" t="s">
        <v>43895</v>
      </c>
      <c r="N9893" t="s">
        <v>44759</v>
      </c>
      <c r="O9893" t="s">
        <v>44760</v>
      </c>
      <c r="P9893">
        <v>0</v>
      </c>
      <c r="Q9893">
        <v>8</v>
      </c>
      <c r="R9893" t="s">
        <v>44769</v>
      </c>
      <c r="S9893" t="s">
        <v>45044</v>
      </c>
      <c r="T9893" t="s">
        <v>46544</v>
      </c>
      <c r="U9893" t="s">
        <v>55155</v>
      </c>
      <c r="W9893" t="s">
        <v>43895</v>
      </c>
      <c r="X9893" t="s">
        <v>44770</v>
      </c>
    </row>
    <row r="9894" spans="1:24">
      <c r="A9894">
        <f>HYPERLINK("https://www.philgeps.gov.ph/GEPSNONPILOT/Tender/SplashBidNoticeAbstractUI.aspx?menuIndex=3&amp;refID=7138814&amp;Result=3","7138814")</f>
        <v>0</v>
      </c>
      <c r="B9894" t="s">
        <v>1870</v>
      </c>
      <c r="C9894" t="s">
        <v>13151</v>
      </c>
      <c r="D9894" t="s">
        <v>17992</v>
      </c>
      <c r="E9894" t="s">
        <v>26614</v>
      </c>
      <c r="F9894" t="s">
        <v>30900</v>
      </c>
      <c r="G9894" t="s">
        <v>30907</v>
      </c>
      <c r="H9894" t="s">
        <v>30916</v>
      </c>
      <c r="I9894" t="s">
        <v>8123</v>
      </c>
      <c r="J9894" t="s">
        <v>37225</v>
      </c>
      <c r="K9894" t="s">
        <v>40308</v>
      </c>
      <c r="M9894" t="s">
        <v>42544</v>
      </c>
      <c r="N9894" t="s">
        <v>44759</v>
      </c>
      <c r="O9894" t="s">
        <v>44760</v>
      </c>
      <c r="P9894">
        <v>0</v>
      </c>
      <c r="Q9894">
        <v>1</v>
      </c>
      <c r="R9894" t="s">
        <v>44769</v>
      </c>
      <c r="S9894" t="s">
        <v>45044</v>
      </c>
      <c r="T9894" t="s">
        <v>46625</v>
      </c>
      <c r="U9894" t="s">
        <v>55156</v>
      </c>
      <c r="W9894" t="s">
        <v>42544</v>
      </c>
      <c r="X9894" t="s">
        <v>44770</v>
      </c>
    </row>
    <row r="9895" spans="1:24">
      <c r="A9895">
        <f>HYPERLINK("https://www.philgeps.gov.ph/GEPSNONPILOT/Tender/SplashBidNoticeAbstractUI.aspx?menuIndex=3&amp;refID=7138809&amp;Result=3","7138809")</f>
        <v>0</v>
      </c>
      <c r="B9895" t="s">
        <v>1870</v>
      </c>
      <c r="C9895" t="s">
        <v>13152</v>
      </c>
      <c r="D9895" t="s">
        <v>17992</v>
      </c>
      <c r="E9895" t="s">
        <v>26615</v>
      </c>
      <c r="F9895" t="s">
        <v>30900</v>
      </c>
      <c r="G9895" t="s">
        <v>30907</v>
      </c>
      <c r="H9895" t="s">
        <v>30916</v>
      </c>
      <c r="I9895" t="s">
        <v>8123</v>
      </c>
      <c r="J9895" t="s">
        <v>37226</v>
      </c>
      <c r="K9895" t="s">
        <v>40286</v>
      </c>
      <c r="M9895" t="s">
        <v>42544</v>
      </c>
      <c r="N9895" t="s">
        <v>44759</v>
      </c>
      <c r="O9895" t="s">
        <v>44760</v>
      </c>
      <c r="P9895">
        <v>0</v>
      </c>
      <c r="Q9895">
        <v>1</v>
      </c>
      <c r="R9895" t="s">
        <v>44769</v>
      </c>
      <c r="S9895" t="s">
        <v>45044</v>
      </c>
      <c r="T9895" t="s">
        <v>46625</v>
      </c>
      <c r="U9895" t="s">
        <v>55157</v>
      </c>
      <c r="W9895" t="s">
        <v>42544</v>
      </c>
      <c r="X9895" t="s">
        <v>44770</v>
      </c>
    </row>
    <row r="9896" spans="1:24">
      <c r="A9896">
        <f>HYPERLINK("https://www.philgeps.gov.ph/GEPSNONPILOT/Tender/SplashBidNoticeAbstractUI.aspx?menuIndex=3&amp;refID=7138811&amp;Result=3","7138811")</f>
        <v>0</v>
      </c>
      <c r="B9896" t="s">
        <v>2103</v>
      </c>
      <c r="C9896" t="s">
        <v>13153</v>
      </c>
      <c r="D9896" t="s">
        <v>17992</v>
      </c>
      <c r="E9896" t="s">
        <v>26616</v>
      </c>
      <c r="F9896" t="s">
        <v>30900</v>
      </c>
      <c r="G9896" t="s">
        <v>30907</v>
      </c>
      <c r="H9896" t="s">
        <v>30915</v>
      </c>
      <c r="I9896" t="s">
        <v>30919</v>
      </c>
      <c r="J9896" t="s">
        <v>31243</v>
      </c>
      <c r="K9896" t="s">
        <v>40280</v>
      </c>
      <c r="M9896" t="s">
        <v>42802</v>
      </c>
      <c r="N9896" t="s">
        <v>44759</v>
      </c>
      <c r="O9896" t="s">
        <v>44760</v>
      </c>
      <c r="P9896">
        <v>0</v>
      </c>
      <c r="Q9896">
        <v>0</v>
      </c>
      <c r="R9896" t="s">
        <v>44769</v>
      </c>
      <c r="S9896" t="s">
        <v>45044</v>
      </c>
      <c r="T9896" t="s">
        <v>46411</v>
      </c>
      <c r="U9896" t="s">
        <v>55158</v>
      </c>
      <c r="W9896" t="s">
        <v>42802</v>
      </c>
      <c r="X9896" t="s">
        <v>44770</v>
      </c>
    </row>
    <row r="9897" spans="1:24">
      <c r="A9897">
        <f>HYPERLINK("https://www.philgeps.gov.ph/GEPSNONPILOT/Tender/SplashBidNoticeAbstractUI.aspx?menuIndex=3&amp;refID=7138836&amp;Result=3","7138836")</f>
        <v>0</v>
      </c>
      <c r="B9897" t="s">
        <v>3083</v>
      </c>
      <c r="C9897" t="s">
        <v>13154</v>
      </c>
      <c r="D9897" t="s">
        <v>18025</v>
      </c>
      <c r="E9897" t="s">
        <v>26617</v>
      </c>
      <c r="F9897" t="s">
        <v>30900</v>
      </c>
      <c r="G9897" t="s">
        <v>30907</v>
      </c>
      <c r="H9897" t="s">
        <v>30915</v>
      </c>
      <c r="I9897" t="s">
        <v>30919</v>
      </c>
      <c r="J9897" t="s">
        <v>31243</v>
      </c>
      <c r="K9897" t="s">
        <v>40280</v>
      </c>
      <c r="M9897" t="s">
        <v>43895</v>
      </c>
      <c r="N9897" t="s">
        <v>44759</v>
      </c>
      <c r="O9897" t="s">
        <v>44760</v>
      </c>
      <c r="P9897">
        <v>0</v>
      </c>
      <c r="Q9897">
        <v>7</v>
      </c>
      <c r="R9897" t="s">
        <v>44769</v>
      </c>
      <c r="S9897" t="s">
        <v>45044</v>
      </c>
      <c r="T9897" t="s">
        <v>46544</v>
      </c>
      <c r="U9897" t="s">
        <v>55155</v>
      </c>
      <c r="W9897" t="s">
        <v>43895</v>
      </c>
      <c r="X9897" t="s">
        <v>44770</v>
      </c>
    </row>
    <row r="9898" spans="1:24">
      <c r="A9898">
        <f>HYPERLINK("https://www.philgeps.gov.ph/GEPSNONPILOT/Tender/SplashBidNoticeAbstractUI.aspx?menuIndex=3&amp;refID=7138889&amp;Result=3","7138889")</f>
        <v>0</v>
      </c>
      <c r="B9898" t="s">
        <v>2682</v>
      </c>
      <c r="C9898" t="s">
        <v>13155</v>
      </c>
      <c r="D9898" t="s">
        <v>17972</v>
      </c>
      <c r="E9898" t="s">
        <v>18282</v>
      </c>
      <c r="F9898" t="s">
        <v>30900</v>
      </c>
      <c r="G9898" t="s">
        <v>30907</v>
      </c>
      <c r="H9898" t="s">
        <v>30916</v>
      </c>
      <c r="I9898" t="s">
        <v>4050</v>
      </c>
      <c r="J9898" t="s">
        <v>37227</v>
      </c>
      <c r="K9898" t="s">
        <v>40287</v>
      </c>
      <c r="M9898" t="s">
        <v>43453</v>
      </c>
      <c r="N9898" t="s">
        <v>44759</v>
      </c>
      <c r="O9898" t="s">
        <v>44760</v>
      </c>
      <c r="P9898">
        <v>0</v>
      </c>
      <c r="Q9898">
        <v>0</v>
      </c>
      <c r="R9898" t="s">
        <v>44769</v>
      </c>
      <c r="S9898" t="s">
        <v>45044</v>
      </c>
      <c r="T9898" t="s">
        <v>46356</v>
      </c>
      <c r="U9898" t="s">
        <v>55159</v>
      </c>
      <c r="W9898" t="s">
        <v>43453</v>
      </c>
      <c r="X9898" t="s">
        <v>44770</v>
      </c>
    </row>
    <row r="9899" spans="1:24">
      <c r="A9899">
        <f>HYPERLINK("https://www.philgeps.gov.ph/GEPSNONPILOT/Tender/SplashBidNoticeAbstractUI.aspx?menuIndex=3&amp;refID=7138821&amp;Result=3","7138821")</f>
        <v>0</v>
      </c>
      <c r="B9899" t="s">
        <v>1967</v>
      </c>
      <c r="C9899" t="s">
        <v>13156</v>
      </c>
      <c r="D9899" t="s">
        <v>17988</v>
      </c>
      <c r="E9899" t="s">
        <v>26618</v>
      </c>
      <c r="F9899" t="s">
        <v>30900</v>
      </c>
      <c r="G9899" t="s">
        <v>30907</v>
      </c>
      <c r="H9899" t="s">
        <v>30915</v>
      </c>
      <c r="I9899" t="s">
        <v>30919</v>
      </c>
      <c r="J9899" t="s">
        <v>37228</v>
      </c>
      <c r="K9899" t="s">
        <v>40289</v>
      </c>
      <c r="M9899" t="s">
        <v>42653</v>
      </c>
      <c r="N9899" t="s">
        <v>44759</v>
      </c>
      <c r="O9899" t="s">
        <v>44760</v>
      </c>
      <c r="P9899">
        <v>0</v>
      </c>
      <c r="Q9899">
        <v>0</v>
      </c>
      <c r="R9899" t="s">
        <v>44769</v>
      </c>
      <c r="S9899" t="s">
        <v>45044</v>
      </c>
      <c r="T9899" t="s">
        <v>46495</v>
      </c>
      <c r="U9899" t="s">
        <v>55148</v>
      </c>
      <c r="W9899" t="s">
        <v>42653</v>
      </c>
      <c r="X9899" t="s">
        <v>44770</v>
      </c>
    </row>
    <row r="9900" spans="1:24">
      <c r="A9900">
        <f>HYPERLINK("https://www.philgeps.gov.ph/GEPSNONPILOT/Tender/SplashBidNoticeAbstractUI.aspx?menuIndex=3&amp;refID=7138841&amp;Result=3","7138841")</f>
        <v>0</v>
      </c>
      <c r="B9900" t="s">
        <v>3084</v>
      </c>
      <c r="C9900" t="s">
        <v>8647</v>
      </c>
      <c r="D9900" t="s">
        <v>17972</v>
      </c>
      <c r="E9900" t="s">
        <v>18282</v>
      </c>
      <c r="F9900" t="s">
        <v>30900</v>
      </c>
      <c r="G9900" t="s">
        <v>30907</v>
      </c>
      <c r="H9900" t="s">
        <v>30916</v>
      </c>
      <c r="I9900" t="s">
        <v>8123</v>
      </c>
      <c r="J9900" t="s">
        <v>37229</v>
      </c>
      <c r="K9900" t="s">
        <v>40287</v>
      </c>
      <c r="M9900" t="s">
        <v>43896</v>
      </c>
      <c r="N9900" t="s">
        <v>44759</v>
      </c>
      <c r="O9900" t="s">
        <v>44760</v>
      </c>
      <c r="P9900">
        <v>0</v>
      </c>
      <c r="Q9900">
        <v>1</v>
      </c>
      <c r="R9900" t="s">
        <v>44769</v>
      </c>
      <c r="S9900" t="s">
        <v>45044</v>
      </c>
      <c r="T9900" t="s">
        <v>46357</v>
      </c>
      <c r="U9900" t="s">
        <v>55160</v>
      </c>
      <c r="W9900" t="s">
        <v>43896</v>
      </c>
      <c r="X9900" t="s">
        <v>44770</v>
      </c>
    </row>
    <row r="9901" spans="1:24">
      <c r="A9901">
        <f>HYPERLINK("https://www.philgeps.gov.ph/GEPSNONPILOT/Tender/SplashBidNoticeAbstractUI.aspx?menuIndex=3&amp;refID=7138887&amp;Result=3","7138887")</f>
        <v>0</v>
      </c>
      <c r="B9901" t="s">
        <v>3085</v>
      </c>
      <c r="C9901" t="s">
        <v>13157</v>
      </c>
      <c r="D9901" t="s">
        <v>18002</v>
      </c>
      <c r="E9901" t="s">
        <v>21569</v>
      </c>
      <c r="F9901" t="s">
        <v>30900</v>
      </c>
      <c r="G9901" t="s">
        <v>30907</v>
      </c>
      <c r="H9901" t="s">
        <v>30915</v>
      </c>
      <c r="I9901" t="s">
        <v>30919</v>
      </c>
      <c r="J9901" t="s">
        <v>37230</v>
      </c>
      <c r="K9901" t="s">
        <v>40342</v>
      </c>
      <c r="M9901" t="s">
        <v>43897</v>
      </c>
      <c r="N9901" t="s">
        <v>44759</v>
      </c>
      <c r="O9901" t="s">
        <v>44760</v>
      </c>
      <c r="P9901">
        <v>0</v>
      </c>
      <c r="Q9901">
        <v>4</v>
      </c>
      <c r="R9901" t="s">
        <v>44769</v>
      </c>
      <c r="S9901" t="s">
        <v>45044</v>
      </c>
      <c r="T9901" t="s">
        <v>46370</v>
      </c>
      <c r="U9901" t="s">
        <v>55161</v>
      </c>
      <c r="W9901" t="s">
        <v>43897</v>
      </c>
      <c r="X9901" t="s">
        <v>44770</v>
      </c>
    </row>
    <row r="9902" spans="1:24">
      <c r="A9902">
        <f>HYPERLINK("https://www.philgeps.gov.ph/GEPSNONPILOT/Tender/SplashBidNoticeAbstractUI.aspx?menuIndex=3&amp;refID=7138878&amp;Result=3","7138878")</f>
        <v>0</v>
      </c>
      <c r="B9902" t="s">
        <v>3085</v>
      </c>
      <c r="C9902" t="s">
        <v>13158</v>
      </c>
      <c r="D9902" t="s">
        <v>18002</v>
      </c>
      <c r="E9902" t="s">
        <v>26619</v>
      </c>
      <c r="F9902" t="s">
        <v>30900</v>
      </c>
      <c r="G9902" t="s">
        <v>30907</v>
      </c>
      <c r="H9902" t="s">
        <v>30916</v>
      </c>
      <c r="I9902" t="s">
        <v>30933</v>
      </c>
      <c r="J9902" t="s">
        <v>37231</v>
      </c>
      <c r="K9902" t="s">
        <v>40286</v>
      </c>
      <c r="M9902" t="s">
        <v>43897</v>
      </c>
      <c r="N9902" t="s">
        <v>44759</v>
      </c>
      <c r="O9902" t="s">
        <v>44760</v>
      </c>
      <c r="P9902">
        <v>0</v>
      </c>
      <c r="Q9902">
        <v>6</v>
      </c>
      <c r="R9902" t="s">
        <v>44769</v>
      </c>
      <c r="S9902" t="s">
        <v>45044</v>
      </c>
      <c r="T9902" t="s">
        <v>46370</v>
      </c>
      <c r="U9902" t="s">
        <v>55162</v>
      </c>
      <c r="W9902" t="s">
        <v>43897</v>
      </c>
      <c r="X9902" t="s">
        <v>44770</v>
      </c>
    </row>
    <row r="9903" spans="1:24">
      <c r="A9903">
        <f>HYPERLINK("https://www.philgeps.gov.ph/GEPSNONPILOT/Tender/SplashBidNoticeAbstractUI.aspx?menuIndex=3&amp;refID=7138877&amp;Result=3","7138877")</f>
        <v>0</v>
      </c>
      <c r="B9903" t="s">
        <v>3086</v>
      </c>
      <c r="C9903" t="s">
        <v>13159</v>
      </c>
      <c r="D9903" t="s">
        <v>17974</v>
      </c>
      <c r="E9903" t="s">
        <v>26620</v>
      </c>
      <c r="F9903" t="s">
        <v>30900</v>
      </c>
      <c r="G9903" t="s">
        <v>30907</v>
      </c>
      <c r="H9903" t="s">
        <v>30916</v>
      </c>
      <c r="I9903" t="s">
        <v>8123</v>
      </c>
      <c r="J9903" t="s">
        <v>37232</v>
      </c>
      <c r="K9903" t="s">
        <v>40283</v>
      </c>
      <c r="L9903" t="s">
        <v>3086</v>
      </c>
      <c r="M9903" t="s">
        <v>43898</v>
      </c>
      <c r="N9903" t="s">
        <v>44759</v>
      </c>
      <c r="O9903" t="s">
        <v>44760</v>
      </c>
      <c r="P9903">
        <v>0</v>
      </c>
      <c r="Q9903">
        <v>0</v>
      </c>
      <c r="R9903" t="s">
        <v>44769</v>
      </c>
      <c r="S9903" t="s">
        <v>45044</v>
      </c>
      <c r="T9903" t="s">
        <v>46411</v>
      </c>
      <c r="U9903" t="s">
        <v>55163</v>
      </c>
      <c r="W9903" t="s">
        <v>43898</v>
      </c>
      <c r="X9903" t="s">
        <v>44770</v>
      </c>
    </row>
    <row r="9904" spans="1:24">
      <c r="A9904">
        <f>HYPERLINK("https://www.philgeps.gov.ph/GEPSNONPILOT/Tender/SplashBidNoticeAbstractUI.aspx?menuIndex=3&amp;refID=7138882&amp;Result=3","7138882")</f>
        <v>0</v>
      </c>
      <c r="B9904" t="s">
        <v>3085</v>
      </c>
      <c r="C9904" t="s">
        <v>13160</v>
      </c>
      <c r="D9904" t="s">
        <v>18002</v>
      </c>
      <c r="E9904" t="s">
        <v>26621</v>
      </c>
      <c r="F9904" t="s">
        <v>30900</v>
      </c>
      <c r="G9904" t="s">
        <v>30907</v>
      </c>
      <c r="H9904" t="s">
        <v>30915</v>
      </c>
      <c r="I9904" t="s">
        <v>30919</v>
      </c>
      <c r="J9904" t="s">
        <v>37233</v>
      </c>
      <c r="K9904" t="s">
        <v>40378</v>
      </c>
      <c r="M9904" t="s">
        <v>43897</v>
      </c>
      <c r="N9904" t="s">
        <v>44759</v>
      </c>
      <c r="O9904" t="s">
        <v>44760</v>
      </c>
      <c r="P9904">
        <v>0</v>
      </c>
      <c r="Q9904">
        <v>3</v>
      </c>
      <c r="R9904" t="s">
        <v>44769</v>
      </c>
      <c r="S9904" t="s">
        <v>45044</v>
      </c>
      <c r="T9904" t="s">
        <v>46370</v>
      </c>
      <c r="U9904" t="s">
        <v>55164</v>
      </c>
      <c r="W9904" t="s">
        <v>43897</v>
      </c>
      <c r="X9904" t="s">
        <v>44770</v>
      </c>
    </row>
    <row r="9905" spans="1:24">
      <c r="A9905">
        <f>HYPERLINK("https://www.philgeps.gov.ph/GEPSNONPILOT/Tender/SplashBidNoticeAbstractUI.aspx?menuIndex=3&amp;refID=7138880&amp;Result=3","7138880")</f>
        <v>0</v>
      </c>
      <c r="B9905" t="s">
        <v>3086</v>
      </c>
      <c r="C9905" t="s">
        <v>13161</v>
      </c>
      <c r="D9905" t="s">
        <v>17974</v>
      </c>
      <c r="E9905" t="s">
        <v>26622</v>
      </c>
      <c r="F9905" t="s">
        <v>30900</v>
      </c>
      <c r="G9905" t="s">
        <v>30907</v>
      </c>
      <c r="H9905" t="s">
        <v>30916</v>
      </c>
      <c r="I9905" t="s">
        <v>8123</v>
      </c>
      <c r="J9905" t="s">
        <v>37234</v>
      </c>
      <c r="K9905" t="s">
        <v>40283</v>
      </c>
      <c r="L9905" t="s">
        <v>3086</v>
      </c>
      <c r="M9905" t="s">
        <v>43898</v>
      </c>
      <c r="N9905" t="s">
        <v>44759</v>
      </c>
      <c r="O9905" t="s">
        <v>44760</v>
      </c>
      <c r="P9905">
        <v>0</v>
      </c>
      <c r="Q9905">
        <v>0</v>
      </c>
      <c r="R9905" t="s">
        <v>44769</v>
      </c>
      <c r="S9905" t="s">
        <v>45044</v>
      </c>
      <c r="T9905" t="s">
        <v>46411</v>
      </c>
      <c r="U9905" t="s">
        <v>55165</v>
      </c>
      <c r="W9905" t="s">
        <v>43898</v>
      </c>
      <c r="X9905" t="s">
        <v>44770</v>
      </c>
    </row>
    <row r="9906" spans="1:24">
      <c r="A9906">
        <f>HYPERLINK("https://www.philgeps.gov.ph/GEPSNONPILOT/Tender/SplashBidNoticeAbstractUI.aspx?menuIndex=3&amp;refID=7138874&amp;Result=3","7138874")</f>
        <v>0</v>
      </c>
      <c r="B9906" t="s">
        <v>3083</v>
      </c>
      <c r="C9906" t="s">
        <v>13162</v>
      </c>
      <c r="D9906" t="s">
        <v>18025</v>
      </c>
      <c r="E9906" t="s">
        <v>26623</v>
      </c>
      <c r="F9906" t="s">
        <v>30900</v>
      </c>
      <c r="G9906" t="s">
        <v>30907</v>
      </c>
      <c r="H9906" t="s">
        <v>30915</v>
      </c>
      <c r="I9906" t="s">
        <v>30919</v>
      </c>
      <c r="J9906" t="s">
        <v>31391</v>
      </c>
      <c r="K9906" t="s">
        <v>40354</v>
      </c>
      <c r="M9906" t="s">
        <v>43895</v>
      </c>
      <c r="N9906" t="s">
        <v>44759</v>
      </c>
      <c r="O9906" t="s">
        <v>44760</v>
      </c>
      <c r="P9906">
        <v>0</v>
      </c>
      <c r="Q9906">
        <v>7</v>
      </c>
      <c r="R9906" t="s">
        <v>44769</v>
      </c>
      <c r="S9906" t="s">
        <v>45044</v>
      </c>
      <c r="T9906" t="s">
        <v>46544</v>
      </c>
      <c r="U9906" t="s">
        <v>55166</v>
      </c>
      <c r="W9906" t="s">
        <v>43895</v>
      </c>
      <c r="X9906" t="s">
        <v>44770</v>
      </c>
    </row>
    <row r="9907" spans="1:24">
      <c r="A9907">
        <f>HYPERLINK("https://www.philgeps.gov.ph/GEPSNONPILOT/Tender/SplashBidNoticeAbstractUI.aspx?menuIndex=3&amp;refID=7138864&amp;Result=3","7138864")</f>
        <v>0</v>
      </c>
      <c r="B9907" t="s">
        <v>3083</v>
      </c>
      <c r="C9907" t="s">
        <v>13163</v>
      </c>
      <c r="D9907" t="s">
        <v>18025</v>
      </c>
      <c r="E9907" t="s">
        <v>26624</v>
      </c>
      <c r="F9907" t="s">
        <v>30900</v>
      </c>
      <c r="G9907" t="s">
        <v>30907</v>
      </c>
      <c r="H9907" t="s">
        <v>30915</v>
      </c>
      <c r="I9907" t="s">
        <v>30919</v>
      </c>
      <c r="J9907" t="s">
        <v>32967</v>
      </c>
      <c r="K9907" t="s">
        <v>40335</v>
      </c>
      <c r="M9907" t="s">
        <v>43895</v>
      </c>
      <c r="N9907" t="s">
        <v>44759</v>
      </c>
      <c r="O9907" t="s">
        <v>44760</v>
      </c>
      <c r="P9907">
        <v>0</v>
      </c>
      <c r="Q9907">
        <v>8</v>
      </c>
      <c r="R9907" t="s">
        <v>44769</v>
      </c>
      <c r="S9907" t="s">
        <v>45044</v>
      </c>
      <c r="T9907" t="s">
        <v>46544</v>
      </c>
      <c r="U9907" t="s">
        <v>55167</v>
      </c>
      <c r="W9907" t="s">
        <v>43895</v>
      </c>
      <c r="X9907" t="s">
        <v>44770</v>
      </c>
    </row>
    <row r="9908" spans="1:24">
      <c r="A9908">
        <f>HYPERLINK("https://www.philgeps.gov.ph/GEPSNONPILOT/Tender/SplashBidNoticeAbstractUI.aspx?menuIndex=3&amp;refID=7138885&amp;Result=3","7138885")</f>
        <v>0</v>
      </c>
      <c r="B9908" t="s">
        <v>3087</v>
      </c>
      <c r="C9908" t="s">
        <v>13164</v>
      </c>
      <c r="D9908" t="s">
        <v>17959</v>
      </c>
      <c r="E9908" t="s">
        <v>26625</v>
      </c>
      <c r="F9908" t="s">
        <v>30900</v>
      </c>
      <c r="G9908" t="s">
        <v>30907</v>
      </c>
      <c r="H9908" t="s">
        <v>30916</v>
      </c>
      <c r="I9908" t="s">
        <v>31016</v>
      </c>
      <c r="J9908" t="s">
        <v>37235</v>
      </c>
      <c r="K9908" t="s">
        <v>40332</v>
      </c>
      <c r="M9908" t="s">
        <v>43899</v>
      </c>
      <c r="N9908" t="s">
        <v>44759</v>
      </c>
      <c r="O9908" t="s">
        <v>44760</v>
      </c>
      <c r="P9908">
        <v>0</v>
      </c>
      <c r="Q9908">
        <v>8</v>
      </c>
      <c r="R9908" t="s">
        <v>44769</v>
      </c>
      <c r="S9908" t="s">
        <v>45044</v>
      </c>
      <c r="T9908" t="s">
        <v>46752</v>
      </c>
      <c r="U9908" t="s">
        <v>55168</v>
      </c>
      <c r="W9908" t="s">
        <v>60913</v>
      </c>
      <c r="X9908" t="s">
        <v>44770</v>
      </c>
    </row>
    <row r="9909" spans="1:24">
      <c r="A9909">
        <f>HYPERLINK("https://www.philgeps.gov.ph/GEPSNONPILOT/Tender/SplashBidNoticeAbstractUI.aspx?menuIndex=3&amp;refID=7138861&amp;Result=3","7138861")</f>
        <v>0</v>
      </c>
      <c r="B9909" t="s">
        <v>3007</v>
      </c>
      <c r="C9909" t="s">
        <v>13165</v>
      </c>
      <c r="D9909" t="s">
        <v>17951</v>
      </c>
      <c r="E9909" t="s">
        <v>26626</v>
      </c>
      <c r="F9909" t="s">
        <v>30900</v>
      </c>
      <c r="G9909" t="s">
        <v>30907</v>
      </c>
      <c r="H9909" t="s">
        <v>30916</v>
      </c>
      <c r="I9909" t="s">
        <v>8044</v>
      </c>
      <c r="J9909" t="s">
        <v>31593</v>
      </c>
      <c r="K9909" t="s">
        <v>40286</v>
      </c>
      <c r="M9909" t="s">
        <v>43813</v>
      </c>
      <c r="N9909" t="s">
        <v>44759</v>
      </c>
      <c r="O9909" t="s">
        <v>44760</v>
      </c>
      <c r="P9909">
        <v>0</v>
      </c>
      <c r="Q9909">
        <v>3</v>
      </c>
      <c r="R9909" t="s">
        <v>44769</v>
      </c>
      <c r="S9909" t="s">
        <v>45044</v>
      </c>
      <c r="T9909" t="s">
        <v>46549</v>
      </c>
      <c r="U9909" t="s">
        <v>55169</v>
      </c>
      <c r="V9909" t="s">
        <v>60200</v>
      </c>
      <c r="W9909" t="s">
        <v>43813</v>
      </c>
      <c r="X9909" t="s">
        <v>44770</v>
      </c>
    </row>
    <row r="9910" spans="1:24">
      <c r="A9910">
        <f>HYPERLINK("https://www.philgeps.gov.ph/GEPSNONPILOT/Tender/SplashBidNoticeAbstractUI.aspx?menuIndex=3&amp;refID=7138828&amp;Result=3","7138828")</f>
        <v>0</v>
      </c>
      <c r="B9910" t="s">
        <v>1967</v>
      </c>
      <c r="C9910" t="s">
        <v>13166</v>
      </c>
      <c r="D9910" t="s">
        <v>17988</v>
      </c>
      <c r="E9910" t="s">
        <v>26627</v>
      </c>
      <c r="F9910" t="s">
        <v>30900</v>
      </c>
      <c r="G9910" t="s">
        <v>30907</v>
      </c>
      <c r="H9910" t="s">
        <v>30915</v>
      </c>
      <c r="I9910" t="s">
        <v>30919</v>
      </c>
      <c r="J9910" t="s">
        <v>37236</v>
      </c>
      <c r="K9910" t="s">
        <v>40289</v>
      </c>
      <c r="M9910" t="s">
        <v>42653</v>
      </c>
      <c r="N9910" t="s">
        <v>44759</v>
      </c>
      <c r="O9910" t="s">
        <v>44760</v>
      </c>
      <c r="P9910">
        <v>0</v>
      </c>
      <c r="Q9910">
        <v>0</v>
      </c>
      <c r="R9910" t="s">
        <v>44769</v>
      </c>
      <c r="S9910" t="s">
        <v>45044</v>
      </c>
      <c r="T9910" t="s">
        <v>46495</v>
      </c>
      <c r="U9910" t="s">
        <v>55148</v>
      </c>
      <c r="W9910" t="s">
        <v>42653</v>
      </c>
      <c r="X9910" t="s">
        <v>44770</v>
      </c>
    </row>
    <row r="9911" spans="1:24">
      <c r="A9911">
        <f>HYPERLINK("https://www.philgeps.gov.ph/GEPSNONPILOT/Tender/SplashBidNoticeAbstractUI.aspx?menuIndex=3&amp;refID=7138870&amp;Result=3","7138870")</f>
        <v>0</v>
      </c>
      <c r="B9911" t="s">
        <v>3086</v>
      </c>
      <c r="C9911" t="s">
        <v>13167</v>
      </c>
      <c r="D9911" t="s">
        <v>17974</v>
      </c>
      <c r="E9911" t="s">
        <v>26628</v>
      </c>
      <c r="F9911" t="s">
        <v>30900</v>
      </c>
      <c r="G9911" t="s">
        <v>30907</v>
      </c>
      <c r="H9911" t="s">
        <v>30916</v>
      </c>
      <c r="I9911" t="s">
        <v>8123</v>
      </c>
      <c r="J9911" t="s">
        <v>37237</v>
      </c>
      <c r="K9911" t="s">
        <v>40283</v>
      </c>
      <c r="L9911" t="s">
        <v>3086</v>
      </c>
      <c r="M9911" t="s">
        <v>43898</v>
      </c>
      <c r="N9911" t="s">
        <v>44759</v>
      </c>
      <c r="O9911" t="s">
        <v>44760</v>
      </c>
      <c r="P9911">
        <v>0</v>
      </c>
      <c r="Q9911">
        <v>0</v>
      </c>
      <c r="R9911" t="s">
        <v>44769</v>
      </c>
      <c r="S9911" t="s">
        <v>45044</v>
      </c>
      <c r="T9911" t="s">
        <v>46411</v>
      </c>
      <c r="U9911" t="s">
        <v>55170</v>
      </c>
      <c r="W9911" t="s">
        <v>43898</v>
      </c>
      <c r="X9911" t="s">
        <v>44770</v>
      </c>
    </row>
    <row r="9912" spans="1:24">
      <c r="A9912">
        <f>HYPERLINK("https://www.philgeps.gov.ph/GEPSNONPILOT/Tender/SplashBidNoticeAbstractUI.aspx?menuIndex=3&amp;refID=7138862&amp;Result=3","7138862")</f>
        <v>0</v>
      </c>
      <c r="B9912" t="s">
        <v>3088</v>
      </c>
      <c r="C9912" t="s">
        <v>13168</v>
      </c>
      <c r="D9912" t="s">
        <v>17985</v>
      </c>
      <c r="E9912" t="s">
        <v>22095</v>
      </c>
      <c r="F9912" t="s">
        <v>30900</v>
      </c>
      <c r="G9912" t="s">
        <v>30907</v>
      </c>
      <c r="H9912" t="s">
        <v>30917</v>
      </c>
      <c r="I9912" t="s">
        <v>17295</v>
      </c>
      <c r="J9912" t="s">
        <v>37238</v>
      </c>
      <c r="K9912" t="s">
        <v>40434</v>
      </c>
      <c r="M9912" t="s">
        <v>43900</v>
      </c>
      <c r="N9912" t="s">
        <v>44759</v>
      </c>
      <c r="O9912" t="s">
        <v>44760</v>
      </c>
      <c r="P9912">
        <v>0</v>
      </c>
      <c r="Q9912">
        <v>0</v>
      </c>
      <c r="R9912" t="s">
        <v>44769</v>
      </c>
      <c r="S9912" t="s">
        <v>45044</v>
      </c>
      <c r="T9912" t="s">
        <v>46752</v>
      </c>
      <c r="U9912" t="s">
        <v>55171</v>
      </c>
      <c r="W9912" t="s">
        <v>43900</v>
      </c>
      <c r="X9912" t="s">
        <v>44770</v>
      </c>
    </row>
    <row r="9913" spans="1:24">
      <c r="A9913">
        <f>HYPERLINK("https://www.philgeps.gov.ph/GEPSNONPILOT/Tender/SplashBidNoticeAbstractUI.aspx?menuIndex=3&amp;refID=7138896&amp;Result=3","7138896")</f>
        <v>0</v>
      </c>
      <c r="B9913" t="s">
        <v>3085</v>
      </c>
      <c r="C9913" t="s">
        <v>13169</v>
      </c>
      <c r="D9913" t="s">
        <v>18002</v>
      </c>
      <c r="E9913" t="s">
        <v>26629</v>
      </c>
      <c r="F9913" t="s">
        <v>30900</v>
      </c>
      <c r="G9913" t="s">
        <v>30907</v>
      </c>
      <c r="H9913" t="s">
        <v>30915</v>
      </c>
      <c r="I9913" t="s">
        <v>30919</v>
      </c>
      <c r="J9913" t="s">
        <v>37239</v>
      </c>
      <c r="K9913" t="s">
        <v>40289</v>
      </c>
      <c r="M9913" t="s">
        <v>43897</v>
      </c>
      <c r="N9913" t="s">
        <v>44759</v>
      </c>
      <c r="O9913" t="s">
        <v>44760</v>
      </c>
      <c r="P9913">
        <v>0</v>
      </c>
      <c r="Q9913">
        <v>4</v>
      </c>
      <c r="R9913" t="s">
        <v>44769</v>
      </c>
      <c r="S9913" t="s">
        <v>45044</v>
      </c>
      <c r="T9913" t="s">
        <v>46370</v>
      </c>
      <c r="U9913" t="s">
        <v>55172</v>
      </c>
      <c r="W9913" t="s">
        <v>43897</v>
      </c>
      <c r="X9913" t="s">
        <v>44770</v>
      </c>
    </row>
    <row r="9914" spans="1:24">
      <c r="A9914">
        <f>HYPERLINK("https://www.philgeps.gov.ph/GEPSNONPILOT/Tender/SplashBidNoticeAbstractUI.aspx?menuIndex=3&amp;refID=7138894&amp;Result=3","7138894")</f>
        <v>0</v>
      </c>
      <c r="B9914" t="s">
        <v>3085</v>
      </c>
      <c r="C9914" t="s">
        <v>13170</v>
      </c>
      <c r="D9914" t="s">
        <v>18002</v>
      </c>
      <c r="E9914" t="s">
        <v>26630</v>
      </c>
      <c r="F9914" t="s">
        <v>30900</v>
      </c>
      <c r="G9914" t="s">
        <v>30907</v>
      </c>
      <c r="H9914" t="s">
        <v>30915</v>
      </c>
      <c r="I9914" t="s">
        <v>30919</v>
      </c>
      <c r="J9914" t="s">
        <v>37240</v>
      </c>
      <c r="K9914" t="s">
        <v>40289</v>
      </c>
      <c r="M9914" t="s">
        <v>43897</v>
      </c>
      <c r="N9914" t="s">
        <v>44759</v>
      </c>
      <c r="O9914" t="s">
        <v>44760</v>
      </c>
      <c r="P9914">
        <v>0</v>
      </c>
      <c r="Q9914">
        <v>4</v>
      </c>
      <c r="R9914" t="s">
        <v>44769</v>
      </c>
      <c r="S9914" t="s">
        <v>45044</v>
      </c>
      <c r="T9914" t="s">
        <v>46370</v>
      </c>
      <c r="U9914" t="s">
        <v>55173</v>
      </c>
      <c r="W9914" t="s">
        <v>43897</v>
      </c>
      <c r="X9914" t="s">
        <v>44770</v>
      </c>
    </row>
    <row r="9915" spans="1:24">
      <c r="A9915">
        <f>HYPERLINK("https://www.philgeps.gov.ph/GEPSNONPILOT/Tender/SplashBidNoticeAbstractUI.aspx?menuIndex=3&amp;refID=7138860&amp;Result=3","7138860")</f>
        <v>0</v>
      </c>
      <c r="B9915" t="s">
        <v>1967</v>
      </c>
      <c r="C9915" t="s">
        <v>13171</v>
      </c>
      <c r="D9915" t="s">
        <v>17988</v>
      </c>
      <c r="E9915" t="s">
        <v>26631</v>
      </c>
      <c r="F9915" t="s">
        <v>30900</v>
      </c>
      <c r="G9915" t="s">
        <v>30907</v>
      </c>
      <c r="H9915" t="s">
        <v>30915</v>
      </c>
      <c r="I9915" t="s">
        <v>30919</v>
      </c>
      <c r="J9915" t="s">
        <v>31069</v>
      </c>
      <c r="K9915" t="s">
        <v>40289</v>
      </c>
      <c r="M9915" t="s">
        <v>42653</v>
      </c>
      <c r="N9915" t="s">
        <v>44759</v>
      </c>
      <c r="O9915" t="s">
        <v>44760</v>
      </c>
      <c r="P9915">
        <v>0</v>
      </c>
      <c r="Q9915">
        <v>0</v>
      </c>
      <c r="R9915" t="s">
        <v>44769</v>
      </c>
      <c r="S9915" t="s">
        <v>45044</v>
      </c>
      <c r="T9915" t="s">
        <v>46495</v>
      </c>
      <c r="U9915" t="s">
        <v>55148</v>
      </c>
      <c r="W9915" t="s">
        <v>42653</v>
      </c>
      <c r="X9915" t="s">
        <v>44770</v>
      </c>
    </row>
    <row r="9916" spans="1:24">
      <c r="A9916">
        <f>HYPERLINK("https://www.philgeps.gov.ph/GEPSNONPILOT/Tender/SplashBidNoticeAbstractUI.aspx?menuIndex=3&amp;refID=7138867&amp;Result=3","7138867")</f>
        <v>0</v>
      </c>
      <c r="B9916" t="s">
        <v>3089</v>
      </c>
      <c r="C9916" t="s">
        <v>13172</v>
      </c>
      <c r="D9916" t="s">
        <v>17981</v>
      </c>
      <c r="E9916" t="s">
        <v>26632</v>
      </c>
      <c r="F9916" t="s">
        <v>30900</v>
      </c>
      <c r="G9916" t="s">
        <v>30907</v>
      </c>
      <c r="H9916" t="s">
        <v>30916</v>
      </c>
      <c r="I9916" t="s">
        <v>30922</v>
      </c>
      <c r="J9916" t="s">
        <v>37241</v>
      </c>
      <c r="K9916" t="s">
        <v>40284</v>
      </c>
      <c r="M9916" t="s">
        <v>43901</v>
      </c>
      <c r="N9916" t="s">
        <v>44759</v>
      </c>
      <c r="O9916" t="s">
        <v>44760</v>
      </c>
      <c r="P9916">
        <v>0</v>
      </c>
      <c r="Q9916">
        <v>1</v>
      </c>
      <c r="R9916" t="s">
        <v>44769</v>
      </c>
      <c r="S9916" t="s">
        <v>45044</v>
      </c>
      <c r="T9916" t="s">
        <v>46457</v>
      </c>
      <c r="U9916" t="s">
        <v>55174</v>
      </c>
      <c r="W9916" t="s">
        <v>43901</v>
      </c>
      <c r="X9916" t="s">
        <v>44770</v>
      </c>
    </row>
    <row r="9917" spans="1:24">
      <c r="A9917">
        <f>HYPERLINK("https://www.philgeps.gov.ph/GEPSNONPILOT/Tender/SplashBidNoticeAbstractUI.aspx?menuIndex=3&amp;refID=7138855&amp;Result=3","7138855")</f>
        <v>0</v>
      </c>
      <c r="B9917" t="s">
        <v>3083</v>
      </c>
      <c r="C9917" t="s">
        <v>13173</v>
      </c>
      <c r="D9917" t="s">
        <v>18025</v>
      </c>
      <c r="E9917" t="s">
        <v>26633</v>
      </c>
      <c r="F9917" t="s">
        <v>30900</v>
      </c>
      <c r="G9917" t="s">
        <v>30907</v>
      </c>
      <c r="H9917" t="s">
        <v>30915</v>
      </c>
      <c r="I9917" t="s">
        <v>30919</v>
      </c>
      <c r="J9917" t="s">
        <v>31066</v>
      </c>
      <c r="K9917" t="s">
        <v>40280</v>
      </c>
      <c r="M9917" t="s">
        <v>43895</v>
      </c>
      <c r="N9917" t="s">
        <v>44759</v>
      </c>
      <c r="O9917" t="s">
        <v>44760</v>
      </c>
      <c r="P9917">
        <v>0</v>
      </c>
      <c r="Q9917">
        <v>4</v>
      </c>
      <c r="R9917" t="s">
        <v>44769</v>
      </c>
      <c r="S9917" t="s">
        <v>45044</v>
      </c>
      <c r="T9917" t="s">
        <v>46544</v>
      </c>
      <c r="U9917" t="s">
        <v>55175</v>
      </c>
      <c r="W9917" t="s">
        <v>43895</v>
      </c>
      <c r="X9917" t="s">
        <v>44770</v>
      </c>
    </row>
    <row r="9918" spans="1:24">
      <c r="A9918">
        <f>HYPERLINK("https://www.philgeps.gov.ph/GEPSNONPILOT/Tender/SplashBidNoticeAbstractUI.aspx?menuIndex=3&amp;refID=7119329&amp;Result=3","7119329")</f>
        <v>0</v>
      </c>
      <c r="B9918" t="s">
        <v>926</v>
      </c>
      <c r="C9918" t="s">
        <v>13174</v>
      </c>
      <c r="D9918" t="s">
        <v>17999</v>
      </c>
      <c r="E9918" t="s">
        <v>26634</v>
      </c>
      <c r="F9918" t="s">
        <v>30900</v>
      </c>
      <c r="G9918" t="s">
        <v>30907</v>
      </c>
      <c r="H9918" t="s">
        <v>30915</v>
      </c>
      <c r="I9918" t="s">
        <v>30919</v>
      </c>
      <c r="J9918" t="s">
        <v>37242</v>
      </c>
      <c r="K9918" t="s">
        <v>40392</v>
      </c>
      <c r="M9918" t="s">
        <v>41506</v>
      </c>
      <c r="N9918" t="s">
        <v>44759</v>
      </c>
      <c r="O9918" t="s">
        <v>44760</v>
      </c>
      <c r="P9918">
        <v>0</v>
      </c>
      <c r="Q9918">
        <v>2</v>
      </c>
      <c r="R9918" t="s">
        <v>44770</v>
      </c>
      <c r="S9918" t="s">
        <v>45105</v>
      </c>
      <c r="T9918" t="s">
        <v>46515</v>
      </c>
      <c r="U9918" t="s">
        <v>48623</v>
      </c>
      <c r="W9918" t="s">
        <v>41506</v>
      </c>
      <c r="X9918" t="s">
        <v>44779</v>
      </c>
    </row>
    <row r="9919" spans="1:24">
      <c r="A9919">
        <f>HYPERLINK("https://www.philgeps.gov.ph/GEPSNONPILOT/Tender/SplashBidNoticeAbstractUI.aspx?menuIndex=3&amp;refID=7024682&amp;Result=3","7024682")</f>
        <v>0</v>
      </c>
      <c r="B9919" t="s">
        <v>3090</v>
      </c>
      <c r="C9919" t="s">
        <v>6635</v>
      </c>
      <c r="D9919" t="s">
        <v>18009</v>
      </c>
      <c r="E9919" t="s">
        <v>24091</v>
      </c>
      <c r="F9919" t="s">
        <v>30900</v>
      </c>
      <c r="G9919" t="s">
        <v>30913</v>
      </c>
      <c r="H9919" t="s">
        <v>30915</v>
      </c>
      <c r="I9919" t="s">
        <v>30919</v>
      </c>
      <c r="J9919" t="s">
        <v>37243</v>
      </c>
      <c r="K9919" t="s">
        <v>40469</v>
      </c>
      <c r="L9919" t="s">
        <v>3090</v>
      </c>
      <c r="M9919" t="s">
        <v>43902</v>
      </c>
      <c r="N9919" t="s">
        <v>44759</v>
      </c>
      <c r="O9919" t="s">
        <v>44760</v>
      </c>
      <c r="P9919">
        <v>0</v>
      </c>
      <c r="Q9919">
        <v>4</v>
      </c>
      <c r="R9919" t="s">
        <v>44770</v>
      </c>
      <c r="S9919" t="s">
        <v>45105</v>
      </c>
      <c r="T9919" t="s">
        <v>46719</v>
      </c>
      <c r="U9919" t="s">
        <v>55176</v>
      </c>
      <c r="V9919" t="s">
        <v>60158</v>
      </c>
      <c r="W9919" t="s">
        <v>43902</v>
      </c>
      <c r="X9919" t="s">
        <v>44813</v>
      </c>
    </row>
    <row r="9920" spans="1:24">
      <c r="A9920">
        <f>HYPERLINK("https://www.philgeps.gov.ph/GEPSNONPILOT/Tender/SplashBidNoticeAbstractUI.aspx?menuIndex=3&amp;refID=7138935&amp;Result=3","7138935")</f>
        <v>0</v>
      </c>
      <c r="B9920" t="s">
        <v>2682</v>
      </c>
      <c r="C9920" t="s">
        <v>4211</v>
      </c>
      <c r="D9920" t="s">
        <v>17972</v>
      </c>
      <c r="E9920" t="s">
        <v>18158</v>
      </c>
      <c r="F9920" t="s">
        <v>30900</v>
      </c>
      <c r="G9920" t="s">
        <v>30907</v>
      </c>
      <c r="H9920" t="s">
        <v>30916</v>
      </c>
      <c r="I9920" t="s">
        <v>8123</v>
      </c>
      <c r="J9920" t="s">
        <v>37244</v>
      </c>
      <c r="K9920" t="s">
        <v>40287</v>
      </c>
      <c r="M9920" t="s">
        <v>43453</v>
      </c>
      <c r="N9920" t="s">
        <v>44759</v>
      </c>
      <c r="O9920" t="s">
        <v>44760</v>
      </c>
      <c r="P9920">
        <v>0</v>
      </c>
      <c r="Q9920">
        <v>0</v>
      </c>
      <c r="R9920" t="s">
        <v>44769</v>
      </c>
      <c r="S9920" t="s">
        <v>45044</v>
      </c>
      <c r="T9920" t="s">
        <v>46356</v>
      </c>
      <c r="U9920" t="s">
        <v>55177</v>
      </c>
      <c r="W9920" t="s">
        <v>43453</v>
      </c>
      <c r="X9920" t="s">
        <v>44770</v>
      </c>
    </row>
    <row r="9921" spans="1:24">
      <c r="A9921">
        <f>HYPERLINK("https://www.philgeps.gov.ph/GEPSNONPILOT/Tender/SplashBidNoticeAbstractUI.aspx?menuIndex=3&amp;refID=7138869&amp;Result=3","7138869")</f>
        <v>0</v>
      </c>
      <c r="B9921" t="s">
        <v>3083</v>
      </c>
      <c r="C9921" t="s">
        <v>13175</v>
      </c>
      <c r="D9921" t="s">
        <v>18025</v>
      </c>
      <c r="E9921" t="s">
        <v>26635</v>
      </c>
      <c r="F9921" t="s">
        <v>30900</v>
      </c>
      <c r="G9921" t="s">
        <v>30907</v>
      </c>
      <c r="H9921" t="s">
        <v>30915</v>
      </c>
      <c r="I9921" t="s">
        <v>30919</v>
      </c>
      <c r="J9921" t="s">
        <v>31152</v>
      </c>
      <c r="K9921" t="s">
        <v>40280</v>
      </c>
      <c r="M9921" t="s">
        <v>43895</v>
      </c>
      <c r="N9921" t="s">
        <v>44759</v>
      </c>
      <c r="O9921" t="s">
        <v>44760</v>
      </c>
      <c r="P9921">
        <v>0</v>
      </c>
      <c r="Q9921">
        <v>8</v>
      </c>
      <c r="R9921" t="s">
        <v>44769</v>
      </c>
      <c r="S9921" t="s">
        <v>45044</v>
      </c>
      <c r="T9921" t="s">
        <v>46544</v>
      </c>
      <c r="U9921" t="s">
        <v>55178</v>
      </c>
      <c r="W9921" t="s">
        <v>43895</v>
      </c>
      <c r="X9921" t="s">
        <v>44770</v>
      </c>
    </row>
    <row r="9922" spans="1:24">
      <c r="A9922">
        <f>HYPERLINK("https://www.philgeps.gov.ph/GEPSNONPILOT/Tender/SplashBidNoticeAbstractUI.aspx?menuIndex=3&amp;refID=7138421&amp;Result=3","7138421")</f>
        <v>0</v>
      </c>
      <c r="B9922" t="s">
        <v>2598</v>
      </c>
      <c r="C9922" t="s">
        <v>13176</v>
      </c>
      <c r="D9922" t="s">
        <v>18028</v>
      </c>
      <c r="E9922" t="s">
        <v>26636</v>
      </c>
      <c r="F9922" t="s">
        <v>30900</v>
      </c>
      <c r="G9922" t="s">
        <v>30907</v>
      </c>
      <c r="H9922" t="s">
        <v>30915</v>
      </c>
      <c r="I9922" t="s">
        <v>30919</v>
      </c>
      <c r="J9922" t="s">
        <v>37245</v>
      </c>
      <c r="K9922" t="s">
        <v>40292</v>
      </c>
      <c r="L9922" t="s">
        <v>2598</v>
      </c>
      <c r="M9922" t="s">
        <v>43359</v>
      </c>
      <c r="N9922" t="s">
        <v>44759</v>
      </c>
      <c r="O9922" t="s">
        <v>44760</v>
      </c>
      <c r="P9922">
        <v>0</v>
      </c>
      <c r="Q9922">
        <v>0</v>
      </c>
      <c r="R9922" t="s">
        <v>44769</v>
      </c>
      <c r="S9922" t="s">
        <v>45044</v>
      </c>
      <c r="T9922" t="s">
        <v>46709</v>
      </c>
      <c r="U9922" t="s">
        <v>55179</v>
      </c>
      <c r="W9922" t="s">
        <v>43359</v>
      </c>
      <c r="X9922" t="s">
        <v>44770</v>
      </c>
    </row>
    <row r="9923" spans="1:24">
      <c r="A9923">
        <f>HYPERLINK("https://www.philgeps.gov.ph/GEPSNONPILOT/Tender/SplashBidNoticeAbstractUI.aspx?menuIndex=3&amp;refID=7138928&amp;Result=3","7138928")</f>
        <v>0</v>
      </c>
      <c r="B9923" t="s">
        <v>3091</v>
      </c>
      <c r="C9923" t="s">
        <v>13177</v>
      </c>
      <c r="E9923" t="s">
        <v>22118</v>
      </c>
      <c r="F9923" t="s">
        <v>30900</v>
      </c>
      <c r="G9923" t="s">
        <v>30907</v>
      </c>
      <c r="H9923" t="s">
        <v>30916</v>
      </c>
      <c r="I9923" t="s">
        <v>8365</v>
      </c>
      <c r="J9923" t="s">
        <v>33373</v>
      </c>
      <c r="K9923" t="s">
        <v>40289</v>
      </c>
      <c r="M9923" t="s">
        <v>43903</v>
      </c>
      <c r="N9923" t="s">
        <v>44759</v>
      </c>
      <c r="O9923" t="s">
        <v>44760</v>
      </c>
      <c r="P9923">
        <v>0</v>
      </c>
      <c r="Q9923">
        <v>0</v>
      </c>
      <c r="R9923" t="s">
        <v>44769</v>
      </c>
      <c r="S9923" t="s">
        <v>45044</v>
      </c>
      <c r="T9923" t="s">
        <v>46472</v>
      </c>
      <c r="U9923" t="s">
        <v>55180</v>
      </c>
      <c r="W9923" t="s">
        <v>43903</v>
      </c>
      <c r="X9923" t="s">
        <v>44770</v>
      </c>
    </row>
    <row r="9924" spans="1:24">
      <c r="A9924">
        <f>HYPERLINK("https://www.philgeps.gov.ph/GEPSNONPILOT/Tender/SplashBidNoticeAbstractUI.aspx?menuIndex=3&amp;refID=7138926&amp;Result=3","7138926")</f>
        <v>0</v>
      </c>
      <c r="B9924" t="s">
        <v>3092</v>
      </c>
      <c r="C9924" t="s">
        <v>13178</v>
      </c>
      <c r="D9924" t="s">
        <v>17953</v>
      </c>
      <c r="E9924" t="s">
        <v>26637</v>
      </c>
      <c r="F9924" t="s">
        <v>30900</v>
      </c>
      <c r="G9924" t="s">
        <v>30907</v>
      </c>
      <c r="H9924" t="s">
        <v>30916</v>
      </c>
      <c r="I9924" t="s">
        <v>6396</v>
      </c>
      <c r="J9924" t="s">
        <v>37246</v>
      </c>
      <c r="K9924" t="s">
        <v>40281</v>
      </c>
      <c r="M9924" t="s">
        <v>43904</v>
      </c>
      <c r="N9924" t="s">
        <v>44759</v>
      </c>
      <c r="O9924" t="s">
        <v>44760</v>
      </c>
      <c r="P9924">
        <v>0</v>
      </c>
      <c r="Q9924">
        <v>2</v>
      </c>
      <c r="R9924" t="s">
        <v>44769</v>
      </c>
      <c r="S9924" t="s">
        <v>45044</v>
      </c>
      <c r="T9924" t="s">
        <v>46405</v>
      </c>
      <c r="U9924" t="s">
        <v>55181</v>
      </c>
      <c r="V9924" t="s">
        <v>60201</v>
      </c>
      <c r="W9924" t="s">
        <v>43904</v>
      </c>
      <c r="X9924" t="s">
        <v>44770</v>
      </c>
    </row>
    <row r="9925" spans="1:24">
      <c r="A9925">
        <f>HYPERLINK("https://www.philgeps.gov.ph/GEPSNONPILOT/Tender/SplashBidNoticeAbstractUI.aspx?menuIndex=3&amp;refID=7138912&amp;Result=3","7138912")</f>
        <v>0</v>
      </c>
      <c r="B9925" t="s">
        <v>2549</v>
      </c>
      <c r="C9925" t="s">
        <v>11006</v>
      </c>
      <c r="D9925" t="s">
        <v>18003</v>
      </c>
      <c r="E9925" t="s">
        <v>26638</v>
      </c>
      <c r="F9925" t="s">
        <v>30900</v>
      </c>
      <c r="G9925" t="s">
        <v>30907</v>
      </c>
      <c r="H9925" t="s">
        <v>30915</v>
      </c>
      <c r="I9925" t="s">
        <v>30948</v>
      </c>
      <c r="J9925" t="s">
        <v>31105</v>
      </c>
      <c r="K9925" t="s">
        <v>40292</v>
      </c>
      <c r="M9925" t="s">
        <v>43306</v>
      </c>
      <c r="N9925" t="s">
        <v>44759</v>
      </c>
      <c r="O9925" t="s">
        <v>44760</v>
      </c>
      <c r="P9925">
        <v>0</v>
      </c>
      <c r="Q9925">
        <v>1</v>
      </c>
      <c r="R9925" t="s">
        <v>44769</v>
      </c>
      <c r="S9925" t="s">
        <v>45044</v>
      </c>
      <c r="T9925" t="s">
        <v>46760</v>
      </c>
      <c r="U9925" t="s">
        <v>55182</v>
      </c>
      <c r="W9925" t="s">
        <v>43306</v>
      </c>
      <c r="X9925" t="s">
        <v>44770</v>
      </c>
    </row>
    <row r="9926" spans="1:24">
      <c r="A9926">
        <f>HYPERLINK("https://www.philgeps.gov.ph/GEPSNONPILOT/Tender/SplashBidNoticeAbstractUI.aspx?menuIndex=3&amp;refID=7138930&amp;Result=3","7138930")</f>
        <v>0</v>
      </c>
      <c r="B9926" t="s">
        <v>3091</v>
      </c>
      <c r="C9926" t="s">
        <v>13179</v>
      </c>
      <c r="E9926" t="s">
        <v>26639</v>
      </c>
      <c r="F9926" t="s">
        <v>30900</v>
      </c>
      <c r="G9926" t="s">
        <v>30907</v>
      </c>
      <c r="H9926" t="s">
        <v>30916</v>
      </c>
      <c r="I9926" t="s">
        <v>4545</v>
      </c>
      <c r="J9926" t="s">
        <v>32161</v>
      </c>
      <c r="K9926" t="s">
        <v>40289</v>
      </c>
      <c r="M9926" t="s">
        <v>43903</v>
      </c>
      <c r="N9926" t="s">
        <v>44759</v>
      </c>
      <c r="O9926" t="s">
        <v>44760</v>
      </c>
      <c r="P9926">
        <v>0</v>
      </c>
      <c r="Q9926">
        <v>2</v>
      </c>
      <c r="R9926" t="s">
        <v>44769</v>
      </c>
      <c r="S9926" t="s">
        <v>45044</v>
      </c>
      <c r="T9926" t="s">
        <v>46472</v>
      </c>
      <c r="U9926" t="s">
        <v>55180</v>
      </c>
      <c r="W9926" t="s">
        <v>43903</v>
      </c>
      <c r="X9926" t="s">
        <v>44770</v>
      </c>
    </row>
    <row r="9927" spans="1:24">
      <c r="A9927">
        <f>HYPERLINK("https://www.philgeps.gov.ph/GEPSNONPILOT/Tender/SplashBidNoticeAbstractUI.aspx?menuIndex=3&amp;refID=7138910&amp;Result=3","7138910")</f>
        <v>0</v>
      </c>
      <c r="B9927" t="s">
        <v>2549</v>
      </c>
      <c r="C9927" t="s">
        <v>11006</v>
      </c>
      <c r="D9927" t="s">
        <v>18003</v>
      </c>
      <c r="E9927" t="s">
        <v>26640</v>
      </c>
      <c r="F9927" t="s">
        <v>30900</v>
      </c>
      <c r="G9927" t="s">
        <v>30907</v>
      </c>
      <c r="H9927" t="s">
        <v>30915</v>
      </c>
      <c r="I9927" t="s">
        <v>30948</v>
      </c>
      <c r="J9927" t="s">
        <v>31066</v>
      </c>
      <c r="K9927" t="s">
        <v>40295</v>
      </c>
      <c r="M9927" t="s">
        <v>43306</v>
      </c>
      <c r="N9927" t="s">
        <v>44759</v>
      </c>
      <c r="O9927" t="s">
        <v>44760</v>
      </c>
      <c r="P9927">
        <v>0</v>
      </c>
      <c r="Q9927">
        <v>1</v>
      </c>
      <c r="R9927" t="s">
        <v>44769</v>
      </c>
      <c r="S9927" t="s">
        <v>45044</v>
      </c>
      <c r="T9927" t="s">
        <v>46760</v>
      </c>
      <c r="U9927" t="s">
        <v>55183</v>
      </c>
      <c r="W9927" t="s">
        <v>43306</v>
      </c>
      <c r="X9927" t="s">
        <v>44770</v>
      </c>
    </row>
    <row r="9928" spans="1:24">
      <c r="A9928">
        <f>HYPERLINK("https://www.philgeps.gov.ph/GEPSNONPILOT/Tender/SplashBidNoticeAbstractUI.aspx?menuIndex=3&amp;refID=7138907&amp;Result=3","7138907")</f>
        <v>0</v>
      </c>
      <c r="B9928" t="s">
        <v>2549</v>
      </c>
      <c r="C9928" t="s">
        <v>11006</v>
      </c>
      <c r="D9928" t="s">
        <v>18003</v>
      </c>
      <c r="E9928" t="s">
        <v>26641</v>
      </c>
      <c r="F9928" t="s">
        <v>30900</v>
      </c>
      <c r="G9928" t="s">
        <v>30907</v>
      </c>
      <c r="H9928" t="s">
        <v>30915</v>
      </c>
      <c r="I9928" t="s">
        <v>30948</v>
      </c>
      <c r="J9928" t="s">
        <v>31066</v>
      </c>
      <c r="K9928" t="s">
        <v>40292</v>
      </c>
      <c r="M9928" t="s">
        <v>43306</v>
      </c>
      <c r="N9928" t="s">
        <v>44759</v>
      </c>
      <c r="O9928" t="s">
        <v>44760</v>
      </c>
      <c r="P9928">
        <v>0</v>
      </c>
      <c r="Q9928">
        <v>2</v>
      </c>
      <c r="R9928" t="s">
        <v>44769</v>
      </c>
      <c r="S9928" t="s">
        <v>45044</v>
      </c>
      <c r="T9928" t="s">
        <v>46760</v>
      </c>
      <c r="U9928" t="s">
        <v>55184</v>
      </c>
      <c r="W9928" t="s">
        <v>43306</v>
      </c>
      <c r="X9928" t="s">
        <v>44770</v>
      </c>
    </row>
    <row r="9929" spans="1:24">
      <c r="A9929">
        <f>HYPERLINK("https://www.philgeps.gov.ph/GEPSNONPILOT/Tender/SplashBidNoticeAbstractUI.aspx?menuIndex=3&amp;refID=7138898&amp;Result=3","7138898")</f>
        <v>0</v>
      </c>
      <c r="B9929" t="s">
        <v>3093</v>
      </c>
      <c r="C9929" t="s">
        <v>13180</v>
      </c>
      <c r="D9929" t="s">
        <v>18009</v>
      </c>
      <c r="E9929" t="s">
        <v>26642</v>
      </c>
      <c r="F9929" t="s">
        <v>30900</v>
      </c>
      <c r="G9929" t="s">
        <v>30908</v>
      </c>
      <c r="H9929" t="s">
        <v>30916</v>
      </c>
      <c r="I9929" t="s">
        <v>8123</v>
      </c>
      <c r="J9929" t="s">
        <v>37247</v>
      </c>
      <c r="K9929" t="s">
        <v>40285</v>
      </c>
      <c r="M9929" t="s">
        <v>43905</v>
      </c>
      <c r="N9929" t="s">
        <v>44759</v>
      </c>
      <c r="O9929" t="s">
        <v>44760</v>
      </c>
      <c r="P9929">
        <v>0</v>
      </c>
      <c r="Q9929">
        <v>0</v>
      </c>
      <c r="R9929" t="s">
        <v>44769</v>
      </c>
      <c r="S9929" t="s">
        <v>45044</v>
      </c>
      <c r="T9929" t="s">
        <v>46410</v>
      </c>
      <c r="U9929" t="s">
        <v>55185</v>
      </c>
      <c r="W9929" t="s">
        <v>60914</v>
      </c>
      <c r="X9929" t="s">
        <v>44770</v>
      </c>
    </row>
    <row r="9930" spans="1:24">
      <c r="A9930">
        <f>HYPERLINK("https://www.philgeps.gov.ph/GEPSNONPILOT/Tender/SplashBidNoticeAbstractUI.aspx?menuIndex=3&amp;refID=7115752&amp;Result=3","7115752")</f>
        <v>0</v>
      </c>
      <c r="B9930" t="s">
        <v>926</v>
      </c>
      <c r="C9930" t="s">
        <v>13181</v>
      </c>
      <c r="D9930" t="s">
        <v>17999</v>
      </c>
      <c r="E9930" t="s">
        <v>26643</v>
      </c>
      <c r="F9930" t="s">
        <v>30900</v>
      </c>
      <c r="G9930" t="s">
        <v>30907</v>
      </c>
      <c r="H9930" t="s">
        <v>30915</v>
      </c>
      <c r="I9930" t="s">
        <v>30919</v>
      </c>
      <c r="J9930" t="s">
        <v>32967</v>
      </c>
      <c r="K9930" t="s">
        <v>40430</v>
      </c>
      <c r="M9930" t="s">
        <v>41506</v>
      </c>
      <c r="N9930" t="s">
        <v>44759</v>
      </c>
      <c r="O9930" t="s">
        <v>44760</v>
      </c>
      <c r="P9930">
        <v>0</v>
      </c>
      <c r="Q9930">
        <v>4</v>
      </c>
      <c r="R9930" t="s">
        <v>44770</v>
      </c>
      <c r="S9930" t="s">
        <v>45105</v>
      </c>
      <c r="T9930" t="s">
        <v>46515</v>
      </c>
      <c r="U9930" t="s">
        <v>48623</v>
      </c>
      <c r="W9930" t="s">
        <v>41506</v>
      </c>
      <c r="X9930" t="s">
        <v>44781</v>
      </c>
    </row>
    <row r="9931" spans="1:24">
      <c r="A9931">
        <f>HYPERLINK("https://www.philgeps.gov.ph/GEPSNONPILOT/Tender/SplashBidNoticeAbstractUI.aspx?menuIndex=3&amp;refID=7138919&amp;Result=3","7138919")</f>
        <v>0</v>
      </c>
      <c r="B9931" t="s">
        <v>3091</v>
      </c>
      <c r="C9931" t="s">
        <v>13182</v>
      </c>
      <c r="E9931" t="s">
        <v>26644</v>
      </c>
      <c r="F9931" t="s">
        <v>30900</v>
      </c>
      <c r="G9931" t="s">
        <v>30907</v>
      </c>
      <c r="H9931" t="s">
        <v>30916</v>
      </c>
      <c r="I9931" t="s">
        <v>5830</v>
      </c>
      <c r="J9931" t="s">
        <v>37248</v>
      </c>
      <c r="K9931" t="s">
        <v>40289</v>
      </c>
      <c r="M9931" t="s">
        <v>43903</v>
      </c>
      <c r="N9931" t="s">
        <v>44759</v>
      </c>
      <c r="O9931" t="s">
        <v>44760</v>
      </c>
      <c r="P9931">
        <v>0</v>
      </c>
      <c r="Q9931">
        <v>1</v>
      </c>
      <c r="R9931" t="s">
        <v>44769</v>
      </c>
      <c r="S9931" t="s">
        <v>45044</v>
      </c>
      <c r="T9931" t="s">
        <v>46472</v>
      </c>
      <c r="U9931" t="s">
        <v>50643</v>
      </c>
      <c r="W9931" t="s">
        <v>43903</v>
      </c>
      <c r="X9931" t="s">
        <v>44770</v>
      </c>
    </row>
    <row r="9932" spans="1:24">
      <c r="A9932">
        <f>HYPERLINK("https://www.philgeps.gov.ph/GEPSNONPILOT/Tender/SplashBidNoticeAbstractUI.aspx?menuIndex=3&amp;refID=7138902&amp;Result=3","7138902")</f>
        <v>0</v>
      </c>
      <c r="B9932" t="s">
        <v>3085</v>
      </c>
      <c r="C9932" t="s">
        <v>13183</v>
      </c>
      <c r="D9932" t="s">
        <v>18002</v>
      </c>
      <c r="E9932" t="s">
        <v>26645</v>
      </c>
      <c r="F9932" t="s">
        <v>30900</v>
      </c>
      <c r="G9932" t="s">
        <v>30907</v>
      </c>
      <c r="H9932" t="s">
        <v>30915</v>
      </c>
      <c r="I9932" t="s">
        <v>30919</v>
      </c>
      <c r="J9932" t="s">
        <v>37249</v>
      </c>
      <c r="K9932" t="s">
        <v>40289</v>
      </c>
      <c r="M9932" t="s">
        <v>43897</v>
      </c>
      <c r="N9932" t="s">
        <v>44759</v>
      </c>
      <c r="O9932" t="s">
        <v>44760</v>
      </c>
      <c r="P9932">
        <v>0</v>
      </c>
      <c r="Q9932">
        <v>4</v>
      </c>
      <c r="R9932" t="s">
        <v>44769</v>
      </c>
      <c r="S9932" t="s">
        <v>45044</v>
      </c>
      <c r="T9932" t="s">
        <v>46370</v>
      </c>
      <c r="U9932" t="s">
        <v>55186</v>
      </c>
      <c r="W9932" t="s">
        <v>43897</v>
      </c>
      <c r="X9932" t="s">
        <v>44770</v>
      </c>
    </row>
    <row r="9933" spans="1:24">
      <c r="A9933">
        <f>HYPERLINK("https://www.philgeps.gov.ph/GEPSNONPILOT/Tender/SplashBidNoticeAbstractUI.aspx?menuIndex=3&amp;refID=7138905&amp;Result=3","7138905")</f>
        <v>0</v>
      </c>
      <c r="B9933" t="s">
        <v>3085</v>
      </c>
      <c r="C9933" t="s">
        <v>13184</v>
      </c>
      <c r="D9933" t="s">
        <v>18002</v>
      </c>
      <c r="E9933" t="s">
        <v>26646</v>
      </c>
      <c r="F9933" t="s">
        <v>30900</v>
      </c>
      <c r="G9933" t="s">
        <v>30907</v>
      </c>
      <c r="H9933" t="s">
        <v>30915</v>
      </c>
      <c r="I9933" t="s">
        <v>30919</v>
      </c>
      <c r="J9933" t="s">
        <v>37250</v>
      </c>
      <c r="K9933" t="s">
        <v>40289</v>
      </c>
      <c r="M9933" t="s">
        <v>43897</v>
      </c>
      <c r="N9933" t="s">
        <v>44759</v>
      </c>
      <c r="O9933" t="s">
        <v>44760</v>
      </c>
      <c r="P9933">
        <v>0</v>
      </c>
      <c r="Q9933">
        <v>4</v>
      </c>
      <c r="R9933" t="s">
        <v>44769</v>
      </c>
      <c r="S9933" t="s">
        <v>45044</v>
      </c>
      <c r="T9933" t="s">
        <v>46370</v>
      </c>
      <c r="U9933" t="s">
        <v>55187</v>
      </c>
      <c r="W9933" t="s">
        <v>43897</v>
      </c>
      <c r="X9933" t="s">
        <v>44770</v>
      </c>
    </row>
    <row r="9934" spans="1:24">
      <c r="A9934">
        <f>HYPERLINK("https://www.philgeps.gov.ph/GEPSNONPILOT/Tender/SplashBidNoticeAbstractUI.aspx?menuIndex=3&amp;refID=7138848&amp;Result=3","7138848")</f>
        <v>0</v>
      </c>
      <c r="B9934" t="s">
        <v>2944</v>
      </c>
      <c r="C9934" t="s">
        <v>13185</v>
      </c>
      <c r="D9934" t="s">
        <v>17971</v>
      </c>
      <c r="E9934" t="s">
        <v>26647</v>
      </c>
      <c r="F9934" t="s">
        <v>30900</v>
      </c>
      <c r="G9934" t="s">
        <v>30907</v>
      </c>
      <c r="H9934" t="s">
        <v>30915</v>
      </c>
      <c r="I9934" t="s">
        <v>30919</v>
      </c>
      <c r="J9934" t="s">
        <v>32276</v>
      </c>
      <c r="K9934" t="s">
        <v>40482</v>
      </c>
      <c r="M9934" t="s">
        <v>43741</v>
      </c>
      <c r="N9934" t="s">
        <v>44759</v>
      </c>
      <c r="O9934" t="s">
        <v>44760</v>
      </c>
      <c r="P9934">
        <v>0</v>
      </c>
      <c r="Q9934">
        <v>23</v>
      </c>
      <c r="R9934" t="s">
        <v>44769</v>
      </c>
      <c r="S9934" t="s">
        <v>45044</v>
      </c>
      <c r="T9934" t="s">
        <v>46606</v>
      </c>
      <c r="U9934" t="s">
        <v>55188</v>
      </c>
      <c r="W9934" t="s">
        <v>43741</v>
      </c>
      <c r="X9934" t="s">
        <v>44770</v>
      </c>
    </row>
    <row r="9935" spans="1:24">
      <c r="A9935">
        <f>HYPERLINK("https://www.philgeps.gov.ph/GEPSNONPILOT/Tender/SplashBidNoticeAbstractUI.aspx?menuIndex=3&amp;refID=7138933&amp;Result=3","7138933")</f>
        <v>0</v>
      </c>
      <c r="B9935" t="s">
        <v>3091</v>
      </c>
      <c r="C9935" t="s">
        <v>13186</v>
      </c>
      <c r="E9935" t="s">
        <v>26417</v>
      </c>
      <c r="F9935" t="s">
        <v>30900</v>
      </c>
      <c r="G9935" t="s">
        <v>30907</v>
      </c>
      <c r="H9935" t="s">
        <v>30916</v>
      </c>
      <c r="I9935" t="s">
        <v>30934</v>
      </c>
      <c r="J9935" t="s">
        <v>33325</v>
      </c>
      <c r="K9935" t="s">
        <v>40289</v>
      </c>
      <c r="M9935" t="s">
        <v>43903</v>
      </c>
      <c r="N9935" t="s">
        <v>44759</v>
      </c>
      <c r="O9935" t="s">
        <v>44760</v>
      </c>
      <c r="P9935">
        <v>0</v>
      </c>
      <c r="Q9935">
        <v>0</v>
      </c>
      <c r="R9935" t="s">
        <v>44769</v>
      </c>
      <c r="S9935" t="s">
        <v>45044</v>
      </c>
      <c r="T9935" t="s">
        <v>46472</v>
      </c>
      <c r="U9935" t="s">
        <v>55180</v>
      </c>
      <c r="W9935" t="s">
        <v>43903</v>
      </c>
      <c r="X9935" t="s">
        <v>44770</v>
      </c>
    </row>
    <row r="9936" spans="1:24">
      <c r="A9936">
        <f>HYPERLINK("https://www.philgeps.gov.ph/GEPSNONPILOT/Tender/SplashBidNoticeAbstractUI.aspx?menuIndex=3&amp;refID=7138891&amp;Result=3","7138891")</f>
        <v>0</v>
      </c>
      <c r="B9936" t="s">
        <v>3085</v>
      </c>
      <c r="C9936" t="s">
        <v>13187</v>
      </c>
      <c r="D9936" t="s">
        <v>18002</v>
      </c>
      <c r="E9936" t="s">
        <v>26648</v>
      </c>
      <c r="F9936" t="s">
        <v>30900</v>
      </c>
      <c r="G9936" t="s">
        <v>30907</v>
      </c>
      <c r="H9936" t="s">
        <v>30915</v>
      </c>
      <c r="I9936" t="s">
        <v>30919</v>
      </c>
      <c r="J9936" t="s">
        <v>37251</v>
      </c>
      <c r="K9936" t="s">
        <v>40289</v>
      </c>
      <c r="M9936" t="s">
        <v>43897</v>
      </c>
      <c r="N9936" t="s">
        <v>44759</v>
      </c>
      <c r="O9936" t="s">
        <v>44760</v>
      </c>
      <c r="P9936">
        <v>0</v>
      </c>
      <c r="Q9936">
        <v>3</v>
      </c>
      <c r="R9936" t="s">
        <v>44769</v>
      </c>
      <c r="S9936" t="s">
        <v>45044</v>
      </c>
      <c r="T9936" t="s">
        <v>46370</v>
      </c>
      <c r="U9936" t="s">
        <v>55189</v>
      </c>
      <c r="W9936" t="s">
        <v>43897</v>
      </c>
      <c r="X9936" t="s">
        <v>44770</v>
      </c>
    </row>
    <row r="9937" spans="1:24">
      <c r="A9937">
        <f>HYPERLINK("https://www.philgeps.gov.ph/GEPSNONPILOT/Tender/SplashBidNoticeAbstractUI.aspx?menuIndex=3&amp;refID=7138844&amp;Result=3","7138844")</f>
        <v>0</v>
      </c>
      <c r="B9937" t="s">
        <v>2549</v>
      </c>
      <c r="C9937" t="s">
        <v>11006</v>
      </c>
      <c r="D9937" t="s">
        <v>18003</v>
      </c>
      <c r="E9937" t="s">
        <v>26649</v>
      </c>
      <c r="F9937" t="s">
        <v>30900</v>
      </c>
      <c r="G9937" t="s">
        <v>30907</v>
      </c>
      <c r="H9937" t="s">
        <v>30915</v>
      </c>
      <c r="I9937" t="s">
        <v>30948</v>
      </c>
      <c r="J9937" t="s">
        <v>31101</v>
      </c>
      <c r="K9937" t="s">
        <v>40293</v>
      </c>
      <c r="M9937" t="s">
        <v>43306</v>
      </c>
      <c r="N9937" t="s">
        <v>44759</v>
      </c>
      <c r="O9937" t="s">
        <v>44760</v>
      </c>
      <c r="P9937">
        <v>0</v>
      </c>
      <c r="Q9937">
        <v>1</v>
      </c>
      <c r="R9937" t="s">
        <v>44769</v>
      </c>
      <c r="S9937" t="s">
        <v>45044</v>
      </c>
      <c r="T9937" t="s">
        <v>46760</v>
      </c>
      <c r="U9937" t="s">
        <v>55190</v>
      </c>
      <c r="W9937" t="s">
        <v>43306</v>
      </c>
      <c r="X9937" t="s">
        <v>44770</v>
      </c>
    </row>
    <row r="9938" spans="1:24">
      <c r="A9938">
        <f>HYPERLINK("https://www.philgeps.gov.ph/GEPSNONPILOT/Tender/SplashBidNoticeAbstractUI.aspx?menuIndex=3&amp;refID=7125652&amp;Result=3","7125652")</f>
        <v>0</v>
      </c>
      <c r="B9938" t="s">
        <v>1169</v>
      </c>
      <c r="C9938" t="s">
        <v>13188</v>
      </c>
      <c r="D9938" t="s">
        <v>17965</v>
      </c>
      <c r="E9938" t="s">
        <v>26650</v>
      </c>
      <c r="F9938" t="s">
        <v>30900</v>
      </c>
      <c r="G9938" t="s">
        <v>30907</v>
      </c>
      <c r="H9938" t="s">
        <v>30915</v>
      </c>
      <c r="I9938" t="s">
        <v>30919</v>
      </c>
      <c r="J9938" t="s">
        <v>37252</v>
      </c>
      <c r="K9938" t="s">
        <v>40304</v>
      </c>
      <c r="M9938" t="s">
        <v>41776</v>
      </c>
      <c r="N9938" t="s">
        <v>44759</v>
      </c>
      <c r="O9938" t="s">
        <v>44760</v>
      </c>
      <c r="P9938">
        <v>0</v>
      </c>
      <c r="Q9938">
        <v>0</v>
      </c>
      <c r="R9938" t="s">
        <v>44770</v>
      </c>
      <c r="S9938" t="s">
        <v>45105</v>
      </c>
      <c r="T9938" t="s">
        <v>46488</v>
      </c>
      <c r="U9938" t="s">
        <v>55191</v>
      </c>
      <c r="V9938" t="s">
        <v>60202</v>
      </c>
      <c r="W9938" t="s">
        <v>41776</v>
      </c>
      <c r="X9938" t="s">
        <v>44776</v>
      </c>
    </row>
    <row r="9939" spans="1:24">
      <c r="A9939">
        <f>HYPERLINK("https://www.philgeps.gov.ph/GEPSNONPILOT/Tender/SplashBidNoticeAbstractUI.aspx?menuIndex=3&amp;refID=7138850&amp;Result=3","7138850")</f>
        <v>0</v>
      </c>
      <c r="B9939" t="s">
        <v>2103</v>
      </c>
      <c r="C9939" t="s">
        <v>13189</v>
      </c>
      <c r="D9939" t="s">
        <v>17992</v>
      </c>
      <c r="E9939" t="s">
        <v>26651</v>
      </c>
      <c r="F9939" t="s">
        <v>30900</v>
      </c>
      <c r="G9939" t="s">
        <v>30907</v>
      </c>
      <c r="H9939" t="s">
        <v>30915</v>
      </c>
      <c r="I9939" t="s">
        <v>30919</v>
      </c>
      <c r="J9939" t="s">
        <v>31243</v>
      </c>
      <c r="K9939" t="s">
        <v>40308</v>
      </c>
      <c r="M9939" t="s">
        <v>42802</v>
      </c>
      <c r="N9939" t="s">
        <v>44759</v>
      </c>
      <c r="O9939" t="s">
        <v>44760</v>
      </c>
      <c r="P9939">
        <v>0</v>
      </c>
      <c r="Q9939">
        <v>0</v>
      </c>
      <c r="R9939" t="s">
        <v>44769</v>
      </c>
      <c r="S9939" t="s">
        <v>45044</v>
      </c>
      <c r="T9939" t="s">
        <v>46411</v>
      </c>
      <c r="U9939" t="s">
        <v>55192</v>
      </c>
      <c r="W9939" t="s">
        <v>42802</v>
      </c>
      <c r="X9939" t="s">
        <v>44770</v>
      </c>
    </row>
    <row r="9940" spans="1:24">
      <c r="A9940">
        <f>HYPERLINK("https://www.philgeps.gov.ph/GEPSNONPILOT/Tender/SplashBidNoticeAbstractUI.aspx?menuIndex=3&amp;refID=7125227&amp;Result=3","7125227")</f>
        <v>0</v>
      </c>
      <c r="B9940" t="s">
        <v>3094</v>
      </c>
      <c r="C9940" t="s">
        <v>13190</v>
      </c>
      <c r="D9940" t="s">
        <v>18004</v>
      </c>
      <c r="E9940" t="s">
        <v>26652</v>
      </c>
      <c r="F9940" t="s">
        <v>30900</v>
      </c>
      <c r="G9940" t="s">
        <v>30907</v>
      </c>
      <c r="H9940" t="s">
        <v>30916</v>
      </c>
      <c r="I9940" t="s">
        <v>30918</v>
      </c>
      <c r="J9940" t="s">
        <v>32454</v>
      </c>
      <c r="K9940" t="s">
        <v>40286</v>
      </c>
      <c r="M9940" t="s">
        <v>43906</v>
      </c>
      <c r="N9940" t="s">
        <v>44759</v>
      </c>
      <c r="O9940" t="s">
        <v>44760</v>
      </c>
      <c r="P9940">
        <v>0</v>
      </c>
      <c r="Q9940">
        <v>6</v>
      </c>
      <c r="R9940" t="s">
        <v>44770</v>
      </c>
      <c r="S9940" t="s">
        <v>45105</v>
      </c>
      <c r="T9940" t="s">
        <v>46503</v>
      </c>
      <c r="U9940" t="s">
        <v>55193</v>
      </c>
      <c r="W9940" t="s">
        <v>43906</v>
      </c>
      <c r="X9940" t="s">
        <v>44776</v>
      </c>
    </row>
    <row r="9941" spans="1:24">
      <c r="A9941">
        <f>HYPERLINK("https://www.philgeps.gov.ph/GEPSNONPILOT/Tender/SplashBidNoticeAbstractUI.aspx?menuIndex=3&amp;refID=7124516&amp;Result=3","7124516")</f>
        <v>0</v>
      </c>
      <c r="B9941" t="s">
        <v>3095</v>
      </c>
      <c r="C9941" t="s">
        <v>13191</v>
      </c>
      <c r="E9941" t="s">
        <v>26653</v>
      </c>
      <c r="F9941" t="s">
        <v>30900</v>
      </c>
      <c r="G9941" t="s">
        <v>30907</v>
      </c>
      <c r="H9941" t="s">
        <v>30916</v>
      </c>
      <c r="I9941" t="s">
        <v>30974</v>
      </c>
      <c r="J9941" t="s">
        <v>37253</v>
      </c>
      <c r="K9941" t="s">
        <v>40289</v>
      </c>
      <c r="M9941" t="s">
        <v>43907</v>
      </c>
      <c r="N9941" t="s">
        <v>44759</v>
      </c>
      <c r="O9941" t="s">
        <v>44760</v>
      </c>
      <c r="P9941">
        <v>0</v>
      </c>
      <c r="Q9941">
        <v>6</v>
      </c>
      <c r="R9941" t="s">
        <v>44770</v>
      </c>
      <c r="S9941" t="s">
        <v>45105</v>
      </c>
      <c r="T9941" t="s">
        <v>46606</v>
      </c>
      <c r="U9941" t="s">
        <v>55194</v>
      </c>
      <c r="V9941" t="s">
        <v>60203</v>
      </c>
      <c r="W9941" t="s">
        <v>43907</v>
      </c>
      <c r="X9941" t="s">
        <v>44776</v>
      </c>
    </row>
    <row r="9942" spans="1:24">
      <c r="A9942">
        <f>HYPERLINK("https://www.philgeps.gov.ph/GEPSNONPILOT/Tender/SplashBidNoticeAbstractUI.aspx?menuIndex=3&amp;refID=7138834&amp;Result=3","7138834")</f>
        <v>0</v>
      </c>
      <c r="B9942" t="s">
        <v>1967</v>
      </c>
      <c r="C9942" t="s">
        <v>13192</v>
      </c>
      <c r="D9942" t="s">
        <v>17988</v>
      </c>
      <c r="E9942" t="s">
        <v>26654</v>
      </c>
      <c r="F9942" t="s">
        <v>30900</v>
      </c>
      <c r="G9942" t="s">
        <v>30907</v>
      </c>
      <c r="H9942" t="s">
        <v>30915</v>
      </c>
      <c r="I9942" t="s">
        <v>30919</v>
      </c>
      <c r="J9942" t="s">
        <v>31897</v>
      </c>
      <c r="K9942" t="s">
        <v>40289</v>
      </c>
      <c r="M9942" t="s">
        <v>42653</v>
      </c>
      <c r="N9942" t="s">
        <v>44759</v>
      </c>
      <c r="O9942" t="s">
        <v>44760</v>
      </c>
      <c r="P9942">
        <v>0</v>
      </c>
      <c r="Q9942">
        <v>0</v>
      </c>
      <c r="R9942" t="s">
        <v>44769</v>
      </c>
      <c r="S9942" t="s">
        <v>45044</v>
      </c>
      <c r="T9942" t="s">
        <v>46495</v>
      </c>
      <c r="U9942" t="s">
        <v>55148</v>
      </c>
      <c r="W9942" t="s">
        <v>42653</v>
      </c>
      <c r="X9942" t="s">
        <v>44770</v>
      </c>
    </row>
    <row r="9943" spans="1:24">
      <c r="A9943">
        <f>HYPERLINK("https://www.philgeps.gov.ph/GEPSNONPILOT/Tender/SplashBidNoticeAbstractUI.aspx?menuIndex=3&amp;refID=7123456&amp;Result=3","7123456")</f>
        <v>0</v>
      </c>
      <c r="B9943" t="s">
        <v>869</v>
      </c>
      <c r="C9943" t="s">
        <v>13193</v>
      </c>
      <c r="D9943" t="s">
        <v>17988</v>
      </c>
      <c r="E9943" t="s">
        <v>26655</v>
      </c>
      <c r="F9943" t="s">
        <v>30900</v>
      </c>
      <c r="G9943" t="s">
        <v>30907</v>
      </c>
      <c r="H9943" t="s">
        <v>30916</v>
      </c>
      <c r="I9943" t="s">
        <v>8123</v>
      </c>
      <c r="J9943" t="s">
        <v>37254</v>
      </c>
      <c r="K9943" t="s">
        <v>40283</v>
      </c>
      <c r="M9943" t="s">
        <v>41442</v>
      </c>
      <c r="N9943" t="s">
        <v>44759</v>
      </c>
      <c r="O9943" t="s">
        <v>44760</v>
      </c>
      <c r="P9943">
        <v>0</v>
      </c>
      <c r="Q9943">
        <v>0</v>
      </c>
      <c r="R9943" t="s">
        <v>44770</v>
      </c>
      <c r="S9943" t="s">
        <v>45105</v>
      </c>
      <c r="T9943" t="s">
        <v>46581</v>
      </c>
      <c r="U9943" t="s">
        <v>55195</v>
      </c>
      <c r="W9943" t="s">
        <v>41442</v>
      </c>
      <c r="X9943" t="s">
        <v>44776</v>
      </c>
    </row>
    <row r="9944" spans="1:24">
      <c r="A9944">
        <f>HYPERLINK("https://www.philgeps.gov.ph/GEPSNONPILOT/Tender/SplashBidNoticeAbstractUI.aspx?menuIndex=3&amp;refID=7125205&amp;Result=3","7125205")</f>
        <v>0</v>
      </c>
      <c r="B9944" t="s">
        <v>2777</v>
      </c>
      <c r="C9944" t="s">
        <v>13194</v>
      </c>
      <c r="D9944" t="s">
        <v>17993</v>
      </c>
      <c r="E9944" t="s">
        <v>26656</v>
      </c>
      <c r="F9944" t="s">
        <v>30900</v>
      </c>
      <c r="G9944" t="s">
        <v>30907</v>
      </c>
      <c r="H9944" t="s">
        <v>30915</v>
      </c>
      <c r="I9944" t="s">
        <v>30919</v>
      </c>
      <c r="J9944" t="s">
        <v>37255</v>
      </c>
      <c r="K9944" t="s">
        <v>40304</v>
      </c>
      <c r="M9944" t="s">
        <v>43559</v>
      </c>
      <c r="N9944" t="s">
        <v>44759</v>
      </c>
      <c r="O9944" t="s">
        <v>44760</v>
      </c>
      <c r="P9944">
        <v>0</v>
      </c>
      <c r="Q9944">
        <v>3</v>
      </c>
      <c r="R9944" t="s">
        <v>44770</v>
      </c>
      <c r="S9944" t="s">
        <v>45105</v>
      </c>
      <c r="T9944" t="s">
        <v>46544</v>
      </c>
      <c r="U9944" t="s">
        <v>55196</v>
      </c>
      <c r="W9944" t="s">
        <v>43559</v>
      </c>
      <c r="X9944" t="s">
        <v>44776</v>
      </c>
    </row>
    <row r="9945" spans="1:24">
      <c r="A9945">
        <f>HYPERLINK("https://www.philgeps.gov.ph/GEPSNONPILOT/Tender/SplashBidNoticeAbstractUI.aspx?menuIndex=3&amp;refID=7122313&amp;Result=3","7122313")</f>
        <v>0</v>
      </c>
      <c r="B9945" t="s">
        <v>523</v>
      </c>
      <c r="C9945" t="s">
        <v>13195</v>
      </c>
      <c r="D9945" t="s">
        <v>17985</v>
      </c>
      <c r="E9945" t="s">
        <v>26657</v>
      </c>
      <c r="F9945" t="s">
        <v>30900</v>
      </c>
      <c r="G9945" t="s">
        <v>30907</v>
      </c>
      <c r="H9945" t="s">
        <v>30916</v>
      </c>
      <c r="I9945" t="s">
        <v>30947</v>
      </c>
      <c r="J9945" t="s">
        <v>32666</v>
      </c>
      <c r="K9945" t="s">
        <v>40286</v>
      </c>
      <c r="M9945" t="s">
        <v>42169</v>
      </c>
      <c r="N9945" t="s">
        <v>44759</v>
      </c>
      <c r="O9945" t="s">
        <v>44760</v>
      </c>
      <c r="P9945">
        <v>0</v>
      </c>
      <c r="Q9945">
        <v>4</v>
      </c>
      <c r="R9945" t="s">
        <v>44770</v>
      </c>
      <c r="S9945" t="s">
        <v>45105</v>
      </c>
      <c r="T9945" t="s">
        <v>46411</v>
      </c>
      <c r="U9945" t="s">
        <v>55197</v>
      </c>
      <c r="W9945" t="s">
        <v>60865</v>
      </c>
      <c r="X9945" t="s">
        <v>44777</v>
      </c>
    </row>
    <row r="9946" spans="1:24">
      <c r="A9946">
        <f>HYPERLINK("https://www.philgeps.gov.ph/GEPSNONPILOT/Tender/SplashBidNoticeAbstractUI.aspx?menuIndex=3&amp;refID=7123285&amp;Result=3","7123285")</f>
        <v>0</v>
      </c>
      <c r="B9946" t="s">
        <v>869</v>
      </c>
      <c r="C9946" t="s">
        <v>13196</v>
      </c>
      <c r="D9946" t="s">
        <v>17988</v>
      </c>
      <c r="E9946" t="s">
        <v>26658</v>
      </c>
      <c r="F9946" t="s">
        <v>30900</v>
      </c>
      <c r="G9946" t="s">
        <v>30907</v>
      </c>
      <c r="H9946" t="s">
        <v>30916</v>
      </c>
      <c r="I9946" t="s">
        <v>8123</v>
      </c>
      <c r="J9946" t="s">
        <v>37256</v>
      </c>
      <c r="K9946" t="s">
        <v>40283</v>
      </c>
      <c r="M9946" t="s">
        <v>41442</v>
      </c>
      <c r="N9946" t="s">
        <v>44759</v>
      </c>
      <c r="O9946" t="s">
        <v>44760</v>
      </c>
      <c r="P9946">
        <v>0</v>
      </c>
      <c r="Q9946">
        <v>0</v>
      </c>
      <c r="R9946" t="s">
        <v>44770</v>
      </c>
      <c r="S9946" t="s">
        <v>45105</v>
      </c>
      <c r="T9946" t="s">
        <v>46581</v>
      </c>
      <c r="U9946" t="s">
        <v>55198</v>
      </c>
      <c r="W9946" t="s">
        <v>41442</v>
      </c>
      <c r="X9946" t="s">
        <v>44776</v>
      </c>
    </row>
    <row r="9947" spans="1:24">
      <c r="A9947">
        <f>HYPERLINK("https://www.philgeps.gov.ph/GEPSNONPILOT/Tender/SplashBidNoticeAbstractUI.aspx?menuIndex=3&amp;refID=7122758&amp;Result=3","7122758")</f>
        <v>0</v>
      </c>
      <c r="B9947" t="s">
        <v>3094</v>
      </c>
      <c r="C9947" t="s">
        <v>13197</v>
      </c>
      <c r="D9947" t="s">
        <v>18004</v>
      </c>
      <c r="E9947" t="s">
        <v>26659</v>
      </c>
      <c r="F9947" t="s">
        <v>30900</v>
      </c>
      <c r="G9947" t="s">
        <v>30907</v>
      </c>
      <c r="H9947" t="s">
        <v>30916</v>
      </c>
      <c r="I9947" t="s">
        <v>30961</v>
      </c>
      <c r="J9947" t="s">
        <v>37257</v>
      </c>
      <c r="K9947" t="s">
        <v>40286</v>
      </c>
      <c r="M9947" t="s">
        <v>43906</v>
      </c>
      <c r="N9947" t="s">
        <v>44759</v>
      </c>
      <c r="O9947" t="s">
        <v>44760</v>
      </c>
      <c r="P9947">
        <v>0</v>
      </c>
      <c r="Q9947">
        <v>3</v>
      </c>
      <c r="R9947" t="s">
        <v>44770</v>
      </c>
      <c r="S9947" t="s">
        <v>45105</v>
      </c>
      <c r="T9947" t="s">
        <v>46503</v>
      </c>
      <c r="U9947" t="s">
        <v>55199</v>
      </c>
      <c r="W9947" t="s">
        <v>43906</v>
      </c>
      <c r="X9947" t="s">
        <v>44777</v>
      </c>
    </row>
    <row r="9948" spans="1:24">
      <c r="A9948">
        <f>HYPERLINK("https://www.philgeps.gov.ph/GEPSNONPILOT/Tender/SplashBidNoticeAbstractUI.aspx?menuIndex=3&amp;refID=7122292&amp;Result=3","7122292")</f>
        <v>0</v>
      </c>
      <c r="B9948" t="s">
        <v>523</v>
      </c>
      <c r="C9948" t="s">
        <v>13198</v>
      </c>
      <c r="D9948" t="s">
        <v>18041</v>
      </c>
      <c r="E9948" t="s">
        <v>26660</v>
      </c>
      <c r="F9948" t="s">
        <v>30900</v>
      </c>
      <c r="G9948" t="s">
        <v>30907</v>
      </c>
      <c r="H9948" t="s">
        <v>30916</v>
      </c>
      <c r="I9948" t="s">
        <v>30947</v>
      </c>
      <c r="J9948" t="s">
        <v>32616</v>
      </c>
      <c r="K9948" t="s">
        <v>40286</v>
      </c>
      <c r="M9948" t="s">
        <v>42169</v>
      </c>
      <c r="N9948" t="s">
        <v>44759</v>
      </c>
      <c r="O9948" t="s">
        <v>44760</v>
      </c>
      <c r="P9948">
        <v>0</v>
      </c>
      <c r="Q9948">
        <v>5</v>
      </c>
      <c r="R9948" t="s">
        <v>44770</v>
      </c>
      <c r="S9948" t="s">
        <v>45105</v>
      </c>
      <c r="T9948" t="s">
        <v>46411</v>
      </c>
      <c r="U9948" t="s">
        <v>55200</v>
      </c>
      <c r="W9948" t="s">
        <v>60865</v>
      </c>
      <c r="X9948" t="s">
        <v>44777</v>
      </c>
    </row>
    <row r="9949" spans="1:24">
      <c r="A9949">
        <f>HYPERLINK("https://www.philgeps.gov.ph/GEPSNONPILOT/Tender/SplashBidNoticeAbstractUI.aspx?menuIndex=3&amp;refID=7125243&amp;Result=3","7125243")</f>
        <v>0</v>
      </c>
      <c r="B9949" t="s">
        <v>2777</v>
      </c>
      <c r="C9949" t="s">
        <v>13199</v>
      </c>
      <c r="D9949" t="s">
        <v>17993</v>
      </c>
      <c r="E9949" t="s">
        <v>26661</v>
      </c>
      <c r="F9949" t="s">
        <v>30900</v>
      </c>
      <c r="G9949" t="s">
        <v>30907</v>
      </c>
      <c r="H9949" t="s">
        <v>30915</v>
      </c>
      <c r="I9949" t="s">
        <v>30919</v>
      </c>
      <c r="J9949" t="s">
        <v>35994</v>
      </c>
      <c r="K9949" t="s">
        <v>40280</v>
      </c>
      <c r="M9949" t="s">
        <v>43559</v>
      </c>
      <c r="N9949" t="s">
        <v>44759</v>
      </c>
      <c r="O9949" t="s">
        <v>44760</v>
      </c>
      <c r="P9949">
        <v>0</v>
      </c>
      <c r="Q9949">
        <v>2</v>
      </c>
      <c r="R9949" t="s">
        <v>44770</v>
      </c>
      <c r="S9949" t="s">
        <v>45105</v>
      </c>
      <c r="T9949" t="s">
        <v>46842</v>
      </c>
      <c r="U9949" t="s">
        <v>55196</v>
      </c>
      <c r="W9949" t="s">
        <v>43559</v>
      </c>
      <c r="X9949" t="s">
        <v>44776</v>
      </c>
    </row>
    <row r="9950" spans="1:24">
      <c r="A9950">
        <f>HYPERLINK("https://www.philgeps.gov.ph/GEPSNONPILOT/Tender/SplashBidNoticeAbstractUI.aspx?menuIndex=3&amp;refID=7122262&amp;Result=3","7122262")</f>
        <v>0</v>
      </c>
      <c r="B9950" t="s">
        <v>523</v>
      </c>
      <c r="C9950" t="s">
        <v>13200</v>
      </c>
      <c r="D9950" t="s">
        <v>17985</v>
      </c>
      <c r="E9950" t="s">
        <v>26662</v>
      </c>
      <c r="F9950" t="s">
        <v>30900</v>
      </c>
      <c r="G9950" t="s">
        <v>30907</v>
      </c>
      <c r="H9950" t="s">
        <v>30916</v>
      </c>
      <c r="I9950" t="s">
        <v>30947</v>
      </c>
      <c r="J9950" t="s">
        <v>31214</v>
      </c>
      <c r="K9950" t="s">
        <v>40286</v>
      </c>
      <c r="M9950" t="s">
        <v>42169</v>
      </c>
      <c r="N9950" t="s">
        <v>44759</v>
      </c>
      <c r="O9950" t="s">
        <v>44760</v>
      </c>
      <c r="P9950">
        <v>0</v>
      </c>
      <c r="Q9950">
        <v>7</v>
      </c>
      <c r="R9950" t="s">
        <v>44770</v>
      </c>
      <c r="S9950" t="s">
        <v>45105</v>
      </c>
      <c r="T9950" t="s">
        <v>46411</v>
      </c>
      <c r="U9950" t="s">
        <v>55201</v>
      </c>
      <c r="W9950" t="s">
        <v>60865</v>
      </c>
      <c r="X9950" t="s">
        <v>44777</v>
      </c>
    </row>
    <row r="9951" spans="1:24">
      <c r="A9951">
        <f>HYPERLINK("https://www.philgeps.gov.ph/GEPSNONPILOT/Tender/SplashBidNoticeAbstractUI.aspx?menuIndex=3&amp;refID=7119326&amp;Result=3","7119326")</f>
        <v>0</v>
      </c>
      <c r="B9951" t="s">
        <v>926</v>
      </c>
      <c r="C9951" t="s">
        <v>13201</v>
      </c>
      <c r="D9951" t="s">
        <v>17999</v>
      </c>
      <c r="E9951" t="s">
        <v>26663</v>
      </c>
      <c r="F9951" t="s">
        <v>30900</v>
      </c>
      <c r="G9951" t="s">
        <v>30907</v>
      </c>
      <c r="H9951" t="s">
        <v>30915</v>
      </c>
      <c r="I9951" t="s">
        <v>30919</v>
      </c>
      <c r="J9951" t="s">
        <v>32125</v>
      </c>
      <c r="K9951" t="s">
        <v>40407</v>
      </c>
      <c r="M9951" t="s">
        <v>41506</v>
      </c>
      <c r="N9951" t="s">
        <v>44759</v>
      </c>
      <c r="O9951" t="s">
        <v>44760</v>
      </c>
      <c r="P9951">
        <v>0</v>
      </c>
      <c r="Q9951">
        <v>7</v>
      </c>
      <c r="R9951" t="s">
        <v>44770</v>
      </c>
      <c r="S9951" t="s">
        <v>45105</v>
      </c>
      <c r="T9951" t="s">
        <v>46515</v>
      </c>
      <c r="U9951" t="s">
        <v>48623</v>
      </c>
      <c r="W9951" t="s">
        <v>41506</v>
      </c>
      <c r="X9951" t="s">
        <v>44779</v>
      </c>
    </row>
    <row r="9952" spans="1:24">
      <c r="A9952">
        <f>HYPERLINK("https://www.philgeps.gov.ph/GEPSNONPILOT/Tender/SplashBidNoticeAbstractUI.aspx?menuIndex=3&amp;refID=7121735&amp;Result=3","7121735")</f>
        <v>0</v>
      </c>
      <c r="B9952" t="s">
        <v>1487</v>
      </c>
      <c r="C9952" t="s">
        <v>13202</v>
      </c>
      <c r="D9952" t="s">
        <v>18011</v>
      </c>
      <c r="E9952" t="s">
        <v>26664</v>
      </c>
      <c r="F9952" t="s">
        <v>30900</v>
      </c>
      <c r="G9952" t="s">
        <v>30907</v>
      </c>
      <c r="H9952" t="s">
        <v>30916</v>
      </c>
      <c r="I9952" t="s">
        <v>30933</v>
      </c>
      <c r="J9952" t="s">
        <v>34250</v>
      </c>
      <c r="K9952" t="s">
        <v>40293</v>
      </c>
      <c r="M9952" t="s">
        <v>42124</v>
      </c>
      <c r="N9952" t="s">
        <v>44759</v>
      </c>
      <c r="O9952" t="s">
        <v>44760</v>
      </c>
      <c r="P9952">
        <v>0</v>
      </c>
      <c r="Q9952">
        <v>3</v>
      </c>
      <c r="R9952" t="s">
        <v>44770</v>
      </c>
      <c r="S9952" t="s">
        <v>45105</v>
      </c>
      <c r="T9952" t="s">
        <v>46515</v>
      </c>
      <c r="U9952" t="s">
        <v>55202</v>
      </c>
      <c r="W9952" t="s">
        <v>42124</v>
      </c>
      <c r="X9952" t="s">
        <v>44777</v>
      </c>
    </row>
    <row r="9953" spans="1:24">
      <c r="A9953">
        <f>HYPERLINK("https://www.philgeps.gov.ph/GEPSNONPILOT/Tender/SplashBidNoticeAbstractUI.aspx?menuIndex=3&amp;refID=7121688&amp;Result=3","7121688")</f>
        <v>0</v>
      </c>
      <c r="B9953" t="s">
        <v>1487</v>
      </c>
      <c r="C9953" t="s">
        <v>13203</v>
      </c>
      <c r="D9953" t="s">
        <v>18011</v>
      </c>
      <c r="E9953" t="s">
        <v>26665</v>
      </c>
      <c r="F9953" t="s">
        <v>30900</v>
      </c>
      <c r="G9953" t="s">
        <v>30907</v>
      </c>
      <c r="H9953" t="s">
        <v>30916</v>
      </c>
      <c r="I9953" t="s">
        <v>30933</v>
      </c>
      <c r="J9953" t="s">
        <v>37258</v>
      </c>
      <c r="K9953" t="s">
        <v>40293</v>
      </c>
      <c r="M9953" t="s">
        <v>42124</v>
      </c>
      <c r="N9953" t="s">
        <v>44759</v>
      </c>
      <c r="O9953" t="s">
        <v>44760</v>
      </c>
      <c r="P9953">
        <v>0</v>
      </c>
      <c r="Q9953">
        <v>3</v>
      </c>
      <c r="R9953" t="s">
        <v>44770</v>
      </c>
      <c r="S9953" t="s">
        <v>45105</v>
      </c>
      <c r="T9953" t="s">
        <v>46515</v>
      </c>
      <c r="U9953" t="s">
        <v>55203</v>
      </c>
      <c r="W9953" t="s">
        <v>42124</v>
      </c>
      <c r="X9953" t="s">
        <v>44777</v>
      </c>
    </row>
    <row r="9954" spans="1:24">
      <c r="A9954">
        <f>HYPERLINK("https://www.philgeps.gov.ph/GEPSNONPILOT/Tender/SplashBidNoticeAbstractUI.aspx?menuIndex=3&amp;refID=7121854&amp;Result=3","7121854")</f>
        <v>0</v>
      </c>
      <c r="B9954" t="s">
        <v>3096</v>
      </c>
      <c r="C9954" t="s">
        <v>9896</v>
      </c>
      <c r="D9954" t="s">
        <v>17952</v>
      </c>
      <c r="E9954" t="s">
        <v>26666</v>
      </c>
      <c r="F9954" t="s">
        <v>30900</v>
      </c>
      <c r="G9954" t="s">
        <v>30907</v>
      </c>
      <c r="H9954" t="s">
        <v>30916</v>
      </c>
      <c r="I9954" t="s">
        <v>30970</v>
      </c>
      <c r="J9954" t="s">
        <v>32753</v>
      </c>
      <c r="K9954" t="s">
        <v>40286</v>
      </c>
      <c r="M9954" t="s">
        <v>43908</v>
      </c>
      <c r="N9954" t="s">
        <v>44759</v>
      </c>
      <c r="O9954" t="s">
        <v>44760</v>
      </c>
      <c r="P9954">
        <v>0</v>
      </c>
      <c r="Q9954">
        <v>1</v>
      </c>
      <c r="R9954" t="s">
        <v>44770</v>
      </c>
      <c r="S9954" t="s">
        <v>45105</v>
      </c>
      <c r="T9954" t="s">
        <v>46544</v>
      </c>
      <c r="U9954" t="s">
        <v>55204</v>
      </c>
      <c r="W9954" t="s">
        <v>43908</v>
      </c>
      <c r="X9954" t="s">
        <v>44777</v>
      </c>
    </row>
    <row r="9955" spans="1:24">
      <c r="A9955">
        <f>HYPERLINK("https://www.philgeps.gov.ph/GEPSNONPILOT/Tender/SplashBidNoticeAbstractUI.aspx?menuIndex=3&amp;refID=7121662&amp;Result=3","7121662")</f>
        <v>0</v>
      </c>
      <c r="B9955" t="s">
        <v>1487</v>
      </c>
      <c r="C9955" t="s">
        <v>13204</v>
      </c>
      <c r="D9955" t="s">
        <v>18011</v>
      </c>
      <c r="E9955" t="s">
        <v>26667</v>
      </c>
      <c r="F9955" t="s">
        <v>30900</v>
      </c>
      <c r="G9955" t="s">
        <v>30907</v>
      </c>
      <c r="H9955" t="s">
        <v>30915</v>
      </c>
      <c r="I9955" t="s">
        <v>30919</v>
      </c>
      <c r="J9955" t="s">
        <v>31152</v>
      </c>
      <c r="K9955" t="s">
        <v>40280</v>
      </c>
      <c r="M9955" t="s">
        <v>42124</v>
      </c>
      <c r="N9955" t="s">
        <v>44759</v>
      </c>
      <c r="O9955" t="s">
        <v>44760</v>
      </c>
      <c r="P9955">
        <v>0</v>
      </c>
      <c r="Q9955">
        <v>0</v>
      </c>
      <c r="R9955" t="s">
        <v>44770</v>
      </c>
      <c r="S9955" t="s">
        <v>45105</v>
      </c>
      <c r="T9955" t="s">
        <v>46515</v>
      </c>
      <c r="U9955" t="s">
        <v>55205</v>
      </c>
      <c r="W9955" t="s">
        <v>42124</v>
      </c>
      <c r="X9955" t="s">
        <v>44777</v>
      </c>
    </row>
    <row r="9956" spans="1:24">
      <c r="A9956">
        <f>HYPERLINK("https://www.philgeps.gov.ph/GEPSNONPILOT/Tender/SplashBidNoticeAbstractUI.aspx?menuIndex=3&amp;refID=7121022&amp;Result=3","7121022")</f>
        <v>0</v>
      </c>
      <c r="B9956" t="s">
        <v>1487</v>
      </c>
      <c r="C9956" t="s">
        <v>13205</v>
      </c>
      <c r="D9956" t="s">
        <v>18011</v>
      </c>
      <c r="E9956" t="s">
        <v>26668</v>
      </c>
      <c r="F9956" t="s">
        <v>30900</v>
      </c>
      <c r="G9956" t="s">
        <v>30907</v>
      </c>
      <c r="H9956" t="s">
        <v>30916</v>
      </c>
      <c r="I9956" t="s">
        <v>8123</v>
      </c>
      <c r="J9956" t="s">
        <v>37259</v>
      </c>
      <c r="K9956" t="s">
        <v>40291</v>
      </c>
      <c r="M9956" t="s">
        <v>42124</v>
      </c>
      <c r="N9956" t="s">
        <v>44759</v>
      </c>
      <c r="O9956" t="s">
        <v>44760</v>
      </c>
      <c r="P9956">
        <v>0</v>
      </c>
      <c r="Q9956">
        <v>1</v>
      </c>
      <c r="R9956" t="s">
        <v>44770</v>
      </c>
      <c r="S9956" t="s">
        <v>45105</v>
      </c>
      <c r="T9956" t="s">
        <v>46658</v>
      </c>
      <c r="U9956" t="s">
        <v>55206</v>
      </c>
      <c r="W9956" t="s">
        <v>42124</v>
      </c>
      <c r="X9956" t="s">
        <v>44777</v>
      </c>
    </row>
    <row r="9957" spans="1:24">
      <c r="A9957">
        <f>HYPERLINK("https://www.philgeps.gov.ph/GEPSNONPILOT/Tender/SplashBidNoticeAbstractUI.aspx?menuIndex=3&amp;refID=7138807&amp;Result=3","7138807")</f>
        <v>0</v>
      </c>
      <c r="B9957" t="s">
        <v>3083</v>
      </c>
      <c r="C9957" t="s">
        <v>13206</v>
      </c>
      <c r="D9957" t="s">
        <v>18025</v>
      </c>
      <c r="E9957" t="s">
        <v>26669</v>
      </c>
      <c r="F9957" t="s">
        <v>30900</v>
      </c>
      <c r="G9957" t="s">
        <v>30907</v>
      </c>
      <c r="H9957" t="s">
        <v>30915</v>
      </c>
      <c r="I9957" t="s">
        <v>30919</v>
      </c>
      <c r="J9957" t="s">
        <v>31297</v>
      </c>
      <c r="K9957" t="s">
        <v>40292</v>
      </c>
      <c r="M9957" t="s">
        <v>43895</v>
      </c>
      <c r="N9957" t="s">
        <v>44759</v>
      </c>
      <c r="O9957" t="s">
        <v>44760</v>
      </c>
      <c r="P9957">
        <v>0</v>
      </c>
      <c r="Q9957">
        <v>8</v>
      </c>
      <c r="R9957" t="s">
        <v>44769</v>
      </c>
      <c r="S9957" t="s">
        <v>45044</v>
      </c>
      <c r="T9957" t="s">
        <v>46544</v>
      </c>
      <c r="U9957" t="s">
        <v>55207</v>
      </c>
      <c r="W9957" t="s">
        <v>43895</v>
      </c>
      <c r="X9957" t="s">
        <v>44770</v>
      </c>
    </row>
    <row r="9958" spans="1:24">
      <c r="A9958">
        <f>HYPERLINK("https://www.philgeps.gov.ph/GEPSNONPILOT/Tender/SplashBidNoticeAbstractUI.aspx?menuIndex=3&amp;refID=7138783&amp;Result=3","7138783")</f>
        <v>0</v>
      </c>
      <c r="B9958" t="s">
        <v>2141</v>
      </c>
      <c r="C9958" t="s">
        <v>13207</v>
      </c>
      <c r="D9958" t="s">
        <v>17959</v>
      </c>
      <c r="E9958" t="s">
        <v>26670</v>
      </c>
      <c r="F9958" t="s">
        <v>30900</v>
      </c>
      <c r="G9958" t="s">
        <v>30907</v>
      </c>
      <c r="H9958" t="s">
        <v>30916</v>
      </c>
      <c r="I9958" t="s">
        <v>30947</v>
      </c>
      <c r="J9958" t="s">
        <v>37260</v>
      </c>
      <c r="K9958" t="s">
        <v>40283</v>
      </c>
      <c r="M9958" t="s">
        <v>43823</v>
      </c>
      <c r="N9958" t="s">
        <v>44759</v>
      </c>
      <c r="O9958" t="s">
        <v>44760</v>
      </c>
      <c r="P9958">
        <v>0</v>
      </c>
      <c r="Q9958">
        <v>6</v>
      </c>
      <c r="R9958" t="s">
        <v>44769</v>
      </c>
      <c r="S9958" t="s">
        <v>45044</v>
      </c>
      <c r="T9958" t="s">
        <v>46606</v>
      </c>
      <c r="U9958" t="s">
        <v>55208</v>
      </c>
      <c r="W9958" t="s">
        <v>43823</v>
      </c>
      <c r="X9958" t="s">
        <v>44770</v>
      </c>
    </row>
    <row r="9959" spans="1:24">
      <c r="A9959">
        <f>HYPERLINK("https://www.philgeps.gov.ph/GEPSNONPILOT/Tender/SplashBidNoticeAbstractUI.aspx?menuIndex=3&amp;refID=7119332&amp;Result=3","7119332")</f>
        <v>0</v>
      </c>
      <c r="B9959" t="s">
        <v>926</v>
      </c>
      <c r="C9959" t="s">
        <v>13208</v>
      </c>
      <c r="D9959" t="s">
        <v>17999</v>
      </c>
      <c r="E9959" t="s">
        <v>26671</v>
      </c>
      <c r="F9959" t="s">
        <v>30900</v>
      </c>
      <c r="G9959" t="s">
        <v>30907</v>
      </c>
      <c r="H9959" t="s">
        <v>30915</v>
      </c>
      <c r="I9959" t="s">
        <v>30919</v>
      </c>
      <c r="J9959" t="s">
        <v>37261</v>
      </c>
      <c r="K9959" t="s">
        <v>40446</v>
      </c>
      <c r="M9959" t="s">
        <v>41506</v>
      </c>
      <c r="N9959" t="s">
        <v>44759</v>
      </c>
      <c r="O9959" t="s">
        <v>44760</v>
      </c>
      <c r="P9959">
        <v>0</v>
      </c>
      <c r="Q9959">
        <v>5</v>
      </c>
      <c r="R9959" t="s">
        <v>44770</v>
      </c>
      <c r="S9959" t="s">
        <v>45105</v>
      </c>
      <c r="T9959" t="s">
        <v>46515</v>
      </c>
      <c r="U9959" t="s">
        <v>48623</v>
      </c>
      <c r="W9959" t="s">
        <v>41506</v>
      </c>
      <c r="X9959" t="s">
        <v>44779</v>
      </c>
    </row>
    <row r="9960" spans="1:24">
      <c r="A9960">
        <f>HYPERLINK("https://www.philgeps.gov.ph/GEPSNONPILOT/Tender/SplashBidNoticeAbstractUI.aspx?menuIndex=3&amp;refID=7121623&amp;Result=3","7121623")</f>
        <v>0</v>
      </c>
      <c r="B9960" t="s">
        <v>1487</v>
      </c>
      <c r="C9960" t="s">
        <v>13209</v>
      </c>
      <c r="D9960" t="s">
        <v>18011</v>
      </c>
      <c r="E9960" t="s">
        <v>26672</v>
      </c>
      <c r="F9960" t="s">
        <v>30900</v>
      </c>
      <c r="G9960" t="s">
        <v>30907</v>
      </c>
      <c r="H9960" t="s">
        <v>30916</v>
      </c>
      <c r="I9960" t="s">
        <v>8123</v>
      </c>
      <c r="J9960" t="s">
        <v>37262</v>
      </c>
      <c r="K9960" t="s">
        <v>40314</v>
      </c>
      <c r="M9960" t="s">
        <v>42124</v>
      </c>
      <c r="N9960" t="s">
        <v>44759</v>
      </c>
      <c r="O9960" t="s">
        <v>44760</v>
      </c>
      <c r="P9960">
        <v>0</v>
      </c>
      <c r="Q9960">
        <v>1</v>
      </c>
      <c r="R9960" t="s">
        <v>44770</v>
      </c>
      <c r="S9960" t="s">
        <v>45105</v>
      </c>
      <c r="T9960" t="s">
        <v>46515</v>
      </c>
      <c r="U9960" t="s">
        <v>55209</v>
      </c>
      <c r="W9960" t="s">
        <v>42124</v>
      </c>
      <c r="X9960" t="s">
        <v>44777</v>
      </c>
    </row>
    <row r="9961" spans="1:24">
      <c r="A9961">
        <f>HYPERLINK("https://www.philgeps.gov.ph/GEPSNONPILOT/Tender/SplashBidNoticeAbstractUI.aspx?menuIndex=3&amp;refID=7138780&amp;Result=3","7138780")</f>
        <v>0</v>
      </c>
      <c r="B9961" t="s">
        <v>2880</v>
      </c>
      <c r="C9961" t="s">
        <v>13210</v>
      </c>
      <c r="D9961" t="s">
        <v>17966</v>
      </c>
      <c r="E9961" t="s">
        <v>26673</v>
      </c>
      <c r="F9961" t="s">
        <v>30900</v>
      </c>
      <c r="G9961" t="s">
        <v>30907</v>
      </c>
      <c r="H9961" t="s">
        <v>30916</v>
      </c>
      <c r="I9961" t="s">
        <v>4108</v>
      </c>
      <c r="J9961" t="s">
        <v>37263</v>
      </c>
      <c r="K9961" t="s">
        <v>40286</v>
      </c>
      <c r="M9961" t="s">
        <v>43672</v>
      </c>
      <c r="N9961" t="s">
        <v>44759</v>
      </c>
      <c r="O9961" t="s">
        <v>44760</v>
      </c>
      <c r="P9961">
        <v>0</v>
      </c>
      <c r="Q9961">
        <v>1</v>
      </c>
      <c r="R9961" t="s">
        <v>44769</v>
      </c>
      <c r="S9961" t="s">
        <v>45044</v>
      </c>
      <c r="T9961" t="s">
        <v>46625</v>
      </c>
      <c r="U9961" t="s">
        <v>55210</v>
      </c>
      <c r="V9961" t="s">
        <v>60204</v>
      </c>
      <c r="W9961" t="s">
        <v>43672</v>
      </c>
      <c r="X9961" t="s">
        <v>44770</v>
      </c>
    </row>
    <row r="9962" spans="1:24">
      <c r="A9962">
        <f>HYPERLINK("https://www.philgeps.gov.ph/GEPSNONPILOT/Tender/SplashBidNoticeAbstractUI.aspx?menuIndex=3&amp;refID=7138778&amp;Result=3","7138778")</f>
        <v>0</v>
      </c>
      <c r="B9962" t="s">
        <v>443</v>
      </c>
      <c r="C9962" t="s">
        <v>13211</v>
      </c>
      <c r="D9962" t="s">
        <v>17984</v>
      </c>
      <c r="E9962" t="s">
        <v>23982</v>
      </c>
      <c r="F9962" t="s">
        <v>30900</v>
      </c>
      <c r="G9962" t="s">
        <v>30907</v>
      </c>
      <c r="H9962" t="s">
        <v>30916</v>
      </c>
      <c r="I9962" t="s">
        <v>30936</v>
      </c>
      <c r="J9962" t="s">
        <v>32537</v>
      </c>
      <c r="K9962" t="s">
        <v>40287</v>
      </c>
      <c r="L9962" t="s">
        <v>443</v>
      </c>
      <c r="M9962" t="s">
        <v>41000</v>
      </c>
      <c r="N9962" t="s">
        <v>44759</v>
      </c>
      <c r="O9962" t="s">
        <v>44760</v>
      </c>
      <c r="P9962">
        <v>0</v>
      </c>
      <c r="Q9962">
        <v>0</v>
      </c>
      <c r="R9962" t="s">
        <v>44769</v>
      </c>
      <c r="S9962" t="s">
        <v>45044</v>
      </c>
      <c r="T9962" t="s">
        <v>46808</v>
      </c>
      <c r="U9962" t="s">
        <v>55211</v>
      </c>
      <c r="W9962" t="s">
        <v>41000</v>
      </c>
      <c r="X9962" t="s">
        <v>44770</v>
      </c>
    </row>
    <row r="9963" spans="1:24">
      <c r="A9963">
        <f>HYPERLINK("https://www.philgeps.gov.ph/GEPSNONPILOT/Tender/SplashBidNoticeAbstractUI.aspx?menuIndex=3&amp;refID=7138773&amp;Result=3","7138773")</f>
        <v>0</v>
      </c>
      <c r="B9963" t="s">
        <v>2060</v>
      </c>
      <c r="C9963" t="s">
        <v>11821</v>
      </c>
      <c r="D9963" t="s">
        <v>17986</v>
      </c>
      <c r="E9963" t="s">
        <v>26674</v>
      </c>
      <c r="F9963" t="s">
        <v>30900</v>
      </c>
      <c r="G9963" t="s">
        <v>30907</v>
      </c>
      <c r="H9963" t="s">
        <v>30916</v>
      </c>
      <c r="I9963" t="s">
        <v>8123</v>
      </c>
      <c r="J9963" t="s">
        <v>37264</v>
      </c>
      <c r="K9963" t="s">
        <v>40287</v>
      </c>
      <c r="M9963" t="s">
        <v>42759</v>
      </c>
      <c r="N9963" t="s">
        <v>44759</v>
      </c>
      <c r="O9963" t="s">
        <v>44760</v>
      </c>
      <c r="P9963">
        <v>0</v>
      </c>
      <c r="Q9963">
        <v>0</v>
      </c>
      <c r="R9963" t="s">
        <v>44769</v>
      </c>
      <c r="S9963" t="s">
        <v>45044</v>
      </c>
      <c r="T9963" t="s">
        <v>46411</v>
      </c>
      <c r="U9963" t="s">
        <v>55212</v>
      </c>
      <c r="W9963" t="s">
        <v>42759</v>
      </c>
      <c r="X9963" t="s">
        <v>44770</v>
      </c>
    </row>
    <row r="9964" spans="1:24">
      <c r="A9964">
        <f>HYPERLINK("https://www.philgeps.gov.ph/GEPSNONPILOT/Tender/SplashBidNoticeAbstractUI.aspx?menuIndex=3&amp;refID=7129922&amp;Result=3","7129922")</f>
        <v>0</v>
      </c>
      <c r="B9964" t="s">
        <v>2913</v>
      </c>
      <c r="C9964" t="s">
        <v>13212</v>
      </c>
      <c r="D9964" t="s">
        <v>18021</v>
      </c>
      <c r="E9964" t="s">
        <v>26675</v>
      </c>
      <c r="F9964" t="s">
        <v>30900</v>
      </c>
      <c r="G9964" t="s">
        <v>30907</v>
      </c>
      <c r="H9964" t="s">
        <v>30915</v>
      </c>
      <c r="I9964" t="s">
        <v>30919</v>
      </c>
      <c r="J9964" t="s">
        <v>37265</v>
      </c>
      <c r="K9964" t="s">
        <v>40392</v>
      </c>
      <c r="M9964" t="s">
        <v>43708</v>
      </c>
      <c r="N9964" t="s">
        <v>44759</v>
      </c>
      <c r="O9964" t="s">
        <v>44760</v>
      </c>
      <c r="P9964">
        <v>0</v>
      </c>
      <c r="Q9964">
        <v>2</v>
      </c>
      <c r="R9964" t="s">
        <v>44769</v>
      </c>
      <c r="S9964" t="s">
        <v>45044</v>
      </c>
      <c r="T9964" t="s">
        <v>46495</v>
      </c>
      <c r="U9964" t="s">
        <v>55213</v>
      </c>
      <c r="W9964" t="s">
        <v>43708</v>
      </c>
      <c r="X9964" t="s">
        <v>44774</v>
      </c>
    </row>
    <row r="9965" spans="1:24">
      <c r="A9965">
        <f>HYPERLINK("https://www.philgeps.gov.ph/GEPSNONPILOT/Tender/SplashBidNoticeAbstractUI.aspx?menuIndex=3&amp;refID=7120075&amp;Result=3","7120075")</f>
        <v>0</v>
      </c>
      <c r="B9965" t="s">
        <v>3097</v>
      </c>
      <c r="C9965" t="s">
        <v>13213</v>
      </c>
      <c r="D9965" t="s">
        <v>18014</v>
      </c>
      <c r="E9965" t="s">
        <v>18935</v>
      </c>
      <c r="F9965" t="s">
        <v>30900</v>
      </c>
      <c r="G9965" t="s">
        <v>30907</v>
      </c>
      <c r="H9965" t="s">
        <v>30915</v>
      </c>
      <c r="I9965" t="s">
        <v>30919</v>
      </c>
      <c r="J9965" t="s">
        <v>37266</v>
      </c>
      <c r="K9965" t="s">
        <v>40283</v>
      </c>
      <c r="M9965" t="s">
        <v>43909</v>
      </c>
      <c r="N9965" t="s">
        <v>44759</v>
      </c>
      <c r="O9965" t="s">
        <v>44760</v>
      </c>
      <c r="P9965">
        <v>0</v>
      </c>
      <c r="Q9965">
        <v>0</v>
      </c>
      <c r="R9965" t="s">
        <v>44770</v>
      </c>
      <c r="S9965" t="s">
        <v>45105</v>
      </c>
      <c r="T9965" t="s">
        <v>46376</v>
      </c>
      <c r="U9965" t="s">
        <v>55214</v>
      </c>
      <c r="W9965" t="s">
        <v>43909</v>
      </c>
      <c r="X9965" t="s">
        <v>44777</v>
      </c>
    </row>
    <row r="9966" spans="1:24">
      <c r="A9966">
        <f>HYPERLINK("https://www.philgeps.gov.ph/GEPSNONPILOT/Tender/SplashBidNoticeAbstractUI.aspx?menuIndex=3&amp;refID=7129847&amp;Result=3","7129847")</f>
        <v>0</v>
      </c>
      <c r="B9966" t="s">
        <v>2913</v>
      </c>
      <c r="C9966" t="s">
        <v>13214</v>
      </c>
      <c r="D9966" t="s">
        <v>18021</v>
      </c>
      <c r="E9966" t="s">
        <v>26676</v>
      </c>
      <c r="F9966" t="s">
        <v>30900</v>
      </c>
      <c r="G9966" t="s">
        <v>30907</v>
      </c>
      <c r="H9966" t="s">
        <v>30915</v>
      </c>
      <c r="I9966" t="s">
        <v>30919</v>
      </c>
      <c r="J9966" t="s">
        <v>37267</v>
      </c>
      <c r="K9966" t="s">
        <v>40365</v>
      </c>
      <c r="M9966" t="s">
        <v>43708</v>
      </c>
      <c r="N9966" t="s">
        <v>44759</v>
      </c>
      <c r="O9966" t="s">
        <v>44760</v>
      </c>
      <c r="P9966">
        <v>0</v>
      </c>
      <c r="Q9966">
        <v>0</v>
      </c>
      <c r="R9966" t="s">
        <v>44769</v>
      </c>
      <c r="S9966" t="s">
        <v>45044</v>
      </c>
      <c r="T9966" t="s">
        <v>46495</v>
      </c>
      <c r="U9966" t="s">
        <v>55215</v>
      </c>
      <c r="W9966" t="s">
        <v>43708</v>
      </c>
      <c r="X9966" t="s">
        <v>44774</v>
      </c>
    </row>
    <row r="9967" spans="1:24">
      <c r="A9967">
        <f>HYPERLINK("https://www.philgeps.gov.ph/GEPSNONPILOT/Tender/SplashBidNoticeAbstractUI.aspx?menuIndex=3&amp;refID=7138846&amp;Result=3","7138846")</f>
        <v>0</v>
      </c>
      <c r="B9967" t="s">
        <v>3083</v>
      </c>
      <c r="C9967" t="s">
        <v>13215</v>
      </c>
      <c r="D9967" t="s">
        <v>18025</v>
      </c>
      <c r="E9967" t="s">
        <v>26677</v>
      </c>
      <c r="F9967" t="s">
        <v>30900</v>
      </c>
      <c r="G9967" t="s">
        <v>30907</v>
      </c>
      <c r="H9967" t="s">
        <v>30915</v>
      </c>
      <c r="I9967" t="s">
        <v>30919</v>
      </c>
      <c r="J9967" t="s">
        <v>31066</v>
      </c>
      <c r="K9967" t="s">
        <v>40293</v>
      </c>
      <c r="M9967" t="s">
        <v>43895</v>
      </c>
      <c r="N9967" t="s">
        <v>44759</v>
      </c>
      <c r="O9967" t="s">
        <v>44760</v>
      </c>
      <c r="P9967">
        <v>0</v>
      </c>
      <c r="Q9967">
        <v>3</v>
      </c>
      <c r="R9967" t="s">
        <v>44769</v>
      </c>
      <c r="S9967" t="s">
        <v>45044</v>
      </c>
      <c r="T9967" t="s">
        <v>46544</v>
      </c>
      <c r="U9967" t="s">
        <v>55216</v>
      </c>
      <c r="W9967" t="s">
        <v>43895</v>
      </c>
      <c r="X9967" t="s">
        <v>44770</v>
      </c>
    </row>
    <row r="9968" spans="1:24">
      <c r="A9968">
        <f>HYPERLINK("https://www.philgeps.gov.ph/GEPSNONPILOT/Tender/SplashBidNoticeAbstractUI.aspx?menuIndex=3&amp;refID=7129806&amp;Result=3","7129806")</f>
        <v>0</v>
      </c>
      <c r="B9968" t="s">
        <v>2913</v>
      </c>
      <c r="C9968" t="s">
        <v>13216</v>
      </c>
      <c r="D9968" t="s">
        <v>18021</v>
      </c>
      <c r="E9968" t="s">
        <v>26678</v>
      </c>
      <c r="F9968" t="s">
        <v>30900</v>
      </c>
      <c r="G9968" t="s">
        <v>30907</v>
      </c>
      <c r="H9968" t="s">
        <v>30915</v>
      </c>
      <c r="I9968" t="s">
        <v>30919</v>
      </c>
      <c r="J9968" t="s">
        <v>37268</v>
      </c>
      <c r="K9968" t="s">
        <v>40328</v>
      </c>
      <c r="M9968" t="s">
        <v>43708</v>
      </c>
      <c r="N9968" t="s">
        <v>44759</v>
      </c>
      <c r="O9968" t="s">
        <v>44760</v>
      </c>
      <c r="P9968">
        <v>0</v>
      </c>
      <c r="Q9968">
        <v>2</v>
      </c>
      <c r="R9968" t="s">
        <v>44769</v>
      </c>
      <c r="S9968" t="s">
        <v>45044</v>
      </c>
      <c r="T9968" t="s">
        <v>46495</v>
      </c>
      <c r="U9968" t="s">
        <v>55217</v>
      </c>
      <c r="W9968" t="s">
        <v>43708</v>
      </c>
      <c r="X9968" t="s">
        <v>44774</v>
      </c>
    </row>
    <row r="9969" spans="1:24">
      <c r="A9969">
        <f>HYPERLINK("https://www.philgeps.gov.ph/GEPSNONPILOT/Tender/SplashBidNoticeAbstractUI.aspx?menuIndex=3&amp;refID=7129864&amp;Result=3","7129864")</f>
        <v>0</v>
      </c>
      <c r="B9969" t="s">
        <v>2913</v>
      </c>
      <c r="C9969" t="s">
        <v>13217</v>
      </c>
      <c r="D9969" t="s">
        <v>18021</v>
      </c>
      <c r="E9969" t="s">
        <v>26679</v>
      </c>
      <c r="F9969" t="s">
        <v>30900</v>
      </c>
      <c r="G9969" t="s">
        <v>30907</v>
      </c>
      <c r="H9969" t="s">
        <v>30915</v>
      </c>
      <c r="I9969" t="s">
        <v>30919</v>
      </c>
      <c r="J9969" t="s">
        <v>37269</v>
      </c>
      <c r="K9969" t="s">
        <v>40392</v>
      </c>
      <c r="M9969" t="s">
        <v>43708</v>
      </c>
      <c r="N9969" t="s">
        <v>44759</v>
      </c>
      <c r="O9969" t="s">
        <v>44760</v>
      </c>
      <c r="P9969">
        <v>0</v>
      </c>
      <c r="Q9969">
        <v>1</v>
      </c>
      <c r="R9969" t="s">
        <v>44769</v>
      </c>
      <c r="S9969" t="s">
        <v>45044</v>
      </c>
      <c r="T9969" t="s">
        <v>46495</v>
      </c>
      <c r="U9969" t="s">
        <v>55213</v>
      </c>
      <c r="W9969" t="s">
        <v>43708</v>
      </c>
      <c r="X9969" t="s">
        <v>44774</v>
      </c>
    </row>
    <row r="9970" spans="1:24">
      <c r="A9970">
        <f>HYPERLINK("https://www.philgeps.gov.ph/GEPSNONPILOT/Tender/SplashBidNoticeAbstractUI.aspx?menuIndex=3&amp;refID=7138897&amp;Result=3","7138897")</f>
        <v>0</v>
      </c>
      <c r="B9970" t="s">
        <v>2549</v>
      </c>
      <c r="C9970" t="s">
        <v>11006</v>
      </c>
      <c r="D9970" t="s">
        <v>18003</v>
      </c>
      <c r="E9970" t="s">
        <v>26680</v>
      </c>
      <c r="F9970" t="s">
        <v>30900</v>
      </c>
      <c r="G9970" t="s">
        <v>30907</v>
      </c>
      <c r="H9970" t="s">
        <v>30915</v>
      </c>
      <c r="I9970" t="s">
        <v>30948</v>
      </c>
      <c r="J9970" t="s">
        <v>31105</v>
      </c>
      <c r="K9970" t="s">
        <v>40295</v>
      </c>
      <c r="M9970" t="s">
        <v>43306</v>
      </c>
      <c r="N9970" t="s">
        <v>44759</v>
      </c>
      <c r="O9970" t="s">
        <v>44760</v>
      </c>
      <c r="P9970">
        <v>0</v>
      </c>
      <c r="Q9970">
        <v>1</v>
      </c>
      <c r="R9970" t="s">
        <v>44769</v>
      </c>
      <c r="S9970" t="s">
        <v>45044</v>
      </c>
      <c r="T9970" t="s">
        <v>46760</v>
      </c>
      <c r="U9970" t="s">
        <v>55218</v>
      </c>
      <c r="W9970" t="s">
        <v>43306</v>
      </c>
      <c r="X9970" t="s">
        <v>44770</v>
      </c>
    </row>
    <row r="9971" spans="1:24">
      <c r="A9971">
        <f>HYPERLINK("https://www.philgeps.gov.ph/GEPSNONPILOT/Tender/SplashBidNoticeAbstractUI.aspx?menuIndex=3&amp;refID=7127682&amp;Result=3","7127682")</f>
        <v>0</v>
      </c>
      <c r="B9971" t="s">
        <v>3098</v>
      </c>
      <c r="C9971" t="s">
        <v>13218</v>
      </c>
      <c r="D9971" t="s">
        <v>17964</v>
      </c>
      <c r="E9971" t="s">
        <v>18282</v>
      </c>
      <c r="F9971" t="s">
        <v>30900</v>
      </c>
      <c r="G9971" t="s">
        <v>30907</v>
      </c>
      <c r="H9971" t="s">
        <v>30916</v>
      </c>
      <c r="I9971" t="s">
        <v>8123</v>
      </c>
      <c r="J9971" t="s">
        <v>37270</v>
      </c>
      <c r="K9971" t="s">
        <v>40283</v>
      </c>
      <c r="M9971" t="s">
        <v>43910</v>
      </c>
      <c r="N9971" t="s">
        <v>44759</v>
      </c>
      <c r="O9971" t="s">
        <v>44760</v>
      </c>
      <c r="P9971">
        <v>0</v>
      </c>
      <c r="Q9971">
        <v>1</v>
      </c>
      <c r="R9971" t="s">
        <v>44770</v>
      </c>
      <c r="S9971" t="s">
        <v>45105</v>
      </c>
      <c r="T9971" t="s">
        <v>46511</v>
      </c>
      <c r="U9971" t="s">
        <v>55219</v>
      </c>
      <c r="V9971" t="s">
        <v>60142</v>
      </c>
      <c r="W9971" t="s">
        <v>43910</v>
      </c>
      <c r="X9971" t="s">
        <v>44775</v>
      </c>
    </row>
    <row r="9972" spans="1:24">
      <c r="A9972">
        <f>HYPERLINK("https://www.philgeps.gov.ph/GEPSNONPILOT/Tender/SplashBidNoticeAbstractUI.aspx?menuIndex=3&amp;refID=7125997&amp;Result=3","7125997")</f>
        <v>0</v>
      </c>
      <c r="B9972" t="s">
        <v>3099</v>
      </c>
      <c r="C9972" t="s">
        <v>13219</v>
      </c>
      <c r="D9972" t="s">
        <v>17971</v>
      </c>
      <c r="E9972" t="s">
        <v>26681</v>
      </c>
      <c r="F9972" t="s">
        <v>30900</v>
      </c>
      <c r="G9972" t="s">
        <v>30907</v>
      </c>
      <c r="H9972" t="s">
        <v>7411</v>
      </c>
      <c r="I9972" t="s">
        <v>7411</v>
      </c>
      <c r="J9972" t="s">
        <v>37271</v>
      </c>
      <c r="K9972" t="s">
        <v>40292</v>
      </c>
      <c r="M9972" t="s">
        <v>43911</v>
      </c>
      <c r="N9972" t="s">
        <v>44759</v>
      </c>
      <c r="O9972" t="s">
        <v>44760</v>
      </c>
      <c r="P9972">
        <v>0</v>
      </c>
      <c r="Q9972">
        <v>5</v>
      </c>
      <c r="R9972" t="s">
        <v>44770</v>
      </c>
      <c r="S9972" t="s">
        <v>45105</v>
      </c>
      <c r="T9972" t="s">
        <v>46377</v>
      </c>
      <c r="U9972" t="s">
        <v>55220</v>
      </c>
      <c r="V9972" t="s">
        <v>60205</v>
      </c>
      <c r="W9972" t="s">
        <v>60915</v>
      </c>
      <c r="X9972" t="s">
        <v>44776</v>
      </c>
    </row>
    <row r="9973" spans="1:24">
      <c r="A9973">
        <f>HYPERLINK("https://www.philgeps.gov.ph/GEPSNONPILOT/Tender/SplashBidNoticeAbstractUI.aspx?menuIndex=3&amp;refID=7127558&amp;Result=3","7127558")</f>
        <v>0</v>
      </c>
      <c r="B9973" t="s">
        <v>3100</v>
      </c>
      <c r="C9973" t="s">
        <v>13220</v>
      </c>
      <c r="D9973" t="s">
        <v>17985</v>
      </c>
      <c r="E9973" t="s">
        <v>26682</v>
      </c>
      <c r="F9973" t="s">
        <v>30900</v>
      </c>
      <c r="G9973" t="s">
        <v>30907</v>
      </c>
      <c r="H9973" t="s">
        <v>30915</v>
      </c>
      <c r="I9973" t="s">
        <v>30919</v>
      </c>
      <c r="J9973" t="s">
        <v>33081</v>
      </c>
      <c r="K9973" t="s">
        <v>40395</v>
      </c>
      <c r="M9973" t="s">
        <v>43912</v>
      </c>
      <c r="N9973" t="s">
        <v>44759</v>
      </c>
      <c r="O9973" t="s">
        <v>44760</v>
      </c>
      <c r="P9973">
        <v>0</v>
      </c>
      <c r="Q9973">
        <v>2</v>
      </c>
      <c r="R9973" t="s">
        <v>44770</v>
      </c>
      <c r="S9973" t="s">
        <v>45105</v>
      </c>
      <c r="T9973" t="s">
        <v>46428</v>
      </c>
      <c r="U9973" t="s">
        <v>55221</v>
      </c>
      <c r="W9973" t="s">
        <v>43912</v>
      </c>
      <c r="X9973" t="s">
        <v>44775</v>
      </c>
    </row>
    <row r="9974" spans="1:24">
      <c r="A9974">
        <f>HYPERLINK("https://www.philgeps.gov.ph/GEPSNONPILOT/Tender/SplashBidNoticeAbstractUI.aspx?menuIndex=3&amp;refID=7127766&amp;Result=3","7127766")</f>
        <v>0</v>
      </c>
      <c r="B9974" t="s">
        <v>886</v>
      </c>
      <c r="C9974" t="s">
        <v>13221</v>
      </c>
      <c r="D9974" t="s">
        <v>17972</v>
      </c>
      <c r="E9974" t="s">
        <v>26683</v>
      </c>
      <c r="F9974" t="s">
        <v>30900</v>
      </c>
      <c r="G9974" t="s">
        <v>30907</v>
      </c>
      <c r="H9974" t="s">
        <v>30915</v>
      </c>
      <c r="I9974" t="s">
        <v>30919</v>
      </c>
      <c r="J9974" t="s">
        <v>37272</v>
      </c>
      <c r="K9974" t="s">
        <v>40297</v>
      </c>
      <c r="M9974" t="s">
        <v>41459</v>
      </c>
      <c r="N9974" t="s">
        <v>44759</v>
      </c>
      <c r="O9974" t="s">
        <v>44760</v>
      </c>
      <c r="Q9974">
        <v>0</v>
      </c>
      <c r="R9974" t="s">
        <v>44770</v>
      </c>
      <c r="S9974" t="s">
        <v>45106</v>
      </c>
      <c r="T9974" t="s">
        <v>46707</v>
      </c>
      <c r="U9974" t="s">
        <v>55222</v>
      </c>
      <c r="W9974" t="s">
        <v>41459</v>
      </c>
      <c r="X9974" t="s">
        <v>44775</v>
      </c>
    </row>
    <row r="9975" spans="1:24">
      <c r="A9975">
        <f>HYPERLINK("https://www.philgeps.gov.ph/GEPSNONPILOT/Tender/SplashBidNoticeAbstractUI.aspx?menuIndex=3&amp;refID=7127556&amp;Result=3","7127556")</f>
        <v>0</v>
      </c>
      <c r="B9975" t="s">
        <v>886</v>
      </c>
      <c r="C9975" t="s">
        <v>13222</v>
      </c>
      <c r="D9975" t="s">
        <v>17972</v>
      </c>
      <c r="E9975" t="s">
        <v>26684</v>
      </c>
      <c r="F9975" t="s">
        <v>30900</v>
      </c>
      <c r="G9975" t="s">
        <v>30907</v>
      </c>
      <c r="H9975" t="s">
        <v>30915</v>
      </c>
      <c r="I9975" t="s">
        <v>30919</v>
      </c>
      <c r="J9975" t="s">
        <v>37273</v>
      </c>
      <c r="K9975" t="s">
        <v>40308</v>
      </c>
      <c r="M9975" t="s">
        <v>41459</v>
      </c>
      <c r="N9975" t="s">
        <v>44759</v>
      </c>
      <c r="O9975" t="s">
        <v>44760</v>
      </c>
      <c r="Q9975">
        <v>0</v>
      </c>
      <c r="R9975" t="s">
        <v>44770</v>
      </c>
      <c r="S9975" t="s">
        <v>45107</v>
      </c>
      <c r="T9975" t="s">
        <v>46707</v>
      </c>
      <c r="U9975" t="s">
        <v>55223</v>
      </c>
      <c r="W9975" t="s">
        <v>41459</v>
      </c>
      <c r="X9975" t="s">
        <v>44775</v>
      </c>
    </row>
    <row r="9976" spans="1:24">
      <c r="A9976">
        <f>HYPERLINK("https://www.philgeps.gov.ph/GEPSNONPILOT/Tender/SplashBidNoticeAbstractUI.aspx?menuIndex=3&amp;refID=7127358&amp;Result=3","7127358")</f>
        <v>0</v>
      </c>
      <c r="B9976" t="s">
        <v>886</v>
      </c>
      <c r="C9976" t="s">
        <v>13223</v>
      </c>
      <c r="D9976" t="s">
        <v>17972</v>
      </c>
      <c r="E9976" t="s">
        <v>26685</v>
      </c>
      <c r="F9976" t="s">
        <v>30900</v>
      </c>
      <c r="G9976" t="s">
        <v>30907</v>
      </c>
      <c r="H9976" t="s">
        <v>30915</v>
      </c>
      <c r="I9976" t="s">
        <v>30919</v>
      </c>
      <c r="J9976" t="s">
        <v>37274</v>
      </c>
      <c r="K9976" t="s">
        <v>40421</v>
      </c>
      <c r="M9976" t="s">
        <v>41459</v>
      </c>
      <c r="N9976" t="s">
        <v>44759</v>
      </c>
      <c r="O9976" t="s">
        <v>44760</v>
      </c>
      <c r="Q9976">
        <v>0</v>
      </c>
      <c r="R9976" t="s">
        <v>44770</v>
      </c>
      <c r="S9976" t="s">
        <v>45108</v>
      </c>
      <c r="T9976" t="s">
        <v>46707</v>
      </c>
      <c r="U9976" t="s">
        <v>55224</v>
      </c>
      <c r="W9976" t="s">
        <v>41459</v>
      </c>
      <c r="X9976" t="s">
        <v>44775</v>
      </c>
    </row>
    <row r="9977" spans="1:24">
      <c r="A9977">
        <f>HYPERLINK("https://www.philgeps.gov.ph/GEPSNONPILOT/Tender/SplashBidNoticeAbstractUI.aspx?menuIndex=3&amp;refID=7138793&amp;Result=3","7138793")</f>
        <v>0</v>
      </c>
      <c r="B9977" t="s">
        <v>443</v>
      </c>
      <c r="C9977" t="s">
        <v>13224</v>
      </c>
      <c r="D9977" t="s">
        <v>17984</v>
      </c>
      <c r="E9977" t="s">
        <v>26686</v>
      </c>
      <c r="F9977" t="s">
        <v>30900</v>
      </c>
      <c r="G9977" t="s">
        <v>30906</v>
      </c>
      <c r="H9977" t="s">
        <v>30916</v>
      </c>
      <c r="I9977" t="s">
        <v>4017</v>
      </c>
      <c r="J9977" t="s">
        <v>31096</v>
      </c>
      <c r="K9977" t="s">
        <v>40287</v>
      </c>
      <c r="L9977" t="s">
        <v>443</v>
      </c>
      <c r="M9977" t="s">
        <v>41000</v>
      </c>
      <c r="N9977" t="s">
        <v>44759</v>
      </c>
      <c r="O9977" t="s">
        <v>44760</v>
      </c>
      <c r="P9977">
        <v>0</v>
      </c>
      <c r="Q9977">
        <v>9</v>
      </c>
      <c r="R9977" t="s">
        <v>44769</v>
      </c>
      <c r="S9977" t="s">
        <v>45044</v>
      </c>
      <c r="T9977" t="s">
        <v>46771</v>
      </c>
      <c r="U9977" t="s">
        <v>55225</v>
      </c>
      <c r="W9977" t="s">
        <v>41000</v>
      </c>
      <c r="X9977" t="s">
        <v>44770</v>
      </c>
    </row>
    <row r="9978" spans="1:24">
      <c r="A9978">
        <f>HYPERLINK("https://www.philgeps.gov.ph/GEPSNONPILOT/Tender/SplashBidNoticeAbstractUI.aspx?menuIndex=3&amp;refID=7127201&amp;Result=3","7127201")</f>
        <v>0</v>
      </c>
      <c r="B9978" t="s">
        <v>886</v>
      </c>
      <c r="C9978" t="s">
        <v>13225</v>
      </c>
      <c r="D9978" t="s">
        <v>17972</v>
      </c>
      <c r="E9978" t="s">
        <v>26687</v>
      </c>
      <c r="F9978" t="s">
        <v>30900</v>
      </c>
      <c r="G9978" t="s">
        <v>30907</v>
      </c>
      <c r="H9978" t="s">
        <v>30915</v>
      </c>
      <c r="I9978" t="s">
        <v>30919</v>
      </c>
      <c r="J9978" t="s">
        <v>37275</v>
      </c>
      <c r="K9978" t="s">
        <v>40355</v>
      </c>
      <c r="M9978" t="s">
        <v>41459</v>
      </c>
      <c r="N9978" t="s">
        <v>44759</v>
      </c>
      <c r="O9978" t="s">
        <v>44760</v>
      </c>
      <c r="Q9978">
        <v>1</v>
      </c>
      <c r="R9978" t="s">
        <v>44770</v>
      </c>
      <c r="S9978" t="s">
        <v>44934</v>
      </c>
      <c r="T9978" t="s">
        <v>46707</v>
      </c>
      <c r="U9978" t="s">
        <v>55226</v>
      </c>
      <c r="W9978" t="s">
        <v>41459</v>
      </c>
      <c r="X9978" t="s">
        <v>44775</v>
      </c>
    </row>
    <row r="9979" spans="1:24">
      <c r="A9979">
        <f>HYPERLINK("https://www.philgeps.gov.ph/GEPSNONPILOT/Tender/SplashBidNoticeAbstractUI.aspx?menuIndex=3&amp;refID=7128154&amp;Result=3","7128154")</f>
        <v>0</v>
      </c>
      <c r="B9979" t="s">
        <v>886</v>
      </c>
      <c r="C9979" t="s">
        <v>13226</v>
      </c>
      <c r="D9979" t="s">
        <v>17972</v>
      </c>
      <c r="E9979" t="s">
        <v>26688</v>
      </c>
      <c r="F9979" t="s">
        <v>30900</v>
      </c>
      <c r="G9979" t="s">
        <v>30907</v>
      </c>
      <c r="H9979" t="s">
        <v>30915</v>
      </c>
      <c r="I9979" t="s">
        <v>30919</v>
      </c>
      <c r="J9979" t="s">
        <v>37276</v>
      </c>
      <c r="K9979" t="s">
        <v>40326</v>
      </c>
      <c r="M9979" t="s">
        <v>41459</v>
      </c>
      <c r="N9979" t="s">
        <v>44759</v>
      </c>
      <c r="O9979" t="s">
        <v>44760</v>
      </c>
      <c r="Q9979">
        <v>1</v>
      </c>
      <c r="R9979" t="s">
        <v>44770</v>
      </c>
      <c r="S9979" t="s">
        <v>45109</v>
      </c>
      <c r="T9979" t="s">
        <v>46707</v>
      </c>
      <c r="U9979" t="s">
        <v>55227</v>
      </c>
      <c r="W9979" t="s">
        <v>41459</v>
      </c>
      <c r="X9979" t="s">
        <v>44775</v>
      </c>
    </row>
    <row r="9980" spans="1:24">
      <c r="A9980">
        <f>HYPERLINK("https://www.philgeps.gov.ph/GEPSNONPILOT/Tender/SplashBidNoticeAbstractUI.aspx?menuIndex=3&amp;refID=7127482&amp;Result=3","7127482")</f>
        <v>0</v>
      </c>
      <c r="B9980" t="s">
        <v>3101</v>
      </c>
      <c r="C9980" t="s">
        <v>13227</v>
      </c>
      <c r="D9980" t="s">
        <v>17953</v>
      </c>
      <c r="E9980" t="s">
        <v>26689</v>
      </c>
      <c r="F9980" t="s">
        <v>30900</v>
      </c>
      <c r="G9980" t="s">
        <v>30907</v>
      </c>
      <c r="H9980" t="s">
        <v>30916</v>
      </c>
      <c r="I9980" t="s">
        <v>8123</v>
      </c>
      <c r="J9980" t="s">
        <v>37277</v>
      </c>
      <c r="K9980" t="s">
        <v>40314</v>
      </c>
      <c r="M9980" t="s">
        <v>43913</v>
      </c>
      <c r="N9980" t="s">
        <v>44759</v>
      </c>
      <c r="O9980" t="s">
        <v>44760</v>
      </c>
      <c r="P9980">
        <v>0</v>
      </c>
      <c r="Q9980">
        <v>8</v>
      </c>
      <c r="R9980" t="s">
        <v>44770</v>
      </c>
      <c r="S9980" t="s">
        <v>45105</v>
      </c>
      <c r="T9980" t="s">
        <v>46814</v>
      </c>
      <c r="U9980" t="s">
        <v>55228</v>
      </c>
      <c r="W9980" t="s">
        <v>43913</v>
      </c>
      <c r="X9980" t="s">
        <v>44775</v>
      </c>
    </row>
    <row r="9981" spans="1:24">
      <c r="A9981">
        <f>HYPERLINK("https://www.philgeps.gov.ph/GEPSNONPILOT/Tender/SplashBidNoticeAbstractUI.aspx?menuIndex=3&amp;refID=7127468&amp;Result=3","7127468")</f>
        <v>0</v>
      </c>
      <c r="B9981" t="s">
        <v>3101</v>
      </c>
      <c r="C9981" t="s">
        <v>13228</v>
      </c>
      <c r="D9981" t="s">
        <v>17953</v>
      </c>
      <c r="E9981" t="s">
        <v>26690</v>
      </c>
      <c r="F9981" t="s">
        <v>30900</v>
      </c>
      <c r="G9981" t="s">
        <v>30907</v>
      </c>
      <c r="H9981" t="s">
        <v>30916</v>
      </c>
      <c r="I9981" t="s">
        <v>8123</v>
      </c>
      <c r="J9981" t="s">
        <v>37278</v>
      </c>
      <c r="K9981" t="s">
        <v>40314</v>
      </c>
      <c r="M9981" t="s">
        <v>43913</v>
      </c>
      <c r="N9981" t="s">
        <v>44759</v>
      </c>
      <c r="O9981" t="s">
        <v>44760</v>
      </c>
      <c r="P9981">
        <v>0</v>
      </c>
      <c r="Q9981">
        <v>8</v>
      </c>
      <c r="R9981" t="s">
        <v>44770</v>
      </c>
      <c r="S9981" t="s">
        <v>45105</v>
      </c>
      <c r="T9981" t="s">
        <v>46814</v>
      </c>
      <c r="U9981" t="s">
        <v>55228</v>
      </c>
      <c r="W9981" t="s">
        <v>43913</v>
      </c>
      <c r="X9981" t="s">
        <v>44775</v>
      </c>
    </row>
    <row r="9982" spans="1:24">
      <c r="A9982">
        <f>HYPERLINK("https://www.philgeps.gov.ph/GEPSNONPILOT/Tender/SplashBidNoticeAbstractUI.aspx?menuIndex=3&amp;refID=7127941&amp;Result=3","7127941")</f>
        <v>0</v>
      </c>
      <c r="B9982" t="s">
        <v>886</v>
      </c>
      <c r="C9982" t="s">
        <v>13229</v>
      </c>
      <c r="D9982" t="s">
        <v>17972</v>
      </c>
      <c r="E9982" t="s">
        <v>26691</v>
      </c>
      <c r="F9982" t="s">
        <v>30900</v>
      </c>
      <c r="G9982" t="s">
        <v>30907</v>
      </c>
      <c r="H9982" t="s">
        <v>30915</v>
      </c>
      <c r="I9982" t="s">
        <v>30919</v>
      </c>
      <c r="J9982" t="s">
        <v>37279</v>
      </c>
      <c r="K9982" t="s">
        <v>40330</v>
      </c>
      <c r="M9982" t="s">
        <v>41459</v>
      </c>
      <c r="N9982" t="s">
        <v>44759</v>
      </c>
      <c r="O9982" t="s">
        <v>44760</v>
      </c>
      <c r="Q9982">
        <v>0</v>
      </c>
      <c r="R9982" t="s">
        <v>44770</v>
      </c>
      <c r="S9982" t="s">
        <v>45110</v>
      </c>
      <c r="T9982" t="s">
        <v>46707</v>
      </c>
      <c r="U9982" t="s">
        <v>55229</v>
      </c>
      <c r="W9982" t="s">
        <v>41459</v>
      </c>
      <c r="X9982" t="s">
        <v>44775</v>
      </c>
    </row>
    <row r="9983" spans="1:24">
      <c r="A9983">
        <f>HYPERLINK("https://www.philgeps.gov.ph/GEPSNONPILOT/Tender/SplashBidNoticeAbstractUI.aspx?menuIndex=3&amp;refID=7126947&amp;Result=3","7126947")</f>
        <v>0</v>
      </c>
      <c r="B9983" t="s">
        <v>886</v>
      </c>
      <c r="C9983" t="s">
        <v>13230</v>
      </c>
      <c r="D9983" t="s">
        <v>17972</v>
      </c>
      <c r="E9983" t="s">
        <v>26692</v>
      </c>
      <c r="F9983" t="s">
        <v>30900</v>
      </c>
      <c r="G9983" t="s">
        <v>30907</v>
      </c>
      <c r="H9983" t="s">
        <v>30915</v>
      </c>
      <c r="I9983" t="s">
        <v>30919</v>
      </c>
      <c r="J9983" t="s">
        <v>37280</v>
      </c>
      <c r="K9983" t="s">
        <v>40464</v>
      </c>
      <c r="M9983" t="s">
        <v>41459</v>
      </c>
      <c r="N9983" t="s">
        <v>44759</v>
      </c>
      <c r="O9983" t="s">
        <v>44760</v>
      </c>
      <c r="Q9983">
        <v>0</v>
      </c>
      <c r="R9983" t="s">
        <v>44770</v>
      </c>
      <c r="S9983" t="s">
        <v>45111</v>
      </c>
      <c r="T9983" t="s">
        <v>46707</v>
      </c>
      <c r="U9983" t="s">
        <v>55230</v>
      </c>
      <c r="W9983" t="s">
        <v>41459</v>
      </c>
      <c r="X9983" t="s">
        <v>44775</v>
      </c>
    </row>
    <row r="9984" spans="1:24">
      <c r="A9984">
        <f>HYPERLINK("https://www.philgeps.gov.ph/GEPSNONPILOT/Tender/SplashBidNoticeAbstractUI.aspx?menuIndex=3&amp;refID=7120073&amp;Result=3","7120073")</f>
        <v>0</v>
      </c>
      <c r="B9984" t="s">
        <v>3102</v>
      </c>
      <c r="C9984" t="s">
        <v>13231</v>
      </c>
      <c r="D9984" t="s">
        <v>18027</v>
      </c>
      <c r="E9984" t="s">
        <v>18935</v>
      </c>
      <c r="F9984" t="s">
        <v>30899</v>
      </c>
      <c r="G9984" t="s">
        <v>30907</v>
      </c>
      <c r="H9984" t="s">
        <v>30915</v>
      </c>
      <c r="I9984" t="s">
        <v>30919</v>
      </c>
      <c r="J9984" t="s">
        <v>31066</v>
      </c>
      <c r="K9984" t="s">
        <v>40291</v>
      </c>
      <c r="M9984" t="s">
        <v>43914</v>
      </c>
      <c r="N9984" t="s">
        <v>44759</v>
      </c>
      <c r="O9984" t="s">
        <v>44760</v>
      </c>
      <c r="P9984">
        <v>0</v>
      </c>
      <c r="Q9984">
        <v>0</v>
      </c>
      <c r="R9984" t="s">
        <v>44770</v>
      </c>
      <c r="S9984" t="s">
        <v>45105</v>
      </c>
      <c r="T9984" t="s">
        <v>46412</v>
      </c>
      <c r="U9984" t="s">
        <v>55231</v>
      </c>
      <c r="W9984" t="s">
        <v>43914</v>
      </c>
      <c r="X9984" t="s">
        <v>44777</v>
      </c>
    </row>
    <row r="9985" spans="1:24">
      <c r="A9985">
        <f>HYPERLINK("https://www.philgeps.gov.ph/GEPSNONPILOT/Tender/SplashBidNoticeAbstractUI.aspx?menuIndex=3&amp;refID=7126562&amp;Result=3","7126562")</f>
        <v>0</v>
      </c>
      <c r="B9985" t="s">
        <v>3103</v>
      </c>
      <c r="C9985" t="s">
        <v>13232</v>
      </c>
      <c r="D9985" t="s">
        <v>17964</v>
      </c>
      <c r="E9985" t="s">
        <v>18282</v>
      </c>
      <c r="F9985" t="s">
        <v>30900</v>
      </c>
      <c r="G9985" t="s">
        <v>30907</v>
      </c>
      <c r="H9985" t="s">
        <v>30916</v>
      </c>
      <c r="I9985" t="s">
        <v>30919</v>
      </c>
      <c r="J9985" t="s">
        <v>37281</v>
      </c>
      <c r="K9985" t="s">
        <v>40291</v>
      </c>
      <c r="M9985" t="s">
        <v>43915</v>
      </c>
      <c r="N9985" t="s">
        <v>44759</v>
      </c>
      <c r="O9985" t="s">
        <v>44760</v>
      </c>
      <c r="P9985">
        <v>0</v>
      </c>
      <c r="Q9985">
        <v>1</v>
      </c>
      <c r="R9985" t="s">
        <v>44770</v>
      </c>
      <c r="S9985" t="s">
        <v>45105</v>
      </c>
      <c r="T9985" t="s">
        <v>46511</v>
      </c>
      <c r="U9985" t="s">
        <v>55232</v>
      </c>
      <c r="V9985" t="s">
        <v>60142</v>
      </c>
      <c r="W9985" t="s">
        <v>43915</v>
      </c>
      <c r="X9985" t="s">
        <v>44775</v>
      </c>
    </row>
    <row r="9986" spans="1:24">
      <c r="A9986">
        <f>HYPERLINK("https://www.philgeps.gov.ph/GEPSNONPILOT/Tender/SplashBidNoticeAbstractUI.aspx?menuIndex=3&amp;refID=7126691&amp;Result=3","7126691")</f>
        <v>0</v>
      </c>
      <c r="B9986" t="s">
        <v>869</v>
      </c>
      <c r="C9986" t="s">
        <v>13233</v>
      </c>
      <c r="D9986" t="s">
        <v>17988</v>
      </c>
      <c r="E9986" t="s">
        <v>26693</v>
      </c>
      <c r="F9986" t="s">
        <v>30900</v>
      </c>
      <c r="G9986" t="s">
        <v>30907</v>
      </c>
      <c r="H9986" t="s">
        <v>30916</v>
      </c>
      <c r="I9986" t="s">
        <v>8123</v>
      </c>
      <c r="J9986" t="s">
        <v>37282</v>
      </c>
      <c r="K9986" t="s">
        <v>40283</v>
      </c>
      <c r="M9986" t="s">
        <v>41442</v>
      </c>
      <c r="N9986" t="s">
        <v>44759</v>
      </c>
      <c r="O9986" t="s">
        <v>44760</v>
      </c>
      <c r="P9986">
        <v>0</v>
      </c>
      <c r="Q9986">
        <v>0</v>
      </c>
      <c r="R9986" t="s">
        <v>44770</v>
      </c>
      <c r="S9986" t="s">
        <v>45105</v>
      </c>
      <c r="T9986" t="s">
        <v>46581</v>
      </c>
      <c r="U9986" t="s">
        <v>55233</v>
      </c>
      <c r="W9986" t="s">
        <v>41442</v>
      </c>
      <c r="X9986" t="s">
        <v>44775</v>
      </c>
    </row>
    <row r="9987" spans="1:24">
      <c r="A9987">
        <f>HYPERLINK("https://www.philgeps.gov.ph/GEPSNONPILOT/Tender/SplashBidNoticeAbstractUI.aspx?menuIndex=3&amp;refID=7126361&amp;Result=3","7126361")</f>
        <v>0</v>
      </c>
      <c r="B9987" t="s">
        <v>1791</v>
      </c>
      <c r="C9987" t="s">
        <v>13234</v>
      </c>
      <c r="D9987" t="s">
        <v>17966</v>
      </c>
      <c r="E9987" t="s">
        <v>26694</v>
      </c>
      <c r="F9987" t="s">
        <v>30900</v>
      </c>
      <c r="G9987" t="s">
        <v>30907</v>
      </c>
      <c r="H9987" t="s">
        <v>30915</v>
      </c>
      <c r="I9987" t="s">
        <v>30919</v>
      </c>
      <c r="J9987" t="s">
        <v>37283</v>
      </c>
      <c r="K9987" t="s">
        <v>40292</v>
      </c>
      <c r="M9987" t="s">
        <v>42465</v>
      </c>
      <c r="N9987" t="s">
        <v>44759</v>
      </c>
      <c r="O9987" t="s">
        <v>44760</v>
      </c>
      <c r="P9987">
        <v>0</v>
      </c>
      <c r="Q9987">
        <v>3</v>
      </c>
      <c r="R9987" t="s">
        <v>44770</v>
      </c>
      <c r="S9987" t="s">
        <v>45105</v>
      </c>
      <c r="T9987" t="s">
        <v>46752</v>
      </c>
      <c r="U9987" t="s">
        <v>55234</v>
      </c>
      <c r="V9987" t="s">
        <v>60206</v>
      </c>
      <c r="W9987" t="s">
        <v>42465</v>
      </c>
      <c r="X9987" t="s">
        <v>44776</v>
      </c>
    </row>
    <row r="9988" spans="1:24">
      <c r="A9988">
        <f>HYPERLINK("https://www.philgeps.gov.ph/GEPSNONPILOT/Tender/SplashBidNoticeAbstractUI.aspx?menuIndex=3&amp;refID=7126342&amp;Result=3","7126342")</f>
        <v>0</v>
      </c>
      <c r="B9988" t="s">
        <v>1791</v>
      </c>
      <c r="C9988" t="s">
        <v>13235</v>
      </c>
      <c r="D9988" t="s">
        <v>17966</v>
      </c>
      <c r="E9988" t="s">
        <v>26695</v>
      </c>
      <c r="F9988" t="s">
        <v>30900</v>
      </c>
      <c r="G9988" t="s">
        <v>30907</v>
      </c>
      <c r="H9988" t="s">
        <v>30915</v>
      </c>
      <c r="I9988" t="s">
        <v>30919</v>
      </c>
      <c r="J9988" t="s">
        <v>31152</v>
      </c>
      <c r="K9988" t="s">
        <v>40280</v>
      </c>
      <c r="M9988" t="s">
        <v>42465</v>
      </c>
      <c r="N9988" t="s">
        <v>44759</v>
      </c>
      <c r="O9988" t="s">
        <v>44760</v>
      </c>
      <c r="P9988">
        <v>0</v>
      </c>
      <c r="Q9988">
        <v>0</v>
      </c>
      <c r="R9988" t="s">
        <v>44770</v>
      </c>
      <c r="S9988" t="s">
        <v>45105</v>
      </c>
      <c r="T9988" t="s">
        <v>46752</v>
      </c>
      <c r="U9988" t="s">
        <v>55235</v>
      </c>
      <c r="V9988" t="s">
        <v>59963</v>
      </c>
      <c r="W9988" t="s">
        <v>42465</v>
      </c>
      <c r="X9988" t="s">
        <v>44776</v>
      </c>
    </row>
    <row r="9989" spans="1:24">
      <c r="A9989">
        <f>HYPERLINK("https://www.philgeps.gov.ph/GEPSNONPILOT/Tender/SplashBidNoticeAbstractUI.aspx?menuIndex=3&amp;refID=7129747&amp;Result=3","7129747")</f>
        <v>0</v>
      </c>
      <c r="B9989" t="s">
        <v>3104</v>
      </c>
      <c r="C9989" t="s">
        <v>13236</v>
      </c>
      <c r="D9989" t="s">
        <v>17996</v>
      </c>
      <c r="E9989" t="s">
        <v>20734</v>
      </c>
      <c r="F9989" t="s">
        <v>30900</v>
      </c>
      <c r="G9989" t="s">
        <v>30908</v>
      </c>
      <c r="H9989" t="s">
        <v>30916</v>
      </c>
      <c r="I9989" t="s">
        <v>30929</v>
      </c>
      <c r="J9989" t="s">
        <v>37284</v>
      </c>
      <c r="K9989" t="s">
        <v>40288</v>
      </c>
      <c r="M9989" t="s">
        <v>43916</v>
      </c>
      <c r="N9989" t="s">
        <v>44759</v>
      </c>
      <c r="O9989" t="s">
        <v>44760</v>
      </c>
      <c r="P9989">
        <v>0</v>
      </c>
      <c r="Q9989">
        <v>1</v>
      </c>
      <c r="R9989" t="s">
        <v>44769</v>
      </c>
      <c r="S9989" t="s">
        <v>45044</v>
      </c>
      <c r="T9989" t="s">
        <v>46700</v>
      </c>
      <c r="U9989" t="s">
        <v>55236</v>
      </c>
      <c r="W9989" t="s">
        <v>43916</v>
      </c>
      <c r="X9989" t="s">
        <v>44774</v>
      </c>
    </row>
    <row r="9990" spans="1:24">
      <c r="A9990">
        <f>HYPERLINK("https://www.philgeps.gov.ph/GEPSNONPILOT/Tender/SplashBidNoticeAbstractUI.aspx?menuIndex=3&amp;refID=7129715&amp;Result=3","7129715")</f>
        <v>0</v>
      </c>
      <c r="B9990" t="s">
        <v>2913</v>
      </c>
      <c r="C9990" t="s">
        <v>13237</v>
      </c>
      <c r="D9990" t="s">
        <v>18021</v>
      </c>
      <c r="E9990" t="s">
        <v>26696</v>
      </c>
      <c r="F9990" t="s">
        <v>30900</v>
      </c>
      <c r="G9990" t="s">
        <v>30907</v>
      </c>
      <c r="H9990" t="s">
        <v>30915</v>
      </c>
      <c r="I9990" t="s">
        <v>30919</v>
      </c>
      <c r="J9990" t="s">
        <v>37285</v>
      </c>
      <c r="K9990" t="s">
        <v>40304</v>
      </c>
      <c r="M9990" t="s">
        <v>43708</v>
      </c>
      <c r="N9990" t="s">
        <v>44759</v>
      </c>
      <c r="O9990" t="s">
        <v>44760</v>
      </c>
      <c r="P9990">
        <v>0</v>
      </c>
      <c r="Q9990">
        <v>1</v>
      </c>
      <c r="R9990" t="s">
        <v>44769</v>
      </c>
      <c r="S9990" t="s">
        <v>45044</v>
      </c>
      <c r="T9990" t="s">
        <v>46495</v>
      </c>
      <c r="U9990" t="s">
        <v>55237</v>
      </c>
      <c r="W9990" t="s">
        <v>43708</v>
      </c>
      <c r="X9990" t="s">
        <v>44774</v>
      </c>
    </row>
    <row r="9991" spans="1:24">
      <c r="A9991">
        <f>HYPERLINK("https://www.philgeps.gov.ph/GEPSNONPILOT/Tender/SplashBidNoticeAbstractUI.aspx?menuIndex=3&amp;refID=7127155&amp;Result=3","7127155")</f>
        <v>0</v>
      </c>
      <c r="B9991" t="s">
        <v>869</v>
      </c>
      <c r="C9991" t="s">
        <v>13238</v>
      </c>
      <c r="D9991" t="s">
        <v>17988</v>
      </c>
      <c r="E9991" t="s">
        <v>26697</v>
      </c>
      <c r="F9991" t="s">
        <v>30900</v>
      </c>
      <c r="G9991" t="s">
        <v>30907</v>
      </c>
      <c r="H9991" t="s">
        <v>30916</v>
      </c>
      <c r="I9991" t="s">
        <v>8123</v>
      </c>
      <c r="J9991" t="s">
        <v>37286</v>
      </c>
      <c r="K9991" t="s">
        <v>40283</v>
      </c>
      <c r="M9991" t="s">
        <v>41442</v>
      </c>
      <c r="N9991" t="s">
        <v>44759</v>
      </c>
      <c r="O9991" t="s">
        <v>44760</v>
      </c>
      <c r="P9991">
        <v>0</v>
      </c>
      <c r="Q9991">
        <v>0</v>
      </c>
      <c r="R9991" t="s">
        <v>44770</v>
      </c>
      <c r="S9991" t="s">
        <v>45105</v>
      </c>
      <c r="T9991" t="s">
        <v>46581</v>
      </c>
      <c r="U9991" t="s">
        <v>55238</v>
      </c>
      <c r="W9991" t="s">
        <v>41442</v>
      </c>
      <c r="X9991" t="s">
        <v>44775</v>
      </c>
    </row>
    <row r="9992" spans="1:24">
      <c r="A9992">
        <f>HYPERLINK("https://www.philgeps.gov.ph/GEPSNONPILOT/Tender/SplashBidNoticeAbstractUI.aspx?menuIndex=3&amp;refID=7129698&amp;Result=3","7129698")</f>
        <v>0</v>
      </c>
      <c r="B9992" t="s">
        <v>2913</v>
      </c>
      <c r="C9992" t="s">
        <v>13239</v>
      </c>
      <c r="D9992" t="s">
        <v>18021</v>
      </c>
      <c r="E9992" t="s">
        <v>26698</v>
      </c>
      <c r="F9992" t="s">
        <v>30900</v>
      </c>
      <c r="G9992" t="s">
        <v>30907</v>
      </c>
      <c r="H9992" t="s">
        <v>30915</v>
      </c>
      <c r="I9992" t="s">
        <v>30919</v>
      </c>
      <c r="J9992" t="s">
        <v>37287</v>
      </c>
      <c r="K9992" t="s">
        <v>40292</v>
      </c>
      <c r="M9992" t="s">
        <v>43708</v>
      </c>
      <c r="N9992" t="s">
        <v>44759</v>
      </c>
      <c r="O9992" t="s">
        <v>44760</v>
      </c>
      <c r="P9992">
        <v>0</v>
      </c>
      <c r="Q9992">
        <v>2</v>
      </c>
      <c r="R9992" t="s">
        <v>44769</v>
      </c>
      <c r="S9992" t="s">
        <v>45044</v>
      </c>
      <c r="T9992" t="s">
        <v>46495</v>
      </c>
      <c r="U9992" t="s">
        <v>55239</v>
      </c>
      <c r="W9992" t="s">
        <v>43708</v>
      </c>
      <c r="X9992" t="s">
        <v>44774</v>
      </c>
    </row>
    <row r="9993" spans="1:24">
      <c r="A9993">
        <f>HYPERLINK("https://www.philgeps.gov.ph/GEPSNONPILOT/Tender/SplashBidNoticeAbstractUI.aspx?menuIndex=3&amp;refID=7126221&amp;Result=3","7126221")</f>
        <v>0</v>
      </c>
      <c r="B9993" t="s">
        <v>43</v>
      </c>
      <c r="C9993" t="s">
        <v>13240</v>
      </c>
      <c r="D9993" t="s">
        <v>17968</v>
      </c>
      <c r="E9993" t="s">
        <v>26699</v>
      </c>
      <c r="F9993" t="s">
        <v>30900</v>
      </c>
      <c r="G9993" t="s">
        <v>30907</v>
      </c>
      <c r="H9993" t="s">
        <v>30916</v>
      </c>
      <c r="I9993" t="s">
        <v>30924</v>
      </c>
      <c r="J9993" t="s">
        <v>37288</v>
      </c>
      <c r="K9993" t="s">
        <v>40280</v>
      </c>
      <c r="M9993" t="s">
        <v>40589</v>
      </c>
      <c r="N9993" t="s">
        <v>44759</v>
      </c>
      <c r="O9993" t="s">
        <v>44760</v>
      </c>
      <c r="Q9993">
        <v>16</v>
      </c>
      <c r="R9993" t="s">
        <v>44769</v>
      </c>
      <c r="S9993" t="s">
        <v>45112</v>
      </c>
      <c r="T9993" t="s">
        <v>46515</v>
      </c>
      <c r="U9993" t="s">
        <v>55240</v>
      </c>
      <c r="V9993" t="s">
        <v>60207</v>
      </c>
      <c r="W9993" t="s">
        <v>40589</v>
      </c>
      <c r="X9993" t="s">
        <v>44776</v>
      </c>
    </row>
    <row r="9994" spans="1:24">
      <c r="A9994">
        <f>HYPERLINK("https://www.philgeps.gov.ph/GEPSNONPILOT/Tender/SplashBidNoticeAbstractUI.aspx?menuIndex=3&amp;refID=7129724&amp;Result=3","7129724")</f>
        <v>0</v>
      </c>
      <c r="B9994" t="s">
        <v>2913</v>
      </c>
      <c r="C9994" t="s">
        <v>13241</v>
      </c>
      <c r="D9994" t="s">
        <v>18021</v>
      </c>
      <c r="E9994" t="s">
        <v>26700</v>
      </c>
      <c r="F9994" t="s">
        <v>30900</v>
      </c>
      <c r="G9994" t="s">
        <v>30907</v>
      </c>
      <c r="H9994" t="s">
        <v>30915</v>
      </c>
      <c r="I9994" t="s">
        <v>30919</v>
      </c>
      <c r="J9994" t="s">
        <v>37289</v>
      </c>
      <c r="K9994" t="s">
        <v>40354</v>
      </c>
      <c r="M9994" t="s">
        <v>43708</v>
      </c>
      <c r="N9994" t="s">
        <v>44759</v>
      </c>
      <c r="O9994" t="s">
        <v>44760</v>
      </c>
      <c r="P9994">
        <v>0</v>
      </c>
      <c r="Q9994">
        <v>1</v>
      </c>
      <c r="R9994" t="s">
        <v>44769</v>
      </c>
      <c r="S9994" t="s">
        <v>45044</v>
      </c>
      <c r="T9994" t="s">
        <v>46495</v>
      </c>
      <c r="U9994" t="s">
        <v>55241</v>
      </c>
      <c r="W9994" t="s">
        <v>43708</v>
      </c>
      <c r="X9994" t="s">
        <v>44774</v>
      </c>
    </row>
    <row r="9995" spans="1:24">
      <c r="A9995">
        <f>HYPERLINK("https://www.philgeps.gov.ph/GEPSNONPILOT/Tender/SplashBidNoticeAbstractUI.aspx?menuIndex=3&amp;refID=7111352&amp;Result=3","7111352")</f>
        <v>0</v>
      </c>
      <c r="B9995" t="s">
        <v>2908</v>
      </c>
      <c r="C9995" t="s">
        <v>13242</v>
      </c>
      <c r="D9995" t="s">
        <v>17998</v>
      </c>
      <c r="E9995" t="s">
        <v>26701</v>
      </c>
      <c r="F9995" t="s">
        <v>30900</v>
      </c>
      <c r="G9995" t="s">
        <v>30908</v>
      </c>
      <c r="H9995" t="s">
        <v>30915</v>
      </c>
      <c r="I9995" t="s">
        <v>30919</v>
      </c>
      <c r="J9995" t="s">
        <v>37290</v>
      </c>
      <c r="K9995" t="s">
        <v>40314</v>
      </c>
      <c r="M9995" t="s">
        <v>43702</v>
      </c>
      <c r="N9995" t="s">
        <v>44759</v>
      </c>
      <c r="O9995" t="s">
        <v>44760</v>
      </c>
      <c r="P9995">
        <v>0</v>
      </c>
      <c r="Q9995">
        <v>0</v>
      </c>
      <c r="R9995" t="s">
        <v>44769</v>
      </c>
      <c r="S9995" t="s">
        <v>45044</v>
      </c>
      <c r="T9995" t="s">
        <v>46383</v>
      </c>
      <c r="U9995" t="s">
        <v>54699</v>
      </c>
      <c r="W9995" t="s">
        <v>43702</v>
      </c>
      <c r="X9995" t="s">
        <v>44782</v>
      </c>
    </row>
    <row r="9996" spans="1:24">
      <c r="A9996">
        <f>HYPERLINK("https://www.philgeps.gov.ph/GEPSNONPILOT/Tender/SplashBidNoticeAbstractUI.aspx?menuIndex=3&amp;refID=7104634&amp;Result=3","7104634")</f>
        <v>0</v>
      </c>
      <c r="B9996" t="s">
        <v>2908</v>
      </c>
      <c r="C9996" t="s">
        <v>13243</v>
      </c>
      <c r="D9996" t="s">
        <v>17998</v>
      </c>
      <c r="E9996" t="s">
        <v>26702</v>
      </c>
      <c r="F9996" t="s">
        <v>30900</v>
      </c>
      <c r="G9996" t="s">
        <v>30907</v>
      </c>
      <c r="H9996" t="s">
        <v>30915</v>
      </c>
      <c r="I9996" t="s">
        <v>30919</v>
      </c>
      <c r="J9996" t="s">
        <v>37291</v>
      </c>
      <c r="K9996" t="s">
        <v>40314</v>
      </c>
      <c r="M9996" t="s">
        <v>43702</v>
      </c>
      <c r="N9996" t="s">
        <v>44759</v>
      </c>
      <c r="O9996" t="s">
        <v>44760</v>
      </c>
      <c r="P9996">
        <v>0</v>
      </c>
      <c r="Q9996">
        <v>0</v>
      </c>
      <c r="R9996" t="s">
        <v>44769</v>
      </c>
      <c r="S9996" t="s">
        <v>45044</v>
      </c>
      <c r="T9996" t="s">
        <v>46383</v>
      </c>
      <c r="U9996" t="s">
        <v>54699</v>
      </c>
      <c r="W9996" t="s">
        <v>43702</v>
      </c>
      <c r="X9996" t="s">
        <v>44784</v>
      </c>
    </row>
    <row r="9997" spans="1:24">
      <c r="A9997">
        <f>HYPERLINK("https://www.philgeps.gov.ph/GEPSNONPILOT/Tender/SplashBidNoticeAbstractUI.aspx?menuIndex=3&amp;refID=7128409&amp;Result=3","7128409")</f>
        <v>0</v>
      </c>
      <c r="B9997" t="s">
        <v>886</v>
      </c>
      <c r="C9997" t="s">
        <v>13244</v>
      </c>
      <c r="D9997" t="s">
        <v>17972</v>
      </c>
      <c r="E9997" t="s">
        <v>26703</v>
      </c>
      <c r="F9997" t="s">
        <v>30900</v>
      </c>
      <c r="G9997" t="s">
        <v>30907</v>
      </c>
      <c r="H9997" t="s">
        <v>30915</v>
      </c>
      <c r="I9997" t="s">
        <v>30919</v>
      </c>
      <c r="J9997" t="s">
        <v>37292</v>
      </c>
      <c r="K9997" t="s">
        <v>40452</v>
      </c>
      <c r="M9997" t="s">
        <v>41459</v>
      </c>
      <c r="N9997" t="s">
        <v>44759</v>
      </c>
      <c r="O9997" t="s">
        <v>44760</v>
      </c>
      <c r="Q9997">
        <v>0</v>
      </c>
      <c r="R9997" t="s">
        <v>44770</v>
      </c>
      <c r="S9997" t="s">
        <v>45113</v>
      </c>
      <c r="T9997" t="s">
        <v>46707</v>
      </c>
      <c r="U9997" t="s">
        <v>55242</v>
      </c>
      <c r="W9997" t="s">
        <v>41459</v>
      </c>
      <c r="X9997" t="s">
        <v>44775</v>
      </c>
    </row>
    <row r="9998" spans="1:24">
      <c r="A9998">
        <f>HYPERLINK("https://www.philgeps.gov.ph/GEPSNONPILOT/Tender/SplashBidNoticeAbstractUI.aspx?menuIndex=3&amp;refID=7111823&amp;Result=3","7111823")</f>
        <v>0</v>
      </c>
      <c r="B9998" t="s">
        <v>3105</v>
      </c>
      <c r="C9998" t="s">
        <v>13245</v>
      </c>
      <c r="D9998" t="s">
        <v>17961</v>
      </c>
      <c r="E9998" t="s">
        <v>26704</v>
      </c>
      <c r="F9998" t="s">
        <v>30899</v>
      </c>
      <c r="G9998" t="s">
        <v>30908</v>
      </c>
      <c r="H9998" t="s">
        <v>30916</v>
      </c>
      <c r="I9998" t="s">
        <v>8365</v>
      </c>
      <c r="J9998" t="s">
        <v>37293</v>
      </c>
      <c r="K9998" t="s">
        <v>40287</v>
      </c>
      <c r="M9998" t="s">
        <v>43917</v>
      </c>
      <c r="N9998" t="s">
        <v>44759</v>
      </c>
      <c r="O9998" t="s">
        <v>44760</v>
      </c>
      <c r="P9998">
        <v>0</v>
      </c>
      <c r="Q9998">
        <v>0</v>
      </c>
      <c r="R9998" t="s">
        <v>44769</v>
      </c>
      <c r="S9998" t="s">
        <v>45044</v>
      </c>
      <c r="T9998" t="s">
        <v>46398</v>
      </c>
      <c r="U9998" t="s">
        <v>55243</v>
      </c>
      <c r="W9998" t="s">
        <v>43917</v>
      </c>
      <c r="X9998" t="s">
        <v>44782</v>
      </c>
    </row>
    <row r="9999" spans="1:24">
      <c r="A9999">
        <f>HYPERLINK("https://www.philgeps.gov.ph/GEPSNONPILOT/Tender/SplashBidNoticeAbstractUI.aspx?menuIndex=3&amp;refID=7127293&amp;Result=3","7127293")</f>
        <v>0</v>
      </c>
      <c r="B9999" t="s">
        <v>886</v>
      </c>
      <c r="C9999" t="s">
        <v>13246</v>
      </c>
      <c r="D9999" t="s">
        <v>17972</v>
      </c>
      <c r="E9999" t="s">
        <v>26705</v>
      </c>
      <c r="F9999" t="s">
        <v>30900</v>
      </c>
      <c r="G9999" t="s">
        <v>30907</v>
      </c>
      <c r="H9999" t="s">
        <v>30915</v>
      </c>
      <c r="I9999" t="s">
        <v>30919</v>
      </c>
      <c r="J9999" t="s">
        <v>37294</v>
      </c>
      <c r="K9999" t="s">
        <v>40367</v>
      </c>
      <c r="M9999" t="s">
        <v>41459</v>
      </c>
      <c r="N9999" t="s">
        <v>44759</v>
      </c>
      <c r="O9999" t="s">
        <v>44760</v>
      </c>
      <c r="Q9999">
        <v>1</v>
      </c>
      <c r="R9999" t="s">
        <v>44770</v>
      </c>
      <c r="S9999" t="s">
        <v>44905</v>
      </c>
      <c r="T9999" t="s">
        <v>46707</v>
      </c>
      <c r="U9999" t="s">
        <v>55244</v>
      </c>
      <c r="W9999" t="s">
        <v>41459</v>
      </c>
      <c r="X9999" t="s">
        <v>44775</v>
      </c>
    </row>
    <row r="10000" spans="1:24">
      <c r="A10000">
        <f>HYPERLINK("https://www.philgeps.gov.ph/GEPSNONPILOT/Tender/SplashBidNoticeAbstractUI.aspx?menuIndex=3&amp;refID=7131259&amp;Result=3","7131259")</f>
        <v>0</v>
      </c>
      <c r="B10000" t="s">
        <v>3106</v>
      </c>
      <c r="C10000" t="s">
        <v>13247</v>
      </c>
      <c r="D10000" t="s">
        <v>18010</v>
      </c>
      <c r="E10000" t="s">
        <v>26706</v>
      </c>
      <c r="F10000" t="s">
        <v>30900</v>
      </c>
      <c r="G10000" t="s">
        <v>30907</v>
      </c>
      <c r="H10000" t="s">
        <v>30915</v>
      </c>
      <c r="I10000" t="s">
        <v>30919</v>
      </c>
      <c r="J10000" t="s">
        <v>37295</v>
      </c>
      <c r="K10000" t="s">
        <v>40293</v>
      </c>
      <c r="M10000" t="s">
        <v>43918</v>
      </c>
      <c r="N10000" t="s">
        <v>44759</v>
      </c>
      <c r="O10000" t="s">
        <v>44760</v>
      </c>
      <c r="P10000">
        <v>0</v>
      </c>
      <c r="Q10000">
        <v>25</v>
      </c>
      <c r="R10000" t="s">
        <v>44770</v>
      </c>
      <c r="S10000" t="s">
        <v>45105</v>
      </c>
      <c r="T10000" t="s">
        <v>46606</v>
      </c>
      <c r="U10000" t="s">
        <v>55245</v>
      </c>
      <c r="V10000" t="s">
        <v>59391</v>
      </c>
      <c r="W10000" t="s">
        <v>43918</v>
      </c>
      <c r="X10000" t="s">
        <v>44774</v>
      </c>
    </row>
    <row r="10001" spans="1:24">
      <c r="A10001">
        <f>HYPERLINK("https://www.philgeps.gov.ph/GEPSNONPILOT/Tender/SplashBidNoticeAbstractUI.aspx?menuIndex=3&amp;refID=7131248&amp;Result=3","7131248")</f>
        <v>0</v>
      </c>
      <c r="B10001" t="s">
        <v>1581</v>
      </c>
      <c r="C10001" t="s">
        <v>13248</v>
      </c>
      <c r="D10001" t="s">
        <v>17961</v>
      </c>
      <c r="E10001" t="s">
        <v>26707</v>
      </c>
      <c r="F10001" t="s">
        <v>30900</v>
      </c>
      <c r="G10001" t="s">
        <v>30907</v>
      </c>
      <c r="H10001" t="s">
        <v>30916</v>
      </c>
      <c r="I10001" t="s">
        <v>8123</v>
      </c>
      <c r="J10001" t="s">
        <v>31352</v>
      </c>
      <c r="K10001" t="s">
        <v>40284</v>
      </c>
      <c r="M10001" t="s">
        <v>42228</v>
      </c>
      <c r="N10001" t="s">
        <v>44759</v>
      </c>
      <c r="O10001" t="s">
        <v>44760</v>
      </c>
      <c r="P10001">
        <v>0</v>
      </c>
      <c r="Q10001">
        <v>1</v>
      </c>
      <c r="R10001" t="s">
        <v>44770</v>
      </c>
      <c r="S10001" t="s">
        <v>45105</v>
      </c>
      <c r="T10001" t="s">
        <v>46511</v>
      </c>
      <c r="U10001" t="s">
        <v>55246</v>
      </c>
      <c r="V10001" t="s">
        <v>59558</v>
      </c>
      <c r="W10001" t="s">
        <v>42228</v>
      </c>
      <c r="X10001" t="s">
        <v>44774</v>
      </c>
    </row>
    <row r="10002" spans="1:24">
      <c r="A10002">
        <f>HYPERLINK("https://www.philgeps.gov.ph/GEPSNONPILOT/Tender/SplashBidNoticeAbstractUI.aspx?menuIndex=3&amp;refID=7131131&amp;Result=3","7131131")</f>
        <v>0</v>
      </c>
      <c r="B10002" t="s">
        <v>1897</v>
      </c>
      <c r="C10002" t="s">
        <v>13249</v>
      </c>
      <c r="D10002" t="s">
        <v>18002</v>
      </c>
      <c r="E10002" t="s">
        <v>26708</v>
      </c>
      <c r="F10002" t="s">
        <v>30900</v>
      </c>
      <c r="G10002" t="s">
        <v>30907</v>
      </c>
      <c r="H10002" t="s">
        <v>30916</v>
      </c>
      <c r="I10002" t="s">
        <v>30927</v>
      </c>
      <c r="J10002" t="s">
        <v>37296</v>
      </c>
      <c r="K10002" t="s">
        <v>40333</v>
      </c>
      <c r="M10002" t="s">
        <v>42572</v>
      </c>
      <c r="N10002" t="s">
        <v>44759</v>
      </c>
      <c r="O10002" t="s">
        <v>44760</v>
      </c>
      <c r="Q10002">
        <v>5</v>
      </c>
      <c r="R10002" t="s">
        <v>44770</v>
      </c>
      <c r="S10002" t="s">
        <v>45114</v>
      </c>
      <c r="T10002" t="s">
        <v>46433</v>
      </c>
      <c r="U10002" t="s">
        <v>55247</v>
      </c>
      <c r="V10002" t="s">
        <v>59749</v>
      </c>
      <c r="W10002" t="s">
        <v>42572</v>
      </c>
      <c r="X10002" t="s">
        <v>44774</v>
      </c>
    </row>
    <row r="10003" spans="1:24">
      <c r="A10003">
        <f>HYPERLINK("https://www.philgeps.gov.ph/GEPSNONPILOT/Tender/SplashBidNoticeAbstractUI.aspx?menuIndex=3&amp;refID=7127127&amp;Result=3","7127127")</f>
        <v>0</v>
      </c>
      <c r="B10003" t="s">
        <v>886</v>
      </c>
      <c r="C10003" t="s">
        <v>13250</v>
      </c>
      <c r="D10003" t="s">
        <v>17972</v>
      </c>
      <c r="E10003" t="s">
        <v>26709</v>
      </c>
      <c r="F10003" t="s">
        <v>30900</v>
      </c>
      <c r="G10003" t="s">
        <v>30907</v>
      </c>
      <c r="H10003" t="s">
        <v>30915</v>
      </c>
      <c r="I10003" t="s">
        <v>30919</v>
      </c>
      <c r="J10003" t="s">
        <v>37297</v>
      </c>
      <c r="K10003" t="s">
        <v>40433</v>
      </c>
      <c r="M10003" t="s">
        <v>41459</v>
      </c>
      <c r="N10003" t="s">
        <v>44759</v>
      </c>
      <c r="O10003" t="s">
        <v>44760</v>
      </c>
      <c r="Q10003">
        <v>0</v>
      </c>
      <c r="R10003" t="s">
        <v>44770</v>
      </c>
      <c r="S10003" t="s">
        <v>45115</v>
      </c>
      <c r="T10003" t="s">
        <v>46707</v>
      </c>
      <c r="U10003" t="s">
        <v>55248</v>
      </c>
      <c r="W10003" t="s">
        <v>41459</v>
      </c>
      <c r="X10003" t="s">
        <v>44775</v>
      </c>
    </row>
    <row r="10004" spans="1:24">
      <c r="A10004">
        <f>HYPERLINK("https://www.philgeps.gov.ph/GEPSNONPILOT/Tender/SplashBidNoticeAbstractUI.aspx?menuIndex=3&amp;refID=7131052&amp;Result=3","7131052")</f>
        <v>0</v>
      </c>
      <c r="B10004" t="s">
        <v>1109</v>
      </c>
      <c r="C10004" t="s">
        <v>13251</v>
      </c>
      <c r="D10004" t="s">
        <v>17959</v>
      </c>
      <c r="E10004" t="s">
        <v>26710</v>
      </c>
      <c r="F10004" t="s">
        <v>30900</v>
      </c>
      <c r="G10004" t="s">
        <v>30907</v>
      </c>
      <c r="H10004" t="s">
        <v>30916</v>
      </c>
      <c r="I10004" t="s">
        <v>31030</v>
      </c>
      <c r="J10004" t="s">
        <v>37298</v>
      </c>
      <c r="K10004" t="s">
        <v>40286</v>
      </c>
      <c r="M10004" t="s">
        <v>42623</v>
      </c>
      <c r="N10004" t="s">
        <v>44759</v>
      </c>
      <c r="O10004" t="s">
        <v>44760</v>
      </c>
      <c r="P10004">
        <v>0</v>
      </c>
      <c r="Q10004">
        <v>9</v>
      </c>
      <c r="R10004" t="s">
        <v>44770</v>
      </c>
      <c r="S10004" t="s">
        <v>45105</v>
      </c>
      <c r="T10004" t="s">
        <v>46488</v>
      </c>
      <c r="U10004" t="s">
        <v>55249</v>
      </c>
      <c r="W10004" t="s">
        <v>42623</v>
      </c>
      <c r="X10004" t="s">
        <v>44774</v>
      </c>
    </row>
    <row r="10005" spans="1:24">
      <c r="A10005">
        <f>HYPERLINK("https://www.philgeps.gov.ph/GEPSNONPILOT/Tender/SplashBidNoticeAbstractUI.aspx?menuIndex=3&amp;refID=7130932&amp;Result=3","7130932")</f>
        <v>0</v>
      </c>
      <c r="B10005" t="s">
        <v>33</v>
      </c>
      <c r="C10005" t="s">
        <v>13252</v>
      </c>
      <c r="D10005" t="s">
        <v>17960</v>
      </c>
      <c r="E10005" t="s">
        <v>26711</v>
      </c>
      <c r="F10005" t="s">
        <v>30900</v>
      </c>
      <c r="G10005" t="s">
        <v>30907</v>
      </c>
      <c r="H10005" t="s">
        <v>30916</v>
      </c>
      <c r="I10005" t="s">
        <v>4050</v>
      </c>
      <c r="J10005" t="s">
        <v>31577</v>
      </c>
      <c r="K10005" t="s">
        <v>40295</v>
      </c>
      <c r="M10005" t="s">
        <v>40579</v>
      </c>
      <c r="N10005" t="s">
        <v>44759</v>
      </c>
      <c r="O10005" t="s">
        <v>44760</v>
      </c>
      <c r="P10005">
        <v>0</v>
      </c>
      <c r="Q10005">
        <v>4</v>
      </c>
      <c r="R10005" t="s">
        <v>44770</v>
      </c>
      <c r="S10005" t="s">
        <v>45105</v>
      </c>
      <c r="T10005" t="s">
        <v>46378</v>
      </c>
      <c r="U10005" t="s">
        <v>55250</v>
      </c>
      <c r="V10005" t="s">
        <v>60208</v>
      </c>
      <c r="W10005" t="s">
        <v>40579</v>
      </c>
      <c r="X10005" t="s">
        <v>44774</v>
      </c>
    </row>
    <row r="10006" spans="1:24">
      <c r="A10006">
        <f>HYPERLINK("https://www.philgeps.gov.ph/GEPSNONPILOT/Tender/SplashBidNoticeAbstractUI.aspx?menuIndex=3&amp;refID=7129342&amp;Result=3","7129342")</f>
        <v>0</v>
      </c>
      <c r="B10006" t="s">
        <v>3107</v>
      </c>
      <c r="C10006" t="s">
        <v>13253</v>
      </c>
      <c r="D10006" t="s">
        <v>17970</v>
      </c>
      <c r="E10006" t="s">
        <v>26712</v>
      </c>
      <c r="F10006" t="s">
        <v>30900</v>
      </c>
      <c r="G10006" t="s">
        <v>30907</v>
      </c>
      <c r="H10006" t="s">
        <v>30916</v>
      </c>
      <c r="I10006" t="s">
        <v>5501</v>
      </c>
      <c r="J10006" t="s">
        <v>31101</v>
      </c>
      <c r="K10006" t="s">
        <v>40291</v>
      </c>
      <c r="M10006" t="s">
        <v>43919</v>
      </c>
      <c r="N10006" t="s">
        <v>44759</v>
      </c>
      <c r="O10006" t="s">
        <v>44760</v>
      </c>
      <c r="P10006">
        <v>0</v>
      </c>
      <c r="Q10006">
        <v>0</v>
      </c>
      <c r="R10006" t="s">
        <v>44770</v>
      </c>
      <c r="S10006" t="s">
        <v>45105</v>
      </c>
      <c r="T10006" t="s">
        <v>46843</v>
      </c>
      <c r="U10006" t="s">
        <v>55251</v>
      </c>
      <c r="W10006" t="s">
        <v>43919</v>
      </c>
      <c r="X10006" t="s">
        <v>44775</v>
      </c>
    </row>
    <row r="10007" spans="1:24">
      <c r="A10007">
        <f>HYPERLINK("https://www.philgeps.gov.ph/GEPSNONPILOT/Tender/SplashBidNoticeAbstractUI.aspx?menuIndex=3&amp;refID=7115728-2&amp;Result=3","7115728-2")</f>
        <v>0</v>
      </c>
      <c r="B10007" t="s">
        <v>3000</v>
      </c>
      <c r="C10007" t="s">
        <v>13254</v>
      </c>
      <c r="D10007" t="s">
        <v>18009</v>
      </c>
      <c r="E10007" t="s">
        <v>26713</v>
      </c>
      <c r="F10007" t="s">
        <v>30900</v>
      </c>
      <c r="G10007" t="s">
        <v>30907</v>
      </c>
      <c r="H10007" t="s">
        <v>7411</v>
      </c>
      <c r="I10007" t="s">
        <v>7411</v>
      </c>
      <c r="J10007" t="s">
        <v>37299</v>
      </c>
      <c r="K10007" t="s">
        <v>40286</v>
      </c>
      <c r="M10007" t="s">
        <v>43804</v>
      </c>
      <c r="N10007" t="s">
        <v>44759</v>
      </c>
      <c r="O10007" t="s">
        <v>44760</v>
      </c>
      <c r="P10007">
        <v>0</v>
      </c>
      <c r="Q10007">
        <v>0</v>
      </c>
      <c r="R10007" t="s">
        <v>44769</v>
      </c>
      <c r="S10007" t="s">
        <v>45044</v>
      </c>
      <c r="T10007" t="s">
        <v>46411</v>
      </c>
      <c r="U10007" t="s">
        <v>55252</v>
      </c>
      <c r="W10007" t="s">
        <v>43804</v>
      </c>
      <c r="X10007" t="s">
        <v>44770</v>
      </c>
    </row>
    <row r="10008" spans="1:24">
      <c r="A10008">
        <f>HYPERLINK("https://www.philgeps.gov.ph/GEPSNONPILOT/Tender/SplashBidNoticeAbstractUI.aspx?menuIndex=3&amp;refID=7126022&amp;Result=3","7126022")</f>
        <v>0</v>
      </c>
      <c r="B10008" t="s">
        <v>3095</v>
      </c>
      <c r="C10008" t="s">
        <v>13255</v>
      </c>
      <c r="E10008" t="s">
        <v>26714</v>
      </c>
      <c r="F10008" t="s">
        <v>30900</v>
      </c>
      <c r="G10008" t="s">
        <v>30907</v>
      </c>
      <c r="H10008" t="s">
        <v>30916</v>
      </c>
      <c r="I10008" t="s">
        <v>5501</v>
      </c>
      <c r="J10008" t="s">
        <v>37300</v>
      </c>
      <c r="K10008" t="s">
        <v>40289</v>
      </c>
      <c r="M10008" t="s">
        <v>43907</v>
      </c>
      <c r="N10008" t="s">
        <v>44759</v>
      </c>
      <c r="O10008" t="s">
        <v>44760</v>
      </c>
      <c r="P10008">
        <v>0</v>
      </c>
      <c r="Q10008">
        <v>12</v>
      </c>
      <c r="R10008" t="s">
        <v>44770</v>
      </c>
      <c r="S10008" t="s">
        <v>45105</v>
      </c>
      <c r="T10008" t="s">
        <v>46495</v>
      </c>
      <c r="U10008" t="s">
        <v>55253</v>
      </c>
      <c r="V10008" t="s">
        <v>60203</v>
      </c>
      <c r="W10008" t="s">
        <v>43907</v>
      </c>
      <c r="X10008" t="s">
        <v>44776</v>
      </c>
    </row>
    <row r="10009" spans="1:24">
      <c r="A10009">
        <f>HYPERLINK("https://www.philgeps.gov.ph/GEPSNONPILOT/Tender/SplashBidNoticeAbstractUI.aspx?menuIndex=3&amp;refID=7128907&amp;Result=3","7128907")</f>
        <v>0</v>
      </c>
      <c r="B10009" t="s">
        <v>1652</v>
      </c>
      <c r="C10009" t="s">
        <v>6848</v>
      </c>
      <c r="D10009" t="s">
        <v>18029</v>
      </c>
      <c r="E10009" t="s">
        <v>26715</v>
      </c>
      <c r="F10009" t="s">
        <v>30900</v>
      </c>
      <c r="G10009" t="s">
        <v>30907</v>
      </c>
      <c r="H10009" t="s">
        <v>30915</v>
      </c>
      <c r="I10009" t="s">
        <v>30919</v>
      </c>
      <c r="J10009" t="s">
        <v>31183</v>
      </c>
      <c r="K10009" t="s">
        <v>40287</v>
      </c>
      <c r="L10009" t="s">
        <v>1652</v>
      </c>
      <c r="M10009" t="s">
        <v>42308</v>
      </c>
      <c r="N10009" t="s">
        <v>44759</v>
      </c>
      <c r="O10009" t="s">
        <v>44760</v>
      </c>
      <c r="P10009">
        <v>0</v>
      </c>
      <c r="Q10009">
        <v>0</v>
      </c>
      <c r="R10009" t="s">
        <v>44770</v>
      </c>
      <c r="S10009" t="s">
        <v>45105</v>
      </c>
      <c r="T10009" t="s">
        <v>46590</v>
      </c>
      <c r="U10009" t="s">
        <v>55254</v>
      </c>
      <c r="W10009" t="s">
        <v>42308</v>
      </c>
      <c r="X10009" t="s">
        <v>44775</v>
      </c>
    </row>
    <row r="10010" spans="1:24">
      <c r="A10010">
        <f>HYPERLINK("https://www.philgeps.gov.ph/GEPSNONPILOT/Tender/SplashBidNoticeAbstractUI.aspx?menuIndex=3&amp;refID=7129738&amp;Result=3","7129738")</f>
        <v>0</v>
      </c>
      <c r="B10010" t="s">
        <v>2913</v>
      </c>
      <c r="C10010" t="s">
        <v>13256</v>
      </c>
      <c r="D10010" t="s">
        <v>18021</v>
      </c>
      <c r="E10010" t="s">
        <v>26716</v>
      </c>
      <c r="F10010" t="s">
        <v>30900</v>
      </c>
      <c r="G10010" t="s">
        <v>30907</v>
      </c>
      <c r="H10010" t="s">
        <v>30915</v>
      </c>
      <c r="I10010" t="s">
        <v>30919</v>
      </c>
      <c r="J10010" t="s">
        <v>37301</v>
      </c>
      <c r="K10010" t="s">
        <v>40304</v>
      </c>
      <c r="M10010" t="s">
        <v>43708</v>
      </c>
      <c r="N10010" t="s">
        <v>44759</v>
      </c>
      <c r="O10010" t="s">
        <v>44760</v>
      </c>
      <c r="P10010">
        <v>0</v>
      </c>
      <c r="Q10010">
        <v>2</v>
      </c>
      <c r="R10010" t="s">
        <v>44769</v>
      </c>
      <c r="S10010" t="s">
        <v>45044</v>
      </c>
      <c r="T10010" t="s">
        <v>46495</v>
      </c>
      <c r="U10010" t="s">
        <v>55255</v>
      </c>
      <c r="W10010" t="s">
        <v>43708</v>
      </c>
      <c r="X10010" t="s">
        <v>44774</v>
      </c>
    </row>
    <row r="10011" spans="1:24">
      <c r="A10011">
        <f>HYPERLINK("https://www.philgeps.gov.ph/GEPSNONPILOT/Tender/SplashBidNoticeAbstractUI.aspx?menuIndex=3&amp;refID=7131661&amp;Result=3","7131661")</f>
        <v>0</v>
      </c>
      <c r="B10011" t="s">
        <v>85</v>
      </c>
      <c r="C10011" t="s">
        <v>13257</v>
      </c>
      <c r="D10011" t="s">
        <v>17991</v>
      </c>
      <c r="E10011" t="s">
        <v>26717</v>
      </c>
      <c r="F10011" t="s">
        <v>30900</v>
      </c>
      <c r="G10011" t="s">
        <v>30907</v>
      </c>
      <c r="H10011" t="s">
        <v>30915</v>
      </c>
      <c r="I10011" t="s">
        <v>30919</v>
      </c>
      <c r="J10011" t="s">
        <v>37302</v>
      </c>
      <c r="K10011" t="s">
        <v>40301</v>
      </c>
      <c r="M10011" t="s">
        <v>40960</v>
      </c>
      <c r="N10011" t="s">
        <v>44759</v>
      </c>
      <c r="O10011" t="s">
        <v>44760</v>
      </c>
      <c r="P10011">
        <v>0</v>
      </c>
      <c r="Q10011">
        <v>0</v>
      </c>
      <c r="R10011" t="s">
        <v>44770</v>
      </c>
      <c r="S10011" t="s">
        <v>45105</v>
      </c>
      <c r="T10011" t="s">
        <v>46709</v>
      </c>
      <c r="U10011" t="s">
        <v>55256</v>
      </c>
      <c r="W10011" t="s">
        <v>40960</v>
      </c>
      <c r="X10011" t="s">
        <v>44774</v>
      </c>
    </row>
    <row r="10012" spans="1:24">
      <c r="A10012">
        <f>HYPERLINK("https://www.philgeps.gov.ph/GEPSNONPILOT/Tender/SplashBidNoticeAbstractUI.aspx?menuIndex=3&amp;refID=7131613&amp;Result=3","7131613")</f>
        <v>0</v>
      </c>
      <c r="B10012" t="s">
        <v>421</v>
      </c>
      <c r="C10012" t="s">
        <v>13258</v>
      </c>
      <c r="D10012" t="s">
        <v>18012</v>
      </c>
      <c r="E10012" t="s">
        <v>26718</v>
      </c>
      <c r="F10012" t="s">
        <v>30900</v>
      </c>
      <c r="G10012" t="s">
        <v>30907</v>
      </c>
      <c r="H10012" t="s">
        <v>30916</v>
      </c>
      <c r="I10012" t="s">
        <v>30985</v>
      </c>
      <c r="J10012" t="s">
        <v>31152</v>
      </c>
      <c r="K10012" t="s">
        <v>40286</v>
      </c>
      <c r="M10012" t="s">
        <v>40977</v>
      </c>
      <c r="N10012" t="s">
        <v>44759</v>
      </c>
      <c r="O10012" t="s">
        <v>44760</v>
      </c>
      <c r="Q10012">
        <v>6</v>
      </c>
      <c r="R10012" t="s">
        <v>44770</v>
      </c>
      <c r="S10012" t="s">
        <v>45116</v>
      </c>
      <c r="T10012" t="s">
        <v>46472</v>
      </c>
      <c r="U10012" t="s">
        <v>47624</v>
      </c>
      <c r="V10012" t="s">
        <v>59207</v>
      </c>
      <c r="W10012" t="s">
        <v>40977</v>
      </c>
      <c r="X10012" t="s">
        <v>44774</v>
      </c>
    </row>
    <row r="10013" spans="1:24">
      <c r="A10013">
        <f>HYPERLINK("https://www.philgeps.gov.ph/GEPSNONPILOT/Tender/SplashBidNoticeAbstractUI.aspx?menuIndex=3&amp;refID=7131543&amp;Result=3","7131543")</f>
        <v>0</v>
      </c>
      <c r="B10013" t="s">
        <v>3108</v>
      </c>
      <c r="C10013" t="s">
        <v>13259</v>
      </c>
      <c r="E10013" t="s">
        <v>26719</v>
      </c>
      <c r="F10013" t="s">
        <v>30900</v>
      </c>
      <c r="G10013" t="s">
        <v>30907</v>
      </c>
      <c r="H10013" t="s">
        <v>30916</v>
      </c>
      <c r="I10013" t="s">
        <v>30924</v>
      </c>
      <c r="J10013" t="s">
        <v>33379</v>
      </c>
      <c r="K10013" t="s">
        <v>40286</v>
      </c>
      <c r="M10013" t="s">
        <v>43920</v>
      </c>
      <c r="N10013" t="s">
        <v>44759</v>
      </c>
      <c r="O10013" t="s">
        <v>44760</v>
      </c>
      <c r="P10013">
        <v>0</v>
      </c>
      <c r="Q10013">
        <v>21</v>
      </c>
      <c r="R10013" t="s">
        <v>44770</v>
      </c>
      <c r="S10013" t="s">
        <v>45105</v>
      </c>
      <c r="T10013" t="s">
        <v>46495</v>
      </c>
      <c r="U10013" t="s">
        <v>55257</v>
      </c>
      <c r="V10013" t="s">
        <v>60209</v>
      </c>
      <c r="W10013" t="s">
        <v>43920</v>
      </c>
      <c r="X10013" t="s">
        <v>44774</v>
      </c>
    </row>
    <row r="10014" spans="1:24">
      <c r="A10014">
        <f>HYPERLINK("https://www.philgeps.gov.ph/GEPSNONPILOT/Tender/SplashBidNoticeAbstractUI.aspx?menuIndex=3&amp;refID=7131359&amp;Result=3","7131359")</f>
        <v>0</v>
      </c>
      <c r="B10014" t="s">
        <v>3108</v>
      </c>
      <c r="C10014" t="s">
        <v>13260</v>
      </c>
      <c r="E10014" t="s">
        <v>26720</v>
      </c>
      <c r="F10014" t="s">
        <v>30900</v>
      </c>
      <c r="G10014" t="s">
        <v>30907</v>
      </c>
      <c r="H10014" t="s">
        <v>30916</v>
      </c>
      <c r="I10014" t="s">
        <v>30952</v>
      </c>
      <c r="J10014" t="s">
        <v>34878</v>
      </c>
      <c r="K10014" t="s">
        <v>40286</v>
      </c>
      <c r="M10014" t="s">
        <v>43920</v>
      </c>
      <c r="N10014" t="s">
        <v>44759</v>
      </c>
      <c r="O10014" t="s">
        <v>44760</v>
      </c>
      <c r="P10014">
        <v>0</v>
      </c>
      <c r="Q10014">
        <v>5</v>
      </c>
      <c r="R10014" t="s">
        <v>44770</v>
      </c>
      <c r="S10014" t="s">
        <v>45105</v>
      </c>
      <c r="T10014" t="s">
        <v>46495</v>
      </c>
      <c r="U10014" t="s">
        <v>55258</v>
      </c>
      <c r="V10014" t="s">
        <v>60209</v>
      </c>
      <c r="W10014" t="s">
        <v>43920</v>
      </c>
      <c r="X10014" t="s">
        <v>44774</v>
      </c>
    </row>
    <row r="10015" spans="1:24">
      <c r="A10015">
        <f>HYPERLINK("https://www.philgeps.gov.ph/GEPSNONPILOT/Tender/SplashBidNoticeAbstractUI.aspx?menuIndex=3&amp;refID=7130327&amp;Result=3","7130327")</f>
        <v>0</v>
      </c>
      <c r="B10015" t="s">
        <v>3109</v>
      </c>
      <c r="C10015" t="s">
        <v>13261</v>
      </c>
      <c r="D10015" t="s">
        <v>18000</v>
      </c>
      <c r="E10015" t="s">
        <v>13261</v>
      </c>
      <c r="F10015" t="s">
        <v>30900</v>
      </c>
      <c r="G10015" t="s">
        <v>30907</v>
      </c>
      <c r="H10015" t="s">
        <v>30916</v>
      </c>
      <c r="I10015" t="s">
        <v>30919</v>
      </c>
      <c r="J10015" t="s">
        <v>37303</v>
      </c>
      <c r="K10015" t="s">
        <v>40288</v>
      </c>
      <c r="M10015" t="s">
        <v>43921</v>
      </c>
      <c r="N10015" t="s">
        <v>44759</v>
      </c>
      <c r="O10015" t="s">
        <v>44760</v>
      </c>
      <c r="P10015">
        <v>0</v>
      </c>
      <c r="Q10015">
        <v>0</v>
      </c>
      <c r="R10015" t="s">
        <v>44770</v>
      </c>
      <c r="S10015" t="s">
        <v>45105</v>
      </c>
      <c r="T10015" t="s">
        <v>46544</v>
      </c>
      <c r="U10015" t="s">
        <v>55259</v>
      </c>
      <c r="W10015" t="s">
        <v>43921</v>
      </c>
      <c r="X10015" t="s">
        <v>44774</v>
      </c>
    </row>
    <row r="10016" spans="1:24">
      <c r="A10016">
        <f>HYPERLINK("https://www.philgeps.gov.ph/GEPSNONPILOT/Tender/SplashBidNoticeAbstractUI.aspx?menuIndex=3&amp;refID=7131337&amp;Result=3","7131337")</f>
        <v>0</v>
      </c>
      <c r="B10016" t="s">
        <v>1897</v>
      </c>
      <c r="C10016" t="s">
        <v>13262</v>
      </c>
      <c r="D10016" t="s">
        <v>18002</v>
      </c>
      <c r="E10016" t="s">
        <v>26721</v>
      </c>
      <c r="F10016" t="s">
        <v>30900</v>
      </c>
      <c r="G10016" t="s">
        <v>30907</v>
      </c>
      <c r="H10016" t="s">
        <v>30916</v>
      </c>
      <c r="I10016" t="s">
        <v>4050</v>
      </c>
      <c r="J10016" t="s">
        <v>37304</v>
      </c>
      <c r="K10016" t="s">
        <v>40333</v>
      </c>
      <c r="M10016" t="s">
        <v>42572</v>
      </c>
      <c r="N10016" t="s">
        <v>44759</v>
      </c>
      <c r="O10016" t="s">
        <v>44760</v>
      </c>
      <c r="Q10016">
        <v>6</v>
      </c>
      <c r="R10016" t="s">
        <v>44770</v>
      </c>
      <c r="S10016" t="s">
        <v>45117</v>
      </c>
      <c r="T10016" t="s">
        <v>46375</v>
      </c>
      <c r="U10016" t="s">
        <v>55260</v>
      </c>
      <c r="V10016" t="s">
        <v>60210</v>
      </c>
      <c r="W10016" t="s">
        <v>42572</v>
      </c>
      <c r="X10016" t="s">
        <v>44774</v>
      </c>
    </row>
    <row r="10017" spans="1:24">
      <c r="A10017">
        <f>HYPERLINK("https://www.philgeps.gov.ph/GEPSNONPILOT/Tender/SplashBidNoticeAbstractUI.aspx?menuIndex=3&amp;refID=7131669&amp;Result=3","7131669")</f>
        <v>0</v>
      </c>
      <c r="B10017" t="s">
        <v>2862</v>
      </c>
      <c r="C10017" t="s">
        <v>13263</v>
      </c>
      <c r="D10017" t="s">
        <v>17959</v>
      </c>
      <c r="E10017" t="s">
        <v>26722</v>
      </c>
      <c r="F10017" t="s">
        <v>30900</v>
      </c>
      <c r="G10017" t="s">
        <v>30907</v>
      </c>
      <c r="H10017" t="s">
        <v>30916</v>
      </c>
      <c r="I10017" t="s">
        <v>30967</v>
      </c>
      <c r="J10017" t="s">
        <v>37305</v>
      </c>
      <c r="K10017" t="s">
        <v>40397</v>
      </c>
      <c r="M10017" t="s">
        <v>43922</v>
      </c>
      <c r="N10017" t="s">
        <v>44759</v>
      </c>
      <c r="O10017" t="s">
        <v>44760</v>
      </c>
      <c r="Q10017">
        <v>3</v>
      </c>
      <c r="R10017" t="s">
        <v>44770</v>
      </c>
      <c r="S10017" t="s">
        <v>45118</v>
      </c>
      <c r="T10017" t="s">
        <v>46411</v>
      </c>
      <c r="U10017" t="s">
        <v>55261</v>
      </c>
      <c r="W10017" t="s">
        <v>43922</v>
      </c>
      <c r="X10017" t="s">
        <v>44774</v>
      </c>
    </row>
    <row r="10018" spans="1:24">
      <c r="A10018">
        <f>HYPERLINK("https://www.philgeps.gov.ph/GEPSNONPILOT/Tender/SplashBidNoticeAbstractUI.aspx?menuIndex=3&amp;refID=7131614&amp;Result=3","7131614")</f>
        <v>0</v>
      </c>
      <c r="B10018" t="s">
        <v>3106</v>
      </c>
      <c r="C10018" t="s">
        <v>13264</v>
      </c>
      <c r="D10018" t="s">
        <v>18010</v>
      </c>
      <c r="E10018" t="s">
        <v>26723</v>
      </c>
      <c r="F10018" t="s">
        <v>30900</v>
      </c>
      <c r="G10018" t="s">
        <v>30907</v>
      </c>
      <c r="H10018" t="s">
        <v>30915</v>
      </c>
      <c r="I10018" t="s">
        <v>30919</v>
      </c>
      <c r="J10018" t="s">
        <v>31243</v>
      </c>
      <c r="K10018" t="s">
        <v>40308</v>
      </c>
      <c r="M10018" t="s">
        <v>43918</v>
      </c>
      <c r="N10018" t="s">
        <v>44759</v>
      </c>
      <c r="O10018" t="s">
        <v>44760</v>
      </c>
      <c r="P10018">
        <v>0</v>
      </c>
      <c r="Q10018">
        <v>25</v>
      </c>
      <c r="R10018" t="s">
        <v>44770</v>
      </c>
      <c r="S10018" t="s">
        <v>45105</v>
      </c>
      <c r="T10018" t="s">
        <v>46606</v>
      </c>
      <c r="U10018" t="s">
        <v>55262</v>
      </c>
      <c r="V10018" t="s">
        <v>59391</v>
      </c>
      <c r="W10018" t="s">
        <v>43918</v>
      </c>
      <c r="X10018" t="s">
        <v>44774</v>
      </c>
    </row>
    <row r="10019" spans="1:24">
      <c r="A10019">
        <f>HYPERLINK("https://www.philgeps.gov.ph/GEPSNONPILOT/Tender/SplashBidNoticeAbstractUI.aspx?menuIndex=3&amp;refID=7131381&amp;Result=3","7131381")</f>
        <v>0</v>
      </c>
      <c r="B10019" t="s">
        <v>3106</v>
      </c>
      <c r="C10019" t="s">
        <v>13265</v>
      </c>
      <c r="D10019" t="s">
        <v>18010</v>
      </c>
      <c r="E10019" t="s">
        <v>26724</v>
      </c>
      <c r="F10019" t="s">
        <v>30900</v>
      </c>
      <c r="G10019" t="s">
        <v>30907</v>
      </c>
      <c r="H10019" t="s">
        <v>30915</v>
      </c>
      <c r="I10019" t="s">
        <v>30919</v>
      </c>
      <c r="J10019" t="s">
        <v>31243</v>
      </c>
      <c r="K10019" t="s">
        <v>40302</v>
      </c>
      <c r="M10019" t="s">
        <v>43918</v>
      </c>
      <c r="N10019" t="s">
        <v>44759</v>
      </c>
      <c r="O10019" t="s">
        <v>44760</v>
      </c>
      <c r="P10019">
        <v>0</v>
      </c>
      <c r="Q10019">
        <v>25</v>
      </c>
      <c r="R10019" t="s">
        <v>44770</v>
      </c>
      <c r="S10019" t="s">
        <v>45105</v>
      </c>
      <c r="T10019" t="s">
        <v>46606</v>
      </c>
      <c r="U10019" t="s">
        <v>55263</v>
      </c>
      <c r="V10019" t="s">
        <v>59391</v>
      </c>
      <c r="W10019" t="s">
        <v>43918</v>
      </c>
      <c r="X10019" t="s">
        <v>44774</v>
      </c>
    </row>
    <row r="10020" spans="1:24">
      <c r="A10020">
        <f>HYPERLINK("https://www.philgeps.gov.ph/GEPSNONPILOT/Tender/SplashBidNoticeAbstractUI.aspx?menuIndex=3&amp;refID=7131439&amp;Result=3","7131439")</f>
        <v>0</v>
      </c>
      <c r="B10020" t="s">
        <v>1109</v>
      </c>
      <c r="C10020" t="s">
        <v>13266</v>
      </c>
      <c r="D10020" t="s">
        <v>17959</v>
      </c>
      <c r="E10020" t="s">
        <v>26725</v>
      </c>
      <c r="F10020" t="s">
        <v>30900</v>
      </c>
      <c r="G10020" t="s">
        <v>30907</v>
      </c>
      <c r="H10020" t="s">
        <v>30916</v>
      </c>
      <c r="I10020" t="s">
        <v>30940</v>
      </c>
      <c r="J10020" t="s">
        <v>37306</v>
      </c>
      <c r="K10020" t="s">
        <v>40293</v>
      </c>
      <c r="M10020" t="s">
        <v>42623</v>
      </c>
      <c r="N10020" t="s">
        <v>44759</v>
      </c>
      <c r="O10020" t="s">
        <v>44760</v>
      </c>
      <c r="P10020">
        <v>0</v>
      </c>
      <c r="Q10020">
        <v>9</v>
      </c>
      <c r="R10020" t="s">
        <v>44770</v>
      </c>
      <c r="S10020" t="s">
        <v>45105</v>
      </c>
      <c r="T10020" t="s">
        <v>46488</v>
      </c>
      <c r="U10020" t="s">
        <v>55264</v>
      </c>
      <c r="W10020" t="s">
        <v>42623</v>
      </c>
      <c r="X10020" t="s">
        <v>44774</v>
      </c>
    </row>
    <row r="10021" spans="1:24">
      <c r="A10021">
        <f>HYPERLINK("https://www.philgeps.gov.ph/GEPSNONPILOT/Tender/SplashBidNoticeAbstractUI.aspx?menuIndex=3&amp;refID=7132584&amp;Result=3","7132584")</f>
        <v>0</v>
      </c>
      <c r="B10021" t="s">
        <v>2862</v>
      </c>
      <c r="C10021" t="s">
        <v>13267</v>
      </c>
      <c r="D10021" t="s">
        <v>17959</v>
      </c>
      <c r="E10021" t="s">
        <v>26726</v>
      </c>
      <c r="F10021" t="s">
        <v>30900</v>
      </c>
      <c r="G10021" t="s">
        <v>30906</v>
      </c>
      <c r="H10021" t="s">
        <v>30916</v>
      </c>
      <c r="I10021" t="s">
        <v>30966</v>
      </c>
      <c r="J10021" t="s">
        <v>37307</v>
      </c>
      <c r="K10021" t="s">
        <v>40283</v>
      </c>
      <c r="M10021" t="s">
        <v>43923</v>
      </c>
      <c r="N10021" t="s">
        <v>44759</v>
      </c>
      <c r="O10021" t="s">
        <v>44760</v>
      </c>
      <c r="Q10021">
        <v>0</v>
      </c>
      <c r="R10021" t="s">
        <v>44770</v>
      </c>
      <c r="S10021" t="s">
        <v>45119</v>
      </c>
      <c r="T10021" t="s">
        <v>46357</v>
      </c>
      <c r="U10021" t="s">
        <v>55265</v>
      </c>
      <c r="V10021" t="s">
        <v>50643</v>
      </c>
      <c r="W10021" t="s">
        <v>43923</v>
      </c>
      <c r="X10021" t="s">
        <v>44774</v>
      </c>
    </row>
    <row r="10022" spans="1:24">
      <c r="A10022">
        <f>HYPERLINK("https://www.philgeps.gov.ph/GEPSNONPILOT/Tender/SplashBidNoticeAbstractUI.aspx?menuIndex=3&amp;refID=7130526&amp;Result=3","7130526")</f>
        <v>0</v>
      </c>
      <c r="B10022" t="s">
        <v>1992</v>
      </c>
      <c r="C10022" t="s">
        <v>13268</v>
      </c>
      <c r="D10022" t="s">
        <v>17993</v>
      </c>
      <c r="E10022" t="s">
        <v>26727</v>
      </c>
      <c r="F10022" t="s">
        <v>30900</v>
      </c>
      <c r="G10022" t="s">
        <v>30907</v>
      </c>
      <c r="H10022" t="s">
        <v>30916</v>
      </c>
      <c r="I10022" t="s">
        <v>30933</v>
      </c>
      <c r="J10022" t="s">
        <v>31214</v>
      </c>
      <c r="K10022" t="s">
        <v>40286</v>
      </c>
      <c r="M10022" t="s">
        <v>42683</v>
      </c>
      <c r="N10022" t="s">
        <v>44759</v>
      </c>
      <c r="O10022" t="s">
        <v>44760</v>
      </c>
      <c r="P10022">
        <v>0</v>
      </c>
      <c r="Q10022">
        <v>8</v>
      </c>
      <c r="R10022" t="s">
        <v>44770</v>
      </c>
      <c r="S10022" t="s">
        <v>45105</v>
      </c>
      <c r="T10022" t="s">
        <v>46544</v>
      </c>
      <c r="U10022" t="s">
        <v>55266</v>
      </c>
      <c r="V10022" t="s">
        <v>59698</v>
      </c>
      <c r="W10022" t="s">
        <v>42683</v>
      </c>
      <c r="X10022" t="s">
        <v>44774</v>
      </c>
    </row>
    <row r="10023" spans="1:24">
      <c r="A10023">
        <f>HYPERLINK("https://www.philgeps.gov.ph/GEPSNONPILOT/Tender/SplashBidNoticeAbstractUI.aspx?menuIndex=3&amp;refID=7132734&amp;Result=3","7132734")</f>
        <v>0</v>
      </c>
      <c r="B10023" t="s">
        <v>3110</v>
      </c>
      <c r="C10023" t="s">
        <v>13269</v>
      </c>
      <c r="D10023" t="s">
        <v>18014</v>
      </c>
      <c r="E10023" t="s">
        <v>26728</v>
      </c>
      <c r="F10023" t="s">
        <v>30900</v>
      </c>
      <c r="G10023" t="s">
        <v>30907</v>
      </c>
      <c r="H10023" t="s">
        <v>30916</v>
      </c>
      <c r="I10023" t="s">
        <v>30927</v>
      </c>
      <c r="J10023" t="s">
        <v>31096</v>
      </c>
      <c r="K10023" t="s">
        <v>40283</v>
      </c>
      <c r="M10023" t="s">
        <v>43924</v>
      </c>
      <c r="N10023" t="s">
        <v>44759</v>
      </c>
      <c r="O10023" t="s">
        <v>44760</v>
      </c>
      <c r="P10023">
        <v>0</v>
      </c>
      <c r="Q10023">
        <v>0</v>
      </c>
      <c r="R10023" t="s">
        <v>44770</v>
      </c>
      <c r="S10023" t="s">
        <v>45105</v>
      </c>
      <c r="T10023" t="s">
        <v>46406</v>
      </c>
      <c r="U10023" t="s">
        <v>55267</v>
      </c>
      <c r="W10023" t="s">
        <v>43924</v>
      </c>
      <c r="X10023" t="s">
        <v>44773</v>
      </c>
    </row>
    <row r="10024" spans="1:24">
      <c r="A10024">
        <f>HYPERLINK("https://www.philgeps.gov.ph/GEPSNONPILOT/Tender/SplashBidNoticeAbstractUI.aspx?menuIndex=3&amp;refID=7129218&amp;Result=3","7129218")</f>
        <v>0</v>
      </c>
      <c r="B10024" t="s">
        <v>1417</v>
      </c>
      <c r="C10024" t="s">
        <v>13270</v>
      </c>
      <c r="D10024" t="s">
        <v>17996</v>
      </c>
      <c r="E10024" t="s">
        <v>26729</v>
      </c>
      <c r="F10024" t="s">
        <v>30900</v>
      </c>
      <c r="G10024" t="s">
        <v>30907</v>
      </c>
      <c r="H10024" t="s">
        <v>30916</v>
      </c>
      <c r="I10024" t="s">
        <v>30929</v>
      </c>
      <c r="J10024" t="s">
        <v>37308</v>
      </c>
      <c r="K10024" t="s">
        <v>40289</v>
      </c>
      <c r="M10024" t="s">
        <v>43020</v>
      </c>
      <c r="N10024" t="s">
        <v>44759</v>
      </c>
      <c r="O10024" t="s">
        <v>44760</v>
      </c>
      <c r="P10024">
        <v>0</v>
      </c>
      <c r="Q10024">
        <v>25</v>
      </c>
      <c r="R10024" t="s">
        <v>44770</v>
      </c>
      <c r="S10024" t="s">
        <v>45105</v>
      </c>
      <c r="T10024" t="s">
        <v>46472</v>
      </c>
      <c r="U10024" t="s">
        <v>55268</v>
      </c>
      <c r="W10024" t="s">
        <v>43020</v>
      </c>
      <c r="X10024" t="s">
        <v>44775</v>
      </c>
    </row>
    <row r="10025" spans="1:24">
      <c r="A10025">
        <f>HYPERLINK("https://www.philgeps.gov.ph/GEPSNONPILOT/Tender/SplashBidNoticeAbstractUI.aspx?menuIndex=3&amp;refID=7132631&amp;Result=3","7132631")</f>
        <v>0</v>
      </c>
      <c r="B10025" t="s">
        <v>3111</v>
      </c>
      <c r="C10025" t="s">
        <v>13271</v>
      </c>
      <c r="D10025" t="s">
        <v>17953</v>
      </c>
      <c r="E10025" t="s">
        <v>26730</v>
      </c>
      <c r="F10025" t="s">
        <v>30904</v>
      </c>
      <c r="G10025" t="s">
        <v>30907</v>
      </c>
      <c r="H10025" t="s">
        <v>30916</v>
      </c>
      <c r="I10025" t="s">
        <v>30925</v>
      </c>
      <c r="J10025" t="s">
        <v>31101</v>
      </c>
      <c r="K10025" t="s">
        <v>40287</v>
      </c>
      <c r="M10025" t="s">
        <v>43925</v>
      </c>
      <c r="N10025" t="s">
        <v>44759</v>
      </c>
      <c r="O10025" t="s">
        <v>44760</v>
      </c>
      <c r="P10025">
        <v>0</v>
      </c>
      <c r="Q10025">
        <v>1</v>
      </c>
      <c r="R10025" t="s">
        <v>44770</v>
      </c>
      <c r="S10025" t="s">
        <v>45105</v>
      </c>
      <c r="T10025" t="s">
        <v>46519</v>
      </c>
      <c r="U10025" t="s">
        <v>55269</v>
      </c>
      <c r="W10025" t="s">
        <v>43925</v>
      </c>
      <c r="X10025" t="s">
        <v>44774</v>
      </c>
    </row>
    <row r="10026" spans="1:24">
      <c r="A10026">
        <f>HYPERLINK("https://www.philgeps.gov.ph/GEPSNONPILOT/Tender/SplashBidNoticeAbstractUI.aspx?menuIndex=3&amp;refID=7132604&amp;Result=3","7132604")</f>
        <v>0</v>
      </c>
      <c r="B10026" t="s">
        <v>2862</v>
      </c>
      <c r="C10026" t="s">
        <v>13272</v>
      </c>
      <c r="D10026" t="s">
        <v>17959</v>
      </c>
      <c r="E10026" t="s">
        <v>26726</v>
      </c>
      <c r="F10026" t="s">
        <v>30900</v>
      </c>
      <c r="G10026" t="s">
        <v>30906</v>
      </c>
      <c r="H10026" t="s">
        <v>30916</v>
      </c>
      <c r="I10026" t="s">
        <v>30966</v>
      </c>
      <c r="J10026" t="s">
        <v>34400</v>
      </c>
      <c r="K10026" t="s">
        <v>40283</v>
      </c>
      <c r="M10026" t="s">
        <v>43923</v>
      </c>
      <c r="N10026" t="s">
        <v>44759</v>
      </c>
      <c r="O10026" t="s">
        <v>44760</v>
      </c>
      <c r="Q10026">
        <v>0</v>
      </c>
      <c r="R10026" t="s">
        <v>44770</v>
      </c>
      <c r="S10026" t="s">
        <v>45120</v>
      </c>
      <c r="T10026" t="s">
        <v>46357</v>
      </c>
      <c r="U10026" t="s">
        <v>55265</v>
      </c>
      <c r="V10026" t="s">
        <v>50643</v>
      </c>
      <c r="W10026" t="s">
        <v>43923</v>
      </c>
      <c r="X10026" t="s">
        <v>44774</v>
      </c>
    </row>
    <row r="10027" spans="1:24">
      <c r="A10027">
        <f>HYPERLINK("https://www.philgeps.gov.ph/GEPSNONPILOT/Tender/SplashBidNoticeAbstractUI.aspx?menuIndex=3&amp;refID=7132553&amp;Result=3","7132553")</f>
        <v>0</v>
      </c>
      <c r="B10027" t="s">
        <v>2862</v>
      </c>
      <c r="C10027" t="s">
        <v>13273</v>
      </c>
      <c r="D10027" t="s">
        <v>17959</v>
      </c>
      <c r="E10027" t="s">
        <v>26726</v>
      </c>
      <c r="F10027" t="s">
        <v>30900</v>
      </c>
      <c r="G10027" t="s">
        <v>30906</v>
      </c>
      <c r="H10027" t="s">
        <v>30916</v>
      </c>
      <c r="I10027" t="s">
        <v>30966</v>
      </c>
      <c r="J10027" t="s">
        <v>31497</v>
      </c>
      <c r="K10027" t="s">
        <v>40283</v>
      </c>
      <c r="M10027" t="s">
        <v>43923</v>
      </c>
      <c r="N10027" t="s">
        <v>44759</v>
      </c>
      <c r="O10027" t="s">
        <v>44760</v>
      </c>
      <c r="Q10027">
        <v>0</v>
      </c>
      <c r="R10027" t="s">
        <v>44770</v>
      </c>
      <c r="S10027" t="s">
        <v>45121</v>
      </c>
      <c r="T10027" t="s">
        <v>46357</v>
      </c>
      <c r="U10027" t="s">
        <v>55270</v>
      </c>
      <c r="V10027" t="s">
        <v>50643</v>
      </c>
      <c r="W10027" t="s">
        <v>43923</v>
      </c>
      <c r="X10027" t="s">
        <v>44774</v>
      </c>
    </row>
    <row r="10028" spans="1:24">
      <c r="A10028">
        <f>HYPERLINK("https://www.philgeps.gov.ph/GEPSNONPILOT/Tender/SplashBidNoticeAbstractUI.aspx?menuIndex=3&amp;refID=7132616&amp;Result=3","7132616")</f>
        <v>0</v>
      </c>
      <c r="B10028" t="s">
        <v>2862</v>
      </c>
      <c r="C10028" t="s">
        <v>13274</v>
      </c>
      <c r="D10028" t="s">
        <v>17959</v>
      </c>
      <c r="E10028" t="s">
        <v>26726</v>
      </c>
      <c r="F10028" t="s">
        <v>30900</v>
      </c>
      <c r="G10028" t="s">
        <v>30906</v>
      </c>
      <c r="H10028" t="s">
        <v>30916</v>
      </c>
      <c r="I10028" t="s">
        <v>30966</v>
      </c>
      <c r="J10028" t="s">
        <v>37309</v>
      </c>
      <c r="K10028" t="s">
        <v>40283</v>
      </c>
      <c r="M10028" t="s">
        <v>43923</v>
      </c>
      <c r="N10028" t="s">
        <v>44759</v>
      </c>
      <c r="O10028" t="s">
        <v>44760</v>
      </c>
      <c r="Q10028">
        <v>1</v>
      </c>
      <c r="R10028" t="s">
        <v>44770</v>
      </c>
      <c r="S10028" t="s">
        <v>45122</v>
      </c>
      <c r="T10028" t="s">
        <v>46357</v>
      </c>
      <c r="U10028" t="s">
        <v>55270</v>
      </c>
      <c r="V10028" t="s">
        <v>50643</v>
      </c>
      <c r="W10028" t="s">
        <v>43923</v>
      </c>
      <c r="X10028" t="s">
        <v>44774</v>
      </c>
    </row>
    <row r="10029" spans="1:24">
      <c r="A10029">
        <f>HYPERLINK("https://www.philgeps.gov.ph/GEPSNONPILOT/Tender/SplashBidNoticeAbstractUI.aspx?menuIndex=3&amp;refID=7132577&amp;Result=3","7132577")</f>
        <v>0</v>
      </c>
      <c r="B10029" t="s">
        <v>2862</v>
      </c>
      <c r="C10029" t="s">
        <v>13275</v>
      </c>
      <c r="D10029" t="s">
        <v>17959</v>
      </c>
      <c r="E10029" t="s">
        <v>26726</v>
      </c>
      <c r="F10029" t="s">
        <v>30900</v>
      </c>
      <c r="G10029" t="s">
        <v>30906</v>
      </c>
      <c r="H10029" t="s">
        <v>30916</v>
      </c>
      <c r="I10029" t="s">
        <v>30966</v>
      </c>
      <c r="J10029" t="s">
        <v>37310</v>
      </c>
      <c r="K10029" t="s">
        <v>40283</v>
      </c>
      <c r="M10029" t="s">
        <v>43923</v>
      </c>
      <c r="N10029" t="s">
        <v>44759</v>
      </c>
      <c r="O10029" t="s">
        <v>44760</v>
      </c>
      <c r="Q10029">
        <v>1</v>
      </c>
      <c r="R10029" t="s">
        <v>44770</v>
      </c>
      <c r="S10029" t="s">
        <v>45123</v>
      </c>
      <c r="T10029" t="s">
        <v>46357</v>
      </c>
      <c r="U10029" t="s">
        <v>55265</v>
      </c>
      <c r="V10029" t="s">
        <v>50643</v>
      </c>
      <c r="W10029" t="s">
        <v>43923</v>
      </c>
      <c r="X10029" t="s">
        <v>44774</v>
      </c>
    </row>
    <row r="10030" spans="1:24">
      <c r="A10030">
        <f>HYPERLINK("https://www.philgeps.gov.ph/GEPSNONPILOT/Tender/SplashBidNoticeAbstractUI.aspx?menuIndex=3&amp;refID=7132594&amp;Result=3","7132594")</f>
        <v>0</v>
      </c>
      <c r="B10030" t="s">
        <v>2862</v>
      </c>
      <c r="C10030" t="s">
        <v>13276</v>
      </c>
      <c r="D10030" t="s">
        <v>17959</v>
      </c>
      <c r="E10030" t="s">
        <v>26726</v>
      </c>
      <c r="F10030" t="s">
        <v>30900</v>
      </c>
      <c r="G10030" t="s">
        <v>30906</v>
      </c>
      <c r="H10030" t="s">
        <v>30916</v>
      </c>
      <c r="I10030" t="s">
        <v>30966</v>
      </c>
      <c r="J10030" t="s">
        <v>31183</v>
      </c>
      <c r="K10030" t="s">
        <v>40283</v>
      </c>
      <c r="M10030" t="s">
        <v>43923</v>
      </c>
      <c r="N10030" t="s">
        <v>44759</v>
      </c>
      <c r="O10030" t="s">
        <v>44760</v>
      </c>
      <c r="Q10030">
        <v>0</v>
      </c>
      <c r="R10030" t="s">
        <v>44770</v>
      </c>
      <c r="S10030" t="s">
        <v>45124</v>
      </c>
      <c r="T10030" t="s">
        <v>46376</v>
      </c>
      <c r="U10030" t="s">
        <v>55270</v>
      </c>
      <c r="V10030" t="s">
        <v>50643</v>
      </c>
      <c r="W10030" t="s">
        <v>43923</v>
      </c>
      <c r="X10030" t="s">
        <v>44774</v>
      </c>
    </row>
    <row r="10031" spans="1:24">
      <c r="A10031">
        <f>HYPERLINK("https://www.philgeps.gov.ph/GEPSNONPILOT/Tender/SplashBidNoticeAbstractUI.aspx?menuIndex=3&amp;refID=7132552&amp;Result=3","7132552")</f>
        <v>0</v>
      </c>
      <c r="B10031" t="s">
        <v>3112</v>
      </c>
      <c r="C10031" t="s">
        <v>13277</v>
      </c>
      <c r="D10031" t="s">
        <v>17959</v>
      </c>
      <c r="E10031" t="s">
        <v>26731</v>
      </c>
      <c r="F10031" t="s">
        <v>30900</v>
      </c>
      <c r="G10031" t="s">
        <v>30907</v>
      </c>
      <c r="H10031" t="s">
        <v>30917</v>
      </c>
      <c r="I10031" t="s">
        <v>30919</v>
      </c>
      <c r="J10031" t="s">
        <v>37311</v>
      </c>
      <c r="K10031" t="s">
        <v>40286</v>
      </c>
      <c r="M10031" t="s">
        <v>43926</v>
      </c>
      <c r="N10031" t="s">
        <v>44759</v>
      </c>
      <c r="O10031" t="s">
        <v>44760</v>
      </c>
      <c r="P10031">
        <v>0</v>
      </c>
      <c r="Q10031">
        <v>2</v>
      </c>
      <c r="R10031" t="s">
        <v>44770</v>
      </c>
      <c r="S10031" t="s">
        <v>45105</v>
      </c>
      <c r="T10031" t="s">
        <v>46411</v>
      </c>
      <c r="U10031" t="s">
        <v>55271</v>
      </c>
      <c r="V10031" t="s">
        <v>60211</v>
      </c>
      <c r="W10031" t="s">
        <v>43926</v>
      </c>
      <c r="X10031" t="s">
        <v>44774</v>
      </c>
    </row>
    <row r="10032" spans="1:24">
      <c r="A10032">
        <f>HYPERLINK("https://www.philgeps.gov.ph/GEPSNONPILOT/Tender/SplashBidNoticeAbstractUI.aspx?menuIndex=3&amp;refID=7131539&amp;Result=3","7131539")</f>
        <v>0</v>
      </c>
      <c r="B10032" t="s">
        <v>1109</v>
      </c>
      <c r="C10032" t="s">
        <v>13278</v>
      </c>
      <c r="D10032" t="s">
        <v>17959</v>
      </c>
      <c r="E10032" t="s">
        <v>26732</v>
      </c>
      <c r="F10032" t="s">
        <v>30900</v>
      </c>
      <c r="G10032" t="s">
        <v>30907</v>
      </c>
      <c r="H10032" t="s">
        <v>30916</v>
      </c>
      <c r="I10032" t="s">
        <v>30940</v>
      </c>
      <c r="J10032" t="s">
        <v>37312</v>
      </c>
      <c r="K10032" t="s">
        <v>40293</v>
      </c>
      <c r="M10032" t="s">
        <v>42623</v>
      </c>
      <c r="N10032" t="s">
        <v>44759</v>
      </c>
      <c r="O10032" t="s">
        <v>44760</v>
      </c>
      <c r="P10032">
        <v>0</v>
      </c>
      <c r="Q10032">
        <v>11</v>
      </c>
      <c r="R10032" t="s">
        <v>44770</v>
      </c>
      <c r="S10032" t="s">
        <v>45105</v>
      </c>
      <c r="T10032" t="s">
        <v>46488</v>
      </c>
      <c r="U10032" t="s">
        <v>55272</v>
      </c>
      <c r="W10032" t="s">
        <v>42623</v>
      </c>
      <c r="X10032" t="s">
        <v>44774</v>
      </c>
    </row>
    <row r="10033" spans="1:24">
      <c r="A10033">
        <f>HYPERLINK("https://www.philgeps.gov.ph/GEPSNONPILOT/Tender/SplashBidNoticeAbstractUI.aspx?menuIndex=3&amp;refID=7133209&amp;Result=3","7133209")</f>
        <v>0</v>
      </c>
      <c r="B10033" t="s">
        <v>987</v>
      </c>
      <c r="C10033" t="s">
        <v>13279</v>
      </c>
      <c r="D10033" t="s">
        <v>17980</v>
      </c>
      <c r="E10033" t="s">
        <v>26733</v>
      </c>
      <c r="F10033" t="s">
        <v>30900</v>
      </c>
      <c r="G10033" t="s">
        <v>30907</v>
      </c>
      <c r="H10033" t="s">
        <v>30915</v>
      </c>
      <c r="I10033" t="s">
        <v>30919</v>
      </c>
      <c r="J10033" t="s">
        <v>37313</v>
      </c>
      <c r="K10033" t="s">
        <v>40289</v>
      </c>
      <c r="M10033" t="s">
        <v>43927</v>
      </c>
      <c r="N10033" t="s">
        <v>44759</v>
      </c>
      <c r="O10033" t="s">
        <v>44760</v>
      </c>
      <c r="P10033">
        <v>0</v>
      </c>
      <c r="Q10033">
        <v>15</v>
      </c>
      <c r="R10033" t="s">
        <v>44770</v>
      </c>
      <c r="S10033" t="s">
        <v>45105</v>
      </c>
      <c r="T10033" t="s">
        <v>46606</v>
      </c>
      <c r="U10033" t="s">
        <v>55273</v>
      </c>
      <c r="W10033" t="s">
        <v>43927</v>
      </c>
      <c r="X10033" t="s">
        <v>44773</v>
      </c>
    </row>
    <row r="10034" spans="1:24">
      <c r="A10034">
        <f>HYPERLINK("https://www.philgeps.gov.ph/GEPSNONPILOT/Tender/SplashBidNoticeAbstractUI.aspx?menuIndex=3&amp;refID=7132524&amp;Result=3","7132524")</f>
        <v>0</v>
      </c>
      <c r="B10034" t="s">
        <v>2862</v>
      </c>
      <c r="C10034" t="s">
        <v>13280</v>
      </c>
      <c r="D10034" t="s">
        <v>17959</v>
      </c>
      <c r="E10034" t="s">
        <v>26726</v>
      </c>
      <c r="F10034" t="s">
        <v>30900</v>
      </c>
      <c r="G10034" t="s">
        <v>30906</v>
      </c>
      <c r="H10034" t="s">
        <v>30916</v>
      </c>
      <c r="I10034" t="s">
        <v>30966</v>
      </c>
      <c r="J10034" t="s">
        <v>32854</v>
      </c>
      <c r="K10034" t="s">
        <v>40283</v>
      </c>
      <c r="M10034" t="s">
        <v>43923</v>
      </c>
      <c r="N10034" t="s">
        <v>44759</v>
      </c>
      <c r="O10034" t="s">
        <v>44760</v>
      </c>
      <c r="Q10034">
        <v>1</v>
      </c>
      <c r="R10034" t="s">
        <v>44770</v>
      </c>
      <c r="S10034" t="s">
        <v>45125</v>
      </c>
      <c r="T10034" t="s">
        <v>46357</v>
      </c>
      <c r="U10034" t="s">
        <v>55270</v>
      </c>
      <c r="V10034" t="s">
        <v>50643</v>
      </c>
      <c r="W10034" t="s">
        <v>43923</v>
      </c>
      <c r="X10034" t="s">
        <v>44774</v>
      </c>
    </row>
    <row r="10035" spans="1:24">
      <c r="A10035">
        <f>HYPERLINK("https://www.philgeps.gov.ph/GEPSNONPILOT/Tender/SplashBidNoticeAbstractUI.aspx?menuIndex=3&amp;refID=7132565&amp;Result=3","7132565")</f>
        <v>0</v>
      </c>
      <c r="B10035" t="s">
        <v>2862</v>
      </c>
      <c r="C10035" t="s">
        <v>13281</v>
      </c>
      <c r="D10035" t="s">
        <v>17959</v>
      </c>
      <c r="E10035" t="s">
        <v>26726</v>
      </c>
      <c r="F10035" t="s">
        <v>30900</v>
      </c>
      <c r="G10035" t="s">
        <v>30906</v>
      </c>
      <c r="H10035" t="s">
        <v>30916</v>
      </c>
      <c r="I10035" t="s">
        <v>30966</v>
      </c>
      <c r="J10035" t="s">
        <v>37314</v>
      </c>
      <c r="K10035" t="s">
        <v>40283</v>
      </c>
      <c r="M10035" t="s">
        <v>43923</v>
      </c>
      <c r="N10035" t="s">
        <v>44759</v>
      </c>
      <c r="O10035" t="s">
        <v>44760</v>
      </c>
      <c r="Q10035">
        <v>0</v>
      </c>
      <c r="R10035" t="s">
        <v>44770</v>
      </c>
      <c r="S10035" t="s">
        <v>45126</v>
      </c>
      <c r="T10035" t="s">
        <v>46357</v>
      </c>
      <c r="U10035" t="s">
        <v>55265</v>
      </c>
      <c r="V10035" t="s">
        <v>50643</v>
      </c>
      <c r="W10035" t="s">
        <v>43923</v>
      </c>
      <c r="X10035" t="s">
        <v>44774</v>
      </c>
    </row>
    <row r="10036" spans="1:24">
      <c r="A10036">
        <f>HYPERLINK("https://www.philgeps.gov.ph/GEPSNONPILOT/Tender/SplashBidNoticeAbstractUI.aspx?menuIndex=3&amp;refID=7133323&amp;Result=3","7133323")</f>
        <v>0</v>
      </c>
      <c r="B10036" t="s">
        <v>987</v>
      </c>
      <c r="C10036" t="s">
        <v>13282</v>
      </c>
      <c r="E10036" t="s">
        <v>26734</v>
      </c>
      <c r="F10036" t="s">
        <v>30900</v>
      </c>
      <c r="G10036" t="s">
        <v>30907</v>
      </c>
      <c r="H10036" t="s">
        <v>30915</v>
      </c>
      <c r="I10036" t="s">
        <v>30919</v>
      </c>
      <c r="J10036" t="s">
        <v>31157</v>
      </c>
      <c r="K10036" t="s">
        <v>40289</v>
      </c>
      <c r="M10036" t="s">
        <v>43927</v>
      </c>
      <c r="N10036" t="s">
        <v>44759</v>
      </c>
      <c r="O10036" t="s">
        <v>44760</v>
      </c>
      <c r="P10036">
        <v>0</v>
      </c>
      <c r="Q10036">
        <v>4</v>
      </c>
      <c r="R10036" t="s">
        <v>44770</v>
      </c>
      <c r="S10036" t="s">
        <v>45105</v>
      </c>
      <c r="T10036" t="s">
        <v>46606</v>
      </c>
      <c r="U10036" t="s">
        <v>55274</v>
      </c>
      <c r="W10036" t="s">
        <v>43927</v>
      </c>
      <c r="X10036" t="s">
        <v>44773</v>
      </c>
    </row>
    <row r="10037" spans="1:24">
      <c r="A10037">
        <f>HYPERLINK("https://www.philgeps.gov.ph/GEPSNONPILOT/Tender/SplashBidNoticeAbstractUI.aspx?menuIndex=3&amp;refID=7133300&amp;Result=3","7133300")</f>
        <v>0</v>
      </c>
      <c r="B10037" t="s">
        <v>987</v>
      </c>
      <c r="C10037" t="s">
        <v>13283</v>
      </c>
      <c r="D10037" t="s">
        <v>17980</v>
      </c>
      <c r="E10037" t="s">
        <v>26735</v>
      </c>
      <c r="F10037" t="s">
        <v>30900</v>
      </c>
      <c r="G10037" t="s">
        <v>30907</v>
      </c>
      <c r="H10037" t="s">
        <v>30915</v>
      </c>
      <c r="I10037" t="s">
        <v>30919</v>
      </c>
      <c r="J10037" t="s">
        <v>31157</v>
      </c>
      <c r="K10037" t="s">
        <v>40289</v>
      </c>
      <c r="M10037" t="s">
        <v>43927</v>
      </c>
      <c r="N10037" t="s">
        <v>44759</v>
      </c>
      <c r="O10037" t="s">
        <v>44760</v>
      </c>
      <c r="P10037">
        <v>0</v>
      </c>
      <c r="Q10037">
        <v>4</v>
      </c>
      <c r="R10037" t="s">
        <v>44770</v>
      </c>
      <c r="S10037" t="s">
        <v>45105</v>
      </c>
      <c r="T10037" t="s">
        <v>46606</v>
      </c>
      <c r="U10037" t="s">
        <v>55275</v>
      </c>
      <c r="W10037" t="s">
        <v>43927</v>
      </c>
      <c r="X10037" t="s">
        <v>44773</v>
      </c>
    </row>
    <row r="10038" spans="1:24">
      <c r="A10038">
        <f>HYPERLINK("https://www.philgeps.gov.ph/GEPSNONPILOT/Tender/SplashBidNoticeAbstractUI.aspx?menuIndex=3&amp;refID=7132538&amp;Result=3","7132538")</f>
        <v>0</v>
      </c>
      <c r="B10038" t="s">
        <v>2862</v>
      </c>
      <c r="C10038" t="s">
        <v>13284</v>
      </c>
      <c r="D10038" t="s">
        <v>17959</v>
      </c>
      <c r="E10038" t="s">
        <v>26726</v>
      </c>
      <c r="F10038" t="s">
        <v>30900</v>
      </c>
      <c r="G10038" t="s">
        <v>30906</v>
      </c>
      <c r="H10038" t="s">
        <v>30916</v>
      </c>
      <c r="I10038" t="s">
        <v>30966</v>
      </c>
      <c r="J10038" t="s">
        <v>37315</v>
      </c>
      <c r="K10038" t="s">
        <v>40283</v>
      </c>
      <c r="M10038" t="s">
        <v>43923</v>
      </c>
      <c r="N10038" t="s">
        <v>44759</v>
      </c>
      <c r="O10038" t="s">
        <v>44760</v>
      </c>
      <c r="Q10038">
        <v>0</v>
      </c>
      <c r="R10038" t="s">
        <v>44770</v>
      </c>
      <c r="S10038" t="s">
        <v>45127</v>
      </c>
      <c r="T10038" t="s">
        <v>46357</v>
      </c>
      <c r="U10038" t="s">
        <v>55265</v>
      </c>
      <c r="V10038" t="s">
        <v>50643</v>
      </c>
      <c r="W10038" t="s">
        <v>43923</v>
      </c>
      <c r="X10038" t="s">
        <v>44774</v>
      </c>
    </row>
    <row r="10039" spans="1:24">
      <c r="A10039">
        <f>HYPERLINK("https://www.philgeps.gov.ph/GEPSNONPILOT/Tender/SplashBidNoticeAbstractUI.aspx?menuIndex=3&amp;refID=7132490&amp;Result=3","7132490")</f>
        <v>0</v>
      </c>
      <c r="B10039" t="s">
        <v>2862</v>
      </c>
      <c r="C10039" t="s">
        <v>13285</v>
      </c>
      <c r="D10039" t="s">
        <v>17959</v>
      </c>
      <c r="E10039" t="s">
        <v>26726</v>
      </c>
      <c r="F10039" t="s">
        <v>30900</v>
      </c>
      <c r="G10039" t="s">
        <v>30906</v>
      </c>
      <c r="H10039" t="s">
        <v>30916</v>
      </c>
      <c r="I10039" t="s">
        <v>30966</v>
      </c>
      <c r="J10039" t="s">
        <v>37316</v>
      </c>
      <c r="K10039" t="s">
        <v>40283</v>
      </c>
      <c r="M10039" t="s">
        <v>43923</v>
      </c>
      <c r="N10039" t="s">
        <v>44759</v>
      </c>
      <c r="O10039" t="s">
        <v>44760</v>
      </c>
      <c r="Q10039">
        <v>3</v>
      </c>
      <c r="R10039" t="s">
        <v>44770</v>
      </c>
      <c r="S10039" t="s">
        <v>45128</v>
      </c>
      <c r="T10039" t="s">
        <v>46357</v>
      </c>
      <c r="U10039" t="s">
        <v>55265</v>
      </c>
      <c r="V10039" t="s">
        <v>50643</v>
      </c>
      <c r="W10039" t="s">
        <v>43923</v>
      </c>
      <c r="X10039" t="s">
        <v>44774</v>
      </c>
    </row>
    <row r="10040" spans="1:24">
      <c r="A10040">
        <f>HYPERLINK("https://www.philgeps.gov.ph/GEPSNONPILOT/Tender/SplashBidNoticeAbstractUI.aspx?menuIndex=3&amp;refID=7132851&amp;Result=3","7132851")</f>
        <v>0</v>
      </c>
      <c r="B10040" t="s">
        <v>1000</v>
      </c>
      <c r="C10040" t="s">
        <v>13286</v>
      </c>
      <c r="D10040" t="s">
        <v>18001</v>
      </c>
      <c r="E10040" t="s">
        <v>26736</v>
      </c>
      <c r="F10040" t="s">
        <v>30900</v>
      </c>
      <c r="G10040" t="s">
        <v>30907</v>
      </c>
      <c r="H10040" t="s">
        <v>30915</v>
      </c>
      <c r="I10040" t="s">
        <v>30919</v>
      </c>
      <c r="J10040" t="s">
        <v>37317</v>
      </c>
      <c r="K10040" t="s">
        <v>40293</v>
      </c>
      <c r="M10040" t="s">
        <v>41589</v>
      </c>
      <c r="N10040" t="s">
        <v>44759</v>
      </c>
      <c r="O10040" t="s">
        <v>44760</v>
      </c>
      <c r="P10040">
        <v>0</v>
      </c>
      <c r="Q10040">
        <v>2</v>
      </c>
      <c r="R10040" t="s">
        <v>44770</v>
      </c>
      <c r="S10040" t="s">
        <v>45105</v>
      </c>
      <c r="T10040" t="s">
        <v>46495</v>
      </c>
      <c r="U10040" t="s">
        <v>53985</v>
      </c>
      <c r="W10040" t="s">
        <v>41589</v>
      </c>
      <c r="X10040" t="s">
        <v>44773</v>
      </c>
    </row>
    <row r="10041" spans="1:24">
      <c r="A10041">
        <f>HYPERLINK("https://www.philgeps.gov.ph/GEPSNONPILOT/Tender/SplashBidNoticeAbstractUI.aspx?menuIndex=3&amp;refID=7133188&amp;Result=3","7133188")</f>
        <v>0</v>
      </c>
      <c r="B10041" t="s">
        <v>3113</v>
      </c>
      <c r="C10041" t="s">
        <v>13287</v>
      </c>
      <c r="D10041" t="s">
        <v>17966</v>
      </c>
      <c r="E10041" t="s">
        <v>18435</v>
      </c>
      <c r="F10041" t="s">
        <v>30900</v>
      </c>
      <c r="G10041" t="s">
        <v>30907</v>
      </c>
      <c r="H10041" t="s">
        <v>30916</v>
      </c>
      <c r="I10041" t="s">
        <v>30971</v>
      </c>
      <c r="J10041" t="s">
        <v>37318</v>
      </c>
      <c r="K10041" t="s">
        <v>40293</v>
      </c>
      <c r="M10041" t="s">
        <v>43928</v>
      </c>
      <c r="N10041" t="s">
        <v>44759</v>
      </c>
      <c r="O10041" t="s">
        <v>44760</v>
      </c>
      <c r="P10041">
        <v>0</v>
      </c>
      <c r="Q10041">
        <v>1</v>
      </c>
      <c r="R10041" t="s">
        <v>44770</v>
      </c>
      <c r="S10041" t="s">
        <v>45105</v>
      </c>
      <c r="T10041" t="s">
        <v>46606</v>
      </c>
      <c r="U10041" t="s">
        <v>55276</v>
      </c>
      <c r="W10041" t="s">
        <v>43928</v>
      </c>
      <c r="X10041" t="s">
        <v>44773</v>
      </c>
    </row>
    <row r="10042" spans="1:24">
      <c r="A10042">
        <f>HYPERLINK("https://www.philgeps.gov.ph/GEPSNONPILOT/Tender/SplashBidNoticeAbstractUI.aspx?menuIndex=3&amp;refID=7133161&amp;Result=3","7133161")</f>
        <v>0</v>
      </c>
      <c r="B10042" t="s">
        <v>177</v>
      </c>
      <c r="C10042" t="s">
        <v>13288</v>
      </c>
      <c r="D10042" t="s">
        <v>17999</v>
      </c>
      <c r="E10042" t="s">
        <v>26737</v>
      </c>
      <c r="F10042" t="s">
        <v>30900</v>
      </c>
      <c r="G10042" t="s">
        <v>30907</v>
      </c>
      <c r="H10042" t="s">
        <v>30915</v>
      </c>
      <c r="I10042" t="s">
        <v>30919</v>
      </c>
      <c r="J10042" t="s">
        <v>31152</v>
      </c>
      <c r="K10042" t="s">
        <v>40466</v>
      </c>
      <c r="M10042" t="s">
        <v>40724</v>
      </c>
      <c r="N10042" t="s">
        <v>44759</v>
      </c>
      <c r="O10042" t="s">
        <v>44760</v>
      </c>
      <c r="P10042">
        <v>0</v>
      </c>
      <c r="Q10042">
        <v>0</v>
      </c>
      <c r="R10042" t="s">
        <v>44770</v>
      </c>
      <c r="S10042" t="s">
        <v>45105</v>
      </c>
      <c r="T10042" t="s">
        <v>46844</v>
      </c>
      <c r="U10042" t="s">
        <v>55277</v>
      </c>
      <c r="W10042" t="s">
        <v>40724</v>
      </c>
      <c r="X10042" t="s">
        <v>44773</v>
      </c>
    </row>
    <row r="10043" spans="1:24">
      <c r="A10043">
        <f>HYPERLINK("https://www.philgeps.gov.ph/GEPSNONPILOT/Tender/SplashBidNoticeAbstractUI.aspx?menuIndex=3&amp;refID=7133145&amp;Result=3","7133145")</f>
        <v>0</v>
      </c>
      <c r="B10043" t="s">
        <v>3106</v>
      </c>
      <c r="C10043" t="s">
        <v>13289</v>
      </c>
      <c r="D10043" t="s">
        <v>18010</v>
      </c>
      <c r="E10043" t="s">
        <v>26738</v>
      </c>
      <c r="F10043" t="s">
        <v>30900</v>
      </c>
      <c r="G10043" t="s">
        <v>30907</v>
      </c>
      <c r="H10043" t="s">
        <v>30915</v>
      </c>
      <c r="I10043" t="s">
        <v>30919</v>
      </c>
      <c r="J10043" t="s">
        <v>31462</v>
      </c>
      <c r="K10043" t="s">
        <v>40342</v>
      </c>
      <c r="M10043" t="s">
        <v>43918</v>
      </c>
      <c r="N10043" t="s">
        <v>44759</v>
      </c>
      <c r="O10043" t="s">
        <v>44760</v>
      </c>
      <c r="P10043">
        <v>0</v>
      </c>
      <c r="Q10043">
        <v>57</v>
      </c>
      <c r="R10043" t="s">
        <v>44770</v>
      </c>
      <c r="S10043" t="s">
        <v>45105</v>
      </c>
      <c r="T10043" t="s">
        <v>46606</v>
      </c>
      <c r="U10043" t="s">
        <v>55278</v>
      </c>
      <c r="V10043" t="s">
        <v>59391</v>
      </c>
      <c r="W10043" t="s">
        <v>43918</v>
      </c>
      <c r="X10043" t="s">
        <v>44773</v>
      </c>
    </row>
    <row r="10044" spans="1:24">
      <c r="A10044">
        <f>HYPERLINK("https://www.philgeps.gov.ph/GEPSNONPILOT/Tender/SplashBidNoticeAbstractUI.aspx?menuIndex=3&amp;refID=7133215&amp;Result=3","7133215")</f>
        <v>0</v>
      </c>
      <c r="B10044" t="s">
        <v>1509</v>
      </c>
      <c r="C10044" t="s">
        <v>13290</v>
      </c>
      <c r="D10044" t="s">
        <v>17973</v>
      </c>
      <c r="E10044" t="s">
        <v>26739</v>
      </c>
      <c r="F10044" t="s">
        <v>30900</v>
      </c>
      <c r="G10044" t="s">
        <v>30907</v>
      </c>
      <c r="H10044" t="s">
        <v>7411</v>
      </c>
      <c r="I10044" t="s">
        <v>7411</v>
      </c>
      <c r="J10044" t="s">
        <v>31211</v>
      </c>
      <c r="K10044" t="s">
        <v>40289</v>
      </c>
      <c r="M10044" t="s">
        <v>42150</v>
      </c>
      <c r="N10044" t="s">
        <v>44759</v>
      </c>
      <c r="O10044" t="s">
        <v>44760</v>
      </c>
      <c r="P10044">
        <v>0</v>
      </c>
      <c r="Q10044">
        <v>2</v>
      </c>
      <c r="R10044" t="s">
        <v>44770</v>
      </c>
      <c r="S10044" t="s">
        <v>45105</v>
      </c>
      <c r="T10044" t="s">
        <v>46472</v>
      </c>
      <c r="U10044" t="s">
        <v>55279</v>
      </c>
      <c r="W10044" t="s">
        <v>42150</v>
      </c>
      <c r="X10044" t="s">
        <v>44773</v>
      </c>
    </row>
    <row r="10045" spans="1:24">
      <c r="A10045">
        <f>HYPERLINK("https://www.philgeps.gov.ph/GEPSNONPILOT/Tender/SplashBidNoticeAbstractUI.aspx?menuIndex=3&amp;refID=7133090&amp;Result=3","7133090")</f>
        <v>0</v>
      </c>
      <c r="B10045" t="s">
        <v>3069</v>
      </c>
      <c r="C10045" t="s">
        <v>13291</v>
      </c>
      <c r="D10045" t="s">
        <v>17975</v>
      </c>
      <c r="E10045" t="s">
        <v>26566</v>
      </c>
      <c r="F10045" t="s">
        <v>30899</v>
      </c>
      <c r="G10045" t="s">
        <v>30907</v>
      </c>
      <c r="H10045" t="s">
        <v>30916</v>
      </c>
      <c r="I10045" t="s">
        <v>5501</v>
      </c>
      <c r="J10045" t="s">
        <v>31183</v>
      </c>
      <c r="K10045" t="s">
        <v>40294</v>
      </c>
      <c r="L10045" t="s">
        <v>3069</v>
      </c>
      <c r="M10045" t="s">
        <v>43880</v>
      </c>
      <c r="N10045" t="s">
        <v>44759</v>
      </c>
      <c r="O10045" t="s">
        <v>44760</v>
      </c>
      <c r="P10045">
        <v>0</v>
      </c>
      <c r="Q10045">
        <v>0</v>
      </c>
      <c r="R10045" t="s">
        <v>44770</v>
      </c>
      <c r="S10045" t="s">
        <v>45105</v>
      </c>
      <c r="T10045" t="s">
        <v>46429</v>
      </c>
      <c r="U10045" t="s">
        <v>55280</v>
      </c>
      <c r="V10045" t="s">
        <v>60212</v>
      </c>
      <c r="W10045" t="s">
        <v>43880</v>
      </c>
      <c r="X10045" t="s">
        <v>44773</v>
      </c>
    </row>
    <row r="10046" spans="1:24">
      <c r="A10046">
        <f>HYPERLINK("https://www.philgeps.gov.ph/GEPSNONPILOT/Tender/SplashBidNoticeAbstractUI.aspx?menuIndex=3&amp;refID=7132503&amp;Result=3","7132503")</f>
        <v>0</v>
      </c>
      <c r="B10046" t="s">
        <v>2862</v>
      </c>
      <c r="C10046" t="s">
        <v>13292</v>
      </c>
      <c r="D10046" t="s">
        <v>17959</v>
      </c>
      <c r="E10046" t="s">
        <v>26726</v>
      </c>
      <c r="F10046" t="s">
        <v>30900</v>
      </c>
      <c r="G10046" t="s">
        <v>30906</v>
      </c>
      <c r="H10046" t="s">
        <v>30916</v>
      </c>
      <c r="I10046" t="s">
        <v>30966</v>
      </c>
      <c r="J10046" t="s">
        <v>37319</v>
      </c>
      <c r="K10046" t="s">
        <v>40283</v>
      </c>
      <c r="M10046" t="s">
        <v>43923</v>
      </c>
      <c r="N10046" t="s">
        <v>44759</v>
      </c>
      <c r="O10046" t="s">
        <v>44760</v>
      </c>
      <c r="Q10046">
        <v>2</v>
      </c>
      <c r="R10046" t="s">
        <v>44770</v>
      </c>
      <c r="S10046" t="s">
        <v>45129</v>
      </c>
      <c r="T10046" t="s">
        <v>46357</v>
      </c>
      <c r="U10046" t="s">
        <v>55265</v>
      </c>
      <c r="V10046" t="s">
        <v>50643</v>
      </c>
      <c r="W10046" t="s">
        <v>43923</v>
      </c>
      <c r="X10046" t="s">
        <v>44774</v>
      </c>
    </row>
    <row r="10047" spans="1:24">
      <c r="A10047">
        <f>HYPERLINK("https://www.philgeps.gov.ph/GEPSNONPILOT/Tender/SplashBidNoticeAbstractUI.aspx?menuIndex=3&amp;refID=7133013&amp;Result=3","7133013")</f>
        <v>0</v>
      </c>
      <c r="B10047" t="s">
        <v>382</v>
      </c>
      <c r="C10047" t="s">
        <v>13293</v>
      </c>
      <c r="E10047" t="s">
        <v>26740</v>
      </c>
      <c r="F10047" t="s">
        <v>30900</v>
      </c>
      <c r="G10047" t="s">
        <v>30907</v>
      </c>
      <c r="H10047" t="s">
        <v>30916</v>
      </c>
      <c r="I10047" t="s">
        <v>8123</v>
      </c>
      <c r="J10047" t="s">
        <v>37320</v>
      </c>
      <c r="K10047" t="s">
        <v>40286</v>
      </c>
      <c r="M10047" t="s">
        <v>43552</v>
      </c>
      <c r="N10047" t="s">
        <v>44759</v>
      </c>
      <c r="O10047" t="s">
        <v>44760</v>
      </c>
      <c r="P10047">
        <v>0</v>
      </c>
      <c r="Q10047">
        <v>0</v>
      </c>
      <c r="R10047" t="s">
        <v>44770</v>
      </c>
      <c r="S10047" t="s">
        <v>45105</v>
      </c>
      <c r="T10047" t="s">
        <v>46425</v>
      </c>
      <c r="U10047" t="s">
        <v>50345</v>
      </c>
      <c r="W10047" t="s">
        <v>43552</v>
      </c>
      <c r="X10047" t="s">
        <v>44773</v>
      </c>
    </row>
    <row r="10048" spans="1:24">
      <c r="A10048">
        <f>HYPERLINK("https://www.philgeps.gov.ph/GEPSNONPILOT/Tender/SplashBidNoticeAbstractUI.aspx?menuIndex=3&amp;refID=7132984&amp;Result=3","7132984")</f>
        <v>0</v>
      </c>
      <c r="B10048" t="s">
        <v>382</v>
      </c>
      <c r="C10048" t="s">
        <v>13294</v>
      </c>
      <c r="E10048" t="s">
        <v>26741</v>
      </c>
      <c r="F10048" t="s">
        <v>30900</v>
      </c>
      <c r="G10048" t="s">
        <v>30907</v>
      </c>
      <c r="H10048" t="s">
        <v>30916</v>
      </c>
      <c r="I10048" t="s">
        <v>8123</v>
      </c>
      <c r="J10048" t="s">
        <v>34605</v>
      </c>
      <c r="K10048" t="s">
        <v>40286</v>
      </c>
      <c r="M10048" t="s">
        <v>43552</v>
      </c>
      <c r="N10048" t="s">
        <v>44759</v>
      </c>
      <c r="O10048" t="s">
        <v>44760</v>
      </c>
      <c r="P10048">
        <v>0</v>
      </c>
      <c r="Q10048">
        <v>1</v>
      </c>
      <c r="R10048" t="s">
        <v>44770</v>
      </c>
      <c r="S10048" t="s">
        <v>45105</v>
      </c>
      <c r="T10048" t="s">
        <v>46425</v>
      </c>
      <c r="U10048" t="s">
        <v>50345</v>
      </c>
      <c r="W10048" t="s">
        <v>43552</v>
      </c>
      <c r="X10048" t="s">
        <v>44773</v>
      </c>
    </row>
    <row r="10049" spans="1:24">
      <c r="A10049">
        <f>HYPERLINK("https://www.philgeps.gov.ph/GEPSNONPILOT/Tender/SplashBidNoticeAbstractUI.aspx?menuIndex=3&amp;refID=7132993&amp;Result=3","7132993")</f>
        <v>0</v>
      </c>
      <c r="B10049" t="s">
        <v>382</v>
      </c>
      <c r="C10049" t="s">
        <v>13295</v>
      </c>
      <c r="E10049" t="s">
        <v>26742</v>
      </c>
      <c r="F10049" t="s">
        <v>30900</v>
      </c>
      <c r="G10049" t="s">
        <v>30907</v>
      </c>
      <c r="H10049" t="s">
        <v>30916</v>
      </c>
      <c r="I10049" t="s">
        <v>8123</v>
      </c>
      <c r="J10049" t="s">
        <v>37321</v>
      </c>
      <c r="K10049" t="s">
        <v>40286</v>
      </c>
      <c r="M10049" t="s">
        <v>43552</v>
      </c>
      <c r="N10049" t="s">
        <v>44759</v>
      </c>
      <c r="O10049" t="s">
        <v>44760</v>
      </c>
      <c r="P10049">
        <v>0</v>
      </c>
      <c r="Q10049">
        <v>1</v>
      </c>
      <c r="R10049" t="s">
        <v>44770</v>
      </c>
      <c r="S10049" t="s">
        <v>45105</v>
      </c>
      <c r="T10049" t="s">
        <v>46425</v>
      </c>
      <c r="U10049" t="s">
        <v>50345</v>
      </c>
      <c r="W10049" t="s">
        <v>43552</v>
      </c>
      <c r="X10049" t="s">
        <v>44773</v>
      </c>
    </row>
    <row r="10050" spans="1:24">
      <c r="A10050">
        <f>HYPERLINK("https://www.philgeps.gov.ph/GEPSNONPILOT/Tender/SplashBidNoticeAbstractUI.aspx?menuIndex=3&amp;refID=7132277&amp;Result=3","7132277")</f>
        <v>0</v>
      </c>
      <c r="B10050" t="s">
        <v>3114</v>
      </c>
      <c r="C10050" t="s">
        <v>13296</v>
      </c>
      <c r="D10050" t="s">
        <v>18033</v>
      </c>
      <c r="E10050" t="s">
        <v>26743</v>
      </c>
      <c r="F10050" t="s">
        <v>30900</v>
      </c>
      <c r="G10050" t="s">
        <v>30907</v>
      </c>
      <c r="H10050" t="s">
        <v>30915</v>
      </c>
      <c r="I10050" t="s">
        <v>30922</v>
      </c>
      <c r="J10050" t="s">
        <v>37322</v>
      </c>
      <c r="K10050" t="s">
        <v>40407</v>
      </c>
      <c r="M10050" t="s">
        <v>43929</v>
      </c>
      <c r="N10050" t="s">
        <v>44759</v>
      </c>
      <c r="O10050" t="s">
        <v>44760</v>
      </c>
      <c r="P10050">
        <v>0</v>
      </c>
      <c r="Q10050">
        <v>1</v>
      </c>
      <c r="R10050" t="s">
        <v>44770</v>
      </c>
      <c r="S10050" t="s">
        <v>45105</v>
      </c>
      <c r="T10050" t="s">
        <v>46842</v>
      </c>
      <c r="U10050" t="s">
        <v>55281</v>
      </c>
      <c r="V10050" t="s">
        <v>60213</v>
      </c>
      <c r="W10050" t="s">
        <v>43929</v>
      </c>
      <c r="X10050" t="s">
        <v>44774</v>
      </c>
    </row>
    <row r="10051" spans="1:24">
      <c r="A10051">
        <f>HYPERLINK("https://www.philgeps.gov.ph/GEPSNONPILOT/Tender/SplashBidNoticeAbstractUI.aspx?menuIndex=3&amp;refID=7132947&amp;Result=3","7132947")</f>
        <v>0</v>
      </c>
      <c r="B10051" t="s">
        <v>2073</v>
      </c>
      <c r="C10051" t="s">
        <v>13297</v>
      </c>
      <c r="D10051" t="s">
        <v>17951</v>
      </c>
      <c r="E10051" t="s">
        <v>26744</v>
      </c>
      <c r="F10051" t="s">
        <v>30900</v>
      </c>
      <c r="G10051" t="s">
        <v>30907</v>
      </c>
      <c r="H10051" t="s">
        <v>30916</v>
      </c>
      <c r="I10051" t="s">
        <v>4108</v>
      </c>
      <c r="J10051" t="s">
        <v>31048</v>
      </c>
      <c r="K10051" t="s">
        <v>40289</v>
      </c>
      <c r="M10051" t="s">
        <v>42772</v>
      </c>
      <c r="N10051" t="s">
        <v>44759</v>
      </c>
      <c r="O10051" t="s">
        <v>44760</v>
      </c>
      <c r="P10051">
        <v>0</v>
      </c>
      <c r="Q10051">
        <v>0</v>
      </c>
      <c r="R10051" t="s">
        <v>44770</v>
      </c>
      <c r="S10051" t="s">
        <v>45105</v>
      </c>
      <c r="T10051" t="s">
        <v>46414</v>
      </c>
      <c r="U10051" t="s">
        <v>55282</v>
      </c>
      <c r="W10051" t="s">
        <v>42772</v>
      </c>
      <c r="X10051" t="s">
        <v>44773</v>
      </c>
    </row>
    <row r="10052" spans="1:24">
      <c r="A10052">
        <f>HYPERLINK("https://www.philgeps.gov.ph/GEPSNONPILOT/Tender/SplashBidNoticeAbstractUI.aspx?menuIndex=3&amp;refID=7132975&amp;Result=3","7132975")</f>
        <v>0</v>
      </c>
      <c r="B10052" t="s">
        <v>382</v>
      </c>
      <c r="C10052" t="s">
        <v>13298</v>
      </c>
      <c r="E10052" t="s">
        <v>26745</v>
      </c>
      <c r="F10052" t="s">
        <v>30900</v>
      </c>
      <c r="G10052" t="s">
        <v>30907</v>
      </c>
      <c r="H10052" t="s">
        <v>30916</v>
      </c>
      <c r="I10052" t="s">
        <v>8123</v>
      </c>
      <c r="J10052" t="s">
        <v>37323</v>
      </c>
      <c r="K10052" t="s">
        <v>40286</v>
      </c>
      <c r="M10052" t="s">
        <v>43552</v>
      </c>
      <c r="N10052" t="s">
        <v>44759</v>
      </c>
      <c r="O10052" t="s">
        <v>44760</v>
      </c>
      <c r="P10052">
        <v>0</v>
      </c>
      <c r="Q10052">
        <v>2</v>
      </c>
      <c r="R10052" t="s">
        <v>44770</v>
      </c>
      <c r="S10052" t="s">
        <v>45105</v>
      </c>
      <c r="T10052" t="s">
        <v>46425</v>
      </c>
      <c r="U10052" t="s">
        <v>50345</v>
      </c>
      <c r="W10052" t="s">
        <v>43552</v>
      </c>
      <c r="X10052" t="s">
        <v>44773</v>
      </c>
    </row>
    <row r="10053" spans="1:24">
      <c r="A10053">
        <f>HYPERLINK("https://www.philgeps.gov.ph/GEPSNONPILOT/Tender/SplashBidNoticeAbstractUI.aspx?menuIndex=3&amp;refID=7132917&amp;Result=3","7132917")</f>
        <v>0</v>
      </c>
      <c r="B10053" t="s">
        <v>382</v>
      </c>
      <c r="C10053" t="s">
        <v>13299</v>
      </c>
      <c r="E10053" t="s">
        <v>26746</v>
      </c>
      <c r="F10053" t="s">
        <v>30900</v>
      </c>
      <c r="G10053" t="s">
        <v>30907</v>
      </c>
      <c r="H10053" t="s">
        <v>30916</v>
      </c>
      <c r="I10053" t="s">
        <v>8123</v>
      </c>
      <c r="J10053" t="s">
        <v>31693</v>
      </c>
      <c r="K10053" t="s">
        <v>40286</v>
      </c>
      <c r="M10053" t="s">
        <v>43552</v>
      </c>
      <c r="N10053" t="s">
        <v>44759</v>
      </c>
      <c r="O10053" t="s">
        <v>44760</v>
      </c>
      <c r="P10053">
        <v>0</v>
      </c>
      <c r="Q10053">
        <v>0</v>
      </c>
      <c r="R10053" t="s">
        <v>44770</v>
      </c>
      <c r="S10053" t="s">
        <v>45105</v>
      </c>
      <c r="T10053" t="s">
        <v>46425</v>
      </c>
      <c r="U10053" t="s">
        <v>50345</v>
      </c>
      <c r="W10053" t="s">
        <v>43552</v>
      </c>
      <c r="X10053" t="s">
        <v>44773</v>
      </c>
    </row>
    <row r="10054" spans="1:24">
      <c r="A10054">
        <f>HYPERLINK("https://www.philgeps.gov.ph/GEPSNONPILOT/Tender/SplashBidNoticeAbstractUI.aspx?menuIndex=3&amp;refID=7132926&amp;Result=3","7132926")</f>
        <v>0</v>
      </c>
      <c r="B10054" t="s">
        <v>382</v>
      </c>
      <c r="C10054" t="s">
        <v>13300</v>
      </c>
      <c r="E10054" t="s">
        <v>26747</v>
      </c>
      <c r="F10054" t="s">
        <v>30900</v>
      </c>
      <c r="G10054" t="s">
        <v>30907</v>
      </c>
      <c r="H10054" t="s">
        <v>30916</v>
      </c>
      <c r="I10054" t="s">
        <v>8123</v>
      </c>
      <c r="J10054" t="s">
        <v>37324</v>
      </c>
      <c r="K10054" t="s">
        <v>40286</v>
      </c>
      <c r="M10054" t="s">
        <v>43552</v>
      </c>
      <c r="N10054" t="s">
        <v>44759</v>
      </c>
      <c r="O10054" t="s">
        <v>44760</v>
      </c>
      <c r="P10054">
        <v>0</v>
      </c>
      <c r="Q10054">
        <v>0</v>
      </c>
      <c r="R10054" t="s">
        <v>44770</v>
      </c>
      <c r="S10054" t="s">
        <v>45105</v>
      </c>
      <c r="T10054" t="s">
        <v>46425</v>
      </c>
      <c r="U10054" t="s">
        <v>50345</v>
      </c>
      <c r="W10054" t="s">
        <v>43552</v>
      </c>
      <c r="X10054" t="s">
        <v>44773</v>
      </c>
    </row>
    <row r="10055" spans="1:24">
      <c r="A10055">
        <f>HYPERLINK("https://www.philgeps.gov.ph/GEPSNONPILOT/Tender/SplashBidNoticeAbstractUI.aspx?menuIndex=3&amp;refID=7133001&amp;Result=3","7133001")</f>
        <v>0</v>
      </c>
      <c r="B10055" t="s">
        <v>382</v>
      </c>
      <c r="C10055" t="s">
        <v>13301</v>
      </c>
      <c r="E10055" t="s">
        <v>26748</v>
      </c>
      <c r="F10055" t="s">
        <v>30900</v>
      </c>
      <c r="G10055" t="s">
        <v>30907</v>
      </c>
      <c r="H10055" t="s">
        <v>30916</v>
      </c>
      <c r="I10055" t="s">
        <v>8123</v>
      </c>
      <c r="J10055" t="s">
        <v>37325</v>
      </c>
      <c r="K10055" t="s">
        <v>40286</v>
      </c>
      <c r="M10055" t="s">
        <v>43552</v>
      </c>
      <c r="N10055" t="s">
        <v>44759</v>
      </c>
      <c r="O10055" t="s">
        <v>44760</v>
      </c>
      <c r="P10055">
        <v>0</v>
      </c>
      <c r="Q10055">
        <v>0</v>
      </c>
      <c r="R10055" t="s">
        <v>44770</v>
      </c>
      <c r="S10055" t="s">
        <v>45105</v>
      </c>
      <c r="T10055" t="s">
        <v>46425</v>
      </c>
      <c r="U10055" t="s">
        <v>50345</v>
      </c>
      <c r="W10055" t="s">
        <v>43552</v>
      </c>
      <c r="X10055" t="s">
        <v>44773</v>
      </c>
    </row>
    <row r="10056" spans="1:24">
      <c r="A10056">
        <f>HYPERLINK("https://www.philgeps.gov.ph/GEPSNONPILOT/Tender/SplashBidNoticeAbstractUI.aspx?menuIndex=3&amp;refID=7133004&amp;Result=3","7133004")</f>
        <v>0</v>
      </c>
      <c r="B10056" t="s">
        <v>1276</v>
      </c>
      <c r="C10056" t="s">
        <v>13302</v>
      </c>
      <c r="D10056" t="s">
        <v>17962</v>
      </c>
      <c r="E10056" t="s">
        <v>26749</v>
      </c>
      <c r="F10056" t="s">
        <v>30900</v>
      </c>
      <c r="G10056" t="s">
        <v>30907</v>
      </c>
      <c r="H10056" t="s">
        <v>30916</v>
      </c>
      <c r="I10056" t="s">
        <v>30923</v>
      </c>
      <c r="J10056" t="s">
        <v>37326</v>
      </c>
      <c r="K10056" t="s">
        <v>40289</v>
      </c>
      <c r="M10056" t="s">
        <v>41892</v>
      </c>
      <c r="N10056" t="s">
        <v>44759</v>
      </c>
      <c r="O10056" t="s">
        <v>44760</v>
      </c>
      <c r="P10056">
        <v>0</v>
      </c>
      <c r="Q10056">
        <v>22</v>
      </c>
      <c r="R10056" t="s">
        <v>44770</v>
      </c>
      <c r="S10056" t="s">
        <v>45105</v>
      </c>
      <c r="T10056" t="s">
        <v>46653</v>
      </c>
      <c r="U10056" t="s">
        <v>55283</v>
      </c>
      <c r="W10056" t="s">
        <v>41892</v>
      </c>
      <c r="X10056" t="s">
        <v>44773</v>
      </c>
    </row>
    <row r="10057" spans="1:24">
      <c r="A10057">
        <f>HYPERLINK("https://www.philgeps.gov.ph/GEPSNONPILOT/Tender/SplashBidNoticeAbstractUI.aspx?menuIndex=3&amp;refID=7132967&amp;Result=3","7132967")</f>
        <v>0</v>
      </c>
      <c r="B10057" t="s">
        <v>382</v>
      </c>
      <c r="C10057" t="s">
        <v>13303</v>
      </c>
      <c r="E10057" t="s">
        <v>26750</v>
      </c>
      <c r="F10057" t="s">
        <v>30900</v>
      </c>
      <c r="G10057" t="s">
        <v>30907</v>
      </c>
      <c r="H10057" t="s">
        <v>30916</v>
      </c>
      <c r="I10057" t="s">
        <v>8123</v>
      </c>
      <c r="J10057" t="s">
        <v>31206</v>
      </c>
      <c r="K10057" t="s">
        <v>40286</v>
      </c>
      <c r="M10057" t="s">
        <v>43552</v>
      </c>
      <c r="N10057" t="s">
        <v>44759</v>
      </c>
      <c r="O10057" t="s">
        <v>44760</v>
      </c>
      <c r="P10057">
        <v>0</v>
      </c>
      <c r="Q10057">
        <v>0</v>
      </c>
      <c r="R10057" t="s">
        <v>44770</v>
      </c>
      <c r="S10057" t="s">
        <v>45105</v>
      </c>
      <c r="T10057" t="s">
        <v>46425</v>
      </c>
      <c r="U10057" t="s">
        <v>50345</v>
      </c>
      <c r="W10057" t="s">
        <v>43552</v>
      </c>
      <c r="X10057" t="s">
        <v>44773</v>
      </c>
    </row>
    <row r="10058" spans="1:24">
      <c r="A10058">
        <f>HYPERLINK("https://www.philgeps.gov.ph/GEPSNONPILOT/Tender/SplashBidNoticeAbstractUI.aspx?menuIndex=3&amp;refID=7132251&amp;Result=3","7132251")</f>
        <v>0</v>
      </c>
      <c r="B10058" t="s">
        <v>3114</v>
      </c>
      <c r="C10058" t="s">
        <v>13304</v>
      </c>
      <c r="D10058" t="s">
        <v>18033</v>
      </c>
      <c r="E10058" t="s">
        <v>18435</v>
      </c>
      <c r="F10058" t="s">
        <v>30900</v>
      </c>
      <c r="G10058" t="s">
        <v>30906</v>
      </c>
      <c r="H10058" t="s">
        <v>30915</v>
      </c>
      <c r="I10058" t="s">
        <v>30919</v>
      </c>
      <c r="J10058" t="s">
        <v>37327</v>
      </c>
      <c r="K10058" t="s">
        <v>40301</v>
      </c>
      <c r="M10058" t="s">
        <v>43929</v>
      </c>
      <c r="N10058" t="s">
        <v>44759</v>
      </c>
      <c r="O10058" t="s">
        <v>44760</v>
      </c>
      <c r="P10058">
        <v>0</v>
      </c>
      <c r="Q10058">
        <v>0</v>
      </c>
      <c r="R10058" t="s">
        <v>44770</v>
      </c>
      <c r="S10058" t="s">
        <v>45105</v>
      </c>
      <c r="T10058" t="s">
        <v>46842</v>
      </c>
      <c r="U10058" t="s">
        <v>55284</v>
      </c>
      <c r="V10058" t="s">
        <v>60213</v>
      </c>
      <c r="W10058" t="s">
        <v>43929</v>
      </c>
      <c r="X10058" t="s">
        <v>44774</v>
      </c>
    </row>
    <row r="10059" spans="1:24">
      <c r="A10059">
        <f>HYPERLINK("https://www.philgeps.gov.ph/GEPSNONPILOT/Tender/SplashBidNoticeAbstractUI.aspx?menuIndex=3&amp;refID=7132205&amp;Result=3","7132205")</f>
        <v>0</v>
      </c>
      <c r="B10059" t="s">
        <v>3114</v>
      </c>
      <c r="C10059" t="s">
        <v>13305</v>
      </c>
      <c r="D10059" t="s">
        <v>18033</v>
      </c>
      <c r="E10059" t="s">
        <v>26751</v>
      </c>
      <c r="F10059" t="s">
        <v>30900</v>
      </c>
      <c r="G10059" t="s">
        <v>30907</v>
      </c>
      <c r="H10059" t="s">
        <v>30916</v>
      </c>
      <c r="I10059" t="s">
        <v>8123</v>
      </c>
      <c r="J10059" t="s">
        <v>37328</v>
      </c>
      <c r="K10059" t="s">
        <v>40280</v>
      </c>
      <c r="M10059" t="s">
        <v>43929</v>
      </c>
      <c r="N10059" t="s">
        <v>44759</v>
      </c>
      <c r="O10059" t="s">
        <v>44760</v>
      </c>
      <c r="P10059">
        <v>0</v>
      </c>
      <c r="Q10059">
        <v>0</v>
      </c>
      <c r="R10059" t="s">
        <v>44770</v>
      </c>
      <c r="S10059" t="s">
        <v>45105</v>
      </c>
      <c r="T10059" t="s">
        <v>46842</v>
      </c>
      <c r="U10059" t="s">
        <v>55285</v>
      </c>
      <c r="V10059" t="s">
        <v>60213</v>
      </c>
      <c r="W10059" t="s">
        <v>43929</v>
      </c>
      <c r="X10059" t="s">
        <v>44774</v>
      </c>
    </row>
    <row r="10060" spans="1:24">
      <c r="A10060">
        <f>HYPERLINK("https://www.philgeps.gov.ph/GEPSNONPILOT/Tender/SplashBidNoticeAbstractUI.aspx?menuIndex=3&amp;refID=7133545&amp;Result=3","7133545")</f>
        <v>0</v>
      </c>
      <c r="B10060" t="s">
        <v>1161</v>
      </c>
      <c r="C10060" t="s">
        <v>13306</v>
      </c>
      <c r="D10060" t="s">
        <v>17963</v>
      </c>
      <c r="E10060" t="s">
        <v>26752</v>
      </c>
      <c r="F10060" t="s">
        <v>30900</v>
      </c>
      <c r="G10060" t="s">
        <v>30907</v>
      </c>
      <c r="H10060" t="s">
        <v>30916</v>
      </c>
      <c r="I10060" t="s">
        <v>30921</v>
      </c>
      <c r="J10060" t="s">
        <v>37329</v>
      </c>
      <c r="K10060" t="s">
        <v>40286</v>
      </c>
      <c r="M10060" t="s">
        <v>41769</v>
      </c>
      <c r="N10060" t="s">
        <v>44759</v>
      </c>
      <c r="O10060" t="s">
        <v>44760</v>
      </c>
      <c r="P10060">
        <v>0</v>
      </c>
      <c r="Q10060">
        <v>7</v>
      </c>
      <c r="R10060" t="s">
        <v>44770</v>
      </c>
      <c r="S10060" t="s">
        <v>45105</v>
      </c>
      <c r="T10060" t="s">
        <v>46524</v>
      </c>
      <c r="U10060" t="s">
        <v>49179</v>
      </c>
      <c r="W10060" t="s">
        <v>41769</v>
      </c>
      <c r="X10060" t="s">
        <v>44773</v>
      </c>
    </row>
    <row r="10061" spans="1:24">
      <c r="A10061">
        <f>HYPERLINK("https://www.philgeps.gov.ph/GEPSNONPILOT/Tender/SplashBidNoticeAbstractUI.aspx?menuIndex=3&amp;refID=7133037&amp;Result=3","7133037")</f>
        <v>0</v>
      </c>
      <c r="B10061" t="s">
        <v>382</v>
      </c>
      <c r="C10061" t="s">
        <v>13307</v>
      </c>
      <c r="E10061" t="s">
        <v>26753</v>
      </c>
      <c r="F10061" t="s">
        <v>30900</v>
      </c>
      <c r="G10061" t="s">
        <v>30907</v>
      </c>
      <c r="H10061" t="s">
        <v>30915</v>
      </c>
      <c r="I10061" t="s">
        <v>30919</v>
      </c>
      <c r="J10061" t="s">
        <v>34915</v>
      </c>
      <c r="K10061" t="s">
        <v>40341</v>
      </c>
      <c r="M10061" t="s">
        <v>43552</v>
      </c>
      <c r="N10061" t="s">
        <v>44759</v>
      </c>
      <c r="O10061" t="s">
        <v>44760</v>
      </c>
      <c r="P10061">
        <v>0</v>
      </c>
      <c r="Q10061">
        <v>0</v>
      </c>
      <c r="R10061" t="s">
        <v>44770</v>
      </c>
      <c r="S10061" t="s">
        <v>45105</v>
      </c>
      <c r="T10061" t="s">
        <v>46445</v>
      </c>
      <c r="U10061" t="s">
        <v>50345</v>
      </c>
      <c r="W10061" t="s">
        <v>43552</v>
      </c>
      <c r="X10061" t="s">
        <v>44773</v>
      </c>
    </row>
    <row r="10062" spans="1:24">
      <c r="A10062">
        <f>HYPERLINK("https://www.philgeps.gov.ph/GEPSNONPILOT/Tender/SplashBidNoticeAbstractUI.aspx?menuIndex=3&amp;refID=7133279&amp;Result=3","7133279")</f>
        <v>0</v>
      </c>
      <c r="B10062" t="s">
        <v>987</v>
      </c>
      <c r="C10062" t="s">
        <v>13308</v>
      </c>
      <c r="D10062" t="s">
        <v>17998</v>
      </c>
      <c r="E10062" t="s">
        <v>26754</v>
      </c>
      <c r="F10062" t="s">
        <v>30900</v>
      </c>
      <c r="G10062" t="s">
        <v>30907</v>
      </c>
      <c r="H10062" t="s">
        <v>30915</v>
      </c>
      <c r="I10062" t="s">
        <v>30919</v>
      </c>
      <c r="J10062" t="s">
        <v>31157</v>
      </c>
      <c r="K10062" t="s">
        <v>40289</v>
      </c>
      <c r="M10062" t="s">
        <v>43927</v>
      </c>
      <c r="N10062" t="s">
        <v>44759</v>
      </c>
      <c r="O10062" t="s">
        <v>44760</v>
      </c>
      <c r="P10062">
        <v>0</v>
      </c>
      <c r="Q10062">
        <v>0</v>
      </c>
      <c r="R10062" t="s">
        <v>44770</v>
      </c>
      <c r="S10062" t="s">
        <v>45105</v>
      </c>
      <c r="T10062" t="s">
        <v>46606</v>
      </c>
      <c r="U10062" t="s">
        <v>55286</v>
      </c>
      <c r="W10062" t="s">
        <v>43927</v>
      </c>
      <c r="X10062" t="s">
        <v>44773</v>
      </c>
    </row>
    <row r="10063" spans="1:24">
      <c r="A10063">
        <f>HYPERLINK("https://www.philgeps.gov.ph/GEPSNONPILOT/Tender/SplashBidNoticeAbstractUI.aspx?menuIndex=3&amp;refID=7133363&amp;Result=3","7133363")</f>
        <v>0</v>
      </c>
      <c r="B10063" t="s">
        <v>3115</v>
      </c>
      <c r="C10063" t="s">
        <v>13309</v>
      </c>
      <c r="D10063" t="s">
        <v>17955</v>
      </c>
      <c r="E10063" t="s">
        <v>26755</v>
      </c>
      <c r="F10063" t="s">
        <v>30900</v>
      </c>
      <c r="G10063" t="s">
        <v>30907</v>
      </c>
      <c r="H10063" t="s">
        <v>30915</v>
      </c>
      <c r="I10063" t="s">
        <v>30919</v>
      </c>
      <c r="J10063" t="s">
        <v>37330</v>
      </c>
      <c r="K10063" t="s">
        <v>40291</v>
      </c>
      <c r="M10063" t="s">
        <v>43930</v>
      </c>
      <c r="N10063" t="s">
        <v>44759</v>
      </c>
      <c r="O10063" t="s">
        <v>44760</v>
      </c>
      <c r="P10063">
        <v>0</v>
      </c>
      <c r="Q10063">
        <v>0</v>
      </c>
      <c r="R10063" t="s">
        <v>44770</v>
      </c>
      <c r="S10063" t="s">
        <v>45105</v>
      </c>
      <c r="T10063" t="s">
        <v>46414</v>
      </c>
      <c r="U10063" t="s">
        <v>55287</v>
      </c>
      <c r="W10063" t="s">
        <v>43930</v>
      </c>
      <c r="X10063" t="s">
        <v>44773</v>
      </c>
    </row>
    <row r="10064" spans="1:24">
      <c r="A10064">
        <f>HYPERLINK("https://www.philgeps.gov.ph/GEPSNONPILOT/Tender/SplashBidNoticeAbstractUI.aspx?menuIndex=3&amp;refID=7133536&amp;Result=3","7133536")</f>
        <v>0</v>
      </c>
      <c r="B10064" t="s">
        <v>3116</v>
      </c>
      <c r="C10064" t="s">
        <v>13310</v>
      </c>
      <c r="D10064" t="s">
        <v>17964</v>
      </c>
      <c r="E10064" t="s">
        <v>18066</v>
      </c>
      <c r="F10064" t="s">
        <v>30900</v>
      </c>
      <c r="G10064" t="s">
        <v>30907</v>
      </c>
      <c r="H10064" t="s">
        <v>30916</v>
      </c>
      <c r="I10064" t="s">
        <v>8123</v>
      </c>
      <c r="J10064" t="s">
        <v>37331</v>
      </c>
      <c r="K10064" t="s">
        <v>40286</v>
      </c>
      <c r="M10064" t="s">
        <v>43931</v>
      </c>
      <c r="N10064" t="s">
        <v>44759</v>
      </c>
      <c r="O10064" t="s">
        <v>44760</v>
      </c>
      <c r="P10064">
        <v>0</v>
      </c>
      <c r="Q10064">
        <v>1</v>
      </c>
      <c r="R10064" t="s">
        <v>44770</v>
      </c>
      <c r="S10064" t="s">
        <v>45105</v>
      </c>
      <c r="T10064" t="s">
        <v>46411</v>
      </c>
      <c r="U10064" t="s">
        <v>55288</v>
      </c>
      <c r="V10064" t="s">
        <v>60142</v>
      </c>
      <c r="W10064" t="s">
        <v>43931</v>
      </c>
      <c r="X10064" t="s">
        <v>44773</v>
      </c>
    </row>
    <row r="10065" spans="1:24">
      <c r="A10065">
        <f>HYPERLINK("https://www.philgeps.gov.ph/GEPSNONPILOT/Tender/SplashBidNoticeAbstractUI.aspx?menuIndex=3&amp;refID=7133513&amp;Result=3","7133513")</f>
        <v>0</v>
      </c>
      <c r="B10065" t="s">
        <v>1161</v>
      </c>
      <c r="C10065" t="s">
        <v>13311</v>
      </c>
      <c r="D10065" t="s">
        <v>17963</v>
      </c>
      <c r="E10065" t="s">
        <v>26756</v>
      </c>
      <c r="F10065" t="s">
        <v>30900</v>
      </c>
      <c r="G10065" t="s">
        <v>30907</v>
      </c>
      <c r="H10065" t="s">
        <v>30916</v>
      </c>
      <c r="I10065" t="s">
        <v>30919</v>
      </c>
      <c r="J10065" t="s">
        <v>37332</v>
      </c>
      <c r="K10065" t="s">
        <v>40280</v>
      </c>
      <c r="M10065" t="s">
        <v>41769</v>
      </c>
      <c r="N10065" t="s">
        <v>44759</v>
      </c>
      <c r="O10065" t="s">
        <v>44760</v>
      </c>
      <c r="P10065">
        <v>0</v>
      </c>
      <c r="Q10065">
        <v>0</v>
      </c>
      <c r="R10065" t="s">
        <v>44770</v>
      </c>
      <c r="S10065" t="s">
        <v>45105</v>
      </c>
      <c r="T10065" t="s">
        <v>46524</v>
      </c>
      <c r="U10065" t="s">
        <v>49179</v>
      </c>
      <c r="W10065" t="s">
        <v>41769</v>
      </c>
      <c r="X10065" t="s">
        <v>44773</v>
      </c>
    </row>
    <row r="10066" spans="1:24">
      <c r="A10066">
        <f>HYPERLINK("https://www.philgeps.gov.ph/GEPSNONPILOT/Tender/SplashBidNoticeAbstractUI.aspx?menuIndex=3&amp;refID=7133499&amp;Result=3","7133499")</f>
        <v>0</v>
      </c>
      <c r="B10066" t="s">
        <v>1161</v>
      </c>
      <c r="C10066" t="s">
        <v>13312</v>
      </c>
      <c r="D10066" t="s">
        <v>17963</v>
      </c>
      <c r="E10066" t="s">
        <v>26757</v>
      </c>
      <c r="F10066" t="s">
        <v>30900</v>
      </c>
      <c r="G10066" t="s">
        <v>30907</v>
      </c>
      <c r="H10066" t="s">
        <v>30916</v>
      </c>
      <c r="I10066" t="s">
        <v>30919</v>
      </c>
      <c r="J10066" t="s">
        <v>37333</v>
      </c>
      <c r="K10066" t="s">
        <v>40280</v>
      </c>
      <c r="M10066" t="s">
        <v>41769</v>
      </c>
      <c r="N10066" t="s">
        <v>44759</v>
      </c>
      <c r="O10066" t="s">
        <v>44760</v>
      </c>
      <c r="P10066">
        <v>0</v>
      </c>
      <c r="Q10066">
        <v>1</v>
      </c>
      <c r="R10066" t="s">
        <v>44770</v>
      </c>
      <c r="S10066" t="s">
        <v>45105</v>
      </c>
      <c r="T10066" t="s">
        <v>46524</v>
      </c>
      <c r="U10066" t="s">
        <v>49179</v>
      </c>
      <c r="W10066" t="s">
        <v>41769</v>
      </c>
      <c r="X10066" t="s">
        <v>44773</v>
      </c>
    </row>
    <row r="10067" spans="1:24">
      <c r="A10067">
        <f>HYPERLINK("https://www.philgeps.gov.ph/GEPSNONPILOT/Tender/SplashBidNoticeAbstractUI.aspx?menuIndex=3&amp;refID=7133521&amp;Result=3","7133521")</f>
        <v>0</v>
      </c>
      <c r="B10067" t="s">
        <v>1161</v>
      </c>
      <c r="C10067" t="s">
        <v>13313</v>
      </c>
      <c r="D10067" t="s">
        <v>17963</v>
      </c>
      <c r="E10067" t="s">
        <v>26758</v>
      </c>
      <c r="F10067" t="s">
        <v>30900</v>
      </c>
      <c r="G10067" t="s">
        <v>30907</v>
      </c>
      <c r="H10067" t="s">
        <v>30916</v>
      </c>
      <c r="I10067" t="s">
        <v>30919</v>
      </c>
      <c r="J10067" t="s">
        <v>37334</v>
      </c>
      <c r="K10067" t="s">
        <v>40308</v>
      </c>
      <c r="M10067" t="s">
        <v>41769</v>
      </c>
      <c r="N10067" t="s">
        <v>44759</v>
      </c>
      <c r="O10067" t="s">
        <v>44760</v>
      </c>
      <c r="P10067">
        <v>0</v>
      </c>
      <c r="Q10067">
        <v>0</v>
      </c>
      <c r="R10067" t="s">
        <v>44770</v>
      </c>
      <c r="S10067" t="s">
        <v>45105</v>
      </c>
      <c r="T10067" t="s">
        <v>46524</v>
      </c>
      <c r="U10067" t="s">
        <v>49179</v>
      </c>
      <c r="W10067" t="s">
        <v>41769</v>
      </c>
      <c r="X10067" t="s">
        <v>44773</v>
      </c>
    </row>
    <row r="10068" spans="1:24">
      <c r="A10068">
        <f>HYPERLINK("https://www.philgeps.gov.ph/GEPSNONPILOT/Tender/SplashBidNoticeAbstractUI.aspx?menuIndex=3&amp;refID=7132126&amp;Result=3","7132126")</f>
        <v>0</v>
      </c>
      <c r="B10068" t="s">
        <v>1024</v>
      </c>
      <c r="C10068" t="s">
        <v>13314</v>
      </c>
      <c r="D10068" t="s">
        <v>17999</v>
      </c>
      <c r="E10068" t="s">
        <v>26759</v>
      </c>
      <c r="F10068" t="s">
        <v>30900</v>
      </c>
      <c r="G10068" t="s">
        <v>30907</v>
      </c>
      <c r="H10068" t="s">
        <v>30916</v>
      </c>
      <c r="I10068" t="s">
        <v>30963</v>
      </c>
      <c r="J10068" t="s">
        <v>34097</v>
      </c>
      <c r="K10068" t="s">
        <v>40286</v>
      </c>
      <c r="M10068" t="s">
        <v>41614</v>
      </c>
      <c r="N10068" t="s">
        <v>44759</v>
      </c>
      <c r="O10068" t="s">
        <v>44760</v>
      </c>
      <c r="P10068">
        <v>0</v>
      </c>
      <c r="Q10068">
        <v>2</v>
      </c>
      <c r="R10068" t="s">
        <v>44770</v>
      </c>
      <c r="S10068" t="s">
        <v>45105</v>
      </c>
      <c r="T10068" t="s">
        <v>46472</v>
      </c>
      <c r="U10068" t="s">
        <v>55289</v>
      </c>
      <c r="V10068" t="s">
        <v>60214</v>
      </c>
      <c r="W10068" t="s">
        <v>41614</v>
      </c>
      <c r="X10068" t="s">
        <v>44774</v>
      </c>
    </row>
    <row r="10069" spans="1:24">
      <c r="A10069">
        <f>HYPERLINK("https://www.philgeps.gov.ph/GEPSNONPILOT/Tender/SplashBidNoticeAbstractUI.aspx?menuIndex=3&amp;refID=7133474&amp;Result=3","7133474")</f>
        <v>0</v>
      </c>
      <c r="B10069" t="s">
        <v>801</v>
      </c>
      <c r="C10069" t="s">
        <v>13119</v>
      </c>
      <c r="D10069" t="s">
        <v>17984</v>
      </c>
      <c r="E10069" t="s">
        <v>26760</v>
      </c>
      <c r="F10069" t="s">
        <v>30900</v>
      </c>
      <c r="G10069" t="s">
        <v>30907</v>
      </c>
      <c r="H10069" t="s">
        <v>30916</v>
      </c>
      <c r="I10069" t="s">
        <v>30933</v>
      </c>
      <c r="J10069" t="s">
        <v>36049</v>
      </c>
      <c r="K10069" t="s">
        <v>40292</v>
      </c>
      <c r="M10069" t="s">
        <v>41371</v>
      </c>
      <c r="N10069" t="s">
        <v>44759</v>
      </c>
      <c r="O10069" t="s">
        <v>44760</v>
      </c>
      <c r="P10069">
        <v>0</v>
      </c>
      <c r="Q10069">
        <v>11</v>
      </c>
      <c r="R10069" t="s">
        <v>44770</v>
      </c>
      <c r="S10069" t="s">
        <v>45105</v>
      </c>
      <c r="T10069" t="s">
        <v>46544</v>
      </c>
      <c r="U10069" t="s">
        <v>55290</v>
      </c>
      <c r="W10069" t="s">
        <v>41371</v>
      </c>
      <c r="X10069" t="s">
        <v>44773</v>
      </c>
    </row>
    <row r="10070" spans="1:24">
      <c r="A10070">
        <f>HYPERLINK("https://www.philgeps.gov.ph/GEPSNONPILOT/Tender/SplashBidNoticeAbstractUI.aspx?menuIndex=3&amp;refID=7133485&amp;Result=3","7133485")</f>
        <v>0</v>
      </c>
      <c r="B10070" t="s">
        <v>1161</v>
      </c>
      <c r="C10070" t="s">
        <v>13315</v>
      </c>
      <c r="D10070" t="s">
        <v>17963</v>
      </c>
      <c r="E10070" t="s">
        <v>26761</v>
      </c>
      <c r="F10070" t="s">
        <v>30900</v>
      </c>
      <c r="G10070" t="s">
        <v>30907</v>
      </c>
      <c r="H10070" t="s">
        <v>30916</v>
      </c>
      <c r="I10070" t="s">
        <v>30919</v>
      </c>
      <c r="J10070" t="s">
        <v>37335</v>
      </c>
      <c r="K10070" t="s">
        <v>40358</v>
      </c>
      <c r="M10070" t="s">
        <v>41769</v>
      </c>
      <c r="N10070" t="s">
        <v>44759</v>
      </c>
      <c r="O10070" t="s">
        <v>44760</v>
      </c>
      <c r="P10070">
        <v>0</v>
      </c>
      <c r="Q10070">
        <v>0</v>
      </c>
      <c r="R10070" t="s">
        <v>44770</v>
      </c>
      <c r="S10070" t="s">
        <v>45105</v>
      </c>
      <c r="T10070" t="s">
        <v>46524</v>
      </c>
      <c r="U10070" t="s">
        <v>49179</v>
      </c>
      <c r="W10070" t="s">
        <v>41769</v>
      </c>
      <c r="X10070" t="s">
        <v>44773</v>
      </c>
    </row>
    <row r="10071" spans="1:24">
      <c r="A10071">
        <f>HYPERLINK("https://www.philgeps.gov.ph/GEPSNONPILOT/Tender/SplashBidNoticeAbstractUI.aspx?menuIndex=3&amp;refID=7133442&amp;Result=3","7133442")</f>
        <v>0</v>
      </c>
      <c r="B10071" t="s">
        <v>987</v>
      </c>
      <c r="C10071" t="s">
        <v>13316</v>
      </c>
      <c r="D10071" t="s">
        <v>17998</v>
      </c>
      <c r="E10071" t="s">
        <v>26762</v>
      </c>
      <c r="F10071" t="s">
        <v>30900</v>
      </c>
      <c r="G10071" t="s">
        <v>30907</v>
      </c>
      <c r="H10071" t="s">
        <v>30915</v>
      </c>
      <c r="I10071" t="s">
        <v>30919</v>
      </c>
      <c r="J10071" t="s">
        <v>31896</v>
      </c>
      <c r="K10071" t="s">
        <v>40289</v>
      </c>
      <c r="M10071" t="s">
        <v>43927</v>
      </c>
      <c r="N10071" t="s">
        <v>44759</v>
      </c>
      <c r="O10071" t="s">
        <v>44760</v>
      </c>
      <c r="Q10071">
        <v>1</v>
      </c>
      <c r="R10071" t="s">
        <v>44770</v>
      </c>
      <c r="S10071" t="s">
        <v>45130</v>
      </c>
      <c r="T10071" t="s">
        <v>46606</v>
      </c>
      <c r="U10071" t="s">
        <v>55291</v>
      </c>
      <c r="W10071" t="s">
        <v>43927</v>
      </c>
      <c r="X10071" t="s">
        <v>44773</v>
      </c>
    </row>
    <row r="10072" spans="1:24">
      <c r="A10072">
        <f>HYPERLINK("https://www.philgeps.gov.ph/GEPSNONPILOT/Tender/SplashBidNoticeAbstractUI.aspx?menuIndex=3&amp;refID=7133434&amp;Result=3","7133434")</f>
        <v>0</v>
      </c>
      <c r="B10072" t="s">
        <v>983</v>
      </c>
      <c r="C10072" t="s">
        <v>13317</v>
      </c>
      <c r="D10072" t="s">
        <v>18005</v>
      </c>
      <c r="E10072" t="s">
        <v>26763</v>
      </c>
      <c r="F10072" t="s">
        <v>30900</v>
      </c>
      <c r="G10072" t="s">
        <v>30907</v>
      </c>
      <c r="H10072" t="s">
        <v>30915</v>
      </c>
      <c r="I10072" t="s">
        <v>30919</v>
      </c>
      <c r="J10072" t="s">
        <v>31188</v>
      </c>
      <c r="K10072" t="s">
        <v>40301</v>
      </c>
      <c r="M10072" t="s">
        <v>41571</v>
      </c>
      <c r="N10072" t="s">
        <v>44759</v>
      </c>
      <c r="O10072" t="s">
        <v>44760</v>
      </c>
      <c r="P10072">
        <v>0</v>
      </c>
      <c r="Q10072">
        <v>7</v>
      </c>
      <c r="R10072" t="s">
        <v>44770</v>
      </c>
      <c r="S10072" t="s">
        <v>45105</v>
      </c>
      <c r="T10072" t="s">
        <v>46662</v>
      </c>
      <c r="U10072" t="s">
        <v>55292</v>
      </c>
      <c r="W10072" t="s">
        <v>41571</v>
      </c>
      <c r="X10072" t="s">
        <v>44773</v>
      </c>
    </row>
    <row r="10073" spans="1:24">
      <c r="A10073">
        <f>HYPERLINK("https://www.philgeps.gov.ph/GEPSNONPILOT/Tender/SplashBidNoticeAbstractUI.aspx?menuIndex=3&amp;refID=7133462&amp;Result=3","7133462")</f>
        <v>0</v>
      </c>
      <c r="B10073" t="s">
        <v>1161</v>
      </c>
      <c r="C10073" t="s">
        <v>13318</v>
      </c>
      <c r="D10073" t="s">
        <v>17963</v>
      </c>
      <c r="E10073" t="s">
        <v>26764</v>
      </c>
      <c r="F10073" t="s">
        <v>30900</v>
      </c>
      <c r="G10073" t="s">
        <v>30907</v>
      </c>
      <c r="H10073" t="s">
        <v>30916</v>
      </c>
      <c r="I10073" t="s">
        <v>30919</v>
      </c>
      <c r="J10073" t="s">
        <v>37336</v>
      </c>
      <c r="K10073" t="s">
        <v>40280</v>
      </c>
      <c r="M10073" t="s">
        <v>41769</v>
      </c>
      <c r="N10073" t="s">
        <v>44759</v>
      </c>
      <c r="O10073" t="s">
        <v>44760</v>
      </c>
      <c r="P10073">
        <v>0</v>
      </c>
      <c r="Q10073">
        <v>0</v>
      </c>
      <c r="R10073" t="s">
        <v>44770</v>
      </c>
      <c r="S10073" t="s">
        <v>45105</v>
      </c>
      <c r="T10073" t="s">
        <v>46524</v>
      </c>
      <c r="U10073" t="s">
        <v>49179</v>
      </c>
      <c r="W10073" t="s">
        <v>41769</v>
      </c>
      <c r="X10073" t="s">
        <v>44773</v>
      </c>
    </row>
    <row r="10074" spans="1:24">
      <c r="A10074">
        <f>HYPERLINK("https://www.philgeps.gov.ph/GEPSNONPILOT/Tender/SplashBidNoticeAbstractUI.aspx?menuIndex=3&amp;refID=7133428&amp;Result=3","7133428")</f>
        <v>0</v>
      </c>
      <c r="B10074" t="s">
        <v>1161</v>
      </c>
      <c r="C10074" t="s">
        <v>13319</v>
      </c>
      <c r="D10074" t="s">
        <v>17963</v>
      </c>
      <c r="E10074" t="s">
        <v>26765</v>
      </c>
      <c r="F10074" t="s">
        <v>30900</v>
      </c>
      <c r="G10074" t="s">
        <v>30907</v>
      </c>
      <c r="H10074" t="s">
        <v>30916</v>
      </c>
      <c r="I10074" t="s">
        <v>30919</v>
      </c>
      <c r="J10074" t="s">
        <v>37337</v>
      </c>
      <c r="K10074" t="s">
        <v>40308</v>
      </c>
      <c r="M10074" t="s">
        <v>41769</v>
      </c>
      <c r="N10074" t="s">
        <v>44759</v>
      </c>
      <c r="O10074" t="s">
        <v>44760</v>
      </c>
      <c r="P10074">
        <v>0</v>
      </c>
      <c r="Q10074">
        <v>0</v>
      </c>
      <c r="R10074" t="s">
        <v>44770</v>
      </c>
      <c r="S10074" t="s">
        <v>45105</v>
      </c>
      <c r="T10074" t="s">
        <v>46524</v>
      </c>
      <c r="U10074" t="s">
        <v>49179</v>
      </c>
      <c r="W10074" t="s">
        <v>41769</v>
      </c>
      <c r="X10074" t="s">
        <v>44773</v>
      </c>
    </row>
    <row r="10075" spans="1:24">
      <c r="A10075">
        <f>HYPERLINK("https://www.philgeps.gov.ph/GEPSNONPILOT/Tender/SplashBidNoticeAbstractUI.aspx?menuIndex=3&amp;refID=7133395&amp;Result=3","7133395")</f>
        <v>0</v>
      </c>
      <c r="B10075" t="s">
        <v>987</v>
      </c>
      <c r="C10075" t="s">
        <v>13320</v>
      </c>
      <c r="D10075" t="s">
        <v>17998</v>
      </c>
      <c r="E10075" t="s">
        <v>26766</v>
      </c>
      <c r="F10075" t="s">
        <v>30900</v>
      </c>
      <c r="G10075" t="s">
        <v>30907</v>
      </c>
      <c r="H10075" t="s">
        <v>30915</v>
      </c>
      <c r="I10075" t="s">
        <v>30919</v>
      </c>
      <c r="J10075" t="s">
        <v>31157</v>
      </c>
      <c r="K10075" t="s">
        <v>40289</v>
      </c>
      <c r="M10075" t="s">
        <v>43927</v>
      </c>
      <c r="N10075" t="s">
        <v>44759</v>
      </c>
      <c r="O10075" t="s">
        <v>44760</v>
      </c>
      <c r="P10075">
        <v>0</v>
      </c>
      <c r="Q10075">
        <v>4</v>
      </c>
      <c r="R10075" t="s">
        <v>44770</v>
      </c>
      <c r="S10075" t="s">
        <v>45105</v>
      </c>
      <c r="T10075" t="s">
        <v>46606</v>
      </c>
      <c r="U10075" t="s">
        <v>55293</v>
      </c>
      <c r="W10075" t="s">
        <v>43927</v>
      </c>
      <c r="X10075" t="s">
        <v>44773</v>
      </c>
    </row>
    <row r="10076" spans="1:24">
      <c r="A10076">
        <f>HYPERLINK("https://www.philgeps.gov.ph/GEPSNONPILOT/Tender/SplashBidNoticeAbstractUI.aspx?menuIndex=3&amp;refID=7133446&amp;Result=3","7133446")</f>
        <v>0</v>
      </c>
      <c r="B10076" t="s">
        <v>1161</v>
      </c>
      <c r="C10076" t="s">
        <v>13321</v>
      </c>
      <c r="D10076" t="s">
        <v>17963</v>
      </c>
      <c r="E10076" t="s">
        <v>26767</v>
      </c>
      <c r="F10076" t="s">
        <v>30900</v>
      </c>
      <c r="G10076" t="s">
        <v>30907</v>
      </c>
      <c r="H10076" t="s">
        <v>30916</v>
      </c>
      <c r="I10076" t="s">
        <v>30919</v>
      </c>
      <c r="J10076" t="s">
        <v>37338</v>
      </c>
      <c r="K10076" t="s">
        <v>40293</v>
      </c>
      <c r="M10076" t="s">
        <v>41769</v>
      </c>
      <c r="N10076" t="s">
        <v>44759</v>
      </c>
      <c r="O10076" t="s">
        <v>44760</v>
      </c>
      <c r="P10076">
        <v>0</v>
      </c>
      <c r="Q10076">
        <v>0</v>
      </c>
      <c r="R10076" t="s">
        <v>44770</v>
      </c>
      <c r="S10076" t="s">
        <v>45105</v>
      </c>
      <c r="T10076" t="s">
        <v>46524</v>
      </c>
      <c r="U10076" t="s">
        <v>49179</v>
      </c>
      <c r="W10076" t="s">
        <v>41769</v>
      </c>
      <c r="X10076" t="s">
        <v>44773</v>
      </c>
    </row>
    <row r="10077" spans="1:24">
      <c r="A10077">
        <f>HYPERLINK("https://www.philgeps.gov.ph/GEPSNONPILOT/Tender/SplashBidNoticeAbstractUI.aspx?menuIndex=3&amp;refID=7133833&amp;Result=3","7133833")</f>
        <v>0</v>
      </c>
      <c r="B10077" t="s">
        <v>1198</v>
      </c>
      <c r="C10077" t="s">
        <v>13322</v>
      </c>
      <c r="D10077" t="s">
        <v>17999</v>
      </c>
      <c r="E10077" t="s">
        <v>26768</v>
      </c>
      <c r="F10077" t="s">
        <v>30900</v>
      </c>
      <c r="G10077" t="s">
        <v>30907</v>
      </c>
      <c r="H10077" t="s">
        <v>30916</v>
      </c>
      <c r="I10077" t="s">
        <v>30933</v>
      </c>
      <c r="J10077" t="s">
        <v>32110</v>
      </c>
      <c r="K10077" t="s">
        <v>40321</v>
      </c>
      <c r="M10077" t="s">
        <v>41809</v>
      </c>
      <c r="N10077" t="s">
        <v>44759</v>
      </c>
      <c r="O10077" t="s">
        <v>44760</v>
      </c>
      <c r="P10077">
        <v>0</v>
      </c>
      <c r="Q10077">
        <v>2</v>
      </c>
      <c r="R10077" t="s">
        <v>44770</v>
      </c>
      <c r="S10077" t="s">
        <v>45105</v>
      </c>
      <c r="T10077" t="s">
        <v>46511</v>
      </c>
      <c r="U10077" t="s">
        <v>55294</v>
      </c>
      <c r="V10077" t="s">
        <v>59430</v>
      </c>
      <c r="W10077" t="s">
        <v>41809</v>
      </c>
      <c r="X10077" t="s">
        <v>44773</v>
      </c>
    </row>
    <row r="10078" spans="1:24">
      <c r="A10078">
        <f>HYPERLINK("https://www.philgeps.gov.ph/GEPSNONPILOT/Tender/SplashBidNoticeAbstractUI.aspx?menuIndex=3&amp;refID=7133810&amp;Result=3","7133810")</f>
        <v>0</v>
      </c>
      <c r="B10078" t="s">
        <v>1198</v>
      </c>
      <c r="C10078" t="s">
        <v>13323</v>
      </c>
      <c r="D10078" t="s">
        <v>17999</v>
      </c>
      <c r="E10078" t="s">
        <v>26769</v>
      </c>
      <c r="F10078" t="s">
        <v>30900</v>
      </c>
      <c r="G10078" t="s">
        <v>30907</v>
      </c>
      <c r="H10078" t="s">
        <v>30915</v>
      </c>
      <c r="I10078" t="s">
        <v>30919</v>
      </c>
      <c r="J10078" t="s">
        <v>31152</v>
      </c>
      <c r="K10078" t="s">
        <v>40308</v>
      </c>
      <c r="M10078" t="s">
        <v>41809</v>
      </c>
      <c r="N10078" t="s">
        <v>44759</v>
      </c>
      <c r="O10078" t="s">
        <v>44760</v>
      </c>
      <c r="P10078">
        <v>0</v>
      </c>
      <c r="Q10078">
        <v>0</v>
      </c>
      <c r="R10078" t="s">
        <v>44770</v>
      </c>
      <c r="S10078" t="s">
        <v>45105</v>
      </c>
      <c r="T10078" t="s">
        <v>46511</v>
      </c>
      <c r="U10078" t="s">
        <v>55295</v>
      </c>
      <c r="V10078" t="s">
        <v>59430</v>
      </c>
      <c r="W10078" t="s">
        <v>41809</v>
      </c>
      <c r="X10078" t="s">
        <v>44773</v>
      </c>
    </row>
    <row r="10079" spans="1:24">
      <c r="A10079">
        <f>HYPERLINK("https://www.philgeps.gov.ph/GEPSNONPILOT/Tender/SplashBidNoticeAbstractUI.aspx?menuIndex=3&amp;refID=7133775&amp;Result=3","7133775")</f>
        <v>0</v>
      </c>
      <c r="B10079" t="s">
        <v>112</v>
      </c>
      <c r="C10079" t="s">
        <v>13324</v>
      </c>
      <c r="D10079" t="s">
        <v>17997</v>
      </c>
      <c r="E10079" t="s">
        <v>26770</v>
      </c>
      <c r="F10079" t="s">
        <v>30900</v>
      </c>
      <c r="G10079" t="s">
        <v>30907</v>
      </c>
      <c r="H10079" t="s">
        <v>30916</v>
      </c>
      <c r="I10079" t="s">
        <v>30924</v>
      </c>
      <c r="J10079" t="s">
        <v>37339</v>
      </c>
      <c r="K10079" t="s">
        <v>40289</v>
      </c>
      <c r="M10079" t="s">
        <v>40659</v>
      </c>
      <c r="N10079" t="s">
        <v>44759</v>
      </c>
      <c r="O10079" t="s">
        <v>44760</v>
      </c>
      <c r="P10079">
        <v>0</v>
      </c>
      <c r="Q10079">
        <v>4</v>
      </c>
      <c r="R10079" t="s">
        <v>44770</v>
      </c>
      <c r="S10079" t="s">
        <v>45105</v>
      </c>
      <c r="T10079" t="s">
        <v>46808</v>
      </c>
      <c r="U10079" t="s">
        <v>55296</v>
      </c>
      <c r="W10079" t="s">
        <v>40659</v>
      </c>
      <c r="X10079" t="s">
        <v>44773</v>
      </c>
    </row>
    <row r="10080" spans="1:24">
      <c r="A10080">
        <f>HYPERLINK("https://www.philgeps.gov.ph/GEPSNONPILOT/Tender/SplashBidNoticeAbstractUI.aspx?menuIndex=3&amp;refID=7133763&amp;Result=3","7133763")</f>
        <v>0</v>
      </c>
      <c r="B10080" t="s">
        <v>400</v>
      </c>
      <c r="C10080" t="s">
        <v>13325</v>
      </c>
      <c r="D10080" t="s">
        <v>17971</v>
      </c>
      <c r="E10080" t="s">
        <v>26771</v>
      </c>
      <c r="F10080" t="s">
        <v>30900</v>
      </c>
      <c r="G10080" t="s">
        <v>30907</v>
      </c>
      <c r="H10080" t="s">
        <v>30915</v>
      </c>
      <c r="I10080" t="s">
        <v>30919</v>
      </c>
      <c r="J10080" t="s">
        <v>31241</v>
      </c>
      <c r="K10080" t="s">
        <v>40289</v>
      </c>
      <c r="M10080" t="s">
        <v>40955</v>
      </c>
      <c r="N10080" t="s">
        <v>44759</v>
      </c>
      <c r="O10080" t="s">
        <v>44760</v>
      </c>
      <c r="P10080">
        <v>0</v>
      </c>
      <c r="Q10080">
        <v>0</v>
      </c>
      <c r="R10080" t="s">
        <v>44770</v>
      </c>
      <c r="S10080" t="s">
        <v>45105</v>
      </c>
      <c r="T10080" t="s">
        <v>46544</v>
      </c>
      <c r="U10080" t="s">
        <v>55297</v>
      </c>
      <c r="W10080" t="s">
        <v>40955</v>
      </c>
      <c r="X10080" t="s">
        <v>44773</v>
      </c>
    </row>
    <row r="10081" spans="1:24">
      <c r="A10081">
        <f>HYPERLINK("https://www.philgeps.gov.ph/GEPSNONPILOT/Tender/SplashBidNoticeAbstractUI.aspx?menuIndex=3&amp;refID=7133871&amp;Result=3","7133871")</f>
        <v>0</v>
      </c>
      <c r="B10081" t="s">
        <v>1198</v>
      </c>
      <c r="C10081" t="s">
        <v>13326</v>
      </c>
      <c r="D10081" t="s">
        <v>17999</v>
      </c>
      <c r="E10081" t="s">
        <v>26772</v>
      </c>
      <c r="F10081" t="s">
        <v>30900</v>
      </c>
      <c r="G10081" t="s">
        <v>30907</v>
      </c>
      <c r="H10081" t="s">
        <v>30916</v>
      </c>
      <c r="I10081" t="s">
        <v>5501</v>
      </c>
      <c r="J10081" t="s">
        <v>37340</v>
      </c>
      <c r="K10081" t="s">
        <v>40321</v>
      </c>
      <c r="M10081" t="s">
        <v>41809</v>
      </c>
      <c r="N10081" t="s">
        <v>44759</v>
      </c>
      <c r="O10081" t="s">
        <v>44760</v>
      </c>
      <c r="P10081">
        <v>0</v>
      </c>
      <c r="Q10081">
        <v>2</v>
      </c>
      <c r="R10081" t="s">
        <v>44770</v>
      </c>
      <c r="S10081" t="s">
        <v>45105</v>
      </c>
      <c r="T10081" t="s">
        <v>46390</v>
      </c>
      <c r="U10081" t="s">
        <v>55298</v>
      </c>
      <c r="V10081" t="s">
        <v>59430</v>
      </c>
      <c r="W10081" t="s">
        <v>41809</v>
      </c>
      <c r="X10081" t="s">
        <v>44773</v>
      </c>
    </row>
    <row r="10082" spans="1:24">
      <c r="A10082">
        <f>HYPERLINK("https://www.philgeps.gov.ph/GEPSNONPILOT/Tender/SplashBidNoticeAbstractUI.aspx?menuIndex=3&amp;refID=7133743&amp;Result=3","7133743")</f>
        <v>0</v>
      </c>
      <c r="B10082" t="s">
        <v>1487</v>
      </c>
      <c r="C10082" t="s">
        <v>13327</v>
      </c>
      <c r="D10082" t="s">
        <v>18011</v>
      </c>
      <c r="E10082" t="s">
        <v>26773</v>
      </c>
      <c r="F10082" t="s">
        <v>30900</v>
      </c>
      <c r="G10082" t="s">
        <v>30907</v>
      </c>
      <c r="H10082" t="s">
        <v>30915</v>
      </c>
      <c r="I10082" t="s">
        <v>30919</v>
      </c>
      <c r="J10082" t="s">
        <v>31214</v>
      </c>
      <c r="K10082" t="s">
        <v>40304</v>
      </c>
      <c r="M10082" t="s">
        <v>42124</v>
      </c>
      <c r="N10082" t="s">
        <v>44759</v>
      </c>
      <c r="O10082" t="s">
        <v>44760</v>
      </c>
      <c r="P10082">
        <v>0</v>
      </c>
      <c r="Q10082">
        <v>0</v>
      </c>
      <c r="R10082" t="s">
        <v>44770</v>
      </c>
      <c r="S10082" t="s">
        <v>45105</v>
      </c>
      <c r="T10082" t="s">
        <v>46515</v>
      </c>
      <c r="U10082" t="s">
        <v>55299</v>
      </c>
      <c r="W10082" t="s">
        <v>42124</v>
      </c>
      <c r="X10082" t="s">
        <v>44773</v>
      </c>
    </row>
    <row r="10083" spans="1:24">
      <c r="A10083">
        <f>HYPERLINK("https://www.philgeps.gov.ph/GEPSNONPILOT/Tender/SplashBidNoticeAbstractUI.aspx?menuIndex=3&amp;refID=7133741&amp;Result=3","7133741")</f>
        <v>0</v>
      </c>
      <c r="B10083" t="s">
        <v>3117</v>
      </c>
      <c r="C10083" t="s">
        <v>13328</v>
      </c>
      <c r="D10083" t="s">
        <v>18002</v>
      </c>
      <c r="E10083" t="s">
        <v>21687</v>
      </c>
      <c r="F10083" t="s">
        <v>30900</v>
      </c>
      <c r="G10083" t="s">
        <v>30907</v>
      </c>
      <c r="H10083" t="s">
        <v>30916</v>
      </c>
      <c r="I10083" t="s">
        <v>30926</v>
      </c>
      <c r="J10083" t="s">
        <v>35929</v>
      </c>
      <c r="K10083" t="s">
        <v>40283</v>
      </c>
      <c r="M10083" t="s">
        <v>43932</v>
      </c>
      <c r="N10083" t="s">
        <v>44759</v>
      </c>
      <c r="O10083" t="s">
        <v>44760</v>
      </c>
      <c r="P10083">
        <v>0</v>
      </c>
      <c r="Q10083">
        <v>4</v>
      </c>
      <c r="R10083" t="s">
        <v>44770</v>
      </c>
      <c r="S10083" t="s">
        <v>45105</v>
      </c>
      <c r="T10083" t="s">
        <v>46414</v>
      </c>
      <c r="U10083" t="s">
        <v>55300</v>
      </c>
      <c r="W10083" t="s">
        <v>43932</v>
      </c>
      <c r="X10083" t="s">
        <v>44773</v>
      </c>
    </row>
    <row r="10084" spans="1:24">
      <c r="A10084">
        <f>HYPERLINK("https://www.philgeps.gov.ph/GEPSNONPILOT/Tender/SplashBidNoticeAbstractUI.aspx?menuIndex=3&amp;refID=7133735&amp;Result=3","7133735")</f>
        <v>0</v>
      </c>
      <c r="B10084" t="s">
        <v>1046</v>
      </c>
      <c r="C10084" t="s">
        <v>13329</v>
      </c>
      <c r="D10084" t="s">
        <v>17959</v>
      </c>
      <c r="E10084" t="s">
        <v>26774</v>
      </c>
      <c r="F10084" t="s">
        <v>30900</v>
      </c>
      <c r="G10084" t="s">
        <v>30907</v>
      </c>
      <c r="H10084" t="s">
        <v>30916</v>
      </c>
      <c r="I10084" t="s">
        <v>4017</v>
      </c>
      <c r="J10084" t="s">
        <v>37341</v>
      </c>
      <c r="K10084" t="s">
        <v>40286</v>
      </c>
      <c r="M10084" t="s">
        <v>41639</v>
      </c>
      <c r="N10084" t="s">
        <v>44759</v>
      </c>
      <c r="O10084" t="s">
        <v>44760</v>
      </c>
      <c r="P10084">
        <v>0</v>
      </c>
      <c r="Q10084">
        <v>13</v>
      </c>
      <c r="R10084" t="s">
        <v>44770</v>
      </c>
      <c r="S10084" t="s">
        <v>45105</v>
      </c>
      <c r="T10084" t="s">
        <v>46488</v>
      </c>
      <c r="U10084" t="s">
        <v>55301</v>
      </c>
      <c r="V10084" t="s">
        <v>60215</v>
      </c>
      <c r="W10084" t="s">
        <v>41639</v>
      </c>
      <c r="X10084" t="s">
        <v>44773</v>
      </c>
    </row>
    <row r="10085" spans="1:24">
      <c r="A10085">
        <f>HYPERLINK("https://www.philgeps.gov.ph/GEPSNONPILOT/Tender/SplashBidNoticeAbstractUI.aspx?menuIndex=3&amp;refID=7133449&amp;Result=3","7133449")</f>
        <v>0</v>
      </c>
      <c r="B10085" t="s">
        <v>1052</v>
      </c>
      <c r="C10085" t="s">
        <v>13330</v>
      </c>
      <c r="D10085" t="s">
        <v>17953</v>
      </c>
      <c r="E10085" t="s">
        <v>26775</v>
      </c>
      <c r="F10085" t="s">
        <v>30900</v>
      </c>
      <c r="G10085" t="s">
        <v>30907</v>
      </c>
      <c r="H10085" t="s">
        <v>30916</v>
      </c>
      <c r="I10085" t="s">
        <v>30949</v>
      </c>
      <c r="J10085" t="s">
        <v>32616</v>
      </c>
      <c r="K10085" t="s">
        <v>40291</v>
      </c>
      <c r="M10085" t="s">
        <v>41648</v>
      </c>
      <c r="N10085" t="s">
        <v>44759</v>
      </c>
      <c r="O10085" t="s">
        <v>44760</v>
      </c>
      <c r="P10085">
        <v>0</v>
      </c>
      <c r="Q10085">
        <v>2</v>
      </c>
      <c r="R10085" t="s">
        <v>44770</v>
      </c>
      <c r="S10085" t="s">
        <v>45105</v>
      </c>
      <c r="T10085" t="s">
        <v>46845</v>
      </c>
      <c r="U10085" t="s">
        <v>55302</v>
      </c>
      <c r="W10085" t="s">
        <v>41648</v>
      </c>
      <c r="X10085" t="s">
        <v>44773</v>
      </c>
    </row>
    <row r="10086" spans="1:24">
      <c r="A10086">
        <f>HYPERLINK("https://www.philgeps.gov.ph/GEPSNONPILOT/Tender/SplashBidNoticeAbstractUI.aspx?menuIndex=3&amp;refID=7133718&amp;Result=3","7133718")</f>
        <v>0</v>
      </c>
      <c r="B10086" t="s">
        <v>1046</v>
      </c>
      <c r="C10086" t="s">
        <v>13331</v>
      </c>
      <c r="D10086" t="s">
        <v>17959</v>
      </c>
      <c r="E10086" t="s">
        <v>26776</v>
      </c>
      <c r="F10086" t="s">
        <v>30900</v>
      </c>
      <c r="G10086" t="s">
        <v>30907</v>
      </c>
      <c r="H10086" t="s">
        <v>30916</v>
      </c>
      <c r="I10086" t="s">
        <v>30984</v>
      </c>
      <c r="J10086" t="s">
        <v>37342</v>
      </c>
      <c r="K10086" t="s">
        <v>40286</v>
      </c>
      <c r="M10086" t="s">
        <v>41639</v>
      </c>
      <c r="N10086" t="s">
        <v>44759</v>
      </c>
      <c r="O10086" t="s">
        <v>44760</v>
      </c>
      <c r="P10086">
        <v>0</v>
      </c>
      <c r="Q10086">
        <v>9</v>
      </c>
      <c r="R10086" t="s">
        <v>44770</v>
      </c>
      <c r="S10086" t="s">
        <v>45105</v>
      </c>
      <c r="T10086" t="s">
        <v>46488</v>
      </c>
      <c r="U10086" t="s">
        <v>55303</v>
      </c>
      <c r="V10086" t="s">
        <v>60215</v>
      </c>
      <c r="W10086" t="s">
        <v>41639</v>
      </c>
      <c r="X10086" t="s">
        <v>44773</v>
      </c>
    </row>
    <row r="10087" spans="1:24">
      <c r="A10087">
        <f>HYPERLINK("https://www.philgeps.gov.ph/GEPSNONPILOT/Tender/SplashBidNoticeAbstractUI.aspx?menuIndex=3&amp;refID=7133681&amp;Result=3","7133681")</f>
        <v>0</v>
      </c>
      <c r="B10087" t="s">
        <v>2832</v>
      </c>
      <c r="C10087" t="s">
        <v>13332</v>
      </c>
      <c r="D10087" t="s">
        <v>17969</v>
      </c>
      <c r="E10087" t="s">
        <v>26777</v>
      </c>
      <c r="F10087" t="s">
        <v>30900</v>
      </c>
      <c r="G10087" t="s">
        <v>30907</v>
      </c>
      <c r="H10087" t="s">
        <v>30916</v>
      </c>
      <c r="I10087" t="s">
        <v>4545</v>
      </c>
      <c r="J10087" t="s">
        <v>37343</v>
      </c>
      <c r="K10087" t="s">
        <v>40287</v>
      </c>
      <c r="M10087" t="s">
        <v>43617</v>
      </c>
      <c r="N10087" t="s">
        <v>44759</v>
      </c>
      <c r="O10087" t="s">
        <v>44760</v>
      </c>
      <c r="P10087">
        <v>0</v>
      </c>
      <c r="Q10087">
        <v>2</v>
      </c>
      <c r="R10087" t="s">
        <v>44770</v>
      </c>
      <c r="S10087" t="s">
        <v>45105</v>
      </c>
      <c r="T10087" t="s">
        <v>46595</v>
      </c>
      <c r="U10087" t="s">
        <v>55304</v>
      </c>
      <c r="W10087" t="s">
        <v>43617</v>
      </c>
      <c r="X10087" t="s">
        <v>44773</v>
      </c>
    </row>
    <row r="10088" spans="1:24">
      <c r="A10088">
        <f>HYPERLINK("https://www.philgeps.gov.ph/GEPSNONPILOT/Tender/SplashBidNoticeAbstractUI.aspx?menuIndex=3&amp;refID=7133637&amp;Result=3","7133637")</f>
        <v>0</v>
      </c>
      <c r="B10088" t="s">
        <v>1487</v>
      </c>
      <c r="C10088" t="s">
        <v>13333</v>
      </c>
      <c r="D10088" t="s">
        <v>18011</v>
      </c>
      <c r="E10088" t="s">
        <v>26778</v>
      </c>
      <c r="F10088" t="s">
        <v>30900</v>
      </c>
      <c r="G10088" t="s">
        <v>30907</v>
      </c>
      <c r="H10088" t="s">
        <v>30915</v>
      </c>
      <c r="I10088" t="s">
        <v>30919</v>
      </c>
      <c r="J10088" t="s">
        <v>31152</v>
      </c>
      <c r="K10088" t="s">
        <v>40280</v>
      </c>
      <c r="M10088" t="s">
        <v>42124</v>
      </c>
      <c r="N10088" t="s">
        <v>44759</v>
      </c>
      <c r="O10088" t="s">
        <v>44760</v>
      </c>
      <c r="P10088">
        <v>0</v>
      </c>
      <c r="Q10088">
        <v>0</v>
      </c>
      <c r="R10088" t="s">
        <v>44770</v>
      </c>
      <c r="S10088" t="s">
        <v>45105</v>
      </c>
      <c r="T10088" t="s">
        <v>46515</v>
      </c>
      <c r="U10088" t="s">
        <v>55305</v>
      </c>
      <c r="W10088" t="s">
        <v>42124</v>
      </c>
      <c r="X10088" t="s">
        <v>44773</v>
      </c>
    </row>
    <row r="10089" spans="1:24">
      <c r="A10089">
        <f>HYPERLINK("https://www.philgeps.gov.ph/GEPSNONPILOT/Tender/SplashBidNoticeAbstractUI.aspx?menuIndex=3&amp;refID=7133605&amp;Result=3","7133605")</f>
        <v>0</v>
      </c>
      <c r="B10089" t="s">
        <v>3116</v>
      </c>
      <c r="C10089" t="s">
        <v>13334</v>
      </c>
      <c r="D10089" t="s">
        <v>17964</v>
      </c>
      <c r="E10089" t="s">
        <v>18066</v>
      </c>
      <c r="F10089" t="s">
        <v>30900</v>
      </c>
      <c r="G10089" t="s">
        <v>30907</v>
      </c>
      <c r="H10089" t="s">
        <v>30916</v>
      </c>
      <c r="I10089" t="s">
        <v>8123</v>
      </c>
      <c r="J10089" t="s">
        <v>37344</v>
      </c>
      <c r="K10089" t="s">
        <v>40293</v>
      </c>
      <c r="M10089" t="s">
        <v>43931</v>
      </c>
      <c r="N10089" t="s">
        <v>44759</v>
      </c>
      <c r="O10089" t="s">
        <v>44760</v>
      </c>
      <c r="P10089">
        <v>0</v>
      </c>
      <c r="Q10089">
        <v>2</v>
      </c>
      <c r="R10089" t="s">
        <v>44770</v>
      </c>
      <c r="S10089" t="s">
        <v>45105</v>
      </c>
      <c r="T10089" t="s">
        <v>46511</v>
      </c>
      <c r="U10089" t="s">
        <v>55306</v>
      </c>
      <c r="V10089" t="s">
        <v>60142</v>
      </c>
      <c r="W10089" t="s">
        <v>43931</v>
      </c>
      <c r="X10089" t="s">
        <v>44773</v>
      </c>
    </row>
    <row r="10090" spans="1:24">
      <c r="A10090">
        <f>HYPERLINK("https://www.philgeps.gov.ph/GEPSNONPILOT/Tender/SplashBidNoticeAbstractUI.aspx?menuIndex=3&amp;refID=7133655&amp;Result=3","7133655")</f>
        <v>0</v>
      </c>
      <c r="B10090" t="s">
        <v>1487</v>
      </c>
      <c r="C10090" t="s">
        <v>13335</v>
      </c>
      <c r="D10090" t="s">
        <v>18011</v>
      </c>
      <c r="E10090" t="s">
        <v>26779</v>
      </c>
      <c r="F10090" t="s">
        <v>30900</v>
      </c>
      <c r="G10090" t="s">
        <v>30907</v>
      </c>
      <c r="H10090" t="s">
        <v>30916</v>
      </c>
      <c r="I10090" t="s">
        <v>30933</v>
      </c>
      <c r="J10090" t="s">
        <v>37345</v>
      </c>
      <c r="K10090" t="s">
        <v>40293</v>
      </c>
      <c r="M10090" t="s">
        <v>42124</v>
      </c>
      <c r="N10090" t="s">
        <v>44759</v>
      </c>
      <c r="O10090" t="s">
        <v>44760</v>
      </c>
      <c r="P10090">
        <v>0</v>
      </c>
      <c r="Q10090">
        <v>3</v>
      </c>
      <c r="R10090" t="s">
        <v>44770</v>
      </c>
      <c r="S10090" t="s">
        <v>45105</v>
      </c>
      <c r="T10090" t="s">
        <v>46515</v>
      </c>
      <c r="U10090" t="s">
        <v>55307</v>
      </c>
      <c r="W10090" t="s">
        <v>42124</v>
      </c>
      <c r="X10090" t="s">
        <v>44773</v>
      </c>
    </row>
    <row r="10091" spans="1:24">
      <c r="A10091">
        <f>HYPERLINK("https://www.philgeps.gov.ph/GEPSNONPILOT/Tender/SplashBidNoticeAbstractUI.aspx?menuIndex=3&amp;refID=7133594&amp;Result=3","7133594")</f>
        <v>0</v>
      </c>
      <c r="B10091" t="s">
        <v>3118</v>
      </c>
      <c r="C10091" t="s">
        <v>13336</v>
      </c>
      <c r="D10091" t="s">
        <v>18011</v>
      </c>
      <c r="E10091" t="s">
        <v>26780</v>
      </c>
      <c r="F10091" t="s">
        <v>30900</v>
      </c>
      <c r="G10091" t="s">
        <v>30907</v>
      </c>
      <c r="H10091" t="s">
        <v>30915</v>
      </c>
      <c r="I10091" t="s">
        <v>30919</v>
      </c>
      <c r="J10091" t="s">
        <v>32182</v>
      </c>
      <c r="K10091" t="s">
        <v>40483</v>
      </c>
      <c r="M10091" t="s">
        <v>43933</v>
      </c>
      <c r="N10091" t="s">
        <v>44759</v>
      </c>
      <c r="O10091" t="s">
        <v>44760</v>
      </c>
      <c r="Q10091">
        <v>2</v>
      </c>
      <c r="R10091" t="s">
        <v>44770</v>
      </c>
      <c r="S10091" t="s">
        <v>45131</v>
      </c>
      <c r="T10091" t="s">
        <v>46450</v>
      </c>
      <c r="U10091" t="s">
        <v>55308</v>
      </c>
      <c r="V10091" t="s">
        <v>60216</v>
      </c>
      <c r="W10091" t="s">
        <v>43933</v>
      </c>
      <c r="X10091" t="s">
        <v>44773</v>
      </c>
    </row>
    <row r="10092" spans="1:24">
      <c r="A10092">
        <f>HYPERLINK("https://www.philgeps.gov.ph/GEPSNONPILOT/Tender/SplashBidNoticeAbstractUI.aspx?menuIndex=3&amp;refID=7133580&amp;Result=3","7133580")</f>
        <v>0</v>
      </c>
      <c r="B10092" t="s">
        <v>715</v>
      </c>
      <c r="C10092" t="s">
        <v>13337</v>
      </c>
      <c r="D10092" t="s">
        <v>17975</v>
      </c>
      <c r="E10092" t="s">
        <v>26781</v>
      </c>
      <c r="F10092" t="s">
        <v>30900</v>
      </c>
      <c r="G10092" t="s">
        <v>30908</v>
      </c>
      <c r="H10092" t="s">
        <v>30916</v>
      </c>
      <c r="I10092" t="s">
        <v>4108</v>
      </c>
      <c r="J10092" t="s">
        <v>31522</v>
      </c>
      <c r="K10092" t="s">
        <v>40289</v>
      </c>
      <c r="M10092" t="s">
        <v>41279</v>
      </c>
      <c r="N10092" t="s">
        <v>44759</v>
      </c>
      <c r="O10092" t="s">
        <v>44760</v>
      </c>
      <c r="Q10092">
        <v>4</v>
      </c>
      <c r="R10092" t="s">
        <v>44770</v>
      </c>
      <c r="S10092" t="s">
        <v>45132</v>
      </c>
      <c r="T10092" t="s">
        <v>46399</v>
      </c>
      <c r="U10092" t="s">
        <v>48203</v>
      </c>
      <c r="W10092" t="s">
        <v>41279</v>
      </c>
      <c r="X10092" t="s">
        <v>44773</v>
      </c>
    </row>
    <row r="10093" spans="1:24">
      <c r="A10093">
        <f>HYPERLINK("https://www.philgeps.gov.ph/GEPSNONPILOT/Tender/SplashBidNoticeAbstractUI.aspx?menuIndex=3&amp;refID=7133615&amp;Result=3","7133615")</f>
        <v>0</v>
      </c>
      <c r="B10093" t="s">
        <v>715</v>
      </c>
      <c r="C10093" t="s">
        <v>13338</v>
      </c>
      <c r="D10093" t="s">
        <v>17975</v>
      </c>
      <c r="E10093" t="s">
        <v>26782</v>
      </c>
      <c r="F10093" t="s">
        <v>30900</v>
      </c>
      <c r="G10093" t="s">
        <v>30908</v>
      </c>
      <c r="H10093" t="s">
        <v>30916</v>
      </c>
      <c r="I10093" t="s">
        <v>4108</v>
      </c>
      <c r="J10093" t="s">
        <v>31101</v>
      </c>
      <c r="K10093" t="s">
        <v>40289</v>
      </c>
      <c r="M10093" t="s">
        <v>41279</v>
      </c>
      <c r="N10093" t="s">
        <v>44759</v>
      </c>
      <c r="O10093" t="s">
        <v>44760</v>
      </c>
      <c r="Q10093">
        <v>3</v>
      </c>
      <c r="R10093" t="s">
        <v>44770</v>
      </c>
      <c r="S10093" t="s">
        <v>45133</v>
      </c>
      <c r="T10093" t="s">
        <v>46399</v>
      </c>
      <c r="U10093" t="s">
        <v>48203</v>
      </c>
      <c r="W10093" t="s">
        <v>41279</v>
      </c>
      <c r="X10093" t="s">
        <v>44773</v>
      </c>
    </row>
    <row r="10094" spans="1:24">
      <c r="A10094">
        <f>HYPERLINK("https://www.philgeps.gov.ph/GEPSNONPILOT/Tender/SplashBidNoticeAbstractUI.aspx?menuIndex=3&amp;refID=7133549&amp;Result=3","7133549")</f>
        <v>0</v>
      </c>
      <c r="B10094" t="s">
        <v>987</v>
      </c>
      <c r="C10094" t="s">
        <v>13339</v>
      </c>
      <c r="D10094" t="s">
        <v>17998</v>
      </c>
      <c r="E10094" t="s">
        <v>26783</v>
      </c>
      <c r="F10094" t="s">
        <v>30900</v>
      </c>
      <c r="G10094" t="s">
        <v>30907</v>
      </c>
      <c r="H10094" t="s">
        <v>30916</v>
      </c>
      <c r="I10094" t="s">
        <v>30919</v>
      </c>
      <c r="J10094" t="s">
        <v>31152</v>
      </c>
      <c r="K10094" t="s">
        <v>40289</v>
      </c>
      <c r="M10094" t="s">
        <v>43927</v>
      </c>
      <c r="N10094" t="s">
        <v>44759</v>
      </c>
      <c r="O10094" t="s">
        <v>44760</v>
      </c>
      <c r="P10094">
        <v>0</v>
      </c>
      <c r="Q10094">
        <v>3</v>
      </c>
      <c r="R10094" t="s">
        <v>44770</v>
      </c>
      <c r="S10094" t="s">
        <v>45105</v>
      </c>
      <c r="T10094" t="s">
        <v>46606</v>
      </c>
      <c r="U10094" t="s">
        <v>55309</v>
      </c>
      <c r="W10094" t="s">
        <v>43927</v>
      </c>
      <c r="X10094" t="s">
        <v>44773</v>
      </c>
    </row>
    <row r="10095" spans="1:24">
      <c r="A10095">
        <f>HYPERLINK("https://www.philgeps.gov.ph/GEPSNONPILOT/Tender/SplashBidNoticeAbstractUI.aspx?menuIndex=3&amp;refID=7133352&amp;Result=3","7133352")</f>
        <v>0</v>
      </c>
      <c r="B10095" t="s">
        <v>987</v>
      </c>
      <c r="C10095" t="s">
        <v>13340</v>
      </c>
      <c r="D10095" t="s">
        <v>17980</v>
      </c>
      <c r="E10095" t="s">
        <v>26784</v>
      </c>
      <c r="F10095" t="s">
        <v>30900</v>
      </c>
      <c r="G10095" t="s">
        <v>30907</v>
      </c>
      <c r="H10095" t="s">
        <v>30915</v>
      </c>
      <c r="I10095" t="s">
        <v>30919</v>
      </c>
      <c r="J10095" t="s">
        <v>31157</v>
      </c>
      <c r="K10095" t="s">
        <v>40289</v>
      </c>
      <c r="M10095" t="s">
        <v>43927</v>
      </c>
      <c r="N10095" t="s">
        <v>44759</v>
      </c>
      <c r="O10095" t="s">
        <v>44760</v>
      </c>
      <c r="P10095">
        <v>0</v>
      </c>
      <c r="Q10095">
        <v>5</v>
      </c>
      <c r="R10095" t="s">
        <v>44770</v>
      </c>
      <c r="S10095" t="s">
        <v>45105</v>
      </c>
      <c r="T10095" t="s">
        <v>46606</v>
      </c>
      <c r="U10095" t="s">
        <v>55310</v>
      </c>
      <c r="W10095" t="s">
        <v>43927</v>
      </c>
      <c r="X10095" t="s">
        <v>44773</v>
      </c>
    </row>
    <row r="10096" spans="1:24">
      <c r="A10096">
        <f>HYPERLINK("https://www.philgeps.gov.ph/GEPSNONPILOT/Tender/SplashBidNoticeAbstractUI.aspx?menuIndex=3&amp;refID=7133563&amp;Result=3","7133563")</f>
        <v>0</v>
      </c>
      <c r="B10096" t="s">
        <v>1161</v>
      </c>
      <c r="C10096" t="s">
        <v>13341</v>
      </c>
      <c r="D10096" t="s">
        <v>17963</v>
      </c>
      <c r="E10096" t="s">
        <v>26785</v>
      </c>
      <c r="F10096" t="s">
        <v>30900</v>
      </c>
      <c r="G10096" t="s">
        <v>30907</v>
      </c>
      <c r="H10096" t="s">
        <v>30916</v>
      </c>
      <c r="I10096" t="s">
        <v>30921</v>
      </c>
      <c r="J10096" t="s">
        <v>33529</v>
      </c>
      <c r="K10096" t="s">
        <v>40286</v>
      </c>
      <c r="M10096" t="s">
        <v>41769</v>
      </c>
      <c r="N10096" t="s">
        <v>44759</v>
      </c>
      <c r="O10096" t="s">
        <v>44760</v>
      </c>
      <c r="P10096">
        <v>0</v>
      </c>
      <c r="Q10096">
        <v>8</v>
      </c>
      <c r="R10096" t="s">
        <v>44770</v>
      </c>
      <c r="S10096" t="s">
        <v>45105</v>
      </c>
      <c r="T10096" t="s">
        <v>46524</v>
      </c>
      <c r="U10096" t="s">
        <v>49179</v>
      </c>
      <c r="W10096" t="s">
        <v>41769</v>
      </c>
      <c r="X10096" t="s">
        <v>44773</v>
      </c>
    </row>
    <row r="10097" spans="1:24">
      <c r="A10097">
        <f>HYPERLINK("https://www.philgeps.gov.ph/GEPSNONPILOT/Tender/SplashBidNoticeAbstractUI.aspx?menuIndex=3&amp;refID=7133650&amp;Result=3","7133650")</f>
        <v>0</v>
      </c>
      <c r="B10097" t="s">
        <v>3119</v>
      </c>
      <c r="C10097" t="s">
        <v>13342</v>
      </c>
      <c r="D10097" t="s">
        <v>17985</v>
      </c>
      <c r="E10097" t="s">
        <v>26786</v>
      </c>
      <c r="F10097" t="s">
        <v>30900</v>
      </c>
      <c r="G10097" t="s">
        <v>30907</v>
      </c>
      <c r="H10097" t="s">
        <v>30916</v>
      </c>
      <c r="I10097" t="s">
        <v>30919</v>
      </c>
      <c r="J10097" t="s">
        <v>37346</v>
      </c>
      <c r="K10097" t="s">
        <v>40406</v>
      </c>
      <c r="M10097" t="s">
        <v>43934</v>
      </c>
      <c r="N10097" t="s">
        <v>44759</v>
      </c>
      <c r="O10097" t="s">
        <v>44760</v>
      </c>
      <c r="P10097">
        <v>0</v>
      </c>
      <c r="Q10097">
        <v>3</v>
      </c>
      <c r="R10097" t="s">
        <v>44770</v>
      </c>
      <c r="S10097" t="s">
        <v>45105</v>
      </c>
      <c r="T10097" t="s">
        <v>46752</v>
      </c>
      <c r="U10097" t="s">
        <v>55311</v>
      </c>
      <c r="V10097" t="s">
        <v>60217</v>
      </c>
      <c r="W10097" t="s">
        <v>43934</v>
      </c>
      <c r="X10097" t="s">
        <v>44773</v>
      </c>
    </row>
    <row r="10098" spans="1:24">
      <c r="A10098">
        <f>HYPERLINK("https://www.philgeps.gov.ph/GEPSNONPILOT/Tender/SplashBidNoticeAbstractUI.aspx?menuIndex=3&amp;refID=7133873&amp;Result=3","7133873")</f>
        <v>0</v>
      </c>
      <c r="B10098" t="s">
        <v>3120</v>
      </c>
      <c r="C10098" t="s">
        <v>13343</v>
      </c>
      <c r="D10098" t="s">
        <v>17959</v>
      </c>
      <c r="E10098" t="s">
        <v>26787</v>
      </c>
      <c r="F10098" t="s">
        <v>30900</v>
      </c>
      <c r="G10098" t="s">
        <v>30908</v>
      </c>
      <c r="H10098" t="s">
        <v>30916</v>
      </c>
      <c r="I10098" t="s">
        <v>4545</v>
      </c>
      <c r="J10098" t="s">
        <v>37347</v>
      </c>
      <c r="K10098" t="s">
        <v>40283</v>
      </c>
      <c r="M10098" t="s">
        <v>43935</v>
      </c>
      <c r="N10098" t="s">
        <v>44759</v>
      </c>
      <c r="O10098" t="s">
        <v>44760</v>
      </c>
      <c r="P10098">
        <v>0</v>
      </c>
      <c r="Q10098">
        <v>1</v>
      </c>
      <c r="R10098" t="s">
        <v>44770</v>
      </c>
      <c r="S10098" t="s">
        <v>45105</v>
      </c>
      <c r="T10098" t="s">
        <v>46448</v>
      </c>
      <c r="U10098" t="s">
        <v>55312</v>
      </c>
      <c r="W10098" t="s">
        <v>43935</v>
      </c>
      <c r="X10098" t="s">
        <v>44773</v>
      </c>
    </row>
    <row r="10099" spans="1:24">
      <c r="A10099">
        <f>HYPERLINK("https://www.philgeps.gov.ph/GEPSNONPILOT/Tender/SplashBidNoticeAbstractUI.aspx?menuIndex=3&amp;refID=7134461&amp;Result=3","7134461")</f>
        <v>0</v>
      </c>
      <c r="B10099" t="s">
        <v>2154</v>
      </c>
      <c r="C10099" t="s">
        <v>13344</v>
      </c>
      <c r="D10099" t="s">
        <v>17965</v>
      </c>
      <c r="E10099" t="s">
        <v>26788</v>
      </c>
      <c r="F10099" t="s">
        <v>30900</v>
      </c>
      <c r="G10099" t="s">
        <v>30907</v>
      </c>
      <c r="H10099" t="s">
        <v>30915</v>
      </c>
      <c r="I10099" t="s">
        <v>30919</v>
      </c>
      <c r="J10099" t="s">
        <v>37348</v>
      </c>
      <c r="K10099" t="s">
        <v>40405</v>
      </c>
      <c r="M10099" t="s">
        <v>43936</v>
      </c>
      <c r="N10099" t="s">
        <v>44759</v>
      </c>
      <c r="O10099" t="s">
        <v>44760</v>
      </c>
      <c r="P10099">
        <v>0</v>
      </c>
      <c r="Q10099">
        <v>0</v>
      </c>
      <c r="R10099" t="s">
        <v>44770</v>
      </c>
      <c r="S10099" t="s">
        <v>45105</v>
      </c>
      <c r="T10099" t="s">
        <v>46410</v>
      </c>
      <c r="U10099" t="s">
        <v>55313</v>
      </c>
      <c r="V10099" t="s">
        <v>60218</v>
      </c>
      <c r="W10099" t="s">
        <v>43936</v>
      </c>
      <c r="X10099" t="s">
        <v>44773</v>
      </c>
    </row>
    <row r="10100" spans="1:24">
      <c r="A10100">
        <f>HYPERLINK("https://www.philgeps.gov.ph/GEPSNONPILOT/Tender/SplashBidNoticeAbstractUI.aspx?menuIndex=3&amp;refID=7134452&amp;Result=3","7134452")</f>
        <v>0</v>
      </c>
      <c r="B10100" t="s">
        <v>3069</v>
      </c>
      <c r="C10100" t="s">
        <v>13345</v>
      </c>
      <c r="D10100" t="s">
        <v>17975</v>
      </c>
      <c r="E10100" t="s">
        <v>26566</v>
      </c>
      <c r="F10100" t="s">
        <v>30899</v>
      </c>
      <c r="G10100" t="s">
        <v>30907</v>
      </c>
      <c r="H10100" t="s">
        <v>30916</v>
      </c>
      <c r="I10100" t="s">
        <v>30932</v>
      </c>
      <c r="J10100" t="s">
        <v>31049</v>
      </c>
      <c r="K10100" t="s">
        <v>40294</v>
      </c>
      <c r="L10100" t="s">
        <v>3069</v>
      </c>
      <c r="M10100" t="s">
        <v>43880</v>
      </c>
      <c r="N10100" t="s">
        <v>44759</v>
      </c>
      <c r="O10100" t="s">
        <v>44760</v>
      </c>
      <c r="P10100">
        <v>0</v>
      </c>
      <c r="Q10100">
        <v>1</v>
      </c>
      <c r="R10100" t="s">
        <v>44770</v>
      </c>
      <c r="S10100" t="s">
        <v>45105</v>
      </c>
      <c r="T10100" t="s">
        <v>46429</v>
      </c>
      <c r="U10100" t="s">
        <v>55314</v>
      </c>
      <c r="W10100" t="s">
        <v>43880</v>
      </c>
      <c r="X10100" t="s">
        <v>44773</v>
      </c>
    </row>
    <row r="10101" spans="1:24">
      <c r="A10101">
        <f>HYPERLINK("https://www.philgeps.gov.ph/GEPSNONPILOT/Tender/SplashBidNoticeAbstractUI.aspx?menuIndex=3&amp;refID=7134515&amp;Result=3","7134515")</f>
        <v>0</v>
      </c>
      <c r="B10101" t="s">
        <v>690</v>
      </c>
      <c r="C10101" t="s">
        <v>13346</v>
      </c>
      <c r="D10101" t="s">
        <v>18016</v>
      </c>
      <c r="E10101" t="s">
        <v>13346</v>
      </c>
      <c r="F10101" t="s">
        <v>30900</v>
      </c>
      <c r="G10101" t="s">
        <v>30908</v>
      </c>
      <c r="H10101" t="s">
        <v>30916</v>
      </c>
      <c r="I10101" t="s">
        <v>4545</v>
      </c>
      <c r="J10101" t="s">
        <v>31522</v>
      </c>
      <c r="K10101" t="s">
        <v>40280</v>
      </c>
      <c r="M10101" t="s">
        <v>41254</v>
      </c>
      <c r="N10101" t="s">
        <v>44759</v>
      </c>
      <c r="O10101" t="s">
        <v>44760</v>
      </c>
      <c r="P10101">
        <v>0</v>
      </c>
      <c r="Q10101">
        <v>1</v>
      </c>
      <c r="R10101" t="s">
        <v>44770</v>
      </c>
      <c r="S10101" t="s">
        <v>45105</v>
      </c>
      <c r="T10101" t="s">
        <v>46383</v>
      </c>
      <c r="U10101" t="s">
        <v>50493</v>
      </c>
      <c r="W10101" t="s">
        <v>41254</v>
      </c>
      <c r="X10101" t="s">
        <v>44773</v>
      </c>
    </row>
    <row r="10102" spans="1:24">
      <c r="A10102">
        <f>HYPERLINK("https://www.philgeps.gov.ph/GEPSNONPILOT/Tender/SplashBidNoticeAbstractUI.aspx?menuIndex=3&amp;refID=7134514&amp;Result=3","7134514")</f>
        <v>0</v>
      </c>
      <c r="B10102" t="s">
        <v>3094</v>
      </c>
      <c r="C10102" t="s">
        <v>13347</v>
      </c>
      <c r="D10102" t="s">
        <v>18004</v>
      </c>
      <c r="E10102" t="s">
        <v>26789</v>
      </c>
      <c r="F10102" t="s">
        <v>30900</v>
      </c>
      <c r="G10102" t="s">
        <v>30907</v>
      </c>
      <c r="H10102" t="s">
        <v>30916</v>
      </c>
      <c r="I10102" t="s">
        <v>30918</v>
      </c>
      <c r="J10102" t="s">
        <v>37349</v>
      </c>
      <c r="K10102" t="s">
        <v>40280</v>
      </c>
      <c r="M10102" t="s">
        <v>43906</v>
      </c>
      <c r="N10102" t="s">
        <v>44759</v>
      </c>
      <c r="O10102" t="s">
        <v>44760</v>
      </c>
      <c r="P10102">
        <v>0</v>
      </c>
      <c r="Q10102">
        <v>12</v>
      </c>
      <c r="R10102" t="s">
        <v>44770</v>
      </c>
      <c r="S10102" t="s">
        <v>45105</v>
      </c>
      <c r="T10102" t="s">
        <v>46503</v>
      </c>
      <c r="U10102" t="s">
        <v>55315</v>
      </c>
      <c r="W10102" t="s">
        <v>43906</v>
      </c>
      <c r="X10102" t="s">
        <v>44773</v>
      </c>
    </row>
    <row r="10103" spans="1:24">
      <c r="A10103">
        <f>HYPERLINK("https://www.philgeps.gov.ph/GEPSNONPILOT/Tender/SplashBidNoticeAbstractUI.aspx?menuIndex=3&amp;refID=7133479&amp;Result=3","7133479")</f>
        <v>0</v>
      </c>
      <c r="B10103" t="s">
        <v>987</v>
      </c>
      <c r="C10103" t="s">
        <v>13348</v>
      </c>
      <c r="D10103" t="s">
        <v>17998</v>
      </c>
      <c r="E10103" t="s">
        <v>26790</v>
      </c>
      <c r="F10103" t="s">
        <v>30900</v>
      </c>
      <c r="G10103" t="s">
        <v>30907</v>
      </c>
      <c r="H10103" t="s">
        <v>30915</v>
      </c>
      <c r="I10103" t="s">
        <v>30919</v>
      </c>
      <c r="J10103" t="s">
        <v>31157</v>
      </c>
      <c r="K10103" t="s">
        <v>40289</v>
      </c>
      <c r="M10103" t="s">
        <v>43927</v>
      </c>
      <c r="N10103" t="s">
        <v>44759</v>
      </c>
      <c r="O10103" t="s">
        <v>44760</v>
      </c>
      <c r="Q10103">
        <v>4</v>
      </c>
      <c r="R10103" t="s">
        <v>44770</v>
      </c>
      <c r="S10103" t="s">
        <v>45134</v>
      </c>
      <c r="T10103" t="s">
        <v>46606</v>
      </c>
      <c r="U10103" t="s">
        <v>55316</v>
      </c>
      <c r="W10103" t="s">
        <v>43927</v>
      </c>
      <c r="X10103" t="s">
        <v>44773</v>
      </c>
    </row>
    <row r="10104" spans="1:24">
      <c r="A10104">
        <f>HYPERLINK("https://www.philgeps.gov.ph/GEPSNONPILOT/Tender/SplashBidNoticeAbstractUI.aspx?menuIndex=3&amp;refID=7133590&amp;Result=3","7133590")</f>
        <v>0</v>
      </c>
      <c r="B10104" t="s">
        <v>3119</v>
      </c>
      <c r="C10104" t="s">
        <v>13349</v>
      </c>
      <c r="D10104" t="s">
        <v>17985</v>
      </c>
      <c r="E10104" t="s">
        <v>26791</v>
      </c>
      <c r="F10104" t="s">
        <v>30900</v>
      </c>
      <c r="G10104" t="s">
        <v>30907</v>
      </c>
      <c r="H10104" t="s">
        <v>30916</v>
      </c>
      <c r="I10104" t="s">
        <v>30919</v>
      </c>
      <c r="J10104" t="s">
        <v>37350</v>
      </c>
      <c r="K10104" t="s">
        <v>40340</v>
      </c>
      <c r="M10104" t="s">
        <v>43934</v>
      </c>
      <c r="N10104" t="s">
        <v>44759</v>
      </c>
      <c r="O10104" t="s">
        <v>44760</v>
      </c>
      <c r="P10104">
        <v>0</v>
      </c>
      <c r="Q10104">
        <v>3</v>
      </c>
      <c r="R10104" t="s">
        <v>44770</v>
      </c>
      <c r="S10104" t="s">
        <v>45105</v>
      </c>
      <c r="T10104" t="s">
        <v>46370</v>
      </c>
      <c r="U10104" t="s">
        <v>55317</v>
      </c>
      <c r="V10104" t="s">
        <v>60219</v>
      </c>
      <c r="W10104" t="s">
        <v>43934</v>
      </c>
      <c r="X10104" t="s">
        <v>44773</v>
      </c>
    </row>
    <row r="10105" spans="1:24">
      <c r="A10105">
        <f>HYPERLINK("https://www.philgeps.gov.ph/GEPSNONPILOT/Tender/SplashBidNoticeAbstractUI.aspx?menuIndex=3&amp;refID=7134467&amp;Result=3","7134467")</f>
        <v>0</v>
      </c>
      <c r="B10105" t="s">
        <v>3121</v>
      </c>
      <c r="C10105" t="s">
        <v>13350</v>
      </c>
      <c r="D10105" t="s">
        <v>17952</v>
      </c>
      <c r="E10105" t="s">
        <v>20674</v>
      </c>
      <c r="F10105" t="s">
        <v>30900</v>
      </c>
      <c r="G10105" t="s">
        <v>30907</v>
      </c>
      <c r="H10105" t="s">
        <v>30916</v>
      </c>
      <c r="I10105" t="s">
        <v>5501</v>
      </c>
      <c r="J10105" t="s">
        <v>37351</v>
      </c>
      <c r="K10105" t="s">
        <v>40286</v>
      </c>
      <c r="L10105" t="s">
        <v>3121</v>
      </c>
      <c r="M10105" t="s">
        <v>43937</v>
      </c>
      <c r="N10105" t="s">
        <v>44759</v>
      </c>
      <c r="O10105" t="s">
        <v>44760</v>
      </c>
      <c r="P10105">
        <v>0</v>
      </c>
      <c r="Q10105">
        <v>7</v>
      </c>
      <c r="R10105" t="s">
        <v>44770</v>
      </c>
      <c r="S10105" t="s">
        <v>45105</v>
      </c>
      <c r="T10105" t="s">
        <v>46389</v>
      </c>
      <c r="U10105" t="s">
        <v>55318</v>
      </c>
      <c r="V10105" t="s">
        <v>59200</v>
      </c>
      <c r="W10105" t="s">
        <v>43937</v>
      </c>
      <c r="X10105" t="s">
        <v>44773</v>
      </c>
    </row>
    <row r="10106" spans="1:24">
      <c r="A10106">
        <f>HYPERLINK("https://www.philgeps.gov.ph/GEPSNONPILOT/Tender/SplashBidNoticeAbstractUI.aspx?menuIndex=3&amp;refID=7133527&amp;Result=3","7133527")</f>
        <v>0</v>
      </c>
      <c r="B10106" t="s">
        <v>987</v>
      </c>
      <c r="C10106" t="s">
        <v>13351</v>
      </c>
      <c r="D10106" t="s">
        <v>17998</v>
      </c>
      <c r="E10106" t="s">
        <v>26792</v>
      </c>
      <c r="F10106" t="s">
        <v>30900</v>
      </c>
      <c r="G10106" t="s">
        <v>30907</v>
      </c>
      <c r="H10106" t="s">
        <v>30915</v>
      </c>
      <c r="I10106" t="s">
        <v>30919</v>
      </c>
      <c r="J10106" t="s">
        <v>37352</v>
      </c>
      <c r="K10106" t="s">
        <v>40289</v>
      </c>
      <c r="M10106" t="s">
        <v>43927</v>
      </c>
      <c r="N10106" t="s">
        <v>44759</v>
      </c>
      <c r="O10106" t="s">
        <v>44760</v>
      </c>
      <c r="Q10106">
        <v>4</v>
      </c>
      <c r="R10106" t="s">
        <v>44770</v>
      </c>
      <c r="S10106" t="s">
        <v>45135</v>
      </c>
      <c r="T10106" t="s">
        <v>46606</v>
      </c>
      <c r="U10106" t="s">
        <v>55319</v>
      </c>
      <c r="W10106" t="s">
        <v>43927</v>
      </c>
      <c r="X10106" t="s">
        <v>44773</v>
      </c>
    </row>
    <row r="10107" spans="1:24">
      <c r="A10107">
        <f>HYPERLINK("https://www.philgeps.gov.ph/GEPSNONPILOT/Tender/SplashBidNoticeAbstractUI.aspx?menuIndex=3&amp;refID=7134371&amp;Result=3","7134371")</f>
        <v>0</v>
      </c>
      <c r="B10107" t="s">
        <v>2371</v>
      </c>
      <c r="C10107" t="s">
        <v>13352</v>
      </c>
      <c r="D10107" t="s">
        <v>17975</v>
      </c>
      <c r="E10107" t="s">
        <v>26793</v>
      </c>
      <c r="F10107" t="s">
        <v>30900</v>
      </c>
      <c r="G10107" t="s">
        <v>30907</v>
      </c>
      <c r="H10107" t="s">
        <v>30915</v>
      </c>
      <c r="I10107" t="s">
        <v>30919</v>
      </c>
      <c r="J10107" t="s">
        <v>37353</v>
      </c>
      <c r="K10107" t="s">
        <v>40308</v>
      </c>
      <c r="M10107" t="s">
        <v>43097</v>
      </c>
      <c r="N10107" t="s">
        <v>44759</v>
      </c>
      <c r="O10107" t="s">
        <v>44760</v>
      </c>
      <c r="P10107">
        <v>0</v>
      </c>
      <c r="Q10107">
        <v>1</v>
      </c>
      <c r="R10107" t="s">
        <v>44770</v>
      </c>
      <c r="S10107" t="s">
        <v>45105</v>
      </c>
      <c r="T10107" t="s">
        <v>46418</v>
      </c>
      <c r="U10107" t="s">
        <v>55320</v>
      </c>
      <c r="W10107" t="s">
        <v>43097</v>
      </c>
      <c r="X10107" t="s">
        <v>44773</v>
      </c>
    </row>
    <row r="10108" spans="1:24">
      <c r="A10108">
        <f>HYPERLINK("https://www.philgeps.gov.ph/GEPSNONPILOT/Tender/SplashBidNoticeAbstractUI.aspx?menuIndex=3&amp;refID=7134422&amp;Result=3","7134422")</f>
        <v>0</v>
      </c>
      <c r="B10108" t="s">
        <v>703</v>
      </c>
      <c r="C10108" t="s">
        <v>13353</v>
      </c>
      <c r="D10108" t="s">
        <v>17993</v>
      </c>
      <c r="E10108" t="s">
        <v>26794</v>
      </c>
      <c r="F10108" t="s">
        <v>30900</v>
      </c>
      <c r="G10108" t="s">
        <v>30907</v>
      </c>
      <c r="H10108" t="s">
        <v>30915</v>
      </c>
      <c r="I10108" t="s">
        <v>30919</v>
      </c>
      <c r="J10108" t="s">
        <v>32130</v>
      </c>
      <c r="K10108" t="s">
        <v>40293</v>
      </c>
      <c r="M10108" t="s">
        <v>41267</v>
      </c>
      <c r="N10108" t="s">
        <v>44759</v>
      </c>
      <c r="O10108" t="s">
        <v>44760</v>
      </c>
      <c r="P10108">
        <v>0</v>
      </c>
      <c r="Q10108">
        <v>0</v>
      </c>
      <c r="R10108" t="s">
        <v>44770</v>
      </c>
      <c r="S10108" t="s">
        <v>45105</v>
      </c>
      <c r="T10108" t="s">
        <v>46383</v>
      </c>
      <c r="U10108" t="s">
        <v>55321</v>
      </c>
      <c r="W10108" t="s">
        <v>41267</v>
      </c>
      <c r="X10108" t="s">
        <v>44773</v>
      </c>
    </row>
    <row r="10109" spans="1:24">
      <c r="A10109">
        <f>HYPERLINK("https://www.philgeps.gov.ph/GEPSNONPILOT/Tender/SplashBidNoticeAbstractUI.aspx?menuIndex=3&amp;refID=7134335&amp;Result=3","7134335")</f>
        <v>0</v>
      </c>
      <c r="B10109" t="s">
        <v>177</v>
      </c>
      <c r="C10109" t="s">
        <v>13354</v>
      </c>
      <c r="D10109" t="s">
        <v>17999</v>
      </c>
      <c r="E10109" t="s">
        <v>26795</v>
      </c>
      <c r="F10109" t="s">
        <v>30903</v>
      </c>
      <c r="G10109" t="s">
        <v>30909</v>
      </c>
      <c r="H10109" t="s">
        <v>30915</v>
      </c>
      <c r="I10109" t="s">
        <v>30919</v>
      </c>
      <c r="J10109" t="s">
        <v>37354</v>
      </c>
      <c r="K10109" t="s">
        <v>40373</v>
      </c>
      <c r="M10109" t="s">
        <v>40724</v>
      </c>
      <c r="N10109" t="s">
        <v>44759</v>
      </c>
      <c r="O10109" t="s">
        <v>44760</v>
      </c>
      <c r="P10109">
        <v>0</v>
      </c>
      <c r="Q10109">
        <v>1</v>
      </c>
      <c r="R10109" t="s">
        <v>44770</v>
      </c>
      <c r="S10109" t="s">
        <v>45105</v>
      </c>
      <c r="T10109" t="s">
        <v>46771</v>
      </c>
      <c r="U10109" t="s">
        <v>55322</v>
      </c>
      <c r="W10109" t="s">
        <v>40724</v>
      </c>
      <c r="X10109" t="s">
        <v>44773</v>
      </c>
    </row>
    <row r="10110" spans="1:24">
      <c r="A10110">
        <f>HYPERLINK("https://www.philgeps.gov.ph/GEPSNONPILOT/Tender/SplashBidNoticeAbstractUI.aspx?menuIndex=3&amp;refID=7134509&amp;Result=3","7134509")</f>
        <v>0</v>
      </c>
      <c r="B10110" t="s">
        <v>3122</v>
      </c>
      <c r="C10110" t="s">
        <v>13355</v>
      </c>
      <c r="D10110" t="s">
        <v>17997</v>
      </c>
      <c r="E10110" t="s">
        <v>26796</v>
      </c>
      <c r="F10110" t="s">
        <v>30900</v>
      </c>
      <c r="G10110" t="s">
        <v>30907</v>
      </c>
      <c r="H10110" t="s">
        <v>30915</v>
      </c>
      <c r="I10110" t="s">
        <v>30948</v>
      </c>
      <c r="J10110" t="s">
        <v>31355</v>
      </c>
      <c r="K10110" t="s">
        <v>40286</v>
      </c>
      <c r="M10110" t="s">
        <v>43938</v>
      </c>
      <c r="N10110" t="s">
        <v>44759</v>
      </c>
      <c r="O10110" t="s">
        <v>44760</v>
      </c>
      <c r="P10110">
        <v>0</v>
      </c>
      <c r="Q10110">
        <v>0</v>
      </c>
      <c r="R10110" t="s">
        <v>44770</v>
      </c>
      <c r="S10110" t="s">
        <v>45105</v>
      </c>
      <c r="T10110" t="s">
        <v>46503</v>
      </c>
      <c r="U10110" t="s">
        <v>55323</v>
      </c>
      <c r="W10110" t="s">
        <v>43938</v>
      </c>
      <c r="X10110" t="s">
        <v>44773</v>
      </c>
    </row>
    <row r="10111" spans="1:24">
      <c r="A10111">
        <f>HYPERLINK("https://www.philgeps.gov.ph/GEPSNONPILOT/Tender/SplashBidNoticeAbstractUI.aspx?menuIndex=3&amp;refID=7134267&amp;Result=3","7134267")</f>
        <v>0</v>
      </c>
      <c r="B10111" t="s">
        <v>177</v>
      </c>
      <c r="C10111" t="s">
        <v>13356</v>
      </c>
      <c r="D10111" t="s">
        <v>17999</v>
      </c>
      <c r="E10111" t="s">
        <v>26797</v>
      </c>
      <c r="F10111" t="s">
        <v>30900</v>
      </c>
      <c r="G10111" t="s">
        <v>30907</v>
      </c>
      <c r="H10111" t="s">
        <v>30916</v>
      </c>
      <c r="I10111" t="s">
        <v>30933</v>
      </c>
      <c r="J10111" t="s">
        <v>32110</v>
      </c>
      <c r="K10111" t="s">
        <v>40283</v>
      </c>
      <c r="M10111" t="s">
        <v>40724</v>
      </c>
      <c r="N10111" t="s">
        <v>44759</v>
      </c>
      <c r="O10111" t="s">
        <v>44760</v>
      </c>
      <c r="P10111">
        <v>0</v>
      </c>
      <c r="Q10111">
        <v>7</v>
      </c>
      <c r="R10111" t="s">
        <v>44770</v>
      </c>
      <c r="S10111" t="s">
        <v>45105</v>
      </c>
      <c r="T10111" t="s">
        <v>46621</v>
      </c>
      <c r="U10111" t="s">
        <v>55324</v>
      </c>
      <c r="W10111" t="s">
        <v>40724</v>
      </c>
      <c r="X10111" t="s">
        <v>44773</v>
      </c>
    </row>
    <row r="10112" spans="1:24">
      <c r="A10112">
        <f>HYPERLINK("https://www.philgeps.gov.ph/GEPSNONPILOT/Tender/SplashBidNoticeAbstractUI.aspx?menuIndex=3&amp;refID=7134482&amp;Result=3","7134482")</f>
        <v>0</v>
      </c>
      <c r="B10112" t="s">
        <v>3123</v>
      </c>
      <c r="C10112" t="s">
        <v>13357</v>
      </c>
      <c r="D10112" t="s">
        <v>17969</v>
      </c>
      <c r="E10112" t="s">
        <v>26798</v>
      </c>
      <c r="F10112" t="s">
        <v>30900</v>
      </c>
      <c r="G10112" t="s">
        <v>30907</v>
      </c>
      <c r="H10112" t="s">
        <v>30916</v>
      </c>
      <c r="I10112" t="s">
        <v>30933</v>
      </c>
      <c r="J10112" t="s">
        <v>31241</v>
      </c>
      <c r="K10112" t="s">
        <v>40291</v>
      </c>
      <c r="M10112" t="s">
        <v>43939</v>
      </c>
      <c r="N10112" t="s">
        <v>44759</v>
      </c>
      <c r="O10112" t="s">
        <v>44760</v>
      </c>
      <c r="P10112">
        <v>0</v>
      </c>
      <c r="Q10112">
        <v>9</v>
      </c>
      <c r="R10112" t="s">
        <v>44770</v>
      </c>
      <c r="S10112" t="s">
        <v>45105</v>
      </c>
      <c r="T10112" t="s">
        <v>46519</v>
      </c>
      <c r="U10112" t="s">
        <v>55325</v>
      </c>
      <c r="W10112" t="s">
        <v>43939</v>
      </c>
      <c r="X10112" t="s">
        <v>44773</v>
      </c>
    </row>
    <row r="10113" spans="1:24">
      <c r="A10113">
        <f>HYPERLINK("https://www.philgeps.gov.ph/GEPSNONPILOT/Tender/SplashBidNoticeAbstractUI.aspx?menuIndex=3&amp;refID=7134359&amp;Result=3","7134359")</f>
        <v>0</v>
      </c>
      <c r="B10113" t="s">
        <v>3121</v>
      </c>
      <c r="C10113" t="s">
        <v>13358</v>
      </c>
      <c r="D10113" t="s">
        <v>17952</v>
      </c>
      <c r="E10113" t="s">
        <v>20879</v>
      </c>
      <c r="F10113" t="s">
        <v>30900</v>
      </c>
      <c r="G10113" t="s">
        <v>30907</v>
      </c>
      <c r="H10113" t="s">
        <v>30916</v>
      </c>
      <c r="I10113" t="s">
        <v>5501</v>
      </c>
      <c r="J10113" t="s">
        <v>37355</v>
      </c>
      <c r="K10113" t="s">
        <v>40286</v>
      </c>
      <c r="L10113" t="s">
        <v>3121</v>
      </c>
      <c r="M10113" t="s">
        <v>43937</v>
      </c>
      <c r="N10113" t="s">
        <v>44759</v>
      </c>
      <c r="O10113" t="s">
        <v>44760</v>
      </c>
      <c r="P10113">
        <v>0</v>
      </c>
      <c r="Q10113">
        <v>6</v>
      </c>
      <c r="R10113" t="s">
        <v>44770</v>
      </c>
      <c r="S10113" t="s">
        <v>45105</v>
      </c>
      <c r="T10113" t="s">
        <v>46389</v>
      </c>
      <c r="U10113" t="s">
        <v>55326</v>
      </c>
      <c r="V10113" t="s">
        <v>59200</v>
      </c>
      <c r="W10113" t="s">
        <v>43937</v>
      </c>
      <c r="X10113" t="s">
        <v>44773</v>
      </c>
    </row>
    <row r="10114" spans="1:24">
      <c r="A10114">
        <f>HYPERLINK("https://www.philgeps.gov.ph/GEPSNONPILOT/Tender/SplashBidNoticeAbstractUI.aspx?menuIndex=3&amp;refID=7134154&amp;Result=3","7134154")</f>
        <v>0</v>
      </c>
      <c r="B10114" t="s">
        <v>2446</v>
      </c>
      <c r="C10114" t="s">
        <v>13359</v>
      </c>
      <c r="D10114" t="s">
        <v>18019</v>
      </c>
      <c r="E10114" t="s">
        <v>21567</v>
      </c>
      <c r="F10114" t="s">
        <v>30900</v>
      </c>
      <c r="G10114" t="s">
        <v>30907</v>
      </c>
      <c r="H10114" t="s">
        <v>30915</v>
      </c>
      <c r="I10114" t="s">
        <v>30919</v>
      </c>
      <c r="J10114" t="s">
        <v>37356</v>
      </c>
      <c r="K10114" t="s">
        <v>40450</v>
      </c>
      <c r="M10114" t="s">
        <v>43182</v>
      </c>
      <c r="N10114" t="s">
        <v>44759</v>
      </c>
      <c r="O10114" t="s">
        <v>44760</v>
      </c>
      <c r="P10114">
        <v>0</v>
      </c>
      <c r="Q10114">
        <v>2</v>
      </c>
      <c r="R10114" t="s">
        <v>44770</v>
      </c>
      <c r="S10114" t="s">
        <v>45105</v>
      </c>
      <c r="T10114" t="s">
        <v>46420</v>
      </c>
      <c r="U10114" t="s">
        <v>55327</v>
      </c>
      <c r="W10114" t="s">
        <v>43182</v>
      </c>
      <c r="X10114" t="s">
        <v>44773</v>
      </c>
    </row>
    <row r="10115" spans="1:24">
      <c r="A10115">
        <f>HYPERLINK("https://www.philgeps.gov.ph/GEPSNONPILOT/Tender/SplashBidNoticeAbstractUI.aspx?menuIndex=3&amp;refID=7133919&amp;Result=3","7133919")</f>
        <v>0</v>
      </c>
      <c r="B10115" t="s">
        <v>1198</v>
      </c>
      <c r="C10115" t="s">
        <v>13360</v>
      </c>
      <c r="D10115" t="s">
        <v>17999</v>
      </c>
      <c r="E10115" t="s">
        <v>26799</v>
      </c>
      <c r="F10115" t="s">
        <v>30900</v>
      </c>
      <c r="G10115" t="s">
        <v>30907</v>
      </c>
      <c r="H10115" t="s">
        <v>30916</v>
      </c>
      <c r="I10115" t="s">
        <v>30965</v>
      </c>
      <c r="J10115" t="s">
        <v>31049</v>
      </c>
      <c r="K10115" t="s">
        <v>40321</v>
      </c>
      <c r="M10115" t="s">
        <v>41809</v>
      </c>
      <c r="N10115" t="s">
        <v>44759</v>
      </c>
      <c r="O10115" t="s">
        <v>44760</v>
      </c>
      <c r="P10115">
        <v>0</v>
      </c>
      <c r="Q10115">
        <v>1</v>
      </c>
      <c r="R10115" t="s">
        <v>44770</v>
      </c>
      <c r="S10115" t="s">
        <v>45105</v>
      </c>
      <c r="T10115" t="s">
        <v>46390</v>
      </c>
      <c r="U10115" t="s">
        <v>55328</v>
      </c>
      <c r="V10115" t="s">
        <v>59430</v>
      </c>
      <c r="W10115" t="s">
        <v>41809</v>
      </c>
      <c r="X10115" t="s">
        <v>44773</v>
      </c>
    </row>
    <row r="10116" spans="1:24">
      <c r="A10116">
        <f>HYPERLINK("https://www.philgeps.gov.ph/GEPSNONPILOT/Tender/SplashBidNoticeAbstractUI.aspx?menuIndex=3&amp;refID=7133999&amp;Result=3","7133999")</f>
        <v>0</v>
      </c>
      <c r="B10116" t="s">
        <v>3124</v>
      </c>
      <c r="C10116" t="s">
        <v>13361</v>
      </c>
      <c r="D10116" t="s">
        <v>17987</v>
      </c>
      <c r="E10116" t="s">
        <v>26800</v>
      </c>
      <c r="F10116" t="s">
        <v>30900</v>
      </c>
      <c r="G10116" t="s">
        <v>30907</v>
      </c>
      <c r="H10116" t="s">
        <v>30916</v>
      </c>
      <c r="I10116" t="s">
        <v>5501</v>
      </c>
      <c r="J10116" t="s">
        <v>37357</v>
      </c>
      <c r="K10116" t="s">
        <v>40283</v>
      </c>
      <c r="M10116" t="s">
        <v>43940</v>
      </c>
      <c r="N10116" t="s">
        <v>44759</v>
      </c>
      <c r="O10116" t="s">
        <v>44760</v>
      </c>
      <c r="P10116">
        <v>0</v>
      </c>
      <c r="Q10116">
        <v>5</v>
      </c>
      <c r="R10116" t="s">
        <v>44770</v>
      </c>
      <c r="S10116" t="s">
        <v>45105</v>
      </c>
      <c r="T10116" t="s">
        <v>46658</v>
      </c>
      <c r="U10116" t="s">
        <v>55329</v>
      </c>
      <c r="W10116" t="s">
        <v>60916</v>
      </c>
      <c r="X10116" t="s">
        <v>44773</v>
      </c>
    </row>
    <row r="10117" spans="1:24">
      <c r="A10117">
        <f>HYPERLINK("https://www.philgeps.gov.ph/GEPSNONPILOT/Tender/SplashBidNoticeAbstractUI.aspx?menuIndex=3&amp;refID=7133525&amp;Result=3","7133525")</f>
        <v>0</v>
      </c>
      <c r="B10117" t="s">
        <v>56</v>
      </c>
      <c r="C10117" t="s">
        <v>13362</v>
      </c>
      <c r="D10117" t="s">
        <v>17952</v>
      </c>
      <c r="E10117" t="s">
        <v>26801</v>
      </c>
      <c r="F10117" t="s">
        <v>30900</v>
      </c>
      <c r="G10117" t="s">
        <v>30907</v>
      </c>
      <c r="H10117" t="s">
        <v>30916</v>
      </c>
      <c r="I10117" t="s">
        <v>6953</v>
      </c>
      <c r="J10117" t="s">
        <v>37358</v>
      </c>
      <c r="K10117" t="s">
        <v>40294</v>
      </c>
      <c r="M10117" t="s">
        <v>43553</v>
      </c>
      <c r="N10117" t="s">
        <v>44759</v>
      </c>
      <c r="O10117" t="s">
        <v>44760</v>
      </c>
      <c r="Q10117">
        <v>0</v>
      </c>
      <c r="R10117" t="s">
        <v>44770</v>
      </c>
      <c r="S10117" t="s">
        <v>45136</v>
      </c>
      <c r="T10117" t="s">
        <v>46399</v>
      </c>
      <c r="U10117" t="s">
        <v>55330</v>
      </c>
      <c r="V10117" t="s">
        <v>59226</v>
      </c>
      <c r="W10117" t="s">
        <v>43553</v>
      </c>
      <c r="X10117" t="s">
        <v>44773</v>
      </c>
    </row>
    <row r="10118" spans="1:24">
      <c r="A10118">
        <f>HYPERLINK("https://www.philgeps.gov.ph/GEPSNONPILOT/Tender/SplashBidNoticeAbstractUI.aspx?menuIndex=3&amp;refID=7134516&amp;Result=3","7134516")</f>
        <v>0</v>
      </c>
      <c r="B10118" t="s">
        <v>3123</v>
      </c>
      <c r="C10118" t="s">
        <v>13363</v>
      </c>
      <c r="D10118" t="s">
        <v>17969</v>
      </c>
      <c r="E10118" t="s">
        <v>26802</v>
      </c>
      <c r="F10118" t="s">
        <v>30900</v>
      </c>
      <c r="G10118" t="s">
        <v>30907</v>
      </c>
      <c r="H10118" t="s">
        <v>30916</v>
      </c>
      <c r="I10118" t="s">
        <v>5501</v>
      </c>
      <c r="J10118" t="s">
        <v>37359</v>
      </c>
      <c r="K10118" t="s">
        <v>40291</v>
      </c>
      <c r="M10118" t="s">
        <v>43939</v>
      </c>
      <c r="N10118" t="s">
        <v>44759</v>
      </c>
      <c r="O10118" t="s">
        <v>44760</v>
      </c>
      <c r="P10118">
        <v>0</v>
      </c>
      <c r="Q10118">
        <v>5</v>
      </c>
      <c r="R10118" t="s">
        <v>44770</v>
      </c>
      <c r="S10118" t="s">
        <v>45105</v>
      </c>
      <c r="T10118" t="s">
        <v>46519</v>
      </c>
      <c r="U10118" t="s">
        <v>55331</v>
      </c>
      <c r="W10118" t="s">
        <v>43939</v>
      </c>
      <c r="X10118" t="s">
        <v>44773</v>
      </c>
    </row>
    <row r="10119" spans="1:24">
      <c r="A10119">
        <f>HYPERLINK("https://www.philgeps.gov.ph/GEPSNONPILOT/Tender/SplashBidNoticeAbstractUI.aspx?menuIndex=3&amp;refID=7134130&amp;Result=3","7134130")</f>
        <v>0</v>
      </c>
      <c r="B10119" t="s">
        <v>3069</v>
      </c>
      <c r="C10119" t="s">
        <v>13364</v>
      </c>
      <c r="D10119" t="s">
        <v>17975</v>
      </c>
      <c r="E10119" t="s">
        <v>26566</v>
      </c>
      <c r="F10119" t="s">
        <v>30899</v>
      </c>
      <c r="G10119" t="s">
        <v>30910</v>
      </c>
      <c r="H10119" t="s">
        <v>30916</v>
      </c>
      <c r="I10119" t="s">
        <v>6396</v>
      </c>
      <c r="J10119" t="s">
        <v>37360</v>
      </c>
      <c r="K10119" t="s">
        <v>40282</v>
      </c>
      <c r="L10119" t="s">
        <v>3069</v>
      </c>
      <c r="M10119" t="s">
        <v>43880</v>
      </c>
      <c r="N10119" t="s">
        <v>44759</v>
      </c>
      <c r="O10119" t="s">
        <v>44760</v>
      </c>
      <c r="P10119">
        <v>0</v>
      </c>
      <c r="Q10119">
        <v>0</v>
      </c>
      <c r="R10119" t="s">
        <v>44770</v>
      </c>
      <c r="S10119" t="s">
        <v>45105</v>
      </c>
      <c r="T10119" t="s">
        <v>46414</v>
      </c>
      <c r="U10119" t="s">
        <v>55332</v>
      </c>
      <c r="W10119" t="s">
        <v>43880</v>
      </c>
      <c r="X10119" t="s">
        <v>44773</v>
      </c>
    </row>
    <row r="10120" spans="1:24">
      <c r="A10120">
        <f>HYPERLINK("https://www.philgeps.gov.ph/GEPSNONPILOT/Tender/SplashBidNoticeAbstractUI.aspx?menuIndex=3&amp;refID=7134229&amp;Result=3","7134229")</f>
        <v>0</v>
      </c>
      <c r="B10120" t="s">
        <v>3125</v>
      </c>
      <c r="C10120" t="s">
        <v>13365</v>
      </c>
      <c r="D10120" t="s">
        <v>18002</v>
      </c>
      <c r="E10120" t="s">
        <v>26803</v>
      </c>
      <c r="F10120" t="s">
        <v>30900</v>
      </c>
      <c r="G10120" t="s">
        <v>30907</v>
      </c>
      <c r="H10120" t="s">
        <v>30916</v>
      </c>
      <c r="I10120" t="s">
        <v>30921</v>
      </c>
      <c r="J10120" t="s">
        <v>37361</v>
      </c>
      <c r="K10120" t="s">
        <v>40286</v>
      </c>
      <c r="M10120" t="s">
        <v>43941</v>
      </c>
      <c r="N10120" t="s">
        <v>44759</v>
      </c>
      <c r="O10120" t="s">
        <v>44760</v>
      </c>
      <c r="P10120">
        <v>0</v>
      </c>
      <c r="Q10120">
        <v>14</v>
      </c>
      <c r="R10120" t="s">
        <v>44770</v>
      </c>
      <c r="S10120" t="s">
        <v>45105</v>
      </c>
      <c r="T10120" t="s">
        <v>46428</v>
      </c>
      <c r="U10120" t="s">
        <v>55333</v>
      </c>
      <c r="W10120" t="s">
        <v>43941</v>
      </c>
      <c r="X10120" t="s">
        <v>44773</v>
      </c>
    </row>
    <row r="10121" spans="1:24">
      <c r="A10121">
        <f>HYPERLINK("https://www.philgeps.gov.ph/GEPSNONPILOT/Tender/SplashBidNoticeAbstractUI.aspx?menuIndex=3&amp;refID=7134525&amp;Result=3","7134525")</f>
        <v>0</v>
      </c>
      <c r="B10121" t="s">
        <v>715</v>
      </c>
      <c r="C10121" t="s">
        <v>13366</v>
      </c>
      <c r="D10121" t="s">
        <v>17975</v>
      </c>
      <c r="E10121" t="s">
        <v>26804</v>
      </c>
      <c r="F10121" t="s">
        <v>30900</v>
      </c>
      <c r="G10121" t="s">
        <v>30908</v>
      </c>
      <c r="H10121" t="s">
        <v>30916</v>
      </c>
      <c r="I10121" t="s">
        <v>30933</v>
      </c>
      <c r="J10121" t="s">
        <v>31050</v>
      </c>
      <c r="K10121" t="s">
        <v>40289</v>
      </c>
      <c r="M10121" t="s">
        <v>41279</v>
      </c>
      <c r="N10121" t="s">
        <v>44759</v>
      </c>
      <c r="O10121" t="s">
        <v>44760</v>
      </c>
      <c r="Q10121">
        <v>2</v>
      </c>
      <c r="R10121" t="s">
        <v>44770</v>
      </c>
      <c r="S10121" t="s">
        <v>45137</v>
      </c>
      <c r="T10121" t="s">
        <v>46383</v>
      </c>
      <c r="U10121" t="s">
        <v>48203</v>
      </c>
      <c r="W10121" t="s">
        <v>41279</v>
      </c>
      <c r="X10121" t="s">
        <v>44773</v>
      </c>
    </row>
    <row r="10122" spans="1:24">
      <c r="A10122">
        <f>HYPERLINK("https://www.philgeps.gov.ph/GEPSNONPILOT/Tender/SplashBidNoticeAbstractUI.aspx?menuIndex=3&amp;refID=7134741&amp;Result=3","7134741")</f>
        <v>0</v>
      </c>
      <c r="B10122" t="s">
        <v>3096</v>
      </c>
      <c r="C10122" t="s">
        <v>9896</v>
      </c>
      <c r="D10122" t="s">
        <v>17952</v>
      </c>
      <c r="E10122" t="s">
        <v>26805</v>
      </c>
      <c r="F10122" t="s">
        <v>30900</v>
      </c>
      <c r="G10122" t="s">
        <v>30907</v>
      </c>
      <c r="H10122" t="s">
        <v>30915</v>
      </c>
      <c r="I10122" t="s">
        <v>30919</v>
      </c>
      <c r="J10122" t="s">
        <v>31297</v>
      </c>
      <c r="K10122" t="s">
        <v>40304</v>
      </c>
      <c r="M10122" t="s">
        <v>43908</v>
      </c>
      <c r="N10122" t="s">
        <v>44759</v>
      </c>
      <c r="O10122" t="s">
        <v>44760</v>
      </c>
      <c r="P10122">
        <v>0</v>
      </c>
      <c r="Q10122">
        <v>2</v>
      </c>
      <c r="R10122" t="s">
        <v>44770</v>
      </c>
      <c r="S10122" t="s">
        <v>45105</v>
      </c>
      <c r="T10122" t="s">
        <v>46544</v>
      </c>
      <c r="U10122" t="s">
        <v>55334</v>
      </c>
      <c r="W10122" t="s">
        <v>43908</v>
      </c>
      <c r="X10122" t="s">
        <v>44773</v>
      </c>
    </row>
    <row r="10123" spans="1:24">
      <c r="A10123">
        <f>HYPERLINK("https://www.philgeps.gov.ph/GEPSNONPILOT/Tender/SplashBidNoticeAbstractUI.aspx?menuIndex=3&amp;refID=7134334&amp;Result=3","7134334")</f>
        <v>0</v>
      </c>
      <c r="B10123" t="s">
        <v>3069</v>
      </c>
      <c r="C10123" t="s">
        <v>13367</v>
      </c>
      <c r="D10123" t="s">
        <v>17975</v>
      </c>
      <c r="E10123" t="s">
        <v>26566</v>
      </c>
      <c r="F10123" t="s">
        <v>30899</v>
      </c>
      <c r="G10123" t="s">
        <v>30907</v>
      </c>
      <c r="H10123" t="s">
        <v>30916</v>
      </c>
      <c r="I10123" t="s">
        <v>30935</v>
      </c>
      <c r="J10123" t="s">
        <v>31070</v>
      </c>
      <c r="K10123" t="s">
        <v>40294</v>
      </c>
      <c r="L10123" t="s">
        <v>3069</v>
      </c>
      <c r="M10123" t="s">
        <v>43880</v>
      </c>
      <c r="N10123" t="s">
        <v>44759</v>
      </c>
      <c r="O10123" t="s">
        <v>44760</v>
      </c>
      <c r="P10123">
        <v>0</v>
      </c>
      <c r="Q10123">
        <v>0</v>
      </c>
      <c r="R10123" t="s">
        <v>44770</v>
      </c>
      <c r="S10123" t="s">
        <v>45105</v>
      </c>
      <c r="T10123" t="s">
        <v>46429</v>
      </c>
      <c r="U10123" t="s">
        <v>55335</v>
      </c>
      <c r="W10123" t="s">
        <v>43880</v>
      </c>
      <c r="X10123" t="s">
        <v>44773</v>
      </c>
    </row>
    <row r="10124" spans="1:24">
      <c r="A10124">
        <f>HYPERLINK("https://www.philgeps.gov.ph/GEPSNONPILOT/Tender/SplashBidNoticeAbstractUI.aspx?menuIndex=3&amp;refID=7134744&amp;Result=3","7134744")</f>
        <v>0</v>
      </c>
      <c r="B10124" t="s">
        <v>3123</v>
      </c>
      <c r="C10124" t="s">
        <v>13368</v>
      </c>
      <c r="D10124" t="s">
        <v>17969</v>
      </c>
      <c r="E10124" t="s">
        <v>26806</v>
      </c>
      <c r="F10124" t="s">
        <v>30900</v>
      </c>
      <c r="G10124" t="s">
        <v>30907</v>
      </c>
      <c r="H10124" t="s">
        <v>30915</v>
      </c>
      <c r="I10124" t="s">
        <v>30919</v>
      </c>
      <c r="J10124" t="s">
        <v>37362</v>
      </c>
      <c r="K10124" t="s">
        <v>40341</v>
      </c>
      <c r="M10124" t="s">
        <v>43939</v>
      </c>
      <c r="N10124" t="s">
        <v>44759</v>
      </c>
      <c r="O10124" t="s">
        <v>44760</v>
      </c>
      <c r="P10124">
        <v>0</v>
      </c>
      <c r="Q10124">
        <v>0</v>
      </c>
      <c r="R10124" t="s">
        <v>44770</v>
      </c>
      <c r="S10124" t="s">
        <v>45105</v>
      </c>
      <c r="T10124" t="s">
        <v>46519</v>
      </c>
      <c r="U10124" t="s">
        <v>55336</v>
      </c>
      <c r="W10124" t="s">
        <v>43939</v>
      </c>
      <c r="X10124" t="s">
        <v>44773</v>
      </c>
    </row>
    <row r="10125" spans="1:24">
      <c r="A10125">
        <f>HYPERLINK("https://www.philgeps.gov.ph/GEPSNONPILOT/Tender/SplashBidNoticeAbstractUI.aspx?menuIndex=3&amp;refID=7134538&amp;Result=3","7134538")</f>
        <v>0</v>
      </c>
      <c r="B10125" t="s">
        <v>839</v>
      </c>
      <c r="C10125" t="s">
        <v>13369</v>
      </c>
      <c r="E10125" t="s">
        <v>26807</v>
      </c>
      <c r="F10125" t="s">
        <v>30900</v>
      </c>
      <c r="G10125" t="s">
        <v>30907</v>
      </c>
      <c r="H10125" t="s">
        <v>30916</v>
      </c>
      <c r="I10125" t="s">
        <v>30918</v>
      </c>
      <c r="J10125" t="s">
        <v>32616</v>
      </c>
      <c r="K10125" t="s">
        <v>40289</v>
      </c>
      <c r="M10125" t="s">
        <v>43283</v>
      </c>
      <c r="N10125" t="s">
        <v>44759</v>
      </c>
      <c r="O10125" t="s">
        <v>44760</v>
      </c>
      <c r="P10125">
        <v>0</v>
      </c>
      <c r="Q10125">
        <v>33</v>
      </c>
      <c r="R10125" t="s">
        <v>44770</v>
      </c>
      <c r="S10125" t="s">
        <v>45105</v>
      </c>
      <c r="T10125" t="s">
        <v>46544</v>
      </c>
      <c r="U10125" t="s">
        <v>55337</v>
      </c>
      <c r="W10125" t="s">
        <v>43283</v>
      </c>
      <c r="X10125" t="s">
        <v>44773</v>
      </c>
    </row>
    <row r="10126" spans="1:24">
      <c r="A10126">
        <f>HYPERLINK("https://www.philgeps.gov.ph/GEPSNONPILOT/Tender/SplashBidNoticeAbstractUI.aspx?menuIndex=3&amp;refID=7133895&amp;Result=3","7133895")</f>
        <v>0</v>
      </c>
      <c r="B10126" t="s">
        <v>1198</v>
      </c>
      <c r="C10126" t="s">
        <v>13370</v>
      </c>
      <c r="D10126" t="s">
        <v>17999</v>
      </c>
      <c r="E10126" t="s">
        <v>26808</v>
      </c>
      <c r="F10126" t="s">
        <v>30900</v>
      </c>
      <c r="G10126" t="s">
        <v>30907</v>
      </c>
      <c r="H10126" t="s">
        <v>30916</v>
      </c>
      <c r="I10126" t="s">
        <v>30933</v>
      </c>
      <c r="J10126" t="s">
        <v>36620</v>
      </c>
      <c r="K10126" t="s">
        <v>40321</v>
      </c>
      <c r="M10126" t="s">
        <v>41809</v>
      </c>
      <c r="N10126" t="s">
        <v>44759</v>
      </c>
      <c r="O10126" t="s">
        <v>44760</v>
      </c>
      <c r="P10126">
        <v>0</v>
      </c>
      <c r="Q10126">
        <v>3</v>
      </c>
      <c r="R10126" t="s">
        <v>44770</v>
      </c>
      <c r="S10126" t="s">
        <v>45105</v>
      </c>
      <c r="T10126" t="s">
        <v>46511</v>
      </c>
      <c r="U10126" t="s">
        <v>55338</v>
      </c>
      <c r="V10126" t="s">
        <v>59430</v>
      </c>
      <c r="W10126" t="s">
        <v>41809</v>
      </c>
      <c r="X10126" t="s">
        <v>44773</v>
      </c>
    </row>
    <row r="10127" spans="1:24">
      <c r="A10127">
        <f>HYPERLINK("https://www.philgeps.gov.ph/GEPSNONPILOT/Tender/SplashBidNoticeAbstractUI.aspx?menuIndex=3&amp;refID=7134712&amp;Result=3","7134712")</f>
        <v>0</v>
      </c>
      <c r="B10127" t="s">
        <v>402</v>
      </c>
      <c r="C10127" t="s">
        <v>13371</v>
      </c>
      <c r="D10127" t="s">
        <v>17982</v>
      </c>
      <c r="E10127" t="s">
        <v>26809</v>
      </c>
      <c r="F10127" t="s">
        <v>30900</v>
      </c>
      <c r="G10127" t="s">
        <v>30907</v>
      </c>
      <c r="H10127" t="s">
        <v>30915</v>
      </c>
      <c r="I10127" t="s">
        <v>30919</v>
      </c>
      <c r="J10127" t="s">
        <v>35570</v>
      </c>
      <c r="K10127" t="s">
        <v>40301</v>
      </c>
      <c r="M10127" t="s">
        <v>40957</v>
      </c>
      <c r="N10127" t="s">
        <v>44759</v>
      </c>
      <c r="O10127" t="s">
        <v>44760</v>
      </c>
      <c r="P10127">
        <v>0</v>
      </c>
      <c r="Q10127">
        <v>0</v>
      </c>
      <c r="R10127" t="s">
        <v>44770</v>
      </c>
      <c r="S10127" t="s">
        <v>45105</v>
      </c>
      <c r="T10127" t="s">
        <v>46515</v>
      </c>
      <c r="U10127" t="s">
        <v>47590</v>
      </c>
      <c r="W10127" t="s">
        <v>40957</v>
      </c>
      <c r="X10127" t="s">
        <v>44773</v>
      </c>
    </row>
    <row r="10128" spans="1:24">
      <c r="A10128">
        <f>HYPERLINK("https://www.philgeps.gov.ph/GEPSNONPILOT/Tender/SplashBidNoticeAbstractUI.aspx?menuIndex=3&amp;refID=7134809&amp;Result=3","7134809")</f>
        <v>0</v>
      </c>
      <c r="B10128" t="s">
        <v>918</v>
      </c>
      <c r="C10128" t="s">
        <v>13372</v>
      </c>
      <c r="D10128" t="s">
        <v>17959</v>
      </c>
      <c r="E10128" t="s">
        <v>26810</v>
      </c>
      <c r="F10128" t="s">
        <v>30900</v>
      </c>
      <c r="G10128" t="s">
        <v>30907</v>
      </c>
      <c r="H10128" t="s">
        <v>30916</v>
      </c>
      <c r="I10128" t="s">
        <v>6396</v>
      </c>
      <c r="J10128" t="s">
        <v>37363</v>
      </c>
      <c r="K10128" t="s">
        <v>40286</v>
      </c>
      <c r="M10128" t="s">
        <v>41617</v>
      </c>
      <c r="N10128" t="s">
        <v>44759</v>
      </c>
      <c r="O10128" t="s">
        <v>44760</v>
      </c>
      <c r="P10128">
        <v>0</v>
      </c>
      <c r="Q10128">
        <v>7</v>
      </c>
      <c r="R10128" t="s">
        <v>44770</v>
      </c>
      <c r="S10128" t="s">
        <v>45105</v>
      </c>
      <c r="T10128" t="s">
        <v>46712</v>
      </c>
      <c r="U10128" t="s">
        <v>55339</v>
      </c>
      <c r="W10128" t="s">
        <v>41617</v>
      </c>
      <c r="X10128" t="s">
        <v>44773</v>
      </c>
    </row>
    <row r="10129" spans="1:24">
      <c r="A10129">
        <f>HYPERLINK("https://www.philgeps.gov.ph/GEPSNONPILOT/Tender/SplashBidNoticeAbstractUI.aspx?menuIndex=3&amp;refID=7134796&amp;Result=3","7134796")</f>
        <v>0</v>
      </c>
      <c r="B10129" t="s">
        <v>3122</v>
      </c>
      <c r="C10129" t="s">
        <v>13373</v>
      </c>
      <c r="D10129" t="s">
        <v>17997</v>
      </c>
      <c r="E10129" t="s">
        <v>26811</v>
      </c>
      <c r="F10129" t="s">
        <v>30900</v>
      </c>
      <c r="G10129" t="s">
        <v>30907</v>
      </c>
      <c r="H10129" t="s">
        <v>30915</v>
      </c>
      <c r="I10129" t="s">
        <v>30948</v>
      </c>
      <c r="J10129" t="s">
        <v>31101</v>
      </c>
      <c r="K10129" t="s">
        <v>40286</v>
      </c>
      <c r="M10129" t="s">
        <v>43938</v>
      </c>
      <c r="N10129" t="s">
        <v>44759</v>
      </c>
      <c r="O10129" t="s">
        <v>44760</v>
      </c>
      <c r="P10129">
        <v>0</v>
      </c>
      <c r="Q10129">
        <v>0</v>
      </c>
      <c r="R10129" t="s">
        <v>44770</v>
      </c>
      <c r="S10129" t="s">
        <v>45105</v>
      </c>
      <c r="T10129" t="s">
        <v>46503</v>
      </c>
      <c r="U10129" t="s">
        <v>55323</v>
      </c>
      <c r="W10129" t="s">
        <v>43938</v>
      </c>
      <c r="X10129" t="s">
        <v>44773</v>
      </c>
    </row>
    <row r="10130" spans="1:24">
      <c r="A10130">
        <f>HYPERLINK("https://www.philgeps.gov.ph/GEPSNONPILOT/Tender/SplashBidNoticeAbstractUI.aspx?menuIndex=3&amp;refID=7134664&amp;Result=3","7134664")</f>
        <v>0</v>
      </c>
      <c r="B10130" t="s">
        <v>1159</v>
      </c>
      <c r="C10130" t="s">
        <v>13374</v>
      </c>
      <c r="E10130" t="s">
        <v>26812</v>
      </c>
      <c r="F10130" t="s">
        <v>30900</v>
      </c>
      <c r="G10130" t="s">
        <v>30907</v>
      </c>
      <c r="H10130" t="s">
        <v>30916</v>
      </c>
      <c r="I10130" t="s">
        <v>5501</v>
      </c>
      <c r="J10130" t="s">
        <v>37364</v>
      </c>
      <c r="K10130" t="s">
        <v>40286</v>
      </c>
      <c r="M10130" t="s">
        <v>41767</v>
      </c>
      <c r="N10130" t="s">
        <v>44759</v>
      </c>
      <c r="O10130" t="s">
        <v>44760</v>
      </c>
      <c r="P10130">
        <v>0</v>
      </c>
      <c r="Q10130">
        <v>3</v>
      </c>
      <c r="R10130" t="s">
        <v>44770</v>
      </c>
      <c r="S10130" t="s">
        <v>45105</v>
      </c>
      <c r="T10130" t="s">
        <v>46544</v>
      </c>
      <c r="U10130" t="s">
        <v>55340</v>
      </c>
      <c r="W10130" t="s">
        <v>41767</v>
      </c>
      <c r="X10130" t="s">
        <v>44773</v>
      </c>
    </row>
    <row r="10131" spans="1:24">
      <c r="A10131">
        <f>HYPERLINK("https://www.philgeps.gov.ph/GEPSNONPILOT/Tender/SplashBidNoticeAbstractUI.aspx?menuIndex=3&amp;refID=7134644&amp;Result=3","7134644")</f>
        <v>0</v>
      </c>
      <c r="B10131" t="s">
        <v>1159</v>
      </c>
      <c r="C10131" t="s">
        <v>13375</v>
      </c>
      <c r="E10131" t="s">
        <v>26813</v>
      </c>
      <c r="F10131" t="s">
        <v>30900</v>
      </c>
      <c r="G10131" t="s">
        <v>30907</v>
      </c>
      <c r="H10131" t="s">
        <v>30916</v>
      </c>
      <c r="I10131" t="s">
        <v>30923</v>
      </c>
      <c r="J10131" t="s">
        <v>37365</v>
      </c>
      <c r="K10131" t="s">
        <v>40286</v>
      </c>
      <c r="M10131" t="s">
        <v>41767</v>
      </c>
      <c r="N10131" t="s">
        <v>44759</v>
      </c>
      <c r="O10131" t="s">
        <v>44760</v>
      </c>
      <c r="P10131">
        <v>0</v>
      </c>
      <c r="Q10131">
        <v>12</v>
      </c>
      <c r="R10131" t="s">
        <v>44770</v>
      </c>
      <c r="S10131" t="s">
        <v>45105</v>
      </c>
      <c r="T10131" t="s">
        <v>46544</v>
      </c>
      <c r="U10131" t="s">
        <v>55340</v>
      </c>
      <c r="W10131" t="s">
        <v>41767</v>
      </c>
      <c r="X10131" t="s">
        <v>44773</v>
      </c>
    </row>
    <row r="10132" spans="1:24">
      <c r="A10132">
        <f>HYPERLINK("https://www.philgeps.gov.ph/GEPSNONPILOT/Tender/SplashBidNoticeAbstractUI.aspx?menuIndex=3&amp;refID=7134693&amp;Result=3","7134693")</f>
        <v>0</v>
      </c>
      <c r="B10132" t="s">
        <v>1159</v>
      </c>
      <c r="C10132" t="s">
        <v>13376</v>
      </c>
      <c r="E10132" t="s">
        <v>26814</v>
      </c>
      <c r="F10132" t="s">
        <v>30900</v>
      </c>
      <c r="G10132" t="s">
        <v>30907</v>
      </c>
      <c r="H10132" t="s">
        <v>30916</v>
      </c>
      <c r="I10132" t="s">
        <v>30918</v>
      </c>
      <c r="J10132" t="s">
        <v>37366</v>
      </c>
      <c r="K10132" t="s">
        <v>40286</v>
      </c>
      <c r="M10132" t="s">
        <v>41767</v>
      </c>
      <c r="N10132" t="s">
        <v>44759</v>
      </c>
      <c r="O10132" t="s">
        <v>44760</v>
      </c>
      <c r="P10132">
        <v>0</v>
      </c>
      <c r="Q10132">
        <v>33</v>
      </c>
      <c r="R10132" t="s">
        <v>44770</v>
      </c>
      <c r="S10132" t="s">
        <v>45105</v>
      </c>
      <c r="T10132" t="s">
        <v>46544</v>
      </c>
      <c r="U10132" t="s">
        <v>55340</v>
      </c>
      <c r="W10132" t="s">
        <v>41767</v>
      </c>
      <c r="X10132" t="s">
        <v>44773</v>
      </c>
    </row>
    <row r="10133" spans="1:24">
      <c r="A10133">
        <f>HYPERLINK("https://www.philgeps.gov.ph/GEPSNONPILOT/Tender/SplashBidNoticeAbstractUI.aspx?menuIndex=3&amp;refID=7134604&amp;Result=3","7134604")</f>
        <v>0</v>
      </c>
      <c r="B10133" t="s">
        <v>1159</v>
      </c>
      <c r="C10133" t="s">
        <v>13377</v>
      </c>
      <c r="E10133" t="s">
        <v>26815</v>
      </c>
      <c r="F10133" t="s">
        <v>30900</v>
      </c>
      <c r="G10133" t="s">
        <v>30907</v>
      </c>
      <c r="H10133" t="s">
        <v>30916</v>
      </c>
      <c r="I10133" t="s">
        <v>5501</v>
      </c>
      <c r="J10133" t="s">
        <v>37367</v>
      </c>
      <c r="K10133" t="s">
        <v>40286</v>
      </c>
      <c r="M10133" t="s">
        <v>41767</v>
      </c>
      <c r="N10133" t="s">
        <v>44759</v>
      </c>
      <c r="O10133" t="s">
        <v>44760</v>
      </c>
      <c r="P10133">
        <v>0</v>
      </c>
      <c r="Q10133">
        <v>1</v>
      </c>
      <c r="R10133" t="s">
        <v>44770</v>
      </c>
      <c r="S10133" t="s">
        <v>45105</v>
      </c>
      <c r="T10133" t="s">
        <v>46544</v>
      </c>
      <c r="U10133" t="s">
        <v>55340</v>
      </c>
      <c r="W10133" t="s">
        <v>41767</v>
      </c>
      <c r="X10133" t="s">
        <v>44773</v>
      </c>
    </row>
    <row r="10134" spans="1:24">
      <c r="A10134">
        <f>HYPERLINK("https://www.philgeps.gov.ph/GEPSNONPILOT/Tender/SplashBidNoticeAbstractUI.aspx?menuIndex=3&amp;refID=7134596&amp;Result=3","7134596")</f>
        <v>0</v>
      </c>
      <c r="B10134" t="s">
        <v>1254</v>
      </c>
      <c r="C10134" t="s">
        <v>13378</v>
      </c>
      <c r="D10134" t="s">
        <v>17998</v>
      </c>
      <c r="E10134" t="s">
        <v>26816</v>
      </c>
      <c r="F10134" t="s">
        <v>30899</v>
      </c>
      <c r="G10134" t="s">
        <v>30907</v>
      </c>
      <c r="H10134" t="s">
        <v>30916</v>
      </c>
      <c r="I10134" t="s">
        <v>30933</v>
      </c>
      <c r="J10134" t="s">
        <v>37368</v>
      </c>
      <c r="K10134" t="s">
        <v>40286</v>
      </c>
      <c r="M10134" t="s">
        <v>41866</v>
      </c>
      <c r="N10134" t="s">
        <v>44759</v>
      </c>
      <c r="O10134" t="s">
        <v>44760</v>
      </c>
      <c r="P10134">
        <v>0</v>
      </c>
      <c r="Q10134">
        <v>3</v>
      </c>
      <c r="R10134" t="s">
        <v>44770</v>
      </c>
      <c r="S10134" t="s">
        <v>45105</v>
      </c>
      <c r="T10134" t="s">
        <v>46592</v>
      </c>
      <c r="U10134" t="s">
        <v>55341</v>
      </c>
      <c r="V10134" t="s">
        <v>60220</v>
      </c>
      <c r="W10134" t="s">
        <v>41866</v>
      </c>
      <c r="X10134" t="s">
        <v>44773</v>
      </c>
    </row>
    <row r="10135" spans="1:24">
      <c r="A10135">
        <f>HYPERLINK("https://www.philgeps.gov.ph/GEPSNONPILOT/Tender/SplashBidNoticeAbstractUI.aspx?menuIndex=3&amp;refID=7134784&amp;Result=3","7134784")</f>
        <v>0</v>
      </c>
      <c r="B10135" t="s">
        <v>663</v>
      </c>
      <c r="C10135" t="s">
        <v>13379</v>
      </c>
      <c r="D10135" t="s">
        <v>18021</v>
      </c>
      <c r="E10135" t="s">
        <v>26817</v>
      </c>
      <c r="F10135" t="s">
        <v>30900</v>
      </c>
      <c r="G10135" t="s">
        <v>30907</v>
      </c>
      <c r="H10135" t="s">
        <v>30916</v>
      </c>
      <c r="I10135" t="s">
        <v>4545</v>
      </c>
      <c r="J10135" t="s">
        <v>31334</v>
      </c>
      <c r="K10135" t="s">
        <v>40286</v>
      </c>
      <c r="M10135" t="s">
        <v>41226</v>
      </c>
      <c r="N10135" t="s">
        <v>44759</v>
      </c>
      <c r="O10135" t="s">
        <v>44760</v>
      </c>
      <c r="P10135">
        <v>0</v>
      </c>
      <c r="Q10135">
        <v>10</v>
      </c>
      <c r="R10135" t="s">
        <v>44770</v>
      </c>
      <c r="S10135" t="s">
        <v>45105</v>
      </c>
      <c r="T10135" t="s">
        <v>46409</v>
      </c>
      <c r="U10135" t="s">
        <v>55342</v>
      </c>
      <c r="W10135" t="s">
        <v>41226</v>
      </c>
      <c r="X10135" t="s">
        <v>44773</v>
      </c>
    </row>
    <row r="10136" spans="1:24">
      <c r="A10136">
        <f>HYPERLINK("https://www.philgeps.gov.ph/GEPSNONPILOT/Tender/SplashBidNoticeAbstractUI.aspx?menuIndex=3&amp;refID=7134587&amp;Result=3","7134587")</f>
        <v>0</v>
      </c>
      <c r="B10136" t="s">
        <v>3123</v>
      </c>
      <c r="C10136" t="s">
        <v>13380</v>
      </c>
      <c r="D10136" t="s">
        <v>17969</v>
      </c>
      <c r="E10136" t="s">
        <v>26818</v>
      </c>
      <c r="F10136" t="s">
        <v>30900</v>
      </c>
      <c r="G10136" t="s">
        <v>30907</v>
      </c>
      <c r="H10136" t="s">
        <v>30916</v>
      </c>
      <c r="I10136" t="s">
        <v>30933</v>
      </c>
      <c r="J10136" t="s">
        <v>36461</v>
      </c>
      <c r="K10136" t="s">
        <v>40286</v>
      </c>
      <c r="M10136" t="s">
        <v>43939</v>
      </c>
      <c r="N10136" t="s">
        <v>44759</v>
      </c>
      <c r="O10136" t="s">
        <v>44760</v>
      </c>
      <c r="P10136">
        <v>0</v>
      </c>
      <c r="Q10136">
        <v>4</v>
      </c>
      <c r="R10136" t="s">
        <v>44770</v>
      </c>
      <c r="S10136" t="s">
        <v>45105</v>
      </c>
      <c r="T10136" t="s">
        <v>46519</v>
      </c>
      <c r="U10136" t="s">
        <v>55331</v>
      </c>
      <c r="W10136" t="s">
        <v>43939</v>
      </c>
      <c r="X10136" t="s">
        <v>44773</v>
      </c>
    </row>
    <row r="10137" spans="1:24">
      <c r="A10137">
        <f>HYPERLINK("https://www.philgeps.gov.ph/GEPSNONPILOT/Tender/SplashBidNoticeAbstractUI.aspx?menuIndex=3&amp;refID=7134647&amp;Result=3","7134647")</f>
        <v>0</v>
      </c>
      <c r="B10137" t="s">
        <v>3123</v>
      </c>
      <c r="C10137" t="s">
        <v>13381</v>
      </c>
      <c r="D10137" t="s">
        <v>17969</v>
      </c>
      <c r="E10137" t="s">
        <v>26819</v>
      </c>
      <c r="F10137" t="s">
        <v>30900</v>
      </c>
      <c r="G10137" t="s">
        <v>30907</v>
      </c>
      <c r="H10137" t="s">
        <v>30915</v>
      </c>
      <c r="I10137" t="s">
        <v>30919</v>
      </c>
      <c r="J10137" t="s">
        <v>37369</v>
      </c>
      <c r="K10137" t="s">
        <v>40341</v>
      </c>
      <c r="M10137" t="s">
        <v>43939</v>
      </c>
      <c r="N10137" t="s">
        <v>44759</v>
      </c>
      <c r="O10137" t="s">
        <v>44760</v>
      </c>
      <c r="P10137">
        <v>0</v>
      </c>
      <c r="Q10137">
        <v>1</v>
      </c>
      <c r="R10137" t="s">
        <v>44770</v>
      </c>
      <c r="S10137" t="s">
        <v>45105</v>
      </c>
      <c r="T10137" t="s">
        <v>46519</v>
      </c>
      <c r="U10137" t="s">
        <v>55336</v>
      </c>
      <c r="W10137" t="s">
        <v>43939</v>
      </c>
      <c r="X10137" t="s">
        <v>44773</v>
      </c>
    </row>
    <row r="10138" spans="1:24">
      <c r="A10138">
        <f>HYPERLINK("https://www.philgeps.gov.ph/GEPSNONPILOT/Tender/SplashBidNoticeAbstractUI.aspx?menuIndex=3&amp;refID=7134851&amp;Result=3","7134851")</f>
        <v>0</v>
      </c>
      <c r="B10138" t="s">
        <v>2248</v>
      </c>
      <c r="C10138" t="s">
        <v>13382</v>
      </c>
      <c r="D10138" t="s">
        <v>17987</v>
      </c>
      <c r="E10138" t="s">
        <v>26820</v>
      </c>
      <c r="F10138" t="s">
        <v>30900</v>
      </c>
      <c r="G10138" t="s">
        <v>30907</v>
      </c>
      <c r="H10138" t="s">
        <v>30915</v>
      </c>
      <c r="I10138" t="s">
        <v>30919</v>
      </c>
      <c r="J10138" t="s">
        <v>37370</v>
      </c>
      <c r="K10138" t="s">
        <v>40343</v>
      </c>
      <c r="M10138" t="s">
        <v>42959</v>
      </c>
      <c r="N10138" t="s">
        <v>44759</v>
      </c>
      <c r="O10138" t="s">
        <v>44760</v>
      </c>
      <c r="P10138">
        <v>0</v>
      </c>
      <c r="Q10138">
        <v>0</v>
      </c>
      <c r="R10138" t="s">
        <v>44770</v>
      </c>
      <c r="S10138" t="s">
        <v>45105</v>
      </c>
      <c r="T10138" t="s">
        <v>46544</v>
      </c>
      <c r="U10138" t="s">
        <v>55343</v>
      </c>
      <c r="W10138" t="s">
        <v>42959</v>
      </c>
      <c r="X10138" t="s">
        <v>44773</v>
      </c>
    </row>
    <row r="10139" spans="1:24">
      <c r="A10139">
        <f>HYPERLINK("https://www.philgeps.gov.ph/GEPSNONPILOT/Tender/SplashBidNoticeAbstractUI.aspx?menuIndex=3&amp;refID=7135162&amp;Result=3","7135162")</f>
        <v>0</v>
      </c>
      <c r="B10139" t="s">
        <v>313</v>
      </c>
      <c r="C10139" t="s">
        <v>13383</v>
      </c>
      <c r="D10139" t="s">
        <v>17978</v>
      </c>
      <c r="E10139" t="s">
        <v>26821</v>
      </c>
      <c r="F10139" t="s">
        <v>30900</v>
      </c>
      <c r="G10139" t="s">
        <v>30907</v>
      </c>
      <c r="H10139" t="s">
        <v>30916</v>
      </c>
      <c r="I10139" t="s">
        <v>4061</v>
      </c>
      <c r="J10139" t="s">
        <v>37371</v>
      </c>
      <c r="K10139" t="s">
        <v>40289</v>
      </c>
      <c r="M10139" t="s">
        <v>40863</v>
      </c>
      <c r="N10139" t="s">
        <v>44759</v>
      </c>
      <c r="O10139" t="s">
        <v>44760</v>
      </c>
      <c r="P10139">
        <v>0</v>
      </c>
      <c r="Q10139">
        <v>1</v>
      </c>
      <c r="R10139" t="s">
        <v>44770</v>
      </c>
      <c r="S10139" t="s">
        <v>45105</v>
      </c>
      <c r="T10139" t="s">
        <v>46472</v>
      </c>
      <c r="U10139" t="s">
        <v>55344</v>
      </c>
      <c r="W10139" t="s">
        <v>40863</v>
      </c>
      <c r="X10139" t="s">
        <v>44773</v>
      </c>
    </row>
    <row r="10140" spans="1:24">
      <c r="A10140">
        <f>HYPERLINK("https://www.philgeps.gov.ph/GEPSNONPILOT/Tender/SplashBidNoticeAbstractUI.aspx?menuIndex=3&amp;refID=7134754&amp;Result=3","7134754")</f>
        <v>0</v>
      </c>
      <c r="B10140" t="s">
        <v>1187</v>
      </c>
      <c r="C10140" t="s">
        <v>13384</v>
      </c>
      <c r="E10140" t="s">
        <v>26822</v>
      </c>
      <c r="F10140" t="s">
        <v>30900</v>
      </c>
      <c r="G10140" t="s">
        <v>30906</v>
      </c>
      <c r="H10140" t="s">
        <v>30916</v>
      </c>
      <c r="I10140" t="s">
        <v>9385</v>
      </c>
      <c r="J10140" t="s">
        <v>37372</v>
      </c>
      <c r="K10140" t="s">
        <v>40289</v>
      </c>
      <c r="M10140" t="s">
        <v>41796</v>
      </c>
      <c r="N10140" t="s">
        <v>44759</v>
      </c>
      <c r="O10140" t="s">
        <v>44760</v>
      </c>
      <c r="P10140">
        <v>0</v>
      </c>
      <c r="Q10140">
        <v>14</v>
      </c>
      <c r="R10140" t="s">
        <v>44770</v>
      </c>
      <c r="S10140" t="s">
        <v>45105</v>
      </c>
      <c r="T10140" t="s">
        <v>46591</v>
      </c>
      <c r="U10140" t="s">
        <v>55345</v>
      </c>
      <c r="V10140" t="s">
        <v>60221</v>
      </c>
      <c r="W10140" t="s">
        <v>41796</v>
      </c>
      <c r="X10140" t="s">
        <v>44773</v>
      </c>
    </row>
    <row r="10141" spans="1:24">
      <c r="A10141">
        <f>HYPERLINK("https://www.philgeps.gov.ph/GEPSNONPILOT/Tender/SplashBidNoticeAbstractUI.aspx?menuIndex=3&amp;refID=7134835&amp;Result=3","7134835")</f>
        <v>0</v>
      </c>
      <c r="B10141" t="s">
        <v>663</v>
      </c>
      <c r="C10141" t="s">
        <v>13385</v>
      </c>
      <c r="D10141" t="s">
        <v>18021</v>
      </c>
      <c r="E10141" t="s">
        <v>26823</v>
      </c>
      <c r="F10141" t="s">
        <v>30900</v>
      </c>
      <c r="G10141" t="s">
        <v>30907</v>
      </c>
      <c r="H10141" t="s">
        <v>30916</v>
      </c>
      <c r="I10141" t="s">
        <v>30955</v>
      </c>
      <c r="J10141" t="s">
        <v>37373</v>
      </c>
      <c r="K10141" t="s">
        <v>40286</v>
      </c>
      <c r="M10141" t="s">
        <v>41226</v>
      </c>
      <c r="N10141" t="s">
        <v>44759</v>
      </c>
      <c r="O10141" t="s">
        <v>44760</v>
      </c>
      <c r="P10141">
        <v>0</v>
      </c>
      <c r="Q10141">
        <v>2</v>
      </c>
      <c r="R10141" t="s">
        <v>44770</v>
      </c>
      <c r="S10141" t="s">
        <v>45105</v>
      </c>
      <c r="T10141" t="s">
        <v>46409</v>
      </c>
      <c r="U10141" t="s">
        <v>55346</v>
      </c>
      <c r="W10141" t="s">
        <v>41226</v>
      </c>
      <c r="X10141" t="s">
        <v>44773</v>
      </c>
    </row>
    <row r="10142" spans="1:24">
      <c r="A10142">
        <f>HYPERLINK("https://www.philgeps.gov.ph/GEPSNONPILOT/Tender/SplashBidNoticeAbstractUI.aspx?menuIndex=3&amp;refID=7134630&amp;Result=3","7134630")</f>
        <v>0</v>
      </c>
      <c r="B10142" t="s">
        <v>402</v>
      </c>
      <c r="C10142" t="s">
        <v>13386</v>
      </c>
      <c r="D10142" t="s">
        <v>17982</v>
      </c>
      <c r="E10142" t="s">
        <v>26824</v>
      </c>
      <c r="F10142" t="s">
        <v>30900</v>
      </c>
      <c r="G10142" t="s">
        <v>30907</v>
      </c>
      <c r="H10142" t="s">
        <v>30915</v>
      </c>
      <c r="I10142" t="s">
        <v>30919</v>
      </c>
      <c r="J10142" t="s">
        <v>37374</v>
      </c>
      <c r="K10142" t="s">
        <v>40328</v>
      </c>
      <c r="M10142" t="s">
        <v>40957</v>
      </c>
      <c r="N10142" t="s">
        <v>44759</v>
      </c>
      <c r="O10142" t="s">
        <v>44760</v>
      </c>
      <c r="P10142">
        <v>0</v>
      </c>
      <c r="Q10142">
        <v>1</v>
      </c>
      <c r="R10142" t="s">
        <v>44770</v>
      </c>
      <c r="S10142" t="s">
        <v>45105</v>
      </c>
      <c r="T10142" t="s">
        <v>46515</v>
      </c>
      <c r="U10142" t="s">
        <v>47590</v>
      </c>
      <c r="W10142" t="s">
        <v>40957</v>
      </c>
      <c r="X10142" t="s">
        <v>44773</v>
      </c>
    </row>
    <row r="10143" spans="1:24">
      <c r="A10143">
        <f>HYPERLINK("https://www.philgeps.gov.ph/GEPSNONPILOT/Tender/SplashBidNoticeAbstractUI.aspx?menuIndex=3&amp;refID=7134990&amp;Result=3","7134990")</f>
        <v>0</v>
      </c>
      <c r="B10143" t="s">
        <v>3126</v>
      </c>
      <c r="C10143" t="s">
        <v>13387</v>
      </c>
      <c r="D10143" t="s">
        <v>17963</v>
      </c>
      <c r="E10143" t="s">
        <v>26825</v>
      </c>
      <c r="F10143" t="s">
        <v>30899</v>
      </c>
      <c r="G10143" t="s">
        <v>30907</v>
      </c>
      <c r="H10143" t="s">
        <v>30916</v>
      </c>
      <c r="I10143" t="s">
        <v>10961</v>
      </c>
      <c r="J10143" t="s">
        <v>31070</v>
      </c>
      <c r="K10143" t="s">
        <v>40283</v>
      </c>
      <c r="M10143" t="s">
        <v>43942</v>
      </c>
      <c r="N10143" t="s">
        <v>44759</v>
      </c>
      <c r="O10143" t="s">
        <v>44760</v>
      </c>
      <c r="P10143">
        <v>0</v>
      </c>
      <c r="Q10143">
        <v>0</v>
      </c>
      <c r="R10143" t="s">
        <v>44770</v>
      </c>
      <c r="S10143" t="s">
        <v>45105</v>
      </c>
      <c r="T10143" t="s">
        <v>46390</v>
      </c>
      <c r="U10143" t="s">
        <v>55347</v>
      </c>
      <c r="W10143" t="s">
        <v>43942</v>
      </c>
      <c r="X10143" t="s">
        <v>44773</v>
      </c>
    </row>
    <row r="10144" spans="1:24">
      <c r="A10144">
        <f>HYPERLINK("https://www.philgeps.gov.ph/GEPSNONPILOT/Tender/SplashBidNoticeAbstractUI.aspx?menuIndex=3&amp;refID=7135014&amp;Result=3","7135014")</f>
        <v>0</v>
      </c>
      <c r="B10144" t="s">
        <v>926</v>
      </c>
      <c r="C10144" t="s">
        <v>13388</v>
      </c>
      <c r="D10144" t="s">
        <v>17999</v>
      </c>
      <c r="E10144" t="s">
        <v>26826</v>
      </c>
      <c r="F10144" t="s">
        <v>30900</v>
      </c>
      <c r="G10144" t="s">
        <v>30907</v>
      </c>
      <c r="H10144" t="s">
        <v>30915</v>
      </c>
      <c r="I10144" t="s">
        <v>30919</v>
      </c>
      <c r="J10144" t="s">
        <v>37375</v>
      </c>
      <c r="K10144" t="s">
        <v>40337</v>
      </c>
      <c r="M10144" t="s">
        <v>41506</v>
      </c>
      <c r="N10144" t="s">
        <v>44759</v>
      </c>
      <c r="O10144" t="s">
        <v>44760</v>
      </c>
      <c r="P10144">
        <v>0</v>
      </c>
      <c r="Q10144">
        <v>5</v>
      </c>
      <c r="R10144" t="s">
        <v>44770</v>
      </c>
      <c r="S10144" t="s">
        <v>45105</v>
      </c>
      <c r="T10144" t="s">
        <v>46515</v>
      </c>
      <c r="U10144" t="s">
        <v>48623</v>
      </c>
      <c r="W10144" t="s">
        <v>41506</v>
      </c>
      <c r="X10144" t="s">
        <v>44773</v>
      </c>
    </row>
    <row r="10145" spans="1:24">
      <c r="A10145">
        <f>HYPERLINK("https://www.philgeps.gov.ph/GEPSNONPILOT/Tender/SplashBidNoticeAbstractUI.aspx?menuIndex=3&amp;refID=7134945&amp;Result=3","7134945")</f>
        <v>0</v>
      </c>
      <c r="B10145" t="s">
        <v>1428</v>
      </c>
      <c r="C10145" t="s">
        <v>13389</v>
      </c>
      <c r="D10145" t="s">
        <v>18017</v>
      </c>
      <c r="E10145" t="s">
        <v>26827</v>
      </c>
      <c r="F10145" t="s">
        <v>30900</v>
      </c>
      <c r="G10145" t="s">
        <v>30908</v>
      </c>
      <c r="H10145" t="s">
        <v>30916</v>
      </c>
      <c r="I10145" t="s">
        <v>4454</v>
      </c>
      <c r="J10145" t="s">
        <v>31049</v>
      </c>
      <c r="K10145" t="s">
        <v>40286</v>
      </c>
      <c r="M10145" t="s">
        <v>43728</v>
      </c>
      <c r="N10145" t="s">
        <v>44759</v>
      </c>
      <c r="O10145" t="s">
        <v>44760</v>
      </c>
      <c r="P10145">
        <v>0</v>
      </c>
      <c r="Q10145">
        <v>2</v>
      </c>
      <c r="R10145" t="s">
        <v>44770</v>
      </c>
      <c r="S10145" t="s">
        <v>45105</v>
      </c>
      <c r="T10145" t="s">
        <v>46662</v>
      </c>
      <c r="U10145" t="s">
        <v>55348</v>
      </c>
      <c r="W10145" t="s">
        <v>43728</v>
      </c>
      <c r="X10145" t="s">
        <v>44773</v>
      </c>
    </row>
    <row r="10146" spans="1:24">
      <c r="A10146">
        <f>HYPERLINK("https://www.philgeps.gov.ph/GEPSNONPILOT/Tender/SplashBidNoticeAbstractUI.aspx?menuIndex=3&amp;refID=7134942&amp;Result=3","7134942")</f>
        <v>0</v>
      </c>
      <c r="B10146" t="s">
        <v>987</v>
      </c>
      <c r="C10146" t="s">
        <v>13390</v>
      </c>
      <c r="E10146" t="s">
        <v>26828</v>
      </c>
      <c r="F10146" t="s">
        <v>30900</v>
      </c>
      <c r="G10146" t="s">
        <v>30906</v>
      </c>
      <c r="H10146" t="s">
        <v>30915</v>
      </c>
      <c r="I10146" t="s">
        <v>30919</v>
      </c>
      <c r="J10146" t="s">
        <v>37376</v>
      </c>
      <c r="K10146" t="s">
        <v>40289</v>
      </c>
      <c r="M10146" t="s">
        <v>43927</v>
      </c>
      <c r="N10146" t="s">
        <v>44759</v>
      </c>
      <c r="O10146" t="s">
        <v>44760</v>
      </c>
      <c r="P10146">
        <v>0</v>
      </c>
      <c r="Q10146">
        <v>1</v>
      </c>
      <c r="R10146" t="s">
        <v>44770</v>
      </c>
      <c r="S10146" t="s">
        <v>45105</v>
      </c>
      <c r="T10146" t="s">
        <v>46515</v>
      </c>
      <c r="U10146" t="s">
        <v>55349</v>
      </c>
      <c r="W10146" t="s">
        <v>43927</v>
      </c>
      <c r="X10146" t="s">
        <v>44773</v>
      </c>
    </row>
    <row r="10147" spans="1:24">
      <c r="A10147">
        <f>HYPERLINK("https://www.philgeps.gov.ph/GEPSNONPILOT/Tender/SplashBidNoticeAbstractUI.aspx?menuIndex=3&amp;refID=7134963&amp;Result=3","7134963")</f>
        <v>0</v>
      </c>
      <c r="B10147" t="s">
        <v>3127</v>
      </c>
      <c r="C10147" t="s">
        <v>13391</v>
      </c>
      <c r="D10147" t="s">
        <v>17957</v>
      </c>
      <c r="E10147" t="s">
        <v>26829</v>
      </c>
      <c r="F10147" t="s">
        <v>30900</v>
      </c>
      <c r="G10147" t="s">
        <v>30907</v>
      </c>
      <c r="H10147" t="s">
        <v>30915</v>
      </c>
      <c r="I10147" t="s">
        <v>30919</v>
      </c>
      <c r="J10147" t="s">
        <v>37377</v>
      </c>
      <c r="K10147" t="s">
        <v>40341</v>
      </c>
      <c r="M10147" t="s">
        <v>43943</v>
      </c>
      <c r="N10147" t="s">
        <v>44759</v>
      </c>
      <c r="O10147" t="s">
        <v>44760</v>
      </c>
      <c r="P10147">
        <v>0</v>
      </c>
      <c r="Q10147">
        <v>0</v>
      </c>
      <c r="R10147" t="s">
        <v>44770</v>
      </c>
      <c r="S10147" t="s">
        <v>45105</v>
      </c>
      <c r="T10147" t="s">
        <v>46472</v>
      </c>
      <c r="U10147" t="s">
        <v>55350</v>
      </c>
      <c r="W10147" t="s">
        <v>43943</v>
      </c>
      <c r="X10147" t="s">
        <v>44773</v>
      </c>
    </row>
    <row r="10148" spans="1:24">
      <c r="A10148">
        <f>HYPERLINK("https://www.philgeps.gov.ph/GEPSNONPILOT/Tender/SplashBidNoticeAbstractUI.aspx?menuIndex=3&amp;refID=7134922&amp;Result=3","7134922")</f>
        <v>0</v>
      </c>
      <c r="B10148" t="s">
        <v>1428</v>
      </c>
      <c r="C10148" t="s">
        <v>13392</v>
      </c>
      <c r="D10148" t="s">
        <v>18017</v>
      </c>
      <c r="E10148" t="s">
        <v>26830</v>
      </c>
      <c r="F10148" t="s">
        <v>30900</v>
      </c>
      <c r="G10148" t="s">
        <v>30908</v>
      </c>
      <c r="H10148" t="s">
        <v>30916</v>
      </c>
      <c r="I10148" t="s">
        <v>30940</v>
      </c>
      <c r="J10148" t="s">
        <v>31043</v>
      </c>
      <c r="K10148" t="s">
        <v>40286</v>
      </c>
      <c r="M10148" t="s">
        <v>43728</v>
      </c>
      <c r="N10148" t="s">
        <v>44759</v>
      </c>
      <c r="O10148" t="s">
        <v>44760</v>
      </c>
      <c r="P10148">
        <v>0</v>
      </c>
      <c r="Q10148">
        <v>0</v>
      </c>
      <c r="R10148" t="s">
        <v>44770</v>
      </c>
      <c r="S10148" t="s">
        <v>45105</v>
      </c>
      <c r="T10148" t="s">
        <v>46662</v>
      </c>
      <c r="U10148" t="s">
        <v>55351</v>
      </c>
      <c r="W10148" t="s">
        <v>43728</v>
      </c>
      <c r="X10148" t="s">
        <v>44773</v>
      </c>
    </row>
    <row r="10149" spans="1:24">
      <c r="A10149">
        <f>HYPERLINK("https://www.philgeps.gov.ph/GEPSNONPILOT/Tender/SplashBidNoticeAbstractUI.aspx?menuIndex=3&amp;refID=7134904&amp;Result=3","7134904")</f>
        <v>0</v>
      </c>
      <c r="B10149" t="s">
        <v>2984</v>
      </c>
      <c r="C10149" t="s">
        <v>13393</v>
      </c>
      <c r="D10149" t="s">
        <v>17964</v>
      </c>
      <c r="E10149" t="s">
        <v>18066</v>
      </c>
      <c r="F10149" t="s">
        <v>30900</v>
      </c>
      <c r="G10149" t="s">
        <v>30907</v>
      </c>
      <c r="H10149" t="s">
        <v>30916</v>
      </c>
      <c r="I10149" t="s">
        <v>8123</v>
      </c>
      <c r="J10149" t="s">
        <v>37378</v>
      </c>
      <c r="K10149" t="s">
        <v>40317</v>
      </c>
      <c r="M10149" t="s">
        <v>43786</v>
      </c>
      <c r="N10149" t="s">
        <v>44759</v>
      </c>
      <c r="O10149" t="s">
        <v>44760</v>
      </c>
      <c r="P10149">
        <v>0</v>
      </c>
      <c r="Q10149">
        <v>1</v>
      </c>
      <c r="R10149" t="s">
        <v>44770</v>
      </c>
      <c r="S10149" t="s">
        <v>45105</v>
      </c>
      <c r="T10149" t="s">
        <v>46511</v>
      </c>
      <c r="U10149" t="s">
        <v>55352</v>
      </c>
      <c r="V10149" t="s">
        <v>60142</v>
      </c>
      <c r="W10149" t="s">
        <v>43786</v>
      </c>
      <c r="X10149" t="s">
        <v>44773</v>
      </c>
    </row>
    <row r="10150" spans="1:24">
      <c r="A10150">
        <f>HYPERLINK("https://www.philgeps.gov.ph/GEPSNONPILOT/Tender/SplashBidNoticeAbstractUI.aspx?menuIndex=3&amp;refID=7135588&amp;Result=3","7135588")</f>
        <v>0</v>
      </c>
      <c r="B10150" t="s">
        <v>1388</v>
      </c>
      <c r="C10150" t="s">
        <v>13394</v>
      </c>
      <c r="D10150" t="s">
        <v>18002</v>
      </c>
      <c r="E10150" t="s">
        <v>26831</v>
      </c>
      <c r="F10150" t="s">
        <v>30900</v>
      </c>
      <c r="G10150" t="s">
        <v>30907</v>
      </c>
      <c r="H10150" t="s">
        <v>30915</v>
      </c>
      <c r="I10150" t="s">
        <v>30919</v>
      </c>
      <c r="J10150" t="s">
        <v>37379</v>
      </c>
      <c r="K10150" t="s">
        <v>40339</v>
      </c>
      <c r="M10150" t="s">
        <v>42012</v>
      </c>
      <c r="N10150" t="s">
        <v>44759</v>
      </c>
      <c r="O10150" t="s">
        <v>44760</v>
      </c>
      <c r="P10150">
        <v>0</v>
      </c>
      <c r="Q10150">
        <v>2</v>
      </c>
      <c r="R10150" t="s">
        <v>44770</v>
      </c>
      <c r="S10150" t="s">
        <v>45105</v>
      </c>
      <c r="T10150" t="s">
        <v>46606</v>
      </c>
      <c r="U10150" t="s">
        <v>55353</v>
      </c>
      <c r="W10150" t="s">
        <v>42012</v>
      </c>
      <c r="X10150" t="s">
        <v>44772</v>
      </c>
    </row>
    <row r="10151" spans="1:24">
      <c r="A10151">
        <f>HYPERLINK("https://www.philgeps.gov.ph/GEPSNONPILOT/Tender/SplashBidNoticeAbstractUI.aspx?menuIndex=3&amp;refID=7135579&amp;Result=3","7135579")</f>
        <v>0</v>
      </c>
      <c r="B10151" t="s">
        <v>1388</v>
      </c>
      <c r="C10151" t="s">
        <v>13395</v>
      </c>
      <c r="D10151" t="s">
        <v>18002</v>
      </c>
      <c r="E10151" t="s">
        <v>26832</v>
      </c>
      <c r="F10151" t="s">
        <v>30900</v>
      </c>
      <c r="G10151" t="s">
        <v>30907</v>
      </c>
      <c r="H10151" t="s">
        <v>30915</v>
      </c>
      <c r="I10151" t="s">
        <v>30919</v>
      </c>
      <c r="J10151" t="s">
        <v>31241</v>
      </c>
      <c r="K10151" t="s">
        <v>40340</v>
      </c>
      <c r="M10151" t="s">
        <v>42012</v>
      </c>
      <c r="N10151" t="s">
        <v>44759</v>
      </c>
      <c r="O10151" t="s">
        <v>44760</v>
      </c>
      <c r="P10151">
        <v>0</v>
      </c>
      <c r="Q10151">
        <v>3</v>
      </c>
      <c r="R10151" t="s">
        <v>44770</v>
      </c>
      <c r="S10151" t="s">
        <v>45105</v>
      </c>
      <c r="T10151" t="s">
        <v>46606</v>
      </c>
      <c r="U10151" t="s">
        <v>55353</v>
      </c>
      <c r="W10151" t="s">
        <v>42012</v>
      </c>
      <c r="X10151" t="s">
        <v>44772</v>
      </c>
    </row>
    <row r="10152" spans="1:24">
      <c r="A10152">
        <f>HYPERLINK("https://www.philgeps.gov.ph/GEPSNONPILOT/Tender/SplashBidNoticeAbstractUI.aspx?menuIndex=3&amp;refID=7134992&amp;Result=3","7134992")</f>
        <v>0</v>
      </c>
      <c r="B10152" t="s">
        <v>926</v>
      </c>
      <c r="C10152" t="s">
        <v>13396</v>
      </c>
      <c r="D10152" t="s">
        <v>17999</v>
      </c>
      <c r="E10152" t="s">
        <v>26671</v>
      </c>
      <c r="F10152" t="s">
        <v>30900</v>
      </c>
      <c r="G10152" t="s">
        <v>30907</v>
      </c>
      <c r="H10152" t="s">
        <v>30915</v>
      </c>
      <c r="I10152" t="s">
        <v>30919</v>
      </c>
      <c r="J10152" t="s">
        <v>37380</v>
      </c>
      <c r="K10152" t="s">
        <v>40391</v>
      </c>
      <c r="M10152" t="s">
        <v>41506</v>
      </c>
      <c r="N10152" t="s">
        <v>44759</v>
      </c>
      <c r="O10152" t="s">
        <v>44760</v>
      </c>
      <c r="P10152">
        <v>0</v>
      </c>
      <c r="Q10152">
        <v>9</v>
      </c>
      <c r="R10152" t="s">
        <v>44770</v>
      </c>
      <c r="S10152" t="s">
        <v>45105</v>
      </c>
      <c r="T10152" t="s">
        <v>46515</v>
      </c>
      <c r="U10152" t="s">
        <v>48623</v>
      </c>
      <c r="W10152" t="s">
        <v>41506</v>
      </c>
      <c r="X10152" t="s">
        <v>44773</v>
      </c>
    </row>
    <row r="10153" spans="1:24">
      <c r="A10153">
        <f>HYPERLINK("https://www.philgeps.gov.ph/GEPSNONPILOT/Tender/SplashBidNoticeAbstractUI.aspx?menuIndex=3&amp;refID=7135568&amp;Result=3","7135568")</f>
        <v>0</v>
      </c>
      <c r="B10153" t="s">
        <v>1388</v>
      </c>
      <c r="C10153" t="s">
        <v>13397</v>
      </c>
      <c r="D10153" t="s">
        <v>18002</v>
      </c>
      <c r="E10153" t="s">
        <v>26833</v>
      </c>
      <c r="F10153" t="s">
        <v>30900</v>
      </c>
      <c r="G10153" t="s">
        <v>30907</v>
      </c>
      <c r="H10153" t="s">
        <v>30915</v>
      </c>
      <c r="I10153" t="s">
        <v>30919</v>
      </c>
      <c r="J10153" t="s">
        <v>32558</v>
      </c>
      <c r="K10153" t="s">
        <v>40292</v>
      </c>
      <c r="M10153" t="s">
        <v>42012</v>
      </c>
      <c r="N10153" t="s">
        <v>44759</v>
      </c>
      <c r="O10153" t="s">
        <v>44760</v>
      </c>
      <c r="P10153">
        <v>0</v>
      </c>
      <c r="Q10153">
        <v>9</v>
      </c>
      <c r="R10153" t="s">
        <v>44770</v>
      </c>
      <c r="S10153" t="s">
        <v>45105</v>
      </c>
      <c r="T10153" t="s">
        <v>46606</v>
      </c>
      <c r="U10153" t="s">
        <v>55353</v>
      </c>
      <c r="W10153" t="s">
        <v>42012</v>
      </c>
      <c r="X10153" t="s">
        <v>44772</v>
      </c>
    </row>
    <row r="10154" spans="1:24">
      <c r="A10154">
        <f>HYPERLINK("https://www.philgeps.gov.ph/GEPSNONPILOT/Tender/SplashBidNoticeAbstractUI.aspx?menuIndex=3&amp;refID=7135540&amp;Result=3","7135540")</f>
        <v>0</v>
      </c>
      <c r="B10154" t="s">
        <v>3128</v>
      </c>
      <c r="C10154" t="s">
        <v>13398</v>
      </c>
      <c r="D10154" t="s">
        <v>17996</v>
      </c>
      <c r="E10154" t="s">
        <v>26834</v>
      </c>
      <c r="F10154" t="s">
        <v>30904</v>
      </c>
      <c r="G10154" t="s">
        <v>30907</v>
      </c>
      <c r="H10154" t="s">
        <v>30915</v>
      </c>
      <c r="I10154" t="s">
        <v>30964</v>
      </c>
      <c r="J10154" t="s">
        <v>31096</v>
      </c>
      <c r="K10154" t="s">
        <v>40283</v>
      </c>
      <c r="M10154" t="s">
        <v>43944</v>
      </c>
      <c r="N10154" t="s">
        <v>44759</v>
      </c>
      <c r="O10154" t="s">
        <v>44760</v>
      </c>
      <c r="P10154">
        <v>0</v>
      </c>
      <c r="Q10154">
        <v>0</v>
      </c>
      <c r="R10154" t="s">
        <v>44770</v>
      </c>
      <c r="S10154" t="s">
        <v>45105</v>
      </c>
      <c r="T10154" t="s">
        <v>46356</v>
      </c>
      <c r="U10154" t="s">
        <v>55354</v>
      </c>
      <c r="W10154" t="s">
        <v>43944</v>
      </c>
      <c r="X10154" t="s">
        <v>44772</v>
      </c>
    </row>
    <row r="10155" spans="1:24">
      <c r="A10155">
        <f>HYPERLINK("https://www.philgeps.gov.ph/GEPSNONPILOT/Tender/SplashBidNoticeAbstractUI.aspx?menuIndex=3&amp;refID=7135512&amp;Result=3","7135512")</f>
        <v>0</v>
      </c>
      <c r="B10155" t="s">
        <v>1388</v>
      </c>
      <c r="C10155" t="s">
        <v>13399</v>
      </c>
      <c r="D10155" t="s">
        <v>18002</v>
      </c>
      <c r="E10155" t="s">
        <v>26835</v>
      </c>
      <c r="F10155" t="s">
        <v>30900</v>
      </c>
      <c r="G10155" t="s">
        <v>30907</v>
      </c>
      <c r="H10155" t="s">
        <v>30915</v>
      </c>
      <c r="I10155" t="s">
        <v>30919</v>
      </c>
      <c r="J10155" t="s">
        <v>32523</v>
      </c>
      <c r="K10155" t="s">
        <v>40292</v>
      </c>
      <c r="M10155" t="s">
        <v>42012</v>
      </c>
      <c r="N10155" t="s">
        <v>44759</v>
      </c>
      <c r="O10155" t="s">
        <v>44760</v>
      </c>
      <c r="P10155">
        <v>0</v>
      </c>
      <c r="Q10155">
        <v>7</v>
      </c>
      <c r="R10155" t="s">
        <v>44770</v>
      </c>
      <c r="S10155" t="s">
        <v>45105</v>
      </c>
      <c r="T10155" t="s">
        <v>46606</v>
      </c>
      <c r="U10155" t="s">
        <v>55353</v>
      </c>
      <c r="W10155" t="s">
        <v>42012</v>
      </c>
      <c r="X10155" t="s">
        <v>44772</v>
      </c>
    </row>
    <row r="10156" spans="1:24">
      <c r="A10156">
        <f>HYPERLINK("https://www.philgeps.gov.ph/GEPSNONPILOT/Tender/SplashBidNoticeAbstractUI.aspx?menuIndex=3&amp;refID=7134949&amp;Result=3","7134949")</f>
        <v>0</v>
      </c>
      <c r="B10156" t="s">
        <v>3129</v>
      </c>
      <c r="C10156" t="s">
        <v>13400</v>
      </c>
      <c r="D10156" t="s">
        <v>18009</v>
      </c>
      <c r="E10156" t="s">
        <v>26836</v>
      </c>
      <c r="F10156" t="s">
        <v>30900</v>
      </c>
      <c r="G10156" t="s">
        <v>30907</v>
      </c>
      <c r="H10156" t="s">
        <v>30916</v>
      </c>
      <c r="I10156" t="s">
        <v>4545</v>
      </c>
      <c r="J10156" t="s">
        <v>37381</v>
      </c>
      <c r="K10156" t="s">
        <v>40286</v>
      </c>
      <c r="M10156" t="s">
        <v>43945</v>
      </c>
      <c r="N10156" t="s">
        <v>44759</v>
      </c>
      <c r="O10156" t="s">
        <v>44760</v>
      </c>
      <c r="P10156">
        <v>0</v>
      </c>
      <c r="Q10156">
        <v>7</v>
      </c>
      <c r="R10156" t="s">
        <v>44770</v>
      </c>
      <c r="S10156" t="s">
        <v>45105</v>
      </c>
      <c r="T10156" t="s">
        <v>46581</v>
      </c>
      <c r="U10156" t="s">
        <v>55355</v>
      </c>
      <c r="W10156" t="s">
        <v>43945</v>
      </c>
      <c r="X10156" t="s">
        <v>44773</v>
      </c>
    </row>
    <row r="10157" spans="1:24">
      <c r="A10157">
        <f>HYPERLINK("https://www.philgeps.gov.ph/GEPSNONPILOT/Tender/SplashBidNoticeAbstractUI.aspx?menuIndex=3&amp;refID=7135580&amp;Result=3","7135580")</f>
        <v>0</v>
      </c>
      <c r="B10157" t="s">
        <v>223</v>
      </c>
      <c r="C10157" t="s">
        <v>13401</v>
      </c>
      <c r="E10157" t="s">
        <v>26837</v>
      </c>
      <c r="F10157" t="s">
        <v>30900</v>
      </c>
      <c r="G10157" t="s">
        <v>30907</v>
      </c>
      <c r="H10157" t="s">
        <v>30915</v>
      </c>
      <c r="I10157" t="s">
        <v>30919</v>
      </c>
      <c r="J10157" t="s">
        <v>37382</v>
      </c>
      <c r="K10157" t="s">
        <v>40289</v>
      </c>
      <c r="M10157" t="s">
        <v>43946</v>
      </c>
      <c r="N10157" t="s">
        <v>44759</v>
      </c>
      <c r="O10157" t="s">
        <v>44760</v>
      </c>
      <c r="Q10157">
        <v>6</v>
      </c>
      <c r="R10157" t="s">
        <v>44770</v>
      </c>
      <c r="S10157" t="s">
        <v>45005</v>
      </c>
      <c r="T10157" t="s">
        <v>46394</v>
      </c>
      <c r="U10157" t="s">
        <v>55356</v>
      </c>
      <c r="W10157" t="s">
        <v>43946</v>
      </c>
      <c r="X10157" t="s">
        <v>44772</v>
      </c>
    </row>
    <row r="10158" spans="1:24">
      <c r="A10158">
        <f>HYPERLINK("https://www.philgeps.gov.ph/GEPSNONPILOT/Tender/SplashBidNoticeAbstractUI.aspx?menuIndex=3&amp;refID=7135503&amp;Result=3","7135503")</f>
        <v>0</v>
      </c>
      <c r="B10158" t="s">
        <v>1666</v>
      </c>
      <c r="C10158" t="s">
        <v>13402</v>
      </c>
      <c r="D10158" t="s">
        <v>18010</v>
      </c>
      <c r="E10158" t="s">
        <v>26838</v>
      </c>
      <c r="F10158" t="s">
        <v>30900</v>
      </c>
      <c r="G10158" t="s">
        <v>30907</v>
      </c>
      <c r="H10158" t="s">
        <v>30916</v>
      </c>
      <c r="I10158" t="s">
        <v>30933</v>
      </c>
      <c r="J10158" t="s">
        <v>37383</v>
      </c>
      <c r="K10158" t="s">
        <v>40286</v>
      </c>
      <c r="M10158" t="s">
        <v>42323</v>
      </c>
      <c r="N10158" t="s">
        <v>44759</v>
      </c>
      <c r="O10158" t="s">
        <v>44760</v>
      </c>
      <c r="P10158">
        <v>0</v>
      </c>
      <c r="Q10158">
        <v>8</v>
      </c>
      <c r="R10158" t="s">
        <v>44770</v>
      </c>
      <c r="S10158" t="s">
        <v>45105</v>
      </c>
      <c r="T10158" t="s">
        <v>46472</v>
      </c>
      <c r="U10158" t="s">
        <v>55357</v>
      </c>
      <c r="V10158" t="s">
        <v>60222</v>
      </c>
      <c r="W10158" t="s">
        <v>42323</v>
      </c>
      <c r="X10158" t="s">
        <v>44772</v>
      </c>
    </row>
    <row r="10159" spans="1:24">
      <c r="A10159">
        <f>HYPERLINK("https://www.philgeps.gov.ph/GEPSNONPILOT/Tender/SplashBidNoticeAbstractUI.aspx?menuIndex=3&amp;refID=7135476&amp;Result=3","7135476")</f>
        <v>0</v>
      </c>
      <c r="B10159" t="s">
        <v>948</v>
      </c>
      <c r="C10159" t="s">
        <v>13403</v>
      </c>
      <c r="D10159" t="s">
        <v>17953</v>
      </c>
      <c r="E10159" t="s">
        <v>26839</v>
      </c>
      <c r="F10159" t="s">
        <v>30900</v>
      </c>
      <c r="G10159" t="s">
        <v>30907</v>
      </c>
      <c r="H10159" t="s">
        <v>30916</v>
      </c>
      <c r="I10159" t="s">
        <v>4545</v>
      </c>
      <c r="J10159" t="s">
        <v>31391</v>
      </c>
      <c r="K10159" t="s">
        <v>40286</v>
      </c>
      <c r="M10159" t="s">
        <v>43947</v>
      </c>
      <c r="N10159" t="s">
        <v>44759</v>
      </c>
      <c r="O10159" t="s">
        <v>44760</v>
      </c>
      <c r="P10159">
        <v>0</v>
      </c>
      <c r="Q10159">
        <v>13</v>
      </c>
      <c r="R10159" t="s">
        <v>44770</v>
      </c>
      <c r="S10159" t="s">
        <v>45105</v>
      </c>
      <c r="T10159" t="s">
        <v>46544</v>
      </c>
      <c r="U10159" t="s">
        <v>55358</v>
      </c>
      <c r="W10159" t="s">
        <v>43947</v>
      </c>
      <c r="X10159" t="s">
        <v>44772</v>
      </c>
    </row>
    <row r="10160" spans="1:24">
      <c r="A10160">
        <f>HYPERLINK("https://www.philgeps.gov.ph/GEPSNONPILOT/Tender/SplashBidNoticeAbstractUI.aspx?menuIndex=3&amp;refID=7135434&amp;Result=3","7135434")</f>
        <v>0</v>
      </c>
      <c r="B10160" t="s">
        <v>3130</v>
      </c>
      <c r="C10160" t="s">
        <v>13404</v>
      </c>
      <c r="D10160" t="s">
        <v>18001</v>
      </c>
      <c r="E10160" t="s">
        <v>26840</v>
      </c>
      <c r="F10160" t="s">
        <v>30900</v>
      </c>
      <c r="G10160" t="s">
        <v>30907</v>
      </c>
      <c r="H10160" t="s">
        <v>30915</v>
      </c>
      <c r="I10160" t="s">
        <v>30919</v>
      </c>
      <c r="J10160" t="s">
        <v>32454</v>
      </c>
      <c r="K10160" t="s">
        <v>40280</v>
      </c>
      <c r="M10160" t="s">
        <v>43948</v>
      </c>
      <c r="N10160" t="s">
        <v>44759</v>
      </c>
      <c r="O10160" t="s">
        <v>44760</v>
      </c>
      <c r="P10160">
        <v>0</v>
      </c>
      <c r="Q10160">
        <v>0</v>
      </c>
      <c r="R10160" t="s">
        <v>44770</v>
      </c>
      <c r="S10160" t="s">
        <v>45105</v>
      </c>
      <c r="T10160" t="s">
        <v>46533</v>
      </c>
      <c r="U10160" t="s">
        <v>53985</v>
      </c>
      <c r="V10160" t="s">
        <v>60223</v>
      </c>
      <c r="W10160" t="s">
        <v>43948</v>
      </c>
      <c r="X10160" t="s">
        <v>44772</v>
      </c>
    </row>
    <row r="10161" spans="1:24">
      <c r="A10161">
        <f>HYPERLINK("https://www.philgeps.gov.ph/GEPSNONPILOT/Tender/SplashBidNoticeAbstractUI.aspx?menuIndex=3&amp;refID=7135386&amp;Result=3","7135386")</f>
        <v>0</v>
      </c>
      <c r="B10161" t="s">
        <v>3131</v>
      </c>
      <c r="C10161" t="s">
        <v>13405</v>
      </c>
      <c r="D10161" t="s">
        <v>18000</v>
      </c>
      <c r="E10161" t="s">
        <v>26841</v>
      </c>
      <c r="F10161" t="s">
        <v>30900</v>
      </c>
      <c r="G10161" t="s">
        <v>30907</v>
      </c>
      <c r="H10161" t="s">
        <v>30916</v>
      </c>
      <c r="I10161" t="s">
        <v>30933</v>
      </c>
      <c r="J10161" t="s">
        <v>34657</v>
      </c>
      <c r="K10161" t="s">
        <v>40280</v>
      </c>
      <c r="M10161" t="s">
        <v>43949</v>
      </c>
      <c r="N10161" t="s">
        <v>44759</v>
      </c>
      <c r="O10161" t="s">
        <v>44760</v>
      </c>
      <c r="P10161">
        <v>0</v>
      </c>
      <c r="Q10161">
        <v>1</v>
      </c>
      <c r="R10161" t="s">
        <v>44770</v>
      </c>
      <c r="S10161" t="s">
        <v>45105</v>
      </c>
      <c r="T10161" t="s">
        <v>46846</v>
      </c>
      <c r="U10161" t="s">
        <v>55359</v>
      </c>
      <c r="W10161" t="s">
        <v>43949</v>
      </c>
      <c r="X10161" t="s">
        <v>44772</v>
      </c>
    </row>
    <row r="10162" spans="1:24">
      <c r="A10162">
        <f>HYPERLINK("https://www.philgeps.gov.ph/GEPSNONPILOT/Tender/SplashBidNoticeAbstractUI.aspx?menuIndex=3&amp;refID=7135472&amp;Result=3","7135472")</f>
        <v>0</v>
      </c>
      <c r="B10162" t="s">
        <v>948</v>
      </c>
      <c r="C10162" t="s">
        <v>13406</v>
      </c>
      <c r="D10162" t="s">
        <v>17953</v>
      </c>
      <c r="E10162" t="s">
        <v>26842</v>
      </c>
      <c r="F10162" t="s">
        <v>30900</v>
      </c>
      <c r="G10162" t="s">
        <v>30907</v>
      </c>
      <c r="H10162" t="s">
        <v>30916</v>
      </c>
      <c r="I10162" t="s">
        <v>4108</v>
      </c>
      <c r="J10162" t="s">
        <v>37384</v>
      </c>
      <c r="K10162" t="s">
        <v>40286</v>
      </c>
      <c r="M10162" t="s">
        <v>43947</v>
      </c>
      <c r="N10162" t="s">
        <v>44759</v>
      </c>
      <c r="O10162" t="s">
        <v>44760</v>
      </c>
      <c r="P10162">
        <v>0</v>
      </c>
      <c r="Q10162">
        <v>5</v>
      </c>
      <c r="R10162" t="s">
        <v>44770</v>
      </c>
      <c r="S10162" t="s">
        <v>45105</v>
      </c>
      <c r="T10162" t="s">
        <v>46544</v>
      </c>
      <c r="U10162" t="s">
        <v>55360</v>
      </c>
      <c r="W10162" t="s">
        <v>43947</v>
      </c>
      <c r="X10162" t="s">
        <v>44772</v>
      </c>
    </row>
    <row r="10163" spans="1:24">
      <c r="A10163">
        <f>HYPERLINK("https://www.philgeps.gov.ph/GEPSNONPILOT/Tender/SplashBidNoticeAbstractUI.aspx?menuIndex=3&amp;refID=7135557&amp;Result=3","7135557")</f>
        <v>0</v>
      </c>
      <c r="B10163" t="s">
        <v>1388</v>
      </c>
      <c r="C10163" t="s">
        <v>13407</v>
      </c>
      <c r="D10163" t="s">
        <v>18002</v>
      </c>
      <c r="E10163" t="s">
        <v>26843</v>
      </c>
      <c r="F10163" t="s">
        <v>30900</v>
      </c>
      <c r="G10163" t="s">
        <v>30907</v>
      </c>
      <c r="H10163" t="s">
        <v>30915</v>
      </c>
      <c r="I10163" t="s">
        <v>30919</v>
      </c>
      <c r="J10163" t="s">
        <v>32523</v>
      </c>
      <c r="K10163" t="s">
        <v>40292</v>
      </c>
      <c r="M10163" t="s">
        <v>42012</v>
      </c>
      <c r="N10163" t="s">
        <v>44759</v>
      </c>
      <c r="O10163" t="s">
        <v>44760</v>
      </c>
      <c r="P10163">
        <v>0</v>
      </c>
      <c r="Q10163">
        <v>6</v>
      </c>
      <c r="R10163" t="s">
        <v>44770</v>
      </c>
      <c r="S10163" t="s">
        <v>45105</v>
      </c>
      <c r="T10163" t="s">
        <v>46606</v>
      </c>
      <c r="U10163" t="s">
        <v>55353</v>
      </c>
      <c r="W10163" t="s">
        <v>42012</v>
      </c>
      <c r="X10163" t="s">
        <v>44772</v>
      </c>
    </row>
    <row r="10164" spans="1:24">
      <c r="A10164">
        <f>HYPERLINK("https://www.philgeps.gov.ph/GEPSNONPILOT/Tender/SplashBidNoticeAbstractUI.aspx?menuIndex=3&amp;refID=7134735&amp;Result=3","7134735")</f>
        <v>0</v>
      </c>
      <c r="B10164" t="s">
        <v>402</v>
      </c>
      <c r="C10164" t="s">
        <v>13408</v>
      </c>
      <c r="D10164" t="s">
        <v>17982</v>
      </c>
      <c r="E10164" t="s">
        <v>26844</v>
      </c>
      <c r="F10164" t="s">
        <v>30900</v>
      </c>
      <c r="G10164" t="s">
        <v>30907</v>
      </c>
      <c r="H10164" t="s">
        <v>30915</v>
      </c>
      <c r="I10164" t="s">
        <v>30919</v>
      </c>
      <c r="J10164" t="s">
        <v>37385</v>
      </c>
      <c r="K10164" t="s">
        <v>40308</v>
      </c>
      <c r="M10164" t="s">
        <v>40957</v>
      </c>
      <c r="N10164" t="s">
        <v>44759</v>
      </c>
      <c r="O10164" t="s">
        <v>44760</v>
      </c>
      <c r="P10164">
        <v>0</v>
      </c>
      <c r="Q10164">
        <v>0</v>
      </c>
      <c r="R10164" t="s">
        <v>44770</v>
      </c>
      <c r="S10164" t="s">
        <v>45105</v>
      </c>
      <c r="T10164" t="s">
        <v>46515</v>
      </c>
      <c r="U10164" t="s">
        <v>47590</v>
      </c>
      <c r="W10164" t="s">
        <v>40957</v>
      </c>
      <c r="X10164" t="s">
        <v>44773</v>
      </c>
    </row>
    <row r="10165" spans="1:24">
      <c r="A10165">
        <f>HYPERLINK("https://www.philgeps.gov.ph/GEPSNONPILOT/Tender/SplashBidNoticeAbstractUI.aspx?menuIndex=3&amp;refID=7135383&amp;Result=3","7135383")</f>
        <v>0</v>
      </c>
      <c r="B10165" t="s">
        <v>536</v>
      </c>
      <c r="C10165" t="s">
        <v>13409</v>
      </c>
      <c r="E10165" t="s">
        <v>26845</v>
      </c>
      <c r="F10165" t="s">
        <v>30900</v>
      </c>
      <c r="G10165" t="s">
        <v>30907</v>
      </c>
      <c r="H10165" t="s">
        <v>30916</v>
      </c>
      <c r="I10165" t="s">
        <v>6396</v>
      </c>
      <c r="J10165" t="s">
        <v>33481</v>
      </c>
      <c r="K10165" t="s">
        <v>40289</v>
      </c>
      <c r="M10165" t="s">
        <v>41096</v>
      </c>
      <c r="N10165" t="s">
        <v>44759</v>
      </c>
      <c r="O10165" t="s">
        <v>44760</v>
      </c>
      <c r="P10165">
        <v>0</v>
      </c>
      <c r="Q10165">
        <v>10</v>
      </c>
      <c r="R10165" t="s">
        <v>44770</v>
      </c>
      <c r="S10165" t="s">
        <v>45105</v>
      </c>
      <c r="T10165" t="s">
        <v>46662</v>
      </c>
      <c r="U10165" t="s">
        <v>55361</v>
      </c>
      <c r="W10165" t="s">
        <v>41096</v>
      </c>
      <c r="X10165" t="s">
        <v>44772</v>
      </c>
    </row>
    <row r="10166" spans="1:24">
      <c r="A10166">
        <f>HYPERLINK("https://www.philgeps.gov.ph/GEPSNONPILOT/Tender/SplashBidNoticeAbstractUI.aspx?menuIndex=3&amp;refID=7135203&amp;Result=3","7135203")</f>
        <v>0</v>
      </c>
      <c r="B10166" t="s">
        <v>2625</v>
      </c>
      <c r="C10166" t="s">
        <v>13410</v>
      </c>
      <c r="D10166" t="s">
        <v>17959</v>
      </c>
      <c r="E10166" t="s">
        <v>26846</v>
      </c>
      <c r="F10166" t="s">
        <v>30900</v>
      </c>
      <c r="G10166" t="s">
        <v>30907</v>
      </c>
      <c r="H10166" t="s">
        <v>7411</v>
      </c>
      <c r="I10166" t="s">
        <v>7411</v>
      </c>
      <c r="J10166" t="s">
        <v>37386</v>
      </c>
      <c r="K10166" t="s">
        <v>40289</v>
      </c>
      <c r="M10166" t="s">
        <v>43389</v>
      </c>
      <c r="N10166" t="s">
        <v>44759</v>
      </c>
      <c r="O10166" t="s">
        <v>44760</v>
      </c>
      <c r="P10166">
        <v>0</v>
      </c>
      <c r="Q10166">
        <v>7</v>
      </c>
      <c r="R10166" t="s">
        <v>44770</v>
      </c>
      <c r="S10166" t="s">
        <v>45105</v>
      </c>
      <c r="T10166" t="s">
        <v>46403</v>
      </c>
      <c r="U10166" t="s">
        <v>55362</v>
      </c>
      <c r="W10166" t="s">
        <v>43389</v>
      </c>
      <c r="X10166" t="s">
        <v>44773</v>
      </c>
    </row>
    <row r="10167" spans="1:24">
      <c r="A10167">
        <f>HYPERLINK("https://www.philgeps.gov.ph/GEPSNONPILOT/Tender/SplashBidNoticeAbstractUI.aspx?menuIndex=3&amp;refID=7135379&amp;Result=3","7135379")</f>
        <v>0</v>
      </c>
      <c r="B10167" t="s">
        <v>536</v>
      </c>
      <c r="C10167" t="s">
        <v>13411</v>
      </c>
      <c r="E10167" t="s">
        <v>26847</v>
      </c>
      <c r="F10167" t="s">
        <v>30900</v>
      </c>
      <c r="G10167" t="s">
        <v>30907</v>
      </c>
      <c r="H10167" t="s">
        <v>30916</v>
      </c>
      <c r="I10167" t="s">
        <v>30933</v>
      </c>
      <c r="J10167" t="s">
        <v>35135</v>
      </c>
      <c r="K10167" t="s">
        <v>40289</v>
      </c>
      <c r="M10167" t="s">
        <v>41096</v>
      </c>
      <c r="N10167" t="s">
        <v>44759</v>
      </c>
      <c r="O10167" t="s">
        <v>44760</v>
      </c>
      <c r="P10167">
        <v>0</v>
      </c>
      <c r="Q10167">
        <v>1</v>
      </c>
      <c r="R10167" t="s">
        <v>44770</v>
      </c>
      <c r="S10167" t="s">
        <v>45105</v>
      </c>
      <c r="T10167" t="s">
        <v>46662</v>
      </c>
      <c r="U10167" t="s">
        <v>55361</v>
      </c>
      <c r="W10167" t="s">
        <v>41096</v>
      </c>
      <c r="X10167" t="s">
        <v>44772</v>
      </c>
    </row>
    <row r="10168" spans="1:24">
      <c r="A10168">
        <f>HYPERLINK("https://www.philgeps.gov.ph/GEPSNONPILOT/Tender/SplashBidNoticeAbstractUI.aspx?menuIndex=3&amp;refID=7135185&amp;Result=3","7135185")</f>
        <v>0</v>
      </c>
      <c r="B10168" t="s">
        <v>57</v>
      </c>
      <c r="C10168" t="s">
        <v>13412</v>
      </c>
      <c r="D10168" t="s">
        <v>18013</v>
      </c>
      <c r="E10168" t="s">
        <v>26848</v>
      </c>
      <c r="F10168" t="s">
        <v>30900</v>
      </c>
      <c r="G10168" t="s">
        <v>30907</v>
      </c>
      <c r="H10168" t="s">
        <v>30916</v>
      </c>
      <c r="I10168" t="s">
        <v>31017</v>
      </c>
      <c r="J10168" t="s">
        <v>37387</v>
      </c>
      <c r="K10168" t="s">
        <v>40354</v>
      </c>
      <c r="M10168" t="s">
        <v>40847</v>
      </c>
      <c r="N10168" t="s">
        <v>44759</v>
      </c>
      <c r="O10168" t="s">
        <v>44760</v>
      </c>
      <c r="Q10168">
        <v>8</v>
      </c>
      <c r="R10168" t="s">
        <v>44770</v>
      </c>
      <c r="S10168" t="s">
        <v>45138</v>
      </c>
      <c r="T10168" t="s">
        <v>46472</v>
      </c>
      <c r="U10168" t="s">
        <v>55363</v>
      </c>
      <c r="V10168" t="s">
        <v>60224</v>
      </c>
      <c r="W10168" t="s">
        <v>60917</v>
      </c>
      <c r="X10168" t="s">
        <v>44773</v>
      </c>
    </row>
    <row r="10169" spans="1:24">
      <c r="A10169">
        <f>HYPERLINK("https://www.philgeps.gov.ph/GEPSNONPILOT/Tender/SplashBidNoticeAbstractUI.aspx?menuIndex=3&amp;refID=7135295&amp;Result=3","7135295")</f>
        <v>0</v>
      </c>
      <c r="B10169" t="s">
        <v>2243</v>
      </c>
      <c r="C10169" t="s">
        <v>13413</v>
      </c>
      <c r="D10169" t="s">
        <v>17980</v>
      </c>
      <c r="E10169" t="s">
        <v>26849</v>
      </c>
      <c r="F10169" t="s">
        <v>30900</v>
      </c>
      <c r="G10169" t="s">
        <v>30907</v>
      </c>
      <c r="H10169" t="s">
        <v>30916</v>
      </c>
      <c r="I10169" t="s">
        <v>30923</v>
      </c>
      <c r="J10169" t="s">
        <v>37388</v>
      </c>
      <c r="K10169" t="s">
        <v>40283</v>
      </c>
      <c r="M10169" t="s">
        <v>42953</v>
      </c>
      <c r="N10169" t="s">
        <v>44759</v>
      </c>
      <c r="O10169" t="s">
        <v>44760</v>
      </c>
      <c r="Q10169">
        <v>10</v>
      </c>
      <c r="R10169" t="s">
        <v>44770</v>
      </c>
      <c r="S10169" t="s">
        <v>45139</v>
      </c>
      <c r="T10169" t="s">
        <v>46847</v>
      </c>
      <c r="U10169" t="s">
        <v>55364</v>
      </c>
      <c r="W10169" t="s">
        <v>42953</v>
      </c>
      <c r="X10169" t="s">
        <v>44773</v>
      </c>
    </row>
    <row r="10170" spans="1:24">
      <c r="A10170">
        <f>HYPERLINK("https://www.philgeps.gov.ph/GEPSNONPILOT/Tender/SplashBidNoticeAbstractUI.aspx?menuIndex=3&amp;refID=7135171&amp;Result=3","7135171")</f>
        <v>0</v>
      </c>
      <c r="B10170" t="s">
        <v>313</v>
      </c>
      <c r="C10170" t="s">
        <v>13414</v>
      </c>
      <c r="D10170" t="s">
        <v>17978</v>
      </c>
      <c r="E10170" t="s">
        <v>26850</v>
      </c>
      <c r="F10170" t="s">
        <v>30900</v>
      </c>
      <c r="G10170" t="s">
        <v>30907</v>
      </c>
      <c r="H10170" t="s">
        <v>30916</v>
      </c>
      <c r="I10170" t="s">
        <v>30961</v>
      </c>
      <c r="J10170" t="s">
        <v>37389</v>
      </c>
      <c r="K10170" t="s">
        <v>40302</v>
      </c>
      <c r="M10170" t="s">
        <v>40863</v>
      </c>
      <c r="N10170" t="s">
        <v>44759</v>
      </c>
      <c r="O10170" t="s">
        <v>44760</v>
      </c>
      <c r="P10170">
        <v>0</v>
      </c>
      <c r="Q10170">
        <v>2</v>
      </c>
      <c r="R10170" t="s">
        <v>44770</v>
      </c>
      <c r="S10170" t="s">
        <v>45105</v>
      </c>
      <c r="T10170" t="s">
        <v>46472</v>
      </c>
      <c r="U10170" t="s">
        <v>55365</v>
      </c>
      <c r="W10170" t="s">
        <v>40863</v>
      </c>
      <c r="X10170" t="s">
        <v>44773</v>
      </c>
    </row>
    <row r="10171" spans="1:24">
      <c r="A10171">
        <f>HYPERLINK("https://www.philgeps.gov.ph/GEPSNONPILOT/Tender/SplashBidNoticeAbstractUI.aspx?menuIndex=3&amp;refID=7135460&amp;Result=3","7135460")</f>
        <v>0</v>
      </c>
      <c r="B10171" t="s">
        <v>44</v>
      </c>
      <c r="C10171" t="s">
        <v>4515</v>
      </c>
      <c r="D10171" t="s">
        <v>17969</v>
      </c>
      <c r="E10171" t="s">
        <v>26851</v>
      </c>
      <c r="F10171" t="s">
        <v>30900</v>
      </c>
      <c r="G10171" t="s">
        <v>30907</v>
      </c>
      <c r="H10171" t="s">
        <v>30916</v>
      </c>
      <c r="I10171" t="s">
        <v>4142</v>
      </c>
      <c r="J10171" t="s">
        <v>37390</v>
      </c>
      <c r="K10171" t="s">
        <v>40284</v>
      </c>
      <c r="M10171" t="s">
        <v>40590</v>
      </c>
      <c r="N10171" t="s">
        <v>44759</v>
      </c>
      <c r="O10171" t="s">
        <v>44760</v>
      </c>
      <c r="P10171">
        <v>0</v>
      </c>
      <c r="Q10171">
        <v>5</v>
      </c>
      <c r="R10171" t="s">
        <v>44770</v>
      </c>
      <c r="S10171" t="s">
        <v>45105</v>
      </c>
      <c r="T10171" t="s">
        <v>46418</v>
      </c>
      <c r="U10171" t="s">
        <v>55366</v>
      </c>
      <c r="W10171" t="s">
        <v>40590</v>
      </c>
      <c r="X10171" t="s">
        <v>44772</v>
      </c>
    </row>
    <row r="10172" spans="1:24">
      <c r="A10172">
        <f>HYPERLINK("https://www.philgeps.gov.ph/GEPSNONPILOT/Tender/SplashBidNoticeAbstractUI.aspx?menuIndex=3&amp;refID=7134879&amp;Result=3","7134879")</f>
        <v>0</v>
      </c>
      <c r="B10172" t="s">
        <v>663</v>
      </c>
      <c r="C10172" t="s">
        <v>13415</v>
      </c>
      <c r="D10172" t="s">
        <v>18021</v>
      </c>
      <c r="E10172" t="s">
        <v>26852</v>
      </c>
      <c r="F10172" t="s">
        <v>30900</v>
      </c>
      <c r="G10172" t="s">
        <v>30907</v>
      </c>
      <c r="H10172" t="s">
        <v>30916</v>
      </c>
      <c r="I10172" t="s">
        <v>4142</v>
      </c>
      <c r="J10172" t="s">
        <v>31206</v>
      </c>
      <c r="K10172" t="s">
        <v>40286</v>
      </c>
      <c r="M10172" t="s">
        <v>41226</v>
      </c>
      <c r="N10172" t="s">
        <v>44759</v>
      </c>
      <c r="O10172" t="s">
        <v>44760</v>
      </c>
      <c r="Q10172">
        <v>0</v>
      </c>
      <c r="R10172" t="s">
        <v>44770</v>
      </c>
      <c r="S10172" t="s">
        <v>45140</v>
      </c>
      <c r="T10172" t="s">
        <v>46409</v>
      </c>
      <c r="U10172" t="s">
        <v>55367</v>
      </c>
      <c r="W10172" t="s">
        <v>41226</v>
      </c>
      <c r="X10172" t="s">
        <v>44773</v>
      </c>
    </row>
    <row r="10173" spans="1:24">
      <c r="A10173">
        <f>HYPERLINK("https://www.philgeps.gov.ph/GEPSNONPILOT/Tender/SplashBidNoticeAbstractUI.aspx?menuIndex=3&amp;refID=7134862&amp;Result=3","7134862")</f>
        <v>0</v>
      </c>
      <c r="B10173" t="s">
        <v>2370</v>
      </c>
      <c r="C10173" t="s">
        <v>10009</v>
      </c>
      <c r="D10173" t="s">
        <v>17978</v>
      </c>
      <c r="E10173" t="s">
        <v>26853</v>
      </c>
      <c r="F10173" t="s">
        <v>30900</v>
      </c>
      <c r="G10173" t="s">
        <v>30907</v>
      </c>
      <c r="H10173" t="s">
        <v>30915</v>
      </c>
      <c r="I10173" t="s">
        <v>30919</v>
      </c>
      <c r="J10173" t="s">
        <v>31049</v>
      </c>
      <c r="K10173" t="s">
        <v>40283</v>
      </c>
      <c r="M10173" t="s">
        <v>43096</v>
      </c>
      <c r="N10173" t="s">
        <v>44759</v>
      </c>
      <c r="O10173" t="s">
        <v>44760</v>
      </c>
      <c r="P10173">
        <v>0</v>
      </c>
      <c r="Q10173">
        <v>0</v>
      </c>
      <c r="R10173" t="s">
        <v>44770</v>
      </c>
      <c r="S10173" t="s">
        <v>45105</v>
      </c>
      <c r="T10173" t="s">
        <v>46357</v>
      </c>
      <c r="U10173" t="s">
        <v>55368</v>
      </c>
      <c r="W10173" t="s">
        <v>43096</v>
      </c>
      <c r="X10173" t="s">
        <v>44773</v>
      </c>
    </row>
    <row r="10174" spans="1:24">
      <c r="A10174">
        <f>HYPERLINK("https://www.philgeps.gov.ph/GEPSNONPILOT/Tender/SplashBidNoticeAbstractUI.aspx?menuIndex=3&amp;refID=7135193&amp;Result=3","7135193")</f>
        <v>0</v>
      </c>
      <c r="B10174" t="s">
        <v>57</v>
      </c>
      <c r="C10174" t="s">
        <v>13416</v>
      </c>
      <c r="D10174" t="s">
        <v>17976</v>
      </c>
      <c r="E10174" t="s">
        <v>26854</v>
      </c>
      <c r="F10174" t="s">
        <v>30900</v>
      </c>
      <c r="G10174" t="s">
        <v>30907</v>
      </c>
      <c r="H10174" t="s">
        <v>30916</v>
      </c>
      <c r="I10174" t="s">
        <v>31017</v>
      </c>
      <c r="J10174" t="s">
        <v>37391</v>
      </c>
      <c r="K10174" t="s">
        <v>40354</v>
      </c>
      <c r="M10174" t="s">
        <v>40847</v>
      </c>
      <c r="N10174" t="s">
        <v>44759</v>
      </c>
      <c r="O10174" t="s">
        <v>44760</v>
      </c>
      <c r="Q10174">
        <v>7</v>
      </c>
      <c r="R10174" t="s">
        <v>44770</v>
      </c>
      <c r="S10174" t="s">
        <v>45141</v>
      </c>
      <c r="T10174" t="s">
        <v>46472</v>
      </c>
      <c r="U10174" t="s">
        <v>55369</v>
      </c>
      <c r="V10174" t="s">
        <v>60225</v>
      </c>
      <c r="W10174" t="s">
        <v>60917</v>
      </c>
      <c r="X10174" t="s">
        <v>44773</v>
      </c>
    </row>
    <row r="10175" spans="1:24">
      <c r="A10175">
        <f>HYPERLINK("https://www.philgeps.gov.ph/GEPSNONPILOT/Tender/SplashBidNoticeAbstractUI.aspx?menuIndex=3&amp;refID=7134856&amp;Result=3","7134856")</f>
        <v>0</v>
      </c>
      <c r="B10175" t="s">
        <v>1639</v>
      </c>
      <c r="C10175" t="s">
        <v>13417</v>
      </c>
      <c r="D10175" t="s">
        <v>17985</v>
      </c>
      <c r="E10175" t="s">
        <v>26855</v>
      </c>
      <c r="F10175" t="s">
        <v>30900</v>
      </c>
      <c r="G10175" t="s">
        <v>30907</v>
      </c>
      <c r="H10175" t="s">
        <v>30915</v>
      </c>
      <c r="I10175" t="s">
        <v>30919</v>
      </c>
      <c r="J10175" t="s">
        <v>32329</v>
      </c>
      <c r="K10175" t="s">
        <v>40304</v>
      </c>
      <c r="M10175" t="s">
        <v>42295</v>
      </c>
      <c r="N10175" t="s">
        <v>44759</v>
      </c>
      <c r="O10175" t="s">
        <v>44760</v>
      </c>
      <c r="P10175">
        <v>0</v>
      </c>
      <c r="Q10175">
        <v>1</v>
      </c>
      <c r="R10175" t="s">
        <v>44770</v>
      </c>
      <c r="S10175" t="s">
        <v>45105</v>
      </c>
      <c r="T10175" t="s">
        <v>46411</v>
      </c>
      <c r="U10175" t="s">
        <v>55370</v>
      </c>
      <c r="W10175" t="s">
        <v>42295</v>
      </c>
      <c r="X10175" t="s">
        <v>44773</v>
      </c>
    </row>
    <row r="10176" spans="1:24">
      <c r="A10176">
        <f>HYPERLINK("https://www.philgeps.gov.ph/GEPSNONPILOT/Tender/SplashBidNoticeAbstractUI.aspx?menuIndex=3&amp;refID=7134876&amp;Result=3","7134876")</f>
        <v>0</v>
      </c>
      <c r="B10176" t="s">
        <v>3122</v>
      </c>
      <c r="C10176" t="s">
        <v>13418</v>
      </c>
      <c r="D10176" t="s">
        <v>17997</v>
      </c>
      <c r="E10176" t="s">
        <v>26856</v>
      </c>
      <c r="F10176" t="s">
        <v>30900</v>
      </c>
      <c r="G10176" t="s">
        <v>30907</v>
      </c>
      <c r="H10176" t="s">
        <v>30915</v>
      </c>
      <c r="I10176" t="s">
        <v>30948</v>
      </c>
      <c r="J10176" t="s">
        <v>31204</v>
      </c>
      <c r="K10176" t="s">
        <v>40291</v>
      </c>
      <c r="M10176" t="s">
        <v>43938</v>
      </c>
      <c r="N10176" t="s">
        <v>44759</v>
      </c>
      <c r="O10176" t="s">
        <v>44760</v>
      </c>
      <c r="P10176">
        <v>0</v>
      </c>
      <c r="Q10176">
        <v>0</v>
      </c>
      <c r="R10176" t="s">
        <v>44770</v>
      </c>
      <c r="S10176" t="s">
        <v>45105</v>
      </c>
      <c r="T10176" t="s">
        <v>46503</v>
      </c>
      <c r="U10176" t="s">
        <v>55371</v>
      </c>
      <c r="W10176" t="s">
        <v>43938</v>
      </c>
      <c r="X10176" t="s">
        <v>44773</v>
      </c>
    </row>
    <row r="10177" spans="1:24">
      <c r="A10177">
        <f>HYPERLINK("https://www.philgeps.gov.ph/GEPSNONPILOT/Tender/SplashBidNoticeAbstractUI.aspx?menuIndex=3&amp;refID=7134894&amp;Result=3","7134894")</f>
        <v>0</v>
      </c>
      <c r="B10177" t="s">
        <v>1639</v>
      </c>
      <c r="C10177" t="s">
        <v>13419</v>
      </c>
      <c r="D10177" t="s">
        <v>17985</v>
      </c>
      <c r="E10177" t="s">
        <v>26857</v>
      </c>
      <c r="F10177" t="s">
        <v>30900</v>
      </c>
      <c r="G10177" t="s">
        <v>30907</v>
      </c>
      <c r="H10177" t="s">
        <v>30915</v>
      </c>
      <c r="I10177" t="s">
        <v>30919</v>
      </c>
      <c r="J10177" t="s">
        <v>31152</v>
      </c>
      <c r="K10177" t="s">
        <v>40293</v>
      </c>
      <c r="M10177" t="s">
        <v>42295</v>
      </c>
      <c r="N10177" t="s">
        <v>44759</v>
      </c>
      <c r="O10177" t="s">
        <v>44760</v>
      </c>
      <c r="P10177">
        <v>0</v>
      </c>
      <c r="Q10177">
        <v>1</v>
      </c>
      <c r="R10177" t="s">
        <v>44770</v>
      </c>
      <c r="S10177" t="s">
        <v>45105</v>
      </c>
      <c r="T10177" t="s">
        <v>46411</v>
      </c>
      <c r="U10177" t="s">
        <v>55372</v>
      </c>
      <c r="W10177" t="s">
        <v>42295</v>
      </c>
      <c r="X10177" t="s">
        <v>44773</v>
      </c>
    </row>
    <row r="10178" spans="1:24">
      <c r="A10178">
        <f>HYPERLINK("https://www.philgeps.gov.ph/GEPSNONPILOT/Tender/SplashBidNoticeAbstractUI.aspx?menuIndex=3&amp;refID=7134853&amp;Result=3","7134853")</f>
        <v>0</v>
      </c>
      <c r="B10178" t="s">
        <v>1428</v>
      </c>
      <c r="C10178" t="s">
        <v>13420</v>
      </c>
      <c r="D10178" t="s">
        <v>18017</v>
      </c>
      <c r="E10178" t="s">
        <v>26858</v>
      </c>
      <c r="F10178" t="s">
        <v>30900</v>
      </c>
      <c r="G10178" t="s">
        <v>30908</v>
      </c>
      <c r="H10178" t="s">
        <v>30916</v>
      </c>
      <c r="I10178" t="s">
        <v>4004</v>
      </c>
      <c r="J10178" t="s">
        <v>37392</v>
      </c>
      <c r="K10178" t="s">
        <v>40286</v>
      </c>
      <c r="M10178" t="s">
        <v>43728</v>
      </c>
      <c r="N10178" t="s">
        <v>44759</v>
      </c>
      <c r="O10178" t="s">
        <v>44760</v>
      </c>
      <c r="P10178">
        <v>0</v>
      </c>
      <c r="Q10178">
        <v>1</v>
      </c>
      <c r="R10178" t="s">
        <v>44770</v>
      </c>
      <c r="S10178" t="s">
        <v>45105</v>
      </c>
      <c r="T10178" t="s">
        <v>46848</v>
      </c>
      <c r="U10178" t="s">
        <v>55373</v>
      </c>
      <c r="W10178" t="s">
        <v>43728</v>
      </c>
      <c r="X10178" t="s">
        <v>44773</v>
      </c>
    </row>
    <row r="10179" spans="1:24">
      <c r="A10179">
        <f>HYPERLINK("https://www.philgeps.gov.ph/GEPSNONPILOT/Tender/SplashBidNoticeAbstractUI.aspx?menuIndex=3&amp;refID=7135674&amp;Result=3","7135674")</f>
        <v>0</v>
      </c>
      <c r="B10179" t="s">
        <v>1782</v>
      </c>
      <c r="C10179" t="s">
        <v>13421</v>
      </c>
      <c r="D10179" t="s">
        <v>17971</v>
      </c>
      <c r="E10179" t="s">
        <v>26859</v>
      </c>
      <c r="F10179" t="s">
        <v>30900</v>
      </c>
      <c r="G10179" t="s">
        <v>30907</v>
      </c>
      <c r="H10179" t="s">
        <v>30915</v>
      </c>
      <c r="I10179" t="s">
        <v>30919</v>
      </c>
      <c r="J10179" t="s">
        <v>31241</v>
      </c>
      <c r="K10179" t="s">
        <v>40484</v>
      </c>
      <c r="M10179" t="s">
        <v>42456</v>
      </c>
      <c r="N10179" t="s">
        <v>44759</v>
      </c>
      <c r="O10179" t="s">
        <v>44760</v>
      </c>
      <c r="P10179">
        <v>0</v>
      </c>
      <c r="Q10179">
        <v>22</v>
      </c>
      <c r="R10179" t="s">
        <v>44770</v>
      </c>
      <c r="S10179" t="s">
        <v>45105</v>
      </c>
      <c r="T10179" t="s">
        <v>46770</v>
      </c>
      <c r="U10179" t="s">
        <v>55374</v>
      </c>
      <c r="W10179" t="s">
        <v>42456</v>
      </c>
      <c r="X10179" t="s">
        <v>44772</v>
      </c>
    </row>
    <row r="10180" spans="1:24">
      <c r="A10180">
        <f>HYPERLINK("https://www.philgeps.gov.ph/GEPSNONPILOT/Tender/SplashBidNoticeAbstractUI.aspx?menuIndex=3&amp;refID=7134832&amp;Result=3","7134832")</f>
        <v>0</v>
      </c>
      <c r="B10180" t="s">
        <v>1187</v>
      </c>
      <c r="C10180" t="s">
        <v>13422</v>
      </c>
      <c r="E10180" t="s">
        <v>26860</v>
      </c>
      <c r="F10180" t="s">
        <v>30900</v>
      </c>
      <c r="G10180" t="s">
        <v>30906</v>
      </c>
      <c r="H10180" t="s">
        <v>30916</v>
      </c>
      <c r="I10180" t="s">
        <v>9385</v>
      </c>
      <c r="J10180" t="s">
        <v>37393</v>
      </c>
      <c r="K10180" t="s">
        <v>40289</v>
      </c>
      <c r="M10180" t="s">
        <v>41796</v>
      </c>
      <c r="N10180" t="s">
        <v>44759</v>
      </c>
      <c r="O10180" t="s">
        <v>44760</v>
      </c>
      <c r="P10180">
        <v>0</v>
      </c>
      <c r="Q10180">
        <v>6</v>
      </c>
      <c r="R10180" t="s">
        <v>44770</v>
      </c>
      <c r="S10180" t="s">
        <v>45105</v>
      </c>
      <c r="T10180" t="s">
        <v>46658</v>
      </c>
      <c r="U10180" t="s">
        <v>55375</v>
      </c>
      <c r="V10180" t="s">
        <v>60226</v>
      </c>
      <c r="W10180" t="s">
        <v>41796</v>
      </c>
      <c r="X10180" t="s">
        <v>44773</v>
      </c>
    </row>
    <row r="10181" spans="1:24">
      <c r="A10181">
        <f>HYPERLINK("https://www.philgeps.gov.ph/GEPSNONPILOT/Tender/SplashBidNoticeAbstractUI.aspx?menuIndex=3&amp;refID=7135654&amp;Result=3","7135654")</f>
        <v>0</v>
      </c>
      <c r="B10181" t="s">
        <v>3132</v>
      </c>
      <c r="C10181" t="s">
        <v>9900</v>
      </c>
      <c r="D10181" t="s">
        <v>18014</v>
      </c>
      <c r="E10181" t="s">
        <v>26861</v>
      </c>
      <c r="F10181" t="s">
        <v>30900</v>
      </c>
      <c r="G10181" t="s">
        <v>30907</v>
      </c>
      <c r="H10181" t="s">
        <v>30915</v>
      </c>
      <c r="I10181" t="s">
        <v>30919</v>
      </c>
      <c r="J10181" t="s">
        <v>31391</v>
      </c>
      <c r="K10181" t="s">
        <v>40293</v>
      </c>
      <c r="M10181" t="s">
        <v>43950</v>
      </c>
      <c r="N10181" t="s">
        <v>44759</v>
      </c>
      <c r="O10181" t="s">
        <v>44760</v>
      </c>
      <c r="P10181">
        <v>0</v>
      </c>
      <c r="Q10181">
        <v>0</v>
      </c>
      <c r="R10181" t="s">
        <v>44770</v>
      </c>
      <c r="S10181" t="s">
        <v>45105</v>
      </c>
      <c r="T10181" t="s">
        <v>46457</v>
      </c>
      <c r="U10181" t="s">
        <v>55376</v>
      </c>
      <c r="W10181" t="s">
        <v>43950</v>
      </c>
      <c r="X10181" t="s">
        <v>44772</v>
      </c>
    </row>
    <row r="10182" spans="1:24">
      <c r="A10182">
        <f>HYPERLINK("https://www.philgeps.gov.ph/GEPSNONPILOT/Tender/SplashBidNoticeAbstractUI.aspx?menuIndex=3&amp;refID=7135641&amp;Result=3","7135641")</f>
        <v>0</v>
      </c>
      <c r="B10182" t="s">
        <v>3133</v>
      </c>
      <c r="C10182" t="s">
        <v>13423</v>
      </c>
      <c r="D10182" t="s">
        <v>17978</v>
      </c>
      <c r="E10182" t="s">
        <v>26862</v>
      </c>
      <c r="F10182" t="s">
        <v>30900</v>
      </c>
      <c r="G10182" t="s">
        <v>30907</v>
      </c>
      <c r="H10182" t="s">
        <v>30915</v>
      </c>
      <c r="I10182" t="s">
        <v>30919</v>
      </c>
      <c r="J10182" t="s">
        <v>37394</v>
      </c>
      <c r="K10182" t="s">
        <v>40283</v>
      </c>
      <c r="M10182" t="s">
        <v>43951</v>
      </c>
      <c r="N10182" t="s">
        <v>44759</v>
      </c>
      <c r="O10182" t="s">
        <v>44760</v>
      </c>
      <c r="P10182">
        <v>0</v>
      </c>
      <c r="Q10182">
        <v>0</v>
      </c>
      <c r="R10182" t="s">
        <v>44770</v>
      </c>
      <c r="S10182" t="s">
        <v>45105</v>
      </c>
      <c r="T10182" t="s">
        <v>46357</v>
      </c>
      <c r="U10182" t="s">
        <v>55377</v>
      </c>
      <c r="W10182" t="s">
        <v>43951</v>
      </c>
      <c r="X10182" t="s">
        <v>44772</v>
      </c>
    </row>
    <row r="10183" spans="1:24">
      <c r="A10183">
        <f>HYPERLINK("https://www.philgeps.gov.ph/GEPSNONPILOT/Tender/SplashBidNoticeAbstractUI.aspx?menuIndex=3&amp;refID=7135794&amp;Result=3","7135794")</f>
        <v>0</v>
      </c>
      <c r="B10183" t="s">
        <v>3134</v>
      </c>
      <c r="C10183" t="s">
        <v>13424</v>
      </c>
      <c r="D10183" t="s">
        <v>18039</v>
      </c>
      <c r="E10183" t="s">
        <v>26863</v>
      </c>
      <c r="F10183" t="s">
        <v>30899</v>
      </c>
      <c r="G10183" t="s">
        <v>30907</v>
      </c>
      <c r="H10183" t="s">
        <v>30916</v>
      </c>
      <c r="I10183" t="s">
        <v>30919</v>
      </c>
      <c r="J10183" t="s">
        <v>31241</v>
      </c>
      <c r="K10183" t="s">
        <v>40289</v>
      </c>
      <c r="M10183" t="s">
        <v>43952</v>
      </c>
      <c r="N10183" t="s">
        <v>44759</v>
      </c>
      <c r="O10183" t="s">
        <v>44760</v>
      </c>
      <c r="P10183">
        <v>0</v>
      </c>
      <c r="Q10183">
        <v>2</v>
      </c>
      <c r="R10183" t="s">
        <v>44770</v>
      </c>
      <c r="S10183" t="s">
        <v>45105</v>
      </c>
      <c r="T10183" t="s">
        <v>46393</v>
      </c>
      <c r="U10183" t="s">
        <v>55378</v>
      </c>
      <c r="W10183" t="s">
        <v>43952</v>
      </c>
      <c r="X10183" t="s">
        <v>44771</v>
      </c>
    </row>
    <row r="10184" spans="1:24">
      <c r="A10184">
        <f>HYPERLINK("https://www.philgeps.gov.ph/GEPSNONPILOT/Tender/SplashBidNoticeAbstractUI.aspx?menuIndex=3&amp;refID=7135633&amp;Result=3","7135633")</f>
        <v>0</v>
      </c>
      <c r="B10184" t="s">
        <v>3132</v>
      </c>
      <c r="C10184" t="s">
        <v>13425</v>
      </c>
      <c r="D10184" t="s">
        <v>18014</v>
      </c>
      <c r="E10184" t="s">
        <v>18935</v>
      </c>
      <c r="F10184" t="s">
        <v>30900</v>
      </c>
      <c r="G10184" t="s">
        <v>30907</v>
      </c>
      <c r="H10184" t="s">
        <v>30915</v>
      </c>
      <c r="I10184" t="s">
        <v>30919</v>
      </c>
      <c r="J10184" t="s">
        <v>31152</v>
      </c>
      <c r="K10184" t="s">
        <v>40280</v>
      </c>
      <c r="M10184" t="s">
        <v>43950</v>
      </c>
      <c r="N10184" t="s">
        <v>44759</v>
      </c>
      <c r="O10184" t="s">
        <v>44760</v>
      </c>
      <c r="P10184">
        <v>0</v>
      </c>
      <c r="Q10184">
        <v>0</v>
      </c>
      <c r="R10184" t="s">
        <v>44770</v>
      </c>
      <c r="S10184" t="s">
        <v>45105</v>
      </c>
      <c r="T10184" t="s">
        <v>46474</v>
      </c>
      <c r="U10184" t="s">
        <v>55379</v>
      </c>
      <c r="W10184" t="s">
        <v>43950</v>
      </c>
      <c r="X10184" t="s">
        <v>44772</v>
      </c>
    </row>
    <row r="10185" spans="1:24">
      <c r="A10185">
        <f>HYPERLINK("https://www.philgeps.gov.ph/GEPSNONPILOT/Tender/SplashBidNoticeAbstractUI.aspx?menuIndex=3&amp;refID=7135612&amp;Result=3","7135612")</f>
        <v>0</v>
      </c>
      <c r="B10185" t="s">
        <v>3135</v>
      </c>
      <c r="C10185" t="s">
        <v>13213</v>
      </c>
      <c r="D10185" t="s">
        <v>18014</v>
      </c>
      <c r="E10185" t="s">
        <v>21824</v>
      </c>
      <c r="F10185" t="s">
        <v>30900</v>
      </c>
      <c r="G10185" t="s">
        <v>30907</v>
      </c>
      <c r="H10185" t="s">
        <v>30915</v>
      </c>
      <c r="I10185" t="s">
        <v>30919</v>
      </c>
      <c r="J10185" t="s">
        <v>37395</v>
      </c>
      <c r="K10185" t="s">
        <v>40286</v>
      </c>
      <c r="M10185" t="s">
        <v>43953</v>
      </c>
      <c r="N10185" t="s">
        <v>44759</v>
      </c>
      <c r="O10185" t="s">
        <v>44760</v>
      </c>
      <c r="P10185">
        <v>0</v>
      </c>
      <c r="Q10185">
        <v>0</v>
      </c>
      <c r="R10185" t="s">
        <v>44770</v>
      </c>
      <c r="S10185" t="s">
        <v>45105</v>
      </c>
      <c r="T10185" t="s">
        <v>46412</v>
      </c>
      <c r="U10185" t="s">
        <v>55380</v>
      </c>
      <c r="W10185" t="s">
        <v>43953</v>
      </c>
      <c r="X10185" t="s">
        <v>44772</v>
      </c>
    </row>
    <row r="10186" spans="1:24">
      <c r="A10186">
        <f>HYPERLINK("https://www.philgeps.gov.ph/GEPSNONPILOT/Tender/SplashBidNoticeAbstractUI.aspx?menuIndex=3&amp;refID=7135655&amp;Result=3","7135655")</f>
        <v>0</v>
      </c>
      <c r="B10186" t="s">
        <v>1577</v>
      </c>
      <c r="C10186" t="s">
        <v>13426</v>
      </c>
      <c r="D10186" t="s">
        <v>18002</v>
      </c>
      <c r="E10186" t="s">
        <v>26864</v>
      </c>
      <c r="F10186" t="s">
        <v>30900</v>
      </c>
      <c r="G10186" t="s">
        <v>30907</v>
      </c>
      <c r="H10186" t="s">
        <v>30916</v>
      </c>
      <c r="I10186" t="s">
        <v>8365</v>
      </c>
      <c r="J10186" t="s">
        <v>37396</v>
      </c>
      <c r="K10186" t="s">
        <v>40283</v>
      </c>
      <c r="M10186" t="s">
        <v>42224</v>
      </c>
      <c r="N10186" t="s">
        <v>44759</v>
      </c>
      <c r="O10186" t="s">
        <v>44760</v>
      </c>
      <c r="P10186">
        <v>0</v>
      </c>
      <c r="Q10186">
        <v>3</v>
      </c>
      <c r="R10186" t="s">
        <v>44770</v>
      </c>
      <c r="S10186" t="s">
        <v>45105</v>
      </c>
      <c r="T10186" t="s">
        <v>46581</v>
      </c>
      <c r="U10186" t="s">
        <v>55381</v>
      </c>
      <c r="W10186" t="s">
        <v>42224</v>
      </c>
      <c r="X10186" t="s">
        <v>44772</v>
      </c>
    </row>
    <row r="10187" spans="1:24">
      <c r="A10187">
        <f>HYPERLINK("https://www.philgeps.gov.ph/GEPSNONPILOT/Tender/SplashBidNoticeAbstractUI.aspx?menuIndex=3&amp;refID=7135606&amp;Result=3","7135606")</f>
        <v>0</v>
      </c>
      <c r="B10187" t="s">
        <v>223</v>
      </c>
      <c r="C10187" t="s">
        <v>13427</v>
      </c>
      <c r="E10187" t="s">
        <v>26865</v>
      </c>
      <c r="F10187" t="s">
        <v>30900</v>
      </c>
      <c r="G10187" t="s">
        <v>30907</v>
      </c>
      <c r="H10187" t="s">
        <v>30915</v>
      </c>
      <c r="I10187" t="s">
        <v>30919</v>
      </c>
      <c r="J10187" t="s">
        <v>37397</v>
      </c>
      <c r="K10187" t="s">
        <v>40289</v>
      </c>
      <c r="M10187" t="s">
        <v>43946</v>
      </c>
      <c r="N10187" t="s">
        <v>44759</v>
      </c>
      <c r="O10187" t="s">
        <v>44760</v>
      </c>
      <c r="Q10187">
        <v>4</v>
      </c>
      <c r="R10187" t="s">
        <v>44770</v>
      </c>
      <c r="S10187" t="s">
        <v>45045</v>
      </c>
      <c r="T10187" t="s">
        <v>46849</v>
      </c>
      <c r="U10187" t="s">
        <v>55382</v>
      </c>
      <c r="W10187" t="s">
        <v>43946</v>
      </c>
      <c r="X10187" t="s">
        <v>44772</v>
      </c>
    </row>
    <row r="10188" spans="1:24">
      <c r="A10188">
        <f>HYPERLINK("https://www.philgeps.gov.ph/GEPSNONPILOT/Tender/SplashBidNoticeAbstractUI.aspx?menuIndex=3&amp;refID=7135640&amp;Result=3","7135640")</f>
        <v>0</v>
      </c>
      <c r="B10188" t="s">
        <v>1388</v>
      </c>
      <c r="C10188" t="s">
        <v>13428</v>
      </c>
      <c r="D10188" t="s">
        <v>18002</v>
      </c>
      <c r="E10188" t="s">
        <v>26866</v>
      </c>
      <c r="F10188" t="s">
        <v>30900</v>
      </c>
      <c r="G10188" t="s">
        <v>30907</v>
      </c>
      <c r="H10188" t="s">
        <v>30915</v>
      </c>
      <c r="I10188" t="s">
        <v>30919</v>
      </c>
      <c r="J10188" t="s">
        <v>37398</v>
      </c>
      <c r="K10188" t="s">
        <v>40286</v>
      </c>
      <c r="M10188" t="s">
        <v>42012</v>
      </c>
      <c r="N10188" t="s">
        <v>44759</v>
      </c>
      <c r="O10188" t="s">
        <v>44760</v>
      </c>
      <c r="P10188">
        <v>0</v>
      </c>
      <c r="Q10188">
        <v>0</v>
      </c>
      <c r="R10188" t="s">
        <v>44770</v>
      </c>
      <c r="S10188" t="s">
        <v>45105</v>
      </c>
      <c r="T10188" t="s">
        <v>46606</v>
      </c>
      <c r="U10188" t="s">
        <v>55353</v>
      </c>
      <c r="W10188" t="s">
        <v>42012</v>
      </c>
      <c r="X10188" t="s">
        <v>44772</v>
      </c>
    </row>
    <row r="10189" spans="1:24">
      <c r="A10189">
        <f>HYPERLINK("https://www.philgeps.gov.ph/GEPSNONPILOT/Tender/SplashBidNoticeAbstractUI.aspx?menuIndex=3&amp;refID=7135593&amp;Result=3","7135593")</f>
        <v>0</v>
      </c>
      <c r="B10189" t="s">
        <v>3102</v>
      </c>
      <c r="C10189" t="s">
        <v>13429</v>
      </c>
      <c r="D10189" t="s">
        <v>18014</v>
      </c>
      <c r="E10189" t="s">
        <v>19026</v>
      </c>
      <c r="F10189" t="s">
        <v>30899</v>
      </c>
      <c r="G10189" t="s">
        <v>30907</v>
      </c>
      <c r="H10189" t="s">
        <v>30915</v>
      </c>
      <c r="I10189" t="s">
        <v>30932</v>
      </c>
      <c r="J10189" t="s">
        <v>31135</v>
      </c>
      <c r="K10189" t="s">
        <v>40284</v>
      </c>
      <c r="M10189" t="s">
        <v>43914</v>
      </c>
      <c r="N10189" t="s">
        <v>44759</v>
      </c>
      <c r="O10189" t="s">
        <v>44760</v>
      </c>
      <c r="P10189">
        <v>0</v>
      </c>
      <c r="Q10189">
        <v>0</v>
      </c>
      <c r="R10189" t="s">
        <v>44770</v>
      </c>
      <c r="S10189" t="s">
        <v>45105</v>
      </c>
      <c r="T10189" t="s">
        <v>46412</v>
      </c>
      <c r="U10189" t="s">
        <v>55383</v>
      </c>
      <c r="W10189" t="s">
        <v>43914</v>
      </c>
      <c r="X10189" t="s">
        <v>44772</v>
      </c>
    </row>
    <row r="10190" spans="1:24">
      <c r="A10190">
        <f>HYPERLINK("https://www.philgeps.gov.ph/GEPSNONPILOT/Tender/SplashBidNoticeAbstractUI.aspx?menuIndex=3&amp;refID=7135831&amp;Result=3","7135831")</f>
        <v>0</v>
      </c>
      <c r="B10190" t="s">
        <v>3136</v>
      </c>
      <c r="C10190" t="s">
        <v>13430</v>
      </c>
      <c r="D10190" t="s">
        <v>18019</v>
      </c>
      <c r="E10190" t="s">
        <v>18435</v>
      </c>
      <c r="F10190" t="s">
        <v>30900</v>
      </c>
      <c r="G10190" t="s">
        <v>30907</v>
      </c>
      <c r="H10190" t="s">
        <v>30916</v>
      </c>
      <c r="I10190" t="s">
        <v>8123</v>
      </c>
      <c r="J10190" t="s">
        <v>37399</v>
      </c>
      <c r="K10190" t="s">
        <v>40284</v>
      </c>
      <c r="M10190" t="s">
        <v>43954</v>
      </c>
      <c r="N10190" t="s">
        <v>44759</v>
      </c>
      <c r="O10190" t="s">
        <v>44760</v>
      </c>
      <c r="P10190">
        <v>0</v>
      </c>
      <c r="Q10190">
        <v>1</v>
      </c>
      <c r="R10190" t="s">
        <v>44770</v>
      </c>
      <c r="S10190" t="s">
        <v>45105</v>
      </c>
      <c r="T10190" t="s">
        <v>46403</v>
      </c>
      <c r="U10190" t="s">
        <v>55384</v>
      </c>
      <c r="V10190" t="s">
        <v>60227</v>
      </c>
      <c r="W10190" t="s">
        <v>43954</v>
      </c>
      <c r="X10190" t="s">
        <v>44771</v>
      </c>
    </row>
    <row r="10191" spans="1:24">
      <c r="A10191">
        <f>HYPERLINK("https://www.philgeps.gov.ph/GEPSNONPILOT/Tender/SplashBidNoticeAbstractUI.aspx?menuIndex=3&amp;refID=7135827&amp;Result=3","7135827")</f>
        <v>0</v>
      </c>
      <c r="B10191" t="s">
        <v>3137</v>
      </c>
      <c r="C10191" t="s">
        <v>13431</v>
      </c>
      <c r="D10191" t="s">
        <v>17959</v>
      </c>
      <c r="E10191" t="s">
        <v>26867</v>
      </c>
      <c r="F10191" t="s">
        <v>30900</v>
      </c>
      <c r="G10191" t="s">
        <v>30907</v>
      </c>
      <c r="H10191" t="s">
        <v>30916</v>
      </c>
      <c r="I10191" t="s">
        <v>10879</v>
      </c>
      <c r="J10191" t="s">
        <v>37400</v>
      </c>
      <c r="K10191" t="s">
        <v>40287</v>
      </c>
      <c r="M10191" t="s">
        <v>43955</v>
      </c>
      <c r="N10191" t="s">
        <v>44759</v>
      </c>
      <c r="O10191" t="s">
        <v>44760</v>
      </c>
      <c r="P10191">
        <v>0</v>
      </c>
      <c r="Q10191">
        <v>1</v>
      </c>
      <c r="R10191" t="s">
        <v>44770</v>
      </c>
      <c r="S10191" t="s">
        <v>45105</v>
      </c>
      <c r="T10191" t="s">
        <v>46411</v>
      </c>
      <c r="U10191" t="s">
        <v>55385</v>
      </c>
      <c r="W10191" t="s">
        <v>43955</v>
      </c>
      <c r="X10191" t="s">
        <v>44771</v>
      </c>
    </row>
    <row r="10192" spans="1:24">
      <c r="A10192">
        <f>HYPERLINK("https://www.philgeps.gov.ph/GEPSNONPILOT/Tender/SplashBidNoticeAbstractUI.aspx?menuIndex=3&amp;refID=7135835&amp;Result=3","7135835")</f>
        <v>0</v>
      </c>
      <c r="B10192" t="s">
        <v>3138</v>
      </c>
      <c r="C10192" t="s">
        <v>13432</v>
      </c>
      <c r="D10192" t="s">
        <v>18004</v>
      </c>
      <c r="E10192" t="s">
        <v>26868</v>
      </c>
      <c r="F10192" t="s">
        <v>30900</v>
      </c>
      <c r="G10192" t="s">
        <v>30907</v>
      </c>
      <c r="H10192" t="s">
        <v>30916</v>
      </c>
      <c r="I10192" t="s">
        <v>4965</v>
      </c>
      <c r="J10192" t="s">
        <v>37401</v>
      </c>
      <c r="K10192" t="s">
        <v>40286</v>
      </c>
      <c r="M10192" t="s">
        <v>43956</v>
      </c>
      <c r="N10192" t="s">
        <v>44759</v>
      </c>
      <c r="O10192" t="s">
        <v>44760</v>
      </c>
      <c r="P10192">
        <v>0</v>
      </c>
      <c r="Q10192">
        <v>5</v>
      </c>
      <c r="R10192" t="s">
        <v>44770</v>
      </c>
      <c r="S10192" t="s">
        <v>45105</v>
      </c>
      <c r="T10192" t="s">
        <v>46411</v>
      </c>
      <c r="U10192" t="s">
        <v>55386</v>
      </c>
      <c r="V10192" t="s">
        <v>60228</v>
      </c>
      <c r="W10192" t="s">
        <v>43956</v>
      </c>
      <c r="X10192" t="s">
        <v>44771</v>
      </c>
    </row>
    <row r="10193" spans="1:24">
      <c r="A10193">
        <f>HYPERLINK("https://www.philgeps.gov.ph/GEPSNONPILOT/Tender/SplashBidNoticeAbstractUI.aspx?menuIndex=3&amp;refID=7134875&amp;Result=3","7134875")</f>
        <v>0</v>
      </c>
      <c r="B10193" t="s">
        <v>2248</v>
      </c>
      <c r="C10193" t="s">
        <v>13433</v>
      </c>
      <c r="D10193" t="s">
        <v>17987</v>
      </c>
      <c r="E10193" t="s">
        <v>26869</v>
      </c>
      <c r="F10193" t="s">
        <v>30900</v>
      </c>
      <c r="G10193" t="s">
        <v>30907</v>
      </c>
      <c r="H10193" t="s">
        <v>30915</v>
      </c>
      <c r="I10193" t="s">
        <v>30919</v>
      </c>
      <c r="J10193" t="s">
        <v>37370</v>
      </c>
      <c r="K10193" t="s">
        <v>40343</v>
      </c>
      <c r="M10193" t="s">
        <v>42959</v>
      </c>
      <c r="N10193" t="s">
        <v>44759</v>
      </c>
      <c r="O10193" t="s">
        <v>44760</v>
      </c>
      <c r="P10193">
        <v>0</v>
      </c>
      <c r="Q10193">
        <v>0</v>
      </c>
      <c r="R10193" t="s">
        <v>44770</v>
      </c>
      <c r="S10193" t="s">
        <v>45105</v>
      </c>
      <c r="T10193" t="s">
        <v>46544</v>
      </c>
      <c r="U10193" t="s">
        <v>55387</v>
      </c>
      <c r="W10193" t="s">
        <v>42959</v>
      </c>
      <c r="X10193" t="s">
        <v>44773</v>
      </c>
    </row>
    <row r="10194" spans="1:24">
      <c r="A10194">
        <f>HYPERLINK("https://www.philgeps.gov.ph/GEPSNONPILOT/Tender/SplashBidNoticeAbstractUI.aspx?menuIndex=3&amp;refID=7135810&amp;Result=3","7135810")</f>
        <v>0</v>
      </c>
      <c r="B10194" t="s">
        <v>3126</v>
      </c>
      <c r="C10194" t="s">
        <v>13434</v>
      </c>
      <c r="D10194" t="s">
        <v>17963</v>
      </c>
      <c r="E10194" t="s">
        <v>26870</v>
      </c>
      <c r="F10194" t="s">
        <v>30899</v>
      </c>
      <c r="G10194" t="s">
        <v>30907</v>
      </c>
      <c r="H10194" t="s">
        <v>30916</v>
      </c>
      <c r="I10194" t="s">
        <v>30928</v>
      </c>
      <c r="J10194" t="s">
        <v>31049</v>
      </c>
      <c r="K10194" t="s">
        <v>40283</v>
      </c>
      <c r="M10194" t="s">
        <v>43942</v>
      </c>
      <c r="N10194" t="s">
        <v>44759</v>
      </c>
      <c r="O10194" t="s">
        <v>44760</v>
      </c>
      <c r="P10194">
        <v>0</v>
      </c>
      <c r="Q10194">
        <v>2</v>
      </c>
      <c r="R10194" t="s">
        <v>44770</v>
      </c>
      <c r="S10194" t="s">
        <v>45105</v>
      </c>
      <c r="T10194" t="s">
        <v>46390</v>
      </c>
      <c r="U10194" t="s">
        <v>55388</v>
      </c>
      <c r="W10194" t="s">
        <v>43942</v>
      </c>
      <c r="X10194" t="s">
        <v>44771</v>
      </c>
    </row>
    <row r="10195" spans="1:24">
      <c r="A10195">
        <f>HYPERLINK("https://www.philgeps.gov.ph/GEPSNONPILOT/Tender/SplashBidNoticeAbstractUI.aspx?menuIndex=3&amp;refID=7135826&amp;Result=3","7135826")</f>
        <v>0</v>
      </c>
      <c r="B10195" t="s">
        <v>2537</v>
      </c>
      <c r="C10195" t="s">
        <v>13435</v>
      </c>
      <c r="D10195" t="s">
        <v>17971</v>
      </c>
      <c r="E10195" t="s">
        <v>26871</v>
      </c>
      <c r="F10195" t="s">
        <v>30900</v>
      </c>
      <c r="G10195" t="s">
        <v>30907</v>
      </c>
      <c r="H10195" t="s">
        <v>30915</v>
      </c>
      <c r="I10195" t="s">
        <v>30919</v>
      </c>
      <c r="J10195" t="s">
        <v>32967</v>
      </c>
      <c r="K10195" t="s">
        <v>40280</v>
      </c>
      <c r="M10195" t="s">
        <v>43293</v>
      </c>
      <c r="N10195" t="s">
        <v>44759</v>
      </c>
      <c r="O10195" t="s">
        <v>44760</v>
      </c>
      <c r="P10195">
        <v>0</v>
      </c>
      <c r="Q10195">
        <v>25</v>
      </c>
      <c r="R10195" t="s">
        <v>44770</v>
      </c>
      <c r="S10195" t="s">
        <v>45105</v>
      </c>
      <c r="T10195" t="s">
        <v>46420</v>
      </c>
      <c r="U10195" t="s">
        <v>55389</v>
      </c>
      <c r="V10195" t="s">
        <v>59226</v>
      </c>
      <c r="W10195" t="s">
        <v>43293</v>
      </c>
      <c r="X10195" t="s">
        <v>44771</v>
      </c>
    </row>
    <row r="10196" spans="1:24">
      <c r="A10196">
        <f>HYPERLINK("https://www.philgeps.gov.ph/GEPSNONPILOT/Tender/SplashBidNoticeAbstractUI.aspx?menuIndex=3&amp;refID=7135839&amp;Result=3","7135839")</f>
        <v>0</v>
      </c>
      <c r="B10196" t="s">
        <v>3137</v>
      </c>
      <c r="C10196" t="s">
        <v>13436</v>
      </c>
      <c r="D10196" t="s">
        <v>17959</v>
      </c>
      <c r="E10196" t="s">
        <v>26872</v>
      </c>
      <c r="F10196" t="s">
        <v>30900</v>
      </c>
      <c r="G10196" t="s">
        <v>30907</v>
      </c>
      <c r="H10196" t="s">
        <v>30916</v>
      </c>
      <c r="I10196" t="s">
        <v>4545</v>
      </c>
      <c r="J10196" t="s">
        <v>37402</v>
      </c>
      <c r="K10196" t="s">
        <v>40287</v>
      </c>
      <c r="M10196" t="s">
        <v>43955</v>
      </c>
      <c r="N10196" t="s">
        <v>44759</v>
      </c>
      <c r="O10196" t="s">
        <v>44760</v>
      </c>
      <c r="P10196">
        <v>0</v>
      </c>
      <c r="Q10196">
        <v>1</v>
      </c>
      <c r="R10196" t="s">
        <v>44770</v>
      </c>
      <c r="S10196" t="s">
        <v>45105</v>
      </c>
      <c r="T10196" t="s">
        <v>46411</v>
      </c>
      <c r="U10196" t="s">
        <v>55390</v>
      </c>
      <c r="W10196" t="s">
        <v>43955</v>
      </c>
      <c r="X10196" t="s">
        <v>44771</v>
      </c>
    </row>
    <row r="10197" spans="1:24">
      <c r="A10197">
        <f>HYPERLINK("https://www.philgeps.gov.ph/GEPSNONPILOT/Tender/SplashBidNoticeAbstractUI.aspx?menuIndex=3&amp;refID=7135819&amp;Result=3","7135819")</f>
        <v>0</v>
      </c>
      <c r="B10197" t="s">
        <v>3138</v>
      </c>
      <c r="C10197" t="s">
        <v>13437</v>
      </c>
      <c r="D10197" t="s">
        <v>18004</v>
      </c>
      <c r="E10197" t="s">
        <v>26873</v>
      </c>
      <c r="F10197" t="s">
        <v>30900</v>
      </c>
      <c r="G10197" t="s">
        <v>30907</v>
      </c>
      <c r="H10197" t="s">
        <v>30916</v>
      </c>
      <c r="I10197" t="s">
        <v>4965</v>
      </c>
      <c r="J10197" t="s">
        <v>37403</v>
      </c>
      <c r="K10197" t="s">
        <v>40286</v>
      </c>
      <c r="M10197" t="s">
        <v>43956</v>
      </c>
      <c r="N10197" t="s">
        <v>44759</v>
      </c>
      <c r="O10197" t="s">
        <v>44760</v>
      </c>
      <c r="P10197">
        <v>0</v>
      </c>
      <c r="Q10197">
        <v>4</v>
      </c>
      <c r="R10197" t="s">
        <v>44770</v>
      </c>
      <c r="S10197" t="s">
        <v>45105</v>
      </c>
      <c r="T10197" t="s">
        <v>46411</v>
      </c>
      <c r="U10197" t="s">
        <v>55391</v>
      </c>
      <c r="V10197" t="s">
        <v>60228</v>
      </c>
      <c r="W10197" t="s">
        <v>43956</v>
      </c>
      <c r="X10197" t="s">
        <v>44771</v>
      </c>
    </row>
    <row r="10198" spans="1:24">
      <c r="A10198">
        <f>HYPERLINK("https://www.philgeps.gov.ph/GEPSNONPILOT/Tender/SplashBidNoticeAbstractUI.aspx?menuIndex=3&amp;refID=7135881&amp;Result=3","7135881")</f>
        <v>0</v>
      </c>
      <c r="B10198" t="s">
        <v>2537</v>
      </c>
      <c r="C10198" t="s">
        <v>13438</v>
      </c>
      <c r="D10198" t="s">
        <v>17971</v>
      </c>
      <c r="E10198" t="s">
        <v>26874</v>
      </c>
      <c r="F10198" t="s">
        <v>30900</v>
      </c>
      <c r="G10198" t="s">
        <v>30907</v>
      </c>
      <c r="H10198" t="s">
        <v>30916</v>
      </c>
      <c r="I10198" t="s">
        <v>30919</v>
      </c>
      <c r="J10198" t="s">
        <v>32967</v>
      </c>
      <c r="K10198" t="s">
        <v>40280</v>
      </c>
      <c r="M10198" t="s">
        <v>43293</v>
      </c>
      <c r="N10198" t="s">
        <v>44759</v>
      </c>
      <c r="O10198" t="s">
        <v>44760</v>
      </c>
      <c r="P10198">
        <v>0</v>
      </c>
      <c r="Q10198">
        <v>26</v>
      </c>
      <c r="R10198" t="s">
        <v>44770</v>
      </c>
      <c r="S10198" t="s">
        <v>45105</v>
      </c>
      <c r="T10198" t="s">
        <v>46420</v>
      </c>
      <c r="U10198" t="s">
        <v>55392</v>
      </c>
      <c r="V10198" t="s">
        <v>59226</v>
      </c>
      <c r="W10198" t="s">
        <v>43293</v>
      </c>
      <c r="X10198" t="s">
        <v>44771</v>
      </c>
    </row>
    <row r="10199" spans="1:24">
      <c r="A10199">
        <f>HYPERLINK("https://www.philgeps.gov.ph/GEPSNONPILOT/Tender/SplashBidNoticeAbstractUI.aspx?menuIndex=3&amp;refID=7134768&amp;Result=3","7134768")</f>
        <v>0</v>
      </c>
      <c r="B10199" t="s">
        <v>2248</v>
      </c>
      <c r="C10199" t="s">
        <v>13439</v>
      </c>
      <c r="D10199" t="s">
        <v>17987</v>
      </c>
      <c r="E10199" t="s">
        <v>26875</v>
      </c>
      <c r="F10199" t="s">
        <v>30900</v>
      </c>
      <c r="G10199" t="s">
        <v>30907</v>
      </c>
      <c r="H10199" t="s">
        <v>30915</v>
      </c>
      <c r="I10199" t="s">
        <v>30919</v>
      </c>
      <c r="J10199" t="s">
        <v>37370</v>
      </c>
      <c r="K10199" t="s">
        <v>40343</v>
      </c>
      <c r="M10199" t="s">
        <v>42959</v>
      </c>
      <c r="N10199" t="s">
        <v>44759</v>
      </c>
      <c r="O10199" t="s">
        <v>44760</v>
      </c>
      <c r="P10199">
        <v>0</v>
      </c>
      <c r="Q10199">
        <v>0</v>
      </c>
      <c r="R10199" t="s">
        <v>44770</v>
      </c>
      <c r="S10199" t="s">
        <v>45105</v>
      </c>
      <c r="T10199" t="s">
        <v>46544</v>
      </c>
      <c r="U10199" t="s">
        <v>55393</v>
      </c>
      <c r="W10199" t="s">
        <v>42959</v>
      </c>
      <c r="X10199" t="s">
        <v>44773</v>
      </c>
    </row>
    <row r="10200" spans="1:24">
      <c r="A10200">
        <f>HYPERLINK("https://www.philgeps.gov.ph/GEPSNONPILOT/Tender/SplashBidNoticeAbstractUI.aspx?menuIndex=3&amp;refID=7135800&amp;Result=3","7135800")</f>
        <v>0</v>
      </c>
      <c r="B10200" t="s">
        <v>3134</v>
      </c>
      <c r="C10200" t="s">
        <v>13440</v>
      </c>
      <c r="D10200" t="s">
        <v>18039</v>
      </c>
      <c r="E10200" t="s">
        <v>26876</v>
      </c>
      <c r="F10200" t="s">
        <v>30899</v>
      </c>
      <c r="G10200" t="s">
        <v>30907</v>
      </c>
      <c r="H10200" t="s">
        <v>30916</v>
      </c>
      <c r="I10200" t="s">
        <v>30919</v>
      </c>
      <c r="J10200" t="s">
        <v>32324</v>
      </c>
      <c r="K10200" t="s">
        <v>40289</v>
      </c>
      <c r="M10200" t="s">
        <v>43952</v>
      </c>
      <c r="N10200" t="s">
        <v>44759</v>
      </c>
      <c r="O10200" t="s">
        <v>44760</v>
      </c>
      <c r="P10200">
        <v>0</v>
      </c>
      <c r="Q10200">
        <v>2</v>
      </c>
      <c r="R10200" t="s">
        <v>44770</v>
      </c>
      <c r="S10200" t="s">
        <v>45105</v>
      </c>
      <c r="T10200" t="s">
        <v>46393</v>
      </c>
      <c r="U10200" t="s">
        <v>55394</v>
      </c>
      <c r="W10200" t="s">
        <v>43952</v>
      </c>
      <c r="X10200" t="s">
        <v>44771</v>
      </c>
    </row>
    <row r="10201" spans="1:24">
      <c r="A10201">
        <f>HYPERLINK("https://www.philgeps.gov.ph/GEPSNONPILOT/Tender/SplashBidNoticeAbstractUI.aspx?menuIndex=3&amp;refID=7135797&amp;Result=3","7135797")</f>
        <v>0</v>
      </c>
      <c r="B10201" t="s">
        <v>3134</v>
      </c>
      <c r="C10201" t="s">
        <v>13441</v>
      </c>
      <c r="D10201" t="s">
        <v>18039</v>
      </c>
      <c r="E10201" t="s">
        <v>26877</v>
      </c>
      <c r="F10201" t="s">
        <v>30899</v>
      </c>
      <c r="G10201" t="s">
        <v>30907</v>
      </c>
      <c r="H10201" t="s">
        <v>30916</v>
      </c>
      <c r="I10201" t="s">
        <v>30919</v>
      </c>
      <c r="J10201" t="s">
        <v>37404</v>
      </c>
      <c r="K10201" t="s">
        <v>40289</v>
      </c>
      <c r="M10201" t="s">
        <v>43952</v>
      </c>
      <c r="N10201" t="s">
        <v>44759</v>
      </c>
      <c r="O10201" t="s">
        <v>44760</v>
      </c>
      <c r="P10201">
        <v>0</v>
      </c>
      <c r="Q10201">
        <v>2</v>
      </c>
      <c r="R10201" t="s">
        <v>44770</v>
      </c>
      <c r="S10201" t="s">
        <v>45105</v>
      </c>
      <c r="T10201" t="s">
        <v>46393</v>
      </c>
      <c r="U10201" t="s">
        <v>55395</v>
      </c>
      <c r="W10201" t="s">
        <v>43952</v>
      </c>
      <c r="X10201" t="s">
        <v>44771</v>
      </c>
    </row>
    <row r="10202" spans="1:24">
      <c r="A10202">
        <f>HYPERLINK("https://www.philgeps.gov.ph/GEPSNONPILOT/Tender/SplashBidNoticeAbstractUI.aspx?menuIndex=3&amp;refID=7135896&amp;Result=3","7135896")</f>
        <v>0</v>
      </c>
      <c r="B10202" t="s">
        <v>3131</v>
      </c>
      <c r="C10202" t="s">
        <v>13442</v>
      </c>
      <c r="D10202" t="s">
        <v>18000</v>
      </c>
      <c r="E10202" t="s">
        <v>26878</v>
      </c>
      <c r="F10202" t="s">
        <v>30900</v>
      </c>
      <c r="G10202" t="s">
        <v>30907</v>
      </c>
      <c r="H10202" t="s">
        <v>30916</v>
      </c>
      <c r="I10202" t="s">
        <v>30933</v>
      </c>
      <c r="J10202" t="s">
        <v>31577</v>
      </c>
      <c r="K10202" t="s">
        <v>40280</v>
      </c>
      <c r="M10202" t="s">
        <v>43949</v>
      </c>
      <c r="N10202" t="s">
        <v>44759</v>
      </c>
      <c r="O10202" t="s">
        <v>44760</v>
      </c>
      <c r="P10202">
        <v>0</v>
      </c>
      <c r="Q10202">
        <v>2</v>
      </c>
      <c r="R10202" t="s">
        <v>44770</v>
      </c>
      <c r="S10202" t="s">
        <v>45105</v>
      </c>
      <c r="T10202" t="s">
        <v>46352</v>
      </c>
      <c r="U10202" t="s">
        <v>55396</v>
      </c>
      <c r="W10202" t="s">
        <v>43949</v>
      </c>
      <c r="X10202" t="s">
        <v>44771</v>
      </c>
    </row>
    <row r="10203" spans="1:24">
      <c r="A10203">
        <f>HYPERLINK("https://www.philgeps.gov.ph/GEPSNONPILOT/Tender/SplashBidNoticeAbstractUI.aspx?menuIndex=3&amp;refID=7135893&amp;Result=3","7135893")</f>
        <v>0</v>
      </c>
      <c r="B10203" t="s">
        <v>721</v>
      </c>
      <c r="C10203" t="s">
        <v>13443</v>
      </c>
      <c r="D10203" t="s">
        <v>17973</v>
      </c>
      <c r="E10203" t="s">
        <v>26879</v>
      </c>
      <c r="F10203" t="s">
        <v>30900</v>
      </c>
      <c r="G10203" t="s">
        <v>30907</v>
      </c>
      <c r="H10203" t="s">
        <v>30916</v>
      </c>
      <c r="I10203" t="s">
        <v>4108</v>
      </c>
      <c r="J10203" t="s">
        <v>37405</v>
      </c>
      <c r="K10203" t="s">
        <v>40287</v>
      </c>
      <c r="M10203" t="s">
        <v>41285</v>
      </c>
      <c r="N10203" t="s">
        <v>44759</v>
      </c>
      <c r="O10203" t="s">
        <v>44760</v>
      </c>
      <c r="P10203">
        <v>0</v>
      </c>
      <c r="Q10203">
        <v>5</v>
      </c>
      <c r="R10203" t="s">
        <v>44770</v>
      </c>
      <c r="S10203" t="s">
        <v>45105</v>
      </c>
      <c r="T10203" t="s">
        <v>46606</v>
      </c>
      <c r="U10203" t="s">
        <v>55397</v>
      </c>
      <c r="W10203" t="s">
        <v>41285</v>
      </c>
      <c r="X10203" t="s">
        <v>44771</v>
      </c>
    </row>
    <row r="10204" spans="1:24">
      <c r="A10204">
        <f>HYPERLINK("https://www.philgeps.gov.ph/GEPSNONPILOT/Tender/SplashBidNoticeAbstractUI.aspx?menuIndex=3&amp;refID=7135898&amp;Result=3","7135898")</f>
        <v>0</v>
      </c>
      <c r="B10204" t="s">
        <v>3131</v>
      </c>
      <c r="C10204" t="s">
        <v>13444</v>
      </c>
      <c r="D10204" t="s">
        <v>18000</v>
      </c>
      <c r="E10204" t="s">
        <v>26880</v>
      </c>
      <c r="F10204" t="s">
        <v>30900</v>
      </c>
      <c r="G10204" t="s">
        <v>30907</v>
      </c>
      <c r="H10204" t="s">
        <v>30916</v>
      </c>
      <c r="I10204" t="s">
        <v>31032</v>
      </c>
      <c r="J10204" t="s">
        <v>31270</v>
      </c>
      <c r="K10204" t="s">
        <v>40283</v>
      </c>
      <c r="M10204" t="s">
        <v>43949</v>
      </c>
      <c r="N10204" t="s">
        <v>44759</v>
      </c>
      <c r="O10204" t="s">
        <v>44760</v>
      </c>
      <c r="P10204">
        <v>0</v>
      </c>
      <c r="Q10204">
        <v>2</v>
      </c>
      <c r="R10204" t="s">
        <v>44770</v>
      </c>
      <c r="S10204" t="s">
        <v>45105</v>
      </c>
      <c r="T10204" t="s">
        <v>46442</v>
      </c>
      <c r="U10204" t="s">
        <v>55398</v>
      </c>
      <c r="W10204" t="s">
        <v>43949</v>
      </c>
      <c r="X10204" t="s">
        <v>44771</v>
      </c>
    </row>
    <row r="10205" spans="1:24">
      <c r="A10205">
        <f>HYPERLINK("https://www.philgeps.gov.ph/GEPSNONPILOT/Tender/SplashBidNoticeAbstractUI.aspx?menuIndex=3&amp;refID=7135868&amp;Result=3","7135868")</f>
        <v>0</v>
      </c>
      <c r="B10205" t="s">
        <v>2537</v>
      </c>
      <c r="C10205" t="s">
        <v>13445</v>
      </c>
      <c r="D10205" t="s">
        <v>17971</v>
      </c>
      <c r="E10205" t="s">
        <v>26881</v>
      </c>
      <c r="F10205" t="s">
        <v>30900</v>
      </c>
      <c r="G10205" t="s">
        <v>30907</v>
      </c>
      <c r="H10205" t="s">
        <v>30916</v>
      </c>
      <c r="I10205" t="s">
        <v>30919</v>
      </c>
      <c r="J10205" t="s">
        <v>32967</v>
      </c>
      <c r="K10205" t="s">
        <v>40280</v>
      </c>
      <c r="M10205" t="s">
        <v>43293</v>
      </c>
      <c r="N10205" t="s">
        <v>44759</v>
      </c>
      <c r="O10205" t="s">
        <v>44760</v>
      </c>
      <c r="P10205">
        <v>0</v>
      </c>
      <c r="Q10205">
        <v>25</v>
      </c>
      <c r="R10205" t="s">
        <v>44770</v>
      </c>
      <c r="S10205" t="s">
        <v>45105</v>
      </c>
      <c r="T10205" t="s">
        <v>46420</v>
      </c>
      <c r="U10205" t="s">
        <v>55399</v>
      </c>
      <c r="V10205" t="s">
        <v>59226</v>
      </c>
      <c r="W10205" t="s">
        <v>43293</v>
      </c>
      <c r="X10205" t="s">
        <v>44771</v>
      </c>
    </row>
    <row r="10206" spans="1:24">
      <c r="A10206">
        <f>HYPERLINK("https://www.philgeps.gov.ph/GEPSNONPILOT/Tender/SplashBidNoticeAbstractUI.aspx?menuIndex=3&amp;refID=7135820&amp;Result=3","7135820")</f>
        <v>0</v>
      </c>
      <c r="B10206" t="s">
        <v>3137</v>
      </c>
      <c r="C10206" t="s">
        <v>13446</v>
      </c>
      <c r="D10206" t="s">
        <v>17959</v>
      </c>
      <c r="E10206" t="s">
        <v>26882</v>
      </c>
      <c r="F10206" t="s">
        <v>30900</v>
      </c>
      <c r="G10206" t="s">
        <v>30907</v>
      </c>
      <c r="H10206" t="s">
        <v>30916</v>
      </c>
      <c r="I10206" t="s">
        <v>8123</v>
      </c>
      <c r="J10206" t="s">
        <v>37406</v>
      </c>
      <c r="K10206" t="s">
        <v>40287</v>
      </c>
      <c r="M10206" t="s">
        <v>43955</v>
      </c>
      <c r="N10206" t="s">
        <v>44759</v>
      </c>
      <c r="O10206" t="s">
        <v>44760</v>
      </c>
      <c r="P10206">
        <v>0</v>
      </c>
      <c r="Q10206">
        <v>0</v>
      </c>
      <c r="R10206" t="s">
        <v>44770</v>
      </c>
      <c r="S10206" t="s">
        <v>45105</v>
      </c>
      <c r="T10206" t="s">
        <v>46411</v>
      </c>
      <c r="U10206" t="s">
        <v>55400</v>
      </c>
      <c r="W10206" t="s">
        <v>43955</v>
      </c>
      <c r="X10206" t="s">
        <v>44771</v>
      </c>
    </row>
    <row r="10207" spans="1:24">
      <c r="A10207">
        <f>HYPERLINK("https://www.philgeps.gov.ph/GEPSNONPILOT/Tender/SplashBidNoticeAbstractUI.aspx?menuIndex=3&amp;refID=7135894&amp;Result=3","7135894")</f>
        <v>0</v>
      </c>
      <c r="B10207" t="s">
        <v>721</v>
      </c>
      <c r="C10207" t="s">
        <v>13447</v>
      </c>
      <c r="D10207" t="s">
        <v>17973</v>
      </c>
      <c r="E10207" t="s">
        <v>26883</v>
      </c>
      <c r="F10207" t="s">
        <v>30900</v>
      </c>
      <c r="G10207" t="s">
        <v>30907</v>
      </c>
      <c r="H10207" t="s">
        <v>30916</v>
      </c>
      <c r="I10207" t="s">
        <v>4108</v>
      </c>
      <c r="J10207" t="s">
        <v>37407</v>
      </c>
      <c r="K10207" t="s">
        <v>40286</v>
      </c>
      <c r="M10207" t="s">
        <v>41285</v>
      </c>
      <c r="N10207" t="s">
        <v>44759</v>
      </c>
      <c r="O10207" t="s">
        <v>44760</v>
      </c>
      <c r="P10207">
        <v>0</v>
      </c>
      <c r="Q10207">
        <v>5</v>
      </c>
      <c r="R10207" t="s">
        <v>44770</v>
      </c>
      <c r="S10207" t="s">
        <v>45105</v>
      </c>
      <c r="T10207" t="s">
        <v>46850</v>
      </c>
      <c r="U10207" t="s">
        <v>55401</v>
      </c>
      <c r="W10207" t="s">
        <v>41285</v>
      </c>
      <c r="X10207" t="s">
        <v>44771</v>
      </c>
    </row>
    <row r="10208" spans="1:24">
      <c r="A10208">
        <f>HYPERLINK("https://www.philgeps.gov.ph/GEPSNONPILOT/Tender/SplashBidNoticeAbstractUI.aspx?menuIndex=3&amp;refID=7135908&amp;Result=3","7135908")</f>
        <v>0</v>
      </c>
      <c r="B10208" t="s">
        <v>3139</v>
      </c>
      <c r="C10208" t="s">
        <v>13448</v>
      </c>
      <c r="D10208" t="s">
        <v>17974</v>
      </c>
      <c r="E10208" t="s">
        <v>19562</v>
      </c>
      <c r="F10208" t="s">
        <v>30900</v>
      </c>
      <c r="G10208" t="s">
        <v>30907</v>
      </c>
      <c r="H10208" t="s">
        <v>30916</v>
      </c>
      <c r="I10208" t="s">
        <v>30933</v>
      </c>
      <c r="J10208" t="s">
        <v>31183</v>
      </c>
      <c r="K10208" t="s">
        <v>40289</v>
      </c>
      <c r="M10208" t="s">
        <v>43957</v>
      </c>
      <c r="N10208" t="s">
        <v>44759</v>
      </c>
      <c r="O10208" t="s">
        <v>44760</v>
      </c>
      <c r="P10208">
        <v>0</v>
      </c>
      <c r="Q10208">
        <v>0</v>
      </c>
      <c r="R10208" t="s">
        <v>44770</v>
      </c>
      <c r="S10208" t="s">
        <v>45105</v>
      </c>
      <c r="T10208" t="s">
        <v>46503</v>
      </c>
      <c r="U10208" t="s">
        <v>55402</v>
      </c>
      <c r="W10208" t="s">
        <v>43957</v>
      </c>
      <c r="X10208" t="s">
        <v>44771</v>
      </c>
    </row>
    <row r="10209" spans="1:24">
      <c r="A10209">
        <f>HYPERLINK("https://www.philgeps.gov.ph/GEPSNONPILOT/Tender/SplashBidNoticeAbstractUI.aspx?menuIndex=3&amp;refID=7135914&amp;Result=3","7135914")</f>
        <v>0</v>
      </c>
      <c r="B10209" t="s">
        <v>1782</v>
      </c>
      <c r="C10209" t="s">
        <v>13449</v>
      </c>
      <c r="D10209" t="s">
        <v>17971</v>
      </c>
      <c r="E10209" t="s">
        <v>26884</v>
      </c>
      <c r="F10209" t="s">
        <v>30900</v>
      </c>
      <c r="G10209" t="s">
        <v>30907</v>
      </c>
      <c r="H10209" t="s">
        <v>30916</v>
      </c>
      <c r="I10209" t="s">
        <v>30960</v>
      </c>
      <c r="J10209" t="s">
        <v>37408</v>
      </c>
      <c r="K10209" t="s">
        <v>40286</v>
      </c>
      <c r="M10209" t="s">
        <v>42456</v>
      </c>
      <c r="N10209" t="s">
        <v>44759</v>
      </c>
      <c r="O10209" t="s">
        <v>44760</v>
      </c>
      <c r="P10209">
        <v>0</v>
      </c>
      <c r="Q10209">
        <v>2</v>
      </c>
      <c r="R10209" t="s">
        <v>44770</v>
      </c>
      <c r="S10209" t="s">
        <v>45105</v>
      </c>
      <c r="T10209" t="s">
        <v>46808</v>
      </c>
      <c r="U10209" t="s">
        <v>50989</v>
      </c>
      <c r="W10209" t="s">
        <v>42456</v>
      </c>
      <c r="X10209" t="s">
        <v>44771</v>
      </c>
    </row>
    <row r="10210" spans="1:24">
      <c r="A10210">
        <f>HYPERLINK("https://www.philgeps.gov.ph/GEPSNONPILOT/Tender/SplashBidNoticeAbstractUI.aspx?menuIndex=3&amp;refID=7135904&amp;Result=3","7135904")</f>
        <v>0</v>
      </c>
      <c r="B10210" t="s">
        <v>3138</v>
      </c>
      <c r="C10210" t="s">
        <v>13450</v>
      </c>
      <c r="D10210" t="s">
        <v>18004</v>
      </c>
      <c r="E10210" t="s">
        <v>26885</v>
      </c>
      <c r="F10210" t="s">
        <v>30900</v>
      </c>
      <c r="G10210" t="s">
        <v>30907</v>
      </c>
      <c r="H10210" t="s">
        <v>30916</v>
      </c>
      <c r="I10210" t="s">
        <v>4965</v>
      </c>
      <c r="J10210" t="s">
        <v>37407</v>
      </c>
      <c r="K10210" t="s">
        <v>40286</v>
      </c>
      <c r="M10210" t="s">
        <v>43956</v>
      </c>
      <c r="N10210" t="s">
        <v>44759</v>
      </c>
      <c r="O10210" t="s">
        <v>44760</v>
      </c>
      <c r="P10210">
        <v>0</v>
      </c>
      <c r="Q10210">
        <v>3</v>
      </c>
      <c r="R10210" t="s">
        <v>44770</v>
      </c>
      <c r="S10210" t="s">
        <v>45105</v>
      </c>
      <c r="T10210" t="s">
        <v>46411</v>
      </c>
      <c r="U10210" t="s">
        <v>55403</v>
      </c>
      <c r="V10210" t="s">
        <v>60228</v>
      </c>
      <c r="W10210" t="s">
        <v>43956</v>
      </c>
      <c r="X10210" t="s">
        <v>44771</v>
      </c>
    </row>
    <row r="10211" spans="1:24">
      <c r="A10211">
        <f>HYPERLINK("https://www.philgeps.gov.ph/GEPSNONPILOT/Tender/SplashBidNoticeAbstractUI.aspx?menuIndex=3&amp;refID=7135899&amp;Result=3","7135899")</f>
        <v>0</v>
      </c>
      <c r="B10211" t="s">
        <v>3138</v>
      </c>
      <c r="C10211" t="s">
        <v>13451</v>
      </c>
      <c r="D10211" t="s">
        <v>18004</v>
      </c>
      <c r="E10211" t="s">
        <v>26886</v>
      </c>
      <c r="F10211" t="s">
        <v>30900</v>
      </c>
      <c r="G10211" t="s">
        <v>30907</v>
      </c>
      <c r="H10211" t="s">
        <v>30916</v>
      </c>
      <c r="I10211" t="s">
        <v>4965</v>
      </c>
      <c r="J10211" t="s">
        <v>33379</v>
      </c>
      <c r="K10211" t="s">
        <v>40286</v>
      </c>
      <c r="M10211" t="s">
        <v>43956</v>
      </c>
      <c r="N10211" t="s">
        <v>44759</v>
      </c>
      <c r="O10211" t="s">
        <v>44760</v>
      </c>
      <c r="P10211">
        <v>0</v>
      </c>
      <c r="Q10211">
        <v>3</v>
      </c>
      <c r="R10211" t="s">
        <v>44770</v>
      </c>
      <c r="S10211" t="s">
        <v>45105</v>
      </c>
      <c r="T10211" t="s">
        <v>46411</v>
      </c>
      <c r="U10211" t="s">
        <v>55404</v>
      </c>
      <c r="V10211" t="s">
        <v>60228</v>
      </c>
      <c r="W10211" t="s">
        <v>43956</v>
      </c>
      <c r="X10211" t="s">
        <v>44771</v>
      </c>
    </row>
    <row r="10212" spans="1:24">
      <c r="A10212">
        <f>HYPERLINK("https://www.philgeps.gov.ph/GEPSNONPILOT/Tender/SplashBidNoticeAbstractUI.aspx?menuIndex=3&amp;refID=7135932&amp;Result=3","7135932")</f>
        <v>0</v>
      </c>
      <c r="B10212" t="s">
        <v>3140</v>
      </c>
      <c r="C10212" t="s">
        <v>13452</v>
      </c>
      <c r="E10212" t="s">
        <v>26887</v>
      </c>
      <c r="F10212" t="s">
        <v>30900</v>
      </c>
      <c r="G10212" t="s">
        <v>30907</v>
      </c>
      <c r="H10212" t="s">
        <v>30915</v>
      </c>
      <c r="I10212" t="s">
        <v>30919</v>
      </c>
      <c r="J10212" t="s">
        <v>37409</v>
      </c>
      <c r="K10212" t="s">
        <v>40289</v>
      </c>
      <c r="M10212" t="s">
        <v>43958</v>
      </c>
      <c r="N10212" t="s">
        <v>44759</v>
      </c>
      <c r="O10212" t="s">
        <v>44760</v>
      </c>
      <c r="P10212">
        <v>0</v>
      </c>
      <c r="Q10212">
        <v>0</v>
      </c>
      <c r="R10212" t="s">
        <v>44770</v>
      </c>
      <c r="S10212" t="s">
        <v>45105</v>
      </c>
      <c r="T10212" t="s">
        <v>46439</v>
      </c>
      <c r="U10212" t="s">
        <v>55405</v>
      </c>
      <c r="W10212" t="s">
        <v>43958</v>
      </c>
      <c r="X10212" t="s">
        <v>44771</v>
      </c>
    </row>
    <row r="10213" spans="1:24">
      <c r="A10213">
        <f>HYPERLINK("https://www.philgeps.gov.ph/GEPSNONPILOT/Tender/SplashBidNoticeAbstractUI.aspx?menuIndex=3&amp;refID=7135892&amp;Result=3","7135892")</f>
        <v>0</v>
      </c>
      <c r="B10213" t="s">
        <v>721</v>
      </c>
      <c r="C10213" t="s">
        <v>13453</v>
      </c>
      <c r="D10213" t="s">
        <v>17973</v>
      </c>
      <c r="E10213" t="s">
        <v>26888</v>
      </c>
      <c r="F10213" t="s">
        <v>30900</v>
      </c>
      <c r="G10213" t="s">
        <v>30907</v>
      </c>
      <c r="H10213" t="s">
        <v>30916</v>
      </c>
      <c r="I10213" t="s">
        <v>30933</v>
      </c>
      <c r="J10213" t="s">
        <v>37410</v>
      </c>
      <c r="K10213" t="s">
        <v>40293</v>
      </c>
      <c r="M10213" t="s">
        <v>41285</v>
      </c>
      <c r="N10213" t="s">
        <v>44759</v>
      </c>
      <c r="O10213" t="s">
        <v>44760</v>
      </c>
      <c r="P10213">
        <v>0</v>
      </c>
      <c r="Q10213">
        <v>7</v>
      </c>
      <c r="R10213" t="s">
        <v>44770</v>
      </c>
      <c r="S10213" t="s">
        <v>45105</v>
      </c>
      <c r="T10213" t="s">
        <v>46606</v>
      </c>
      <c r="U10213" t="s">
        <v>55406</v>
      </c>
      <c r="W10213" t="s">
        <v>41285</v>
      </c>
      <c r="X10213" t="s">
        <v>44771</v>
      </c>
    </row>
    <row r="10214" spans="1:24">
      <c r="A10214">
        <f>HYPERLINK("https://www.philgeps.gov.ph/GEPSNONPILOT/Tender/SplashBidNoticeAbstractUI.aspx?menuIndex=3&amp;refID=7135890&amp;Result=3","7135890")</f>
        <v>0</v>
      </c>
      <c r="B10214" t="s">
        <v>721</v>
      </c>
      <c r="C10214" t="s">
        <v>13454</v>
      </c>
      <c r="D10214" t="s">
        <v>17973</v>
      </c>
      <c r="E10214" t="s">
        <v>26889</v>
      </c>
      <c r="F10214" t="s">
        <v>30900</v>
      </c>
      <c r="G10214" t="s">
        <v>30907</v>
      </c>
      <c r="H10214" t="s">
        <v>30916</v>
      </c>
      <c r="I10214" t="s">
        <v>4108</v>
      </c>
      <c r="J10214" t="s">
        <v>37411</v>
      </c>
      <c r="K10214" t="s">
        <v>40286</v>
      </c>
      <c r="M10214" t="s">
        <v>41285</v>
      </c>
      <c r="N10214" t="s">
        <v>44759</v>
      </c>
      <c r="O10214" t="s">
        <v>44760</v>
      </c>
      <c r="P10214">
        <v>0</v>
      </c>
      <c r="Q10214">
        <v>10</v>
      </c>
      <c r="R10214" t="s">
        <v>44770</v>
      </c>
      <c r="S10214" t="s">
        <v>45105</v>
      </c>
      <c r="T10214" t="s">
        <v>46405</v>
      </c>
      <c r="U10214" t="s">
        <v>55407</v>
      </c>
      <c r="W10214" t="s">
        <v>41285</v>
      </c>
      <c r="X10214" t="s">
        <v>44771</v>
      </c>
    </row>
    <row r="10215" spans="1:24">
      <c r="A10215">
        <f>HYPERLINK("https://www.philgeps.gov.ph/GEPSNONPILOT/Tender/SplashBidNoticeAbstractUI.aspx?menuIndex=3&amp;refID=7135885&amp;Result=3","7135885")</f>
        <v>0</v>
      </c>
      <c r="B10215" t="s">
        <v>721</v>
      </c>
      <c r="C10215" t="s">
        <v>7526</v>
      </c>
      <c r="D10215" t="s">
        <v>17973</v>
      </c>
      <c r="E10215" t="s">
        <v>26890</v>
      </c>
      <c r="F10215" t="s">
        <v>30900</v>
      </c>
      <c r="G10215" t="s">
        <v>30907</v>
      </c>
      <c r="H10215" t="s">
        <v>30916</v>
      </c>
      <c r="I10215" t="s">
        <v>30923</v>
      </c>
      <c r="J10215" t="s">
        <v>37412</v>
      </c>
      <c r="K10215" t="s">
        <v>40287</v>
      </c>
      <c r="M10215" t="s">
        <v>41285</v>
      </c>
      <c r="N10215" t="s">
        <v>44759</v>
      </c>
      <c r="O10215" t="s">
        <v>44760</v>
      </c>
      <c r="P10215">
        <v>0</v>
      </c>
      <c r="Q10215">
        <v>37</v>
      </c>
      <c r="R10215" t="s">
        <v>44770</v>
      </c>
      <c r="S10215" t="s">
        <v>45105</v>
      </c>
      <c r="T10215" t="s">
        <v>46606</v>
      </c>
      <c r="U10215" t="s">
        <v>55408</v>
      </c>
      <c r="W10215" t="s">
        <v>41285</v>
      </c>
      <c r="X10215" t="s">
        <v>44771</v>
      </c>
    </row>
    <row r="10216" spans="1:24">
      <c r="A10216">
        <f>HYPERLINK("https://www.philgeps.gov.ph/GEPSNONPILOT/Tender/SplashBidNoticeAbstractUI.aspx?menuIndex=3&amp;refID=7135897&amp;Result=3","7135897")</f>
        <v>0</v>
      </c>
      <c r="B10216" t="s">
        <v>3138</v>
      </c>
      <c r="C10216" t="s">
        <v>13455</v>
      </c>
      <c r="D10216" t="s">
        <v>18004</v>
      </c>
      <c r="E10216" t="s">
        <v>26891</v>
      </c>
      <c r="F10216" t="s">
        <v>30900</v>
      </c>
      <c r="G10216" t="s">
        <v>30907</v>
      </c>
      <c r="H10216" t="s">
        <v>30916</v>
      </c>
      <c r="I10216" t="s">
        <v>4965</v>
      </c>
      <c r="J10216" t="s">
        <v>32935</v>
      </c>
      <c r="K10216" t="s">
        <v>40286</v>
      </c>
      <c r="M10216" t="s">
        <v>43956</v>
      </c>
      <c r="N10216" t="s">
        <v>44759</v>
      </c>
      <c r="O10216" t="s">
        <v>44760</v>
      </c>
      <c r="P10216">
        <v>0</v>
      </c>
      <c r="Q10216">
        <v>2</v>
      </c>
      <c r="R10216" t="s">
        <v>44770</v>
      </c>
      <c r="S10216" t="s">
        <v>45105</v>
      </c>
      <c r="T10216" t="s">
        <v>46411</v>
      </c>
      <c r="U10216" t="s">
        <v>55409</v>
      </c>
      <c r="V10216" t="s">
        <v>60228</v>
      </c>
      <c r="W10216" t="s">
        <v>43956</v>
      </c>
      <c r="X10216" t="s">
        <v>44771</v>
      </c>
    </row>
    <row r="10217" spans="1:24">
      <c r="A10217">
        <f>HYPERLINK("https://www.philgeps.gov.ph/GEPSNONPILOT/Tender/SplashBidNoticeAbstractUI.aspx?menuIndex=3&amp;refID=7135944&amp;Result=3","7135944")</f>
        <v>0</v>
      </c>
      <c r="B10217" t="s">
        <v>3140</v>
      </c>
      <c r="C10217" t="s">
        <v>13456</v>
      </c>
      <c r="E10217" t="s">
        <v>26892</v>
      </c>
      <c r="F10217" t="s">
        <v>30900</v>
      </c>
      <c r="G10217" t="s">
        <v>30907</v>
      </c>
      <c r="H10217" t="s">
        <v>30916</v>
      </c>
      <c r="I10217" t="s">
        <v>4965</v>
      </c>
      <c r="J10217" t="s">
        <v>37202</v>
      </c>
      <c r="K10217" t="s">
        <v>40289</v>
      </c>
      <c r="M10217" t="s">
        <v>43958</v>
      </c>
      <c r="N10217" t="s">
        <v>44759</v>
      </c>
      <c r="O10217" t="s">
        <v>44760</v>
      </c>
      <c r="P10217">
        <v>0</v>
      </c>
      <c r="Q10217">
        <v>7</v>
      </c>
      <c r="R10217" t="s">
        <v>44770</v>
      </c>
      <c r="S10217" t="s">
        <v>45105</v>
      </c>
      <c r="T10217" t="s">
        <v>46439</v>
      </c>
      <c r="U10217" t="s">
        <v>55405</v>
      </c>
      <c r="W10217" t="s">
        <v>43958</v>
      </c>
      <c r="X10217" t="s">
        <v>44771</v>
      </c>
    </row>
    <row r="10218" spans="1:24">
      <c r="A10218">
        <f>HYPERLINK("https://www.philgeps.gov.ph/GEPSNONPILOT/Tender/SplashBidNoticeAbstractUI.aspx?menuIndex=3&amp;refID=7135917&amp;Result=3","7135917")</f>
        <v>0</v>
      </c>
      <c r="B10218" t="s">
        <v>1782</v>
      </c>
      <c r="C10218" t="s">
        <v>13457</v>
      </c>
      <c r="D10218" t="s">
        <v>17971</v>
      </c>
      <c r="E10218" t="s">
        <v>26893</v>
      </c>
      <c r="F10218" t="s">
        <v>30900</v>
      </c>
      <c r="G10218" t="s">
        <v>30907</v>
      </c>
      <c r="H10218" t="s">
        <v>30916</v>
      </c>
      <c r="I10218" t="s">
        <v>4545</v>
      </c>
      <c r="J10218" t="s">
        <v>34559</v>
      </c>
      <c r="K10218" t="s">
        <v>40286</v>
      </c>
      <c r="M10218" t="s">
        <v>42456</v>
      </c>
      <c r="N10218" t="s">
        <v>44759</v>
      </c>
      <c r="O10218" t="s">
        <v>44760</v>
      </c>
      <c r="P10218">
        <v>0</v>
      </c>
      <c r="Q10218">
        <v>5</v>
      </c>
      <c r="R10218" t="s">
        <v>44770</v>
      </c>
      <c r="S10218" t="s">
        <v>45105</v>
      </c>
      <c r="T10218" t="s">
        <v>46490</v>
      </c>
      <c r="U10218" t="s">
        <v>50989</v>
      </c>
      <c r="W10218" t="s">
        <v>42456</v>
      </c>
      <c r="X10218" t="s">
        <v>44771</v>
      </c>
    </row>
    <row r="10219" spans="1:24">
      <c r="A10219">
        <f>HYPERLINK("https://www.philgeps.gov.ph/GEPSNONPILOT/Tender/SplashBidNoticeAbstractUI.aspx?menuIndex=3&amp;refID=7136013&amp;Result=3","7136013")</f>
        <v>0</v>
      </c>
      <c r="B10219" t="s">
        <v>2743</v>
      </c>
      <c r="C10219" t="s">
        <v>13458</v>
      </c>
      <c r="D10219" t="s">
        <v>17966</v>
      </c>
      <c r="E10219" t="s">
        <v>26894</v>
      </c>
      <c r="F10219" t="s">
        <v>30900</v>
      </c>
      <c r="G10219" t="s">
        <v>30907</v>
      </c>
      <c r="H10219" t="s">
        <v>30915</v>
      </c>
      <c r="I10219" t="s">
        <v>30919</v>
      </c>
      <c r="J10219" t="s">
        <v>37413</v>
      </c>
      <c r="K10219" t="s">
        <v>40292</v>
      </c>
      <c r="M10219" t="s">
        <v>43519</v>
      </c>
      <c r="N10219" t="s">
        <v>44759</v>
      </c>
      <c r="O10219" t="s">
        <v>44760</v>
      </c>
      <c r="Q10219">
        <v>0</v>
      </c>
      <c r="R10219" t="s">
        <v>44770</v>
      </c>
      <c r="S10219" t="s">
        <v>45142</v>
      </c>
      <c r="T10219" t="s">
        <v>46495</v>
      </c>
      <c r="U10219" t="s">
        <v>55410</v>
      </c>
      <c r="W10219" t="s">
        <v>43519</v>
      </c>
      <c r="X10219" t="s">
        <v>44771</v>
      </c>
    </row>
    <row r="10220" spans="1:24">
      <c r="A10220">
        <f>HYPERLINK("https://www.philgeps.gov.ph/GEPSNONPILOT/Tender/SplashBidNoticeAbstractUI.aspx?menuIndex=3&amp;refID=7135895&amp;Result=3","7135895")</f>
        <v>0</v>
      </c>
      <c r="B10220" t="s">
        <v>721</v>
      </c>
      <c r="C10220" t="s">
        <v>13459</v>
      </c>
      <c r="D10220" t="s">
        <v>17973</v>
      </c>
      <c r="E10220" t="s">
        <v>26895</v>
      </c>
      <c r="F10220" t="s">
        <v>30900</v>
      </c>
      <c r="G10220" t="s">
        <v>30907</v>
      </c>
      <c r="H10220" t="s">
        <v>30916</v>
      </c>
      <c r="I10220" t="s">
        <v>5501</v>
      </c>
      <c r="J10220" t="s">
        <v>37414</v>
      </c>
      <c r="K10220" t="s">
        <v>40286</v>
      </c>
      <c r="M10220" t="s">
        <v>41285</v>
      </c>
      <c r="N10220" t="s">
        <v>44759</v>
      </c>
      <c r="O10220" t="s">
        <v>44760</v>
      </c>
      <c r="P10220">
        <v>0</v>
      </c>
      <c r="Q10220">
        <v>12</v>
      </c>
      <c r="R10220" t="s">
        <v>44770</v>
      </c>
      <c r="S10220" t="s">
        <v>45105</v>
      </c>
      <c r="T10220" t="s">
        <v>46606</v>
      </c>
      <c r="U10220" t="s">
        <v>55411</v>
      </c>
      <c r="W10220" t="s">
        <v>41285</v>
      </c>
      <c r="X10220" t="s">
        <v>44771</v>
      </c>
    </row>
    <row r="10221" spans="1:24">
      <c r="A10221">
        <f>HYPERLINK("https://www.philgeps.gov.ph/GEPSNONPILOT/Tender/SplashBidNoticeAbstractUI.aspx?menuIndex=3&amp;refID=7135891&amp;Result=3","7135891")</f>
        <v>0</v>
      </c>
      <c r="B10221" t="s">
        <v>721</v>
      </c>
      <c r="C10221" t="s">
        <v>13460</v>
      </c>
      <c r="D10221" t="s">
        <v>17973</v>
      </c>
      <c r="E10221" t="s">
        <v>26896</v>
      </c>
      <c r="F10221" t="s">
        <v>30900</v>
      </c>
      <c r="G10221" t="s">
        <v>30907</v>
      </c>
      <c r="H10221" t="s">
        <v>30916</v>
      </c>
      <c r="I10221" t="s">
        <v>6396</v>
      </c>
      <c r="J10221" t="s">
        <v>37415</v>
      </c>
      <c r="K10221" t="s">
        <v>40286</v>
      </c>
      <c r="M10221" t="s">
        <v>41285</v>
      </c>
      <c r="N10221" t="s">
        <v>44759</v>
      </c>
      <c r="O10221" t="s">
        <v>44760</v>
      </c>
      <c r="P10221">
        <v>0</v>
      </c>
      <c r="Q10221">
        <v>8</v>
      </c>
      <c r="R10221" t="s">
        <v>44770</v>
      </c>
      <c r="S10221" t="s">
        <v>45105</v>
      </c>
      <c r="T10221" t="s">
        <v>46606</v>
      </c>
      <c r="U10221" t="s">
        <v>55412</v>
      </c>
      <c r="W10221" t="s">
        <v>41285</v>
      </c>
      <c r="X10221" t="s">
        <v>44771</v>
      </c>
    </row>
    <row r="10222" spans="1:24">
      <c r="A10222">
        <f>HYPERLINK("https://www.philgeps.gov.ph/GEPSNONPILOT/Tender/SplashBidNoticeAbstractUI.aspx?menuIndex=3&amp;refID=7136012&amp;Result=3","7136012")</f>
        <v>0</v>
      </c>
      <c r="B10222" t="s">
        <v>1747</v>
      </c>
      <c r="C10222" t="s">
        <v>13461</v>
      </c>
      <c r="E10222" t="s">
        <v>26897</v>
      </c>
      <c r="F10222" t="s">
        <v>30900</v>
      </c>
      <c r="G10222" t="s">
        <v>30907</v>
      </c>
      <c r="H10222" t="s">
        <v>30916</v>
      </c>
      <c r="I10222" t="s">
        <v>4142</v>
      </c>
      <c r="J10222" t="s">
        <v>37416</v>
      </c>
      <c r="K10222" t="s">
        <v>40289</v>
      </c>
      <c r="M10222" t="s">
        <v>42416</v>
      </c>
      <c r="N10222" t="s">
        <v>44759</v>
      </c>
      <c r="O10222" t="s">
        <v>44760</v>
      </c>
      <c r="P10222">
        <v>0</v>
      </c>
      <c r="Q10222">
        <v>4</v>
      </c>
      <c r="R10222" t="s">
        <v>44770</v>
      </c>
      <c r="S10222" t="s">
        <v>45105</v>
      </c>
      <c r="T10222" t="s">
        <v>46428</v>
      </c>
      <c r="U10222" t="s">
        <v>55413</v>
      </c>
      <c r="V10222" t="s">
        <v>60229</v>
      </c>
      <c r="W10222" t="s">
        <v>42416</v>
      </c>
      <c r="X10222" t="s">
        <v>44771</v>
      </c>
    </row>
    <row r="10223" spans="1:24">
      <c r="A10223">
        <f>HYPERLINK("https://www.philgeps.gov.ph/GEPSNONPILOT/Tender/SplashBidNoticeAbstractUI.aspx?menuIndex=3&amp;refID=7136009&amp;Result=3","7136009")</f>
        <v>0</v>
      </c>
      <c r="B10223" t="s">
        <v>1747</v>
      </c>
      <c r="C10223" t="s">
        <v>13462</v>
      </c>
      <c r="E10223" t="s">
        <v>26898</v>
      </c>
      <c r="F10223" t="s">
        <v>30900</v>
      </c>
      <c r="G10223" t="s">
        <v>30907</v>
      </c>
      <c r="H10223" t="s">
        <v>30916</v>
      </c>
      <c r="I10223" t="s">
        <v>30987</v>
      </c>
      <c r="J10223" t="s">
        <v>37417</v>
      </c>
      <c r="K10223" t="s">
        <v>40289</v>
      </c>
      <c r="M10223" t="s">
        <v>42416</v>
      </c>
      <c r="N10223" t="s">
        <v>44759</v>
      </c>
      <c r="O10223" t="s">
        <v>44760</v>
      </c>
      <c r="P10223">
        <v>0</v>
      </c>
      <c r="Q10223">
        <v>7</v>
      </c>
      <c r="R10223" t="s">
        <v>44770</v>
      </c>
      <c r="S10223" t="s">
        <v>45105</v>
      </c>
      <c r="T10223" t="s">
        <v>46428</v>
      </c>
      <c r="U10223" t="s">
        <v>55414</v>
      </c>
      <c r="V10223" t="s">
        <v>60230</v>
      </c>
      <c r="W10223" t="s">
        <v>42416</v>
      </c>
      <c r="X10223" t="s">
        <v>44771</v>
      </c>
    </row>
    <row r="10224" spans="1:24">
      <c r="A10224">
        <f>HYPERLINK("https://www.philgeps.gov.ph/GEPSNONPILOT/Tender/SplashBidNoticeAbstractUI.aspx?menuIndex=3&amp;refID=7135889&amp;Result=3","7135889")</f>
        <v>0</v>
      </c>
      <c r="B10224" t="s">
        <v>721</v>
      </c>
      <c r="C10224" t="s">
        <v>13463</v>
      </c>
      <c r="D10224" t="s">
        <v>17973</v>
      </c>
      <c r="E10224" t="s">
        <v>26899</v>
      </c>
      <c r="F10224" t="s">
        <v>30900</v>
      </c>
      <c r="G10224" t="s">
        <v>30907</v>
      </c>
      <c r="H10224" t="s">
        <v>30916</v>
      </c>
      <c r="I10224" t="s">
        <v>6834</v>
      </c>
      <c r="J10224" t="s">
        <v>37418</v>
      </c>
      <c r="K10224" t="s">
        <v>40286</v>
      </c>
      <c r="M10224" t="s">
        <v>41285</v>
      </c>
      <c r="N10224" t="s">
        <v>44759</v>
      </c>
      <c r="O10224" t="s">
        <v>44760</v>
      </c>
      <c r="P10224">
        <v>0</v>
      </c>
      <c r="Q10224">
        <v>16</v>
      </c>
      <c r="R10224" t="s">
        <v>44770</v>
      </c>
      <c r="S10224" t="s">
        <v>45105</v>
      </c>
      <c r="T10224" t="s">
        <v>46606</v>
      </c>
      <c r="U10224" t="s">
        <v>55415</v>
      </c>
      <c r="W10224" t="s">
        <v>41285</v>
      </c>
      <c r="X10224" t="s">
        <v>44771</v>
      </c>
    </row>
    <row r="10225" spans="1:24">
      <c r="A10225">
        <f>HYPERLINK("https://www.philgeps.gov.ph/GEPSNONPILOT/Tender/SplashBidNoticeAbstractUI.aspx?menuIndex=3&amp;refID=7135887&amp;Result=3","7135887")</f>
        <v>0</v>
      </c>
      <c r="B10225" t="s">
        <v>721</v>
      </c>
      <c r="C10225" t="s">
        <v>13464</v>
      </c>
      <c r="D10225" t="s">
        <v>17973</v>
      </c>
      <c r="E10225" t="s">
        <v>26900</v>
      </c>
      <c r="F10225" t="s">
        <v>30900</v>
      </c>
      <c r="G10225" t="s">
        <v>30907</v>
      </c>
      <c r="H10225" t="s">
        <v>30916</v>
      </c>
      <c r="I10225" t="s">
        <v>30929</v>
      </c>
      <c r="J10225" t="s">
        <v>37419</v>
      </c>
      <c r="K10225" t="s">
        <v>40286</v>
      </c>
      <c r="M10225" t="s">
        <v>41285</v>
      </c>
      <c r="N10225" t="s">
        <v>44759</v>
      </c>
      <c r="O10225" t="s">
        <v>44760</v>
      </c>
      <c r="P10225">
        <v>0</v>
      </c>
      <c r="Q10225">
        <v>32</v>
      </c>
      <c r="R10225" t="s">
        <v>44770</v>
      </c>
      <c r="S10225" t="s">
        <v>45105</v>
      </c>
      <c r="T10225" t="s">
        <v>46606</v>
      </c>
      <c r="U10225" t="s">
        <v>55416</v>
      </c>
      <c r="W10225" t="s">
        <v>41285</v>
      </c>
      <c r="X10225" t="s">
        <v>44771</v>
      </c>
    </row>
    <row r="10226" spans="1:24">
      <c r="A10226">
        <f>HYPERLINK("https://www.philgeps.gov.ph/GEPSNONPILOT/Tender/SplashBidNoticeAbstractUI.aspx?menuIndex=3&amp;refID=7136039&amp;Result=3","7136039")</f>
        <v>0</v>
      </c>
      <c r="B10226" t="s">
        <v>3141</v>
      </c>
      <c r="C10226" t="s">
        <v>11019</v>
      </c>
      <c r="D10226" t="s">
        <v>17984</v>
      </c>
      <c r="E10226" t="s">
        <v>26901</v>
      </c>
      <c r="F10226" t="s">
        <v>30900</v>
      </c>
      <c r="G10226" t="s">
        <v>30907</v>
      </c>
      <c r="H10226" t="s">
        <v>30916</v>
      </c>
      <c r="I10226" t="s">
        <v>30923</v>
      </c>
      <c r="J10226" t="s">
        <v>37420</v>
      </c>
      <c r="K10226" t="s">
        <v>40303</v>
      </c>
      <c r="M10226" t="s">
        <v>43959</v>
      </c>
      <c r="N10226" t="s">
        <v>44759</v>
      </c>
      <c r="O10226" t="s">
        <v>44760</v>
      </c>
      <c r="P10226">
        <v>0</v>
      </c>
      <c r="Q10226">
        <v>8</v>
      </c>
      <c r="R10226" t="s">
        <v>44770</v>
      </c>
      <c r="S10226" t="s">
        <v>45105</v>
      </c>
      <c r="T10226" t="s">
        <v>46851</v>
      </c>
      <c r="U10226" t="s">
        <v>55417</v>
      </c>
      <c r="W10226" t="s">
        <v>43959</v>
      </c>
      <c r="X10226" t="s">
        <v>44771</v>
      </c>
    </row>
    <row r="10227" spans="1:24">
      <c r="A10227">
        <f>HYPERLINK("https://www.philgeps.gov.ph/GEPSNONPILOT/Tender/SplashBidNoticeAbstractUI.aspx?menuIndex=3&amp;refID=7136017&amp;Result=3","7136017")</f>
        <v>0</v>
      </c>
      <c r="B10227" t="s">
        <v>3142</v>
      </c>
      <c r="C10227" t="s">
        <v>13465</v>
      </c>
      <c r="D10227" t="s">
        <v>17954</v>
      </c>
      <c r="E10227" t="s">
        <v>26902</v>
      </c>
      <c r="F10227" t="s">
        <v>30900</v>
      </c>
      <c r="G10227" t="s">
        <v>30907</v>
      </c>
      <c r="H10227" t="s">
        <v>30916</v>
      </c>
      <c r="I10227" t="s">
        <v>30947</v>
      </c>
      <c r="J10227" t="s">
        <v>31126</v>
      </c>
      <c r="K10227" t="s">
        <v>40283</v>
      </c>
      <c r="M10227" t="s">
        <v>43960</v>
      </c>
      <c r="N10227" t="s">
        <v>44759</v>
      </c>
      <c r="O10227" t="s">
        <v>44760</v>
      </c>
      <c r="P10227">
        <v>0</v>
      </c>
      <c r="Q10227">
        <v>4</v>
      </c>
      <c r="R10227" t="s">
        <v>44770</v>
      </c>
      <c r="S10227" t="s">
        <v>45105</v>
      </c>
      <c r="T10227" t="s">
        <v>46425</v>
      </c>
      <c r="U10227" t="s">
        <v>55418</v>
      </c>
      <c r="W10227" t="s">
        <v>43960</v>
      </c>
      <c r="X10227" t="s">
        <v>44771</v>
      </c>
    </row>
    <row r="10228" spans="1:24">
      <c r="A10228">
        <f>HYPERLINK("https://www.philgeps.gov.ph/GEPSNONPILOT/Tender/SplashBidNoticeAbstractUI.aspx?menuIndex=3&amp;refID=7136003&amp;Result=3","7136003")</f>
        <v>0</v>
      </c>
      <c r="B10228" t="s">
        <v>3143</v>
      </c>
      <c r="C10228" t="s">
        <v>10770</v>
      </c>
      <c r="D10228" t="s">
        <v>17952</v>
      </c>
      <c r="E10228" t="s">
        <v>18149</v>
      </c>
      <c r="F10228" t="s">
        <v>30900</v>
      </c>
      <c r="G10228" t="s">
        <v>30907</v>
      </c>
      <c r="H10228" t="s">
        <v>30915</v>
      </c>
      <c r="I10228" t="s">
        <v>8123</v>
      </c>
      <c r="J10228" t="s">
        <v>37421</v>
      </c>
      <c r="K10228" t="s">
        <v>40356</v>
      </c>
      <c r="M10228" t="s">
        <v>43961</v>
      </c>
      <c r="N10228" t="s">
        <v>44759</v>
      </c>
      <c r="O10228" t="s">
        <v>44760</v>
      </c>
      <c r="P10228">
        <v>0</v>
      </c>
      <c r="Q10228">
        <v>1</v>
      </c>
      <c r="R10228" t="s">
        <v>44770</v>
      </c>
      <c r="S10228" t="s">
        <v>45105</v>
      </c>
      <c r="T10228" t="s">
        <v>46581</v>
      </c>
      <c r="U10228" t="s">
        <v>55419</v>
      </c>
      <c r="W10228" t="s">
        <v>43961</v>
      </c>
      <c r="X10228" t="s">
        <v>44771</v>
      </c>
    </row>
    <row r="10229" spans="1:24">
      <c r="A10229">
        <f>HYPERLINK("https://www.philgeps.gov.ph/GEPSNONPILOT/Tender/SplashBidNoticeAbstractUI.aspx?menuIndex=3&amp;refID=7133355&amp;Result=3","7133355")</f>
        <v>0</v>
      </c>
      <c r="B10229" t="s">
        <v>3106</v>
      </c>
      <c r="C10229" t="s">
        <v>13466</v>
      </c>
      <c r="D10229" t="s">
        <v>18010</v>
      </c>
      <c r="E10229" t="s">
        <v>26903</v>
      </c>
      <c r="F10229" t="s">
        <v>30900</v>
      </c>
      <c r="G10229" t="s">
        <v>30907</v>
      </c>
      <c r="H10229" t="s">
        <v>30915</v>
      </c>
      <c r="I10229" t="s">
        <v>30919</v>
      </c>
      <c r="J10229" t="s">
        <v>31105</v>
      </c>
      <c r="K10229" t="s">
        <v>40286</v>
      </c>
      <c r="M10229" t="s">
        <v>43918</v>
      </c>
      <c r="N10229" t="s">
        <v>44759</v>
      </c>
      <c r="O10229" t="s">
        <v>44760</v>
      </c>
      <c r="P10229">
        <v>0</v>
      </c>
      <c r="Q10229">
        <v>19</v>
      </c>
      <c r="R10229" t="s">
        <v>44770</v>
      </c>
      <c r="S10229" t="s">
        <v>45105</v>
      </c>
      <c r="T10229" t="s">
        <v>46606</v>
      </c>
      <c r="U10229" t="s">
        <v>55420</v>
      </c>
      <c r="V10229" t="s">
        <v>59391</v>
      </c>
      <c r="W10229" t="s">
        <v>43918</v>
      </c>
      <c r="X10229" t="s">
        <v>44773</v>
      </c>
    </row>
    <row r="10230" spans="1:24">
      <c r="A10230">
        <f>HYPERLINK("https://www.philgeps.gov.ph/GEPSNONPILOT/Tender/SplashBidNoticeAbstractUI.aspx?menuIndex=3&amp;refID=7136022&amp;Result=3","7136022")</f>
        <v>0</v>
      </c>
      <c r="B10230" t="s">
        <v>3142</v>
      </c>
      <c r="C10230" t="s">
        <v>13467</v>
      </c>
      <c r="D10230" t="s">
        <v>17954</v>
      </c>
      <c r="E10230" t="s">
        <v>26904</v>
      </c>
      <c r="F10230" t="s">
        <v>30900</v>
      </c>
      <c r="G10230" t="s">
        <v>30907</v>
      </c>
      <c r="H10230" t="s">
        <v>30915</v>
      </c>
      <c r="I10230" t="s">
        <v>30919</v>
      </c>
      <c r="J10230" t="s">
        <v>31391</v>
      </c>
      <c r="K10230" t="s">
        <v>40301</v>
      </c>
      <c r="M10230" t="s">
        <v>43960</v>
      </c>
      <c r="N10230" t="s">
        <v>44759</v>
      </c>
      <c r="O10230" t="s">
        <v>44760</v>
      </c>
      <c r="P10230">
        <v>0</v>
      </c>
      <c r="Q10230">
        <v>2</v>
      </c>
      <c r="R10230" t="s">
        <v>44770</v>
      </c>
      <c r="S10230" t="s">
        <v>45105</v>
      </c>
      <c r="T10230" t="s">
        <v>46544</v>
      </c>
      <c r="U10230" t="s">
        <v>55421</v>
      </c>
      <c r="W10230" t="s">
        <v>43960</v>
      </c>
      <c r="X10230" t="s">
        <v>44771</v>
      </c>
    </row>
    <row r="10231" spans="1:24">
      <c r="A10231">
        <f>HYPERLINK("https://www.philgeps.gov.ph/GEPSNONPILOT/Tender/SplashBidNoticeAbstractUI.aspx?menuIndex=3&amp;refID=7136004&amp;Result=3","7136004")</f>
        <v>0</v>
      </c>
      <c r="B10231" t="s">
        <v>2243</v>
      </c>
      <c r="C10231" t="s">
        <v>13468</v>
      </c>
      <c r="D10231" t="s">
        <v>17980</v>
      </c>
      <c r="E10231" t="s">
        <v>26905</v>
      </c>
      <c r="F10231" t="s">
        <v>30900</v>
      </c>
      <c r="G10231" t="s">
        <v>30907</v>
      </c>
      <c r="H10231" t="s">
        <v>30916</v>
      </c>
      <c r="I10231" t="s">
        <v>17295</v>
      </c>
      <c r="J10231" t="s">
        <v>37422</v>
      </c>
      <c r="K10231" t="s">
        <v>40332</v>
      </c>
      <c r="M10231" t="s">
        <v>42953</v>
      </c>
      <c r="N10231" t="s">
        <v>44759</v>
      </c>
      <c r="O10231" t="s">
        <v>44760</v>
      </c>
      <c r="P10231">
        <v>0</v>
      </c>
      <c r="Q10231">
        <v>4</v>
      </c>
      <c r="R10231" t="s">
        <v>44770</v>
      </c>
      <c r="S10231" t="s">
        <v>45105</v>
      </c>
      <c r="T10231" t="s">
        <v>46852</v>
      </c>
      <c r="U10231" t="s">
        <v>55422</v>
      </c>
      <c r="W10231" t="s">
        <v>42953</v>
      </c>
      <c r="X10231" t="s">
        <v>44771</v>
      </c>
    </row>
    <row r="10232" spans="1:24">
      <c r="A10232">
        <f>HYPERLINK("https://www.philgeps.gov.ph/GEPSNONPILOT/Tender/SplashBidNoticeAbstractUI.aspx?menuIndex=3&amp;refID=7135993&amp;Result=3","7135993")</f>
        <v>0</v>
      </c>
      <c r="B10232" t="s">
        <v>1750</v>
      </c>
      <c r="C10232" t="s">
        <v>13469</v>
      </c>
      <c r="D10232" t="s">
        <v>17966</v>
      </c>
      <c r="E10232" t="s">
        <v>26906</v>
      </c>
      <c r="F10232" t="s">
        <v>30900</v>
      </c>
      <c r="G10232" t="s">
        <v>30907</v>
      </c>
      <c r="H10232" t="s">
        <v>30916</v>
      </c>
      <c r="I10232" t="s">
        <v>30961</v>
      </c>
      <c r="J10232" t="s">
        <v>37423</v>
      </c>
      <c r="K10232" t="s">
        <v>40283</v>
      </c>
      <c r="M10232" t="s">
        <v>43962</v>
      </c>
      <c r="N10232" t="s">
        <v>44759</v>
      </c>
      <c r="O10232" t="s">
        <v>44760</v>
      </c>
      <c r="P10232">
        <v>0</v>
      </c>
      <c r="Q10232">
        <v>5</v>
      </c>
      <c r="R10232" t="s">
        <v>44770</v>
      </c>
      <c r="S10232" t="s">
        <v>45105</v>
      </c>
      <c r="T10232" t="s">
        <v>46712</v>
      </c>
      <c r="U10232" t="s">
        <v>55423</v>
      </c>
      <c r="W10232" t="s">
        <v>60873</v>
      </c>
      <c r="X10232" t="s">
        <v>44771</v>
      </c>
    </row>
    <row r="10233" spans="1:24">
      <c r="A10233">
        <f>HYPERLINK("https://www.philgeps.gov.ph/GEPSNONPILOT/Tender/SplashBidNoticeAbstractUI.aspx?menuIndex=3&amp;refID=7136038&amp;Result=3","7136038")</f>
        <v>0</v>
      </c>
      <c r="B10233" t="s">
        <v>466</v>
      </c>
      <c r="C10233" t="s">
        <v>13470</v>
      </c>
      <c r="D10233" t="s">
        <v>17959</v>
      </c>
      <c r="E10233" t="s">
        <v>26907</v>
      </c>
      <c r="F10233" t="s">
        <v>30900</v>
      </c>
      <c r="G10233" t="s">
        <v>30907</v>
      </c>
      <c r="H10233" t="s">
        <v>30916</v>
      </c>
      <c r="I10233" t="s">
        <v>30924</v>
      </c>
      <c r="J10233" t="s">
        <v>37424</v>
      </c>
      <c r="K10233" t="s">
        <v>40286</v>
      </c>
      <c r="M10233" t="s">
        <v>43963</v>
      </c>
      <c r="N10233" t="s">
        <v>44759</v>
      </c>
      <c r="O10233" t="s">
        <v>44760</v>
      </c>
      <c r="P10233">
        <v>0</v>
      </c>
      <c r="Q10233">
        <v>28</v>
      </c>
      <c r="R10233" t="s">
        <v>44770</v>
      </c>
      <c r="S10233" t="s">
        <v>45105</v>
      </c>
      <c r="T10233" t="s">
        <v>46450</v>
      </c>
      <c r="U10233" t="s">
        <v>55424</v>
      </c>
      <c r="W10233" t="s">
        <v>43963</v>
      </c>
      <c r="X10233" t="s">
        <v>44771</v>
      </c>
    </row>
    <row r="10234" spans="1:24">
      <c r="A10234">
        <f>HYPERLINK("https://www.philgeps.gov.ph/GEPSNONPILOT/Tender/SplashBidNoticeAbstractUI.aspx?menuIndex=3&amp;refID=7135955&amp;Result=3","7135955")</f>
        <v>0</v>
      </c>
      <c r="B10234" t="s">
        <v>1062</v>
      </c>
      <c r="C10234" t="s">
        <v>13471</v>
      </c>
      <c r="D10234" t="s">
        <v>17954</v>
      </c>
      <c r="E10234" t="s">
        <v>26908</v>
      </c>
      <c r="F10234" t="s">
        <v>30900</v>
      </c>
      <c r="G10234" t="s">
        <v>30907</v>
      </c>
      <c r="H10234" t="s">
        <v>30915</v>
      </c>
      <c r="I10234" t="s">
        <v>30919</v>
      </c>
      <c r="J10234" t="s">
        <v>31096</v>
      </c>
      <c r="K10234" t="s">
        <v>40286</v>
      </c>
      <c r="M10234" t="s">
        <v>41659</v>
      </c>
      <c r="N10234" t="s">
        <v>44759</v>
      </c>
      <c r="O10234" t="s">
        <v>44760</v>
      </c>
      <c r="P10234">
        <v>0</v>
      </c>
      <c r="Q10234">
        <v>0</v>
      </c>
      <c r="R10234" t="s">
        <v>44770</v>
      </c>
      <c r="S10234" t="s">
        <v>45105</v>
      </c>
      <c r="T10234" t="s">
        <v>46403</v>
      </c>
      <c r="U10234" t="s">
        <v>48951</v>
      </c>
      <c r="W10234" t="s">
        <v>41659</v>
      </c>
      <c r="X10234" t="s">
        <v>44771</v>
      </c>
    </row>
    <row r="10235" spans="1:24">
      <c r="A10235">
        <f>HYPERLINK("https://www.philgeps.gov.ph/GEPSNONPILOT/Tender/SplashBidNoticeAbstractUI.aspx?menuIndex=3&amp;refID=7135996&amp;Result=3","7135996")</f>
        <v>0</v>
      </c>
      <c r="B10235" t="s">
        <v>1750</v>
      </c>
      <c r="C10235" t="s">
        <v>13472</v>
      </c>
      <c r="D10235" t="s">
        <v>17966</v>
      </c>
      <c r="E10235" t="s">
        <v>26909</v>
      </c>
      <c r="F10235" t="s">
        <v>30900</v>
      </c>
      <c r="G10235" t="s">
        <v>30907</v>
      </c>
      <c r="H10235" t="s">
        <v>30916</v>
      </c>
      <c r="I10235" t="s">
        <v>5501</v>
      </c>
      <c r="J10235" t="s">
        <v>37425</v>
      </c>
      <c r="K10235" t="s">
        <v>40283</v>
      </c>
      <c r="M10235" t="s">
        <v>43962</v>
      </c>
      <c r="N10235" t="s">
        <v>44759</v>
      </c>
      <c r="O10235" t="s">
        <v>44760</v>
      </c>
      <c r="P10235">
        <v>0</v>
      </c>
      <c r="Q10235">
        <v>4</v>
      </c>
      <c r="R10235" t="s">
        <v>44770</v>
      </c>
      <c r="S10235" t="s">
        <v>45105</v>
      </c>
      <c r="T10235" t="s">
        <v>46712</v>
      </c>
      <c r="U10235" t="s">
        <v>55425</v>
      </c>
      <c r="W10235" t="s">
        <v>60873</v>
      </c>
      <c r="X10235" t="s">
        <v>44771</v>
      </c>
    </row>
    <row r="10236" spans="1:24">
      <c r="A10236">
        <f>HYPERLINK("https://www.philgeps.gov.ph/GEPSNONPILOT/Tender/SplashBidNoticeAbstractUI.aspx?menuIndex=3&amp;refID=7135951&amp;Result=3","7135951")</f>
        <v>0</v>
      </c>
      <c r="B10236" t="s">
        <v>1062</v>
      </c>
      <c r="C10236" t="s">
        <v>13473</v>
      </c>
      <c r="D10236" t="s">
        <v>17954</v>
      </c>
      <c r="E10236" t="s">
        <v>26910</v>
      </c>
      <c r="F10236" t="s">
        <v>30900</v>
      </c>
      <c r="G10236" t="s">
        <v>30908</v>
      </c>
      <c r="H10236" t="s">
        <v>30916</v>
      </c>
      <c r="I10236" t="s">
        <v>30974</v>
      </c>
      <c r="J10236" t="s">
        <v>31043</v>
      </c>
      <c r="K10236" t="s">
        <v>40283</v>
      </c>
      <c r="M10236" t="s">
        <v>41659</v>
      </c>
      <c r="N10236" t="s">
        <v>44759</v>
      </c>
      <c r="O10236" t="s">
        <v>44760</v>
      </c>
      <c r="P10236">
        <v>0</v>
      </c>
      <c r="Q10236">
        <v>0</v>
      </c>
      <c r="R10236" t="s">
        <v>44770</v>
      </c>
      <c r="S10236" t="s">
        <v>45105</v>
      </c>
      <c r="T10236" t="s">
        <v>46403</v>
      </c>
      <c r="U10236" t="s">
        <v>55426</v>
      </c>
      <c r="W10236" t="s">
        <v>41659</v>
      </c>
      <c r="X10236" t="s">
        <v>44771</v>
      </c>
    </row>
    <row r="10237" spans="1:24">
      <c r="A10237">
        <f>HYPERLINK("https://www.philgeps.gov.ph/GEPSNONPILOT/Tender/SplashBidNoticeAbstractUI.aspx?menuIndex=3&amp;refID=7135989&amp;Result=3","7135989")</f>
        <v>0</v>
      </c>
      <c r="B10237" t="s">
        <v>3144</v>
      </c>
      <c r="C10237" t="s">
        <v>13474</v>
      </c>
      <c r="D10237" t="s">
        <v>18035</v>
      </c>
      <c r="E10237" t="s">
        <v>26911</v>
      </c>
      <c r="F10237" t="s">
        <v>30900</v>
      </c>
      <c r="G10237" t="s">
        <v>30907</v>
      </c>
      <c r="H10237" t="s">
        <v>30915</v>
      </c>
      <c r="I10237" t="s">
        <v>30919</v>
      </c>
      <c r="J10237" t="s">
        <v>32125</v>
      </c>
      <c r="K10237" t="s">
        <v>40405</v>
      </c>
      <c r="M10237" t="s">
        <v>43964</v>
      </c>
      <c r="N10237" t="s">
        <v>44759</v>
      </c>
      <c r="O10237" t="s">
        <v>44760</v>
      </c>
      <c r="P10237">
        <v>0</v>
      </c>
      <c r="Q10237">
        <v>0</v>
      </c>
      <c r="R10237" t="s">
        <v>44770</v>
      </c>
      <c r="S10237" t="s">
        <v>45105</v>
      </c>
      <c r="T10237" t="s">
        <v>46411</v>
      </c>
      <c r="U10237" t="s">
        <v>55427</v>
      </c>
      <c r="W10237" t="s">
        <v>43964</v>
      </c>
      <c r="X10237" t="s">
        <v>44771</v>
      </c>
    </row>
    <row r="10238" spans="1:24">
      <c r="A10238">
        <f>HYPERLINK("https://www.philgeps.gov.ph/GEPSNONPILOT/Tender/SplashBidNoticeAbstractUI.aspx?menuIndex=3&amp;refID=7135957&amp;Result=3","7135957")</f>
        <v>0</v>
      </c>
      <c r="B10238" t="s">
        <v>1054</v>
      </c>
      <c r="C10238" t="s">
        <v>13475</v>
      </c>
      <c r="D10238" t="s">
        <v>17959</v>
      </c>
      <c r="E10238" t="s">
        <v>26912</v>
      </c>
      <c r="F10238" t="s">
        <v>30900</v>
      </c>
      <c r="G10238" t="s">
        <v>30907</v>
      </c>
      <c r="H10238" t="s">
        <v>30916</v>
      </c>
      <c r="I10238" t="s">
        <v>31033</v>
      </c>
      <c r="J10238" t="s">
        <v>31214</v>
      </c>
      <c r="K10238" t="s">
        <v>40332</v>
      </c>
      <c r="M10238" t="s">
        <v>43965</v>
      </c>
      <c r="N10238" t="s">
        <v>44759</v>
      </c>
      <c r="O10238" t="s">
        <v>44760</v>
      </c>
      <c r="P10238">
        <v>0</v>
      </c>
      <c r="Q10238">
        <v>1</v>
      </c>
      <c r="R10238" t="s">
        <v>44770</v>
      </c>
      <c r="S10238" t="s">
        <v>45105</v>
      </c>
      <c r="T10238" t="s">
        <v>46411</v>
      </c>
      <c r="U10238" t="s">
        <v>55428</v>
      </c>
      <c r="V10238" t="s">
        <v>60231</v>
      </c>
      <c r="W10238" t="s">
        <v>43965</v>
      </c>
      <c r="X10238" t="s">
        <v>44771</v>
      </c>
    </row>
    <row r="10239" spans="1:24">
      <c r="A10239">
        <f>HYPERLINK("https://www.philgeps.gov.ph/GEPSNONPILOT/Tender/SplashBidNoticeAbstractUI.aspx?menuIndex=3&amp;refID=7135371&amp;Result=3","7135371")</f>
        <v>0</v>
      </c>
      <c r="B10239" t="s">
        <v>3145</v>
      </c>
      <c r="C10239" t="s">
        <v>13476</v>
      </c>
      <c r="D10239" t="s">
        <v>17980</v>
      </c>
      <c r="E10239" t="s">
        <v>26913</v>
      </c>
      <c r="F10239" t="s">
        <v>30900</v>
      </c>
      <c r="G10239" t="s">
        <v>30907</v>
      </c>
      <c r="H10239" t="s">
        <v>30915</v>
      </c>
      <c r="I10239" t="s">
        <v>30919</v>
      </c>
      <c r="J10239" t="s">
        <v>31138</v>
      </c>
      <c r="K10239" t="s">
        <v>40284</v>
      </c>
      <c r="M10239" t="s">
        <v>43966</v>
      </c>
      <c r="N10239" t="s">
        <v>44759</v>
      </c>
      <c r="O10239" t="s">
        <v>44760</v>
      </c>
      <c r="P10239">
        <v>0</v>
      </c>
      <c r="Q10239">
        <v>1</v>
      </c>
      <c r="R10239" t="s">
        <v>44771</v>
      </c>
      <c r="S10239" t="s">
        <v>45143</v>
      </c>
      <c r="T10239" t="s">
        <v>46686</v>
      </c>
      <c r="U10239" t="s">
        <v>55429</v>
      </c>
      <c r="V10239" t="s">
        <v>60232</v>
      </c>
      <c r="W10239" t="s">
        <v>43966</v>
      </c>
      <c r="X10239" t="s">
        <v>44772</v>
      </c>
    </row>
    <row r="10240" spans="1:24">
      <c r="A10240">
        <f>HYPERLINK("https://www.philgeps.gov.ph/GEPSNONPILOT/Tender/SplashBidNoticeAbstractUI.aspx?menuIndex=3&amp;refID=7135940&amp;Result=3","7135940")</f>
        <v>0</v>
      </c>
      <c r="B10240" t="s">
        <v>3146</v>
      </c>
      <c r="C10240" t="s">
        <v>13477</v>
      </c>
      <c r="D10240" t="s">
        <v>17959</v>
      </c>
      <c r="E10240" t="s">
        <v>25806</v>
      </c>
      <c r="F10240" t="s">
        <v>30900</v>
      </c>
      <c r="G10240" t="s">
        <v>30907</v>
      </c>
      <c r="H10240" t="s">
        <v>30915</v>
      </c>
      <c r="I10240" t="s">
        <v>30919</v>
      </c>
      <c r="J10240" t="s">
        <v>31391</v>
      </c>
      <c r="K10240" t="s">
        <v>40286</v>
      </c>
      <c r="M10240" t="s">
        <v>43967</v>
      </c>
      <c r="N10240" t="s">
        <v>44759</v>
      </c>
      <c r="O10240" t="s">
        <v>44760</v>
      </c>
      <c r="P10240">
        <v>0</v>
      </c>
      <c r="Q10240">
        <v>0</v>
      </c>
      <c r="R10240" t="s">
        <v>44770</v>
      </c>
      <c r="S10240" t="s">
        <v>45105</v>
      </c>
      <c r="T10240" t="s">
        <v>46379</v>
      </c>
      <c r="U10240" t="s">
        <v>55430</v>
      </c>
      <c r="W10240" t="s">
        <v>43967</v>
      </c>
      <c r="X10240" t="s">
        <v>44771</v>
      </c>
    </row>
    <row r="10241" spans="1:24">
      <c r="A10241">
        <f>HYPERLINK("https://www.philgeps.gov.ph/GEPSNONPILOT/Tender/SplashBidNoticeAbstractUI.aspx?menuIndex=3&amp;refID=7136030&amp;Result=3","7136030")</f>
        <v>0</v>
      </c>
      <c r="B10241" t="s">
        <v>466</v>
      </c>
      <c r="C10241" t="s">
        <v>13478</v>
      </c>
      <c r="D10241" t="s">
        <v>17959</v>
      </c>
      <c r="E10241" t="s">
        <v>26914</v>
      </c>
      <c r="F10241" t="s">
        <v>30900</v>
      </c>
      <c r="G10241" t="s">
        <v>30907</v>
      </c>
      <c r="H10241" t="s">
        <v>7411</v>
      </c>
      <c r="I10241" t="s">
        <v>30924</v>
      </c>
      <c r="J10241" t="s">
        <v>34061</v>
      </c>
      <c r="K10241" t="s">
        <v>40332</v>
      </c>
      <c r="M10241" t="s">
        <v>43963</v>
      </c>
      <c r="N10241" t="s">
        <v>44759</v>
      </c>
      <c r="O10241" t="s">
        <v>44760</v>
      </c>
      <c r="Q10241">
        <v>3</v>
      </c>
      <c r="R10241" t="s">
        <v>44770</v>
      </c>
      <c r="S10241" t="s">
        <v>45040</v>
      </c>
      <c r="T10241" t="s">
        <v>46645</v>
      </c>
      <c r="U10241" t="s">
        <v>55431</v>
      </c>
      <c r="W10241" t="s">
        <v>43963</v>
      </c>
      <c r="X10241" t="s">
        <v>44771</v>
      </c>
    </row>
    <row r="10242" spans="1:24">
      <c r="A10242">
        <f>HYPERLINK("https://www.philgeps.gov.ph/GEPSNONPILOT/Tender/SplashBidNoticeAbstractUI.aspx?menuIndex=3&amp;refID=7135526&amp;Result=3","7135526")</f>
        <v>0</v>
      </c>
      <c r="B10242" t="s">
        <v>3128</v>
      </c>
      <c r="C10242" t="s">
        <v>13479</v>
      </c>
      <c r="D10242" t="s">
        <v>17996</v>
      </c>
      <c r="E10242" t="s">
        <v>26915</v>
      </c>
      <c r="F10242" t="s">
        <v>30904</v>
      </c>
      <c r="G10242" t="s">
        <v>30907</v>
      </c>
      <c r="H10242" t="s">
        <v>30915</v>
      </c>
      <c r="I10242" t="s">
        <v>30964</v>
      </c>
      <c r="J10242" t="s">
        <v>37426</v>
      </c>
      <c r="K10242" t="s">
        <v>40283</v>
      </c>
      <c r="M10242" t="s">
        <v>43944</v>
      </c>
      <c r="N10242" t="s">
        <v>44759</v>
      </c>
      <c r="O10242" t="s">
        <v>44760</v>
      </c>
      <c r="P10242">
        <v>0</v>
      </c>
      <c r="Q10242">
        <v>0</v>
      </c>
      <c r="R10242" t="s">
        <v>44771</v>
      </c>
      <c r="S10242" t="s">
        <v>45143</v>
      </c>
      <c r="T10242" t="s">
        <v>46356</v>
      </c>
      <c r="U10242" t="s">
        <v>55432</v>
      </c>
      <c r="W10242" t="s">
        <v>43944</v>
      </c>
      <c r="X10242" t="s">
        <v>44772</v>
      </c>
    </row>
    <row r="10243" spans="1:24">
      <c r="A10243">
        <f>HYPERLINK("https://www.philgeps.gov.ph/GEPSNONPILOT/Tender/SplashBidNoticeAbstractUI.aspx?menuIndex=3&amp;refID=7101420&amp;Result=3","7101420")</f>
        <v>0</v>
      </c>
      <c r="B10243" t="s">
        <v>3147</v>
      </c>
      <c r="C10243" t="s">
        <v>13480</v>
      </c>
      <c r="D10243" t="s">
        <v>17975</v>
      </c>
      <c r="E10243" t="s">
        <v>26916</v>
      </c>
      <c r="F10243" t="s">
        <v>30900</v>
      </c>
      <c r="G10243" t="s">
        <v>30907</v>
      </c>
      <c r="H10243" t="s">
        <v>30915</v>
      </c>
      <c r="I10243" t="s">
        <v>30919</v>
      </c>
      <c r="J10243" t="s">
        <v>37427</v>
      </c>
      <c r="K10243" t="s">
        <v>40301</v>
      </c>
      <c r="M10243" t="s">
        <v>43968</v>
      </c>
      <c r="N10243" t="s">
        <v>44759</v>
      </c>
      <c r="O10243" t="s">
        <v>44760</v>
      </c>
      <c r="Q10243">
        <v>1</v>
      </c>
      <c r="R10243" t="s">
        <v>44771</v>
      </c>
      <c r="S10243" t="s">
        <v>45144</v>
      </c>
      <c r="T10243" t="s">
        <v>46519</v>
      </c>
      <c r="U10243" t="s">
        <v>55433</v>
      </c>
      <c r="V10243" t="s">
        <v>60233</v>
      </c>
      <c r="W10243" t="s">
        <v>43968</v>
      </c>
      <c r="X10243" t="s">
        <v>44787</v>
      </c>
    </row>
    <row r="10244" spans="1:24">
      <c r="A10244">
        <f>HYPERLINK("https://www.philgeps.gov.ph/GEPSNONPILOT/Tender/SplashBidNoticeAbstractUI.aspx?menuIndex=3&amp;refID=7135475&amp;Result=3","7135475")</f>
        <v>0</v>
      </c>
      <c r="B10244" t="s">
        <v>3148</v>
      </c>
      <c r="C10244" t="s">
        <v>13481</v>
      </c>
      <c r="D10244" t="s">
        <v>18009</v>
      </c>
      <c r="E10244" t="s">
        <v>26917</v>
      </c>
      <c r="F10244" t="s">
        <v>30900</v>
      </c>
      <c r="G10244" t="s">
        <v>30907</v>
      </c>
      <c r="H10244" t="s">
        <v>30915</v>
      </c>
      <c r="I10244" t="s">
        <v>30919</v>
      </c>
      <c r="J10244" t="s">
        <v>37428</v>
      </c>
      <c r="K10244" t="s">
        <v>40292</v>
      </c>
      <c r="M10244" t="s">
        <v>43969</v>
      </c>
      <c r="N10244" t="s">
        <v>44759</v>
      </c>
      <c r="O10244" t="s">
        <v>44760</v>
      </c>
      <c r="P10244">
        <v>0</v>
      </c>
      <c r="Q10244">
        <v>14</v>
      </c>
      <c r="R10244" t="s">
        <v>44771</v>
      </c>
      <c r="S10244" t="s">
        <v>45143</v>
      </c>
      <c r="T10244" t="s">
        <v>46472</v>
      </c>
      <c r="U10244" t="s">
        <v>55434</v>
      </c>
      <c r="V10244" t="s">
        <v>60234</v>
      </c>
      <c r="W10244" t="s">
        <v>43969</v>
      </c>
      <c r="X10244" t="s">
        <v>44772</v>
      </c>
    </row>
    <row r="10245" spans="1:24">
      <c r="A10245">
        <f>HYPERLINK("https://www.philgeps.gov.ph/GEPSNONPILOT/Tender/SplashBidNoticeAbstractUI.aspx?menuIndex=3&amp;refID=7135953&amp;Result=3","7135953")</f>
        <v>0</v>
      </c>
      <c r="B10245" t="s">
        <v>1062</v>
      </c>
      <c r="C10245" t="s">
        <v>13482</v>
      </c>
      <c r="D10245" t="s">
        <v>17954</v>
      </c>
      <c r="E10245" t="s">
        <v>22856</v>
      </c>
      <c r="F10245" t="s">
        <v>30900</v>
      </c>
      <c r="G10245" t="s">
        <v>30907</v>
      </c>
      <c r="H10245" t="s">
        <v>30915</v>
      </c>
      <c r="I10245" t="s">
        <v>30919</v>
      </c>
      <c r="J10245" t="s">
        <v>31096</v>
      </c>
      <c r="K10245" t="s">
        <v>40283</v>
      </c>
      <c r="M10245" t="s">
        <v>41659</v>
      </c>
      <c r="N10245" t="s">
        <v>44759</v>
      </c>
      <c r="O10245" t="s">
        <v>44760</v>
      </c>
      <c r="P10245">
        <v>0</v>
      </c>
      <c r="Q10245">
        <v>0</v>
      </c>
      <c r="R10245" t="s">
        <v>44770</v>
      </c>
      <c r="S10245" t="s">
        <v>45105</v>
      </c>
      <c r="T10245" t="s">
        <v>46403</v>
      </c>
      <c r="U10245" t="s">
        <v>48951</v>
      </c>
      <c r="W10245" t="s">
        <v>41659</v>
      </c>
      <c r="X10245" t="s">
        <v>44771</v>
      </c>
    </row>
    <row r="10246" spans="1:24">
      <c r="A10246">
        <f>HYPERLINK("https://www.philgeps.gov.ph/GEPSNONPILOT/Tender/SplashBidNoticeAbstractUI.aspx?menuIndex=3&amp;refID=7135445&amp;Result=3","7135445")</f>
        <v>0</v>
      </c>
      <c r="B10246" t="s">
        <v>3149</v>
      </c>
      <c r="C10246" t="s">
        <v>13483</v>
      </c>
      <c r="D10246" t="s">
        <v>17975</v>
      </c>
      <c r="E10246" t="s">
        <v>26918</v>
      </c>
      <c r="F10246" t="s">
        <v>30900</v>
      </c>
      <c r="G10246" t="s">
        <v>30907</v>
      </c>
      <c r="H10246" t="s">
        <v>30916</v>
      </c>
      <c r="I10246" t="s">
        <v>8123</v>
      </c>
      <c r="J10246" t="s">
        <v>37429</v>
      </c>
      <c r="K10246" t="s">
        <v>40287</v>
      </c>
      <c r="M10246" t="s">
        <v>43970</v>
      </c>
      <c r="N10246" t="s">
        <v>44759</v>
      </c>
      <c r="O10246" t="s">
        <v>44760</v>
      </c>
      <c r="P10246">
        <v>0</v>
      </c>
      <c r="Q10246">
        <v>0</v>
      </c>
      <c r="R10246" t="s">
        <v>44771</v>
      </c>
      <c r="S10246" t="s">
        <v>45143</v>
      </c>
      <c r="T10246" t="s">
        <v>46383</v>
      </c>
      <c r="U10246" t="s">
        <v>55435</v>
      </c>
      <c r="V10246" t="s">
        <v>60235</v>
      </c>
      <c r="W10246" t="s">
        <v>43970</v>
      </c>
      <c r="X10246" t="s">
        <v>44772</v>
      </c>
    </row>
    <row r="10247" spans="1:24">
      <c r="A10247">
        <f>HYPERLINK("https://www.philgeps.gov.ph/GEPSNONPILOT/Tender/SplashBidNoticeAbstractUI.aspx?menuIndex=3&amp;refID=7135369&amp;Result=3","7135369")</f>
        <v>0</v>
      </c>
      <c r="B10247" t="s">
        <v>3150</v>
      </c>
      <c r="C10247" t="s">
        <v>13484</v>
      </c>
      <c r="D10247" t="s">
        <v>18025</v>
      </c>
      <c r="E10247" t="s">
        <v>26919</v>
      </c>
      <c r="F10247" t="s">
        <v>30904</v>
      </c>
      <c r="G10247" t="s">
        <v>30907</v>
      </c>
      <c r="H10247" t="s">
        <v>30916</v>
      </c>
      <c r="I10247" t="s">
        <v>30932</v>
      </c>
      <c r="J10247" t="s">
        <v>31049</v>
      </c>
      <c r="K10247" t="s">
        <v>40294</v>
      </c>
      <c r="L10247" t="s">
        <v>3150</v>
      </c>
      <c r="M10247" t="s">
        <v>43971</v>
      </c>
      <c r="N10247" t="s">
        <v>44759</v>
      </c>
      <c r="O10247" t="s">
        <v>44760</v>
      </c>
      <c r="P10247">
        <v>0</v>
      </c>
      <c r="Q10247">
        <v>2</v>
      </c>
      <c r="R10247" t="s">
        <v>44771</v>
      </c>
      <c r="S10247" t="s">
        <v>45143</v>
      </c>
      <c r="T10247" t="s">
        <v>46376</v>
      </c>
      <c r="U10247" t="s">
        <v>55436</v>
      </c>
      <c r="W10247" t="s">
        <v>43971</v>
      </c>
      <c r="X10247" t="s">
        <v>44772</v>
      </c>
    </row>
    <row r="10248" spans="1:24">
      <c r="A10248">
        <f>HYPERLINK("https://www.philgeps.gov.ph/GEPSNONPILOT/Tender/SplashBidNoticeAbstractUI.aspx?menuIndex=3&amp;refID=7135363&amp;Result=3","7135363")</f>
        <v>0</v>
      </c>
      <c r="B10248" t="s">
        <v>308</v>
      </c>
      <c r="C10248" t="s">
        <v>13485</v>
      </c>
      <c r="D10248" t="s">
        <v>17955</v>
      </c>
      <c r="E10248" t="s">
        <v>26920</v>
      </c>
      <c r="F10248" t="s">
        <v>30900</v>
      </c>
      <c r="G10248" t="s">
        <v>30907</v>
      </c>
      <c r="H10248" t="s">
        <v>30915</v>
      </c>
      <c r="I10248" t="s">
        <v>30919</v>
      </c>
      <c r="J10248" t="s">
        <v>37430</v>
      </c>
      <c r="K10248" t="s">
        <v>40289</v>
      </c>
      <c r="M10248" t="s">
        <v>40858</v>
      </c>
      <c r="N10248" t="s">
        <v>44759</v>
      </c>
      <c r="O10248" t="s">
        <v>44760</v>
      </c>
      <c r="Q10248">
        <v>24</v>
      </c>
      <c r="R10248" t="s">
        <v>44771</v>
      </c>
      <c r="S10248" t="s">
        <v>45048</v>
      </c>
      <c r="T10248" t="s">
        <v>46409</v>
      </c>
      <c r="U10248" t="s">
        <v>55437</v>
      </c>
      <c r="W10248" t="s">
        <v>40858</v>
      </c>
      <c r="X10248" t="s">
        <v>44772</v>
      </c>
    </row>
    <row r="10249" spans="1:24">
      <c r="A10249">
        <f>HYPERLINK("https://www.philgeps.gov.ph/GEPSNONPILOT/Tender/SplashBidNoticeAbstractUI.aspx?menuIndex=3&amp;refID=7134740&amp;Result=3","7134740")</f>
        <v>0</v>
      </c>
      <c r="B10249" t="s">
        <v>3151</v>
      </c>
      <c r="C10249" t="s">
        <v>13486</v>
      </c>
      <c r="D10249" t="s">
        <v>18001</v>
      </c>
      <c r="E10249" t="s">
        <v>26921</v>
      </c>
      <c r="F10249" t="s">
        <v>30900</v>
      </c>
      <c r="G10249" t="s">
        <v>30907</v>
      </c>
      <c r="H10249" t="s">
        <v>30916</v>
      </c>
      <c r="I10249" t="s">
        <v>7708</v>
      </c>
      <c r="J10249" t="s">
        <v>37431</v>
      </c>
      <c r="K10249" t="s">
        <v>40485</v>
      </c>
      <c r="M10249" t="s">
        <v>43972</v>
      </c>
      <c r="N10249" t="s">
        <v>44759</v>
      </c>
      <c r="O10249" t="s">
        <v>44760</v>
      </c>
      <c r="Q10249">
        <v>4</v>
      </c>
      <c r="R10249" t="s">
        <v>44771</v>
      </c>
      <c r="S10249" t="s">
        <v>45145</v>
      </c>
      <c r="T10249" t="s">
        <v>46752</v>
      </c>
      <c r="U10249" t="s">
        <v>55438</v>
      </c>
      <c r="W10249" t="s">
        <v>43972</v>
      </c>
      <c r="X10249" t="s">
        <v>44773</v>
      </c>
    </row>
    <row r="10250" spans="1:24">
      <c r="A10250">
        <f>HYPERLINK("https://www.philgeps.gov.ph/GEPSNONPILOT/Tender/SplashBidNoticeAbstractUI.aspx?menuIndex=3&amp;refID=7135456&amp;Result=3","7135456")</f>
        <v>0</v>
      </c>
      <c r="B10250" t="s">
        <v>3152</v>
      </c>
      <c r="C10250" t="s">
        <v>13487</v>
      </c>
      <c r="D10250" t="s">
        <v>17970</v>
      </c>
      <c r="E10250" t="s">
        <v>19042</v>
      </c>
      <c r="F10250" t="s">
        <v>30900</v>
      </c>
      <c r="G10250" t="s">
        <v>30907</v>
      </c>
      <c r="H10250" t="s">
        <v>30915</v>
      </c>
      <c r="I10250" t="s">
        <v>30919</v>
      </c>
      <c r="J10250" t="s">
        <v>37432</v>
      </c>
      <c r="K10250" t="s">
        <v>40292</v>
      </c>
      <c r="M10250" t="s">
        <v>43973</v>
      </c>
      <c r="N10250" t="s">
        <v>44759</v>
      </c>
      <c r="O10250" t="s">
        <v>44760</v>
      </c>
      <c r="P10250">
        <v>0</v>
      </c>
      <c r="Q10250">
        <v>0</v>
      </c>
      <c r="R10250" t="s">
        <v>44771</v>
      </c>
      <c r="S10250" t="s">
        <v>45143</v>
      </c>
      <c r="T10250" t="s">
        <v>46439</v>
      </c>
      <c r="U10250" t="s">
        <v>55439</v>
      </c>
      <c r="W10250" t="s">
        <v>43973</v>
      </c>
      <c r="X10250" t="s">
        <v>44772</v>
      </c>
    </row>
    <row r="10251" spans="1:24">
      <c r="A10251">
        <f>HYPERLINK("https://www.philgeps.gov.ph/GEPSNONPILOT/Tender/SplashBidNoticeAbstractUI.aspx?menuIndex=3&amp;refID=7133985&amp;Result=3","7133985")</f>
        <v>0</v>
      </c>
      <c r="B10251" t="s">
        <v>3148</v>
      </c>
      <c r="C10251" t="s">
        <v>13488</v>
      </c>
      <c r="D10251" t="s">
        <v>18009</v>
      </c>
      <c r="E10251" t="s">
        <v>26922</v>
      </c>
      <c r="F10251" t="s">
        <v>30900</v>
      </c>
      <c r="G10251" t="s">
        <v>30907</v>
      </c>
      <c r="H10251" t="s">
        <v>30915</v>
      </c>
      <c r="I10251" t="s">
        <v>30919</v>
      </c>
      <c r="J10251" t="s">
        <v>37433</v>
      </c>
      <c r="K10251" t="s">
        <v>40292</v>
      </c>
      <c r="M10251" t="s">
        <v>43969</v>
      </c>
      <c r="N10251" t="s">
        <v>44759</v>
      </c>
      <c r="O10251" t="s">
        <v>44760</v>
      </c>
      <c r="P10251">
        <v>0</v>
      </c>
      <c r="Q10251">
        <v>14</v>
      </c>
      <c r="R10251" t="s">
        <v>44771</v>
      </c>
      <c r="S10251" t="s">
        <v>45143</v>
      </c>
      <c r="T10251" t="s">
        <v>46472</v>
      </c>
      <c r="U10251" t="s">
        <v>55440</v>
      </c>
      <c r="V10251" t="s">
        <v>60234</v>
      </c>
      <c r="W10251" t="s">
        <v>43969</v>
      </c>
      <c r="X10251" t="s">
        <v>44773</v>
      </c>
    </row>
    <row r="10252" spans="1:24">
      <c r="A10252">
        <f>HYPERLINK("https://www.philgeps.gov.ph/GEPSNONPILOT/Tender/SplashBidNoticeAbstractUI.aspx?menuIndex=3&amp;refID=7133762&amp;Result=3","7133762")</f>
        <v>0</v>
      </c>
      <c r="B10252" t="s">
        <v>3148</v>
      </c>
      <c r="C10252" t="s">
        <v>13489</v>
      </c>
      <c r="D10252" t="s">
        <v>17978</v>
      </c>
      <c r="E10252" t="s">
        <v>26923</v>
      </c>
      <c r="F10252" t="s">
        <v>30901</v>
      </c>
      <c r="G10252" t="s">
        <v>30907</v>
      </c>
      <c r="H10252" t="s">
        <v>30916</v>
      </c>
      <c r="I10252" t="s">
        <v>30933</v>
      </c>
      <c r="J10252" t="s">
        <v>31241</v>
      </c>
      <c r="K10252" t="s">
        <v>40286</v>
      </c>
      <c r="M10252" t="s">
        <v>43969</v>
      </c>
      <c r="N10252" t="s">
        <v>44759</v>
      </c>
      <c r="O10252" t="s">
        <v>44760</v>
      </c>
      <c r="P10252">
        <v>0</v>
      </c>
      <c r="Q10252">
        <v>7</v>
      </c>
      <c r="R10252" t="s">
        <v>44771</v>
      </c>
      <c r="S10252" t="s">
        <v>45143</v>
      </c>
      <c r="T10252" t="s">
        <v>46472</v>
      </c>
      <c r="U10252" t="s">
        <v>55441</v>
      </c>
      <c r="V10252" t="s">
        <v>60236</v>
      </c>
      <c r="W10252" t="s">
        <v>43969</v>
      </c>
      <c r="X10252" t="s">
        <v>44773</v>
      </c>
    </row>
    <row r="10253" spans="1:24">
      <c r="A10253">
        <f>HYPERLINK("https://www.philgeps.gov.ph/GEPSNONPILOT/Tender/SplashBidNoticeAbstractUI.aspx?menuIndex=3&amp;refID=7111211&amp;Result=3","7111211")</f>
        <v>0</v>
      </c>
      <c r="B10253" t="s">
        <v>3147</v>
      </c>
      <c r="C10253" t="s">
        <v>13490</v>
      </c>
      <c r="D10253" t="s">
        <v>17975</v>
      </c>
      <c r="E10253" t="s">
        <v>26924</v>
      </c>
      <c r="F10253" t="s">
        <v>30900</v>
      </c>
      <c r="G10253" t="s">
        <v>30907</v>
      </c>
      <c r="H10253" t="s">
        <v>30916</v>
      </c>
      <c r="I10253" t="s">
        <v>30933</v>
      </c>
      <c r="J10253" t="s">
        <v>37434</v>
      </c>
      <c r="K10253" t="s">
        <v>40286</v>
      </c>
      <c r="M10253" t="s">
        <v>43974</v>
      </c>
      <c r="N10253" t="s">
        <v>44759</v>
      </c>
      <c r="O10253" t="s">
        <v>44760</v>
      </c>
      <c r="Q10253">
        <v>3</v>
      </c>
      <c r="R10253" t="s">
        <v>44771</v>
      </c>
      <c r="S10253" t="s">
        <v>45146</v>
      </c>
      <c r="T10253" t="s">
        <v>46411</v>
      </c>
      <c r="U10253" t="s">
        <v>55442</v>
      </c>
      <c r="V10253" t="s">
        <v>60237</v>
      </c>
      <c r="W10253" t="s">
        <v>43974</v>
      </c>
      <c r="X10253" t="s">
        <v>44782</v>
      </c>
    </row>
    <row r="10254" spans="1:24">
      <c r="A10254">
        <f>HYPERLINK("https://www.philgeps.gov.ph/GEPSNONPILOT/Tender/SplashBidNoticeAbstractUI.aspx?menuIndex=3&amp;refID=7134372&amp;Result=3","7134372")</f>
        <v>0</v>
      </c>
      <c r="B10254" t="s">
        <v>3148</v>
      </c>
      <c r="C10254" t="s">
        <v>13491</v>
      </c>
      <c r="D10254" t="s">
        <v>18009</v>
      </c>
      <c r="E10254" t="s">
        <v>26925</v>
      </c>
      <c r="F10254" t="s">
        <v>30900</v>
      </c>
      <c r="G10254" t="s">
        <v>30907</v>
      </c>
      <c r="H10254" t="s">
        <v>30915</v>
      </c>
      <c r="I10254" t="s">
        <v>30919</v>
      </c>
      <c r="J10254" t="s">
        <v>37435</v>
      </c>
      <c r="K10254" t="s">
        <v>40378</v>
      </c>
      <c r="M10254" t="s">
        <v>43969</v>
      </c>
      <c r="N10254" t="s">
        <v>44759</v>
      </c>
      <c r="O10254" t="s">
        <v>44760</v>
      </c>
      <c r="P10254">
        <v>0</v>
      </c>
      <c r="Q10254">
        <v>15</v>
      </c>
      <c r="R10254" t="s">
        <v>44771</v>
      </c>
      <c r="S10254" t="s">
        <v>45143</v>
      </c>
      <c r="T10254" t="s">
        <v>46472</v>
      </c>
      <c r="U10254" t="s">
        <v>55443</v>
      </c>
      <c r="V10254" t="s">
        <v>60234</v>
      </c>
      <c r="W10254" t="s">
        <v>43969</v>
      </c>
      <c r="X10254" t="s">
        <v>44773</v>
      </c>
    </row>
    <row r="10255" spans="1:24">
      <c r="A10255">
        <f>HYPERLINK("https://www.philgeps.gov.ph/GEPSNONPILOT/Tender/SplashBidNoticeAbstractUI.aspx?menuIndex=3&amp;refID=7111182&amp;Result=3","7111182")</f>
        <v>0</v>
      </c>
      <c r="B10255" t="s">
        <v>3147</v>
      </c>
      <c r="C10255" t="s">
        <v>13492</v>
      </c>
      <c r="D10255" t="s">
        <v>17975</v>
      </c>
      <c r="E10255" t="s">
        <v>22667</v>
      </c>
      <c r="F10255" t="s">
        <v>30900</v>
      </c>
      <c r="G10255" t="s">
        <v>30907</v>
      </c>
      <c r="H10255" t="s">
        <v>30916</v>
      </c>
      <c r="I10255" t="s">
        <v>30933</v>
      </c>
      <c r="J10255" t="s">
        <v>31701</v>
      </c>
      <c r="K10255" t="s">
        <v>40286</v>
      </c>
      <c r="M10255" t="s">
        <v>43974</v>
      </c>
      <c r="N10255" t="s">
        <v>44759</v>
      </c>
      <c r="O10255" t="s">
        <v>44760</v>
      </c>
      <c r="Q10255">
        <v>8</v>
      </c>
      <c r="R10255" t="s">
        <v>44771</v>
      </c>
      <c r="S10255" t="s">
        <v>45147</v>
      </c>
      <c r="T10255" t="s">
        <v>46411</v>
      </c>
      <c r="U10255" t="s">
        <v>55444</v>
      </c>
      <c r="V10255" t="s">
        <v>60238</v>
      </c>
      <c r="W10255" t="s">
        <v>43974</v>
      </c>
      <c r="X10255" t="s">
        <v>44782</v>
      </c>
    </row>
    <row r="10256" spans="1:24">
      <c r="A10256">
        <f>HYPERLINK("https://www.philgeps.gov.ph/GEPSNONPILOT/Tender/SplashBidNoticeAbstractUI.aspx?menuIndex=3&amp;refID=7134826&amp;Result=3","7134826")</f>
        <v>0</v>
      </c>
      <c r="B10256" t="s">
        <v>1232</v>
      </c>
      <c r="C10256" t="s">
        <v>13493</v>
      </c>
      <c r="D10256" t="s">
        <v>17969</v>
      </c>
      <c r="E10256" t="s">
        <v>26926</v>
      </c>
      <c r="F10256" t="s">
        <v>30900</v>
      </c>
      <c r="G10256" t="s">
        <v>30907</v>
      </c>
      <c r="H10256" t="s">
        <v>30916</v>
      </c>
      <c r="I10256" t="s">
        <v>30963</v>
      </c>
      <c r="J10256" t="s">
        <v>31153</v>
      </c>
      <c r="K10256" t="s">
        <v>40292</v>
      </c>
      <c r="M10256" t="s">
        <v>43975</v>
      </c>
      <c r="N10256" t="s">
        <v>44759</v>
      </c>
      <c r="O10256" t="s">
        <v>44760</v>
      </c>
      <c r="P10256">
        <v>0</v>
      </c>
      <c r="Q10256">
        <v>4</v>
      </c>
      <c r="R10256" t="s">
        <v>44771</v>
      </c>
      <c r="S10256" t="s">
        <v>45143</v>
      </c>
      <c r="T10256" t="s">
        <v>46370</v>
      </c>
      <c r="U10256" t="s">
        <v>55445</v>
      </c>
      <c r="W10256" t="s">
        <v>43975</v>
      </c>
      <c r="X10256" t="s">
        <v>44773</v>
      </c>
    </row>
    <row r="10257" spans="1:24">
      <c r="A10257">
        <f>HYPERLINK("https://www.philgeps.gov.ph/GEPSNONPILOT/Tender/SplashBidNoticeAbstractUI.aspx?menuIndex=3&amp;refID=7133253&amp;Result=3","7133253")</f>
        <v>0</v>
      </c>
      <c r="B10257" t="s">
        <v>3147</v>
      </c>
      <c r="C10257" t="s">
        <v>13494</v>
      </c>
      <c r="D10257" t="s">
        <v>17975</v>
      </c>
      <c r="E10257" t="s">
        <v>26927</v>
      </c>
      <c r="F10257" t="s">
        <v>30900</v>
      </c>
      <c r="G10257" t="s">
        <v>30907</v>
      </c>
      <c r="H10257" t="s">
        <v>30915</v>
      </c>
      <c r="I10257" t="s">
        <v>30919</v>
      </c>
      <c r="J10257" t="s">
        <v>37436</v>
      </c>
      <c r="K10257" t="s">
        <v>40395</v>
      </c>
      <c r="M10257" t="s">
        <v>43968</v>
      </c>
      <c r="N10257" t="s">
        <v>44759</v>
      </c>
      <c r="O10257" t="s">
        <v>44760</v>
      </c>
      <c r="Q10257">
        <v>2</v>
      </c>
      <c r="R10257" t="s">
        <v>44771</v>
      </c>
      <c r="S10257" t="s">
        <v>45148</v>
      </c>
      <c r="T10257" t="s">
        <v>46519</v>
      </c>
      <c r="U10257" t="s">
        <v>55446</v>
      </c>
      <c r="V10257" t="s">
        <v>60233</v>
      </c>
      <c r="W10257" t="s">
        <v>43968</v>
      </c>
      <c r="X10257" t="s">
        <v>44773</v>
      </c>
    </row>
    <row r="10258" spans="1:24">
      <c r="A10258">
        <f>HYPERLINK("https://www.philgeps.gov.ph/GEPSNONPILOT/Tender/SplashBidNoticeAbstractUI.aspx?menuIndex=3&amp;refID=7131329&amp;Result=3","7131329")</f>
        <v>0</v>
      </c>
      <c r="B10258" t="s">
        <v>3153</v>
      </c>
      <c r="C10258" t="s">
        <v>13495</v>
      </c>
      <c r="D10258" t="s">
        <v>18009</v>
      </c>
      <c r="E10258" t="s">
        <v>26928</v>
      </c>
      <c r="F10258" t="s">
        <v>30900</v>
      </c>
      <c r="G10258" t="s">
        <v>30907</v>
      </c>
      <c r="H10258" t="s">
        <v>30916</v>
      </c>
      <c r="I10258" t="s">
        <v>8123</v>
      </c>
      <c r="J10258" t="s">
        <v>37437</v>
      </c>
      <c r="K10258" t="s">
        <v>40283</v>
      </c>
      <c r="M10258" t="s">
        <v>43976</v>
      </c>
      <c r="N10258" t="s">
        <v>44759</v>
      </c>
      <c r="O10258" t="s">
        <v>44760</v>
      </c>
      <c r="P10258">
        <v>0</v>
      </c>
      <c r="Q10258">
        <v>0</v>
      </c>
      <c r="R10258" t="s">
        <v>44772</v>
      </c>
      <c r="S10258" t="s">
        <v>45149</v>
      </c>
      <c r="T10258" t="s">
        <v>46353</v>
      </c>
      <c r="U10258" t="s">
        <v>55447</v>
      </c>
      <c r="W10258" t="s">
        <v>43976</v>
      </c>
      <c r="X10258" t="s">
        <v>44774</v>
      </c>
    </row>
    <row r="10259" spans="1:24">
      <c r="A10259">
        <f>HYPERLINK("https://www.philgeps.gov.ph/GEPSNONPILOT/Tender/SplashBidNoticeAbstractUI.aspx?menuIndex=3&amp;refID=7130687&amp;Result=3","7130687")</f>
        <v>0</v>
      </c>
      <c r="B10259" t="s">
        <v>1508</v>
      </c>
      <c r="C10259" t="s">
        <v>13496</v>
      </c>
      <c r="D10259" t="s">
        <v>17978</v>
      </c>
      <c r="E10259" t="s">
        <v>26929</v>
      </c>
      <c r="F10259" t="s">
        <v>30900</v>
      </c>
      <c r="G10259" t="s">
        <v>30907</v>
      </c>
      <c r="H10259" t="s">
        <v>30916</v>
      </c>
      <c r="I10259" t="s">
        <v>8123</v>
      </c>
      <c r="J10259" t="s">
        <v>37438</v>
      </c>
      <c r="K10259" t="s">
        <v>40283</v>
      </c>
      <c r="M10259" t="s">
        <v>42149</v>
      </c>
      <c r="N10259" t="s">
        <v>44759</v>
      </c>
      <c r="O10259" t="s">
        <v>44760</v>
      </c>
      <c r="P10259">
        <v>0</v>
      </c>
      <c r="Q10259">
        <v>1</v>
      </c>
      <c r="R10259" t="s">
        <v>44772</v>
      </c>
      <c r="S10259" t="s">
        <v>45149</v>
      </c>
      <c r="T10259" t="s">
        <v>46515</v>
      </c>
      <c r="U10259" t="s">
        <v>55448</v>
      </c>
      <c r="W10259" t="s">
        <v>42149</v>
      </c>
      <c r="X10259" t="s">
        <v>44774</v>
      </c>
    </row>
    <row r="10260" spans="1:24">
      <c r="A10260">
        <f>HYPERLINK("https://www.philgeps.gov.ph/GEPSNONPILOT/Tender/SplashBidNoticeAbstractUI.aspx?menuIndex=3&amp;refID=7129669&amp;Result=3","7129669")</f>
        <v>0</v>
      </c>
      <c r="B10260" t="s">
        <v>3154</v>
      </c>
      <c r="C10260" t="s">
        <v>13497</v>
      </c>
      <c r="D10260" t="s">
        <v>17964</v>
      </c>
      <c r="E10260" t="s">
        <v>19274</v>
      </c>
      <c r="F10260" t="s">
        <v>30900</v>
      </c>
      <c r="G10260" t="s">
        <v>30907</v>
      </c>
      <c r="H10260" t="s">
        <v>30915</v>
      </c>
      <c r="I10260" t="s">
        <v>30919</v>
      </c>
      <c r="J10260" t="s">
        <v>37439</v>
      </c>
      <c r="K10260" t="s">
        <v>40292</v>
      </c>
      <c r="M10260" t="s">
        <v>43977</v>
      </c>
      <c r="N10260" t="s">
        <v>44759</v>
      </c>
      <c r="O10260" t="s">
        <v>44760</v>
      </c>
      <c r="P10260">
        <v>0</v>
      </c>
      <c r="Q10260">
        <v>0</v>
      </c>
      <c r="R10260" t="s">
        <v>44772</v>
      </c>
      <c r="S10260" t="s">
        <v>45149</v>
      </c>
      <c r="T10260" t="s">
        <v>46439</v>
      </c>
      <c r="U10260" t="s">
        <v>55449</v>
      </c>
      <c r="W10260" t="s">
        <v>43977</v>
      </c>
      <c r="X10260" t="s">
        <v>44774</v>
      </c>
    </row>
    <row r="10261" spans="1:24">
      <c r="A10261">
        <f>HYPERLINK("https://www.philgeps.gov.ph/GEPSNONPILOT/Tender/SplashBidNoticeAbstractUI.aspx?menuIndex=3&amp;refID=7128330&amp;Result=3","7128330")</f>
        <v>0</v>
      </c>
      <c r="B10261" t="s">
        <v>3155</v>
      </c>
      <c r="C10261" t="s">
        <v>13498</v>
      </c>
      <c r="D10261" t="s">
        <v>17978</v>
      </c>
      <c r="E10261" t="s">
        <v>26930</v>
      </c>
      <c r="F10261" t="s">
        <v>30900</v>
      </c>
      <c r="G10261" t="s">
        <v>30907</v>
      </c>
      <c r="H10261" t="s">
        <v>30916</v>
      </c>
      <c r="I10261" t="s">
        <v>30923</v>
      </c>
      <c r="J10261" t="s">
        <v>37440</v>
      </c>
      <c r="K10261" t="s">
        <v>40289</v>
      </c>
      <c r="M10261" t="s">
        <v>43978</v>
      </c>
      <c r="N10261" t="s">
        <v>44759</v>
      </c>
      <c r="O10261" t="s">
        <v>44760</v>
      </c>
      <c r="P10261">
        <v>0</v>
      </c>
      <c r="Q10261">
        <v>13</v>
      </c>
      <c r="R10261" t="s">
        <v>44772</v>
      </c>
      <c r="S10261" t="s">
        <v>45149</v>
      </c>
      <c r="T10261" t="s">
        <v>46495</v>
      </c>
      <c r="U10261" t="s">
        <v>55450</v>
      </c>
      <c r="W10261" t="s">
        <v>43978</v>
      </c>
      <c r="X10261" t="s">
        <v>44775</v>
      </c>
    </row>
    <row r="10262" spans="1:24">
      <c r="A10262">
        <f>HYPERLINK("https://www.philgeps.gov.ph/GEPSNONPILOT/Tender/SplashBidNoticeAbstractUI.aspx?menuIndex=3&amp;refID=7135354&amp;Result=3","7135354")</f>
        <v>0</v>
      </c>
      <c r="B10262" t="s">
        <v>1812</v>
      </c>
      <c r="C10262" t="s">
        <v>13499</v>
      </c>
      <c r="D10262" t="s">
        <v>17988</v>
      </c>
      <c r="E10262" t="s">
        <v>26931</v>
      </c>
      <c r="F10262" t="s">
        <v>30900</v>
      </c>
      <c r="G10262" t="s">
        <v>30907</v>
      </c>
      <c r="H10262" t="s">
        <v>30916</v>
      </c>
      <c r="I10262" t="s">
        <v>30939</v>
      </c>
      <c r="J10262" t="s">
        <v>37441</v>
      </c>
      <c r="K10262" t="s">
        <v>40291</v>
      </c>
      <c r="M10262" t="s">
        <v>42486</v>
      </c>
      <c r="N10262" t="s">
        <v>44759</v>
      </c>
      <c r="O10262" t="s">
        <v>44760</v>
      </c>
      <c r="P10262">
        <v>0</v>
      </c>
      <c r="Q10262">
        <v>2</v>
      </c>
      <c r="R10262" t="s">
        <v>44771</v>
      </c>
      <c r="S10262" t="s">
        <v>45143</v>
      </c>
      <c r="T10262" t="s">
        <v>46353</v>
      </c>
      <c r="U10262" t="s">
        <v>55451</v>
      </c>
      <c r="W10262" t="s">
        <v>42486</v>
      </c>
      <c r="X10262" t="s">
        <v>44772</v>
      </c>
    </row>
    <row r="10263" spans="1:24">
      <c r="A10263">
        <f>HYPERLINK("https://www.philgeps.gov.ph/GEPSNONPILOT/Tender/SplashBidNoticeAbstractUI.aspx?menuIndex=3&amp;refID=7127831&amp;Result=3","7127831")</f>
        <v>0</v>
      </c>
      <c r="B10263" t="s">
        <v>1100</v>
      </c>
      <c r="C10263" t="s">
        <v>13500</v>
      </c>
      <c r="D10263" t="s">
        <v>17980</v>
      </c>
      <c r="E10263" t="s">
        <v>26932</v>
      </c>
      <c r="F10263" t="s">
        <v>30900</v>
      </c>
      <c r="G10263" t="s">
        <v>30908</v>
      </c>
      <c r="H10263" t="s">
        <v>30916</v>
      </c>
      <c r="I10263" t="s">
        <v>30942</v>
      </c>
      <c r="J10263" t="s">
        <v>37442</v>
      </c>
      <c r="K10263" t="s">
        <v>40289</v>
      </c>
      <c r="M10263" t="s">
        <v>41789</v>
      </c>
      <c r="N10263" t="s">
        <v>44759</v>
      </c>
      <c r="O10263" t="s">
        <v>44760</v>
      </c>
      <c r="Q10263">
        <v>0</v>
      </c>
      <c r="R10263" t="s">
        <v>44772</v>
      </c>
      <c r="S10263" t="s">
        <v>45150</v>
      </c>
      <c r="T10263" t="s">
        <v>46548</v>
      </c>
      <c r="U10263" t="s">
        <v>55452</v>
      </c>
      <c r="W10263" t="s">
        <v>41789</v>
      </c>
      <c r="X10263" t="s">
        <v>44775</v>
      </c>
    </row>
    <row r="10264" spans="1:24">
      <c r="A10264">
        <f>HYPERLINK("https://www.philgeps.gov.ph/GEPSNONPILOT/Tender/SplashBidNoticeAbstractUI.aspx?menuIndex=3&amp;refID=7131468&amp;Result=3","7131468")</f>
        <v>0</v>
      </c>
      <c r="B10264" t="s">
        <v>1100</v>
      </c>
      <c r="C10264" t="s">
        <v>13501</v>
      </c>
      <c r="D10264" t="s">
        <v>17980</v>
      </c>
      <c r="E10264" t="s">
        <v>26933</v>
      </c>
      <c r="F10264" t="s">
        <v>30900</v>
      </c>
      <c r="G10264" t="s">
        <v>30908</v>
      </c>
      <c r="H10264" t="s">
        <v>30916</v>
      </c>
      <c r="I10264" t="s">
        <v>6746</v>
      </c>
      <c r="J10264" t="s">
        <v>37443</v>
      </c>
      <c r="K10264" t="s">
        <v>40289</v>
      </c>
      <c r="M10264" t="s">
        <v>41789</v>
      </c>
      <c r="N10264" t="s">
        <v>44759</v>
      </c>
      <c r="O10264" t="s">
        <v>44760</v>
      </c>
      <c r="Q10264">
        <v>0</v>
      </c>
      <c r="R10264" t="s">
        <v>44772</v>
      </c>
      <c r="S10264" t="s">
        <v>45151</v>
      </c>
      <c r="T10264" t="s">
        <v>46548</v>
      </c>
      <c r="U10264" t="s">
        <v>55453</v>
      </c>
      <c r="W10264" t="s">
        <v>41789</v>
      </c>
      <c r="X10264" t="s">
        <v>44774</v>
      </c>
    </row>
    <row r="10265" spans="1:24">
      <c r="A10265">
        <f>HYPERLINK("https://www.philgeps.gov.ph/GEPSNONPILOT/Tender/SplashBidNoticeAbstractUI.aspx?menuIndex=3&amp;refID=7135728&amp;Result=3","7135728")</f>
        <v>0</v>
      </c>
      <c r="B10265" t="s">
        <v>905</v>
      </c>
      <c r="C10265" t="s">
        <v>13502</v>
      </c>
      <c r="D10265" t="s">
        <v>18015</v>
      </c>
      <c r="E10265" t="s">
        <v>19396</v>
      </c>
      <c r="F10265" t="s">
        <v>30900</v>
      </c>
      <c r="G10265" t="s">
        <v>30907</v>
      </c>
      <c r="H10265" t="s">
        <v>30916</v>
      </c>
      <c r="I10265" t="s">
        <v>30933</v>
      </c>
      <c r="J10265" t="s">
        <v>32110</v>
      </c>
      <c r="K10265" t="s">
        <v>40308</v>
      </c>
      <c r="L10265" t="s">
        <v>905</v>
      </c>
      <c r="M10265" t="s">
        <v>41480</v>
      </c>
      <c r="N10265" t="s">
        <v>44759</v>
      </c>
      <c r="O10265" t="s">
        <v>44760</v>
      </c>
      <c r="Q10265">
        <v>7</v>
      </c>
      <c r="R10265" t="s">
        <v>44771</v>
      </c>
      <c r="S10265" t="s">
        <v>45152</v>
      </c>
      <c r="T10265" t="s">
        <v>46752</v>
      </c>
      <c r="U10265" t="s">
        <v>55454</v>
      </c>
      <c r="W10265" t="s">
        <v>41480</v>
      </c>
      <c r="X10265" t="s">
        <v>44772</v>
      </c>
    </row>
    <row r="10266" spans="1:24">
      <c r="A10266">
        <f>HYPERLINK("https://www.philgeps.gov.ph/GEPSNONPILOT/Tender/SplashBidNoticeAbstractUI.aspx?menuIndex=3&amp;refID=7135718&amp;Result=3","7135718")</f>
        <v>0</v>
      </c>
      <c r="B10266" t="s">
        <v>3156</v>
      </c>
      <c r="C10266" t="s">
        <v>13503</v>
      </c>
      <c r="D10266" t="s">
        <v>17999</v>
      </c>
      <c r="E10266" t="s">
        <v>26934</v>
      </c>
      <c r="F10266" t="s">
        <v>30900</v>
      </c>
      <c r="G10266" t="s">
        <v>30907</v>
      </c>
      <c r="H10266" t="s">
        <v>30916</v>
      </c>
      <c r="I10266" t="s">
        <v>9385</v>
      </c>
      <c r="J10266" t="s">
        <v>37106</v>
      </c>
      <c r="K10266" t="s">
        <v>40280</v>
      </c>
      <c r="M10266" t="s">
        <v>43979</v>
      </c>
      <c r="N10266" t="s">
        <v>44759</v>
      </c>
      <c r="O10266" t="s">
        <v>44760</v>
      </c>
      <c r="P10266">
        <v>0</v>
      </c>
      <c r="Q10266">
        <v>50</v>
      </c>
      <c r="R10266" t="s">
        <v>44771</v>
      </c>
      <c r="S10266" t="s">
        <v>45143</v>
      </c>
      <c r="T10266" t="s">
        <v>46472</v>
      </c>
      <c r="U10266" t="s">
        <v>55455</v>
      </c>
      <c r="W10266" t="s">
        <v>60918</v>
      </c>
      <c r="X10266" t="s">
        <v>44772</v>
      </c>
    </row>
    <row r="10267" spans="1:24">
      <c r="A10267">
        <f>HYPERLINK("https://www.philgeps.gov.ph/GEPSNONPILOT/Tender/SplashBidNoticeAbstractUI.aspx?menuIndex=3&amp;refID=7128386&amp;Result=3","7128386")</f>
        <v>0</v>
      </c>
      <c r="B10267" t="s">
        <v>3155</v>
      </c>
      <c r="C10267" t="s">
        <v>13504</v>
      </c>
      <c r="D10267" t="s">
        <v>17978</v>
      </c>
      <c r="E10267" t="s">
        <v>26930</v>
      </c>
      <c r="F10267" t="s">
        <v>30900</v>
      </c>
      <c r="G10267" t="s">
        <v>30907</v>
      </c>
      <c r="H10267" t="s">
        <v>30916</v>
      </c>
      <c r="I10267" t="s">
        <v>30929</v>
      </c>
      <c r="J10267" t="s">
        <v>37440</v>
      </c>
      <c r="K10267" t="s">
        <v>40289</v>
      </c>
      <c r="M10267" t="s">
        <v>43978</v>
      </c>
      <c r="N10267" t="s">
        <v>44759</v>
      </c>
      <c r="O10267" t="s">
        <v>44760</v>
      </c>
      <c r="P10267">
        <v>0</v>
      </c>
      <c r="Q10267">
        <v>17</v>
      </c>
      <c r="R10267" t="s">
        <v>44772</v>
      </c>
      <c r="S10267" t="s">
        <v>45149</v>
      </c>
      <c r="T10267" t="s">
        <v>46495</v>
      </c>
      <c r="U10267" t="s">
        <v>55456</v>
      </c>
      <c r="W10267" t="s">
        <v>43978</v>
      </c>
      <c r="X10267" t="s">
        <v>44775</v>
      </c>
    </row>
    <row r="10268" spans="1:24">
      <c r="A10268">
        <f>HYPERLINK("https://www.philgeps.gov.ph/GEPSNONPILOT/Tender/SplashBidNoticeAbstractUI.aspx?menuIndex=3&amp;refID=7135713&amp;Result=3","7135713")</f>
        <v>0</v>
      </c>
      <c r="B10268" t="s">
        <v>905</v>
      </c>
      <c r="C10268" t="s">
        <v>13505</v>
      </c>
      <c r="D10268" t="s">
        <v>18015</v>
      </c>
      <c r="E10268" t="s">
        <v>22270</v>
      </c>
      <c r="F10268" t="s">
        <v>30900</v>
      </c>
      <c r="G10268" t="s">
        <v>30907</v>
      </c>
      <c r="H10268" t="s">
        <v>30916</v>
      </c>
      <c r="I10268" t="s">
        <v>30933</v>
      </c>
      <c r="J10268" t="s">
        <v>35229</v>
      </c>
      <c r="K10268" t="s">
        <v>40308</v>
      </c>
      <c r="L10268" t="s">
        <v>905</v>
      </c>
      <c r="M10268" t="s">
        <v>41480</v>
      </c>
      <c r="N10268" t="s">
        <v>44759</v>
      </c>
      <c r="O10268" t="s">
        <v>44760</v>
      </c>
      <c r="Q10268">
        <v>2</v>
      </c>
      <c r="R10268" t="s">
        <v>44771</v>
      </c>
      <c r="S10268" t="s">
        <v>45153</v>
      </c>
      <c r="T10268" t="s">
        <v>46544</v>
      </c>
      <c r="U10268" t="s">
        <v>55457</v>
      </c>
      <c r="W10268" t="s">
        <v>41480</v>
      </c>
      <c r="X10268" t="s">
        <v>44772</v>
      </c>
    </row>
    <row r="10269" spans="1:24">
      <c r="A10269">
        <f>HYPERLINK("https://www.philgeps.gov.ph/GEPSNONPILOT/Tender/SplashBidNoticeAbstractUI.aspx?menuIndex=3&amp;refID=7135709&amp;Result=3","7135709")</f>
        <v>0</v>
      </c>
      <c r="B10269" t="s">
        <v>2880</v>
      </c>
      <c r="C10269" t="s">
        <v>13506</v>
      </c>
      <c r="D10269" t="s">
        <v>17966</v>
      </c>
      <c r="E10269" t="s">
        <v>26935</v>
      </c>
      <c r="F10269" t="s">
        <v>30900</v>
      </c>
      <c r="G10269" t="s">
        <v>30907</v>
      </c>
      <c r="H10269" t="s">
        <v>30916</v>
      </c>
      <c r="I10269" t="s">
        <v>4108</v>
      </c>
      <c r="J10269" t="s">
        <v>37444</v>
      </c>
      <c r="K10269" t="s">
        <v>40286</v>
      </c>
      <c r="M10269" t="s">
        <v>43672</v>
      </c>
      <c r="N10269" t="s">
        <v>44759</v>
      </c>
      <c r="O10269" t="s">
        <v>44760</v>
      </c>
      <c r="P10269">
        <v>0</v>
      </c>
      <c r="Q10269">
        <v>1</v>
      </c>
      <c r="R10269" t="s">
        <v>44771</v>
      </c>
      <c r="S10269" t="s">
        <v>45143</v>
      </c>
      <c r="T10269" t="s">
        <v>46625</v>
      </c>
      <c r="U10269" t="s">
        <v>55458</v>
      </c>
      <c r="V10269" t="s">
        <v>60239</v>
      </c>
      <c r="W10269" t="s">
        <v>43672</v>
      </c>
      <c r="X10269" t="s">
        <v>44772</v>
      </c>
    </row>
    <row r="10270" spans="1:24">
      <c r="A10270">
        <f>HYPERLINK("https://www.philgeps.gov.ph/GEPSNONPILOT/Tender/SplashBidNoticeAbstractUI.aspx?menuIndex=3&amp;refID=7135672&amp;Result=3","7135672")</f>
        <v>0</v>
      </c>
      <c r="B10270" t="s">
        <v>3157</v>
      </c>
      <c r="C10270" t="s">
        <v>13507</v>
      </c>
      <c r="D10270" t="s">
        <v>17953</v>
      </c>
      <c r="E10270" t="s">
        <v>26936</v>
      </c>
      <c r="F10270" t="s">
        <v>30900</v>
      </c>
      <c r="G10270" t="s">
        <v>30907</v>
      </c>
      <c r="H10270" t="s">
        <v>30916</v>
      </c>
      <c r="I10270" t="s">
        <v>11785</v>
      </c>
      <c r="J10270" t="s">
        <v>32332</v>
      </c>
      <c r="K10270" t="s">
        <v>40287</v>
      </c>
      <c r="M10270" t="s">
        <v>43980</v>
      </c>
      <c r="N10270" t="s">
        <v>44759</v>
      </c>
      <c r="O10270" t="s">
        <v>44760</v>
      </c>
      <c r="P10270">
        <v>0</v>
      </c>
      <c r="Q10270">
        <v>2</v>
      </c>
      <c r="R10270" t="s">
        <v>44771</v>
      </c>
      <c r="S10270" t="s">
        <v>45143</v>
      </c>
      <c r="T10270" t="s">
        <v>46853</v>
      </c>
      <c r="U10270" t="s">
        <v>55459</v>
      </c>
      <c r="W10270" t="s">
        <v>43980</v>
      </c>
      <c r="X10270" t="s">
        <v>44772</v>
      </c>
    </row>
    <row r="10271" spans="1:24">
      <c r="A10271">
        <f>HYPERLINK("https://www.philgeps.gov.ph/GEPSNONPILOT/Tender/SplashBidNoticeAbstractUI.aspx?menuIndex=3&amp;refID=7132828&amp;Result=3","7132828")</f>
        <v>0</v>
      </c>
      <c r="B10271" t="s">
        <v>3158</v>
      </c>
      <c r="C10271" t="s">
        <v>13508</v>
      </c>
      <c r="D10271" t="s">
        <v>18019</v>
      </c>
      <c r="E10271" t="s">
        <v>20527</v>
      </c>
      <c r="F10271" t="s">
        <v>30904</v>
      </c>
      <c r="G10271" t="s">
        <v>30907</v>
      </c>
      <c r="H10271" t="s">
        <v>30916</v>
      </c>
      <c r="I10271" t="s">
        <v>8365</v>
      </c>
      <c r="J10271" t="s">
        <v>37445</v>
      </c>
      <c r="K10271" t="s">
        <v>40289</v>
      </c>
      <c r="M10271" t="s">
        <v>43981</v>
      </c>
      <c r="N10271" t="s">
        <v>44759</v>
      </c>
      <c r="O10271" t="s">
        <v>44760</v>
      </c>
      <c r="P10271">
        <v>0</v>
      </c>
      <c r="Q10271">
        <v>3</v>
      </c>
      <c r="R10271" t="s">
        <v>44772</v>
      </c>
      <c r="S10271" t="s">
        <v>45149</v>
      </c>
      <c r="T10271" t="s">
        <v>46483</v>
      </c>
      <c r="U10271" t="s">
        <v>55460</v>
      </c>
      <c r="W10271" t="s">
        <v>43981</v>
      </c>
      <c r="X10271" t="s">
        <v>44773</v>
      </c>
    </row>
    <row r="10272" spans="1:24">
      <c r="A10272">
        <f>HYPERLINK("https://www.philgeps.gov.ph/GEPSNONPILOT/Tender/SplashBidNoticeAbstractUI.aspx?menuIndex=3&amp;refID=7128231&amp;Result=3","7128231")</f>
        <v>0</v>
      </c>
      <c r="B10272" t="s">
        <v>3155</v>
      </c>
      <c r="C10272" t="s">
        <v>13509</v>
      </c>
      <c r="D10272" t="s">
        <v>17978</v>
      </c>
      <c r="E10272" t="s">
        <v>26937</v>
      </c>
      <c r="F10272" t="s">
        <v>30900</v>
      </c>
      <c r="G10272" t="s">
        <v>30907</v>
      </c>
      <c r="H10272" t="s">
        <v>30916</v>
      </c>
      <c r="I10272" t="s">
        <v>30929</v>
      </c>
      <c r="J10272" t="s">
        <v>37446</v>
      </c>
      <c r="K10272" t="s">
        <v>40289</v>
      </c>
      <c r="M10272" t="s">
        <v>43978</v>
      </c>
      <c r="N10272" t="s">
        <v>44759</v>
      </c>
      <c r="O10272" t="s">
        <v>44760</v>
      </c>
      <c r="P10272">
        <v>0</v>
      </c>
      <c r="Q10272">
        <v>19</v>
      </c>
      <c r="R10272" t="s">
        <v>44772</v>
      </c>
      <c r="S10272" t="s">
        <v>45149</v>
      </c>
      <c r="T10272" t="s">
        <v>46495</v>
      </c>
      <c r="U10272" t="s">
        <v>55461</v>
      </c>
      <c r="W10272" t="s">
        <v>43978</v>
      </c>
      <c r="X10272" t="s">
        <v>44775</v>
      </c>
    </row>
    <row r="10273" spans="1:24">
      <c r="A10273">
        <f>HYPERLINK("https://www.philgeps.gov.ph/GEPSNONPILOT/Tender/SplashBidNoticeAbstractUI.aspx?menuIndex=3&amp;refID=7132825&amp;Result=3","7132825")</f>
        <v>0</v>
      </c>
      <c r="B10273" t="s">
        <v>250</v>
      </c>
      <c r="C10273" t="s">
        <v>13510</v>
      </c>
      <c r="E10273" t="s">
        <v>26938</v>
      </c>
      <c r="F10273" t="s">
        <v>30900</v>
      </c>
      <c r="G10273" t="s">
        <v>30907</v>
      </c>
      <c r="H10273" t="s">
        <v>30916</v>
      </c>
      <c r="I10273" t="s">
        <v>30945</v>
      </c>
      <c r="J10273" t="s">
        <v>37447</v>
      </c>
      <c r="K10273" t="s">
        <v>40283</v>
      </c>
      <c r="M10273" t="s">
        <v>40797</v>
      </c>
      <c r="N10273" t="s">
        <v>44759</v>
      </c>
      <c r="O10273" t="s">
        <v>44760</v>
      </c>
      <c r="P10273">
        <v>0</v>
      </c>
      <c r="Q10273">
        <v>3</v>
      </c>
      <c r="R10273" t="s">
        <v>44772</v>
      </c>
      <c r="S10273" t="s">
        <v>45149</v>
      </c>
      <c r="T10273" t="s">
        <v>46374</v>
      </c>
      <c r="U10273" t="s">
        <v>49529</v>
      </c>
      <c r="W10273" t="s">
        <v>40797</v>
      </c>
      <c r="X10273" t="s">
        <v>44773</v>
      </c>
    </row>
    <row r="10274" spans="1:24">
      <c r="A10274">
        <f>HYPERLINK("https://www.philgeps.gov.ph/GEPSNONPILOT/Tender/SplashBidNoticeAbstractUI.aspx?menuIndex=3&amp;refID=7135381&amp;Result=3","7135381")</f>
        <v>0</v>
      </c>
      <c r="B10274" t="s">
        <v>3159</v>
      </c>
      <c r="C10274" t="s">
        <v>13511</v>
      </c>
      <c r="E10274" t="s">
        <v>26939</v>
      </c>
      <c r="F10274" t="s">
        <v>30900</v>
      </c>
      <c r="G10274" t="s">
        <v>30907</v>
      </c>
      <c r="H10274" t="s">
        <v>30915</v>
      </c>
      <c r="I10274" t="s">
        <v>30919</v>
      </c>
      <c r="J10274" t="s">
        <v>37448</v>
      </c>
      <c r="K10274" t="s">
        <v>40346</v>
      </c>
      <c r="M10274" t="s">
        <v>43982</v>
      </c>
      <c r="N10274" t="s">
        <v>44759</v>
      </c>
      <c r="O10274" t="s">
        <v>44760</v>
      </c>
      <c r="P10274">
        <v>0</v>
      </c>
      <c r="Q10274">
        <v>0</v>
      </c>
      <c r="R10274" t="s">
        <v>44771</v>
      </c>
      <c r="S10274" t="s">
        <v>45143</v>
      </c>
      <c r="T10274" t="s">
        <v>46393</v>
      </c>
      <c r="U10274" t="s">
        <v>55462</v>
      </c>
      <c r="V10274" t="s">
        <v>60240</v>
      </c>
      <c r="W10274" t="s">
        <v>43982</v>
      </c>
      <c r="X10274" t="s">
        <v>44772</v>
      </c>
    </row>
    <row r="10275" spans="1:24">
      <c r="A10275">
        <f>HYPERLINK("https://www.philgeps.gov.ph/GEPSNONPILOT/Tender/SplashBidNoticeAbstractUI.aspx?menuIndex=3&amp;refID=7132772&amp;Result=3","7132772")</f>
        <v>0</v>
      </c>
      <c r="B10275" t="s">
        <v>212</v>
      </c>
      <c r="C10275" t="s">
        <v>13512</v>
      </c>
      <c r="D10275" t="s">
        <v>17962</v>
      </c>
      <c r="E10275" t="s">
        <v>26940</v>
      </c>
      <c r="F10275" t="s">
        <v>30900</v>
      </c>
      <c r="G10275" t="s">
        <v>30907</v>
      </c>
      <c r="H10275" t="s">
        <v>30916</v>
      </c>
      <c r="I10275" t="s">
        <v>8123</v>
      </c>
      <c r="J10275" t="s">
        <v>37449</v>
      </c>
      <c r="K10275" t="s">
        <v>40284</v>
      </c>
      <c r="M10275" t="s">
        <v>40759</v>
      </c>
      <c r="N10275" t="s">
        <v>44759</v>
      </c>
      <c r="O10275" t="s">
        <v>44760</v>
      </c>
      <c r="P10275">
        <v>0</v>
      </c>
      <c r="Q10275">
        <v>1</v>
      </c>
      <c r="R10275" t="s">
        <v>44772</v>
      </c>
      <c r="S10275" t="s">
        <v>45149</v>
      </c>
      <c r="T10275" t="s">
        <v>46441</v>
      </c>
      <c r="U10275" t="s">
        <v>55463</v>
      </c>
      <c r="W10275" t="s">
        <v>40759</v>
      </c>
      <c r="X10275" t="s">
        <v>44773</v>
      </c>
    </row>
    <row r="10276" spans="1:24">
      <c r="A10276">
        <f>HYPERLINK("https://www.philgeps.gov.ph/GEPSNONPILOT/Tender/SplashBidNoticeAbstractUI.aspx?menuIndex=3&amp;refID=7134696&amp;Result=3","7134696")</f>
        <v>0</v>
      </c>
      <c r="B10276" t="s">
        <v>3151</v>
      </c>
      <c r="C10276" t="s">
        <v>13513</v>
      </c>
      <c r="D10276" t="s">
        <v>18001</v>
      </c>
      <c r="E10276" t="s">
        <v>26941</v>
      </c>
      <c r="F10276" t="s">
        <v>30900</v>
      </c>
      <c r="G10276" t="s">
        <v>30906</v>
      </c>
      <c r="H10276" t="s">
        <v>7411</v>
      </c>
      <c r="I10276" t="s">
        <v>30971</v>
      </c>
      <c r="J10276" t="s">
        <v>31241</v>
      </c>
      <c r="K10276" t="s">
        <v>40395</v>
      </c>
      <c r="M10276" t="s">
        <v>43972</v>
      </c>
      <c r="N10276" t="s">
        <v>44759</v>
      </c>
      <c r="O10276" t="s">
        <v>44760</v>
      </c>
      <c r="Q10276">
        <v>1</v>
      </c>
      <c r="R10276" t="s">
        <v>44771</v>
      </c>
      <c r="S10276" t="s">
        <v>45154</v>
      </c>
      <c r="T10276" t="s">
        <v>46752</v>
      </c>
      <c r="U10276" t="s">
        <v>55464</v>
      </c>
      <c r="W10276" t="s">
        <v>43972</v>
      </c>
      <c r="X10276" t="s">
        <v>44773</v>
      </c>
    </row>
    <row r="10277" spans="1:24">
      <c r="A10277">
        <f>HYPERLINK("https://www.philgeps.gov.ph/GEPSNONPILOT/Tender/SplashBidNoticeAbstractUI.aspx?menuIndex=3&amp;refID=7132819&amp;Result=3","7132819")</f>
        <v>0</v>
      </c>
      <c r="B10277" t="s">
        <v>2184</v>
      </c>
      <c r="C10277" t="s">
        <v>13514</v>
      </c>
      <c r="D10277" t="s">
        <v>17972</v>
      </c>
      <c r="E10277" t="s">
        <v>26942</v>
      </c>
      <c r="F10277" t="s">
        <v>30900</v>
      </c>
      <c r="G10277" t="s">
        <v>30907</v>
      </c>
      <c r="H10277" t="s">
        <v>7411</v>
      </c>
      <c r="I10277" t="s">
        <v>7411</v>
      </c>
      <c r="J10277" t="s">
        <v>37450</v>
      </c>
      <c r="K10277" t="s">
        <v>40312</v>
      </c>
      <c r="L10277" t="s">
        <v>2184</v>
      </c>
      <c r="M10277" t="s">
        <v>42891</v>
      </c>
      <c r="N10277" t="s">
        <v>44759</v>
      </c>
      <c r="O10277" t="s">
        <v>44760</v>
      </c>
      <c r="P10277">
        <v>0</v>
      </c>
      <c r="Q10277">
        <v>4</v>
      </c>
      <c r="R10277" t="s">
        <v>44772</v>
      </c>
      <c r="S10277" t="s">
        <v>45149</v>
      </c>
      <c r="T10277" t="s">
        <v>46533</v>
      </c>
      <c r="U10277" t="s">
        <v>55465</v>
      </c>
      <c r="W10277" t="s">
        <v>42891</v>
      </c>
      <c r="X10277" t="s">
        <v>44773</v>
      </c>
    </row>
    <row r="10278" spans="1:24">
      <c r="A10278">
        <f>HYPERLINK("https://www.philgeps.gov.ph/GEPSNONPILOT/Tender/SplashBidNoticeAbstractUI.aspx?menuIndex=3&amp;refID=7088057-2&amp;Result=3","7088057-2")</f>
        <v>0</v>
      </c>
      <c r="B10278" t="s">
        <v>2276</v>
      </c>
      <c r="C10278" t="s">
        <v>13515</v>
      </c>
      <c r="E10278" t="s">
        <v>26943</v>
      </c>
      <c r="F10278" t="s">
        <v>30900</v>
      </c>
      <c r="G10278" t="s">
        <v>30907</v>
      </c>
      <c r="H10278" t="s">
        <v>7411</v>
      </c>
      <c r="I10278" t="s">
        <v>7411</v>
      </c>
      <c r="J10278" t="s">
        <v>34097</v>
      </c>
      <c r="K10278" t="s">
        <v>40289</v>
      </c>
      <c r="M10278" t="s">
        <v>43983</v>
      </c>
      <c r="N10278" t="s">
        <v>44759</v>
      </c>
      <c r="O10278" t="s">
        <v>44760</v>
      </c>
      <c r="P10278">
        <v>0</v>
      </c>
      <c r="Q10278">
        <v>2</v>
      </c>
      <c r="R10278" t="s">
        <v>44772</v>
      </c>
      <c r="S10278" t="s">
        <v>45149</v>
      </c>
      <c r="T10278" t="s">
        <v>46472</v>
      </c>
      <c r="U10278" t="s">
        <v>55466</v>
      </c>
      <c r="W10278" t="s">
        <v>43983</v>
      </c>
      <c r="X10278" t="s">
        <v>44773</v>
      </c>
    </row>
    <row r="10279" spans="1:24">
      <c r="A10279">
        <f>HYPERLINK("https://www.philgeps.gov.ph/GEPSNONPILOT/Tender/SplashBidNoticeAbstractUI.aspx?menuIndex=3&amp;refID=7132756&amp;Result=3","7132756")</f>
        <v>0</v>
      </c>
      <c r="B10279" t="s">
        <v>856</v>
      </c>
      <c r="C10279" t="s">
        <v>13516</v>
      </c>
      <c r="D10279" t="s">
        <v>17971</v>
      </c>
      <c r="E10279" t="s">
        <v>26944</v>
      </c>
      <c r="F10279" t="s">
        <v>30900</v>
      </c>
      <c r="G10279" t="s">
        <v>30908</v>
      </c>
      <c r="H10279" t="s">
        <v>30917</v>
      </c>
      <c r="I10279" t="s">
        <v>30942</v>
      </c>
      <c r="J10279" t="s">
        <v>31097</v>
      </c>
      <c r="K10279" t="s">
        <v>40283</v>
      </c>
      <c r="M10279" t="s">
        <v>41429</v>
      </c>
      <c r="N10279" t="s">
        <v>44759</v>
      </c>
      <c r="O10279" t="s">
        <v>44760</v>
      </c>
      <c r="P10279">
        <v>0</v>
      </c>
      <c r="Q10279">
        <v>1</v>
      </c>
      <c r="R10279" t="s">
        <v>44772</v>
      </c>
      <c r="S10279" t="s">
        <v>45149</v>
      </c>
      <c r="T10279" t="s">
        <v>46700</v>
      </c>
      <c r="U10279" t="s">
        <v>55467</v>
      </c>
      <c r="W10279" t="s">
        <v>41429</v>
      </c>
      <c r="X10279" t="s">
        <v>44773</v>
      </c>
    </row>
    <row r="10280" spans="1:24">
      <c r="A10280">
        <f>HYPERLINK("https://www.philgeps.gov.ph/GEPSNONPILOT/Tender/SplashBidNoticeAbstractUI.aspx?menuIndex=3&amp;refID=7132761&amp;Result=3","7132761")</f>
        <v>0</v>
      </c>
      <c r="B10280" t="s">
        <v>164</v>
      </c>
      <c r="C10280" t="s">
        <v>13517</v>
      </c>
      <c r="D10280" t="s">
        <v>17961</v>
      </c>
      <c r="E10280" t="s">
        <v>19538</v>
      </c>
      <c r="F10280" t="s">
        <v>30900</v>
      </c>
      <c r="G10280" t="s">
        <v>30907</v>
      </c>
      <c r="H10280" t="s">
        <v>30916</v>
      </c>
      <c r="I10280" t="s">
        <v>17295</v>
      </c>
      <c r="J10280" t="s">
        <v>37451</v>
      </c>
      <c r="K10280" t="s">
        <v>40366</v>
      </c>
      <c r="M10280" t="s">
        <v>40711</v>
      </c>
      <c r="N10280" t="s">
        <v>44759</v>
      </c>
      <c r="O10280" t="s">
        <v>44760</v>
      </c>
      <c r="P10280">
        <v>0</v>
      </c>
      <c r="Q10280">
        <v>6</v>
      </c>
      <c r="R10280" t="s">
        <v>44772</v>
      </c>
      <c r="S10280" t="s">
        <v>45149</v>
      </c>
      <c r="T10280" t="s">
        <v>46455</v>
      </c>
      <c r="U10280" t="s">
        <v>55468</v>
      </c>
      <c r="W10280" t="s">
        <v>40711</v>
      </c>
      <c r="X10280" t="s">
        <v>44773</v>
      </c>
    </row>
    <row r="10281" spans="1:24">
      <c r="A10281">
        <f>HYPERLINK("https://www.philgeps.gov.ph/GEPSNONPILOT/Tender/SplashBidNoticeAbstractUI.aspx?menuIndex=3&amp;refID=7135630&amp;Result=3","7135630")</f>
        <v>0</v>
      </c>
      <c r="B10281" t="s">
        <v>1782</v>
      </c>
      <c r="C10281" t="s">
        <v>13518</v>
      </c>
      <c r="D10281" t="s">
        <v>17971</v>
      </c>
      <c r="E10281" t="s">
        <v>26945</v>
      </c>
      <c r="F10281" t="s">
        <v>30900</v>
      </c>
      <c r="G10281" t="s">
        <v>30907</v>
      </c>
      <c r="H10281" t="s">
        <v>30915</v>
      </c>
      <c r="I10281" t="s">
        <v>30919</v>
      </c>
      <c r="J10281" t="s">
        <v>37452</v>
      </c>
      <c r="K10281" t="s">
        <v>40354</v>
      </c>
      <c r="M10281" t="s">
        <v>42456</v>
      </c>
      <c r="N10281" t="s">
        <v>44759</v>
      </c>
      <c r="O10281" t="s">
        <v>44760</v>
      </c>
      <c r="P10281">
        <v>0</v>
      </c>
      <c r="Q10281">
        <v>22</v>
      </c>
      <c r="R10281" t="s">
        <v>44771</v>
      </c>
      <c r="S10281" t="s">
        <v>45143</v>
      </c>
      <c r="T10281" t="s">
        <v>46854</v>
      </c>
      <c r="U10281" t="s">
        <v>55374</v>
      </c>
      <c r="W10281" t="s">
        <v>42456</v>
      </c>
      <c r="X10281" t="s">
        <v>44772</v>
      </c>
    </row>
    <row r="10282" spans="1:24">
      <c r="A10282">
        <f>HYPERLINK("https://www.philgeps.gov.ph/GEPSNONPILOT/Tender/SplashBidNoticeAbstractUI.aspx?menuIndex=3&amp;refID=7132749&amp;Result=3","7132749")</f>
        <v>0</v>
      </c>
      <c r="B10282" t="s">
        <v>3160</v>
      </c>
      <c r="C10282" t="s">
        <v>13519</v>
      </c>
      <c r="D10282" t="s">
        <v>17963</v>
      </c>
      <c r="E10282" t="s">
        <v>18653</v>
      </c>
      <c r="F10282" t="s">
        <v>30900</v>
      </c>
      <c r="G10282" t="s">
        <v>30907</v>
      </c>
      <c r="H10282" t="s">
        <v>30916</v>
      </c>
      <c r="I10282" t="s">
        <v>5830</v>
      </c>
      <c r="J10282" t="s">
        <v>37453</v>
      </c>
      <c r="K10282" t="s">
        <v>40284</v>
      </c>
      <c r="M10282" t="s">
        <v>43984</v>
      </c>
      <c r="N10282" t="s">
        <v>44759</v>
      </c>
      <c r="O10282" t="s">
        <v>44760</v>
      </c>
      <c r="Q10282">
        <v>9</v>
      </c>
      <c r="R10282" t="s">
        <v>44772</v>
      </c>
      <c r="S10282" t="s">
        <v>45155</v>
      </c>
      <c r="T10282" t="s">
        <v>46382</v>
      </c>
      <c r="U10282" t="s">
        <v>55469</v>
      </c>
      <c r="V10282" t="s">
        <v>60241</v>
      </c>
      <c r="W10282" t="s">
        <v>43984</v>
      </c>
      <c r="X10282" t="s">
        <v>44773</v>
      </c>
    </row>
    <row r="10283" spans="1:24">
      <c r="A10283">
        <f>HYPERLINK("https://www.philgeps.gov.ph/GEPSNONPILOT/Tender/SplashBidNoticeAbstractUI.aspx?menuIndex=3&amp;refID=7133202&amp;Result=3","7133202")</f>
        <v>0</v>
      </c>
      <c r="B10283" t="s">
        <v>1516</v>
      </c>
      <c r="C10283" t="s">
        <v>13520</v>
      </c>
      <c r="D10283" t="s">
        <v>18033</v>
      </c>
      <c r="E10283" t="s">
        <v>26946</v>
      </c>
      <c r="F10283" t="s">
        <v>30900</v>
      </c>
      <c r="G10283" t="s">
        <v>30907</v>
      </c>
      <c r="H10283" t="s">
        <v>30916</v>
      </c>
      <c r="I10283" t="s">
        <v>30919</v>
      </c>
      <c r="J10283" t="s">
        <v>37454</v>
      </c>
      <c r="K10283" t="s">
        <v>40486</v>
      </c>
      <c r="M10283" t="s">
        <v>43062</v>
      </c>
      <c r="N10283" t="s">
        <v>44759</v>
      </c>
      <c r="O10283" t="s">
        <v>44760</v>
      </c>
      <c r="P10283">
        <v>0</v>
      </c>
      <c r="Q10283">
        <v>1</v>
      </c>
      <c r="R10283" t="s">
        <v>44772</v>
      </c>
      <c r="S10283" t="s">
        <v>45149</v>
      </c>
      <c r="T10283" t="s">
        <v>46411</v>
      </c>
      <c r="U10283" t="s">
        <v>55470</v>
      </c>
      <c r="W10283" t="s">
        <v>43062</v>
      </c>
      <c r="X10283" t="s">
        <v>44773</v>
      </c>
    </row>
    <row r="10284" spans="1:24">
      <c r="A10284">
        <f>HYPERLINK("https://www.philgeps.gov.ph/GEPSNONPILOT/Tender/SplashBidNoticeAbstractUI.aspx?menuIndex=3&amp;refID=7132758&amp;Result=3","7132758")</f>
        <v>0</v>
      </c>
      <c r="B10284" t="s">
        <v>513</v>
      </c>
      <c r="C10284" t="s">
        <v>13521</v>
      </c>
      <c r="D10284" t="s">
        <v>17972</v>
      </c>
      <c r="E10284" t="s">
        <v>26947</v>
      </c>
      <c r="F10284" t="s">
        <v>30900</v>
      </c>
      <c r="G10284" t="s">
        <v>30907</v>
      </c>
      <c r="H10284" t="s">
        <v>30915</v>
      </c>
      <c r="I10284" t="s">
        <v>30919</v>
      </c>
      <c r="J10284" t="s">
        <v>37455</v>
      </c>
      <c r="K10284" t="s">
        <v>40292</v>
      </c>
      <c r="M10284" t="s">
        <v>41073</v>
      </c>
      <c r="N10284" t="s">
        <v>44759</v>
      </c>
      <c r="O10284" t="s">
        <v>44760</v>
      </c>
      <c r="P10284">
        <v>0</v>
      </c>
      <c r="Q10284">
        <v>1</v>
      </c>
      <c r="R10284" t="s">
        <v>44772</v>
      </c>
      <c r="S10284" t="s">
        <v>45149</v>
      </c>
      <c r="T10284" t="s">
        <v>46426</v>
      </c>
      <c r="U10284" t="s">
        <v>55471</v>
      </c>
      <c r="W10284" t="s">
        <v>41073</v>
      </c>
      <c r="X10284" t="s">
        <v>44773</v>
      </c>
    </row>
    <row r="10285" spans="1:24">
      <c r="A10285">
        <f>HYPERLINK("https://www.philgeps.gov.ph/GEPSNONPILOT/Tender/SplashBidNoticeAbstractUI.aspx?menuIndex=3&amp;refID=7133200&amp;Result=3","7133200")</f>
        <v>0</v>
      </c>
      <c r="B10285" t="s">
        <v>1414</v>
      </c>
      <c r="C10285" t="s">
        <v>13522</v>
      </c>
      <c r="D10285" t="s">
        <v>17977</v>
      </c>
      <c r="E10285" t="s">
        <v>26948</v>
      </c>
      <c r="F10285" t="s">
        <v>30900</v>
      </c>
      <c r="G10285" t="s">
        <v>30909</v>
      </c>
      <c r="H10285" t="s">
        <v>30916</v>
      </c>
      <c r="I10285" t="s">
        <v>30922</v>
      </c>
      <c r="J10285" t="s">
        <v>37456</v>
      </c>
      <c r="K10285" t="s">
        <v>40286</v>
      </c>
      <c r="M10285" t="s">
        <v>42043</v>
      </c>
      <c r="N10285" t="s">
        <v>44759</v>
      </c>
      <c r="O10285" t="s">
        <v>44760</v>
      </c>
      <c r="Q10285">
        <v>3</v>
      </c>
      <c r="R10285" t="s">
        <v>44772</v>
      </c>
      <c r="S10285" t="s">
        <v>45156</v>
      </c>
      <c r="T10285" t="s">
        <v>46391</v>
      </c>
      <c r="U10285" t="s">
        <v>49834</v>
      </c>
      <c r="W10285" t="s">
        <v>42043</v>
      </c>
      <c r="X10285" t="s">
        <v>44773</v>
      </c>
    </row>
    <row r="10286" spans="1:24">
      <c r="A10286">
        <f>HYPERLINK("https://www.philgeps.gov.ph/GEPSNONPILOT/Tender/SplashBidNoticeAbstractUI.aspx?menuIndex=3&amp;refID=7132795&amp;Result=3","7132795")</f>
        <v>0</v>
      </c>
      <c r="B10286" t="s">
        <v>856</v>
      </c>
      <c r="C10286" t="s">
        <v>13523</v>
      </c>
      <c r="D10286" t="s">
        <v>17971</v>
      </c>
      <c r="E10286" t="s">
        <v>26949</v>
      </c>
      <c r="F10286" t="s">
        <v>30900</v>
      </c>
      <c r="G10286" t="s">
        <v>30908</v>
      </c>
      <c r="H10286" t="s">
        <v>30916</v>
      </c>
      <c r="I10286" t="s">
        <v>30921</v>
      </c>
      <c r="J10286" t="s">
        <v>31048</v>
      </c>
      <c r="K10286" t="s">
        <v>40283</v>
      </c>
      <c r="M10286" t="s">
        <v>41429</v>
      </c>
      <c r="N10286" t="s">
        <v>44759</v>
      </c>
      <c r="O10286" t="s">
        <v>44760</v>
      </c>
      <c r="P10286">
        <v>0</v>
      </c>
      <c r="Q10286">
        <v>1</v>
      </c>
      <c r="R10286" t="s">
        <v>44772</v>
      </c>
      <c r="S10286" t="s">
        <v>45149</v>
      </c>
      <c r="T10286" t="s">
        <v>46700</v>
      </c>
      <c r="U10286" t="s">
        <v>55472</v>
      </c>
      <c r="W10286" t="s">
        <v>41429</v>
      </c>
      <c r="X10286" t="s">
        <v>44773</v>
      </c>
    </row>
    <row r="10287" spans="1:24">
      <c r="A10287">
        <f>HYPERLINK("https://www.philgeps.gov.ph/GEPSNONPILOT/Tender/SplashBidNoticeAbstractUI.aspx?menuIndex=3&amp;refID=7133170&amp;Result=3","7133170")</f>
        <v>0</v>
      </c>
      <c r="B10287" t="s">
        <v>805</v>
      </c>
      <c r="C10287" t="s">
        <v>13524</v>
      </c>
      <c r="D10287" t="s">
        <v>18006</v>
      </c>
      <c r="E10287" t="s">
        <v>26950</v>
      </c>
      <c r="F10287" t="s">
        <v>30900</v>
      </c>
      <c r="G10287" t="s">
        <v>30907</v>
      </c>
      <c r="H10287" t="s">
        <v>30916</v>
      </c>
      <c r="I10287" t="s">
        <v>30927</v>
      </c>
      <c r="J10287" t="s">
        <v>32271</v>
      </c>
      <c r="K10287" t="s">
        <v>40280</v>
      </c>
      <c r="M10287" t="s">
        <v>41375</v>
      </c>
      <c r="N10287" t="s">
        <v>44759</v>
      </c>
      <c r="O10287" t="s">
        <v>44760</v>
      </c>
      <c r="P10287">
        <v>0</v>
      </c>
      <c r="Q10287">
        <v>0</v>
      </c>
      <c r="R10287" t="s">
        <v>44772</v>
      </c>
      <c r="S10287" t="s">
        <v>45149</v>
      </c>
      <c r="T10287" t="s">
        <v>46353</v>
      </c>
      <c r="U10287" t="s">
        <v>55473</v>
      </c>
      <c r="W10287" t="s">
        <v>41375</v>
      </c>
      <c r="X10287" t="s">
        <v>44773</v>
      </c>
    </row>
    <row r="10288" spans="1:24">
      <c r="A10288">
        <f>HYPERLINK("https://www.philgeps.gov.ph/GEPSNONPILOT/Tender/SplashBidNoticeAbstractUI.aspx?menuIndex=3&amp;refID=7136015&amp;Result=3","7136015")</f>
        <v>0</v>
      </c>
      <c r="B10288" t="s">
        <v>1747</v>
      </c>
      <c r="C10288" t="s">
        <v>13525</v>
      </c>
      <c r="E10288" t="s">
        <v>26951</v>
      </c>
      <c r="F10288" t="s">
        <v>30900</v>
      </c>
      <c r="G10288" t="s">
        <v>30907</v>
      </c>
      <c r="H10288" t="s">
        <v>30916</v>
      </c>
      <c r="I10288" t="s">
        <v>5501</v>
      </c>
      <c r="J10288" t="s">
        <v>37457</v>
      </c>
      <c r="K10288" t="s">
        <v>40289</v>
      </c>
      <c r="M10288" t="s">
        <v>42416</v>
      </c>
      <c r="N10288" t="s">
        <v>44759</v>
      </c>
      <c r="O10288" t="s">
        <v>44760</v>
      </c>
      <c r="P10288">
        <v>0</v>
      </c>
      <c r="Q10288">
        <v>6</v>
      </c>
      <c r="R10288" t="s">
        <v>44770</v>
      </c>
      <c r="S10288" t="s">
        <v>45105</v>
      </c>
      <c r="T10288" t="s">
        <v>46428</v>
      </c>
      <c r="U10288" t="s">
        <v>53662</v>
      </c>
      <c r="V10288" t="s">
        <v>60242</v>
      </c>
      <c r="W10288" t="s">
        <v>42416</v>
      </c>
      <c r="X10288" t="s">
        <v>44771</v>
      </c>
    </row>
    <row r="10289" spans="1:24">
      <c r="A10289">
        <f>HYPERLINK("https://www.philgeps.gov.ph/GEPSNONPILOT/Tender/SplashBidNoticeAbstractUI.aspx?menuIndex=3&amp;refID=7133060&amp;Result=3","7133060")</f>
        <v>0</v>
      </c>
      <c r="B10289" t="s">
        <v>79</v>
      </c>
      <c r="C10289" t="s">
        <v>13526</v>
      </c>
      <c r="D10289" t="s">
        <v>17988</v>
      </c>
      <c r="E10289" t="s">
        <v>20253</v>
      </c>
      <c r="F10289" t="s">
        <v>30900</v>
      </c>
      <c r="G10289" t="s">
        <v>30907</v>
      </c>
      <c r="H10289" t="s">
        <v>30915</v>
      </c>
      <c r="I10289" t="s">
        <v>30919</v>
      </c>
      <c r="J10289" t="s">
        <v>37458</v>
      </c>
      <c r="K10289" t="s">
        <v>40280</v>
      </c>
      <c r="M10289" t="s">
        <v>40626</v>
      </c>
      <c r="N10289" t="s">
        <v>44759</v>
      </c>
      <c r="O10289" t="s">
        <v>44760</v>
      </c>
      <c r="P10289">
        <v>0</v>
      </c>
      <c r="Q10289">
        <v>0</v>
      </c>
      <c r="R10289" t="s">
        <v>44772</v>
      </c>
      <c r="S10289" t="s">
        <v>45149</v>
      </c>
      <c r="T10289" t="s">
        <v>46855</v>
      </c>
      <c r="U10289" t="s">
        <v>55474</v>
      </c>
      <c r="V10289" t="s">
        <v>60243</v>
      </c>
      <c r="W10289" t="s">
        <v>40626</v>
      </c>
      <c r="X10289" t="s">
        <v>44773</v>
      </c>
    </row>
    <row r="10290" spans="1:24">
      <c r="A10290">
        <f>HYPERLINK("https://www.philgeps.gov.ph/GEPSNONPILOT/Tender/SplashBidNoticeAbstractUI.aspx?menuIndex=3&amp;refID=7132730&amp;Result=3","7132730")</f>
        <v>0</v>
      </c>
      <c r="B10290" t="s">
        <v>164</v>
      </c>
      <c r="C10290" t="s">
        <v>13527</v>
      </c>
      <c r="D10290" t="s">
        <v>17961</v>
      </c>
      <c r="E10290" t="s">
        <v>24239</v>
      </c>
      <c r="F10290" t="s">
        <v>30900</v>
      </c>
      <c r="G10290" t="s">
        <v>30907</v>
      </c>
      <c r="H10290" t="s">
        <v>30916</v>
      </c>
      <c r="I10290" t="s">
        <v>30921</v>
      </c>
      <c r="J10290" t="s">
        <v>37459</v>
      </c>
      <c r="K10290" t="s">
        <v>40286</v>
      </c>
      <c r="M10290" t="s">
        <v>40711</v>
      </c>
      <c r="N10290" t="s">
        <v>44759</v>
      </c>
      <c r="O10290" t="s">
        <v>44760</v>
      </c>
      <c r="P10290">
        <v>0</v>
      </c>
      <c r="Q10290">
        <v>5</v>
      </c>
      <c r="R10290" t="s">
        <v>44772</v>
      </c>
      <c r="S10290" t="s">
        <v>45149</v>
      </c>
      <c r="T10290" t="s">
        <v>46455</v>
      </c>
      <c r="U10290" t="s">
        <v>55475</v>
      </c>
      <c r="W10290" t="s">
        <v>40711</v>
      </c>
      <c r="X10290" t="s">
        <v>44773</v>
      </c>
    </row>
    <row r="10291" spans="1:24">
      <c r="A10291">
        <f>HYPERLINK("https://www.philgeps.gov.ph/GEPSNONPILOT/Tender/SplashBidNoticeAbstractUI.aspx?menuIndex=3&amp;refID=7133051&amp;Result=3","7133051")</f>
        <v>0</v>
      </c>
      <c r="B10291" t="s">
        <v>3161</v>
      </c>
      <c r="C10291" t="s">
        <v>13528</v>
      </c>
      <c r="D10291" t="s">
        <v>17985</v>
      </c>
      <c r="E10291" t="s">
        <v>26952</v>
      </c>
      <c r="F10291" t="s">
        <v>30900</v>
      </c>
      <c r="G10291" t="s">
        <v>30907</v>
      </c>
      <c r="H10291" t="s">
        <v>30916</v>
      </c>
      <c r="I10291" t="s">
        <v>30922</v>
      </c>
      <c r="J10291" t="s">
        <v>37460</v>
      </c>
      <c r="K10291" t="s">
        <v>40286</v>
      </c>
      <c r="M10291" t="s">
        <v>43985</v>
      </c>
      <c r="N10291" t="s">
        <v>44759</v>
      </c>
      <c r="O10291" t="s">
        <v>44760</v>
      </c>
      <c r="P10291">
        <v>0</v>
      </c>
      <c r="Q10291">
        <v>6</v>
      </c>
      <c r="R10291" t="s">
        <v>44772</v>
      </c>
      <c r="S10291" t="s">
        <v>45149</v>
      </c>
      <c r="T10291" t="s">
        <v>46835</v>
      </c>
      <c r="U10291" t="s">
        <v>55476</v>
      </c>
      <c r="W10291" t="s">
        <v>43985</v>
      </c>
      <c r="X10291" t="s">
        <v>44773</v>
      </c>
    </row>
    <row r="10292" spans="1:24">
      <c r="A10292">
        <f>HYPERLINK("https://www.philgeps.gov.ph/GEPSNONPILOT/Tender/SplashBidNoticeAbstractUI.aspx?menuIndex=3&amp;refID=7133018&amp;Result=3","7133018")</f>
        <v>0</v>
      </c>
      <c r="B10292" t="s">
        <v>1957</v>
      </c>
      <c r="C10292" t="s">
        <v>13529</v>
      </c>
      <c r="D10292" t="s">
        <v>17994</v>
      </c>
      <c r="E10292" t="s">
        <v>26953</v>
      </c>
      <c r="F10292" t="s">
        <v>30900</v>
      </c>
      <c r="G10292" t="s">
        <v>30907</v>
      </c>
      <c r="H10292" t="s">
        <v>30916</v>
      </c>
      <c r="I10292" t="s">
        <v>8123</v>
      </c>
      <c r="J10292" t="s">
        <v>37461</v>
      </c>
      <c r="K10292" t="s">
        <v>40283</v>
      </c>
      <c r="M10292" t="s">
        <v>42641</v>
      </c>
      <c r="N10292" t="s">
        <v>44759</v>
      </c>
      <c r="O10292" t="s">
        <v>44760</v>
      </c>
      <c r="P10292">
        <v>0</v>
      </c>
      <c r="Q10292">
        <v>1</v>
      </c>
      <c r="R10292" t="s">
        <v>44772</v>
      </c>
      <c r="S10292" t="s">
        <v>45149</v>
      </c>
      <c r="T10292" t="s">
        <v>46443</v>
      </c>
      <c r="U10292" t="s">
        <v>51461</v>
      </c>
      <c r="W10292" t="s">
        <v>42641</v>
      </c>
      <c r="X10292" t="s">
        <v>44773</v>
      </c>
    </row>
    <row r="10293" spans="1:24">
      <c r="A10293">
        <f>HYPERLINK("https://www.philgeps.gov.ph/GEPSNONPILOT/Tender/SplashBidNoticeAbstractUI.aspx?menuIndex=3&amp;refID=7133032&amp;Result=3","7133032")</f>
        <v>0</v>
      </c>
      <c r="B10293" t="s">
        <v>747</v>
      </c>
      <c r="C10293" t="s">
        <v>4821</v>
      </c>
      <c r="D10293" t="s">
        <v>18021</v>
      </c>
      <c r="E10293" t="s">
        <v>26954</v>
      </c>
      <c r="F10293" t="s">
        <v>30900</v>
      </c>
      <c r="G10293" t="s">
        <v>30907</v>
      </c>
      <c r="H10293" t="s">
        <v>30916</v>
      </c>
      <c r="I10293" t="s">
        <v>10847</v>
      </c>
      <c r="J10293" t="s">
        <v>33438</v>
      </c>
      <c r="K10293" t="s">
        <v>40286</v>
      </c>
      <c r="M10293" t="s">
        <v>41311</v>
      </c>
      <c r="N10293" t="s">
        <v>44759</v>
      </c>
      <c r="O10293" t="s">
        <v>44760</v>
      </c>
      <c r="P10293">
        <v>0</v>
      </c>
      <c r="Q10293">
        <v>0</v>
      </c>
      <c r="R10293" t="s">
        <v>44772</v>
      </c>
      <c r="S10293" t="s">
        <v>45149</v>
      </c>
      <c r="T10293" t="s">
        <v>46445</v>
      </c>
      <c r="U10293" t="s">
        <v>55477</v>
      </c>
      <c r="V10293" t="s">
        <v>60244</v>
      </c>
      <c r="W10293" t="s">
        <v>41311</v>
      </c>
      <c r="X10293" t="s">
        <v>44773</v>
      </c>
    </row>
    <row r="10294" spans="1:24">
      <c r="A10294">
        <f>HYPERLINK("https://www.philgeps.gov.ph/GEPSNONPILOT/Tender/SplashBidNoticeAbstractUI.aspx?menuIndex=3&amp;refID=7133023&amp;Result=3","7133023")</f>
        <v>0</v>
      </c>
      <c r="B10294" t="s">
        <v>892</v>
      </c>
      <c r="C10294" t="s">
        <v>13530</v>
      </c>
      <c r="D10294" t="s">
        <v>17978</v>
      </c>
      <c r="E10294" t="s">
        <v>26955</v>
      </c>
      <c r="F10294" t="s">
        <v>30900</v>
      </c>
      <c r="G10294" t="s">
        <v>30907</v>
      </c>
      <c r="H10294" t="s">
        <v>30916</v>
      </c>
      <c r="I10294" t="s">
        <v>4108</v>
      </c>
      <c r="J10294" t="s">
        <v>37462</v>
      </c>
      <c r="K10294" t="s">
        <v>40283</v>
      </c>
      <c r="M10294" t="s">
        <v>41466</v>
      </c>
      <c r="N10294" t="s">
        <v>44759</v>
      </c>
      <c r="O10294" t="s">
        <v>44760</v>
      </c>
      <c r="P10294">
        <v>0</v>
      </c>
      <c r="Q10294">
        <v>0</v>
      </c>
      <c r="R10294" t="s">
        <v>44772</v>
      </c>
      <c r="S10294" t="s">
        <v>45149</v>
      </c>
      <c r="T10294" t="s">
        <v>46544</v>
      </c>
      <c r="U10294" t="s">
        <v>55478</v>
      </c>
      <c r="W10294" t="s">
        <v>41466</v>
      </c>
      <c r="X10294" t="s">
        <v>44773</v>
      </c>
    </row>
    <row r="10295" spans="1:24">
      <c r="A10295">
        <f>HYPERLINK("https://www.philgeps.gov.ph/GEPSNONPILOT/Tender/SplashBidNoticeAbstractUI.aspx?menuIndex=3&amp;refID=7133128&amp;Result=3","7133128")</f>
        <v>0</v>
      </c>
      <c r="B10295" t="s">
        <v>79</v>
      </c>
      <c r="C10295" t="s">
        <v>13531</v>
      </c>
      <c r="D10295" t="s">
        <v>17988</v>
      </c>
      <c r="E10295" t="s">
        <v>20249</v>
      </c>
      <c r="F10295" t="s">
        <v>30900</v>
      </c>
      <c r="G10295" t="s">
        <v>30907</v>
      </c>
      <c r="H10295" t="s">
        <v>30915</v>
      </c>
      <c r="I10295" t="s">
        <v>30919</v>
      </c>
      <c r="J10295" t="s">
        <v>37463</v>
      </c>
      <c r="K10295" t="s">
        <v>40313</v>
      </c>
      <c r="M10295" t="s">
        <v>40626</v>
      </c>
      <c r="N10295" t="s">
        <v>44759</v>
      </c>
      <c r="O10295" t="s">
        <v>44760</v>
      </c>
      <c r="P10295">
        <v>0</v>
      </c>
      <c r="Q10295">
        <v>0</v>
      </c>
      <c r="R10295" t="s">
        <v>44772</v>
      </c>
      <c r="S10295" t="s">
        <v>45149</v>
      </c>
      <c r="T10295" t="s">
        <v>46856</v>
      </c>
      <c r="U10295" t="s">
        <v>55479</v>
      </c>
      <c r="V10295" t="s">
        <v>60245</v>
      </c>
      <c r="W10295" t="s">
        <v>40626</v>
      </c>
      <c r="X10295" t="s">
        <v>44773</v>
      </c>
    </row>
    <row r="10296" spans="1:24">
      <c r="A10296">
        <f>HYPERLINK("https://www.philgeps.gov.ph/GEPSNONPILOT/Tender/SplashBidNoticeAbstractUI.aspx?menuIndex=3&amp;refID=7132904&amp;Result=3","7132904")</f>
        <v>0</v>
      </c>
      <c r="B10296" t="s">
        <v>3162</v>
      </c>
      <c r="C10296" t="s">
        <v>13532</v>
      </c>
      <c r="E10296" t="s">
        <v>19274</v>
      </c>
      <c r="F10296" t="s">
        <v>30900</v>
      </c>
      <c r="G10296" t="s">
        <v>30907</v>
      </c>
      <c r="H10296" t="s">
        <v>30915</v>
      </c>
      <c r="I10296" t="s">
        <v>30919</v>
      </c>
      <c r="J10296" t="s">
        <v>31049</v>
      </c>
      <c r="K10296" t="s">
        <v>40289</v>
      </c>
      <c r="M10296" t="s">
        <v>43986</v>
      </c>
      <c r="N10296" t="s">
        <v>44759</v>
      </c>
      <c r="O10296" t="s">
        <v>44760</v>
      </c>
      <c r="P10296">
        <v>0</v>
      </c>
      <c r="Q10296">
        <v>0</v>
      </c>
      <c r="R10296" t="s">
        <v>44772</v>
      </c>
      <c r="S10296" t="s">
        <v>45149</v>
      </c>
      <c r="T10296" t="s">
        <v>46406</v>
      </c>
      <c r="U10296" t="s">
        <v>55480</v>
      </c>
      <c r="W10296" t="s">
        <v>43986</v>
      </c>
      <c r="X10296" t="s">
        <v>44773</v>
      </c>
    </row>
    <row r="10297" spans="1:24">
      <c r="A10297">
        <f>HYPERLINK("https://www.philgeps.gov.ph/GEPSNONPILOT/Tender/SplashBidNoticeAbstractUI.aspx?menuIndex=3&amp;refID=7132874&amp;Result=3","7132874")</f>
        <v>0</v>
      </c>
      <c r="B10297" t="s">
        <v>3162</v>
      </c>
      <c r="C10297" t="s">
        <v>13533</v>
      </c>
      <c r="E10297" t="s">
        <v>26956</v>
      </c>
      <c r="F10297" t="s">
        <v>30900</v>
      </c>
      <c r="G10297" t="s">
        <v>30907</v>
      </c>
      <c r="H10297" t="s">
        <v>30915</v>
      </c>
      <c r="I10297" t="s">
        <v>30919</v>
      </c>
      <c r="J10297" t="s">
        <v>37464</v>
      </c>
      <c r="K10297" t="s">
        <v>40283</v>
      </c>
      <c r="M10297" t="s">
        <v>43986</v>
      </c>
      <c r="N10297" t="s">
        <v>44759</v>
      </c>
      <c r="O10297" t="s">
        <v>44760</v>
      </c>
      <c r="P10297">
        <v>0</v>
      </c>
      <c r="Q10297">
        <v>0</v>
      </c>
      <c r="R10297" t="s">
        <v>44772</v>
      </c>
      <c r="S10297" t="s">
        <v>45149</v>
      </c>
      <c r="T10297" t="s">
        <v>46429</v>
      </c>
      <c r="U10297" t="s">
        <v>55481</v>
      </c>
      <c r="W10297" t="s">
        <v>43986</v>
      </c>
      <c r="X10297" t="s">
        <v>44773</v>
      </c>
    </row>
    <row r="10298" spans="1:24">
      <c r="A10298">
        <f>HYPERLINK("https://www.philgeps.gov.ph/GEPSNONPILOT/Tender/SplashBidNoticeAbstractUI.aspx?menuIndex=3&amp;refID=7133085&amp;Result=3","7133085")</f>
        <v>0</v>
      </c>
      <c r="B10298" t="s">
        <v>892</v>
      </c>
      <c r="C10298" t="s">
        <v>13534</v>
      </c>
      <c r="D10298" t="s">
        <v>17978</v>
      </c>
      <c r="E10298" t="s">
        <v>26957</v>
      </c>
      <c r="F10298" t="s">
        <v>30900</v>
      </c>
      <c r="G10298" t="s">
        <v>30907</v>
      </c>
      <c r="H10298" t="s">
        <v>30916</v>
      </c>
      <c r="I10298" t="s">
        <v>4545</v>
      </c>
      <c r="J10298" t="s">
        <v>32161</v>
      </c>
      <c r="K10298" t="s">
        <v>40314</v>
      </c>
      <c r="M10298" t="s">
        <v>41466</v>
      </c>
      <c r="N10298" t="s">
        <v>44759</v>
      </c>
      <c r="O10298" t="s">
        <v>44760</v>
      </c>
      <c r="P10298">
        <v>0</v>
      </c>
      <c r="Q10298">
        <v>0</v>
      </c>
      <c r="R10298" t="s">
        <v>44772</v>
      </c>
      <c r="S10298" t="s">
        <v>45149</v>
      </c>
      <c r="T10298" t="s">
        <v>46544</v>
      </c>
      <c r="U10298" t="s">
        <v>55482</v>
      </c>
      <c r="W10298" t="s">
        <v>41466</v>
      </c>
      <c r="X10298" t="s">
        <v>44773</v>
      </c>
    </row>
    <row r="10299" spans="1:24">
      <c r="A10299">
        <f>HYPERLINK("https://www.philgeps.gov.ph/GEPSNONPILOT/Tender/SplashBidNoticeAbstractUI.aspx?menuIndex=3&amp;refID=7132867&amp;Result=3","7132867")</f>
        <v>0</v>
      </c>
      <c r="B10299" t="s">
        <v>736</v>
      </c>
      <c r="C10299" t="s">
        <v>13535</v>
      </c>
      <c r="D10299" t="s">
        <v>18013</v>
      </c>
      <c r="E10299" t="s">
        <v>18094</v>
      </c>
      <c r="F10299" t="s">
        <v>30900</v>
      </c>
      <c r="G10299" t="s">
        <v>30907</v>
      </c>
      <c r="H10299" t="s">
        <v>30916</v>
      </c>
      <c r="I10299" t="s">
        <v>30933</v>
      </c>
      <c r="J10299" t="s">
        <v>35622</v>
      </c>
      <c r="K10299" t="s">
        <v>40293</v>
      </c>
      <c r="M10299" t="s">
        <v>43987</v>
      </c>
      <c r="N10299" t="s">
        <v>44759</v>
      </c>
      <c r="O10299" t="s">
        <v>44760</v>
      </c>
      <c r="P10299">
        <v>0</v>
      </c>
      <c r="Q10299">
        <v>0</v>
      </c>
      <c r="R10299" t="s">
        <v>44772</v>
      </c>
      <c r="S10299" t="s">
        <v>45149</v>
      </c>
      <c r="T10299" t="s">
        <v>46807</v>
      </c>
      <c r="U10299" t="s">
        <v>55483</v>
      </c>
      <c r="W10299" t="s">
        <v>43987</v>
      </c>
      <c r="X10299" t="s">
        <v>44773</v>
      </c>
    </row>
    <row r="10300" spans="1:24">
      <c r="A10300">
        <f>HYPERLINK("https://www.philgeps.gov.ph/GEPSNONPILOT/Tender/SplashBidNoticeAbstractUI.aspx?menuIndex=3&amp;refID=7132854&amp;Result=3","7132854")</f>
        <v>0</v>
      </c>
      <c r="B10300" t="s">
        <v>3162</v>
      </c>
      <c r="C10300" t="s">
        <v>13536</v>
      </c>
      <c r="E10300" t="s">
        <v>26958</v>
      </c>
      <c r="F10300" t="s">
        <v>30900</v>
      </c>
      <c r="G10300" t="s">
        <v>30907</v>
      </c>
      <c r="H10300" t="s">
        <v>30915</v>
      </c>
      <c r="I10300" t="s">
        <v>30919</v>
      </c>
      <c r="J10300" t="s">
        <v>37465</v>
      </c>
      <c r="K10300" t="s">
        <v>40283</v>
      </c>
      <c r="M10300" t="s">
        <v>43986</v>
      </c>
      <c r="N10300" t="s">
        <v>44759</v>
      </c>
      <c r="O10300" t="s">
        <v>44760</v>
      </c>
      <c r="P10300">
        <v>0</v>
      </c>
      <c r="Q10300">
        <v>0</v>
      </c>
      <c r="R10300" t="s">
        <v>44772</v>
      </c>
      <c r="S10300" t="s">
        <v>45149</v>
      </c>
      <c r="T10300" t="s">
        <v>46406</v>
      </c>
      <c r="U10300" t="s">
        <v>55484</v>
      </c>
      <c r="W10300" t="s">
        <v>43986</v>
      </c>
      <c r="X10300" t="s">
        <v>44773</v>
      </c>
    </row>
    <row r="10301" spans="1:24">
      <c r="A10301">
        <f>HYPERLINK("https://www.philgeps.gov.ph/GEPSNONPILOT/Tender/SplashBidNoticeAbstractUI.aspx?menuIndex=3&amp;refID=7133393&amp;Result=3","7133393")</f>
        <v>0</v>
      </c>
      <c r="B10301" t="s">
        <v>3163</v>
      </c>
      <c r="C10301" t="s">
        <v>13537</v>
      </c>
      <c r="D10301" t="s">
        <v>17953</v>
      </c>
      <c r="E10301" t="s">
        <v>18282</v>
      </c>
      <c r="F10301" t="s">
        <v>30900</v>
      </c>
      <c r="G10301" t="s">
        <v>30907</v>
      </c>
      <c r="H10301" t="s">
        <v>30916</v>
      </c>
      <c r="I10301" t="s">
        <v>6396</v>
      </c>
      <c r="J10301" t="s">
        <v>37466</v>
      </c>
      <c r="K10301" t="s">
        <v>40281</v>
      </c>
      <c r="M10301" t="s">
        <v>43988</v>
      </c>
      <c r="N10301" t="s">
        <v>44759</v>
      </c>
      <c r="O10301" t="s">
        <v>44760</v>
      </c>
      <c r="P10301">
        <v>0</v>
      </c>
      <c r="Q10301">
        <v>1</v>
      </c>
      <c r="R10301" t="s">
        <v>44772</v>
      </c>
      <c r="S10301" t="s">
        <v>45149</v>
      </c>
      <c r="T10301" t="s">
        <v>46352</v>
      </c>
      <c r="U10301" t="s">
        <v>55485</v>
      </c>
      <c r="W10301" t="s">
        <v>43988</v>
      </c>
      <c r="X10301" t="s">
        <v>44773</v>
      </c>
    </row>
    <row r="10302" spans="1:24">
      <c r="A10302">
        <f>HYPERLINK("https://www.philgeps.gov.ph/GEPSNONPILOT/Tender/SplashBidNoticeAbstractUI.aspx?menuIndex=3&amp;refID=7132939&amp;Result=3","7132939")</f>
        <v>0</v>
      </c>
      <c r="B10302" t="s">
        <v>438</v>
      </c>
      <c r="C10302" t="s">
        <v>13538</v>
      </c>
      <c r="D10302" t="s">
        <v>18027</v>
      </c>
      <c r="E10302" t="s">
        <v>26959</v>
      </c>
      <c r="F10302" t="s">
        <v>30900</v>
      </c>
      <c r="G10302" t="s">
        <v>30907</v>
      </c>
      <c r="H10302" t="s">
        <v>30915</v>
      </c>
      <c r="I10302" t="s">
        <v>30919</v>
      </c>
      <c r="J10302" t="s">
        <v>31152</v>
      </c>
      <c r="K10302" t="s">
        <v>40280</v>
      </c>
      <c r="M10302" t="s">
        <v>40995</v>
      </c>
      <c r="N10302" t="s">
        <v>44759</v>
      </c>
      <c r="O10302" t="s">
        <v>44760</v>
      </c>
      <c r="P10302">
        <v>0</v>
      </c>
      <c r="Q10302">
        <v>0</v>
      </c>
      <c r="R10302" t="s">
        <v>44772</v>
      </c>
      <c r="S10302" t="s">
        <v>45149</v>
      </c>
      <c r="T10302" t="s">
        <v>46708</v>
      </c>
      <c r="U10302" t="s">
        <v>55486</v>
      </c>
      <c r="W10302" t="s">
        <v>40995</v>
      </c>
      <c r="X10302" t="s">
        <v>44773</v>
      </c>
    </row>
    <row r="10303" spans="1:24">
      <c r="A10303">
        <f>HYPERLINK("https://www.philgeps.gov.ph/GEPSNONPILOT/Tender/SplashBidNoticeAbstractUI.aspx?menuIndex=3&amp;refID=7132853&amp;Result=3","7132853")</f>
        <v>0</v>
      </c>
      <c r="B10303" t="s">
        <v>212</v>
      </c>
      <c r="C10303" t="s">
        <v>13539</v>
      </c>
      <c r="D10303" t="s">
        <v>17962</v>
      </c>
      <c r="E10303" t="s">
        <v>26960</v>
      </c>
      <c r="F10303" t="s">
        <v>30900</v>
      </c>
      <c r="G10303" t="s">
        <v>30907</v>
      </c>
      <c r="H10303" t="s">
        <v>30916</v>
      </c>
      <c r="I10303" t="s">
        <v>30983</v>
      </c>
      <c r="J10303" t="s">
        <v>37467</v>
      </c>
      <c r="K10303" t="s">
        <v>40284</v>
      </c>
      <c r="M10303" t="s">
        <v>40759</v>
      </c>
      <c r="N10303" t="s">
        <v>44759</v>
      </c>
      <c r="O10303" t="s">
        <v>44760</v>
      </c>
      <c r="P10303">
        <v>0</v>
      </c>
      <c r="Q10303">
        <v>1</v>
      </c>
      <c r="R10303" t="s">
        <v>44772</v>
      </c>
      <c r="S10303" t="s">
        <v>45149</v>
      </c>
      <c r="T10303" t="s">
        <v>46441</v>
      </c>
      <c r="U10303" t="s">
        <v>55463</v>
      </c>
      <c r="W10303" t="s">
        <v>40759</v>
      </c>
      <c r="X10303" t="s">
        <v>44773</v>
      </c>
    </row>
    <row r="10304" spans="1:24">
      <c r="A10304">
        <f>HYPERLINK("https://www.philgeps.gov.ph/GEPSNONPILOT/Tender/SplashBidNoticeAbstractUI.aspx?menuIndex=3&amp;refID=7133337&amp;Result=3","7133337")</f>
        <v>0</v>
      </c>
      <c r="B10304" t="s">
        <v>2330</v>
      </c>
      <c r="C10304" t="s">
        <v>13540</v>
      </c>
      <c r="D10304" t="s">
        <v>17953</v>
      </c>
      <c r="E10304" t="s">
        <v>26961</v>
      </c>
      <c r="F10304" t="s">
        <v>30900</v>
      </c>
      <c r="G10304" t="s">
        <v>30907</v>
      </c>
      <c r="H10304" t="s">
        <v>30916</v>
      </c>
      <c r="I10304" t="s">
        <v>30923</v>
      </c>
      <c r="J10304" t="s">
        <v>37468</v>
      </c>
      <c r="K10304" t="s">
        <v>40289</v>
      </c>
      <c r="M10304" t="s">
        <v>43989</v>
      </c>
      <c r="N10304" t="s">
        <v>44759</v>
      </c>
      <c r="O10304" t="s">
        <v>44760</v>
      </c>
      <c r="P10304">
        <v>0</v>
      </c>
      <c r="Q10304">
        <v>4</v>
      </c>
      <c r="R10304" t="s">
        <v>44772</v>
      </c>
      <c r="S10304" t="s">
        <v>45149</v>
      </c>
      <c r="T10304" t="s">
        <v>46422</v>
      </c>
      <c r="U10304" t="s">
        <v>55487</v>
      </c>
      <c r="V10304" t="s">
        <v>60246</v>
      </c>
      <c r="W10304" t="s">
        <v>43989</v>
      </c>
      <c r="X10304" t="s">
        <v>44773</v>
      </c>
    </row>
    <row r="10305" spans="1:24">
      <c r="A10305">
        <f>HYPERLINK("https://www.philgeps.gov.ph/GEPSNONPILOT/Tender/SplashBidNoticeAbstractUI.aspx?menuIndex=3&amp;refID=7133332&amp;Result=3","7133332")</f>
        <v>0</v>
      </c>
      <c r="B10305" t="s">
        <v>1985</v>
      </c>
      <c r="C10305" t="s">
        <v>13541</v>
      </c>
      <c r="D10305" t="s">
        <v>17952</v>
      </c>
      <c r="E10305" t="s">
        <v>18118</v>
      </c>
      <c r="F10305" t="s">
        <v>30900</v>
      </c>
      <c r="G10305" t="s">
        <v>30907</v>
      </c>
      <c r="H10305" t="s">
        <v>30916</v>
      </c>
      <c r="I10305" t="s">
        <v>8123</v>
      </c>
      <c r="J10305" t="s">
        <v>37469</v>
      </c>
      <c r="K10305" t="s">
        <v>40292</v>
      </c>
      <c r="M10305" t="s">
        <v>42676</v>
      </c>
      <c r="N10305" t="s">
        <v>44759</v>
      </c>
      <c r="O10305" t="s">
        <v>44760</v>
      </c>
      <c r="P10305">
        <v>0</v>
      </c>
      <c r="Q10305">
        <v>1</v>
      </c>
      <c r="R10305" t="s">
        <v>44772</v>
      </c>
      <c r="S10305" t="s">
        <v>45149</v>
      </c>
      <c r="T10305" t="s">
        <v>46353</v>
      </c>
      <c r="U10305" t="s">
        <v>55488</v>
      </c>
      <c r="V10305" t="s">
        <v>60247</v>
      </c>
      <c r="W10305" t="s">
        <v>42676</v>
      </c>
      <c r="X10305" t="s">
        <v>44773</v>
      </c>
    </row>
    <row r="10306" spans="1:24">
      <c r="A10306">
        <f>HYPERLINK("https://www.philgeps.gov.ph/GEPSNONPILOT/Tender/SplashBidNoticeAbstractUI.aspx?menuIndex=3&amp;refID=7133072&amp;Result=3","7133072")</f>
        <v>0</v>
      </c>
      <c r="B10306" t="s">
        <v>2061</v>
      </c>
      <c r="C10306" t="s">
        <v>13542</v>
      </c>
      <c r="D10306" t="s">
        <v>17960</v>
      </c>
      <c r="E10306" t="s">
        <v>26962</v>
      </c>
      <c r="F10306" t="s">
        <v>30900</v>
      </c>
      <c r="G10306" t="s">
        <v>30907</v>
      </c>
      <c r="H10306" t="s">
        <v>30915</v>
      </c>
      <c r="I10306" t="s">
        <v>8123</v>
      </c>
      <c r="J10306" t="s">
        <v>37470</v>
      </c>
      <c r="K10306" t="s">
        <v>40487</v>
      </c>
      <c r="L10306" t="s">
        <v>2061</v>
      </c>
      <c r="M10306" t="s">
        <v>42760</v>
      </c>
      <c r="N10306" t="s">
        <v>44759</v>
      </c>
      <c r="O10306" t="s">
        <v>44760</v>
      </c>
      <c r="P10306">
        <v>0</v>
      </c>
      <c r="Q10306">
        <v>1</v>
      </c>
      <c r="R10306" t="s">
        <v>44772</v>
      </c>
      <c r="S10306" t="s">
        <v>45149</v>
      </c>
      <c r="T10306" t="s">
        <v>46495</v>
      </c>
      <c r="U10306" t="s">
        <v>55489</v>
      </c>
      <c r="V10306" t="s">
        <v>60248</v>
      </c>
      <c r="W10306" t="s">
        <v>60880</v>
      </c>
      <c r="X10306" t="s">
        <v>44773</v>
      </c>
    </row>
    <row r="10307" spans="1:24">
      <c r="A10307">
        <f>HYPERLINK("https://www.philgeps.gov.ph/GEPSNONPILOT/Tender/SplashBidNoticeAbstractUI.aspx?menuIndex=3&amp;refID=7133331&amp;Result=3","7133331")</f>
        <v>0</v>
      </c>
      <c r="B10307" t="s">
        <v>1350</v>
      </c>
      <c r="C10307" t="s">
        <v>13543</v>
      </c>
      <c r="D10307" t="s">
        <v>17996</v>
      </c>
      <c r="E10307" t="s">
        <v>26963</v>
      </c>
      <c r="F10307" t="s">
        <v>30900</v>
      </c>
      <c r="G10307" t="s">
        <v>30907</v>
      </c>
      <c r="H10307" t="s">
        <v>30916</v>
      </c>
      <c r="I10307" t="s">
        <v>30933</v>
      </c>
      <c r="J10307" t="s">
        <v>31412</v>
      </c>
      <c r="K10307" t="s">
        <v>40289</v>
      </c>
      <c r="M10307" t="s">
        <v>41972</v>
      </c>
      <c r="N10307" t="s">
        <v>44759</v>
      </c>
      <c r="O10307" t="s">
        <v>44760</v>
      </c>
      <c r="P10307">
        <v>0</v>
      </c>
      <c r="Q10307">
        <v>6</v>
      </c>
      <c r="R10307" t="s">
        <v>44772</v>
      </c>
      <c r="S10307" t="s">
        <v>45149</v>
      </c>
      <c r="T10307" t="s">
        <v>46353</v>
      </c>
      <c r="U10307" t="s">
        <v>55490</v>
      </c>
      <c r="W10307" t="s">
        <v>41972</v>
      </c>
      <c r="X10307" t="s">
        <v>44773</v>
      </c>
    </row>
    <row r="10308" spans="1:24">
      <c r="A10308">
        <f>HYPERLINK("https://www.philgeps.gov.ph/GEPSNONPILOT/Tender/SplashBidNoticeAbstractUI.aspx?menuIndex=3&amp;refID=7133327&amp;Result=3","7133327")</f>
        <v>0</v>
      </c>
      <c r="B10308" t="s">
        <v>3164</v>
      </c>
      <c r="C10308" t="s">
        <v>13544</v>
      </c>
      <c r="D10308" t="s">
        <v>17971</v>
      </c>
      <c r="E10308" t="s">
        <v>26964</v>
      </c>
      <c r="F10308" t="s">
        <v>30900</v>
      </c>
      <c r="G10308" t="s">
        <v>30907</v>
      </c>
      <c r="H10308" t="s">
        <v>30916</v>
      </c>
      <c r="I10308" t="s">
        <v>6396</v>
      </c>
      <c r="J10308" t="s">
        <v>37471</v>
      </c>
      <c r="K10308" t="s">
        <v>40291</v>
      </c>
      <c r="M10308" t="s">
        <v>43990</v>
      </c>
      <c r="N10308" t="s">
        <v>44759</v>
      </c>
      <c r="O10308" t="s">
        <v>44760</v>
      </c>
      <c r="P10308">
        <v>0</v>
      </c>
      <c r="Q10308">
        <v>3</v>
      </c>
      <c r="R10308" t="s">
        <v>44772</v>
      </c>
      <c r="S10308" t="s">
        <v>45149</v>
      </c>
      <c r="T10308" t="s">
        <v>46361</v>
      </c>
      <c r="U10308" t="s">
        <v>55491</v>
      </c>
      <c r="W10308" t="s">
        <v>43990</v>
      </c>
      <c r="X10308" t="s">
        <v>44773</v>
      </c>
    </row>
    <row r="10309" spans="1:24">
      <c r="A10309">
        <f>HYPERLINK("https://www.philgeps.gov.ph/GEPSNONPILOT/Tender/SplashBidNoticeAbstractUI.aspx?menuIndex=3&amp;refID=7133346&amp;Result=3","7133346")</f>
        <v>0</v>
      </c>
      <c r="B10309" t="s">
        <v>2330</v>
      </c>
      <c r="C10309" t="s">
        <v>13545</v>
      </c>
      <c r="D10309" t="s">
        <v>17953</v>
      </c>
      <c r="E10309" t="s">
        <v>26965</v>
      </c>
      <c r="F10309" t="s">
        <v>30900</v>
      </c>
      <c r="G10309" t="s">
        <v>30907</v>
      </c>
      <c r="H10309" t="s">
        <v>30916</v>
      </c>
      <c r="I10309" t="s">
        <v>6746</v>
      </c>
      <c r="J10309" t="s">
        <v>35824</v>
      </c>
      <c r="K10309" t="s">
        <v>40289</v>
      </c>
      <c r="M10309" t="s">
        <v>43989</v>
      </c>
      <c r="N10309" t="s">
        <v>44759</v>
      </c>
      <c r="O10309" t="s">
        <v>44760</v>
      </c>
      <c r="P10309">
        <v>0</v>
      </c>
      <c r="Q10309">
        <v>0</v>
      </c>
      <c r="R10309" t="s">
        <v>44772</v>
      </c>
      <c r="S10309" t="s">
        <v>45149</v>
      </c>
      <c r="T10309" t="s">
        <v>46422</v>
      </c>
      <c r="U10309" t="s">
        <v>55492</v>
      </c>
      <c r="V10309" t="s">
        <v>60246</v>
      </c>
      <c r="W10309" t="s">
        <v>43989</v>
      </c>
      <c r="X10309" t="s">
        <v>44773</v>
      </c>
    </row>
    <row r="10310" spans="1:24">
      <c r="A10310">
        <f>HYPERLINK("https://www.philgeps.gov.ph/GEPSNONPILOT/Tender/SplashBidNoticeAbstractUI.aspx?menuIndex=3&amp;refID=7133302&amp;Result=3","7133302")</f>
        <v>0</v>
      </c>
      <c r="B10310" t="s">
        <v>1414</v>
      </c>
      <c r="C10310" t="s">
        <v>13546</v>
      </c>
      <c r="D10310" t="s">
        <v>17977</v>
      </c>
      <c r="E10310" t="s">
        <v>26966</v>
      </c>
      <c r="F10310" t="s">
        <v>30900</v>
      </c>
      <c r="G10310" t="s">
        <v>30909</v>
      </c>
      <c r="H10310" t="s">
        <v>30916</v>
      </c>
      <c r="I10310" t="s">
        <v>30922</v>
      </c>
      <c r="J10310" t="s">
        <v>34130</v>
      </c>
      <c r="K10310" t="s">
        <v>40286</v>
      </c>
      <c r="M10310" t="s">
        <v>42043</v>
      </c>
      <c r="N10310" t="s">
        <v>44759</v>
      </c>
      <c r="O10310" t="s">
        <v>44760</v>
      </c>
      <c r="Q10310">
        <v>2</v>
      </c>
      <c r="R10310" t="s">
        <v>44772</v>
      </c>
      <c r="S10310" t="s">
        <v>45157</v>
      </c>
      <c r="T10310" t="s">
        <v>46391</v>
      </c>
      <c r="U10310" t="s">
        <v>49834</v>
      </c>
      <c r="W10310" t="s">
        <v>42043</v>
      </c>
      <c r="X10310" t="s">
        <v>44773</v>
      </c>
    </row>
    <row r="10311" spans="1:24">
      <c r="A10311">
        <f>HYPERLINK("https://www.philgeps.gov.ph/GEPSNONPILOT/Tender/SplashBidNoticeAbstractUI.aspx?menuIndex=3&amp;refID=7132880&amp;Result=3","7132880")</f>
        <v>0</v>
      </c>
      <c r="B10311" t="s">
        <v>2698</v>
      </c>
      <c r="C10311" t="s">
        <v>13547</v>
      </c>
      <c r="D10311" t="s">
        <v>17957</v>
      </c>
      <c r="E10311" t="s">
        <v>25062</v>
      </c>
      <c r="F10311" t="s">
        <v>30900</v>
      </c>
      <c r="G10311" t="s">
        <v>30907</v>
      </c>
      <c r="H10311" t="s">
        <v>30916</v>
      </c>
      <c r="I10311" t="s">
        <v>30940</v>
      </c>
      <c r="J10311" t="s">
        <v>31297</v>
      </c>
      <c r="K10311" t="s">
        <v>40292</v>
      </c>
      <c r="M10311" t="s">
        <v>43471</v>
      </c>
      <c r="N10311" t="s">
        <v>44759</v>
      </c>
      <c r="O10311" t="s">
        <v>44760</v>
      </c>
      <c r="P10311">
        <v>0</v>
      </c>
      <c r="Q10311">
        <v>3</v>
      </c>
      <c r="R10311" t="s">
        <v>44772</v>
      </c>
      <c r="S10311" t="s">
        <v>45149</v>
      </c>
      <c r="T10311" t="s">
        <v>46439</v>
      </c>
      <c r="U10311" t="s">
        <v>55493</v>
      </c>
      <c r="V10311" t="s">
        <v>60249</v>
      </c>
      <c r="W10311" t="s">
        <v>43471</v>
      </c>
      <c r="X10311" t="s">
        <v>44773</v>
      </c>
    </row>
    <row r="10312" spans="1:24">
      <c r="A10312">
        <f>HYPERLINK("https://www.philgeps.gov.ph/GEPSNONPILOT/Tender/SplashBidNoticeAbstractUI.aspx?menuIndex=3&amp;refID=7133295&amp;Result=3","7133295")</f>
        <v>0</v>
      </c>
      <c r="B10312" t="s">
        <v>1985</v>
      </c>
      <c r="C10312" t="s">
        <v>13548</v>
      </c>
      <c r="D10312" t="s">
        <v>17952</v>
      </c>
      <c r="E10312" t="s">
        <v>18119</v>
      </c>
      <c r="F10312" t="s">
        <v>30900</v>
      </c>
      <c r="G10312" t="s">
        <v>30907</v>
      </c>
      <c r="H10312" t="s">
        <v>30916</v>
      </c>
      <c r="I10312" t="s">
        <v>8123</v>
      </c>
      <c r="J10312" t="s">
        <v>37472</v>
      </c>
      <c r="K10312" t="s">
        <v>40391</v>
      </c>
      <c r="M10312" t="s">
        <v>42676</v>
      </c>
      <c r="N10312" t="s">
        <v>44759</v>
      </c>
      <c r="O10312" t="s">
        <v>44760</v>
      </c>
      <c r="P10312">
        <v>0</v>
      </c>
      <c r="Q10312">
        <v>1</v>
      </c>
      <c r="R10312" t="s">
        <v>44772</v>
      </c>
      <c r="S10312" t="s">
        <v>45149</v>
      </c>
      <c r="T10312" t="s">
        <v>46353</v>
      </c>
      <c r="U10312" t="s">
        <v>55488</v>
      </c>
      <c r="V10312" t="s">
        <v>60250</v>
      </c>
      <c r="W10312" t="s">
        <v>42676</v>
      </c>
      <c r="X10312" t="s">
        <v>44773</v>
      </c>
    </row>
    <row r="10313" spans="1:24">
      <c r="A10313">
        <f>HYPERLINK("https://www.philgeps.gov.ph/GEPSNONPILOT/Tender/SplashBidNoticeAbstractUI.aspx?menuIndex=3&amp;refID=7133286&amp;Result=3","7133286")</f>
        <v>0</v>
      </c>
      <c r="B10313" t="s">
        <v>2330</v>
      </c>
      <c r="C10313" t="s">
        <v>13549</v>
      </c>
      <c r="D10313" t="s">
        <v>17953</v>
      </c>
      <c r="E10313" t="s">
        <v>26967</v>
      </c>
      <c r="F10313" t="s">
        <v>30900</v>
      </c>
      <c r="G10313" t="s">
        <v>30907</v>
      </c>
      <c r="H10313" t="s">
        <v>30916</v>
      </c>
      <c r="I10313" t="s">
        <v>8123</v>
      </c>
      <c r="J10313" t="s">
        <v>37473</v>
      </c>
      <c r="K10313" t="s">
        <v>40289</v>
      </c>
      <c r="M10313" t="s">
        <v>43989</v>
      </c>
      <c r="N10313" t="s">
        <v>44759</v>
      </c>
      <c r="O10313" t="s">
        <v>44760</v>
      </c>
      <c r="P10313">
        <v>0</v>
      </c>
      <c r="Q10313">
        <v>0</v>
      </c>
      <c r="R10313" t="s">
        <v>44772</v>
      </c>
      <c r="S10313" t="s">
        <v>45149</v>
      </c>
      <c r="T10313" t="s">
        <v>46422</v>
      </c>
      <c r="U10313" t="s">
        <v>55494</v>
      </c>
      <c r="V10313" t="s">
        <v>60246</v>
      </c>
      <c r="W10313" t="s">
        <v>43989</v>
      </c>
      <c r="X10313" t="s">
        <v>44773</v>
      </c>
    </row>
    <row r="10314" spans="1:24">
      <c r="A10314">
        <f>HYPERLINK("https://www.philgeps.gov.ph/GEPSNONPILOT/Tender/SplashBidNoticeAbstractUI.aspx?menuIndex=3&amp;refID=7133503&amp;Result=3","7133503")</f>
        <v>0</v>
      </c>
      <c r="B10314" t="s">
        <v>3165</v>
      </c>
      <c r="C10314" t="s">
        <v>13550</v>
      </c>
      <c r="D10314" t="s">
        <v>18011</v>
      </c>
      <c r="E10314" t="s">
        <v>26968</v>
      </c>
      <c r="F10314" t="s">
        <v>30900</v>
      </c>
      <c r="G10314" t="s">
        <v>30907</v>
      </c>
      <c r="H10314" t="s">
        <v>30917</v>
      </c>
      <c r="I10314" t="s">
        <v>30990</v>
      </c>
      <c r="J10314" t="s">
        <v>37474</v>
      </c>
      <c r="K10314" t="s">
        <v>40286</v>
      </c>
      <c r="M10314" t="s">
        <v>43991</v>
      </c>
      <c r="N10314" t="s">
        <v>44759</v>
      </c>
      <c r="O10314" t="s">
        <v>44760</v>
      </c>
      <c r="P10314">
        <v>0</v>
      </c>
      <c r="Q10314">
        <v>0</v>
      </c>
      <c r="R10314" t="s">
        <v>44772</v>
      </c>
      <c r="S10314" t="s">
        <v>45149</v>
      </c>
      <c r="T10314" t="s">
        <v>46445</v>
      </c>
      <c r="U10314" t="s">
        <v>55495</v>
      </c>
      <c r="W10314" t="s">
        <v>43991</v>
      </c>
      <c r="X10314" t="s">
        <v>44773</v>
      </c>
    </row>
    <row r="10315" spans="1:24">
      <c r="A10315">
        <f>HYPERLINK("https://www.philgeps.gov.ph/GEPSNONPILOT/Tender/SplashBidNoticeAbstractUI.aspx?menuIndex=3&amp;refID=7133280&amp;Result=3","7133280")</f>
        <v>0</v>
      </c>
      <c r="B10315" t="s">
        <v>1516</v>
      </c>
      <c r="C10315" t="s">
        <v>13551</v>
      </c>
      <c r="D10315" t="s">
        <v>18033</v>
      </c>
      <c r="E10315" t="s">
        <v>26969</v>
      </c>
      <c r="F10315" t="s">
        <v>30900</v>
      </c>
      <c r="G10315" t="s">
        <v>30907</v>
      </c>
      <c r="H10315" t="s">
        <v>30916</v>
      </c>
      <c r="I10315" t="s">
        <v>30919</v>
      </c>
      <c r="J10315" t="s">
        <v>37475</v>
      </c>
      <c r="K10315" t="s">
        <v>40392</v>
      </c>
      <c r="M10315" t="s">
        <v>43062</v>
      </c>
      <c r="N10315" t="s">
        <v>44759</v>
      </c>
      <c r="O10315" t="s">
        <v>44760</v>
      </c>
      <c r="P10315">
        <v>0</v>
      </c>
      <c r="Q10315">
        <v>0</v>
      </c>
      <c r="R10315" t="s">
        <v>44772</v>
      </c>
      <c r="S10315" t="s">
        <v>45149</v>
      </c>
      <c r="T10315" t="s">
        <v>46411</v>
      </c>
      <c r="U10315" t="s">
        <v>55470</v>
      </c>
      <c r="W10315" t="s">
        <v>43062</v>
      </c>
      <c r="X10315" t="s">
        <v>44773</v>
      </c>
    </row>
    <row r="10316" spans="1:24">
      <c r="A10316">
        <f>HYPERLINK("https://www.philgeps.gov.ph/GEPSNONPILOT/Tender/SplashBidNoticeAbstractUI.aspx?menuIndex=3&amp;refID=7133383&amp;Result=3","7133383")</f>
        <v>0</v>
      </c>
      <c r="B10316" t="s">
        <v>3166</v>
      </c>
      <c r="C10316" t="s">
        <v>13552</v>
      </c>
      <c r="D10316" t="s">
        <v>17980</v>
      </c>
      <c r="E10316" t="s">
        <v>23633</v>
      </c>
      <c r="F10316" t="s">
        <v>30900</v>
      </c>
      <c r="G10316" t="s">
        <v>30907</v>
      </c>
      <c r="H10316" t="s">
        <v>30915</v>
      </c>
      <c r="I10316" t="s">
        <v>30919</v>
      </c>
      <c r="J10316" t="s">
        <v>33175</v>
      </c>
      <c r="K10316" t="s">
        <v>40332</v>
      </c>
      <c r="M10316" t="s">
        <v>43992</v>
      </c>
      <c r="N10316" t="s">
        <v>44759</v>
      </c>
      <c r="O10316" t="s">
        <v>44760</v>
      </c>
      <c r="P10316">
        <v>0</v>
      </c>
      <c r="Q10316">
        <v>21</v>
      </c>
      <c r="R10316" t="s">
        <v>44772</v>
      </c>
      <c r="S10316" t="s">
        <v>45149</v>
      </c>
      <c r="T10316" t="s">
        <v>46405</v>
      </c>
      <c r="U10316" t="s">
        <v>55496</v>
      </c>
      <c r="W10316" t="s">
        <v>43992</v>
      </c>
      <c r="X10316" t="s">
        <v>44773</v>
      </c>
    </row>
    <row r="10317" spans="1:24">
      <c r="A10317">
        <f>HYPERLINK("https://www.philgeps.gov.ph/GEPSNONPILOT/Tender/SplashBidNoticeAbstractUI.aspx?menuIndex=3&amp;refID=7133273&amp;Result=3","7133273")</f>
        <v>0</v>
      </c>
      <c r="B10317" t="s">
        <v>2451</v>
      </c>
      <c r="C10317" t="s">
        <v>13553</v>
      </c>
      <c r="D10317" t="s">
        <v>17985</v>
      </c>
      <c r="E10317" t="s">
        <v>26970</v>
      </c>
      <c r="F10317" t="s">
        <v>30900</v>
      </c>
      <c r="G10317" t="s">
        <v>30907</v>
      </c>
      <c r="H10317" t="s">
        <v>30915</v>
      </c>
      <c r="I10317" t="s">
        <v>30919</v>
      </c>
      <c r="J10317" t="s">
        <v>37476</v>
      </c>
      <c r="K10317" t="s">
        <v>40280</v>
      </c>
      <c r="M10317" t="s">
        <v>43188</v>
      </c>
      <c r="N10317" t="s">
        <v>44759</v>
      </c>
      <c r="O10317" t="s">
        <v>44760</v>
      </c>
      <c r="P10317">
        <v>0</v>
      </c>
      <c r="Q10317">
        <v>1</v>
      </c>
      <c r="R10317" t="s">
        <v>44772</v>
      </c>
      <c r="S10317" t="s">
        <v>45149</v>
      </c>
      <c r="T10317" t="s">
        <v>46606</v>
      </c>
      <c r="U10317" t="s">
        <v>55497</v>
      </c>
      <c r="V10317" t="s">
        <v>60251</v>
      </c>
      <c r="W10317" t="s">
        <v>43188</v>
      </c>
      <c r="X10317" t="s">
        <v>44773</v>
      </c>
    </row>
    <row r="10318" spans="1:24">
      <c r="A10318">
        <f>HYPERLINK("https://www.philgeps.gov.ph/GEPSNONPILOT/Tender/SplashBidNoticeAbstractUI.aspx?menuIndex=3&amp;refID=7133639&amp;Result=3","7133639")</f>
        <v>0</v>
      </c>
      <c r="B10318" t="s">
        <v>807</v>
      </c>
      <c r="C10318" t="s">
        <v>13554</v>
      </c>
      <c r="D10318" t="s">
        <v>18015</v>
      </c>
      <c r="E10318" t="s">
        <v>26971</v>
      </c>
      <c r="F10318" t="s">
        <v>30900</v>
      </c>
      <c r="G10318" t="s">
        <v>30907</v>
      </c>
      <c r="H10318" t="s">
        <v>30915</v>
      </c>
      <c r="I10318" t="s">
        <v>30919</v>
      </c>
      <c r="J10318" t="s">
        <v>37477</v>
      </c>
      <c r="K10318" t="s">
        <v>40309</v>
      </c>
      <c r="M10318" t="s">
        <v>41377</v>
      </c>
      <c r="N10318" t="s">
        <v>44759</v>
      </c>
      <c r="O10318" t="s">
        <v>44760</v>
      </c>
      <c r="P10318">
        <v>0</v>
      </c>
      <c r="Q10318">
        <v>1</v>
      </c>
      <c r="R10318" t="s">
        <v>44772</v>
      </c>
      <c r="S10318" t="s">
        <v>45149</v>
      </c>
      <c r="T10318" t="s">
        <v>46352</v>
      </c>
      <c r="U10318" t="s">
        <v>55498</v>
      </c>
      <c r="W10318" t="s">
        <v>41377</v>
      </c>
      <c r="X10318" t="s">
        <v>44773</v>
      </c>
    </row>
    <row r="10319" spans="1:24">
      <c r="A10319">
        <f>HYPERLINK("https://www.philgeps.gov.ph/GEPSNONPILOT/Tender/SplashBidNoticeAbstractUI.aspx?menuIndex=3&amp;refID=7133601&amp;Result=3","7133601")</f>
        <v>0</v>
      </c>
      <c r="B10319" t="s">
        <v>928</v>
      </c>
      <c r="C10319" t="s">
        <v>13555</v>
      </c>
      <c r="D10319" t="s">
        <v>17972</v>
      </c>
      <c r="E10319" t="s">
        <v>26972</v>
      </c>
      <c r="F10319" t="s">
        <v>30900</v>
      </c>
      <c r="G10319" t="s">
        <v>30907</v>
      </c>
      <c r="H10319" t="s">
        <v>30915</v>
      </c>
      <c r="I10319" t="s">
        <v>30919</v>
      </c>
      <c r="J10319" t="s">
        <v>37478</v>
      </c>
      <c r="K10319" t="s">
        <v>40289</v>
      </c>
      <c r="M10319" t="s">
        <v>41510</v>
      </c>
      <c r="N10319" t="s">
        <v>44759</v>
      </c>
      <c r="O10319" t="s">
        <v>44760</v>
      </c>
      <c r="P10319">
        <v>0</v>
      </c>
      <c r="Q10319">
        <v>1</v>
      </c>
      <c r="R10319" t="s">
        <v>44772</v>
      </c>
      <c r="S10319" t="s">
        <v>45149</v>
      </c>
      <c r="T10319" t="s">
        <v>46653</v>
      </c>
      <c r="U10319" t="s">
        <v>54779</v>
      </c>
      <c r="W10319" t="s">
        <v>41510</v>
      </c>
      <c r="X10319" t="s">
        <v>44773</v>
      </c>
    </row>
    <row r="10320" spans="1:24">
      <c r="A10320">
        <f>HYPERLINK("https://www.philgeps.gov.ph/GEPSNONPILOT/Tender/SplashBidNoticeAbstractUI.aspx?menuIndex=3&amp;refID=7133529&amp;Result=3","7133529")</f>
        <v>0</v>
      </c>
      <c r="B10320" t="s">
        <v>1558</v>
      </c>
      <c r="C10320" t="s">
        <v>13556</v>
      </c>
      <c r="D10320" t="s">
        <v>17996</v>
      </c>
      <c r="E10320" t="s">
        <v>26973</v>
      </c>
      <c r="F10320" t="s">
        <v>30900</v>
      </c>
      <c r="G10320" t="s">
        <v>30907</v>
      </c>
      <c r="H10320" t="s">
        <v>30916</v>
      </c>
      <c r="I10320" t="s">
        <v>30923</v>
      </c>
      <c r="J10320" t="s">
        <v>37479</v>
      </c>
      <c r="K10320" t="s">
        <v>40284</v>
      </c>
      <c r="M10320" t="s">
        <v>42204</v>
      </c>
      <c r="N10320" t="s">
        <v>44759</v>
      </c>
      <c r="O10320" t="s">
        <v>44760</v>
      </c>
      <c r="P10320">
        <v>0</v>
      </c>
      <c r="Q10320">
        <v>1</v>
      </c>
      <c r="R10320" t="s">
        <v>44772</v>
      </c>
      <c r="S10320" t="s">
        <v>45149</v>
      </c>
      <c r="T10320" t="s">
        <v>46352</v>
      </c>
      <c r="U10320" t="s">
        <v>55499</v>
      </c>
      <c r="W10320" t="s">
        <v>42204</v>
      </c>
      <c r="X10320" t="s">
        <v>44773</v>
      </c>
    </row>
    <row r="10321" spans="1:24">
      <c r="A10321">
        <f>HYPERLINK("https://www.philgeps.gov.ph/GEPSNONPILOT/Tender/SplashBidNoticeAbstractUI.aspx?menuIndex=3&amp;refID=7133262&amp;Result=3","7133262")</f>
        <v>0</v>
      </c>
      <c r="B10321" t="s">
        <v>3167</v>
      </c>
      <c r="C10321" t="s">
        <v>13557</v>
      </c>
      <c r="D10321" t="s">
        <v>17992</v>
      </c>
      <c r="E10321" t="s">
        <v>26974</v>
      </c>
      <c r="F10321" t="s">
        <v>30900</v>
      </c>
      <c r="G10321" t="s">
        <v>30907</v>
      </c>
      <c r="H10321" t="s">
        <v>30916</v>
      </c>
      <c r="I10321" t="s">
        <v>30923</v>
      </c>
      <c r="J10321" t="s">
        <v>32417</v>
      </c>
      <c r="K10321" t="s">
        <v>40286</v>
      </c>
      <c r="M10321" t="s">
        <v>43993</v>
      </c>
      <c r="N10321" t="s">
        <v>44759</v>
      </c>
      <c r="O10321" t="s">
        <v>44760</v>
      </c>
      <c r="P10321">
        <v>0</v>
      </c>
      <c r="Q10321">
        <v>2</v>
      </c>
      <c r="R10321" t="s">
        <v>44772</v>
      </c>
      <c r="S10321" t="s">
        <v>45149</v>
      </c>
      <c r="T10321" t="s">
        <v>46544</v>
      </c>
      <c r="U10321" t="s">
        <v>55500</v>
      </c>
      <c r="V10321" t="s">
        <v>60252</v>
      </c>
      <c r="W10321" t="s">
        <v>43993</v>
      </c>
      <c r="X10321" t="s">
        <v>44773</v>
      </c>
    </row>
    <row r="10322" spans="1:24">
      <c r="A10322">
        <f>HYPERLINK("https://www.philgeps.gov.ph/GEPSNONPILOT/Tender/SplashBidNoticeAbstractUI.aspx?menuIndex=3&amp;refID=7133528&amp;Result=3","7133528")</f>
        <v>0</v>
      </c>
      <c r="B10322" t="s">
        <v>3165</v>
      </c>
      <c r="C10322" t="s">
        <v>13558</v>
      </c>
      <c r="D10322" t="s">
        <v>18011</v>
      </c>
      <c r="E10322" t="s">
        <v>26975</v>
      </c>
      <c r="F10322" t="s">
        <v>30900</v>
      </c>
      <c r="G10322" t="s">
        <v>30907</v>
      </c>
      <c r="H10322" t="s">
        <v>30917</v>
      </c>
      <c r="I10322" t="s">
        <v>4004</v>
      </c>
      <c r="J10322" t="s">
        <v>31049</v>
      </c>
      <c r="K10322" t="s">
        <v>40286</v>
      </c>
      <c r="M10322" t="s">
        <v>43991</v>
      </c>
      <c r="N10322" t="s">
        <v>44759</v>
      </c>
      <c r="O10322" t="s">
        <v>44760</v>
      </c>
      <c r="P10322">
        <v>0</v>
      </c>
      <c r="Q10322">
        <v>1</v>
      </c>
      <c r="R10322" t="s">
        <v>44772</v>
      </c>
      <c r="S10322" t="s">
        <v>45149</v>
      </c>
      <c r="T10322" t="s">
        <v>46445</v>
      </c>
      <c r="U10322" t="s">
        <v>55501</v>
      </c>
      <c r="W10322" t="s">
        <v>43991</v>
      </c>
      <c r="X10322" t="s">
        <v>44773</v>
      </c>
    </row>
    <row r="10323" spans="1:24">
      <c r="A10323">
        <f>HYPERLINK("https://www.philgeps.gov.ph/GEPSNONPILOT/Tender/SplashBidNoticeAbstractUI.aspx?menuIndex=3&amp;refID=7133522&amp;Result=3","7133522")</f>
        <v>0</v>
      </c>
      <c r="B10323" t="s">
        <v>1393</v>
      </c>
      <c r="C10323" t="s">
        <v>13559</v>
      </c>
      <c r="E10323" t="s">
        <v>26976</v>
      </c>
      <c r="F10323" t="s">
        <v>30900</v>
      </c>
      <c r="G10323" t="s">
        <v>30907</v>
      </c>
      <c r="H10323" t="s">
        <v>30916</v>
      </c>
      <c r="I10323" t="s">
        <v>30940</v>
      </c>
      <c r="J10323" t="s">
        <v>37480</v>
      </c>
      <c r="K10323" t="s">
        <v>40289</v>
      </c>
      <c r="M10323" t="s">
        <v>42018</v>
      </c>
      <c r="N10323" t="s">
        <v>44759</v>
      </c>
      <c r="O10323" t="s">
        <v>44760</v>
      </c>
      <c r="P10323">
        <v>0</v>
      </c>
      <c r="Q10323">
        <v>10</v>
      </c>
      <c r="R10323" t="s">
        <v>44772</v>
      </c>
      <c r="S10323" t="s">
        <v>45149</v>
      </c>
      <c r="T10323" t="s">
        <v>46411</v>
      </c>
      <c r="U10323" t="s">
        <v>55502</v>
      </c>
      <c r="W10323" t="s">
        <v>42018</v>
      </c>
      <c r="X10323" t="s">
        <v>44773</v>
      </c>
    </row>
    <row r="10324" spans="1:24">
      <c r="A10324">
        <f>HYPERLINK("https://www.philgeps.gov.ph/GEPSNONPILOT/Tender/SplashBidNoticeAbstractUI.aspx?menuIndex=3&amp;refID=7133495&amp;Result=3","7133495")</f>
        <v>0</v>
      </c>
      <c r="B10324" t="s">
        <v>1558</v>
      </c>
      <c r="C10324" t="s">
        <v>13560</v>
      </c>
      <c r="D10324" t="s">
        <v>17996</v>
      </c>
      <c r="E10324" t="s">
        <v>26977</v>
      </c>
      <c r="F10324" t="s">
        <v>30900</v>
      </c>
      <c r="G10324" t="s">
        <v>30907</v>
      </c>
      <c r="H10324" t="s">
        <v>30916</v>
      </c>
      <c r="I10324" t="s">
        <v>30919</v>
      </c>
      <c r="J10324" t="s">
        <v>37481</v>
      </c>
      <c r="K10324" t="s">
        <v>40327</v>
      </c>
      <c r="M10324" t="s">
        <v>42204</v>
      </c>
      <c r="N10324" t="s">
        <v>44759</v>
      </c>
      <c r="O10324" t="s">
        <v>44760</v>
      </c>
      <c r="P10324">
        <v>0</v>
      </c>
      <c r="Q10324">
        <v>0</v>
      </c>
      <c r="R10324" t="s">
        <v>44772</v>
      </c>
      <c r="S10324" t="s">
        <v>45149</v>
      </c>
      <c r="T10324" t="s">
        <v>46352</v>
      </c>
      <c r="U10324" t="s">
        <v>55503</v>
      </c>
      <c r="W10324" t="s">
        <v>42204</v>
      </c>
      <c r="X10324" t="s">
        <v>44773</v>
      </c>
    </row>
    <row r="10325" spans="1:24">
      <c r="A10325">
        <f>HYPERLINK("https://www.philgeps.gov.ph/GEPSNONPILOT/Tender/SplashBidNoticeAbstractUI.aspx?menuIndex=3&amp;refID=7133483&amp;Result=3","7133483")</f>
        <v>0</v>
      </c>
      <c r="B10325" t="s">
        <v>416</v>
      </c>
      <c r="C10325" t="s">
        <v>13561</v>
      </c>
      <c r="D10325" t="s">
        <v>17976</v>
      </c>
      <c r="E10325" t="s">
        <v>26978</v>
      </c>
      <c r="F10325" t="s">
        <v>30900</v>
      </c>
      <c r="G10325" t="s">
        <v>30907</v>
      </c>
      <c r="H10325" t="s">
        <v>30916</v>
      </c>
      <c r="I10325" t="s">
        <v>30922</v>
      </c>
      <c r="J10325" t="s">
        <v>31407</v>
      </c>
      <c r="K10325" t="s">
        <v>40283</v>
      </c>
      <c r="M10325" t="s">
        <v>40972</v>
      </c>
      <c r="N10325" t="s">
        <v>44759</v>
      </c>
      <c r="O10325" t="s">
        <v>44760</v>
      </c>
      <c r="P10325">
        <v>0</v>
      </c>
      <c r="Q10325">
        <v>3</v>
      </c>
      <c r="R10325" t="s">
        <v>44772</v>
      </c>
      <c r="S10325" t="s">
        <v>45149</v>
      </c>
      <c r="T10325" t="s">
        <v>46658</v>
      </c>
      <c r="U10325" t="s">
        <v>55504</v>
      </c>
      <c r="W10325" t="s">
        <v>40972</v>
      </c>
      <c r="X10325" t="s">
        <v>44773</v>
      </c>
    </row>
    <row r="10326" spans="1:24">
      <c r="A10326">
        <f>HYPERLINK("https://www.philgeps.gov.ph/GEPSNONPILOT/Tender/SplashBidNoticeAbstractUI.aspx?menuIndex=3&amp;refID=7133454&amp;Result=3","7133454")</f>
        <v>0</v>
      </c>
      <c r="B10326" t="s">
        <v>3168</v>
      </c>
      <c r="C10326" t="s">
        <v>13562</v>
      </c>
      <c r="D10326" t="s">
        <v>17959</v>
      </c>
      <c r="E10326" t="s">
        <v>22856</v>
      </c>
      <c r="F10326" t="s">
        <v>30900</v>
      </c>
      <c r="G10326" t="s">
        <v>30907</v>
      </c>
      <c r="H10326" t="s">
        <v>30916</v>
      </c>
      <c r="I10326" t="s">
        <v>4108</v>
      </c>
      <c r="J10326" t="s">
        <v>37482</v>
      </c>
      <c r="K10326" t="s">
        <v>40280</v>
      </c>
      <c r="M10326" t="s">
        <v>43994</v>
      </c>
      <c r="N10326" t="s">
        <v>44759</v>
      </c>
      <c r="O10326" t="s">
        <v>44760</v>
      </c>
      <c r="P10326">
        <v>0</v>
      </c>
      <c r="Q10326">
        <v>3</v>
      </c>
      <c r="R10326" t="s">
        <v>44772</v>
      </c>
      <c r="S10326" t="s">
        <v>45149</v>
      </c>
      <c r="T10326" t="s">
        <v>46414</v>
      </c>
      <c r="U10326" t="s">
        <v>55505</v>
      </c>
      <c r="W10326" t="s">
        <v>43994</v>
      </c>
      <c r="X10326" t="s">
        <v>44773</v>
      </c>
    </row>
    <row r="10327" spans="1:24">
      <c r="A10327">
        <f>HYPERLINK("https://www.philgeps.gov.ph/GEPSNONPILOT/Tender/SplashBidNoticeAbstractUI.aspx?menuIndex=3&amp;refID=7133111&amp;Result=3","7133111")</f>
        <v>0</v>
      </c>
      <c r="B10327" t="s">
        <v>1414</v>
      </c>
      <c r="C10327" t="s">
        <v>13563</v>
      </c>
      <c r="D10327" t="s">
        <v>17977</v>
      </c>
      <c r="E10327" t="s">
        <v>26979</v>
      </c>
      <c r="F10327" t="s">
        <v>30900</v>
      </c>
      <c r="G10327" t="s">
        <v>30909</v>
      </c>
      <c r="H10327" t="s">
        <v>30916</v>
      </c>
      <c r="I10327" t="s">
        <v>8123</v>
      </c>
      <c r="J10327" t="s">
        <v>37483</v>
      </c>
      <c r="K10327" t="s">
        <v>40293</v>
      </c>
      <c r="M10327" t="s">
        <v>42043</v>
      </c>
      <c r="N10327" t="s">
        <v>44759</v>
      </c>
      <c r="O10327" t="s">
        <v>44760</v>
      </c>
      <c r="Q10327">
        <v>3</v>
      </c>
      <c r="R10327" t="s">
        <v>44772</v>
      </c>
      <c r="S10327" t="s">
        <v>45158</v>
      </c>
      <c r="T10327" t="s">
        <v>46391</v>
      </c>
      <c r="U10327" t="s">
        <v>49834</v>
      </c>
      <c r="W10327" t="s">
        <v>42043</v>
      </c>
      <c r="X10327" t="s">
        <v>44773</v>
      </c>
    </row>
    <row r="10328" spans="1:24">
      <c r="A10328">
        <f>HYPERLINK("https://www.philgeps.gov.ph/GEPSNONPILOT/Tender/SplashBidNoticeAbstractUI.aspx?menuIndex=3&amp;refID=7133441&amp;Result=3","7133441")</f>
        <v>0</v>
      </c>
      <c r="B10328" t="s">
        <v>416</v>
      </c>
      <c r="C10328" t="s">
        <v>13564</v>
      </c>
      <c r="D10328" t="s">
        <v>17976</v>
      </c>
      <c r="E10328" t="s">
        <v>20582</v>
      </c>
      <c r="F10328" t="s">
        <v>30900</v>
      </c>
      <c r="G10328" t="s">
        <v>30907</v>
      </c>
      <c r="H10328" t="s">
        <v>30916</v>
      </c>
      <c r="I10328" t="s">
        <v>10602</v>
      </c>
      <c r="J10328" t="s">
        <v>31238</v>
      </c>
      <c r="K10328" t="s">
        <v>40283</v>
      </c>
      <c r="M10328" t="s">
        <v>40972</v>
      </c>
      <c r="N10328" t="s">
        <v>44759</v>
      </c>
      <c r="O10328" t="s">
        <v>44760</v>
      </c>
      <c r="P10328">
        <v>0</v>
      </c>
      <c r="Q10328">
        <v>0</v>
      </c>
      <c r="R10328" t="s">
        <v>44772</v>
      </c>
      <c r="S10328" t="s">
        <v>45149</v>
      </c>
      <c r="T10328" t="s">
        <v>46658</v>
      </c>
      <c r="U10328" t="s">
        <v>55506</v>
      </c>
      <c r="W10328" t="s">
        <v>40972</v>
      </c>
      <c r="X10328" t="s">
        <v>44773</v>
      </c>
    </row>
    <row r="10329" spans="1:24">
      <c r="A10329">
        <f>HYPERLINK("https://www.philgeps.gov.ph/GEPSNONPILOT/Tender/SplashBidNoticeAbstractUI.aspx?menuIndex=3&amp;refID=7133465&amp;Result=3","7133465")</f>
        <v>0</v>
      </c>
      <c r="B10329" t="s">
        <v>3165</v>
      </c>
      <c r="C10329" t="s">
        <v>13565</v>
      </c>
      <c r="D10329" t="s">
        <v>18011</v>
      </c>
      <c r="E10329" t="s">
        <v>26980</v>
      </c>
      <c r="F10329" t="s">
        <v>30900</v>
      </c>
      <c r="G10329" t="s">
        <v>30907</v>
      </c>
      <c r="H10329" t="s">
        <v>30915</v>
      </c>
      <c r="I10329" t="s">
        <v>8123</v>
      </c>
      <c r="J10329" t="s">
        <v>36620</v>
      </c>
      <c r="K10329" t="s">
        <v>40286</v>
      </c>
      <c r="M10329" t="s">
        <v>43991</v>
      </c>
      <c r="N10329" t="s">
        <v>44759</v>
      </c>
      <c r="O10329" t="s">
        <v>44760</v>
      </c>
      <c r="P10329">
        <v>0</v>
      </c>
      <c r="Q10329">
        <v>1</v>
      </c>
      <c r="R10329" t="s">
        <v>44772</v>
      </c>
      <c r="S10329" t="s">
        <v>45149</v>
      </c>
      <c r="T10329" t="s">
        <v>46517</v>
      </c>
      <c r="U10329" t="s">
        <v>55507</v>
      </c>
      <c r="W10329" t="s">
        <v>43991</v>
      </c>
      <c r="X10329" t="s">
        <v>44773</v>
      </c>
    </row>
    <row r="10330" spans="1:24">
      <c r="A10330">
        <f>HYPERLINK("https://www.philgeps.gov.ph/GEPSNONPILOT/Tender/SplashBidNoticeAbstractUI.aspx?menuIndex=3&amp;refID=7133664&amp;Result=3","7133664")</f>
        <v>0</v>
      </c>
      <c r="B10330" t="s">
        <v>167</v>
      </c>
      <c r="C10330" t="s">
        <v>13566</v>
      </c>
      <c r="D10330" t="s">
        <v>17990</v>
      </c>
      <c r="E10330" t="s">
        <v>26981</v>
      </c>
      <c r="F10330" t="s">
        <v>30900</v>
      </c>
      <c r="G10330" t="s">
        <v>30907</v>
      </c>
      <c r="H10330" t="s">
        <v>30916</v>
      </c>
      <c r="I10330" t="s">
        <v>30959</v>
      </c>
      <c r="J10330" t="s">
        <v>31297</v>
      </c>
      <c r="K10330" t="s">
        <v>40319</v>
      </c>
      <c r="M10330" t="s">
        <v>43995</v>
      </c>
      <c r="N10330" t="s">
        <v>44759</v>
      </c>
      <c r="O10330" t="s">
        <v>44760</v>
      </c>
      <c r="P10330">
        <v>0</v>
      </c>
      <c r="Q10330">
        <v>6</v>
      </c>
      <c r="R10330" t="s">
        <v>44772</v>
      </c>
      <c r="S10330" t="s">
        <v>45149</v>
      </c>
      <c r="T10330" t="s">
        <v>46630</v>
      </c>
      <c r="U10330" t="s">
        <v>55508</v>
      </c>
      <c r="V10330" t="s">
        <v>60253</v>
      </c>
      <c r="W10330" t="s">
        <v>43995</v>
      </c>
      <c r="X10330" t="s">
        <v>44773</v>
      </c>
    </row>
    <row r="10331" spans="1:24">
      <c r="A10331">
        <f>HYPERLINK("https://www.philgeps.gov.ph/GEPSNONPILOT/Tender/SplashBidNoticeAbstractUI.aspx?menuIndex=3&amp;refID=7133478&amp;Result=3","7133478")</f>
        <v>0</v>
      </c>
      <c r="B10331" t="s">
        <v>3165</v>
      </c>
      <c r="C10331" t="s">
        <v>13565</v>
      </c>
      <c r="D10331" t="s">
        <v>18011</v>
      </c>
      <c r="E10331" t="s">
        <v>26982</v>
      </c>
      <c r="F10331" t="s">
        <v>30900</v>
      </c>
      <c r="G10331" t="s">
        <v>30907</v>
      </c>
      <c r="H10331" t="s">
        <v>7411</v>
      </c>
      <c r="I10331" t="s">
        <v>30919</v>
      </c>
      <c r="J10331" t="s">
        <v>31243</v>
      </c>
      <c r="K10331" t="s">
        <v>40286</v>
      </c>
      <c r="M10331" t="s">
        <v>43991</v>
      </c>
      <c r="N10331" t="s">
        <v>44759</v>
      </c>
      <c r="O10331" t="s">
        <v>44760</v>
      </c>
      <c r="P10331">
        <v>0</v>
      </c>
      <c r="Q10331">
        <v>1</v>
      </c>
      <c r="R10331" t="s">
        <v>44772</v>
      </c>
      <c r="S10331" t="s">
        <v>45149</v>
      </c>
      <c r="T10331" t="s">
        <v>46445</v>
      </c>
      <c r="U10331" t="s">
        <v>55509</v>
      </c>
      <c r="W10331" t="s">
        <v>43991</v>
      </c>
      <c r="X10331" t="s">
        <v>44773</v>
      </c>
    </row>
    <row r="10332" spans="1:24">
      <c r="A10332">
        <f>HYPERLINK("https://www.philgeps.gov.ph/GEPSNONPILOT/Tender/SplashBidNoticeAbstractUI.aspx?menuIndex=3&amp;refID=7133845&amp;Result=3","7133845")</f>
        <v>0</v>
      </c>
      <c r="B10332" t="s">
        <v>1414</v>
      </c>
      <c r="C10332" t="s">
        <v>13567</v>
      </c>
      <c r="D10332" t="s">
        <v>17977</v>
      </c>
      <c r="E10332" t="s">
        <v>26983</v>
      </c>
      <c r="F10332" t="s">
        <v>30900</v>
      </c>
      <c r="G10332" t="s">
        <v>30909</v>
      </c>
      <c r="H10332" t="s">
        <v>30916</v>
      </c>
      <c r="I10332" t="s">
        <v>30922</v>
      </c>
      <c r="J10332" t="s">
        <v>32228</v>
      </c>
      <c r="K10332" t="s">
        <v>40286</v>
      </c>
      <c r="M10332" t="s">
        <v>42043</v>
      </c>
      <c r="N10332" t="s">
        <v>44759</v>
      </c>
      <c r="O10332" t="s">
        <v>44760</v>
      </c>
      <c r="Q10332">
        <v>4</v>
      </c>
      <c r="R10332" t="s">
        <v>44772</v>
      </c>
      <c r="S10332" t="s">
        <v>45159</v>
      </c>
      <c r="T10332" t="s">
        <v>46391</v>
      </c>
      <c r="U10332" t="s">
        <v>49834</v>
      </c>
      <c r="W10332" t="s">
        <v>42043</v>
      </c>
      <c r="X10332" t="s">
        <v>44773</v>
      </c>
    </row>
    <row r="10333" spans="1:24">
      <c r="A10333">
        <f>HYPERLINK("https://www.philgeps.gov.ph/GEPSNONPILOT/Tender/SplashBidNoticeAbstractUI.aspx?menuIndex=3&amp;refID=7133836&amp;Result=3","7133836")</f>
        <v>0</v>
      </c>
      <c r="B10333" t="s">
        <v>1719</v>
      </c>
      <c r="C10333" t="s">
        <v>13568</v>
      </c>
      <c r="D10333" t="s">
        <v>17991</v>
      </c>
      <c r="E10333" t="s">
        <v>26984</v>
      </c>
      <c r="F10333" t="s">
        <v>30900</v>
      </c>
      <c r="G10333" t="s">
        <v>30907</v>
      </c>
      <c r="H10333" t="s">
        <v>30916</v>
      </c>
      <c r="I10333" t="s">
        <v>30947</v>
      </c>
      <c r="J10333" t="s">
        <v>31577</v>
      </c>
      <c r="K10333" t="s">
        <v>40286</v>
      </c>
      <c r="M10333" t="s">
        <v>42383</v>
      </c>
      <c r="N10333" t="s">
        <v>44759</v>
      </c>
      <c r="O10333" t="s">
        <v>44760</v>
      </c>
      <c r="P10333">
        <v>0</v>
      </c>
      <c r="Q10333">
        <v>3</v>
      </c>
      <c r="R10333" t="s">
        <v>44772</v>
      </c>
      <c r="S10333" t="s">
        <v>45149</v>
      </c>
      <c r="T10333" t="s">
        <v>46544</v>
      </c>
      <c r="U10333" t="s">
        <v>55510</v>
      </c>
      <c r="W10333" t="s">
        <v>42383</v>
      </c>
      <c r="X10333" t="s">
        <v>44773</v>
      </c>
    </row>
    <row r="10334" spans="1:24">
      <c r="A10334">
        <f>HYPERLINK("https://www.philgeps.gov.ph/GEPSNONPILOT/Tender/SplashBidNoticeAbstractUI.aspx?menuIndex=3&amp;refID=7133530&amp;Result=3","7133530")</f>
        <v>0</v>
      </c>
      <c r="B10334" t="s">
        <v>3169</v>
      </c>
      <c r="C10334" t="s">
        <v>13569</v>
      </c>
      <c r="D10334" t="s">
        <v>17970</v>
      </c>
      <c r="E10334" t="s">
        <v>26985</v>
      </c>
      <c r="F10334" t="s">
        <v>30900</v>
      </c>
      <c r="G10334" t="s">
        <v>30907</v>
      </c>
      <c r="H10334" t="s">
        <v>30915</v>
      </c>
      <c r="I10334" t="s">
        <v>30919</v>
      </c>
      <c r="J10334" t="s">
        <v>37484</v>
      </c>
      <c r="K10334" t="s">
        <v>40314</v>
      </c>
      <c r="M10334" t="s">
        <v>43996</v>
      </c>
      <c r="N10334" t="s">
        <v>44759</v>
      </c>
      <c r="O10334" t="s">
        <v>44760</v>
      </c>
      <c r="Q10334">
        <v>0</v>
      </c>
      <c r="R10334" t="s">
        <v>44772</v>
      </c>
      <c r="S10334" t="s">
        <v>45160</v>
      </c>
      <c r="T10334" t="s">
        <v>46658</v>
      </c>
      <c r="U10334" t="s">
        <v>55511</v>
      </c>
      <c r="W10334" t="s">
        <v>43996</v>
      </c>
      <c r="X10334" t="s">
        <v>44773</v>
      </c>
    </row>
    <row r="10335" spans="1:24">
      <c r="A10335">
        <f>HYPERLINK("https://www.philgeps.gov.ph/GEPSNONPILOT/Tender/SplashBidNoticeAbstractUI.aspx?menuIndex=3&amp;refID=7133830&amp;Result=3","7133830")</f>
        <v>0</v>
      </c>
      <c r="B10335" t="s">
        <v>1937</v>
      </c>
      <c r="C10335" t="s">
        <v>13570</v>
      </c>
      <c r="D10335" t="s">
        <v>17961</v>
      </c>
      <c r="E10335" t="s">
        <v>26986</v>
      </c>
      <c r="F10335" t="s">
        <v>30900</v>
      </c>
      <c r="G10335" t="s">
        <v>30907</v>
      </c>
      <c r="H10335" t="s">
        <v>30916</v>
      </c>
      <c r="I10335" t="s">
        <v>30933</v>
      </c>
      <c r="J10335" t="s">
        <v>31135</v>
      </c>
      <c r="K10335" t="s">
        <v>40286</v>
      </c>
      <c r="M10335" t="s">
        <v>42618</v>
      </c>
      <c r="N10335" t="s">
        <v>44759</v>
      </c>
      <c r="O10335" t="s">
        <v>44760</v>
      </c>
      <c r="P10335">
        <v>0</v>
      </c>
      <c r="Q10335">
        <v>0</v>
      </c>
      <c r="R10335" t="s">
        <v>44772</v>
      </c>
      <c r="S10335" t="s">
        <v>45149</v>
      </c>
      <c r="T10335" t="s">
        <v>46641</v>
      </c>
      <c r="U10335" t="s">
        <v>55512</v>
      </c>
      <c r="W10335" t="s">
        <v>42618</v>
      </c>
      <c r="X10335" t="s">
        <v>44773</v>
      </c>
    </row>
    <row r="10336" spans="1:24">
      <c r="A10336">
        <f>HYPERLINK("https://www.philgeps.gov.ph/GEPSNONPILOT/Tender/SplashBidNoticeAbstractUI.aspx?menuIndex=3&amp;refID=7133795&amp;Result=3","7133795")</f>
        <v>0</v>
      </c>
      <c r="B10336" t="s">
        <v>1516</v>
      </c>
      <c r="C10336" t="s">
        <v>13571</v>
      </c>
      <c r="D10336" t="s">
        <v>18033</v>
      </c>
      <c r="E10336" t="s">
        <v>26987</v>
      </c>
      <c r="F10336" t="s">
        <v>30900</v>
      </c>
      <c r="G10336" t="s">
        <v>30907</v>
      </c>
      <c r="H10336" t="s">
        <v>30916</v>
      </c>
      <c r="I10336" t="s">
        <v>4545</v>
      </c>
      <c r="J10336" t="s">
        <v>37485</v>
      </c>
      <c r="K10336" t="s">
        <v>40286</v>
      </c>
      <c r="M10336" t="s">
        <v>43062</v>
      </c>
      <c r="N10336" t="s">
        <v>44759</v>
      </c>
      <c r="O10336" t="s">
        <v>44760</v>
      </c>
      <c r="P10336">
        <v>0</v>
      </c>
      <c r="Q10336">
        <v>4</v>
      </c>
      <c r="R10336" t="s">
        <v>44772</v>
      </c>
      <c r="S10336" t="s">
        <v>45149</v>
      </c>
      <c r="T10336" t="s">
        <v>46411</v>
      </c>
      <c r="U10336" t="s">
        <v>52539</v>
      </c>
      <c r="W10336" t="s">
        <v>43062</v>
      </c>
      <c r="X10336" t="s">
        <v>44773</v>
      </c>
    </row>
    <row r="10337" spans="1:24">
      <c r="A10337">
        <f>HYPERLINK("https://www.philgeps.gov.ph/GEPSNONPILOT/Tender/SplashBidNoticeAbstractUI.aspx?menuIndex=3&amp;refID=7133781&amp;Result=3","7133781")</f>
        <v>0</v>
      </c>
      <c r="B10337" t="s">
        <v>3170</v>
      </c>
      <c r="C10337" t="s">
        <v>13572</v>
      </c>
      <c r="D10337" t="s">
        <v>17995</v>
      </c>
      <c r="E10337" t="s">
        <v>18752</v>
      </c>
      <c r="F10337" t="s">
        <v>30899</v>
      </c>
      <c r="G10337" t="s">
        <v>30907</v>
      </c>
      <c r="H10337" t="s">
        <v>30916</v>
      </c>
      <c r="I10337" t="s">
        <v>8123</v>
      </c>
      <c r="J10337" t="s">
        <v>37486</v>
      </c>
      <c r="K10337" t="s">
        <v>40304</v>
      </c>
      <c r="M10337" t="s">
        <v>43997</v>
      </c>
      <c r="N10337" t="s">
        <v>44759</v>
      </c>
      <c r="O10337" t="s">
        <v>44760</v>
      </c>
      <c r="P10337">
        <v>0</v>
      </c>
      <c r="Q10337">
        <v>0</v>
      </c>
      <c r="R10337" t="s">
        <v>44772</v>
      </c>
      <c r="S10337" t="s">
        <v>45149</v>
      </c>
      <c r="T10337" t="s">
        <v>46445</v>
      </c>
      <c r="U10337" t="s">
        <v>55513</v>
      </c>
      <c r="W10337" t="s">
        <v>43997</v>
      </c>
      <c r="X10337" t="s">
        <v>44773</v>
      </c>
    </row>
    <row r="10338" spans="1:24">
      <c r="A10338">
        <f>HYPERLINK("https://www.philgeps.gov.ph/GEPSNONPILOT/Tender/SplashBidNoticeAbstractUI.aspx?menuIndex=3&amp;refID=7133450&amp;Result=3","7133450")</f>
        <v>0</v>
      </c>
      <c r="B10338" t="s">
        <v>3165</v>
      </c>
      <c r="C10338" t="s">
        <v>13573</v>
      </c>
      <c r="D10338" t="s">
        <v>18011</v>
      </c>
      <c r="E10338" t="s">
        <v>26988</v>
      </c>
      <c r="F10338" t="s">
        <v>30900</v>
      </c>
      <c r="G10338" t="s">
        <v>30907</v>
      </c>
      <c r="H10338" t="s">
        <v>30917</v>
      </c>
      <c r="I10338" t="s">
        <v>30939</v>
      </c>
      <c r="J10338" t="s">
        <v>31049</v>
      </c>
      <c r="K10338" t="s">
        <v>40286</v>
      </c>
      <c r="M10338" t="s">
        <v>43991</v>
      </c>
      <c r="N10338" t="s">
        <v>44759</v>
      </c>
      <c r="O10338" t="s">
        <v>44760</v>
      </c>
      <c r="P10338">
        <v>0</v>
      </c>
      <c r="Q10338">
        <v>0</v>
      </c>
      <c r="R10338" t="s">
        <v>44772</v>
      </c>
      <c r="S10338" t="s">
        <v>45149</v>
      </c>
      <c r="T10338" t="s">
        <v>46445</v>
      </c>
      <c r="U10338" t="s">
        <v>55514</v>
      </c>
      <c r="W10338" t="s">
        <v>43991</v>
      </c>
      <c r="X10338" t="s">
        <v>44773</v>
      </c>
    </row>
    <row r="10339" spans="1:24">
      <c r="A10339">
        <f>HYPERLINK("https://www.philgeps.gov.ph/GEPSNONPILOT/Tender/SplashBidNoticeAbstractUI.aspx?menuIndex=3&amp;refID=7133777&amp;Result=3","7133777")</f>
        <v>0</v>
      </c>
      <c r="B10339" t="s">
        <v>856</v>
      </c>
      <c r="C10339" t="s">
        <v>13574</v>
      </c>
      <c r="D10339" t="s">
        <v>17971</v>
      </c>
      <c r="E10339" t="s">
        <v>26989</v>
      </c>
      <c r="F10339" t="s">
        <v>30900</v>
      </c>
      <c r="G10339" t="s">
        <v>30908</v>
      </c>
      <c r="H10339" t="s">
        <v>30916</v>
      </c>
      <c r="I10339" t="s">
        <v>4004</v>
      </c>
      <c r="J10339" t="s">
        <v>31049</v>
      </c>
      <c r="K10339" t="s">
        <v>40283</v>
      </c>
      <c r="M10339" t="s">
        <v>41429</v>
      </c>
      <c r="N10339" t="s">
        <v>44759</v>
      </c>
      <c r="O10339" t="s">
        <v>44760</v>
      </c>
      <c r="P10339">
        <v>0</v>
      </c>
      <c r="Q10339">
        <v>7</v>
      </c>
      <c r="R10339" t="s">
        <v>44772</v>
      </c>
      <c r="S10339" t="s">
        <v>45149</v>
      </c>
      <c r="T10339" t="s">
        <v>46700</v>
      </c>
      <c r="U10339" t="s">
        <v>55515</v>
      </c>
      <c r="W10339" t="s">
        <v>41429</v>
      </c>
      <c r="X10339" t="s">
        <v>44773</v>
      </c>
    </row>
    <row r="10340" spans="1:24">
      <c r="A10340">
        <f>HYPERLINK("https://www.philgeps.gov.ph/GEPSNONPILOT/Tender/SplashBidNoticeAbstractUI.aspx?menuIndex=3&amp;refID=7133768&amp;Result=3","7133768")</f>
        <v>0</v>
      </c>
      <c r="B10340" t="s">
        <v>2141</v>
      </c>
      <c r="C10340" t="s">
        <v>13575</v>
      </c>
      <c r="D10340" t="s">
        <v>17959</v>
      </c>
      <c r="E10340" t="s">
        <v>26990</v>
      </c>
      <c r="F10340" t="s">
        <v>30900</v>
      </c>
      <c r="G10340" t="s">
        <v>30908</v>
      </c>
      <c r="H10340" t="s">
        <v>30916</v>
      </c>
      <c r="I10340" t="s">
        <v>30927</v>
      </c>
      <c r="J10340" t="s">
        <v>37487</v>
      </c>
      <c r="K10340" t="s">
        <v>40283</v>
      </c>
      <c r="M10340" t="s">
        <v>42843</v>
      </c>
      <c r="N10340" t="s">
        <v>44759</v>
      </c>
      <c r="O10340" t="s">
        <v>44760</v>
      </c>
      <c r="Q10340">
        <v>2</v>
      </c>
      <c r="R10340" t="s">
        <v>44772</v>
      </c>
      <c r="S10340" t="s">
        <v>45161</v>
      </c>
      <c r="T10340" t="s">
        <v>46704</v>
      </c>
      <c r="U10340" t="s">
        <v>55516</v>
      </c>
      <c r="W10340" t="s">
        <v>42843</v>
      </c>
      <c r="X10340" t="s">
        <v>44773</v>
      </c>
    </row>
    <row r="10341" spans="1:24">
      <c r="A10341">
        <f>HYPERLINK("https://www.philgeps.gov.ph/GEPSNONPILOT/Tender/SplashBidNoticeAbstractUI.aspx?menuIndex=3&amp;refID=7133402&amp;Result=3","7133402")</f>
        <v>0</v>
      </c>
      <c r="B10341" t="s">
        <v>2046</v>
      </c>
      <c r="C10341" t="s">
        <v>13576</v>
      </c>
      <c r="D10341" t="s">
        <v>18011</v>
      </c>
      <c r="E10341" t="s">
        <v>26991</v>
      </c>
      <c r="F10341" t="s">
        <v>30900</v>
      </c>
      <c r="G10341" t="s">
        <v>30907</v>
      </c>
      <c r="H10341" t="s">
        <v>30915</v>
      </c>
      <c r="I10341" t="s">
        <v>30919</v>
      </c>
      <c r="J10341" t="s">
        <v>37488</v>
      </c>
      <c r="K10341" t="s">
        <v>40301</v>
      </c>
      <c r="M10341" t="s">
        <v>42743</v>
      </c>
      <c r="N10341" t="s">
        <v>44759</v>
      </c>
      <c r="O10341" t="s">
        <v>44760</v>
      </c>
      <c r="P10341">
        <v>0</v>
      </c>
      <c r="Q10341">
        <v>3</v>
      </c>
      <c r="R10341" t="s">
        <v>44772</v>
      </c>
      <c r="S10341" t="s">
        <v>45149</v>
      </c>
      <c r="T10341" t="s">
        <v>46445</v>
      </c>
      <c r="U10341" t="s">
        <v>55517</v>
      </c>
      <c r="W10341" t="s">
        <v>42743</v>
      </c>
      <c r="X10341" t="s">
        <v>44773</v>
      </c>
    </row>
    <row r="10342" spans="1:24">
      <c r="A10342">
        <f>HYPERLINK("https://www.philgeps.gov.ph/GEPSNONPILOT/Tender/SplashBidNoticeAbstractUI.aspx?menuIndex=3&amp;refID=7133820&amp;Result=3","7133820")</f>
        <v>0</v>
      </c>
      <c r="B10342" t="s">
        <v>2776</v>
      </c>
      <c r="C10342" t="s">
        <v>13577</v>
      </c>
      <c r="D10342" t="s">
        <v>17964</v>
      </c>
      <c r="E10342" t="s">
        <v>26992</v>
      </c>
      <c r="F10342" t="s">
        <v>30900</v>
      </c>
      <c r="G10342" t="s">
        <v>30907</v>
      </c>
      <c r="H10342" t="s">
        <v>30915</v>
      </c>
      <c r="I10342" t="s">
        <v>30919</v>
      </c>
      <c r="J10342" t="s">
        <v>37489</v>
      </c>
      <c r="K10342" t="s">
        <v>40392</v>
      </c>
      <c r="M10342" t="s">
        <v>43558</v>
      </c>
      <c r="N10342" t="s">
        <v>44759</v>
      </c>
      <c r="O10342" t="s">
        <v>44760</v>
      </c>
      <c r="P10342">
        <v>0</v>
      </c>
      <c r="Q10342">
        <v>0</v>
      </c>
      <c r="R10342" t="s">
        <v>44772</v>
      </c>
      <c r="S10342" t="s">
        <v>45149</v>
      </c>
      <c r="T10342" t="s">
        <v>46439</v>
      </c>
      <c r="U10342" t="s">
        <v>55518</v>
      </c>
      <c r="W10342" t="s">
        <v>43558</v>
      </c>
      <c r="X10342" t="s">
        <v>44773</v>
      </c>
    </row>
    <row r="10343" spans="1:24">
      <c r="A10343">
        <f>HYPERLINK("https://www.philgeps.gov.ph/GEPSNONPILOT/Tender/SplashBidNoticeAbstractUI.aspx?menuIndex=3&amp;refID=7133756&amp;Result=3","7133756")</f>
        <v>0</v>
      </c>
      <c r="B10343" t="s">
        <v>3171</v>
      </c>
      <c r="C10343" t="s">
        <v>13578</v>
      </c>
      <c r="D10343" t="s">
        <v>17952</v>
      </c>
      <c r="E10343" t="s">
        <v>26993</v>
      </c>
      <c r="F10343" t="s">
        <v>30900</v>
      </c>
      <c r="G10343" t="s">
        <v>30910</v>
      </c>
      <c r="H10343" t="s">
        <v>30916</v>
      </c>
      <c r="I10343" t="s">
        <v>11785</v>
      </c>
      <c r="J10343" t="s">
        <v>37490</v>
      </c>
      <c r="K10343" t="s">
        <v>40287</v>
      </c>
      <c r="M10343" t="s">
        <v>43998</v>
      </c>
      <c r="N10343" t="s">
        <v>44759</v>
      </c>
      <c r="O10343" t="s">
        <v>44760</v>
      </c>
      <c r="P10343">
        <v>0</v>
      </c>
      <c r="Q10343">
        <v>3</v>
      </c>
      <c r="R10343" t="s">
        <v>44772</v>
      </c>
      <c r="S10343" t="s">
        <v>45149</v>
      </c>
      <c r="T10343" t="s">
        <v>46374</v>
      </c>
      <c r="U10343" t="s">
        <v>55519</v>
      </c>
      <c r="W10343" t="s">
        <v>43998</v>
      </c>
      <c r="X10343" t="s">
        <v>44773</v>
      </c>
    </row>
    <row r="10344" spans="1:24">
      <c r="A10344">
        <f>HYPERLINK("https://www.philgeps.gov.ph/GEPSNONPILOT/Tender/SplashBidNoticeAbstractUI.aspx?menuIndex=3&amp;refID=7133755&amp;Result=3","7133755")</f>
        <v>0</v>
      </c>
      <c r="B10344" t="s">
        <v>856</v>
      </c>
      <c r="C10344" t="s">
        <v>13579</v>
      </c>
      <c r="D10344" t="s">
        <v>17971</v>
      </c>
      <c r="E10344" t="s">
        <v>26994</v>
      </c>
      <c r="F10344" t="s">
        <v>30900</v>
      </c>
      <c r="G10344" t="s">
        <v>30908</v>
      </c>
      <c r="H10344" t="s">
        <v>30916</v>
      </c>
      <c r="I10344" t="s">
        <v>9385</v>
      </c>
      <c r="J10344" t="s">
        <v>37491</v>
      </c>
      <c r="K10344" t="s">
        <v>40283</v>
      </c>
      <c r="M10344" t="s">
        <v>41429</v>
      </c>
      <c r="N10344" t="s">
        <v>44759</v>
      </c>
      <c r="O10344" t="s">
        <v>44760</v>
      </c>
      <c r="P10344">
        <v>0</v>
      </c>
      <c r="Q10344">
        <v>7</v>
      </c>
      <c r="R10344" t="s">
        <v>44772</v>
      </c>
      <c r="S10344" t="s">
        <v>45149</v>
      </c>
      <c r="T10344" t="s">
        <v>46700</v>
      </c>
      <c r="U10344" t="s">
        <v>55520</v>
      </c>
      <c r="W10344" t="s">
        <v>41429</v>
      </c>
      <c r="X10344" t="s">
        <v>44773</v>
      </c>
    </row>
    <row r="10345" spans="1:24">
      <c r="A10345">
        <f>HYPERLINK("https://www.philgeps.gov.ph/GEPSNONPILOT/Tender/SplashBidNoticeAbstractUI.aspx?menuIndex=3&amp;refID=7133783&amp;Result=3","7133783")</f>
        <v>0</v>
      </c>
      <c r="B10345" t="s">
        <v>1516</v>
      </c>
      <c r="C10345" t="s">
        <v>13580</v>
      </c>
      <c r="D10345" t="s">
        <v>18033</v>
      </c>
      <c r="E10345" t="s">
        <v>26995</v>
      </c>
      <c r="F10345" t="s">
        <v>30900</v>
      </c>
      <c r="G10345" t="s">
        <v>30907</v>
      </c>
      <c r="H10345" t="s">
        <v>30916</v>
      </c>
      <c r="I10345" t="s">
        <v>30921</v>
      </c>
      <c r="J10345" t="s">
        <v>37492</v>
      </c>
      <c r="K10345" t="s">
        <v>40286</v>
      </c>
      <c r="M10345" t="s">
        <v>43062</v>
      </c>
      <c r="N10345" t="s">
        <v>44759</v>
      </c>
      <c r="O10345" t="s">
        <v>44760</v>
      </c>
      <c r="P10345">
        <v>0</v>
      </c>
      <c r="Q10345">
        <v>2</v>
      </c>
      <c r="R10345" t="s">
        <v>44772</v>
      </c>
      <c r="S10345" t="s">
        <v>45149</v>
      </c>
      <c r="T10345" t="s">
        <v>46411</v>
      </c>
      <c r="U10345" t="s">
        <v>52539</v>
      </c>
      <c r="W10345" t="s">
        <v>43062</v>
      </c>
      <c r="X10345" t="s">
        <v>44773</v>
      </c>
    </row>
    <row r="10346" spans="1:24">
      <c r="A10346">
        <f>HYPERLINK("https://www.philgeps.gov.ph/GEPSNONPILOT/Tender/SplashBidNoticeAbstractUI.aspx?menuIndex=3&amp;refID=7133730&amp;Result=3","7133730")</f>
        <v>0</v>
      </c>
      <c r="B10346" t="s">
        <v>167</v>
      </c>
      <c r="C10346" t="s">
        <v>13581</v>
      </c>
      <c r="D10346" t="s">
        <v>17990</v>
      </c>
      <c r="E10346" t="s">
        <v>26996</v>
      </c>
      <c r="F10346" t="s">
        <v>30900</v>
      </c>
      <c r="G10346" t="s">
        <v>30907</v>
      </c>
      <c r="H10346" t="s">
        <v>30916</v>
      </c>
      <c r="I10346" t="s">
        <v>30959</v>
      </c>
      <c r="J10346" t="s">
        <v>31897</v>
      </c>
      <c r="K10346" t="s">
        <v>40319</v>
      </c>
      <c r="M10346" t="s">
        <v>43995</v>
      </c>
      <c r="N10346" t="s">
        <v>44759</v>
      </c>
      <c r="O10346" t="s">
        <v>44760</v>
      </c>
      <c r="P10346">
        <v>0</v>
      </c>
      <c r="Q10346">
        <v>4</v>
      </c>
      <c r="R10346" t="s">
        <v>44772</v>
      </c>
      <c r="S10346" t="s">
        <v>45149</v>
      </c>
      <c r="T10346" t="s">
        <v>46630</v>
      </c>
      <c r="U10346" t="s">
        <v>55521</v>
      </c>
      <c r="V10346" t="s">
        <v>60254</v>
      </c>
      <c r="W10346" t="s">
        <v>43995</v>
      </c>
      <c r="X10346" t="s">
        <v>44773</v>
      </c>
    </row>
    <row r="10347" spans="1:24">
      <c r="A10347">
        <f>HYPERLINK("https://www.philgeps.gov.ph/GEPSNONPILOT/Tender/SplashBidNoticeAbstractUI.aspx?menuIndex=3&amp;refID=7133714&amp;Result=3","7133714")</f>
        <v>0</v>
      </c>
      <c r="B10347" t="s">
        <v>167</v>
      </c>
      <c r="C10347" t="s">
        <v>13582</v>
      </c>
      <c r="D10347" t="s">
        <v>17990</v>
      </c>
      <c r="E10347" t="s">
        <v>26997</v>
      </c>
      <c r="F10347" t="s">
        <v>30900</v>
      </c>
      <c r="G10347" t="s">
        <v>30907</v>
      </c>
      <c r="H10347" t="s">
        <v>30916</v>
      </c>
      <c r="I10347" t="s">
        <v>30959</v>
      </c>
      <c r="J10347" t="s">
        <v>37493</v>
      </c>
      <c r="K10347" t="s">
        <v>40319</v>
      </c>
      <c r="M10347" t="s">
        <v>43995</v>
      </c>
      <c r="N10347" t="s">
        <v>44759</v>
      </c>
      <c r="O10347" t="s">
        <v>44760</v>
      </c>
      <c r="P10347">
        <v>0</v>
      </c>
      <c r="Q10347">
        <v>5</v>
      </c>
      <c r="R10347" t="s">
        <v>44772</v>
      </c>
      <c r="S10347" t="s">
        <v>45149</v>
      </c>
      <c r="T10347" t="s">
        <v>46630</v>
      </c>
      <c r="U10347" t="s">
        <v>55522</v>
      </c>
      <c r="V10347" t="s">
        <v>60255</v>
      </c>
      <c r="W10347" t="s">
        <v>43995</v>
      </c>
      <c r="X10347" t="s">
        <v>44773</v>
      </c>
    </row>
    <row r="10348" spans="1:24">
      <c r="A10348">
        <f>HYPERLINK("https://www.philgeps.gov.ph/GEPSNONPILOT/Tender/SplashBidNoticeAbstractUI.aspx?menuIndex=3&amp;refID=7133769&amp;Result=3","7133769")</f>
        <v>0</v>
      </c>
      <c r="B10348" t="s">
        <v>2776</v>
      </c>
      <c r="C10348" t="s">
        <v>13583</v>
      </c>
      <c r="D10348" t="s">
        <v>17964</v>
      </c>
      <c r="E10348" t="s">
        <v>26998</v>
      </c>
      <c r="F10348" t="s">
        <v>30900</v>
      </c>
      <c r="G10348" t="s">
        <v>30907</v>
      </c>
      <c r="H10348" t="s">
        <v>30915</v>
      </c>
      <c r="I10348" t="s">
        <v>30919</v>
      </c>
      <c r="J10348" t="s">
        <v>37494</v>
      </c>
      <c r="K10348" t="s">
        <v>40392</v>
      </c>
      <c r="M10348" t="s">
        <v>43558</v>
      </c>
      <c r="N10348" t="s">
        <v>44759</v>
      </c>
      <c r="O10348" t="s">
        <v>44760</v>
      </c>
      <c r="P10348">
        <v>0</v>
      </c>
      <c r="Q10348">
        <v>0</v>
      </c>
      <c r="R10348" t="s">
        <v>44772</v>
      </c>
      <c r="S10348" t="s">
        <v>45149</v>
      </c>
      <c r="T10348" t="s">
        <v>46439</v>
      </c>
      <c r="U10348" t="s">
        <v>55518</v>
      </c>
      <c r="W10348" t="s">
        <v>43558</v>
      </c>
      <c r="X10348" t="s">
        <v>44773</v>
      </c>
    </row>
    <row r="10349" spans="1:24">
      <c r="A10349">
        <f>HYPERLINK("https://www.philgeps.gov.ph/GEPSNONPILOT/Tender/SplashBidNoticeAbstractUI.aspx?menuIndex=3&amp;refID=7133713&amp;Result=3","7133713")</f>
        <v>0</v>
      </c>
      <c r="B10349" t="s">
        <v>3172</v>
      </c>
      <c r="C10349" t="s">
        <v>13584</v>
      </c>
      <c r="D10349" t="s">
        <v>17955</v>
      </c>
      <c r="E10349" t="s">
        <v>22689</v>
      </c>
      <c r="F10349" t="s">
        <v>30900</v>
      </c>
      <c r="G10349" t="s">
        <v>30907</v>
      </c>
      <c r="H10349" t="s">
        <v>30915</v>
      </c>
      <c r="I10349" t="s">
        <v>8123</v>
      </c>
      <c r="J10349" t="s">
        <v>37495</v>
      </c>
      <c r="K10349" t="s">
        <v>40284</v>
      </c>
      <c r="M10349" t="s">
        <v>43999</v>
      </c>
      <c r="N10349" t="s">
        <v>44759</v>
      </c>
      <c r="O10349" t="s">
        <v>44760</v>
      </c>
      <c r="P10349">
        <v>0</v>
      </c>
      <c r="Q10349">
        <v>0</v>
      </c>
      <c r="R10349" t="s">
        <v>44772</v>
      </c>
      <c r="S10349" t="s">
        <v>45149</v>
      </c>
      <c r="T10349" t="s">
        <v>46623</v>
      </c>
      <c r="U10349" t="s">
        <v>55523</v>
      </c>
      <c r="W10349" t="s">
        <v>43999</v>
      </c>
      <c r="X10349" t="s">
        <v>44773</v>
      </c>
    </row>
    <row r="10350" spans="1:24">
      <c r="A10350">
        <f>HYPERLINK("https://www.philgeps.gov.ph/GEPSNONPILOT/Tender/SplashBidNoticeAbstractUI.aspx?menuIndex=3&amp;refID=7132821&amp;Result=3","7132821")</f>
        <v>0</v>
      </c>
      <c r="B10350" t="s">
        <v>856</v>
      </c>
      <c r="C10350" t="s">
        <v>13585</v>
      </c>
      <c r="D10350" t="s">
        <v>17971</v>
      </c>
      <c r="E10350" t="s">
        <v>26999</v>
      </c>
      <c r="F10350" t="s">
        <v>30900</v>
      </c>
      <c r="G10350" t="s">
        <v>30908</v>
      </c>
      <c r="H10350" t="s">
        <v>30916</v>
      </c>
      <c r="I10350" t="s">
        <v>6746</v>
      </c>
      <c r="J10350" t="s">
        <v>37496</v>
      </c>
      <c r="K10350" t="s">
        <v>40283</v>
      </c>
      <c r="M10350" t="s">
        <v>41429</v>
      </c>
      <c r="N10350" t="s">
        <v>44759</v>
      </c>
      <c r="O10350" t="s">
        <v>44760</v>
      </c>
      <c r="P10350">
        <v>0</v>
      </c>
      <c r="Q10350">
        <v>0</v>
      </c>
      <c r="R10350" t="s">
        <v>44772</v>
      </c>
      <c r="S10350" t="s">
        <v>45149</v>
      </c>
      <c r="T10350" t="s">
        <v>46700</v>
      </c>
      <c r="U10350" t="s">
        <v>55524</v>
      </c>
      <c r="W10350" t="s">
        <v>41429</v>
      </c>
      <c r="X10350" t="s">
        <v>44773</v>
      </c>
    </row>
    <row r="10351" spans="1:24">
      <c r="A10351">
        <f>HYPERLINK("https://www.philgeps.gov.ph/GEPSNONPILOT/Tender/SplashBidNoticeAbstractUI.aspx?menuIndex=3&amp;refID=7133490&amp;Result=3","7133490")</f>
        <v>0</v>
      </c>
      <c r="B10351" t="s">
        <v>3165</v>
      </c>
      <c r="C10351" t="s">
        <v>13586</v>
      </c>
      <c r="D10351" t="s">
        <v>18011</v>
      </c>
      <c r="E10351" t="s">
        <v>27000</v>
      </c>
      <c r="F10351" t="s">
        <v>30900</v>
      </c>
      <c r="G10351" t="s">
        <v>30907</v>
      </c>
      <c r="H10351" t="s">
        <v>30917</v>
      </c>
      <c r="I10351" t="s">
        <v>30926</v>
      </c>
      <c r="J10351" t="s">
        <v>31043</v>
      </c>
      <c r="K10351" t="s">
        <v>40286</v>
      </c>
      <c r="M10351" t="s">
        <v>43991</v>
      </c>
      <c r="N10351" t="s">
        <v>44759</v>
      </c>
      <c r="O10351" t="s">
        <v>44760</v>
      </c>
      <c r="P10351">
        <v>0</v>
      </c>
      <c r="Q10351">
        <v>0</v>
      </c>
      <c r="R10351" t="s">
        <v>44772</v>
      </c>
      <c r="S10351" t="s">
        <v>45149</v>
      </c>
      <c r="T10351" t="s">
        <v>46445</v>
      </c>
      <c r="U10351" t="s">
        <v>55525</v>
      </c>
      <c r="W10351" t="s">
        <v>43991</v>
      </c>
      <c r="X10351" t="s">
        <v>44773</v>
      </c>
    </row>
    <row r="10352" spans="1:24">
      <c r="A10352">
        <f>HYPERLINK("https://www.philgeps.gov.ph/GEPSNONPILOT/Tender/SplashBidNoticeAbstractUI.aspx?menuIndex=3&amp;refID=7133737&amp;Result=3","7133737")</f>
        <v>0</v>
      </c>
      <c r="B10352" t="s">
        <v>3173</v>
      </c>
      <c r="C10352" t="s">
        <v>13587</v>
      </c>
      <c r="D10352" t="s">
        <v>17968</v>
      </c>
      <c r="E10352" t="s">
        <v>27001</v>
      </c>
      <c r="F10352" t="s">
        <v>30900</v>
      </c>
      <c r="G10352" t="s">
        <v>30907</v>
      </c>
      <c r="H10352" t="s">
        <v>30916</v>
      </c>
      <c r="I10352" t="s">
        <v>30933</v>
      </c>
      <c r="J10352" t="s">
        <v>37497</v>
      </c>
      <c r="K10352" t="s">
        <v>40286</v>
      </c>
      <c r="M10352" t="s">
        <v>44000</v>
      </c>
      <c r="N10352" t="s">
        <v>44759</v>
      </c>
      <c r="O10352" t="s">
        <v>44760</v>
      </c>
      <c r="P10352">
        <v>0</v>
      </c>
      <c r="Q10352">
        <v>1</v>
      </c>
      <c r="R10352" t="s">
        <v>44772</v>
      </c>
      <c r="S10352" t="s">
        <v>45149</v>
      </c>
      <c r="T10352" t="s">
        <v>46406</v>
      </c>
      <c r="U10352" t="s">
        <v>55526</v>
      </c>
      <c r="V10352" t="s">
        <v>60256</v>
      </c>
      <c r="W10352" t="s">
        <v>44000</v>
      </c>
      <c r="X10352" t="s">
        <v>44773</v>
      </c>
    </row>
    <row r="10353" spans="1:24">
      <c r="A10353">
        <f>HYPERLINK("https://www.philgeps.gov.ph/GEPSNONPILOT/Tender/SplashBidNoticeAbstractUI.aspx?menuIndex=3&amp;refID=7133431&amp;Result=3","7133431")</f>
        <v>0</v>
      </c>
      <c r="B10353" t="s">
        <v>1558</v>
      </c>
      <c r="C10353" t="s">
        <v>13588</v>
      </c>
      <c r="D10353" t="s">
        <v>17996</v>
      </c>
      <c r="E10353" t="s">
        <v>27002</v>
      </c>
      <c r="F10353" t="s">
        <v>30900</v>
      </c>
      <c r="G10353" t="s">
        <v>30907</v>
      </c>
      <c r="H10353" t="s">
        <v>30915</v>
      </c>
      <c r="I10353" t="s">
        <v>30919</v>
      </c>
      <c r="J10353" t="s">
        <v>37498</v>
      </c>
      <c r="K10353" t="s">
        <v>40304</v>
      </c>
      <c r="M10353" t="s">
        <v>42204</v>
      </c>
      <c r="N10353" t="s">
        <v>44759</v>
      </c>
      <c r="O10353" t="s">
        <v>44760</v>
      </c>
      <c r="P10353">
        <v>0</v>
      </c>
      <c r="Q10353">
        <v>0</v>
      </c>
      <c r="R10353" t="s">
        <v>44772</v>
      </c>
      <c r="S10353" t="s">
        <v>45149</v>
      </c>
      <c r="T10353" t="s">
        <v>46352</v>
      </c>
      <c r="U10353" t="s">
        <v>55527</v>
      </c>
      <c r="W10353" t="s">
        <v>42204</v>
      </c>
      <c r="X10353" t="s">
        <v>44773</v>
      </c>
    </row>
    <row r="10354" spans="1:24">
      <c r="A10354">
        <f>HYPERLINK("https://www.philgeps.gov.ph/GEPSNONPILOT/Tender/SplashBidNoticeAbstractUI.aspx?menuIndex=3&amp;refID=7133430&amp;Result=3","7133430")</f>
        <v>0</v>
      </c>
      <c r="B10354" t="s">
        <v>2362</v>
      </c>
      <c r="C10354" t="s">
        <v>13589</v>
      </c>
      <c r="D10354" t="s">
        <v>17993</v>
      </c>
      <c r="E10354" t="s">
        <v>27003</v>
      </c>
      <c r="F10354" t="s">
        <v>30900</v>
      </c>
      <c r="G10354" t="s">
        <v>30907</v>
      </c>
      <c r="H10354" t="s">
        <v>30915</v>
      </c>
      <c r="I10354" t="s">
        <v>30919</v>
      </c>
      <c r="J10354" t="s">
        <v>33323</v>
      </c>
      <c r="K10354" t="s">
        <v>40280</v>
      </c>
      <c r="M10354" t="s">
        <v>43086</v>
      </c>
      <c r="N10354" t="s">
        <v>44759</v>
      </c>
      <c r="O10354" t="s">
        <v>44760</v>
      </c>
      <c r="P10354">
        <v>0</v>
      </c>
      <c r="Q10354">
        <v>0</v>
      </c>
      <c r="R10354" t="s">
        <v>44772</v>
      </c>
      <c r="S10354" t="s">
        <v>45149</v>
      </c>
      <c r="T10354" t="s">
        <v>46606</v>
      </c>
      <c r="U10354" t="s">
        <v>55528</v>
      </c>
      <c r="W10354" t="s">
        <v>43086</v>
      </c>
      <c r="X10354" t="s">
        <v>44773</v>
      </c>
    </row>
    <row r="10355" spans="1:24">
      <c r="A10355">
        <f>HYPERLINK("https://www.philgeps.gov.ph/GEPSNONPILOT/Tender/SplashBidNoticeAbstractUI.aspx?menuIndex=3&amp;refID=7133417&amp;Result=3","7133417")</f>
        <v>0</v>
      </c>
      <c r="B10355" t="s">
        <v>58</v>
      </c>
      <c r="C10355" t="s">
        <v>9066</v>
      </c>
      <c r="D10355" t="s">
        <v>17977</v>
      </c>
      <c r="E10355" t="s">
        <v>27004</v>
      </c>
      <c r="F10355" t="s">
        <v>30900</v>
      </c>
      <c r="G10355" t="s">
        <v>30907</v>
      </c>
      <c r="H10355" t="s">
        <v>30916</v>
      </c>
      <c r="I10355" t="s">
        <v>10847</v>
      </c>
      <c r="J10355" t="s">
        <v>37499</v>
      </c>
      <c r="K10355" t="s">
        <v>40287</v>
      </c>
      <c r="M10355" t="s">
        <v>40604</v>
      </c>
      <c r="N10355" t="s">
        <v>44759</v>
      </c>
      <c r="O10355" t="s">
        <v>44760</v>
      </c>
      <c r="P10355">
        <v>0</v>
      </c>
      <c r="Q10355">
        <v>2</v>
      </c>
      <c r="R10355" t="s">
        <v>44772</v>
      </c>
      <c r="S10355" t="s">
        <v>45149</v>
      </c>
      <c r="T10355" t="s">
        <v>46428</v>
      </c>
      <c r="U10355" t="s">
        <v>55529</v>
      </c>
      <c r="W10355" t="s">
        <v>60815</v>
      </c>
      <c r="X10355" t="s">
        <v>44773</v>
      </c>
    </row>
    <row r="10356" spans="1:24">
      <c r="A10356">
        <f>HYPERLINK("https://www.philgeps.gov.ph/GEPSNONPILOT/Tender/SplashBidNoticeAbstractUI.aspx?menuIndex=3&amp;refID=7133227&amp;Result=3","7133227")</f>
        <v>0</v>
      </c>
      <c r="B10356" t="s">
        <v>2451</v>
      </c>
      <c r="C10356" t="s">
        <v>13590</v>
      </c>
      <c r="D10356" t="s">
        <v>17985</v>
      </c>
      <c r="E10356" t="s">
        <v>27005</v>
      </c>
      <c r="F10356" t="s">
        <v>30900</v>
      </c>
      <c r="G10356" t="s">
        <v>30907</v>
      </c>
      <c r="H10356" t="s">
        <v>30915</v>
      </c>
      <c r="I10356" t="s">
        <v>30919</v>
      </c>
      <c r="J10356" t="s">
        <v>37500</v>
      </c>
      <c r="K10356" t="s">
        <v>40283</v>
      </c>
      <c r="M10356" t="s">
        <v>43188</v>
      </c>
      <c r="N10356" t="s">
        <v>44759</v>
      </c>
      <c r="O10356" t="s">
        <v>44760</v>
      </c>
      <c r="P10356">
        <v>0</v>
      </c>
      <c r="Q10356">
        <v>2</v>
      </c>
      <c r="R10356" t="s">
        <v>44772</v>
      </c>
      <c r="S10356" t="s">
        <v>45149</v>
      </c>
      <c r="T10356" t="s">
        <v>46606</v>
      </c>
      <c r="U10356" t="s">
        <v>55530</v>
      </c>
      <c r="V10356" t="s">
        <v>59882</v>
      </c>
      <c r="W10356" t="s">
        <v>43188</v>
      </c>
      <c r="X10356" t="s">
        <v>44773</v>
      </c>
    </row>
    <row r="10357" spans="1:24">
      <c r="A10357">
        <f>HYPERLINK("https://www.philgeps.gov.ph/GEPSNONPILOT/Tender/SplashBidNoticeAbstractUI.aspx?menuIndex=3&amp;refID=7133223&amp;Result=3","7133223")</f>
        <v>0</v>
      </c>
      <c r="B10357" t="s">
        <v>2330</v>
      </c>
      <c r="C10357" t="s">
        <v>13591</v>
      </c>
      <c r="D10357" t="s">
        <v>17953</v>
      </c>
      <c r="E10357" t="s">
        <v>27006</v>
      </c>
      <c r="F10357" t="s">
        <v>30900</v>
      </c>
      <c r="G10357" t="s">
        <v>30907</v>
      </c>
      <c r="H10357" t="s">
        <v>30916</v>
      </c>
      <c r="I10357" t="s">
        <v>30919</v>
      </c>
      <c r="J10357" t="s">
        <v>31297</v>
      </c>
      <c r="K10357" t="s">
        <v>40289</v>
      </c>
      <c r="M10357" t="s">
        <v>43989</v>
      </c>
      <c r="N10357" t="s">
        <v>44759</v>
      </c>
      <c r="O10357" t="s">
        <v>44760</v>
      </c>
      <c r="P10357">
        <v>0</v>
      </c>
      <c r="Q10357">
        <v>2</v>
      </c>
      <c r="R10357" t="s">
        <v>44772</v>
      </c>
      <c r="S10357" t="s">
        <v>45149</v>
      </c>
      <c r="T10357" t="s">
        <v>46422</v>
      </c>
      <c r="U10357" t="s">
        <v>55531</v>
      </c>
      <c r="V10357" t="s">
        <v>60246</v>
      </c>
      <c r="W10357" t="s">
        <v>43989</v>
      </c>
      <c r="X10357" t="s">
        <v>44773</v>
      </c>
    </row>
    <row r="10358" spans="1:24">
      <c r="A10358">
        <f>HYPERLINK("https://www.philgeps.gov.ph/GEPSNONPILOT/Tender/SplashBidNoticeAbstractUI.aspx?menuIndex=3&amp;refID=7133439&amp;Result=3","7133439")</f>
        <v>0</v>
      </c>
      <c r="B10358" t="s">
        <v>3165</v>
      </c>
      <c r="C10358" t="s">
        <v>13592</v>
      </c>
      <c r="D10358" t="s">
        <v>18011</v>
      </c>
      <c r="E10358" t="s">
        <v>19921</v>
      </c>
      <c r="F10358" t="s">
        <v>30900</v>
      </c>
      <c r="G10358" t="s">
        <v>30907</v>
      </c>
      <c r="H10358" t="s">
        <v>30917</v>
      </c>
      <c r="I10358" t="s">
        <v>30921</v>
      </c>
      <c r="J10358" t="s">
        <v>37501</v>
      </c>
      <c r="K10358" t="s">
        <v>40286</v>
      </c>
      <c r="M10358" t="s">
        <v>43991</v>
      </c>
      <c r="N10358" t="s">
        <v>44759</v>
      </c>
      <c r="O10358" t="s">
        <v>44760</v>
      </c>
      <c r="P10358">
        <v>0</v>
      </c>
      <c r="Q10358">
        <v>7</v>
      </c>
      <c r="R10358" t="s">
        <v>44772</v>
      </c>
      <c r="S10358" t="s">
        <v>45149</v>
      </c>
      <c r="T10358" t="s">
        <v>46445</v>
      </c>
      <c r="U10358" t="s">
        <v>55532</v>
      </c>
      <c r="W10358" t="s">
        <v>43991</v>
      </c>
      <c r="X10358" t="s">
        <v>44773</v>
      </c>
    </row>
    <row r="10359" spans="1:24">
      <c r="A10359">
        <f>HYPERLINK("https://www.philgeps.gov.ph/GEPSNONPILOT/Tender/SplashBidNoticeAbstractUI.aspx?menuIndex=3&amp;refID=7133220&amp;Result=3","7133220")</f>
        <v>0</v>
      </c>
      <c r="B10359" t="s">
        <v>3174</v>
      </c>
      <c r="C10359" t="s">
        <v>13593</v>
      </c>
      <c r="D10359" t="s">
        <v>17985</v>
      </c>
      <c r="E10359" t="s">
        <v>27007</v>
      </c>
      <c r="F10359" t="s">
        <v>30904</v>
      </c>
      <c r="G10359" t="s">
        <v>30907</v>
      </c>
      <c r="H10359" t="s">
        <v>30917</v>
      </c>
      <c r="I10359" t="s">
        <v>17295</v>
      </c>
      <c r="J10359" t="s">
        <v>31183</v>
      </c>
      <c r="K10359" t="s">
        <v>40412</v>
      </c>
      <c r="M10359" t="s">
        <v>44001</v>
      </c>
      <c r="N10359" t="s">
        <v>44759</v>
      </c>
      <c r="O10359" t="s">
        <v>44760</v>
      </c>
      <c r="P10359">
        <v>0</v>
      </c>
      <c r="Q10359">
        <v>0</v>
      </c>
      <c r="R10359" t="s">
        <v>44772</v>
      </c>
      <c r="S10359" t="s">
        <v>45149</v>
      </c>
      <c r="T10359" t="s">
        <v>46376</v>
      </c>
      <c r="U10359" t="s">
        <v>55533</v>
      </c>
      <c r="V10359" t="s">
        <v>59134</v>
      </c>
      <c r="W10359" t="s">
        <v>44001</v>
      </c>
      <c r="X10359" t="s">
        <v>44773</v>
      </c>
    </row>
    <row r="10360" spans="1:24">
      <c r="A10360">
        <f>HYPERLINK("https://www.philgeps.gov.ph/GEPSNONPILOT/Tender/SplashBidNoticeAbstractUI.aspx?menuIndex=3&amp;refID=7133725&amp;Result=3","7133725")</f>
        <v>0</v>
      </c>
      <c r="B10360" t="s">
        <v>574</v>
      </c>
      <c r="C10360" t="s">
        <v>13594</v>
      </c>
      <c r="D10360" t="s">
        <v>17951</v>
      </c>
      <c r="E10360" t="s">
        <v>27001</v>
      </c>
      <c r="F10360" t="s">
        <v>30900</v>
      </c>
      <c r="G10360" t="s">
        <v>30907</v>
      </c>
      <c r="H10360" t="s">
        <v>30916</v>
      </c>
      <c r="I10360" t="s">
        <v>8123</v>
      </c>
      <c r="J10360" t="s">
        <v>37502</v>
      </c>
      <c r="K10360" t="s">
        <v>40284</v>
      </c>
      <c r="M10360" t="s">
        <v>44002</v>
      </c>
      <c r="N10360" t="s">
        <v>44759</v>
      </c>
      <c r="O10360" t="s">
        <v>44760</v>
      </c>
      <c r="P10360">
        <v>0</v>
      </c>
      <c r="Q10360">
        <v>0</v>
      </c>
      <c r="R10360" t="s">
        <v>44772</v>
      </c>
      <c r="S10360" t="s">
        <v>45149</v>
      </c>
      <c r="T10360" t="s">
        <v>46572</v>
      </c>
      <c r="U10360" t="s">
        <v>55534</v>
      </c>
      <c r="W10360" t="s">
        <v>41135</v>
      </c>
      <c r="X10360" t="s">
        <v>44773</v>
      </c>
    </row>
    <row r="10361" spans="1:24">
      <c r="A10361">
        <f>HYPERLINK("https://www.philgeps.gov.ph/GEPSNONPILOT/Tender/SplashBidNoticeAbstractUI.aspx?menuIndex=3&amp;refID=7132833&amp;Result=3","7132833")</f>
        <v>0</v>
      </c>
      <c r="B10361" t="s">
        <v>856</v>
      </c>
      <c r="C10361" t="s">
        <v>13595</v>
      </c>
      <c r="D10361" t="s">
        <v>17971</v>
      </c>
      <c r="E10361" t="s">
        <v>27008</v>
      </c>
      <c r="F10361" t="s">
        <v>30900</v>
      </c>
      <c r="G10361" t="s">
        <v>30908</v>
      </c>
      <c r="H10361" t="s">
        <v>30916</v>
      </c>
      <c r="I10361" t="s">
        <v>4142</v>
      </c>
      <c r="J10361" t="s">
        <v>37503</v>
      </c>
      <c r="K10361" t="s">
        <v>40283</v>
      </c>
      <c r="M10361" t="s">
        <v>41429</v>
      </c>
      <c r="N10361" t="s">
        <v>44759</v>
      </c>
      <c r="O10361" t="s">
        <v>44760</v>
      </c>
      <c r="P10361">
        <v>0</v>
      </c>
      <c r="Q10361">
        <v>3</v>
      </c>
      <c r="R10361" t="s">
        <v>44772</v>
      </c>
      <c r="S10361" t="s">
        <v>45149</v>
      </c>
      <c r="T10361" t="s">
        <v>46700</v>
      </c>
      <c r="U10361" t="s">
        <v>55535</v>
      </c>
      <c r="W10361" t="s">
        <v>41429</v>
      </c>
      <c r="X10361" t="s">
        <v>44773</v>
      </c>
    </row>
    <row r="10362" spans="1:24">
      <c r="A10362">
        <f>HYPERLINK("https://www.philgeps.gov.ph/GEPSNONPILOT/Tender/SplashBidNoticeAbstractUI.aspx?menuIndex=3&amp;refID=7133213&amp;Result=3","7133213")</f>
        <v>0</v>
      </c>
      <c r="B10362" t="s">
        <v>3175</v>
      </c>
      <c r="C10362" t="s">
        <v>13596</v>
      </c>
      <c r="D10362" t="s">
        <v>17990</v>
      </c>
      <c r="E10362" t="s">
        <v>27009</v>
      </c>
      <c r="F10362" t="s">
        <v>30900</v>
      </c>
      <c r="G10362" t="s">
        <v>30907</v>
      </c>
      <c r="H10362" t="s">
        <v>30916</v>
      </c>
      <c r="I10362" t="s">
        <v>30933</v>
      </c>
      <c r="J10362" t="s">
        <v>37504</v>
      </c>
      <c r="K10362" t="s">
        <v>40286</v>
      </c>
      <c r="M10362" t="s">
        <v>44003</v>
      </c>
      <c r="N10362" t="s">
        <v>44759</v>
      </c>
      <c r="O10362" t="s">
        <v>44760</v>
      </c>
      <c r="P10362">
        <v>0</v>
      </c>
      <c r="Q10362">
        <v>9</v>
      </c>
      <c r="R10362" t="s">
        <v>44772</v>
      </c>
      <c r="S10362" t="s">
        <v>45149</v>
      </c>
      <c r="T10362" t="s">
        <v>46429</v>
      </c>
      <c r="U10362" t="s">
        <v>55536</v>
      </c>
      <c r="V10362" t="s">
        <v>60257</v>
      </c>
      <c r="W10362" t="s">
        <v>44003</v>
      </c>
      <c r="X10362" t="s">
        <v>44773</v>
      </c>
    </row>
    <row r="10363" spans="1:24">
      <c r="A10363">
        <f>HYPERLINK("https://www.philgeps.gov.ph/GEPSNONPILOT/Tender/SplashBidNoticeAbstractUI.aspx?menuIndex=3&amp;refID=7132727&amp;Result=3","7132727")</f>
        <v>0</v>
      </c>
      <c r="B10363" t="s">
        <v>273</v>
      </c>
      <c r="C10363" t="s">
        <v>13597</v>
      </c>
      <c r="D10363" t="s">
        <v>17955</v>
      </c>
      <c r="E10363" t="s">
        <v>22689</v>
      </c>
      <c r="F10363" t="s">
        <v>30900</v>
      </c>
      <c r="G10363" t="s">
        <v>30907</v>
      </c>
      <c r="H10363" t="s">
        <v>30915</v>
      </c>
      <c r="I10363" t="s">
        <v>30922</v>
      </c>
      <c r="J10363" t="s">
        <v>35293</v>
      </c>
      <c r="K10363" t="s">
        <v>40284</v>
      </c>
      <c r="M10363" t="s">
        <v>40820</v>
      </c>
      <c r="N10363" t="s">
        <v>44759</v>
      </c>
      <c r="O10363" t="s">
        <v>44760</v>
      </c>
      <c r="P10363">
        <v>0</v>
      </c>
      <c r="Q10363">
        <v>2</v>
      </c>
      <c r="R10363" t="s">
        <v>44772</v>
      </c>
      <c r="S10363" t="s">
        <v>45149</v>
      </c>
      <c r="T10363" t="s">
        <v>46623</v>
      </c>
      <c r="U10363" t="s">
        <v>55537</v>
      </c>
      <c r="W10363" t="s">
        <v>40820</v>
      </c>
      <c r="X10363" t="s">
        <v>44773</v>
      </c>
    </row>
    <row r="10364" spans="1:24">
      <c r="A10364">
        <f>HYPERLINK("https://www.philgeps.gov.ph/GEPSNONPILOT/Tender/SplashBidNoticeAbstractUI.aspx?menuIndex=3&amp;refID=7133699&amp;Result=3","7133699")</f>
        <v>0</v>
      </c>
      <c r="B10364" t="s">
        <v>2995</v>
      </c>
      <c r="C10364" t="s">
        <v>13598</v>
      </c>
      <c r="D10364" t="s">
        <v>17980</v>
      </c>
      <c r="E10364" t="s">
        <v>22739</v>
      </c>
      <c r="F10364" t="s">
        <v>30900</v>
      </c>
      <c r="G10364" t="s">
        <v>30908</v>
      </c>
      <c r="H10364" t="s">
        <v>30916</v>
      </c>
      <c r="I10364" t="s">
        <v>30922</v>
      </c>
      <c r="J10364" t="s">
        <v>37505</v>
      </c>
      <c r="K10364" t="s">
        <v>40292</v>
      </c>
      <c r="M10364" t="s">
        <v>43798</v>
      </c>
      <c r="N10364" t="s">
        <v>44759</v>
      </c>
      <c r="O10364" t="s">
        <v>44760</v>
      </c>
      <c r="P10364">
        <v>0</v>
      </c>
      <c r="Q10364">
        <v>16</v>
      </c>
      <c r="R10364" t="s">
        <v>44772</v>
      </c>
      <c r="S10364" t="s">
        <v>45149</v>
      </c>
      <c r="T10364" t="s">
        <v>46414</v>
      </c>
      <c r="U10364" t="s">
        <v>55538</v>
      </c>
      <c r="W10364" t="s">
        <v>43798</v>
      </c>
      <c r="X10364" t="s">
        <v>44773</v>
      </c>
    </row>
    <row r="10365" spans="1:24">
      <c r="A10365">
        <f>HYPERLINK("https://www.philgeps.gov.ph/GEPSNONPILOT/Tender/SplashBidNoticeAbstractUI.aspx?menuIndex=3&amp;refID=7133722&amp;Result=3","7133722")</f>
        <v>0</v>
      </c>
      <c r="B10365" t="s">
        <v>2141</v>
      </c>
      <c r="C10365" t="s">
        <v>13599</v>
      </c>
      <c r="D10365" t="s">
        <v>17959</v>
      </c>
      <c r="E10365" t="s">
        <v>27010</v>
      </c>
      <c r="F10365" t="s">
        <v>30900</v>
      </c>
      <c r="G10365" t="s">
        <v>30908</v>
      </c>
      <c r="H10365" t="s">
        <v>30916</v>
      </c>
      <c r="I10365" t="s">
        <v>30921</v>
      </c>
      <c r="J10365" t="s">
        <v>37506</v>
      </c>
      <c r="K10365" t="s">
        <v>40283</v>
      </c>
      <c r="M10365" t="s">
        <v>42843</v>
      </c>
      <c r="N10365" t="s">
        <v>44759</v>
      </c>
      <c r="O10365" t="s">
        <v>44760</v>
      </c>
      <c r="Q10365">
        <v>7</v>
      </c>
      <c r="R10365" t="s">
        <v>44772</v>
      </c>
      <c r="S10365" t="s">
        <v>45162</v>
      </c>
      <c r="T10365" t="s">
        <v>46704</v>
      </c>
      <c r="U10365" t="s">
        <v>55539</v>
      </c>
      <c r="W10365" t="s">
        <v>42843</v>
      </c>
      <c r="X10365" t="s">
        <v>44773</v>
      </c>
    </row>
    <row r="10366" spans="1:24">
      <c r="A10366">
        <f>HYPERLINK("https://www.philgeps.gov.ph/GEPSNONPILOT/Tender/SplashBidNoticeAbstractUI.aspx?menuIndex=3&amp;refID=7132703&amp;Result=3","7132703")</f>
        <v>0</v>
      </c>
      <c r="B10366" t="s">
        <v>3176</v>
      </c>
      <c r="C10366" t="s">
        <v>13600</v>
      </c>
      <c r="D10366" t="s">
        <v>17958</v>
      </c>
      <c r="E10366" t="s">
        <v>23285</v>
      </c>
      <c r="F10366" t="s">
        <v>30900</v>
      </c>
      <c r="G10366" t="s">
        <v>30907</v>
      </c>
      <c r="H10366" t="s">
        <v>30916</v>
      </c>
      <c r="I10366" t="s">
        <v>30933</v>
      </c>
      <c r="J10366" t="s">
        <v>31066</v>
      </c>
      <c r="K10366" t="s">
        <v>40286</v>
      </c>
      <c r="M10366" t="s">
        <v>44004</v>
      </c>
      <c r="N10366" t="s">
        <v>44759</v>
      </c>
      <c r="O10366" t="s">
        <v>44760</v>
      </c>
      <c r="P10366">
        <v>0</v>
      </c>
      <c r="Q10366">
        <v>2</v>
      </c>
      <c r="R10366" t="s">
        <v>44772</v>
      </c>
      <c r="S10366" t="s">
        <v>45149</v>
      </c>
      <c r="T10366" t="s">
        <v>46835</v>
      </c>
      <c r="U10366" t="s">
        <v>55540</v>
      </c>
      <c r="W10366" t="s">
        <v>44004</v>
      </c>
      <c r="X10366" t="s">
        <v>44773</v>
      </c>
    </row>
    <row r="10367" spans="1:24">
      <c r="A10367">
        <f>HYPERLINK("https://www.philgeps.gov.ph/GEPSNONPILOT/Tender/SplashBidNoticeAbstractUI.aspx?menuIndex=3&amp;refID=7132716&amp;Result=3","7132716")</f>
        <v>0</v>
      </c>
      <c r="B10367" t="s">
        <v>194</v>
      </c>
      <c r="C10367" t="s">
        <v>13601</v>
      </c>
      <c r="D10367" t="s">
        <v>17959</v>
      </c>
      <c r="E10367" t="s">
        <v>27011</v>
      </c>
      <c r="F10367" t="s">
        <v>30900</v>
      </c>
      <c r="G10367" t="s">
        <v>30907</v>
      </c>
      <c r="H10367" t="s">
        <v>30916</v>
      </c>
      <c r="I10367" t="s">
        <v>30932</v>
      </c>
      <c r="J10367" t="s">
        <v>37507</v>
      </c>
      <c r="K10367" t="s">
        <v>40280</v>
      </c>
      <c r="M10367" t="s">
        <v>44005</v>
      </c>
      <c r="N10367" t="s">
        <v>44759</v>
      </c>
      <c r="O10367" t="s">
        <v>44760</v>
      </c>
      <c r="Q10367">
        <v>24</v>
      </c>
      <c r="R10367" t="s">
        <v>44772</v>
      </c>
      <c r="S10367" t="s">
        <v>45163</v>
      </c>
      <c r="T10367" t="s">
        <v>46857</v>
      </c>
      <c r="U10367" t="s">
        <v>55541</v>
      </c>
      <c r="W10367" t="s">
        <v>44005</v>
      </c>
      <c r="X10367" t="s">
        <v>44773</v>
      </c>
    </row>
    <row r="10368" spans="1:24">
      <c r="A10368">
        <f>HYPERLINK("https://www.philgeps.gov.ph/GEPSNONPILOT/Tender/SplashBidNoticeAbstractUI.aspx?menuIndex=3&amp;refID=7132714&amp;Result=3","7132714")</f>
        <v>0</v>
      </c>
      <c r="B10368" t="s">
        <v>3177</v>
      </c>
      <c r="C10368" t="s">
        <v>13602</v>
      </c>
      <c r="E10368" t="s">
        <v>27012</v>
      </c>
      <c r="F10368" t="s">
        <v>30904</v>
      </c>
      <c r="G10368" t="s">
        <v>30907</v>
      </c>
      <c r="H10368" t="s">
        <v>30916</v>
      </c>
      <c r="I10368" t="s">
        <v>10879</v>
      </c>
      <c r="J10368" t="s">
        <v>33907</v>
      </c>
      <c r="K10368" t="s">
        <v>40280</v>
      </c>
      <c r="L10368" t="s">
        <v>3177</v>
      </c>
      <c r="M10368" t="s">
        <v>44006</v>
      </c>
      <c r="N10368" t="s">
        <v>44759</v>
      </c>
      <c r="O10368" t="s">
        <v>44760</v>
      </c>
      <c r="P10368">
        <v>0</v>
      </c>
      <c r="Q10368">
        <v>0</v>
      </c>
      <c r="R10368" t="s">
        <v>44772</v>
      </c>
      <c r="S10368" t="s">
        <v>45149</v>
      </c>
      <c r="T10368" t="s">
        <v>46418</v>
      </c>
      <c r="U10368" t="s">
        <v>55542</v>
      </c>
      <c r="V10368" t="s">
        <v>60258</v>
      </c>
      <c r="W10368" t="s">
        <v>44006</v>
      </c>
      <c r="X10368" t="s">
        <v>44773</v>
      </c>
    </row>
    <row r="10369" spans="1:24">
      <c r="A10369">
        <f>HYPERLINK("https://www.philgeps.gov.ph/GEPSNONPILOT/Tender/SplashBidNoticeAbstractUI.aspx?menuIndex=3&amp;refID=7132702&amp;Result=3","7132702")</f>
        <v>0</v>
      </c>
      <c r="B10369" t="s">
        <v>1066</v>
      </c>
      <c r="C10369" t="s">
        <v>13603</v>
      </c>
      <c r="D10369" t="s">
        <v>17970</v>
      </c>
      <c r="E10369" t="s">
        <v>27013</v>
      </c>
      <c r="F10369" t="s">
        <v>30900</v>
      </c>
      <c r="G10369" t="s">
        <v>30907</v>
      </c>
      <c r="H10369" t="s">
        <v>30915</v>
      </c>
      <c r="I10369" t="s">
        <v>30919</v>
      </c>
      <c r="J10369" t="s">
        <v>37508</v>
      </c>
      <c r="K10369" t="s">
        <v>40358</v>
      </c>
      <c r="M10369" t="s">
        <v>41663</v>
      </c>
      <c r="N10369" t="s">
        <v>44759</v>
      </c>
      <c r="O10369" t="s">
        <v>44760</v>
      </c>
      <c r="P10369">
        <v>0</v>
      </c>
      <c r="Q10369">
        <v>0</v>
      </c>
      <c r="R10369" t="s">
        <v>44772</v>
      </c>
      <c r="S10369" t="s">
        <v>45149</v>
      </c>
      <c r="T10369" t="s">
        <v>46353</v>
      </c>
      <c r="U10369" t="s">
        <v>55543</v>
      </c>
      <c r="V10369" t="s">
        <v>60259</v>
      </c>
      <c r="W10369" t="s">
        <v>41663</v>
      </c>
      <c r="X10369" t="s">
        <v>44773</v>
      </c>
    </row>
    <row r="10370" spans="1:24">
      <c r="A10370">
        <f>HYPERLINK("https://www.philgeps.gov.ph/GEPSNONPILOT/Tender/SplashBidNoticeAbstractUI.aspx?menuIndex=3&amp;refID=7131507&amp;Result=3","7131507")</f>
        <v>0</v>
      </c>
      <c r="B10370" t="s">
        <v>619</v>
      </c>
      <c r="C10370" t="s">
        <v>13604</v>
      </c>
      <c r="D10370" t="s">
        <v>17985</v>
      </c>
      <c r="E10370" t="s">
        <v>27014</v>
      </c>
      <c r="F10370" t="s">
        <v>30899</v>
      </c>
      <c r="G10370" t="s">
        <v>30907</v>
      </c>
      <c r="H10370" t="s">
        <v>30916</v>
      </c>
      <c r="I10370" t="s">
        <v>4108</v>
      </c>
      <c r="J10370" t="s">
        <v>37509</v>
      </c>
      <c r="K10370" t="s">
        <v>40289</v>
      </c>
      <c r="M10370" t="s">
        <v>41181</v>
      </c>
      <c r="N10370" t="s">
        <v>44759</v>
      </c>
      <c r="O10370" t="s">
        <v>44760</v>
      </c>
      <c r="P10370">
        <v>0</v>
      </c>
      <c r="Q10370">
        <v>0</v>
      </c>
      <c r="R10370" t="s">
        <v>44772</v>
      </c>
      <c r="S10370" t="s">
        <v>45149</v>
      </c>
      <c r="T10370" t="s">
        <v>46488</v>
      </c>
      <c r="U10370" t="s">
        <v>55544</v>
      </c>
      <c r="W10370" t="s">
        <v>41181</v>
      </c>
      <c r="X10370" t="s">
        <v>44774</v>
      </c>
    </row>
    <row r="10371" spans="1:24">
      <c r="A10371">
        <f>HYPERLINK("https://www.philgeps.gov.ph/GEPSNONPILOT/Tender/SplashBidNoticeAbstractUI.aspx?menuIndex=3&amp;refID=7133234&amp;Result=3","7133234")</f>
        <v>0</v>
      </c>
      <c r="B10371" t="s">
        <v>1516</v>
      </c>
      <c r="C10371" t="s">
        <v>13605</v>
      </c>
      <c r="D10371" t="s">
        <v>18033</v>
      </c>
      <c r="E10371" t="s">
        <v>27015</v>
      </c>
      <c r="F10371" t="s">
        <v>30900</v>
      </c>
      <c r="G10371" t="s">
        <v>30907</v>
      </c>
      <c r="H10371" t="s">
        <v>30916</v>
      </c>
      <c r="I10371" t="s">
        <v>30919</v>
      </c>
      <c r="J10371" t="s">
        <v>37510</v>
      </c>
      <c r="K10371" t="s">
        <v>40472</v>
      </c>
      <c r="M10371" t="s">
        <v>43062</v>
      </c>
      <c r="N10371" t="s">
        <v>44759</v>
      </c>
      <c r="O10371" t="s">
        <v>44760</v>
      </c>
      <c r="P10371">
        <v>0</v>
      </c>
      <c r="Q10371">
        <v>1</v>
      </c>
      <c r="R10371" t="s">
        <v>44772</v>
      </c>
      <c r="S10371" t="s">
        <v>45149</v>
      </c>
      <c r="T10371" t="s">
        <v>46411</v>
      </c>
      <c r="U10371" t="s">
        <v>55470</v>
      </c>
      <c r="W10371" t="s">
        <v>43062</v>
      </c>
      <c r="X10371" t="s">
        <v>44773</v>
      </c>
    </row>
    <row r="10372" spans="1:24">
      <c r="A10372">
        <f>HYPERLINK("https://www.philgeps.gov.ph/GEPSNONPILOT/Tender/SplashBidNoticeAbstractUI.aspx?menuIndex=3&amp;refID=7132606&amp;Result=3","7132606")</f>
        <v>0</v>
      </c>
      <c r="B10372" t="s">
        <v>2970</v>
      </c>
      <c r="C10372" t="s">
        <v>13606</v>
      </c>
      <c r="D10372" t="s">
        <v>17956</v>
      </c>
      <c r="E10372" t="s">
        <v>27016</v>
      </c>
      <c r="F10372" t="s">
        <v>30900</v>
      </c>
      <c r="G10372" t="s">
        <v>30907</v>
      </c>
      <c r="H10372" t="s">
        <v>30916</v>
      </c>
      <c r="I10372" t="s">
        <v>6408</v>
      </c>
      <c r="J10372" t="s">
        <v>37511</v>
      </c>
      <c r="K10372" t="s">
        <v>40280</v>
      </c>
      <c r="M10372" t="s">
        <v>43771</v>
      </c>
      <c r="N10372" t="s">
        <v>44759</v>
      </c>
      <c r="O10372" t="s">
        <v>44760</v>
      </c>
      <c r="P10372">
        <v>0</v>
      </c>
      <c r="Q10372">
        <v>4</v>
      </c>
      <c r="R10372" t="s">
        <v>44772</v>
      </c>
      <c r="S10372" t="s">
        <v>45149</v>
      </c>
      <c r="T10372" t="s">
        <v>46411</v>
      </c>
      <c r="U10372" t="s">
        <v>50057</v>
      </c>
      <c r="W10372" t="s">
        <v>43771</v>
      </c>
      <c r="X10372" t="s">
        <v>44774</v>
      </c>
    </row>
    <row r="10373" spans="1:24">
      <c r="A10373">
        <f>HYPERLINK("https://www.philgeps.gov.ph/GEPSNONPILOT/Tender/SplashBidNoticeAbstractUI.aspx?menuIndex=3&amp;refID=7135628&amp;Result=3","7135628")</f>
        <v>0</v>
      </c>
      <c r="B10373" t="s">
        <v>3178</v>
      </c>
      <c r="C10373" t="s">
        <v>13607</v>
      </c>
      <c r="D10373" t="s">
        <v>18010</v>
      </c>
      <c r="E10373" t="s">
        <v>18094</v>
      </c>
      <c r="F10373" t="s">
        <v>30900</v>
      </c>
      <c r="G10373" t="s">
        <v>30907</v>
      </c>
      <c r="H10373" t="s">
        <v>30916</v>
      </c>
      <c r="I10373" t="s">
        <v>8123</v>
      </c>
      <c r="J10373" t="s">
        <v>37512</v>
      </c>
      <c r="K10373" t="s">
        <v>40286</v>
      </c>
      <c r="M10373" t="s">
        <v>44007</v>
      </c>
      <c r="N10373" t="s">
        <v>44759</v>
      </c>
      <c r="O10373" t="s">
        <v>44760</v>
      </c>
      <c r="P10373">
        <v>0</v>
      </c>
      <c r="Q10373">
        <v>3</v>
      </c>
      <c r="R10373" t="s">
        <v>44771</v>
      </c>
      <c r="S10373" t="s">
        <v>45143</v>
      </c>
      <c r="T10373" t="s">
        <v>46538</v>
      </c>
      <c r="U10373" t="s">
        <v>55545</v>
      </c>
      <c r="W10373" t="s">
        <v>44007</v>
      </c>
      <c r="X10373" t="s">
        <v>44772</v>
      </c>
    </row>
    <row r="10374" spans="1:24">
      <c r="A10374">
        <f>HYPERLINK("https://www.philgeps.gov.ph/GEPSNONPILOT/Tender/SplashBidNoticeAbstractUI.aspx?menuIndex=3&amp;refID=7131672&amp;Result=3","7131672")</f>
        <v>0</v>
      </c>
      <c r="B10374" t="s">
        <v>570</v>
      </c>
      <c r="C10374" t="s">
        <v>13608</v>
      </c>
      <c r="D10374" t="s">
        <v>17985</v>
      </c>
      <c r="E10374" t="s">
        <v>27017</v>
      </c>
      <c r="F10374" t="s">
        <v>30900</v>
      </c>
      <c r="G10374" t="s">
        <v>30907</v>
      </c>
      <c r="H10374" t="s">
        <v>30916</v>
      </c>
      <c r="I10374" t="s">
        <v>8365</v>
      </c>
      <c r="J10374" t="s">
        <v>37513</v>
      </c>
      <c r="K10374" t="s">
        <v>40283</v>
      </c>
      <c r="M10374" t="s">
        <v>43539</v>
      </c>
      <c r="N10374" t="s">
        <v>44759</v>
      </c>
      <c r="O10374" t="s">
        <v>44760</v>
      </c>
      <c r="P10374">
        <v>0</v>
      </c>
      <c r="Q10374">
        <v>5</v>
      </c>
      <c r="R10374" t="s">
        <v>44772</v>
      </c>
      <c r="S10374" t="s">
        <v>45149</v>
      </c>
      <c r="T10374" t="s">
        <v>46595</v>
      </c>
      <c r="U10374" t="s">
        <v>55546</v>
      </c>
      <c r="W10374" t="s">
        <v>43539</v>
      </c>
      <c r="X10374" t="s">
        <v>44774</v>
      </c>
    </row>
    <row r="10375" spans="1:24">
      <c r="A10375">
        <f>HYPERLINK("https://www.philgeps.gov.ph/GEPSNONPILOT/Tender/SplashBidNoticeAbstractUI.aspx?menuIndex=3&amp;refID=7132712&amp;Result=3","7132712")</f>
        <v>0</v>
      </c>
      <c r="B10375" t="s">
        <v>194</v>
      </c>
      <c r="C10375" t="s">
        <v>13609</v>
      </c>
      <c r="D10375" t="s">
        <v>17959</v>
      </c>
      <c r="E10375" t="s">
        <v>27018</v>
      </c>
      <c r="F10375" t="s">
        <v>30900</v>
      </c>
      <c r="G10375" t="s">
        <v>30907</v>
      </c>
      <c r="H10375" t="s">
        <v>30916</v>
      </c>
      <c r="I10375" t="s">
        <v>30928</v>
      </c>
      <c r="J10375" t="s">
        <v>37514</v>
      </c>
      <c r="K10375" t="s">
        <v>40292</v>
      </c>
      <c r="M10375" t="s">
        <v>44005</v>
      </c>
      <c r="N10375" t="s">
        <v>44759</v>
      </c>
      <c r="O10375" t="s">
        <v>44760</v>
      </c>
      <c r="Q10375">
        <v>16</v>
      </c>
      <c r="R10375" t="s">
        <v>44772</v>
      </c>
      <c r="S10375" t="s">
        <v>45164</v>
      </c>
      <c r="T10375" t="s">
        <v>46857</v>
      </c>
      <c r="U10375" t="s">
        <v>55541</v>
      </c>
      <c r="W10375" t="s">
        <v>44005</v>
      </c>
      <c r="X10375" t="s">
        <v>44773</v>
      </c>
    </row>
    <row r="10376" spans="1:24">
      <c r="A10376">
        <f>HYPERLINK("https://www.philgeps.gov.ph/GEPSNONPILOT/Tender/SplashBidNoticeAbstractUI.aspx?menuIndex=3&amp;refID=7133233&amp;Result=3","7133233")</f>
        <v>0</v>
      </c>
      <c r="B10376" t="s">
        <v>1985</v>
      </c>
      <c r="C10376" t="s">
        <v>13610</v>
      </c>
      <c r="D10376" t="s">
        <v>17952</v>
      </c>
      <c r="E10376" t="s">
        <v>18243</v>
      </c>
      <c r="F10376" t="s">
        <v>30900</v>
      </c>
      <c r="G10376" t="s">
        <v>30907</v>
      </c>
      <c r="H10376" t="s">
        <v>30916</v>
      </c>
      <c r="I10376" t="s">
        <v>8123</v>
      </c>
      <c r="J10376" t="s">
        <v>37515</v>
      </c>
      <c r="K10376" t="s">
        <v>40309</v>
      </c>
      <c r="M10376" t="s">
        <v>42676</v>
      </c>
      <c r="N10376" t="s">
        <v>44759</v>
      </c>
      <c r="O10376" t="s">
        <v>44760</v>
      </c>
      <c r="P10376">
        <v>0</v>
      </c>
      <c r="Q10376">
        <v>3</v>
      </c>
      <c r="R10376" t="s">
        <v>44772</v>
      </c>
      <c r="S10376" t="s">
        <v>45149</v>
      </c>
      <c r="T10376" t="s">
        <v>46353</v>
      </c>
      <c r="U10376" t="s">
        <v>55488</v>
      </c>
      <c r="V10376" t="s">
        <v>60260</v>
      </c>
      <c r="W10376" t="s">
        <v>42676</v>
      </c>
      <c r="X10376" t="s">
        <v>44773</v>
      </c>
    </row>
    <row r="10377" spans="1:24">
      <c r="A10377">
        <f>HYPERLINK("https://www.philgeps.gov.ph/GEPSNONPILOT/Tender/SplashBidNoticeAbstractUI.aspx?menuIndex=3&amp;refID=7133208&amp;Result=3","7133208")</f>
        <v>0</v>
      </c>
      <c r="B10377" t="s">
        <v>959</v>
      </c>
      <c r="C10377" t="s">
        <v>13611</v>
      </c>
      <c r="D10377" t="s">
        <v>17975</v>
      </c>
      <c r="E10377" t="s">
        <v>27019</v>
      </c>
      <c r="F10377" t="s">
        <v>30899</v>
      </c>
      <c r="G10377" t="s">
        <v>30907</v>
      </c>
      <c r="H10377" t="s">
        <v>30915</v>
      </c>
      <c r="I10377" t="s">
        <v>30919</v>
      </c>
      <c r="J10377" t="s">
        <v>31172</v>
      </c>
      <c r="K10377" t="s">
        <v>40335</v>
      </c>
      <c r="M10377" t="s">
        <v>41545</v>
      </c>
      <c r="N10377" t="s">
        <v>44759</v>
      </c>
      <c r="O10377" t="s">
        <v>44760</v>
      </c>
      <c r="Q10377">
        <v>1</v>
      </c>
      <c r="R10377" t="s">
        <v>44772</v>
      </c>
      <c r="S10377" t="s">
        <v>45165</v>
      </c>
      <c r="T10377" t="s">
        <v>46418</v>
      </c>
      <c r="U10377" t="s">
        <v>48691</v>
      </c>
      <c r="V10377" t="s">
        <v>60261</v>
      </c>
      <c r="W10377" t="s">
        <v>41545</v>
      </c>
      <c r="X10377" t="s">
        <v>44773</v>
      </c>
    </row>
    <row r="10378" spans="1:24">
      <c r="A10378">
        <f>HYPERLINK("https://www.philgeps.gov.ph/GEPSNONPILOT/Tender/SplashBidNoticeAbstractUI.aspx?menuIndex=3&amp;refID=7135589&amp;Result=3","7135589")</f>
        <v>0</v>
      </c>
      <c r="B10378" t="s">
        <v>1779</v>
      </c>
      <c r="C10378" t="s">
        <v>13612</v>
      </c>
      <c r="D10378" t="s">
        <v>17970</v>
      </c>
      <c r="E10378" t="s">
        <v>27020</v>
      </c>
      <c r="F10378" t="s">
        <v>30900</v>
      </c>
      <c r="G10378" t="s">
        <v>30907</v>
      </c>
      <c r="H10378" t="s">
        <v>30915</v>
      </c>
      <c r="I10378" t="s">
        <v>30919</v>
      </c>
      <c r="J10378" t="s">
        <v>37516</v>
      </c>
      <c r="K10378" t="s">
        <v>40286</v>
      </c>
      <c r="M10378" t="s">
        <v>42453</v>
      </c>
      <c r="N10378" t="s">
        <v>44759</v>
      </c>
      <c r="O10378" t="s">
        <v>44760</v>
      </c>
      <c r="P10378">
        <v>0</v>
      </c>
      <c r="Q10378">
        <v>0</v>
      </c>
      <c r="R10378" t="s">
        <v>44771</v>
      </c>
      <c r="S10378" t="s">
        <v>45143</v>
      </c>
      <c r="T10378" t="s">
        <v>46474</v>
      </c>
      <c r="U10378" t="s">
        <v>55547</v>
      </c>
      <c r="W10378" t="s">
        <v>42453</v>
      </c>
      <c r="X10378" t="s">
        <v>44772</v>
      </c>
    </row>
    <row r="10379" spans="1:24">
      <c r="A10379">
        <f>HYPERLINK("https://www.philgeps.gov.ph/GEPSNONPILOT/Tender/SplashBidNoticeAbstractUI.aspx?menuIndex=3&amp;refID=7135534&amp;Result=3","7135534")</f>
        <v>0</v>
      </c>
      <c r="B10379" t="s">
        <v>3152</v>
      </c>
      <c r="C10379" t="s">
        <v>13613</v>
      </c>
      <c r="D10379" t="s">
        <v>17970</v>
      </c>
      <c r="E10379" t="s">
        <v>18239</v>
      </c>
      <c r="F10379" t="s">
        <v>30900</v>
      </c>
      <c r="G10379" t="s">
        <v>30907</v>
      </c>
      <c r="H10379" t="s">
        <v>30915</v>
      </c>
      <c r="I10379" t="s">
        <v>30919</v>
      </c>
      <c r="J10379" t="s">
        <v>37517</v>
      </c>
      <c r="K10379" t="s">
        <v>40378</v>
      </c>
      <c r="M10379" t="s">
        <v>43973</v>
      </c>
      <c r="N10379" t="s">
        <v>44759</v>
      </c>
      <c r="O10379" t="s">
        <v>44760</v>
      </c>
      <c r="P10379">
        <v>0</v>
      </c>
      <c r="Q10379">
        <v>0</v>
      </c>
      <c r="R10379" t="s">
        <v>44771</v>
      </c>
      <c r="S10379" t="s">
        <v>45143</v>
      </c>
      <c r="T10379" t="s">
        <v>46544</v>
      </c>
      <c r="U10379" t="s">
        <v>55548</v>
      </c>
      <c r="W10379" t="s">
        <v>43973</v>
      </c>
      <c r="X10379" t="s">
        <v>44772</v>
      </c>
    </row>
    <row r="10380" spans="1:24">
      <c r="A10380">
        <f>HYPERLINK("https://www.philgeps.gov.ph/GEPSNONPILOT/Tender/SplashBidNoticeAbstractUI.aspx?menuIndex=3&amp;refID=7133973&amp;Result=3","7133973")</f>
        <v>0</v>
      </c>
      <c r="B10380" t="s">
        <v>1937</v>
      </c>
      <c r="C10380" t="s">
        <v>13614</v>
      </c>
      <c r="D10380" t="s">
        <v>17961</v>
      </c>
      <c r="E10380" t="s">
        <v>27021</v>
      </c>
      <c r="F10380" t="s">
        <v>30900</v>
      </c>
      <c r="G10380" t="s">
        <v>30907</v>
      </c>
      <c r="H10380" t="s">
        <v>30916</v>
      </c>
      <c r="I10380" t="s">
        <v>30947</v>
      </c>
      <c r="J10380" t="s">
        <v>37518</v>
      </c>
      <c r="K10380" t="s">
        <v>40283</v>
      </c>
      <c r="M10380" t="s">
        <v>42618</v>
      </c>
      <c r="N10380" t="s">
        <v>44759</v>
      </c>
      <c r="O10380" t="s">
        <v>44760</v>
      </c>
      <c r="P10380">
        <v>0</v>
      </c>
      <c r="Q10380">
        <v>2</v>
      </c>
      <c r="R10380" t="s">
        <v>44772</v>
      </c>
      <c r="S10380" t="s">
        <v>45149</v>
      </c>
      <c r="T10380" t="s">
        <v>46641</v>
      </c>
      <c r="U10380" t="s">
        <v>55549</v>
      </c>
      <c r="W10380" t="s">
        <v>42618</v>
      </c>
      <c r="X10380" t="s">
        <v>44773</v>
      </c>
    </row>
    <row r="10381" spans="1:24">
      <c r="A10381">
        <f>HYPERLINK("https://www.philgeps.gov.ph/GEPSNONPILOT/Tender/SplashBidNoticeAbstractUI.aspx?menuIndex=3&amp;refID=7133972&amp;Result=3","7133972")</f>
        <v>0</v>
      </c>
      <c r="B10381" t="s">
        <v>515</v>
      </c>
      <c r="C10381" t="s">
        <v>13615</v>
      </c>
      <c r="D10381" t="s">
        <v>17966</v>
      </c>
      <c r="E10381" t="s">
        <v>25212</v>
      </c>
      <c r="F10381" t="s">
        <v>30900</v>
      </c>
      <c r="G10381" t="s">
        <v>30907</v>
      </c>
      <c r="H10381" t="s">
        <v>30916</v>
      </c>
      <c r="I10381" t="s">
        <v>30924</v>
      </c>
      <c r="J10381" t="s">
        <v>31297</v>
      </c>
      <c r="K10381" t="s">
        <v>40293</v>
      </c>
      <c r="M10381" t="s">
        <v>44008</v>
      </c>
      <c r="N10381" t="s">
        <v>44759</v>
      </c>
      <c r="O10381" t="s">
        <v>44760</v>
      </c>
      <c r="P10381">
        <v>0</v>
      </c>
      <c r="Q10381">
        <v>6</v>
      </c>
      <c r="R10381" t="s">
        <v>44772</v>
      </c>
      <c r="S10381" t="s">
        <v>45149</v>
      </c>
      <c r="T10381" t="s">
        <v>46488</v>
      </c>
      <c r="U10381" t="s">
        <v>55550</v>
      </c>
      <c r="V10381" t="s">
        <v>60262</v>
      </c>
      <c r="W10381" t="s">
        <v>44008</v>
      </c>
      <c r="X10381" t="s">
        <v>44773</v>
      </c>
    </row>
    <row r="10382" spans="1:24">
      <c r="A10382">
        <f>HYPERLINK("https://www.philgeps.gov.ph/GEPSNONPILOT/Tender/SplashBidNoticeAbstractUI.aspx?menuIndex=3&amp;refID=7133858&amp;Result=3","7133858")</f>
        <v>0</v>
      </c>
      <c r="B10382" t="s">
        <v>2141</v>
      </c>
      <c r="C10382" t="s">
        <v>3773</v>
      </c>
      <c r="D10382" t="s">
        <v>17959</v>
      </c>
      <c r="E10382" t="s">
        <v>27022</v>
      </c>
      <c r="F10382" t="s">
        <v>30900</v>
      </c>
      <c r="G10382" t="s">
        <v>30909</v>
      </c>
      <c r="H10382" t="s">
        <v>30916</v>
      </c>
      <c r="I10382" t="s">
        <v>4142</v>
      </c>
      <c r="J10382" t="s">
        <v>37519</v>
      </c>
      <c r="K10382" t="s">
        <v>40283</v>
      </c>
      <c r="M10382" t="s">
        <v>42843</v>
      </c>
      <c r="N10382" t="s">
        <v>44759</v>
      </c>
      <c r="O10382" t="s">
        <v>44760</v>
      </c>
      <c r="Q10382">
        <v>6</v>
      </c>
      <c r="R10382" t="s">
        <v>44772</v>
      </c>
      <c r="S10382" t="s">
        <v>45166</v>
      </c>
      <c r="T10382" t="s">
        <v>46704</v>
      </c>
      <c r="U10382" t="s">
        <v>55551</v>
      </c>
      <c r="W10382" t="s">
        <v>42843</v>
      </c>
      <c r="X10382" t="s">
        <v>44773</v>
      </c>
    </row>
    <row r="10383" spans="1:24">
      <c r="A10383">
        <f>HYPERLINK("https://www.philgeps.gov.ph/GEPSNONPILOT/Tender/SplashBidNoticeAbstractUI.aspx?menuIndex=3&amp;refID=7135627&amp;Result=3","7135627")</f>
        <v>0</v>
      </c>
      <c r="B10383" t="s">
        <v>3179</v>
      </c>
      <c r="C10383" t="s">
        <v>13616</v>
      </c>
      <c r="D10383" t="s">
        <v>17959</v>
      </c>
      <c r="E10383" t="s">
        <v>27023</v>
      </c>
      <c r="F10383" t="s">
        <v>30904</v>
      </c>
      <c r="G10383" t="s">
        <v>30907</v>
      </c>
      <c r="H10383" t="s">
        <v>30916</v>
      </c>
      <c r="I10383" t="s">
        <v>4108</v>
      </c>
      <c r="J10383" t="s">
        <v>37520</v>
      </c>
      <c r="K10383" t="s">
        <v>40287</v>
      </c>
      <c r="M10383" t="s">
        <v>44009</v>
      </c>
      <c r="N10383" t="s">
        <v>44759</v>
      </c>
      <c r="O10383" t="s">
        <v>44760</v>
      </c>
      <c r="P10383">
        <v>0</v>
      </c>
      <c r="Q10383">
        <v>0</v>
      </c>
      <c r="R10383" t="s">
        <v>44771</v>
      </c>
      <c r="S10383" t="s">
        <v>45143</v>
      </c>
      <c r="T10383" t="s">
        <v>46399</v>
      </c>
      <c r="U10383" t="s">
        <v>55552</v>
      </c>
      <c r="W10383" t="s">
        <v>44009</v>
      </c>
      <c r="X10383" t="s">
        <v>44772</v>
      </c>
    </row>
    <row r="10384" spans="1:24">
      <c r="A10384">
        <f>HYPERLINK("https://www.philgeps.gov.ph/GEPSNONPILOT/Tender/SplashBidNoticeAbstractUI.aspx?menuIndex=3&amp;refID=7133962&amp;Result=3","7133962")</f>
        <v>0</v>
      </c>
      <c r="B10384" t="s">
        <v>3180</v>
      </c>
      <c r="C10384" t="s">
        <v>13617</v>
      </c>
      <c r="D10384" t="s">
        <v>18019</v>
      </c>
      <c r="E10384" t="s">
        <v>27024</v>
      </c>
      <c r="F10384" t="s">
        <v>30900</v>
      </c>
      <c r="G10384" t="s">
        <v>30908</v>
      </c>
      <c r="H10384" t="s">
        <v>30917</v>
      </c>
      <c r="I10384" t="s">
        <v>4965</v>
      </c>
      <c r="J10384" t="s">
        <v>31082</v>
      </c>
      <c r="K10384" t="s">
        <v>40286</v>
      </c>
      <c r="M10384" t="s">
        <v>44010</v>
      </c>
      <c r="N10384" t="s">
        <v>44759</v>
      </c>
      <c r="O10384" t="s">
        <v>44760</v>
      </c>
      <c r="P10384">
        <v>0</v>
      </c>
      <c r="Q10384">
        <v>1</v>
      </c>
      <c r="R10384" t="s">
        <v>44772</v>
      </c>
      <c r="S10384" t="s">
        <v>45149</v>
      </c>
      <c r="T10384" t="s">
        <v>46383</v>
      </c>
      <c r="U10384" t="s">
        <v>55553</v>
      </c>
      <c r="W10384" t="s">
        <v>44010</v>
      </c>
      <c r="X10384" t="s">
        <v>44773</v>
      </c>
    </row>
    <row r="10385" spans="1:24">
      <c r="A10385">
        <f>HYPERLINK("https://www.philgeps.gov.ph/GEPSNONPILOT/Tender/SplashBidNoticeAbstractUI.aspx?menuIndex=3&amp;refID=7133940&amp;Result=3","7133940")</f>
        <v>0</v>
      </c>
      <c r="B10385" t="s">
        <v>515</v>
      </c>
      <c r="C10385" t="s">
        <v>13618</v>
      </c>
      <c r="D10385" t="s">
        <v>17966</v>
      </c>
      <c r="E10385" t="s">
        <v>27025</v>
      </c>
      <c r="F10385" t="s">
        <v>30900</v>
      </c>
      <c r="G10385" t="s">
        <v>30907</v>
      </c>
      <c r="H10385" t="s">
        <v>30917</v>
      </c>
      <c r="I10385" t="s">
        <v>30924</v>
      </c>
      <c r="J10385" t="s">
        <v>34841</v>
      </c>
      <c r="K10385" t="s">
        <v>40293</v>
      </c>
      <c r="M10385" t="s">
        <v>44008</v>
      </c>
      <c r="N10385" t="s">
        <v>44759</v>
      </c>
      <c r="O10385" t="s">
        <v>44760</v>
      </c>
      <c r="P10385">
        <v>0</v>
      </c>
      <c r="Q10385">
        <v>8</v>
      </c>
      <c r="R10385" t="s">
        <v>44772</v>
      </c>
      <c r="S10385" t="s">
        <v>45149</v>
      </c>
      <c r="T10385" t="s">
        <v>46488</v>
      </c>
      <c r="U10385" t="s">
        <v>55550</v>
      </c>
      <c r="V10385" t="s">
        <v>60263</v>
      </c>
      <c r="W10385" t="s">
        <v>44008</v>
      </c>
      <c r="X10385" t="s">
        <v>44773</v>
      </c>
    </row>
    <row r="10386" spans="1:24">
      <c r="A10386">
        <f>HYPERLINK("https://www.philgeps.gov.ph/GEPSNONPILOT/Tender/SplashBidNoticeAbstractUI.aspx?menuIndex=3&amp;refID=7133930&amp;Result=3","7133930")</f>
        <v>0</v>
      </c>
      <c r="B10386" t="s">
        <v>1414</v>
      </c>
      <c r="C10386" t="s">
        <v>13619</v>
      </c>
      <c r="D10386" t="s">
        <v>17977</v>
      </c>
      <c r="E10386" t="s">
        <v>27026</v>
      </c>
      <c r="F10386" t="s">
        <v>30900</v>
      </c>
      <c r="G10386" t="s">
        <v>30908</v>
      </c>
      <c r="H10386" t="s">
        <v>30916</v>
      </c>
      <c r="I10386" t="s">
        <v>30965</v>
      </c>
      <c r="J10386" t="s">
        <v>31096</v>
      </c>
      <c r="K10386" t="s">
        <v>40286</v>
      </c>
      <c r="M10386" t="s">
        <v>42043</v>
      </c>
      <c r="N10386" t="s">
        <v>44759</v>
      </c>
      <c r="O10386" t="s">
        <v>44760</v>
      </c>
      <c r="Q10386">
        <v>4</v>
      </c>
      <c r="R10386" t="s">
        <v>44772</v>
      </c>
      <c r="S10386" t="s">
        <v>45167</v>
      </c>
      <c r="T10386" t="s">
        <v>46391</v>
      </c>
      <c r="U10386" t="s">
        <v>49834</v>
      </c>
      <c r="W10386" t="s">
        <v>42043</v>
      </c>
      <c r="X10386" t="s">
        <v>44773</v>
      </c>
    </row>
    <row r="10387" spans="1:24">
      <c r="A10387">
        <f>HYPERLINK("https://www.philgeps.gov.ph/GEPSNONPILOT/Tender/SplashBidNoticeAbstractUI.aspx?menuIndex=3&amp;refID=7133907&amp;Result=3","7133907")</f>
        <v>0</v>
      </c>
      <c r="B10387" t="s">
        <v>1414</v>
      </c>
      <c r="C10387" t="s">
        <v>13620</v>
      </c>
      <c r="D10387" t="s">
        <v>17977</v>
      </c>
      <c r="E10387" t="s">
        <v>27027</v>
      </c>
      <c r="F10387" t="s">
        <v>30900</v>
      </c>
      <c r="G10387" t="s">
        <v>30909</v>
      </c>
      <c r="H10387" t="s">
        <v>30916</v>
      </c>
      <c r="I10387" t="s">
        <v>30922</v>
      </c>
      <c r="J10387" t="s">
        <v>32539</v>
      </c>
      <c r="K10387" t="s">
        <v>40293</v>
      </c>
      <c r="M10387" t="s">
        <v>42043</v>
      </c>
      <c r="N10387" t="s">
        <v>44759</v>
      </c>
      <c r="O10387" t="s">
        <v>44760</v>
      </c>
      <c r="Q10387">
        <v>1</v>
      </c>
      <c r="R10387" t="s">
        <v>44772</v>
      </c>
      <c r="S10387" t="s">
        <v>45156</v>
      </c>
      <c r="T10387" t="s">
        <v>46391</v>
      </c>
      <c r="U10387" t="s">
        <v>49834</v>
      </c>
      <c r="W10387" t="s">
        <v>42043</v>
      </c>
      <c r="X10387" t="s">
        <v>44773</v>
      </c>
    </row>
    <row r="10388" spans="1:24">
      <c r="A10388">
        <f>HYPERLINK("https://www.philgeps.gov.ph/GEPSNONPILOT/Tender/SplashBidNoticeAbstractUI.aspx?menuIndex=3&amp;refID=7133979&amp;Result=3","7133979")</f>
        <v>0</v>
      </c>
      <c r="B10388" t="s">
        <v>458</v>
      </c>
      <c r="C10388" t="s">
        <v>13621</v>
      </c>
      <c r="D10388" t="s">
        <v>17951</v>
      </c>
      <c r="E10388" t="s">
        <v>26908</v>
      </c>
      <c r="F10388" t="s">
        <v>30900</v>
      </c>
      <c r="G10388" t="s">
        <v>30907</v>
      </c>
      <c r="H10388" t="s">
        <v>30916</v>
      </c>
      <c r="I10388" t="s">
        <v>4004</v>
      </c>
      <c r="J10388" t="s">
        <v>37521</v>
      </c>
      <c r="K10388" t="s">
        <v>40283</v>
      </c>
      <c r="M10388" t="s">
        <v>41016</v>
      </c>
      <c r="N10388" t="s">
        <v>44759</v>
      </c>
      <c r="O10388" t="s">
        <v>44760</v>
      </c>
      <c r="P10388">
        <v>0</v>
      </c>
      <c r="Q10388">
        <v>0</v>
      </c>
      <c r="R10388" t="s">
        <v>44772</v>
      </c>
      <c r="S10388" t="s">
        <v>45149</v>
      </c>
      <c r="T10388" t="s">
        <v>46544</v>
      </c>
      <c r="U10388" t="s">
        <v>55554</v>
      </c>
      <c r="V10388" t="s">
        <v>60264</v>
      </c>
      <c r="W10388" t="s">
        <v>41016</v>
      </c>
      <c r="X10388" t="s">
        <v>44773</v>
      </c>
    </row>
    <row r="10389" spans="1:24">
      <c r="A10389">
        <f>HYPERLINK("https://www.philgeps.gov.ph/GEPSNONPILOT/Tender/SplashBidNoticeAbstractUI.aspx?menuIndex=3&amp;refID=7133875&amp;Result=3","7133875")</f>
        <v>0</v>
      </c>
      <c r="B10389" t="s">
        <v>2776</v>
      </c>
      <c r="C10389" t="s">
        <v>13622</v>
      </c>
      <c r="D10389" t="s">
        <v>17964</v>
      </c>
      <c r="E10389" t="s">
        <v>27028</v>
      </c>
      <c r="F10389" t="s">
        <v>30900</v>
      </c>
      <c r="G10389" t="s">
        <v>30907</v>
      </c>
      <c r="H10389" t="s">
        <v>30915</v>
      </c>
      <c r="I10389" t="s">
        <v>30919</v>
      </c>
      <c r="J10389" t="s">
        <v>37522</v>
      </c>
      <c r="K10389" t="s">
        <v>40392</v>
      </c>
      <c r="M10389" t="s">
        <v>43558</v>
      </c>
      <c r="N10389" t="s">
        <v>44759</v>
      </c>
      <c r="O10389" t="s">
        <v>44760</v>
      </c>
      <c r="P10389">
        <v>0</v>
      </c>
      <c r="Q10389">
        <v>0</v>
      </c>
      <c r="R10389" t="s">
        <v>44772</v>
      </c>
      <c r="S10389" t="s">
        <v>45149</v>
      </c>
      <c r="T10389" t="s">
        <v>46439</v>
      </c>
      <c r="U10389" t="s">
        <v>55518</v>
      </c>
      <c r="W10389" t="s">
        <v>43558</v>
      </c>
      <c r="X10389" t="s">
        <v>44773</v>
      </c>
    </row>
    <row r="10390" spans="1:24">
      <c r="A10390">
        <f>HYPERLINK("https://www.philgeps.gov.ph/GEPSNONPILOT/Tender/SplashBidNoticeAbstractUI.aspx?menuIndex=3&amp;refID=7134016&amp;Result=3","7134016")</f>
        <v>0</v>
      </c>
      <c r="B10390" t="s">
        <v>3180</v>
      </c>
      <c r="C10390" t="s">
        <v>13623</v>
      </c>
      <c r="D10390" t="s">
        <v>18050</v>
      </c>
      <c r="E10390" t="s">
        <v>27029</v>
      </c>
      <c r="F10390" t="s">
        <v>30900</v>
      </c>
      <c r="G10390" t="s">
        <v>30908</v>
      </c>
      <c r="H10390" t="s">
        <v>30917</v>
      </c>
      <c r="I10390" t="s">
        <v>30951</v>
      </c>
      <c r="J10390" t="s">
        <v>37523</v>
      </c>
      <c r="K10390" t="s">
        <v>40286</v>
      </c>
      <c r="M10390" t="s">
        <v>44010</v>
      </c>
      <c r="N10390" t="s">
        <v>44759</v>
      </c>
      <c r="O10390" t="s">
        <v>44760</v>
      </c>
      <c r="P10390">
        <v>0</v>
      </c>
      <c r="Q10390">
        <v>12</v>
      </c>
      <c r="R10390" t="s">
        <v>44772</v>
      </c>
      <c r="S10390" t="s">
        <v>45149</v>
      </c>
      <c r="T10390" t="s">
        <v>46383</v>
      </c>
      <c r="U10390" t="s">
        <v>55553</v>
      </c>
      <c r="W10390" t="s">
        <v>44010</v>
      </c>
      <c r="X10390" t="s">
        <v>44773</v>
      </c>
    </row>
    <row r="10391" spans="1:24">
      <c r="A10391">
        <f>HYPERLINK("https://www.philgeps.gov.ph/GEPSNONPILOT/Tender/SplashBidNoticeAbstractUI.aspx?menuIndex=3&amp;refID=7134009&amp;Result=3","7134009")</f>
        <v>0</v>
      </c>
      <c r="B10391" t="s">
        <v>3181</v>
      </c>
      <c r="C10391" t="s">
        <v>13624</v>
      </c>
      <c r="D10391" t="s">
        <v>18000</v>
      </c>
      <c r="E10391" t="s">
        <v>27030</v>
      </c>
      <c r="F10391" t="s">
        <v>30900</v>
      </c>
      <c r="G10391" t="s">
        <v>30907</v>
      </c>
      <c r="H10391" t="s">
        <v>30916</v>
      </c>
      <c r="I10391" t="s">
        <v>30919</v>
      </c>
      <c r="J10391" t="s">
        <v>31069</v>
      </c>
      <c r="K10391" t="s">
        <v>40289</v>
      </c>
      <c r="M10391" t="s">
        <v>44011</v>
      </c>
      <c r="N10391" t="s">
        <v>44759</v>
      </c>
      <c r="O10391" t="s">
        <v>44760</v>
      </c>
      <c r="P10391">
        <v>0</v>
      </c>
      <c r="Q10391">
        <v>4</v>
      </c>
      <c r="R10391" t="s">
        <v>44772</v>
      </c>
      <c r="S10391" t="s">
        <v>45149</v>
      </c>
      <c r="T10391" t="s">
        <v>46858</v>
      </c>
      <c r="U10391" t="s">
        <v>55555</v>
      </c>
      <c r="W10391" t="s">
        <v>44011</v>
      </c>
      <c r="X10391" t="s">
        <v>44773</v>
      </c>
    </row>
    <row r="10392" spans="1:24">
      <c r="A10392">
        <f>HYPERLINK("https://www.philgeps.gov.ph/GEPSNONPILOT/Tender/SplashBidNoticeAbstractUI.aspx?menuIndex=3&amp;refID=7133989&amp;Result=3","7133989")</f>
        <v>0</v>
      </c>
      <c r="B10392" t="s">
        <v>1414</v>
      </c>
      <c r="C10392" t="s">
        <v>13625</v>
      </c>
      <c r="D10392" t="s">
        <v>17977</v>
      </c>
      <c r="E10392" t="s">
        <v>27031</v>
      </c>
      <c r="F10392" t="s">
        <v>30900</v>
      </c>
      <c r="G10392" t="s">
        <v>30908</v>
      </c>
      <c r="H10392" t="s">
        <v>30916</v>
      </c>
      <c r="I10392" t="s">
        <v>30994</v>
      </c>
      <c r="J10392" t="s">
        <v>31050</v>
      </c>
      <c r="K10392" t="s">
        <v>40286</v>
      </c>
      <c r="M10392" t="s">
        <v>42043</v>
      </c>
      <c r="N10392" t="s">
        <v>44759</v>
      </c>
      <c r="O10392" t="s">
        <v>44760</v>
      </c>
      <c r="Q10392">
        <v>2</v>
      </c>
      <c r="R10392" t="s">
        <v>44772</v>
      </c>
      <c r="S10392" t="s">
        <v>45168</v>
      </c>
      <c r="T10392" t="s">
        <v>46391</v>
      </c>
      <c r="U10392" t="s">
        <v>49834</v>
      </c>
      <c r="W10392" t="s">
        <v>42043</v>
      </c>
      <c r="X10392" t="s">
        <v>44773</v>
      </c>
    </row>
    <row r="10393" spans="1:24">
      <c r="A10393">
        <f>HYPERLINK("https://www.philgeps.gov.ph/GEPSNONPILOT/Tender/SplashBidNoticeAbstractUI.aspx?menuIndex=3&amp;refID=7133987&amp;Result=3","7133987")</f>
        <v>0</v>
      </c>
      <c r="B10393" t="s">
        <v>3180</v>
      </c>
      <c r="C10393" t="s">
        <v>13626</v>
      </c>
      <c r="D10393" t="s">
        <v>18019</v>
      </c>
      <c r="E10393" t="s">
        <v>27032</v>
      </c>
      <c r="F10393" t="s">
        <v>30900</v>
      </c>
      <c r="G10393" t="s">
        <v>30908</v>
      </c>
      <c r="H10393" t="s">
        <v>30916</v>
      </c>
      <c r="I10393" t="s">
        <v>30951</v>
      </c>
      <c r="J10393" t="s">
        <v>31449</v>
      </c>
      <c r="K10393" t="s">
        <v>40286</v>
      </c>
      <c r="M10393" t="s">
        <v>44010</v>
      </c>
      <c r="N10393" t="s">
        <v>44759</v>
      </c>
      <c r="O10393" t="s">
        <v>44760</v>
      </c>
      <c r="P10393">
        <v>0</v>
      </c>
      <c r="Q10393">
        <v>7</v>
      </c>
      <c r="R10393" t="s">
        <v>44772</v>
      </c>
      <c r="S10393" t="s">
        <v>45149</v>
      </c>
      <c r="T10393" t="s">
        <v>46383</v>
      </c>
      <c r="U10393" t="s">
        <v>55556</v>
      </c>
      <c r="W10393" t="s">
        <v>44010</v>
      </c>
      <c r="X10393" t="s">
        <v>44773</v>
      </c>
    </row>
    <row r="10394" spans="1:24">
      <c r="A10394">
        <f>HYPERLINK("https://www.philgeps.gov.ph/GEPSNONPILOT/Tender/SplashBidNoticeAbstractUI.aspx?menuIndex=3&amp;refID=7133938&amp;Result=3","7133938")</f>
        <v>0</v>
      </c>
      <c r="B10394" t="s">
        <v>2141</v>
      </c>
      <c r="C10394" t="s">
        <v>13627</v>
      </c>
      <c r="D10394" t="s">
        <v>17959</v>
      </c>
      <c r="E10394" t="s">
        <v>27033</v>
      </c>
      <c r="F10394" t="s">
        <v>30900</v>
      </c>
      <c r="G10394" t="s">
        <v>30908</v>
      </c>
      <c r="H10394" t="s">
        <v>30916</v>
      </c>
      <c r="I10394" t="s">
        <v>30952</v>
      </c>
      <c r="J10394" t="s">
        <v>31501</v>
      </c>
      <c r="K10394" t="s">
        <v>40283</v>
      </c>
      <c r="M10394" t="s">
        <v>42843</v>
      </c>
      <c r="N10394" t="s">
        <v>44759</v>
      </c>
      <c r="O10394" t="s">
        <v>44760</v>
      </c>
      <c r="Q10394">
        <v>5</v>
      </c>
      <c r="R10394" t="s">
        <v>44772</v>
      </c>
      <c r="S10394" t="s">
        <v>44877</v>
      </c>
      <c r="T10394" t="s">
        <v>46704</v>
      </c>
      <c r="U10394" t="s">
        <v>55557</v>
      </c>
      <c r="W10394" t="s">
        <v>42843</v>
      </c>
      <c r="X10394" t="s">
        <v>44773</v>
      </c>
    </row>
    <row r="10395" spans="1:24">
      <c r="A10395">
        <f>HYPERLINK("https://www.philgeps.gov.ph/GEPSNONPILOT/Tender/SplashBidNoticeAbstractUI.aspx?menuIndex=3&amp;refID=7133898&amp;Result=3","7133898")</f>
        <v>0</v>
      </c>
      <c r="B10395" t="s">
        <v>254</v>
      </c>
      <c r="C10395" t="s">
        <v>13628</v>
      </c>
      <c r="D10395" t="s">
        <v>17977</v>
      </c>
      <c r="E10395" t="s">
        <v>27034</v>
      </c>
      <c r="F10395" t="s">
        <v>30903</v>
      </c>
      <c r="G10395" t="s">
        <v>30909</v>
      </c>
      <c r="H10395" t="s">
        <v>30916</v>
      </c>
      <c r="I10395" t="s">
        <v>30958</v>
      </c>
      <c r="J10395" t="s">
        <v>31866</v>
      </c>
      <c r="K10395" t="s">
        <v>40285</v>
      </c>
      <c r="M10395" t="s">
        <v>40801</v>
      </c>
      <c r="N10395" t="s">
        <v>44759</v>
      </c>
      <c r="O10395" t="s">
        <v>44760</v>
      </c>
      <c r="Q10395">
        <v>0</v>
      </c>
      <c r="R10395" t="s">
        <v>44772</v>
      </c>
      <c r="S10395" t="s">
        <v>45169</v>
      </c>
      <c r="T10395" t="s">
        <v>46389</v>
      </c>
      <c r="U10395" t="s">
        <v>55558</v>
      </c>
      <c r="W10395" t="s">
        <v>40801</v>
      </c>
      <c r="X10395" t="s">
        <v>44773</v>
      </c>
    </row>
    <row r="10396" spans="1:24">
      <c r="A10396">
        <f>HYPERLINK("https://www.philgeps.gov.ph/GEPSNONPILOT/Tender/SplashBidNoticeAbstractUI.aspx?menuIndex=3&amp;refID=7136041&amp;Result=3","7136041")</f>
        <v>0</v>
      </c>
      <c r="B10396" t="s">
        <v>3141</v>
      </c>
      <c r="C10396" t="s">
        <v>13629</v>
      </c>
      <c r="D10396" t="s">
        <v>17984</v>
      </c>
      <c r="E10396" t="s">
        <v>27035</v>
      </c>
      <c r="F10396" t="s">
        <v>30901</v>
      </c>
      <c r="G10396" t="s">
        <v>30907</v>
      </c>
      <c r="H10396" t="s">
        <v>30916</v>
      </c>
      <c r="I10396" t="s">
        <v>30952</v>
      </c>
      <c r="J10396" t="s">
        <v>31935</v>
      </c>
      <c r="K10396" t="s">
        <v>40303</v>
      </c>
      <c r="M10396" t="s">
        <v>43959</v>
      </c>
      <c r="N10396" t="s">
        <v>44759</v>
      </c>
      <c r="O10396" t="s">
        <v>44760</v>
      </c>
      <c r="P10396">
        <v>0</v>
      </c>
      <c r="Q10396">
        <v>4</v>
      </c>
      <c r="R10396" t="s">
        <v>44770</v>
      </c>
      <c r="S10396" t="s">
        <v>45105</v>
      </c>
      <c r="T10396" t="s">
        <v>46851</v>
      </c>
      <c r="U10396" t="s">
        <v>55559</v>
      </c>
      <c r="W10396" t="s">
        <v>43959</v>
      </c>
      <c r="X10396" t="s">
        <v>44771</v>
      </c>
    </row>
    <row r="10397" spans="1:24">
      <c r="A10397">
        <f>HYPERLINK("https://www.philgeps.gov.ph/GEPSNONPILOT/Tender/SplashBidNoticeAbstractUI.aspx?menuIndex=3&amp;refID=7133883&amp;Result=3","7133883")</f>
        <v>0</v>
      </c>
      <c r="B10397" t="s">
        <v>2141</v>
      </c>
      <c r="C10397" t="s">
        <v>13630</v>
      </c>
      <c r="D10397" t="s">
        <v>17959</v>
      </c>
      <c r="E10397" t="s">
        <v>27036</v>
      </c>
      <c r="F10397" t="s">
        <v>30900</v>
      </c>
      <c r="G10397" t="s">
        <v>30908</v>
      </c>
      <c r="H10397" t="s">
        <v>30916</v>
      </c>
      <c r="I10397" t="s">
        <v>30952</v>
      </c>
      <c r="J10397" t="s">
        <v>31116</v>
      </c>
      <c r="K10397" t="s">
        <v>40283</v>
      </c>
      <c r="M10397" t="s">
        <v>42843</v>
      </c>
      <c r="N10397" t="s">
        <v>44759</v>
      </c>
      <c r="O10397" t="s">
        <v>44760</v>
      </c>
      <c r="Q10397">
        <v>5</v>
      </c>
      <c r="R10397" t="s">
        <v>44772</v>
      </c>
      <c r="S10397" t="s">
        <v>45170</v>
      </c>
      <c r="T10397" t="s">
        <v>46704</v>
      </c>
      <c r="U10397" t="s">
        <v>55560</v>
      </c>
      <c r="W10397" t="s">
        <v>42843</v>
      </c>
      <c r="X10397" t="s">
        <v>44773</v>
      </c>
    </row>
    <row r="10398" spans="1:24">
      <c r="A10398">
        <f>HYPERLINK("https://www.philgeps.gov.ph/GEPSNONPILOT/Tender/SplashBidNoticeAbstractUI.aspx?menuIndex=3&amp;refID=7135607&amp;Result=3","7135607")</f>
        <v>0</v>
      </c>
      <c r="B10398" t="s">
        <v>1779</v>
      </c>
      <c r="C10398" t="s">
        <v>13631</v>
      </c>
      <c r="D10398" t="s">
        <v>17970</v>
      </c>
      <c r="E10398" t="s">
        <v>27037</v>
      </c>
      <c r="F10398" t="s">
        <v>30900</v>
      </c>
      <c r="G10398" t="s">
        <v>30907</v>
      </c>
      <c r="H10398" t="s">
        <v>30915</v>
      </c>
      <c r="I10398" t="s">
        <v>30919</v>
      </c>
      <c r="J10398" t="s">
        <v>37524</v>
      </c>
      <c r="K10398" t="s">
        <v>40301</v>
      </c>
      <c r="M10398" t="s">
        <v>42453</v>
      </c>
      <c r="N10398" t="s">
        <v>44759</v>
      </c>
      <c r="O10398" t="s">
        <v>44760</v>
      </c>
      <c r="P10398">
        <v>0</v>
      </c>
      <c r="Q10398">
        <v>2</v>
      </c>
      <c r="R10398" t="s">
        <v>44771</v>
      </c>
      <c r="S10398" t="s">
        <v>45143</v>
      </c>
      <c r="T10398" t="s">
        <v>46424</v>
      </c>
      <c r="U10398" t="s">
        <v>55561</v>
      </c>
      <c r="W10398" t="s">
        <v>42453</v>
      </c>
      <c r="X10398" t="s">
        <v>44772</v>
      </c>
    </row>
    <row r="10399" spans="1:24">
      <c r="A10399">
        <f>HYPERLINK("https://www.philgeps.gov.ph/GEPSNONPILOT/Tender/SplashBidNoticeAbstractUI.aspx?menuIndex=3&amp;refID=7133890&amp;Result=3","7133890")</f>
        <v>0</v>
      </c>
      <c r="B10399" t="s">
        <v>3170</v>
      </c>
      <c r="C10399" t="s">
        <v>13632</v>
      </c>
      <c r="D10399" t="s">
        <v>17995</v>
      </c>
      <c r="E10399" t="s">
        <v>19262</v>
      </c>
      <c r="F10399" t="s">
        <v>30899</v>
      </c>
      <c r="G10399" t="s">
        <v>30907</v>
      </c>
      <c r="H10399" t="s">
        <v>30916</v>
      </c>
      <c r="I10399" t="s">
        <v>8123</v>
      </c>
      <c r="J10399" t="s">
        <v>37525</v>
      </c>
      <c r="K10399" t="s">
        <v>40304</v>
      </c>
      <c r="M10399" t="s">
        <v>43997</v>
      </c>
      <c r="N10399" t="s">
        <v>44759</v>
      </c>
      <c r="O10399" t="s">
        <v>44760</v>
      </c>
      <c r="P10399">
        <v>0</v>
      </c>
      <c r="Q10399">
        <v>0</v>
      </c>
      <c r="R10399" t="s">
        <v>44772</v>
      </c>
      <c r="S10399" t="s">
        <v>45149</v>
      </c>
      <c r="T10399" t="s">
        <v>46445</v>
      </c>
      <c r="U10399" t="s">
        <v>55513</v>
      </c>
      <c r="W10399" t="s">
        <v>43997</v>
      </c>
      <c r="X10399" t="s">
        <v>44773</v>
      </c>
    </row>
    <row r="10400" spans="1:24">
      <c r="A10400">
        <f>HYPERLINK("https://www.philgeps.gov.ph/GEPSNONPILOT/Tender/SplashBidNoticeAbstractUI.aspx?menuIndex=3&amp;refID=7133885&amp;Result=3","7133885")</f>
        <v>0</v>
      </c>
      <c r="B10400" t="s">
        <v>1414</v>
      </c>
      <c r="C10400" t="s">
        <v>13633</v>
      </c>
      <c r="D10400" t="s">
        <v>17977</v>
      </c>
      <c r="E10400" t="s">
        <v>27038</v>
      </c>
      <c r="F10400" t="s">
        <v>30900</v>
      </c>
      <c r="G10400" t="s">
        <v>30909</v>
      </c>
      <c r="H10400" t="s">
        <v>30916</v>
      </c>
      <c r="I10400" t="s">
        <v>31018</v>
      </c>
      <c r="J10400" t="s">
        <v>31206</v>
      </c>
      <c r="K10400" t="s">
        <v>40286</v>
      </c>
      <c r="M10400" t="s">
        <v>42043</v>
      </c>
      <c r="N10400" t="s">
        <v>44759</v>
      </c>
      <c r="O10400" t="s">
        <v>44760</v>
      </c>
      <c r="Q10400">
        <v>0</v>
      </c>
      <c r="R10400" t="s">
        <v>44772</v>
      </c>
      <c r="S10400" t="s">
        <v>45171</v>
      </c>
      <c r="T10400" t="s">
        <v>46391</v>
      </c>
      <c r="U10400" t="s">
        <v>49834</v>
      </c>
      <c r="W10400" t="s">
        <v>42043</v>
      </c>
      <c r="X10400" t="s">
        <v>44773</v>
      </c>
    </row>
    <row r="10401" spans="1:24">
      <c r="A10401">
        <f>HYPERLINK("https://www.philgeps.gov.ph/GEPSNONPILOT/Tender/SplashBidNoticeAbstractUI.aspx?menuIndex=3&amp;refID=7133876&amp;Result=3","7133876")</f>
        <v>0</v>
      </c>
      <c r="B10401" t="s">
        <v>1414</v>
      </c>
      <c r="C10401" t="s">
        <v>13634</v>
      </c>
      <c r="D10401" t="s">
        <v>17977</v>
      </c>
      <c r="E10401" t="s">
        <v>27039</v>
      </c>
      <c r="F10401" t="s">
        <v>30900</v>
      </c>
      <c r="G10401" t="s">
        <v>30909</v>
      </c>
      <c r="H10401" t="s">
        <v>30916</v>
      </c>
      <c r="I10401" t="s">
        <v>31018</v>
      </c>
      <c r="J10401" t="s">
        <v>31070</v>
      </c>
      <c r="K10401" t="s">
        <v>40286</v>
      </c>
      <c r="M10401" t="s">
        <v>42043</v>
      </c>
      <c r="N10401" t="s">
        <v>44759</v>
      </c>
      <c r="O10401" t="s">
        <v>44760</v>
      </c>
      <c r="Q10401">
        <v>0</v>
      </c>
      <c r="R10401" t="s">
        <v>44772</v>
      </c>
      <c r="S10401" t="s">
        <v>45172</v>
      </c>
      <c r="T10401" t="s">
        <v>46391</v>
      </c>
      <c r="U10401" t="s">
        <v>49834</v>
      </c>
      <c r="W10401" t="s">
        <v>42043</v>
      </c>
      <c r="X10401" t="s">
        <v>44773</v>
      </c>
    </row>
    <row r="10402" spans="1:24">
      <c r="A10402">
        <f>HYPERLINK("https://www.philgeps.gov.ph/GEPSNONPILOT/Tender/SplashBidNoticeAbstractUI.aspx?menuIndex=3&amp;refID=7134024&amp;Result=3","7134024")</f>
        <v>0</v>
      </c>
      <c r="B10402" t="s">
        <v>1386</v>
      </c>
      <c r="C10402" t="s">
        <v>13635</v>
      </c>
      <c r="D10402" t="s">
        <v>17998</v>
      </c>
      <c r="E10402" t="s">
        <v>27040</v>
      </c>
      <c r="F10402" t="s">
        <v>30900</v>
      </c>
      <c r="G10402" t="s">
        <v>30907</v>
      </c>
      <c r="H10402" t="s">
        <v>30916</v>
      </c>
      <c r="I10402" t="s">
        <v>30933</v>
      </c>
      <c r="J10402" t="s">
        <v>37526</v>
      </c>
      <c r="K10402" t="s">
        <v>40284</v>
      </c>
      <c r="M10402" t="s">
        <v>42010</v>
      </c>
      <c r="N10402" t="s">
        <v>44759</v>
      </c>
      <c r="O10402" t="s">
        <v>44760</v>
      </c>
      <c r="P10402">
        <v>0</v>
      </c>
      <c r="Q10402">
        <v>7</v>
      </c>
      <c r="R10402" t="s">
        <v>44772</v>
      </c>
      <c r="S10402" t="s">
        <v>45149</v>
      </c>
      <c r="T10402" t="s">
        <v>46422</v>
      </c>
      <c r="U10402" t="s">
        <v>54137</v>
      </c>
      <c r="W10402" t="s">
        <v>42010</v>
      </c>
      <c r="X10402" t="s">
        <v>44773</v>
      </c>
    </row>
    <row r="10403" spans="1:24">
      <c r="A10403">
        <f>HYPERLINK("https://www.philgeps.gov.ph/GEPSNONPILOT/Tender/SplashBidNoticeAbstractUI.aspx?menuIndex=3&amp;refID=7134212&amp;Result=3","7134212")</f>
        <v>0</v>
      </c>
      <c r="B10403" t="s">
        <v>3182</v>
      </c>
      <c r="C10403" t="s">
        <v>13636</v>
      </c>
      <c r="D10403" t="s">
        <v>17957</v>
      </c>
      <c r="E10403" t="s">
        <v>27041</v>
      </c>
      <c r="F10403" t="s">
        <v>30900</v>
      </c>
      <c r="G10403" t="s">
        <v>30907</v>
      </c>
      <c r="H10403" t="s">
        <v>30915</v>
      </c>
      <c r="I10403" t="s">
        <v>30919</v>
      </c>
      <c r="J10403" t="s">
        <v>37527</v>
      </c>
      <c r="K10403" t="s">
        <v>40286</v>
      </c>
      <c r="M10403" t="s">
        <v>44012</v>
      </c>
      <c r="N10403" t="s">
        <v>44759</v>
      </c>
      <c r="O10403" t="s">
        <v>44760</v>
      </c>
      <c r="P10403">
        <v>0</v>
      </c>
      <c r="Q10403">
        <v>0</v>
      </c>
      <c r="R10403" t="s">
        <v>44772</v>
      </c>
      <c r="S10403" t="s">
        <v>45149</v>
      </c>
      <c r="T10403" t="s">
        <v>46414</v>
      </c>
      <c r="U10403" t="s">
        <v>55562</v>
      </c>
      <c r="W10403" t="s">
        <v>44012</v>
      </c>
      <c r="X10403" t="s">
        <v>44773</v>
      </c>
    </row>
    <row r="10404" spans="1:24">
      <c r="A10404">
        <f>HYPERLINK("https://www.philgeps.gov.ph/GEPSNONPILOT/Tender/SplashBidNoticeAbstractUI.aspx?menuIndex=3&amp;refID=7134122&amp;Result=3","7134122")</f>
        <v>0</v>
      </c>
      <c r="B10404" t="s">
        <v>3183</v>
      </c>
      <c r="C10404" t="s">
        <v>11473</v>
      </c>
      <c r="D10404" t="s">
        <v>18017</v>
      </c>
      <c r="E10404" t="s">
        <v>27042</v>
      </c>
      <c r="F10404" t="s">
        <v>30900</v>
      </c>
      <c r="G10404" t="s">
        <v>30907</v>
      </c>
      <c r="H10404" t="s">
        <v>30915</v>
      </c>
      <c r="I10404" t="s">
        <v>30919</v>
      </c>
      <c r="J10404" t="s">
        <v>31243</v>
      </c>
      <c r="K10404" t="s">
        <v>40391</v>
      </c>
      <c r="M10404" t="s">
        <v>44013</v>
      </c>
      <c r="N10404" t="s">
        <v>44759</v>
      </c>
      <c r="O10404" t="s">
        <v>44760</v>
      </c>
      <c r="P10404">
        <v>0</v>
      </c>
      <c r="Q10404">
        <v>2</v>
      </c>
      <c r="R10404" t="s">
        <v>44772</v>
      </c>
      <c r="S10404" t="s">
        <v>45149</v>
      </c>
      <c r="T10404" t="s">
        <v>46364</v>
      </c>
      <c r="U10404" t="s">
        <v>55563</v>
      </c>
      <c r="W10404" t="s">
        <v>44013</v>
      </c>
      <c r="X10404" t="s">
        <v>44773</v>
      </c>
    </row>
    <row r="10405" spans="1:24">
      <c r="A10405">
        <f>HYPERLINK("https://www.philgeps.gov.ph/GEPSNONPILOT/Tender/SplashBidNoticeAbstractUI.aspx?menuIndex=3&amp;refID=7133956&amp;Result=3","7133956")</f>
        <v>0</v>
      </c>
      <c r="B10405" t="s">
        <v>1414</v>
      </c>
      <c r="C10405" t="s">
        <v>13637</v>
      </c>
      <c r="D10405" t="s">
        <v>17977</v>
      </c>
      <c r="E10405" t="s">
        <v>27043</v>
      </c>
      <c r="F10405" t="s">
        <v>30900</v>
      </c>
      <c r="G10405" t="s">
        <v>30908</v>
      </c>
      <c r="H10405" t="s">
        <v>30916</v>
      </c>
      <c r="I10405" t="s">
        <v>6746</v>
      </c>
      <c r="J10405" t="s">
        <v>37528</v>
      </c>
      <c r="K10405" t="s">
        <v>40286</v>
      </c>
      <c r="M10405" t="s">
        <v>42043</v>
      </c>
      <c r="N10405" t="s">
        <v>44759</v>
      </c>
      <c r="O10405" t="s">
        <v>44760</v>
      </c>
      <c r="Q10405">
        <v>3</v>
      </c>
      <c r="R10405" t="s">
        <v>44772</v>
      </c>
      <c r="S10405" t="s">
        <v>45167</v>
      </c>
      <c r="T10405" t="s">
        <v>46391</v>
      </c>
      <c r="U10405" t="s">
        <v>49834</v>
      </c>
      <c r="W10405" t="s">
        <v>42043</v>
      </c>
      <c r="X10405" t="s">
        <v>44773</v>
      </c>
    </row>
    <row r="10406" spans="1:24">
      <c r="A10406">
        <f>HYPERLINK("https://www.philgeps.gov.ph/GEPSNONPILOT/Tender/SplashBidNoticeAbstractUI.aspx?menuIndex=3&amp;refID=7134097&amp;Result=3","7134097")</f>
        <v>0</v>
      </c>
      <c r="B10406" t="s">
        <v>1414</v>
      </c>
      <c r="C10406" t="s">
        <v>13638</v>
      </c>
      <c r="D10406" t="s">
        <v>17977</v>
      </c>
      <c r="E10406" t="s">
        <v>27044</v>
      </c>
      <c r="F10406" t="s">
        <v>30900</v>
      </c>
      <c r="G10406" t="s">
        <v>30909</v>
      </c>
      <c r="H10406" t="s">
        <v>30916</v>
      </c>
      <c r="I10406" t="s">
        <v>31013</v>
      </c>
      <c r="J10406" t="s">
        <v>31490</v>
      </c>
      <c r="K10406" t="s">
        <v>40286</v>
      </c>
      <c r="M10406" t="s">
        <v>42043</v>
      </c>
      <c r="N10406" t="s">
        <v>44759</v>
      </c>
      <c r="O10406" t="s">
        <v>44760</v>
      </c>
      <c r="Q10406">
        <v>2</v>
      </c>
      <c r="R10406" t="s">
        <v>44772</v>
      </c>
      <c r="S10406" t="s">
        <v>45173</v>
      </c>
      <c r="T10406" t="s">
        <v>46391</v>
      </c>
      <c r="U10406" t="s">
        <v>49834</v>
      </c>
      <c r="W10406" t="s">
        <v>42043</v>
      </c>
      <c r="X10406" t="s">
        <v>44773</v>
      </c>
    </row>
    <row r="10407" spans="1:24">
      <c r="A10407">
        <f>HYPERLINK("https://www.philgeps.gov.ph/GEPSNONPILOT/Tender/SplashBidNoticeAbstractUI.aspx?menuIndex=3&amp;refID=7134084&amp;Result=3","7134084")</f>
        <v>0</v>
      </c>
      <c r="B10407" t="s">
        <v>1414</v>
      </c>
      <c r="C10407" t="s">
        <v>13639</v>
      </c>
      <c r="D10407" t="s">
        <v>17977</v>
      </c>
      <c r="E10407" t="s">
        <v>27045</v>
      </c>
      <c r="F10407" t="s">
        <v>30900</v>
      </c>
      <c r="G10407" t="s">
        <v>30909</v>
      </c>
      <c r="H10407" t="s">
        <v>30916</v>
      </c>
      <c r="I10407" t="s">
        <v>31013</v>
      </c>
      <c r="J10407" t="s">
        <v>35261</v>
      </c>
      <c r="K10407" t="s">
        <v>40286</v>
      </c>
      <c r="M10407" t="s">
        <v>42043</v>
      </c>
      <c r="N10407" t="s">
        <v>44759</v>
      </c>
      <c r="O10407" t="s">
        <v>44760</v>
      </c>
      <c r="Q10407">
        <v>2</v>
      </c>
      <c r="R10407" t="s">
        <v>44772</v>
      </c>
      <c r="S10407" t="s">
        <v>45174</v>
      </c>
      <c r="T10407" t="s">
        <v>46391</v>
      </c>
      <c r="U10407" t="s">
        <v>49834</v>
      </c>
      <c r="W10407" t="s">
        <v>42043</v>
      </c>
      <c r="X10407" t="s">
        <v>44773</v>
      </c>
    </row>
    <row r="10408" spans="1:24">
      <c r="A10408">
        <f>HYPERLINK("https://www.philgeps.gov.ph/GEPSNONPILOT/Tender/SplashBidNoticeAbstractUI.aspx?menuIndex=3&amp;refID=7134022&amp;Result=3","7134022")</f>
        <v>0</v>
      </c>
      <c r="B10408" t="s">
        <v>515</v>
      </c>
      <c r="C10408" t="s">
        <v>13640</v>
      </c>
      <c r="D10408" t="s">
        <v>17966</v>
      </c>
      <c r="E10408" t="s">
        <v>25245</v>
      </c>
      <c r="F10408" t="s">
        <v>30900</v>
      </c>
      <c r="G10408" t="s">
        <v>30907</v>
      </c>
      <c r="H10408" t="s">
        <v>30917</v>
      </c>
      <c r="I10408" t="s">
        <v>30970</v>
      </c>
      <c r="J10408" t="s">
        <v>31944</v>
      </c>
      <c r="K10408" t="s">
        <v>40293</v>
      </c>
      <c r="M10408" t="s">
        <v>44008</v>
      </c>
      <c r="N10408" t="s">
        <v>44759</v>
      </c>
      <c r="O10408" t="s">
        <v>44760</v>
      </c>
      <c r="P10408">
        <v>0</v>
      </c>
      <c r="Q10408">
        <v>3</v>
      </c>
      <c r="R10408" t="s">
        <v>44772</v>
      </c>
      <c r="S10408" t="s">
        <v>45149</v>
      </c>
      <c r="T10408" t="s">
        <v>46488</v>
      </c>
      <c r="U10408" t="s">
        <v>55550</v>
      </c>
      <c r="V10408" t="s">
        <v>60263</v>
      </c>
      <c r="W10408" t="s">
        <v>44008</v>
      </c>
      <c r="X10408" t="s">
        <v>44773</v>
      </c>
    </row>
    <row r="10409" spans="1:24">
      <c r="A10409">
        <f>HYPERLINK("https://www.philgeps.gov.ph/GEPSNONPILOT/Tender/SplashBidNoticeAbstractUI.aspx?menuIndex=3&amp;refID=7134134&amp;Result=3","7134134")</f>
        <v>0</v>
      </c>
      <c r="B10409" t="s">
        <v>1386</v>
      </c>
      <c r="C10409" t="s">
        <v>13641</v>
      </c>
      <c r="D10409" t="s">
        <v>17998</v>
      </c>
      <c r="E10409" t="s">
        <v>27046</v>
      </c>
      <c r="F10409" t="s">
        <v>30900</v>
      </c>
      <c r="G10409" t="s">
        <v>30907</v>
      </c>
      <c r="H10409" t="s">
        <v>30916</v>
      </c>
      <c r="I10409" t="s">
        <v>30933</v>
      </c>
      <c r="J10409" t="s">
        <v>31063</v>
      </c>
      <c r="K10409" t="s">
        <v>40284</v>
      </c>
      <c r="M10409" t="s">
        <v>42010</v>
      </c>
      <c r="N10409" t="s">
        <v>44759</v>
      </c>
      <c r="O10409" t="s">
        <v>44760</v>
      </c>
      <c r="P10409">
        <v>0</v>
      </c>
      <c r="Q10409">
        <v>4</v>
      </c>
      <c r="R10409" t="s">
        <v>44772</v>
      </c>
      <c r="S10409" t="s">
        <v>45149</v>
      </c>
      <c r="T10409" t="s">
        <v>46422</v>
      </c>
      <c r="U10409" t="s">
        <v>54137</v>
      </c>
      <c r="W10409" t="s">
        <v>42010</v>
      </c>
      <c r="X10409" t="s">
        <v>44773</v>
      </c>
    </row>
    <row r="10410" spans="1:24">
      <c r="A10410">
        <f>HYPERLINK("https://www.philgeps.gov.ph/GEPSNONPILOT/Tender/SplashBidNoticeAbstractUI.aspx?menuIndex=3&amp;refID=7134112&amp;Result=3","7134112")</f>
        <v>0</v>
      </c>
      <c r="B10410" t="s">
        <v>1414</v>
      </c>
      <c r="C10410" t="s">
        <v>13642</v>
      </c>
      <c r="D10410" t="s">
        <v>17977</v>
      </c>
      <c r="E10410" t="s">
        <v>27047</v>
      </c>
      <c r="F10410" t="s">
        <v>30900</v>
      </c>
      <c r="G10410" t="s">
        <v>30909</v>
      </c>
      <c r="H10410" t="s">
        <v>30916</v>
      </c>
      <c r="I10410" t="s">
        <v>31013</v>
      </c>
      <c r="J10410" t="s">
        <v>37529</v>
      </c>
      <c r="K10410" t="s">
        <v>40286</v>
      </c>
      <c r="M10410" t="s">
        <v>42043</v>
      </c>
      <c r="N10410" t="s">
        <v>44759</v>
      </c>
      <c r="O10410" t="s">
        <v>44760</v>
      </c>
      <c r="Q10410">
        <v>2</v>
      </c>
      <c r="R10410" t="s">
        <v>44772</v>
      </c>
      <c r="S10410" t="s">
        <v>45175</v>
      </c>
      <c r="T10410" t="s">
        <v>46391</v>
      </c>
      <c r="U10410" t="s">
        <v>49834</v>
      </c>
      <c r="W10410" t="s">
        <v>42043</v>
      </c>
      <c r="X10410" t="s">
        <v>44773</v>
      </c>
    </row>
    <row r="10411" spans="1:24">
      <c r="A10411">
        <f>HYPERLINK("https://www.philgeps.gov.ph/GEPSNONPILOT/Tender/SplashBidNoticeAbstractUI.aspx?menuIndex=3&amp;refID=7134044&amp;Result=3","7134044")</f>
        <v>0</v>
      </c>
      <c r="B10411" t="s">
        <v>2474</v>
      </c>
      <c r="C10411" t="s">
        <v>13643</v>
      </c>
      <c r="D10411" t="s">
        <v>17959</v>
      </c>
      <c r="E10411" t="s">
        <v>19319</v>
      </c>
      <c r="F10411" t="s">
        <v>30900</v>
      </c>
      <c r="G10411" t="s">
        <v>30907</v>
      </c>
      <c r="H10411" t="s">
        <v>30916</v>
      </c>
      <c r="I10411" t="s">
        <v>30924</v>
      </c>
      <c r="J10411" t="s">
        <v>37530</v>
      </c>
      <c r="K10411" t="s">
        <v>40292</v>
      </c>
      <c r="M10411" t="s">
        <v>43212</v>
      </c>
      <c r="N10411" t="s">
        <v>44759</v>
      </c>
      <c r="O10411" t="s">
        <v>44760</v>
      </c>
      <c r="P10411">
        <v>0</v>
      </c>
      <c r="Q10411">
        <v>12</v>
      </c>
      <c r="R10411" t="s">
        <v>44772</v>
      </c>
      <c r="S10411" t="s">
        <v>45149</v>
      </c>
      <c r="T10411" t="s">
        <v>46503</v>
      </c>
      <c r="U10411" t="s">
        <v>52983</v>
      </c>
      <c r="W10411" t="s">
        <v>60919</v>
      </c>
      <c r="X10411" t="s">
        <v>44773</v>
      </c>
    </row>
    <row r="10412" spans="1:24">
      <c r="A10412">
        <f>HYPERLINK("https://www.philgeps.gov.ph/GEPSNONPILOT/Tender/SplashBidNoticeAbstractUI.aspx?menuIndex=3&amp;refID=7134204&amp;Result=3","7134204")</f>
        <v>0</v>
      </c>
      <c r="B10412" t="s">
        <v>177</v>
      </c>
      <c r="C10412" t="s">
        <v>13644</v>
      </c>
      <c r="D10412" t="s">
        <v>17999</v>
      </c>
      <c r="E10412" t="s">
        <v>27048</v>
      </c>
      <c r="F10412" t="s">
        <v>30900</v>
      </c>
      <c r="G10412" t="s">
        <v>30907</v>
      </c>
      <c r="H10412" t="s">
        <v>30916</v>
      </c>
      <c r="I10412" t="s">
        <v>4545</v>
      </c>
      <c r="J10412" t="s">
        <v>31105</v>
      </c>
      <c r="K10412" t="s">
        <v>40283</v>
      </c>
      <c r="M10412" t="s">
        <v>40724</v>
      </c>
      <c r="N10412" t="s">
        <v>44759</v>
      </c>
      <c r="O10412" t="s">
        <v>44760</v>
      </c>
      <c r="P10412">
        <v>0</v>
      </c>
      <c r="Q10412">
        <v>8</v>
      </c>
      <c r="R10412" t="s">
        <v>44772</v>
      </c>
      <c r="S10412" t="s">
        <v>45149</v>
      </c>
      <c r="T10412" t="s">
        <v>46751</v>
      </c>
      <c r="U10412" t="s">
        <v>55324</v>
      </c>
      <c r="W10412" t="s">
        <v>40724</v>
      </c>
      <c r="X10412" t="s">
        <v>44773</v>
      </c>
    </row>
    <row r="10413" spans="1:24">
      <c r="A10413">
        <f>HYPERLINK("https://www.philgeps.gov.ph/GEPSNONPILOT/Tender/SplashBidNoticeAbstractUI.aspx?menuIndex=3&amp;refID=7134064&amp;Result=3","7134064")</f>
        <v>0</v>
      </c>
      <c r="B10413" t="s">
        <v>515</v>
      </c>
      <c r="C10413" t="s">
        <v>13645</v>
      </c>
      <c r="D10413" t="s">
        <v>17966</v>
      </c>
      <c r="E10413" t="s">
        <v>27049</v>
      </c>
      <c r="F10413" t="s">
        <v>30900</v>
      </c>
      <c r="G10413" t="s">
        <v>30907</v>
      </c>
      <c r="H10413" t="s">
        <v>30916</v>
      </c>
      <c r="I10413" t="s">
        <v>4545</v>
      </c>
      <c r="J10413" t="s">
        <v>37531</v>
      </c>
      <c r="K10413" t="s">
        <v>40293</v>
      </c>
      <c r="M10413" t="s">
        <v>44008</v>
      </c>
      <c r="N10413" t="s">
        <v>44759</v>
      </c>
      <c r="O10413" t="s">
        <v>44760</v>
      </c>
      <c r="P10413">
        <v>0</v>
      </c>
      <c r="Q10413">
        <v>8</v>
      </c>
      <c r="R10413" t="s">
        <v>44772</v>
      </c>
      <c r="S10413" t="s">
        <v>45149</v>
      </c>
      <c r="T10413" t="s">
        <v>46488</v>
      </c>
      <c r="U10413" t="s">
        <v>55550</v>
      </c>
      <c r="V10413" t="s">
        <v>60263</v>
      </c>
      <c r="W10413" t="s">
        <v>44008</v>
      </c>
      <c r="X10413" t="s">
        <v>44773</v>
      </c>
    </row>
    <row r="10414" spans="1:24">
      <c r="A10414">
        <f>HYPERLINK("https://www.philgeps.gov.ph/GEPSNONPILOT/Tender/SplashBidNoticeAbstractUI.aspx?menuIndex=3&amp;refID=7134255&amp;Result=3","7134255")</f>
        <v>0</v>
      </c>
      <c r="B10414" t="s">
        <v>3182</v>
      </c>
      <c r="C10414" t="s">
        <v>13646</v>
      </c>
      <c r="D10414" t="s">
        <v>17957</v>
      </c>
      <c r="E10414" t="s">
        <v>27050</v>
      </c>
      <c r="F10414" t="s">
        <v>30900</v>
      </c>
      <c r="G10414" t="s">
        <v>30907</v>
      </c>
      <c r="H10414" t="s">
        <v>30916</v>
      </c>
      <c r="I10414" t="s">
        <v>30923</v>
      </c>
      <c r="J10414" t="s">
        <v>37532</v>
      </c>
      <c r="K10414" t="s">
        <v>40314</v>
      </c>
      <c r="M10414" t="s">
        <v>44012</v>
      </c>
      <c r="N10414" t="s">
        <v>44759</v>
      </c>
      <c r="O10414" t="s">
        <v>44760</v>
      </c>
      <c r="P10414">
        <v>0</v>
      </c>
      <c r="Q10414">
        <v>3</v>
      </c>
      <c r="R10414" t="s">
        <v>44772</v>
      </c>
      <c r="S10414" t="s">
        <v>45149</v>
      </c>
      <c r="T10414" t="s">
        <v>46414</v>
      </c>
      <c r="U10414" t="s">
        <v>55564</v>
      </c>
      <c r="W10414" t="s">
        <v>44012</v>
      </c>
      <c r="X10414" t="s">
        <v>44773</v>
      </c>
    </row>
    <row r="10415" spans="1:24">
      <c r="A10415">
        <f>HYPERLINK("https://www.philgeps.gov.ph/GEPSNONPILOT/Tender/SplashBidNoticeAbstractUI.aspx?menuIndex=3&amp;refID=7134230&amp;Result=3","7134230")</f>
        <v>0</v>
      </c>
      <c r="B10415" t="s">
        <v>58</v>
      </c>
      <c r="C10415" t="s">
        <v>3812</v>
      </c>
      <c r="D10415" t="s">
        <v>17977</v>
      </c>
      <c r="E10415" t="s">
        <v>27051</v>
      </c>
      <c r="F10415" t="s">
        <v>30900</v>
      </c>
      <c r="G10415" t="s">
        <v>30907</v>
      </c>
      <c r="H10415" t="s">
        <v>30916</v>
      </c>
      <c r="I10415" t="s">
        <v>30923</v>
      </c>
      <c r="J10415" t="s">
        <v>37533</v>
      </c>
      <c r="K10415" t="s">
        <v>40287</v>
      </c>
      <c r="M10415" t="s">
        <v>40604</v>
      </c>
      <c r="N10415" t="s">
        <v>44759</v>
      </c>
      <c r="O10415" t="s">
        <v>44760</v>
      </c>
      <c r="P10415">
        <v>0</v>
      </c>
      <c r="Q10415">
        <v>5</v>
      </c>
      <c r="R10415" t="s">
        <v>44772</v>
      </c>
      <c r="S10415" t="s">
        <v>45149</v>
      </c>
      <c r="T10415" t="s">
        <v>46625</v>
      </c>
      <c r="U10415" t="s">
        <v>55565</v>
      </c>
      <c r="W10415" t="s">
        <v>60815</v>
      </c>
      <c r="X10415" t="s">
        <v>44773</v>
      </c>
    </row>
    <row r="10416" spans="1:24">
      <c r="A10416">
        <f>HYPERLINK("https://www.philgeps.gov.ph/GEPSNONPILOT/Tender/SplashBidNoticeAbstractUI.aspx?menuIndex=3&amp;refID=7134301&amp;Result=3","7134301")</f>
        <v>0</v>
      </c>
      <c r="B10416" t="s">
        <v>1937</v>
      </c>
      <c r="C10416" t="s">
        <v>13647</v>
      </c>
      <c r="D10416" t="s">
        <v>17961</v>
      </c>
      <c r="E10416" t="s">
        <v>27052</v>
      </c>
      <c r="F10416" t="s">
        <v>30900</v>
      </c>
      <c r="G10416" t="s">
        <v>30907</v>
      </c>
      <c r="H10416" t="s">
        <v>30915</v>
      </c>
      <c r="I10416" t="s">
        <v>30919</v>
      </c>
      <c r="J10416" t="s">
        <v>32560</v>
      </c>
      <c r="K10416" t="s">
        <v>40312</v>
      </c>
      <c r="M10416" t="s">
        <v>44014</v>
      </c>
      <c r="N10416" t="s">
        <v>44759</v>
      </c>
      <c r="O10416" t="s">
        <v>44760</v>
      </c>
      <c r="P10416">
        <v>0</v>
      </c>
      <c r="Q10416">
        <v>1</v>
      </c>
      <c r="R10416" t="s">
        <v>44772</v>
      </c>
      <c r="S10416" t="s">
        <v>45149</v>
      </c>
      <c r="T10416" t="s">
        <v>46370</v>
      </c>
      <c r="U10416" t="s">
        <v>55566</v>
      </c>
      <c r="W10416" t="s">
        <v>44014</v>
      </c>
      <c r="X10416" t="s">
        <v>44773</v>
      </c>
    </row>
    <row r="10417" spans="1:24">
      <c r="A10417">
        <f>HYPERLINK("https://www.philgeps.gov.ph/GEPSNONPILOT/Tender/SplashBidNoticeAbstractUI.aspx?menuIndex=3&amp;refID=7134037&amp;Result=3","7134037")</f>
        <v>0</v>
      </c>
      <c r="B10417" t="s">
        <v>2141</v>
      </c>
      <c r="C10417" t="s">
        <v>13648</v>
      </c>
      <c r="D10417" t="s">
        <v>17959</v>
      </c>
      <c r="E10417" t="s">
        <v>27053</v>
      </c>
      <c r="F10417" t="s">
        <v>30900</v>
      </c>
      <c r="G10417" t="s">
        <v>30909</v>
      </c>
      <c r="H10417" t="s">
        <v>30916</v>
      </c>
      <c r="I10417" t="s">
        <v>4142</v>
      </c>
      <c r="J10417" t="s">
        <v>32033</v>
      </c>
      <c r="K10417" t="s">
        <v>40283</v>
      </c>
      <c r="M10417" t="s">
        <v>42843</v>
      </c>
      <c r="N10417" t="s">
        <v>44759</v>
      </c>
      <c r="O10417" t="s">
        <v>44760</v>
      </c>
      <c r="Q10417">
        <v>6</v>
      </c>
      <c r="R10417" t="s">
        <v>44772</v>
      </c>
      <c r="S10417" t="s">
        <v>45176</v>
      </c>
      <c r="T10417" t="s">
        <v>46704</v>
      </c>
      <c r="U10417" t="s">
        <v>55567</v>
      </c>
      <c r="W10417" t="s">
        <v>42843</v>
      </c>
      <c r="X10417" t="s">
        <v>44773</v>
      </c>
    </row>
    <row r="10418" spans="1:24">
      <c r="A10418">
        <f>HYPERLINK("https://www.philgeps.gov.ph/GEPSNONPILOT/Tender/SplashBidNoticeAbstractUI.aspx?menuIndex=3&amp;refID=7134277&amp;Result=3","7134277")</f>
        <v>0</v>
      </c>
      <c r="B10418" t="s">
        <v>3184</v>
      </c>
      <c r="C10418" t="s">
        <v>13649</v>
      </c>
      <c r="D10418" t="s">
        <v>17980</v>
      </c>
      <c r="E10418" t="s">
        <v>27054</v>
      </c>
      <c r="F10418" t="s">
        <v>30900</v>
      </c>
      <c r="G10418" t="s">
        <v>30907</v>
      </c>
      <c r="H10418" t="s">
        <v>30916</v>
      </c>
      <c r="I10418" t="s">
        <v>8123</v>
      </c>
      <c r="J10418" t="s">
        <v>37534</v>
      </c>
      <c r="K10418" t="s">
        <v>40287</v>
      </c>
      <c r="M10418" t="s">
        <v>44015</v>
      </c>
      <c r="N10418" t="s">
        <v>44759</v>
      </c>
      <c r="O10418" t="s">
        <v>44760</v>
      </c>
      <c r="P10418">
        <v>0</v>
      </c>
      <c r="Q10418">
        <v>1</v>
      </c>
      <c r="R10418" t="s">
        <v>44772</v>
      </c>
      <c r="S10418" t="s">
        <v>45149</v>
      </c>
      <c r="T10418" t="s">
        <v>46397</v>
      </c>
      <c r="U10418" t="s">
        <v>55568</v>
      </c>
      <c r="V10418" t="s">
        <v>60265</v>
      </c>
      <c r="W10418" t="s">
        <v>44015</v>
      </c>
      <c r="X10418" t="s">
        <v>44773</v>
      </c>
    </row>
    <row r="10419" spans="1:24">
      <c r="A10419">
        <f>HYPERLINK("https://www.philgeps.gov.ph/GEPSNONPILOT/Tender/SplashBidNoticeAbstractUI.aspx?menuIndex=3&amp;refID=7134223&amp;Result=3","7134223")</f>
        <v>0</v>
      </c>
      <c r="B10419" t="s">
        <v>515</v>
      </c>
      <c r="C10419" t="s">
        <v>13650</v>
      </c>
      <c r="D10419" t="s">
        <v>17966</v>
      </c>
      <c r="E10419" t="s">
        <v>27055</v>
      </c>
      <c r="F10419" t="s">
        <v>30900</v>
      </c>
      <c r="G10419" t="s">
        <v>30907</v>
      </c>
      <c r="H10419" t="s">
        <v>30916</v>
      </c>
      <c r="I10419" t="s">
        <v>9385</v>
      </c>
      <c r="J10419" t="s">
        <v>37535</v>
      </c>
      <c r="K10419" t="s">
        <v>40293</v>
      </c>
      <c r="M10419" t="s">
        <v>44008</v>
      </c>
      <c r="N10419" t="s">
        <v>44759</v>
      </c>
      <c r="O10419" t="s">
        <v>44760</v>
      </c>
      <c r="P10419">
        <v>0</v>
      </c>
      <c r="Q10419">
        <v>36</v>
      </c>
      <c r="R10419" t="s">
        <v>44772</v>
      </c>
      <c r="S10419" t="s">
        <v>45149</v>
      </c>
      <c r="T10419" t="s">
        <v>46488</v>
      </c>
      <c r="U10419" t="s">
        <v>55550</v>
      </c>
      <c r="V10419" t="s">
        <v>60266</v>
      </c>
      <c r="W10419" t="s">
        <v>44008</v>
      </c>
      <c r="X10419" t="s">
        <v>44773</v>
      </c>
    </row>
    <row r="10420" spans="1:24">
      <c r="A10420">
        <f>HYPERLINK("https://www.philgeps.gov.ph/GEPSNONPILOT/Tender/SplashBidNoticeAbstractUI.aspx?menuIndex=3&amp;refID=7134268&amp;Result=3","7134268")</f>
        <v>0</v>
      </c>
      <c r="B10420" t="s">
        <v>3185</v>
      </c>
      <c r="C10420" t="s">
        <v>13651</v>
      </c>
      <c r="D10420" t="s">
        <v>17961</v>
      </c>
      <c r="E10420" t="s">
        <v>27056</v>
      </c>
      <c r="F10420" t="s">
        <v>30900</v>
      </c>
      <c r="G10420" t="s">
        <v>30907</v>
      </c>
      <c r="H10420" t="s">
        <v>30916</v>
      </c>
      <c r="I10420" t="s">
        <v>30933</v>
      </c>
      <c r="J10420" t="s">
        <v>37025</v>
      </c>
      <c r="K10420" t="s">
        <v>40284</v>
      </c>
      <c r="M10420" t="s">
        <v>44016</v>
      </c>
      <c r="N10420" t="s">
        <v>44759</v>
      </c>
      <c r="O10420" t="s">
        <v>44760</v>
      </c>
      <c r="P10420">
        <v>0</v>
      </c>
      <c r="Q10420">
        <v>7</v>
      </c>
      <c r="R10420" t="s">
        <v>44772</v>
      </c>
      <c r="S10420" t="s">
        <v>45149</v>
      </c>
      <c r="T10420" t="s">
        <v>46497</v>
      </c>
      <c r="U10420" t="s">
        <v>55569</v>
      </c>
      <c r="W10420" t="s">
        <v>44016</v>
      </c>
      <c r="X10420" t="s">
        <v>44773</v>
      </c>
    </row>
    <row r="10421" spans="1:24">
      <c r="A10421">
        <f>HYPERLINK("https://www.philgeps.gov.ph/GEPSNONPILOT/Tender/SplashBidNoticeAbstractUI.aspx?menuIndex=3&amp;refID=7134549&amp;Result=3","7134549")</f>
        <v>0</v>
      </c>
      <c r="B10421" t="s">
        <v>1339</v>
      </c>
      <c r="C10421" t="s">
        <v>13652</v>
      </c>
      <c r="D10421" t="s">
        <v>18001</v>
      </c>
      <c r="E10421" t="s">
        <v>27057</v>
      </c>
      <c r="F10421" t="s">
        <v>30900</v>
      </c>
      <c r="G10421" t="s">
        <v>30906</v>
      </c>
      <c r="H10421" t="s">
        <v>30915</v>
      </c>
      <c r="I10421" t="s">
        <v>30919</v>
      </c>
      <c r="J10421" t="s">
        <v>37536</v>
      </c>
      <c r="K10421" t="s">
        <v>40293</v>
      </c>
      <c r="M10421" t="s">
        <v>41960</v>
      </c>
      <c r="N10421" t="s">
        <v>44759</v>
      </c>
      <c r="O10421" t="s">
        <v>44760</v>
      </c>
      <c r="P10421">
        <v>0</v>
      </c>
      <c r="Q10421">
        <v>0</v>
      </c>
      <c r="R10421" t="s">
        <v>44772</v>
      </c>
      <c r="S10421" t="s">
        <v>45149</v>
      </c>
      <c r="T10421" t="s">
        <v>46548</v>
      </c>
      <c r="U10421" t="s">
        <v>55570</v>
      </c>
      <c r="W10421" t="s">
        <v>41960</v>
      </c>
      <c r="X10421" t="s">
        <v>44773</v>
      </c>
    </row>
    <row r="10422" spans="1:24">
      <c r="A10422">
        <f>HYPERLINK("https://www.philgeps.gov.ph/GEPSNONPILOT/Tender/SplashBidNoticeAbstractUI.aspx?menuIndex=3&amp;refID=7134528&amp;Result=3","7134528")</f>
        <v>0</v>
      </c>
      <c r="B10422" t="s">
        <v>1937</v>
      </c>
      <c r="C10422" t="s">
        <v>13653</v>
      </c>
      <c r="D10422" t="s">
        <v>17961</v>
      </c>
      <c r="E10422" t="s">
        <v>27058</v>
      </c>
      <c r="F10422" t="s">
        <v>30900</v>
      </c>
      <c r="G10422" t="s">
        <v>30907</v>
      </c>
      <c r="H10422" t="s">
        <v>30915</v>
      </c>
      <c r="I10422" t="s">
        <v>30919</v>
      </c>
      <c r="J10422" t="s">
        <v>31069</v>
      </c>
      <c r="K10422" t="s">
        <v>40428</v>
      </c>
      <c r="M10422" t="s">
        <v>44014</v>
      </c>
      <c r="N10422" t="s">
        <v>44759</v>
      </c>
      <c r="O10422" t="s">
        <v>44760</v>
      </c>
      <c r="P10422">
        <v>0</v>
      </c>
      <c r="Q10422">
        <v>1</v>
      </c>
      <c r="R10422" t="s">
        <v>44772</v>
      </c>
      <c r="S10422" t="s">
        <v>45149</v>
      </c>
      <c r="T10422" t="s">
        <v>46370</v>
      </c>
      <c r="U10422" t="s">
        <v>55571</v>
      </c>
      <c r="W10422" t="s">
        <v>44014</v>
      </c>
      <c r="X10422" t="s">
        <v>44773</v>
      </c>
    </row>
    <row r="10423" spans="1:24">
      <c r="A10423">
        <f>HYPERLINK("https://www.philgeps.gov.ph/GEPSNONPILOT/Tender/SplashBidNoticeAbstractUI.aspx?menuIndex=3&amp;refID=7134499&amp;Result=3","7134499")</f>
        <v>0</v>
      </c>
      <c r="B10423" t="s">
        <v>629</v>
      </c>
      <c r="C10423" t="s">
        <v>13654</v>
      </c>
      <c r="D10423" t="s">
        <v>17992</v>
      </c>
      <c r="E10423" t="s">
        <v>27059</v>
      </c>
      <c r="F10423" t="s">
        <v>30900</v>
      </c>
      <c r="G10423" t="s">
        <v>30907</v>
      </c>
      <c r="H10423" t="s">
        <v>30915</v>
      </c>
      <c r="I10423" t="s">
        <v>30919</v>
      </c>
      <c r="J10423" t="s">
        <v>37537</v>
      </c>
      <c r="K10423" t="s">
        <v>40303</v>
      </c>
      <c r="M10423" t="s">
        <v>44017</v>
      </c>
      <c r="N10423" t="s">
        <v>44759</v>
      </c>
      <c r="O10423" t="s">
        <v>44760</v>
      </c>
      <c r="P10423">
        <v>0</v>
      </c>
      <c r="Q10423">
        <v>0</v>
      </c>
      <c r="R10423" t="s">
        <v>44772</v>
      </c>
      <c r="S10423" t="s">
        <v>45149</v>
      </c>
      <c r="T10423" t="s">
        <v>46531</v>
      </c>
      <c r="U10423" t="s">
        <v>55572</v>
      </c>
      <c r="V10423" t="s">
        <v>60267</v>
      </c>
      <c r="W10423" t="s">
        <v>44017</v>
      </c>
      <c r="X10423" t="s">
        <v>44773</v>
      </c>
    </row>
    <row r="10424" spans="1:24">
      <c r="A10424">
        <f>HYPERLINK("https://www.philgeps.gov.ph/GEPSNONPILOT/Tender/SplashBidNoticeAbstractUI.aspx?menuIndex=3&amp;refID=7134585&amp;Result=3","7134585")</f>
        <v>0</v>
      </c>
      <c r="B10424" t="s">
        <v>2010</v>
      </c>
      <c r="C10424" t="s">
        <v>13655</v>
      </c>
      <c r="D10424" t="s">
        <v>18009</v>
      </c>
      <c r="E10424" t="s">
        <v>27060</v>
      </c>
      <c r="F10424" t="s">
        <v>30900</v>
      </c>
      <c r="G10424" t="s">
        <v>30907</v>
      </c>
      <c r="H10424" t="s">
        <v>30916</v>
      </c>
      <c r="I10424" t="s">
        <v>8123</v>
      </c>
      <c r="J10424" t="s">
        <v>37538</v>
      </c>
      <c r="K10424" t="s">
        <v>40293</v>
      </c>
      <c r="M10424" t="s">
        <v>42705</v>
      </c>
      <c r="N10424" t="s">
        <v>44759</v>
      </c>
      <c r="O10424" t="s">
        <v>44760</v>
      </c>
      <c r="P10424">
        <v>0</v>
      </c>
      <c r="Q10424">
        <v>0</v>
      </c>
      <c r="R10424" t="s">
        <v>44772</v>
      </c>
      <c r="S10424" t="s">
        <v>45149</v>
      </c>
      <c r="T10424" t="s">
        <v>46394</v>
      </c>
      <c r="U10424" t="s">
        <v>55573</v>
      </c>
      <c r="W10424" t="s">
        <v>42705</v>
      </c>
      <c r="X10424" t="s">
        <v>44773</v>
      </c>
    </row>
    <row r="10425" spans="1:24">
      <c r="A10425">
        <f>HYPERLINK("https://www.philgeps.gov.ph/GEPSNONPILOT/Tender/SplashBidNoticeAbstractUI.aspx?menuIndex=3&amp;refID=7134195&amp;Result=3","7134195")</f>
        <v>0</v>
      </c>
      <c r="B10425" t="s">
        <v>515</v>
      </c>
      <c r="C10425" t="s">
        <v>13656</v>
      </c>
      <c r="D10425" t="s">
        <v>17966</v>
      </c>
      <c r="E10425" t="s">
        <v>27025</v>
      </c>
      <c r="F10425" t="s">
        <v>30900</v>
      </c>
      <c r="G10425" t="s">
        <v>30907</v>
      </c>
      <c r="H10425" t="s">
        <v>30916</v>
      </c>
      <c r="I10425" t="s">
        <v>30924</v>
      </c>
      <c r="J10425" t="s">
        <v>32153</v>
      </c>
      <c r="K10425" t="s">
        <v>40293</v>
      </c>
      <c r="M10425" t="s">
        <v>44008</v>
      </c>
      <c r="N10425" t="s">
        <v>44759</v>
      </c>
      <c r="O10425" t="s">
        <v>44760</v>
      </c>
      <c r="P10425">
        <v>0</v>
      </c>
      <c r="Q10425">
        <v>4</v>
      </c>
      <c r="R10425" t="s">
        <v>44772</v>
      </c>
      <c r="S10425" t="s">
        <v>45149</v>
      </c>
      <c r="T10425" t="s">
        <v>46488</v>
      </c>
      <c r="U10425" t="s">
        <v>55550</v>
      </c>
      <c r="V10425" t="s">
        <v>60268</v>
      </c>
      <c r="W10425" t="s">
        <v>44008</v>
      </c>
      <c r="X10425" t="s">
        <v>44773</v>
      </c>
    </row>
    <row r="10426" spans="1:24">
      <c r="A10426">
        <f>HYPERLINK("https://www.philgeps.gov.ph/GEPSNONPILOT/Tender/SplashBidNoticeAbstractUI.aspx?menuIndex=3&amp;refID=7134072&amp;Result=3","7134072")</f>
        <v>0</v>
      </c>
      <c r="B10426" t="s">
        <v>209</v>
      </c>
      <c r="C10426" t="s">
        <v>13657</v>
      </c>
      <c r="D10426" t="s">
        <v>17985</v>
      </c>
      <c r="E10426" t="s">
        <v>27061</v>
      </c>
      <c r="F10426" t="s">
        <v>30900</v>
      </c>
      <c r="G10426" t="s">
        <v>30907</v>
      </c>
      <c r="H10426" t="s">
        <v>30915</v>
      </c>
      <c r="I10426" t="s">
        <v>30919</v>
      </c>
      <c r="J10426" t="s">
        <v>31096</v>
      </c>
      <c r="K10426" t="s">
        <v>40291</v>
      </c>
      <c r="M10426" t="s">
        <v>40756</v>
      </c>
      <c r="N10426" t="s">
        <v>44759</v>
      </c>
      <c r="O10426" t="s">
        <v>44760</v>
      </c>
      <c r="P10426">
        <v>0</v>
      </c>
      <c r="Q10426">
        <v>0</v>
      </c>
      <c r="R10426" t="s">
        <v>44772</v>
      </c>
      <c r="S10426" t="s">
        <v>45149</v>
      </c>
      <c r="T10426" t="s">
        <v>46357</v>
      </c>
      <c r="U10426" t="s">
        <v>55574</v>
      </c>
      <c r="V10426" t="s">
        <v>59778</v>
      </c>
      <c r="W10426" t="s">
        <v>40756</v>
      </c>
      <c r="X10426" t="s">
        <v>44773</v>
      </c>
    </row>
    <row r="10427" spans="1:24">
      <c r="A10427">
        <f>HYPERLINK("https://www.philgeps.gov.ph/GEPSNONPILOT/Tender/SplashBidNoticeAbstractUI.aspx?menuIndex=3&amp;refID=7134556&amp;Result=3","7134556")</f>
        <v>0</v>
      </c>
      <c r="B10427" t="s">
        <v>424</v>
      </c>
      <c r="C10427" t="s">
        <v>8451</v>
      </c>
      <c r="D10427" t="s">
        <v>17955</v>
      </c>
      <c r="E10427" t="s">
        <v>27062</v>
      </c>
      <c r="F10427" t="s">
        <v>30900</v>
      </c>
      <c r="G10427" t="s">
        <v>30907</v>
      </c>
      <c r="H10427" t="s">
        <v>30916</v>
      </c>
      <c r="I10427" t="s">
        <v>4142</v>
      </c>
      <c r="J10427" t="s">
        <v>37539</v>
      </c>
      <c r="K10427" t="s">
        <v>40289</v>
      </c>
      <c r="M10427" t="s">
        <v>40981</v>
      </c>
      <c r="N10427" t="s">
        <v>44759</v>
      </c>
      <c r="O10427" t="s">
        <v>44760</v>
      </c>
      <c r="P10427">
        <v>0</v>
      </c>
      <c r="Q10427">
        <v>3</v>
      </c>
      <c r="R10427" t="s">
        <v>44772</v>
      </c>
      <c r="S10427" t="s">
        <v>45149</v>
      </c>
      <c r="T10427" t="s">
        <v>46515</v>
      </c>
      <c r="U10427" t="s">
        <v>55575</v>
      </c>
      <c r="W10427" t="s">
        <v>40981</v>
      </c>
      <c r="X10427" t="s">
        <v>44773</v>
      </c>
    </row>
    <row r="10428" spans="1:24">
      <c r="A10428">
        <f>HYPERLINK("https://www.philgeps.gov.ph/GEPSNONPILOT/Tender/SplashBidNoticeAbstractUI.aspx?menuIndex=3&amp;refID=7134530&amp;Result=3","7134530")</f>
        <v>0</v>
      </c>
      <c r="B10428" t="s">
        <v>629</v>
      </c>
      <c r="C10428" t="s">
        <v>13658</v>
      </c>
      <c r="D10428" t="s">
        <v>17992</v>
      </c>
      <c r="E10428" t="s">
        <v>27063</v>
      </c>
      <c r="F10428" t="s">
        <v>30900</v>
      </c>
      <c r="G10428" t="s">
        <v>30907</v>
      </c>
      <c r="H10428" t="s">
        <v>30915</v>
      </c>
      <c r="I10428" t="s">
        <v>30919</v>
      </c>
      <c r="J10428" t="s">
        <v>37540</v>
      </c>
      <c r="K10428" t="s">
        <v>40303</v>
      </c>
      <c r="M10428" t="s">
        <v>44017</v>
      </c>
      <c r="N10428" t="s">
        <v>44759</v>
      </c>
      <c r="O10428" t="s">
        <v>44760</v>
      </c>
      <c r="P10428">
        <v>0</v>
      </c>
      <c r="Q10428">
        <v>0</v>
      </c>
      <c r="R10428" t="s">
        <v>44772</v>
      </c>
      <c r="S10428" t="s">
        <v>45149</v>
      </c>
      <c r="T10428" t="s">
        <v>46531</v>
      </c>
      <c r="U10428" t="s">
        <v>55576</v>
      </c>
      <c r="V10428" t="s">
        <v>60269</v>
      </c>
      <c r="W10428" t="s">
        <v>44017</v>
      </c>
      <c r="X10428" t="s">
        <v>44773</v>
      </c>
    </row>
    <row r="10429" spans="1:24">
      <c r="A10429">
        <f>HYPERLINK("https://www.philgeps.gov.ph/GEPSNONPILOT/Tender/SplashBidNoticeAbstractUI.aspx?menuIndex=3&amp;refID=7134487&amp;Result=3","7134487")</f>
        <v>0</v>
      </c>
      <c r="B10429" t="s">
        <v>3186</v>
      </c>
      <c r="C10429" t="s">
        <v>13659</v>
      </c>
      <c r="D10429" t="s">
        <v>17978</v>
      </c>
      <c r="E10429" t="s">
        <v>27064</v>
      </c>
      <c r="F10429" t="s">
        <v>30900</v>
      </c>
      <c r="G10429" t="s">
        <v>30907</v>
      </c>
      <c r="H10429" t="s">
        <v>30916</v>
      </c>
      <c r="I10429" t="s">
        <v>17295</v>
      </c>
      <c r="J10429" t="s">
        <v>31701</v>
      </c>
      <c r="K10429" t="s">
        <v>40283</v>
      </c>
      <c r="M10429" t="s">
        <v>44018</v>
      </c>
      <c r="N10429" t="s">
        <v>44759</v>
      </c>
      <c r="O10429" t="s">
        <v>44760</v>
      </c>
      <c r="P10429">
        <v>0</v>
      </c>
      <c r="Q10429">
        <v>4</v>
      </c>
      <c r="R10429" t="s">
        <v>44772</v>
      </c>
      <c r="S10429" t="s">
        <v>45149</v>
      </c>
      <c r="T10429" t="s">
        <v>46504</v>
      </c>
      <c r="U10429" t="s">
        <v>55577</v>
      </c>
      <c r="W10429" t="s">
        <v>44018</v>
      </c>
      <c r="X10429" t="s">
        <v>44773</v>
      </c>
    </row>
    <row r="10430" spans="1:24">
      <c r="A10430">
        <f>HYPERLINK("https://www.philgeps.gov.ph/GEPSNONPILOT/Tender/SplashBidNoticeAbstractUI.aspx?menuIndex=3&amp;refID=7134475&amp;Result=3","7134475")</f>
        <v>0</v>
      </c>
      <c r="B10430" t="s">
        <v>1500</v>
      </c>
      <c r="C10430" t="s">
        <v>13660</v>
      </c>
      <c r="D10430" t="s">
        <v>17978</v>
      </c>
      <c r="E10430" t="s">
        <v>27065</v>
      </c>
      <c r="F10430" t="s">
        <v>30900</v>
      </c>
      <c r="G10430" t="s">
        <v>30907</v>
      </c>
      <c r="H10430" t="s">
        <v>30916</v>
      </c>
      <c r="I10430" t="s">
        <v>30921</v>
      </c>
      <c r="J10430" t="s">
        <v>31847</v>
      </c>
      <c r="K10430" t="s">
        <v>40283</v>
      </c>
      <c r="M10430" t="s">
        <v>43287</v>
      </c>
      <c r="N10430" t="s">
        <v>44759</v>
      </c>
      <c r="O10430" t="s">
        <v>44760</v>
      </c>
      <c r="P10430">
        <v>0</v>
      </c>
      <c r="Q10430">
        <v>5</v>
      </c>
      <c r="R10430" t="s">
        <v>44772</v>
      </c>
      <c r="S10430" t="s">
        <v>45149</v>
      </c>
      <c r="T10430" t="s">
        <v>46859</v>
      </c>
      <c r="U10430" t="s">
        <v>53334</v>
      </c>
      <c r="W10430" t="s">
        <v>43287</v>
      </c>
      <c r="X10430" t="s">
        <v>44773</v>
      </c>
    </row>
    <row r="10431" spans="1:24">
      <c r="A10431">
        <f>HYPERLINK("https://www.philgeps.gov.ph/GEPSNONPILOT/Tender/SplashBidNoticeAbstractUI.aspx?menuIndex=3&amp;refID=7134465&amp;Result=3","7134465")</f>
        <v>0</v>
      </c>
      <c r="B10431" t="s">
        <v>2151</v>
      </c>
      <c r="C10431" t="s">
        <v>13661</v>
      </c>
      <c r="D10431" t="s">
        <v>17959</v>
      </c>
      <c r="E10431" t="s">
        <v>27066</v>
      </c>
      <c r="F10431" t="s">
        <v>30900</v>
      </c>
      <c r="G10431" t="s">
        <v>30908</v>
      </c>
      <c r="H10431" t="s">
        <v>30916</v>
      </c>
      <c r="I10431" t="s">
        <v>6953</v>
      </c>
      <c r="J10431" t="s">
        <v>37541</v>
      </c>
      <c r="K10431" t="s">
        <v>40283</v>
      </c>
      <c r="M10431" t="s">
        <v>44019</v>
      </c>
      <c r="N10431" t="s">
        <v>44759</v>
      </c>
      <c r="O10431" t="s">
        <v>44760</v>
      </c>
      <c r="Q10431">
        <v>4</v>
      </c>
      <c r="R10431" t="s">
        <v>44772</v>
      </c>
      <c r="S10431" t="s">
        <v>45177</v>
      </c>
      <c r="T10431" t="s">
        <v>46533</v>
      </c>
      <c r="U10431" t="s">
        <v>55578</v>
      </c>
      <c r="V10431" t="s">
        <v>60270</v>
      </c>
      <c r="W10431" t="s">
        <v>44019</v>
      </c>
      <c r="X10431" t="s">
        <v>44773</v>
      </c>
    </row>
    <row r="10432" spans="1:24">
      <c r="A10432">
        <f>HYPERLINK("https://www.philgeps.gov.ph/GEPSNONPILOT/Tender/SplashBidNoticeAbstractUI.aspx?menuIndex=3&amp;refID=7134545&amp;Result=3","7134545")</f>
        <v>0</v>
      </c>
      <c r="B10432" t="s">
        <v>629</v>
      </c>
      <c r="C10432" t="s">
        <v>13662</v>
      </c>
      <c r="D10432" t="s">
        <v>17992</v>
      </c>
      <c r="E10432" t="s">
        <v>27067</v>
      </c>
      <c r="F10432" t="s">
        <v>30900</v>
      </c>
      <c r="G10432" t="s">
        <v>30907</v>
      </c>
      <c r="H10432" t="s">
        <v>30916</v>
      </c>
      <c r="I10432" t="s">
        <v>6953</v>
      </c>
      <c r="J10432" t="s">
        <v>37542</v>
      </c>
      <c r="K10432" t="s">
        <v>40283</v>
      </c>
      <c r="M10432" t="s">
        <v>41485</v>
      </c>
      <c r="N10432" t="s">
        <v>44759</v>
      </c>
      <c r="O10432" t="s">
        <v>44760</v>
      </c>
      <c r="P10432">
        <v>0</v>
      </c>
      <c r="Q10432">
        <v>0</v>
      </c>
      <c r="R10432" t="s">
        <v>44772</v>
      </c>
      <c r="S10432" t="s">
        <v>45149</v>
      </c>
      <c r="T10432" t="s">
        <v>46814</v>
      </c>
      <c r="U10432" t="s">
        <v>55579</v>
      </c>
      <c r="W10432" t="s">
        <v>41485</v>
      </c>
      <c r="X10432" t="s">
        <v>44773</v>
      </c>
    </row>
    <row r="10433" spans="1:24">
      <c r="A10433">
        <f>HYPERLINK("https://www.philgeps.gov.ph/GEPSNONPILOT/Tender/SplashBidNoticeAbstractUI.aspx?menuIndex=3&amp;refID=7134550&amp;Result=3","7134550")</f>
        <v>0</v>
      </c>
      <c r="B10433" t="s">
        <v>2088</v>
      </c>
      <c r="C10433" t="s">
        <v>13663</v>
      </c>
      <c r="D10433" t="s">
        <v>17978</v>
      </c>
      <c r="E10433" t="s">
        <v>27068</v>
      </c>
      <c r="F10433" t="s">
        <v>30900</v>
      </c>
      <c r="G10433" t="s">
        <v>30907</v>
      </c>
      <c r="H10433" t="s">
        <v>30915</v>
      </c>
      <c r="I10433" t="s">
        <v>30919</v>
      </c>
      <c r="J10433" t="s">
        <v>37543</v>
      </c>
      <c r="K10433" t="s">
        <v>40309</v>
      </c>
      <c r="M10433" t="s">
        <v>42787</v>
      </c>
      <c r="N10433" t="s">
        <v>44759</v>
      </c>
      <c r="O10433" t="s">
        <v>44760</v>
      </c>
      <c r="P10433">
        <v>0</v>
      </c>
      <c r="Q10433">
        <v>1</v>
      </c>
      <c r="R10433" t="s">
        <v>44772</v>
      </c>
      <c r="S10433" t="s">
        <v>45149</v>
      </c>
      <c r="T10433" t="s">
        <v>46353</v>
      </c>
      <c r="U10433" t="s">
        <v>55580</v>
      </c>
      <c r="V10433" t="s">
        <v>60271</v>
      </c>
      <c r="W10433" t="s">
        <v>60881</v>
      </c>
      <c r="X10433" t="s">
        <v>44773</v>
      </c>
    </row>
    <row r="10434" spans="1:24">
      <c r="A10434">
        <f>HYPERLINK("https://www.philgeps.gov.ph/GEPSNONPILOT/Tender/SplashBidNoticeAbstractUI.aspx?menuIndex=3&amp;refID=7134430&amp;Result=3","7134430")</f>
        <v>0</v>
      </c>
      <c r="B10434" t="s">
        <v>3184</v>
      </c>
      <c r="C10434" t="s">
        <v>13664</v>
      </c>
      <c r="D10434" t="s">
        <v>17980</v>
      </c>
      <c r="E10434" t="s">
        <v>27069</v>
      </c>
      <c r="F10434" t="s">
        <v>30900</v>
      </c>
      <c r="G10434" t="s">
        <v>30907</v>
      </c>
      <c r="H10434" t="s">
        <v>30916</v>
      </c>
      <c r="I10434" t="s">
        <v>30970</v>
      </c>
      <c r="J10434" t="s">
        <v>37544</v>
      </c>
      <c r="K10434" t="s">
        <v>40287</v>
      </c>
      <c r="M10434" t="s">
        <v>44015</v>
      </c>
      <c r="N10434" t="s">
        <v>44759</v>
      </c>
      <c r="O10434" t="s">
        <v>44760</v>
      </c>
      <c r="P10434">
        <v>0</v>
      </c>
      <c r="Q10434">
        <v>3</v>
      </c>
      <c r="R10434" t="s">
        <v>44772</v>
      </c>
      <c r="S10434" t="s">
        <v>45149</v>
      </c>
      <c r="T10434" t="s">
        <v>46397</v>
      </c>
      <c r="U10434" t="s">
        <v>55581</v>
      </c>
      <c r="V10434" t="s">
        <v>60265</v>
      </c>
      <c r="W10434" t="s">
        <v>44015</v>
      </c>
      <c r="X10434" t="s">
        <v>44773</v>
      </c>
    </row>
    <row r="10435" spans="1:24">
      <c r="A10435">
        <f>HYPERLINK("https://www.philgeps.gov.ph/GEPSNONPILOT/Tender/SplashBidNoticeAbstractUI.aspx?menuIndex=3&amp;refID=7134473&amp;Result=3","7134473")</f>
        <v>0</v>
      </c>
      <c r="B10435" t="s">
        <v>625</v>
      </c>
      <c r="C10435" t="s">
        <v>13665</v>
      </c>
      <c r="D10435" t="s">
        <v>17984</v>
      </c>
      <c r="E10435" t="s">
        <v>27070</v>
      </c>
      <c r="F10435" t="s">
        <v>30900</v>
      </c>
      <c r="G10435" t="s">
        <v>30907</v>
      </c>
      <c r="H10435" t="s">
        <v>30916</v>
      </c>
      <c r="I10435" t="s">
        <v>8123</v>
      </c>
      <c r="J10435" t="s">
        <v>37545</v>
      </c>
      <c r="K10435" t="s">
        <v>40286</v>
      </c>
      <c r="M10435" t="s">
        <v>41187</v>
      </c>
      <c r="N10435" t="s">
        <v>44759</v>
      </c>
      <c r="O10435" t="s">
        <v>44760</v>
      </c>
      <c r="P10435">
        <v>0</v>
      </c>
      <c r="Q10435">
        <v>0</v>
      </c>
      <c r="R10435" t="s">
        <v>44772</v>
      </c>
      <c r="S10435" t="s">
        <v>45149</v>
      </c>
      <c r="T10435" t="s">
        <v>46398</v>
      </c>
      <c r="U10435" t="s">
        <v>48168</v>
      </c>
      <c r="W10435" t="s">
        <v>41187</v>
      </c>
      <c r="X10435" t="s">
        <v>44773</v>
      </c>
    </row>
    <row r="10436" spans="1:24">
      <c r="A10436">
        <f>HYPERLINK("https://www.philgeps.gov.ph/GEPSNONPILOT/Tender/SplashBidNoticeAbstractUI.aspx?menuIndex=3&amp;refID=7134344&amp;Result=3","7134344")</f>
        <v>0</v>
      </c>
      <c r="B10436" t="s">
        <v>3149</v>
      </c>
      <c r="C10436" t="s">
        <v>13666</v>
      </c>
      <c r="E10436" t="s">
        <v>27071</v>
      </c>
      <c r="F10436" t="s">
        <v>30900</v>
      </c>
      <c r="G10436" t="s">
        <v>30907</v>
      </c>
      <c r="H10436" t="s">
        <v>30916</v>
      </c>
      <c r="I10436" t="s">
        <v>30933</v>
      </c>
      <c r="J10436" t="s">
        <v>31048</v>
      </c>
      <c r="K10436" t="s">
        <v>40287</v>
      </c>
      <c r="M10436" t="s">
        <v>43970</v>
      </c>
      <c r="N10436" t="s">
        <v>44759</v>
      </c>
      <c r="O10436" t="s">
        <v>44760</v>
      </c>
      <c r="P10436">
        <v>0</v>
      </c>
      <c r="Q10436">
        <v>0</v>
      </c>
      <c r="R10436" t="s">
        <v>44772</v>
      </c>
      <c r="S10436" t="s">
        <v>45149</v>
      </c>
      <c r="T10436" t="s">
        <v>46398</v>
      </c>
      <c r="U10436" t="s">
        <v>55582</v>
      </c>
      <c r="V10436" t="s">
        <v>60272</v>
      </c>
      <c r="W10436" t="s">
        <v>43970</v>
      </c>
      <c r="X10436" t="s">
        <v>44773</v>
      </c>
    </row>
    <row r="10437" spans="1:24">
      <c r="A10437">
        <f>HYPERLINK("https://www.philgeps.gov.ph/GEPSNONPILOT/Tender/SplashBidNoticeAbstractUI.aspx?menuIndex=3&amp;refID=7134462&amp;Result=3","7134462")</f>
        <v>0</v>
      </c>
      <c r="B10437" t="s">
        <v>3185</v>
      </c>
      <c r="C10437" t="s">
        <v>13667</v>
      </c>
      <c r="D10437" t="s">
        <v>17961</v>
      </c>
      <c r="E10437" t="s">
        <v>27072</v>
      </c>
      <c r="F10437" t="s">
        <v>30900</v>
      </c>
      <c r="G10437" t="s">
        <v>30907</v>
      </c>
      <c r="H10437" t="s">
        <v>30916</v>
      </c>
      <c r="I10437" t="s">
        <v>8123</v>
      </c>
      <c r="J10437" t="s">
        <v>33417</v>
      </c>
      <c r="K10437" t="s">
        <v>40284</v>
      </c>
      <c r="M10437" t="s">
        <v>44016</v>
      </c>
      <c r="N10437" t="s">
        <v>44759</v>
      </c>
      <c r="O10437" t="s">
        <v>44760</v>
      </c>
      <c r="P10437">
        <v>0</v>
      </c>
      <c r="Q10437">
        <v>0</v>
      </c>
      <c r="R10437" t="s">
        <v>44772</v>
      </c>
      <c r="S10437" t="s">
        <v>45149</v>
      </c>
      <c r="T10437" t="s">
        <v>46743</v>
      </c>
      <c r="U10437" t="s">
        <v>55583</v>
      </c>
      <c r="W10437" t="s">
        <v>44016</v>
      </c>
      <c r="X10437" t="s">
        <v>44773</v>
      </c>
    </row>
    <row r="10438" spans="1:24">
      <c r="A10438">
        <f>HYPERLINK("https://www.philgeps.gov.ph/GEPSNONPILOT/Tender/SplashBidNoticeAbstractUI.aspx?menuIndex=3&amp;refID=7134424&amp;Result=3","7134424")</f>
        <v>0</v>
      </c>
      <c r="B10438" t="s">
        <v>1937</v>
      </c>
      <c r="C10438" t="s">
        <v>13668</v>
      </c>
      <c r="D10438" t="s">
        <v>17961</v>
      </c>
      <c r="E10438" t="s">
        <v>27073</v>
      </c>
      <c r="F10438" t="s">
        <v>30900</v>
      </c>
      <c r="G10438" t="s">
        <v>30907</v>
      </c>
      <c r="H10438" t="s">
        <v>30915</v>
      </c>
      <c r="I10438" t="s">
        <v>30919</v>
      </c>
      <c r="J10438" t="s">
        <v>31391</v>
      </c>
      <c r="K10438" t="s">
        <v>40301</v>
      </c>
      <c r="M10438" t="s">
        <v>44014</v>
      </c>
      <c r="N10438" t="s">
        <v>44759</v>
      </c>
      <c r="O10438" t="s">
        <v>44760</v>
      </c>
      <c r="P10438">
        <v>0</v>
      </c>
      <c r="Q10438">
        <v>1</v>
      </c>
      <c r="R10438" t="s">
        <v>44772</v>
      </c>
      <c r="S10438" t="s">
        <v>45149</v>
      </c>
      <c r="T10438" t="s">
        <v>46370</v>
      </c>
      <c r="U10438" t="s">
        <v>55566</v>
      </c>
      <c r="W10438" t="s">
        <v>44014</v>
      </c>
      <c r="X10438" t="s">
        <v>44773</v>
      </c>
    </row>
    <row r="10439" spans="1:24">
      <c r="A10439">
        <f>HYPERLINK("https://www.philgeps.gov.ph/GEPSNONPILOT/Tender/SplashBidNoticeAbstractUI.aspx?menuIndex=3&amp;refID=7134574&amp;Result=3","7134574")</f>
        <v>0</v>
      </c>
      <c r="B10439" t="s">
        <v>629</v>
      </c>
      <c r="C10439" t="s">
        <v>13669</v>
      </c>
      <c r="D10439" t="s">
        <v>17992</v>
      </c>
      <c r="E10439" t="s">
        <v>27074</v>
      </c>
      <c r="F10439" t="s">
        <v>30900</v>
      </c>
      <c r="G10439" t="s">
        <v>30907</v>
      </c>
      <c r="H10439" t="s">
        <v>30915</v>
      </c>
      <c r="I10439" t="s">
        <v>30919</v>
      </c>
      <c r="J10439" t="s">
        <v>37546</v>
      </c>
      <c r="K10439" t="s">
        <v>40298</v>
      </c>
      <c r="M10439" t="s">
        <v>44017</v>
      </c>
      <c r="N10439" t="s">
        <v>44759</v>
      </c>
      <c r="O10439" t="s">
        <v>44760</v>
      </c>
      <c r="P10439">
        <v>0</v>
      </c>
      <c r="Q10439">
        <v>0</v>
      </c>
      <c r="R10439" t="s">
        <v>44772</v>
      </c>
      <c r="S10439" t="s">
        <v>45149</v>
      </c>
      <c r="T10439" t="s">
        <v>46531</v>
      </c>
      <c r="U10439" t="s">
        <v>55584</v>
      </c>
      <c r="V10439" t="s">
        <v>60273</v>
      </c>
      <c r="W10439" t="s">
        <v>44017</v>
      </c>
      <c r="X10439" t="s">
        <v>44773</v>
      </c>
    </row>
    <row r="10440" spans="1:24">
      <c r="A10440">
        <f>HYPERLINK("https://www.philgeps.gov.ph/GEPSNONPILOT/Tender/SplashBidNoticeAbstractUI.aspx?menuIndex=3&amp;refID=7134446&amp;Result=3","7134446")</f>
        <v>0</v>
      </c>
      <c r="B10440" t="s">
        <v>3187</v>
      </c>
      <c r="C10440" t="s">
        <v>13670</v>
      </c>
      <c r="D10440" t="s">
        <v>17959</v>
      </c>
      <c r="E10440" t="s">
        <v>27075</v>
      </c>
      <c r="F10440" t="s">
        <v>30900</v>
      </c>
      <c r="G10440" t="s">
        <v>30907</v>
      </c>
      <c r="H10440" t="s">
        <v>30916</v>
      </c>
      <c r="I10440" t="s">
        <v>30981</v>
      </c>
      <c r="J10440" t="s">
        <v>37547</v>
      </c>
      <c r="K10440" t="s">
        <v>40280</v>
      </c>
      <c r="M10440" t="s">
        <v>44020</v>
      </c>
      <c r="N10440" t="s">
        <v>44759</v>
      </c>
      <c r="O10440" t="s">
        <v>44760</v>
      </c>
      <c r="Q10440">
        <v>7</v>
      </c>
      <c r="R10440" t="s">
        <v>44772</v>
      </c>
      <c r="S10440" t="s">
        <v>45178</v>
      </c>
      <c r="T10440" t="s">
        <v>46455</v>
      </c>
      <c r="U10440" t="s">
        <v>55585</v>
      </c>
      <c r="W10440" t="s">
        <v>44020</v>
      </c>
      <c r="X10440" t="s">
        <v>44773</v>
      </c>
    </row>
    <row r="10441" spans="1:24">
      <c r="A10441">
        <f>HYPERLINK("https://www.philgeps.gov.ph/GEPSNONPILOT/Tender/SplashBidNoticeAbstractUI.aspx?menuIndex=3&amp;refID=7134075&amp;Result=3","7134075")</f>
        <v>0</v>
      </c>
      <c r="B10441" t="s">
        <v>2199</v>
      </c>
      <c r="C10441" t="s">
        <v>13671</v>
      </c>
      <c r="D10441" t="s">
        <v>17952</v>
      </c>
      <c r="E10441" t="s">
        <v>27076</v>
      </c>
      <c r="F10441" t="s">
        <v>30900</v>
      </c>
      <c r="G10441" t="s">
        <v>30907</v>
      </c>
      <c r="H10441" t="s">
        <v>30916</v>
      </c>
      <c r="I10441" t="s">
        <v>8123</v>
      </c>
      <c r="J10441" t="s">
        <v>37548</v>
      </c>
      <c r="K10441" t="s">
        <v>40284</v>
      </c>
      <c r="M10441" t="s">
        <v>42906</v>
      </c>
      <c r="N10441" t="s">
        <v>44759</v>
      </c>
      <c r="O10441" t="s">
        <v>44760</v>
      </c>
      <c r="P10441">
        <v>0</v>
      </c>
      <c r="Q10441">
        <v>1</v>
      </c>
      <c r="R10441" t="s">
        <v>44772</v>
      </c>
      <c r="S10441" t="s">
        <v>45149</v>
      </c>
      <c r="T10441" t="s">
        <v>46694</v>
      </c>
      <c r="U10441" t="s">
        <v>55586</v>
      </c>
      <c r="V10441" t="s">
        <v>59226</v>
      </c>
      <c r="W10441" t="s">
        <v>42906</v>
      </c>
      <c r="X10441" t="s">
        <v>44773</v>
      </c>
    </row>
    <row r="10442" spans="1:24">
      <c r="A10442">
        <f>HYPERLINK("https://www.philgeps.gov.ph/GEPSNONPILOT/Tender/SplashBidNoticeAbstractUI.aspx?menuIndex=3&amp;refID=7134150&amp;Result=3","7134150")</f>
        <v>0</v>
      </c>
      <c r="B10442" t="s">
        <v>1414</v>
      </c>
      <c r="C10442" t="s">
        <v>13672</v>
      </c>
      <c r="D10442" t="s">
        <v>17977</v>
      </c>
      <c r="E10442" t="s">
        <v>27077</v>
      </c>
      <c r="F10442" t="s">
        <v>30900</v>
      </c>
      <c r="G10442" t="s">
        <v>30909</v>
      </c>
      <c r="H10442" t="s">
        <v>30916</v>
      </c>
      <c r="I10442" t="s">
        <v>31013</v>
      </c>
      <c r="J10442" t="s">
        <v>35266</v>
      </c>
      <c r="K10442" t="s">
        <v>40286</v>
      </c>
      <c r="M10442" t="s">
        <v>42043</v>
      </c>
      <c r="N10442" t="s">
        <v>44759</v>
      </c>
      <c r="O10442" t="s">
        <v>44760</v>
      </c>
      <c r="Q10442">
        <v>1</v>
      </c>
      <c r="R10442" t="s">
        <v>44772</v>
      </c>
      <c r="S10442" t="s">
        <v>45179</v>
      </c>
      <c r="T10442" t="s">
        <v>46391</v>
      </c>
      <c r="U10442" t="s">
        <v>49834</v>
      </c>
      <c r="W10442" t="s">
        <v>42043</v>
      </c>
      <c r="X10442" t="s">
        <v>44773</v>
      </c>
    </row>
    <row r="10443" spans="1:24">
      <c r="A10443">
        <f>HYPERLINK("https://www.philgeps.gov.ph/GEPSNONPILOT/Tender/SplashBidNoticeAbstractUI.aspx?menuIndex=3&amp;refID=7134597&amp;Result=3","7134597")</f>
        <v>0</v>
      </c>
      <c r="B10443" t="s">
        <v>785</v>
      </c>
      <c r="C10443" t="s">
        <v>13673</v>
      </c>
      <c r="D10443" t="s">
        <v>17984</v>
      </c>
      <c r="E10443" t="s">
        <v>27078</v>
      </c>
      <c r="F10443" t="s">
        <v>30900</v>
      </c>
      <c r="G10443" t="s">
        <v>30907</v>
      </c>
      <c r="H10443" t="s">
        <v>30916</v>
      </c>
      <c r="I10443" t="s">
        <v>30933</v>
      </c>
      <c r="J10443" t="s">
        <v>32130</v>
      </c>
      <c r="K10443" t="s">
        <v>40293</v>
      </c>
      <c r="M10443" t="s">
        <v>41354</v>
      </c>
      <c r="N10443" t="s">
        <v>44759</v>
      </c>
      <c r="O10443" t="s">
        <v>44760</v>
      </c>
      <c r="P10443">
        <v>0</v>
      </c>
      <c r="Q10443">
        <v>4</v>
      </c>
      <c r="R10443" t="s">
        <v>44772</v>
      </c>
      <c r="S10443" t="s">
        <v>45149</v>
      </c>
      <c r="T10443" t="s">
        <v>46488</v>
      </c>
      <c r="U10443" t="s">
        <v>55587</v>
      </c>
      <c r="W10443" t="s">
        <v>41354</v>
      </c>
      <c r="X10443" t="s">
        <v>44773</v>
      </c>
    </row>
    <row r="10444" spans="1:24">
      <c r="A10444">
        <f>HYPERLINK("https://www.philgeps.gov.ph/GEPSNONPILOT/Tender/SplashBidNoticeAbstractUI.aspx?menuIndex=3&amp;refID=7134697&amp;Result=3","7134697")</f>
        <v>0</v>
      </c>
      <c r="B10444" t="s">
        <v>424</v>
      </c>
      <c r="C10444" t="s">
        <v>13674</v>
      </c>
      <c r="D10444" t="s">
        <v>17955</v>
      </c>
      <c r="E10444" t="s">
        <v>27079</v>
      </c>
      <c r="F10444" t="s">
        <v>30900</v>
      </c>
      <c r="G10444" t="s">
        <v>30907</v>
      </c>
      <c r="H10444" t="s">
        <v>30916</v>
      </c>
      <c r="I10444" t="s">
        <v>30931</v>
      </c>
      <c r="J10444" t="s">
        <v>37549</v>
      </c>
      <c r="K10444" t="s">
        <v>40289</v>
      </c>
      <c r="M10444" t="s">
        <v>40981</v>
      </c>
      <c r="N10444" t="s">
        <v>44759</v>
      </c>
      <c r="O10444" t="s">
        <v>44760</v>
      </c>
      <c r="P10444">
        <v>0</v>
      </c>
      <c r="Q10444">
        <v>7</v>
      </c>
      <c r="R10444" t="s">
        <v>44772</v>
      </c>
      <c r="S10444" t="s">
        <v>45149</v>
      </c>
      <c r="T10444" t="s">
        <v>46515</v>
      </c>
      <c r="U10444" t="s">
        <v>55588</v>
      </c>
      <c r="W10444" t="s">
        <v>40981</v>
      </c>
      <c r="X10444" t="s">
        <v>44773</v>
      </c>
    </row>
    <row r="10445" spans="1:24">
      <c r="A10445">
        <f>HYPERLINK("https://www.philgeps.gov.ph/GEPSNONPILOT/Tender/SplashBidNoticeAbstractUI.aspx?menuIndex=3&amp;refID=7134659&amp;Result=3","7134659")</f>
        <v>0</v>
      </c>
      <c r="B10445" t="s">
        <v>1937</v>
      </c>
      <c r="C10445" t="s">
        <v>13675</v>
      </c>
      <c r="D10445" t="s">
        <v>17961</v>
      </c>
      <c r="E10445" t="s">
        <v>27080</v>
      </c>
      <c r="F10445" t="s">
        <v>30900</v>
      </c>
      <c r="G10445" t="s">
        <v>30907</v>
      </c>
      <c r="H10445" t="s">
        <v>30915</v>
      </c>
      <c r="I10445" t="s">
        <v>30919</v>
      </c>
      <c r="J10445" t="s">
        <v>37550</v>
      </c>
      <c r="K10445" t="s">
        <v>40312</v>
      </c>
      <c r="M10445" t="s">
        <v>44014</v>
      </c>
      <c r="N10445" t="s">
        <v>44759</v>
      </c>
      <c r="O10445" t="s">
        <v>44760</v>
      </c>
      <c r="P10445">
        <v>0</v>
      </c>
      <c r="Q10445">
        <v>0</v>
      </c>
      <c r="R10445" t="s">
        <v>44772</v>
      </c>
      <c r="S10445" t="s">
        <v>45149</v>
      </c>
      <c r="T10445" t="s">
        <v>46370</v>
      </c>
      <c r="U10445" t="s">
        <v>55566</v>
      </c>
      <c r="W10445" t="s">
        <v>44014</v>
      </c>
      <c r="X10445" t="s">
        <v>44773</v>
      </c>
    </row>
    <row r="10446" spans="1:24">
      <c r="A10446">
        <f>HYPERLINK("https://www.philgeps.gov.ph/GEPSNONPILOT/Tender/SplashBidNoticeAbstractUI.aspx?menuIndex=3&amp;refID=7134678&amp;Result=3","7134678")</f>
        <v>0</v>
      </c>
      <c r="B10446" t="s">
        <v>2668</v>
      </c>
      <c r="C10446" t="s">
        <v>13676</v>
      </c>
      <c r="D10446" t="s">
        <v>17954</v>
      </c>
      <c r="E10446" t="s">
        <v>27081</v>
      </c>
      <c r="F10446" t="s">
        <v>30900</v>
      </c>
      <c r="G10446" t="s">
        <v>30907</v>
      </c>
      <c r="H10446" t="s">
        <v>30915</v>
      </c>
      <c r="I10446" t="s">
        <v>30919</v>
      </c>
      <c r="J10446" t="s">
        <v>37551</v>
      </c>
      <c r="K10446" t="s">
        <v>40439</v>
      </c>
      <c r="M10446" t="s">
        <v>44021</v>
      </c>
      <c r="N10446" t="s">
        <v>44759</v>
      </c>
      <c r="O10446" t="s">
        <v>44760</v>
      </c>
      <c r="P10446">
        <v>0</v>
      </c>
      <c r="Q10446">
        <v>2</v>
      </c>
      <c r="R10446" t="s">
        <v>44772</v>
      </c>
      <c r="S10446" t="s">
        <v>45149</v>
      </c>
      <c r="T10446" t="s">
        <v>46406</v>
      </c>
      <c r="U10446" t="s">
        <v>55589</v>
      </c>
      <c r="W10446" t="s">
        <v>44021</v>
      </c>
      <c r="X10446" t="s">
        <v>44773</v>
      </c>
    </row>
    <row r="10447" spans="1:24">
      <c r="A10447">
        <f>HYPERLINK("https://www.philgeps.gov.ph/GEPSNONPILOT/Tender/SplashBidNoticeAbstractUI.aspx?menuIndex=3&amp;refID=7134598&amp;Result=3","7134598")</f>
        <v>0</v>
      </c>
      <c r="B10447" t="s">
        <v>3188</v>
      </c>
      <c r="C10447" t="s">
        <v>13677</v>
      </c>
      <c r="D10447" t="s">
        <v>18020</v>
      </c>
      <c r="E10447" t="s">
        <v>27082</v>
      </c>
      <c r="F10447" t="s">
        <v>30900</v>
      </c>
      <c r="G10447" t="s">
        <v>30907</v>
      </c>
      <c r="H10447" t="s">
        <v>30916</v>
      </c>
      <c r="I10447" t="s">
        <v>6396</v>
      </c>
      <c r="J10447" t="s">
        <v>37552</v>
      </c>
      <c r="K10447" t="s">
        <v>40284</v>
      </c>
      <c r="M10447" t="s">
        <v>44022</v>
      </c>
      <c r="N10447" t="s">
        <v>44759</v>
      </c>
      <c r="O10447" t="s">
        <v>44760</v>
      </c>
      <c r="P10447">
        <v>0</v>
      </c>
      <c r="Q10447">
        <v>6</v>
      </c>
      <c r="R10447" t="s">
        <v>44772</v>
      </c>
      <c r="S10447" t="s">
        <v>45149</v>
      </c>
      <c r="T10447" t="s">
        <v>46383</v>
      </c>
      <c r="U10447" t="s">
        <v>50666</v>
      </c>
      <c r="W10447" t="s">
        <v>60920</v>
      </c>
      <c r="X10447" t="s">
        <v>44773</v>
      </c>
    </row>
    <row r="10448" spans="1:24">
      <c r="A10448">
        <f>HYPERLINK("https://www.philgeps.gov.ph/GEPSNONPILOT/Tender/SplashBidNoticeAbstractUI.aspx?menuIndex=3&amp;refID=7134666&amp;Result=3","7134666")</f>
        <v>0</v>
      </c>
      <c r="B10448" t="s">
        <v>629</v>
      </c>
      <c r="C10448" t="s">
        <v>13678</v>
      </c>
      <c r="D10448" t="s">
        <v>17992</v>
      </c>
      <c r="E10448" t="s">
        <v>27083</v>
      </c>
      <c r="F10448" t="s">
        <v>30900</v>
      </c>
      <c r="G10448" t="s">
        <v>30907</v>
      </c>
      <c r="H10448" t="s">
        <v>30915</v>
      </c>
      <c r="I10448" t="s">
        <v>30919</v>
      </c>
      <c r="J10448" t="s">
        <v>37553</v>
      </c>
      <c r="K10448" t="s">
        <v>40284</v>
      </c>
      <c r="M10448" t="s">
        <v>44017</v>
      </c>
      <c r="N10448" t="s">
        <v>44759</v>
      </c>
      <c r="O10448" t="s">
        <v>44760</v>
      </c>
      <c r="P10448">
        <v>0</v>
      </c>
      <c r="Q10448">
        <v>0</v>
      </c>
      <c r="R10448" t="s">
        <v>44772</v>
      </c>
      <c r="S10448" t="s">
        <v>45149</v>
      </c>
      <c r="T10448" t="s">
        <v>46531</v>
      </c>
      <c r="U10448" t="s">
        <v>55590</v>
      </c>
      <c r="V10448" t="s">
        <v>60274</v>
      </c>
      <c r="W10448" t="s">
        <v>44017</v>
      </c>
      <c r="X10448" t="s">
        <v>44773</v>
      </c>
    </row>
    <row r="10449" spans="1:24">
      <c r="A10449">
        <f>HYPERLINK("https://www.philgeps.gov.ph/GEPSNONPILOT/Tender/SplashBidNoticeAbstractUI.aspx?menuIndex=3&amp;refID=7134642&amp;Result=3","7134642")</f>
        <v>0</v>
      </c>
      <c r="B10449" t="s">
        <v>629</v>
      </c>
      <c r="C10449" t="s">
        <v>13679</v>
      </c>
      <c r="D10449" t="s">
        <v>17992</v>
      </c>
      <c r="E10449" t="s">
        <v>27084</v>
      </c>
      <c r="F10449" t="s">
        <v>30900</v>
      </c>
      <c r="G10449" t="s">
        <v>30907</v>
      </c>
      <c r="H10449" t="s">
        <v>30916</v>
      </c>
      <c r="I10449" t="s">
        <v>30961</v>
      </c>
      <c r="J10449" t="s">
        <v>37554</v>
      </c>
      <c r="K10449" t="s">
        <v>40283</v>
      </c>
      <c r="M10449" t="s">
        <v>41485</v>
      </c>
      <c r="N10449" t="s">
        <v>44759</v>
      </c>
      <c r="O10449" t="s">
        <v>44760</v>
      </c>
      <c r="P10449">
        <v>0</v>
      </c>
      <c r="Q10449">
        <v>2</v>
      </c>
      <c r="R10449" t="s">
        <v>44772</v>
      </c>
      <c r="S10449" t="s">
        <v>45149</v>
      </c>
      <c r="T10449" t="s">
        <v>46814</v>
      </c>
      <c r="U10449" t="s">
        <v>55591</v>
      </c>
      <c r="W10449" t="s">
        <v>41485</v>
      </c>
      <c r="X10449" t="s">
        <v>44773</v>
      </c>
    </row>
    <row r="10450" spans="1:24">
      <c r="A10450">
        <f>HYPERLINK("https://www.philgeps.gov.ph/GEPSNONPILOT/Tender/SplashBidNoticeAbstractUI.aspx?menuIndex=3&amp;refID=7134633&amp;Result=3","7134633")</f>
        <v>0</v>
      </c>
      <c r="B10450" t="s">
        <v>1500</v>
      </c>
      <c r="C10450" t="s">
        <v>13680</v>
      </c>
      <c r="D10450" t="s">
        <v>17978</v>
      </c>
      <c r="E10450" t="s">
        <v>27085</v>
      </c>
      <c r="F10450" t="s">
        <v>30900</v>
      </c>
      <c r="G10450" t="s">
        <v>30907</v>
      </c>
      <c r="H10450" t="s">
        <v>30916</v>
      </c>
      <c r="I10450" t="s">
        <v>30984</v>
      </c>
      <c r="J10450" t="s">
        <v>37555</v>
      </c>
      <c r="K10450" t="s">
        <v>40283</v>
      </c>
      <c r="M10450" t="s">
        <v>43287</v>
      </c>
      <c r="N10450" t="s">
        <v>44759</v>
      </c>
      <c r="O10450" t="s">
        <v>44760</v>
      </c>
      <c r="P10450">
        <v>0</v>
      </c>
      <c r="Q10450">
        <v>2</v>
      </c>
      <c r="R10450" t="s">
        <v>44772</v>
      </c>
      <c r="S10450" t="s">
        <v>45149</v>
      </c>
      <c r="T10450" t="s">
        <v>46859</v>
      </c>
      <c r="U10450" t="s">
        <v>53334</v>
      </c>
      <c r="V10450" t="s">
        <v>60275</v>
      </c>
      <c r="W10450" t="s">
        <v>43287</v>
      </c>
      <c r="X10450" t="s">
        <v>44773</v>
      </c>
    </row>
    <row r="10451" spans="1:24">
      <c r="A10451">
        <f>HYPERLINK("https://www.philgeps.gov.ph/GEPSNONPILOT/Tender/SplashBidNoticeAbstractUI.aspx?menuIndex=3&amp;refID=7134654&amp;Result=3","7134654")</f>
        <v>0</v>
      </c>
      <c r="B10451" t="s">
        <v>2970</v>
      </c>
      <c r="C10451" t="s">
        <v>13681</v>
      </c>
      <c r="D10451" t="s">
        <v>17956</v>
      </c>
      <c r="E10451" t="s">
        <v>27086</v>
      </c>
      <c r="F10451" t="s">
        <v>30900</v>
      </c>
      <c r="G10451" t="s">
        <v>30907</v>
      </c>
      <c r="H10451" t="s">
        <v>30916</v>
      </c>
      <c r="I10451" t="s">
        <v>9385</v>
      </c>
      <c r="J10451" t="s">
        <v>37556</v>
      </c>
      <c r="K10451" t="s">
        <v>40280</v>
      </c>
      <c r="M10451" t="s">
        <v>43771</v>
      </c>
      <c r="N10451" t="s">
        <v>44759</v>
      </c>
      <c r="O10451" t="s">
        <v>44760</v>
      </c>
      <c r="P10451">
        <v>0</v>
      </c>
      <c r="Q10451">
        <v>41</v>
      </c>
      <c r="R10451" t="s">
        <v>44772</v>
      </c>
      <c r="S10451" t="s">
        <v>45149</v>
      </c>
      <c r="T10451" t="s">
        <v>46411</v>
      </c>
      <c r="U10451" t="s">
        <v>50081</v>
      </c>
      <c r="W10451" t="s">
        <v>43771</v>
      </c>
      <c r="X10451" t="s">
        <v>44773</v>
      </c>
    </row>
    <row r="10452" spans="1:24">
      <c r="A10452">
        <f>HYPERLINK("https://www.philgeps.gov.ph/GEPSNONPILOT/Tender/SplashBidNoticeAbstractUI.aspx?menuIndex=3&amp;refID=7134738&amp;Result=3","7134738")</f>
        <v>0</v>
      </c>
      <c r="B10452" t="s">
        <v>629</v>
      </c>
      <c r="C10452" t="s">
        <v>13682</v>
      </c>
      <c r="D10452" t="s">
        <v>17992</v>
      </c>
      <c r="E10452" t="s">
        <v>27087</v>
      </c>
      <c r="F10452" t="s">
        <v>30900</v>
      </c>
      <c r="G10452" t="s">
        <v>30907</v>
      </c>
      <c r="H10452" t="s">
        <v>30915</v>
      </c>
      <c r="I10452" t="s">
        <v>30919</v>
      </c>
      <c r="J10452" t="s">
        <v>37557</v>
      </c>
      <c r="K10452" t="s">
        <v>40287</v>
      </c>
      <c r="M10452" t="s">
        <v>44017</v>
      </c>
      <c r="N10452" t="s">
        <v>44759</v>
      </c>
      <c r="O10452" t="s">
        <v>44760</v>
      </c>
      <c r="P10452">
        <v>0</v>
      </c>
      <c r="Q10452">
        <v>0</v>
      </c>
      <c r="R10452" t="s">
        <v>44772</v>
      </c>
      <c r="S10452" t="s">
        <v>45149</v>
      </c>
      <c r="T10452" t="s">
        <v>46531</v>
      </c>
      <c r="U10452" t="s">
        <v>55592</v>
      </c>
      <c r="V10452" t="s">
        <v>60276</v>
      </c>
      <c r="W10452" t="s">
        <v>44017</v>
      </c>
      <c r="X10452" t="s">
        <v>44773</v>
      </c>
    </row>
    <row r="10453" spans="1:24">
      <c r="A10453">
        <f>HYPERLINK("https://www.philgeps.gov.ph/GEPSNONPILOT/Tender/SplashBidNoticeAbstractUI.aspx?menuIndex=3&amp;refID=7134685&amp;Result=3","7134685")</f>
        <v>0</v>
      </c>
      <c r="B10453" t="s">
        <v>3186</v>
      </c>
      <c r="C10453" t="s">
        <v>13683</v>
      </c>
      <c r="D10453" t="s">
        <v>17978</v>
      </c>
      <c r="E10453" t="s">
        <v>27088</v>
      </c>
      <c r="F10453" t="s">
        <v>30900</v>
      </c>
      <c r="G10453" t="s">
        <v>30907</v>
      </c>
      <c r="H10453" t="s">
        <v>30916</v>
      </c>
      <c r="I10453" t="s">
        <v>5501</v>
      </c>
      <c r="J10453" t="s">
        <v>37558</v>
      </c>
      <c r="K10453" t="s">
        <v>40283</v>
      </c>
      <c r="M10453" t="s">
        <v>44018</v>
      </c>
      <c r="N10453" t="s">
        <v>44759</v>
      </c>
      <c r="O10453" t="s">
        <v>44760</v>
      </c>
      <c r="P10453">
        <v>0</v>
      </c>
      <c r="Q10453">
        <v>8</v>
      </c>
      <c r="R10453" t="s">
        <v>44772</v>
      </c>
      <c r="S10453" t="s">
        <v>45149</v>
      </c>
      <c r="T10453" t="s">
        <v>46370</v>
      </c>
      <c r="U10453" t="s">
        <v>55593</v>
      </c>
      <c r="W10453" t="s">
        <v>44018</v>
      </c>
      <c r="X10453" t="s">
        <v>44773</v>
      </c>
    </row>
    <row r="10454" spans="1:24">
      <c r="A10454">
        <f>HYPERLINK("https://www.philgeps.gov.ph/GEPSNONPILOT/Tender/SplashBidNoticeAbstractUI.aspx?menuIndex=3&amp;refID=7134618&amp;Result=3","7134618")</f>
        <v>0</v>
      </c>
      <c r="B10454" t="s">
        <v>629</v>
      </c>
      <c r="C10454" t="s">
        <v>13684</v>
      </c>
      <c r="D10454" t="s">
        <v>17992</v>
      </c>
      <c r="E10454" t="s">
        <v>27089</v>
      </c>
      <c r="F10454" t="s">
        <v>30900</v>
      </c>
      <c r="G10454" t="s">
        <v>30907</v>
      </c>
      <c r="H10454" t="s">
        <v>30915</v>
      </c>
      <c r="I10454" t="s">
        <v>30919</v>
      </c>
      <c r="J10454" t="s">
        <v>37559</v>
      </c>
      <c r="K10454" t="s">
        <v>40316</v>
      </c>
      <c r="M10454" t="s">
        <v>44017</v>
      </c>
      <c r="N10454" t="s">
        <v>44759</v>
      </c>
      <c r="O10454" t="s">
        <v>44760</v>
      </c>
      <c r="P10454">
        <v>0</v>
      </c>
      <c r="Q10454">
        <v>0</v>
      </c>
      <c r="R10454" t="s">
        <v>44772</v>
      </c>
      <c r="S10454" t="s">
        <v>45149</v>
      </c>
      <c r="T10454" t="s">
        <v>46374</v>
      </c>
      <c r="U10454" t="s">
        <v>55594</v>
      </c>
      <c r="V10454" t="s">
        <v>60277</v>
      </c>
      <c r="W10454" t="s">
        <v>44017</v>
      </c>
      <c r="X10454" t="s">
        <v>44773</v>
      </c>
    </row>
    <row r="10455" spans="1:24">
      <c r="A10455">
        <f>HYPERLINK("https://www.philgeps.gov.ph/GEPSNONPILOT/Tender/SplashBidNoticeAbstractUI.aspx?menuIndex=3&amp;refID=7134721&amp;Result=3","7134721")</f>
        <v>0</v>
      </c>
      <c r="B10455" t="s">
        <v>778</v>
      </c>
      <c r="C10455" t="s">
        <v>13685</v>
      </c>
      <c r="D10455" t="s">
        <v>17993</v>
      </c>
      <c r="E10455" t="s">
        <v>27090</v>
      </c>
      <c r="F10455" t="s">
        <v>30900</v>
      </c>
      <c r="G10455" t="s">
        <v>30907</v>
      </c>
      <c r="H10455" t="s">
        <v>30915</v>
      </c>
      <c r="I10455" t="s">
        <v>30919</v>
      </c>
      <c r="J10455" t="s">
        <v>31069</v>
      </c>
      <c r="K10455" t="s">
        <v>40342</v>
      </c>
      <c r="M10455" t="s">
        <v>41347</v>
      </c>
      <c r="N10455" t="s">
        <v>44759</v>
      </c>
      <c r="O10455" t="s">
        <v>44760</v>
      </c>
      <c r="Q10455">
        <v>2</v>
      </c>
      <c r="R10455" t="s">
        <v>44772</v>
      </c>
      <c r="S10455" t="s">
        <v>45180</v>
      </c>
      <c r="T10455" t="s">
        <v>46428</v>
      </c>
      <c r="U10455" t="s">
        <v>55595</v>
      </c>
      <c r="V10455" t="s">
        <v>60278</v>
      </c>
      <c r="W10455" t="s">
        <v>41347</v>
      </c>
      <c r="X10455" t="s">
        <v>44773</v>
      </c>
    </row>
    <row r="10456" spans="1:24">
      <c r="A10456">
        <f>HYPERLINK("https://www.philgeps.gov.ph/GEPSNONPILOT/Tender/SplashBidNoticeAbstractUI.aspx?menuIndex=3&amp;refID=7134599&amp;Result=3","7134599")</f>
        <v>0</v>
      </c>
      <c r="B10456" t="s">
        <v>2970</v>
      </c>
      <c r="C10456" t="s">
        <v>13686</v>
      </c>
      <c r="D10456" t="s">
        <v>17956</v>
      </c>
      <c r="E10456" t="s">
        <v>27091</v>
      </c>
      <c r="F10456" t="s">
        <v>30900</v>
      </c>
      <c r="G10456" t="s">
        <v>30907</v>
      </c>
      <c r="H10456" t="s">
        <v>30916</v>
      </c>
      <c r="I10456" t="s">
        <v>10961</v>
      </c>
      <c r="J10456" t="s">
        <v>37560</v>
      </c>
      <c r="K10456" t="s">
        <v>40280</v>
      </c>
      <c r="M10456" t="s">
        <v>43771</v>
      </c>
      <c r="N10456" t="s">
        <v>44759</v>
      </c>
      <c r="O10456" t="s">
        <v>44760</v>
      </c>
      <c r="P10456">
        <v>0</v>
      </c>
      <c r="Q10456">
        <v>7</v>
      </c>
      <c r="R10456" t="s">
        <v>44772</v>
      </c>
      <c r="S10456" t="s">
        <v>45149</v>
      </c>
      <c r="T10456" t="s">
        <v>46411</v>
      </c>
      <c r="U10456" t="s">
        <v>50057</v>
      </c>
      <c r="W10456" t="s">
        <v>43771</v>
      </c>
      <c r="X10456" t="s">
        <v>44773</v>
      </c>
    </row>
    <row r="10457" spans="1:24">
      <c r="A10457">
        <f>HYPERLINK("https://www.philgeps.gov.ph/GEPSNONPILOT/Tender/SplashBidNoticeAbstractUI.aspx?menuIndex=3&amp;refID=7134745&amp;Result=3","7134745")</f>
        <v>0</v>
      </c>
      <c r="B10457" t="s">
        <v>2970</v>
      </c>
      <c r="C10457" t="s">
        <v>13687</v>
      </c>
      <c r="D10457" t="s">
        <v>17956</v>
      </c>
      <c r="E10457" t="s">
        <v>27092</v>
      </c>
      <c r="F10457" t="s">
        <v>30900</v>
      </c>
      <c r="G10457" t="s">
        <v>30907</v>
      </c>
      <c r="H10457" t="s">
        <v>30916</v>
      </c>
      <c r="I10457" t="s">
        <v>30924</v>
      </c>
      <c r="J10457" t="s">
        <v>37561</v>
      </c>
      <c r="K10457" t="s">
        <v>40280</v>
      </c>
      <c r="M10457" t="s">
        <v>43771</v>
      </c>
      <c r="N10457" t="s">
        <v>44759</v>
      </c>
      <c r="O10457" t="s">
        <v>44760</v>
      </c>
      <c r="P10457">
        <v>0</v>
      </c>
      <c r="Q10457">
        <v>9</v>
      </c>
      <c r="R10457" t="s">
        <v>44772</v>
      </c>
      <c r="S10457" t="s">
        <v>45149</v>
      </c>
      <c r="T10457" t="s">
        <v>46411</v>
      </c>
      <c r="U10457" t="s">
        <v>50081</v>
      </c>
      <c r="W10457" t="s">
        <v>43771</v>
      </c>
      <c r="X10457" t="s">
        <v>44773</v>
      </c>
    </row>
    <row r="10458" spans="1:24">
      <c r="A10458">
        <f>HYPERLINK("https://www.philgeps.gov.ph/GEPSNONPILOT/Tender/SplashBidNoticeAbstractUI.aspx?menuIndex=3&amp;refID=7134710&amp;Result=3","7134710")</f>
        <v>0</v>
      </c>
      <c r="B10458" t="s">
        <v>629</v>
      </c>
      <c r="C10458" t="s">
        <v>13688</v>
      </c>
      <c r="D10458" t="s">
        <v>17992</v>
      </c>
      <c r="E10458" t="s">
        <v>27093</v>
      </c>
      <c r="F10458" t="s">
        <v>30900</v>
      </c>
      <c r="G10458" t="s">
        <v>30907</v>
      </c>
      <c r="H10458" t="s">
        <v>30915</v>
      </c>
      <c r="I10458" t="s">
        <v>30919</v>
      </c>
      <c r="J10458" t="s">
        <v>37562</v>
      </c>
      <c r="K10458" t="s">
        <v>40317</v>
      </c>
      <c r="M10458" t="s">
        <v>44017</v>
      </c>
      <c r="N10458" t="s">
        <v>44759</v>
      </c>
      <c r="O10458" t="s">
        <v>44760</v>
      </c>
      <c r="P10458">
        <v>0</v>
      </c>
      <c r="Q10458">
        <v>0</v>
      </c>
      <c r="R10458" t="s">
        <v>44772</v>
      </c>
      <c r="S10458" t="s">
        <v>45149</v>
      </c>
      <c r="T10458" t="s">
        <v>46531</v>
      </c>
      <c r="U10458" t="s">
        <v>55596</v>
      </c>
      <c r="V10458" t="s">
        <v>60279</v>
      </c>
      <c r="W10458" t="s">
        <v>44017</v>
      </c>
      <c r="X10458" t="s">
        <v>44773</v>
      </c>
    </row>
    <row r="10459" spans="1:24">
      <c r="A10459">
        <f>HYPERLINK("https://www.philgeps.gov.ph/GEPSNONPILOT/Tender/SplashBidNoticeAbstractUI.aspx?menuIndex=3&amp;refID=7134887&amp;Result=3","7134887")</f>
        <v>0</v>
      </c>
      <c r="B10459" t="s">
        <v>1937</v>
      </c>
      <c r="C10459" t="s">
        <v>13689</v>
      </c>
      <c r="D10459" t="s">
        <v>17961</v>
      </c>
      <c r="E10459" t="s">
        <v>27094</v>
      </c>
      <c r="F10459" t="s">
        <v>30900</v>
      </c>
      <c r="G10459" t="s">
        <v>30907</v>
      </c>
      <c r="H10459" t="s">
        <v>30916</v>
      </c>
      <c r="I10459" t="s">
        <v>30929</v>
      </c>
      <c r="J10459" t="s">
        <v>31243</v>
      </c>
      <c r="K10459" t="s">
        <v>40286</v>
      </c>
      <c r="M10459" t="s">
        <v>44023</v>
      </c>
      <c r="N10459" t="s">
        <v>44759</v>
      </c>
      <c r="O10459" t="s">
        <v>44760</v>
      </c>
      <c r="P10459">
        <v>0</v>
      </c>
      <c r="Q10459">
        <v>12</v>
      </c>
      <c r="R10459" t="s">
        <v>44772</v>
      </c>
      <c r="S10459" t="s">
        <v>45149</v>
      </c>
      <c r="T10459" t="s">
        <v>46409</v>
      </c>
      <c r="U10459" t="s">
        <v>55597</v>
      </c>
      <c r="W10459" t="s">
        <v>44023</v>
      </c>
      <c r="X10459" t="s">
        <v>44773</v>
      </c>
    </row>
    <row r="10460" spans="1:24">
      <c r="A10460">
        <f>HYPERLINK("https://www.philgeps.gov.ph/GEPSNONPILOT/Tender/SplashBidNoticeAbstractUI.aspx?menuIndex=3&amp;refID=7134873&amp;Result=3","7134873")</f>
        <v>0</v>
      </c>
      <c r="B10460" t="s">
        <v>2298</v>
      </c>
      <c r="C10460" t="s">
        <v>13690</v>
      </c>
      <c r="D10460" t="s">
        <v>17961</v>
      </c>
      <c r="E10460" t="s">
        <v>27095</v>
      </c>
      <c r="F10460" t="s">
        <v>30900</v>
      </c>
      <c r="G10460" t="s">
        <v>30907</v>
      </c>
      <c r="H10460" t="s">
        <v>30915</v>
      </c>
      <c r="I10460" t="s">
        <v>30919</v>
      </c>
      <c r="J10460" t="s">
        <v>32324</v>
      </c>
      <c r="K10460" t="s">
        <v>40292</v>
      </c>
      <c r="M10460" t="s">
        <v>43013</v>
      </c>
      <c r="N10460" t="s">
        <v>44759</v>
      </c>
      <c r="O10460" t="s">
        <v>44760</v>
      </c>
      <c r="P10460">
        <v>0</v>
      </c>
      <c r="Q10460">
        <v>6</v>
      </c>
      <c r="R10460" t="s">
        <v>44772</v>
      </c>
      <c r="S10460" t="s">
        <v>45149</v>
      </c>
      <c r="T10460" t="s">
        <v>46445</v>
      </c>
      <c r="U10460" t="s">
        <v>55598</v>
      </c>
      <c r="W10460" t="s">
        <v>43013</v>
      </c>
      <c r="X10460" t="s">
        <v>44773</v>
      </c>
    </row>
    <row r="10461" spans="1:24">
      <c r="A10461">
        <f>HYPERLINK("https://www.philgeps.gov.ph/GEPSNONPILOT/Tender/SplashBidNoticeAbstractUI.aspx?menuIndex=3&amp;refID=7134763&amp;Result=3","7134763")</f>
        <v>0</v>
      </c>
      <c r="B10461" t="s">
        <v>3189</v>
      </c>
      <c r="C10461" t="s">
        <v>13691</v>
      </c>
      <c r="D10461" t="s">
        <v>17973</v>
      </c>
      <c r="E10461" t="s">
        <v>26743</v>
      </c>
      <c r="F10461" t="s">
        <v>30900</v>
      </c>
      <c r="G10461" t="s">
        <v>30907</v>
      </c>
      <c r="H10461" t="s">
        <v>30915</v>
      </c>
      <c r="I10461" t="s">
        <v>30919</v>
      </c>
      <c r="J10461" t="s">
        <v>31130</v>
      </c>
      <c r="K10461" t="s">
        <v>40314</v>
      </c>
      <c r="M10461" t="s">
        <v>44024</v>
      </c>
      <c r="N10461" t="s">
        <v>44759</v>
      </c>
      <c r="O10461" t="s">
        <v>44760</v>
      </c>
      <c r="P10461">
        <v>0</v>
      </c>
      <c r="Q10461">
        <v>0</v>
      </c>
      <c r="R10461" t="s">
        <v>44772</v>
      </c>
      <c r="S10461" t="s">
        <v>45149</v>
      </c>
      <c r="T10461" t="s">
        <v>46389</v>
      </c>
      <c r="U10461" t="s">
        <v>55599</v>
      </c>
      <c r="W10461" t="s">
        <v>44024</v>
      </c>
      <c r="X10461" t="s">
        <v>44773</v>
      </c>
    </row>
    <row r="10462" spans="1:24">
      <c r="A10462">
        <f>HYPERLINK("https://www.philgeps.gov.ph/GEPSNONPILOT/Tender/SplashBidNoticeAbstractUI.aspx?menuIndex=3&amp;refID=7134687&amp;Result=3","7134687")</f>
        <v>0</v>
      </c>
      <c r="B10462" t="s">
        <v>2088</v>
      </c>
      <c r="C10462" t="s">
        <v>13692</v>
      </c>
      <c r="D10462" t="s">
        <v>17978</v>
      </c>
      <c r="E10462" t="s">
        <v>27096</v>
      </c>
      <c r="F10462" t="s">
        <v>30900</v>
      </c>
      <c r="G10462" t="s">
        <v>30907</v>
      </c>
      <c r="H10462" t="s">
        <v>30915</v>
      </c>
      <c r="I10462" t="s">
        <v>30919</v>
      </c>
      <c r="J10462" t="s">
        <v>37563</v>
      </c>
      <c r="K10462" t="s">
        <v>40358</v>
      </c>
      <c r="M10462" t="s">
        <v>42787</v>
      </c>
      <c r="N10462" t="s">
        <v>44759</v>
      </c>
      <c r="O10462" t="s">
        <v>44760</v>
      </c>
      <c r="Q10462">
        <v>1</v>
      </c>
      <c r="R10462" t="s">
        <v>44772</v>
      </c>
      <c r="S10462" t="s">
        <v>45181</v>
      </c>
      <c r="T10462" t="s">
        <v>46353</v>
      </c>
      <c r="U10462" t="s">
        <v>55600</v>
      </c>
      <c r="V10462" t="s">
        <v>60280</v>
      </c>
      <c r="W10462" t="s">
        <v>60881</v>
      </c>
      <c r="X10462" t="s">
        <v>44773</v>
      </c>
    </row>
    <row r="10463" spans="1:24">
      <c r="A10463">
        <f>HYPERLINK("https://www.philgeps.gov.ph/GEPSNONPILOT/Tender/SplashBidNoticeAbstractUI.aspx?menuIndex=3&amp;refID=7134865&amp;Result=3","7134865")</f>
        <v>0</v>
      </c>
      <c r="B10463" t="s">
        <v>629</v>
      </c>
      <c r="C10463" t="s">
        <v>13693</v>
      </c>
      <c r="D10463" t="s">
        <v>17992</v>
      </c>
      <c r="E10463" t="s">
        <v>27097</v>
      </c>
      <c r="F10463" t="s">
        <v>30900</v>
      </c>
      <c r="G10463" t="s">
        <v>30907</v>
      </c>
      <c r="H10463" t="s">
        <v>30916</v>
      </c>
      <c r="I10463" t="s">
        <v>10834</v>
      </c>
      <c r="J10463" t="s">
        <v>37564</v>
      </c>
      <c r="K10463" t="s">
        <v>40283</v>
      </c>
      <c r="M10463" t="s">
        <v>41485</v>
      </c>
      <c r="N10463" t="s">
        <v>44759</v>
      </c>
      <c r="O10463" t="s">
        <v>44760</v>
      </c>
      <c r="P10463">
        <v>0</v>
      </c>
      <c r="Q10463">
        <v>4</v>
      </c>
      <c r="R10463" t="s">
        <v>44772</v>
      </c>
      <c r="S10463" t="s">
        <v>45149</v>
      </c>
      <c r="T10463" t="s">
        <v>46814</v>
      </c>
      <c r="U10463" t="s">
        <v>55601</v>
      </c>
      <c r="W10463" t="s">
        <v>41485</v>
      </c>
      <c r="X10463" t="s">
        <v>44773</v>
      </c>
    </row>
    <row r="10464" spans="1:24">
      <c r="A10464">
        <f>HYPERLINK("https://www.philgeps.gov.ph/GEPSNONPILOT/Tender/SplashBidNoticeAbstractUI.aspx?menuIndex=3&amp;refID=7134918&amp;Result=3","7134918")</f>
        <v>0</v>
      </c>
      <c r="B10464" t="s">
        <v>1500</v>
      </c>
      <c r="C10464" t="s">
        <v>13694</v>
      </c>
      <c r="D10464" t="s">
        <v>17978</v>
      </c>
      <c r="E10464" t="s">
        <v>27098</v>
      </c>
      <c r="F10464" t="s">
        <v>30900</v>
      </c>
      <c r="G10464" t="s">
        <v>30907</v>
      </c>
      <c r="H10464" t="s">
        <v>30916</v>
      </c>
      <c r="I10464" t="s">
        <v>8123</v>
      </c>
      <c r="J10464" t="s">
        <v>37565</v>
      </c>
      <c r="K10464" t="s">
        <v>40283</v>
      </c>
      <c r="M10464" t="s">
        <v>43287</v>
      </c>
      <c r="N10464" t="s">
        <v>44759</v>
      </c>
      <c r="O10464" t="s">
        <v>44760</v>
      </c>
      <c r="P10464">
        <v>0</v>
      </c>
      <c r="Q10464">
        <v>3</v>
      </c>
      <c r="R10464" t="s">
        <v>44772</v>
      </c>
      <c r="S10464" t="s">
        <v>45149</v>
      </c>
      <c r="T10464" t="s">
        <v>46859</v>
      </c>
      <c r="U10464" t="s">
        <v>53334</v>
      </c>
      <c r="W10464" t="s">
        <v>43287</v>
      </c>
      <c r="X10464" t="s">
        <v>44773</v>
      </c>
    </row>
    <row r="10465" spans="1:24">
      <c r="A10465">
        <f>HYPERLINK("https://www.philgeps.gov.ph/GEPSNONPILOT/Tender/SplashBidNoticeAbstractUI.aspx?menuIndex=3&amp;refID=7134701&amp;Result=3","7134701")</f>
        <v>0</v>
      </c>
      <c r="B10465" t="s">
        <v>2668</v>
      </c>
      <c r="C10465" t="s">
        <v>13695</v>
      </c>
      <c r="D10465" t="s">
        <v>17954</v>
      </c>
      <c r="E10465" t="s">
        <v>27099</v>
      </c>
      <c r="F10465" t="s">
        <v>30900</v>
      </c>
      <c r="G10465" t="s">
        <v>30907</v>
      </c>
      <c r="H10465" t="s">
        <v>30915</v>
      </c>
      <c r="I10465" t="s">
        <v>30919</v>
      </c>
      <c r="J10465" t="s">
        <v>37566</v>
      </c>
      <c r="K10465" t="s">
        <v>40292</v>
      </c>
      <c r="M10465" t="s">
        <v>44021</v>
      </c>
      <c r="N10465" t="s">
        <v>44759</v>
      </c>
      <c r="O10465" t="s">
        <v>44760</v>
      </c>
      <c r="P10465">
        <v>0</v>
      </c>
      <c r="Q10465">
        <v>1</v>
      </c>
      <c r="R10465" t="s">
        <v>44772</v>
      </c>
      <c r="S10465" t="s">
        <v>45149</v>
      </c>
      <c r="T10465" t="s">
        <v>46406</v>
      </c>
      <c r="U10465" t="s">
        <v>55602</v>
      </c>
      <c r="W10465" t="s">
        <v>44021</v>
      </c>
      <c r="X10465" t="s">
        <v>44773</v>
      </c>
    </row>
    <row r="10466" spans="1:24">
      <c r="A10466">
        <f>HYPERLINK("https://www.philgeps.gov.ph/GEPSNONPILOT/Tender/SplashBidNoticeAbstractUI.aspx?menuIndex=3&amp;refID=7134907&amp;Result=3","7134907")</f>
        <v>0</v>
      </c>
      <c r="B10466" t="s">
        <v>3190</v>
      </c>
      <c r="C10466" t="s">
        <v>13696</v>
      </c>
      <c r="D10466" t="s">
        <v>17952</v>
      </c>
      <c r="E10466" t="s">
        <v>27100</v>
      </c>
      <c r="F10466" t="s">
        <v>30900</v>
      </c>
      <c r="G10466" t="s">
        <v>30907</v>
      </c>
      <c r="H10466" t="s">
        <v>30916</v>
      </c>
      <c r="I10466" t="s">
        <v>30947</v>
      </c>
      <c r="J10466" t="s">
        <v>31589</v>
      </c>
      <c r="K10466" t="s">
        <v>40292</v>
      </c>
      <c r="M10466" t="s">
        <v>44025</v>
      </c>
      <c r="N10466" t="s">
        <v>44759</v>
      </c>
      <c r="O10466" t="s">
        <v>44760</v>
      </c>
      <c r="P10466">
        <v>0</v>
      </c>
      <c r="Q10466">
        <v>3</v>
      </c>
      <c r="R10466" t="s">
        <v>44772</v>
      </c>
      <c r="S10466" t="s">
        <v>45149</v>
      </c>
      <c r="T10466" t="s">
        <v>46860</v>
      </c>
      <c r="U10466" t="s">
        <v>55603</v>
      </c>
      <c r="V10466" t="s">
        <v>60281</v>
      </c>
      <c r="W10466" t="s">
        <v>44025</v>
      </c>
      <c r="X10466" t="s">
        <v>44773</v>
      </c>
    </row>
    <row r="10467" spans="1:24">
      <c r="A10467">
        <f>HYPERLINK("https://www.philgeps.gov.ph/GEPSNONPILOT/Tender/SplashBidNoticeAbstractUI.aspx?menuIndex=3&amp;refID=7134916&amp;Result=3","7134916")</f>
        <v>0</v>
      </c>
      <c r="B10467" t="s">
        <v>1937</v>
      </c>
      <c r="C10467" t="s">
        <v>13697</v>
      </c>
      <c r="D10467" t="s">
        <v>17961</v>
      </c>
      <c r="E10467" t="s">
        <v>27101</v>
      </c>
      <c r="F10467" t="s">
        <v>30900</v>
      </c>
      <c r="G10467" t="s">
        <v>30907</v>
      </c>
      <c r="H10467" t="s">
        <v>30915</v>
      </c>
      <c r="I10467" t="s">
        <v>30919</v>
      </c>
      <c r="J10467" t="s">
        <v>32324</v>
      </c>
      <c r="K10467" t="s">
        <v>40349</v>
      </c>
      <c r="M10467" t="s">
        <v>44014</v>
      </c>
      <c r="N10467" t="s">
        <v>44759</v>
      </c>
      <c r="O10467" t="s">
        <v>44760</v>
      </c>
      <c r="P10467">
        <v>0</v>
      </c>
      <c r="Q10467">
        <v>1</v>
      </c>
      <c r="R10467" t="s">
        <v>44772</v>
      </c>
      <c r="S10467" t="s">
        <v>45149</v>
      </c>
      <c r="T10467" t="s">
        <v>46370</v>
      </c>
      <c r="U10467" t="s">
        <v>55566</v>
      </c>
      <c r="W10467" t="s">
        <v>44014</v>
      </c>
      <c r="X10467" t="s">
        <v>44773</v>
      </c>
    </row>
    <row r="10468" spans="1:24">
      <c r="A10468">
        <f>HYPERLINK("https://www.philgeps.gov.ph/GEPSNONPILOT/Tender/SplashBidNoticeAbstractUI.aspx?menuIndex=3&amp;refID=7134762&amp;Result=3","7134762")</f>
        <v>0</v>
      </c>
      <c r="B10468" t="s">
        <v>1937</v>
      </c>
      <c r="C10468" t="s">
        <v>13698</v>
      </c>
      <c r="D10468" t="s">
        <v>17961</v>
      </c>
      <c r="E10468" t="s">
        <v>27102</v>
      </c>
      <c r="F10468" t="s">
        <v>30900</v>
      </c>
      <c r="G10468" t="s">
        <v>30907</v>
      </c>
      <c r="H10468" t="s">
        <v>30915</v>
      </c>
      <c r="I10468" t="s">
        <v>30919</v>
      </c>
      <c r="J10468" t="s">
        <v>37567</v>
      </c>
      <c r="K10468" t="s">
        <v>40342</v>
      </c>
      <c r="M10468" t="s">
        <v>44014</v>
      </c>
      <c r="N10468" t="s">
        <v>44759</v>
      </c>
      <c r="O10468" t="s">
        <v>44760</v>
      </c>
      <c r="P10468">
        <v>0</v>
      </c>
      <c r="Q10468">
        <v>0</v>
      </c>
      <c r="R10468" t="s">
        <v>44772</v>
      </c>
      <c r="S10468" t="s">
        <v>45149</v>
      </c>
      <c r="T10468" t="s">
        <v>46370</v>
      </c>
      <c r="U10468" t="s">
        <v>55566</v>
      </c>
      <c r="W10468" t="s">
        <v>44014</v>
      </c>
      <c r="X10468" t="s">
        <v>44773</v>
      </c>
    </row>
    <row r="10469" spans="1:24">
      <c r="A10469">
        <f>HYPERLINK("https://www.philgeps.gov.ph/GEPSNONPILOT/Tender/SplashBidNoticeAbstractUI.aspx?menuIndex=3&amp;refID=7134861&amp;Result=3","7134861")</f>
        <v>0</v>
      </c>
      <c r="B10469" t="s">
        <v>1500</v>
      </c>
      <c r="C10469" t="s">
        <v>13699</v>
      </c>
      <c r="D10469" t="s">
        <v>17978</v>
      </c>
      <c r="E10469" t="s">
        <v>27103</v>
      </c>
      <c r="F10469" t="s">
        <v>30900</v>
      </c>
      <c r="G10469" t="s">
        <v>30907</v>
      </c>
      <c r="H10469" t="s">
        <v>30916</v>
      </c>
      <c r="I10469" t="s">
        <v>4545</v>
      </c>
      <c r="J10469" t="s">
        <v>35266</v>
      </c>
      <c r="K10469" t="s">
        <v>40283</v>
      </c>
      <c r="M10469" t="s">
        <v>43287</v>
      </c>
      <c r="N10469" t="s">
        <v>44759</v>
      </c>
      <c r="O10469" t="s">
        <v>44760</v>
      </c>
      <c r="P10469">
        <v>0</v>
      </c>
      <c r="Q10469">
        <v>5</v>
      </c>
      <c r="R10469" t="s">
        <v>44772</v>
      </c>
      <c r="S10469" t="s">
        <v>45149</v>
      </c>
      <c r="T10469" t="s">
        <v>46859</v>
      </c>
      <c r="U10469" t="s">
        <v>53334</v>
      </c>
      <c r="W10469" t="s">
        <v>43287</v>
      </c>
      <c r="X10469" t="s">
        <v>44773</v>
      </c>
    </row>
    <row r="10470" spans="1:24">
      <c r="A10470">
        <f>HYPERLINK("https://www.philgeps.gov.ph/GEPSNONPILOT/Tender/SplashBidNoticeAbstractUI.aspx?menuIndex=3&amp;refID=7134857&amp;Result=3","7134857")</f>
        <v>0</v>
      </c>
      <c r="B10470" t="s">
        <v>1937</v>
      </c>
      <c r="C10470" t="s">
        <v>13700</v>
      </c>
      <c r="D10470" t="s">
        <v>17961</v>
      </c>
      <c r="E10470" t="s">
        <v>27104</v>
      </c>
      <c r="F10470" t="s">
        <v>30900</v>
      </c>
      <c r="G10470" t="s">
        <v>30907</v>
      </c>
      <c r="H10470" t="s">
        <v>30915</v>
      </c>
      <c r="I10470" t="s">
        <v>30919</v>
      </c>
      <c r="J10470" t="s">
        <v>31241</v>
      </c>
      <c r="K10470" t="s">
        <v>40328</v>
      </c>
      <c r="M10470" t="s">
        <v>44014</v>
      </c>
      <c r="N10470" t="s">
        <v>44759</v>
      </c>
      <c r="O10470" t="s">
        <v>44760</v>
      </c>
      <c r="P10470">
        <v>0</v>
      </c>
      <c r="Q10470">
        <v>0</v>
      </c>
      <c r="R10470" t="s">
        <v>44772</v>
      </c>
      <c r="S10470" t="s">
        <v>45149</v>
      </c>
      <c r="T10470" t="s">
        <v>46370</v>
      </c>
      <c r="U10470" t="s">
        <v>55566</v>
      </c>
      <c r="W10470" t="s">
        <v>44014</v>
      </c>
      <c r="X10470" t="s">
        <v>44773</v>
      </c>
    </row>
    <row r="10471" spans="1:24">
      <c r="A10471">
        <f>HYPERLINK("https://www.philgeps.gov.ph/GEPSNONPILOT/Tender/SplashBidNoticeAbstractUI.aspx?menuIndex=3&amp;refID=7134813&amp;Result=3","7134813")</f>
        <v>0</v>
      </c>
      <c r="B10471" t="s">
        <v>3186</v>
      </c>
      <c r="C10471" t="s">
        <v>13701</v>
      </c>
      <c r="D10471" t="s">
        <v>17978</v>
      </c>
      <c r="E10471" t="s">
        <v>27105</v>
      </c>
      <c r="F10471" t="s">
        <v>30900</v>
      </c>
      <c r="G10471" t="s">
        <v>30907</v>
      </c>
      <c r="H10471" t="s">
        <v>30916</v>
      </c>
      <c r="I10471" t="s">
        <v>30923</v>
      </c>
      <c r="J10471" t="s">
        <v>37568</v>
      </c>
      <c r="K10471" t="s">
        <v>40283</v>
      </c>
      <c r="M10471" t="s">
        <v>44018</v>
      </c>
      <c r="N10471" t="s">
        <v>44759</v>
      </c>
      <c r="O10471" t="s">
        <v>44760</v>
      </c>
      <c r="P10471">
        <v>0</v>
      </c>
      <c r="Q10471">
        <v>11</v>
      </c>
      <c r="R10471" t="s">
        <v>44772</v>
      </c>
      <c r="S10471" t="s">
        <v>45149</v>
      </c>
      <c r="T10471" t="s">
        <v>46370</v>
      </c>
      <c r="U10471" t="s">
        <v>55604</v>
      </c>
      <c r="W10471" t="s">
        <v>44018</v>
      </c>
      <c r="X10471" t="s">
        <v>44773</v>
      </c>
    </row>
    <row r="10472" spans="1:24">
      <c r="A10472">
        <f>HYPERLINK("https://www.philgeps.gov.ph/GEPSNONPILOT/Tender/SplashBidNoticeAbstractUI.aspx?menuIndex=3&amp;refID=7134909&amp;Result=3","7134909")</f>
        <v>0</v>
      </c>
      <c r="B10472" t="s">
        <v>747</v>
      </c>
      <c r="C10472" t="s">
        <v>5871</v>
      </c>
      <c r="D10472" t="s">
        <v>18021</v>
      </c>
      <c r="E10472" t="s">
        <v>27106</v>
      </c>
      <c r="F10472" t="s">
        <v>30900</v>
      </c>
      <c r="G10472" t="s">
        <v>30907</v>
      </c>
      <c r="H10472" t="s">
        <v>30916</v>
      </c>
      <c r="I10472" t="s">
        <v>6396</v>
      </c>
      <c r="J10472" t="s">
        <v>37569</v>
      </c>
      <c r="K10472" t="s">
        <v>40286</v>
      </c>
      <c r="M10472" t="s">
        <v>41311</v>
      </c>
      <c r="N10472" t="s">
        <v>44759</v>
      </c>
      <c r="O10472" t="s">
        <v>44760</v>
      </c>
      <c r="P10472">
        <v>0</v>
      </c>
      <c r="Q10472">
        <v>2</v>
      </c>
      <c r="R10472" t="s">
        <v>44772</v>
      </c>
      <c r="S10472" t="s">
        <v>45149</v>
      </c>
      <c r="T10472" t="s">
        <v>46445</v>
      </c>
      <c r="U10472" t="s">
        <v>55605</v>
      </c>
      <c r="V10472" t="s">
        <v>60282</v>
      </c>
      <c r="W10472" t="s">
        <v>41311</v>
      </c>
      <c r="X10472" t="s">
        <v>44773</v>
      </c>
    </row>
    <row r="10473" spans="1:24">
      <c r="A10473">
        <f>HYPERLINK("https://www.philgeps.gov.ph/GEPSNONPILOT/Tender/SplashBidNoticeAbstractUI.aspx?menuIndex=3&amp;refID=7134807&amp;Result=3","7134807")</f>
        <v>0</v>
      </c>
      <c r="B10473" t="s">
        <v>629</v>
      </c>
      <c r="C10473" t="s">
        <v>13702</v>
      </c>
      <c r="D10473" t="s">
        <v>17992</v>
      </c>
      <c r="E10473" t="s">
        <v>27107</v>
      </c>
      <c r="F10473" t="s">
        <v>30900</v>
      </c>
      <c r="G10473" t="s">
        <v>30907</v>
      </c>
      <c r="H10473" t="s">
        <v>30916</v>
      </c>
      <c r="I10473" t="s">
        <v>8123</v>
      </c>
      <c r="J10473" t="s">
        <v>37570</v>
      </c>
      <c r="K10473" t="s">
        <v>40283</v>
      </c>
      <c r="M10473" t="s">
        <v>41485</v>
      </c>
      <c r="N10473" t="s">
        <v>44759</v>
      </c>
      <c r="O10473" t="s">
        <v>44760</v>
      </c>
      <c r="P10473">
        <v>0</v>
      </c>
      <c r="Q10473">
        <v>0</v>
      </c>
      <c r="R10473" t="s">
        <v>44772</v>
      </c>
      <c r="S10473" t="s">
        <v>45149</v>
      </c>
      <c r="T10473" t="s">
        <v>46814</v>
      </c>
      <c r="U10473" t="s">
        <v>55606</v>
      </c>
      <c r="W10473" t="s">
        <v>41485</v>
      </c>
      <c r="X10473" t="s">
        <v>44773</v>
      </c>
    </row>
    <row r="10474" spans="1:24">
      <c r="A10474">
        <f>HYPERLINK("https://www.philgeps.gov.ph/GEPSNONPILOT/Tender/SplashBidNoticeAbstractUI.aspx?menuIndex=3&amp;refID=7134858&amp;Result=3","7134858")</f>
        <v>0</v>
      </c>
      <c r="B10474" t="s">
        <v>1937</v>
      </c>
      <c r="C10474" t="s">
        <v>13703</v>
      </c>
      <c r="D10474" t="s">
        <v>17961</v>
      </c>
      <c r="E10474" t="s">
        <v>27108</v>
      </c>
      <c r="F10474" t="s">
        <v>30900</v>
      </c>
      <c r="G10474" t="s">
        <v>30907</v>
      </c>
      <c r="H10474" t="s">
        <v>30916</v>
      </c>
      <c r="I10474" t="s">
        <v>30933</v>
      </c>
      <c r="J10474" t="s">
        <v>37571</v>
      </c>
      <c r="K10474" t="s">
        <v>40286</v>
      </c>
      <c r="M10474" t="s">
        <v>44023</v>
      </c>
      <c r="N10474" t="s">
        <v>44759</v>
      </c>
      <c r="O10474" t="s">
        <v>44760</v>
      </c>
      <c r="P10474">
        <v>0</v>
      </c>
      <c r="Q10474">
        <v>2</v>
      </c>
      <c r="R10474" t="s">
        <v>44772</v>
      </c>
      <c r="S10474" t="s">
        <v>45149</v>
      </c>
      <c r="T10474" t="s">
        <v>46495</v>
      </c>
      <c r="U10474" t="s">
        <v>55607</v>
      </c>
      <c r="W10474" t="s">
        <v>44023</v>
      </c>
      <c r="X10474" t="s">
        <v>44773</v>
      </c>
    </row>
    <row r="10475" spans="1:24">
      <c r="A10475">
        <f>HYPERLINK("https://www.philgeps.gov.ph/GEPSNONPILOT/Tender/SplashBidNoticeAbstractUI.aspx?menuIndex=3&amp;refID=7134787&amp;Result=3","7134787")</f>
        <v>0</v>
      </c>
      <c r="B10475" t="s">
        <v>3190</v>
      </c>
      <c r="C10475" t="s">
        <v>13704</v>
      </c>
      <c r="D10475" t="s">
        <v>17952</v>
      </c>
      <c r="E10475" t="s">
        <v>27109</v>
      </c>
      <c r="F10475" t="s">
        <v>30900</v>
      </c>
      <c r="G10475" t="s">
        <v>30907</v>
      </c>
      <c r="H10475" t="s">
        <v>30915</v>
      </c>
      <c r="I10475" t="s">
        <v>30919</v>
      </c>
      <c r="J10475" t="s">
        <v>31270</v>
      </c>
      <c r="K10475" t="s">
        <v>40301</v>
      </c>
      <c r="M10475" t="s">
        <v>44025</v>
      </c>
      <c r="N10475" t="s">
        <v>44759</v>
      </c>
      <c r="O10475" t="s">
        <v>44760</v>
      </c>
      <c r="P10475">
        <v>0</v>
      </c>
      <c r="Q10475">
        <v>2</v>
      </c>
      <c r="R10475" t="s">
        <v>44772</v>
      </c>
      <c r="S10475" t="s">
        <v>45149</v>
      </c>
      <c r="T10475" t="s">
        <v>46861</v>
      </c>
      <c r="U10475" t="s">
        <v>55608</v>
      </c>
      <c r="V10475" t="s">
        <v>60281</v>
      </c>
      <c r="W10475" t="s">
        <v>44025</v>
      </c>
      <c r="X10475" t="s">
        <v>44773</v>
      </c>
    </row>
    <row r="10476" spans="1:24">
      <c r="A10476">
        <f>HYPERLINK("https://www.philgeps.gov.ph/GEPSNONPILOT/Tender/SplashBidNoticeAbstractUI.aspx?menuIndex=3&amp;refID=7134915&amp;Result=3","7134915")</f>
        <v>0</v>
      </c>
      <c r="B10476" t="s">
        <v>106</v>
      </c>
      <c r="C10476" t="s">
        <v>13705</v>
      </c>
      <c r="D10476" t="s">
        <v>17961</v>
      </c>
      <c r="E10476" t="s">
        <v>27110</v>
      </c>
      <c r="F10476" t="s">
        <v>30900</v>
      </c>
      <c r="G10476" t="s">
        <v>30907</v>
      </c>
      <c r="H10476" t="s">
        <v>30916</v>
      </c>
      <c r="I10476" t="s">
        <v>8123</v>
      </c>
      <c r="J10476" t="s">
        <v>37572</v>
      </c>
      <c r="K10476" t="s">
        <v>40289</v>
      </c>
      <c r="M10476" t="s">
        <v>40653</v>
      </c>
      <c r="N10476" t="s">
        <v>44759</v>
      </c>
      <c r="O10476" t="s">
        <v>44760</v>
      </c>
      <c r="Q10476">
        <v>3</v>
      </c>
      <c r="R10476" t="s">
        <v>44772</v>
      </c>
      <c r="S10476" t="s">
        <v>45182</v>
      </c>
      <c r="T10476" t="s">
        <v>46352</v>
      </c>
      <c r="U10476" t="s">
        <v>55609</v>
      </c>
      <c r="V10476" t="s">
        <v>59168</v>
      </c>
      <c r="W10476" t="s">
        <v>40653</v>
      </c>
      <c r="X10476" t="s">
        <v>44773</v>
      </c>
    </row>
    <row r="10477" spans="1:24">
      <c r="A10477">
        <f>HYPERLINK("https://www.philgeps.gov.ph/GEPSNONPILOT/Tender/SplashBidNoticeAbstractUI.aspx?menuIndex=3&amp;refID=7135121&amp;Result=3","7135121")</f>
        <v>0</v>
      </c>
      <c r="B10477" t="s">
        <v>1027</v>
      </c>
      <c r="C10477" t="s">
        <v>13706</v>
      </c>
      <c r="D10477" t="s">
        <v>17973</v>
      </c>
      <c r="E10477" t="s">
        <v>27111</v>
      </c>
      <c r="F10477" t="s">
        <v>30900</v>
      </c>
      <c r="G10477" t="s">
        <v>30907</v>
      </c>
      <c r="H10477" t="s">
        <v>30916</v>
      </c>
      <c r="I10477" t="s">
        <v>30972</v>
      </c>
      <c r="J10477" t="s">
        <v>37573</v>
      </c>
      <c r="K10477" t="s">
        <v>40283</v>
      </c>
      <c r="M10477" t="s">
        <v>41618</v>
      </c>
      <c r="N10477" t="s">
        <v>44759</v>
      </c>
      <c r="O10477" t="s">
        <v>44760</v>
      </c>
      <c r="P10477">
        <v>0</v>
      </c>
      <c r="Q10477">
        <v>4</v>
      </c>
      <c r="R10477" t="s">
        <v>44772</v>
      </c>
      <c r="S10477" t="s">
        <v>45149</v>
      </c>
      <c r="T10477" t="s">
        <v>46552</v>
      </c>
      <c r="U10477" t="s">
        <v>55610</v>
      </c>
      <c r="W10477" t="s">
        <v>41618</v>
      </c>
      <c r="X10477" t="s">
        <v>44773</v>
      </c>
    </row>
    <row r="10478" spans="1:24">
      <c r="A10478">
        <f>HYPERLINK("https://www.philgeps.gov.ph/GEPSNONPILOT/Tender/SplashBidNoticeAbstractUI.aspx?menuIndex=3&amp;refID=7134673&amp;Result=3","7134673")</f>
        <v>0</v>
      </c>
      <c r="B10478" t="s">
        <v>2901</v>
      </c>
      <c r="C10478" t="s">
        <v>13707</v>
      </c>
      <c r="D10478" t="s">
        <v>17991</v>
      </c>
      <c r="E10478" t="s">
        <v>27112</v>
      </c>
      <c r="F10478" t="s">
        <v>30900</v>
      </c>
      <c r="G10478" t="s">
        <v>30907</v>
      </c>
      <c r="H10478" t="s">
        <v>30916</v>
      </c>
      <c r="I10478" t="s">
        <v>8123</v>
      </c>
      <c r="J10478" t="s">
        <v>37574</v>
      </c>
      <c r="K10478" t="s">
        <v>40286</v>
      </c>
      <c r="M10478" t="s">
        <v>43695</v>
      </c>
      <c r="N10478" t="s">
        <v>44759</v>
      </c>
      <c r="O10478" t="s">
        <v>44760</v>
      </c>
      <c r="P10478">
        <v>0</v>
      </c>
      <c r="Q10478">
        <v>0</v>
      </c>
      <c r="R10478" t="s">
        <v>44772</v>
      </c>
      <c r="S10478" t="s">
        <v>45149</v>
      </c>
      <c r="T10478" t="s">
        <v>46353</v>
      </c>
      <c r="U10478" t="s">
        <v>55611</v>
      </c>
      <c r="W10478" t="s">
        <v>43695</v>
      </c>
      <c r="X10478" t="s">
        <v>44773</v>
      </c>
    </row>
    <row r="10479" spans="1:24">
      <c r="A10479">
        <f>HYPERLINK("https://www.philgeps.gov.ph/GEPSNONPILOT/Tender/SplashBidNoticeAbstractUI.aspx?menuIndex=3&amp;refID=7134791&amp;Result=3","7134791")</f>
        <v>0</v>
      </c>
      <c r="B10479" t="s">
        <v>2053</v>
      </c>
      <c r="C10479" t="s">
        <v>13708</v>
      </c>
      <c r="D10479" t="s">
        <v>17980</v>
      </c>
      <c r="E10479" t="s">
        <v>27113</v>
      </c>
      <c r="F10479" t="s">
        <v>30900</v>
      </c>
      <c r="G10479" t="s">
        <v>30907</v>
      </c>
      <c r="H10479" t="s">
        <v>30916</v>
      </c>
      <c r="I10479" t="s">
        <v>30949</v>
      </c>
      <c r="J10479" t="s">
        <v>31152</v>
      </c>
      <c r="K10479" t="s">
        <v>40286</v>
      </c>
      <c r="M10479" t="s">
        <v>44026</v>
      </c>
      <c r="N10479" t="s">
        <v>44759</v>
      </c>
      <c r="O10479" t="s">
        <v>44760</v>
      </c>
      <c r="Q10479">
        <v>4</v>
      </c>
      <c r="R10479" t="s">
        <v>44772</v>
      </c>
      <c r="S10479" t="s">
        <v>45183</v>
      </c>
      <c r="T10479" t="s">
        <v>46752</v>
      </c>
      <c r="U10479" t="s">
        <v>55612</v>
      </c>
      <c r="W10479" t="s">
        <v>44026</v>
      </c>
      <c r="X10479" t="s">
        <v>44773</v>
      </c>
    </row>
    <row r="10480" spans="1:24">
      <c r="A10480">
        <f>HYPERLINK("https://www.philgeps.gov.ph/GEPSNONPILOT/Tender/SplashBidNoticeAbstractUI.aspx?menuIndex=3&amp;refID=7135101&amp;Result=3","7135101")</f>
        <v>0</v>
      </c>
      <c r="B10480" t="s">
        <v>2245</v>
      </c>
      <c r="C10480" t="s">
        <v>13709</v>
      </c>
      <c r="D10480" t="s">
        <v>17952</v>
      </c>
      <c r="E10480" t="s">
        <v>27114</v>
      </c>
      <c r="F10480" t="s">
        <v>30900</v>
      </c>
      <c r="G10480" t="s">
        <v>30907</v>
      </c>
      <c r="H10480" t="s">
        <v>30916</v>
      </c>
      <c r="I10480" t="s">
        <v>30924</v>
      </c>
      <c r="J10480" t="s">
        <v>33175</v>
      </c>
      <c r="K10480" t="s">
        <v>40292</v>
      </c>
      <c r="M10480" t="s">
        <v>42956</v>
      </c>
      <c r="N10480" t="s">
        <v>44759</v>
      </c>
      <c r="O10480" t="s">
        <v>44760</v>
      </c>
      <c r="P10480">
        <v>0</v>
      </c>
      <c r="Q10480">
        <v>12</v>
      </c>
      <c r="R10480" t="s">
        <v>44772</v>
      </c>
      <c r="S10480" t="s">
        <v>45149</v>
      </c>
      <c r="T10480" t="s">
        <v>46730</v>
      </c>
      <c r="U10480" t="s">
        <v>55613</v>
      </c>
      <c r="W10480" t="s">
        <v>42956</v>
      </c>
      <c r="X10480" t="s">
        <v>44773</v>
      </c>
    </row>
    <row r="10481" spans="1:24">
      <c r="A10481">
        <f>HYPERLINK("https://www.philgeps.gov.ph/GEPSNONPILOT/Tender/SplashBidNoticeAbstractUI.aspx?menuIndex=3&amp;refID=7134688&amp;Result=3","7134688")</f>
        <v>0</v>
      </c>
      <c r="B10481" t="s">
        <v>2970</v>
      </c>
      <c r="C10481" t="s">
        <v>13710</v>
      </c>
      <c r="D10481" t="s">
        <v>17956</v>
      </c>
      <c r="E10481" t="s">
        <v>27115</v>
      </c>
      <c r="F10481" t="s">
        <v>30900</v>
      </c>
      <c r="G10481" t="s">
        <v>30907</v>
      </c>
      <c r="H10481" t="s">
        <v>30916</v>
      </c>
      <c r="I10481" t="s">
        <v>4017</v>
      </c>
      <c r="J10481" t="s">
        <v>37575</v>
      </c>
      <c r="K10481" t="s">
        <v>40280</v>
      </c>
      <c r="M10481" t="s">
        <v>43771</v>
      </c>
      <c r="N10481" t="s">
        <v>44759</v>
      </c>
      <c r="O10481" t="s">
        <v>44760</v>
      </c>
      <c r="P10481">
        <v>0</v>
      </c>
      <c r="Q10481">
        <v>14</v>
      </c>
      <c r="R10481" t="s">
        <v>44772</v>
      </c>
      <c r="S10481" t="s">
        <v>45149</v>
      </c>
      <c r="T10481" t="s">
        <v>46411</v>
      </c>
      <c r="U10481" t="s">
        <v>50081</v>
      </c>
      <c r="W10481" t="s">
        <v>43771</v>
      </c>
      <c r="X10481" t="s">
        <v>44773</v>
      </c>
    </row>
    <row r="10482" spans="1:24">
      <c r="A10482">
        <f>HYPERLINK("https://www.philgeps.gov.ph/GEPSNONPILOT/Tender/SplashBidNoticeAbstractUI.aspx?menuIndex=3&amp;refID=7135039&amp;Result=3","7135039")</f>
        <v>0</v>
      </c>
      <c r="B10482" t="s">
        <v>1636</v>
      </c>
      <c r="C10482" t="s">
        <v>13711</v>
      </c>
      <c r="D10482" t="s">
        <v>17989</v>
      </c>
      <c r="E10482" t="s">
        <v>27116</v>
      </c>
      <c r="F10482" t="s">
        <v>30900</v>
      </c>
      <c r="G10482" t="s">
        <v>30907</v>
      </c>
      <c r="H10482" t="s">
        <v>30916</v>
      </c>
      <c r="I10482" t="s">
        <v>4545</v>
      </c>
      <c r="J10482" t="s">
        <v>32707</v>
      </c>
      <c r="K10482" t="s">
        <v>40286</v>
      </c>
      <c r="M10482" t="s">
        <v>42291</v>
      </c>
      <c r="N10482" t="s">
        <v>44759</v>
      </c>
      <c r="O10482" t="s">
        <v>44760</v>
      </c>
      <c r="P10482">
        <v>0</v>
      </c>
      <c r="Q10482">
        <v>4</v>
      </c>
      <c r="R10482" t="s">
        <v>44772</v>
      </c>
      <c r="S10482" t="s">
        <v>45149</v>
      </c>
      <c r="T10482" t="s">
        <v>46495</v>
      </c>
      <c r="U10482" t="s">
        <v>55614</v>
      </c>
      <c r="W10482" t="s">
        <v>42291</v>
      </c>
      <c r="X10482" t="s">
        <v>44773</v>
      </c>
    </row>
    <row r="10483" spans="1:24">
      <c r="A10483">
        <f>HYPERLINK("https://www.philgeps.gov.ph/GEPSNONPILOT/Tender/SplashBidNoticeAbstractUI.aspx?menuIndex=3&amp;refID=7135114&amp;Result=3","7135114")</f>
        <v>0</v>
      </c>
      <c r="B10483" t="s">
        <v>255</v>
      </c>
      <c r="C10483" t="s">
        <v>13712</v>
      </c>
      <c r="D10483" t="s">
        <v>17980</v>
      </c>
      <c r="E10483" t="s">
        <v>27117</v>
      </c>
      <c r="F10483" t="s">
        <v>30900</v>
      </c>
      <c r="G10483" t="s">
        <v>30907</v>
      </c>
      <c r="H10483" t="s">
        <v>30916</v>
      </c>
      <c r="I10483" t="s">
        <v>30918</v>
      </c>
      <c r="J10483" t="s">
        <v>37576</v>
      </c>
      <c r="K10483" t="s">
        <v>40286</v>
      </c>
      <c r="M10483" t="s">
        <v>44027</v>
      </c>
      <c r="N10483" t="s">
        <v>44759</v>
      </c>
      <c r="O10483" t="s">
        <v>44760</v>
      </c>
      <c r="P10483">
        <v>0</v>
      </c>
      <c r="Q10483">
        <v>2</v>
      </c>
      <c r="R10483" t="s">
        <v>44772</v>
      </c>
      <c r="S10483" t="s">
        <v>45149</v>
      </c>
      <c r="T10483" t="s">
        <v>46606</v>
      </c>
      <c r="U10483" t="s">
        <v>52217</v>
      </c>
      <c r="W10483" t="s">
        <v>44027</v>
      </c>
      <c r="X10483" t="s">
        <v>44773</v>
      </c>
    </row>
    <row r="10484" spans="1:24">
      <c r="A10484">
        <f>HYPERLINK("https://www.philgeps.gov.ph/GEPSNONPILOT/Tender/SplashBidNoticeAbstractUI.aspx?menuIndex=3&amp;refID=7135029&amp;Result=3","7135029")</f>
        <v>0</v>
      </c>
      <c r="B10484" t="s">
        <v>1520</v>
      </c>
      <c r="C10484" t="s">
        <v>13713</v>
      </c>
      <c r="D10484" t="s">
        <v>17963</v>
      </c>
      <c r="E10484" t="s">
        <v>27118</v>
      </c>
      <c r="F10484" t="s">
        <v>30900</v>
      </c>
      <c r="G10484" t="s">
        <v>30907</v>
      </c>
      <c r="H10484" t="s">
        <v>30916</v>
      </c>
      <c r="I10484" t="s">
        <v>5830</v>
      </c>
      <c r="J10484" t="s">
        <v>37577</v>
      </c>
      <c r="K10484" t="s">
        <v>40284</v>
      </c>
      <c r="M10484" t="s">
        <v>42161</v>
      </c>
      <c r="N10484" t="s">
        <v>44759</v>
      </c>
      <c r="O10484" t="s">
        <v>44760</v>
      </c>
      <c r="P10484">
        <v>0</v>
      </c>
      <c r="Q10484">
        <v>17</v>
      </c>
      <c r="R10484" t="s">
        <v>44772</v>
      </c>
      <c r="S10484" t="s">
        <v>45149</v>
      </c>
      <c r="T10484" t="s">
        <v>46472</v>
      </c>
      <c r="U10484" t="s">
        <v>55615</v>
      </c>
      <c r="W10484" t="s">
        <v>42161</v>
      </c>
      <c r="X10484" t="s">
        <v>44773</v>
      </c>
    </row>
    <row r="10485" spans="1:24">
      <c r="A10485">
        <f>HYPERLINK("https://www.philgeps.gov.ph/GEPSNONPILOT/Tender/SplashBidNoticeAbstractUI.aspx?menuIndex=3&amp;refID=7134829&amp;Result=3","7134829")</f>
        <v>0</v>
      </c>
      <c r="B10485" t="s">
        <v>2010</v>
      </c>
      <c r="C10485" t="s">
        <v>13714</v>
      </c>
      <c r="D10485" t="s">
        <v>18009</v>
      </c>
      <c r="E10485" t="s">
        <v>27119</v>
      </c>
      <c r="F10485" t="s">
        <v>30900</v>
      </c>
      <c r="G10485" t="s">
        <v>30907</v>
      </c>
      <c r="H10485" t="s">
        <v>30915</v>
      </c>
      <c r="I10485" t="s">
        <v>30919</v>
      </c>
      <c r="J10485" t="s">
        <v>31297</v>
      </c>
      <c r="K10485" t="s">
        <v>40378</v>
      </c>
      <c r="M10485" t="s">
        <v>42705</v>
      </c>
      <c r="N10485" t="s">
        <v>44759</v>
      </c>
      <c r="O10485" t="s">
        <v>44760</v>
      </c>
      <c r="P10485">
        <v>0</v>
      </c>
      <c r="Q10485">
        <v>0</v>
      </c>
      <c r="R10485" t="s">
        <v>44772</v>
      </c>
      <c r="S10485" t="s">
        <v>45149</v>
      </c>
      <c r="T10485" t="s">
        <v>46433</v>
      </c>
      <c r="U10485" t="s">
        <v>55616</v>
      </c>
      <c r="W10485" t="s">
        <v>42705</v>
      </c>
      <c r="X10485" t="s">
        <v>44773</v>
      </c>
    </row>
    <row r="10486" spans="1:24">
      <c r="A10486">
        <f>HYPERLINK("https://www.philgeps.gov.ph/GEPSNONPILOT/Tender/SplashBidNoticeAbstractUI.aspx?menuIndex=3&amp;refID=7134996&amp;Result=3","7134996")</f>
        <v>0</v>
      </c>
      <c r="B10486" t="s">
        <v>3191</v>
      </c>
      <c r="C10486" t="s">
        <v>13715</v>
      </c>
      <c r="D10486" t="s">
        <v>18017</v>
      </c>
      <c r="E10486" t="s">
        <v>27120</v>
      </c>
      <c r="F10486" t="s">
        <v>30900</v>
      </c>
      <c r="G10486" t="s">
        <v>30907</v>
      </c>
      <c r="H10486" t="s">
        <v>30916</v>
      </c>
      <c r="I10486" t="s">
        <v>30949</v>
      </c>
      <c r="J10486" t="s">
        <v>35135</v>
      </c>
      <c r="K10486" t="s">
        <v>40289</v>
      </c>
      <c r="M10486" t="s">
        <v>44028</v>
      </c>
      <c r="N10486" t="s">
        <v>44759</v>
      </c>
      <c r="O10486" t="s">
        <v>44760</v>
      </c>
      <c r="P10486">
        <v>0</v>
      </c>
      <c r="Q10486">
        <v>6</v>
      </c>
      <c r="R10486" t="s">
        <v>44772</v>
      </c>
      <c r="S10486" t="s">
        <v>45149</v>
      </c>
      <c r="T10486" t="s">
        <v>46511</v>
      </c>
      <c r="U10486" t="s">
        <v>55617</v>
      </c>
      <c r="W10486" t="s">
        <v>44028</v>
      </c>
      <c r="X10486" t="s">
        <v>44773</v>
      </c>
    </row>
    <row r="10487" spans="1:24">
      <c r="A10487">
        <f>HYPERLINK("https://www.philgeps.gov.ph/GEPSNONPILOT/Tender/SplashBidNoticeAbstractUI.aspx?menuIndex=3&amp;refID=7135027&amp;Result=3","7135027")</f>
        <v>0</v>
      </c>
      <c r="B10487" t="s">
        <v>2757</v>
      </c>
      <c r="C10487" t="s">
        <v>13716</v>
      </c>
      <c r="D10487" t="s">
        <v>17954</v>
      </c>
      <c r="E10487" t="s">
        <v>27121</v>
      </c>
      <c r="F10487" t="s">
        <v>30900</v>
      </c>
      <c r="G10487" t="s">
        <v>30907</v>
      </c>
      <c r="H10487" t="s">
        <v>30915</v>
      </c>
      <c r="I10487" t="s">
        <v>30919</v>
      </c>
      <c r="J10487" t="s">
        <v>37578</v>
      </c>
      <c r="K10487" t="s">
        <v>40488</v>
      </c>
      <c r="M10487" t="s">
        <v>44029</v>
      </c>
      <c r="N10487" t="s">
        <v>44759</v>
      </c>
      <c r="O10487" t="s">
        <v>44760</v>
      </c>
      <c r="P10487">
        <v>0</v>
      </c>
      <c r="Q10487">
        <v>3</v>
      </c>
      <c r="R10487" t="s">
        <v>44772</v>
      </c>
      <c r="S10487" t="s">
        <v>45149</v>
      </c>
      <c r="T10487" t="s">
        <v>46411</v>
      </c>
      <c r="U10487" t="s">
        <v>55618</v>
      </c>
      <c r="W10487" t="s">
        <v>44029</v>
      </c>
      <c r="X10487" t="s">
        <v>44773</v>
      </c>
    </row>
    <row r="10488" spans="1:24">
      <c r="A10488">
        <f>HYPERLINK("https://www.philgeps.gov.ph/GEPSNONPILOT/Tender/SplashBidNoticeAbstractUI.aspx?menuIndex=3&amp;refID=7135117&amp;Result=3","7135117")</f>
        <v>0</v>
      </c>
      <c r="B10488" t="s">
        <v>2245</v>
      </c>
      <c r="C10488" t="s">
        <v>13717</v>
      </c>
      <c r="D10488" t="s">
        <v>17959</v>
      </c>
      <c r="E10488" t="s">
        <v>27122</v>
      </c>
      <c r="F10488" t="s">
        <v>30900</v>
      </c>
      <c r="G10488" t="s">
        <v>30907</v>
      </c>
      <c r="H10488" t="s">
        <v>30915</v>
      </c>
      <c r="I10488" t="s">
        <v>30919</v>
      </c>
      <c r="J10488" t="s">
        <v>37579</v>
      </c>
      <c r="K10488" t="s">
        <v>40292</v>
      </c>
      <c r="M10488" t="s">
        <v>42956</v>
      </c>
      <c r="N10488" t="s">
        <v>44759</v>
      </c>
      <c r="O10488" t="s">
        <v>44760</v>
      </c>
      <c r="P10488">
        <v>0</v>
      </c>
      <c r="Q10488">
        <v>7</v>
      </c>
      <c r="R10488" t="s">
        <v>44772</v>
      </c>
      <c r="S10488" t="s">
        <v>45149</v>
      </c>
      <c r="T10488" t="s">
        <v>46606</v>
      </c>
      <c r="U10488" t="s">
        <v>55619</v>
      </c>
      <c r="W10488" t="s">
        <v>42956</v>
      </c>
      <c r="X10488" t="s">
        <v>44773</v>
      </c>
    </row>
    <row r="10489" spans="1:24">
      <c r="A10489">
        <f>HYPERLINK("https://www.philgeps.gov.ph/GEPSNONPILOT/Tender/SplashBidNoticeAbstractUI.aspx?menuIndex=3&amp;refID=7134974&amp;Result=3","7134974")</f>
        <v>0</v>
      </c>
      <c r="B10489" t="s">
        <v>747</v>
      </c>
      <c r="C10489" t="s">
        <v>6402</v>
      </c>
      <c r="D10489" t="s">
        <v>18021</v>
      </c>
      <c r="E10489" t="s">
        <v>27123</v>
      </c>
      <c r="F10489" t="s">
        <v>30900</v>
      </c>
      <c r="G10489" t="s">
        <v>30907</v>
      </c>
      <c r="H10489" t="s">
        <v>30916</v>
      </c>
      <c r="I10489" t="s">
        <v>8123</v>
      </c>
      <c r="J10489" t="s">
        <v>37580</v>
      </c>
      <c r="K10489" t="s">
        <v>40286</v>
      </c>
      <c r="M10489" t="s">
        <v>41311</v>
      </c>
      <c r="N10489" t="s">
        <v>44759</v>
      </c>
      <c r="O10489" t="s">
        <v>44760</v>
      </c>
      <c r="P10489">
        <v>0</v>
      </c>
      <c r="Q10489">
        <v>0</v>
      </c>
      <c r="R10489" t="s">
        <v>44772</v>
      </c>
      <c r="S10489" t="s">
        <v>45149</v>
      </c>
      <c r="T10489" t="s">
        <v>46445</v>
      </c>
      <c r="U10489" t="s">
        <v>55620</v>
      </c>
      <c r="V10489" t="s">
        <v>60283</v>
      </c>
      <c r="W10489" t="s">
        <v>41311</v>
      </c>
      <c r="X10489" t="s">
        <v>44773</v>
      </c>
    </row>
    <row r="10490" spans="1:24">
      <c r="A10490">
        <f>HYPERLINK("https://www.philgeps.gov.ph/GEPSNONPILOT/Tender/SplashBidNoticeAbstractUI.aspx?menuIndex=3&amp;refID=7134917&amp;Result=3","7134917")</f>
        <v>0</v>
      </c>
      <c r="B10490" t="s">
        <v>3192</v>
      </c>
      <c r="C10490" t="s">
        <v>13718</v>
      </c>
      <c r="D10490" t="s">
        <v>17963</v>
      </c>
      <c r="E10490" t="s">
        <v>21661</v>
      </c>
      <c r="F10490" t="s">
        <v>30900</v>
      </c>
      <c r="G10490" t="s">
        <v>30907</v>
      </c>
      <c r="H10490" t="s">
        <v>30916</v>
      </c>
      <c r="I10490" t="s">
        <v>8365</v>
      </c>
      <c r="J10490" t="s">
        <v>37581</v>
      </c>
      <c r="K10490" t="s">
        <v>40284</v>
      </c>
      <c r="M10490" t="s">
        <v>44030</v>
      </c>
      <c r="N10490" t="s">
        <v>44759</v>
      </c>
      <c r="O10490" t="s">
        <v>44760</v>
      </c>
      <c r="P10490">
        <v>0</v>
      </c>
      <c r="Q10490">
        <v>9</v>
      </c>
      <c r="R10490" t="s">
        <v>44772</v>
      </c>
      <c r="S10490" t="s">
        <v>45149</v>
      </c>
      <c r="T10490" t="s">
        <v>46426</v>
      </c>
      <c r="U10490" t="s">
        <v>55621</v>
      </c>
      <c r="W10490" t="s">
        <v>44030</v>
      </c>
      <c r="X10490" t="s">
        <v>44773</v>
      </c>
    </row>
    <row r="10491" spans="1:24">
      <c r="A10491">
        <f>HYPERLINK("https://www.philgeps.gov.ph/GEPSNONPILOT/Tender/SplashBidNoticeAbstractUI.aspx?menuIndex=3&amp;refID=7134970&amp;Result=3","7134970")</f>
        <v>0</v>
      </c>
      <c r="B10491" t="s">
        <v>3193</v>
      </c>
      <c r="C10491" t="s">
        <v>13719</v>
      </c>
      <c r="D10491" t="s">
        <v>17972</v>
      </c>
      <c r="E10491" t="s">
        <v>27124</v>
      </c>
      <c r="F10491" t="s">
        <v>30900</v>
      </c>
      <c r="G10491" t="s">
        <v>30907</v>
      </c>
      <c r="H10491" t="s">
        <v>30915</v>
      </c>
      <c r="I10491" t="s">
        <v>30919</v>
      </c>
      <c r="J10491" t="s">
        <v>37582</v>
      </c>
      <c r="K10491" t="s">
        <v>40489</v>
      </c>
      <c r="M10491" t="s">
        <v>44031</v>
      </c>
      <c r="N10491" t="s">
        <v>44759</v>
      </c>
      <c r="O10491" t="s">
        <v>44760</v>
      </c>
      <c r="P10491">
        <v>0</v>
      </c>
      <c r="Q10491">
        <v>0</v>
      </c>
      <c r="R10491" t="s">
        <v>44772</v>
      </c>
      <c r="S10491" t="s">
        <v>45149</v>
      </c>
      <c r="T10491" t="s">
        <v>46353</v>
      </c>
      <c r="U10491" t="s">
        <v>55622</v>
      </c>
      <c r="W10491" t="s">
        <v>44031</v>
      </c>
      <c r="X10491" t="s">
        <v>44773</v>
      </c>
    </row>
    <row r="10492" spans="1:24">
      <c r="A10492">
        <f>HYPERLINK("https://www.philgeps.gov.ph/GEPSNONPILOT/Tender/SplashBidNoticeAbstractUI.aspx?menuIndex=3&amp;refID=7134993&amp;Result=3","7134993")</f>
        <v>0</v>
      </c>
      <c r="B10492" t="s">
        <v>3194</v>
      </c>
      <c r="C10492" t="s">
        <v>13720</v>
      </c>
      <c r="D10492" t="s">
        <v>17962</v>
      </c>
      <c r="E10492" t="s">
        <v>24637</v>
      </c>
      <c r="F10492" t="s">
        <v>30900</v>
      </c>
      <c r="G10492" t="s">
        <v>30907</v>
      </c>
      <c r="H10492" t="s">
        <v>30916</v>
      </c>
      <c r="I10492" t="s">
        <v>6834</v>
      </c>
      <c r="J10492" t="s">
        <v>31407</v>
      </c>
      <c r="K10492" t="s">
        <v>40291</v>
      </c>
      <c r="M10492" t="s">
        <v>44032</v>
      </c>
      <c r="N10492" t="s">
        <v>44759</v>
      </c>
      <c r="O10492" t="s">
        <v>44760</v>
      </c>
      <c r="P10492">
        <v>0</v>
      </c>
      <c r="Q10492">
        <v>4</v>
      </c>
      <c r="R10492" t="s">
        <v>44772</v>
      </c>
      <c r="S10492" t="s">
        <v>45149</v>
      </c>
      <c r="T10492" t="s">
        <v>46725</v>
      </c>
      <c r="U10492" t="s">
        <v>55623</v>
      </c>
      <c r="V10492" t="s">
        <v>60284</v>
      </c>
      <c r="W10492" t="s">
        <v>44032</v>
      </c>
      <c r="X10492" t="s">
        <v>44773</v>
      </c>
    </row>
    <row r="10493" spans="1:24">
      <c r="A10493">
        <f>HYPERLINK("https://www.philgeps.gov.ph/GEPSNONPILOT/Tender/SplashBidNoticeAbstractUI.aspx?menuIndex=3&amp;refID=7134936&amp;Result=3","7134936")</f>
        <v>0</v>
      </c>
      <c r="B10493" t="s">
        <v>287</v>
      </c>
      <c r="C10493" t="s">
        <v>13721</v>
      </c>
      <c r="D10493" t="s">
        <v>17984</v>
      </c>
      <c r="E10493" t="s">
        <v>18234</v>
      </c>
      <c r="F10493" t="s">
        <v>30900</v>
      </c>
      <c r="G10493" t="s">
        <v>30907</v>
      </c>
      <c r="H10493" t="s">
        <v>30915</v>
      </c>
      <c r="I10493" t="s">
        <v>30919</v>
      </c>
      <c r="J10493" t="s">
        <v>37583</v>
      </c>
      <c r="K10493" t="s">
        <v>40302</v>
      </c>
      <c r="M10493" t="s">
        <v>40835</v>
      </c>
      <c r="N10493" t="s">
        <v>44759</v>
      </c>
      <c r="O10493" t="s">
        <v>44760</v>
      </c>
      <c r="P10493">
        <v>0</v>
      </c>
      <c r="Q10493">
        <v>1</v>
      </c>
      <c r="R10493" t="s">
        <v>44772</v>
      </c>
      <c r="S10493" t="s">
        <v>45149</v>
      </c>
      <c r="T10493" t="s">
        <v>46366</v>
      </c>
      <c r="U10493" t="s">
        <v>55624</v>
      </c>
      <c r="W10493" t="s">
        <v>40835</v>
      </c>
      <c r="X10493" t="s">
        <v>44773</v>
      </c>
    </row>
    <row r="10494" spans="1:24">
      <c r="A10494">
        <f>HYPERLINK("https://www.philgeps.gov.ph/GEPSNONPILOT/Tender/SplashBidNoticeAbstractUI.aspx?menuIndex=3&amp;refID=7135236&amp;Result=3","7135236")</f>
        <v>0</v>
      </c>
      <c r="B10494" t="s">
        <v>3140</v>
      </c>
      <c r="C10494" t="s">
        <v>6544</v>
      </c>
      <c r="E10494" t="s">
        <v>27125</v>
      </c>
      <c r="F10494" t="s">
        <v>30900</v>
      </c>
      <c r="G10494" t="s">
        <v>30907</v>
      </c>
      <c r="H10494" t="s">
        <v>30915</v>
      </c>
      <c r="I10494" t="s">
        <v>30919</v>
      </c>
      <c r="J10494" t="s">
        <v>37584</v>
      </c>
      <c r="K10494" t="s">
        <v>40289</v>
      </c>
      <c r="M10494" t="s">
        <v>43958</v>
      </c>
      <c r="N10494" t="s">
        <v>44759</v>
      </c>
      <c r="O10494" t="s">
        <v>44760</v>
      </c>
      <c r="P10494">
        <v>0</v>
      </c>
      <c r="Q10494">
        <v>0</v>
      </c>
      <c r="R10494" t="s">
        <v>44772</v>
      </c>
      <c r="S10494" t="s">
        <v>45149</v>
      </c>
      <c r="T10494" t="s">
        <v>46363</v>
      </c>
      <c r="U10494" t="s">
        <v>55625</v>
      </c>
      <c r="W10494" t="s">
        <v>43958</v>
      </c>
      <c r="X10494" t="s">
        <v>44773</v>
      </c>
    </row>
    <row r="10495" spans="1:24">
      <c r="A10495">
        <f>HYPERLINK("https://www.philgeps.gov.ph/GEPSNONPILOT/Tender/SplashBidNoticeAbstractUI.aspx?menuIndex=3&amp;refID=7135308&amp;Result=3","7135308")</f>
        <v>0</v>
      </c>
      <c r="B10495" t="s">
        <v>2465</v>
      </c>
      <c r="C10495" t="s">
        <v>13722</v>
      </c>
      <c r="D10495" t="s">
        <v>17959</v>
      </c>
      <c r="E10495" t="s">
        <v>27126</v>
      </c>
      <c r="F10495" t="s">
        <v>30900</v>
      </c>
      <c r="G10495" t="s">
        <v>30908</v>
      </c>
      <c r="H10495" t="s">
        <v>30916</v>
      </c>
      <c r="I10495" t="s">
        <v>9385</v>
      </c>
      <c r="J10495" t="s">
        <v>37585</v>
      </c>
      <c r="K10495" t="s">
        <v>40286</v>
      </c>
      <c r="M10495" t="s">
        <v>43203</v>
      </c>
      <c r="N10495" t="s">
        <v>44759</v>
      </c>
      <c r="O10495" t="s">
        <v>44760</v>
      </c>
      <c r="P10495">
        <v>0</v>
      </c>
      <c r="Q10495">
        <v>17</v>
      </c>
      <c r="R10495" t="s">
        <v>44772</v>
      </c>
      <c r="S10495" t="s">
        <v>45149</v>
      </c>
      <c r="T10495" t="s">
        <v>46662</v>
      </c>
      <c r="U10495" t="s">
        <v>55626</v>
      </c>
      <c r="V10495" t="s">
        <v>59886</v>
      </c>
      <c r="W10495" t="s">
        <v>43203</v>
      </c>
      <c r="X10495" t="s">
        <v>44773</v>
      </c>
    </row>
    <row r="10496" spans="1:24">
      <c r="A10496">
        <f>HYPERLINK("https://www.philgeps.gov.ph/GEPSNONPILOT/Tender/SplashBidNoticeAbstractUI.aspx?menuIndex=3&amp;refID=7134956&amp;Result=3","7134956")</f>
        <v>0</v>
      </c>
      <c r="B10496" t="s">
        <v>287</v>
      </c>
      <c r="C10496" t="s">
        <v>13723</v>
      </c>
      <c r="D10496" t="s">
        <v>17984</v>
      </c>
      <c r="E10496" t="s">
        <v>18405</v>
      </c>
      <c r="F10496" t="s">
        <v>30900</v>
      </c>
      <c r="G10496" t="s">
        <v>30907</v>
      </c>
      <c r="H10496" t="s">
        <v>30916</v>
      </c>
      <c r="I10496" t="s">
        <v>4545</v>
      </c>
      <c r="J10496" t="s">
        <v>33727</v>
      </c>
      <c r="K10496" t="s">
        <v>40283</v>
      </c>
      <c r="M10496" t="s">
        <v>40835</v>
      </c>
      <c r="N10496" t="s">
        <v>44759</v>
      </c>
      <c r="O10496" t="s">
        <v>44760</v>
      </c>
      <c r="P10496">
        <v>0</v>
      </c>
      <c r="Q10496">
        <v>3</v>
      </c>
      <c r="R10496" t="s">
        <v>44772</v>
      </c>
      <c r="S10496" t="s">
        <v>45149</v>
      </c>
      <c r="T10496" t="s">
        <v>46366</v>
      </c>
      <c r="U10496" t="s">
        <v>55627</v>
      </c>
      <c r="W10496" t="s">
        <v>40835</v>
      </c>
      <c r="X10496" t="s">
        <v>44773</v>
      </c>
    </row>
    <row r="10497" spans="1:24">
      <c r="A10497">
        <f>HYPERLINK("https://www.philgeps.gov.ph/GEPSNONPILOT/Tender/SplashBidNoticeAbstractUI.aspx?menuIndex=3&amp;refID=7135273&amp;Result=3","7135273")</f>
        <v>0</v>
      </c>
      <c r="B10497" t="s">
        <v>3140</v>
      </c>
      <c r="C10497" t="s">
        <v>13724</v>
      </c>
      <c r="E10497" t="s">
        <v>27127</v>
      </c>
      <c r="F10497" t="s">
        <v>30900</v>
      </c>
      <c r="G10497" t="s">
        <v>30907</v>
      </c>
      <c r="H10497" t="s">
        <v>30915</v>
      </c>
      <c r="I10497" t="s">
        <v>30919</v>
      </c>
      <c r="J10497" t="s">
        <v>34479</v>
      </c>
      <c r="K10497" t="s">
        <v>40289</v>
      </c>
      <c r="M10497" t="s">
        <v>43958</v>
      </c>
      <c r="N10497" t="s">
        <v>44759</v>
      </c>
      <c r="O10497" t="s">
        <v>44760</v>
      </c>
      <c r="P10497">
        <v>0</v>
      </c>
      <c r="Q10497">
        <v>8</v>
      </c>
      <c r="R10497" t="s">
        <v>44772</v>
      </c>
      <c r="S10497" t="s">
        <v>45149</v>
      </c>
      <c r="T10497" t="s">
        <v>46398</v>
      </c>
      <c r="U10497" t="s">
        <v>55625</v>
      </c>
      <c r="W10497" t="s">
        <v>43958</v>
      </c>
      <c r="X10497" t="s">
        <v>44773</v>
      </c>
    </row>
    <row r="10498" spans="1:24">
      <c r="A10498">
        <f>HYPERLINK("https://www.philgeps.gov.ph/GEPSNONPILOT/Tender/SplashBidNoticeAbstractUI.aspx?menuIndex=3&amp;refID=7135022&amp;Result=3","7135022")</f>
        <v>0</v>
      </c>
      <c r="B10498" t="s">
        <v>1636</v>
      </c>
      <c r="C10498" t="s">
        <v>13725</v>
      </c>
      <c r="D10498" t="s">
        <v>17989</v>
      </c>
      <c r="E10498" t="s">
        <v>27128</v>
      </c>
      <c r="F10498" t="s">
        <v>30900</v>
      </c>
      <c r="G10498" t="s">
        <v>30907</v>
      </c>
      <c r="H10498" t="s">
        <v>30915</v>
      </c>
      <c r="I10498" t="s">
        <v>30919</v>
      </c>
      <c r="J10498" t="s">
        <v>32324</v>
      </c>
      <c r="K10498" t="s">
        <v>40304</v>
      </c>
      <c r="M10498" t="s">
        <v>42291</v>
      </c>
      <c r="N10498" t="s">
        <v>44759</v>
      </c>
      <c r="O10498" t="s">
        <v>44760</v>
      </c>
      <c r="P10498">
        <v>0</v>
      </c>
      <c r="Q10498">
        <v>0</v>
      </c>
      <c r="R10498" t="s">
        <v>44772</v>
      </c>
      <c r="S10498" t="s">
        <v>45149</v>
      </c>
      <c r="T10498" t="s">
        <v>46495</v>
      </c>
      <c r="U10498" t="s">
        <v>55628</v>
      </c>
      <c r="W10498" t="s">
        <v>42291</v>
      </c>
      <c r="X10498" t="s">
        <v>44773</v>
      </c>
    </row>
    <row r="10499" spans="1:24">
      <c r="A10499">
        <f>HYPERLINK("https://www.philgeps.gov.ph/GEPSNONPILOT/Tender/SplashBidNoticeAbstractUI.aspx?menuIndex=3&amp;refID=7135263&amp;Result=3","7135263")</f>
        <v>0</v>
      </c>
      <c r="B10499" t="s">
        <v>3140</v>
      </c>
      <c r="C10499" t="s">
        <v>13726</v>
      </c>
      <c r="E10499" t="s">
        <v>27129</v>
      </c>
      <c r="F10499" t="s">
        <v>30900</v>
      </c>
      <c r="G10499" t="s">
        <v>30907</v>
      </c>
      <c r="H10499" t="s">
        <v>30915</v>
      </c>
      <c r="I10499" t="s">
        <v>30919</v>
      </c>
      <c r="J10499" t="s">
        <v>31211</v>
      </c>
      <c r="K10499" t="s">
        <v>40289</v>
      </c>
      <c r="M10499" t="s">
        <v>43958</v>
      </c>
      <c r="N10499" t="s">
        <v>44759</v>
      </c>
      <c r="O10499" t="s">
        <v>44760</v>
      </c>
      <c r="P10499">
        <v>0</v>
      </c>
      <c r="Q10499">
        <v>0</v>
      </c>
      <c r="R10499" t="s">
        <v>44772</v>
      </c>
      <c r="S10499" t="s">
        <v>45149</v>
      </c>
      <c r="T10499" t="s">
        <v>46363</v>
      </c>
      <c r="U10499" t="s">
        <v>55625</v>
      </c>
      <c r="W10499" t="s">
        <v>43958</v>
      </c>
      <c r="X10499" t="s">
        <v>44773</v>
      </c>
    </row>
    <row r="10500" spans="1:24">
      <c r="A10500">
        <f>HYPERLINK("https://www.philgeps.gov.ph/GEPSNONPILOT/Tender/SplashBidNoticeAbstractUI.aspx?menuIndex=3&amp;refID=7135255&amp;Result=3","7135255")</f>
        <v>0</v>
      </c>
      <c r="B10500" t="s">
        <v>3140</v>
      </c>
      <c r="C10500" t="s">
        <v>13727</v>
      </c>
      <c r="E10500" t="s">
        <v>27129</v>
      </c>
      <c r="F10500" t="s">
        <v>30900</v>
      </c>
      <c r="G10500" t="s">
        <v>30907</v>
      </c>
      <c r="H10500" t="s">
        <v>30915</v>
      </c>
      <c r="I10500" t="s">
        <v>30978</v>
      </c>
      <c r="J10500" t="s">
        <v>37586</v>
      </c>
      <c r="K10500" t="s">
        <v>40289</v>
      </c>
      <c r="M10500" t="s">
        <v>43958</v>
      </c>
      <c r="N10500" t="s">
        <v>44759</v>
      </c>
      <c r="O10500" t="s">
        <v>44760</v>
      </c>
      <c r="P10500">
        <v>0</v>
      </c>
      <c r="Q10500">
        <v>1</v>
      </c>
      <c r="R10500" t="s">
        <v>44772</v>
      </c>
      <c r="S10500" t="s">
        <v>45149</v>
      </c>
      <c r="T10500" t="s">
        <v>46862</v>
      </c>
      <c r="U10500" t="s">
        <v>55625</v>
      </c>
      <c r="W10500" t="s">
        <v>43958</v>
      </c>
      <c r="X10500" t="s">
        <v>44773</v>
      </c>
    </row>
    <row r="10501" spans="1:24">
      <c r="A10501">
        <f>HYPERLINK("https://www.philgeps.gov.ph/GEPSNONPILOT/Tender/SplashBidNoticeAbstractUI.aspx?menuIndex=3&amp;refID=7135239&amp;Result=3","7135239")</f>
        <v>0</v>
      </c>
      <c r="B10501" t="s">
        <v>3159</v>
      </c>
      <c r="C10501" t="s">
        <v>13728</v>
      </c>
      <c r="D10501" t="s">
        <v>17999</v>
      </c>
      <c r="E10501" t="s">
        <v>27130</v>
      </c>
      <c r="F10501" t="s">
        <v>30900</v>
      </c>
      <c r="G10501" t="s">
        <v>30907</v>
      </c>
      <c r="H10501" t="s">
        <v>30915</v>
      </c>
      <c r="I10501" t="s">
        <v>30922</v>
      </c>
      <c r="J10501" t="s">
        <v>37587</v>
      </c>
      <c r="K10501" t="s">
        <v>40315</v>
      </c>
      <c r="M10501" t="s">
        <v>43982</v>
      </c>
      <c r="N10501" t="s">
        <v>44759</v>
      </c>
      <c r="O10501" t="s">
        <v>44760</v>
      </c>
      <c r="P10501">
        <v>0</v>
      </c>
      <c r="Q10501">
        <v>1</v>
      </c>
      <c r="R10501" t="s">
        <v>44772</v>
      </c>
      <c r="S10501" t="s">
        <v>45149</v>
      </c>
      <c r="T10501" t="s">
        <v>46393</v>
      </c>
      <c r="U10501" t="s">
        <v>55629</v>
      </c>
      <c r="V10501" t="s">
        <v>60240</v>
      </c>
      <c r="W10501" t="s">
        <v>43982</v>
      </c>
      <c r="X10501" t="s">
        <v>44773</v>
      </c>
    </row>
    <row r="10502" spans="1:24">
      <c r="A10502">
        <f>HYPERLINK("https://www.philgeps.gov.ph/GEPSNONPILOT/Tender/SplashBidNoticeAbstractUI.aspx?menuIndex=3&amp;refID=7134966&amp;Result=3","7134966")</f>
        <v>0</v>
      </c>
      <c r="B10502" t="s">
        <v>1428</v>
      </c>
      <c r="C10502" t="s">
        <v>13729</v>
      </c>
      <c r="D10502" t="s">
        <v>18017</v>
      </c>
      <c r="E10502" t="s">
        <v>27131</v>
      </c>
      <c r="F10502" t="s">
        <v>30900</v>
      </c>
      <c r="G10502" t="s">
        <v>30908</v>
      </c>
      <c r="H10502" t="s">
        <v>30916</v>
      </c>
      <c r="I10502" t="s">
        <v>6953</v>
      </c>
      <c r="J10502" t="s">
        <v>37588</v>
      </c>
      <c r="K10502" t="s">
        <v>40286</v>
      </c>
      <c r="M10502" t="s">
        <v>43728</v>
      </c>
      <c r="N10502" t="s">
        <v>44759</v>
      </c>
      <c r="O10502" t="s">
        <v>44760</v>
      </c>
      <c r="P10502">
        <v>0</v>
      </c>
      <c r="Q10502">
        <v>0</v>
      </c>
      <c r="R10502" t="s">
        <v>44772</v>
      </c>
      <c r="S10502" t="s">
        <v>45149</v>
      </c>
      <c r="T10502" t="s">
        <v>46662</v>
      </c>
      <c r="U10502" t="s">
        <v>55630</v>
      </c>
      <c r="W10502" t="s">
        <v>43728</v>
      </c>
      <c r="X10502" t="s">
        <v>44773</v>
      </c>
    </row>
    <row r="10503" spans="1:24">
      <c r="A10503">
        <f>HYPERLINK("https://www.philgeps.gov.ph/GEPSNONPILOT/Tender/SplashBidNoticeAbstractUI.aspx?menuIndex=3&amp;refID=7135219&amp;Result=3","7135219")</f>
        <v>0</v>
      </c>
      <c r="B10503" t="s">
        <v>3159</v>
      </c>
      <c r="C10503" t="s">
        <v>13730</v>
      </c>
      <c r="D10503" t="s">
        <v>17999</v>
      </c>
      <c r="E10503" t="s">
        <v>27132</v>
      </c>
      <c r="F10503" t="s">
        <v>30900</v>
      </c>
      <c r="G10503" t="s">
        <v>30907</v>
      </c>
      <c r="H10503" t="s">
        <v>30915</v>
      </c>
      <c r="I10503" t="s">
        <v>30919</v>
      </c>
      <c r="J10503" t="s">
        <v>37589</v>
      </c>
      <c r="K10503" t="s">
        <v>40321</v>
      </c>
      <c r="M10503" t="s">
        <v>43982</v>
      </c>
      <c r="N10503" t="s">
        <v>44759</v>
      </c>
      <c r="O10503" t="s">
        <v>44760</v>
      </c>
      <c r="P10503">
        <v>0</v>
      </c>
      <c r="Q10503">
        <v>0</v>
      </c>
      <c r="R10503" t="s">
        <v>44772</v>
      </c>
      <c r="S10503" t="s">
        <v>45149</v>
      </c>
      <c r="T10503" t="s">
        <v>46393</v>
      </c>
      <c r="U10503" t="s">
        <v>55631</v>
      </c>
      <c r="V10503" t="s">
        <v>60240</v>
      </c>
      <c r="W10503" t="s">
        <v>43982</v>
      </c>
      <c r="X10503" t="s">
        <v>44773</v>
      </c>
    </row>
    <row r="10504" spans="1:24">
      <c r="A10504">
        <f>HYPERLINK("https://www.philgeps.gov.ph/GEPSNONPILOT/Tender/SplashBidNoticeAbstractUI.aspx?menuIndex=3&amp;refID=7135209&amp;Result=3","7135209")</f>
        <v>0</v>
      </c>
      <c r="B10504" t="s">
        <v>1093</v>
      </c>
      <c r="C10504" t="s">
        <v>13731</v>
      </c>
      <c r="D10504" t="s">
        <v>18033</v>
      </c>
      <c r="E10504" t="s">
        <v>27133</v>
      </c>
      <c r="F10504" t="s">
        <v>30900</v>
      </c>
      <c r="G10504" t="s">
        <v>30907</v>
      </c>
      <c r="H10504" t="s">
        <v>30916</v>
      </c>
      <c r="I10504" t="s">
        <v>30947</v>
      </c>
      <c r="J10504" t="s">
        <v>37590</v>
      </c>
      <c r="K10504" t="s">
        <v>40286</v>
      </c>
      <c r="M10504" t="s">
        <v>41693</v>
      </c>
      <c r="N10504" t="s">
        <v>44759</v>
      </c>
      <c r="O10504" t="s">
        <v>44760</v>
      </c>
      <c r="P10504">
        <v>0</v>
      </c>
      <c r="Q10504">
        <v>1</v>
      </c>
      <c r="R10504" t="s">
        <v>44772</v>
      </c>
      <c r="S10504" t="s">
        <v>45149</v>
      </c>
      <c r="T10504" t="s">
        <v>46595</v>
      </c>
      <c r="U10504" t="s">
        <v>55632</v>
      </c>
      <c r="W10504" t="s">
        <v>41693</v>
      </c>
      <c r="X10504" t="s">
        <v>44773</v>
      </c>
    </row>
    <row r="10505" spans="1:24">
      <c r="A10505">
        <f>HYPERLINK("https://www.philgeps.gov.ph/GEPSNONPILOT/Tender/SplashBidNoticeAbstractUI.aspx?menuIndex=3&amp;refID=7135229&amp;Result=3","7135229")</f>
        <v>0</v>
      </c>
      <c r="B10505" t="s">
        <v>3140</v>
      </c>
      <c r="C10505" t="s">
        <v>13732</v>
      </c>
      <c r="E10505" t="s">
        <v>27134</v>
      </c>
      <c r="F10505" t="s">
        <v>30900</v>
      </c>
      <c r="G10505" t="s">
        <v>30907</v>
      </c>
      <c r="H10505" t="s">
        <v>30915</v>
      </c>
      <c r="I10505" t="s">
        <v>30919</v>
      </c>
      <c r="J10505" t="s">
        <v>32896</v>
      </c>
      <c r="K10505" t="s">
        <v>40292</v>
      </c>
      <c r="M10505" t="s">
        <v>43958</v>
      </c>
      <c r="N10505" t="s">
        <v>44759</v>
      </c>
      <c r="O10505" t="s">
        <v>44760</v>
      </c>
      <c r="P10505">
        <v>0</v>
      </c>
      <c r="Q10505">
        <v>0</v>
      </c>
      <c r="R10505" t="s">
        <v>44772</v>
      </c>
      <c r="S10505" t="s">
        <v>45149</v>
      </c>
      <c r="T10505" t="s">
        <v>46363</v>
      </c>
      <c r="U10505" t="s">
        <v>55625</v>
      </c>
      <c r="W10505" t="s">
        <v>43958</v>
      </c>
      <c r="X10505" t="s">
        <v>44773</v>
      </c>
    </row>
    <row r="10506" spans="1:24">
      <c r="A10506">
        <f>HYPERLINK("https://www.philgeps.gov.ph/GEPSNONPILOT/Tender/SplashBidNoticeAbstractUI.aspx?menuIndex=3&amp;refID=7135266&amp;Result=3","7135266")</f>
        <v>0</v>
      </c>
      <c r="B10506" t="s">
        <v>3159</v>
      </c>
      <c r="C10506" t="s">
        <v>13733</v>
      </c>
      <c r="D10506" t="s">
        <v>17999</v>
      </c>
      <c r="E10506" t="s">
        <v>27135</v>
      </c>
      <c r="F10506" t="s">
        <v>30900</v>
      </c>
      <c r="G10506" t="s">
        <v>30907</v>
      </c>
      <c r="H10506" t="s">
        <v>30915</v>
      </c>
      <c r="I10506" t="s">
        <v>30919</v>
      </c>
      <c r="J10506" t="s">
        <v>37591</v>
      </c>
      <c r="K10506" t="s">
        <v>40283</v>
      </c>
      <c r="M10506" t="s">
        <v>43982</v>
      </c>
      <c r="N10506" t="s">
        <v>44759</v>
      </c>
      <c r="O10506" t="s">
        <v>44760</v>
      </c>
      <c r="P10506">
        <v>0</v>
      </c>
      <c r="Q10506">
        <v>0</v>
      </c>
      <c r="R10506" t="s">
        <v>44772</v>
      </c>
      <c r="S10506" t="s">
        <v>45149</v>
      </c>
      <c r="T10506" t="s">
        <v>46393</v>
      </c>
      <c r="U10506" t="s">
        <v>55633</v>
      </c>
      <c r="V10506" t="s">
        <v>60240</v>
      </c>
      <c r="W10506" t="s">
        <v>43982</v>
      </c>
      <c r="X10506" t="s">
        <v>44773</v>
      </c>
    </row>
    <row r="10507" spans="1:24">
      <c r="A10507">
        <f>HYPERLINK("https://www.philgeps.gov.ph/GEPSNONPILOT/Tender/SplashBidNoticeAbstractUI.aspx?menuIndex=3&amp;refID=7135205&amp;Result=3","7135205")</f>
        <v>0</v>
      </c>
      <c r="B10507" t="s">
        <v>1093</v>
      </c>
      <c r="C10507" t="s">
        <v>13734</v>
      </c>
      <c r="D10507" t="s">
        <v>18033</v>
      </c>
      <c r="E10507" t="s">
        <v>27136</v>
      </c>
      <c r="F10507" t="s">
        <v>30900</v>
      </c>
      <c r="G10507" t="s">
        <v>30907</v>
      </c>
      <c r="H10507" t="s">
        <v>30916</v>
      </c>
      <c r="I10507" t="s">
        <v>4108</v>
      </c>
      <c r="J10507" t="s">
        <v>37592</v>
      </c>
      <c r="K10507" t="s">
        <v>40286</v>
      </c>
      <c r="M10507" t="s">
        <v>41693</v>
      </c>
      <c r="N10507" t="s">
        <v>44759</v>
      </c>
      <c r="O10507" t="s">
        <v>44760</v>
      </c>
      <c r="P10507">
        <v>0</v>
      </c>
      <c r="Q10507">
        <v>0</v>
      </c>
      <c r="R10507" t="s">
        <v>44772</v>
      </c>
      <c r="S10507" t="s">
        <v>45149</v>
      </c>
      <c r="T10507" t="s">
        <v>46595</v>
      </c>
      <c r="U10507" t="s">
        <v>55634</v>
      </c>
      <c r="W10507" t="s">
        <v>41693</v>
      </c>
      <c r="X10507" t="s">
        <v>44773</v>
      </c>
    </row>
    <row r="10508" spans="1:24">
      <c r="A10508">
        <f>HYPERLINK("https://www.philgeps.gov.ph/GEPSNONPILOT/Tender/SplashBidNoticeAbstractUI.aspx?menuIndex=3&amp;refID=7135242&amp;Result=3","7135242")</f>
        <v>0</v>
      </c>
      <c r="B10508" t="s">
        <v>3140</v>
      </c>
      <c r="C10508" t="s">
        <v>13735</v>
      </c>
      <c r="E10508" t="s">
        <v>27137</v>
      </c>
      <c r="F10508" t="s">
        <v>30900</v>
      </c>
      <c r="G10508" t="s">
        <v>30907</v>
      </c>
      <c r="H10508" t="s">
        <v>30915</v>
      </c>
      <c r="I10508" t="s">
        <v>30919</v>
      </c>
      <c r="J10508" t="s">
        <v>31243</v>
      </c>
      <c r="K10508" t="s">
        <v>40289</v>
      </c>
      <c r="M10508" t="s">
        <v>43958</v>
      </c>
      <c r="N10508" t="s">
        <v>44759</v>
      </c>
      <c r="O10508" t="s">
        <v>44760</v>
      </c>
      <c r="P10508">
        <v>0</v>
      </c>
      <c r="Q10508">
        <v>0</v>
      </c>
      <c r="R10508" t="s">
        <v>44772</v>
      </c>
      <c r="S10508" t="s">
        <v>45149</v>
      </c>
      <c r="T10508" t="s">
        <v>46363</v>
      </c>
      <c r="U10508" t="s">
        <v>55625</v>
      </c>
      <c r="W10508" t="s">
        <v>43958</v>
      </c>
      <c r="X10508" t="s">
        <v>44773</v>
      </c>
    </row>
    <row r="10509" spans="1:24">
      <c r="A10509">
        <f>HYPERLINK("https://www.philgeps.gov.ph/GEPSNONPILOT/Tender/SplashBidNoticeAbstractUI.aspx?menuIndex=3&amp;refID=7125010&amp;Result=3","7125010")</f>
        <v>0</v>
      </c>
      <c r="B10509" t="s">
        <v>35</v>
      </c>
      <c r="C10509" t="s">
        <v>13736</v>
      </c>
      <c r="D10509" t="s">
        <v>17962</v>
      </c>
      <c r="E10509" t="s">
        <v>27138</v>
      </c>
      <c r="F10509" t="s">
        <v>30900</v>
      </c>
      <c r="G10509" t="s">
        <v>30907</v>
      </c>
      <c r="H10509" t="s">
        <v>30916</v>
      </c>
      <c r="I10509" t="s">
        <v>30947</v>
      </c>
      <c r="J10509" t="s">
        <v>37593</v>
      </c>
      <c r="K10509" t="s">
        <v>40283</v>
      </c>
      <c r="M10509" t="s">
        <v>40581</v>
      </c>
      <c r="N10509" t="s">
        <v>44759</v>
      </c>
      <c r="O10509" t="s">
        <v>44760</v>
      </c>
      <c r="P10509">
        <v>0</v>
      </c>
      <c r="Q10509">
        <v>6</v>
      </c>
      <c r="R10509" t="s">
        <v>44773</v>
      </c>
      <c r="S10509" t="s">
        <v>45184</v>
      </c>
      <c r="T10509" t="s">
        <v>46770</v>
      </c>
      <c r="U10509" t="s">
        <v>55635</v>
      </c>
      <c r="V10509" t="s">
        <v>59094</v>
      </c>
      <c r="W10509" t="s">
        <v>40581</v>
      </c>
      <c r="X10509" t="s">
        <v>44776</v>
      </c>
    </row>
    <row r="10510" spans="1:24">
      <c r="A10510">
        <f>HYPERLINK("https://www.philgeps.gov.ph/GEPSNONPILOT/Tender/SplashBidNoticeAbstractUI.aspx?menuIndex=3&amp;refID=7124101&amp;Result=3","7124101")</f>
        <v>0</v>
      </c>
      <c r="B10510" t="s">
        <v>1235</v>
      </c>
      <c r="C10510" t="s">
        <v>13737</v>
      </c>
      <c r="D10510" t="s">
        <v>18003</v>
      </c>
      <c r="E10510" t="s">
        <v>27139</v>
      </c>
      <c r="F10510" t="s">
        <v>30900</v>
      </c>
      <c r="G10510" t="s">
        <v>30907</v>
      </c>
      <c r="H10510" t="s">
        <v>30915</v>
      </c>
      <c r="I10510" t="s">
        <v>30919</v>
      </c>
      <c r="J10510" t="s">
        <v>37594</v>
      </c>
      <c r="K10510" t="s">
        <v>40490</v>
      </c>
      <c r="M10510" t="s">
        <v>42051</v>
      </c>
      <c r="N10510" t="s">
        <v>44759</v>
      </c>
      <c r="O10510" t="s">
        <v>44760</v>
      </c>
      <c r="P10510">
        <v>0</v>
      </c>
      <c r="Q10510">
        <v>3</v>
      </c>
      <c r="R10510" t="s">
        <v>44773</v>
      </c>
      <c r="S10510" t="s">
        <v>45184</v>
      </c>
      <c r="T10510" t="s">
        <v>46515</v>
      </c>
      <c r="U10510" t="s">
        <v>55636</v>
      </c>
      <c r="W10510" t="s">
        <v>42051</v>
      </c>
      <c r="X10510" t="s">
        <v>44776</v>
      </c>
    </row>
    <row r="10511" spans="1:24">
      <c r="A10511">
        <f>HYPERLINK("https://www.philgeps.gov.ph/GEPSNONPILOT/Tender/SplashBidNoticeAbstractUI.aspx?menuIndex=3&amp;refID=7124091&amp;Result=3","7124091")</f>
        <v>0</v>
      </c>
      <c r="B10511" t="s">
        <v>669</v>
      </c>
      <c r="C10511" t="s">
        <v>13738</v>
      </c>
      <c r="D10511" t="s">
        <v>17975</v>
      </c>
      <c r="E10511" t="s">
        <v>27140</v>
      </c>
      <c r="F10511" t="s">
        <v>30900</v>
      </c>
      <c r="G10511" t="s">
        <v>30907</v>
      </c>
      <c r="H10511" t="s">
        <v>30916</v>
      </c>
      <c r="I10511" t="s">
        <v>9385</v>
      </c>
      <c r="J10511" t="s">
        <v>31069</v>
      </c>
      <c r="K10511" t="s">
        <v>40280</v>
      </c>
      <c r="M10511" t="s">
        <v>41232</v>
      </c>
      <c r="N10511" t="s">
        <v>44759</v>
      </c>
      <c r="O10511" t="s">
        <v>44760</v>
      </c>
      <c r="P10511">
        <v>0</v>
      </c>
      <c r="Q10511">
        <v>6</v>
      </c>
      <c r="R10511" t="s">
        <v>44773</v>
      </c>
      <c r="S10511" t="s">
        <v>45184</v>
      </c>
      <c r="T10511" t="s">
        <v>46391</v>
      </c>
      <c r="U10511" t="s">
        <v>55637</v>
      </c>
      <c r="W10511" t="s">
        <v>41232</v>
      </c>
      <c r="X10511" t="s">
        <v>44776</v>
      </c>
    </row>
    <row r="10512" spans="1:24">
      <c r="A10512">
        <f>HYPERLINK("https://www.philgeps.gov.ph/GEPSNONPILOT/Tender/SplashBidNoticeAbstractUI.aspx?menuIndex=3&amp;refID=7109953-2&amp;Result=3","7109953-2")</f>
        <v>0</v>
      </c>
      <c r="B10512" t="s">
        <v>998</v>
      </c>
      <c r="C10512" t="s">
        <v>13739</v>
      </c>
      <c r="D10512" t="s">
        <v>17952</v>
      </c>
      <c r="E10512" t="s">
        <v>27141</v>
      </c>
      <c r="F10512" t="s">
        <v>30900</v>
      </c>
      <c r="G10512" t="s">
        <v>30907</v>
      </c>
      <c r="H10512" t="s">
        <v>7411</v>
      </c>
      <c r="I10512" t="s">
        <v>30919</v>
      </c>
      <c r="J10512" t="s">
        <v>37595</v>
      </c>
      <c r="K10512" t="s">
        <v>40286</v>
      </c>
      <c r="M10512" t="s">
        <v>43422</v>
      </c>
      <c r="N10512" t="s">
        <v>44759</v>
      </c>
      <c r="O10512" t="s">
        <v>44760</v>
      </c>
      <c r="P10512">
        <v>0</v>
      </c>
      <c r="Q10512">
        <v>0</v>
      </c>
      <c r="R10512" t="s">
        <v>44773</v>
      </c>
      <c r="S10512" t="s">
        <v>45184</v>
      </c>
      <c r="T10512" t="s">
        <v>46357</v>
      </c>
      <c r="U10512" t="s">
        <v>55638</v>
      </c>
      <c r="V10512" t="s">
        <v>60285</v>
      </c>
      <c r="W10512" t="s">
        <v>43422</v>
      </c>
      <c r="X10512" t="s">
        <v>44774</v>
      </c>
    </row>
    <row r="10513" spans="1:24">
      <c r="A10513">
        <f>HYPERLINK("https://www.philgeps.gov.ph/GEPSNONPILOT/Tender/SplashBidNoticeAbstractUI.aspx?menuIndex=3&amp;refID=7088446-2&amp;Result=3","7088446-2")</f>
        <v>0</v>
      </c>
      <c r="B10513" t="s">
        <v>2587</v>
      </c>
      <c r="C10513" t="s">
        <v>13740</v>
      </c>
      <c r="D10513" t="s">
        <v>17975</v>
      </c>
      <c r="E10513" t="s">
        <v>27142</v>
      </c>
      <c r="F10513" t="s">
        <v>30900</v>
      </c>
      <c r="G10513" t="s">
        <v>30907</v>
      </c>
      <c r="H10513" t="s">
        <v>7411</v>
      </c>
      <c r="I10513" t="s">
        <v>7411</v>
      </c>
      <c r="J10513" t="s">
        <v>31069</v>
      </c>
      <c r="K10513" t="s">
        <v>40312</v>
      </c>
      <c r="M10513" t="s">
        <v>43348</v>
      </c>
      <c r="N10513" t="s">
        <v>44759</v>
      </c>
      <c r="O10513" t="s">
        <v>44760</v>
      </c>
      <c r="P10513">
        <v>0</v>
      </c>
      <c r="Q10513">
        <v>0</v>
      </c>
      <c r="R10513" t="s">
        <v>44773</v>
      </c>
      <c r="S10513" t="s">
        <v>45184</v>
      </c>
      <c r="T10513" t="s">
        <v>46519</v>
      </c>
      <c r="U10513" t="s">
        <v>55639</v>
      </c>
      <c r="W10513" t="s">
        <v>43348</v>
      </c>
      <c r="X10513" t="s">
        <v>44774</v>
      </c>
    </row>
    <row r="10514" spans="1:24">
      <c r="A10514">
        <f>HYPERLINK("https://www.philgeps.gov.ph/GEPSNONPILOT/Tender/SplashBidNoticeAbstractUI.aspx?menuIndex=3&amp;refID=7095567&amp;Result=3","7095567")</f>
        <v>0</v>
      </c>
      <c r="B10514" t="s">
        <v>3195</v>
      </c>
      <c r="C10514" t="s">
        <v>6544</v>
      </c>
      <c r="D10514" t="s">
        <v>17971</v>
      </c>
      <c r="E10514" t="s">
        <v>18149</v>
      </c>
      <c r="F10514" t="s">
        <v>30900</v>
      </c>
      <c r="G10514" t="s">
        <v>30907</v>
      </c>
      <c r="H10514" t="s">
        <v>30916</v>
      </c>
      <c r="I10514" t="s">
        <v>30927</v>
      </c>
      <c r="J10514" t="s">
        <v>37596</v>
      </c>
      <c r="K10514" t="s">
        <v>40287</v>
      </c>
      <c r="M10514" t="s">
        <v>44033</v>
      </c>
      <c r="N10514" t="s">
        <v>44759</v>
      </c>
      <c r="O10514" t="s">
        <v>44760</v>
      </c>
      <c r="P10514">
        <v>0</v>
      </c>
      <c r="Q10514">
        <v>1</v>
      </c>
      <c r="R10514" t="s">
        <v>44773</v>
      </c>
      <c r="S10514" t="s">
        <v>45184</v>
      </c>
      <c r="T10514" t="s">
        <v>46379</v>
      </c>
      <c r="U10514" t="s">
        <v>55640</v>
      </c>
      <c r="W10514" t="s">
        <v>44033</v>
      </c>
      <c r="X10514" t="s">
        <v>44789</v>
      </c>
    </row>
    <row r="10515" spans="1:24">
      <c r="A10515">
        <f>HYPERLINK("https://www.philgeps.gov.ph/GEPSNONPILOT/Tender/SplashBidNoticeAbstractUI.aspx?menuIndex=3&amp;refID=7135314&amp;Result=3","7135314")</f>
        <v>0</v>
      </c>
      <c r="B10515" t="s">
        <v>1114</v>
      </c>
      <c r="C10515" t="s">
        <v>13741</v>
      </c>
      <c r="E10515" t="s">
        <v>27143</v>
      </c>
      <c r="F10515" t="s">
        <v>30900</v>
      </c>
      <c r="G10515" t="s">
        <v>30907</v>
      </c>
      <c r="H10515" t="s">
        <v>30916</v>
      </c>
      <c r="I10515" t="s">
        <v>30942</v>
      </c>
      <c r="J10515" t="s">
        <v>37597</v>
      </c>
      <c r="K10515" t="s">
        <v>40289</v>
      </c>
      <c r="M10515" t="s">
        <v>41715</v>
      </c>
      <c r="N10515" t="s">
        <v>44759</v>
      </c>
      <c r="O10515" t="s">
        <v>44760</v>
      </c>
      <c r="Q10515">
        <v>1</v>
      </c>
      <c r="R10515" t="s">
        <v>44772</v>
      </c>
      <c r="S10515" t="s">
        <v>45185</v>
      </c>
      <c r="T10515" t="s">
        <v>46497</v>
      </c>
      <c r="U10515" t="s">
        <v>49064</v>
      </c>
      <c r="W10515" t="s">
        <v>41715</v>
      </c>
      <c r="X10515" t="s">
        <v>44773</v>
      </c>
    </row>
    <row r="10516" spans="1:24">
      <c r="A10516">
        <f>HYPERLINK("https://www.philgeps.gov.ph/GEPSNONPILOT/Tender/SplashBidNoticeAbstractUI.aspx?menuIndex=3&amp;refID=7090543-2&amp;Result=3","7090543-2")</f>
        <v>0</v>
      </c>
      <c r="B10516" t="s">
        <v>3196</v>
      </c>
      <c r="C10516" t="s">
        <v>13742</v>
      </c>
      <c r="D10516" t="s">
        <v>17959</v>
      </c>
      <c r="E10516" t="s">
        <v>27144</v>
      </c>
      <c r="F10516" t="s">
        <v>30900</v>
      </c>
      <c r="G10516" t="s">
        <v>30907</v>
      </c>
      <c r="H10516" t="s">
        <v>7411</v>
      </c>
      <c r="I10516" t="s">
        <v>7411</v>
      </c>
      <c r="J10516" t="s">
        <v>37598</v>
      </c>
      <c r="K10516" t="s">
        <v>40334</v>
      </c>
      <c r="M10516" t="s">
        <v>44034</v>
      </c>
      <c r="N10516" t="s">
        <v>44759</v>
      </c>
      <c r="O10516" t="s">
        <v>44760</v>
      </c>
      <c r="P10516">
        <v>0</v>
      </c>
      <c r="Q10516">
        <v>3</v>
      </c>
      <c r="R10516" t="s">
        <v>44773</v>
      </c>
      <c r="S10516" t="s">
        <v>45184</v>
      </c>
      <c r="T10516" t="s">
        <v>46389</v>
      </c>
      <c r="U10516" t="s">
        <v>55641</v>
      </c>
      <c r="W10516" t="s">
        <v>44034</v>
      </c>
      <c r="X10516" t="s">
        <v>44774</v>
      </c>
    </row>
    <row r="10517" spans="1:24">
      <c r="A10517">
        <f>HYPERLINK("https://www.philgeps.gov.ph/GEPSNONPILOT/Tender/SplashBidNoticeAbstractUI.aspx?menuIndex=3&amp;refID=7070421&amp;Result=3","7070421")</f>
        <v>0</v>
      </c>
      <c r="B10517" t="s">
        <v>3197</v>
      </c>
      <c r="C10517" t="s">
        <v>13743</v>
      </c>
      <c r="D10517" t="s">
        <v>18013</v>
      </c>
      <c r="E10517" t="s">
        <v>27145</v>
      </c>
      <c r="F10517" t="s">
        <v>30899</v>
      </c>
      <c r="G10517" t="s">
        <v>30907</v>
      </c>
      <c r="H10517" t="s">
        <v>30915</v>
      </c>
      <c r="I10517" t="s">
        <v>30919</v>
      </c>
      <c r="J10517" t="s">
        <v>31152</v>
      </c>
      <c r="K10517" t="s">
        <v>40286</v>
      </c>
      <c r="M10517" t="s">
        <v>44035</v>
      </c>
      <c r="N10517" t="s">
        <v>44759</v>
      </c>
      <c r="O10517" t="s">
        <v>44760</v>
      </c>
      <c r="P10517">
        <v>0</v>
      </c>
      <c r="Q10517">
        <v>0</v>
      </c>
      <c r="R10517" t="s">
        <v>44773</v>
      </c>
      <c r="S10517" t="s">
        <v>45184</v>
      </c>
      <c r="T10517" t="s">
        <v>46421</v>
      </c>
      <c r="U10517" t="s">
        <v>55642</v>
      </c>
      <c r="W10517" t="s">
        <v>44035</v>
      </c>
      <c r="X10517" t="s">
        <v>44797</v>
      </c>
    </row>
    <row r="10518" spans="1:24">
      <c r="A10518">
        <f>HYPERLINK("https://www.philgeps.gov.ph/GEPSNONPILOT/Tender/SplashBidNoticeAbstractUI.aspx?menuIndex=3&amp;refID=7135328&amp;Result=3","7135328")</f>
        <v>0</v>
      </c>
      <c r="B10518" t="s">
        <v>1793</v>
      </c>
      <c r="C10518" t="s">
        <v>13744</v>
      </c>
      <c r="D10518" t="s">
        <v>18031</v>
      </c>
      <c r="E10518" t="s">
        <v>23472</v>
      </c>
      <c r="F10518" t="s">
        <v>30900</v>
      </c>
      <c r="G10518" t="s">
        <v>30907</v>
      </c>
      <c r="H10518" t="s">
        <v>30917</v>
      </c>
      <c r="I10518" t="s">
        <v>4965</v>
      </c>
      <c r="J10518" t="s">
        <v>37599</v>
      </c>
      <c r="K10518" t="s">
        <v>40283</v>
      </c>
      <c r="M10518" t="s">
        <v>42467</v>
      </c>
      <c r="N10518" t="s">
        <v>44759</v>
      </c>
      <c r="O10518" t="s">
        <v>44760</v>
      </c>
      <c r="P10518">
        <v>0</v>
      </c>
      <c r="Q10518">
        <v>0</v>
      </c>
      <c r="R10518" t="s">
        <v>44772</v>
      </c>
      <c r="S10518" t="s">
        <v>45149</v>
      </c>
      <c r="T10518" t="s">
        <v>46409</v>
      </c>
      <c r="U10518" t="s">
        <v>55643</v>
      </c>
      <c r="W10518" t="s">
        <v>42467</v>
      </c>
      <c r="X10518" t="s">
        <v>44773</v>
      </c>
    </row>
    <row r="10519" spans="1:24">
      <c r="A10519">
        <f>HYPERLINK("https://www.philgeps.gov.ph/GEPSNONPILOT/Tender/SplashBidNoticeAbstractUI.aspx?menuIndex=3&amp;refID=7135322&amp;Result=3","7135322")</f>
        <v>0</v>
      </c>
      <c r="B10519" t="s">
        <v>2465</v>
      </c>
      <c r="C10519" t="s">
        <v>13745</v>
      </c>
      <c r="D10519" t="s">
        <v>17959</v>
      </c>
      <c r="E10519" t="s">
        <v>27146</v>
      </c>
      <c r="F10519" t="s">
        <v>30900</v>
      </c>
      <c r="G10519" t="s">
        <v>30908</v>
      </c>
      <c r="H10519" t="s">
        <v>30916</v>
      </c>
      <c r="I10519" t="s">
        <v>9385</v>
      </c>
      <c r="J10519" t="s">
        <v>37600</v>
      </c>
      <c r="K10519" t="s">
        <v>40286</v>
      </c>
      <c r="M10519" t="s">
        <v>43203</v>
      </c>
      <c r="N10519" t="s">
        <v>44759</v>
      </c>
      <c r="O10519" t="s">
        <v>44760</v>
      </c>
      <c r="P10519">
        <v>0</v>
      </c>
      <c r="Q10519">
        <v>8</v>
      </c>
      <c r="R10519" t="s">
        <v>44772</v>
      </c>
      <c r="S10519" t="s">
        <v>45149</v>
      </c>
      <c r="T10519" t="s">
        <v>46391</v>
      </c>
      <c r="U10519" t="s">
        <v>55644</v>
      </c>
      <c r="V10519" t="s">
        <v>59886</v>
      </c>
      <c r="W10519" t="s">
        <v>43203</v>
      </c>
      <c r="X10519" t="s">
        <v>44773</v>
      </c>
    </row>
    <row r="10520" spans="1:24">
      <c r="A10520">
        <f>HYPERLINK("https://www.philgeps.gov.ph/GEPSNONPILOT/Tender/SplashBidNoticeAbstractUI.aspx?menuIndex=3&amp;refID=7135028&amp;Result=3","7135028")</f>
        <v>0</v>
      </c>
      <c r="B10520" t="s">
        <v>1636</v>
      </c>
      <c r="C10520" t="s">
        <v>13746</v>
      </c>
      <c r="D10520" t="s">
        <v>17989</v>
      </c>
      <c r="E10520" t="s">
        <v>27147</v>
      </c>
      <c r="F10520" t="s">
        <v>30900</v>
      </c>
      <c r="G10520" t="s">
        <v>30907</v>
      </c>
      <c r="H10520" t="s">
        <v>30915</v>
      </c>
      <c r="I10520" t="s">
        <v>30919</v>
      </c>
      <c r="J10520" t="s">
        <v>31214</v>
      </c>
      <c r="K10520" t="s">
        <v>40342</v>
      </c>
      <c r="M10520" t="s">
        <v>42291</v>
      </c>
      <c r="N10520" t="s">
        <v>44759</v>
      </c>
      <c r="O10520" t="s">
        <v>44760</v>
      </c>
      <c r="P10520">
        <v>0</v>
      </c>
      <c r="Q10520">
        <v>0</v>
      </c>
      <c r="R10520" t="s">
        <v>44772</v>
      </c>
      <c r="S10520" t="s">
        <v>45149</v>
      </c>
      <c r="T10520" t="s">
        <v>46495</v>
      </c>
      <c r="U10520" t="s">
        <v>55645</v>
      </c>
      <c r="W10520" t="s">
        <v>42291</v>
      </c>
      <c r="X10520" t="s">
        <v>44773</v>
      </c>
    </row>
    <row r="10521" spans="1:24">
      <c r="A10521">
        <f>HYPERLINK("https://www.philgeps.gov.ph/GEPSNONPILOT/Tender/SplashBidNoticeAbstractUI.aspx?menuIndex=3&amp;refID=7135013&amp;Result=3","7135013")</f>
        <v>0</v>
      </c>
      <c r="B10521" t="s">
        <v>1636</v>
      </c>
      <c r="C10521" t="s">
        <v>13747</v>
      </c>
      <c r="D10521" t="s">
        <v>17989</v>
      </c>
      <c r="E10521" t="s">
        <v>27148</v>
      </c>
      <c r="F10521" t="s">
        <v>30900</v>
      </c>
      <c r="G10521" t="s">
        <v>30907</v>
      </c>
      <c r="H10521" t="s">
        <v>30915</v>
      </c>
      <c r="I10521" t="s">
        <v>30919</v>
      </c>
      <c r="J10521" t="s">
        <v>31241</v>
      </c>
      <c r="K10521" t="s">
        <v>40342</v>
      </c>
      <c r="M10521" t="s">
        <v>42291</v>
      </c>
      <c r="N10521" t="s">
        <v>44759</v>
      </c>
      <c r="O10521" t="s">
        <v>44760</v>
      </c>
      <c r="P10521">
        <v>0</v>
      </c>
      <c r="Q10521">
        <v>0</v>
      </c>
      <c r="R10521" t="s">
        <v>44772</v>
      </c>
      <c r="S10521" t="s">
        <v>45149</v>
      </c>
      <c r="T10521" t="s">
        <v>46495</v>
      </c>
      <c r="U10521" t="s">
        <v>55646</v>
      </c>
      <c r="W10521" t="s">
        <v>42291</v>
      </c>
      <c r="X10521" t="s">
        <v>44773</v>
      </c>
    </row>
    <row r="10522" spans="1:24">
      <c r="A10522">
        <f>HYPERLINK("https://www.philgeps.gov.ph/GEPSNONPILOT/Tender/SplashBidNoticeAbstractUI.aspx?menuIndex=3&amp;refID=6862528&amp;Result=3","6862528")</f>
        <v>0</v>
      </c>
      <c r="B10522" t="s">
        <v>3198</v>
      </c>
      <c r="C10522" t="s">
        <v>13748</v>
      </c>
      <c r="D10522" t="s">
        <v>17995</v>
      </c>
      <c r="E10522" t="s">
        <v>27149</v>
      </c>
      <c r="F10522" t="s">
        <v>30900</v>
      </c>
      <c r="G10522" t="s">
        <v>30907</v>
      </c>
      <c r="H10522" t="s">
        <v>30916</v>
      </c>
      <c r="I10522" t="s">
        <v>30927</v>
      </c>
      <c r="J10522" t="s">
        <v>37601</v>
      </c>
      <c r="K10522" t="s">
        <v>40283</v>
      </c>
      <c r="L10522" t="s">
        <v>3198</v>
      </c>
      <c r="M10522" t="s">
        <v>44036</v>
      </c>
      <c r="N10522" t="s">
        <v>44759</v>
      </c>
      <c r="O10522" t="s">
        <v>44760</v>
      </c>
      <c r="P10522">
        <v>0</v>
      </c>
      <c r="Q10522">
        <v>0</v>
      </c>
      <c r="R10522" t="s">
        <v>44773</v>
      </c>
      <c r="S10522" t="s">
        <v>45184</v>
      </c>
      <c r="T10522" t="s">
        <v>46369</v>
      </c>
      <c r="U10522" t="s">
        <v>55647</v>
      </c>
      <c r="V10522" t="s">
        <v>60286</v>
      </c>
      <c r="W10522" t="s">
        <v>44036</v>
      </c>
      <c r="X10522" t="s">
        <v>60956</v>
      </c>
    </row>
    <row r="10523" spans="1:24">
      <c r="A10523">
        <f>HYPERLINK("https://www.philgeps.gov.ph/GEPSNONPILOT/Tender/SplashBidNoticeAbstractUI.aspx?menuIndex=3&amp;refID=7127194&amp;Result=3","7127194")</f>
        <v>0</v>
      </c>
      <c r="B10523" t="s">
        <v>3199</v>
      </c>
      <c r="C10523" t="s">
        <v>13749</v>
      </c>
      <c r="D10523" t="s">
        <v>17973</v>
      </c>
      <c r="E10523" t="s">
        <v>21193</v>
      </c>
      <c r="F10523" t="s">
        <v>30900</v>
      </c>
      <c r="G10523" t="s">
        <v>30907</v>
      </c>
      <c r="H10523" t="s">
        <v>30916</v>
      </c>
      <c r="I10523" t="s">
        <v>4017</v>
      </c>
      <c r="J10523" t="s">
        <v>37602</v>
      </c>
      <c r="K10523" t="s">
        <v>40314</v>
      </c>
      <c r="L10523" t="s">
        <v>3199</v>
      </c>
      <c r="M10523" t="s">
        <v>44037</v>
      </c>
      <c r="N10523" t="s">
        <v>44759</v>
      </c>
      <c r="O10523" t="s">
        <v>44760</v>
      </c>
      <c r="Q10523">
        <v>6</v>
      </c>
      <c r="R10523" t="s">
        <v>44773</v>
      </c>
      <c r="S10523" t="s">
        <v>45186</v>
      </c>
      <c r="T10523" t="s">
        <v>46422</v>
      </c>
      <c r="U10523" t="s">
        <v>55648</v>
      </c>
      <c r="V10523" t="s">
        <v>60287</v>
      </c>
      <c r="W10523" t="s">
        <v>44037</v>
      </c>
      <c r="X10523" t="s">
        <v>44775</v>
      </c>
    </row>
    <row r="10524" spans="1:24">
      <c r="A10524">
        <f>HYPERLINK("https://www.philgeps.gov.ph/GEPSNONPILOT/Tender/SplashBidNoticeAbstractUI.aspx?menuIndex=3&amp;refID=7127259&amp;Result=3","7127259")</f>
        <v>0</v>
      </c>
      <c r="B10524" t="s">
        <v>3200</v>
      </c>
      <c r="C10524" t="s">
        <v>13750</v>
      </c>
      <c r="D10524" t="s">
        <v>18011</v>
      </c>
      <c r="E10524" t="s">
        <v>27150</v>
      </c>
      <c r="F10524" t="s">
        <v>30900</v>
      </c>
      <c r="G10524" t="s">
        <v>30913</v>
      </c>
      <c r="H10524" t="s">
        <v>30916</v>
      </c>
      <c r="I10524" t="s">
        <v>4454</v>
      </c>
      <c r="J10524" t="s">
        <v>37603</v>
      </c>
      <c r="K10524" t="s">
        <v>40286</v>
      </c>
      <c r="M10524" t="s">
        <v>44038</v>
      </c>
      <c r="N10524" t="s">
        <v>44759</v>
      </c>
      <c r="O10524" t="s">
        <v>44760</v>
      </c>
      <c r="P10524">
        <v>0</v>
      </c>
      <c r="Q10524">
        <v>6</v>
      </c>
      <c r="R10524" t="s">
        <v>44773</v>
      </c>
      <c r="S10524" t="s">
        <v>45184</v>
      </c>
      <c r="T10524" t="s">
        <v>46429</v>
      </c>
      <c r="U10524" t="s">
        <v>55649</v>
      </c>
      <c r="W10524" t="s">
        <v>44038</v>
      </c>
      <c r="X10524" t="s">
        <v>44775</v>
      </c>
    </row>
    <row r="10525" spans="1:24">
      <c r="A10525">
        <f>HYPERLINK("https://www.philgeps.gov.ph/GEPSNONPILOT/Tender/SplashBidNoticeAbstractUI.aspx?menuIndex=3&amp;refID=6720290&amp;Result=3","6720290")</f>
        <v>0</v>
      </c>
      <c r="B10525" t="s">
        <v>3201</v>
      </c>
      <c r="C10525" t="s">
        <v>13751</v>
      </c>
      <c r="D10525" t="s">
        <v>18019</v>
      </c>
      <c r="E10525" t="s">
        <v>27151</v>
      </c>
      <c r="F10525" t="s">
        <v>30900</v>
      </c>
      <c r="G10525" t="s">
        <v>30907</v>
      </c>
      <c r="H10525" t="s">
        <v>30915</v>
      </c>
      <c r="I10525" t="s">
        <v>8123</v>
      </c>
      <c r="J10525" t="s">
        <v>31066</v>
      </c>
      <c r="K10525" t="s">
        <v>40293</v>
      </c>
      <c r="M10525" t="s">
        <v>44039</v>
      </c>
      <c r="N10525" t="s">
        <v>44759</v>
      </c>
      <c r="O10525" t="s">
        <v>44760</v>
      </c>
      <c r="P10525">
        <v>0</v>
      </c>
      <c r="Q10525">
        <v>3</v>
      </c>
      <c r="R10525" t="s">
        <v>44773</v>
      </c>
      <c r="S10525" t="s">
        <v>45184</v>
      </c>
      <c r="T10525" t="s">
        <v>46863</v>
      </c>
      <c r="U10525" t="s">
        <v>55650</v>
      </c>
      <c r="W10525" t="s">
        <v>44039</v>
      </c>
      <c r="X10525" t="s">
        <v>60957</v>
      </c>
    </row>
    <row r="10526" spans="1:24">
      <c r="A10526">
        <f>HYPERLINK("https://www.philgeps.gov.ph/GEPSNONPILOT/Tender/SplashBidNoticeAbstractUI.aspx?menuIndex=3&amp;refID=7127169&amp;Result=3","7127169")</f>
        <v>0</v>
      </c>
      <c r="B10526" t="s">
        <v>591</v>
      </c>
      <c r="C10526" t="s">
        <v>13752</v>
      </c>
      <c r="D10526" t="s">
        <v>17998</v>
      </c>
      <c r="E10526" t="s">
        <v>27152</v>
      </c>
      <c r="F10526" t="s">
        <v>30900</v>
      </c>
      <c r="G10526" t="s">
        <v>30907</v>
      </c>
      <c r="H10526" t="s">
        <v>30916</v>
      </c>
      <c r="I10526" t="s">
        <v>5501</v>
      </c>
      <c r="J10526" t="s">
        <v>37604</v>
      </c>
      <c r="K10526" t="s">
        <v>40286</v>
      </c>
      <c r="M10526" t="s">
        <v>41247</v>
      </c>
      <c r="N10526" t="s">
        <v>44759</v>
      </c>
      <c r="O10526" t="s">
        <v>44760</v>
      </c>
      <c r="P10526">
        <v>0</v>
      </c>
      <c r="Q10526">
        <v>3</v>
      </c>
      <c r="R10526" t="s">
        <v>44773</v>
      </c>
      <c r="S10526" t="s">
        <v>45184</v>
      </c>
      <c r="T10526" t="s">
        <v>46606</v>
      </c>
      <c r="U10526" t="s">
        <v>47981</v>
      </c>
      <c r="V10526" t="s">
        <v>59259</v>
      </c>
      <c r="W10526" t="s">
        <v>41247</v>
      </c>
      <c r="X10526" t="s">
        <v>44775</v>
      </c>
    </row>
    <row r="10527" spans="1:24">
      <c r="A10527">
        <f>HYPERLINK("https://www.philgeps.gov.ph/GEPSNONPILOT/Tender/SplashBidNoticeAbstractUI.aspx?menuIndex=3&amp;refID=7090511-2&amp;Result=3","7090511-2")</f>
        <v>0</v>
      </c>
      <c r="B10527" t="s">
        <v>3196</v>
      </c>
      <c r="C10527" t="s">
        <v>13753</v>
      </c>
      <c r="E10527" t="s">
        <v>27153</v>
      </c>
      <c r="F10527" t="s">
        <v>30900</v>
      </c>
      <c r="G10527" t="s">
        <v>30907</v>
      </c>
      <c r="H10527" t="s">
        <v>7411</v>
      </c>
      <c r="I10527" t="s">
        <v>7411</v>
      </c>
      <c r="J10527" t="s">
        <v>37605</v>
      </c>
      <c r="K10527" t="s">
        <v>40334</v>
      </c>
      <c r="M10527" t="s">
        <v>44034</v>
      </c>
      <c r="N10527" t="s">
        <v>44759</v>
      </c>
      <c r="O10527" t="s">
        <v>44760</v>
      </c>
      <c r="P10527">
        <v>0</v>
      </c>
      <c r="Q10527">
        <v>3</v>
      </c>
      <c r="R10527" t="s">
        <v>44773</v>
      </c>
      <c r="S10527" t="s">
        <v>45184</v>
      </c>
      <c r="T10527" t="s">
        <v>46389</v>
      </c>
      <c r="U10527" t="s">
        <v>55651</v>
      </c>
      <c r="W10527" t="s">
        <v>44034</v>
      </c>
      <c r="X10527" t="s">
        <v>44774</v>
      </c>
    </row>
    <row r="10528" spans="1:24">
      <c r="A10528">
        <f>HYPERLINK("https://www.philgeps.gov.ph/GEPSNONPILOT/Tender/SplashBidNoticeAbstractUI.aspx?menuIndex=3&amp;refID=7127079&amp;Result=3","7127079")</f>
        <v>0</v>
      </c>
      <c r="B10528" t="s">
        <v>3202</v>
      </c>
      <c r="C10528" t="s">
        <v>13754</v>
      </c>
      <c r="D10528" t="s">
        <v>17986</v>
      </c>
      <c r="E10528" t="s">
        <v>27154</v>
      </c>
      <c r="F10528" t="s">
        <v>30900</v>
      </c>
      <c r="G10528" t="s">
        <v>30907</v>
      </c>
      <c r="H10528" t="s">
        <v>30915</v>
      </c>
      <c r="I10528" t="s">
        <v>30919</v>
      </c>
      <c r="J10528" t="s">
        <v>37606</v>
      </c>
      <c r="K10528" t="s">
        <v>40280</v>
      </c>
      <c r="M10528" t="s">
        <v>44040</v>
      </c>
      <c r="N10528" t="s">
        <v>44759</v>
      </c>
      <c r="O10528" t="s">
        <v>44760</v>
      </c>
      <c r="P10528">
        <v>0</v>
      </c>
      <c r="Q10528">
        <v>0</v>
      </c>
      <c r="R10528" t="s">
        <v>44773</v>
      </c>
      <c r="S10528" t="s">
        <v>45184</v>
      </c>
      <c r="T10528" t="s">
        <v>46409</v>
      </c>
      <c r="U10528" t="s">
        <v>55652</v>
      </c>
      <c r="V10528" t="s">
        <v>60288</v>
      </c>
      <c r="W10528" t="s">
        <v>44040</v>
      </c>
      <c r="X10528" t="s">
        <v>44775</v>
      </c>
    </row>
    <row r="10529" spans="1:24">
      <c r="A10529">
        <f>HYPERLINK("https://www.philgeps.gov.ph/GEPSNONPILOT/Tender/SplashBidNoticeAbstractUI.aspx?menuIndex=3&amp;refID=7127139&amp;Result=3","7127139")</f>
        <v>0</v>
      </c>
      <c r="B10529" t="s">
        <v>3202</v>
      </c>
      <c r="C10529" t="s">
        <v>13755</v>
      </c>
      <c r="D10529" t="s">
        <v>17986</v>
      </c>
      <c r="E10529" t="s">
        <v>27155</v>
      </c>
      <c r="F10529" t="s">
        <v>30900</v>
      </c>
      <c r="G10529" t="s">
        <v>30907</v>
      </c>
      <c r="H10529" t="s">
        <v>30915</v>
      </c>
      <c r="I10529" t="s">
        <v>30919</v>
      </c>
      <c r="J10529" t="s">
        <v>37607</v>
      </c>
      <c r="K10529" t="s">
        <v>40354</v>
      </c>
      <c r="M10529" t="s">
        <v>44040</v>
      </c>
      <c r="N10529" t="s">
        <v>44759</v>
      </c>
      <c r="O10529" t="s">
        <v>44760</v>
      </c>
      <c r="P10529">
        <v>0</v>
      </c>
      <c r="Q10529">
        <v>1</v>
      </c>
      <c r="R10529" t="s">
        <v>44773</v>
      </c>
      <c r="S10529" t="s">
        <v>45184</v>
      </c>
      <c r="T10529" t="s">
        <v>46409</v>
      </c>
      <c r="U10529" t="s">
        <v>55653</v>
      </c>
      <c r="V10529" t="s">
        <v>60288</v>
      </c>
      <c r="W10529" t="s">
        <v>44040</v>
      </c>
      <c r="X10529" t="s">
        <v>44775</v>
      </c>
    </row>
    <row r="10530" spans="1:24">
      <c r="A10530">
        <f>HYPERLINK("https://www.philgeps.gov.ph/GEPSNONPILOT/Tender/SplashBidNoticeAbstractUI.aspx?menuIndex=3&amp;refID=7127103&amp;Result=3","7127103")</f>
        <v>0</v>
      </c>
      <c r="B10530" t="s">
        <v>2744</v>
      </c>
      <c r="C10530" t="s">
        <v>13756</v>
      </c>
      <c r="D10530" t="s">
        <v>17952</v>
      </c>
      <c r="E10530" t="s">
        <v>27156</v>
      </c>
      <c r="F10530" t="s">
        <v>30900</v>
      </c>
      <c r="G10530" t="s">
        <v>30907</v>
      </c>
      <c r="H10530" t="s">
        <v>30916</v>
      </c>
      <c r="I10530" t="s">
        <v>8123</v>
      </c>
      <c r="J10530" t="s">
        <v>37608</v>
      </c>
      <c r="K10530" t="s">
        <v>40283</v>
      </c>
      <c r="M10530" t="s">
        <v>43520</v>
      </c>
      <c r="N10530" t="s">
        <v>44759</v>
      </c>
      <c r="O10530" t="s">
        <v>44760</v>
      </c>
      <c r="P10530">
        <v>0</v>
      </c>
      <c r="Q10530">
        <v>0</v>
      </c>
      <c r="R10530" t="s">
        <v>44773</v>
      </c>
      <c r="S10530" t="s">
        <v>45184</v>
      </c>
      <c r="T10530" t="s">
        <v>46413</v>
      </c>
      <c r="U10530" t="s">
        <v>53912</v>
      </c>
      <c r="W10530" t="s">
        <v>43520</v>
      </c>
      <c r="X10530" t="s">
        <v>44775</v>
      </c>
    </row>
    <row r="10531" spans="1:24">
      <c r="A10531">
        <f>HYPERLINK("https://www.philgeps.gov.ph/GEPSNONPILOT/Tender/SplashBidNoticeAbstractUI.aspx?menuIndex=3&amp;refID=7126915&amp;Result=3","7126915")</f>
        <v>0</v>
      </c>
      <c r="B10531" t="s">
        <v>1934</v>
      </c>
      <c r="C10531" t="s">
        <v>13757</v>
      </c>
      <c r="D10531" t="s">
        <v>17984</v>
      </c>
      <c r="E10531" t="s">
        <v>27157</v>
      </c>
      <c r="F10531" t="s">
        <v>30900</v>
      </c>
      <c r="G10531" t="s">
        <v>30907</v>
      </c>
      <c r="H10531" t="s">
        <v>30915</v>
      </c>
      <c r="I10531" t="s">
        <v>30919</v>
      </c>
      <c r="J10531" t="s">
        <v>37609</v>
      </c>
      <c r="K10531" t="s">
        <v>40491</v>
      </c>
      <c r="M10531" t="s">
        <v>42615</v>
      </c>
      <c r="N10531" t="s">
        <v>44759</v>
      </c>
      <c r="O10531" t="s">
        <v>44760</v>
      </c>
      <c r="Q10531">
        <v>0</v>
      </c>
      <c r="R10531" t="s">
        <v>44773</v>
      </c>
      <c r="S10531" t="s">
        <v>45187</v>
      </c>
      <c r="T10531" t="s">
        <v>46409</v>
      </c>
      <c r="U10531" t="s">
        <v>55654</v>
      </c>
      <c r="W10531" t="s">
        <v>42615</v>
      </c>
      <c r="X10531" t="s">
        <v>44775</v>
      </c>
    </row>
    <row r="10532" spans="1:24">
      <c r="A10532">
        <f>HYPERLINK("https://www.philgeps.gov.ph/GEPSNONPILOT/Tender/SplashBidNoticeAbstractUI.aspx?menuIndex=3&amp;refID=7126619&amp;Result=3","7126619")</f>
        <v>0</v>
      </c>
      <c r="B10532" t="s">
        <v>1948</v>
      </c>
      <c r="C10532" t="s">
        <v>13758</v>
      </c>
      <c r="D10532" t="s">
        <v>17959</v>
      </c>
      <c r="E10532" t="s">
        <v>27158</v>
      </c>
      <c r="F10532" t="s">
        <v>30900</v>
      </c>
      <c r="G10532" t="s">
        <v>30907</v>
      </c>
      <c r="H10532" t="s">
        <v>30916</v>
      </c>
      <c r="I10532" t="s">
        <v>30918</v>
      </c>
      <c r="J10532" t="s">
        <v>31766</v>
      </c>
      <c r="K10532" t="s">
        <v>40286</v>
      </c>
      <c r="M10532" t="s">
        <v>44041</v>
      </c>
      <c r="N10532" t="s">
        <v>44759</v>
      </c>
      <c r="O10532" t="s">
        <v>44760</v>
      </c>
      <c r="P10532">
        <v>0</v>
      </c>
      <c r="Q10532">
        <v>35</v>
      </c>
      <c r="R10532" t="s">
        <v>44773</v>
      </c>
      <c r="S10532" t="s">
        <v>45184</v>
      </c>
      <c r="T10532" t="s">
        <v>46552</v>
      </c>
      <c r="U10532" t="s">
        <v>55655</v>
      </c>
      <c r="V10532" t="s">
        <v>60289</v>
      </c>
      <c r="W10532" t="s">
        <v>44041</v>
      </c>
      <c r="X10532" t="s">
        <v>44775</v>
      </c>
    </row>
    <row r="10533" spans="1:24">
      <c r="A10533">
        <f>HYPERLINK("https://www.philgeps.gov.ph/GEPSNONPILOT/Tender/SplashBidNoticeAbstractUI.aspx?menuIndex=3&amp;refID=7127068&amp;Result=3","7127068")</f>
        <v>0</v>
      </c>
      <c r="B10533" t="s">
        <v>50</v>
      </c>
      <c r="C10533" t="s">
        <v>13759</v>
      </c>
      <c r="D10533" t="s">
        <v>17972</v>
      </c>
      <c r="E10533" t="s">
        <v>27159</v>
      </c>
      <c r="F10533" t="s">
        <v>30900</v>
      </c>
      <c r="G10533" t="s">
        <v>30907</v>
      </c>
      <c r="H10533" t="s">
        <v>30915</v>
      </c>
      <c r="I10533" t="s">
        <v>30919</v>
      </c>
      <c r="J10533" t="s">
        <v>37610</v>
      </c>
      <c r="K10533" t="s">
        <v>40292</v>
      </c>
      <c r="M10533" t="s">
        <v>40596</v>
      </c>
      <c r="N10533" t="s">
        <v>44759</v>
      </c>
      <c r="O10533" t="s">
        <v>44760</v>
      </c>
      <c r="P10533">
        <v>0</v>
      </c>
      <c r="Q10533">
        <v>3</v>
      </c>
      <c r="R10533" t="s">
        <v>44773</v>
      </c>
      <c r="S10533" t="s">
        <v>45184</v>
      </c>
      <c r="T10533" t="s">
        <v>46835</v>
      </c>
      <c r="U10533" t="s">
        <v>55656</v>
      </c>
      <c r="V10533" t="s">
        <v>59099</v>
      </c>
      <c r="W10533" t="s">
        <v>40596</v>
      </c>
      <c r="X10533" t="s">
        <v>44775</v>
      </c>
    </row>
    <row r="10534" spans="1:24">
      <c r="A10534">
        <f>HYPERLINK("https://www.philgeps.gov.ph/GEPSNONPILOT/Tender/SplashBidNoticeAbstractUI.aspx?menuIndex=3&amp;refID=7126767&amp;Result=3","7126767")</f>
        <v>0</v>
      </c>
      <c r="B10534" t="s">
        <v>3202</v>
      </c>
      <c r="C10534" t="s">
        <v>13760</v>
      </c>
      <c r="D10534" t="s">
        <v>17986</v>
      </c>
      <c r="E10534" t="s">
        <v>27160</v>
      </c>
      <c r="F10534" t="s">
        <v>30900</v>
      </c>
      <c r="G10534" t="s">
        <v>30907</v>
      </c>
      <c r="H10534" t="s">
        <v>30915</v>
      </c>
      <c r="I10534" t="s">
        <v>30919</v>
      </c>
      <c r="J10534" t="s">
        <v>37611</v>
      </c>
      <c r="K10534" t="s">
        <v>40301</v>
      </c>
      <c r="M10534" t="s">
        <v>44040</v>
      </c>
      <c r="N10534" t="s">
        <v>44759</v>
      </c>
      <c r="O10534" t="s">
        <v>44760</v>
      </c>
      <c r="P10534">
        <v>0</v>
      </c>
      <c r="Q10534">
        <v>1</v>
      </c>
      <c r="R10534" t="s">
        <v>44773</v>
      </c>
      <c r="S10534" t="s">
        <v>45184</v>
      </c>
      <c r="T10534" t="s">
        <v>46409</v>
      </c>
      <c r="U10534" t="s">
        <v>55657</v>
      </c>
      <c r="V10534" t="s">
        <v>60288</v>
      </c>
      <c r="W10534" t="s">
        <v>44040</v>
      </c>
      <c r="X10534" t="s">
        <v>44775</v>
      </c>
    </row>
    <row r="10535" spans="1:24">
      <c r="A10535">
        <f>HYPERLINK("https://www.philgeps.gov.ph/GEPSNONPILOT/Tender/SplashBidNoticeAbstractUI.aspx?menuIndex=3&amp;refID=7127058&amp;Result=3","7127058")</f>
        <v>0</v>
      </c>
      <c r="B10535" t="s">
        <v>1934</v>
      </c>
      <c r="C10535" t="s">
        <v>13761</v>
      </c>
      <c r="D10535" t="s">
        <v>17984</v>
      </c>
      <c r="E10535" t="s">
        <v>27161</v>
      </c>
      <c r="F10535" t="s">
        <v>30900</v>
      </c>
      <c r="G10535" t="s">
        <v>30907</v>
      </c>
      <c r="H10535" t="s">
        <v>30915</v>
      </c>
      <c r="I10535" t="s">
        <v>30919</v>
      </c>
      <c r="J10535" t="s">
        <v>37612</v>
      </c>
      <c r="K10535" t="s">
        <v>40312</v>
      </c>
      <c r="M10535" t="s">
        <v>42615</v>
      </c>
      <c r="N10535" t="s">
        <v>44759</v>
      </c>
      <c r="O10535" t="s">
        <v>44760</v>
      </c>
      <c r="Q10535">
        <v>1</v>
      </c>
      <c r="R10535" t="s">
        <v>44773</v>
      </c>
      <c r="S10535" t="s">
        <v>45188</v>
      </c>
      <c r="T10535" t="s">
        <v>46409</v>
      </c>
      <c r="U10535" t="s">
        <v>55658</v>
      </c>
      <c r="W10535" t="s">
        <v>42615</v>
      </c>
      <c r="X10535" t="s">
        <v>44775</v>
      </c>
    </row>
    <row r="10536" spans="1:24">
      <c r="A10536">
        <f>HYPERLINK("https://www.philgeps.gov.ph/GEPSNONPILOT/Tender/SplashBidNoticeAbstractUI.aspx?menuIndex=3&amp;refID=7126541&amp;Result=3","7126541")</f>
        <v>0</v>
      </c>
      <c r="B10536" t="s">
        <v>1235</v>
      </c>
      <c r="C10536" t="s">
        <v>13762</v>
      </c>
      <c r="D10536" t="s">
        <v>18003</v>
      </c>
      <c r="E10536" t="s">
        <v>27162</v>
      </c>
      <c r="F10536" t="s">
        <v>30900</v>
      </c>
      <c r="G10536" t="s">
        <v>30907</v>
      </c>
      <c r="H10536" t="s">
        <v>30915</v>
      </c>
      <c r="I10536" t="s">
        <v>30919</v>
      </c>
      <c r="J10536" t="s">
        <v>37613</v>
      </c>
      <c r="K10536" t="s">
        <v>40354</v>
      </c>
      <c r="M10536" t="s">
        <v>42051</v>
      </c>
      <c r="N10536" t="s">
        <v>44759</v>
      </c>
      <c r="O10536" t="s">
        <v>44760</v>
      </c>
      <c r="P10536">
        <v>0</v>
      </c>
      <c r="Q10536">
        <v>1</v>
      </c>
      <c r="R10536" t="s">
        <v>44773</v>
      </c>
      <c r="S10536" t="s">
        <v>45184</v>
      </c>
      <c r="T10536" t="s">
        <v>46515</v>
      </c>
      <c r="U10536" t="s">
        <v>55659</v>
      </c>
      <c r="W10536" t="s">
        <v>42051</v>
      </c>
      <c r="X10536" t="s">
        <v>44775</v>
      </c>
    </row>
    <row r="10537" spans="1:24">
      <c r="A10537">
        <f>HYPERLINK("https://www.philgeps.gov.ph/GEPSNONPILOT/Tender/SplashBidNoticeAbstractUI.aspx?menuIndex=3&amp;refID=7126346&amp;Result=3","7126346")</f>
        <v>0</v>
      </c>
      <c r="B10537" t="s">
        <v>3203</v>
      </c>
      <c r="C10537" t="s">
        <v>13763</v>
      </c>
      <c r="D10537" t="s">
        <v>17974</v>
      </c>
      <c r="E10537" t="s">
        <v>23472</v>
      </c>
      <c r="F10537" t="s">
        <v>30900</v>
      </c>
      <c r="G10537" t="s">
        <v>30907</v>
      </c>
      <c r="H10537" t="s">
        <v>30915</v>
      </c>
      <c r="I10537" t="s">
        <v>30927</v>
      </c>
      <c r="J10537" t="s">
        <v>37614</v>
      </c>
      <c r="K10537" t="s">
        <v>40283</v>
      </c>
      <c r="M10537" t="s">
        <v>44042</v>
      </c>
      <c r="N10537" t="s">
        <v>44759</v>
      </c>
      <c r="O10537" t="s">
        <v>44760</v>
      </c>
      <c r="Q10537">
        <v>2</v>
      </c>
      <c r="R10537" t="s">
        <v>44773</v>
      </c>
      <c r="S10537" t="s">
        <v>45189</v>
      </c>
      <c r="T10537" t="s">
        <v>46369</v>
      </c>
      <c r="U10537" t="s">
        <v>55660</v>
      </c>
      <c r="W10537" t="s">
        <v>44042</v>
      </c>
      <c r="X10537" t="s">
        <v>44776</v>
      </c>
    </row>
    <row r="10538" spans="1:24">
      <c r="A10538">
        <f>HYPERLINK("https://www.philgeps.gov.ph/GEPSNONPILOT/Tender/SplashBidNoticeAbstractUI.aspx?menuIndex=3&amp;refID=7125481&amp;Result=3","7125481")</f>
        <v>0</v>
      </c>
      <c r="B10538" t="s">
        <v>3204</v>
      </c>
      <c r="C10538" t="s">
        <v>13764</v>
      </c>
      <c r="D10538" t="s">
        <v>17985</v>
      </c>
      <c r="E10538" t="s">
        <v>18271</v>
      </c>
      <c r="F10538" t="s">
        <v>30900</v>
      </c>
      <c r="G10538" t="s">
        <v>30907</v>
      </c>
      <c r="H10538" t="s">
        <v>30915</v>
      </c>
      <c r="I10538" t="s">
        <v>30919</v>
      </c>
      <c r="J10538" t="s">
        <v>31049</v>
      </c>
      <c r="K10538" t="s">
        <v>40280</v>
      </c>
      <c r="M10538" t="s">
        <v>44043</v>
      </c>
      <c r="N10538" t="s">
        <v>44759</v>
      </c>
      <c r="O10538" t="s">
        <v>44760</v>
      </c>
      <c r="P10538">
        <v>0</v>
      </c>
      <c r="Q10538">
        <v>0</v>
      </c>
      <c r="R10538" t="s">
        <v>44773</v>
      </c>
      <c r="S10538" t="s">
        <v>45184</v>
      </c>
      <c r="T10538" t="s">
        <v>46383</v>
      </c>
      <c r="U10538" t="s">
        <v>55661</v>
      </c>
      <c r="V10538" t="s">
        <v>60290</v>
      </c>
      <c r="W10538" t="s">
        <v>44043</v>
      </c>
      <c r="X10538" t="s">
        <v>44776</v>
      </c>
    </row>
    <row r="10539" spans="1:24">
      <c r="A10539">
        <f>HYPERLINK("https://www.philgeps.gov.ph/GEPSNONPILOT/Tender/SplashBidNoticeAbstractUI.aspx?menuIndex=3&amp;refID=7081901&amp;Result=3","7081901")</f>
        <v>0</v>
      </c>
      <c r="B10539" t="s">
        <v>3205</v>
      </c>
      <c r="C10539" t="s">
        <v>13765</v>
      </c>
      <c r="D10539" t="s">
        <v>17993</v>
      </c>
      <c r="E10539" t="s">
        <v>27163</v>
      </c>
      <c r="F10539" t="s">
        <v>30900</v>
      </c>
      <c r="G10539" t="s">
        <v>30907</v>
      </c>
      <c r="H10539" t="s">
        <v>30916</v>
      </c>
      <c r="I10539" t="s">
        <v>4061</v>
      </c>
      <c r="J10539" t="s">
        <v>37615</v>
      </c>
      <c r="K10539" t="s">
        <v>40289</v>
      </c>
      <c r="M10539" t="s">
        <v>44044</v>
      </c>
      <c r="N10539" t="s">
        <v>44759</v>
      </c>
      <c r="O10539" t="s">
        <v>44760</v>
      </c>
      <c r="P10539">
        <v>0</v>
      </c>
      <c r="Q10539">
        <v>2</v>
      </c>
      <c r="R10539" t="s">
        <v>44773</v>
      </c>
      <c r="S10539" t="s">
        <v>45184</v>
      </c>
      <c r="T10539" t="s">
        <v>46835</v>
      </c>
      <c r="U10539" t="s">
        <v>55662</v>
      </c>
      <c r="W10539" t="s">
        <v>44044</v>
      </c>
      <c r="X10539" t="s">
        <v>44794</v>
      </c>
    </row>
    <row r="10540" spans="1:24">
      <c r="A10540">
        <f>HYPERLINK("https://www.philgeps.gov.ph/GEPSNONPILOT/Tender/SplashBidNoticeAbstractUI.aspx?menuIndex=3&amp;refID=7125120&amp;Result=3","7125120")</f>
        <v>0</v>
      </c>
      <c r="B10540" t="s">
        <v>35</v>
      </c>
      <c r="C10540" t="s">
        <v>13766</v>
      </c>
      <c r="D10540" t="s">
        <v>17962</v>
      </c>
      <c r="E10540" t="s">
        <v>27164</v>
      </c>
      <c r="F10540" t="s">
        <v>30900</v>
      </c>
      <c r="G10540" t="s">
        <v>30907</v>
      </c>
      <c r="H10540" t="s">
        <v>30916</v>
      </c>
      <c r="I10540" t="s">
        <v>30933</v>
      </c>
      <c r="J10540" t="s">
        <v>37616</v>
      </c>
      <c r="K10540" t="s">
        <v>40280</v>
      </c>
      <c r="M10540" t="s">
        <v>40581</v>
      </c>
      <c r="N10540" t="s">
        <v>44759</v>
      </c>
      <c r="O10540" t="s">
        <v>44760</v>
      </c>
      <c r="P10540">
        <v>0</v>
      </c>
      <c r="Q10540">
        <v>4</v>
      </c>
      <c r="R10540" t="s">
        <v>44773</v>
      </c>
      <c r="S10540" t="s">
        <v>45184</v>
      </c>
      <c r="T10540" t="s">
        <v>46770</v>
      </c>
      <c r="U10540" t="s">
        <v>55663</v>
      </c>
      <c r="V10540" t="s">
        <v>59094</v>
      </c>
      <c r="W10540" t="s">
        <v>40581</v>
      </c>
      <c r="X10540" t="s">
        <v>44776</v>
      </c>
    </row>
    <row r="10541" spans="1:24">
      <c r="A10541">
        <f>HYPERLINK("https://www.philgeps.gov.ph/GEPSNONPILOT/Tender/SplashBidNoticeAbstractUI.aspx?menuIndex=3&amp;refID=7135321&amp;Result=3","7135321")</f>
        <v>0</v>
      </c>
      <c r="B10541" t="s">
        <v>2465</v>
      </c>
      <c r="C10541" t="s">
        <v>13767</v>
      </c>
      <c r="D10541" t="s">
        <v>17959</v>
      </c>
      <c r="E10541" t="s">
        <v>27165</v>
      </c>
      <c r="F10541" t="s">
        <v>30900</v>
      </c>
      <c r="G10541" t="s">
        <v>30908</v>
      </c>
      <c r="H10541" t="s">
        <v>30916</v>
      </c>
      <c r="I10541" t="s">
        <v>9385</v>
      </c>
      <c r="J10541" t="s">
        <v>33907</v>
      </c>
      <c r="K10541" t="s">
        <v>40286</v>
      </c>
      <c r="M10541" t="s">
        <v>43203</v>
      </c>
      <c r="N10541" t="s">
        <v>44759</v>
      </c>
      <c r="O10541" t="s">
        <v>44760</v>
      </c>
      <c r="P10541">
        <v>0</v>
      </c>
      <c r="Q10541">
        <v>9</v>
      </c>
      <c r="R10541" t="s">
        <v>44772</v>
      </c>
      <c r="S10541" t="s">
        <v>45149</v>
      </c>
      <c r="T10541" t="s">
        <v>46662</v>
      </c>
      <c r="U10541" t="s">
        <v>55664</v>
      </c>
      <c r="V10541" t="s">
        <v>59886</v>
      </c>
      <c r="W10541" t="s">
        <v>43203</v>
      </c>
      <c r="X10541" t="s">
        <v>44773</v>
      </c>
    </row>
    <row r="10542" spans="1:24">
      <c r="A10542">
        <f>HYPERLINK("https://www.philgeps.gov.ph/GEPSNONPILOT/Tender/SplashBidNoticeAbstractUI.aspx?menuIndex=3&amp;refID=7126556&amp;Result=3","7126556")</f>
        <v>0</v>
      </c>
      <c r="B10542" t="s">
        <v>1235</v>
      </c>
      <c r="C10542" t="s">
        <v>13768</v>
      </c>
      <c r="D10542" t="s">
        <v>18003</v>
      </c>
      <c r="E10542" t="s">
        <v>27166</v>
      </c>
      <c r="F10542" t="s">
        <v>30900</v>
      </c>
      <c r="G10542" t="s">
        <v>30907</v>
      </c>
      <c r="H10542" t="s">
        <v>30915</v>
      </c>
      <c r="I10542" t="s">
        <v>30919</v>
      </c>
      <c r="J10542" t="s">
        <v>37617</v>
      </c>
      <c r="K10542" t="s">
        <v>40471</v>
      </c>
      <c r="M10542" t="s">
        <v>42051</v>
      </c>
      <c r="N10542" t="s">
        <v>44759</v>
      </c>
      <c r="O10542" t="s">
        <v>44760</v>
      </c>
      <c r="P10542">
        <v>0</v>
      </c>
      <c r="Q10542">
        <v>4</v>
      </c>
      <c r="R10542" t="s">
        <v>44773</v>
      </c>
      <c r="S10542" t="s">
        <v>45184</v>
      </c>
      <c r="T10542" t="s">
        <v>46515</v>
      </c>
      <c r="U10542" t="s">
        <v>55665</v>
      </c>
      <c r="W10542" t="s">
        <v>42051</v>
      </c>
      <c r="X10542" t="s">
        <v>44775</v>
      </c>
    </row>
    <row r="10543" spans="1:24">
      <c r="A10543">
        <f>HYPERLINK("https://www.philgeps.gov.ph/GEPSNONPILOT/Tender/SplashBidNoticeAbstractUI.aspx?menuIndex=3&amp;refID=7128262&amp;Result=3","7128262")</f>
        <v>0</v>
      </c>
      <c r="B10543" t="s">
        <v>3206</v>
      </c>
      <c r="C10543" t="s">
        <v>13769</v>
      </c>
      <c r="D10543" t="s">
        <v>18022</v>
      </c>
      <c r="E10543" t="s">
        <v>19274</v>
      </c>
      <c r="F10543" t="s">
        <v>30900</v>
      </c>
      <c r="G10543" t="s">
        <v>30907</v>
      </c>
      <c r="H10543" t="s">
        <v>30916</v>
      </c>
      <c r="I10543" t="s">
        <v>6834</v>
      </c>
      <c r="J10543" t="s">
        <v>37618</v>
      </c>
      <c r="K10543" t="s">
        <v>40283</v>
      </c>
      <c r="M10543" t="s">
        <v>44045</v>
      </c>
      <c r="N10543" t="s">
        <v>44759</v>
      </c>
      <c r="O10543" t="s">
        <v>44760</v>
      </c>
      <c r="P10543">
        <v>0</v>
      </c>
      <c r="Q10543">
        <v>5</v>
      </c>
      <c r="R10543" t="s">
        <v>44773</v>
      </c>
      <c r="S10543" t="s">
        <v>45184</v>
      </c>
      <c r="T10543" t="s">
        <v>46418</v>
      </c>
      <c r="U10543" t="s">
        <v>55666</v>
      </c>
      <c r="W10543" t="s">
        <v>44045</v>
      </c>
      <c r="X10543" t="s">
        <v>44775</v>
      </c>
    </row>
    <row r="10544" spans="1:24">
      <c r="A10544">
        <f>HYPERLINK("https://www.philgeps.gov.ph/GEPSNONPILOT/Tender/SplashBidNoticeAbstractUI.aspx?menuIndex=3&amp;refID=7128483&amp;Result=3","7128483")</f>
        <v>0</v>
      </c>
      <c r="B10544" t="s">
        <v>3207</v>
      </c>
      <c r="C10544" t="s">
        <v>13770</v>
      </c>
      <c r="D10544" t="s">
        <v>17996</v>
      </c>
      <c r="E10544" t="s">
        <v>27167</v>
      </c>
      <c r="F10544" t="s">
        <v>30900</v>
      </c>
      <c r="G10544" t="s">
        <v>30907</v>
      </c>
      <c r="H10544" t="s">
        <v>30915</v>
      </c>
      <c r="I10544" t="s">
        <v>30919</v>
      </c>
      <c r="J10544" t="s">
        <v>31152</v>
      </c>
      <c r="K10544" t="s">
        <v>40289</v>
      </c>
      <c r="M10544" t="s">
        <v>44046</v>
      </c>
      <c r="N10544" t="s">
        <v>44759</v>
      </c>
      <c r="O10544" t="s">
        <v>44760</v>
      </c>
      <c r="P10544">
        <v>0</v>
      </c>
      <c r="Q10544">
        <v>0</v>
      </c>
      <c r="R10544" t="s">
        <v>44773</v>
      </c>
      <c r="S10544" t="s">
        <v>45184</v>
      </c>
      <c r="T10544" t="s">
        <v>46396</v>
      </c>
      <c r="U10544" t="s">
        <v>55667</v>
      </c>
      <c r="W10544" t="s">
        <v>44046</v>
      </c>
      <c r="X10544" t="s">
        <v>44775</v>
      </c>
    </row>
    <row r="10545" spans="1:24">
      <c r="A10545">
        <f>HYPERLINK("https://www.philgeps.gov.ph/GEPSNONPILOT/Tender/SplashBidNoticeAbstractUI.aspx?menuIndex=3&amp;refID=7125211&amp;Result=3","7125211")</f>
        <v>0</v>
      </c>
      <c r="B10545" t="s">
        <v>2752</v>
      </c>
      <c r="C10545" t="s">
        <v>13771</v>
      </c>
      <c r="D10545" t="s">
        <v>17967</v>
      </c>
      <c r="E10545" t="s">
        <v>27168</v>
      </c>
      <c r="F10545" t="s">
        <v>30900</v>
      </c>
      <c r="G10545" t="s">
        <v>30907</v>
      </c>
      <c r="H10545" t="s">
        <v>30916</v>
      </c>
      <c r="I10545" t="s">
        <v>30927</v>
      </c>
      <c r="J10545" t="s">
        <v>37619</v>
      </c>
      <c r="K10545" t="s">
        <v>40284</v>
      </c>
      <c r="M10545" t="s">
        <v>43529</v>
      </c>
      <c r="N10545" t="s">
        <v>44759</v>
      </c>
      <c r="O10545" t="s">
        <v>44760</v>
      </c>
      <c r="P10545">
        <v>0</v>
      </c>
      <c r="Q10545">
        <v>0</v>
      </c>
      <c r="R10545" t="s">
        <v>44773</v>
      </c>
      <c r="S10545" t="s">
        <v>45184</v>
      </c>
      <c r="T10545" t="s">
        <v>46495</v>
      </c>
      <c r="U10545" t="s">
        <v>55668</v>
      </c>
      <c r="W10545" t="s">
        <v>43529</v>
      </c>
      <c r="X10545" t="s">
        <v>44776</v>
      </c>
    </row>
    <row r="10546" spans="1:24">
      <c r="A10546">
        <f>HYPERLINK("https://www.philgeps.gov.ph/GEPSNONPILOT/Tender/SplashBidNoticeAbstractUI.aspx?menuIndex=3&amp;refID=7125175&amp;Result=3","7125175")</f>
        <v>0</v>
      </c>
      <c r="B10546" t="s">
        <v>2752</v>
      </c>
      <c r="C10546" t="s">
        <v>13772</v>
      </c>
      <c r="D10546" t="s">
        <v>17967</v>
      </c>
      <c r="E10546" t="s">
        <v>27169</v>
      </c>
      <c r="F10546" t="s">
        <v>30900</v>
      </c>
      <c r="G10546" t="s">
        <v>30907</v>
      </c>
      <c r="H10546" t="s">
        <v>30916</v>
      </c>
      <c r="I10546" t="s">
        <v>30927</v>
      </c>
      <c r="J10546" t="s">
        <v>37620</v>
      </c>
      <c r="K10546" t="s">
        <v>40284</v>
      </c>
      <c r="M10546" t="s">
        <v>43529</v>
      </c>
      <c r="N10546" t="s">
        <v>44759</v>
      </c>
      <c r="O10546" t="s">
        <v>44760</v>
      </c>
      <c r="P10546">
        <v>0</v>
      </c>
      <c r="Q10546">
        <v>0</v>
      </c>
      <c r="R10546" t="s">
        <v>44773</v>
      </c>
      <c r="S10546" t="s">
        <v>45184</v>
      </c>
      <c r="T10546" t="s">
        <v>46495</v>
      </c>
      <c r="U10546" t="s">
        <v>55669</v>
      </c>
      <c r="W10546" t="s">
        <v>43529</v>
      </c>
      <c r="X10546" t="s">
        <v>44776</v>
      </c>
    </row>
    <row r="10547" spans="1:24">
      <c r="A10547">
        <f>HYPERLINK("https://www.philgeps.gov.ph/GEPSNONPILOT/Tender/SplashBidNoticeAbstractUI.aspx?menuIndex=3&amp;refID=7135070&amp;Result=3","7135070")</f>
        <v>0</v>
      </c>
      <c r="B10547" t="s">
        <v>2245</v>
      </c>
      <c r="C10547" t="s">
        <v>13773</v>
      </c>
      <c r="D10547" t="s">
        <v>17977</v>
      </c>
      <c r="E10547" t="s">
        <v>27170</v>
      </c>
      <c r="F10547" t="s">
        <v>30900</v>
      </c>
      <c r="G10547" t="s">
        <v>30907</v>
      </c>
      <c r="H10547" t="s">
        <v>30916</v>
      </c>
      <c r="I10547" t="s">
        <v>30924</v>
      </c>
      <c r="J10547" t="s">
        <v>37621</v>
      </c>
      <c r="K10547" t="s">
        <v>40292</v>
      </c>
      <c r="M10547" t="s">
        <v>42956</v>
      </c>
      <c r="N10547" t="s">
        <v>44759</v>
      </c>
      <c r="O10547" t="s">
        <v>44760</v>
      </c>
      <c r="P10547">
        <v>0</v>
      </c>
      <c r="Q10547">
        <v>15</v>
      </c>
      <c r="R10547" t="s">
        <v>44772</v>
      </c>
      <c r="S10547" t="s">
        <v>45149</v>
      </c>
      <c r="T10547" t="s">
        <v>46495</v>
      </c>
      <c r="U10547" t="s">
        <v>55670</v>
      </c>
      <c r="W10547" t="s">
        <v>42956</v>
      </c>
      <c r="X10547" t="s">
        <v>44773</v>
      </c>
    </row>
    <row r="10548" spans="1:24">
      <c r="A10548">
        <f>HYPERLINK("https://www.philgeps.gov.ph/GEPSNONPILOT/Tender/SplashBidNoticeAbstractUI.aspx?menuIndex=3&amp;refID=7126456&amp;Result=3","7126456")</f>
        <v>0</v>
      </c>
      <c r="B10548" t="s">
        <v>1235</v>
      </c>
      <c r="C10548" t="s">
        <v>13774</v>
      </c>
      <c r="D10548" t="s">
        <v>18003</v>
      </c>
      <c r="E10548" t="s">
        <v>27171</v>
      </c>
      <c r="F10548" t="s">
        <v>30900</v>
      </c>
      <c r="G10548" t="s">
        <v>30907</v>
      </c>
      <c r="H10548" t="s">
        <v>30916</v>
      </c>
      <c r="I10548" t="s">
        <v>30968</v>
      </c>
      <c r="J10548" t="s">
        <v>31391</v>
      </c>
      <c r="K10548" t="s">
        <v>40286</v>
      </c>
      <c r="M10548" t="s">
        <v>42051</v>
      </c>
      <c r="N10548" t="s">
        <v>44759</v>
      </c>
      <c r="O10548" t="s">
        <v>44760</v>
      </c>
      <c r="P10548">
        <v>0</v>
      </c>
      <c r="Q10548">
        <v>5</v>
      </c>
      <c r="R10548" t="s">
        <v>44773</v>
      </c>
      <c r="S10548" t="s">
        <v>45184</v>
      </c>
      <c r="T10548" t="s">
        <v>46515</v>
      </c>
      <c r="U10548" t="s">
        <v>55671</v>
      </c>
      <c r="W10548" t="s">
        <v>42051</v>
      </c>
      <c r="X10548" t="s">
        <v>44775</v>
      </c>
    </row>
    <row r="10549" spans="1:24">
      <c r="A10549">
        <f>HYPERLINK("https://www.philgeps.gov.ph/GEPSNONPILOT/Tender/SplashBidNoticeAbstractUI.aspx?menuIndex=3&amp;refID=7128425&amp;Result=3","7128425")</f>
        <v>0</v>
      </c>
      <c r="B10549" t="s">
        <v>3207</v>
      </c>
      <c r="C10549" t="s">
        <v>13775</v>
      </c>
      <c r="D10549" t="s">
        <v>17996</v>
      </c>
      <c r="E10549" t="s">
        <v>27172</v>
      </c>
      <c r="F10549" t="s">
        <v>30900</v>
      </c>
      <c r="G10549" t="s">
        <v>30907</v>
      </c>
      <c r="H10549" t="s">
        <v>30916</v>
      </c>
      <c r="I10549" t="s">
        <v>4108</v>
      </c>
      <c r="J10549" t="s">
        <v>31211</v>
      </c>
      <c r="K10549" t="s">
        <v>40289</v>
      </c>
      <c r="M10549" t="s">
        <v>44046</v>
      </c>
      <c r="N10549" t="s">
        <v>44759</v>
      </c>
      <c r="O10549" t="s">
        <v>44760</v>
      </c>
      <c r="P10549">
        <v>0</v>
      </c>
      <c r="Q10549">
        <v>5</v>
      </c>
      <c r="R10549" t="s">
        <v>44773</v>
      </c>
      <c r="S10549" t="s">
        <v>45184</v>
      </c>
      <c r="T10549" t="s">
        <v>46396</v>
      </c>
      <c r="U10549" t="s">
        <v>55672</v>
      </c>
      <c r="W10549" t="s">
        <v>44046</v>
      </c>
      <c r="X10549" t="s">
        <v>44775</v>
      </c>
    </row>
    <row r="10550" spans="1:24">
      <c r="A10550">
        <f>HYPERLINK("https://www.philgeps.gov.ph/GEPSNONPILOT/Tender/SplashBidNoticeAbstractUI.aspx?menuIndex=3&amp;refID=7128179&amp;Result=3","7128179")</f>
        <v>0</v>
      </c>
      <c r="B10550" t="s">
        <v>3207</v>
      </c>
      <c r="C10550" t="s">
        <v>13776</v>
      </c>
      <c r="D10550" t="s">
        <v>17996</v>
      </c>
      <c r="E10550" t="s">
        <v>27173</v>
      </c>
      <c r="F10550" t="s">
        <v>30900</v>
      </c>
      <c r="G10550" t="s">
        <v>30907</v>
      </c>
      <c r="H10550" t="s">
        <v>30915</v>
      </c>
      <c r="I10550" t="s">
        <v>30919</v>
      </c>
      <c r="J10550" t="s">
        <v>37622</v>
      </c>
      <c r="K10550" t="s">
        <v>40289</v>
      </c>
      <c r="M10550" t="s">
        <v>44046</v>
      </c>
      <c r="N10550" t="s">
        <v>44759</v>
      </c>
      <c r="O10550" t="s">
        <v>44760</v>
      </c>
      <c r="P10550">
        <v>0</v>
      </c>
      <c r="Q10550">
        <v>0</v>
      </c>
      <c r="R10550" t="s">
        <v>44773</v>
      </c>
      <c r="S10550" t="s">
        <v>45184</v>
      </c>
      <c r="T10550" t="s">
        <v>46396</v>
      </c>
      <c r="U10550" t="s">
        <v>55673</v>
      </c>
      <c r="W10550" t="s">
        <v>44046</v>
      </c>
      <c r="X10550" t="s">
        <v>44775</v>
      </c>
    </row>
    <row r="10551" spans="1:24">
      <c r="A10551">
        <f>HYPERLINK("https://www.philgeps.gov.ph/GEPSNONPILOT/Tender/SplashBidNoticeAbstractUI.aspx?menuIndex=3&amp;refID=7128311&amp;Result=3","7128311")</f>
        <v>0</v>
      </c>
      <c r="B10551" t="s">
        <v>3207</v>
      </c>
      <c r="C10551" t="s">
        <v>13777</v>
      </c>
      <c r="D10551" t="s">
        <v>17996</v>
      </c>
      <c r="E10551" t="s">
        <v>27174</v>
      </c>
      <c r="F10551" t="s">
        <v>30900</v>
      </c>
      <c r="G10551" t="s">
        <v>30907</v>
      </c>
      <c r="H10551" t="s">
        <v>30916</v>
      </c>
      <c r="I10551" t="s">
        <v>4142</v>
      </c>
      <c r="J10551" t="s">
        <v>31374</v>
      </c>
      <c r="K10551" t="s">
        <v>40289</v>
      </c>
      <c r="M10551" t="s">
        <v>44046</v>
      </c>
      <c r="N10551" t="s">
        <v>44759</v>
      </c>
      <c r="O10551" t="s">
        <v>44760</v>
      </c>
      <c r="P10551">
        <v>0</v>
      </c>
      <c r="Q10551">
        <v>3</v>
      </c>
      <c r="R10551" t="s">
        <v>44773</v>
      </c>
      <c r="S10551" t="s">
        <v>45184</v>
      </c>
      <c r="T10551" t="s">
        <v>46396</v>
      </c>
      <c r="U10551" t="s">
        <v>55674</v>
      </c>
      <c r="W10551" t="s">
        <v>44046</v>
      </c>
      <c r="X10551" t="s">
        <v>44775</v>
      </c>
    </row>
    <row r="10552" spans="1:24">
      <c r="A10552">
        <f>HYPERLINK("https://www.philgeps.gov.ph/GEPSNONPILOT/Tender/SplashBidNoticeAbstractUI.aspx?menuIndex=3&amp;refID=7128151&amp;Result=3","7128151")</f>
        <v>0</v>
      </c>
      <c r="B10552" t="s">
        <v>3207</v>
      </c>
      <c r="C10552" t="s">
        <v>13778</v>
      </c>
      <c r="D10552" t="s">
        <v>17996</v>
      </c>
      <c r="E10552" t="s">
        <v>27175</v>
      </c>
      <c r="F10552" t="s">
        <v>30900</v>
      </c>
      <c r="G10552" t="s">
        <v>30907</v>
      </c>
      <c r="H10552" t="s">
        <v>30915</v>
      </c>
      <c r="I10552" t="s">
        <v>30919</v>
      </c>
      <c r="J10552" t="s">
        <v>32110</v>
      </c>
      <c r="K10552" t="s">
        <v>40289</v>
      </c>
      <c r="M10552" t="s">
        <v>44046</v>
      </c>
      <c r="N10552" t="s">
        <v>44759</v>
      </c>
      <c r="O10552" t="s">
        <v>44760</v>
      </c>
      <c r="P10552">
        <v>0</v>
      </c>
      <c r="Q10552">
        <v>0</v>
      </c>
      <c r="R10552" t="s">
        <v>44773</v>
      </c>
      <c r="S10552" t="s">
        <v>45184</v>
      </c>
      <c r="T10552" t="s">
        <v>46396</v>
      </c>
      <c r="U10552" t="s">
        <v>55675</v>
      </c>
      <c r="W10552" t="s">
        <v>44046</v>
      </c>
      <c r="X10552" t="s">
        <v>44775</v>
      </c>
    </row>
    <row r="10553" spans="1:24">
      <c r="A10553">
        <f>HYPERLINK("https://www.philgeps.gov.ph/GEPSNONPILOT/Tender/SplashBidNoticeAbstractUI.aspx?menuIndex=3&amp;refID=7128123&amp;Result=3","7128123")</f>
        <v>0</v>
      </c>
      <c r="B10553" t="s">
        <v>3207</v>
      </c>
      <c r="C10553" t="s">
        <v>12065</v>
      </c>
      <c r="D10553" t="s">
        <v>17996</v>
      </c>
      <c r="E10553" t="s">
        <v>27176</v>
      </c>
      <c r="F10553" t="s">
        <v>30900</v>
      </c>
      <c r="G10553" t="s">
        <v>30907</v>
      </c>
      <c r="H10553" t="s">
        <v>30915</v>
      </c>
      <c r="I10553" t="s">
        <v>30919</v>
      </c>
      <c r="J10553" t="s">
        <v>37623</v>
      </c>
      <c r="K10553" t="s">
        <v>40289</v>
      </c>
      <c r="M10553" t="s">
        <v>44046</v>
      </c>
      <c r="N10553" t="s">
        <v>44759</v>
      </c>
      <c r="O10553" t="s">
        <v>44760</v>
      </c>
      <c r="P10553">
        <v>0</v>
      </c>
      <c r="Q10553">
        <v>0</v>
      </c>
      <c r="R10553" t="s">
        <v>44773</v>
      </c>
      <c r="S10553" t="s">
        <v>45184</v>
      </c>
      <c r="T10553" t="s">
        <v>46396</v>
      </c>
      <c r="U10553" t="s">
        <v>55676</v>
      </c>
      <c r="W10553" t="s">
        <v>44046</v>
      </c>
      <c r="X10553" t="s">
        <v>44775</v>
      </c>
    </row>
    <row r="10554" spans="1:24">
      <c r="A10554">
        <f>HYPERLINK("https://www.philgeps.gov.ph/GEPSNONPILOT/Tender/SplashBidNoticeAbstractUI.aspx?menuIndex=3&amp;refID=7128096&amp;Result=3","7128096")</f>
        <v>0</v>
      </c>
      <c r="B10554" t="s">
        <v>46</v>
      </c>
      <c r="C10554" t="s">
        <v>13779</v>
      </c>
      <c r="D10554" t="s">
        <v>17953</v>
      </c>
      <c r="E10554" t="s">
        <v>27177</v>
      </c>
      <c r="F10554" t="s">
        <v>30900</v>
      </c>
      <c r="G10554" t="s">
        <v>30907</v>
      </c>
      <c r="H10554" t="s">
        <v>30915</v>
      </c>
      <c r="I10554" t="s">
        <v>30919</v>
      </c>
      <c r="J10554" t="s">
        <v>31574</v>
      </c>
      <c r="K10554" t="s">
        <v>40292</v>
      </c>
      <c r="M10554" t="s">
        <v>40592</v>
      </c>
      <c r="N10554" t="s">
        <v>44759</v>
      </c>
      <c r="O10554" t="s">
        <v>44760</v>
      </c>
      <c r="P10554">
        <v>0</v>
      </c>
      <c r="Q10554">
        <v>10</v>
      </c>
      <c r="R10554" t="s">
        <v>44773</v>
      </c>
      <c r="S10554" t="s">
        <v>45184</v>
      </c>
      <c r="T10554" t="s">
        <v>46544</v>
      </c>
      <c r="U10554" t="s">
        <v>55677</v>
      </c>
      <c r="W10554" t="s">
        <v>60901</v>
      </c>
      <c r="X10554" t="s">
        <v>44775</v>
      </c>
    </row>
    <row r="10555" spans="1:24">
      <c r="A10555">
        <f>HYPERLINK("https://www.philgeps.gov.ph/GEPSNONPILOT/Tender/SplashBidNoticeAbstractUI.aspx?menuIndex=3&amp;refID=7128199&amp;Result=3","7128199")</f>
        <v>0</v>
      </c>
      <c r="B10555" t="s">
        <v>669</v>
      </c>
      <c r="C10555" t="s">
        <v>13780</v>
      </c>
      <c r="D10555" t="s">
        <v>17975</v>
      </c>
      <c r="E10555" t="s">
        <v>27178</v>
      </c>
      <c r="F10555" t="s">
        <v>30900</v>
      </c>
      <c r="G10555" t="s">
        <v>30907</v>
      </c>
      <c r="H10555" t="s">
        <v>30916</v>
      </c>
      <c r="I10555" t="s">
        <v>10602</v>
      </c>
      <c r="J10555" t="s">
        <v>31391</v>
      </c>
      <c r="K10555" t="s">
        <v>40334</v>
      </c>
      <c r="M10555" t="s">
        <v>41232</v>
      </c>
      <c r="N10555" t="s">
        <v>44759</v>
      </c>
      <c r="O10555" t="s">
        <v>44760</v>
      </c>
      <c r="P10555">
        <v>0</v>
      </c>
      <c r="Q10555">
        <v>1</v>
      </c>
      <c r="R10555" t="s">
        <v>44773</v>
      </c>
      <c r="S10555" t="s">
        <v>45184</v>
      </c>
      <c r="T10555" t="s">
        <v>46391</v>
      </c>
      <c r="U10555" t="s">
        <v>55678</v>
      </c>
      <c r="W10555" t="s">
        <v>41232</v>
      </c>
      <c r="X10555" t="s">
        <v>44775</v>
      </c>
    </row>
    <row r="10556" spans="1:24">
      <c r="A10556">
        <f>HYPERLINK("https://www.philgeps.gov.ph/GEPSNONPILOT/Tender/SplashBidNoticeAbstractUI.aspx?menuIndex=3&amp;refID=7128063&amp;Result=3","7128063")</f>
        <v>0</v>
      </c>
      <c r="B10556" t="s">
        <v>3207</v>
      </c>
      <c r="C10556" t="s">
        <v>12065</v>
      </c>
      <c r="D10556" t="s">
        <v>17996</v>
      </c>
      <c r="E10556" t="s">
        <v>27179</v>
      </c>
      <c r="F10556" t="s">
        <v>30900</v>
      </c>
      <c r="G10556" t="s">
        <v>30907</v>
      </c>
      <c r="H10556" t="s">
        <v>30915</v>
      </c>
      <c r="I10556" t="s">
        <v>30919</v>
      </c>
      <c r="J10556" t="s">
        <v>32324</v>
      </c>
      <c r="K10556" t="s">
        <v>40289</v>
      </c>
      <c r="M10556" t="s">
        <v>44046</v>
      </c>
      <c r="N10556" t="s">
        <v>44759</v>
      </c>
      <c r="O10556" t="s">
        <v>44760</v>
      </c>
      <c r="P10556">
        <v>0</v>
      </c>
      <c r="Q10556">
        <v>0</v>
      </c>
      <c r="R10556" t="s">
        <v>44773</v>
      </c>
      <c r="S10556" t="s">
        <v>45184</v>
      </c>
      <c r="T10556" t="s">
        <v>46396</v>
      </c>
      <c r="U10556" t="s">
        <v>55679</v>
      </c>
      <c r="W10556" t="s">
        <v>44046</v>
      </c>
      <c r="X10556" t="s">
        <v>44775</v>
      </c>
    </row>
    <row r="10557" spans="1:24">
      <c r="A10557">
        <f>HYPERLINK("https://www.philgeps.gov.ph/GEPSNONPILOT/Tender/SplashBidNoticeAbstractUI.aspx?menuIndex=3&amp;refID=7127971&amp;Result=3","7127971")</f>
        <v>0</v>
      </c>
      <c r="B10557" t="s">
        <v>669</v>
      </c>
      <c r="C10557" t="s">
        <v>11082</v>
      </c>
      <c r="D10557" t="s">
        <v>17975</v>
      </c>
      <c r="E10557" t="s">
        <v>27180</v>
      </c>
      <c r="F10557" t="s">
        <v>30900</v>
      </c>
      <c r="G10557" t="s">
        <v>30907</v>
      </c>
      <c r="H10557" t="s">
        <v>30916</v>
      </c>
      <c r="I10557" t="s">
        <v>8365</v>
      </c>
      <c r="J10557" t="s">
        <v>37624</v>
      </c>
      <c r="K10557" t="s">
        <v>40280</v>
      </c>
      <c r="M10557" t="s">
        <v>41232</v>
      </c>
      <c r="N10557" t="s">
        <v>44759</v>
      </c>
      <c r="O10557" t="s">
        <v>44760</v>
      </c>
      <c r="P10557">
        <v>0</v>
      </c>
      <c r="Q10557">
        <v>10</v>
      </c>
      <c r="R10557" t="s">
        <v>44773</v>
      </c>
      <c r="S10557" t="s">
        <v>45184</v>
      </c>
      <c r="T10557" t="s">
        <v>46391</v>
      </c>
      <c r="U10557" t="s">
        <v>55680</v>
      </c>
      <c r="W10557" t="s">
        <v>41232</v>
      </c>
      <c r="X10557" t="s">
        <v>44775</v>
      </c>
    </row>
    <row r="10558" spans="1:24">
      <c r="A10558">
        <f>HYPERLINK("https://www.philgeps.gov.ph/GEPSNONPILOT/Tender/SplashBidNoticeAbstractUI.aspx?menuIndex=3&amp;refID=7128336&amp;Result=3","7128336")</f>
        <v>0</v>
      </c>
      <c r="B10558" t="s">
        <v>3207</v>
      </c>
      <c r="C10558" t="s">
        <v>13781</v>
      </c>
      <c r="D10558" t="s">
        <v>17996</v>
      </c>
      <c r="E10558" t="s">
        <v>27181</v>
      </c>
      <c r="F10558" t="s">
        <v>30900</v>
      </c>
      <c r="G10558" t="s">
        <v>30907</v>
      </c>
      <c r="H10558" t="s">
        <v>30916</v>
      </c>
      <c r="I10558" t="s">
        <v>5501</v>
      </c>
      <c r="J10558" t="s">
        <v>37625</v>
      </c>
      <c r="K10558" t="s">
        <v>40289</v>
      </c>
      <c r="M10558" t="s">
        <v>44046</v>
      </c>
      <c r="N10558" t="s">
        <v>44759</v>
      </c>
      <c r="O10558" t="s">
        <v>44760</v>
      </c>
      <c r="P10558">
        <v>0</v>
      </c>
      <c r="Q10558">
        <v>8</v>
      </c>
      <c r="R10558" t="s">
        <v>44773</v>
      </c>
      <c r="S10558" t="s">
        <v>45184</v>
      </c>
      <c r="T10558" t="s">
        <v>46396</v>
      </c>
      <c r="U10558" t="s">
        <v>55681</v>
      </c>
      <c r="W10558" t="s">
        <v>44046</v>
      </c>
      <c r="X10558" t="s">
        <v>44775</v>
      </c>
    </row>
    <row r="10559" spans="1:24">
      <c r="A10559">
        <f>HYPERLINK("https://www.philgeps.gov.ph/GEPSNONPILOT/Tender/SplashBidNoticeAbstractUI.aspx?menuIndex=3&amp;refID=7128054&amp;Result=3","7128054")</f>
        <v>0</v>
      </c>
      <c r="B10559" t="s">
        <v>3208</v>
      </c>
      <c r="C10559" t="s">
        <v>13782</v>
      </c>
      <c r="D10559" t="s">
        <v>17966</v>
      </c>
      <c r="E10559" t="s">
        <v>27182</v>
      </c>
      <c r="F10559" t="s">
        <v>30900</v>
      </c>
      <c r="G10559" t="s">
        <v>30907</v>
      </c>
      <c r="H10559" t="s">
        <v>30915</v>
      </c>
      <c r="I10559" t="s">
        <v>30919</v>
      </c>
      <c r="J10559" t="s">
        <v>32558</v>
      </c>
      <c r="K10559" t="s">
        <v>40336</v>
      </c>
      <c r="M10559" t="s">
        <v>44047</v>
      </c>
      <c r="N10559" t="s">
        <v>44759</v>
      </c>
      <c r="O10559" t="s">
        <v>44760</v>
      </c>
      <c r="P10559">
        <v>0</v>
      </c>
      <c r="Q10559">
        <v>0</v>
      </c>
      <c r="R10559" t="s">
        <v>44773</v>
      </c>
      <c r="S10559" t="s">
        <v>45184</v>
      </c>
      <c r="T10559" t="s">
        <v>46353</v>
      </c>
      <c r="U10559" t="s">
        <v>55682</v>
      </c>
      <c r="V10559" t="s">
        <v>60291</v>
      </c>
      <c r="W10559" t="s">
        <v>60921</v>
      </c>
      <c r="X10559" t="s">
        <v>44775</v>
      </c>
    </row>
    <row r="10560" spans="1:24">
      <c r="A10560">
        <f>HYPERLINK("https://www.philgeps.gov.ph/GEPSNONPILOT/Tender/SplashBidNoticeAbstractUI.aspx?menuIndex=3&amp;refID=7129605&amp;Result=3","7129605")</f>
        <v>0</v>
      </c>
      <c r="B10560" t="s">
        <v>3209</v>
      </c>
      <c r="C10560" t="s">
        <v>13783</v>
      </c>
      <c r="D10560" t="s">
        <v>18032</v>
      </c>
      <c r="E10560" t="s">
        <v>27183</v>
      </c>
      <c r="F10560" t="s">
        <v>30904</v>
      </c>
      <c r="G10560" t="s">
        <v>30907</v>
      </c>
      <c r="H10560" t="s">
        <v>30915</v>
      </c>
      <c r="I10560" t="s">
        <v>30919</v>
      </c>
      <c r="J10560" t="s">
        <v>37626</v>
      </c>
      <c r="K10560" t="s">
        <v>40301</v>
      </c>
      <c r="M10560" t="s">
        <v>44048</v>
      </c>
      <c r="N10560" t="s">
        <v>44759</v>
      </c>
      <c r="O10560" t="s">
        <v>44760</v>
      </c>
      <c r="P10560">
        <v>0</v>
      </c>
      <c r="Q10560">
        <v>1</v>
      </c>
      <c r="R10560" t="s">
        <v>44773</v>
      </c>
      <c r="S10560" t="s">
        <v>45184</v>
      </c>
      <c r="T10560" t="s">
        <v>46406</v>
      </c>
      <c r="U10560" t="s">
        <v>55683</v>
      </c>
      <c r="W10560" t="s">
        <v>44048</v>
      </c>
      <c r="X10560" t="s">
        <v>44774</v>
      </c>
    </row>
    <row r="10561" spans="1:24">
      <c r="A10561">
        <f>HYPERLINK("https://www.philgeps.gov.ph/GEPSNONPILOT/Tender/SplashBidNoticeAbstractUI.aspx?menuIndex=3&amp;refID=7129546&amp;Result=3","7129546")</f>
        <v>0</v>
      </c>
      <c r="B10561" t="s">
        <v>535</v>
      </c>
      <c r="C10561" t="s">
        <v>13784</v>
      </c>
      <c r="D10561" t="s">
        <v>17959</v>
      </c>
      <c r="E10561" t="s">
        <v>27184</v>
      </c>
      <c r="F10561" t="s">
        <v>30900</v>
      </c>
      <c r="G10561" t="s">
        <v>30907</v>
      </c>
      <c r="H10561" t="s">
        <v>30915</v>
      </c>
      <c r="I10561" t="s">
        <v>30919</v>
      </c>
      <c r="J10561" t="s">
        <v>37627</v>
      </c>
      <c r="K10561" t="s">
        <v>40341</v>
      </c>
      <c r="M10561" t="s">
        <v>41095</v>
      </c>
      <c r="N10561" t="s">
        <v>44759</v>
      </c>
      <c r="O10561" t="s">
        <v>44760</v>
      </c>
      <c r="P10561">
        <v>0</v>
      </c>
      <c r="Q10561">
        <v>10</v>
      </c>
      <c r="R10561" t="s">
        <v>44773</v>
      </c>
      <c r="S10561" t="s">
        <v>45184</v>
      </c>
      <c r="T10561" t="s">
        <v>46409</v>
      </c>
      <c r="U10561" t="s">
        <v>47880</v>
      </c>
      <c r="W10561" t="s">
        <v>60830</v>
      </c>
      <c r="X10561" t="s">
        <v>44775</v>
      </c>
    </row>
    <row r="10562" spans="1:24">
      <c r="A10562">
        <f>HYPERLINK("https://www.philgeps.gov.ph/GEPSNONPILOT/Tender/SplashBidNoticeAbstractUI.aspx?menuIndex=3&amp;refID=7128104&amp;Result=3","7128104")</f>
        <v>0</v>
      </c>
      <c r="B10562" t="s">
        <v>3208</v>
      </c>
      <c r="C10562" t="s">
        <v>13785</v>
      </c>
      <c r="D10562" t="s">
        <v>17966</v>
      </c>
      <c r="E10562" t="s">
        <v>27185</v>
      </c>
      <c r="F10562" t="s">
        <v>30900</v>
      </c>
      <c r="G10562" t="s">
        <v>30907</v>
      </c>
      <c r="H10562" t="s">
        <v>30915</v>
      </c>
      <c r="I10562" t="s">
        <v>30919</v>
      </c>
      <c r="J10562" t="s">
        <v>32523</v>
      </c>
      <c r="K10562" t="s">
        <v>40280</v>
      </c>
      <c r="M10562" t="s">
        <v>44047</v>
      </c>
      <c r="N10562" t="s">
        <v>44759</v>
      </c>
      <c r="O10562" t="s">
        <v>44760</v>
      </c>
      <c r="P10562">
        <v>0</v>
      </c>
      <c r="Q10562">
        <v>1</v>
      </c>
      <c r="R10562" t="s">
        <v>44773</v>
      </c>
      <c r="S10562" t="s">
        <v>45184</v>
      </c>
      <c r="T10562" t="s">
        <v>46353</v>
      </c>
      <c r="U10562" t="s">
        <v>55682</v>
      </c>
      <c r="V10562" t="s">
        <v>60291</v>
      </c>
      <c r="W10562" t="s">
        <v>60921</v>
      </c>
      <c r="X10562" t="s">
        <v>44775</v>
      </c>
    </row>
    <row r="10563" spans="1:24">
      <c r="A10563">
        <f>HYPERLINK("https://www.philgeps.gov.ph/GEPSNONPILOT/Tender/SplashBidNoticeAbstractUI.aspx?menuIndex=3&amp;refID=7127162&amp;Result=3","7127162")</f>
        <v>0</v>
      </c>
      <c r="B10563" t="s">
        <v>3210</v>
      </c>
      <c r="C10563" t="s">
        <v>13786</v>
      </c>
      <c r="D10563" t="s">
        <v>17970</v>
      </c>
      <c r="E10563" t="s">
        <v>27186</v>
      </c>
      <c r="F10563" t="s">
        <v>30900</v>
      </c>
      <c r="G10563" t="s">
        <v>30907</v>
      </c>
      <c r="H10563" t="s">
        <v>30916</v>
      </c>
      <c r="I10563" t="s">
        <v>30933</v>
      </c>
      <c r="J10563" t="s">
        <v>36049</v>
      </c>
      <c r="K10563" t="s">
        <v>40283</v>
      </c>
      <c r="M10563" t="s">
        <v>44049</v>
      </c>
      <c r="N10563" t="s">
        <v>44759</v>
      </c>
      <c r="O10563" t="s">
        <v>44760</v>
      </c>
      <c r="P10563">
        <v>0</v>
      </c>
      <c r="Q10563">
        <v>12</v>
      </c>
      <c r="R10563" t="s">
        <v>44773</v>
      </c>
      <c r="S10563" t="s">
        <v>45184</v>
      </c>
      <c r="T10563" t="s">
        <v>46606</v>
      </c>
      <c r="U10563" t="s">
        <v>55684</v>
      </c>
      <c r="W10563" t="s">
        <v>44049</v>
      </c>
      <c r="X10563" t="s">
        <v>44775</v>
      </c>
    </row>
    <row r="10564" spans="1:24">
      <c r="A10564">
        <f>HYPERLINK("https://www.philgeps.gov.ph/GEPSNONPILOT/Tender/SplashBidNoticeAbstractUI.aspx?menuIndex=3&amp;refID=7129437&amp;Result=3","7129437")</f>
        <v>0</v>
      </c>
      <c r="B10564" t="s">
        <v>1686</v>
      </c>
      <c r="C10564" t="s">
        <v>13787</v>
      </c>
      <c r="D10564" t="s">
        <v>17975</v>
      </c>
      <c r="E10564" t="s">
        <v>27187</v>
      </c>
      <c r="F10564" t="s">
        <v>30900</v>
      </c>
      <c r="G10564" t="s">
        <v>30907</v>
      </c>
      <c r="H10564" t="s">
        <v>30915</v>
      </c>
      <c r="I10564" t="s">
        <v>30919</v>
      </c>
      <c r="J10564" t="s">
        <v>37628</v>
      </c>
      <c r="K10564" t="s">
        <v>40388</v>
      </c>
      <c r="M10564" t="s">
        <v>42346</v>
      </c>
      <c r="N10564" t="s">
        <v>44759</v>
      </c>
      <c r="O10564" t="s">
        <v>44760</v>
      </c>
      <c r="P10564">
        <v>0</v>
      </c>
      <c r="Q10564">
        <v>8</v>
      </c>
      <c r="R10564" t="s">
        <v>44773</v>
      </c>
      <c r="S10564" t="s">
        <v>45184</v>
      </c>
      <c r="T10564" t="s">
        <v>46353</v>
      </c>
      <c r="U10564" t="s">
        <v>50701</v>
      </c>
      <c r="W10564" t="s">
        <v>42346</v>
      </c>
      <c r="X10564" t="s">
        <v>44775</v>
      </c>
    </row>
    <row r="10565" spans="1:24">
      <c r="A10565">
        <f>HYPERLINK("https://www.philgeps.gov.ph/GEPSNONPILOT/Tender/SplashBidNoticeAbstractUI.aspx?menuIndex=3&amp;refID=7129337&amp;Result=3","7129337")</f>
        <v>0</v>
      </c>
      <c r="B10565" t="s">
        <v>3211</v>
      </c>
      <c r="C10565" t="s">
        <v>13788</v>
      </c>
      <c r="D10565" t="s">
        <v>18038</v>
      </c>
      <c r="E10565" t="s">
        <v>27188</v>
      </c>
      <c r="F10565" t="s">
        <v>30900</v>
      </c>
      <c r="G10565" t="s">
        <v>30907</v>
      </c>
      <c r="H10565" t="s">
        <v>30917</v>
      </c>
      <c r="I10565" t="s">
        <v>30942</v>
      </c>
      <c r="J10565" t="s">
        <v>31391</v>
      </c>
      <c r="K10565" t="s">
        <v>40492</v>
      </c>
      <c r="M10565" t="s">
        <v>44050</v>
      </c>
      <c r="N10565" t="s">
        <v>44759</v>
      </c>
      <c r="O10565" t="s">
        <v>44760</v>
      </c>
      <c r="P10565">
        <v>0</v>
      </c>
      <c r="Q10565">
        <v>2</v>
      </c>
      <c r="R10565" t="s">
        <v>44773</v>
      </c>
      <c r="S10565" t="s">
        <v>45184</v>
      </c>
      <c r="T10565" t="s">
        <v>46561</v>
      </c>
      <c r="U10565" t="s">
        <v>55685</v>
      </c>
      <c r="W10565" t="s">
        <v>44050</v>
      </c>
      <c r="X10565" t="s">
        <v>44775</v>
      </c>
    </row>
    <row r="10566" spans="1:24">
      <c r="A10566">
        <f>HYPERLINK("https://www.philgeps.gov.ph/GEPSNONPILOT/Tender/SplashBidNoticeAbstractUI.aspx?menuIndex=3&amp;refID=7129430&amp;Result=3","7129430")</f>
        <v>0</v>
      </c>
      <c r="B10566" t="s">
        <v>1686</v>
      </c>
      <c r="C10566" t="s">
        <v>13789</v>
      </c>
      <c r="D10566" t="s">
        <v>17975</v>
      </c>
      <c r="E10566" t="s">
        <v>27189</v>
      </c>
      <c r="F10566" t="s">
        <v>30900</v>
      </c>
      <c r="G10566" t="s">
        <v>30907</v>
      </c>
      <c r="H10566" t="s">
        <v>30915</v>
      </c>
      <c r="I10566" t="s">
        <v>30919</v>
      </c>
      <c r="J10566" t="s">
        <v>34537</v>
      </c>
      <c r="K10566" t="s">
        <v>40493</v>
      </c>
      <c r="M10566" t="s">
        <v>42346</v>
      </c>
      <c r="N10566" t="s">
        <v>44759</v>
      </c>
      <c r="O10566" t="s">
        <v>44760</v>
      </c>
      <c r="P10566">
        <v>0</v>
      </c>
      <c r="Q10566">
        <v>8</v>
      </c>
      <c r="R10566" t="s">
        <v>44773</v>
      </c>
      <c r="S10566" t="s">
        <v>45184</v>
      </c>
      <c r="T10566" t="s">
        <v>46353</v>
      </c>
      <c r="U10566" t="s">
        <v>50701</v>
      </c>
      <c r="W10566" t="s">
        <v>42346</v>
      </c>
      <c r="X10566" t="s">
        <v>44775</v>
      </c>
    </row>
    <row r="10567" spans="1:24">
      <c r="A10567">
        <f>HYPERLINK("https://www.philgeps.gov.ph/GEPSNONPILOT/Tender/SplashBidNoticeAbstractUI.aspx?menuIndex=3&amp;refID=7129604&amp;Result=3","7129604")</f>
        <v>0</v>
      </c>
      <c r="B10567" t="s">
        <v>3209</v>
      </c>
      <c r="C10567" t="s">
        <v>13790</v>
      </c>
      <c r="D10567" t="s">
        <v>18032</v>
      </c>
      <c r="E10567" t="s">
        <v>27190</v>
      </c>
      <c r="F10567" t="s">
        <v>30900</v>
      </c>
      <c r="G10567" t="s">
        <v>30907</v>
      </c>
      <c r="H10567" t="s">
        <v>30915</v>
      </c>
      <c r="I10567" t="s">
        <v>30919</v>
      </c>
      <c r="J10567" t="s">
        <v>37629</v>
      </c>
      <c r="K10567" t="s">
        <v>40494</v>
      </c>
      <c r="M10567" t="s">
        <v>44048</v>
      </c>
      <c r="N10567" t="s">
        <v>44759</v>
      </c>
      <c r="O10567" t="s">
        <v>44760</v>
      </c>
      <c r="P10567">
        <v>0</v>
      </c>
      <c r="Q10567">
        <v>1</v>
      </c>
      <c r="R10567" t="s">
        <v>44773</v>
      </c>
      <c r="S10567" t="s">
        <v>45184</v>
      </c>
      <c r="T10567" t="s">
        <v>46406</v>
      </c>
      <c r="U10567" t="s">
        <v>55683</v>
      </c>
      <c r="W10567" t="s">
        <v>44048</v>
      </c>
      <c r="X10567" t="s">
        <v>44774</v>
      </c>
    </row>
    <row r="10568" spans="1:24">
      <c r="A10568">
        <f>HYPERLINK("https://www.philgeps.gov.ph/GEPSNONPILOT/Tender/SplashBidNoticeAbstractUI.aspx?menuIndex=3&amp;refID=7129606&amp;Result=3","7129606")</f>
        <v>0</v>
      </c>
      <c r="B10568" t="s">
        <v>3209</v>
      </c>
      <c r="C10568" t="s">
        <v>13791</v>
      </c>
      <c r="D10568" t="s">
        <v>18032</v>
      </c>
      <c r="E10568" t="s">
        <v>27191</v>
      </c>
      <c r="F10568" t="s">
        <v>30904</v>
      </c>
      <c r="G10568" t="s">
        <v>30907</v>
      </c>
      <c r="H10568" t="s">
        <v>30915</v>
      </c>
      <c r="I10568" t="s">
        <v>30919</v>
      </c>
      <c r="J10568" t="s">
        <v>37630</v>
      </c>
      <c r="K10568" t="s">
        <v>40458</v>
      </c>
      <c r="M10568" t="s">
        <v>44048</v>
      </c>
      <c r="N10568" t="s">
        <v>44759</v>
      </c>
      <c r="O10568" t="s">
        <v>44760</v>
      </c>
      <c r="P10568">
        <v>0</v>
      </c>
      <c r="Q10568">
        <v>1</v>
      </c>
      <c r="R10568" t="s">
        <v>44773</v>
      </c>
      <c r="S10568" t="s">
        <v>45184</v>
      </c>
      <c r="T10568" t="s">
        <v>46406</v>
      </c>
      <c r="U10568" t="s">
        <v>55683</v>
      </c>
      <c r="W10568" t="s">
        <v>44048</v>
      </c>
      <c r="X10568" t="s">
        <v>44774</v>
      </c>
    </row>
    <row r="10569" spans="1:24">
      <c r="A10569">
        <f>HYPERLINK("https://www.philgeps.gov.ph/GEPSNONPILOT/Tender/SplashBidNoticeAbstractUI.aspx?menuIndex=3&amp;refID=7129005&amp;Result=3","7129005")</f>
        <v>0</v>
      </c>
      <c r="B10569" t="s">
        <v>3212</v>
      </c>
      <c r="C10569" t="s">
        <v>13792</v>
      </c>
      <c r="D10569" t="s">
        <v>17985</v>
      </c>
      <c r="E10569" t="s">
        <v>27192</v>
      </c>
      <c r="F10569" t="s">
        <v>30900</v>
      </c>
      <c r="G10569" t="s">
        <v>30907</v>
      </c>
      <c r="H10569" t="s">
        <v>30916</v>
      </c>
      <c r="I10569" t="s">
        <v>7708</v>
      </c>
      <c r="J10569" t="s">
        <v>37631</v>
      </c>
      <c r="K10569" t="s">
        <v>40292</v>
      </c>
      <c r="M10569" t="s">
        <v>44051</v>
      </c>
      <c r="N10569" t="s">
        <v>44759</v>
      </c>
      <c r="O10569" t="s">
        <v>44760</v>
      </c>
      <c r="P10569">
        <v>0</v>
      </c>
      <c r="Q10569">
        <v>6</v>
      </c>
      <c r="R10569" t="s">
        <v>44773</v>
      </c>
      <c r="S10569" t="s">
        <v>45184</v>
      </c>
      <c r="T10569" t="s">
        <v>46370</v>
      </c>
      <c r="U10569" t="s">
        <v>55686</v>
      </c>
      <c r="W10569" t="s">
        <v>44051</v>
      </c>
      <c r="X10569" t="s">
        <v>44775</v>
      </c>
    </row>
    <row r="10570" spans="1:24">
      <c r="A10570">
        <f>HYPERLINK("https://www.philgeps.gov.ph/GEPSNONPILOT/Tender/SplashBidNoticeAbstractUI.aspx?menuIndex=3&amp;refID=7129087&amp;Result=3","7129087")</f>
        <v>0</v>
      </c>
      <c r="B10570" t="s">
        <v>89</v>
      </c>
      <c r="C10570" t="s">
        <v>13793</v>
      </c>
      <c r="D10570" t="s">
        <v>17971</v>
      </c>
      <c r="E10570" t="s">
        <v>27193</v>
      </c>
      <c r="F10570" t="s">
        <v>30900</v>
      </c>
      <c r="G10570" t="s">
        <v>30909</v>
      </c>
      <c r="H10570" t="s">
        <v>30916</v>
      </c>
      <c r="I10570" t="s">
        <v>30923</v>
      </c>
      <c r="J10570" t="s">
        <v>31135</v>
      </c>
      <c r="K10570" t="s">
        <v>40289</v>
      </c>
      <c r="M10570" t="s">
        <v>40636</v>
      </c>
      <c r="N10570" t="s">
        <v>44759</v>
      </c>
      <c r="O10570" t="s">
        <v>44760</v>
      </c>
      <c r="Q10570">
        <v>3</v>
      </c>
      <c r="R10570" t="s">
        <v>44773</v>
      </c>
      <c r="S10570" t="s">
        <v>44966</v>
      </c>
      <c r="T10570" t="s">
        <v>46391</v>
      </c>
      <c r="U10570" t="s">
        <v>54570</v>
      </c>
      <c r="V10570" t="s">
        <v>59114</v>
      </c>
      <c r="W10570" t="s">
        <v>40636</v>
      </c>
      <c r="X10570" t="s">
        <v>44775</v>
      </c>
    </row>
    <row r="10571" spans="1:24">
      <c r="A10571">
        <f>HYPERLINK("https://www.philgeps.gov.ph/GEPSNONPILOT/Tender/SplashBidNoticeAbstractUI.aspx?menuIndex=3&amp;refID=7128229&amp;Result=3","7128229")</f>
        <v>0</v>
      </c>
      <c r="B10571" t="s">
        <v>3207</v>
      </c>
      <c r="C10571" t="s">
        <v>13794</v>
      </c>
      <c r="D10571" t="s">
        <v>17996</v>
      </c>
      <c r="E10571" t="s">
        <v>27194</v>
      </c>
      <c r="F10571" t="s">
        <v>30900</v>
      </c>
      <c r="G10571" t="s">
        <v>30907</v>
      </c>
      <c r="H10571" t="s">
        <v>30915</v>
      </c>
      <c r="I10571" t="s">
        <v>30919</v>
      </c>
      <c r="J10571" t="s">
        <v>37632</v>
      </c>
      <c r="K10571" t="s">
        <v>40289</v>
      </c>
      <c r="M10571" t="s">
        <v>44046</v>
      </c>
      <c r="N10571" t="s">
        <v>44759</v>
      </c>
      <c r="O10571" t="s">
        <v>44760</v>
      </c>
      <c r="P10571">
        <v>0</v>
      </c>
      <c r="Q10571">
        <v>0</v>
      </c>
      <c r="R10571" t="s">
        <v>44773</v>
      </c>
      <c r="S10571" t="s">
        <v>45184</v>
      </c>
      <c r="T10571" t="s">
        <v>46396</v>
      </c>
      <c r="U10571" t="s">
        <v>55687</v>
      </c>
      <c r="W10571" t="s">
        <v>44046</v>
      </c>
      <c r="X10571" t="s">
        <v>44775</v>
      </c>
    </row>
    <row r="10572" spans="1:24">
      <c r="A10572">
        <f>HYPERLINK("https://www.philgeps.gov.ph/GEPSNONPILOT/Tender/SplashBidNoticeAbstractUI.aspx?menuIndex=3&amp;refID=7129823&amp;Result=3","7129823")</f>
        <v>0</v>
      </c>
      <c r="B10572" t="s">
        <v>3213</v>
      </c>
      <c r="C10572" t="s">
        <v>13795</v>
      </c>
      <c r="D10572" t="s">
        <v>17953</v>
      </c>
      <c r="E10572" t="s">
        <v>27195</v>
      </c>
      <c r="F10572" t="s">
        <v>30900</v>
      </c>
      <c r="G10572" t="s">
        <v>30907</v>
      </c>
      <c r="H10572" t="s">
        <v>30916</v>
      </c>
      <c r="I10572" t="s">
        <v>8123</v>
      </c>
      <c r="J10572" t="s">
        <v>37633</v>
      </c>
      <c r="K10572" t="s">
        <v>40286</v>
      </c>
      <c r="M10572" t="s">
        <v>44052</v>
      </c>
      <c r="N10572" t="s">
        <v>44759</v>
      </c>
      <c r="O10572" t="s">
        <v>44760</v>
      </c>
      <c r="P10572">
        <v>0</v>
      </c>
      <c r="Q10572">
        <v>2</v>
      </c>
      <c r="R10572" t="s">
        <v>44773</v>
      </c>
      <c r="S10572" t="s">
        <v>45184</v>
      </c>
      <c r="T10572" t="s">
        <v>46370</v>
      </c>
      <c r="U10572" t="s">
        <v>55688</v>
      </c>
      <c r="W10572" t="s">
        <v>44052</v>
      </c>
      <c r="X10572" t="s">
        <v>44774</v>
      </c>
    </row>
    <row r="10573" spans="1:24">
      <c r="A10573">
        <f>HYPERLINK("https://www.philgeps.gov.ph/GEPSNONPILOT/Tender/SplashBidNoticeAbstractUI.aspx?menuIndex=3&amp;refID=7129807&amp;Result=3","7129807")</f>
        <v>0</v>
      </c>
      <c r="B10573" t="s">
        <v>1100</v>
      </c>
      <c r="C10573" t="s">
        <v>13796</v>
      </c>
      <c r="D10573" t="s">
        <v>17980</v>
      </c>
      <c r="E10573" t="s">
        <v>27196</v>
      </c>
      <c r="F10573" t="s">
        <v>30900</v>
      </c>
      <c r="G10573" t="s">
        <v>30909</v>
      </c>
      <c r="H10573" t="s">
        <v>30916</v>
      </c>
      <c r="I10573" t="s">
        <v>30923</v>
      </c>
      <c r="J10573" t="s">
        <v>31101</v>
      </c>
      <c r="K10573" t="s">
        <v>40289</v>
      </c>
      <c r="M10573" t="s">
        <v>41789</v>
      </c>
      <c r="N10573" t="s">
        <v>44759</v>
      </c>
      <c r="O10573" t="s">
        <v>44760</v>
      </c>
      <c r="Q10573">
        <v>9</v>
      </c>
      <c r="R10573" t="s">
        <v>44773</v>
      </c>
      <c r="S10573" t="s">
        <v>45190</v>
      </c>
      <c r="T10573" t="s">
        <v>46548</v>
      </c>
      <c r="U10573" t="s">
        <v>55689</v>
      </c>
      <c r="W10573" t="s">
        <v>41789</v>
      </c>
      <c r="X10573" t="s">
        <v>44774</v>
      </c>
    </row>
    <row r="10574" spans="1:24">
      <c r="A10574">
        <f>HYPERLINK("https://www.philgeps.gov.ph/GEPSNONPILOT/Tender/SplashBidNoticeAbstractUI.aspx?menuIndex=3&amp;refID=7129357&amp;Result=3","7129357")</f>
        <v>0</v>
      </c>
      <c r="B10574" t="s">
        <v>1928</v>
      </c>
      <c r="C10574" t="s">
        <v>13797</v>
      </c>
      <c r="D10574" t="s">
        <v>18011</v>
      </c>
      <c r="E10574" t="s">
        <v>27197</v>
      </c>
      <c r="F10574" t="s">
        <v>30900</v>
      </c>
      <c r="G10574" t="s">
        <v>30907</v>
      </c>
      <c r="H10574" t="s">
        <v>30916</v>
      </c>
      <c r="I10574" t="s">
        <v>5830</v>
      </c>
      <c r="J10574" t="s">
        <v>37634</v>
      </c>
      <c r="K10574" t="s">
        <v>40280</v>
      </c>
      <c r="M10574" t="s">
        <v>42608</v>
      </c>
      <c r="N10574" t="s">
        <v>44759</v>
      </c>
      <c r="O10574" t="s">
        <v>44760</v>
      </c>
      <c r="P10574">
        <v>0</v>
      </c>
      <c r="Q10574">
        <v>6</v>
      </c>
      <c r="R10574" t="s">
        <v>44773</v>
      </c>
      <c r="S10574" t="s">
        <v>45184</v>
      </c>
      <c r="T10574" t="s">
        <v>46400</v>
      </c>
      <c r="U10574" t="s">
        <v>55690</v>
      </c>
      <c r="W10574" t="s">
        <v>42608</v>
      </c>
      <c r="X10574" t="s">
        <v>44775</v>
      </c>
    </row>
    <row r="10575" spans="1:24">
      <c r="A10575">
        <f>HYPERLINK("https://www.philgeps.gov.ph/GEPSNONPILOT/Tender/SplashBidNoticeAbstractUI.aspx?menuIndex=3&amp;refID=7129802&amp;Result=3","7129802")</f>
        <v>0</v>
      </c>
      <c r="B10575" t="s">
        <v>2700</v>
      </c>
      <c r="C10575" t="s">
        <v>13798</v>
      </c>
      <c r="D10575" t="s">
        <v>18010</v>
      </c>
      <c r="E10575" t="s">
        <v>27198</v>
      </c>
      <c r="F10575" t="s">
        <v>30900</v>
      </c>
      <c r="G10575" t="s">
        <v>30907</v>
      </c>
      <c r="H10575" t="s">
        <v>30915</v>
      </c>
      <c r="I10575" t="s">
        <v>30919</v>
      </c>
      <c r="J10575" t="s">
        <v>31241</v>
      </c>
      <c r="K10575" t="s">
        <v>40392</v>
      </c>
      <c r="M10575" t="s">
        <v>43473</v>
      </c>
      <c r="N10575" t="s">
        <v>44759</v>
      </c>
      <c r="O10575" t="s">
        <v>44760</v>
      </c>
      <c r="P10575">
        <v>0</v>
      </c>
      <c r="Q10575">
        <v>21</v>
      </c>
      <c r="R10575" t="s">
        <v>44773</v>
      </c>
      <c r="S10575" t="s">
        <v>45184</v>
      </c>
      <c r="T10575" t="s">
        <v>46352</v>
      </c>
      <c r="U10575" t="s">
        <v>55691</v>
      </c>
      <c r="W10575" t="s">
        <v>43473</v>
      </c>
      <c r="X10575" t="s">
        <v>44774</v>
      </c>
    </row>
    <row r="10576" spans="1:24">
      <c r="A10576">
        <f>HYPERLINK("https://www.philgeps.gov.ph/GEPSNONPILOT/Tender/SplashBidNoticeAbstractUI.aspx?menuIndex=3&amp;refID=7129786&amp;Result=3","7129786")</f>
        <v>0</v>
      </c>
      <c r="B10576" t="s">
        <v>2743</v>
      </c>
      <c r="C10576" t="s">
        <v>13799</v>
      </c>
      <c r="D10576" t="s">
        <v>17966</v>
      </c>
      <c r="E10576" t="s">
        <v>27199</v>
      </c>
      <c r="F10576" t="s">
        <v>30900</v>
      </c>
      <c r="G10576" t="s">
        <v>30907</v>
      </c>
      <c r="H10576" t="s">
        <v>30915</v>
      </c>
      <c r="I10576" t="s">
        <v>30919</v>
      </c>
      <c r="J10576" t="s">
        <v>37635</v>
      </c>
      <c r="K10576" t="s">
        <v>40292</v>
      </c>
      <c r="M10576" t="s">
        <v>43519</v>
      </c>
      <c r="N10576" t="s">
        <v>44759</v>
      </c>
      <c r="O10576" t="s">
        <v>44760</v>
      </c>
      <c r="Q10576">
        <v>1</v>
      </c>
      <c r="R10576" t="s">
        <v>44773</v>
      </c>
      <c r="S10576" t="s">
        <v>45191</v>
      </c>
      <c r="T10576" t="s">
        <v>46495</v>
      </c>
      <c r="U10576" t="s">
        <v>55692</v>
      </c>
      <c r="W10576" t="s">
        <v>43519</v>
      </c>
      <c r="X10576" t="s">
        <v>44774</v>
      </c>
    </row>
    <row r="10577" spans="1:24">
      <c r="A10577">
        <f>HYPERLINK("https://www.philgeps.gov.ph/GEPSNONPILOT/Tender/SplashBidNoticeAbstractUI.aspx?menuIndex=3&amp;refID=7129093&amp;Result=3","7129093")</f>
        <v>0</v>
      </c>
      <c r="B10577" t="s">
        <v>2314</v>
      </c>
      <c r="C10577" t="s">
        <v>13800</v>
      </c>
      <c r="D10577" t="s">
        <v>18000</v>
      </c>
      <c r="E10577" t="s">
        <v>27200</v>
      </c>
      <c r="F10577" t="s">
        <v>30900</v>
      </c>
      <c r="G10577" t="s">
        <v>30907</v>
      </c>
      <c r="H10577" t="s">
        <v>30916</v>
      </c>
      <c r="I10577" t="s">
        <v>5501</v>
      </c>
      <c r="J10577" t="s">
        <v>37636</v>
      </c>
      <c r="K10577" t="s">
        <v>40289</v>
      </c>
      <c r="M10577" t="s">
        <v>43032</v>
      </c>
      <c r="N10577" t="s">
        <v>44759</v>
      </c>
      <c r="O10577" t="s">
        <v>44760</v>
      </c>
      <c r="P10577">
        <v>0</v>
      </c>
      <c r="Q10577">
        <v>6</v>
      </c>
      <c r="R10577" t="s">
        <v>44773</v>
      </c>
      <c r="S10577" t="s">
        <v>45184</v>
      </c>
      <c r="T10577" t="s">
        <v>46445</v>
      </c>
      <c r="U10577" t="s">
        <v>55693</v>
      </c>
      <c r="W10577" t="s">
        <v>43032</v>
      </c>
      <c r="X10577" t="s">
        <v>44775</v>
      </c>
    </row>
    <row r="10578" spans="1:24">
      <c r="A10578">
        <f>HYPERLINK("https://www.philgeps.gov.ph/GEPSNONPILOT/Tender/SplashBidNoticeAbstractUI.aspx?menuIndex=3&amp;refID=7129771&amp;Result=3","7129771")</f>
        <v>0</v>
      </c>
      <c r="B10578" t="s">
        <v>1084</v>
      </c>
      <c r="C10578" t="s">
        <v>13801</v>
      </c>
      <c r="D10578" t="s">
        <v>17969</v>
      </c>
      <c r="E10578" t="s">
        <v>27201</v>
      </c>
      <c r="F10578" t="s">
        <v>30900</v>
      </c>
      <c r="G10578" t="s">
        <v>30907</v>
      </c>
      <c r="H10578" t="s">
        <v>30915</v>
      </c>
      <c r="I10578" t="s">
        <v>30919</v>
      </c>
      <c r="J10578" t="s">
        <v>37637</v>
      </c>
      <c r="K10578" t="s">
        <v>40304</v>
      </c>
      <c r="M10578" t="s">
        <v>41683</v>
      </c>
      <c r="N10578" t="s">
        <v>44759</v>
      </c>
      <c r="O10578" t="s">
        <v>44760</v>
      </c>
      <c r="P10578">
        <v>0</v>
      </c>
      <c r="Q10578">
        <v>0</v>
      </c>
      <c r="R10578" t="s">
        <v>44773</v>
      </c>
      <c r="S10578" t="s">
        <v>45184</v>
      </c>
      <c r="T10578" t="s">
        <v>46411</v>
      </c>
      <c r="U10578" t="s">
        <v>55694</v>
      </c>
      <c r="W10578" t="s">
        <v>41683</v>
      </c>
      <c r="X10578" t="s">
        <v>44774</v>
      </c>
    </row>
    <row r="10579" spans="1:24">
      <c r="A10579">
        <f>HYPERLINK("https://www.philgeps.gov.ph/GEPSNONPILOT/Tender/SplashBidNoticeAbstractUI.aspx?menuIndex=3&amp;refID=7128454&amp;Result=3","7128454")</f>
        <v>0</v>
      </c>
      <c r="B10579" t="s">
        <v>3207</v>
      </c>
      <c r="C10579" t="s">
        <v>13802</v>
      </c>
      <c r="D10579" t="s">
        <v>17996</v>
      </c>
      <c r="E10579" t="s">
        <v>27202</v>
      </c>
      <c r="F10579" t="s">
        <v>30900</v>
      </c>
      <c r="G10579" t="s">
        <v>30907</v>
      </c>
      <c r="H10579" t="s">
        <v>30916</v>
      </c>
      <c r="I10579" t="s">
        <v>4108</v>
      </c>
      <c r="J10579" t="s">
        <v>31407</v>
      </c>
      <c r="K10579" t="s">
        <v>40289</v>
      </c>
      <c r="M10579" t="s">
        <v>44046</v>
      </c>
      <c r="N10579" t="s">
        <v>44759</v>
      </c>
      <c r="O10579" t="s">
        <v>44760</v>
      </c>
      <c r="P10579">
        <v>0</v>
      </c>
      <c r="Q10579">
        <v>3</v>
      </c>
      <c r="R10579" t="s">
        <v>44773</v>
      </c>
      <c r="S10579" t="s">
        <v>45184</v>
      </c>
      <c r="T10579" t="s">
        <v>46396</v>
      </c>
      <c r="U10579" t="s">
        <v>55695</v>
      </c>
      <c r="W10579" t="s">
        <v>44046</v>
      </c>
      <c r="X10579" t="s">
        <v>44775</v>
      </c>
    </row>
    <row r="10580" spans="1:24">
      <c r="A10580">
        <f>HYPERLINK("https://www.philgeps.gov.ph/GEPSNONPILOT/Tender/SplashBidNoticeAbstractUI.aspx?menuIndex=3&amp;refID=7129811&amp;Result=3","7129811")</f>
        <v>0</v>
      </c>
      <c r="B10580" t="s">
        <v>2743</v>
      </c>
      <c r="C10580" t="s">
        <v>13803</v>
      </c>
      <c r="D10580" t="s">
        <v>17966</v>
      </c>
      <c r="E10580" t="s">
        <v>27199</v>
      </c>
      <c r="F10580" t="s">
        <v>30900</v>
      </c>
      <c r="G10580" t="s">
        <v>30907</v>
      </c>
      <c r="H10580" t="s">
        <v>30915</v>
      </c>
      <c r="I10580" t="s">
        <v>30919</v>
      </c>
      <c r="J10580" t="s">
        <v>37638</v>
      </c>
      <c r="K10580" t="s">
        <v>40280</v>
      </c>
      <c r="M10580" t="s">
        <v>43519</v>
      </c>
      <c r="N10580" t="s">
        <v>44759</v>
      </c>
      <c r="O10580" t="s">
        <v>44760</v>
      </c>
      <c r="Q10580">
        <v>1</v>
      </c>
      <c r="R10580" t="s">
        <v>44773</v>
      </c>
      <c r="S10580" t="s">
        <v>45192</v>
      </c>
      <c r="T10580" t="s">
        <v>46730</v>
      </c>
      <c r="U10580" t="s">
        <v>55696</v>
      </c>
      <c r="W10580" t="s">
        <v>43519</v>
      </c>
      <c r="X10580" t="s">
        <v>44774</v>
      </c>
    </row>
    <row r="10581" spans="1:24">
      <c r="A10581">
        <f>HYPERLINK("https://www.philgeps.gov.ph/GEPSNONPILOT/Tender/SplashBidNoticeAbstractUI.aspx?menuIndex=3&amp;refID=7129758&amp;Result=3","7129758")</f>
        <v>0</v>
      </c>
      <c r="B10581" t="s">
        <v>3214</v>
      </c>
      <c r="C10581" t="s">
        <v>13804</v>
      </c>
      <c r="D10581" t="s">
        <v>17957</v>
      </c>
      <c r="E10581" t="s">
        <v>27203</v>
      </c>
      <c r="F10581" t="s">
        <v>30900</v>
      </c>
      <c r="G10581" t="s">
        <v>30907</v>
      </c>
      <c r="H10581" t="s">
        <v>30916</v>
      </c>
      <c r="I10581" t="s">
        <v>8123</v>
      </c>
      <c r="J10581" t="s">
        <v>37639</v>
      </c>
      <c r="K10581" t="s">
        <v>40283</v>
      </c>
      <c r="M10581" t="s">
        <v>44053</v>
      </c>
      <c r="N10581" t="s">
        <v>44759</v>
      </c>
      <c r="O10581" t="s">
        <v>44760</v>
      </c>
      <c r="P10581">
        <v>0</v>
      </c>
      <c r="Q10581">
        <v>0</v>
      </c>
      <c r="R10581" t="s">
        <v>44773</v>
      </c>
      <c r="S10581" t="s">
        <v>45184</v>
      </c>
      <c r="T10581" t="s">
        <v>46372</v>
      </c>
      <c r="U10581" t="s">
        <v>55697</v>
      </c>
      <c r="W10581" t="s">
        <v>44053</v>
      </c>
      <c r="X10581" t="s">
        <v>44774</v>
      </c>
    </row>
    <row r="10582" spans="1:24">
      <c r="A10582">
        <f>HYPERLINK("https://www.philgeps.gov.ph/GEPSNONPILOT/Tender/SplashBidNoticeAbstractUI.aspx?menuIndex=3&amp;refID=7129663&amp;Result=3","7129663")</f>
        <v>0</v>
      </c>
      <c r="B10582" t="s">
        <v>3215</v>
      </c>
      <c r="C10582" t="s">
        <v>13805</v>
      </c>
      <c r="D10582" t="s">
        <v>18031</v>
      </c>
      <c r="E10582" t="s">
        <v>18758</v>
      </c>
      <c r="F10582" t="s">
        <v>30900</v>
      </c>
      <c r="G10582" t="s">
        <v>30906</v>
      </c>
      <c r="H10582" t="s">
        <v>30916</v>
      </c>
      <c r="I10582" t="s">
        <v>30923</v>
      </c>
      <c r="J10582" t="s">
        <v>37640</v>
      </c>
      <c r="K10582" t="s">
        <v>40286</v>
      </c>
      <c r="M10582" t="s">
        <v>44054</v>
      </c>
      <c r="N10582" t="s">
        <v>44759</v>
      </c>
      <c r="O10582" t="s">
        <v>44760</v>
      </c>
      <c r="P10582">
        <v>0</v>
      </c>
      <c r="Q10582">
        <v>19</v>
      </c>
      <c r="R10582" t="s">
        <v>44773</v>
      </c>
      <c r="S10582" t="s">
        <v>45184</v>
      </c>
      <c r="T10582" t="s">
        <v>46533</v>
      </c>
      <c r="U10582" t="s">
        <v>50643</v>
      </c>
      <c r="W10582" t="s">
        <v>44054</v>
      </c>
      <c r="X10582" t="s">
        <v>44774</v>
      </c>
    </row>
    <row r="10583" spans="1:24">
      <c r="A10583">
        <f>HYPERLINK("https://www.philgeps.gov.ph/GEPSNONPILOT/Tender/SplashBidNoticeAbstractUI.aspx?menuIndex=3&amp;refID=7129660&amp;Result=3","7129660")</f>
        <v>0</v>
      </c>
      <c r="B10583" t="s">
        <v>2137</v>
      </c>
      <c r="C10583" t="s">
        <v>13806</v>
      </c>
      <c r="D10583" t="s">
        <v>17979</v>
      </c>
      <c r="E10583" t="s">
        <v>27204</v>
      </c>
      <c r="F10583" t="s">
        <v>30900</v>
      </c>
      <c r="G10583" t="s">
        <v>30907</v>
      </c>
      <c r="H10583" t="s">
        <v>30916</v>
      </c>
      <c r="I10583" t="s">
        <v>30922</v>
      </c>
      <c r="J10583" t="s">
        <v>37641</v>
      </c>
      <c r="K10583" t="s">
        <v>40286</v>
      </c>
      <c r="M10583" t="s">
        <v>42839</v>
      </c>
      <c r="N10583" t="s">
        <v>44759</v>
      </c>
      <c r="O10583" t="s">
        <v>44760</v>
      </c>
      <c r="Q10583">
        <v>12</v>
      </c>
      <c r="R10583" t="s">
        <v>44773</v>
      </c>
      <c r="S10583" t="s">
        <v>45193</v>
      </c>
      <c r="T10583" t="s">
        <v>46544</v>
      </c>
      <c r="U10583" t="s">
        <v>55698</v>
      </c>
      <c r="W10583" t="s">
        <v>42839</v>
      </c>
      <c r="X10583" t="s">
        <v>44774</v>
      </c>
    </row>
    <row r="10584" spans="1:24">
      <c r="A10584">
        <f>HYPERLINK("https://www.philgeps.gov.ph/GEPSNONPILOT/Tender/SplashBidNoticeAbstractUI.aspx?menuIndex=3&amp;refID=7129673&amp;Result=3","7129673")</f>
        <v>0</v>
      </c>
      <c r="B10584" t="s">
        <v>1396</v>
      </c>
      <c r="C10584" t="s">
        <v>13807</v>
      </c>
      <c r="E10584" t="s">
        <v>27205</v>
      </c>
      <c r="F10584" t="s">
        <v>30900</v>
      </c>
      <c r="G10584" t="s">
        <v>30907</v>
      </c>
      <c r="H10584" t="s">
        <v>30916</v>
      </c>
      <c r="I10584" t="s">
        <v>30933</v>
      </c>
      <c r="J10584" t="s">
        <v>31391</v>
      </c>
      <c r="K10584" t="s">
        <v>40286</v>
      </c>
      <c r="M10584" t="s">
        <v>42022</v>
      </c>
      <c r="N10584" t="s">
        <v>44759</v>
      </c>
      <c r="O10584" t="s">
        <v>44760</v>
      </c>
      <c r="P10584">
        <v>0</v>
      </c>
      <c r="Q10584">
        <v>8</v>
      </c>
      <c r="R10584" t="s">
        <v>44773</v>
      </c>
      <c r="S10584" t="s">
        <v>45184</v>
      </c>
      <c r="T10584" t="s">
        <v>46353</v>
      </c>
      <c r="U10584" t="s">
        <v>55699</v>
      </c>
      <c r="W10584" t="s">
        <v>42029</v>
      </c>
      <c r="X10584" t="s">
        <v>44774</v>
      </c>
    </row>
    <row r="10585" spans="1:24">
      <c r="A10585">
        <f>HYPERLINK("https://www.philgeps.gov.ph/GEPSNONPILOT/Tender/SplashBidNoticeAbstractUI.aspx?menuIndex=3&amp;refID=7129644&amp;Result=3","7129644")</f>
        <v>0</v>
      </c>
      <c r="B10585" t="s">
        <v>3216</v>
      </c>
      <c r="C10585" t="s">
        <v>13808</v>
      </c>
      <c r="D10585" t="s">
        <v>17957</v>
      </c>
      <c r="E10585" t="s">
        <v>27206</v>
      </c>
      <c r="F10585" t="s">
        <v>30900</v>
      </c>
      <c r="G10585" t="s">
        <v>30907</v>
      </c>
      <c r="H10585" t="s">
        <v>30915</v>
      </c>
      <c r="I10585" t="s">
        <v>30919</v>
      </c>
      <c r="J10585" t="s">
        <v>31214</v>
      </c>
      <c r="K10585" t="s">
        <v>40495</v>
      </c>
      <c r="M10585" t="s">
        <v>44055</v>
      </c>
      <c r="N10585" t="s">
        <v>44759</v>
      </c>
      <c r="O10585" t="s">
        <v>44760</v>
      </c>
      <c r="P10585">
        <v>0</v>
      </c>
      <c r="Q10585">
        <v>0</v>
      </c>
      <c r="R10585" t="s">
        <v>44773</v>
      </c>
      <c r="S10585" t="s">
        <v>45184</v>
      </c>
      <c r="T10585" t="s">
        <v>46425</v>
      </c>
      <c r="U10585" t="s">
        <v>55700</v>
      </c>
      <c r="W10585" t="s">
        <v>44055</v>
      </c>
      <c r="X10585" t="s">
        <v>44774</v>
      </c>
    </row>
    <row r="10586" spans="1:24">
      <c r="A10586">
        <f>HYPERLINK("https://www.philgeps.gov.ph/GEPSNONPILOT/Tender/SplashBidNoticeAbstractUI.aspx?menuIndex=3&amp;refID=7129641&amp;Result=3","7129641")</f>
        <v>0</v>
      </c>
      <c r="B10586" t="s">
        <v>3216</v>
      </c>
      <c r="C10586" t="s">
        <v>13809</v>
      </c>
      <c r="D10586" t="s">
        <v>17957</v>
      </c>
      <c r="E10586" t="s">
        <v>27207</v>
      </c>
      <c r="F10586" t="s">
        <v>30900</v>
      </c>
      <c r="G10586" t="s">
        <v>30907</v>
      </c>
      <c r="H10586" t="s">
        <v>30915</v>
      </c>
      <c r="I10586" t="s">
        <v>30919</v>
      </c>
      <c r="J10586" t="s">
        <v>31152</v>
      </c>
      <c r="K10586" t="s">
        <v>40302</v>
      </c>
      <c r="M10586" t="s">
        <v>44055</v>
      </c>
      <c r="N10586" t="s">
        <v>44759</v>
      </c>
      <c r="O10586" t="s">
        <v>44760</v>
      </c>
      <c r="P10586">
        <v>0</v>
      </c>
      <c r="Q10586">
        <v>0</v>
      </c>
      <c r="R10586" t="s">
        <v>44773</v>
      </c>
      <c r="S10586" t="s">
        <v>45184</v>
      </c>
      <c r="T10586" t="s">
        <v>46498</v>
      </c>
      <c r="U10586" t="s">
        <v>55701</v>
      </c>
      <c r="W10586" t="s">
        <v>44055</v>
      </c>
      <c r="X10586" t="s">
        <v>44774</v>
      </c>
    </row>
    <row r="10587" spans="1:24">
      <c r="A10587">
        <f>HYPERLINK("https://www.philgeps.gov.ph/GEPSNONPILOT/Tender/SplashBidNoticeAbstractUI.aspx?menuIndex=3&amp;refID=7129639&amp;Result=3","7129639")</f>
        <v>0</v>
      </c>
      <c r="B10587" t="s">
        <v>3216</v>
      </c>
      <c r="C10587" t="s">
        <v>13810</v>
      </c>
      <c r="D10587" t="s">
        <v>17957</v>
      </c>
      <c r="E10587" t="s">
        <v>27208</v>
      </c>
      <c r="F10587" t="s">
        <v>30900</v>
      </c>
      <c r="G10587" t="s">
        <v>30907</v>
      </c>
      <c r="H10587" t="s">
        <v>30915</v>
      </c>
      <c r="I10587" t="s">
        <v>30919</v>
      </c>
      <c r="J10587" t="s">
        <v>31152</v>
      </c>
      <c r="K10587" t="s">
        <v>40293</v>
      </c>
      <c r="M10587" t="s">
        <v>44055</v>
      </c>
      <c r="N10587" t="s">
        <v>44759</v>
      </c>
      <c r="O10587" t="s">
        <v>44760</v>
      </c>
      <c r="P10587">
        <v>0</v>
      </c>
      <c r="Q10587">
        <v>0</v>
      </c>
      <c r="R10587" t="s">
        <v>44773</v>
      </c>
      <c r="S10587" t="s">
        <v>45184</v>
      </c>
      <c r="T10587" t="s">
        <v>46409</v>
      </c>
      <c r="U10587" t="s">
        <v>55702</v>
      </c>
      <c r="W10587" t="s">
        <v>44055</v>
      </c>
      <c r="X10587" t="s">
        <v>44774</v>
      </c>
    </row>
    <row r="10588" spans="1:24">
      <c r="A10588">
        <f>HYPERLINK("https://www.philgeps.gov.ph/GEPSNONPILOT/Tender/SplashBidNoticeAbstractUI.aspx?menuIndex=3&amp;refID=7129621&amp;Result=3","7129621")</f>
        <v>0</v>
      </c>
      <c r="B10588" t="s">
        <v>3217</v>
      </c>
      <c r="C10588" t="s">
        <v>13811</v>
      </c>
      <c r="D10588" t="s">
        <v>17958</v>
      </c>
      <c r="E10588" t="s">
        <v>27209</v>
      </c>
      <c r="F10588" t="s">
        <v>30901</v>
      </c>
      <c r="G10588" t="s">
        <v>30907</v>
      </c>
      <c r="H10588" t="s">
        <v>30915</v>
      </c>
      <c r="I10588" t="s">
        <v>30919</v>
      </c>
      <c r="J10588" t="s">
        <v>31152</v>
      </c>
      <c r="K10588" t="s">
        <v>40280</v>
      </c>
      <c r="M10588" t="s">
        <v>44056</v>
      </c>
      <c r="N10588" t="s">
        <v>44759</v>
      </c>
      <c r="O10588" t="s">
        <v>44760</v>
      </c>
      <c r="P10588">
        <v>0</v>
      </c>
      <c r="Q10588">
        <v>0</v>
      </c>
      <c r="R10588" t="s">
        <v>44773</v>
      </c>
      <c r="S10588" t="s">
        <v>45184</v>
      </c>
      <c r="T10588" t="s">
        <v>46362</v>
      </c>
      <c r="U10588" t="s">
        <v>55703</v>
      </c>
      <c r="W10588" t="s">
        <v>44056</v>
      </c>
      <c r="X10588" t="s">
        <v>44774</v>
      </c>
    </row>
    <row r="10589" spans="1:24">
      <c r="A10589">
        <f>HYPERLINK("https://www.philgeps.gov.ph/GEPSNONPILOT/Tender/SplashBidNoticeAbstractUI.aspx?menuIndex=3&amp;refID=7129833&amp;Result=3","7129833")</f>
        <v>0</v>
      </c>
      <c r="B10589" t="s">
        <v>2743</v>
      </c>
      <c r="C10589" t="s">
        <v>13812</v>
      </c>
      <c r="D10589" t="s">
        <v>17966</v>
      </c>
      <c r="E10589" t="s">
        <v>27210</v>
      </c>
      <c r="F10589" t="s">
        <v>30900</v>
      </c>
      <c r="G10589" t="s">
        <v>30907</v>
      </c>
      <c r="H10589" t="s">
        <v>30915</v>
      </c>
      <c r="I10589" t="s">
        <v>30919</v>
      </c>
      <c r="J10589" t="s">
        <v>37642</v>
      </c>
      <c r="K10589" t="s">
        <v>40292</v>
      </c>
      <c r="M10589" t="s">
        <v>43519</v>
      </c>
      <c r="N10589" t="s">
        <v>44759</v>
      </c>
      <c r="O10589" t="s">
        <v>44760</v>
      </c>
      <c r="Q10589">
        <v>1</v>
      </c>
      <c r="R10589" t="s">
        <v>44773</v>
      </c>
      <c r="S10589" t="s">
        <v>45194</v>
      </c>
      <c r="T10589" t="s">
        <v>46595</v>
      </c>
      <c r="U10589" t="s">
        <v>55704</v>
      </c>
      <c r="W10589" t="s">
        <v>43519</v>
      </c>
      <c r="X10589" t="s">
        <v>44774</v>
      </c>
    </row>
    <row r="10590" spans="1:24">
      <c r="A10590">
        <f>HYPERLINK("https://www.philgeps.gov.ph/GEPSNONPILOT/Tender/SplashBidNoticeAbstractUI.aspx?menuIndex=3&amp;refID=7128908&amp;Result=3","7128908")</f>
        <v>0</v>
      </c>
      <c r="B10590" t="s">
        <v>1584</v>
      </c>
      <c r="C10590" t="s">
        <v>13813</v>
      </c>
      <c r="D10590" t="s">
        <v>18025</v>
      </c>
      <c r="E10590" t="s">
        <v>27211</v>
      </c>
      <c r="F10590" t="s">
        <v>30900</v>
      </c>
      <c r="G10590" t="s">
        <v>30907</v>
      </c>
      <c r="H10590" t="s">
        <v>30915</v>
      </c>
      <c r="I10590" t="s">
        <v>30919</v>
      </c>
      <c r="J10590" t="s">
        <v>37643</v>
      </c>
      <c r="K10590" t="s">
        <v>40354</v>
      </c>
      <c r="M10590" t="s">
        <v>42231</v>
      </c>
      <c r="N10590" t="s">
        <v>44759</v>
      </c>
      <c r="O10590" t="s">
        <v>44760</v>
      </c>
      <c r="P10590">
        <v>0</v>
      </c>
      <c r="Q10590">
        <v>9</v>
      </c>
      <c r="R10590" t="s">
        <v>44773</v>
      </c>
      <c r="S10590" t="s">
        <v>45184</v>
      </c>
      <c r="T10590" t="s">
        <v>46411</v>
      </c>
      <c r="U10590" t="s">
        <v>54894</v>
      </c>
      <c r="W10590" t="s">
        <v>42231</v>
      </c>
      <c r="X10590" t="s">
        <v>44775</v>
      </c>
    </row>
    <row r="10591" spans="1:24">
      <c r="A10591">
        <f>HYPERLINK("https://www.philgeps.gov.ph/GEPSNONPILOT/Tender/SplashBidNoticeAbstractUI.aspx?menuIndex=3&amp;refID=7129835&amp;Result=3","7129835")</f>
        <v>0</v>
      </c>
      <c r="B10591" t="s">
        <v>3218</v>
      </c>
      <c r="C10591" t="s">
        <v>13814</v>
      </c>
      <c r="D10591" t="s">
        <v>17978</v>
      </c>
      <c r="E10591" t="s">
        <v>27212</v>
      </c>
      <c r="F10591" t="s">
        <v>30900</v>
      </c>
      <c r="G10591" t="s">
        <v>30907</v>
      </c>
      <c r="H10591" t="s">
        <v>30915</v>
      </c>
      <c r="I10591" t="s">
        <v>30919</v>
      </c>
      <c r="J10591" t="s">
        <v>31341</v>
      </c>
      <c r="K10591" t="s">
        <v>40314</v>
      </c>
      <c r="M10591" t="s">
        <v>44057</v>
      </c>
      <c r="N10591" t="s">
        <v>44759</v>
      </c>
      <c r="O10591" t="s">
        <v>44760</v>
      </c>
      <c r="P10591">
        <v>0</v>
      </c>
      <c r="Q10591">
        <v>0</v>
      </c>
      <c r="R10591" t="s">
        <v>44773</v>
      </c>
      <c r="S10591" t="s">
        <v>45184</v>
      </c>
      <c r="T10591" t="s">
        <v>46516</v>
      </c>
      <c r="U10591" t="s">
        <v>55705</v>
      </c>
      <c r="V10591" t="s">
        <v>59692</v>
      </c>
      <c r="W10591" t="s">
        <v>44057</v>
      </c>
      <c r="X10591" t="s">
        <v>44774</v>
      </c>
    </row>
    <row r="10592" spans="1:24">
      <c r="A10592">
        <f>HYPERLINK("https://www.philgeps.gov.ph/GEPSNONPILOT/Tender/SplashBidNoticeAbstractUI.aspx?menuIndex=3&amp;refID=7129633&amp;Result=3","7129633")</f>
        <v>0</v>
      </c>
      <c r="B10592" t="s">
        <v>3216</v>
      </c>
      <c r="C10592" t="s">
        <v>13815</v>
      </c>
      <c r="D10592" t="s">
        <v>17957</v>
      </c>
      <c r="E10592" t="s">
        <v>27213</v>
      </c>
      <c r="F10592" t="s">
        <v>30900</v>
      </c>
      <c r="G10592" t="s">
        <v>30907</v>
      </c>
      <c r="H10592" t="s">
        <v>30915</v>
      </c>
      <c r="I10592" t="s">
        <v>30919</v>
      </c>
      <c r="J10592" t="s">
        <v>31152</v>
      </c>
      <c r="K10592" t="s">
        <v>40293</v>
      </c>
      <c r="M10592" t="s">
        <v>44055</v>
      </c>
      <c r="N10592" t="s">
        <v>44759</v>
      </c>
      <c r="O10592" t="s">
        <v>44760</v>
      </c>
      <c r="P10592">
        <v>0</v>
      </c>
      <c r="Q10592">
        <v>0</v>
      </c>
      <c r="R10592" t="s">
        <v>44773</v>
      </c>
      <c r="S10592" t="s">
        <v>45184</v>
      </c>
      <c r="T10592" t="s">
        <v>46389</v>
      </c>
      <c r="U10592" t="s">
        <v>55706</v>
      </c>
      <c r="W10592" t="s">
        <v>44055</v>
      </c>
      <c r="X10592" t="s">
        <v>44774</v>
      </c>
    </row>
    <row r="10593" spans="1:24">
      <c r="A10593">
        <f>HYPERLINK("https://www.philgeps.gov.ph/GEPSNONPILOT/Tender/SplashBidNoticeAbstractUI.aspx?menuIndex=3&amp;refID=7129688&amp;Result=3","7129688")</f>
        <v>0</v>
      </c>
      <c r="B10593" t="s">
        <v>3219</v>
      </c>
      <c r="C10593" t="s">
        <v>13816</v>
      </c>
      <c r="D10593" t="s">
        <v>17999</v>
      </c>
      <c r="E10593" t="s">
        <v>18094</v>
      </c>
      <c r="F10593" t="s">
        <v>30900</v>
      </c>
      <c r="G10593" t="s">
        <v>30907</v>
      </c>
      <c r="H10593" t="s">
        <v>30915</v>
      </c>
      <c r="I10593" t="s">
        <v>30919</v>
      </c>
      <c r="J10593" t="s">
        <v>37644</v>
      </c>
      <c r="K10593" t="s">
        <v>40284</v>
      </c>
      <c r="L10593" t="s">
        <v>3219</v>
      </c>
      <c r="M10593" t="s">
        <v>44058</v>
      </c>
      <c r="N10593" t="s">
        <v>44759</v>
      </c>
      <c r="O10593" t="s">
        <v>44760</v>
      </c>
      <c r="P10593">
        <v>0</v>
      </c>
      <c r="Q10593">
        <v>0</v>
      </c>
      <c r="R10593" t="s">
        <v>44773</v>
      </c>
      <c r="S10593" t="s">
        <v>45184</v>
      </c>
      <c r="T10593" t="s">
        <v>46410</v>
      </c>
      <c r="U10593" t="s">
        <v>55707</v>
      </c>
      <c r="W10593" t="s">
        <v>44058</v>
      </c>
      <c r="X10593" t="s">
        <v>44774</v>
      </c>
    </row>
    <row r="10594" spans="1:24">
      <c r="A10594">
        <f>HYPERLINK("https://www.philgeps.gov.ph/GEPSNONPILOT/Tender/SplashBidNoticeAbstractUI.aspx?menuIndex=3&amp;refID=7128869&amp;Result=3","7128869")</f>
        <v>0</v>
      </c>
      <c r="B10594" t="s">
        <v>3212</v>
      </c>
      <c r="C10594" t="s">
        <v>13817</v>
      </c>
      <c r="D10594" t="s">
        <v>17985</v>
      </c>
      <c r="E10594" t="s">
        <v>27214</v>
      </c>
      <c r="F10594" t="s">
        <v>30900</v>
      </c>
      <c r="G10594" t="s">
        <v>30907</v>
      </c>
      <c r="H10594" t="s">
        <v>30916</v>
      </c>
      <c r="I10594" t="s">
        <v>7708</v>
      </c>
      <c r="J10594" t="s">
        <v>37645</v>
      </c>
      <c r="K10594" t="s">
        <v>40292</v>
      </c>
      <c r="M10594" t="s">
        <v>44051</v>
      </c>
      <c r="N10594" t="s">
        <v>44759</v>
      </c>
      <c r="O10594" t="s">
        <v>44760</v>
      </c>
      <c r="P10594">
        <v>0</v>
      </c>
      <c r="Q10594">
        <v>2</v>
      </c>
      <c r="R10594" t="s">
        <v>44773</v>
      </c>
      <c r="S10594" t="s">
        <v>45184</v>
      </c>
      <c r="T10594" t="s">
        <v>46370</v>
      </c>
      <c r="U10594" t="s">
        <v>55686</v>
      </c>
      <c r="W10594" t="s">
        <v>44051</v>
      </c>
      <c r="X10594" t="s">
        <v>44775</v>
      </c>
    </row>
    <row r="10595" spans="1:24">
      <c r="A10595">
        <f>HYPERLINK("https://www.philgeps.gov.ph/GEPSNONPILOT/Tender/SplashBidNoticeAbstractUI.aspx?menuIndex=3&amp;refID=7129755&amp;Result=3","7129755")</f>
        <v>0</v>
      </c>
      <c r="B10595" t="s">
        <v>3219</v>
      </c>
      <c r="C10595" t="s">
        <v>13818</v>
      </c>
      <c r="D10595" t="s">
        <v>17999</v>
      </c>
      <c r="E10595" t="s">
        <v>19690</v>
      </c>
      <c r="F10595" t="s">
        <v>30900</v>
      </c>
      <c r="G10595" t="s">
        <v>30907</v>
      </c>
      <c r="H10595" t="s">
        <v>30915</v>
      </c>
      <c r="I10595" t="s">
        <v>30919</v>
      </c>
      <c r="J10595" t="s">
        <v>37646</v>
      </c>
      <c r="K10595" t="s">
        <v>40344</v>
      </c>
      <c r="L10595" t="s">
        <v>3219</v>
      </c>
      <c r="M10595" t="s">
        <v>44058</v>
      </c>
      <c r="N10595" t="s">
        <v>44759</v>
      </c>
      <c r="O10595" t="s">
        <v>44760</v>
      </c>
      <c r="P10595">
        <v>0</v>
      </c>
      <c r="Q10595">
        <v>0</v>
      </c>
      <c r="R10595" t="s">
        <v>44773</v>
      </c>
      <c r="S10595" t="s">
        <v>45184</v>
      </c>
      <c r="T10595" t="s">
        <v>46410</v>
      </c>
      <c r="U10595" t="s">
        <v>55708</v>
      </c>
      <c r="W10595" t="s">
        <v>44058</v>
      </c>
      <c r="X10595" t="s">
        <v>44774</v>
      </c>
    </row>
    <row r="10596" spans="1:24">
      <c r="A10596">
        <f>HYPERLINK("https://www.philgeps.gov.ph/GEPSNONPILOT/Tender/SplashBidNoticeAbstractUI.aspx?menuIndex=3&amp;refID=7129809&amp;Result=3","7129809")</f>
        <v>0</v>
      </c>
      <c r="B10596" t="s">
        <v>3213</v>
      </c>
      <c r="C10596" t="s">
        <v>13819</v>
      </c>
      <c r="D10596" t="s">
        <v>17953</v>
      </c>
      <c r="E10596" t="s">
        <v>27215</v>
      </c>
      <c r="F10596" t="s">
        <v>30900</v>
      </c>
      <c r="G10596" t="s">
        <v>30907</v>
      </c>
      <c r="H10596" t="s">
        <v>30916</v>
      </c>
      <c r="I10596" t="s">
        <v>8123</v>
      </c>
      <c r="J10596" t="s">
        <v>37647</v>
      </c>
      <c r="K10596" t="s">
        <v>40286</v>
      </c>
      <c r="M10596" t="s">
        <v>44052</v>
      </c>
      <c r="N10596" t="s">
        <v>44759</v>
      </c>
      <c r="O10596" t="s">
        <v>44760</v>
      </c>
      <c r="P10596">
        <v>0</v>
      </c>
      <c r="Q10596">
        <v>2</v>
      </c>
      <c r="R10596" t="s">
        <v>44773</v>
      </c>
      <c r="S10596" t="s">
        <v>45184</v>
      </c>
      <c r="T10596" t="s">
        <v>46370</v>
      </c>
      <c r="U10596" t="s">
        <v>55709</v>
      </c>
      <c r="W10596" t="s">
        <v>44052</v>
      </c>
      <c r="X10596" t="s">
        <v>44774</v>
      </c>
    </row>
    <row r="10597" spans="1:24">
      <c r="A10597">
        <f>HYPERLINK("https://www.philgeps.gov.ph/GEPSNONPILOT/Tender/SplashBidNoticeAbstractUI.aspx?menuIndex=3&amp;refID=7129991&amp;Result=3","7129991")</f>
        <v>0</v>
      </c>
      <c r="B10597" t="s">
        <v>3220</v>
      </c>
      <c r="C10597" t="s">
        <v>13820</v>
      </c>
      <c r="D10597" t="s">
        <v>18015</v>
      </c>
      <c r="E10597" t="s">
        <v>18484</v>
      </c>
      <c r="F10597" t="s">
        <v>30900</v>
      </c>
      <c r="G10597" t="s">
        <v>30907</v>
      </c>
      <c r="H10597" t="s">
        <v>30916</v>
      </c>
      <c r="I10597" t="s">
        <v>8123</v>
      </c>
      <c r="J10597" t="s">
        <v>37648</v>
      </c>
      <c r="K10597" t="s">
        <v>40291</v>
      </c>
      <c r="M10597" t="s">
        <v>44059</v>
      </c>
      <c r="N10597" t="s">
        <v>44759</v>
      </c>
      <c r="O10597" t="s">
        <v>44760</v>
      </c>
      <c r="P10597">
        <v>0</v>
      </c>
      <c r="Q10597">
        <v>0</v>
      </c>
      <c r="R10597" t="s">
        <v>44773</v>
      </c>
      <c r="S10597" t="s">
        <v>45184</v>
      </c>
      <c r="T10597" t="s">
        <v>46457</v>
      </c>
      <c r="U10597" t="s">
        <v>55710</v>
      </c>
      <c r="W10597" t="s">
        <v>44059</v>
      </c>
      <c r="X10597" t="s">
        <v>44774</v>
      </c>
    </row>
    <row r="10598" spans="1:24">
      <c r="A10598">
        <f>HYPERLINK("https://www.philgeps.gov.ph/GEPSNONPILOT/Tender/SplashBidNoticeAbstractUI.aspx?menuIndex=3&amp;refID=7130003&amp;Result=3","7130003")</f>
        <v>0</v>
      </c>
      <c r="B10598" t="s">
        <v>3221</v>
      </c>
      <c r="C10598" t="s">
        <v>6187</v>
      </c>
      <c r="D10598" t="s">
        <v>17981</v>
      </c>
      <c r="E10598" t="s">
        <v>27216</v>
      </c>
      <c r="F10598" t="s">
        <v>30900</v>
      </c>
      <c r="G10598" t="s">
        <v>30907</v>
      </c>
      <c r="H10598" t="s">
        <v>30916</v>
      </c>
      <c r="I10598" t="s">
        <v>8123</v>
      </c>
      <c r="J10598" t="s">
        <v>37649</v>
      </c>
      <c r="K10598" t="s">
        <v>40288</v>
      </c>
      <c r="M10598" t="s">
        <v>44060</v>
      </c>
      <c r="N10598" t="s">
        <v>44759</v>
      </c>
      <c r="O10598" t="s">
        <v>44760</v>
      </c>
      <c r="P10598">
        <v>0</v>
      </c>
      <c r="Q10598">
        <v>3</v>
      </c>
      <c r="R10598" t="s">
        <v>44773</v>
      </c>
      <c r="S10598" t="s">
        <v>45184</v>
      </c>
      <c r="T10598" t="s">
        <v>46391</v>
      </c>
      <c r="U10598" t="s">
        <v>55711</v>
      </c>
      <c r="W10598" t="s">
        <v>44060</v>
      </c>
      <c r="X10598" t="s">
        <v>44774</v>
      </c>
    </row>
    <row r="10599" spans="1:24">
      <c r="A10599">
        <f>HYPERLINK("https://www.philgeps.gov.ph/GEPSNONPILOT/Tender/SplashBidNoticeAbstractUI.aspx?menuIndex=3&amp;refID=7129961&amp;Result=3","7129961")</f>
        <v>0</v>
      </c>
      <c r="B10599" t="s">
        <v>3213</v>
      </c>
      <c r="C10599" t="s">
        <v>13821</v>
      </c>
      <c r="D10599" t="s">
        <v>17953</v>
      </c>
      <c r="E10599" t="s">
        <v>27217</v>
      </c>
      <c r="F10599" t="s">
        <v>30900</v>
      </c>
      <c r="G10599" t="s">
        <v>30907</v>
      </c>
      <c r="H10599" t="s">
        <v>30915</v>
      </c>
      <c r="I10599" t="s">
        <v>30919</v>
      </c>
      <c r="J10599" t="s">
        <v>37650</v>
      </c>
      <c r="K10599" t="s">
        <v>40341</v>
      </c>
      <c r="M10599" t="s">
        <v>44052</v>
      </c>
      <c r="N10599" t="s">
        <v>44759</v>
      </c>
      <c r="O10599" t="s">
        <v>44760</v>
      </c>
      <c r="P10599">
        <v>0</v>
      </c>
      <c r="Q10599">
        <v>5</v>
      </c>
      <c r="R10599" t="s">
        <v>44773</v>
      </c>
      <c r="S10599" t="s">
        <v>45184</v>
      </c>
      <c r="T10599" t="s">
        <v>46370</v>
      </c>
      <c r="U10599" t="s">
        <v>55712</v>
      </c>
      <c r="W10599" t="s">
        <v>44052</v>
      </c>
      <c r="X10599" t="s">
        <v>44774</v>
      </c>
    </row>
    <row r="10600" spans="1:24">
      <c r="A10600">
        <f>HYPERLINK("https://www.philgeps.gov.ph/GEPSNONPILOT/Tender/SplashBidNoticeAbstractUI.aspx?menuIndex=3&amp;refID=7129927&amp;Result=3","7129927")</f>
        <v>0</v>
      </c>
      <c r="B10600" t="s">
        <v>3222</v>
      </c>
      <c r="C10600" t="s">
        <v>13822</v>
      </c>
      <c r="D10600" t="s">
        <v>18014</v>
      </c>
      <c r="E10600" t="s">
        <v>27218</v>
      </c>
      <c r="F10600" t="s">
        <v>30900</v>
      </c>
      <c r="G10600" t="s">
        <v>30907</v>
      </c>
      <c r="H10600" t="s">
        <v>30916</v>
      </c>
      <c r="I10600" t="s">
        <v>30923</v>
      </c>
      <c r="J10600" t="s">
        <v>31048</v>
      </c>
      <c r="K10600" t="s">
        <v>40289</v>
      </c>
      <c r="M10600" t="s">
        <v>44061</v>
      </c>
      <c r="N10600" t="s">
        <v>44759</v>
      </c>
      <c r="O10600" t="s">
        <v>44760</v>
      </c>
      <c r="P10600">
        <v>0</v>
      </c>
      <c r="Q10600">
        <v>0</v>
      </c>
      <c r="R10600" t="s">
        <v>44773</v>
      </c>
      <c r="S10600" t="s">
        <v>45184</v>
      </c>
      <c r="T10600" t="s">
        <v>46503</v>
      </c>
      <c r="U10600" t="s">
        <v>55713</v>
      </c>
      <c r="W10600" t="s">
        <v>44061</v>
      </c>
      <c r="X10600" t="s">
        <v>44774</v>
      </c>
    </row>
    <row r="10601" spans="1:24">
      <c r="A10601">
        <f>HYPERLINK("https://www.philgeps.gov.ph/GEPSNONPILOT/Tender/SplashBidNoticeAbstractUI.aspx?menuIndex=3&amp;refID=7129920&amp;Result=3","7129920")</f>
        <v>0</v>
      </c>
      <c r="B10601" t="s">
        <v>3223</v>
      </c>
      <c r="C10601" t="s">
        <v>13823</v>
      </c>
      <c r="D10601" t="s">
        <v>17981</v>
      </c>
      <c r="E10601" t="s">
        <v>27219</v>
      </c>
      <c r="F10601" t="s">
        <v>30900</v>
      </c>
      <c r="G10601" t="s">
        <v>30907</v>
      </c>
      <c r="H10601" t="s">
        <v>30916</v>
      </c>
      <c r="I10601" t="s">
        <v>8123</v>
      </c>
      <c r="J10601" t="s">
        <v>37651</v>
      </c>
      <c r="K10601" t="s">
        <v>40288</v>
      </c>
      <c r="M10601" t="s">
        <v>44062</v>
      </c>
      <c r="N10601" t="s">
        <v>44759</v>
      </c>
      <c r="O10601" t="s">
        <v>44760</v>
      </c>
      <c r="P10601">
        <v>0</v>
      </c>
      <c r="Q10601">
        <v>2</v>
      </c>
      <c r="R10601" t="s">
        <v>44773</v>
      </c>
      <c r="S10601" t="s">
        <v>45184</v>
      </c>
      <c r="T10601" t="s">
        <v>46684</v>
      </c>
      <c r="U10601" t="s">
        <v>55714</v>
      </c>
      <c r="W10601" t="s">
        <v>44062</v>
      </c>
      <c r="X10601" t="s">
        <v>44774</v>
      </c>
    </row>
    <row r="10602" spans="1:24">
      <c r="A10602">
        <f>HYPERLINK("https://www.philgeps.gov.ph/GEPSNONPILOT/Tender/SplashBidNoticeAbstractUI.aspx?menuIndex=3&amp;refID=7128846&amp;Result=3","7128846")</f>
        <v>0</v>
      </c>
      <c r="B10602" t="s">
        <v>3224</v>
      </c>
      <c r="C10602" t="s">
        <v>13824</v>
      </c>
      <c r="E10602" t="s">
        <v>18158</v>
      </c>
      <c r="F10602" t="s">
        <v>30900</v>
      </c>
      <c r="G10602" t="s">
        <v>30907</v>
      </c>
      <c r="H10602" t="s">
        <v>30916</v>
      </c>
      <c r="I10602" t="s">
        <v>8123</v>
      </c>
      <c r="J10602" t="s">
        <v>37652</v>
      </c>
      <c r="K10602" t="s">
        <v>40289</v>
      </c>
      <c r="M10602" t="s">
        <v>44063</v>
      </c>
      <c r="N10602" t="s">
        <v>44759</v>
      </c>
      <c r="O10602" t="s">
        <v>44760</v>
      </c>
      <c r="P10602">
        <v>0</v>
      </c>
      <c r="Q10602">
        <v>2</v>
      </c>
      <c r="R10602" t="s">
        <v>44773</v>
      </c>
      <c r="S10602" t="s">
        <v>45184</v>
      </c>
      <c r="T10602" t="s">
        <v>46363</v>
      </c>
      <c r="U10602" t="s">
        <v>55715</v>
      </c>
      <c r="W10602" t="s">
        <v>44063</v>
      </c>
      <c r="X10602" t="s">
        <v>44775</v>
      </c>
    </row>
    <row r="10603" spans="1:24">
      <c r="A10603">
        <f>HYPERLINK("https://www.philgeps.gov.ph/GEPSNONPILOT/Tender/SplashBidNoticeAbstractUI.aspx?menuIndex=3&amp;refID=7129979&amp;Result=3","7129979")</f>
        <v>0</v>
      </c>
      <c r="B10603" t="s">
        <v>892</v>
      </c>
      <c r="C10603" t="s">
        <v>13825</v>
      </c>
      <c r="D10603" t="s">
        <v>17978</v>
      </c>
      <c r="E10603" t="s">
        <v>27220</v>
      </c>
      <c r="F10603" t="s">
        <v>30900</v>
      </c>
      <c r="G10603" t="s">
        <v>30907</v>
      </c>
      <c r="H10603" t="s">
        <v>30916</v>
      </c>
      <c r="I10603" t="s">
        <v>4545</v>
      </c>
      <c r="J10603" t="s">
        <v>31043</v>
      </c>
      <c r="K10603" t="s">
        <v>40284</v>
      </c>
      <c r="M10603" t="s">
        <v>41466</v>
      </c>
      <c r="N10603" t="s">
        <v>44759</v>
      </c>
      <c r="O10603" t="s">
        <v>44760</v>
      </c>
      <c r="P10603">
        <v>0</v>
      </c>
      <c r="Q10603">
        <v>0</v>
      </c>
      <c r="R10603" t="s">
        <v>44773</v>
      </c>
      <c r="S10603" t="s">
        <v>45184</v>
      </c>
      <c r="T10603" t="s">
        <v>46544</v>
      </c>
      <c r="U10603" t="s">
        <v>55716</v>
      </c>
      <c r="W10603" t="s">
        <v>41466</v>
      </c>
      <c r="X10603" t="s">
        <v>44774</v>
      </c>
    </row>
    <row r="10604" spans="1:24">
      <c r="A10604">
        <f>HYPERLINK("https://www.philgeps.gov.ph/GEPSNONPILOT/Tender/SplashBidNoticeAbstractUI.aspx?menuIndex=3&amp;refID=7129972&amp;Result=3","7129972")</f>
        <v>0</v>
      </c>
      <c r="B10604" t="s">
        <v>3225</v>
      </c>
      <c r="C10604" t="s">
        <v>13826</v>
      </c>
      <c r="D10604" t="s">
        <v>17980</v>
      </c>
      <c r="E10604" t="s">
        <v>18094</v>
      </c>
      <c r="F10604" t="s">
        <v>30900</v>
      </c>
      <c r="G10604" t="s">
        <v>30907</v>
      </c>
      <c r="H10604" t="s">
        <v>30916</v>
      </c>
      <c r="I10604" t="s">
        <v>30919</v>
      </c>
      <c r="J10604" t="s">
        <v>31518</v>
      </c>
      <c r="K10604" t="s">
        <v>40284</v>
      </c>
      <c r="L10604" t="s">
        <v>3225</v>
      </c>
      <c r="M10604" t="s">
        <v>44064</v>
      </c>
      <c r="N10604" t="s">
        <v>44759</v>
      </c>
      <c r="O10604" t="s">
        <v>44760</v>
      </c>
      <c r="P10604">
        <v>0</v>
      </c>
      <c r="Q10604">
        <v>1</v>
      </c>
      <c r="R10604" t="s">
        <v>44773</v>
      </c>
      <c r="S10604" t="s">
        <v>45184</v>
      </c>
      <c r="T10604" t="s">
        <v>46452</v>
      </c>
      <c r="U10604" t="s">
        <v>55717</v>
      </c>
      <c r="V10604" t="s">
        <v>60292</v>
      </c>
      <c r="W10604" t="s">
        <v>44064</v>
      </c>
      <c r="X10604" t="s">
        <v>44774</v>
      </c>
    </row>
    <row r="10605" spans="1:24">
      <c r="A10605">
        <f>HYPERLINK("https://www.philgeps.gov.ph/GEPSNONPILOT/Tender/SplashBidNoticeAbstractUI.aspx?menuIndex=3&amp;refID=7129910&amp;Result=3","7129910")</f>
        <v>0</v>
      </c>
      <c r="B10605" t="s">
        <v>3213</v>
      </c>
      <c r="C10605" t="s">
        <v>13827</v>
      </c>
      <c r="D10605" t="s">
        <v>17953</v>
      </c>
      <c r="E10605" t="s">
        <v>27221</v>
      </c>
      <c r="F10605" t="s">
        <v>30900</v>
      </c>
      <c r="G10605" t="s">
        <v>30907</v>
      </c>
      <c r="H10605" t="s">
        <v>30916</v>
      </c>
      <c r="I10605" t="s">
        <v>8123</v>
      </c>
      <c r="J10605" t="s">
        <v>37653</v>
      </c>
      <c r="K10605" t="s">
        <v>40286</v>
      </c>
      <c r="M10605" t="s">
        <v>44052</v>
      </c>
      <c r="N10605" t="s">
        <v>44759</v>
      </c>
      <c r="O10605" t="s">
        <v>44760</v>
      </c>
      <c r="P10605">
        <v>0</v>
      </c>
      <c r="Q10605">
        <v>0</v>
      </c>
      <c r="R10605" t="s">
        <v>44773</v>
      </c>
      <c r="S10605" t="s">
        <v>45184</v>
      </c>
      <c r="T10605" t="s">
        <v>46370</v>
      </c>
      <c r="U10605" t="s">
        <v>55718</v>
      </c>
      <c r="W10605" t="s">
        <v>44052</v>
      </c>
      <c r="X10605" t="s">
        <v>44774</v>
      </c>
    </row>
    <row r="10606" spans="1:24">
      <c r="A10606">
        <f>HYPERLINK("https://www.philgeps.gov.ph/GEPSNONPILOT/Tender/SplashBidNoticeAbstractUI.aspx?menuIndex=3&amp;refID=7129656&amp;Result=3","7129656")</f>
        <v>0</v>
      </c>
      <c r="B10606" t="s">
        <v>1584</v>
      </c>
      <c r="C10606" t="s">
        <v>13828</v>
      </c>
      <c r="D10606" t="s">
        <v>18025</v>
      </c>
      <c r="E10606" t="s">
        <v>27222</v>
      </c>
      <c r="F10606" t="s">
        <v>30900</v>
      </c>
      <c r="G10606" t="s">
        <v>30907</v>
      </c>
      <c r="H10606" t="s">
        <v>30915</v>
      </c>
      <c r="I10606" t="s">
        <v>30955</v>
      </c>
      <c r="J10606" t="s">
        <v>37654</v>
      </c>
      <c r="K10606" t="s">
        <v>40304</v>
      </c>
      <c r="M10606" t="s">
        <v>42231</v>
      </c>
      <c r="N10606" t="s">
        <v>44759</v>
      </c>
      <c r="O10606" t="s">
        <v>44760</v>
      </c>
      <c r="P10606">
        <v>0</v>
      </c>
      <c r="Q10606">
        <v>9</v>
      </c>
      <c r="R10606" t="s">
        <v>44773</v>
      </c>
      <c r="S10606" t="s">
        <v>45184</v>
      </c>
      <c r="T10606" t="s">
        <v>46544</v>
      </c>
      <c r="U10606" t="s">
        <v>54894</v>
      </c>
      <c r="W10606" t="s">
        <v>42231</v>
      </c>
      <c r="X10606" t="s">
        <v>44774</v>
      </c>
    </row>
    <row r="10607" spans="1:24">
      <c r="A10607">
        <f>HYPERLINK("https://www.philgeps.gov.ph/GEPSNONPILOT/Tender/SplashBidNoticeAbstractUI.aspx?menuIndex=3&amp;refID=7129960&amp;Result=3","7129960")</f>
        <v>0</v>
      </c>
      <c r="B10607" t="s">
        <v>715</v>
      </c>
      <c r="C10607" t="s">
        <v>13829</v>
      </c>
      <c r="D10607" t="s">
        <v>17975</v>
      </c>
      <c r="E10607" t="s">
        <v>27223</v>
      </c>
      <c r="F10607" t="s">
        <v>30900</v>
      </c>
      <c r="G10607" t="s">
        <v>30906</v>
      </c>
      <c r="H10607" t="s">
        <v>30916</v>
      </c>
      <c r="I10607" t="s">
        <v>30933</v>
      </c>
      <c r="J10607" t="s">
        <v>37025</v>
      </c>
      <c r="K10607" t="s">
        <v>40289</v>
      </c>
      <c r="M10607" t="s">
        <v>41279</v>
      </c>
      <c r="N10607" t="s">
        <v>44759</v>
      </c>
      <c r="O10607" t="s">
        <v>44760</v>
      </c>
      <c r="Q10607">
        <v>6</v>
      </c>
      <c r="R10607" t="s">
        <v>44773</v>
      </c>
      <c r="S10607" t="s">
        <v>45195</v>
      </c>
      <c r="T10607" t="s">
        <v>46383</v>
      </c>
      <c r="U10607" t="s">
        <v>48203</v>
      </c>
      <c r="W10607" t="s">
        <v>41279</v>
      </c>
      <c r="X10607" t="s">
        <v>44774</v>
      </c>
    </row>
    <row r="10608" spans="1:24">
      <c r="A10608">
        <f>HYPERLINK("https://www.philgeps.gov.ph/GEPSNONPILOT/Tender/SplashBidNoticeAbstractUI.aspx?menuIndex=3&amp;refID=7129875&amp;Result=3","7129875")</f>
        <v>0</v>
      </c>
      <c r="B10608" t="s">
        <v>3226</v>
      </c>
      <c r="C10608" t="s">
        <v>13830</v>
      </c>
      <c r="E10608" t="s">
        <v>27224</v>
      </c>
      <c r="F10608" t="s">
        <v>30900</v>
      </c>
      <c r="G10608" t="s">
        <v>30907</v>
      </c>
      <c r="H10608" t="s">
        <v>30916</v>
      </c>
      <c r="I10608" t="s">
        <v>11785</v>
      </c>
      <c r="J10608" t="s">
        <v>32246</v>
      </c>
      <c r="K10608" t="s">
        <v>40289</v>
      </c>
      <c r="M10608" t="s">
        <v>44065</v>
      </c>
      <c r="N10608" t="s">
        <v>44759</v>
      </c>
      <c r="O10608" t="s">
        <v>44760</v>
      </c>
      <c r="P10608">
        <v>0</v>
      </c>
      <c r="Q10608">
        <v>1</v>
      </c>
      <c r="R10608" t="s">
        <v>44773</v>
      </c>
      <c r="S10608" t="s">
        <v>45184</v>
      </c>
      <c r="T10608" t="s">
        <v>46399</v>
      </c>
      <c r="U10608" t="s">
        <v>51784</v>
      </c>
      <c r="W10608" t="s">
        <v>44065</v>
      </c>
      <c r="X10608" t="s">
        <v>44774</v>
      </c>
    </row>
    <row r="10609" spans="1:24">
      <c r="A10609">
        <f>HYPERLINK("https://www.philgeps.gov.ph/GEPSNONPILOT/Tender/SplashBidNoticeAbstractUI.aspx?menuIndex=3&amp;refID=7129899&amp;Result=3","7129899")</f>
        <v>0</v>
      </c>
      <c r="B10609" t="s">
        <v>3226</v>
      </c>
      <c r="C10609" t="s">
        <v>9631</v>
      </c>
      <c r="E10609" t="s">
        <v>27225</v>
      </c>
      <c r="F10609" t="s">
        <v>30900</v>
      </c>
      <c r="G10609" t="s">
        <v>30907</v>
      </c>
      <c r="H10609" t="s">
        <v>30916</v>
      </c>
      <c r="I10609" t="s">
        <v>30927</v>
      </c>
      <c r="J10609" t="s">
        <v>31257</v>
      </c>
      <c r="K10609" t="s">
        <v>40289</v>
      </c>
      <c r="M10609" t="s">
        <v>44065</v>
      </c>
      <c r="N10609" t="s">
        <v>44759</v>
      </c>
      <c r="O10609" t="s">
        <v>44760</v>
      </c>
      <c r="P10609">
        <v>0</v>
      </c>
      <c r="Q10609">
        <v>1</v>
      </c>
      <c r="R10609" t="s">
        <v>44773</v>
      </c>
      <c r="S10609" t="s">
        <v>45184</v>
      </c>
      <c r="T10609" t="s">
        <v>46399</v>
      </c>
      <c r="U10609" t="s">
        <v>51784</v>
      </c>
      <c r="W10609" t="s">
        <v>44065</v>
      </c>
      <c r="X10609" t="s">
        <v>44774</v>
      </c>
    </row>
    <row r="10610" spans="1:24">
      <c r="A10610">
        <f>HYPERLINK("https://www.philgeps.gov.ph/GEPSNONPILOT/Tender/SplashBidNoticeAbstractUI.aspx?menuIndex=3&amp;refID=7130112&amp;Result=3","7130112")</f>
        <v>0</v>
      </c>
      <c r="B10610" t="s">
        <v>2459</v>
      </c>
      <c r="C10610" t="s">
        <v>13831</v>
      </c>
      <c r="D10610" t="s">
        <v>18001</v>
      </c>
      <c r="E10610" t="s">
        <v>27226</v>
      </c>
      <c r="F10610" t="s">
        <v>30900</v>
      </c>
      <c r="G10610" t="s">
        <v>30907</v>
      </c>
      <c r="H10610" t="s">
        <v>30916</v>
      </c>
      <c r="I10610" t="s">
        <v>4454</v>
      </c>
      <c r="J10610" t="s">
        <v>37655</v>
      </c>
      <c r="K10610" t="s">
        <v>40283</v>
      </c>
      <c r="M10610" t="s">
        <v>43196</v>
      </c>
      <c r="N10610" t="s">
        <v>44759</v>
      </c>
      <c r="O10610" t="s">
        <v>44760</v>
      </c>
      <c r="P10610">
        <v>0</v>
      </c>
      <c r="Q10610">
        <v>2</v>
      </c>
      <c r="R10610" t="s">
        <v>44773</v>
      </c>
      <c r="S10610" t="s">
        <v>45184</v>
      </c>
      <c r="T10610" t="s">
        <v>46353</v>
      </c>
      <c r="U10610" t="s">
        <v>55719</v>
      </c>
      <c r="V10610" t="s">
        <v>59884</v>
      </c>
      <c r="W10610" t="s">
        <v>43196</v>
      </c>
      <c r="X10610" t="s">
        <v>44774</v>
      </c>
    </row>
    <row r="10611" spans="1:24">
      <c r="A10611">
        <f>HYPERLINK("https://www.philgeps.gov.ph/GEPSNONPILOT/Tender/SplashBidNoticeAbstractUI.aspx?menuIndex=3&amp;refID=7130148&amp;Result=3","7130148")</f>
        <v>0</v>
      </c>
      <c r="B10611" t="s">
        <v>3227</v>
      </c>
      <c r="C10611" t="s">
        <v>13832</v>
      </c>
      <c r="D10611" t="s">
        <v>17965</v>
      </c>
      <c r="E10611" t="s">
        <v>27227</v>
      </c>
      <c r="F10611" t="s">
        <v>30900</v>
      </c>
      <c r="G10611" t="s">
        <v>30907</v>
      </c>
      <c r="H10611" t="s">
        <v>30915</v>
      </c>
      <c r="I10611" t="s">
        <v>30919</v>
      </c>
      <c r="J10611" t="s">
        <v>31101</v>
      </c>
      <c r="K10611" t="s">
        <v>40286</v>
      </c>
      <c r="M10611" t="s">
        <v>44066</v>
      </c>
      <c r="N10611" t="s">
        <v>44759</v>
      </c>
      <c r="O10611" t="s">
        <v>44760</v>
      </c>
      <c r="P10611">
        <v>0</v>
      </c>
      <c r="Q10611">
        <v>0</v>
      </c>
      <c r="R10611" t="s">
        <v>44773</v>
      </c>
      <c r="S10611" t="s">
        <v>45184</v>
      </c>
      <c r="T10611" t="s">
        <v>46418</v>
      </c>
      <c r="U10611" t="s">
        <v>55720</v>
      </c>
      <c r="W10611" t="s">
        <v>44066</v>
      </c>
      <c r="X10611" t="s">
        <v>44774</v>
      </c>
    </row>
    <row r="10612" spans="1:24">
      <c r="A10612">
        <f>HYPERLINK("https://www.philgeps.gov.ph/GEPSNONPILOT/Tender/SplashBidNoticeAbstractUI.aspx?menuIndex=3&amp;refID=7130129&amp;Result=3","7130129")</f>
        <v>0</v>
      </c>
      <c r="B10612" t="s">
        <v>408</v>
      </c>
      <c r="C10612" t="s">
        <v>13833</v>
      </c>
      <c r="E10612" t="s">
        <v>27228</v>
      </c>
      <c r="F10612" t="s">
        <v>30900</v>
      </c>
      <c r="G10612" t="s">
        <v>30907</v>
      </c>
      <c r="H10612" t="s">
        <v>30916</v>
      </c>
      <c r="I10612" t="s">
        <v>30922</v>
      </c>
      <c r="J10612" t="s">
        <v>31098</v>
      </c>
      <c r="K10612" t="s">
        <v>40289</v>
      </c>
      <c r="M10612" t="s">
        <v>40964</v>
      </c>
      <c r="N10612" t="s">
        <v>44759</v>
      </c>
      <c r="O10612" t="s">
        <v>44760</v>
      </c>
      <c r="P10612">
        <v>0</v>
      </c>
      <c r="Q10612">
        <v>1</v>
      </c>
      <c r="R10612" t="s">
        <v>44773</v>
      </c>
      <c r="S10612" t="s">
        <v>45184</v>
      </c>
      <c r="T10612" t="s">
        <v>46484</v>
      </c>
      <c r="U10612" t="s">
        <v>55721</v>
      </c>
      <c r="W10612" t="s">
        <v>40964</v>
      </c>
      <c r="X10612" t="s">
        <v>44774</v>
      </c>
    </row>
    <row r="10613" spans="1:24">
      <c r="A10613">
        <f>HYPERLINK("https://www.philgeps.gov.ph/GEPSNONPILOT/Tender/SplashBidNoticeAbstractUI.aspx?menuIndex=3&amp;refID=7129876&amp;Result=3","7129876")</f>
        <v>0</v>
      </c>
      <c r="B10613" t="s">
        <v>3198</v>
      </c>
      <c r="C10613" t="s">
        <v>13834</v>
      </c>
      <c r="D10613" t="s">
        <v>17995</v>
      </c>
      <c r="E10613" t="s">
        <v>27229</v>
      </c>
      <c r="F10613" t="s">
        <v>30900</v>
      </c>
      <c r="G10613" t="s">
        <v>30907</v>
      </c>
      <c r="H10613" t="s">
        <v>30916</v>
      </c>
      <c r="I10613" t="s">
        <v>30927</v>
      </c>
      <c r="J10613" t="s">
        <v>37656</v>
      </c>
      <c r="K10613" t="s">
        <v>40283</v>
      </c>
      <c r="L10613" t="s">
        <v>3198</v>
      </c>
      <c r="M10613" t="s">
        <v>44036</v>
      </c>
      <c r="N10613" t="s">
        <v>44759</v>
      </c>
      <c r="O10613" t="s">
        <v>44760</v>
      </c>
      <c r="P10613">
        <v>0</v>
      </c>
      <c r="Q10613">
        <v>0</v>
      </c>
      <c r="R10613" t="s">
        <v>44773</v>
      </c>
      <c r="S10613" t="s">
        <v>45184</v>
      </c>
      <c r="T10613" t="s">
        <v>46425</v>
      </c>
      <c r="U10613" t="s">
        <v>55722</v>
      </c>
      <c r="V10613" t="s">
        <v>60293</v>
      </c>
      <c r="W10613" t="s">
        <v>44036</v>
      </c>
      <c r="X10613" t="s">
        <v>44774</v>
      </c>
    </row>
    <row r="10614" spans="1:24">
      <c r="A10614">
        <f>HYPERLINK("https://www.philgeps.gov.ph/GEPSNONPILOT/Tender/SplashBidNoticeAbstractUI.aspx?menuIndex=3&amp;refID=7130114&amp;Result=3","7130114")</f>
        <v>0</v>
      </c>
      <c r="B10614" t="s">
        <v>1560</v>
      </c>
      <c r="C10614" t="s">
        <v>13835</v>
      </c>
      <c r="D10614" t="s">
        <v>18029</v>
      </c>
      <c r="E10614" t="s">
        <v>26621</v>
      </c>
      <c r="F10614" t="s">
        <v>30900</v>
      </c>
      <c r="G10614" t="s">
        <v>30907</v>
      </c>
      <c r="H10614" t="s">
        <v>30915</v>
      </c>
      <c r="I10614" t="s">
        <v>30919</v>
      </c>
      <c r="J10614" t="s">
        <v>37657</v>
      </c>
      <c r="K10614" t="s">
        <v>40496</v>
      </c>
      <c r="M10614" t="s">
        <v>42207</v>
      </c>
      <c r="N10614" t="s">
        <v>44759</v>
      </c>
      <c r="O10614" t="s">
        <v>44760</v>
      </c>
      <c r="P10614">
        <v>0</v>
      </c>
      <c r="Q10614">
        <v>0</v>
      </c>
      <c r="R10614" t="s">
        <v>44773</v>
      </c>
      <c r="S10614" t="s">
        <v>45184</v>
      </c>
      <c r="T10614" t="s">
        <v>46352</v>
      </c>
      <c r="U10614" t="s">
        <v>55723</v>
      </c>
      <c r="W10614" t="s">
        <v>42207</v>
      </c>
      <c r="X10614" t="s">
        <v>44774</v>
      </c>
    </row>
    <row r="10615" spans="1:24">
      <c r="A10615">
        <f>HYPERLINK("https://www.philgeps.gov.ph/GEPSNONPILOT/Tender/SplashBidNoticeAbstractUI.aspx?menuIndex=3&amp;refID=7130107&amp;Result=3","7130107")</f>
        <v>0</v>
      </c>
      <c r="B10615" t="s">
        <v>3228</v>
      </c>
      <c r="C10615" t="s">
        <v>13836</v>
      </c>
      <c r="D10615" t="s">
        <v>17973</v>
      </c>
      <c r="E10615" t="s">
        <v>22445</v>
      </c>
      <c r="F10615" t="s">
        <v>30900</v>
      </c>
      <c r="G10615" t="s">
        <v>30907</v>
      </c>
      <c r="H10615" t="s">
        <v>30915</v>
      </c>
      <c r="I10615" t="s">
        <v>30919</v>
      </c>
      <c r="J10615" t="s">
        <v>37658</v>
      </c>
      <c r="K10615" t="s">
        <v>40293</v>
      </c>
      <c r="M10615" t="s">
        <v>44067</v>
      </c>
      <c r="N10615" t="s">
        <v>44759</v>
      </c>
      <c r="O10615" t="s">
        <v>44760</v>
      </c>
      <c r="P10615">
        <v>0</v>
      </c>
      <c r="Q10615">
        <v>0</v>
      </c>
      <c r="R10615" t="s">
        <v>44773</v>
      </c>
      <c r="S10615" t="s">
        <v>45184</v>
      </c>
      <c r="T10615" t="s">
        <v>46472</v>
      </c>
      <c r="U10615" t="s">
        <v>55724</v>
      </c>
      <c r="V10615" t="s">
        <v>59637</v>
      </c>
      <c r="W10615" t="s">
        <v>44067</v>
      </c>
      <c r="X10615" t="s">
        <v>44774</v>
      </c>
    </row>
    <row r="10616" spans="1:24">
      <c r="A10616">
        <f>HYPERLINK("https://www.philgeps.gov.ph/GEPSNONPILOT/Tender/SplashBidNoticeAbstractUI.aspx?menuIndex=3&amp;refID=7129958&amp;Result=3","7129958")</f>
        <v>0</v>
      </c>
      <c r="B10616" t="s">
        <v>3212</v>
      </c>
      <c r="C10616" t="s">
        <v>13837</v>
      </c>
      <c r="D10616" t="s">
        <v>17985</v>
      </c>
      <c r="E10616" t="s">
        <v>27230</v>
      </c>
      <c r="F10616" t="s">
        <v>30900</v>
      </c>
      <c r="G10616" t="s">
        <v>30907</v>
      </c>
      <c r="H10616" t="s">
        <v>30916</v>
      </c>
      <c r="I10616" t="s">
        <v>7708</v>
      </c>
      <c r="J10616" t="s">
        <v>37659</v>
      </c>
      <c r="K10616" t="s">
        <v>40292</v>
      </c>
      <c r="M10616" t="s">
        <v>44051</v>
      </c>
      <c r="N10616" t="s">
        <v>44759</v>
      </c>
      <c r="O10616" t="s">
        <v>44760</v>
      </c>
      <c r="P10616">
        <v>0</v>
      </c>
      <c r="Q10616">
        <v>8</v>
      </c>
      <c r="R10616" t="s">
        <v>44773</v>
      </c>
      <c r="S10616" t="s">
        <v>45184</v>
      </c>
      <c r="T10616" t="s">
        <v>46370</v>
      </c>
      <c r="U10616" t="s">
        <v>55725</v>
      </c>
      <c r="W10616" t="s">
        <v>44051</v>
      </c>
      <c r="X10616" t="s">
        <v>44774</v>
      </c>
    </row>
    <row r="10617" spans="1:24">
      <c r="A10617">
        <f>HYPERLINK("https://www.philgeps.gov.ph/GEPSNONPILOT/Tender/SplashBidNoticeAbstractUI.aspx?menuIndex=3&amp;refID=7130101&amp;Result=3","7130101")</f>
        <v>0</v>
      </c>
      <c r="B10617" t="s">
        <v>619</v>
      </c>
      <c r="C10617" t="s">
        <v>13838</v>
      </c>
      <c r="D10617" t="s">
        <v>17985</v>
      </c>
      <c r="E10617" t="s">
        <v>27231</v>
      </c>
      <c r="F10617" t="s">
        <v>30899</v>
      </c>
      <c r="G10617" t="s">
        <v>30907</v>
      </c>
      <c r="H10617" t="s">
        <v>30916</v>
      </c>
      <c r="I10617" t="s">
        <v>4108</v>
      </c>
      <c r="J10617" t="s">
        <v>37660</v>
      </c>
      <c r="K10617" t="s">
        <v>40289</v>
      </c>
      <c r="M10617" t="s">
        <v>41181</v>
      </c>
      <c r="N10617" t="s">
        <v>44759</v>
      </c>
      <c r="O10617" t="s">
        <v>44760</v>
      </c>
      <c r="P10617">
        <v>0</v>
      </c>
      <c r="Q10617">
        <v>0</v>
      </c>
      <c r="R10617" t="s">
        <v>44773</v>
      </c>
      <c r="S10617" t="s">
        <v>45184</v>
      </c>
      <c r="T10617" t="s">
        <v>46373</v>
      </c>
      <c r="U10617" t="s">
        <v>55726</v>
      </c>
      <c r="W10617" t="s">
        <v>41181</v>
      </c>
      <c r="X10617" t="s">
        <v>44774</v>
      </c>
    </row>
    <row r="10618" spans="1:24">
      <c r="A10618">
        <f>HYPERLINK("https://www.philgeps.gov.ph/GEPSNONPILOT/Tender/SplashBidNoticeAbstractUI.aspx?menuIndex=3&amp;refID=7130091&amp;Result=3","7130091")</f>
        <v>0</v>
      </c>
      <c r="B10618" t="s">
        <v>3227</v>
      </c>
      <c r="C10618" t="s">
        <v>13839</v>
      </c>
      <c r="D10618" t="s">
        <v>17965</v>
      </c>
      <c r="E10618" t="s">
        <v>27232</v>
      </c>
      <c r="F10618" t="s">
        <v>30900</v>
      </c>
      <c r="G10618" t="s">
        <v>30907</v>
      </c>
      <c r="H10618" t="s">
        <v>30915</v>
      </c>
      <c r="I10618" t="s">
        <v>30919</v>
      </c>
      <c r="J10618" t="s">
        <v>31096</v>
      </c>
      <c r="K10618" t="s">
        <v>40286</v>
      </c>
      <c r="M10618" t="s">
        <v>44066</v>
      </c>
      <c r="N10618" t="s">
        <v>44759</v>
      </c>
      <c r="O10618" t="s">
        <v>44760</v>
      </c>
      <c r="P10618">
        <v>0</v>
      </c>
      <c r="Q10618">
        <v>0</v>
      </c>
      <c r="R10618" t="s">
        <v>44773</v>
      </c>
      <c r="S10618" t="s">
        <v>45184</v>
      </c>
      <c r="T10618" t="s">
        <v>46418</v>
      </c>
      <c r="U10618" t="s">
        <v>55720</v>
      </c>
      <c r="W10618" t="s">
        <v>44066</v>
      </c>
      <c r="X10618" t="s">
        <v>44774</v>
      </c>
    </row>
    <row r="10619" spans="1:24">
      <c r="A10619">
        <f>HYPERLINK("https://www.philgeps.gov.ph/GEPSNONPILOT/Tender/SplashBidNoticeAbstractUI.aspx?menuIndex=3&amp;refID=7130080&amp;Result=3","7130080")</f>
        <v>0</v>
      </c>
      <c r="B10619" t="s">
        <v>3188</v>
      </c>
      <c r="C10619" t="s">
        <v>13840</v>
      </c>
      <c r="D10619" t="s">
        <v>18020</v>
      </c>
      <c r="E10619" t="s">
        <v>27233</v>
      </c>
      <c r="F10619" t="s">
        <v>30900</v>
      </c>
      <c r="G10619" t="s">
        <v>30907</v>
      </c>
      <c r="H10619" t="s">
        <v>30916</v>
      </c>
      <c r="I10619" t="s">
        <v>6396</v>
      </c>
      <c r="J10619" t="s">
        <v>37661</v>
      </c>
      <c r="K10619" t="s">
        <v>40287</v>
      </c>
      <c r="M10619" t="s">
        <v>44022</v>
      </c>
      <c r="N10619" t="s">
        <v>44759</v>
      </c>
      <c r="O10619" t="s">
        <v>44760</v>
      </c>
      <c r="P10619">
        <v>0</v>
      </c>
      <c r="Q10619">
        <v>2</v>
      </c>
      <c r="R10619" t="s">
        <v>44773</v>
      </c>
      <c r="S10619" t="s">
        <v>45184</v>
      </c>
      <c r="T10619" t="s">
        <v>46383</v>
      </c>
      <c r="U10619" t="s">
        <v>50666</v>
      </c>
      <c r="W10619" t="s">
        <v>60920</v>
      </c>
      <c r="X10619" t="s">
        <v>44774</v>
      </c>
    </row>
    <row r="10620" spans="1:24">
      <c r="A10620">
        <f>HYPERLINK("https://www.philgeps.gov.ph/GEPSNONPILOT/Tender/SplashBidNoticeAbstractUI.aspx?menuIndex=3&amp;refID=7130074&amp;Result=3","7130074")</f>
        <v>0</v>
      </c>
      <c r="B10620" t="s">
        <v>892</v>
      </c>
      <c r="C10620" t="s">
        <v>13841</v>
      </c>
      <c r="D10620" t="s">
        <v>17978</v>
      </c>
      <c r="E10620" t="s">
        <v>27234</v>
      </c>
      <c r="F10620" t="s">
        <v>30900</v>
      </c>
      <c r="G10620" t="s">
        <v>30907</v>
      </c>
      <c r="H10620" t="s">
        <v>30916</v>
      </c>
      <c r="I10620" t="s">
        <v>4545</v>
      </c>
      <c r="J10620" t="s">
        <v>31247</v>
      </c>
      <c r="K10620" t="s">
        <v>40284</v>
      </c>
      <c r="M10620" t="s">
        <v>41466</v>
      </c>
      <c r="N10620" t="s">
        <v>44759</v>
      </c>
      <c r="O10620" t="s">
        <v>44760</v>
      </c>
      <c r="P10620">
        <v>0</v>
      </c>
      <c r="Q10620">
        <v>0</v>
      </c>
      <c r="R10620" t="s">
        <v>44773</v>
      </c>
      <c r="S10620" t="s">
        <v>45184</v>
      </c>
      <c r="T10620" t="s">
        <v>46544</v>
      </c>
      <c r="U10620" t="s">
        <v>55727</v>
      </c>
      <c r="W10620" t="s">
        <v>41466</v>
      </c>
      <c r="X10620" t="s">
        <v>44774</v>
      </c>
    </row>
    <row r="10621" spans="1:24">
      <c r="A10621">
        <f>HYPERLINK("https://www.philgeps.gov.ph/GEPSNONPILOT/Tender/SplashBidNoticeAbstractUI.aspx?menuIndex=3&amp;refID=7130069&amp;Result=3","7130069")</f>
        <v>0</v>
      </c>
      <c r="B10621" t="s">
        <v>1822</v>
      </c>
      <c r="C10621" t="s">
        <v>13842</v>
      </c>
      <c r="D10621" t="s">
        <v>18033</v>
      </c>
      <c r="E10621" t="s">
        <v>27235</v>
      </c>
      <c r="F10621" t="s">
        <v>30900</v>
      </c>
      <c r="G10621" t="s">
        <v>30907</v>
      </c>
      <c r="H10621" t="s">
        <v>30915</v>
      </c>
      <c r="I10621" t="s">
        <v>30919</v>
      </c>
      <c r="J10621" t="s">
        <v>34345</v>
      </c>
      <c r="K10621" t="s">
        <v>40365</v>
      </c>
      <c r="M10621" t="s">
        <v>42495</v>
      </c>
      <c r="N10621" t="s">
        <v>44759</v>
      </c>
      <c r="O10621" t="s">
        <v>44760</v>
      </c>
      <c r="P10621">
        <v>0</v>
      </c>
      <c r="Q10621">
        <v>0</v>
      </c>
      <c r="R10621" t="s">
        <v>44773</v>
      </c>
      <c r="S10621" t="s">
        <v>45184</v>
      </c>
      <c r="T10621" t="s">
        <v>46418</v>
      </c>
      <c r="U10621" t="s">
        <v>55728</v>
      </c>
      <c r="V10621" t="s">
        <v>60294</v>
      </c>
      <c r="W10621" t="s">
        <v>42495</v>
      </c>
      <c r="X10621" t="s">
        <v>44774</v>
      </c>
    </row>
    <row r="10622" spans="1:24">
      <c r="A10622">
        <f>HYPERLINK("https://www.philgeps.gov.ph/GEPSNONPILOT/Tender/SplashBidNoticeAbstractUI.aspx?menuIndex=3&amp;refID=7130068&amp;Result=3","7130068")</f>
        <v>0</v>
      </c>
      <c r="B10622" t="s">
        <v>3229</v>
      </c>
      <c r="C10622" t="s">
        <v>13843</v>
      </c>
      <c r="D10622" t="s">
        <v>17959</v>
      </c>
      <c r="E10622" t="s">
        <v>27236</v>
      </c>
      <c r="F10622" t="s">
        <v>30900</v>
      </c>
      <c r="G10622" t="s">
        <v>30908</v>
      </c>
      <c r="H10622" t="s">
        <v>30916</v>
      </c>
      <c r="I10622" t="s">
        <v>4108</v>
      </c>
      <c r="J10622" t="s">
        <v>32794</v>
      </c>
      <c r="K10622" t="s">
        <v>40289</v>
      </c>
      <c r="M10622" t="s">
        <v>44068</v>
      </c>
      <c r="N10622" t="s">
        <v>44759</v>
      </c>
      <c r="O10622" t="s">
        <v>44760</v>
      </c>
      <c r="Q10622">
        <v>1</v>
      </c>
      <c r="R10622" t="s">
        <v>44773</v>
      </c>
      <c r="S10622" t="s">
        <v>45179</v>
      </c>
      <c r="T10622" t="s">
        <v>46357</v>
      </c>
      <c r="U10622" t="s">
        <v>55729</v>
      </c>
      <c r="W10622" t="s">
        <v>44068</v>
      </c>
      <c r="X10622" t="s">
        <v>44774</v>
      </c>
    </row>
    <row r="10623" spans="1:24">
      <c r="A10623">
        <f>HYPERLINK("https://www.philgeps.gov.ph/GEPSNONPILOT/Tender/SplashBidNoticeAbstractUI.aspx?menuIndex=3&amp;refID=7130063&amp;Result=3","7130063")</f>
        <v>0</v>
      </c>
      <c r="B10623" t="s">
        <v>895</v>
      </c>
      <c r="C10623" t="s">
        <v>13844</v>
      </c>
      <c r="D10623" t="s">
        <v>18009</v>
      </c>
      <c r="E10623" t="s">
        <v>27237</v>
      </c>
      <c r="F10623" t="s">
        <v>30900</v>
      </c>
      <c r="G10623" t="s">
        <v>30907</v>
      </c>
      <c r="H10623" t="s">
        <v>30916</v>
      </c>
      <c r="I10623" t="s">
        <v>8123</v>
      </c>
      <c r="J10623" t="s">
        <v>31152</v>
      </c>
      <c r="K10623" t="s">
        <v>40293</v>
      </c>
      <c r="M10623" t="s">
        <v>41469</v>
      </c>
      <c r="N10623" t="s">
        <v>44759</v>
      </c>
      <c r="O10623" t="s">
        <v>44760</v>
      </c>
      <c r="P10623">
        <v>0</v>
      </c>
      <c r="Q10623">
        <v>2</v>
      </c>
      <c r="R10623" t="s">
        <v>44773</v>
      </c>
      <c r="S10623" t="s">
        <v>45184</v>
      </c>
      <c r="T10623" t="s">
        <v>46418</v>
      </c>
      <c r="U10623" t="s">
        <v>55730</v>
      </c>
      <c r="W10623" t="s">
        <v>41469</v>
      </c>
      <c r="X10623" t="s">
        <v>44774</v>
      </c>
    </row>
    <row r="10624" spans="1:24">
      <c r="A10624">
        <f>HYPERLINK("https://www.philgeps.gov.ph/GEPSNONPILOT/Tender/SplashBidNoticeAbstractUI.aspx?menuIndex=3&amp;refID=7129884&amp;Result=3","7129884")</f>
        <v>0</v>
      </c>
      <c r="B10624" t="s">
        <v>1491</v>
      </c>
      <c r="C10624" t="s">
        <v>13845</v>
      </c>
      <c r="D10624" t="s">
        <v>17968</v>
      </c>
      <c r="E10624" t="s">
        <v>27238</v>
      </c>
      <c r="F10624" t="s">
        <v>30900</v>
      </c>
      <c r="G10624" t="s">
        <v>30907</v>
      </c>
      <c r="H10624" t="s">
        <v>30916</v>
      </c>
      <c r="I10624" t="s">
        <v>30932</v>
      </c>
      <c r="J10624" t="s">
        <v>37662</v>
      </c>
      <c r="K10624" t="s">
        <v>40294</v>
      </c>
      <c r="M10624" t="s">
        <v>42129</v>
      </c>
      <c r="N10624" t="s">
        <v>44759</v>
      </c>
      <c r="O10624" t="s">
        <v>44760</v>
      </c>
      <c r="P10624">
        <v>0</v>
      </c>
      <c r="Q10624">
        <v>4</v>
      </c>
      <c r="R10624" t="s">
        <v>44773</v>
      </c>
      <c r="S10624" t="s">
        <v>45184</v>
      </c>
      <c r="T10624" t="s">
        <v>46411</v>
      </c>
      <c r="U10624" t="s">
        <v>55731</v>
      </c>
      <c r="W10624" t="s">
        <v>60863</v>
      </c>
      <c r="X10624" t="s">
        <v>44774</v>
      </c>
    </row>
    <row r="10625" spans="1:24">
      <c r="A10625">
        <f>HYPERLINK("https://www.philgeps.gov.ph/GEPSNONPILOT/Tender/SplashBidNoticeAbstractUI.aspx?menuIndex=3&amp;refID=7130036&amp;Result=3","7130036")</f>
        <v>0</v>
      </c>
      <c r="B10625" t="s">
        <v>3230</v>
      </c>
      <c r="C10625" t="s">
        <v>13846</v>
      </c>
      <c r="D10625" t="s">
        <v>18001</v>
      </c>
      <c r="E10625" t="s">
        <v>27239</v>
      </c>
      <c r="F10625" t="s">
        <v>30900</v>
      </c>
      <c r="G10625" t="s">
        <v>30907</v>
      </c>
      <c r="H10625" t="s">
        <v>30915</v>
      </c>
      <c r="I10625" t="s">
        <v>30919</v>
      </c>
      <c r="J10625" t="s">
        <v>37663</v>
      </c>
      <c r="K10625" t="s">
        <v>40286</v>
      </c>
      <c r="M10625" t="s">
        <v>44069</v>
      </c>
      <c r="N10625" t="s">
        <v>44759</v>
      </c>
      <c r="O10625" t="s">
        <v>44760</v>
      </c>
      <c r="P10625">
        <v>0</v>
      </c>
      <c r="Q10625">
        <v>1</v>
      </c>
      <c r="R10625" t="s">
        <v>44773</v>
      </c>
      <c r="S10625" t="s">
        <v>45184</v>
      </c>
      <c r="T10625" t="s">
        <v>46544</v>
      </c>
      <c r="U10625" t="s">
        <v>55732</v>
      </c>
      <c r="W10625" t="s">
        <v>60922</v>
      </c>
      <c r="X10625" t="s">
        <v>44774</v>
      </c>
    </row>
    <row r="10626" spans="1:24">
      <c r="A10626">
        <f>HYPERLINK("https://www.philgeps.gov.ph/GEPSNONPILOT/Tender/SplashBidNoticeAbstractUI.aspx?menuIndex=3&amp;refID=7130032&amp;Result=3","7130032")</f>
        <v>0</v>
      </c>
      <c r="B10626" t="s">
        <v>3212</v>
      </c>
      <c r="C10626" t="s">
        <v>13847</v>
      </c>
      <c r="D10626" t="s">
        <v>17985</v>
      </c>
      <c r="E10626" t="s">
        <v>27240</v>
      </c>
      <c r="F10626" t="s">
        <v>30900</v>
      </c>
      <c r="G10626" t="s">
        <v>30907</v>
      </c>
      <c r="H10626" t="s">
        <v>30916</v>
      </c>
      <c r="I10626" t="s">
        <v>7708</v>
      </c>
      <c r="J10626" t="s">
        <v>37664</v>
      </c>
      <c r="K10626" t="s">
        <v>40292</v>
      </c>
      <c r="M10626" t="s">
        <v>44051</v>
      </c>
      <c r="N10626" t="s">
        <v>44759</v>
      </c>
      <c r="O10626" t="s">
        <v>44760</v>
      </c>
      <c r="P10626">
        <v>0</v>
      </c>
      <c r="Q10626">
        <v>6</v>
      </c>
      <c r="R10626" t="s">
        <v>44773</v>
      </c>
      <c r="S10626" t="s">
        <v>45184</v>
      </c>
      <c r="T10626" t="s">
        <v>46370</v>
      </c>
      <c r="U10626" t="s">
        <v>55733</v>
      </c>
      <c r="W10626" t="s">
        <v>44051</v>
      </c>
      <c r="X10626" t="s">
        <v>44774</v>
      </c>
    </row>
    <row r="10627" spans="1:24">
      <c r="A10627">
        <f>HYPERLINK("https://www.philgeps.gov.ph/GEPSNONPILOT/Tender/SplashBidNoticeAbstractUI.aspx?menuIndex=3&amp;refID=7129870&amp;Result=3","7129870")</f>
        <v>0</v>
      </c>
      <c r="B10627" t="s">
        <v>2327</v>
      </c>
      <c r="C10627" t="s">
        <v>13848</v>
      </c>
      <c r="D10627" t="s">
        <v>17999</v>
      </c>
      <c r="E10627" t="s">
        <v>27241</v>
      </c>
      <c r="F10627" t="s">
        <v>30900</v>
      </c>
      <c r="G10627" t="s">
        <v>30907</v>
      </c>
      <c r="H10627" t="s">
        <v>30915</v>
      </c>
      <c r="I10627" t="s">
        <v>30919</v>
      </c>
      <c r="J10627" t="s">
        <v>37665</v>
      </c>
      <c r="K10627" t="s">
        <v>40301</v>
      </c>
      <c r="M10627" t="s">
        <v>44070</v>
      </c>
      <c r="N10627" t="s">
        <v>44759</v>
      </c>
      <c r="O10627" t="s">
        <v>44760</v>
      </c>
      <c r="P10627">
        <v>0</v>
      </c>
      <c r="Q10627">
        <v>2</v>
      </c>
      <c r="R10627" t="s">
        <v>44773</v>
      </c>
      <c r="S10627" t="s">
        <v>45184</v>
      </c>
      <c r="T10627" t="s">
        <v>46411</v>
      </c>
      <c r="U10627" t="s">
        <v>55734</v>
      </c>
      <c r="W10627" t="s">
        <v>44070</v>
      </c>
      <c r="X10627" t="s">
        <v>44774</v>
      </c>
    </row>
    <row r="10628" spans="1:24">
      <c r="A10628">
        <f>HYPERLINK("https://www.philgeps.gov.ph/GEPSNONPILOT/Tender/SplashBidNoticeAbstractUI.aspx?menuIndex=3&amp;refID=7130064&amp;Result=3","7130064")</f>
        <v>0</v>
      </c>
      <c r="B10628" t="s">
        <v>1960</v>
      </c>
      <c r="C10628" t="s">
        <v>13849</v>
      </c>
      <c r="D10628" t="s">
        <v>17975</v>
      </c>
      <c r="E10628" t="s">
        <v>22345</v>
      </c>
      <c r="F10628" t="s">
        <v>30900</v>
      </c>
      <c r="G10628" t="s">
        <v>30907</v>
      </c>
      <c r="H10628" t="s">
        <v>30915</v>
      </c>
      <c r="I10628" t="s">
        <v>30919</v>
      </c>
      <c r="J10628" t="s">
        <v>36017</v>
      </c>
      <c r="K10628" t="s">
        <v>40292</v>
      </c>
      <c r="M10628" t="s">
        <v>42644</v>
      </c>
      <c r="N10628" t="s">
        <v>44759</v>
      </c>
      <c r="O10628" t="s">
        <v>44760</v>
      </c>
      <c r="P10628">
        <v>0</v>
      </c>
      <c r="Q10628">
        <v>2</v>
      </c>
      <c r="R10628" t="s">
        <v>44773</v>
      </c>
      <c r="S10628" t="s">
        <v>45184</v>
      </c>
      <c r="T10628" t="s">
        <v>46445</v>
      </c>
      <c r="U10628" t="s">
        <v>55735</v>
      </c>
      <c r="W10628" t="s">
        <v>42644</v>
      </c>
      <c r="X10628" t="s">
        <v>44774</v>
      </c>
    </row>
    <row r="10629" spans="1:24">
      <c r="A10629">
        <f>HYPERLINK("https://www.philgeps.gov.ph/GEPSNONPILOT/Tender/SplashBidNoticeAbstractUI.aspx?menuIndex=3&amp;refID=7129993&amp;Result=3","7129993")</f>
        <v>0</v>
      </c>
      <c r="B10629" t="s">
        <v>2450</v>
      </c>
      <c r="C10629" t="s">
        <v>13850</v>
      </c>
      <c r="D10629" t="s">
        <v>17970</v>
      </c>
      <c r="E10629" t="s">
        <v>27242</v>
      </c>
      <c r="F10629" t="s">
        <v>30900</v>
      </c>
      <c r="G10629" t="s">
        <v>30907</v>
      </c>
      <c r="H10629" t="s">
        <v>30915</v>
      </c>
      <c r="I10629" t="s">
        <v>30919</v>
      </c>
      <c r="J10629" t="s">
        <v>37666</v>
      </c>
      <c r="K10629" t="s">
        <v>40342</v>
      </c>
      <c r="M10629" t="s">
        <v>43187</v>
      </c>
      <c r="N10629" t="s">
        <v>44759</v>
      </c>
      <c r="O10629" t="s">
        <v>44760</v>
      </c>
      <c r="P10629">
        <v>0</v>
      </c>
      <c r="Q10629">
        <v>0</v>
      </c>
      <c r="R10629" t="s">
        <v>44773</v>
      </c>
      <c r="S10629" t="s">
        <v>45184</v>
      </c>
      <c r="T10629" t="s">
        <v>46353</v>
      </c>
      <c r="U10629" t="s">
        <v>55736</v>
      </c>
      <c r="V10629" t="s">
        <v>60295</v>
      </c>
      <c r="W10629" t="s">
        <v>43187</v>
      </c>
      <c r="X10629" t="s">
        <v>44774</v>
      </c>
    </row>
    <row r="10630" spans="1:24">
      <c r="A10630">
        <f>HYPERLINK("https://www.philgeps.gov.ph/GEPSNONPILOT/Tender/SplashBidNoticeAbstractUI.aspx?menuIndex=3&amp;refID=7129867&amp;Result=3","7129867")</f>
        <v>0</v>
      </c>
      <c r="B10630" t="s">
        <v>3213</v>
      </c>
      <c r="C10630" t="s">
        <v>13851</v>
      </c>
      <c r="D10630" t="s">
        <v>17953</v>
      </c>
      <c r="E10630" t="s">
        <v>27243</v>
      </c>
      <c r="F10630" t="s">
        <v>30900</v>
      </c>
      <c r="G10630" t="s">
        <v>30907</v>
      </c>
      <c r="H10630" t="s">
        <v>30916</v>
      </c>
      <c r="I10630" t="s">
        <v>8123</v>
      </c>
      <c r="J10630" t="s">
        <v>37667</v>
      </c>
      <c r="K10630" t="s">
        <v>40286</v>
      </c>
      <c r="M10630" t="s">
        <v>44052</v>
      </c>
      <c r="N10630" t="s">
        <v>44759</v>
      </c>
      <c r="O10630" t="s">
        <v>44760</v>
      </c>
      <c r="P10630">
        <v>0</v>
      </c>
      <c r="Q10630">
        <v>1</v>
      </c>
      <c r="R10630" t="s">
        <v>44773</v>
      </c>
      <c r="S10630" t="s">
        <v>45184</v>
      </c>
      <c r="T10630" t="s">
        <v>46370</v>
      </c>
      <c r="U10630" t="s">
        <v>55737</v>
      </c>
      <c r="W10630" t="s">
        <v>44052</v>
      </c>
      <c r="X10630" t="s">
        <v>44774</v>
      </c>
    </row>
    <row r="10631" spans="1:24">
      <c r="A10631">
        <f>HYPERLINK("https://www.philgeps.gov.ph/GEPSNONPILOT/Tender/SplashBidNoticeAbstractUI.aspx?menuIndex=3&amp;refID=7130026&amp;Result=3","7130026")</f>
        <v>0</v>
      </c>
      <c r="B10631" t="s">
        <v>892</v>
      </c>
      <c r="C10631" t="s">
        <v>13852</v>
      </c>
      <c r="D10631" t="s">
        <v>17978</v>
      </c>
      <c r="E10631" t="s">
        <v>27244</v>
      </c>
      <c r="F10631" t="s">
        <v>30900</v>
      </c>
      <c r="G10631" t="s">
        <v>30907</v>
      </c>
      <c r="H10631" t="s">
        <v>30916</v>
      </c>
      <c r="I10631" t="s">
        <v>4545</v>
      </c>
      <c r="J10631" t="s">
        <v>32157</v>
      </c>
      <c r="K10631" t="s">
        <v>40284</v>
      </c>
      <c r="M10631" t="s">
        <v>41466</v>
      </c>
      <c r="N10631" t="s">
        <v>44759</v>
      </c>
      <c r="O10631" t="s">
        <v>44760</v>
      </c>
      <c r="P10631">
        <v>0</v>
      </c>
      <c r="Q10631">
        <v>0</v>
      </c>
      <c r="R10631" t="s">
        <v>44773</v>
      </c>
      <c r="S10631" t="s">
        <v>45184</v>
      </c>
      <c r="T10631" t="s">
        <v>46544</v>
      </c>
      <c r="U10631" t="s">
        <v>55738</v>
      </c>
      <c r="W10631" t="s">
        <v>41466</v>
      </c>
      <c r="X10631" t="s">
        <v>44774</v>
      </c>
    </row>
    <row r="10632" spans="1:24">
      <c r="A10632">
        <f>HYPERLINK("https://www.philgeps.gov.ph/GEPSNONPILOT/Tender/SplashBidNoticeAbstractUI.aspx?menuIndex=3&amp;refID=7130088&amp;Result=3","7130088")</f>
        <v>0</v>
      </c>
      <c r="B10632" t="s">
        <v>2722</v>
      </c>
      <c r="C10632" t="s">
        <v>13853</v>
      </c>
      <c r="D10632" t="s">
        <v>17978</v>
      </c>
      <c r="E10632" t="s">
        <v>27245</v>
      </c>
      <c r="F10632" t="s">
        <v>30900</v>
      </c>
      <c r="G10632" t="s">
        <v>30907</v>
      </c>
      <c r="H10632" t="s">
        <v>30915</v>
      </c>
      <c r="I10632" t="s">
        <v>30919</v>
      </c>
      <c r="J10632" t="s">
        <v>31443</v>
      </c>
      <c r="K10632" t="s">
        <v>40286</v>
      </c>
      <c r="L10632" t="s">
        <v>2722</v>
      </c>
      <c r="M10632" t="s">
        <v>43497</v>
      </c>
      <c r="N10632" t="s">
        <v>44759</v>
      </c>
      <c r="O10632" t="s">
        <v>44760</v>
      </c>
      <c r="P10632">
        <v>0</v>
      </c>
      <c r="Q10632">
        <v>0</v>
      </c>
      <c r="R10632" t="s">
        <v>44773</v>
      </c>
      <c r="S10632" t="s">
        <v>45184</v>
      </c>
      <c r="T10632" t="s">
        <v>46426</v>
      </c>
      <c r="U10632" t="s">
        <v>53830</v>
      </c>
      <c r="W10632" t="s">
        <v>43497</v>
      </c>
      <c r="X10632" t="s">
        <v>44774</v>
      </c>
    </row>
    <row r="10633" spans="1:24">
      <c r="A10633">
        <f>HYPERLINK("https://www.philgeps.gov.ph/GEPSNONPILOT/Tender/SplashBidNoticeAbstractUI.aspx?menuIndex=3&amp;refID=7128806&amp;Result=3","7128806")</f>
        <v>0</v>
      </c>
      <c r="B10633" t="s">
        <v>1333</v>
      </c>
      <c r="C10633" t="s">
        <v>13854</v>
      </c>
      <c r="D10633" t="s">
        <v>18034</v>
      </c>
      <c r="E10633" t="s">
        <v>21126</v>
      </c>
      <c r="F10633" t="s">
        <v>30900</v>
      </c>
      <c r="G10633" t="s">
        <v>30907</v>
      </c>
      <c r="H10633" t="s">
        <v>30915</v>
      </c>
      <c r="I10633" t="s">
        <v>30919</v>
      </c>
      <c r="J10633" t="s">
        <v>37668</v>
      </c>
      <c r="K10633" t="s">
        <v>40497</v>
      </c>
      <c r="M10633" t="s">
        <v>41953</v>
      </c>
      <c r="N10633" t="s">
        <v>44759</v>
      </c>
      <c r="O10633" t="s">
        <v>44760</v>
      </c>
      <c r="P10633">
        <v>0</v>
      </c>
      <c r="Q10633">
        <v>0</v>
      </c>
      <c r="R10633" t="s">
        <v>44773</v>
      </c>
      <c r="S10633" t="s">
        <v>45184</v>
      </c>
      <c r="T10633" t="s">
        <v>46606</v>
      </c>
      <c r="U10633" t="s">
        <v>55739</v>
      </c>
      <c r="W10633" t="s">
        <v>41953</v>
      </c>
      <c r="X10633" t="s">
        <v>44775</v>
      </c>
    </row>
    <row r="10634" spans="1:24">
      <c r="A10634">
        <f>HYPERLINK("https://www.philgeps.gov.ph/GEPSNONPILOT/Tender/SplashBidNoticeAbstractUI.aspx?menuIndex=3&amp;refID=7129844&amp;Result=3","7129844")</f>
        <v>0</v>
      </c>
      <c r="B10634" t="s">
        <v>3213</v>
      </c>
      <c r="C10634" t="s">
        <v>13855</v>
      </c>
      <c r="D10634" t="s">
        <v>17953</v>
      </c>
      <c r="E10634" t="s">
        <v>27246</v>
      </c>
      <c r="F10634" t="s">
        <v>30900</v>
      </c>
      <c r="G10634" t="s">
        <v>30907</v>
      </c>
      <c r="H10634" t="s">
        <v>30916</v>
      </c>
      <c r="I10634" t="s">
        <v>8123</v>
      </c>
      <c r="J10634" t="s">
        <v>37669</v>
      </c>
      <c r="K10634" t="s">
        <v>40286</v>
      </c>
      <c r="M10634" t="s">
        <v>44052</v>
      </c>
      <c r="N10634" t="s">
        <v>44759</v>
      </c>
      <c r="O10634" t="s">
        <v>44760</v>
      </c>
      <c r="P10634">
        <v>0</v>
      </c>
      <c r="Q10634">
        <v>1</v>
      </c>
      <c r="R10634" t="s">
        <v>44773</v>
      </c>
      <c r="S10634" t="s">
        <v>45184</v>
      </c>
      <c r="T10634" t="s">
        <v>46370</v>
      </c>
      <c r="U10634" t="s">
        <v>55740</v>
      </c>
      <c r="W10634" t="s">
        <v>44052</v>
      </c>
      <c r="X10634" t="s">
        <v>44774</v>
      </c>
    </row>
    <row r="10635" spans="1:24">
      <c r="A10635">
        <f>HYPERLINK("https://www.philgeps.gov.ph/GEPSNONPILOT/Tender/SplashBidNoticeAbstractUI.aspx?menuIndex=3&amp;refID=7130154&amp;Result=3","7130154")</f>
        <v>0</v>
      </c>
      <c r="B10635" t="s">
        <v>629</v>
      </c>
      <c r="C10635" t="s">
        <v>13856</v>
      </c>
      <c r="D10635" t="s">
        <v>17992</v>
      </c>
      <c r="E10635" t="s">
        <v>27059</v>
      </c>
      <c r="F10635" t="s">
        <v>30900</v>
      </c>
      <c r="G10635" t="s">
        <v>30907</v>
      </c>
      <c r="H10635" t="s">
        <v>30915</v>
      </c>
      <c r="I10635" t="s">
        <v>30919</v>
      </c>
      <c r="J10635" t="s">
        <v>37670</v>
      </c>
      <c r="K10635" t="s">
        <v>40367</v>
      </c>
      <c r="M10635" t="s">
        <v>44017</v>
      </c>
      <c r="N10635" t="s">
        <v>44759</v>
      </c>
      <c r="O10635" t="s">
        <v>44760</v>
      </c>
      <c r="P10635">
        <v>0</v>
      </c>
      <c r="Q10635">
        <v>0</v>
      </c>
      <c r="R10635" t="s">
        <v>44773</v>
      </c>
      <c r="S10635" t="s">
        <v>45184</v>
      </c>
      <c r="T10635" t="s">
        <v>46425</v>
      </c>
      <c r="U10635" t="s">
        <v>55741</v>
      </c>
      <c r="V10635" t="s">
        <v>60296</v>
      </c>
      <c r="W10635" t="s">
        <v>44017</v>
      </c>
      <c r="X10635" t="s">
        <v>44774</v>
      </c>
    </row>
    <row r="10636" spans="1:24">
      <c r="A10636">
        <f>HYPERLINK("https://www.philgeps.gov.ph/GEPSNONPILOT/Tender/SplashBidNoticeAbstractUI.aspx?menuIndex=3&amp;refID=7130061&amp;Result=3","7130061")</f>
        <v>0</v>
      </c>
      <c r="B10636" t="s">
        <v>2459</v>
      </c>
      <c r="C10636" t="s">
        <v>13857</v>
      </c>
      <c r="D10636" t="s">
        <v>18001</v>
      </c>
      <c r="E10636" t="s">
        <v>27247</v>
      </c>
      <c r="F10636" t="s">
        <v>30900</v>
      </c>
      <c r="G10636" t="s">
        <v>30907</v>
      </c>
      <c r="H10636" t="s">
        <v>30916</v>
      </c>
      <c r="I10636" t="s">
        <v>30919</v>
      </c>
      <c r="J10636" t="s">
        <v>37671</v>
      </c>
      <c r="K10636" t="s">
        <v>40314</v>
      </c>
      <c r="M10636" t="s">
        <v>43196</v>
      </c>
      <c r="N10636" t="s">
        <v>44759</v>
      </c>
      <c r="O10636" t="s">
        <v>44760</v>
      </c>
      <c r="P10636">
        <v>0</v>
      </c>
      <c r="Q10636">
        <v>0</v>
      </c>
      <c r="R10636" t="s">
        <v>44773</v>
      </c>
      <c r="S10636" t="s">
        <v>45184</v>
      </c>
      <c r="T10636" t="s">
        <v>46353</v>
      </c>
      <c r="U10636" t="s">
        <v>55742</v>
      </c>
      <c r="V10636" t="s">
        <v>59884</v>
      </c>
      <c r="W10636" t="s">
        <v>43196</v>
      </c>
      <c r="X10636" t="s">
        <v>44774</v>
      </c>
    </row>
    <row r="10637" spans="1:24">
      <c r="A10637">
        <f>HYPERLINK("https://www.philgeps.gov.ph/GEPSNONPILOT/Tender/SplashBidNoticeAbstractUI.aspx?menuIndex=3&amp;refID=7130131&amp;Result=3","7130131")</f>
        <v>0</v>
      </c>
      <c r="B10637" t="s">
        <v>693</v>
      </c>
      <c r="C10637" t="s">
        <v>13858</v>
      </c>
      <c r="D10637" t="s">
        <v>17996</v>
      </c>
      <c r="E10637" t="s">
        <v>19026</v>
      </c>
      <c r="F10637" t="s">
        <v>30900</v>
      </c>
      <c r="G10637" t="s">
        <v>30907</v>
      </c>
      <c r="H10637" t="s">
        <v>30915</v>
      </c>
      <c r="I10637" t="s">
        <v>30919</v>
      </c>
      <c r="J10637" t="s">
        <v>37672</v>
      </c>
      <c r="K10637" t="s">
        <v>40341</v>
      </c>
      <c r="M10637" t="s">
        <v>41257</v>
      </c>
      <c r="N10637" t="s">
        <v>44759</v>
      </c>
      <c r="O10637" t="s">
        <v>44760</v>
      </c>
      <c r="Q10637">
        <v>9</v>
      </c>
      <c r="R10637" t="s">
        <v>44773</v>
      </c>
      <c r="S10637" t="s">
        <v>45196</v>
      </c>
      <c r="T10637" t="s">
        <v>46450</v>
      </c>
      <c r="U10637" t="s">
        <v>48173</v>
      </c>
      <c r="W10637" t="s">
        <v>41257</v>
      </c>
      <c r="X10637" t="s">
        <v>44774</v>
      </c>
    </row>
    <row r="10638" spans="1:24">
      <c r="A10638">
        <f>HYPERLINK("https://www.philgeps.gov.ph/GEPSNONPILOT/Tender/SplashBidNoticeAbstractUI.aspx?menuIndex=3&amp;refID=7128786&amp;Result=3","7128786")</f>
        <v>0</v>
      </c>
      <c r="B10638" t="s">
        <v>3231</v>
      </c>
      <c r="C10638" t="s">
        <v>13859</v>
      </c>
      <c r="D10638" t="s">
        <v>18017</v>
      </c>
      <c r="E10638" t="s">
        <v>27248</v>
      </c>
      <c r="F10638" t="s">
        <v>30900</v>
      </c>
      <c r="G10638" t="s">
        <v>30907</v>
      </c>
      <c r="H10638" t="s">
        <v>30916</v>
      </c>
      <c r="I10638" t="s">
        <v>4142</v>
      </c>
      <c r="J10638" t="s">
        <v>37673</v>
      </c>
      <c r="K10638" t="s">
        <v>40284</v>
      </c>
      <c r="M10638" t="s">
        <v>44071</v>
      </c>
      <c r="N10638" t="s">
        <v>44759</v>
      </c>
      <c r="O10638" t="s">
        <v>44760</v>
      </c>
      <c r="P10638">
        <v>0</v>
      </c>
      <c r="Q10638">
        <v>0</v>
      </c>
      <c r="R10638" t="s">
        <v>44773</v>
      </c>
      <c r="S10638" t="s">
        <v>45184</v>
      </c>
      <c r="T10638" t="s">
        <v>46704</v>
      </c>
      <c r="U10638" t="s">
        <v>55743</v>
      </c>
      <c r="V10638" t="s">
        <v>50516</v>
      </c>
      <c r="W10638" t="s">
        <v>44071</v>
      </c>
      <c r="X10638" t="s">
        <v>44775</v>
      </c>
    </row>
    <row r="10639" spans="1:24">
      <c r="A10639">
        <f>HYPERLINK("https://www.philgeps.gov.ph/GEPSNONPILOT/Tender/SplashBidNoticeAbstractUI.aspx?menuIndex=3&amp;refID=7130136&amp;Result=3","7130136")</f>
        <v>0</v>
      </c>
      <c r="B10639" t="s">
        <v>3227</v>
      </c>
      <c r="C10639" t="s">
        <v>13860</v>
      </c>
      <c r="D10639" t="s">
        <v>17965</v>
      </c>
      <c r="E10639" t="s">
        <v>27249</v>
      </c>
      <c r="F10639" t="s">
        <v>30900</v>
      </c>
      <c r="G10639" t="s">
        <v>30907</v>
      </c>
      <c r="H10639" t="s">
        <v>30915</v>
      </c>
      <c r="I10639" t="s">
        <v>30919</v>
      </c>
      <c r="J10639" t="s">
        <v>31043</v>
      </c>
      <c r="K10639" t="s">
        <v>40286</v>
      </c>
      <c r="M10639" t="s">
        <v>44066</v>
      </c>
      <c r="N10639" t="s">
        <v>44759</v>
      </c>
      <c r="O10639" t="s">
        <v>44760</v>
      </c>
      <c r="P10639">
        <v>0</v>
      </c>
      <c r="Q10639">
        <v>0</v>
      </c>
      <c r="R10639" t="s">
        <v>44773</v>
      </c>
      <c r="S10639" t="s">
        <v>45184</v>
      </c>
      <c r="T10639" t="s">
        <v>46418</v>
      </c>
      <c r="U10639" t="s">
        <v>55720</v>
      </c>
      <c r="W10639" t="s">
        <v>44066</v>
      </c>
      <c r="X10639" t="s">
        <v>44774</v>
      </c>
    </row>
    <row r="10640" spans="1:24">
      <c r="A10640">
        <f>HYPERLINK("https://www.philgeps.gov.ph/GEPSNONPILOT/Tender/SplashBidNoticeAbstractUI.aspx?menuIndex=3&amp;refID=7130236&amp;Result=3","7130236")</f>
        <v>0</v>
      </c>
      <c r="B10640" t="s">
        <v>3227</v>
      </c>
      <c r="C10640" t="s">
        <v>13861</v>
      </c>
      <c r="D10640" t="s">
        <v>17965</v>
      </c>
      <c r="E10640" t="s">
        <v>27250</v>
      </c>
      <c r="F10640" t="s">
        <v>30900</v>
      </c>
      <c r="G10640" t="s">
        <v>30907</v>
      </c>
      <c r="H10640" t="s">
        <v>30915</v>
      </c>
      <c r="I10640" t="s">
        <v>30919</v>
      </c>
      <c r="J10640" t="s">
        <v>31243</v>
      </c>
      <c r="K10640" t="s">
        <v>40286</v>
      </c>
      <c r="M10640" t="s">
        <v>44066</v>
      </c>
      <c r="N10640" t="s">
        <v>44759</v>
      </c>
      <c r="O10640" t="s">
        <v>44760</v>
      </c>
      <c r="P10640">
        <v>0</v>
      </c>
      <c r="Q10640">
        <v>0</v>
      </c>
      <c r="R10640" t="s">
        <v>44773</v>
      </c>
      <c r="S10640" t="s">
        <v>45184</v>
      </c>
      <c r="T10640" t="s">
        <v>46418</v>
      </c>
      <c r="U10640" t="s">
        <v>55720</v>
      </c>
      <c r="W10640" t="s">
        <v>44066</v>
      </c>
      <c r="X10640" t="s">
        <v>44774</v>
      </c>
    </row>
    <row r="10641" spans="1:24">
      <c r="A10641">
        <f>HYPERLINK("https://www.philgeps.gov.ph/GEPSNONPILOT/Tender/SplashBidNoticeAbstractUI.aspx?menuIndex=3&amp;refID=7128752&amp;Result=3","7128752")</f>
        <v>0</v>
      </c>
      <c r="B10641" t="s">
        <v>1333</v>
      </c>
      <c r="C10641" t="s">
        <v>13862</v>
      </c>
      <c r="D10641" t="s">
        <v>18034</v>
      </c>
      <c r="E10641" t="s">
        <v>27251</v>
      </c>
      <c r="F10641" t="s">
        <v>30900</v>
      </c>
      <c r="G10641" t="s">
        <v>30907</v>
      </c>
      <c r="H10641" t="s">
        <v>30916</v>
      </c>
      <c r="I10641" t="s">
        <v>30933</v>
      </c>
      <c r="J10641" t="s">
        <v>31158</v>
      </c>
      <c r="K10641" t="s">
        <v>40304</v>
      </c>
      <c r="M10641" t="s">
        <v>41953</v>
      </c>
      <c r="N10641" t="s">
        <v>44759</v>
      </c>
      <c r="O10641" t="s">
        <v>44760</v>
      </c>
      <c r="P10641">
        <v>0</v>
      </c>
      <c r="Q10641">
        <v>4</v>
      </c>
      <c r="R10641" t="s">
        <v>44773</v>
      </c>
      <c r="S10641" t="s">
        <v>45184</v>
      </c>
      <c r="T10641" t="s">
        <v>46606</v>
      </c>
      <c r="U10641" t="s">
        <v>55744</v>
      </c>
      <c r="W10641" t="s">
        <v>41953</v>
      </c>
      <c r="X10641" t="s">
        <v>44775</v>
      </c>
    </row>
    <row r="10642" spans="1:24">
      <c r="A10642">
        <f>HYPERLINK("https://www.philgeps.gov.ph/GEPSNONPILOT/Tender/SplashBidNoticeAbstractUI.aspx?menuIndex=3&amp;refID=7130250&amp;Result=3","7130250")</f>
        <v>0</v>
      </c>
      <c r="B10642" t="s">
        <v>3227</v>
      </c>
      <c r="C10642" t="s">
        <v>13863</v>
      </c>
      <c r="D10642" t="s">
        <v>17965</v>
      </c>
      <c r="E10642" t="s">
        <v>27252</v>
      </c>
      <c r="F10642" t="s">
        <v>30900</v>
      </c>
      <c r="G10642" t="s">
        <v>30907</v>
      </c>
      <c r="H10642" t="s">
        <v>30915</v>
      </c>
      <c r="I10642" t="s">
        <v>30919</v>
      </c>
      <c r="J10642" t="s">
        <v>31101</v>
      </c>
      <c r="K10642" t="s">
        <v>40286</v>
      </c>
      <c r="M10642" t="s">
        <v>44066</v>
      </c>
      <c r="N10642" t="s">
        <v>44759</v>
      </c>
      <c r="O10642" t="s">
        <v>44760</v>
      </c>
      <c r="P10642">
        <v>0</v>
      </c>
      <c r="Q10642">
        <v>0</v>
      </c>
      <c r="R10642" t="s">
        <v>44773</v>
      </c>
      <c r="S10642" t="s">
        <v>45184</v>
      </c>
      <c r="T10642" t="s">
        <v>46418</v>
      </c>
      <c r="U10642" t="s">
        <v>55720</v>
      </c>
      <c r="W10642" t="s">
        <v>44066</v>
      </c>
      <c r="X10642" t="s">
        <v>44774</v>
      </c>
    </row>
    <row r="10643" spans="1:24">
      <c r="A10643">
        <f>HYPERLINK("https://www.philgeps.gov.ph/GEPSNONPILOT/Tender/SplashBidNoticeAbstractUI.aspx?menuIndex=3&amp;refID=7130219&amp;Result=3","7130219")</f>
        <v>0</v>
      </c>
      <c r="B10643" t="s">
        <v>629</v>
      </c>
      <c r="C10643" t="s">
        <v>13864</v>
      </c>
      <c r="D10643" t="s">
        <v>17992</v>
      </c>
      <c r="E10643" t="s">
        <v>27089</v>
      </c>
      <c r="F10643" t="s">
        <v>30900</v>
      </c>
      <c r="G10643" t="s">
        <v>30907</v>
      </c>
      <c r="H10643" t="s">
        <v>30915</v>
      </c>
      <c r="I10643" t="s">
        <v>30919</v>
      </c>
      <c r="J10643" t="s">
        <v>37674</v>
      </c>
      <c r="K10643" t="s">
        <v>40303</v>
      </c>
      <c r="M10643" t="s">
        <v>44017</v>
      </c>
      <c r="N10643" t="s">
        <v>44759</v>
      </c>
      <c r="O10643" t="s">
        <v>44760</v>
      </c>
      <c r="P10643">
        <v>0</v>
      </c>
      <c r="Q10643">
        <v>0</v>
      </c>
      <c r="R10643" t="s">
        <v>44773</v>
      </c>
      <c r="S10643" t="s">
        <v>45184</v>
      </c>
      <c r="T10643" t="s">
        <v>46425</v>
      </c>
      <c r="U10643" t="s">
        <v>55745</v>
      </c>
      <c r="V10643" t="s">
        <v>60297</v>
      </c>
      <c r="W10643" t="s">
        <v>44017</v>
      </c>
      <c r="X10643" t="s">
        <v>44774</v>
      </c>
    </row>
    <row r="10644" spans="1:24">
      <c r="A10644">
        <f>HYPERLINK("https://www.philgeps.gov.ph/GEPSNONPILOT/Tender/SplashBidNoticeAbstractUI.aspx?menuIndex=3&amp;refID=7130204&amp;Result=3","7130204")</f>
        <v>0</v>
      </c>
      <c r="B10644" t="s">
        <v>629</v>
      </c>
      <c r="C10644" t="s">
        <v>13865</v>
      </c>
      <c r="D10644" t="s">
        <v>17992</v>
      </c>
      <c r="E10644" t="s">
        <v>27074</v>
      </c>
      <c r="F10644" t="s">
        <v>30900</v>
      </c>
      <c r="G10644" t="s">
        <v>30907</v>
      </c>
      <c r="H10644" t="s">
        <v>30915</v>
      </c>
      <c r="I10644" t="s">
        <v>30919</v>
      </c>
      <c r="J10644" t="s">
        <v>37675</v>
      </c>
      <c r="K10644" t="s">
        <v>40367</v>
      </c>
      <c r="M10644" t="s">
        <v>44017</v>
      </c>
      <c r="N10644" t="s">
        <v>44759</v>
      </c>
      <c r="O10644" t="s">
        <v>44760</v>
      </c>
      <c r="P10644">
        <v>0</v>
      </c>
      <c r="Q10644">
        <v>0</v>
      </c>
      <c r="R10644" t="s">
        <v>44773</v>
      </c>
      <c r="S10644" t="s">
        <v>45184</v>
      </c>
      <c r="T10644" t="s">
        <v>46425</v>
      </c>
      <c r="U10644" t="s">
        <v>55746</v>
      </c>
      <c r="V10644" t="s">
        <v>60298</v>
      </c>
      <c r="W10644" t="s">
        <v>44017</v>
      </c>
      <c r="X10644" t="s">
        <v>44774</v>
      </c>
    </row>
    <row r="10645" spans="1:24">
      <c r="A10645">
        <f>HYPERLINK("https://www.philgeps.gov.ph/GEPSNONPILOT/Tender/SplashBidNoticeAbstractUI.aspx?menuIndex=3&amp;refID=7130191&amp;Result=3","7130191")</f>
        <v>0</v>
      </c>
      <c r="B10645" t="s">
        <v>3216</v>
      </c>
      <c r="C10645" t="s">
        <v>13866</v>
      </c>
      <c r="D10645" t="s">
        <v>17957</v>
      </c>
      <c r="E10645" t="s">
        <v>27253</v>
      </c>
      <c r="F10645" t="s">
        <v>30900</v>
      </c>
      <c r="G10645" t="s">
        <v>30907</v>
      </c>
      <c r="H10645" t="s">
        <v>30915</v>
      </c>
      <c r="I10645" t="s">
        <v>30919</v>
      </c>
      <c r="J10645" t="s">
        <v>31152</v>
      </c>
      <c r="K10645" t="s">
        <v>40447</v>
      </c>
      <c r="M10645" t="s">
        <v>44055</v>
      </c>
      <c r="N10645" t="s">
        <v>44759</v>
      </c>
      <c r="O10645" t="s">
        <v>44760</v>
      </c>
      <c r="P10645">
        <v>0</v>
      </c>
      <c r="Q10645">
        <v>0</v>
      </c>
      <c r="R10645" t="s">
        <v>44773</v>
      </c>
      <c r="S10645" t="s">
        <v>45184</v>
      </c>
      <c r="T10645" t="s">
        <v>46353</v>
      </c>
      <c r="U10645" t="s">
        <v>55747</v>
      </c>
      <c r="W10645" t="s">
        <v>44055</v>
      </c>
      <c r="X10645" t="s">
        <v>44774</v>
      </c>
    </row>
    <row r="10646" spans="1:24">
      <c r="A10646">
        <f>HYPERLINK("https://www.philgeps.gov.ph/GEPSNONPILOT/Tender/SplashBidNoticeAbstractUI.aspx?menuIndex=3&amp;refID=7130183&amp;Result=3","7130183")</f>
        <v>0</v>
      </c>
      <c r="B10646" t="s">
        <v>3212</v>
      </c>
      <c r="C10646" t="s">
        <v>13867</v>
      </c>
      <c r="D10646" t="s">
        <v>17985</v>
      </c>
      <c r="E10646" t="s">
        <v>27254</v>
      </c>
      <c r="F10646" t="s">
        <v>30900</v>
      </c>
      <c r="G10646" t="s">
        <v>30907</v>
      </c>
      <c r="H10646" t="s">
        <v>30916</v>
      </c>
      <c r="I10646" t="s">
        <v>7708</v>
      </c>
      <c r="J10646" t="s">
        <v>37676</v>
      </c>
      <c r="K10646" t="s">
        <v>40292</v>
      </c>
      <c r="M10646" t="s">
        <v>44051</v>
      </c>
      <c r="N10646" t="s">
        <v>44759</v>
      </c>
      <c r="O10646" t="s">
        <v>44760</v>
      </c>
      <c r="P10646">
        <v>0</v>
      </c>
      <c r="Q10646">
        <v>6</v>
      </c>
      <c r="R10646" t="s">
        <v>44773</v>
      </c>
      <c r="S10646" t="s">
        <v>45184</v>
      </c>
      <c r="T10646" t="s">
        <v>46370</v>
      </c>
      <c r="U10646" t="s">
        <v>55733</v>
      </c>
      <c r="W10646" t="s">
        <v>44051</v>
      </c>
      <c r="X10646" t="s">
        <v>44774</v>
      </c>
    </row>
    <row r="10647" spans="1:24">
      <c r="A10647">
        <f>HYPERLINK("https://www.philgeps.gov.ph/GEPSNONPILOT/Tender/SplashBidNoticeAbstractUI.aspx?menuIndex=3&amp;refID=7130182&amp;Result=3","7130182")</f>
        <v>0</v>
      </c>
      <c r="B10647" t="s">
        <v>629</v>
      </c>
      <c r="C10647" t="s">
        <v>13868</v>
      </c>
      <c r="D10647" t="s">
        <v>17992</v>
      </c>
      <c r="E10647" t="s">
        <v>27063</v>
      </c>
      <c r="F10647" t="s">
        <v>30900</v>
      </c>
      <c r="G10647" t="s">
        <v>30907</v>
      </c>
      <c r="H10647" t="s">
        <v>30915</v>
      </c>
      <c r="I10647" t="s">
        <v>30919</v>
      </c>
      <c r="J10647" t="s">
        <v>37677</v>
      </c>
      <c r="K10647" t="s">
        <v>40326</v>
      </c>
      <c r="M10647" t="s">
        <v>44017</v>
      </c>
      <c r="N10647" t="s">
        <v>44759</v>
      </c>
      <c r="O10647" t="s">
        <v>44760</v>
      </c>
      <c r="P10647">
        <v>0</v>
      </c>
      <c r="Q10647">
        <v>0</v>
      </c>
      <c r="R10647" t="s">
        <v>44773</v>
      </c>
      <c r="S10647" t="s">
        <v>45184</v>
      </c>
      <c r="T10647" t="s">
        <v>46425</v>
      </c>
      <c r="U10647" t="s">
        <v>55748</v>
      </c>
      <c r="V10647" t="s">
        <v>60299</v>
      </c>
      <c r="W10647" t="s">
        <v>44017</v>
      </c>
      <c r="X10647" t="s">
        <v>44774</v>
      </c>
    </row>
    <row r="10648" spans="1:24">
      <c r="A10648">
        <f>HYPERLINK("https://www.philgeps.gov.ph/GEPSNONPILOT/Tender/SplashBidNoticeAbstractUI.aspx?menuIndex=3&amp;refID=7130237&amp;Result=3","7130237")</f>
        <v>0</v>
      </c>
      <c r="B10648" t="s">
        <v>629</v>
      </c>
      <c r="C10648" t="s">
        <v>13869</v>
      </c>
      <c r="D10648" t="s">
        <v>17992</v>
      </c>
      <c r="E10648" t="s">
        <v>27083</v>
      </c>
      <c r="F10648" t="s">
        <v>30900</v>
      </c>
      <c r="G10648" t="s">
        <v>30907</v>
      </c>
      <c r="H10648" t="s">
        <v>30915</v>
      </c>
      <c r="I10648" t="s">
        <v>30919</v>
      </c>
      <c r="J10648" t="s">
        <v>37678</v>
      </c>
      <c r="K10648" t="s">
        <v>40413</v>
      </c>
      <c r="M10648" t="s">
        <v>44017</v>
      </c>
      <c r="N10648" t="s">
        <v>44759</v>
      </c>
      <c r="O10648" t="s">
        <v>44760</v>
      </c>
      <c r="P10648">
        <v>0</v>
      </c>
      <c r="Q10648">
        <v>0</v>
      </c>
      <c r="R10648" t="s">
        <v>44773</v>
      </c>
      <c r="S10648" t="s">
        <v>45184</v>
      </c>
      <c r="T10648" t="s">
        <v>46425</v>
      </c>
      <c r="U10648" t="s">
        <v>55749</v>
      </c>
      <c r="V10648" t="s">
        <v>60300</v>
      </c>
      <c r="W10648" t="s">
        <v>44017</v>
      </c>
      <c r="X10648" t="s">
        <v>44774</v>
      </c>
    </row>
    <row r="10649" spans="1:24">
      <c r="A10649">
        <f>HYPERLINK("https://www.philgeps.gov.ph/GEPSNONPILOT/Tender/SplashBidNoticeAbstractUI.aspx?menuIndex=3&amp;refID=7130230&amp;Result=3","7130230")</f>
        <v>0</v>
      </c>
      <c r="B10649" t="s">
        <v>2087</v>
      </c>
      <c r="C10649" t="s">
        <v>13870</v>
      </c>
      <c r="D10649" t="s">
        <v>17959</v>
      </c>
      <c r="E10649" t="s">
        <v>27255</v>
      </c>
      <c r="F10649" t="s">
        <v>30900</v>
      </c>
      <c r="G10649" t="s">
        <v>30909</v>
      </c>
      <c r="H10649" t="s">
        <v>30916</v>
      </c>
      <c r="I10649" t="s">
        <v>9385</v>
      </c>
      <c r="J10649" t="s">
        <v>37679</v>
      </c>
      <c r="K10649" t="s">
        <v>40289</v>
      </c>
      <c r="M10649" t="s">
        <v>44072</v>
      </c>
      <c r="N10649" t="s">
        <v>44759</v>
      </c>
      <c r="O10649" t="s">
        <v>44760</v>
      </c>
      <c r="Q10649">
        <v>10</v>
      </c>
      <c r="R10649" t="s">
        <v>44773</v>
      </c>
      <c r="S10649" t="s">
        <v>45197</v>
      </c>
      <c r="T10649" t="s">
        <v>46390</v>
      </c>
      <c r="U10649" t="s">
        <v>55750</v>
      </c>
      <c r="V10649" t="s">
        <v>60301</v>
      </c>
      <c r="W10649" t="s">
        <v>44072</v>
      </c>
      <c r="X10649" t="s">
        <v>44774</v>
      </c>
    </row>
    <row r="10650" spans="1:24">
      <c r="A10650">
        <f>HYPERLINK("https://www.philgeps.gov.ph/GEPSNONPILOT/Tender/SplashBidNoticeAbstractUI.aspx?menuIndex=3&amp;refID=7130369&amp;Result=3","7130369")</f>
        <v>0</v>
      </c>
      <c r="B10650" t="s">
        <v>3227</v>
      </c>
      <c r="C10650" t="s">
        <v>13871</v>
      </c>
      <c r="D10650" t="s">
        <v>17965</v>
      </c>
      <c r="E10650" t="s">
        <v>27256</v>
      </c>
      <c r="F10650" t="s">
        <v>30900</v>
      </c>
      <c r="G10650" t="s">
        <v>30907</v>
      </c>
      <c r="H10650" t="s">
        <v>30915</v>
      </c>
      <c r="I10650" t="s">
        <v>30919</v>
      </c>
      <c r="J10650" t="s">
        <v>31243</v>
      </c>
      <c r="K10650" t="s">
        <v>40286</v>
      </c>
      <c r="M10650" t="s">
        <v>44066</v>
      </c>
      <c r="N10650" t="s">
        <v>44759</v>
      </c>
      <c r="O10650" t="s">
        <v>44760</v>
      </c>
      <c r="P10650">
        <v>0</v>
      </c>
      <c r="Q10650">
        <v>0</v>
      </c>
      <c r="R10650" t="s">
        <v>44773</v>
      </c>
      <c r="S10650" t="s">
        <v>45184</v>
      </c>
      <c r="T10650" t="s">
        <v>46418</v>
      </c>
      <c r="U10650" t="s">
        <v>55720</v>
      </c>
      <c r="W10650" t="s">
        <v>44066</v>
      </c>
      <c r="X10650" t="s">
        <v>44774</v>
      </c>
    </row>
    <row r="10651" spans="1:24">
      <c r="A10651">
        <f>HYPERLINK("https://www.philgeps.gov.ph/GEPSNONPILOT/Tender/SplashBidNoticeAbstractUI.aspx?menuIndex=3&amp;refID=7130241&amp;Result=3","7130241")</f>
        <v>0</v>
      </c>
      <c r="B10651" t="s">
        <v>3212</v>
      </c>
      <c r="C10651" t="s">
        <v>13872</v>
      </c>
      <c r="D10651" t="s">
        <v>17985</v>
      </c>
      <c r="E10651" t="s">
        <v>27257</v>
      </c>
      <c r="F10651" t="s">
        <v>30900</v>
      </c>
      <c r="G10651" t="s">
        <v>30907</v>
      </c>
      <c r="H10651" t="s">
        <v>30916</v>
      </c>
      <c r="I10651" t="s">
        <v>7708</v>
      </c>
      <c r="J10651" t="s">
        <v>32674</v>
      </c>
      <c r="K10651" t="s">
        <v>40292</v>
      </c>
      <c r="M10651" t="s">
        <v>44051</v>
      </c>
      <c r="N10651" t="s">
        <v>44759</v>
      </c>
      <c r="O10651" t="s">
        <v>44760</v>
      </c>
      <c r="P10651">
        <v>0</v>
      </c>
      <c r="Q10651">
        <v>3</v>
      </c>
      <c r="R10651" t="s">
        <v>44773</v>
      </c>
      <c r="S10651" t="s">
        <v>45184</v>
      </c>
      <c r="T10651" t="s">
        <v>46370</v>
      </c>
      <c r="U10651" t="s">
        <v>55733</v>
      </c>
      <c r="W10651" t="s">
        <v>44051</v>
      </c>
      <c r="X10651" t="s">
        <v>44774</v>
      </c>
    </row>
    <row r="10652" spans="1:24">
      <c r="A10652">
        <f>HYPERLINK("https://www.philgeps.gov.ph/GEPSNONPILOT/Tender/SplashBidNoticeAbstractUI.aspx?menuIndex=3&amp;refID=7130200&amp;Result=3","7130200")</f>
        <v>0</v>
      </c>
      <c r="B10652" t="s">
        <v>950</v>
      </c>
      <c r="C10652" t="s">
        <v>13873</v>
      </c>
      <c r="D10652" t="s">
        <v>17993</v>
      </c>
      <c r="E10652" t="s">
        <v>27258</v>
      </c>
      <c r="F10652" t="s">
        <v>30900</v>
      </c>
      <c r="G10652" t="s">
        <v>30907</v>
      </c>
      <c r="H10652" t="s">
        <v>30915</v>
      </c>
      <c r="I10652" t="s">
        <v>30919</v>
      </c>
      <c r="J10652" t="s">
        <v>31105</v>
      </c>
      <c r="K10652" t="s">
        <v>40291</v>
      </c>
      <c r="M10652" t="s">
        <v>41535</v>
      </c>
      <c r="N10652" t="s">
        <v>44759</v>
      </c>
      <c r="O10652" t="s">
        <v>44760</v>
      </c>
      <c r="P10652">
        <v>0</v>
      </c>
      <c r="Q10652">
        <v>0</v>
      </c>
      <c r="R10652" t="s">
        <v>44773</v>
      </c>
      <c r="S10652" t="s">
        <v>45184</v>
      </c>
      <c r="T10652" t="s">
        <v>46422</v>
      </c>
      <c r="U10652" t="s">
        <v>55751</v>
      </c>
      <c r="W10652" t="s">
        <v>41535</v>
      </c>
      <c r="X10652" t="s">
        <v>44774</v>
      </c>
    </row>
    <row r="10653" spans="1:24">
      <c r="A10653">
        <f>HYPERLINK("https://www.philgeps.gov.ph/GEPSNONPILOT/Tender/SplashBidNoticeAbstractUI.aspx?menuIndex=3&amp;refID=7130244&amp;Result=3","7130244")</f>
        <v>0</v>
      </c>
      <c r="B10653" t="s">
        <v>2502</v>
      </c>
      <c r="C10653" t="s">
        <v>13874</v>
      </c>
      <c r="D10653" t="s">
        <v>17966</v>
      </c>
      <c r="E10653" t="s">
        <v>27259</v>
      </c>
      <c r="F10653" t="s">
        <v>30900</v>
      </c>
      <c r="G10653" t="s">
        <v>30907</v>
      </c>
      <c r="H10653" t="s">
        <v>30915</v>
      </c>
      <c r="I10653" t="s">
        <v>30919</v>
      </c>
      <c r="J10653" t="s">
        <v>37680</v>
      </c>
      <c r="K10653" t="s">
        <v>40301</v>
      </c>
      <c r="M10653" t="s">
        <v>43246</v>
      </c>
      <c r="N10653" t="s">
        <v>44759</v>
      </c>
      <c r="O10653" t="s">
        <v>44760</v>
      </c>
      <c r="Q10653">
        <v>0</v>
      </c>
      <c r="R10653" t="s">
        <v>44773</v>
      </c>
      <c r="S10653" t="s">
        <v>45198</v>
      </c>
      <c r="T10653" t="s">
        <v>46364</v>
      </c>
      <c r="U10653" t="s">
        <v>55752</v>
      </c>
      <c r="W10653" t="s">
        <v>43246</v>
      </c>
      <c r="X10653" t="s">
        <v>44774</v>
      </c>
    </row>
    <row r="10654" spans="1:24">
      <c r="A10654">
        <f>HYPERLINK("https://www.philgeps.gov.ph/GEPSNONPILOT/Tender/SplashBidNoticeAbstractUI.aspx?menuIndex=3&amp;refID=7130368&amp;Result=3","7130368")</f>
        <v>0</v>
      </c>
      <c r="B10654" t="s">
        <v>3232</v>
      </c>
      <c r="C10654" t="s">
        <v>13875</v>
      </c>
      <c r="D10654" t="s">
        <v>17954</v>
      </c>
      <c r="E10654" t="s">
        <v>18158</v>
      </c>
      <c r="F10654" t="s">
        <v>30900</v>
      </c>
      <c r="G10654" t="s">
        <v>30907</v>
      </c>
      <c r="H10654" t="s">
        <v>30915</v>
      </c>
      <c r="I10654" t="s">
        <v>30919</v>
      </c>
      <c r="J10654" t="s">
        <v>31341</v>
      </c>
      <c r="K10654" t="s">
        <v>40286</v>
      </c>
      <c r="M10654" t="s">
        <v>44073</v>
      </c>
      <c r="N10654" t="s">
        <v>44759</v>
      </c>
      <c r="O10654" t="s">
        <v>44760</v>
      </c>
      <c r="P10654">
        <v>0</v>
      </c>
      <c r="Q10654">
        <v>0</v>
      </c>
      <c r="R10654" t="s">
        <v>44773</v>
      </c>
      <c r="S10654" t="s">
        <v>45184</v>
      </c>
      <c r="T10654" t="s">
        <v>46362</v>
      </c>
      <c r="U10654" t="s">
        <v>55753</v>
      </c>
      <c r="W10654" t="s">
        <v>44073</v>
      </c>
      <c r="X10654" t="s">
        <v>44774</v>
      </c>
    </row>
    <row r="10655" spans="1:24">
      <c r="A10655">
        <f>HYPERLINK("https://www.philgeps.gov.ph/GEPSNONPILOT/Tender/SplashBidNoticeAbstractUI.aspx?menuIndex=3&amp;refID=7130338&amp;Result=3","7130338")</f>
        <v>0</v>
      </c>
      <c r="B10655" t="s">
        <v>3233</v>
      </c>
      <c r="C10655" t="s">
        <v>13876</v>
      </c>
      <c r="D10655" t="s">
        <v>17978</v>
      </c>
      <c r="E10655" t="s">
        <v>27260</v>
      </c>
      <c r="F10655" t="s">
        <v>30900</v>
      </c>
      <c r="G10655" t="s">
        <v>30907</v>
      </c>
      <c r="H10655" t="s">
        <v>30915</v>
      </c>
      <c r="I10655" t="s">
        <v>30919</v>
      </c>
      <c r="J10655" t="s">
        <v>31152</v>
      </c>
      <c r="K10655" t="s">
        <v>40280</v>
      </c>
      <c r="M10655" t="s">
        <v>44074</v>
      </c>
      <c r="N10655" t="s">
        <v>44759</v>
      </c>
      <c r="O10655" t="s">
        <v>44760</v>
      </c>
      <c r="P10655">
        <v>0</v>
      </c>
      <c r="Q10655">
        <v>1</v>
      </c>
      <c r="R10655" t="s">
        <v>44773</v>
      </c>
      <c r="S10655" t="s">
        <v>45184</v>
      </c>
      <c r="T10655" t="s">
        <v>46366</v>
      </c>
      <c r="U10655" t="s">
        <v>55754</v>
      </c>
      <c r="V10655" t="s">
        <v>59692</v>
      </c>
      <c r="W10655" t="s">
        <v>44074</v>
      </c>
      <c r="X10655" t="s">
        <v>44774</v>
      </c>
    </row>
    <row r="10656" spans="1:24">
      <c r="A10656">
        <f>HYPERLINK("https://www.philgeps.gov.ph/GEPSNONPILOT/Tender/SplashBidNoticeAbstractUI.aspx?menuIndex=3&amp;refID=7130180&amp;Result=3","7130180")</f>
        <v>0</v>
      </c>
      <c r="B10656" t="s">
        <v>3213</v>
      </c>
      <c r="C10656" t="s">
        <v>13877</v>
      </c>
      <c r="D10656" t="s">
        <v>17953</v>
      </c>
      <c r="E10656" t="s">
        <v>27261</v>
      </c>
      <c r="F10656" t="s">
        <v>30900</v>
      </c>
      <c r="G10656" t="s">
        <v>30907</v>
      </c>
      <c r="H10656" t="s">
        <v>30915</v>
      </c>
      <c r="I10656" t="s">
        <v>30919</v>
      </c>
      <c r="J10656" t="s">
        <v>37681</v>
      </c>
      <c r="K10656" t="s">
        <v>40342</v>
      </c>
      <c r="M10656" t="s">
        <v>44052</v>
      </c>
      <c r="N10656" t="s">
        <v>44759</v>
      </c>
      <c r="O10656" t="s">
        <v>44760</v>
      </c>
      <c r="P10656">
        <v>0</v>
      </c>
      <c r="Q10656">
        <v>7</v>
      </c>
      <c r="R10656" t="s">
        <v>44773</v>
      </c>
      <c r="S10656" t="s">
        <v>45184</v>
      </c>
      <c r="T10656" t="s">
        <v>46370</v>
      </c>
      <c r="U10656" t="s">
        <v>55755</v>
      </c>
      <c r="W10656" t="s">
        <v>44052</v>
      </c>
      <c r="X10656" t="s">
        <v>44774</v>
      </c>
    </row>
    <row r="10657" spans="1:24">
      <c r="A10657">
        <f>HYPERLINK("https://www.philgeps.gov.ph/GEPSNONPILOT/Tender/SplashBidNoticeAbstractUI.aspx?menuIndex=3&amp;refID=7130357&amp;Result=3","7130357")</f>
        <v>0</v>
      </c>
      <c r="B10657" t="s">
        <v>3227</v>
      </c>
      <c r="C10657" t="s">
        <v>13878</v>
      </c>
      <c r="D10657" t="s">
        <v>17965</v>
      </c>
      <c r="E10657" t="s">
        <v>27262</v>
      </c>
      <c r="F10657" t="s">
        <v>30900</v>
      </c>
      <c r="G10657" t="s">
        <v>30907</v>
      </c>
      <c r="H10657" t="s">
        <v>30915</v>
      </c>
      <c r="I10657" t="s">
        <v>30919</v>
      </c>
      <c r="J10657" t="s">
        <v>31341</v>
      </c>
      <c r="K10657" t="s">
        <v>40286</v>
      </c>
      <c r="M10657" t="s">
        <v>44066</v>
      </c>
      <c r="N10657" t="s">
        <v>44759</v>
      </c>
      <c r="O10657" t="s">
        <v>44760</v>
      </c>
      <c r="P10657">
        <v>0</v>
      </c>
      <c r="Q10657">
        <v>0</v>
      </c>
      <c r="R10657" t="s">
        <v>44773</v>
      </c>
      <c r="S10657" t="s">
        <v>45184</v>
      </c>
      <c r="T10657" t="s">
        <v>46418</v>
      </c>
      <c r="U10657" t="s">
        <v>55720</v>
      </c>
      <c r="W10657" t="s">
        <v>44066</v>
      </c>
      <c r="X10657" t="s">
        <v>44774</v>
      </c>
    </row>
    <row r="10658" spans="1:24">
      <c r="A10658">
        <f>HYPERLINK("https://www.philgeps.gov.ph/GEPSNONPILOT/Tender/SplashBidNoticeAbstractUI.aspx?menuIndex=3&amp;refID=7128838&amp;Result=3","7128838")</f>
        <v>0</v>
      </c>
      <c r="B10658" t="s">
        <v>1100</v>
      </c>
      <c r="C10658" t="s">
        <v>13879</v>
      </c>
      <c r="D10658" t="s">
        <v>17980</v>
      </c>
      <c r="E10658" t="s">
        <v>27263</v>
      </c>
      <c r="F10658" t="s">
        <v>30900</v>
      </c>
      <c r="G10658" t="s">
        <v>30909</v>
      </c>
      <c r="H10658" t="s">
        <v>30916</v>
      </c>
      <c r="I10658" t="s">
        <v>30923</v>
      </c>
      <c r="J10658" t="s">
        <v>37682</v>
      </c>
      <c r="K10658" t="s">
        <v>40289</v>
      </c>
      <c r="M10658" t="s">
        <v>41789</v>
      </c>
      <c r="N10658" t="s">
        <v>44759</v>
      </c>
      <c r="O10658" t="s">
        <v>44760</v>
      </c>
      <c r="Q10658">
        <v>4</v>
      </c>
      <c r="R10658" t="s">
        <v>44773</v>
      </c>
      <c r="S10658" t="s">
        <v>45199</v>
      </c>
      <c r="T10658" t="s">
        <v>46404</v>
      </c>
      <c r="U10658" t="s">
        <v>55756</v>
      </c>
      <c r="W10658" t="s">
        <v>41789</v>
      </c>
      <c r="X10658" t="s">
        <v>44775</v>
      </c>
    </row>
    <row r="10659" spans="1:24">
      <c r="A10659">
        <f>HYPERLINK("https://www.philgeps.gov.ph/GEPSNONPILOT/Tender/SplashBidNoticeAbstractUI.aspx?menuIndex=3&amp;refID=7130336&amp;Result=3","7130336")</f>
        <v>0</v>
      </c>
      <c r="B10659" t="s">
        <v>3227</v>
      </c>
      <c r="C10659" t="s">
        <v>13880</v>
      </c>
      <c r="D10659" t="s">
        <v>17965</v>
      </c>
      <c r="E10659" t="s">
        <v>27264</v>
      </c>
      <c r="F10659" t="s">
        <v>30900</v>
      </c>
      <c r="G10659" t="s">
        <v>30907</v>
      </c>
      <c r="H10659" t="s">
        <v>30915</v>
      </c>
      <c r="I10659" t="s">
        <v>30919</v>
      </c>
      <c r="J10659" t="s">
        <v>31407</v>
      </c>
      <c r="K10659" t="s">
        <v>40358</v>
      </c>
      <c r="M10659" t="s">
        <v>44066</v>
      </c>
      <c r="N10659" t="s">
        <v>44759</v>
      </c>
      <c r="O10659" t="s">
        <v>44760</v>
      </c>
      <c r="P10659">
        <v>0</v>
      </c>
      <c r="Q10659">
        <v>0</v>
      </c>
      <c r="R10659" t="s">
        <v>44773</v>
      </c>
      <c r="S10659" t="s">
        <v>45184</v>
      </c>
      <c r="T10659" t="s">
        <v>46418</v>
      </c>
      <c r="U10659" t="s">
        <v>55720</v>
      </c>
      <c r="W10659" t="s">
        <v>44066</v>
      </c>
      <c r="X10659" t="s">
        <v>44774</v>
      </c>
    </row>
    <row r="10660" spans="1:24">
      <c r="A10660">
        <f>HYPERLINK("https://www.philgeps.gov.ph/GEPSNONPILOT/Tender/SplashBidNoticeAbstractUI.aspx?menuIndex=3&amp;refID=7130309&amp;Result=3","7130309")</f>
        <v>0</v>
      </c>
      <c r="B10660" t="s">
        <v>1164</v>
      </c>
      <c r="C10660" t="s">
        <v>13881</v>
      </c>
      <c r="D10660" t="s">
        <v>17955</v>
      </c>
      <c r="E10660" t="s">
        <v>27265</v>
      </c>
      <c r="F10660" t="s">
        <v>30900</v>
      </c>
      <c r="G10660" t="s">
        <v>30907</v>
      </c>
      <c r="H10660" t="s">
        <v>30915</v>
      </c>
      <c r="I10660" t="s">
        <v>30919</v>
      </c>
      <c r="J10660" t="s">
        <v>37683</v>
      </c>
      <c r="K10660" t="s">
        <v>40289</v>
      </c>
      <c r="M10660" t="s">
        <v>42378</v>
      </c>
      <c r="N10660" t="s">
        <v>44759</v>
      </c>
      <c r="O10660" t="s">
        <v>44760</v>
      </c>
      <c r="P10660">
        <v>0</v>
      </c>
      <c r="Q10660">
        <v>0</v>
      </c>
      <c r="R10660" t="s">
        <v>44773</v>
      </c>
      <c r="S10660" t="s">
        <v>45184</v>
      </c>
      <c r="T10660" t="s">
        <v>46352</v>
      </c>
      <c r="U10660" t="s">
        <v>55757</v>
      </c>
      <c r="W10660" t="s">
        <v>42378</v>
      </c>
      <c r="X10660" t="s">
        <v>44774</v>
      </c>
    </row>
    <row r="10661" spans="1:24">
      <c r="A10661">
        <f>HYPERLINK("https://www.philgeps.gov.ph/GEPSNONPILOT/Tender/SplashBidNoticeAbstractUI.aspx?menuIndex=3&amp;refID=7130306&amp;Result=3","7130306")</f>
        <v>0</v>
      </c>
      <c r="B10661" t="s">
        <v>3227</v>
      </c>
      <c r="C10661" t="s">
        <v>13882</v>
      </c>
      <c r="D10661" t="s">
        <v>17965</v>
      </c>
      <c r="E10661" t="s">
        <v>27266</v>
      </c>
      <c r="F10661" t="s">
        <v>30900</v>
      </c>
      <c r="G10661" t="s">
        <v>30907</v>
      </c>
      <c r="H10661" t="s">
        <v>30915</v>
      </c>
      <c r="I10661" t="s">
        <v>30919</v>
      </c>
      <c r="J10661" t="s">
        <v>31101</v>
      </c>
      <c r="K10661" t="s">
        <v>40286</v>
      </c>
      <c r="M10661" t="s">
        <v>44066</v>
      </c>
      <c r="N10661" t="s">
        <v>44759</v>
      </c>
      <c r="O10661" t="s">
        <v>44760</v>
      </c>
      <c r="P10661">
        <v>0</v>
      </c>
      <c r="Q10661">
        <v>0</v>
      </c>
      <c r="R10661" t="s">
        <v>44773</v>
      </c>
      <c r="S10661" t="s">
        <v>45184</v>
      </c>
      <c r="T10661" t="s">
        <v>46418</v>
      </c>
      <c r="U10661" t="s">
        <v>55720</v>
      </c>
      <c r="W10661" t="s">
        <v>44066</v>
      </c>
      <c r="X10661" t="s">
        <v>44774</v>
      </c>
    </row>
    <row r="10662" spans="1:24">
      <c r="A10662">
        <f>HYPERLINK("https://www.philgeps.gov.ph/GEPSNONPILOT/Tender/SplashBidNoticeAbstractUI.aspx?menuIndex=3&amp;refID=7130319&amp;Result=3","7130319")</f>
        <v>0</v>
      </c>
      <c r="B10662" t="s">
        <v>3227</v>
      </c>
      <c r="C10662" t="s">
        <v>13883</v>
      </c>
      <c r="D10662" t="s">
        <v>17965</v>
      </c>
      <c r="E10662" t="s">
        <v>27267</v>
      </c>
      <c r="F10662" t="s">
        <v>30900</v>
      </c>
      <c r="G10662" t="s">
        <v>30907</v>
      </c>
      <c r="H10662" t="s">
        <v>30915</v>
      </c>
      <c r="I10662" t="s">
        <v>30919</v>
      </c>
      <c r="J10662" t="s">
        <v>31101</v>
      </c>
      <c r="K10662" t="s">
        <v>40286</v>
      </c>
      <c r="M10662" t="s">
        <v>44066</v>
      </c>
      <c r="N10662" t="s">
        <v>44759</v>
      </c>
      <c r="O10662" t="s">
        <v>44760</v>
      </c>
      <c r="P10662">
        <v>0</v>
      </c>
      <c r="Q10662">
        <v>0</v>
      </c>
      <c r="R10662" t="s">
        <v>44773</v>
      </c>
      <c r="S10662" t="s">
        <v>45184</v>
      </c>
      <c r="T10662" t="s">
        <v>46418</v>
      </c>
      <c r="U10662" t="s">
        <v>55720</v>
      </c>
      <c r="W10662" t="s">
        <v>44066</v>
      </c>
      <c r="X10662" t="s">
        <v>44774</v>
      </c>
    </row>
    <row r="10663" spans="1:24">
      <c r="A10663">
        <f>HYPERLINK("https://www.philgeps.gov.ph/GEPSNONPILOT/Tender/SplashBidNoticeAbstractUI.aspx?menuIndex=3&amp;refID=7130299&amp;Result=3","7130299")</f>
        <v>0</v>
      </c>
      <c r="B10663" t="s">
        <v>2476</v>
      </c>
      <c r="C10663" t="s">
        <v>13884</v>
      </c>
      <c r="D10663" t="s">
        <v>17954</v>
      </c>
      <c r="E10663" t="s">
        <v>27268</v>
      </c>
      <c r="F10663" t="s">
        <v>30900</v>
      </c>
      <c r="G10663" t="s">
        <v>30907</v>
      </c>
      <c r="H10663" t="s">
        <v>30916</v>
      </c>
      <c r="I10663" t="s">
        <v>30933</v>
      </c>
      <c r="J10663" t="s">
        <v>31094</v>
      </c>
      <c r="K10663" t="s">
        <v>40293</v>
      </c>
      <c r="M10663" t="s">
        <v>43214</v>
      </c>
      <c r="N10663" t="s">
        <v>44759</v>
      </c>
      <c r="O10663" t="s">
        <v>44760</v>
      </c>
      <c r="P10663">
        <v>0</v>
      </c>
      <c r="Q10663">
        <v>3</v>
      </c>
      <c r="R10663" t="s">
        <v>44773</v>
      </c>
      <c r="S10663" t="s">
        <v>45184</v>
      </c>
      <c r="T10663" t="s">
        <v>46369</v>
      </c>
      <c r="U10663" t="s">
        <v>55758</v>
      </c>
      <c r="W10663" t="s">
        <v>43214</v>
      </c>
      <c r="X10663" t="s">
        <v>44774</v>
      </c>
    </row>
    <row r="10664" spans="1:24">
      <c r="A10664">
        <f>HYPERLINK("https://www.philgeps.gov.ph/GEPSNONPILOT/Tender/SplashBidNoticeAbstractUI.aspx?menuIndex=3&amp;refID=7130497&amp;Result=3","7130497")</f>
        <v>0</v>
      </c>
      <c r="B10664" t="s">
        <v>1724</v>
      </c>
      <c r="C10664" t="s">
        <v>13885</v>
      </c>
      <c r="D10664" t="s">
        <v>18016</v>
      </c>
      <c r="E10664" t="s">
        <v>27269</v>
      </c>
      <c r="F10664" t="s">
        <v>30900</v>
      </c>
      <c r="G10664" t="s">
        <v>30907</v>
      </c>
      <c r="H10664" t="s">
        <v>30916</v>
      </c>
      <c r="I10664" t="s">
        <v>4050</v>
      </c>
      <c r="J10664" t="s">
        <v>37684</v>
      </c>
      <c r="K10664" t="s">
        <v>40284</v>
      </c>
      <c r="M10664" t="s">
        <v>42697</v>
      </c>
      <c r="N10664" t="s">
        <v>44759</v>
      </c>
      <c r="O10664" t="s">
        <v>44760</v>
      </c>
      <c r="P10664">
        <v>0</v>
      </c>
      <c r="Q10664">
        <v>2</v>
      </c>
      <c r="R10664" t="s">
        <v>44773</v>
      </c>
      <c r="S10664" t="s">
        <v>45184</v>
      </c>
      <c r="T10664" t="s">
        <v>46495</v>
      </c>
      <c r="U10664" t="s">
        <v>51585</v>
      </c>
      <c r="V10664" t="s">
        <v>59709</v>
      </c>
      <c r="W10664" t="s">
        <v>60878</v>
      </c>
      <c r="X10664" t="s">
        <v>44774</v>
      </c>
    </row>
    <row r="10665" spans="1:24">
      <c r="A10665">
        <f>HYPERLINK("https://www.philgeps.gov.ph/GEPSNONPILOT/Tender/SplashBidNoticeAbstractUI.aspx?menuIndex=3&amp;refID=7130337&amp;Result=3","7130337")</f>
        <v>0</v>
      </c>
      <c r="B10665" t="s">
        <v>2502</v>
      </c>
      <c r="C10665" t="s">
        <v>13886</v>
      </c>
      <c r="D10665" t="s">
        <v>17966</v>
      </c>
      <c r="E10665" t="s">
        <v>27270</v>
      </c>
      <c r="F10665" t="s">
        <v>30900</v>
      </c>
      <c r="G10665" t="s">
        <v>30907</v>
      </c>
      <c r="H10665" t="s">
        <v>30915</v>
      </c>
      <c r="I10665" t="s">
        <v>30919</v>
      </c>
      <c r="J10665" t="s">
        <v>37685</v>
      </c>
      <c r="K10665" t="s">
        <v>40301</v>
      </c>
      <c r="M10665" t="s">
        <v>43246</v>
      </c>
      <c r="N10665" t="s">
        <v>44759</v>
      </c>
      <c r="O10665" t="s">
        <v>44760</v>
      </c>
      <c r="Q10665">
        <v>0</v>
      </c>
      <c r="R10665" t="s">
        <v>44773</v>
      </c>
      <c r="S10665" t="s">
        <v>45200</v>
      </c>
      <c r="T10665" t="s">
        <v>46574</v>
      </c>
      <c r="U10665" t="s">
        <v>55759</v>
      </c>
      <c r="W10665" t="s">
        <v>43246</v>
      </c>
      <c r="X10665" t="s">
        <v>44774</v>
      </c>
    </row>
    <row r="10666" spans="1:24">
      <c r="A10666">
        <f>HYPERLINK("https://www.philgeps.gov.ph/GEPSNONPILOT/Tender/SplashBidNoticeAbstractUI.aspx?menuIndex=3&amp;refID=7130312&amp;Result=3","7130312")</f>
        <v>0</v>
      </c>
      <c r="B10666" t="s">
        <v>305</v>
      </c>
      <c r="C10666" t="s">
        <v>13887</v>
      </c>
      <c r="D10666" t="s">
        <v>17972</v>
      </c>
      <c r="E10666" t="s">
        <v>22883</v>
      </c>
      <c r="F10666" t="s">
        <v>30900</v>
      </c>
      <c r="G10666" t="s">
        <v>30907</v>
      </c>
      <c r="H10666" t="s">
        <v>30916</v>
      </c>
      <c r="I10666" t="s">
        <v>30919</v>
      </c>
      <c r="J10666" t="s">
        <v>37686</v>
      </c>
      <c r="K10666" t="s">
        <v>40286</v>
      </c>
      <c r="M10666" t="s">
        <v>40855</v>
      </c>
      <c r="N10666" t="s">
        <v>44759</v>
      </c>
      <c r="O10666" t="s">
        <v>44760</v>
      </c>
      <c r="P10666">
        <v>0</v>
      </c>
      <c r="Q10666">
        <v>0</v>
      </c>
      <c r="R10666" t="s">
        <v>44773</v>
      </c>
      <c r="S10666" t="s">
        <v>45184</v>
      </c>
      <c r="T10666" t="s">
        <v>46591</v>
      </c>
      <c r="U10666" t="s">
        <v>55760</v>
      </c>
      <c r="W10666" t="s">
        <v>40855</v>
      </c>
      <c r="X10666" t="s">
        <v>44774</v>
      </c>
    </row>
    <row r="10667" spans="1:24">
      <c r="A10667">
        <f>HYPERLINK("https://www.philgeps.gov.ph/GEPSNONPILOT/Tender/SplashBidNoticeAbstractUI.aspx?menuIndex=3&amp;refID=7130537&amp;Result=3","7130537")</f>
        <v>0</v>
      </c>
      <c r="B10667" t="s">
        <v>1724</v>
      </c>
      <c r="C10667" t="s">
        <v>13888</v>
      </c>
      <c r="D10667" t="s">
        <v>18016</v>
      </c>
      <c r="E10667" t="s">
        <v>27271</v>
      </c>
      <c r="F10667" t="s">
        <v>30900</v>
      </c>
      <c r="G10667" t="s">
        <v>30907</v>
      </c>
      <c r="H10667" t="s">
        <v>30916</v>
      </c>
      <c r="I10667" t="s">
        <v>30939</v>
      </c>
      <c r="J10667" t="s">
        <v>37687</v>
      </c>
      <c r="K10667" t="s">
        <v>40284</v>
      </c>
      <c r="M10667" t="s">
        <v>42697</v>
      </c>
      <c r="N10667" t="s">
        <v>44759</v>
      </c>
      <c r="O10667" t="s">
        <v>44760</v>
      </c>
      <c r="P10667">
        <v>0</v>
      </c>
      <c r="Q10667">
        <v>0</v>
      </c>
      <c r="R10667" t="s">
        <v>44773</v>
      </c>
      <c r="S10667" t="s">
        <v>45184</v>
      </c>
      <c r="T10667" t="s">
        <v>46495</v>
      </c>
      <c r="U10667" t="s">
        <v>51585</v>
      </c>
      <c r="V10667" t="s">
        <v>59709</v>
      </c>
      <c r="W10667" t="s">
        <v>60878</v>
      </c>
      <c r="X10667" t="s">
        <v>44774</v>
      </c>
    </row>
    <row r="10668" spans="1:24">
      <c r="A10668">
        <f>HYPERLINK("https://www.philgeps.gov.ph/GEPSNONPILOT/Tender/SplashBidNoticeAbstractUI.aspx?menuIndex=3&amp;refID=7130290&amp;Result=3","7130290")</f>
        <v>0</v>
      </c>
      <c r="B10668" t="s">
        <v>3227</v>
      </c>
      <c r="C10668" t="s">
        <v>13889</v>
      </c>
      <c r="D10668" t="s">
        <v>17965</v>
      </c>
      <c r="E10668" t="s">
        <v>27272</v>
      </c>
      <c r="F10668" t="s">
        <v>30900</v>
      </c>
      <c r="G10668" t="s">
        <v>30907</v>
      </c>
      <c r="H10668" t="s">
        <v>30915</v>
      </c>
      <c r="I10668" t="s">
        <v>30919</v>
      </c>
      <c r="J10668" t="s">
        <v>31211</v>
      </c>
      <c r="K10668" t="s">
        <v>40286</v>
      </c>
      <c r="M10668" t="s">
        <v>44066</v>
      </c>
      <c r="N10668" t="s">
        <v>44759</v>
      </c>
      <c r="O10668" t="s">
        <v>44760</v>
      </c>
      <c r="P10668">
        <v>0</v>
      </c>
      <c r="Q10668">
        <v>0</v>
      </c>
      <c r="R10668" t="s">
        <v>44773</v>
      </c>
      <c r="S10668" t="s">
        <v>45184</v>
      </c>
      <c r="T10668" t="s">
        <v>46418</v>
      </c>
      <c r="U10668" t="s">
        <v>55720</v>
      </c>
      <c r="W10668" t="s">
        <v>44066</v>
      </c>
      <c r="X10668" t="s">
        <v>44774</v>
      </c>
    </row>
    <row r="10669" spans="1:24">
      <c r="A10669">
        <f>HYPERLINK("https://www.philgeps.gov.ph/GEPSNONPILOT/Tender/SplashBidNoticeAbstractUI.aspx?menuIndex=3&amp;refID=7130495&amp;Result=3","7130495")</f>
        <v>0</v>
      </c>
      <c r="B10669" t="s">
        <v>3234</v>
      </c>
      <c r="C10669" t="s">
        <v>13890</v>
      </c>
      <c r="D10669" t="s">
        <v>17952</v>
      </c>
      <c r="E10669" t="s">
        <v>21576</v>
      </c>
      <c r="F10669" t="s">
        <v>30900</v>
      </c>
      <c r="G10669" t="s">
        <v>30907</v>
      </c>
      <c r="H10669" t="s">
        <v>30915</v>
      </c>
      <c r="I10669" t="s">
        <v>30919</v>
      </c>
      <c r="J10669" t="s">
        <v>31443</v>
      </c>
      <c r="K10669" t="s">
        <v>40329</v>
      </c>
      <c r="M10669" t="s">
        <v>44075</v>
      </c>
      <c r="N10669" t="s">
        <v>44759</v>
      </c>
      <c r="O10669" t="s">
        <v>44760</v>
      </c>
      <c r="P10669">
        <v>0</v>
      </c>
      <c r="Q10669">
        <v>1</v>
      </c>
      <c r="R10669" t="s">
        <v>44773</v>
      </c>
      <c r="S10669" t="s">
        <v>45184</v>
      </c>
      <c r="T10669" t="s">
        <v>46382</v>
      </c>
      <c r="U10669" t="s">
        <v>55761</v>
      </c>
      <c r="V10669" t="s">
        <v>60302</v>
      </c>
      <c r="W10669" t="s">
        <v>44075</v>
      </c>
      <c r="X10669" t="s">
        <v>44774</v>
      </c>
    </row>
    <row r="10670" spans="1:24">
      <c r="A10670">
        <f>HYPERLINK("https://www.philgeps.gov.ph/GEPSNONPILOT/Tender/SplashBidNoticeAbstractUI.aspx?menuIndex=3&amp;refID=7130510&amp;Result=3","7130510")</f>
        <v>0</v>
      </c>
      <c r="B10670" t="s">
        <v>1724</v>
      </c>
      <c r="C10670" t="s">
        <v>13891</v>
      </c>
      <c r="D10670" t="s">
        <v>18016</v>
      </c>
      <c r="E10670" t="s">
        <v>27273</v>
      </c>
      <c r="F10670" t="s">
        <v>30900</v>
      </c>
      <c r="G10670" t="s">
        <v>30907</v>
      </c>
      <c r="H10670" t="s">
        <v>30916</v>
      </c>
      <c r="I10670" t="s">
        <v>30939</v>
      </c>
      <c r="J10670" t="s">
        <v>37688</v>
      </c>
      <c r="K10670" t="s">
        <v>40284</v>
      </c>
      <c r="M10670" t="s">
        <v>42697</v>
      </c>
      <c r="N10670" t="s">
        <v>44759</v>
      </c>
      <c r="O10670" t="s">
        <v>44760</v>
      </c>
      <c r="P10670">
        <v>0</v>
      </c>
      <c r="Q10670">
        <v>0</v>
      </c>
      <c r="R10670" t="s">
        <v>44773</v>
      </c>
      <c r="S10670" t="s">
        <v>45184</v>
      </c>
      <c r="T10670" t="s">
        <v>46495</v>
      </c>
      <c r="U10670" t="s">
        <v>51585</v>
      </c>
      <c r="V10670" t="s">
        <v>59709</v>
      </c>
      <c r="W10670" t="s">
        <v>60878</v>
      </c>
      <c r="X10670" t="s">
        <v>44774</v>
      </c>
    </row>
    <row r="10671" spans="1:24">
      <c r="A10671">
        <f>HYPERLINK("https://www.philgeps.gov.ph/GEPSNONPILOT/Tender/SplashBidNoticeAbstractUI.aspx?menuIndex=3&amp;refID=7130321&amp;Result=3","7130321")</f>
        <v>0</v>
      </c>
      <c r="B10671" t="s">
        <v>2987</v>
      </c>
      <c r="C10671" t="s">
        <v>13892</v>
      </c>
      <c r="D10671" t="s">
        <v>17951</v>
      </c>
      <c r="E10671" t="s">
        <v>27274</v>
      </c>
      <c r="F10671" t="s">
        <v>30900</v>
      </c>
      <c r="G10671" t="s">
        <v>30908</v>
      </c>
      <c r="H10671" t="s">
        <v>30916</v>
      </c>
      <c r="I10671" t="s">
        <v>4017</v>
      </c>
      <c r="J10671" t="s">
        <v>33225</v>
      </c>
      <c r="K10671" t="s">
        <v>40287</v>
      </c>
      <c r="M10671" t="s">
        <v>43790</v>
      </c>
      <c r="N10671" t="s">
        <v>44759</v>
      </c>
      <c r="O10671" t="s">
        <v>44760</v>
      </c>
      <c r="P10671">
        <v>0</v>
      </c>
      <c r="Q10671">
        <v>2</v>
      </c>
      <c r="R10671" t="s">
        <v>44773</v>
      </c>
      <c r="S10671" t="s">
        <v>45184</v>
      </c>
      <c r="T10671" t="s">
        <v>46544</v>
      </c>
      <c r="U10671" t="s">
        <v>55762</v>
      </c>
      <c r="V10671" t="s">
        <v>60303</v>
      </c>
      <c r="W10671" t="s">
        <v>43790</v>
      </c>
      <c r="X10671" t="s">
        <v>44774</v>
      </c>
    </row>
    <row r="10672" spans="1:24">
      <c r="A10672">
        <f>HYPERLINK("https://www.philgeps.gov.ph/GEPSNONPILOT/Tender/SplashBidNoticeAbstractUI.aspx?menuIndex=3&amp;refID=7130470&amp;Result=3","7130470")</f>
        <v>0</v>
      </c>
      <c r="B10672" t="s">
        <v>1724</v>
      </c>
      <c r="C10672" t="s">
        <v>13893</v>
      </c>
      <c r="D10672" t="s">
        <v>18016</v>
      </c>
      <c r="E10672" t="s">
        <v>27275</v>
      </c>
      <c r="F10672" t="s">
        <v>30900</v>
      </c>
      <c r="G10672" t="s">
        <v>30907</v>
      </c>
      <c r="H10672" t="s">
        <v>30916</v>
      </c>
      <c r="I10672" t="s">
        <v>30939</v>
      </c>
      <c r="J10672" t="s">
        <v>37689</v>
      </c>
      <c r="K10672" t="s">
        <v>40284</v>
      </c>
      <c r="M10672" t="s">
        <v>42697</v>
      </c>
      <c r="N10672" t="s">
        <v>44759</v>
      </c>
      <c r="O10672" t="s">
        <v>44760</v>
      </c>
      <c r="P10672">
        <v>0</v>
      </c>
      <c r="Q10672">
        <v>0</v>
      </c>
      <c r="R10672" t="s">
        <v>44773</v>
      </c>
      <c r="S10672" t="s">
        <v>45184</v>
      </c>
      <c r="T10672" t="s">
        <v>46495</v>
      </c>
      <c r="U10672" t="s">
        <v>51585</v>
      </c>
      <c r="V10672" t="s">
        <v>59709</v>
      </c>
      <c r="W10672" t="s">
        <v>60878</v>
      </c>
      <c r="X10672" t="s">
        <v>44774</v>
      </c>
    </row>
    <row r="10673" spans="1:24">
      <c r="A10673">
        <f>HYPERLINK("https://www.philgeps.gov.ph/GEPSNONPILOT/Tender/SplashBidNoticeAbstractUI.aspx?menuIndex=3&amp;refID=7130355&amp;Result=3","7130355")</f>
        <v>0</v>
      </c>
      <c r="B10673" t="s">
        <v>3152</v>
      </c>
      <c r="C10673" t="s">
        <v>13894</v>
      </c>
      <c r="D10673" t="s">
        <v>17970</v>
      </c>
      <c r="E10673" t="s">
        <v>19382</v>
      </c>
      <c r="F10673" t="s">
        <v>30900</v>
      </c>
      <c r="G10673" t="s">
        <v>30907</v>
      </c>
      <c r="H10673" t="s">
        <v>30915</v>
      </c>
      <c r="I10673" t="s">
        <v>30919</v>
      </c>
      <c r="J10673" t="s">
        <v>37690</v>
      </c>
      <c r="K10673" t="s">
        <v>40304</v>
      </c>
      <c r="M10673" t="s">
        <v>43973</v>
      </c>
      <c r="N10673" t="s">
        <v>44759</v>
      </c>
      <c r="O10673" t="s">
        <v>44760</v>
      </c>
      <c r="P10673">
        <v>0</v>
      </c>
      <c r="Q10673">
        <v>0</v>
      </c>
      <c r="R10673" t="s">
        <v>44773</v>
      </c>
      <c r="S10673" t="s">
        <v>45184</v>
      </c>
      <c r="T10673" t="s">
        <v>46495</v>
      </c>
      <c r="U10673" t="s">
        <v>55763</v>
      </c>
      <c r="W10673" t="s">
        <v>43973</v>
      </c>
      <c r="X10673" t="s">
        <v>44774</v>
      </c>
    </row>
    <row r="10674" spans="1:24">
      <c r="A10674">
        <f>HYPERLINK("https://www.philgeps.gov.ph/GEPSNONPILOT/Tender/SplashBidNoticeAbstractUI.aspx?menuIndex=3&amp;refID=7130498&amp;Result=3","7130498")</f>
        <v>0</v>
      </c>
      <c r="B10674" t="s">
        <v>3037</v>
      </c>
      <c r="C10674" t="s">
        <v>13895</v>
      </c>
      <c r="D10674" t="s">
        <v>17975</v>
      </c>
      <c r="E10674" t="s">
        <v>27276</v>
      </c>
      <c r="F10674" t="s">
        <v>30900</v>
      </c>
      <c r="G10674" t="s">
        <v>30907</v>
      </c>
      <c r="H10674" t="s">
        <v>30915</v>
      </c>
      <c r="I10674" t="s">
        <v>30919</v>
      </c>
      <c r="J10674" t="s">
        <v>32523</v>
      </c>
      <c r="K10674" t="s">
        <v>40292</v>
      </c>
      <c r="M10674" t="s">
        <v>44076</v>
      </c>
      <c r="N10674" t="s">
        <v>44759</v>
      </c>
      <c r="O10674" t="s">
        <v>44760</v>
      </c>
      <c r="P10674">
        <v>0</v>
      </c>
      <c r="Q10674">
        <v>1</v>
      </c>
      <c r="R10674" t="s">
        <v>44773</v>
      </c>
      <c r="S10674" t="s">
        <v>45184</v>
      </c>
      <c r="T10674" t="s">
        <v>46409</v>
      </c>
      <c r="U10674" t="s">
        <v>55764</v>
      </c>
      <c r="W10674" t="s">
        <v>44076</v>
      </c>
      <c r="X10674" t="s">
        <v>44774</v>
      </c>
    </row>
    <row r="10675" spans="1:24">
      <c r="A10675">
        <f>HYPERLINK("https://www.philgeps.gov.ph/GEPSNONPILOT/Tender/SplashBidNoticeAbstractUI.aspx?menuIndex=3&amp;refID=7130453&amp;Result=3","7130453")</f>
        <v>0</v>
      </c>
      <c r="B10675" t="s">
        <v>1724</v>
      </c>
      <c r="C10675" t="s">
        <v>13896</v>
      </c>
      <c r="D10675" t="s">
        <v>18016</v>
      </c>
      <c r="E10675" t="s">
        <v>27277</v>
      </c>
      <c r="F10675" t="s">
        <v>30900</v>
      </c>
      <c r="G10675" t="s">
        <v>30907</v>
      </c>
      <c r="H10675" t="s">
        <v>30916</v>
      </c>
      <c r="I10675" t="s">
        <v>30939</v>
      </c>
      <c r="J10675" t="s">
        <v>37691</v>
      </c>
      <c r="K10675" t="s">
        <v>40284</v>
      </c>
      <c r="M10675" t="s">
        <v>42697</v>
      </c>
      <c r="N10675" t="s">
        <v>44759</v>
      </c>
      <c r="O10675" t="s">
        <v>44760</v>
      </c>
      <c r="P10675">
        <v>0</v>
      </c>
      <c r="Q10675">
        <v>0</v>
      </c>
      <c r="R10675" t="s">
        <v>44773</v>
      </c>
      <c r="S10675" t="s">
        <v>45184</v>
      </c>
      <c r="T10675" t="s">
        <v>46495</v>
      </c>
      <c r="U10675" t="s">
        <v>51585</v>
      </c>
      <c r="V10675" t="s">
        <v>59709</v>
      </c>
      <c r="W10675" t="s">
        <v>60878</v>
      </c>
      <c r="X10675" t="s">
        <v>44774</v>
      </c>
    </row>
    <row r="10676" spans="1:24">
      <c r="A10676">
        <f>HYPERLINK("https://www.philgeps.gov.ph/GEPSNONPILOT/Tender/SplashBidNoticeAbstractUI.aspx?menuIndex=3&amp;refID=7130432&amp;Result=3","7130432")</f>
        <v>0</v>
      </c>
      <c r="B10676" t="s">
        <v>1724</v>
      </c>
      <c r="C10676" t="s">
        <v>13897</v>
      </c>
      <c r="D10676" t="s">
        <v>18016</v>
      </c>
      <c r="E10676" t="s">
        <v>27278</v>
      </c>
      <c r="F10676" t="s">
        <v>30900</v>
      </c>
      <c r="G10676" t="s">
        <v>30907</v>
      </c>
      <c r="H10676" t="s">
        <v>30916</v>
      </c>
      <c r="I10676" t="s">
        <v>30939</v>
      </c>
      <c r="J10676" t="s">
        <v>37692</v>
      </c>
      <c r="K10676" t="s">
        <v>40284</v>
      </c>
      <c r="M10676" t="s">
        <v>42697</v>
      </c>
      <c r="N10676" t="s">
        <v>44759</v>
      </c>
      <c r="O10676" t="s">
        <v>44760</v>
      </c>
      <c r="P10676">
        <v>0</v>
      </c>
      <c r="Q10676">
        <v>0</v>
      </c>
      <c r="R10676" t="s">
        <v>44773</v>
      </c>
      <c r="S10676" t="s">
        <v>45184</v>
      </c>
      <c r="T10676" t="s">
        <v>46495</v>
      </c>
      <c r="U10676" t="s">
        <v>51585</v>
      </c>
      <c r="V10676" t="s">
        <v>59709</v>
      </c>
      <c r="W10676" t="s">
        <v>60878</v>
      </c>
      <c r="X10676" t="s">
        <v>44774</v>
      </c>
    </row>
    <row r="10677" spans="1:24">
      <c r="A10677">
        <f>HYPERLINK("https://www.philgeps.gov.ph/GEPSNONPILOT/Tender/SplashBidNoticeAbstractUI.aspx?menuIndex=3&amp;refID=7130506&amp;Result=3","7130506")</f>
        <v>0</v>
      </c>
      <c r="B10677" t="s">
        <v>3037</v>
      </c>
      <c r="C10677" t="s">
        <v>13898</v>
      </c>
      <c r="D10677" t="s">
        <v>17975</v>
      </c>
      <c r="E10677" t="s">
        <v>27279</v>
      </c>
      <c r="F10677" t="s">
        <v>30900</v>
      </c>
      <c r="G10677" t="s">
        <v>30907</v>
      </c>
      <c r="H10677" t="s">
        <v>30915</v>
      </c>
      <c r="I10677" t="s">
        <v>30919</v>
      </c>
      <c r="J10677" t="s">
        <v>32523</v>
      </c>
      <c r="K10677" t="s">
        <v>40292</v>
      </c>
      <c r="M10677" t="s">
        <v>44076</v>
      </c>
      <c r="N10677" t="s">
        <v>44759</v>
      </c>
      <c r="O10677" t="s">
        <v>44760</v>
      </c>
      <c r="P10677">
        <v>0</v>
      </c>
      <c r="Q10677">
        <v>2</v>
      </c>
      <c r="R10677" t="s">
        <v>44773</v>
      </c>
      <c r="S10677" t="s">
        <v>45184</v>
      </c>
      <c r="T10677" t="s">
        <v>46409</v>
      </c>
      <c r="U10677" t="s">
        <v>55765</v>
      </c>
      <c r="W10677" t="s">
        <v>44076</v>
      </c>
      <c r="X10677" t="s">
        <v>44774</v>
      </c>
    </row>
    <row r="10678" spans="1:24">
      <c r="A10678">
        <f>HYPERLINK("https://www.philgeps.gov.ph/GEPSNONPILOT/Tender/SplashBidNoticeAbstractUI.aspx?menuIndex=3&amp;refID=7130550&amp;Result=3","7130550")</f>
        <v>0</v>
      </c>
      <c r="B10678" t="s">
        <v>1724</v>
      </c>
      <c r="C10678" t="s">
        <v>13899</v>
      </c>
      <c r="D10678" t="s">
        <v>18016</v>
      </c>
      <c r="E10678" t="s">
        <v>27280</v>
      </c>
      <c r="F10678" t="s">
        <v>30900</v>
      </c>
      <c r="G10678" t="s">
        <v>30907</v>
      </c>
      <c r="H10678" t="s">
        <v>30916</v>
      </c>
      <c r="I10678" t="s">
        <v>30939</v>
      </c>
      <c r="J10678" t="s">
        <v>37687</v>
      </c>
      <c r="K10678" t="s">
        <v>40284</v>
      </c>
      <c r="M10678" t="s">
        <v>42697</v>
      </c>
      <c r="N10678" t="s">
        <v>44759</v>
      </c>
      <c r="O10678" t="s">
        <v>44760</v>
      </c>
      <c r="P10678">
        <v>0</v>
      </c>
      <c r="Q10678">
        <v>0</v>
      </c>
      <c r="R10678" t="s">
        <v>44773</v>
      </c>
      <c r="S10678" t="s">
        <v>45184</v>
      </c>
      <c r="T10678" t="s">
        <v>46495</v>
      </c>
      <c r="U10678" t="s">
        <v>51585</v>
      </c>
      <c r="V10678" t="s">
        <v>59709</v>
      </c>
      <c r="W10678" t="s">
        <v>60878</v>
      </c>
      <c r="X10678" t="s">
        <v>44774</v>
      </c>
    </row>
    <row r="10679" spans="1:24">
      <c r="A10679">
        <f>HYPERLINK("https://www.philgeps.gov.ph/GEPSNONPILOT/Tender/SplashBidNoticeAbstractUI.aspx?menuIndex=3&amp;refID=7130440&amp;Result=3","7130440")</f>
        <v>0</v>
      </c>
      <c r="B10679" t="s">
        <v>3235</v>
      </c>
      <c r="C10679" t="s">
        <v>13900</v>
      </c>
      <c r="D10679" t="s">
        <v>17978</v>
      </c>
      <c r="E10679" t="s">
        <v>27281</v>
      </c>
      <c r="F10679" t="s">
        <v>30900</v>
      </c>
      <c r="G10679" t="s">
        <v>30907</v>
      </c>
      <c r="H10679" t="s">
        <v>30915</v>
      </c>
      <c r="I10679" t="s">
        <v>30919</v>
      </c>
      <c r="J10679" t="s">
        <v>31049</v>
      </c>
      <c r="K10679" t="s">
        <v>40286</v>
      </c>
      <c r="M10679" t="s">
        <v>44077</v>
      </c>
      <c r="N10679" t="s">
        <v>44759</v>
      </c>
      <c r="O10679" t="s">
        <v>44760</v>
      </c>
      <c r="P10679">
        <v>0</v>
      </c>
      <c r="Q10679">
        <v>1</v>
      </c>
      <c r="R10679" t="s">
        <v>44773</v>
      </c>
      <c r="S10679" t="s">
        <v>45184</v>
      </c>
      <c r="T10679" t="s">
        <v>46366</v>
      </c>
      <c r="U10679" t="s">
        <v>55766</v>
      </c>
      <c r="V10679" t="s">
        <v>59692</v>
      </c>
      <c r="W10679" t="s">
        <v>44077</v>
      </c>
      <c r="X10679" t="s">
        <v>44774</v>
      </c>
    </row>
    <row r="10680" spans="1:24">
      <c r="A10680">
        <f>HYPERLINK("https://www.philgeps.gov.ph/GEPSNONPILOT/Tender/SplashBidNoticeAbstractUI.aspx?menuIndex=3&amp;refID=7130734&amp;Result=3","7130734")</f>
        <v>0</v>
      </c>
      <c r="B10680" t="s">
        <v>3205</v>
      </c>
      <c r="C10680" t="s">
        <v>13901</v>
      </c>
      <c r="D10680" t="s">
        <v>17993</v>
      </c>
      <c r="E10680" t="s">
        <v>27282</v>
      </c>
      <c r="F10680" t="s">
        <v>30900</v>
      </c>
      <c r="G10680" t="s">
        <v>30907</v>
      </c>
      <c r="H10680" t="s">
        <v>30916</v>
      </c>
      <c r="I10680" t="s">
        <v>4061</v>
      </c>
      <c r="J10680" t="s">
        <v>37693</v>
      </c>
      <c r="K10680" t="s">
        <v>40289</v>
      </c>
      <c r="M10680" t="s">
        <v>44044</v>
      </c>
      <c r="N10680" t="s">
        <v>44759</v>
      </c>
      <c r="O10680" t="s">
        <v>44760</v>
      </c>
      <c r="P10680">
        <v>0</v>
      </c>
      <c r="Q10680">
        <v>4</v>
      </c>
      <c r="R10680" t="s">
        <v>44773</v>
      </c>
      <c r="S10680" t="s">
        <v>45184</v>
      </c>
      <c r="T10680" t="s">
        <v>46835</v>
      </c>
      <c r="U10680" t="s">
        <v>55767</v>
      </c>
      <c r="W10680" t="s">
        <v>44044</v>
      </c>
      <c r="X10680" t="s">
        <v>44774</v>
      </c>
    </row>
    <row r="10681" spans="1:24">
      <c r="A10681">
        <f>HYPERLINK("https://www.philgeps.gov.ph/GEPSNONPILOT/Tender/SplashBidNoticeAbstractUI.aspx?menuIndex=3&amp;refID=7130748&amp;Result=3","7130748")</f>
        <v>0</v>
      </c>
      <c r="B10681" t="s">
        <v>3216</v>
      </c>
      <c r="C10681" t="s">
        <v>13902</v>
      </c>
      <c r="D10681" t="s">
        <v>17957</v>
      </c>
      <c r="E10681" t="s">
        <v>27253</v>
      </c>
      <c r="F10681" t="s">
        <v>30900</v>
      </c>
      <c r="G10681" t="s">
        <v>30907</v>
      </c>
      <c r="H10681" t="s">
        <v>30915</v>
      </c>
      <c r="I10681" t="s">
        <v>30919</v>
      </c>
      <c r="J10681" t="s">
        <v>31391</v>
      </c>
      <c r="K10681" t="s">
        <v>40447</v>
      </c>
      <c r="M10681" t="s">
        <v>44055</v>
      </c>
      <c r="N10681" t="s">
        <v>44759</v>
      </c>
      <c r="O10681" t="s">
        <v>44760</v>
      </c>
      <c r="P10681">
        <v>0</v>
      </c>
      <c r="Q10681">
        <v>1</v>
      </c>
      <c r="R10681" t="s">
        <v>44773</v>
      </c>
      <c r="S10681" t="s">
        <v>45184</v>
      </c>
      <c r="T10681" t="s">
        <v>46689</v>
      </c>
      <c r="U10681" t="s">
        <v>55768</v>
      </c>
      <c r="W10681" t="s">
        <v>44055</v>
      </c>
      <c r="X10681" t="s">
        <v>44774</v>
      </c>
    </row>
    <row r="10682" spans="1:24">
      <c r="A10682">
        <f>HYPERLINK("https://www.philgeps.gov.ph/GEPSNONPILOT/Tender/SplashBidNoticeAbstractUI.aspx?menuIndex=3&amp;refID=7130427&amp;Result=3","7130427")</f>
        <v>0</v>
      </c>
      <c r="B10682" t="s">
        <v>1822</v>
      </c>
      <c r="C10682" t="s">
        <v>13903</v>
      </c>
      <c r="D10682" t="s">
        <v>18033</v>
      </c>
      <c r="E10682" t="s">
        <v>27283</v>
      </c>
      <c r="F10682" t="s">
        <v>30900</v>
      </c>
      <c r="G10682" t="s">
        <v>30907</v>
      </c>
      <c r="H10682" t="s">
        <v>30915</v>
      </c>
      <c r="I10682" t="s">
        <v>30919</v>
      </c>
      <c r="J10682" t="s">
        <v>34345</v>
      </c>
      <c r="K10682" t="s">
        <v>40365</v>
      </c>
      <c r="M10682" t="s">
        <v>42495</v>
      </c>
      <c r="N10682" t="s">
        <v>44759</v>
      </c>
      <c r="O10682" t="s">
        <v>44760</v>
      </c>
      <c r="P10682">
        <v>0</v>
      </c>
      <c r="Q10682">
        <v>0</v>
      </c>
      <c r="R10682" t="s">
        <v>44773</v>
      </c>
      <c r="S10682" t="s">
        <v>45184</v>
      </c>
      <c r="T10682" t="s">
        <v>46418</v>
      </c>
      <c r="U10682" t="s">
        <v>55728</v>
      </c>
      <c r="V10682" t="s">
        <v>60304</v>
      </c>
      <c r="W10682" t="s">
        <v>42495</v>
      </c>
      <c r="X10682" t="s">
        <v>44774</v>
      </c>
    </row>
    <row r="10683" spans="1:24">
      <c r="A10683">
        <f>HYPERLINK("https://www.philgeps.gov.ph/GEPSNONPILOT/Tender/SplashBidNoticeAbstractUI.aspx?menuIndex=3&amp;refID=7130422&amp;Result=3","7130422")</f>
        <v>0</v>
      </c>
      <c r="B10683" t="s">
        <v>1724</v>
      </c>
      <c r="C10683" t="s">
        <v>13904</v>
      </c>
      <c r="D10683" t="s">
        <v>18016</v>
      </c>
      <c r="E10683" t="s">
        <v>27284</v>
      </c>
      <c r="F10683" t="s">
        <v>30900</v>
      </c>
      <c r="G10683" t="s">
        <v>30907</v>
      </c>
      <c r="H10683" t="s">
        <v>30916</v>
      </c>
      <c r="I10683" t="s">
        <v>30936</v>
      </c>
      <c r="J10683" t="s">
        <v>31907</v>
      </c>
      <c r="K10683" t="s">
        <v>40284</v>
      </c>
      <c r="M10683" t="s">
        <v>42697</v>
      </c>
      <c r="N10683" t="s">
        <v>44759</v>
      </c>
      <c r="O10683" t="s">
        <v>44760</v>
      </c>
      <c r="P10683">
        <v>0</v>
      </c>
      <c r="Q10683">
        <v>2</v>
      </c>
      <c r="R10683" t="s">
        <v>44773</v>
      </c>
      <c r="S10683" t="s">
        <v>45184</v>
      </c>
      <c r="T10683" t="s">
        <v>46495</v>
      </c>
      <c r="U10683" t="s">
        <v>51585</v>
      </c>
      <c r="V10683" t="s">
        <v>59709</v>
      </c>
      <c r="W10683" t="s">
        <v>60878</v>
      </c>
      <c r="X10683" t="s">
        <v>44774</v>
      </c>
    </row>
    <row r="10684" spans="1:24">
      <c r="A10684">
        <f>HYPERLINK("https://www.philgeps.gov.ph/GEPSNONPILOT/Tender/SplashBidNoticeAbstractUI.aspx?menuIndex=3&amp;refID=7130694&amp;Result=3","7130694")</f>
        <v>0</v>
      </c>
      <c r="B10684" t="s">
        <v>3236</v>
      </c>
      <c r="C10684" t="s">
        <v>13905</v>
      </c>
      <c r="D10684" t="s">
        <v>17978</v>
      </c>
      <c r="E10684" t="s">
        <v>21553</v>
      </c>
      <c r="F10684" t="s">
        <v>30899</v>
      </c>
      <c r="G10684" t="s">
        <v>30907</v>
      </c>
      <c r="H10684" t="s">
        <v>30916</v>
      </c>
      <c r="I10684" t="s">
        <v>8123</v>
      </c>
      <c r="J10684" t="s">
        <v>31049</v>
      </c>
      <c r="K10684" t="s">
        <v>40284</v>
      </c>
      <c r="M10684" t="s">
        <v>44078</v>
      </c>
      <c r="N10684" t="s">
        <v>44759</v>
      </c>
      <c r="O10684" t="s">
        <v>44760</v>
      </c>
      <c r="P10684">
        <v>0</v>
      </c>
      <c r="Q10684">
        <v>0</v>
      </c>
      <c r="R10684" t="s">
        <v>44773</v>
      </c>
      <c r="S10684" t="s">
        <v>45184</v>
      </c>
      <c r="T10684" t="s">
        <v>46414</v>
      </c>
      <c r="U10684" t="s">
        <v>55769</v>
      </c>
      <c r="V10684" t="s">
        <v>60305</v>
      </c>
      <c r="W10684" t="s">
        <v>44078</v>
      </c>
      <c r="X10684" t="s">
        <v>44774</v>
      </c>
    </row>
    <row r="10685" spans="1:24">
      <c r="A10685">
        <f>HYPERLINK("https://www.philgeps.gov.ph/GEPSNONPILOT/Tender/SplashBidNoticeAbstractUI.aspx?menuIndex=3&amp;refID=7129839&amp;Result=3","7129839")</f>
        <v>0</v>
      </c>
      <c r="B10685" t="s">
        <v>3212</v>
      </c>
      <c r="C10685" t="s">
        <v>13906</v>
      </c>
      <c r="D10685" t="s">
        <v>17985</v>
      </c>
      <c r="E10685" t="s">
        <v>27285</v>
      </c>
      <c r="F10685" t="s">
        <v>30900</v>
      </c>
      <c r="G10685" t="s">
        <v>30907</v>
      </c>
      <c r="H10685" t="s">
        <v>30916</v>
      </c>
      <c r="I10685" t="s">
        <v>7708</v>
      </c>
      <c r="J10685" t="s">
        <v>37694</v>
      </c>
      <c r="K10685" t="s">
        <v>40292</v>
      </c>
      <c r="M10685" t="s">
        <v>44051</v>
      </c>
      <c r="N10685" t="s">
        <v>44759</v>
      </c>
      <c r="O10685" t="s">
        <v>44760</v>
      </c>
      <c r="P10685">
        <v>0</v>
      </c>
      <c r="Q10685">
        <v>7</v>
      </c>
      <c r="R10685" t="s">
        <v>44773</v>
      </c>
      <c r="S10685" t="s">
        <v>45184</v>
      </c>
      <c r="T10685" t="s">
        <v>46370</v>
      </c>
      <c r="U10685" t="s">
        <v>55686</v>
      </c>
      <c r="W10685" t="s">
        <v>44051</v>
      </c>
      <c r="X10685" t="s">
        <v>44774</v>
      </c>
    </row>
    <row r="10686" spans="1:24">
      <c r="A10686">
        <f>HYPERLINK("https://www.philgeps.gov.ph/GEPSNONPILOT/Tender/SplashBidNoticeAbstractUI.aspx?menuIndex=3&amp;refID=7130669&amp;Result=3","7130669")</f>
        <v>0</v>
      </c>
      <c r="B10686" t="s">
        <v>540</v>
      </c>
      <c r="C10686" t="s">
        <v>13907</v>
      </c>
      <c r="D10686" t="s">
        <v>17980</v>
      </c>
      <c r="E10686" t="s">
        <v>27286</v>
      </c>
      <c r="F10686" t="s">
        <v>30900</v>
      </c>
      <c r="G10686" t="s">
        <v>30907</v>
      </c>
      <c r="H10686" t="s">
        <v>30916</v>
      </c>
      <c r="I10686" t="s">
        <v>31023</v>
      </c>
      <c r="J10686" t="s">
        <v>37695</v>
      </c>
      <c r="K10686" t="s">
        <v>40304</v>
      </c>
      <c r="M10686" t="s">
        <v>44079</v>
      </c>
      <c r="N10686" t="s">
        <v>44759</v>
      </c>
      <c r="O10686" t="s">
        <v>44760</v>
      </c>
      <c r="P10686">
        <v>0</v>
      </c>
      <c r="Q10686">
        <v>31</v>
      </c>
      <c r="R10686" t="s">
        <v>44773</v>
      </c>
      <c r="S10686" t="s">
        <v>45184</v>
      </c>
      <c r="T10686" t="s">
        <v>46357</v>
      </c>
      <c r="U10686" t="s">
        <v>55770</v>
      </c>
      <c r="W10686" t="s">
        <v>44079</v>
      </c>
      <c r="X10686" t="s">
        <v>44774</v>
      </c>
    </row>
    <row r="10687" spans="1:24">
      <c r="A10687">
        <f>HYPERLINK("https://www.philgeps.gov.ph/GEPSNONPILOT/Tender/SplashBidNoticeAbstractUI.aspx?menuIndex=3&amp;refID=7130659&amp;Result=3","7130659")</f>
        <v>0</v>
      </c>
      <c r="B10687" t="s">
        <v>3234</v>
      </c>
      <c r="C10687" t="s">
        <v>13908</v>
      </c>
      <c r="D10687" t="s">
        <v>17952</v>
      </c>
      <c r="E10687" t="s">
        <v>27287</v>
      </c>
      <c r="F10687" t="s">
        <v>30900</v>
      </c>
      <c r="G10687" t="s">
        <v>30907</v>
      </c>
      <c r="H10687" t="s">
        <v>30916</v>
      </c>
      <c r="I10687" t="s">
        <v>8123</v>
      </c>
      <c r="J10687" t="s">
        <v>31211</v>
      </c>
      <c r="K10687" t="s">
        <v>40284</v>
      </c>
      <c r="M10687" t="s">
        <v>44075</v>
      </c>
      <c r="N10687" t="s">
        <v>44759</v>
      </c>
      <c r="O10687" t="s">
        <v>44760</v>
      </c>
      <c r="P10687">
        <v>0</v>
      </c>
      <c r="Q10687">
        <v>3</v>
      </c>
      <c r="R10687" t="s">
        <v>44773</v>
      </c>
      <c r="S10687" t="s">
        <v>45184</v>
      </c>
      <c r="T10687" t="s">
        <v>46382</v>
      </c>
      <c r="U10687" t="s">
        <v>55771</v>
      </c>
      <c r="V10687" t="s">
        <v>60306</v>
      </c>
      <c r="W10687" t="s">
        <v>44075</v>
      </c>
      <c r="X10687" t="s">
        <v>44774</v>
      </c>
    </row>
    <row r="10688" spans="1:24">
      <c r="A10688">
        <f>HYPERLINK("https://www.philgeps.gov.ph/GEPSNONPILOT/Tender/SplashBidNoticeAbstractUI.aspx?menuIndex=3&amp;refID=7130639&amp;Result=3","7130639")</f>
        <v>0</v>
      </c>
      <c r="B10688" t="s">
        <v>3237</v>
      </c>
      <c r="C10688" t="s">
        <v>13909</v>
      </c>
      <c r="D10688" t="s">
        <v>18031</v>
      </c>
      <c r="E10688" t="s">
        <v>27288</v>
      </c>
      <c r="F10688" t="s">
        <v>30900</v>
      </c>
      <c r="G10688" t="s">
        <v>30907</v>
      </c>
      <c r="H10688" t="s">
        <v>30916</v>
      </c>
      <c r="I10688" t="s">
        <v>30919</v>
      </c>
      <c r="J10688" t="s">
        <v>31152</v>
      </c>
      <c r="K10688" t="s">
        <v>40283</v>
      </c>
      <c r="M10688" t="s">
        <v>44080</v>
      </c>
      <c r="N10688" t="s">
        <v>44759</v>
      </c>
      <c r="O10688" t="s">
        <v>44760</v>
      </c>
      <c r="P10688">
        <v>0</v>
      </c>
      <c r="Q10688">
        <v>0</v>
      </c>
      <c r="R10688" t="s">
        <v>44773</v>
      </c>
      <c r="S10688" t="s">
        <v>45184</v>
      </c>
      <c r="T10688" t="s">
        <v>46406</v>
      </c>
      <c r="U10688" t="s">
        <v>55772</v>
      </c>
      <c r="V10688" t="s">
        <v>60307</v>
      </c>
      <c r="W10688" t="s">
        <v>60923</v>
      </c>
      <c r="X10688" t="s">
        <v>44774</v>
      </c>
    </row>
    <row r="10689" spans="1:24">
      <c r="A10689">
        <f>HYPERLINK("https://www.philgeps.gov.ph/GEPSNONPILOT/Tender/SplashBidNoticeAbstractUI.aspx?menuIndex=3&amp;refID=7130633&amp;Result=3","7130633")</f>
        <v>0</v>
      </c>
      <c r="B10689" t="s">
        <v>2197</v>
      </c>
      <c r="C10689" t="s">
        <v>13910</v>
      </c>
      <c r="D10689" t="s">
        <v>17972</v>
      </c>
      <c r="E10689" t="s">
        <v>27289</v>
      </c>
      <c r="F10689" t="s">
        <v>30900</v>
      </c>
      <c r="G10689" t="s">
        <v>30907</v>
      </c>
      <c r="H10689" t="s">
        <v>30916</v>
      </c>
      <c r="I10689" t="s">
        <v>30927</v>
      </c>
      <c r="J10689" t="s">
        <v>37696</v>
      </c>
      <c r="K10689" t="s">
        <v>40280</v>
      </c>
      <c r="M10689" t="s">
        <v>42904</v>
      </c>
      <c r="N10689" t="s">
        <v>44759</v>
      </c>
      <c r="O10689" t="s">
        <v>44760</v>
      </c>
      <c r="P10689">
        <v>0</v>
      </c>
      <c r="Q10689">
        <v>0</v>
      </c>
      <c r="R10689" t="s">
        <v>44773</v>
      </c>
      <c r="S10689" t="s">
        <v>45184</v>
      </c>
      <c r="T10689" t="s">
        <v>46709</v>
      </c>
      <c r="U10689" t="s">
        <v>55773</v>
      </c>
      <c r="V10689" t="s">
        <v>60308</v>
      </c>
      <c r="W10689" t="s">
        <v>42904</v>
      </c>
      <c r="X10689" t="s">
        <v>44774</v>
      </c>
    </row>
    <row r="10690" spans="1:24">
      <c r="A10690">
        <f>HYPERLINK("https://www.philgeps.gov.ph/GEPSNONPILOT/Tender/SplashBidNoticeAbstractUI.aspx?menuIndex=3&amp;refID=7130705&amp;Result=3","7130705")</f>
        <v>0</v>
      </c>
      <c r="B10690" t="s">
        <v>3238</v>
      </c>
      <c r="C10690" t="s">
        <v>13911</v>
      </c>
      <c r="D10690" t="s">
        <v>17957</v>
      </c>
      <c r="E10690" t="s">
        <v>27290</v>
      </c>
      <c r="F10690" t="s">
        <v>30900</v>
      </c>
      <c r="G10690" t="s">
        <v>30907</v>
      </c>
      <c r="H10690" t="s">
        <v>30915</v>
      </c>
      <c r="I10690" t="s">
        <v>30919</v>
      </c>
      <c r="J10690" t="s">
        <v>37697</v>
      </c>
      <c r="K10690" t="s">
        <v>40395</v>
      </c>
      <c r="M10690" t="s">
        <v>44081</v>
      </c>
      <c r="N10690" t="s">
        <v>44759</v>
      </c>
      <c r="O10690" t="s">
        <v>44760</v>
      </c>
      <c r="P10690">
        <v>0</v>
      </c>
      <c r="Q10690">
        <v>2</v>
      </c>
      <c r="R10690" t="s">
        <v>44773</v>
      </c>
      <c r="S10690" t="s">
        <v>45184</v>
      </c>
      <c r="T10690" t="s">
        <v>46606</v>
      </c>
      <c r="U10690" t="s">
        <v>55774</v>
      </c>
      <c r="W10690" t="s">
        <v>44081</v>
      </c>
      <c r="X10690" t="s">
        <v>44774</v>
      </c>
    </row>
    <row r="10691" spans="1:24">
      <c r="A10691">
        <f>HYPERLINK("https://www.philgeps.gov.ph/GEPSNONPILOT/Tender/SplashBidNoticeAbstractUI.aspx?menuIndex=3&amp;refID=7130623&amp;Result=3","7130623")</f>
        <v>0</v>
      </c>
      <c r="B10691" t="s">
        <v>1276</v>
      </c>
      <c r="C10691" t="s">
        <v>13912</v>
      </c>
      <c r="D10691" t="s">
        <v>17962</v>
      </c>
      <c r="E10691" t="s">
        <v>27291</v>
      </c>
      <c r="F10691" t="s">
        <v>30900</v>
      </c>
      <c r="G10691" t="s">
        <v>30909</v>
      </c>
      <c r="H10691" t="s">
        <v>30916</v>
      </c>
      <c r="I10691" t="s">
        <v>30943</v>
      </c>
      <c r="J10691" t="s">
        <v>37698</v>
      </c>
      <c r="K10691" t="s">
        <v>40289</v>
      </c>
      <c r="M10691" t="s">
        <v>41892</v>
      </c>
      <c r="N10691" t="s">
        <v>44759</v>
      </c>
      <c r="O10691" t="s">
        <v>44760</v>
      </c>
      <c r="P10691">
        <v>0</v>
      </c>
      <c r="Q10691">
        <v>16</v>
      </c>
      <c r="R10691" t="s">
        <v>44773</v>
      </c>
      <c r="S10691" t="s">
        <v>45184</v>
      </c>
      <c r="T10691" t="s">
        <v>46662</v>
      </c>
      <c r="U10691" t="s">
        <v>55775</v>
      </c>
      <c r="W10691" t="s">
        <v>41892</v>
      </c>
      <c r="X10691" t="s">
        <v>44774</v>
      </c>
    </row>
    <row r="10692" spans="1:24">
      <c r="A10692">
        <f>HYPERLINK("https://www.philgeps.gov.ph/GEPSNONPILOT/Tender/SplashBidNoticeAbstractUI.aspx?menuIndex=3&amp;refID=7131027&amp;Result=3","7131027")</f>
        <v>0</v>
      </c>
      <c r="B10692" t="s">
        <v>3239</v>
      </c>
      <c r="C10692" t="s">
        <v>13913</v>
      </c>
      <c r="D10692" t="s">
        <v>17963</v>
      </c>
      <c r="E10692" t="s">
        <v>27292</v>
      </c>
      <c r="F10692" t="s">
        <v>30900</v>
      </c>
      <c r="G10692" t="s">
        <v>30907</v>
      </c>
      <c r="H10692" t="s">
        <v>30916</v>
      </c>
      <c r="I10692" t="s">
        <v>30927</v>
      </c>
      <c r="J10692" t="s">
        <v>31101</v>
      </c>
      <c r="K10692" t="s">
        <v>40289</v>
      </c>
      <c r="M10692" t="s">
        <v>44082</v>
      </c>
      <c r="N10692" t="s">
        <v>44759</v>
      </c>
      <c r="O10692" t="s">
        <v>44760</v>
      </c>
      <c r="P10692">
        <v>0</v>
      </c>
      <c r="Q10692">
        <v>0</v>
      </c>
      <c r="R10692" t="s">
        <v>44773</v>
      </c>
      <c r="S10692" t="s">
        <v>45184</v>
      </c>
      <c r="T10692" t="s">
        <v>46693</v>
      </c>
      <c r="U10692" t="s">
        <v>55776</v>
      </c>
      <c r="W10692" t="s">
        <v>44082</v>
      </c>
      <c r="X10692" t="s">
        <v>44774</v>
      </c>
    </row>
    <row r="10693" spans="1:24">
      <c r="A10693">
        <f>HYPERLINK("https://www.philgeps.gov.ph/GEPSNONPILOT/Tender/SplashBidNoticeAbstractUI.aspx?menuIndex=3&amp;refID=7130624&amp;Result=3","7130624")</f>
        <v>0</v>
      </c>
      <c r="B10693" t="s">
        <v>3240</v>
      </c>
      <c r="C10693" t="s">
        <v>13914</v>
      </c>
      <c r="D10693" t="s">
        <v>17993</v>
      </c>
      <c r="E10693" t="s">
        <v>25732</v>
      </c>
      <c r="F10693" t="s">
        <v>30900</v>
      </c>
      <c r="G10693" t="s">
        <v>30907</v>
      </c>
      <c r="H10693" t="s">
        <v>7411</v>
      </c>
      <c r="I10693" t="s">
        <v>30919</v>
      </c>
      <c r="J10693" t="s">
        <v>35229</v>
      </c>
      <c r="K10693" t="s">
        <v>40327</v>
      </c>
      <c r="M10693" t="s">
        <v>44083</v>
      </c>
      <c r="N10693" t="s">
        <v>44759</v>
      </c>
      <c r="O10693" t="s">
        <v>44760</v>
      </c>
      <c r="P10693">
        <v>0</v>
      </c>
      <c r="Q10693">
        <v>3</v>
      </c>
      <c r="R10693" t="s">
        <v>44773</v>
      </c>
      <c r="S10693" t="s">
        <v>45184</v>
      </c>
      <c r="T10693" t="s">
        <v>46410</v>
      </c>
      <c r="U10693" t="s">
        <v>55777</v>
      </c>
      <c r="V10693" t="s">
        <v>60309</v>
      </c>
      <c r="W10693" t="s">
        <v>60924</v>
      </c>
      <c r="X10693" t="s">
        <v>44774</v>
      </c>
    </row>
    <row r="10694" spans="1:24">
      <c r="A10694">
        <f>HYPERLINK("https://www.philgeps.gov.ph/GEPSNONPILOT/Tender/SplashBidNoticeAbstractUI.aspx?menuIndex=3&amp;refID=7131012&amp;Result=3","7131012")</f>
        <v>0</v>
      </c>
      <c r="B10694" t="s">
        <v>2717</v>
      </c>
      <c r="C10694" t="s">
        <v>13915</v>
      </c>
      <c r="D10694" t="s">
        <v>17973</v>
      </c>
      <c r="E10694" t="s">
        <v>27293</v>
      </c>
      <c r="F10694" t="s">
        <v>30900</v>
      </c>
      <c r="G10694" t="s">
        <v>30907</v>
      </c>
      <c r="H10694" t="s">
        <v>30915</v>
      </c>
      <c r="I10694" t="s">
        <v>30919</v>
      </c>
      <c r="J10694" t="s">
        <v>31157</v>
      </c>
      <c r="K10694" t="s">
        <v>40292</v>
      </c>
      <c r="M10694" t="s">
        <v>43492</v>
      </c>
      <c r="N10694" t="s">
        <v>44759</v>
      </c>
      <c r="O10694" t="s">
        <v>44760</v>
      </c>
      <c r="P10694">
        <v>0</v>
      </c>
      <c r="Q10694">
        <v>0</v>
      </c>
      <c r="R10694" t="s">
        <v>44773</v>
      </c>
      <c r="S10694" t="s">
        <v>45184</v>
      </c>
      <c r="T10694" t="s">
        <v>46366</v>
      </c>
      <c r="U10694" t="s">
        <v>55778</v>
      </c>
      <c r="W10694" t="s">
        <v>43492</v>
      </c>
      <c r="X10694" t="s">
        <v>44774</v>
      </c>
    </row>
    <row r="10695" spans="1:24">
      <c r="A10695">
        <f>HYPERLINK("https://www.philgeps.gov.ph/GEPSNONPILOT/Tender/SplashBidNoticeAbstractUI.aspx?menuIndex=3&amp;refID=7130670&amp;Result=3","7130670")</f>
        <v>0</v>
      </c>
      <c r="B10695" t="s">
        <v>1822</v>
      </c>
      <c r="C10695" t="s">
        <v>13916</v>
      </c>
      <c r="D10695" t="s">
        <v>18033</v>
      </c>
      <c r="E10695" t="s">
        <v>27294</v>
      </c>
      <c r="F10695" t="s">
        <v>30900</v>
      </c>
      <c r="G10695" t="s">
        <v>30907</v>
      </c>
      <c r="H10695" t="s">
        <v>30915</v>
      </c>
      <c r="I10695" t="s">
        <v>30919</v>
      </c>
      <c r="J10695" t="s">
        <v>37699</v>
      </c>
      <c r="K10695" t="s">
        <v>40301</v>
      </c>
      <c r="M10695" t="s">
        <v>42495</v>
      </c>
      <c r="N10695" t="s">
        <v>44759</v>
      </c>
      <c r="O10695" t="s">
        <v>44760</v>
      </c>
      <c r="P10695">
        <v>0</v>
      </c>
      <c r="Q10695">
        <v>0</v>
      </c>
      <c r="R10695" t="s">
        <v>44773</v>
      </c>
      <c r="S10695" t="s">
        <v>45184</v>
      </c>
      <c r="T10695" t="s">
        <v>46418</v>
      </c>
      <c r="U10695" t="s">
        <v>55728</v>
      </c>
      <c r="V10695" t="s">
        <v>60310</v>
      </c>
      <c r="W10695" t="s">
        <v>42495</v>
      </c>
      <c r="X10695" t="s">
        <v>44774</v>
      </c>
    </row>
    <row r="10696" spans="1:24">
      <c r="A10696">
        <f>HYPERLINK("https://www.philgeps.gov.ph/GEPSNONPILOT/Tender/SplashBidNoticeAbstractUI.aspx?menuIndex=3&amp;refID=7130632&amp;Result=3","7130632")</f>
        <v>0</v>
      </c>
      <c r="B10696" t="s">
        <v>1822</v>
      </c>
      <c r="C10696" t="s">
        <v>13917</v>
      </c>
      <c r="D10696" t="s">
        <v>18033</v>
      </c>
      <c r="E10696" t="s">
        <v>27295</v>
      </c>
      <c r="F10696" t="s">
        <v>30900</v>
      </c>
      <c r="G10696" t="s">
        <v>30907</v>
      </c>
      <c r="H10696" t="s">
        <v>30915</v>
      </c>
      <c r="I10696" t="s">
        <v>30919</v>
      </c>
      <c r="J10696" t="s">
        <v>31157</v>
      </c>
      <c r="K10696" t="s">
        <v>40498</v>
      </c>
      <c r="M10696" t="s">
        <v>42495</v>
      </c>
      <c r="N10696" t="s">
        <v>44759</v>
      </c>
      <c r="O10696" t="s">
        <v>44760</v>
      </c>
      <c r="P10696">
        <v>0</v>
      </c>
      <c r="Q10696">
        <v>0</v>
      </c>
      <c r="R10696" t="s">
        <v>44773</v>
      </c>
      <c r="S10696" t="s">
        <v>45184</v>
      </c>
      <c r="T10696" t="s">
        <v>46418</v>
      </c>
      <c r="U10696" t="s">
        <v>55728</v>
      </c>
      <c r="V10696" t="s">
        <v>60311</v>
      </c>
      <c r="W10696" t="s">
        <v>42495</v>
      </c>
      <c r="X10696" t="s">
        <v>44774</v>
      </c>
    </row>
    <row r="10697" spans="1:24">
      <c r="A10697">
        <f>HYPERLINK("https://www.philgeps.gov.ph/GEPSNONPILOT/Tender/SplashBidNoticeAbstractUI.aspx?menuIndex=3&amp;refID=7130344&amp;Result=3","7130344")</f>
        <v>0</v>
      </c>
      <c r="B10697" t="s">
        <v>3227</v>
      </c>
      <c r="C10697" t="s">
        <v>13918</v>
      </c>
      <c r="D10697" t="s">
        <v>17965</v>
      </c>
      <c r="E10697" t="s">
        <v>27296</v>
      </c>
      <c r="F10697" t="s">
        <v>30900</v>
      </c>
      <c r="G10697" t="s">
        <v>30907</v>
      </c>
      <c r="H10697" t="s">
        <v>30915</v>
      </c>
      <c r="I10697" t="s">
        <v>30919</v>
      </c>
      <c r="J10697" t="s">
        <v>31407</v>
      </c>
      <c r="K10697" t="s">
        <v>40309</v>
      </c>
      <c r="M10697" t="s">
        <v>44066</v>
      </c>
      <c r="N10697" t="s">
        <v>44759</v>
      </c>
      <c r="O10697" t="s">
        <v>44760</v>
      </c>
      <c r="P10697">
        <v>0</v>
      </c>
      <c r="Q10697">
        <v>0</v>
      </c>
      <c r="R10697" t="s">
        <v>44773</v>
      </c>
      <c r="S10697" t="s">
        <v>45184</v>
      </c>
      <c r="T10697" t="s">
        <v>46418</v>
      </c>
      <c r="U10697" t="s">
        <v>55720</v>
      </c>
      <c r="W10697" t="s">
        <v>44066</v>
      </c>
      <c r="X10697" t="s">
        <v>44774</v>
      </c>
    </row>
    <row r="10698" spans="1:24">
      <c r="A10698">
        <f>HYPERLINK("https://www.philgeps.gov.ph/GEPSNONPILOT/Tender/SplashBidNoticeAbstractUI.aspx?menuIndex=3&amp;refID=7130964&amp;Result=3","7130964")</f>
        <v>0</v>
      </c>
      <c r="B10698" t="s">
        <v>1578</v>
      </c>
      <c r="C10698" t="s">
        <v>13919</v>
      </c>
      <c r="D10698" t="s">
        <v>17957</v>
      </c>
      <c r="E10698" t="s">
        <v>27297</v>
      </c>
      <c r="F10698" t="s">
        <v>30900</v>
      </c>
      <c r="G10698" t="s">
        <v>30907</v>
      </c>
      <c r="H10698" t="s">
        <v>30915</v>
      </c>
      <c r="I10698" t="s">
        <v>30919</v>
      </c>
      <c r="J10698" t="s">
        <v>37700</v>
      </c>
      <c r="K10698" t="s">
        <v>40304</v>
      </c>
      <c r="M10698" t="s">
        <v>42225</v>
      </c>
      <c r="N10698" t="s">
        <v>44759</v>
      </c>
      <c r="O10698" t="s">
        <v>44760</v>
      </c>
      <c r="P10698">
        <v>0</v>
      </c>
      <c r="Q10698">
        <v>0</v>
      </c>
      <c r="R10698" t="s">
        <v>44773</v>
      </c>
      <c r="S10698" t="s">
        <v>45184</v>
      </c>
      <c r="T10698" t="s">
        <v>46369</v>
      </c>
      <c r="U10698" t="s">
        <v>55779</v>
      </c>
      <c r="W10698" t="s">
        <v>42225</v>
      </c>
      <c r="X10698" t="s">
        <v>44774</v>
      </c>
    </row>
    <row r="10699" spans="1:24">
      <c r="A10699">
        <f>HYPERLINK("https://www.philgeps.gov.ph/GEPSNONPILOT/Tender/SplashBidNoticeAbstractUI.aspx?menuIndex=3&amp;refID=7130946&amp;Result=3","7130946")</f>
        <v>0</v>
      </c>
      <c r="B10699" t="s">
        <v>3241</v>
      </c>
      <c r="C10699" t="s">
        <v>13920</v>
      </c>
      <c r="D10699" t="s">
        <v>17986</v>
      </c>
      <c r="E10699" t="s">
        <v>27298</v>
      </c>
      <c r="F10699" t="s">
        <v>30900</v>
      </c>
      <c r="G10699" t="s">
        <v>30907</v>
      </c>
      <c r="H10699" t="s">
        <v>30915</v>
      </c>
      <c r="I10699" t="s">
        <v>30919</v>
      </c>
      <c r="J10699" t="s">
        <v>37105</v>
      </c>
      <c r="K10699" t="s">
        <v>40473</v>
      </c>
      <c r="M10699" t="s">
        <v>44084</v>
      </c>
      <c r="N10699" t="s">
        <v>44759</v>
      </c>
      <c r="O10699" t="s">
        <v>44760</v>
      </c>
      <c r="P10699">
        <v>0</v>
      </c>
      <c r="Q10699">
        <v>0</v>
      </c>
      <c r="R10699" t="s">
        <v>44773</v>
      </c>
      <c r="S10699" t="s">
        <v>45184</v>
      </c>
      <c r="T10699" t="s">
        <v>46429</v>
      </c>
      <c r="U10699" t="s">
        <v>55780</v>
      </c>
      <c r="W10699" t="s">
        <v>44084</v>
      </c>
      <c r="X10699" t="s">
        <v>44774</v>
      </c>
    </row>
    <row r="10700" spans="1:24">
      <c r="A10700">
        <f>HYPERLINK("https://www.philgeps.gov.ph/GEPSNONPILOT/Tender/SplashBidNoticeAbstractUI.aspx?menuIndex=3&amp;refID=7130676&amp;Result=3","7130676")</f>
        <v>0</v>
      </c>
      <c r="B10700" t="s">
        <v>1250</v>
      </c>
      <c r="C10700" t="s">
        <v>13921</v>
      </c>
      <c r="D10700" t="s">
        <v>17953</v>
      </c>
      <c r="E10700" t="s">
        <v>27299</v>
      </c>
      <c r="F10700" t="s">
        <v>30900</v>
      </c>
      <c r="G10700" t="s">
        <v>30907</v>
      </c>
      <c r="H10700" t="s">
        <v>30916</v>
      </c>
      <c r="I10700" t="s">
        <v>30982</v>
      </c>
      <c r="J10700" t="s">
        <v>34528</v>
      </c>
      <c r="K10700" t="s">
        <v>40286</v>
      </c>
      <c r="M10700" t="s">
        <v>41862</v>
      </c>
      <c r="N10700" t="s">
        <v>44759</v>
      </c>
      <c r="O10700" t="s">
        <v>44760</v>
      </c>
      <c r="P10700">
        <v>0</v>
      </c>
      <c r="Q10700">
        <v>2</v>
      </c>
      <c r="R10700" t="s">
        <v>44773</v>
      </c>
      <c r="S10700" t="s">
        <v>45184</v>
      </c>
      <c r="T10700" t="s">
        <v>46658</v>
      </c>
      <c r="U10700" t="s">
        <v>55781</v>
      </c>
      <c r="W10700" t="s">
        <v>41862</v>
      </c>
      <c r="X10700" t="s">
        <v>44774</v>
      </c>
    </row>
    <row r="10701" spans="1:24">
      <c r="A10701">
        <f>HYPERLINK("https://www.philgeps.gov.ph/GEPSNONPILOT/Tender/SplashBidNoticeAbstractUI.aspx?menuIndex=3&amp;refID=7130970&amp;Result=3","7130970")</f>
        <v>0</v>
      </c>
      <c r="B10701" t="s">
        <v>3241</v>
      </c>
      <c r="C10701" t="s">
        <v>13922</v>
      </c>
      <c r="D10701" t="s">
        <v>17986</v>
      </c>
      <c r="E10701" t="s">
        <v>27300</v>
      </c>
      <c r="F10701" t="s">
        <v>30900</v>
      </c>
      <c r="G10701" t="s">
        <v>30907</v>
      </c>
      <c r="H10701" t="s">
        <v>30915</v>
      </c>
      <c r="I10701" t="s">
        <v>30919</v>
      </c>
      <c r="J10701" t="s">
        <v>37701</v>
      </c>
      <c r="K10701" t="s">
        <v>40499</v>
      </c>
      <c r="M10701" t="s">
        <v>44084</v>
      </c>
      <c r="N10701" t="s">
        <v>44759</v>
      </c>
      <c r="O10701" t="s">
        <v>44760</v>
      </c>
      <c r="P10701">
        <v>0</v>
      </c>
      <c r="Q10701">
        <v>0</v>
      </c>
      <c r="R10701" t="s">
        <v>44773</v>
      </c>
      <c r="S10701" t="s">
        <v>45184</v>
      </c>
      <c r="T10701" t="s">
        <v>46429</v>
      </c>
      <c r="U10701" t="s">
        <v>55782</v>
      </c>
      <c r="W10701" t="s">
        <v>44084</v>
      </c>
      <c r="X10701" t="s">
        <v>44774</v>
      </c>
    </row>
    <row r="10702" spans="1:24">
      <c r="A10702">
        <f>HYPERLINK("https://www.philgeps.gov.ph/GEPSNONPILOT/Tender/SplashBidNoticeAbstractUI.aspx?menuIndex=3&amp;refID=7130966&amp;Result=3","7130966")</f>
        <v>0</v>
      </c>
      <c r="B10702" t="s">
        <v>3242</v>
      </c>
      <c r="C10702" t="s">
        <v>13923</v>
      </c>
      <c r="D10702" t="s">
        <v>17989</v>
      </c>
      <c r="E10702" t="s">
        <v>27301</v>
      </c>
      <c r="F10702" t="s">
        <v>30899</v>
      </c>
      <c r="G10702" t="s">
        <v>30907</v>
      </c>
      <c r="H10702" t="s">
        <v>30916</v>
      </c>
      <c r="I10702" t="s">
        <v>8123</v>
      </c>
      <c r="J10702" t="s">
        <v>37702</v>
      </c>
      <c r="K10702" t="s">
        <v>40291</v>
      </c>
      <c r="M10702" t="s">
        <v>44085</v>
      </c>
      <c r="N10702" t="s">
        <v>44759</v>
      </c>
      <c r="O10702" t="s">
        <v>44760</v>
      </c>
      <c r="P10702">
        <v>0</v>
      </c>
      <c r="Q10702">
        <v>0</v>
      </c>
      <c r="R10702" t="s">
        <v>44773</v>
      </c>
      <c r="S10702" t="s">
        <v>45184</v>
      </c>
      <c r="T10702" t="s">
        <v>46414</v>
      </c>
      <c r="U10702" t="s">
        <v>55783</v>
      </c>
      <c r="W10702" t="s">
        <v>44085</v>
      </c>
      <c r="X10702" t="s">
        <v>44774</v>
      </c>
    </row>
    <row r="10703" spans="1:24">
      <c r="A10703">
        <f>HYPERLINK("https://www.philgeps.gov.ph/GEPSNONPILOT/Tender/SplashBidNoticeAbstractUI.aspx?menuIndex=3&amp;refID=7130846&amp;Result=3","7130846")</f>
        <v>0</v>
      </c>
      <c r="B10703" t="s">
        <v>1957</v>
      </c>
      <c r="C10703" t="s">
        <v>13924</v>
      </c>
      <c r="D10703" t="s">
        <v>17994</v>
      </c>
      <c r="E10703" t="s">
        <v>20905</v>
      </c>
      <c r="F10703" t="s">
        <v>30900</v>
      </c>
      <c r="G10703" t="s">
        <v>30907</v>
      </c>
      <c r="H10703" t="s">
        <v>30916</v>
      </c>
      <c r="I10703" t="s">
        <v>4545</v>
      </c>
      <c r="J10703" t="s">
        <v>31847</v>
      </c>
      <c r="K10703" t="s">
        <v>40283</v>
      </c>
      <c r="M10703" t="s">
        <v>42641</v>
      </c>
      <c r="N10703" t="s">
        <v>44759</v>
      </c>
      <c r="O10703" t="s">
        <v>44760</v>
      </c>
      <c r="P10703">
        <v>0</v>
      </c>
      <c r="Q10703">
        <v>4</v>
      </c>
      <c r="R10703" t="s">
        <v>44773</v>
      </c>
      <c r="S10703" t="s">
        <v>45184</v>
      </c>
      <c r="T10703" t="s">
        <v>46443</v>
      </c>
      <c r="U10703" t="s">
        <v>51461</v>
      </c>
      <c r="W10703" t="s">
        <v>42641</v>
      </c>
      <c r="X10703" t="s">
        <v>44774</v>
      </c>
    </row>
    <row r="10704" spans="1:24">
      <c r="A10704">
        <f>HYPERLINK("https://www.philgeps.gov.ph/GEPSNONPILOT/Tender/SplashBidNoticeAbstractUI.aspx?menuIndex=3&amp;refID=7130961&amp;Result=3","7130961")</f>
        <v>0</v>
      </c>
      <c r="B10704" t="s">
        <v>3243</v>
      </c>
      <c r="C10704" t="s">
        <v>13925</v>
      </c>
      <c r="D10704" t="s">
        <v>17975</v>
      </c>
      <c r="E10704" t="s">
        <v>18435</v>
      </c>
      <c r="F10704" t="s">
        <v>30900</v>
      </c>
      <c r="G10704" t="s">
        <v>30907</v>
      </c>
      <c r="H10704" t="s">
        <v>30916</v>
      </c>
      <c r="I10704" t="s">
        <v>8123</v>
      </c>
      <c r="J10704" t="s">
        <v>37703</v>
      </c>
      <c r="K10704" t="s">
        <v>40284</v>
      </c>
      <c r="M10704" t="s">
        <v>44086</v>
      </c>
      <c r="N10704" t="s">
        <v>44759</v>
      </c>
      <c r="O10704" t="s">
        <v>44760</v>
      </c>
      <c r="P10704">
        <v>0</v>
      </c>
      <c r="Q10704">
        <v>0</v>
      </c>
      <c r="R10704" t="s">
        <v>44773</v>
      </c>
      <c r="S10704" t="s">
        <v>45184</v>
      </c>
      <c r="T10704" t="s">
        <v>46352</v>
      </c>
      <c r="U10704" t="s">
        <v>55784</v>
      </c>
      <c r="W10704" t="s">
        <v>44086</v>
      </c>
      <c r="X10704" t="s">
        <v>44774</v>
      </c>
    </row>
    <row r="10705" spans="1:24">
      <c r="A10705">
        <f>HYPERLINK("https://www.philgeps.gov.ph/GEPSNONPILOT/Tender/SplashBidNoticeAbstractUI.aspx?menuIndex=3&amp;refID=7131130&amp;Result=3","7131130")</f>
        <v>0</v>
      </c>
      <c r="B10705" t="s">
        <v>2994</v>
      </c>
      <c r="C10705" t="s">
        <v>13926</v>
      </c>
      <c r="D10705" t="s">
        <v>17961</v>
      </c>
      <c r="E10705" t="s">
        <v>23958</v>
      </c>
      <c r="F10705" t="s">
        <v>30900</v>
      </c>
      <c r="G10705" t="s">
        <v>30907</v>
      </c>
      <c r="H10705" t="s">
        <v>30915</v>
      </c>
      <c r="I10705" t="s">
        <v>30922</v>
      </c>
      <c r="J10705" t="s">
        <v>31158</v>
      </c>
      <c r="K10705" t="s">
        <v>40301</v>
      </c>
      <c r="M10705" t="s">
        <v>43797</v>
      </c>
      <c r="N10705" t="s">
        <v>44759</v>
      </c>
      <c r="O10705" t="s">
        <v>44760</v>
      </c>
      <c r="P10705">
        <v>0</v>
      </c>
      <c r="Q10705">
        <v>3</v>
      </c>
      <c r="R10705" t="s">
        <v>44773</v>
      </c>
      <c r="S10705" t="s">
        <v>45184</v>
      </c>
      <c r="T10705" t="s">
        <v>46504</v>
      </c>
      <c r="U10705" t="s">
        <v>55785</v>
      </c>
      <c r="V10705" t="s">
        <v>60155</v>
      </c>
      <c r="W10705" t="s">
        <v>43797</v>
      </c>
      <c r="X10705" t="s">
        <v>44774</v>
      </c>
    </row>
    <row r="10706" spans="1:24">
      <c r="A10706">
        <f>HYPERLINK("https://www.philgeps.gov.ph/GEPSNONPILOT/Tender/SplashBidNoticeAbstractUI.aspx?menuIndex=3&amp;refID=7130987&amp;Result=3","7130987")</f>
        <v>0</v>
      </c>
      <c r="B10706" t="s">
        <v>1516</v>
      </c>
      <c r="C10706" t="s">
        <v>13927</v>
      </c>
      <c r="D10706" t="s">
        <v>18033</v>
      </c>
      <c r="E10706" t="s">
        <v>27302</v>
      </c>
      <c r="F10706" t="s">
        <v>30900</v>
      </c>
      <c r="G10706" t="s">
        <v>30907</v>
      </c>
      <c r="H10706" t="s">
        <v>30916</v>
      </c>
      <c r="I10706" t="s">
        <v>30919</v>
      </c>
      <c r="J10706" t="s">
        <v>37704</v>
      </c>
      <c r="K10706" t="s">
        <v>40500</v>
      </c>
      <c r="M10706" t="s">
        <v>43062</v>
      </c>
      <c r="N10706" t="s">
        <v>44759</v>
      </c>
      <c r="O10706" t="s">
        <v>44760</v>
      </c>
      <c r="Q10706">
        <v>1</v>
      </c>
      <c r="R10706" t="s">
        <v>44773</v>
      </c>
      <c r="S10706" t="s">
        <v>45201</v>
      </c>
      <c r="T10706" t="s">
        <v>46411</v>
      </c>
      <c r="U10706" t="s">
        <v>55470</v>
      </c>
      <c r="W10706" t="s">
        <v>43062</v>
      </c>
      <c r="X10706" t="s">
        <v>44774</v>
      </c>
    </row>
    <row r="10707" spans="1:24">
      <c r="A10707">
        <f>HYPERLINK("https://www.philgeps.gov.ph/GEPSNONPILOT/Tender/SplashBidNoticeAbstractUI.aspx?menuIndex=3&amp;refID=7130895&amp;Result=3","7130895")</f>
        <v>0</v>
      </c>
      <c r="B10707" t="s">
        <v>666</v>
      </c>
      <c r="C10707" t="s">
        <v>13928</v>
      </c>
      <c r="D10707" t="s">
        <v>17973</v>
      </c>
      <c r="E10707" t="s">
        <v>27303</v>
      </c>
      <c r="F10707" t="s">
        <v>30900</v>
      </c>
      <c r="G10707" t="s">
        <v>30907</v>
      </c>
      <c r="H10707" t="s">
        <v>30916</v>
      </c>
      <c r="I10707" t="s">
        <v>30929</v>
      </c>
      <c r="J10707" t="s">
        <v>37705</v>
      </c>
      <c r="K10707" t="s">
        <v>40289</v>
      </c>
      <c r="M10707" t="s">
        <v>41229</v>
      </c>
      <c r="N10707" t="s">
        <v>44759</v>
      </c>
      <c r="O10707" t="s">
        <v>44760</v>
      </c>
      <c r="P10707">
        <v>0</v>
      </c>
      <c r="Q10707">
        <v>47</v>
      </c>
      <c r="R10707" t="s">
        <v>44773</v>
      </c>
      <c r="S10707" t="s">
        <v>45184</v>
      </c>
      <c r="T10707" t="s">
        <v>46411</v>
      </c>
      <c r="U10707" t="s">
        <v>55786</v>
      </c>
      <c r="W10707" t="s">
        <v>41229</v>
      </c>
      <c r="X10707" t="s">
        <v>44774</v>
      </c>
    </row>
    <row r="10708" spans="1:24">
      <c r="A10708">
        <f>HYPERLINK("https://www.philgeps.gov.ph/GEPSNONPILOT/Tender/SplashBidNoticeAbstractUI.aspx?menuIndex=3&amp;refID=7130484&amp;Result=3","7130484")</f>
        <v>0</v>
      </c>
      <c r="B10708" t="s">
        <v>3237</v>
      </c>
      <c r="C10708" t="s">
        <v>13929</v>
      </c>
      <c r="D10708" t="s">
        <v>18031</v>
      </c>
      <c r="E10708" t="s">
        <v>27304</v>
      </c>
      <c r="F10708" t="s">
        <v>30900</v>
      </c>
      <c r="G10708" t="s">
        <v>30907</v>
      </c>
      <c r="H10708" t="s">
        <v>30915</v>
      </c>
      <c r="I10708" t="s">
        <v>30919</v>
      </c>
      <c r="J10708" t="s">
        <v>31241</v>
      </c>
      <c r="K10708" t="s">
        <v>40304</v>
      </c>
      <c r="M10708" t="s">
        <v>44080</v>
      </c>
      <c r="N10708" t="s">
        <v>44759</v>
      </c>
      <c r="O10708" t="s">
        <v>44760</v>
      </c>
      <c r="P10708">
        <v>0</v>
      </c>
      <c r="Q10708">
        <v>0</v>
      </c>
      <c r="R10708" t="s">
        <v>44773</v>
      </c>
      <c r="S10708" t="s">
        <v>45184</v>
      </c>
      <c r="T10708" t="s">
        <v>46406</v>
      </c>
      <c r="U10708" t="s">
        <v>55787</v>
      </c>
      <c r="V10708" t="s">
        <v>60312</v>
      </c>
      <c r="W10708" t="s">
        <v>60923</v>
      </c>
      <c r="X10708" t="s">
        <v>44774</v>
      </c>
    </row>
    <row r="10709" spans="1:24">
      <c r="A10709">
        <f>HYPERLINK("https://www.philgeps.gov.ph/GEPSNONPILOT/Tender/SplashBidNoticeAbstractUI.aspx?menuIndex=3&amp;refID=7131126&amp;Result=3","7131126")</f>
        <v>0</v>
      </c>
      <c r="B10709" t="s">
        <v>3244</v>
      </c>
      <c r="C10709" t="s">
        <v>13930</v>
      </c>
      <c r="D10709" t="s">
        <v>17961</v>
      </c>
      <c r="E10709" t="s">
        <v>27305</v>
      </c>
      <c r="F10709" t="s">
        <v>30900</v>
      </c>
      <c r="G10709" t="s">
        <v>30907</v>
      </c>
      <c r="H10709" t="s">
        <v>30915</v>
      </c>
      <c r="I10709" t="s">
        <v>30919</v>
      </c>
      <c r="J10709" t="s">
        <v>31214</v>
      </c>
      <c r="K10709" t="s">
        <v>40292</v>
      </c>
      <c r="M10709" t="s">
        <v>44087</v>
      </c>
      <c r="N10709" t="s">
        <v>44759</v>
      </c>
      <c r="O10709" t="s">
        <v>44760</v>
      </c>
      <c r="Q10709">
        <v>0</v>
      </c>
      <c r="R10709" t="s">
        <v>44773</v>
      </c>
      <c r="S10709" t="s">
        <v>45202</v>
      </c>
      <c r="T10709" t="s">
        <v>46488</v>
      </c>
      <c r="U10709" t="s">
        <v>55788</v>
      </c>
      <c r="W10709" t="s">
        <v>44087</v>
      </c>
      <c r="X10709" t="s">
        <v>44774</v>
      </c>
    </row>
    <row r="10710" spans="1:24">
      <c r="A10710">
        <f>HYPERLINK("https://www.philgeps.gov.ph/GEPSNONPILOT/Tender/SplashBidNoticeAbstractUI.aspx?menuIndex=3&amp;refID=7131127&amp;Result=3","7131127")</f>
        <v>0</v>
      </c>
      <c r="B10710" t="s">
        <v>3212</v>
      </c>
      <c r="C10710" t="s">
        <v>13931</v>
      </c>
      <c r="D10710" t="s">
        <v>17985</v>
      </c>
      <c r="E10710" t="s">
        <v>27306</v>
      </c>
      <c r="F10710" t="s">
        <v>30900</v>
      </c>
      <c r="G10710" t="s">
        <v>30907</v>
      </c>
      <c r="H10710" t="s">
        <v>30916</v>
      </c>
      <c r="I10710" t="s">
        <v>7708</v>
      </c>
      <c r="J10710" t="s">
        <v>37706</v>
      </c>
      <c r="K10710" t="s">
        <v>40292</v>
      </c>
      <c r="M10710" t="s">
        <v>44088</v>
      </c>
      <c r="N10710" t="s">
        <v>44759</v>
      </c>
      <c r="O10710" t="s">
        <v>44760</v>
      </c>
      <c r="P10710">
        <v>0</v>
      </c>
      <c r="Q10710">
        <v>6</v>
      </c>
      <c r="R10710" t="s">
        <v>44773</v>
      </c>
      <c r="S10710" t="s">
        <v>45184</v>
      </c>
      <c r="T10710" t="s">
        <v>46370</v>
      </c>
      <c r="U10710" t="s">
        <v>55789</v>
      </c>
      <c r="W10710" t="s">
        <v>44088</v>
      </c>
      <c r="X10710" t="s">
        <v>44774</v>
      </c>
    </row>
    <row r="10711" spans="1:24">
      <c r="A10711">
        <f>HYPERLINK("https://www.philgeps.gov.ph/GEPSNONPILOT/Tender/SplashBidNoticeAbstractUI.aspx?menuIndex=3&amp;refID=7131111&amp;Result=3","7131111")</f>
        <v>0</v>
      </c>
      <c r="B10711" t="s">
        <v>574</v>
      </c>
      <c r="C10711" t="s">
        <v>13932</v>
      </c>
      <c r="D10711" t="s">
        <v>17951</v>
      </c>
      <c r="E10711" t="s">
        <v>27307</v>
      </c>
      <c r="F10711" t="s">
        <v>30900</v>
      </c>
      <c r="G10711" t="s">
        <v>30907</v>
      </c>
      <c r="H10711" t="s">
        <v>30916</v>
      </c>
      <c r="I10711" t="s">
        <v>30927</v>
      </c>
      <c r="J10711" t="s">
        <v>37707</v>
      </c>
      <c r="K10711" t="s">
        <v>40284</v>
      </c>
      <c r="M10711" t="s">
        <v>44089</v>
      </c>
      <c r="N10711" t="s">
        <v>44759</v>
      </c>
      <c r="O10711" t="s">
        <v>44760</v>
      </c>
      <c r="P10711">
        <v>0</v>
      </c>
      <c r="Q10711">
        <v>0</v>
      </c>
      <c r="R10711" t="s">
        <v>44773</v>
      </c>
      <c r="S10711" t="s">
        <v>45184</v>
      </c>
      <c r="T10711" t="s">
        <v>46641</v>
      </c>
      <c r="U10711" t="s">
        <v>55790</v>
      </c>
      <c r="W10711" t="s">
        <v>41135</v>
      </c>
      <c r="X10711" t="s">
        <v>44774</v>
      </c>
    </row>
    <row r="10712" spans="1:24">
      <c r="A10712">
        <f>HYPERLINK("https://www.philgeps.gov.ph/GEPSNONPILOT/Tender/SplashBidNoticeAbstractUI.aspx?menuIndex=3&amp;refID=7131114&amp;Result=3","7131114")</f>
        <v>0</v>
      </c>
      <c r="B10712" t="s">
        <v>2717</v>
      </c>
      <c r="C10712" t="s">
        <v>13933</v>
      </c>
      <c r="D10712" t="s">
        <v>17973</v>
      </c>
      <c r="E10712" t="s">
        <v>27308</v>
      </c>
      <c r="F10712" t="s">
        <v>30900</v>
      </c>
      <c r="G10712" t="s">
        <v>30907</v>
      </c>
      <c r="H10712" t="s">
        <v>30915</v>
      </c>
      <c r="I10712" t="s">
        <v>30919</v>
      </c>
      <c r="J10712" t="s">
        <v>31152</v>
      </c>
      <c r="K10712" t="s">
        <v>40280</v>
      </c>
      <c r="M10712" t="s">
        <v>43492</v>
      </c>
      <c r="N10712" t="s">
        <v>44759</v>
      </c>
      <c r="O10712" t="s">
        <v>44760</v>
      </c>
      <c r="P10712">
        <v>0</v>
      </c>
      <c r="Q10712">
        <v>0</v>
      </c>
      <c r="R10712" t="s">
        <v>44773</v>
      </c>
      <c r="S10712" t="s">
        <v>45184</v>
      </c>
      <c r="T10712" t="s">
        <v>46366</v>
      </c>
      <c r="U10712" t="s">
        <v>55791</v>
      </c>
      <c r="W10712" t="s">
        <v>43492</v>
      </c>
      <c r="X10712" t="s">
        <v>44774</v>
      </c>
    </row>
    <row r="10713" spans="1:24">
      <c r="A10713">
        <f>HYPERLINK("https://www.philgeps.gov.ph/GEPSNONPILOT/Tender/SplashBidNoticeAbstractUI.aspx?menuIndex=3&amp;refID=7131110&amp;Result=3","7131110")</f>
        <v>0</v>
      </c>
      <c r="B10713" t="s">
        <v>317</v>
      </c>
      <c r="C10713" t="s">
        <v>13934</v>
      </c>
      <c r="D10713" t="s">
        <v>17952</v>
      </c>
      <c r="E10713" t="s">
        <v>27309</v>
      </c>
      <c r="F10713" t="s">
        <v>30900</v>
      </c>
      <c r="G10713" t="s">
        <v>30907</v>
      </c>
      <c r="H10713" t="s">
        <v>30916</v>
      </c>
      <c r="I10713" t="s">
        <v>4545</v>
      </c>
      <c r="J10713" t="s">
        <v>37708</v>
      </c>
      <c r="K10713" t="s">
        <v>40284</v>
      </c>
      <c r="M10713" t="s">
        <v>40868</v>
      </c>
      <c r="N10713" t="s">
        <v>44759</v>
      </c>
      <c r="O10713" t="s">
        <v>44760</v>
      </c>
      <c r="P10713">
        <v>0</v>
      </c>
      <c r="Q10713">
        <v>7</v>
      </c>
      <c r="R10713" t="s">
        <v>44773</v>
      </c>
      <c r="S10713" t="s">
        <v>45184</v>
      </c>
      <c r="T10713" t="s">
        <v>46563</v>
      </c>
      <c r="U10713" t="s">
        <v>50412</v>
      </c>
      <c r="W10713" t="s">
        <v>60824</v>
      </c>
      <c r="X10713" t="s">
        <v>44774</v>
      </c>
    </row>
    <row r="10714" spans="1:24">
      <c r="A10714">
        <f>HYPERLINK("https://www.philgeps.gov.ph/GEPSNONPILOT/Tender/SplashBidNoticeAbstractUI.aspx?menuIndex=3&amp;refID=7131123&amp;Result=3","7131123")</f>
        <v>0</v>
      </c>
      <c r="B10714" t="s">
        <v>1977</v>
      </c>
      <c r="C10714" t="s">
        <v>13935</v>
      </c>
      <c r="D10714" t="s">
        <v>17976</v>
      </c>
      <c r="E10714" t="s">
        <v>27310</v>
      </c>
      <c r="F10714" t="s">
        <v>30900</v>
      </c>
      <c r="G10714" t="s">
        <v>30907</v>
      </c>
      <c r="H10714" t="s">
        <v>30915</v>
      </c>
      <c r="I10714" t="s">
        <v>30919</v>
      </c>
      <c r="J10714" t="s">
        <v>37709</v>
      </c>
      <c r="K10714" t="s">
        <v>40501</v>
      </c>
      <c r="M10714" t="s">
        <v>42666</v>
      </c>
      <c r="N10714" t="s">
        <v>44759</v>
      </c>
      <c r="O10714" t="s">
        <v>44760</v>
      </c>
      <c r="Q10714">
        <v>1</v>
      </c>
      <c r="R10714" t="s">
        <v>44773</v>
      </c>
      <c r="S10714" t="s">
        <v>45203</v>
      </c>
      <c r="T10714" t="s">
        <v>46544</v>
      </c>
      <c r="U10714" t="s">
        <v>55792</v>
      </c>
      <c r="V10714" t="s">
        <v>60313</v>
      </c>
      <c r="W10714" t="s">
        <v>42666</v>
      </c>
      <c r="X10714" t="s">
        <v>44774</v>
      </c>
    </row>
    <row r="10715" spans="1:24">
      <c r="A10715">
        <f>HYPERLINK("https://www.philgeps.gov.ph/GEPSNONPILOT/Tender/SplashBidNoticeAbstractUI.aspx?menuIndex=3&amp;refID=7131090&amp;Result=3","7131090")</f>
        <v>0</v>
      </c>
      <c r="B10715" t="s">
        <v>3245</v>
      </c>
      <c r="C10715" t="s">
        <v>7091</v>
      </c>
      <c r="D10715" t="s">
        <v>17973</v>
      </c>
      <c r="E10715" t="s">
        <v>18435</v>
      </c>
      <c r="F10715" t="s">
        <v>30900</v>
      </c>
      <c r="G10715" t="s">
        <v>30907</v>
      </c>
      <c r="H10715" t="s">
        <v>30915</v>
      </c>
      <c r="I10715" t="s">
        <v>30919</v>
      </c>
      <c r="J10715" t="s">
        <v>31070</v>
      </c>
      <c r="K10715" t="s">
        <v>40314</v>
      </c>
      <c r="M10715" t="s">
        <v>44090</v>
      </c>
      <c r="N10715" t="s">
        <v>44759</v>
      </c>
      <c r="O10715" t="s">
        <v>44760</v>
      </c>
      <c r="P10715">
        <v>0</v>
      </c>
      <c r="Q10715">
        <v>0</v>
      </c>
      <c r="R10715" t="s">
        <v>44773</v>
      </c>
      <c r="S10715" t="s">
        <v>45184</v>
      </c>
      <c r="T10715" t="s">
        <v>46399</v>
      </c>
      <c r="U10715" t="s">
        <v>55793</v>
      </c>
      <c r="W10715" t="s">
        <v>44090</v>
      </c>
      <c r="X10715" t="s">
        <v>44774</v>
      </c>
    </row>
    <row r="10716" spans="1:24">
      <c r="A10716">
        <f>HYPERLINK("https://www.philgeps.gov.ph/GEPSNONPILOT/Tender/SplashBidNoticeAbstractUI.aspx?menuIndex=3&amp;refID=7131079&amp;Result=3","7131079")</f>
        <v>0</v>
      </c>
      <c r="B10716" t="s">
        <v>2717</v>
      </c>
      <c r="C10716" t="s">
        <v>13936</v>
      </c>
      <c r="D10716" t="s">
        <v>17973</v>
      </c>
      <c r="E10716" t="s">
        <v>27311</v>
      </c>
      <c r="F10716" t="s">
        <v>30900</v>
      </c>
      <c r="G10716" t="s">
        <v>30907</v>
      </c>
      <c r="H10716" t="s">
        <v>30915</v>
      </c>
      <c r="I10716" t="s">
        <v>30919</v>
      </c>
      <c r="J10716" t="s">
        <v>31152</v>
      </c>
      <c r="K10716" t="s">
        <v>40280</v>
      </c>
      <c r="M10716" t="s">
        <v>43492</v>
      </c>
      <c r="N10716" t="s">
        <v>44759</v>
      </c>
      <c r="O10716" t="s">
        <v>44760</v>
      </c>
      <c r="P10716">
        <v>0</v>
      </c>
      <c r="Q10716">
        <v>0</v>
      </c>
      <c r="R10716" t="s">
        <v>44773</v>
      </c>
      <c r="S10716" t="s">
        <v>45184</v>
      </c>
      <c r="T10716" t="s">
        <v>46366</v>
      </c>
      <c r="U10716" t="s">
        <v>55791</v>
      </c>
      <c r="W10716" t="s">
        <v>43492</v>
      </c>
      <c r="X10716" t="s">
        <v>44774</v>
      </c>
    </row>
    <row r="10717" spans="1:24">
      <c r="A10717">
        <f>HYPERLINK("https://www.philgeps.gov.ph/GEPSNONPILOT/Tender/SplashBidNoticeAbstractUI.aspx?menuIndex=3&amp;refID=7131113&amp;Result=3","7131113")</f>
        <v>0</v>
      </c>
      <c r="B10717" t="s">
        <v>3245</v>
      </c>
      <c r="C10717" t="s">
        <v>13937</v>
      </c>
      <c r="D10717" t="s">
        <v>17973</v>
      </c>
      <c r="E10717" t="s">
        <v>26743</v>
      </c>
      <c r="F10717" t="s">
        <v>30900</v>
      </c>
      <c r="G10717" t="s">
        <v>30907</v>
      </c>
      <c r="H10717" t="s">
        <v>30915</v>
      </c>
      <c r="I10717" t="s">
        <v>30919</v>
      </c>
      <c r="J10717" t="s">
        <v>37710</v>
      </c>
      <c r="K10717" t="s">
        <v>40283</v>
      </c>
      <c r="M10717" t="s">
        <v>44090</v>
      </c>
      <c r="N10717" t="s">
        <v>44759</v>
      </c>
      <c r="O10717" t="s">
        <v>44760</v>
      </c>
      <c r="P10717">
        <v>0</v>
      </c>
      <c r="Q10717">
        <v>0</v>
      </c>
      <c r="R10717" t="s">
        <v>44773</v>
      </c>
      <c r="S10717" t="s">
        <v>45184</v>
      </c>
      <c r="T10717" t="s">
        <v>46399</v>
      </c>
      <c r="U10717" t="s">
        <v>55794</v>
      </c>
      <c r="W10717" t="s">
        <v>44090</v>
      </c>
      <c r="X10717" t="s">
        <v>44774</v>
      </c>
    </row>
    <row r="10718" spans="1:24">
      <c r="A10718">
        <f>HYPERLINK("https://www.philgeps.gov.ph/GEPSNONPILOT/Tender/SplashBidNoticeAbstractUI.aspx?menuIndex=3&amp;refID=7131064&amp;Result=3","7131064")</f>
        <v>0</v>
      </c>
      <c r="B10718" t="s">
        <v>2717</v>
      </c>
      <c r="C10718" t="s">
        <v>13938</v>
      </c>
      <c r="D10718" t="s">
        <v>17973</v>
      </c>
      <c r="E10718" t="s">
        <v>27312</v>
      </c>
      <c r="F10718" t="s">
        <v>30900</v>
      </c>
      <c r="G10718" t="s">
        <v>30907</v>
      </c>
      <c r="H10718" t="s">
        <v>30915</v>
      </c>
      <c r="I10718" t="s">
        <v>30919</v>
      </c>
      <c r="J10718" t="s">
        <v>31152</v>
      </c>
      <c r="K10718" t="s">
        <v>40280</v>
      </c>
      <c r="M10718" t="s">
        <v>43492</v>
      </c>
      <c r="N10718" t="s">
        <v>44759</v>
      </c>
      <c r="O10718" t="s">
        <v>44760</v>
      </c>
      <c r="P10718">
        <v>0</v>
      </c>
      <c r="Q10718">
        <v>0</v>
      </c>
      <c r="R10718" t="s">
        <v>44773</v>
      </c>
      <c r="S10718" t="s">
        <v>45184</v>
      </c>
      <c r="T10718" t="s">
        <v>46366</v>
      </c>
      <c r="U10718" t="s">
        <v>55791</v>
      </c>
      <c r="W10718" t="s">
        <v>43492</v>
      </c>
      <c r="X10718" t="s">
        <v>44774</v>
      </c>
    </row>
    <row r="10719" spans="1:24">
      <c r="A10719">
        <f>HYPERLINK("https://www.philgeps.gov.ph/GEPSNONPILOT/Tender/SplashBidNoticeAbstractUI.aspx?menuIndex=3&amp;refID=7131063&amp;Result=3","7131063")</f>
        <v>0</v>
      </c>
      <c r="B10719" t="s">
        <v>854</v>
      </c>
      <c r="C10719" t="s">
        <v>13939</v>
      </c>
      <c r="D10719" t="s">
        <v>17963</v>
      </c>
      <c r="E10719" t="s">
        <v>27313</v>
      </c>
      <c r="F10719" t="s">
        <v>30900</v>
      </c>
      <c r="G10719" t="s">
        <v>30907</v>
      </c>
      <c r="H10719" t="s">
        <v>30915</v>
      </c>
      <c r="I10719" t="s">
        <v>30919</v>
      </c>
      <c r="J10719" t="s">
        <v>31153</v>
      </c>
      <c r="K10719" t="s">
        <v>40292</v>
      </c>
      <c r="M10719" t="s">
        <v>41427</v>
      </c>
      <c r="N10719" t="s">
        <v>44759</v>
      </c>
      <c r="O10719" t="s">
        <v>44760</v>
      </c>
      <c r="P10719">
        <v>0</v>
      </c>
      <c r="Q10719">
        <v>0</v>
      </c>
      <c r="R10719" t="s">
        <v>44773</v>
      </c>
      <c r="S10719" t="s">
        <v>45184</v>
      </c>
      <c r="T10719" t="s">
        <v>46353</v>
      </c>
      <c r="U10719" t="s">
        <v>55795</v>
      </c>
      <c r="V10719" t="s">
        <v>59319</v>
      </c>
      <c r="W10719" t="s">
        <v>41427</v>
      </c>
      <c r="X10719" t="s">
        <v>44774</v>
      </c>
    </row>
    <row r="10720" spans="1:24">
      <c r="A10720">
        <f>HYPERLINK("https://www.philgeps.gov.ph/GEPSNONPILOT/Tender/SplashBidNoticeAbstractUI.aspx?menuIndex=3&amp;refID=7131106&amp;Result=3","7131106")</f>
        <v>0</v>
      </c>
      <c r="B10720" t="s">
        <v>3241</v>
      </c>
      <c r="C10720" t="s">
        <v>13940</v>
      </c>
      <c r="D10720" t="s">
        <v>17986</v>
      </c>
      <c r="E10720" t="s">
        <v>27314</v>
      </c>
      <c r="F10720" t="s">
        <v>30900</v>
      </c>
      <c r="G10720" t="s">
        <v>30907</v>
      </c>
      <c r="H10720" t="s">
        <v>30916</v>
      </c>
      <c r="I10720" t="s">
        <v>6396</v>
      </c>
      <c r="J10720" t="s">
        <v>37711</v>
      </c>
      <c r="K10720" t="s">
        <v>40291</v>
      </c>
      <c r="M10720" t="s">
        <v>44084</v>
      </c>
      <c r="N10720" t="s">
        <v>44759</v>
      </c>
      <c r="O10720" t="s">
        <v>44760</v>
      </c>
      <c r="P10720">
        <v>0</v>
      </c>
      <c r="Q10720">
        <v>3</v>
      </c>
      <c r="R10720" t="s">
        <v>44773</v>
      </c>
      <c r="S10720" t="s">
        <v>45184</v>
      </c>
      <c r="T10720" t="s">
        <v>46429</v>
      </c>
      <c r="U10720" t="s">
        <v>55796</v>
      </c>
      <c r="W10720" t="s">
        <v>44084</v>
      </c>
      <c r="X10720" t="s">
        <v>44774</v>
      </c>
    </row>
    <row r="10721" spans="1:24">
      <c r="A10721">
        <f>HYPERLINK("https://www.philgeps.gov.ph/GEPSNONPILOT/Tender/SplashBidNoticeAbstractUI.aspx?menuIndex=3&amp;refID=7131078&amp;Result=3","7131078")</f>
        <v>0</v>
      </c>
      <c r="B10721" t="s">
        <v>713</v>
      </c>
      <c r="C10721" t="s">
        <v>13941</v>
      </c>
      <c r="D10721" t="s">
        <v>17953</v>
      </c>
      <c r="E10721" t="s">
        <v>27315</v>
      </c>
      <c r="F10721" t="s">
        <v>30900</v>
      </c>
      <c r="G10721" t="s">
        <v>30907</v>
      </c>
      <c r="H10721" t="s">
        <v>30916</v>
      </c>
      <c r="I10721" t="s">
        <v>5501</v>
      </c>
      <c r="J10721" t="s">
        <v>37712</v>
      </c>
      <c r="K10721" t="s">
        <v>40289</v>
      </c>
      <c r="M10721" t="s">
        <v>41277</v>
      </c>
      <c r="N10721" t="s">
        <v>44759</v>
      </c>
      <c r="O10721" t="s">
        <v>44760</v>
      </c>
      <c r="Q10721">
        <v>15</v>
      </c>
      <c r="R10721" t="s">
        <v>44773</v>
      </c>
      <c r="S10721" t="s">
        <v>45204</v>
      </c>
      <c r="T10721" t="s">
        <v>46842</v>
      </c>
      <c r="U10721" t="s">
        <v>55797</v>
      </c>
      <c r="W10721" t="s">
        <v>41277</v>
      </c>
      <c r="X10721" t="s">
        <v>44774</v>
      </c>
    </row>
    <row r="10722" spans="1:24">
      <c r="A10722">
        <f>HYPERLINK("https://www.philgeps.gov.ph/GEPSNONPILOT/Tender/SplashBidNoticeAbstractUI.aspx?menuIndex=3&amp;refID=7131253&amp;Result=3","7131253")</f>
        <v>0</v>
      </c>
      <c r="B10722" t="s">
        <v>3246</v>
      </c>
      <c r="C10722" t="s">
        <v>13942</v>
      </c>
      <c r="D10722" t="s">
        <v>17966</v>
      </c>
      <c r="E10722" t="s">
        <v>27316</v>
      </c>
      <c r="F10722" t="s">
        <v>30900</v>
      </c>
      <c r="G10722" t="s">
        <v>30907</v>
      </c>
      <c r="H10722" t="s">
        <v>30916</v>
      </c>
      <c r="I10722" t="s">
        <v>4545</v>
      </c>
      <c r="J10722" t="s">
        <v>37713</v>
      </c>
      <c r="K10722" t="s">
        <v>40280</v>
      </c>
      <c r="M10722" t="s">
        <v>44091</v>
      </c>
      <c r="N10722" t="s">
        <v>44759</v>
      </c>
      <c r="O10722" t="s">
        <v>44760</v>
      </c>
      <c r="P10722">
        <v>0</v>
      </c>
      <c r="Q10722">
        <v>8</v>
      </c>
      <c r="R10722" t="s">
        <v>44773</v>
      </c>
      <c r="S10722" t="s">
        <v>45184</v>
      </c>
      <c r="T10722" t="s">
        <v>46863</v>
      </c>
      <c r="U10722" t="s">
        <v>55798</v>
      </c>
      <c r="W10722" t="s">
        <v>44091</v>
      </c>
      <c r="X10722" t="s">
        <v>44774</v>
      </c>
    </row>
    <row r="10723" spans="1:24">
      <c r="A10723">
        <f>HYPERLINK("https://www.philgeps.gov.ph/GEPSNONPILOT/Tender/SplashBidNoticeAbstractUI.aspx?menuIndex=3&amp;refID=7131249&amp;Result=3","7131249")</f>
        <v>0</v>
      </c>
      <c r="B10723" t="s">
        <v>945</v>
      </c>
      <c r="C10723" t="s">
        <v>13943</v>
      </c>
      <c r="D10723" t="s">
        <v>17962</v>
      </c>
      <c r="E10723" t="s">
        <v>27317</v>
      </c>
      <c r="F10723" t="s">
        <v>30900</v>
      </c>
      <c r="G10723" t="s">
        <v>30907</v>
      </c>
      <c r="H10723" t="s">
        <v>30916</v>
      </c>
      <c r="I10723" t="s">
        <v>4142</v>
      </c>
      <c r="J10723" t="s">
        <v>37714</v>
      </c>
      <c r="K10723" t="s">
        <v>40292</v>
      </c>
      <c r="M10723" t="s">
        <v>41529</v>
      </c>
      <c r="N10723" t="s">
        <v>44759</v>
      </c>
      <c r="O10723" t="s">
        <v>44760</v>
      </c>
      <c r="P10723">
        <v>0</v>
      </c>
      <c r="Q10723">
        <v>4</v>
      </c>
      <c r="R10723" t="s">
        <v>44773</v>
      </c>
      <c r="S10723" t="s">
        <v>45184</v>
      </c>
      <c r="T10723" t="s">
        <v>46488</v>
      </c>
      <c r="U10723" t="s">
        <v>55799</v>
      </c>
      <c r="V10723" t="s">
        <v>60314</v>
      </c>
      <c r="W10723" t="s">
        <v>41529</v>
      </c>
      <c r="X10723" t="s">
        <v>44774</v>
      </c>
    </row>
    <row r="10724" spans="1:24">
      <c r="A10724">
        <f>HYPERLINK("https://www.philgeps.gov.ph/GEPSNONPILOT/Tender/SplashBidNoticeAbstractUI.aspx?menuIndex=3&amp;refID=7131233&amp;Result=3","7131233")</f>
        <v>0</v>
      </c>
      <c r="B10724" t="s">
        <v>854</v>
      </c>
      <c r="C10724" t="s">
        <v>13944</v>
      </c>
      <c r="D10724" t="s">
        <v>17963</v>
      </c>
      <c r="E10724" t="s">
        <v>27318</v>
      </c>
      <c r="F10724" t="s">
        <v>30900</v>
      </c>
      <c r="G10724" t="s">
        <v>30907</v>
      </c>
      <c r="H10724" t="s">
        <v>30915</v>
      </c>
      <c r="I10724" t="s">
        <v>30919</v>
      </c>
      <c r="J10724" t="s">
        <v>31153</v>
      </c>
      <c r="K10724" t="s">
        <v>40292</v>
      </c>
      <c r="M10724" t="s">
        <v>41427</v>
      </c>
      <c r="N10724" t="s">
        <v>44759</v>
      </c>
      <c r="O10724" t="s">
        <v>44760</v>
      </c>
      <c r="P10724">
        <v>0</v>
      </c>
      <c r="Q10724">
        <v>0</v>
      </c>
      <c r="R10724" t="s">
        <v>44773</v>
      </c>
      <c r="S10724" t="s">
        <v>45184</v>
      </c>
      <c r="T10724" t="s">
        <v>46353</v>
      </c>
      <c r="U10724" t="s">
        <v>55800</v>
      </c>
      <c r="V10724" t="s">
        <v>59319</v>
      </c>
      <c r="W10724" t="s">
        <v>41427</v>
      </c>
      <c r="X10724" t="s">
        <v>44774</v>
      </c>
    </row>
    <row r="10725" spans="1:24">
      <c r="A10725">
        <f>HYPERLINK("https://www.philgeps.gov.ph/GEPSNONPILOT/Tender/SplashBidNoticeAbstractUI.aspx?menuIndex=3&amp;refID=7130898&amp;Result=3","7130898")</f>
        <v>0</v>
      </c>
      <c r="B10725" t="s">
        <v>1822</v>
      </c>
      <c r="C10725" t="s">
        <v>13945</v>
      </c>
      <c r="D10725" t="s">
        <v>18033</v>
      </c>
      <c r="E10725" t="s">
        <v>27319</v>
      </c>
      <c r="F10725" t="s">
        <v>30900</v>
      </c>
      <c r="G10725" t="s">
        <v>30907</v>
      </c>
      <c r="H10725" t="s">
        <v>30915</v>
      </c>
      <c r="I10725" t="s">
        <v>30919</v>
      </c>
      <c r="J10725" t="s">
        <v>37715</v>
      </c>
      <c r="K10725" t="s">
        <v>40352</v>
      </c>
      <c r="M10725" t="s">
        <v>42495</v>
      </c>
      <c r="N10725" t="s">
        <v>44759</v>
      </c>
      <c r="O10725" t="s">
        <v>44760</v>
      </c>
      <c r="P10725">
        <v>0</v>
      </c>
      <c r="Q10725">
        <v>0</v>
      </c>
      <c r="R10725" t="s">
        <v>44773</v>
      </c>
      <c r="S10725" t="s">
        <v>45184</v>
      </c>
      <c r="T10725" t="s">
        <v>46418</v>
      </c>
      <c r="U10725" t="s">
        <v>55728</v>
      </c>
      <c r="V10725" t="s">
        <v>60315</v>
      </c>
      <c r="W10725" t="s">
        <v>42495</v>
      </c>
      <c r="X10725" t="s">
        <v>44774</v>
      </c>
    </row>
    <row r="10726" spans="1:24">
      <c r="A10726">
        <f>HYPERLINK("https://www.philgeps.gov.ph/GEPSNONPILOT/Tender/SplashBidNoticeAbstractUI.aspx?menuIndex=3&amp;refID=7131044&amp;Result=3","7131044")</f>
        <v>0</v>
      </c>
      <c r="B10726" t="s">
        <v>499</v>
      </c>
      <c r="C10726" t="s">
        <v>13946</v>
      </c>
      <c r="D10726" t="s">
        <v>17978</v>
      </c>
      <c r="E10726" t="s">
        <v>27320</v>
      </c>
      <c r="F10726" t="s">
        <v>30900</v>
      </c>
      <c r="G10726" t="s">
        <v>30907</v>
      </c>
      <c r="H10726" t="s">
        <v>30916</v>
      </c>
      <c r="I10726" t="s">
        <v>4108</v>
      </c>
      <c r="J10726" t="s">
        <v>37716</v>
      </c>
      <c r="K10726" t="s">
        <v>40286</v>
      </c>
      <c r="M10726" t="s">
        <v>41058</v>
      </c>
      <c r="N10726" t="s">
        <v>44759</v>
      </c>
      <c r="O10726" t="s">
        <v>44760</v>
      </c>
      <c r="P10726">
        <v>0</v>
      </c>
      <c r="Q10726">
        <v>5</v>
      </c>
      <c r="R10726" t="s">
        <v>44773</v>
      </c>
      <c r="S10726" t="s">
        <v>45184</v>
      </c>
      <c r="T10726" t="s">
        <v>46418</v>
      </c>
      <c r="U10726" t="s">
        <v>55801</v>
      </c>
      <c r="W10726" t="s">
        <v>41058</v>
      </c>
      <c r="X10726" t="s">
        <v>44774</v>
      </c>
    </row>
    <row r="10727" spans="1:24">
      <c r="A10727">
        <f>HYPERLINK("https://www.philgeps.gov.ph/GEPSNONPILOT/Tender/SplashBidNoticeAbstractUI.aspx?menuIndex=3&amp;refID=7130954&amp;Result=3","7130954")</f>
        <v>0</v>
      </c>
      <c r="B10727" t="s">
        <v>854</v>
      </c>
      <c r="C10727" t="s">
        <v>13947</v>
      </c>
      <c r="D10727" t="s">
        <v>17963</v>
      </c>
      <c r="E10727" t="s">
        <v>27321</v>
      </c>
      <c r="F10727" t="s">
        <v>30900</v>
      </c>
      <c r="G10727" t="s">
        <v>30907</v>
      </c>
      <c r="H10727" t="s">
        <v>30915</v>
      </c>
      <c r="I10727" t="s">
        <v>30919</v>
      </c>
      <c r="J10727" t="s">
        <v>37717</v>
      </c>
      <c r="K10727" t="s">
        <v>40304</v>
      </c>
      <c r="M10727" t="s">
        <v>41427</v>
      </c>
      <c r="N10727" t="s">
        <v>44759</v>
      </c>
      <c r="O10727" t="s">
        <v>44760</v>
      </c>
      <c r="P10727">
        <v>0</v>
      </c>
      <c r="Q10727">
        <v>0</v>
      </c>
      <c r="R10727" t="s">
        <v>44773</v>
      </c>
      <c r="S10727" t="s">
        <v>45184</v>
      </c>
      <c r="T10727" t="s">
        <v>46353</v>
      </c>
      <c r="U10727" t="s">
        <v>55802</v>
      </c>
      <c r="V10727" t="s">
        <v>59319</v>
      </c>
      <c r="W10727" t="s">
        <v>41427</v>
      </c>
      <c r="X10727" t="s">
        <v>44774</v>
      </c>
    </row>
    <row r="10728" spans="1:24">
      <c r="A10728">
        <f>HYPERLINK("https://www.philgeps.gov.ph/GEPSNONPILOT/Tender/SplashBidNoticeAbstractUI.aspx?menuIndex=3&amp;refID=7131196&amp;Result=3","7131196")</f>
        <v>0</v>
      </c>
      <c r="B10728" t="s">
        <v>2751</v>
      </c>
      <c r="C10728" t="s">
        <v>13948</v>
      </c>
      <c r="D10728" t="s">
        <v>17953</v>
      </c>
      <c r="E10728" t="s">
        <v>18532</v>
      </c>
      <c r="F10728" t="s">
        <v>30900</v>
      </c>
      <c r="G10728" t="s">
        <v>30907</v>
      </c>
      <c r="H10728" t="s">
        <v>30916</v>
      </c>
      <c r="I10728" t="s">
        <v>8123</v>
      </c>
      <c r="J10728" t="s">
        <v>37718</v>
      </c>
      <c r="K10728" t="s">
        <v>40281</v>
      </c>
      <c r="M10728" t="s">
        <v>43528</v>
      </c>
      <c r="N10728" t="s">
        <v>44759</v>
      </c>
      <c r="O10728" t="s">
        <v>44760</v>
      </c>
      <c r="P10728">
        <v>0</v>
      </c>
      <c r="Q10728">
        <v>0</v>
      </c>
      <c r="R10728" t="s">
        <v>44773</v>
      </c>
      <c r="S10728" t="s">
        <v>45184</v>
      </c>
      <c r="T10728" t="s">
        <v>46362</v>
      </c>
      <c r="U10728" t="s">
        <v>55803</v>
      </c>
      <c r="W10728" t="s">
        <v>43528</v>
      </c>
      <c r="X10728" t="s">
        <v>44774</v>
      </c>
    </row>
    <row r="10729" spans="1:24">
      <c r="A10729">
        <f>HYPERLINK("https://www.philgeps.gov.ph/GEPSNONPILOT/Tender/SplashBidNoticeAbstractUI.aspx?menuIndex=3&amp;refID=7131194&amp;Result=3","7131194")</f>
        <v>0</v>
      </c>
      <c r="B10729" t="s">
        <v>44</v>
      </c>
      <c r="C10729" t="s">
        <v>13949</v>
      </c>
      <c r="D10729" t="s">
        <v>17969</v>
      </c>
      <c r="E10729" t="s">
        <v>27322</v>
      </c>
      <c r="F10729" t="s">
        <v>30900</v>
      </c>
      <c r="G10729" t="s">
        <v>30907</v>
      </c>
      <c r="H10729" t="s">
        <v>30916</v>
      </c>
      <c r="I10729" t="s">
        <v>30924</v>
      </c>
      <c r="J10729" t="s">
        <v>37719</v>
      </c>
      <c r="K10729" t="s">
        <v>40284</v>
      </c>
      <c r="M10729" t="s">
        <v>40590</v>
      </c>
      <c r="N10729" t="s">
        <v>44759</v>
      </c>
      <c r="O10729" t="s">
        <v>44760</v>
      </c>
      <c r="P10729">
        <v>0</v>
      </c>
      <c r="Q10729">
        <v>9</v>
      </c>
      <c r="R10729" t="s">
        <v>44773</v>
      </c>
      <c r="S10729" t="s">
        <v>45184</v>
      </c>
      <c r="T10729" t="s">
        <v>46418</v>
      </c>
      <c r="U10729" t="s">
        <v>55804</v>
      </c>
      <c r="W10729" t="s">
        <v>40590</v>
      </c>
      <c r="X10729" t="s">
        <v>44774</v>
      </c>
    </row>
    <row r="10730" spans="1:24">
      <c r="A10730">
        <f>HYPERLINK("https://www.philgeps.gov.ph/GEPSNONPILOT/Tender/SplashBidNoticeAbstractUI.aspx?menuIndex=3&amp;refID=7131175&amp;Result=3","7131175")</f>
        <v>0</v>
      </c>
      <c r="B10730" t="s">
        <v>2717</v>
      </c>
      <c r="C10730" t="s">
        <v>13950</v>
      </c>
      <c r="D10730" t="s">
        <v>17973</v>
      </c>
      <c r="E10730" t="s">
        <v>27323</v>
      </c>
      <c r="F10730" t="s">
        <v>30900</v>
      </c>
      <c r="G10730" t="s">
        <v>30907</v>
      </c>
      <c r="H10730" t="s">
        <v>30915</v>
      </c>
      <c r="I10730" t="s">
        <v>30919</v>
      </c>
      <c r="J10730" t="s">
        <v>31152</v>
      </c>
      <c r="K10730" t="s">
        <v>40280</v>
      </c>
      <c r="M10730" t="s">
        <v>43492</v>
      </c>
      <c r="N10730" t="s">
        <v>44759</v>
      </c>
      <c r="O10730" t="s">
        <v>44760</v>
      </c>
      <c r="P10730">
        <v>0</v>
      </c>
      <c r="Q10730">
        <v>0</v>
      </c>
      <c r="R10730" t="s">
        <v>44773</v>
      </c>
      <c r="S10730" t="s">
        <v>45184</v>
      </c>
      <c r="T10730" t="s">
        <v>46366</v>
      </c>
      <c r="U10730" t="s">
        <v>55791</v>
      </c>
      <c r="W10730" t="s">
        <v>43492</v>
      </c>
      <c r="X10730" t="s">
        <v>44774</v>
      </c>
    </row>
    <row r="10731" spans="1:24">
      <c r="A10731">
        <f>HYPERLINK("https://www.philgeps.gov.ph/GEPSNONPILOT/Tender/SplashBidNoticeAbstractUI.aspx?menuIndex=3&amp;refID=7131167&amp;Result=3","7131167")</f>
        <v>0</v>
      </c>
      <c r="B10731" t="s">
        <v>1977</v>
      </c>
      <c r="C10731" t="s">
        <v>13951</v>
      </c>
      <c r="D10731" t="s">
        <v>17976</v>
      </c>
      <c r="E10731" t="s">
        <v>27324</v>
      </c>
      <c r="F10731" t="s">
        <v>30900</v>
      </c>
      <c r="G10731" t="s">
        <v>30907</v>
      </c>
      <c r="H10731" t="s">
        <v>30915</v>
      </c>
      <c r="I10731" t="s">
        <v>30919</v>
      </c>
      <c r="J10731" t="s">
        <v>37720</v>
      </c>
      <c r="K10731" t="s">
        <v>40301</v>
      </c>
      <c r="M10731" t="s">
        <v>42666</v>
      </c>
      <c r="N10731" t="s">
        <v>44759</v>
      </c>
      <c r="O10731" t="s">
        <v>44760</v>
      </c>
      <c r="Q10731">
        <v>2</v>
      </c>
      <c r="R10731" t="s">
        <v>44773</v>
      </c>
      <c r="S10731" t="s">
        <v>45205</v>
      </c>
      <c r="T10731" t="s">
        <v>46544</v>
      </c>
      <c r="U10731" t="s">
        <v>55805</v>
      </c>
      <c r="V10731" t="s">
        <v>60313</v>
      </c>
      <c r="W10731" t="s">
        <v>42666</v>
      </c>
      <c r="X10731" t="s">
        <v>44774</v>
      </c>
    </row>
    <row r="10732" spans="1:24">
      <c r="A10732">
        <f>HYPERLINK("https://www.philgeps.gov.ph/GEPSNONPILOT/Tender/SplashBidNoticeAbstractUI.aspx?menuIndex=3&amp;refID=7131165&amp;Result=3","7131165")</f>
        <v>0</v>
      </c>
      <c r="B10732" t="s">
        <v>317</v>
      </c>
      <c r="C10732" t="s">
        <v>13952</v>
      </c>
      <c r="D10732" t="s">
        <v>17952</v>
      </c>
      <c r="E10732" t="s">
        <v>27325</v>
      </c>
      <c r="F10732" t="s">
        <v>30900</v>
      </c>
      <c r="G10732" t="s">
        <v>30907</v>
      </c>
      <c r="H10732" t="s">
        <v>30916</v>
      </c>
      <c r="I10732" t="s">
        <v>30975</v>
      </c>
      <c r="J10732" t="s">
        <v>31139</v>
      </c>
      <c r="K10732" t="s">
        <v>40284</v>
      </c>
      <c r="M10732" t="s">
        <v>40868</v>
      </c>
      <c r="N10732" t="s">
        <v>44759</v>
      </c>
      <c r="O10732" t="s">
        <v>44760</v>
      </c>
      <c r="P10732">
        <v>0</v>
      </c>
      <c r="Q10732">
        <v>1</v>
      </c>
      <c r="R10732" t="s">
        <v>44773</v>
      </c>
      <c r="S10732" t="s">
        <v>45184</v>
      </c>
      <c r="T10732" t="s">
        <v>46563</v>
      </c>
      <c r="U10732" t="s">
        <v>50412</v>
      </c>
      <c r="W10732" t="s">
        <v>60824</v>
      </c>
      <c r="X10732" t="s">
        <v>44774</v>
      </c>
    </row>
    <row r="10733" spans="1:24">
      <c r="A10733">
        <f>HYPERLINK("https://www.philgeps.gov.ph/GEPSNONPILOT/Tender/SplashBidNoticeAbstractUI.aspx?menuIndex=3&amp;refID=7131162&amp;Result=3","7131162")</f>
        <v>0</v>
      </c>
      <c r="B10733" t="s">
        <v>1822</v>
      </c>
      <c r="C10733" t="s">
        <v>13953</v>
      </c>
      <c r="D10733" t="s">
        <v>18033</v>
      </c>
      <c r="E10733" t="s">
        <v>27326</v>
      </c>
      <c r="F10733" t="s">
        <v>30900</v>
      </c>
      <c r="G10733" t="s">
        <v>30907</v>
      </c>
      <c r="H10733" t="s">
        <v>30915</v>
      </c>
      <c r="I10733" t="s">
        <v>30919</v>
      </c>
      <c r="J10733" t="s">
        <v>37699</v>
      </c>
      <c r="K10733" t="s">
        <v>40502</v>
      </c>
      <c r="M10733" t="s">
        <v>42495</v>
      </c>
      <c r="N10733" t="s">
        <v>44759</v>
      </c>
      <c r="O10733" t="s">
        <v>44760</v>
      </c>
      <c r="P10733">
        <v>0</v>
      </c>
      <c r="Q10733">
        <v>0</v>
      </c>
      <c r="R10733" t="s">
        <v>44773</v>
      </c>
      <c r="S10733" t="s">
        <v>45184</v>
      </c>
      <c r="T10733" t="s">
        <v>46418</v>
      </c>
      <c r="U10733" t="s">
        <v>55728</v>
      </c>
      <c r="V10733" t="s">
        <v>60316</v>
      </c>
      <c r="W10733" t="s">
        <v>42495</v>
      </c>
      <c r="X10733" t="s">
        <v>44774</v>
      </c>
    </row>
    <row r="10734" spans="1:24">
      <c r="A10734">
        <f>HYPERLINK("https://www.philgeps.gov.ph/GEPSNONPILOT/Tender/SplashBidNoticeAbstractUI.aspx?menuIndex=3&amp;refID=7131257&amp;Result=3","7131257")</f>
        <v>0</v>
      </c>
      <c r="B10734" t="s">
        <v>2717</v>
      </c>
      <c r="C10734" t="s">
        <v>13954</v>
      </c>
      <c r="D10734" t="s">
        <v>17973</v>
      </c>
      <c r="E10734" t="s">
        <v>27327</v>
      </c>
      <c r="F10734" t="s">
        <v>30900</v>
      </c>
      <c r="G10734" t="s">
        <v>30907</v>
      </c>
      <c r="H10734" t="s">
        <v>30915</v>
      </c>
      <c r="I10734" t="s">
        <v>30919</v>
      </c>
      <c r="J10734" t="s">
        <v>37721</v>
      </c>
      <c r="K10734" t="s">
        <v>40503</v>
      </c>
      <c r="M10734" t="s">
        <v>43492</v>
      </c>
      <c r="N10734" t="s">
        <v>44759</v>
      </c>
      <c r="O10734" t="s">
        <v>44760</v>
      </c>
      <c r="P10734">
        <v>0</v>
      </c>
      <c r="Q10734">
        <v>0</v>
      </c>
      <c r="R10734" t="s">
        <v>44773</v>
      </c>
      <c r="S10734" t="s">
        <v>45184</v>
      </c>
      <c r="T10734" t="s">
        <v>46366</v>
      </c>
      <c r="U10734" t="s">
        <v>55806</v>
      </c>
      <c r="W10734" t="s">
        <v>43492</v>
      </c>
      <c r="X10734" t="s">
        <v>44774</v>
      </c>
    </row>
    <row r="10735" spans="1:24">
      <c r="A10735">
        <f>HYPERLINK("https://www.philgeps.gov.ph/GEPSNONPILOT/Tender/SplashBidNoticeAbstractUI.aspx?menuIndex=3&amp;refID=7131227&amp;Result=3","7131227")</f>
        <v>0</v>
      </c>
      <c r="B10735" t="s">
        <v>3247</v>
      </c>
      <c r="C10735" t="s">
        <v>13955</v>
      </c>
      <c r="D10735" t="s">
        <v>17973</v>
      </c>
      <c r="E10735" t="s">
        <v>19274</v>
      </c>
      <c r="F10735" t="s">
        <v>30900</v>
      </c>
      <c r="G10735" t="s">
        <v>30907</v>
      </c>
      <c r="H10735" t="s">
        <v>30915</v>
      </c>
      <c r="I10735" t="s">
        <v>30919</v>
      </c>
      <c r="J10735" t="s">
        <v>31518</v>
      </c>
      <c r="K10735" t="s">
        <v>40314</v>
      </c>
      <c r="M10735" t="s">
        <v>44092</v>
      </c>
      <c r="N10735" t="s">
        <v>44759</v>
      </c>
      <c r="O10735" t="s">
        <v>44760</v>
      </c>
      <c r="P10735">
        <v>0</v>
      </c>
      <c r="Q10735">
        <v>0</v>
      </c>
      <c r="R10735" t="s">
        <v>44773</v>
      </c>
      <c r="S10735" t="s">
        <v>45184</v>
      </c>
      <c r="T10735" t="s">
        <v>46399</v>
      </c>
      <c r="U10735" t="s">
        <v>55794</v>
      </c>
      <c r="W10735" t="s">
        <v>44092</v>
      </c>
      <c r="X10735" t="s">
        <v>44774</v>
      </c>
    </row>
    <row r="10736" spans="1:24">
      <c r="A10736">
        <f>HYPERLINK("https://www.philgeps.gov.ph/GEPSNONPILOT/Tender/SplashBidNoticeAbstractUI.aspx?menuIndex=3&amp;refID=7131357&amp;Result=3","7131357")</f>
        <v>0</v>
      </c>
      <c r="B10736" t="s">
        <v>1250</v>
      </c>
      <c r="C10736" t="s">
        <v>13956</v>
      </c>
      <c r="D10736" t="s">
        <v>17953</v>
      </c>
      <c r="E10736" t="s">
        <v>27328</v>
      </c>
      <c r="F10736" t="s">
        <v>30900</v>
      </c>
      <c r="G10736" t="s">
        <v>30907</v>
      </c>
      <c r="H10736" t="s">
        <v>30916</v>
      </c>
      <c r="I10736" t="s">
        <v>30922</v>
      </c>
      <c r="J10736" t="s">
        <v>37722</v>
      </c>
      <c r="K10736" t="s">
        <v>40286</v>
      </c>
      <c r="M10736" t="s">
        <v>41862</v>
      </c>
      <c r="N10736" t="s">
        <v>44759</v>
      </c>
      <c r="O10736" t="s">
        <v>44760</v>
      </c>
      <c r="P10736">
        <v>0</v>
      </c>
      <c r="Q10736">
        <v>0</v>
      </c>
      <c r="R10736" t="s">
        <v>44773</v>
      </c>
      <c r="S10736" t="s">
        <v>45184</v>
      </c>
      <c r="T10736" t="s">
        <v>46658</v>
      </c>
      <c r="U10736" t="s">
        <v>55807</v>
      </c>
      <c r="W10736" t="s">
        <v>41862</v>
      </c>
      <c r="X10736" t="s">
        <v>44774</v>
      </c>
    </row>
    <row r="10737" spans="1:24">
      <c r="A10737">
        <f>HYPERLINK("https://www.philgeps.gov.ph/GEPSNONPILOT/Tender/SplashBidNoticeAbstractUI.aspx?menuIndex=3&amp;refID=7131355&amp;Result=3","7131355")</f>
        <v>0</v>
      </c>
      <c r="B10737" t="s">
        <v>75</v>
      </c>
      <c r="C10737" t="s">
        <v>13957</v>
      </c>
      <c r="E10737" t="s">
        <v>27329</v>
      </c>
      <c r="F10737" t="s">
        <v>30900</v>
      </c>
      <c r="G10737" t="s">
        <v>30907</v>
      </c>
      <c r="H10737" t="s">
        <v>30916</v>
      </c>
      <c r="I10737" t="s">
        <v>30926</v>
      </c>
      <c r="J10737" t="s">
        <v>37723</v>
      </c>
      <c r="K10737" t="s">
        <v>40289</v>
      </c>
      <c r="M10737" t="s">
        <v>42278</v>
      </c>
      <c r="N10737" t="s">
        <v>44759</v>
      </c>
      <c r="O10737" t="s">
        <v>44760</v>
      </c>
      <c r="Q10737">
        <v>10</v>
      </c>
      <c r="R10737" t="s">
        <v>44773</v>
      </c>
      <c r="S10737" t="s">
        <v>45206</v>
      </c>
      <c r="T10737" t="s">
        <v>46352</v>
      </c>
      <c r="U10737" t="s">
        <v>50345</v>
      </c>
      <c r="W10737" t="s">
        <v>60870</v>
      </c>
      <c r="X10737" t="s">
        <v>44774</v>
      </c>
    </row>
    <row r="10738" spans="1:24">
      <c r="A10738">
        <f>HYPERLINK("https://www.philgeps.gov.ph/GEPSNONPILOT/Tender/SplashBidNoticeAbstractUI.aspx?menuIndex=3&amp;refID=7131208&amp;Result=3","7131208")</f>
        <v>0</v>
      </c>
      <c r="B10738" t="s">
        <v>3004</v>
      </c>
      <c r="C10738" t="s">
        <v>13958</v>
      </c>
      <c r="D10738" t="s">
        <v>17978</v>
      </c>
      <c r="E10738" t="s">
        <v>19755</v>
      </c>
      <c r="F10738" t="s">
        <v>30900</v>
      </c>
      <c r="G10738" t="s">
        <v>30907</v>
      </c>
      <c r="H10738" t="s">
        <v>30916</v>
      </c>
      <c r="I10738" t="s">
        <v>30943</v>
      </c>
      <c r="J10738" t="s">
        <v>33980</v>
      </c>
      <c r="K10738" t="s">
        <v>40283</v>
      </c>
      <c r="M10738" t="s">
        <v>43809</v>
      </c>
      <c r="N10738" t="s">
        <v>44759</v>
      </c>
      <c r="O10738" t="s">
        <v>44760</v>
      </c>
      <c r="P10738">
        <v>0</v>
      </c>
      <c r="Q10738">
        <v>3</v>
      </c>
      <c r="R10738" t="s">
        <v>44773</v>
      </c>
      <c r="S10738" t="s">
        <v>45184</v>
      </c>
      <c r="T10738" t="s">
        <v>46418</v>
      </c>
      <c r="U10738" t="s">
        <v>55808</v>
      </c>
      <c r="W10738" t="s">
        <v>43809</v>
      </c>
      <c r="X10738" t="s">
        <v>44774</v>
      </c>
    </row>
    <row r="10739" spans="1:24">
      <c r="A10739">
        <f>HYPERLINK("https://www.philgeps.gov.ph/GEPSNONPILOT/Tender/SplashBidNoticeAbstractUI.aspx?menuIndex=3&amp;refID=7131352&amp;Result=3","7131352")</f>
        <v>0</v>
      </c>
      <c r="B10739" t="s">
        <v>2227</v>
      </c>
      <c r="C10739" t="s">
        <v>13959</v>
      </c>
      <c r="D10739" t="s">
        <v>18016</v>
      </c>
      <c r="E10739" t="s">
        <v>18742</v>
      </c>
      <c r="F10739" t="s">
        <v>30900</v>
      </c>
      <c r="G10739" t="s">
        <v>30907</v>
      </c>
      <c r="H10739" t="s">
        <v>30915</v>
      </c>
      <c r="I10739" t="s">
        <v>30919</v>
      </c>
      <c r="J10739" t="s">
        <v>37724</v>
      </c>
      <c r="K10739" t="s">
        <v>40289</v>
      </c>
      <c r="M10739" t="s">
        <v>43235</v>
      </c>
      <c r="N10739" t="s">
        <v>44759</v>
      </c>
      <c r="O10739" t="s">
        <v>44760</v>
      </c>
      <c r="P10739">
        <v>0</v>
      </c>
      <c r="Q10739">
        <v>3</v>
      </c>
      <c r="R10739" t="s">
        <v>44773</v>
      </c>
      <c r="S10739" t="s">
        <v>45184</v>
      </c>
      <c r="T10739" t="s">
        <v>46544</v>
      </c>
      <c r="U10739" t="s">
        <v>55809</v>
      </c>
      <c r="W10739" t="s">
        <v>43235</v>
      </c>
      <c r="X10739" t="s">
        <v>44774</v>
      </c>
    </row>
    <row r="10740" spans="1:24">
      <c r="A10740">
        <f>HYPERLINK("https://www.philgeps.gov.ph/GEPSNONPILOT/Tender/SplashBidNoticeAbstractUI.aspx?menuIndex=3&amp;refID=7131350&amp;Result=3","7131350")</f>
        <v>0</v>
      </c>
      <c r="B10740" t="s">
        <v>3248</v>
      </c>
      <c r="C10740" t="s">
        <v>13960</v>
      </c>
      <c r="D10740" t="s">
        <v>17952</v>
      </c>
      <c r="E10740" t="s">
        <v>27330</v>
      </c>
      <c r="F10740" t="s">
        <v>30900</v>
      </c>
      <c r="G10740" t="s">
        <v>30907</v>
      </c>
      <c r="H10740" t="s">
        <v>30916</v>
      </c>
      <c r="I10740" t="s">
        <v>30936</v>
      </c>
      <c r="J10740" t="s">
        <v>37725</v>
      </c>
      <c r="K10740" t="s">
        <v>40286</v>
      </c>
      <c r="M10740" t="s">
        <v>44093</v>
      </c>
      <c r="N10740" t="s">
        <v>44759</v>
      </c>
      <c r="O10740" t="s">
        <v>44760</v>
      </c>
      <c r="P10740">
        <v>0</v>
      </c>
      <c r="Q10740">
        <v>0</v>
      </c>
      <c r="R10740" t="s">
        <v>44773</v>
      </c>
      <c r="S10740" t="s">
        <v>45184</v>
      </c>
      <c r="T10740" t="s">
        <v>46472</v>
      </c>
      <c r="U10740" t="s">
        <v>55810</v>
      </c>
      <c r="W10740" t="s">
        <v>44441</v>
      </c>
      <c r="X10740" t="s">
        <v>44774</v>
      </c>
    </row>
    <row r="10741" spans="1:24">
      <c r="A10741">
        <f>HYPERLINK("https://www.philgeps.gov.ph/GEPSNONPILOT/Tender/SplashBidNoticeAbstractUI.aspx?menuIndex=3&amp;refID=7131335&amp;Result=3","7131335")</f>
        <v>0</v>
      </c>
      <c r="B10741" t="s">
        <v>3212</v>
      </c>
      <c r="C10741" t="s">
        <v>13961</v>
      </c>
      <c r="D10741" t="s">
        <v>17985</v>
      </c>
      <c r="E10741" t="s">
        <v>27331</v>
      </c>
      <c r="F10741" t="s">
        <v>30900</v>
      </c>
      <c r="G10741" t="s">
        <v>30907</v>
      </c>
      <c r="H10741" t="s">
        <v>30916</v>
      </c>
      <c r="I10741" t="s">
        <v>7708</v>
      </c>
      <c r="J10741" t="s">
        <v>37726</v>
      </c>
      <c r="K10741" t="s">
        <v>40292</v>
      </c>
      <c r="M10741" t="s">
        <v>44088</v>
      </c>
      <c r="N10741" t="s">
        <v>44759</v>
      </c>
      <c r="O10741" t="s">
        <v>44760</v>
      </c>
      <c r="P10741">
        <v>0</v>
      </c>
      <c r="Q10741">
        <v>7</v>
      </c>
      <c r="R10741" t="s">
        <v>44773</v>
      </c>
      <c r="S10741" t="s">
        <v>45184</v>
      </c>
      <c r="T10741" t="s">
        <v>46370</v>
      </c>
      <c r="U10741" t="s">
        <v>55789</v>
      </c>
      <c r="W10741" t="s">
        <v>44088</v>
      </c>
      <c r="X10741" t="s">
        <v>44774</v>
      </c>
    </row>
    <row r="10742" spans="1:24">
      <c r="A10742">
        <f>HYPERLINK("https://www.philgeps.gov.ph/GEPSNONPILOT/Tender/SplashBidNoticeAbstractUI.aspx?menuIndex=3&amp;refID=7131331&amp;Result=3","7131331")</f>
        <v>0</v>
      </c>
      <c r="B10742" t="s">
        <v>1961</v>
      </c>
      <c r="C10742" t="s">
        <v>13962</v>
      </c>
      <c r="D10742" t="s">
        <v>18019</v>
      </c>
      <c r="E10742" t="s">
        <v>27332</v>
      </c>
      <c r="F10742" t="s">
        <v>30900</v>
      </c>
      <c r="G10742" t="s">
        <v>30907</v>
      </c>
      <c r="H10742" t="s">
        <v>30916</v>
      </c>
      <c r="I10742" t="s">
        <v>30921</v>
      </c>
      <c r="J10742" t="s">
        <v>37727</v>
      </c>
      <c r="K10742" t="s">
        <v>40286</v>
      </c>
      <c r="M10742" t="s">
        <v>42645</v>
      </c>
      <c r="N10742" t="s">
        <v>44759</v>
      </c>
      <c r="O10742" t="s">
        <v>44760</v>
      </c>
      <c r="Q10742">
        <v>3</v>
      </c>
      <c r="R10742" t="s">
        <v>44773</v>
      </c>
      <c r="S10742" t="s">
        <v>45207</v>
      </c>
      <c r="T10742" t="s">
        <v>46864</v>
      </c>
      <c r="U10742" t="s">
        <v>55811</v>
      </c>
      <c r="W10742" t="s">
        <v>42645</v>
      </c>
      <c r="X10742" t="s">
        <v>44774</v>
      </c>
    </row>
    <row r="10743" spans="1:24">
      <c r="A10743">
        <f>HYPERLINK("https://www.philgeps.gov.ph/GEPSNONPILOT/Tender/SplashBidNoticeAbstractUI.aspx?menuIndex=3&amp;refID=7131247&amp;Result=3","7131247")</f>
        <v>0</v>
      </c>
      <c r="B10743" t="s">
        <v>3212</v>
      </c>
      <c r="C10743" t="s">
        <v>13963</v>
      </c>
      <c r="D10743" t="s">
        <v>17985</v>
      </c>
      <c r="E10743" t="s">
        <v>27333</v>
      </c>
      <c r="F10743" t="s">
        <v>30900</v>
      </c>
      <c r="G10743" t="s">
        <v>30907</v>
      </c>
      <c r="H10743" t="s">
        <v>30916</v>
      </c>
      <c r="I10743" t="s">
        <v>7708</v>
      </c>
      <c r="J10743" t="s">
        <v>37728</v>
      </c>
      <c r="K10743" t="s">
        <v>40292</v>
      </c>
      <c r="M10743" t="s">
        <v>44088</v>
      </c>
      <c r="N10743" t="s">
        <v>44759</v>
      </c>
      <c r="O10743" t="s">
        <v>44760</v>
      </c>
      <c r="P10743">
        <v>0</v>
      </c>
      <c r="Q10743">
        <v>6</v>
      </c>
      <c r="R10743" t="s">
        <v>44773</v>
      </c>
      <c r="S10743" t="s">
        <v>45184</v>
      </c>
      <c r="T10743" t="s">
        <v>46370</v>
      </c>
      <c r="U10743" t="s">
        <v>55789</v>
      </c>
      <c r="W10743" t="s">
        <v>44088</v>
      </c>
      <c r="X10743" t="s">
        <v>44774</v>
      </c>
    </row>
    <row r="10744" spans="1:24">
      <c r="A10744">
        <f>HYPERLINK("https://www.philgeps.gov.ph/GEPSNONPILOT/Tender/SplashBidNoticeAbstractUI.aspx?menuIndex=3&amp;refID=7131223&amp;Result=3","7131223")</f>
        <v>0</v>
      </c>
      <c r="B10744" t="s">
        <v>317</v>
      </c>
      <c r="C10744" t="s">
        <v>13964</v>
      </c>
      <c r="D10744" t="s">
        <v>17952</v>
      </c>
      <c r="E10744" t="s">
        <v>27334</v>
      </c>
      <c r="F10744" t="s">
        <v>30900</v>
      </c>
      <c r="G10744" t="s">
        <v>30907</v>
      </c>
      <c r="H10744" t="s">
        <v>30916</v>
      </c>
      <c r="I10744" t="s">
        <v>4454</v>
      </c>
      <c r="J10744" t="s">
        <v>31243</v>
      </c>
      <c r="K10744" t="s">
        <v>40284</v>
      </c>
      <c r="M10744" t="s">
        <v>40868</v>
      </c>
      <c r="N10744" t="s">
        <v>44759</v>
      </c>
      <c r="O10744" t="s">
        <v>44760</v>
      </c>
      <c r="P10744">
        <v>0</v>
      </c>
      <c r="Q10744">
        <v>4</v>
      </c>
      <c r="R10744" t="s">
        <v>44773</v>
      </c>
      <c r="S10744" t="s">
        <v>45184</v>
      </c>
      <c r="T10744" t="s">
        <v>46563</v>
      </c>
      <c r="U10744" t="s">
        <v>50412</v>
      </c>
      <c r="W10744" t="s">
        <v>60824</v>
      </c>
      <c r="X10744" t="s">
        <v>44774</v>
      </c>
    </row>
    <row r="10745" spans="1:24">
      <c r="A10745">
        <f>HYPERLINK("https://www.philgeps.gov.ph/GEPSNONPILOT/Tender/SplashBidNoticeAbstractUI.aspx?menuIndex=3&amp;refID=7131061&amp;Result=3","7131061")</f>
        <v>0</v>
      </c>
      <c r="B10745" t="s">
        <v>1516</v>
      </c>
      <c r="C10745" t="s">
        <v>13965</v>
      </c>
      <c r="D10745" t="s">
        <v>18033</v>
      </c>
      <c r="E10745" t="s">
        <v>27335</v>
      </c>
      <c r="F10745" t="s">
        <v>30900</v>
      </c>
      <c r="G10745" t="s">
        <v>30907</v>
      </c>
      <c r="H10745" t="s">
        <v>30916</v>
      </c>
      <c r="I10745" t="s">
        <v>30919</v>
      </c>
      <c r="J10745" t="s">
        <v>37729</v>
      </c>
      <c r="K10745" t="s">
        <v>40462</v>
      </c>
      <c r="M10745" t="s">
        <v>43062</v>
      </c>
      <c r="N10745" t="s">
        <v>44759</v>
      </c>
      <c r="O10745" t="s">
        <v>44760</v>
      </c>
      <c r="Q10745">
        <v>1</v>
      </c>
      <c r="R10745" t="s">
        <v>44773</v>
      </c>
      <c r="S10745" t="s">
        <v>45208</v>
      </c>
      <c r="T10745" t="s">
        <v>46411</v>
      </c>
      <c r="U10745" t="s">
        <v>55470</v>
      </c>
      <c r="W10745" t="s">
        <v>43062</v>
      </c>
      <c r="X10745" t="s">
        <v>44774</v>
      </c>
    </row>
    <row r="10746" spans="1:24">
      <c r="A10746">
        <f>HYPERLINK("https://www.philgeps.gov.ph/GEPSNONPILOT/Tender/SplashBidNoticeAbstractUI.aspx?menuIndex=3&amp;refID=7131297&amp;Result=3","7131297")</f>
        <v>0</v>
      </c>
      <c r="B10746" t="s">
        <v>3249</v>
      </c>
      <c r="C10746" t="s">
        <v>13966</v>
      </c>
      <c r="D10746" t="s">
        <v>18027</v>
      </c>
      <c r="E10746" t="s">
        <v>27336</v>
      </c>
      <c r="F10746" t="s">
        <v>30899</v>
      </c>
      <c r="G10746" t="s">
        <v>30907</v>
      </c>
      <c r="H10746" t="s">
        <v>30915</v>
      </c>
      <c r="I10746" t="s">
        <v>30919</v>
      </c>
      <c r="J10746" t="s">
        <v>31897</v>
      </c>
      <c r="K10746" t="s">
        <v>40466</v>
      </c>
      <c r="M10746" t="s">
        <v>44094</v>
      </c>
      <c r="N10746" t="s">
        <v>44759</v>
      </c>
      <c r="O10746" t="s">
        <v>44760</v>
      </c>
      <c r="P10746">
        <v>0</v>
      </c>
      <c r="Q10746">
        <v>0</v>
      </c>
      <c r="R10746" t="s">
        <v>44773</v>
      </c>
      <c r="S10746" t="s">
        <v>45184</v>
      </c>
      <c r="T10746" t="s">
        <v>46414</v>
      </c>
      <c r="U10746" t="s">
        <v>55812</v>
      </c>
      <c r="W10746" t="s">
        <v>44094</v>
      </c>
      <c r="X10746" t="s">
        <v>44774</v>
      </c>
    </row>
    <row r="10747" spans="1:24">
      <c r="A10747">
        <f>HYPERLINK("https://www.philgeps.gov.ph/GEPSNONPILOT/Tender/SplashBidNoticeAbstractUI.aspx?menuIndex=3&amp;refID=7131320&amp;Result=3","7131320")</f>
        <v>0</v>
      </c>
      <c r="B10747" t="s">
        <v>408</v>
      </c>
      <c r="C10747" t="s">
        <v>13967</v>
      </c>
      <c r="E10747" t="s">
        <v>27337</v>
      </c>
      <c r="F10747" t="s">
        <v>30900</v>
      </c>
      <c r="G10747" t="s">
        <v>30907</v>
      </c>
      <c r="H10747" t="s">
        <v>30916</v>
      </c>
      <c r="I10747" t="s">
        <v>30933</v>
      </c>
      <c r="J10747" t="s">
        <v>33735</v>
      </c>
      <c r="K10747" t="s">
        <v>40289</v>
      </c>
      <c r="M10747" t="s">
        <v>40964</v>
      </c>
      <c r="N10747" t="s">
        <v>44759</v>
      </c>
      <c r="O10747" t="s">
        <v>44760</v>
      </c>
      <c r="P10747">
        <v>0</v>
      </c>
      <c r="Q10747">
        <v>5</v>
      </c>
      <c r="R10747" t="s">
        <v>44773</v>
      </c>
      <c r="S10747" t="s">
        <v>45184</v>
      </c>
      <c r="T10747" t="s">
        <v>46484</v>
      </c>
      <c r="U10747" t="s">
        <v>55813</v>
      </c>
      <c r="W10747" t="s">
        <v>40964</v>
      </c>
      <c r="X10747" t="s">
        <v>44774</v>
      </c>
    </row>
    <row r="10748" spans="1:24">
      <c r="A10748">
        <f>HYPERLINK("https://www.philgeps.gov.ph/GEPSNONPILOT/Tender/SplashBidNoticeAbstractUI.aspx?menuIndex=3&amp;refID=7131341&amp;Result=3","7131341")</f>
        <v>0</v>
      </c>
      <c r="B10748" t="s">
        <v>2717</v>
      </c>
      <c r="C10748" t="s">
        <v>13968</v>
      </c>
      <c r="D10748" t="s">
        <v>17973</v>
      </c>
      <c r="E10748" t="s">
        <v>27338</v>
      </c>
      <c r="F10748" t="s">
        <v>30900</v>
      </c>
      <c r="G10748" t="s">
        <v>30907</v>
      </c>
      <c r="H10748" t="s">
        <v>30915</v>
      </c>
      <c r="I10748" t="s">
        <v>30919</v>
      </c>
      <c r="J10748" t="s">
        <v>31157</v>
      </c>
      <c r="K10748" t="s">
        <v>40292</v>
      </c>
      <c r="M10748" t="s">
        <v>43492</v>
      </c>
      <c r="N10748" t="s">
        <v>44759</v>
      </c>
      <c r="O10748" t="s">
        <v>44760</v>
      </c>
      <c r="P10748">
        <v>0</v>
      </c>
      <c r="Q10748">
        <v>0</v>
      </c>
      <c r="R10748" t="s">
        <v>44773</v>
      </c>
      <c r="S10748" t="s">
        <v>45184</v>
      </c>
      <c r="T10748" t="s">
        <v>46366</v>
      </c>
      <c r="U10748" t="s">
        <v>55778</v>
      </c>
      <c r="W10748" t="s">
        <v>43492</v>
      </c>
      <c r="X10748" t="s">
        <v>44774</v>
      </c>
    </row>
    <row r="10749" spans="1:24">
      <c r="A10749">
        <f>HYPERLINK("https://www.philgeps.gov.ph/GEPSNONPILOT/Tender/SplashBidNoticeAbstractUI.aspx?menuIndex=3&amp;refID=7131283&amp;Result=3","7131283")</f>
        <v>0</v>
      </c>
      <c r="B10749" t="s">
        <v>3250</v>
      </c>
      <c r="C10749" t="s">
        <v>13969</v>
      </c>
      <c r="E10749" t="s">
        <v>27339</v>
      </c>
      <c r="F10749" t="s">
        <v>30900</v>
      </c>
      <c r="G10749" t="s">
        <v>30907</v>
      </c>
      <c r="H10749" t="s">
        <v>30916</v>
      </c>
      <c r="I10749" t="s">
        <v>4108</v>
      </c>
      <c r="J10749" t="s">
        <v>37730</v>
      </c>
      <c r="K10749" t="s">
        <v>40289</v>
      </c>
      <c r="M10749" t="s">
        <v>44095</v>
      </c>
      <c r="N10749" t="s">
        <v>44759</v>
      </c>
      <c r="O10749" t="s">
        <v>44760</v>
      </c>
      <c r="P10749">
        <v>0</v>
      </c>
      <c r="Q10749">
        <v>2</v>
      </c>
      <c r="R10749" t="s">
        <v>44773</v>
      </c>
      <c r="S10749" t="s">
        <v>45184</v>
      </c>
      <c r="T10749" t="s">
        <v>46503</v>
      </c>
      <c r="U10749" t="s">
        <v>55814</v>
      </c>
      <c r="W10749" t="s">
        <v>44095</v>
      </c>
      <c r="X10749" t="s">
        <v>44774</v>
      </c>
    </row>
    <row r="10750" spans="1:24">
      <c r="A10750">
        <f>HYPERLINK("https://www.philgeps.gov.ph/GEPSNONPILOT/Tender/SplashBidNoticeAbstractUI.aspx?menuIndex=3&amp;refID=7131279&amp;Result=3","7131279")</f>
        <v>0</v>
      </c>
      <c r="B10750" t="s">
        <v>2994</v>
      </c>
      <c r="C10750" t="s">
        <v>13970</v>
      </c>
      <c r="D10750" t="s">
        <v>17961</v>
      </c>
      <c r="E10750" t="s">
        <v>23958</v>
      </c>
      <c r="F10750" t="s">
        <v>30900</v>
      </c>
      <c r="G10750" t="s">
        <v>30907</v>
      </c>
      <c r="H10750" t="s">
        <v>30915</v>
      </c>
      <c r="I10750" t="s">
        <v>30919</v>
      </c>
      <c r="J10750" t="s">
        <v>35377</v>
      </c>
      <c r="K10750" t="s">
        <v>40322</v>
      </c>
      <c r="M10750" t="s">
        <v>43797</v>
      </c>
      <c r="N10750" t="s">
        <v>44759</v>
      </c>
      <c r="O10750" t="s">
        <v>44760</v>
      </c>
      <c r="P10750">
        <v>0</v>
      </c>
      <c r="Q10750">
        <v>1</v>
      </c>
      <c r="R10750" t="s">
        <v>44773</v>
      </c>
      <c r="S10750" t="s">
        <v>45184</v>
      </c>
      <c r="T10750" t="s">
        <v>46504</v>
      </c>
      <c r="U10750" t="s">
        <v>55815</v>
      </c>
      <c r="V10750" t="s">
        <v>60155</v>
      </c>
      <c r="W10750" t="s">
        <v>43797</v>
      </c>
      <c r="X10750" t="s">
        <v>44774</v>
      </c>
    </row>
    <row r="10751" spans="1:24">
      <c r="A10751">
        <f>HYPERLINK("https://www.philgeps.gov.ph/GEPSNONPILOT/Tender/SplashBidNoticeAbstractUI.aspx?menuIndex=3&amp;refID=7131324&amp;Result=3","7131324")</f>
        <v>0</v>
      </c>
      <c r="B10751" t="s">
        <v>894</v>
      </c>
      <c r="C10751" t="s">
        <v>13971</v>
      </c>
      <c r="D10751" t="s">
        <v>18011</v>
      </c>
      <c r="E10751" t="s">
        <v>27340</v>
      </c>
      <c r="F10751" t="s">
        <v>30900</v>
      </c>
      <c r="G10751" t="s">
        <v>30907</v>
      </c>
      <c r="H10751" t="s">
        <v>30915</v>
      </c>
      <c r="I10751" t="s">
        <v>30919</v>
      </c>
      <c r="J10751" t="s">
        <v>37731</v>
      </c>
      <c r="K10751" t="s">
        <v>40489</v>
      </c>
      <c r="M10751" t="s">
        <v>41468</v>
      </c>
      <c r="N10751" t="s">
        <v>44759</v>
      </c>
      <c r="O10751" t="s">
        <v>44760</v>
      </c>
      <c r="Q10751">
        <v>1</v>
      </c>
      <c r="R10751" t="s">
        <v>44773</v>
      </c>
      <c r="S10751" t="s">
        <v>45209</v>
      </c>
      <c r="T10751" t="s">
        <v>46515</v>
      </c>
      <c r="U10751" t="s">
        <v>55816</v>
      </c>
      <c r="W10751" t="s">
        <v>41468</v>
      </c>
      <c r="X10751" t="s">
        <v>44774</v>
      </c>
    </row>
    <row r="10752" spans="1:24">
      <c r="A10752">
        <f>HYPERLINK("https://www.philgeps.gov.ph/GEPSNONPILOT/Tender/SplashBidNoticeAbstractUI.aspx?menuIndex=3&amp;refID=7131271&amp;Result=3","7131271")</f>
        <v>0</v>
      </c>
      <c r="B10752" t="s">
        <v>3251</v>
      </c>
      <c r="C10752" t="s">
        <v>13972</v>
      </c>
      <c r="D10752" t="s">
        <v>18011</v>
      </c>
      <c r="E10752" t="s">
        <v>27341</v>
      </c>
      <c r="F10752" t="s">
        <v>30900</v>
      </c>
      <c r="G10752" t="s">
        <v>30907</v>
      </c>
      <c r="H10752" t="s">
        <v>30916</v>
      </c>
      <c r="I10752" t="s">
        <v>30935</v>
      </c>
      <c r="J10752" t="s">
        <v>37732</v>
      </c>
      <c r="K10752" t="s">
        <v>40292</v>
      </c>
      <c r="M10752" t="s">
        <v>44096</v>
      </c>
      <c r="N10752" t="s">
        <v>44759</v>
      </c>
      <c r="O10752" t="s">
        <v>44760</v>
      </c>
      <c r="P10752">
        <v>0</v>
      </c>
      <c r="Q10752">
        <v>4</v>
      </c>
      <c r="R10752" t="s">
        <v>44773</v>
      </c>
      <c r="S10752" t="s">
        <v>45184</v>
      </c>
      <c r="T10752" t="s">
        <v>46369</v>
      </c>
      <c r="U10752" t="s">
        <v>55817</v>
      </c>
      <c r="W10752" t="s">
        <v>44096</v>
      </c>
      <c r="X10752" t="s">
        <v>44774</v>
      </c>
    </row>
    <row r="10753" spans="1:24">
      <c r="A10753">
        <f>HYPERLINK("https://www.philgeps.gov.ph/GEPSNONPILOT/Tender/SplashBidNoticeAbstractUI.aspx?menuIndex=3&amp;refID=7131346&amp;Result=3","7131346")</f>
        <v>0</v>
      </c>
      <c r="B10753" t="s">
        <v>3252</v>
      </c>
      <c r="C10753" t="s">
        <v>13973</v>
      </c>
      <c r="D10753" t="s">
        <v>17994</v>
      </c>
      <c r="E10753" t="s">
        <v>18787</v>
      </c>
      <c r="F10753" t="s">
        <v>30900</v>
      </c>
      <c r="G10753" t="s">
        <v>30907</v>
      </c>
      <c r="H10753" t="s">
        <v>30916</v>
      </c>
      <c r="I10753" t="s">
        <v>30919</v>
      </c>
      <c r="J10753" t="s">
        <v>37733</v>
      </c>
      <c r="K10753" t="s">
        <v>40304</v>
      </c>
      <c r="M10753" t="s">
        <v>44097</v>
      </c>
      <c r="N10753" t="s">
        <v>44759</v>
      </c>
      <c r="O10753" t="s">
        <v>44760</v>
      </c>
      <c r="P10753">
        <v>0</v>
      </c>
      <c r="Q10753">
        <v>2</v>
      </c>
      <c r="R10753" t="s">
        <v>44773</v>
      </c>
      <c r="S10753" t="s">
        <v>45184</v>
      </c>
      <c r="T10753" t="s">
        <v>46397</v>
      </c>
      <c r="U10753" t="s">
        <v>55818</v>
      </c>
      <c r="V10753" t="s">
        <v>60317</v>
      </c>
      <c r="W10753" t="s">
        <v>44097</v>
      </c>
      <c r="X10753" t="s">
        <v>44774</v>
      </c>
    </row>
    <row r="10754" spans="1:24">
      <c r="A10754">
        <f>HYPERLINK("https://www.philgeps.gov.ph/GEPSNONPILOT/Tender/SplashBidNoticeAbstractUI.aspx?menuIndex=3&amp;refID=7131494&amp;Result=3","7131494")</f>
        <v>0</v>
      </c>
      <c r="B10754" t="s">
        <v>3253</v>
      </c>
      <c r="C10754" t="s">
        <v>13974</v>
      </c>
      <c r="D10754" t="s">
        <v>17959</v>
      </c>
      <c r="E10754" t="s">
        <v>27342</v>
      </c>
      <c r="F10754" t="s">
        <v>30900</v>
      </c>
      <c r="G10754" t="s">
        <v>30907</v>
      </c>
      <c r="H10754" t="s">
        <v>30916</v>
      </c>
      <c r="I10754" t="s">
        <v>30924</v>
      </c>
      <c r="J10754" t="s">
        <v>37734</v>
      </c>
      <c r="K10754" t="s">
        <v>40286</v>
      </c>
      <c r="M10754" t="s">
        <v>44098</v>
      </c>
      <c r="N10754" t="s">
        <v>44759</v>
      </c>
      <c r="O10754" t="s">
        <v>44760</v>
      </c>
      <c r="P10754">
        <v>0</v>
      </c>
      <c r="Q10754">
        <v>17</v>
      </c>
      <c r="R10754" t="s">
        <v>44773</v>
      </c>
      <c r="S10754" t="s">
        <v>45184</v>
      </c>
      <c r="T10754" t="s">
        <v>46865</v>
      </c>
      <c r="U10754" t="s">
        <v>55819</v>
      </c>
      <c r="W10754" t="s">
        <v>44098</v>
      </c>
      <c r="X10754" t="s">
        <v>44774</v>
      </c>
    </row>
    <row r="10755" spans="1:24">
      <c r="A10755">
        <f>HYPERLINK("https://www.philgeps.gov.ph/GEPSNONPILOT/Tender/SplashBidNoticeAbstractUI.aspx?menuIndex=3&amp;refID=7131298&amp;Result=3","7131298")</f>
        <v>0</v>
      </c>
      <c r="B10755" t="s">
        <v>1250</v>
      </c>
      <c r="C10755" t="s">
        <v>6597</v>
      </c>
      <c r="D10755" t="s">
        <v>17953</v>
      </c>
      <c r="E10755" t="s">
        <v>27343</v>
      </c>
      <c r="F10755" t="s">
        <v>30900</v>
      </c>
      <c r="G10755" t="s">
        <v>30907</v>
      </c>
      <c r="H10755" t="s">
        <v>30916</v>
      </c>
      <c r="I10755" t="s">
        <v>4050</v>
      </c>
      <c r="J10755" t="s">
        <v>37735</v>
      </c>
      <c r="K10755" t="s">
        <v>40286</v>
      </c>
      <c r="M10755" t="s">
        <v>41862</v>
      </c>
      <c r="N10755" t="s">
        <v>44759</v>
      </c>
      <c r="O10755" t="s">
        <v>44760</v>
      </c>
      <c r="P10755">
        <v>0</v>
      </c>
      <c r="Q10755">
        <v>0</v>
      </c>
      <c r="R10755" t="s">
        <v>44773</v>
      </c>
      <c r="S10755" t="s">
        <v>45184</v>
      </c>
      <c r="T10755" t="s">
        <v>46658</v>
      </c>
      <c r="U10755" t="s">
        <v>55820</v>
      </c>
      <c r="W10755" t="s">
        <v>41862</v>
      </c>
      <c r="X10755" t="s">
        <v>44774</v>
      </c>
    </row>
    <row r="10756" spans="1:24">
      <c r="A10756">
        <f>HYPERLINK("https://www.philgeps.gov.ph/GEPSNONPILOT/Tender/SplashBidNoticeAbstractUI.aspx?menuIndex=3&amp;refID=7131480&amp;Result=3","7131480")</f>
        <v>0</v>
      </c>
      <c r="B10756" t="s">
        <v>2608</v>
      </c>
      <c r="C10756" t="s">
        <v>13975</v>
      </c>
      <c r="D10756" t="s">
        <v>17979</v>
      </c>
      <c r="E10756" t="s">
        <v>22492</v>
      </c>
      <c r="F10756" t="s">
        <v>30900</v>
      </c>
      <c r="G10756" t="s">
        <v>30907</v>
      </c>
      <c r="H10756" t="s">
        <v>30915</v>
      </c>
      <c r="I10756" t="s">
        <v>30919</v>
      </c>
      <c r="J10756" t="s">
        <v>31211</v>
      </c>
      <c r="K10756" t="s">
        <v>40287</v>
      </c>
      <c r="M10756" t="s">
        <v>43371</v>
      </c>
      <c r="N10756" t="s">
        <v>44759</v>
      </c>
      <c r="O10756" t="s">
        <v>44760</v>
      </c>
      <c r="P10756">
        <v>0</v>
      </c>
      <c r="Q10756">
        <v>0</v>
      </c>
      <c r="R10756" t="s">
        <v>44773</v>
      </c>
      <c r="S10756" t="s">
        <v>45184</v>
      </c>
      <c r="T10756" t="s">
        <v>46686</v>
      </c>
      <c r="U10756" t="s">
        <v>55821</v>
      </c>
      <c r="W10756" t="s">
        <v>43371</v>
      </c>
      <c r="X10756" t="s">
        <v>44774</v>
      </c>
    </row>
    <row r="10757" spans="1:24">
      <c r="A10757">
        <f>HYPERLINK("https://www.philgeps.gov.ph/GEPSNONPILOT/Tender/SplashBidNoticeAbstractUI.aspx?menuIndex=3&amp;refID=7131321&amp;Result=3","7131321")</f>
        <v>0</v>
      </c>
      <c r="B10757" t="s">
        <v>317</v>
      </c>
      <c r="C10757" t="s">
        <v>13976</v>
      </c>
      <c r="D10757" t="s">
        <v>17952</v>
      </c>
      <c r="E10757" t="s">
        <v>27344</v>
      </c>
      <c r="F10757" t="s">
        <v>30900</v>
      </c>
      <c r="G10757" t="s">
        <v>30907</v>
      </c>
      <c r="H10757" t="s">
        <v>30916</v>
      </c>
      <c r="I10757" t="s">
        <v>4545</v>
      </c>
      <c r="J10757" t="s">
        <v>37736</v>
      </c>
      <c r="K10757" t="s">
        <v>40284</v>
      </c>
      <c r="M10757" t="s">
        <v>40868</v>
      </c>
      <c r="N10757" t="s">
        <v>44759</v>
      </c>
      <c r="O10757" t="s">
        <v>44760</v>
      </c>
      <c r="P10757">
        <v>0</v>
      </c>
      <c r="Q10757">
        <v>6</v>
      </c>
      <c r="R10757" t="s">
        <v>44773</v>
      </c>
      <c r="S10757" t="s">
        <v>45184</v>
      </c>
      <c r="T10757" t="s">
        <v>46563</v>
      </c>
      <c r="U10757" t="s">
        <v>50412</v>
      </c>
      <c r="W10757" t="s">
        <v>60824</v>
      </c>
      <c r="X10757" t="s">
        <v>44774</v>
      </c>
    </row>
    <row r="10758" spans="1:24">
      <c r="A10758">
        <f>HYPERLINK("https://www.philgeps.gov.ph/GEPSNONPILOT/Tender/SplashBidNoticeAbstractUI.aspx?menuIndex=3&amp;refID=7131128&amp;Result=3","7131128")</f>
        <v>0</v>
      </c>
      <c r="B10758" t="s">
        <v>854</v>
      </c>
      <c r="C10758" t="s">
        <v>13977</v>
      </c>
      <c r="D10758" t="s">
        <v>17963</v>
      </c>
      <c r="E10758" t="s">
        <v>27345</v>
      </c>
      <c r="F10758" t="s">
        <v>30900</v>
      </c>
      <c r="G10758" t="s">
        <v>30907</v>
      </c>
      <c r="H10758" t="s">
        <v>30915</v>
      </c>
      <c r="I10758" t="s">
        <v>30919</v>
      </c>
      <c r="J10758" t="s">
        <v>31153</v>
      </c>
      <c r="K10758" t="s">
        <v>40292</v>
      </c>
      <c r="M10758" t="s">
        <v>41427</v>
      </c>
      <c r="N10758" t="s">
        <v>44759</v>
      </c>
      <c r="O10758" t="s">
        <v>44760</v>
      </c>
      <c r="P10758">
        <v>0</v>
      </c>
      <c r="Q10758">
        <v>0</v>
      </c>
      <c r="R10758" t="s">
        <v>44773</v>
      </c>
      <c r="S10758" t="s">
        <v>45184</v>
      </c>
      <c r="T10758" t="s">
        <v>46353</v>
      </c>
      <c r="U10758" t="s">
        <v>55822</v>
      </c>
      <c r="V10758" t="s">
        <v>59319</v>
      </c>
      <c r="W10758" t="s">
        <v>41427</v>
      </c>
      <c r="X10758" t="s">
        <v>44774</v>
      </c>
    </row>
    <row r="10759" spans="1:24">
      <c r="A10759">
        <f>HYPERLINK("https://www.philgeps.gov.ph/GEPSNONPILOT/Tender/SplashBidNoticeAbstractUI.aspx?menuIndex=3&amp;refID=7131462&amp;Result=3","7131462")</f>
        <v>0</v>
      </c>
      <c r="B10759" t="s">
        <v>3254</v>
      </c>
      <c r="C10759" t="s">
        <v>13978</v>
      </c>
      <c r="D10759" t="s">
        <v>17963</v>
      </c>
      <c r="E10759" t="s">
        <v>27346</v>
      </c>
      <c r="F10759" t="s">
        <v>30900</v>
      </c>
      <c r="G10759" t="s">
        <v>30907</v>
      </c>
      <c r="H10759" t="s">
        <v>30916</v>
      </c>
      <c r="I10759" t="s">
        <v>8123</v>
      </c>
      <c r="J10759" t="s">
        <v>37737</v>
      </c>
      <c r="K10759" t="s">
        <v>40280</v>
      </c>
      <c r="L10759" t="s">
        <v>3254</v>
      </c>
      <c r="M10759" t="s">
        <v>44099</v>
      </c>
      <c r="N10759" t="s">
        <v>44759</v>
      </c>
      <c r="O10759" t="s">
        <v>44760</v>
      </c>
      <c r="Q10759">
        <v>0</v>
      </c>
      <c r="R10759" t="s">
        <v>44773</v>
      </c>
      <c r="S10759" t="s">
        <v>45194</v>
      </c>
      <c r="T10759" t="s">
        <v>46352</v>
      </c>
      <c r="U10759" t="s">
        <v>55823</v>
      </c>
      <c r="W10759" t="s">
        <v>44099</v>
      </c>
      <c r="X10759" t="s">
        <v>44774</v>
      </c>
    </row>
    <row r="10760" spans="1:24">
      <c r="A10760">
        <f>HYPERLINK("https://www.philgeps.gov.ph/GEPSNONPILOT/Tender/SplashBidNoticeAbstractUI.aspx?menuIndex=3&amp;refID=7131449&amp;Result=3","7131449")</f>
        <v>0</v>
      </c>
      <c r="B10760" t="s">
        <v>1250</v>
      </c>
      <c r="C10760" t="s">
        <v>6645</v>
      </c>
      <c r="D10760" t="s">
        <v>17953</v>
      </c>
      <c r="E10760" t="s">
        <v>27347</v>
      </c>
      <c r="F10760" t="s">
        <v>30900</v>
      </c>
      <c r="G10760" t="s">
        <v>30907</v>
      </c>
      <c r="H10760" t="s">
        <v>30916</v>
      </c>
      <c r="I10760" t="s">
        <v>30945</v>
      </c>
      <c r="J10760" t="s">
        <v>31247</v>
      </c>
      <c r="K10760" t="s">
        <v>40286</v>
      </c>
      <c r="M10760" t="s">
        <v>41862</v>
      </c>
      <c r="N10760" t="s">
        <v>44759</v>
      </c>
      <c r="O10760" t="s">
        <v>44760</v>
      </c>
      <c r="P10760">
        <v>0</v>
      </c>
      <c r="Q10760">
        <v>0</v>
      </c>
      <c r="R10760" t="s">
        <v>44773</v>
      </c>
      <c r="S10760" t="s">
        <v>45184</v>
      </c>
      <c r="T10760" t="s">
        <v>46658</v>
      </c>
      <c r="U10760" t="s">
        <v>55824</v>
      </c>
      <c r="W10760" t="s">
        <v>41862</v>
      </c>
      <c r="X10760" t="s">
        <v>44774</v>
      </c>
    </row>
    <row r="10761" spans="1:24">
      <c r="A10761">
        <f>HYPERLINK("https://www.philgeps.gov.ph/GEPSNONPILOT/Tender/SplashBidNoticeAbstractUI.aspx?menuIndex=3&amp;refID=7131423&amp;Result=3","7131423")</f>
        <v>0</v>
      </c>
      <c r="B10761" t="s">
        <v>1822</v>
      </c>
      <c r="C10761" t="s">
        <v>13979</v>
      </c>
      <c r="D10761" t="s">
        <v>18033</v>
      </c>
      <c r="E10761" t="s">
        <v>27348</v>
      </c>
      <c r="F10761" t="s">
        <v>30900</v>
      </c>
      <c r="G10761" t="s">
        <v>30907</v>
      </c>
      <c r="H10761" t="s">
        <v>30915</v>
      </c>
      <c r="I10761" t="s">
        <v>30919</v>
      </c>
      <c r="J10761" t="s">
        <v>37738</v>
      </c>
      <c r="K10761" t="s">
        <v>40476</v>
      </c>
      <c r="M10761" t="s">
        <v>42495</v>
      </c>
      <c r="N10761" t="s">
        <v>44759</v>
      </c>
      <c r="O10761" t="s">
        <v>44760</v>
      </c>
      <c r="Q10761">
        <v>0</v>
      </c>
      <c r="R10761" t="s">
        <v>44773</v>
      </c>
      <c r="S10761" t="s">
        <v>45210</v>
      </c>
      <c r="T10761" t="s">
        <v>46866</v>
      </c>
      <c r="U10761" t="s">
        <v>55728</v>
      </c>
      <c r="V10761" t="s">
        <v>60318</v>
      </c>
      <c r="W10761" t="s">
        <v>42495</v>
      </c>
      <c r="X10761" t="s">
        <v>44774</v>
      </c>
    </row>
    <row r="10762" spans="1:24">
      <c r="A10762">
        <f>HYPERLINK("https://www.philgeps.gov.ph/GEPSNONPILOT/Tender/SplashBidNoticeAbstractUI.aspx?menuIndex=3&amp;refID=7131488&amp;Result=3","7131488")</f>
        <v>0</v>
      </c>
      <c r="B10762" t="s">
        <v>521</v>
      </c>
      <c r="C10762" t="s">
        <v>13980</v>
      </c>
      <c r="D10762" t="s">
        <v>17978</v>
      </c>
      <c r="E10762" t="s">
        <v>27349</v>
      </c>
      <c r="F10762" t="s">
        <v>30900</v>
      </c>
      <c r="G10762" t="s">
        <v>30907</v>
      </c>
      <c r="H10762" t="s">
        <v>30916</v>
      </c>
      <c r="I10762" t="s">
        <v>4108</v>
      </c>
      <c r="J10762" t="s">
        <v>37739</v>
      </c>
      <c r="K10762" t="s">
        <v>40284</v>
      </c>
      <c r="M10762" t="s">
        <v>41081</v>
      </c>
      <c r="N10762" t="s">
        <v>44759</v>
      </c>
      <c r="O10762" t="s">
        <v>44760</v>
      </c>
      <c r="P10762">
        <v>0</v>
      </c>
      <c r="Q10762">
        <v>0</v>
      </c>
      <c r="R10762" t="s">
        <v>44773</v>
      </c>
      <c r="S10762" t="s">
        <v>45184</v>
      </c>
      <c r="T10762" t="s">
        <v>46364</v>
      </c>
      <c r="U10762" t="s">
        <v>55825</v>
      </c>
      <c r="W10762" t="s">
        <v>41081</v>
      </c>
      <c r="X10762" t="s">
        <v>44774</v>
      </c>
    </row>
    <row r="10763" spans="1:24">
      <c r="A10763">
        <f>HYPERLINK("https://www.philgeps.gov.ph/GEPSNONPILOT/Tender/SplashBidNoticeAbstractUI.aspx?menuIndex=3&amp;refID=7131409&amp;Result=3","7131409")</f>
        <v>0</v>
      </c>
      <c r="B10763" t="s">
        <v>3255</v>
      </c>
      <c r="C10763" t="s">
        <v>13981</v>
      </c>
      <c r="E10763" t="s">
        <v>27350</v>
      </c>
      <c r="F10763" t="s">
        <v>30900</v>
      </c>
      <c r="G10763" t="s">
        <v>30907</v>
      </c>
      <c r="H10763" t="s">
        <v>30916</v>
      </c>
      <c r="I10763" t="s">
        <v>30921</v>
      </c>
      <c r="J10763" t="s">
        <v>31094</v>
      </c>
      <c r="K10763" t="s">
        <v>40280</v>
      </c>
      <c r="M10763" t="s">
        <v>44100</v>
      </c>
      <c r="N10763" t="s">
        <v>44759</v>
      </c>
      <c r="O10763" t="s">
        <v>44760</v>
      </c>
      <c r="Q10763">
        <v>6</v>
      </c>
      <c r="R10763" t="s">
        <v>44773</v>
      </c>
      <c r="S10763" t="s">
        <v>45211</v>
      </c>
      <c r="T10763" t="s">
        <v>46867</v>
      </c>
      <c r="U10763" t="s">
        <v>55826</v>
      </c>
      <c r="W10763" t="s">
        <v>44100</v>
      </c>
      <c r="X10763" t="s">
        <v>44774</v>
      </c>
    </row>
    <row r="10764" spans="1:24">
      <c r="A10764">
        <f>HYPERLINK("https://www.philgeps.gov.ph/GEPSNONPILOT/Tender/SplashBidNoticeAbstractUI.aspx?menuIndex=3&amp;refID=7131473&amp;Result=3","7131473")</f>
        <v>0</v>
      </c>
      <c r="B10764" t="s">
        <v>2697</v>
      </c>
      <c r="C10764" t="s">
        <v>13982</v>
      </c>
      <c r="D10764" t="s">
        <v>17973</v>
      </c>
      <c r="E10764" t="s">
        <v>27351</v>
      </c>
      <c r="F10764" t="s">
        <v>30900</v>
      </c>
      <c r="G10764" t="s">
        <v>30907</v>
      </c>
      <c r="H10764" t="s">
        <v>30915</v>
      </c>
      <c r="I10764" t="s">
        <v>30919</v>
      </c>
      <c r="J10764" t="s">
        <v>37740</v>
      </c>
      <c r="K10764" t="s">
        <v>40335</v>
      </c>
      <c r="M10764" t="s">
        <v>43470</v>
      </c>
      <c r="N10764" t="s">
        <v>44759</v>
      </c>
      <c r="O10764" t="s">
        <v>44760</v>
      </c>
      <c r="P10764">
        <v>0</v>
      </c>
      <c r="Q10764">
        <v>0</v>
      </c>
      <c r="R10764" t="s">
        <v>44773</v>
      </c>
      <c r="S10764" t="s">
        <v>45184</v>
      </c>
      <c r="T10764" t="s">
        <v>46466</v>
      </c>
      <c r="U10764" t="s">
        <v>55827</v>
      </c>
      <c r="W10764" t="s">
        <v>44186</v>
      </c>
      <c r="X10764" t="s">
        <v>44774</v>
      </c>
    </row>
    <row r="10765" spans="1:24">
      <c r="A10765">
        <f>HYPERLINK("https://www.philgeps.gov.ph/GEPSNONPILOT/Tender/SplashBidNoticeAbstractUI.aspx?menuIndex=3&amp;refID=7131402&amp;Result=3","7131402")</f>
        <v>0</v>
      </c>
      <c r="B10765" t="s">
        <v>1406</v>
      </c>
      <c r="C10765" t="s">
        <v>6975</v>
      </c>
      <c r="D10765" t="s">
        <v>17971</v>
      </c>
      <c r="E10765" t="s">
        <v>27352</v>
      </c>
      <c r="F10765" t="s">
        <v>30900</v>
      </c>
      <c r="G10765" t="s">
        <v>30907</v>
      </c>
      <c r="H10765" t="s">
        <v>30916</v>
      </c>
      <c r="I10765" t="s">
        <v>8123</v>
      </c>
      <c r="J10765" t="s">
        <v>37741</v>
      </c>
      <c r="K10765" t="s">
        <v>40284</v>
      </c>
      <c r="M10765" t="s">
        <v>42035</v>
      </c>
      <c r="N10765" t="s">
        <v>44759</v>
      </c>
      <c r="O10765" t="s">
        <v>44760</v>
      </c>
      <c r="P10765">
        <v>0</v>
      </c>
      <c r="Q10765">
        <v>2</v>
      </c>
      <c r="R10765" t="s">
        <v>44773</v>
      </c>
      <c r="S10765" t="s">
        <v>45184</v>
      </c>
      <c r="T10765" t="s">
        <v>46404</v>
      </c>
      <c r="U10765" t="s">
        <v>55828</v>
      </c>
      <c r="W10765" t="s">
        <v>42035</v>
      </c>
      <c r="X10765" t="s">
        <v>44774</v>
      </c>
    </row>
    <row r="10766" spans="1:24">
      <c r="A10766">
        <f>HYPERLINK("https://www.philgeps.gov.ph/GEPSNONPILOT/Tender/SplashBidNoticeAbstractUI.aspx?menuIndex=3&amp;refID=7131396&amp;Result=3","7131396")</f>
        <v>0</v>
      </c>
      <c r="B10766" t="s">
        <v>3256</v>
      </c>
      <c r="C10766" t="s">
        <v>13983</v>
      </c>
      <c r="D10766" t="s">
        <v>18000</v>
      </c>
      <c r="E10766" t="s">
        <v>27353</v>
      </c>
      <c r="F10766" t="s">
        <v>30900</v>
      </c>
      <c r="G10766" t="s">
        <v>30907</v>
      </c>
      <c r="H10766" t="s">
        <v>30916</v>
      </c>
      <c r="I10766" t="s">
        <v>8123</v>
      </c>
      <c r="J10766" t="s">
        <v>36031</v>
      </c>
      <c r="K10766" t="s">
        <v>40287</v>
      </c>
      <c r="M10766" t="s">
        <v>44101</v>
      </c>
      <c r="N10766" t="s">
        <v>44759</v>
      </c>
      <c r="O10766" t="s">
        <v>44760</v>
      </c>
      <c r="P10766">
        <v>0</v>
      </c>
      <c r="Q10766">
        <v>0</v>
      </c>
      <c r="R10766" t="s">
        <v>44773</v>
      </c>
      <c r="S10766" t="s">
        <v>45184</v>
      </c>
      <c r="T10766" t="s">
        <v>46404</v>
      </c>
      <c r="U10766" t="s">
        <v>55829</v>
      </c>
      <c r="W10766" t="s">
        <v>44101</v>
      </c>
      <c r="X10766" t="s">
        <v>44774</v>
      </c>
    </row>
    <row r="10767" spans="1:24">
      <c r="A10767">
        <f>HYPERLINK("https://www.philgeps.gov.ph/GEPSNONPILOT/Tender/SplashBidNoticeAbstractUI.aspx?menuIndex=3&amp;refID=7131378&amp;Result=3","7131378")</f>
        <v>0</v>
      </c>
      <c r="B10767" t="s">
        <v>1406</v>
      </c>
      <c r="C10767" t="s">
        <v>8615</v>
      </c>
      <c r="D10767" t="s">
        <v>17971</v>
      </c>
      <c r="E10767" t="s">
        <v>27354</v>
      </c>
      <c r="F10767" t="s">
        <v>30900</v>
      </c>
      <c r="G10767" t="s">
        <v>30907</v>
      </c>
      <c r="H10767" t="s">
        <v>30916</v>
      </c>
      <c r="I10767" t="s">
        <v>8123</v>
      </c>
      <c r="J10767" t="s">
        <v>31049</v>
      </c>
      <c r="K10767" t="s">
        <v>40284</v>
      </c>
      <c r="M10767" t="s">
        <v>42035</v>
      </c>
      <c r="N10767" t="s">
        <v>44759</v>
      </c>
      <c r="O10767" t="s">
        <v>44760</v>
      </c>
      <c r="P10767">
        <v>0</v>
      </c>
      <c r="Q10767">
        <v>2</v>
      </c>
      <c r="R10767" t="s">
        <v>44773</v>
      </c>
      <c r="S10767" t="s">
        <v>45184</v>
      </c>
      <c r="T10767" t="s">
        <v>46404</v>
      </c>
      <c r="U10767" t="s">
        <v>55830</v>
      </c>
      <c r="W10767" t="s">
        <v>42035</v>
      </c>
      <c r="X10767" t="s">
        <v>44774</v>
      </c>
    </row>
    <row r="10768" spans="1:24">
      <c r="A10768">
        <f>HYPERLINK("https://www.philgeps.gov.ph/GEPSNONPILOT/Tender/SplashBidNoticeAbstractUI.aspx?menuIndex=3&amp;refID=7131374&amp;Result=3","7131374")</f>
        <v>0</v>
      </c>
      <c r="B10768" t="s">
        <v>1281</v>
      </c>
      <c r="C10768" t="s">
        <v>13984</v>
      </c>
      <c r="D10768" t="s">
        <v>17966</v>
      </c>
      <c r="E10768" t="s">
        <v>27355</v>
      </c>
      <c r="F10768" t="s">
        <v>30900</v>
      </c>
      <c r="G10768" t="s">
        <v>30907</v>
      </c>
      <c r="H10768" t="s">
        <v>30916</v>
      </c>
      <c r="I10768" t="s">
        <v>30933</v>
      </c>
      <c r="J10768" t="s">
        <v>32049</v>
      </c>
      <c r="K10768" t="s">
        <v>40292</v>
      </c>
      <c r="M10768" t="s">
        <v>41898</v>
      </c>
      <c r="N10768" t="s">
        <v>44759</v>
      </c>
      <c r="O10768" t="s">
        <v>44760</v>
      </c>
      <c r="P10768">
        <v>0</v>
      </c>
      <c r="Q10768">
        <v>1</v>
      </c>
      <c r="R10768" t="s">
        <v>44773</v>
      </c>
      <c r="S10768" t="s">
        <v>45184</v>
      </c>
      <c r="T10768" t="s">
        <v>46545</v>
      </c>
      <c r="U10768" t="s">
        <v>55831</v>
      </c>
      <c r="W10768" t="s">
        <v>60856</v>
      </c>
      <c r="X10768" t="s">
        <v>44774</v>
      </c>
    </row>
    <row r="10769" spans="1:24">
      <c r="A10769">
        <f>HYPERLINK("https://www.philgeps.gov.ph/GEPSNONPILOT/Tender/SplashBidNoticeAbstractUI.aspx?menuIndex=3&amp;refID=7131434&amp;Result=3","7131434")</f>
        <v>0</v>
      </c>
      <c r="B10769" t="s">
        <v>3257</v>
      </c>
      <c r="C10769" t="s">
        <v>13985</v>
      </c>
      <c r="D10769" t="s">
        <v>17980</v>
      </c>
      <c r="E10769" t="s">
        <v>27356</v>
      </c>
      <c r="F10769" t="s">
        <v>30900</v>
      </c>
      <c r="G10769" t="s">
        <v>30907</v>
      </c>
      <c r="H10769" t="s">
        <v>30916</v>
      </c>
      <c r="I10769" t="s">
        <v>4017</v>
      </c>
      <c r="J10769" t="s">
        <v>37742</v>
      </c>
      <c r="K10769" t="s">
        <v>40284</v>
      </c>
      <c r="M10769" t="s">
        <v>44102</v>
      </c>
      <c r="N10769" t="s">
        <v>44759</v>
      </c>
      <c r="O10769" t="s">
        <v>44760</v>
      </c>
      <c r="P10769">
        <v>0</v>
      </c>
      <c r="Q10769">
        <v>3</v>
      </c>
      <c r="R10769" t="s">
        <v>44773</v>
      </c>
      <c r="S10769" t="s">
        <v>45184</v>
      </c>
      <c r="T10769" t="s">
        <v>46752</v>
      </c>
      <c r="U10769" t="s">
        <v>55832</v>
      </c>
      <c r="W10769" t="s">
        <v>44102</v>
      </c>
      <c r="X10769" t="s">
        <v>44774</v>
      </c>
    </row>
    <row r="10770" spans="1:24">
      <c r="A10770">
        <f>HYPERLINK("https://www.philgeps.gov.ph/GEPSNONPILOT/Tender/SplashBidNoticeAbstractUI.aspx?menuIndex=3&amp;refID=7131433&amp;Result=3","7131433")</f>
        <v>0</v>
      </c>
      <c r="B10770" t="s">
        <v>3004</v>
      </c>
      <c r="C10770" t="s">
        <v>13986</v>
      </c>
      <c r="D10770" t="s">
        <v>17978</v>
      </c>
      <c r="E10770" t="s">
        <v>22992</v>
      </c>
      <c r="F10770" t="s">
        <v>30900</v>
      </c>
      <c r="G10770" t="s">
        <v>30907</v>
      </c>
      <c r="H10770" t="s">
        <v>30916</v>
      </c>
      <c r="I10770" t="s">
        <v>5501</v>
      </c>
      <c r="J10770" t="s">
        <v>37743</v>
      </c>
      <c r="K10770" t="s">
        <v>40283</v>
      </c>
      <c r="M10770" t="s">
        <v>43809</v>
      </c>
      <c r="N10770" t="s">
        <v>44759</v>
      </c>
      <c r="O10770" t="s">
        <v>44760</v>
      </c>
      <c r="P10770">
        <v>0</v>
      </c>
      <c r="Q10770">
        <v>3</v>
      </c>
      <c r="R10770" t="s">
        <v>44773</v>
      </c>
      <c r="S10770" t="s">
        <v>45184</v>
      </c>
      <c r="T10770" t="s">
        <v>46352</v>
      </c>
      <c r="U10770" t="s">
        <v>55833</v>
      </c>
      <c r="W10770" t="s">
        <v>43809</v>
      </c>
      <c r="X10770" t="s">
        <v>44774</v>
      </c>
    </row>
    <row r="10771" spans="1:24">
      <c r="A10771">
        <f>HYPERLINK("https://www.philgeps.gov.ph/GEPSNONPILOT/Tender/SplashBidNoticeAbstractUI.aspx?menuIndex=3&amp;refID=7131296&amp;Result=3","7131296")</f>
        <v>0</v>
      </c>
      <c r="B10771" t="s">
        <v>2717</v>
      </c>
      <c r="C10771" t="s">
        <v>13987</v>
      </c>
      <c r="D10771" t="s">
        <v>17973</v>
      </c>
      <c r="E10771" t="s">
        <v>27357</v>
      </c>
      <c r="F10771" t="s">
        <v>30900</v>
      </c>
      <c r="G10771" t="s">
        <v>30907</v>
      </c>
      <c r="H10771" t="s">
        <v>30915</v>
      </c>
      <c r="I10771" t="s">
        <v>30919</v>
      </c>
      <c r="J10771" t="s">
        <v>37744</v>
      </c>
      <c r="K10771" t="s">
        <v>40488</v>
      </c>
      <c r="M10771" t="s">
        <v>43492</v>
      </c>
      <c r="N10771" t="s">
        <v>44759</v>
      </c>
      <c r="O10771" t="s">
        <v>44760</v>
      </c>
      <c r="P10771">
        <v>0</v>
      </c>
      <c r="Q10771">
        <v>0</v>
      </c>
      <c r="R10771" t="s">
        <v>44773</v>
      </c>
      <c r="S10771" t="s">
        <v>45184</v>
      </c>
      <c r="T10771" t="s">
        <v>46366</v>
      </c>
      <c r="U10771" t="s">
        <v>55834</v>
      </c>
      <c r="W10771" t="s">
        <v>43492</v>
      </c>
      <c r="X10771" t="s">
        <v>44774</v>
      </c>
    </row>
    <row r="10772" spans="1:24">
      <c r="A10772">
        <f>HYPERLINK("https://www.philgeps.gov.ph/GEPSNONPILOT/Tender/SplashBidNoticeAbstractUI.aspx?menuIndex=3&amp;refID=7131370&amp;Result=3","7131370")</f>
        <v>0</v>
      </c>
      <c r="B10772" t="s">
        <v>1604</v>
      </c>
      <c r="C10772" t="s">
        <v>13988</v>
      </c>
      <c r="D10772" t="s">
        <v>18025</v>
      </c>
      <c r="E10772" t="s">
        <v>27358</v>
      </c>
      <c r="F10772" t="s">
        <v>30900</v>
      </c>
      <c r="G10772" t="s">
        <v>30907</v>
      </c>
      <c r="H10772" t="s">
        <v>30916</v>
      </c>
      <c r="I10772" t="s">
        <v>5501</v>
      </c>
      <c r="J10772" t="s">
        <v>36620</v>
      </c>
      <c r="K10772" t="s">
        <v>40280</v>
      </c>
      <c r="M10772" t="s">
        <v>42254</v>
      </c>
      <c r="N10772" t="s">
        <v>44759</v>
      </c>
      <c r="O10772" t="s">
        <v>44760</v>
      </c>
      <c r="P10772">
        <v>0</v>
      </c>
      <c r="Q10772">
        <v>10</v>
      </c>
      <c r="R10772" t="s">
        <v>44773</v>
      </c>
      <c r="S10772" t="s">
        <v>45184</v>
      </c>
      <c r="T10772" t="s">
        <v>46363</v>
      </c>
      <c r="U10772" t="s">
        <v>55835</v>
      </c>
      <c r="W10772" t="s">
        <v>42254</v>
      </c>
      <c r="X10772" t="s">
        <v>44774</v>
      </c>
    </row>
    <row r="10773" spans="1:24">
      <c r="A10773">
        <f>HYPERLINK("https://www.philgeps.gov.ph/GEPSNONPILOT/Tender/SplashBidNoticeAbstractUI.aspx?menuIndex=3&amp;refID=7131376&amp;Result=3","7131376")</f>
        <v>0</v>
      </c>
      <c r="B10773" t="s">
        <v>2717</v>
      </c>
      <c r="C10773" t="s">
        <v>13989</v>
      </c>
      <c r="D10773" t="s">
        <v>17973</v>
      </c>
      <c r="E10773" t="s">
        <v>27359</v>
      </c>
      <c r="F10773" t="s">
        <v>30900</v>
      </c>
      <c r="G10773" t="s">
        <v>30907</v>
      </c>
      <c r="H10773" t="s">
        <v>30915</v>
      </c>
      <c r="I10773" t="s">
        <v>30919</v>
      </c>
      <c r="J10773" t="s">
        <v>31152</v>
      </c>
      <c r="K10773" t="s">
        <v>40280</v>
      </c>
      <c r="M10773" t="s">
        <v>43492</v>
      </c>
      <c r="N10773" t="s">
        <v>44759</v>
      </c>
      <c r="O10773" t="s">
        <v>44760</v>
      </c>
      <c r="P10773">
        <v>0</v>
      </c>
      <c r="Q10773">
        <v>0</v>
      </c>
      <c r="R10773" t="s">
        <v>44773</v>
      </c>
      <c r="S10773" t="s">
        <v>45184</v>
      </c>
      <c r="T10773" t="s">
        <v>46366</v>
      </c>
      <c r="U10773" t="s">
        <v>55791</v>
      </c>
      <c r="W10773" t="s">
        <v>43492</v>
      </c>
      <c r="X10773" t="s">
        <v>44774</v>
      </c>
    </row>
    <row r="10774" spans="1:24">
      <c r="A10774">
        <f>HYPERLINK("https://www.philgeps.gov.ph/GEPSNONPILOT/Tender/SplashBidNoticeAbstractUI.aspx?menuIndex=3&amp;refID=7131639&amp;Result=3","7131639")</f>
        <v>0</v>
      </c>
      <c r="B10774" t="s">
        <v>3258</v>
      </c>
      <c r="C10774" t="s">
        <v>13990</v>
      </c>
      <c r="D10774" t="s">
        <v>18017</v>
      </c>
      <c r="E10774" t="s">
        <v>20897</v>
      </c>
      <c r="F10774" t="s">
        <v>30900</v>
      </c>
      <c r="G10774" t="s">
        <v>30907</v>
      </c>
      <c r="H10774" t="s">
        <v>30916</v>
      </c>
      <c r="I10774" t="s">
        <v>4142</v>
      </c>
      <c r="J10774" t="s">
        <v>37745</v>
      </c>
      <c r="K10774" t="s">
        <v>40280</v>
      </c>
      <c r="M10774" t="s">
        <v>44103</v>
      </c>
      <c r="N10774" t="s">
        <v>44759</v>
      </c>
      <c r="O10774" t="s">
        <v>44760</v>
      </c>
      <c r="P10774">
        <v>0</v>
      </c>
      <c r="Q10774">
        <v>1</v>
      </c>
      <c r="R10774" t="s">
        <v>44773</v>
      </c>
      <c r="S10774" t="s">
        <v>45184</v>
      </c>
      <c r="T10774" t="s">
        <v>46868</v>
      </c>
      <c r="U10774" t="s">
        <v>55836</v>
      </c>
      <c r="W10774" t="s">
        <v>44103</v>
      </c>
      <c r="X10774" t="s">
        <v>44774</v>
      </c>
    </row>
    <row r="10775" spans="1:24">
      <c r="A10775">
        <f>HYPERLINK("https://www.philgeps.gov.ph/GEPSNONPILOT/Tender/SplashBidNoticeAbstractUI.aspx?menuIndex=3&amp;refID=7131633&amp;Result=3","7131633")</f>
        <v>0</v>
      </c>
      <c r="B10775" t="s">
        <v>1590</v>
      </c>
      <c r="C10775" t="s">
        <v>13991</v>
      </c>
      <c r="E10775" t="s">
        <v>27360</v>
      </c>
      <c r="F10775" t="s">
        <v>30900</v>
      </c>
      <c r="G10775" t="s">
        <v>30907</v>
      </c>
      <c r="H10775" t="s">
        <v>30916</v>
      </c>
      <c r="I10775" t="s">
        <v>9385</v>
      </c>
      <c r="J10775" t="s">
        <v>37746</v>
      </c>
      <c r="K10775" t="s">
        <v>40289</v>
      </c>
      <c r="M10775" t="s">
        <v>43200</v>
      </c>
      <c r="N10775" t="s">
        <v>44759</v>
      </c>
      <c r="O10775" t="s">
        <v>44760</v>
      </c>
      <c r="P10775">
        <v>0</v>
      </c>
      <c r="Q10775">
        <v>18</v>
      </c>
      <c r="R10775" t="s">
        <v>44773</v>
      </c>
      <c r="S10775" t="s">
        <v>45184</v>
      </c>
      <c r="T10775" t="s">
        <v>46411</v>
      </c>
      <c r="U10775" t="s">
        <v>55837</v>
      </c>
      <c r="W10775" t="s">
        <v>43200</v>
      </c>
      <c r="X10775" t="s">
        <v>44774</v>
      </c>
    </row>
    <row r="10776" spans="1:24">
      <c r="A10776">
        <f>HYPERLINK("https://www.philgeps.gov.ph/GEPSNONPILOT/Tender/SplashBidNoticeAbstractUI.aspx?menuIndex=3&amp;refID=7131366&amp;Result=3","7131366")</f>
        <v>0</v>
      </c>
      <c r="B10776" t="s">
        <v>408</v>
      </c>
      <c r="C10776" t="s">
        <v>3773</v>
      </c>
      <c r="E10776" t="s">
        <v>27361</v>
      </c>
      <c r="F10776" t="s">
        <v>30900</v>
      </c>
      <c r="G10776" t="s">
        <v>30909</v>
      </c>
      <c r="H10776" t="s">
        <v>30916</v>
      </c>
      <c r="I10776" t="s">
        <v>4142</v>
      </c>
      <c r="J10776" t="s">
        <v>37747</v>
      </c>
      <c r="K10776" t="s">
        <v>40289</v>
      </c>
      <c r="M10776" t="s">
        <v>40964</v>
      </c>
      <c r="N10776" t="s">
        <v>44759</v>
      </c>
      <c r="O10776" t="s">
        <v>44760</v>
      </c>
      <c r="P10776">
        <v>0</v>
      </c>
      <c r="Q10776">
        <v>1</v>
      </c>
      <c r="R10776" t="s">
        <v>44773</v>
      </c>
      <c r="S10776" t="s">
        <v>45184</v>
      </c>
      <c r="T10776" t="s">
        <v>46484</v>
      </c>
      <c r="U10776" t="s">
        <v>48263</v>
      </c>
      <c r="W10776" t="s">
        <v>40964</v>
      </c>
      <c r="X10776" t="s">
        <v>44774</v>
      </c>
    </row>
    <row r="10777" spans="1:24">
      <c r="A10777">
        <f>HYPERLINK("https://www.philgeps.gov.ph/GEPSNONPILOT/Tender/SplashBidNoticeAbstractUI.aspx?menuIndex=3&amp;refID=7131595&amp;Result=3","7131595")</f>
        <v>0</v>
      </c>
      <c r="B10777" t="s">
        <v>1250</v>
      </c>
      <c r="C10777" t="s">
        <v>13992</v>
      </c>
      <c r="D10777" t="s">
        <v>17953</v>
      </c>
      <c r="E10777" t="s">
        <v>27362</v>
      </c>
      <c r="F10777" t="s">
        <v>30900</v>
      </c>
      <c r="G10777" t="s">
        <v>30907</v>
      </c>
      <c r="H10777" t="s">
        <v>30917</v>
      </c>
      <c r="I10777" t="s">
        <v>30956</v>
      </c>
      <c r="J10777" t="s">
        <v>31153</v>
      </c>
      <c r="K10777" t="s">
        <v>40280</v>
      </c>
      <c r="M10777" t="s">
        <v>41862</v>
      </c>
      <c r="N10777" t="s">
        <v>44759</v>
      </c>
      <c r="O10777" t="s">
        <v>44760</v>
      </c>
      <c r="P10777">
        <v>0</v>
      </c>
      <c r="Q10777">
        <v>0</v>
      </c>
      <c r="R10777" t="s">
        <v>44773</v>
      </c>
      <c r="S10777" t="s">
        <v>45184</v>
      </c>
      <c r="T10777" t="s">
        <v>46658</v>
      </c>
      <c r="U10777" t="s">
        <v>55838</v>
      </c>
      <c r="W10777" t="s">
        <v>41862</v>
      </c>
      <c r="X10777" t="s">
        <v>44774</v>
      </c>
    </row>
    <row r="10778" spans="1:24">
      <c r="A10778">
        <f>HYPERLINK("https://www.philgeps.gov.ph/GEPSNONPILOT/Tender/SplashBidNoticeAbstractUI.aspx?menuIndex=3&amp;refID=7131599&amp;Result=3","7131599")</f>
        <v>0</v>
      </c>
      <c r="B10778" t="s">
        <v>1441</v>
      </c>
      <c r="C10778" t="s">
        <v>13993</v>
      </c>
      <c r="E10778" t="s">
        <v>27363</v>
      </c>
      <c r="F10778" t="s">
        <v>30900</v>
      </c>
      <c r="G10778" t="s">
        <v>30907</v>
      </c>
      <c r="H10778" t="s">
        <v>30916</v>
      </c>
      <c r="I10778" t="s">
        <v>30926</v>
      </c>
      <c r="J10778" t="s">
        <v>37748</v>
      </c>
      <c r="K10778" t="s">
        <v>40287</v>
      </c>
      <c r="M10778" t="s">
        <v>42073</v>
      </c>
      <c r="N10778" t="s">
        <v>44759</v>
      </c>
      <c r="O10778" t="s">
        <v>44760</v>
      </c>
      <c r="Q10778">
        <v>2</v>
      </c>
      <c r="R10778" t="s">
        <v>44773</v>
      </c>
      <c r="S10778" t="s">
        <v>45212</v>
      </c>
      <c r="T10778" t="s">
        <v>46459</v>
      </c>
      <c r="U10778" t="s">
        <v>55839</v>
      </c>
      <c r="V10778" t="s">
        <v>60319</v>
      </c>
      <c r="W10778" t="s">
        <v>42073</v>
      </c>
      <c r="X10778" t="s">
        <v>44774</v>
      </c>
    </row>
    <row r="10779" spans="1:24">
      <c r="A10779">
        <f>HYPERLINK("https://www.philgeps.gov.ph/GEPSNONPILOT/Tender/SplashBidNoticeAbstractUI.aspx?menuIndex=3&amp;refID=7131577&amp;Result=3","7131577")</f>
        <v>0</v>
      </c>
      <c r="B10779" t="s">
        <v>2172</v>
      </c>
      <c r="C10779" t="s">
        <v>13994</v>
      </c>
      <c r="D10779" t="s">
        <v>17998</v>
      </c>
      <c r="E10779" t="s">
        <v>27364</v>
      </c>
      <c r="F10779" t="s">
        <v>30900</v>
      </c>
      <c r="G10779" t="s">
        <v>30907</v>
      </c>
      <c r="H10779" t="s">
        <v>30915</v>
      </c>
      <c r="I10779" t="s">
        <v>30919</v>
      </c>
      <c r="J10779" t="s">
        <v>37749</v>
      </c>
      <c r="K10779" t="s">
        <v>40286</v>
      </c>
      <c r="M10779" t="s">
        <v>42877</v>
      </c>
      <c r="N10779" t="s">
        <v>44759</v>
      </c>
      <c r="O10779" t="s">
        <v>44760</v>
      </c>
      <c r="P10779">
        <v>0</v>
      </c>
      <c r="Q10779">
        <v>0</v>
      </c>
      <c r="R10779" t="s">
        <v>44773</v>
      </c>
      <c r="S10779" t="s">
        <v>45184</v>
      </c>
      <c r="T10779" t="s">
        <v>46353</v>
      </c>
      <c r="U10779" t="s">
        <v>55840</v>
      </c>
      <c r="V10779" t="s">
        <v>60320</v>
      </c>
      <c r="W10779" t="s">
        <v>42877</v>
      </c>
      <c r="X10779" t="s">
        <v>44774</v>
      </c>
    </row>
    <row r="10780" spans="1:24">
      <c r="A10780">
        <f>HYPERLINK("https://www.philgeps.gov.ph/GEPSNONPILOT/Tender/SplashBidNoticeAbstractUI.aspx?menuIndex=3&amp;refID=7131627&amp;Result=3","7131627")</f>
        <v>0</v>
      </c>
      <c r="B10780" t="s">
        <v>3254</v>
      </c>
      <c r="C10780" t="s">
        <v>13995</v>
      </c>
      <c r="D10780" t="s">
        <v>17963</v>
      </c>
      <c r="E10780" t="s">
        <v>27365</v>
      </c>
      <c r="F10780" t="s">
        <v>30900</v>
      </c>
      <c r="G10780" t="s">
        <v>30908</v>
      </c>
      <c r="H10780" t="s">
        <v>30916</v>
      </c>
      <c r="I10780" t="s">
        <v>6396</v>
      </c>
      <c r="J10780" t="s">
        <v>37750</v>
      </c>
      <c r="K10780" t="s">
        <v>40286</v>
      </c>
      <c r="L10780" t="s">
        <v>3254</v>
      </c>
      <c r="M10780" t="s">
        <v>44099</v>
      </c>
      <c r="N10780" t="s">
        <v>44759</v>
      </c>
      <c r="O10780" t="s">
        <v>44760</v>
      </c>
      <c r="P10780">
        <v>0</v>
      </c>
      <c r="Q10780">
        <v>2</v>
      </c>
      <c r="R10780" t="s">
        <v>44773</v>
      </c>
      <c r="S10780" t="s">
        <v>45184</v>
      </c>
      <c r="T10780" t="s">
        <v>46352</v>
      </c>
      <c r="U10780" t="s">
        <v>55841</v>
      </c>
      <c r="W10780" t="s">
        <v>44099</v>
      </c>
      <c r="X10780" t="s">
        <v>44774</v>
      </c>
    </row>
    <row r="10781" spans="1:24">
      <c r="A10781">
        <f>HYPERLINK("https://www.philgeps.gov.ph/GEPSNONPILOT/Tender/SplashBidNoticeAbstractUI.aspx?menuIndex=3&amp;refID=7131573&amp;Result=3","7131573")</f>
        <v>0</v>
      </c>
      <c r="B10781" t="s">
        <v>1250</v>
      </c>
      <c r="C10781" t="s">
        <v>13996</v>
      </c>
      <c r="D10781" t="s">
        <v>17953</v>
      </c>
      <c r="E10781" t="s">
        <v>27366</v>
      </c>
      <c r="F10781" t="s">
        <v>30900</v>
      </c>
      <c r="G10781" t="s">
        <v>30907</v>
      </c>
      <c r="H10781" t="s">
        <v>30916</v>
      </c>
      <c r="I10781" t="s">
        <v>4545</v>
      </c>
      <c r="J10781" t="s">
        <v>37751</v>
      </c>
      <c r="K10781" t="s">
        <v>40286</v>
      </c>
      <c r="M10781" t="s">
        <v>41862</v>
      </c>
      <c r="N10781" t="s">
        <v>44759</v>
      </c>
      <c r="O10781" t="s">
        <v>44760</v>
      </c>
      <c r="P10781">
        <v>0</v>
      </c>
      <c r="Q10781">
        <v>0</v>
      </c>
      <c r="R10781" t="s">
        <v>44773</v>
      </c>
      <c r="S10781" t="s">
        <v>45184</v>
      </c>
      <c r="T10781" t="s">
        <v>46658</v>
      </c>
      <c r="U10781" t="s">
        <v>55842</v>
      </c>
      <c r="W10781" t="s">
        <v>41862</v>
      </c>
      <c r="X10781" t="s">
        <v>44774</v>
      </c>
    </row>
    <row r="10782" spans="1:24">
      <c r="A10782">
        <f>HYPERLINK("https://www.philgeps.gov.ph/GEPSNONPILOT/Tender/SplashBidNoticeAbstractUI.aspx?menuIndex=3&amp;refID=7131554&amp;Result=3","7131554")</f>
        <v>0</v>
      </c>
      <c r="B10782" t="s">
        <v>2172</v>
      </c>
      <c r="C10782" t="s">
        <v>13997</v>
      </c>
      <c r="D10782" t="s">
        <v>17998</v>
      </c>
      <c r="E10782" t="s">
        <v>27367</v>
      </c>
      <c r="F10782" t="s">
        <v>30900</v>
      </c>
      <c r="G10782" t="s">
        <v>30907</v>
      </c>
      <c r="H10782" t="s">
        <v>30915</v>
      </c>
      <c r="I10782" t="s">
        <v>30919</v>
      </c>
      <c r="J10782" t="s">
        <v>37752</v>
      </c>
      <c r="K10782" t="s">
        <v>40280</v>
      </c>
      <c r="M10782" t="s">
        <v>42877</v>
      </c>
      <c r="N10782" t="s">
        <v>44759</v>
      </c>
      <c r="O10782" t="s">
        <v>44760</v>
      </c>
      <c r="P10782">
        <v>0</v>
      </c>
      <c r="Q10782">
        <v>0</v>
      </c>
      <c r="R10782" t="s">
        <v>44773</v>
      </c>
      <c r="S10782" t="s">
        <v>45184</v>
      </c>
      <c r="T10782" t="s">
        <v>46353</v>
      </c>
      <c r="U10782" t="s">
        <v>55840</v>
      </c>
      <c r="V10782" t="s">
        <v>60321</v>
      </c>
      <c r="W10782" t="s">
        <v>42877</v>
      </c>
      <c r="X10782" t="s">
        <v>44774</v>
      </c>
    </row>
    <row r="10783" spans="1:24">
      <c r="A10783">
        <f>HYPERLINK("https://www.philgeps.gov.ph/GEPSNONPILOT/Tender/SplashBidNoticeAbstractUI.aspx?menuIndex=3&amp;refID=7131618&amp;Result=3","7131618")</f>
        <v>0</v>
      </c>
      <c r="B10783" t="s">
        <v>281</v>
      </c>
      <c r="C10783" t="s">
        <v>13998</v>
      </c>
      <c r="D10783" t="s">
        <v>18051</v>
      </c>
      <c r="E10783" t="s">
        <v>27368</v>
      </c>
      <c r="F10783" t="s">
        <v>30900</v>
      </c>
      <c r="G10783" t="s">
        <v>30907</v>
      </c>
      <c r="H10783" t="s">
        <v>30916</v>
      </c>
      <c r="I10783" t="s">
        <v>30947</v>
      </c>
      <c r="J10783" t="s">
        <v>33081</v>
      </c>
      <c r="K10783" t="s">
        <v>40286</v>
      </c>
      <c r="M10783" t="s">
        <v>43172</v>
      </c>
      <c r="N10783" t="s">
        <v>44759</v>
      </c>
      <c r="O10783" t="s">
        <v>44760</v>
      </c>
      <c r="P10783">
        <v>0</v>
      </c>
      <c r="Q10783">
        <v>2</v>
      </c>
      <c r="R10783" t="s">
        <v>44773</v>
      </c>
      <c r="S10783" t="s">
        <v>45184</v>
      </c>
      <c r="T10783" t="s">
        <v>46595</v>
      </c>
      <c r="U10783" t="s">
        <v>55843</v>
      </c>
      <c r="W10783" t="s">
        <v>43172</v>
      </c>
      <c r="X10783" t="s">
        <v>44774</v>
      </c>
    </row>
    <row r="10784" spans="1:24">
      <c r="A10784">
        <f>HYPERLINK("https://www.philgeps.gov.ph/GEPSNONPILOT/Tender/SplashBidNoticeAbstractUI.aspx?menuIndex=3&amp;refID=7131527&amp;Result=3","7131527")</f>
        <v>0</v>
      </c>
      <c r="B10784" t="s">
        <v>75</v>
      </c>
      <c r="C10784" t="s">
        <v>13999</v>
      </c>
      <c r="E10784" t="s">
        <v>27369</v>
      </c>
      <c r="F10784" t="s">
        <v>30900</v>
      </c>
      <c r="G10784" t="s">
        <v>30907</v>
      </c>
      <c r="H10784" t="s">
        <v>30916</v>
      </c>
      <c r="I10784" t="s">
        <v>30965</v>
      </c>
      <c r="J10784" t="s">
        <v>37753</v>
      </c>
      <c r="K10784" t="s">
        <v>40289</v>
      </c>
      <c r="M10784" t="s">
        <v>42278</v>
      </c>
      <c r="N10784" t="s">
        <v>44759</v>
      </c>
      <c r="O10784" t="s">
        <v>44760</v>
      </c>
      <c r="Q10784">
        <v>4</v>
      </c>
      <c r="R10784" t="s">
        <v>44773</v>
      </c>
      <c r="S10784" t="s">
        <v>45213</v>
      </c>
      <c r="T10784" t="s">
        <v>46352</v>
      </c>
      <c r="U10784" t="s">
        <v>55844</v>
      </c>
      <c r="W10784" t="s">
        <v>60870</v>
      </c>
      <c r="X10784" t="s">
        <v>44774</v>
      </c>
    </row>
    <row r="10785" spans="1:24">
      <c r="A10785">
        <f>HYPERLINK("https://www.philgeps.gov.ph/GEPSNONPILOT/Tender/SplashBidNoticeAbstractUI.aspx?menuIndex=3&amp;refID=7131519&amp;Result=3","7131519")</f>
        <v>0</v>
      </c>
      <c r="B10785" t="s">
        <v>2172</v>
      </c>
      <c r="C10785" t="s">
        <v>14000</v>
      </c>
      <c r="D10785" t="s">
        <v>17998</v>
      </c>
      <c r="E10785" t="s">
        <v>27370</v>
      </c>
      <c r="F10785" t="s">
        <v>30900</v>
      </c>
      <c r="G10785" t="s">
        <v>30907</v>
      </c>
      <c r="H10785" t="s">
        <v>30915</v>
      </c>
      <c r="I10785" t="s">
        <v>30919</v>
      </c>
      <c r="J10785" t="s">
        <v>37754</v>
      </c>
      <c r="K10785" t="s">
        <v>40280</v>
      </c>
      <c r="M10785" t="s">
        <v>42877</v>
      </c>
      <c r="N10785" t="s">
        <v>44759</v>
      </c>
      <c r="O10785" t="s">
        <v>44760</v>
      </c>
      <c r="P10785">
        <v>0</v>
      </c>
      <c r="Q10785">
        <v>0</v>
      </c>
      <c r="R10785" t="s">
        <v>44773</v>
      </c>
      <c r="S10785" t="s">
        <v>45184</v>
      </c>
      <c r="T10785" t="s">
        <v>46353</v>
      </c>
      <c r="U10785" t="s">
        <v>55840</v>
      </c>
      <c r="V10785" t="s">
        <v>60322</v>
      </c>
      <c r="W10785" t="s">
        <v>42877</v>
      </c>
      <c r="X10785" t="s">
        <v>44774</v>
      </c>
    </row>
    <row r="10786" spans="1:24">
      <c r="A10786">
        <f>HYPERLINK("https://www.philgeps.gov.ph/GEPSNONPILOT/Tender/SplashBidNoticeAbstractUI.aspx?menuIndex=3&amp;refID=7131514&amp;Result=3","7131514")</f>
        <v>0</v>
      </c>
      <c r="B10786" t="s">
        <v>2167</v>
      </c>
      <c r="C10786" t="s">
        <v>14001</v>
      </c>
      <c r="D10786" t="s">
        <v>17960</v>
      </c>
      <c r="E10786" t="s">
        <v>27371</v>
      </c>
      <c r="F10786" t="s">
        <v>30900</v>
      </c>
      <c r="G10786" t="s">
        <v>30907</v>
      </c>
      <c r="H10786" t="s">
        <v>30916</v>
      </c>
      <c r="I10786" t="s">
        <v>8123</v>
      </c>
      <c r="J10786" t="s">
        <v>37755</v>
      </c>
      <c r="K10786" t="s">
        <v>40283</v>
      </c>
      <c r="M10786" t="s">
        <v>42872</v>
      </c>
      <c r="N10786" t="s">
        <v>44759</v>
      </c>
      <c r="O10786" t="s">
        <v>44760</v>
      </c>
      <c r="Q10786">
        <v>1</v>
      </c>
      <c r="R10786" t="s">
        <v>44773</v>
      </c>
      <c r="S10786" t="s">
        <v>45214</v>
      </c>
      <c r="T10786" t="s">
        <v>46472</v>
      </c>
      <c r="U10786" t="s">
        <v>55845</v>
      </c>
      <c r="W10786" t="s">
        <v>42872</v>
      </c>
      <c r="X10786" t="s">
        <v>44774</v>
      </c>
    </row>
    <row r="10787" spans="1:24">
      <c r="A10787">
        <f>HYPERLINK("https://www.philgeps.gov.ph/GEPSNONPILOT/Tender/SplashBidNoticeAbstractUI.aspx?menuIndex=3&amp;refID=7131580&amp;Result=3","7131580")</f>
        <v>0</v>
      </c>
      <c r="B10787" t="s">
        <v>2499</v>
      </c>
      <c r="C10787" t="s">
        <v>14002</v>
      </c>
      <c r="D10787" t="s">
        <v>17959</v>
      </c>
      <c r="E10787" t="s">
        <v>27372</v>
      </c>
      <c r="F10787" t="s">
        <v>30900</v>
      </c>
      <c r="G10787" t="s">
        <v>30907</v>
      </c>
      <c r="H10787" t="s">
        <v>30916</v>
      </c>
      <c r="I10787" t="s">
        <v>30923</v>
      </c>
      <c r="J10787" t="s">
        <v>37756</v>
      </c>
      <c r="K10787" t="s">
        <v>40289</v>
      </c>
      <c r="M10787" t="s">
        <v>44104</v>
      </c>
      <c r="N10787" t="s">
        <v>44759</v>
      </c>
      <c r="O10787" t="s">
        <v>44760</v>
      </c>
      <c r="P10787">
        <v>0</v>
      </c>
      <c r="Q10787">
        <v>57</v>
      </c>
      <c r="R10787" t="s">
        <v>44773</v>
      </c>
      <c r="S10787" t="s">
        <v>45184</v>
      </c>
      <c r="T10787" t="s">
        <v>46472</v>
      </c>
      <c r="U10787" t="s">
        <v>55846</v>
      </c>
      <c r="W10787" t="s">
        <v>44104</v>
      </c>
      <c r="X10787" t="s">
        <v>44774</v>
      </c>
    </row>
    <row r="10788" spans="1:24">
      <c r="A10788">
        <f>HYPERLINK("https://www.philgeps.gov.ph/GEPSNONPILOT/Tender/SplashBidNoticeAbstractUI.aspx?menuIndex=3&amp;refID=7131477&amp;Result=3","7131477")</f>
        <v>0</v>
      </c>
      <c r="B10788" t="s">
        <v>1777</v>
      </c>
      <c r="C10788" t="s">
        <v>14003</v>
      </c>
      <c r="D10788" t="s">
        <v>17994</v>
      </c>
      <c r="E10788" t="s">
        <v>14003</v>
      </c>
      <c r="F10788" t="s">
        <v>30900</v>
      </c>
      <c r="G10788" t="s">
        <v>30907</v>
      </c>
      <c r="H10788" t="s">
        <v>30916</v>
      </c>
      <c r="I10788" t="s">
        <v>30939</v>
      </c>
      <c r="J10788" t="s">
        <v>37757</v>
      </c>
      <c r="K10788" t="s">
        <v>40281</v>
      </c>
      <c r="M10788" t="s">
        <v>42460</v>
      </c>
      <c r="N10788" t="s">
        <v>44759</v>
      </c>
      <c r="O10788" t="s">
        <v>44760</v>
      </c>
      <c r="P10788">
        <v>0</v>
      </c>
      <c r="Q10788">
        <v>0</v>
      </c>
      <c r="R10788" t="s">
        <v>44773</v>
      </c>
      <c r="S10788" t="s">
        <v>45184</v>
      </c>
      <c r="T10788" t="s">
        <v>46403</v>
      </c>
      <c r="U10788" t="s">
        <v>55847</v>
      </c>
      <c r="W10788" t="s">
        <v>42460</v>
      </c>
      <c r="X10788" t="s">
        <v>44774</v>
      </c>
    </row>
    <row r="10789" spans="1:24">
      <c r="A10789">
        <f>HYPERLINK("https://www.philgeps.gov.ph/GEPSNONPILOT/Tender/SplashBidNoticeAbstractUI.aspx?menuIndex=3&amp;refID=7131516&amp;Result=3","7131516")</f>
        <v>0</v>
      </c>
      <c r="B10789" t="s">
        <v>2238</v>
      </c>
      <c r="C10789" t="s">
        <v>14004</v>
      </c>
      <c r="D10789" t="s">
        <v>18006</v>
      </c>
      <c r="E10789" t="s">
        <v>27373</v>
      </c>
      <c r="F10789" t="s">
        <v>30900</v>
      </c>
      <c r="G10789" t="s">
        <v>30907</v>
      </c>
      <c r="H10789" t="s">
        <v>30917</v>
      </c>
      <c r="I10789" t="s">
        <v>30949</v>
      </c>
      <c r="J10789" t="s">
        <v>31105</v>
      </c>
      <c r="K10789" t="s">
        <v>40287</v>
      </c>
      <c r="M10789" t="s">
        <v>42948</v>
      </c>
      <c r="N10789" t="s">
        <v>44759</v>
      </c>
      <c r="O10789" t="s">
        <v>44760</v>
      </c>
      <c r="P10789">
        <v>0</v>
      </c>
      <c r="Q10789">
        <v>2</v>
      </c>
      <c r="R10789" t="s">
        <v>44773</v>
      </c>
      <c r="S10789" t="s">
        <v>45184</v>
      </c>
      <c r="T10789" t="s">
        <v>46440</v>
      </c>
      <c r="U10789" t="s">
        <v>55848</v>
      </c>
      <c r="W10789" t="s">
        <v>42948</v>
      </c>
      <c r="X10789" t="s">
        <v>44774</v>
      </c>
    </row>
    <row r="10790" spans="1:24">
      <c r="A10790">
        <f>HYPERLINK("https://www.philgeps.gov.ph/GEPSNONPILOT/Tender/SplashBidNoticeAbstractUI.aspx?menuIndex=3&amp;refID=7131499&amp;Result=3","7131499")</f>
        <v>0</v>
      </c>
      <c r="B10790" t="s">
        <v>516</v>
      </c>
      <c r="C10790" t="s">
        <v>14005</v>
      </c>
      <c r="D10790" t="s">
        <v>17982</v>
      </c>
      <c r="E10790" t="s">
        <v>27374</v>
      </c>
      <c r="F10790" t="s">
        <v>30900</v>
      </c>
      <c r="G10790" t="s">
        <v>30907</v>
      </c>
      <c r="H10790" t="s">
        <v>30916</v>
      </c>
      <c r="I10790" t="s">
        <v>8123</v>
      </c>
      <c r="J10790" t="s">
        <v>37758</v>
      </c>
      <c r="K10790" t="s">
        <v>40293</v>
      </c>
      <c r="M10790" t="s">
        <v>41076</v>
      </c>
      <c r="N10790" t="s">
        <v>44759</v>
      </c>
      <c r="O10790" t="s">
        <v>44760</v>
      </c>
      <c r="P10790">
        <v>0</v>
      </c>
      <c r="Q10790">
        <v>0</v>
      </c>
      <c r="R10790" t="s">
        <v>44773</v>
      </c>
      <c r="S10790" t="s">
        <v>45184</v>
      </c>
      <c r="T10790" t="s">
        <v>46414</v>
      </c>
      <c r="U10790" t="s">
        <v>55849</v>
      </c>
      <c r="W10790" t="s">
        <v>41076</v>
      </c>
      <c r="X10790" t="s">
        <v>44774</v>
      </c>
    </row>
    <row r="10791" spans="1:24">
      <c r="A10791">
        <f>HYPERLINK("https://www.philgeps.gov.ph/GEPSNONPILOT/Tender/SplashBidNoticeAbstractUI.aspx?menuIndex=3&amp;refID=7131465&amp;Result=3","7131465")</f>
        <v>0</v>
      </c>
      <c r="B10791" t="s">
        <v>894</v>
      </c>
      <c r="C10791" t="s">
        <v>14006</v>
      </c>
      <c r="D10791" t="s">
        <v>18011</v>
      </c>
      <c r="E10791" t="s">
        <v>27375</v>
      </c>
      <c r="F10791" t="s">
        <v>30900</v>
      </c>
      <c r="G10791" t="s">
        <v>30907</v>
      </c>
      <c r="H10791" t="s">
        <v>30915</v>
      </c>
      <c r="I10791" t="s">
        <v>30919</v>
      </c>
      <c r="J10791" t="s">
        <v>37759</v>
      </c>
      <c r="K10791" t="s">
        <v>40504</v>
      </c>
      <c r="M10791" t="s">
        <v>41468</v>
      </c>
      <c r="N10791" t="s">
        <v>44759</v>
      </c>
      <c r="O10791" t="s">
        <v>44760</v>
      </c>
      <c r="Q10791">
        <v>1</v>
      </c>
      <c r="R10791" t="s">
        <v>44773</v>
      </c>
      <c r="S10791" t="s">
        <v>45215</v>
      </c>
      <c r="T10791" t="s">
        <v>46515</v>
      </c>
      <c r="U10791" t="s">
        <v>55850</v>
      </c>
      <c r="W10791" t="s">
        <v>41468</v>
      </c>
      <c r="X10791" t="s">
        <v>44774</v>
      </c>
    </row>
    <row r="10792" spans="1:24">
      <c r="A10792">
        <f>HYPERLINK("https://www.philgeps.gov.ph/GEPSNONPILOT/Tender/SplashBidNoticeAbstractUI.aspx?menuIndex=3&amp;refID=7131363&amp;Result=3","7131363")</f>
        <v>0</v>
      </c>
      <c r="B10792" t="s">
        <v>2717</v>
      </c>
      <c r="C10792" t="s">
        <v>14007</v>
      </c>
      <c r="D10792" t="s">
        <v>17973</v>
      </c>
      <c r="E10792" t="s">
        <v>27376</v>
      </c>
      <c r="F10792" t="s">
        <v>30900</v>
      </c>
      <c r="G10792" t="s">
        <v>30907</v>
      </c>
      <c r="H10792" t="s">
        <v>30915</v>
      </c>
      <c r="I10792" t="s">
        <v>30919</v>
      </c>
      <c r="J10792" t="s">
        <v>31152</v>
      </c>
      <c r="K10792" t="s">
        <v>40280</v>
      </c>
      <c r="M10792" t="s">
        <v>43492</v>
      </c>
      <c r="N10792" t="s">
        <v>44759</v>
      </c>
      <c r="O10792" t="s">
        <v>44760</v>
      </c>
      <c r="P10792">
        <v>0</v>
      </c>
      <c r="Q10792">
        <v>0</v>
      </c>
      <c r="R10792" t="s">
        <v>44773</v>
      </c>
      <c r="S10792" t="s">
        <v>45184</v>
      </c>
      <c r="T10792" t="s">
        <v>46366</v>
      </c>
      <c r="U10792" t="s">
        <v>55791</v>
      </c>
      <c r="W10792" t="s">
        <v>43492</v>
      </c>
      <c r="X10792" t="s">
        <v>44774</v>
      </c>
    </row>
    <row r="10793" spans="1:24">
      <c r="A10793">
        <f>HYPERLINK("https://www.philgeps.gov.ph/GEPSNONPILOT/Tender/SplashBidNoticeAbstractUI.aspx?menuIndex=3&amp;refID=7131646&amp;Result=3","7131646")</f>
        <v>0</v>
      </c>
      <c r="B10793" t="s">
        <v>2473</v>
      </c>
      <c r="C10793" t="s">
        <v>14008</v>
      </c>
      <c r="D10793" t="s">
        <v>17993</v>
      </c>
      <c r="E10793" t="s">
        <v>27377</v>
      </c>
      <c r="F10793" t="s">
        <v>30904</v>
      </c>
      <c r="G10793" t="s">
        <v>30907</v>
      </c>
      <c r="H10793" t="s">
        <v>30915</v>
      </c>
      <c r="I10793" t="s">
        <v>30919</v>
      </c>
      <c r="J10793" t="s">
        <v>31049</v>
      </c>
      <c r="K10793" t="s">
        <v>40286</v>
      </c>
      <c r="M10793" t="s">
        <v>43211</v>
      </c>
      <c r="N10793" t="s">
        <v>44759</v>
      </c>
      <c r="O10793" t="s">
        <v>44760</v>
      </c>
      <c r="P10793">
        <v>0</v>
      </c>
      <c r="Q10793">
        <v>1</v>
      </c>
      <c r="R10793" t="s">
        <v>44773</v>
      </c>
      <c r="S10793" t="s">
        <v>45184</v>
      </c>
      <c r="T10793" t="s">
        <v>46472</v>
      </c>
      <c r="U10793" t="s">
        <v>52982</v>
      </c>
      <c r="W10793" t="s">
        <v>43211</v>
      </c>
      <c r="X10793" t="s">
        <v>44774</v>
      </c>
    </row>
    <row r="10794" spans="1:24">
      <c r="A10794">
        <f>HYPERLINK("https://www.philgeps.gov.ph/GEPSNONPILOT/Tender/SplashBidNoticeAbstractUI.aspx?menuIndex=3&amp;refID=7131503&amp;Result=3","7131503")</f>
        <v>0</v>
      </c>
      <c r="B10794" t="s">
        <v>1888</v>
      </c>
      <c r="C10794" t="s">
        <v>14009</v>
      </c>
      <c r="D10794" t="s">
        <v>18033</v>
      </c>
      <c r="E10794" t="s">
        <v>27378</v>
      </c>
      <c r="F10794" t="s">
        <v>30900</v>
      </c>
      <c r="G10794" t="s">
        <v>30907</v>
      </c>
      <c r="H10794" t="s">
        <v>30915</v>
      </c>
      <c r="I10794" t="s">
        <v>30919</v>
      </c>
      <c r="J10794" t="s">
        <v>37760</v>
      </c>
      <c r="K10794" t="s">
        <v>40292</v>
      </c>
      <c r="M10794" t="s">
        <v>42563</v>
      </c>
      <c r="N10794" t="s">
        <v>44759</v>
      </c>
      <c r="O10794" t="s">
        <v>44760</v>
      </c>
      <c r="P10794">
        <v>0</v>
      </c>
      <c r="Q10794">
        <v>3</v>
      </c>
      <c r="R10794" t="s">
        <v>44773</v>
      </c>
      <c r="S10794" t="s">
        <v>45184</v>
      </c>
      <c r="T10794" t="s">
        <v>46842</v>
      </c>
      <c r="U10794" t="s">
        <v>55851</v>
      </c>
      <c r="W10794" t="s">
        <v>42563</v>
      </c>
      <c r="X10794" t="s">
        <v>44774</v>
      </c>
    </row>
    <row r="10795" spans="1:24">
      <c r="A10795">
        <f>HYPERLINK("https://www.philgeps.gov.ph/GEPSNONPILOT/Tender/SplashBidNoticeAbstractUI.aspx?menuIndex=3&amp;refID=7131737&amp;Result=3","7131737")</f>
        <v>0</v>
      </c>
      <c r="B10795" t="s">
        <v>3258</v>
      </c>
      <c r="C10795" t="s">
        <v>14010</v>
      </c>
      <c r="E10795" t="s">
        <v>27379</v>
      </c>
      <c r="F10795" t="s">
        <v>30900</v>
      </c>
      <c r="G10795" t="s">
        <v>30907</v>
      </c>
      <c r="H10795" t="s">
        <v>30916</v>
      </c>
      <c r="I10795" t="s">
        <v>30933</v>
      </c>
      <c r="J10795" t="s">
        <v>31577</v>
      </c>
      <c r="K10795" t="s">
        <v>40289</v>
      </c>
      <c r="M10795" t="s">
        <v>44103</v>
      </c>
      <c r="N10795" t="s">
        <v>44759</v>
      </c>
      <c r="O10795" t="s">
        <v>44760</v>
      </c>
      <c r="P10795">
        <v>0</v>
      </c>
      <c r="Q10795">
        <v>4</v>
      </c>
      <c r="R10795" t="s">
        <v>44773</v>
      </c>
      <c r="S10795" t="s">
        <v>45184</v>
      </c>
      <c r="T10795" t="s">
        <v>46868</v>
      </c>
      <c r="U10795" t="s">
        <v>55852</v>
      </c>
      <c r="W10795" t="s">
        <v>44103</v>
      </c>
      <c r="X10795" t="s">
        <v>44774</v>
      </c>
    </row>
    <row r="10796" spans="1:24">
      <c r="A10796">
        <f>HYPERLINK("https://www.philgeps.gov.ph/GEPSNONPILOT/Tender/SplashBidNoticeAbstractUI.aspx?menuIndex=3&amp;refID=7131520&amp;Result=3","7131520")</f>
        <v>0</v>
      </c>
      <c r="B10796" t="s">
        <v>1250</v>
      </c>
      <c r="C10796" t="s">
        <v>14011</v>
      </c>
      <c r="D10796" t="s">
        <v>17953</v>
      </c>
      <c r="E10796" t="s">
        <v>27380</v>
      </c>
      <c r="F10796" t="s">
        <v>30900</v>
      </c>
      <c r="G10796" t="s">
        <v>30907</v>
      </c>
      <c r="H10796" t="s">
        <v>30916</v>
      </c>
      <c r="I10796" t="s">
        <v>30945</v>
      </c>
      <c r="J10796" t="s">
        <v>31183</v>
      </c>
      <c r="K10796" t="s">
        <v>40286</v>
      </c>
      <c r="M10796" t="s">
        <v>41862</v>
      </c>
      <c r="N10796" t="s">
        <v>44759</v>
      </c>
      <c r="O10796" t="s">
        <v>44760</v>
      </c>
      <c r="P10796">
        <v>0</v>
      </c>
      <c r="Q10796">
        <v>0</v>
      </c>
      <c r="R10796" t="s">
        <v>44773</v>
      </c>
      <c r="S10796" t="s">
        <v>45184</v>
      </c>
      <c r="T10796" t="s">
        <v>46658</v>
      </c>
      <c r="U10796" t="s">
        <v>55853</v>
      </c>
      <c r="W10796" t="s">
        <v>41862</v>
      </c>
      <c r="X10796" t="s">
        <v>44774</v>
      </c>
    </row>
    <row r="10797" spans="1:24">
      <c r="A10797">
        <f>HYPERLINK("https://www.philgeps.gov.ph/GEPSNONPILOT/Tender/SplashBidNoticeAbstractUI.aspx?menuIndex=3&amp;refID=7131756&amp;Result=3","7131756")</f>
        <v>0</v>
      </c>
      <c r="B10797" t="s">
        <v>3259</v>
      </c>
      <c r="C10797" t="s">
        <v>14012</v>
      </c>
      <c r="D10797" t="s">
        <v>18002</v>
      </c>
      <c r="E10797" t="s">
        <v>27381</v>
      </c>
      <c r="F10797" t="s">
        <v>30900</v>
      </c>
      <c r="G10797" t="s">
        <v>30907</v>
      </c>
      <c r="H10797" t="s">
        <v>30915</v>
      </c>
      <c r="I10797" t="s">
        <v>30919</v>
      </c>
      <c r="J10797" t="s">
        <v>32523</v>
      </c>
      <c r="K10797" t="s">
        <v>40304</v>
      </c>
      <c r="M10797" t="s">
        <v>44105</v>
      </c>
      <c r="N10797" t="s">
        <v>44759</v>
      </c>
      <c r="O10797" t="s">
        <v>44760</v>
      </c>
      <c r="Q10797">
        <v>9</v>
      </c>
      <c r="R10797" t="s">
        <v>44773</v>
      </c>
      <c r="S10797" t="s">
        <v>45216</v>
      </c>
      <c r="T10797" t="s">
        <v>46411</v>
      </c>
      <c r="U10797" t="s">
        <v>55854</v>
      </c>
      <c r="W10797" t="s">
        <v>44105</v>
      </c>
      <c r="X10797" t="s">
        <v>44774</v>
      </c>
    </row>
    <row r="10798" spans="1:24">
      <c r="A10798">
        <f>HYPERLINK("https://www.philgeps.gov.ph/GEPSNONPILOT/Tender/SplashBidNoticeAbstractUI.aspx?menuIndex=3&amp;refID=7131745&amp;Result=3","7131745")</f>
        <v>0</v>
      </c>
      <c r="B10798" t="s">
        <v>1338</v>
      </c>
      <c r="C10798" t="s">
        <v>14013</v>
      </c>
      <c r="D10798" t="s">
        <v>18023</v>
      </c>
      <c r="E10798" t="s">
        <v>27382</v>
      </c>
      <c r="F10798" t="s">
        <v>30900</v>
      </c>
      <c r="G10798" t="s">
        <v>30907</v>
      </c>
      <c r="H10798" t="s">
        <v>30916</v>
      </c>
      <c r="I10798" t="s">
        <v>6396</v>
      </c>
      <c r="J10798" t="s">
        <v>37761</v>
      </c>
      <c r="K10798" t="s">
        <v>40291</v>
      </c>
      <c r="M10798" t="s">
        <v>41959</v>
      </c>
      <c r="N10798" t="s">
        <v>44759</v>
      </c>
      <c r="O10798" t="s">
        <v>44760</v>
      </c>
      <c r="Q10798">
        <v>6</v>
      </c>
      <c r="R10798" t="s">
        <v>44773</v>
      </c>
      <c r="S10798" t="s">
        <v>45217</v>
      </c>
      <c r="T10798" t="s">
        <v>46472</v>
      </c>
      <c r="U10798" t="s">
        <v>55855</v>
      </c>
      <c r="W10798" t="s">
        <v>41959</v>
      </c>
      <c r="X10798" t="s">
        <v>44774</v>
      </c>
    </row>
    <row r="10799" spans="1:24">
      <c r="A10799">
        <f>HYPERLINK("https://www.philgeps.gov.ph/GEPSNONPILOT/Tender/SplashBidNoticeAbstractUI.aspx?menuIndex=3&amp;refID=7131765&amp;Result=3","7131765")</f>
        <v>0</v>
      </c>
      <c r="B10799" t="s">
        <v>3258</v>
      </c>
      <c r="C10799" t="s">
        <v>14014</v>
      </c>
      <c r="E10799" t="s">
        <v>19079</v>
      </c>
      <c r="F10799" t="s">
        <v>30900</v>
      </c>
      <c r="G10799" t="s">
        <v>30907</v>
      </c>
      <c r="H10799" t="s">
        <v>30916</v>
      </c>
      <c r="I10799" t="s">
        <v>30933</v>
      </c>
      <c r="J10799" t="s">
        <v>31069</v>
      </c>
      <c r="K10799" t="s">
        <v>40289</v>
      </c>
      <c r="M10799" t="s">
        <v>44103</v>
      </c>
      <c r="N10799" t="s">
        <v>44759</v>
      </c>
      <c r="O10799" t="s">
        <v>44760</v>
      </c>
      <c r="P10799">
        <v>0</v>
      </c>
      <c r="Q10799">
        <v>5</v>
      </c>
      <c r="R10799" t="s">
        <v>44773</v>
      </c>
      <c r="S10799" t="s">
        <v>45184</v>
      </c>
      <c r="T10799" t="s">
        <v>46868</v>
      </c>
      <c r="U10799" t="s">
        <v>55856</v>
      </c>
      <c r="W10799" t="s">
        <v>44103</v>
      </c>
      <c r="X10799" t="s">
        <v>44774</v>
      </c>
    </row>
    <row r="10800" spans="1:24">
      <c r="A10800">
        <f>HYPERLINK("https://www.philgeps.gov.ph/GEPSNONPILOT/Tender/SplashBidNoticeAbstractUI.aspx?menuIndex=3&amp;refID=7131743&amp;Result=3","7131743")</f>
        <v>0</v>
      </c>
      <c r="B10800" t="s">
        <v>2456</v>
      </c>
      <c r="C10800" t="s">
        <v>14015</v>
      </c>
      <c r="D10800" t="s">
        <v>17998</v>
      </c>
      <c r="E10800" t="s">
        <v>21273</v>
      </c>
      <c r="F10800" t="s">
        <v>30900</v>
      </c>
      <c r="G10800" t="s">
        <v>30907</v>
      </c>
      <c r="H10800" t="s">
        <v>30916</v>
      </c>
      <c r="I10800" t="s">
        <v>8123</v>
      </c>
      <c r="J10800" t="s">
        <v>37762</v>
      </c>
      <c r="K10800" t="s">
        <v>40284</v>
      </c>
      <c r="M10800" t="s">
        <v>43193</v>
      </c>
      <c r="N10800" t="s">
        <v>44759</v>
      </c>
      <c r="O10800" t="s">
        <v>44760</v>
      </c>
      <c r="P10800">
        <v>0</v>
      </c>
      <c r="Q10800">
        <v>1</v>
      </c>
      <c r="R10800" t="s">
        <v>44773</v>
      </c>
      <c r="S10800" t="s">
        <v>45184</v>
      </c>
      <c r="T10800" t="s">
        <v>46353</v>
      </c>
      <c r="U10800" t="s">
        <v>52923</v>
      </c>
      <c r="W10800" t="s">
        <v>43193</v>
      </c>
      <c r="X10800" t="s">
        <v>44774</v>
      </c>
    </row>
    <row r="10801" spans="1:24">
      <c r="A10801">
        <f>HYPERLINK("https://www.philgeps.gov.ph/GEPSNONPILOT/Tender/SplashBidNoticeAbstractUI.aspx?menuIndex=3&amp;refID=7131506&amp;Result=3","7131506")</f>
        <v>0</v>
      </c>
      <c r="B10801" t="s">
        <v>2144</v>
      </c>
      <c r="C10801" t="s">
        <v>14016</v>
      </c>
      <c r="D10801" t="s">
        <v>17957</v>
      </c>
      <c r="E10801" t="s">
        <v>18610</v>
      </c>
      <c r="F10801" t="s">
        <v>30900</v>
      </c>
      <c r="G10801" t="s">
        <v>30907</v>
      </c>
      <c r="H10801" t="s">
        <v>30916</v>
      </c>
      <c r="I10801" t="s">
        <v>30936</v>
      </c>
      <c r="J10801" t="s">
        <v>31701</v>
      </c>
      <c r="K10801" t="s">
        <v>40286</v>
      </c>
      <c r="M10801" t="s">
        <v>42847</v>
      </c>
      <c r="N10801" t="s">
        <v>44759</v>
      </c>
      <c r="O10801" t="s">
        <v>44760</v>
      </c>
      <c r="P10801">
        <v>0</v>
      </c>
      <c r="Q10801">
        <v>4</v>
      </c>
      <c r="R10801" t="s">
        <v>44773</v>
      </c>
      <c r="S10801" t="s">
        <v>45184</v>
      </c>
      <c r="T10801" t="s">
        <v>46445</v>
      </c>
      <c r="U10801" t="s">
        <v>55857</v>
      </c>
      <c r="W10801" t="s">
        <v>42847</v>
      </c>
      <c r="X10801" t="s">
        <v>44774</v>
      </c>
    </row>
    <row r="10802" spans="1:24">
      <c r="A10802">
        <f>HYPERLINK("https://www.philgeps.gov.ph/GEPSNONPILOT/Tender/SplashBidNoticeAbstractUI.aspx?menuIndex=3&amp;refID=7131727&amp;Result=3","7131727")</f>
        <v>0</v>
      </c>
      <c r="B10802" t="s">
        <v>494</v>
      </c>
      <c r="C10802" t="s">
        <v>14017</v>
      </c>
      <c r="D10802" t="s">
        <v>17961</v>
      </c>
      <c r="E10802" t="s">
        <v>20286</v>
      </c>
      <c r="F10802" t="s">
        <v>30900</v>
      </c>
      <c r="G10802" t="s">
        <v>30907</v>
      </c>
      <c r="H10802" t="s">
        <v>30916</v>
      </c>
      <c r="I10802" t="s">
        <v>30918</v>
      </c>
      <c r="J10802" t="s">
        <v>37763</v>
      </c>
      <c r="K10802" t="s">
        <v>40284</v>
      </c>
      <c r="M10802" t="s">
        <v>41053</v>
      </c>
      <c r="N10802" t="s">
        <v>44759</v>
      </c>
      <c r="O10802" t="s">
        <v>44760</v>
      </c>
      <c r="P10802">
        <v>0</v>
      </c>
      <c r="Q10802">
        <v>3</v>
      </c>
      <c r="R10802" t="s">
        <v>44773</v>
      </c>
      <c r="S10802" t="s">
        <v>45184</v>
      </c>
      <c r="T10802" t="s">
        <v>46641</v>
      </c>
      <c r="U10802" t="s">
        <v>55858</v>
      </c>
      <c r="W10802" t="s">
        <v>41053</v>
      </c>
      <c r="X10802" t="s">
        <v>44774</v>
      </c>
    </row>
    <row r="10803" spans="1:24">
      <c r="A10803">
        <f>HYPERLINK("https://www.philgeps.gov.ph/GEPSNONPILOT/Tender/SplashBidNoticeAbstractUI.aspx?menuIndex=3&amp;refID=7131513&amp;Result=3","7131513")</f>
        <v>0</v>
      </c>
      <c r="B10803" t="s">
        <v>516</v>
      </c>
      <c r="C10803" t="s">
        <v>14018</v>
      </c>
      <c r="D10803" t="s">
        <v>17982</v>
      </c>
      <c r="E10803" t="s">
        <v>27383</v>
      </c>
      <c r="F10803" t="s">
        <v>30900</v>
      </c>
      <c r="G10803" t="s">
        <v>30907</v>
      </c>
      <c r="H10803" t="s">
        <v>30917</v>
      </c>
      <c r="I10803" t="s">
        <v>30946</v>
      </c>
      <c r="J10803" t="s">
        <v>37764</v>
      </c>
      <c r="K10803" t="s">
        <v>40293</v>
      </c>
      <c r="M10803" t="s">
        <v>41076</v>
      </c>
      <c r="N10803" t="s">
        <v>44759</v>
      </c>
      <c r="O10803" t="s">
        <v>44760</v>
      </c>
      <c r="P10803">
        <v>0</v>
      </c>
      <c r="Q10803">
        <v>0</v>
      </c>
      <c r="R10803" t="s">
        <v>44773</v>
      </c>
      <c r="S10803" t="s">
        <v>45184</v>
      </c>
      <c r="T10803" t="s">
        <v>46414</v>
      </c>
      <c r="U10803" t="s">
        <v>55859</v>
      </c>
      <c r="W10803" t="s">
        <v>41076</v>
      </c>
      <c r="X10803" t="s">
        <v>44774</v>
      </c>
    </row>
    <row r="10804" spans="1:24">
      <c r="A10804">
        <f>HYPERLINK("https://www.philgeps.gov.ph/GEPSNONPILOT/Tender/SplashBidNoticeAbstractUI.aspx?menuIndex=3&amp;refID=7131720&amp;Result=3","7131720")</f>
        <v>0</v>
      </c>
      <c r="B10804" t="s">
        <v>3258</v>
      </c>
      <c r="C10804" t="s">
        <v>14019</v>
      </c>
      <c r="E10804" t="s">
        <v>27384</v>
      </c>
      <c r="F10804" t="s">
        <v>30900</v>
      </c>
      <c r="G10804" t="s">
        <v>30907</v>
      </c>
      <c r="H10804" t="s">
        <v>30916</v>
      </c>
      <c r="I10804" t="s">
        <v>30927</v>
      </c>
      <c r="J10804" t="s">
        <v>37765</v>
      </c>
      <c r="K10804" t="s">
        <v>40289</v>
      </c>
      <c r="M10804" t="s">
        <v>44103</v>
      </c>
      <c r="N10804" t="s">
        <v>44759</v>
      </c>
      <c r="O10804" t="s">
        <v>44760</v>
      </c>
      <c r="P10804">
        <v>0</v>
      </c>
      <c r="Q10804">
        <v>1</v>
      </c>
      <c r="R10804" t="s">
        <v>44773</v>
      </c>
      <c r="S10804" t="s">
        <v>45184</v>
      </c>
      <c r="T10804" t="s">
        <v>46868</v>
      </c>
      <c r="U10804" t="s">
        <v>55860</v>
      </c>
      <c r="W10804" t="s">
        <v>44103</v>
      </c>
      <c r="X10804" t="s">
        <v>44774</v>
      </c>
    </row>
    <row r="10805" spans="1:24">
      <c r="A10805">
        <f>HYPERLINK("https://www.philgeps.gov.ph/GEPSNONPILOT/Tender/SplashBidNoticeAbstractUI.aspx?menuIndex=3&amp;refID=7131730&amp;Result=3","7131730")</f>
        <v>0</v>
      </c>
      <c r="B10805" t="s">
        <v>3259</v>
      </c>
      <c r="C10805" t="s">
        <v>14020</v>
      </c>
      <c r="D10805" t="s">
        <v>18002</v>
      </c>
      <c r="E10805" t="s">
        <v>27385</v>
      </c>
      <c r="F10805" t="s">
        <v>30900</v>
      </c>
      <c r="G10805" t="s">
        <v>30907</v>
      </c>
      <c r="H10805" t="s">
        <v>30915</v>
      </c>
      <c r="I10805" t="s">
        <v>30919</v>
      </c>
      <c r="J10805" t="s">
        <v>32523</v>
      </c>
      <c r="K10805" t="s">
        <v>40304</v>
      </c>
      <c r="M10805" t="s">
        <v>44105</v>
      </c>
      <c r="N10805" t="s">
        <v>44759</v>
      </c>
      <c r="O10805" t="s">
        <v>44760</v>
      </c>
      <c r="Q10805">
        <v>11</v>
      </c>
      <c r="R10805" t="s">
        <v>44773</v>
      </c>
      <c r="S10805" t="s">
        <v>45218</v>
      </c>
      <c r="T10805" t="s">
        <v>46411</v>
      </c>
      <c r="U10805" t="s">
        <v>55854</v>
      </c>
      <c r="W10805" t="s">
        <v>44105</v>
      </c>
      <c r="X10805" t="s">
        <v>44774</v>
      </c>
    </row>
    <row r="10806" spans="1:24">
      <c r="A10806">
        <f>HYPERLINK("https://www.philgeps.gov.ph/GEPSNONPILOT/Tender/SplashBidNoticeAbstractUI.aspx?menuIndex=3&amp;refID=7131696&amp;Result=3","7131696")</f>
        <v>0</v>
      </c>
      <c r="B10806" t="s">
        <v>1590</v>
      </c>
      <c r="C10806" t="s">
        <v>14021</v>
      </c>
      <c r="E10806" t="s">
        <v>27386</v>
      </c>
      <c r="F10806" t="s">
        <v>30900</v>
      </c>
      <c r="G10806" t="s">
        <v>30907</v>
      </c>
      <c r="H10806" t="s">
        <v>30916</v>
      </c>
      <c r="I10806" t="s">
        <v>5501</v>
      </c>
      <c r="J10806" t="s">
        <v>37766</v>
      </c>
      <c r="K10806" t="s">
        <v>40289</v>
      </c>
      <c r="M10806" t="s">
        <v>43200</v>
      </c>
      <c r="N10806" t="s">
        <v>44759</v>
      </c>
      <c r="O10806" t="s">
        <v>44760</v>
      </c>
      <c r="P10806">
        <v>0</v>
      </c>
      <c r="Q10806">
        <v>6</v>
      </c>
      <c r="R10806" t="s">
        <v>44773</v>
      </c>
      <c r="S10806" t="s">
        <v>45184</v>
      </c>
      <c r="T10806" t="s">
        <v>46869</v>
      </c>
      <c r="U10806" t="s">
        <v>55861</v>
      </c>
      <c r="W10806" t="s">
        <v>43200</v>
      </c>
      <c r="X10806" t="s">
        <v>44774</v>
      </c>
    </row>
    <row r="10807" spans="1:24">
      <c r="A10807">
        <f>HYPERLINK("https://www.philgeps.gov.ph/GEPSNONPILOT/Tender/SplashBidNoticeAbstractUI.aspx?menuIndex=3&amp;refID=7131690&amp;Result=3","7131690")</f>
        <v>0</v>
      </c>
      <c r="B10807" t="s">
        <v>3258</v>
      </c>
      <c r="C10807" t="s">
        <v>14022</v>
      </c>
      <c r="E10807" t="s">
        <v>18271</v>
      </c>
      <c r="F10807" t="s">
        <v>30900</v>
      </c>
      <c r="G10807" t="s">
        <v>30907</v>
      </c>
      <c r="H10807" t="s">
        <v>30916</v>
      </c>
      <c r="I10807" t="s">
        <v>30927</v>
      </c>
      <c r="J10807" t="s">
        <v>37767</v>
      </c>
      <c r="K10807" t="s">
        <v>40289</v>
      </c>
      <c r="M10807" t="s">
        <v>44103</v>
      </c>
      <c r="N10807" t="s">
        <v>44759</v>
      </c>
      <c r="O10807" t="s">
        <v>44760</v>
      </c>
      <c r="P10807">
        <v>0</v>
      </c>
      <c r="Q10807">
        <v>1</v>
      </c>
      <c r="R10807" t="s">
        <v>44773</v>
      </c>
      <c r="S10807" t="s">
        <v>45184</v>
      </c>
      <c r="T10807" t="s">
        <v>46868</v>
      </c>
      <c r="U10807" t="s">
        <v>55862</v>
      </c>
      <c r="W10807" t="s">
        <v>44103</v>
      </c>
      <c r="X10807" t="s">
        <v>44774</v>
      </c>
    </row>
    <row r="10808" spans="1:24">
      <c r="A10808">
        <f>HYPERLINK("https://www.philgeps.gov.ph/GEPSNONPILOT/Tender/SplashBidNoticeAbstractUI.aspx?menuIndex=3&amp;refID=7131689&amp;Result=3","7131689")</f>
        <v>0</v>
      </c>
      <c r="B10808" t="s">
        <v>75</v>
      </c>
      <c r="C10808" t="s">
        <v>14023</v>
      </c>
      <c r="E10808" t="s">
        <v>27387</v>
      </c>
      <c r="F10808" t="s">
        <v>30900</v>
      </c>
      <c r="G10808" t="s">
        <v>30907</v>
      </c>
      <c r="H10808" t="s">
        <v>30916</v>
      </c>
      <c r="I10808" t="s">
        <v>30923</v>
      </c>
      <c r="J10808" t="s">
        <v>31082</v>
      </c>
      <c r="K10808" t="s">
        <v>40289</v>
      </c>
      <c r="M10808" t="s">
        <v>42278</v>
      </c>
      <c r="N10808" t="s">
        <v>44759</v>
      </c>
      <c r="O10808" t="s">
        <v>44760</v>
      </c>
      <c r="Q10808">
        <v>1</v>
      </c>
      <c r="R10808" t="s">
        <v>44773</v>
      </c>
      <c r="S10808" t="s">
        <v>45219</v>
      </c>
      <c r="T10808" t="s">
        <v>46352</v>
      </c>
      <c r="U10808" t="s">
        <v>50666</v>
      </c>
      <c r="W10808" t="s">
        <v>60870</v>
      </c>
      <c r="X10808" t="s">
        <v>44774</v>
      </c>
    </row>
    <row r="10809" spans="1:24">
      <c r="A10809">
        <f>HYPERLINK("https://www.philgeps.gov.ph/GEPSNONPILOT/Tender/SplashBidNoticeAbstractUI.aspx?menuIndex=3&amp;refID=7131647&amp;Result=3","7131647")</f>
        <v>0</v>
      </c>
      <c r="B10809" t="s">
        <v>75</v>
      </c>
      <c r="C10809" t="s">
        <v>14024</v>
      </c>
      <c r="E10809" t="s">
        <v>27388</v>
      </c>
      <c r="F10809" t="s">
        <v>30900</v>
      </c>
      <c r="G10809" t="s">
        <v>30907</v>
      </c>
      <c r="H10809" t="s">
        <v>30916</v>
      </c>
      <c r="I10809" t="s">
        <v>30993</v>
      </c>
      <c r="J10809" t="s">
        <v>37768</v>
      </c>
      <c r="K10809" t="s">
        <v>40289</v>
      </c>
      <c r="M10809" t="s">
        <v>42278</v>
      </c>
      <c r="N10809" t="s">
        <v>44759</v>
      </c>
      <c r="O10809" t="s">
        <v>44760</v>
      </c>
      <c r="Q10809">
        <v>5</v>
      </c>
      <c r="R10809" t="s">
        <v>44773</v>
      </c>
      <c r="S10809" t="s">
        <v>45220</v>
      </c>
      <c r="T10809" t="s">
        <v>46361</v>
      </c>
      <c r="U10809" t="s">
        <v>49511</v>
      </c>
      <c r="W10809" t="s">
        <v>60870</v>
      </c>
      <c r="X10809" t="s">
        <v>44774</v>
      </c>
    </row>
    <row r="10810" spans="1:24">
      <c r="A10810">
        <f>HYPERLINK("https://www.philgeps.gov.ph/GEPSNONPILOT/Tender/SplashBidNoticeAbstractUI.aspx?menuIndex=3&amp;refID=7131736&amp;Result=3","7131736")</f>
        <v>0</v>
      </c>
      <c r="B10810" t="s">
        <v>3260</v>
      </c>
      <c r="C10810" t="s">
        <v>14025</v>
      </c>
      <c r="D10810" t="s">
        <v>17993</v>
      </c>
      <c r="E10810" t="s">
        <v>27389</v>
      </c>
      <c r="F10810" t="s">
        <v>30904</v>
      </c>
      <c r="G10810" t="s">
        <v>30907</v>
      </c>
      <c r="H10810" t="s">
        <v>30915</v>
      </c>
      <c r="I10810" t="s">
        <v>30919</v>
      </c>
      <c r="J10810" t="s">
        <v>31049</v>
      </c>
      <c r="K10810" t="s">
        <v>40286</v>
      </c>
      <c r="M10810" t="s">
        <v>44106</v>
      </c>
      <c r="N10810" t="s">
        <v>44759</v>
      </c>
      <c r="O10810" t="s">
        <v>44760</v>
      </c>
      <c r="P10810">
        <v>0</v>
      </c>
      <c r="Q10810">
        <v>1</v>
      </c>
      <c r="R10810" t="s">
        <v>44773</v>
      </c>
      <c r="S10810" t="s">
        <v>45184</v>
      </c>
      <c r="T10810" t="s">
        <v>46472</v>
      </c>
      <c r="U10810" t="s">
        <v>55863</v>
      </c>
      <c r="W10810" t="s">
        <v>44106</v>
      </c>
      <c r="X10810" t="s">
        <v>44774</v>
      </c>
    </row>
    <row r="10811" spans="1:24">
      <c r="A10811">
        <f>HYPERLINK("https://www.philgeps.gov.ph/GEPSNONPILOT/Tender/SplashBidNoticeAbstractUI.aspx?menuIndex=3&amp;refID=7131732&amp;Result=3","7131732")</f>
        <v>0</v>
      </c>
      <c r="B10811" t="s">
        <v>2407</v>
      </c>
      <c r="C10811" t="s">
        <v>14026</v>
      </c>
      <c r="D10811" t="s">
        <v>17985</v>
      </c>
      <c r="E10811" t="s">
        <v>27390</v>
      </c>
      <c r="F10811" t="s">
        <v>30900</v>
      </c>
      <c r="G10811" t="s">
        <v>30906</v>
      </c>
      <c r="H10811" t="s">
        <v>30916</v>
      </c>
      <c r="I10811" t="s">
        <v>30922</v>
      </c>
      <c r="J10811" t="s">
        <v>37769</v>
      </c>
      <c r="K10811" t="s">
        <v>40280</v>
      </c>
      <c r="M10811" t="s">
        <v>43284</v>
      </c>
      <c r="N10811" t="s">
        <v>44759</v>
      </c>
      <c r="O10811" t="s">
        <v>44760</v>
      </c>
      <c r="Q10811">
        <v>1</v>
      </c>
      <c r="R10811" t="s">
        <v>44773</v>
      </c>
      <c r="S10811" t="s">
        <v>45221</v>
      </c>
      <c r="T10811" t="s">
        <v>46383</v>
      </c>
      <c r="U10811" t="s">
        <v>55864</v>
      </c>
      <c r="W10811" t="s">
        <v>43284</v>
      </c>
      <c r="X10811" t="s">
        <v>44774</v>
      </c>
    </row>
    <row r="10812" spans="1:24">
      <c r="A10812">
        <f>HYPERLINK("https://www.philgeps.gov.ph/GEPSNONPILOT/Tender/SplashBidNoticeAbstractUI.aspx?menuIndex=3&amp;refID=7131644&amp;Result=3","7131644")</f>
        <v>0</v>
      </c>
      <c r="B10812" t="s">
        <v>894</v>
      </c>
      <c r="C10812" t="s">
        <v>14027</v>
      </c>
      <c r="D10812" t="s">
        <v>18011</v>
      </c>
      <c r="E10812" t="s">
        <v>27391</v>
      </c>
      <c r="F10812" t="s">
        <v>30900</v>
      </c>
      <c r="G10812" t="s">
        <v>30907</v>
      </c>
      <c r="H10812" t="s">
        <v>30915</v>
      </c>
      <c r="I10812" t="s">
        <v>30919</v>
      </c>
      <c r="J10812" t="s">
        <v>37770</v>
      </c>
      <c r="K10812" t="s">
        <v>40301</v>
      </c>
      <c r="M10812" t="s">
        <v>41468</v>
      </c>
      <c r="N10812" t="s">
        <v>44759</v>
      </c>
      <c r="O10812" t="s">
        <v>44760</v>
      </c>
      <c r="Q10812">
        <v>1</v>
      </c>
      <c r="R10812" t="s">
        <v>44773</v>
      </c>
      <c r="S10812" t="s">
        <v>45222</v>
      </c>
      <c r="T10812" t="s">
        <v>46515</v>
      </c>
      <c r="U10812" t="s">
        <v>55865</v>
      </c>
      <c r="W10812" t="s">
        <v>41468</v>
      </c>
      <c r="X10812" t="s">
        <v>44774</v>
      </c>
    </row>
    <row r="10813" spans="1:24">
      <c r="A10813">
        <f>HYPERLINK("https://www.philgeps.gov.ph/GEPSNONPILOT/Tender/SplashBidNoticeAbstractUI.aspx?menuIndex=3&amp;refID=7131652&amp;Result=3","7131652")</f>
        <v>0</v>
      </c>
      <c r="B10813" t="s">
        <v>350</v>
      </c>
      <c r="C10813" t="s">
        <v>14028</v>
      </c>
      <c r="D10813" t="s">
        <v>18025</v>
      </c>
      <c r="E10813" t="s">
        <v>27392</v>
      </c>
      <c r="F10813" t="s">
        <v>30900</v>
      </c>
      <c r="G10813" t="s">
        <v>30907</v>
      </c>
      <c r="H10813" t="s">
        <v>30916</v>
      </c>
      <c r="I10813" t="s">
        <v>30947</v>
      </c>
      <c r="J10813" t="s">
        <v>37771</v>
      </c>
      <c r="K10813" t="s">
        <v>40286</v>
      </c>
      <c r="M10813" t="s">
        <v>41465</v>
      </c>
      <c r="N10813" t="s">
        <v>44759</v>
      </c>
      <c r="O10813" t="s">
        <v>44760</v>
      </c>
      <c r="P10813">
        <v>0</v>
      </c>
      <c r="Q10813">
        <v>7</v>
      </c>
      <c r="R10813" t="s">
        <v>44773</v>
      </c>
      <c r="S10813" t="s">
        <v>45184</v>
      </c>
      <c r="T10813" t="s">
        <v>46595</v>
      </c>
      <c r="U10813" t="s">
        <v>47499</v>
      </c>
      <c r="V10813" t="s">
        <v>59181</v>
      </c>
      <c r="W10813" t="s">
        <v>41484</v>
      </c>
      <c r="X10813" t="s">
        <v>44774</v>
      </c>
    </row>
    <row r="10814" spans="1:24">
      <c r="A10814">
        <f>HYPERLINK("https://www.philgeps.gov.ph/GEPSNONPILOT/Tender/SplashBidNoticeAbstractUI.aspx?menuIndex=3&amp;refID=7131676&amp;Result=3","7131676")</f>
        <v>0</v>
      </c>
      <c r="B10814" t="s">
        <v>2708</v>
      </c>
      <c r="C10814" t="s">
        <v>14029</v>
      </c>
      <c r="D10814" t="s">
        <v>17954</v>
      </c>
      <c r="E10814" t="s">
        <v>27393</v>
      </c>
      <c r="F10814" t="s">
        <v>30900</v>
      </c>
      <c r="G10814" t="s">
        <v>30907</v>
      </c>
      <c r="H10814" t="s">
        <v>30915</v>
      </c>
      <c r="I10814" t="s">
        <v>30919</v>
      </c>
      <c r="J10814" t="s">
        <v>31944</v>
      </c>
      <c r="K10814" t="s">
        <v>40286</v>
      </c>
      <c r="M10814" t="s">
        <v>43481</v>
      </c>
      <c r="N10814" t="s">
        <v>44759</v>
      </c>
      <c r="O10814" t="s">
        <v>44760</v>
      </c>
      <c r="P10814">
        <v>0</v>
      </c>
      <c r="Q10814">
        <v>1</v>
      </c>
      <c r="R10814" t="s">
        <v>44773</v>
      </c>
      <c r="S10814" t="s">
        <v>45184</v>
      </c>
      <c r="T10814" t="s">
        <v>46362</v>
      </c>
      <c r="U10814" t="s">
        <v>55866</v>
      </c>
      <c r="W10814" t="s">
        <v>43481</v>
      </c>
      <c r="X10814" t="s">
        <v>44774</v>
      </c>
    </row>
    <row r="10815" spans="1:24">
      <c r="A10815">
        <f>HYPERLINK("https://www.philgeps.gov.ph/GEPSNONPILOT/Tender/SplashBidNoticeAbstractUI.aspx?menuIndex=3&amp;refID=7131852&amp;Result=3","7131852")</f>
        <v>0</v>
      </c>
      <c r="B10815" t="s">
        <v>468</v>
      </c>
      <c r="C10815" t="s">
        <v>14030</v>
      </c>
      <c r="E10815" t="s">
        <v>27394</v>
      </c>
      <c r="F10815" t="s">
        <v>30900</v>
      </c>
      <c r="G10815" t="s">
        <v>30907</v>
      </c>
      <c r="H10815" t="s">
        <v>30915</v>
      </c>
      <c r="I10815" t="s">
        <v>30919</v>
      </c>
      <c r="J10815" t="s">
        <v>37112</v>
      </c>
      <c r="K10815" t="s">
        <v>40289</v>
      </c>
      <c r="M10815" t="s">
        <v>41026</v>
      </c>
      <c r="N10815" t="s">
        <v>44759</v>
      </c>
      <c r="O10815" t="s">
        <v>44760</v>
      </c>
      <c r="P10815">
        <v>0</v>
      </c>
      <c r="Q10815">
        <v>3</v>
      </c>
      <c r="R10815" t="s">
        <v>44773</v>
      </c>
      <c r="S10815" t="s">
        <v>45184</v>
      </c>
      <c r="T10815" t="s">
        <v>46390</v>
      </c>
      <c r="U10815" t="s">
        <v>55867</v>
      </c>
      <c r="V10815" t="s">
        <v>59226</v>
      </c>
      <c r="W10815" t="s">
        <v>41026</v>
      </c>
      <c r="X10815" t="s">
        <v>44774</v>
      </c>
    </row>
    <row r="10816" spans="1:24">
      <c r="A10816">
        <f>HYPERLINK("https://www.philgeps.gov.ph/GEPSNONPILOT/Tender/SplashBidNoticeAbstractUI.aspx?menuIndex=3&amp;refID=7131846&amp;Result=3","7131846")</f>
        <v>0</v>
      </c>
      <c r="B10816" t="s">
        <v>3261</v>
      </c>
      <c r="C10816" t="s">
        <v>14031</v>
      </c>
      <c r="D10816" t="s">
        <v>17981</v>
      </c>
      <c r="E10816" t="s">
        <v>18169</v>
      </c>
      <c r="F10816" t="s">
        <v>30900</v>
      </c>
      <c r="G10816" t="s">
        <v>30907</v>
      </c>
      <c r="H10816" t="s">
        <v>30917</v>
      </c>
      <c r="I10816" t="s">
        <v>31006</v>
      </c>
      <c r="J10816" t="s">
        <v>37772</v>
      </c>
      <c r="K10816" t="s">
        <v>40332</v>
      </c>
      <c r="M10816" t="s">
        <v>44107</v>
      </c>
      <c r="N10816" t="s">
        <v>44759</v>
      </c>
      <c r="O10816" t="s">
        <v>44760</v>
      </c>
      <c r="P10816">
        <v>0</v>
      </c>
      <c r="Q10816">
        <v>3</v>
      </c>
      <c r="R10816" t="s">
        <v>44773</v>
      </c>
      <c r="S10816" t="s">
        <v>45184</v>
      </c>
      <c r="T10816" t="s">
        <v>46870</v>
      </c>
      <c r="U10816" t="s">
        <v>55868</v>
      </c>
      <c r="W10816" t="s">
        <v>44107</v>
      </c>
      <c r="X10816" t="s">
        <v>44774</v>
      </c>
    </row>
    <row r="10817" spans="1:24">
      <c r="A10817">
        <f>HYPERLINK("https://www.philgeps.gov.ph/GEPSNONPILOT/Tender/SplashBidNoticeAbstractUI.aspx?menuIndex=3&amp;refID=7131735&amp;Result=3","7131735")</f>
        <v>0</v>
      </c>
      <c r="B10817" t="s">
        <v>817</v>
      </c>
      <c r="C10817" t="s">
        <v>14032</v>
      </c>
      <c r="D10817" t="s">
        <v>18025</v>
      </c>
      <c r="E10817" t="s">
        <v>27395</v>
      </c>
      <c r="F10817" t="s">
        <v>30900</v>
      </c>
      <c r="G10817" t="s">
        <v>30907</v>
      </c>
      <c r="H10817" t="s">
        <v>30916</v>
      </c>
      <c r="I10817" t="s">
        <v>6396</v>
      </c>
      <c r="J10817" t="s">
        <v>37773</v>
      </c>
      <c r="K10817" t="s">
        <v>40286</v>
      </c>
      <c r="M10817" t="s">
        <v>41388</v>
      </c>
      <c r="N10817" t="s">
        <v>44759</v>
      </c>
      <c r="O10817" t="s">
        <v>44760</v>
      </c>
      <c r="P10817">
        <v>0</v>
      </c>
      <c r="Q10817">
        <v>18</v>
      </c>
      <c r="R10817" t="s">
        <v>44773</v>
      </c>
      <c r="S10817" t="s">
        <v>45184</v>
      </c>
      <c r="T10817" t="s">
        <v>46689</v>
      </c>
      <c r="U10817" t="s">
        <v>55869</v>
      </c>
      <c r="W10817" t="s">
        <v>41388</v>
      </c>
      <c r="X10817" t="s">
        <v>44774</v>
      </c>
    </row>
    <row r="10818" spans="1:24">
      <c r="A10818">
        <f>HYPERLINK("https://www.philgeps.gov.ph/GEPSNONPILOT/Tender/SplashBidNoticeAbstractUI.aspx?menuIndex=3&amp;refID=7131838&amp;Result=3","7131838")</f>
        <v>0</v>
      </c>
      <c r="B10818" t="s">
        <v>468</v>
      </c>
      <c r="C10818" t="s">
        <v>14033</v>
      </c>
      <c r="E10818" t="s">
        <v>27396</v>
      </c>
      <c r="F10818" t="s">
        <v>30900</v>
      </c>
      <c r="G10818" t="s">
        <v>30907</v>
      </c>
      <c r="H10818" t="s">
        <v>30916</v>
      </c>
      <c r="I10818" t="s">
        <v>30923</v>
      </c>
      <c r="J10818" t="s">
        <v>37774</v>
      </c>
      <c r="K10818" t="s">
        <v>40289</v>
      </c>
      <c r="M10818" t="s">
        <v>41026</v>
      </c>
      <c r="N10818" t="s">
        <v>44759</v>
      </c>
      <c r="O10818" t="s">
        <v>44760</v>
      </c>
      <c r="P10818">
        <v>0</v>
      </c>
      <c r="Q10818">
        <v>11</v>
      </c>
      <c r="R10818" t="s">
        <v>44773</v>
      </c>
      <c r="S10818" t="s">
        <v>45184</v>
      </c>
      <c r="T10818" t="s">
        <v>46390</v>
      </c>
      <c r="U10818" t="s">
        <v>47714</v>
      </c>
      <c r="V10818" t="s">
        <v>59226</v>
      </c>
      <c r="W10818" t="s">
        <v>41026</v>
      </c>
      <c r="X10818" t="s">
        <v>44774</v>
      </c>
    </row>
    <row r="10819" spans="1:24">
      <c r="A10819">
        <f>HYPERLINK("https://www.philgeps.gov.ph/GEPSNONPILOT/Tender/SplashBidNoticeAbstractUI.aspx?menuIndex=3&amp;refID=7131837&amp;Result=3","7131837")</f>
        <v>0</v>
      </c>
      <c r="B10819" t="s">
        <v>3260</v>
      </c>
      <c r="C10819" t="s">
        <v>14034</v>
      </c>
      <c r="D10819" t="s">
        <v>17993</v>
      </c>
      <c r="E10819" t="s">
        <v>27397</v>
      </c>
      <c r="F10819" t="s">
        <v>30904</v>
      </c>
      <c r="G10819" t="s">
        <v>30907</v>
      </c>
      <c r="H10819" t="s">
        <v>30915</v>
      </c>
      <c r="I10819" t="s">
        <v>30919</v>
      </c>
      <c r="J10819" t="s">
        <v>31049</v>
      </c>
      <c r="K10819" t="s">
        <v>40286</v>
      </c>
      <c r="M10819" t="s">
        <v>44106</v>
      </c>
      <c r="N10819" t="s">
        <v>44759</v>
      </c>
      <c r="O10819" t="s">
        <v>44760</v>
      </c>
      <c r="P10819">
        <v>0</v>
      </c>
      <c r="Q10819">
        <v>1</v>
      </c>
      <c r="R10819" t="s">
        <v>44773</v>
      </c>
      <c r="S10819" t="s">
        <v>45184</v>
      </c>
      <c r="T10819" t="s">
        <v>46712</v>
      </c>
      <c r="U10819" t="s">
        <v>55863</v>
      </c>
      <c r="W10819" t="s">
        <v>44106</v>
      </c>
      <c r="X10819" t="s">
        <v>44774</v>
      </c>
    </row>
    <row r="10820" spans="1:24">
      <c r="A10820">
        <f>HYPERLINK("https://www.philgeps.gov.ph/GEPSNONPILOT/Tender/SplashBidNoticeAbstractUI.aspx?menuIndex=3&amp;refID=7131866&amp;Result=3","7131866")</f>
        <v>0</v>
      </c>
      <c r="B10820" t="s">
        <v>3262</v>
      </c>
      <c r="C10820" t="s">
        <v>14035</v>
      </c>
      <c r="D10820" t="s">
        <v>18012</v>
      </c>
      <c r="E10820" t="s">
        <v>27398</v>
      </c>
      <c r="F10820" t="s">
        <v>30900</v>
      </c>
      <c r="G10820" t="s">
        <v>30907</v>
      </c>
      <c r="H10820" t="s">
        <v>30915</v>
      </c>
      <c r="I10820" t="s">
        <v>30919</v>
      </c>
      <c r="J10820" t="s">
        <v>37775</v>
      </c>
      <c r="K10820" t="s">
        <v>40505</v>
      </c>
      <c r="M10820" t="s">
        <v>44108</v>
      </c>
      <c r="N10820" t="s">
        <v>44759</v>
      </c>
      <c r="O10820" t="s">
        <v>44760</v>
      </c>
      <c r="Q10820">
        <v>1</v>
      </c>
      <c r="R10820" t="s">
        <v>44773</v>
      </c>
      <c r="S10820" t="s">
        <v>45223</v>
      </c>
      <c r="T10820" t="s">
        <v>46616</v>
      </c>
      <c r="U10820" t="s">
        <v>55870</v>
      </c>
      <c r="W10820" t="s">
        <v>44108</v>
      </c>
      <c r="X10820" t="s">
        <v>44774</v>
      </c>
    </row>
    <row r="10821" spans="1:24">
      <c r="A10821">
        <f>HYPERLINK("https://www.philgeps.gov.ph/GEPSNONPILOT/Tender/SplashBidNoticeAbstractUI.aspx?menuIndex=3&amp;refID=7131818&amp;Result=3","7131818")</f>
        <v>0</v>
      </c>
      <c r="B10821" t="s">
        <v>535</v>
      </c>
      <c r="C10821" t="s">
        <v>14036</v>
      </c>
      <c r="D10821" t="s">
        <v>17959</v>
      </c>
      <c r="E10821" t="s">
        <v>27399</v>
      </c>
      <c r="F10821" t="s">
        <v>30900</v>
      </c>
      <c r="G10821" t="s">
        <v>30907</v>
      </c>
      <c r="H10821" t="s">
        <v>30915</v>
      </c>
      <c r="I10821" t="s">
        <v>30919</v>
      </c>
      <c r="J10821" t="s">
        <v>35668</v>
      </c>
      <c r="K10821" t="s">
        <v>40342</v>
      </c>
      <c r="M10821" t="s">
        <v>41095</v>
      </c>
      <c r="N10821" t="s">
        <v>44759</v>
      </c>
      <c r="O10821" t="s">
        <v>44760</v>
      </c>
      <c r="P10821">
        <v>0</v>
      </c>
      <c r="Q10821">
        <v>10</v>
      </c>
      <c r="R10821" t="s">
        <v>44773</v>
      </c>
      <c r="S10821" t="s">
        <v>45184</v>
      </c>
      <c r="T10821" t="s">
        <v>46409</v>
      </c>
      <c r="U10821" t="s">
        <v>55871</v>
      </c>
      <c r="W10821" t="s">
        <v>60830</v>
      </c>
      <c r="X10821" t="s">
        <v>44774</v>
      </c>
    </row>
    <row r="10822" spans="1:24">
      <c r="A10822">
        <f>HYPERLINK("https://www.philgeps.gov.ph/GEPSNONPILOT/Tender/SplashBidNoticeAbstractUI.aspx?menuIndex=3&amp;refID=7131828&amp;Result=3","7131828")</f>
        <v>0</v>
      </c>
      <c r="B10822" t="s">
        <v>894</v>
      </c>
      <c r="C10822" t="s">
        <v>14037</v>
      </c>
      <c r="D10822" t="s">
        <v>18011</v>
      </c>
      <c r="E10822" t="s">
        <v>27400</v>
      </c>
      <c r="F10822" t="s">
        <v>30900</v>
      </c>
      <c r="G10822" t="s">
        <v>30907</v>
      </c>
      <c r="H10822" t="s">
        <v>30915</v>
      </c>
      <c r="I10822" t="s">
        <v>30919</v>
      </c>
      <c r="J10822" t="s">
        <v>31897</v>
      </c>
      <c r="K10822" t="s">
        <v>40342</v>
      </c>
      <c r="M10822" t="s">
        <v>41468</v>
      </c>
      <c r="N10822" t="s">
        <v>44759</v>
      </c>
      <c r="O10822" t="s">
        <v>44760</v>
      </c>
      <c r="Q10822">
        <v>0</v>
      </c>
      <c r="R10822" t="s">
        <v>44773</v>
      </c>
      <c r="S10822" t="s">
        <v>45224</v>
      </c>
      <c r="T10822" t="s">
        <v>46515</v>
      </c>
      <c r="U10822" t="s">
        <v>55872</v>
      </c>
      <c r="W10822" t="s">
        <v>41468</v>
      </c>
      <c r="X10822" t="s">
        <v>44774</v>
      </c>
    </row>
    <row r="10823" spans="1:24">
      <c r="A10823">
        <f>HYPERLINK("https://www.philgeps.gov.ph/GEPSNONPILOT/Tender/SplashBidNoticeAbstractUI.aspx?menuIndex=3&amp;refID=7131813&amp;Result=3","7131813")</f>
        <v>0</v>
      </c>
      <c r="B10823" t="s">
        <v>532</v>
      </c>
      <c r="C10823" t="s">
        <v>14038</v>
      </c>
      <c r="D10823" t="s">
        <v>17966</v>
      </c>
      <c r="E10823" t="s">
        <v>19703</v>
      </c>
      <c r="F10823" t="s">
        <v>30900</v>
      </c>
      <c r="G10823" t="s">
        <v>30907</v>
      </c>
      <c r="H10823" t="s">
        <v>30915</v>
      </c>
      <c r="I10823" t="s">
        <v>30919</v>
      </c>
      <c r="J10823" t="s">
        <v>31152</v>
      </c>
      <c r="K10823" t="s">
        <v>40280</v>
      </c>
      <c r="M10823" t="s">
        <v>41092</v>
      </c>
      <c r="N10823" t="s">
        <v>44759</v>
      </c>
      <c r="O10823" t="s">
        <v>44760</v>
      </c>
      <c r="P10823">
        <v>0</v>
      </c>
      <c r="Q10823">
        <v>1</v>
      </c>
      <c r="R10823" t="s">
        <v>44773</v>
      </c>
      <c r="S10823" t="s">
        <v>45184</v>
      </c>
      <c r="T10823" t="s">
        <v>46512</v>
      </c>
      <c r="U10823" t="s">
        <v>55873</v>
      </c>
      <c r="W10823" t="s">
        <v>41092</v>
      </c>
      <c r="X10823" t="s">
        <v>44774</v>
      </c>
    </row>
    <row r="10824" spans="1:24">
      <c r="A10824">
        <f>HYPERLINK("https://www.philgeps.gov.ph/GEPSNONPILOT/Tender/SplashBidNoticeAbstractUI.aspx?menuIndex=3&amp;refID=7131812&amp;Result=3","7131812")</f>
        <v>0</v>
      </c>
      <c r="B10824" t="s">
        <v>2213</v>
      </c>
      <c r="C10824" t="s">
        <v>14039</v>
      </c>
      <c r="D10824" t="s">
        <v>18015</v>
      </c>
      <c r="E10824" t="s">
        <v>20286</v>
      </c>
      <c r="F10824" t="s">
        <v>30900</v>
      </c>
      <c r="G10824" t="s">
        <v>30907</v>
      </c>
      <c r="H10824" t="s">
        <v>30915</v>
      </c>
      <c r="I10824" t="s">
        <v>30919</v>
      </c>
      <c r="J10824" t="s">
        <v>37375</v>
      </c>
      <c r="K10824" t="s">
        <v>40322</v>
      </c>
      <c r="M10824" t="s">
        <v>42922</v>
      </c>
      <c r="N10824" t="s">
        <v>44759</v>
      </c>
      <c r="O10824" t="s">
        <v>44760</v>
      </c>
      <c r="P10824">
        <v>0</v>
      </c>
      <c r="Q10824">
        <v>2</v>
      </c>
      <c r="R10824" t="s">
        <v>44773</v>
      </c>
      <c r="S10824" t="s">
        <v>45184</v>
      </c>
      <c r="T10824" t="s">
        <v>46411</v>
      </c>
      <c r="U10824" t="s">
        <v>55874</v>
      </c>
      <c r="W10824" t="s">
        <v>42922</v>
      </c>
      <c r="X10824" t="s">
        <v>44774</v>
      </c>
    </row>
    <row r="10825" spans="1:24">
      <c r="A10825">
        <f>HYPERLINK("https://www.philgeps.gov.ph/GEPSNONPILOT/Tender/SplashBidNoticeAbstractUI.aspx?menuIndex=3&amp;refID=7131847&amp;Result=3","7131847")</f>
        <v>0</v>
      </c>
      <c r="B10825" t="s">
        <v>3258</v>
      </c>
      <c r="C10825" t="s">
        <v>14040</v>
      </c>
      <c r="E10825" t="s">
        <v>18964</v>
      </c>
      <c r="F10825" t="s">
        <v>30900</v>
      </c>
      <c r="G10825" t="s">
        <v>30907</v>
      </c>
      <c r="H10825" t="s">
        <v>30916</v>
      </c>
      <c r="I10825" t="s">
        <v>30924</v>
      </c>
      <c r="J10825" t="s">
        <v>31139</v>
      </c>
      <c r="K10825" t="s">
        <v>40289</v>
      </c>
      <c r="M10825" t="s">
        <v>44103</v>
      </c>
      <c r="N10825" t="s">
        <v>44759</v>
      </c>
      <c r="O10825" t="s">
        <v>44760</v>
      </c>
      <c r="P10825">
        <v>0</v>
      </c>
      <c r="Q10825">
        <v>3</v>
      </c>
      <c r="R10825" t="s">
        <v>44773</v>
      </c>
      <c r="S10825" t="s">
        <v>45184</v>
      </c>
      <c r="T10825" t="s">
        <v>46868</v>
      </c>
      <c r="U10825" t="s">
        <v>55875</v>
      </c>
      <c r="W10825" t="s">
        <v>44103</v>
      </c>
      <c r="X10825" t="s">
        <v>44774</v>
      </c>
    </row>
    <row r="10826" spans="1:24">
      <c r="A10826">
        <f>HYPERLINK("https://www.philgeps.gov.ph/GEPSNONPILOT/Tender/SplashBidNoticeAbstractUI.aspx?menuIndex=3&amp;refID=7131795&amp;Result=3","7131795")</f>
        <v>0</v>
      </c>
      <c r="B10826" t="s">
        <v>3258</v>
      </c>
      <c r="C10826" t="s">
        <v>14041</v>
      </c>
      <c r="E10826" t="s">
        <v>23683</v>
      </c>
      <c r="F10826" t="s">
        <v>30900</v>
      </c>
      <c r="G10826" t="s">
        <v>30907</v>
      </c>
      <c r="H10826" t="s">
        <v>30916</v>
      </c>
      <c r="I10826" t="s">
        <v>30924</v>
      </c>
      <c r="J10826" t="s">
        <v>37776</v>
      </c>
      <c r="K10826" t="s">
        <v>40289</v>
      </c>
      <c r="M10826" t="s">
        <v>44103</v>
      </c>
      <c r="N10826" t="s">
        <v>44759</v>
      </c>
      <c r="O10826" t="s">
        <v>44760</v>
      </c>
      <c r="P10826">
        <v>0</v>
      </c>
      <c r="Q10826">
        <v>2</v>
      </c>
      <c r="R10826" t="s">
        <v>44773</v>
      </c>
      <c r="S10826" t="s">
        <v>45184</v>
      </c>
      <c r="T10826" t="s">
        <v>46868</v>
      </c>
      <c r="U10826" t="s">
        <v>55876</v>
      </c>
      <c r="W10826" t="s">
        <v>44103</v>
      </c>
      <c r="X10826" t="s">
        <v>44774</v>
      </c>
    </row>
    <row r="10827" spans="1:24">
      <c r="A10827">
        <f>HYPERLINK("https://www.philgeps.gov.ph/GEPSNONPILOT/Tender/SplashBidNoticeAbstractUI.aspx?menuIndex=3&amp;refID=7131793&amp;Result=3","7131793")</f>
        <v>0</v>
      </c>
      <c r="B10827" t="s">
        <v>1472</v>
      </c>
      <c r="C10827" t="s">
        <v>14042</v>
      </c>
      <c r="D10827" t="s">
        <v>17978</v>
      </c>
      <c r="E10827" t="s">
        <v>27401</v>
      </c>
      <c r="F10827" t="s">
        <v>30900</v>
      </c>
      <c r="G10827" t="s">
        <v>30907</v>
      </c>
      <c r="H10827" t="s">
        <v>30916</v>
      </c>
      <c r="I10827" t="s">
        <v>4965</v>
      </c>
      <c r="J10827" t="s">
        <v>32560</v>
      </c>
      <c r="K10827" t="s">
        <v>40286</v>
      </c>
      <c r="M10827" t="s">
        <v>42106</v>
      </c>
      <c r="N10827" t="s">
        <v>44759</v>
      </c>
      <c r="O10827" t="s">
        <v>44760</v>
      </c>
      <c r="P10827">
        <v>0</v>
      </c>
      <c r="Q10827">
        <v>6</v>
      </c>
      <c r="R10827" t="s">
        <v>44773</v>
      </c>
      <c r="S10827" t="s">
        <v>45184</v>
      </c>
      <c r="T10827" t="s">
        <v>46544</v>
      </c>
      <c r="U10827" t="s">
        <v>55877</v>
      </c>
      <c r="W10827" t="s">
        <v>42106</v>
      </c>
      <c r="X10827" t="s">
        <v>44774</v>
      </c>
    </row>
    <row r="10828" spans="1:24">
      <c r="A10828">
        <f>HYPERLINK("https://www.philgeps.gov.ph/GEPSNONPILOT/Tender/SplashBidNoticeAbstractUI.aspx?menuIndex=3&amp;refID=7131777&amp;Result=3","7131777")</f>
        <v>0</v>
      </c>
      <c r="B10828" t="s">
        <v>1338</v>
      </c>
      <c r="C10828" t="s">
        <v>14043</v>
      </c>
      <c r="D10828" t="s">
        <v>18023</v>
      </c>
      <c r="E10828" t="s">
        <v>27402</v>
      </c>
      <c r="F10828" t="s">
        <v>30900</v>
      </c>
      <c r="G10828" t="s">
        <v>30907</v>
      </c>
      <c r="H10828" t="s">
        <v>30915</v>
      </c>
      <c r="I10828" t="s">
        <v>30919</v>
      </c>
      <c r="J10828" t="s">
        <v>37777</v>
      </c>
      <c r="K10828" t="s">
        <v>40371</v>
      </c>
      <c r="M10828" t="s">
        <v>41959</v>
      </c>
      <c r="N10828" t="s">
        <v>44759</v>
      </c>
      <c r="O10828" t="s">
        <v>44760</v>
      </c>
      <c r="Q10828">
        <v>1</v>
      </c>
      <c r="R10828" t="s">
        <v>44773</v>
      </c>
      <c r="S10828" t="s">
        <v>45225</v>
      </c>
      <c r="T10828" t="s">
        <v>46472</v>
      </c>
      <c r="U10828" t="s">
        <v>55878</v>
      </c>
      <c r="W10828" t="s">
        <v>41959</v>
      </c>
      <c r="X10828" t="s">
        <v>44774</v>
      </c>
    </row>
    <row r="10829" spans="1:24">
      <c r="A10829">
        <f>HYPERLINK("https://www.philgeps.gov.ph/GEPSNONPILOT/Tender/SplashBidNoticeAbstractUI.aspx?menuIndex=3&amp;refID=7131776&amp;Result=3","7131776")</f>
        <v>0</v>
      </c>
      <c r="B10829" t="s">
        <v>2752</v>
      </c>
      <c r="C10829" t="s">
        <v>14044</v>
      </c>
      <c r="D10829" t="s">
        <v>17967</v>
      </c>
      <c r="E10829" t="s">
        <v>27403</v>
      </c>
      <c r="F10829" t="s">
        <v>30900</v>
      </c>
      <c r="G10829" t="s">
        <v>30907</v>
      </c>
      <c r="H10829" t="s">
        <v>30916</v>
      </c>
      <c r="I10829" t="s">
        <v>8365</v>
      </c>
      <c r="J10829" t="s">
        <v>31243</v>
      </c>
      <c r="K10829" t="s">
        <v>40286</v>
      </c>
      <c r="M10829" t="s">
        <v>43529</v>
      </c>
      <c r="N10829" t="s">
        <v>44759</v>
      </c>
      <c r="O10829" t="s">
        <v>44760</v>
      </c>
      <c r="P10829">
        <v>0</v>
      </c>
      <c r="Q10829">
        <v>0</v>
      </c>
      <c r="R10829" t="s">
        <v>44773</v>
      </c>
      <c r="S10829" t="s">
        <v>45184</v>
      </c>
      <c r="T10829" t="s">
        <v>46495</v>
      </c>
      <c r="U10829" t="s">
        <v>55879</v>
      </c>
      <c r="W10829" t="s">
        <v>43529</v>
      </c>
      <c r="X10829" t="s">
        <v>44774</v>
      </c>
    </row>
    <row r="10830" spans="1:24">
      <c r="A10830">
        <f>HYPERLINK("https://www.philgeps.gov.ph/GEPSNONPILOT/Tender/SplashBidNoticeAbstractUI.aspx?menuIndex=3&amp;refID=7131771&amp;Result=3","7131771")</f>
        <v>0</v>
      </c>
      <c r="B10830" t="s">
        <v>3259</v>
      </c>
      <c r="C10830" t="s">
        <v>14045</v>
      </c>
      <c r="D10830" t="s">
        <v>18002</v>
      </c>
      <c r="E10830" t="s">
        <v>27404</v>
      </c>
      <c r="F10830" t="s">
        <v>30900</v>
      </c>
      <c r="G10830" t="s">
        <v>30907</v>
      </c>
      <c r="H10830" t="s">
        <v>30915</v>
      </c>
      <c r="I10830" t="s">
        <v>30919</v>
      </c>
      <c r="J10830" t="s">
        <v>32523</v>
      </c>
      <c r="K10830" t="s">
        <v>40304</v>
      </c>
      <c r="M10830" t="s">
        <v>44105</v>
      </c>
      <c r="N10830" t="s">
        <v>44759</v>
      </c>
      <c r="O10830" t="s">
        <v>44760</v>
      </c>
      <c r="Q10830">
        <v>9</v>
      </c>
      <c r="R10830" t="s">
        <v>44773</v>
      </c>
      <c r="S10830" t="s">
        <v>45226</v>
      </c>
      <c r="T10830" t="s">
        <v>46411</v>
      </c>
      <c r="U10830" t="s">
        <v>55854</v>
      </c>
      <c r="W10830" t="s">
        <v>44105</v>
      </c>
      <c r="X10830" t="s">
        <v>44774</v>
      </c>
    </row>
    <row r="10831" spans="1:24">
      <c r="A10831">
        <f>HYPERLINK("https://www.philgeps.gov.ph/GEPSNONPILOT/Tender/SplashBidNoticeAbstractUI.aspx?menuIndex=3&amp;refID=7131807&amp;Result=3","7131807")</f>
        <v>0</v>
      </c>
      <c r="B10831" t="s">
        <v>3263</v>
      </c>
      <c r="C10831" t="s">
        <v>14046</v>
      </c>
      <c r="D10831" t="s">
        <v>17983</v>
      </c>
      <c r="E10831" t="s">
        <v>27405</v>
      </c>
      <c r="F10831" t="s">
        <v>30900</v>
      </c>
      <c r="G10831" t="s">
        <v>30907</v>
      </c>
      <c r="H10831" t="s">
        <v>30916</v>
      </c>
      <c r="I10831" t="s">
        <v>5501</v>
      </c>
      <c r="J10831" t="s">
        <v>37778</v>
      </c>
      <c r="K10831" t="s">
        <v>40292</v>
      </c>
      <c r="M10831" t="s">
        <v>44109</v>
      </c>
      <c r="N10831" t="s">
        <v>44759</v>
      </c>
      <c r="O10831" t="s">
        <v>44760</v>
      </c>
      <c r="P10831">
        <v>0</v>
      </c>
      <c r="Q10831">
        <v>7</v>
      </c>
      <c r="R10831" t="s">
        <v>44773</v>
      </c>
      <c r="S10831" t="s">
        <v>45184</v>
      </c>
      <c r="T10831" t="s">
        <v>46467</v>
      </c>
      <c r="U10831" t="s">
        <v>55880</v>
      </c>
      <c r="W10831" t="s">
        <v>44109</v>
      </c>
      <c r="X10831" t="s">
        <v>44774</v>
      </c>
    </row>
    <row r="10832" spans="1:24">
      <c r="A10832">
        <f>HYPERLINK("https://www.philgeps.gov.ph/GEPSNONPILOT/Tender/SplashBidNoticeAbstractUI.aspx?menuIndex=3&amp;refID=7131782&amp;Result=3","7131782")</f>
        <v>0</v>
      </c>
      <c r="B10832" t="s">
        <v>3261</v>
      </c>
      <c r="C10832" t="s">
        <v>14047</v>
      </c>
      <c r="D10832" t="s">
        <v>17981</v>
      </c>
      <c r="E10832" t="s">
        <v>18158</v>
      </c>
      <c r="F10832" t="s">
        <v>30900</v>
      </c>
      <c r="G10832" t="s">
        <v>30907</v>
      </c>
      <c r="H10832" t="s">
        <v>30917</v>
      </c>
      <c r="I10832" t="s">
        <v>17295</v>
      </c>
      <c r="J10832" t="s">
        <v>37779</v>
      </c>
      <c r="K10832" t="s">
        <v>40332</v>
      </c>
      <c r="M10832" t="s">
        <v>44107</v>
      </c>
      <c r="N10832" t="s">
        <v>44759</v>
      </c>
      <c r="O10832" t="s">
        <v>44760</v>
      </c>
      <c r="P10832">
        <v>0</v>
      </c>
      <c r="Q10832">
        <v>4</v>
      </c>
      <c r="R10832" t="s">
        <v>44773</v>
      </c>
      <c r="S10832" t="s">
        <v>45184</v>
      </c>
      <c r="T10832" t="s">
        <v>46871</v>
      </c>
      <c r="U10832" t="s">
        <v>55881</v>
      </c>
      <c r="W10832" t="s">
        <v>44107</v>
      </c>
      <c r="X10832" t="s">
        <v>44774</v>
      </c>
    </row>
    <row r="10833" spans="1:24">
      <c r="A10833">
        <f>HYPERLINK("https://www.philgeps.gov.ph/GEPSNONPILOT/Tender/SplashBidNoticeAbstractUI.aspx?menuIndex=3&amp;refID=7131862&amp;Result=3","7131862")</f>
        <v>0</v>
      </c>
      <c r="B10833" t="s">
        <v>459</v>
      </c>
      <c r="C10833" t="s">
        <v>14048</v>
      </c>
      <c r="D10833" t="s">
        <v>17978</v>
      </c>
      <c r="E10833" t="s">
        <v>27406</v>
      </c>
      <c r="F10833" t="s">
        <v>30900</v>
      </c>
      <c r="G10833" t="s">
        <v>30907</v>
      </c>
      <c r="H10833" t="s">
        <v>30915</v>
      </c>
      <c r="I10833" t="s">
        <v>30919</v>
      </c>
      <c r="J10833" t="s">
        <v>37780</v>
      </c>
      <c r="K10833" t="s">
        <v>40388</v>
      </c>
      <c r="M10833" t="s">
        <v>41017</v>
      </c>
      <c r="N10833" t="s">
        <v>44759</v>
      </c>
      <c r="O10833" t="s">
        <v>44760</v>
      </c>
      <c r="P10833">
        <v>0</v>
      </c>
      <c r="Q10833">
        <v>18</v>
      </c>
      <c r="R10833" t="s">
        <v>44773</v>
      </c>
      <c r="S10833" t="s">
        <v>45184</v>
      </c>
      <c r="T10833" t="s">
        <v>46544</v>
      </c>
      <c r="U10833" t="s">
        <v>53106</v>
      </c>
      <c r="W10833" t="s">
        <v>41017</v>
      </c>
      <c r="X10833" t="s">
        <v>44774</v>
      </c>
    </row>
    <row r="10834" spans="1:24">
      <c r="A10834">
        <f>HYPERLINK("https://www.philgeps.gov.ph/GEPSNONPILOT/Tender/SplashBidNoticeAbstractUI.aspx?menuIndex=3&amp;refID=7131880&amp;Result=3","7131880")</f>
        <v>0</v>
      </c>
      <c r="B10834" t="s">
        <v>3258</v>
      </c>
      <c r="C10834" t="s">
        <v>14049</v>
      </c>
      <c r="E10834" t="s">
        <v>20879</v>
      </c>
      <c r="F10834" t="s">
        <v>30900</v>
      </c>
      <c r="G10834" t="s">
        <v>30907</v>
      </c>
      <c r="H10834" t="s">
        <v>30916</v>
      </c>
      <c r="I10834" t="s">
        <v>30924</v>
      </c>
      <c r="J10834" t="s">
        <v>37781</v>
      </c>
      <c r="K10834" t="s">
        <v>40289</v>
      </c>
      <c r="M10834" t="s">
        <v>44103</v>
      </c>
      <c r="N10834" t="s">
        <v>44759</v>
      </c>
      <c r="O10834" t="s">
        <v>44760</v>
      </c>
      <c r="P10834">
        <v>0</v>
      </c>
      <c r="Q10834">
        <v>4</v>
      </c>
      <c r="R10834" t="s">
        <v>44773</v>
      </c>
      <c r="S10834" t="s">
        <v>45184</v>
      </c>
      <c r="T10834" t="s">
        <v>46868</v>
      </c>
      <c r="U10834" t="s">
        <v>55882</v>
      </c>
      <c r="W10834" t="s">
        <v>44103</v>
      </c>
      <c r="X10834" t="s">
        <v>44774</v>
      </c>
    </row>
    <row r="10835" spans="1:24">
      <c r="A10835">
        <f>HYPERLINK("https://www.philgeps.gov.ph/GEPSNONPILOT/Tender/SplashBidNoticeAbstractUI.aspx?menuIndex=3&amp;refID=7131269&amp;Result=3","7131269")</f>
        <v>0</v>
      </c>
      <c r="B10835" t="s">
        <v>854</v>
      </c>
      <c r="C10835" t="s">
        <v>14050</v>
      </c>
      <c r="D10835" t="s">
        <v>17963</v>
      </c>
      <c r="E10835" t="s">
        <v>27407</v>
      </c>
      <c r="F10835" t="s">
        <v>30900</v>
      </c>
      <c r="G10835" t="s">
        <v>30907</v>
      </c>
      <c r="H10835" t="s">
        <v>30915</v>
      </c>
      <c r="I10835" t="s">
        <v>30919</v>
      </c>
      <c r="J10835" t="s">
        <v>31153</v>
      </c>
      <c r="K10835" t="s">
        <v>40292</v>
      </c>
      <c r="M10835" t="s">
        <v>41427</v>
      </c>
      <c r="N10835" t="s">
        <v>44759</v>
      </c>
      <c r="O10835" t="s">
        <v>44760</v>
      </c>
      <c r="P10835">
        <v>0</v>
      </c>
      <c r="Q10835">
        <v>0</v>
      </c>
      <c r="R10835" t="s">
        <v>44773</v>
      </c>
      <c r="S10835" t="s">
        <v>45184</v>
      </c>
      <c r="T10835" t="s">
        <v>46353</v>
      </c>
      <c r="U10835" t="s">
        <v>55883</v>
      </c>
      <c r="V10835" t="s">
        <v>60323</v>
      </c>
      <c r="W10835" t="s">
        <v>41427</v>
      </c>
      <c r="X10835" t="s">
        <v>44774</v>
      </c>
    </row>
    <row r="10836" spans="1:24">
      <c r="A10836">
        <f>HYPERLINK("https://www.philgeps.gov.ph/GEPSNONPILOT/Tender/SplashBidNoticeAbstractUI.aspx?menuIndex=3&amp;refID=7131986&amp;Result=3","7131986")</f>
        <v>0</v>
      </c>
      <c r="B10836" t="s">
        <v>3204</v>
      </c>
      <c r="C10836" t="s">
        <v>14051</v>
      </c>
      <c r="D10836" t="s">
        <v>17985</v>
      </c>
      <c r="E10836" t="s">
        <v>27384</v>
      </c>
      <c r="F10836" t="s">
        <v>30900</v>
      </c>
      <c r="G10836" t="s">
        <v>30907</v>
      </c>
      <c r="H10836" t="s">
        <v>30915</v>
      </c>
      <c r="I10836" t="s">
        <v>30919</v>
      </c>
      <c r="J10836" t="s">
        <v>31341</v>
      </c>
      <c r="K10836" t="s">
        <v>40280</v>
      </c>
      <c r="M10836" t="s">
        <v>44043</v>
      </c>
      <c r="N10836" t="s">
        <v>44759</v>
      </c>
      <c r="O10836" t="s">
        <v>44760</v>
      </c>
      <c r="P10836">
        <v>0</v>
      </c>
      <c r="Q10836">
        <v>0</v>
      </c>
      <c r="R10836" t="s">
        <v>44773</v>
      </c>
      <c r="S10836" t="s">
        <v>45184</v>
      </c>
      <c r="T10836" t="s">
        <v>46383</v>
      </c>
      <c r="U10836" t="s">
        <v>55884</v>
      </c>
      <c r="V10836" t="s">
        <v>60324</v>
      </c>
      <c r="W10836" t="s">
        <v>44043</v>
      </c>
      <c r="X10836" t="s">
        <v>44774</v>
      </c>
    </row>
    <row r="10837" spans="1:24">
      <c r="A10837">
        <f>HYPERLINK("https://www.philgeps.gov.ph/GEPSNONPILOT/Tender/SplashBidNoticeAbstractUI.aspx?menuIndex=3&amp;refID=7132020&amp;Result=3","7132020")</f>
        <v>0</v>
      </c>
      <c r="B10837" t="s">
        <v>3211</v>
      </c>
      <c r="C10837" t="s">
        <v>14052</v>
      </c>
      <c r="D10837" t="s">
        <v>18038</v>
      </c>
      <c r="E10837" t="s">
        <v>27408</v>
      </c>
      <c r="F10837" t="s">
        <v>30900</v>
      </c>
      <c r="G10837" t="s">
        <v>30907</v>
      </c>
      <c r="H10837" t="s">
        <v>30916</v>
      </c>
      <c r="I10837" t="s">
        <v>30924</v>
      </c>
      <c r="J10837" t="s">
        <v>37782</v>
      </c>
      <c r="K10837" t="s">
        <v>40304</v>
      </c>
      <c r="M10837" t="s">
        <v>44050</v>
      </c>
      <c r="N10837" t="s">
        <v>44759</v>
      </c>
      <c r="O10837" t="s">
        <v>44760</v>
      </c>
      <c r="P10837">
        <v>0</v>
      </c>
      <c r="Q10837">
        <v>18</v>
      </c>
      <c r="R10837" t="s">
        <v>44773</v>
      </c>
      <c r="S10837" t="s">
        <v>45184</v>
      </c>
      <c r="T10837" t="s">
        <v>46805</v>
      </c>
      <c r="U10837" t="s">
        <v>55885</v>
      </c>
      <c r="W10837" t="s">
        <v>44050</v>
      </c>
      <c r="X10837" t="s">
        <v>44774</v>
      </c>
    </row>
    <row r="10838" spans="1:24">
      <c r="A10838">
        <f>HYPERLINK("https://www.philgeps.gov.ph/GEPSNONPILOT/Tender/SplashBidNoticeAbstractUI.aspx?menuIndex=3&amp;refID=7132016&amp;Result=3","7132016")</f>
        <v>0</v>
      </c>
      <c r="B10838" t="s">
        <v>532</v>
      </c>
      <c r="C10838" t="s">
        <v>14053</v>
      </c>
      <c r="D10838" t="s">
        <v>17966</v>
      </c>
      <c r="E10838" t="s">
        <v>20256</v>
      </c>
      <c r="F10838" t="s">
        <v>30900</v>
      </c>
      <c r="G10838" t="s">
        <v>30907</v>
      </c>
      <c r="H10838" t="s">
        <v>30915</v>
      </c>
      <c r="I10838" t="s">
        <v>30919</v>
      </c>
      <c r="J10838" t="s">
        <v>37783</v>
      </c>
      <c r="K10838" t="s">
        <v>40487</v>
      </c>
      <c r="M10838" t="s">
        <v>41092</v>
      </c>
      <c r="N10838" t="s">
        <v>44759</v>
      </c>
      <c r="O10838" t="s">
        <v>44760</v>
      </c>
      <c r="P10838">
        <v>0</v>
      </c>
      <c r="Q10838">
        <v>0</v>
      </c>
      <c r="R10838" t="s">
        <v>44773</v>
      </c>
      <c r="S10838" t="s">
        <v>45184</v>
      </c>
      <c r="T10838" t="s">
        <v>46512</v>
      </c>
      <c r="U10838" t="s">
        <v>55886</v>
      </c>
      <c r="W10838" t="s">
        <v>41092</v>
      </c>
      <c r="X10838" t="s">
        <v>44774</v>
      </c>
    </row>
    <row r="10839" spans="1:24">
      <c r="A10839">
        <f>HYPERLINK("https://www.philgeps.gov.ph/GEPSNONPILOT/Tender/SplashBidNoticeAbstractUI.aspx?menuIndex=3&amp;refID=7132006&amp;Result=3","7132006")</f>
        <v>0</v>
      </c>
      <c r="B10839" t="s">
        <v>1861</v>
      </c>
      <c r="C10839" t="s">
        <v>14054</v>
      </c>
      <c r="D10839" t="s">
        <v>17974</v>
      </c>
      <c r="E10839" t="s">
        <v>27409</v>
      </c>
      <c r="F10839" t="s">
        <v>30900</v>
      </c>
      <c r="G10839" t="s">
        <v>30907</v>
      </c>
      <c r="H10839" t="s">
        <v>30915</v>
      </c>
      <c r="I10839" t="s">
        <v>30919</v>
      </c>
      <c r="J10839" t="s">
        <v>37784</v>
      </c>
      <c r="K10839" t="s">
        <v>40422</v>
      </c>
      <c r="M10839" t="s">
        <v>42535</v>
      </c>
      <c r="N10839" t="s">
        <v>44759</v>
      </c>
      <c r="O10839" t="s">
        <v>44760</v>
      </c>
      <c r="P10839">
        <v>0</v>
      </c>
      <c r="Q10839">
        <v>0</v>
      </c>
      <c r="R10839" t="s">
        <v>44773</v>
      </c>
      <c r="S10839" t="s">
        <v>45184</v>
      </c>
      <c r="T10839" t="s">
        <v>46353</v>
      </c>
      <c r="U10839" t="s">
        <v>55887</v>
      </c>
      <c r="W10839" t="s">
        <v>42535</v>
      </c>
      <c r="X10839" t="s">
        <v>44774</v>
      </c>
    </row>
    <row r="10840" spans="1:24">
      <c r="A10840">
        <f>HYPERLINK("https://www.philgeps.gov.ph/GEPSNONPILOT/Tender/SplashBidNoticeAbstractUI.aspx?menuIndex=3&amp;refID=7131992&amp;Result=3","7131992")</f>
        <v>0</v>
      </c>
      <c r="B10840" t="s">
        <v>2211</v>
      </c>
      <c r="C10840" t="s">
        <v>14055</v>
      </c>
      <c r="D10840" t="s">
        <v>17995</v>
      </c>
      <c r="E10840" t="s">
        <v>27410</v>
      </c>
      <c r="F10840" t="s">
        <v>30900</v>
      </c>
      <c r="G10840" t="s">
        <v>30907</v>
      </c>
      <c r="H10840" t="s">
        <v>7411</v>
      </c>
      <c r="I10840" t="s">
        <v>7411</v>
      </c>
      <c r="J10840" t="s">
        <v>32242</v>
      </c>
      <c r="K10840" t="s">
        <v>40280</v>
      </c>
      <c r="M10840" t="s">
        <v>42920</v>
      </c>
      <c r="N10840" t="s">
        <v>44759</v>
      </c>
      <c r="O10840" t="s">
        <v>44760</v>
      </c>
      <c r="P10840">
        <v>0</v>
      </c>
      <c r="Q10840">
        <v>1</v>
      </c>
      <c r="R10840" t="s">
        <v>44773</v>
      </c>
      <c r="S10840" t="s">
        <v>45184</v>
      </c>
      <c r="T10840" t="s">
        <v>46428</v>
      </c>
      <c r="U10840" t="s">
        <v>55888</v>
      </c>
      <c r="W10840" t="s">
        <v>42920</v>
      </c>
      <c r="X10840" t="s">
        <v>44774</v>
      </c>
    </row>
    <row r="10841" spans="1:24">
      <c r="A10841">
        <f>HYPERLINK("https://www.philgeps.gov.ph/GEPSNONPILOT/Tender/SplashBidNoticeAbstractUI.aspx?menuIndex=3&amp;refID=7131982&amp;Result=3","7131982")</f>
        <v>0</v>
      </c>
      <c r="B10841" t="s">
        <v>1777</v>
      </c>
      <c r="C10841" t="s">
        <v>14056</v>
      </c>
      <c r="D10841" t="s">
        <v>17994</v>
      </c>
      <c r="E10841" t="s">
        <v>14056</v>
      </c>
      <c r="F10841" t="s">
        <v>30900</v>
      </c>
      <c r="G10841" t="s">
        <v>30907</v>
      </c>
      <c r="H10841" t="s">
        <v>30916</v>
      </c>
      <c r="I10841" t="s">
        <v>10602</v>
      </c>
      <c r="J10841" t="s">
        <v>32789</v>
      </c>
      <c r="K10841" t="s">
        <v>40281</v>
      </c>
      <c r="M10841" t="s">
        <v>42460</v>
      </c>
      <c r="N10841" t="s">
        <v>44759</v>
      </c>
      <c r="O10841" t="s">
        <v>44760</v>
      </c>
      <c r="P10841">
        <v>0</v>
      </c>
      <c r="Q10841">
        <v>1</v>
      </c>
      <c r="R10841" t="s">
        <v>44773</v>
      </c>
      <c r="S10841" t="s">
        <v>45184</v>
      </c>
      <c r="T10841" t="s">
        <v>46403</v>
      </c>
      <c r="U10841" t="s">
        <v>55889</v>
      </c>
      <c r="W10841" t="s">
        <v>42460</v>
      </c>
      <c r="X10841" t="s">
        <v>44774</v>
      </c>
    </row>
    <row r="10842" spans="1:24">
      <c r="A10842">
        <f>HYPERLINK("https://www.philgeps.gov.ph/GEPSNONPILOT/Tender/SplashBidNoticeAbstractUI.aspx?menuIndex=3&amp;refID=7131968&amp;Result=3","7131968")</f>
        <v>0</v>
      </c>
      <c r="B10842" t="s">
        <v>945</v>
      </c>
      <c r="C10842" t="s">
        <v>14057</v>
      </c>
      <c r="D10842" t="s">
        <v>17962</v>
      </c>
      <c r="E10842" t="s">
        <v>27411</v>
      </c>
      <c r="F10842" t="s">
        <v>30900</v>
      </c>
      <c r="G10842" t="s">
        <v>30907</v>
      </c>
      <c r="H10842" t="s">
        <v>30915</v>
      </c>
      <c r="I10842" t="s">
        <v>30919</v>
      </c>
      <c r="J10842" t="s">
        <v>37785</v>
      </c>
      <c r="K10842" t="s">
        <v>40298</v>
      </c>
      <c r="M10842" t="s">
        <v>41529</v>
      </c>
      <c r="N10842" t="s">
        <v>44759</v>
      </c>
      <c r="O10842" t="s">
        <v>44760</v>
      </c>
      <c r="P10842">
        <v>0</v>
      </c>
      <c r="Q10842">
        <v>2</v>
      </c>
      <c r="R10842" t="s">
        <v>44773</v>
      </c>
      <c r="S10842" t="s">
        <v>45184</v>
      </c>
      <c r="T10842" t="s">
        <v>46488</v>
      </c>
      <c r="U10842" t="s">
        <v>55890</v>
      </c>
      <c r="V10842" t="s">
        <v>60325</v>
      </c>
      <c r="W10842" t="s">
        <v>41529</v>
      </c>
      <c r="X10842" t="s">
        <v>44774</v>
      </c>
    </row>
    <row r="10843" spans="1:24">
      <c r="A10843">
        <f>HYPERLINK("https://www.philgeps.gov.ph/GEPSNONPILOT/Tender/SplashBidNoticeAbstractUI.aspx?menuIndex=3&amp;refID=7131975&amp;Result=3","7131975")</f>
        <v>0</v>
      </c>
      <c r="B10843" t="s">
        <v>532</v>
      </c>
      <c r="C10843" t="s">
        <v>14058</v>
      </c>
      <c r="D10843" t="s">
        <v>17966</v>
      </c>
      <c r="E10843" t="s">
        <v>20261</v>
      </c>
      <c r="F10843" t="s">
        <v>30900</v>
      </c>
      <c r="G10843" t="s">
        <v>30907</v>
      </c>
      <c r="H10843" t="s">
        <v>30915</v>
      </c>
      <c r="I10843" t="s">
        <v>30919</v>
      </c>
      <c r="J10843" t="s">
        <v>31243</v>
      </c>
      <c r="K10843" t="s">
        <v>40280</v>
      </c>
      <c r="M10843" t="s">
        <v>41092</v>
      </c>
      <c r="N10843" t="s">
        <v>44759</v>
      </c>
      <c r="O10843" t="s">
        <v>44760</v>
      </c>
      <c r="P10843">
        <v>0</v>
      </c>
      <c r="Q10843">
        <v>1</v>
      </c>
      <c r="R10843" t="s">
        <v>44773</v>
      </c>
      <c r="S10843" t="s">
        <v>45184</v>
      </c>
      <c r="T10843" t="s">
        <v>46512</v>
      </c>
      <c r="U10843" t="s">
        <v>55873</v>
      </c>
      <c r="W10843" t="s">
        <v>41092</v>
      </c>
      <c r="X10843" t="s">
        <v>44774</v>
      </c>
    </row>
    <row r="10844" spans="1:24">
      <c r="A10844">
        <f>HYPERLINK("https://www.philgeps.gov.ph/GEPSNONPILOT/Tender/SplashBidNoticeAbstractUI.aspx?menuIndex=3&amp;refID=7131951&amp;Result=3","7131951")</f>
        <v>0</v>
      </c>
      <c r="B10844" t="s">
        <v>459</v>
      </c>
      <c r="C10844" t="s">
        <v>14059</v>
      </c>
      <c r="D10844" t="s">
        <v>17978</v>
      </c>
      <c r="E10844" t="s">
        <v>27412</v>
      </c>
      <c r="F10844" t="s">
        <v>30900</v>
      </c>
      <c r="G10844" t="s">
        <v>30907</v>
      </c>
      <c r="H10844" t="s">
        <v>30916</v>
      </c>
      <c r="I10844" t="s">
        <v>30949</v>
      </c>
      <c r="J10844" t="s">
        <v>33323</v>
      </c>
      <c r="K10844" t="s">
        <v>40283</v>
      </c>
      <c r="M10844" t="s">
        <v>41017</v>
      </c>
      <c r="N10844" t="s">
        <v>44759</v>
      </c>
      <c r="O10844" t="s">
        <v>44760</v>
      </c>
      <c r="P10844">
        <v>0</v>
      </c>
      <c r="Q10844">
        <v>1</v>
      </c>
      <c r="R10844" t="s">
        <v>44773</v>
      </c>
      <c r="S10844" t="s">
        <v>45184</v>
      </c>
      <c r="T10844" t="s">
        <v>46544</v>
      </c>
      <c r="U10844" t="s">
        <v>53106</v>
      </c>
      <c r="W10844" t="s">
        <v>41017</v>
      </c>
      <c r="X10844" t="s">
        <v>44774</v>
      </c>
    </row>
    <row r="10845" spans="1:24">
      <c r="A10845">
        <f>HYPERLINK("https://www.philgeps.gov.ph/GEPSNONPILOT/Tender/SplashBidNoticeAbstractUI.aspx?menuIndex=3&amp;refID=7131949&amp;Result=3","7131949")</f>
        <v>0</v>
      </c>
      <c r="B10845" t="s">
        <v>3260</v>
      </c>
      <c r="C10845" t="s">
        <v>14060</v>
      </c>
      <c r="D10845" t="s">
        <v>17993</v>
      </c>
      <c r="E10845" t="s">
        <v>27413</v>
      </c>
      <c r="F10845" t="s">
        <v>30904</v>
      </c>
      <c r="G10845" t="s">
        <v>30907</v>
      </c>
      <c r="H10845" t="s">
        <v>30915</v>
      </c>
      <c r="I10845" t="s">
        <v>30919</v>
      </c>
      <c r="J10845" t="s">
        <v>31049</v>
      </c>
      <c r="K10845" t="s">
        <v>40286</v>
      </c>
      <c r="M10845" t="s">
        <v>44106</v>
      </c>
      <c r="N10845" t="s">
        <v>44759</v>
      </c>
      <c r="O10845" t="s">
        <v>44760</v>
      </c>
      <c r="P10845">
        <v>0</v>
      </c>
      <c r="Q10845">
        <v>1</v>
      </c>
      <c r="R10845" t="s">
        <v>44773</v>
      </c>
      <c r="S10845" t="s">
        <v>45184</v>
      </c>
      <c r="T10845" t="s">
        <v>46488</v>
      </c>
      <c r="U10845" t="s">
        <v>55863</v>
      </c>
      <c r="W10845" t="s">
        <v>44106</v>
      </c>
      <c r="X10845" t="s">
        <v>44774</v>
      </c>
    </row>
    <row r="10846" spans="1:24">
      <c r="A10846">
        <f>HYPERLINK("https://www.philgeps.gov.ph/GEPSNONPILOT/Tender/SplashBidNoticeAbstractUI.aspx?menuIndex=3&amp;refID=7131929&amp;Result=3","7131929")</f>
        <v>0</v>
      </c>
      <c r="B10846" t="s">
        <v>1822</v>
      </c>
      <c r="C10846" t="s">
        <v>14061</v>
      </c>
      <c r="D10846" t="s">
        <v>18033</v>
      </c>
      <c r="E10846" t="s">
        <v>27414</v>
      </c>
      <c r="F10846" t="s">
        <v>30900</v>
      </c>
      <c r="G10846" t="s">
        <v>30907</v>
      </c>
      <c r="H10846" t="s">
        <v>30915</v>
      </c>
      <c r="I10846" t="s">
        <v>30919</v>
      </c>
      <c r="J10846" t="s">
        <v>32276</v>
      </c>
      <c r="K10846" t="s">
        <v>40499</v>
      </c>
      <c r="M10846" t="s">
        <v>42495</v>
      </c>
      <c r="N10846" t="s">
        <v>44759</v>
      </c>
      <c r="O10846" t="s">
        <v>44760</v>
      </c>
      <c r="P10846">
        <v>0</v>
      </c>
      <c r="Q10846">
        <v>1</v>
      </c>
      <c r="R10846" t="s">
        <v>44773</v>
      </c>
      <c r="S10846" t="s">
        <v>45184</v>
      </c>
      <c r="T10846" t="s">
        <v>46418</v>
      </c>
      <c r="U10846" t="s">
        <v>55728</v>
      </c>
      <c r="V10846" t="s">
        <v>60326</v>
      </c>
      <c r="W10846" t="s">
        <v>42495</v>
      </c>
      <c r="X10846" t="s">
        <v>44774</v>
      </c>
    </row>
    <row r="10847" spans="1:24">
      <c r="A10847">
        <f>HYPERLINK("https://www.philgeps.gov.ph/GEPSNONPILOT/Tender/SplashBidNoticeAbstractUI.aspx?menuIndex=3&amp;refID=7131962&amp;Result=3","7131962")</f>
        <v>0</v>
      </c>
      <c r="B10847" t="s">
        <v>2486</v>
      </c>
      <c r="C10847" t="s">
        <v>14062</v>
      </c>
      <c r="D10847" t="s">
        <v>17978</v>
      </c>
      <c r="E10847" t="s">
        <v>27415</v>
      </c>
      <c r="F10847" t="s">
        <v>30899</v>
      </c>
      <c r="G10847" t="s">
        <v>30907</v>
      </c>
      <c r="H10847" t="s">
        <v>30916</v>
      </c>
      <c r="I10847" t="s">
        <v>8123</v>
      </c>
      <c r="J10847" t="s">
        <v>37786</v>
      </c>
      <c r="K10847" t="s">
        <v>40284</v>
      </c>
      <c r="M10847" t="s">
        <v>43227</v>
      </c>
      <c r="N10847" t="s">
        <v>44759</v>
      </c>
      <c r="O10847" t="s">
        <v>44760</v>
      </c>
      <c r="Q10847">
        <v>0</v>
      </c>
      <c r="R10847" t="s">
        <v>44773</v>
      </c>
      <c r="S10847" t="s">
        <v>45227</v>
      </c>
      <c r="T10847" t="s">
        <v>46353</v>
      </c>
      <c r="U10847" t="s">
        <v>53285</v>
      </c>
      <c r="V10847" t="s">
        <v>59933</v>
      </c>
      <c r="W10847" t="s">
        <v>43227</v>
      </c>
      <c r="X10847" t="s">
        <v>44774</v>
      </c>
    </row>
    <row r="10848" spans="1:24">
      <c r="A10848">
        <f>HYPERLINK("https://www.philgeps.gov.ph/GEPSNONPILOT/Tender/SplashBidNoticeAbstractUI.aspx?menuIndex=3&amp;refID=7132148&amp;Result=3","7132148")</f>
        <v>0</v>
      </c>
      <c r="B10848" t="s">
        <v>1106</v>
      </c>
      <c r="C10848" t="s">
        <v>14063</v>
      </c>
      <c r="D10848" t="s">
        <v>17963</v>
      </c>
      <c r="E10848" t="s">
        <v>27416</v>
      </c>
      <c r="F10848" t="s">
        <v>30900</v>
      </c>
      <c r="G10848" t="s">
        <v>30907</v>
      </c>
      <c r="H10848" t="s">
        <v>30916</v>
      </c>
      <c r="I10848" t="s">
        <v>4545</v>
      </c>
      <c r="J10848" t="s">
        <v>31157</v>
      </c>
      <c r="K10848" t="s">
        <v>40287</v>
      </c>
      <c r="M10848" t="s">
        <v>41706</v>
      </c>
      <c r="N10848" t="s">
        <v>44759</v>
      </c>
      <c r="O10848" t="s">
        <v>44760</v>
      </c>
      <c r="P10848">
        <v>0</v>
      </c>
      <c r="Q10848">
        <v>11</v>
      </c>
      <c r="R10848" t="s">
        <v>44773</v>
      </c>
      <c r="S10848" t="s">
        <v>45184</v>
      </c>
      <c r="T10848" t="s">
        <v>46411</v>
      </c>
      <c r="U10848" t="s">
        <v>55891</v>
      </c>
      <c r="W10848" t="s">
        <v>41706</v>
      </c>
      <c r="X10848" t="s">
        <v>44774</v>
      </c>
    </row>
    <row r="10849" spans="1:24">
      <c r="A10849">
        <f>HYPERLINK("https://www.philgeps.gov.ph/GEPSNONPILOT/Tender/SplashBidNoticeAbstractUI.aspx?menuIndex=3&amp;refID=7132145&amp;Result=3","7132145")</f>
        <v>0</v>
      </c>
      <c r="B10849" t="s">
        <v>2226</v>
      </c>
      <c r="C10849" t="s">
        <v>14064</v>
      </c>
      <c r="D10849" t="s">
        <v>17955</v>
      </c>
      <c r="E10849" t="s">
        <v>18516</v>
      </c>
      <c r="F10849" t="s">
        <v>30900</v>
      </c>
      <c r="G10849" t="s">
        <v>30907</v>
      </c>
      <c r="H10849" t="s">
        <v>30916</v>
      </c>
      <c r="I10849" t="s">
        <v>30931</v>
      </c>
      <c r="J10849" t="s">
        <v>32808</v>
      </c>
      <c r="K10849" t="s">
        <v>40506</v>
      </c>
      <c r="M10849" t="s">
        <v>42936</v>
      </c>
      <c r="N10849" t="s">
        <v>44759</v>
      </c>
      <c r="O10849" t="s">
        <v>44760</v>
      </c>
      <c r="Q10849">
        <v>3</v>
      </c>
      <c r="R10849" t="s">
        <v>44773</v>
      </c>
      <c r="S10849" t="s">
        <v>45228</v>
      </c>
      <c r="T10849" t="s">
        <v>46459</v>
      </c>
      <c r="U10849" t="s">
        <v>55892</v>
      </c>
      <c r="W10849" t="s">
        <v>42936</v>
      </c>
      <c r="X10849" t="s">
        <v>44774</v>
      </c>
    </row>
    <row r="10850" spans="1:24">
      <c r="A10850">
        <f>HYPERLINK("https://www.philgeps.gov.ph/GEPSNONPILOT/Tender/SplashBidNoticeAbstractUI.aspx?menuIndex=3&amp;refID=7131987&amp;Result=3","7131987")</f>
        <v>0</v>
      </c>
      <c r="B10850" t="s">
        <v>1119</v>
      </c>
      <c r="C10850" t="s">
        <v>14065</v>
      </c>
      <c r="D10850" t="s">
        <v>18038</v>
      </c>
      <c r="E10850" t="s">
        <v>27417</v>
      </c>
      <c r="F10850" t="s">
        <v>30900</v>
      </c>
      <c r="G10850" t="s">
        <v>30907</v>
      </c>
      <c r="H10850" t="s">
        <v>30916</v>
      </c>
      <c r="I10850" t="s">
        <v>17295</v>
      </c>
      <c r="J10850" t="s">
        <v>37787</v>
      </c>
      <c r="K10850" t="s">
        <v>40434</v>
      </c>
      <c r="M10850" t="s">
        <v>42602</v>
      </c>
      <c r="N10850" t="s">
        <v>44759</v>
      </c>
      <c r="O10850" t="s">
        <v>44760</v>
      </c>
      <c r="Q10850">
        <v>10</v>
      </c>
      <c r="R10850" t="s">
        <v>44773</v>
      </c>
      <c r="S10850" t="s">
        <v>45229</v>
      </c>
      <c r="T10850" t="s">
        <v>46561</v>
      </c>
      <c r="U10850" t="s">
        <v>55893</v>
      </c>
      <c r="V10850" t="s">
        <v>60327</v>
      </c>
      <c r="W10850" t="s">
        <v>42602</v>
      </c>
      <c r="X10850" t="s">
        <v>44774</v>
      </c>
    </row>
    <row r="10851" spans="1:24">
      <c r="A10851">
        <f>HYPERLINK("https://www.philgeps.gov.ph/GEPSNONPILOT/Tender/SplashBidNoticeAbstractUI.aspx?menuIndex=3&amp;refID=7132138&amp;Result=3","7132138")</f>
        <v>0</v>
      </c>
      <c r="B10851" t="s">
        <v>2503</v>
      </c>
      <c r="C10851" t="s">
        <v>14066</v>
      </c>
      <c r="D10851" t="s">
        <v>17965</v>
      </c>
      <c r="E10851" t="s">
        <v>27418</v>
      </c>
      <c r="F10851" t="s">
        <v>30900</v>
      </c>
      <c r="G10851" t="s">
        <v>30914</v>
      </c>
      <c r="H10851" t="s">
        <v>30915</v>
      </c>
      <c r="I10851" t="s">
        <v>30919</v>
      </c>
      <c r="J10851" t="s">
        <v>37788</v>
      </c>
      <c r="K10851" t="s">
        <v>40280</v>
      </c>
      <c r="L10851" t="s">
        <v>2503</v>
      </c>
      <c r="M10851" t="s">
        <v>43247</v>
      </c>
      <c r="N10851" t="s">
        <v>44759</v>
      </c>
      <c r="O10851" t="s">
        <v>44760</v>
      </c>
      <c r="P10851">
        <v>0</v>
      </c>
      <c r="Q10851">
        <v>0</v>
      </c>
      <c r="R10851" t="s">
        <v>44773</v>
      </c>
      <c r="S10851" t="s">
        <v>45184</v>
      </c>
      <c r="T10851" t="s">
        <v>46352</v>
      </c>
      <c r="U10851" t="s">
        <v>55894</v>
      </c>
      <c r="V10851" t="s">
        <v>60328</v>
      </c>
      <c r="W10851" t="s">
        <v>43247</v>
      </c>
      <c r="X10851" t="s">
        <v>44774</v>
      </c>
    </row>
    <row r="10852" spans="1:24">
      <c r="A10852">
        <f>HYPERLINK("https://www.philgeps.gov.ph/GEPSNONPILOT/Tender/SplashBidNoticeAbstractUI.aspx?menuIndex=3&amp;refID=7131937&amp;Result=3","7131937")</f>
        <v>0</v>
      </c>
      <c r="B10852" t="s">
        <v>1441</v>
      </c>
      <c r="C10852" t="s">
        <v>14067</v>
      </c>
      <c r="D10852" t="s">
        <v>18016</v>
      </c>
      <c r="E10852" t="s">
        <v>27419</v>
      </c>
      <c r="F10852" t="s">
        <v>30900</v>
      </c>
      <c r="G10852" t="s">
        <v>30907</v>
      </c>
      <c r="H10852" t="s">
        <v>30916</v>
      </c>
      <c r="I10852" t="s">
        <v>30924</v>
      </c>
      <c r="J10852" t="s">
        <v>31152</v>
      </c>
      <c r="K10852" t="s">
        <v>40287</v>
      </c>
      <c r="M10852" t="s">
        <v>42073</v>
      </c>
      <c r="N10852" t="s">
        <v>44759</v>
      </c>
      <c r="O10852" t="s">
        <v>44760</v>
      </c>
      <c r="Q10852">
        <v>9</v>
      </c>
      <c r="R10852" t="s">
        <v>44773</v>
      </c>
      <c r="S10852" t="s">
        <v>45230</v>
      </c>
      <c r="T10852" t="s">
        <v>46459</v>
      </c>
      <c r="U10852" t="s">
        <v>55895</v>
      </c>
      <c r="V10852" t="s">
        <v>60329</v>
      </c>
      <c r="W10852" t="s">
        <v>42073</v>
      </c>
      <c r="X10852" t="s">
        <v>44774</v>
      </c>
    </row>
    <row r="10853" spans="1:24">
      <c r="A10853">
        <f>HYPERLINK("https://www.philgeps.gov.ph/GEPSNONPILOT/Tender/SplashBidNoticeAbstractUI.aspx?menuIndex=3&amp;refID=7132130&amp;Result=3","7132130")</f>
        <v>0</v>
      </c>
      <c r="B10853" t="s">
        <v>3264</v>
      </c>
      <c r="C10853" t="s">
        <v>14068</v>
      </c>
      <c r="D10853" t="s">
        <v>17971</v>
      </c>
      <c r="E10853" t="s">
        <v>27420</v>
      </c>
      <c r="F10853" t="s">
        <v>30900</v>
      </c>
      <c r="G10853" t="s">
        <v>30907</v>
      </c>
      <c r="H10853" t="s">
        <v>30915</v>
      </c>
      <c r="I10853" t="s">
        <v>30948</v>
      </c>
      <c r="J10853" t="s">
        <v>37789</v>
      </c>
      <c r="K10853" t="s">
        <v>40304</v>
      </c>
      <c r="M10853" t="s">
        <v>44110</v>
      </c>
      <c r="N10853" t="s">
        <v>44759</v>
      </c>
      <c r="O10853" t="s">
        <v>44760</v>
      </c>
      <c r="P10853">
        <v>0</v>
      </c>
      <c r="Q10853">
        <v>0</v>
      </c>
      <c r="R10853" t="s">
        <v>44773</v>
      </c>
      <c r="S10853" t="s">
        <v>45184</v>
      </c>
      <c r="T10853" t="s">
        <v>46404</v>
      </c>
      <c r="U10853" t="s">
        <v>55896</v>
      </c>
      <c r="V10853" t="s">
        <v>60330</v>
      </c>
      <c r="W10853" t="s">
        <v>44110</v>
      </c>
      <c r="X10853" t="s">
        <v>44774</v>
      </c>
    </row>
    <row r="10854" spans="1:24">
      <c r="A10854">
        <f>HYPERLINK("https://www.philgeps.gov.ph/GEPSNONPILOT/Tender/SplashBidNoticeAbstractUI.aspx?menuIndex=3&amp;refID=7132128&amp;Result=3","7132128")</f>
        <v>0</v>
      </c>
      <c r="B10854" t="s">
        <v>3265</v>
      </c>
      <c r="C10854" t="s">
        <v>14069</v>
      </c>
      <c r="D10854" t="s">
        <v>17995</v>
      </c>
      <c r="E10854" t="s">
        <v>27421</v>
      </c>
      <c r="F10854" t="s">
        <v>30900</v>
      </c>
      <c r="G10854" t="s">
        <v>30907</v>
      </c>
      <c r="H10854" t="s">
        <v>30916</v>
      </c>
      <c r="I10854" t="s">
        <v>30927</v>
      </c>
      <c r="J10854" t="s">
        <v>37790</v>
      </c>
      <c r="K10854" t="s">
        <v>40293</v>
      </c>
      <c r="M10854" t="s">
        <v>44111</v>
      </c>
      <c r="N10854" t="s">
        <v>44759</v>
      </c>
      <c r="O10854" t="s">
        <v>44760</v>
      </c>
      <c r="P10854">
        <v>0</v>
      </c>
      <c r="Q10854">
        <v>1</v>
      </c>
      <c r="R10854" t="s">
        <v>44773</v>
      </c>
      <c r="S10854" t="s">
        <v>45184</v>
      </c>
      <c r="T10854" t="s">
        <v>46352</v>
      </c>
      <c r="U10854" t="s">
        <v>55897</v>
      </c>
      <c r="W10854" t="s">
        <v>44111</v>
      </c>
      <c r="X10854" t="s">
        <v>44774</v>
      </c>
    </row>
    <row r="10855" spans="1:24">
      <c r="A10855">
        <f>HYPERLINK("https://www.philgeps.gov.ph/GEPSNONPILOT/Tender/SplashBidNoticeAbstractUI.aspx?menuIndex=3&amp;refID=7132105&amp;Result=3","7132105")</f>
        <v>0</v>
      </c>
      <c r="B10855" t="s">
        <v>3266</v>
      </c>
      <c r="C10855" t="s">
        <v>5458</v>
      </c>
      <c r="D10855" t="s">
        <v>18000</v>
      </c>
      <c r="E10855" t="s">
        <v>19690</v>
      </c>
      <c r="F10855" t="s">
        <v>30900</v>
      </c>
      <c r="G10855" t="s">
        <v>30907</v>
      </c>
      <c r="H10855" t="s">
        <v>30916</v>
      </c>
      <c r="I10855" t="s">
        <v>8123</v>
      </c>
      <c r="J10855" t="s">
        <v>37791</v>
      </c>
      <c r="K10855" t="s">
        <v>40287</v>
      </c>
      <c r="M10855" t="s">
        <v>44112</v>
      </c>
      <c r="N10855" t="s">
        <v>44759</v>
      </c>
      <c r="O10855" t="s">
        <v>44760</v>
      </c>
      <c r="P10855">
        <v>0</v>
      </c>
      <c r="Q10855">
        <v>0</v>
      </c>
      <c r="R10855" t="s">
        <v>44773</v>
      </c>
      <c r="S10855" t="s">
        <v>45184</v>
      </c>
      <c r="T10855" t="s">
        <v>46400</v>
      </c>
      <c r="U10855" t="s">
        <v>55898</v>
      </c>
      <c r="W10855" t="s">
        <v>44112</v>
      </c>
      <c r="X10855" t="s">
        <v>44774</v>
      </c>
    </row>
    <row r="10856" spans="1:24">
      <c r="A10856">
        <f>HYPERLINK("https://www.philgeps.gov.ph/GEPSNONPILOT/Tender/SplashBidNoticeAbstractUI.aspx?menuIndex=3&amp;refID=7132083&amp;Result=3","7132083")</f>
        <v>0</v>
      </c>
      <c r="B10856" t="s">
        <v>3267</v>
      </c>
      <c r="C10856" t="s">
        <v>14070</v>
      </c>
      <c r="D10856" t="s">
        <v>17978</v>
      </c>
      <c r="E10856" t="s">
        <v>27422</v>
      </c>
      <c r="F10856" t="s">
        <v>30900</v>
      </c>
      <c r="G10856" t="s">
        <v>30907</v>
      </c>
      <c r="H10856" t="s">
        <v>30915</v>
      </c>
      <c r="I10856" t="s">
        <v>30919</v>
      </c>
      <c r="J10856" t="s">
        <v>31243</v>
      </c>
      <c r="K10856" t="s">
        <v>40289</v>
      </c>
      <c r="M10856" t="s">
        <v>44113</v>
      </c>
      <c r="N10856" t="s">
        <v>44759</v>
      </c>
      <c r="O10856" t="s">
        <v>44760</v>
      </c>
      <c r="P10856">
        <v>0</v>
      </c>
      <c r="Q10856">
        <v>1</v>
      </c>
      <c r="R10856" t="s">
        <v>44773</v>
      </c>
      <c r="S10856" t="s">
        <v>45184</v>
      </c>
      <c r="T10856" t="s">
        <v>46445</v>
      </c>
      <c r="U10856" t="s">
        <v>55899</v>
      </c>
      <c r="W10856" t="s">
        <v>44113</v>
      </c>
      <c r="X10856" t="s">
        <v>44774</v>
      </c>
    </row>
    <row r="10857" spans="1:24">
      <c r="A10857">
        <f>HYPERLINK("https://www.philgeps.gov.ph/GEPSNONPILOT/Tender/SplashBidNoticeAbstractUI.aspx?menuIndex=3&amp;refID=7132109&amp;Result=3","7132109")</f>
        <v>0</v>
      </c>
      <c r="B10857" t="s">
        <v>532</v>
      </c>
      <c r="C10857" t="s">
        <v>14071</v>
      </c>
      <c r="D10857" t="s">
        <v>17966</v>
      </c>
      <c r="E10857" t="s">
        <v>24155</v>
      </c>
      <c r="F10857" t="s">
        <v>30900</v>
      </c>
      <c r="G10857" t="s">
        <v>30907</v>
      </c>
      <c r="H10857" t="s">
        <v>30916</v>
      </c>
      <c r="I10857" t="s">
        <v>30923</v>
      </c>
      <c r="J10857" t="s">
        <v>37792</v>
      </c>
      <c r="K10857" t="s">
        <v>40291</v>
      </c>
      <c r="M10857" t="s">
        <v>41092</v>
      </c>
      <c r="N10857" t="s">
        <v>44759</v>
      </c>
      <c r="O10857" t="s">
        <v>44760</v>
      </c>
      <c r="P10857">
        <v>0</v>
      </c>
      <c r="Q10857">
        <v>4</v>
      </c>
      <c r="R10857" t="s">
        <v>44773</v>
      </c>
      <c r="S10857" t="s">
        <v>45184</v>
      </c>
      <c r="T10857" t="s">
        <v>46512</v>
      </c>
      <c r="U10857" t="s">
        <v>55900</v>
      </c>
      <c r="W10857" t="s">
        <v>41092</v>
      </c>
      <c r="X10857" t="s">
        <v>44774</v>
      </c>
    </row>
    <row r="10858" spans="1:24">
      <c r="A10858">
        <f>HYPERLINK("https://www.philgeps.gov.ph/GEPSNONPILOT/Tender/SplashBidNoticeAbstractUI.aspx?menuIndex=3&amp;refID=7131787&amp;Result=3","7131787")</f>
        <v>0</v>
      </c>
      <c r="B10858" t="s">
        <v>532</v>
      </c>
      <c r="C10858" t="s">
        <v>14072</v>
      </c>
      <c r="D10858" t="s">
        <v>17966</v>
      </c>
      <c r="E10858" t="s">
        <v>20245</v>
      </c>
      <c r="F10858" t="s">
        <v>30900</v>
      </c>
      <c r="G10858" t="s">
        <v>30907</v>
      </c>
      <c r="H10858" t="s">
        <v>30915</v>
      </c>
      <c r="I10858" t="s">
        <v>30919</v>
      </c>
      <c r="J10858" t="s">
        <v>31152</v>
      </c>
      <c r="K10858" t="s">
        <v>40280</v>
      </c>
      <c r="M10858" t="s">
        <v>41092</v>
      </c>
      <c r="N10858" t="s">
        <v>44759</v>
      </c>
      <c r="O10858" t="s">
        <v>44760</v>
      </c>
      <c r="P10858">
        <v>0</v>
      </c>
      <c r="Q10858">
        <v>0</v>
      </c>
      <c r="R10858" t="s">
        <v>44773</v>
      </c>
      <c r="S10858" t="s">
        <v>45184</v>
      </c>
      <c r="T10858" t="s">
        <v>46512</v>
      </c>
      <c r="U10858" t="s">
        <v>55873</v>
      </c>
      <c r="W10858" t="s">
        <v>41092</v>
      </c>
      <c r="X10858" t="s">
        <v>44774</v>
      </c>
    </row>
    <row r="10859" spans="1:24">
      <c r="A10859">
        <f>HYPERLINK("https://www.philgeps.gov.ph/GEPSNONPILOT/Tender/SplashBidNoticeAbstractUI.aspx?menuIndex=3&amp;refID=7131643&amp;Result=3","7131643")</f>
        <v>0</v>
      </c>
      <c r="B10859" t="s">
        <v>1441</v>
      </c>
      <c r="C10859" t="s">
        <v>14073</v>
      </c>
      <c r="E10859" t="s">
        <v>27423</v>
      </c>
      <c r="F10859" t="s">
        <v>30900</v>
      </c>
      <c r="G10859" t="s">
        <v>30907</v>
      </c>
      <c r="H10859" t="s">
        <v>30916</v>
      </c>
      <c r="I10859" t="s">
        <v>30926</v>
      </c>
      <c r="J10859" t="s">
        <v>37793</v>
      </c>
      <c r="K10859" t="s">
        <v>40287</v>
      </c>
      <c r="M10859" t="s">
        <v>42073</v>
      </c>
      <c r="N10859" t="s">
        <v>44759</v>
      </c>
      <c r="O10859" t="s">
        <v>44760</v>
      </c>
      <c r="Q10859">
        <v>3</v>
      </c>
      <c r="R10859" t="s">
        <v>44773</v>
      </c>
      <c r="S10859" t="s">
        <v>45231</v>
      </c>
      <c r="T10859" t="s">
        <v>46459</v>
      </c>
      <c r="U10859" t="s">
        <v>55901</v>
      </c>
      <c r="V10859" t="s">
        <v>60319</v>
      </c>
      <c r="W10859" t="s">
        <v>42073</v>
      </c>
      <c r="X10859" t="s">
        <v>44774</v>
      </c>
    </row>
    <row r="10860" spans="1:24">
      <c r="A10860">
        <f>HYPERLINK("https://www.philgeps.gov.ph/GEPSNONPILOT/Tender/SplashBidNoticeAbstractUI.aspx?menuIndex=3&amp;refID=7132067&amp;Result=3","7132067")</f>
        <v>0</v>
      </c>
      <c r="B10860" t="s">
        <v>1968</v>
      </c>
      <c r="C10860" t="s">
        <v>14074</v>
      </c>
      <c r="D10860" t="s">
        <v>17998</v>
      </c>
      <c r="E10860" t="s">
        <v>27424</v>
      </c>
      <c r="F10860" t="s">
        <v>30900</v>
      </c>
      <c r="G10860" t="s">
        <v>30910</v>
      </c>
      <c r="H10860" t="s">
        <v>30916</v>
      </c>
      <c r="I10860" t="s">
        <v>30930</v>
      </c>
      <c r="J10860" t="s">
        <v>31138</v>
      </c>
      <c r="K10860" t="s">
        <v>40286</v>
      </c>
      <c r="M10860" t="s">
        <v>42654</v>
      </c>
      <c r="N10860" t="s">
        <v>44759</v>
      </c>
      <c r="O10860" t="s">
        <v>44760</v>
      </c>
      <c r="Q10860">
        <v>5</v>
      </c>
      <c r="R10860" t="s">
        <v>44773</v>
      </c>
      <c r="S10860" t="s">
        <v>45232</v>
      </c>
      <c r="T10860" t="s">
        <v>46533</v>
      </c>
      <c r="U10860" t="s">
        <v>55902</v>
      </c>
      <c r="V10860" t="s">
        <v>60331</v>
      </c>
      <c r="W10860" t="s">
        <v>42654</v>
      </c>
      <c r="X10860" t="s">
        <v>44774</v>
      </c>
    </row>
    <row r="10861" spans="1:24">
      <c r="A10861">
        <f>HYPERLINK("https://www.philgeps.gov.ph/GEPSNONPILOT/Tender/SplashBidNoticeAbstractUI.aspx?menuIndex=3&amp;refID=7132104&amp;Result=3","7132104")</f>
        <v>0</v>
      </c>
      <c r="B10861" t="s">
        <v>3167</v>
      </c>
      <c r="C10861" t="s">
        <v>14075</v>
      </c>
      <c r="D10861" t="s">
        <v>17992</v>
      </c>
      <c r="E10861" t="s">
        <v>27425</v>
      </c>
      <c r="F10861" t="s">
        <v>30900</v>
      </c>
      <c r="G10861" t="s">
        <v>30907</v>
      </c>
      <c r="H10861" t="s">
        <v>30916</v>
      </c>
      <c r="I10861" t="s">
        <v>30933</v>
      </c>
      <c r="J10861" t="s">
        <v>31139</v>
      </c>
      <c r="K10861" t="s">
        <v>40280</v>
      </c>
      <c r="M10861" t="s">
        <v>43993</v>
      </c>
      <c r="N10861" t="s">
        <v>44759</v>
      </c>
      <c r="O10861" t="s">
        <v>44760</v>
      </c>
      <c r="Q10861">
        <v>1</v>
      </c>
      <c r="R10861" t="s">
        <v>44773</v>
      </c>
      <c r="S10861" t="s">
        <v>45233</v>
      </c>
      <c r="T10861" t="s">
        <v>46544</v>
      </c>
      <c r="U10861" t="s">
        <v>55903</v>
      </c>
      <c r="V10861" t="s">
        <v>60252</v>
      </c>
      <c r="W10861" t="s">
        <v>43993</v>
      </c>
      <c r="X10861" t="s">
        <v>44774</v>
      </c>
    </row>
    <row r="10862" spans="1:24">
      <c r="A10862">
        <f>HYPERLINK("https://www.philgeps.gov.ph/GEPSNONPILOT/Tender/SplashBidNoticeAbstractUI.aspx?menuIndex=3&amp;refID=7132055&amp;Result=3","7132055")</f>
        <v>0</v>
      </c>
      <c r="B10862" t="s">
        <v>532</v>
      </c>
      <c r="C10862" t="s">
        <v>14076</v>
      </c>
      <c r="E10862" t="s">
        <v>20249</v>
      </c>
      <c r="F10862" t="s">
        <v>30900</v>
      </c>
      <c r="G10862" t="s">
        <v>30907</v>
      </c>
      <c r="H10862" t="s">
        <v>30915</v>
      </c>
      <c r="I10862" t="s">
        <v>30919</v>
      </c>
      <c r="J10862" t="s">
        <v>31152</v>
      </c>
      <c r="K10862" t="s">
        <v>40289</v>
      </c>
      <c r="M10862" t="s">
        <v>41092</v>
      </c>
      <c r="N10862" t="s">
        <v>44759</v>
      </c>
      <c r="O10862" t="s">
        <v>44760</v>
      </c>
      <c r="P10862">
        <v>0</v>
      </c>
      <c r="Q10862">
        <v>0</v>
      </c>
      <c r="R10862" t="s">
        <v>44773</v>
      </c>
      <c r="S10862" t="s">
        <v>45184</v>
      </c>
      <c r="T10862" t="s">
        <v>46524</v>
      </c>
      <c r="U10862" t="s">
        <v>47880</v>
      </c>
      <c r="W10862" t="s">
        <v>41092</v>
      </c>
      <c r="X10862" t="s">
        <v>44774</v>
      </c>
    </row>
    <row r="10863" spans="1:24">
      <c r="A10863">
        <f>HYPERLINK("https://www.philgeps.gov.ph/GEPSNONPILOT/Tender/SplashBidNoticeAbstractUI.aspx?menuIndex=3&amp;refID=7132078&amp;Result=3","7132078")</f>
        <v>0</v>
      </c>
      <c r="B10863" t="s">
        <v>532</v>
      </c>
      <c r="C10863" t="s">
        <v>14077</v>
      </c>
      <c r="D10863" t="s">
        <v>17966</v>
      </c>
      <c r="E10863" t="s">
        <v>24122</v>
      </c>
      <c r="F10863" t="s">
        <v>30900</v>
      </c>
      <c r="G10863" t="s">
        <v>30907</v>
      </c>
      <c r="H10863" t="s">
        <v>30915</v>
      </c>
      <c r="I10863" t="s">
        <v>30919</v>
      </c>
      <c r="J10863" t="s">
        <v>37794</v>
      </c>
      <c r="K10863" t="s">
        <v>40372</v>
      </c>
      <c r="M10863" t="s">
        <v>41092</v>
      </c>
      <c r="N10863" t="s">
        <v>44759</v>
      </c>
      <c r="O10863" t="s">
        <v>44760</v>
      </c>
      <c r="P10863">
        <v>0</v>
      </c>
      <c r="Q10863">
        <v>0</v>
      </c>
      <c r="R10863" t="s">
        <v>44773</v>
      </c>
      <c r="S10863" t="s">
        <v>45184</v>
      </c>
      <c r="T10863" t="s">
        <v>46512</v>
      </c>
      <c r="U10863" t="s">
        <v>53457</v>
      </c>
      <c r="W10863" t="s">
        <v>41092</v>
      </c>
      <c r="X10863" t="s">
        <v>44774</v>
      </c>
    </row>
    <row r="10864" spans="1:24">
      <c r="A10864">
        <f>HYPERLINK("https://www.philgeps.gov.ph/GEPSNONPILOT/Tender/SplashBidNoticeAbstractUI.aspx?menuIndex=3&amp;refID=7132043&amp;Result=3","7132043")</f>
        <v>0</v>
      </c>
      <c r="B10864" t="s">
        <v>532</v>
      </c>
      <c r="C10864" t="s">
        <v>14078</v>
      </c>
      <c r="D10864" t="s">
        <v>17966</v>
      </c>
      <c r="E10864" t="s">
        <v>20253</v>
      </c>
      <c r="F10864" t="s">
        <v>30900</v>
      </c>
      <c r="G10864" t="s">
        <v>30907</v>
      </c>
      <c r="H10864" t="s">
        <v>30915</v>
      </c>
      <c r="I10864" t="s">
        <v>30919</v>
      </c>
      <c r="J10864" t="s">
        <v>32616</v>
      </c>
      <c r="K10864" t="s">
        <v>40341</v>
      </c>
      <c r="M10864" t="s">
        <v>41092</v>
      </c>
      <c r="N10864" t="s">
        <v>44759</v>
      </c>
      <c r="O10864" t="s">
        <v>44760</v>
      </c>
      <c r="P10864">
        <v>0</v>
      </c>
      <c r="Q10864">
        <v>1</v>
      </c>
      <c r="R10864" t="s">
        <v>44773</v>
      </c>
      <c r="S10864" t="s">
        <v>45184</v>
      </c>
      <c r="T10864" t="s">
        <v>46512</v>
      </c>
      <c r="U10864" t="s">
        <v>55904</v>
      </c>
      <c r="W10864" t="s">
        <v>41092</v>
      </c>
      <c r="X10864" t="s">
        <v>44774</v>
      </c>
    </row>
    <row r="10865" spans="1:24">
      <c r="A10865">
        <f>HYPERLINK("https://www.philgeps.gov.ph/GEPSNONPILOT/Tender/SplashBidNoticeAbstractUI.aspx?menuIndex=3&amp;refID=7132032&amp;Result=3","7132032")</f>
        <v>0</v>
      </c>
      <c r="B10865" t="s">
        <v>1119</v>
      </c>
      <c r="C10865" t="s">
        <v>14079</v>
      </c>
      <c r="D10865" t="s">
        <v>18038</v>
      </c>
      <c r="E10865" t="s">
        <v>27426</v>
      </c>
      <c r="F10865" t="s">
        <v>30900</v>
      </c>
      <c r="G10865" t="s">
        <v>30907</v>
      </c>
      <c r="H10865" t="s">
        <v>30916</v>
      </c>
      <c r="I10865" t="s">
        <v>7708</v>
      </c>
      <c r="J10865" t="s">
        <v>37795</v>
      </c>
      <c r="K10865" t="s">
        <v>40280</v>
      </c>
      <c r="M10865" t="s">
        <v>42602</v>
      </c>
      <c r="N10865" t="s">
        <v>44759</v>
      </c>
      <c r="O10865" t="s">
        <v>44760</v>
      </c>
      <c r="Q10865">
        <v>5</v>
      </c>
      <c r="R10865" t="s">
        <v>44773</v>
      </c>
      <c r="S10865" t="s">
        <v>45234</v>
      </c>
      <c r="T10865" t="s">
        <v>46561</v>
      </c>
      <c r="U10865" t="s">
        <v>55893</v>
      </c>
      <c r="V10865" t="s">
        <v>59685</v>
      </c>
      <c r="W10865" t="s">
        <v>42602</v>
      </c>
      <c r="X10865" t="s">
        <v>44774</v>
      </c>
    </row>
    <row r="10866" spans="1:24">
      <c r="A10866">
        <f>HYPERLINK("https://www.philgeps.gov.ph/GEPSNONPILOT/Tender/SplashBidNoticeAbstractUI.aspx?menuIndex=3&amp;refID=7132048&amp;Result=3","7132048")</f>
        <v>0</v>
      </c>
      <c r="B10866" t="s">
        <v>1119</v>
      </c>
      <c r="C10866" t="s">
        <v>14080</v>
      </c>
      <c r="D10866" t="s">
        <v>18038</v>
      </c>
      <c r="E10866" t="s">
        <v>27427</v>
      </c>
      <c r="F10866" t="s">
        <v>30900</v>
      </c>
      <c r="G10866" t="s">
        <v>30907</v>
      </c>
      <c r="H10866" t="s">
        <v>30916</v>
      </c>
      <c r="I10866" t="s">
        <v>7708</v>
      </c>
      <c r="J10866" t="s">
        <v>37796</v>
      </c>
      <c r="K10866" t="s">
        <v>40292</v>
      </c>
      <c r="M10866" t="s">
        <v>42602</v>
      </c>
      <c r="N10866" t="s">
        <v>44759</v>
      </c>
      <c r="O10866" t="s">
        <v>44760</v>
      </c>
      <c r="Q10866">
        <v>12</v>
      </c>
      <c r="R10866" t="s">
        <v>44773</v>
      </c>
      <c r="S10866" t="s">
        <v>45235</v>
      </c>
      <c r="T10866" t="s">
        <v>46561</v>
      </c>
      <c r="U10866" t="s">
        <v>55893</v>
      </c>
      <c r="V10866" t="s">
        <v>59685</v>
      </c>
      <c r="W10866" t="s">
        <v>42602</v>
      </c>
      <c r="X10866" t="s">
        <v>44774</v>
      </c>
    </row>
    <row r="10867" spans="1:24">
      <c r="A10867">
        <f>HYPERLINK("https://www.philgeps.gov.ph/GEPSNONPILOT/Tender/SplashBidNoticeAbstractUI.aspx?menuIndex=3&amp;refID=7132037&amp;Result=3","7132037")</f>
        <v>0</v>
      </c>
      <c r="B10867" t="s">
        <v>1777</v>
      </c>
      <c r="C10867" t="s">
        <v>14081</v>
      </c>
      <c r="D10867" t="s">
        <v>17994</v>
      </c>
      <c r="E10867" t="s">
        <v>27428</v>
      </c>
      <c r="F10867" t="s">
        <v>30900</v>
      </c>
      <c r="G10867" t="s">
        <v>30907</v>
      </c>
      <c r="H10867" t="s">
        <v>30916</v>
      </c>
      <c r="I10867" t="s">
        <v>10602</v>
      </c>
      <c r="J10867" t="s">
        <v>37797</v>
      </c>
      <c r="K10867" t="s">
        <v>40281</v>
      </c>
      <c r="M10867" t="s">
        <v>42460</v>
      </c>
      <c r="N10867" t="s">
        <v>44759</v>
      </c>
      <c r="O10867" t="s">
        <v>44760</v>
      </c>
      <c r="P10867">
        <v>0</v>
      </c>
      <c r="Q10867">
        <v>2</v>
      </c>
      <c r="R10867" t="s">
        <v>44773</v>
      </c>
      <c r="S10867" t="s">
        <v>45184</v>
      </c>
      <c r="T10867" t="s">
        <v>46403</v>
      </c>
      <c r="U10867" t="s">
        <v>55905</v>
      </c>
      <c r="W10867" t="s">
        <v>42460</v>
      </c>
      <c r="X10867" t="s">
        <v>44774</v>
      </c>
    </row>
    <row r="10868" spans="1:24">
      <c r="A10868">
        <f>HYPERLINK("https://www.philgeps.gov.ph/GEPSNONPILOT/Tender/SplashBidNoticeAbstractUI.aspx?menuIndex=3&amp;refID=7132284&amp;Result=3","7132284")</f>
        <v>0</v>
      </c>
      <c r="B10868" t="s">
        <v>2842</v>
      </c>
      <c r="C10868" t="s">
        <v>14082</v>
      </c>
      <c r="D10868" t="s">
        <v>17978</v>
      </c>
      <c r="E10868" t="s">
        <v>27429</v>
      </c>
      <c r="F10868" t="s">
        <v>30900</v>
      </c>
      <c r="G10868" t="s">
        <v>30907</v>
      </c>
      <c r="H10868" t="s">
        <v>30915</v>
      </c>
      <c r="I10868" t="s">
        <v>30919</v>
      </c>
      <c r="J10868" t="s">
        <v>37798</v>
      </c>
      <c r="K10868" t="s">
        <v>40290</v>
      </c>
      <c r="M10868" t="s">
        <v>44114</v>
      </c>
      <c r="N10868" t="s">
        <v>44759</v>
      </c>
      <c r="O10868" t="s">
        <v>44760</v>
      </c>
      <c r="P10868">
        <v>0</v>
      </c>
      <c r="Q10868">
        <v>4</v>
      </c>
      <c r="R10868" t="s">
        <v>44773</v>
      </c>
      <c r="S10868" t="s">
        <v>45184</v>
      </c>
      <c r="T10868" t="s">
        <v>46373</v>
      </c>
      <c r="U10868" t="s">
        <v>55906</v>
      </c>
      <c r="V10868" t="s">
        <v>60332</v>
      </c>
      <c r="W10868" t="s">
        <v>44114</v>
      </c>
      <c r="X10868" t="s">
        <v>44774</v>
      </c>
    </row>
    <row r="10869" spans="1:24">
      <c r="A10869">
        <f>HYPERLINK("https://www.philgeps.gov.ph/GEPSNONPILOT/Tender/SplashBidNoticeAbstractUI.aspx?menuIndex=3&amp;refID=7132071&amp;Result=3","7132071")</f>
        <v>0</v>
      </c>
      <c r="B10869" t="s">
        <v>1119</v>
      </c>
      <c r="C10869" t="s">
        <v>14083</v>
      </c>
      <c r="D10869" t="s">
        <v>18038</v>
      </c>
      <c r="E10869" t="s">
        <v>27430</v>
      </c>
      <c r="F10869" t="s">
        <v>30900</v>
      </c>
      <c r="G10869" t="s">
        <v>30907</v>
      </c>
      <c r="H10869" t="s">
        <v>30916</v>
      </c>
      <c r="I10869" t="s">
        <v>7708</v>
      </c>
      <c r="J10869" t="s">
        <v>37799</v>
      </c>
      <c r="K10869" t="s">
        <v>40292</v>
      </c>
      <c r="M10869" t="s">
        <v>42602</v>
      </c>
      <c r="N10869" t="s">
        <v>44759</v>
      </c>
      <c r="O10869" t="s">
        <v>44760</v>
      </c>
      <c r="Q10869">
        <v>6</v>
      </c>
      <c r="R10869" t="s">
        <v>44773</v>
      </c>
      <c r="S10869" t="s">
        <v>45236</v>
      </c>
      <c r="T10869" t="s">
        <v>46561</v>
      </c>
      <c r="U10869" t="s">
        <v>55893</v>
      </c>
      <c r="V10869" t="s">
        <v>60333</v>
      </c>
      <c r="W10869" t="s">
        <v>42602</v>
      </c>
      <c r="X10869" t="s">
        <v>44774</v>
      </c>
    </row>
    <row r="10870" spans="1:24">
      <c r="A10870">
        <f>HYPERLINK("https://www.philgeps.gov.ph/GEPSNONPILOT/Tender/SplashBidNoticeAbstractUI.aspx?menuIndex=3&amp;refID=7132279&amp;Result=3","7132279")</f>
        <v>0</v>
      </c>
      <c r="B10870" t="s">
        <v>839</v>
      </c>
      <c r="C10870" t="s">
        <v>14084</v>
      </c>
      <c r="D10870" t="s">
        <v>17959</v>
      </c>
      <c r="E10870" t="s">
        <v>27431</v>
      </c>
      <c r="F10870" t="s">
        <v>30900</v>
      </c>
      <c r="G10870" t="s">
        <v>30907</v>
      </c>
      <c r="H10870" t="s">
        <v>30916</v>
      </c>
      <c r="I10870" t="s">
        <v>31011</v>
      </c>
      <c r="J10870" t="s">
        <v>37800</v>
      </c>
      <c r="K10870" t="s">
        <v>40289</v>
      </c>
      <c r="M10870" t="s">
        <v>44115</v>
      </c>
      <c r="N10870" t="s">
        <v>44759</v>
      </c>
      <c r="O10870" t="s">
        <v>44760</v>
      </c>
      <c r="P10870">
        <v>0</v>
      </c>
      <c r="Q10870">
        <v>5</v>
      </c>
      <c r="R10870" t="s">
        <v>44773</v>
      </c>
      <c r="S10870" t="s">
        <v>45184</v>
      </c>
      <c r="T10870" t="s">
        <v>46689</v>
      </c>
      <c r="U10870" t="s">
        <v>55907</v>
      </c>
      <c r="W10870" t="s">
        <v>44115</v>
      </c>
      <c r="X10870" t="s">
        <v>44774</v>
      </c>
    </row>
    <row r="10871" spans="1:24">
      <c r="A10871">
        <f>HYPERLINK("https://www.philgeps.gov.ph/GEPSNONPILOT/Tender/SplashBidNoticeAbstractUI.aspx?menuIndex=3&amp;refID=7132070&amp;Result=3","7132070")</f>
        <v>0</v>
      </c>
      <c r="B10871" t="s">
        <v>2502</v>
      </c>
      <c r="C10871" t="s">
        <v>14085</v>
      </c>
      <c r="D10871" t="s">
        <v>17966</v>
      </c>
      <c r="E10871" t="s">
        <v>27432</v>
      </c>
      <c r="F10871" t="s">
        <v>30900</v>
      </c>
      <c r="G10871" t="s">
        <v>30907</v>
      </c>
      <c r="H10871" t="s">
        <v>30915</v>
      </c>
      <c r="I10871" t="s">
        <v>30919</v>
      </c>
      <c r="J10871" t="s">
        <v>37801</v>
      </c>
      <c r="K10871" t="s">
        <v>40304</v>
      </c>
      <c r="M10871" t="s">
        <v>43246</v>
      </c>
      <c r="N10871" t="s">
        <v>44759</v>
      </c>
      <c r="O10871" t="s">
        <v>44760</v>
      </c>
      <c r="P10871">
        <v>0</v>
      </c>
      <c r="Q10871">
        <v>0</v>
      </c>
      <c r="R10871" t="s">
        <v>44773</v>
      </c>
      <c r="S10871" t="s">
        <v>45184</v>
      </c>
      <c r="T10871" t="s">
        <v>46445</v>
      </c>
      <c r="U10871" t="s">
        <v>55908</v>
      </c>
      <c r="W10871" t="s">
        <v>43246</v>
      </c>
      <c r="X10871" t="s">
        <v>44774</v>
      </c>
    </row>
    <row r="10872" spans="1:24">
      <c r="A10872">
        <f>HYPERLINK("https://www.philgeps.gov.ph/GEPSNONPILOT/Tender/SplashBidNoticeAbstractUI.aspx?menuIndex=3&amp;refID=7132248&amp;Result=3","7132248")</f>
        <v>0</v>
      </c>
      <c r="B10872" t="s">
        <v>994</v>
      </c>
      <c r="C10872" t="s">
        <v>5821</v>
      </c>
      <c r="D10872" t="s">
        <v>17959</v>
      </c>
      <c r="E10872" t="s">
        <v>27433</v>
      </c>
      <c r="F10872" t="s">
        <v>30900</v>
      </c>
      <c r="G10872" t="s">
        <v>30907</v>
      </c>
      <c r="H10872" t="s">
        <v>30916</v>
      </c>
      <c r="I10872" t="s">
        <v>30923</v>
      </c>
      <c r="J10872" t="s">
        <v>37802</v>
      </c>
      <c r="K10872" t="s">
        <v>40283</v>
      </c>
      <c r="M10872" t="s">
        <v>41583</v>
      </c>
      <c r="N10872" t="s">
        <v>44759</v>
      </c>
      <c r="O10872" t="s">
        <v>44760</v>
      </c>
      <c r="P10872">
        <v>0</v>
      </c>
      <c r="Q10872">
        <v>6</v>
      </c>
      <c r="R10872" t="s">
        <v>44773</v>
      </c>
      <c r="S10872" t="s">
        <v>45184</v>
      </c>
      <c r="T10872" t="s">
        <v>46544</v>
      </c>
      <c r="U10872" t="s">
        <v>55909</v>
      </c>
      <c r="W10872" t="s">
        <v>41583</v>
      </c>
      <c r="X10872" t="s">
        <v>44774</v>
      </c>
    </row>
    <row r="10873" spans="1:24">
      <c r="A10873">
        <f>HYPERLINK("https://www.philgeps.gov.ph/GEPSNONPILOT/Tender/SplashBidNoticeAbstractUI.aspx?menuIndex=3&amp;refID=7132240&amp;Result=3","7132240")</f>
        <v>0</v>
      </c>
      <c r="B10873" t="s">
        <v>2535</v>
      </c>
      <c r="C10873" t="s">
        <v>14086</v>
      </c>
      <c r="D10873" t="s">
        <v>17959</v>
      </c>
      <c r="E10873" t="s">
        <v>23229</v>
      </c>
      <c r="F10873" t="s">
        <v>30900</v>
      </c>
      <c r="G10873" t="s">
        <v>30907</v>
      </c>
      <c r="H10873" t="s">
        <v>30916</v>
      </c>
      <c r="I10873" t="s">
        <v>4545</v>
      </c>
      <c r="J10873" t="s">
        <v>37803</v>
      </c>
      <c r="K10873" t="s">
        <v>40289</v>
      </c>
      <c r="M10873" t="s">
        <v>43291</v>
      </c>
      <c r="N10873" t="s">
        <v>44759</v>
      </c>
      <c r="O10873" t="s">
        <v>44760</v>
      </c>
      <c r="Q10873">
        <v>20</v>
      </c>
      <c r="R10873" t="s">
        <v>44773</v>
      </c>
      <c r="S10873" t="s">
        <v>45237</v>
      </c>
      <c r="T10873" t="s">
        <v>46353</v>
      </c>
      <c r="U10873" t="s">
        <v>55910</v>
      </c>
      <c r="V10873" t="s">
        <v>59925</v>
      </c>
      <c r="W10873" t="s">
        <v>43291</v>
      </c>
      <c r="X10873" t="s">
        <v>44774</v>
      </c>
    </row>
    <row r="10874" spans="1:24">
      <c r="A10874">
        <f>HYPERLINK("https://www.philgeps.gov.ph/GEPSNONPILOT/Tender/SplashBidNoticeAbstractUI.aspx?menuIndex=3&amp;refID=7132237&amp;Result=3","7132237")</f>
        <v>0</v>
      </c>
      <c r="B10874" t="s">
        <v>3268</v>
      </c>
      <c r="C10874" t="s">
        <v>14087</v>
      </c>
      <c r="D10874" t="s">
        <v>17993</v>
      </c>
      <c r="E10874" t="s">
        <v>27434</v>
      </c>
      <c r="F10874" t="s">
        <v>30900</v>
      </c>
      <c r="G10874" t="s">
        <v>30908</v>
      </c>
      <c r="H10874" t="s">
        <v>30916</v>
      </c>
      <c r="I10874" t="s">
        <v>4017</v>
      </c>
      <c r="J10874" t="s">
        <v>31522</v>
      </c>
      <c r="K10874" t="s">
        <v>40291</v>
      </c>
      <c r="M10874" t="s">
        <v>44116</v>
      </c>
      <c r="N10874" t="s">
        <v>44759</v>
      </c>
      <c r="O10874" t="s">
        <v>44760</v>
      </c>
      <c r="Q10874">
        <v>5</v>
      </c>
      <c r="R10874" t="s">
        <v>44773</v>
      </c>
      <c r="S10874" t="s">
        <v>45238</v>
      </c>
      <c r="T10874" t="s">
        <v>46771</v>
      </c>
      <c r="U10874" t="s">
        <v>55911</v>
      </c>
      <c r="W10874" t="s">
        <v>44116</v>
      </c>
      <c r="X10874" t="s">
        <v>44774</v>
      </c>
    </row>
    <row r="10875" spans="1:24">
      <c r="A10875">
        <f>HYPERLINK("https://www.philgeps.gov.ph/GEPSNONPILOT/Tender/SplashBidNoticeAbstractUI.aspx?menuIndex=3&amp;refID=7132229&amp;Result=3","7132229")</f>
        <v>0</v>
      </c>
      <c r="B10875" t="s">
        <v>2226</v>
      </c>
      <c r="C10875" t="s">
        <v>14088</v>
      </c>
      <c r="D10875" t="s">
        <v>17955</v>
      </c>
      <c r="E10875" t="s">
        <v>27435</v>
      </c>
      <c r="F10875" t="s">
        <v>30900</v>
      </c>
      <c r="G10875" t="s">
        <v>30907</v>
      </c>
      <c r="H10875" t="s">
        <v>30915</v>
      </c>
      <c r="I10875" t="s">
        <v>30919</v>
      </c>
      <c r="J10875" t="s">
        <v>37804</v>
      </c>
      <c r="K10875" t="s">
        <v>40304</v>
      </c>
      <c r="M10875" t="s">
        <v>42936</v>
      </c>
      <c r="N10875" t="s">
        <v>44759</v>
      </c>
      <c r="O10875" t="s">
        <v>44760</v>
      </c>
      <c r="Q10875">
        <v>1</v>
      </c>
      <c r="R10875" t="s">
        <v>44773</v>
      </c>
      <c r="S10875" t="s">
        <v>45239</v>
      </c>
      <c r="T10875" t="s">
        <v>46459</v>
      </c>
      <c r="U10875" t="s">
        <v>55912</v>
      </c>
      <c r="W10875" t="s">
        <v>42936</v>
      </c>
      <c r="X10875" t="s">
        <v>44774</v>
      </c>
    </row>
    <row r="10876" spans="1:24">
      <c r="A10876">
        <f>HYPERLINK("https://www.philgeps.gov.ph/GEPSNONPILOT/Tender/SplashBidNoticeAbstractUI.aspx?menuIndex=3&amp;refID=7131780&amp;Result=3","7131780")</f>
        <v>0</v>
      </c>
      <c r="B10876" t="s">
        <v>3259</v>
      </c>
      <c r="C10876" t="s">
        <v>14089</v>
      </c>
      <c r="D10876" t="s">
        <v>18002</v>
      </c>
      <c r="E10876" t="s">
        <v>27436</v>
      </c>
      <c r="F10876" t="s">
        <v>30900</v>
      </c>
      <c r="G10876" t="s">
        <v>30907</v>
      </c>
      <c r="H10876" t="s">
        <v>30915</v>
      </c>
      <c r="I10876" t="s">
        <v>30919</v>
      </c>
      <c r="J10876" t="s">
        <v>32523</v>
      </c>
      <c r="K10876" t="s">
        <v>40304</v>
      </c>
      <c r="M10876" t="s">
        <v>44105</v>
      </c>
      <c r="N10876" t="s">
        <v>44759</v>
      </c>
      <c r="O10876" t="s">
        <v>44760</v>
      </c>
      <c r="Q10876">
        <v>6</v>
      </c>
      <c r="R10876" t="s">
        <v>44773</v>
      </c>
      <c r="S10876" t="s">
        <v>45210</v>
      </c>
      <c r="T10876" t="s">
        <v>46411</v>
      </c>
      <c r="U10876" t="s">
        <v>55854</v>
      </c>
      <c r="W10876" t="s">
        <v>44105</v>
      </c>
      <c r="X10876" t="s">
        <v>44774</v>
      </c>
    </row>
    <row r="10877" spans="1:24">
      <c r="A10877">
        <f>HYPERLINK("https://www.philgeps.gov.ph/GEPSNONPILOT/Tender/SplashBidNoticeAbstractUI.aspx?menuIndex=3&amp;refID=7131606&amp;Result=3","7131606")</f>
        <v>0</v>
      </c>
      <c r="B10877" t="s">
        <v>3202</v>
      </c>
      <c r="C10877" t="s">
        <v>14090</v>
      </c>
      <c r="D10877" t="s">
        <v>17986</v>
      </c>
      <c r="E10877" t="s">
        <v>27437</v>
      </c>
      <c r="F10877" t="s">
        <v>30900</v>
      </c>
      <c r="G10877" t="s">
        <v>30907</v>
      </c>
      <c r="H10877" t="s">
        <v>30915</v>
      </c>
      <c r="I10877" t="s">
        <v>30919</v>
      </c>
      <c r="J10877" t="s">
        <v>37805</v>
      </c>
      <c r="K10877" t="s">
        <v>40341</v>
      </c>
      <c r="M10877" t="s">
        <v>44040</v>
      </c>
      <c r="N10877" t="s">
        <v>44759</v>
      </c>
      <c r="O10877" t="s">
        <v>44760</v>
      </c>
      <c r="P10877">
        <v>0</v>
      </c>
      <c r="Q10877">
        <v>1</v>
      </c>
      <c r="R10877" t="s">
        <v>44773</v>
      </c>
      <c r="S10877" t="s">
        <v>45184</v>
      </c>
      <c r="T10877" t="s">
        <v>46409</v>
      </c>
      <c r="U10877" t="s">
        <v>55913</v>
      </c>
      <c r="V10877" t="s">
        <v>60288</v>
      </c>
      <c r="W10877" t="s">
        <v>44040</v>
      </c>
      <c r="X10877" t="s">
        <v>44774</v>
      </c>
    </row>
    <row r="10878" spans="1:24">
      <c r="A10878">
        <f>HYPERLINK("https://www.philgeps.gov.ph/GEPSNONPILOT/Tender/SplashBidNoticeAbstractUI.aspx?menuIndex=3&amp;refID=7132226&amp;Result=3","7132226")</f>
        <v>0</v>
      </c>
      <c r="B10878" t="s">
        <v>994</v>
      </c>
      <c r="C10878" t="s">
        <v>5821</v>
      </c>
      <c r="D10878" t="s">
        <v>17959</v>
      </c>
      <c r="E10878" t="s">
        <v>27438</v>
      </c>
      <c r="F10878" t="s">
        <v>30900</v>
      </c>
      <c r="G10878" t="s">
        <v>30907</v>
      </c>
      <c r="H10878" t="s">
        <v>30916</v>
      </c>
      <c r="I10878" t="s">
        <v>30923</v>
      </c>
      <c r="J10878" t="s">
        <v>37806</v>
      </c>
      <c r="K10878" t="s">
        <v>40283</v>
      </c>
      <c r="M10878" t="s">
        <v>41583</v>
      </c>
      <c r="N10878" t="s">
        <v>44759</v>
      </c>
      <c r="O10878" t="s">
        <v>44760</v>
      </c>
      <c r="P10878">
        <v>0</v>
      </c>
      <c r="Q10878">
        <v>7</v>
      </c>
      <c r="R10878" t="s">
        <v>44773</v>
      </c>
      <c r="S10878" t="s">
        <v>45184</v>
      </c>
      <c r="T10878" t="s">
        <v>46544</v>
      </c>
      <c r="U10878" t="s">
        <v>55914</v>
      </c>
      <c r="W10878" t="s">
        <v>41583</v>
      </c>
      <c r="X10878" t="s">
        <v>44774</v>
      </c>
    </row>
    <row r="10879" spans="1:24">
      <c r="A10879">
        <f>HYPERLINK("https://www.philgeps.gov.ph/GEPSNONPILOT/Tender/SplashBidNoticeAbstractUI.aspx?menuIndex=3&amp;refID=7132224&amp;Result=3","7132224")</f>
        <v>0</v>
      </c>
      <c r="B10879" t="s">
        <v>3269</v>
      </c>
      <c r="C10879" t="s">
        <v>14091</v>
      </c>
      <c r="D10879" t="s">
        <v>17978</v>
      </c>
      <c r="E10879" t="s">
        <v>27439</v>
      </c>
      <c r="F10879" t="s">
        <v>30900</v>
      </c>
      <c r="G10879" t="s">
        <v>30907</v>
      </c>
      <c r="H10879" t="s">
        <v>30915</v>
      </c>
      <c r="I10879" t="s">
        <v>30919</v>
      </c>
      <c r="J10879" t="s">
        <v>31152</v>
      </c>
      <c r="K10879" t="s">
        <v>40289</v>
      </c>
      <c r="M10879" t="s">
        <v>44117</v>
      </c>
      <c r="N10879" t="s">
        <v>44759</v>
      </c>
      <c r="O10879" t="s">
        <v>44760</v>
      </c>
      <c r="P10879">
        <v>0</v>
      </c>
      <c r="Q10879">
        <v>1</v>
      </c>
      <c r="R10879" t="s">
        <v>44773</v>
      </c>
      <c r="S10879" t="s">
        <v>45184</v>
      </c>
      <c r="T10879" t="s">
        <v>46872</v>
      </c>
      <c r="U10879" t="s">
        <v>55915</v>
      </c>
      <c r="W10879" t="s">
        <v>44117</v>
      </c>
      <c r="X10879" t="s">
        <v>44774</v>
      </c>
    </row>
    <row r="10880" spans="1:24">
      <c r="A10880">
        <f>HYPERLINK("https://www.philgeps.gov.ph/GEPSNONPILOT/Tender/SplashBidNoticeAbstractUI.aspx?menuIndex=3&amp;refID=7132280&amp;Result=3","7132280")</f>
        <v>0</v>
      </c>
      <c r="B10880" t="s">
        <v>3270</v>
      </c>
      <c r="C10880" t="s">
        <v>14092</v>
      </c>
      <c r="D10880" t="s">
        <v>17977</v>
      </c>
      <c r="E10880" t="s">
        <v>27440</v>
      </c>
      <c r="F10880" t="s">
        <v>30900</v>
      </c>
      <c r="G10880" t="s">
        <v>30907</v>
      </c>
      <c r="H10880" t="s">
        <v>30915</v>
      </c>
      <c r="I10880" t="s">
        <v>30919</v>
      </c>
      <c r="J10880" t="s">
        <v>37593</v>
      </c>
      <c r="K10880" t="s">
        <v>40507</v>
      </c>
      <c r="M10880" t="s">
        <v>44118</v>
      </c>
      <c r="N10880" t="s">
        <v>44759</v>
      </c>
      <c r="O10880" t="s">
        <v>44760</v>
      </c>
      <c r="P10880">
        <v>0</v>
      </c>
      <c r="Q10880">
        <v>1</v>
      </c>
      <c r="R10880" t="s">
        <v>44773</v>
      </c>
      <c r="S10880" t="s">
        <v>45184</v>
      </c>
      <c r="T10880" t="s">
        <v>46428</v>
      </c>
      <c r="U10880" t="s">
        <v>55916</v>
      </c>
      <c r="W10880" t="s">
        <v>44118</v>
      </c>
      <c r="X10880" t="s">
        <v>44774</v>
      </c>
    </row>
    <row r="10881" spans="1:24">
      <c r="A10881">
        <f>HYPERLINK("https://www.philgeps.gov.ph/GEPSNONPILOT/Tender/SplashBidNoticeAbstractUI.aspx?menuIndex=3&amp;refID=7132235&amp;Result=3","7132235")</f>
        <v>0</v>
      </c>
      <c r="B10881" t="s">
        <v>994</v>
      </c>
      <c r="C10881" t="s">
        <v>5821</v>
      </c>
      <c r="D10881" t="s">
        <v>17959</v>
      </c>
      <c r="E10881" t="s">
        <v>27441</v>
      </c>
      <c r="F10881" t="s">
        <v>30900</v>
      </c>
      <c r="G10881" t="s">
        <v>30907</v>
      </c>
      <c r="H10881" t="s">
        <v>30916</v>
      </c>
      <c r="I10881" t="s">
        <v>30923</v>
      </c>
      <c r="J10881" t="s">
        <v>37807</v>
      </c>
      <c r="K10881" t="s">
        <v>40283</v>
      </c>
      <c r="M10881" t="s">
        <v>41583</v>
      </c>
      <c r="N10881" t="s">
        <v>44759</v>
      </c>
      <c r="O10881" t="s">
        <v>44760</v>
      </c>
      <c r="P10881">
        <v>0</v>
      </c>
      <c r="Q10881">
        <v>7</v>
      </c>
      <c r="R10881" t="s">
        <v>44773</v>
      </c>
      <c r="S10881" t="s">
        <v>45184</v>
      </c>
      <c r="T10881" t="s">
        <v>46544</v>
      </c>
      <c r="U10881" t="s">
        <v>55917</v>
      </c>
      <c r="W10881" t="s">
        <v>41583</v>
      </c>
      <c r="X10881" t="s">
        <v>44774</v>
      </c>
    </row>
    <row r="10882" spans="1:24">
      <c r="A10882">
        <f>HYPERLINK("https://www.philgeps.gov.ph/GEPSNONPILOT/Tender/SplashBidNoticeAbstractUI.aspx?menuIndex=3&amp;refID=7132180&amp;Result=3","7132180")</f>
        <v>0</v>
      </c>
      <c r="B10882" t="s">
        <v>3271</v>
      </c>
      <c r="C10882" t="s">
        <v>14093</v>
      </c>
      <c r="D10882" t="s">
        <v>17959</v>
      </c>
      <c r="E10882" t="s">
        <v>22308</v>
      </c>
      <c r="F10882" t="s">
        <v>30900</v>
      </c>
      <c r="G10882" t="s">
        <v>30907</v>
      </c>
      <c r="H10882" t="s">
        <v>30916</v>
      </c>
      <c r="I10882" t="s">
        <v>8123</v>
      </c>
      <c r="J10882" t="s">
        <v>37808</v>
      </c>
      <c r="K10882" t="s">
        <v>40288</v>
      </c>
      <c r="M10882" t="s">
        <v>44119</v>
      </c>
      <c r="N10882" t="s">
        <v>44759</v>
      </c>
      <c r="O10882" t="s">
        <v>44760</v>
      </c>
      <c r="P10882">
        <v>0</v>
      </c>
      <c r="Q10882">
        <v>3</v>
      </c>
      <c r="R10882" t="s">
        <v>44773</v>
      </c>
      <c r="S10882" t="s">
        <v>45184</v>
      </c>
      <c r="T10882" t="s">
        <v>46383</v>
      </c>
      <c r="U10882" t="s">
        <v>55918</v>
      </c>
      <c r="W10882" t="s">
        <v>44119</v>
      </c>
      <c r="X10882" t="s">
        <v>44774</v>
      </c>
    </row>
    <row r="10883" spans="1:24">
      <c r="A10883">
        <f>HYPERLINK("https://www.philgeps.gov.ph/GEPSNONPILOT/Tender/SplashBidNoticeAbstractUI.aspx?menuIndex=3&amp;refID=7132178&amp;Result=3","7132178")</f>
        <v>0</v>
      </c>
      <c r="B10883" t="s">
        <v>1777</v>
      </c>
      <c r="C10883" t="s">
        <v>14094</v>
      </c>
      <c r="D10883" t="s">
        <v>17994</v>
      </c>
      <c r="E10883" t="s">
        <v>27442</v>
      </c>
      <c r="F10883" t="s">
        <v>30900</v>
      </c>
      <c r="G10883" t="s">
        <v>30907</v>
      </c>
      <c r="H10883" t="s">
        <v>30916</v>
      </c>
      <c r="I10883" t="s">
        <v>10602</v>
      </c>
      <c r="J10883" t="s">
        <v>37809</v>
      </c>
      <c r="K10883" t="s">
        <v>40281</v>
      </c>
      <c r="M10883" t="s">
        <v>42460</v>
      </c>
      <c r="N10883" t="s">
        <v>44759</v>
      </c>
      <c r="O10883" t="s">
        <v>44760</v>
      </c>
      <c r="P10883">
        <v>0</v>
      </c>
      <c r="Q10883">
        <v>1</v>
      </c>
      <c r="R10883" t="s">
        <v>44773</v>
      </c>
      <c r="S10883" t="s">
        <v>45184</v>
      </c>
      <c r="T10883" t="s">
        <v>46403</v>
      </c>
      <c r="U10883" t="s">
        <v>55919</v>
      </c>
      <c r="W10883" t="s">
        <v>42460</v>
      </c>
      <c r="X10883" t="s">
        <v>44774</v>
      </c>
    </row>
    <row r="10884" spans="1:24">
      <c r="A10884">
        <f>HYPERLINK("https://www.philgeps.gov.ph/GEPSNONPILOT/Tender/SplashBidNoticeAbstractUI.aspx?menuIndex=3&amp;refID=7132172&amp;Result=3","7132172")</f>
        <v>0</v>
      </c>
      <c r="B10884" t="s">
        <v>1119</v>
      </c>
      <c r="C10884" t="s">
        <v>14095</v>
      </c>
      <c r="D10884" t="s">
        <v>18038</v>
      </c>
      <c r="E10884" t="s">
        <v>27443</v>
      </c>
      <c r="F10884" t="s">
        <v>30900</v>
      </c>
      <c r="G10884" t="s">
        <v>30907</v>
      </c>
      <c r="H10884" t="s">
        <v>30916</v>
      </c>
      <c r="I10884" t="s">
        <v>7708</v>
      </c>
      <c r="J10884" t="s">
        <v>34841</v>
      </c>
      <c r="K10884" t="s">
        <v>40280</v>
      </c>
      <c r="M10884" t="s">
        <v>42602</v>
      </c>
      <c r="N10884" t="s">
        <v>44759</v>
      </c>
      <c r="O10884" t="s">
        <v>44760</v>
      </c>
      <c r="Q10884">
        <v>4</v>
      </c>
      <c r="R10884" t="s">
        <v>44773</v>
      </c>
      <c r="S10884" t="s">
        <v>45240</v>
      </c>
      <c r="T10884" t="s">
        <v>46752</v>
      </c>
      <c r="U10884" t="s">
        <v>55893</v>
      </c>
      <c r="V10884" t="s">
        <v>59685</v>
      </c>
      <c r="W10884" t="s">
        <v>42602</v>
      </c>
      <c r="X10884" t="s">
        <v>44774</v>
      </c>
    </row>
    <row r="10885" spans="1:24">
      <c r="A10885">
        <f>HYPERLINK("https://www.philgeps.gov.ph/GEPSNONPILOT/Tender/SplashBidNoticeAbstractUI.aspx?menuIndex=3&amp;refID=7132186&amp;Result=3","7132186")</f>
        <v>0</v>
      </c>
      <c r="B10885" t="s">
        <v>2226</v>
      </c>
      <c r="C10885" t="s">
        <v>14096</v>
      </c>
      <c r="D10885" t="s">
        <v>17955</v>
      </c>
      <c r="E10885" t="s">
        <v>27444</v>
      </c>
      <c r="F10885" t="s">
        <v>30900</v>
      </c>
      <c r="G10885" t="s">
        <v>30907</v>
      </c>
      <c r="H10885" t="s">
        <v>30915</v>
      </c>
      <c r="I10885" t="s">
        <v>30919</v>
      </c>
      <c r="J10885" t="s">
        <v>37810</v>
      </c>
      <c r="K10885" t="s">
        <v>40304</v>
      </c>
      <c r="M10885" t="s">
        <v>42936</v>
      </c>
      <c r="N10885" t="s">
        <v>44759</v>
      </c>
      <c r="O10885" t="s">
        <v>44760</v>
      </c>
      <c r="Q10885">
        <v>1</v>
      </c>
      <c r="R10885" t="s">
        <v>44773</v>
      </c>
      <c r="S10885" t="s">
        <v>45241</v>
      </c>
      <c r="T10885" t="s">
        <v>46381</v>
      </c>
      <c r="U10885" t="s">
        <v>55920</v>
      </c>
      <c r="W10885" t="s">
        <v>42936</v>
      </c>
      <c r="X10885" t="s">
        <v>44774</v>
      </c>
    </row>
    <row r="10886" spans="1:24">
      <c r="A10886">
        <f>HYPERLINK("https://www.philgeps.gov.ph/GEPSNONPILOT/Tender/SplashBidNoticeAbstractUI.aspx?menuIndex=3&amp;refID=7132161&amp;Result=3","7132161")</f>
        <v>0</v>
      </c>
      <c r="B10886" t="s">
        <v>741</v>
      </c>
      <c r="C10886" t="s">
        <v>14097</v>
      </c>
      <c r="D10886" t="s">
        <v>17994</v>
      </c>
      <c r="E10886" t="s">
        <v>27445</v>
      </c>
      <c r="F10886" t="s">
        <v>30900</v>
      </c>
      <c r="G10886" t="s">
        <v>30907</v>
      </c>
      <c r="H10886" t="s">
        <v>30915</v>
      </c>
      <c r="I10886" t="s">
        <v>30919</v>
      </c>
      <c r="J10886" t="s">
        <v>37811</v>
      </c>
      <c r="K10886" t="s">
        <v>40508</v>
      </c>
      <c r="M10886" t="s">
        <v>41305</v>
      </c>
      <c r="N10886" t="s">
        <v>44759</v>
      </c>
      <c r="O10886" t="s">
        <v>44760</v>
      </c>
      <c r="P10886">
        <v>0</v>
      </c>
      <c r="Q10886">
        <v>1</v>
      </c>
      <c r="R10886" t="s">
        <v>44773</v>
      </c>
      <c r="S10886" t="s">
        <v>45184</v>
      </c>
      <c r="T10886" t="s">
        <v>46757</v>
      </c>
      <c r="U10886" t="s">
        <v>55921</v>
      </c>
      <c r="V10886" t="s">
        <v>60334</v>
      </c>
      <c r="W10886" t="s">
        <v>41305</v>
      </c>
      <c r="X10886" t="s">
        <v>44774</v>
      </c>
    </row>
    <row r="10887" spans="1:24">
      <c r="A10887">
        <f>HYPERLINK("https://www.philgeps.gov.ph/GEPSNONPILOT/Tender/SplashBidNoticeAbstractUI.aspx?menuIndex=3&amp;refID=7132021&amp;Result=3","7132021")</f>
        <v>0</v>
      </c>
      <c r="B10887" t="s">
        <v>3260</v>
      </c>
      <c r="C10887" t="s">
        <v>14098</v>
      </c>
      <c r="D10887" t="s">
        <v>17993</v>
      </c>
      <c r="E10887" t="s">
        <v>27446</v>
      </c>
      <c r="F10887" t="s">
        <v>30904</v>
      </c>
      <c r="G10887" t="s">
        <v>30907</v>
      </c>
      <c r="H10887" t="s">
        <v>30915</v>
      </c>
      <c r="I10887" t="s">
        <v>30919</v>
      </c>
      <c r="J10887" t="s">
        <v>31049</v>
      </c>
      <c r="K10887" t="s">
        <v>40286</v>
      </c>
      <c r="M10887" t="s">
        <v>44106</v>
      </c>
      <c r="N10887" t="s">
        <v>44759</v>
      </c>
      <c r="O10887" t="s">
        <v>44760</v>
      </c>
      <c r="P10887">
        <v>0</v>
      </c>
      <c r="Q10887">
        <v>1</v>
      </c>
      <c r="R10887" t="s">
        <v>44773</v>
      </c>
      <c r="S10887" t="s">
        <v>45184</v>
      </c>
      <c r="T10887" t="s">
        <v>46511</v>
      </c>
      <c r="U10887" t="s">
        <v>55863</v>
      </c>
      <c r="W10887" t="s">
        <v>44106</v>
      </c>
      <c r="X10887" t="s">
        <v>44774</v>
      </c>
    </row>
    <row r="10888" spans="1:24">
      <c r="A10888">
        <f>HYPERLINK("https://www.philgeps.gov.ph/GEPSNONPILOT/Tender/SplashBidNoticeAbstractUI.aspx?menuIndex=3&amp;refID=7132209&amp;Result=3","7132209")</f>
        <v>0</v>
      </c>
      <c r="B10888" t="s">
        <v>2465</v>
      </c>
      <c r="C10888" t="s">
        <v>14099</v>
      </c>
      <c r="D10888" t="s">
        <v>17959</v>
      </c>
      <c r="E10888" t="s">
        <v>27447</v>
      </c>
      <c r="F10888" t="s">
        <v>30900</v>
      </c>
      <c r="G10888" t="s">
        <v>30907</v>
      </c>
      <c r="H10888" t="s">
        <v>30915</v>
      </c>
      <c r="I10888" t="s">
        <v>30919</v>
      </c>
      <c r="J10888" t="s">
        <v>37812</v>
      </c>
      <c r="K10888" t="s">
        <v>40301</v>
      </c>
      <c r="M10888" t="s">
        <v>43203</v>
      </c>
      <c r="N10888" t="s">
        <v>44759</v>
      </c>
      <c r="O10888" t="s">
        <v>44760</v>
      </c>
      <c r="P10888">
        <v>0</v>
      </c>
      <c r="Q10888">
        <v>13</v>
      </c>
      <c r="R10888" t="s">
        <v>44773</v>
      </c>
      <c r="S10888" t="s">
        <v>45184</v>
      </c>
      <c r="T10888" t="s">
        <v>46411</v>
      </c>
      <c r="U10888" t="s">
        <v>55922</v>
      </c>
      <c r="V10888" t="s">
        <v>60199</v>
      </c>
      <c r="W10888" t="s">
        <v>43203</v>
      </c>
      <c r="X10888" t="s">
        <v>44774</v>
      </c>
    </row>
    <row r="10889" spans="1:24">
      <c r="A10889">
        <f>HYPERLINK("https://www.philgeps.gov.ph/GEPSNONPILOT/Tender/SplashBidNoticeAbstractUI.aspx?menuIndex=3&amp;refID=7132158&amp;Result=3","7132158")</f>
        <v>0</v>
      </c>
      <c r="B10889" t="s">
        <v>1119</v>
      </c>
      <c r="C10889" t="s">
        <v>14100</v>
      </c>
      <c r="D10889" t="s">
        <v>18038</v>
      </c>
      <c r="E10889" t="s">
        <v>27448</v>
      </c>
      <c r="F10889" t="s">
        <v>30900</v>
      </c>
      <c r="G10889" t="s">
        <v>30907</v>
      </c>
      <c r="H10889" t="s">
        <v>30916</v>
      </c>
      <c r="I10889" t="s">
        <v>7708</v>
      </c>
      <c r="J10889" t="s">
        <v>37813</v>
      </c>
      <c r="K10889" t="s">
        <v>40280</v>
      </c>
      <c r="M10889" t="s">
        <v>42602</v>
      </c>
      <c r="N10889" t="s">
        <v>44759</v>
      </c>
      <c r="O10889" t="s">
        <v>44760</v>
      </c>
      <c r="Q10889">
        <v>4</v>
      </c>
      <c r="R10889" t="s">
        <v>44773</v>
      </c>
      <c r="S10889" t="s">
        <v>45242</v>
      </c>
      <c r="T10889" t="s">
        <v>46752</v>
      </c>
      <c r="U10889" t="s">
        <v>55893</v>
      </c>
      <c r="V10889" t="s">
        <v>59685</v>
      </c>
      <c r="W10889" t="s">
        <v>42602</v>
      </c>
      <c r="X10889" t="s">
        <v>44774</v>
      </c>
    </row>
    <row r="10890" spans="1:24">
      <c r="A10890">
        <f>HYPERLINK("https://www.philgeps.gov.ph/GEPSNONPILOT/Tender/SplashBidNoticeAbstractUI.aspx?menuIndex=3&amp;refID=7131901&amp;Result=3","7131901")</f>
        <v>0</v>
      </c>
      <c r="B10890" t="s">
        <v>1822</v>
      </c>
      <c r="C10890" t="s">
        <v>14101</v>
      </c>
      <c r="D10890" t="s">
        <v>18033</v>
      </c>
      <c r="E10890" t="s">
        <v>27449</v>
      </c>
      <c r="F10890" t="s">
        <v>30900</v>
      </c>
      <c r="G10890" t="s">
        <v>30907</v>
      </c>
      <c r="H10890" t="s">
        <v>30915</v>
      </c>
      <c r="I10890" t="s">
        <v>30919</v>
      </c>
      <c r="J10890" t="s">
        <v>32276</v>
      </c>
      <c r="K10890" t="s">
        <v>40499</v>
      </c>
      <c r="M10890" t="s">
        <v>42495</v>
      </c>
      <c r="N10890" t="s">
        <v>44759</v>
      </c>
      <c r="O10890" t="s">
        <v>44760</v>
      </c>
      <c r="P10890">
        <v>0</v>
      </c>
      <c r="Q10890">
        <v>0</v>
      </c>
      <c r="R10890" t="s">
        <v>44773</v>
      </c>
      <c r="S10890" t="s">
        <v>45184</v>
      </c>
      <c r="T10890" t="s">
        <v>46418</v>
      </c>
      <c r="U10890" t="s">
        <v>55728</v>
      </c>
      <c r="V10890" t="s">
        <v>60335</v>
      </c>
      <c r="W10890" t="s">
        <v>42495</v>
      </c>
      <c r="X10890" t="s">
        <v>44774</v>
      </c>
    </row>
    <row r="10891" spans="1:24">
      <c r="A10891">
        <f>HYPERLINK("https://www.philgeps.gov.ph/GEPSNONPILOT/Tender/SplashBidNoticeAbstractUI.aspx?menuIndex=3&amp;refID=7131910&amp;Result=3","7131910")</f>
        <v>0</v>
      </c>
      <c r="B10891" t="s">
        <v>3262</v>
      </c>
      <c r="C10891" t="s">
        <v>14102</v>
      </c>
      <c r="D10891" t="s">
        <v>18012</v>
      </c>
      <c r="E10891" t="s">
        <v>27450</v>
      </c>
      <c r="F10891" t="s">
        <v>30900</v>
      </c>
      <c r="G10891" t="s">
        <v>30907</v>
      </c>
      <c r="H10891" t="s">
        <v>30915</v>
      </c>
      <c r="I10891" t="s">
        <v>30919</v>
      </c>
      <c r="J10891" t="s">
        <v>37814</v>
      </c>
      <c r="K10891" t="s">
        <v>40295</v>
      </c>
      <c r="M10891" t="s">
        <v>44108</v>
      </c>
      <c r="N10891" t="s">
        <v>44759</v>
      </c>
      <c r="O10891" t="s">
        <v>44760</v>
      </c>
      <c r="Q10891">
        <v>1</v>
      </c>
      <c r="R10891" t="s">
        <v>44773</v>
      </c>
      <c r="S10891" t="s">
        <v>45243</v>
      </c>
      <c r="T10891" t="s">
        <v>46616</v>
      </c>
      <c r="U10891" t="s">
        <v>55923</v>
      </c>
      <c r="W10891" t="s">
        <v>44108</v>
      </c>
      <c r="X10891" t="s">
        <v>44774</v>
      </c>
    </row>
    <row r="10892" spans="1:24">
      <c r="A10892">
        <f>HYPERLINK("https://www.philgeps.gov.ph/GEPSNONPILOT/Tender/SplashBidNoticeAbstractUI.aspx?menuIndex=3&amp;refID=7131881&amp;Result=3","7131881")</f>
        <v>0</v>
      </c>
      <c r="B10892" t="s">
        <v>2486</v>
      </c>
      <c r="C10892" t="s">
        <v>14103</v>
      </c>
      <c r="D10892" t="s">
        <v>17978</v>
      </c>
      <c r="E10892" t="s">
        <v>27451</v>
      </c>
      <c r="F10892" t="s">
        <v>30899</v>
      </c>
      <c r="G10892" t="s">
        <v>30907</v>
      </c>
      <c r="H10892" t="s">
        <v>30916</v>
      </c>
      <c r="I10892" t="s">
        <v>8123</v>
      </c>
      <c r="J10892" t="s">
        <v>37815</v>
      </c>
      <c r="K10892" t="s">
        <v>40284</v>
      </c>
      <c r="M10892" t="s">
        <v>43227</v>
      </c>
      <c r="N10892" t="s">
        <v>44759</v>
      </c>
      <c r="O10892" t="s">
        <v>44760</v>
      </c>
      <c r="Q10892">
        <v>0</v>
      </c>
      <c r="R10892" t="s">
        <v>44773</v>
      </c>
      <c r="S10892" t="s">
        <v>45244</v>
      </c>
      <c r="T10892" t="s">
        <v>46353</v>
      </c>
      <c r="U10892" t="s">
        <v>55924</v>
      </c>
      <c r="V10892" t="s">
        <v>59933</v>
      </c>
      <c r="W10892" t="s">
        <v>43227</v>
      </c>
      <c r="X10892" t="s">
        <v>44774</v>
      </c>
    </row>
    <row r="10893" spans="1:24">
      <c r="A10893">
        <f>HYPERLINK("https://www.philgeps.gov.ph/GEPSNONPILOT/Tender/SplashBidNoticeAbstractUI.aspx?menuIndex=3&amp;refID=7132211&amp;Result=3","7132211")</f>
        <v>0</v>
      </c>
      <c r="B10893" t="s">
        <v>994</v>
      </c>
      <c r="C10893" t="s">
        <v>5821</v>
      </c>
      <c r="D10893" t="s">
        <v>17959</v>
      </c>
      <c r="E10893" t="s">
        <v>27452</v>
      </c>
      <c r="F10893" t="s">
        <v>30900</v>
      </c>
      <c r="G10893" t="s">
        <v>30907</v>
      </c>
      <c r="H10893" t="s">
        <v>30916</v>
      </c>
      <c r="I10893" t="s">
        <v>30923</v>
      </c>
      <c r="J10893" t="s">
        <v>33238</v>
      </c>
      <c r="K10893" t="s">
        <v>40283</v>
      </c>
      <c r="M10893" t="s">
        <v>41583</v>
      </c>
      <c r="N10893" t="s">
        <v>44759</v>
      </c>
      <c r="O10893" t="s">
        <v>44760</v>
      </c>
      <c r="P10893">
        <v>0</v>
      </c>
      <c r="Q10893">
        <v>10</v>
      </c>
      <c r="R10893" t="s">
        <v>44773</v>
      </c>
      <c r="S10893" t="s">
        <v>45184</v>
      </c>
      <c r="T10893" t="s">
        <v>46544</v>
      </c>
      <c r="U10893" t="s">
        <v>55925</v>
      </c>
      <c r="W10893" t="s">
        <v>41583</v>
      </c>
      <c r="X10893" t="s">
        <v>44774</v>
      </c>
    </row>
    <row r="10894" spans="1:24">
      <c r="A10894">
        <f>HYPERLINK("https://www.philgeps.gov.ph/GEPSNONPILOT/Tender/SplashBidNoticeAbstractUI.aspx?menuIndex=3&amp;refID=7131869&amp;Result=3","7131869")</f>
        <v>0</v>
      </c>
      <c r="B10894" t="s">
        <v>3272</v>
      </c>
      <c r="C10894" t="s">
        <v>14104</v>
      </c>
      <c r="D10894" t="s">
        <v>17971</v>
      </c>
      <c r="E10894" t="s">
        <v>27453</v>
      </c>
      <c r="F10894" t="s">
        <v>30900</v>
      </c>
      <c r="G10894" t="s">
        <v>30907</v>
      </c>
      <c r="H10894" t="s">
        <v>30915</v>
      </c>
      <c r="I10894" t="s">
        <v>30932</v>
      </c>
      <c r="J10894" t="s">
        <v>36735</v>
      </c>
      <c r="K10894" t="s">
        <v>40292</v>
      </c>
      <c r="M10894" t="s">
        <v>44120</v>
      </c>
      <c r="N10894" t="s">
        <v>44759</v>
      </c>
      <c r="O10894" t="s">
        <v>44760</v>
      </c>
      <c r="P10894">
        <v>0</v>
      </c>
      <c r="Q10894">
        <v>5</v>
      </c>
      <c r="R10894" t="s">
        <v>44773</v>
      </c>
      <c r="S10894" t="s">
        <v>45184</v>
      </c>
      <c r="T10894" t="s">
        <v>46757</v>
      </c>
      <c r="U10894" t="s">
        <v>55926</v>
      </c>
      <c r="W10894" t="s">
        <v>44120</v>
      </c>
      <c r="X10894" t="s">
        <v>44774</v>
      </c>
    </row>
    <row r="10895" spans="1:24">
      <c r="A10895">
        <f>HYPERLINK("https://www.philgeps.gov.ph/GEPSNONPILOT/Tender/SplashBidNoticeAbstractUI.aspx?menuIndex=3&amp;refID=7131161&amp;Result=3","7131161")</f>
        <v>0</v>
      </c>
      <c r="B10895" t="s">
        <v>3244</v>
      </c>
      <c r="C10895" t="s">
        <v>14105</v>
      </c>
      <c r="D10895" t="s">
        <v>17961</v>
      </c>
      <c r="E10895" t="s">
        <v>27454</v>
      </c>
      <c r="F10895" t="s">
        <v>30900</v>
      </c>
      <c r="G10895" t="s">
        <v>30907</v>
      </c>
      <c r="H10895" t="s">
        <v>30915</v>
      </c>
      <c r="I10895" t="s">
        <v>30919</v>
      </c>
      <c r="J10895" t="s">
        <v>32420</v>
      </c>
      <c r="K10895" t="s">
        <v>40509</v>
      </c>
      <c r="M10895" t="s">
        <v>44087</v>
      </c>
      <c r="N10895" t="s">
        <v>44759</v>
      </c>
      <c r="O10895" t="s">
        <v>44760</v>
      </c>
      <c r="P10895">
        <v>0</v>
      </c>
      <c r="Q10895">
        <v>0</v>
      </c>
      <c r="R10895" t="s">
        <v>44773</v>
      </c>
      <c r="S10895" t="s">
        <v>45184</v>
      </c>
      <c r="T10895" t="s">
        <v>46488</v>
      </c>
      <c r="U10895" t="s">
        <v>55927</v>
      </c>
      <c r="W10895" t="s">
        <v>44087</v>
      </c>
      <c r="X10895" t="s">
        <v>44774</v>
      </c>
    </row>
    <row r="10896" spans="1:24">
      <c r="A10896">
        <f>HYPERLINK("https://www.philgeps.gov.ph/GEPSNONPILOT/Tender/SplashBidNoticeAbstractUI.aspx?menuIndex=3&amp;refID=7132031&amp;Result=3","7132031")</f>
        <v>0</v>
      </c>
      <c r="B10896" t="s">
        <v>2486</v>
      </c>
      <c r="C10896" t="s">
        <v>14106</v>
      </c>
      <c r="D10896" t="s">
        <v>17978</v>
      </c>
      <c r="E10896" t="s">
        <v>27455</v>
      </c>
      <c r="F10896" t="s">
        <v>30899</v>
      </c>
      <c r="G10896" t="s">
        <v>30907</v>
      </c>
      <c r="H10896" t="s">
        <v>30916</v>
      </c>
      <c r="I10896" t="s">
        <v>8123</v>
      </c>
      <c r="J10896" t="s">
        <v>37816</v>
      </c>
      <c r="K10896" t="s">
        <v>40284</v>
      </c>
      <c r="M10896" t="s">
        <v>43227</v>
      </c>
      <c r="N10896" t="s">
        <v>44759</v>
      </c>
      <c r="O10896" t="s">
        <v>44760</v>
      </c>
      <c r="Q10896">
        <v>0</v>
      </c>
      <c r="R10896" t="s">
        <v>44773</v>
      </c>
      <c r="S10896" t="s">
        <v>45245</v>
      </c>
      <c r="T10896" t="s">
        <v>46353</v>
      </c>
      <c r="U10896" t="s">
        <v>53285</v>
      </c>
      <c r="V10896" t="s">
        <v>59933</v>
      </c>
      <c r="W10896" t="s">
        <v>43227</v>
      </c>
      <c r="X10896" t="s">
        <v>44774</v>
      </c>
    </row>
    <row r="10897" spans="1:24">
      <c r="A10897">
        <f>HYPERLINK("https://www.philgeps.gov.ph/GEPSNONPILOT/Tender/SplashBidNoticeAbstractUI.aspx?menuIndex=3&amp;refID=7131149&amp;Result=3","7131149")</f>
        <v>0</v>
      </c>
      <c r="B10897" t="s">
        <v>2717</v>
      </c>
      <c r="C10897" t="s">
        <v>14107</v>
      </c>
      <c r="D10897" t="s">
        <v>17973</v>
      </c>
      <c r="E10897" t="s">
        <v>27456</v>
      </c>
      <c r="F10897" t="s">
        <v>30900</v>
      </c>
      <c r="G10897" t="s">
        <v>30907</v>
      </c>
      <c r="H10897" t="s">
        <v>30915</v>
      </c>
      <c r="I10897" t="s">
        <v>30919</v>
      </c>
      <c r="J10897" t="s">
        <v>31157</v>
      </c>
      <c r="K10897" t="s">
        <v>40292</v>
      </c>
      <c r="M10897" t="s">
        <v>43492</v>
      </c>
      <c r="N10897" t="s">
        <v>44759</v>
      </c>
      <c r="O10897" t="s">
        <v>44760</v>
      </c>
      <c r="P10897">
        <v>0</v>
      </c>
      <c r="Q10897">
        <v>0</v>
      </c>
      <c r="R10897" t="s">
        <v>44773</v>
      </c>
      <c r="S10897" t="s">
        <v>45184</v>
      </c>
      <c r="T10897" t="s">
        <v>46366</v>
      </c>
      <c r="U10897" t="s">
        <v>55778</v>
      </c>
      <c r="W10897" t="s">
        <v>43492</v>
      </c>
      <c r="X10897" t="s">
        <v>44774</v>
      </c>
    </row>
    <row r="10898" spans="1:24">
      <c r="A10898">
        <f>HYPERLINK("https://www.philgeps.gov.ph/GEPSNONPILOT/Tender/SplashBidNoticeAbstractUI.aspx?menuIndex=3&amp;refID=7132218&amp;Result=3","7132218")</f>
        <v>0</v>
      </c>
      <c r="B10898" t="s">
        <v>2226</v>
      </c>
      <c r="C10898" t="s">
        <v>14108</v>
      </c>
      <c r="D10898" t="s">
        <v>17955</v>
      </c>
      <c r="E10898" t="s">
        <v>27457</v>
      </c>
      <c r="F10898" t="s">
        <v>30900</v>
      </c>
      <c r="G10898" t="s">
        <v>30907</v>
      </c>
      <c r="H10898" t="s">
        <v>30915</v>
      </c>
      <c r="I10898" t="s">
        <v>30919</v>
      </c>
      <c r="J10898" t="s">
        <v>37817</v>
      </c>
      <c r="K10898" t="s">
        <v>40304</v>
      </c>
      <c r="M10898" t="s">
        <v>42936</v>
      </c>
      <c r="N10898" t="s">
        <v>44759</v>
      </c>
      <c r="O10898" t="s">
        <v>44760</v>
      </c>
      <c r="Q10898">
        <v>1</v>
      </c>
      <c r="R10898" t="s">
        <v>44773</v>
      </c>
      <c r="S10898" t="s">
        <v>45246</v>
      </c>
      <c r="T10898" t="s">
        <v>46459</v>
      </c>
      <c r="U10898" t="s">
        <v>55928</v>
      </c>
      <c r="W10898" t="s">
        <v>42936</v>
      </c>
      <c r="X10898" t="s">
        <v>44774</v>
      </c>
    </row>
    <row r="10899" spans="1:24">
      <c r="A10899">
        <f>HYPERLINK("https://www.philgeps.gov.ph/GEPSNONPILOT/Tender/SplashBidNoticeAbstractUI.aspx?menuIndex=3&amp;refID=7131266&amp;Result=3","7131266")</f>
        <v>0</v>
      </c>
      <c r="B10899" t="s">
        <v>3249</v>
      </c>
      <c r="C10899" t="s">
        <v>14109</v>
      </c>
      <c r="D10899" t="s">
        <v>18027</v>
      </c>
      <c r="E10899" t="s">
        <v>27458</v>
      </c>
      <c r="F10899" t="s">
        <v>30899</v>
      </c>
      <c r="G10899" t="s">
        <v>30907</v>
      </c>
      <c r="H10899" t="s">
        <v>30915</v>
      </c>
      <c r="I10899" t="s">
        <v>30919</v>
      </c>
      <c r="J10899" t="s">
        <v>31897</v>
      </c>
      <c r="K10899" t="s">
        <v>40298</v>
      </c>
      <c r="M10899" t="s">
        <v>44094</v>
      </c>
      <c r="N10899" t="s">
        <v>44759</v>
      </c>
      <c r="O10899" t="s">
        <v>44760</v>
      </c>
      <c r="P10899">
        <v>0</v>
      </c>
      <c r="Q10899">
        <v>0</v>
      </c>
      <c r="R10899" t="s">
        <v>44773</v>
      </c>
      <c r="S10899" t="s">
        <v>45184</v>
      </c>
      <c r="T10899" t="s">
        <v>46383</v>
      </c>
      <c r="U10899" t="s">
        <v>55929</v>
      </c>
      <c r="W10899" t="s">
        <v>44094</v>
      </c>
      <c r="X10899" t="s">
        <v>44774</v>
      </c>
    </row>
    <row r="10900" spans="1:24">
      <c r="A10900">
        <f>HYPERLINK("https://www.philgeps.gov.ph/GEPSNONPILOT/Tender/SplashBidNoticeAbstractUI.aspx?menuIndex=3&amp;refID=7131159&amp;Result=3","7131159")</f>
        <v>0</v>
      </c>
      <c r="B10900" t="s">
        <v>427</v>
      </c>
      <c r="C10900" t="s">
        <v>14110</v>
      </c>
      <c r="D10900" t="s">
        <v>17986</v>
      </c>
      <c r="E10900" t="s">
        <v>27459</v>
      </c>
      <c r="F10900" t="s">
        <v>30900</v>
      </c>
      <c r="G10900" t="s">
        <v>30913</v>
      </c>
      <c r="H10900" t="s">
        <v>30915</v>
      </c>
      <c r="I10900" t="s">
        <v>30919</v>
      </c>
      <c r="J10900" t="s">
        <v>35993</v>
      </c>
      <c r="K10900" t="s">
        <v>40289</v>
      </c>
      <c r="M10900" t="s">
        <v>40984</v>
      </c>
      <c r="N10900" t="s">
        <v>44759</v>
      </c>
      <c r="O10900" t="s">
        <v>44760</v>
      </c>
      <c r="P10900">
        <v>0</v>
      </c>
      <c r="Q10900">
        <v>0</v>
      </c>
      <c r="R10900" t="s">
        <v>44773</v>
      </c>
      <c r="S10900" t="s">
        <v>45184</v>
      </c>
      <c r="T10900" t="s">
        <v>46380</v>
      </c>
      <c r="U10900" t="s">
        <v>55930</v>
      </c>
      <c r="W10900" t="s">
        <v>40984</v>
      </c>
      <c r="X10900" t="s">
        <v>44774</v>
      </c>
    </row>
    <row r="10901" spans="1:24">
      <c r="A10901">
        <f>HYPERLINK("https://www.philgeps.gov.ph/GEPSNONPILOT/Tender/SplashBidNoticeAbstractUI.aspx?menuIndex=3&amp;refID=7131133&amp;Result=3","7131133")</f>
        <v>0</v>
      </c>
      <c r="B10901" t="s">
        <v>2717</v>
      </c>
      <c r="C10901" t="s">
        <v>14111</v>
      </c>
      <c r="D10901" t="s">
        <v>17973</v>
      </c>
      <c r="E10901" t="s">
        <v>27460</v>
      </c>
      <c r="F10901" t="s">
        <v>30900</v>
      </c>
      <c r="G10901" t="s">
        <v>30907</v>
      </c>
      <c r="H10901" t="s">
        <v>30915</v>
      </c>
      <c r="I10901" t="s">
        <v>30919</v>
      </c>
      <c r="J10901" t="s">
        <v>31152</v>
      </c>
      <c r="K10901" t="s">
        <v>40280</v>
      </c>
      <c r="M10901" t="s">
        <v>43492</v>
      </c>
      <c r="N10901" t="s">
        <v>44759</v>
      </c>
      <c r="O10901" t="s">
        <v>44760</v>
      </c>
      <c r="P10901">
        <v>0</v>
      </c>
      <c r="Q10901">
        <v>0</v>
      </c>
      <c r="R10901" t="s">
        <v>44773</v>
      </c>
      <c r="S10901" t="s">
        <v>45184</v>
      </c>
      <c r="T10901" t="s">
        <v>46366</v>
      </c>
      <c r="U10901" t="s">
        <v>55791</v>
      </c>
      <c r="W10901" t="s">
        <v>43492</v>
      </c>
      <c r="X10901" t="s">
        <v>44774</v>
      </c>
    </row>
    <row r="10902" spans="1:24">
      <c r="A10902">
        <f>HYPERLINK("https://www.philgeps.gov.ph/GEPSNONPILOT/Tender/SplashBidNoticeAbstractUI.aspx?menuIndex=3&amp;refID=7131060&amp;Result=3","7131060")</f>
        <v>0</v>
      </c>
      <c r="B10902" t="s">
        <v>3245</v>
      </c>
      <c r="C10902" t="s">
        <v>14112</v>
      </c>
      <c r="D10902" t="s">
        <v>17973</v>
      </c>
      <c r="E10902" t="s">
        <v>19274</v>
      </c>
      <c r="F10902" t="s">
        <v>30900</v>
      </c>
      <c r="G10902" t="s">
        <v>30907</v>
      </c>
      <c r="H10902" t="s">
        <v>30915</v>
      </c>
      <c r="I10902" t="s">
        <v>30919</v>
      </c>
      <c r="J10902" t="s">
        <v>37818</v>
      </c>
      <c r="K10902" t="s">
        <v>40314</v>
      </c>
      <c r="M10902" t="s">
        <v>44090</v>
      </c>
      <c r="N10902" t="s">
        <v>44759</v>
      </c>
      <c r="O10902" t="s">
        <v>44760</v>
      </c>
      <c r="P10902">
        <v>0</v>
      </c>
      <c r="Q10902">
        <v>0</v>
      </c>
      <c r="R10902" t="s">
        <v>44773</v>
      </c>
      <c r="S10902" t="s">
        <v>45184</v>
      </c>
      <c r="T10902" t="s">
        <v>46399</v>
      </c>
      <c r="U10902" t="s">
        <v>55931</v>
      </c>
      <c r="W10902" t="s">
        <v>44090</v>
      </c>
      <c r="X10902" t="s">
        <v>44774</v>
      </c>
    </row>
    <row r="10903" spans="1:24">
      <c r="A10903">
        <f>HYPERLINK("https://www.philgeps.gov.ph/GEPSNONPILOT/Tender/SplashBidNoticeAbstractUI.aspx?menuIndex=3&amp;refID=7131147&amp;Result=3","7131147")</f>
        <v>0</v>
      </c>
      <c r="B10903" t="s">
        <v>1977</v>
      </c>
      <c r="C10903" t="s">
        <v>14113</v>
      </c>
      <c r="D10903" t="s">
        <v>17976</v>
      </c>
      <c r="E10903" t="s">
        <v>27461</v>
      </c>
      <c r="F10903" t="s">
        <v>30900</v>
      </c>
      <c r="G10903" t="s">
        <v>30907</v>
      </c>
      <c r="H10903" t="s">
        <v>30915</v>
      </c>
      <c r="I10903" t="s">
        <v>30919</v>
      </c>
      <c r="J10903" t="s">
        <v>37819</v>
      </c>
      <c r="K10903" t="s">
        <v>40301</v>
      </c>
      <c r="M10903" t="s">
        <v>42666</v>
      </c>
      <c r="N10903" t="s">
        <v>44759</v>
      </c>
      <c r="O10903" t="s">
        <v>44760</v>
      </c>
      <c r="Q10903">
        <v>3</v>
      </c>
      <c r="R10903" t="s">
        <v>44773</v>
      </c>
      <c r="S10903" t="s">
        <v>45247</v>
      </c>
      <c r="T10903" t="s">
        <v>46544</v>
      </c>
      <c r="U10903" t="s">
        <v>55932</v>
      </c>
      <c r="V10903" t="s">
        <v>60313</v>
      </c>
      <c r="W10903" t="s">
        <v>42666</v>
      </c>
      <c r="X10903" t="s">
        <v>44774</v>
      </c>
    </row>
    <row r="10904" spans="1:24">
      <c r="A10904">
        <f>HYPERLINK("https://www.philgeps.gov.ph/GEPSNONPILOT/Tender/SplashBidNoticeAbstractUI.aspx?menuIndex=3&amp;refID=7131890&amp;Result=3","7131890")</f>
        <v>0</v>
      </c>
      <c r="B10904" t="s">
        <v>3260</v>
      </c>
      <c r="C10904" t="s">
        <v>14114</v>
      </c>
      <c r="D10904" t="s">
        <v>17993</v>
      </c>
      <c r="E10904" t="s">
        <v>27462</v>
      </c>
      <c r="F10904" t="s">
        <v>30904</v>
      </c>
      <c r="G10904" t="s">
        <v>30907</v>
      </c>
      <c r="H10904" t="s">
        <v>30915</v>
      </c>
      <c r="I10904" t="s">
        <v>30919</v>
      </c>
      <c r="J10904" t="s">
        <v>37820</v>
      </c>
      <c r="K10904" t="s">
        <v>40286</v>
      </c>
      <c r="M10904" t="s">
        <v>44106</v>
      </c>
      <c r="N10904" t="s">
        <v>44759</v>
      </c>
      <c r="O10904" t="s">
        <v>44760</v>
      </c>
      <c r="P10904">
        <v>0</v>
      </c>
      <c r="Q10904">
        <v>1</v>
      </c>
      <c r="R10904" t="s">
        <v>44773</v>
      </c>
      <c r="S10904" t="s">
        <v>45184</v>
      </c>
      <c r="T10904" t="s">
        <v>46544</v>
      </c>
      <c r="U10904" t="s">
        <v>55863</v>
      </c>
      <c r="W10904" t="s">
        <v>44106</v>
      </c>
      <c r="X10904" t="s">
        <v>44774</v>
      </c>
    </row>
    <row r="10905" spans="1:24">
      <c r="A10905">
        <f>HYPERLINK("https://www.philgeps.gov.ph/GEPSNONPILOT/Tender/SplashBidNoticeAbstractUI.aspx?menuIndex=3&amp;refID=7131043&amp;Result=3","7131043")</f>
        <v>0</v>
      </c>
      <c r="B10905" t="s">
        <v>2717</v>
      </c>
      <c r="C10905" t="s">
        <v>14115</v>
      </c>
      <c r="D10905" t="s">
        <v>17973</v>
      </c>
      <c r="E10905" t="s">
        <v>27463</v>
      </c>
      <c r="F10905" t="s">
        <v>30900</v>
      </c>
      <c r="G10905" t="s">
        <v>30907</v>
      </c>
      <c r="H10905" t="s">
        <v>30915</v>
      </c>
      <c r="I10905" t="s">
        <v>30919</v>
      </c>
      <c r="J10905" t="s">
        <v>31152</v>
      </c>
      <c r="K10905" t="s">
        <v>40280</v>
      </c>
      <c r="M10905" t="s">
        <v>43492</v>
      </c>
      <c r="N10905" t="s">
        <v>44759</v>
      </c>
      <c r="O10905" t="s">
        <v>44760</v>
      </c>
      <c r="P10905">
        <v>0</v>
      </c>
      <c r="Q10905">
        <v>0</v>
      </c>
      <c r="R10905" t="s">
        <v>44773</v>
      </c>
      <c r="S10905" t="s">
        <v>45184</v>
      </c>
      <c r="T10905" t="s">
        <v>46366</v>
      </c>
      <c r="U10905" t="s">
        <v>55791</v>
      </c>
      <c r="W10905" t="s">
        <v>43492</v>
      </c>
      <c r="X10905" t="s">
        <v>44774</v>
      </c>
    </row>
    <row r="10906" spans="1:24">
      <c r="A10906">
        <f>HYPERLINK("https://www.philgeps.gov.ph/GEPSNONPILOT/Tender/SplashBidNoticeAbstractUI.aspx?menuIndex=3&amp;refID=7131145&amp;Result=3","7131145")</f>
        <v>0</v>
      </c>
      <c r="B10906" t="s">
        <v>2541</v>
      </c>
      <c r="C10906" t="s">
        <v>14116</v>
      </c>
      <c r="D10906" t="s">
        <v>18014</v>
      </c>
      <c r="E10906" t="s">
        <v>27464</v>
      </c>
      <c r="F10906" t="s">
        <v>30900</v>
      </c>
      <c r="G10906" t="s">
        <v>30907</v>
      </c>
      <c r="H10906" t="s">
        <v>30916</v>
      </c>
      <c r="I10906" t="s">
        <v>30933</v>
      </c>
      <c r="J10906" t="s">
        <v>31069</v>
      </c>
      <c r="K10906" t="s">
        <v>40280</v>
      </c>
      <c r="M10906" t="s">
        <v>43297</v>
      </c>
      <c r="N10906" t="s">
        <v>44759</v>
      </c>
      <c r="O10906" t="s">
        <v>44760</v>
      </c>
      <c r="P10906">
        <v>0</v>
      </c>
      <c r="Q10906">
        <v>5</v>
      </c>
      <c r="R10906" t="s">
        <v>44773</v>
      </c>
      <c r="S10906" t="s">
        <v>45184</v>
      </c>
      <c r="T10906" t="s">
        <v>46709</v>
      </c>
      <c r="U10906" t="s">
        <v>55933</v>
      </c>
      <c r="W10906" t="s">
        <v>43297</v>
      </c>
      <c r="X10906" t="s">
        <v>44774</v>
      </c>
    </row>
    <row r="10907" spans="1:24">
      <c r="A10907">
        <f>HYPERLINK("https://www.philgeps.gov.ph/GEPSNONPILOT/Tender/SplashBidNoticeAbstractUI.aspx?menuIndex=3&amp;refID=7130812&amp;Result=3","7130812")</f>
        <v>0</v>
      </c>
      <c r="B10907" t="s">
        <v>3216</v>
      </c>
      <c r="C10907" t="s">
        <v>14117</v>
      </c>
      <c r="D10907" t="s">
        <v>17957</v>
      </c>
      <c r="E10907" t="s">
        <v>27465</v>
      </c>
      <c r="F10907" t="s">
        <v>30900</v>
      </c>
      <c r="G10907" t="s">
        <v>30907</v>
      </c>
      <c r="H10907" t="s">
        <v>30915</v>
      </c>
      <c r="I10907" t="s">
        <v>30919</v>
      </c>
      <c r="J10907" t="s">
        <v>31391</v>
      </c>
      <c r="K10907" t="s">
        <v>40466</v>
      </c>
      <c r="M10907" t="s">
        <v>44055</v>
      </c>
      <c r="N10907" t="s">
        <v>44759</v>
      </c>
      <c r="O10907" t="s">
        <v>44760</v>
      </c>
      <c r="P10907">
        <v>0</v>
      </c>
      <c r="Q10907">
        <v>0</v>
      </c>
      <c r="R10907" t="s">
        <v>44773</v>
      </c>
      <c r="S10907" t="s">
        <v>45184</v>
      </c>
      <c r="T10907" t="s">
        <v>46767</v>
      </c>
      <c r="U10907" t="s">
        <v>55934</v>
      </c>
      <c r="W10907" t="s">
        <v>44055</v>
      </c>
      <c r="X10907" t="s">
        <v>44774</v>
      </c>
    </row>
    <row r="10908" spans="1:24">
      <c r="A10908">
        <f>HYPERLINK("https://www.philgeps.gov.ph/GEPSNONPILOT/Tender/SplashBidNoticeAbstractUI.aspx?menuIndex=3&amp;refID=7130784&amp;Result=3","7130784")</f>
        <v>0</v>
      </c>
      <c r="B10908" t="s">
        <v>3273</v>
      </c>
      <c r="C10908" t="s">
        <v>14118</v>
      </c>
      <c r="D10908" t="s">
        <v>18020</v>
      </c>
      <c r="E10908" t="s">
        <v>27466</v>
      </c>
      <c r="F10908" t="s">
        <v>30900</v>
      </c>
      <c r="G10908" t="s">
        <v>30907</v>
      </c>
      <c r="H10908" t="s">
        <v>30915</v>
      </c>
      <c r="I10908" t="s">
        <v>30919</v>
      </c>
      <c r="J10908" t="s">
        <v>37821</v>
      </c>
      <c r="K10908" t="s">
        <v>40292</v>
      </c>
      <c r="M10908" t="s">
        <v>44121</v>
      </c>
      <c r="N10908" t="s">
        <v>44759</v>
      </c>
      <c r="O10908" t="s">
        <v>44760</v>
      </c>
      <c r="Q10908">
        <v>15</v>
      </c>
      <c r="R10908" t="s">
        <v>44773</v>
      </c>
      <c r="S10908" t="s">
        <v>45248</v>
      </c>
      <c r="T10908" t="s">
        <v>46418</v>
      </c>
      <c r="U10908" t="s">
        <v>55935</v>
      </c>
      <c r="V10908" t="s">
        <v>60336</v>
      </c>
      <c r="W10908" t="s">
        <v>44121</v>
      </c>
      <c r="X10908" t="s">
        <v>44774</v>
      </c>
    </row>
    <row r="10909" spans="1:24">
      <c r="A10909">
        <f>HYPERLINK("https://www.philgeps.gov.ph/GEPSNONPILOT/Tender/SplashBidNoticeAbstractUI.aspx?menuIndex=3&amp;refID=7130782&amp;Result=3","7130782")</f>
        <v>0</v>
      </c>
      <c r="B10909" t="s">
        <v>2494</v>
      </c>
      <c r="C10909" t="s">
        <v>14119</v>
      </c>
      <c r="D10909" t="s">
        <v>17971</v>
      </c>
      <c r="E10909" t="s">
        <v>20215</v>
      </c>
      <c r="F10909" t="s">
        <v>30900</v>
      </c>
      <c r="G10909" t="s">
        <v>30907</v>
      </c>
      <c r="H10909" t="s">
        <v>30915</v>
      </c>
      <c r="I10909" t="s">
        <v>30919</v>
      </c>
      <c r="J10909" t="s">
        <v>37822</v>
      </c>
      <c r="K10909" t="s">
        <v>40292</v>
      </c>
      <c r="M10909" t="s">
        <v>43236</v>
      </c>
      <c r="N10909" t="s">
        <v>44759</v>
      </c>
      <c r="O10909" t="s">
        <v>44760</v>
      </c>
      <c r="P10909">
        <v>0</v>
      </c>
      <c r="Q10909">
        <v>9</v>
      </c>
      <c r="R10909" t="s">
        <v>44773</v>
      </c>
      <c r="S10909" t="s">
        <v>45184</v>
      </c>
      <c r="T10909" t="s">
        <v>46409</v>
      </c>
      <c r="U10909" t="s">
        <v>55936</v>
      </c>
      <c r="V10909" t="s">
        <v>60184</v>
      </c>
      <c r="W10909" t="s">
        <v>43236</v>
      </c>
      <c r="X10909" t="s">
        <v>44774</v>
      </c>
    </row>
    <row r="10910" spans="1:24">
      <c r="A10910">
        <f>HYPERLINK("https://www.philgeps.gov.ph/GEPSNONPILOT/Tender/SplashBidNoticeAbstractUI.aspx?menuIndex=3&amp;refID=7132302&amp;Result=3","7132302")</f>
        <v>0</v>
      </c>
      <c r="B10910" t="s">
        <v>3274</v>
      </c>
      <c r="C10910" t="s">
        <v>14120</v>
      </c>
      <c r="D10910" t="s">
        <v>17973</v>
      </c>
      <c r="E10910" t="s">
        <v>27467</v>
      </c>
      <c r="F10910" t="s">
        <v>30900</v>
      </c>
      <c r="G10910" t="s">
        <v>30907</v>
      </c>
      <c r="H10910" t="s">
        <v>30915</v>
      </c>
      <c r="I10910" t="s">
        <v>30919</v>
      </c>
      <c r="J10910" t="s">
        <v>37823</v>
      </c>
      <c r="K10910" t="s">
        <v>40293</v>
      </c>
      <c r="M10910" t="s">
        <v>44122</v>
      </c>
      <c r="N10910" t="s">
        <v>44759</v>
      </c>
      <c r="O10910" t="s">
        <v>44760</v>
      </c>
      <c r="P10910">
        <v>0</v>
      </c>
      <c r="Q10910">
        <v>0</v>
      </c>
      <c r="R10910" t="s">
        <v>44773</v>
      </c>
      <c r="S10910" t="s">
        <v>45184</v>
      </c>
      <c r="T10910" t="s">
        <v>46352</v>
      </c>
      <c r="U10910" t="s">
        <v>55937</v>
      </c>
      <c r="W10910" t="s">
        <v>44122</v>
      </c>
      <c r="X10910" t="s">
        <v>44774</v>
      </c>
    </row>
    <row r="10911" spans="1:24">
      <c r="A10911">
        <f>HYPERLINK("https://www.philgeps.gov.ph/GEPSNONPILOT/Tender/SplashBidNoticeAbstractUI.aspx?menuIndex=3&amp;refID=7130813&amp;Result=3","7130813")</f>
        <v>0</v>
      </c>
      <c r="B10911" t="s">
        <v>3275</v>
      </c>
      <c r="C10911" t="s">
        <v>14121</v>
      </c>
      <c r="D10911" t="s">
        <v>17959</v>
      </c>
      <c r="E10911" t="s">
        <v>27468</v>
      </c>
      <c r="F10911" t="s">
        <v>30900</v>
      </c>
      <c r="G10911" t="s">
        <v>30907</v>
      </c>
      <c r="H10911" t="s">
        <v>30916</v>
      </c>
      <c r="I10911" t="s">
        <v>30924</v>
      </c>
      <c r="J10911" t="s">
        <v>31391</v>
      </c>
      <c r="K10911" t="s">
        <v>40292</v>
      </c>
      <c r="M10911" t="s">
        <v>44123</v>
      </c>
      <c r="N10911" t="s">
        <v>44759</v>
      </c>
      <c r="O10911" t="s">
        <v>44760</v>
      </c>
      <c r="P10911">
        <v>0</v>
      </c>
      <c r="Q10911">
        <v>25</v>
      </c>
      <c r="R10911" t="s">
        <v>44773</v>
      </c>
      <c r="S10911" t="s">
        <v>45184</v>
      </c>
      <c r="T10911" t="s">
        <v>46835</v>
      </c>
      <c r="U10911" t="s">
        <v>55938</v>
      </c>
      <c r="W10911" t="s">
        <v>44123</v>
      </c>
      <c r="X10911" t="s">
        <v>44774</v>
      </c>
    </row>
    <row r="10912" spans="1:24">
      <c r="A10912">
        <f>HYPERLINK("https://www.philgeps.gov.ph/GEPSNONPILOT/Tender/SplashBidNoticeAbstractUI.aspx?menuIndex=3&amp;refID=7130766&amp;Result=3","7130766")</f>
        <v>0</v>
      </c>
      <c r="B10912" t="s">
        <v>147</v>
      </c>
      <c r="C10912" t="s">
        <v>14122</v>
      </c>
      <c r="D10912" t="s">
        <v>17970</v>
      </c>
      <c r="E10912" t="s">
        <v>27469</v>
      </c>
      <c r="F10912" t="s">
        <v>30900</v>
      </c>
      <c r="G10912" t="s">
        <v>30907</v>
      </c>
      <c r="H10912" t="s">
        <v>30916</v>
      </c>
      <c r="I10912" t="s">
        <v>4545</v>
      </c>
      <c r="J10912" t="s">
        <v>37824</v>
      </c>
      <c r="K10912" t="s">
        <v>40280</v>
      </c>
      <c r="M10912" t="s">
        <v>40694</v>
      </c>
      <c r="N10912" t="s">
        <v>44759</v>
      </c>
      <c r="O10912" t="s">
        <v>44760</v>
      </c>
      <c r="P10912">
        <v>0</v>
      </c>
      <c r="Q10912">
        <v>12</v>
      </c>
      <c r="R10912" t="s">
        <v>44773</v>
      </c>
      <c r="S10912" t="s">
        <v>45184</v>
      </c>
      <c r="T10912" t="s">
        <v>46544</v>
      </c>
      <c r="U10912" t="s">
        <v>55939</v>
      </c>
      <c r="W10912" t="s">
        <v>40694</v>
      </c>
      <c r="X10912" t="s">
        <v>44774</v>
      </c>
    </row>
    <row r="10913" spans="1:24">
      <c r="A10913">
        <f>HYPERLINK("https://www.philgeps.gov.ph/GEPSNONPILOT/Tender/SplashBidNoticeAbstractUI.aspx?menuIndex=3&amp;refID=7130761&amp;Result=3","7130761")</f>
        <v>0</v>
      </c>
      <c r="B10913" t="s">
        <v>3216</v>
      </c>
      <c r="C10913" t="s">
        <v>14123</v>
      </c>
      <c r="D10913" t="s">
        <v>17957</v>
      </c>
      <c r="E10913" t="s">
        <v>27470</v>
      </c>
      <c r="F10913" t="s">
        <v>30900</v>
      </c>
      <c r="G10913" t="s">
        <v>30907</v>
      </c>
      <c r="H10913" t="s">
        <v>30916</v>
      </c>
      <c r="I10913" t="s">
        <v>30919</v>
      </c>
      <c r="J10913" t="s">
        <v>31391</v>
      </c>
      <c r="K10913" t="s">
        <v>40447</v>
      </c>
      <c r="M10913" t="s">
        <v>44055</v>
      </c>
      <c r="N10913" t="s">
        <v>44759</v>
      </c>
      <c r="O10913" t="s">
        <v>44760</v>
      </c>
      <c r="P10913">
        <v>0</v>
      </c>
      <c r="Q10913">
        <v>0</v>
      </c>
      <c r="R10913" t="s">
        <v>44773</v>
      </c>
      <c r="S10913" t="s">
        <v>45184</v>
      </c>
      <c r="T10913" t="s">
        <v>46519</v>
      </c>
      <c r="U10913" t="s">
        <v>55940</v>
      </c>
      <c r="W10913" t="s">
        <v>44055</v>
      </c>
      <c r="X10913" t="s">
        <v>44774</v>
      </c>
    </row>
    <row r="10914" spans="1:24">
      <c r="A10914">
        <f>HYPERLINK("https://www.philgeps.gov.ph/GEPSNONPILOT/Tender/SplashBidNoticeAbstractUI.aspx?menuIndex=3&amp;refID=7130597&amp;Result=3","7130597")</f>
        <v>0</v>
      </c>
      <c r="B10914" t="s">
        <v>2164</v>
      </c>
      <c r="C10914" t="s">
        <v>14124</v>
      </c>
      <c r="D10914" t="s">
        <v>17974</v>
      </c>
      <c r="E10914" t="s">
        <v>27471</v>
      </c>
      <c r="F10914" t="s">
        <v>30900</v>
      </c>
      <c r="G10914" t="s">
        <v>30907</v>
      </c>
      <c r="H10914" t="s">
        <v>30916</v>
      </c>
      <c r="I10914" t="s">
        <v>4545</v>
      </c>
      <c r="J10914" t="s">
        <v>37825</v>
      </c>
      <c r="K10914" t="s">
        <v>40286</v>
      </c>
      <c r="M10914" t="s">
        <v>42869</v>
      </c>
      <c r="N10914" t="s">
        <v>44759</v>
      </c>
      <c r="O10914" t="s">
        <v>44760</v>
      </c>
      <c r="P10914">
        <v>0</v>
      </c>
      <c r="Q10914">
        <v>5</v>
      </c>
      <c r="R10914" t="s">
        <v>44773</v>
      </c>
      <c r="S10914" t="s">
        <v>45184</v>
      </c>
      <c r="T10914" t="s">
        <v>46544</v>
      </c>
      <c r="U10914" t="s">
        <v>55941</v>
      </c>
      <c r="W10914" t="s">
        <v>42869</v>
      </c>
      <c r="X10914" t="s">
        <v>44774</v>
      </c>
    </row>
    <row r="10915" spans="1:24">
      <c r="A10915">
        <f>HYPERLINK("https://www.philgeps.gov.ph/GEPSNONPILOT/Tender/SplashBidNoticeAbstractUI.aspx?menuIndex=3&amp;refID=7130568&amp;Result=3","7130568")</f>
        <v>0</v>
      </c>
      <c r="B10915" t="s">
        <v>1534</v>
      </c>
      <c r="C10915" t="s">
        <v>14125</v>
      </c>
      <c r="D10915" t="s">
        <v>18004</v>
      </c>
      <c r="E10915" t="s">
        <v>27472</v>
      </c>
      <c r="F10915" t="s">
        <v>30900</v>
      </c>
      <c r="G10915" t="s">
        <v>30907</v>
      </c>
      <c r="H10915" t="s">
        <v>30916</v>
      </c>
      <c r="I10915" t="s">
        <v>6953</v>
      </c>
      <c r="J10915" t="s">
        <v>31094</v>
      </c>
      <c r="K10915" t="s">
        <v>40287</v>
      </c>
      <c r="M10915" t="s">
        <v>42177</v>
      </c>
      <c r="N10915" t="s">
        <v>44759</v>
      </c>
      <c r="O10915" t="s">
        <v>44760</v>
      </c>
      <c r="P10915">
        <v>0</v>
      </c>
      <c r="Q10915">
        <v>0</v>
      </c>
      <c r="R10915" t="s">
        <v>44773</v>
      </c>
      <c r="S10915" t="s">
        <v>45184</v>
      </c>
      <c r="T10915" t="s">
        <v>46808</v>
      </c>
      <c r="U10915" t="s">
        <v>55942</v>
      </c>
      <c r="W10915" t="s">
        <v>42177</v>
      </c>
      <c r="X10915" t="s">
        <v>44774</v>
      </c>
    </row>
    <row r="10916" spans="1:24">
      <c r="A10916">
        <f>HYPERLINK("https://www.philgeps.gov.ph/GEPSNONPILOT/Tender/SplashBidNoticeAbstractUI.aspx?menuIndex=3&amp;refID=7130562&amp;Result=3","7130562")</f>
        <v>0</v>
      </c>
      <c r="B10916" t="s">
        <v>2462</v>
      </c>
      <c r="C10916" t="s">
        <v>14126</v>
      </c>
      <c r="D10916" t="s">
        <v>17964</v>
      </c>
      <c r="E10916" t="s">
        <v>27473</v>
      </c>
      <c r="F10916" t="s">
        <v>30900</v>
      </c>
      <c r="G10916" t="s">
        <v>30907</v>
      </c>
      <c r="H10916" t="s">
        <v>30916</v>
      </c>
      <c r="I10916" t="s">
        <v>9385</v>
      </c>
      <c r="J10916" t="s">
        <v>37826</v>
      </c>
      <c r="K10916" t="s">
        <v>40293</v>
      </c>
      <c r="M10916" t="s">
        <v>43199</v>
      </c>
      <c r="N10916" t="s">
        <v>44759</v>
      </c>
      <c r="O10916" t="s">
        <v>44760</v>
      </c>
      <c r="P10916">
        <v>0</v>
      </c>
      <c r="Q10916">
        <v>7</v>
      </c>
      <c r="R10916" t="s">
        <v>44773</v>
      </c>
      <c r="S10916" t="s">
        <v>45184</v>
      </c>
      <c r="T10916" t="s">
        <v>46411</v>
      </c>
      <c r="U10916" t="s">
        <v>55943</v>
      </c>
      <c r="W10916" t="s">
        <v>43199</v>
      </c>
      <c r="X10916" t="s">
        <v>44774</v>
      </c>
    </row>
    <row r="10917" spans="1:24">
      <c r="A10917">
        <f>HYPERLINK("https://www.philgeps.gov.ph/GEPSNONPILOT/Tender/SplashBidNoticeAbstractUI.aspx?menuIndex=3&amp;refID=7130558&amp;Result=3","7130558")</f>
        <v>0</v>
      </c>
      <c r="B10917" t="s">
        <v>2197</v>
      </c>
      <c r="C10917" t="s">
        <v>14127</v>
      </c>
      <c r="D10917" t="s">
        <v>17972</v>
      </c>
      <c r="E10917" t="s">
        <v>27474</v>
      </c>
      <c r="F10917" t="s">
        <v>30900</v>
      </c>
      <c r="G10917" t="s">
        <v>30907</v>
      </c>
      <c r="H10917" t="s">
        <v>30916</v>
      </c>
      <c r="I10917" t="s">
        <v>30927</v>
      </c>
      <c r="J10917" t="s">
        <v>37827</v>
      </c>
      <c r="K10917" t="s">
        <v>40280</v>
      </c>
      <c r="M10917" t="s">
        <v>42904</v>
      </c>
      <c r="N10917" t="s">
        <v>44759</v>
      </c>
      <c r="O10917" t="s">
        <v>44760</v>
      </c>
      <c r="P10917">
        <v>0</v>
      </c>
      <c r="Q10917">
        <v>0</v>
      </c>
      <c r="R10917" t="s">
        <v>44773</v>
      </c>
      <c r="S10917" t="s">
        <v>45184</v>
      </c>
      <c r="T10917" t="s">
        <v>46771</v>
      </c>
      <c r="U10917" t="s">
        <v>55944</v>
      </c>
      <c r="W10917" t="s">
        <v>42904</v>
      </c>
      <c r="X10917" t="s">
        <v>44774</v>
      </c>
    </row>
    <row r="10918" spans="1:24">
      <c r="A10918">
        <f>HYPERLINK("https://www.philgeps.gov.ph/GEPSNONPILOT/Tender/SplashBidNoticeAbstractUI.aspx?menuIndex=3&amp;refID=7130544&amp;Result=3","7130544")</f>
        <v>0</v>
      </c>
      <c r="B10918" t="s">
        <v>535</v>
      </c>
      <c r="C10918" t="s">
        <v>14128</v>
      </c>
      <c r="D10918" t="s">
        <v>17959</v>
      </c>
      <c r="E10918" t="s">
        <v>27475</v>
      </c>
      <c r="F10918" t="s">
        <v>30900</v>
      </c>
      <c r="G10918" t="s">
        <v>30907</v>
      </c>
      <c r="H10918" t="s">
        <v>30915</v>
      </c>
      <c r="I10918" t="s">
        <v>30919</v>
      </c>
      <c r="J10918" t="s">
        <v>37828</v>
      </c>
      <c r="K10918" t="s">
        <v>40301</v>
      </c>
      <c r="M10918" t="s">
        <v>41095</v>
      </c>
      <c r="N10918" t="s">
        <v>44759</v>
      </c>
      <c r="O10918" t="s">
        <v>44760</v>
      </c>
      <c r="P10918">
        <v>0</v>
      </c>
      <c r="Q10918">
        <v>13</v>
      </c>
      <c r="R10918" t="s">
        <v>44773</v>
      </c>
      <c r="S10918" t="s">
        <v>45184</v>
      </c>
      <c r="T10918" t="s">
        <v>46409</v>
      </c>
      <c r="U10918" t="s">
        <v>55945</v>
      </c>
      <c r="W10918" t="s">
        <v>60830</v>
      </c>
      <c r="X10918" t="s">
        <v>44774</v>
      </c>
    </row>
    <row r="10919" spans="1:24">
      <c r="A10919">
        <f>HYPERLINK("https://www.philgeps.gov.ph/GEPSNONPILOT/Tender/SplashBidNoticeAbstractUI.aspx?menuIndex=3&amp;refID=7130769&amp;Result=3","7130769")</f>
        <v>0</v>
      </c>
      <c r="B10919" t="s">
        <v>3273</v>
      </c>
      <c r="C10919" t="s">
        <v>14129</v>
      </c>
      <c r="D10919" t="s">
        <v>18020</v>
      </c>
      <c r="E10919" t="s">
        <v>27466</v>
      </c>
      <c r="F10919" t="s">
        <v>30900</v>
      </c>
      <c r="G10919" t="s">
        <v>30907</v>
      </c>
      <c r="H10919" t="s">
        <v>30915</v>
      </c>
      <c r="I10919" t="s">
        <v>30919</v>
      </c>
      <c r="J10919" t="s">
        <v>37829</v>
      </c>
      <c r="K10919" t="s">
        <v>40342</v>
      </c>
      <c r="M10919" t="s">
        <v>44121</v>
      </c>
      <c r="N10919" t="s">
        <v>44759</v>
      </c>
      <c r="O10919" t="s">
        <v>44760</v>
      </c>
      <c r="Q10919">
        <v>16</v>
      </c>
      <c r="R10919" t="s">
        <v>44773</v>
      </c>
      <c r="S10919" t="s">
        <v>44934</v>
      </c>
      <c r="T10919" t="s">
        <v>46418</v>
      </c>
      <c r="U10919" t="s">
        <v>55946</v>
      </c>
      <c r="V10919" t="s">
        <v>60337</v>
      </c>
      <c r="W10919" t="s">
        <v>44121</v>
      </c>
      <c r="X10919" t="s">
        <v>44774</v>
      </c>
    </row>
    <row r="10920" spans="1:24">
      <c r="A10920">
        <f>HYPERLINK("https://www.philgeps.gov.ph/GEPSNONPILOT/Tender/SplashBidNoticeAbstractUI.aspx?menuIndex=3&amp;refID=7130414&amp;Result=3","7130414")</f>
        <v>0</v>
      </c>
      <c r="B10920" t="s">
        <v>3227</v>
      </c>
      <c r="C10920" t="s">
        <v>14130</v>
      </c>
      <c r="D10920" t="s">
        <v>17965</v>
      </c>
      <c r="E10920" t="s">
        <v>27476</v>
      </c>
      <c r="F10920" t="s">
        <v>30900</v>
      </c>
      <c r="G10920" t="s">
        <v>30907</v>
      </c>
      <c r="H10920" t="s">
        <v>30915</v>
      </c>
      <c r="I10920" t="s">
        <v>30919</v>
      </c>
      <c r="J10920" t="s">
        <v>32049</v>
      </c>
      <c r="K10920" t="s">
        <v>40404</v>
      </c>
      <c r="M10920" t="s">
        <v>44066</v>
      </c>
      <c r="N10920" t="s">
        <v>44759</v>
      </c>
      <c r="O10920" t="s">
        <v>44760</v>
      </c>
      <c r="P10920">
        <v>0</v>
      </c>
      <c r="Q10920">
        <v>0</v>
      </c>
      <c r="R10920" t="s">
        <v>44773</v>
      </c>
      <c r="S10920" t="s">
        <v>45184</v>
      </c>
      <c r="T10920" t="s">
        <v>46406</v>
      </c>
      <c r="U10920" t="s">
        <v>55720</v>
      </c>
      <c r="V10920" t="s">
        <v>60338</v>
      </c>
      <c r="W10920" t="s">
        <v>44066</v>
      </c>
      <c r="X10920" t="s">
        <v>44774</v>
      </c>
    </row>
    <row r="10921" spans="1:24">
      <c r="A10921">
        <f>HYPERLINK("https://www.philgeps.gov.ph/GEPSNONPILOT/Tender/SplashBidNoticeAbstractUI.aspx?menuIndex=3&amp;refID=7130402&amp;Result=3","7130402")</f>
        <v>0</v>
      </c>
      <c r="B10921" t="s">
        <v>1724</v>
      </c>
      <c r="C10921" t="s">
        <v>14131</v>
      </c>
      <c r="D10921" t="s">
        <v>18016</v>
      </c>
      <c r="E10921" t="s">
        <v>27477</v>
      </c>
      <c r="F10921" t="s">
        <v>30900</v>
      </c>
      <c r="G10921" t="s">
        <v>30907</v>
      </c>
      <c r="H10921" t="s">
        <v>30916</v>
      </c>
      <c r="I10921" t="s">
        <v>30923</v>
      </c>
      <c r="J10921" t="s">
        <v>37830</v>
      </c>
      <c r="K10921" t="s">
        <v>40284</v>
      </c>
      <c r="M10921" t="s">
        <v>42697</v>
      </c>
      <c r="N10921" t="s">
        <v>44759</v>
      </c>
      <c r="O10921" t="s">
        <v>44760</v>
      </c>
      <c r="P10921">
        <v>0</v>
      </c>
      <c r="Q10921">
        <v>17</v>
      </c>
      <c r="R10921" t="s">
        <v>44773</v>
      </c>
      <c r="S10921" t="s">
        <v>45184</v>
      </c>
      <c r="T10921" t="s">
        <v>46495</v>
      </c>
      <c r="U10921" t="s">
        <v>51585</v>
      </c>
      <c r="V10921" t="s">
        <v>59709</v>
      </c>
      <c r="W10921" t="s">
        <v>60878</v>
      </c>
      <c r="X10921" t="s">
        <v>44774</v>
      </c>
    </row>
    <row r="10922" spans="1:24">
      <c r="A10922">
        <f>HYPERLINK("https://www.philgeps.gov.ph/GEPSNONPILOT/Tender/SplashBidNoticeAbstractUI.aspx?menuIndex=3&amp;refID=7130399&amp;Result=3","7130399")</f>
        <v>0</v>
      </c>
      <c r="B10922" t="s">
        <v>2744</v>
      </c>
      <c r="C10922" t="s">
        <v>14132</v>
      </c>
      <c r="D10922" t="s">
        <v>17952</v>
      </c>
      <c r="E10922" t="s">
        <v>27478</v>
      </c>
      <c r="F10922" t="s">
        <v>30900</v>
      </c>
      <c r="G10922" t="s">
        <v>30907</v>
      </c>
      <c r="H10922" t="s">
        <v>30916</v>
      </c>
      <c r="I10922" t="s">
        <v>30918</v>
      </c>
      <c r="J10922" t="s">
        <v>37831</v>
      </c>
      <c r="K10922" t="s">
        <v>40283</v>
      </c>
      <c r="M10922" t="s">
        <v>43520</v>
      </c>
      <c r="N10922" t="s">
        <v>44759</v>
      </c>
      <c r="O10922" t="s">
        <v>44760</v>
      </c>
      <c r="P10922">
        <v>0</v>
      </c>
      <c r="Q10922">
        <v>6</v>
      </c>
      <c r="R10922" t="s">
        <v>44773</v>
      </c>
      <c r="S10922" t="s">
        <v>45184</v>
      </c>
      <c r="T10922" t="s">
        <v>46413</v>
      </c>
      <c r="U10922" t="s">
        <v>53912</v>
      </c>
      <c r="W10922" t="s">
        <v>43520</v>
      </c>
      <c r="X10922" t="s">
        <v>44774</v>
      </c>
    </row>
    <row r="10923" spans="1:24">
      <c r="A10923">
        <f>HYPERLINK("https://www.philgeps.gov.ph/GEPSNONPILOT/Tender/SplashBidNoticeAbstractUI.aspx?menuIndex=3&amp;refID=7130390&amp;Result=3","7130390")</f>
        <v>0</v>
      </c>
      <c r="B10923" t="s">
        <v>1724</v>
      </c>
      <c r="C10923" t="s">
        <v>14133</v>
      </c>
      <c r="D10923" t="s">
        <v>18016</v>
      </c>
      <c r="E10923" t="s">
        <v>27479</v>
      </c>
      <c r="F10923" t="s">
        <v>30900</v>
      </c>
      <c r="G10923" t="s">
        <v>30907</v>
      </c>
      <c r="H10923" t="s">
        <v>30916</v>
      </c>
      <c r="I10923" t="s">
        <v>4017</v>
      </c>
      <c r="J10923" t="s">
        <v>37832</v>
      </c>
      <c r="K10923" t="s">
        <v>40284</v>
      </c>
      <c r="M10923" t="s">
        <v>42697</v>
      </c>
      <c r="N10923" t="s">
        <v>44759</v>
      </c>
      <c r="O10923" t="s">
        <v>44760</v>
      </c>
      <c r="P10923">
        <v>0</v>
      </c>
      <c r="Q10923">
        <v>4</v>
      </c>
      <c r="R10923" t="s">
        <v>44773</v>
      </c>
      <c r="S10923" t="s">
        <v>45184</v>
      </c>
      <c r="T10923" t="s">
        <v>46495</v>
      </c>
      <c r="U10923" t="s">
        <v>51585</v>
      </c>
      <c r="V10923" t="s">
        <v>59709</v>
      </c>
      <c r="W10923" t="s">
        <v>60878</v>
      </c>
      <c r="X10923" t="s">
        <v>44774</v>
      </c>
    </row>
    <row r="10924" spans="1:24">
      <c r="A10924">
        <f>HYPERLINK("https://www.philgeps.gov.ph/GEPSNONPILOT/Tender/SplashBidNoticeAbstractUI.aspx?menuIndex=3&amp;refID=7132487&amp;Result=3","7132487")</f>
        <v>0</v>
      </c>
      <c r="B10924" t="s">
        <v>3276</v>
      </c>
      <c r="C10924" t="s">
        <v>14134</v>
      </c>
      <c r="E10924" t="s">
        <v>27480</v>
      </c>
      <c r="F10924" t="s">
        <v>30900</v>
      </c>
      <c r="G10924" t="s">
        <v>30907</v>
      </c>
      <c r="H10924" t="s">
        <v>30916</v>
      </c>
      <c r="I10924" t="s">
        <v>4061</v>
      </c>
      <c r="J10924" t="s">
        <v>37833</v>
      </c>
      <c r="K10924" t="s">
        <v>40289</v>
      </c>
      <c r="M10924" t="s">
        <v>44124</v>
      </c>
      <c r="N10924" t="s">
        <v>44759</v>
      </c>
      <c r="O10924" t="s">
        <v>44760</v>
      </c>
      <c r="Q10924">
        <v>2</v>
      </c>
      <c r="R10924" t="s">
        <v>44773</v>
      </c>
      <c r="S10924" t="s">
        <v>45249</v>
      </c>
      <c r="T10924" t="s">
        <v>46606</v>
      </c>
      <c r="U10924" t="s">
        <v>55947</v>
      </c>
      <c r="W10924" t="s">
        <v>44124</v>
      </c>
      <c r="X10924" t="s">
        <v>44774</v>
      </c>
    </row>
    <row r="10925" spans="1:24">
      <c r="A10925">
        <f>HYPERLINK("https://www.philgeps.gov.ph/GEPSNONPILOT/Tender/SplashBidNoticeAbstractUI.aspx?menuIndex=3&amp;refID=7130786&amp;Result=3","7130786")</f>
        <v>0</v>
      </c>
      <c r="B10925" t="s">
        <v>3277</v>
      </c>
      <c r="C10925" t="s">
        <v>14135</v>
      </c>
      <c r="D10925" t="s">
        <v>17995</v>
      </c>
      <c r="E10925" t="s">
        <v>19262</v>
      </c>
      <c r="F10925" t="s">
        <v>30899</v>
      </c>
      <c r="G10925" t="s">
        <v>30907</v>
      </c>
      <c r="H10925" t="s">
        <v>30916</v>
      </c>
      <c r="I10925" t="s">
        <v>8123</v>
      </c>
      <c r="J10925" t="s">
        <v>37834</v>
      </c>
      <c r="K10925" t="s">
        <v>40304</v>
      </c>
      <c r="M10925" t="s">
        <v>44125</v>
      </c>
      <c r="N10925" t="s">
        <v>44759</v>
      </c>
      <c r="O10925" t="s">
        <v>44760</v>
      </c>
      <c r="P10925">
        <v>0</v>
      </c>
      <c r="Q10925">
        <v>0</v>
      </c>
      <c r="R10925" t="s">
        <v>44773</v>
      </c>
      <c r="S10925" t="s">
        <v>45184</v>
      </c>
      <c r="T10925" t="s">
        <v>46421</v>
      </c>
      <c r="U10925" t="s">
        <v>55948</v>
      </c>
      <c r="W10925" t="s">
        <v>44125</v>
      </c>
      <c r="X10925" t="s">
        <v>44774</v>
      </c>
    </row>
    <row r="10926" spans="1:24">
      <c r="A10926">
        <f>HYPERLINK("https://www.philgeps.gov.ph/GEPSNONPILOT/Tender/SplashBidNoticeAbstractUI.aspx?menuIndex=3&amp;refID=7132476&amp;Result=3","7132476")</f>
        <v>0</v>
      </c>
      <c r="B10926" t="s">
        <v>3276</v>
      </c>
      <c r="C10926" t="s">
        <v>14136</v>
      </c>
      <c r="E10926" t="s">
        <v>27481</v>
      </c>
      <c r="F10926" t="s">
        <v>30900</v>
      </c>
      <c r="G10926" t="s">
        <v>30907</v>
      </c>
      <c r="H10926" t="s">
        <v>30916</v>
      </c>
      <c r="I10926" t="s">
        <v>30949</v>
      </c>
      <c r="J10926" t="s">
        <v>37202</v>
      </c>
      <c r="K10926" t="s">
        <v>40289</v>
      </c>
      <c r="M10926" t="s">
        <v>44124</v>
      </c>
      <c r="N10926" t="s">
        <v>44759</v>
      </c>
      <c r="O10926" t="s">
        <v>44760</v>
      </c>
      <c r="Q10926">
        <v>7</v>
      </c>
      <c r="R10926" t="s">
        <v>44773</v>
      </c>
      <c r="S10926" t="s">
        <v>45250</v>
      </c>
      <c r="T10926" t="s">
        <v>46606</v>
      </c>
      <c r="U10926" t="s">
        <v>55949</v>
      </c>
      <c r="W10926" t="s">
        <v>44124</v>
      </c>
      <c r="X10926" t="s">
        <v>44774</v>
      </c>
    </row>
    <row r="10927" spans="1:24">
      <c r="A10927">
        <f>HYPERLINK("https://www.philgeps.gov.ph/GEPSNONPILOT/Tender/SplashBidNoticeAbstractUI.aspx?menuIndex=3&amp;refID=7132467&amp;Result=3","7132467")</f>
        <v>0</v>
      </c>
      <c r="B10927" t="s">
        <v>3276</v>
      </c>
      <c r="C10927" t="s">
        <v>14137</v>
      </c>
      <c r="E10927" t="s">
        <v>27482</v>
      </c>
      <c r="F10927" t="s">
        <v>30900</v>
      </c>
      <c r="G10927" t="s">
        <v>30907</v>
      </c>
      <c r="H10927" t="s">
        <v>30916</v>
      </c>
      <c r="I10927" t="s">
        <v>30947</v>
      </c>
      <c r="J10927" t="s">
        <v>37835</v>
      </c>
      <c r="K10927" t="s">
        <v>40289</v>
      </c>
      <c r="M10927" t="s">
        <v>44124</v>
      </c>
      <c r="N10927" t="s">
        <v>44759</v>
      </c>
      <c r="O10927" t="s">
        <v>44760</v>
      </c>
      <c r="Q10927">
        <v>3</v>
      </c>
      <c r="R10927" t="s">
        <v>44773</v>
      </c>
      <c r="S10927" t="s">
        <v>45251</v>
      </c>
      <c r="T10927" t="s">
        <v>46606</v>
      </c>
      <c r="U10927" t="s">
        <v>55950</v>
      </c>
      <c r="W10927" t="s">
        <v>44124</v>
      </c>
      <c r="X10927" t="s">
        <v>44774</v>
      </c>
    </row>
    <row r="10928" spans="1:24">
      <c r="A10928">
        <f>HYPERLINK("https://www.philgeps.gov.ph/GEPSNONPILOT/Tender/SplashBidNoticeAbstractUI.aspx?menuIndex=3&amp;refID=7130580&amp;Result=3","7130580")</f>
        <v>0</v>
      </c>
      <c r="B10928" t="s">
        <v>3240</v>
      </c>
      <c r="C10928" t="s">
        <v>14138</v>
      </c>
      <c r="D10928" t="s">
        <v>17993</v>
      </c>
      <c r="E10928" t="s">
        <v>24635</v>
      </c>
      <c r="F10928" t="s">
        <v>30900</v>
      </c>
      <c r="G10928" t="s">
        <v>30907</v>
      </c>
      <c r="H10928" t="s">
        <v>30915</v>
      </c>
      <c r="I10928" t="s">
        <v>30919</v>
      </c>
      <c r="J10928" t="s">
        <v>37836</v>
      </c>
      <c r="K10928" t="s">
        <v>40299</v>
      </c>
      <c r="M10928" t="s">
        <v>44083</v>
      </c>
      <c r="N10928" t="s">
        <v>44759</v>
      </c>
      <c r="O10928" t="s">
        <v>44760</v>
      </c>
      <c r="P10928">
        <v>0</v>
      </c>
      <c r="Q10928">
        <v>3</v>
      </c>
      <c r="R10928" t="s">
        <v>44773</v>
      </c>
      <c r="S10928" t="s">
        <v>45184</v>
      </c>
      <c r="T10928" t="s">
        <v>46410</v>
      </c>
      <c r="U10928" t="s">
        <v>55951</v>
      </c>
      <c r="V10928" t="s">
        <v>60309</v>
      </c>
      <c r="W10928" t="s">
        <v>60924</v>
      </c>
      <c r="X10928" t="s">
        <v>44774</v>
      </c>
    </row>
    <row r="10929" spans="1:24">
      <c r="A10929">
        <f>HYPERLINK("https://www.philgeps.gov.ph/GEPSNONPILOT/Tender/SplashBidNoticeAbstractUI.aspx?menuIndex=3&amp;refID=7130387&amp;Result=3","7130387")</f>
        <v>0</v>
      </c>
      <c r="B10929" t="s">
        <v>3235</v>
      </c>
      <c r="C10929" t="s">
        <v>14139</v>
      </c>
      <c r="D10929" t="s">
        <v>17978</v>
      </c>
      <c r="E10929" t="s">
        <v>27483</v>
      </c>
      <c r="F10929" t="s">
        <v>30900</v>
      </c>
      <c r="G10929" t="s">
        <v>30907</v>
      </c>
      <c r="H10929" t="s">
        <v>30915</v>
      </c>
      <c r="I10929" t="s">
        <v>30919</v>
      </c>
      <c r="J10929" t="s">
        <v>31101</v>
      </c>
      <c r="K10929" t="s">
        <v>40286</v>
      </c>
      <c r="M10929" t="s">
        <v>44077</v>
      </c>
      <c r="N10929" t="s">
        <v>44759</v>
      </c>
      <c r="O10929" t="s">
        <v>44760</v>
      </c>
      <c r="P10929">
        <v>0</v>
      </c>
      <c r="Q10929">
        <v>2</v>
      </c>
      <c r="R10929" t="s">
        <v>44773</v>
      </c>
      <c r="S10929" t="s">
        <v>45184</v>
      </c>
      <c r="T10929" t="s">
        <v>46366</v>
      </c>
      <c r="U10929" t="s">
        <v>55952</v>
      </c>
      <c r="V10929" t="s">
        <v>59692</v>
      </c>
      <c r="W10929" t="s">
        <v>44077</v>
      </c>
      <c r="X10929" t="s">
        <v>44774</v>
      </c>
    </row>
    <row r="10930" spans="1:24">
      <c r="A10930">
        <f>HYPERLINK("https://www.philgeps.gov.ph/GEPSNONPILOT/Tender/SplashBidNoticeAbstractUI.aspx?menuIndex=3&amp;refID=7132461&amp;Result=3","7132461")</f>
        <v>0</v>
      </c>
      <c r="B10930" t="s">
        <v>3278</v>
      </c>
      <c r="C10930" t="s">
        <v>14140</v>
      </c>
      <c r="D10930" t="s">
        <v>18020</v>
      </c>
      <c r="E10930" t="s">
        <v>22011</v>
      </c>
      <c r="F10930" t="s">
        <v>30900</v>
      </c>
      <c r="G10930" t="s">
        <v>30907</v>
      </c>
      <c r="H10930" t="s">
        <v>30916</v>
      </c>
      <c r="I10930" t="s">
        <v>4545</v>
      </c>
      <c r="J10930" t="s">
        <v>37837</v>
      </c>
      <c r="K10930" t="s">
        <v>40286</v>
      </c>
      <c r="M10930" t="s">
        <v>44126</v>
      </c>
      <c r="N10930" t="s">
        <v>44759</v>
      </c>
      <c r="O10930" t="s">
        <v>44760</v>
      </c>
      <c r="P10930">
        <v>0</v>
      </c>
      <c r="Q10930">
        <v>5</v>
      </c>
      <c r="R10930" t="s">
        <v>44773</v>
      </c>
      <c r="S10930" t="s">
        <v>45184</v>
      </c>
      <c r="T10930" t="s">
        <v>46393</v>
      </c>
      <c r="U10930" t="s">
        <v>55953</v>
      </c>
      <c r="W10930" t="s">
        <v>44126</v>
      </c>
      <c r="X10930" t="s">
        <v>44774</v>
      </c>
    </row>
    <row r="10931" spans="1:24">
      <c r="A10931">
        <f>HYPERLINK("https://www.philgeps.gov.ph/GEPSNONPILOT/Tender/SplashBidNoticeAbstractUI.aspx?menuIndex=3&amp;refID=7132452&amp;Result=3","7132452")</f>
        <v>0</v>
      </c>
      <c r="B10931" t="s">
        <v>918</v>
      </c>
      <c r="C10931" t="s">
        <v>14141</v>
      </c>
      <c r="D10931" t="s">
        <v>17959</v>
      </c>
      <c r="E10931" t="s">
        <v>27484</v>
      </c>
      <c r="F10931" t="s">
        <v>30900</v>
      </c>
      <c r="G10931" t="s">
        <v>30907</v>
      </c>
      <c r="H10931" t="s">
        <v>30916</v>
      </c>
      <c r="I10931" t="s">
        <v>5830</v>
      </c>
      <c r="J10931" t="s">
        <v>33175</v>
      </c>
      <c r="K10931" t="s">
        <v>40286</v>
      </c>
      <c r="M10931" t="s">
        <v>41507</v>
      </c>
      <c r="N10931" t="s">
        <v>44759</v>
      </c>
      <c r="O10931" t="s">
        <v>44760</v>
      </c>
      <c r="P10931">
        <v>0</v>
      </c>
      <c r="Q10931">
        <v>33</v>
      </c>
      <c r="R10931" t="s">
        <v>44773</v>
      </c>
      <c r="S10931" t="s">
        <v>45184</v>
      </c>
      <c r="T10931" t="s">
        <v>46712</v>
      </c>
      <c r="U10931" t="s">
        <v>55954</v>
      </c>
      <c r="W10931" t="s">
        <v>41507</v>
      </c>
      <c r="X10931" t="s">
        <v>44774</v>
      </c>
    </row>
    <row r="10932" spans="1:24">
      <c r="A10932">
        <f>HYPERLINK("https://www.philgeps.gov.ph/GEPSNONPILOT/Tender/SplashBidNoticeAbstractUI.aspx?menuIndex=3&amp;refID=7132451&amp;Result=3","7132451")</f>
        <v>0</v>
      </c>
      <c r="B10932" t="s">
        <v>3276</v>
      </c>
      <c r="C10932" t="s">
        <v>14142</v>
      </c>
      <c r="E10932" t="s">
        <v>27485</v>
      </c>
      <c r="F10932" t="s">
        <v>30900</v>
      </c>
      <c r="G10932" t="s">
        <v>30907</v>
      </c>
      <c r="H10932" t="s">
        <v>30916</v>
      </c>
      <c r="I10932" t="s">
        <v>30947</v>
      </c>
      <c r="J10932" t="s">
        <v>37838</v>
      </c>
      <c r="K10932" t="s">
        <v>40289</v>
      </c>
      <c r="M10932" t="s">
        <v>44124</v>
      </c>
      <c r="N10932" t="s">
        <v>44759</v>
      </c>
      <c r="O10932" t="s">
        <v>44760</v>
      </c>
      <c r="Q10932">
        <v>2</v>
      </c>
      <c r="R10932" t="s">
        <v>44773</v>
      </c>
      <c r="S10932" t="s">
        <v>45252</v>
      </c>
      <c r="T10932" t="s">
        <v>46606</v>
      </c>
      <c r="U10932" t="s">
        <v>55955</v>
      </c>
      <c r="W10932" t="s">
        <v>44124</v>
      </c>
      <c r="X10932" t="s">
        <v>44774</v>
      </c>
    </row>
    <row r="10933" spans="1:24">
      <c r="A10933">
        <f>HYPERLINK("https://www.philgeps.gov.ph/GEPSNONPILOT/Tender/SplashBidNoticeAbstractUI.aspx?menuIndex=3&amp;refID=7132447&amp;Result=3","7132447")</f>
        <v>0</v>
      </c>
      <c r="B10933" t="s">
        <v>3279</v>
      </c>
      <c r="C10933" t="s">
        <v>10068</v>
      </c>
      <c r="D10933" t="s">
        <v>17981</v>
      </c>
      <c r="E10933" t="s">
        <v>23900</v>
      </c>
      <c r="F10933" t="s">
        <v>30900</v>
      </c>
      <c r="G10933" t="s">
        <v>30907</v>
      </c>
      <c r="H10933" t="s">
        <v>30915</v>
      </c>
      <c r="I10933" t="s">
        <v>30919</v>
      </c>
      <c r="J10933" t="s">
        <v>37839</v>
      </c>
      <c r="K10933" t="s">
        <v>40280</v>
      </c>
      <c r="M10933" t="s">
        <v>44127</v>
      </c>
      <c r="N10933" t="s">
        <v>44759</v>
      </c>
      <c r="O10933" t="s">
        <v>44760</v>
      </c>
      <c r="P10933">
        <v>0</v>
      </c>
      <c r="Q10933">
        <v>13</v>
      </c>
      <c r="R10933" t="s">
        <v>44773</v>
      </c>
      <c r="S10933" t="s">
        <v>45184</v>
      </c>
      <c r="T10933" t="s">
        <v>46396</v>
      </c>
      <c r="U10933" t="s">
        <v>52509</v>
      </c>
      <c r="W10933" t="s">
        <v>44127</v>
      </c>
      <c r="X10933" t="s">
        <v>44774</v>
      </c>
    </row>
    <row r="10934" spans="1:24">
      <c r="A10934">
        <f>HYPERLINK("https://www.philgeps.gov.ph/GEPSNONPILOT/Tender/SplashBidNoticeAbstractUI.aspx?menuIndex=3&amp;refID=7132425&amp;Result=3","7132425")</f>
        <v>0</v>
      </c>
      <c r="B10934" t="s">
        <v>3254</v>
      </c>
      <c r="C10934" t="s">
        <v>14143</v>
      </c>
      <c r="D10934" t="s">
        <v>17963</v>
      </c>
      <c r="E10934" t="s">
        <v>27486</v>
      </c>
      <c r="F10934" t="s">
        <v>30900</v>
      </c>
      <c r="G10934" t="s">
        <v>30908</v>
      </c>
      <c r="H10934" t="s">
        <v>30916</v>
      </c>
      <c r="I10934" t="s">
        <v>30935</v>
      </c>
      <c r="J10934" t="s">
        <v>37840</v>
      </c>
      <c r="K10934" t="s">
        <v>40291</v>
      </c>
      <c r="L10934" t="s">
        <v>3254</v>
      </c>
      <c r="M10934" t="s">
        <v>44099</v>
      </c>
      <c r="N10934" t="s">
        <v>44759</v>
      </c>
      <c r="O10934" t="s">
        <v>44760</v>
      </c>
      <c r="P10934">
        <v>0</v>
      </c>
      <c r="Q10934">
        <v>6</v>
      </c>
      <c r="R10934" t="s">
        <v>44773</v>
      </c>
      <c r="S10934" t="s">
        <v>45184</v>
      </c>
      <c r="T10934" t="s">
        <v>46352</v>
      </c>
      <c r="U10934" t="s">
        <v>55956</v>
      </c>
      <c r="W10934" t="s">
        <v>44099</v>
      </c>
      <c r="X10934" t="s">
        <v>44774</v>
      </c>
    </row>
    <row r="10935" spans="1:24">
      <c r="A10935">
        <f>HYPERLINK("https://www.philgeps.gov.ph/GEPSNONPILOT/Tender/SplashBidNoticeAbstractUI.aspx?menuIndex=3&amp;refID=7132418&amp;Result=3","7132418")</f>
        <v>0</v>
      </c>
      <c r="B10935" t="s">
        <v>628</v>
      </c>
      <c r="C10935" t="s">
        <v>14144</v>
      </c>
      <c r="D10935" t="s">
        <v>17961</v>
      </c>
      <c r="E10935" t="s">
        <v>27487</v>
      </c>
      <c r="F10935" t="s">
        <v>30900</v>
      </c>
      <c r="G10935" t="s">
        <v>30913</v>
      </c>
      <c r="H10935" t="s">
        <v>30915</v>
      </c>
      <c r="I10935" t="s">
        <v>30919</v>
      </c>
      <c r="J10935" t="s">
        <v>31701</v>
      </c>
      <c r="K10935" t="s">
        <v>40299</v>
      </c>
      <c r="M10935" t="s">
        <v>41190</v>
      </c>
      <c r="N10935" t="s">
        <v>44759</v>
      </c>
      <c r="O10935" t="s">
        <v>44760</v>
      </c>
      <c r="P10935">
        <v>0</v>
      </c>
      <c r="Q10935">
        <v>6</v>
      </c>
      <c r="R10935" t="s">
        <v>44773</v>
      </c>
      <c r="S10935" t="s">
        <v>45184</v>
      </c>
      <c r="T10935" t="s">
        <v>46653</v>
      </c>
      <c r="U10935" t="s">
        <v>55957</v>
      </c>
      <c r="V10935" t="s">
        <v>59929</v>
      </c>
      <c r="W10935" t="s">
        <v>43298</v>
      </c>
      <c r="X10935" t="s">
        <v>44774</v>
      </c>
    </row>
    <row r="10936" spans="1:24">
      <c r="A10936">
        <f>HYPERLINK("https://www.philgeps.gov.ph/GEPSNONPILOT/Tender/SplashBidNoticeAbstractUI.aspx?menuIndex=3&amp;refID=7131138&amp;Result=3","7131138")</f>
        <v>0</v>
      </c>
      <c r="B10936" t="s">
        <v>1977</v>
      </c>
      <c r="C10936" t="s">
        <v>14145</v>
      </c>
      <c r="D10936" t="s">
        <v>17976</v>
      </c>
      <c r="E10936" t="s">
        <v>27488</v>
      </c>
      <c r="F10936" t="s">
        <v>30900</v>
      </c>
      <c r="G10936" t="s">
        <v>30907</v>
      </c>
      <c r="H10936" t="s">
        <v>30915</v>
      </c>
      <c r="I10936" t="s">
        <v>30919</v>
      </c>
      <c r="J10936" t="s">
        <v>37841</v>
      </c>
      <c r="K10936" t="s">
        <v>40468</v>
      </c>
      <c r="M10936" t="s">
        <v>42666</v>
      </c>
      <c r="N10936" t="s">
        <v>44759</v>
      </c>
      <c r="O10936" t="s">
        <v>44760</v>
      </c>
      <c r="Q10936">
        <v>2</v>
      </c>
      <c r="R10936" t="s">
        <v>44773</v>
      </c>
      <c r="S10936" t="s">
        <v>45253</v>
      </c>
      <c r="T10936" t="s">
        <v>46544</v>
      </c>
      <c r="U10936" t="s">
        <v>55958</v>
      </c>
      <c r="V10936" t="s">
        <v>60313</v>
      </c>
      <c r="W10936" t="s">
        <v>42666</v>
      </c>
      <c r="X10936" t="s">
        <v>44774</v>
      </c>
    </row>
    <row r="10937" spans="1:24">
      <c r="A10937">
        <f>HYPERLINK("https://www.philgeps.gov.ph/GEPSNONPILOT/Tender/SplashBidNoticeAbstractUI.aspx?menuIndex=3&amp;refID=7132409&amp;Result=3","7132409")</f>
        <v>0</v>
      </c>
      <c r="B10937" t="s">
        <v>918</v>
      </c>
      <c r="C10937" t="s">
        <v>14146</v>
      </c>
      <c r="D10937" t="s">
        <v>17959</v>
      </c>
      <c r="E10937" t="s">
        <v>27489</v>
      </c>
      <c r="F10937" t="s">
        <v>30900</v>
      </c>
      <c r="G10937" t="s">
        <v>30907</v>
      </c>
      <c r="H10937" t="s">
        <v>30916</v>
      </c>
      <c r="I10937" t="s">
        <v>30924</v>
      </c>
      <c r="J10937" t="s">
        <v>32808</v>
      </c>
      <c r="K10937" t="s">
        <v>40286</v>
      </c>
      <c r="M10937" t="s">
        <v>41497</v>
      </c>
      <c r="N10937" t="s">
        <v>44759</v>
      </c>
      <c r="O10937" t="s">
        <v>44760</v>
      </c>
      <c r="P10937">
        <v>0</v>
      </c>
      <c r="Q10937">
        <v>21</v>
      </c>
      <c r="R10937" t="s">
        <v>44773</v>
      </c>
      <c r="S10937" t="s">
        <v>45184</v>
      </c>
      <c r="T10937" t="s">
        <v>46712</v>
      </c>
      <c r="U10937" t="s">
        <v>55959</v>
      </c>
      <c r="W10937" t="s">
        <v>41497</v>
      </c>
      <c r="X10937" t="s">
        <v>44774</v>
      </c>
    </row>
    <row r="10938" spans="1:24">
      <c r="A10938">
        <f>HYPERLINK("https://www.philgeps.gov.ph/GEPSNONPILOT/Tender/SplashBidNoticeAbstractUI.aspx?menuIndex=3&amp;refID=7132460&amp;Result=3","7132460")</f>
        <v>0</v>
      </c>
      <c r="B10938" t="s">
        <v>3276</v>
      </c>
      <c r="C10938" t="s">
        <v>14147</v>
      </c>
      <c r="E10938" t="s">
        <v>27490</v>
      </c>
      <c r="F10938" t="s">
        <v>30900</v>
      </c>
      <c r="G10938" t="s">
        <v>30907</v>
      </c>
      <c r="H10938" t="s">
        <v>30916</v>
      </c>
      <c r="I10938" t="s">
        <v>30936</v>
      </c>
      <c r="J10938" t="s">
        <v>37842</v>
      </c>
      <c r="K10938" t="s">
        <v>40289</v>
      </c>
      <c r="M10938" t="s">
        <v>44124</v>
      </c>
      <c r="N10938" t="s">
        <v>44759</v>
      </c>
      <c r="O10938" t="s">
        <v>44760</v>
      </c>
      <c r="Q10938">
        <v>4</v>
      </c>
      <c r="R10938" t="s">
        <v>44773</v>
      </c>
      <c r="S10938" t="s">
        <v>45254</v>
      </c>
      <c r="T10938" t="s">
        <v>46606</v>
      </c>
      <c r="U10938" t="s">
        <v>55960</v>
      </c>
      <c r="W10938" t="s">
        <v>44124</v>
      </c>
      <c r="X10938" t="s">
        <v>44774</v>
      </c>
    </row>
    <row r="10939" spans="1:24">
      <c r="A10939">
        <f>HYPERLINK("https://www.philgeps.gov.ph/GEPSNONPILOT/Tender/SplashBidNoticeAbstractUI.aspx?menuIndex=3&amp;refID=7132402&amp;Result=3","7132402")</f>
        <v>0</v>
      </c>
      <c r="B10939" t="s">
        <v>1064</v>
      </c>
      <c r="C10939" t="s">
        <v>14148</v>
      </c>
      <c r="D10939" t="s">
        <v>17963</v>
      </c>
      <c r="E10939" t="s">
        <v>27491</v>
      </c>
      <c r="F10939" t="s">
        <v>30899</v>
      </c>
      <c r="G10939" t="s">
        <v>30907</v>
      </c>
      <c r="H10939" t="s">
        <v>30915</v>
      </c>
      <c r="I10939" t="s">
        <v>8123</v>
      </c>
      <c r="J10939" t="s">
        <v>37843</v>
      </c>
      <c r="K10939" t="s">
        <v>40286</v>
      </c>
      <c r="M10939" t="s">
        <v>41661</v>
      </c>
      <c r="N10939" t="s">
        <v>44759</v>
      </c>
      <c r="O10939" t="s">
        <v>44760</v>
      </c>
      <c r="P10939">
        <v>0</v>
      </c>
      <c r="Q10939">
        <v>0</v>
      </c>
      <c r="R10939" t="s">
        <v>44773</v>
      </c>
      <c r="S10939" t="s">
        <v>45184</v>
      </c>
      <c r="T10939" t="s">
        <v>46725</v>
      </c>
      <c r="U10939" t="s">
        <v>55961</v>
      </c>
      <c r="W10939" t="s">
        <v>41661</v>
      </c>
      <c r="X10939" t="s">
        <v>44774</v>
      </c>
    </row>
    <row r="10940" spans="1:24">
      <c r="A10940">
        <f>HYPERLINK("https://www.philgeps.gov.ph/GEPSNONPILOT/Tender/SplashBidNoticeAbstractUI.aspx?menuIndex=3&amp;refID=7132397&amp;Result=3","7132397")</f>
        <v>0</v>
      </c>
      <c r="B10940" t="s">
        <v>3280</v>
      </c>
      <c r="C10940" t="s">
        <v>14149</v>
      </c>
      <c r="D10940" t="s">
        <v>17985</v>
      </c>
      <c r="E10940" t="s">
        <v>27492</v>
      </c>
      <c r="F10940" t="s">
        <v>30900</v>
      </c>
      <c r="G10940" t="s">
        <v>30908</v>
      </c>
      <c r="H10940" t="s">
        <v>30915</v>
      </c>
      <c r="I10940" t="s">
        <v>30919</v>
      </c>
      <c r="J10940" t="s">
        <v>32666</v>
      </c>
      <c r="K10940" t="s">
        <v>40292</v>
      </c>
      <c r="M10940" t="s">
        <v>44128</v>
      </c>
      <c r="N10940" t="s">
        <v>44759</v>
      </c>
      <c r="O10940" t="s">
        <v>44760</v>
      </c>
      <c r="Q10940">
        <v>2</v>
      </c>
      <c r="R10940" t="s">
        <v>44773</v>
      </c>
      <c r="S10940" t="s">
        <v>45068</v>
      </c>
      <c r="T10940" t="s">
        <v>46383</v>
      </c>
      <c r="U10940" t="s">
        <v>55962</v>
      </c>
      <c r="W10940" t="s">
        <v>44128</v>
      </c>
      <c r="X10940" t="s">
        <v>44774</v>
      </c>
    </row>
    <row r="10941" spans="1:24">
      <c r="A10941">
        <f>HYPERLINK("https://www.philgeps.gov.ph/GEPSNONPILOT/Tender/SplashBidNoticeAbstractUI.aspx?menuIndex=3&amp;refID=7132612&amp;Result=3","7132612")</f>
        <v>0</v>
      </c>
      <c r="B10941" t="s">
        <v>3281</v>
      </c>
      <c r="C10941" t="s">
        <v>14150</v>
      </c>
      <c r="D10941" t="s">
        <v>17991</v>
      </c>
      <c r="E10941" t="s">
        <v>27493</v>
      </c>
      <c r="F10941" t="s">
        <v>30900</v>
      </c>
      <c r="G10941" t="s">
        <v>30907</v>
      </c>
      <c r="H10941" t="s">
        <v>30916</v>
      </c>
      <c r="I10941" t="s">
        <v>4142</v>
      </c>
      <c r="J10941" t="s">
        <v>32680</v>
      </c>
      <c r="K10941" t="s">
        <v>40283</v>
      </c>
      <c r="M10941" t="s">
        <v>44129</v>
      </c>
      <c r="N10941" t="s">
        <v>44759</v>
      </c>
      <c r="O10941" t="s">
        <v>44760</v>
      </c>
      <c r="P10941">
        <v>0</v>
      </c>
      <c r="Q10941">
        <v>0</v>
      </c>
      <c r="R10941" t="s">
        <v>44773</v>
      </c>
      <c r="S10941" t="s">
        <v>45184</v>
      </c>
      <c r="T10941" t="s">
        <v>46352</v>
      </c>
      <c r="U10941" t="s">
        <v>55963</v>
      </c>
      <c r="W10941" t="s">
        <v>44129</v>
      </c>
      <c r="X10941" t="s">
        <v>44774</v>
      </c>
    </row>
    <row r="10942" spans="1:24">
      <c r="A10942">
        <f>HYPERLINK("https://www.philgeps.gov.ph/GEPSNONPILOT/Tender/SplashBidNoticeAbstractUI.aspx?menuIndex=3&amp;refID=7132611&amp;Result=3","7132611")</f>
        <v>0</v>
      </c>
      <c r="B10942" t="s">
        <v>3282</v>
      </c>
      <c r="C10942" t="s">
        <v>14151</v>
      </c>
      <c r="D10942" t="s">
        <v>18035</v>
      </c>
      <c r="E10942" t="s">
        <v>27494</v>
      </c>
      <c r="F10942" t="s">
        <v>30900</v>
      </c>
      <c r="G10942" t="s">
        <v>30907</v>
      </c>
      <c r="H10942" t="s">
        <v>30916</v>
      </c>
      <c r="I10942" t="s">
        <v>6953</v>
      </c>
      <c r="J10942" t="s">
        <v>37844</v>
      </c>
      <c r="K10942" t="s">
        <v>40284</v>
      </c>
      <c r="M10942" t="s">
        <v>44130</v>
      </c>
      <c r="N10942" t="s">
        <v>44759</v>
      </c>
      <c r="O10942" t="s">
        <v>44760</v>
      </c>
      <c r="P10942">
        <v>0</v>
      </c>
      <c r="Q10942">
        <v>1</v>
      </c>
      <c r="R10942" t="s">
        <v>44773</v>
      </c>
      <c r="S10942" t="s">
        <v>45184</v>
      </c>
      <c r="T10942" t="s">
        <v>46445</v>
      </c>
      <c r="U10942" t="s">
        <v>55964</v>
      </c>
      <c r="V10942" t="s">
        <v>60339</v>
      </c>
      <c r="W10942" t="s">
        <v>44130</v>
      </c>
      <c r="X10942" t="s">
        <v>44774</v>
      </c>
    </row>
    <row r="10943" spans="1:24">
      <c r="A10943">
        <f>HYPERLINK("https://www.philgeps.gov.ph/GEPSNONPILOT/Tender/SplashBidNoticeAbstractUI.aspx?menuIndex=3&amp;refID=7132607&amp;Result=3","7132607")</f>
        <v>0</v>
      </c>
      <c r="B10943" t="s">
        <v>3281</v>
      </c>
      <c r="C10943" t="s">
        <v>14152</v>
      </c>
      <c r="D10943" t="s">
        <v>17991</v>
      </c>
      <c r="E10943" t="s">
        <v>27495</v>
      </c>
      <c r="F10943" t="s">
        <v>30900</v>
      </c>
      <c r="G10943" t="s">
        <v>30907</v>
      </c>
      <c r="H10943" t="s">
        <v>30916</v>
      </c>
      <c r="I10943" t="s">
        <v>4142</v>
      </c>
      <c r="J10943" t="s">
        <v>37845</v>
      </c>
      <c r="K10943" t="s">
        <v>40283</v>
      </c>
      <c r="M10943" t="s">
        <v>44129</v>
      </c>
      <c r="N10943" t="s">
        <v>44759</v>
      </c>
      <c r="O10943" t="s">
        <v>44760</v>
      </c>
      <c r="P10943">
        <v>0</v>
      </c>
      <c r="Q10943">
        <v>2</v>
      </c>
      <c r="R10943" t="s">
        <v>44773</v>
      </c>
      <c r="S10943" t="s">
        <v>45184</v>
      </c>
      <c r="T10943" t="s">
        <v>46352</v>
      </c>
      <c r="U10943" t="s">
        <v>55963</v>
      </c>
      <c r="W10943" t="s">
        <v>44129</v>
      </c>
      <c r="X10943" t="s">
        <v>44774</v>
      </c>
    </row>
    <row r="10944" spans="1:24">
      <c r="A10944">
        <f>HYPERLINK("https://www.philgeps.gov.ph/GEPSNONPILOT/Tender/SplashBidNoticeAbstractUI.aspx?menuIndex=3&amp;refID=7132603&amp;Result=3","7132603")</f>
        <v>0</v>
      </c>
      <c r="B10944" t="s">
        <v>3281</v>
      </c>
      <c r="C10944" t="s">
        <v>14153</v>
      </c>
      <c r="D10944" t="s">
        <v>17991</v>
      </c>
      <c r="E10944" t="s">
        <v>27496</v>
      </c>
      <c r="F10944" t="s">
        <v>30900</v>
      </c>
      <c r="G10944" t="s">
        <v>30907</v>
      </c>
      <c r="H10944" t="s">
        <v>30916</v>
      </c>
      <c r="I10944" t="s">
        <v>8123</v>
      </c>
      <c r="J10944" t="s">
        <v>37846</v>
      </c>
      <c r="K10944" t="s">
        <v>40283</v>
      </c>
      <c r="M10944" t="s">
        <v>44129</v>
      </c>
      <c r="N10944" t="s">
        <v>44759</v>
      </c>
      <c r="O10944" t="s">
        <v>44760</v>
      </c>
      <c r="P10944">
        <v>0</v>
      </c>
      <c r="Q10944">
        <v>0</v>
      </c>
      <c r="R10944" t="s">
        <v>44773</v>
      </c>
      <c r="S10944" t="s">
        <v>45184</v>
      </c>
      <c r="T10944" t="s">
        <v>46352</v>
      </c>
      <c r="U10944" t="s">
        <v>55963</v>
      </c>
      <c r="W10944" t="s">
        <v>44129</v>
      </c>
      <c r="X10944" t="s">
        <v>44774</v>
      </c>
    </row>
    <row r="10945" spans="1:24">
      <c r="A10945">
        <f>HYPERLINK("https://www.philgeps.gov.ph/GEPSNONPILOT/Tender/SplashBidNoticeAbstractUI.aspx?menuIndex=3&amp;refID=7132602&amp;Result=3","7132602")</f>
        <v>0</v>
      </c>
      <c r="B10945" t="s">
        <v>3281</v>
      </c>
      <c r="C10945" t="s">
        <v>14154</v>
      </c>
      <c r="D10945" t="s">
        <v>17991</v>
      </c>
      <c r="E10945" t="s">
        <v>27497</v>
      </c>
      <c r="F10945" t="s">
        <v>30900</v>
      </c>
      <c r="G10945" t="s">
        <v>30907</v>
      </c>
      <c r="H10945" t="s">
        <v>30916</v>
      </c>
      <c r="I10945" t="s">
        <v>6953</v>
      </c>
      <c r="J10945" t="s">
        <v>32680</v>
      </c>
      <c r="K10945" t="s">
        <v>40283</v>
      </c>
      <c r="M10945" t="s">
        <v>44129</v>
      </c>
      <c r="N10945" t="s">
        <v>44759</v>
      </c>
      <c r="O10945" t="s">
        <v>44760</v>
      </c>
      <c r="P10945">
        <v>0</v>
      </c>
      <c r="Q10945">
        <v>0</v>
      </c>
      <c r="R10945" t="s">
        <v>44773</v>
      </c>
      <c r="S10945" t="s">
        <v>45184</v>
      </c>
      <c r="T10945" t="s">
        <v>46352</v>
      </c>
      <c r="U10945" t="s">
        <v>55963</v>
      </c>
      <c r="W10945" t="s">
        <v>44129</v>
      </c>
      <c r="X10945" t="s">
        <v>44774</v>
      </c>
    </row>
    <row r="10946" spans="1:24">
      <c r="A10946">
        <f>HYPERLINK("https://www.philgeps.gov.ph/GEPSNONPILOT/Tender/SplashBidNoticeAbstractUI.aspx?menuIndex=3&amp;refID=7132598&amp;Result=3","7132598")</f>
        <v>0</v>
      </c>
      <c r="B10946" t="s">
        <v>3281</v>
      </c>
      <c r="C10946" t="s">
        <v>14155</v>
      </c>
      <c r="D10946" t="s">
        <v>17991</v>
      </c>
      <c r="E10946" t="s">
        <v>27498</v>
      </c>
      <c r="F10946" t="s">
        <v>30900</v>
      </c>
      <c r="G10946" t="s">
        <v>30907</v>
      </c>
      <c r="H10946" t="s">
        <v>30916</v>
      </c>
      <c r="I10946" t="s">
        <v>6396</v>
      </c>
      <c r="J10946" t="s">
        <v>37847</v>
      </c>
      <c r="K10946" t="s">
        <v>40283</v>
      </c>
      <c r="M10946" t="s">
        <v>44129</v>
      </c>
      <c r="N10946" t="s">
        <v>44759</v>
      </c>
      <c r="O10946" t="s">
        <v>44760</v>
      </c>
      <c r="P10946">
        <v>0</v>
      </c>
      <c r="Q10946">
        <v>1</v>
      </c>
      <c r="R10946" t="s">
        <v>44773</v>
      </c>
      <c r="S10946" t="s">
        <v>45184</v>
      </c>
      <c r="T10946" t="s">
        <v>46352</v>
      </c>
      <c r="U10946" t="s">
        <v>55963</v>
      </c>
      <c r="W10946" t="s">
        <v>44129</v>
      </c>
      <c r="X10946" t="s">
        <v>44774</v>
      </c>
    </row>
    <row r="10947" spans="1:24">
      <c r="A10947">
        <f>HYPERLINK("https://www.philgeps.gov.ph/GEPSNONPILOT/Tender/SplashBidNoticeAbstractUI.aspx?menuIndex=3&amp;refID=7132597&amp;Result=3","7132597")</f>
        <v>0</v>
      </c>
      <c r="B10947" t="s">
        <v>3283</v>
      </c>
      <c r="C10947" t="s">
        <v>14156</v>
      </c>
      <c r="D10947" t="s">
        <v>17953</v>
      </c>
      <c r="E10947" t="s">
        <v>27499</v>
      </c>
      <c r="F10947" t="s">
        <v>30904</v>
      </c>
      <c r="G10947" t="s">
        <v>30907</v>
      </c>
      <c r="H10947" t="s">
        <v>30916</v>
      </c>
      <c r="I10947" t="s">
        <v>30932</v>
      </c>
      <c r="J10947" t="s">
        <v>31101</v>
      </c>
      <c r="K10947" t="s">
        <v>40287</v>
      </c>
      <c r="M10947" t="s">
        <v>44131</v>
      </c>
      <c r="N10947" t="s">
        <v>44759</v>
      </c>
      <c r="O10947" t="s">
        <v>44760</v>
      </c>
      <c r="P10947">
        <v>0</v>
      </c>
      <c r="Q10947">
        <v>1</v>
      </c>
      <c r="R10947" t="s">
        <v>44773</v>
      </c>
      <c r="S10947" t="s">
        <v>45184</v>
      </c>
      <c r="T10947" t="s">
        <v>46426</v>
      </c>
      <c r="U10947" t="s">
        <v>55965</v>
      </c>
      <c r="W10947" t="s">
        <v>44131</v>
      </c>
      <c r="X10947" t="s">
        <v>44774</v>
      </c>
    </row>
    <row r="10948" spans="1:24">
      <c r="A10948">
        <f>HYPERLINK("https://www.philgeps.gov.ph/GEPSNONPILOT/Tender/SplashBidNoticeAbstractUI.aspx?menuIndex=3&amp;refID=7132455&amp;Result=3","7132455")</f>
        <v>0</v>
      </c>
      <c r="B10948" t="s">
        <v>3284</v>
      </c>
      <c r="C10948" t="s">
        <v>14157</v>
      </c>
      <c r="D10948" t="s">
        <v>17959</v>
      </c>
      <c r="E10948" t="s">
        <v>27500</v>
      </c>
      <c r="F10948" t="s">
        <v>30900</v>
      </c>
      <c r="G10948" t="s">
        <v>30908</v>
      </c>
      <c r="H10948" t="s">
        <v>7411</v>
      </c>
      <c r="I10948" t="s">
        <v>7411</v>
      </c>
      <c r="J10948" t="s">
        <v>31101</v>
      </c>
      <c r="K10948" t="s">
        <v>40289</v>
      </c>
      <c r="M10948" t="s">
        <v>44132</v>
      </c>
      <c r="N10948" t="s">
        <v>44759</v>
      </c>
      <c r="O10948" t="s">
        <v>44760</v>
      </c>
      <c r="Q10948">
        <v>1</v>
      </c>
      <c r="R10948" t="s">
        <v>44773</v>
      </c>
      <c r="S10948" t="s">
        <v>45255</v>
      </c>
      <c r="T10948" t="s">
        <v>46873</v>
      </c>
      <c r="U10948" t="s">
        <v>55966</v>
      </c>
      <c r="V10948" t="s">
        <v>60340</v>
      </c>
      <c r="W10948" t="s">
        <v>44132</v>
      </c>
      <c r="X10948" t="s">
        <v>44774</v>
      </c>
    </row>
    <row r="10949" spans="1:24">
      <c r="A10949">
        <f>HYPERLINK("https://www.philgeps.gov.ph/GEPSNONPILOT/Tender/SplashBidNoticeAbstractUI.aspx?menuIndex=3&amp;refID=7132593&amp;Result=3","7132593")</f>
        <v>0</v>
      </c>
      <c r="B10949" t="s">
        <v>3281</v>
      </c>
      <c r="C10949" t="s">
        <v>14158</v>
      </c>
      <c r="D10949" t="s">
        <v>17991</v>
      </c>
      <c r="E10949" t="s">
        <v>27501</v>
      </c>
      <c r="F10949" t="s">
        <v>30900</v>
      </c>
      <c r="G10949" t="s">
        <v>30907</v>
      </c>
      <c r="H10949" t="s">
        <v>30916</v>
      </c>
      <c r="I10949" t="s">
        <v>4142</v>
      </c>
      <c r="J10949" t="s">
        <v>37848</v>
      </c>
      <c r="K10949" t="s">
        <v>40283</v>
      </c>
      <c r="M10949" t="s">
        <v>44129</v>
      </c>
      <c r="N10949" t="s">
        <v>44759</v>
      </c>
      <c r="O10949" t="s">
        <v>44760</v>
      </c>
      <c r="P10949">
        <v>0</v>
      </c>
      <c r="Q10949">
        <v>1</v>
      </c>
      <c r="R10949" t="s">
        <v>44773</v>
      </c>
      <c r="S10949" t="s">
        <v>45184</v>
      </c>
      <c r="T10949" t="s">
        <v>46352</v>
      </c>
      <c r="U10949" t="s">
        <v>55963</v>
      </c>
      <c r="W10949" t="s">
        <v>44129</v>
      </c>
      <c r="X10949" t="s">
        <v>44774</v>
      </c>
    </row>
    <row r="10950" spans="1:24">
      <c r="A10950">
        <f>HYPERLINK("https://www.philgeps.gov.ph/GEPSNONPILOT/Tender/SplashBidNoticeAbstractUI.aspx?menuIndex=3&amp;refID=7132462&amp;Result=3","7132462")</f>
        <v>0</v>
      </c>
      <c r="B10950" t="s">
        <v>918</v>
      </c>
      <c r="C10950" t="s">
        <v>14159</v>
      </c>
      <c r="D10950" t="s">
        <v>17959</v>
      </c>
      <c r="E10950" t="s">
        <v>27502</v>
      </c>
      <c r="F10950" t="s">
        <v>30900</v>
      </c>
      <c r="G10950" t="s">
        <v>30907</v>
      </c>
      <c r="H10950" t="s">
        <v>30916</v>
      </c>
      <c r="I10950" t="s">
        <v>4545</v>
      </c>
      <c r="J10950" t="s">
        <v>37849</v>
      </c>
      <c r="K10950" t="s">
        <v>40286</v>
      </c>
      <c r="M10950" t="s">
        <v>41650</v>
      </c>
      <c r="N10950" t="s">
        <v>44759</v>
      </c>
      <c r="O10950" t="s">
        <v>44760</v>
      </c>
      <c r="P10950">
        <v>0</v>
      </c>
      <c r="Q10950">
        <v>15</v>
      </c>
      <c r="R10950" t="s">
        <v>44773</v>
      </c>
      <c r="S10950" t="s">
        <v>45184</v>
      </c>
      <c r="T10950" t="s">
        <v>46712</v>
      </c>
      <c r="U10950" t="s">
        <v>55967</v>
      </c>
      <c r="W10950" t="s">
        <v>41650</v>
      </c>
      <c r="X10950" t="s">
        <v>44774</v>
      </c>
    </row>
    <row r="10951" spans="1:24">
      <c r="A10951">
        <f>HYPERLINK("https://www.philgeps.gov.ph/GEPSNONPILOT/Tender/SplashBidNoticeAbstractUI.aspx?menuIndex=3&amp;refID=7132532&amp;Result=3","7132532")</f>
        <v>0</v>
      </c>
      <c r="B10951" t="s">
        <v>3285</v>
      </c>
      <c r="C10951" t="s">
        <v>5458</v>
      </c>
      <c r="D10951" t="s">
        <v>17972</v>
      </c>
      <c r="E10951" t="s">
        <v>18282</v>
      </c>
      <c r="F10951" t="s">
        <v>30900</v>
      </c>
      <c r="G10951" t="s">
        <v>30907</v>
      </c>
      <c r="H10951" t="s">
        <v>30916</v>
      </c>
      <c r="I10951" t="s">
        <v>8123</v>
      </c>
      <c r="J10951" t="s">
        <v>37850</v>
      </c>
      <c r="K10951" t="s">
        <v>40287</v>
      </c>
      <c r="M10951" t="s">
        <v>44133</v>
      </c>
      <c r="N10951" t="s">
        <v>44759</v>
      </c>
      <c r="O10951" t="s">
        <v>44760</v>
      </c>
      <c r="P10951">
        <v>0</v>
      </c>
      <c r="Q10951">
        <v>1</v>
      </c>
      <c r="R10951" t="s">
        <v>44773</v>
      </c>
      <c r="S10951" t="s">
        <v>45184</v>
      </c>
      <c r="T10951" t="s">
        <v>46403</v>
      </c>
      <c r="U10951" t="s">
        <v>55968</v>
      </c>
      <c r="W10951" t="s">
        <v>44133</v>
      </c>
      <c r="X10951" t="s">
        <v>44774</v>
      </c>
    </row>
    <row r="10952" spans="1:24">
      <c r="A10952">
        <f>HYPERLINK("https://www.philgeps.gov.ph/GEPSNONPILOT/Tender/SplashBidNoticeAbstractUI.aspx?menuIndex=3&amp;refID=7132586&amp;Result=3","7132586")</f>
        <v>0</v>
      </c>
      <c r="B10952" t="s">
        <v>3281</v>
      </c>
      <c r="C10952" t="s">
        <v>14160</v>
      </c>
      <c r="D10952" t="s">
        <v>17991</v>
      </c>
      <c r="E10952" t="s">
        <v>27503</v>
      </c>
      <c r="F10952" t="s">
        <v>30900</v>
      </c>
      <c r="G10952" t="s">
        <v>30907</v>
      </c>
      <c r="H10952" t="s">
        <v>30916</v>
      </c>
      <c r="I10952" t="s">
        <v>6396</v>
      </c>
      <c r="J10952" t="s">
        <v>37851</v>
      </c>
      <c r="K10952" t="s">
        <v>40283</v>
      </c>
      <c r="M10952" t="s">
        <v>44129</v>
      </c>
      <c r="N10952" t="s">
        <v>44759</v>
      </c>
      <c r="O10952" t="s">
        <v>44760</v>
      </c>
      <c r="P10952">
        <v>0</v>
      </c>
      <c r="Q10952">
        <v>0</v>
      </c>
      <c r="R10952" t="s">
        <v>44773</v>
      </c>
      <c r="S10952" t="s">
        <v>45184</v>
      </c>
      <c r="T10952" t="s">
        <v>46352</v>
      </c>
      <c r="U10952" t="s">
        <v>55963</v>
      </c>
      <c r="W10952" t="s">
        <v>44129</v>
      </c>
      <c r="X10952" t="s">
        <v>44774</v>
      </c>
    </row>
    <row r="10953" spans="1:24">
      <c r="A10953">
        <f>HYPERLINK("https://www.philgeps.gov.ph/GEPSNONPILOT/Tender/SplashBidNoticeAbstractUI.aspx?menuIndex=3&amp;refID=7132581&amp;Result=3","7132581")</f>
        <v>0</v>
      </c>
      <c r="B10953" t="s">
        <v>997</v>
      </c>
      <c r="C10953" t="s">
        <v>14161</v>
      </c>
      <c r="D10953" t="s">
        <v>17959</v>
      </c>
      <c r="E10953" t="s">
        <v>27504</v>
      </c>
      <c r="F10953" t="s">
        <v>30900</v>
      </c>
      <c r="G10953" t="s">
        <v>30907</v>
      </c>
      <c r="H10953" t="s">
        <v>30916</v>
      </c>
      <c r="I10953" t="s">
        <v>30934</v>
      </c>
      <c r="J10953" t="s">
        <v>37852</v>
      </c>
      <c r="K10953" t="s">
        <v>40304</v>
      </c>
      <c r="M10953" t="s">
        <v>44134</v>
      </c>
      <c r="N10953" t="s">
        <v>44759</v>
      </c>
      <c r="O10953" t="s">
        <v>44760</v>
      </c>
      <c r="Q10953">
        <v>15</v>
      </c>
      <c r="R10953" t="s">
        <v>44773</v>
      </c>
      <c r="S10953" t="s">
        <v>45256</v>
      </c>
      <c r="T10953" t="s">
        <v>46427</v>
      </c>
      <c r="U10953" t="s">
        <v>55969</v>
      </c>
      <c r="W10953" t="s">
        <v>44134</v>
      </c>
      <c r="X10953" t="s">
        <v>44774</v>
      </c>
    </row>
    <row r="10954" spans="1:24">
      <c r="A10954">
        <f>HYPERLINK("https://www.philgeps.gov.ph/GEPSNONPILOT/Tender/SplashBidNoticeAbstractUI.aspx?menuIndex=3&amp;refID=7132521&amp;Result=3","7132521")</f>
        <v>0</v>
      </c>
      <c r="B10954" t="s">
        <v>3282</v>
      </c>
      <c r="C10954" t="s">
        <v>14162</v>
      </c>
      <c r="D10954" t="s">
        <v>18035</v>
      </c>
      <c r="E10954" t="s">
        <v>27505</v>
      </c>
      <c r="F10954" t="s">
        <v>30900</v>
      </c>
      <c r="G10954" t="s">
        <v>30907</v>
      </c>
      <c r="H10954" t="s">
        <v>30916</v>
      </c>
      <c r="I10954" t="s">
        <v>6953</v>
      </c>
      <c r="J10954" t="s">
        <v>37853</v>
      </c>
      <c r="K10954" t="s">
        <v>40284</v>
      </c>
      <c r="M10954" t="s">
        <v>44130</v>
      </c>
      <c r="N10954" t="s">
        <v>44759</v>
      </c>
      <c r="O10954" t="s">
        <v>44760</v>
      </c>
      <c r="P10954">
        <v>0</v>
      </c>
      <c r="Q10954">
        <v>1</v>
      </c>
      <c r="R10954" t="s">
        <v>44773</v>
      </c>
      <c r="S10954" t="s">
        <v>45184</v>
      </c>
      <c r="T10954" t="s">
        <v>46445</v>
      </c>
      <c r="U10954" t="s">
        <v>55964</v>
      </c>
      <c r="V10954" t="s">
        <v>60339</v>
      </c>
      <c r="W10954" t="s">
        <v>44130</v>
      </c>
      <c r="X10954" t="s">
        <v>44774</v>
      </c>
    </row>
    <row r="10955" spans="1:24">
      <c r="A10955">
        <f>HYPERLINK("https://www.philgeps.gov.ph/GEPSNONPILOT/Tender/SplashBidNoticeAbstractUI.aspx?menuIndex=3&amp;refID=7132522&amp;Result=3","7132522")</f>
        <v>0</v>
      </c>
      <c r="B10955" t="s">
        <v>106</v>
      </c>
      <c r="C10955" t="s">
        <v>14163</v>
      </c>
      <c r="D10955" t="s">
        <v>17961</v>
      </c>
      <c r="E10955" t="s">
        <v>27506</v>
      </c>
      <c r="F10955" t="s">
        <v>30900</v>
      </c>
      <c r="G10955" t="s">
        <v>30907</v>
      </c>
      <c r="H10955" t="s">
        <v>30915</v>
      </c>
      <c r="I10955" t="s">
        <v>30919</v>
      </c>
      <c r="J10955" t="s">
        <v>37854</v>
      </c>
      <c r="K10955" t="s">
        <v>40289</v>
      </c>
      <c r="M10955" t="s">
        <v>40653</v>
      </c>
      <c r="N10955" t="s">
        <v>44759</v>
      </c>
      <c r="O10955" t="s">
        <v>44760</v>
      </c>
      <c r="Q10955">
        <v>0</v>
      </c>
      <c r="R10955" t="s">
        <v>44773</v>
      </c>
      <c r="S10955" t="s">
        <v>45257</v>
      </c>
      <c r="T10955" t="s">
        <v>46361</v>
      </c>
      <c r="U10955" t="s">
        <v>55970</v>
      </c>
      <c r="V10955" t="s">
        <v>59168</v>
      </c>
      <c r="W10955" t="s">
        <v>40653</v>
      </c>
      <c r="X10955" t="s">
        <v>44774</v>
      </c>
    </row>
    <row r="10956" spans="1:24">
      <c r="A10956">
        <f>HYPERLINK("https://www.philgeps.gov.ph/GEPSNONPILOT/Tender/SplashBidNoticeAbstractUI.aspx?menuIndex=3&amp;refID=7132513&amp;Result=3","7132513")</f>
        <v>0</v>
      </c>
      <c r="B10956" t="s">
        <v>3282</v>
      </c>
      <c r="C10956" t="s">
        <v>14164</v>
      </c>
      <c r="D10956" t="s">
        <v>18035</v>
      </c>
      <c r="E10956" t="s">
        <v>27507</v>
      </c>
      <c r="F10956" t="s">
        <v>30900</v>
      </c>
      <c r="G10956" t="s">
        <v>30907</v>
      </c>
      <c r="H10956" t="s">
        <v>30916</v>
      </c>
      <c r="I10956" t="s">
        <v>6953</v>
      </c>
      <c r="J10956" t="s">
        <v>37855</v>
      </c>
      <c r="K10956" t="s">
        <v>40284</v>
      </c>
      <c r="M10956" t="s">
        <v>44130</v>
      </c>
      <c r="N10956" t="s">
        <v>44759</v>
      </c>
      <c r="O10956" t="s">
        <v>44760</v>
      </c>
      <c r="P10956">
        <v>0</v>
      </c>
      <c r="Q10956">
        <v>1</v>
      </c>
      <c r="R10956" t="s">
        <v>44773</v>
      </c>
      <c r="S10956" t="s">
        <v>45184</v>
      </c>
      <c r="T10956" t="s">
        <v>46445</v>
      </c>
      <c r="U10956" t="s">
        <v>55971</v>
      </c>
      <c r="V10956" t="s">
        <v>60339</v>
      </c>
      <c r="W10956" t="s">
        <v>44130</v>
      </c>
      <c r="X10956" t="s">
        <v>44774</v>
      </c>
    </row>
    <row r="10957" spans="1:24">
      <c r="A10957">
        <f>HYPERLINK("https://www.philgeps.gov.ph/GEPSNONPILOT/Tender/SplashBidNoticeAbstractUI.aspx?menuIndex=3&amp;refID=7132468&amp;Result=3","7132468")</f>
        <v>0</v>
      </c>
      <c r="B10957" t="s">
        <v>918</v>
      </c>
      <c r="C10957" t="s">
        <v>14165</v>
      </c>
      <c r="D10957" t="s">
        <v>17959</v>
      </c>
      <c r="E10957" t="s">
        <v>27508</v>
      </c>
      <c r="F10957" t="s">
        <v>30900</v>
      </c>
      <c r="G10957" t="s">
        <v>30907</v>
      </c>
      <c r="H10957" t="s">
        <v>30916</v>
      </c>
      <c r="I10957" t="s">
        <v>30924</v>
      </c>
      <c r="J10957" t="s">
        <v>37856</v>
      </c>
      <c r="K10957" t="s">
        <v>40332</v>
      </c>
      <c r="M10957" t="s">
        <v>41612</v>
      </c>
      <c r="N10957" t="s">
        <v>44759</v>
      </c>
      <c r="O10957" t="s">
        <v>44760</v>
      </c>
      <c r="P10957">
        <v>0</v>
      </c>
      <c r="Q10957">
        <v>30</v>
      </c>
      <c r="R10957" t="s">
        <v>44773</v>
      </c>
      <c r="S10957" t="s">
        <v>45184</v>
      </c>
      <c r="T10957" t="s">
        <v>46712</v>
      </c>
      <c r="U10957" t="s">
        <v>55972</v>
      </c>
      <c r="W10957" t="s">
        <v>41612</v>
      </c>
      <c r="X10957" t="s">
        <v>44774</v>
      </c>
    </row>
    <row r="10958" spans="1:24">
      <c r="A10958">
        <f>HYPERLINK("https://www.philgeps.gov.ph/GEPSNONPILOT/Tender/SplashBidNoticeAbstractUI.aspx?menuIndex=3&amp;refID=7132540&amp;Result=3","7132540")</f>
        <v>0</v>
      </c>
      <c r="B10958" t="s">
        <v>3286</v>
      </c>
      <c r="C10958" t="s">
        <v>14166</v>
      </c>
      <c r="D10958" t="s">
        <v>17963</v>
      </c>
      <c r="E10958" t="s">
        <v>27509</v>
      </c>
      <c r="F10958" t="s">
        <v>30900</v>
      </c>
      <c r="G10958" t="s">
        <v>30907</v>
      </c>
      <c r="H10958" t="s">
        <v>30916</v>
      </c>
      <c r="I10958" t="s">
        <v>4545</v>
      </c>
      <c r="J10958" t="s">
        <v>31153</v>
      </c>
      <c r="K10958" t="s">
        <v>40284</v>
      </c>
      <c r="M10958" t="s">
        <v>44135</v>
      </c>
      <c r="N10958" t="s">
        <v>44759</v>
      </c>
      <c r="O10958" t="s">
        <v>44760</v>
      </c>
      <c r="Q10958">
        <v>5</v>
      </c>
      <c r="R10958" t="s">
        <v>44773</v>
      </c>
      <c r="S10958" t="s">
        <v>45258</v>
      </c>
      <c r="T10958" t="s">
        <v>46488</v>
      </c>
      <c r="U10958" t="s">
        <v>55973</v>
      </c>
      <c r="W10958" t="s">
        <v>44135</v>
      </c>
      <c r="X10958" t="s">
        <v>44774</v>
      </c>
    </row>
    <row r="10959" spans="1:24">
      <c r="A10959">
        <f>HYPERLINK("https://www.philgeps.gov.ph/GEPSNONPILOT/Tender/SplashBidNoticeAbstractUI.aspx?menuIndex=3&amp;refID=7132506&amp;Result=3","7132506")</f>
        <v>0</v>
      </c>
      <c r="B10959" t="s">
        <v>3276</v>
      </c>
      <c r="C10959" t="s">
        <v>14167</v>
      </c>
      <c r="E10959" t="s">
        <v>27510</v>
      </c>
      <c r="F10959" t="s">
        <v>30900</v>
      </c>
      <c r="G10959" t="s">
        <v>30907</v>
      </c>
      <c r="H10959" t="s">
        <v>30916</v>
      </c>
      <c r="I10959" t="s">
        <v>30947</v>
      </c>
      <c r="J10959" t="s">
        <v>35591</v>
      </c>
      <c r="K10959" t="s">
        <v>40289</v>
      </c>
      <c r="M10959" t="s">
        <v>44124</v>
      </c>
      <c r="N10959" t="s">
        <v>44759</v>
      </c>
      <c r="O10959" t="s">
        <v>44760</v>
      </c>
      <c r="Q10959">
        <v>0</v>
      </c>
      <c r="R10959" t="s">
        <v>44773</v>
      </c>
      <c r="S10959" t="s">
        <v>45259</v>
      </c>
      <c r="T10959" t="s">
        <v>46606</v>
      </c>
      <c r="U10959" t="s">
        <v>55974</v>
      </c>
      <c r="W10959" t="s">
        <v>44124</v>
      </c>
      <c r="X10959" t="s">
        <v>44774</v>
      </c>
    </row>
    <row r="10960" spans="1:24">
      <c r="A10960">
        <f>HYPERLINK("https://www.philgeps.gov.ph/GEPSNONPILOT/Tender/SplashBidNoticeAbstractUI.aspx?menuIndex=3&amp;refID=7132495&amp;Result=3","7132495")</f>
        <v>0</v>
      </c>
      <c r="B10960" t="s">
        <v>3287</v>
      </c>
      <c r="C10960" t="s">
        <v>14168</v>
      </c>
      <c r="D10960" t="s">
        <v>17996</v>
      </c>
      <c r="E10960" t="s">
        <v>27511</v>
      </c>
      <c r="F10960" t="s">
        <v>30900</v>
      </c>
      <c r="G10960" t="s">
        <v>30907</v>
      </c>
      <c r="H10960" t="s">
        <v>30916</v>
      </c>
      <c r="I10960" t="s">
        <v>4545</v>
      </c>
      <c r="J10960" t="s">
        <v>37857</v>
      </c>
      <c r="K10960" t="s">
        <v>40286</v>
      </c>
      <c r="M10960" t="s">
        <v>44136</v>
      </c>
      <c r="N10960" t="s">
        <v>44759</v>
      </c>
      <c r="O10960" t="s">
        <v>44760</v>
      </c>
      <c r="P10960">
        <v>0</v>
      </c>
      <c r="Q10960">
        <v>7</v>
      </c>
      <c r="R10960" t="s">
        <v>44773</v>
      </c>
      <c r="S10960" t="s">
        <v>45184</v>
      </c>
      <c r="T10960" t="s">
        <v>46353</v>
      </c>
      <c r="U10960" t="s">
        <v>55975</v>
      </c>
      <c r="W10960" t="s">
        <v>44136</v>
      </c>
      <c r="X10960" t="s">
        <v>44774</v>
      </c>
    </row>
    <row r="10961" spans="1:24">
      <c r="A10961">
        <f>HYPERLINK("https://www.philgeps.gov.ph/GEPSNONPILOT/Tender/SplashBidNoticeAbstractUI.aspx?menuIndex=3&amp;refID=7132395&amp;Result=3","7132395")</f>
        <v>0</v>
      </c>
      <c r="B10961" t="s">
        <v>3224</v>
      </c>
      <c r="C10961" t="s">
        <v>14169</v>
      </c>
      <c r="E10961" t="s">
        <v>18169</v>
      </c>
      <c r="F10961" t="s">
        <v>30900</v>
      </c>
      <c r="G10961" t="s">
        <v>30907</v>
      </c>
      <c r="H10961" t="s">
        <v>30916</v>
      </c>
      <c r="I10961" t="s">
        <v>8123</v>
      </c>
      <c r="J10961" t="s">
        <v>37858</v>
      </c>
      <c r="K10961" t="s">
        <v>40289</v>
      </c>
      <c r="M10961" t="s">
        <v>44063</v>
      </c>
      <c r="N10961" t="s">
        <v>44759</v>
      </c>
      <c r="O10961" t="s">
        <v>44760</v>
      </c>
      <c r="P10961">
        <v>0</v>
      </c>
      <c r="Q10961">
        <v>1</v>
      </c>
      <c r="R10961" t="s">
        <v>44773</v>
      </c>
      <c r="S10961" t="s">
        <v>45184</v>
      </c>
      <c r="T10961" t="s">
        <v>46398</v>
      </c>
      <c r="U10961" t="s">
        <v>55976</v>
      </c>
      <c r="W10961" t="s">
        <v>44063</v>
      </c>
      <c r="X10961" t="s">
        <v>44774</v>
      </c>
    </row>
    <row r="10962" spans="1:24">
      <c r="A10962">
        <f>HYPERLINK("https://www.philgeps.gov.ph/GEPSNONPILOT/Tender/SplashBidNoticeAbstractUI.aspx?menuIndex=3&amp;refID=7132501&amp;Result=3","7132501")</f>
        <v>0</v>
      </c>
      <c r="B10962" t="s">
        <v>803</v>
      </c>
      <c r="C10962" t="s">
        <v>4289</v>
      </c>
      <c r="D10962" t="s">
        <v>17952</v>
      </c>
      <c r="E10962" t="s">
        <v>27512</v>
      </c>
      <c r="F10962" t="s">
        <v>30900</v>
      </c>
      <c r="G10962" t="s">
        <v>30907</v>
      </c>
      <c r="H10962" t="s">
        <v>30916</v>
      </c>
      <c r="I10962" t="s">
        <v>30924</v>
      </c>
      <c r="J10962" t="s">
        <v>37859</v>
      </c>
      <c r="K10962" t="s">
        <v>40286</v>
      </c>
      <c r="M10962" t="s">
        <v>41627</v>
      </c>
      <c r="N10962" t="s">
        <v>44759</v>
      </c>
      <c r="O10962" t="s">
        <v>44760</v>
      </c>
      <c r="P10962">
        <v>0</v>
      </c>
      <c r="Q10962">
        <v>6</v>
      </c>
      <c r="R10962" t="s">
        <v>44773</v>
      </c>
      <c r="S10962" t="s">
        <v>45184</v>
      </c>
      <c r="T10962" t="s">
        <v>46411</v>
      </c>
      <c r="U10962" t="s">
        <v>55977</v>
      </c>
      <c r="W10962" t="s">
        <v>41627</v>
      </c>
      <c r="X10962" t="s">
        <v>44774</v>
      </c>
    </row>
    <row r="10963" spans="1:24">
      <c r="A10963">
        <f>HYPERLINK("https://www.philgeps.gov.ph/GEPSNONPILOT/Tender/SplashBidNoticeAbstractUI.aspx?menuIndex=3&amp;refID=7132313&amp;Result=3","7132313")</f>
        <v>0</v>
      </c>
      <c r="B10963" t="s">
        <v>3288</v>
      </c>
      <c r="C10963" t="s">
        <v>14170</v>
      </c>
      <c r="D10963" t="s">
        <v>17966</v>
      </c>
      <c r="E10963" t="s">
        <v>24313</v>
      </c>
      <c r="F10963" t="s">
        <v>30900</v>
      </c>
      <c r="G10963" t="s">
        <v>30907</v>
      </c>
      <c r="H10963" t="s">
        <v>30916</v>
      </c>
      <c r="I10963" t="s">
        <v>30942</v>
      </c>
      <c r="J10963" t="s">
        <v>37860</v>
      </c>
      <c r="K10963" t="s">
        <v>40289</v>
      </c>
      <c r="M10963" t="s">
        <v>44137</v>
      </c>
      <c r="N10963" t="s">
        <v>44759</v>
      </c>
      <c r="O10963" t="s">
        <v>44760</v>
      </c>
      <c r="P10963">
        <v>0</v>
      </c>
      <c r="Q10963">
        <v>1</v>
      </c>
      <c r="R10963" t="s">
        <v>44773</v>
      </c>
      <c r="S10963" t="s">
        <v>45184</v>
      </c>
      <c r="T10963" t="s">
        <v>46411</v>
      </c>
      <c r="U10963" t="s">
        <v>55978</v>
      </c>
      <c r="V10963" t="s">
        <v>60341</v>
      </c>
      <c r="W10963" t="s">
        <v>44137</v>
      </c>
      <c r="X10963" t="s">
        <v>44774</v>
      </c>
    </row>
    <row r="10964" spans="1:24">
      <c r="A10964">
        <f>HYPERLINK("https://www.philgeps.gov.ph/GEPSNONPILOT/Tender/SplashBidNoticeAbstractUI.aspx?menuIndex=3&amp;refID=7132360&amp;Result=3","7132360")</f>
        <v>0</v>
      </c>
      <c r="B10964" t="s">
        <v>2717</v>
      </c>
      <c r="C10964" t="s">
        <v>14171</v>
      </c>
      <c r="D10964" t="s">
        <v>17973</v>
      </c>
      <c r="E10964" t="s">
        <v>27513</v>
      </c>
      <c r="F10964" t="s">
        <v>30900</v>
      </c>
      <c r="G10964" t="s">
        <v>30907</v>
      </c>
      <c r="H10964" t="s">
        <v>30915</v>
      </c>
      <c r="I10964" t="s">
        <v>30919</v>
      </c>
      <c r="J10964" t="s">
        <v>37861</v>
      </c>
      <c r="K10964" t="s">
        <v>40280</v>
      </c>
      <c r="M10964" t="s">
        <v>43492</v>
      </c>
      <c r="N10964" t="s">
        <v>44759</v>
      </c>
      <c r="O10964" t="s">
        <v>44760</v>
      </c>
      <c r="P10964">
        <v>0</v>
      </c>
      <c r="Q10964">
        <v>0</v>
      </c>
      <c r="R10964" t="s">
        <v>44773</v>
      </c>
      <c r="S10964" t="s">
        <v>45184</v>
      </c>
      <c r="T10964" t="s">
        <v>46366</v>
      </c>
      <c r="U10964" t="s">
        <v>55979</v>
      </c>
      <c r="W10964" t="s">
        <v>43492</v>
      </c>
      <c r="X10964" t="s">
        <v>44774</v>
      </c>
    </row>
    <row r="10965" spans="1:24">
      <c r="A10965">
        <f>HYPERLINK("https://www.philgeps.gov.ph/GEPSNONPILOT/Tender/SplashBidNoticeAbstractUI.aspx?menuIndex=3&amp;refID=7130289&amp;Result=3","7130289")</f>
        <v>0</v>
      </c>
      <c r="B10965" t="s">
        <v>1164</v>
      </c>
      <c r="C10965" t="s">
        <v>14172</v>
      </c>
      <c r="D10965" t="s">
        <v>17955</v>
      </c>
      <c r="E10965" t="s">
        <v>27514</v>
      </c>
      <c r="F10965" t="s">
        <v>30900</v>
      </c>
      <c r="G10965" t="s">
        <v>30907</v>
      </c>
      <c r="H10965" t="s">
        <v>30915</v>
      </c>
      <c r="I10965" t="s">
        <v>30919</v>
      </c>
      <c r="J10965" t="s">
        <v>37862</v>
      </c>
      <c r="K10965" t="s">
        <v>40289</v>
      </c>
      <c r="M10965" t="s">
        <v>42378</v>
      </c>
      <c r="N10965" t="s">
        <v>44759</v>
      </c>
      <c r="O10965" t="s">
        <v>44760</v>
      </c>
      <c r="P10965">
        <v>0</v>
      </c>
      <c r="Q10965">
        <v>1</v>
      </c>
      <c r="R10965" t="s">
        <v>44773</v>
      </c>
      <c r="S10965" t="s">
        <v>45184</v>
      </c>
      <c r="T10965" t="s">
        <v>46352</v>
      </c>
      <c r="U10965" t="s">
        <v>55980</v>
      </c>
      <c r="W10965" t="s">
        <v>42378</v>
      </c>
      <c r="X10965" t="s">
        <v>44774</v>
      </c>
    </row>
    <row r="10966" spans="1:24">
      <c r="A10966">
        <f>HYPERLINK("https://www.philgeps.gov.ph/GEPSNONPILOT/Tender/SplashBidNoticeAbstractUI.aspx?menuIndex=3&amp;refID=7132528&amp;Result=3","7132528")</f>
        <v>0</v>
      </c>
      <c r="B10966" t="s">
        <v>3282</v>
      </c>
      <c r="C10966" t="s">
        <v>14173</v>
      </c>
      <c r="D10966" t="s">
        <v>18035</v>
      </c>
      <c r="E10966" t="s">
        <v>27515</v>
      </c>
      <c r="F10966" t="s">
        <v>30900</v>
      </c>
      <c r="G10966" t="s">
        <v>30907</v>
      </c>
      <c r="H10966" t="s">
        <v>30916</v>
      </c>
      <c r="I10966" t="s">
        <v>6953</v>
      </c>
      <c r="J10966" t="s">
        <v>37863</v>
      </c>
      <c r="K10966" t="s">
        <v>40284</v>
      </c>
      <c r="M10966" t="s">
        <v>44130</v>
      </c>
      <c r="N10966" t="s">
        <v>44759</v>
      </c>
      <c r="O10966" t="s">
        <v>44760</v>
      </c>
      <c r="P10966">
        <v>0</v>
      </c>
      <c r="Q10966">
        <v>1</v>
      </c>
      <c r="R10966" t="s">
        <v>44773</v>
      </c>
      <c r="S10966" t="s">
        <v>45184</v>
      </c>
      <c r="T10966" t="s">
        <v>46445</v>
      </c>
      <c r="U10966" t="s">
        <v>55964</v>
      </c>
      <c r="V10966" t="s">
        <v>60339</v>
      </c>
      <c r="W10966" t="s">
        <v>44130</v>
      </c>
      <c r="X10966" t="s">
        <v>44774</v>
      </c>
    </row>
    <row r="10967" spans="1:24">
      <c r="A10967">
        <f>HYPERLINK("https://www.philgeps.gov.ph/GEPSNONPILOT/Tender/SplashBidNoticeAbstractUI.aspx?menuIndex=3&amp;refID=7132331&amp;Result=3","7132331")</f>
        <v>0</v>
      </c>
      <c r="B10967" t="s">
        <v>3289</v>
      </c>
      <c r="C10967" t="s">
        <v>14174</v>
      </c>
      <c r="D10967" t="s">
        <v>17973</v>
      </c>
      <c r="E10967" t="s">
        <v>18615</v>
      </c>
      <c r="F10967" t="s">
        <v>30900</v>
      </c>
      <c r="G10967" t="s">
        <v>30913</v>
      </c>
      <c r="H10967" t="s">
        <v>30915</v>
      </c>
      <c r="I10967" t="s">
        <v>30948</v>
      </c>
      <c r="J10967" t="s">
        <v>37864</v>
      </c>
      <c r="K10967" t="s">
        <v>40293</v>
      </c>
      <c r="M10967" t="s">
        <v>44138</v>
      </c>
      <c r="N10967" t="s">
        <v>44759</v>
      </c>
      <c r="O10967" t="s">
        <v>44760</v>
      </c>
      <c r="P10967">
        <v>0</v>
      </c>
      <c r="Q10967">
        <v>1</v>
      </c>
      <c r="R10967" t="s">
        <v>44773</v>
      </c>
      <c r="S10967" t="s">
        <v>45184</v>
      </c>
      <c r="T10967" t="s">
        <v>46874</v>
      </c>
      <c r="U10967" t="s">
        <v>55981</v>
      </c>
      <c r="V10967" t="s">
        <v>55981</v>
      </c>
      <c r="W10967" t="s">
        <v>44138</v>
      </c>
      <c r="X10967" t="s">
        <v>44774</v>
      </c>
    </row>
    <row r="10968" spans="1:24">
      <c r="A10968">
        <f>HYPERLINK("https://www.philgeps.gov.ph/GEPSNONPILOT/Tender/SplashBidNoticeAbstractUI.aspx?menuIndex=3&amp;refID=7132615&amp;Result=3","7132615")</f>
        <v>0</v>
      </c>
      <c r="B10968" t="s">
        <v>3282</v>
      </c>
      <c r="C10968" t="s">
        <v>14175</v>
      </c>
      <c r="D10968" t="s">
        <v>18035</v>
      </c>
      <c r="E10968" t="s">
        <v>27516</v>
      </c>
      <c r="F10968" t="s">
        <v>30900</v>
      </c>
      <c r="G10968" t="s">
        <v>30907</v>
      </c>
      <c r="H10968" t="s">
        <v>30916</v>
      </c>
      <c r="I10968" t="s">
        <v>30939</v>
      </c>
      <c r="J10968" t="s">
        <v>37865</v>
      </c>
      <c r="K10968" t="s">
        <v>40286</v>
      </c>
      <c r="M10968" t="s">
        <v>44130</v>
      </c>
      <c r="N10968" t="s">
        <v>44759</v>
      </c>
      <c r="O10968" t="s">
        <v>44760</v>
      </c>
      <c r="P10968">
        <v>0</v>
      </c>
      <c r="Q10968">
        <v>0</v>
      </c>
      <c r="R10968" t="s">
        <v>44773</v>
      </c>
      <c r="S10968" t="s">
        <v>45184</v>
      </c>
      <c r="T10968" t="s">
        <v>46445</v>
      </c>
      <c r="U10968" t="s">
        <v>55982</v>
      </c>
      <c r="V10968" t="s">
        <v>60339</v>
      </c>
      <c r="W10968" t="s">
        <v>44130</v>
      </c>
      <c r="X10968" t="s">
        <v>44774</v>
      </c>
    </row>
    <row r="10969" spans="1:24">
      <c r="A10969">
        <f>HYPERLINK("https://www.philgeps.gov.ph/GEPSNONPILOT/Tender/SplashBidNoticeAbstractUI.aspx?menuIndex=3&amp;refID=7132650&amp;Result=3","7132650")</f>
        <v>0</v>
      </c>
      <c r="B10969" t="s">
        <v>1093</v>
      </c>
      <c r="C10969" t="s">
        <v>14176</v>
      </c>
      <c r="D10969" t="s">
        <v>18033</v>
      </c>
      <c r="E10969" t="s">
        <v>27517</v>
      </c>
      <c r="F10969" t="s">
        <v>30900</v>
      </c>
      <c r="G10969" t="s">
        <v>30907</v>
      </c>
      <c r="H10969" t="s">
        <v>30916</v>
      </c>
      <c r="I10969" t="s">
        <v>6396</v>
      </c>
      <c r="J10969" t="s">
        <v>37866</v>
      </c>
      <c r="K10969" t="s">
        <v>40286</v>
      </c>
      <c r="M10969" t="s">
        <v>41693</v>
      </c>
      <c r="N10969" t="s">
        <v>44759</v>
      </c>
      <c r="O10969" t="s">
        <v>44760</v>
      </c>
      <c r="P10969">
        <v>0</v>
      </c>
      <c r="Q10969">
        <v>0</v>
      </c>
      <c r="R10969" t="s">
        <v>44773</v>
      </c>
      <c r="S10969" t="s">
        <v>45184</v>
      </c>
      <c r="T10969" t="s">
        <v>46595</v>
      </c>
      <c r="U10969" t="s">
        <v>55983</v>
      </c>
      <c r="W10969" t="s">
        <v>41693</v>
      </c>
      <c r="X10969" t="s">
        <v>44774</v>
      </c>
    </row>
    <row r="10970" spans="1:24">
      <c r="A10970">
        <f>HYPERLINK("https://www.philgeps.gov.ph/GEPSNONPILOT/Tender/SplashBidNoticeAbstractUI.aspx?menuIndex=3&amp;refID=7132662&amp;Result=3","7132662")</f>
        <v>0</v>
      </c>
      <c r="B10970" t="s">
        <v>3290</v>
      </c>
      <c r="C10970" t="s">
        <v>14177</v>
      </c>
      <c r="D10970" t="s">
        <v>17959</v>
      </c>
      <c r="E10970" t="s">
        <v>23683</v>
      </c>
      <c r="F10970" t="s">
        <v>30900</v>
      </c>
      <c r="G10970" t="s">
        <v>30907</v>
      </c>
      <c r="H10970" t="s">
        <v>30916</v>
      </c>
      <c r="I10970" t="s">
        <v>4108</v>
      </c>
      <c r="J10970" t="s">
        <v>37867</v>
      </c>
      <c r="K10970" t="s">
        <v>40280</v>
      </c>
      <c r="M10970" t="s">
        <v>44139</v>
      </c>
      <c r="N10970" t="s">
        <v>44759</v>
      </c>
      <c r="O10970" t="s">
        <v>44760</v>
      </c>
      <c r="P10970">
        <v>0</v>
      </c>
      <c r="Q10970">
        <v>2</v>
      </c>
      <c r="R10970" t="s">
        <v>44773</v>
      </c>
      <c r="S10970" t="s">
        <v>45184</v>
      </c>
      <c r="T10970" t="s">
        <v>46658</v>
      </c>
      <c r="U10970" t="s">
        <v>55984</v>
      </c>
      <c r="W10970" t="s">
        <v>44139</v>
      </c>
      <c r="X10970" t="s">
        <v>44774</v>
      </c>
    </row>
    <row r="10971" spans="1:24">
      <c r="A10971">
        <f>HYPERLINK("https://www.philgeps.gov.ph/GEPSNONPILOT/Tender/SplashBidNoticeAbstractUI.aspx?menuIndex=3&amp;refID=7132508&amp;Result=3","7132508")</f>
        <v>0</v>
      </c>
      <c r="B10971" t="s">
        <v>803</v>
      </c>
      <c r="C10971" t="s">
        <v>4532</v>
      </c>
      <c r="D10971" t="s">
        <v>17952</v>
      </c>
      <c r="E10971" t="s">
        <v>27518</v>
      </c>
      <c r="F10971" t="s">
        <v>30900</v>
      </c>
      <c r="G10971" t="s">
        <v>30907</v>
      </c>
      <c r="H10971" t="s">
        <v>30916</v>
      </c>
      <c r="I10971" t="s">
        <v>4142</v>
      </c>
      <c r="J10971" t="s">
        <v>37868</v>
      </c>
      <c r="K10971" t="s">
        <v>40286</v>
      </c>
      <c r="M10971" t="s">
        <v>41627</v>
      </c>
      <c r="N10971" t="s">
        <v>44759</v>
      </c>
      <c r="O10971" t="s">
        <v>44760</v>
      </c>
      <c r="P10971">
        <v>0</v>
      </c>
      <c r="Q10971">
        <v>5</v>
      </c>
      <c r="R10971" t="s">
        <v>44773</v>
      </c>
      <c r="S10971" t="s">
        <v>45184</v>
      </c>
      <c r="T10971" t="s">
        <v>46544</v>
      </c>
      <c r="U10971" t="s">
        <v>55985</v>
      </c>
      <c r="W10971" t="s">
        <v>41627</v>
      </c>
      <c r="X10971" t="s">
        <v>44774</v>
      </c>
    </row>
    <row r="10972" spans="1:24">
      <c r="A10972">
        <f>HYPERLINK("https://www.philgeps.gov.ph/GEPSNONPILOT/Tender/SplashBidNoticeAbstractUI.aspx?menuIndex=3&amp;refID=7132654&amp;Result=3","7132654")</f>
        <v>0</v>
      </c>
      <c r="B10972" t="s">
        <v>3291</v>
      </c>
      <c r="C10972" t="s">
        <v>8647</v>
      </c>
      <c r="D10972" t="s">
        <v>17972</v>
      </c>
      <c r="E10972" t="s">
        <v>18282</v>
      </c>
      <c r="F10972" t="s">
        <v>30900</v>
      </c>
      <c r="G10972" t="s">
        <v>30907</v>
      </c>
      <c r="H10972" t="s">
        <v>30916</v>
      </c>
      <c r="I10972" t="s">
        <v>8123</v>
      </c>
      <c r="J10972" t="s">
        <v>37869</v>
      </c>
      <c r="K10972" t="s">
        <v>40287</v>
      </c>
      <c r="M10972" t="s">
        <v>44140</v>
      </c>
      <c r="N10972" t="s">
        <v>44759</v>
      </c>
      <c r="O10972" t="s">
        <v>44760</v>
      </c>
      <c r="P10972">
        <v>0</v>
      </c>
      <c r="Q10972">
        <v>2</v>
      </c>
      <c r="R10972" t="s">
        <v>44773</v>
      </c>
      <c r="S10972" t="s">
        <v>45184</v>
      </c>
      <c r="T10972" t="s">
        <v>46533</v>
      </c>
      <c r="U10972" t="s">
        <v>55160</v>
      </c>
      <c r="W10972" t="s">
        <v>44140</v>
      </c>
      <c r="X10972" t="s">
        <v>44774</v>
      </c>
    </row>
    <row r="10973" spans="1:24">
      <c r="A10973">
        <f>HYPERLINK("https://www.philgeps.gov.ph/GEPSNONPILOT/Tender/SplashBidNoticeAbstractUI.aspx?menuIndex=3&amp;refID=7132653&amp;Result=3","7132653")</f>
        <v>0</v>
      </c>
      <c r="B10973" t="s">
        <v>1093</v>
      </c>
      <c r="C10973" t="s">
        <v>14178</v>
      </c>
      <c r="D10973" t="s">
        <v>18033</v>
      </c>
      <c r="E10973" t="s">
        <v>27519</v>
      </c>
      <c r="F10973" t="s">
        <v>30900</v>
      </c>
      <c r="G10973" t="s">
        <v>30907</v>
      </c>
      <c r="H10973" t="s">
        <v>30916</v>
      </c>
      <c r="I10973" t="s">
        <v>30939</v>
      </c>
      <c r="J10973" t="s">
        <v>31933</v>
      </c>
      <c r="K10973" t="s">
        <v>40280</v>
      </c>
      <c r="M10973" t="s">
        <v>41693</v>
      </c>
      <c r="N10973" t="s">
        <v>44759</v>
      </c>
      <c r="O10973" t="s">
        <v>44760</v>
      </c>
      <c r="P10973">
        <v>0</v>
      </c>
      <c r="Q10973">
        <v>0</v>
      </c>
      <c r="R10973" t="s">
        <v>44773</v>
      </c>
      <c r="S10973" t="s">
        <v>45184</v>
      </c>
      <c r="T10973" t="s">
        <v>46595</v>
      </c>
      <c r="U10973" t="s">
        <v>55986</v>
      </c>
      <c r="W10973" t="s">
        <v>41693</v>
      </c>
      <c r="X10973" t="s">
        <v>44774</v>
      </c>
    </row>
    <row r="10974" spans="1:24">
      <c r="A10974">
        <f>HYPERLINK("https://www.philgeps.gov.ph/GEPSNONPILOT/Tender/SplashBidNoticeAbstractUI.aspx?menuIndex=3&amp;refID=7132645&amp;Result=3","7132645")</f>
        <v>0</v>
      </c>
      <c r="B10974" t="s">
        <v>1093</v>
      </c>
      <c r="C10974" t="s">
        <v>14179</v>
      </c>
      <c r="D10974" t="s">
        <v>18033</v>
      </c>
      <c r="E10974" t="s">
        <v>27520</v>
      </c>
      <c r="F10974" t="s">
        <v>30900</v>
      </c>
      <c r="G10974" t="s">
        <v>30907</v>
      </c>
      <c r="H10974" t="s">
        <v>30916</v>
      </c>
      <c r="I10974" t="s">
        <v>4545</v>
      </c>
      <c r="J10974" t="s">
        <v>32153</v>
      </c>
      <c r="K10974" t="s">
        <v>40286</v>
      </c>
      <c r="M10974" t="s">
        <v>41693</v>
      </c>
      <c r="N10974" t="s">
        <v>44759</v>
      </c>
      <c r="O10974" t="s">
        <v>44760</v>
      </c>
      <c r="P10974">
        <v>0</v>
      </c>
      <c r="Q10974">
        <v>0</v>
      </c>
      <c r="R10974" t="s">
        <v>44773</v>
      </c>
      <c r="S10974" t="s">
        <v>45184</v>
      </c>
      <c r="T10974" t="s">
        <v>46595</v>
      </c>
      <c r="U10974" t="s">
        <v>55987</v>
      </c>
      <c r="W10974" t="s">
        <v>41693</v>
      </c>
      <c r="X10974" t="s">
        <v>44774</v>
      </c>
    </row>
    <row r="10975" spans="1:24">
      <c r="A10975">
        <f>HYPERLINK("https://www.philgeps.gov.ph/GEPSNONPILOT/Tender/SplashBidNoticeAbstractUI.aspx?menuIndex=3&amp;refID=7132642&amp;Result=3","7132642")</f>
        <v>0</v>
      </c>
      <c r="B10975" t="s">
        <v>3282</v>
      </c>
      <c r="C10975" t="s">
        <v>14180</v>
      </c>
      <c r="D10975" t="s">
        <v>18035</v>
      </c>
      <c r="E10975" t="s">
        <v>27521</v>
      </c>
      <c r="F10975" t="s">
        <v>30900</v>
      </c>
      <c r="G10975" t="s">
        <v>30907</v>
      </c>
      <c r="H10975" t="s">
        <v>30916</v>
      </c>
      <c r="I10975" t="s">
        <v>30939</v>
      </c>
      <c r="J10975" t="s">
        <v>37870</v>
      </c>
      <c r="K10975" t="s">
        <v>40286</v>
      </c>
      <c r="M10975" t="s">
        <v>44130</v>
      </c>
      <c r="N10975" t="s">
        <v>44759</v>
      </c>
      <c r="O10975" t="s">
        <v>44760</v>
      </c>
      <c r="P10975">
        <v>0</v>
      </c>
      <c r="Q10975">
        <v>0</v>
      </c>
      <c r="R10975" t="s">
        <v>44773</v>
      </c>
      <c r="S10975" t="s">
        <v>45184</v>
      </c>
      <c r="T10975" t="s">
        <v>46445</v>
      </c>
      <c r="U10975" t="s">
        <v>55982</v>
      </c>
      <c r="V10975" t="s">
        <v>60339</v>
      </c>
      <c r="W10975" t="s">
        <v>44130</v>
      </c>
      <c r="X10975" t="s">
        <v>44774</v>
      </c>
    </row>
    <row r="10976" spans="1:24">
      <c r="A10976">
        <f>HYPERLINK("https://www.philgeps.gov.ph/GEPSNONPILOT/Tender/SplashBidNoticeAbstractUI.aspx?menuIndex=3&amp;refID=7132636&amp;Result=3","7132636")</f>
        <v>0</v>
      </c>
      <c r="B10976" t="s">
        <v>3282</v>
      </c>
      <c r="C10976" t="s">
        <v>14181</v>
      </c>
      <c r="D10976" t="s">
        <v>18035</v>
      </c>
      <c r="E10976" t="s">
        <v>27522</v>
      </c>
      <c r="F10976" t="s">
        <v>30900</v>
      </c>
      <c r="G10976" t="s">
        <v>30907</v>
      </c>
      <c r="H10976" t="s">
        <v>30916</v>
      </c>
      <c r="I10976" t="s">
        <v>30939</v>
      </c>
      <c r="J10976" t="s">
        <v>37870</v>
      </c>
      <c r="K10976" t="s">
        <v>40286</v>
      </c>
      <c r="M10976" t="s">
        <v>44130</v>
      </c>
      <c r="N10976" t="s">
        <v>44759</v>
      </c>
      <c r="O10976" t="s">
        <v>44760</v>
      </c>
      <c r="P10976">
        <v>0</v>
      </c>
      <c r="Q10976">
        <v>0</v>
      </c>
      <c r="R10976" t="s">
        <v>44773</v>
      </c>
      <c r="S10976" t="s">
        <v>45184</v>
      </c>
      <c r="T10976" t="s">
        <v>46445</v>
      </c>
      <c r="U10976" t="s">
        <v>55982</v>
      </c>
      <c r="V10976" t="s">
        <v>60339</v>
      </c>
      <c r="W10976" t="s">
        <v>44130</v>
      </c>
      <c r="X10976" t="s">
        <v>44774</v>
      </c>
    </row>
    <row r="10977" spans="1:24">
      <c r="A10977">
        <f>HYPERLINK("https://www.philgeps.gov.ph/GEPSNONPILOT/Tender/SplashBidNoticeAbstractUI.aspx?menuIndex=3&amp;refID=7132664&amp;Result=3","7132664")</f>
        <v>0</v>
      </c>
      <c r="B10977" t="s">
        <v>535</v>
      </c>
      <c r="C10977" t="s">
        <v>14182</v>
      </c>
      <c r="D10977" t="s">
        <v>17959</v>
      </c>
      <c r="E10977" t="s">
        <v>27523</v>
      </c>
      <c r="F10977" t="s">
        <v>30900</v>
      </c>
      <c r="G10977" t="s">
        <v>30907</v>
      </c>
      <c r="H10977" t="s">
        <v>30915</v>
      </c>
      <c r="I10977" t="s">
        <v>30919</v>
      </c>
      <c r="J10977" t="s">
        <v>37871</v>
      </c>
      <c r="K10977" t="s">
        <v>40301</v>
      </c>
      <c r="M10977" t="s">
        <v>41095</v>
      </c>
      <c r="N10977" t="s">
        <v>44759</v>
      </c>
      <c r="O10977" t="s">
        <v>44760</v>
      </c>
      <c r="P10977">
        <v>0</v>
      </c>
      <c r="Q10977">
        <v>12</v>
      </c>
      <c r="R10977" t="s">
        <v>44773</v>
      </c>
      <c r="S10977" t="s">
        <v>45184</v>
      </c>
      <c r="T10977" t="s">
        <v>46409</v>
      </c>
      <c r="U10977" t="s">
        <v>55988</v>
      </c>
      <c r="W10977" t="s">
        <v>60830</v>
      </c>
      <c r="X10977" t="s">
        <v>44774</v>
      </c>
    </row>
    <row r="10978" spans="1:24">
      <c r="A10978">
        <f>HYPERLINK("https://www.philgeps.gov.ph/GEPSNONPILOT/Tender/SplashBidNoticeAbstractUI.aspx?menuIndex=3&amp;refID=7132632&amp;Result=3","7132632")</f>
        <v>0</v>
      </c>
      <c r="B10978" t="s">
        <v>3292</v>
      </c>
      <c r="C10978" t="s">
        <v>14183</v>
      </c>
      <c r="D10978" t="s">
        <v>18028</v>
      </c>
      <c r="E10978" t="s">
        <v>27524</v>
      </c>
      <c r="F10978" t="s">
        <v>30900</v>
      </c>
      <c r="G10978" t="s">
        <v>30907</v>
      </c>
      <c r="H10978" t="s">
        <v>30915</v>
      </c>
      <c r="I10978" t="s">
        <v>8123</v>
      </c>
      <c r="J10978" t="s">
        <v>37872</v>
      </c>
      <c r="K10978" t="s">
        <v>40335</v>
      </c>
      <c r="L10978" t="s">
        <v>3292</v>
      </c>
      <c r="M10978" t="s">
        <v>44141</v>
      </c>
      <c r="N10978" t="s">
        <v>44759</v>
      </c>
      <c r="O10978" t="s">
        <v>44760</v>
      </c>
      <c r="P10978">
        <v>0</v>
      </c>
      <c r="Q10978">
        <v>0</v>
      </c>
      <c r="R10978" t="s">
        <v>44773</v>
      </c>
      <c r="S10978" t="s">
        <v>45184</v>
      </c>
      <c r="T10978" t="s">
        <v>46352</v>
      </c>
      <c r="U10978" t="s">
        <v>55989</v>
      </c>
      <c r="W10978" t="s">
        <v>44141</v>
      </c>
      <c r="X10978" t="s">
        <v>44774</v>
      </c>
    </row>
    <row r="10979" spans="1:24">
      <c r="A10979">
        <f>HYPERLINK("https://www.philgeps.gov.ph/GEPSNONPILOT/Tender/SplashBidNoticeAbstractUI.aspx?menuIndex=3&amp;refID=7130381&amp;Result=3","7130381")</f>
        <v>0</v>
      </c>
      <c r="B10979" t="s">
        <v>384</v>
      </c>
      <c r="C10979" t="s">
        <v>14184</v>
      </c>
      <c r="D10979" t="s">
        <v>17987</v>
      </c>
      <c r="E10979" t="s">
        <v>27525</v>
      </c>
      <c r="F10979" t="s">
        <v>30900</v>
      </c>
      <c r="G10979" t="s">
        <v>30907</v>
      </c>
      <c r="H10979" t="s">
        <v>30916</v>
      </c>
      <c r="I10979" t="s">
        <v>30919</v>
      </c>
      <c r="J10979" t="s">
        <v>37873</v>
      </c>
      <c r="K10979" t="s">
        <v>40294</v>
      </c>
      <c r="M10979" t="s">
        <v>40939</v>
      </c>
      <c r="N10979" t="s">
        <v>44759</v>
      </c>
      <c r="O10979" t="s">
        <v>44760</v>
      </c>
      <c r="P10979">
        <v>0</v>
      </c>
      <c r="Q10979">
        <v>2</v>
      </c>
      <c r="R10979" t="s">
        <v>44773</v>
      </c>
      <c r="S10979" t="s">
        <v>45184</v>
      </c>
      <c r="T10979" t="s">
        <v>46414</v>
      </c>
      <c r="U10979" t="s">
        <v>55990</v>
      </c>
      <c r="W10979" t="s">
        <v>40939</v>
      </c>
      <c r="X10979" t="s">
        <v>44774</v>
      </c>
    </row>
    <row r="10980" spans="1:24">
      <c r="A10980">
        <f>HYPERLINK("https://www.philgeps.gov.ph/GEPSNONPILOT/Tender/SplashBidNoticeAbstractUI.aspx?menuIndex=3&amp;refID=7132625&amp;Result=3","7132625")</f>
        <v>0</v>
      </c>
      <c r="B10980" t="s">
        <v>1809</v>
      </c>
      <c r="C10980" t="s">
        <v>14185</v>
      </c>
      <c r="D10980" t="s">
        <v>18021</v>
      </c>
      <c r="E10980" t="s">
        <v>27526</v>
      </c>
      <c r="F10980" t="s">
        <v>30900</v>
      </c>
      <c r="G10980" t="s">
        <v>30907</v>
      </c>
      <c r="H10980" t="s">
        <v>30915</v>
      </c>
      <c r="I10980" t="s">
        <v>30919</v>
      </c>
      <c r="J10980" t="s">
        <v>37874</v>
      </c>
      <c r="K10980" t="s">
        <v>40342</v>
      </c>
      <c r="M10980" t="s">
        <v>42483</v>
      </c>
      <c r="N10980" t="s">
        <v>44759</v>
      </c>
      <c r="O10980" t="s">
        <v>44760</v>
      </c>
      <c r="P10980">
        <v>0</v>
      </c>
      <c r="Q10980">
        <v>0</v>
      </c>
      <c r="R10980" t="s">
        <v>44773</v>
      </c>
      <c r="S10980" t="s">
        <v>45184</v>
      </c>
      <c r="T10980" t="s">
        <v>46409</v>
      </c>
      <c r="U10980" t="s">
        <v>55991</v>
      </c>
      <c r="W10980" t="s">
        <v>42483</v>
      </c>
      <c r="X10980" t="s">
        <v>44774</v>
      </c>
    </row>
    <row r="10981" spans="1:24">
      <c r="A10981">
        <f>HYPERLINK("https://www.philgeps.gov.ph/GEPSNONPILOT/Tender/SplashBidNoticeAbstractUI.aspx?menuIndex=3&amp;refID=7132622&amp;Result=3","7132622")</f>
        <v>0</v>
      </c>
      <c r="B10981" t="s">
        <v>3290</v>
      </c>
      <c r="C10981" t="s">
        <v>14186</v>
      </c>
      <c r="D10981" t="s">
        <v>17959</v>
      </c>
      <c r="E10981" t="s">
        <v>18271</v>
      </c>
      <c r="F10981" t="s">
        <v>30900</v>
      </c>
      <c r="G10981" t="s">
        <v>30907</v>
      </c>
      <c r="H10981" t="s">
        <v>30916</v>
      </c>
      <c r="I10981" t="s">
        <v>4108</v>
      </c>
      <c r="J10981" t="s">
        <v>37875</v>
      </c>
      <c r="K10981" t="s">
        <v>40280</v>
      </c>
      <c r="M10981" t="s">
        <v>44139</v>
      </c>
      <c r="N10981" t="s">
        <v>44759</v>
      </c>
      <c r="O10981" t="s">
        <v>44760</v>
      </c>
      <c r="P10981">
        <v>0</v>
      </c>
      <c r="Q10981">
        <v>4</v>
      </c>
      <c r="R10981" t="s">
        <v>44773</v>
      </c>
      <c r="S10981" t="s">
        <v>45184</v>
      </c>
      <c r="T10981" t="s">
        <v>46699</v>
      </c>
      <c r="U10981" t="s">
        <v>55992</v>
      </c>
      <c r="W10981" t="s">
        <v>44139</v>
      </c>
      <c r="X10981" t="s">
        <v>44774</v>
      </c>
    </row>
    <row r="10982" spans="1:24">
      <c r="A10982">
        <f>HYPERLINK("https://www.philgeps.gov.ph/GEPSNONPILOT/Tender/SplashBidNoticeAbstractUI.aspx?menuIndex=3&amp;refID=7132634&amp;Result=3","7132634")</f>
        <v>0</v>
      </c>
      <c r="B10982" t="s">
        <v>3293</v>
      </c>
      <c r="C10982" t="s">
        <v>14187</v>
      </c>
      <c r="D10982" t="s">
        <v>18000</v>
      </c>
      <c r="E10982" t="s">
        <v>18094</v>
      </c>
      <c r="F10982" t="s">
        <v>30900</v>
      </c>
      <c r="G10982" t="s">
        <v>30907</v>
      </c>
      <c r="H10982" t="s">
        <v>30916</v>
      </c>
      <c r="I10982" t="s">
        <v>8123</v>
      </c>
      <c r="J10982" t="s">
        <v>37876</v>
      </c>
      <c r="K10982" t="s">
        <v>40294</v>
      </c>
      <c r="M10982" t="s">
        <v>44142</v>
      </c>
      <c r="N10982" t="s">
        <v>44759</v>
      </c>
      <c r="O10982" t="s">
        <v>44760</v>
      </c>
      <c r="P10982">
        <v>0</v>
      </c>
      <c r="Q10982">
        <v>2</v>
      </c>
      <c r="R10982" t="s">
        <v>44773</v>
      </c>
      <c r="S10982" t="s">
        <v>45184</v>
      </c>
      <c r="T10982" t="s">
        <v>46533</v>
      </c>
      <c r="U10982" t="s">
        <v>55993</v>
      </c>
      <c r="V10982" t="s">
        <v>60342</v>
      </c>
      <c r="W10982" t="s">
        <v>44142</v>
      </c>
      <c r="X10982" t="s">
        <v>44774</v>
      </c>
    </row>
    <row r="10983" spans="1:24">
      <c r="A10983">
        <f>HYPERLINK("https://www.philgeps.gov.ph/GEPSNONPILOT/Tender/SplashBidNoticeAbstractUI.aspx?menuIndex=3&amp;refID=7132621&amp;Result=3","7132621")</f>
        <v>0</v>
      </c>
      <c r="B10983" t="s">
        <v>3282</v>
      </c>
      <c r="C10983" t="s">
        <v>14188</v>
      </c>
      <c r="D10983" t="s">
        <v>18035</v>
      </c>
      <c r="E10983" t="s">
        <v>27527</v>
      </c>
      <c r="F10983" t="s">
        <v>30900</v>
      </c>
      <c r="G10983" t="s">
        <v>30907</v>
      </c>
      <c r="H10983" t="s">
        <v>30916</v>
      </c>
      <c r="I10983" t="s">
        <v>30939</v>
      </c>
      <c r="J10983" t="s">
        <v>37865</v>
      </c>
      <c r="K10983" t="s">
        <v>40286</v>
      </c>
      <c r="M10983" t="s">
        <v>44130</v>
      </c>
      <c r="N10983" t="s">
        <v>44759</v>
      </c>
      <c r="O10983" t="s">
        <v>44760</v>
      </c>
      <c r="P10983">
        <v>0</v>
      </c>
      <c r="Q10983">
        <v>0</v>
      </c>
      <c r="R10983" t="s">
        <v>44773</v>
      </c>
      <c r="S10983" t="s">
        <v>45184</v>
      </c>
      <c r="T10983" t="s">
        <v>46445</v>
      </c>
      <c r="U10983" t="s">
        <v>55982</v>
      </c>
      <c r="V10983" t="s">
        <v>60339</v>
      </c>
      <c r="W10983" t="s">
        <v>44130</v>
      </c>
      <c r="X10983" t="s">
        <v>44774</v>
      </c>
    </row>
    <row r="10984" spans="1:24">
      <c r="A10984">
        <f>HYPERLINK("https://www.philgeps.gov.ph/GEPSNONPILOT/Tender/SplashBidNoticeAbstractUI.aspx?menuIndex=3&amp;refID=7130421&amp;Result=3","7130421")</f>
        <v>0</v>
      </c>
      <c r="B10984" t="s">
        <v>3235</v>
      </c>
      <c r="C10984" t="s">
        <v>14189</v>
      </c>
      <c r="D10984" t="s">
        <v>17978</v>
      </c>
      <c r="E10984" t="s">
        <v>27281</v>
      </c>
      <c r="F10984" t="s">
        <v>30900</v>
      </c>
      <c r="G10984" t="s">
        <v>30907</v>
      </c>
      <c r="H10984" t="s">
        <v>30915</v>
      </c>
      <c r="I10984" t="s">
        <v>30919</v>
      </c>
      <c r="J10984" t="s">
        <v>31049</v>
      </c>
      <c r="K10984" t="s">
        <v>40291</v>
      </c>
      <c r="M10984" t="s">
        <v>44077</v>
      </c>
      <c r="N10984" t="s">
        <v>44759</v>
      </c>
      <c r="O10984" t="s">
        <v>44760</v>
      </c>
      <c r="P10984">
        <v>0</v>
      </c>
      <c r="Q10984">
        <v>1</v>
      </c>
      <c r="R10984" t="s">
        <v>44773</v>
      </c>
      <c r="S10984" t="s">
        <v>45184</v>
      </c>
      <c r="T10984" t="s">
        <v>46366</v>
      </c>
      <c r="U10984" t="s">
        <v>55766</v>
      </c>
      <c r="V10984" t="s">
        <v>59692</v>
      </c>
      <c r="W10984" t="s">
        <v>44077</v>
      </c>
      <c r="X10984" t="s">
        <v>44774</v>
      </c>
    </row>
    <row r="10985" spans="1:24">
      <c r="A10985">
        <f>HYPERLINK("https://www.philgeps.gov.ph/GEPSNONPILOT/Tender/SplashBidNoticeAbstractUI.aspx?menuIndex=3&amp;refID=7132617&amp;Result=3","7132617")</f>
        <v>0</v>
      </c>
      <c r="B10985" t="s">
        <v>1809</v>
      </c>
      <c r="C10985" t="s">
        <v>14190</v>
      </c>
      <c r="D10985" t="s">
        <v>18021</v>
      </c>
      <c r="E10985" t="s">
        <v>22404</v>
      </c>
      <c r="F10985" t="s">
        <v>30900</v>
      </c>
      <c r="G10985" t="s">
        <v>30907</v>
      </c>
      <c r="H10985" t="s">
        <v>30915</v>
      </c>
      <c r="I10985" t="s">
        <v>30919</v>
      </c>
      <c r="J10985" t="s">
        <v>32560</v>
      </c>
      <c r="K10985" t="s">
        <v>40422</v>
      </c>
      <c r="M10985" t="s">
        <v>42483</v>
      </c>
      <c r="N10985" t="s">
        <v>44759</v>
      </c>
      <c r="O10985" t="s">
        <v>44760</v>
      </c>
      <c r="P10985">
        <v>0</v>
      </c>
      <c r="Q10985">
        <v>1</v>
      </c>
      <c r="R10985" t="s">
        <v>44773</v>
      </c>
      <c r="S10985" t="s">
        <v>45184</v>
      </c>
      <c r="T10985" t="s">
        <v>46409</v>
      </c>
      <c r="U10985" t="s">
        <v>55994</v>
      </c>
      <c r="W10985" t="s">
        <v>42483</v>
      </c>
      <c r="X10985" t="s">
        <v>44774</v>
      </c>
    </row>
    <row r="10986" spans="1:24">
      <c r="A10986">
        <f>HYPERLINK("https://www.philgeps.gov.ph/GEPSNONPILOT/Tender/SplashBidNoticeAbstractUI.aspx?menuIndex=3&amp;refID=7132614&amp;Result=3","7132614")</f>
        <v>0</v>
      </c>
      <c r="B10986" t="s">
        <v>3281</v>
      </c>
      <c r="C10986" t="s">
        <v>14191</v>
      </c>
      <c r="D10986" t="s">
        <v>17991</v>
      </c>
      <c r="E10986" t="s">
        <v>27528</v>
      </c>
      <c r="F10986" t="s">
        <v>30900</v>
      </c>
      <c r="G10986" t="s">
        <v>30907</v>
      </c>
      <c r="H10986" t="s">
        <v>30916</v>
      </c>
      <c r="I10986" t="s">
        <v>4142</v>
      </c>
      <c r="J10986" t="s">
        <v>31567</v>
      </c>
      <c r="K10986" t="s">
        <v>40283</v>
      </c>
      <c r="M10986" t="s">
        <v>44129</v>
      </c>
      <c r="N10986" t="s">
        <v>44759</v>
      </c>
      <c r="O10986" t="s">
        <v>44760</v>
      </c>
      <c r="P10986">
        <v>0</v>
      </c>
      <c r="Q10986">
        <v>0</v>
      </c>
      <c r="R10986" t="s">
        <v>44773</v>
      </c>
      <c r="S10986" t="s">
        <v>45184</v>
      </c>
      <c r="T10986" t="s">
        <v>46352</v>
      </c>
      <c r="U10986" t="s">
        <v>55963</v>
      </c>
      <c r="W10986" t="s">
        <v>44129</v>
      </c>
      <c r="X10986" t="s">
        <v>44774</v>
      </c>
    </row>
    <row r="10987" spans="1:24">
      <c r="A10987">
        <f>HYPERLINK("https://www.philgeps.gov.ph/GEPSNONPILOT/Tender/SplashBidNoticeAbstractUI.aspx?menuIndex=3&amp;refID=7130269&amp;Result=3","7130269")</f>
        <v>0</v>
      </c>
      <c r="B10987" t="s">
        <v>3227</v>
      </c>
      <c r="C10987" t="s">
        <v>14192</v>
      </c>
      <c r="D10987" t="s">
        <v>17965</v>
      </c>
      <c r="E10987" t="s">
        <v>27529</v>
      </c>
      <c r="F10987" t="s">
        <v>30900</v>
      </c>
      <c r="G10987" t="s">
        <v>30907</v>
      </c>
      <c r="H10987" t="s">
        <v>30915</v>
      </c>
      <c r="I10987" t="s">
        <v>30919</v>
      </c>
      <c r="J10987" t="s">
        <v>31101</v>
      </c>
      <c r="K10987" t="s">
        <v>40358</v>
      </c>
      <c r="M10987" t="s">
        <v>44066</v>
      </c>
      <c r="N10987" t="s">
        <v>44759</v>
      </c>
      <c r="O10987" t="s">
        <v>44760</v>
      </c>
      <c r="P10987">
        <v>0</v>
      </c>
      <c r="Q10987">
        <v>0</v>
      </c>
      <c r="R10987" t="s">
        <v>44773</v>
      </c>
      <c r="S10987" t="s">
        <v>45184</v>
      </c>
      <c r="T10987" t="s">
        <v>46418</v>
      </c>
      <c r="U10987" t="s">
        <v>55720</v>
      </c>
      <c r="W10987" t="s">
        <v>44066</v>
      </c>
      <c r="X10987" t="s">
        <v>44774</v>
      </c>
    </row>
    <row r="10988" spans="1:24">
      <c r="A10988">
        <f>HYPERLINK("https://www.philgeps.gov.ph/GEPSNONPILOT/Tender/SplashBidNoticeAbstractUI.aspx?menuIndex=3&amp;refID=7130258&amp;Result=3","7130258")</f>
        <v>0</v>
      </c>
      <c r="B10988" t="s">
        <v>3227</v>
      </c>
      <c r="C10988" t="s">
        <v>14193</v>
      </c>
      <c r="D10988" t="s">
        <v>17965</v>
      </c>
      <c r="E10988" t="s">
        <v>27530</v>
      </c>
      <c r="F10988" t="s">
        <v>30900</v>
      </c>
      <c r="G10988" t="s">
        <v>30907</v>
      </c>
      <c r="H10988" t="s">
        <v>30915</v>
      </c>
      <c r="I10988" t="s">
        <v>30919</v>
      </c>
      <c r="J10988" t="s">
        <v>31243</v>
      </c>
      <c r="K10988" t="s">
        <v>40293</v>
      </c>
      <c r="M10988" t="s">
        <v>44066</v>
      </c>
      <c r="N10988" t="s">
        <v>44759</v>
      </c>
      <c r="O10988" t="s">
        <v>44760</v>
      </c>
      <c r="P10988">
        <v>0</v>
      </c>
      <c r="Q10988">
        <v>0</v>
      </c>
      <c r="R10988" t="s">
        <v>44773</v>
      </c>
      <c r="S10988" t="s">
        <v>45184</v>
      </c>
      <c r="T10988" t="s">
        <v>46418</v>
      </c>
      <c r="U10988" t="s">
        <v>55720</v>
      </c>
      <c r="W10988" t="s">
        <v>44066</v>
      </c>
      <c r="X10988" t="s">
        <v>44774</v>
      </c>
    </row>
    <row r="10989" spans="1:24">
      <c r="A10989">
        <f>HYPERLINK("https://www.philgeps.gov.ph/GEPSNONPILOT/Tender/SplashBidNoticeAbstractUI.aspx?menuIndex=3&amp;refID=7132633&amp;Result=3","7132633")</f>
        <v>0</v>
      </c>
      <c r="B10989" t="s">
        <v>3282</v>
      </c>
      <c r="C10989" t="s">
        <v>14194</v>
      </c>
      <c r="D10989" t="s">
        <v>18035</v>
      </c>
      <c r="E10989" t="s">
        <v>27531</v>
      </c>
      <c r="F10989" t="s">
        <v>30900</v>
      </c>
      <c r="G10989" t="s">
        <v>30907</v>
      </c>
      <c r="H10989" t="s">
        <v>30916</v>
      </c>
      <c r="I10989" t="s">
        <v>30939</v>
      </c>
      <c r="J10989" t="s">
        <v>37870</v>
      </c>
      <c r="K10989" t="s">
        <v>40286</v>
      </c>
      <c r="M10989" t="s">
        <v>44130</v>
      </c>
      <c r="N10989" t="s">
        <v>44759</v>
      </c>
      <c r="O10989" t="s">
        <v>44760</v>
      </c>
      <c r="P10989">
        <v>0</v>
      </c>
      <c r="Q10989">
        <v>0</v>
      </c>
      <c r="R10989" t="s">
        <v>44773</v>
      </c>
      <c r="S10989" t="s">
        <v>45184</v>
      </c>
      <c r="T10989" t="s">
        <v>46445</v>
      </c>
      <c r="U10989" t="s">
        <v>55982</v>
      </c>
      <c r="V10989" t="s">
        <v>60339</v>
      </c>
      <c r="W10989" t="s">
        <v>44130</v>
      </c>
      <c r="X10989" t="s">
        <v>44774</v>
      </c>
    </row>
    <row r="10990" spans="1:24">
      <c r="A10990">
        <f>HYPERLINK("https://www.philgeps.gov.ph/GEPSNONPILOT/Tender/SplashBidNoticeAbstractUI.aspx?menuIndex=3&amp;refID=7130251&amp;Result=3","7130251")</f>
        <v>0</v>
      </c>
      <c r="B10990" t="s">
        <v>1164</v>
      </c>
      <c r="C10990" t="s">
        <v>14195</v>
      </c>
      <c r="D10990" t="s">
        <v>17955</v>
      </c>
      <c r="E10990" t="s">
        <v>27532</v>
      </c>
      <c r="F10990" t="s">
        <v>30900</v>
      </c>
      <c r="G10990" t="s">
        <v>30907</v>
      </c>
      <c r="H10990" t="s">
        <v>30915</v>
      </c>
      <c r="I10990" t="s">
        <v>30919</v>
      </c>
      <c r="J10990" t="s">
        <v>37877</v>
      </c>
      <c r="K10990" t="s">
        <v>40289</v>
      </c>
      <c r="M10990" t="s">
        <v>42378</v>
      </c>
      <c r="N10990" t="s">
        <v>44759</v>
      </c>
      <c r="O10990" t="s">
        <v>44760</v>
      </c>
      <c r="P10990">
        <v>0</v>
      </c>
      <c r="Q10990">
        <v>0</v>
      </c>
      <c r="R10990" t="s">
        <v>44773</v>
      </c>
      <c r="S10990" t="s">
        <v>45184</v>
      </c>
      <c r="T10990" t="s">
        <v>46352</v>
      </c>
      <c r="U10990" t="s">
        <v>55995</v>
      </c>
      <c r="W10990" t="s">
        <v>42378</v>
      </c>
      <c r="X10990" t="s">
        <v>44774</v>
      </c>
    </row>
    <row r="10991" spans="1:24">
      <c r="A10991">
        <f>HYPERLINK("https://www.philgeps.gov.ph/GEPSNONPILOT/Tender/SplashBidNoticeAbstractUI.aspx?menuIndex=3&amp;refID=7130171&amp;Result=3","7130171")</f>
        <v>0</v>
      </c>
      <c r="B10991" t="s">
        <v>2744</v>
      </c>
      <c r="C10991" t="s">
        <v>14196</v>
      </c>
      <c r="D10991" t="s">
        <v>17952</v>
      </c>
      <c r="E10991" t="s">
        <v>27533</v>
      </c>
      <c r="F10991" t="s">
        <v>30900</v>
      </c>
      <c r="G10991" t="s">
        <v>30907</v>
      </c>
      <c r="H10991" t="s">
        <v>30916</v>
      </c>
      <c r="I10991" t="s">
        <v>8123</v>
      </c>
      <c r="J10991" t="s">
        <v>37878</v>
      </c>
      <c r="K10991" t="s">
        <v>40283</v>
      </c>
      <c r="M10991" t="s">
        <v>43520</v>
      </c>
      <c r="N10991" t="s">
        <v>44759</v>
      </c>
      <c r="O10991" t="s">
        <v>44760</v>
      </c>
      <c r="P10991">
        <v>0</v>
      </c>
      <c r="Q10991">
        <v>1</v>
      </c>
      <c r="R10991" t="s">
        <v>44773</v>
      </c>
      <c r="S10991" t="s">
        <v>45184</v>
      </c>
      <c r="T10991" t="s">
        <v>46413</v>
      </c>
      <c r="U10991" t="s">
        <v>53912</v>
      </c>
      <c r="W10991" t="s">
        <v>43520</v>
      </c>
      <c r="X10991" t="s">
        <v>44774</v>
      </c>
    </row>
    <row r="10992" spans="1:24">
      <c r="A10992">
        <f>HYPERLINK("https://www.philgeps.gov.ph/GEPSNONPILOT/Tender/SplashBidNoticeAbstractUI.aspx?menuIndex=3&amp;refID=7132620&amp;Result=3","7132620")</f>
        <v>0</v>
      </c>
      <c r="B10992" t="s">
        <v>3236</v>
      </c>
      <c r="C10992" t="s">
        <v>14197</v>
      </c>
      <c r="D10992" t="s">
        <v>17978</v>
      </c>
      <c r="E10992" t="s">
        <v>27203</v>
      </c>
      <c r="F10992" t="s">
        <v>30899</v>
      </c>
      <c r="G10992" t="s">
        <v>30907</v>
      </c>
      <c r="H10992" t="s">
        <v>30916</v>
      </c>
      <c r="I10992" t="s">
        <v>8123</v>
      </c>
      <c r="J10992" t="s">
        <v>37879</v>
      </c>
      <c r="K10992" t="s">
        <v>40284</v>
      </c>
      <c r="M10992" t="s">
        <v>44078</v>
      </c>
      <c r="N10992" t="s">
        <v>44759</v>
      </c>
      <c r="O10992" t="s">
        <v>44760</v>
      </c>
      <c r="P10992">
        <v>0</v>
      </c>
      <c r="Q10992">
        <v>0</v>
      </c>
      <c r="R10992" t="s">
        <v>44773</v>
      </c>
      <c r="S10992" t="s">
        <v>45184</v>
      </c>
      <c r="T10992" t="s">
        <v>46414</v>
      </c>
      <c r="U10992" t="s">
        <v>55996</v>
      </c>
      <c r="V10992" t="s">
        <v>60305</v>
      </c>
      <c r="W10992" t="s">
        <v>44078</v>
      </c>
      <c r="X10992" t="s">
        <v>44774</v>
      </c>
    </row>
    <row r="10993" spans="1:24">
      <c r="A10993">
        <f>HYPERLINK("https://www.philgeps.gov.ph/GEPSNONPILOT/Tender/SplashBidNoticeAbstractUI.aspx?menuIndex=3&amp;refID=7130157&amp;Result=3","7130157")</f>
        <v>0</v>
      </c>
      <c r="B10993" t="s">
        <v>3227</v>
      </c>
      <c r="C10993" t="s">
        <v>14198</v>
      </c>
      <c r="D10993" t="s">
        <v>17965</v>
      </c>
      <c r="E10993" t="s">
        <v>27534</v>
      </c>
      <c r="F10993" t="s">
        <v>30900</v>
      </c>
      <c r="G10993" t="s">
        <v>30907</v>
      </c>
      <c r="H10993" t="s">
        <v>30915</v>
      </c>
      <c r="I10993" t="s">
        <v>30919</v>
      </c>
      <c r="J10993" t="s">
        <v>31066</v>
      </c>
      <c r="K10993" t="s">
        <v>40293</v>
      </c>
      <c r="M10993" t="s">
        <v>44066</v>
      </c>
      <c r="N10993" t="s">
        <v>44759</v>
      </c>
      <c r="O10993" t="s">
        <v>44760</v>
      </c>
      <c r="P10993">
        <v>0</v>
      </c>
      <c r="Q10993">
        <v>0</v>
      </c>
      <c r="R10993" t="s">
        <v>44773</v>
      </c>
      <c r="S10993" t="s">
        <v>45184</v>
      </c>
      <c r="T10993" t="s">
        <v>46418</v>
      </c>
      <c r="U10993" t="s">
        <v>55720</v>
      </c>
      <c r="W10993" t="s">
        <v>44066</v>
      </c>
      <c r="X10993" t="s">
        <v>44774</v>
      </c>
    </row>
    <row r="10994" spans="1:24">
      <c r="A10994">
        <f>HYPERLINK("https://www.philgeps.gov.ph/GEPSNONPILOT/Tender/SplashBidNoticeAbstractUI.aspx?menuIndex=3&amp;refID=7132628&amp;Result=3","7132628")</f>
        <v>0</v>
      </c>
      <c r="B10994" t="s">
        <v>3282</v>
      </c>
      <c r="C10994" t="s">
        <v>14199</v>
      </c>
      <c r="D10994" t="s">
        <v>18035</v>
      </c>
      <c r="E10994" t="s">
        <v>27535</v>
      </c>
      <c r="F10994" t="s">
        <v>30900</v>
      </c>
      <c r="G10994" t="s">
        <v>30907</v>
      </c>
      <c r="H10994" t="s">
        <v>30916</v>
      </c>
      <c r="I10994" t="s">
        <v>30921</v>
      </c>
      <c r="J10994" t="s">
        <v>33501</v>
      </c>
      <c r="K10994" t="s">
        <v>40284</v>
      </c>
      <c r="M10994" t="s">
        <v>44130</v>
      </c>
      <c r="N10994" t="s">
        <v>44759</v>
      </c>
      <c r="O10994" t="s">
        <v>44760</v>
      </c>
      <c r="P10994">
        <v>0</v>
      </c>
      <c r="Q10994">
        <v>2</v>
      </c>
      <c r="R10994" t="s">
        <v>44773</v>
      </c>
      <c r="S10994" t="s">
        <v>45184</v>
      </c>
      <c r="T10994" t="s">
        <v>46445</v>
      </c>
      <c r="U10994" t="s">
        <v>55997</v>
      </c>
      <c r="V10994" t="s">
        <v>60339</v>
      </c>
      <c r="W10994" t="s">
        <v>44130</v>
      </c>
      <c r="X10994" t="s">
        <v>44774</v>
      </c>
    </row>
    <row r="10995" spans="1:24">
      <c r="A10995">
        <f>HYPERLINK("https://www.philgeps.gov.ph/GEPSNONPILOT/Tender/SplashBidNoticeAbstractUI.aspx?menuIndex=3&amp;refID=7130155&amp;Result=3","7130155")</f>
        <v>0</v>
      </c>
      <c r="B10995" t="s">
        <v>3216</v>
      </c>
      <c r="C10995" t="s">
        <v>14200</v>
      </c>
      <c r="D10995" t="s">
        <v>17957</v>
      </c>
      <c r="E10995" t="s">
        <v>27536</v>
      </c>
      <c r="F10995" t="s">
        <v>30900</v>
      </c>
      <c r="G10995" t="s">
        <v>30907</v>
      </c>
      <c r="H10995" t="s">
        <v>7411</v>
      </c>
      <c r="I10995" t="s">
        <v>30919</v>
      </c>
      <c r="J10995" t="s">
        <v>31152</v>
      </c>
      <c r="K10995" t="s">
        <v>40447</v>
      </c>
      <c r="M10995" t="s">
        <v>44055</v>
      </c>
      <c r="N10995" t="s">
        <v>44759</v>
      </c>
      <c r="O10995" t="s">
        <v>44760</v>
      </c>
      <c r="P10995">
        <v>0</v>
      </c>
      <c r="Q10995">
        <v>0</v>
      </c>
      <c r="R10995" t="s">
        <v>44773</v>
      </c>
      <c r="S10995" t="s">
        <v>45184</v>
      </c>
      <c r="T10995" t="s">
        <v>46366</v>
      </c>
      <c r="U10995" t="s">
        <v>55998</v>
      </c>
      <c r="W10995" t="s">
        <v>44055</v>
      </c>
      <c r="X10995" t="s">
        <v>44774</v>
      </c>
    </row>
    <row r="10996" spans="1:24">
      <c r="A10996">
        <f>HYPERLINK("https://www.philgeps.gov.ph/GEPSNONPILOT/Tender/SplashBidNoticeAbstractUI.aspx?menuIndex=3&amp;refID=7130256&amp;Result=3","7130256")</f>
        <v>0</v>
      </c>
      <c r="B10996" t="s">
        <v>629</v>
      </c>
      <c r="C10996" t="s">
        <v>14201</v>
      </c>
      <c r="D10996" t="s">
        <v>17992</v>
      </c>
      <c r="E10996" t="s">
        <v>27093</v>
      </c>
      <c r="F10996" t="s">
        <v>30900</v>
      </c>
      <c r="G10996" t="s">
        <v>30907</v>
      </c>
      <c r="H10996" t="s">
        <v>30915</v>
      </c>
      <c r="I10996" t="s">
        <v>30919</v>
      </c>
      <c r="J10996" t="s">
        <v>37880</v>
      </c>
      <c r="K10996" t="s">
        <v>40445</v>
      </c>
      <c r="M10996" t="s">
        <v>44017</v>
      </c>
      <c r="N10996" t="s">
        <v>44759</v>
      </c>
      <c r="O10996" t="s">
        <v>44760</v>
      </c>
      <c r="P10996">
        <v>0</v>
      </c>
      <c r="Q10996">
        <v>0</v>
      </c>
      <c r="R10996" t="s">
        <v>44773</v>
      </c>
      <c r="S10996" t="s">
        <v>45184</v>
      </c>
      <c r="T10996" t="s">
        <v>46425</v>
      </c>
      <c r="U10996" t="s">
        <v>55999</v>
      </c>
      <c r="V10996" t="s">
        <v>60343</v>
      </c>
      <c r="W10996" t="s">
        <v>44017</v>
      </c>
      <c r="X10996" t="s">
        <v>44774</v>
      </c>
    </row>
    <row r="10997" spans="1:24">
      <c r="A10997">
        <f>HYPERLINK("https://www.philgeps.gov.ph/GEPSNONPILOT/Tender/SplashBidNoticeAbstractUI.aspx?menuIndex=3&amp;refID=7128711&amp;Result=3","7128711")</f>
        <v>0</v>
      </c>
      <c r="B10997" t="s">
        <v>3212</v>
      </c>
      <c r="C10997" t="s">
        <v>14202</v>
      </c>
      <c r="D10997" t="s">
        <v>17985</v>
      </c>
      <c r="E10997" t="s">
        <v>27537</v>
      </c>
      <c r="F10997" t="s">
        <v>30900</v>
      </c>
      <c r="G10997" t="s">
        <v>30907</v>
      </c>
      <c r="H10997" t="s">
        <v>30916</v>
      </c>
      <c r="I10997" t="s">
        <v>4050</v>
      </c>
      <c r="J10997" t="s">
        <v>37881</v>
      </c>
      <c r="K10997" t="s">
        <v>40292</v>
      </c>
      <c r="M10997" t="s">
        <v>44051</v>
      </c>
      <c r="N10997" t="s">
        <v>44759</v>
      </c>
      <c r="O10997" t="s">
        <v>44760</v>
      </c>
      <c r="P10997">
        <v>0</v>
      </c>
      <c r="Q10997">
        <v>6</v>
      </c>
      <c r="R10997" t="s">
        <v>44773</v>
      </c>
      <c r="S10997" t="s">
        <v>45184</v>
      </c>
      <c r="T10997" t="s">
        <v>46370</v>
      </c>
      <c r="U10997" t="s">
        <v>56000</v>
      </c>
      <c r="W10997" t="s">
        <v>44051</v>
      </c>
      <c r="X10997" t="s">
        <v>44775</v>
      </c>
    </row>
    <row r="10998" spans="1:24">
      <c r="A10998">
        <f>HYPERLINK("https://www.philgeps.gov.ph/GEPSNONPILOT/Tender/SplashBidNoticeAbstractUI.aspx?menuIndex=3&amp;refID=7131046&amp;Result=3","7131046")</f>
        <v>0</v>
      </c>
      <c r="B10998" t="s">
        <v>317</v>
      </c>
      <c r="C10998" t="s">
        <v>14203</v>
      </c>
      <c r="D10998" t="s">
        <v>17952</v>
      </c>
      <c r="E10998" t="s">
        <v>27538</v>
      </c>
      <c r="F10998" t="s">
        <v>30900</v>
      </c>
      <c r="G10998" t="s">
        <v>30907</v>
      </c>
      <c r="H10998" t="s">
        <v>30915</v>
      </c>
      <c r="I10998" t="s">
        <v>30919</v>
      </c>
      <c r="J10998" t="s">
        <v>37882</v>
      </c>
      <c r="K10998" t="s">
        <v>40304</v>
      </c>
      <c r="M10998" t="s">
        <v>40868</v>
      </c>
      <c r="N10998" t="s">
        <v>44759</v>
      </c>
      <c r="O10998" t="s">
        <v>44760</v>
      </c>
      <c r="P10998">
        <v>0</v>
      </c>
      <c r="Q10998">
        <v>2</v>
      </c>
      <c r="R10998" t="s">
        <v>44773</v>
      </c>
      <c r="S10998" t="s">
        <v>45184</v>
      </c>
      <c r="T10998" t="s">
        <v>46563</v>
      </c>
      <c r="U10998" t="s">
        <v>56001</v>
      </c>
      <c r="W10998" t="s">
        <v>60824</v>
      </c>
      <c r="X10998" t="s">
        <v>44774</v>
      </c>
    </row>
    <row r="10999" spans="1:24">
      <c r="A10999">
        <f>HYPERLINK("https://www.philgeps.gov.ph/GEPSNONPILOT/Tender/SplashBidNoticeAbstractUI.aspx?menuIndex=3&amp;refID=7127962&amp;Result=3","7127962")</f>
        <v>0</v>
      </c>
      <c r="B10999" t="s">
        <v>3207</v>
      </c>
      <c r="C10999" t="s">
        <v>14204</v>
      </c>
      <c r="D10999" t="s">
        <v>17996</v>
      </c>
      <c r="E10999" t="s">
        <v>27539</v>
      </c>
      <c r="F10999" t="s">
        <v>30900</v>
      </c>
      <c r="G10999" t="s">
        <v>30907</v>
      </c>
      <c r="H10999" t="s">
        <v>30915</v>
      </c>
      <c r="I10999" t="s">
        <v>30919</v>
      </c>
      <c r="J10999" t="s">
        <v>37883</v>
      </c>
      <c r="K10999" t="s">
        <v>40289</v>
      </c>
      <c r="M10999" t="s">
        <v>44046</v>
      </c>
      <c r="N10999" t="s">
        <v>44759</v>
      </c>
      <c r="O10999" t="s">
        <v>44760</v>
      </c>
      <c r="P10999">
        <v>0</v>
      </c>
      <c r="Q10999">
        <v>0</v>
      </c>
      <c r="R10999" t="s">
        <v>44773</v>
      </c>
      <c r="S10999" t="s">
        <v>45184</v>
      </c>
      <c r="T10999" t="s">
        <v>46396</v>
      </c>
      <c r="U10999" t="s">
        <v>56002</v>
      </c>
      <c r="W10999" t="s">
        <v>44046</v>
      </c>
      <c r="X10999" t="s">
        <v>44775</v>
      </c>
    </row>
    <row r="11000" spans="1:24">
      <c r="A11000">
        <f>HYPERLINK("https://www.philgeps.gov.ph/GEPSNONPILOT/Tender/SplashBidNoticeAbstractUI.aspx?menuIndex=3&amp;refID=7127591&amp;Result=3","7127591")</f>
        <v>0</v>
      </c>
      <c r="B11000" t="s">
        <v>46</v>
      </c>
      <c r="C11000" t="s">
        <v>14205</v>
      </c>
      <c r="D11000" t="s">
        <v>17953</v>
      </c>
      <c r="E11000" t="s">
        <v>27540</v>
      </c>
      <c r="F11000" t="s">
        <v>30900</v>
      </c>
      <c r="G11000" t="s">
        <v>30907</v>
      </c>
      <c r="H11000" t="s">
        <v>30915</v>
      </c>
      <c r="I11000" t="s">
        <v>30919</v>
      </c>
      <c r="J11000" t="s">
        <v>32616</v>
      </c>
      <c r="K11000" t="s">
        <v>40510</v>
      </c>
      <c r="M11000" t="s">
        <v>40592</v>
      </c>
      <c r="N11000" t="s">
        <v>44759</v>
      </c>
      <c r="O11000" t="s">
        <v>44760</v>
      </c>
      <c r="P11000">
        <v>0</v>
      </c>
      <c r="Q11000">
        <v>11</v>
      </c>
      <c r="R11000" t="s">
        <v>44773</v>
      </c>
      <c r="S11000" t="s">
        <v>45184</v>
      </c>
      <c r="T11000" t="s">
        <v>46544</v>
      </c>
      <c r="U11000" t="s">
        <v>56003</v>
      </c>
      <c r="W11000" t="s">
        <v>60901</v>
      </c>
      <c r="X11000" t="s">
        <v>44775</v>
      </c>
    </row>
    <row r="11001" spans="1:24">
      <c r="A11001">
        <f>HYPERLINK("https://www.philgeps.gov.ph/GEPSNONPILOT/Tender/SplashBidNoticeAbstractUI.aspx?menuIndex=3&amp;refID=7130160&amp;Result=3","7130160")</f>
        <v>0</v>
      </c>
      <c r="B11001" t="s">
        <v>3294</v>
      </c>
      <c r="C11001" t="s">
        <v>14206</v>
      </c>
      <c r="D11001" t="s">
        <v>17974</v>
      </c>
      <c r="E11001" t="s">
        <v>24423</v>
      </c>
      <c r="F11001" t="s">
        <v>30900</v>
      </c>
      <c r="G11001" t="s">
        <v>30907</v>
      </c>
      <c r="H11001" t="s">
        <v>30916</v>
      </c>
      <c r="I11001" t="s">
        <v>30926</v>
      </c>
      <c r="J11001" t="s">
        <v>31713</v>
      </c>
      <c r="K11001" t="s">
        <v>40284</v>
      </c>
      <c r="M11001" t="s">
        <v>44143</v>
      </c>
      <c r="N11001" t="s">
        <v>44759</v>
      </c>
      <c r="O11001" t="s">
        <v>44760</v>
      </c>
      <c r="P11001">
        <v>0</v>
      </c>
      <c r="Q11001">
        <v>0</v>
      </c>
      <c r="R11001" t="s">
        <v>44773</v>
      </c>
      <c r="S11001" t="s">
        <v>45184</v>
      </c>
      <c r="T11001" t="s">
        <v>46353</v>
      </c>
      <c r="U11001" t="s">
        <v>56004</v>
      </c>
      <c r="W11001" t="s">
        <v>44143</v>
      </c>
      <c r="X11001" t="s">
        <v>44774</v>
      </c>
    </row>
    <row r="11002" spans="1:24">
      <c r="A11002">
        <f>HYPERLINK("https://www.philgeps.gov.ph/GEPSNONPILOT/Tender/SplashBidNoticeAbstractUI.aspx?menuIndex=3&amp;refID=7127548&amp;Result=3","7127548")</f>
        <v>0</v>
      </c>
      <c r="B11002" t="s">
        <v>806</v>
      </c>
      <c r="C11002" t="s">
        <v>14207</v>
      </c>
      <c r="D11002" t="s">
        <v>18029</v>
      </c>
      <c r="E11002" t="s">
        <v>27541</v>
      </c>
      <c r="F11002" t="s">
        <v>30900</v>
      </c>
      <c r="G11002" t="s">
        <v>30908</v>
      </c>
      <c r="H11002" t="s">
        <v>30916</v>
      </c>
      <c r="I11002" t="s">
        <v>30921</v>
      </c>
      <c r="J11002" t="s">
        <v>37884</v>
      </c>
      <c r="K11002" t="s">
        <v>40283</v>
      </c>
      <c r="M11002" t="s">
        <v>41376</v>
      </c>
      <c r="N11002" t="s">
        <v>44759</v>
      </c>
      <c r="O11002" t="s">
        <v>44760</v>
      </c>
      <c r="Q11002">
        <v>0</v>
      </c>
      <c r="R11002" t="s">
        <v>44773</v>
      </c>
      <c r="S11002" t="s">
        <v>45260</v>
      </c>
      <c r="T11002" t="s">
        <v>46542</v>
      </c>
      <c r="U11002" t="s">
        <v>50325</v>
      </c>
      <c r="W11002" t="s">
        <v>41376</v>
      </c>
      <c r="X11002" t="s">
        <v>44775</v>
      </c>
    </row>
    <row r="11003" spans="1:24">
      <c r="A11003">
        <f>HYPERLINK("https://www.philgeps.gov.ph/GEPSNONPILOT/Tender/SplashBidNoticeAbstractUI.aspx?menuIndex=3&amp;refID=7127463&amp;Result=3","7127463")</f>
        <v>0</v>
      </c>
      <c r="B11003" t="s">
        <v>2744</v>
      </c>
      <c r="C11003" t="s">
        <v>14208</v>
      </c>
      <c r="D11003" t="s">
        <v>17952</v>
      </c>
      <c r="E11003" t="s">
        <v>27533</v>
      </c>
      <c r="F11003" t="s">
        <v>30900</v>
      </c>
      <c r="G11003" t="s">
        <v>30907</v>
      </c>
      <c r="H11003" t="s">
        <v>30916</v>
      </c>
      <c r="I11003" t="s">
        <v>8123</v>
      </c>
      <c r="J11003" t="s">
        <v>37885</v>
      </c>
      <c r="K11003" t="s">
        <v>40283</v>
      </c>
      <c r="M11003" t="s">
        <v>43520</v>
      </c>
      <c r="N11003" t="s">
        <v>44759</v>
      </c>
      <c r="O11003" t="s">
        <v>44760</v>
      </c>
      <c r="P11003">
        <v>0</v>
      </c>
      <c r="Q11003">
        <v>0</v>
      </c>
      <c r="R11003" t="s">
        <v>44773</v>
      </c>
      <c r="S11003" t="s">
        <v>45184</v>
      </c>
      <c r="T11003" t="s">
        <v>46413</v>
      </c>
      <c r="U11003" t="s">
        <v>53912</v>
      </c>
      <c r="W11003" t="s">
        <v>43520</v>
      </c>
      <c r="X11003" t="s">
        <v>44775</v>
      </c>
    </row>
    <row r="11004" spans="1:24">
      <c r="A11004">
        <f>HYPERLINK("https://www.philgeps.gov.ph/GEPSNONPILOT/Tender/SplashBidNoticeAbstractUI.aspx?menuIndex=3&amp;refID=7135318&amp;Result=3","7135318")</f>
        <v>0</v>
      </c>
      <c r="B11004" t="s">
        <v>3295</v>
      </c>
      <c r="C11004" t="s">
        <v>14209</v>
      </c>
      <c r="D11004" t="s">
        <v>18002</v>
      </c>
      <c r="E11004" t="s">
        <v>27542</v>
      </c>
      <c r="F11004" t="s">
        <v>30900</v>
      </c>
      <c r="G11004" t="s">
        <v>30907</v>
      </c>
      <c r="H11004" t="s">
        <v>30917</v>
      </c>
      <c r="I11004" t="s">
        <v>5830</v>
      </c>
      <c r="J11004" t="s">
        <v>35229</v>
      </c>
      <c r="K11004" t="s">
        <v>40324</v>
      </c>
      <c r="M11004" t="s">
        <v>44144</v>
      </c>
      <c r="N11004" t="s">
        <v>44759</v>
      </c>
      <c r="O11004" t="s">
        <v>44760</v>
      </c>
      <c r="P11004">
        <v>0</v>
      </c>
      <c r="Q11004">
        <v>7</v>
      </c>
      <c r="R11004" t="s">
        <v>44772</v>
      </c>
      <c r="S11004" t="s">
        <v>45149</v>
      </c>
      <c r="T11004" t="s">
        <v>46414</v>
      </c>
      <c r="U11004" t="s">
        <v>56005</v>
      </c>
      <c r="W11004" t="s">
        <v>44144</v>
      </c>
      <c r="X11004" t="s">
        <v>44773</v>
      </c>
    </row>
    <row r="11005" spans="1:24">
      <c r="A11005">
        <f>HYPERLINK("https://www.philgeps.gov.ph/GEPSNONPILOT/Tender/SplashBidNoticeAbstractUI.aspx?menuIndex=3&amp;refID=7135320&amp;Result=3","7135320")</f>
        <v>0</v>
      </c>
      <c r="B11005" t="s">
        <v>2465</v>
      </c>
      <c r="C11005" t="s">
        <v>14210</v>
      </c>
      <c r="D11005" t="s">
        <v>17959</v>
      </c>
      <c r="E11005" t="s">
        <v>27543</v>
      </c>
      <c r="F11005" t="s">
        <v>30900</v>
      </c>
      <c r="G11005" t="s">
        <v>30908</v>
      </c>
      <c r="H11005" t="s">
        <v>30916</v>
      </c>
      <c r="I11005" t="s">
        <v>4108</v>
      </c>
      <c r="J11005" t="s">
        <v>37886</v>
      </c>
      <c r="K11005" t="s">
        <v>40286</v>
      </c>
      <c r="M11005" t="s">
        <v>43203</v>
      </c>
      <c r="N11005" t="s">
        <v>44759</v>
      </c>
      <c r="O11005" t="s">
        <v>44760</v>
      </c>
      <c r="P11005">
        <v>0</v>
      </c>
      <c r="Q11005">
        <v>4</v>
      </c>
      <c r="R11005" t="s">
        <v>44772</v>
      </c>
      <c r="S11005" t="s">
        <v>45149</v>
      </c>
      <c r="T11005" t="s">
        <v>46662</v>
      </c>
      <c r="U11005" t="s">
        <v>56006</v>
      </c>
      <c r="V11005" t="s">
        <v>59886</v>
      </c>
      <c r="W11005" t="s">
        <v>43203</v>
      </c>
      <c r="X11005" t="s">
        <v>44773</v>
      </c>
    </row>
    <row r="11006" spans="1:24">
      <c r="A11006">
        <f>HYPERLINK("https://www.philgeps.gov.ph/GEPSNONPILOT/Tender/SplashBidNoticeAbstractUI.aspx?menuIndex=3&amp;refID=7135204&amp;Result=3","7135204")</f>
        <v>0</v>
      </c>
      <c r="B11006" t="s">
        <v>3296</v>
      </c>
      <c r="C11006" t="s">
        <v>14211</v>
      </c>
      <c r="D11006" t="s">
        <v>17959</v>
      </c>
      <c r="E11006" t="s">
        <v>27544</v>
      </c>
      <c r="F11006" t="s">
        <v>30900</v>
      </c>
      <c r="G11006" t="s">
        <v>30906</v>
      </c>
      <c r="H11006" t="s">
        <v>30915</v>
      </c>
      <c r="I11006" t="s">
        <v>30919</v>
      </c>
      <c r="J11006" t="s">
        <v>37887</v>
      </c>
      <c r="K11006" t="s">
        <v>40284</v>
      </c>
      <c r="M11006" t="s">
        <v>44145</v>
      </c>
      <c r="N11006" t="s">
        <v>44759</v>
      </c>
      <c r="O11006" t="s">
        <v>44760</v>
      </c>
      <c r="P11006">
        <v>0</v>
      </c>
      <c r="Q11006">
        <v>1</v>
      </c>
      <c r="R11006" t="s">
        <v>44772</v>
      </c>
      <c r="S11006" t="s">
        <v>45149</v>
      </c>
      <c r="T11006" t="s">
        <v>46404</v>
      </c>
      <c r="U11006" t="s">
        <v>56007</v>
      </c>
      <c r="V11006" t="s">
        <v>60344</v>
      </c>
      <c r="W11006" t="s">
        <v>44145</v>
      </c>
      <c r="X11006" t="s">
        <v>44773</v>
      </c>
    </row>
    <row r="11007" spans="1:24">
      <c r="A11007">
        <f>HYPERLINK("https://www.philgeps.gov.ph/GEPSNONPILOT/Tender/SplashBidNoticeAbstractUI.aspx?menuIndex=3&amp;refID=7135315&amp;Result=3","7135315")</f>
        <v>0</v>
      </c>
      <c r="B11007" t="s">
        <v>1793</v>
      </c>
      <c r="C11007" t="s">
        <v>14212</v>
      </c>
      <c r="D11007" t="s">
        <v>18031</v>
      </c>
      <c r="E11007" t="s">
        <v>18473</v>
      </c>
      <c r="F11007" t="s">
        <v>30900</v>
      </c>
      <c r="G11007" t="s">
        <v>30907</v>
      </c>
      <c r="H11007" t="s">
        <v>30916</v>
      </c>
      <c r="I11007" t="s">
        <v>30932</v>
      </c>
      <c r="J11007" t="s">
        <v>31214</v>
      </c>
      <c r="K11007" t="s">
        <v>40283</v>
      </c>
      <c r="M11007" t="s">
        <v>42467</v>
      </c>
      <c r="N11007" t="s">
        <v>44759</v>
      </c>
      <c r="O11007" t="s">
        <v>44760</v>
      </c>
      <c r="P11007">
        <v>0</v>
      </c>
      <c r="Q11007">
        <v>4</v>
      </c>
      <c r="R11007" t="s">
        <v>44772</v>
      </c>
      <c r="S11007" t="s">
        <v>45149</v>
      </c>
      <c r="T11007" t="s">
        <v>46400</v>
      </c>
      <c r="U11007" t="s">
        <v>56008</v>
      </c>
      <c r="W11007" t="s">
        <v>42467</v>
      </c>
      <c r="X11007" t="s">
        <v>44773</v>
      </c>
    </row>
    <row r="11008" spans="1:24">
      <c r="A11008">
        <f>HYPERLINK("https://www.philgeps.gov.ph/GEPSNONPILOT/Tender/SplashBidNoticeAbstractUI.aspx?menuIndex=3&amp;refID=7128522&amp;Result=3","7128522")</f>
        <v>0</v>
      </c>
      <c r="B11008" t="s">
        <v>3207</v>
      </c>
      <c r="C11008" t="s">
        <v>14213</v>
      </c>
      <c r="D11008" t="s">
        <v>17996</v>
      </c>
      <c r="E11008" t="s">
        <v>27545</v>
      </c>
      <c r="F11008" t="s">
        <v>30900</v>
      </c>
      <c r="G11008" t="s">
        <v>30907</v>
      </c>
      <c r="H11008" t="s">
        <v>30915</v>
      </c>
      <c r="I11008" t="s">
        <v>30919</v>
      </c>
      <c r="J11008" t="s">
        <v>31214</v>
      </c>
      <c r="K11008" t="s">
        <v>40289</v>
      </c>
      <c r="M11008" t="s">
        <v>44046</v>
      </c>
      <c r="N11008" t="s">
        <v>44759</v>
      </c>
      <c r="O11008" t="s">
        <v>44760</v>
      </c>
      <c r="P11008">
        <v>0</v>
      </c>
      <c r="Q11008">
        <v>4</v>
      </c>
      <c r="R11008" t="s">
        <v>44773</v>
      </c>
      <c r="S11008" t="s">
        <v>45184</v>
      </c>
      <c r="T11008" t="s">
        <v>46396</v>
      </c>
      <c r="U11008" t="s">
        <v>56009</v>
      </c>
      <c r="W11008" t="s">
        <v>44046</v>
      </c>
      <c r="X11008" t="s">
        <v>44775</v>
      </c>
    </row>
    <row r="11009" spans="1:24">
      <c r="A11009">
        <f>HYPERLINK("https://www.philgeps.gov.ph/GEPSNONPILOT/Tender/SplashBidNoticeAbstractUI.aspx?menuIndex=3&amp;refID=7135184&amp;Result=3","7135184")</f>
        <v>0</v>
      </c>
      <c r="B11009" t="s">
        <v>1119</v>
      </c>
      <c r="C11009" t="s">
        <v>14214</v>
      </c>
      <c r="D11009" t="s">
        <v>18038</v>
      </c>
      <c r="E11009" t="s">
        <v>27546</v>
      </c>
      <c r="F11009" t="s">
        <v>30900</v>
      </c>
      <c r="G11009" t="s">
        <v>30907</v>
      </c>
      <c r="H11009" t="s">
        <v>30916</v>
      </c>
      <c r="I11009" t="s">
        <v>8021</v>
      </c>
      <c r="J11009" t="s">
        <v>37888</v>
      </c>
      <c r="K11009" t="s">
        <v>40286</v>
      </c>
      <c r="M11009" t="s">
        <v>42602</v>
      </c>
      <c r="N11009" t="s">
        <v>44759</v>
      </c>
      <c r="O11009" t="s">
        <v>44760</v>
      </c>
      <c r="P11009">
        <v>0</v>
      </c>
      <c r="Q11009">
        <v>2</v>
      </c>
      <c r="R11009" t="s">
        <v>44772</v>
      </c>
      <c r="S11009" t="s">
        <v>45149</v>
      </c>
      <c r="T11009" t="s">
        <v>46370</v>
      </c>
      <c r="U11009" t="s">
        <v>56010</v>
      </c>
      <c r="V11009" t="s">
        <v>60345</v>
      </c>
      <c r="W11009" t="s">
        <v>42602</v>
      </c>
      <c r="X11009" t="s">
        <v>44773</v>
      </c>
    </row>
    <row r="11010" spans="1:24">
      <c r="A11010">
        <f>HYPERLINK("https://www.philgeps.gov.ph/GEPSNONPILOT/Tender/SplashBidNoticeAbstractUI.aspx?menuIndex=3&amp;refID=7135201&amp;Result=3","7135201")</f>
        <v>0</v>
      </c>
      <c r="B11010" t="s">
        <v>1093</v>
      </c>
      <c r="C11010" t="s">
        <v>14215</v>
      </c>
      <c r="D11010" t="s">
        <v>18033</v>
      </c>
      <c r="E11010" t="s">
        <v>27547</v>
      </c>
      <c r="F11010" t="s">
        <v>30900</v>
      </c>
      <c r="G11010" t="s">
        <v>30907</v>
      </c>
      <c r="H11010" t="s">
        <v>30916</v>
      </c>
      <c r="I11010" t="s">
        <v>8123</v>
      </c>
      <c r="J11010" t="s">
        <v>37889</v>
      </c>
      <c r="K11010" t="s">
        <v>40371</v>
      </c>
      <c r="M11010" t="s">
        <v>41693</v>
      </c>
      <c r="N11010" t="s">
        <v>44759</v>
      </c>
      <c r="O11010" t="s">
        <v>44760</v>
      </c>
      <c r="P11010">
        <v>0</v>
      </c>
      <c r="Q11010">
        <v>0</v>
      </c>
      <c r="R11010" t="s">
        <v>44772</v>
      </c>
      <c r="S11010" t="s">
        <v>45149</v>
      </c>
      <c r="T11010" t="s">
        <v>46595</v>
      </c>
      <c r="U11010" t="s">
        <v>56011</v>
      </c>
      <c r="W11010" t="s">
        <v>41693</v>
      </c>
      <c r="X11010" t="s">
        <v>44773</v>
      </c>
    </row>
    <row r="11011" spans="1:24">
      <c r="A11011">
        <f>HYPERLINK("https://www.philgeps.gov.ph/GEPSNONPILOT/Tender/SplashBidNoticeAbstractUI.aspx?menuIndex=3&amp;refID=7135183&amp;Result=3","7135183")</f>
        <v>0</v>
      </c>
      <c r="B11011" t="s">
        <v>3159</v>
      </c>
      <c r="C11011" t="s">
        <v>14216</v>
      </c>
      <c r="D11011" t="s">
        <v>17999</v>
      </c>
      <c r="E11011" t="s">
        <v>27548</v>
      </c>
      <c r="F11011" t="s">
        <v>30900</v>
      </c>
      <c r="G11011" t="s">
        <v>30907</v>
      </c>
      <c r="H11011" t="s">
        <v>30915</v>
      </c>
      <c r="I11011" t="s">
        <v>30922</v>
      </c>
      <c r="J11011" t="s">
        <v>37890</v>
      </c>
      <c r="K11011" t="s">
        <v>40441</v>
      </c>
      <c r="M11011" t="s">
        <v>43982</v>
      </c>
      <c r="N11011" t="s">
        <v>44759</v>
      </c>
      <c r="O11011" t="s">
        <v>44760</v>
      </c>
      <c r="P11011">
        <v>0</v>
      </c>
      <c r="Q11011">
        <v>0</v>
      </c>
      <c r="R11011" t="s">
        <v>44772</v>
      </c>
      <c r="S11011" t="s">
        <v>45149</v>
      </c>
      <c r="T11011" t="s">
        <v>46656</v>
      </c>
      <c r="U11011" t="s">
        <v>56012</v>
      </c>
      <c r="V11011" t="s">
        <v>60346</v>
      </c>
      <c r="W11011" t="s">
        <v>43982</v>
      </c>
      <c r="X11011" t="s">
        <v>44773</v>
      </c>
    </row>
    <row r="11012" spans="1:24">
      <c r="A11012">
        <f>HYPERLINK("https://www.philgeps.gov.ph/GEPSNONPILOT/Tender/SplashBidNoticeAbstractUI.aspx?menuIndex=3&amp;refID=7135182&amp;Result=3","7135182")</f>
        <v>0</v>
      </c>
      <c r="B11012" t="s">
        <v>1119</v>
      </c>
      <c r="C11012" t="s">
        <v>14217</v>
      </c>
      <c r="D11012" t="s">
        <v>18038</v>
      </c>
      <c r="E11012" t="s">
        <v>27549</v>
      </c>
      <c r="F11012" t="s">
        <v>30900</v>
      </c>
      <c r="G11012" t="s">
        <v>30907</v>
      </c>
      <c r="H11012" t="s">
        <v>30916</v>
      </c>
      <c r="I11012" t="s">
        <v>7708</v>
      </c>
      <c r="J11012" t="s">
        <v>34250</v>
      </c>
      <c r="K11012" t="s">
        <v>40292</v>
      </c>
      <c r="M11012" t="s">
        <v>42602</v>
      </c>
      <c r="N11012" t="s">
        <v>44759</v>
      </c>
      <c r="O11012" t="s">
        <v>44760</v>
      </c>
      <c r="Q11012">
        <v>5</v>
      </c>
      <c r="R11012" t="s">
        <v>44772</v>
      </c>
      <c r="S11012" t="s">
        <v>45261</v>
      </c>
      <c r="T11012" t="s">
        <v>46752</v>
      </c>
      <c r="U11012" t="s">
        <v>56013</v>
      </c>
      <c r="V11012" t="s">
        <v>59685</v>
      </c>
      <c r="W11012" t="s">
        <v>42602</v>
      </c>
      <c r="X11012" t="s">
        <v>44773</v>
      </c>
    </row>
    <row r="11013" spans="1:24">
      <c r="A11013">
        <f>HYPERLINK("https://www.philgeps.gov.ph/GEPSNONPILOT/Tender/SplashBidNoticeAbstractUI.aspx?menuIndex=3&amp;refID=7135177&amp;Result=3","7135177")</f>
        <v>0</v>
      </c>
      <c r="B11013" t="s">
        <v>1119</v>
      </c>
      <c r="C11013" t="s">
        <v>14218</v>
      </c>
      <c r="D11013" t="s">
        <v>18038</v>
      </c>
      <c r="E11013" t="s">
        <v>27550</v>
      </c>
      <c r="F11013" t="s">
        <v>30900</v>
      </c>
      <c r="G11013" t="s">
        <v>30907</v>
      </c>
      <c r="H11013" t="s">
        <v>30916</v>
      </c>
      <c r="I11013" t="s">
        <v>7708</v>
      </c>
      <c r="J11013" t="s">
        <v>33529</v>
      </c>
      <c r="K11013" t="s">
        <v>40293</v>
      </c>
      <c r="M11013" t="s">
        <v>42602</v>
      </c>
      <c r="N11013" t="s">
        <v>44759</v>
      </c>
      <c r="O11013" t="s">
        <v>44760</v>
      </c>
      <c r="Q11013">
        <v>11</v>
      </c>
      <c r="R11013" t="s">
        <v>44772</v>
      </c>
      <c r="S11013" t="s">
        <v>45262</v>
      </c>
      <c r="T11013" t="s">
        <v>46752</v>
      </c>
      <c r="U11013" t="s">
        <v>56013</v>
      </c>
      <c r="V11013" t="s">
        <v>60347</v>
      </c>
      <c r="W11013" t="s">
        <v>42602</v>
      </c>
      <c r="X11013" t="s">
        <v>44773</v>
      </c>
    </row>
    <row r="11014" spans="1:24">
      <c r="A11014">
        <f>HYPERLINK("https://www.philgeps.gov.ph/GEPSNONPILOT/Tender/SplashBidNoticeAbstractUI.aspx?menuIndex=3&amp;refID=7130149&amp;Result=3","7130149")</f>
        <v>0</v>
      </c>
      <c r="B11014" t="s">
        <v>3213</v>
      </c>
      <c r="C11014" t="s">
        <v>14219</v>
      </c>
      <c r="D11014" t="s">
        <v>17953</v>
      </c>
      <c r="E11014" t="s">
        <v>27551</v>
      </c>
      <c r="F11014" t="s">
        <v>30900</v>
      </c>
      <c r="G11014" t="s">
        <v>30907</v>
      </c>
      <c r="H11014" t="s">
        <v>30915</v>
      </c>
      <c r="I11014" t="s">
        <v>30919</v>
      </c>
      <c r="J11014" t="s">
        <v>37891</v>
      </c>
      <c r="K11014" t="s">
        <v>40290</v>
      </c>
      <c r="M11014" t="s">
        <v>44052</v>
      </c>
      <c r="N11014" t="s">
        <v>44759</v>
      </c>
      <c r="O11014" t="s">
        <v>44760</v>
      </c>
      <c r="P11014">
        <v>0</v>
      </c>
      <c r="Q11014">
        <v>9</v>
      </c>
      <c r="R11014" t="s">
        <v>44773</v>
      </c>
      <c r="S11014" t="s">
        <v>45184</v>
      </c>
      <c r="T11014" t="s">
        <v>46370</v>
      </c>
      <c r="U11014" t="s">
        <v>56014</v>
      </c>
      <c r="W11014" t="s">
        <v>44052</v>
      </c>
      <c r="X11014" t="s">
        <v>44774</v>
      </c>
    </row>
    <row r="11015" spans="1:24">
      <c r="A11015">
        <f>HYPERLINK("https://www.philgeps.gov.ph/GEPSNONPILOT/Tender/SplashBidNoticeAbstractUI.aspx?menuIndex=3&amp;refID=7130173&amp;Result=3","7130173")</f>
        <v>0</v>
      </c>
      <c r="B11015" t="s">
        <v>3188</v>
      </c>
      <c r="C11015" t="s">
        <v>14220</v>
      </c>
      <c r="D11015" t="s">
        <v>18020</v>
      </c>
      <c r="E11015" t="s">
        <v>27233</v>
      </c>
      <c r="F11015" t="s">
        <v>30900</v>
      </c>
      <c r="G11015" t="s">
        <v>30907</v>
      </c>
      <c r="H11015" t="s">
        <v>30916</v>
      </c>
      <c r="I11015" t="s">
        <v>30921</v>
      </c>
      <c r="J11015" t="s">
        <v>37892</v>
      </c>
      <c r="K11015" t="s">
        <v>40284</v>
      </c>
      <c r="M11015" t="s">
        <v>44022</v>
      </c>
      <c r="N11015" t="s">
        <v>44759</v>
      </c>
      <c r="O11015" t="s">
        <v>44760</v>
      </c>
      <c r="P11015">
        <v>0</v>
      </c>
      <c r="Q11015">
        <v>11</v>
      </c>
      <c r="R11015" t="s">
        <v>44773</v>
      </c>
      <c r="S11015" t="s">
        <v>45184</v>
      </c>
      <c r="T11015" t="s">
        <v>46383</v>
      </c>
      <c r="U11015" t="s">
        <v>50666</v>
      </c>
      <c r="W11015" t="s">
        <v>60920</v>
      </c>
      <c r="X11015" t="s">
        <v>44774</v>
      </c>
    </row>
    <row r="11016" spans="1:24">
      <c r="A11016">
        <f>HYPERLINK("https://www.philgeps.gov.ph/GEPSNONPILOT/Tender/SplashBidNoticeAbstractUI.aspx?menuIndex=3&amp;refID=7135197&amp;Result=3","7135197")</f>
        <v>0</v>
      </c>
      <c r="B11016" t="s">
        <v>1093</v>
      </c>
      <c r="C11016" t="s">
        <v>14221</v>
      </c>
      <c r="D11016" t="s">
        <v>18033</v>
      </c>
      <c r="E11016" t="s">
        <v>27552</v>
      </c>
      <c r="F11016" t="s">
        <v>30900</v>
      </c>
      <c r="G11016" t="s">
        <v>30907</v>
      </c>
      <c r="H11016" t="s">
        <v>30916</v>
      </c>
      <c r="I11016" t="s">
        <v>4108</v>
      </c>
      <c r="J11016" t="s">
        <v>31398</v>
      </c>
      <c r="K11016" t="s">
        <v>40286</v>
      </c>
      <c r="M11016" t="s">
        <v>41693</v>
      </c>
      <c r="N11016" t="s">
        <v>44759</v>
      </c>
      <c r="O11016" t="s">
        <v>44760</v>
      </c>
      <c r="P11016">
        <v>0</v>
      </c>
      <c r="Q11016">
        <v>1</v>
      </c>
      <c r="R11016" t="s">
        <v>44772</v>
      </c>
      <c r="S11016" t="s">
        <v>45149</v>
      </c>
      <c r="T11016" t="s">
        <v>46595</v>
      </c>
      <c r="U11016" t="s">
        <v>56015</v>
      </c>
      <c r="W11016" t="s">
        <v>41693</v>
      </c>
      <c r="X11016" t="s">
        <v>44773</v>
      </c>
    </row>
    <row r="11017" spans="1:24">
      <c r="A11017">
        <f>HYPERLINK("https://www.philgeps.gov.ph/GEPSNONPILOT/Tender/SplashBidNoticeAbstractUI.aspx?menuIndex=3&amp;refID=7119921&amp;Result=3","7119921")</f>
        <v>0</v>
      </c>
      <c r="B11017" t="s">
        <v>3297</v>
      </c>
      <c r="C11017" t="s">
        <v>14222</v>
      </c>
      <c r="D11017" t="s">
        <v>17954</v>
      </c>
      <c r="E11017" t="s">
        <v>27553</v>
      </c>
      <c r="F11017" t="s">
        <v>30900</v>
      </c>
      <c r="G11017" t="s">
        <v>30907</v>
      </c>
      <c r="H11017" t="s">
        <v>30915</v>
      </c>
      <c r="I11017" t="s">
        <v>30919</v>
      </c>
      <c r="J11017" t="s">
        <v>37893</v>
      </c>
      <c r="K11017" t="s">
        <v>40354</v>
      </c>
      <c r="M11017" t="s">
        <v>44146</v>
      </c>
      <c r="N11017" t="s">
        <v>44759</v>
      </c>
      <c r="O11017" t="s">
        <v>44760</v>
      </c>
      <c r="Q11017">
        <v>49</v>
      </c>
      <c r="R11017" t="s">
        <v>44774</v>
      </c>
      <c r="S11017" t="s">
        <v>44941</v>
      </c>
      <c r="T11017" t="s">
        <v>46352</v>
      </c>
      <c r="U11017" t="s">
        <v>56016</v>
      </c>
      <c r="W11017" t="s">
        <v>44146</v>
      </c>
      <c r="X11017" t="s">
        <v>44778</v>
      </c>
    </row>
    <row r="11018" spans="1:24">
      <c r="A11018">
        <f>HYPERLINK("https://www.philgeps.gov.ph/GEPSNONPILOT/Tender/SplashBidNoticeAbstractUI.aspx?menuIndex=3&amp;refID=7135311&amp;Result=3","7135311")</f>
        <v>0</v>
      </c>
      <c r="B11018" t="s">
        <v>2907</v>
      </c>
      <c r="C11018" t="s">
        <v>14223</v>
      </c>
      <c r="D11018" t="s">
        <v>18017</v>
      </c>
      <c r="E11018" t="s">
        <v>27554</v>
      </c>
      <c r="F11018" t="s">
        <v>30900</v>
      </c>
      <c r="G11018" t="s">
        <v>30907</v>
      </c>
      <c r="H11018" t="s">
        <v>30915</v>
      </c>
      <c r="I11018" t="s">
        <v>30919</v>
      </c>
      <c r="J11018" t="s">
        <v>37894</v>
      </c>
      <c r="K11018" t="s">
        <v>40395</v>
      </c>
      <c r="M11018" t="s">
        <v>43701</v>
      </c>
      <c r="N11018" t="s">
        <v>44759</v>
      </c>
      <c r="O11018" t="s">
        <v>44760</v>
      </c>
      <c r="P11018">
        <v>0</v>
      </c>
      <c r="Q11018">
        <v>3</v>
      </c>
      <c r="R11018" t="s">
        <v>44772</v>
      </c>
      <c r="S11018" t="s">
        <v>45149</v>
      </c>
      <c r="T11018" t="s">
        <v>46488</v>
      </c>
      <c r="U11018" t="s">
        <v>56017</v>
      </c>
      <c r="W11018" t="s">
        <v>60906</v>
      </c>
      <c r="X11018" t="s">
        <v>44773</v>
      </c>
    </row>
    <row r="11019" spans="1:24">
      <c r="A11019">
        <f>HYPERLINK("https://www.philgeps.gov.ph/GEPSNONPILOT/Tender/SplashBidNoticeAbstractUI.aspx?menuIndex=3&amp;refID=7132666&amp;Result=3","7132666")</f>
        <v>0</v>
      </c>
      <c r="B11019" t="s">
        <v>535</v>
      </c>
      <c r="C11019" t="s">
        <v>14224</v>
      </c>
      <c r="D11019" t="s">
        <v>17959</v>
      </c>
      <c r="E11019" t="s">
        <v>27555</v>
      </c>
      <c r="F11019" t="s">
        <v>30900</v>
      </c>
      <c r="G11019" t="s">
        <v>30907</v>
      </c>
      <c r="H11019" t="s">
        <v>30915</v>
      </c>
      <c r="I11019" t="s">
        <v>30919</v>
      </c>
      <c r="J11019" t="s">
        <v>37895</v>
      </c>
      <c r="K11019" t="s">
        <v>40312</v>
      </c>
      <c r="M11019" t="s">
        <v>41095</v>
      </c>
      <c r="N11019" t="s">
        <v>44759</v>
      </c>
      <c r="O11019" t="s">
        <v>44760</v>
      </c>
      <c r="P11019">
        <v>0</v>
      </c>
      <c r="Q11019">
        <v>19</v>
      </c>
      <c r="R11019" t="s">
        <v>44773</v>
      </c>
      <c r="S11019" t="s">
        <v>45184</v>
      </c>
      <c r="T11019" t="s">
        <v>46409</v>
      </c>
      <c r="U11019" t="s">
        <v>55988</v>
      </c>
      <c r="W11019" t="s">
        <v>60830</v>
      </c>
      <c r="X11019" t="s">
        <v>44774</v>
      </c>
    </row>
    <row r="11020" spans="1:24">
      <c r="A11020">
        <f>HYPERLINK("https://www.philgeps.gov.ph/GEPSNONPILOT/Tender/SplashBidNoticeAbstractUI.aspx?menuIndex=3&amp;refID=7135190&amp;Result=3","7135190")</f>
        <v>0</v>
      </c>
      <c r="B11020" t="s">
        <v>1093</v>
      </c>
      <c r="C11020" t="s">
        <v>14225</v>
      </c>
      <c r="D11020" t="s">
        <v>18033</v>
      </c>
      <c r="E11020" t="s">
        <v>27556</v>
      </c>
      <c r="F11020" t="s">
        <v>30900</v>
      </c>
      <c r="G11020" t="s">
        <v>30907</v>
      </c>
      <c r="H11020" t="s">
        <v>30915</v>
      </c>
      <c r="I11020" t="s">
        <v>30919</v>
      </c>
      <c r="J11020" t="s">
        <v>37896</v>
      </c>
      <c r="K11020" t="s">
        <v>40320</v>
      </c>
      <c r="M11020" t="s">
        <v>41693</v>
      </c>
      <c r="N11020" t="s">
        <v>44759</v>
      </c>
      <c r="O11020" t="s">
        <v>44760</v>
      </c>
      <c r="P11020">
        <v>0</v>
      </c>
      <c r="Q11020">
        <v>0</v>
      </c>
      <c r="R11020" t="s">
        <v>44772</v>
      </c>
      <c r="S11020" t="s">
        <v>45149</v>
      </c>
      <c r="T11020" t="s">
        <v>46595</v>
      </c>
      <c r="U11020" t="s">
        <v>56018</v>
      </c>
      <c r="W11020" t="s">
        <v>41693</v>
      </c>
      <c r="X11020" t="s">
        <v>44773</v>
      </c>
    </row>
    <row r="11021" spans="1:24">
      <c r="A11021">
        <f>HYPERLINK("https://www.philgeps.gov.ph/GEPSNONPILOT/Tender/SplashBidNoticeAbstractUI.aspx?menuIndex=3&amp;refID=7119917&amp;Result=3","7119917")</f>
        <v>0</v>
      </c>
      <c r="B11021" t="s">
        <v>3297</v>
      </c>
      <c r="C11021" t="s">
        <v>14226</v>
      </c>
      <c r="D11021" t="s">
        <v>17954</v>
      </c>
      <c r="E11021" t="s">
        <v>27557</v>
      </c>
      <c r="F11021" t="s">
        <v>30900</v>
      </c>
      <c r="G11021" t="s">
        <v>30907</v>
      </c>
      <c r="H11021" t="s">
        <v>30915</v>
      </c>
      <c r="I11021" t="s">
        <v>30919</v>
      </c>
      <c r="J11021" t="s">
        <v>37897</v>
      </c>
      <c r="K11021" t="s">
        <v>40304</v>
      </c>
      <c r="M11021" t="s">
        <v>44146</v>
      </c>
      <c r="N11021" t="s">
        <v>44759</v>
      </c>
      <c r="O11021" t="s">
        <v>44760</v>
      </c>
      <c r="Q11021">
        <v>52</v>
      </c>
      <c r="R11021" t="s">
        <v>44774</v>
      </c>
      <c r="S11021" t="s">
        <v>45263</v>
      </c>
      <c r="T11021" t="s">
        <v>46352</v>
      </c>
      <c r="U11021" t="s">
        <v>56019</v>
      </c>
      <c r="W11021" t="s">
        <v>44146</v>
      </c>
      <c r="X11021" t="s">
        <v>44778</v>
      </c>
    </row>
    <row r="11022" spans="1:24">
      <c r="A11022">
        <f>HYPERLINK("https://www.philgeps.gov.ph/GEPSNONPILOT/Tender/SplashBidNoticeAbstractUI.aspx?menuIndex=3&amp;refID=7119916&amp;Result=3","7119916")</f>
        <v>0</v>
      </c>
      <c r="B11022" t="s">
        <v>3297</v>
      </c>
      <c r="C11022" t="s">
        <v>14227</v>
      </c>
      <c r="D11022" t="s">
        <v>17954</v>
      </c>
      <c r="E11022" t="s">
        <v>27558</v>
      </c>
      <c r="F11022" t="s">
        <v>30900</v>
      </c>
      <c r="G11022" t="s">
        <v>30907</v>
      </c>
      <c r="H11022" t="s">
        <v>30915</v>
      </c>
      <c r="I11022" t="s">
        <v>30919</v>
      </c>
      <c r="J11022" t="s">
        <v>37898</v>
      </c>
      <c r="K11022" t="s">
        <v>40398</v>
      </c>
      <c r="M11022" t="s">
        <v>44146</v>
      </c>
      <c r="N11022" t="s">
        <v>44759</v>
      </c>
      <c r="O11022" t="s">
        <v>44760</v>
      </c>
      <c r="Q11022">
        <v>54</v>
      </c>
      <c r="R11022" t="s">
        <v>44774</v>
      </c>
      <c r="S11022" t="s">
        <v>45264</v>
      </c>
      <c r="T11022" t="s">
        <v>46352</v>
      </c>
      <c r="U11022" t="s">
        <v>56020</v>
      </c>
      <c r="W11022" t="s">
        <v>44146</v>
      </c>
      <c r="X11022" t="s">
        <v>44778</v>
      </c>
    </row>
    <row r="11023" spans="1:24">
      <c r="A11023">
        <f>HYPERLINK("https://www.philgeps.gov.ph/GEPSNONPILOT/Tender/SplashBidNoticeAbstractUI.aspx?menuIndex=3&amp;refID=7119849&amp;Result=3","7119849")</f>
        <v>0</v>
      </c>
      <c r="B11023" t="s">
        <v>1822</v>
      </c>
      <c r="C11023" t="s">
        <v>14228</v>
      </c>
      <c r="D11023" t="s">
        <v>18033</v>
      </c>
      <c r="E11023" t="s">
        <v>27559</v>
      </c>
      <c r="F11023" t="s">
        <v>30900</v>
      </c>
      <c r="G11023" t="s">
        <v>30907</v>
      </c>
      <c r="H11023" t="s">
        <v>30915</v>
      </c>
      <c r="I11023" t="s">
        <v>30919</v>
      </c>
      <c r="J11023" t="s">
        <v>37899</v>
      </c>
      <c r="K11023" t="s">
        <v>40353</v>
      </c>
      <c r="M11023" t="s">
        <v>42495</v>
      </c>
      <c r="N11023" t="s">
        <v>44759</v>
      </c>
      <c r="O11023" t="s">
        <v>44760</v>
      </c>
      <c r="Q11023">
        <v>0</v>
      </c>
      <c r="R11023" t="s">
        <v>44774</v>
      </c>
      <c r="S11023" t="s">
        <v>45265</v>
      </c>
      <c r="T11023" t="s">
        <v>46389</v>
      </c>
      <c r="U11023" t="s">
        <v>56021</v>
      </c>
      <c r="V11023" t="s">
        <v>60348</v>
      </c>
      <c r="W11023" t="s">
        <v>42495</v>
      </c>
      <c r="X11023" t="s">
        <v>44778</v>
      </c>
    </row>
    <row r="11024" spans="1:24">
      <c r="A11024">
        <f>HYPERLINK("https://www.philgeps.gov.ph/GEPSNONPILOT/Tender/SplashBidNoticeAbstractUI.aspx?menuIndex=3&amp;refID=7119833&amp;Result=3","7119833")</f>
        <v>0</v>
      </c>
      <c r="B11024" t="s">
        <v>1822</v>
      </c>
      <c r="C11024" t="s">
        <v>14229</v>
      </c>
      <c r="D11024" t="s">
        <v>18033</v>
      </c>
      <c r="E11024" t="s">
        <v>27560</v>
      </c>
      <c r="F11024" t="s">
        <v>30900</v>
      </c>
      <c r="G11024" t="s">
        <v>30907</v>
      </c>
      <c r="H11024" t="s">
        <v>30915</v>
      </c>
      <c r="I11024" t="s">
        <v>30919</v>
      </c>
      <c r="J11024" t="s">
        <v>34345</v>
      </c>
      <c r="K11024" t="s">
        <v>40365</v>
      </c>
      <c r="M11024" t="s">
        <v>42495</v>
      </c>
      <c r="N11024" t="s">
        <v>44759</v>
      </c>
      <c r="O11024" t="s">
        <v>44760</v>
      </c>
      <c r="P11024">
        <v>0</v>
      </c>
      <c r="Q11024">
        <v>0</v>
      </c>
      <c r="R11024" t="s">
        <v>44774</v>
      </c>
      <c r="S11024" t="s">
        <v>45266</v>
      </c>
      <c r="T11024" t="s">
        <v>46389</v>
      </c>
      <c r="U11024" t="s">
        <v>56021</v>
      </c>
      <c r="V11024" t="s">
        <v>60349</v>
      </c>
      <c r="W11024" t="s">
        <v>42495</v>
      </c>
      <c r="X11024" t="s">
        <v>44778</v>
      </c>
    </row>
    <row r="11025" spans="1:24">
      <c r="A11025">
        <f>HYPERLINK("https://www.philgeps.gov.ph/GEPSNONPILOT/Tender/SplashBidNoticeAbstractUI.aspx?menuIndex=3&amp;refID=7119837&amp;Result=3","7119837")</f>
        <v>0</v>
      </c>
      <c r="B11025" t="s">
        <v>1822</v>
      </c>
      <c r="C11025" t="s">
        <v>14230</v>
      </c>
      <c r="D11025" t="s">
        <v>18033</v>
      </c>
      <c r="E11025" t="s">
        <v>27561</v>
      </c>
      <c r="F11025" t="s">
        <v>30900</v>
      </c>
      <c r="G11025" t="s">
        <v>30907</v>
      </c>
      <c r="H11025" t="s">
        <v>30915</v>
      </c>
      <c r="I11025" t="s">
        <v>30919</v>
      </c>
      <c r="J11025" t="s">
        <v>37738</v>
      </c>
      <c r="K11025" t="s">
        <v>40476</v>
      </c>
      <c r="M11025" t="s">
        <v>42495</v>
      </c>
      <c r="N11025" t="s">
        <v>44759</v>
      </c>
      <c r="O11025" t="s">
        <v>44760</v>
      </c>
      <c r="Q11025">
        <v>0</v>
      </c>
      <c r="R11025" t="s">
        <v>44774</v>
      </c>
      <c r="S11025" t="s">
        <v>45267</v>
      </c>
      <c r="T11025" t="s">
        <v>46389</v>
      </c>
      <c r="U11025" t="s">
        <v>56021</v>
      </c>
      <c r="V11025" t="s">
        <v>60350</v>
      </c>
      <c r="W11025" t="s">
        <v>42495</v>
      </c>
      <c r="X11025" t="s">
        <v>44778</v>
      </c>
    </row>
    <row r="11026" spans="1:24">
      <c r="A11026">
        <f>HYPERLINK("https://www.philgeps.gov.ph/GEPSNONPILOT/Tender/SplashBidNoticeAbstractUI.aspx?menuIndex=3&amp;refID=7115540&amp;Result=3","7115540")</f>
        <v>0</v>
      </c>
      <c r="B11026" t="s">
        <v>3297</v>
      </c>
      <c r="C11026" t="s">
        <v>14231</v>
      </c>
      <c r="D11026" t="s">
        <v>17954</v>
      </c>
      <c r="E11026" t="s">
        <v>27562</v>
      </c>
      <c r="F11026" t="s">
        <v>30900</v>
      </c>
      <c r="G11026" t="s">
        <v>30907</v>
      </c>
      <c r="H11026" t="s">
        <v>30915</v>
      </c>
      <c r="I11026" t="s">
        <v>30919</v>
      </c>
      <c r="J11026" t="s">
        <v>37900</v>
      </c>
      <c r="K11026" t="s">
        <v>40301</v>
      </c>
      <c r="M11026" t="s">
        <v>44146</v>
      </c>
      <c r="N11026" t="s">
        <v>44759</v>
      </c>
      <c r="O11026" t="s">
        <v>44760</v>
      </c>
      <c r="Q11026">
        <v>54</v>
      </c>
      <c r="R11026" t="s">
        <v>44774</v>
      </c>
      <c r="S11026" t="s">
        <v>44957</v>
      </c>
      <c r="T11026" t="s">
        <v>46352</v>
      </c>
      <c r="U11026" t="s">
        <v>56022</v>
      </c>
      <c r="W11026" t="s">
        <v>44146</v>
      </c>
      <c r="X11026" t="s">
        <v>44781</v>
      </c>
    </row>
    <row r="11027" spans="1:24">
      <c r="A11027">
        <f>HYPERLINK("https://www.philgeps.gov.ph/GEPSNONPILOT/Tender/SplashBidNoticeAbstractUI.aspx?menuIndex=3&amp;refID=7119815&amp;Result=3","7119815")</f>
        <v>0</v>
      </c>
      <c r="B11027" t="s">
        <v>1822</v>
      </c>
      <c r="C11027" t="s">
        <v>14232</v>
      </c>
      <c r="D11027" t="s">
        <v>18033</v>
      </c>
      <c r="E11027" t="s">
        <v>27563</v>
      </c>
      <c r="F11027" t="s">
        <v>30900</v>
      </c>
      <c r="G11027" t="s">
        <v>30907</v>
      </c>
      <c r="H11027" t="s">
        <v>30915</v>
      </c>
      <c r="I11027" t="s">
        <v>30919</v>
      </c>
      <c r="J11027" t="s">
        <v>34345</v>
      </c>
      <c r="K11027" t="s">
        <v>40365</v>
      </c>
      <c r="M11027" t="s">
        <v>42495</v>
      </c>
      <c r="N11027" t="s">
        <v>44759</v>
      </c>
      <c r="O11027" t="s">
        <v>44760</v>
      </c>
      <c r="P11027">
        <v>0</v>
      </c>
      <c r="Q11027">
        <v>0</v>
      </c>
      <c r="R11027" t="s">
        <v>44774</v>
      </c>
      <c r="S11027" t="s">
        <v>45266</v>
      </c>
      <c r="T11027" t="s">
        <v>46389</v>
      </c>
      <c r="U11027" t="s">
        <v>56021</v>
      </c>
      <c r="V11027" t="s">
        <v>60351</v>
      </c>
      <c r="W11027" t="s">
        <v>42495</v>
      </c>
      <c r="X11027" t="s">
        <v>44778</v>
      </c>
    </row>
    <row r="11028" spans="1:24">
      <c r="A11028">
        <f>HYPERLINK("https://www.philgeps.gov.ph/GEPSNONPILOT/Tender/SplashBidNoticeAbstractUI.aspx?menuIndex=3&amp;refID=7119892&amp;Result=3","7119892")</f>
        <v>0</v>
      </c>
      <c r="B11028" t="s">
        <v>1822</v>
      </c>
      <c r="C11028" t="s">
        <v>14233</v>
      </c>
      <c r="D11028" t="s">
        <v>18033</v>
      </c>
      <c r="E11028" t="s">
        <v>27564</v>
      </c>
      <c r="F11028" t="s">
        <v>30900</v>
      </c>
      <c r="G11028" t="s">
        <v>30907</v>
      </c>
      <c r="H11028" t="s">
        <v>30915</v>
      </c>
      <c r="I11028" t="s">
        <v>30919</v>
      </c>
      <c r="J11028" t="s">
        <v>37901</v>
      </c>
      <c r="K11028" t="s">
        <v>40301</v>
      </c>
      <c r="M11028" t="s">
        <v>42495</v>
      </c>
      <c r="N11028" t="s">
        <v>44759</v>
      </c>
      <c r="O11028" t="s">
        <v>44760</v>
      </c>
      <c r="P11028">
        <v>0</v>
      </c>
      <c r="Q11028">
        <v>1</v>
      </c>
      <c r="R11028" t="s">
        <v>44774</v>
      </c>
      <c r="S11028" t="s">
        <v>45266</v>
      </c>
      <c r="T11028" t="s">
        <v>46389</v>
      </c>
      <c r="U11028" t="s">
        <v>55728</v>
      </c>
      <c r="V11028" t="s">
        <v>60352</v>
      </c>
      <c r="W11028" t="s">
        <v>42495</v>
      </c>
      <c r="X11028" t="s">
        <v>44778</v>
      </c>
    </row>
    <row r="11029" spans="1:24">
      <c r="A11029">
        <f>HYPERLINK("https://www.philgeps.gov.ph/GEPSNONPILOT/Tender/SplashBidNoticeAbstractUI.aspx?menuIndex=3&amp;refID=7112691&amp;Result=3","7112691")</f>
        <v>0</v>
      </c>
      <c r="B11029" t="s">
        <v>3298</v>
      </c>
      <c r="C11029" t="s">
        <v>14234</v>
      </c>
      <c r="D11029" t="s">
        <v>17993</v>
      </c>
      <c r="E11029" t="s">
        <v>27565</v>
      </c>
      <c r="F11029" t="s">
        <v>30900</v>
      </c>
      <c r="G11029" t="s">
        <v>30907</v>
      </c>
      <c r="H11029" t="s">
        <v>30915</v>
      </c>
      <c r="I11029" t="s">
        <v>30932</v>
      </c>
      <c r="J11029" t="s">
        <v>37902</v>
      </c>
      <c r="K11029" t="s">
        <v>40287</v>
      </c>
      <c r="M11029" t="s">
        <v>44147</v>
      </c>
      <c r="N11029" t="s">
        <v>44759</v>
      </c>
      <c r="O11029" t="s">
        <v>44760</v>
      </c>
      <c r="P11029">
        <v>0</v>
      </c>
      <c r="Q11029">
        <v>1</v>
      </c>
      <c r="R11029" t="s">
        <v>44774</v>
      </c>
      <c r="S11029" t="s">
        <v>45266</v>
      </c>
      <c r="T11029" t="s">
        <v>46353</v>
      </c>
      <c r="U11029" t="s">
        <v>56023</v>
      </c>
      <c r="W11029" t="s">
        <v>44147</v>
      </c>
      <c r="X11029" t="s">
        <v>44782</v>
      </c>
    </row>
    <row r="11030" spans="1:24">
      <c r="A11030">
        <f>HYPERLINK("https://www.philgeps.gov.ph/GEPSNONPILOT/Tender/SplashBidNoticeAbstractUI.aspx?menuIndex=3&amp;refID=7119842&amp;Result=3","7119842")</f>
        <v>0</v>
      </c>
      <c r="B11030" t="s">
        <v>1822</v>
      </c>
      <c r="C11030" t="s">
        <v>14235</v>
      </c>
      <c r="D11030" t="s">
        <v>18033</v>
      </c>
      <c r="E11030" t="s">
        <v>27566</v>
      </c>
      <c r="F11030" t="s">
        <v>30900</v>
      </c>
      <c r="G11030" t="s">
        <v>30907</v>
      </c>
      <c r="H11030" t="s">
        <v>30915</v>
      </c>
      <c r="I11030" t="s">
        <v>30919</v>
      </c>
      <c r="J11030" t="s">
        <v>34345</v>
      </c>
      <c r="K11030" t="s">
        <v>40365</v>
      </c>
      <c r="M11030" t="s">
        <v>42495</v>
      </c>
      <c r="N11030" t="s">
        <v>44759</v>
      </c>
      <c r="O11030" t="s">
        <v>44760</v>
      </c>
      <c r="P11030">
        <v>0</v>
      </c>
      <c r="Q11030">
        <v>1</v>
      </c>
      <c r="R11030" t="s">
        <v>44774</v>
      </c>
      <c r="S11030" t="s">
        <v>45266</v>
      </c>
      <c r="T11030" t="s">
        <v>46389</v>
      </c>
      <c r="U11030" t="s">
        <v>56021</v>
      </c>
      <c r="V11030" t="s">
        <v>60353</v>
      </c>
      <c r="W11030" t="s">
        <v>42495</v>
      </c>
      <c r="X11030" t="s">
        <v>44778</v>
      </c>
    </row>
    <row r="11031" spans="1:24">
      <c r="A11031">
        <f>HYPERLINK("https://www.philgeps.gov.ph/GEPSNONPILOT/Tender/SplashBidNoticeAbstractUI.aspx?menuIndex=3&amp;refID=7119822&amp;Result=3","7119822")</f>
        <v>0</v>
      </c>
      <c r="B11031" t="s">
        <v>1822</v>
      </c>
      <c r="C11031" t="s">
        <v>14236</v>
      </c>
      <c r="D11031" t="s">
        <v>18033</v>
      </c>
      <c r="E11031" t="s">
        <v>27567</v>
      </c>
      <c r="F11031" t="s">
        <v>30900</v>
      </c>
      <c r="G11031" t="s">
        <v>30907</v>
      </c>
      <c r="H11031" t="s">
        <v>30915</v>
      </c>
      <c r="I11031" t="s">
        <v>30919</v>
      </c>
      <c r="J11031" t="s">
        <v>37738</v>
      </c>
      <c r="K11031" t="s">
        <v>40511</v>
      </c>
      <c r="M11031" t="s">
        <v>42495</v>
      </c>
      <c r="N11031" t="s">
        <v>44759</v>
      </c>
      <c r="O11031" t="s">
        <v>44760</v>
      </c>
      <c r="P11031">
        <v>0</v>
      </c>
      <c r="Q11031">
        <v>0</v>
      </c>
      <c r="R11031" t="s">
        <v>44774</v>
      </c>
      <c r="S11031" t="s">
        <v>45266</v>
      </c>
      <c r="T11031" t="s">
        <v>46389</v>
      </c>
      <c r="U11031" t="s">
        <v>56021</v>
      </c>
      <c r="V11031" t="s">
        <v>60354</v>
      </c>
      <c r="W11031" t="s">
        <v>42495</v>
      </c>
      <c r="X11031" t="s">
        <v>44778</v>
      </c>
    </row>
    <row r="11032" spans="1:24">
      <c r="A11032">
        <f>HYPERLINK("https://www.philgeps.gov.ph/GEPSNONPILOT/Tender/SplashBidNoticeAbstractUI.aspx?menuIndex=3&amp;refID=7112704&amp;Result=3","7112704")</f>
        <v>0</v>
      </c>
      <c r="B11032" t="s">
        <v>3298</v>
      </c>
      <c r="C11032" t="s">
        <v>14237</v>
      </c>
      <c r="D11032" t="s">
        <v>17993</v>
      </c>
      <c r="E11032" t="s">
        <v>27568</v>
      </c>
      <c r="F11032" t="s">
        <v>30900</v>
      </c>
      <c r="G11032" t="s">
        <v>30907</v>
      </c>
      <c r="H11032" t="s">
        <v>30915</v>
      </c>
      <c r="I11032" t="s">
        <v>30919</v>
      </c>
      <c r="J11032" t="s">
        <v>35325</v>
      </c>
      <c r="K11032" t="s">
        <v>40283</v>
      </c>
      <c r="M11032" t="s">
        <v>44147</v>
      </c>
      <c r="N11032" t="s">
        <v>44759</v>
      </c>
      <c r="O11032" t="s">
        <v>44760</v>
      </c>
      <c r="P11032">
        <v>0</v>
      </c>
      <c r="Q11032">
        <v>1</v>
      </c>
      <c r="R11032" t="s">
        <v>44774</v>
      </c>
      <c r="S11032" t="s">
        <v>45266</v>
      </c>
      <c r="T11032" t="s">
        <v>46353</v>
      </c>
      <c r="U11032" t="s">
        <v>52491</v>
      </c>
      <c r="W11032" t="s">
        <v>44147</v>
      </c>
      <c r="X11032" t="s">
        <v>44782</v>
      </c>
    </row>
    <row r="11033" spans="1:24">
      <c r="A11033">
        <f>HYPERLINK("https://www.philgeps.gov.ph/GEPSNONPILOT/Tender/SplashBidNoticeAbstractUI.aspx?menuIndex=3&amp;refID=7119918&amp;Result=3","7119918")</f>
        <v>0</v>
      </c>
      <c r="B11033" t="s">
        <v>3297</v>
      </c>
      <c r="C11033" t="s">
        <v>14238</v>
      </c>
      <c r="D11033" t="s">
        <v>17954</v>
      </c>
      <c r="E11033" t="s">
        <v>27569</v>
      </c>
      <c r="F11033" t="s">
        <v>30900</v>
      </c>
      <c r="G11033" t="s">
        <v>30907</v>
      </c>
      <c r="H11033" t="s">
        <v>30915</v>
      </c>
      <c r="I11033" t="s">
        <v>30919</v>
      </c>
      <c r="J11033" t="s">
        <v>37903</v>
      </c>
      <c r="K11033" t="s">
        <v>40328</v>
      </c>
      <c r="M11033" t="s">
        <v>44146</v>
      </c>
      <c r="N11033" t="s">
        <v>44759</v>
      </c>
      <c r="O11033" t="s">
        <v>44760</v>
      </c>
      <c r="Q11033">
        <v>49</v>
      </c>
      <c r="R11033" t="s">
        <v>44774</v>
      </c>
      <c r="S11033" t="s">
        <v>45268</v>
      </c>
      <c r="T11033" t="s">
        <v>46352</v>
      </c>
      <c r="U11033" t="s">
        <v>56024</v>
      </c>
      <c r="W11033" t="s">
        <v>44146</v>
      </c>
      <c r="X11033" t="s">
        <v>44778</v>
      </c>
    </row>
    <row r="11034" spans="1:24">
      <c r="A11034">
        <f>HYPERLINK("https://www.philgeps.gov.ph/GEPSNONPILOT/Tender/SplashBidNoticeAbstractUI.aspx?menuIndex=3&amp;refID=7121514&amp;Result=3","7121514")</f>
        <v>0</v>
      </c>
      <c r="B11034" t="s">
        <v>3101</v>
      </c>
      <c r="C11034" t="s">
        <v>14239</v>
      </c>
      <c r="D11034" t="s">
        <v>17953</v>
      </c>
      <c r="E11034" t="s">
        <v>27570</v>
      </c>
      <c r="F11034" t="s">
        <v>30900</v>
      </c>
      <c r="G11034" t="s">
        <v>30907</v>
      </c>
      <c r="H11034" t="s">
        <v>30915</v>
      </c>
      <c r="I11034" t="s">
        <v>30919</v>
      </c>
      <c r="J11034" t="s">
        <v>37904</v>
      </c>
      <c r="K11034" t="s">
        <v>40304</v>
      </c>
      <c r="M11034" t="s">
        <v>43913</v>
      </c>
      <c r="N11034" t="s">
        <v>44759</v>
      </c>
      <c r="O11034" t="s">
        <v>44760</v>
      </c>
      <c r="Q11034">
        <v>3</v>
      </c>
      <c r="R11034" t="s">
        <v>44774</v>
      </c>
      <c r="S11034" t="s">
        <v>45269</v>
      </c>
      <c r="T11034" t="s">
        <v>46366</v>
      </c>
      <c r="U11034" t="s">
        <v>56025</v>
      </c>
      <c r="W11034" t="s">
        <v>43913</v>
      </c>
      <c r="X11034" t="s">
        <v>44777</v>
      </c>
    </row>
    <row r="11035" spans="1:24">
      <c r="A11035">
        <f>HYPERLINK("https://www.philgeps.gov.ph/GEPSNONPILOT/Tender/SplashBidNoticeAbstractUI.aspx?menuIndex=3&amp;refID=7121418&amp;Result=3","7121418")</f>
        <v>0</v>
      </c>
      <c r="B11035" t="s">
        <v>186</v>
      </c>
      <c r="C11035" t="s">
        <v>14240</v>
      </c>
      <c r="D11035" t="s">
        <v>17957</v>
      </c>
      <c r="E11035" t="s">
        <v>18117</v>
      </c>
      <c r="F11035" t="s">
        <v>30900</v>
      </c>
      <c r="G11035" t="s">
        <v>30907</v>
      </c>
      <c r="H11035" t="s">
        <v>30915</v>
      </c>
      <c r="I11035" t="s">
        <v>30919</v>
      </c>
      <c r="J11035" t="s">
        <v>37905</v>
      </c>
      <c r="K11035" t="s">
        <v>40280</v>
      </c>
      <c r="M11035" t="s">
        <v>40733</v>
      </c>
      <c r="N11035" t="s">
        <v>44759</v>
      </c>
      <c r="O11035" t="s">
        <v>44760</v>
      </c>
      <c r="P11035">
        <v>0</v>
      </c>
      <c r="Q11035">
        <v>0</v>
      </c>
      <c r="R11035" t="s">
        <v>44774</v>
      </c>
      <c r="S11035" t="s">
        <v>45266</v>
      </c>
      <c r="T11035" t="s">
        <v>46418</v>
      </c>
      <c r="U11035" t="s">
        <v>56026</v>
      </c>
      <c r="V11035" t="s">
        <v>60355</v>
      </c>
      <c r="W11035" t="s">
        <v>40733</v>
      </c>
      <c r="X11035" t="s">
        <v>44777</v>
      </c>
    </row>
    <row r="11036" spans="1:24">
      <c r="A11036">
        <f>HYPERLINK("https://www.philgeps.gov.ph/GEPSNONPILOT/Tender/SplashBidNoticeAbstractUI.aspx?menuIndex=3&amp;refID=7121612&amp;Result=3","7121612")</f>
        <v>0</v>
      </c>
      <c r="B11036" t="s">
        <v>3101</v>
      </c>
      <c r="C11036" t="s">
        <v>14241</v>
      </c>
      <c r="D11036" t="s">
        <v>17953</v>
      </c>
      <c r="E11036" t="s">
        <v>27571</v>
      </c>
      <c r="F11036" t="s">
        <v>30900</v>
      </c>
      <c r="G11036" t="s">
        <v>30907</v>
      </c>
      <c r="H11036" t="s">
        <v>30915</v>
      </c>
      <c r="I11036" t="s">
        <v>30919</v>
      </c>
      <c r="J11036" t="s">
        <v>37906</v>
      </c>
      <c r="K11036" t="s">
        <v>40335</v>
      </c>
      <c r="M11036" t="s">
        <v>43913</v>
      </c>
      <c r="N11036" t="s">
        <v>44759</v>
      </c>
      <c r="O11036" t="s">
        <v>44760</v>
      </c>
      <c r="Q11036">
        <v>4</v>
      </c>
      <c r="R11036" t="s">
        <v>44774</v>
      </c>
      <c r="S11036" t="s">
        <v>45270</v>
      </c>
      <c r="T11036" t="s">
        <v>46366</v>
      </c>
      <c r="U11036" t="s">
        <v>56025</v>
      </c>
      <c r="W11036" t="s">
        <v>43913</v>
      </c>
      <c r="X11036" t="s">
        <v>44777</v>
      </c>
    </row>
    <row r="11037" spans="1:24">
      <c r="A11037">
        <f>HYPERLINK("https://www.philgeps.gov.ph/GEPSNONPILOT/Tender/SplashBidNoticeAbstractUI.aspx?menuIndex=3&amp;refID=7120576&amp;Result=3","7120576")</f>
        <v>0</v>
      </c>
      <c r="B11037" t="s">
        <v>3075</v>
      </c>
      <c r="C11037" t="s">
        <v>14242</v>
      </c>
      <c r="D11037" t="s">
        <v>18019</v>
      </c>
      <c r="E11037" t="s">
        <v>27572</v>
      </c>
      <c r="F11037" t="s">
        <v>30900</v>
      </c>
      <c r="G11037" t="s">
        <v>30907</v>
      </c>
      <c r="H11037" t="s">
        <v>30915</v>
      </c>
      <c r="I11037" t="s">
        <v>30919</v>
      </c>
      <c r="J11037" t="s">
        <v>37907</v>
      </c>
      <c r="K11037" t="s">
        <v>40280</v>
      </c>
      <c r="M11037" t="s">
        <v>43886</v>
      </c>
      <c r="N11037" t="s">
        <v>44759</v>
      </c>
      <c r="O11037" t="s">
        <v>44760</v>
      </c>
      <c r="P11037">
        <v>0</v>
      </c>
      <c r="Q11037">
        <v>4</v>
      </c>
      <c r="R11037" t="s">
        <v>44774</v>
      </c>
      <c r="S11037" t="s">
        <v>45266</v>
      </c>
      <c r="T11037" t="s">
        <v>46644</v>
      </c>
      <c r="U11037" t="s">
        <v>56027</v>
      </c>
      <c r="W11037" t="s">
        <v>43886</v>
      </c>
      <c r="X11037" t="s">
        <v>44777</v>
      </c>
    </row>
    <row r="11038" spans="1:24">
      <c r="A11038">
        <f>HYPERLINK("https://www.philgeps.gov.ph/GEPSNONPILOT/Tender/SplashBidNoticeAbstractUI.aspx?menuIndex=3&amp;refID=7120482&amp;Result=3","7120482")</f>
        <v>0</v>
      </c>
      <c r="B11038" t="s">
        <v>1423</v>
      </c>
      <c r="C11038" t="s">
        <v>7010</v>
      </c>
      <c r="D11038" t="s">
        <v>18013</v>
      </c>
      <c r="E11038" t="s">
        <v>27573</v>
      </c>
      <c r="F11038" t="s">
        <v>30900</v>
      </c>
      <c r="G11038" t="s">
        <v>30907</v>
      </c>
      <c r="H11038" t="s">
        <v>30916</v>
      </c>
      <c r="I11038" t="s">
        <v>30924</v>
      </c>
      <c r="J11038" t="s">
        <v>37908</v>
      </c>
      <c r="K11038" t="s">
        <v>40289</v>
      </c>
      <c r="M11038" t="s">
        <v>42053</v>
      </c>
      <c r="N11038" t="s">
        <v>44759</v>
      </c>
      <c r="O11038" t="s">
        <v>44760</v>
      </c>
      <c r="P11038">
        <v>0</v>
      </c>
      <c r="Q11038">
        <v>6</v>
      </c>
      <c r="R11038" t="s">
        <v>44774</v>
      </c>
      <c r="S11038" t="s">
        <v>45266</v>
      </c>
      <c r="T11038" t="s">
        <v>46382</v>
      </c>
      <c r="U11038" t="s">
        <v>56028</v>
      </c>
      <c r="V11038" t="s">
        <v>60356</v>
      </c>
      <c r="W11038" t="s">
        <v>42053</v>
      </c>
      <c r="X11038" t="s">
        <v>44777</v>
      </c>
    </row>
    <row r="11039" spans="1:24">
      <c r="A11039">
        <f>HYPERLINK("https://www.philgeps.gov.ph/GEPSNONPILOT/Tender/SplashBidNoticeAbstractUI.aspx?menuIndex=3&amp;refID=7121573&amp;Result=3","7121573")</f>
        <v>0</v>
      </c>
      <c r="B11039" t="s">
        <v>3101</v>
      </c>
      <c r="C11039" t="s">
        <v>14243</v>
      </c>
      <c r="D11039" t="s">
        <v>17953</v>
      </c>
      <c r="E11039" t="s">
        <v>27574</v>
      </c>
      <c r="F11039" t="s">
        <v>30900</v>
      </c>
      <c r="G11039" t="s">
        <v>30907</v>
      </c>
      <c r="H11039" t="s">
        <v>30915</v>
      </c>
      <c r="I11039" t="s">
        <v>30919</v>
      </c>
      <c r="J11039" t="s">
        <v>37909</v>
      </c>
      <c r="K11039" t="s">
        <v>40446</v>
      </c>
      <c r="M11039" t="s">
        <v>43913</v>
      </c>
      <c r="N11039" t="s">
        <v>44759</v>
      </c>
      <c r="O11039" t="s">
        <v>44760</v>
      </c>
      <c r="Q11039">
        <v>4</v>
      </c>
      <c r="R11039" t="s">
        <v>44774</v>
      </c>
      <c r="S11039" t="s">
        <v>45271</v>
      </c>
      <c r="T11039" t="s">
        <v>46366</v>
      </c>
      <c r="U11039" t="s">
        <v>56025</v>
      </c>
      <c r="W11039" t="s">
        <v>43913</v>
      </c>
      <c r="X11039" t="s">
        <v>44777</v>
      </c>
    </row>
    <row r="11040" spans="1:24">
      <c r="A11040">
        <f>HYPERLINK("https://www.philgeps.gov.ph/GEPSNONPILOT/Tender/SplashBidNoticeAbstractUI.aspx?menuIndex=3&amp;refID=7120376&amp;Result=3","7120376")</f>
        <v>0</v>
      </c>
      <c r="B11040" t="s">
        <v>1423</v>
      </c>
      <c r="C11040" t="s">
        <v>14244</v>
      </c>
      <c r="D11040" t="s">
        <v>18013</v>
      </c>
      <c r="E11040" t="s">
        <v>27575</v>
      </c>
      <c r="F11040" t="s">
        <v>30900</v>
      </c>
      <c r="G11040" t="s">
        <v>30907</v>
      </c>
      <c r="H11040" t="s">
        <v>30916</v>
      </c>
      <c r="I11040" t="s">
        <v>30933</v>
      </c>
      <c r="J11040" t="s">
        <v>31069</v>
      </c>
      <c r="K11040" t="s">
        <v>40289</v>
      </c>
      <c r="M11040" t="s">
        <v>42053</v>
      </c>
      <c r="N11040" t="s">
        <v>44759</v>
      </c>
      <c r="O11040" t="s">
        <v>44760</v>
      </c>
      <c r="P11040">
        <v>0</v>
      </c>
      <c r="Q11040">
        <v>2</v>
      </c>
      <c r="R11040" t="s">
        <v>44774</v>
      </c>
      <c r="S11040" t="s">
        <v>45266</v>
      </c>
      <c r="T11040" t="s">
        <v>46382</v>
      </c>
      <c r="U11040" t="s">
        <v>56029</v>
      </c>
      <c r="V11040" t="s">
        <v>60357</v>
      </c>
      <c r="W11040" t="s">
        <v>42053</v>
      </c>
      <c r="X11040" t="s">
        <v>44777</v>
      </c>
    </row>
    <row r="11041" spans="1:24">
      <c r="A11041">
        <f>HYPERLINK("https://www.philgeps.gov.ph/GEPSNONPILOT/Tender/SplashBidNoticeAbstractUI.aspx?menuIndex=3&amp;refID=7120234&amp;Result=3","7120234")</f>
        <v>0</v>
      </c>
      <c r="B11041" t="s">
        <v>1423</v>
      </c>
      <c r="C11041" t="s">
        <v>14244</v>
      </c>
      <c r="D11041" t="s">
        <v>18013</v>
      </c>
      <c r="E11041" t="s">
        <v>27576</v>
      </c>
      <c r="F11041" t="s">
        <v>30900</v>
      </c>
      <c r="G11041" t="s">
        <v>30907</v>
      </c>
      <c r="H11041" t="s">
        <v>30916</v>
      </c>
      <c r="I11041" t="s">
        <v>30933</v>
      </c>
      <c r="J11041" t="s">
        <v>31701</v>
      </c>
      <c r="K11041" t="s">
        <v>40289</v>
      </c>
      <c r="M11041" t="s">
        <v>42053</v>
      </c>
      <c r="N11041" t="s">
        <v>44759</v>
      </c>
      <c r="O11041" t="s">
        <v>44760</v>
      </c>
      <c r="P11041">
        <v>0</v>
      </c>
      <c r="Q11041">
        <v>4</v>
      </c>
      <c r="R11041" t="s">
        <v>44774</v>
      </c>
      <c r="S11041" t="s">
        <v>45266</v>
      </c>
      <c r="T11041" t="s">
        <v>46382</v>
      </c>
      <c r="U11041" t="s">
        <v>56030</v>
      </c>
      <c r="V11041" t="s">
        <v>60358</v>
      </c>
      <c r="W11041" t="s">
        <v>42053</v>
      </c>
      <c r="X11041" t="s">
        <v>44777</v>
      </c>
    </row>
    <row r="11042" spans="1:24">
      <c r="A11042">
        <f>HYPERLINK("https://www.philgeps.gov.ph/GEPSNONPILOT/Tender/SplashBidNoticeAbstractUI.aspx?menuIndex=3&amp;refID=7119977&amp;Result=3","7119977")</f>
        <v>0</v>
      </c>
      <c r="B11042" t="s">
        <v>1645</v>
      </c>
      <c r="C11042" t="s">
        <v>14245</v>
      </c>
      <c r="D11042" t="s">
        <v>17954</v>
      </c>
      <c r="E11042" t="s">
        <v>27577</v>
      </c>
      <c r="F11042" t="s">
        <v>30900</v>
      </c>
      <c r="G11042" t="s">
        <v>30907</v>
      </c>
      <c r="H11042" t="s">
        <v>30915</v>
      </c>
      <c r="I11042" t="s">
        <v>30919</v>
      </c>
      <c r="J11042" t="s">
        <v>37910</v>
      </c>
      <c r="K11042" t="s">
        <v>40292</v>
      </c>
      <c r="M11042" t="s">
        <v>42301</v>
      </c>
      <c r="N11042" t="s">
        <v>44759</v>
      </c>
      <c r="O11042" t="s">
        <v>44760</v>
      </c>
      <c r="P11042">
        <v>0</v>
      </c>
      <c r="Q11042">
        <v>9</v>
      </c>
      <c r="R11042" t="s">
        <v>44774</v>
      </c>
      <c r="S11042" t="s">
        <v>45266</v>
      </c>
      <c r="T11042" t="s">
        <v>46350</v>
      </c>
      <c r="U11042" t="s">
        <v>56031</v>
      </c>
      <c r="W11042" t="s">
        <v>42301</v>
      </c>
      <c r="X11042" t="s">
        <v>44778</v>
      </c>
    </row>
    <row r="11043" spans="1:24">
      <c r="A11043">
        <f>HYPERLINK("https://www.philgeps.gov.ph/GEPSNONPILOT/Tender/SplashBidNoticeAbstractUI.aspx?menuIndex=3&amp;refID=7119943&amp;Result=3","7119943")</f>
        <v>0</v>
      </c>
      <c r="B11043" t="s">
        <v>3297</v>
      </c>
      <c r="C11043" t="s">
        <v>14246</v>
      </c>
      <c r="D11043" t="s">
        <v>17954</v>
      </c>
      <c r="E11043" t="s">
        <v>27578</v>
      </c>
      <c r="F11043" t="s">
        <v>30900</v>
      </c>
      <c r="G11043" t="s">
        <v>30907</v>
      </c>
      <c r="H11043" t="s">
        <v>30915</v>
      </c>
      <c r="I11043" t="s">
        <v>30919</v>
      </c>
      <c r="J11043" t="s">
        <v>37911</v>
      </c>
      <c r="K11043" t="s">
        <v>40292</v>
      </c>
      <c r="M11043" t="s">
        <v>44146</v>
      </c>
      <c r="N11043" t="s">
        <v>44759</v>
      </c>
      <c r="O11043" t="s">
        <v>44760</v>
      </c>
      <c r="Q11043">
        <v>50</v>
      </c>
      <c r="R11043" t="s">
        <v>44774</v>
      </c>
      <c r="S11043" t="s">
        <v>45272</v>
      </c>
      <c r="T11043" t="s">
        <v>46352</v>
      </c>
      <c r="U11043" t="s">
        <v>56032</v>
      </c>
      <c r="W11043" t="s">
        <v>44146</v>
      </c>
      <c r="X11043" t="s">
        <v>44778</v>
      </c>
    </row>
    <row r="11044" spans="1:24">
      <c r="A11044">
        <f>HYPERLINK("https://www.philgeps.gov.ph/GEPSNONPILOT/Tender/SplashBidNoticeAbstractUI.aspx?menuIndex=3&amp;refID=7119942&amp;Result=3","7119942")</f>
        <v>0</v>
      </c>
      <c r="B11044" t="s">
        <v>3297</v>
      </c>
      <c r="C11044" t="s">
        <v>14247</v>
      </c>
      <c r="D11044" t="s">
        <v>17954</v>
      </c>
      <c r="E11044" t="s">
        <v>27579</v>
      </c>
      <c r="F11044" t="s">
        <v>30900</v>
      </c>
      <c r="G11044" t="s">
        <v>30907</v>
      </c>
      <c r="H11044" t="s">
        <v>30915</v>
      </c>
      <c r="I11044" t="s">
        <v>30919</v>
      </c>
      <c r="J11044" t="s">
        <v>37912</v>
      </c>
      <c r="K11044" t="s">
        <v>40398</v>
      </c>
      <c r="M11044" t="s">
        <v>44146</v>
      </c>
      <c r="N11044" t="s">
        <v>44759</v>
      </c>
      <c r="O11044" t="s">
        <v>44760</v>
      </c>
      <c r="Q11044">
        <v>50</v>
      </c>
      <c r="R11044" t="s">
        <v>44774</v>
      </c>
      <c r="S11044" t="s">
        <v>45273</v>
      </c>
      <c r="T11044" t="s">
        <v>46352</v>
      </c>
      <c r="U11044" t="s">
        <v>56033</v>
      </c>
      <c r="W11044" t="s">
        <v>44146</v>
      </c>
      <c r="X11044" t="s">
        <v>44778</v>
      </c>
    </row>
    <row r="11045" spans="1:24">
      <c r="A11045">
        <f>HYPERLINK("https://www.philgeps.gov.ph/GEPSNONPILOT/Tender/SplashBidNoticeAbstractUI.aspx?menuIndex=3&amp;refID=7119939&amp;Result=3","7119939")</f>
        <v>0</v>
      </c>
      <c r="B11045" t="s">
        <v>3297</v>
      </c>
      <c r="C11045" t="s">
        <v>14248</v>
      </c>
      <c r="D11045" t="s">
        <v>17954</v>
      </c>
      <c r="E11045" t="s">
        <v>27580</v>
      </c>
      <c r="F11045" t="s">
        <v>30900</v>
      </c>
      <c r="G11045" t="s">
        <v>30907</v>
      </c>
      <c r="H11045" t="s">
        <v>30915</v>
      </c>
      <c r="I11045" t="s">
        <v>30919</v>
      </c>
      <c r="J11045" t="s">
        <v>37913</v>
      </c>
      <c r="K11045" t="s">
        <v>40354</v>
      </c>
      <c r="M11045" t="s">
        <v>44146</v>
      </c>
      <c r="N11045" t="s">
        <v>44759</v>
      </c>
      <c r="O11045" t="s">
        <v>44760</v>
      </c>
      <c r="Q11045">
        <v>47</v>
      </c>
      <c r="R11045" t="s">
        <v>44774</v>
      </c>
      <c r="S11045" t="s">
        <v>45274</v>
      </c>
      <c r="T11045" t="s">
        <v>46352</v>
      </c>
      <c r="U11045" t="s">
        <v>56034</v>
      </c>
      <c r="W11045" t="s">
        <v>44146</v>
      </c>
      <c r="X11045" t="s">
        <v>44778</v>
      </c>
    </row>
    <row r="11046" spans="1:24">
      <c r="A11046">
        <f>HYPERLINK("https://www.philgeps.gov.ph/GEPSNONPILOT/Tender/SplashBidNoticeAbstractUI.aspx?menuIndex=3&amp;refID=7121487&amp;Result=3","7121487")</f>
        <v>0</v>
      </c>
      <c r="B11046" t="s">
        <v>3101</v>
      </c>
      <c r="C11046" t="s">
        <v>14249</v>
      </c>
      <c r="D11046" t="s">
        <v>17953</v>
      </c>
      <c r="E11046" t="s">
        <v>27581</v>
      </c>
      <c r="F11046" t="s">
        <v>30900</v>
      </c>
      <c r="G11046" t="s">
        <v>30907</v>
      </c>
      <c r="H11046" t="s">
        <v>30915</v>
      </c>
      <c r="I11046" t="s">
        <v>30919</v>
      </c>
      <c r="J11046" t="s">
        <v>37914</v>
      </c>
      <c r="K11046" t="s">
        <v>40304</v>
      </c>
      <c r="M11046" t="s">
        <v>43913</v>
      </c>
      <c r="N11046" t="s">
        <v>44759</v>
      </c>
      <c r="O11046" t="s">
        <v>44760</v>
      </c>
      <c r="Q11046">
        <v>2</v>
      </c>
      <c r="R11046" t="s">
        <v>44774</v>
      </c>
      <c r="S11046" t="s">
        <v>45275</v>
      </c>
      <c r="T11046" t="s">
        <v>46366</v>
      </c>
      <c r="U11046" t="s">
        <v>56025</v>
      </c>
      <c r="W11046" t="s">
        <v>43913</v>
      </c>
      <c r="X11046" t="s">
        <v>44777</v>
      </c>
    </row>
    <row r="11047" spans="1:24">
      <c r="A11047">
        <f>HYPERLINK("https://www.philgeps.gov.ph/GEPSNONPILOT/Tender/SplashBidNoticeAbstractUI.aspx?menuIndex=3&amp;refID=7119936&amp;Result=3","7119936")</f>
        <v>0</v>
      </c>
      <c r="B11047" t="s">
        <v>3297</v>
      </c>
      <c r="C11047" t="s">
        <v>14250</v>
      </c>
      <c r="D11047" t="s">
        <v>17954</v>
      </c>
      <c r="E11047" t="s">
        <v>27582</v>
      </c>
      <c r="F11047" t="s">
        <v>30900</v>
      </c>
      <c r="G11047" t="s">
        <v>30907</v>
      </c>
      <c r="H11047" t="s">
        <v>30915</v>
      </c>
      <c r="I11047" t="s">
        <v>30919</v>
      </c>
      <c r="J11047" t="s">
        <v>37915</v>
      </c>
      <c r="K11047" t="s">
        <v>40322</v>
      </c>
      <c r="M11047" t="s">
        <v>44146</v>
      </c>
      <c r="N11047" t="s">
        <v>44759</v>
      </c>
      <c r="O11047" t="s">
        <v>44760</v>
      </c>
      <c r="Q11047">
        <v>51</v>
      </c>
      <c r="R11047" t="s">
        <v>44774</v>
      </c>
      <c r="S11047" t="s">
        <v>45276</v>
      </c>
      <c r="T11047" t="s">
        <v>46352</v>
      </c>
      <c r="U11047" t="s">
        <v>56035</v>
      </c>
      <c r="W11047" t="s">
        <v>44146</v>
      </c>
      <c r="X11047" t="s">
        <v>44778</v>
      </c>
    </row>
    <row r="11048" spans="1:24">
      <c r="A11048">
        <f>HYPERLINK("https://www.philgeps.gov.ph/GEPSNONPILOT/Tender/SplashBidNoticeAbstractUI.aspx?menuIndex=3&amp;refID=7119932&amp;Result=3","7119932")</f>
        <v>0</v>
      </c>
      <c r="B11048" t="s">
        <v>3297</v>
      </c>
      <c r="C11048" t="s">
        <v>14251</v>
      </c>
      <c r="D11048" t="s">
        <v>17954</v>
      </c>
      <c r="E11048" t="s">
        <v>27583</v>
      </c>
      <c r="F11048" t="s">
        <v>30900</v>
      </c>
      <c r="G11048" t="s">
        <v>30907</v>
      </c>
      <c r="H11048" t="s">
        <v>30915</v>
      </c>
      <c r="I11048" t="s">
        <v>30919</v>
      </c>
      <c r="J11048" t="s">
        <v>37916</v>
      </c>
      <c r="K11048" t="s">
        <v>40292</v>
      </c>
      <c r="M11048" t="s">
        <v>44146</v>
      </c>
      <c r="N11048" t="s">
        <v>44759</v>
      </c>
      <c r="O11048" t="s">
        <v>44760</v>
      </c>
      <c r="Q11048">
        <v>51</v>
      </c>
      <c r="R11048" t="s">
        <v>44774</v>
      </c>
      <c r="S11048" t="s">
        <v>45163</v>
      </c>
      <c r="T11048" t="s">
        <v>46352</v>
      </c>
      <c r="U11048" t="s">
        <v>56036</v>
      </c>
      <c r="W11048" t="s">
        <v>44146</v>
      </c>
      <c r="X11048" t="s">
        <v>44778</v>
      </c>
    </row>
    <row r="11049" spans="1:24">
      <c r="A11049">
        <f>HYPERLINK("https://www.philgeps.gov.ph/GEPSNONPILOT/Tender/SplashBidNoticeAbstractUI.aspx?menuIndex=3&amp;refID=7119946&amp;Result=3","7119946")</f>
        <v>0</v>
      </c>
      <c r="B11049" t="s">
        <v>3297</v>
      </c>
      <c r="C11049" t="s">
        <v>14252</v>
      </c>
      <c r="D11049" t="s">
        <v>17954</v>
      </c>
      <c r="E11049" t="s">
        <v>27584</v>
      </c>
      <c r="F11049" t="s">
        <v>30900</v>
      </c>
      <c r="G11049" t="s">
        <v>30907</v>
      </c>
      <c r="H11049" t="s">
        <v>30915</v>
      </c>
      <c r="I11049" t="s">
        <v>30919</v>
      </c>
      <c r="J11049" t="s">
        <v>37917</v>
      </c>
      <c r="K11049" t="s">
        <v>40304</v>
      </c>
      <c r="M11049" t="s">
        <v>44146</v>
      </c>
      <c r="N11049" t="s">
        <v>44759</v>
      </c>
      <c r="O11049" t="s">
        <v>44760</v>
      </c>
      <c r="Q11049">
        <v>52</v>
      </c>
      <c r="R11049" t="s">
        <v>44774</v>
      </c>
      <c r="S11049" t="s">
        <v>45277</v>
      </c>
      <c r="T11049" t="s">
        <v>46352</v>
      </c>
      <c r="U11049" t="s">
        <v>56037</v>
      </c>
      <c r="W11049" t="s">
        <v>44146</v>
      </c>
      <c r="X11049" t="s">
        <v>44778</v>
      </c>
    </row>
    <row r="11050" spans="1:24">
      <c r="A11050">
        <f>HYPERLINK("https://www.philgeps.gov.ph/GEPSNONPILOT/Tender/SplashBidNoticeAbstractUI.aspx?menuIndex=3&amp;refID=6930858&amp;Result=3","6930858")</f>
        <v>0</v>
      </c>
      <c r="B11050" t="s">
        <v>439</v>
      </c>
      <c r="C11050" t="s">
        <v>14253</v>
      </c>
      <c r="D11050" t="s">
        <v>18019</v>
      </c>
      <c r="E11050" t="s">
        <v>27585</v>
      </c>
      <c r="F11050" t="s">
        <v>30900</v>
      </c>
      <c r="G11050" t="s">
        <v>30907</v>
      </c>
      <c r="H11050" t="s">
        <v>30915</v>
      </c>
      <c r="I11050" t="s">
        <v>30919</v>
      </c>
      <c r="J11050" t="s">
        <v>37918</v>
      </c>
      <c r="K11050" t="s">
        <v>40512</v>
      </c>
      <c r="M11050" t="s">
        <v>40996</v>
      </c>
      <c r="N11050" t="s">
        <v>44759</v>
      </c>
      <c r="O11050" t="s">
        <v>44760</v>
      </c>
      <c r="Q11050">
        <v>5</v>
      </c>
      <c r="R11050" t="s">
        <v>44774</v>
      </c>
      <c r="S11050" t="s">
        <v>45278</v>
      </c>
      <c r="T11050" t="s">
        <v>46875</v>
      </c>
      <c r="U11050" t="s">
        <v>56038</v>
      </c>
      <c r="V11050" t="s">
        <v>60359</v>
      </c>
      <c r="W11050" t="s">
        <v>40996</v>
      </c>
      <c r="X11050" t="s">
        <v>44856</v>
      </c>
    </row>
    <row r="11051" spans="1:24">
      <c r="A11051">
        <f>HYPERLINK("https://www.philgeps.gov.ph/GEPSNONPILOT/Tender/SplashBidNoticeAbstractUI.aspx?menuIndex=3&amp;refID=7119935&amp;Result=3","7119935")</f>
        <v>0</v>
      </c>
      <c r="B11051" t="s">
        <v>3297</v>
      </c>
      <c r="C11051" t="s">
        <v>14254</v>
      </c>
      <c r="D11051" t="s">
        <v>17954</v>
      </c>
      <c r="E11051" t="s">
        <v>27586</v>
      </c>
      <c r="F11051" t="s">
        <v>30900</v>
      </c>
      <c r="G11051" t="s">
        <v>30907</v>
      </c>
      <c r="H11051" t="s">
        <v>30915</v>
      </c>
      <c r="I11051" t="s">
        <v>30919</v>
      </c>
      <c r="J11051" t="s">
        <v>37919</v>
      </c>
      <c r="K11051" t="s">
        <v>40398</v>
      </c>
      <c r="M11051" t="s">
        <v>44146</v>
      </c>
      <c r="N11051" t="s">
        <v>44759</v>
      </c>
      <c r="O11051" t="s">
        <v>44760</v>
      </c>
      <c r="Q11051">
        <v>52</v>
      </c>
      <c r="R11051" t="s">
        <v>44774</v>
      </c>
      <c r="S11051" t="s">
        <v>45279</v>
      </c>
      <c r="T11051" t="s">
        <v>46352</v>
      </c>
      <c r="U11051" t="s">
        <v>56039</v>
      </c>
      <c r="W11051" t="s">
        <v>44146</v>
      </c>
      <c r="X11051" t="s">
        <v>44778</v>
      </c>
    </row>
    <row r="11052" spans="1:24">
      <c r="A11052">
        <f>HYPERLINK("https://www.philgeps.gov.ph/GEPSNONPILOT/Tender/SplashBidNoticeAbstractUI.aspx?menuIndex=3&amp;refID=7120295&amp;Result=3","7120295")</f>
        <v>0</v>
      </c>
      <c r="B11052" t="s">
        <v>1423</v>
      </c>
      <c r="C11052" t="s">
        <v>14244</v>
      </c>
      <c r="D11052" t="s">
        <v>18013</v>
      </c>
      <c r="E11052" t="s">
        <v>27587</v>
      </c>
      <c r="F11052" t="s">
        <v>30900</v>
      </c>
      <c r="G11052" t="s">
        <v>30907</v>
      </c>
      <c r="H11052" t="s">
        <v>30916</v>
      </c>
      <c r="I11052" t="s">
        <v>30933</v>
      </c>
      <c r="J11052" t="s">
        <v>31214</v>
      </c>
      <c r="K11052" t="s">
        <v>40289</v>
      </c>
      <c r="M11052" t="s">
        <v>42053</v>
      </c>
      <c r="N11052" t="s">
        <v>44759</v>
      </c>
      <c r="O11052" t="s">
        <v>44760</v>
      </c>
      <c r="P11052">
        <v>0</v>
      </c>
      <c r="Q11052">
        <v>2</v>
      </c>
      <c r="R11052" t="s">
        <v>44774</v>
      </c>
      <c r="S11052" t="s">
        <v>45266</v>
      </c>
      <c r="T11052" t="s">
        <v>46382</v>
      </c>
      <c r="U11052" t="s">
        <v>56040</v>
      </c>
      <c r="V11052" t="s">
        <v>60360</v>
      </c>
      <c r="W11052" t="s">
        <v>42053</v>
      </c>
      <c r="X11052" t="s">
        <v>44777</v>
      </c>
    </row>
    <row r="11053" spans="1:24">
      <c r="A11053">
        <f>HYPERLINK("https://www.philgeps.gov.ph/GEPSNONPILOT/Tender/SplashBidNoticeAbstractUI.aspx?menuIndex=3&amp;refID=7132678&amp;Result=3","7132678")</f>
        <v>0</v>
      </c>
      <c r="B11053" t="s">
        <v>1153</v>
      </c>
      <c r="C11053" t="s">
        <v>14255</v>
      </c>
      <c r="E11053" t="s">
        <v>27588</v>
      </c>
      <c r="F11053" t="s">
        <v>30900</v>
      </c>
      <c r="G11053" t="s">
        <v>30908</v>
      </c>
      <c r="H11053" t="s">
        <v>30916</v>
      </c>
      <c r="I11053" t="s">
        <v>30995</v>
      </c>
      <c r="J11053" t="s">
        <v>37920</v>
      </c>
      <c r="K11053" t="s">
        <v>40289</v>
      </c>
      <c r="M11053" t="s">
        <v>41759</v>
      </c>
      <c r="N11053" t="s">
        <v>44759</v>
      </c>
      <c r="O11053" t="s">
        <v>44760</v>
      </c>
      <c r="Q11053">
        <v>5</v>
      </c>
      <c r="R11053" t="s">
        <v>44773</v>
      </c>
      <c r="S11053" t="s">
        <v>45061</v>
      </c>
      <c r="T11053" t="s">
        <v>46357</v>
      </c>
      <c r="U11053" t="s">
        <v>56041</v>
      </c>
      <c r="W11053" t="s">
        <v>41759</v>
      </c>
      <c r="X11053" t="s">
        <v>44774</v>
      </c>
    </row>
    <row r="11054" spans="1:24">
      <c r="A11054">
        <f>HYPERLINK("https://www.philgeps.gov.ph/GEPSNONPILOT/Tender/SplashBidNoticeAbstractUI.aspx?menuIndex=3&amp;refID=7119925&amp;Result=3","7119925")</f>
        <v>0</v>
      </c>
      <c r="B11054" t="s">
        <v>3297</v>
      </c>
      <c r="C11054" t="s">
        <v>14256</v>
      </c>
      <c r="D11054" t="s">
        <v>17954</v>
      </c>
      <c r="E11054" t="s">
        <v>27589</v>
      </c>
      <c r="F11054" t="s">
        <v>30900</v>
      </c>
      <c r="G11054" t="s">
        <v>30907</v>
      </c>
      <c r="H11054" t="s">
        <v>30915</v>
      </c>
      <c r="I11054" t="s">
        <v>30919</v>
      </c>
      <c r="J11054" t="s">
        <v>37921</v>
      </c>
      <c r="K11054" t="s">
        <v>40390</v>
      </c>
      <c r="M11054" t="s">
        <v>44146</v>
      </c>
      <c r="N11054" t="s">
        <v>44759</v>
      </c>
      <c r="O11054" t="s">
        <v>44760</v>
      </c>
      <c r="Q11054">
        <v>53</v>
      </c>
      <c r="R11054" t="s">
        <v>44774</v>
      </c>
      <c r="S11054" t="s">
        <v>45280</v>
      </c>
      <c r="T11054" t="s">
        <v>46352</v>
      </c>
      <c r="U11054" t="s">
        <v>56042</v>
      </c>
      <c r="W11054" t="s">
        <v>44146</v>
      </c>
      <c r="X11054" t="s">
        <v>44778</v>
      </c>
    </row>
    <row r="11055" spans="1:24">
      <c r="A11055">
        <f>HYPERLINK("https://www.philgeps.gov.ph/GEPSNONPILOT/Tender/SplashBidNoticeAbstractUI.aspx?menuIndex=3&amp;refID=7134933&amp;Result=3","7134933")</f>
        <v>0</v>
      </c>
      <c r="B11055" t="s">
        <v>2256</v>
      </c>
      <c r="C11055" t="s">
        <v>14257</v>
      </c>
      <c r="D11055" t="s">
        <v>17953</v>
      </c>
      <c r="E11055" t="s">
        <v>27590</v>
      </c>
      <c r="F11055" t="s">
        <v>30900</v>
      </c>
      <c r="G11055" t="s">
        <v>30913</v>
      </c>
      <c r="H11055" t="s">
        <v>30916</v>
      </c>
      <c r="I11055" t="s">
        <v>6396</v>
      </c>
      <c r="J11055" t="s">
        <v>37922</v>
      </c>
      <c r="K11055" t="s">
        <v>40288</v>
      </c>
      <c r="M11055" t="s">
        <v>42968</v>
      </c>
      <c r="N11055" t="s">
        <v>44759</v>
      </c>
      <c r="O11055" t="s">
        <v>44760</v>
      </c>
      <c r="P11055">
        <v>0</v>
      </c>
      <c r="Q11055">
        <v>2</v>
      </c>
      <c r="R11055" t="s">
        <v>44772</v>
      </c>
      <c r="S11055" t="s">
        <v>45149</v>
      </c>
      <c r="T11055" t="s">
        <v>46694</v>
      </c>
      <c r="U11055" t="s">
        <v>56043</v>
      </c>
      <c r="V11055" t="s">
        <v>60361</v>
      </c>
      <c r="W11055" t="s">
        <v>42968</v>
      </c>
      <c r="X11055" t="s">
        <v>44773</v>
      </c>
    </row>
    <row r="11056" spans="1:24">
      <c r="A11056">
        <f>HYPERLINK("https://www.philgeps.gov.ph/GEPSNONPILOT/Tender/SplashBidNoticeAbstractUI.aspx?menuIndex=3&amp;refID=7134779&amp;Result=3","7134779")</f>
        <v>0</v>
      </c>
      <c r="B11056" t="s">
        <v>1500</v>
      </c>
      <c r="C11056" t="s">
        <v>14258</v>
      </c>
      <c r="D11056" t="s">
        <v>17978</v>
      </c>
      <c r="E11056" t="s">
        <v>27591</v>
      </c>
      <c r="F11056" t="s">
        <v>30900</v>
      </c>
      <c r="G11056" t="s">
        <v>30907</v>
      </c>
      <c r="H11056" t="s">
        <v>30916</v>
      </c>
      <c r="I11056" t="s">
        <v>10847</v>
      </c>
      <c r="J11056" t="s">
        <v>37923</v>
      </c>
      <c r="K11056" t="s">
        <v>40283</v>
      </c>
      <c r="M11056" t="s">
        <v>43287</v>
      </c>
      <c r="N11056" t="s">
        <v>44759</v>
      </c>
      <c r="O11056" t="s">
        <v>44760</v>
      </c>
      <c r="P11056">
        <v>0</v>
      </c>
      <c r="Q11056">
        <v>4</v>
      </c>
      <c r="R11056" t="s">
        <v>44772</v>
      </c>
      <c r="S11056" t="s">
        <v>45149</v>
      </c>
      <c r="T11056" t="s">
        <v>46859</v>
      </c>
      <c r="U11056" t="s">
        <v>53334</v>
      </c>
      <c r="W11056" t="s">
        <v>43287</v>
      </c>
      <c r="X11056" t="s">
        <v>44773</v>
      </c>
    </row>
    <row r="11057" spans="1:24">
      <c r="A11057">
        <f>HYPERLINK("https://www.philgeps.gov.ph/GEPSNONPILOT/Tender/SplashBidNoticeAbstractUI.aspx?menuIndex=3&amp;refID=7119927&amp;Result=3","7119927")</f>
        <v>0</v>
      </c>
      <c r="B11057" t="s">
        <v>3297</v>
      </c>
      <c r="C11057" t="s">
        <v>14259</v>
      </c>
      <c r="D11057" t="s">
        <v>17954</v>
      </c>
      <c r="E11057" t="s">
        <v>27592</v>
      </c>
      <c r="F11057" t="s">
        <v>30900</v>
      </c>
      <c r="G11057" t="s">
        <v>30907</v>
      </c>
      <c r="H11057" t="s">
        <v>30915</v>
      </c>
      <c r="I11057" t="s">
        <v>30919</v>
      </c>
      <c r="J11057" t="s">
        <v>37924</v>
      </c>
      <c r="K11057" t="s">
        <v>40354</v>
      </c>
      <c r="M11057" t="s">
        <v>44146</v>
      </c>
      <c r="N11057" t="s">
        <v>44759</v>
      </c>
      <c r="O11057" t="s">
        <v>44760</v>
      </c>
      <c r="Q11057">
        <v>48</v>
      </c>
      <c r="R11057" t="s">
        <v>44774</v>
      </c>
      <c r="S11057" t="s">
        <v>45281</v>
      </c>
      <c r="T11057" t="s">
        <v>46361</v>
      </c>
      <c r="U11057" t="s">
        <v>56044</v>
      </c>
      <c r="W11057" t="s">
        <v>44146</v>
      </c>
      <c r="X11057" t="s">
        <v>44778</v>
      </c>
    </row>
    <row r="11058" spans="1:24">
      <c r="A11058">
        <f>HYPERLINK("https://www.philgeps.gov.ph/GEPSNONPILOT/Tender/SplashBidNoticeAbstractUI.aspx?menuIndex=3&amp;refID=7121714&amp;Result=3","7121714")</f>
        <v>0</v>
      </c>
      <c r="B11058" t="s">
        <v>186</v>
      </c>
      <c r="C11058" t="s">
        <v>14260</v>
      </c>
      <c r="D11058" t="s">
        <v>17957</v>
      </c>
      <c r="E11058" t="s">
        <v>27593</v>
      </c>
      <c r="F11058" t="s">
        <v>30900</v>
      </c>
      <c r="G11058" t="s">
        <v>30907</v>
      </c>
      <c r="H11058" t="s">
        <v>30915</v>
      </c>
      <c r="I11058" t="s">
        <v>30919</v>
      </c>
      <c r="J11058" t="s">
        <v>37925</v>
      </c>
      <c r="K11058" t="s">
        <v>40395</v>
      </c>
      <c r="M11058" t="s">
        <v>40733</v>
      </c>
      <c r="N11058" t="s">
        <v>44759</v>
      </c>
      <c r="O11058" t="s">
        <v>44760</v>
      </c>
      <c r="P11058">
        <v>0</v>
      </c>
      <c r="Q11058">
        <v>0</v>
      </c>
      <c r="R11058" t="s">
        <v>44774</v>
      </c>
      <c r="S11058" t="s">
        <v>45266</v>
      </c>
      <c r="T11058" t="s">
        <v>46418</v>
      </c>
      <c r="U11058" t="s">
        <v>56045</v>
      </c>
      <c r="V11058" t="s">
        <v>60362</v>
      </c>
      <c r="W11058" t="s">
        <v>40733</v>
      </c>
      <c r="X11058" t="s">
        <v>44777</v>
      </c>
    </row>
    <row r="11059" spans="1:24">
      <c r="A11059">
        <f>HYPERLINK("https://www.philgeps.gov.ph/GEPSNONPILOT/Tender/SplashBidNoticeAbstractUI.aspx?menuIndex=3&amp;refID=7132685&amp;Result=3","7132685")</f>
        <v>0</v>
      </c>
      <c r="B11059" t="s">
        <v>3299</v>
      </c>
      <c r="C11059" t="s">
        <v>14261</v>
      </c>
      <c r="D11059" t="s">
        <v>18016</v>
      </c>
      <c r="E11059" t="s">
        <v>27594</v>
      </c>
      <c r="F11059" t="s">
        <v>30900</v>
      </c>
      <c r="G11059" t="s">
        <v>30907</v>
      </c>
      <c r="H11059" t="s">
        <v>30915</v>
      </c>
      <c r="I11059" t="s">
        <v>30919</v>
      </c>
      <c r="J11059" t="s">
        <v>37926</v>
      </c>
      <c r="K11059" t="s">
        <v>40312</v>
      </c>
      <c r="M11059" t="s">
        <v>44148</v>
      </c>
      <c r="N11059" t="s">
        <v>44759</v>
      </c>
      <c r="O11059" t="s">
        <v>44760</v>
      </c>
      <c r="P11059">
        <v>0</v>
      </c>
      <c r="Q11059">
        <v>1</v>
      </c>
      <c r="R11059" t="s">
        <v>44773</v>
      </c>
      <c r="S11059" t="s">
        <v>45184</v>
      </c>
      <c r="T11059" t="s">
        <v>46352</v>
      </c>
      <c r="U11059" t="s">
        <v>56046</v>
      </c>
      <c r="V11059" t="s">
        <v>60363</v>
      </c>
      <c r="W11059" t="s">
        <v>44148</v>
      </c>
      <c r="X11059" t="s">
        <v>44774</v>
      </c>
    </row>
    <row r="11060" spans="1:24">
      <c r="A11060">
        <f>HYPERLINK("https://www.philgeps.gov.ph/GEPSNONPILOT/Tender/SplashBidNoticeAbstractUI.aspx?menuIndex=3&amp;refID=7124212&amp;Result=3","7124212")</f>
        <v>0</v>
      </c>
      <c r="B11060" t="s">
        <v>807</v>
      </c>
      <c r="C11060" t="s">
        <v>14262</v>
      </c>
      <c r="D11060" t="s">
        <v>18015</v>
      </c>
      <c r="E11060" t="s">
        <v>27595</v>
      </c>
      <c r="F11060" t="s">
        <v>30900</v>
      </c>
      <c r="G11060" t="s">
        <v>30907</v>
      </c>
      <c r="H11060" t="s">
        <v>30916</v>
      </c>
      <c r="I11060" t="s">
        <v>8123</v>
      </c>
      <c r="J11060" t="s">
        <v>37927</v>
      </c>
      <c r="K11060" t="s">
        <v>40286</v>
      </c>
      <c r="M11060" t="s">
        <v>41377</v>
      </c>
      <c r="N11060" t="s">
        <v>44759</v>
      </c>
      <c r="O11060" t="s">
        <v>44760</v>
      </c>
      <c r="P11060">
        <v>0</v>
      </c>
      <c r="Q11060">
        <v>1</v>
      </c>
      <c r="R11060" t="s">
        <v>44774</v>
      </c>
      <c r="S11060" t="s">
        <v>45266</v>
      </c>
      <c r="T11060" t="s">
        <v>46352</v>
      </c>
      <c r="U11060" t="s">
        <v>56047</v>
      </c>
      <c r="W11060" t="s">
        <v>41377</v>
      </c>
      <c r="X11060" t="s">
        <v>44776</v>
      </c>
    </row>
    <row r="11061" spans="1:24">
      <c r="A11061">
        <f>HYPERLINK("https://www.philgeps.gov.ph/GEPSNONPILOT/Tender/SplashBidNoticeAbstractUI.aspx?menuIndex=3&amp;refID=7134926&amp;Result=3","7134926")</f>
        <v>0</v>
      </c>
      <c r="B11061" t="s">
        <v>878</v>
      </c>
      <c r="C11061" t="s">
        <v>14263</v>
      </c>
      <c r="D11061" t="s">
        <v>17978</v>
      </c>
      <c r="E11061" t="s">
        <v>24916</v>
      </c>
      <c r="F11061" t="s">
        <v>30900</v>
      </c>
      <c r="G11061" t="s">
        <v>30907</v>
      </c>
      <c r="H11061" t="s">
        <v>30916</v>
      </c>
      <c r="I11061" t="s">
        <v>10847</v>
      </c>
      <c r="J11061" t="s">
        <v>37928</v>
      </c>
      <c r="K11061" t="s">
        <v>40362</v>
      </c>
      <c r="M11061" t="s">
        <v>41487</v>
      </c>
      <c r="N11061" t="s">
        <v>44759</v>
      </c>
      <c r="O11061" t="s">
        <v>44760</v>
      </c>
      <c r="P11061">
        <v>0</v>
      </c>
      <c r="Q11061">
        <v>5</v>
      </c>
      <c r="R11061" t="s">
        <v>44772</v>
      </c>
      <c r="S11061" t="s">
        <v>45149</v>
      </c>
      <c r="T11061" t="s">
        <v>46712</v>
      </c>
      <c r="U11061" t="s">
        <v>56048</v>
      </c>
      <c r="W11061" t="s">
        <v>41487</v>
      </c>
      <c r="X11061" t="s">
        <v>44773</v>
      </c>
    </row>
    <row r="11062" spans="1:24">
      <c r="A11062">
        <f>HYPERLINK("https://www.philgeps.gov.ph/GEPSNONPILOT/Tender/SplashBidNoticeAbstractUI.aspx?menuIndex=3&amp;refID=7119894&amp;Result=3","7119894")</f>
        <v>0</v>
      </c>
      <c r="B11062" t="s">
        <v>1822</v>
      </c>
      <c r="C11062" t="s">
        <v>14264</v>
      </c>
      <c r="D11062" t="s">
        <v>18033</v>
      </c>
      <c r="E11062" t="s">
        <v>27596</v>
      </c>
      <c r="F11062" t="s">
        <v>30900</v>
      </c>
      <c r="G11062" t="s">
        <v>30907</v>
      </c>
      <c r="H11062" t="s">
        <v>30915</v>
      </c>
      <c r="I11062" t="s">
        <v>30919</v>
      </c>
      <c r="J11062" t="s">
        <v>37929</v>
      </c>
      <c r="K11062" t="s">
        <v>40405</v>
      </c>
      <c r="M11062" t="s">
        <v>42495</v>
      </c>
      <c r="N11062" t="s">
        <v>44759</v>
      </c>
      <c r="O11062" t="s">
        <v>44760</v>
      </c>
      <c r="P11062">
        <v>0</v>
      </c>
      <c r="Q11062">
        <v>0</v>
      </c>
      <c r="R11062" t="s">
        <v>44774</v>
      </c>
      <c r="S11062" t="s">
        <v>45266</v>
      </c>
      <c r="T11062" t="s">
        <v>46389</v>
      </c>
      <c r="U11062" t="s">
        <v>55728</v>
      </c>
      <c r="V11062" t="s">
        <v>60364</v>
      </c>
      <c r="W11062" t="s">
        <v>42495</v>
      </c>
      <c r="X11062" t="s">
        <v>44778</v>
      </c>
    </row>
    <row r="11063" spans="1:24">
      <c r="A11063">
        <f>HYPERLINK("https://www.philgeps.gov.ph/GEPSNONPILOT/Tender/SplashBidNoticeAbstractUI.aspx?menuIndex=3&amp;refID=7124571&amp;Result=3","7124571")</f>
        <v>0</v>
      </c>
      <c r="B11063" t="s">
        <v>865</v>
      </c>
      <c r="C11063" t="s">
        <v>14265</v>
      </c>
      <c r="D11063" t="s">
        <v>18012</v>
      </c>
      <c r="E11063" t="s">
        <v>27597</v>
      </c>
      <c r="F11063" t="s">
        <v>30900</v>
      </c>
      <c r="G11063" t="s">
        <v>30907</v>
      </c>
      <c r="H11063" t="s">
        <v>30916</v>
      </c>
      <c r="I11063" t="s">
        <v>30919</v>
      </c>
      <c r="J11063" t="s">
        <v>32110</v>
      </c>
      <c r="K11063" t="s">
        <v>40280</v>
      </c>
      <c r="M11063" t="s">
        <v>41438</v>
      </c>
      <c r="N11063" t="s">
        <v>44759</v>
      </c>
      <c r="O11063" t="s">
        <v>44760</v>
      </c>
      <c r="P11063">
        <v>0</v>
      </c>
      <c r="Q11063">
        <v>2</v>
      </c>
      <c r="R11063" t="s">
        <v>44774</v>
      </c>
      <c r="S11063" t="s">
        <v>45266</v>
      </c>
      <c r="T11063" t="s">
        <v>46409</v>
      </c>
      <c r="U11063" t="s">
        <v>56049</v>
      </c>
      <c r="V11063" t="s">
        <v>59322</v>
      </c>
      <c r="W11063" t="s">
        <v>41438</v>
      </c>
      <c r="X11063" t="s">
        <v>44776</v>
      </c>
    </row>
    <row r="11064" spans="1:24">
      <c r="A11064">
        <f>HYPERLINK("https://www.philgeps.gov.ph/GEPSNONPILOT/Tender/SplashBidNoticeAbstractUI.aspx?menuIndex=3&amp;refID=7123793&amp;Result=3","7123793")</f>
        <v>0</v>
      </c>
      <c r="B11064" t="s">
        <v>1423</v>
      </c>
      <c r="C11064" t="s">
        <v>7307</v>
      </c>
      <c r="D11064" t="s">
        <v>18013</v>
      </c>
      <c r="E11064" t="s">
        <v>27598</v>
      </c>
      <c r="F11064" t="s">
        <v>30900</v>
      </c>
      <c r="G11064" t="s">
        <v>30907</v>
      </c>
      <c r="H11064" t="s">
        <v>30916</v>
      </c>
      <c r="I11064" t="s">
        <v>30923</v>
      </c>
      <c r="J11064" t="s">
        <v>31243</v>
      </c>
      <c r="K11064" t="s">
        <v>40289</v>
      </c>
      <c r="M11064" t="s">
        <v>42130</v>
      </c>
      <c r="N11064" t="s">
        <v>44759</v>
      </c>
      <c r="O11064" t="s">
        <v>44760</v>
      </c>
      <c r="P11064">
        <v>0</v>
      </c>
      <c r="Q11064">
        <v>12</v>
      </c>
      <c r="R11064" t="s">
        <v>44774</v>
      </c>
      <c r="S11064" t="s">
        <v>45266</v>
      </c>
      <c r="T11064" t="s">
        <v>46382</v>
      </c>
      <c r="U11064" t="s">
        <v>56050</v>
      </c>
      <c r="W11064" t="s">
        <v>42130</v>
      </c>
      <c r="X11064" t="s">
        <v>44776</v>
      </c>
    </row>
    <row r="11065" spans="1:24">
      <c r="A11065">
        <f>HYPERLINK("https://www.philgeps.gov.ph/GEPSNONPILOT/Tender/SplashBidNoticeAbstractUI.aspx?menuIndex=3&amp;refID=7124489&amp;Result=3","7124489")</f>
        <v>0</v>
      </c>
      <c r="B11065" t="s">
        <v>1153</v>
      </c>
      <c r="C11065" t="s">
        <v>14266</v>
      </c>
      <c r="E11065" t="s">
        <v>27599</v>
      </c>
      <c r="F11065" t="s">
        <v>30900</v>
      </c>
      <c r="G11065" t="s">
        <v>30907</v>
      </c>
      <c r="H11065" t="s">
        <v>30916</v>
      </c>
      <c r="I11065" t="s">
        <v>30942</v>
      </c>
      <c r="J11065" t="s">
        <v>31094</v>
      </c>
      <c r="K11065" t="s">
        <v>40289</v>
      </c>
      <c r="M11065" t="s">
        <v>43035</v>
      </c>
      <c r="N11065" t="s">
        <v>44759</v>
      </c>
      <c r="O11065" t="s">
        <v>44760</v>
      </c>
      <c r="P11065">
        <v>0</v>
      </c>
      <c r="Q11065">
        <v>2</v>
      </c>
      <c r="R11065" t="s">
        <v>44774</v>
      </c>
      <c r="S11065" t="s">
        <v>45266</v>
      </c>
      <c r="T11065" t="s">
        <v>46725</v>
      </c>
      <c r="U11065" t="s">
        <v>52464</v>
      </c>
      <c r="W11065" t="s">
        <v>43035</v>
      </c>
      <c r="X11065" t="s">
        <v>44776</v>
      </c>
    </row>
    <row r="11066" spans="1:24">
      <c r="A11066">
        <f>HYPERLINK("https://www.philgeps.gov.ph/GEPSNONPILOT/Tender/SplashBidNoticeAbstractUI.aspx?menuIndex=3&amp;refID=7124485&amp;Result=3","7124485")</f>
        <v>0</v>
      </c>
      <c r="B11066" t="s">
        <v>416</v>
      </c>
      <c r="C11066" t="s">
        <v>14267</v>
      </c>
      <c r="E11066" t="s">
        <v>27600</v>
      </c>
      <c r="F11066" t="s">
        <v>30900</v>
      </c>
      <c r="G11066" t="s">
        <v>30907</v>
      </c>
      <c r="H11066" t="s">
        <v>30915</v>
      </c>
      <c r="I11066" t="s">
        <v>30932</v>
      </c>
      <c r="J11066" t="s">
        <v>37930</v>
      </c>
      <c r="K11066" t="s">
        <v>40280</v>
      </c>
      <c r="M11066" t="s">
        <v>40972</v>
      </c>
      <c r="N11066" t="s">
        <v>44759</v>
      </c>
      <c r="O11066" t="s">
        <v>44760</v>
      </c>
      <c r="Q11066">
        <v>1</v>
      </c>
      <c r="R11066" t="s">
        <v>44774</v>
      </c>
      <c r="S11066" t="s">
        <v>45282</v>
      </c>
      <c r="T11066" t="s">
        <v>46544</v>
      </c>
      <c r="U11066" t="s">
        <v>56051</v>
      </c>
      <c r="W11066" t="s">
        <v>40972</v>
      </c>
      <c r="X11066" t="s">
        <v>44776</v>
      </c>
    </row>
    <row r="11067" spans="1:24">
      <c r="A11067">
        <f>HYPERLINK("https://www.philgeps.gov.ph/GEPSNONPILOT/Tender/SplashBidNoticeAbstractUI.aspx?menuIndex=3&amp;refID=7123763&amp;Result=3","7123763")</f>
        <v>0</v>
      </c>
      <c r="B11067" t="s">
        <v>2310</v>
      </c>
      <c r="C11067" t="s">
        <v>14268</v>
      </c>
      <c r="D11067" t="s">
        <v>17952</v>
      </c>
      <c r="E11067" t="s">
        <v>27601</v>
      </c>
      <c r="F11067" t="s">
        <v>30900</v>
      </c>
      <c r="G11067" t="s">
        <v>30907</v>
      </c>
      <c r="H11067" t="s">
        <v>30916</v>
      </c>
      <c r="I11067" t="s">
        <v>8123</v>
      </c>
      <c r="J11067" t="s">
        <v>37931</v>
      </c>
      <c r="K11067" t="s">
        <v>40280</v>
      </c>
      <c r="M11067" t="s">
        <v>43028</v>
      </c>
      <c r="N11067" t="s">
        <v>44759</v>
      </c>
      <c r="O11067" t="s">
        <v>44760</v>
      </c>
      <c r="Q11067">
        <v>2</v>
      </c>
      <c r="R11067" t="s">
        <v>44774</v>
      </c>
      <c r="S11067" t="s">
        <v>45283</v>
      </c>
      <c r="T11067" t="s">
        <v>46366</v>
      </c>
      <c r="U11067" t="s">
        <v>56052</v>
      </c>
      <c r="W11067" t="s">
        <v>43028</v>
      </c>
      <c r="X11067" t="s">
        <v>44776</v>
      </c>
    </row>
    <row r="11068" spans="1:24">
      <c r="A11068">
        <f>HYPERLINK("https://www.philgeps.gov.ph/GEPSNONPILOT/Tender/SplashBidNoticeAbstractUI.aspx?menuIndex=3&amp;refID=7124232&amp;Result=3","7124232")</f>
        <v>0</v>
      </c>
      <c r="B11068" t="s">
        <v>807</v>
      </c>
      <c r="C11068" t="s">
        <v>14269</v>
      </c>
      <c r="D11068" t="s">
        <v>18015</v>
      </c>
      <c r="E11068" t="s">
        <v>27602</v>
      </c>
      <c r="F11068" t="s">
        <v>30900</v>
      </c>
      <c r="G11068" t="s">
        <v>30907</v>
      </c>
      <c r="H11068" t="s">
        <v>30916</v>
      </c>
      <c r="I11068" t="s">
        <v>30933</v>
      </c>
      <c r="J11068" t="s">
        <v>31214</v>
      </c>
      <c r="K11068" t="s">
        <v>40293</v>
      </c>
      <c r="M11068" t="s">
        <v>41377</v>
      </c>
      <c r="N11068" t="s">
        <v>44759</v>
      </c>
      <c r="O11068" t="s">
        <v>44760</v>
      </c>
      <c r="P11068">
        <v>0</v>
      </c>
      <c r="Q11068">
        <v>3</v>
      </c>
      <c r="R11068" t="s">
        <v>44774</v>
      </c>
      <c r="S11068" t="s">
        <v>45266</v>
      </c>
      <c r="T11068" t="s">
        <v>46352</v>
      </c>
      <c r="U11068" t="s">
        <v>56053</v>
      </c>
      <c r="W11068" t="s">
        <v>41377</v>
      </c>
      <c r="X11068" t="s">
        <v>44776</v>
      </c>
    </row>
    <row r="11069" spans="1:24">
      <c r="A11069">
        <f>HYPERLINK("https://www.philgeps.gov.ph/GEPSNONPILOT/Tender/SplashBidNoticeAbstractUI.aspx?menuIndex=3&amp;refID=7123704&amp;Result=3","7123704")</f>
        <v>0</v>
      </c>
      <c r="B11069" t="s">
        <v>2310</v>
      </c>
      <c r="C11069" t="s">
        <v>14270</v>
      </c>
      <c r="D11069" t="s">
        <v>17952</v>
      </c>
      <c r="E11069" t="s">
        <v>27603</v>
      </c>
      <c r="F11069" t="s">
        <v>30900</v>
      </c>
      <c r="G11069" t="s">
        <v>30907</v>
      </c>
      <c r="H11069" t="s">
        <v>30916</v>
      </c>
      <c r="I11069" t="s">
        <v>30923</v>
      </c>
      <c r="J11069" t="s">
        <v>31391</v>
      </c>
      <c r="K11069" t="s">
        <v>40284</v>
      </c>
      <c r="M11069" t="s">
        <v>43028</v>
      </c>
      <c r="N11069" t="s">
        <v>44759</v>
      </c>
      <c r="O11069" t="s">
        <v>44760</v>
      </c>
      <c r="P11069">
        <v>0</v>
      </c>
      <c r="Q11069">
        <v>8</v>
      </c>
      <c r="R11069" t="s">
        <v>44774</v>
      </c>
      <c r="S11069" t="s">
        <v>45266</v>
      </c>
      <c r="T11069" t="s">
        <v>46366</v>
      </c>
      <c r="U11069" t="s">
        <v>56054</v>
      </c>
      <c r="W11069" t="s">
        <v>43028</v>
      </c>
      <c r="X11069" t="s">
        <v>44776</v>
      </c>
    </row>
    <row r="11070" spans="1:24">
      <c r="A11070">
        <f>HYPERLINK("https://www.philgeps.gov.ph/GEPSNONPILOT/Tender/SplashBidNoticeAbstractUI.aspx?menuIndex=3&amp;refID=7123667&amp;Result=3","7123667")</f>
        <v>0</v>
      </c>
      <c r="B11070" t="s">
        <v>1423</v>
      </c>
      <c r="C11070" t="s">
        <v>7225</v>
      </c>
      <c r="D11070" t="s">
        <v>18013</v>
      </c>
      <c r="E11070" t="s">
        <v>27604</v>
      </c>
      <c r="F11070" t="s">
        <v>30900</v>
      </c>
      <c r="G11070" t="s">
        <v>30907</v>
      </c>
      <c r="H11070" t="s">
        <v>30916</v>
      </c>
      <c r="I11070" t="s">
        <v>9385</v>
      </c>
      <c r="J11070" t="s">
        <v>36141</v>
      </c>
      <c r="K11070" t="s">
        <v>40289</v>
      </c>
      <c r="M11070" t="s">
        <v>42130</v>
      </c>
      <c r="N11070" t="s">
        <v>44759</v>
      </c>
      <c r="O11070" t="s">
        <v>44760</v>
      </c>
      <c r="P11070">
        <v>0</v>
      </c>
      <c r="Q11070">
        <v>21</v>
      </c>
      <c r="R11070" t="s">
        <v>44774</v>
      </c>
      <c r="S11070" t="s">
        <v>45266</v>
      </c>
      <c r="T11070" t="s">
        <v>46382</v>
      </c>
      <c r="U11070" t="s">
        <v>56055</v>
      </c>
      <c r="W11070" t="s">
        <v>42130</v>
      </c>
      <c r="X11070" t="s">
        <v>44776</v>
      </c>
    </row>
    <row r="11071" spans="1:24">
      <c r="A11071">
        <f>HYPERLINK("https://www.philgeps.gov.ph/GEPSNONPILOT/Tender/SplashBidNoticeAbstractUI.aspx?menuIndex=3&amp;refID=7123615&amp;Result=3","7123615")</f>
        <v>0</v>
      </c>
      <c r="B11071" t="s">
        <v>1423</v>
      </c>
      <c r="C11071" t="s">
        <v>4750</v>
      </c>
      <c r="D11071" t="s">
        <v>18013</v>
      </c>
      <c r="E11071" t="s">
        <v>27605</v>
      </c>
      <c r="F11071" t="s">
        <v>30900</v>
      </c>
      <c r="G11071" t="s">
        <v>30907</v>
      </c>
      <c r="H11071" t="s">
        <v>30916</v>
      </c>
      <c r="I11071" t="s">
        <v>5501</v>
      </c>
      <c r="J11071" t="s">
        <v>37932</v>
      </c>
      <c r="K11071" t="s">
        <v>40289</v>
      </c>
      <c r="M11071" t="s">
        <v>42130</v>
      </c>
      <c r="N11071" t="s">
        <v>44759</v>
      </c>
      <c r="O11071" t="s">
        <v>44760</v>
      </c>
      <c r="P11071">
        <v>0</v>
      </c>
      <c r="Q11071">
        <v>4</v>
      </c>
      <c r="R11071" t="s">
        <v>44774</v>
      </c>
      <c r="S11071" t="s">
        <v>45266</v>
      </c>
      <c r="T11071" t="s">
        <v>46382</v>
      </c>
      <c r="U11071" t="s">
        <v>56056</v>
      </c>
      <c r="W11071" t="s">
        <v>42130</v>
      </c>
      <c r="X11071" t="s">
        <v>44776</v>
      </c>
    </row>
    <row r="11072" spans="1:24">
      <c r="A11072">
        <f>HYPERLINK("https://www.philgeps.gov.ph/GEPSNONPILOT/Tender/SplashBidNoticeAbstractUI.aspx?menuIndex=3&amp;refID=7122949&amp;Result=3","7122949")</f>
        <v>0</v>
      </c>
      <c r="B11072" t="s">
        <v>3300</v>
      </c>
      <c r="C11072" t="s">
        <v>14271</v>
      </c>
      <c r="D11072" t="s">
        <v>17990</v>
      </c>
      <c r="E11072" t="s">
        <v>27606</v>
      </c>
      <c r="F11072" t="s">
        <v>30900</v>
      </c>
      <c r="G11072" t="s">
        <v>30907</v>
      </c>
      <c r="H11072" t="s">
        <v>30915</v>
      </c>
      <c r="I11072" t="s">
        <v>30919</v>
      </c>
      <c r="J11072" t="s">
        <v>32454</v>
      </c>
      <c r="K11072" t="s">
        <v>40301</v>
      </c>
      <c r="M11072" t="s">
        <v>44149</v>
      </c>
      <c r="N11072" t="s">
        <v>44759</v>
      </c>
      <c r="O11072" t="s">
        <v>44760</v>
      </c>
      <c r="P11072">
        <v>0</v>
      </c>
      <c r="Q11072">
        <v>0</v>
      </c>
      <c r="R11072" t="s">
        <v>44774</v>
      </c>
      <c r="S11072" t="s">
        <v>45266</v>
      </c>
      <c r="T11072" t="s">
        <v>46352</v>
      </c>
      <c r="U11072" t="s">
        <v>56057</v>
      </c>
      <c r="W11072" t="s">
        <v>44149</v>
      </c>
      <c r="X11072" t="s">
        <v>44777</v>
      </c>
    </row>
    <row r="11073" spans="1:24">
      <c r="A11073">
        <f>HYPERLINK("https://www.philgeps.gov.ph/GEPSNONPILOT/Tender/SplashBidNoticeAbstractUI.aspx?menuIndex=3&amp;refID=7122130&amp;Result=3","7122130")</f>
        <v>0</v>
      </c>
      <c r="B11073" t="s">
        <v>1423</v>
      </c>
      <c r="C11073" t="s">
        <v>14272</v>
      </c>
      <c r="D11073" t="s">
        <v>18013</v>
      </c>
      <c r="E11073" t="s">
        <v>27607</v>
      </c>
      <c r="F11073" t="s">
        <v>30900</v>
      </c>
      <c r="G11073" t="s">
        <v>30907</v>
      </c>
      <c r="H11073" t="s">
        <v>30916</v>
      </c>
      <c r="I11073" t="s">
        <v>8365</v>
      </c>
      <c r="J11073" t="s">
        <v>37933</v>
      </c>
      <c r="K11073" t="s">
        <v>40289</v>
      </c>
      <c r="M11073" t="s">
        <v>42053</v>
      </c>
      <c r="N11073" t="s">
        <v>44759</v>
      </c>
      <c r="O11073" t="s">
        <v>44760</v>
      </c>
      <c r="P11073">
        <v>0</v>
      </c>
      <c r="Q11073">
        <v>2</v>
      </c>
      <c r="R11073" t="s">
        <v>44774</v>
      </c>
      <c r="S11073" t="s">
        <v>45266</v>
      </c>
      <c r="T11073" t="s">
        <v>46382</v>
      </c>
      <c r="U11073" t="s">
        <v>56058</v>
      </c>
      <c r="V11073" t="s">
        <v>60365</v>
      </c>
      <c r="W11073" t="s">
        <v>42053</v>
      </c>
      <c r="X11073" t="s">
        <v>44777</v>
      </c>
    </row>
    <row r="11074" spans="1:24">
      <c r="A11074">
        <f>HYPERLINK("https://www.philgeps.gov.ph/GEPSNONPILOT/Tender/SplashBidNoticeAbstractUI.aspx?menuIndex=3&amp;refID=7122099&amp;Result=3","7122099")</f>
        <v>0</v>
      </c>
      <c r="B11074" t="s">
        <v>3301</v>
      </c>
      <c r="C11074" t="s">
        <v>14273</v>
      </c>
      <c r="D11074" t="s">
        <v>17999</v>
      </c>
      <c r="E11074" t="s">
        <v>27608</v>
      </c>
      <c r="F11074" t="s">
        <v>30900</v>
      </c>
      <c r="G11074" t="s">
        <v>30907</v>
      </c>
      <c r="H11074" t="s">
        <v>30915</v>
      </c>
      <c r="I11074" t="s">
        <v>30919</v>
      </c>
      <c r="J11074" t="s">
        <v>37934</v>
      </c>
      <c r="K11074" t="s">
        <v>40286</v>
      </c>
      <c r="M11074" t="s">
        <v>44150</v>
      </c>
      <c r="N11074" t="s">
        <v>44759</v>
      </c>
      <c r="O11074" t="s">
        <v>44760</v>
      </c>
      <c r="P11074">
        <v>0</v>
      </c>
      <c r="Q11074">
        <v>3</v>
      </c>
      <c r="R11074" t="s">
        <v>44774</v>
      </c>
      <c r="S11074" t="s">
        <v>45266</v>
      </c>
      <c r="T11074" t="s">
        <v>46658</v>
      </c>
      <c r="U11074" t="s">
        <v>56059</v>
      </c>
      <c r="V11074" t="s">
        <v>60366</v>
      </c>
      <c r="W11074" t="s">
        <v>44150</v>
      </c>
      <c r="X11074" t="s">
        <v>44777</v>
      </c>
    </row>
    <row r="11075" spans="1:24">
      <c r="A11075">
        <f>HYPERLINK("https://www.philgeps.gov.ph/GEPSNONPILOT/Tender/SplashBidNoticeAbstractUI.aspx?menuIndex=3&amp;refID=7123901&amp;Result=3","7123901")</f>
        <v>0</v>
      </c>
      <c r="B11075" t="s">
        <v>1182</v>
      </c>
      <c r="C11075" t="s">
        <v>14274</v>
      </c>
      <c r="D11075" t="s">
        <v>17952</v>
      </c>
      <c r="E11075" t="s">
        <v>27609</v>
      </c>
      <c r="F11075" t="s">
        <v>30900</v>
      </c>
      <c r="G11075" t="s">
        <v>30907</v>
      </c>
      <c r="H11075" t="s">
        <v>30916</v>
      </c>
      <c r="I11075" t="s">
        <v>8123</v>
      </c>
      <c r="J11075" t="s">
        <v>37935</v>
      </c>
      <c r="K11075" t="s">
        <v>40291</v>
      </c>
      <c r="M11075" t="s">
        <v>41791</v>
      </c>
      <c r="N11075" t="s">
        <v>44759</v>
      </c>
      <c r="O11075" t="s">
        <v>44760</v>
      </c>
      <c r="P11075">
        <v>0</v>
      </c>
      <c r="Q11075">
        <v>3</v>
      </c>
      <c r="R11075" t="s">
        <v>44774</v>
      </c>
      <c r="S11075" t="s">
        <v>45266</v>
      </c>
      <c r="T11075" t="s">
        <v>46411</v>
      </c>
      <c r="U11075" t="s">
        <v>50679</v>
      </c>
      <c r="V11075" t="s">
        <v>59424</v>
      </c>
      <c r="W11075" t="s">
        <v>41791</v>
      </c>
      <c r="X11075" t="s">
        <v>44776</v>
      </c>
    </row>
    <row r="11076" spans="1:24">
      <c r="A11076">
        <f>HYPERLINK("https://www.philgeps.gov.ph/GEPSNONPILOT/Tender/SplashBidNoticeAbstractUI.aspx?menuIndex=3&amp;refID=7124542&amp;Result=3","7124542")</f>
        <v>0</v>
      </c>
      <c r="B11076" t="s">
        <v>781</v>
      </c>
      <c r="C11076" t="s">
        <v>14275</v>
      </c>
      <c r="D11076" t="s">
        <v>17959</v>
      </c>
      <c r="E11076" t="s">
        <v>27610</v>
      </c>
      <c r="F11076" t="s">
        <v>30900</v>
      </c>
      <c r="G11076" t="s">
        <v>30907</v>
      </c>
      <c r="H11076" t="s">
        <v>30916</v>
      </c>
      <c r="I11076" t="s">
        <v>31011</v>
      </c>
      <c r="J11076" t="s">
        <v>37936</v>
      </c>
      <c r="K11076" t="s">
        <v>40284</v>
      </c>
      <c r="M11076" t="s">
        <v>44151</v>
      </c>
      <c r="N11076" t="s">
        <v>44759</v>
      </c>
      <c r="O11076" t="s">
        <v>44760</v>
      </c>
      <c r="P11076">
        <v>0</v>
      </c>
      <c r="Q11076">
        <v>6</v>
      </c>
      <c r="R11076" t="s">
        <v>44774</v>
      </c>
      <c r="S11076" t="s">
        <v>45266</v>
      </c>
      <c r="T11076" t="s">
        <v>46422</v>
      </c>
      <c r="U11076" t="s">
        <v>56060</v>
      </c>
      <c r="V11076" t="s">
        <v>60367</v>
      </c>
      <c r="W11076" t="s">
        <v>44151</v>
      </c>
      <c r="X11076" t="s">
        <v>44776</v>
      </c>
    </row>
    <row r="11077" spans="1:24">
      <c r="A11077">
        <f>HYPERLINK("https://www.philgeps.gov.ph/GEPSNONPILOT/Tender/SplashBidNoticeAbstractUI.aspx?menuIndex=3&amp;refID=7132684&amp;Result=3","7132684")</f>
        <v>0</v>
      </c>
      <c r="B11077" t="s">
        <v>1788</v>
      </c>
      <c r="C11077" t="s">
        <v>14276</v>
      </c>
      <c r="D11077" t="s">
        <v>17993</v>
      </c>
      <c r="E11077" t="s">
        <v>27611</v>
      </c>
      <c r="F11077" t="s">
        <v>30900</v>
      </c>
      <c r="G11077" t="s">
        <v>30907</v>
      </c>
      <c r="H11077" t="s">
        <v>30915</v>
      </c>
      <c r="I11077" t="s">
        <v>30919</v>
      </c>
      <c r="J11077" t="s">
        <v>37937</v>
      </c>
      <c r="K11077" t="s">
        <v>40304</v>
      </c>
      <c r="M11077" t="s">
        <v>42463</v>
      </c>
      <c r="N11077" t="s">
        <v>44759</v>
      </c>
      <c r="O11077" t="s">
        <v>44760</v>
      </c>
      <c r="P11077">
        <v>0</v>
      </c>
      <c r="Q11077">
        <v>0</v>
      </c>
      <c r="R11077" t="s">
        <v>44773</v>
      </c>
      <c r="S11077" t="s">
        <v>45184</v>
      </c>
      <c r="T11077" t="s">
        <v>46364</v>
      </c>
      <c r="U11077" t="s">
        <v>56061</v>
      </c>
      <c r="V11077" t="s">
        <v>60368</v>
      </c>
      <c r="W11077" t="s">
        <v>42463</v>
      </c>
      <c r="X11077" t="s">
        <v>44774</v>
      </c>
    </row>
    <row r="11078" spans="1:24">
      <c r="A11078">
        <f>HYPERLINK("https://www.philgeps.gov.ph/GEPSNONPILOT/Tender/SplashBidNoticeAbstractUI.aspx?menuIndex=3&amp;refID=7125078&amp;Result=3","7125078")</f>
        <v>0</v>
      </c>
      <c r="B11078" t="s">
        <v>759</v>
      </c>
      <c r="C11078" t="s">
        <v>14277</v>
      </c>
      <c r="D11078" t="s">
        <v>17978</v>
      </c>
      <c r="E11078" t="s">
        <v>27612</v>
      </c>
      <c r="F11078" t="s">
        <v>30900</v>
      </c>
      <c r="G11078" t="s">
        <v>30907</v>
      </c>
      <c r="H11078" t="s">
        <v>30915</v>
      </c>
      <c r="I11078" t="s">
        <v>30919</v>
      </c>
      <c r="J11078" t="s">
        <v>37938</v>
      </c>
      <c r="K11078" t="s">
        <v>40280</v>
      </c>
      <c r="M11078" t="s">
        <v>41324</v>
      </c>
      <c r="N11078" t="s">
        <v>44759</v>
      </c>
      <c r="O11078" t="s">
        <v>44760</v>
      </c>
      <c r="P11078">
        <v>0</v>
      </c>
      <c r="Q11078">
        <v>2</v>
      </c>
      <c r="R11078" t="s">
        <v>44774</v>
      </c>
      <c r="S11078" t="s">
        <v>45266</v>
      </c>
      <c r="T11078" t="s">
        <v>46373</v>
      </c>
      <c r="U11078" t="s">
        <v>56062</v>
      </c>
      <c r="W11078" t="s">
        <v>41324</v>
      </c>
      <c r="X11078" t="s">
        <v>44776</v>
      </c>
    </row>
    <row r="11079" spans="1:24">
      <c r="A11079">
        <f>HYPERLINK("https://www.philgeps.gov.ph/GEPSNONPILOT/Tender/SplashBidNoticeAbstractUI.aspx?menuIndex=3&amp;refID=7125013&amp;Result=3","7125013")</f>
        <v>0</v>
      </c>
      <c r="B11079" t="s">
        <v>2933</v>
      </c>
      <c r="C11079" t="s">
        <v>14278</v>
      </c>
      <c r="D11079" t="s">
        <v>17981</v>
      </c>
      <c r="E11079" t="s">
        <v>27613</v>
      </c>
      <c r="F11079" t="s">
        <v>30900</v>
      </c>
      <c r="G11079" t="s">
        <v>30907</v>
      </c>
      <c r="H11079" t="s">
        <v>30915</v>
      </c>
      <c r="I11079" t="s">
        <v>30919</v>
      </c>
      <c r="J11079" t="s">
        <v>37939</v>
      </c>
      <c r="K11079" t="s">
        <v>40304</v>
      </c>
      <c r="M11079" t="s">
        <v>44152</v>
      </c>
      <c r="N11079" t="s">
        <v>44759</v>
      </c>
      <c r="O11079" t="s">
        <v>44760</v>
      </c>
      <c r="P11079">
        <v>0</v>
      </c>
      <c r="Q11079">
        <v>11</v>
      </c>
      <c r="R11079" t="s">
        <v>44774</v>
      </c>
      <c r="S11079" t="s">
        <v>45266</v>
      </c>
      <c r="T11079" t="s">
        <v>46409</v>
      </c>
      <c r="U11079" t="s">
        <v>56063</v>
      </c>
      <c r="V11079" t="s">
        <v>53539</v>
      </c>
      <c r="W11079" t="s">
        <v>44152</v>
      </c>
      <c r="X11079" t="s">
        <v>44776</v>
      </c>
    </row>
    <row r="11080" spans="1:24">
      <c r="A11080">
        <f>HYPERLINK("https://www.philgeps.gov.ph/GEPSNONPILOT/Tender/SplashBidNoticeAbstractUI.aspx?menuIndex=3&amp;refID=7125018&amp;Result=3","7125018")</f>
        <v>0</v>
      </c>
      <c r="B11080" t="s">
        <v>1100</v>
      </c>
      <c r="C11080" t="s">
        <v>14279</v>
      </c>
      <c r="D11080" t="s">
        <v>17980</v>
      </c>
      <c r="E11080" t="s">
        <v>27614</v>
      </c>
      <c r="F11080" t="s">
        <v>30900</v>
      </c>
      <c r="G11080" t="s">
        <v>30909</v>
      </c>
      <c r="H11080" t="s">
        <v>30916</v>
      </c>
      <c r="I11080" t="s">
        <v>30923</v>
      </c>
      <c r="J11080" t="s">
        <v>37940</v>
      </c>
      <c r="K11080" t="s">
        <v>40289</v>
      </c>
      <c r="M11080" t="s">
        <v>41789</v>
      </c>
      <c r="N11080" t="s">
        <v>44759</v>
      </c>
      <c r="O11080" t="s">
        <v>44760</v>
      </c>
      <c r="P11080">
        <v>0</v>
      </c>
      <c r="Q11080">
        <v>1</v>
      </c>
      <c r="R11080" t="s">
        <v>44774</v>
      </c>
      <c r="S11080" t="s">
        <v>45266</v>
      </c>
      <c r="T11080" t="s">
        <v>46548</v>
      </c>
      <c r="U11080" t="s">
        <v>56064</v>
      </c>
      <c r="W11080" t="s">
        <v>41789</v>
      </c>
      <c r="X11080" t="s">
        <v>44776</v>
      </c>
    </row>
    <row r="11081" spans="1:24">
      <c r="A11081">
        <f>HYPERLINK("https://www.philgeps.gov.ph/GEPSNONPILOT/Tender/SplashBidNoticeAbstractUI.aspx?menuIndex=3&amp;refID=7125080&amp;Result=3","7125080")</f>
        <v>0</v>
      </c>
      <c r="B11081" t="s">
        <v>3302</v>
      </c>
      <c r="C11081" t="s">
        <v>14280</v>
      </c>
      <c r="D11081" t="s">
        <v>17959</v>
      </c>
      <c r="E11081" t="s">
        <v>27615</v>
      </c>
      <c r="F11081" t="s">
        <v>30900</v>
      </c>
      <c r="G11081" t="s">
        <v>30907</v>
      </c>
      <c r="H11081" t="s">
        <v>30916</v>
      </c>
      <c r="I11081" t="s">
        <v>30926</v>
      </c>
      <c r="J11081" t="s">
        <v>37941</v>
      </c>
      <c r="K11081" t="s">
        <v>40284</v>
      </c>
      <c r="M11081" t="s">
        <v>44153</v>
      </c>
      <c r="N11081" t="s">
        <v>44759</v>
      </c>
      <c r="O11081" t="s">
        <v>44760</v>
      </c>
      <c r="P11081">
        <v>0</v>
      </c>
      <c r="Q11081">
        <v>0</v>
      </c>
      <c r="R11081" t="s">
        <v>44774</v>
      </c>
      <c r="S11081" t="s">
        <v>45266</v>
      </c>
      <c r="T11081" t="s">
        <v>46425</v>
      </c>
      <c r="U11081" t="s">
        <v>56065</v>
      </c>
      <c r="W11081" t="s">
        <v>44153</v>
      </c>
      <c r="X11081" t="s">
        <v>44776</v>
      </c>
    </row>
    <row r="11082" spans="1:24">
      <c r="A11082">
        <f>HYPERLINK("https://www.philgeps.gov.ph/GEPSNONPILOT/Tender/SplashBidNoticeAbstractUI.aspx?menuIndex=3&amp;refID=7124975&amp;Result=3","7124975")</f>
        <v>0</v>
      </c>
      <c r="B11082" t="s">
        <v>759</v>
      </c>
      <c r="C11082" t="s">
        <v>14281</v>
      </c>
      <c r="D11082" t="s">
        <v>17978</v>
      </c>
      <c r="E11082" t="s">
        <v>27616</v>
      </c>
      <c r="F11082" t="s">
        <v>30900</v>
      </c>
      <c r="G11082" t="s">
        <v>30907</v>
      </c>
      <c r="H11082" t="s">
        <v>30915</v>
      </c>
      <c r="I11082" t="s">
        <v>30919</v>
      </c>
      <c r="J11082" t="s">
        <v>37938</v>
      </c>
      <c r="K11082" t="s">
        <v>40280</v>
      </c>
      <c r="M11082" t="s">
        <v>41324</v>
      </c>
      <c r="N11082" t="s">
        <v>44759</v>
      </c>
      <c r="O11082" t="s">
        <v>44760</v>
      </c>
      <c r="P11082">
        <v>0</v>
      </c>
      <c r="Q11082">
        <v>2</v>
      </c>
      <c r="R11082" t="s">
        <v>44774</v>
      </c>
      <c r="S11082" t="s">
        <v>45266</v>
      </c>
      <c r="T11082" t="s">
        <v>46373</v>
      </c>
      <c r="U11082" t="s">
        <v>56062</v>
      </c>
      <c r="W11082" t="s">
        <v>41324</v>
      </c>
      <c r="X11082" t="s">
        <v>44776</v>
      </c>
    </row>
    <row r="11083" spans="1:24">
      <c r="A11083">
        <f>HYPERLINK("https://www.philgeps.gov.ph/GEPSNONPILOT/Tender/SplashBidNoticeAbstractUI.aspx?menuIndex=3&amp;refID=7124936&amp;Result=3","7124936")</f>
        <v>0</v>
      </c>
      <c r="B11083" t="s">
        <v>45</v>
      </c>
      <c r="C11083" t="s">
        <v>14282</v>
      </c>
      <c r="E11083" t="s">
        <v>27617</v>
      </c>
      <c r="F11083" t="s">
        <v>30900</v>
      </c>
      <c r="G11083" t="s">
        <v>30907</v>
      </c>
      <c r="H11083" t="s">
        <v>30915</v>
      </c>
      <c r="I11083" t="s">
        <v>30919</v>
      </c>
      <c r="J11083" t="s">
        <v>37942</v>
      </c>
      <c r="K11083" t="s">
        <v>40450</v>
      </c>
      <c r="M11083" t="s">
        <v>40591</v>
      </c>
      <c r="N11083" t="s">
        <v>44759</v>
      </c>
      <c r="O11083" t="s">
        <v>44760</v>
      </c>
      <c r="P11083">
        <v>0</v>
      </c>
      <c r="Q11083">
        <v>0</v>
      </c>
      <c r="R11083" t="s">
        <v>44774</v>
      </c>
      <c r="S11083" t="s">
        <v>45266</v>
      </c>
      <c r="T11083" t="s">
        <v>46445</v>
      </c>
      <c r="U11083" t="s">
        <v>56066</v>
      </c>
      <c r="W11083" t="s">
        <v>40591</v>
      </c>
      <c r="X11083" t="s">
        <v>44776</v>
      </c>
    </row>
    <row r="11084" spans="1:24">
      <c r="A11084">
        <f>HYPERLINK("https://www.philgeps.gov.ph/GEPSNONPILOT/Tender/SplashBidNoticeAbstractUI.aspx?menuIndex=3&amp;refID=7124919&amp;Result=3","7124919")</f>
        <v>0</v>
      </c>
      <c r="B11084" t="s">
        <v>3302</v>
      </c>
      <c r="C11084" t="s">
        <v>14283</v>
      </c>
      <c r="D11084" t="s">
        <v>17959</v>
      </c>
      <c r="E11084" t="s">
        <v>27618</v>
      </c>
      <c r="F11084" t="s">
        <v>30900</v>
      </c>
      <c r="G11084" t="s">
        <v>30907</v>
      </c>
      <c r="H11084" t="s">
        <v>30916</v>
      </c>
      <c r="I11084" t="s">
        <v>30926</v>
      </c>
      <c r="J11084" t="s">
        <v>37941</v>
      </c>
      <c r="K11084" t="s">
        <v>40284</v>
      </c>
      <c r="M11084" t="s">
        <v>44153</v>
      </c>
      <c r="N11084" t="s">
        <v>44759</v>
      </c>
      <c r="O11084" t="s">
        <v>44760</v>
      </c>
      <c r="P11084">
        <v>0</v>
      </c>
      <c r="Q11084">
        <v>0</v>
      </c>
      <c r="R11084" t="s">
        <v>44774</v>
      </c>
      <c r="S11084" t="s">
        <v>45266</v>
      </c>
      <c r="T11084" t="s">
        <v>46425</v>
      </c>
      <c r="U11084" t="s">
        <v>56065</v>
      </c>
      <c r="W11084" t="s">
        <v>44153</v>
      </c>
      <c r="X11084" t="s">
        <v>44776</v>
      </c>
    </row>
    <row r="11085" spans="1:24">
      <c r="A11085">
        <f>HYPERLINK("https://www.philgeps.gov.ph/GEPSNONPILOT/Tender/SplashBidNoticeAbstractUI.aspx?menuIndex=3&amp;refID=7125016&amp;Result=3","7125016")</f>
        <v>0</v>
      </c>
      <c r="B11085" t="s">
        <v>3302</v>
      </c>
      <c r="C11085" t="s">
        <v>14284</v>
      </c>
      <c r="D11085" t="s">
        <v>17959</v>
      </c>
      <c r="E11085" t="s">
        <v>27619</v>
      </c>
      <c r="F11085" t="s">
        <v>30900</v>
      </c>
      <c r="G11085" t="s">
        <v>30907</v>
      </c>
      <c r="H11085" t="s">
        <v>30916</v>
      </c>
      <c r="I11085" t="s">
        <v>6396</v>
      </c>
      <c r="J11085" t="s">
        <v>37943</v>
      </c>
      <c r="K11085" t="s">
        <v>40284</v>
      </c>
      <c r="M11085" t="s">
        <v>44153</v>
      </c>
      <c r="N11085" t="s">
        <v>44759</v>
      </c>
      <c r="O11085" t="s">
        <v>44760</v>
      </c>
      <c r="P11085">
        <v>0</v>
      </c>
      <c r="Q11085">
        <v>3</v>
      </c>
      <c r="R11085" t="s">
        <v>44774</v>
      </c>
      <c r="S11085" t="s">
        <v>45266</v>
      </c>
      <c r="T11085" t="s">
        <v>46425</v>
      </c>
      <c r="U11085" t="s">
        <v>56065</v>
      </c>
      <c r="W11085" t="s">
        <v>44153</v>
      </c>
      <c r="X11085" t="s">
        <v>44776</v>
      </c>
    </row>
    <row r="11086" spans="1:24">
      <c r="A11086">
        <f>HYPERLINK("https://www.philgeps.gov.ph/GEPSNONPILOT/Tender/SplashBidNoticeAbstractUI.aspx?menuIndex=3&amp;refID=7125027&amp;Result=3","7125027")</f>
        <v>0</v>
      </c>
      <c r="B11086" t="s">
        <v>45</v>
      </c>
      <c r="C11086" t="s">
        <v>14285</v>
      </c>
      <c r="E11086" t="s">
        <v>27620</v>
      </c>
      <c r="F11086" t="s">
        <v>30900</v>
      </c>
      <c r="G11086" t="s">
        <v>30907</v>
      </c>
      <c r="H11086" t="s">
        <v>30915</v>
      </c>
      <c r="I11086" t="s">
        <v>30919</v>
      </c>
      <c r="J11086" t="s">
        <v>37944</v>
      </c>
      <c r="K11086" t="s">
        <v>40280</v>
      </c>
      <c r="M11086" t="s">
        <v>40591</v>
      </c>
      <c r="N11086" t="s">
        <v>44759</v>
      </c>
      <c r="O11086" t="s">
        <v>44760</v>
      </c>
      <c r="P11086">
        <v>0</v>
      </c>
      <c r="Q11086">
        <v>0</v>
      </c>
      <c r="R11086" t="s">
        <v>44774</v>
      </c>
      <c r="S11086" t="s">
        <v>45266</v>
      </c>
      <c r="T11086" t="s">
        <v>46445</v>
      </c>
      <c r="U11086" t="s">
        <v>56067</v>
      </c>
      <c r="W11086" t="s">
        <v>40591</v>
      </c>
      <c r="X11086" t="s">
        <v>44776</v>
      </c>
    </row>
    <row r="11087" spans="1:24">
      <c r="A11087">
        <f>HYPERLINK("https://www.philgeps.gov.ph/GEPSNONPILOT/Tender/SplashBidNoticeAbstractUI.aspx?menuIndex=3&amp;refID=7124891&amp;Result=3","7124891")</f>
        <v>0</v>
      </c>
      <c r="B11087" t="s">
        <v>45</v>
      </c>
      <c r="C11087" t="s">
        <v>14286</v>
      </c>
      <c r="E11087" t="s">
        <v>27621</v>
      </c>
      <c r="F11087" t="s">
        <v>30900</v>
      </c>
      <c r="G11087" t="s">
        <v>30907</v>
      </c>
      <c r="H11087" t="s">
        <v>30915</v>
      </c>
      <c r="I11087" t="s">
        <v>30919</v>
      </c>
      <c r="J11087" t="s">
        <v>37945</v>
      </c>
      <c r="K11087" t="s">
        <v>40428</v>
      </c>
      <c r="M11087" t="s">
        <v>40591</v>
      </c>
      <c r="N11087" t="s">
        <v>44759</v>
      </c>
      <c r="O11087" t="s">
        <v>44760</v>
      </c>
      <c r="P11087">
        <v>0</v>
      </c>
      <c r="Q11087">
        <v>0</v>
      </c>
      <c r="R11087" t="s">
        <v>44774</v>
      </c>
      <c r="S11087" t="s">
        <v>45266</v>
      </c>
      <c r="T11087" t="s">
        <v>46445</v>
      </c>
      <c r="U11087" t="s">
        <v>56068</v>
      </c>
      <c r="W11087" t="s">
        <v>40591</v>
      </c>
      <c r="X11087" t="s">
        <v>44776</v>
      </c>
    </row>
    <row r="11088" spans="1:24">
      <c r="A11088">
        <f>HYPERLINK("https://www.philgeps.gov.ph/GEPSNONPILOT/Tender/SplashBidNoticeAbstractUI.aspx?menuIndex=3&amp;refID=7124880&amp;Result=3","7124880")</f>
        <v>0</v>
      </c>
      <c r="B11088" t="s">
        <v>3302</v>
      </c>
      <c r="C11088" t="s">
        <v>14287</v>
      </c>
      <c r="D11088" t="s">
        <v>17959</v>
      </c>
      <c r="E11088" t="s">
        <v>27622</v>
      </c>
      <c r="F11088" t="s">
        <v>30900</v>
      </c>
      <c r="G11088" t="s">
        <v>30907</v>
      </c>
      <c r="H11088" t="s">
        <v>30916</v>
      </c>
      <c r="I11088" t="s">
        <v>6396</v>
      </c>
      <c r="J11088" t="s">
        <v>37943</v>
      </c>
      <c r="K11088" t="s">
        <v>40284</v>
      </c>
      <c r="M11088" t="s">
        <v>44153</v>
      </c>
      <c r="N11088" t="s">
        <v>44759</v>
      </c>
      <c r="O11088" t="s">
        <v>44760</v>
      </c>
      <c r="P11088">
        <v>0</v>
      </c>
      <c r="Q11088">
        <v>2</v>
      </c>
      <c r="R11088" t="s">
        <v>44774</v>
      </c>
      <c r="S11088" t="s">
        <v>45266</v>
      </c>
      <c r="T11088" t="s">
        <v>46425</v>
      </c>
      <c r="U11088" t="s">
        <v>56065</v>
      </c>
      <c r="W11088" t="s">
        <v>44153</v>
      </c>
      <c r="X11088" t="s">
        <v>44776</v>
      </c>
    </row>
    <row r="11089" spans="1:24">
      <c r="A11089">
        <f>HYPERLINK("https://www.philgeps.gov.ph/GEPSNONPILOT/Tender/SplashBidNoticeAbstractUI.aspx?menuIndex=3&amp;refID=7124821&amp;Result=3","7124821")</f>
        <v>0</v>
      </c>
      <c r="B11089" t="s">
        <v>3302</v>
      </c>
      <c r="C11089" t="s">
        <v>14288</v>
      </c>
      <c r="D11089" t="s">
        <v>17959</v>
      </c>
      <c r="E11089" t="s">
        <v>27623</v>
      </c>
      <c r="F11089" t="s">
        <v>30900</v>
      </c>
      <c r="G11089" t="s">
        <v>30907</v>
      </c>
      <c r="H11089" t="s">
        <v>30916</v>
      </c>
      <c r="I11089" t="s">
        <v>8044</v>
      </c>
      <c r="J11089" t="s">
        <v>31105</v>
      </c>
      <c r="K11089" t="s">
        <v>40284</v>
      </c>
      <c r="M11089" t="s">
        <v>44153</v>
      </c>
      <c r="N11089" t="s">
        <v>44759</v>
      </c>
      <c r="O11089" t="s">
        <v>44760</v>
      </c>
      <c r="P11089">
        <v>0</v>
      </c>
      <c r="Q11089">
        <v>0</v>
      </c>
      <c r="R11089" t="s">
        <v>44774</v>
      </c>
      <c r="S11089" t="s">
        <v>45266</v>
      </c>
      <c r="T11089" t="s">
        <v>46425</v>
      </c>
      <c r="U11089" t="s">
        <v>56065</v>
      </c>
      <c r="W11089" t="s">
        <v>44153</v>
      </c>
      <c r="X11089" t="s">
        <v>44776</v>
      </c>
    </row>
    <row r="11090" spans="1:24">
      <c r="A11090">
        <f>HYPERLINK("https://www.philgeps.gov.ph/GEPSNONPILOT/Tender/SplashBidNoticeAbstractUI.aspx?menuIndex=3&amp;refID=7124866&amp;Result=3","7124866")</f>
        <v>0</v>
      </c>
      <c r="B11090" t="s">
        <v>759</v>
      </c>
      <c r="C11090" t="s">
        <v>14289</v>
      </c>
      <c r="D11090" t="s">
        <v>17978</v>
      </c>
      <c r="E11090" t="s">
        <v>27624</v>
      </c>
      <c r="F11090" t="s">
        <v>30900</v>
      </c>
      <c r="G11090" t="s">
        <v>30907</v>
      </c>
      <c r="H11090" t="s">
        <v>30915</v>
      </c>
      <c r="I11090" t="s">
        <v>30919</v>
      </c>
      <c r="J11090" t="s">
        <v>37938</v>
      </c>
      <c r="K11090" t="s">
        <v>40280</v>
      </c>
      <c r="M11090" t="s">
        <v>41324</v>
      </c>
      <c r="N11090" t="s">
        <v>44759</v>
      </c>
      <c r="O11090" t="s">
        <v>44760</v>
      </c>
      <c r="P11090">
        <v>0</v>
      </c>
      <c r="Q11090">
        <v>2</v>
      </c>
      <c r="R11090" t="s">
        <v>44774</v>
      </c>
      <c r="S11090" t="s">
        <v>45266</v>
      </c>
      <c r="T11090" t="s">
        <v>46361</v>
      </c>
      <c r="U11090" t="s">
        <v>56062</v>
      </c>
      <c r="W11090" t="s">
        <v>41324</v>
      </c>
      <c r="X11090" t="s">
        <v>44776</v>
      </c>
    </row>
    <row r="11091" spans="1:24">
      <c r="A11091">
        <f>HYPERLINK("https://www.philgeps.gov.ph/GEPSNONPILOT/Tender/SplashBidNoticeAbstractUI.aspx?menuIndex=3&amp;refID=7125130&amp;Result=3","7125130")</f>
        <v>0</v>
      </c>
      <c r="B11091" t="s">
        <v>3302</v>
      </c>
      <c r="C11091" t="s">
        <v>14290</v>
      </c>
      <c r="D11091" t="s">
        <v>17959</v>
      </c>
      <c r="E11091" t="s">
        <v>27625</v>
      </c>
      <c r="F11091" t="s">
        <v>30900</v>
      </c>
      <c r="G11091" t="s">
        <v>30907</v>
      </c>
      <c r="H11091" t="s">
        <v>30916</v>
      </c>
      <c r="I11091" t="s">
        <v>8044</v>
      </c>
      <c r="J11091" t="s">
        <v>37946</v>
      </c>
      <c r="K11091" t="s">
        <v>40284</v>
      </c>
      <c r="M11091" t="s">
        <v>44153</v>
      </c>
      <c r="N11091" t="s">
        <v>44759</v>
      </c>
      <c r="O11091" t="s">
        <v>44760</v>
      </c>
      <c r="P11091">
        <v>0</v>
      </c>
      <c r="Q11091">
        <v>1</v>
      </c>
      <c r="R11091" t="s">
        <v>44774</v>
      </c>
      <c r="S11091" t="s">
        <v>45266</v>
      </c>
      <c r="T11091" t="s">
        <v>46425</v>
      </c>
      <c r="U11091" t="s">
        <v>56065</v>
      </c>
      <c r="W11091" t="s">
        <v>44153</v>
      </c>
      <c r="X11091" t="s">
        <v>44776</v>
      </c>
    </row>
    <row r="11092" spans="1:24">
      <c r="A11092">
        <f>HYPERLINK("https://www.philgeps.gov.ph/GEPSNONPILOT/Tender/SplashBidNoticeAbstractUI.aspx?menuIndex=3&amp;refID=7124967&amp;Result=3","7124967")</f>
        <v>0</v>
      </c>
      <c r="B11092" t="s">
        <v>3302</v>
      </c>
      <c r="C11092" t="s">
        <v>14291</v>
      </c>
      <c r="D11092" t="s">
        <v>17959</v>
      </c>
      <c r="E11092" t="s">
        <v>27626</v>
      </c>
      <c r="F11092" t="s">
        <v>30900</v>
      </c>
      <c r="G11092" t="s">
        <v>30907</v>
      </c>
      <c r="H11092" t="s">
        <v>30916</v>
      </c>
      <c r="I11092" t="s">
        <v>8044</v>
      </c>
      <c r="J11092" t="s">
        <v>37946</v>
      </c>
      <c r="K11092" t="s">
        <v>40284</v>
      </c>
      <c r="M11092" t="s">
        <v>44153</v>
      </c>
      <c r="N11092" t="s">
        <v>44759</v>
      </c>
      <c r="O11092" t="s">
        <v>44760</v>
      </c>
      <c r="P11092">
        <v>0</v>
      </c>
      <c r="Q11092">
        <v>2</v>
      </c>
      <c r="R11092" t="s">
        <v>44774</v>
      </c>
      <c r="S11092" t="s">
        <v>45266</v>
      </c>
      <c r="T11092" t="s">
        <v>46425</v>
      </c>
      <c r="U11092" t="s">
        <v>56065</v>
      </c>
      <c r="W11092" t="s">
        <v>44153</v>
      </c>
      <c r="X11092" t="s">
        <v>44776</v>
      </c>
    </row>
    <row r="11093" spans="1:24">
      <c r="A11093">
        <f>HYPERLINK("https://www.philgeps.gov.ph/GEPSNONPILOT/Tender/SplashBidNoticeAbstractUI.aspx?menuIndex=3&amp;refID=7125458&amp;Result=3","7125458")</f>
        <v>0</v>
      </c>
      <c r="B11093" t="s">
        <v>3303</v>
      </c>
      <c r="C11093" t="s">
        <v>14292</v>
      </c>
      <c r="D11093" t="s">
        <v>17959</v>
      </c>
      <c r="E11093" t="s">
        <v>18615</v>
      </c>
      <c r="F11093" t="s">
        <v>30904</v>
      </c>
      <c r="G11093" t="s">
        <v>30907</v>
      </c>
      <c r="H11093" t="s">
        <v>30916</v>
      </c>
      <c r="I11093" t="s">
        <v>6396</v>
      </c>
      <c r="J11093" t="s">
        <v>37947</v>
      </c>
      <c r="K11093" t="s">
        <v>40284</v>
      </c>
      <c r="M11093" t="s">
        <v>44154</v>
      </c>
      <c r="N11093" t="s">
        <v>44759</v>
      </c>
      <c r="O11093" t="s">
        <v>44760</v>
      </c>
      <c r="P11093">
        <v>0</v>
      </c>
      <c r="Q11093">
        <v>4</v>
      </c>
      <c r="R11093" t="s">
        <v>44774</v>
      </c>
      <c r="S11093" t="s">
        <v>45266</v>
      </c>
      <c r="T11093" t="s">
        <v>46607</v>
      </c>
      <c r="U11093" t="s">
        <v>56069</v>
      </c>
      <c r="W11093" t="s">
        <v>44154</v>
      </c>
      <c r="X11093" t="s">
        <v>44776</v>
      </c>
    </row>
    <row r="11094" spans="1:24">
      <c r="A11094">
        <f>HYPERLINK("https://www.philgeps.gov.ph/GEPSNONPILOT/Tender/SplashBidNoticeAbstractUI.aspx?menuIndex=3&amp;refID=7125576&amp;Result=3","7125576")</f>
        <v>0</v>
      </c>
      <c r="B11094" t="s">
        <v>3304</v>
      </c>
      <c r="C11094" t="s">
        <v>14293</v>
      </c>
      <c r="D11094" t="s">
        <v>17957</v>
      </c>
      <c r="E11094" t="s">
        <v>27627</v>
      </c>
      <c r="F11094" t="s">
        <v>30900</v>
      </c>
      <c r="G11094" t="s">
        <v>30907</v>
      </c>
      <c r="H11094" t="s">
        <v>30915</v>
      </c>
      <c r="I11094" t="s">
        <v>30919</v>
      </c>
      <c r="J11094" t="s">
        <v>32276</v>
      </c>
      <c r="K11094" t="s">
        <v>40386</v>
      </c>
      <c r="M11094" t="s">
        <v>44155</v>
      </c>
      <c r="N11094" t="s">
        <v>44759</v>
      </c>
      <c r="O11094" t="s">
        <v>44760</v>
      </c>
      <c r="P11094">
        <v>0</v>
      </c>
      <c r="Q11094">
        <v>0</v>
      </c>
      <c r="R11094" t="s">
        <v>44774</v>
      </c>
      <c r="S11094" t="s">
        <v>45266</v>
      </c>
      <c r="T11094" t="s">
        <v>46409</v>
      </c>
      <c r="U11094" t="s">
        <v>56070</v>
      </c>
      <c r="W11094" t="s">
        <v>44155</v>
      </c>
      <c r="X11094" t="s">
        <v>44776</v>
      </c>
    </row>
    <row r="11095" spans="1:24">
      <c r="A11095">
        <f>HYPERLINK("https://www.philgeps.gov.ph/GEPSNONPILOT/Tender/SplashBidNoticeAbstractUI.aspx?menuIndex=3&amp;refID=7124962&amp;Result=3","7124962")</f>
        <v>0</v>
      </c>
      <c r="B11095" t="s">
        <v>2912</v>
      </c>
      <c r="C11095" t="s">
        <v>14294</v>
      </c>
      <c r="D11095" t="s">
        <v>18029</v>
      </c>
      <c r="E11095" t="s">
        <v>27628</v>
      </c>
      <c r="F11095" t="s">
        <v>30900</v>
      </c>
      <c r="G11095" t="s">
        <v>30907</v>
      </c>
      <c r="H11095" t="s">
        <v>30915</v>
      </c>
      <c r="I11095" t="s">
        <v>30919</v>
      </c>
      <c r="J11095" t="s">
        <v>31243</v>
      </c>
      <c r="K11095" t="s">
        <v>40510</v>
      </c>
      <c r="M11095" t="s">
        <v>43707</v>
      </c>
      <c r="N11095" t="s">
        <v>44759</v>
      </c>
      <c r="O11095" t="s">
        <v>44760</v>
      </c>
      <c r="P11095">
        <v>0</v>
      </c>
      <c r="Q11095">
        <v>1</v>
      </c>
      <c r="R11095" t="s">
        <v>44774</v>
      </c>
      <c r="S11095" t="s">
        <v>45266</v>
      </c>
      <c r="T11095" t="s">
        <v>46373</v>
      </c>
      <c r="U11095" t="s">
        <v>56071</v>
      </c>
      <c r="W11095" t="s">
        <v>43707</v>
      </c>
      <c r="X11095" t="s">
        <v>44776</v>
      </c>
    </row>
    <row r="11096" spans="1:24">
      <c r="A11096">
        <f>HYPERLINK("https://www.philgeps.gov.ph/GEPSNONPILOT/Tender/SplashBidNoticeAbstractUI.aspx?menuIndex=3&amp;refID=7125482&amp;Result=3","7125482")</f>
        <v>0</v>
      </c>
      <c r="B11096" t="s">
        <v>45</v>
      </c>
      <c r="C11096" t="s">
        <v>14295</v>
      </c>
      <c r="E11096" t="s">
        <v>27629</v>
      </c>
      <c r="F11096" t="s">
        <v>30900</v>
      </c>
      <c r="G11096" t="s">
        <v>30907</v>
      </c>
      <c r="H11096" t="s">
        <v>30915</v>
      </c>
      <c r="I11096" t="s">
        <v>30919</v>
      </c>
      <c r="J11096" t="s">
        <v>37948</v>
      </c>
      <c r="K11096" t="s">
        <v>40295</v>
      </c>
      <c r="M11096" t="s">
        <v>40591</v>
      </c>
      <c r="N11096" t="s">
        <v>44759</v>
      </c>
      <c r="O11096" t="s">
        <v>44760</v>
      </c>
      <c r="P11096">
        <v>0</v>
      </c>
      <c r="Q11096">
        <v>0</v>
      </c>
      <c r="R11096" t="s">
        <v>44774</v>
      </c>
      <c r="S11096" t="s">
        <v>45266</v>
      </c>
      <c r="T11096" t="s">
        <v>46445</v>
      </c>
      <c r="U11096" t="s">
        <v>56072</v>
      </c>
      <c r="W11096" t="s">
        <v>40591</v>
      </c>
      <c r="X11096" t="s">
        <v>44776</v>
      </c>
    </row>
    <row r="11097" spans="1:24">
      <c r="A11097">
        <f>HYPERLINK("https://www.philgeps.gov.ph/GEPSNONPILOT/Tender/SplashBidNoticeAbstractUI.aspx?menuIndex=3&amp;refID=7122104&amp;Result=3","7122104")</f>
        <v>0</v>
      </c>
      <c r="B11097" t="s">
        <v>3305</v>
      </c>
      <c r="C11097" t="s">
        <v>14296</v>
      </c>
      <c r="D11097" t="s">
        <v>18023</v>
      </c>
      <c r="E11097" t="s">
        <v>20397</v>
      </c>
      <c r="F11097" t="s">
        <v>30899</v>
      </c>
      <c r="G11097" t="s">
        <v>30907</v>
      </c>
      <c r="H11097" t="s">
        <v>30915</v>
      </c>
      <c r="I11097" t="s">
        <v>30919</v>
      </c>
      <c r="J11097" t="s">
        <v>31800</v>
      </c>
      <c r="K11097" t="s">
        <v>40499</v>
      </c>
      <c r="M11097" t="s">
        <v>44156</v>
      </c>
      <c r="N11097" t="s">
        <v>44759</v>
      </c>
      <c r="O11097" t="s">
        <v>44760</v>
      </c>
      <c r="P11097">
        <v>0</v>
      </c>
      <c r="Q11097">
        <v>0</v>
      </c>
      <c r="R11097" t="s">
        <v>44774</v>
      </c>
      <c r="S11097" t="s">
        <v>45266</v>
      </c>
      <c r="T11097" t="s">
        <v>46405</v>
      </c>
      <c r="U11097" t="s">
        <v>56073</v>
      </c>
      <c r="V11097" t="s">
        <v>60369</v>
      </c>
      <c r="W11097" t="s">
        <v>44156</v>
      </c>
      <c r="X11097" t="s">
        <v>44777</v>
      </c>
    </row>
    <row r="11098" spans="1:24">
      <c r="A11098">
        <f>HYPERLINK("https://www.philgeps.gov.ph/GEPSNONPILOT/Tender/SplashBidNoticeAbstractUI.aspx?menuIndex=3&amp;refID=7125478&amp;Result=3","7125478")</f>
        <v>0</v>
      </c>
      <c r="B11098" t="s">
        <v>691</v>
      </c>
      <c r="C11098" t="s">
        <v>14297</v>
      </c>
      <c r="D11098" t="s">
        <v>17953</v>
      </c>
      <c r="E11098" t="s">
        <v>27630</v>
      </c>
      <c r="F11098" t="s">
        <v>30900</v>
      </c>
      <c r="G11098" t="s">
        <v>30907</v>
      </c>
      <c r="H11098" t="s">
        <v>30915</v>
      </c>
      <c r="I11098" t="s">
        <v>30919</v>
      </c>
      <c r="J11098" t="s">
        <v>37949</v>
      </c>
      <c r="K11098" t="s">
        <v>40304</v>
      </c>
      <c r="M11098" t="s">
        <v>44157</v>
      </c>
      <c r="N11098" t="s">
        <v>44759</v>
      </c>
      <c r="O11098" t="s">
        <v>44760</v>
      </c>
      <c r="P11098">
        <v>0</v>
      </c>
      <c r="Q11098">
        <v>3</v>
      </c>
      <c r="R11098" t="s">
        <v>44774</v>
      </c>
      <c r="S11098" t="s">
        <v>45266</v>
      </c>
      <c r="T11098" t="s">
        <v>46424</v>
      </c>
      <c r="U11098" t="s">
        <v>56074</v>
      </c>
      <c r="V11098" t="s">
        <v>60370</v>
      </c>
      <c r="W11098" t="s">
        <v>44157</v>
      </c>
      <c r="X11098" t="s">
        <v>44776</v>
      </c>
    </row>
    <row r="11099" spans="1:24">
      <c r="A11099">
        <f>HYPERLINK("https://www.philgeps.gov.ph/GEPSNONPILOT/Tender/SplashBidNoticeAbstractUI.aspx?menuIndex=3&amp;refID=7125424&amp;Result=3","7125424")</f>
        <v>0</v>
      </c>
      <c r="B11099" t="s">
        <v>655</v>
      </c>
      <c r="C11099" t="s">
        <v>14298</v>
      </c>
      <c r="D11099" t="s">
        <v>18001</v>
      </c>
      <c r="E11099" t="s">
        <v>27631</v>
      </c>
      <c r="F11099" t="s">
        <v>30900</v>
      </c>
      <c r="G11099" t="s">
        <v>30907</v>
      </c>
      <c r="H11099" t="s">
        <v>30916</v>
      </c>
      <c r="I11099" t="s">
        <v>30961</v>
      </c>
      <c r="J11099" t="s">
        <v>37950</v>
      </c>
      <c r="K11099" t="s">
        <v>40291</v>
      </c>
      <c r="M11099" t="s">
        <v>44158</v>
      </c>
      <c r="N11099" t="s">
        <v>44759</v>
      </c>
      <c r="O11099" t="s">
        <v>44760</v>
      </c>
      <c r="Q11099">
        <v>4</v>
      </c>
      <c r="R11099" t="s">
        <v>44774</v>
      </c>
      <c r="S11099" t="s">
        <v>45284</v>
      </c>
      <c r="T11099" t="s">
        <v>46544</v>
      </c>
      <c r="U11099" t="s">
        <v>56075</v>
      </c>
      <c r="V11099" t="s">
        <v>60371</v>
      </c>
      <c r="W11099" t="s">
        <v>44158</v>
      </c>
      <c r="X11099" t="s">
        <v>44776</v>
      </c>
    </row>
    <row r="11100" spans="1:24">
      <c r="A11100">
        <f>HYPERLINK("https://www.philgeps.gov.ph/GEPSNONPILOT/Tender/SplashBidNoticeAbstractUI.aspx?menuIndex=3&amp;refID=7125466&amp;Result=3","7125466")</f>
        <v>0</v>
      </c>
      <c r="B11100" t="s">
        <v>2912</v>
      </c>
      <c r="C11100" t="s">
        <v>14299</v>
      </c>
      <c r="D11100" t="s">
        <v>18029</v>
      </c>
      <c r="E11100" t="s">
        <v>27632</v>
      </c>
      <c r="F11100" t="s">
        <v>30900</v>
      </c>
      <c r="G11100" t="s">
        <v>30907</v>
      </c>
      <c r="H11100" t="s">
        <v>30915</v>
      </c>
      <c r="I11100" t="s">
        <v>30919</v>
      </c>
      <c r="J11100" t="s">
        <v>31391</v>
      </c>
      <c r="K11100" t="s">
        <v>40292</v>
      </c>
      <c r="M11100" t="s">
        <v>43707</v>
      </c>
      <c r="N11100" t="s">
        <v>44759</v>
      </c>
      <c r="O11100" t="s">
        <v>44760</v>
      </c>
      <c r="Q11100">
        <v>1</v>
      </c>
      <c r="R11100" t="s">
        <v>44774</v>
      </c>
      <c r="S11100" t="s">
        <v>45285</v>
      </c>
      <c r="T11100" t="s">
        <v>46373</v>
      </c>
      <c r="U11100" t="s">
        <v>56076</v>
      </c>
      <c r="W11100" t="s">
        <v>43707</v>
      </c>
      <c r="X11100" t="s">
        <v>44776</v>
      </c>
    </row>
    <row r="11101" spans="1:24">
      <c r="A11101">
        <f>HYPERLINK("https://www.philgeps.gov.ph/GEPSNONPILOT/Tender/SplashBidNoticeAbstractUI.aspx?menuIndex=3&amp;refID=7125427&amp;Result=3","7125427")</f>
        <v>0</v>
      </c>
      <c r="B11101" t="s">
        <v>45</v>
      </c>
      <c r="C11101" t="s">
        <v>14300</v>
      </c>
      <c r="E11101" t="s">
        <v>27633</v>
      </c>
      <c r="F11101" t="s">
        <v>30900</v>
      </c>
      <c r="G11101" t="s">
        <v>30907</v>
      </c>
      <c r="H11101" t="s">
        <v>30915</v>
      </c>
      <c r="I11101" t="s">
        <v>30919</v>
      </c>
      <c r="J11101" t="s">
        <v>37951</v>
      </c>
      <c r="K11101" t="s">
        <v>40293</v>
      </c>
      <c r="M11101" t="s">
        <v>40591</v>
      </c>
      <c r="N11101" t="s">
        <v>44759</v>
      </c>
      <c r="O11101" t="s">
        <v>44760</v>
      </c>
      <c r="P11101">
        <v>0</v>
      </c>
      <c r="Q11101">
        <v>0</v>
      </c>
      <c r="R11101" t="s">
        <v>44774</v>
      </c>
      <c r="S11101" t="s">
        <v>45266</v>
      </c>
      <c r="T11101" t="s">
        <v>46445</v>
      </c>
      <c r="U11101" t="s">
        <v>56077</v>
      </c>
      <c r="W11101" t="s">
        <v>40591</v>
      </c>
      <c r="X11101" t="s">
        <v>44776</v>
      </c>
    </row>
    <row r="11102" spans="1:24">
      <c r="A11102">
        <f>HYPERLINK("https://www.philgeps.gov.ph/GEPSNONPILOT/Tender/SplashBidNoticeAbstractUI.aspx?menuIndex=3&amp;refID=7124551&amp;Result=3","7124551")</f>
        <v>0</v>
      </c>
      <c r="B11102" t="s">
        <v>3302</v>
      </c>
      <c r="C11102" t="s">
        <v>14301</v>
      </c>
      <c r="D11102" t="s">
        <v>17959</v>
      </c>
      <c r="E11102" t="s">
        <v>27634</v>
      </c>
      <c r="F11102" t="s">
        <v>30900</v>
      </c>
      <c r="G11102" t="s">
        <v>30907</v>
      </c>
      <c r="H11102" t="s">
        <v>30916</v>
      </c>
      <c r="I11102" t="s">
        <v>6396</v>
      </c>
      <c r="J11102" t="s">
        <v>37943</v>
      </c>
      <c r="K11102" t="s">
        <v>40284</v>
      </c>
      <c r="M11102" t="s">
        <v>44153</v>
      </c>
      <c r="N11102" t="s">
        <v>44759</v>
      </c>
      <c r="O11102" t="s">
        <v>44760</v>
      </c>
      <c r="P11102">
        <v>0</v>
      </c>
      <c r="Q11102">
        <v>1</v>
      </c>
      <c r="R11102" t="s">
        <v>44774</v>
      </c>
      <c r="S11102" t="s">
        <v>45266</v>
      </c>
      <c r="T11102" t="s">
        <v>46425</v>
      </c>
      <c r="U11102" t="s">
        <v>56078</v>
      </c>
      <c r="W11102" t="s">
        <v>44153</v>
      </c>
      <c r="X11102" t="s">
        <v>44776</v>
      </c>
    </row>
    <row r="11103" spans="1:24">
      <c r="A11103">
        <f>HYPERLINK("https://www.philgeps.gov.ph/GEPSNONPILOT/Tender/SplashBidNoticeAbstractUI.aspx?menuIndex=3&amp;refID=7125184&amp;Result=3","7125184")</f>
        <v>0</v>
      </c>
      <c r="B11103" t="s">
        <v>2310</v>
      </c>
      <c r="C11103" t="s">
        <v>14302</v>
      </c>
      <c r="D11103" t="s">
        <v>17952</v>
      </c>
      <c r="E11103" t="s">
        <v>27635</v>
      </c>
      <c r="F11103" t="s">
        <v>30900</v>
      </c>
      <c r="G11103" t="s">
        <v>30907</v>
      </c>
      <c r="H11103" t="s">
        <v>30915</v>
      </c>
      <c r="I11103" t="s">
        <v>30919</v>
      </c>
      <c r="J11103" t="s">
        <v>31152</v>
      </c>
      <c r="K11103" t="s">
        <v>40293</v>
      </c>
      <c r="M11103" t="s">
        <v>43028</v>
      </c>
      <c r="N11103" t="s">
        <v>44759</v>
      </c>
      <c r="O11103" t="s">
        <v>44760</v>
      </c>
      <c r="P11103">
        <v>0</v>
      </c>
      <c r="Q11103">
        <v>0</v>
      </c>
      <c r="R11103" t="s">
        <v>44774</v>
      </c>
      <c r="S11103" t="s">
        <v>45266</v>
      </c>
      <c r="T11103" t="s">
        <v>46366</v>
      </c>
      <c r="U11103" t="s">
        <v>56079</v>
      </c>
      <c r="W11103" t="s">
        <v>43028</v>
      </c>
      <c r="X11103" t="s">
        <v>44776</v>
      </c>
    </row>
    <row r="11104" spans="1:24">
      <c r="A11104">
        <f>HYPERLINK("https://www.philgeps.gov.ph/GEPSNONPILOT/Tender/SplashBidNoticeAbstractUI.aspx?menuIndex=3&amp;refID=7125285&amp;Result=3","7125285")</f>
        <v>0</v>
      </c>
      <c r="B11104" t="s">
        <v>45</v>
      </c>
      <c r="C11104" t="s">
        <v>14303</v>
      </c>
      <c r="E11104" t="s">
        <v>27636</v>
      </c>
      <c r="F11104" t="s">
        <v>30900</v>
      </c>
      <c r="G11104" t="s">
        <v>30907</v>
      </c>
      <c r="H11104" t="s">
        <v>30915</v>
      </c>
      <c r="I11104" t="s">
        <v>30919</v>
      </c>
      <c r="J11104" t="s">
        <v>37952</v>
      </c>
      <c r="K11104" t="s">
        <v>40309</v>
      </c>
      <c r="M11104" t="s">
        <v>40591</v>
      </c>
      <c r="N11104" t="s">
        <v>44759</v>
      </c>
      <c r="O11104" t="s">
        <v>44760</v>
      </c>
      <c r="P11104">
        <v>0</v>
      </c>
      <c r="Q11104">
        <v>0</v>
      </c>
      <c r="R11104" t="s">
        <v>44774</v>
      </c>
      <c r="S11104" t="s">
        <v>45266</v>
      </c>
      <c r="T11104" t="s">
        <v>46445</v>
      </c>
      <c r="U11104" t="s">
        <v>56080</v>
      </c>
      <c r="W11104" t="s">
        <v>40591</v>
      </c>
      <c r="X11104" t="s">
        <v>44776</v>
      </c>
    </row>
    <row r="11105" spans="1:24">
      <c r="A11105">
        <f>HYPERLINK("https://www.philgeps.gov.ph/GEPSNONPILOT/Tender/SplashBidNoticeAbstractUI.aspx?menuIndex=3&amp;refID=7125176&amp;Result=3","7125176")</f>
        <v>0</v>
      </c>
      <c r="B11105" t="s">
        <v>759</v>
      </c>
      <c r="C11105" t="s">
        <v>14304</v>
      </c>
      <c r="D11105" t="s">
        <v>17978</v>
      </c>
      <c r="E11105" t="s">
        <v>27637</v>
      </c>
      <c r="F11105" t="s">
        <v>30900</v>
      </c>
      <c r="G11105" t="s">
        <v>30907</v>
      </c>
      <c r="H11105" t="s">
        <v>30915</v>
      </c>
      <c r="I11105" t="s">
        <v>30919</v>
      </c>
      <c r="J11105" t="s">
        <v>37938</v>
      </c>
      <c r="K11105" t="s">
        <v>40280</v>
      </c>
      <c r="M11105" t="s">
        <v>41324</v>
      </c>
      <c r="N11105" t="s">
        <v>44759</v>
      </c>
      <c r="O11105" t="s">
        <v>44760</v>
      </c>
      <c r="P11105">
        <v>0</v>
      </c>
      <c r="Q11105">
        <v>1</v>
      </c>
      <c r="R11105" t="s">
        <v>44774</v>
      </c>
      <c r="S11105" t="s">
        <v>45266</v>
      </c>
      <c r="T11105" t="s">
        <v>46373</v>
      </c>
      <c r="U11105" t="s">
        <v>56062</v>
      </c>
      <c r="W11105" t="s">
        <v>41324</v>
      </c>
      <c r="X11105" t="s">
        <v>44776</v>
      </c>
    </row>
    <row r="11106" spans="1:24">
      <c r="A11106">
        <f>HYPERLINK("https://www.philgeps.gov.ph/GEPSNONPILOT/Tender/SplashBidNoticeAbstractUI.aspx?menuIndex=3&amp;refID=7125537&amp;Result=3","7125537")</f>
        <v>0</v>
      </c>
      <c r="B11106" t="s">
        <v>3306</v>
      </c>
      <c r="C11106" t="s">
        <v>14305</v>
      </c>
      <c r="D11106" t="s">
        <v>17998</v>
      </c>
      <c r="E11106" t="s">
        <v>27638</v>
      </c>
      <c r="F11106" t="s">
        <v>30900</v>
      </c>
      <c r="G11106" t="s">
        <v>30907</v>
      </c>
      <c r="H11106" t="s">
        <v>30916</v>
      </c>
      <c r="I11106" t="s">
        <v>8123</v>
      </c>
      <c r="J11106" t="s">
        <v>37953</v>
      </c>
      <c r="K11106" t="s">
        <v>40283</v>
      </c>
      <c r="M11106" t="s">
        <v>44159</v>
      </c>
      <c r="N11106" t="s">
        <v>44759</v>
      </c>
      <c r="O11106" t="s">
        <v>44760</v>
      </c>
      <c r="P11106">
        <v>0</v>
      </c>
      <c r="Q11106">
        <v>1</v>
      </c>
      <c r="R11106" t="s">
        <v>44774</v>
      </c>
      <c r="S11106" t="s">
        <v>45266</v>
      </c>
      <c r="T11106" t="s">
        <v>46441</v>
      </c>
      <c r="U11106" t="s">
        <v>56081</v>
      </c>
      <c r="W11106" t="s">
        <v>44159</v>
      </c>
      <c r="X11106" t="s">
        <v>44776</v>
      </c>
    </row>
    <row r="11107" spans="1:24">
      <c r="A11107">
        <f>HYPERLINK("https://www.philgeps.gov.ph/GEPSNONPILOT/Tender/SplashBidNoticeAbstractUI.aspx?menuIndex=3&amp;refID=7125289&amp;Result=3","7125289")</f>
        <v>0</v>
      </c>
      <c r="B11107" t="s">
        <v>759</v>
      </c>
      <c r="C11107" t="s">
        <v>14306</v>
      </c>
      <c r="D11107" t="s">
        <v>17978</v>
      </c>
      <c r="E11107" t="s">
        <v>27639</v>
      </c>
      <c r="F11107" t="s">
        <v>30900</v>
      </c>
      <c r="G11107" t="s">
        <v>30907</v>
      </c>
      <c r="H11107" t="s">
        <v>30915</v>
      </c>
      <c r="I11107" t="s">
        <v>30919</v>
      </c>
      <c r="J11107" t="s">
        <v>37938</v>
      </c>
      <c r="K11107" t="s">
        <v>40280</v>
      </c>
      <c r="M11107" t="s">
        <v>41324</v>
      </c>
      <c r="N11107" t="s">
        <v>44759</v>
      </c>
      <c r="O11107" t="s">
        <v>44760</v>
      </c>
      <c r="P11107">
        <v>0</v>
      </c>
      <c r="Q11107">
        <v>2</v>
      </c>
      <c r="R11107" t="s">
        <v>44774</v>
      </c>
      <c r="S11107" t="s">
        <v>45266</v>
      </c>
      <c r="T11107" t="s">
        <v>46373</v>
      </c>
      <c r="U11107" t="s">
        <v>56062</v>
      </c>
      <c r="W11107" t="s">
        <v>41324</v>
      </c>
      <c r="X11107" t="s">
        <v>44776</v>
      </c>
    </row>
    <row r="11108" spans="1:24">
      <c r="A11108">
        <f>HYPERLINK("https://www.philgeps.gov.ph/GEPSNONPILOT/Tender/SplashBidNoticeAbstractUI.aspx?menuIndex=3&amp;refID=7126264&amp;Result=3","7126264")</f>
        <v>0</v>
      </c>
      <c r="B11108" t="s">
        <v>2206</v>
      </c>
      <c r="C11108" t="s">
        <v>14307</v>
      </c>
      <c r="D11108" t="s">
        <v>17992</v>
      </c>
      <c r="E11108" t="s">
        <v>27259</v>
      </c>
      <c r="F11108" t="s">
        <v>30900</v>
      </c>
      <c r="G11108" t="s">
        <v>30907</v>
      </c>
      <c r="H11108" t="s">
        <v>30915</v>
      </c>
      <c r="I11108" t="s">
        <v>30919</v>
      </c>
      <c r="J11108" t="s">
        <v>37954</v>
      </c>
      <c r="K11108" t="s">
        <v>40388</v>
      </c>
      <c r="M11108" t="s">
        <v>42914</v>
      </c>
      <c r="N11108" t="s">
        <v>44759</v>
      </c>
      <c r="O11108" t="s">
        <v>44760</v>
      </c>
      <c r="P11108">
        <v>0</v>
      </c>
      <c r="Q11108">
        <v>0</v>
      </c>
      <c r="R11108" t="s">
        <v>44774</v>
      </c>
      <c r="S11108" t="s">
        <v>45266</v>
      </c>
      <c r="T11108" t="s">
        <v>46409</v>
      </c>
      <c r="U11108" t="s">
        <v>56082</v>
      </c>
      <c r="W11108" t="s">
        <v>42914</v>
      </c>
      <c r="X11108" t="s">
        <v>44776</v>
      </c>
    </row>
    <row r="11109" spans="1:24">
      <c r="A11109">
        <f>HYPERLINK("https://www.philgeps.gov.ph/GEPSNONPILOT/Tender/SplashBidNoticeAbstractUI.aspx?menuIndex=3&amp;refID=7121701&amp;Result=3","7121701")</f>
        <v>0</v>
      </c>
      <c r="B11109" t="s">
        <v>3307</v>
      </c>
      <c r="C11109" t="s">
        <v>14308</v>
      </c>
      <c r="D11109" t="s">
        <v>17978</v>
      </c>
      <c r="E11109" t="s">
        <v>27640</v>
      </c>
      <c r="F11109" t="s">
        <v>30899</v>
      </c>
      <c r="G11109" t="s">
        <v>30907</v>
      </c>
      <c r="H11109" t="s">
        <v>30916</v>
      </c>
      <c r="I11109" t="s">
        <v>10879</v>
      </c>
      <c r="J11109" t="s">
        <v>31070</v>
      </c>
      <c r="K11109" t="s">
        <v>40331</v>
      </c>
      <c r="M11109" t="s">
        <v>44160</v>
      </c>
      <c r="N11109" t="s">
        <v>44759</v>
      </c>
      <c r="O11109" t="s">
        <v>44760</v>
      </c>
      <c r="P11109">
        <v>0</v>
      </c>
      <c r="Q11109">
        <v>1</v>
      </c>
      <c r="R11109" t="s">
        <v>44774</v>
      </c>
      <c r="S11109" t="s">
        <v>45266</v>
      </c>
      <c r="T11109" t="s">
        <v>46374</v>
      </c>
      <c r="U11109" t="s">
        <v>56083</v>
      </c>
      <c r="W11109" t="s">
        <v>44160</v>
      </c>
      <c r="X11109" t="s">
        <v>44777</v>
      </c>
    </row>
    <row r="11110" spans="1:24">
      <c r="A11110">
        <f>HYPERLINK("https://www.philgeps.gov.ph/GEPSNONPILOT/Tender/SplashBidNoticeAbstractUI.aspx?menuIndex=3&amp;refID=7126257&amp;Result=3","7126257")</f>
        <v>0</v>
      </c>
      <c r="B11110" t="s">
        <v>2206</v>
      </c>
      <c r="C11110" t="s">
        <v>14309</v>
      </c>
      <c r="D11110" t="s">
        <v>17992</v>
      </c>
      <c r="E11110" t="s">
        <v>27641</v>
      </c>
      <c r="F11110" t="s">
        <v>30900</v>
      </c>
      <c r="G11110" t="s">
        <v>30907</v>
      </c>
      <c r="H11110" t="s">
        <v>30915</v>
      </c>
      <c r="I11110" t="s">
        <v>30919</v>
      </c>
      <c r="J11110" t="s">
        <v>37955</v>
      </c>
      <c r="K11110" t="s">
        <v>40357</v>
      </c>
      <c r="M11110" t="s">
        <v>42914</v>
      </c>
      <c r="N11110" t="s">
        <v>44759</v>
      </c>
      <c r="O11110" t="s">
        <v>44760</v>
      </c>
      <c r="P11110">
        <v>0</v>
      </c>
      <c r="Q11110">
        <v>0</v>
      </c>
      <c r="R11110" t="s">
        <v>44774</v>
      </c>
      <c r="S11110" t="s">
        <v>45266</v>
      </c>
      <c r="T11110" t="s">
        <v>46409</v>
      </c>
      <c r="U11110" t="s">
        <v>56084</v>
      </c>
      <c r="W11110" t="s">
        <v>42914</v>
      </c>
      <c r="X11110" t="s">
        <v>44776</v>
      </c>
    </row>
    <row r="11111" spans="1:24">
      <c r="A11111">
        <f>HYPERLINK("https://www.philgeps.gov.ph/GEPSNONPILOT/Tender/SplashBidNoticeAbstractUI.aspx?menuIndex=3&amp;refID=7125261&amp;Result=3","7125261")</f>
        <v>0</v>
      </c>
      <c r="B11111" t="s">
        <v>2912</v>
      </c>
      <c r="C11111" t="s">
        <v>14310</v>
      </c>
      <c r="D11111" t="s">
        <v>18029</v>
      </c>
      <c r="E11111" t="s">
        <v>27642</v>
      </c>
      <c r="F11111" t="s">
        <v>30900</v>
      </c>
      <c r="G11111" t="s">
        <v>30907</v>
      </c>
      <c r="H11111" t="s">
        <v>30915</v>
      </c>
      <c r="I11111" t="s">
        <v>30919</v>
      </c>
      <c r="J11111" t="s">
        <v>35994</v>
      </c>
      <c r="K11111" t="s">
        <v>40467</v>
      </c>
      <c r="M11111" t="s">
        <v>43707</v>
      </c>
      <c r="N11111" t="s">
        <v>44759</v>
      </c>
      <c r="O11111" t="s">
        <v>44760</v>
      </c>
      <c r="Q11111">
        <v>1</v>
      </c>
      <c r="R11111" t="s">
        <v>44774</v>
      </c>
      <c r="S11111" t="s">
        <v>45286</v>
      </c>
      <c r="T11111" t="s">
        <v>46373</v>
      </c>
      <c r="U11111" t="s">
        <v>56085</v>
      </c>
      <c r="W11111" t="s">
        <v>43707</v>
      </c>
      <c r="X11111" t="s">
        <v>44776</v>
      </c>
    </row>
    <row r="11112" spans="1:24">
      <c r="A11112">
        <f>HYPERLINK("https://www.philgeps.gov.ph/GEPSNONPILOT/Tender/SplashBidNoticeAbstractUI.aspx?menuIndex=3&amp;refID=7126232&amp;Result=3","7126232")</f>
        <v>0</v>
      </c>
      <c r="B11112" t="s">
        <v>2206</v>
      </c>
      <c r="C11112" t="s">
        <v>14311</v>
      </c>
      <c r="D11112" t="s">
        <v>17992</v>
      </c>
      <c r="E11112" t="s">
        <v>27643</v>
      </c>
      <c r="F11112" t="s">
        <v>30900</v>
      </c>
      <c r="G11112" t="s">
        <v>30907</v>
      </c>
      <c r="H11112" t="s">
        <v>30915</v>
      </c>
      <c r="I11112" t="s">
        <v>30919</v>
      </c>
      <c r="J11112" t="s">
        <v>37956</v>
      </c>
      <c r="K11112" t="s">
        <v>40513</v>
      </c>
      <c r="M11112" t="s">
        <v>42914</v>
      </c>
      <c r="N11112" t="s">
        <v>44759</v>
      </c>
      <c r="O11112" t="s">
        <v>44760</v>
      </c>
      <c r="P11112">
        <v>0</v>
      </c>
      <c r="Q11112">
        <v>0</v>
      </c>
      <c r="R11112" t="s">
        <v>44774</v>
      </c>
      <c r="S11112" t="s">
        <v>45266</v>
      </c>
      <c r="T11112" t="s">
        <v>46409</v>
      </c>
      <c r="U11112" t="s">
        <v>56086</v>
      </c>
      <c r="W11112" t="s">
        <v>42914</v>
      </c>
      <c r="X11112" t="s">
        <v>44776</v>
      </c>
    </row>
    <row r="11113" spans="1:24">
      <c r="A11113">
        <f>HYPERLINK("https://www.philgeps.gov.ph/GEPSNONPILOT/Tender/SplashBidNoticeAbstractUI.aspx?menuIndex=3&amp;refID=7126125&amp;Result=3","7126125")</f>
        <v>0</v>
      </c>
      <c r="B11113" t="s">
        <v>932</v>
      </c>
      <c r="C11113" t="s">
        <v>14312</v>
      </c>
      <c r="D11113" t="s">
        <v>17959</v>
      </c>
      <c r="E11113" t="s">
        <v>27644</v>
      </c>
      <c r="F11113" t="s">
        <v>30900</v>
      </c>
      <c r="G11113" t="s">
        <v>30907</v>
      </c>
      <c r="H11113" t="s">
        <v>30916</v>
      </c>
      <c r="I11113" t="s">
        <v>4108</v>
      </c>
      <c r="J11113" t="s">
        <v>37957</v>
      </c>
      <c r="K11113" t="s">
        <v>40283</v>
      </c>
      <c r="M11113" t="s">
        <v>41636</v>
      </c>
      <c r="N11113" t="s">
        <v>44759</v>
      </c>
      <c r="O11113" t="s">
        <v>44760</v>
      </c>
      <c r="P11113">
        <v>0</v>
      </c>
      <c r="Q11113">
        <v>2</v>
      </c>
      <c r="R11113" t="s">
        <v>44774</v>
      </c>
      <c r="S11113" t="s">
        <v>45266</v>
      </c>
      <c r="T11113" t="s">
        <v>46389</v>
      </c>
      <c r="U11113" t="s">
        <v>48763</v>
      </c>
      <c r="W11113" t="s">
        <v>41636</v>
      </c>
      <c r="X11113" t="s">
        <v>44776</v>
      </c>
    </row>
    <row r="11114" spans="1:24">
      <c r="A11114">
        <f>HYPERLINK("https://www.philgeps.gov.ph/GEPSNONPILOT/Tender/SplashBidNoticeAbstractUI.aspx?menuIndex=3&amp;refID=7125339&amp;Result=3","7125339")</f>
        <v>0</v>
      </c>
      <c r="B11114" t="s">
        <v>655</v>
      </c>
      <c r="C11114" t="s">
        <v>14313</v>
      </c>
      <c r="D11114" t="s">
        <v>18001</v>
      </c>
      <c r="E11114" t="s">
        <v>27645</v>
      </c>
      <c r="F11114" t="s">
        <v>30900</v>
      </c>
      <c r="G11114" t="s">
        <v>30907</v>
      </c>
      <c r="H11114" t="s">
        <v>30915</v>
      </c>
      <c r="I11114" t="s">
        <v>30919</v>
      </c>
      <c r="J11114" t="s">
        <v>37958</v>
      </c>
      <c r="K11114" t="s">
        <v>40292</v>
      </c>
      <c r="M11114" t="s">
        <v>44158</v>
      </c>
      <c r="N11114" t="s">
        <v>44759</v>
      </c>
      <c r="O11114" t="s">
        <v>44760</v>
      </c>
      <c r="Q11114">
        <v>0</v>
      </c>
      <c r="R11114" t="s">
        <v>44774</v>
      </c>
      <c r="S11114" t="s">
        <v>45287</v>
      </c>
      <c r="T11114" t="s">
        <v>46808</v>
      </c>
      <c r="U11114" t="s">
        <v>56087</v>
      </c>
      <c r="W11114" t="s">
        <v>44158</v>
      </c>
      <c r="X11114" t="s">
        <v>44776</v>
      </c>
    </row>
    <row r="11115" spans="1:24">
      <c r="A11115">
        <f>HYPERLINK("https://www.philgeps.gov.ph/GEPSNONPILOT/Tender/SplashBidNoticeAbstractUI.aspx?menuIndex=3&amp;refID=7126122&amp;Result=3","7126122")</f>
        <v>0</v>
      </c>
      <c r="B11115" t="s">
        <v>932</v>
      </c>
      <c r="C11115" t="s">
        <v>14314</v>
      </c>
      <c r="D11115" t="s">
        <v>17959</v>
      </c>
      <c r="E11115" t="s">
        <v>27646</v>
      </c>
      <c r="F11115" t="s">
        <v>30900</v>
      </c>
      <c r="G11115" t="s">
        <v>30907</v>
      </c>
      <c r="H11115" t="s">
        <v>30916</v>
      </c>
      <c r="I11115" t="s">
        <v>4108</v>
      </c>
      <c r="J11115" t="s">
        <v>37959</v>
      </c>
      <c r="K11115" t="s">
        <v>40283</v>
      </c>
      <c r="M11115" t="s">
        <v>41636</v>
      </c>
      <c r="N11115" t="s">
        <v>44759</v>
      </c>
      <c r="O11115" t="s">
        <v>44760</v>
      </c>
      <c r="P11115">
        <v>0</v>
      </c>
      <c r="Q11115">
        <v>1</v>
      </c>
      <c r="R11115" t="s">
        <v>44774</v>
      </c>
      <c r="S11115" t="s">
        <v>45266</v>
      </c>
      <c r="T11115" t="s">
        <v>46389</v>
      </c>
      <c r="U11115" t="s">
        <v>48763</v>
      </c>
      <c r="W11115" t="s">
        <v>41636</v>
      </c>
      <c r="X11115" t="s">
        <v>44776</v>
      </c>
    </row>
    <row r="11116" spans="1:24">
      <c r="A11116">
        <f>HYPERLINK("https://www.philgeps.gov.ph/GEPSNONPILOT/Tender/SplashBidNoticeAbstractUI.aspx?menuIndex=3&amp;refID=7126083&amp;Result=3","7126083")</f>
        <v>0</v>
      </c>
      <c r="B11116" t="s">
        <v>932</v>
      </c>
      <c r="C11116" t="s">
        <v>14315</v>
      </c>
      <c r="D11116" t="s">
        <v>17959</v>
      </c>
      <c r="E11116" t="s">
        <v>27647</v>
      </c>
      <c r="F11116" t="s">
        <v>30900</v>
      </c>
      <c r="G11116" t="s">
        <v>30907</v>
      </c>
      <c r="H11116" t="s">
        <v>30916</v>
      </c>
      <c r="I11116" t="s">
        <v>4142</v>
      </c>
      <c r="J11116" t="s">
        <v>37960</v>
      </c>
      <c r="K11116" t="s">
        <v>40283</v>
      </c>
      <c r="M11116" t="s">
        <v>41636</v>
      </c>
      <c r="N11116" t="s">
        <v>44759</v>
      </c>
      <c r="O11116" t="s">
        <v>44760</v>
      </c>
      <c r="P11116">
        <v>0</v>
      </c>
      <c r="Q11116">
        <v>0</v>
      </c>
      <c r="R11116" t="s">
        <v>44774</v>
      </c>
      <c r="S11116" t="s">
        <v>45266</v>
      </c>
      <c r="T11116" t="s">
        <v>46389</v>
      </c>
      <c r="U11116" t="s">
        <v>48263</v>
      </c>
      <c r="W11116" t="s">
        <v>41636</v>
      </c>
      <c r="X11116" t="s">
        <v>44776</v>
      </c>
    </row>
    <row r="11117" spans="1:24">
      <c r="A11117">
        <f>HYPERLINK("https://www.philgeps.gov.ph/GEPSNONPILOT/Tender/SplashBidNoticeAbstractUI.aspx?menuIndex=3&amp;refID=7126062&amp;Result=3","7126062")</f>
        <v>0</v>
      </c>
      <c r="B11117" t="s">
        <v>932</v>
      </c>
      <c r="C11117" t="s">
        <v>14316</v>
      </c>
      <c r="D11117" t="s">
        <v>17959</v>
      </c>
      <c r="E11117" t="s">
        <v>27648</v>
      </c>
      <c r="F11117" t="s">
        <v>30900</v>
      </c>
      <c r="G11117" t="s">
        <v>30907</v>
      </c>
      <c r="H11117" t="s">
        <v>30916</v>
      </c>
      <c r="I11117" t="s">
        <v>4142</v>
      </c>
      <c r="J11117" t="s">
        <v>37961</v>
      </c>
      <c r="K11117" t="s">
        <v>40283</v>
      </c>
      <c r="M11117" t="s">
        <v>41636</v>
      </c>
      <c r="N11117" t="s">
        <v>44759</v>
      </c>
      <c r="O11117" t="s">
        <v>44760</v>
      </c>
      <c r="P11117">
        <v>0</v>
      </c>
      <c r="Q11117">
        <v>1</v>
      </c>
      <c r="R11117" t="s">
        <v>44774</v>
      </c>
      <c r="S11117" t="s">
        <v>45266</v>
      </c>
      <c r="T11117" t="s">
        <v>46389</v>
      </c>
      <c r="U11117" t="s">
        <v>48263</v>
      </c>
      <c r="W11117" t="s">
        <v>41636</v>
      </c>
      <c r="X11117" t="s">
        <v>44776</v>
      </c>
    </row>
    <row r="11118" spans="1:24">
      <c r="A11118">
        <f>HYPERLINK("https://www.philgeps.gov.ph/GEPSNONPILOT/Tender/SplashBidNoticeAbstractUI.aspx?menuIndex=3&amp;refID=7126269&amp;Result=3","7126269")</f>
        <v>0</v>
      </c>
      <c r="B11118" t="s">
        <v>2206</v>
      </c>
      <c r="C11118" t="s">
        <v>14317</v>
      </c>
      <c r="D11118" t="s">
        <v>17992</v>
      </c>
      <c r="E11118" t="s">
        <v>27270</v>
      </c>
      <c r="F11118" t="s">
        <v>30900</v>
      </c>
      <c r="G11118" t="s">
        <v>30907</v>
      </c>
      <c r="H11118" t="s">
        <v>30915</v>
      </c>
      <c r="I11118" t="s">
        <v>30919</v>
      </c>
      <c r="J11118" t="s">
        <v>37962</v>
      </c>
      <c r="K11118" t="s">
        <v>40391</v>
      </c>
      <c r="M11118" t="s">
        <v>42914</v>
      </c>
      <c r="N11118" t="s">
        <v>44759</v>
      </c>
      <c r="O11118" t="s">
        <v>44760</v>
      </c>
      <c r="P11118">
        <v>0</v>
      </c>
      <c r="Q11118">
        <v>2</v>
      </c>
      <c r="R11118" t="s">
        <v>44774</v>
      </c>
      <c r="S11118" t="s">
        <v>45266</v>
      </c>
      <c r="T11118" t="s">
        <v>46409</v>
      </c>
      <c r="U11118" t="s">
        <v>56088</v>
      </c>
      <c r="W11118" t="s">
        <v>42914</v>
      </c>
      <c r="X11118" t="s">
        <v>44776</v>
      </c>
    </row>
    <row r="11119" spans="1:24">
      <c r="A11119">
        <f>HYPERLINK("https://www.philgeps.gov.ph/GEPSNONPILOT/Tender/SplashBidNoticeAbstractUI.aspx?menuIndex=3&amp;refID=7126087&amp;Result=3","7126087")</f>
        <v>0</v>
      </c>
      <c r="B11119" t="s">
        <v>932</v>
      </c>
      <c r="C11119" t="s">
        <v>14318</v>
      </c>
      <c r="D11119" t="s">
        <v>17959</v>
      </c>
      <c r="E11119" t="s">
        <v>27649</v>
      </c>
      <c r="F11119" t="s">
        <v>30900</v>
      </c>
      <c r="G11119" t="s">
        <v>30907</v>
      </c>
      <c r="H11119" t="s">
        <v>30916</v>
      </c>
      <c r="I11119" t="s">
        <v>10847</v>
      </c>
      <c r="J11119" t="s">
        <v>37963</v>
      </c>
      <c r="K11119" t="s">
        <v>40283</v>
      </c>
      <c r="M11119" t="s">
        <v>41636</v>
      </c>
      <c r="N11119" t="s">
        <v>44759</v>
      </c>
      <c r="O11119" t="s">
        <v>44760</v>
      </c>
      <c r="P11119">
        <v>0</v>
      </c>
      <c r="Q11119">
        <v>0</v>
      </c>
      <c r="R11119" t="s">
        <v>44774</v>
      </c>
      <c r="S11119" t="s">
        <v>45266</v>
      </c>
      <c r="T11119" t="s">
        <v>46389</v>
      </c>
      <c r="U11119" t="s">
        <v>48718</v>
      </c>
      <c r="W11119" t="s">
        <v>41636</v>
      </c>
      <c r="X11119" t="s">
        <v>44776</v>
      </c>
    </row>
    <row r="11120" spans="1:24">
      <c r="A11120">
        <f>HYPERLINK("https://www.philgeps.gov.ph/GEPSNONPILOT/Tender/SplashBidNoticeAbstractUI.aspx?menuIndex=3&amp;refID=7125902&amp;Result=3","7125902")</f>
        <v>0</v>
      </c>
      <c r="B11120" t="s">
        <v>839</v>
      </c>
      <c r="C11120" t="s">
        <v>14319</v>
      </c>
      <c r="E11120" t="s">
        <v>27650</v>
      </c>
      <c r="F11120" t="s">
        <v>30900</v>
      </c>
      <c r="G11120" t="s">
        <v>30907</v>
      </c>
      <c r="H11120" t="s">
        <v>30916</v>
      </c>
      <c r="I11120" t="s">
        <v>30923</v>
      </c>
      <c r="J11120" t="s">
        <v>37964</v>
      </c>
      <c r="K11120" t="s">
        <v>40289</v>
      </c>
      <c r="M11120" t="s">
        <v>44161</v>
      </c>
      <c r="N11120" t="s">
        <v>44759</v>
      </c>
      <c r="O11120" t="s">
        <v>44760</v>
      </c>
      <c r="P11120">
        <v>0</v>
      </c>
      <c r="Q11120">
        <v>44</v>
      </c>
      <c r="R11120" t="s">
        <v>44774</v>
      </c>
      <c r="S11120" t="s">
        <v>45266</v>
      </c>
      <c r="T11120" t="s">
        <v>46366</v>
      </c>
      <c r="U11120" t="s">
        <v>56089</v>
      </c>
      <c r="W11120" t="s">
        <v>44161</v>
      </c>
      <c r="X11120" t="s">
        <v>44776</v>
      </c>
    </row>
    <row r="11121" spans="1:24">
      <c r="A11121">
        <f>HYPERLINK("https://www.philgeps.gov.ph/GEPSNONPILOT/Tender/SplashBidNoticeAbstractUI.aspx?menuIndex=3&amp;refID=7126134&amp;Result=3","7126134")</f>
        <v>0</v>
      </c>
      <c r="B11121" t="s">
        <v>932</v>
      </c>
      <c r="C11121" t="s">
        <v>14320</v>
      </c>
      <c r="D11121" t="s">
        <v>17959</v>
      </c>
      <c r="E11121" t="s">
        <v>27651</v>
      </c>
      <c r="F11121" t="s">
        <v>30900</v>
      </c>
      <c r="G11121" t="s">
        <v>30907</v>
      </c>
      <c r="H11121" t="s">
        <v>30916</v>
      </c>
      <c r="I11121" t="s">
        <v>4108</v>
      </c>
      <c r="J11121" t="s">
        <v>31063</v>
      </c>
      <c r="K11121" t="s">
        <v>40283</v>
      </c>
      <c r="M11121" t="s">
        <v>41636</v>
      </c>
      <c r="N11121" t="s">
        <v>44759</v>
      </c>
      <c r="O11121" t="s">
        <v>44760</v>
      </c>
      <c r="P11121">
        <v>0</v>
      </c>
      <c r="Q11121">
        <v>1</v>
      </c>
      <c r="R11121" t="s">
        <v>44774</v>
      </c>
      <c r="S11121" t="s">
        <v>45266</v>
      </c>
      <c r="T11121" t="s">
        <v>46389</v>
      </c>
      <c r="U11121" t="s">
        <v>48763</v>
      </c>
      <c r="W11121" t="s">
        <v>41636</v>
      </c>
      <c r="X11121" t="s">
        <v>44776</v>
      </c>
    </row>
    <row r="11122" spans="1:24">
      <c r="A11122">
        <f>HYPERLINK("https://www.philgeps.gov.ph/GEPSNONPILOT/Tender/SplashBidNoticeAbstractUI.aspx?menuIndex=3&amp;refID=7125776&amp;Result=3","7125776")</f>
        <v>0</v>
      </c>
      <c r="B11122" t="s">
        <v>125</v>
      </c>
      <c r="C11122" t="s">
        <v>14321</v>
      </c>
      <c r="E11122" t="s">
        <v>27652</v>
      </c>
      <c r="F11122" t="s">
        <v>30900</v>
      </c>
      <c r="G11122" t="s">
        <v>30907</v>
      </c>
      <c r="H11122" t="s">
        <v>30916</v>
      </c>
      <c r="I11122" t="s">
        <v>30949</v>
      </c>
      <c r="J11122" t="s">
        <v>37965</v>
      </c>
      <c r="K11122" t="s">
        <v>40301</v>
      </c>
      <c r="M11122" t="s">
        <v>40672</v>
      </c>
      <c r="N11122" t="s">
        <v>44759</v>
      </c>
      <c r="O11122" t="s">
        <v>44760</v>
      </c>
      <c r="P11122">
        <v>0</v>
      </c>
      <c r="Q11122">
        <v>21</v>
      </c>
      <c r="R11122" t="s">
        <v>44774</v>
      </c>
      <c r="S11122" t="s">
        <v>45266</v>
      </c>
      <c r="T11122" t="s">
        <v>46544</v>
      </c>
      <c r="U11122" t="s">
        <v>56090</v>
      </c>
      <c r="W11122" t="s">
        <v>40672</v>
      </c>
      <c r="X11122" t="s">
        <v>44776</v>
      </c>
    </row>
    <row r="11123" spans="1:24">
      <c r="A11123">
        <f>HYPERLINK("https://www.philgeps.gov.ph/GEPSNONPILOT/Tender/SplashBidNoticeAbstractUI.aspx?menuIndex=3&amp;refID=7125764&amp;Result=3","7125764")</f>
        <v>0</v>
      </c>
      <c r="B11123" t="s">
        <v>997</v>
      </c>
      <c r="C11123" t="s">
        <v>14322</v>
      </c>
      <c r="D11123" t="s">
        <v>17959</v>
      </c>
      <c r="E11123" t="s">
        <v>27653</v>
      </c>
      <c r="F11123" t="s">
        <v>30900</v>
      </c>
      <c r="G11123" t="s">
        <v>30907</v>
      </c>
      <c r="H11123" t="s">
        <v>30917</v>
      </c>
      <c r="I11123" t="s">
        <v>9385</v>
      </c>
      <c r="J11123" t="s">
        <v>37966</v>
      </c>
      <c r="K11123" t="s">
        <v>40301</v>
      </c>
      <c r="M11123" t="s">
        <v>44162</v>
      </c>
      <c r="N11123" t="s">
        <v>44759</v>
      </c>
      <c r="O11123" t="s">
        <v>44760</v>
      </c>
      <c r="Q11123">
        <v>4</v>
      </c>
      <c r="R11123" t="s">
        <v>44774</v>
      </c>
      <c r="S11123" t="s">
        <v>45288</v>
      </c>
      <c r="T11123" t="s">
        <v>46377</v>
      </c>
      <c r="U11123" t="s">
        <v>56091</v>
      </c>
      <c r="W11123" t="s">
        <v>44162</v>
      </c>
      <c r="X11123" t="s">
        <v>44776</v>
      </c>
    </row>
    <row r="11124" spans="1:24">
      <c r="A11124">
        <f>HYPERLINK("https://www.philgeps.gov.ph/GEPSNONPILOT/Tender/SplashBidNoticeAbstractUI.aspx?menuIndex=3&amp;refID=7126108&amp;Result=3","7126108")</f>
        <v>0</v>
      </c>
      <c r="B11124" t="s">
        <v>932</v>
      </c>
      <c r="C11124" t="s">
        <v>14323</v>
      </c>
      <c r="D11124" t="s">
        <v>17959</v>
      </c>
      <c r="E11124" t="s">
        <v>27654</v>
      </c>
      <c r="F11124" t="s">
        <v>30900</v>
      </c>
      <c r="G11124" t="s">
        <v>30907</v>
      </c>
      <c r="H11124" t="s">
        <v>30916</v>
      </c>
      <c r="I11124" t="s">
        <v>10847</v>
      </c>
      <c r="J11124" t="s">
        <v>37967</v>
      </c>
      <c r="K11124" t="s">
        <v>40283</v>
      </c>
      <c r="M11124" t="s">
        <v>41636</v>
      </c>
      <c r="N11124" t="s">
        <v>44759</v>
      </c>
      <c r="O11124" t="s">
        <v>44760</v>
      </c>
      <c r="P11124">
        <v>0</v>
      </c>
      <c r="Q11124">
        <v>1</v>
      </c>
      <c r="R11124" t="s">
        <v>44774</v>
      </c>
      <c r="S11124" t="s">
        <v>45266</v>
      </c>
      <c r="T11124" t="s">
        <v>46389</v>
      </c>
      <c r="U11124" t="s">
        <v>48718</v>
      </c>
      <c r="W11124" t="s">
        <v>41636</v>
      </c>
      <c r="X11124" t="s">
        <v>44776</v>
      </c>
    </row>
    <row r="11125" spans="1:24">
      <c r="A11125">
        <f>HYPERLINK("https://www.philgeps.gov.ph/GEPSNONPILOT/Tender/SplashBidNoticeAbstractUI.aspx?menuIndex=3&amp;refID=7125701&amp;Result=3","7125701")</f>
        <v>0</v>
      </c>
      <c r="B11125" t="s">
        <v>2912</v>
      </c>
      <c r="C11125" t="s">
        <v>14324</v>
      </c>
      <c r="D11125" t="s">
        <v>18029</v>
      </c>
      <c r="E11125" t="s">
        <v>27655</v>
      </c>
      <c r="F11125" t="s">
        <v>30900</v>
      </c>
      <c r="G11125" t="s">
        <v>30907</v>
      </c>
      <c r="H11125" t="s">
        <v>30915</v>
      </c>
      <c r="I11125" t="s">
        <v>30919</v>
      </c>
      <c r="J11125" t="s">
        <v>31153</v>
      </c>
      <c r="K11125" t="s">
        <v>40336</v>
      </c>
      <c r="M11125" t="s">
        <v>43707</v>
      </c>
      <c r="N11125" t="s">
        <v>44759</v>
      </c>
      <c r="O11125" t="s">
        <v>44760</v>
      </c>
      <c r="Q11125">
        <v>1</v>
      </c>
      <c r="R11125" t="s">
        <v>44774</v>
      </c>
      <c r="S11125" t="s">
        <v>45289</v>
      </c>
      <c r="T11125" t="s">
        <v>46373</v>
      </c>
      <c r="U11125" t="s">
        <v>56092</v>
      </c>
      <c r="W11125" t="s">
        <v>43707</v>
      </c>
      <c r="X11125" t="s">
        <v>44776</v>
      </c>
    </row>
    <row r="11126" spans="1:24">
      <c r="A11126">
        <f>HYPERLINK("https://www.philgeps.gov.ph/GEPSNONPILOT/Tender/SplashBidNoticeAbstractUI.aspx?menuIndex=3&amp;refID=7125949&amp;Result=3","7125949")</f>
        <v>0</v>
      </c>
      <c r="B11126" t="s">
        <v>45</v>
      </c>
      <c r="C11126" t="s">
        <v>14325</v>
      </c>
      <c r="E11126" t="s">
        <v>27656</v>
      </c>
      <c r="F11126" t="s">
        <v>30900</v>
      </c>
      <c r="G11126" t="s">
        <v>30907</v>
      </c>
      <c r="H11126" t="s">
        <v>30915</v>
      </c>
      <c r="I11126" t="s">
        <v>30919</v>
      </c>
      <c r="J11126" t="s">
        <v>37968</v>
      </c>
      <c r="K11126" t="s">
        <v>40390</v>
      </c>
      <c r="M11126" t="s">
        <v>40591</v>
      </c>
      <c r="N11126" t="s">
        <v>44759</v>
      </c>
      <c r="O11126" t="s">
        <v>44760</v>
      </c>
      <c r="P11126">
        <v>0</v>
      </c>
      <c r="Q11126">
        <v>0</v>
      </c>
      <c r="R11126" t="s">
        <v>44774</v>
      </c>
      <c r="S11126" t="s">
        <v>45266</v>
      </c>
      <c r="T11126" t="s">
        <v>46445</v>
      </c>
      <c r="U11126" t="s">
        <v>56093</v>
      </c>
      <c r="W11126" t="s">
        <v>40591</v>
      </c>
      <c r="X11126" t="s">
        <v>44776</v>
      </c>
    </row>
    <row r="11127" spans="1:24">
      <c r="A11127">
        <f>HYPERLINK("https://www.philgeps.gov.ph/GEPSNONPILOT/Tender/SplashBidNoticeAbstractUI.aspx?menuIndex=3&amp;refID=7125800&amp;Result=3","7125800")</f>
        <v>0</v>
      </c>
      <c r="B11127" t="s">
        <v>2912</v>
      </c>
      <c r="C11127" t="s">
        <v>14326</v>
      </c>
      <c r="D11127" t="s">
        <v>18029</v>
      </c>
      <c r="E11127" t="s">
        <v>27657</v>
      </c>
      <c r="F11127" t="s">
        <v>30900</v>
      </c>
      <c r="G11127" t="s">
        <v>30907</v>
      </c>
      <c r="H11127" t="s">
        <v>30915</v>
      </c>
      <c r="I11127" t="s">
        <v>30919</v>
      </c>
      <c r="J11127" t="s">
        <v>31152</v>
      </c>
      <c r="K11127" t="s">
        <v>40377</v>
      </c>
      <c r="M11127" t="s">
        <v>43707</v>
      </c>
      <c r="N11127" t="s">
        <v>44759</v>
      </c>
      <c r="O11127" t="s">
        <v>44760</v>
      </c>
      <c r="Q11127">
        <v>1</v>
      </c>
      <c r="R11127" t="s">
        <v>44774</v>
      </c>
      <c r="S11127" t="s">
        <v>45290</v>
      </c>
      <c r="T11127" t="s">
        <v>46373</v>
      </c>
      <c r="U11127" t="s">
        <v>56094</v>
      </c>
      <c r="W11127" t="s">
        <v>43707</v>
      </c>
      <c r="X11127" t="s">
        <v>44776</v>
      </c>
    </row>
    <row r="11128" spans="1:24">
      <c r="A11128">
        <f>HYPERLINK("https://www.philgeps.gov.ph/GEPSNONPILOT/Tender/SplashBidNoticeAbstractUI.aspx?menuIndex=3&amp;refID=7125752&amp;Result=3","7125752")</f>
        <v>0</v>
      </c>
      <c r="B11128" t="s">
        <v>3308</v>
      </c>
      <c r="C11128" t="s">
        <v>14327</v>
      </c>
      <c r="D11128" t="s">
        <v>18004</v>
      </c>
      <c r="E11128" t="s">
        <v>18852</v>
      </c>
      <c r="F11128" t="s">
        <v>30900</v>
      </c>
      <c r="G11128" t="s">
        <v>30913</v>
      </c>
      <c r="H11128" t="s">
        <v>30916</v>
      </c>
      <c r="I11128" t="s">
        <v>30949</v>
      </c>
      <c r="J11128" t="s">
        <v>37969</v>
      </c>
      <c r="K11128" t="s">
        <v>40286</v>
      </c>
      <c r="M11128" t="s">
        <v>44163</v>
      </c>
      <c r="N11128" t="s">
        <v>44759</v>
      </c>
      <c r="O11128" t="s">
        <v>44760</v>
      </c>
      <c r="P11128">
        <v>0</v>
      </c>
      <c r="Q11128">
        <v>5</v>
      </c>
      <c r="R11128" t="s">
        <v>44774</v>
      </c>
      <c r="S11128" t="s">
        <v>45266</v>
      </c>
      <c r="T11128" t="s">
        <v>46353</v>
      </c>
      <c r="U11128" t="s">
        <v>56095</v>
      </c>
      <c r="W11128" t="s">
        <v>44163</v>
      </c>
      <c r="X11128" t="s">
        <v>44776</v>
      </c>
    </row>
    <row r="11129" spans="1:24">
      <c r="A11129">
        <f>HYPERLINK("https://www.philgeps.gov.ph/GEPSNONPILOT/Tender/SplashBidNoticeAbstractUI.aspx?menuIndex=3&amp;refID=7125141&amp;Result=3","7125141")</f>
        <v>0</v>
      </c>
      <c r="B11129" t="s">
        <v>2310</v>
      </c>
      <c r="C11129" t="s">
        <v>14328</v>
      </c>
      <c r="D11129" t="s">
        <v>17952</v>
      </c>
      <c r="E11129" t="s">
        <v>27658</v>
      </c>
      <c r="F11129" t="s">
        <v>30900</v>
      </c>
      <c r="G11129" t="s">
        <v>30907</v>
      </c>
      <c r="H11129" t="s">
        <v>30915</v>
      </c>
      <c r="I11129" t="s">
        <v>30919</v>
      </c>
      <c r="J11129" t="s">
        <v>37970</v>
      </c>
      <c r="K11129" t="s">
        <v>40514</v>
      </c>
      <c r="M11129" t="s">
        <v>43028</v>
      </c>
      <c r="N11129" t="s">
        <v>44759</v>
      </c>
      <c r="O11129" t="s">
        <v>44760</v>
      </c>
      <c r="P11129">
        <v>0</v>
      </c>
      <c r="Q11129">
        <v>1</v>
      </c>
      <c r="R11129" t="s">
        <v>44774</v>
      </c>
      <c r="S11129" t="s">
        <v>45266</v>
      </c>
      <c r="T11129" t="s">
        <v>46366</v>
      </c>
      <c r="U11129" t="s">
        <v>56096</v>
      </c>
      <c r="W11129" t="s">
        <v>43028</v>
      </c>
      <c r="X11129" t="s">
        <v>44776</v>
      </c>
    </row>
    <row r="11130" spans="1:24">
      <c r="A11130">
        <f>HYPERLINK("https://www.philgeps.gov.ph/GEPSNONPILOT/Tender/SplashBidNoticeAbstractUI.aspx?menuIndex=3&amp;refID=7124765&amp;Result=3","7124765")</f>
        <v>0</v>
      </c>
      <c r="B11130" t="s">
        <v>3302</v>
      </c>
      <c r="C11130" t="s">
        <v>14329</v>
      </c>
      <c r="D11130" t="s">
        <v>17959</v>
      </c>
      <c r="E11130" t="s">
        <v>27659</v>
      </c>
      <c r="F11130" t="s">
        <v>30900</v>
      </c>
      <c r="G11130" t="s">
        <v>30907</v>
      </c>
      <c r="H11130" t="s">
        <v>30916</v>
      </c>
      <c r="I11130" t="s">
        <v>6396</v>
      </c>
      <c r="J11130" t="s">
        <v>31105</v>
      </c>
      <c r="K11130" t="s">
        <v>40284</v>
      </c>
      <c r="M11130" t="s">
        <v>44153</v>
      </c>
      <c r="N11130" t="s">
        <v>44759</v>
      </c>
      <c r="O11130" t="s">
        <v>44760</v>
      </c>
      <c r="P11130">
        <v>0</v>
      </c>
      <c r="Q11130">
        <v>3</v>
      </c>
      <c r="R11130" t="s">
        <v>44774</v>
      </c>
      <c r="S11130" t="s">
        <v>45266</v>
      </c>
      <c r="T11130" t="s">
        <v>46425</v>
      </c>
      <c r="U11130" t="s">
        <v>56078</v>
      </c>
      <c r="W11130" t="s">
        <v>44153</v>
      </c>
      <c r="X11130" t="s">
        <v>44776</v>
      </c>
    </row>
    <row r="11131" spans="1:24">
      <c r="A11131">
        <f>HYPERLINK("https://www.philgeps.gov.ph/GEPSNONPILOT/Tender/SplashBidNoticeAbstractUI.aspx?menuIndex=3&amp;refID=7125638&amp;Result=3","7125638")</f>
        <v>0</v>
      </c>
      <c r="B11131" t="s">
        <v>3309</v>
      </c>
      <c r="C11131" t="s">
        <v>14330</v>
      </c>
      <c r="D11131" t="s">
        <v>17953</v>
      </c>
      <c r="E11131" t="s">
        <v>27660</v>
      </c>
      <c r="F11131" t="s">
        <v>30900</v>
      </c>
      <c r="G11131" t="s">
        <v>30907</v>
      </c>
      <c r="H11131" t="s">
        <v>30916</v>
      </c>
      <c r="I11131" t="s">
        <v>31011</v>
      </c>
      <c r="J11131" t="s">
        <v>37971</v>
      </c>
      <c r="K11131" t="s">
        <v>40280</v>
      </c>
      <c r="M11131" t="s">
        <v>44164</v>
      </c>
      <c r="N11131" t="s">
        <v>44759</v>
      </c>
      <c r="O11131" t="s">
        <v>44760</v>
      </c>
      <c r="P11131">
        <v>0</v>
      </c>
      <c r="Q11131">
        <v>9</v>
      </c>
      <c r="R11131" t="s">
        <v>44774</v>
      </c>
      <c r="S11131" t="s">
        <v>45266</v>
      </c>
      <c r="T11131" t="s">
        <v>46503</v>
      </c>
      <c r="U11131" t="s">
        <v>56097</v>
      </c>
      <c r="W11131" t="s">
        <v>44164</v>
      </c>
      <c r="X11131" t="s">
        <v>44776</v>
      </c>
    </row>
    <row r="11132" spans="1:24">
      <c r="A11132">
        <f>HYPERLINK("https://www.philgeps.gov.ph/GEPSNONPILOT/Tender/SplashBidNoticeAbstractUI.aspx?menuIndex=3&amp;refID=7125144&amp;Result=3","7125144")</f>
        <v>0</v>
      </c>
      <c r="B11132" t="s">
        <v>2912</v>
      </c>
      <c r="C11132" t="s">
        <v>14331</v>
      </c>
      <c r="D11132" t="s">
        <v>18029</v>
      </c>
      <c r="E11132" t="s">
        <v>27661</v>
      </c>
      <c r="F11132" t="s">
        <v>30900</v>
      </c>
      <c r="G11132" t="s">
        <v>30907</v>
      </c>
      <c r="H11132" t="s">
        <v>30915</v>
      </c>
      <c r="I11132" t="s">
        <v>30919</v>
      </c>
      <c r="J11132" t="s">
        <v>32707</v>
      </c>
      <c r="K11132" t="s">
        <v>40379</v>
      </c>
      <c r="M11132" t="s">
        <v>43707</v>
      </c>
      <c r="N11132" t="s">
        <v>44759</v>
      </c>
      <c r="O11132" t="s">
        <v>44760</v>
      </c>
      <c r="P11132">
        <v>0</v>
      </c>
      <c r="Q11132">
        <v>1</v>
      </c>
      <c r="R11132" t="s">
        <v>44774</v>
      </c>
      <c r="S11132" t="s">
        <v>45266</v>
      </c>
      <c r="T11132" t="s">
        <v>46373</v>
      </c>
      <c r="U11132" t="s">
        <v>56098</v>
      </c>
      <c r="W11132" t="s">
        <v>43707</v>
      </c>
      <c r="X11132" t="s">
        <v>44776</v>
      </c>
    </row>
    <row r="11133" spans="1:24">
      <c r="A11133">
        <f>HYPERLINK("https://www.philgeps.gov.ph/GEPSNONPILOT/Tender/SplashBidNoticeAbstractUI.aspx?menuIndex=3&amp;refID=7124730&amp;Result=3","7124730")</f>
        <v>0</v>
      </c>
      <c r="B11133" t="s">
        <v>759</v>
      </c>
      <c r="C11133" t="s">
        <v>14332</v>
      </c>
      <c r="D11133" t="s">
        <v>17978</v>
      </c>
      <c r="E11133" t="s">
        <v>27662</v>
      </c>
      <c r="F11133" t="s">
        <v>30900</v>
      </c>
      <c r="G11133" t="s">
        <v>30907</v>
      </c>
      <c r="H11133" t="s">
        <v>30915</v>
      </c>
      <c r="I11133" t="s">
        <v>30919</v>
      </c>
      <c r="J11133" t="s">
        <v>37938</v>
      </c>
      <c r="K11133" t="s">
        <v>40280</v>
      </c>
      <c r="M11133" t="s">
        <v>41324</v>
      </c>
      <c r="N11133" t="s">
        <v>44759</v>
      </c>
      <c r="O11133" t="s">
        <v>44760</v>
      </c>
      <c r="P11133">
        <v>0</v>
      </c>
      <c r="Q11133">
        <v>4</v>
      </c>
      <c r="R11133" t="s">
        <v>44774</v>
      </c>
      <c r="S11133" t="s">
        <v>45266</v>
      </c>
      <c r="T11133" t="s">
        <v>46373</v>
      </c>
      <c r="U11133" t="s">
        <v>56062</v>
      </c>
      <c r="W11133" t="s">
        <v>41324</v>
      </c>
      <c r="X11133" t="s">
        <v>44776</v>
      </c>
    </row>
    <row r="11134" spans="1:24">
      <c r="A11134">
        <f>HYPERLINK("https://www.philgeps.gov.ph/GEPSNONPILOT/Tender/SplashBidNoticeAbstractUI.aspx?menuIndex=3&amp;refID=7124651&amp;Result=3","7124651")</f>
        <v>0</v>
      </c>
      <c r="B11134" t="s">
        <v>2912</v>
      </c>
      <c r="C11134" t="s">
        <v>14333</v>
      </c>
      <c r="D11134" t="s">
        <v>18029</v>
      </c>
      <c r="E11134" t="s">
        <v>27663</v>
      </c>
      <c r="F11134" t="s">
        <v>30900</v>
      </c>
      <c r="G11134" t="s">
        <v>30907</v>
      </c>
      <c r="H11134" t="s">
        <v>30915</v>
      </c>
      <c r="I11134" t="s">
        <v>30919</v>
      </c>
      <c r="J11134" t="s">
        <v>31152</v>
      </c>
      <c r="K11134" t="s">
        <v>40421</v>
      </c>
      <c r="M11134" t="s">
        <v>43707</v>
      </c>
      <c r="N11134" t="s">
        <v>44759</v>
      </c>
      <c r="O11134" t="s">
        <v>44760</v>
      </c>
      <c r="Q11134">
        <v>1</v>
      </c>
      <c r="R11134" t="s">
        <v>44774</v>
      </c>
      <c r="S11134" t="s">
        <v>45291</v>
      </c>
      <c r="T11134" t="s">
        <v>46373</v>
      </c>
      <c r="U11134" t="s">
        <v>56099</v>
      </c>
      <c r="W11134" t="s">
        <v>43707</v>
      </c>
      <c r="X11134" t="s">
        <v>44776</v>
      </c>
    </row>
    <row r="11135" spans="1:24">
      <c r="A11135">
        <f>HYPERLINK("https://www.philgeps.gov.ph/GEPSNONPILOT/Tender/SplashBidNoticeAbstractUI.aspx?menuIndex=3&amp;refID=7125132&amp;Result=3","7125132")</f>
        <v>0</v>
      </c>
      <c r="B11135" t="s">
        <v>2777</v>
      </c>
      <c r="C11135" t="s">
        <v>14334</v>
      </c>
      <c r="D11135" t="s">
        <v>17993</v>
      </c>
      <c r="E11135" t="s">
        <v>27664</v>
      </c>
      <c r="F11135" t="s">
        <v>30900</v>
      </c>
      <c r="G11135" t="s">
        <v>30907</v>
      </c>
      <c r="H11135" t="s">
        <v>30915</v>
      </c>
      <c r="I11135" t="s">
        <v>30919</v>
      </c>
      <c r="J11135" t="s">
        <v>32110</v>
      </c>
      <c r="K11135" t="s">
        <v>40292</v>
      </c>
      <c r="M11135" t="s">
        <v>43559</v>
      </c>
      <c r="N11135" t="s">
        <v>44759</v>
      </c>
      <c r="O11135" t="s">
        <v>44760</v>
      </c>
      <c r="P11135">
        <v>0</v>
      </c>
      <c r="Q11135">
        <v>2</v>
      </c>
      <c r="R11135" t="s">
        <v>44774</v>
      </c>
      <c r="S11135" t="s">
        <v>45266</v>
      </c>
      <c r="T11135" t="s">
        <v>46425</v>
      </c>
      <c r="U11135" t="s">
        <v>55196</v>
      </c>
      <c r="W11135" t="s">
        <v>43559</v>
      </c>
      <c r="X11135" t="s">
        <v>44776</v>
      </c>
    </row>
    <row r="11136" spans="1:24">
      <c r="A11136">
        <f>HYPERLINK("https://www.philgeps.gov.ph/GEPSNONPILOT/Tender/SplashBidNoticeAbstractUI.aspx?menuIndex=3&amp;refID=7125611&amp;Result=3","7125611")</f>
        <v>0</v>
      </c>
      <c r="B11136" t="s">
        <v>45</v>
      </c>
      <c r="C11136" t="s">
        <v>14335</v>
      </c>
      <c r="E11136" t="s">
        <v>27665</v>
      </c>
      <c r="F11136" t="s">
        <v>30900</v>
      </c>
      <c r="G11136" t="s">
        <v>30907</v>
      </c>
      <c r="H11136" t="s">
        <v>30915</v>
      </c>
      <c r="I11136" t="s">
        <v>30919</v>
      </c>
      <c r="J11136" t="s">
        <v>37972</v>
      </c>
      <c r="K11136" t="s">
        <v>40310</v>
      </c>
      <c r="M11136" t="s">
        <v>40591</v>
      </c>
      <c r="N11136" t="s">
        <v>44759</v>
      </c>
      <c r="O11136" t="s">
        <v>44760</v>
      </c>
      <c r="P11136">
        <v>0</v>
      </c>
      <c r="Q11136">
        <v>0</v>
      </c>
      <c r="R11136" t="s">
        <v>44774</v>
      </c>
      <c r="S11136" t="s">
        <v>45266</v>
      </c>
      <c r="T11136" t="s">
        <v>46445</v>
      </c>
      <c r="U11136" t="s">
        <v>56100</v>
      </c>
      <c r="W11136" t="s">
        <v>40591</v>
      </c>
      <c r="X11136" t="s">
        <v>44776</v>
      </c>
    </row>
    <row r="11137" spans="1:24">
      <c r="A11137">
        <f>HYPERLINK("https://www.philgeps.gov.ph/GEPSNONPILOT/Tender/SplashBidNoticeAbstractUI.aspx?menuIndex=3&amp;refID=7124722&amp;Result=3","7124722")</f>
        <v>0</v>
      </c>
      <c r="B11137" t="s">
        <v>3302</v>
      </c>
      <c r="C11137" t="s">
        <v>14336</v>
      </c>
      <c r="D11137" t="s">
        <v>17959</v>
      </c>
      <c r="E11137" t="s">
        <v>27666</v>
      </c>
      <c r="F11137" t="s">
        <v>30900</v>
      </c>
      <c r="G11137" t="s">
        <v>30907</v>
      </c>
      <c r="H11137" t="s">
        <v>30916</v>
      </c>
      <c r="I11137" t="s">
        <v>8044</v>
      </c>
      <c r="J11137" t="s">
        <v>37946</v>
      </c>
      <c r="K11137" t="s">
        <v>40284</v>
      </c>
      <c r="M11137" t="s">
        <v>44153</v>
      </c>
      <c r="N11137" t="s">
        <v>44759</v>
      </c>
      <c r="O11137" t="s">
        <v>44760</v>
      </c>
      <c r="P11137">
        <v>0</v>
      </c>
      <c r="Q11137">
        <v>2</v>
      </c>
      <c r="R11137" t="s">
        <v>44774</v>
      </c>
      <c r="S11137" t="s">
        <v>45266</v>
      </c>
      <c r="T11137" t="s">
        <v>46425</v>
      </c>
      <c r="U11137" t="s">
        <v>56078</v>
      </c>
      <c r="W11137" t="s">
        <v>44153</v>
      </c>
      <c r="X11137" t="s">
        <v>44776</v>
      </c>
    </row>
    <row r="11138" spans="1:24">
      <c r="A11138">
        <f>HYPERLINK("https://www.philgeps.gov.ph/GEPSNONPILOT/Tender/SplashBidNoticeAbstractUI.aspx?menuIndex=3&amp;refID=7126534&amp;Result=3","7126534")</f>
        <v>0</v>
      </c>
      <c r="B11138" t="s">
        <v>2031</v>
      </c>
      <c r="C11138" t="s">
        <v>14337</v>
      </c>
      <c r="D11138" t="s">
        <v>17982</v>
      </c>
      <c r="E11138" t="s">
        <v>27667</v>
      </c>
      <c r="F11138" t="s">
        <v>30900</v>
      </c>
      <c r="G11138" t="s">
        <v>30907</v>
      </c>
      <c r="H11138" t="s">
        <v>30916</v>
      </c>
      <c r="I11138" t="s">
        <v>8123</v>
      </c>
      <c r="J11138" t="s">
        <v>37973</v>
      </c>
      <c r="K11138" t="s">
        <v>40283</v>
      </c>
      <c r="M11138" t="s">
        <v>42728</v>
      </c>
      <c r="N11138" t="s">
        <v>44759</v>
      </c>
      <c r="O11138" t="s">
        <v>44760</v>
      </c>
      <c r="Q11138">
        <v>1</v>
      </c>
      <c r="R11138" t="s">
        <v>44774</v>
      </c>
      <c r="S11138" t="s">
        <v>45292</v>
      </c>
      <c r="T11138" t="s">
        <v>46352</v>
      </c>
      <c r="U11138" t="s">
        <v>51625</v>
      </c>
      <c r="W11138" t="s">
        <v>42728</v>
      </c>
      <c r="X11138" t="s">
        <v>44775</v>
      </c>
    </row>
    <row r="11139" spans="1:24">
      <c r="A11139">
        <f>HYPERLINK("https://www.philgeps.gov.ph/GEPSNONPILOT/Tender/SplashBidNoticeAbstractUI.aspx?menuIndex=3&amp;refID=7124663&amp;Result=3","7124663")</f>
        <v>0</v>
      </c>
      <c r="B11139" t="s">
        <v>3302</v>
      </c>
      <c r="C11139" t="s">
        <v>14338</v>
      </c>
      <c r="D11139" t="s">
        <v>17959</v>
      </c>
      <c r="E11139" t="s">
        <v>27668</v>
      </c>
      <c r="F11139" t="s">
        <v>30900</v>
      </c>
      <c r="G11139" t="s">
        <v>30907</v>
      </c>
      <c r="H11139" t="s">
        <v>30916</v>
      </c>
      <c r="I11139" t="s">
        <v>30926</v>
      </c>
      <c r="J11139" t="s">
        <v>37941</v>
      </c>
      <c r="K11139" t="s">
        <v>40284</v>
      </c>
      <c r="M11139" t="s">
        <v>44153</v>
      </c>
      <c r="N11139" t="s">
        <v>44759</v>
      </c>
      <c r="O11139" t="s">
        <v>44760</v>
      </c>
      <c r="P11139">
        <v>0</v>
      </c>
      <c r="Q11139">
        <v>1</v>
      </c>
      <c r="R11139" t="s">
        <v>44774</v>
      </c>
      <c r="S11139" t="s">
        <v>45266</v>
      </c>
      <c r="T11139" t="s">
        <v>46425</v>
      </c>
      <c r="U11139" t="s">
        <v>56078</v>
      </c>
      <c r="W11139" t="s">
        <v>44153</v>
      </c>
      <c r="X11139" t="s">
        <v>44776</v>
      </c>
    </row>
    <row r="11140" spans="1:24">
      <c r="A11140">
        <f>HYPERLINK("https://www.philgeps.gov.ph/GEPSNONPILOT/Tender/SplashBidNoticeAbstractUI.aspx?menuIndex=3&amp;refID=7126508&amp;Result=3","7126508")</f>
        <v>0</v>
      </c>
      <c r="B11140" t="s">
        <v>3304</v>
      </c>
      <c r="C11140" t="s">
        <v>14339</v>
      </c>
      <c r="D11140" t="s">
        <v>17957</v>
      </c>
      <c r="E11140" t="s">
        <v>27669</v>
      </c>
      <c r="F11140" t="s">
        <v>30900</v>
      </c>
      <c r="G11140" t="s">
        <v>30907</v>
      </c>
      <c r="H11140" t="s">
        <v>30915</v>
      </c>
      <c r="I11140" t="s">
        <v>30919</v>
      </c>
      <c r="J11140" t="s">
        <v>32276</v>
      </c>
      <c r="K11140" t="s">
        <v>40386</v>
      </c>
      <c r="M11140" t="s">
        <v>44155</v>
      </c>
      <c r="N11140" t="s">
        <v>44759</v>
      </c>
      <c r="O11140" t="s">
        <v>44760</v>
      </c>
      <c r="P11140">
        <v>0</v>
      </c>
      <c r="Q11140">
        <v>0</v>
      </c>
      <c r="R11140" t="s">
        <v>44774</v>
      </c>
      <c r="S11140" t="s">
        <v>45266</v>
      </c>
      <c r="T11140" t="s">
        <v>46409</v>
      </c>
      <c r="U11140" t="s">
        <v>56070</v>
      </c>
      <c r="W11140" t="s">
        <v>44155</v>
      </c>
      <c r="X11140" t="s">
        <v>44775</v>
      </c>
    </row>
    <row r="11141" spans="1:24">
      <c r="A11141">
        <f>HYPERLINK("https://www.philgeps.gov.ph/GEPSNONPILOT/Tender/SplashBidNoticeAbstractUI.aspx?menuIndex=3&amp;refID=7126498&amp;Result=3","7126498")</f>
        <v>0</v>
      </c>
      <c r="B11141" t="s">
        <v>3310</v>
      </c>
      <c r="C11141" t="s">
        <v>14340</v>
      </c>
      <c r="D11141" t="s">
        <v>17978</v>
      </c>
      <c r="E11141" t="s">
        <v>27670</v>
      </c>
      <c r="F11141" t="s">
        <v>30900</v>
      </c>
      <c r="G11141" t="s">
        <v>30907</v>
      </c>
      <c r="H11141" t="s">
        <v>30916</v>
      </c>
      <c r="I11141" t="s">
        <v>30956</v>
      </c>
      <c r="J11141" t="s">
        <v>31589</v>
      </c>
      <c r="K11141" t="s">
        <v>40286</v>
      </c>
      <c r="M11141" t="s">
        <v>44165</v>
      </c>
      <c r="N11141" t="s">
        <v>44759</v>
      </c>
      <c r="O11141" t="s">
        <v>44760</v>
      </c>
      <c r="P11141">
        <v>0</v>
      </c>
      <c r="Q11141">
        <v>1</v>
      </c>
      <c r="R11141" t="s">
        <v>44774</v>
      </c>
      <c r="S11141" t="s">
        <v>45266</v>
      </c>
      <c r="T11141" t="s">
        <v>46418</v>
      </c>
      <c r="U11141" t="s">
        <v>56101</v>
      </c>
      <c r="V11141" t="s">
        <v>59692</v>
      </c>
      <c r="W11141" t="s">
        <v>44165</v>
      </c>
      <c r="X11141" t="s">
        <v>44775</v>
      </c>
    </row>
    <row r="11142" spans="1:24">
      <c r="A11142">
        <f>HYPERLINK("https://www.philgeps.gov.ph/GEPSNONPILOT/Tender/SplashBidNoticeAbstractUI.aspx?menuIndex=3&amp;refID=7125171&amp;Result=3","7125171")</f>
        <v>0</v>
      </c>
      <c r="B11142" t="s">
        <v>45</v>
      </c>
      <c r="C11142" t="s">
        <v>14341</v>
      </c>
      <c r="E11142" t="s">
        <v>27671</v>
      </c>
      <c r="F11142" t="s">
        <v>30900</v>
      </c>
      <c r="G11142" t="s">
        <v>30907</v>
      </c>
      <c r="H11142" t="s">
        <v>30915</v>
      </c>
      <c r="I11142" t="s">
        <v>30919</v>
      </c>
      <c r="J11142" t="s">
        <v>37974</v>
      </c>
      <c r="K11142" t="s">
        <v>40292</v>
      </c>
      <c r="M11142" t="s">
        <v>40591</v>
      </c>
      <c r="N11142" t="s">
        <v>44759</v>
      </c>
      <c r="O11142" t="s">
        <v>44760</v>
      </c>
      <c r="P11142">
        <v>0</v>
      </c>
      <c r="Q11142">
        <v>0</v>
      </c>
      <c r="R11142" t="s">
        <v>44774</v>
      </c>
      <c r="S11142" t="s">
        <v>45266</v>
      </c>
      <c r="T11142" t="s">
        <v>46445</v>
      </c>
      <c r="U11142" t="s">
        <v>56102</v>
      </c>
      <c r="W11142" t="s">
        <v>40591</v>
      </c>
      <c r="X11142" t="s">
        <v>44776</v>
      </c>
    </row>
    <row r="11143" spans="1:24">
      <c r="A11143">
        <f>HYPERLINK("https://www.philgeps.gov.ph/GEPSNONPILOT/Tender/SplashBidNoticeAbstractUI.aspx?menuIndex=3&amp;refID=7121727&amp;Result=3","7121727")</f>
        <v>0</v>
      </c>
      <c r="B11143" t="s">
        <v>1423</v>
      </c>
      <c r="C11143" t="s">
        <v>14272</v>
      </c>
      <c r="D11143" t="s">
        <v>18013</v>
      </c>
      <c r="E11143" t="s">
        <v>27672</v>
      </c>
      <c r="F11143" t="s">
        <v>30900</v>
      </c>
      <c r="G11143" t="s">
        <v>30907</v>
      </c>
      <c r="H11143" t="s">
        <v>30916</v>
      </c>
      <c r="I11143" t="s">
        <v>8365</v>
      </c>
      <c r="J11143" t="s">
        <v>31241</v>
      </c>
      <c r="K11143" t="s">
        <v>40289</v>
      </c>
      <c r="M11143" t="s">
        <v>42053</v>
      </c>
      <c r="N11143" t="s">
        <v>44759</v>
      </c>
      <c r="O11143" t="s">
        <v>44760</v>
      </c>
      <c r="P11143">
        <v>0</v>
      </c>
      <c r="Q11143">
        <v>1</v>
      </c>
      <c r="R11143" t="s">
        <v>44774</v>
      </c>
      <c r="S11143" t="s">
        <v>45266</v>
      </c>
      <c r="T11143" t="s">
        <v>46382</v>
      </c>
      <c r="U11143" t="s">
        <v>56103</v>
      </c>
      <c r="V11143" t="s">
        <v>60372</v>
      </c>
      <c r="W11143" t="s">
        <v>42053</v>
      </c>
      <c r="X11143" t="s">
        <v>44777</v>
      </c>
    </row>
    <row r="11144" spans="1:24">
      <c r="A11144">
        <f>HYPERLINK("https://www.philgeps.gov.ph/GEPSNONPILOT/Tender/SplashBidNoticeAbstractUI.aspx?menuIndex=3&amp;refID=7126488&amp;Result=3","7126488")</f>
        <v>0</v>
      </c>
      <c r="B11144" t="s">
        <v>2215</v>
      </c>
      <c r="C11144" t="s">
        <v>14342</v>
      </c>
      <c r="E11144" t="s">
        <v>27673</v>
      </c>
      <c r="F11144" t="s">
        <v>30900</v>
      </c>
      <c r="G11144" t="s">
        <v>30907</v>
      </c>
      <c r="H11144" t="s">
        <v>30916</v>
      </c>
      <c r="I11144" t="s">
        <v>30933</v>
      </c>
      <c r="J11144" t="s">
        <v>31069</v>
      </c>
      <c r="K11144" t="s">
        <v>40280</v>
      </c>
      <c r="M11144" t="s">
        <v>42924</v>
      </c>
      <c r="N11144" t="s">
        <v>44759</v>
      </c>
      <c r="O11144" t="s">
        <v>44760</v>
      </c>
      <c r="P11144">
        <v>0</v>
      </c>
      <c r="Q11144">
        <v>5</v>
      </c>
      <c r="R11144" t="s">
        <v>44774</v>
      </c>
      <c r="S11144" t="s">
        <v>45266</v>
      </c>
      <c r="T11144" t="s">
        <v>46352</v>
      </c>
      <c r="U11144" t="s">
        <v>56104</v>
      </c>
      <c r="W11144" t="s">
        <v>42924</v>
      </c>
      <c r="X11144" t="s">
        <v>44775</v>
      </c>
    </row>
    <row r="11145" spans="1:24">
      <c r="A11145">
        <f>HYPERLINK("https://www.philgeps.gov.ph/GEPSNONPILOT/Tender/SplashBidNoticeAbstractUI.aspx?menuIndex=3&amp;refID=7126473&amp;Result=3","7126473")</f>
        <v>0</v>
      </c>
      <c r="B11145" t="s">
        <v>2979</v>
      </c>
      <c r="C11145" t="s">
        <v>14343</v>
      </c>
      <c r="D11145" t="s">
        <v>18021</v>
      </c>
      <c r="E11145" t="s">
        <v>27674</v>
      </c>
      <c r="F11145" t="s">
        <v>30900</v>
      </c>
      <c r="G11145" t="s">
        <v>30907</v>
      </c>
      <c r="H11145" t="s">
        <v>30916</v>
      </c>
      <c r="I11145" t="s">
        <v>30947</v>
      </c>
      <c r="J11145" t="s">
        <v>37975</v>
      </c>
      <c r="K11145" t="s">
        <v>40286</v>
      </c>
      <c r="M11145" t="s">
        <v>43781</v>
      </c>
      <c r="N11145" t="s">
        <v>44759</v>
      </c>
      <c r="O11145" t="s">
        <v>44760</v>
      </c>
      <c r="P11145">
        <v>0</v>
      </c>
      <c r="Q11145">
        <v>2</v>
      </c>
      <c r="R11145" t="s">
        <v>44774</v>
      </c>
      <c r="S11145" t="s">
        <v>45266</v>
      </c>
      <c r="T11145" t="s">
        <v>46366</v>
      </c>
      <c r="U11145" t="s">
        <v>56105</v>
      </c>
      <c r="V11145" t="s">
        <v>60140</v>
      </c>
      <c r="W11145" t="s">
        <v>43781</v>
      </c>
      <c r="X11145" t="s">
        <v>44775</v>
      </c>
    </row>
    <row r="11146" spans="1:24">
      <c r="A11146">
        <f>HYPERLINK("https://www.philgeps.gov.ph/GEPSNONPILOT/Tender/SplashBidNoticeAbstractUI.aspx?menuIndex=3&amp;refID=7126576&amp;Result=3","7126576")</f>
        <v>0</v>
      </c>
      <c r="B11146" t="s">
        <v>2439</v>
      </c>
      <c r="C11146" t="s">
        <v>14344</v>
      </c>
      <c r="D11146" t="s">
        <v>17980</v>
      </c>
      <c r="E11146" t="s">
        <v>20196</v>
      </c>
      <c r="F11146" t="s">
        <v>30900</v>
      </c>
      <c r="G11146" t="s">
        <v>30907</v>
      </c>
      <c r="H11146" t="s">
        <v>30916</v>
      </c>
      <c r="I11146" t="s">
        <v>30921</v>
      </c>
      <c r="J11146" t="s">
        <v>32033</v>
      </c>
      <c r="K11146" t="s">
        <v>40286</v>
      </c>
      <c r="M11146" t="s">
        <v>43170</v>
      </c>
      <c r="N11146" t="s">
        <v>44759</v>
      </c>
      <c r="O11146" t="s">
        <v>44760</v>
      </c>
      <c r="P11146">
        <v>0</v>
      </c>
      <c r="Q11146">
        <v>0</v>
      </c>
      <c r="R11146" t="s">
        <v>44774</v>
      </c>
      <c r="S11146" t="s">
        <v>45266</v>
      </c>
      <c r="T11146" t="s">
        <v>46364</v>
      </c>
      <c r="U11146" t="s">
        <v>52853</v>
      </c>
      <c r="V11146" t="s">
        <v>60373</v>
      </c>
      <c r="W11146" t="s">
        <v>43170</v>
      </c>
      <c r="X11146" t="s">
        <v>44775</v>
      </c>
    </row>
    <row r="11147" spans="1:24">
      <c r="A11147">
        <f>HYPERLINK("https://www.philgeps.gov.ph/GEPSNONPILOT/Tender/SplashBidNoticeAbstractUI.aspx?menuIndex=3&amp;refID=7126553&amp;Result=3","7126553")</f>
        <v>0</v>
      </c>
      <c r="B11147" t="s">
        <v>1423</v>
      </c>
      <c r="C11147" t="s">
        <v>6402</v>
      </c>
      <c r="D11147" t="s">
        <v>18013</v>
      </c>
      <c r="E11147" t="s">
        <v>27675</v>
      </c>
      <c r="F11147" t="s">
        <v>30900</v>
      </c>
      <c r="G11147" t="s">
        <v>30907</v>
      </c>
      <c r="H11147" t="s">
        <v>30916</v>
      </c>
      <c r="I11147" t="s">
        <v>8123</v>
      </c>
      <c r="J11147" t="s">
        <v>37976</v>
      </c>
      <c r="K11147" t="s">
        <v>40289</v>
      </c>
      <c r="M11147" t="s">
        <v>44166</v>
      </c>
      <c r="N11147" t="s">
        <v>44759</v>
      </c>
      <c r="O11147" t="s">
        <v>44760</v>
      </c>
      <c r="P11147">
        <v>0</v>
      </c>
      <c r="Q11147">
        <v>1</v>
      </c>
      <c r="R11147" t="s">
        <v>44774</v>
      </c>
      <c r="S11147" t="s">
        <v>45266</v>
      </c>
      <c r="T11147" t="s">
        <v>46876</v>
      </c>
      <c r="U11147" t="s">
        <v>56106</v>
      </c>
      <c r="V11147" t="s">
        <v>60374</v>
      </c>
      <c r="W11147" t="s">
        <v>44166</v>
      </c>
      <c r="X11147" t="s">
        <v>44775</v>
      </c>
    </row>
    <row r="11148" spans="1:24">
      <c r="A11148">
        <f>HYPERLINK("https://www.philgeps.gov.ph/GEPSNONPILOT/Tender/SplashBidNoticeAbstractUI.aspx?menuIndex=3&amp;refID=7126565&amp;Result=3","7126565")</f>
        <v>0</v>
      </c>
      <c r="B11148" t="s">
        <v>2940</v>
      </c>
      <c r="C11148" t="s">
        <v>14345</v>
      </c>
      <c r="E11148" t="s">
        <v>20286</v>
      </c>
      <c r="F11148" t="s">
        <v>30900</v>
      </c>
      <c r="G11148" t="s">
        <v>30907</v>
      </c>
      <c r="H11148" t="s">
        <v>30915</v>
      </c>
      <c r="I11148" t="s">
        <v>30919</v>
      </c>
      <c r="J11148" t="s">
        <v>31152</v>
      </c>
      <c r="K11148" t="s">
        <v>40280</v>
      </c>
      <c r="M11148" t="s">
        <v>43737</v>
      </c>
      <c r="N11148" t="s">
        <v>44759</v>
      </c>
      <c r="O11148" t="s">
        <v>44760</v>
      </c>
      <c r="P11148">
        <v>0</v>
      </c>
      <c r="Q11148">
        <v>1</v>
      </c>
      <c r="R11148" t="s">
        <v>44774</v>
      </c>
      <c r="S11148" t="s">
        <v>45266</v>
      </c>
      <c r="T11148" t="s">
        <v>46352</v>
      </c>
      <c r="U11148" t="s">
        <v>47549</v>
      </c>
      <c r="W11148" t="s">
        <v>43737</v>
      </c>
      <c r="X11148" t="s">
        <v>44775</v>
      </c>
    </row>
    <row r="11149" spans="1:24">
      <c r="A11149">
        <f>HYPERLINK("https://www.philgeps.gov.ph/GEPSNONPILOT/Tender/SplashBidNoticeAbstractUI.aspx?menuIndex=3&amp;refID=7126503&amp;Result=3","7126503")</f>
        <v>0</v>
      </c>
      <c r="B11149" t="s">
        <v>2700</v>
      </c>
      <c r="C11149" t="s">
        <v>14346</v>
      </c>
      <c r="D11149" t="s">
        <v>18010</v>
      </c>
      <c r="E11149" t="s">
        <v>27676</v>
      </c>
      <c r="F11149" t="s">
        <v>30900</v>
      </c>
      <c r="G11149" t="s">
        <v>30907</v>
      </c>
      <c r="H11149" t="s">
        <v>30915</v>
      </c>
      <c r="I11149" t="s">
        <v>30919</v>
      </c>
      <c r="J11149" t="s">
        <v>37977</v>
      </c>
      <c r="K11149" t="s">
        <v>40292</v>
      </c>
      <c r="M11149" t="s">
        <v>43473</v>
      </c>
      <c r="N11149" t="s">
        <v>44759</v>
      </c>
      <c r="O11149" t="s">
        <v>44760</v>
      </c>
      <c r="P11149">
        <v>0</v>
      </c>
      <c r="Q11149">
        <v>24</v>
      </c>
      <c r="R11149" t="s">
        <v>44774</v>
      </c>
      <c r="S11149" t="s">
        <v>45266</v>
      </c>
      <c r="T11149" t="s">
        <v>46357</v>
      </c>
      <c r="U11149" t="s">
        <v>56107</v>
      </c>
      <c r="W11149" t="s">
        <v>43473</v>
      </c>
      <c r="X11149" t="s">
        <v>44775</v>
      </c>
    </row>
    <row r="11150" spans="1:24">
      <c r="A11150">
        <f>HYPERLINK("https://www.philgeps.gov.ph/GEPSNONPILOT/Tender/SplashBidNoticeAbstractUI.aspx?menuIndex=3&amp;refID=7126493&amp;Result=3","7126493")</f>
        <v>0</v>
      </c>
      <c r="B11150" t="s">
        <v>2979</v>
      </c>
      <c r="C11150" t="s">
        <v>14347</v>
      </c>
      <c r="D11150" t="s">
        <v>18021</v>
      </c>
      <c r="E11150" t="s">
        <v>27677</v>
      </c>
      <c r="F11150" t="s">
        <v>30900</v>
      </c>
      <c r="G11150" t="s">
        <v>30907</v>
      </c>
      <c r="H11150" t="s">
        <v>30915</v>
      </c>
      <c r="I11150" t="s">
        <v>30919</v>
      </c>
      <c r="J11150" t="s">
        <v>33015</v>
      </c>
      <c r="K11150" t="s">
        <v>40342</v>
      </c>
      <c r="M11150" t="s">
        <v>43781</v>
      </c>
      <c r="N11150" t="s">
        <v>44759</v>
      </c>
      <c r="O11150" t="s">
        <v>44760</v>
      </c>
      <c r="Q11150">
        <v>1</v>
      </c>
      <c r="R11150" t="s">
        <v>44774</v>
      </c>
      <c r="S11150" t="s">
        <v>45293</v>
      </c>
      <c r="T11150" t="s">
        <v>46366</v>
      </c>
      <c r="U11150" t="s">
        <v>56108</v>
      </c>
      <c r="V11150" t="s">
        <v>60140</v>
      </c>
      <c r="W11150" t="s">
        <v>43781</v>
      </c>
      <c r="X11150" t="s">
        <v>44775</v>
      </c>
    </row>
    <row r="11151" spans="1:24">
      <c r="A11151">
        <f>HYPERLINK("https://www.philgeps.gov.ph/GEPSNONPILOT/Tender/SplashBidNoticeAbstractUI.aspx?menuIndex=3&amp;refID=7126278&amp;Result=3","7126278")</f>
        <v>0</v>
      </c>
      <c r="B11151" t="s">
        <v>2206</v>
      </c>
      <c r="C11151" t="s">
        <v>14348</v>
      </c>
      <c r="D11151" t="s">
        <v>17992</v>
      </c>
      <c r="E11151" t="s">
        <v>27432</v>
      </c>
      <c r="F11151" t="s">
        <v>30900</v>
      </c>
      <c r="G11151" t="s">
        <v>30907</v>
      </c>
      <c r="H11151" t="s">
        <v>30915</v>
      </c>
      <c r="I11151" t="s">
        <v>30919</v>
      </c>
      <c r="J11151" t="s">
        <v>37978</v>
      </c>
      <c r="K11151" t="s">
        <v>40407</v>
      </c>
      <c r="M11151" t="s">
        <v>42914</v>
      </c>
      <c r="N11151" t="s">
        <v>44759</v>
      </c>
      <c r="O11151" t="s">
        <v>44760</v>
      </c>
      <c r="P11151">
        <v>0</v>
      </c>
      <c r="Q11151">
        <v>0</v>
      </c>
      <c r="R11151" t="s">
        <v>44774</v>
      </c>
      <c r="S11151" t="s">
        <v>45266</v>
      </c>
      <c r="T11151" t="s">
        <v>46409</v>
      </c>
      <c r="U11151" t="s">
        <v>56109</v>
      </c>
      <c r="W11151" t="s">
        <v>42914</v>
      </c>
      <c r="X11151" t="s">
        <v>44776</v>
      </c>
    </row>
    <row r="11152" spans="1:24">
      <c r="A11152">
        <f>HYPERLINK("https://www.philgeps.gov.ph/GEPSNONPILOT/Tender/SplashBidNoticeAbstractUI.aspx?menuIndex=3&amp;refID=7126454&amp;Result=3","7126454")</f>
        <v>0</v>
      </c>
      <c r="B11152" t="s">
        <v>2979</v>
      </c>
      <c r="C11152" t="s">
        <v>14349</v>
      </c>
      <c r="D11152" t="s">
        <v>18021</v>
      </c>
      <c r="E11152" t="s">
        <v>27678</v>
      </c>
      <c r="F11152" t="s">
        <v>30900</v>
      </c>
      <c r="G11152" t="s">
        <v>30907</v>
      </c>
      <c r="H11152" t="s">
        <v>30916</v>
      </c>
      <c r="I11152" t="s">
        <v>4142</v>
      </c>
      <c r="J11152" t="s">
        <v>37979</v>
      </c>
      <c r="K11152" t="s">
        <v>40293</v>
      </c>
      <c r="M11152" t="s">
        <v>43781</v>
      </c>
      <c r="N11152" t="s">
        <v>44759</v>
      </c>
      <c r="O11152" t="s">
        <v>44760</v>
      </c>
      <c r="P11152">
        <v>0</v>
      </c>
      <c r="Q11152">
        <v>6</v>
      </c>
      <c r="R11152" t="s">
        <v>44774</v>
      </c>
      <c r="S11152" t="s">
        <v>45266</v>
      </c>
      <c r="T11152" t="s">
        <v>46366</v>
      </c>
      <c r="U11152" t="s">
        <v>56110</v>
      </c>
      <c r="V11152" t="s">
        <v>60140</v>
      </c>
      <c r="W11152" t="s">
        <v>43781</v>
      </c>
      <c r="X11152" t="s">
        <v>44775</v>
      </c>
    </row>
    <row r="11153" spans="1:24">
      <c r="A11153">
        <f>HYPERLINK("https://www.philgeps.gov.ph/GEPSNONPILOT/Tender/SplashBidNoticeAbstractUI.aspx?menuIndex=3&amp;refID=7126555&amp;Result=3","7126555")</f>
        <v>0</v>
      </c>
      <c r="B11153" t="s">
        <v>3311</v>
      </c>
      <c r="C11153" t="s">
        <v>6603</v>
      </c>
      <c r="E11153" t="s">
        <v>18935</v>
      </c>
      <c r="F11153" t="s">
        <v>30900</v>
      </c>
      <c r="G11153" t="s">
        <v>30907</v>
      </c>
      <c r="H11153" t="s">
        <v>30916</v>
      </c>
      <c r="I11153" t="s">
        <v>30919</v>
      </c>
      <c r="J11153" t="s">
        <v>37980</v>
      </c>
      <c r="K11153" t="s">
        <v>40289</v>
      </c>
      <c r="M11153" t="s">
        <v>44167</v>
      </c>
      <c r="N11153" t="s">
        <v>44759</v>
      </c>
      <c r="O11153" t="s">
        <v>44760</v>
      </c>
      <c r="P11153">
        <v>0</v>
      </c>
      <c r="Q11153">
        <v>0</v>
      </c>
      <c r="R11153" t="s">
        <v>44774</v>
      </c>
      <c r="S11153" t="s">
        <v>45266</v>
      </c>
      <c r="T11153" t="s">
        <v>46625</v>
      </c>
      <c r="U11153" t="s">
        <v>51781</v>
      </c>
      <c r="W11153" t="s">
        <v>44167</v>
      </c>
      <c r="X11153" t="s">
        <v>44775</v>
      </c>
    </row>
    <row r="11154" spans="1:24">
      <c r="A11154">
        <f>HYPERLINK("https://www.philgeps.gov.ph/GEPSNONPILOT/Tender/SplashBidNoticeAbstractUI.aspx?menuIndex=3&amp;refID=7126422&amp;Result=3","7126422")</f>
        <v>0</v>
      </c>
      <c r="B11154" t="s">
        <v>3312</v>
      </c>
      <c r="C11154" t="s">
        <v>14350</v>
      </c>
      <c r="E11154" t="s">
        <v>27679</v>
      </c>
      <c r="F11154" t="s">
        <v>30900</v>
      </c>
      <c r="G11154" t="s">
        <v>30907</v>
      </c>
      <c r="H11154" t="s">
        <v>7411</v>
      </c>
      <c r="I11154" t="s">
        <v>30969</v>
      </c>
      <c r="J11154" t="s">
        <v>37981</v>
      </c>
      <c r="K11154" t="s">
        <v>40458</v>
      </c>
      <c r="M11154" t="s">
        <v>44168</v>
      </c>
      <c r="N11154" t="s">
        <v>44759</v>
      </c>
      <c r="O11154" t="s">
        <v>44760</v>
      </c>
      <c r="P11154">
        <v>0</v>
      </c>
      <c r="Q11154">
        <v>3</v>
      </c>
      <c r="R11154" t="s">
        <v>44774</v>
      </c>
      <c r="S11154" t="s">
        <v>45266</v>
      </c>
      <c r="T11154" t="s">
        <v>46361</v>
      </c>
      <c r="U11154" t="s">
        <v>56111</v>
      </c>
      <c r="W11154" t="s">
        <v>44168</v>
      </c>
      <c r="X11154" t="s">
        <v>44775</v>
      </c>
    </row>
    <row r="11155" spans="1:24">
      <c r="A11155">
        <f>HYPERLINK("https://www.philgeps.gov.ph/GEPSNONPILOT/Tender/SplashBidNoticeAbstractUI.aspx?menuIndex=3&amp;refID=7125543&amp;Result=3","7125543")</f>
        <v>0</v>
      </c>
      <c r="B11155" t="s">
        <v>45</v>
      </c>
      <c r="C11155" t="s">
        <v>14351</v>
      </c>
      <c r="E11155" t="s">
        <v>27680</v>
      </c>
      <c r="F11155" t="s">
        <v>30900</v>
      </c>
      <c r="G11155" t="s">
        <v>30907</v>
      </c>
      <c r="H11155" t="s">
        <v>30915</v>
      </c>
      <c r="I11155" t="s">
        <v>30919</v>
      </c>
      <c r="J11155" t="s">
        <v>37982</v>
      </c>
      <c r="K11155" t="s">
        <v>40358</v>
      </c>
      <c r="M11155" t="s">
        <v>40591</v>
      </c>
      <c r="N11155" t="s">
        <v>44759</v>
      </c>
      <c r="O11155" t="s">
        <v>44760</v>
      </c>
      <c r="P11155">
        <v>0</v>
      </c>
      <c r="Q11155">
        <v>0</v>
      </c>
      <c r="R11155" t="s">
        <v>44774</v>
      </c>
      <c r="S11155" t="s">
        <v>45266</v>
      </c>
      <c r="T11155" t="s">
        <v>46445</v>
      </c>
      <c r="U11155" t="s">
        <v>56112</v>
      </c>
      <c r="W11155" t="s">
        <v>40591</v>
      </c>
      <c r="X11155" t="s">
        <v>44776</v>
      </c>
    </row>
    <row r="11156" spans="1:24">
      <c r="A11156">
        <f>HYPERLINK("https://www.philgeps.gov.ph/GEPSNONPILOT/Tender/SplashBidNoticeAbstractUI.aspx?menuIndex=3&amp;refID=7126395&amp;Result=3","7126395")</f>
        <v>0</v>
      </c>
      <c r="B11156" t="s">
        <v>138</v>
      </c>
      <c r="C11156" t="s">
        <v>14352</v>
      </c>
      <c r="D11156" t="s">
        <v>17965</v>
      </c>
      <c r="E11156" t="s">
        <v>27681</v>
      </c>
      <c r="F11156" t="s">
        <v>30900</v>
      </c>
      <c r="G11156" t="s">
        <v>30907</v>
      </c>
      <c r="H11156" t="s">
        <v>30916</v>
      </c>
      <c r="I11156" t="s">
        <v>30923</v>
      </c>
      <c r="J11156" t="s">
        <v>37983</v>
      </c>
      <c r="K11156" t="s">
        <v>40294</v>
      </c>
      <c r="M11156" t="s">
        <v>40685</v>
      </c>
      <c r="N11156" t="s">
        <v>44759</v>
      </c>
      <c r="O11156" t="s">
        <v>44760</v>
      </c>
      <c r="P11156">
        <v>0</v>
      </c>
      <c r="Q11156">
        <v>7</v>
      </c>
      <c r="R11156" t="s">
        <v>44774</v>
      </c>
      <c r="S11156" t="s">
        <v>45266</v>
      </c>
      <c r="T11156" t="s">
        <v>46403</v>
      </c>
      <c r="U11156" t="s">
        <v>56113</v>
      </c>
      <c r="W11156" t="s">
        <v>40685</v>
      </c>
      <c r="X11156" t="s">
        <v>44775</v>
      </c>
    </row>
    <row r="11157" spans="1:24">
      <c r="A11157">
        <f>HYPERLINK("https://www.philgeps.gov.ph/GEPSNONPILOT/Tender/SplashBidNoticeAbstractUI.aspx?menuIndex=3&amp;refID=7126544&amp;Result=3","7126544")</f>
        <v>0</v>
      </c>
      <c r="B11157" t="s">
        <v>2940</v>
      </c>
      <c r="C11157" t="s">
        <v>14353</v>
      </c>
      <c r="E11157" t="s">
        <v>20255</v>
      </c>
      <c r="F11157" t="s">
        <v>30900</v>
      </c>
      <c r="G11157" t="s">
        <v>30907</v>
      </c>
      <c r="H11157" t="s">
        <v>30915</v>
      </c>
      <c r="I11157" t="s">
        <v>30919</v>
      </c>
      <c r="J11157" t="s">
        <v>31152</v>
      </c>
      <c r="K11157" t="s">
        <v>40280</v>
      </c>
      <c r="M11157" t="s">
        <v>43737</v>
      </c>
      <c r="N11157" t="s">
        <v>44759</v>
      </c>
      <c r="O11157" t="s">
        <v>44760</v>
      </c>
      <c r="P11157">
        <v>0</v>
      </c>
      <c r="Q11157">
        <v>4</v>
      </c>
      <c r="R11157" t="s">
        <v>44774</v>
      </c>
      <c r="S11157" t="s">
        <v>45266</v>
      </c>
      <c r="T11157" t="s">
        <v>46352</v>
      </c>
      <c r="U11157" t="s">
        <v>47549</v>
      </c>
      <c r="W11157" t="s">
        <v>43737</v>
      </c>
      <c r="X11157" t="s">
        <v>44775</v>
      </c>
    </row>
    <row r="11158" spans="1:24">
      <c r="A11158">
        <f>HYPERLINK("https://www.philgeps.gov.ph/GEPSNONPILOT/Tender/SplashBidNoticeAbstractUI.aspx?menuIndex=3&amp;refID=7121914&amp;Result=3","7121914")</f>
        <v>0</v>
      </c>
      <c r="B11158" t="s">
        <v>3305</v>
      </c>
      <c r="C11158" t="s">
        <v>14354</v>
      </c>
      <c r="D11158" t="s">
        <v>18023</v>
      </c>
      <c r="E11158" t="s">
        <v>19963</v>
      </c>
      <c r="F11158" t="s">
        <v>30899</v>
      </c>
      <c r="G11158" t="s">
        <v>30907</v>
      </c>
      <c r="H11158" t="s">
        <v>30915</v>
      </c>
      <c r="I11158" t="s">
        <v>30919</v>
      </c>
      <c r="J11158" t="s">
        <v>37984</v>
      </c>
      <c r="K11158" t="s">
        <v>40456</v>
      </c>
      <c r="M11158" t="s">
        <v>44156</v>
      </c>
      <c r="N11158" t="s">
        <v>44759</v>
      </c>
      <c r="O11158" t="s">
        <v>44760</v>
      </c>
      <c r="P11158">
        <v>0</v>
      </c>
      <c r="Q11158">
        <v>0</v>
      </c>
      <c r="R11158" t="s">
        <v>44774</v>
      </c>
      <c r="S11158" t="s">
        <v>45266</v>
      </c>
      <c r="T11158" t="s">
        <v>46405</v>
      </c>
      <c r="U11158" t="s">
        <v>56114</v>
      </c>
      <c r="V11158" t="s">
        <v>60375</v>
      </c>
      <c r="W11158" t="s">
        <v>44156</v>
      </c>
      <c r="X11158" t="s">
        <v>44777</v>
      </c>
    </row>
    <row r="11159" spans="1:24">
      <c r="A11159">
        <f>HYPERLINK("https://www.philgeps.gov.ph/GEPSNONPILOT/Tender/SplashBidNoticeAbstractUI.aspx?menuIndex=3&amp;refID=7126537&amp;Result=3","7126537")</f>
        <v>0</v>
      </c>
      <c r="B11159" t="s">
        <v>2060</v>
      </c>
      <c r="C11159" t="s">
        <v>14355</v>
      </c>
      <c r="D11159" t="s">
        <v>17986</v>
      </c>
      <c r="E11159" t="s">
        <v>27682</v>
      </c>
      <c r="F11159" t="s">
        <v>30900</v>
      </c>
      <c r="G11159" t="s">
        <v>30907</v>
      </c>
      <c r="H11159" t="s">
        <v>30916</v>
      </c>
      <c r="I11159" t="s">
        <v>30984</v>
      </c>
      <c r="J11159" t="s">
        <v>31050</v>
      </c>
      <c r="K11159" t="s">
        <v>40283</v>
      </c>
      <c r="M11159" t="s">
        <v>42759</v>
      </c>
      <c r="N11159" t="s">
        <v>44759</v>
      </c>
      <c r="O11159" t="s">
        <v>44760</v>
      </c>
      <c r="P11159">
        <v>0</v>
      </c>
      <c r="Q11159">
        <v>0</v>
      </c>
      <c r="R11159" t="s">
        <v>44774</v>
      </c>
      <c r="S11159" t="s">
        <v>45266</v>
      </c>
      <c r="T11159" t="s">
        <v>46357</v>
      </c>
      <c r="U11159" t="s">
        <v>56115</v>
      </c>
      <c r="W11159" t="s">
        <v>42759</v>
      </c>
      <c r="X11159" t="s">
        <v>44775</v>
      </c>
    </row>
    <row r="11160" spans="1:24">
      <c r="A11160">
        <f>HYPERLINK("https://www.philgeps.gov.ph/GEPSNONPILOT/Tender/SplashBidNoticeAbstractUI.aspx?menuIndex=3&amp;refID=7126725&amp;Result=3","7126725")</f>
        <v>0</v>
      </c>
      <c r="B11160" t="s">
        <v>2700</v>
      </c>
      <c r="C11160" t="s">
        <v>14356</v>
      </c>
      <c r="D11160" t="s">
        <v>18010</v>
      </c>
      <c r="E11160" t="s">
        <v>27683</v>
      </c>
      <c r="F11160" t="s">
        <v>30900</v>
      </c>
      <c r="G11160" t="s">
        <v>30907</v>
      </c>
      <c r="H11160" t="s">
        <v>30915</v>
      </c>
      <c r="I11160" t="s">
        <v>30919</v>
      </c>
      <c r="J11160" t="s">
        <v>37985</v>
      </c>
      <c r="K11160" t="s">
        <v>40380</v>
      </c>
      <c r="M11160" t="s">
        <v>43473</v>
      </c>
      <c r="N11160" t="s">
        <v>44759</v>
      </c>
      <c r="O11160" t="s">
        <v>44760</v>
      </c>
      <c r="P11160">
        <v>0</v>
      </c>
      <c r="Q11160">
        <v>24</v>
      </c>
      <c r="R11160" t="s">
        <v>44774</v>
      </c>
      <c r="S11160" t="s">
        <v>45266</v>
      </c>
      <c r="T11160" t="s">
        <v>46357</v>
      </c>
      <c r="U11160" t="s">
        <v>56116</v>
      </c>
      <c r="W11160" t="s">
        <v>43473</v>
      </c>
      <c r="X11160" t="s">
        <v>44775</v>
      </c>
    </row>
    <row r="11161" spans="1:24">
      <c r="A11161">
        <f>HYPERLINK("https://www.philgeps.gov.ph/GEPSNONPILOT/Tender/SplashBidNoticeAbstractUI.aspx?menuIndex=3&amp;refID=7126695&amp;Result=3","7126695")</f>
        <v>0</v>
      </c>
      <c r="B11161" t="s">
        <v>2295</v>
      </c>
      <c r="C11161" t="s">
        <v>7748</v>
      </c>
      <c r="D11161" t="s">
        <v>17953</v>
      </c>
      <c r="E11161" t="s">
        <v>27684</v>
      </c>
      <c r="F11161" t="s">
        <v>30900</v>
      </c>
      <c r="G11161" t="s">
        <v>30907</v>
      </c>
      <c r="H11161" t="s">
        <v>30917</v>
      </c>
      <c r="I11161" t="s">
        <v>17295</v>
      </c>
      <c r="J11161" t="s">
        <v>37986</v>
      </c>
      <c r="K11161" t="s">
        <v>40369</v>
      </c>
      <c r="M11161" t="s">
        <v>43010</v>
      </c>
      <c r="N11161" t="s">
        <v>44759</v>
      </c>
      <c r="O11161" t="s">
        <v>44760</v>
      </c>
      <c r="P11161">
        <v>0</v>
      </c>
      <c r="Q11161">
        <v>1</v>
      </c>
      <c r="R11161" t="s">
        <v>44774</v>
      </c>
      <c r="S11161" t="s">
        <v>45266</v>
      </c>
      <c r="T11161" t="s">
        <v>46389</v>
      </c>
      <c r="U11161" t="s">
        <v>56117</v>
      </c>
      <c r="W11161" t="s">
        <v>43010</v>
      </c>
      <c r="X11161" t="s">
        <v>44775</v>
      </c>
    </row>
    <row r="11162" spans="1:24">
      <c r="A11162">
        <f>HYPERLINK("https://www.philgeps.gov.ph/GEPSNONPILOT/Tender/SplashBidNoticeAbstractUI.aspx?menuIndex=3&amp;refID=7126550&amp;Result=3","7126550")</f>
        <v>0</v>
      </c>
      <c r="B11162" t="s">
        <v>3313</v>
      </c>
      <c r="C11162" t="s">
        <v>14357</v>
      </c>
      <c r="D11162" t="s">
        <v>17973</v>
      </c>
      <c r="E11162" t="s">
        <v>18752</v>
      </c>
      <c r="F11162" t="s">
        <v>30900</v>
      </c>
      <c r="G11162" t="s">
        <v>30907</v>
      </c>
      <c r="H11162" t="s">
        <v>30915</v>
      </c>
      <c r="I11162" t="s">
        <v>30919</v>
      </c>
      <c r="J11162" t="s">
        <v>37987</v>
      </c>
      <c r="K11162" t="s">
        <v>40293</v>
      </c>
      <c r="M11162" t="s">
        <v>44169</v>
      </c>
      <c r="N11162" t="s">
        <v>44759</v>
      </c>
      <c r="O11162" t="s">
        <v>44760</v>
      </c>
      <c r="P11162">
        <v>0</v>
      </c>
      <c r="Q11162">
        <v>0</v>
      </c>
      <c r="R11162" t="s">
        <v>44774</v>
      </c>
      <c r="S11162" t="s">
        <v>45266</v>
      </c>
      <c r="T11162" t="s">
        <v>46581</v>
      </c>
      <c r="U11162" t="s">
        <v>56118</v>
      </c>
      <c r="W11162" t="s">
        <v>44169</v>
      </c>
      <c r="X11162" t="s">
        <v>44775</v>
      </c>
    </row>
    <row r="11163" spans="1:24">
      <c r="A11163">
        <f>HYPERLINK("https://www.philgeps.gov.ph/GEPSNONPILOT/Tender/SplashBidNoticeAbstractUI.aspx?menuIndex=3&amp;refID=7126290&amp;Result=3","7126290")</f>
        <v>0</v>
      </c>
      <c r="B11163" t="s">
        <v>2206</v>
      </c>
      <c r="C11163" t="s">
        <v>14358</v>
      </c>
      <c r="D11163" t="s">
        <v>17992</v>
      </c>
      <c r="E11163" t="s">
        <v>27685</v>
      </c>
      <c r="F11163" t="s">
        <v>30900</v>
      </c>
      <c r="G11163" t="s">
        <v>30907</v>
      </c>
      <c r="H11163" t="s">
        <v>30915</v>
      </c>
      <c r="I11163" t="s">
        <v>30919</v>
      </c>
      <c r="J11163" t="s">
        <v>37988</v>
      </c>
      <c r="K11163" t="s">
        <v>40361</v>
      </c>
      <c r="M11163" t="s">
        <v>42914</v>
      </c>
      <c r="N11163" t="s">
        <v>44759</v>
      </c>
      <c r="O11163" t="s">
        <v>44760</v>
      </c>
      <c r="P11163">
        <v>0</v>
      </c>
      <c r="Q11163">
        <v>0</v>
      </c>
      <c r="R11163" t="s">
        <v>44774</v>
      </c>
      <c r="S11163" t="s">
        <v>45266</v>
      </c>
      <c r="T11163" t="s">
        <v>46409</v>
      </c>
      <c r="U11163" t="s">
        <v>56119</v>
      </c>
      <c r="W11163" t="s">
        <v>42914</v>
      </c>
      <c r="X11163" t="s">
        <v>44776</v>
      </c>
    </row>
    <row r="11164" spans="1:24">
      <c r="A11164">
        <f>HYPERLINK("https://www.philgeps.gov.ph/GEPSNONPILOT/Tender/SplashBidNoticeAbstractUI.aspx?menuIndex=3&amp;refID=7126668&amp;Result=3","7126668")</f>
        <v>0</v>
      </c>
      <c r="B11164" t="s">
        <v>1423</v>
      </c>
      <c r="C11164" t="s">
        <v>6402</v>
      </c>
      <c r="D11164" t="s">
        <v>18013</v>
      </c>
      <c r="E11164" t="s">
        <v>27686</v>
      </c>
      <c r="F11164" t="s">
        <v>30900</v>
      </c>
      <c r="G11164" t="s">
        <v>30907</v>
      </c>
      <c r="H11164" t="s">
        <v>30916</v>
      </c>
      <c r="I11164" t="s">
        <v>8123</v>
      </c>
      <c r="J11164" t="s">
        <v>37989</v>
      </c>
      <c r="K11164" t="s">
        <v>40289</v>
      </c>
      <c r="M11164" t="s">
        <v>44166</v>
      </c>
      <c r="N11164" t="s">
        <v>44759</v>
      </c>
      <c r="O11164" t="s">
        <v>44760</v>
      </c>
      <c r="P11164">
        <v>0</v>
      </c>
      <c r="Q11164">
        <v>0</v>
      </c>
      <c r="R11164" t="s">
        <v>44774</v>
      </c>
      <c r="S11164" t="s">
        <v>45266</v>
      </c>
      <c r="T11164" t="s">
        <v>46876</v>
      </c>
      <c r="U11164" t="s">
        <v>56120</v>
      </c>
      <c r="V11164" t="s">
        <v>60376</v>
      </c>
      <c r="W11164" t="s">
        <v>44166</v>
      </c>
      <c r="X11164" t="s">
        <v>44775</v>
      </c>
    </row>
    <row r="11165" spans="1:24">
      <c r="A11165">
        <f>HYPERLINK("https://www.philgeps.gov.ph/GEPSNONPILOT/Tender/SplashBidNoticeAbstractUI.aspx?menuIndex=3&amp;refID=7126660&amp;Result=3","7126660")</f>
        <v>0</v>
      </c>
      <c r="B11165" t="s">
        <v>2154</v>
      </c>
      <c r="C11165" t="s">
        <v>14359</v>
      </c>
      <c r="D11165" t="s">
        <v>17965</v>
      </c>
      <c r="E11165" t="s">
        <v>27687</v>
      </c>
      <c r="F11165" t="s">
        <v>30900</v>
      </c>
      <c r="G11165" t="s">
        <v>30907</v>
      </c>
      <c r="H11165" t="s">
        <v>30916</v>
      </c>
      <c r="I11165" t="s">
        <v>10847</v>
      </c>
      <c r="J11165" t="s">
        <v>37990</v>
      </c>
      <c r="K11165" t="s">
        <v>40283</v>
      </c>
      <c r="M11165" t="s">
        <v>42859</v>
      </c>
      <c r="N11165" t="s">
        <v>44759</v>
      </c>
      <c r="O11165" t="s">
        <v>44760</v>
      </c>
      <c r="P11165">
        <v>0</v>
      </c>
      <c r="Q11165">
        <v>1</v>
      </c>
      <c r="R11165" t="s">
        <v>44774</v>
      </c>
      <c r="S11165" t="s">
        <v>45266</v>
      </c>
      <c r="T11165" t="s">
        <v>46400</v>
      </c>
      <c r="U11165" t="s">
        <v>56121</v>
      </c>
      <c r="W11165" t="s">
        <v>43936</v>
      </c>
      <c r="X11165" t="s">
        <v>44775</v>
      </c>
    </row>
    <row r="11166" spans="1:24">
      <c r="A11166">
        <f>HYPERLINK("https://www.philgeps.gov.ph/GEPSNONPILOT/Tender/SplashBidNoticeAbstractUI.aspx?menuIndex=3&amp;refID=7126709&amp;Result=3","7126709")</f>
        <v>0</v>
      </c>
      <c r="B11166" t="s">
        <v>759</v>
      </c>
      <c r="C11166" t="s">
        <v>14360</v>
      </c>
      <c r="D11166" t="s">
        <v>17978</v>
      </c>
      <c r="E11166" t="s">
        <v>27688</v>
      </c>
      <c r="F11166" t="s">
        <v>30900</v>
      </c>
      <c r="G11166" t="s">
        <v>30907</v>
      </c>
      <c r="H11166" t="s">
        <v>30915</v>
      </c>
      <c r="I11166" t="s">
        <v>30919</v>
      </c>
      <c r="J11166" t="s">
        <v>37938</v>
      </c>
      <c r="K11166" t="s">
        <v>40280</v>
      </c>
      <c r="M11166" t="s">
        <v>41324</v>
      </c>
      <c r="N11166" t="s">
        <v>44759</v>
      </c>
      <c r="O11166" t="s">
        <v>44760</v>
      </c>
      <c r="P11166">
        <v>0</v>
      </c>
      <c r="Q11166">
        <v>1</v>
      </c>
      <c r="R11166" t="s">
        <v>44774</v>
      </c>
      <c r="S11166" t="s">
        <v>45266</v>
      </c>
      <c r="T11166" t="s">
        <v>46373</v>
      </c>
      <c r="U11166" t="s">
        <v>56062</v>
      </c>
      <c r="W11166" t="s">
        <v>41324</v>
      </c>
      <c r="X11166" t="s">
        <v>44775</v>
      </c>
    </row>
    <row r="11167" spans="1:24">
      <c r="A11167">
        <f>HYPERLINK("https://www.philgeps.gov.ph/GEPSNONPILOT/Tender/SplashBidNoticeAbstractUI.aspx?menuIndex=3&amp;refID=7126690&amp;Result=3","7126690")</f>
        <v>0</v>
      </c>
      <c r="B11167" t="s">
        <v>3314</v>
      </c>
      <c r="C11167" t="s">
        <v>14361</v>
      </c>
      <c r="D11167" t="s">
        <v>17957</v>
      </c>
      <c r="E11167" t="s">
        <v>20249</v>
      </c>
      <c r="F11167" t="s">
        <v>30900</v>
      </c>
      <c r="G11167" t="s">
        <v>30907</v>
      </c>
      <c r="H11167" t="s">
        <v>30916</v>
      </c>
      <c r="I11167" t="s">
        <v>30933</v>
      </c>
      <c r="J11167" t="s">
        <v>37991</v>
      </c>
      <c r="K11167" t="s">
        <v>40283</v>
      </c>
      <c r="M11167" t="s">
        <v>44170</v>
      </c>
      <c r="N11167" t="s">
        <v>44759</v>
      </c>
      <c r="O11167" t="s">
        <v>44760</v>
      </c>
      <c r="P11167">
        <v>0</v>
      </c>
      <c r="Q11167">
        <v>0</v>
      </c>
      <c r="R11167" t="s">
        <v>44774</v>
      </c>
      <c r="S11167" t="s">
        <v>45266</v>
      </c>
      <c r="T11167" t="s">
        <v>46553</v>
      </c>
      <c r="U11167" t="s">
        <v>56122</v>
      </c>
      <c r="W11167" t="s">
        <v>44170</v>
      </c>
      <c r="X11167" t="s">
        <v>44775</v>
      </c>
    </row>
    <row r="11168" spans="1:24">
      <c r="A11168">
        <f>HYPERLINK("https://www.philgeps.gov.ph/GEPSNONPILOT/Tender/SplashBidNoticeAbstractUI.aspx?menuIndex=3&amp;refID=7126661&amp;Result=3","7126661")</f>
        <v>0</v>
      </c>
      <c r="B11168" t="s">
        <v>759</v>
      </c>
      <c r="C11168" t="s">
        <v>14362</v>
      </c>
      <c r="D11168" t="s">
        <v>17978</v>
      </c>
      <c r="E11168" t="s">
        <v>27689</v>
      </c>
      <c r="F11168" t="s">
        <v>30900</v>
      </c>
      <c r="G11168" t="s">
        <v>30907</v>
      </c>
      <c r="H11168" t="s">
        <v>30915</v>
      </c>
      <c r="I11168" t="s">
        <v>30919</v>
      </c>
      <c r="J11168" t="s">
        <v>37938</v>
      </c>
      <c r="K11168" t="s">
        <v>40280</v>
      </c>
      <c r="M11168" t="s">
        <v>41324</v>
      </c>
      <c r="N11168" t="s">
        <v>44759</v>
      </c>
      <c r="O11168" t="s">
        <v>44760</v>
      </c>
      <c r="P11168">
        <v>0</v>
      </c>
      <c r="Q11168">
        <v>2</v>
      </c>
      <c r="R11168" t="s">
        <v>44774</v>
      </c>
      <c r="S11168" t="s">
        <v>45266</v>
      </c>
      <c r="T11168" t="s">
        <v>46373</v>
      </c>
      <c r="U11168" t="s">
        <v>56062</v>
      </c>
      <c r="W11168" t="s">
        <v>41324</v>
      </c>
      <c r="X11168" t="s">
        <v>44775</v>
      </c>
    </row>
    <row r="11169" spans="1:24">
      <c r="A11169">
        <f>HYPERLINK("https://www.philgeps.gov.ph/GEPSNONPILOT/Tender/SplashBidNoticeAbstractUI.aspx?menuIndex=3&amp;refID=7126719&amp;Result=3","7126719")</f>
        <v>0</v>
      </c>
      <c r="B11169" t="s">
        <v>1423</v>
      </c>
      <c r="C11169" t="s">
        <v>6402</v>
      </c>
      <c r="D11169" t="s">
        <v>18013</v>
      </c>
      <c r="E11169" t="s">
        <v>27690</v>
      </c>
      <c r="F11169" t="s">
        <v>30900</v>
      </c>
      <c r="G11169" t="s">
        <v>30907</v>
      </c>
      <c r="H11169" t="s">
        <v>30916</v>
      </c>
      <c r="I11169" t="s">
        <v>8123</v>
      </c>
      <c r="J11169" t="s">
        <v>37992</v>
      </c>
      <c r="K11169" t="s">
        <v>40289</v>
      </c>
      <c r="M11169" t="s">
        <v>44166</v>
      </c>
      <c r="N11169" t="s">
        <v>44759</v>
      </c>
      <c r="O11169" t="s">
        <v>44760</v>
      </c>
      <c r="P11169">
        <v>0</v>
      </c>
      <c r="Q11169">
        <v>0</v>
      </c>
      <c r="R11169" t="s">
        <v>44774</v>
      </c>
      <c r="S11169" t="s">
        <v>45266</v>
      </c>
      <c r="T11169" t="s">
        <v>46876</v>
      </c>
      <c r="U11169" t="s">
        <v>56123</v>
      </c>
      <c r="V11169" t="s">
        <v>60377</v>
      </c>
      <c r="W11169" t="s">
        <v>44166</v>
      </c>
      <c r="X11169" t="s">
        <v>44775</v>
      </c>
    </row>
    <row r="11170" spans="1:24">
      <c r="A11170">
        <f>HYPERLINK("https://www.philgeps.gov.ph/GEPSNONPILOT/Tender/SplashBidNoticeAbstractUI.aspx?menuIndex=3&amp;refID=7126626&amp;Result=3","7126626")</f>
        <v>0</v>
      </c>
      <c r="B11170" t="s">
        <v>3000</v>
      </c>
      <c r="C11170" t="s">
        <v>14363</v>
      </c>
      <c r="D11170" t="s">
        <v>18009</v>
      </c>
      <c r="E11170" t="s">
        <v>27691</v>
      </c>
      <c r="F11170" t="s">
        <v>30900</v>
      </c>
      <c r="G11170" t="s">
        <v>30907</v>
      </c>
      <c r="H11170" t="s">
        <v>30916</v>
      </c>
      <c r="I11170" t="s">
        <v>8123</v>
      </c>
      <c r="J11170" t="s">
        <v>37993</v>
      </c>
      <c r="K11170" t="s">
        <v>40283</v>
      </c>
      <c r="M11170" t="s">
        <v>43804</v>
      </c>
      <c r="N11170" t="s">
        <v>44759</v>
      </c>
      <c r="O11170" t="s">
        <v>44760</v>
      </c>
      <c r="P11170">
        <v>0</v>
      </c>
      <c r="Q11170">
        <v>1</v>
      </c>
      <c r="R11170" t="s">
        <v>44774</v>
      </c>
      <c r="S11170" t="s">
        <v>45266</v>
      </c>
      <c r="T11170" t="s">
        <v>46389</v>
      </c>
      <c r="U11170" t="s">
        <v>54846</v>
      </c>
      <c r="W11170" t="s">
        <v>43804</v>
      </c>
      <c r="X11170" t="s">
        <v>44775</v>
      </c>
    </row>
    <row r="11171" spans="1:24">
      <c r="A11171">
        <f>HYPERLINK("https://www.philgeps.gov.ph/GEPSNONPILOT/Tender/SplashBidNoticeAbstractUI.aspx?menuIndex=3&amp;refID=7126642&amp;Result=3","7126642")</f>
        <v>0</v>
      </c>
      <c r="B11171" t="s">
        <v>1423</v>
      </c>
      <c r="C11171" t="s">
        <v>6402</v>
      </c>
      <c r="D11171" t="s">
        <v>18013</v>
      </c>
      <c r="E11171" t="s">
        <v>27692</v>
      </c>
      <c r="F11171" t="s">
        <v>30900</v>
      </c>
      <c r="G11171" t="s">
        <v>30907</v>
      </c>
      <c r="H11171" t="s">
        <v>30916</v>
      </c>
      <c r="I11171" t="s">
        <v>8123</v>
      </c>
      <c r="J11171" t="s">
        <v>37994</v>
      </c>
      <c r="K11171" t="s">
        <v>40289</v>
      </c>
      <c r="M11171" t="s">
        <v>44166</v>
      </c>
      <c r="N11171" t="s">
        <v>44759</v>
      </c>
      <c r="O11171" t="s">
        <v>44760</v>
      </c>
      <c r="P11171">
        <v>0</v>
      </c>
      <c r="Q11171">
        <v>0</v>
      </c>
      <c r="R11171" t="s">
        <v>44774</v>
      </c>
      <c r="S11171" t="s">
        <v>45266</v>
      </c>
      <c r="T11171" t="s">
        <v>46876</v>
      </c>
      <c r="U11171" t="s">
        <v>56124</v>
      </c>
      <c r="V11171" t="s">
        <v>60378</v>
      </c>
      <c r="W11171" t="s">
        <v>44166</v>
      </c>
      <c r="X11171" t="s">
        <v>44775</v>
      </c>
    </row>
    <row r="11172" spans="1:24">
      <c r="A11172">
        <f>HYPERLINK("https://www.philgeps.gov.ph/GEPSNONPILOT/Tender/SplashBidNoticeAbstractUI.aspx?menuIndex=3&amp;refID=7126623&amp;Result=3","7126623")</f>
        <v>0</v>
      </c>
      <c r="B11172" t="s">
        <v>1423</v>
      </c>
      <c r="C11172" t="s">
        <v>6402</v>
      </c>
      <c r="D11172" t="s">
        <v>18013</v>
      </c>
      <c r="E11172" t="s">
        <v>27693</v>
      </c>
      <c r="F11172" t="s">
        <v>30900</v>
      </c>
      <c r="G11172" t="s">
        <v>30907</v>
      </c>
      <c r="H11172" t="s">
        <v>30916</v>
      </c>
      <c r="I11172" t="s">
        <v>8123</v>
      </c>
      <c r="J11172" t="s">
        <v>37995</v>
      </c>
      <c r="K11172" t="s">
        <v>40289</v>
      </c>
      <c r="M11172" t="s">
        <v>44166</v>
      </c>
      <c r="N11172" t="s">
        <v>44759</v>
      </c>
      <c r="O11172" t="s">
        <v>44760</v>
      </c>
      <c r="P11172">
        <v>0</v>
      </c>
      <c r="Q11172">
        <v>0</v>
      </c>
      <c r="R11172" t="s">
        <v>44774</v>
      </c>
      <c r="S11172" t="s">
        <v>45266</v>
      </c>
      <c r="T11172" t="s">
        <v>46876</v>
      </c>
      <c r="U11172" t="s">
        <v>56125</v>
      </c>
      <c r="V11172" t="s">
        <v>60379</v>
      </c>
      <c r="W11172" t="s">
        <v>44166</v>
      </c>
      <c r="X11172" t="s">
        <v>44775</v>
      </c>
    </row>
    <row r="11173" spans="1:24">
      <c r="A11173">
        <f>HYPERLINK("https://www.philgeps.gov.ph/GEPSNONPILOT/Tender/SplashBidNoticeAbstractUI.aspx?menuIndex=3&amp;refID=7126721&amp;Result=3","7126721")</f>
        <v>0</v>
      </c>
      <c r="B11173" t="s">
        <v>3315</v>
      </c>
      <c r="C11173" t="s">
        <v>14364</v>
      </c>
      <c r="D11173" t="s">
        <v>17973</v>
      </c>
      <c r="E11173" t="s">
        <v>18752</v>
      </c>
      <c r="F11173" t="s">
        <v>30900</v>
      </c>
      <c r="G11173" t="s">
        <v>30907</v>
      </c>
      <c r="H11173" t="s">
        <v>30916</v>
      </c>
      <c r="I11173" t="s">
        <v>30933</v>
      </c>
      <c r="J11173" t="s">
        <v>31284</v>
      </c>
      <c r="K11173" t="s">
        <v>40286</v>
      </c>
      <c r="M11173" t="s">
        <v>44171</v>
      </c>
      <c r="N11173" t="s">
        <v>44759</v>
      </c>
      <c r="O11173" t="s">
        <v>44760</v>
      </c>
      <c r="P11173">
        <v>0</v>
      </c>
      <c r="Q11173">
        <v>0</v>
      </c>
      <c r="R11173" t="s">
        <v>44774</v>
      </c>
      <c r="S11173" t="s">
        <v>45266</v>
      </c>
      <c r="T11173" t="s">
        <v>46581</v>
      </c>
      <c r="U11173" t="s">
        <v>56126</v>
      </c>
      <c r="W11173" t="s">
        <v>44171</v>
      </c>
      <c r="X11173" t="s">
        <v>44775</v>
      </c>
    </row>
    <row r="11174" spans="1:24">
      <c r="A11174">
        <f>HYPERLINK("https://www.philgeps.gov.ph/GEPSNONPILOT/Tender/SplashBidNoticeAbstractUI.aspx?menuIndex=3&amp;refID=7126647&amp;Result=3","7126647")</f>
        <v>0</v>
      </c>
      <c r="B11174" t="s">
        <v>2439</v>
      </c>
      <c r="C11174" t="s">
        <v>14365</v>
      </c>
      <c r="D11174" t="s">
        <v>17980</v>
      </c>
      <c r="E11174" t="s">
        <v>20191</v>
      </c>
      <c r="F11174" t="s">
        <v>30900</v>
      </c>
      <c r="G11174" t="s">
        <v>30907</v>
      </c>
      <c r="H11174" t="s">
        <v>30916</v>
      </c>
      <c r="I11174" t="s">
        <v>10602</v>
      </c>
      <c r="J11174" t="s">
        <v>32153</v>
      </c>
      <c r="K11174" t="s">
        <v>40286</v>
      </c>
      <c r="M11174" t="s">
        <v>43170</v>
      </c>
      <c r="N11174" t="s">
        <v>44759</v>
      </c>
      <c r="O11174" t="s">
        <v>44760</v>
      </c>
      <c r="P11174">
        <v>0</v>
      </c>
      <c r="Q11174">
        <v>1</v>
      </c>
      <c r="R11174" t="s">
        <v>44774</v>
      </c>
      <c r="S11174" t="s">
        <v>45266</v>
      </c>
      <c r="T11174" t="s">
        <v>46364</v>
      </c>
      <c r="U11174" t="s">
        <v>52853</v>
      </c>
      <c r="V11174" t="s">
        <v>60380</v>
      </c>
      <c r="W11174" t="s">
        <v>43170</v>
      </c>
      <c r="X11174" t="s">
        <v>44775</v>
      </c>
    </row>
    <row r="11175" spans="1:24">
      <c r="A11175">
        <f>HYPERLINK("https://www.philgeps.gov.ph/GEPSNONPILOT/Tender/SplashBidNoticeAbstractUI.aspx?menuIndex=3&amp;refID=7126657&amp;Result=3","7126657")</f>
        <v>0</v>
      </c>
      <c r="B11175" t="s">
        <v>2494</v>
      </c>
      <c r="C11175" t="s">
        <v>14366</v>
      </c>
      <c r="D11175" t="s">
        <v>17971</v>
      </c>
      <c r="E11175" t="s">
        <v>20215</v>
      </c>
      <c r="F11175" t="s">
        <v>30900</v>
      </c>
      <c r="G11175" t="s">
        <v>30907</v>
      </c>
      <c r="H11175" t="s">
        <v>30915</v>
      </c>
      <c r="I11175" t="s">
        <v>30919</v>
      </c>
      <c r="J11175" t="s">
        <v>37996</v>
      </c>
      <c r="K11175" t="s">
        <v>40342</v>
      </c>
      <c r="M11175" t="s">
        <v>43236</v>
      </c>
      <c r="N11175" t="s">
        <v>44759</v>
      </c>
      <c r="O11175" t="s">
        <v>44760</v>
      </c>
      <c r="Q11175">
        <v>26</v>
      </c>
      <c r="R11175" t="s">
        <v>44774</v>
      </c>
      <c r="S11175" t="s">
        <v>45294</v>
      </c>
      <c r="T11175" t="s">
        <v>46357</v>
      </c>
      <c r="U11175" t="s">
        <v>56127</v>
      </c>
      <c r="V11175" t="s">
        <v>60381</v>
      </c>
      <c r="W11175" t="s">
        <v>43236</v>
      </c>
      <c r="X11175" t="s">
        <v>44775</v>
      </c>
    </row>
    <row r="11176" spans="1:24">
      <c r="A11176">
        <f>HYPERLINK("https://www.philgeps.gov.ph/GEPSNONPILOT/Tender/SplashBidNoticeAbstractUI.aspx?menuIndex=3&amp;refID=7126599&amp;Result=3","7126599")</f>
        <v>0</v>
      </c>
      <c r="B11176" t="s">
        <v>461</v>
      </c>
      <c r="C11176" t="s">
        <v>14367</v>
      </c>
      <c r="D11176" t="s">
        <v>17977</v>
      </c>
      <c r="E11176" t="s">
        <v>27694</v>
      </c>
      <c r="F11176" t="s">
        <v>30900</v>
      </c>
      <c r="G11176" t="s">
        <v>30907</v>
      </c>
      <c r="H11176" t="s">
        <v>30916</v>
      </c>
      <c r="I11176" t="s">
        <v>30939</v>
      </c>
      <c r="J11176" t="s">
        <v>37997</v>
      </c>
      <c r="K11176" t="s">
        <v>40289</v>
      </c>
      <c r="M11176" t="s">
        <v>41019</v>
      </c>
      <c r="N11176" t="s">
        <v>44759</v>
      </c>
      <c r="O11176" t="s">
        <v>44760</v>
      </c>
      <c r="P11176">
        <v>0</v>
      </c>
      <c r="Q11176">
        <v>1</v>
      </c>
      <c r="R11176" t="s">
        <v>44774</v>
      </c>
      <c r="S11176" t="s">
        <v>45266</v>
      </c>
      <c r="T11176" t="s">
        <v>46595</v>
      </c>
      <c r="U11176" t="s">
        <v>56128</v>
      </c>
      <c r="W11176" t="s">
        <v>41019</v>
      </c>
      <c r="X11176" t="s">
        <v>44775</v>
      </c>
    </row>
    <row r="11177" spans="1:24">
      <c r="A11177">
        <f>HYPERLINK("https://www.philgeps.gov.ph/GEPSNONPILOT/Tender/SplashBidNoticeAbstractUI.aspx?menuIndex=3&amp;refID=7126917&amp;Result=3","7126917")</f>
        <v>0</v>
      </c>
      <c r="B11177" t="s">
        <v>1043</v>
      </c>
      <c r="C11177" t="s">
        <v>14368</v>
      </c>
      <c r="D11177" t="s">
        <v>18000</v>
      </c>
      <c r="E11177" t="s">
        <v>27695</v>
      </c>
      <c r="F11177" t="s">
        <v>30900</v>
      </c>
      <c r="G11177" t="s">
        <v>30907</v>
      </c>
      <c r="H11177" t="s">
        <v>30915</v>
      </c>
      <c r="I11177" t="s">
        <v>30919</v>
      </c>
      <c r="J11177" t="s">
        <v>37998</v>
      </c>
      <c r="K11177" t="s">
        <v>40289</v>
      </c>
      <c r="M11177" t="s">
        <v>43271</v>
      </c>
      <c r="N11177" t="s">
        <v>44759</v>
      </c>
      <c r="O11177" t="s">
        <v>44760</v>
      </c>
      <c r="P11177">
        <v>0</v>
      </c>
      <c r="Q11177">
        <v>0</v>
      </c>
      <c r="R11177" t="s">
        <v>44774</v>
      </c>
      <c r="S11177" t="s">
        <v>45266</v>
      </c>
      <c r="T11177" t="s">
        <v>46425</v>
      </c>
      <c r="U11177" t="s">
        <v>56129</v>
      </c>
      <c r="W11177" t="s">
        <v>43271</v>
      </c>
      <c r="X11177" t="s">
        <v>44775</v>
      </c>
    </row>
    <row r="11178" spans="1:24">
      <c r="A11178">
        <f>HYPERLINK("https://www.philgeps.gov.ph/GEPSNONPILOT/Tender/SplashBidNoticeAbstractUI.aspx?menuIndex=3&amp;refID=7126888&amp;Result=3","7126888")</f>
        <v>0</v>
      </c>
      <c r="B11178" t="s">
        <v>781</v>
      </c>
      <c r="C11178" t="s">
        <v>14369</v>
      </c>
      <c r="D11178" t="s">
        <v>17959</v>
      </c>
      <c r="E11178" t="s">
        <v>27696</v>
      </c>
      <c r="F11178" t="s">
        <v>30900</v>
      </c>
      <c r="G11178" t="s">
        <v>30907</v>
      </c>
      <c r="H11178" t="s">
        <v>30916</v>
      </c>
      <c r="I11178" t="s">
        <v>30923</v>
      </c>
      <c r="J11178" t="s">
        <v>37999</v>
      </c>
      <c r="K11178" t="s">
        <v>40284</v>
      </c>
      <c r="M11178" t="s">
        <v>44172</v>
      </c>
      <c r="N11178" t="s">
        <v>44759</v>
      </c>
      <c r="O11178" t="s">
        <v>44760</v>
      </c>
      <c r="P11178">
        <v>0</v>
      </c>
      <c r="Q11178">
        <v>18</v>
      </c>
      <c r="R11178" t="s">
        <v>44774</v>
      </c>
      <c r="S11178" t="s">
        <v>45266</v>
      </c>
      <c r="T11178" t="s">
        <v>46877</v>
      </c>
      <c r="U11178" t="s">
        <v>56130</v>
      </c>
      <c r="V11178" t="s">
        <v>60382</v>
      </c>
      <c r="W11178" t="s">
        <v>44172</v>
      </c>
      <c r="X11178" t="s">
        <v>44775</v>
      </c>
    </row>
    <row r="11179" spans="1:24">
      <c r="A11179">
        <f>HYPERLINK("https://www.philgeps.gov.ph/GEPSNONPILOT/Tender/SplashBidNoticeAbstractUI.aspx?menuIndex=3&amp;refID=7126890&amp;Result=3","7126890")</f>
        <v>0</v>
      </c>
      <c r="B11179" t="s">
        <v>759</v>
      </c>
      <c r="C11179" t="s">
        <v>14370</v>
      </c>
      <c r="D11179" t="s">
        <v>17978</v>
      </c>
      <c r="E11179" t="s">
        <v>27697</v>
      </c>
      <c r="F11179" t="s">
        <v>30900</v>
      </c>
      <c r="G11179" t="s">
        <v>30907</v>
      </c>
      <c r="H11179" t="s">
        <v>30915</v>
      </c>
      <c r="I11179" t="s">
        <v>30919</v>
      </c>
      <c r="J11179" t="s">
        <v>37938</v>
      </c>
      <c r="K11179" t="s">
        <v>40280</v>
      </c>
      <c r="M11179" t="s">
        <v>41324</v>
      </c>
      <c r="N11179" t="s">
        <v>44759</v>
      </c>
      <c r="O11179" t="s">
        <v>44760</v>
      </c>
      <c r="P11179">
        <v>0</v>
      </c>
      <c r="Q11179">
        <v>1</v>
      </c>
      <c r="R11179" t="s">
        <v>44774</v>
      </c>
      <c r="S11179" t="s">
        <v>45266</v>
      </c>
      <c r="T11179" t="s">
        <v>46373</v>
      </c>
      <c r="U11179" t="s">
        <v>56062</v>
      </c>
      <c r="W11179" t="s">
        <v>41324</v>
      </c>
      <c r="X11179" t="s">
        <v>44775</v>
      </c>
    </row>
    <row r="11180" spans="1:24">
      <c r="A11180">
        <f>HYPERLINK("https://www.philgeps.gov.ph/GEPSNONPILOT/Tender/SplashBidNoticeAbstractUI.aspx?menuIndex=3&amp;refID=7126928&amp;Result=3","7126928")</f>
        <v>0</v>
      </c>
      <c r="B11180" t="s">
        <v>264</v>
      </c>
      <c r="C11180" t="s">
        <v>14371</v>
      </c>
      <c r="D11180" t="s">
        <v>17997</v>
      </c>
      <c r="E11180" t="s">
        <v>27698</v>
      </c>
      <c r="F11180" t="s">
        <v>30900</v>
      </c>
      <c r="G11180" t="s">
        <v>30907</v>
      </c>
      <c r="H11180" t="s">
        <v>30915</v>
      </c>
      <c r="I11180" t="s">
        <v>30919</v>
      </c>
      <c r="J11180" t="s">
        <v>38000</v>
      </c>
      <c r="K11180" t="s">
        <v>40292</v>
      </c>
      <c r="M11180" t="s">
        <v>40811</v>
      </c>
      <c r="N11180" t="s">
        <v>44759</v>
      </c>
      <c r="O11180" t="s">
        <v>44760</v>
      </c>
      <c r="P11180">
        <v>0</v>
      </c>
      <c r="Q11180">
        <v>0</v>
      </c>
      <c r="R11180" t="s">
        <v>44774</v>
      </c>
      <c r="S11180" t="s">
        <v>45266</v>
      </c>
      <c r="T11180" t="s">
        <v>46487</v>
      </c>
      <c r="U11180" t="s">
        <v>56131</v>
      </c>
      <c r="W11180" t="s">
        <v>40811</v>
      </c>
      <c r="X11180" t="s">
        <v>44775</v>
      </c>
    </row>
    <row r="11181" spans="1:24">
      <c r="A11181">
        <f>HYPERLINK("https://www.philgeps.gov.ph/GEPSNONPILOT/Tender/SplashBidNoticeAbstractUI.aspx?menuIndex=3&amp;refID=7126923&amp;Result=3","7126923")</f>
        <v>0</v>
      </c>
      <c r="B11181" t="s">
        <v>3316</v>
      </c>
      <c r="C11181" t="s">
        <v>14372</v>
      </c>
      <c r="D11181" t="s">
        <v>17959</v>
      </c>
      <c r="E11181" t="s">
        <v>27699</v>
      </c>
      <c r="F11181" t="s">
        <v>30899</v>
      </c>
      <c r="G11181" t="s">
        <v>30907</v>
      </c>
      <c r="H11181" t="s">
        <v>30916</v>
      </c>
      <c r="I11181" t="s">
        <v>6396</v>
      </c>
      <c r="J11181" t="s">
        <v>38001</v>
      </c>
      <c r="K11181" t="s">
        <v>40286</v>
      </c>
      <c r="M11181" t="s">
        <v>44173</v>
      </c>
      <c r="N11181" t="s">
        <v>44759</v>
      </c>
      <c r="O11181" t="s">
        <v>44760</v>
      </c>
      <c r="P11181">
        <v>0</v>
      </c>
      <c r="Q11181">
        <v>1</v>
      </c>
      <c r="R11181" t="s">
        <v>44774</v>
      </c>
      <c r="S11181" t="s">
        <v>45266</v>
      </c>
      <c r="T11181" t="s">
        <v>46531</v>
      </c>
      <c r="U11181" t="s">
        <v>56132</v>
      </c>
      <c r="V11181" t="s">
        <v>60383</v>
      </c>
      <c r="W11181" t="s">
        <v>44173</v>
      </c>
      <c r="X11181" t="s">
        <v>44775</v>
      </c>
    </row>
    <row r="11182" spans="1:24">
      <c r="A11182">
        <f>HYPERLINK("https://www.philgeps.gov.ph/GEPSNONPILOT/Tender/SplashBidNoticeAbstractUI.aspx?menuIndex=3&amp;refID=7126859&amp;Result=3","7126859")</f>
        <v>0</v>
      </c>
      <c r="B11182" t="s">
        <v>2636</v>
      </c>
      <c r="C11182" t="s">
        <v>14373</v>
      </c>
      <c r="D11182" t="s">
        <v>18003</v>
      </c>
      <c r="E11182" t="s">
        <v>27700</v>
      </c>
      <c r="F11182" t="s">
        <v>30900</v>
      </c>
      <c r="G11182" t="s">
        <v>30907</v>
      </c>
      <c r="H11182" t="s">
        <v>30917</v>
      </c>
      <c r="I11182" t="s">
        <v>7411</v>
      </c>
      <c r="J11182" t="s">
        <v>35229</v>
      </c>
      <c r="K11182" t="s">
        <v>40286</v>
      </c>
      <c r="M11182" t="s">
        <v>43402</v>
      </c>
      <c r="N11182" t="s">
        <v>44759</v>
      </c>
      <c r="O11182" t="s">
        <v>44760</v>
      </c>
      <c r="P11182">
        <v>0</v>
      </c>
      <c r="Q11182">
        <v>6</v>
      </c>
      <c r="R11182" t="s">
        <v>44774</v>
      </c>
      <c r="S11182" t="s">
        <v>45266</v>
      </c>
      <c r="T11182" t="s">
        <v>46488</v>
      </c>
      <c r="U11182" t="s">
        <v>56133</v>
      </c>
      <c r="W11182" t="s">
        <v>43402</v>
      </c>
      <c r="X11182" t="s">
        <v>44775</v>
      </c>
    </row>
    <row r="11183" spans="1:24">
      <c r="A11183">
        <f>HYPERLINK("https://www.philgeps.gov.ph/GEPSNONPILOT/Tender/SplashBidNoticeAbstractUI.aspx?menuIndex=3&amp;refID=7126837&amp;Result=3","7126837")</f>
        <v>0</v>
      </c>
      <c r="B11183" t="s">
        <v>3316</v>
      </c>
      <c r="C11183" t="s">
        <v>14374</v>
      </c>
      <c r="D11183" t="s">
        <v>17959</v>
      </c>
      <c r="E11183" t="s">
        <v>27701</v>
      </c>
      <c r="F11183" t="s">
        <v>30899</v>
      </c>
      <c r="G11183" t="s">
        <v>30907</v>
      </c>
      <c r="H11183" t="s">
        <v>30916</v>
      </c>
      <c r="I11183" t="s">
        <v>6396</v>
      </c>
      <c r="J11183" t="s">
        <v>38002</v>
      </c>
      <c r="K11183" t="s">
        <v>40286</v>
      </c>
      <c r="M11183" t="s">
        <v>44173</v>
      </c>
      <c r="N11183" t="s">
        <v>44759</v>
      </c>
      <c r="O11183" t="s">
        <v>44760</v>
      </c>
      <c r="P11183">
        <v>0</v>
      </c>
      <c r="Q11183">
        <v>1</v>
      </c>
      <c r="R11183" t="s">
        <v>44774</v>
      </c>
      <c r="S11183" t="s">
        <v>45266</v>
      </c>
      <c r="T11183" t="s">
        <v>46607</v>
      </c>
      <c r="U11183" t="s">
        <v>56134</v>
      </c>
      <c r="V11183" t="s">
        <v>60383</v>
      </c>
      <c r="W11183" t="s">
        <v>44173</v>
      </c>
      <c r="X11183" t="s">
        <v>44775</v>
      </c>
    </row>
    <row r="11184" spans="1:24">
      <c r="A11184">
        <f>HYPERLINK("https://www.philgeps.gov.ph/GEPSNONPILOT/Tender/SplashBidNoticeAbstractUI.aspx?menuIndex=3&amp;refID=7126604&amp;Result=3","7126604")</f>
        <v>0</v>
      </c>
      <c r="B11184" t="s">
        <v>691</v>
      </c>
      <c r="C11184" t="s">
        <v>14375</v>
      </c>
      <c r="D11184" t="s">
        <v>17953</v>
      </c>
      <c r="E11184" t="s">
        <v>27702</v>
      </c>
      <c r="F11184" t="s">
        <v>30900</v>
      </c>
      <c r="G11184" t="s">
        <v>30907</v>
      </c>
      <c r="H11184" t="s">
        <v>30915</v>
      </c>
      <c r="I11184" t="s">
        <v>30919</v>
      </c>
      <c r="J11184" t="s">
        <v>38003</v>
      </c>
      <c r="K11184" t="s">
        <v>40292</v>
      </c>
      <c r="M11184" t="s">
        <v>44157</v>
      </c>
      <c r="N11184" t="s">
        <v>44759</v>
      </c>
      <c r="O11184" t="s">
        <v>44760</v>
      </c>
      <c r="P11184">
        <v>0</v>
      </c>
      <c r="Q11184">
        <v>2</v>
      </c>
      <c r="R11184" t="s">
        <v>44774</v>
      </c>
      <c r="S11184" t="s">
        <v>45266</v>
      </c>
      <c r="T11184" t="s">
        <v>46424</v>
      </c>
      <c r="U11184" t="s">
        <v>56135</v>
      </c>
      <c r="V11184" t="s">
        <v>60370</v>
      </c>
      <c r="W11184" t="s">
        <v>44157</v>
      </c>
      <c r="X11184" t="s">
        <v>44775</v>
      </c>
    </row>
    <row r="11185" spans="1:24">
      <c r="A11185">
        <f>HYPERLINK("https://www.philgeps.gov.ph/GEPSNONPILOT/Tender/SplashBidNoticeAbstractUI.aspx?menuIndex=3&amp;refID=7126659&amp;Result=3","7126659")</f>
        <v>0</v>
      </c>
      <c r="B11185" t="s">
        <v>264</v>
      </c>
      <c r="C11185" t="s">
        <v>14376</v>
      </c>
      <c r="D11185" t="s">
        <v>17997</v>
      </c>
      <c r="E11185" t="s">
        <v>27703</v>
      </c>
      <c r="F11185" t="s">
        <v>30900</v>
      </c>
      <c r="G11185" t="s">
        <v>30907</v>
      </c>
      <c r="H11185" t="s">
        <v>30915</v>
      </c>
      <c r="I11185" t="s">
        <v>7411</v>
      </c>
      <c r="J11185" t="s">
        <v>38004</v>
      </c>
      <c r="K11185" t="s">
        <v>40280</v>
      </c>
      <c r="M11185" t="s">
        <v>40811</v>
      </c>
      <c r="N11185" t="s">
        <v>44759</v>
      </c>
      <c r="O11185" t="s">
        <v>44760</v>
      </c>
      <c r="P11185">
        <v>0</v>
      </c>
      <c r="Q11185">
        <v>0</v>
      </c>
      <c r="R11185" t="s">
        <v>44774</v>
      </c>
      <c r="S11185" t="s">
        <v>45266</v>
      </c>
      <c r="T11185" t="s">
        <v>46487</v>
      </c>
      <c r="U11185" t="s">
        <v>56136</v>
      </c>
      <c r="W11185" t="s">
        <v>40811</v>
      </c>
      <c r="X11185" t="s">
        <v>44775</v>
      </c>
    </row>
    <row r="11186" spans="1:24">
      <c r="A11186">
        <f>HYPERLINK("https://www.philgeps.gov.ph/GEPSNONPILOT/Tender/SplashBidNoticeAbstractUI.aspx?menuIndex=3&amp;refID=7126825&amp;Result=3","7126825")</f>
        <v>0</v>
      </c>
      <c r="B11186" t="s">
        <v>3317</v>
      </c>
      <c r="C11186" t="s">
        <v>14377</v>
      </c>
      <c r="D11186" t="s">
        <v>18021</v>
      </c>
      <c r="E11186" t="s">
        <v>27704</v>
      </c>
      <c r="F11186" t="s">
        <v>30900</v>
      </c>
      <c r="G11186" t="s">
        <v>30907</v>
      </c>
      <c r="H11186" t="s">
        <v>30915</v>
      </c>
      <c r="I11186" t="s">
        <v>8123</v>
      </c>
      <c r="J11186" t="s">
        <v>38005</v>
      </c>
      <c r="K11186" t="s">
        <v>40286</v>
      </c>
      <c r="M11186" t="s">
        <v>44174</v>
      </c>
      <c r="N11186" t="s">
        <v>44759</v>
      </c>
      <c r="O11186" t="s">
        <v>44760</v>
      </c>
      <c r="P11186">
        <v>0</v>
      </c>
      <c r="Q11186">
        <v>0</v>
      </c>
      <c r="R11186" t="s">
        <v>44774</v>
      </c>
      <c r="S11186" t="s">
        <v>45266</v>
      </c>
      <c r="T11186" t="s">
        <v>46548</v>
      </c>
      <c r="U11186" t="s">
        <v>56137</v>
      </c>
      <c r="V11186" t="s">
        <v>60384</v>
      </c>
      <c r="W11186" t="s">
        <v>44174</v>
      </c>
      <c r="X11186" t="s">
        <v>44775</v>
      </c>
    </row>
    <row r="11187" spans="1:24">
      <c r="A11187">
        <f>HYPERLINK("https://www.philgeps.gov.ph/GEPSNONPILOT/Tender/SplashBidNoticeAbstractUI.aspx?menuIndex=3&amp;refID=7126801&amp;Result=3","7126801")</f>
        <v>0</v>
      </c>
      <c r="B11187" t="s">
        <v>759</v>
      </c>
      <c r="C11187" t="s">
        <v>14378</v>
      </c>
      <c r="D11187" t="s">
        <v>17978</v>
      </c>
      <c r="E11187" t="s">
        <v>27705</v>
      </c>
      <c r="F11187" t="s">
        <v>30900</v>
      </c>
      <c r="G11187" t="s">
        <v>30907</v>
      </c>
      <c r="H11187" t="s">
        <v>30915</v>
      </c>
      <c r="I11187" t="s">
        <v>30919</v>
      </c>
      <c r="J11187" t="s">
        <v>37938</v>
      </c>
      <c r="K11187" t="s">
        <v>40280</v>
      </c>
      <c r="M11187" t="s">
        <v>41324</v>
      </c>
      <c r="N11187" t="s">
        <v>44759</v>
      </c>
      <c r="O11187" t="s">
        <v>44760</v>
      </c>
      <c r="P11187">
        <v>0</v>
      </c>
      <c r="Q11187">
        <v>1</v>
      </c>
      <c r="R11187" t="s">
        <v>44774</v>
      </c>
      <c r="S11187" t="s">
        <v>45266</v>
      </c>
      <c r="T11187" t="s">
        <v>46373</v>
      </c>
      <c r="U11187" t="s">
        <v>56062</v>
      </c>
      <c r="W11187" t="s">
        <v>41324</v>
      </c>
      <c r="X11187" t="s">
        <v>44775</v>
      </c>
    </row>
    <row r="11188" spans="1:24">
      <c r="A11188">
        <f>HYPERLINK("https://www.philgeps.gov.ph/GEPSNONPILOT/Tender/SplashBidNoticeAbstractUI.aspx?menuIndex=3&amp;refID=7126790&amp;Result=3","7126790")</f>
        <v>0</v>
      </c>
      <c r="B11188" t="s">
        <v>1140</v>
      </c>
      <c r="C11188" t="s">
        <v>14379</v>
      </c>
      <c r="D11188" t="s">
        <v>17952</v>
      </c>
      <c r="E11188" t="s">
        <v>27706</v>
      </c>
      <c r="F11188" t="s">
        <v>30900</v>
      </c>
      <c r="G11188" t="s">
        <v>30907</v>
      </c>
      <c r="H11188" t="s">
        <v>30916</v>
      </c>
      <c r="I11188" t="s">
        <v>30933</v>
      </c>
      <c r="J11188" t="s">
        <v>31241</v>
      </c>
      <c r="K11188" t="s">
        <v>40280</v>
      </c>
      <c r="M11188" t="s">
        <v>41745</v>
      </c>
      <c r="N11188" t="s">
        <v>44759</v>
      </c>
      <c r="O11188" t="s">
        <v>44760</v>
      </c>
      <c r="Q11188">
        <v>6</v>
      </c>
      <c r="R11188" t="s">
        <v>44774</v>
      </c>
      <c r="S11188" t="s">
        <v>44912</v>
      </c>
      <c r="T11188" t="s">
        <v>46472</v>
      </c>
      <c r="U11188" t="s">
        <v>56138</v>
      </c>
      <c r="W11188" t="s">
        <v>41745</v>
      </c>
      <c r="X11188" t="s">
        <v>44775</v>
      </c>
    </row>
    <row r="11189" spans="1:24">
      <c r="A11189">
        <f>HYPERLINK("https://www.philgeps.gov.ph/GEPSNONPILOT/Tender/SplashBidNoticeAbstractUI.aspx?menuIndex=3&amp;refID=7126794&amp;Result=3","7126794")</f>
        <v>0</v>
      </c>
      <c r="B11189" t="s">
        <v>3316</v>
      </c>
      <c r="C11189" t="s">
        <v>14380</v>
      </c>
      <c r="D11189" t="s">
        <v>17959</v>
      </c>
      <c r="E11189" t="s">
        <v>27707</v>
      </c>
      <c r="F11189" t="s">
        <v>30899</v>
      </c>
      <c r="G11189" t="s">
        <v>30907</v>
      </c>
      <c r="H11189" t="s">
        <v>30916</v>
      </c>
      <c r="I11189" t="s">
        <v>6396</v>
      </c>
      <c r="J11189" t="s">
        <v>38006</v>
      </c>
      <c r="K11189" t="s">
        <v>40286</v>
      </c>
      <c r="M11189" t="s">
        <v>44173</v>
      </c>
      <c r="N11189" t="s">
        <v>44759</v>
      </c>
      <c r="O11189" t="s">
        <v>44760</v>
      </c>
      <c r="P11189">
        <v>0</v>
      </c>
      <c r="Q11189">
        <v>1</v>
      </c>
      <c r="R11189" t="s">
        <v>44774</v>
      </c>
      <c r="S11189" t="s">
        <v>45266</v>
      </c>
      <c r="T11189" t="s">
        <v>46403</v>
      </c>
      <c r="U11189" t="s">
        <v>56139</v>
      </c>
      <c r="V11189" t="s">
        <v>60383</v>
      </c>
      <c r="W11189" t="s">
        <v>44173</v>
      </c>
      <c r="X11189" t="s">
        <v>44775</v>
      </c>
    </row>
    <row r="11190" spans="1:24">
      <c r="A11190">
        <f>HYPERLINK("https://www.philgeps.gov.ph/GEPSNONPILOT/Tender/SplashBidNoticeAbstractUI.aspx?menuIndex=3&amp;refID=7126783&amp;Result=3","7126783")</f>
        <v>0</v>
      </c>
      <c r="B11190" t="s">
        <v>2310</v>
      </c>
      <c r="C11190" t="s">
        <v>14381</v>
      </c>
      <c r="D11190" t="s">
        <v>17952</v>
      </c>
      <c r="E11190" t="s">
        <v>24065</v>
      </c>
      <c r="F11190" t="s">
        <v>30900</v>
      </c>
      <c r="G11190" t="s">
        <v>30907</v>
      </c>
      <c r="H11190" t="s">
        <v>30915</v>
      </c>
      <c r="I11190" t="s">
        <v>30919</v>
      </c>
      <c r="J11190" t="s">
        <v>31412</v>
      </c>
      <c r="K11190" t="s">
        <v>40302</v>
      </c>
      <c r="M11190" t="s">
        <v>43028</v>
      </c>
      <c r="N11190" t="s">
        <v>44759</v>
      </c>
      <c r="O11190" t="s">
        <v>44760</v>
      </c>
      <c r="P11190">
        <v>0</v>
      </c>
      <c r="Q11190">
        <v>1</v>
      </c>
      <c r="R11190" t="s">
        <v>44774</v>
      </c>
      <c r="S11190" t="s">
        <v>45266</v>
      </c>
      <c r="T11190" t="s">
        <v>46366</v>
      </c>
      <c r="U11190" t="s">
        <v>56140</v>
      </c>
      <c r="W11190" t="s">
        <v>43028</v>
      </c>
      <c r="X11190" t="s">
        <v>44775</v>
      </c>
    </row>
    <row r="11191" spans="1:24">
      <c r="A11191">
        <f>HYPERLINK("https://www.philgeps.gov.ph/GEPSNONPILOT/Tender/SplashBidNoticeAbstractUI.aspx?menuIndex=3&amp;refID=7126753&amp;Result=3","7126753")</f>
        <v>0</v>
      </c>
      <c r="B11191" t="s">
        <v>836</v>
      </c>
      <c r="C11191" t="s">
        <v>14382</v>
      </c>
      <c r="D11191" t="s">
        <v>17952</v>
      </c>
      <c r="E11191" t="s">
        <v>27708</v>
      </c>
      <c r="F11191" t="s">
        <v>30900</v>
      </c>
      <c r="G11191" t="s">
        <v>30907</v>
      </c>
      <c r="H11191" t="s">
        <v>30916</v>
      </c>
      <c r="I11191" t="s">
        <v>30924</v>
      </c>
      <c r="J11191" t="s">
        <v>38007</v>
      </c>
      <c r="K11191" t="s">
        <v>40286</v>
      </c>
      <c r="M11191" t="s">
        <v>41409</v>
      </c>
      <c r="N11191" t="s">
        <v>44759</v>
      </c>
      <c r="O11191" t="s">
        <v>44760</v>
      </c>
      <c r="P11191">
        <v>0</v>
      </c>
      <c r="Q11191">
        <v>8</v>
      </c>
      <c r="R11191" t="s">
        <v>44774</v>
      </c>
      <c r="S11191" t="s">
        <v>45266</v>
      </c>
      <c r="T11191" t="s">
        <v>46752</v>
      </c>
      <c r="U11191" t="s">
        <v>56141</v>
      </c>
      <c r="W11191" t="s">
        <v>41409</v>
      </c>
      <c r="X11191" t="s">
        <v>44775</v>
      </c>
    </row>
    <row r="11192" spans="1:24">
      <c r="A11192">
        <f>HYPERLINK("https://www.philgeps.gov.ph/GEPSNONPILOT/Tender/SplashBidNoticeAbstractUI.aspx?menuIndex=3&amp;refID=7126758&amp;Result=3","7126758")</f>
        <v>0</v>
      </c>
      <c r="B11192" t="s">
        <v>759</v>
      </c>
      <c r="C11192" t="s">
        <v>14383</v>
      </c>
      <c r="D11192" t="s">
        <v>17978</v>
      </c>
      <c r="E11192" t="s">
        <v>27709</v>
      </c>
      <c r="F11192" t="s">
        <v>30900</v>
      </c>
      <c r="G11192" t="s">
        <v>30907</v>
      </c>
      <c r="H11192" t="s">
        <v>30915</v>
      </c>
      <c r="I11192" t="s">
        <v>30919</v>
      </c>
      <c r="J11192" t="s">
        <v>37938</v>
      </c>
      <c r="K11192" t="s">
        <v>40280</v>
      </c>
      <c r="M11192" t="s">
        <v>41324</v>
      </c>
      <c r="N11192" t="s">
        <v>44759</v>
      </c>
      <c r="O11192" t="s">
        <v>44760</v>
      </c>
      <c r="P11192">
        <v>0</v>
      </c>
      <c r="Q11192">
        <v>1</v>
      </c>
      <c r="R11192" t="s">
        <v>44774</v>
      </c>
      <c r="S11192" t="s">
        <v>45266</v>
      </c>
      <c r="T11192" t="s">
        <v>46373</v>
      </c>
      <c r="U11192" t="s">
        <v>56062</v>
      </c>
      <c r="W11192" t="s">
        <v>41324</v>
      </c>
      <c r="X11192" t="s">
        <v>44775</v>
      </c>
    </row>
    <row r="11193" spans="1:24">
      <c r="A11193">
        <f>HYPERLINK("https://www.philgeps.gov.ph/GEPSNONPILOT/Tender/SplashBidNoticeAbstractUI.aspx?menuIndex=3&amp;refID=7126734&amp;Result=3","7126734")</f>
        <v>0</v>
      </c>
      <c r="B11193" t="s">
        <v>2439</v>
      </c>
      <c r="C11193" t="s">
        <v>14384</v>
      </c>
      <c r="D11193" t="s">
        <v>17980</v>
      </c>
      <c r="E11193" t="s">
        <v>20212</v>
      </c>
      <c r="F11193" t="s">
        <v>30900</v>
      </c>
      <c r="G11193" t="s">
        <v>30907</v>
      </c>
      <c r="H11193" t="s">
        <v>30916</v>
      </c>
      <c r="I11193" t="s">
        <v>6953</v>
      </c>
      <c r="J11193" t="s">
        <v>38008</v>
      </c>
      <c r="K11193" t="s">
        <v>40286</v>
      </c>
      <c r="M11193" t="s">
        <v>43170</v>
      </c>
      <c r="N11193" t="s">
        <v>44759</v>
      </c>
      <c r="O11193" t="s">
        <v>44760</v>
      </c>
      <c r="P11193">
        <v>0</v>
      </c>
      <c r="Q11193">
        <v>0</v>
      </c>
      <c r="R11193" t="s">
        <v>44774</v>
      </c>
      <c r="S11193" t="s">
        <v>45266</v>
      </c>
      <c r="T11193" t="s">
        <v>46532</v>
      </c>
      <c r="U11193" t="s">
        <v>52853</v>
      </c>
      <c r="V11193" t="s">
        <v>60373</v>
      </c>
      <c r="W11193" t="s">
        <v>43170</v>
      </c>
      <c r="X11193" t="s">
        <v>44775</v>
      </c>
    </row>
    <row r="11194" spans="1:24">
      <c r="A11194">
        <f>HYPERLINK("https://www.philgeps.gov.ph/GEPSNONPILOT/Tender/SplashBidNoticeAbstractUI.aspx?menuIndex=3&amp;refID=7126864&amp;Result=3","7126864")</f>
        <v>0</v>
      </c>
      <c r="B11194" t="s">
        <v>2808</v>
      </c>
      <c r="C11194" t="s">
        <v>14385</v>
      </c>
      <c r="D11194" t="s">
        <v>17957</v>
      </c>
      <c r="E11194" t="s">
        <v>6386</v>
      </c>
      <c r="F11194" t="s">
        <v>30900</v>
      </c>
      <c r="G11194" t="s">
        <v>30907</v>
      </c>
      <c r="H11194" t="s">
        <v>30915</v>
      </c>
      <c r="I11194" t="s">
        <v>30919</v>
      </c>
      <c r="J11194" t="s">
        <v>38009</v>
      </c>
      <c r="K11194" t="s">
        <v>40349</v>
      </c>
      <c r="M11194" t="s">
        <v>43593</v>
      </c>
      <c r="N11194" t="s">
        <v>44759</v>
      </c>
      <c r="O11194" t="s">
        <v>44760</v>
      </c>
      <c r="P11194">
        <v>0</v>
      </c>
      <c r="Q11194">
        <v>1</v>
      </c>
      <c r="R11194" t="s">
        <v>44774</v>
      </c>
      <c r="S11194" t="s">
        <v>45266</v>
      </c>
      <c r="T11194" t="s">
        <v>46352</v>
      </c>
      <c r="U11194" t="s">
        <v>56142</v>
      </c>
      <c r="W11194" t="s">
        <v>43593</v>
      </c>
      <c r="X11194" t="s">
        <v>44775</v>
      </c>
    </row>
    <row r="11195" spans="1:24">
      <c r="A11195">
        <f>HYPERLINK("https://www.philgeps.gov.ph/GEPSNONPILOT/Tender/SplashBidNoticeAbstractUI.aspx?menuIndex=3&amp;refID=7126766&amp;Result=3","7126766")</f>
        <v>0</v>
      </c>
      <c r="B11195" t="s">
        <v>943</v>
      </c>
      <c r="C11195" t="s">
        <v>14386</v>
      </c>
      <c r="D11195" t="s">
        <v>17957</v>
      </c>
      <c r="E11195" t="s">
        <v>27710</v>
      </c>
      <c r="F11195" t="s">
        <v>30900</v>
      </c>
      <c r="G11195" t="s">
        <v>30907</v>
      </c>
      <c r="H11195" t="s">
        <v>30916</v>
      </c>
      <c r="I11195" t="s">
        <v>30936</v>
      </c>
      <c r="J11195" t="s">
        <v>34657</v>
      </c>
      <c r="K11195" t="s">
        <v>40286</v>
      </c>
      <c r="M11195" t="s">
        <v>41527</v>
      </c>
      <c r="N11195" t="s">
        <v>44759</v>
      </c>
      <c r="O11195" t="s">
        <v>44760</v>
      </c>
      <c r="P11195">
        <v>0</v>
      </c>
      <c r="Q11195">
        <v>1</v>
      </c>
      <c r="R11195" t="s">
        <v>44774</v>
      </c>
      <c r="S11195" t="s">
        <v>45266</v>
      </c>
      <c r="T11195" t="s">
        <v>46395</v>
      </c>
      <c r="U11195" t="s">
        <v>56143</v>
      </c>
      <c r="W11195" t="s">
        <v>41527</v>
      </c>
      <c r="X11195" t="s">
        <v>44775</v>
      </c>
    </row>
    <row r="11196" spans="1:24">
      <c r="A11196">
        <f>HYPERLINK("https://www.philgeps.gov.ph/GEPSNONPILOT/Tender/SplashBidNoticeAbstractUI.aspx?menuIndex=3&amp;refID=7126840&amp;Result=3","7126840")</f>
        <v>0</v>
      </c>
      <c r="B11196" t="s">
        <v>3318</v>
      </c>
      <c r="C11196" t="s">
        <v>14387</v>
      </c>
      <c r="D11196" t="s">
        <v>17973</v>
      </c>
      <c r="E11196" t="s">
        <v>27711</v>
      </c>
      <c r="F11196" t="s">
        <v>30900</v>
      </c>
      <c r="G11196" t="s">
        <v>30907</v>
      </c>
      <c r="H11196" t="s">
        <v>30916</v>
      </c>
      <c r="I11196" t="s">
        <v>30924</v>
      </c>
      <c r="J11196" t="s">
        <v>31407</v>
      </c>
      <c r="K11196" t="s">
        <v>40286</v>
      </c>
      <c r="M11196" t="s">
        <v>44175</v>
      </c>
      <c r="N11196" t="s">
        <v>44759</v>
      </c>
      <c r="O11196" t="s">
        <v>44760</v>
      </c>
      <c r="Q11196">
        <v>9</v>
      </c>
      <c r="R11196" t="s">
        <v>44774</v>
      </c>
      <c r="S11196" t="s">
        <v>45295</v>
      </c>
      <c r="T11196" t="s">
        <v>46442</v>
      </c>
      <c r="U11196" t="s">
        <v>56144</v>
      </c>
      <c r="W11196" t="s">
        <v>44175</v>
      </c>
      <c r="X11196" t="s">
        <v>44775</v>
      </c>
    </row>
    <row r="11197" spans="1:24">
      <c r="A11197">
        <f>HYPERLINK("https://www.philgeps.gov.ph/GEPSNONPILOT/Tender/SplashBidNoticeAbstractUI.aspx?menuIndex=3&amp;refID=7126931&amp;Result=3","7126931")</f>
        <v>0</v>
      </c>
      <c r="B11197" t="s">
        <v>2232</v>
      </c>
      <c r="C11197" t="s">
        <v>14388</v>
      </c>
      <c r="D11197" t="s">
        <v>17973</v>
      </c>
      <c r="E11197" t="s">
        <v>27712</v>
      </c>
      <c r="F11197" t="s">
        <v>30900</v>
      </c>
      <c r="G11197" t="s">
        <v>30907</v>
      </c>
      <c r="H11197" t="s">
        <v>30916</v>
      </c>
      <c r="I11197" t="s">
        <v>30924</v>
      </c>
      <c r="J11197" t="s">
        <v>31049</v>
      </c>
      <c r="K11197" t="s">
        <v>40283</v>
      </c>
      <c r="M11197" t="s">
        <v>42942</v>
      </c>
      <c r="N11197" t="s">
        <v>44759</v>
      </c>
      <c r="O11197" t="s">
        <v>44760</v>
      </c>
      <c r="P11197">
        <v>0</v>
      </c>
      <c r="Q11197">
        <v>0</v>
      </c>
      <c r="R11197" t="s">
        <v>44774</v>
      </c>
      <c r="S11197" t="s">
        <v>45266</v>
      </c>
      <c r="T11197" t="s">
        <v>46389</v>
      </c>
      <c r="U11197" t="s">
        <v>56145</v>
      </c>
      <c r="W11197" t="s">
        <v>42942</v>
      </c>
      <c r="X11197" t="s">
        <v>44775</v>
      </c>
    </row>
    <row r="11198" spans="1:24">
      <c r="A11198">
        <f>HYPERLINK("https://www.philgeps.gov.ph/GEPSNONPILOT/Tender/SplashBidNoticeAbstractUI.aspx?menuIndex=3&amp;refID=7126750&amp;Result=3","7126750")</f>
        <v>0</v>
      </c>
      <c r="B11198" t="s">
        <v>2310</v>
      </c>
      <c r="C11198" t="s">
        <v>14389</v>
      </c>
      <c r="D11198" t="s">
        <v>17952</v>
      </c>
      <c r="E11198" t="s">
        <v>27713</v>
      </c>
      <c r="F11198" t="s">
        <v>30900</v>
      </c>
      <c r="G11198" t="s">
        <v>30907</v>
      </c>
      <c r="H11198" t="s">
        <v>30915</v>
      </c>
      <c r="I11198" t="s">
        <v>30919</v>
      </c>
      <c r="J11198" t="s">
        <v>38010</v>
      </c>
      <c r="K11198" t="s">
        <v>40290</v>
      </c>
      <c r="M11198" t="s">
        <v>43028</v>
      </c>
      <c r="N11198" t="s">
        <v>44759</v>
      </c>
      <c r="O11198" t="s">
        <v>44760</v>
      </c>
      <c r="P11198">
        <v>0</v>
      </c>
      <c r="Q11198">
        <v>1</v>
      </c>
      <c r="R11198" t="s">
        <v>44774</v>
      </c>
      <c r="S11198" t="s">
        <v>45266</v>
      </c>
      <c r="T11198" t="s">
        <v>46366</v>
      </c>
      <c r="U11198" t="s">
        <v>56146</v>
      </c>
      <c r="W11198" t="s">
        <v>43028</v>
      </c>
      <c r="X11198" t="s">
        <v>44775</v>
      </c>
    </row>
    <row r="11199" spans="1:24">
      <c r="A11199">
        <f>HYPERLINK("https://www.philgeps.gov.ph/GEPSNONPILOT/Tender/SplashBidNoticeAbstractUI.aspx?menuIndex=3&amp;refID=7126592&amp;Result=3","7126592")</f>
        <v>0</v>
      </c>
      <c r="B11199" t="s">
        <v>1423</v>
      </c>
      <c r="C11199" t="s">
        <v>6402</v>
      </c>
      <c r="D11199" t="s">
        <v>18013</v>
      </c>
      <c r="E11199" t="s">
        <v>27714</v>
      </c>
      <c r="F11199" t="s">
        <v>30900</v>
      </c>
      <c r="G11199" t="s">
        <v>30907</v>
      </c>
      <c r="H11199" t="s">
        <v>30916</v>
      </c>
      <c r="I11199" t="s">
        <v>8123</v>
      </c>
      <c r="J11199" t="s">
        <v>38011</v>
      </c>
      <c r="K11199" t="s">
        <v>40289</v>
      </c>
      <c r="M11199" t="s">
        <v>44166</v>
      </c>
      <c r="N11199" t="s">
        <v>44759</v>
      </c>
      <c r="O11199" t="s">
        <v>44760</v>
      </c>
      <c r="P11199">
        <v>0</v>
      </c>
      <c r="Q11199">
        <v>0</v>
      </c>
      <c r="R11199" t="s">
        <v>44774</v>
      </c>
      <c r="S11199" t="s">
        <v>45266</v>
      </c>
      <c r="T11199" t="s">
        <v>46876</v>
      </c>
      <c r="U11199" t="s">
        <v>56147</v>
      </c>
      <c r="V11199" t="s">
        <v>60385</v>
      </c>
      <c r="W11199" t="s">
        <v>44166</v>
      </c>
      <c r="X11199" t="s">
        <v>44775</v>
      </c>
    </row>
    <row r="11200" spans="1:24">
      <c r="A11200">
        <f>HYPERLINK("https://www.philgeps.gov.ph/GEPSNONPILOT/Tender/SplashBidNoticeAbstractUI.aspx?menuIndex=3&amp;refID=7126589&amp;Result=3","7126589")</f>
        <v>0</v>
      </c>
      <c r="B11200" t="s">
        <v>3319</v>
      </c>
      <c r="C11200" t="s">
        <v>14364</v>
      </c>
      <c r="D11200" t="s">
        <v>17973</v>
      </c>
      <c r="E11200" t="s">
        <v>18752</v>
      </c>
      <c r="F11200" t="s">
        <v>30900</v>
      </c>
      <c r="G11200" t="s">
        <v>30907</v>
      </c>
      <c r="H11200" t="s">
        <v>30916</v>
      </c>
      <c r="I11200" t="s">
        <v>30933</v>
      </c>
      <c r="J11200" t="s">
        <v>31495</v>
      </c>
      <c r="K11200" t="s">
        <v>40286</v>
      </c>
      <c r="M11200" t="s">
        <v>44176</v>
      </c>
      <c r="N11200" t="s">
        <v>44759</v>
      </c>
      <c r="O11200" t="s">
        <v>44760</v>
      </c>
      <c r="P11200">
        <v>0</v>
      </c>
      <c r="Q11200">
        <v>0</v>
      </c>
      <c r="R11200" t="s">
        <v>44774</v>
      </c>
      <c r="S11200" t="s">
        <v>45266</v>
      </c>
      <c r="T11200" t="s">
        <v>46581</v>
      </c>
      <c r="U11200" t="s">
        <v>56148</v>
      </c>
      <c r="W11200" t="s">
        <v>44176</v>
      </c>
      <c r="X11200" t="s">
        <v>44775</v>
      </c>
    </row>
    <row r="11201" spans="1:24">
      <c r="A11201">
        <f>HYPERLINK("https://www.philgeps.gov.ph/GEPSNONPILOT/Tender/SplashBidNoticeAbstractUI.aspx?menuIndex=3&amp;refID=7127039&amp;Result=3","7127039")</f>
        <v>0</v>
      </c>
      <c r="B11201" t="s">
        <v>981</v>
      </c>
      <c r="C11201" t="s">
        <v>14390</v>
      </c>
      <c r="D11201" t="s">
        <v>17993</v>
      </c>
      <c r="E11201" t="s">
        <v>27715</v>
      </c>
      <c r="F11201" t="s">
        <v>30900</v>
      </c>
      <c r="G11201" t="s">
        <v>30907</v>
      </c>
      <c r="H11201" t="s">
        <v>30915</v>
      </c>
      <c r="I11201" t="s">
        <v>30919</v>
      </c>
      <c r="J11201" t="s">
        <v>38012</v>
      </c>
      <c r="K11201" t="s">
        <v>40515</v>
      </c>
      <c r="M11201" t="s">
        <v>44177</v>
      </c>
      <c r="N11201" t="s">
        <v>44759</v>
      </c>
      <c r="O11201" t="s">
        <v>44760</v>
      </c>
      <c r="P11201">
        <v>0</v>
      </c>
      <c r="Q11201">
        <v>1</v>
      </c>
      <c r="R11201" t="s">
        <v>44774</v>
      </c>
      <c r="S11201" t="s">
        <v>45266</v>
      </c>
      <c r="T11201" t="s">
        <v>46351</v>
      </c>
      <c r="U11201" t="s">
        <v>56149</v>
      </c>
      <c r="W11201" t="s">
        <v>44177</v>
      </c>
      <c r="X11201" t="s">
        <v>44775</v>
      </c>
    </row>
    <row r="11202" spans="1:24">
      <c r="A11202">
        <f>HYPERLINK("https://www.philgeps.gov.ph/GEPSNONPILOT/Tender/SplashBidNoticeAbstractUI.aspx?menuIndex=3&amp;refID=7127016&amp;Result=3","7127016")</f>
        <v>0</v>
      </c>
      <c r="B11202" t="s">
        <v>1043</v>
      </c>
      <c r="C11202" t="s">
        <v>14391</v>
      </c>
      <c r="D11202" t="s">
        <v>18000</v>
      </c>
      <c r="E11202" t="s">
        <v>27716</v>
      </c>
      <c r="F11202" t="s">
        <v>30900</v>
      </c>
      <c r="G11202" t="s">
        <v>30907</v>
      </c>
      <c r="H11202" t="s">
        <v>30915</v>
      </c>
      <c r="I11202" t="s">
        <v>30919</v>
      </c>
      <c r="J11202" t="s">
        <v>38013</v>
      </c>
      <c r="K11202" t="s">
        <v>40289</v>
      </c>
      <c r="M11202" t="s">
        <v>43271</v>
      </c>
      <c r="N11202" t="s">
        <v>44759</v>
      </c>
      <c r="O11202" t="s">
        <v>44760</v>
      </c>
      <c r="P11202">
        <v>0</v>
      </c>
      <c r="Q11202">
        <v>1</v>
      </c>
      <c r="R11202" t="s">
        <v>44774</v>
      </c>
      <c r="S11202" t="s">
        <v>45266</v>
      </c>
      <c r="T11202" t="s">
        <v>46425</v>
      </c>
      <c r="U11202" t="s">
        <v>56150</v>
      </c>
      <c r="W11202" t="s">
        <v>43271</v>
      </c>
      <c r="X11202" t="s">
        <v>44775</v>
      </c>
    </row>
    <row r="11203" spans="1:24">
      <c r="A11203">
        <f>HYPERLINK("https://www.philgeps.gov.ph/GEPSNONPILOT/Tender/SplashBidNoticeAbstractUI.aspx?menuIndex=3&amp;refID=7127037&amp;Result=3","7127037")</f>
        <v>0</v>
      </c>
      <c r="B11203" t="s">
        <v>1455</v>
      </c>
      <c r="C11203" t="s">
        <v>14392</v>
      </c>
      <c r="D11203" t="s">
        <v>17971</v>
      </c>
      <c r="E11203" t="s">
        <v>27717</v>
      </c>
      <c r="F11203" t="s">
        <v>30900</v>
      </c>
      <c r="G11203" t="s">
        <v>30907</v>
      </c>
      <c r="H11203" t="s">
        <v>30916</v>
      </c>
      <c r="I11203" t="s">
        <v>6396</v>
      </c>
      <c r="J11203" t="s">
        <v>38014</v>
      </c>
      <c r="K11203" t="s">
        <v>40283</v>
      </c>
      <c r="M11203" t="s">
        <v>44178</v>
      </c>
      <c r="N11203" t="s">
        <v>44759</v>
      </c>
      <c r="O11203" t="s">
        <v>44760</v>
      </c>
      <c r="Q11203">
        <v>3</v>
      </c>
      <c r="R11203" t="s">
        <v>44774</v>
      </c>
      <c r="S11203" t="s">
        <v>45296</v>
      </c>
      <c r="T11203" t="s">
        <v>46418</v>
      </c>
      <c r="U11203" t="s">
        <v>56151</v>
      </c>
      <c r="V11203" t="s">
        <v>60386</v>
      </c>
      <c r="W11203" t="s">
        <v>44178</v>
      </c>
      <c r="X11203" t="s">
        <v>44775</v>
      </c>
    </row>
    <row r="11204" spans="1:24">
      <c r="A11204">
        <f>HYPERLINK("https://www.philgeps.gov.ph/GEPSNONPILOT/Tender/SplashBidNoticeAbstractUI.aspx?menuIndex=3&amp;refID=7127001&amp;Result=3","7127001")</f>
        <v>0</v>
      </c>
      <c r="B11204" t="s">
        <v>2232</v>
      </c>
      <c r="C11204" t="s">
        <v>14393</v>
      </c>
      <c r="D11204" t="s">
        <v>17973</v>
      </c>
      <c r="E11204" t="s">
        <v>27718</v>
      </c>
      <c r="F11204" t="s">
        <v>30900</v>
      </c>
      <c r="G11204" t="s">
        <v>30907</v>
      </c>
      <c r="H11204" t="s">
        <v>30916</v>
      </c>
      <c r="I11204" t="s">
        <v>8123</v>
      </c>
      <c r="J11204" t="s">
        <v>38015</v>
      </c>
      <c r="K11204" t="s">
        <v>40287</v>
      </c>
      <c r="M11204" t="s">
        <v>42942</v>
      </c>
      <c r="N11204" t="s">
        <v>44759</v>
      </c>
      <c r="O11204" t="s">
        <v>44760</v>
      </c>
      <c r="P11204">
        <v>0</v>
      </c>
      <c r="Q11204">
        <v>1</v>
      </c>
      <c r="R11204" t="s">
        <v>44774</v>
      </c>
      <c r="S11204" t="s">
        <v>45266</v>
      </c>
      <c r="T11204" t="s">
        <v>46409</v>
      </c>
      <c r="U11204" t="s">
        <v>56152</v>
      </c>
      <c r="W11204" t="s">
        <v>42942</v>
      </c>
      <c r="X11204" t="s">
        <v>44775</v>
      </c>
    </row>
    <row r="11205" spans="1:24">
      <c r="A11205">
        <f>HYPERLINK("https://www.philgeps.gov.ph/GEPSNONPILOT/Tender/SplashBidNoticeAbstractUI.aspx?menuIndex=3&amp;refID=7126998&amp;Result=3","7126998")</f>
        <v>0</v>
      </c>
      <c r="B11205" t="s">
        <v>3166</v>
      </c>
      <c r="C11205" t="s">
        <v>14394</v>
      </c>
      <c r="D11205" t="s">
        <v>17980</v>
      </c>
      <c r="E11205" t="s">
        <v>22023</v>
      </c>
      <c r="F11205" t="s">
        <v>30900</v>
      </c>
      <c r="G11205" t="s">
        <v>30907</v>
      </c>
      <c r="H11205" t="s">
        <v>30915</v>
      </c>
      <c r="I11205" t="s">
        <v>30919</v>
      </c>
      <c r="J11205" t="s">
        <v>31297</v>
      </c>
      <c r="K11205" t="s">
        <v>40304</v>
      </c>
      <c r="M11205" t="s">
        <v>43992</v>
      </c>
      <c r="N11205" t="s">
        <v>44759</v>
      </c>
      <c r="O11205" t="s">
        <v>44760</v>
      </c>
      <c r="P11205">
        <v>0</v>
      </c>
      <c r="Q11205">
        <v>22</v>
      </c>
      <c r="R11205" t="s">
        <v>44774</v>
      </c>
      <c r="S11205" t="s">
        <v>45266</v>
      </c>
      <c r="T11205" t="s">
        <v>46606</v>
      </c>
      <c r="U11205" t="s">
        <v>56153</v>
      </c>
      <c r="W11205" t="s">
        <v>43992</v>
      </c>
      <c r="X11205" t="s">
        <v>44775</v>
      </c>
    </row>
    <row r="11206" spans="1:24">
      <c r="A11206">
        <f>HYPERLINK("https://www.philgeps.gov.ph/GEPSNONPILOT/Tender/SplashBidNoticeAbstractUI.aspx?menuIndex=3&amp;refID=7126733&amp;Result=3","7126733")</f>
        <v>0</v>
      </c>
      <c r="B11206" t="s">
        <v>3320</v>
      </c>
      <c r="C11206" t="s">
        <v>14395</v>
      </c>
      <c r="D11206" t="s">
        <v>17970</v>
      </c>
      <c r="E11206" t="s">
        <v>18727</v>
      </c>
      <c r="F11206" t="s">
        <v>30900</v>
      </c>
      <c r="G11206" t="s">
        <v>30907</v>
      </c>
      <c r="H11206" t="s">
        <v>7411</v>
      </c>
      <c r="I11206" t="s">
        <v>30973</v>
      </c>
      <c r="J11206" t="s">
        <v>38016</v>
      </c>
      <c r="K11206" t="s">
        <v>40292</v>
      </c>
      <c r="M11206" t="s">
        <v>44179</v>
      </c>
      <c r="N11206" t="s">
        <v>44759</v>
      </c>
      <c r="O11206" t="s">
        <v>44760</v>
      </c>
      <c r="P11206">
        <v>0</v>
      </c>
      <c r="Q11206">
        <v>2</v>
      </c>
      <c r="R11206" t="s">
        <v>44774</v>
      </c>
      <c r="S11206" t="s">
        <v>45266</v>
      </c>
      <c r="T11206" t="s">
        <v>46662</v>
      </c>
      <c r="U11206" t="s">
        <v>56154</v>
      </c>
      <c r="W11206" t="s">
        <v>44179</v>
      </c>
      <c r="X11206" t="s">
        <v>44775</v>
      </c>
    </row>
    <row r="11207" spans="1:24">
      <c r="A11207">
        <f>HYPERLINK("https://www.philgeps.gov.ph/GEPSNONPILOT/Tender/SplashBidNoticeAbstractUI.aspx?menuIndex=3&amp;refID=7126993&amp;Result=3","7126993")</f>
        <v>0</v>
      </c>
      <c r="B11207" t="s">
        <v>3303</v>
      </c>
      <c r="C11207" t="s">
        <v>14396</v>
      </c>
      <c r="D11207" t="s">
        <v>17959</v>
      </c>
      <c r="E11207" t="s">
        <v>25031</v>
      </c>
      <c r="F11207" t="s">
        <v>30904</v>
      </c>
      <c r="G11207" t="s">
        <v>30907</v>
      </c>
      <c r="H11207" t="s">
        <v>30916</v>
      </c>
      <c r="I11207" t="s">
        <v>6396</v>
      </c>
      <c r="J11207" t="s">
        <v>38017</v>
      </c>
      <c r="K11207" t="s">
        <v>40284</v>
      </c>
      <c r="M11207" t="s">
        <v>44154</v>
      </c>
      <c r="N11207" t="s">
        <v>44759</v>
      </c>
      <c r="O11207" t="s">
        <v>44760</v>
      </c>
      <c r="P11207">
        <v>0</v>
      </c>
      <c r="Q11207">
        <v>3</v>
      </c>
      <c r="R11207" t="s">
        <v>44774</v>
      </c>
      <c r="S11207" t="s">
        <v>45266</v>
      </c>
      <c r="T11207" t="s">
        <v>46536</v>
      </c>
      <c r="U11207" t="s">
        <v>56155</v>
      </c>
      <c r="W11207" t="s">
        <v>44154</v>
      </c>
      <c r="X11207" t="s">
        <v>44775</v>
      </c>
    </row>
    <row r="11208" spans="1:24">
      <c r="A11208">
        <f>HYPERLINK("https://www.philgeps.gov.ph/GEPSNONPILOT/Tender/SplashBidNoticeAbstractUI.aspx?menuIndex=3&amp;refID=7126985&amp;Result=3","7126985")</f>
        <v>0</v>
      </c>
      <c r="B11208" t="s">
        <v>1567</v>
      </c>
      <c r="C11208" t="s">
        <v>14397</v>
      </c>
      <c r="D11208" t="s">
        <v>18006</v>
      </c>
      <c r="E11208" t="s">
        <v>27719</v>
      </c>
      <c r="F11208" t="s">
        <v>30900</v>
      </c>
      <c r="G11208" t="s">
        <v>30907</v>
      </c>
      <c r="H11208" t="s">
        <v>30916</v>
      </c>
      <c r="I11208" t="s">
        <v>5501</v>
      </c>
      <c r="J11208" t="s">
        <v>38018</v>
      </c>
      <c r="K11208" t="s">
        <v>40289</v>
      </c>
      <c r="M11208" t="s">
        <v>42215</v>
      </c>
      <c r="N11208" t="s">
        <v>44759</v>
      </c>
      <c r="O11208" t="s">
        <v>44760</v>
      </c>
      <c r="Q11208">
        <v>12</v>
      </c>
      <c r="R11208" t="s">
        <v>44774</v>
      </c>
      <c r="S11208" t="s">
        <v>45297</v>
      </c>
      <c r="T11208" t="s">
        <v>46459</v>
      </c>
      <c r="U11208" t="s">
        <v>56156</v>
      </c>
      <c r="W11208" t="s">
        <v>42215</v>
      </c>
      <c r="X11208" t="s">
        <v>44775</v>
      </c>
    </row>
    <row r="11209" spans="1:24">
      <c r="A11209">
        <f>HYPERLINK("https://www.philgeps.gov.ph/GEPSNONPILOT/Tender/SplashBidNoticeAbstractUI.aspx?menuIndex=3&amp;refID=7127007&amp;Result=3","7127007")</f>
        <v>0</v>
      </c>
      <c r="B11209" t="s">
        <v>2808</v>
      </c>
      <c r="C11209" t="s">
        <v>14398</v>
      </c>
      <c r="D11209" t="s">
        <v>17957</v>
      </c>
      <c r="E11209" t="s">
        <v>27720</v>
      </c>
      <c r="F11209" t="s">
        <v>30900</v>
      </c>
      <c r="G11209" t="s">
        <v>30907</v>
      </c>
      <c r="H11209" t="s">
        <v>30915</v>
      </c>
      <c r="I11209" t="s">
        <v>30919</v>
      </c>
      <c r="J11209" t="s">
        <v>38019</v>
      </c>
      <c r="K11209" t="s">
        <v>40292</v>
      </c>
      <c r="M11209" t="s">
        <v>43593</v>
      </c>
      <c r="N11209" t="s">
        <v>44759</v>
      </c>
      <c r="O11209" t="s">
        <v>44760</v>
      </c>
      <c r="P11209">
        <v>0</v>
      </c>
      <c r="Q11209">
        <v>0</v>
      </c>
      <c r="R11209" t="s">
        <v>44774</v>
      </c>
      <c r="S11209" t="s">
        <v>45266</v>
      </c>
      <c r="T11209" t="s">
        <v>46352</v>
      </c>
      <c r="U11209" t="s">
        <v>56157</v>
      </c>
      <c r="W11209" t="s">
        <v>43593</v>
      </c>
      <c r="X11209" t="s">
        <v>44775</v>
      </c>
    </row>
    <row r="11210" spans="1:24">
      <c r="A11210">
        <f>HYPERLINK("https://www.philgeps.gov.ph/GEPSNONPILOT/Tender/SplashBidNoticeAbstractUI.aspx?menuIndex=3&amp;refID=7126980&amp;Result=3","7126980")</f>
        <v>0</v>
      </c>
      <c r="B11210" t="s">
        <v>3166</v>
      </c>
      <c r="C11210" t="s">
        <v>14399</v>
      </c>
      <c r="D11210" t="s">
        <v>17980</v>
      </c>
      <c r="E11210" t="s">
        <v>23633</v>
      </c>
      <c r="F11210" t="s">
        <v>30900</v>
      </c>
      <c r="G11210" t="s">
        <v>30907</v>
      </c>
      <c r="H11210" t="s">
        <v>30915</v>
      </c>
      <c r="I11210" t="s">
        <v>30919</v>
      </c>
      <c r="J11210" t="s">
        <v>38020</v>
      </c>
      <c r="K11210" t="s">
        <v>40341</v>
      </c>
      <c r="M11210" t="s">
        <v>43992</v>
      </c>
      <c r="N11210" t="s">
        <v>44759</v>
      </c>
      <c r="O11210" t="s">
        <v>44760</v>
      </c>
      <c r="P11210">
        <v>0</v>
      </c>
      <c r="Q11210">
        <v>26</v>
      </c>
      <c r="R11210" t="s">
        <v>44774</v>
      </c>
      <c r="S11210" t="s">
        <v>45266</v>
      </c>
      <c r="T11210" t="s">
        <v>46606</v>
      </c>
      <c r="U11210" t="s">
        <v>56158</v>
      </c>
      <c r="W11210" t="s">
        <v>43992</v>
      </c>
      <c r="X11210" t="s">
        <v>44775</v>
      </c>
    </row>
    <row r="11211" spans="1:24">
      <c r="A11211">
        <f>HYPERLINK("https://www.philgeps.gov.ph/GEPSNONPILOT/Tender/SplashBidNoticeAbstractUI.aspx?menuIndex=3&amp;refID=7127000&amp;Result=3","7127000")</f>
        <v>0</v>
      </c>
      <c r="B11211" t="s">
        <v>1279</v>
      </c>
      <c r="C11211" t="s">
        <v>14400</v>
      </c>
      <c r="D11211" t="s">
        <v>17963</v>
      </c>
      <c r="E11211" t="s">
        <v>27721</v>
      </c>
      <c r="F11211" t="s">
        <v>30900</v>
      </c>
      <c r="G11211" t="s">
        <v>30907</v>
      </c>
      <c r="H11211" t="s">
        <v>30915</v>
      </c>
      <c r="I11211" t="s">
        <v>30919</v>
      </c>
      <c r="J11211" t="s">
        <v>38021</v>
      </c>
      <c r="K11211" t="s">
        <v>40280</v>
      </c>
      <c r="M11211" t="s">
        <v>41896</v>
      </c>
      <c r="N11211" t="s">
        <v>44759</v>
      </c>
      <c r="O11211" t="s">
        <v>44760</v>
      </c>
      <c r="P11211">
        <v>0</v>
      </c>
      <c r="Q11211">
        <v>1</v>
      </c>
      <c r="R11211" t="s">
        <v>44774</v>
      </c>
      <c r="S11211" t="s">
        <v>45266</v>
      </c>
      <c r="T11211" t="s">
        <v>46533</v>
      </c>
      <c r="U11211" t="s">
        <v>56159</v>
      </c>
      <c r="W11211" t="s">
        <v>41896</v>
      </c>
      <c r="X11211" t="s">
        <v>44775</v>
      </c>
    </row>
    <row r="11212" spans="1:24">
      <c r="A11212">
        <f>HYPERLINK("https://www.philgeps.gov.ph/GEPSNONPILOT/Tender/SplashBidNoticeAbstractUI.aspx?menuIndex=3&amp;refID=7126974&amp;Result=3","7126974")</f>
        <v>0</v>
      </c>
      <c r="B11212" t="s">
        <v>1043</v>
      </c>
      <c r="C11212" t="s">
        <v>14401</v>
      </c>
      <c r="D11212" t="s">
        <v>18000</v>
      </c>
      <c r="E11212" t="s">
        <v>27722</v>
      </c>
      <c r="F11212" t="s">
        <v>30900</v>
      </c>
      <c r="G11212" t="s">
        <v>30907</v>
      </c>
      <c r="H11212" t="s">
        <v>30915</v>
      </c>
      <c r="I11212" t="s">
        <v>30919</v>
      </c>
      <c r="J11212" t="s">
        <v>38022</v>
      </c>
      <c r="K11212" t="s">
        <v>40289</v>
      </c>
      <c r="M11212" t="s">
        <v>43271</v>
      </c>
      <c r="N11212" t="s">
        <v>44759</v>
      </c>
      <c r="O11212" t="s">
        <v>44760</v>
      </c>
      <c r="P11212">
        <v>0</v>
      </c>
      <c r="Q11212">
        <v>1</v>
      </c>
      <c r="R11212" t="s">
        <v>44774</v>
      </c>
      <c r="S11212" t="s">
        <v>45266</v>
      </c>
      <c r="T11212" t="s">
        <v>46425</v>
      </c>
      <c r="U11212" t="s">
        <v>56160</v>
      </c>
      <c r="W11212" t="s">
        <v>43271</v>
      </c>
      <c r="X11212" t="s">
        <v>44775</v>
      </c>
    </row>
    <row r="11213" spans="1:24">
      <c r="A11213">
        <f>HYPERLINK("https://www.philgeps.gov.ph/GEPSNONPILOT/Tender/SplashBidNoticeAbstractUI.aspx?menuIndex=3&amp;refID=7126963&amp;Result=3","7126963")</f>
        <v>0</v>
      </c>
      <c r="B11213" t="s">
        <v>2481</v>
      </c>
      <c r="C11213" t="s">
        <v>14402</v>
      </c>
      <c r="D11213" t="s">
        <v>18029</v>
      </c>
      <c r="E11213" t="s">
        <v>27723</v>
      </c>
      <c r="F11213" t="s">
        <v>30900</v>
      </c>
      <c r="G11213" t="s">
        <v>30907</v>
      </c>
      <c r="H11213" t="s">
        <v>30916</v>
      </c>
      <c r="I11213" t="s">
        <v>30949</v>
      </c>
      <c r="J11213" t="s">
        <v>38023</v>
      </c>
      <c r="K11213" t="s">
        <v>40286</v>
      </c>
      <c r="M11213" t="s">
        <v>43222</v>
      </c>
      <c r="N11213" t="s">
        <v>44759</v>
      </c>
      <c r="O11213" t="s">
        <v>44760</v>
      </c>
      <c r="P11213">
        <v>0</v>
      </c>
      <c r="Q11213">
        <v>1</v>
      </c>
      <c r="R11213" t="s">
        <v>44774</v>
      </c>
      <c r="S11213" t="s">
        <v>45266</v>
      </c>
      <c r="T11213" t="s">
        <v>46553</v>
      </c>
      <c r="U11213" t="s">
        <v>56161</v>
      </c>
      <c r="V11213" t="s">
        <v>60387</v>
      </c>
      <c r="W11213" t="s">
        <v>43222</v>
      </c>
      <c r="X11213" t="s">
        <v>44775</v>
      </c>
    </row>
    <row r="11214" spans="1:24">
      <c r="A11214">
        <f>HYPERLINK("https://www.philgeps.gov.ph/GEPSNONPILOT/Tender/SplashBidNoticeAbstractUI.aspx?menuIndex=3&amp;refID=7126940&amp;Result=3","7126940")</f>
        <v>0</v>
      </c>
      <c r="B11214" t="s">
        <v>3316</v>
      </c>
      <c r="C11214" t="s">
        <v>14403</v>
      </c>
      <c r="D11214" t="s">
        <v>17959</v>
      </c>
      <c r="E11214" t="s">
        <v>27724</v>
      </c>
      <c r="F11214" t="s">
        <v>30899</v>
      </c>
      <c r="G11214" t="s">
        <v>30907</v>
      </c>
      <c r="H11214" t="s">
        <v>30916</v>
      </c>
      <c r="I11214" t="s">
        <v>6396</v>
      </c>
      <c r="J11214" t="s">
        <v>38024</v>
      </c>
      <c r="K11214" t="s">
        <v>40286</v>
      </c>
      <c r="M11214" t="s">
        <v>44173</v>
      </c>
      <c r="N11214" t="s">
        <v>44759</v>
      </c>
      <c r="O11214" t="s">
        <v>44760</v>
      </c>
      <c r="P11214">
        <v>0</v>
      </c>
      <c r="Q11214">
        <v>5</v>
      </c>
      <c r="R11214" t="s">
        <v>44774</v>
      </c>
      <c r="S11214" t="s">
        <v>45266</v>
      </c>
      <c r="T11214" t="s">
        <v>46590</v>
      </c>
      <c r="U11214" t="s">
        <v>56162</v>
      </c>
      <c r="V11214" t="s">
        <v>60383</v>
      </c>
      <c r="W11214" t="s">
        <v>44173</v>
      </c>
      <c r="X11214" t="s">
        <v>44775</v>
      </c>
    </row>
    <row r="11215" spans="1:24">
      <c r="A11215">
        <f>HYPERLINK("https://www.philgeps.gov.ph/GEPSNONPILOT/Tender/SplashBidNoticeAbstractUI.aspx?menuIndex=3&amp;refID=7127044&amp;Result=3","7127044")</f>
        <v>0</v>
      </c>
      <c r="B11215" t="s">
        <v>3321</v>
      </c>
      <c r="C11215" t="s">
        <v>14404</v>
      </c>
      <c r="D11215" t="s">
        <v>17952</v>
      </c>
      <c r="E11215" t="s">
        <v>27725</v>
      </c>
      <c r="F11215" t="s">
        <v>30900</v>
      </c>
      <c r="G11215" t="s">
        <v>30907</v>
      </c>
      <c r="H11215" t="s">
        <v>30915</v>
      </c>
      <c r="I11215" t="s">
        <v>30919</v>
      </c>
      <c r="J11215" t="s">
        <v>31391</v>
      </c>
      <c r="K11215" t="s">
        <v>40292</v>
      </c>
      <c r="L11215" t="s">
        <v>3321</v>
      </c>
      <c r="M11215" t="s">
        <v>44180</v>
      </c>
      <c r="N11215" t="s">
        <v>44759</v>
      </c>
      <c r="O11215" t="s">
        <v>44760</v>
      </c>
      <c r="P11215">
        <v>0</v>
      </c>
      <c r="Q11215">
        <v>3</v>
      </c>
      <c r="R11215" t="s">
        <v>44774</v>
      </c>
      <c r="S11215" t="s">
        <v>45266</v>
      </c>
      <c r="T11215" t="s">
        <v>46353</v>
      </c>
      <c r="U11215" t="s">
        <v>56163</v>
      </c>
      <c r="W11215" t="s">
        <v>44180</v>
      </c>
      <c r="X11215" t="s">
        <v>44775</v>
      </c>
    </row>
    <row r="11216" spans="1:24">
      <c r="A11216">
        <f>HYPERLINK("https://www.philgeps.gov.ph/GEPSNONPILOT/Tender/SplashBidNoticeAbstractUI.aspx?menuIndex=3&amp;refID=7126453&amp;Result=3","7126453")</f>
        <v>0</v>
      </c>
      <c r="B11216" t="s">
        <v>3322</v>
      </c>
      <c r="C11216" t="s">
        <v>14405</v>
      </c>
      <c r="D11216" t="s">
        <v>17959</v>
      </c>
      <c r="E11216" t="s">
        <v>27726</v>
      </c>
      <c r="F11216" t="s">
        <v>30900</v>
      </c>
      <c r="G11216" t="s">
        <v>30907</v>
      </c>
      <c r="H11216" t="s">
        <v>30916</v>
      </c>
      <c r="I11216" t="s">
        <v>6396</v>
      </c>
      <c r="J11216" t="s">
        <v>38025</v>
      </c>
      <c r="K11216" t="s">
        <v>40289</v>
      </c>
      <c r="M11216" t="s">
        <v>44181</v>
      </c>
      <c r="N11216" t="s">
        <v>44759</v>
      </c>
      <c r="O11216" t="s">
        <v>44760</v>
      </c>
      <c r="Q11216">
        <v>7</v>
      </c>
      <c r="R11216" t="s">
        <v>44774</v>
      </c>
      <c r="S11216" t="s">
        <v>45298</v>
      </c>
      <c r="T11216" t="s">
        <v>46625</v>
      </c>
      <c r="U11216" t="s">
        <v>56164</v>
      </c>
      <c r="V11216" t="s">
        <v>60388</v>
      </c>
      <c r="W11216" t="s">
        <v>44181</v>
      </c>
      <c r="X11216" t="s">
        <v>44775</v>
      </c>
    </row>
    <row r="11217" spans="1:24">
      <c r="A11217">
        <f>HYPERLINK("https://www.philgeps.gov.ph/GEPSNONPILOT/Tender/SplashBidNoticeAbstractUI.aspx?menuIndex=3&amp;refID=7126943&amp;Result=3","7126943")</f>
        <v>0</v>
      </c>
      <c r="B11217" t="s">
        <v>836</v>
      </c>
      <c r="C11217" t="s">
        <v>14406</v>
      </c>
      <c r="D11217" t="s">
        <v>17952</v>
      </c>
      <c r="E11217" t="s">
        <v>27727</v>
      </c>
      <c r="F11217" t="s">
        <v>30900</v>
      </c>
      <c r="G11217" t="s">
        <v>30907</v>
      </c>
      <c r="H11217" t="s">
        <v>30916</v>
      </c>
      <c r="I11217" t="s">
        <v>30924</v>
      </c>
      <c r="J11217" t="s">
        <v>38026</v>
      </c>
      <c r="K11217" t="s">
        <v>40286</v>
      </c>
      <c r="M11217" t="s">
        <v>41409</v>
      </c>
      <c r="N11217" t="s">
        <v>44759</v>
      </c>
      <c r="O11217" t="s">
        <v>44760</v>
      </c>
      <c r="P11217">
        <v>0</v>
      </c>
      <c r="Q11217">
        <v>7</v>
      </c>
      <c r="R11217" t="s">
        <v>44774</v>
      </c>
      <c r="S11217" t="s">
        <v>45266</v>
      </c>
      <c r="T11217" t="s">
        <v>46653</v>
      </c>
      <c r="U11217" t="s">
        <v>56165</v>
      </c>
      <c r="W11217" t="s">
        <v>41409</v>
      </c>
      <c r="X11217" t="s">
        <v>44775</v>
      </c>
    </row>
    <row r="11218" spans="1:24">
      <c r="A11218">
        <f>HYPERLINK("https://www.philgeps.gov.ph/GEPSNONPILOT/Tender/SplashBidNoticeAbstractUI.aspx?menuIndex=3&amp;refID=7126937&amp;Result=3","7126937")</f>
        <v>0</v>
      </c>
      <c r="B11218" t="s">
        <v>2636</v>
      </c>
      <c r="C11218" t="s">
        <v>14407</v>
      </c>
      <c r="D11218" t="s">
        <v>18003</v>
      </c>
      <c r="E11218" t="s">
        <v>27728</v>
      </c>
      <c r="F11218" t="s">
        <v>30900</v>
      </c>
      <c r="G11218" t="s">
        <v>30907</v>
      </c>
      <c r="H11218" t="s">
        <v>30917</v>
      </c>
      <c r="I11218" t="s">
        <v>4545</v>
      </c>
      <c r="J11218" t="s">
        <v>31669</v>
      </c>
      <c r="K11218" t="s">
        <v>40286</v>
      </c>
      <c r="M11218" t="s">
        <v>43402</v>
      </c>
      <c r="N11218" t="s">
        <v>44759</v>
      </c>
      <c r="O11218" t="s">
        <v>44760</v>
      </c>
      <c r="P11218">
        <v>0</v>
      </c>
      <c r="Q11218">
        <v>4</v>
      </c>
      <c r="R11218" t="s">
        <v>44774</v>
      </c>
      <c r="S11218" t="s">
        <v>45266</v>
      </c>
      <c r="T11218" t="s">
        <v>46488</v>
      </c>
      <c r="U11218" t="s">
        <v>56166</v>
      </c>
      <c r="W11218" t="s">
        <v>43402</v>
      </c>
      <c r="X11218" t="s">
        <v>44775</v>
      </c>
    </row>
    <row r="11219" spans="1:24">
      <c r="A11219">
        <f>HYPERLINK("https://www.philgeps.gov.ph/GEPSNONPILOT/Tender/SplashBidNoticeAbstractUI.aspx?menuIndex=3&amp;refID=7126933&amp;Result=3","7126933")</f>
        <v>0</v>
      </c>
      <c r="B11219" t="s">
        <v>3323</v>
      </c>
      <c r="C11219" t="s">
        <v>14408</v>
      </c>
      <c r="D11219" t="s">
        <v>17972</v>
      </c>
      <c r="E11219" t="s">
        <v>27729</v>
      </c>
      <c r="F11219" t="s">
        <v>30900</v>
      </c>
      <c r="G11219" t="s">
        <v>30907</v>
      </c>
      <c r="H11219" t="s">
        <v>30917</v>
      </c>
      <c r="I11219" t="s">
        <v>30933</v>
      </c>
      <c r="J11219" t="s">
        <v>32467</v>
      </c>
      <c r="K11219" t="s">
        <v>40280</v>
      </c>
      <c r="M11219" t="s">
        <v>44182</v>
      </c>
      <c r="N11219" t="s">
        <v>44759</v>
      </c>
      <c r="O11219" t="s">
        <v>44760</v>
      </c>
      <c r="P11219">
        <v>0</v>
      </c>
      <c r="Q11219">
        <v>0</v>
      </c>
      <c r="R11219" t="s">
        <v>44774</v>
      </c>
      <c r="S11219" t="s">
        <v>45266</v>
      </c>
      <c r="T11219" t="s">
        <v>46409</v>
      </c>
      <c r="U11219" t="s">
        <v>56167</v>
      </c>
      <c r="W11219" t="s">
        <v>44182</v>
      </c>
      <c r="X11219" t="s">
        <v>44775</v>
      </c>
    </row>
    <row r="11220" spans="1:24">
      <c r="A11220">
        <f>HYPERLINK("https://www.philgeps.gov.ph/GEPSNONPILOT/Tender/SplashBidNoticeAbstractUI.aspx?menuIndex=3&amp;refID=7126990&amp;Result=3","7126990")</f>
        <v>0</v>
      </c>
      <c r="B11220" t="s">
        <v>463</v>
      </c>
      <c r="C11220" t="s">
        <v>14409</v>
      </c>
      <c r="D11220" t="s">
        <v>18028</v>
      </c>
      <c r="E11220" t="s">
        <v>27730</v>
      </c>
      <c r="F11220" t="s">
        <v>30900</v>
      </c>
      <c r="G11220" t="s">
        <v>30907</v>
      </c>
      <c r="H11220" t="s">
        <v>30916</v>
      </c>
      <c r="I11220" t="s">
        <v>31003</v>
      </c>
      <c r="J11220" t="s">
        <v>31391</v>
      </c>
      <c r="K11220" t="s">
        <v>40314</v>
      </c>
      <c r="L11220" t="s">
        <v>463</v>
      </c>
      <c r="M11220" t="s">
        <v>41021</v>
      </c>
      <c r="N11220" t="s">
        <v>44759</v>
      </c>
      <c r="O11220" t="s">
        <v>44760</v>
      </c>
      <c r="P11220">
        <v>0</v>
      </c>
      <c r="Q11220">
        <v>4</v>
      </c>
      <c r="R11220" t="s">
        <v>44774</v>
      </c>
      <c r="S11220" t="s">
        <v>45266</v>
      </c>
      <c r="T11220" t="s">
        <v>46399</v>
      </c>
      <c r="U11220" t="s">
        <v>56168</v>
      </c>
      <c r="V11220" t="s">
        <v>59766</v>
      </c>
      <c r="W11220" t="s">
        <v>41021</v>
      </c>
      <c r="X11220" t="s">
        <v>44775</v>
      </c>
    </row>
    <row r="11221" spans="1:24">
      <c r="A11221">
        <f>HYPERLINK("https://www.philgeps.gov.ph/GEPSNONPILOT/Tender/SplashBidNoticeAbstractUI.aspx?menuIndex=3&amp;refID=7126932&amp;Result=3","7126932")</f>
        <v>0</v>
      </c>
      <c r="B11221" t="s">
        <v>759</v>
      </c>
      <c r="C11221" t="s">
        <v>14410</v>
      </c>
      <c r="D11221" t="s">
        <v>17978</v>
      </c>
      <c r="E11221" t="s">
        <v>27731</v>
      </c>
      <c r="F11221" t="s">
        <v>30900</v>
      </c>
      <c r="G11221" t="s">
        <v>30907</v>
      </c>
      <c r="H11221" t="s">
        <v>30915</v>
      </c>
      <c r="I11221" t="s">
        <v>30919</v>
      </c>
      <c r="J11221" t="s">
        <v>37938</v>
      </c>
      <c r="K11221" t="s">
        <v>40280</v>
      </c>
      <c r="M11221" t="s">
        <v>41324</v>
      </c>
      <c r="N11221" t="s">
        <v>44759</v>
      </c>
      <c r="O11221" t="s">
        <v>44760</v>
      </c>
      <c r="P11221">
        <v>0</v>
      </c>
      <c r="Q11221">
        <v>1</v>
      </c>
      <c r="R11221" t="s">
        <v>44774</v>
      </c>
      <c r="S11221" t="s">
        <v>45266</v>
      </c>
      <c r="T11221" t="s">
        <v>46373</v>
      </c>
      <c r="U11221" t="s">
        <v>56062</v>
      </c>
      <c r="W11221" t="s">
        <v>41324</v>
      </c>
      <c r="X11221" t="s">
        <v>44775</v>
      </c>
    </row>
    <row r="11222" spans="1:24">
      <c r="A11222">
        <f>HYPERLINK("https://www.philgeps.gov.ph/GEPSNONPILOT/Tender/SplashBidNoticeAbstractUI.aspx?menuIndex=3&amp;refID=7127050&amp;Result=3","7127050")</f>
        <v>0</v>
      </c>
      <c r="B11222" t="s">
        <v>3324</v>
      </c>
      <c r="C11222" t="s">
        <v>14411</v>
      </c>
      <c r="E11222" t="s">
        <v>27732</v>
      </c>
      <c r="F11222" t="s">
        <v>30900</v>
      </c>
      <c r="G11222" t="s">
        <v>30907</v>
      </c>
      <c r="H11222" t="s">
        <v>30916</v>
      </c>
      <c r="I11222" t="s">
        <v>30922</v>
      </c>
      <c r="J11222" t="s">
        <v>31096</v>
      </c>
      <c r="K11222" t="s">
        <v>40287</v>
      </c>
      <c r="M11222" t="s">
        <v>44183</v>
      </c>
      <c r="N11222" t="s">
        <v>44759</v>
      </c>
      <c r="O11222" t="s">
        <v>44760</v>
      </c>
      <c r="P11222">
        <v>0</v>
      </c>
      <c r="Q11222">
        <v>1</v>
      </c>
      <c r="R11222" t="s">
        <v>44774</v>
      </c>
      <c r="S11222" t="s">
        <v>45266</v>
      </c>
      <c r="T11222" t="s">
        <v>46426</v>
      </c>
      <c r="U11222" t="s">
        <v>56169</v>
      </c>
      <c r="W11222" t="s">
        <v>44183</v>
      </c>
      <c r="X11222" t="s">
        <v>44775</v>
      </c>
    </row>
    <row r="11223" spans="1:24">
      <c r="A11223">
        <f>HYPERLINK("https://www.philgeps.gov.ph/GEPSNONPILOT/Tender/SplashBidNoticeAbstractUI.aspx?menuIndex=3&amp;refID=7127158&amp;Result=3","7127158")</f>
        <v>0</v>
      </c>
      <c r="B11223" t="s">
        <v>3325</v>
      </c>
      <c r="C11223" t="s">
        <v>14412</v>
      </c>
      <c r="D11223" t="s">
        <v>18034</v>
      </c>
      <c r="E11223" t="s">
        <v>27733</v>
      </c>
      <c r="F11223" t="s">
        <v>30900</v>
      </c>
      <c r="G11223" t="s">
        <v>30907</v>
      </c>
      <c r="H11223" t="s">
        <v>30916</v>
      </c>
      <c r="I11223" t="s">
        <v>4142</v>
      </c>
      <c r="J11223" t="s">
        <v>38027</v>
      </c>
      <c r="K11223" t="s">
        <v>40287</v>
      </c>
      <c r="M11223" t="s">
        <v>44184</v>
      </c>
      <c r="N11223" t="s">
        <v>44759</v>
      </c>
      <c r="O11223" t="s">
        <v>44760</v>
      </c>
      <c r="Q11223">
        <v>1</v>
      </c>
      <c r="R11223" t="s">
        <v>44774</v>
      </c>
      <c r="S11223" t="s">
        <v>45299</v>
      </c>
      <c r="T11223" t="s">
        <v>46383</v>
      </c>
      <c r="U11223" t="s">
        <v>56170</v>
      </c>
      <c r="W11223" t="s">
        <v>44184</v>
      </c>
      <c r="X11223" t="s">
        <v>44775</v>
      </c>
    </row>
    <row r="11224" spans="1:24">
      <c r="A11224">
        <f>HYPERLINK("https://www.philgeps.gov.ph/GEPSNONPILOT/Tender/SplashBidNoticeAbstractUI.aspx?menuIndex=3&amp;refID=7127130&amp;Result=3","7127130")</f>
        <v>0</v>
      </c>
      <c r="B11224" t="s">
        <v>463</v>
      </c>
      <c r="C11224" t="s">
        <v>14413</v>
      </c>
      <c r="D11224" t="s">
        <v>18028</v>
      </c>
      <c r="E11224" t="s">
        <v>27734</v>
      </c>
      <c r="F11224" t="s">
        <v>30900</v>
      </c>
      <c r="G11224" t="s">
        <v>30907</v>
      </c>
      <c r="H11224" t="s">
        <v>30916</v>
      </c>
      <c r="I11224" t="s">
        <v>30947</v>
      </c>
      <c r="J11224" t="s">
        <v>38028</v>
      </c>
      <c r="K11224" t="s">
        <v>40314</v>
      </c>
      <c r="L11224" t="s">
        <v>463</v>
      </c>
      <c r="M11224" t="s">
        <v>41021</v>
      </c>
      <c r="N11224" t="s">
        <v>44759</v>
      </c>
      <c r="O11224" t="s">
        <v>44760</v>
      </c>
      <c r="Q11224">
        <v>1</v>
      </c>
      <c r="R11224" t="s">
        <v>44774</v>
      </c>
      <c r="S11224" t="s">
        <v>45300</v>
      </c>
      <c r="T11224" t="s">
        <v>46399</v>
      </c>
      <c r="U11224" t="s">
        <v>56171</v>
      </c>
      <c r="V11224" t="s">
        <v>59766</v>
      </c>
      <c r="W11224" t="s">
        <v>41021</v>
      </c>
      <c r="X11224" t="s">
        <v>44775</v>
      </c>
    </row>
    <row r="11225" spans="1:24">
      <c r="A11225">
        <f>HYPERLINK("https://www.philgeps.gov.ph/GEPSNONPILOT/Tender/SplashBidNoticeAbstractUI.aspx?menuIndex=3&amp;refID=7127119&amp;Result=3","7127119")</f>
        <v>0</v>
      </c>
      <c r="B11225" t="s">
        <v>463</v>
      </c>
      <c r="C11225" t="s">
        <v>14414</v>
      </c>
      <c r="D11225" t="s">
        <v>18028</v>
      </c>
      <c r="E11225" t="s">
        <v>27735</v>
      </c>
      <c r="F11225" t="s">
        <v>30900</v>
      </c>
      <c r="G11225" t="s">
        <v>30907</v>
      </c>
      <c r="H11225" t="s">
        <v>30916</v>
      </c>
      <c r="I11225" t="s">
        <v>30933</v>
      </c>
      <c r="J11225" t="s">
        <v>38029</v>
      </c>
      <c r="K11225" t="s">
        <v>40314</v>
      </c>
      <c r="L11225" t="s">
        <v>463</v>
      </c>
      <c r="M11225" t="s">
        <v>41021</v>
      </c>
      <c r="N11225" t="s">
        <v>44759</v>
      </c>
      <c r="O11225" t="s">
        <v>44760</v>
      </c>
      <c r="P11225">
        <v>0</v>
      </c>
      <c r="Q11225">
        <v>2</v>
      </c>
      <c r="R11225" t="s">
        <v>44774</v>
      </c>
      <c r="S11225" t="s">
        <v>45266</v>
      </c>
      <c r="T11225" t="s">
        <v>46399</v>
      </c>
      <c r="U11225" t="s">
        <v>56172</v>
      </c>
      <c r="V11225" t="s">
        <v>59766</v>
      </c>
      <c r="W11225" t="s">
        <v>41021</v>
      </c>
      <c r="X11225" t="s">
        <v>44775</v>
      </c>
    </row>
    <row r="11226" spans="1:24">
      <c r="A11226">
        <f>HYPERLINK("https://www.philgeps.gov.ph/GEPSNONPILOT/Tender/SplashBidNoticeAbstractUI.aspx?menuIndex=3&amp;refID=7127111&amp;Result=3","7127111")</f>
        <v>0</v>
      </c>
      <c r="B11226" t="s">
        <v>463</v>
      </c>
      <c r="C11226" t="s">
        <v>14415</v>
      </c>
      <c r="D11226" t="s">
        <v>18028</v>
      </c>
      <c r="E11226" t="s">
        <v>27736</v>
      </c>
      <c r="F11226" t="s">
        <v>30900</v>
      </c>
      <c r="G11226" t="s">
        <v>30907</v>
      </c>
      <c r="H11226" t="s">
        <v>30916</v>
      </c>
      <c r="I11226" t="s">
        <v>30947</v>
      </c>
      <c r="J11226" t="s">
        <v>38028</v>
      </c>
      <c r="K11226" t="s">
        <v>40314</v>
      </c>
      <c r="L11226" t="s">
        <v>463</v>
      </c>
      <c r="M11226" t="s">
        <v>41021</v>
      </c>
      <c r="N11226" t="s">
        <v>44759</v>
      </c>
      <c r="O11226" t="s">
        <v>44760</v>
      </c>
      <c r="Q11226">
        <v>2</v>
      </c>
      <c r="R11226" t="s">
        <v>44774</v>
      </c>
      <c r="S11226" t="s">
        <v>45007</v>
      </c>
      <c r="T11226" t="s">
        <v>46399</v>
      </c>
      <c r="U11226" t="s">
        <v>56173</v>
      </c>
      <c r="V11226" t="s">
        <v>59766</v>
      </c>
      <c r="W11226" t="s">
        <v>41021</v>
      </c>
      <c r="X11226" t="s">
        <v>44775</v>
      </c>
    </row>
    <row r="11227" spans="1:24">
      <c r="A11227">
        <f>HYPERLINK("https://www.philgeps.gov.ph/GEPSNONPILOT/Tender/SplashBidNoticeAbstractUI.aspx?menuIndex=3&amp;refID=7126587&amp;Result=3","7126587")</f>
        <v>0</v>
      </c>
      <c r="B11227" t="s">
        <v>836</v>
      </c>
      <c r="C11227" t="s">
        <v>14416</v>
      </c>
      <c r="D11227" t="s">
        <v>17952</v>
      </c>
      <c r="E11227" t="s">
        <v>27737</v>
      </c>
      <c r="F11227" t="s">
        <v>30900</v>
      </c>
      <c r="G11227" t="s">
        <v>30907</v>
      </c>
      <c r="H11227" t="s">
        <v>30916</v>
      </c>
      <c r="I11227" t="s">
        <v>4142</v>
      </c>
      <c r="J11227" t="s">
        <v>38030</v>
      </c>
      <c r="K11227" t="s">
        <v>40286</v>
      </c>
      <c r="M11227" t="s">
        <v>41409</v>
      </c>
      <c r="N11227" t="s">
        <v>44759</v>
      </c>
      <c r="O11227" t="s">
        <v>44760</v>
      </c>
      <c r="P11227">
        <v>0</v>
      </c>
      <c r="Q11227">
        <v>3</v>
      </c>
      <c r="R11227" t="s">
        <v>44774</v>
      </c>
      <c r="S11227" t="s">
        <v>45266</v>
      </c>
      <c r="T11227" t="s">
        <v>46472</v>
      </c>
      <c r="U11227" t="s">
        <v>56174</v>
      </c>
      <c r="W11227" t="s">
        <v>41409</v>
      </c>
      <c r="X11227" t="s">
        <v>44775</v>
      </c>
    </row>
    <row r="11228" spans="1:24">
      <c r="A11228">
        <f>HYPERLINK("https://www.philgeps.gov.ph/GEPSNONPILOT/Tender/SplashBidNoticeAbstractUI.aspx?menuIndex=3&amp;refID=7127143&amp;Result=3","7127143")</f>
        <v>0</v>
      </c>
      <c r="B11228" t="s">
        <v>382</v>
      </c>
      <c r="C11228" t="s">
        <v>14417</v>
      </c>
      <c r="E11228" t="s">
        <v>27738</v>
      </c>
      <c r="F11228" t="s">
        <v>30900</v>
      </c>
      <c r="G11228" t="s">
        <v>30907</v>
      </c>
      <c r="H11228" t="s">
        <v>30916</v>
      </c>
      <c r="I11228" t="s">
        <v>4142</v>
      </c>
      <c r="J11228" t="s">
        <v>38031</v>
      </c>
      <c r="K11228" t="s">
        <v>40286</v>
      </c>
      <c r="M11228" t="s">
        <v>43552</v>
      </c>
      <c r="N11228" t="s">
        <v>44759</v>
      </c>
      <c r="O11228" t="s">
        <v>44760</v>
      </c>
      <c r="P11228">
        <v>0</v>
      </c>
      <c r="Q11228">
        <v>1</v>
      </c>
      <c r="R11228" t="s">
        <v>44774</v>
      </c>
      <c r="S11228" t="s">
        <v>45266</v>
      </c>
      <c r="T11228" t="s">
        <v>46425</v>
      </c>
      <c r="U11228" t="s">
        <v>50345</v>
      </c>
      <c r="W11228" t="s">
        <v>43552</v>
      </c>
      <c r="X11228" t="s">
        <v>44775</v>
      </c>
    </row>
    <row r="11229" spans="1:24">
      <c r="A11229">
        <f>HYPERLINK("https://www.philgeps.gov.ph/GEPSNONPILOT/Tender/SplashBidNoticeAbstractUI.aspx?menuIndex=3&amp;refID=7127134&amp;Result=3","7127134")</f>
        <v>0</v>
      </c>
      <c r="B11229" t="s">
        <v>3326</v>
      </c>
      <c r="C11229" t="s">
        <v>14418</v>
      </c>
      <c r="D11229" t="s">
        <v>17962</v>
      </c>
      <c r="E11229" t="s">
        <v>27739</v>
      </c>
      <c r="F11229" t="s">
        <v>30900</v>
      </c>
      <c r="G11229" t="s">
        <v>30907</v>
      </c>
      <c r="H11229" t="s">
        <v>30915</v>
      </c>
      <c r="I11229" t="s">
        <v>30919</v>
      </c>
      <c r="J11229" t="s">
        <v>37403</v>
      </c>
      <c r="K11229" t="s">
        <v>40345</v>
      </c>
      <c r="M11229" t="s">
        <v>44185</v>
      </c>
      <c r="N11229" t="s">
        <v>44759</v>
      </c>
      <c r="O11229" t="s">
        <v>44760</v>
      </c>
      <c r="Q11229">
        <v>1</v>
      </c>
      <c r="R11229" t="s">
        <v>44774</v>
      </c>
      <c r="S11229" t="s">
        <v>45301</v>
      </c>
      <c r="T11229" t="s">
        <v>46457</v>
      </c>
      <c r="U11229" t="s">
        <v>56175</v>
      </c>
      <c r="W11229" t="s">
        <v>44185</v>
      </c>
      <c r="X11229" t="s">
        <v>44775</v>
      </c>
    </row>
    <row r="11230" spans="1:24">
      <c r="A11230">
        <f>HYPERLINK("https://www.philgeps.gov.ph/GEPSNONPILOT/Tender/SplashBidNoticeAbstractUI.aspx?menuIndex=3&amp;refID=7127099&amp;Result=3","7127099")</f>
        <v>0</v>
      </c>
      <c r="B11230" t="s">
        <v>463</v>
      </c>
      <c r="C11230" t="s">
        <v>14419</v>
      </c>
      <c r="D11230" t="s">
        <v>18028</v>
      </c>
      <c r="E11230" t="s">
        <v>27740</v>
      </c>
      <c r="F11230" t="s">
        <v>30900</v>
      </c>
      <c r="G11230" t="s">
        <v>30907</v>
      </c>
      <c r="H11230" t="s">
        <v>30916</v>
      </c>
      <c r="I11230" t="s">
        <v>5501</v>
      </c>
      <c r="J11230" t="s">
        <v>38032</v>
      </c>
      <c r="K11230" t="s">
        <v>40291</v>
      </c>
      <c r="L11230" t="s">
        <v>463</v>
      </c>
      <c r="M11230" t="s">
        <v>41021</v>
      </c>
      <c r="N11230" t="s">
        <v>44759</v>
      </c>
      <c r="O11230" t="s">
        <v>44760</v>
      </c>
      <c r="P11230">
        <v>0</v>
      </c>
      <c r="Q11230">
        <v>4</v>
      </c>
      <c r="R11230" t="s">
        <v>44774</v>
      </c>
      <c r="S11230" t="s">
        <v>45266</v>
      </c>
      <c r="T11230" t="s">
        <v>46399</v>
      </c>
      <c r="U11230" t="s">
        <v>56176</v>
      </c>
      <c r="V11230" t="s">
        <v>59766</v>
      </c>
      <c r="W11230" t="s">
        <v>41021</v>
      </c>
      <c r="X11230" t="s">
        <v>44775</v>
      </c>
    </row>
    <row r="11231" spans="1:24">
      <c r="A11231">
        <f>HYPERLINK("https://www.philgeps.gov.ph/GEPSNONPILOT/Tender/SplashBidNoticeAbstractUI.aspx?menuIndex=3&amp;refID=7127220&amp;Result=3","7127220")</f>
        <v>0</v>
      </c>
      <c r="B11231" t="s">
        <v>1584</v>
      </c>
      <c r="C11231" t="s">
        <v>14420</v>
      </c>
      <c r="D11231" t="s">
        <v>18025</v>
      </c>
      <c r="E11231" t="s">
        <v>27741</v>
      </c>
      <c r="F11231" t="s">
        <v>30900</v>
      </c>
      <c r="G11231" t="s">
        <v>30906</v>
      </c>
      <c r="H11231" t="s">
        <v>30915</v>
      </c>
      <c r="I11231" t="s">
        <v>30919</v>
      </c>
      <c r="J11231" t="s">
        <v>38033</v>
      </c>
      <c r="K11231" t="s">
        <v>40280</v>
      </c>
      <c r="M11231" t="s">
        <v>42231</v>
      </c>
      <c r="N11231" t="s">
        <v>44759</v>
      </c>
      <c r="O11231" t="s">
        <v>44760</v>
      </c>
      <c r="P11231">
        <v>0</v>
      </c>
      <c r="Q11231">
        <v>4</v>
      </c>
      <c r="R11231" t="s">
        <v>44774</v>
      </c>
      <c r="S11231" t="s">
        <v>45266</v>
      </c>
      <c r="T11231" t="s">
        <v>46625</v>
      </c>
      <c r="U11231" t="s">
        <v>56177</v>
      </c>
      <c r="W11231" t="s">
        <v>42231</v>
      </c>
      <c r="X11231" t="s">
        <v>44775</v>
      </c>
    </row>
    <row r="11232" spans="1:24">
      <c r="A11232">
        <f>HYPERLINK("https://www.philgeps.gov.ph/GEPSNONPILOT/Tender/SplashBidNoticeAbstractUI.aspx?menuIndex=3&amp;refID=7127196&amp;Result=3","7127196")</f>
        <v>0</v>
      </c>
      <c r="B11232" t="s">
        <v>1553</v>
      </c>
      <c r="C11232" t="s">
        <v>14421</v>
      </c>
      <c r="D11232" t="s">
        <v>18027</v>
      </c>
      <c r="E11232" t="s">
        <v>27742</v>
      </c>
      <c r="F11232" t="s">
        <v>30900</v>
      </c>
      <c r="G11232" t="s">
        <v>30907</v>
      </c>
      <c r="H11232" t="s">
        <v>30915</v>
      </c>
      <c r="I11232" t="s">
        <v>30919</v>
      </c>
      <c r="J11232" t="s">
        <v>38034</v>
      </c>
      <c r="K11232" t="s">
        <v>40286</v>
      </c>
      <c r="M11232" t="s">
        <v>42198</v>
      </c>
      <c r="N11232" t="s">
        <v>44759</v>
      </c>
      <c r="O11232" t="s">
        <v>44760</v>
      </c>
      <c r="P11232">
        <v>0</v>
      </c>
      <c r="Q11232">
        <v>0</v>
      </c>
      <c r="R11232" t="s">
        <v>44774</v>
      </c>
      <c r="S11232" t="s">
        <v>45266</v>
      </c>
      <c r="T11232" t="s">
        <v>46409</v>
      </c>
      <c r="U11232" t="s">
        <v>56178</v>
      </c>
      <c r="V11232" t="s">
        <v>60389</v>
      </c>
      <c r="W11232" t="s">
        <v>42198</v>
      </c>
      <c r="X11232" t="s">
        <v>44775</v>
      </c>
    </row>
    <row r="11233" spans="1:24">
      <c r="A11233">
        <f>HYPERLINK("https://www.philgeps.gov.ph/GEPSNONPILOT/Tender/SplashBidNoticeAbstractUI.aspx?menuIndex=3&amp;refID=7127189&amp;Result=3","7127189")</f>
        <v>0</v>
      </c>
      <c r="B11233" t="s">
        <v>901</v>
      </c>
      <c r="C11233" t="s">
        <v>14422</v>
      </c>
      <c r="D11233" t="s">
        <v>18000</v>
      </c>
      <c r="E11233" t="s">
        <v>25806</v>
      </c>
      <c r="F11233" t="s">
        <v>30900</v>
      </c>
      <c r="G11233" t="s">
        <v>30907</v>
      </c>
      <c r="H11233" t="s">
        <v>30915</v>
      </c>
      <c r="I11233" t="s">
        <v>30919</v>
      </c>
      <c r="J11233" t="s">
        <v>38035</v>
      </c>
      <c r="K11233" t="s">
        <v>40292</v>
      </c>
      <c r="M11233" t="s">
        <v>41475</v>
      </c>
      <c r="N11233" t="s">
        <v>44759</v>
      </c>
      <c r="O11233" t="s">
        <v>44760</v>
      </c>
      <c r="P11233">
        <v>0</v>
      </c>
      <c r="Q11233">
        <v>2</v>
      </c>
      <c r="R11233" t="s">
        <v>44774</v>
      </c>
      <c r="S11233" t="s">
        <v>45266</v>
      </c>
      <c r="T11233" t="s">
        <v>46389</v>
      </c>
      <c r="U11233" t="s">
        <v>56179</v>
      </c>
      <c r="W11233" t="s">
        <v>41475</v>
      </c>
      <c r="X11233" t="s">
        <v>44775</v>
      </c>
    </row>
    <row r="11234" spans="1:24">
      <c r="A11234">
        <f>HYPERLINK("https://www.philgeps.gov.ph/GEPSNONPILOT/Tender/SplashBidNoticeAbstractUI.aspx?menuIndex=3&amp;refID=7127098&amp;Result=3","7127098")</f>
        <v>0</v>
      </c>
      <c r="B11234" t="s">
        <v>3321</v>
      </c>
      <c r="C11234" t="s">
        <v>14423</v>
      </c>
      <c r="D11234" t="s">
        <v>17952</v>
      </c>
      <c r="E11234" t="s">
        <v>27743</v>
      </c>
      <c r="F11234" t="s">
        <v>30900</v>
      </c>
      <c r="G11234" t="s">
        <v>30907</v>
      </c>
      <c r="H11234" t="s">
        <v>30915</v>
      </c>
      <c r="I11234" t="s">
        <v>30919</v>
      </c>
      <c r="J11234" t="s">
        <v>31243</v>
      </c>
      <c r="K11234" t="s">
        <v>40292</v>
      </c>
      <c r="L11234" t="s">
        <v>3321</v>
      </c>
      <c r="M11234" t="s">
        <v>44180</v>
      </c>
      <c r="N11234" t="s">
        <v>44759</v>
      </c>
      <c r="O11234" t="s">
        <v>44760</v>
      </c>
      <c r="P11234">
        <v>0</v>
      </c>
      <c r="Q11234">
        <v>0</v>
      </c>
      <c r="R11234" t="s">
        <v>44774</v>
      </c>
      <c r="S11234" t="s">
        <v>45266</v>
      </c>
      <c r="T11234" t="s">
        <v>46353</v>
      </c>
      <c r="U11234" t="s">
        <v>56180</v>
      </c>
      <c r="W11234" t="s">
        <v>44180</v>
      </c>
      <c r="X11234" t="s">
        <v>44775</v>
      </c>
    </row>
    <row r="11235" spans="1:24">
      <c r="A11235">
        <f>HYPERLINK("https://www.philgeps.gov.ph/GEPSNONPILOT/Tender/SplashBidNoticeAbstractUI.aspx?menuIndex=3&amp;refID=7127082&amp;Result=3","7127082")</f>
        <v>0</v>
      </c>
      <c r="B11235" t="s">
        <v>1043</v>
      </c>
      <c r="C11235" t="s">
        <v>14424</v>
      </c>
      <c r="D11235" t="s">
        <v>18000</v>
      </c>
      <c r="E11235" t="s">
        <v>27744</v>
      </c>
      <c r="F11235" t="s">
        <v>30900</v>
      </c>
      <c r="G11235" t="s">
        <v>30907</v>
      </c>
      <c r="H11235" t="s">
        <v>30915</v>
      </c>
      <c r="I11235" t="s">
        <v>30919</v>
      </c>
      <c r="J11235" t="s">
        <v>38036</v>
      </c>
      <c r="K11235" t="s">
        <v>40289</v>
      </c>
      <c r="M11235" t="s">
        <v>43271</v>
      </c>
      <c r="N11235" t="s">
        <v>44759</v>
      </c>
      <c r="O11235" t="s">
        <v>44760</v>
      </c>
      <c r="P11235">
        <v>0</v>
      </c>
      <c r="Q11235">
        <v>2</v>
      </c>
      <c r="R11235" t="s">
        <v>44774</v>
      </c>
      <c r="S11235" t="s">
        <v>45266</v>
      </c>
      <c r="T11235" t="s">
        <v>46425</v>
      </c>
      <c r="U11235" t="s">
        <v>56181</v>
      </c>
      <c r="W11235" t="s">
        <v>43271</v>
      </c>
      <c r="X11235" t="s">
        <v>44775</v>
      </c>
    </row>
    <row r="11236" spans="1:24">
      <c r="A11236">
        <f>HYPERLINK("https://www.philgeps.gov.ph/GEPSNONPILOT/Tender/SplashBidNoticeAbstractUI.aspx?menuIndex=3&amp;refID=7127216&amp;Result=3","7127216")</f>
        <v>0</v>
      </c>
      <c r="B11236" t="s">
        <v>386</v>
      </c>
      <c r="C11236" t="s">
        <v>14425</v>
      </c>
      <c r="D11236" t="s">
        <v>17987</v>
      </c>
      <c r="E11236" t="s">
        <v>27745</v>
      </c>
      <c r="F11236" t="s">
        <v>30900</v>
      </c>
      <c r="G11236" t="s">
        <v>30907</v>
      </c>
      <c r="H11236" t="s">
        <v>30916</v>
      </c>
      <c r="I11236" t="s">
        <v>4142</v>
      </c>
      <c r="J11236" t="s">
        <v>38037</v>
      </c>
      <c r="K11236" t="s">
        <v>40283</v>
      </c>
      <c r="M11236" t="s">
        <v>40941</v>
      </c>
      <c r="N11236" t="s">
        <v>44759</v>
      </c>
      <c r="O11236" t="s">
        <v>44760</v>
      </c>
      <c r="P11236">
        <v>0</v>
      </c>
      <c r="Q11236">
        <v>4</v>
      </c>
      <c r="R11236" t="s">
        <v>44774</v>
      </c>
      <c r="S11236" t="s">
        <v>45266</v>
      </c>
      <c r="T11236" t="s">
        <v>46425</v>
      </c>
      <c r="U11236" t="s">
        <v>56182</v>
      </c>
      <c r="V11236" t="s">
        <v>60390</v>
      </c>
      <c r="W11236" t="s">
        <v>40941</v>
      </c>
      <c r="X11236" t="s">
        <v>44775</v>
      </c>
    </row>
    <row r="11237" spans="1:24">
      <c r="A11237">
        <f>HYPERLINK("https://www.philgeps.gov.ph/GEPSNONPILOT/Tender/SplashBidNoticeAbstractUI.aspx?menuIndex=3&amp;refID=7127233&amp;Result=3","7127233")</f>
        <v>0</v>
      </c>
      <c r="B11237" t="s">
        <v>2697</v>
      </c>
      <c r="C11237" t="s">
        <v>14426</v>
      </c>
      <c r="D11237" t="s">
        <v>17973</v>
      </c>
      <c r="E11237" t="s">
        <v>27746</v>
      </c>
      <c r="F11237" t="s">
        <v>30900</v>
      </c>
      <c r="G11237" t="s">
        <v>30907</v>
      </c>
      <c r="H11237" t="s">
        <v>30915</v>
      </c>
      <c r="I11237" t="s">
        <v>30919</v>
      </c>
      <c r="J11237" t="s">
        <v>38038</v>
      </c>
      <c r="K11237" t="s">
        <v>40516</v>
      </c>
      <c r="M11237" t="s">
        <v>44186</v>
      </c>
      <c r="N11237" t="s">
        <v>44759</v>
      </c>
      <c r="O11237" t="s">
        <v>44760</v>
      </c>
      <c r="P11237">
        <v>0</v>
      </c>
      <c r="Q11237">
        <v>0</v>
      </c>
      <c r="R11237" t="s">
        <v>44774</v>
      </c>
      <c r="S11237" t="s">
        <v>45266</v>
      </c>
      <c r="T11237" t="s">
        <v>46466</v>
      </c>
      <c r="U11237" t="s">
        <v>56183</v>
      </c>
      <c r="W11237" t="s">
        <v>44186</v>
      </c>
      <c r="X11237" t="s">
        <v>44775</v>
      </c>
    </row>
    <row r="11238" spans="1:24">
      <c r="A11238">
        <f>HYPERLINK("https://www.philgeps.gov.ph/GEPSNONPILOT/Tender/SplashBidNoticeAbstractUI.aspx?menuIndex=3&amp;refID=7127286&amp;Result=3","7127286")</f>
        <v>0</v>
      </c>
      <c r="B11238" t="s">
        <v>115</v>
      </c>
      <c r="C11238" t="s">
        <v>14427</v>
      </c>
      <c r="D11238" t="s">
        <v>17960</v>
      </c>
      <c r="E11238" t="s">
        <v>27747</v>
      </c>
      <c r="F11238" t="s">
        <v>30900</v>
      </c>
      <c r="G11238" t="s">
        <v>30907</v>
      </c>
      <c r="H11238" t="s">
        <v>30916</v>
      </c>
      <c r="I11238" t="s">
        <v>6953</v>
      </c>
      <c r="J11238" t="s">
        <v>38039</v>
      </c>
      <c r="K11238" t="s">
        <v>40286</v>
      </c>
      <c r="M11238" t="s">
        <v>40662</v>
      </c>
      <c r="N11238" t="s">
        <v>44759</v>
      </c>
      <c r="O11238" t="s">
        <v>44760</v>
      </c>
      <c r="Q11238">
        <v>0</v>
      </c>
      <c r="R11238" t="s">
        <v>44774</v>
      </c>
      <c r="S11238" t="s">
        <v>45302</v>
      </c>
      <c r="T11238" t="s">
        <v>46353</v>
      </c>
      <c r="U11238" t="s">
        <v>56184</v>
      </c>
      <c r="V11238" t="s">
        <v>60391</v>
      </c>
      <c r="W11238" t="s">
        <v>40662</v>
      </c>
      <c r="X11238" t="s">
        <v>44775</v>
      </c>
    </row>
    <row r="11239" spans="1:24">
      <c r="A11239">
        <f>HYPERLINK("https://www.philgeps.gov.ph/GEPSNONPILOT/Tender/SplashBidNoticeAbstractUI.aspx?menuIndex=3&amp;refID=7127084&amp;Result=3","7127084")</f>
        <v>0</v>
      </c>
      <c r="B11239" t="s">
        <v>3327</v>
      </c>
      <c r="C11239" t="s">
        <v>14428</v>
      </c>
      <c r="D11239" t="s">
        <v>18002</v>
      </c>
      <c r="E11239" t="s">
        <v>27748</v>
      </c>
      <c r="F11239" t="s">
        <v>30900</v>
      </c>
      <c r="G11239" t="s">
        <v>30907</v>
      </c>
      <c r="H11239" t="s">
        <v>30916</v>
      </c>
      <c r="I11239" t="s">
        <v>30918</v>
      </c>
      <c r="J11239" t="s">
        <v>38040</v>
      </c>
      <c r="K11239" t="s">
        <v>40341</v>
      </c>
      <c r="M11239" t="s">
        <v>44187</v>
      </c>
      <c r="N11239" t="s">
        <v>44759</v>
      </c>
      <c r="O11239" t="s">
        <v>44760</v>
      </c>
      <c r="Q11239">
        <v>6</v>
      </c>
      <c r="R11239" t="s">
        <v>44774</v>
      </c>
      <c r="S11239" t="s">
        <v>45303</v>
      </c>
      <c r="T11239" t="s">
        <v>46405</v>
      </c>
      <c r="U11239" t="s">
        <v>56185</v>
      </c>
      <c r="V11239" t="s">
        <v>50643</v>
      </c>
      <c r="W11239" t="s">
        <v>60925</v>
      </c>
      <c r="X11239" t="s">
        <v>44775</v>
      </c>
    </row>
    <row r="11240" spans="1:24">
      <c r="A11240">
        <f>HYPERLINK("https://www.philgeps.gov.ph/GEPSNONPILOT/Tender/SplashBidNoticeAbstractUI.aspx?menuIndex=3&amp;refID=7127160&amp;Result=3","7127160")</f>
        <v>0</v>
      </c>
      <c r="B11240" t="s">
        <v>3328</v>
      </c>
      <c r="C11240" t="s">
        <v>14429</v>
      </c>
      <c r="D11240" t="s">
        <v>17952</v>
      </c>
      <c r="E11240" t="s">
        <v>22265</v>
      </c>
      <c r="F11240" t="s">
        <v>30900</v>
      </c>
      <c r="G11240" t="s">
        <v>30907</v>
      </c>
      <c r="H11240" t="s">
        <v>30916</v>
      </c>
      <c r="I11240" t="s">
        <v>4017</v>
      </c>
      <c r="J11240" t="s">
        <v>31049</v>
      </c>
      <c r="K11240" t="s">
        <v>40288</v>
      </c>
      <c r="L11240" t="s">
        <v>3328</v>
      </c>
      <c r="M11240" t="s">
        <v>44188</v>
      </c>
      <c r="N11240" t="s">
        <v>44759</v>
      </c>
      <c r="O11240" t="s">
        <v>44760</v>
      </c>
      <c r="P11240">
        <v>0</v>
      </c>
      <c r="Q11240">
        <v>1</v>
      </c>
      <c r="R11240" t="s">
        <v>44774</v>
      </c>
      <c r="S11240" t="s">
        <v>45266</v>
      </c>
      <c r="T11240" t="s">
        <v>46353</v>
      </c>
      <c r="U11240" t="s">
        <v>56186</v>
      </c>
      <c r="W11240" t="s">
        <v>44188</v>
      </c>
      <c r="X11240" t="s">
        <v>44775</v>
      </c>
    </row>
    <row r="11241" spans="1:24">
      <c r="A11241">
        <f>HYPERLINK("https://www.philgeps.gov.ph/GEPSNONPILOT/Tender/SplashBidNoticeAbstractUI.aspx?menuIndex=3&amp;refID=7127254&amp;Result=3","7127254")</f>
        <v>0</v>
      </c>
      <c r="B11241" t="s">
        <v>322</v>
      </c>
      <c r="C11241" t="s">
        <v>14430</v>
      </c>
      <c r="D11241" t="s">
        <v>17959</v>
      </c>
      <c r="E11241" t="s">
        <v>27749</v>
      </c>
      <c r="F11241" t="s">
        <v>30900</v>
      </c>
      <c r="G11241" t="s">
        <v>30907</v>
      </c>
      <c r="H11241" t="s">
        <v>30916</v>
      </c>
      <c r="I11241" t="s">
        <v>5830</v>
      </c>
      <c r="J11241" t="s">
        <v>38041</v>
      </c>
      <c r="K11241" t="s">
        <v>40314</v>
      </c>
      <c r="M11241" t="s">
        <v>43245</v>
      </c>
      <c r="N11241" t="s">
        <v>44759</v>
      </c>
      <c r="O11241" t="s">
        <v>44760</v>
      </c>
      <c r="P11241">
        <v>0</v>
      </c>
      <c r="Q11241">
        <v>20</v>
      </c>
      <c r="R11241" t="s">
        <v>44774</v>
      </c>
      <c r="S11241" t="s">
        <v>45266</v>
      </c>
      <c r="T11241" t="s">
        <v>46373</v>
      </c>
      <c r="U11241" t="s">
        <v>56187</v>
      </c>
      <c r="W11241" t="s">
        <v>43245</v>
      </c>
      <c r="X11241" t="s">
        <v>44775</v>
      </c>
    </row>
    <row r="11242" spans="1:24">
      <c r="A11242">
        <f>HYPERLINK("https://www.philgeps.gov.ph/GEPSNONPILOT/Tender/SplashBidNoticeAbstractUI.aspx?menuIndex=3&amp;refID=7127152&amp;Result=3","7127152")</f>
        <v>0</v>
      </c>
      <c r="B11242" t="s">
        <v>1043</v>
      </c>
      <c r="C11242" t="s">
        <v>14431</v>
      </c>
      <c r="D11242" t="s">
        <v>18000</v>
      </c>
      <c r="E11242" t="s">
        <v>27750</v>
      </c>
      <c r="F11242" t="s">
        <v>30900</v>
      </c>
      <c r="G11242" t="s">
        <v>30907</v>
      </c>
      <c r="H11242" t="s">
        <v>30915</v>
      </c>
      <c r="I11242" t="s">
        <v>30919</v>
      </c>
      <c r="J11242" t="s">
        <v>38042</v>
      </c>
      <c r="K11242" t="s">
        <v>40289</v>
      </c>
      <c r="M11242" t="s">
        <v>43271</v>
      </c>
      <c r="N11242" t="s">
        <v>44759</v>
      </c>
      <c r="O11242" t="s">
        <v>44760</v>
      </c>
      <c r="P11242">
        <v>0</v>
      </c>
      <c r="Q11242">
        <v>0</v>
      </c>
      <c r="R11242" t="s">
        <v>44774</v>
      </c>
      <c r="S11242" t="s">
        <v>45266</v>
      </c>
      <c r="T11242" t="s">
        <v>46425</v>
      </c>
      <c r="U11242" t="s">
        <v>56188</v>
      </c>
      <c r="W11242" t="s">
        <v>43271</v>
      </c>
      <c r="X11242" t="s">
        <v>44775</v>
      </c>
    </row>
    <row r="11243" spans="1:24">
      <c r="A11243">
        <f>HYPERLINK("https://www.philgeps.gov.ph/GEPSNONPILOT/Tender/SplashBidNoticeAbstractUI.aspx?menuIndex=3&amp;refID=7127081&amp;Result=3","7127081")</f>
        <v>0</v>
      </c>
      <c r="B11243" t="s">
        <v>3326</v>
      </c>
      <c r="C11243" t="s">
        <v>14432</v>
      </c>
      <c r="D11243" t="s">
        <v>17962</v>
      </c>
      <c r="E11243" t="s">
        <v>27751</v>
      </c>
      <c r="F11243" t="s">
        <v>30900</v>
      </c>
      <c r="G11243" t="s">
        <v>30907</v>
      </c>
      <c r="H11243" t="s">
        <v>30915</v>
      </c>
      <c r="I11243" t="s">
        <v>30919</v>
      </c>
      <c r="J11243" t="s">
        <v>38043</v>
      </c>
      <c r="K11243" t="s">
        <v>40395</v>
      </c>
      <c r="M11243" t="s">
        <v>44185</v>
      </c>
      <c r="N11243" t="s">
        <v>44759</v>
      </c>
      <c r="O11243" t="s">
        <v>44760</v>
      </c>
      <c r="P11243">
        <v>0</v>
      </c>
      <c r="Q11243">
        <v>0</v>
      </c>
      <c r="R11243" t="s">
        <v>44774</v>
      </c>
      <c r="S11243" t="s">
        <v>45266</v>
      </c>
      <c r="T11243" t="s">
        <v>46457</v>
      </c>
      <c r="U11243" t="s">
        <v>56189</v>
      </c>
      <c r="W11243" t="s">
        <v>44185</v>
      </c>
      <c r="X11243" t="s">
        <v>44775</v>
      </c>
    </row>
    <row r="11244" spans="1:24">
      <c r="A11244">
        <f>HYPERLINK("https://www.philgeps.gov.ph/GEPSNONPILOT/Tender/SplashBidNoticeAbstractUI.aspx?menuIndex=3&amp;refID=7127246&amp;Result=3","7127246")</f>
        <v>0</v>
      </c>
      <c r="B11244" t="s">
        <v>806</v>
      </c>
      <c r="C11244" t="s">
        <v>14433</v>
      </c>
      <c r="D11244" t="s">
        <v>18029</v>
      </c>
      <c r="E11244" t="s">
        <v>27752</v>
      </c>
      <c r="F11244" t="s">
        <v>30900</v>
      </c>
      <c r="G11244" t="s">
        <v>30907</v>
      </c>
      <c r="H11244" t="s">
        <v>30916</v>
      </c>
      <c r="I11244" t="s">
        <v>6953</v>
      </c>
      <c r="J11244" t="s">
        <v>38044</v>
      </c>
      <c r="K11244" t="s">
        <v>40286</v>
      </c>
      <c r="M11244" t="s">
        <v>41376</v>
      </c>
      <c r="N11244" t="s">
        <v>44759</v>
      </c>
      <c r="O11244" t="s">
        <v>44760</v>
      </c>
      <c r="Q11244">
        <v>3</v>
      </c>
      <c r="R11244" t="s">
        <v>44774</v>
      </c>
      <c r="S11244" t="s">
        <v>45304</v>
      </c>
      <c r="T11244" t="s">
        <v>46766</v>
      </c>
      <c r="U11244" t="s">
        <v>56190</v>
      </c>
      <c r="W11244" t="s">
        <v>41376</v>
      </c>
      <c r="X11244" t="s">
        <v>44775</v>
      </c>
    </row>
    <row r="11245" spans="1:24">
      <c r="A11245">
        <f>HYPERLINK("https://www.philgeps.gov.ph/GEPSNONPILOT/Tender/SplashBidNoticeAbstractUI.aspx?menuIndex=3&amp;refID=7127289&amp;Result=3","7127289")</f>
        <v>0</v>
      </c>
      <c r="B11245" t="s">
        <v>427</v>
      </c>
      <c r="C11245" t="s">
        <v>14434</v>
      </c>
      <c r="D11245" t="s">
        <v>17986</v>
      </c>
      <c r="E11245" t="s">
        <v>18764</v>
      </c>
      <c r="F11245" t="s">
        <v>30900</v>
      </c>
      <c r="G11245" t="s">
        <v>30907</v>
      </c>
      <c r="H11245" t="s">
        <v>30915</v>
      </c>
      <c r="I11245" t="s">
        <v>30919</v>
      </c>
      <c r="J11245" t="s">
        <v>38045</v>
      </c>
      <c r="K11245" t="s">
        <v>40289</v>
      </c>
      <c r="M11245" t="s">
        <v>40984</v>
      </c>
      <c r="N11245" t="s">
        <v>44759</v>
      </c>
      <c r="O11245" t="s">
        <v>44760</v>
      </c>
      <c r="Q11245">
        <v>1</v>
      </c>
      <c r="R11245" t="s">
        <v>44774</v>
      </c>
      <c r="S11245" t="s">
        <v>45305</v>
      </c>
      <c r="T11245" t="s">
        <v>46495</v>
      </c>
      <c r="U11245" t="s">
        <v>56191</v>
      </c>
      <c r="V11245" t="s">
        <v>60392</v>
      </c>
      <c r="W11245" t="s">
        <v>40984</v>
      </c>
      <c r="X11245" t="s">
        <v>44775</v>
      </c>
    </row>
    <row r="11246" spans="1:24">
      <c r="A11246">
        <f>HYPERLINK("https://www.philgeps.gov.ph/GEPSNONPILOT/Tender/SplashBidNoticeAbstractUI.aspx?menuIndex=3&amp;refID=7127359&amp;Result=3","7127359")</f>
        <v>0</v>
      </c>
      <c r="B11246" t="s">
        <v>2819</v>
      </c>
      <c r="C11246" t="s">
        <v>12019</v>
      </c>
      <c r="E11246" t="s">
        <v>25649</v>
      </c>
      <c r="F11246" t="s">
        <v>30900</v>
      </c>
      <c r="G11246" t="s">
        <v>30907</v>
      </c>
      <c r="H11246" t="s">
        <v>30916</v>
      </c>
      <c r="I11246" t="s">
        <v>30947</v>
      </c>
      <c r="J11246" t="s">
        <v>31152</v>
      </c>
      <c r="K11246" t="s">
        <v>40289</v>
      </c>
      <c r="M11246" t="s">
        <v>43604</v>
      </c>
      <c r="N11246" t="s">
        <v>44759</v>
      </c>
      <c r="O11246" t="s">
        <v>44760</v>
      </c>
      <c r="P11246">
        <v>0</v>
      </c>
      <c r="Q11246">
        <v>9</v>
      </c>
      <c r="R11246" t="s">
        <v>44774</v>
      </c>
      <c r="S11246" t="s">
        <v>45266</v>
      </c>
      <c r="T11246" t="s">
        <v>46352</v>
      </c>
      <c r="U11246" t="s">
        <v>54193</v>
      </c>
      <c r="W11246" t="s">
        <v>43604</v>
      </c>
      <c r="X11246" t="s">
        <v>44775</v>
      </c>
    </row>
    <row r="11247" spans="1:24">
      <c r="A11247">
        <f>HYPERLINK("https://www.philgeps.gov.ph/GEPSNONPILOT/Tender/SplashBidNoticeAbstractUI.aspx?menuIndex=3&amp;refID=7127357&amp;Result=3","7127357")</f>
        <v>0</v>
      </c>
      <c r="B11247" t="s">
        <v>3329</v>
      </c>
      <c r="C11247" t="s">
        <v>14435</v>
      </c>
      <c r="D11247" t="s">
        <v>17954</v>
      </c>
      <c r="E11247" t="s">
        <v>18169</v>
      </c>
      <c r="F11247" t="s">
        <v>30900</v>
      </c>
      <c r="G11247" t="s">
        <v>30907</v>
      </c>
      <c r="H11247" t="s">
        <v>30915</v>
      </c>
      <c r="I11247" t="s">
        <v>30919</v>
      </c>
      <c r="J11247" t="s">
        <v>31049</v>
      </c>
      <c r="K11247" t="s">
        <v>40286</v>
      </c>
      <c r="M11247" t="s">
        <v>44189</v>
      </c>
      <c r="N11247" t="s">
        <v>44759</v>
      </c>
      <c r="O11247" t="s">
        <v>44760</v>
      </c>
      <c r="P11247">
        <v>0</v>
      </c>
      <c r="Q11247">
        <v>0</v>
      </c>
      <c r="R11247" t="s">
        <v>44774</v>
      </c>
      <c r="S11247" t="s">
        <v>45266</v>
      </c>
      <c r="T11247" t="s">
        <v>46356</v>
      </c>
      <c r="U11247" t="s">
        <v>56192</v>
      </c>
      <c r="W11247" t="s">
        <v>44189</v>
      </c>
      <c r="X11247" t="s">
        <v>44775</v>
      </c>
    </row>
    <row r="11248" spans="1:24">
      <c r="A11248">
        <f>HYPERLINK("https://www.philgeps.gov.ph/GEPSNONPILOT/Tender/SplashBidNoticeAbstractUI.aspx?menuIndex=3&amp;refID=7127328&amp;Result=3","7127328")</f>
        <v>0</v>
      </c>
      <c r="B11248" t="s">
        <v>513</v>
      </c>
      <c r="C11248" t="s">
        <v>14436</v>
      </c>
      <c r="D11248" t="s">
        <v>17972</v>
      </c>
      <c r="E11248" t="s">
        <v>27753</v>
      </c>
      <c r="F11248" t="s">
        <v>30900</v>
      </c>
      <c r="G11248" t="s">
        <v>30907</v>
      </c>
      <c r="H11248" t="s">
        <v>30915</v>
      </c>
      <c r="I11248" t="s">
        <v>30919</v>
      </c>
      <c r="J11248" t="s">
        <v>38046</v>
      </c>
      <c r="K11248" t="s">
        <v>40342</v>
      </c>
      <c r="M11248" t="s">
        <v>41073</v>
      </c>
      <c r="N11248" t="s">
        <v>44759</v>
      </c>
      <c r="O11248" t="s">
        <v>44760</v>
      </c>
      <c r="P11248">
        <v>0</v>
      </c>
      <c r="Q11248">
        <v>2</v>
      </c>
      <c r="R11248" t="s">
        <v>44774</v>
      </c>
      <c r="S11248" t="s">
        <v>45266</v>
      </c>
      <c r="T11248" t="s">
        <v>46373</v>
      </c>
      <c r="U11248" t="s">
        <v>56193</v>
      </c>
      <c r="W11248" t="s">
        <v>41073</v>
      </c>
      <c r="X11248" t="s">
        <v>44775</v>
      </c>
    </row>
    <row r="11249" spans="1:24">
      <c r="A11249">
        <f>HYPERLINK("https://www.philgeps.gov.ph/GEPSNONPILOT/Tender/SplashBidNoticeAbstractUI.aspx?menuIndex=3&amp;refID=7127318&amp;Result=3","7127318")</f>
        <v>0</v>
      </c>
      <c r="B11249" t="s">
        <v>2010</v>
      </c>
      <c r="C11249" t="s">
        <v>14437</v>
      </c>
      <c r="D11249" t="s">
        <v>18009</v>
      </c>
      <c r="E11249" t="s">
        <v>27754</v>
      </c>
      <c r="F11249" t="s">
        <v>30900</v>
      </c>
      <c r="G11249" t="s">
        <v>30907</v>
      </c>
      <c r="H11249" t="s">
        <v>30915</v>
      </c>
      <c r="I11249" t="s">
        <v>30919</v>
      </c>
      <c r="J11249" t="s">
        <v>31297</v>
      </c>
      <c r="K11249" t="s">
        <v>40304</v>
      </c>
      <c r="M11249" t="s">
        <v>42705</v>
      </c>
      <c r="N11249" t="s">
        <v>44759</v>
      </c>
      <c r="O11249" t="s">
        <v>44760</v>
      </c>
      <c r="P11249">
        <v>0</v>
      </c>
      <c r="Q11249">
        <v>0</v>
      </c>
      <c r="R11249" t="s">
        <v>44774</v>
      </c>
      <c r="S11249" t="s">
        <v>45266</v>
      </c>
      <c r="T11249" t="s">
        <v>46770</v>
      </c>
      <c r="U11249" t="s">
        <v>56194</v>
      </c>
      <c r="W11249" t="s">
        <v>42705</v>
      </c>
      <c r="X11249" t="s">
        <v>44775</v>
      </c>
    </row>
    <row r="11250" spans="1:24">
      <c r="A11250">
        <f>HYPERLINK("https://www.philgeps.gov.ph/GEPSNONPILOT/Tender/SplashBidNoticeAbstractUI.aspx?menuIndex=3&amp;refID=7127339&amp;Result=3","7127339")</f>
        <v>0</v>
      </c>
      <c r="B11250" t="s">
        <v>427</v>
      </c>
      <c r="C11250" t="s">
        <v>14438</v>
      </c>
      <c r="D11250" t="s">
        <v>17986</v>
      </c>
      <c r="E11250" t="s">
        <v>18764</v>
      </c>
      <c r="F11250" t="s">
        <v>30900</v>
      </c>
      <c r="G11250" t="s">
        <v>30907</v>
      </c>
      <c r="H11250" t="s">
        <v>30915</v>
      </c>
      <c r="I11250" t="s">
        <v>30919</v>
      </c>
      <c r="J11250" t="s">
        <v>31094</v>
      </c>
      <c r="K11250" t="s">
        <v>40289</v>
      </c>
      <c r="M11250" t="s">
        <v>40984</v>
      </c>
      <c r="N11250" t="s">
        <v>44759</v>
      </c>
      <c r="O11250" t="s">
        <v>44760</v>
      </c>
      <c r="Q11250">
        <v>0</v>
      </c>
      <c r="R11250" t="s">
        <v>44774</v>
      </c>
      <c r="S11250" t="s">
        <v>45306</v>
      </c>
      <c r="T11250" t="s">
        <v>46495</v>
      </c>
      <c r="U11250" t="s">
        <v>56195</v>
      </c>
      <c r="V11250" t="s">
        <v>60392</v>
      </c>
      <c r="W11250" t="s">
        <v>40984</v>
      </c>
      <c r="X11250" t="s">
        <v>44775</v>
      </c>
    </row>
    <row r="11251" spans="1:24">
      <c r="A11251">
        <f>HYPERLINK("https://www.philgeps.gov.ph/GEPSNONPILOT/Tender/SplashBidNoticeAbstractUI.aspx?menuIndex=3&amp;refID=7127329&amp;Result=3","7127329")</f>
        <v>0</v>
      </c>
      <c r="B11251" t="s">
        <v>115</v>
      </c>
      <c r="C11251" t="s">
        <v>14439</v>
      </c>
      <c r="D11251" t="s">
        <v>17960</v>
      </c>
      <c r="E11251" t="s">
        <v>27755</v>
      </c>
      <c r="F11251" t="s">
        <v>30900</v>
      </c>
      <c r="G11251" t="s">
        <v>30907</v>
      </c>
      <c r="H11251" t="s">
        <v>30915</v>
      </c>
      <c r="I11251" t="s">
        <v>30919</v>
      </c>
      <c r="J11251" t="s">
        <v>37573</v>
      </c>
      <c r="K11251" t="s">
        <v>40301</v>
      </c>
      <c r="M11251" t="s">
        <v>40662</v>
      </c>
      <c r="N11251" t="s">
        <v>44759</v>
      </c>
      <c r="O11251" t="s">
        <v>44760</v>
      </c>
      <c r="Q11251">
        <v>8</v>
      </c>
      <c r="R11251" t="s">
        <v>44774</v>
      </c>
      <c r="S11251" t="s">
        <v>45307</v>
      </c>
      <c r="T11251" t="s">
        <v>46353</v>
      </c>
      <c r="U11251" t="s">
        <v>56196</v>
      </c>
      <c r="V11251" t="s">
        <v>60393</v>
      </c>
      <c r="W11251" t="s">
        <v>40662</v>
      </c>
      <c r="X11251" t="s">
        <v>44775</v>
      </c>
    </row>
    <row r="11252" spans="1:24">
      <c r="A11252">
        <f>HYPERLINK("https://www.philgeps.gov.ph/GEPSNONPILOT/Tender/SplashBidNoticeAbstractUI.aspx?menuIndex=3&amp;refID=7127315&amp;Result=3","7127315")</f>
        <v>0</v>
      </c>
      <c r="B11252" t="s">
        <v>807</v>
      </c>
      <c r="C11252" t="s">
        <v>14440</v>
      </c>
      <c r="D11252" t="s">
        <v>18015</v>
      </c>
      <c r="E11252" t="s">
        <v>27756</v>
      </c>
      <c r="F11252" t="s">
        <v>30900</v>
      </c>
      <c r="G11252" t="s">
        <v>30907</v>
      </c>
      <c r="H11252" t="s">
        <v>30916</v>
      </c>
      <c r="I11252" t="s">
        <v>30933</v>
      </c>
      <c r="J11252" t="s">
        <v>31391</v>
      </c>
      <c r="K11252" t="s">
        <v>40280</v>
      </c>
      <c r="M11252" t="s">
        <v>41377</v>
      </c>
      <c r="N11252" t="s">
        <v>44759</v>
      </c>
      <c r="O11252" t="s">
        <v>44760</v>
      </c>
      <c r="P11252">
        <v>0</v>
      </c>
      <c r="Q11252">
        <v>1</v>
      </c>
      <c r="R11252" t="s">
        <v>44774</v>
      </c>
      <c r="S11252" t="s">
        <v>45266</v>
      </c>
      <c r="T11252" t="s">
        <v>46352</v>
      </c>
      <c r="U11252" t="s">
        <v>56197</v>
      </c>
      <c r="W11252" t="s">
        <v>41377</v>
      </c>
      <c r="X11252" t="s">
        <v>44775</v>
      </c>
    </row>
    <row r="11253" spans="1:24">
      <c r="A11253">
        <f>HYPERLINK("https://www.philgeps.gov.ph/GEPSNONPILOT/Tender/SplashBidNoticeAbstractUI.aspx?menuIndex=3&amp;refID=7127243&amp;Result=3","7127243")</f>
        <v>0</v>
      </c>
      <c r="B11253" t="s">
        <v>1553</v>
      </c>
      <c r="C11253" t="s">
        <v>14441</v>
      </c>
      <c r="D11253" t="s">
        <v>18027</v>
      </c>
      <c r="E11253" t="s">
        <v>27757</v>
      </c>
      <c r="F11253" t="s">
        <v>30900</v>
      </c>
      <c r="G11253" t="s">
        <v>30907</v>
      </c>
      <c r="H11253" t="s">
        <v>30915</v>
      </c>
      <c r="I11253" t="s">
        <v>30919</v>
      </c>
      <c r="J11253" t="s">
        <v>38047</v>
      </c>
      <c r="K11253" t="s">
        <v>40286</v>
      </c>
      <c r="M11253" t="s">
        <v>42198</v>
      </c>
      <c r="N11253" t="s">
        <v>44759</v>
      </c>
      <c r="O11253" t="s">
        <v>44760</v>
      </c>
      <c r="P11253">
        <v>0</v>
      </c>
      <c r="Q11253">
        <v>0</v>
      </c>
      <c r="R11253" t="s">
        <v>44774</v>
      </c>
      <c r="S11253" t="s">
        <v>45266</v>
      </c>
      <c r="T11253" t="s">
        <v>46409</v>
      </c>
      <c r="U11253" t="s">
        <v>56198</v>
      </c>
      <c r="V11253" t="s">
        <v>60394</v>
      </c>
      <c r="W11253" t="s">
        <v>42198</v>
      </c>
      <c r="X11253" t="s">
        <v>44775</v>
      </c>
    </row>
    <row r="11254" spans="1:24">
      <c r="A11254">
        <f>HYPERLINK("https://www.philgeps.gov.ph/GEPSNONPILOT/Tender/SplashBidNoticeAbstractUI.aspx?menuIndex=3&amp;refID=7127295&amp;Result=3","7127295")</f>
        <v>0</v>
      </c>
      <c r="B11254" t="s">
        <v>3330</v>
      </c>
      <c r="C11254" t="s">
        <v>14029</v>
      </c>
      <c r="D11254" t="s">
        <v>17954</v>
      </c>
      <c r="E11254" t="s">
        <v>18158</v>
      </c>
      <c r="F11254" t="s">
        <v>30900</v>
      </c>
      <c r="G11254" t="s">
        <v>30907</v>
      </c>
      <c r="H11254" t="s">
        <v>30915</v>
      </c>
      <c r="I11254" t="s">
        <v>30919</v>
      </c>
      <c r="J11254" t="s">
        <v>38048</v>
      </c>
      <c r="K11254" t="s">
        <v>40286</v>
      </c>
      <c r="M11254" t="s">
        <v>44190</v>
      </c>
      <c r="N11254" t="s">
        <v>44759</v>
      </c>
      <c r="O11254" t="s">
        <v>44760</v>
      </c>
      <c r="P11254">
        <v>0</v>
      </c>
      <c r="Q11254">
        <v>0</v>
      </c>
      <c r="R11254" t="s">
        <v>44774</v>
      </c>
      <c r="S11254" t="s">
        <v>45266</v>
      </c>
      <c r="T11254" t="s">
        <v>46356</v>
      </c>
      <c r="U11254" t="s">
        <v>56199</v>
      </c>
      <c r="W11254" t="s">
        <v>44190</v>
      </c>
      <c r="X11254" t="s">
        <v>44775</v>
      </c>
    </row>
    <row r="11255" spans="1:24">
      <c r="A11255">
        <f>HYPERLINK("https://www.philgeps.gov.ph/GEPSNONPILOT/Tender/SplashBidNoticeAbstractUI.aspx?menuIndex=3&amp;refID=7127291&amp;Result=3","7127291")</f>
        <v>0</v>
      </c>
      <c r="B11255" t="s">
        <v>2961</v>
      </c>
      <c r="C11255" t="s">
        <v>11400</v>
      </c>
      <c r="D11255" t="s">
        <v>18004</v>
      </c>
      <c r="E11255" t="s">
        <v>27758</v>
      </c>
      <c r="F11255" t="s">
        <v>30900</v>
      </c>
      <c r="G11255" t="s">
        <v>30907</v>
      </c>
      <c r="H11255" t="s">
        <v>30915</v>
      </c>
      <c r="I11255" t="s">
        <v>30919</v>
      </c>
      <c r="J11255" t="s">
        <v>38049</v>
      </c>
      <c r="K11255" t="s">
        <v>40283</v>
      </c>
      <c r="M11255" t="s">
        <v>43762</v>
      </c>
      <c r="N11255" t="s">
        <v>44759</v>
      </c>
      <c r="O11255" t="s">
        <v>44760</v>
      </c>
      <c r="P11255">
        <v>0</v>
      </c>
      <c r="Q11255">
        <v>10</v>
      </c>
      <c r="R11255" t="s">
        <v>44774</v>
      </c>
      <c r="S11255" t="s">
        <v>45266</v>
      </c>
      <c r="T11255" t="s">
        <v>46400</v>
      </c>
      <c r="U11255" t="s">
        <v>56200</v>
      </c>
      <c r="W11255" t="s">
        <v>60909</v>
      </c>
      <c r="X11255" t="s">
        <v>44775</v>
      </c>
    </row>
    <row r="11256" spans="1:24">
      <c r="A11256">
        <f>HYPERLINK("https://www.philgeps.gov.ph/GEPSNONPILOT/Tender/SplashBidNoticeAbstractUI.aspx?menuIndex=3&amp;refID=7127367&amp;Result=3","7127367")</f>
        <v>0</v>
      </c>
      <c r="B11256" t="s">
        <v>427</v>
      </c>
      <c r="C11256" t="s">
        <v>14442</v>
      </c>
      <c r="D11256" t="s">
        <v>17986</v>
      </c>
      <c r="E11256" t="s">
        <v>18764</v>
      </c>
      <c r="F11256" t="s">
        <v>30900</v>
      </c>
      <c r="G11256" t="s">
        <v>30907</v>
      </c>
      <c r="H11256" t="s">
        <v>30915</v>
      </c>
      <c r="I11256" t="s">
        <v>30919</v>
      </c>
      <c r="J11256" t="s">
        <v>35993</v>
      </c>
      <c r="K11256" t="s">
        <v>40289</v>
      </c>
      <c r="M11256" t="s">
        <v>40984</v>
      </c>
      <c r="N11256" t="s">
        <v>44759</v>
      </c>
      <c r="O11256" t="s">
        <v>44760</v>
      </c>
      <c r="Q11256">
        <v>0</v>
      </c>
      <c r="R11256" t="s">
        <v>44774</v>
      </c>
      <c r="S11256" t="s">
        <v>45308</v>
      </c>
      <c r="T11256" t="s">
        <v>46495</v>
      </c>
      <c r="U11256" t="s">
        <v>56201</v>
      </c>
      <c r="V11256" t="s">
        <v>60392</v>
      </c>
      <c r="W11256" t="s">
        <v>40984</v>
      </c>
      <c r="X11256" t="s">
        <v>44775</v>
      </c>
    </row>
    <row r="11257" spans="1:24">
      <c r="A11257">
        <f>HYPERLINK("https://www.philgeps.gov.ph/GEPSNONPILOT/Tender/SplashBidNoticeAbstractUI.aspx?menuIndex=3&amp;refID=7127278&amp;Result=3","7127278")</f>
        <v>0</v>
      </c>
      <c r="B11257" t="s">
        <v>892</v>
      </c>
      <c r="C11257" t="s">
        <v>14443</v>
      </c>
      <c r="D11257" t="s">
        <v>17978</v>
      </c>
      <c r="E11257" t="s">
        <v>27759</v>
      </c>
      <c r="F11257" t="s">
        <v>30900</v>
      </c>
      <c r="G11257" t="s">
        <v>30907</v>
      </c>
      <c r="H11257" t="s">
        <v>30916</v>
      </c>
      <c r="I11257" t="s">
        <v>6408</v>
      </c>
      <c r="J11257" t="s">
        <v>31098</v>
      </c>
      <c r="K11257" t="s">
        <v>40314</v>
      </c>
      <c r="M11257" t="s">
        <v>41466</v>
      </c>
      <c r="N11257" t="s">
        <v>44759</v>
      </c>
      <c r="O11257" t="s">
        <v>44760</v>
      </c>
      <c r="P11257">
        <v>0</v>
      </c>
      <c r="Q11257">
        <v>1</v>
      </c>
      <c r="R11257" t="s">
        <v>44774</v>
      </c>
      <c r="S11257" t="s">
        <v>45266</v>
      </c>
      <c r="T11257" t="s">
        <v>46369</v>
      </c>
      <c r="U11257" t="s">
        <v>56202</v>
      </c>
      <c r="W11257" t="s">
        <v>41466</v>
      </c>
      <c r="X11257" t="s">
        <v>44775</v>
      </c>
    </row>
    <row r="11258" spans="1:24">
      <c r="A11258">
        <f>HYPERLINK("https://www.philgeps.gov.ph/GEPSNONPILOT/Tender/SplashBidNoticeAbstractUI.aspx?menuIndex=3&amp;refID=7127531&amp;Result=3","7127531")</f>
        <v>0</v>
      </c>
      <c r="B11258" t="s">
        <v>2441</v>
      </c>
      <c r="C11258" t="s">
        <v>14444</v>
      </c>
      <c r="D11258" t="s">
        <v>17975</v>
      </c>
      <c r="E11258" t="s">
        <v>19585</v>
      </c>
      <c r="F11258" t="s">
        <v>30900</v>
      </c>
      <c r="G11258" t="s">
        <v>30907</v>
      </c>
      <c r="H11258" t="s">
        <v>30915</v>
      </c>
      <c r="I11258" t="s">
        <v>30919</v>
      </c>
      <c r="J11258" t="s">
        <v>38050</v>
      </c>
      <c r="K11258" t="s">
        <v>40280</v>
      </c>
      <c r="M11258" t="s">
        <v>43175</v>
      </c>
      <c r="N11258" t="s">
        <v>44759</v>
      </c>
      <c r="O11258" t="s">
        <v>44760</v>
      </c>
      <c r="P11258">
        <v>0</v>
      </c>
      <c r="Q11258">
        <v>2</v>
      </c>
      <c r="R11258" t="s">
        <v>44774</v>
      </c>
      <c r="S11258" t="s">
        <v>45266</v>
      </c>
      <c r="T11258" t="s">
        <v>46515</v>
      </c>
      <c r="U11258" t="s">
        <v>56203</v>
      </c>
      <c r="W11258" t="s">
        <v>43175</v>
      </c>
      <c r="X11258" t="s">
        <v>44775</v>
      </c>
    </row>
    <row r="11259" spans="1:24">
      <c r="A11259">
        <f>HYPERLINK("https://www.philgeps.gov.ph/GEPSNONPILOT/Tender/SplashBidNoticeAbstractUI.aspx?menuIndex=3&amp;refID=7127241&amp;Result=3","7127241")</f>
        <v>0</v>
      </c>
      <c r="B11259" t="s">
        <v>3303</v>
      </c>
      <c r="C11259" t="s">
        <v>14445</v>
      </c>
      <c r="D11259" t="s">
        <v>17959</v>
      </c>
      <c r="E11259" t="s">
        <v>24929</v>
      </c>
      <c r="F11259" t="s">
        <v>30904</v>
      </c>
      <c r="G11259" t="s">
        <v>30907</v>
      </c>
      <c r="H11259" t="s">
        <v>30917</v>
      </c>
      <c r="I11259" t="s">
        <v>6834</v>
      </c>
      <c r="J11259" t="s">
        <v>33328</v>
      </c>
      <c r="K11259" t="s">
        <v>40286</v>
      </c>
      <c r="M11259" t="s">
        <v>44154</v>
      </c>
      <c r="N11259" t="s">
        <v>44759</v>
      </c>
      <c r="O11259" t="s">
        <v>44760</v>
      </c>
      <c r="P11259">
        <v>0</v>
      </c>
      <c r="Q11259">
        <v>6</v>
      </c>
      <c r="R11259" t="s">
        <v>44774</v>
      </c>
      <c r="S11259" t="s">
        <v>45266</v>
      </c>
      <c r="T11259" t="s">
        <v>46536</v>
      </c>
      <c r="U11259" t="s">
        <v>56204</v>
      </c>
      <c r="W11259" t="s">
        <v>44154</v>
      </c>
      <c r="X11259" t="s">
        <v>44775</v>
      </c>
    </row>
    <row r="11260" spans="1:24">
      <c r="A11260">
        <f>HYPERLINK("https://www.philgeps.gov.ph/GEPSNONPILOT/Tender/SplashBidNoticeAbstractUI.aspx?menuIndex=3&amp;refID=7127308&amp;Result=3","7127308")</f>
        <v>0</v>
      </c>
      <c r="B11260" t="s">
        <v>892</v>
      </c>
      <c r="C11260" t="s">
        <v>14446</v>
      </c>
      <c r="D11260" t="s">
        <v>17978</v>
      </c>
      <c r="E11260" t="s">
        <v>27760</v>
      </c>
      <c r="F11260" t="s">
        <v>30900</v>
      </c>
      <c r="G11260" t="s">
        <v>30907</v>
      </c>
      <c r="H11260" t="s">
        <v>30916</v>
      </c>
      <c r="I11260" t="s">
        <v>4545</v>
      </c>
      <c r="J11260" t="s">
        <v>31257</v>
      </c>
      <c r="K11260" t="s">
        <v>40284</v>
      </c>
      <c r="M11260" t="s">
        <v>41466</v>
      </c>
      <c r="N11260" t="s">
        <v>44759</v>
      </c>
      <c r="O11260" t="s">
        <v>44760</v>
      </c>
      <c r="P11260">
        <v>0</v>
      </c>
      <c r="Q11260">
        <v>1</v>
      </c>
      <c r="R11260" t="s">
        <v>44774</v>
      </c>
      <c r="S11260" t="s">
        <v>45266</v>
      </c>
      <c r="T11260" t="s">
        <v>46369</v>
      </c>
      <c r="U11260" t="s">
        <v>56205</v>
      </c>
      <c r="W11260" t="s">
        <v>41466</v>
      </c>
      <c r="X11260" t="s">
        <v>44775</v>
      </c>
    </row>
    <row r="11261" spans="1:24">
      <c r="A11261">
        <f>HYPERLINK("https://www.philgeps.gov.ph/GEPSNONPILOT/Tender/SplashBidNoticeAbstractUI.aspx?menuIndex=3&amp;refID=7127567&amp;Result=3","7127567")</f>
        <v>0</v>
      </c>
      <c r="B11261" t="s">
        <v>1977</v>
      </c>
      <c r="C11261" t="s">
        <v>14447</v>
      </c>
      <c r="D11261" t="s">
        <v>17976</v>
      </c>
      <c r="E11261" t="s">
        <v>27761</v>
      </c>
      <c r="F11261" t="s">
        <v>30900</v>
      </c>
      <c r="G11261" t="s">
        <v>30907</v>
      </c>
      <c r="H11261" t="s">
        <v>30915</v>
      </c>
      <c r="I11261" t="s">
        <v>30919</v>
      </c>
      <c r="J11261" t="s">
        <v>38051</v>
      </c>
      <c r="K11261" t="s">
        <v>40292</v>
      </c>
      <c r="M11261" t="s">
        <v>42666</v>
      </c>
      <c r="N11261" t="s">
        <v>44759</v>
      </c>
      <c r="O11261" t="s">
        <v>44760</v>
      </c>
      <c r="P11261">
        <v>0</v>
      </c>
      <c r="Q11261">
        <v>1</v>
      </c>
      <c r="R11261" t="s">
        <v>44774</v>
      </c>
      <c r="S11261" t="s">
        <v>45266</v>
      </c>
      <c r="T11261" t="s">
        <v>46425</v>
      </c>
      <c r="U11261" t="s">
        <v>56206</v>
      </c>
      <c r="V11261" t="s">
        <v>60313</v>
      </c>
      <c r="W11261" t="s">
        <v>42666</v>
      </c>
      <c r="X11261" t="s">
        <v>44775</v>
      </c>
    </row>
    <row r="11262" spans="1:24">
      <c r="A11262">
        <f>HYPERLINK("https://www.philgeps.gov.ph/GEPSNONPILOT/Tender/SplashBidNoticeAbstractUI.aspx?menuIndex=3&amp;refID=7127235&amp;Result=3","7127235")</f>
        <v>0</v>
      </c>
      <c r="B11262" t="s">
        <v>3331</v>
      </c>
      <c r="C11262" t="s">
        <v>14448</v>
      </c>
      <c r="D11262" t="s">
        <v>17999</v>
      </c>
      <c r="E11262" t="s">
        <v>27762</v>
      </c>
      <c r="F11262" t="s">
        <v>30900</v>
      </c>
      <c r="G11262" t="s">
        <v>30907</v>
      </c>
      <c r="H11262" t="s">
        <v>30915</v>
      </c>
      <c r="I11262" t="s">
        <v>30919</v>
      </c>
      <c r="J11262" t="s">
        <v>38052</v>
      </c>
      <c r="K11262" t="s">
        <v>40304</v>
      </c>
      <c r="M11262" t="s">
        <v>44191</v>
      </c>
      <c r="N11262" t="s">
        <v>44759</v>
      </c>
      <c r="O11262" t="s">
        <v>44760</v>
      </c>
      <c r="P11262">
        <v>0</v>
      </c>
      <c r="Q11262">
        <v>1</v>
      </c>
      <c r="R11262" t="s">
        <v>44774</v>
      </c>
      <c r="S11262" t="s">
        <v>45266</v>
      </c>
      <c r="T11262" t="s">
        <v>46409</v>
      </c>
      <c r="U11262" t="s">
        <v>56207</v>
      </c>
      <c r="V11262" t="s">
        <v>60395</v>
      </c>
      <c r="W11262" t="s">
        <v>44191</v>
      </c>
      <c r="X11262" t="s">
        <v>44775</v>
      </c>
    </row>
    <row r="11263" spans="1:24">
      <c r="A11263">
        <f>HYPERLINK("https://www.philgeps.gov.ph/GEPSNONPILOT/Tender/SplashBidNoticeAbstractUI.aspx?menuIndex=3&amp;refID=7127304&amp;Result=3","7127304")</f>
        <v>0</v>
      </c>
      <c r="B11263" t="s">
        <v>2652</v>
      </c>
      <c r="C11263" t="s">
        <v>14449</v>
      </c>
      <c r="D11263" t="s">
        <v>17959</v>
      </c>
      <c r="E11263" t="s">
        <v>27763</v>
      </c>
      <c r="F11263" t="s">
        <v>30900</v>
      </c>
      <c r="G11263" t="s">
        <v>30907</v>
      </c>
      <c r="H11263" t="s">
        <v>30916</v>
      </c>
      <c r="I11263" t="s">
        <v>30933</v>
      </c>
      <c r="J11263" t="s">
        <v>35962</v>
      </c>
      <c r="K11263" t="s">
        <v>40284</v>
      </c>
      <c r="M11263" t="s">
        <v>44192</v>
      </c>
      <c r="N11263" t="s">
        <v>44759</v>
      </c>
      <c r="O11263" t="s">
        <v>44760</v>
      </c>
      <c r="P11263">
        <v>0</v>
      </c>
      <c r="Q11263">
        <v>2</v>
      </c>
      <c r="R11263" t="s">
        <v>44774</v>
      </c>
      <c r="S11263" t="s">
        <v>45266</v>
      </c>
      <c r="T11263" t="s">
        <v>46808</v>
      </c>
      <c r="U11263" t="s">
        <v>56208</v>
      </c>
      <c r="W11263" t="s">
        <v>44192</v>
      </c>
      <c r="X11263" t="s">
        <v>44775</v>
      </c>
    </row>
    <row r="11264" spans="1:24">
      <c r="A11264">
        <f>HYPERLINK("https://www.philgeps.gov.ph/GEPSNONPILOT/Tender/SplashBidNoticeAbstractUI.aspx?menuIndex=3&amp;refID=7127561&amp;Result=3","7127561")</f>
        <v>0</v>
      </c>
      <c r="B11264" t="s">
        <v>3332</v>
      </c>
      <c r="C11264" t="s">
        <v>14450</v>
      </c>
      <c r="D11264" t="s">
        <v>17953</v>
      </c>
      <c r="E11264" t="s">
        <v>27764</v>
      </c>
      <c r="F11264" t="s">
        <v>30900</v>
      </c>
      <c r="G11264" t="s">
        <v>30907</v>
      </c>
      <c r="H11264" t="s">
        <v>30916</v>
      </c>
      <c r="I11264" t="s">
        <v>4142</v>
      </c>
      <c r="J11264" t="s">
        <v>38053</v>
      </c>
      <c r="K11264" t="s">
        <v>40347</v>
      </c>
      <c r="M11264" t="s">
        <v>44193</v>
      </c>
      <c r="N11264" t="s">
        <v>44759</v>
      </c>
      <c r="O11264" t="s">
        <v>44760</v>
      </c>
      <c r="P11264">
        <v>0</v>
      </c>
      <c r="Q11264">
        <v>3</v>
      </c>
      <c r="R11264" t="s">
        <v>44774</v>
      </c>
      <c r="S11264" t="s">
        <v>45266</v>
      </c>
      <c r="T11264" t="s">
        <v>46400</v>
      </c>
      <c r="U11264" t="s">
        <v>56209</v>
      </c>
      <c r="V11264" t="s">
        <v>60396</v>
      </c>
      <c r="W11264" t="s">
        <v>44193</v>
      </c>
      <c r="X11264" t="s">
        <v>44775</v>
      </c>
    </row>
    <row r="11265" spans="1:24">
      <c r="A11265">
        <f>HYPERLINK("https://www.philgeps.gov.ph/GEPSNONPILOT/Tender/SplashBidNoticeAbstractUI.aspx?menuIndex=3&amp;refID=7127560&amp;Result=3","7127560")</f>
        <v>0</v>
      </c>
      <c r="B11265" t="s">
        <v>79</v>
      </c>
      <c r="C11265" t="s">
        <v>14451</v>
      </c>
      <c r="D11265" t="s">
        <v>17988</v>
      </c>
      <c r="E11265" t="s">
        <v>20245</v>
      </c>
      <c r="F11265" t="s">
        <v>30900</v>
      </c>
      <c r="G11265" t="s">
        <v>30907</v>
      </c>
      <c r="H11265" t="s">
        <v>30915</v>
      </c>
      <c r="I11265" t="s">
        <v>30919</v>
      </c>
      <c r="J11265" t="s">
        <v>38054</v>
      </c>
      <c r="K11265" t="s">
        <v>40505</v>
      </c>
      <c r="M11265" t="s">
        <v>40626</v>
      </c>
      <c r="N11265" t="s">
        <v>44759</v>
      </c>
      <c r="O11265" t="s">
        <v>44760</v>
      </c>
      <c r="P11265">
        <v>0</v>
      </c>
      <c r="Q11265">
        <v>0</v>
      </c>
      <c r="R11265" t="s">
        <v>44774</v>
      </c>
      <c r="S11265" t="s">
        <v>45266</v>
      </c>
      <c r="T11265" t="s">
        <v>46878</v>
      </c>
      <c r="U11265" t="s">
        <v>56210</v>
      </c>
      <c r="V11265" t="s">
        <v>60397</v>
      </c>
      <c r="W11265" t="s">
        <v>40626</v>
      </c>
      <c r="X11265" t="s">
        <v>44775</v>
      </c>
    </row>
    <row r="11266" spans="1:24">
      <c r="A11266">
        <f>HYPERLINK("https://www.philgeps.gov.ph/GEPSNONPILOT/Tender/SplashBidNoticeAbstractUI.aspx?menuIndex=3&amp;refID=7127522&amp;Result=3","7127522")</f>
        <v>0</v>
      </c>
      <c r="B11266" t="s">
        <v>3333</v>
      </c>
      <c r="C11266" t="s">
        <v>14452</v>
      </c>
      <c r="D11266" t="s">
        <v>17995</v>
      </c>
      <c r="E11266" t="s">
        <v>27765</v>
      </c>
      <c r="F11266" t="s">
        <v>30900</v>
      </c>
      <c r="G11266" t="s">
        <v>30908</v>
      </c>
      <c r="H11266" t="s">
        <v>30916</v>
      </c>
      <c r="I11266" t="s">
        <v>30924</v>
      </c>
      <c r="J11266" t="s">
        <v>31495</v>
      </c>
      <c r="K11266" t="s">
        <v>40294</v>
      </c>
      <c r="M11266" t="s">
        <v>44194</v>
      </c>
      <c r="N11266" t="s">
        <v>44759</v>
      </c>
      <c r="O11266" t="s">
        <v>44760</v>
      </c>
      <c r="P11266">
        <v>0</v>
      </c>
      <c r="Q11266">
        <v>2</v>
      </c>
      <c r="R11266" t="s">
        <v>44774</v>
      </c>
      <c r="S11266" t="s">
        <v>45266</v>
      </c>
      <c r="T11266" t="s">
        <v>46771</v>
      </c>
      <c r="U11266" t="s">
        <v>56211</v>
      </c>
      <c r="W11266" t="s">
        <v>44194</v>
      </c>
      <c r="X11266" t="s">
        <v>44775</v>
      </c>
    </row>
    <row r="11267" spans="1:24">
      <c r="A11267">
        <f>HYPERLINK("https://www.philgeps.gov.ph/GEPSNONPILOT/Tender/SplashBidNoticeAbstractUI.aspx?menuIndex=3&amp;refID=7127501&amp;Result=3","7127501")</f>
        <v>0</v>
      </c>
      <c r="B11267" t="s">
        <v>3334</v>
      </c>
      <c r="C11267" t="s">
        <v>14453</v>
      </c>
      <c r="D11267" t="s">
        <v>17952</v>
      </c>
      <c r="E11267" t="s">
        <v>18149</v>
      </c>
      <c r="F11267" t="s">
        <v>30900</v>
      </c>
      <c r="G11267" t="s">
        <v>30907</v>
      </c>
      <c r="H11267" t="s">
        <v>30916</v>
      </c>
      <c r="I11267" t="s">
        <v>8123</v>
      </c>
      <c r="J11267" t="s">
        <v>38055</v>
      </c>
      <c r="K11267" t="s">
        <v>40283</v>
      </c>
      <c r="M11267" t="s">
        <v>44195</v>
      </c>
      <c r="N11267" t="s">
        <v>44759</v>
      </c>
      <c r="O11267" t="s">
        <v>44760</v>
      </c>
      <c r="P11267">
        <v>0</v>
      </c>
      <c r="Q11267">
        <v>1</v>
      </c>
      <c r="R11267" t="s">
        <v>44774</v>
      </c>
      <c r="S11267" t="s">
        <v>45266</v>
      </c>
      <c r="T11267" t="s">
        <v>46357</v>
      </c>
      <c r="U11267" t="s">
        <v>56212</v>
      </c>
      <c r="W11267" t="s">
        <v>44195</v>
      </c>
      <c r="X11267" t="s">
        <v>44775</v>
      </c>
    </row>
    <row r="11268" spans="1:24">
      <c r="A11268">
        <f>HYPERLINK("https://www.philgeps.gov.ph/GEPSNONPILOT/Tender/SplashBidNoticeAbstractUI.aspx?menuIndex=3&amp;refID=7127477&amp;Result=3","7127477")</f>
        <v>0</v>
      </c>
      <c r="B11268" t="s">
        <v>3334</v>
      </c>
      <c r="C11268" t="s">
        <v>14453</v>
      </c>
      <c r="D11268" t="s">
        <v>17952</v>
      </c>
      <c r="E11268" t="s">
        <v>18066</v>
      </c>
      <c r="F11268" t="s">
        <v>30900</v>
      </c>
      <c r="G11268" t="s">
        <v>30907</v>
      </c>
      <c r="H11268" t="s">
        <v>30916</v>
      </c>
      <c r="I11268" t="s">
        <v>30997</v>
      </c>
      <c r="J11268" t="s">
        <v>31101</v>
      </c>
      <c r="K11268" t="s">
        <v>40284</v>
      </c>
      <c r="M11268" t="s">
        <v>44195</v>
      </c>
      <c r="N11268" t="s">
        <v>44759</v>
      </c>
      <c r="O11268" t="s">
        <v>44760</v>
      </c>
      <c r="P11268">
        <v>0</v>
      </c>
      <c r="Q11268">
        <v>0</v>
      </c>
      <c r="R11268" t="s">
        <v>44774</v>
      </c>
      <c r="S11268" t="s">
        <v>45266</v>
      </c>
      <c r="T11268" t="s">
        <v>46357</v>
      </c>
      <c r="U11268" t="s">
        <v>56213</v>
      </c>
      <c r="W11268" t="s">
        <v>44195</v>
      </c>
      <c r="X11268" t="s">
        <v>44775</v>
      </c>
    </row>
    <row r="11269" spans="1:24">
      <c r="A11269">
        <f>HYPERLINK("https://www.philgeps.gov.ph/GEPSNONPILOT/Tender/SplashBidNoticeAbstractUI.aspx?menuIndex=3&amp;refID=7127078&amp;Result=3","7127078")</f>
        <v>0</v>
      </c>
      <c r="B11269" t="s">
        <v>2697</v>
      </c>
      <c r="C11269" t="s">
        <v>14454</v>
      </c>
      <c r="D11269" t="s">
        <v>17973</v>
      </c>
      <c r="E11269" t="s">
        <v>27766</v>
      </c>
      <c r="F11269" t="s">
        <v>30900</v>
      </c>
      <c r="G11269" t="s">
        <v>30907</v>
      </c>
      <c r="H11269" t="s">
        <v>7411</v>
      </c>
      <c r="I11269" t="s">
        <v>30969</v>
      </c>
      <c r="J11269" t="s">
        <v>38056</v>
      </c>
      <c r="K11269" t="s">
        <v>40304</v>
      </c>
      <c r="M11269" t="s">
        <v>44186</v>
      </c>
      <c r="N11269" t="s">
        <v>44759</v>
      </c>
      <c r="O11269" t="s">
        <v>44760</v>
      </c>
      <c r="P11269">
        <v>0</v>
      </c>
      <c r="Q11269">
        <v>3</v>
      </c>
      <c r="R11269" t="s">
        <v>44774</v>
      </c>
      <c r="S11269" t="s">
        <v>45266</v>
      </c>
      <c r="T11269" t="s">
        <v>46770</v>
      </c>
      <c r="U11269" t="s">
        <v>56214</v>
      </c>
      <c r="W11269" t="s">
        <v>44186</v>
      </c>
      <c r="X11269" t="s">
        <v>44775</v>
      </c>
    </row>
    <row r="11270" spans="1:24">
      <c r="A11270">
        <f>HYPERLINK("https://www.philgeps.gov.ph/GEPSNONPILOT/Tender/SplashBidNoticeAbstractUI.aspx?menuIndex=3&amp;refID=7127460&amp;Result=3","7127460")</f>
        <v>0</v>
      </c>
      <c r="B11270" t="s">
        <v>1957</v>
      </c>
      <c r="C11270" t="s">
        <v>14455</v>
      </c>
      <c r="D11270" t="s">
        <v>17994</v>
      </c>
      <c r="E11270" t="s">
        <v>27388</v>
      </c>
      <c r="F11270" t="s">
        <v>30900</v>
      </c>
      <c r="G11270" t="s">
        <v>30907</v>
      </c>
      <c r="H11270" t="s">
        <v>30916</v>
      </c>
      <c r="I11270" t="s">
        <v>30933</v>
      </c>
      <c r="J11270" t="s">
        <v>31297</v>
      </c>
      <c r="K11270" t="s">
        <v>40280</v>
      </c>
      <c r="M11270" t="s">
        <v>42641</v>
      </c>
      <c r="N11270" t="s">
        <v>44759</v>
      </c>
      <c r="O11270" t="s">
        <v>44760</v>
      </c>
      <c r="Q11270">
        <v>3</v>
      </c>
      <c r="R11270" t="s">
        <v>44774</v>
      </c>
      <c r="S11270" t="s">
        <v>45250</v>
      </c>
      <c r="T11270" t="s">
        <v>46443</v>
      </c>
      <c r="U11270" t="s">
        <v>51461</v>
      </c>
      <c r="W11270" t="s">
        <v>42641</v>
      </c>
      <c r="X11270" t="s">
        <v>44775</v>
      </c>
    </row>
    <row r="11271" spans="1:24">
      <c r="A11271">
        <f>HYPERLINK("https://www.philgeps.gov.ph/GEPSNONPILOT/Tender/SplashBidNoticeAbstractUI.aspx?menuIndex=3&amp;refID=7127459&amp;Result=3","7127459")</f>
        <v>0</v>
      </c>
      <c r="B11271" t="s">
        <v>3236</v>
      </c>
      <c r="C11271" t="s">
        <v>14456</v>
      </c>
      <c r="D11271" t="s">
        <v>17978</v>
      </c>
      <c r="E11271" t="s">
        <v>21553</v>
      </c>
      <c r="F11271" t="s">
        <v>30899</v>
      </c>
      <c r="G11271" t="s">
        <v>30907</v>
      </c>
      <c r="H11271" t="s">
        <v>30916</v>
      </c>
      <c r="I11271" t="s">
        <v>8123</v>
      </c>
      <c r="J11271" t="s">
        <v>35412</v>
      </c>
      <c r="K11271" t="s">
        <v>40284</v>
      </c>
      <c r="M11271" t="s">
        <v>44078</v>
      </c>
      <c r="N11271" t="s">
        <v>44759</v>
      </c>
      <c r="O11271" t="s">
        <v>44760</v>
      </c>
      <c r="P11271">
        <v>0</v>
      </c>
      <c r="Q11271">
        <v>0</v>
      </c>
      <c r="R11271" t="s">
        <v>44774</v>
      </c>
      <c r="S11271" t="s">
        <v>45266</v>
      </c>
      <c r="T11271" t="s">
        <v>46533</v>
      </c>
      <c r="U11271" t="s">
        <v>56215</v>
      </c>
      <c r="V11271" t="s">
        <v>60305</v>
      </c>
      <c r="W11271" t="s">
        <v>44078</v>
      </c>
      <c r="X11271" t="s">
        <v>44775</v>
      </c>
    </row>
    <row r="11272" spans="1:24">
      <c r="A11272">
        <f>HYPERLINK("https://www.philgeps.gov.ph/GEPSNONPILOT/Tender/SplashBidNoticeAbstractUI.aspx?menuIndex=3&amp;refID=7127439&amp;Result=3","7127439")</f>
        <v>0</v>
      </c>
      <c r="B11272" t="s">
        <v>427</v>
      </c>
      <c r="C11272" t="s">
        <v>14457</v>
      </c>
      <c r="D11272" t="s">
        <v>17986</v>
      </c>
      <c r="E11272" t="s">
        <v>18764</v>
      </c>
      <c r="F11272" t="s">
        <v>30900</v>
      </c>
      <c r="G11272" t="s">
        <v>30907</v>
      </c>
      <c r="H11272" t="s">
        <v>30915</v>
      </c>
      <c r="I11272" t="s">
        <v>30919</v>
      </c>
      <c r="J11272" t="s">
        <v>31577</v>
      </c>
      <c r="K11272" t="s">
        <v>40289</v>
      </c>
      <c r="M11272" t="s">
        <v>40984</v>
      </c>
      <c r="N11272" t="s">
        <v>44759</v>
      </c>
      <c r="O11272" t="s">
        <v>44760</v>
      </c>
      <c r="Q11272">
        <v>0</v>
      </c>
      <c r="R11272" t="s">
        <v>44774</v>
      </c>
      <c r="S11272" t="s">
        <v>45309</v>
      </c>
      <c r="T11272" t="s">
        <v>46495</v>
      </c>
      <c r="U11272" t="s">
        <v>56216</v>
      </c>
      <c r="V11272" t="s">
        <v>60392</v>
      </c>
      <c r="W11272" t="s">
        <v>40984</v>
      </c>
      <c r="X11272" t="s">
        <v>44775</v>
      </c>
    </row>
    <row r="11273" spans="1:24">
      <c r="A11273">
        <f>HYPERLINK("https://www.philgeps.gov.ph/GEPSNONPILOT/Tender/SplashBidNoticeAbstractUI.aspx?menuIndex=3&amp;refID=7127435&amp;Result=3","7127435")</f>
        <v>0</v>
      </c>
      <c r="B11273" t="s">
        <v>892</v>
      </c>
      <c r="C11273" t="s">
        <v>14458</v>
      </c>
      <c r="D11273" t="s">
        <v>17978</v>
      </c>
      <c r="E11273" t="s">
        <v>27767</v>
      </c>
      <c r="F11273" t="s">
        <v>30900</v>
      </c>
      <c r="G11273" t="s">
        <v>30907</v>
      </c>
      <c r="H11273" t="s">
        <v>30916</v>
      </c>
      <c r="I11273" t="s">
        <v>4004</v>
      </c>
      <c r="J11273" t="s">
        <v>38057</v>
      </c>
      <c r="K11273" t="s">
        <v>40286</v>
      </c>
      <c r="M11273" t="s">
        <v>41466</v>
      </c>
      <c r="N11273" t="s">
        <v>44759</v>
      </c>
      <c r="O11273" t="s">
        <v>44760</v>
      </c>
      <c r="P11273">
        <v>0</v>
      </c>
      <c r="Q11273">
        <v>1</v>
      </c>
      <c r="R11273" t="s">
        <v>44774</v>
      </c>
      <c r="S11273" t="s">
        <v>45266</v>
      </c>
      <c r="T11273" t="s">
        <v>46369</v>
      </c>
      <c r="U11273" t="s">
        <v>56217</v>
      </c>
      <c r="W11273" t="s">
        <v>41466</v>
      </c>
      <c r="X11273" t="s">
        <v>44775</v>
      </c>
    </row>
    <row r="11274" spans="1:24">
      <c r="A11274">
        <f>HYPERLINK("https://www.philgeps.gov.ph/GEPSNONPILOT/Tender/SplashBidNoticeAbstractUI.aspx?menuIndex=3&amp;refID=7127427&amp;Result=3","7127427")</f>
        <v>0</v>
      </c>
      <c r="B11274" t="s">
        <v>3236</v>
      </c>
      <c r="C11274" t="s">
        <v>14459</v>
      </c>
      <c r="D11274" t="s">
        <v>17978</v>
      </c>
      <c r="E11274" t="s">
        <v>26032</v>
      </c>
      <c r="F11274" t="s">
        <v>30899</v>
      </c>
      <c r="G11274" t="s">
        <v>30907</v>
      </c>
      <c r="H11274" t="s">
        <v>30916</v>
      </c>
      <c r="I11274" t="s">
        <v>8123</v>
      </c>
      <c r="J11274" t="s">
        <v>31855</v>
      </c>
      <c r="K11274" t="s">
        <v>40284</v>
      </c>
      <c r="M11274" t="s">
        <v>44078</v>
      </c>
      <c r="N11274" t="s">
        <v>44759</v>
      </c>
      <c r="O11274" t="s">
        <v>44760</v>
      </c>
      <c r="P11274">
        <v>0</v>
      </c>
      <c r="Q11274">
        <v>0</v>
      </c>
      <c r="R11274" t="s">
        <v>44774</v>
      </c>
      <c r="S11274" t="s">
        <v>45266</v>
      </c>
      <c r="T11274" t="s">
        <v>46533</v>
      </c>
      <c r="U11274" t="s">
        <v>56218</v>
      </c>
      <c r="V11274" t="s">
        <v>60398</v>
      </c>
      <c r="W11274" t="s">
        <v>44078</v>
      </c>
      <c r="X11274" t="s">
        <v>44775</v>
      </c>
    </row>
    <row r="11275" spans="1:24">
      <c r="A11275">
        <f>HYPERLINK("https://www.philgeps.gov.ph/GEPSNONPILOT/Tender/SplashBidNoticeAbstractUI.aspx?menuIndex=3&amp;refID=7127419&amp;Result=3","7127419")</f>
        <v>0</v>
      </c>
      <c r="B11275" t="s">
        <v>892</v>
      </c>
      <c r="C11275" t="s">
        <v>14460</v>
      </c>
      <c r="D11275" t="s">
        <v>17978</v>
      </c>
      <c r="E11275" t="s">
        <v>27768</v>
      </c>
      <c r="F11275" t="s">
        <v>30900</v>
      </c>
      <c r="G11275" t="s">
        <v>30907</v>
      </c>
      <c r="H11275" t="s">
        <v>30916</v>
      </c>
      <c r="I11275" t="s">
        <v>4142</v>
      </c>
      <c r="J11275" t="s">
        <v>31077</v>
      </c>
      <c r="K11275" t="s">
        <v>40284</v>
      </c>
      <c r="M11275" t="s">
        <v>41466</v>
      </c>
      <c r="N11275" t="s">
        <v>44759</v>
      </c>
      <c r="O11275" t="s">
        <v>44760</v>
      </c>
      <c r="P11275">
        <v>0</v>
      </c>
      <c r="Q11275">
        <v>1</v>
      </c>
      <c r="R11275" t="s">
        <v>44774</v>
      </c>
      <c r="S11275" t="s">
        <v>45266</v>
      </c>
      <c r="T11275" t="s">
        <v>46369</v>
      </c>
      <c r="U11275" t="s">
        <v>56219</v>
      </c>
      <c r="W11275" t="s">
        <v>41466</v>
      </c>
      <c r="X11275" t="s">
        <v>44775</v>
      </c>
    </row>
    <row r="11276" spans="1:24">
      <c r="A11276">
        <f>HYPERLINK("https://www.philgeps.gov.ph/GEPSNONPILOT/Tender/SplashBidNoticeAbstractUI.aspx?menuIndex=3&amp;refID=7127555&amp;Result=3","7127555")</f>
        <v>0</v>
      </c>
      <c r="B11276" t="s">
        <v>3036</v>
      </c>
      <c r="C11276" t="s">
        <v>14461</v>
      </c>
      <c r="D11276" t="s">
        <v>18002</v>
      </c>
      <c r="E11276" t="s">
        <v>27769</v>
      </c>
      <c r="F11276" t="s">
        <v>30900</v>
      </c>
      <c r="G11276" t="s">
        <v>30907</v>
      </c>
      <c r="H11276" t="s">
        <v>30915</v>
      </c>
      <c r="I11276" t="s">
        <v>30919</v>
      </c>
      <c r="J11276" t="s">
        <v>31402</v>
      </c>
      <c r="K11276" t="s">
        <v>40292</v>
      </c>
      <c r="M11276" t="s">
        <v>44196</v>
      </c>
      <c r="N11276" t="s">
        <v>44759</v>
      </c>
      <c r="O11276" t="s">
        <v>44760</v>
      </c>
      <c r="Q11276">
        <v>1</v>
      </c>
      <c r="R11276" t="s">
        <v>44774</v>
      </c>
      <c r="S11276" t="s">
        <v>45310</v>
      </c>
      <c r="T11276" t="s">
        <v>46409</v>
      </c>
      <c r="U11276" t="s">
        <v>56220</v>
      </c>
      <c r="V11276" t="s">
        <v>60180</v>
      </c>
      <c r="W11276" t="s">
        <v>44196</v>
      </c>
      <c r="X11276" t="s">
        <v>44775</v>
      </c>
    </row>
    <row r="11277" spans="1:24">
      <c r="A11277">
        <f>HYPERLINK("https://www.philgeps.gov.ph/GEPSNONPILOT/Tender/SplashBidNoticeAbstractUI.aspx?menuIndex=3&amp;refID=7127392&amp;Result=3","7127392")</f>
        <v>0</v>
      </c>
      <c r="B11277" t="s">
        <v>2010</v>
      </c>
      <c r="C11277" t="s">
        <v>14462</v>
      </c>
      <c r="D11277" t="s">
        <v>18009</v>
      </c>
      <c r="E11277" t="s">
        <v>27770</v>
      </c>
      <c r="F11277" t="s">
        <v>30900</v>
      </c>
      <c r="G11277" t="s">
        <v>30907</v>
      </c>
      <c r="H11277" t="s">
        <v>30915</v>
      </c>
      <c r="I11277" t="s">
        <v>30919</v>
      </c>
      <c r="J11277" t="s">
        <v>31391</v>
      </c>
      <c r="K11277" t="s">
        <v>40456</v>
      </c>
      <c r="M11277" t="s">
        <v>42705</v>
      </c>
      <c r="N11277" t="s">
        <v>44759</v>
      </c>
      <c r="O11277" t="s">
        <v>44760</v>
      </c>
      <c r="P11277">
        <v>0</v>
      </c>
      <c r="Q11277">
        <v>0</v>
      </c>
      <c r="R11277" t="s">
        <v>44774</v>
      </c>
      <c r="S11277" t="s">
        <v>45266</v>
      </c>
      <c r="T11277" t="s">
        <v>46624</v>
      </c>
      <c r="U11277" t="s">
        <v>56221</v>
      </c>
      <c r="W11277" t="s">
        <v>42705</v>
      </c>
      <c r="X11277" t="s">
        <v>44775</v>
      </c>
    </row>
    <row r="11278" spans="1:24">
      <c r="A11278">
        <f>HYPERLINK("https://www.philgeps.gov.ph/GEPSNONPILOT/Tender/SplashBidNoticeAbstractUI.aspx?menuIndex=3&amp;refID=7127114&amp;Result=3","7127114")</f>
        <v>0</v>
      </c>
      <c r="B11278" t="s">
        <v>1043</v>
      </c>
      <c r="C11278" t="s">
        <v>14463</v>
      </c>
      <c r="D11278" t="s">
        <v>18000</v>
      </c>
      <c r="E11278" t="s">
        <v>27771</v>
      </c>
      <c r="F11278" t="s">
        <v>30900</v>
      </c>
      <c r="G11278" t="s">
        <v>30907</v>
      </c>
      <c r="H11278" t="s">
        <v>30915</v>
      </c>
      <c r="I11278" t="s">
        <v>30919</v>
      </c>
      <c r="J11278" t="s">
        <v>38058</v>
      </c>
      <c r="K11278" t="s">
        <v>40289</v>
      </c>
      <c r="M11278" t="s">
        <v>43271</v>
      </c>
      <c r="N11278" t="s">
        <v>44759</v>
      </c>
      <c r="O11278" t="s">
        <v>44760</v>
      </c>
      <c r="P11278">
        <v>0</v>
      </c>
      <c r="Q11278">
        <v>0</v>
      </c>
      <c r="R11278" t="s">
        <v>44774</v>
      </c>
      <c r="S11278" t="s">
        <v>45266</v>
      </c>
      <c r="T11278" t="s">
        <v>46425</v>
      </c>
      <c r="U11278" t="s">
        <v>56222</v>
      </c>
      <c r="W11278" t="s">
        <v>43271</v>
      </c>
      <c r="X11278" t="s">
        <v>44775</v>
      </c>
    </row>
    <row r="11279" spans="1:24">
      <c r="A11279">
        <f>HYPERLINK("https://www.philgeps.gov.ph/GEPSNONPILOT/Tender/SplashBidNoticeAbstractUI.aspx?menuIndex=3&amp;refID=7127366&amp;Result=3","7127366")</f>
        <v>0</v>
      </c>
      <c r="B11279" t="s">
        <v>1332</v>
      </c>
      <c r="C11279" t="s">
        <v>14464</v>
      </c>
      <c r="D11279" t="s">
        <v>17996</v>
      </c>
      <c r="E11279" t="s">
        <v>27772</v>
      </c>
      <c r="F11279" t="s">
        <v>30900</v>
      </c>
      <c r="G11279" t="s">
        <v>30907</v>
      </c>
      <c r="H11279" t="s">
        <v>30915</v>
      </c>
      <c r="I11279" t="s">
        <v>30919</v>
      </c>
      <c r="J11279" t="s">
        <v>31214</v>
      </c>
      <c r="K11279" t="s">
        <v>40304</v>
      </c>
      <c r="M11279" t="s">
        <v>41952</v>
      </c>
      <c r="N11279" t="s">
        <v>44759</v>
      </c>
      <c r="O11279" t="s">
        <v>44760</v>
      </c>
      <c r="P11279">
        <v>0</v>
      </c>
      <c r="Q11279">
        <v>1</v>
      </c>
      <c r="R11279" t="s">
        <v>44774</v>
      </c>
      <c r="S11279" t="s">
        <v>45266</v>
      </c>
      <c r="T11279" t="s">
        <v>46418</v>
      </c>
      <c r="U11279" t="s">
        <v>56223</v>
      </c>
      <c r="W11279" t="s">
        <v>41952</v>
      </c>
      <c r="X11279" t="s">
        <v>44775</v>
      </c>
    </row>
    <row r="11280" spans="1:24">
      <c r="A11280">
        <f>HYPERLINK("https://www.philgeps.gov.ph/GEPSNONPILOT/Tender/SplashBidNoticeAbstractUI.aspx?menuIndex=3&amp;refID=7127700&amp;Result=3","7127700")</f>
        <v>0</v>
      </c>
      <c r="B11280" t="s">
        <v>3036</v>
      </c>
      <c r="C11280" t="s">
        <v>14465</v>
      </c>
      <c r="D11280" t="s">
        <v>18002</v>
      </c>
      <c r="E11280" t="s">
        <v>27773</v>
      </c>
      <c r="F11280" t="s">
        <v>30900</v>
      </c>
      <c r="G11280" t="s">
        <v>30907</v>
      </c>
      <c r="H11280" t="s">
        <v>30915</v>
      </c>
      <c r="I11280" t="s">
        <v>30919</v>
      </c>
      <c r="J11280" t="s">
        <v>38059</v>
      </c>
      <c r="K11280" t="s">
        <v>40406</v>
      </c>
      <c r="M11280" t="s">
        <v>44196</v>
      </c>
      <c r="N11280" t="s">
        <v>44759</v>
      </c>
      <c r="O11280" t="s">
        <v>44760</v>
      </c>
      <c r="Q11280">
        <v>6</v>
      </c>
      <c r="R11280" t="s">
        <v>44774</v>
      </c>
      <c r="S11280" t="s">
        <v>45311</v>
      </c>
      <c r="T11280" t="s">
        <v>46409</v>
      </c>
      <c r="U11280" t="s">
        <v>56220</v>
      </c>
      <c r="V11280" t="s">
        <v>60180</v>
      </c>
      <c r="W11280" t="s">
        <v>44196</v>
      </c>
      <c r="X11280" t="s">
        <v>44775</v>
      </c>
    </row>
    <row r="11281" spans="1:24">
      <c r="A11281">
        <f>HYPERLINK("https://www.philgeps.gov.ph/GEPSNONPILOT/Tender/SplashBidNoticeAbstractUI.aspx?menuIndex=3&amp;refID=7127569&amp;Result=3","7127569")</f>
        <v>0</v>
      </c>
      <c r="B11281" t="s">
        <v>1494</v>
      </c>
      <c r="C11281" t="s">
        <v>14466</v>
      </c>
      <c r="D11281" t="s">
        <v>17957</v>
      </c>
      <c r="E11281" t="s">
        <v>27774</v>
      </c>
      <c r="F11281" t="s">
        <v>30900</v>
      </c>
      <c r="G11281" t="s">
        <v>30907</v>
      </c>
      <c r="H11281" t="s">
        <v>30916</v>
      </c>
      <c r="I11281" t="s">
        <v>30919</v>
      </c>
      <c r="J11281" t="s">
        <v>38060</v>
      </c>
      <c r="K11281" t="s">
        <v>40280</v>
      </c>
      <c r="M11281" t="s">
        <v>42133</v>
      </c>
      <c r="N11281" t="s">
        <v>44759</v>
      </c>
      <c r="O11281" t="s">
        <v>44760</v>
      </c>
      <c r="P11281">
        <v>0</v>
      </c>
      <c r="Q11281">
        <v>1</v>
      </c>
      <c r="R11281" t="s">
        <v>44774</v>
      </c>
      <c r="S11281" t="s">
        <v>45266</v>
      </c>
      <c r="T11281" t="s">
        <v>46614</v>
      </c>
      <c r="U11281" t="s">
        <v>56224</v>
      </c>
      <c r="W11281" t="s">
        <v>42133</v>
      </c>
      <c r="X11281" t="s">
        <v>44775</v>
      </c>
    </row>
    <row r="11282" spans="1:24">
      <c r="A11282">
        <f>HYPERLINK("https://www.philgeps.gov.ph/GEPSNONPILOT/Tender/SplashBidNoticeAbstractUI.aspx?menuIndex=3&amp;refID=7127676&amp;Result=3","7127676")</f>
        <v>0</v>
      </c>
      <c r="B11282" t="s">
        <v>2751</v>
      </c>
      <c r="C11282" t="s">
        <v>14467</v>
      </c>
      <c r="D11282" t="s">
        <v>17953</v>
      </c>
      <c r="E11282" t="s">
        <v>27775</v>
      </c>
      <c r="F11282" t="s">
        <v>30900</v>
      </c>
      <c r="G11282" t="s">
        <v>30907</v>
      </c>
      <c r="H11282" t="s">
        <v>30916</v>
      </c>
      <c r="I11282" t="s">
        <v>8123</v>
      </c>
      <c r="J11282" t="s">
        <v>38061</v>
      </c>
      <c r="K11282" t="s">
        <v>40281</v>
      </c>
      <c r="M11282" t="s">
        <v>43528</v>
      </c>
      <c r="N11282" t="s">
        <v>44759</v>
      </c>
      <c r="O11282" t="s">
        <v>44760</v>
      </c>
      <c r="P11282">
        <v>0</v>
      </c>
      <c r="Q11282">
        <v>0</v>
      </c>
      <c r="R11282" t="s">
        <v>44774</v>
      </c>
      <c r="S11282" t="s">
        <v>45266</v>
      </c>
      <c r="T11282" t="s">
        <v>46356</v>
      </c>
      <c r="U11282" t="s">
        <v>56225</v>
      </c>
      <c r="W11282" t="s">
        <v>43528</v>
      </c>
      <c r="X11282" t="s">
        <v>44775</v>
      </c>
    </row>
    <row r="11283" spans="1:24">
      <c r="A11283">
        <f>HYPERLINK("https://www.philgeps.gov.ph/GEPSNONPILOT/Tender/SplashBidNoticeAbstractUI.aspx?menuIndex=3&amp;refID=7127583&amp;Result=3","7127583")</f>
        <v>0</v>
      </c>
      <c r="B11283" t="s">
        <v>2697</v>
      </c>
      <c r="C11283" t="s">
        <v>14468</v>
      </c>
      <c r="D11283" t="s">
        <v>17973</v>
      </c>
      <c r="E11283" t="s">
        <v>27776</v>
      </c>
      <c r="F11283" t="s">
        <v>30900</v>
      </c>
      <c r="G11283" t="s">
        <v>30907</v>
      </c>
      <c r="H11283" t="s">
        <v>30915</v>
      </c>
      <c r="I11283" t="s">
        <v>30919</v>
      </c>
      <c r="J11283" t="s">
        <v>38038</v>
      </c>
      <c r="K11283" t="s">
        <v>40516</v>
      </c>
      <c r="M11283" t="s">
        <v>44186</v>
      </c>
      <c r="N11283" t="s">
        <v>44759</v>
      </c>
      <c r="O11283" t="s">
        <v>44760</v>
      </c>
      <c r="P11283">
        <v>0</v>
      </c>
      <c r="Q11283">
        <v>0</v>
      </c>
      <c r="R11283" t="s">
        <v>44774</v>
      </c>
      <c r="S11283" t="s">
        <v>45266</v>
      </c>
      <c r="T11283" t="s">
        <v>46466</v>
      </c>
      <c r="U11283" t="s">
        <v>56183</v>
      </c>
      <c r="W11283" t="s">
        <v>44186</v>
      </c>
      <c r="X11283" t="s">
        <v>44775</v>
      </c>
    </row>
    <row r="11284" spans="1:24">
      <c r="A11284">
        <f>HYPERLINK("https://www.philgeps.gov.ph/GEPSNONPILOT/Tender/SplashBidNoticeAbstractUI.aspx?menuIndex=3&amp;refID=7127672&amp;Result=3","7127672")</f>
        <v>0</v>
      </c>
      <c r="B11284" t="s">
        <v>1203</v>
      </c>
      <c r="C11284" t="s">
        <v>14469</v>
      </c>
      <c r="D11284" t="s">
        <v>17953</v>
      </c>
      <c r="E11284" t="s">
        <v>27777</v>
      </c>
      <c r="F11284" t="s">
        <v>30900</v>
      </c>
      <c r="G11284" t="s">
        <v>30907</v>
      </c>
      <c r="H11284" t="s">
        <v>30916</v>
      </c>
      <c r="I11284" t="s">
        <v>8123</v>
      </c>
      <c r="J11284" t="s">
        <v>38062</v>
      </c>
      <c r="K11284" t="s">
        <v>40289</v>
      </c>
      <c r="M11284" t="s">
        <v>41814</v>
      </c>
      <c r="N11284" t="s">
        <v>44759</v>
      </c>
      <c r="O11284" t="s">
        <v>44760</v>
      </c>
      <c r="P11284">
        <v>0</v>
      </c>
      <c r="Q11284">
        <v>2</v>
      </c>
      <c r="R11284" t="s">
        <v>44774</v>
      </c>
      <c r="S11284" t="s">
        <v>45266</v>
      </c>
      <c r="T11284" t="s">
        <v>46387</v>
      </c>
      <c r="U11284" t="s">
        <v>56226</v>
      </c>
      <c r="V11284" t="s">
        <v>59431</v>
      </c>
      <c r="W11284" t="s">
        <v>41814</v>
      </c>
      <c r="X11284" t="s">
        <v>44775</v>
      </c>
    </row>
    <row r="11285" spans="1:24">
      <c r="A11285">
        <f>HYPERLINK("https://www.philgeps.gov.ph/GEPSNONPILOT/Tender/SplashBidNoticeAbstractUI.aspx?menuIndex=3&amp;refID=7127412&amp;Result=3","7127412")</f>
        <v>0</v>
      </c>
      <c r="B11285" t="s">
        <v>427</v>
      </c>
      <c r="C11285" t="s">
        <v>14470</v>
      </c>
      <c r="D11285" t="s">
        <v>17986</v>
      </c>
      <c r="E11285" t="s">
        <v>18764</v>
      </c>
      <c r="F11285" t="s">
        <v>30900</v>
      </c>
      <c r="G11285" t="s">
        <v>30907</v>
      </c>
      <c r="H11285" t="s">
        <v>30915</v>
      </c>
      <c r="I11285" t="s">
        <v>30919</v>
      </c>
      <c r="J11285" t="s">
        <v>35135</v>
      </c>
      <c r="K11285" t="s">
        <v>40289</v>
      </c>
      <c r="M11285" t="s">
        <v>40984</v>
      </c>
      <c r="N11285" t="s">
        <v>44759</v>
      </c>
      <c r="O11285" t="s">
        <v>44760</v>
      </c>
      <c r="Q11285">
        <v>0</v>
      </c>
      <c r="R11285" t="s">
        <v>44774</v>
      </c>
      <c r="S11285" t="s">
        <v>45312</v>
      </c>
      <c r="T11285" t="s">
        <v>46495</v>
      </c>
      <c r="U11285" t="s">
        <v>56227</v>
      </c>
      <c r="V11285" t="s">
        <v>60392</v>
      </c>
      <c r="W11285" t="s">
        <v>40984</v>
      </c>
      <c r="X11285" t="s">
        <v>44775</v>
      </c>
    </row>
    <row r="11286" spans="1:24">
      <c r="A11286">
        <f>HYPERLINK("https://www.philgeps.gov.ph/GEPSNONPILOT/Tender/SplashBidNoticeAbstractUI.aspx?menuIndex=3&amp;refID=7127744&amp;Result=3","7127744")</f>
        <v>0</v>
      </c>
      <c r="B11286" t="s">
        <v>1554</v>
      </c>
      <c r="C11286" t="s">
        <v>14471</v>
      </c>
      <c r="D11286" t="s">
        <v>17962</v>
      </c>
      <c r="E11286" t="s">
        <v>27778</v>
      </c>
      <c r="F11286" t="s">
        <v>30900</v>
      </c>
      <c r="G11286" t="s">
        <v>30907</v>
      </c>
      <c r="H11286" t="s">
        <v>30916</v>
      </c>
      <c r="I11286" t="s">
        <v>8123</v>
      </c>
      <c r="J11286" t="s">
        <v>38063</v>
      </c>
      <c r="K11286" t="s">
        <v>40284</v>
      </c>
      <c r="M11286" t="s">
        <v>42200</v>
      </c>
      <c r="N11286" t="s">
        <v>44759</v>
      </c>
      <c r="O11286" t="s">
        <v>44760</v>
      </c>
      <c r="P11286">
        <v>0</v>
      </c>
      <c r="Q11286">
        <v>2</v>
      </c>
      <c r="R11286" t="s">
        <v>44774</v>
      </c>
      <c r="S11286" t="s">
        <v>45266</v>
      </c>
      <c r="T11286" t="s">
        <v>46357</v>
      </c>
      <c r="U11286" t="s">
        <v>56228</v>
      </c>
      <c r="W11286" t="s">
        <v>42200</v>
      </c>
      <c r="X11286" t="s">
        <v>44775</v>
      </c>
    </row>
    <row r="11287" spans="1:24">
      <c r="A11287">
        <f>HYPERLINK("https://www.philgeps.gov.ph/GEPSNONPILOT/Tender/SplashBidNoticeAbstractUI.aspx?menuIndex=3&amp;refID=7127582&amp;Result=3","7127582")</f>
        <v>0</v>
      </c>
      <c r="B11287" t="s">
        <v>1977</v>
      </c>
      <c r="C11287" t="s">
        <v>14472</v>
      </c>
      <c r="D11287" t="s">
        <v>17976</v>
      </c>
      <c r="E11287" t="s">
        <v>27779</v>
      </c>
      <c r="F11287" t="s">
        <v>30900</v>
      </c>
      <c r="G11287" t="s">
        <v>30907</v>
      </c>
      <c r="H11287" t="s">
        <v>30915</v>
      </c>
      <c r="I11287" t="s">
        <v>30919</v>
      </c>
      <c r="J11287" t="s">
        <v>38064</v>
      </c>
      <c r="K11287" t="s">
        <v>40388</v>
      </c>
      <c r="M11287" t="s">
        <v>42666</v>
      </c>
      <c r="N11287" t="s">
        <v>44759</v>
      </c>
      <c r="O11287" t="s">
        <v>44760</v>
      </c>
      <c r="P11287">
        <v>0</v>
      </c>
      <c r="Q11287">
        <v>3</v>
      </c>
      <c r="R11287" t="s">
        <v>44774</v>
      </c>
      <c r="S11287" t="s">
        <v>45266</v>
      </c>
      <c r="T11287" t="s">
        <v>46425</v>
      </c>
      <c r="U11287" t="s">
        <v>56229</v>
      </c>
      <c r="V11287" t="s">
        <v>60313</v>
      </c>
      <c r="W11287" t="s">
        <v>42666</v>
      </c>
      <c r="X11287" t="s">
        <v>44775</v>
      </c>
    </row>
    <row r="11288" spans="1:24">
      <c r="A11288">
        <f>HYPERLINK("https://www.philgeps.gov.ph/GEPSNONPILOT/Tender/SplashBidNoticeAbstractUI.aspx?menuIndex=3&amp;refID=7127580&amp;Result=3","7127580")</f>
        <v>0</v>
      </c>
      <c r="B11288" t="s">
        <v>3099</v>
      </c>
      <c r="C11288" t="s">
        <v>14473</v>
      </c>
      <c r="D11288" t="s">
        <v>17971</v>
      </c>
      <c r="E11288" t="s">
        <v>27780</v>
      </c>
      <c r="F11288" t="s">
        <v>30900</v>
      </c>
      <c r="G11288" t="s">
        <v>30913</v>
      </c>
      <c r="H11288" t="s">
        <v>30916</v>
      </c>
      <c r="I11288" t="s">
        <v>30939</v>
      </c>
      <c r="J11288" t="s">
        <v>38065</v>
      </c>
      <c r="K11288" t="s">
        <v>40283</v>
      </c>
      <c r="M11288" t="s">
        <v>43911</v>
      </c>
      <c r="N11288" t="s">
        <v>44759</v>
      </c>
      <c r="O11288" t="s">
        <v>44760</v>
      </c>
      <c r="P11288">
        <v>0</v>
      </c>
      <c r="Q11288">
        <v>1</v>
      </c>
      <c r="R11288" t="s">
        <v>44774</v>
      </c>
      <c r="S11288" t="s">
        <v>45266</v>
      </c>
      <c r="T11288" t="s">
        <v>46466</v>
      </c>
      <c r="U11288" t="s">
        <v>56230</v>
      </c>
      <c r="V11288" t="s">
        <v>60399</v>
      </c>
      <c r="W11288" t="s">
        <v>43911</v>
      </c>
      <c r="X11288" t="s">
        <v>44775</v>
      </c>
    </row>
    <row r="11289" spans="1:24">
      <c r="A11289">
        <f>HYPERLINK("https://www.philgeps.gov.ph/GEPSNONPILOT/Tender/SplashBidNoticeAbstractUI.aspx?menuIndex=3&amp;refID=7127685&amp;Result=3","7127685")</f>
        <v>0</v>
      </c>
      <c r="B11289" t="s">
        <v>1043</v>
      </c>
      <c r="C11289" t="s">
        <v>14474</v>
      </c>
      <c r="D11289" t="s">
        <v>18000</v>
      </c>
      <c r="E11289" t="s">
        <v>27781</v>
      </c>
      <c r="F11289" t="s">
        <v>30900</v>
      </c>
      <c r="G11289" t="s">
        <v>30907</v>
      </c>
      <c r="H11289" t="s">
        <v>30915</v>
      </c>
      <c r="I11289" t="s">
        <v>30919</v>
      </c>
      <c r="J11289" t="s">
        <v>38066</v>
      </c>
      <c r="K11289" t="s">
        <v>40289</v>
      </c>
      <c r="M11289" t="s">
        <v>43271</v>
      </c>
      <c r="N11289" t="s">
        <v>44759</v>
      </c>
      <c r="O11289" t="s">
        <v>44760</v>
      </c>
      <c r="P11289">
        <v>0</v>
      </c>
      <c r="Q11289">
        <v>3</v>
      </c>
      <c r="R11289" t="s">
        <v>44774</v>
      </c>
      <c r="S11289" t="s">
        <v>45266</v>
      </c>
      <c r="T11289" t="s">
        <v>46425</v>
      </c>
      <c r="U11289" t="s">
        <v>56231</v>
      </c>
      <c r="W11289" t="s">
        <v>43271</v>
      </c>
      <c r="X11289" t="s">
        <v>44775</v>
      </c>
    </row>
    <row r="11290" spans="1:24">
      <c r="A11290">
        <f>HYPERLINK("https://www.philgeps.gov.ph/GEPSNONPILOT/Tender/SplashBidNoticeAbstractUI.aspx?menuIndex=3&amp;refID=7127653&amp;Result=3","7127653")</f>
        <v>0</v>
      </c>
      <c r="B11290" t="s">
        <v>3099</v>
      </c>
      <c r="C11290" t="s">
        <v>14475</v>
      </c>
      <c r="D11290" t="s">
        <v>17971</v>
      </c>
      <c r="E11290" t="s">
        <v>27782</v>
      </c>
      <c r="F11290" t="s">
        <v>30900</v>
      </c>
      <c r="G11290" t="s">
        <v>30913</v>
      </c>
      <c r="H11290" t="s">
        <v>30916</v>
      </c>
      <c r="I11290" t="s">
        <v>4545</v>
      </c>
      <c r="J11290" t="s">
        <v>38067</v>
      </c>
      <c r="K11290" t="s">
        <v>40283</v>
      </c>
      <c r="M11290" t="s">
        <v>43911</v>
      </c>
      <c r="N11290" t="s">
        <v>44759</v>
      </c>
      <c r="O11290" t="s">
        <v>44760</v>
      </c>
      <c r="Q11290">
        <v>9</v>
      </c>
      <c r="R11290" t="s">
        <v>44774</v>
      </c>
      <c r="S11290" t="s">
        <v>45313</v>
      </c>
      <c r="T11290" t="s">
        <v>46466</v>
      </c>
      <c r="U11290" t="s">
        <v>56232</v>
      </c>
      <c r="V11290" t="s">
        <v>60399</v>
      </c>
      <c r="W11290" t="s">
        <v>43911</v>
      </c>
      <c r="X11290" t="s">
        <v>44775</v>
      </c>
    </row>
    <row r="11291" spans="1:24">
      <c r="A11291">
        <f>HYPERLINK("https://www.philgeps.gov.ph/GEPSNONPILOT/Tender/SplashBidNoticeAbstractUI.aspx?menuIndex=3&amp;refID=7127614&amp;Result=3","7127614")</f>
        <v>0</v>
      </c>
      <c r="B11291" t="s">
        <v>1203</v>
      </c>
      <c r="C11291" t="s">
        <v>14476</v>
      </c>
      <c r="D11291" t="s">
        <v>17953</v>
      </c>
      <c r="E11291" t="s">
        <v>27783</v>
      </c>
      <c r="F11291" t="s">
        <v>30900</v>
      </c>
      <c r="G11291" t="s">
        <v>30907</v>
      </c>
      <c r="H11291" t="s">
        <v>30916</v>
      </c>
      <c r="I11291" t="s">
        <v>30924</v>
      </c>
      <c r="J11291" t="s">
        <v>38068</v>
      </c>
      <c r="K11291" t="s">
        <v>40289</v>
      </c>
      <c r="M11291" t="s">
        <v>41814</v>
      </c>
      <c r="N11291" t="s">
        <v>44759</v>
      </c>
      <c r="O11291" t="s">
        <v>44760</v>
      </c>
      <c r="Q11291">
        <v>8</v>
      </c>
      <c r="R11291" t="s">
        <v>44774</v>
      </c>
      <c r="S11291" t="s">
        <v>45314</v>
      </c>
      <c r="T11291" t="s">
        <v>46387</v>
      </c>
      <c r="U11291" t="s">
        <v>56233</v>
      </c>
      <c r="V11291" t="s">
        <v>59431</v>
      </c>
      <c r="W11291" t="s">
        <v>41814</v>
      </c>
      <c r="X11291" t="s">
        <v>44775</v>
      </c>
    </row>
    <row r="11292" spans="1:24">
      <c r="A11292">
        <f>HYPERLINK("https://www.philgeps.gov.ph/GEPSNONPILOT/Tender/SplashBidNoticeAbstractUI.aspx?menuIndex=3&amp;refID=7127668&amp;Result=3","7127668")</f>
        <v>0</v>
      </c>
      <c r="B11292" t="s">
        <v>3306</v>
      </c>
      <c r="C11292" t="s">
        <v>14477</v>
      </c>
      <c r="D11292" t="s">
        <v>17998</v>
      </c>
      <c r="E11292" t="s">
        <v>27784</v>
      </c>
      <c r="F11292" t="s">
        <v>30900</v>
      </c>
      <c r="G11292" t="s">
        <v>30907</v>
      </c>
      <c r="H11292" t="s">
        <v>30916</v>
      </c>
      <c r="I11292" t="s">
        <v>30932</v>
      </c>
      <c r="J11292" t="s">
        <v>34658</v>
      </c>
      <c r="K11292" t="s">
        <v>40286</v>
      </c>
      <c r="M11292" t="s">
        <v>44159</v>
      </c>
      <c r="N11292" t="s">
        <v>44759</v>
      </c>
      <c r="O11292" t="s">
        <v>44760</v>
      </c>
      <c r="P11292">
        <v>0</v>
      </c>
      <c r="Q11292">
        <v>0</v>
      </c>
      <c r="R11292" t="s">
        <v>44774</v>
      </c>
      <c r="S11292" t="s">
        <v>45266</v>
      </c>
      <c r="T11292" t="s">
        <v>46441</v>
      </c>
      <c r="U11292" t="s">
        <v>56234</v>
      </c>
      <c r="W11292" t="s">
        <v>44159</v>
      </c>
      <c r="X11292" t="s">
        <v>44775</v>
      </c>
    </row>
    <row r="11293" spans="1:24">
      <c r="A11293">
        <f>HYPERLINK("https://www.philgeps.gov.ph/GEPSNONPILOT/Tender/SplashBidNoticeAbstractUI.aspx?menuIndex=3&amp;refID=7127609&amp;Result=3","7127609")</f>
        <v>0</v>
      </c>
      <c r="B11293" t="s">
        <v>2697</v>
      </c>
      <c r="C11293" t="s">
        <v>14478</v>
      </c>
      <c r="D11293" t="s">
        <v>17973</v>
      </c>
      <c r="E11293" t="s">
        <v>27785</v>
      </c>
      <c r="F11293" t="s">
        <v>30900</v>
      </c>
      <c r="G11293" t="s">
        <v>30907</v>
      </c>
      <c r="H11293" t="s">
        <v>30915</v>
      </c>
      <c r="I11293" t="s">
        <v>30919</v>
      </c>
      <c r="J11293" t="s">
        <v>38069</v>
      </c>
      <c r="K11293" t="s">
        <v>40474</v>
      </c>
      <c r="M11293" t="s">
        <v>44186</v>
      </c>
      <c r="N11293" t="s">
        <v>44759</v>
      </c>
      <c r="O11293" t="s">
        <v>44760</v>
      </c>
      <c r="P11293">
        <v>0</v>
      </c>
      <c r="Q11293">
        <v>0</v>
      </c>
      <c r="R11293" t="s">
        <v>44774</v>
      </c>
      <c r="S11293" t="s">
        <v>45266</v>
      </c>
      <c r="T11293" t="s">
        <v>46466</v>
      </c>
      <c r="U11293" t="s">
        <v>56183</v>
      </c>
      <c r="W11293" t="s">
        <v>44186</v>
      </c>
      <c r="X11293" t="s">
        <v>44775</v>
      </c>
    </row>
    <row r="11294" spans="1:24">
      <c r="A11294">
        <f>HYPERLINK("https://www.philgeps.gov.ph/GEPSNONPILOT/Tender/SplashBidNoticeAbstractUI.aspx?menuIndex=3&amp;refID=7127590&amp;Result=3","7127590")</f>
        <v>0</v>
      </c>
      <c r="B11294" t="s">
        <v>1513</v>
      </c>
      <c r="C11294" t="s">
        <v>14479</v>
      </c>
      <c r="D11294" t="s">
        <v>17968</v>
      </c>
      <c r="E11294" t="s">
        <v>27786</v>
      </c>
      <c r="F11294" t="s">
        <v>30900</v>
      </c>
      <c r="G11294" t="s">
        <v>30907</v>
      </c>
      <c r="H11294" t="s">
        <v>30915</v>
      </c>
      <c r="I11294" t="s">
        <v>30919</v>
      </c>
      <c r="J11294" t="s">
        <v>38070</v>
      </c>
      <c r="K11294" t="s">
        <v>40395</v>
      </c>
      <c r="M11294" t="s">
        <v>42154</v>
      </c>
      <c r="N11294" t="s">
        <v>44759</v>
      </c>
      <c r="O11294" t="s">
        <v>44760</v>
      </c>
      <c r="P11294">
        <v>0</v>
      </c>
      <c r="Q11294">
        <v>21</v>
      </c>
      <c r="R11294" t="s">
        <v>44774</v>
      </c>
      <c r="S11294" t="s">
        <v>45266</v>
      </c>
      <c r="T11294" t="s">
        <v>46418</v>
      </c>
      <c r="U11294" t="s">
        <v>56235</v>
      </c>
      <c r="V11294" t="s">
        <v>60400</v>
      </c>
      <c r="W11294" t="s">
        <v>42154</v>
      </c>
      <c r="X11294" t="s">
        <v>44775</v>
      </c>
    </row>
    <row r="11295" spans="1:24">
      <c r="A11295">
        <f>HYPERLINK("https://www.philgeps.gov.ph/GEPSNONPILOT/Tender/SplashBidNoticeAbstractUI.aspx?menuIndex=3&amp;refID=7127666&amp;Result=3","7127666")</f>
        <v>0</v>
      </c>
      <c r="B11295" t="s">
        <v>3335</v>
      </c>
      <c r="C11295" t="s">
        <v>14480</v>
      </c>
      <c r="D11295" t="s">
        <v>17969</v>
      </c>
      <c r="E11295" t="s">
        <v>27787</v>
      </c>
      <c r="F11295" t="s">
        <v>30900</v>
      </c>
      <c r="G11295" t="s">
        <v>30907</v>
      </c>
      <c r="H11295" t="s">
        <v>30916</v>
      </c>
      <c r="I11295" t="s">
        <v>8123</v>
      </c>
      <c r="J11295" t="s">
        <v>38071</v>
      </c>
      <c r="K11295" t="s">
        <v>40283</v>
      </c>
      <c r="M11295" t="s">
        <v>44197</v>
      </c>
      <c r="N11295" t="s">
        <v>44759</v>
      </c>
      <c r="O11295" t="s">
        <v>44760</v>
      </c>
      <c r="P11295">
        <v>0</v>
      </c>
      <c r="Q11295">
        <v>0</v>
      </c>
      <c r="R11295" t="s">
        <v>44774</v>
      </c>
      <c r="S11295" t="s">
        <v>45266</v>
      </c>
      <c r="T11295" t="s">
        <v>46533</v>
      </c>
      <c r="U11295" t="s">
        <v>56236</v>
      </c>
      <c r="W11295" t="s">
        <v>44197</v>
      </c>
      <c r="X11295" t="s">
        <v>44775</v>
      </c>
    </row>
    <row r="11296" spans="1:24">
      <c r="A11296">
        <f>HYPERLINK("https://www.philgeps.gov.ph/GEPSNONPILOT/Tender/SplashBidNoticeAbstractUI.aspx?menuIndex=3&amp;refID=7127587&amp;Result=3","7127587")</f>
        <v>0</v>
      </c>
      <c r="B11296" t="s">
        <v>3335</v>
      </c>
      <c r="C11296" t="s">
        <v>14481</v>
      </c>
      <c r="D11296" t="s">
        <v>17969</v>
      </c>
      <c r="E11296" t="s">
        <v>27788</v>
      </c>
      <c r="F11296" t="s">
        <v>30900</v>
      </c>
      <c r="G11296" t="s">
        <v>30907</v>
      </c>
      <c r="H11296" t="s">
        <v>30916</v>
      </c>
      <c r="I11296" t="s">
        <v>8123</v>
      </c>
      <c r="J11296" t="s">
        <v>38071</v>
      </c>
      <c r="K11296" t="s">
        <v>40283</v>
      </c>
      <c r="M11296" t="s">
        <v>44197</v>
      </c>
      <c r="N11296" t="s">
        <v>44759</v>
      </c>
      <c r="O11296" t="s">
        <v>44760</v>
      </c>
      <c r="P11296">
        <v>0</v>
      </c>
      <c r="Q11296">
        <v>0</v>
      </c>
      <c r="R11296" t="s">
        <v>44774</v>
      </c>
      <c r="S11296" t="s">
        <v>45266</v>
      </c>
      <c r="T11296" t="s">
        <v>46533</v>
      </c>
      <c r="U11296" t="s">
        <v>56236</v>
      </c>
      <c r="W11296" t="s">
        <v>44197</v>
      </c>
      <c r="X11296" t="s">
        <v>44775</v>
      </c>
    </row>
    <row r="11297" spans="1:24">
      <c r="A11297">
        <f>HYPERLINK("https://www.philgeps.gov.ph/GEPSNONPILOT/Tender/SplashBidNoticeAbstractUI.aspx?menuIndex=3&amp;refID=7127762&amp;Result=3","7127762")</f>
        <v>0</v>
      </c>
      <c r="B11297" t="s">
        <v>3336</v>
      </c>
      <c r="C11297" t="s">
        <v>14482</v>
      </c>
      <c r="D11297" t="s">
        <v>17953</v>
      </c>
      <c r="E11297" t="s">
        <v>27789</v>
      </c>
      <c r="F11297" t="s">
        <v>30900</v>
      </c>
      <c r="G11297" t="s">
        <v>30907</v>
      </c>
      <c r="H11297" t="s">
        <v>30916</v>
      </c>
      <c r="I11297" t="s">
        <v>8365</v>
      </c>
      <c r="J11297" t="s">
        <v>31543</v>
      </c>
      <c r="K11297" t="s">
        <v>40289</v>
      </c>
      <c r="M11297" t="s">
        <v>44198</v>
      </c>
      <c r="N11297" t="s">
        <v>44759</v>
      </c>
      <c r="O11297" t="s">
        <v>44760</v>
      </c>
      <c r="P11297">
        <v>0</v>
      </c>
      <c r="Q11297">
        <v>0</v>
      </c>
      <c r="R11297" t="s">
        <v>44774</v>
      </c>
      <c r="S11297" t="s">
        <v>45266</v>
      </c>
      <c r="T11297" t="s">
        <v>46399</v>
      </c>
      <c r="U11297" t="s">
        <v>56237</v>
      </c>
      <c r="W11297" t="s">
        <v>44198</v>
      </c>
      <c r="X11297" t="s">
        <v>44775</v>
      </c>
    </row>
    <row r="11298" spans="1:24">
      <c r="A11298">
        <f>HYPERLINK("https://www.philgeps.gov.ph/GEPSNONPILOT/Tender/SplashBidNoticeAbstractUI.aspx?menuIndex=3&amp;refID=7127757&amp;Result=3","7127757")</f>
        <v>0</v>
      </c>
      <c r="B11298" t="s">
        <v>79</v>
      </c>
      <c r="C11298" t="s">
        <v>14483</v>
      </c>
      <c r="D11298" t="s">
        <v>17988</v>
      </c>
      <c r="E11298" t="s">
        <v>19703</v>
      </c>
      <c r="F11298" t="s">
        <v>30900</v>
      </c>
      <c r="G11298" t="s">
        <v>30907</v>
      </c>
      <c r="H11298" t="s">
        <v>30915</v>
      </c>
      <c r="I11298" t="s">
        <v>30919</v>
      </c>
      <c r="J11298" t="s">
        <v>38072</v>
      </c>
      <c r="K11298" t="s">
        <v>40372</v>
      </c>
      <c r="M11298" t="s">
        <v>40626</v>
      </c>
      <c r="N11298" t="s">
        <v>44759</v>
      </c>
      <c r="O11298" t="s">
        <v>44760</v>
      </c>
      <c r="P11298">
        <v>0</v>
      </c>
      <c r="Q11298">
        <v>0</v>
      </c>
      <c r="R11298" t="s">
        <v>44774</v>
      </c>
      <c r="S11298" t="s">
        <v>45266</v>
      </c>
      <c r="T11298" t="s">
        <v>46879</v>
      </c>
      <c r="U11298" t="s">
        <v>56238</v>
      </c>
      <c r="V11298" t="s">
        <v>60401</v>
      </c>
      <c r="W11298" t="s">
        <v>40626</v>
      </c>
      <c r="X11298" t="s">
        <v>44775</v>
      </c>
    </row>
    <row r="11299" spans="1:24">
      <c r="A11299">
        <f>HYPERLINK("https://www.philgeps.gov.ph/GEPSNONPILOT/Tender/SplashBidNoticeAbstractUI.aspx?menuIndex=3&amp;refID=7127845&amp;Result=3","7127845")</f>
        <v>0</v>
      </c>
      <c r="B11299" t="s">
        <v>3337</v>
      </c>
      <c r="C11299" t="s">
        <v>14484</v>
      </c>
      <c r="D11299" t="s">
        <v>17952</v>
      </c>
      <c r="E11299" t="s">
        <v>27790</v>
      </c>
      <c r="F11299" t="s">
        <v>30900</v>
      </c>
      <c r="G11299" t="s">
        <v>30907</v>
      </c>
      <c r="H11299" t="s">
        <v>30915</v>
      </c>
      <c r="I11299" t="s">
        <v>30948</v>
      </c>
      <c r="J11299" t="s">
        <v>31341</v>
      </c>
      <c r="K11299" t="s">
        <v>40292</v>
      </c>
      <c r="M11299" t="s">
        <v>44199</v>
      </c>
      <c r="N11299" t="s">
        <v>44759</v>
      </c>
      <c r="O11299" t="s">
        <v>44760</v>
      </c>
      <c r="P11299">
        <v>0</v>
      </c>
      <c r="Q11299">
        <v>1</v>
      </c>
      <c r="R11299" t="s">
        <v>44774</v>
      </c>
      <c r="S11299" t="s">
        <v>45266</v>
      </c>
      <c r="T11299" t="s">
        <v>46625</v>
      </c>
      <c r="U11299" t="s">
        <v>47204</v>
      </c>
      <c r="W11299" t="s">
        <v>60926</v>
      </c>
      <c r="X11299" t="s">
        <v>44775</v>
      </c>
    </row>
    <row r="11300" spans="1:24">
      <c r="A11300">
        <f>HYPERLINK("https://www.philgeps.gov.ph/GEPSNONPILOT/Tender/SplashBidNoticeAbstractUI.aspx?menuIndex=3&amp;refID=7127612&amp;Result=3","7127612")</f>
        <v>0</v>
      </c>
      <c r="B11300" t="s">
        <v>2462</v>
      </c>
      <c r="C11300" t="s">
        <v>14485</v>
      </c>
      <c r="D11300" t="s">
        <v>17964</v>
      </c>
      <c r="E11300" t="s">
        <v>27791</v>
      </c>
      <c r="F11300" t="s">
        <v>30900</v>
      </c>
      <c r="G11300" t="s">
        <v>30907</v>
      </c>
      <c r="H11300" t="s">
        <v>30916</v>
      </c>
      <c r="I11300" t="s">
        <v>30950</v>
      </c>
      <c r="J11300" t="s">
        <v>38073</v>
      </c>
      <c r="K11300" t="s">
        <v>40280</v>
      </c>
      <c r="M11300" t="s">
        <v>43199</v>
      </c>
      <c r="N11300" t="s">
        <v>44759</v>
      </c>
      <c r="O11300" t="s">
        <v>44760</v>
      </c>
      <c r="Q11300">
        <v>2</v>
      </c>
      <c r="R11300" t="s">
        <v>44774</v>
      </c>
      <c r="S11300" t="s">
        <v>45315</v>
      </c>
      <c r="T11300" t="s">
        <v>46352</v>
      </c>
      <c r="U11300" t="s">
        <v>56239</v>
      </c>
      <c r="W11300" t="s">
        <v>43199</v>
      </c>
      <c r="X11300" t="s">
        <v>44775</v>
      </c>
    </row>
    <row r="11301" spans="1:24">
      <c r="A11301">
        <f>HYPERLINK("https://www.philgeps.gov.ph/GEPSNONPILOT/Tender/SplashBidNoticeAbstractUI.aspx?menuIndex=3&amp;refID=7127864&amp;Result=3","7127864")</f>
        <v>0</v>
      </c>
      <c r="B11301" t="s">
        <v>3335</v>
      </c>
      <c r="C11301" t="s">
        <v>14486</v>
      </c>
      <c r="D11301" t="s">
        <v>17969</v>
      </c>
      <c r="E11301" t="s">
        <v>27792</v>
      </c>
      <c r="F11301" t="s">
        <v>30900</v>
      </c>
      <c r="G11301" t="s">
        <v>30907</v>
      </c>
      <c r="H11301" t="s">
        <v>30916</v>
      </c>
      <c r="I11301" t="s">
        <v>8123</v>
      </c>
      <c r="J11301" t="s">
        <v>38071</v>
      </c>
      <c r="K11301" t="s">
        <v>40283</v>
      </c>
      <c r="M11301" t="s">
        <v>44197</v>
      </c>
      <c r="N11301" t="s">
        <v>44759</v>
      </c>
      <c r="O11301" t="s">
        <v>44760</v>
      </c>
      <c r="P11301">
        <v>0</v>
      </c>
      <c r="Q11301">
        <v>0</v>
      </c>
      <c r="R11301" t="s">
        <v>44774</v>
      </c>
      <c r="S11301" t="s">
        <v>45266</v>
      </c>
      <c r="T11301" t="s">
        <v>46533</v>
      </c>
      <c r="U11301" t="s">
        <v>56236</v>
      </c>
      <c r="W11301" t="s">
        <v>44197</v>
      </c>
      <c r="X11301" t="s">
        <v>44775</v>
      </c>
    </row>
    <row r="11302" spans="1:24">
      <c r="A11302">
        <f>HYPERLINK("https://www.philgeps.gov.ph/GEPSNONPILOT/Tender/SplashBidNoticeAbstractUI.aspx?menuIndex=3&amp;refID=7127743&amp;Result=3","7127743")</f>
        <v>0</v>
      </c>
      <c r="B11302" t="s">
        <v>402</v>
      </c>
      <c r="C11302" t="s">
        <v>14487</v>
      </c>
      <c r="D11302" t="s">
        <v>17982</v>
      </c>
      <c r="E11302" t="s">
        <v>27793</v>
      </c>
      <c r="F11302" t="s">
        <v>30900</v>
      </c>
      <c r="G11302" t="s">
        <v>30908</v>
      </c>
      <c r="H11302" t="s">
        <v>30916</v>
      </c>
      <c r="I11302" t="s">
        <v>30919</v>
      </c>
      <c r="J11302" t="s">
        <v>31069</v>
      </c>
      <c r="K11302" t="s">
        <v>40280</v>
      </c>
      <c r="M11302" t="s">
        <v>40957</v>
      </c>
      <c r="N11302" t="s">
        <v>44759</v>
      </c>
      <c r="O11302" t="s">
        <v>44760</v>
      </c>
      <c r="P11302">
        <v>0</v>
      </c>
      <c r="Q11302">
        <v>0</v>
      </c>
      <c r="R11302" t="s">
        <v>44774</v>
      </c>
      <c r="S11302" t="s">
        <v>45266</v>
      </c>
      <c r="T11302" t="s">
        <v>46369</v>
      </c>
      <c r="U11302" t="s">
        <v>56240</v>
      </c>
      <c r="W11302" t="s">
        <v>40957</v>
      </c>
      <c r="X11302" t="s">
        <v>44775</v>
      </c>
    </row>
    <row r="11303" spans="1:24">
      <c r="A11303">
        <f>HYPERLINK("https://www.philgeps.gov.ph/GEPSNONPILOT/Tender/SplashBidNoticeAbstractUI.aspx?menuIndex=3&amp;refID=7127645&amp;Result=3","7127645")</f>
        <v>0</v>
      </c>
      <c r="B11303" t="s">
        <v>3335</v>
      </c>
      <c r="C11303" t="s">
        <v>14488</v>
      </c>
      <c r="D11303" t="s">
        <v>17969</v>
      </c>
      <c r="E11303" t="s">
        <v>27794</v>
      </c>
      <c r="F11303" t="s">
        <v>30900</v>
      </c>
      <c r="G11303" t="s">
        <v>30907</v>
      </c>
      <c r="H11303" t="s">
        <v>30916</v>
      </c>
      <c r="I11303" t="s">
        <v>8123</v>
      </c>
      <c r="J11303" t="s">
        <v>38071</v>
      </c>
      <c r="K11303" t="s">
        <v>40283</v>
      </c>
      <c r="M11303" t="s">
        <v>44197</v>
      </c>
      <c r="N11303" t="s">
        <v>44759</v>
      </c>
      <c r="O11303" t="s">
        <v>44760</v>
      </c>
      <c r="P11303">
        <v>0</v>
      </c>
      <c r="Q11303">
        <v>0</v>
      </c>
      <c r="R11303" t="s">
        <v>44774</v>
      </c>
      <c r="S11303" t="s">
        <v>45266</v>
      </c>
      <c r="T11303" t="s">
        <v>46533</v>
      </c>
      <c r="U11303" t="s">
        <v>56236</v>
      </c>
      <c r="W11303" t="s">
        <v>44197</v>
      </c>
      <c r="X11303" t="s">
        <v>44775</v>
      </c>
    </row>
    <row r="11304" spans="1:24">
      <c r="A11304">
        <f>HYPERLINK("https://www.philgeps.gov.ph/GEPSNONPILOT/Tender/SplashBidNoticeAbstractUI.aspx?menuIndex=3&amp;refID=7127848&amp;Result=3","7127848")</f>
        <v>0</v>
      </c>
      <c r="B11304" t="s">
        <v>2056</v>
      </c>
      <c r="C11304" t="s">
        <v>14489</v>
      </c>
      <c r="D11304" t="s">
        <v>17999</v>
      </c>
      <c r="E11304" t="s">
        <v>27795</v>
      </c>
      <c r="F11304" t="s">
        <v>30900</v>
      </c>
      <c r="G11304" t="s">
        <v>30907</v>
      </c>
      <c r="H11304" t="s">
        <v>30915</v>
      </c>
      <c r="I11304" t="s">
        <v>30919</v>
      </c>
      <c r="J11304" t="s">
        <v>38074</v>
      </c>
      <c r="K11304" t="s">
        <v>40289</v>
      </c>
      <c r="M11304" t="s">
        <v>42755</v>
      </c>
      <c r="N11304" t="s">
        <v>44759</v>
      </c>
      <c r="O11304" t="s">
        <v>44760</v>
      </c>
      <c r="P11304">
        <v>0</v>
      </c>
      <c r="Q11304">
        <v>0</v>
      </c>
      <c r="R11304" t="s">
        <v>44774</v>
      </c>
      <c r="S11304" t="s">
        <v>45266</v>
      </c>
      <c r="T11304" t="s">
        <v>46418</v>
      </c>
      <c r="U11304" t="s">
        <v>56241</v>
      </c>
      <c r="W11304" t="s">
        <v>42755</v>
      </c>
      <c r="X11304" t="s">
        <v>44775</v>
      </c>
    </row>
    <row r="11305" spans="1:24">
      <c r="A11305">
        <f>HYPERLINK("https://www.philgeps.gov.ph/GEPSNONPILOT/Tender/SplashBidNoticeAbstractUI.aspx?menuIndex=3&amp;refID=7127745&amp;Result=3","7127745")</f>
        <v>0</v>
      </c>
      <c r="B11305" t="s">
        <v>3306</v>
      </c>
      <c r="C11305" t="s">
        <v>14490</v>
      </c>
      <c r="D11305" t="s">
        <v>17998</v>
      </c>
      <c r="E11305" t="s">
        <v>27796</v>
      </c>
      <c r="F11305" t="s">
        <v>30900</v>
      </c>
      <c r="G11305" t="s">
        <v>30907</v>
      </c>
      <c r="H11305" t="s">
        <v>30916</v>
      </c>
      <c r="I11305" t="s">
        <v>8123</v>
      </c>
      <c r="J11305" t="s">
        <v>38075</v>
      </c>
      <c r="K11305" t="s">
        <v>40283</v>
      </c>
      <c r="M11305" t="s">
        <v>44159</v>
      </c>
      <c r="N11305" t="s">
        <v>44759</v>
      </c>
      <c r="O11305" t="s">
        <v>44760</v>
      </c>
      <c r="P11305">
        <v>0</v>
      </c>
      <c r="Q11305">
        <v>0</v>
      </c>
      <c r="R11305" t="s">
        <v>44774</v>
      </c>
      <c r="S11305" t="s">
        <v>45266</v>
      </c>
      <c r="T11305" t="s">
        <v>46441</v>
      </c>
      <c r="U11305" t="s">
        <v>56242</v>
      </c>
      <c r="W11305" t="s">
        <v>44159</v>
      </c>
      <c r="X11305" t="s">
        <v>44775</v>
      </c>
    </row>
    <row r="11306" spans="1:24">
      <c r="A11306">
        <f>HYPERLINK("https://www.philgeps.gov.ph/GEPSNONPILOT/Tender/SplashBidNoticeAbstractUI.aspx?menuIndex=3&amp;refID=7127838&amp;Result=3","7127838")</f>
        <v>0</v>
      </c>
      <c r="B11306" t="s">
        <v>702</v>
      </c>
      <c r="C11306" t="s">
        <v>14491</v>
      </c>
      <c r="D11306" t="s">
        <v>17952</v>
      </c>
      <c r="E11306" t="s">
        <v>27797</v>
      </c>
      <c r="F11306" t="s">
        <v>30900</v>
      </c>
      <c r="G11306" t="s">
        <v>30907</v>
      </c>
      <c r="H11306" t="s">
        <v>30916</v>
      </c>
      <c r="I11306" t="s">
        <v>4142</v>
      </c>
      <c r="J11306" t="s">
        <v>38076</v>
      </c>
      <c r="K11306" t="s">
        <v>40286</v>
      </c>
      <c r="M11306" t="s">
        <v>41266</v>
      </c>
      <c r="N11306" t="s">
        <v>44759</v>
      </c>
      <c r="O11306" t="s">
        <v>44760</v>
      </c>
      <c r="P11306">
        <v>0</v>
      </c>
      <c r="Q11306">
        <v>1</v>
      </c>
      <c r="R11306" t="s">
        <v>44774</v>
      </c>
      <c r="S11306" t="s">
        <v>45266</v>
      </c>
      <c r="T11306" t="s">
        <v>46352</v>
      </c>
      <c r="U11306" t="s">
        <v>56243</v>
      </c>
      <c r="W11306" t="s">
        <v>41266</v>
      </c>
      <c r="X11306" t="s">
        <v>44775</v>
      </c>
    </row>
    <row r="11307" spans="1:24">
      <c r="A11307">
        <f>HYPERLINK("https://www.philgeps.gov.ph/GEPSNONPILOT/Tender/SplashBidNoticeAbstractUI.aspx?menuIndex=3&amp;refID=7127832&amp;Result=3","7127832")</f>
        <v>0</v>
      </c>
      <c r="B11307" t="s">
        <v>3036</v>
      </c>
      <c r="C11307" t="s">
        <v>14492</v>
      </c>
      <c r="D11307" t="s">
        <v>18002</v>
      </c>
      <c r="E11307" t="s">
        <v>27798</v>
      </c>
      <c r="F11307" t="s">
        <v>30900</v>
      </c>
      <c r="G11307" t="s">
        <v>30907</v>
      </c>
      <c r="H11307" t="s">
        <v>30915</v>
      </c>
      <c r="I11307" t="s">
        <v>30919</v>
      </c>
      <c r="J11307" t="s">
        <v>38077</v>
      </c>
      <c r="K11307" t="s">
        <v>40341</v>
      </c>
      <c r="M11307" t="s">
        <v>44196</v>
      </c>
      <c r="N11307" t="s">
        <v>44759</v>
      </c>
      <c r="O11307" t="s">
        <v>44760</v>
      </c>
      <c r="Q11307">
        <v>9</v>
      </c>
      <c r="R11307" t="s">
        <v>44774</v>
      </c>
      <c r="S11307" t="s">
        <v>45316</v>
      </c>
      <c r="T11307" t="s">
        <v>46409</v>
      </c>
      <c r="U11307" t="s">
        <v>56220</v>
      </c>
      <c r="V11307" t="s">
        <v>60180</v>
      </c>
      <c r="W11307" t="s">
        <v>44196</v>
      </c>
      <c r="X11307" t="s">
        <v>44775</v>
      </c>
    </row>
    <row r="11308" spans="1:24">
      <c r="A11308">
        <f>HYPERLINK("https://www.philgeps.gov.ph/GEPSNONPILOT/Tender/SplashBidNoticeAbstractUI.aspx?menuIndex=3&amp;refID=7127716&amp;Result=3","7127716")</f>
        <v>0</v>
      </c>
      <c r="B11308" t="s">
        <v>2535</v>
      </c>
      <c r="C11308" t="s">
        <v>14493</v>
      </c>
      <c r="D11308" t="s">
        <v>17959</v>
      </c>
      <c r="E11308" t="s">
        <v>27799</v>
      </c>
      <c r="F11308" t="s">
        <v>30900</v>
      </c>
      <c r="G11308" t="s">
        <v>30910</v>
      </c>
      <c r="H11308" t="s">
        <v>30916</v>
      </c>
      <c r="I11308" t="s">
        <v>6953</v>
      </c>
      <c r="J11308" t="s">
        <v>38078</v>
      </c>
      <c r="K11308" t="s">
        <v>40288</v>
      </c>
      <c r="M11308" t="s">
        <v>44200</v>
      </c>
      <c r="N11308" t="s">
        <v>44759</v>
      </c>
      <c r="O11308" t="s">
        <v>44760</v>
      </c>
      <c r="Q11308">
        <v>1</v>
      </c>
      <c r="R11308" t="s">
        <v>44774</v>
      </c>
      <c r="S11308" t="s">
        <v>45317</v>
      </c>
      <c r="T11308" t="s">
        <v>46410</v>
      </c>
      <c r="U11308" t="s">
        <v>56244</v>
      </c>
      <c r="W11308" t="s">
        <v>44200</v>
      </c>
      <c r="X11308" t="s">
        <v>44775</v>
      </c>
    </row>
    <row r="11309" spans="1:24">
      <c r="A11309">
        <f>HYPERLINK("https://www.philgeps.gov.ph/GEPSNONPILOT/Tender/SplashBidNoticeAbstractUI.aspx?menuIndex=3&amp;refID=7127826&amp;Result=3","7127826")</f>
        <v>0</v>
      </c>
      <c r="B11309" t="s">
        <v>702</v>
      </c>
      <c r="C11309" t="s">
        <v>14494</v>
      </c>
      <c r="D11309" t="s">
        <v>17952</v>
      </c>
      <c r="E11309" t="s">
        <v>27800</v>
      </c>
      <c r="F11309" t="s">
        <v>30900</v>
      </c>
      <c r="G11309" t="s">
        <v>30907</v>
      </c>
      <c r="H11309" t="s">
        <v>30916</v>
      </c>
      <c r="I11309" t="s">
        <v>4142</v>
      </c>
      <c r="J11309" t="s">
        <v>38079</v>
      </c>
      <c r="K11309" t="s">
        <v>40286</v>
      </c>
      <c r="M11309" t="s">
        <v>41266</v>
      </c>
      <c r="N11309" t="s">
        <v>44759</v>
      </c>
      <c r="O11309" t="s">
        <v>44760</v>
      </c>
      <c r="P11309">
        <v>0</v>
      </c>
      <c r="Q11309">
        <v>1</v>
      </c>
      <c r="R11309" t="s">
        <v>44774</v>
      </c>
      <c r="S11309" t="s">
        <v>45266</v>
      </c>
      <c r="T11309" t="s">
        <v>46352</v>
      </c>
      <c r="U11309" t="s">
        <v>56245</v>
      </c>
      <c r="W11309" t="s">
        <v>41266</v>
      </c>
      <c r="X11309" t="s">
        <v>44775</v>
      </c>
    </row>
    <row r="11310" spans="1:24">
      <c r="A11310">
        <f>HYPERLINK("https://www.philgeps.gov.ph/GEPSNONPILOT/Tender/SplashBidNoticeAbstractUI.aspx?menuIndex=3&amp;refID=7127647&amp;Result=3","7127647")</f>
        <v>0</v>
      </c>
      <c r="B11310" t="s">
        <v>402</v>
      </c>
      <c r="C11310" t="s">
        <v>14495</v>
      </c>
      <c r="D11310" t="s">
        <v>17982</v>
      </c>
      <c r="E11310" t="s">
        <v>27801</v>
      </c>
      <c r="F11310" t="s">
        <v>30900</v>
      </c>
      <c r="G11310" t="s">
        <v>30907</v>
      </c>
      <c r="H11310" t="s">
        <v>30915</v>
      </c>
      <c r="I11310" t="s">
        <v>30919</v>
      </c>
      <c r="J11310" t="s">
        <v>32324</v>
      </c>
      <c r="K11310" t="s">
        <v>40292</v>
      </c>
      <c r="M11310" t="s">
        <v>40957</v>
      </c>
      <c r="N11310" t="s">
        <v>44759</v>
      </c>
      <c r="O11310" t="s">
        <v>44760</v>
      </c>
      <c r="P11310">
        <v>0</v>
      </c>
      <c r="Q11310">
        <v>0</v>
      </c>
      <c r="R11310" t="s">
        <v>44774</v>
      </c>
      <c r="S11310" t="s">
        <v>45266</v>
      </c>
      <c r="T11310" t="s">
        <v>46369</v>
      </c>
      <c r="U11310" t="s">
        <v>56246</v>
      </c>
      <c r="W11310" t="s">
        <v>40957</v>
      </c>
      <c r="X11310" t="s">
        <v>44775</v>
      </c>
    </row>
    <row r="11311" spans="1:24">
      <c r="A11311">
        <f>HYPERLINK("https://www.philgeps.gov.ph/GEPSNONPILOT/Tender/SplashBidNoticeAbstractUI.aspx?menuIndex=3&amp;refID=7127817&amp;Result=3","7127817")</f>
        <v>0</v>
      </c>
      <c r="B11311" t="s">
        <v>1554</v>
      </c>
      <c r="C11311" t="s">
        <v>14496</v>
      </c>
      <c r="D11311" t="s">
        <v>17962</v>
      </c>
      <c r="E11311" t="s">
        <v>27802</v>
      </c>
      <c r="F11311" t="s">
        <v>30900</v>
      </c>
      <c r="G11311" t="s">
        <v>30907</v>
      </c>
      <c r="H11311" t="s">
        <v>30916</v>
      </c>
      <c r="I11311" t="s">
        <v>4142</v>
      </c>
      <c r="J11311" t="s">
        <v>38080</v>
      </c>
      <c r="K11311" t="s">
        <v>40284</v>
      </c>
      <c r="M11311" t="s">
        <v>42200</v>
      </c>
      <c r="N11311" t="s">
        <v>44759</v>
      </c>
      <c r="O11311" t="s">
        <v>44760</v>
      </c>
      <c r="P11311">
        <v>0</v>
      </c>
      <c r="Q11311">
        <v>4</v>
      </c>
      <c r="R11311" t="s">
        <v>44774</v>
      </c>
      <c r="S11311" t="s">
        <v>45266</v>
      </c>
      <c r="T11311" t="s">
        <v>46357</v>
      </c>
      <c r="U11311" t="s">
        <v>56247</v>
      </c>
      <c r="W11311" t="s">
        <v>42200</v>
      </c>
      <c r="X11311" t="s">
        <v>44775</v>
      </c>
    </row>
    <row r="11312" spans="1:24">
      <c r="A11312">
        <f>HYPERLINK("https://www.philgeps.gov.ph/GEPSNONPILOT/Tender/SplashBidNoticeAbstractUI.aspx?menuIndex=3&amp;refID=7127801&amp;Result=3","7127801")</f>
        <v>0</v>
      </c>
      <c r="B11312" t="s">
        <v>3338</v>
      </c>
      <c r="C11312" t="s">
        <v>14497</v>
      </c>
      <c r="D11312" t="s">
        <v>17974</v>
      </c>
      <c r="E11312" t="s">
        <v>27803</v>
      </c>
      <c r="F11312" t="s">
        <v>30900</v>
      </c>
      <c r="G11312" t="s">
        <v>30907</v>
      </c>
      <c r="H11312" t="s">
        <v>30916</v>
      </c>
      <c r="I11312" t="s">
        <v>5501</v>
      </c>
      <c r="J11312" t="s">
        <v>38081</v>
      </c>
      <c r="K11312" t="s">
        <v>40286</v>
      </c>
      <c r="M11312" t="s">
        <v>44201</v>
      </c>
      <c r="N11312" t="s">
        <v>44759</v>
      </c>
      <c r="O11312" t="s">
        <v>44760</v>
      </c>
      <c r="P11312">
        <v>0</v>
      </c>
      <c r="Q11312">
        <v>4</v>
      </c>
      <c r="R11312" t="s">
        <v>44774</v>
      </c>
      <c r="S11312" t="s">
        <v>45266</v>
      </c>
      <c r="T11312" t="s">
        <v>46366</v>
      </c>
      <c r="U11312" t="s">
        <v>56248</v>
      </c>
      <c r="W11312" t="s">
        <v>44201</v>
      </c>
      <c r="X11312" t="s">
        <v>44775</v>
      </c>
    </row>
    <row r="11313" spans="1:24">
      <c r="A11313">
        <f>HYPERLINK("https://www.philgeps.gov.ph/GEPSNONPILOT/Tender/SplashBidNoticeAbstractUI.aspx?menuIndex=3&amp;refID=7127842&amp;Result=3","7127842")</f>
        <v>0</v>
      </c>
      <c r="B11313" t="s">
        <v>3335</v>
      </c>
      <c r="C11313" t="s">
        <v>14498</v>
      </c>
      <c r="D11313" t="s">
        <v>17969</v>
      </c>
      <c r="E11313" t="s">
        <v>27804</v>
      </c>
      <c r="F11313" t="s">
        <v>30900</v>
      </c>
      <c r="G11313" t="s">
        <v>30907</v>
      </c>
      <c r="H11313" t="s">
        <v>30916</v>
      </c>
      <c r="I11313" t="s">
        <v>8123</v>
      </c>
      <c r="J11313" t="s">
        <v>38071</v>
      </c>
      <c r="K11313" t="s">
        <v>40283</v>
      </c>
      <c r="M11313" t="s">
        <v>44197</v>
      </c>
      <c r="N11313" t="s">
        <v>44759</v>
      </c>
      <c r="O11313" t="s">
        <v>44760</v>
      </c>
      <c r="P11313">
        <v>0</v>
      </c>
      <c r="Q11313">
        <v>0</v>
      </c>
      <c r="R11313" t="s">
        <v>44774</v>
      </c>
      <c r="S11313" t="s">
        <v>45266</v>
      </c>
      <c r="T11313" t="s">
        <v>46533</v>
      </c>
      <c r="U11313" t="s">
        <v>56236</v>
      </c>
      <c r="W11313" t="s">
        <v>44197</v>
      </c>
      <c r="X11313" t="s">
        <v>44775</v>
      </c>
    </row>
    <row r="11314" spans="1:24">
      <c r="A11314">
        <f>HYPERLINK("https://www.philgeps.gov.ph/GEPSNONPILOT/Tender/SplashBidNoticeAbstractUI.aspx?menuIndex=3&amp;refID=7127800&amp;Result=3","7127800")</f>
        <v>0</v>
      </c>
      <c r="B11314" t="s">
        <v>537</v>
      </c>
      <c r="C11314" t="s">
        <v>14499</v>
      </c>
      <c r="D11314" t="s">
        <v>17978</v>
      </c>
      <c r="E11314" t="s">
        <v>27805</v>
      </c>
      <c r="F11314" t="s">
        <v>30900</v>
      </c>
      <c r="G11314" t="s">
        <v>30907</v>
      </c>
      <c r="H11314" t="s">
        <v>30916</v>
      </c>
      <c r="I11314" t="s">
        <v>31003</v>
      </c>
      <c r="J11314" t="s">
        <v>38082</v>
      </c>
      <c r="K11314" t="s">
        <v>40301</v>
      </c>
      <c r="M11314" t="s">
        <v>41097</v>
      </c>
      <c r="N11314" t="s">
        <v>44759</v>
      </c>
      <c r="O11314" t="s">
        <v>44760</v>
      </c>
      <c r="P11314">
        <v>0</v>
      </c>
      <c r="Q11314">
        <v>2</v>
      </c>
      <c r="R11314" t="s">
        <v>44774</v>
      </c>
      <c r="S11314" t="s">
        <v>45266</v>
      </c>
      <c r="T11314" t="s">
        <v>46409</v>
      </c>
      <c r="U11314" t="s">
        <v>56249</v>
      </c>
      <c r="V11314" t="s">
        <v>60402</v>
      </c>
      <c r="W11314" t="s">
        <v>41097</v>
      </c>
      <c r="X11314" t="s">
        <v>44775</v>
      </c>
    </row>
    <row r="11315" spans="1:24">
      <c r="A11315">
        <f>HYPERLINK("https://www.philgeps.gov.ph/GEPSNONPILOT/Tender/SplashBidNoticeAbstractUI.aspx?menuIndex=3&amp;refID=7127966&amp;Result=3","7127966")</f>
        <v>0</v>
      </c>
      <c r="B11315" t="s">
        <v>2152</v>
      </c>
      <c r="C11315" t="s">
        <v>14500</v>
      </c>
      <c r="E11315" t="s">
        <v>27806</v>
      </c>
      <c r="F11315" t="s">
        <v>30900</v>
      </c>
      <c r="G11315" t="s">
        <v>30907</v>
      </c>
      <c r="H11315" t="s">
        <v>30916</v>
      </c>
      <c r="I11315" t="s">
        <v>30923</v>
      </c>
      <c r="J11315" t="s">
        <v>38083</v>
      </c>
      <c r="K11315" t="s">
        <v>40291</v>
      </c>
      <c r="M11315" t="s">
        <v>43280</v>
      </c>
      <c r="N11315" t="s">
        <v>44759</v>
      </c>
      <c r="O11315" t="s">
        <v>44760</v>
      </c>
      <c r="P11315">
        <v>0</v>
      </c>
      <c r="Q11315">
        <v>0</v>
      </c>
      <c r="R11315" t="s">
        <v>44774</v>
      </c>
      <c r="S11315" t="s">
        <v>45266</v>
      </c>
      <c r="T11315" t="s">
        <v>46725</v>
      </c>
      <c r="U11315" t="s">
        <v>53166</v>
      </c>
      <c r="W11315" t="s">
        <v>43280</v>
      </c>
      <c r="X11315" t="s">
        <v>44775</v>
      </c>
    </row>
    <row r="11316" spans="1:24">
      <c r="A11316">
        <f>HYPERLINK("https://www.philgeps.gov.ph/GEPSNONPILOT/Tender/SplashBidNoticeAbstractUI.aspx?menuIndex=3&amp;refID=7127964&amp;Result=3","7127964")</f>
        <v>0</v>
      </c>
      <c r="B11316" t="s">
        <v>702</v>
      </c>
      <c r="C11316" t="s">
        <v>14501</v>
      </c>
      <c r="D11316" t="s">
        <v>17952</v>
      </c>
      <c r="E11316" t="s">
        <v>27807</v>
      </c>
      <c r="F11316" t="s">
        <v>30900</v>
      </c>
      <c r="G11316" t="s">
        <v>30907</v>
      </c>
      <c r="H11316" t="s">
        <v>30915</v>
      </c>
      <c r="I11316" t="s">
        <v>30919</v>
      </c>
      <c r="J11316" t="s">
        <v>38084</v>
      </c>
      <c r="K11316" t="s">
        <v>40342</v>
      </c>
      <c r="M11316" t="s">
        <v>41266</v>
      </c>
      <c r="N11316" t="s">
        <v>44759</v>
      </c>
      <c r="O11316" t="s">
        <v>44760</v>
      </c>
      <c r="Q11316">
        <v>8</v>
      </c>
      <c r="R11316" t="s">
        <v>44774</v>
      </c>
      <c r="S11316" t="s">
        <v>45318</v>
      </c>
      <c r="T11316" t="s">
        <v>46352</v>
      </c>
      <c r="U11316" t="s">
        <v>56250</v>
      </c>
      <c r="W11316" t="s">
        <v>41266</v>
      </c>
      <c r="X11316" t="s">
        <v>44775</v>
      </c>
    </row>
    <row r="11317" spans="1:24">
      <c r="A11317">
        <f>HYPERLINK("https://www.philgeps.gov.ph/GEPSNONPILOT/Tender/SplashBidNoticeAbstractUI.aspx?menuIndex=3&amp;refID=7127965&amp;Result=3","7127965")</f>
        <v>0</v>
      </c>
      <c r="B11317" t="s">
        <v>2390</v>
      </c>
      <c r="C11317" t="s">
        <v>14502</v>
      </c>
      <c r="D11317" t="s">
        <v>18015</v>
      </c>
      <c r="E11317" t="s">
        <v>27808</v>
      </c>
      <c r="F11317" t="s">
        <v>30900</v>
      </c>
      <c r="G11317" t="s">
        <v>30907</v>
      </c>
      <c r="H11317" t="s">
        <v>30915</v>
      </c>
      <c r="I11317" t="s">
        <v>30919</v>
      </c>
      <c r="J11317" t="s">
        <v>38085</v>
      </c>
      <c r="K11317" t="s">
        <v>40301</v>
      </c>
      <c r="M11317" t="s">
        <v>43116</v>
      </c>
      <c r="N11317" t="s">
        <v>44759</v>
      </c>
      <c r="O11317" t="s">
        <v>44760</v>
      </c>
      <c r="Q11317">
        <v>0</v>
      </c>
      <c r="R11317" t="s">
        <v>44774</v>
      </c>
      <c r="S11317" t="s">
        <v>45223</v>
      </c>
      <c r="T11317" t="s">
        <v>46411</v>
      </c>
      <c r="U11317" t="s">
        <v>56251</v>
      </c>
      <c r="W11317" t="s">
        <v>43116</v>
      </c>
      <c r="X11317" t="s">
        <v>44775</v>
      </c>
    </row>
    <row r="11318" spans="1:24">
      <c r="A11318">
        <f>HYPERLINK("https://www.philgeps.gov.ph/GEPSNONPILOT/Tender/SplashBidNoticeAbstractUI.aspx?menuIndex=3&amp;refID=7127818&amp;Result=3","7127818")</f>
        <v>0</v>
      </c>
      <c r="B11318" t="s">
        <v>2056</v>
      </c>
      <c r="C11318" t="s">
        <v>14503</v>
      </c>
      <c r="D11318" t="s">
        <v>17999</v>
      </c>
      <c r="E11318" t="s">
        <v>27809</v>
      </c>
      <c r="F11318" t="s">
        <v>30900</v>
      </c>
      <c r="G11318" t="s">
        <v>30907</v>
      </c>
      <c r="H11318" t="s">
        <v>30915</v>
      </c>
      <c r="I11318" t="s">
        <v>30919</v>
      </c>
      <c r="J11318" t="s">
        <v>38086</v>
      </c>
      <c r="K11318" t="s">
        <v>40289</v>
      </c>
      <c r="M11318" t="s">
        <v>42755</v>
      </c>
      <c r="N11318" t="s">
        <v>44759</v>
      </c>
      <c r="O11318" t="s">
        <v>44760</v>
      </c>
      <c r="P11318">
        <v>0</v>
      </c>
      <c r="Q11318">
        <v>0</v>
      </c>
      <c r="R11318" t="s">
        <v>44774</v>
      </c>
      <c r="S11318" t="s">
        <v>45266</v>
      </c>
      <c r="T11318" t="s">
        <v>46418</v>
      </c>
      <c r="U11318" t="s">
        <v>56252</v>
      </c>
      <c r="W11318" t="s">
        <v>42755</v>
      </c>
      <c r="X11318" t="s">
        <v>44775</v>
      </c>
    </row>
    <row r="11319" spans="1:24">
      <c r="A11319">
        <f>HYPERLINK("https://www.philgeps.gov.ph/GEPSNONPILOT/Tender/SplashBidNoticeAbstractUI.aspx?menuIndex=3&amp;refID=7127850&amp;Result=3","7127850")</f>
        <v>0</v>
      </c>
      <c r="B11319" t="s">
        <v>2697</v>
      </c>
      <c r="C11319" t="s">
        <v>14504</v>
      </c>
      <c r="D11319" t="s">
        <v>17973</v>
      </c>
      <c r="E11319" t="s">
        <v>27810</v>
      </c>
      <c r="F11319" t="s">
        <v>30900</v>
      </c>
      <c r="G11319" t="s">
        <v>30907</v>
      </c>
      <c r="H11319" t="s">
        <v>30915</v>
      </c>
      <c r="I11319" t="s">
        <v>30919</v>
      </c>
      <c r="J11319" t="s">
        <v>38087</v>
      </c>
      <c r="K11319" t="s">
        <v>40517</v>
      </c>
      <c r="M11319" t="s">
        <v>44186</v>
      </c>
      <c r="N11319" t="s">
        <v>44759</v>
      </c>
      <c r="O11319" t="s">
        <v>44760</v>
      </c>
      <c r="P11319">
        <v>0</v>
      </c>
      <c r="Q11319">
        <v>0</v>
      </c>
      <c r="R11319" t="s">
        <v>44774</v>
      </c>
      <c r="S11319" t="s">
        <v>45266</v>
      </c>
      <c r="T11319" t="s">
        <v>46466</v>
      </c>
      <c r="U11319" t="s">
        <v>56183</v>
      </c>
      <c r="W11319" t="s">
        <v>44186</v>
      </c>
      <c r="X11319" t="s">
        <v>44775</v>
      </c>
    </row>
    <row r="11320" spans="1:24">
      <c r="A11320">
        <f>HYPERLINK("https://www.philgeps.gov.ph/GEPSNONPILOT/Tender/SplashBidNoticeAbstractUI.aspx?menuIndex=3&amp;refID=7127946&amp;Result=3","7127946")</f>
        <v>0</v>
      </c>
      <c r="B11320" t="s">
        <v>3335</v>
      </c>
      <c r="C11320" t="s">
        <v>14505</v>
      </c>
      <c r="D11320" t="s">
        <v>17969</v>
      </c>
      <c r="E11320" t="s">
        <v>27811</v>
      </c>
      <c r="F11320" t="s">
        <v>30900</v>
      </c>
      <c r="G11320" t="s">
        <v>30907</v>
      </c>
      <c r="H11320" t="s">
        <v>30916</v>
      </c>
      <c r="I11320" t="s">
        <v>8123</v>
      </c>
      <c r="J11320" t="s">
        <v>38071</v>
      </c>
      <c r="K11320" t="s">
        <v>40283</v>
      </c>
      <c r="M11320" t="s">
        <v>44197</v>
      </c>
      <c r="N11320" t="s">
        <v>44759</v>
      </c>
      <c r="O11320" t="s">
        <v>44760</v>
      </c>
      <c r="P11320">
        <v>0</v>
      </c>
      <c r="Q11320">
        <v>0</v>
      </c>
      <c r="R11320" t="s">
        <v>44774</v>
      </c>
      <c r="S11320" t="s">
        <v>45266</v>
      </c>
      <c r="T11320" t="s">
        <v>46533</v>
      </c>
      <c r="U11320" t="s">
        <v>56236</v>
      </c>
      <c r="W11320" t="s">
        <v>44197</v>
      </c>
      <c r="X11320" t="s">
        <v>44775</v>
      </c>
    </row>
    <row r="11321" spans="1:24">
      <c r="A11321">
        <f>HYPERLINK("https://www.philgeps.gov.ph/GEPSNONPILOT/Tender/SplashBidNoticeAbstractUI.aspx?menuIndex=3&amp;refID=7127807&amp;Result=3","7127807")</f>
        <v>0</v>
      </c>
      <c r="B11321" t="s">
        <v>702</v>
      </c>
      <c r="C11321" t="s">
        <v>14506</v>
      </c>
      <c r="D11321" t="s">
        <v>17952</v>
      </c>
      <c r="E11321" t="s">
        <v>27812</v>
      </c>
      <c r="F11321" t="s">
        <v>30900</v>
      </c>
      <c r="G11321" t="s">
        <v>30907</v>
      </c>
      <c r="H11321" t="s">
        <v>30916</v>
      </c>
      <c r="I11321" t="s">
        <v>30919</v>
      </c>
      <c r="J11321" t="s">
        <v>38088</v>
      </c>
      <c r="K11321" t="s">
        <v>40286</v>
      </c>
      <c r="M11321" t="s">
        <v>41266</v>
      </c>
      <c r="N11321" t="s">
        <v>44759</v>
      </c>
      <c r="O11321" t="s">
        <v>44760</v>
      </c>
      <c r="P11321">
        <v>0</v>
      </c>
      <c r="Q11321">
        <v>0</v>
      </c>
      <c r="R11321" t="s">
        <v>44774</v>
      </c>
      <c r="S11321" t="s">
        <v>45266</v>
      </c>
      <c r="T11321" t="s">
        <v>46352</v>
      </c>
      <c r="U11321" t="s">
        <v>56253</v>
      </c>
      <c r="W11321" t="s">
        <v>41266</v>
      </c>
      <c r="X11321" t="s">
        <v>44775</v>
      </c>
    </row>
    <row r="11322" spans="1:24">
      <c r="A11322">
        <f>HYPERLINK("https://www.philgeps.gov.ph/GEPSNONPILOT/Tender/SplashBidNoticeAbstractUI.aspx?menuIndex=3&amp;refID=7127944&amp;Result=3","7127944")</f>
        <v>0</v>
      </c>
      <c r="B11322" t="s">
        <v>3336</v>
      </c>
      <c r="C11322" t="s">
        <v>14507</v>
      </c>
      <c r="D11322" t="s">
        <v>17953</v>
      </c>
      <c r="E11322" t="s">
        <v>27813</v>
      </c>
      <c r="F11322" t="s">
        <v>30900</v>
      </c>
      <c r="G11322" t="s">
        <v>30907</v>
      </c>
      <c r="H11322" t="s">
        <v>30916</v>
      </c>
      <c r="I11322" t="s">
        <v>30999</v>
      </c>
      <c r="J11322" t="s">
        <v>38089</v>
      </c>
      <c r="K11322" t="s">
        <v>40289</v>
      </c>
      <c r="M11322" t="s">
        <v>44198</v>
      </c>
      <c r="N11322" t="s">
        <v>44759</v>
      </c>
      <c r="O11322" t="s">
        <v>44760</v>
      </c>
      <c r="P11322">
        <v>0</v>
      </c>
      <c r="Q11322">
        <v>0</v>
      </c>
      <c r="R11322" t="s">
        <v>44774</v>
      </c>
      <c r="S11322" t="s">
        <v>45266</v>
      </c>
      <c r="T11322" t="s">
        <v>46399</v>
      </c>
      <c r="U11322" t="s">
        <v>56254</v>
      </c>
      <c r="W11322" t="s">
        <v>44198</v>
      </c>
      <c r="X11322" t="s">
        <v>44775</v>
      </c>
    </row>
    <row r="11323" spans="1:24">
      <c r="A11323">
        <f>HYPERLINK("https://www.philgeps.gov.ph/GEPSNONPILOT/Tender/SplashBidNoticeAbstractUI.aspx?menuIndex=3&amp;refID=7127940&amp;Result=3","7127940")</f>
        <v>0</v>
      </c>
      <c r="B11323" t="s">
        <v>537</v>
      </c>
      <c r="C11323" t="s">
        <v>14508</v>
      </c>
      <c r="D11323" t="s">
        <v>17978</v>
      </c>
      <c r="E11323" t="s">
        <v>27814</v>
      </c>
      <c r="F11323" t="s">
        <v>30900</v>
      </c>
      <c r="G11323" t="s">
        <v>30907</v>
      </c>
      <c r="H11323" t="s">
        <v>30916</v>
      </c>
      <c r="I11323" t="s">
        <v>30941</v>
      </c>
      <c r="J11323" t="s">
        <v>38090</v>
      </c>
      <c r="K11323" t="s">
        <v>40292</v>
      </c>
      <c r="M11323" t="s">
        <v>41097</v>
      </c>
      <c r="N11323" t="s">
        <v>44759</v>
      </c>
      <c r="O11323" t="s">
        <v>44760</v>
      </c>
      <c r="P11323">
        <v>0</v>
      </c>
      <c r="Q11323">
        <v>1</v>
      </c>
      <c r="R11323" t="s">
        <v>44774</v>
      </c>
      <c r="S11323" t="s">
        <v>45266</v>
      </c>
      <c r="T11323" t="s">
        <v>46409</v>
      </c>
      <c r="U11323" t="s">
        <v>56255</v>
      </c>
      <c r="V11323" t="s">
        <v>60402</v>
      </c>
      <c r="W11323" t="s">
        <v>41097</v>
      </c>
      <c r="X11323" t="s">
        <v>44775</v>
      </c>
    </row>
    <row r="11324" spans="1:24">
      <c r="A11324">
        <f>HYPERLINK("https://www.philgeps.gov.ph/GEPSNONPILOT/Tender/SplashBidNoticeAbstractUI.aspx?menuIndex=3&amp;refID=7127927&amp;Result=3","7127927")</f>
        <v>0</v>
      </c>
      <c r="B11324" t="s">
        <v>3326</v>
      </c>
      <c r="C11324" t="s">
        <v>14509</v>
      </c>
      <c r="D11324" t="s">
        <v>17962</v>
      </c>
      <c r="E11324" t="s">
        <v>27815</v>
      </c>
      <c r="F11324" t="s">
        <v>30900</v>
      </c>
      <c r="G11324" t="s">
        <v>30907</v>
      </c>
      <c r="H11324" t="s">
        <v>30916</v>
      </c>
      <c r="I11324" t="s">
        <v>30947</v>
      </c>
      <c r="J11324" t="s">
        <v>31158</v>
      </c>
      <c r="K11324" t="s">
        <v>40286</v>
      </c>
      <c r="M11324" t="s">
        <v>44185</v>
      </c>
      <c r="N11324" t="s">
        <v>44759</v>
      </c>
      <c r="O11324" t="s">
        <v>44760</v>
      </c>
      <c r="P11324">
        <v>0</v>
      </c>
      <c r="Q11324">
        <v>3</v>
      </c>
      <c r="R11324" t="s">
        <v>44774</v>
      </c>
      <c r="S11324" t="s">
        <v>45266</v>
      </c>
      <c r="T11324" t="s">
        <v>46457</v>
      </c>
      <c r="U11324" t="s">
        <v>56256</v>
      </c>
      <c r="W11324" t="s">
        <v>44185</v>
      </c>
      <c r="X11324" t="s">
        <v>44775</v>
      </c>
    </row>
    <row r="11325" spans="1:24">
      <c r="A11325">
        <f>HYPERLINK("https://www.philgeps.gov.ph/GEPSNONPILOT/Tender/SplashBidNoticeAbstractUI.aspx?menuIndex=3&amp;refID=7127934&amp;Result=3","7127934")</f>
        <v>0</v>
      </c>
      <c r="B11325" t="s">
        <v>1777</v>
      </c>
      <c r="C11325" t="s">
        <v>14510</v>
      </c>
      <c r="D11325" t="s">
        <v>17994</v>
      </c>
      <c r="E11325" t="s">
        <v>14510</v>
      </c>
      <c r="F11325" t="s">
        <v>30900</v>
      </c>
      <c r="G11325" t="s">
        <v>30907</v>
      </c>
      <c r="H11325" t="s">
        <v>30916</v>
      </c>
      <c r="I11325" t="s">
        <v>30924</v>
      </c>
      <c r="J11325" t="s">
        <v>38091</v>
      </c>
      <c r="K11325" t="s">
        <v>40286</v>
      </c>
      <c r="M11325" t="s">
        <v>42460</v>
      </c>
      <c r="N11325" t="s">
        <v>44759</v>
      </c>
      <c r="O11325" t="s">
        <v>44760</v>
      </c>
      <c r="P11325">
        <v>0</v>
      </c>
      <c r="Q11325">
        <v>4</v>
      </c>
      <c r="R11325" t="s">
        <v>44774</v>
      </c>
      <c r="S11325" t="s">
        <v>45266</v>
      </c>
      <c r="T11325" t="s">
        <v>46483</v>
      </c>
      <c r="U11325" t="s">
        <v>56257</v>
      </c>
      <c r="W11325" t="s">
        <v>42460</v>
      </c>
      <c r="X11325" t="s">
        <v>44775</v>
      </c>
    </row>
    <row r="11326" spans="1:24">
      <c r="A11326">
        <f>HYPERLINK("https://www.philgeps.gov.ph/GEPSNONPILOT/Tender/SplashBidNoticeAbstractUI.aspx?menuIndex=3&amp;refID=7127922&amp;Result=3","7127922")</f>
        <v>0</v>
      </c>
      <c r="B11326" t="s">
        <v>2063</v>
      </c>
      <c r="C11326" t="s">
        <v>14511</v>
      </c>
      <c r="D11326" t="s">
        <v>17977</v>
      </c>
      <c r="E11326" t="s">
        <v>27816</v>
      </c>
      <c r="F11326" t="s">
        <v>30900</v>
      </c>
      <c r="G11326" t="s">
        <v>30907</v>
      </c>
      <c r="H11326" t="s">
        <v>30915</v>
      </c>
      <c r="I11326" t="s">
        <v>30919</v>
      </c>
      <c r="J11326" t="s">
        <v>38092</v>
      </c>
      <c r="K11326" t="s">
        <v>40289</v>
      </c>
      <c r="L11326" t="s">
        <v>2063</v>
      </c>
      <c r="M11326" t="s">
        <v>43801</v>
      </c>
      <c r="N11326" t="s">
        <v>44759</v>
      </c>
      <c r="O11326" t="s">
        <v>44760</v>
      </c>
      <c r="P11326">
        <v>0</v>
      </c>
      <c r="Q11326">
        <v>1</v>
      </c>
      <c r="R11326" t="s">
        <v>44774</v>
      </c>
      <c r="S11326" t="s">
        <v>45266</v>
      </c>
      <c r="T11326" t="s">
        <v>46353</v>
      </c>
      <c r="U11326" t="s">
        <v>56258</v>
      </c>
      <c r="V11326" t="s">
        <v>60156</v>
      </c>
      <c r="W11326" t="s">
        <v>43801</v>
      </c>
      <c r="X11326" t="s">
        <v>44775</v>
      </c>
    </row>
    <row r="11327" spans="1:24">
      <c r="A11327">
        <f>HYPERLINK("https://www.philgeps.gov.ph/GEPSNONPILOT/Tender/SplashBidNoticeAbstractUI.aspx?menuIndex=3&amp;refID=7127910&amp;Result=3","7127910")</f>
        <v>0</v>
      </c>
      <c r="B11327" t="s">
        <v>3339</v>
      </c>
      <c r="C11327" t="s">
        <v>14512</v>
      </c>
      <c r="D11327" t="s">
        <v>18017</v>
      </c>
      <c r="E11327" t="s">
        <v>27817</v>
      </c>
      <c r="F11327" t="s">
        <v>30900</v>
      </c>
      <c r="G11327" t="s">
        <v>30906</v>
      </c>
      <c r="H11327" t="s">
        <v>30915</v>
      </c>
      <c r="I11327" t="s">
        <v>30919</v>
      </c>
      <c r="J11327" t="s">
        <v>38093</v>
      </c>
      <c r="K11327" t="s">
        <v>40301</v>
      </c>
      <c r="M11327" t="s">
        <v>44202</v>
      </c>
      <c r="N11327" t="s">
        <v>44759</v>
      </c>
      <c r="O11327" t="s">
        <v>44760</v>
      </c>
      <c r="P11327">
        <v>0</v>
      </c>
      <c r="Q11327">
        <v>1</v>
      </c>
      <c r="R11327" t="s">
        <v>44774</v>
      </c>
      <c r="S11327" t="s">
        <v>45266</v>
      </c>
      <c r="T11327" t="s">
        <v>46373</v>
      </c>
      <c r="U11327" t="s">
        <v>56259</v>
      </c>
      <c r="W11327" t="s">
        <v>44202</v>
      </c>
      <c r="X11327" t="s">
        <v>44775</v>
      </c>
    </row>
    <row r="11328" spans="1:24">
      <c r="A11328">
        <f>HYPERLINK("https://www.philgeps.gov.ph/GEPSNONPILOT/Tender/SplashBidNoticeAbstractUI.aspx?menuIndex=3&amp;refID=7127958&amp;Result=3","7127958")</f>
        <v>0</v>
      </c>
      <c r="B11328" t="s">
        <v>2063</v>
      </c>
      <c r="C11328" t="s">
        <v>14513</v>
      </c>
      <c r="D11328" t="s">
        <v>17977</v>
      </c>
      <c r="E11328" t="s">
        <v>27818</v>
      </c>
      <c r="F11328" t="s">
        <v>30900</v>
      </c>
      <c r="G11328" t="s">
        <v>30907</v>
      </c>
      <c r="H11328" t="s">
        <v>30915</v>
      </c>
      <c r="I11328" t="s">
        <v>30919</v>
      </c>
      <c r="J11328" t="s">
        <v>38094</v>
      </c>
      <c r="K11328" t="s">
        <v>40289</v>
      </c>
      <c r="L11328" t="s">
        <v>2063</v>
      </c>
      <c r="M11328" t="s">
        <v>43801</v>
      </c>
      <c r="N11328" t="s">
        <v>44759</v>
      </c>
      <c r="O11328" t="s">
        <v>44760</v>
      </c>
      <c r="P11328">
        <v>0</v>
      </c>
      <c r="Q11328">
        <v>2</v>
      </c>
      <c r="R11328" t="s">
        <v>44774</v>
      </c>
      <c r="S11328" t="s">
        <v>45266</v>
      </c>
      <c r="T11328" t="s">
        <v>46353</v>
      </c>
      <c r="U11328" t="s">
        <v>56258</v>
      </c>
      <c r="V11328" t="s">
        <v>60156</v>
      </c>
      <c r="W11328" t="s">
        <v>43801</v>
      </c>
      <c r="X11328" t="s">
        <v>44775</v>
      </c>
    </row>
    <row r="11329" spans="1:24">
      <c r="A11329">
        <f>HYPERLINK("https://www.philgeps.gov.ph/GEPSNONPILOT/Tender/SplashBidNoticeAbstractUI.aspx?menuIndex=3&amp;refID=7127861&amp;Result=3","7127861")</f>
        <v>0</v>
      </c>
      <c r="B11329" t="s">
        <v>702</v>
      </c>
      <c r="C11329" t="s">
        <v>14514</v>
      </c>
      <c r="D11329" t="s">
        <v>17952</v>
      </c>
      <c r="E11329" t="s">
        <v>27819</v>
      </c>
      <c r="F11329" t="s">
        <v>30900</v>
      </c>
      <c r="G11329" t="s">
        <v>30907</v>
      </c>
      <c r="H11329" t="s">
        <v>30916</v>
      </c>
      <c r="I11329" t="s">
        <v>4142</v>
      </c>
      <c r="J11329" t="s">
        <v>38095</v>
      </c>
      <c r="K11329" t="s">
        <v>40286</v>
      </c>
      <c r="M11329" t="s">
        <v>41266</v>
      </c>
      <c r="N11329" t="s">
        <v>44759</v>
      </c>
      <c r="O11329" t="s">
        <v>44760</v>
      </c>
      <c r="P11329">
        <v>0</v>
      </c>
      <c r="Q11329">
        <v>1</v>
      </c>
      <c r="R11329" t="s">
        <v>44774</v>
      </c>
      <c r="S11329" t="s">
        <v>45266</v>
      </c>
      <c r="T11329" t="s">
        <v>46352</v>
      </c>
      <c r="U11329" t="s">
        <v>56260</v>
      </c>
      <c r="W11329" t="s">
        <v>41266</v>
      </c>
      <c r="X11329" t="s">
        <v>44775</v>
      </c>
    </row>
    <row r="11330" spans="1:24">
      <c r="A11330">
        <f>HYPERLINK("https://www.philgeps.gov.ph/GEPSNONPILOT/Tender/SplashBidNoticeAbstractUI.aspx?menuIndex=3&amp;refID=7127903&amp;Result=3","7127903")</f>
        <v>0</v>
      </c>
      <c r="B11330" t="s">
        <v>2362</v>
      </c>
      <c r="C11330" t="s">
        <v>14515</v>
      </c>
      <c r="D11330" t="s">
        <v>17993</v>
      </c>
      <c r="E11330" t="s">
        <v>27820</v>
      </c>
      <c r="F11330" t="s">
        <v>30900</v>
      </c>
      <c r="G11330" t="s">
        <v>30907</v>
      </c>
      <c r="H11330" t="s">
        <v>30916</v>
      </c>
      <c r="I11330" t="s">
        <v>31034</v>
      </c>
      <c r="J11330" t="s">
        <v>31094</v>
      </c>
      <c r="K11330" t="s">
        <v>40284</v>
      </c>
      <c r="M11330" t="s">
        <v>43086</v>
      </c>
      <c r="N11330" t="s">
        <v>44759</v>
      </c>
      <c r="O11330" t="s">
        <v>44760</v>
      </c>
      <c r="P11330">
        <v>0</v>
      </c>
      <c r="Q11330">
        <v>9</v>
      </c>
      <c r="R11330" t="s">
        <v>44774</v>
      </c>
      <c r="S11330" t="s">
        <v>45266</v>
      </c>
      <c r="T11330" t="s">
        <v>46418</v>
      </c>
      <c r="U11330" t="s">
        <v>56261</v>
      </c>
      <c r="W11330" t="s">
        <v>43086</v>
      </c>
      <c r="X11330" t="s">
        <v>44775</v>
      </c>
    </row>
    <row r="11331" spans="1:24">
      <c r="A11331">
        <f>HYPERLINK("https://www.philgeps.gov.ph/GEPSNONPILOT/Tender/SplashBidNoticeAbstractUI.aspx?menuIndex=3&amp;refID=7127945&amp;Result=3","7127945")</f>
        <v>0</v>
      </c>
      <c r="B11331" t="s">
        <v>1396</v>
      </c>
      <c r="C11331" t="s">
        <v>14516</v>
      </c>
      <c r="E11331" t="s">
        <v>18345</v>
      </c>
      <c r="F11331" t="s">
        <v>30900</v>
      </c>
      <c r="G11331" t="s">
        <v>30907</v>
      </c>
      <c r="H11331" t="s">
        <v>30915</v>
      </c>
      <c r="I11331" t="s">
        <v>30919</v>
      </c>
      <c r="J11331" t="s">
        <v>38096</v>
      </c>
      <c r="K11331" t="s">
        <v>40292</v>
      </c>
      <c r="M11331" t="s">
        <v>42022</v>
      </c>
      <c r="N11331" t="s">
        <v>44759</v>
      </c>
      <c r="O11331" t="s">
        <v>44760</v>
      </c>
      <c r="P11331">
        <v>0</v>
      </c>
      <c r="Q11331">
        <v>1</v>
      </c>
      <c r="R11331" t="s">
        <v>44774</v>
      </c>
      <c r="S11331" t="s">
        <v>45266</v>
      </c>
      <c r="T11331" t="s">
        <v>46353</v>
      </c>
      <c r="U11331" t="s">
        <v>56262</v>
      </c>
      <c r="W11331" t="s">
        <v>42029</v>
      </c>
      <c r="X11331" t="s">
        <v>44775</v>
      </c>
    </row>
    <row r="11332" spans="1:24">
      <c r="A11332">
        <f>HYPERLINK("https://www.philgeps.gov.ph/GEPSNONPILOT/Tender/SplashBidNoticeAbstractUI.aspx?menuIndex=3&amp;refID=7127890&amp;Result=3","7127890")</f>
        <v>0</v>
      </c>
      <c r="B11332" t="s">
        <v>3335</v>
      </c>
      <c r="C11332" t="s">
        <v>14517</v>
      </c>
      <c r="D11332" t="s">
        <v>17969</v>
      </c>
      <c r="E11332" t="s">
        <v>27821</v>
      </c>
      <c r="F11332" t="s">
        <v>30900</v>
      </c>
      <c r="G11332" t="s">
        <v>30907</v>
      </c>
      <c r="H11332" t="s">
        <v>30916</v>
      </c>
      <c r="I11332" t="s">
        <v>8123</v>
      </c>
      <c r="J11332" t="s">
        <v>38071</v>
      </c>
      <c r="K11332" t="s">
        <v>40283</v>
      </c>
      <c r="M11332" t="s">
        <v>44197</v>
      </c>
      <c r="N11332" t="s">
        <v>44759</v>
      </c>
      <c r="O11332" t="s">
        <v>44760</v>
      </c>
      <c r="P11332">
        <v>0</v>
      </c>
      <c r="Q11332">
        <v>0</v>
      </c>
      <c r="R11332" t="s">
        <v>44774</v>
      </c>
      <c r="S11332" t="s">
        <v>45266</v>
      </c>
      <c r="T11332" t="s">
        <v>46533</v>
      </c>
      <c r="U11332" t="s">
        <v>56236</v>
      </c>
      <c r="W11332" t="s">
        <v>44197</v>
      </c>
      <c r="X11332" t="s">
        <v>44775</v>
      </c>
    </row>
    <row r="11333" spans="1:24">
      <c r="A11333">
        <f>HYPERLINK("https://www.philgeps.gov.ph/GEPSNONPILOT/Tender/SplashBidNoticeAbstractUI.aspx?menuIndex=3&amp;refID=7127931&amp;Result=3","7127931")</f>
        <v>0</v>
      </c>
      <c r="B11333" t="s">
        <v>3335</v>
      </c>
      <c r="C11333" t="s">
        <v>14518</v>
      </c>
      <c r="D11333" t="s">
        <v>17969</v>
      </c>
      <c r="E11333" t="s">
        <v>27822</v>
      </c>
      <c r="F11333" t="s">
        <v>30900</v>
      </c>
      <c r="G11333" t="s">
        <v>30907</v>
      </c>
      <c r="H11333" t="s">
        <v>30916</v>
      </c>
      <c r="I11333" t="s">
        <v>8123</v>
      </c>
      <c r="J11333" t="s">
        <v>38071</v>
      </c>
      <c r="K11333" t="s">
        <v>40283</v>
      </c>
      <c r="M11333" t="s">
        <v>44197</v>
      </c>
      <c r="N11333" t="s">
        <v>44759</v>
      </c>
      <c r="O11333" t="s">
        <v>44760</v>
      </c>
      <c r="P11333">
        <v>0</v>
      </c>
      <c r="Q11333">
        <v>0</v>
      </c>
      <c r="R11333" t="s">
        <v>44774</v>
      </c>
      <c r="S11333" t="s">
        <v>45266</v>
      </c>
      <c r="T11333" t="s">
        <v>46533</v>
      </c>
      <c r="U11333" t="s">
        <v>56236</v>
      </c>
      <c r="W11333" t="s">
        <v>44197</v>
      </c>
      <c r="X11333" t="s">
        <v>44775</v>
      </c>
    </row>
    <row r="11334" spans="1:24">
      <c r="A11334">
        <f>HYPERLINK("https://www.philgeps.gov.ph/GEPSNONPILOT/Tender/SplashBidNoticeAbstractUI.aspx?menuIndex=3&amp;refID=7127907&amp;Result=3","7127907")</f>
        <v>0</v>
      </c>
      <c r="B11334" t="s">
        <v>3335</v>
      </c>
      <c r="C11334" t="s">
        <v>14519</v>
      </c>
      <c r="D11334" t="s">
        <v>17969</v>
      </c>
      <c r="E11334" t="s">
        <v>27823</v>
      </c>
      <c r="F11334" t="s">
        <v>30900</v>
      </c>
      <c r="G11334" t="s">
        <v>30907</v>
      </c>
      <c r="H11334" t="s">
        <v>30916</v>
      </c>
      <c r="I11334" t="s">
        <v>8123</v>
      </c>
      <c r="J11334" t="s">
        <v>38071</v>
      </c>
      <c r="K11334" t="s">
        <v>40283</v>
      </c>
      <c r="M11334" t="s">
        <v>44197</v>
      </c>
      <c r="N11334" t="s">
        <v>44759</v>
      </c>
      <c r="O11334" t="s">
        <v>44760</v>
      </c>
      <c r="P11334">
        <v>0</v>
      </c>
      <c r="Q11334">
        <v>0</v>
      </c>
      <c r="R11334" t="s">
        <v>44774</v>
      </c>
      <c r="S11334" t="s">
        <v>45266</v>
      </c>
      <c r="T11334" t="s">
        <v>46533</v>
      </c>
      <c r="U11334" t="s">
        <v>56236</v>
      </c>
      <c r="W11334" t="s">
        <v>44197</v>
      </c>
      <c r="X11334" t="s">
        <v>44775</v>
      </c>
    </row>
    <row r="11335" spans="1:24">
      <c r="A11335">
        <f>HYPERLINK("https://www.philgeps.gov.ph/GEPSNONPILOT/Tender/SplashBidNoticeAbstractUI.aspx?menuIndex=3&amp;refID=7127479&amp;Result=3","7127479")</f>
        <v>0</v>
      </c>
      <c r="B11335" t="s">
        <v>2189</v>
      </c>
      <c r="C11335" t="s">
        <v>14520</v>
      </c>
      <c r="D11335" t="s">
        <v>18007</v>
      </c>
      <c r="E11335" t="s">
        <v>26160</v>
      </c>
      <c r="F11335" t="s">
        <v>30900</v>
      </c>
      <c r="G11335" t="s">
        <v>30907</v>
      </c>
      <c r="H11335" t="s">
        <v>30915</v>
      </c>
      <c r="I11335" t="s">
        <v>30919</v>
      </c>
      <c r="J11335" t="s">
        <v>38097</v>
      </c>
      <c r="K11335" t="s">
        <v>40342</v>
      </c>
      <c r="M11335" t="s">
        <v>42896</v>
      </c>
      <c r="N11335" t="s">
        <v>44759</v>
      </c>
      <c r="O11335" t="s">
        <v>44760</v>
      </c>
      <c r="Q11335">
        <v>8</v>
      </c>
      <c r="R11335" t="s">
        <v>44774</v>
      </c>
      <c r="S11335" t="s">
        <v>45155</v>
      </c>
      <c r="T11335" t="s">
        <v>46411</v>
      </c>
      <c r="U11335" t="s">
        <v>56263</v>
      </c>
      <c r="W11335" t="s">
        <v>42896</v>
      </c>
      <c r="X11335" t="s">
        <v>44775</v>
      </c>
    </row>
    <row r="11336" spans="1:24">
      <c r="A11336">
        <f>HYPERLINK("https://www.philgeps.gov.ph/GEPSNONPILOT/Tender/SplashBidNoticeAbstractUI.aspx?menuIndex=3&amp;refID=7127904&amp;Result=3","7127904")</f>
        <v>0</v>
      </c>
      <c r="B11336" t="s">
        <v>1332</v>
      </c>
      <c r="C11336" t="s">
        <v>14521</v>
      </c>
      <c r="D11336" t="s">
        <v>17996</v>
      </c>
      <c r="E11336" t="s">
        <v>27824</v>
      </c>
      <c r="F11336" t="s">
        <v>30900</v>
      </c>
      <c r="G11336" t="s">
        <v>30907</v>
      </c>
      <c r="H11336" t="s">
        <v>30915</v>
      </c>
      <c r="I11336" t="s">
        <v>30919</v>
      </c>
      <c r="J11336" t="s">
        <v>31243</v>
      </c>
      <c r="K11336" t="s">
        <v>40354</v>
      </c>
      <c r="M11336" t="s">
        <v>41952</v>
      </c>
      <c r="N11336" t="s">
        <v>44759</v>
      </c>
      <c r="O11336" t="s">
        <v>44760</v>
      </c>
      <c r="P11336">
        <v>0</v>
      </c>
      <c r="Q11336">
        <v>1</v>
      </c>
      <c r="R11336" t="s">
        <v>44774</v>
      </c>
      <c r="S11336" t="s">
        <v>45266</v>
      </c>
      <c r="T11336" t="s">
        <v>46418</v>
      </c>
      <c r="U11336" t="s">
        <v>56264</v>
      </c>
      <c r="W11336" t="s">
        <v>41952</v>
      </c>
      <c r="X11336" t="s">
        <v>44775</v>
      </c>
    </row>
    <row r="11337" spans="1:24">
      <c r="A11337">
        <f>HYPERLINK("https://www.philgeps.gov.ph/GEPSNONPILOT/Tender/SplashBidNoticeAbstractUI.aspx?menuIndex=3&amp;refID=7128040&amp;Result=3","7128040")</f>
        <v>0</v>
      </c>
      <c r="B11337" t="s">
        <v>1423</v>
      </c>
      <c r="C11337" t="s">
        <v>14522</v>
      </c>
      <c r="D11337" t="s">
        <v>18013</v>
      </c>
      <c r="E11337" t="s">
        <v>27825</v>
      </c>
      <c r="F11337" t="s">
        <v>30900</v>
      </c>
      <c r="G11337" t="s">
        <v>30907</v>
      </c>
      <c r="H11337" t="s">
        <v>30915</v>
      </c>
      <c r="I11337" t="s">
        <v>30919</v>
      </c>
      <c r="J11337" t="s">
        <v>31297</v>
      </c>
      <c r="K11337" t="s">
        <v>40280</v>
      </c>
      <c r="M11337" t="s">
        <v>44166</v>
      </c>
      <c r="N11337" t="s">
        <v>44759</v>
      </c>
      <c r="O11337" t="s">
        <v>44760</v>
      </c>
      <c r="P11337">
        <v>0</v>
      </c>
      <c r="Q11337">
        <v>0</v>
      </c>
      <c r="R11337" t="s">
        <v>44774</v>
      </c>
      <c r="S11337" t="s">
        <v>45266</v>
      </c>
      <c r="T11337" t="s">
        <v>46409</v>
      </c>
      <c r="U11337" t="s">
        <v>56265</v>
      </c>
      <c r="W11337" t="s">
        <v>44166</v>
      </c>
      <c r="X11337" t="s">
        <v>44775</v>
      </c>
    </row>
    <row r="11338" spans="1:24">
      <c r="A11338">
        <f>HYPERLINK("https://www.philgeps.gov.ph/GEPSNONPILOT/Tender/SplashBidNoticeAbstractUI.aspx?menuIndex=3&amp;refID=7128041&amp;Result=3","7128041")</f>
        <v>0</v>
      </c>
      <c r="B11338" t="s">
        <v>2571</v>
      </c>
      <c r="C11338" t="s">
        <v>14523</v>
      </c>
      <c r="D11338" t="s">
        <v>17957</v>
      </c>
      <c r="E11338" t="s">
        <v>27826</v>
      </c>
      <c r="F11338" t="s">
        <v>30900</v>
      </c>
      <c r="G11338" t="s">
        <v>30908</v>
      </c>
      <c r="H11338" t="s">
        <v>30915</v>
      </c>
      <c r="I11338" t="s">
        <v>30919</v>
      </c>
      <c r="J11338" t="s">
        <v>38098</v>
      </c>
      <c r="K11338" t="s">
        <v>40280</v>
      </c>
      <c r="M11338" t="s">
        <v>43330</v>
      </c>
      <c r="N11338" t="s">
        <v>44759</v>
      </c>
      <c r="O11338" t="s">
        <v>44760</v>
      </c>
      <c r="P11338">
        <v>0</v>
      </c>
      <c r="Q11338">
        <v>1</v>
      </c>
      <c r="R11338" t="s">
        <v>44774</v>
      </c>
      <c r="S11338" t="s">
        <v>45266</v>
      </c>
      <c r="T11338" t="s">
        <v>46352</v>
      </c>
      <c r="U11338" t="s">
        <v>56266</v>
      </c>
      <c r="W11338" t="s">
        <v>43330</v>
      </c>
      <c r="X11338" t="s">
        <v>44775</v>
      </c>
    </row>
    <row r="11339" spans="1:24">
      <c r="A11339">
        <f>HYPERLINK("https://www.philgeps.gov.ph/GEPSNONPILOT/Tender/SplashBidNoticeAbstractUI.aspx?menuIndex=3&amp;refID=7128020&amp;Result=3","7128020")</f>
        <v>0</v>
      </c>
      <c r="B11339" t="s">
        <v>1396</v>
      </c>
      <c r="C11339" t="s">
        <v>14524</v>
      </c>
      <c r="E11339" t="s">
        <v>20229</v>
      </c>
      <c r="F11339" t="s">
        <v>30900</v>
      </c>
      <c r="G11339" t="s">
        <v>30907</v>
      </c>
      <c r="H11339" t="s">
        <v>30915</v>
      </c>
      <c r="I11339" t="s">
        <v>30919</v>
      </c>
      <c r="J11339" t="s">
        <v>31241</v>
      </c>
      <c r="K11339" t="s">
        <v>40301</v>
      </c>
      <c r="M11339" t="s">
        <v>42022</v>
      </c>
      <c r="N11339" t="s">
        <v>44759</v>
      </c>
      <c r="O11339" t="s">
        <v>44760</v>
      </c>
      <c r="P11339">
        <v>0</v>
      </c>
      <c r="Q11339">
        <v>1</v>
      </c>
      <c r="R11339" t="s">
        <v>44774</v>
      </c>
      <c r="S11339" t="s">
        <v>45266</v>
      </c>
      <c r="T11339" t="s">
        <v>46353</v>
      </c>
      <c r="U11339" t="s">
        <v>56262</v>
      </c>
      <c r="W11339" t="s">
        <v>42029</v>
      </c>
      <c r="X11339" t="s">
        <v>44775</v>
      </c>
    </row>
    <row r="11340" spans="1:24">
      <c r="A11340">
        <f>HYPERLINK("https://www.philgeps.gov.ph/GEPSNONPILOT/Tender/SplashBidNoticeAbstractUI.aspx?menuIndex=3&amp;refID=7128030&amp;Result=3","7128030")</f>
        <v>0</v>
      </c>
      <c r="B11340" t="s">
        <v>2971</v>
      </c>
      <c r="C11340" t="s">
        <v>14525</v>
      </c>
      <c r="D11340" t="s">
        <v>17992</v>
      </c>
      <c r="E11340" t="s">
        <v>27827</v>
      </c>
      <c r="F11340" t="s">
        <v>30900</v>
      </c>
      <c r="G11340" t="s">
        <v>30907</v>
      </c>
      <c r="H11340" t="s">
        <v>30916</v>
      </c>
      <c r="I11340" t="s">
        <v>8123</v>
      </c>
      <c r="J11340" t="s">
        <v>38099</v>
      </c>
      <c r="K11340" t="s">
        <v>40327</v>
      </c>
      <c r="M11340" t="s">
        <v>43772</v>
      </c>
      <c r="N11340" t="s">
        <v>44759</v>
      </c>
      <c r="O11340" t="s">
        <v>44760</v>
      </c>
      <c r="P11340">
        <v>0</v>
      </c>
      <c r="Q11340">
        <v>0</v>
      </c>
      <c r="R11340" t="s">
        <v>44774</v>
      </c>
      <c r="S11340" t="s">
        <v>45266</v>
      </c>
      <c r="T11340" t="s">
        <v>46366</v>
      </c>
      <c r="U11340" t="s">
        <v>56267</v>
      </c>
      <c r="W11340" t="s">
        <v>43772</v>
      </c>
      <c r="X11340" t="s">
        <v>44775</v>
      </c>
    </row>
    <row r="11341" spans="1:24">
      <c r="A11341">
        <f>HYPERLINK("https://www.philgeps.gov.ph/GEPSNONPILOT/Tender/SplashBidNoticeAbstractUI.aspx?menuIndex=3&amp;refID=7128014&amp;Result=3","7128014")</f>
        <v>0</v>
      </c>
      <c r="B11341" t="s">
        <v>2063</v>
      </c>
      <c r="C11341" t="s">
        <v>14526</v>
      </c>
      <c r="D11341" t="s">
        <v>17977</v>
      </c>
      <c r="E11341" t="s">
        <v>27828</v>
      </c>
      <c r="F11341" t="s">
        <v>30900</v>
      </c>
      <c r="G11341" t="s">
        <v>30907</v>
      </c>
      <c r="H11341" t="s">
        <v>30915</v>
      </c>
      <c r="I11341" t="s">
        <v>30919</v>
      </c>
      <c r="J11341" t="s">
        <v>37895</v>
      </c>
      <c r="K11341" t="s">
        <v>40289</v>
      </c>
      <c r="L11341" t="s">
        <v>2063</v>
      </c>
      <c r="M11341" t="s">
        <v>43801</v>
      </c>
      <c r="N11341" t="s">
        <v>44759</v>
      </c>
      <c r="O11341" t="s">
        <v>44760</v>
      </c>
      <c r="P11341">
        <v>0</v>
      </c>
      <c r="Q11341">
        <v>1</v>
      </c>
      <c r="R11341" t="s">
        <v>44774</v>
      </c>
      <c r="S11341" t="s">
        <v>45266</v>
      </c>
      <c r="T11341" t="s">
        <v>46353</v>
      </c>
      <c r="U11341" t="s">
        <v>56258</v>
      </c>
      <c r="V11341" t="s">
        <v>60156</v>
      </c>
      <c r="W11341" t="s">
        <v>43801</v>
      </c>
      <c r="X11341" t="s">
        <v>44775</v>
      </c>
    </row>
    <row r="11342" spans="1:24">
      <c r="A11342">
        <f>HYPERLINK("https://www.philgeps.gov.ph/GEPSNONPILOT/Tender/SplashBidNoticeAbstractUI.aspx?menuIndex=3&amp;refID=7128013&amp;Result=3","7128013")</f>
        <v>0</v>
      </c>
      <c r="B11342" t="s">
        <v>1332</v>
      </c>
      <c r="C11342" t="s">
        <v>14527</v>
      </c>
      <c r="D11342" t="s">
        <v>17996</v>
      </c>
      <c r="E11342" t="s">
        <v>27829</v>
      </c>
      <c r="F11342" t="s">
        <v>30900</v>
      </c>
      <c r="G11342" t="s">
        <v>30907</v>
      </c>
      <c r="H11342" t="s">
        <v>30915</v>
      </c>
      <c r="I11342" t="s">
        <v>30919</v>
      </c>
      <c r="J11342" t="s">
        <v>31101</v>
      </c>
      <c r="K11342" t="s">
        <v>40293</v>
      </c>
      <c r="M11342" t="s">
        <v>41952</v>
      </c>
      <c r="N11342" t="s">
        <v>44759</v>
      </c>
      <c r="O11342" t="s">
        <v>44760</v>
      </c>
      <c r="P11342">
        <v>0</v>
      </c>
      <c r="Q11342">
        <v>2</v>
      </c>
      <c r="R11342" t="s">
        <v>44774</v>
      </c>
      <c r="S11342" t="s">
        <v>45266</v>
      </c>
      <c r="T11342" t="s">
        <v>46418</v>
      </c>
      <c r="U11342" t="s">
        <v>56268</v>
      </c>
      <c r="W11342" t="s">
        <v>41952</v>
      </c>
      <c r="X11342" t="s">
        <v>44775</v>
      </c>
    </row>
    <row r="11343" spans="1:24">
      <c r="A11343">
        <f>HYPERLINK("https://www.philgeps.gov.ph/GEPSNONPILOT/Tender/SplashBidNoticeAbstractUI.aspx?menuIndex=3&amp;refID=7128007&amp;Result=3","7128007")</f>
        <v>0</v>
      </c>
      <c r="B11343" t="s">
        <v>659</v>
      </c>
      <c r="C11343" t="s">
        <v>14528</v>
      </c>
      <c r="D11343" t="s">
        <v>17975</v>
      </c>
      <c r="E11343" t="s">
        <v>27830</v>
      </c>
      <c r="F11343" t="s">
        <v>30900</v>
      </c>
      <c r="G11343" t="s">
        <v>30907</v>
      </c>
      <c r="H11343" t="s">
        <v>30917</v>
      </c>
      <c r="I11343" t="s">
        <v>17295</v>
      </c>
      <c r="J11343" t="s">
        <v>38100</v>
      </c>
      <c r="K11343" t="s">
        <v>40434</v>
      </c>
      <c r="M11343" t="s">
        <v>41222</v>
      </c>
      <c r="N11343" t="s">
        <v>44759</v>
      </c>
      <c r="O11343" t="s">
        <v>44760</v>
      </c>
      <c r="Q11343">
        <v>3</v>
      </c>
      <c r="R11343" t="s">
        <v>44774</v>
      </c>
      <c r="S11343" t="s">
        <v>45317</v>
      </c>
      <c r="T11343" t="s">
        <v>46835</v>
      </c>
      <c r="U11343" t="s">
        <v>56269</v>
      </c>
      <c r="W11343" t="s">
        <v>41222</v>
      </c>
      <c r="X11343" t="s">
        <v>44775</v>
      </c>
    </row>
    <row r="11344" spans="1:24">
      <c r="A11344">
        <f>HYPERLINK("https://www.philgeps.gov.ph/GEPSNONPILOT/Tender/SplashBidNoticeAbstractUI.aspx?menuIndex=3&amp;refID=7127998&amp;Result=3","7127998")</f>
        <v>0</v>
      </c>
      <c r="B11344" t="s">
        <v>1423</v>
      </c>
      <c r="C11344" t="s">
        <v>14529</v>
      </c>
      <c r="D11344" t="s">
        <v>18013</v>
      </c>
      <c r="E11344" t="s">
        <v>27831</v>
      </c>
      <c r="F11344" t="s">
        <v>30900</v>
      </c>
      <c r="G11344" t="s">
        <v>30907</v>
      </c>
      <c r="H11344" t="s">
        <v>30915</v>
      </c>
      <c r="I11344" t="s">
        <v>30919</v>
      </c>
      <c r="J11344" t="s">
        <v>38101</v>
      </c>
      <c r="K11344" t="s">
        <v>40293</v>
      </c>
      <c r="M11344" t="s">
        <v>44166</v>
      </c>
      <c r="N11344" t="s">
        <v>44759</v>
      </c>
      <c r="O11344" t="s">
        <v>44760</v>
      </c>
      <c r="P11344">
        <v>0</v>
      </c>
      <c r="Q11344">
        <v>0</v>
      </c>
      <c r="R11344" t="s">
        <v>44774</v>
      </c>
      <c r="S11344" t="s">
        <v>45266</v>
      </c>
      <c r="T11344" t="s">
        <v>46409</v>
      </c>
      <c r="U11344" t="s">
        <v>56270</v>
      </c>
      <c r="W11344" t="s">
        <v>44166</v>
      </c>
      <c r="X11344" t="s">
        <v>44775</v>
      </c>
    </row>
    <row r="11345" spans="1:24">
      <c r="A11345">
        <f>HYPERLINK("https://www.philgeps.gov.ph/GEPSNONPILOT/Tender/SplashBidNoticeAbstractUI.aspx?menuIndex=3&amp;refID=7128039&amp;Result=3","7128039")</f>
        <v>0</v>
      </c>
      <c r="B11345" t="s">
        <v>3306</v>
      </c>
      <c r="C11345" t="s">
        <v>14530</v>
      </c>
      <c r="D11345" t="s">
        <v>17998</v>
      </c>
      <c r="E11345" t="s">
        <v>27832</v>
      </c>
      <c r="F11345" t="s">
        <v>30900</v>
      </c>
      <c r="G11345" t="s">
        <v>30907</v>
      </c>
      <c r="H11345" t="s">
        <v>30916</v>
      </c>
      <c r="I11345" t="s">
        <v>8123</v>
      </c>
      <c r="J11345" t="s">
        <v>38102</v>
      </c>
      <c r="K11345" t="s">
        <v>40283</v>
      </c>
      <c r="M11345" t="s">
        <v>44159</v>
      </c>
      <c r="N11345" t="s">
        <v>44759</v>
      </c>
      <c r="O11345" t="s">
        <v>44760</v>
      </c>
      <c r="P11345">
        <v>0</v>
      </c>
      <c r="Q11345">
        <v>0</v>
      </c>
      <c r="R11345" t="s">
        <v>44774</v>
      </c>
      <c r="S11345" t="s">
        <v>45266</v>
      </c>
      <c r="T11345" t="s">
        <v>46441</v>
      </c>
      <c r="U11345" t="s">
        <v>56242</v>
      </c>
      <c r="W11345" t="s">
        <v>44159</v>
      </c>
      <c r="X11345" t="s">
        <v>44775</v>
      </c>
    </row>
    <row r="11346" spans="1:24">
      <c r="A11346">
        <f>HYPERLINK("https://www.philgeps.gov.ph/GEPSNONPILOT/Tender/SplashBidNoticeAbstractUI.aspx?menuIndex=3&amp;refID=7127995&amp;Result=3","7127995")</f>
        <v>0</v>
      </c>
      <c r="B11346" t="s">
        <v>1777</v>
      </c>
      <c r="C11346" t="s">
        <v>14531</v>
      </c>
      <c r="D11346" t="s">
        <v>17994</v>
      </c>
      <c r="E11346" t="s">
        <v>27833</v>
      </c>
      <c r="F11346" t="s">
        <v>30900</v>
      </c>
      <c r="G11346" t="s">
        <v>30907</v>
      </c>
      <c r="H11346" t="s">
        <v>30916</v>
      </c>
      <c r="I11346" t="s">
        <v>4545</v>
      </c>
      <c r="J11346" t="s">
        <v>31152</v>
      </c>
      <c r="K11346" t="s">
        <v>40286</v>
      </c>
      <c r="M11346" t="s">
        <v>42460</v>
      </c>
      <c r="N11346" t="s">
        <v>44759</v>
      </c>
      <c r="O11346" t="s">
        <v>44760</v>
      </c>
      <c r="P11346">
        <v>0</v>
      </c>
      <c r="Q11346">
        <v>4</v>
      </c>
      <c r="R11346" t="s">
        <v>44774</v>
      </c>
      <c r="S11346" t="s">
        <v>45266</v>
      </c>
      <c r="T11346" t="s">
        <v>46483</v>
      </c>
      <c r="U11346" t="s">
        <v>56271</v>
      </c>
      <c r="W11346" t="s">
        <v>42460</v>
      </c>
      <c r="X11346" t="s">
        <v>44775</v>
      </c>
    </row>
    <row r="11347" spans="1:24">
      <c r="A11347">
        <f>HYPERLINK("https://www.philgeps.gov.ph/GEPSNONPILOT/Tender/SplashBidNoticeAbstractUI.aspx?menuIndex=3&amp;refID=7127993&amp;Result=3","7127993")</f>
        <v>0</v>
      </c>
      <c r="B11347" t="s">
        <v>1396</v>
      </c>
      <c r="C11347" t="s">
        <v>14532</v>
      </c>
      <c r="E11347" t="s">
        <v>20206</v>
      </c>
      <c r="F11347" t="s">
        <v>30900</v>
      </c>
      <c r="G11347" t="s">
        <v>30907</v>
      </c>
      <c r="H11347" t="s">
        <v>30915</v>
      </c>
      <c r="I11347" t="s">
        <v>30919</v>
      </c>
      <c r="J11347" t="s">
        <v>31270</v>
      </c>
      <c r="K11347" t="s">
        <v>40292</v>
      </c>
      <c r="M11347" t="s">
        <v>42022</v>
      </c>
      <c r="N11347" t="s">
        <v>44759</v>
      </c>
      <c r="O11347" t="s">
        <v>44760</v>
      </c>
      <c r="P11347">
        <v>0</v>
      </c>
      <c r="Q11347">
        <v>1</v>
      </c>
      <c r="R11347" t="s">
        <v>44774</v>
      </c>
      <c r="S11347" t="s">
        <v>45266</v>
      </c>
      <c r="T11347" t="s">
        <v>46353</v>
      </c>
      <c r="U11347" t="s">
        <v>56262</v>
      </c>
      <c r="W11347" t="s">
        <v>42029</v>
      </c>
      <c r="X11347" t="s">
        <v>44775</v>
      </c>
    </row>
    <row r="11348" spans="1:24">
      <c r="A11348">
        <f>HYPERLINK("https://www.philgeps.gov.ph/GEPSNONPILOT/Tender/SplashBidNoticeAbstractUI.aspx?menuIndex=3&amp;refID=7128146&amp;Result=3","7128146")</f>
        <v>0</v>
      </c>
      <c r="B11348" t="s">
        <v>3340</v>
      </c>
      <c r="C11348" t="s">
        <v>14533</v>
      </c>
      <c r="D11348" t="s">
        <v>17985</v>
      </c>
      <c r="E11348" t="s">
        <v>27834</v>
      </c>
      <c r="F11348" t="s">
        <v>30900</v>
      </c>
      <c r="G11348" t="s">
        <v>30906</v>
      </c>
      <c r="H11348" t="s">
        <v>30916</v>
      </c>
      <c r="I11348" t="s">
        <v>30940</v>
      </c>
      <c r="J11348" t="s">
        <v>38103</v>
      </c>
      <c r="K11348" t="s">
        <v>40287</v>
      </c>
      <c r="M11348" t="s">
        <v>44203</v>
      </c>
      <c r="N11348" t="s">
        <v>44759</v>
      </c>
      <c r="O11348" t="s">
        <v>44760</v>
      </c>
      <c r="P11348">
        <v>0</v>
      </c>
      <c r="Q11348">
        <v>4</v>
      </c>
      <c r="R11348" t="s">
        <v>44774</v>
      </c>
      <c r="S11348" t="s">
        <v>45266</v>
      </c>
      <c r="T11348" t="s">
        <v>46880</v>
      </c>
      <c r="U11348" t="s">
        <v>56272</v>
      </c>
      <c r="W11348" t="s">
        <v>44203</v>
      </c>
      <c r="X11348" t="s">
        <v>44775</v>
      </c>
    </row>
    <row r="11349" spans="1:24">
      <c r="A11349">
        <f>HYPERLINK("https://www.philgeps.gov.ph/GEPSNONPILOT/Tender/SplashBidNoticeAbstractUI.aspx?menuIndex=3&amp;refID=7128027&amp;Result=3","7128027")</f>
        <v>0</v>
      </c>
      <c r="B11349" t="s">
        <v>2697</v>
      </c>
      <c r="C11349" t="s">
        <v>14534</v>
      </c>
      <c r="D11349" t="s">
        <v>17973</v>
      </c>
      <c r="E11349" t="s">
        <v>27835</v>
      </c>
      <c r="F11349" t="s">
        <v>30900</v>
      </c>
      <c r="G11349" t="s">
        <v>30907</v>
      </c>
      <c r="H11349" t="s">
        <v>30915</v>
      </c>
      <c r="I11349" t="s">
        <v>30919</v>
      </c>
      <c r="J11349" t="s">
        <v>32276</v>
      </c>
      <c r="K11349" t="s">
        <v>40498</v>
      </c>
      <c r="M11349" t="s">
        <v>44186</v>
      </c>
      <c r="N11349" t="s">
        <v>44759</v>
      </c>
      <c r="O11349" t="s">
        <v>44760</v>
      </c>
      <c r="P11349">
        <v>0</v>
      </c>
      <c r="Q11349">
        <v>0</v>
      </c>
      <c r="R11349" t="s">
        <v>44774</v>
      </c>
      <c r="S11349" t="s">
        <v>45266</v>
      </c>
      <c r="T11349" t="s">
        <v>46466</v>
      </c>
      <c r="U11349" t="s">
        <v>55827</v>
      </c>
      <c r="W11349" t="s">
        <v>44186</v>
      </c>
      <c r="X11349" t="s">
        <v>44775</v>
      </c>
    </row>
    <row r="11350" spans="1:24">
      <c r="A11350">
        <f>HYPERLINK("https://www.philgeps.gov.ph/GEPSNONPILOT/Tender/SplashBidNoticeAbstractUI.aspx?menuIndex=3&amp;refID=7128006&amp;Result=3","7128006")</f>
        <v>0</v>
      </c>
      <c r="B11350" t="s">
        <v>237</v>
      </c>
      <c r="C11350" t="s">
        <v>14535</v>
      </c>
      <c r="E11350" t="s">
        <v>27836</v>
      </c>
      <c r="F11350" t="s">
        <v>30900</v>
      </c>
      <c r="G11350" t="s">
        <v>30907</v>
      </c>
      <c r="H11350" t="s">
        <v>30916</v>
      </c>
      <c r="I11350" t="s">
        <v>31003</v>
      </c>
      <c r="J11350" t="s">
        <v>38104</v>
      </c>
      <c r="K11350" t="s">
        <v>40289</v>
      </c>
      <c r="M11350" t="s">
        <v>44204</v>
      </c>
      <c r="N11350" t="s">
        <v>44759</v>
      </c>
      <c r="O11350" t="s">
        <v>44760</v>
      </c>
      <c r="P11350">
        <v>0</v>
      </c>
      <c r="Q11350">
        <v>8</v>
      </c>
      <c r="R11350" t="s">
        <v>44774</v>
      </c>
      <c r="S11350" t="s">
        <v>45266</v>
      </c>
      <c r="T11350" t="s">
        <v>46725</v>
      </c>
      <c r="U11350" t="s">
        <v>56273</v>
      </c>
      <c r="W11350" t="s">
        <v>44204</v>
      </c>
      <c r="X11350" t="s">
        <v>44775</v>
      </c>
    </row>
    <row r="11351" spans="1:24">
      <c r="A11351">
        <f>HYPERLINK("https://www.philgeps.gov.ph/GEPSNONPILOT/Tender/SplashBidNoticeAbstractUI.aspx?menuIndex=3&amp;refID=7128026&amp;Result=3","7128026")</f>
        <v>0</v>
      </c>
      <c r="B11351" t="s">
        <v>1777</v>
      </c>
      <c r="C11351" t="s">
        <v>14536</v>
      </c>
      <c r="D11351" t="s">
        <v>17994</v>
      </c>
      <c r="E11351" t="s">
        <v>27837</v>
      </c>
      <c r="F11351" t="s">
        <v>30900</v>
      </c>
      <c r="G11351" t="s">
        <v>30907</v>
      </c>
      <c r="H11351" t="s">
        <v>30916</v>
      </c>
      <c r="I11351" t="s">
        <v>30924</v>
      </c>
      <c r="J11351" t="s">
        <v>31391</v>
      </c>
      <c r="K11351" t="s">
        <v>40286</v>
      </c>
      <c r="M11351" t="s">
        <v>42460</v>
      </c>
      <c r="N11351" t="s">
        <v>44759</v>
      </c>
      <c r="O11351" t="s">
        <v>44760</v>
      </c>
      <c r="P11351">
        <v>0</v>
      </c>
      <c r="Q11351">
        <v>2</v>
      </c>
      <c r="R11351" t="s">
        <v>44774</v>
      </c>
      <c r="S11351" t="s">
        <v>45266</v>
      </c>
      <c r="T11351" t="s">
        <v>46483</v>
      </c>
      <c r="U11351" t="s">
        <v>56274</v>
      </c>
      <c r="W11351" t="s">
        <v>42460</v>
      </c>
      <c r="X11351" t="s">
        <v>44775</v>
      </c>
    </row>
    <row r="11352" spans="1:24">
      <c r="A11352">
        <f>HYPERLINK("https://www.philgeps.gov.ph/GEPSNONPILOT/Tender/SplashBidNoticeAbstractUI.aspx?menuIndex=3&amp;refID=7128142&amp;Result=3","7128142")</f>
        <v>0</v>
      </c>
      <c r="B11352" t="s">
        <v>2063</v>
      </c>
      <c r="C11352" t="s">
        <v>14537</v>
      </c>
      <c r="D11352" t="s">
        <v>17977</v>
      </c>
      <c r="E11352" t="s">
        <v>27838</v>
      </c>
      <c r="F11352" t="s">
        <v>30900</v>
      </c>
      <c r="G11352" t="s">
        <v>30907</v>
      </c>
      <c r="H11352" t="s">
        <v>30916</v>
      </c>
      <c r="I11352" t="s">
        <v>30939</v>
      </c>
      <c r="J11352" t="s">
        <v>38105</v>
      </c>
      <c r="K11352" t="s">
        <v>40289</v>
      </c>
      <c r="L11352" t="s">
        <v>2063</v>
      </c>
      <c r="M11352" t="s">
        <v>42762</v>
      </c>
      <c r="N11352" t="s">
        <v>44759</v>
      </c>
      <c r="O11352" t="s">
        <v>44760</v>
      </c>
      <c r="P11352">
        <v>0</v>
      </c>
      <c r="Q11352">
        <v>0</v>
      </c>
      <c r="R11352" t="s">
        <v>44774</v>
      </c>
      <c r="S11352" t="s">
        <v>45266</v>
      </c>
      <c r="T11352" t="s">
        <v>46353</v>
      </c>
      <c r="U11352" t="s">
        <v>56275</v>
      </c>
      <c r="W11352" t="s">
        <v>42762</v>
      </c>
      <c r="X11352" t="s">
        <v>44775</v>
      </c>
    </row>
    <row r="11353" spans="1:24">
      <c r="A11353">
        <f>HYPERLINK("https://www.philgeps.gov.ph/GEPSNONPILOT/Tender/SplashBidNoticeAbstractUI.aspx?menuIndex=3&amp;refID=7127975&amp;Result=3","7127975")</f>
        <v>0</v>
      </c>
      <c r="B11353" t="s">
        <v>2971</v>
      </c>
      <c r="C11353" t="s">
        <v>14538</v>
      </c>
      <c r="D11353" t="s">
        <v>17992</v>
      </c>
      <c r="E11353" t="s">
        <v>27839</v>
      </c>
      <c r="F11353" t="s">
        <v>30900</v>
      </c>
      <c r="G11353" t="s">
        <v>30907</v>
      </c>
      <c r="H11353" t="s">
        <v>30916</v>
      </c>
      <c r="I11353" t="s">
        <v>8123</v>
      </c>
      <c r="J11353" t="s">
        <v>38106</v>
      </c>
      <c r="K11353" t="s">
        <v>40327</v>
      </c>
      <c r="M11353" t="s">
        <v>43772</v>
      </c>
      <c r="N11353" t="s">
        <v>44759</v>
      </c>
      <c r="O11353" t="s">
        <v>44760</v>
      </c>
      <c r="P11353">
        <v>0</v>
      </c>
      <c r="Q11353">
        <v>0</v>
      </c>
      <c r="R11353" t="s">
        <v>44774</v>
      </c>
      <c r="S11353" t="s">
        <v>45266</v>
      </c>
      <c r="T11353" t="s">
        <v>46366</v>
      </c>
      <c r="U11353" t="s">
        <v>56276</v>
      </c>
      <c r="W11353" t="s">
        <v>43772</v>
      </c>
      <c r="X11353" t="s">
        <v>44775</v>
      </c>
    </row>
    <row r="11354" spans="1:24">
      <c r="A11354">
        <f>HYPERLINK("https://www.philgeps.gov.ph/GEPSNONPILOT/Tender/SplashBidNoticeAbstractUI.aspx?menuIndex=3&amp;refID=7128114&amp;Result=3","7128114")</f>
        <v>0</v>
      </c>
      <c r="B11354" t="s">
        <v>2971</v>
      </c>
      <c r="C11354" t="s">
        <v>14539</v>
      </c>
      <c r="D11354" t="s">
        <v>17992</v>
      </c>
      <c r="E11354" t="s">
        <v>27840</v>
      </c>
      <c r="F11354" t="s">
        <v>30900</v>
      </c>
      <c r="G11354" t="s">
        <v>30907</v>
      </c>
      <c r="H11354" t="s">
        <v>30916</v>
      </c>
      <c r="I11354" t="s">
        <v>8123</v>
      </c>
      <c r="J11354" t="s">
        <v>38107</v>
      </c>
      <c r="K11354" t="s">
        <v>40327</v>
      </c>
      <c r="M11354" t="s">
        <v>43772</v>
      </c>
      <c r="N11354" t="s">
        <v>44759</v>
      </c>
      <c r="O11354" t="s">
        <v>44760</v>
      </c>
      <c r="P11354">
        <v>0</v>
      </c>
      <c r="Q11354">
        <v>0</v>
      </c>
      <c r="R11354" t="s">
        <v>44774</v>
      </c>
      <c r="S11354" t="s">
        <v>45266</v>
      </c>
      <c r="T11354" t="s">
        <v>46366</v>
      </c>
      <c r="U11354" t="s">
        <v>56277</v>
      </c>
      <c r="W11354" t="s">
        <v>43772</v>
      </c>
      <c r="X11354" t="s">
        <v>44775</v>
      </c>
    </row>
    <row r="11355" spans="1:24">
      <c r="A11355">
        <f>HYPERLINK("https://www.philgeps.gov.ph/GEPSNONPILOT/Tender/SplashBidNoticeAbstractUI.aspx?menuIndex=3&amp;refID=7127886&amp;Result=3","7127886")</f>
        <v>0</v>
      </c>
      <c r="B11355" t="s">
        <v>264</v>
      </c>
      <c r="C11355" t="s">
        <v>14540</v>
      </c>
      <c r="D11355" t="s">
        <v>17997</v>
      </c>
      <c r="E11355" t="s">
        <v>27841</v>
      </c>
      <c r="F11355" t="s">
        <v>30900</v>
      </c>
      <c r="G11355" t="s">
        <v>30907</v>
      </c>
      <c r="H11355" t="s">
        <v>30915</v>
      </c>
      <c r="I11355" t="s">
        <v>30919</v>
      </c>
      <c r="J11355" t="s">
        <v>38108</v>
      </c>
      <c r="K11355" t="s">
        <v>40304</v>
      </c>
      <c r="M11355" t="s">
        <v>40811</v>
      </c>
      <c r="N11355" t="s">
        <v>44759</v>
      </c>
      <c r="O11355" t="s">
        <v>44760</v>
      </c>
      <c r="P11355">
        <v>0</v>
      </c>
      <c r="Q11355">
        <v>0</v>
      </c>
      <c r="R11355" t="s">
        <v>44774</v>
      </c>
      <c r="S11355" t="s">
        <v>45266</v>
      </c>
      <c r="T11355" t="s">
        <v>46487</v>
      </c>
      <c r="U11355" t="s">
        <v>56278</v>
      </c>
      <c r="W11355" t="s">
        <v>40811</v>
      </c>
      <c r="X11355" t="s">
        <v>44775</v>
      </c>
    </row>
    <row r="11356" spans="1:24">
      <c r="A11356">
        <f>HYPERLINK("https://www.philgeps.gov.ph/GEPSNONPILOT/Tender/SplashBidNoticeAbstractUI.aspx?menuIndex=3&amp;refID=7127885&amp;Result=3","7127885")</f>
        <v>0</v>
      </c>
      <c r="B11356" t="s">
        <v>537</v>
      </c>
      <c r="C11356" t="s">
        <v>14541</v>
      </c>
      <c r="D11356" t="s">
        <v>17978</v>
      </c>
      <c r="E11356" t="s">
        <v>27842</v>
      </c>
      <c r="F11356" t="s">
        <v>30900</v>
      </c>
      <c r="G11356" t="s">
        <v>30907</v>
      </c>
      <c r="H11356" t="s">
        <v>30916</v>
      </c>
      <c r="I11356" t="s">
        <v>30936</v>
      </c>
      <c r="J11356" t="s">
        <v>38109</v>
      </c>
      <c r="K11356" t="s">
        <v>40292</v>
      </c>
      <c r="M11356" t="s">
        <v>41097</v>
      </c>
      <c r="N11356" t="s">
        <v>44759</v>
      </c>
      <c r="O11356" t="s">
        <v>44760</v>
      </c>
      <c r="P11356">
        <v>0</v>
      </c>
      <c r="Q11356">
        <v>0</v>
      </c>
      <c r="R11356" t="s">
        <v>44774</v>
      </c>
      <c r="S11356" t="s">
        <v>45266</v>
      </c>
      <c r="T11356" t="s">
        <v>46409</v>
      </c>
      <c r="U11356" t="s">
        <v>56279</v>
      </c>
      <c r="V11356" t="s">
        <v>60402</v>
      </c>
      <c r="W11356" t="s">
        <v>41097</v>
      </c>
      <c r="X11356" t="s">
        <v>44775</v>
      </c>
    </row>
    <row r="11357" spans="1:24">
      <c r="A11357">
        <f>HYPERLINK("https://www.philgeps.gov.ph/GEPSNONPILOT/Tender/SplashBidNoticeAbstractUI.aspx?menuIndex=3&amp;refID=7128095&amp;Result=3","7128095")</f>
        <v>0</v>
      </c>
      <c r="B11357" t="s">
        <v>537</v>
      </c>
      <c r="C11357" t="s">
        <v>14542</v>
      </c>
      <c r="D11357" t="s">
        <v>17978</v>
      </c>
      <c r="E11357" t="s">
        <v>27843</v>
      </c>
      <c r="F11357" t="s">
        <v>30900</v>
      </c>
      <c r="G11357" t="s">
        <v>30907</v>
      </c>
      <c r="H11357" t="s">
        <v>30916</v>
      </c>
      <c r="I11357" t="s">
        <v>30923</v>
      </c>
      <c r="J11357" t="s">
        <v>38110</v>
      </c>
      <c r="K11357" t="s">
        <v>40286</v>
      </c>
      <c r="M11357" t="s">
        <v>41097</v>
      </c>
      <c r="N11357" t="s">
        <v>44759</v>
      </c>
      <c r="O11357" t="s">
        <v>44760</v>
      </c>
      <c r="P11357">
        <v>0</v>
      </c>
      <c r="Q11357">
        <v>2</v>
      </c>
      <c r="R11357" t="s">
        <v>44774</v>
      </c>
      <c r="S11357" t="s">
        <v>45266</v>
      </c>
      <c r="T11357" t="s">
        <v>46409</v>
      </c>
      <c r="U11357" t="s">
        <v>56280</v>
      </c>
      <c r="V11357" t="s">
        <v>60402</v>
      </c>
      <c r="W11357" t="s">
        <v>41097</v>
      </c>
      <c r="X11357" t="s">
        <v>44775</v>
      </c>
    </row>
    <row r="11358" spans="1:24">
      <c r="A11358">
        <f>HYPERLINK("https://www.philgeps.gov.ph/GEPSNONPILOT/Tender/SplashBidNoticeAbstractUI.aspx?menuIndex=3&amp;refID=7128140&amp;Result=3","7128140")</f>
        <v>0</v>
      </c>
      <c r="B11358" t="s">
        <v>943</v>
      </c>
      <c r="C11358" t="s">
        <v>14543</v>
      </c>
      <c r="D11358" t="s">
        <v>17957</v>
      </c>
      <c r="E11358" t="s">
        <v>27844</v>
      </c>
      <c r="F11358" t="s">
        <v>30900</v>
      </c>
      <c r="G11358" t="s">
        <v>30907</v>
      </c>
      <c r="H11358" t="s">
        <v>30915</v>
      </c>
      <c r="I11358" t="s">
        <v>30919</v>
      </c>
      <c r="J11358" t="s">
        <v>38111</v>
      </c>
      <c r="K11358" t="s">
        <v>40342</v>
      </c>
      <c r="M11358" t="s">
        <v>41527</v>
      </c>
      <c r="N11358" t="s">
        <v>44759</v>
      </c>
      <c r="O11358" t="s">
        <v>44760</v>
      </c>
      <c r="P11358">
        <v>0</v>
      </c>
      <c r="Q11358">
        <v>0</v>
      </c>
      <c r="R11358" t="s">
        <v>44774</v>
      </c>
      <c r="S11358" t="s">
        <v>45266</v>
      </c>
      <c r="T11358" t="s">
        <v>46425</v>
      </c>
      <c r="U11358" t="s">
        <v>56281</v>
      </c>
      <c r="W11358" t="s">
        <v>41527</v>
      </c>
      <c r="X11358" t="s">
        <v>44775</v>
      </c>
    </row>
    <row r="11359" spans="1:24">
      <c r="A11359">
        <f>HYPERLINK("https://www.philgeps.gov.ph/GEPSNONPILOT/Tender/SplashBidNoticeAbstractUI.aspx?menuIndex=3&amp;refID=7128105&amp;Result=3","7128105")</f>
        <v>0</v>
      </c>
      <c r="B11359" t="s">
        <v>1147</v>
      </c>
      <c r="C11359" t="s">
        <v>14544</v>
      </c>
      <c r="D11359" t="s">
        <v>17959</v>
      </c>
      <c r="E11359" t="s">
        <v>27845</v>
      </c>
      <c r="F11359" t="s">
        <v>30900</v>
      </c>
      <c r="G11359" t="s">
        <v>30907</v>
      </c>
      <c r="H11359" t="s">
        <v>30916</v>
      </c>
      <c r="I11359" t="s">
        <v>30924</v>
      </c>
      <c r="J11359" t="s">
        <v>38112</v>
      </c>
      <c r="K11359" t="s">
        <v>40289</v>
      </c>
      <c r="M11359" t="s">
        <v>44205</v>
      </c>
      <c r="N11359" t="s">
        <v>44759</v>
      </c>
      <c r="O11359" t="s">
        <v>44760</v>
      </c>
      <c r="P11359">
        <v>0</v>
      </c>
      <c r="Q11359">
        <v>15</v>
      </c>
      <c r="R11359" t="s">
        <v>44774</v>
      </c>
      <c r="S11359" t="s">
        <v>45266</v>
      </c>
      <c r="T11359" t="s">
        <v>46411</v>
      </c>
      <c r="U11359" t="s">
        <v>56282</v>
      </c>
      <c r="W11359" t="s">
        <v>44205</v>
      </c>
      <c r="X11359" t="s">
        <v>44775</v>
      </c>
    </row>
    <row r="11360" spans="1:24">
      <c r="A11360">
        <f>HYPERLINK("https://www.philgeps.gov.ph/GEPSNONPILOT/Tender/SplashBidNoticeAbstractUI.aspx?menuIndex=3&amp;refID=7128094&amp;Result=3","7128094")</f>
        <v>0</v>
      </c>
      <c r="B11360" t="s">
        <v>1203</v>
      </c>
      <c r="C11360" t="s">
        <v>14545</v>
      </c>
      <c r="D11360" t="s">
        <v>17953</v>
      </c>
      <c r="E11360" t="s">
        <v>27846</v>
      </c>
      <c r="F11360" t="s">
        <v>30900</v>
      </c>
      <c r="G11360" t="s">
        <v>30907</v>
      </c>
      <c r="H11360" t="s">
        <v>30915</v>
      </c>
      <c r="I11360" t="s">
        <v>30919</v>
      </c>
      <c r="J11360" t="s">
        <v>31937</v>
      </c>
      <c r="K11360" t="s">
        <v>40289</v>
      </c>
      <c r="M11360" t="s">
        <v>41814</v>
      </c>
      <c r="N11360" t="s">
        <v>44759</v>
      </c>
      <c r="O11360" t="s">
        <v>44760</v>
      </c>
      <c r="P11360">
        <v>0</v>
      </c>
      <c r="Q11360">
        <v>2</v>
      </c>
      <c r="R11360" t="s">
        <v>44774</v>
      </c>
      <c r="S11360" t="s">
        <v>45266</v>
      </c>
      <c r="T11360" t="s">
        <v>46387</v>
      </c>
      <c r="U11360" t="s">
        <v>56283</v>
      </c>
      <c r="V11360" t="s">
        <v>59431</v>
      </c>
      <c r="W11360" t="s">
        <v>41814</v>
      </c>
      <c r="X11360" t="s">
        <v>44775</v>
      </c>
    </row>
    <row r="11361" spans="1:24">
      <c r="A11361">
        <f>HYPERLINK("https://www.philgeps.gov.ph/GEPSNONPILOT/Tender/SplashBidNoticeAbstractUI.aspx?menuIndex=3&amp;refID=7128080&amp;Result=3","7128080")</f>
        <v>0</v>
      </c>
      <c r="B11361" t="s">
        <v>2115</v>
      </c>
      <c r="C11361" t="s">
        <v>14546</v>
      </c>
      <c r="D11361" t="s">
        <v>17959</v>
      </c>
      <c r="E11361" t="s">
        <v>27847</v>
      </c>
      <c r="F11361" t="s">
        <v>30900</v>
      </c>
      <c r="G11361" t="s">
        <v>30907</v>
      </c>
      <c r="H11361" t="s">
        <v>30916</v>
      </c>
      <c r="I11361" t="s">
        <v>30924</v>
      </c>
      <c r="J11361" t="s">
        <v>38113</v>
      </c>
      <c r="K11361" t="s">
        <v>40304</v>
      </c>
      <c r="M11361" t="s">
        <v>42816</v>
      </c>
      <c r="N11361" t="s">
        <v>44759</v>
      </c>
      <c r="O11361" t="s">
        <v>44760</v>
      </c>
      <c r="P11361">
        <v>0</v>
      </c>
      <c r="Q11361">
        <v>14</v>
      </c>
      <c r="R11361" t="s">
        <v>44774</v>
      </c>
      <c r="S11361" t="s">
        <v>45266</v>
      </c>
      <c r="T11361" t="s">
        <v>46353</v>
      </c>
      <c r="U11361" t="s">
        <v>56284</v>
      </c>
      <c r="W11361" t="s">
        <v>42816</v>
      </c>
      <c r="X11361" t="s">
        <v>44775</v>
      </c>
    </row>
    <row r="11362" spans="1:24">
      <c r="A11362">
        <f>HYPERLINK("https://www.philgeps.gov.ph/GEPSNONPILOT/Tender/SplashBidNoticeAbstractUI.aspx?menuIndex=3&amp;refID=7128111&amp;Result=3","7128111")</f>
        <v>0</v>
      </c>
      <c r="B11362" t="s">
        <v>3271</v>
      </c>
      <c r="C11362" t="s">
        <v>14547</v>
      </c>
      <c r="D11362" t="s">
        <v>17959</v>
      </c>
      <c r="E11362" t="s">
        <v>19010</v>
      </c>
      <c r="F11362" t="s">
        <v>30900</v>
      </c>
      <c r="G11362" t="s">
        <v>30907</v>
      </c>
      <c r="H11362" t="s">
        <v>30916</v>
      </c>
      <c r="I11362" t="s">
        <v>4142</v>
      </c>
      <c r="J11362" t="s">
        <v>38114</v>
      </c>
      <c r="K11362" t="s">
        <v>40288</v>
      </c>
      <c r="M11362" t="s">
        <v>44119</v>
      </c>
      <c r="N11362" t="s">
        <v>44759</v>
      </c>
      <c r="O11362" t="s">
        <v>44760</v>
      </c>
      <c r="P11362">
        <v>0</v>
      </c>
      <c r="Q11362">
        <v>6</v>
      </c>
      <c r="R11362" t="s">
        <v>44774</v>
      </c>
      <c r="S11362" t="s">
        <v>45266</v>
      </c>
      <c r="T11362" t="s">
        <v>46403</v>
      </c>
      <c r="U11362" t="s">
        <v>56285</v>
      </c>
      <c r="W11362" t="s">
        <v>44119</v>
      </c>
      <c r="X11362" t="s">
        <v>44775</v>
      </c>
    </row>
    <row r="11363" spans="1:24">
      <c r="A11363">
        <f>HYPERLINK("https://www.philgeps.gov.ph/GEPSNONPILOT/Tender/SplashBidNoticeAbstractUI.aspx?menuIndex=3&amp;refID=7128083&amp;Result=3","7128083")</f>
        <v>0</v>
      </c>
      <c r="B11363" t="s">
        <v>1396</v>
      </c>
      <c r="C11363" t="s">
        <v>14548</v>
      </c>
      <c r="E11363" t="s">
        <v>20226</v>
      </c>
      <c r="F11363" t="s">
        <v>30900</v>
      </c>
      <c r="G11363" t="s">
        <v>30907</v>
      </c>
      <c r="H11363" t="s">
        <v>30915</v>
      </c>
      <c r="I11363" t="s">
        <v>30919</v>
      </c>
      <c r="J11363" t="s">
        <v>38115</v>
      </c>
      <c r="K11363" t="s">
        <v>40292</v>
      </c>
      <c r="M11363" t="s">
        <v>42022</v>
      </c>
      <c r="N11363" t="s">
        <v>44759</v>
      </c>
      <c r="O11363" t="s">
        <v>44760</v>
      </c>
      <c r="P11363">
        <v>0</v>
      </c>
      <c r="Q11363">
        <v>0</v>
      </c>
      <c r="R11363" t="s">
        <v>44774</v>
      </c>
      <c r="S11363" t="s">
        <v>45266</v>
      </c>
      <c r="T11363" t="s">
        <v>46353</v>
      </c>
      <c r="U11363" t="s">
        <v>56262</v>
      </c>
      <c r="W11363" t="s">
        <v>42029</v>
      </c>
      <c r="X11363" t="s">
        <v>44775</v>
      </c>
    </row>
    <row r="11364" spans="1:24">
      <c r="A11364">
        <f>HYPERLINK("https://www.philgeps.gov.ph/GEPSNONPILOT/Tender/SplashBidNoticeAbstractUI.aspx?menuIndex=3&amp;refID=7128072&amp;Result=3","7128072")</f>
        <v>0</v>
      </c>
      <c r="B11364" t="s">
        <v>2063</v>
      </c>
      <c r="C11364" t="s">
        <v>14549</v>
      </c>
      <c r="D11364" t="s">
        <v>17977</v>
      </c>
      <c r="E11364" t="s">
        <v>27848</v>
      </c>
      <c r="F11364" t="s">
        <v>30900</v>
      </c>
      <c r="G11364" t="s">
        <v>30907</v>
      </c>
      <c r="H11364" t="s">
        <v>30915</v>
      </c>
      <c r="I11364" t="s">
        <v>30919</v>
      </c>
      <c r="J11364" t="s">
        <v>38116</v>
      </c>
      <c r="K11364" t="s">
        <v>40289</v>
      </c>
      <c r="L11364" t="s">
        <v>2063</v>
      </c>
      <c r="M11364" t="s">
        <v>43801</v>
      </c>
      <c r="N11364" t="s">
        <v>44759</v>
      </c>
      <c r="O11364" t="s">
        <v>44760</v>
      </c>
      <c r="P11364">
        <v>0</v>
      </c>
      <c r="Q11364">
        <v>0</v>
      </c>
      <c r="R11364" t="s">
        <v>44774</v>
      </c>
      <c r="S11364" t="s">
        <v>45266</v>
      </c>
      <c r="T11364" t="s">
        <v>46353</v>
      </c>
      <c r="U11364" t="s">
        <v>56258</v>
      </c>
      <c r="V11364" t="s">
        <v>60156</v>
      </c>
      <c r="W11364" t="s">
        <v>43801</v>
      </c>
      <c r="X11364" t="s">
        <v>44775</v>
      </c>
    </row>
    <row r="11365" spans="1:24">
      <c r="A11365">
        <f>HYPERLINK("https://www.philgeps.gov.ph/GEPSNONPILOT/Tender/SplashBidNoticeAbstractUI.aspx?menuIndex=3&amp;refID=7128051&amp;Result=3","7128051")</f>
        <v>0</v>
      </c>
      <c r="B11365" t="s">
        <v>666</v>
      </c>
      <c r="C11365" t="s">
        <v>14550</v>
      </c>
      <c r="D11365" t="s">
        <v>17973</v>
      </c>
      <c r="E11365" t="s">
        <v>27849</v>
      </c>
      <c r="F11365" t="s">
        <v>30900</v>
      </c>
      <c r="G11365" t="s">
        <v>30907</v>
      </c>
      <c r="H11365" t="s">
        <v>30916</v>
      </c>
      <c r="I11365" t="s">
        <v>30929</v>
      </c>
      <c r="J11365" t="s">
        <v>36049</v>
      </c>
      <c r="K11365" t="s">
        <v>40289</v>
      </c>
      <c r="M11365" t="s">
        <v>41229</v>
      </c>
      <c r="N11365" t="s">
        <v>44759</v>
      </c>
      <c r="O11365" t="s">
        <v>44760</v>
      </c>
      <c r="Q11365">
        <v>24</v>
      </c>
      <c r="R11365" t="s">
        <v>44774</v>
      </c>
      <c r="S11365" t="s">
        <v>45319</v>
      </c>
      <c r="T11365" t="s">
        <v>46472</v>
      </c>
      <c r="U11365" t="s">
        <v>56286</v>
      </c>
      <c r="W11365" t="s">
        <v>41229</v>
      </c>
      <c r="X11365" t="s">
        <v>44775</v>
      </c>
    </row>
    <row r="11366" spans="1:24">
      <c r="A11366">
        <f>HYPERLINK("https://www.philgeps.gov.ph/GEPSNONPILOT/Tender/SplashBidNoticeAbstractUI.aspx?menuIndex=3&amp;refID=7128045&amp;Result=3","7128045")</f>
        <v>0</v>
      </c>
      <c r="B11366" t="s">
        <v>2063</v>
      </c>
      <c r="C11366" t="s">
        <v>14551</v>
      </c>
      <c r="D11366" t="s">
        <v>17977</v>
      </c>
      <c r="E11366" t="s">
        <v>27850</v>
      </c>
      <c r="F11366" t="s">
        <v>30900</v>
      </c>
      <c r="G11366" t="s">
        <v>30907</v>
      </c>
      <c r="H11366" t="s">
        <v>30915</v>
      </c>
      <c r="I11366" t="s">
        <v>30919</v>
      </c>
      <c r="J11366" t="s">
        <v>38117</v>
      </c>
      <c r="K11366" t="s">
        <v>40289</v>
      </c>
      <c r="L11366" t="s">
        <v>2063</v>
      </c>
      <c r="M11366" t="s">
        <v>43801</v>
      </c>
      <c r="N11366" t="s">
        <v>44759</v>
      </c>
      <c r="O11366" t="s">
        <v>44760</v>
      </c>
      <c r="P11366">
        <v>0</v>
      </c>
      <c r="Q11366">
        <v>0</v>
      </c>
      <c r="R11366" t="s">
        <v>44774</v>
      </c>
      <c r="S11366" t="s">
        <v>45266</v>
      </c>
      <c r="T11366" t="s">
        <v>46353</v>
      </c>
      <c r="U11366" t="s">
        <v>56258</v>
      </c>
      <c r="V11366" t="s">
        <v>60156</v>
      </c>
      <c r="W11366" t="s">
        <v>43801</v>
      </c>
      <c r="X11366" t="s">
        <v>44775</v>
      </c>
    </row>
    <row r="11367" spans="1:24">
      <c r="A11367">
        <f>HYPERLINK("https://www.philgeps.gov.ph/GEPSNONPILOT/Tender/SplashBidNoticeAbstractUI.aspx?menuIndex=3&amp;refID=7128044&amp;Result=3","7128044")</f>
        <v>0</v>
      </c>
      <c r="B11367" t="s">
        <v>537</v>
      </c>
      <c r="C11367" t="s">
        <v>14552</v>
      </c>
      <c r="D11367" t="s">
        <v>17978</v>
      </c>
      <c r="E11367" t="s">
        <v>27851</v>
      </c>
      <c r="F11367" t="s">
        <v>30900</v>
      </c>
      <c r="G11367" t="s">
        <v>30907</v>
      </c>
      <c r="H11367" t="s">
        <v>30916</v>
      </c>
      <c r="I11367" t="s">
        <v>30936</v>
      </c>
      <c r="J11367" t="s">
        <v>38118</v>
      </c>
      <c r="K11367" t="s">
        <v>40301</v>
      </c>
      <c r="M11367" t="s">
        <v>41097</v>
      </c>
      <c r="N11367" t="s">
        <v>44759</v>
      </c>
      <c r="O11367" t="s">
        <v>44760</v>
      </c>
      <c r="P11367">
        <v>0</v>
      </c>
      <c r="Q11367">
        <v>1</v>
      </c>
      <c r="R11367" t="s">
        <v>44774</v>
      </c>
      <c r="S11367" t="s">
        <v>45266</v>
      </c>
      <c r="T11367" t="s">
        <v>46409</v>
      </c>
      <c r="U11367" t="s">
        <v>56287</v>
      </c>
      <c r="V11367" t="s">
        <v>60402</v>
      </c>
      <c r="W11367" t="s">
        <v>41097</v>
      </c>
      <c r="X11367" t="s">
        <v>44775</v>
      </c>
    </row>
    <row r="11368" spans="1:24">
      <c r="A11368">
        <f>HYPERLINK("https://www.philgeps.gov.ph/GEPSNONPILOT/Tender/SplashBidNoticeAbstractUI.aspx?menuIndex=3&amp;refID=7128043&amp;Result=3","7128043")</f>
        <v>0</v>
      </c>
      <c r="B11368" t="s">
        <v>3341</v>
      </c>
      <c r="C11368" t="s">
        <v>14553</v>
      </c>
      <c r="D11368" t="s">
        <v>17997</v>
      </c>
      <c r="E11368" t="s">
        <v>27852</v>
      </c>
      <c r="F11368" t="s">
        <v>30900</v>
      </c>
      <c r="G11368" t="s">
        <v>30907</v>
      </c>
      <c r="H11368" t="s">
        <v>30916</v>
      </c>
      <c r="I11368" t="s">
        <v>8123</v>
      </c>
      <c r="J11368" t="s">
        <v>38119</v>
      </c>
      <c r="K11368" t="s">
        <v>40286</v>
      </c>
      <c r="M11368" t="s">
        <v>44206</v>
      </c>
      <c r="N11368" t="s">
        <v>44759</v>
      </c>
      <c r="O11368" t="s">
        <v>44760</v>
      </c>
      <c r="P11368">
        <v>0</v>
      </c>
      <c r="Q11368">
        <v>0</v>
      </c>
      <c r="R11368" t="s">
        <v>44774</v>
      </c>
      <c r="S11368" t="s">
        <v>45266</v>
      </c>
      <c r="T11368" t="s">
        <v>46361</v>
      </c>
      <c r="U11368" t="s">
        <v>56288</v>
      </c>
      <c r="W11368" t="s">
        <v>44206</v>
      </c>
      <c r="X11368" t="s">
        <v>44775</v>
      </c>
    </row>
    <row r="11369" spans="1:24">
      <c r="A11369">
        <f>HYPERLINK("https://www.philgeps.gov.ph/GEPSNONPILOT/Tender/SplashBidNoticeAbstractUI.aspx?menuIndex=3&amp;refID=7127992&amp;Result=3","7127992")</f>
        <v>0</v>
      </c>
      <c r="B11369" t="s">
        <v>2697</v>
      </c>
      <c r="C11369" t="s">
        <v>14554</v>
      </c>
      <c r="D11369" t="s">
        <v>17973</v>
      </c>
      <c r="E11369" t="s">
        <v>27853</v>
      </c>
      <c r="F11369" t="s">
        <v>30900</v>
      </c>
      <c r="G11369" t="s">
        <v>30907</v>
      </c>
      <c r="H11369" t="s">
        <v>30915</v>
      </c>
      <c r="I11369" t="s">
        <v>30919</v>
      </c>
      <c r="J11369" t="s">
        <v>31066</v>
      </c>
      <c r="K11369" t="s">
        <v>40293</v>
      </c>
      <c r="M11369" t="s">
        <v>44186</v>
      </c>
      <c r="N11369" t="s">
        <v>44759</v>
      </c>
      <c r="O11369" t="s">
        <v>44760</v>
      </c>
      <c r="P11369">
        <v>0</v>
      </c>
      <c r="Q11369">
        <v>1</v>
      </c>
      <c r="R11369" t="s">
        <v>44774</v>
      </c>
      <c r="S11369" t="s">
        <v>45266</v>
      </c>
      <c r="T11369" t="s">
        <v>46466</v>
      </c>
      <c r="U11369" t="s">
        <v>55827</v>
      </c>
      <c r="W11369" t="s">
        <v>44186</v>
      </c>
      <c r="X11369" t="s">
        <v>44775</v>
      </c>
    </row>
    <row r="11370" spans="1:24">
      <c r="A11370">
        <f>HYPERLINK("https://www.philgeps.gov.ph/GEPSNONPILOT/Tender/SplashBidNoticeAbstractUI.aspx?menuIndex=3&amp;refID=7127990&amp;Result=3","7127990")</f>
        <v>0</v>
      </c>
      <c r="B11370" t="s">
        <v>2063</v>
      </c>
      <c r="C11370" t="s">
        <v>14555</v>
      </c>
      <c r="D11370" t="s">
        <v>17977</v>
      </c>
      <c r="E11370" t="s">
        <v>27854</v>
      </c>
      <c r="F11370" t="s">
        <v>30900</v>
      </c>
      <c r="G11370" t="s">
        <v>30907</v>
      </c>
      <c r="H11370" t="s">
        <v>30915</v>
      </c>
      <c r="I11370" t="s">
        <v>30919</v>
      </c>
      <c r="J11370" t="s">
        <v>38120</v>
      </c>
      <c r="K11370" t="s">
        <v>40289</v>
      </c>
      <c r="L11370" t="s">
        <v>2063</v>
      </c>
      <c r="M11370" t="s">
        <v>43801</v>
      </c>
      <c r="N11370" t="s">
        <v>44759</v>
      </c>
      <c r="O11370" t="s">
        <v>44760</v>
      </c>
      <c r="P11370">
        <v>0</v>
      </c>
      <c r="Q11370">
        <v>2</v>
      </c>
      <c r="R11370" t="s">
        <v>44774</v>
      </c>
      <c r="S11370" t="s">
        <v>45266</v>
      </c>
      <c r="T11370" t="s">
        <v>46353</v>
      </c>
      <c r="U11370" t="s">
        <v>56258</v>
      </c>
      <c r="V11370" t="s">
        <v>60156</v>
      </c>
      <c r="W11370" t="s">
        <v>43801</v>
      </c>
      <c r="X11370" t="s">
        <v>44775</v>
      </c>
    </row>
    <row r="11371" spans="1:24">
      <c r="A11371">
        <f>HYPERLINK("https://www.philgeps.gov.ph/GEPSNONPILOT/Tender/SplashBidNoticeAbstractUI.aspx?menuIndex=3&amp;refID=7128073&amp;Result=3","7128073")</f>
        <v>0</v>
      </c>
      <c r="B11371" t="s">
        <v>2697</v>
      </c>
      <c r="C11371" t="s">
        <v>14556</v>
      </c>
      <c r="D11371" t="s">
        <v>17973</v>
      </c>
      <c r="E11371" t="s">
        <v>27855</v>
      </c>
      <c r="F11371" t="s">
        <v>30900</v>
      </c>
      <c r="G11371" t="s">
        <v>30907</v>
      </c>
      <c r="H11371" t="s">
        <v>30915</v>
      </c>
      <c r="I11371" t="s">
        <v>30919</v>
      </c>
      <c r="J11371" t="s">
        <v>32276</v>
      </c>
      <c r="K11371" t="s">
        <v>40498</v>
      </c>
      <c r="M11371" t="s">
        <v>44186</v>
      </c>
      <c r="N11371" t="s">
        <v>44759</v>
      </c>
      <c r="O11371" t="s">
        <v>44760</v>
      </c>
      <c r="P11371">
        <v>0</v>
      </c>
      <c r="Q11371">
        <v>0</v>
      </c>
      <c r="R11371" t="s">
        <v>44774</v>
      </c>
      <c r="S11371" t="s">
        <v>45266</v>
      </c>
      <c r="T11371" t="s">
        <v>46466</v>
      </c>
      <c r="U11371" t="s">
        <v>55827</v>
      </c>
      <c r="W11371" t="s">
        <v>44186</v>
      </c>
      <c r="X11371" t="s">
        <v>44775</v>
      </c>
    </row>
    <row r="11372" spans="1:24">
      <c r="A11372">
        <f>HYPERLINK("https://www.philgeps.gov.ph/GEPSNONPILOT/Tender/SplashBidNoticeAbstractUI.aspx?menuIndex=3&amp;refID=7128069&amp;Result=3","7128069")</f>
        <v>0</v>
      </c>
      <c r="B11372" t="s">
        <v>237</v>
      </c>
      <c r="C11372" t="s">
        <v>14557</v>
      </c>
      <c r="E11372" t="s">
        <v>27856</v>
      </c>
      <c r="F11372" t="s">
        <v>30900</v>
      </c>
      <c r="G11372" t="s">
        <v>30907</v>
      </c>
      <c r="H11372" t="s">
        <v>30916</v>
      </c>
      <c r="I11372" t="s">
        <v>30929</v>
      </c>
      <c r="J11372" t="s">
        <v>38121</v>
      </c>
      <c r="K11372" t="s">
        <v>40289</v>
      </c>
      <c r="M11372" t="s">
        <v>44204</v>
      </c>
      <c r="N11372" t="s">
        <v>44759</v>
      </c>
      <c r="O11372" t="s">
        <v>44760</v>
      </c>
      <c r="P11372">
        <v>0</v>
      </c>
      <c r="Q11372">
        <v>27</v>
      </c>
      <c r="R11372" t="s">
        <v>44774</v>
      </c>
      <c r="S11372" t="s">
        <v>45266</v>
      </c>
      <c r="T11372" t="s">
        <v>46725</v>
      </c>
      <c r="U11372" t="s">
        <v>56289</v>
      </c>
      <c r="W11372" t="s">
        <v>44204</v>
      </c>
      <c r="X11372" t="s">
        <v>44775</v>
      </c>
    </row>
    <row r="11373" spans="1:24">
      <c r="A11373">
        <f>HYPERLINK("https://www.philgeps.gov.ph/GEPSNONPILOT/Tender/SplashBidNoticeAbstractUI.aspx?menuIndex=3&amp;refID=7127973&amp;Result=3","7127973")</f>
        <v>0</v>
      </c>
      <c r="B11373" t="s">
        <v>1396</v>
      </c>
      <c r="C11373" t="s">
        <v>14558</v>
      </c>
      <c r="E11373" t="s">
        <v>20208</v>
      </c>
      <c r="F11373" t="s">
        <v>30900</v>
      </c>
      <c r="G11373" t="s">
        <v>30907</v>
      </c>
      <c r="H11373" t="s">
        <v>30915</v>
      </c>
      <c r="I11373" t="s">
        <v>30919</v>
      </c>
      <c r="J11373" t="s">
        <v>34841</v>
      </c>
      <c r="K11373" t="s">
        <v>40342</v>
      </c>
      <c r="M11373" t="s">
        <v>42022</v>
      </c>
      <c r="N11373" t="s">
        <v>44759</v>
      </c>
      <c r="O11373" t="s">
        <v>44760</v>
      </c>
      <c r="P11373">
        <v>0</v>
      </c>
      <c r="Q11373">
        <v>0</v>
      </c>
      <c r="R11373" t="s">
        <v>44774</v>
      </c>
      <c r="S11373" t="s">
        <v>45266</v>
      </c>
      <c r="T11373" t="s">
        <v>46353</v>
      </c>
      <c r="U11373" t="s">
        <v>56262</v>
      </c>
      <c r="W11373" t="s">
        <v>42029</v>
      </c>
      <c r="X11373" t="s">
        <v>44775</v>
      </c>
    </row>
    <row r="11374" spans="1:24">
      <c r="A11374">
        <f>HYPERLINK("https://www.philgeps.gov.ph/GEPSNONPILOT/Tender/SplashBidNoticeAbstractUI.aspx?menuIndex=3&amp;refID=7127876&amp;Result=3","7127876")</f>
        <v>0</v>
      </c>
      <c r="B11374" t="s">
        <v>702</v>
      </c>
      <c r="C11374" t="s">
        <v>14559</v>
      </c>
      <c r="D11374" t="s">
        <v>17952</v>
      </c>
      <c r="E11374" t="s">
        <v>27857</v>
      </c>
      <c r="F11374" t="s">
        <v>30900</v>
      </c>
      <c r="G11374" t="s">
        <v>30907</v>
      </c>
      <c r="H11374" t="s">
        <v>30916</v>
      </c>
      <c r="I11374" t="s">
        <v>4142</v>
      </c>
      <c r="J11374" t="s">
        <v>38122</v>
      </c>
      <c r="K11374" t="s">
        <v>40286</v>
      </c>
      <c r="M11374" t="s">
        <v>41266</v>
      </c>
      <c r="N11374" t="s">
        <v>44759</v>
      </c>
      <c r="O11374" t="s">
        <v>44760</v>
      </c>
      <c r="P11374">
        <v>0</v>
      </c>
      <c r="Q11374">
        <v>0</v>
      </c>
      <c r="R11374" t="s">
        <v>44774</v>
      </c>
      <c r="S11374" t="s">
        <v>45266</v>
      </c>
      <c r="T11374" t="s">
        <v>46352</v>
      </c>
      <c r="U11374" t="s">
        <v>56290</v>
      </c>
      <c r="W11374" t="s">
        <v>41266</v>
      </c>
      <c r="X11374" t="s">
        <v>44775</v>
      </c>
    </row>
    <row r="11375" spans="1:24">
      <c r="A11375">
        <f>HYPERLINK("https://www.philgeps.gov.ph/GEPSNONPILOT/Tender/SplashBidNoticeAbstractUI.aspx?menuIndex=3&amp;refID=7127788&amp;Result=3","7127788")</f>
        <v>0</v>
      </c>
      <c r="B11375" t="s">
        <v>186</v>
      </c>
      <c r="C11375" t="s">
        <v>14560</v>
      </c>
      <c r="D11375" t="s">
        <v>17957</v>
      </c>
      <c r="E11375" t="s">
        <v>24727</v>
      </c>
      <c r="F11375" t="s">
        <v>30900</v>
      </c>
      <c r="G11375" t="s">
        <v>30907</v>
      </c>
      <c r="H11375" t="s">
        <v>30915</v>
      </c>
      <c r="I11375" t="s">
        <v>30919</v>
      </c>
      <c r="J11375" t="s">
        <v>31211</v>
      </c>
      <c r="K11375" t="s">
        <v>40286</v>
      </c>
      <c r="M11375" t="s">
        <v>40733</v>
      </c>
      <c r="N11375" t="s">
        <v>44759</v>
      </c>
      <c r="O11375" t="s">
        <v>44760</v>
      </c>
      <c r="P11375">
        <v>0</v>
      </c>
      <c r="Q11375">
        <v>0</v>
      </c>
      <c r="R11375" t="s">
        <v>44774</v>
      </c>
      <c r="S11375" t="s">
        <v>45266</v>
      </c>
      <c r="T11375" t="s">
        <v>46418</v>
      </c>
      <c r="U11375" t="s">
        <v>56291</v>
      </c>
      <c r="V11375" t="s">
        <v>60403</v>
      </c>
      <c r="W11375" t="s">
        <v>40733</v>
      </c>
      <c r="X11375" t="s">
        <v>44775</v>
      </c>
    </row>
    <row r="11376" spans="1:24">
      <c r="A11376">
        <f>HYPERLINK("https://www.philgeps.gov.ph/GEPSNONPILOT/Tender/SplashBidNoticeAbstractUI.aspx?menuIndex=3&amp;refID=7127786&amp;Result=3","7127786")</f>
        <v>0</v>
      </c>
      <c r="B11376" t="s">
        <v>702</v>
      </c>
      <c r="C11376" t="s">
        <v>14561</v>
      </c>
      <c r="D11376" t="s">
        <v>17952</v>
      </c>
      <c r="E11376" t="s">
        <v>27858</v>
      </c>
      <c r="F11376" t="s">
        <v>30900</v>
      </c>
      <c r="G11376" t="s">
        <v>30907</v>
      </c>
      <c r="H11376" t="s">
        <v>30916</v>
      </c>
      <c r="I11376" t="s">
        <v>4142</v>
      </c>
      <c r="J11376" t="s">
        <v>31105</v>
      </c>
      <c r="K11376" t="s">
        <v>40286</v>
      </c>
      <c r="M11376" t="s">
        <v>41266</v>
      </c>
      <c r="N11376" t="s">
        <v>44759</v>
      </c>
      <c r="O11376" t="s">
        <v>44760</v>
      </c>
      <c r="P11376">
        <v>0</v>
      </c>
      <c r="Q11376">
        <v>3</v>
      </c>
      <c r="R11376" t="s">
        <v>44774</v>
      </c>
      <c r="S11376" t="s">
        <v>45266</v>
      </c>
      <c r="T11376" t="s">
        <v>46352</v>
      </c>
      <c r="U11376" t="s">
        <v>56292</v>
      </c>
      <c r="W11376" t="s">
        <v>41266</v>
      </c>
      <c r="X11376" t="s">
        <v>44775</v>
      </c>
    </row>
    <row r="11377" spans="1:24">
      <c r="A11377">
        <f>HYPERLINK("https://www.philgeps.gov.ph/GEPSNONPILOT/Tender/SplashBidNoticeAbstractUI.aspx?menuIndex=3&amp;refID=7127776&amp;Result=3","7127776")</f>
        <v>0</v>
      </c>
      <c r="B11377" t="s">
        <v>2056</v>
      </c>
      <c r="C11377" t="s">
        <v>14562</v>
      </c>
      <c r="D11377" t="s">
        <v>17999</v>
      </c>
      <c r="E11377" t="s">
        <v>27859</v>
      </c>
      <c r="F11377" t="s">
        <v>30900</v>
      </c>
      <c r="G11377" t="s">
        <v>30907</v>
      </c>
      <c r="H11377" t="s">
        <v>30915</v>
      </c>
      <c r="I11377" t="s">
        <v>30919</v>
      </c>
      <c r="J11377" t="s">
        <v>31391</v>
      </c>
      <c r="K11377" t="s">
        <v>40289</v>
      </c>
      <c r="M11377" t="s">
        <v>42755</v>
      </c>
      <c r="N11377" t="s">
        <v>44759</v>
      </c>
      <c r="O11377" t="s">
        <v>44760</v>
      </c>
      <c r="P11377">
        <v>0</v>
      </c>
      <c r="Q11377">
        <v>0</v>
      </c>
      <c r="R11377" t="s">
        <v>44774</v>
      </c>
      <c r="S11377" t="s">
        <v>45266</v>
      </c>
      <c r="T11377" t="s">
        <v>46418</v>
      </c>
      <c r="U11377" t="s">
        <v>56293</v>
      </c>
      <c r="W11377" t="s">
        <v>42755</v>
      </c>
      <c r="X11377" t="s">
        <v>44775</v>
      </c>
    </row>
    <row r="11378" spans="1:24">
      <c r="A11378">
        <f>HYPERLINK("https://www.philgeps.gov.ph/GEPSNONPILOT/Tender/SplashBidNoticeAbstractUI.aspx?menuIndex=3&amp;refID=7127979&amp;Result=3","7127979")</f>
        <v>0</v>
      </c>
      <c r="B11378" t="s">
        <v>3341</v>
      </c>
      <c r="C11378" t="s">
        <v>14563</v>
      </c>
      <c r="D11378" t="s">
        <v>17997</v>
      </c>
      <c r="E11378" t="s">
        <v>27860</v>
      </c>
      <c r="F11378" t="s">
        <v>30900</v>
      </c>
      <c r="G11378" t="s">
        <v>30907</v>
      </c>
      <c r="H11378" t="s">
        <v>30916</v>
      </c>
      <c r="I11378" t="s">
        <v>30948</v>
      </c>
      <c r="J11378" t="s">
        <v>31179</v>
      </c>
      <c r="K11378" t="s">
        <v>40286</v>
      </c>
      <c r="M11378" t="s">
        <v>44206</v>
      </c>
      <c r="N11378" t="s">
        <v>44759</v>
      </c>
      <c r="O11378" t="s">
        <v>44760</v>
      </c>
      <c r="P11378">
        <v>0</v>
      </c>
      <c r="Q11378">
        <v>0</v>
      </c>
      <c r="R11378" t="s">
        <v>44774</v>
      </c>
      <c r="S11378" t="s">
        <v>45266</v>
      </c>
      <c r="T11378" t="s">
        <v>46361</v>
      </c>
      <c r="U11378" t="s">
        <v>56294</v>
      </c>
      <c r="W11378" t="s">
        <v>44206</v>
      </c>
      <c r="X11378" t="s">
        <v>44775</v>
      </c>
    </row>
    <row r="11379" spans="1:24">
      <c r="A11379">
        <f>HYPERLINK("https://www.philgeps.gov.ph/GEPSNONPILOT/Tender/SplashBidNoticeAbstractUI.aspx?menuIndex=3&amp;refID=7127989&amp;Result=3","7127989")</f>
        <v>0</v>
      </c>
      <c r="B11379" t="s">
        <v>3342</v>
      </c>
      <c r="C11379" t="s">
        <v>14564</v>
      </c>
      <c r="D11379" t="s">
        <v>17980</v>
      </c>
      <c r="E11379" t="s">
        <v>27861</v>
      </c>
      <c r="F11379" t="s">
        <v>30900</v>
      </c>
      <c r="G11379" t="s">
        <v>30907</v>
      </c>
      <c r="H11379" t="s">
        <v>30916</v>
      </c>
      <c r="I11379" t="s">
        <v>8123</v>
      </c>
      <c r="J11379" t="s">
        <v>38123</v>
      </c>
      <c r="K11379" t="s">
        <v>40289</v>
      </c>
      <c r="M11379" t="s">
        <v>44207</v>
      </c>
      <c r="N11379" t="s">
        <v>44759</v>
      </c>
      <c r="O11379" t="s">
        <v>44760</v>
      </c>
      <c r="P11379">
        <v>0</v>
      </c>
      <c r="Q11379">
        <v>0</v>
      </c>
      <c r="R11379" t="s">
        <v>44774</v>
      </c>
      <c r="S11379" t="s">
        <v>45266</v>
      </c>
      <c r="T11379" t="s">
        <v>46387</v>
      </c>
      <c r="U11379" t="s">
        <v>56295</v>
      </c>
      <c r="W11379" t="s">
        <v>44207</v>
      </c>
      <c r="X11379" t="s">
        <v>44775</v>
      </c>
    </row>
    <row r="11380" spans="1:24">
      <c r="A11380">
        <f>HYPERLINK("https://www.philgeps.gov.ph/GEPSNONPILOT/Tender/SplashBidNoticeAbstractUI.aspx?menuIndex=3&amp;refID=7128082&amp;Result=3","7128082")</f>
        <v>0</v>
      </c>
      <c r="B11380" t="s">
        <v>1332</v>
      </c>
      <c r="C11380" t="s">
        <v>14565</v>
      </c>
      <c r="D11380" t="s">
        <v>17996</v>
      </c>
      <c r="E11380" t="s">
        <v>27862</v>
      </c>
      <c r="F11380" t="s">
        <v>30900</v>
      </c>
      <c r="G11380" t="s">
        <v>30907</v>
      </c>
      <c r="H11380" t="s">
        <v>30915</v>
      </c>
      <c r="I11380" t="s">
        <v>30919</v>
      </c>
      <c r="J11380" t="s">
        <v>31101</v>
      </c>
      <c r="K11380" t="s">
        <v>40286</v>
      </c>
      <c r="M11380" t="s">
        <v>41952</v>
      </c>
      <c r="N11380" t="s">
        <v>44759</v>
      </c>
      <c r="O11380" t="s">
        <v>44760</v>
      </c>
      <c r="P11380">
        <v>0</v>
      </c>
      <c r="Q11380">
        <v>1</v>
      </c>
      <c r="R11380" t="s">
        <v>44774</v>
      </c>
      <c r="S11380" t="s">
        <v>45266</v>
      </c>
      <c r="T11380" t="s">
        <v>46418</v>
      </c>
      <c r="U11380" t="s">
        <v>56296</v>
      </c>
      <c r="W11380" t="s">
        <v>41952</v>
      </c>
      <c r="X11380" t="s">
        <v>44775</v>
      </c>
    </row>
    <row r="11381" spans="1:24">
      <c r="A11381">
        <f>HYPERLINK("https://www.philgeps.gov.ph/GEPSNONPILOT/Tender/SplashBidNoticeAbstractUI.aspx?menuIndex=3&amp;refID=7128101&amp;Result=3","7128101")</f>
        <v>0</v>
      </c>
      <c r="B11381" t="s">
        <v>237</v>
      </c>
      <c r="C11381" t="s">
        <v>14566</v>
      </c>
      <c r="E11381" t="s">
        <v>27863</v>
      </c>
      <c r="F11381" t="s">
        <v>30900</v>
      </c>
      <c r="G11381" t="s">
        <v>30907</v>
      </c>
      <c r="H11381" t="s">
        <v>30916</v>
      </c>
      <c r="I11381" t="s">
        <v>30921</v>
      </c>
      <c r="J11381" t="s">
        <v>38124</v>
      </c>
      <c r="K11381" t="s">
        <v>40289</v>
      </c>
      <c r="M11381" t="s">
        <v>44204</v>
      </c>
      <c r="N11381" t="s">
        <v>44759</v>
      </c>
      <c r="O11381" t="s">
        <v>44760</v>
      </c>
      <c r="P11381">
        <v>0</v>
      </c>
      <c r="Q11381">
        <v>8</v>
      </c>
      <c r="R11381" t="s">
        <v>44774</v>
      </c>
      <c r="S11381" t="s">
        <v>45266</v>
      </c>
      <c r="T11381" t="s">
        <v>46725</v>
      </c>
      <c r="U11381" t="s">
        <v>56297</v>
      </c>
      <c r="W11381" t="s">
        <v>44204</v>
      </c>
      <c r="X11381" t="s">
        <v>44775</v>
      </c>
    </row>
    <row r="11382" spans="1:24">
      <c r="A11382">
        <f>HYPERLINK("https://www.philgeps.gov.ph/GEPSNONPILOT/Tender/SplashBidNoticeAbstractUI.aspx?menuIndex=3&amp;refID=7128144&amp;Result=3","7128144")</f>
        <v>0</v>
      </c>
      <c r="B11382" t="s">
        <v>1203</v>
      </c>
      <c r="C11382" t="s">
        <v>14567</v>
      </c>
      <c r="D11382" t="s">
        <v>17953</v>
      </c>
      <c r="E11382" t="s">
        <v>27864</v>
      </c>
      <c r="F11382" t="s">
        <v>30900</v>
      </c>
      <c r="G11382" t="s">
        <v>30907</v>
      </c>
      <c r="H11382" t="s">
        <v>30915</v>
      </c>
      <c r="I11382" t="s">
        <v>30919</v>
      </c>
      <c r="J11382" t="s">
        <v>31937</v>
      </c>
      <c r="K11382" t="s">
        <v>40289</v>
      </c>
      <c r="M11382" t="s">
        <v>41814</v>
      </c>
      <c r="N11382" t="s">
        <v>44759</v>
      </c>
      <c r="O11382" t="s">
        <v>44760</v>
      </c>
      <c r="P11382">
        <v>0</v>
      </c>
      <c r="Q11382">
        <v>3</v>
      </c>
      <c r="R11382" t="s">
        <v>44774</v>
      </c>
      <c r="S11382" t="s">
        <v>45266</v>
      </c>
      <c r="T11382" t="s">
        <v>46387</v>
      </c>
      <c r="U11382" t="s">
        <v>56298</v>
      </c>
      <c r="V11382" t="s">
        <v>59431</v>
      </c>
      <c r="W11382" t="s">
        <v>41814</v>
      </c>
      <c r="X11382" t="s">
        <v>44775</v>
      </c>
    </row>
    <row r="11383" spans="1:24">
      <c r="A11383">
        <f>HYPERLINK("https://www.philgeps.gov.ph/GEPSNONPILOT/Tender/SplashBidNoticeAbstractUI.aspx?menuIndex=3&amp;refID=7128149&amp;Result=3","7128149")</f>
        <v>0</v>
      </c>
      <c r="B11383" t="s">
        <v>1332</v>
      </c>
      <c r="C11383" t="s">
        <v>14568</v>
      </c>
      <c r="D11383" t="s">
        <v>17996</v>
      </c>
      <c r="E11383" t="s">
        <v>27865</v>
      </c>
      <c r="F11383" t="s">
        <v>30900</v>
      </c>
      <c r="G11383" t="s">
        <v>30907</v>
      </c>
      <c r="H11383" t="s">
        <v>30915</v>
      </c>
      <c r="I11383" t="s">
        <v>30919</v>
      </c>
      <c r="J11383" t="s">
        <v>31297</v>
      </c>
      <c r="K11383" t="s">
        <v>40292</v>
      </c>
      <c r="M11383" t="s">
        <v>41952</v>
      </c>
      <c r="N11383" t="s">
        <v>44759</v>
      </c>
      <c r="O11383" t="s">
        <v>44760</v>
      </c>
      <c r="P11383">
        <v>0</v>
      </c>
      <c r="Q11383">
        <v>1</v>
      </c>
      <c r="R11383" t="s">
        <v>44774</v>
      </c>
      <c r="S11383" t="s">
        <v>45266</v>
      </c>
      <c r="T11383" t="s">
        <v>46418</v>
      </c>
      <c r="U11383" t="s">
        <v>56299</v>
      </c>
      <c r="W11383" t="s">
        <v>41952</v>
      </c>
      <c r="X11383" t="s">
        <v>44775</v>
      </c>
    </row>
    <row r="11384" spans="1:24">
      <c r="A11384">
        <f>HYPERLINK("https://www.philgeps.gov.ph/GEPSNONPILOT/Tender/SplashBidNoticeAbstractUI.aspx?menuIndex=3&amp;refID=7128186&amp;Result=3","7128186")</f>
        <v>0</v>
      </c>
      <c r="B11384" t="s">
        <v>237</v>
      </c>
      <c r="C11384" t="s">
        <v>14569</v>
      </c>
      <c r="E11384" t="s">
        <v>27866</v>
      </c>
      <c r="F11384" t="s">
        <v>30900</v>
      </c>
      <c r="G11384" t="s">
        <v>30907</v>
      </c>
      <c r="H11384" t="s">
        <v>30916</v>
      </c>
      <c r="I11384" t="s">
        <v>30921</v>
      </c>
      <c r="J11384" t="s">
        <v>36049</v>
      </c>
      <c r="K11384" t="s">
        <v>40289</v>
      </c>
      <c r="M11384" t="s">
        <v>44204</v>
      </c>
      <c r="N11384" t="s">
        <v>44759</v>
      </c>
      <c r="O11384" t="s">
        <v>44760</v>
      </c>
      <c r="P11384">
        <v>0</v>
      </c>
      <c r="Q11384">
        <v>9</v>
      </c>
      <c r="R11384" t="s">
        <v>44774</v>
      </c>
      <c r="S11384" t="s">
        <v>45266</v>
      </c>
      <c r="T11384" t="s">
        <v>46725</v>
      </c>
      <c r="U11384" t="s">
        <v>56300</v>
      </c>
      <c r="W11384" t="s">
        <v>44204</v>
      </c>
      <c r="X11384" t="s">
        <v>44775</v>
      </c>
    </row>
    <row r="11385" spans="1:24">
      <c r="A11385">
        <f>HYPERLINK("https://www.philgeps.gov.ph/GEPSNONPILOT/Tender/SplashBidNoticeAbstractUI.aspx?menuIndex=3&amp;refID=7128201&amp;Result=3","7128201")</f>
        <v>0</v>
      </c>
      <c r="B11385" t="s">
        <v>1203</v>
      </c>
      <c r="C11385" t="s">
        <v>14570</v>
      </c>
      <c r="D11385" t="s">
        <v>17953</v>
      </c>
      <c r="E11385" t="s">
        <v>27867</v>
      </c>
      <c r="F11385" t="s">
        <v>30900</v>
      </c>
      <c r="G11385" t="s">
        <v>30907</v>
      </c>
      <c r="H11385" t="s">
        <v>30915</v>
      </c>
      <c r="I11385" t="s">
        <v>30919</v>
      </c>
      <c r="J11385" t="s">
        <v>31937</v>
      </c>
      <c r="K11385" t="s">
        <v>40289</v>
      </c>
      <c r="M11385" t="s">
        <v>41814</v>
      </c>
      <c r="N11385" t="s">
        <v>44759</v>
      </c>
      <c r="O11385" t="s">
        <v>44760</v>
      </c>
      <c r="P11385">
        <v>0</v>
      </c>
      <c r="Q11385">
        <v>2</v>
      </c>
      <c r="R11385" t="s">
        <v>44774</v>
      </c>
      <c r="S11385" t="s">
        <v>45266</v>
      </c>
      <c r="T11385" t="s">
        <v>46387</v>
      </c>
      <c r="U11385" t="s">
        <v>56301</v>
      </c>
      <c r="V11385" t="s">
        <v>59431</v>
      </c>
      <c r="W11385" t="s">
        <v>41814</v>
      </c>
      <c r="X11385" t="s">
        <v>44775</v>
      </c>
    </row>
    <row r="11386" spans="1:24">
      <c r="A11386">
        <f>HYPERLINK("https://www.philgeps.gov.ph/GEPSNONPILOT/Tender/SplashBidNoticeAbstractUI.aspx?menuIndex=3&amp;refID=7128185&amp;Result=3","7128185")</f>
        <v>0</v>
      </c>
      <c r="B11386" t="s">
        <v>2063</v>
      </c>
      <c r="C11386" t="s">
        <v>14571</v>
      </c>
      <c r="D11386" t="s">
        <v>17977</v>
      </c>
      <c r="E11386" t="s">
        <v>27868</v>
      </c>
      <c r="F11386" t="s">
        <v>30900</v>
      </c>
      <c r="G11386" t="s">
        <v>30907</v>
      </c>
      <c r="H11386" t="s">
        <v>30916</v>
      </c>
      <c r="I11386" t="s">
        <v>4545</v>
      </c>
      <c r="J11386" t="s">
        <v>38125</v>
      </c>
      <c r="K11386" t="s">
        <v>40280</v>
      </c>
      <c r="L11386" t="s">
        <v>2063</v>
      </c>
      <c r="M11386" t="s">
        <v>42762</v>
      </c>
      <c r="N11386" t="s">
        <v>44759</v>
      </c>
      <c r="O11386" t="s">
        <v>44760</v>
      </c>
      <c r="P11386">
        <v>0</v>
      </c>
      <c r="Q11386">
        <v>13</v>
      </c>
      <c r="R11386" t="s">
        <v>44774</v>
      </c>
      <c r="S11386" t="s">
        <v>45266</v>
      </c>
      <c r="T11386" t="s">
        <v>46353</v>
      </c>
      <c r="U11386" t="s">
        <v>56275</v>
      </c>
      <c r="W11386" t="s">
        <v>42762</v>
      </c>
      <c r="X11386" t="s">
        <v>44775</v>
      </c>
    </row>
    <row r="11387" spans="1:24">
      <c r="A11387">
        <f>HYPERLINK("https://www.philgeps.gov.ph/GEPSNONPILOT/Tender/SplashBidNoticeAbstractUI.aspx?menuIndex=3&amp;refID=7128176&amp;Result=3","7128176")</f>
        <v>0</v>
      </c>
      <c r="B11387" t="s">
        <v>767</v>
      </c>
      <c r="C11387" t="s">
        <v>14572</v>
      </c>
      <c r="D11387" t="s">
        <v>18020</v>
      </c>
      <c r="E11387" t="s">
        <v>27869</v>
      </c>
      <c r="F11387" t="s">
        <v>30900</v>
      </c>
      <c r="G11387" t="s">
        <v>30907</v>
      </c>
      <c r="H11387" t="s">
        <v>30917</v>
      </c>
      <c r="I11387" t="s">
        <v>30942</v>
      </c>
      <c r="J11387" t="s">
        <v>38126</v>
      </c>
      <c r="K11387" t="s">
        <v>40366</v>
      </c>
      <c r="M11387" t="s">
        <v>41333</v>
      </c>
      <c r="N11387" t="s">
        <v>44759</v>
      </c>
      <c r="O11387" t="s">
        <v>44760</v>
      </c>
      <c r="P11387">
        <v>0</v>
      </c>
      <c r="Q11387">
        <v>1</v>
      </c>
      <c r="R11387" t="s">
        <v>44774</v>
      </c>
      <c r="S11387" t="s">
        <v>45266</v>
      </c>
      <c r="T11387" t="s">
        <v>46425</v>
      </c>
      <c r="U11387" t="s">
        <v>56302</v>
      </c>
      <c r="V11387" t="s">
        <v>60404</v>
      </c>
      <c r="W11387" t="s">
        <v>41333</v>
      </c>
      <c r="X11387" t="s">
        <v>44775</v>
      </c>
    </row>
    <row r="11388" spans="1:24">
      <c r="A11388">
        <f>HYPERLINK("https://www.philgeps.gov.ph/GEPSNONPILOT/Tender/SplashBidNoticeAbstractUI.aspx?menuIndex=3&amp;refID=7128171&amp;Result=3","7128171")</f>
        <v>0</v>
      </c>
      <c r="B11388" t="s">
        <v>573</v>
      </c>
      <c r="C11388" t="s">
        <v>14573</v>
      </c>
      <c r="D11388" t="s">
        <v>18023</v>
      </c>
      <c r="E11388" t="s">
        <v>27870</v>
      </c>
      <c r="F11388" t="s">
        <v>30900</v>
      </c>
      <c r="G11388" t="s">
        <v>30907</v>
      </c>
      <c r="H11388" t="s">
        <v>30916</v>
      </c>
      <c r="I11388" t="s">
        <v>30934</v>
      </c>
      <c r="J11388" t="s">
        <v>38127</v>
      </c>
      <c r="K11388" t="s">
        <v>40304</v>
      </c>
      <c r="M11388" t="s">
        <v>41141</v>
      </c>
      <c r="N11388" t="s">
        <v>44759</v>
      </c>
      <c r="O11388" t="s">
        <v>44760</v>
      </c>
      <c r="Q11388">
        <v>4</v>
      </c>
      <c r="R11388" t="s">
        <v>44774</v>
      </c>
      <c r="S11388" t="s">
        <v>45320</v>
      </c>
      <c r="T11388" t="s">
        <v>46406</v>
      </c>
      <c r="U11388" t="s">
        <v>56303</v>
      </c>
      <c r="V11388" t="s">
        <v>60405</v>
      </c>
      <c r="W11388" t="s">
        <v>41141</v>
      </c>
      <c r="X11388" t="s">
        <v>44775</v>
      </c>
    </row>
    <row r="11389" spans="1:24">
      <c r="A11389">
        <f>HYPERLINK("https://www.philgeps.gov.ph/GEPSNONPILOT/Tender/SplashBidNoticeAbstractUI.aspx?menuIndex=3&amp;refID=7128160&amp;Result=3","7128160")</f>
        <v>0</v>
      </c>
      <c r="B11389" t="s">
        <v>537</v>
      </c>
      <c r="C11389" t="s">
        <v>14574</v>
      </c>
      <c r="D11389" t="s">
        <v>17978</v>
      </c>
      <c r="E11389" t="s">
        <v>27871</v>
      </c>
      <c r="F11389" t="s">
        <v>30900</v>
      </c>
      <c r="G11389" t="s">
        <v>30907</v>
      </c>
      <c r="H11389" t="s">
        <v>30916</v>
      </c>
      <c r="I11389" t="s">
        <v>5501</v>
      </c>
      <c r="J11389" t="s">
        <v>38128</v>
      </c>
      <c r="K11389" t="s">
        <v>40286</v>
      </c>
      <c r="M11389" t="s">
        <v>41097</v>
      </c>
      <c r="N11389" t="s">
        <v>44759</v>
      </c>
      <c r="O11389" t="s">
        <v>44760</v>
      </c>
      <c r="P11389">
        <v>0</v>
      </c>
      <c r="Q11389">
        <v>0</v>
      </c>
      <c r="R11389" t="s">
        <v>44774</v>
      </c>
      <c r="S11389" t="s">
        <v>45266</v>
      </c>
      <c r="T11389" t="s">
        <v>46409</v>
      </c>
      <c r="U11389" t="s">
        <v>56304</v>
      </c>
      <c r="V11389" t="s">
        <v>60402</v>
      </c>
      <c r="W11389" t="s">
        <v>41097</v>
      </c>
      <c r="X11389" t="s">
        <v>44775</v>
      </c>
    </row>
    <row r="11390" spans="1:24">
      <c r="A11390">
        <f>HYPERLINK("https://www.philgeps.gov.ph/GEPSNONPILOT/Tender/SplashBidNoticeAbstractUI.aspx?menuIndex=3&amp;refID=7128159&amp;Result=3","7128159")</f>
        <v>0</v>
      </c>
      <c r="B11390" t="s">
        <v>1396</v>
      </c>
      <c r="C11390" t="s">
        <v>14575</v>
      </c>
      <c r="E11390" t="s">
        <v>20225</v>
      </c>
      <c r="F11390" t="s">
        <v>30900</v>
      </c>
      <c r="G11390" t="s">
        <v>30907</v>
      </c>
      <c r="H11390" t="s">
        <v>30915</v>
      </c>
      <c r="I11390" t="s">
        <v>30919</v>
      </c>
      <c r="J11390" t="s">
        <v>31243</v>
      </c>
      <c r="K11390" t="s">
        <v>40280</v>
      </c>
      <c r="M11390" t="s">
        <v>42022</v>
      </c>
      <c r="N11390" t="s">
        <v>44759</v>
      </c>
      <c r="O11390" t="s">
        <v>44760</v>
      </c>
      <c r="P11390">
        <v>0</v>
      </c>
      <c r="Q11390">
        <v>1</v>
      </c>
      <c r="R11390" t="s">
        <v>44774</v>
      </c>
      <c r="S11390" t="s">
        <v>45266</v>
      </c>
      <c r="T11390" t="s">
        <v>46353</v>
      </c>
      <c r="U11390" t="s">
        <v>56262</v>
      </c>
      <c r="W11390" t="s">
        <v>42029</v>
      </c>
      <c r="X11390" t="s">
        <v>44775</v>
      </c>
    </row>
    <row r="11391" spans="1:24">
      <c r="A11391">
        <f>HYPERLINK("https://www.philgeps.gov.ph/GEPSNONPILOT/Tender/SplashBidNoticeAbstractUI.aspx?menuIndex=3&amp;refID=7128155&amp;Result=3","7128155")</f>
        <v>0</v>
      </c>
      <c r="B11391" t="s">
        <v>526</v>
      </c>
      <c r="C11391" t="s">
        <v>14576</v>
      </c>
      <c r="D11391" t="s">
        <v>17984</v>
      </c>
      <c r="E11391" t="s">
        <v>27872</v>
      </c>
      <c r="F11391" t="s">
        <v>30900</v>
      </c>
      <c r="G11391" t="s">
        <v>30907</v>
      </c>
      <c r="H11391" t="s">
        <v>30915</v>
      </c>
      <c r="I11391" t="s">
        <v>30919</v>
      </c>
      <c r="J11391" t="s">
        <v>38129</v>
      </c>
      <c r="K11391" t="s">
        <v>40449</v>
      </c>
      <c r="M11391" t="s">
        <v>41086</v>
      </c>
      <c r="N11391" t="s">
        <v>44759</v>
      </c>
      <c r="O11391" t="s">
        <v>44760</v>
      </c>
      <c r="P11391">
        <v>0</v>
      </c>
      <c r="Q11391">
        <v>2</v>
      </c>
      <c r="R11391" t="s">
        <v>44774</v>
      </c>
      <c r="S11391" t="s">
        <v>45266</v>
      </c>
      <c r="T11391" t="s">
        <v>46421</v>
      </c>
      <c r="U11391" t="s">
        <v>54253</v>
      </c>
      <c r="W11391" t="s">
        <v>41086</v>
      </c>
      <c r="X11391" t="s">
        <v>44775</v>
      </c>
    </row>
    <row r="11392" spans="1:24">
      <c r="A11392">
        <f>HYPERLINK("https://www.philgeps.gov.ph/GEPSNONPILOT/Tender/SplashBidNoticeAbstractUI.aspx?menuIndex=3&amp;refID=7128235&amp;Result=3","7128235")</f>
        <v>0</v>
      </c>
      <c r="B11392" t="s">
        <v>708</v>
      </c>
      <c r="C11392" t="s">
        <v>14577</v>
      </c>
      <c r="E11392" t="s">
        <v>27873</v>
      </c>
      <c r="F11392" t="s">
        <v>30900</v>
      </c>
      <c r="G11392" t="s">
        <v>30907</v>
      </c>
      <c r="H11392" t="s">
        <v>30916</v>
      </c>
      <c r="I11392" t="s">
        <v>4545</v>
      </c>
      <c r="J11392" t="s">
        <v>38130</v>
      </c>
      <c r="K11392" t="s">
        <v>40289</v>
      </c>
      <c r="M11392" t="s">
        <v>44208</v>
      </c>
      <c r="N11392" t="s">
        <v>44759</v>
      </c>
      <c r="O11392" t="s">
        <v>44760</v>
      </c>
      <c r="Q11392">
        <v>16</v>
      </c>
      <c r="R11392" t="s">
        <v>44774</v>
      </c>
      <c r="S11392" t="s">
        <v>45321</v>
      </c>
      <c r="T11392" t="s">
        <v>46409</v>
      </c>
      <c r="U11392" t="s">
        <v>56305</v>
      </c>
      <c r="W11392" t="s">
        <v>44208</v>
      </c>
      <c r="X11392" t="s">
        <v>44775</v>
      </c>
    </row>
    <row r="11393" spans="1:24">
      <c r="A11393">
        <f>HYPERLINK("https://www.philgeps.gov.ph/GEPSNONPILOT/Tender/SplashBidNoticeAbstractUI.aspx?menuIndex=3&amp;refID=7128217&amp;Result=3","7128217")</f>
        <v>0</v>
      </c>
      <c r="B11393" t="s">
        <v>2152</v>
      </c>
      <c r="C11393" t="s">
        <v>14578</v>
      </c>
      <c r="E11393" t="s">
        <v>27874</v>
      </c>
      <c r="F11393" t="s">
        <v>30900</v>
      </c>
      <c r="G11393" t="s">
        <v>30907</v>
      </c>
      <c r="H11393" t="s">
        <v>30916</v>
      </c>
      <c r="I11393" t="s">
        <v>30923</v>
      </c>
      <c r="J11393" t="s">
        <v>38131</v>
      </c>
      <c r="K11393" t="s">
        <v>40291</v>
      </c>
      <c r="M11393" t="s">
        <v>43280</v>
      </c>
      <c r="N11393" t="s">
        <v>44759</v>
      </c>
      <c r="O11393" t="s">
        <v>44760</v>
      </c>
      <c r="P11393">
        <v>0</v>
      </c>
      <c r="Q11393">
        <v>3</v>
      </c>
      <c r="R11393" t="s">
        <v>44774</v>
      </c>
      <c r="S11393" t="s">
        <v>45266</v>
      </c>
      <c r="T11393" t="s">
        <v>46725</v>
      </c>
      <c r="U11393" t="s">
        <v>53166</v>
      </c>
      <c r="W11393" t="s">
        <v>43280</v>
      </c>
      <c r="X11393" t="s">
        <v>44775</v>
      </c>
    </row>
    <row r="11394" spans="1:24">
      <c r="A11394">
        <f>HYPERLINK("https://www.philgeps.gov.ph/GEPSNONPILOT/Tender/SplashBidNoticeAbstractUI.aspx?menuIndex=3&amp;refID=7128220&amp;Result=3","7128220")</f>
        <v>0</v>
      </c>
      <c r="B11394" t="s">
        <v>1204</v>
      </c>
      <c r="C11394" t="s">
        <v>14579</v>
      </c>
      <c r="D11394" t="s">
        <v>17963</v>
      </c>
      <c r="E11394" t="s">
        <v>27875</v>
      </c>
      <c r="F11394" t="s">
        <v>30900</v>
      </c>
      <c r="G11394" t="s">
        <v>30907</v>
      </c>
      <c r="H11394" t="s">
        <v>30916</v>
      </c>
      <c r="I11394" t="s">
        <v>4017</v>
      </c>
      <c r="J11394" t="s">
        <v>38132</v>
      </c>
      <c r="K11394" t="s">
        <v>40289</v>
      </c>
      <c r="M11394" t="s">
        <v>43719</v>
      </c>
      <c r="N11394" t="s">
        <v>44759</v>
      </c>
      <c r="O11394" t="s">
        <v>44760</v>
      </c>
      <c r="P11394">
        <v>0</v>
      </c>
      <c r="Q11394">
        <v>9</v>
      </c>
      <c r="R11394" t="s">
        <v>44774</v>
      </c>
      <c r="S11394" t="s">
        <v>45266</v>
      </c>
      <c r="T11394" t="s">
        <v>46557</v>
      </c>
      <c r="U11394" t="s">
        <v>56306</v>
      </c>
      <c r="W11394" t="s">
        <v>41815</v>
      </c>
      <c r="X11394" t="s">
        <v>44775</v>
      </c>
    </row>
    <row r="11395" spans="1:24">
      <c r="A11395">
        <f>HYPERLINK("https://www.philgeps.gov.ph/GEPSNONPILOT/Tender/SplashBidNoticeAbstractUI.aspx?menuIndex=3&amp;refID=7128189&amp;Result=3","7128189")</f>
        <v>0</v>
      </c>
      <c r="B11395" t="s">
        <v>3335</v>
      </c>
      <c r="C11395" t="s">
        <v>14580</v>
      </c>
      <c r="D11395" t="s">
        <v>17969</v>
      </c>
      <c r="E11395" t="s">
        <v>27876</v>
      </c>
      <c r="F11395" t="s">
        <v>30900</v>
      </c>
      <c r="G11395" t="s">
        <v>30907</v>
      </c>
      <c r="H11395" t="s">
        <v>30916</v>
      </c>
      <c r="I11395" t="s">
        <v>8123</v>
      </c>
      <c r="J11395" t="s">
        <v>38071</v>
      </c>
      <c r="K11395" t="s">
        <v>40283</v>
      </c>
      <c r="M11395" t="s">
        <v>44197</v>
      </c>
      <c r="N11395" t="s">
        <v>44759</v>
      </c>
      <c r="O11395" t="s">
        <v>44760</v>
      </c>
      <c r="P11395">
        <v>0</v>
      </c>
      <c r="Q11395">
        <v>0</v>
      </c>
      <c r="R11395" t="s">
        <v>44774</v>
      </c>
      <c r="S11395" t="s">
        <v>45266</v>
      </c>
      <c r="T11395" t="s">
        <v>46414</v>
      </c>
      <c r="U11395" t="s">
        <v>56236</v>
      </c>
      <c r="W11395" t="s">
        <v>44197</v>
      </c>
      <c r="X11395" t="s">
        <v>44775</v>
      </c>
    </row>
    <row r="11396" spans="1:24">
      <c r="A11396">
        <f>HYPERLINK("https://www.philgeps.gov.ph/GEPSNONPILOT/Tender/SplashBidNoticeAbstractUI.aspx?menuIndex=3&amp;refID=7128236&amp;Result=3","7128236")</f>
        <v>0</v>
      </c>
      <c r="B11396" t="s">
        <v>3335</v>
      </c>
      <c r="C11396" t="s">
        <v>14581</v>
      </c>
      <c r="D11396" t="s">
        <v>17969</v>
      </c>
      <c r="E11396" t="s">
        <v>27877</v>
      </c>
      <c r="F11396" t="s">
        <v>30900</v>
      </c>
      <c r="G11396" t="s">
        <v>30907</v>
      </c>
      <c r="H11396" t="s">
        <v>30916</v>
      </c>
      <c r="I11396" t="s">
        <v>8123</v>
      </c>
      <c r="J11396" t="s">
        <v>38071</v>
      </c>
      <c r="K11396" t="s">
        <v>40283</v>
      </c>
      <c r="M11396" t="s">
        <v>44197</v>
      </c>
      <c r="N11396" t="s">
        <v>44759</v>
      </c>
      <c r="O11396" t="s">
        <v>44760</v>
      </c>
      <c r="P11396">
        <v>0</v>
      </c>
      <c r="Q11396">
        <v>0</v>
      </c>
      <c r="R11396" t="s">
        <v>44774</v>
      </c>
      <c r="S11396" t="s">
        <v>45266</v>
      </c>
      <c r="T11396" t="s">
        <v>46414</v>
      </c>
      <c r="U11396" t="s">
        <v>56236</v>
      </c>
      <c r="W11396" t="s">
        <v>44197</v>
      </c>
      <c r="X11396" t="s">
        <v>44775</v>
      </c>
    </row>
    <row r="11397" spans="1:24">
      <c r="A11397">
        <f>HYPERLINK("https://www.philgeps.gov.ph/GEPSNONPILOT/Tender/SplashBidNoticeAbstractUI.aspx?menuIndex=3&amp;refID=7128216&amp;Result=3","7128216")</f>
        <v>0</v>
      </c>
      <c r="B11397" t="s">
        <v>1396</v>
      </c>
      <c r="C11397" t="s">
        <v>14582</v>
      </c>
      <c r="E11397" t="s">
        <v>20228</v>
      </c>
      <c r="F11397" t="s">
        <v>30900</v>
      </c>
      <c r="G11397" t="s">
        <v>30907</v>
      </c>
      <c r="H11397" t="s">
        <v>30915</v>
      </c>
      <c r="I11397" t="s">
        <v>30919</v>
      </c>
      <c r="J11397" t="s">
        <v>38133</v>
      </c>
      <c r="K11397" t="s">
        <v>40292</v>
      </c>
      <c r="M11397" t="s">
        <v>42022</v>
      </c>
      <c r="N11397" t="s">
        <v>44759</v>
      </c>
      <c r="O11397" t="s">
        <v>44760</v>
      </c>
      <c r="P11397">
        <v>0</v>
      </c>
      <c r="Q11397">
        <v>0</v>
      </c>
      <c r="R11397" t="s">
        <v>44774</v>
      </c>
      <c r="S11397" t="s">
        <v>45266</v>
      </c>
      <c r="T11397" t="s">
        <v>46353</v>
      </c>
      <c r="U11397" t="s">
        <v>56262</v>
      </c>
      <c r="W11397" t="s">
        <v>42029</v>
      </c>
      <c r="X11397" t="s">
        <v>44775</v>
      </c>
    </row>
    <row r="11398" spans="1:24">
      <c r="A11398">
        <f>HYPERLINK("https://www.philgeps.gov.ph/GEPSNONPILOT/Tender/SplashBidNoticeAbstractUI.aspx?menuIndex=3&amp;refID=7128259&amp;Result=3","7128259")</f>
        <v>0</v>
      </c>
      <c r="B11398" t="s">
        <v>708</v>
      </c>
      <c r="C11398" t="s">
        <v>14583</v>
      </c>
      <c r="E11398" t="s">
        <v>27878</v>
      </c>
      <c r="F11398" t="s">
        <v>30900</v>
      </c>
      <c r="G11398" t="s">
        <v>30907</v>
      </c>
      <c r="H11398" t="s">
        <v>30916</v>
      </c>
      <c r="I11398" t="s">
        <v>30924</v>
      </c>
      <c r="J11398" t="s">
        <v>38134</v>
      </c>
      <c r="K11398" t="s">
        <v>40289</v>
      </c>
      <c r="M11398" t="s">
        <v>44208</v>
      </c>
      <c r="N11398" t="s">
        <v>44759</v>
      </c>
      <c r="O11398" t="s">
        <v>44760</v>
      </c>
      <c r="P11398">
        <v>0</v>
      </c>
      <c r="Q11398">
        <v>8</v>
      </c>
      <c r="R11398" t="s">
        <v>44774</v>
      </c>
      <c r="S11398" t="s">
        <v>45266</v>
      </c>
      <c r="T11398" t="s">
        <v>46409</v>
      </c>
      <c r="U11398" t="s">
        <v>56307</v>
      </c>
      <c r="W11398" t="s">
        <v>44208</v>
      </c>
      <c r="X11398" t="s">
        <v>44775</v>
      </c>
    </row>
    <row r="11399" spans="1:24">
      <c r="A11399">
        <f>HYPERLINK("https://www.philgeps.gov.ph/GEPSNONPILOT/Tender/SplashBidNoticeAbstractUI.aspx?menuIndex=3&amp;refID=7128193&amp;Result=3","7128193")</f>
        <v>0</v>
      </c>
      <c r="B11399" t="s">
        <v>3343</v>
      </c>
      <c r="C11399" t="s">
        <v>14584</v>
      </c>
      <c r="D11399" t="s">
        <v>17954</v>
      </c>
      <c r="E11399" t="s">
        <v>18158</v>
      </c>
      <c r="F11399" t="s">
        <v>30900</v>
      </c>
      <c r="G11399" t="s">
        <v>30907</v>
      </c>
      <c r="H11399" t="s">
        <v>30915</v>
      </c>
      <c r="I11399" t="s">
        <v>30919</v>
      </c>
      <c r="J11399" t="s">
        <v>31049</v>
      </c>
      <c r="K11399" t="s">
        <v>40286</v>
      </c>
      <c r="M11399" t="s">
        <v>44209</v>
      </c>
      <c r="N11399" t="s">
        <v>44759</v>
      </c>
      <c r="O11399" t="s">
        <v>44760</v>
      </c>
      <c r="P11399">
        <v>0</v>
      </c>
      <c r="Q11399">
        <v>0</v>
      </c>
      <c r="R11399" t="s">
        <v>44774</v>
      </c>
      <c r="S11399" t="s">
        <v>45266</v>
      </c>
      <c r="T11399" t="s">
        <v>46356</v>
      </c>
      <c r="U11399" t="s">
        <v>56308</v>
      </c>
      <c r="W11399" t="s">
        <v>44209</v>
      </c>
      <c r="X11399" t="s">
        <v>44775</v>
      </c>
    </row>
    <row r="11400" spans="1:24">
      <c r="A11400">
        <f>HYPERLINK("https://www.philgeps.gov.ph/GEPSNONPILOT/Tender/SplashBidNoticeAbstractUI.aspx?menuIndex=3&amp;refID=7128258&amp;Result=3","7128258")</f>
        <v>0</v>
      </c>
      <c r="B11400" t="s">
        <v>3335</v>
      </c>
      <c r="C11400" t="s">
        <v>14585</v>
      </c>
      <c r="D11400" t="s">
        <v>17969</v>
      </c>
      <c r="E11400" t="s">
        <v>27879</v>
      </c>
      <c r="F11400" t="s">
        <v>30900</v>
      </c>
      <c r="G11400" t="s">
        <v>30907</v>
      </c>
      <c r="H11400" t="s">
        <v>30916</v>
      </c>
      <c r="I11400" t="s">
        <v>8123</v>
      </c>
      <c r="J11400" t="s">
        <v>38071</v>
      </c>
      <c r="K11400" t="s">
        <v>40283</v>
      </c>
      <c r="M11400" t="s">
        <v>44197</v>
      </c>
      <c r="N11400" t="s">
        <v>44759</v>
      </c>
      <c r="O11400" t="s">
        <v>44760</v>
      </c>
      <c r="P11400">
        <v>0</v>
      </c>
      <c r="Q11400">
        <v>0</v>
      </c>
      <c r="R11400" t="s">
        <v>44774</v>
      </c>
      <c r="S11400" t="s">
        <v>45266</v>
      </c>
      <c r="T11400" t="s">
        <v>46414</v>
      </c>
      <c r="U11400" t="s">
        <v>56236</v>
      </c>
      <c r="W11400" t="s">
        <v>44197</v>
      </c>
      <c r="X11400" t="s">
        <v>44775</v>
      </c>
    </row>
    <row r="11401" spans="1:24">
      <c r="A11401">
        <f>HYPERLINK("https://www.philgeps.gov.ph/GEPSNONPILOT/Tender/SplashBidNoticeAbstractUI.aspx?menuIndex=3&amp;refID=7128254&amp;Result=3","7128254")</f>
        <v>0</v>
      </c>
      <c r="B11401" t="s">
        <v>1203</v>
      </c>
      <c r="C11401" t="s">
        <v>14586</v>
      </c>
      <c r="D11401" t="s">
        <v>17953</v>
      </c>
      <c r="E11401" t="s">
        <v>27880</v>
      </c>
      <c r="F11401" t="s">
        <v>30900</v>
      </c>
      <c r="G11401" t="s">
        <v>30907</v>
      </c>
      <c r="H11401" t="s">
        <v>30915</v>
      </c>
      <c r="I11401" t="s">
        <v>30919</v>
      </c>
      <c r="J11401" t="s">
        <v>31937</v>
      </c>
      <c r="K11401" t="s">
        <v>40289</v>
      </c>
      <c r="M11401" t="s">
        <v>41814</v>
      </c>
      <c r="N11401" t="s">
        <v>44759</v>
      </c>
      <c r="O11401" t="s">
        <v>44760</v>
      </c>
      <c r="P11401">
        <v>0</v>
      </c>
      <c r="Q11401">
        <v>3</v>
      </c>
      <c r="R11401" t="s">
        <v>44774</v>
      </c>
      <c r="S11401" t="s">
        <v>45266</v>
      </c>
      <c r="T11401" t="s">
        <v>46387</v>
      </c>
      <c r="U11401" t="s">
        <v>56309</v>
      </c>
      <c r="V11401" t="s">
        <v>59431</v>
      </c>
      <c r="W11401" t="s">
        <v>41814</v>
      </c>
      <c r="X11401" t="s">
        <v>44775</v>
      </c>
    </row>
    <row r="11402" spans="1:24">
      <c r="A11402">
        <f>HYPERLINK("https://www.philgeps.gov.ph/GEPSNONPILOT/Tender/SplashBidNoticeAbstractUI.aspx?menuIndex=3&amp;refID=7128266&amp;Result=3","7128266")</f>
        <v>0</v>
      </c>
      <c r="B11402" t="s">
        <v>237</v>
      </c>
      <c r="C11402" t="s">
        <v>14587</v>
      </c>
      <c r="E11402" t="s">
        <v>27881</v>
      </c>
      <c r="F11402" t="s">
        <v>30900</v>
      </c>
      <c r="G11402" t="s">
        <v>30907</v>
      </c>
      <c r="H11402" t="s">
        <v>30916</v>
      </c>
      <c r="I11402" t="s">
        <v>30933</v>
      </c>
      <c r="J11402" t="s">
        <v>38135</v>
      </c>
      <c r="K11402" t="s">
        <v>40289</v>
      </c>
      <c r="M11402" t="s">
        <v>44204</v>
      </c>
      <c r="N11402" t="s">
        <v>44759</v>
      </c>
      <c r="O11402" t="s">
        <v>44760</v>
      </c>
      <c r="P11402">
        <v>0</v>
      </c>
      <c r="Q11402">
        <v>2</v>
      </c>
      <c r="R11402" t="s">
        <v>44774</v>
      </c>
      <c r="S11402" t="s">
        <v>45266</v>
      </c>
      <c r="T11402" t="s">
        <v>46725</v>
      </c>
      <c r="U11402" t="s">
        <v>56310</v>
      </c>
      <c r="W11402" t="s">
        <v>44204</v>
      </c>
      <c r="X11402" t="s">
        <v>44775</v>
      </c>
    </row>
    <row r="11403" spans="1:24">
      <c r="A11403">
        <f>HYPERLINK("https://www.philgeps.gov.ph/GEPSNONPILOT/Tender/SplashBidNoticeAbstractUI.aspx?menuIndex=3&amp;refID=7128248&amp;Result=3","7128248")</f>
        <v>0</v>
      </c>
      <c r="B11403" t="s">
        <v>526</v>
      </c>
      <c r="C11403" t="s">
        <v>14588</v>
      </c>
      <c r="D11403" t="s">
        <v>17984</v>
      </c>
      <c r="E11403" t="s">
        <v>27882</v>
      </c>
      <c r="F11403" t="s">
        <v>30900</v>
      </c>
      <c r="G11403" t="s">
        <v>30907</v>
      </c>
      <c r="H11403" t="s">
        <v>30915</v>
      </c>
      <c r="I11403" t="s">
        <v>30919</v>
      </c>
      <c r="J11403" t="s">
        <v>38136</v>
      </c>
      <c r="K11403" t="s">
        <v>40386</v>
      </c>
      <c r="M11403" t="s">
        <v>41086</v>
      </c>
      <c r="N11403" t="s">
        <v>44759</v>
      </c>
      <c r="O11403" t="s">
        <v>44760</v>
      </c>
      <c r="P11403">
        <v>0</v>
      </c>
      <c r="Q11403">
        <v>1</v>
      </c>
      <c r="R11403" t="s">
        <v>44774</v>
      </c>
      <c r="S11403" t="s">
        <v>45266</v>
      </c>
      <c r="T11403" t="s">
        <v>46421</v>
      </c>
      <c r="U11403" t="s">
        <v>54253</v>
      </c>
      <c r="W11403" t="s">
        <v>41086</v>
      </c>
      <c r="X11403" t="s">
        <v>44775</v>
      </c>
    </row>
    <row r="11404" spans="1:24">
      <c r="A11404">
        <f>HYPERLINK("https://www.philgeps.gov.ph/GEPSNONPILOT/Tender/SplashBidNoticeAbstractUI.aspx?menuIndex=3&amp;refID=7128295&amp;Result=3","7128295")</f>
        <v>0</v>
      </c>
      <c r="B11404" t="s">
        <v>781</v>
      </c>
      <c r="C11404" t="s">
        <v>14589</v>
      </c>
      <c r="D11404" t="s">
        <v>17959</v>
      </c>
      <c r="E11404" t="s">
        <v>27883</v>
      </c>
      <c r="F11404" t="s">
        <v>30900</v>
      </c>
      <c r="G11404" t="s">
        <v>30907</v>
      </c>
      <c r="H11404" t="s">
        <v>30916</v>
      </c>
      <c r="I11404" t="s">
        <v>9385</v>
      </c>
      <c r="J11404" t="s">
        <v>38137</v>
      </c>
      <c r="K11404" t="s">
        <v>40284</v>
      </c>
      <c r="M11404" t="s">
        <v>44210</v>
      </c>
      <c r="N11404" t="s">
        <v>44759</v>
      </c>
      <c r="O11404" t="s">
        <v>44760</v>
      </c>
      <c r="P11404">
        <v>0</v>
      </c>
      <c r="Q11404">
        <v>10</v>
      </c>
      <c r="R11404" t="s">
        <v>44774</v>
      </c>
      <c r="S11404" t="s">
        <v>45266</v>
      </c>
      <c r="T11404" t="s">
        <v>46422</v>
      </c>
      <c r="U11404" t="s">
        <v>56311</v>
      </c>
      <c r="W11404" t="s">
        <v>44210</v>
      </c>
      <c r="X11404" t="s">
        <v>44775</v>
      </c>
    </row>
    <row r="11405" spans="1:24">
      <c r="A11405">
        <f>HYPERLINK("https://www.philgeps.gov.ph/GEPSNONPILOT/Tender/SplashBidNoticeAbstractUI.aspx?menuIndex=3&amp;refID=7128215&amp;Result=3","7128215")</f>
        <v>0</v>
      </c>
      <c r="B11405" t="s">
        <v>237</v>
      </c>
      <c r="C11405" t="s">
        <v>14590</v>
      </c>
      <c r="E11405" t="s">
        <v>27884</v>
      </c>
      <c r="F11405" t="s">
        <v>30900</v>
      </c>
      <c r="G11405" t="s">
        <v>30907</v>
      </c>
      <c r="H11405" t="s">
        <v>30916</v>
      </c>
      <c r="I11405" t="s">
        <v>30924</v>
      </c>
      <c r="J11405" t="s">
        <v>38138</v>
      </c>
      <c r="K11405" t="s">
        <v>40289</v>
      </c>
      <c r="M11405" t="s">
        <v>44204</v>
      </c>
      <c r="N11405" t="s">
        <v>44759</v>
      </c>
      <c r="O11405" t="s">
        <v>44760</v>
      </c>
      <c r="P11405">
        <v>0</v>
      </c>
      <c r="Q11405">
        <v>10</v>
      </c>
      <c r="R11405" t="s">
        <v>44774</v>
      </c>
      <c r="S11405" t="s">
        <v>45266</v>
      </c>
      <c r="T11405" t="s">
        <v>46725</v>
      </c>
      <c r="U11405" t="s">
        <v>56312</v>
      </c>
      <c r="W11405" t="s">
        <v>44204</v>
      </c>
      <c r="X11405" t="s">
        <v>44775</v>
      </c>
    </row>
    <row r="11406" spans="1:24">
      <c r="A11406">
        <f>HYPERLINK("https://www.philgeps.gov.ph/GEPSNONPILOT/Tender/SplashBidNoticeAbstractUI.aspx?menuIndex=3&amp;refID=7128290&amp;Result=3","7128290")</f>
        <v>0</v>
      </c>
      <c r="B11406" t="s">
        <v>237</v>
      </c>
      <c r="C11406" t="s">
        <v>14591</v>
      </c>
      <c r="E11406" t="s">
        <v>27885</v>
      </c>
      <c r="F11406" t="s">
        <v>30900</v>
      </c>
      <c r="G11406" t="s">
        <v>30907</v>
      </c>
      <c r="H11406" t="s">
        <v>30916</v>
      </c>
      <c r="I11406" t="s">
        <v>30933</v>
      </c>
      <c r="J11406" t="s">
        <v>33341</v>
      </c>
      <c r="K11406" t="s">
        <v>40289</v>
      </c>
      <c r="M11406" t="s">
        <v>44204</v>
      </c>
      <c r="N11406" t="s">
        <v>44759</v>
      </c>
      <c r="O11406" t="s">
        <v>44760</v>
      </c>
      <c r="P11406">
        <v>0</v>
      </c>
      <c r="Q11406">
        <v>1</v>
      </c>
      <c r="R11406" t="s">
        <v>44774</v>
      </c>
      <c r="S11406" t="s">
        <v>45266</v>
      </c>
      <c r="T11406" t="s">
        <v>46725</v>
      </c>
      <c r="U11406" t="s">
        <v>56313</v>
      </c>
      <c r="W11406" t="s">
        <v>44204</v>
      </c>
      <c r="X11406" t="s">
        <v>44775</v>
      </c>
    </row>
    <row r="11407" spans="1:24">
      <c r="A11407">
        <f>HYPERLINK("https://www.philgeps.gov.ph/GEPSNONPILOT/Tender/SplashBidNoticeAbstractUI.aspx?menuIndex=3&amp;refID=7128257&amp;Result=3","7128257")</f>
        <v>0</v>
      </c>
      <c r="B11407" t="s">
        <v>1949</v>
      </c>
      <c r="C11407" t="s">
        <v>14592</v>
      </c>
      <c r="D11407" t="s">
        <v>17979</v>
      </c>
      <c r="E11407" t="s">
        <v>27886</v>
      </c>
      <c r="F11407" t="s">
        <v>30900</v>
      </c>
      <c r="G11407" t="s">
        <v>30913</v>
      </c>
      <c r="H11407" t="s">
        <v>30915</v>
      </c>
      <c r="I11407" t="s">
        <v>30919</v>
      </c>
      <c r="J11407" t="s">
        <v>38139</v>
      </c>
      <c r="K11407" t="s">
        <v>40280</v>
      </c>
      <c r="M11407" t="s">
        <v>44211</v>
      </c>
      <c r="N11407" t="s">
        <v>44759</v>
      </c>
      <c r="O11407" t="s">
        <v>44760</v>
      </c>
      <c r="P11407">
        <v>0</v>
      </c>
      <c r="Q11407">
        <v>8</v>
      </c>
      <c r="R11407" t="s">
        <v>44774</v>
      </c>
      <c r="S11407" t="s">
        <v>45266</v>
      </c>
      <c r="T11407" t="s">
        <v>46357</v>
      </c>
      <c r="U11407" t="s">
        <v>56314</v>
      </c>
      <c r="V11407" t="s">
        <v>60406</v>
      </c>
      <c r="W11407" t="s">
        <v>44211</v>
      </c>
      <c r="X11407" t="s">
        <v>44775</v>
      </c>
    </row>
    <row r="11408" spans="1:24">
      <c r="A11408">
        <f>HYPERLINK("https://www.philgeps.gov.ph/GEPSNONPILOT/Tender/SplashBidNoticeAbstractUI.aspx?menuIndex=3&amp;refID=7128289&amp;Result=3","7128289")</f>
        <v>0</v>
      </c>
      <c r="B11408" t="s">
        <v>3335</v>
      </c>
      <c r="C11408" t="s">
        <v>14593</v>
      </c>
      <c r="D11408" t="s">
        <v>17969</v>
      </c>
      <c r="E11408" t="s">
        <v>27887</v>
      </c>
      <c r="F11408" t="s">
        <v>30900</v>
      </c>
      <c r="G11408" t="s">
        <v>30907</v>
      </c>
      <c r="H11408" t="s">
        <v>30916</v>
      </c>
      <c r="I11408" t="s">
        <v>8123</v>
      </c>
      <c r="J11408" t="s">
        <v>38071</v>
      </c>
      <c r="K11408" t="s">
        <v>40283</v>
      </c>
      <c r="M11408" t="s">
        <v>44197</v>
      </c>
      <c r="N11408" t="s">
        <v>44759</v>
      </c>
      <c r="O11408" t="s">
        <v>44760</v>
      </c>
      <c r="P11408">
        <v>0</v>
      </c>
      <c r="Q11408">
        <v>0</v>
      </c>
      <c r="R11408" t="s">
        <v>44774</v>
      </c>
      <c r="S11408" t="s">
        <v>45266</v>
      </c>
      <c r="T11408" t="s">
        <v>46414</v>
      </c>
      <c r="U11408" t="s">
        <v>56236</v>
      </c>
      <c r="W11408" t="s">
        <v>44197</v>
      </c>
      <c r="X11408" t="s">
        <v>44775</v>
      </c>
    </row>
    <row r="11409" spans="1:24">
      <c r="A11409">
        <f>HYPERLINK("https://www.philgeps.gov.ph/GEPSNONPILOT/Tender/SplashBidNoticeAbstractUI.aspx?menuIndex=3&amp;refID=7128280&amp;Result=3","7128280")</f>
        <v>0</v>
      </c>
      <c r="B11409" t="s">
        <v>526</v>
      </c>
      <c r="C11409" t="s">
        <v>14594</v>
      </c>
      <c r="D11409" t="s">
        <v>17984</v>
      </c>
      <c r="E11409" t="s">
        <v>27888</v>
      </c>
      <c r="F11409" t="s">
        <v>30900</v>
      </c>
      <c r="G11409" t="s">
        <v>30907</v>
      </c>
      <c r="H11409" t="s">
        <v>30915</v>
      </c>
      <c r="I11409" t="s">
        <v>30919</v>
      </c>
      <c r="J11409" t="s">
        <v>38140</v>
      </c>
      <c r="K11409" t="s">
        <v>40321</v>
      </c>
      <c r="M11409" t="s">
        <v>41086</v>
      </c>
      <c r="N11409" t="s">
        <v>44759</v>
      </c>
      <c r="O11409" t="s">
        <v>44760</v>
      </c>
      <c r="P11409">
        <v>0</v>
      </c>
      <c r="Q11409">
        <v>1</v>
      </c>
      <c r="R11409" t="s">
        <v>44774</v>
      </c>
      <c r="S11409" t="s">
        <v>45266</v>
      </c>
      <c r="T11409" t="s">
        <v>46421</v>
      </c>
      <c r="U11409" t="s">
        <v>54253</v>
      </c>
      <c r="W11409" t="s">
        <v>41086</v>
      </c>
      <c r="X11409" t="s">
        <v>44775</v>
      </c>
    </row>
    <row r="11410" spans="1:24">
      <c r="A11410">
        <f>HYPERLINK("https://www.philgeps.gov.ph/GEPSNONPILOT/Tender/SplashBidNoticeAbstractUI.aspx?menuIndex=3&amp;refID=7128285&amp;Result=3","7128285")</f>
        <v>0</v>
      </c>
      <c r="B11410" t="s">
        <v>702</v>
      </c>
      <c r="C11410" t="s">
        <v>14595</v>
      </c>
      <c r="D11410" t="s">
        <v>17952</v>
      </c>
      <c r="E11410" t="s">
        <v>27889</v>
      </c>
      <c r="F11410" t="s">
        <v>30900</v>
      </c>
      <c r="G11410" t="s">
        <v>30907</v>
      </c>
      <c r="H11410" t="s">
        <v>30915</v>
      </c>
      <c r="I11410" t="s">
        <v>30919</v>
      </c>
      <c r="J11410" t="s">
        <v>38141</v>
      </c>
      <c r="K11410" t="s">
        <v>40304</v>
      </c>
      <c r="M11410" t="s">
        <v>41266</v>
      </c>
      <c r="N11410" t="s">
        <v>44759</v>
      </c>
      <c r="O11410" t="s">
        <v>44760</v>
      </c>
      <c r="P11410">
        <v>0</v>
      </c>
      <c r="Q11410">
        <v>8</v>
      </c>
      <c r="R11410" t="s">
        <v>44774</v>
      </c>
      <c r="S11410" t="s">
        <v>45266</v>
      </c>
      <c r="T11410" t="s">
        <v>46352</v>
      </c>
      <c r="U11410" t="s">
        <v>56250</v>
      </c>
      <c r="W11410" t="s">
        <v>41266</v>
      </c>
      <c r="X11410" t="s">
        <v>44775</v>
      </c>
    </row>
    <row r="11411" spans="1:24">
      <c r="A11411">
        <f>HYPERLINK("https://www.philgeps.gov.ph/GEPSNONPILOT/Tender/SplashBidNoticeAbstractUI.aspx?menuIndex=3&amp;refID=7128273&amp;Result=3","7128273")</f>
        <v>0</v>
      </c>
      <c r="B11411" t="s">
        <v>3340</v>
      </c>
      <c r="C11411" t="s">
        <v>14596</v>
      </c>
      <c r="D11411" t="s">
        <v>17985</v>
      </c>
      <c r="E11411" t="s">
        <v>27890</v>
      </c>
      <c r="F11411" t="s">
        <v>30900</v>
      </c>
      <c r="G11411" t="s">
        <v>30906</v>
      </c>
      <c r="H11411" t="s">
        <v>30916</v>
      </c>
      <c r="I11411" t="s">
        <v>30942</v>
      </c>
      <c r="J11411" t="s">
        <v>31153</v>
      </c>
      <c r="K11411" t="s">
        <v>40301</v>
      </c>
      <c r="M11411" t="s">
        <v>44203</v>
      </c>
      <c r="N11411" t="s">
        <v>44759</v>
      </c>
      <c r="O11411" t="s">
        <v>44760</v>
      </c>
      <c r="P11411">
        <v>0</v>
      </c>
      <c r="Q11411">
        <v>0</v>
      </c>
      <c r="R11411" t="s">
        <v>44774</v>
      </c>
      <c r="S11411" t="s">
        <v>45266</v>
      </c>
      <c r="T11411" t="s">
        <v>46404</v>
      </c>
      <c r="U11411" t="s">
        <v>56315</v>
      </c>
      <c r="W11411" t="s">
        <v>44203</v>
      </c>
      <c r="X11411" t="s">
        <v>44775</v>
      </c>
    </row>
    <row r="11412" spans="1:24">
      <c r="A11412">
        <f>HYPERLINK("https://www.philgeps.gov.ph/GEPSNONPILOT/Tender/SplashBidNoticeAbstractUI.aspx?menuIndex=3&amp;refID=7128294&amp;Result=3","7128294")</f>
        <v>0</v>
      </c>
      <c r="B11412" t="s">
        <v>2356</v>
      </c>
      <c r="C11412" t="s">
        <v>14597</v>
      </c>
      <c r="D11412" t="s">
        <v>17988</v>
      </c>
      <c r="E11412" t="s">
        <v>14597</v>
      </c>
      <c r="F11412" t="s">
        <v>30900</v>
      </c>
      <c r="G11412" t="s">
        <v>30907</v>
      </c>
      <c r="H11412" t="s">
        <v>30916</v>
      </c>
      <c r="I11412" t="s">
        <v>8123</v>
      </c>
      <c r="J11412" t="s">
        <v>38142</v>
      </c>
      <c r="K11412" t="s">
        <v>40314</v>
      </c>
      <c r="M11412" t="s">
        <v>43080</v>
      </c>
      <c r="N11412" t="s">
        <v>44759</v>
      </c>
      <c r="O11412" t="s">
        <v>44760</v>
      </c>
      <c r="P11412">
        <v>0</v>
      </c>
      <c r="Q11412">
        <v>0</v>
      </c>
      <c r="R11412" t="s">
        <v>44774</v>
      </c>
      <c r="S11412" t="s">
        <v>45266</v>
      </c>
      <c r="T11412" t="s">
        <v>46426</v>
      </c>
      <c r="U11412" t="s">
        <v>56316</v>
      </c>
      <c r="W11412" t="s">
        <v>43080</v>
      </c>
      <c r="X11412" t="s">
        <v>44775</v>
      </c>
    </row>
    <row r="11413" spans="1:24">
      <c r="A11413">
        <f>HYPERLINK("https://www.philgeps.gov.ph/GEPSNONPILOT/Tender/SplashBidNoticeAbstractUI.aspx?menuIndex=3&amp;refID=7128279&amp;Result=3","7128279")</f>
        <v>0</v>
      </c>
      <c r="B11413" t="s">
        <v>708</v>
      </c>
      <c r="C11413" t="s">
        <v>14598</v>
      </c>
      <c r="E11413" t="s">
        <v>27891</v>
      </c>
      <c r="F11413" t="s">
        <v>30900</v>
      </c>
      <c r="G11413" t="s">
        <v>30907</v>
      </c>
      <c r="H11413" t="s">
        <v>30916</v>
      </c>
      <c r="I11413" t="s">
        <v>30924</v>
      </c>
      <c r="J11413" t="s">
        <v>31297</v>
      </c>
      <c r="K11413" t="s">
        <v>40289</v>
      </c>
      <c r="M11413" t="s">
        <v>44208</v>
      </c>
      <c r="N11413" t="s">
        <v>44759</v>
      </c>
      <c r="O11413" t="s">
        <v>44760</v>
      </c>
      <c r="P11413">
        <v>0</v>
      </c>
      <c r="Q11413">
        <v>7</v>
      </c>
      <c r="R11413" t="s">
        <v>44774</v>
      </c>
      <c r="S11413" t="s">
        <v>45266</v>
      </c>
      <c r="T11413" t="s">
        <v>46409</v>
      </c>
      <c r="U11413" t="s">
        <v>56317</v>
      </c>
      <c r="W11413" t="s">
        <v>44208</v>
      </c>
      <c r="X11413" t="s">
        <v>44775</v>
      </c>
    </row>
    <row r="11414" spans="1:24">
      <c r="A11414">
        <f>HYPERLINK("https://www.philgeps.gov.ph/GEPSNONPILOT/Tender/SplashBidNoticeAbstractUI.aspx?menuIndex=3&amp;refID=7128245&amp;Result=3","7128245")</f>
        <v>0</v>
      </c>
      <c r="B11414" t="s">
        <v>237</v>
      </c>
      <c r="C11414" t="s">
        <v>14599</v>
      </c>
      <c r="E11414" t="s">
        <v>27892</v>
      </c>
      <c r="F11414" t="s">
        <v>30900</v>
      </c>
      <c r="G11414" t="s">
        <v>30907</v>
      </c>
      <c r="H11414" t="s">
        <v>30916</v>
      </c>
      <c r="I11414" t="s">
        <v>30933</v>
      </c>
      <c r="J11414" t="s">
        <v>31094</v>
      </c>
      <c r="K11414" t="s">
        <v>40289</v>
      </c>
      <c r="M11414" t="s">
        <v>44204</v>
      </c>
      <c r="N11414" t="s">
        <v>44759</v>
      </c>
      <c r="O11414" t="s">
        <v>44760</v>
      </c>
      <c r="P11414">
        <v>0</v>
      </c>
      <c r="Q11414">
        <v>3</v>
      </c>
      <c r="R11414" t="s">
        <v>44774</v>
      </c>
      <c r="S11414" t="s">
        <v>45266</v>
      </c>
      <c r="T11414" t="s">
        <v>46725</v>
      </c>
      <c r="U11414" t="s">
        <v>56318</v>
      </c>
      <c r="W11414" t="s">
        <v>44204</v>
      </c>
      <c r="X11414" t="s">
        <v>44775</v>
      </c>
    </row>
    <row r="11415" spans="1:24">
      <c r="A11415">
        <f>HYPERLINK("https://www.philgeps.gov.ph/GEPSNONPILOT/Tender/SplashBidNoticeAbstractUI.aspx?menuIndex=3&amp;refID=7128242&amp;Result=3","7128242")</f>
        <v>0</v>
      </c>
      <c r="B11415" t="s">
        <v>2056</v>
      </c>
      <c r="C11415" t="s">
        <v>14600</v>
      </c>
      <c r="D11415" t="s">
        <v>17999</v>
      </c>
      <c r="E11415" t="s">
        <v>27893</v>
      </c>
      <c r="F11415" t="s">
        <v>30900</v>
      </c>
      <c r="G11415" t="s">
        <v>30906</v>
      </c>
      <c r="H11415" t="s">
        <v>30915</v>
      </c>
      <c r="I11415" t="s">
        <v>30919</v>
      </c>
      <c r="J11415" t="s">
        <v>38143</v>
      </c>
      <c r="K11415" t="s">
        <v>40289</v>
      </c>
      <c r="M11415" t="s">
        <v>42755</v>
      </c>
      <c r="N11415" t="s">
        <v>44759</v>
      </c>
      <c r="O11415" t="s">
        <v>44760</v>
      </c>
      <c r="P11415">
        <v>0</v>
      </c>
      <c r="Q11415">
        <v>0</v>
      </c>
      <c r="R11415" t="s">
        <v>44774</v>
      </c>
      <c r="S11415" t="s">
        <v>45266</v>
      </c>
      <c r="T11415" t="s">
        <v>46418</v>
      </c>
      <c r="U11415" t="s">
        <v>56319</v>
      </c>
      <c r="W11415" t="s">
        <v>42755</v>
      </c>
      <c r="X11415" t="s">
        <v>44775</v>
      </c>
    </row>
    <row r="11416" spans="1:24">
      <c r="A11416">
        <f>HYPERLINK("https://www.philgeps.gov.ph/GEPSNONPILOT/Tender/SplashBidNoticeAbstractUI.aspx?menuIndex=3&amp;refID=7128239&amp;Result=3","7128239")</f>
        <v>0</v>
      </c>
      <c r="B11416" t="s">
        <v>2636</v>
      </c>
      <c r="C11416" t="s">
        <v>14601</v>
      </c>
      <c r="D11416" t="s">
        <v>18003</v>
      </c>
      <c r="E11416" t="s">
        <v>27894</v>
      </c>
      <c r="F11416" t="s">
        <v>30900</v>
      </c>
      <c r="G11416" t="s">
        <v>30907</v>
      </c>
      <c r="H11416" t="s">
        <v>30915</v>
      </c>
      <c r="I11416" t="s">
        <v>30919</v>
      </c>
      <c r="J11416" t="s">
        <v>38144</v>
      </c>
      <c r="K11416" t="s">
        <v>40280</v>
      </c>
      <c r="M11416" t="s">
        <v>43402</v>
      </c>
      <c r="N11416" t="s">
        <v>44759</v>
      </c>
      <c r="O11416" t="s">
        <v>44760</v>
      </c>
      <c r="P11416">
        <v>0</v>
      </c>
      <c r="Q11416">
        <v>0</v>
      </c>
      <c r="R11416" t="s">
        <v>44774</v>
      </c>
      <c r="S11416" t="s">
        <v>45266</v>
      </c>
      <c r="T11416" t="s">
        <v>46488</v>
      </c>
      <c r="U11416" t="s">
        <v>56320</v>
      </c>
      <c r="W11416" t="s">
        <v>43402</v>
      </c>
      <c r="X11416" t="s">
        <v>44775</v>
      </c>
    </row>
    <row r="11417" spans="1:24">
      <c r="A11417">
        <f>HYPERLINK("https://www.philgeps.gov.ph/GEPSNONPILOT/Tender/SplashBidNoticeAbstractUI.aspx?menuIndex=3&amp;refID=7128300&amp;Result=3","7128300")</f>
        <v>0</v>
      </c>
      <c r="B11417" t="s">
        <v>708</v>
      </c>
      <c r="C11417" t="s">
        <v>14602</v>
      </c>
      <c r="E11417" t="s">
        <v>27895</v>
      </c>
      <c r="F11417" t="s">
        <v>30900</v>
      </c>
      <c r="G11417" t="s">
        <v>30907</v>
      </c>
      <c r="H11417" t="s">
        <v>30916</v>
      </c>
      <c r="I11417" t="s">
        <v>30929</v>
      </c>
      <c r="J11417" t="s">
        <v>38145</v>
      </c>
      <c r="K11417" t="s">
        <v>40289</v>
      </c>
      <c r="M11417" t="s">
        <v>44208</v>
      </c>
      <c r="N11417" t="s">
        <v>44759</v>
      </c>
      <c r="O11417" t="s">
        <v>44760</v>
      </c>
      <c r="P11417">
        <v>0</v>
      </c>
      <c r="Q11417">
        <v>17</v>
      </c>
      <c r="R11417" t="s">
        <v>44774</v>
      </c>
      <c r="S11417" t="s">
        <v>45266</v>
      </c>
      <c r="T11417" t="s">
        <v>46409</v>
      </c>
      <c r="U11417" t="s">
        <v>56321</v>
      </c>
      <c r="W11417" t="s">
        <v>44208</v>
      </c>
      <c r="X11417" t="s">
        <v>44775</v>
      </c>
    </row>
    <row r="11418" spans="1:24">
      <c r="A11418">
        <f>HYPERLINK("https://www.philgeps.gov.ph/GEPSNONPILOT/Tender/SplashBidNoticeAbstractUI.aspx?menuIndex=3&amp;refID=7128297&amp;Result=3","7128297")</f>
        <v>0</v>
      </c>
      <c r="B11418" t="s">
        <v>2636</v>
      </c>
      <c r="C11418" t="s">
        <v>14603</v>
      </c>
      <c r="D11418" t="s">
        <v>18003</v>
      </c>
      <c r="E11418" t="s">
        <v>27896</v>
      </c>
      <c r="F11418" t="s">
        <v>30900</v>
      </c>
      <c r="G11418" t="s">
        <v>30907</v>
      </c>
      <c r="H11418" t="s">
        <v>30915</v>
      </c>
      <c r="I11418" t="s">
        <v>30919</v>
      </c>
      <c r="J11418" t="s">
        <v>38146</v>
      </c>
      <c r="K11418" t="s">
        <v>40286</v>
      </c>
      <c r="M11418" t="s">
        <v>43402</v>
      </c>
      <c r="N11418" t="s">
        <v>44759</v>
      </c>
      <c r="O11418" t="s">
        <v>44760</v>
      </c>
      <c r="P11418">
        <v>0</v>
      </c>
      <c r="Q11418">
        <v>0</v>
      </c>
      <c r="R11418" t="s">
        <v>44774</v>
      </c>
      <c r="S11418" t="s">
        <v>45266</v>
      </c>
      <c r="T11418" t="s">
        <v>46488</v>
      </c>
      <c r="U11418" t="s">
        <v>56322</v>
      </c>
      <c r="W11418" t="s">
        <v>43402</v>
      </c>
      <c r="X11418" t="s">
        <v>44775</v>
      </c>
    </row>
    <row r="11419" spans="1:24">
      <c r="A11419">
        <f>HYPERLINK("https://www.philgeps.gov.ph/GEPSNONPILOT/Tender/SplashBidNoticeAbstractUI.aspx?menuIndex=3&amp;refID=7128361&amp;Result=3","7128361")</f>
        <v>0</v>
      </c>
      <c r="B11419" t="s">
        <v>894</v>
      </c>
      <c r="C11419" t="s">
        <v>14604</v>
      </c>
      <c r="D11419" t="s">
        <v>18011</v>
      </c>
      <c r="E11419" t="s">
        <v>27897</v>
      </c>
      <c r="F11419" t="s">
        <v>30900</v>
      </c>
      <c r="G11419" t="s">
        <v>30907</v>
      </c>
      <c r="H11419" t="s">
        <v>30916</v>
      </c>
      <c r="I11419" t="s">
        <v>4965</v>
      </c>
      <c r="J11419" t="s">
        <v>38147</v>
      </c>
      <c r="K11419" t="s">
        <v>40292</v>
      </c>
      <c r="M11419" t="s">
        <v>41468</v>
      </c>
      <c r="N11419" t="s">
        <v>44759</v>
      </c>
      <c r="O11419" t="s">
        <v>44760</v>
      </c>
      <c r="P11419">
        <v>0</v>
      </c>
      <c r="Q11419">
        <v>8</v>
      </c>
      <c r="R11419" t="s">
        <v>44774</v>
      </c>
      <c r="S11419" t="s">
        <v>45266</v>
      </c>
      <c r="T11419" t="s">
        <v>46425</v>
      </c>
      <c r="U11419" t="s">
        <v>56323</v>
      </c>
      <c r="W11419" t="s">
        <v>41468</v>
      </c>
      <c r="X11419" t="s">
        <v>44775</v>
      </c>
    </row>
    <row r="11420" spans="1:24">
      <c r="A11420">
        <f>HYPERLINK("https://www.philgeps.gov.ph/GEPSNONPILOT/Tender/SplashBidNoticeAbstractUI.aspx?menuIndex=3&amp;refID=7128351&amp;Result=3","7128351")</f>
        <v>0</v>
      </c>
      <c r="B11420" t="s">
        <v>3344</v>
      </c>
      <c r="C11420" t="s">
        <v>14605</v>
      </c>
      <c r="D11420" t="s">
        <v>17963</v>
      </c>
      <c r="E11420" t="s">
        <v>24199</v>
      </c>
      <c r="F11420" t="s">
        <v>30900</v>
      </c>
      <c r="G11420" t="s">
        <v>30907</v>
      </c>
      <c r="H11420" t="s">
        <v>30916</v>
      </c>
      <c r="I11420" t="s">
        <v>5830</v>
      </c>
      <c r="J11420" t="s">
        <v>38148</v>
      </c>
      <c r="K11420" t="s">
        <v>40284</v>
      </c>
      <c r="M11420" t="s">
        <v>44212</v>
      </c>
      <c r="N11420" t="s">
        <v>44759</v>
      </c>
      <c r="O11420" t="s">
        <v>44760</v>
      </c>
      <c r="P11420">
        <v>0</v>
      </c>
      <c r="Q11420">
        <v>7</v>
      </c>
      <c r="R11420" t="s">
        <v>44774</v>
      </c>
      <c r="S11420" t="s">
        <v>45266</v>
      </c>
      <c r="T11420" t="s">
        <v>46395</v>
      </c>
      <c r="U11420" t="s">
        <v>56324</v>
      </c>
      <c r="V11420" t="s">
        <v>60407</v>
      </c>
      <c r="W11420" t="s">
        <v>44212</v>
      </c>
      <c r="X11420" t="s">
        <v>44775</v>
      </c>
    </row>
    <row r="11421" spans="1:24">
      <c r="A11421">
        <f>HYPERLINK("https://www.philgeps.gov.ph/GEPSNONPILOT/Tender/SplashBidNoticeAbstractUI.aspx?menuIndex=3&amp;refID=7128350&amp;Result=3","7128350")</f>
        <v>0</v>
      </c>
      <c r="B11421" t="s">
        <v>702</v>
      </c>
      <c r="C11421" t="s">
        <v>14606</v>
      </c>
      <c r="D11421" t="s">
        <v>17952</v>
      </c>
      <c r="E11421" t="s">
        <v>27898</v>
      </c>
      <c r="F11421" t="s">
        <v>30900</v>
      </c>
      <c r="G11421" t="s">
        <v>30907</v>
      </c>
      <c r="H11421" t="s">
        <v>30915</v>
      </c>
      <c r="I11421" t="s">
        <v>30919</v>
      </c>
      <c r="J11421" t="s">
        <v>38149</v>
      </c>
      <c r="K11421" t="s">
        <v>40342</v>
      </c>
      <c r="M11421" t="s">
        <v>41266</v>
      </c>
      <c r="N11421" t="s">
        <v>44759</v>
      </c>
      <c r="O11421" t="s">
        <v>44760</v>
      </c>
      <c r="P11421">
        <v>0</v>
      </c>
      <c r="Q11421">
        <v>11</v>
      </c>
      <c r="R11421" t="s">
        <v>44774</v>
      </c>
      <c r="S11421" t="s">
        <v>45266</v>
      </c>
      <c r="T11421" t="s">
        <v>46352</v>
      </c>
      <c r="U11421" t="s">
        <v>56250</v>
      </c>
      <c r="W11421" t="s">
        <v>41266</v>
      </c>
      <c r="X11421" t="s">
        <v>44775</v>
      </c>
    </row>
    <row r="11422" spans="1:24">
      <c r="A11422">
        <f>HYPERLINK("https://www.philgeps.gov.ph/GEPSNONPILOT/Tender/SplashBidNoticeAbstractUI.aspx?menuIndex=3&amp;refID=7128340&amp;Result=3","7128340")</f>
        <v>0</v>
      </c>
      <c r="B11422" t="s">
        <v>2786</v>
      </c>
      <c r="C11422" t="s">
        <v>14607</v>
      </c>
      <c r="D11422" t="s">
        <v>17978</v>
      </c>
      <c r="E11422" t="s">
        <v>27899</v>
      </c>
      <c r="F11422" t="s">
        <v>30900</v>
      </c>
      <c r="G11422" t="s">
        <v>30907</v>
      </c>
      <c r="H11422" t="s">
        <v>30916</v>
      </c>
      <c r="I11422" t="s">
        <v>30933</v>
      </c>
      <c r="J11422" t="s">
        <v>31241</v>
      </c>
      <c r="K11422" t="s">
        <v>40289</v>
      </c>
      <c r="M11422" t="s">
        <v>43569</v>
      </c>
      <c r="N11422" t="s">
        <v>44759</v>
      </c>
      <c r="O11422" t="s">
        <v>44760</v>
      </c>
      <c r="P11422">
        <v>0</v>
      </c>
      <c r="Q11422">
        <v>7</v>
      </c>
      <c r="R11422" t="s">
        <v>44774</v>
      </c>
      <c r="S11422" t="s">
        <v>45266</v>
      </c>
      <c r="T11422" t="s">
        <v>46418</v>
      </c>
      <c r="U11422" t="s">
        <v>56325</v>
      </c>
      <c r="W11422" t="s">
        <v>43569</v>
      </c>
      <c r="X11422" t="s">
        <v>44775</v>
      </c>
    </row>
    <row r="11423" spans="1:24">
      <c r="A11423">
        <f>HYPERLINK("https://www.philgeps.gov.ph/GEPSNONPILOT/Tender/SplashBidNoticeAbstractUI.aspx?menuIndex=3&amp;refID=7128269&amp;Result=3","7128269")</f>
        <v>0</v>
      </c>
      <c r="B11423" t="s">
        <v>3345</v>
      </c>
      <c r="C11423" t="s">
        <v>14608</v>
      </c>
      <c r="D11423" t="s">
        <v>17953</v>
      </c>
      <c r="E11423" t="s">
        <v>25990</v>
      </c>
      <c r="F11423" t="s">
        <v>30900</v>
      </c>
      <c r="G11423" t="s">
        <v>30907</v>
      </c>
      <c r="H11423" t="s">
        <v>30916</v>
      </c>
      <c r="I11423" t="s">
        <v>30923</v>
      </c>
      <c r="J11423" t="s">
        <v>32787</v>
      </c>
      <c r="K11423" t="s">
        <v>40281</v>
      </c>
      <c r="M11423" t="s">
        <v>44213</v>
      </c>
      <c r="N11423" t="s">
        <v>44759</v>
      </c>
      <c r="O11423" t="s">
        <v>44760</v>
      </c>
      <c r="P11423">
        <v>0</v>
      </c>
      <c r="Q11423">
        <v>4</v>
      </c>
      <c r="R11423" t="s">
        <v>44774</v>
      </c>
      <c r="S11423" t="s">
        <v>45266</v>
      </c>
      <c r="T11423" t="s">
        <v>46396</v>
      </c>
      <c r="U11423" t="s">
        <v>56326</v>
      </c>
      <c r="W11423" t="s">
        <v>44213</v>
      </c>
      <c r="X11423" t="s">
        <v>44775</v>
      </c>
    </row>
    <row r="11424" spans="1:24">
      <c r="A11424">
        <f>HYPERLINK("https://www.philgeps.gov.ph/GEPSNONPILOT/Tender/SplashBidNoticeAbstractUI.aspx?menuIndex=3&amp;refID=7128370&amp;Result=3","7128370")</f>
        <v>0</v>
      </c>
      <c r="B11424" t="s">
        <v>3346</v>
      </c>
      <c r="C11424" t="s">
        <v>14609</v>
      </c>
      <c r="D11424" t="s">
        <v>17985</v>
      </c>
      <c r="E11424" t="s">
        <v>27900</v>
      </c>
      <c r="F11424" t="s">
        <v>30900</v>
      </c>
      <c r="G11424" t="s">
        <v>30909</v>
      </c>
      <c r="H11424" t="s">
        <v>30916</v>
      </c>
      <c r="I11424" t="s">
        <v>17295</v>
      </c>
      <c r="J11424" t="s">
        <v>31070</v>
      </c>
      <c r="K11424" t="s">
        <v>40289</v>
      </c>
      <c r="M11424" t="s">
        <v>44214</v>
      </c>
      <c r="N11424" t="s">
        <v>44759</v>
      </c>
      <c r="O11424" t="s">
        <v>44760</v>
      </c>
      <c r="P11424">
        <v>0</v>
      </c>
      <c r="Q11424">
        <v>0</v>
      </c>
      <c r="R11424" t="s">
        <v>44774</v>
      </c>
      <c r="S11424" t="s">
        <v>45266</v>
      </c>
      <c r="T11424" t="s">
        <v>46423</v>
      </c>
      <c r="U11424" t="s">
        <v>56327</v>
      </c>
      <c r="W11424" t="s">
        <v>44214</v>
      </c>
      <c r="X11424" t="s">
        <v>44775</v>
      </c>
    </row>
    <row r="11425" spans="1:24">
      <c r="A11425">
        <f>HYPERLINK("https://www.philgeps.gov.ph/GEPSNONPILOT/Tender/SplashBidNoticeAbstractUI.aspx?menuIndex=3&amp;refID=7128367&amp;Result=3","7128367")</f>
        <v>0</v>
      </c>
      <c r="B11425" t="s">
        <v>3347</v>
      </c>
      <c r="C11425" t="s">
        <v>14610</v>
      </c>
      <c r="D11425" t="s">
        <v>18002</v>
      </c>
      <c r="E11425" t="s">
        <v>27901</v>
      </c>
      <c r="F11425" t="s">
        <v>30900</v>
      </c>
      <c r="G11425" t="s">
        <v>30907</v>
      </c>
      <c r="H11425" t="s">
        <v>30915</v>
      </c>
      <c r="I11425" t="s">
        <v>30919</v>
      </c>
      <c r="J11425" t="s">
        <v>38150</v>
      </c>
      <c r="K11425" t="s">
        <v>40372</v>
      </c>
      <c r="M11425" t="s">
        <v>44215</v>
      </c>
      <c r="N11425" t="s">
        <v>44759</v>
      </c>
      <c r="O11425" t="s">
        <v>44760</v>
      </c>
      <c r="P11425">
        <v>0</v>
      </c>
      <c r="Q11425">
        <v>5</v>
      </c>
      <c r="R11425" t="s">
        <v>44774</v>
      </c>
      <c r="S11425" t="s">
        <v>45266</v>
      </c>
      <c r="T11425" t="s">
        <v>46409</v>
      </c>
      <c r="U11425" t="s">
        <v>56328</v>
      </c>
      <c r="V11425" t="s">
        <v>60408</v>
      </c>
      <c r="W11425" t="s">
        <v>44215</v>
      </c>
      <c r="X11425" t="s">
        <v>44775</v>
      </c>
    </row>
    <row r="11426" spans="1:24">
      <c r="A11426">
        <f>HYPERLINK("https://www.philgeps.gov.ph/GEPSNONPILOT/Tender/SplashBidNoticeAbstractUI.aspx?menuIndex=3&amp;refID=7128276&amp;Result=3","7128276")</f>
        <v>0</v>
      </c>
      <c r="B11426" t="s">
        <v>1204</v>
      </c>
      <c r="C11426" t="s">
        <v>14611</v>
      </c>
      <c r="D11426" t="s">
        <v>17963</v>
      </c>
      <c r="E11426" t="s">
        <v>27902</v>
      </c>
      <c r="F11426" t="s">
        <v>30900</v>
      </c>
      <c r="G11426" t="s">
        <v>30907</v>
      </c>
      <c r="H11426" t="s">
        <v>30916</v>
      </c>
      <c r="I11426" t="s">
        <v>30920</v>
      </c>
      <c r="J11426" t="s">
        <v>38151</v>
      </c>
      <c r="K11426" t="s">
        <v>40289</v>
      </c>
      <c r="M11426" t="s">
        <v>43719</v>
      </c>
      <c r="N11426" t="s">
        <v>44759</v>
      </c>
      <c r="O11426" t="s">
        <v>44760</v>
      </c>
      <c r="P11426">
        <v>0</v>
      </c>
      <c r="Q11426">
        <v>0</v>
      </c>
      <c r="R11426" t="s">
        <v>44774</v>
      </c>
      <c r="S11426" t="s">
        <v>45266</v>
      </c>
      <c r="T11426" t="s">
        <v>46557</v>
      </c>
      <c r="U11426" t="s">
        <v>56329</v>
      </c>
      <c r="W11426" t="s">
        <v>41815</v>
      </c>
      <c r="X11426" t="s">
        <v>44775</v>
      </c>
    </row>
    <row r="11427" spans="1:24">
      <c r="A11427">
        <f>HYPERLINK("https://www.philgeps.gov.ph/GEPSNONPILOT/Tender/SplashBidNoticeAbstractUI.aspx?menuIndex=3&amp;refID=7128366&amp;Result=3","7128366")</f>
        <v>0</v>
      </c>
      <c r="B11427" t="s">
        <v>2567</v>
      </c>
      <c r="C11427" t="s">
        <v>14612</v>
      </c>
      <c r="D11427" t="s">
        <v>18018</v>
      </c>
      <c r="E11427" t="s">
        <v>27903</v>
      </c>
      <c r="F11427" t="s">
        <v>30900</v>
      </c>
      <c r="G11427" t="s">
        <v>30907</v>
      </c>
      <c r="H11427" t="s">
        <v>30915</v>
      </c>
      <c r="I11427" t="s">
        <v>30964</v>
      </c>
      <c r="J11427" t="s">
        <v>31341</v>
      </c>
      <c r="K11427" t="s">
        <v>40335</v>
      </c>
      <c r="M11427" t="s">
        <v>43326</v>
      </c>
      <c r="N11427" t="s">
        <v>44759</v>
      </c>
      <c r="O11427" t="s">
        <v>44760</v>
      </c>
      <c r="P11427">
        <v>0</v>
      </c>
      <c r="Q11427">
        <v>0</v>
      </c>
      <c r="R11427" t="s">
        <v>44774</v>
      </c>
      <c r="S11427" t="s">
        <v>45266</v>
      </c>
      <c r="T11427" t="s">
        <v>46658</v>
      </c>
      <c r="U11427" t="s">
        <v>56330</v>
      </c>
      <c r="W11427" t="s">
        <v>43326</v>
      </c>
      <c r="X11427" t="s">
        <v>44775</v>
      </c>
    </row>
    <row r="11428" spans="1:24">
      <c r="A11428">
        <f>HYPERLINK("https://www.philgeps.gov.ph/GEPSNONPILOT/Tender/SplashBidNoticeAbstractUI.aspx?menuIndex=3&amp;refID=7128363&amp;Result=3","7128363")</f>
        <v>0</v>
      </c>
      <c r="B11428" t="s">
        <v>1203</v>
      </c>
      <c r="C11428" t="s">
        <v>14613</v>
      </c>
      <c r="D11428" t="s">
        <v>17953</v>
      </c>
      <c r="E11428" t="s">
        <v>27904</v>
      </c>
      <c r="F11428" t="s">
        <v>30900</v>
      </c>
      <c r="G11428" t="s">
        <v>30907</v>
      </c>
      <c r="H11428" t="s">
        <v>30915</v>
      </c>
      <c r="I11428" t="s">
        <v>30919</v>
      </c>
      <c r="J11428" t="s">
        <v>31937</v>
      </c>
      <c r="K11428" t="s">
        <v>40289</v>
      </c>
      <c r="M11428" t="s">
        <v>41814</v>
      </c>
      <c r="N11428" t="s">
        <v>44759</v>
      </c>
      <c r="O11428" t="s">
        <v>44760</v>
      </c>
      <c r="P11428">
        <v>0</v>
      </c>
      <c r="Q11428">
        <v>3</v>
      </c>
      <c r="R11428" t="s">
        <v>44774</v>
      </c>
      <c r="S11428" t="s">
        <v>45266</v>
      </c>
      <c r="T11428" t="s">
        <v>46387</v>
      </c>
      <c r="U11428" t="s">
        <v>56331</v>
      </c>
      <c r="V11428" t="s">
        <v>59431</v>
      </c>
      <c r="W11428" t="s">
        <v>41814</v>
      </c>
      <c r="X11428" t="s">
        <v>44775</v>
      </c>
    </row>
    <row r="11429" spans="1:24">
      <c r="A11429">
        <f>HYPERLINK("https://www.philgeps.gov.ph/GEPSNONPILOT/Tender/SplashBidNoticeAbstractUI.aspx?menuIndex=3&amp;refID=7128338&amp;Result=3","7128338")</f>
        <v>0</v>
      </c>
      <c r="B11429" t="s">
        <v>3347</v>
      </c>
      <c r="C11429" t="s">
        <v>14614</v>
      </c>
      <c r="D11429" t="s">
        <v>18002</v>
      </c>
      <c r="E11429" t="s">
        <v>27905</v>
      </c>
      <c r="F11429" t="s">
        <v>30900</v>
      </c>
      <c r="G11429" t="s">
        <v>30907</v>
      </c>
      <c r="H11429" t="s">
        <v>30915</v>
      </c>
      <c r="I11429" t="s">
        <v>30919</v>
      </c>
      <c r="J11429" t="s">
        <v>38152</v>
      </c>
      <c r="K11429" t="s">
        <v>40518</v>
      </c>
      <c r="M11429" t="s">
        <v>44215</v>
      </c>
      <c r="N11429" t="s">
        <v>44759</v>
      </c>
      <c r="O11429" t="s">
        <v>44760</v>
      </c>
      <c r="P11429">
        <v>0</v>
      </c>
      <c r="Q11429">
        <v>5</v>
      </c>
      <c r="R11429" t="s">
        <v>44774</v>
      </c>
      <c r="S11429" t="s">
        <v>45266</v>
      </c>
      <c r="T11429" t="s">
        <v>46409</v>
      </c>
      <c r="U11429" t="s">
        <v>56328</v>
      </c>
      <c r="V11429" t="s">
        <v>60409</v>
      </c>
      <c r="W11429" t="s">
        <v>44215</v>
      </c>
      <c r="X11429" t="s">
        <v>44775</v>
      </c>
    </row>
    <row r="11430" spans="1:24">
      <c r="A11430">
        <f>HYPERLINK("https://www.philgeps.gov.ph/GEPSNONPILOT/Tender/SplashBidNoticeAbstractUI.aspx?menuIndex=3&amp;refID=7128339&amp;Result=3","7128339")</f>
        <v>0</v>
      </c>
      <c r="B11430" t="s">
        <v>3335</v>
      </c>
      <c r="C11430" t="s">
        <v>14615</v>
      </c>
      <c r="D11430" t="s">
        <v>17969</v>
      </c>
      <c r="E11430" t="s">
        <v>27906</v>
      </c>
      <c r="F11430" t="s">
        <v>30900</v>
      </c>
      <c r="G11430" t="s">
        <v>30907</v>
      </c>
      <c r="H11430" t="s">
        <v>30916</v>
      </c>
      <c r="I11430" t="s">
        <v>8123</v>
      </c>
      <c r="J11430" t="s">
        <v>38071</v>
      </c>
      <c r="K11430" t="s">
        <v>40283</v>
      </c>
      <c r="M11430" t="s">
        <v>44197</v>
      </c>
      <c r="N11430" t="s">
        <v>44759</v>
      </c>
      <c r="O11430" t="s">
        <v>44760</v>
      </c>
      <c r="P11430">
        <v>0</v>
      </c>
      <c r="Q11430">
        <v>0</v>
      </c>
      <c r="R11430" t="s">
        <v>44774</v>
      </c>
      <c r="S11430" t="s">
        <v>45266</v>
      </c>
      <c r="T11430" t="s">
        <v>46414</v>
      </c>
      <c r="U11430" t="s">
        <v>56236</v>
      </c>
      <c r="W11430" t="s">
        <v>44197</v>
      </c>
      <c r="X11430" t="s">
        <v>44775</v>
      </c>
    </row>
    <row r="11431" spans="1:24">
      <c r="A11431">
        <f>HYPERLINK("https://www.philgeps.gov.ph/GEPSNONPILOT/Tender/SplashBidNoticeAbstractUI.aspx?menuIndex=3&amp;refID=7128334&amp;Result=3","7128334")</f>
        <v>0</v>
      </c>
      <c r="B11431" t="s">
        <v>1204</v>
      </c>
      <c r="C11431" t="s">
        <v>14616</v>
      </c>
      <c r="D11431" t="s">
        <v>17963</v>
      </c>
      <c r="E11431" t="s">
        <v>27907</v>
      </c>
      <c r="F11431" t="s">
        <v>30900</v>
      </c>
      <c r="G11431" t="s">
        <v>30907</v>
      </c>
      <c r="H11431" t="s">
        <v>30916</v>
      </c>
      <c r="I11431" t="s">
        <v>30944</v>
      </c>
      <c r="J11431" t="s">
        <v>31412</v>
      </c>
      <c r="K11431" t="s">
        <v>40289</v>
      </c>
      <c r="M11431" t="s">
        <v>43719</v>
      </c>
      <c r="N11431" t="s">
        <v>44759</v>
      </c>
      <c r="O11431" t="s">
        <v>44760</v>
      </c>
      <c r="P11431">
        <v>0</v>
      </c>
      <c r="Q11431">
        <v>15</v>
      </c>
      <c r="R11431" t="s">
        <v>44774</v>
      </c>
      <c r="S11431" t="s">
        <v>45266</v>
      </c>
      <c r="T11431" t="s">
        <v>46557</v>
      </c>
      <c r="U11431" t="s">
        <v>56332</v>
      </c>
      <c r="W11431" t="s">
        <v>41815</v>
      </c>
      <c r="X11431" t="s">
        <v>44775</v>
      </c>
    </row>
    <row r="11432" spans="1:24">
      <c r="A11432">
        <f>HYPERLINK("https://www.philgeps.gov.ph/GEPSNONPILOT/Tender/SplashBidNoticeAbstractUI.aspx?menuIndex=3&amp;refID=7128329&amp;Result=3","7128329")</f>
        <v>0</v>
      </c>
      <c r="B11432" t="s">
        <v>1203</v>
      </c>
      <c r="C11432" t="s">
        <v>14617</v>
      </c>
      <c r="D11432" t="s">
        <v>17953</v>
      </c>
      <c r="E11432" t="s">
        <v>27908</v>
      </c>
      <c r="F11432" t="s">
        <v>30900</v>
      </c>
      <c r="G11432" t="s">
        <v>30907</v>
      </c>
      <c r="H11432" t="s">
        <v>30915</v>
      </c>
      <c r="I11432" t="s">
        <v>30919</v>
      </c>
      <c r="J11432" t="s">
        <v>31937</v>
      </c>
      <c r="K11432" t="s">
        <v>40289</v>
      </c>
      <c r="M11432" t="s">
        <v>41814</v>
      </c>
      <c r="N11432" t="s">
        <v>44759</v>
      </c>
      <c r="O11432" t="s">
        <v>44760</v>
      </c>
      <c r="P11432">
        <v>0</v>
      </c>
      <c r="Q11432">
        <v>3</v>
      </c>
      <c r="R11432" t="s">
        <v>44774</v>
      </c>
      <c r="S11432" t="s">
        <v>45266</v>
      </c>
      <c r="T11432" t="s">
        <v>46387</v>
      </c>
      <c r="U11432" t="s">
        <v>56333</v>
      </c>
      <c r="V11432" t="s">
        <v>59431</v>
      </c>
      <c r="W11432" t="s">
        <v>41814</v>
      </c>
      <c r="X11432" t="s">
        <v>44775</v>
      </c>
    </row>
    <row r="11433" spans="1:24">
      <c r="A11433">
        <f>HYPERLINK("https://www.philgeps.gov.ph/GEPSNONPILOT/Tender/SplashBidNoticeAbstractUI.aspx?menuIndex=3&amp;refID=7128315&amp;Result=3","7128315")</f>
        <v>0</v>
      </c>
      <c r="B11433" t="s">
        <v>237</v>
      </c>
      <c r="C11433" t="s">
        <v>14618</v>
      </c>
      <c r="E11433" t="s">
        <v>27909</v>
      </c>
      <c r="F11433" t="s">
        <v>30900</v>
      </c>
      <c r="G11433" t="s">
        <v>30907</v>
      </c>
      <c r="H11433" t="s">
        <v>30916</v>
      </c>
      <c r="I11433" t="s">
        <v>6408</v>
      </c>
      <c r="J11433" t="s">
        <v>38153</v>
      </c>
      <c r="K11433" t="s">
        <v>40289</v>
      </c>
      <c r="M11433" t="s">
        <v>44204</v>
      </c>
      <c r="N11433" t="s">
        <v>44759</v>
      </c>
      <c r="O11433" t="s">
        <v>44760</v>
      </c>
      <c r="P11433">
        <v>0</v>
      </c>
      <c r="Q11433">
        <v>7</v>
      </c>
      <c r="R11433" t="s">
        <v>44774</v>
      </c>
      <c r="S11433" t="s">
        <v>45266</v>
      </c>
      <c r="T11433" t="s">
        <v>46725</v>
      </c>
      <c r="U11433" t="s">
        <v>56334</v>
      </c>
      <c r="W11433" t="s">
        <v>44204</v>
      </c>
      <c r="X11433" t="s">
        <v>44775</v>
      </c>
    </row>
    <row r="11434" spans="1:24">
      <c r="A11434">
        <f>HYPERLINK("https://www.philgeps.gov.ph/GEPSNONPILOT/Tender/SplashBidNoticeAbstractUI.aspx?menuIndex=3&amp;refID=7128309&amp;Result=3","7128309")</f>
        <v>0</v>
      </c>
      <c r="B11434" t="s">
        <v>708</v>
      </c>
      <c r="C11434" t="s">
        <v>14619</v>
      </c>
      <c r="E11434" t="s">
        <v>27910</v>
      </c>
      <c r="F11434" t="s">
        <v>30900</v>
      </c>
      <c r="G11434" t="s">
        <v>30907</v>
      </c>
      <c r="H11434" t="s">
        <v>30916</v>
      </c>
      <c r="I11434" t="s">
        <v>8044</v>
      </c>
      <c r="J11434" t="s">
        <v>38154</v>
      </c>
      <c r="K11434" t="s">
        <v>40289</v>
      </c>
      <c r="M11434" t="s">
        <v>44208</v>
      </c>
      <c r="N11434" t="s">
        <v>44759</v>
      </c>
      <c r="O11434" t="s">
        <v>44760</v>
      </c>
      <c r="P11434">
        <v>0</v>
      </c>
      <c r="Q11434">
        <v>1</v>
      </c>
      <c r="R11434" t="s">
        <v>44774</v>
      </c>
      <c r="S11434" t="s">
        <v>45266</v>
      </c>
      <c r="T11434" t="s">
        <v>46409</v>
      </c>
      <c r="U11434" t="s">
        <v>56335</v>
      </c>
      <c r="W11434" t="s">
        <v>44208</v>
      </c>
      <c r="X11434" t="s">
        <v>44775</v>
      </c>
    </row>
    <row r="11435" spans="1:24">
      <c r="A11435">
        <f>HYPERLINK("https://www.philgeps.gov.ph/GEPSNONPILOT/Tender/SplashBidNoticeAbstractUI.aspx?menuIndex=3&amp;refID=7128308&amp;Result=3","7128308")</f>
        <v>0</v>
      </c>
      <c r="B11435" t="s">
        <v>526</v>
      </c>
      <c r="C11435" t="s">
        <v>14620</v>
      </c>
      <c r="D11435" t="s">
        <v>17984</v>
      </c>
      <c r="E11435" t="s">
        <v>27911</v>
      </c>
      <c r="F11435" t="s">
        <v>30900</v>
      </c>
      <c r="G11435" t="s">
        <v>30907</v>
      </c>
      <c r="H11435" t="s">
        <v>30916</v>
      </c>
      <c r="I11435" t="s">
        <v>8123</v>
      </c>
      <c r="J11435" t="s">
        <v>31098</v>
      </c>
      <c r="K11435" t="s">
        <v>40284</v>
      </c>
      <c r="M11435" t="s">
        <v>41086</v>
      </c>
      <c r="N11435" t="s">
        <v>44759</v>
      </c>
      <c r="O11435" t="s">
        <v>44760</v>
      </c>
      <c r="P11435">
        <v>0</v>
      </c>
      <c r="Q11435">
        <v>0</v>
      </c>
      <c r="R11435" t="s">
        <v>44774</v>
      </c>
      <c r="S11435" t="s">
        <v>45266</v>
      </c>
      <c r="T11435" t="s">
        <v>46421</v>
      </c>
      <c r="U11435" t="s">
        <v>54253</v>
      </c>
      <c r="W11435" t="s">
        <v>41086</v>
      </c>
      <c r="X11435" t="s">
        <v>44775</v>
      </c>
    </row>
    <row r="11436" spans="1:24">
      <c r="A11436">
        <f>HYPERLINK("https://www.philgeps.gov.ph/GEPSNONPILOT/Tender/SplashBidNoticeAbstractUI.aspx?menuIndex=3&amp;refID=7128395&amp;Result=3","7128395")</f>
        <v>0</v>
      </c>
      <c r="B11436" t="s">
        <v>237</v>
      </c>
      <c r="C11436" t="s">
        <v>14621</v>
      </c>
      <c r="E11436" t="s">
        <v>27912</v>
      </c>
      <c r="F11436" t="s">
        <v>30900</v>
      </c>
      <c r="G11436" t="s">
        <v>30907</v>
      </c>
      <c r="H11436" t="s">
        <v>30916</v>
      </c>
      <c r="I11436" t="s">
        <v>8044</v>
      </c>
      <c r="J11436" t="s">
        <v>38155</v>
      </c>
      <c r="K11436" t="s">
        <v>40289</v>
      </c>
      <c r="M11436" t="s">
        <v>44204</v>
      </c>
      <c r="N11436" t="s">
        <v>44759</v>
      </c>
      <c r="O11436" t="s">
        <v>44760</v>
      </c>
      <c r="P11436">
        <v>0</v>
      </c>
      <c r="Q11436">
        <v>5</v>
      </c>
      <c r="R11436" t="s">
        <v>44774</v>
      </c>
      <c r="S11436" t="s">
        <v>45266</v>
      </c>
      <c r="T11436" t="s">
        <v>46725</v>
      </c>
      <c r="U11436" t="s">
        <v>56336</v>
      </c>
      <c r="W11436" t="s">
        <v>44204</v>
      </c>
      <c r="X11436" t="s">
        <v>44775</v>
      </c>
    </row>
    <row r="11437" spans="1:24">
      <c r="A11437">
        <f>HYPERLINK("https://www.philgeps.gov.ph/GEPSNONPILOT/Tender/SplashBidNoticeAbstractUI.aspx?menuIndex=3&amp;refID=7128325&amp;Result=3","7128325")</f>
        <v>0</v>
      </c>
      <c r="B11437" t="s">
        <v>708</v>
      </c>
      <c r="C11437" t="s">
        <v>14622</v>
      </c>
      <c r="E11437" t="s">
        <v>27913</v>
      </c>
      <c r="F11437" t="s">
        <v>30900</v>
      </c>
      <c r="G11437" t="s">
        <v>30907</v>
      </c>
      <c r="H11437" t="s">
        <v>30916</v>
      </c>
      <c r="I11437" t="s">
        <v>4545</v>
      </c>
      <c r="J11437" t="s">
        <v>38156</v>
      </c>
      <c r="K11437" t="s">
        <v>40289</v>
      </c>
      <c r="M11437" t="s">
        <v>44208</v>
      </c>
      <c r="N11437" t="s">
        <v>44759</v>
      </c>
      <c r="O11437" t="s">
        <v>44760</v>
      </c>
      <c r="P11437">
        <v>0</v>
      </c>
      <c r="Q11437">
        <v>4</v>
      </c>
      <c r="R11437" t="s">
        <v>44774</v>
      </c>
      <c r="S11437" t="s">
        <v>45266</v>
      </c>
      <c r="T11437" t="s">
        <v>46409</v>
      </c>
      <c r="U11437" t="s">
        <v>56337</v>
      </c>
      <c r="W11437" t="s">
        <v>44208</v>
      </c>
      <c r="X11437" t="s">
        <v>44775</v>
      </c>
    </row>
    <row r="11438" spans="1:24">
      <c r="A11438">
        <f>HYPERLINK("https://www.philgeps.gov.ph/GEPSNONPILOT/Tender/SplashBidNoticeAbstractUI.aspx?menuIndex=3&amp;refID=7128382&amp;Result=3","7128382")</f>
        <v>0</v>
      </c>
      <c r="B11438" t="s">
        <v>526</v>
      </c>
      <c r="C11438" t="s">
        <v>14623</v>
      </c>
      <c r="D11438" t="s">
        <v>17984</v>
      </c>
      <c r="E11438" t="s">
        <v>27914</v>
      </c>
      <c r="F11438" t="s">
        <v>30900</v>
      </c>
      <c r="G11438" t="s">
        <v>30907</v>
      </c>
      <c r="H11438" t="s">
        <v>30915</v>
      </c>
      <c r="I11438" t="s">
        <v>30919</v>
      </c>
      <c r="J11438" t="s">
        <v>31070</v>
      </c>
      <c r="K11438" t="s">
        <v>40291</v>
      </c>
      <c r="M11438" t="s">
        <v>41086</v>
      </c>
      <c r="N11438" t="s">
        <v>44759</v>
      </c>
      <c r="O11438" t="s">
        <v>44760</v>
      </c>
      <c r="P11438">
        <v>0</v>
      </c>
      <c r="Q11438">
        <v>0</v>
      </c>
      <c r="R11438" t="s">
        <v>44774</v>
      </c>
      <c r="S11438" t="s">
        <v>45266</v>
      </c>
      <c r="T11438" t="s">
        <v>46399</v>
      </c>
      <c r="U11438" t="s">
        <v>56338</v>
      </c>
      <c r="W11438" t="s">
        <v>41086</v>
      </c>
      <c r="X11438" t="s">
        <v>44775</v>
      </c>
    </row>
    <row r="11439" spans="1:24">
      <c r="A11439">
        <f>HYPERLINK("https://www.philgeps.gov.ph/GEPSNONPILOT/Tender/SplashBidNoticeAbstractUI.aspx?menuIndex=3&amp;refID=7128371&amp;Result=3","7128371")</f>
        <v>0</v>
      </c>
      <c r="B11439" t="s">
        <v>819</v>
      </c>
      <c r="C11439" t="s">
        <v>14624</v>
      </c>
      <c r="D11439" t="s">
        <v>18025</v>
      </c>
      <c r="E11439" t="s">
        <v>27915</v>
      </c>
      <c r="F11439" t="s">
        <v>30900</v>
      </c>
      <c r="G11439" t="s">
        <v>30907</v>
      </c>
      <c r="H11439" t="s">
        <v>30916</v>
      </c>
      <c r="I11439" t="s">
        <v>4017</v>
      </c>
      <c r="J11439" t="s">
        <v>38157</v>
      </c>
      <c r="K11439" t="s">
        <v>40289</v>
      </c>
      <c r="M11439" t="s">
        <v>41390</v>
      </c>
      <c r="N11439" t="s">
        <v>44759</v>
      </c>
      <c r="O11439" t="s">
        <v>44760</v>
      </c>
      <c r="P11439">
        <v>0</v>
      </c>
      <c r="Q11439">
        <v>13</v>
      </c>
      <c r="R11439" t="s">
        <v>44774</v>
      </c>
      <c r="S11439" t="s">
        <v>45266</v>
      </c>
      <c r="T11439" t="s">
        <v>46396</v>
      </c>
      <c r="U11439" t="s">
        <v>56339</v>
      </c>
      <c r="W11439" t="s">
        <v>60927</v>
      </c>
      <c r="X11439" t="s">
        <v>44775</v>
      </c>
    </row>
    <row r="11440" spans="1:24">
      <c r="A11440">
        <f>HYPERLINK("https://www.philgeps.gov.ph/GEPSNONPILOT/Tender/SplashBidNoticeAbstractUI.aspx?menuIndex=3&amp;refID=7128362&amp;Result=3","7128362")</f>
        <v>0</v>
      </c>
      <c r="B11440" t="s">
        <v>3341</v>
      </c>
      <c r="C11440" t="s">
        <v>14625</v>
      </c>
      <c r="D11440" t="s">
        <v>17997</v>
      </c>
      <c r="E11440" t="s">
        <v>27916</v>
      </c>
      <c r="F11440" t="s">
        <v>30900</v>
      </c>
      <c r="G11440" t="s">
        <v>30907</v>
      </c>
      <c r="H11440" t="s">
        <v>30916</v>
      </c>
      <c r="I11440" t="s">
        <v>8123</v>
      </c>
      <c r="J11440" t="s">
        <v>38158</v>
      </c>
      <c r="K11440" t="s">
        <v>40286</v>
      </c>
      <c r="M11440" t="s">
        <v>44206</v>
      </c>
      <c r="N11440" t="s">
        <v>44759</v>
      </c>
      <c r="O11440" t="s">
        <v>44760</v>
      </c>
      <c r="P11440">
        <v>0</v>
      </c>
      <c r="Q11440">
        <v>0</v>
      </c>
      <c r="R11440" t="s">
        <v>44774</v>
      </c>
      <c r="S11440" t="s">
        <v>45266</v>
      </c>
      <c r="T11440" t="s">
        <v>46361</v>
      </c>
      <c r="U11440" t="s">
        <v>56340</v>
      </c>
      <c r="W11440" t="s">
        <v>44206</v>
      </c>
      <c r="X11440" t="s">
        <v>44775</v>
      </c>
    </row>
    <row r="11441" spans="1:24">
      <c r="A11441">
        <f>HYPERLINK("https://www.philgeps.gov.ph/GEPSNONPILOT/Tender/SplashBidNoticeAbstractUI.aspx?menuIndex=3&amp;refID=7128449&amp;Result=3","7128449")</f>
        <v>0</v>
      </c>
      <c r="B11441" t="s">
        <v>526</v>
      </c>
      <c r="C11441" t="s">
        <v>14626</v>
      </c>
      <c r="D11441" t="s">
        <v>17984</v>
      </c>
      <c r="E11441" t="s">
        <v>27917</v>
      </c>
      <c r="F11441" t="s">
        <v>30900</v>
      </c>
      <c r="G11441" t="s">
        <v>30907</v>
      </c>
      <c r="H11441" t="s">
        <v>30915</v>
      </c>
      <c r="I11441" t="s">
        <v>30919</v>
      </c>
      <c r="J11441" t="s">
        <v>38159</v>
      </c>
      <c r="K11441" t="s">
        <v>40286</v>
      </c>
      <c r="M11441" t="s">
        <v>41086</v>
      </c>
      <c r="N11441" t="s">
        <v>44759</v>
      </c>
      <c r="O11441" t="s">
        <v>44760</v>
      </c>
      <c r="P11441">
        <v>0</v>
      </c>
      <c r="Q11441">
        <v>0</v>
      </c>
      <c r="R11441" t="s">
        <v>44774</v>
      </c>
      <c r="S11441" t="s">
        <v>45266</v>
      </c>
      <c r="T11441" t="s">
        <v>46399</v>
      </c>
      <c r="U11441" t="s">
        <v>56341</v>
      </c>
      <c r="W11441" t="s">
        <v>41086</v>
      </c>
      <c r="X11441" t="s">
        <v>44775</v>
      </c>
    </row>
    <row r="11442" spans="1:24">
      <c r="A11442">
        <f>HYPERLINK("https://www.philgeps.gov.ph/GEPSNONPILOT/Tender/SplashBidNoticeAbstractUI.aspx?menuIndex=3&amp;refID=7128303&amp;Result=3","7128303")</f>
        <v>0</v>
      </c>
      <c r="B11442" t="s">
        <v>3348</v>
      </c>
      <c r="C11442" t="s">
        <v>14627</v>
      </c>
      <c r="D11442" t="s">
        <v>17952</v>
      </c>
      <c r="E11442" t="s">
        <v>27918</v>
      </c>
      <c r="F11442" t="s">
        <v>30900</v>
      </c>
      <c r="G11442" t="s">
        <v>30907</v>
      </c>
      <c r="H11442" t="s">
        <v>30915</v>
      </c>
      <c r="I11442" t="s">
        <v>30919</v>
      </c>
      <c r="J11442" t="s">
        <v>37052</v>
      </c>
      <c r="K11442" t="s">
        <v>40312</v>
      </c>
      <c r="M11442" t="s">
        <v>44216</v>
      </c>
      <c r="N11442" t="s">
        <v>44759</v>
      </c>
      <c r="O11442" t="s">
        <v>44760</v>
      </c>
      <c r="P11442">
        <v>0</v>
      </c>
      <c r="Q11442">
        <v>9</v>
      </c>
      <c r="R11442" t="s">
        <v>44774</v>
      </c>
      <c r="S11442" t="s">
        <v>45266</v>
      </c>
      <c r="T11442" t="s">
        <v>46411</v>
      </c>
      <c r="U11442" t="s">
        <v>56342</v>
      </c>
      <c r="W11442" t="s">
        <v>44216</v>
      </c>
      <c r="X11442" t="s">
        <v>44775</v>
      </c>
    </row>
    <row r="11443" spans="1:24">
      <c r="A11443">
        <f>HYPERLINK("https://www.philgeps.gov.ph/GEPSNONPILOT/Tender/SplashBidNoticeAbstractUI.aspx?menuIndex=3&amp;refID=7128188&amp;Result=3","7128188")</f>
        <v>0</v>
      </c>
      <c r="B11443" t="s">
        <v>1396</v>
      </c>
      <c r="C11443" t="s">
        <v>14628</v>
      </c>
      <c r="E11443" t="s">
        <v>20219</v>
      </c>
      <c r="F11443" t="s">
        <v>30900</v>
      </c>
      <c r="G11443" t="s">
        <v>30907</v>
      </c>
      <c r="H11443" t="s">
        <v>30915</v>
      </c>
      <c r="I11443" t="s">
        <v>30919</v>
      </c>
      <c r="J11443" t="s">
        <v>35199</v>
      </c>
      <c r="K11443" t="s">
        <v>40286</v>
      </c>
      <c r="M11443" t="s">
        <v>42022</v>
      </c>
      <c r="N11443" t="s">
        <v>44759</v>
      </c>
      <c r="O11443" t="s">
        <v>44760</v>
      </c>
      <c r="P11443">
        <v>0</v>
      </c>
      <c r="Q11443">
        <v>0</v>
      </c>
      <c r="R11443" t="s">
        <v>44774</v>
      </c>
      <c r="S11443" t="s">
        <v>45266</v>
      </c>
      <c r="T11443" t="s">
        <v>46353</v>
      </c>
      <c r="U11443" t="s">
        <v>56262</v>
      </c>
      <c r="W11443" t="s">
        <v>42029</v>
      </c>
      <c r="X11443" t="s">
        <v>44775</v>
      </c>
    </row>
    <row r="11444" spans="1:24">
      <c r="A11444">
        <f>HYPERLINK("https://www.philgeps.gov.ph/GEPSNONPILOT/Tender/SplashBidNoticeAbstractUI.aspx?menuIndex=3&amp;refID=7128438&amp;Result=3","7128438")</f>
        <v>0</v>
      </c>
      <c r="B11444" t="s">
        <v>3335</v>
      </c>
      <c r="C11444" t="s">
        <v>14629</v>
      </c>
      <c r="D11444" t="s">
        <v>17969</v>
      </c>
      <c r="E11444" t="s">
        <v>27919</v>
      </c>
      <c r="F11444" t="s">
        <v>30900</v>
      </c>
      <c r="G11444" t="s">
        <v>30907</v>
      </c>
      <c r="H11444" t="s">
        <v>30916</v>
      </c>
      <c r="I11444" t="s">
        <v>8123</v>
      </c>
      <c r="J11444" t="s">
        <v>38071</v>
      </c>
      <c r="K11444" t="s">
        <v>40283</v>
      </c>
      <c r="M11444" t="s">
        <v>44197</v>
      </c>
      <c r="N11444" t="s">
        <v>44759</v>
      </c>
      <c r="O11444" t="s">
        <v>44760</v>
      </c>
      <c r="P11444">
        <v>0</v>
      </c>
      <c r="Q11444">
        <v>0</v>
      </c>
      <c r="R11444" t="s">
        <v>44774</v>
      </c>
      <c r="S11444" t="s">
        <v>45266</v>
      </c>
      <c r="T11444" t="s">
        <v>46414</v>
      </c>
      <c r="U11444" t="s">
        <v>56236</v>
      </c>
      <c r="W11444" t="s">
        <v>44197</v>
      </c>
      <c r="X11444" t="s">
        <v>44775</v>
      </c>
    </row>
    <row r="11445" spans="1:24">
      <c r="A11445">
        <f>HYPERLINK("https://www.philgeps.gov.ph/GEPSNONPILOT/Tender/SplashBidNoticeAbstractUI.aspx?menuIndex=3&amp;refID=7128435&amp;Result=3","7128435")</f>
        <v>0</v>
      </c>
      <c r="B11445" t="s">
        <v>3347</v>
      </c>
      <c r="C11445" t="s">
        <v>14630</v>
      </c>
      <c r="D11445" t="s">
        <v>18002</v>
      </c>
      <c r="E11445" t="s">
        <v>27920</v>
      </c>
      <c r="F11445" t="s">
        <v>30900</v>
      </c>
      <c r="G11445" t="s">
        <v>30907</v>
      </c>
      <c r="H11445" t="s">
        <v>30915</v>
      </c>
      <c r="I11445" t="s">
        <v>30919</v>
      </c>
      <c r="J11445" t="s">
        <v>38160</v>
      </c>
      <c r="K11445" t="s">
        <v>40335</v>
      </c>
      <c r="M11445" t="s">
        <v>44215</v>
      </c>
      <c r="N11445" t="s">
        <v>44759</v>
      </c>
      <c r="O11445" t="s">
        <v>44760</v>
      </c>
      <c r="P11445">
        <v>0</v>
      </c>
      <c r="Q11445">
        <v>4</v>
      </c>
      <c r="R11445" t="s">
        <v>44774</v>
      </c>
      <c r="S11445" t="s">
        <v>45266</v>
      </c>
      <c r="T11445" t="s">
        <v>46409</v>
      </c>
      <c r="U11445" t="s">
        <v>56328</v>
      </c>
      <c r="V11445" t="s">
        <v>60410</v>
      </c>
      <c r="W11445" t="s">
        <v>44215</v>
      </c>
      <c r="X11445" t="s">
        <v>44775</v>
      </c>
    </row>
    <row r="11446" spans="1:24">
      <c r="A11446">
        <f>HYPERLINK("https://www.philgeps.gov.ph/GEPSNONPILOT/Tender/SplashBidNoticeAbstractUI.aspx?menuIndex=3&amp;refID=7128206&amp;Result=3","7128206")</f>
        <v>0</v>
      </c>
      <c r="B11446" t="s">
        <v>526</v>
      </c>
      <c r="C11446" t="s">
        <v>14631</v>
      </c>
      <c r="D11446" t="s">
        <v>17984</v>
      </c>
      <c r="E11446" t="s">
        <v>27921</v>
      </c>
      <c r="F11446" t="s">
        <v>30900</v>
      </c>
      <c r="G11446" t="s">
        <v>30907</v>
      </c>
      <c r="H11446" t="s">
        <v>30915</v>
      </c>
      <c r="I11446" t="s">
        <v>30919</v>
      </c>
      <c r="J11446" t="s">
        <v>38161</v>
      </c>
      <c r="K11446" t="s">
        <v>40363</v>
      </c>
      <c r="M11446" t="s">
        <v>41086</v>
      </c>
      <c r="N11446" t="s">
        <v>44759</v>
      </c>
      <c r="O11446" t="s">
        <v>44760</v>
      </c>
      <c r="P11446">
        <v>0</v>
      </c>
      <c r="Q11446">
        <v>1</v>
      </c>
      <c r="R11446" t="s">
        <v>44774</v>
      </c>
      <c r="S11446" t="s">
        <v>45266</v>
      </c>
      <c r="T11446" t="s">
        <v>46421</v>
      </c>
      <c r="U11446" t="s">
        <v>54253</v>
      </c>
      <c r="W11446" t="s">
        <v>41086</v>
      </c>
      <c r="X11446" t="s">
        <v>44775</v>
      </c>
    </row>
    <row r="11447" spans="1:24">
      <c r="A11447">
        <f>HYPERLINK("https://www.philgeps.gov.ph/GEPSNONPILOT/Tender/SplashBidNoticeAbstractUI.aspx?menuIndex=3&amp;refID=7128466&amp;Result=3","7128466")</f>
        <v>0</v>
      </c>
      <c r="B11447" t="s">
        <v>237</v>
      </c>
      <c r="C11447" t="s">
        <v>14632</v>
      </c>
      <c r="E11447" t="s">
        <v>27922</v>
      </c>
      <c r="F11447" t="s">
        <v>30900</v>
      </c>
      <c r="G11447" t="s">
        <v>30907</v>
      </c>
      <c r="H11447" t="s">
        <v>30916</v>
      </c>
      <c r="I11447" t="s">
        <v>30923</v>
      </c>
      <c r="J11447" t="s">
        <v>38162</v>
      </c>
      <c r="K11447" t="s">
        <v>40289</v>
      </c>
      <c r="M11447" t="s">
        <v>44204</v>
      </c>
      <c r="N11447" t="s">
        <v>44759</v>
      </c>
      <c r="O11447" t="s">
        <v>44760</v>
      </c>
      <c r="P11447">
        <v>0</v>
      </c>
      <c r="Q11447">
        <v>17</v>
      </c>
      <c r="R11447" t="s">
        <v>44774</v>
      </c>
      <c r="S11447" t="s">
        <v>45266</v>
      </c>
      <c r="T11447" t="s">
        <v>46725</v>
      </c>
      <c r="U11447" t="s">
        <v>56343</v>
      </c>
      <c r="W11447" t="s">
        <v>44204</v>
      </c>
      <c r="X11447" t="s">
        <v>44775</v>
      </c>
    </row>
    <row r="11448" spans="1:24">
      <c r="A11448">
        <f>HYPERLINK("https://www.philgeps.gov.ph/GEPSNONPILOT/Tender/SplashBidNoticeAbstractUI.aspx?menuIndex=3&amp;refID=7128455&amp;Result=3","7128455")</f>
        <v>0</v>
      </c>
      <c r="B11448" t="s">
        <v>3347</v>
      </c>
      <c r="C11448" t="s">
        <v>14633</v>
      </c>
      <c r="D11448" t="s">
        <v>18002</v>
      </c>
      <c r="E11448" t="s">
        <v>27923</v>
      </c>
      <c r="F11448" t="s">
        <v>30900</v>
      </c>
      <c r="G11448" t="s">
        <v>30907</v>
      </c>
      <c r="H11448" t="s">
        <v>30915</v>
      </c>
      <c r="I11448" t="s">
        <v>30919</v>
      </c>
      <c r="J11448" t="s">
        <v>38163</v>
      </c>
      <c r="K11448" t="s">
        <v>40431</v>
      </c>
      <c r="M11448" t="s">
        <v>44215</v>
      </c>
      <c r="N11448" t="s">
        <v>44759</v>
      </c>
      <c r="O11448" t="s">
        <v>44760</v>
      </c>
      <c r="P11448">
        <v>0</v>
      </c>
      <c r="Q11448">
        <v>5</v>
      </c>
      <c r="R11448" t="s">
        <v>44774</v>
      </c>
      <c r="S11448" t="s">
        <v>45266</v>
      </c>
      <c r="T11448" t="s">
        <v>46409</v>
      </c>
      <c r="U11448" t="s">
        <v>56328</v>
      </c>
      <c r="V11448" t="s">
        <v>60411</v>
      </c>
      <c r="W11448" t="s">
        <v>44215</v>
      </c>
      <c r="X11448" t="s">
        <v>44775</v>
      </c>
    </row>
    <row r="11449" spans="1:24">
      <c r="A11449">
        <f>HYPERLINK("https://www.philgeps.gov.ph/GEPSNONPILOT/Tender/SplashBidNoticeAbstractUI.aspx?menuIndex=3&amp;refID=7128433&amp;Result=3","7128433")</f>
        <v>0</v>
      </c>
      <c r="B11449" t="s">
        <v>1515</v>
      </c>
      <c r="C11449" t="s">
        <v>14634</v>
      </c>
      <c r="D11449" t="s">
        <v>18020</v>
      </c>
      <c r="E11449" t="s">
        <v>27924</v>
      </c>
      <c r="F11449" t="s">
        <v>30900</v>
      </c>
      <c r="G11449" t="s">
        <v>30907</v>
      </c>
      <c r="H11449" t="s">
        <v>30916</v>
      </c>
      <c r="I11449" t="s">
        <v>30923</v>
      </c>
      <c r="J11449" t="s">
        <v>38164</v>
      </c>
      <c r="K11449" t="s">
        <v>40283</v>
      </c>
      <c r="M11449" t="s">
        <v>42156</v>
      </c>
      <c r="N11449" t="s">
        <v>44759</v>
      </c>
      <c r="O11449" t="s">
        <v>44760</v>
      </c>
      <c r="P11449">
        <v>0</v>
      </c>
      <c r="Q11449">
        <v>7</v>
      </c>
      <c r="R11449" t="s">
        <v>44774</v>
      </c>
      <c r="S11449" t="s">
        <v>45266</v>
      </c>
      <c r="T11449" t="s">
        <v>46704</v>
      </c>
      <c r="U11449" t="s">
        <v>56344</v>
      </c>
      <c r="W11449" t="s">
        <v>42156</v>
      </c>
      <c r="X11449" t="s">
        <v>44775</v>
      </c>
    </row>
    <row r="11450" spans="1:24">
      <c r="A11450">
        <f>HYPERLINK("https://www.philgeps.gov.ph/GEPSNONPILOT/Tender/SplashBidNoticeAbstractUI.aspx?menuIndex=3&amp;refID=7128426&amp;Result=3","7128426")</f>
        <v>0</v>
      </c>
      <c r="B11450" t="s">
        <v>526</v>
      </c>
      <c r="C11450" t="s">
        <v>14635</v>
      </c>
      <c r="D11450" t="s">
        <v>17984</v>
      </c>
      <c r="E11450" t="s">
        <v>27925</v>
      </c>
      <c r="F11450" t="s">
        <v>30900</v>
      </c>
      <c r="G11450" t="s">
        <v>30907</v>
      </c>
      <c r="H11450" t="s">
        <v>30915</v>
      </c>
      <c r="I11450" t="s">
        <v>30919</v>
      </c>
      <c r="J11450" t="s">
        <v>38165</v>
      </c>
      <c r="K11450" t="s">
        <v>40286</v>
      </c>
      <c r="M11450" t="s">
        <v>41086</v>
      </c>
      <c r="N11450" t="s">
        <v>44759</v>
      </c>
      <c r="O11450" t="s">
        <v>44760</v>
      </c>
      <c r="P11450">
        <v>0</v>
      </c>
      <c r="Q11450">
        <v>0</v>
      </c>
      <c r="R11450" t="s">
        <v>44774</v>
      </c>
      <c r="S11450" t="s">
        <v>45266</v>
      </c>
      <c r="T11450" t="s">
        <v>46399</v>
      </c>
      <c r="U11450" t="s">
        <v>56341</v>
      </c>
      <c r="W11450" t="s">
        <v>41086</v>
      </c>
      <c r="X11450" t="s">
        <v>44775</v>
      </c>
    </row>
    <row r="11451" spans="1:24">
      <c r="A11451">
        <f>HYPERLINK("https://www.philgeps.gov.ph/GEPSNONPILOT/Tender/SplashBidNoticeAbstractUI.aspx?menuIndex=3&amp;refID=7128423&amp;Result=3","7128423")</f>
        <v>0</v>
      </c>
      <c r="B11451" t="s">
        <v>237</v>
      </c>
      <c r="C11451" t="s">
        <v>14636</v>
      </c>
      <c r="E11451" t="s">
        <v>27926</v>
      </c>
      <c r="F11451" t="s">
        <v>30900</v>
      </c>
      <c r="G11451" t="s">
        <v>30907</v>
      </c>
      <c r="H11451" t="s">
        <v>30916</v>
      </c>
      <c r="I11451" t="s">
        <v>30927</v>
      </c>
      <c r="J11451" t="s">
        <v>31755</v>
      </c>
      <c r="K11451" t="s">
        <v>40289</v>
      </c>
      <c r="M11451" t="s">
        <v>44204</v>
      </c>
      <c r="N11451" t="s">
        <v>44759</v>
      </c>
      <c r="O11451" t="s">
        <v>44760</v>
      </c>
      <c r="P11451">
        <v>0</v>
      </c>
      <c r="Q11451">
        <v>1</v>
      </c>
      <c r="R11451" t="s">
        <v>44774</v>
      </c>
      <c r="S11451" t="s">
        <v>45266</v>
      </c>
      <c r="T11451" t="s">
        <v>46725</v>
      </c>
      <c r="U11451" t="s">
        <v>56345</v>
      </c>
      <c r="W11451" t="s">
        <v>44204</v>
      </c>
      <c r="X11451" t="s">
        <v>44775</v>
      </c>
    </row>
    <row r="11452" spans="1:24">
      <c r="A11452">
        <f>HYPERLINK("https://www.philgeps.gov.ph/GEPSNONPILOT/Tender/SplashBidNoticeAbstractUI.aspx?menuIndex=3&amp;refID=7128418&amp;Result=3","7128418")</f>
        <v>0</v>
      </c>
      <c r="B11452" t="s">
        <v>3335</v>
      </c>
      <c r="C11452" t="s">
        <v>14637</v>
      </c>
      <c r="D11452" t="s">
        <v>17969</v>
      </c>
      <c r="E11452" t="s">
        <v>27927</v>
      </c>
      <c r="F11452" t="s">
        <v>30900</v>
      </c>
      <c r="G11452" t="s">
        <v>30907</v>
      </c>
      <c r="H11452" t="s">
        <v>30916</v>
      </c>
      <c r="I11452" t="s">
        <v>8123</v>
      </c>
      <c r="J11452" t="s">
        <v>38071</v>
      </c>
      <c r="K11452" t="s">
        <v>40283</v>
      </c>
      <c r="M11452" t="s">
        <v>44197</v>
      </c>
      <c r="N11452" t="s">
        <v>44759</v>
      </c>
      <c r="O11452" t="s">
        <v>44760</v>
      </c>
      <c r="P11452">
        <v>0</v>
      </c>
      <c r="Q11452">
        <v>0</v>
      </c>
      <c r="R11452" t="s">
        <v>44774</v>
      </c>
      <c r="S11452" t="s">
        <v>45266</v>
      </c>
      <c r="T11452" t="s">
        <v>46414</v>
      </c>
      <c r="U11452" t="s">
        <v>56236</v>
      </c>
      <c r="W11452" t="s">
        <v>44197</v>
      </c>
      <c r="X11452" t="s">
        <v>44775</v>
      </c>
    </row>
    <row r="11453" spans="1:24">
      <c r="A11453">
        <f>HYPERLINK("https://www.philgeps.gov.ph/GEPSNONPILOT/Tender/SplashBidNoticeAbstractUI.aspx?menuIndex=3&amp;refID=7128405&amp;Result=3","7128405")</f>
        <v>0</v>
      </c>
      <c r="B11453" t="s">
        <v>3349</v>
      </c>
      <c r="C11453" t="s">
        <v>14638</v>
      </c>
      <c r="D11453" t="s">
        <v>17976</v>
      </c>
      <c r="E11453" t="s">
        <v>27928</v>
      </c>
      <c r="F11453" t="s">
        <v>30900</v>
      </c>
      <c r="G11453" t="s">
        <v>30907</v>
      </c>
      <c r="H11453" t="s">
        <v>30915</v>
      </c>
      <c r="I11453" t="s">
        <v>30919</v>
      </c>
      <c r="J11453" t="s">
        <v>38166</v>
      </c>
      <c r="K11453" t="s">
        <v>40341</v>
      </c>
      <c r="M11453" t="s">
        <v>44217</v>
      </c>
      <c r="N11453" t="s">
        <v>44759</v>
      </c>
      <c r="O11453" t="s">
        <v>44760</v>
      </c>
      <c r="P11453">
        <v>0</v>
      </c>
      <c r="Q11453">
        <v>1</v>
      </c>
      <c r="R11453" t="s">
        <v>44774</v>
      </c>
      <c r="S11453" t="s">
        <v>45266</v>
      </c>
      <c r="T11453" t="s">
        <v>46389</v>
      </c>
      <c r="U11453" t="s">
        <v>56346</v>
      </c>
      <c r="W11453" t="s">
        <v>44217</v>
      </c>
      <c r="X11453" t="s">
        <v>44775</v>
      </c>
    </row>
    <row r="11454" spans="1:24">
      <c r="A11454">
        <f>HYPERLINK("https://www.philgeps.gov.ph/GEPSNONPILOT/Tender/SplashBidNoticeAbstractUI.aspx?menuIndex=3&amp;refID=7128404&amp;Result=3","7128404")</f>
        <v>0</v>
      </c>
      <c r="B11454" t="s">
        <v>3347</v>
      </c>
      <c r="C11454" t="s">
        <v>14639</v>
      </c>
      <c r="D11454" t="s">
        <v>18002</v>
      </c>
      <c r="E11454" t="s">
        <v>27929</v>
      </c>
      <c r="F11454" t="s">
        <v>30900</v>
      </c>
      <c r="G11454" t="s">
        <v>30907</v>
      </c>
      <c r="H11454" t="s">
        <v>30915</v>
      </c>
      <c r="I11454" t="s">
        <v>30919</v>
      </c>
      <c r="J11454" t="s">
        <v>38167</v>
      </c>
      <c r="K11454" t="s">
        <v>40439</v>
      </c>
      <c r="M11454" t="s">
        <v>44215</v>
      </c>
      <c r="N11454" t="s">
        <v>44759</v>
      </c>
      <c r="O11454" t="s">
        <v>44760</v>
      </c>
      <c r="P11454">
        <v>0</v>
      </c>
      <c r="Q11454">
        <v>5</v>
      </c>
      <c r="R11454" t="s">
        <v>44774</v>
      </c>
      <c r="S11454" t="s">
        <v>45266</v>
      </c>
      <c r="T11454" t="s">
        <v>46409</v>
      </c>
      <c r="U11454" t="s">
        <v>56328</v>
      </c>
      <c r="V11454" t="s">
        <v>60412</v>
      </c>
      <c r="W11454" t="s">
        <v>44215</v>
      </c>
      <c r="X11454" t="s">
        <v>44775</v>
      </c>
    </row>
    <row r="11455" spans="1:24">
      <c r="A11455">
        <f>HYPERLINK("https://www.philgeps.gov.ph/GEPSNONPILOT/Tender/SplashBidNoticeAbstractUI.aspx?menuIndex=3&amp;refID=7128471&amp;Result=3","7128471")</f>
        <v>0</v>
      </c>
      <c r="B11455" t="s">
        <v>3345</v>
      </c>
      <c r="C11455" t="s">
        <v>14640</v>
      </c>
      <c r="D11455" t="s">
        <v>17953</v>
      </c>
      <c r="E11455" t="s">
        <v>27930</v>
      </c>
      <c r="F11455" t="s">
        <v>30900</v>
      </c>
      <c r="G11455" t="s">
        <v>30907</v>
      </c>
      <c r="H11455" t="s">
        <v>30916</v>
      </c>
      <c r="I11455" t="s">
        <v>4142</v>
      </c>
      <c r="J11455" t="s">
        <v>38168</v>
      </c>
      <c r="K11455" t="s">
        <v>40324</v>
      </c>
      <c r="M11455" t="s">
        <v>44213</v>
      </c>
      <c r="N11455" t="s">
        <v>44759</v>
      </c>
      <c r="O11455" t="s">
        <v>44760</v>
      </c>
      <c r="P11455">
        <v>0</v>
      </c>
      <c r="Q11455">
        <v>1</v>
      </c>
      <c r="R11455" t="s">
        <v>44774</v>
      </c>
      <c r="S11455" t="s">
        <v>45266</v>
      </c>
      <c r="T11455" t="s">
        <v>46396</v>
      </c>
      <c r="U11455" t="s">
        <v>56347</v>
      </c>
      <c r="W11455" t="s">
        <v>44213</v>
      </c>
      <c r="X11455" t="s">
        <v>44775</v>
      </c>
    </row>
    <row r="11456" spans="1:24">
      <c r="A11456">
        <f>HYPERLINK("https://www.philgeps.gov.ph/GEPSNONPILOT/Tender/SplashBidNoticeAbstractUI.aspx?menuIndex=3&amp;refID=7128503&amp;Result=3","7128503")</f>
        <v>0</v>
      </c>
      <c r="B11456" t="s">
        <v>106</v>
      </c>
      <c r="C11456" t="s">
        <v>14641</v>
      </c>
      <c r="D11456" t="s">
        <v>17961</v>
      </c>
      <c r="E11456" t="s">
        <v>27931</v>
      </c>
      <c r="F11456" t="s">
        <v>30900</v>
      </c>
      <c r="G11456" t="s">
        <v>30907</v>
      </c>
      <c r="H11456" t="s">
        <v>30916</v>
      </c>
      <c r="I11456" t="s">
        <v>8123</v>
      </c>
      <c r="J11456" t="s">
        <v>38169</v>
      </c>
      <c r="K11456" t="s">
        <v>40289</v>
      </c>
      <c r="M11456" t="s">
        <v>40653</v>
      </c>
      <c r="N11456" t="s">
        <v>44759</v>
      </c>
      <c r="O11456" t="s">
        <v>44760</v>
      </c>
      <c r="Q11456">
        <v>2</v>
      </c>
      <c r="R11456" t="s">
        <v>44774</v>
      </c>
      <c r="S11456" t="s">
        <v>45322</v>
      </c>
      <c r="T11456" t="s">
        <v>46352</v>
      </c>
      <c r="U11456" t="s">
        <v>56348</v>
      </c>
      <c r="V11456" t="s">
        <v>59168</v>
      </c>
      <c r="W11456" t="s">
        <v>40653</v>
      </c>
      <c r="X11456" t="s">
        <v>44775</v>
      </c>
    </row>
    <row r="11457" spans="1:24">
      <c r="A11457">
        <f>HYPERLINK("https://www.philgeps.gov.ph/GEPSNONPILOT/Tender/SplashBidNoticeAbstractUI.aspx?menuIndex=3&amp;refID=7128558&amp;Result=3","7128558")</f>
        <v>0</v>
      </c>
      <c r="B11457" t="s">
        <v>106</v>
      </c>
      <c r="C11457" t="s">
        <v>14642</v>
      </c>
      <c r="D11457" t="s">
        <v>17961</v>
      </c>
      <c r="E11457" t="s">
        <v>27932</v>
      </c>
      <c r="F11457" t="s">
        <v>30900</v>
      </c>
      <c r="G11457" t="s">
        <v>30907</v>
      </c>
      <c r="H11457" t="s">
        <v>30916</v>
      </c>
      <c r="I11457" t="s">
        <v>4545</v>
      </c>
      <c r="J11457" t="s">
        <v>38170</v>
      </c>
      <c r="K11457" t="s">
        <v>40289</v>
      </c>
      <c r="M11457" t="s">
        <v>40653</v>
      </c>
      <c r="N11457" t="s">
        <v>44759</v>
      </c>
      <c r="O11457" t="s">
        <v>44760</v>
      </c>
      <c r="P11457">
        <v>0</v>
      </c>
      <c r="Q11457">
        <v>5</v>
      </c>
      <c r="R11457" t="s">
        <v>44774</v>
      </c>
      <c r="S11457" t="s">
        <v>45266</v>
      </c>
      <c r="T11457" t="s">
        <v>46352</v>
      </c>
      <c r="U11457" t="s">
        <v>56349</v>
      </c>
      <c r="V11457" t="s">
        <v>59168</v>
      </c>
      <c r="W11457" t="s">
        <v>40653</v>
      </c>
      <c r="X11457" t="s">
        <v>44775</v>
      </c>
    </row>
    <row r="11458" spans="1:24">
      <c r="A11458">
        <f>HYPERLINK("https://www.philgeps.gov.ph/GEPSNONPILOT/Tender/SplashBidNoticeAbstractUI.aspx?menuIndex=3&amp;refID=7128414&amp;Result=3","7128414")</f>
        <v>0</v>
      </c>
      <c r="B11458" t="s">
        <v>781</v>
      </c>
      <c r="C11458" t="s">
        <v>14643</v>
      </c>
      <c r="D11458" t="s">
        <v>17959</v>
      </c>
      <c r="E11458" t="s">
        <v>27933</v>
      </c>
      <c r="F11458" t="s">
        <v>30900</v>
      </c>
      <c r="G11458" t="s">
        <v>30907</v>
      </c>
      <c r="H11458" t="s">
        <v>30916</v>
      </c>
      <c r="I11458" t="s">
        <v>30923</v>
      </c>
      <c r="J11458" t="s">
        <v>32445</v>
      </c>
      <c r="K11458" t="s">
        <v>40284</v>
      </c>
      <c r="M11458" t="s">
        <v>44218</v>
      </c>
      <c r="N11458" t="s">
        <v>44759</v>
      </c>
      <c r="O11458" t="s">
        <v>44760</v>
      </c>
      <c r="P11458">
        <v>0</v>
      </c>
      <c r="Q11458">
        <v>10</v>
      </c>
      <c r="R11458" t="s">
        <v>44774</v>
      </c>
      <c r="S11458" t="s">
        <v>45266</v>
      </c>
      <c r="T11458" t="s">
        <v>46361</v>
      </c>
      <c r="U11458" t="s">
        <v>56350</v>
      </c>
      <c r="W11458" t="s">
        <v>44218</v>
      </c>
      <c r="X11458" t="s">
        <v>44775</v>
      </c>
    </row>
    <row r="11459" spans="1:24">
      <c r="A11459">
        <f>HYPERLINK("https://www.philgeps.gov.ph/GEPSNONPILOT/Tender/SplashBidNoticeAbstractUI.aspx?menuIndex=3&amp;refID=7128552&amp;Result=3","7128552")</f>
        <v>0</v>
      </c>
      <c r="B11459" t="s">
        <v>2456</v>
      </c>
      <c r="C11459" t="s">
        <v>14644</v>
      </c>
      <c r="D11459" t="s">
        <v>17998</v>
      </c>
      <c r="E11459" t="s">
        <v>27934</v>
      </c>
      <c r="F11459" t="s">
        <v>30900</v>
      </c>
      <c r="G11459" t="s">
        <v>30907</v>
      </c>
      <c r="H11459" t="s">
        <v>30916</v>
      </c>
      <c r="I11459" t="s">
        <v>8123</v>
      </c>
      <c r="J11459" t="s">
        <v>38171</v>
      </c>
      <c r="K11459" t="s">
        <v>40284</v>
      </c>
      <c r="M11459" t="s">
        <v>43193</v>
      </c>
      <c r="N11459" t="s">
        <v>44759</v>
      </c>
      <c r="O11459" t="s">
        <v>44760</v>
      </c>
      <c r="P11459">
        <v>0</v>
      </c>
      <c r="Q11459">
        <v>1</v>
      </c>
      <c r="R11459" t="s">
        <v>44774</v>
      </c>
      <c r="S11459" t="s">
        <v>45266</v>
      </c>
      <c r="T11459" t="s">
        <v>46352</v>
      </c>
      <c r="U11459" t="s">
        <v>52923</v>
      </c>
      <c r="W11459" t="s">
        <v>43193</v>
      </c>
      <c r="X11459" t="s">
        <v>44775</v>
      </c>
    </row>
    <row r="11460" spans="1:24">
      <c r="A11460">
        <f>HYPERLINK("https://www.philgeps.gov.ph/GEPSNONPILOT/Tender/SplashBidNoticeAbstractUI.aspx?menuIndex=3&amp;refID=7128451&amp;Result=3","7128451")</f>
        <v>0</v>
      </c>
      <c r="B11460" t="s">
        <v>950</v>
      </c>
      <c r="C11460" t="s">
        <v>14645</v>
      </c>
      <c r="D11460" t="s">
        <v>17993</v>
      </c>
      <c r="E11460" t="s">
        <v>27935</v>
      </c>
      <c r="F11460" t="s">
        <v>30900</v>
      </c>
      <c r="G11460" t="s">
        <v>30907</v>
      </c>
      <c r="H11460" t="s">
        <v>30915</v>
      </c>
      <c r="I11460" t="s">
        <v>30919</v>
      </c>
      <c r="J11460" t="s">
        <v>34657</v>
      </c>
      <c r="K11460" t="s">
        <v>40436</v>
      </c>
      <c r="M11460" t="s">
        <v>41535</v>
      </c>
      <c r="N11460" t="s">
        <v>44759</v>
      </c>
      <c r="O11460" t="s">
        <v>44760</v>
      </c>
      <c r="P11460">
        <v>0</v>
      </c>
      <c r="Q11460">
        <v>0</v>
      </c>
      <c r="R11460" t="s">
        <v>44774</v>
      </c>
      <c r="S11460" t="s">
        <v>45266</v>
      </c>
      <c r="T11460" t="s">
        <v>46422</v>
      </c>
      <c r="U11460" t="s">
        <v>56351</v>
      </c>
      <c r="W11460" t="s">
        <v>41535</v>
      </c>
      <c r="X11460" t="s">
        <v>44775</v>
      </c>
    </row>
    <row r="11461" spans="1:24">
      <c r="A11461">
        <f>HYPERLINK("https://www.philgeps.gov.ph/GEPSNONPILOT/Tender/SplashBidNoticeAbstractUI.aspx?menuIndex=3&amp;refID=7128536&amp;Result=3","7128536")</f>
        <v>0</v>
      </c>
      <c r="B11461" t="s">
        <v>2042</v>
      </c>
      <c r="C11461" t="s">
        <v>14646</v>
      </c>
      <c r="D11461" t="s">
        <v>17969</v>
      </c>
      <c r="E11461" t="s">
        <v>27936</v>
      </c>
      <c r="F11461" t="s">
        <v>30900</v>
      </c>
      <c r="G11461" t="s">
        <v>30907</v>
      </c>
      <c r="H11461" t="s">
        <v>30915</v>
      </c>
      <c r="I11461" t="s">
        <v>30919</v>
      </c>
      <c r="J11461" t="s">
        <v>38172</v>
      </c>
      <c r="K11461" t="s">
        <v>40289</v>
      </c>
      <c r="M11461" t="s">
        <v>42739</v>
      </c>
      <c r="N11461" t="s">
        <v>44759</v>
      </c>
      <c r="O11461" t="s">
        <v>44760</v>
      </c>
      <c r="P11461">
        <v>0</v>
      </c>
      <c r="Q11461">
        <v>8</v>
      </c>
      <c r="R11461" t="s">
        <v>44774</v>
      </c>
      <c r="S11461" t="s">
        <v>45266</v>
      </c>
      <c r="T11461" t="s">
        <v>46881</v>
      </c>
      <c r="U11461" t="s">
        <v>56352</v>
      </c>
      <c r="V11461" t="s">
        <v>60413</v>
      </c>
      <c r="W11461" t="s">
        <v>42739</v>
      </c>
      <c r="X11461" t="s">
        <v>44775</v>
      </c>
    </row>
    <row r="11462" spans="1:24">
      <c r="A11462">
        <f>HYPERLINK("https://www.philgeps.gov.ph/GEPSNONPILOT/Tender/SplashBidNoticeAbstractUI.aspx?menuIndex=3&amp;refID=7128523&amp;Result=3","7128523")</f>
        <v>0</v>
      </c>
      <c r="B11462" t="s">
        <v>2095</v>
      </c>
      <c r="C11462" t="s">
        <v>14647</v>
      </c>
      <c r="D11462" t="s">
        <v>17975</v>
      </c>
      <c r="E11462" t="s">
        <v>20219</v>
      </c>
      <c r="F11462" t="s">
        <v>30900</v>
      </c>
      <c r="G11462" t="s">
        <v>30907</v>
      </c>
      <c r="H11462" t="s">
        <v>30915</v>
      </c>
      <c r="I11462" t="s">
        <v>30919</v>
      </c>
      <c r="J11462" t="s">
        <v>32324</v>
      </c>
      <c r="K11462" t="s">
        <v>40304</v>
      </c>
      <c r="M11462" t="s">
        <v>42794</v>
      </c>
      <c r="N11462" t="s">
        <v>44759</v>
      </c>
      <c r="O11462" t="s">
        <v>44760</v>
      </c>
      <c r="P11462">
        <v>0</v>
      </c>
      <c r="Q11462">
        <v>3</v>
      </c>
      <c r="R11462" t="s">
        <v>44774</v>
      </c>
      <c r="S11462" t="s">
        <v>45266</v>
      </c>
      <c r="T11462" t="s">
        <v>46389</v>
      </c>
      <c r="U11462" t="s">
        <v>56353</v>
      </c>
      <c r="W11462" t="s">
        <v>42794</v>
      </c>
      <c r="X11462" t="s">
        <v>44775</v>
      </c>
    </row>
    <row r="11463" spans="1:24">
      <c r="A11463">
        <f>HYPERLINK("https://www.philgeps.gov.ph/GEPSNONPILOT/Tender/SplashBidNoticeAbstractUI.aspx?menuIndex=3&amp;refID=7128521&amp;Result=3","7128521")</f>
        <v>0</v>
      </c>
      <c r="B11463" t="s">
        <v>3345</v>
      </c>
      <c r="C11463" t="s">
        <v>14648</v>
      </c>
      <c r="D11463" t="s">
        <v>17953</v>
      </c>
      <c r="E11463" t="s">
        <v>27937</v>
      </c>
      <c r="F11463" t="s">
        <v>30900</v>
      </c>
      <c r="G11463" t="s">
        <v>30907</v>
      </c>
      <c r="H11463" t="s">
        <v>30916</v>
      </c>
      <c r="I11463" t="s">
        <v>11785</v>
      </c>
      <c r="J11463" t="s">
        <v>38173</v>
      </c>
      <c r="K11463" t="s">
        <v>40281</v>
      </c>
      <c r="M11463" t="s">
        <v>44213</v>
      </c>
      <c r="N11463" t="s">
        <v>44759</v>
      </c>
      <c r="O11463" t="s">
        <v>44760</v>
      </c>
      <c r="P11463">
        <v>0</v>
      </c>
      <c r="Q11463">
        <v>3</v>
      </c>
      <c r="R11463" t="s">
        <v>44774</v>
      </c>
      <c r="S11463" t="s">
        <v>45266</v>
      </c>
      <c r="T11463" t="s">
        <v>46396</v>
      </c>
      <c r="U11463" t="s">
        <v>56354</v>
      </c>
      <c r="W11463" t="s">
        <v>44213</v>
      </c>
      <c r="X11463" t="s">
        <v>44775</v>
      </c>
    </row>
    <row r="11464" spans="1:24">
      <c r="A11464">
        <f>HYPERLINK("https://www.philgeps.gov.ph/GEPSNONPILOT/Tender/SplashBidNoticeAbstractUI.aspx?menuIndex=3&amp;refID=7128518&amp;Result=3","7128518")</f>
        <v>0</v>
      </c>
      <c r="B11464" t="s">
        <v>584</v>
      </c>
      <c r="C11464" t="s">
        <v>14649</v>
      </c>
      <c r="D11464" t="s">
        <v>17969</v>
      </c>
      <c r="E11464" t="s">
        <v>27938</v>
      </c>
      <c r="F11464" t="s">
        <v>30900</v>
      </c>
      <c r="G11464" t="s">
        <v>30907</v>
      </c>
      <c r="H11464" t="s">
        <v>30915</v>
      </c>
      <c r="I11464" t="s">
        <v>30919</v>
      </c>
      <c r="J11464" t="s">
        <v>38174</v>
      </c>
      <c r="K11464" t="s">
        <v>40289</v>
      </c>
      <c r="M11464" t="s">
        <v>41146</v>
      </c>
      <c r="N11464" t="s">
        <v>44759</v>
      </c>
      <c r="O11464" t="s">
        <v>44760</v>
      </c>
      <c r="P11464">
        <v>0</v>
      </c>
      <c r="Q11464">
        <v>1</v>
      </c>
      <c r="R11464" t="s">
        <v>44774</v>
      </c>
      <c r="S11464" t="s">
        <v>45266</v>
      </c>
      <c r="T11464" t="s">
        <v>46418</v>
      </c>
      <c r="U11464" t="s">
        <v>47956</v>
      </c>
      <c r="W11464" t="s">
        <v>41146</v>
      </c>
      <c r="X11464" t="s">
        <v>44775</v>
      </c>
    </row>
    <row r="11465" spans="1:24">
      <c r="A11465">
        <f>HYPERLINK("https://www.philgeps.gov.ph/GEPSNONPILOT/Tender/SplashBidNoticeAbstractUI.aspx?menuIndex=3&amp;refID=7128528&amp;Result=3","7128528")</f>
        <v>0</v>
      </c>
      <c r="B11465" t="s">
        <v>237</v>
      </c>
      <c r="C11465" t="s">
        <v>14650</v>
      </c>
      <c r="E11465" t="s">
        <v>27939</v>
      </c>
      <c r="F11465" t="s">
        <v>30900</v>
      </c>
      <c r="G11465" t="s">
        <v>30907</v>
      </c>
      <c r="H11465" t="s">
        <v>30916</v>
      </c>
      <c r="I11465" t="s">
        <v>30921</v>
      </c>
      <c r="J11465" t="s">
        <v>38175</v>
      </c>
      <c r="K11465" t="s">
        <v>40289</v>
      </c>
      <c r="M11465" t="s">
        <v>44204</v>
      </c>
      <c r="N11465" t="s">
        <v>44759</v>
      </c>
      <c r="O11465" t="s">
        <v>44760</v>
      </c>
      <c r="P11465">
        <v>0</v>
      </c>
      <c r="Q11465">
        <v>9</v>
      </c>
      <c r="R11465" t="s">
        <v>44774</v>
      </c>
      <c r="S11465" t="s">
        <v>45266</v>
      </c>
      <c r="T11465" t="s">
        <v>46725</v>
      </c>
      <c r="U11465" t="s">
        <v>56355</v>
      </c>
      <c r="W11465" t="s">
        <v>44204</v>
      </c>
      <c r="X11465" t="s">
        <v>44775</v>
      </c>
    </row>
    <row r="11466" spans="1:24">
      <c r="A11466">
        <f>HYPERLINK("https://www.philgeps.gov.ph/GEPSNONPILOT/Tender/SplashBidNoticeAbstractUI.aspx?menuIndex=3&amp;refID=7128509&amp;Result=3","7128509")</f>
        <v>0</v>
      </c>
      <c r="B11466" t="s">
        <v>950</v>
      </c>
      <c r="C11466" t="s">
        <v>14651</v>
      </c>
      <c r="D11466" t="s">
        <v>17993</v>
      </c>
      <c r="E11466" t="s">
        <v>27940</v>
      </c>
      <c r="F11466" t="s">
        <v>30900</v>
      </c>
      <c r="G11466" t="s">
        <v>30907</v>
      </c>
      <c r="H11466" t="s">
        <v>30915</v>
      </c>
      <c r="I11466" t="s">
        <v>30919</v>
      </c>
      <c r="J11466" t="s">
        <v>31153</v>
      </c>
      <c r="K11466" t="s">
        <v>40309</v>
      </c>
      <c r="M11466" t="s">
        <v>41535</v>
      </c>
      <c r="N11466" t="s">
        <v>44759</v>
      </c>
      <c r="O11466" t="s">
        <v>44760</v>
      </c>
      <c r="P11466">
        <v>0</v>
      </c>
      <c r="Q11466">
        <v>1</v>
      </c>
      <c r="R11466" t="s">
        <v>44774</v>
      </c>
      <c r="S11466" t="s">
        <v>45266</v>
      </c>
      <c r="T11466" t="s">
        <v>46422</v>
      </c>
      <c r="U11466" t="s">
        <v>56356</v>
      </c>
      <c r="W11466" t="s">
        <v>41535</v>
      </c>
      <c r="X11466" t="s">
        <v>44775</v>
      </c>
    </row>
    <row r="11467" spans="1:24">
      <c r="A11467">
        <f>HYPERLINK("https://www.philgeps.gov.ph/GEPSNONPILOT/Tender/SplashBidNoticeAbstractUI.aspx?menuIndex=3&amp;refID=7128516&amp;Result=3","7128516")</f>
        <v>0</v>
      </c>
      <c r="B11467" t="s">
        <v>2801</v>
      </c>
      <c r="C11467" t="s">
        <v>14652</v>
      </c>
      <c r="D11467" t="s">
        <v>17968</v>
      </c>
      <c r="E11467" t="s">
        <v>27941</v>
      </c>
      <c r="F11467" t="s">
        <v>30900</v>
      </c>
      <c r="G11467" t="s">
        <v>30907</v>
      </c>
      <c r="H11467" t="s">
        <v>30915</v>
      </c>
      <c r="I11467" t="s">
        <v>30919</v>
      </c>
      <c r="J11467" t="s">
        <v>38176</v>
      </c>
      <c r="K11467" t="s">
        <v>40292</v>
      </c>
      <c r="M11467" t="s">
        <v>43586</v>
      </c>
      <c r="N11467" t="s">
        <v>44759</v>
      </c>
      <c r="O11467" t="s">
        <v>44760</v>
      </c>
      <c r="P11467">
        <v>0</v>
      </c>
      <c r="Q11467">
        <v>2</v>
      </c>
      <c r="R11467" t="s">
        <v>44774</v>
      </c>
      <c r="S11467" t="s">
        <v>45266</v>
      </c>
      <c r="T11467" t="s">
        <v>46467</v>
      </c>
      <c r="U11467" t="s">
        <v>56357</v>
      </c>
      <c r="W11467" t="s">
        <v>43586</v>
      </c>
      <c r="X11467" t="s">
        <v>44775</v>
      </c>
    </row>
    <row r="11468" spans="1:24">
      <c r="A11468">
        <f>HYPERLINK("https://www.philgeps.gov.ph/GEPSNONPILOT/Tender/SplashBidNoticeAbstractUI.aspx?menuIndex=3&amp;refID=7128495&amp;Result=3","7128495")</f>
        <v>0</v>
      </c>
      <c r="B11468" t="s">
        <v>3347</v>
      </c>
      <c r="C11468" t="s">
        <v>14653</v>
      </c>
      <c r="D11468" t="s">
        <v>18002</v>
      </c>
      <c r="E11468" t="s">
        <v>25592</v>
      </c>
      <c r="F11468" t="s">
        <v>30900</v>
      </c>
      <c r="G11468" t="s">
        <v>30907</v>
      </c>
      <c r="H11468" t="s">
        <v>30915</v>
      </c>
      <c r="I11468" t="s">
        <v>30919</v>
      </c>
      <c r="J11468" t="s">
        <v>38177</v>
      </c>
      <c r="K11468" t="s">
        <v>40387</v>
      </c>
      <c r="M11468" t="s">
        <v>44215</v>
      </c>
      <c r="N11468" t="s">
        <v>44759</v>
      </c>
      <c r="O11468" t="s">
        <v>44760</v>
      </c>
      <c r="P11468">
        <v>0</v>
      </c>
      <c r="Q11468">
        <v>6</v>
      </c>
      <c r="R11468" t="s">
        <v>44774</v>
      </c>
      <c r="S11468" t="s">
        <v>45266</v>
      </c>
      <c r="T11468" t="s">
        <v>46409</v>
      </c>
      <c r="U11468" t="s">
        <v>56328</v>
      </c>
      <c r="V11468" t="s">
        <v>60414</v>
      </c>
      <c r="W11468" t="s">
        <v>44215</v>
      </c>
      <c r="X11468" t="s">
        <v>44775</v>
      </c>
    </row>
    <row r="11469" spans="1:24">
      <c r="A11469">
        <f>HYPERLINK("https://www.philgeps.gov.ph/GEPSNONPILOT/Tender/SplashBidNoticeAbstractUI.aspx?menuIndex=3&amp;refID=7128195&amp;Result=3","7128195")</f>
        <v>0</v>
      </c>
      <c r="B11469" t="s">
        <v>2971</v>
      </c>
      <c r="C11469" t="s">
        <v>14654</v>
      </c>
      <c r="D11469" t="s">
        <v>17992</v>
      </c>
      <c r="E11469" t="s">
        <v>27942</v>
      </c>
      <c r="F11469" t="s">
        <v>30900</v>
      </c>
      <c r="G11469" t="s">
        <v>30907</v>
      </c>
      <c r="H11469" t="s">
        <v>30915</v>
      </c>
      <c r="I11469" t="s">
        <v>30919</v>
      </c>
      <c r="J11469" t="s">
        <v>38178</v>
      </c>
      <c r="K11469" t="s">
        <v>40311</v>
      </c>
      <c r="M11469" t="s">
        <v>43772</v>
      </c>
      <c r="N11469" t="s">
        <v>44759</v>
      </c>
      <c r="O11469" t="s">
        <v>44760</v>
      </c>
      <c r="P11469">
        <v>0</v>
      </c>
      <c r="Q11469">
        <v>0</v>
      </c>
      <c r="R11469" t="s">
        <v>44774</v>
      </c>
      <c r="S11469" t="s">
        <v>45266</v>
      </c>
      <c r="T11469" t="s">
        <v>46366</v>
      </c>
      <c r="U11469" t="s">
        <v>56358</v>
      </c>
      <c r="W11469" t="s">
        <v>43772</v>
      </c>
      <c r="X11469" t="s">
        <v>44775</v>
      </c>
    </row>
    <row r="11470" spans="1:24">
      <c r="A11470">
        <f>HYPERLINK("https://www.philgeps.gov.ph/GEPSNONPILOT/Tender/SplashBidNoticeAbstractUI.aspx?menuIndex=3&amp;refID=7128448&amp;Result=3","7128448")</f>
        <v>0</v>
      </c>
      <c r="B11470" t="s">
        <v>237</v>
      </c>
      <c r="C11470" t="s">
        <v>14655</v>
      </c>
      <c r="E11470" t="s">
        <v>27943</v>
      </c>
      <c r="F11470" t="s">
        <v>30900</v>
      </c>
      <c r="G11470" t="s">
        <v>30907</v>
      </c>
      <c r="H11470" t="s">
        <v>30916</v>
      </c>
      <c r="I11470" t="s">
        <v>30939</v>
      </c>
      <c r="J11470" t="s">
        <v>38179</v>
      </c>
      <c r="K11470" t="s">
        <v>40289</v>
      </c>
      <c r="M11470" t="s">
        <v>44204</v>
      </c>
      <c r="N11470" t="s">
        <v>44759</v>
      </c>
      <c r="O11470" t="s">
        <v>44760</v>
      </c>
      <c r="P11470">
        <v>0</v>
      </c>
      <c r="Q11470">
        <v>4</v>
      </c>
      <c r="R11470" t="s">
        <v>44774</v>
      </c>
      <c r="S11470" t="s">
        <v>45266</v>
      </c>
      <c r="T11470" t="s">
        <v>46725</v>
      </c>
      <c r="U11470" t="s">
        <v>56359</v>
      </c>
      <c r="W11470" t="s">
        <v>44204</v>
      </c>
      <c r="X11470" t="s">
        <v>44775</v>
      </c>
    </row>
    <row r="11471" spans="1:24">
      <c r="A11471">
        <f>HYPERLINK("https://www.philgeps.gov.ph/GEPSNONPILOT/Tender/SplashBidNoticeAbstractUI.aspx?menuIndex=3&amp;refID=7128489&amp;Result=3","7128489")</f>
        <v>0</v>
      </c>
      <c r="B11471" t="s">
        <v>237</v>
      </c>
      <c r="C11471" t="s">
        <v>14656</v>
      </c>
      <c r="E11471" t="s">
        <v>27944</v>
      </c>
      <c r="F11471" t="s">
        <v>30900</v>
      </c>
      <c r="G11471" t="s">
        <v>30907</v>
      </c>
      <c r="H11471" t="s">
        <v>30916</v>
      </c>
      <c r="I11471" t="s">
        <v>5501</v>
      </c>
      <c r="J11471" t="s">
        <v>38180</v>
      </c>
      <c r="K11471" t="s">
        <v>40289</v>
      </c>
      <c r="M11471" t="s">
        <v>44204</v>
      </c>
      <c r="N11471" t="s">
        <v>44759</v>
      </c>
      <c r="O11471" t="s">
        <v>44760</v>
      </c>
      <c r="P11471">
        <v>0</v>
      </c>
      <c r="Q11471">
        <v>11</v>
      </c>
      <c r="R11471" t="s">
        <v>44774</v>
      </c>
      <c r="S11471" t="s">
        <v>45266</v>
      </c>
      <c r="T11471" t="s">
        <v>46725</v>
      </c>
      <c r="U11471" t="s">
        <v>56360</v>
      </c>
      <c r="W11471" t="s">
        <v>44204</v>
      </c>
      <c r="X11471" t="s">
        <v>44775</v>
      </c>
    </row>
    <row r="11472" spans="1:24">
      <c r="A11472">
        <f>HYPERLINK("https://www.philgeps.gov.ph/GEPSNONPILOT/Tender/SplashBidNoticeAbstractUI.aspx?menuIndex=3&amp;refID=7128475&amp;Result=3","7128475")</f>
        <v>0</v>
      </c>
      <c r="B11472" t="s">
        <v>526</v>
      </c>
      <c r="C11472" t="s">
        <v>14657</v>
      </c>
      <c r="D11472" t="s">
        <v>17984</v>
      </c>
      <c r="E11472" t="s">
        <v>27945</v>
      </c>
      <c r="F11472" t="s">
        <v>30900</v>
      </c>
      <c r="G11472" t="s">
        <v>30907</v>
      </c>
      <c r="H11472" t="s">
        <v>30915</v>
      </c>
      <c r="I11472" t="s">
        <v>30919</v>
      </c>
      <c r="J11472" t="s">
        <v>33700</v>
      </c>
      <c r="K11472" t="s">
        <v>40286</v>
      </c>
      <c r="M11472" t="s">
        <v>41086</v>
      </c>
      <c r="N11472" t="s">
        <v>44759</v>
      </c>
      <c r="O11472" t="s">
        <v>44760</v>
      </c>
      <c r="P11472">
        <v>0</v>
      </c>
      <c r="Q11472">
        <v>0</v>
      </c>
      <c r="R11472" t="s">
        <v>44774</v>
      </c>
      <c r="S11472" t="s">
        <v>45266</v>
      </c>
      <c r="T11472" t="s">
        <v>46399</v>
      </c>
      <c r="U11472" t="s">
        <v>56361</v>
      </c>
      <c r="W11472" t="s">
        <v>41086</v>
      </c>
      <c r="X11472" t="s">
        <v>44775</v>
      </c>
    </row>
    <row r="11473" spans="1:24">
      <c r="A11473">
        <f>HYPERLINK("https://www.philgeps.gov.ph/GEPSNONPILOT/Tender/SplashBidNoticeAbstractUI.aspx?menuIndex=3&amp;refID=7128496&amp;Result=3","7128496")</f>
        <v>0</v>
      </c>
      <c r="B11473" t="s">
        <v>2024</v>
      </c>
      <c r="C11473" t="s">
        <v>14658</v>
      </c>
      <c r="D11473" t="s">
        <v>17973</v>
      </c>
      <c r="E11473" t="s">
        <v>27946</v>
      </c>
      <c r="F11473" t="s">
        <v>30900</v>
      </c>
      <c r="G11473" t="s">
        <v>30910</v>
      </c>
      <c r="H11473" t="s">
        <v>30916</v>
      </c>
      <c r="I11473" t="s">
        <v>4142</v>
      </c>
      <c r="J11473" t="s">
        <v>38181</v>
      </c>
      <c r="K11473" t="s">
        <v>40289</v>
      </c>
      <c r="M11473" t="s">
        <v>42720</v>
      </c>
      <c r="N11473" t="s">
        <v>44759</v>
      </c>
      <c r="O11473" t="s">
        <v>44760</v>
      </c>
      <c r="Q11473">
        <v>3</v>
      </c>
      <c r="R11473" t="s">
        <v>44774</v>
      </c>
      <c r="S11473" t="s">
        <v>45171</v>
      </c>
      <c r="T11473" t="s">
        <v>46533</v>
      </c>
      <c r="U11473" t="s">
        <v>56362</v>
      </c>
      <c r="W11473" t="s">
        <v>42720</v>
      </c>
      <c r="X11473" t="s">
        <v>44775</v>
      </c>
    </row>
    <row r="11474" spans="1:24">
      <c r="A11474">
        <f>HYPERLINK("https://www.philgeps.gov.ph/GEPSNONPILOT/Tender/SplashBidNoticeAbstractUI.aspx?menuIndex=3&amp;refID=7128401&amp;Result=3","7128401")</f>
        <v>0</v>
      </c>
      <c r="B11474" t="s">
        <v>3335</v>
      </c>
      <c r="C11474" t="s">
        <v>14659</v>
      </c>
      <c r="D11474" t="s">
        <v>17969</v>
      </c>
      <c r="E11474" t="s">
        <v>27947</v>
      </c>
      <c r="F11474" t="s">
        <v>30900</v>
      </c>
      <c r="G11474" t="s">
        <v>30907</v>
      </c>
      <c r="H11474" t="s">
        <v>30916</v>
      </c>
      <c r="I11474" t="s">
        <v>8123</v>
      </c>
      <c r="J11474" t="s">
        <v>38071</v>
      </c>
      <c r="K11474" t="s">
        <v>40283</v>
      </c>
      <c r="M11474" t="s">
        <v>44197</v>
      </c>
      <c r="N11474" t="s">
        <v>44759</v>
      </c>
      <c r="O11474" t="s">
        <v>44760</v>
      </c>
      <c r="P11474">
        <v>0</v>
      </c>
      <c r="Q11474">
        <v>0</v>
      </c>
      <c r="R11474" t="s">
        <v>44774</v>
      </c>
      <c r="S11474" t="s">
        <v>45266</v>
      </c>
      <c r="T11474" t="s">
        <v>46414</v>
      </c>
      <c r="U11474" t="s">
        <v>56236</v>
      </c>
      <c r="W11474" t="s">
        <v>44197</v>
      </c>
      <c r="X11474" t="s">
        <v>44775</v>
      </c>
    </row>
    <row r="11475" spans="1:24">
      <c r="A11475">
        <f>HYPERLINK("https://www.philgeps.gov.ph/GEPSNONPILOT/Tender/SplashBidNoticeAbstractUI.aspx?menuIndex=3&amp;refID=7128488&amp;Result=3","7128488")</f>
        <v>0</v>
      </c>
      <c r="B11475" t="s">
        <v>2056</v>
      </c>
      <c r="C11475" t="s">
        <v>14660</v>
      </c>
      <c r="D11475" t="s">
        <v>17999</v>
      </c>
      <c r="E11475" t="s">
        <v>27948</v>
      </c>
      <c r="F11475" t="s">
        <v>30900</v>
      </c>
      <c r="G11475" t="s">
        <v>30907</v>
      </c>
      <c r="H11475" t="s">
        <v>30915</v>
      </c>
      <c r="I11475" t="s">
        <v>30919</v>
      </c>
      <c r="J11475" t="s">
        <v>31355</v>
      </c>
      <c r="K11475" t="s">
        <v>40289</v>
      </c>
      <c r="M11475" t="s">
        <v>42755</v>
      </c>
      <c r="N11475" t="s">
        <v>44759</v>
      </c>
      <c r="O11475" t="s">
        <v>44760</v>
      </c>
      <c r="P11475">
        <v>0</v>
      </c>
      <c r="Q11475">
        <v>0</v>
      </c>
      <c r="R11475" t="s">
        <v>44774</v>
      </c>
      <c r="S11475" t="s">
        <v>45266</v>
      </c>
      <c r="T11475" t="s">
        <v>46418</v>
      </c>
      <c r="U11475" t="s">
        <v>56363</v>
      </c>
      <c r="W11475" t="s">
        <v>42755</v>
      </c>
      <c r="X11475" t="s">
        <v>44775</v>
      </c>
    </row>
    <row r="11476" spans="1:24">
      <c r="A11476">
        <f>HYPERLINK("https://www.philgeps.gov.ph/GEPSNONPILOT/Tender/SplashBidNoticeAbstractUI.aspx?menuIndex=3&amp;refID=7128499&amp;Result=3","7128499")</f>
        <v>0</v>
      </c>
      <c r="B11476" t="s">
        <v>3350</v>
      </c>
      <c r="C11476" t="s">
        <v>14661</v>
      </c>
      <c r="D11476" t="s">
        <v>17975</v>
      </c>
      <c r="E11476" t="s">
        <v>27949</v>
      </c>
      <c r="F11476" t="s">
        <v>30900</v>
      </c>
      <c r="G11476" t="s">
        <v>30907</v>
      </c>
      <c r="H11476" t="s">
        <v>30916</v>
      </c>
      <c r="I11476" t="s">
        <v>8123</v>
      </c>
      <c r="J11476" t="s">
        <v>38182</v>
      </c>
      <c r="K11476" t="s">
        <v>40294</v>
      </c>
      <c r="M11476" t="s">
        <v>44219</v>
      </c>
      <c r="N11476" t="s">
        <v>44759</v>
      </c>
      <c r="O11476" t="s">
        <v>44760</v>
      </c>
      <c r="P11476">
        <v>0</v>
      </c>
      <c r="Q11476">
        <v>0</v>
      </c>
      <c r="R11476" t="s">
        <v>44774</v>
      </c>
      <c r="S11476" t="s">
        <v>45266</v>
      </c>
      <c r="T11476" t="s">
        <v>46533</v>
      </c>
      <c r="U11476" t="s">
        <v>56364</v>
      </c>
      <c r="V11476" t="s">
        <v>60415</v>
      </c>
      <c r="W11476" t="s">
        <v>44219</v>
      </c>
      <c r="X11476" t="s">
        <v>44775</v>
      </c>
    </row>
    <row r="11477" spans="1:24">
      <c r="A11477">
        <f>HYPERLINK("https://www.philgeps.gov.ph/GEPSNONPILOT/Tender/SplashBidNoticeAbstractUI.aspx?menuIndex=3&amp;refID=7128197&amp;Result=3","7128197")</f>
        <v>0</v>
      </c>
      <c r="B11477" t="s">
        <v>2636</v>
      </c>
      <c r="C11477" t="s">
        <v>14662</v>
      </c>
      <c r="D11477" t="s">
        <v>18003</v>
      </c>
      <c r="E11477" t="s">
        <v>27950</v>
      </c>
      <c r="F11477" t="s">
        <v>30900</v>
      </c>
      <c r="G11477" t="s">
        <v>30907</v>
      </c>
      <c r="H11477" t="s">
        <v>30915</v>
      </c>
      <c r="I11477" t="s">
        <v>30919</v>
      </c>
      <c r="J11477" t="s">
        <v>38183</v>
      </c>
      <c r="K11477" t="s">
        <v>40280</v>
      </c>
      <c r="M11477" t="s">
        <v>43402</v>
      </c>
      <c r="N11477" t="s">
        <v>44759</v>
      </c>
      <c r="O11477" t="s">
        <v>44760</v>
      </c>
      <c r="P11477">
        <v>0</v>
      </c>
      <c r="Q11477">
        <v>0</v>
      </c>
      <c r="R11477" t="s">
        <v>44774</v>
      </c>
      <c r="S11477" t="s">
        <v>45266</v>
      </c>
      <c r="T11477" t="s">
        <v>46488</v>
      </c>
      <c r="U11477" t="s">
        <v>56365</v>
      </c>
      <c r="W11477" t="s">
        <v>43402</v>
      </c>
      <c r="X11477" t="s">
        <v>44775</v>
      </c>
    </row>
    <row r="11478" spans="1:24">
      <c r="A11478">
        <f>HYPERLINK("https://www.philgeps.gov.ph/GEPSNONPILOT/Tender/SplashBidNoticeAbstractUI.aspx?menuIndex=3&amp;refID=7128477&amp;Result=3","7128477")</f>
        <v>0</v>
      </c>
      <c r="B11478" t="s">
        <v>708</v>
      </c>
      <c r="C11478" t="s">
        <v>14663</v>
      </c>
      <c r="E11478" t="s">
        <v>27951</v>
      </c>
      <c r="F11478" t="s">
        <v>30900</v>
      </c>
      <c r="G11478" t="s">
        <v>30907</v>
      </c>
      <c r="H11478" t="s">
        <v>30916</v>
      </c>
      <c r="I11478" t="s">
        <v>4017</v>
      </c>
      <c r="J11478" t="s">
        <v>38184</v>
      </c>
      <c r="K11478" t="s">
        <v>40289</v>
      </c>
      <c r="M11478" t="s">
        <v>44208</v>
      </c>
      <c r="N11478" t="s">
        <v>44759</v>
      </c>
      <c r="O11478" t="s">
        <v>44760</v>
      </c>
      <c r="P11478">
        <v>0</v>
      </c>
      <c r="Q11478">
        <v>12</v>
      </c>
      <c r="R11478" t="s">
        <v>44774</v>
      </c>
      <c r="S11478" t="s">
        <v>45266</v>
      </c>
      <c r="T11478" t="s">
        <v>46409</v>
      </c>
      <c r="U11478" t="s">
        <v>56366</v>
      </c>
      <c r="W11478" t="s">
        <v>44208</v>
      </c>
      <c r="X11478" t="s">
        <v>44775</v>
      </c>
    </row>
    <row r="11479" spans="1:24">
      <c r="A11479">
        <f>HYPERLINK("https://www.philgeps.gov.ph/GEPSNONPILOT/Tender/SplashBidNoticeAbstractUI.aspx?menuIndex=3&amp;refID=7128710&amp;Result=3","7128710")</f>
        <v>0</v>
      </c>
      <c r="B11479" t="s">
        <v>3351</v>
      </c>
      <c r="C11479" t="s">
        <v>14664</v>
      </c>
      <c r="D11479" t="s">
        <v>17990</v>
      </c>
      <c r="E11479" t="s">
        <v>27952</v>
      </c>
      <c r="F11479" t="s">
        <v>30900</v>
      </c>
      <c r="G11479" t="s">
        <v>30907</v>
      </c>
      <c r="H11479" t="s">
        <v>30916</v>
      </c>
      <c r="I11479" t="s">
        <v>5501</v>
      </c>
      <c r="J11479" t="s">
        <v>38185</v>
      </c>
      <c r="K11479" t="s">
        <v>40289</v>
      </c>
      <c r="M11479" t="s">
        <v>44220</v>
      </c>
      <c r="N11479" t="s">
        <v>44759</v>
      </c>
      <c r="O11479" t="s">
        <v>44760</v>
      </c>
      <c r="P11479">
        <v>0</v>
      </c>
      <c r="Q11479">
        <v>5</v>
      </c>
      <c r="R11479" t="s">
        <v>44774</v>
      </c>
      <c r="S11479" t="s">
        <v>45266</v>
      </c>
      <c r="T11479" t="s">
        <v>46429</v>
      </c>
      <c r="U11479" t="s">
        <v>56367</v>
      </c>
      <c r="W11479" t="s">
        <v>44220</v>
      </c>
      <c r="X11479" t="s">
        <v>44775</v>
      </c>
    </row>
    <row r="11480" spans="1:24">
      <c r="A11480">
        <f>HYPERLINK("https://www.philgeps.gov.ph/GEPSNONPILOT/Tender/SplashBidNoticeAbstractUI.aspx?menuIndex=3&amp;refID=7128688&amp;Result=3","7128688")</f>
        <v>0</v>
      </c>
      <c r="B11480" t="s">
        <v>2152</v>
      </c>
      <c r="C11480" t="s">
        <v>14665</v>
      </c>
      <c r="D11480" t="s">
        <v>18019</v>
      </c>
      <c r="E11480" t="s">
        <v>27953</v>
      </c>
      <c r="F11480" t="s">
        <v>30900</v>
      </c>
      <c r="G11480" t="s">
        <v>30907</v>
      </c>
      <c r="H11480" t="s">
        <v>30915</v>
      </c>
      <c r="I11480" t="s">
        <v>30919</v>
      </c>
      <c r="J11480" t="s">
        <v>38186</v>
      </c>
      <c r="K11480" t="s">
        <v>40519</v>
      </c>
      <c r="M11480" t="s">
        <v>43265</v>
      </c>
      <c r="N11480" t="s">
        <v>44759</v>
      </c>
      <c r="O11480" t="s">
        <v>44760</v>
      </c>
      <c r="P11480">
        <v>0</v>
      </c>
      <c r="Q11480">
        <v>1</v>
      </c>
      <c r="R11480" t="s">
        <v>44774</v>
      </c>
      <c r="S11480" t="s">
        <v>45266</v>
      </c>
      <c r="T11480" t="s">
        <v>46725</v>
      </c>
      <c r="U11480" t="s">
        <v>56368</v>
      </c>
      <c r="W11480" t="s">
        <v>43265</v>
      </c>
      <c r="X11480" t="s">
        <v>44775</v>
      </c>
    </row>
    <row r="11481" spans="1:24">
      <c r="A11481">
        <f>HYPERLINK("https://www.philgeps.gov.ph/GEPSNONPILOT/Tender/SplashBidNoticeAbstractUI.aspx?menuIndex=3&amp;refID=7128561&amp;Result=3","7128561")</f>
        <v>0</v>
      </c>
      <c r="B11481" t="s">
        <v>2206</v>
      </c>
      <c r="C11481" t="s">
        <v>14666</v>
      </c>
      <c r="D11481" t="s">
        <v>17992</v>
      </c>
      <c r="E11481" t="s">
        <v>27954</v>
      </c>
      <c r="F11481" t="s">
        <v>30900</v>
      </c>
      <c r="G11481" t="s">
        <v>30907</v>
      </c>
      <c r="H11481" t="s">
        <v>30915</v>
      </c>
      <c r="I11481" t="s">
        <v>30919</v>
      </c>
      <c r="J11481" t="s">
        <v>38187</v>
      </c>
      <c r="K11481" t="s">
        <v>40403</v>
      </c>
      <c r="M11481" t="s">
        <v>42914</v>
      </c>
      <c r="N11481" t="s">
        <v>44759</v>
      </c>
      <c r="O11481" t="s">
        <v>44760</v>
      </c>
      <c r="P11481">
        <v>0</v>
      </c>
      <c r="Q11481">
        <v>1</v>
      </c>
      <c r="R11481" t="s">
        <v>44774</v>
      </c>
      <c r="S11481" t="s">
        <v>45266</v>
      </c>
      <c r="T11481" t="s">
        <v>46409</v>
      </c>
      <c r="U11481" t="s">
        <v>56369</v>
      </c>
      <c r="W11481" t="s">
        <v>42914</v>
      </c>
      <c r="X11481" t="s">
        <v>44775</v>
      </c>
    </row>
    <row r="11482" spans="1:24">
      <c r="A11482">
        <f>HYPERLINK("https://www.philgeps.gov.ph/GEPSNONPILOT/Tender/SplashBidNoticeAbstractUI.aspx?menuIndex=3&amp;refID=7128517&amp;Result=3","7128517")</f>
        <v>0</v>
      </c>
      <c r="B11482" t="s">
        <v>496</v>
      </c>
      <c r="C11482" t="s">
        <v>14667</v>
      </c>
      <c r="D11482" t="s">
        <v>18019</v>
      </c>
      <c r="E11482" t="s">
        <v>27955</v>
      </c>
      <c r="F11482" t="s">
        <v>30900</v>
      </c>
      <c r="G11482" t="s">
        <v>30908</v>
      </c>
      <c r="H11482" t="s">
        <v>7411</v>
      </c>
      <c r="I11482" t="s">
        <v>7411</v>
      </c>
      <c r="J11482" t="s">
        <v>38188</v>
      </c>
      <c r="K11482" t="s">
        <v>40327</v>
      </c>
      <c r="M11482" t="s">
        <v>41055</v>
      </c>
      <c r="N11482" t="s">
        <v>44759</v>
      </c>
      <c r="O11482" t="s">
        <v>44760</v>
      </c>
      <c r="P11482">
        <v>0</v>
      </c>
      <c r="Q11482">
        <v>4</v>
      </c>
      <c r="R11482" t="s">
        <v>44774</v>
      </c>
      <c r="S11482" t="s">
        <v>45266</v>
      </c>
      <c r="T11482" t="s">
        <v>46658</v>
      </c>
      <c r="U11482" t="s">
        <v>56370</v>
      </c>
      <c r="W11482" t="s">
        <v>41055</v>
      </c>
      <c r="X11482" t="s">
        <v>44775</v>
      </c>
    </row>
    <row r="11483" spans="1:24">
      <c r="A11483">
        <f>HYPERLINK("https://www.philgeps.gov.ph/GEPSNONPILOT/Tender/SplashBidNoticeAbstractUI.aspx?menuIndex=3&amp;refID=7128659&amp;Result=3","7128659")</f>
        <v>0</v>
      </c>
      <c r="B11483" t="s">
        <v>3352</v>
      </c>
      <c r="C11483" t="s">
        <v>14668</v>
      </c>
      <c r="E11483" t="s">
        <v>27956</v>
      </c>
      <c r="F11483" t="s">
        <v>30900</v>
      </c>
      <c r="G11483" t="s">
        <v>30907</v>
      </c>
      <c r="H11483" t="s">
        <v>30916</v>
      </c>
      <c r="I11483" t="s">
        <v>8123</v>
      </c>
      <c r="J11483" t="s">
        <v>38189</v>
      </c>
      <c r="K11483" t="s">
        <v>40314</v>
      </c>
      <c r="M11483" t="s">
        <v>44221</v>
      </c>
      <c r="N11483" t="s">
        <v>44759</v>
      </c>
      <c r="O11483" t="s">
        <v>44760</v>
      </c>
      <c r="P11483">
        <v>0</v>
      </c>
      <c r="Q11483">
        <v>1</v>
      </c>
      <c r="R11483" t="s">
        <v>44774</v>
      </c>
      <c r="S11483" t="s">
        <v>45266</v>
      </c>
      <c r="T11483" t="s">
        <v>46352</v>
      </c>
      <c r="U11483" t="s">
        <v>56371</v>
      </c>
      <c r="V11483" t="s">
        <v>60416</v>
      </c>
      <c r="W11483" t="s">
        <v>44221</v>
      </c>
      <c r="X11483" t="s">
        <v>44775</v>
      </c>
    </row>
    <row r="11484" spans="1:24">
      <c r="A11484">
        <f>HYPERLINK("https://www.philgeps.gov.ph/GEPSNONPILOT/Tender/SplashBidNoticeAbstractUI.aspx?menuIndex=3&amp;refID=7128664&amp;Result=3","7128664")</f>
        <v>0</v>
      </c>
      <c r="B11484" t="s">
        <v>3353</v>
      </c>
      <c r="C11484" t="s">
        <v>14669</v>
      </c>
      <c r="D11484" t="s">
        <v>17971</v>
      </c>
      <c r="E11484" t="s">
        <v>27957</v>
      </c>
      <c r="F11484" t="s">
        <v>30900</v>
      </c>
      <c r="G11484" t="s">
        <v>30907</v>
      </c>
      <c r="H11484" t="s">
        <v>30915</v>
      </c>
      <c r="I11484" t="s">
        <v>30919</v>
      </c>
      <c r="J11484" t="s">
        <v>38190</v>
      </c>
      <c r="K11484" t="s">
        <v>40292</v>
      </c>
      <c r="M11484" t="s">
        <v>44222</v>
      </c>
      <c r="N11484" t="s">
        <v>44759</v>
      </c>
      <c r="O11484" t="s">
        <v>44760</v>
      </c>
      <c r="Q11484">
        <v>69</v>
      </c>
      <c r="R11484" t="s">
        <v>44774</v>
      </c>
      <c r="S11484" t="s">
        <v>45323</v>
      </c>
      <c r="T11484" t="s">
        <v>46356</v>
      </c>
      <c r="U11484" t="s">
        <v>56372</v>
      </c>
      <c r="W11484" t="s">
        <v>44222</v>
      </c>
      <c r="X11484" t="s">
        <v>44775</v>
      </c>
    </row>
    <row r="11485" spans="1:24">
      <c r="A11485">
        <f>HYPERLINK("https://www.philgeps.gov.ph/GEPSNONPILOT/Tender/SplashBidNoticeAbstractUI.aspx?menuIndex=3&amp;refID=7128642&amp;Result=3","7128642")</f>
        <v>0</v>
      </c>
      <c r="B11485" t="s">
        <v>188</v>
      </c>
      <c r="C11485" t="s">
        <v>14670</v>
      </c>
      <c r="D11485" t="s">
        <v>17992</v>
      </c>
      <c r="E11485" t="s">
        <v>27958</v>
      </c>
      <c r="F11485" t="s">
        <v>30900</v>
      </c>
      <c r="G11485" t="s">
        <v>30907</v>
      </c>
      <c r="H11485" t="s">
        <v>30915</v>
      </c>
      <c r="I11485" t="s">
        <v>30919</v>
      </c>
      <c r="J11485" t="s">
        <v>38191</v>
      </c>
      <c r="K11485" t="s">
        <v>40349</v>
      </c>
      <c r="M11485" t="s">
        <v>40735</v>
      </c>
      <c r="N11485" t="s">
        <v>44759</v>
      </c>
      <c r="O11485" t="s">
        <v>44760</v>
      </c>
      <c r="P11485">
        <v>0</v>
      </c>
      <c r="Q11485">
        <v>1</v>
      </c>
      <c r="R11485" t="s">
        <v>44774</v>
      </c>
      <c r="S11485" t="s">
        <v>45266</v>
      </c>
      <c r="T11485" t="s">
        <v>46459</v>
      </c>
      <c r="U11485" t="s">
        <v>56373</v>
      </c>
      <c r="V11485" t="s">
        <v>59743</v>
      </c>
      <c r="W11485" t="s">
        <v>40735</v>
      </c>
      <c r="X11485" t="s">
        <v>44775</v>
      </c>
    </row>
    <row r="11486" spans="1:24">
      <c r="A11486">
        <f>HYPERLINK("https://www.philgeps.gov.ph/GEPSNONPILOT/Tender/SplashBidNoticeAbstractUI.aspx?menuIndex=3&amp;refID=7128648&amp;Result=3","7128648")</f>
        <v>0</v>
      </c>
      <c r="B11486" t="s">
        <v>1567</v>
      </c>
      <c r="C11486" t="s">
        <v>14671</v>
      </c>
      <c r="D11486" t="s">
        <v>18006</v>
      </c>
      <c r="E11486" t="s">
        <v>27959</v>
      </c>
      <c r="F11486" t="s">
        <v>30900</v>
      </c>
      <c r="G11486" t="s">
        <v>30907</v>
      </c>
      <c r="H11486" t="s">
        <v>30915</v>
      </c>
      <c r="I11486" t="s">
        <v>30919</v>
      </c>
      <c r="J11486" t="s">
        <v>33735</v>
      </c>
      <c r="K11486" t="s">
        <v>40289</v>
      </c>
      <c r="M11486" t="s">
        <v>42215</v>
      </c>
      <c r="N11486" t="s">
        <v>44759</v>
      </c>
      <c r="O11486" t="s">
        <v>44760</v>
      </c>
      <c r="P11486">
        <v>0</v>
      </c>
      <c r="Q11486">
        <v>1</v>
      </c>
      <c r="R11486" t="s">
        <v>44774</v>
      </c>
      <c r="S11486" t="s">
        <v>45266</v>
      </c>
      <c r="T11486" t="s">
        <v>46418</v>
      </c>
      <c r="U11486" t="s">
        <v>54195</v>
      </c>
      <c r="W11486" t="s">
        <v>42215</v>
      </c>
      <c r="X11486" t="s">
        <v>44775</v>
      </c>
    </row>
    <row r="11487" spans="1:24">
      <c r="A11487">
        <f>HYPERLINK("https://www.philgeps.gov.ph/GEPSNONPILOT/Tender/SplashBidNoticeAbstractUI.aspx?menuIndex=3&amp;refID=7128661&amp;Result=3","7128661")</f>
        <v>0</v>
      </c>
      <c r="B11487" t="s">
        <v>894</v>
      </c>
      <c r="C11487" t="s">
        <v>14672</v>
      </c>
      <c r="E11487" t="s">
        <v>27960</v>
      </c>
      <c r="F11487" t="s">
        <v>30900</v>
      </c>
      <c r="G11487" t="s">
        <v>30907</v>
      </c>
      <c r="H11487" t="s">
        <v>30915</v>
      </c>
      <c r="I11487" t="s">
        <v>30919</v>
      </c>
      <c r="J11487" t="s">
        <v>38192</v>
      </c>
      <c r="K11487" t="s">
        <v>40341</v>
      </c>
      <c r="M11487" t="s">
        <v>41468</v>
      </c>
      <c r="N11487" t="s">
        <v>44759</v>
      </c>
      <c r="O11487" t="s">
        <v>44760</v>
      </c>
      <c r="P11487">
        <v>0</v>
      </c>
      <c r="Q11487">
        <v>0</v>
      </c>
      <c r="R11487" t="s">
        <v>44774</v>
      </c>
      <c r="S11487" t="s">
        <v>45266</v>
      </c>
      <c r="T11487" t="s">
        <v>46400</v>
      </c>
      <c r="U11487" t="s">
        <v>56374</v>
      </c>
      <c r="W11487" t="s">
        <v>41468</v>
      </c>
      <c r="X11487" t="s">
        <v>44775</v>
      </c>
    </row>
    <row r="11488" spans="1:24">
      <c r="A11488">
        <f>HYPERLINK("https://www.philgeps.gov.ph/GEPSNONPILOT/Tender/SplashBidNoticeAbstractUI.aspx?menuIndex=3&amp;refID=7128598&amp;Result=3","7128598")</f>
        <v>0</v>
      </c>
      <c r="B11488" t="s">
        <v>3349</v>
      </c>
      <c r="C11488" t="s">
        <v>14673</v>
      </c>
      <c r="D11488" t="s">
        <v>17976</v>
      </c>
      <c r="E11488" t="s">
        <v>27961</v>
      </c>
      <c r="F11488" t="s">
        <v>30900</v>
      </c>
      <c r="G11488" t="s">
        <v>30907</v>
      </c>
      <c r="H11488" t="s">
        <v>30915</v>
      </c>
      <c r="I11488" t="s">
        <v>30919</v>
      </c>
      <c r="J11488" t="s">
        <v>38193</v>
      </c>
      <c r="K11488" t="s">
        <v>40342</v>
      </c>
      <c r="M11488" t="s">
        <v>44217</v>
      </c>
      <c r="N11488" t="s">
        <v>44759</v>
      </c>
      <c r="O11488" t="s">
        <v>44760</v>
      </c>
      <c r="P11488">
        <v>0</v>
      </c>
      <c r="Q11488">
        <v>0</v>
      </c>
      <c r="R11488" t="s">
        <v>44774</v>
      </c>
      <c r="S11488" t="s">
        <v>45266</v>
      </c>
      <c r="T11488" t="s">
        <v>46389</v>
      </c>
      <c r="U11488" t="s">
        <v>56375</v>
      </c>
      <c r="W11488" t="s">
        <v>44217</v>
      </c>
      <c r="X11488" t="s">
        <v>44775</v>
      </c>
    </row>
    <row r="11489" spans="1:24">
      <c r="A11489">
        <f>HYPERLINK("https://www.philgeps.gov.ph/GEPSNONPILOT/Tender/SplashBidNoticeAbstractUI.aspx?menuIndex=3&amp;refID=7128618&amp;Result=3","7128618")</f>
        <v>0</v>
      </c>
      <c r="B11489" t="s">
        <v>2307</v>
      </c>
      <c r="C11489" t="s">
        <v>14674</v>
      </c>
      <c r="D11489" t="s">
        <v>17955</v>
      </c>
      <c r="E11489" t="s">
        <v>27962</v>
      </c>
      <c r="F11489" t="s">
        <v>30900</v>
      </c>
      <c r="G11489" t="s">
        <v>30907</v>
      </c>
      <c r="H11489" t="s">
        <v>30916</v>
      </c>
      <c r="I11489" t="s">
        <v>4108</v>
      </c>
      <c r="J11489" t="s">
        <v>33266</v>
      </c>
      <c r="K11489" t="s">
        <v>40286</v>
      </c>
      <c r="M11489" t="s">
        <v>43171</v>
      </c>
      <c r="N11489" t="s">
        <v>44759</v>
      </c>
      <c r="O11489" t="s">
        <v>44760</v>
      </c>
      <c r="P11489">
        <v>0</v>
      </c>
      <c r="Q11489">
        <v>11</v>
      </c>
      <c r="R11489" t="s">
        <v>44774</v>
      </c>
      <c r="S11489" t="s">
        <v>45266</v>
      </c>
      <c r="T11489" t="s">
        <v>46725</v>
      </c>
      <c r="U11489" t="s">
        <v>56376</v>
      </c>
      <c r="W11489" t="s">
        <v>43171</v>
      </c>
      <c r="X11489" t="s">
        <v>44775</v>
      </c>
    </row>
    <row r="11490" spans="1:24">
      <c r="A11490">
        <f>HYPERLINK("https://www.philgeps.gov.ph/GEPSNONPILOT/Tender/SplashBidNoticeAbstractUI.aspx?menuIndex=3&amp;refID=7128704&amp;Result=3","7128704")</f>
        <v>0</v>
      </c>
      <c r="B11490" t="s">
        <v>2056</v>
      </c>
      <c r="C11490" t="s">
        <v>14675</v>
      </c>
      <c r="D11490" t="s">
        <v>17999</v>
      </c>
      <c r="E11490" t="s">
        <v>27963</v>
      </c>
      <c r="F11490" t="s">
        <v>30900</v>
      </c>
      <c r="G11490" t="s">
        <v>30907</v>
      </c>
      <c r="H11490" t="s">
        <v>30915</v>
      </c>
      <c r="I11490" t="s">
        <v>30919</v>
      </c>
      <c r="J11490" t="s">
        <v>31066</v>
      </c>
      <c r="K11490" t="s">
        <v>40289</v>
      </c>
      <c r="M11490" t="s">
        <v>42755</v>
      </c>
      <c r="N11490" t="s">
        <v>44759</v>
      </c>
      <c r="O11490" t="s">
        <v>44760</v>
      </c>
      <c r="P11490">
        <v>0</v>
      </c>
      <c r="Q11490">
        <v>0</v>
      </c>
      <c r="R11490" t="s">
        <v>44774</v>
      </c>
      <c r="S11490" t="s">
        <v>45266</v>
      </c>
      <c r="T11490" t="s">
        <v>46418</v>
      </c>
      <c r="U11490" t="s">
        <v>56377</v>
      </c>
      <c r="W11490" t="s">
        <v>42755</v>
      </c>
      <c r="X11490" t="s">
        <v>44775</v>
      </c>
    </row>
    <row r="11491" spans="1:24">
      <c r="A11491">
        <f>HYPERLINK("https://www.philgeps.gov.ph/GEPSNONPILOT/Tender/SplashBidNoticeAbstractUI.aspx?menuIndex=3&amp;refID=7128602&amp;Result=3","7128602")</f>
        <v>0</v>
      </c>
      <c r="B11491" t="s">
        <v>781</v>
      </c>
      <c r="C11491" t="s">
        <v>14676</v>
      </c>
      <c r="D11491" t="s">
        <v>17959</v>
      </c>
      <c r="E11491" t="s">
        <v>27964</v>
      </c>
      <c r="F11491" t="s">
        <v>30900</v>
      </c>
      <c r="G11491" t="s">
        <v>30907</v>
      </c>
      <c r="H11491" t="s">
        <v>30916</v>
      </c>
      <c r="I11491" t="s">
        <v>9385</v>
      </c>
      <c r="J11491" t="s">
        <v>31069</v>
      </c>
      <c r="K11491" t="s">
        <v>40287</v>
      </c>
      <c r="M11491" t="s">
        <v>44210</v>
      </c>
      <c r="N11491" t="s">
        <v>44759</v>
      </c>
      <c r="O11491" t="s">
        <v>44760</v>
      </c>
      <c r="P11491">
        <v>0</v>
      </c>
      <c r="Q11491">
        <v>8</v>
      </c>
      <c r="R11491" t="s">
        <v>44774</v>
      </c>
      <c r="S11491" t="s">
        <v>45266</v>
      </c>
      <c r="T11491" t="s">
        <v>46422</v>
      </c>
      <c r="U11491" t="s">
        <v>56378</v>
      </c>
      <c r="W11491" t="s">
        <v>44210</v>
      </c>
      <c r="X11491" t="s">
        <v>44775</v>
      </c>
    </row>
    <row r="11492" spans="1:24">
      <c r="A11492">
        <f>HYPERLINK("https://www.philgeps.gov.ph/GEPSNONPILOT/Tender/SplashBidNoticeAbstractUI.aspx?menuIndex=3&amp;refID=7128410&amp;Result=3","7128410")</f>
        <v>0</v>
      </c>
      <c r="B11492" t="s">
        <v>526</v>
      </c>
      <c r="C11492" t="s">
        <v>14677</v>
      </c>
      <c r="D11492" t="s">
        <v>17984</v>
      </c>
      <c r="E11492" t="s">
        <v>27965</v>
      </c>
      <c r="F11492" t="s">
        <v>30900</v>
      </c>
      <c r="G11492" t="s">
        <v>30907</v>
      </c>
      <c r="H11492" t="s">
        <v>30915</v>
      </c>
      <c r="I11492" t="s">
        <v>30919</v>
      </c>
      <c r="J11492" t="s">
        <v>38194</v>
      </c>
      <c r="K11492" t="s">
        <v>40286</v>
      </c>
      <c r="M11492" t="s">
        <v>41086</v>
      </c>
      <c r="N11492" t="s">
        <v>44759</v>
      </c>
      <c r="O11492" t="s">
        <v>44760</v>
      </c>
      <c r="P11492">
        <v>0</v>
      </c>
      <c r="Q11492">
        <v>0</v>
      </c>
      <c r="R11492" t="s">
        <v>44774</v>
      </c>
      <c r="S11492" t="s">
        <v>45266</v>
      </c>
      <c r="T11492" t="s">
        <v>46399</v>
      </c>
      <c r="U11492" t="s">
        <v>56379</v>
      </c>
      <c r="W11492" t="s">
        <v>41086</v>
      </c>
      <c r="X11492" t="s">
        <v>44775</v>
      </c>
    </row>
    <row r="11493" spans="1:24">
      <c r="A11493">
        <f>HYPERLINK("https://www.philgeps.gov.ph/GEPSNONPILOT/Tender/SplashBidNoticeAbstractUI.aspx?menuIndex=3&amp;refID=7128574&amp;Result=3","7128574")</f>
        <v>0</v>
      </c>
      <c r="B11493" t="s">
        <v>3354</v>
      </c>
      <c r="C11493" t="s">
        <v>14678</v>
      </c>
      <c r="D11493" t="s">
        <v>17963</v>
      </c>
      <c r="E11493" t="s">
        <v>27966</v>
      </c>
      <c r="F11493" t="s">
        <v>30900</v>
      </c>
      <c r="G11493" t="s">
        <v>30907</v>
      </c>
      <c r="H11493" t="s">
        <v>30916</v>
      </c>
      <c r="I11493" t="s">
        <v>5830</v>
      </c>
      <c r="J11493" t="s">
        <v>38195</v>
      </c>
      <c r="K11493" t="s">
        <v>40283</v>
      </c>
      <c r="M11493" t="s">
        <v>44223</v>
      </c>
      <c r="N11493" t="s">
        <v>44759</v>
      </c>
      <c r="O11493" t="s">
        <v>44760</v>
      </c>
      <c r="P11493">
        <v>0</v>
      </c>
      <c r="Q11493">
        <v>13</v>
      </c>
      <c r="R11493" t="s">
        <v>44774</v>
      </c>
      <c r="S11493" t="s">
        <v>45266</v>
      </c>
      <c r="T11493" t="s">
        <v>46357</v>
      </c>
      <c r="U11493" t="s">
        <v>56380</v>
      </c>
      <c r="V11493" t="s">
        <v>60417</v>
      </c>
      <c r="W11493" t="s">
        <v>44223</v>
      </c>
      <c r="X11493" t="s">
        <v>44775</v>
      </c>
    </row>
    <row r="11494" spans="1:24">
      <c r="A11494">
        <f>HYPERLINK("https://www.philgeps.gov.ph/GEPSNONPILOT/Tender/SplashBidNoticeAbstractUI.aspx?menuIndex=3&amp;refID=7128820&amp;Result=3","7128820")</f>
        <v>0</v>
      </c>
      <c r="B11494" t="s">
        <v>2534</v>
      </c>
      <c r="C11494" t="s">
        <v>14679</v>
      </c>
      <c r="D11494" t="s">
        <v>17992</v>
      </c>
      <c r="E11494" t="s">
        <v>24998</v>
      </c>
      <c r="F11494" t="s">
        <v>30900</v>
      </c>
      <c r="G11494" t="s">
        <v>30907</v>
      </c>
      <c r="H11494" t="s">
        <v>30915</v>
      </c>
      <c r="I11494" t="s">
        <v>30919</v>
      </c>
      <c r="J11494" t="s">
        <v>38196</v>
      </c>
      <c r="K11494" t="s">
        <v>40301</v>
      </c>
      <c r="M11494" t="s">
        <v>43290</v>
      </c>
      <c r="N11494" t="s">
        <v>44759</v>
      </c>
      <c r="O11494" t="s">
        <v>44760</v>
      </c>
      <c r="P11494">
        <v>0</v>
      </c>
      <c r="Q11494">
        <v>1</v>
      </c>
      <c r="R11494" t="s">
        <v>44774</v>
      </c>
      <c r="S11494" t="s">
        <v>45266</v>
      </c>
      <c r="T11494" t="s">
        <v>46383</v>
      </c>
      <c r="U11494" t="s">
        <v>56381</v>
      </c>
      <c r="W11494" t="s">
        <v>43290</v>
      </c>
      <c r="X11494" t="s">
        <v>44775</v>
      </c>
    </row>
    <row r="11495" spans="1:24">
      <c r="A11495">
        <f>HYPERLINK("https://www.philgeps.gov.ph/GEPSNONPILOT/Tender/SplashBidNoticeAbstractUI.aspx?menuIndex=3&amp;refID=7128868&amp;Result=3","7128868")</f>
        <v>0</v>
      </c>
      <c r="B11495" t="s">
        <v>787</v>
      </c>
      <c r="C11495" t="s">
        <v>14680</v>
      </c>
      <c r="D11495" t="s">
        <v>17987</v>
      </c>
      <c r="E11495" t="s">
        <v>27967</v>
      </c>
      <c r="F11495" t="s">
        <v>30900</v>
      </c>
      <c r="G11495" t="s">
        <v>30907</v>
      </c>
      <c r="H11495" t="s">
        <v>30915</v>
      </c>
      <c r="I11495" t="s">
        <v>30919</v>
      </c>
      <c r="J11495" t="s">
        <v>38197</v>
      </c>
      <c r="K11495" t="s">
        <v>40289</v>
      </c>
      <c r="M11495" t="s">
        <v>41356</v>
      </c>
      <c r="N11495" t="s">
        <v>44759</v>
      </c>
      <c r="O11495" t="s">
        <v>44760</v>
      </c>
      <c r="P11495">
        <v>0</v>
      </c>
      <c r="Q11495">
        <v>2</v>
      </c>
      <c r="R11495" t="s">
        <v>44774</v>
      </c>
      <c r="S11495" t="s">
        <v>45266</v>
      </c>
      <c r="T11495" t="s">
        <v>46409</v>
      </c>
      <c r="U11495" t="s">
        <v>56382</v>
      </c>
      <c r="W11495" t="s">
        <v>41356</v>
      </c>
      <c r="X11495" t="s">
        <v>44775</v>
      </c>
    </row>
    <row r="11496" spans="1:24">
      <c r="A11496">
        <f>HYPERLINK("https://www.philgeps.gov.ph/GEPSNONPILOT/Tender/SplashBidNoticeAbstractUI.aspx?menuIndex=3&amp;refID=7128848&amp;Result=3","7128848")</f>
        <v>0</v>
      </c>
      <c r="B11496" t="s">
        <v>945</v>
      </c>
      <c r="C11496" t="s">
        <v>14681</v>
      </c>
      <c r="D11496" t="s">
        <v>17962</v>
      </c>
      <c r="E11496" t="s">
        <v>27968</v>
      </c>
      <c r="F11496" t="s">
        <v>30900</v>
      </c>
      <c r="G11496" t="s">
        <v>30907</v>
      </c>
      <c r="H11496" t="s">
        <v>30916</v>
      </c>
      <c r="I11496" t="s">
        <v>4545</v>
      </c>
      <c r="J11496" t="s">
        <v>38198</v>
      </c>
      <c r="K11496" t="s">
        <v>40280</v>
      </c>
      <c r="M11496" t="s">
        <v>41529</v>
      </c>
      <c r="N11496" t="s">
        <v>44759</v>
      </c>
      <c r="O11496" t="s">
        <v>44760</v>
      </c>
      <c r="P11496">
        <v>0</v>
      </c>
      <c r="Q11496">
        <v>5</v>
      </c>
      <c r="R11496" t="s">
        <v>44774</v>
      </c>
      <c r="S11496" t="s">
        <v>45266</v>
      </c>
      <c r="T11496" t="s">
        <v>46373</v>
      </c>
      <c r="U11496" t="s">
        <v>56383</v>
      </c>
      <c r="V11496" t="s">
        <v>60325</v>
      </c>
      <c r="W11496" t="s">
        <v>41529</v>
      </c>
      <c r="X11496" t="s">
        <v>44775</v>
      </c>
    </row>
    <row r="11497" spans="1:24">
      <c r="A11497">
        <f>HYPERLINK("https://www.philgeps.gov.ph/GEPSNONPILOT/Tender/SplashBidNoticeAbstractUI.aspx?menuIndex=3&amp;refID=7128819&amp;Result=3","7128819")</f>
        <v>0</v>
      </c>
      <c r="B11497" t="s">
        <v>1534</v>
      </c>
      <c r="C11497" t="s">
        <v>14682</v>
      </c>
      <c r="D11497" t="s">
        <v>18004</v>
      </c>
      <c r="E11497" t="s">
        <v>27969</v>
      </c>
      <c r="F11497" t="s">
        <v>30900</v>
      </c>
      <c r="G11497" t="s">
        <v>30907</v>
      </c>
      <c r="H11497" t="s">
        <v>30916</v>
      </c>
      <c r="I11497" t="s">
        <v>30919</v>
      </c>
      <c r="J11497" t="s">
        <v>31096</v>
      </c>
      <c r="K11497" t="s">
        <v>40287</v>
      </c>
      <c r="M11497" t="s">
        <v>42177</v>
      </c>
      <c r="N11497" t="s">
        <v>44759</v>
      </c>
      <c r="O11497" t="s">
        <v>44760</v>
      </c>
      <c r="P11497">
        <v>0</v>
      </c>
      <c r="Q11497">
        <v>0</v>
      </c>
      <c r="R11497" t="s">
        <v>44774</v>
      </c>
      <c r="S11497" t="s">
        <v>45266</v>
      </c>
      <c r="T11497" t="s">
        <v>46882</v>
      </c>
      <c r="U11497" t="s">
        <v>56384</v>
      </c>
      <c r="W11497" t="s">
        <v>42177</v>
      </c>
      <c r="X11497" t="s">
        <v>44775</v>
      </c>
    </row>
    <row r="11498" spans="1:24">
      <c r="A11498">
        <f>HYPERLINK("https://www.philgeps.gov.ph/GEPSNONPILOT/Tender/SplashBidNoticeAbstractUI.aspx?menuIndex=3&amp;refID=7128860&amp;Result=3","7128860")</f>
        <v>0</v>
      </c>
      <c r="B11498" t="s">
        <v>1567</v>
      </c>
      <c r="C11498" t="s">
        <v>14683</v>
      </c>
      <c r="D11498" t="s">
        <v>18006</v>
      </c>
      <c r="E11498" t="s">
        <v>27970</v>
      </c>
      <c r="F11498" t="s">
        <v>30900</v>
      </c>
      <c r="G11498" t="s">
        <v>30907</v>
      </c>
      <c r="H11498" t="s">
        <v>30915</v>
      </c>
      <c r="I11498" t="s">
        <v>30919</v>
      </c>
      <c r="J11498" t="s">
        <v>38199</v>
      </c>
      <c r="K11498" t="s">
        <v>40289</v>
      </c>
      <c r="M11498" t="s">
        <v>42215</v>
      </c>
      <c r="N11498" t="s">
        <v>44759</v>
      </c>
      <c r="O11498" t="s">
        <v>44760</v>
      </c>
      <c r="P11498">
        <v>0</v>
      </c>
      <c r="Q11498">
        <v>1</v>
      </c>
      <c r="R11498" t="s">
        <v>44774</v>
      </c>
      <c r="S11498" t="s">
        <v>45266</v>
      </c>
      <c r="T11498" t="s">
        <v>46418</v>
      </c>
      <c r="U11498" t="s">
        <v>54195</v>
      </c>
      <c r="W11498" t="s">
        <v>42215</v>
      </c>
      <c r="X11498" t="s">
        <v>44775</v>
      </c>
    </row>
    <row r="11499" spans="1:24">
      <c r="A11499">
        <f>HYPERLINK("https://www.philgeps.gov.ph/GEPSNONPILOT/Tender/SplashBidNoticeAbstractUI.aspx?menuIndex=3&amp;refID=7128807&amp;Result=3","7128807")</f>
        <v>0</v>
      </c>
      <c r="B11499" t="s">
        <v>185</v>
      </c>
      <c r="C11499" t="s">
        <v>14684</v>
      </c>
      <c r="D11499" t="s">
        <v>18002</v>
      </c>
      <c r="E11499" t="s">
        <v>27971</v>
      </c>
      <c r="F11499" t="s">
        <v>30900</v>
      </c>
      <c r="G11499" t="s">
        <v>30907</v>
      </c>
      <c r="H11499" t="s">
        <v>30917</v>
      </c>
      <c r="I11499" t="s">
        <v>31006</v>
      </c>
      <c r="J11499" t="s">
        <v>38200</v>
      </c>
      <c r="K11499" t="s">
        <v>40520</v>
      </c>
      <c r="M11499" t="s">
        <v>40732</v>
      </c>
      <c r="N11499" t="s">
        <v>44759</v>
      </c>
      <c r="O11499" t="s">
        <v>44760</v>
      </c>
      <c r="P11499">
        <v>0</v>
      </c>
      <c r="Q11499">
        <v>7</v>
      </c>
      <c r="R11499" t="s">
        <v>44774</v>
      </c>
      <c r="S11499" t="s">
        <v>45266</v>
      </c>
      <c r="T11499" t="s">
        <v>46352</v>
      </c>
      <c r="U11499" t="s">
        <v>56385</v>
      </c>
      <c r="W11499" t="s">
        <v>60820</v>
      </c>
      <c r="X11499" t="s">
        <v>44775</v>
      </c>
    </row>
    <row r="11500" spans="1:24">
      <c r="A11500">
        <f>HYPERLINK("https://www.philgeps.gov.ph/GEPSNONPILOT/Tender/SplashBidNoticeAbstractUI.aspx?menuIndex=3&amp;refID=7128798&amp;Result=3","7128798")</f>
        <v>0</v>
      </c>
      <c r="B11500" t="s">
        <v>1567</v>
      </c>
      <c r="C11500" t="s">
        <v>14685</v>
      </c>
      <c r="D11500" t="s">
        <v>18006</v>
      </c>
      <c r="E11500" t="s">
        <v>27972</v>
      </c>
      <c r="F11500" t="s">
        <v>30900</v>
      </c>
      <c r="G11500" t="s">
        <v>30907</v>
      </c>
      <c r="H11500" t="s">
        <v>30915</v>
      </c>
      <c r="I11500" t="s">
        <v>30919</v>
      </c>
      <c r="J11500" t="s">
        <v>31105</v>
      </c>
      <c r="K11500" t="s">
        <v>40289</v>
      </c>
      <c r="M11500" t="s">
        <v>42215</v>
      </c>
      <c r="N11500" t="s">
        <v>44759</v>
      </c>
      <c r="O11500" t="s">
        <v>44760</v>
      </c>
      <c r="P11500">
        <v>0</v>
      </c>
      <c r="Q11500">
        <v>1</v>
      </c>
      <c r="R11500" t="s">
        <v>44774</v>
      </c>
      <c r="S11500" t="s">
        <v>45266</v>
      </c>
      <c r="T11500" t="s">
        <v>46418</v>
      </c>
      <c r="U11500" t="s">
        <v>54195</v>
      </c>
      <c r="W11500" t="s">
        <v>42215</v>
      </c>
      <c r="X11500" t="s">
        <v>44775</v>
      </c>
    </row>
    <row r="11501" spans="1:24">
      <c r="A11501">
        <f>HYPERLINK("https://www.philgeps.gov.ph/GEPSNONPILOT/Tender/SplashBidNoticeAbstractUI.aspx?menuIndex=3&amp;refID=7128774&amp;Result=3","7128774")</f>
        <v>0</v>
      </c>
      <c r="B11501" t="s">
        <v>807</v>
      </c>
      <c r="C11501" t="s">
        <v>14686</v>
      </c>
      <c r="D11501" t="s">
        <v>18015</v>
      </c>
      <c r="E11501" t="s">
        <v>27973</v>
      </c>
      <c r="F11501" t="s">
        <v>30900</v>
      </c>
      <c r="G11501" t="s">
        <v>30907</v>
      </c>
      <c r="H11501" t="s">
        <v>30916</v>
      </c>
      <c r="I11501" t="s">
        <v>8123</v>
      </c>
      <c r="J11501" t="s">
        <v>38201</v>
      </c>
      <c r="K11501" t="s">
        <v>40286</v>
      </c>
      <c r="M11501" t="s">
        <v>41377</v>
      </c>
      <c r="N11501" t="s">
        <v>44759</v>
      </c>
      <c r="O11501" t="s">
        <v>44760</v>
      </c>
      <c r="P11501">
        <v>0</v>
      </c>
      <c r="Q11501">
        <v>3</v>
      </c>
      <c r="R11501" t="s">
        <v>44774</v>
      </c>
      <c r="S11501" t="s">
        <v>45266</v>
      </c>
      <c r="T11501" t="s">
        <v>46361</v>
      </c>
      <c r="U11501" t="s">
        <v>56386</v>
      </c>
      <c r="W11501" t="s">
        <v>41377</v>
      </c>
      <c r="X11501" t="s">
        <v>44775</v>
      </c>
    </row>
    <row r="11502" spans="1:24">
      <c r="A11502">
        <f>HYPERLINK("https://www.philgeps.gov.ph/GEPSNONPILOT/Tender/SplashBidNoticeAbstractUI.aspx?menuIndex=3&amp;refID=7128581&amp;Result=3","7128581")</f>
        <v>0</v>
      </c>
      <c r="B11502" t="s">
        <v>781</v>
      </c>
      <c r="C11502" t="s">
        <v>14687</v>
      </c>
      <c r="D11502" t="s">
        <v>17959</v>
      </c>
      <c r="E11502" t="s">
        <v>27974</v>
      </c>
      <c r="F11502" t="s">
        <v>30900</v>
      </c>
      <c r="G11502" t="s">
        <v>30907</v>
      </c>
      <c r="H11502" t="s">
        <v>30917</v>
      </c>
      <c r="I11502" t="s">
        <v>30942</v>
      </c>
      <c r="J11502" t="s">
        <v>38202</v>
      </c>
      <c r="K11502" t="s">
        <v>40366</v>
      </c>
      <c r="M11502" t="s">
        <v>44218</v>
      </c>
      <c r="N11502" t="s">
        <v>44759</v>
      </c>
      <c r="O11502" t="s">
        <v>44760</v>
      </c>
      <c r="P11502">
        <v>0</v>
      </c>
      <c r="Q11502">
        <v>0</v>
      </c>
      <c r="R11502" t="s">
        <v>44774</v>
      </c>
      <c r="S11502" t="s">
        <v>45266</v>
      </c>
      <c r="T11502" t="s">
        <v>46422</v>
      </c>
      <c r="U11502" t="s">
        <v>56387</v>
      </c>
      <c r="W11502" t="s">
        <v>44218</v>
      </c>
      <c r="X11502" t="s">
        <v>44775</v>
      </c>
    </row>
    <row r="11503" spans="1:24">
      <c r="A11503">
        <f>HYPERLINK("https://www.philgeps.gov.ph/GEPSNONPILOT/Tender/SplashBidNoticeAbstractUI.aspx?menuIndex=3&amp;refID=7128781&amp;Result=3","7128781")</f>
        <v>0</v>
      </c>
      <c r="B11503" t="s">
        <v>836</v>
      </c>
      <c r="C11503" t="s">
        <v>14688</v>
      </c>
      <c r="D11503" t="s">
        <v>17952</v>
      </c>
      <c r="E11503" t="s">
        <v>27975</v>
      </c>
      <c r="F11503" t="s">
        <v>30900</v>
      </c>
      <c r="G11503" t="s">
        <v>30907</v>
      </c>
      <c r="H11503" t="s">
        <v>30915</v>
      </c>
      <c r="I11503" t="s">
        <v>30919</v>
      </c>
      <c r="J11503" t="s">
        <v>38203</v>
      </c>
      <c r="K11503" t="s">
        <v>40292</v>
      </c>
      <c r="M11503" t="s">
        <v>41409</v>
      </c>
      <c r="N11503" t="s">
        <v>44759</v>
      </c>
      <c r="O11503" t="s">
        <v>44760</v>
      </c>
      <c r="P11503">
        <v>0</v>
      </c>
      <c r="Q11503">
        <v>7</v>
      </c>
      <c r="R11503" t="s">
        <v>44774</v>
      </c>
      <c r="S11503" t="s">
        <v>45266</v>
      </c>
      <c r="T11503" t="s">
        <v>46770</v>
      </c>
      <c r="U11503" t="s">
        <v>56388</v>
      </c>
      <c r="W11503" t="s">
        <v>41409</v>
      </c>
      <c r="X11503" t="s">
        <v>44775</v>
      </c>
    </row>
    <row r="11504" spans="1:24">
      <c r="A11504">
        <f>HYPERLINK("https://www.philgeps.gov.ph/GEPSNONPILOT/Tender/SplashBidNoticeAbstractUI.aspx?menuIndex=3&amp;refID=7128772&amp;Result=3","7128772")</f>
        <v>0</v>
      </c>
      <c r="B11504" t="s">
        <v>3355</v>
      </c>
      <c r="C11504" t="s">
        <v>8615</v>
      </c>
      <c r="D11504" t="s">
        <v>17963</v>
      </c>
      <c r="E11504" t="s">
        <v>27976</v>
      </c>
      <c r="F11504" t="s">
        <v>30900</v>
      </c>
      <c r="G11504" t="s">
        <v>30907</v>
      </c>
      <c r="H11504" t="s">
        <v>30915</v>
      </c>
      <c r="I11504" t="s">
        <v>30919</v>
      </c>
      <c r="J11504" t="s">
        <v>38204</v>
      </c>
      <c r="K11504" t="s">
        <v>40293</v>
      </c>
      <c r="M11504" t="s">
        <v>44224</v>
      </c>
      <c r="N11504" t="s">
        <v>44759</v>
      </c>
      <c r="O11504" t="s">
        <v>44760</v>
      </c>
      <c r="P11504">
        <v>0</v>
      </c>
      <c r="Q11504">
        <v>2</v>
      </c>
      <c r="R11504" t="s">
        <v>44774</v>
      </c>
      <c r="S11504" t="s">
        <v>45266</v>
      </c>
      <c r="T11504" t="s">
        <v>46398</v>
      </c>
      <c r="U11504" t="s">
        <v>56389</v>
      </c>
      <c r="W11504" t="s">
        <v>44224</v>
      </c>
      <c r="X11504" t="s">
        <v>44775</v>
      </c>
    </row>
    <row r="11505" spans="1:24">
      <c r="A11505">
        <f>HYPERLINK("https://www.philgeps.gov.ph/GEPSNONPILOT/Tender/SplashBidNoticeAbstractUI.aspx?menuIndex=3&amp;refID=7128804&amp;Result=3","7128804")</f>
        <v>0</v>
      </c>
      <c r="B11505" t="s">
        <v>3353</v>
      </c>
      <c r="C11505" t="s">
        <v>14689</v>
      </c>
      <c r="D11505" t="s">
        <v>17971</v>
      </c>
      <c r="E11505" t="s">
        <v>27977</v>
      </c>
      <c r="F11505" t="s">
        <v>30900</v>
      </c>
      <c r="G11505" t="s">
        <v>30907</v>
      </c>
      <c r="H11505" t="s">
        <v>30915</v>
      </c>
      <c r="I11505" t="s">
        <v>30919</v>
      </c>
      <c r="J11505" t="s">
        <v>38205</v>
      </c>
      <c r="K11505" t="s">
        <v>40322</v>
      </c>
      <c r="M11505" t="s">
        <v>44222</v>
      </c>
      <c r="N11505" t="s">
        <v>44759</v>
      </c>
      <c r="O11505" t="s">
        <v>44760</v>
      </c>
      <c r="Q11505">
        <v>69</v>
      </c>
      <c r="R11505" t="s">
        <v>44774</v>
      </c>
      <c r="S11505" t="s">
        <v>45324</v>
      </c>
      <c r="T11505" t="s">
        <v>46356</v>
      </c>
      <c r="U11505" t="s">
        <v>56390</v>
      </c>
      <c r="W11505" t="s">
        <v>44222</v>
      </c>
      <c r="X11505" t="s">
        <v>44775</v>
      </c>
    </row>
    <row r="11506" spans="1:24">
      <c r="A11506">
        <f>HYPERLINK("https://www.philgeps.gov.ph/GEPSNONPILOT/Tender/SplashBidNoticeAbstractUI.aspx?menuIndex=3&amp;refID=7128778&amp;Result=3","7128778")</f>
        <v>0</v>
      </c>
      <c r="B11506" t="s">
        <v>106</v>
      </c>
      <c r="C11506" t="s">
        <v>14690</v>
      </c>
      <c r="D11506" t="s">
        <v>17961</v>
      </c>
      <c r="E11506" t="s">
        <v>27978</v>
      </c>
      <c r="F11506" t="s">
        <v>30900</v>
      </c>
      <c r="G11506" t="s">
        <v>30907</v>
      </c>
      <c r="H11506" t="s">
        <v>30916</v>
      </c>
      <c r="I11506" t="s">
        <v>30939</v>
      </c>
      <c r="J11506" t="s">
        <v>38206</v>
      </c>
      <c r="K11506" t="s">
        <v>40289</v>
      </c>
      <c r="M11506" t="s">
        <v>40653</v>
      </c>
      <c r="N11506" t="s">
        <v>44759</v>
      </c>
      <c r="O11506" t="s">
        <v>44760</v>
      </c>
      <c r="Q11506">
        <v>0</v>
      </c>
      <c r="R11506" t="s">
        <v>44774</v>
      </c>
      <c r="S11506" t="s">
        <v>45325</v>
      </c>
      <c r="T11506" t="s">
        <v>46352</v>
      </c>
      <c r="U11506" t="s">
        <v>56391</v>
      </c>
      <c r="V11506" t="s">
        <v>59168</v>
      </c>
      <c r="W11506" t="s">
        <v>40653</v>
      </c>
      <c r="X11506" t="s">
        <v>44775</v>
      </c>
    </row>
    <row r="11507" spans="1:24">
      <c r="A11507">
        <f>HYPERLINK("https://www.philgeps.gov.ph/GEPSNONPILOT/Tender/SplashBidNoticeAbstractUI.aspx?menuIndex=3&amp;refID=7128579&amp;Result=3","7128579")</f>
        <v>0</v>
      </c>
      <c r="B11507" t="s">
        <v>2901</v>
      </c>
      <c r="C11507" t="s">
        <v>14691</v>
      </c>
      <c r="D11507" t="s">
        <v>17991</v>
      </c>
      <c r="E11507" t="s">
        <v>27979</v>
      </c>
      <c r="F11507" t="s">
        <v>30900</v>
      </c>
      <c r="G11507" t="s">
        <v>30907</v>
      </c>
      <c r="H11507" t="s">
        <v>30915</v>
      </c>
      <c r="I11507" t="s">
        <v>30919</v>
      </c>
      <c r="J11507" t="s">
        <v>38207</v>
      </c>
      <c r="K11507" t="s">
        <v>40389</v>
      </c>
      <c r="M11507" t="s">
        <v>43695</v>
      </c>
      <c r="N11507" t="s">
        <v>44759</v>
      </c>
      <c r="O11507" t="s">
        <v>44760</v>
      </c>
      <c r="P11507">
        <v>0</v>
      </c>
      <c r="Q11507">
        <v>0</v>
      </c>
      <c r="R11507" t="s">
        <v>44774</v>
      </c>
      <c r="S11507" t="s">
        <v>45266</v>
      </c>
      <c r="T11507" t="s">
        <v>46409</v>
      </c>
      <c r="U11507" t="s">
        <v>56392</v>
      </c>
      <c r="W11507" t="s">
        <v>43695</v>
      </c>
      <c r="X11507" t="s">
        <v>44775</v>
      </c>
    </row>
    <row r="11508" spans="1:24">
      <c r="A11508">
        <f>HYPERLINK("https://www.philgeps.gov.ph/GEPSNONPILOT/Tender/SplashBidNoticeAbstractUI.aspx?menuIndex=3&amp;refID=7128978&amp;Result=3","7128978")</f>
        <v>0</v>
      </c>
      <c r="B11508" t="s">
        <v>106</v>
      </c>
      <c r="C11508" t="s">
        <v>14692</v>
      </c>
      <c r="D11508" t="s">
        <v>17961</v>
      </c>
      <c r="E11508" t="s">
        <v>27980</v>
      </c>
      <c r="F11508" t="s">
        <v>30900</v>
      </c>
      <c r="G11508" t="s">
        <v>30907</v>
      </c>
      <c r="H11508" t="s">
        <v>30915</v>
      </c>
      <c r="I11508" t="s">
        <v>30919</v>
      </c>
      <c r="J11508" t="s">
        <v>32049</v>
      </c>
      <c r="K11508" t="s">
        <v>40289</v>
      </c>
      <c r="M11508" t="s">
        <v>40653</v>
      </c>
      <c r="N11508" t="s">
        <v>44759</v>
      </c>
      <c r="O11508" t="s">
        <v>44760</v>
      </c>
      <c r="Q11508">
        <v>0</v>
      </c>
      <c r="R11508" t="s">
        <v>44774</v>
      </c>
      <c r="S11508" t="s">
        <v>44878</v>
      </c>
      <c r="T11508" t="s">
        <v>46352</v>
      </c>
      <c r="U11508" t="s">
        <v>56393</v>
      </c>
      <c r="V11508" t="s">
        <v>59168</v>
      </c>
      <c r="W11508" t="s">
        <v>40653</v>
      </c>
      <c r="X11508" t="s">
        <v>44775</v>
      </c>
    </row>
    <row r="11509" spans="1:24">
      <c r="A11509">
        <f>HYPERLINK("https://www.philgeps.gov.ph/GEPSNONPILOT/Tender/SplashBidNoticeAbstractUI.aspx?menuIndex=3&amp;refID=7129017&amp;Result=3","7129017")</f>
        <v>0</v>
      </c>
      <c r="B11509" t="s">
        <v>1314</v>
      </c>
      <c r="C11509" t="s">
        <v>14693</v>
      </c>
      <c r="D11509" t="s">
        <v>18019</v>
      </c>
      <c r="E11509" t="s">
        <v>27981</v>
      </c>
      <c r="F11509" t="s">
        <v>30900</v>
      </c>
      <c r="G11509" t="s">
        <v>30907</v>
      </c>
      <c r="H11509" t="s">
        <v>30916</v>
      </c>
      <c r="I11509" t="s">
        <v>6396</v>
      </c>
      <c r="J11509" t="s">
        <v>38208</v>
      </c>
      <c r="K11509" t="s">
        <v>40289</v>
      </c>
      <c r="L11509" t="s">
        <v>1314</v>
      </c>
      <c r="M11509" t="s">
        <v>42251</v>
      </c>
      <c r="N11509" t="s">
        <v>44759</v>
      </c>
      <c r="O11509" t="s">
        <v>44760</v>
      </c>
      <c r="Q11509">
        <v>10</v>
      </c>
      <c r="R11509" t="s">
        <v>44774</v>
      </c>
      <c r="S11509" t="s">
        <v>45326</v>
      </c>
      <c r="T11509" t="s">
        <v>46369</v>
      </c>
      <c r="U11509" t="s">
        <v>56394</v>
      </c>
      <c r="W11509" t="s">
        <v>42251</v>
      </c>
      <c r="X11509" t="s">
        <v>44775</v>
      </c>
    </row>
    <row r="11510" spans="1:24">
      <c r="A11510">
        <f>HYPERLINK("https://www.philgeps.gov.ph/GEPSNONPILOT/Tender/SplashBidNoticeAbstractUI.aspx?menuIndex=3&amp;refID=7128967&amp;Result=3","7128967")</f>
        <v>0</v>
      </c>
      <c r="B11510" t="s">
        <v>3356</v>
      </c>
      <c r="C11510" t="s">
        <v>14694</v>
      </c>
      <c r="D11510" t="s">
        <v>17959</v>
      </c>
      <c r="E11510" t="s">
        <v>27982</v>
      </c>
      <c r="F11510" t="s">
        <v>30900</v>
      </c>
      <c r="G11510" t="s">
        <v>30907</v>
      </c>
      <c r="H11510" t="s">
        <v>30917</v>
      </c>
      <c r="I11510" t="s">
        <v>17295</v>
      </c>
      <c r="J11510" t="s">
        <v>38209</v>
      </c>
      <c r="K11510" t="s">
        <v>40332</v>
      </c>
      <c r="M11510" t="s">
        <v>44225</v>
      </c>
      <c r="N11510" t="s">
        <v>44759</v>
      </c>
      <c r="O11510" t="s">
        <v>44760</v>
      </c>
      <c r="P11510">
        <v>0</v>
      </c>
      <c r="Q11510">
        <v>10</v>
      </c>
      <c r="R11510" t="s">
        <v>44774</v>
      </c>
      <c r="S11510" t="s">
        <v>45266</v>
      </c>
      <c r="T11510" t="s">
        <v>46411</v>
      </c>
      <c r="U11510" t="s">
        <v>56395</v>
      </c>
      <c r="V11510" t="s">
        <v>60418</v>
      </c>
      <c r="W11510" t="s">
        <v>44225</v>
      </c>
      <c r="X11510" t="s">
        <v>44775</v>
      </c>
    </row>
    <row r="11511" spans="1:24">
      <c r="A11511">
        <f>HYPERLINK("https://www.philgeps.gov.ph/GEPSNONPILOT/Tender/SplashBidNoticeAbstractUI.aspx?menuIndex=3&amp;refID=7128882&amp;Result=3","7128882")</f>
        <v>0</v>
      </c>
      <c r="B11511" t="s">
        <v>1386</v>
      </c>
      <c r="C11511" t="s">
        <v>14695</v>
      </c>
      <c r="D11511" t="s">
        <v>17998</v>
      </c>
      <c r="E11511" t="s">
        <v>27983</v>
      </c>
      <c r="F11511" t="s">
        <v>30900</v>
      </c>
      <c r="G11511" t="s">
        <v>30907</v>
      </c>
      <c r="H11511" t="s">
        <v>30916</v>
      </c>
      <c r="I11511" t="s">
        <v>30939</v>
      </c>
      <c r="J11511" t="s">
        <v>32616</v>
      </c>
      <c r="K11511" t="s">
        <v>40284</v>
      </c>
      <c r="M11511" t="s">
        <v>42010</v>
      </c>
      <c r="N11511" t="s">
        <v>44759</v>
      </c>
      <c r="O11511" t="s">
        <v>44760</v>
      </c>
      <c r="P11511">
        <v>0</v>
      </c>
      <c r="Q11511">
        <v>0</v>
      </c>
      <c r="R11511" t="s">
        <v>44774</v>
      </c>
      <c r="S11511" t="s">
        <v>45266</v>
      </c>
      <c r="T11511" t="s">
        <v>46422</v>
      </c>
      <c r="U11511" t="s">
        <v>54137</v>
      </c>
      <c r="W11511" t="s">
        <v>42010</v>
      </c>
      <c r="X11511" t="s">
        <v>44775</v>
      </c>
    </row>
    <row r="11512" spans="1:24">
      <c r="A11512">
        <f>HYPERLINK("https://www.philgeps.gov.ph/GEPSNONPILOT/Tender/SplashBidNoticeAbstractUI.aspx?menuIndex=3&amp;refID=7128963&amp;Result=3","7128963")</f>
        <v>0</v>
      </c>
      <c r="B11512" t="s">
        <v>2534</v>
      </c>
      <c r="C11512" t="s">
        <v>14696</v>
      </c>
      <c r="D11512" t="s">
        <v>17992</v>
      </c>
      <c r="E11512" t="s">
        <v>27379</v>
      </c>
      <c r="F11512" t="s">
        <v>30900</v>
      </c>
      <c r="G11512" t="s">
        <v>30907</v>
      </c>
      <c r="H11512" t="s">
        <v>30916</v>
      </c>
      <c r="I11512" t="s">
        <v>30933</v>
      </c>
      <c r="J11512" t="s">
        <v>31293</v>
      </c>
      <c r="K11512" t="s">
        <v>40291</v>
      </c>
      <c r="M11512" t="s">
        <v>43290</v>
      </c>
      <c r="N11512" t="s">
        <v>44759</v>
      </c>
      <c r="O11512" t="s">
        <v>44760</v>
      </c>
      <c r="P11512">
        <v>0</v>
      </c>
      <c r="Q11512">
        <v>0</v>
      </c>
      <c r="R11512" t="s">
        <v>44774</v>
      </c>
      <c r="S11512" t="s">
        <v>45266</v>
      </c>
      <c r="T11512" t="s">
        <v>46399</v>
      </c>
      <c r="U11512" t="s">
        <v>56396</v>
      </c>
      <c r="W11512" t="s">
        <v>43290</v>
      </c>
      <c r="X11512" t="s">
        <v>44775</v>
      </c>
    </row>
    <row r="11513" spans="1:24">
      <c r="A11513">
        <f>HYPERLINK("https://www.philgeps.gov.ph/GEPSNONPILOT/Tender/SplashBidNoticeAbstractUI.aspx?menuIndex=3&amp;refID=7128700&amp;Result=3","7128700")</f>
        <v>0</v>
      </c>
      <c r="B11513" t="s">
        <v>185</v>
      </c>
      <c r="C11513" t="s">
        <v>14697</v>
      </c>
      <c r="D11513" t="s">
        <v>18002</v>
      </c>
      <c r="E11513" t="s">
        <v>27984</v>
      </c>
      <c r="F11513" t="s">
        <v>30900</v>
      </c>
      <c r="G11513" t="s">
        <v>30907</v>
      </c>
      <c r="H11513" t="s">
        <v>30915</v>
      </c>
      <c r="I11513" t="s">
        <v>30932</v>
      </c>
      <c r="J11513" t="s">
        <v>38210</v>
      </c>
      <c r="K11513" t="s">
        <v>40286</v>
      </c>
      <c r="M11513" t="s">
        <v>40732</v>
      </c>
      <c r="N11513" t="s">
        <v>44759</v>
      </c>
      <c r="O11513" t="s">
        <v>44760</v>
      </c>
      <c r="P11513">
        <v>0</v>
      </c>
      <c r="Q11513">
        <v>3</v>
      </c>
      <c r="R11513" t="s">
        <v>44774</v>
      </c>
      <c r="S11513" t="s">
        <v>45266</v>
      </c>
      <c r="T11513" t="s">
        <v>46352</v>
      </c>
      <c r="U11513" t="s">
        <v>56397</v>
      </c>
      <c r="W11513" t="s">
        <v>60820</v>
      </c>
      <c r="X11513" t="s">
        <v>44775</v>
      </c>
    </row>
    <row r="11514" spans="1:24">
      <c r="A11514">
        <f>HYPERLINK("https://www.philgeps.gov.ph/GEPSNONPILOT/Tender/SplashBidNoticeAbstractUI.aspx?menuIndex=3&amp;refID=7128943&amp;Result=3","7128943")</f>
        <v>0</v>
      </c>
      <c r="B11514" t="s">
        <v>416</v>
      </c>
      <c r="C11514" t="s">
        <v>14698</v>
      </c>
      <c r="D11514" t="s">
        <v>17976</v>
      </c>
      <c r="E11514" t="s">
        <v>27985</v>
      </c>
      <c r="F11514" t="s">
        <v>30900</v>
      </c>
      <c r="G11514" t="s">
        <v>30907</v>
      </c>
      <c r="H11514" t="s">
        <v>30916</v>
      </c>
      <c r="I11514" t="s">
        <v>5501</v>
      </c>
      <c r="J11514" t="s">
        <v>38211</v>
      </c>
      <c r="K11514" t="s">
        <v>40283</v>
      </c>
      <c r="M11514" t="s">
        <v>40972</v>
      </c>
      <c r="N11514" t="s">
        <v>44759</v>
      </c>
      <c r="O11514" t="s">
        <v>44760</v>
      </c>
      <c r="Q11514">
        <v>1</v>
      </c>
      <c r="R11514" t="s">
        <v>44774</v>
      </c>
      <c r="S11514" t="s">
        <v>45327</v>
      </c>
      <c r="T11514" t="s">
        <v>46363</v>
      </c>
      <c r="U11514" t="s">
        <v>56398</v>
      </c>
      <c r="W11514" t="s">
        <v>40972</v>
      </c>
      <c r="X11514" t="s">
        <v>44775</v>
      </c>
    </row>
    <row r="11515" spans="1:24">
      <c r="A11515">
        <f>HYPERLINK("https://www.philgeps.gov.ph/GEPSNONPILOT/Tender/SplashBidNoticeAbstractUI.aspx?menuIndex=3&amp;refID=7128936&amp;Result=3","7128936")</f>
        <v>0</v>
      </c>
      <c r="B11515" t="s">
        <v>1567</v>
      </c>
      <c r="C11515" t="s">
        <v>14699</v>
      </c>
      <c r="D11515" t="s">
        <v>18006</v>
      </c>
      <c r="E11515" t="s">
        <v>27986</v>
      </c>
      <c r="F11515" t="s">
        <v>30900</v>
      </c>
      <c r="G11515" t="s">
        <v>30907</v>
      </c>
      <c r="H11515" t="s">
        <v>30915</v>
      </c>
      <c r="I11515" t="s">
        <v>30919</v>
      </c>
      <c r="J11515" t="s">
        <v>31297</v>
      </c>
      <c r="K11515" t="s">
        <v>40289</v>
      </c>
      <c r="M11515" t="s">
        <v>42215</v>
      </c>
      <c r="N11515" t="s">
        <v>44759</v>
      </c>
      <c r="O11515" t="s">
        <v>44760</v>
      </c>
      <c r="P11515">
        <v>0</v>
      </c>
      <c r="Q11515">
        <v>1</v>
      </c>
      <c r="R11515" t="s">
        <v>44774</v>
      </c>
      <c r="S11515" t="s">
        <v>45266</v>
      </c>
      <c r="T11515" t="s">
        <v>46418</v>
      </c>
      <c r="U11515" t="s">
        <v>54195</v>
      </c>
      <c r="W11515" t="s">
        <v>42215</v>
      </c>
      <c r="X11515" t="s">
        <v>44775</v>
      </c>
    </row>
    <row r="11516" spans="1:24">
      <c r="A11516">
        <f>HYPERLINK("https://www.philgeps.gov.ph/GEPSNONPILOT/Tender/SplashBidNoticeAbstractUI.aspx?menuIndex=3&amp;refID=7128941&amp;Result=3","7128941")</f>
        <v>0</v>
      </c>
      <c r="B11516" t="s">
        <v>1068</v>
      </c>
      <c r="C11516" t="s">
        <v>14700</v>
      </c>
      <c r="E11516" t="s">
        <v>19701</v>
      </c>
      <c r="F11516" t="s">
        <v>30900</v>
      </c>
      <c r="G11516" t="s">
        <v>30907</v>
      </c>
      <c r="H11516" t="s">
        <v>30916</v>
      </c>
      <c r="I11516" t="s">
        <v>4142</v>
      </c>
      <c r="J11516" t="s">
        <v>38212</v>
      </c>
      <c r="K11516" t="s">
        <v>40289</v>
      </c>
      <c r="M11516" t="s">
        <v>41666</v>
      </c>
      <c r="N11516" t="s">
        <v>44759</v>
      </c>
      <c r="O11516" t="s">
        <v>44760</v>
      </c>
      <c r="P11516">
        <v>0</v>
      </c>
      <c r="Q11516">
        <v>5</v>
      </c>
      <c r="R11516" t="s">
        <v>44774</v>
      </c>
      <c r="S11516" t="s">
        <v>45266</v>
      </c>
      <c r="T11516" t="s">
        <v>46399</v>
      </c>
      <c r="U11516" t="s">
        <v>56399</v>
      </c>
      <c r="W11516" t="s">
        <v>60848</v>
      </c>
      <c r="X11516" t="s">
        <v>44775</v>
      </c>
    </row>
    <row r="11517" spans="1:24">
      <c r="A11517">
        <f>HYPERLINK("https://www.philgeps.gov.ph/GEPSNONPILOT/Tender/SplashBidNoticeAbstractUI.aspx?menuIndex=3&amp;refID=7129011&amp;Result=3","7129011")</f>
        <v>0</v>
      </c>
      <c r="B11517" t="s">
        <v>836</v>
      </c>
      <c r="C11517" t="s">
        <v>14701</v>
      </c>
      <c r="D11517" t="s">
        <v>17952</v>
      </c>
      <c r="E11517" t="s">
        <v>27987</v>
      </c>
      <c r="F11517" t="s">
        <v>30900</v>
      </c>
      <c r="G11517" t="s">
        <v>30907</v>
      </c>
      <c r="H11517" t="s">
        <v>30916</v>
      </c>
      <c r="I11517" t="s">
        <v>30924</v>
      </c>
      <c r="J11517" t="s">
        <v>38213</v>
      </c>
      <c r="K11517" t="s">
        <v>40283</v>
      </c>
      <c r="M11517" t="s">
        <v>41409</v>
      </c>
      <c r="N11517" t="s">
        <v>44759</v>
      </c>
      <c r="O11517" t="s">
        <v>44760</v>
      </c>
      <c r="P11517">
        <v>0</v>
      </c>
      <c r="Q11517">
        <v>17</v>
      </c>
      <c r="R11517" t="s">
        <v>44774</v>
      </c>
      <c r="S11517" t="s">
        <v>45266</v>
      </c>
      <c r="T11517" t="s">
        <v>46418</v>
      </c>
      <c r="U11517" t="s">
        <v>56400</v>
      </c>
      <c r="W11517" t="s">
        <v>41409</v>
      </c>
      <c r="X11517" t="s">
        <v>44775</v>
      </c>
    </row>
    <row r="11518" spans="1:24">
      <c r="A11518">
        <f>HYPERLINK("https://www.philgeps.gov.ph/GEPSNONPILOT/Tender/SplashBidNoticeAbstractUI.aspx?menuIndex=3&amp;refID=7129160&amp;Result=3","7129160")</f>
        <v>0</v>
      </c>
      <c r="B11518" t="s">
        <v>1287</v>
      </c>
      <c r="C11518" t="s">
        <v>14702</v>
      </c>
      <c r="D11518" t="s">
        <v>17971</v>
      </c>
      <c r="E11518" t="s">
        <v>27988</v>
      </c>
      <c r="F11518" t="s">
        <v>30900</v>
      </c>
      <c r="G11518" t="s">
        <v>30907</v>
      </c>
      <c r="H11518" t="s">
        <v>30915</v>
      </c>
      <c r="I11518" t="s">
        <v>30919</v>
      </c>
      <c r="J11518" t="s">
        <v>38214</v>
      </c>
      <c r="K11518" t="s">
        <v>40342</v>
      </c>
      <c r="M11518" t="s">
        <v>41904</v>
      </c>
      <c r="N11518" t="s">
        <v>44759</v>
      </c>
      <c r="O11518" t="s">
        <v>44760</v>
      </c>
      <c r="Q11518">
        <v>87</v>
      </c>
      <c r="R11518" t="s">
        <v>44774</v>
      </c>
      <c r="S11518" t="s">
        <v>45328</v>
      </c>
      <c r="T11518" t="s">
        <v>46418</v>
      </c>
      <c r="U11518" t="s">
        <v>56401</v>
      </c>
      <c r="V11518" t="s">
        <v>59458</v>
      </c>
      <c r="W11518" t="s">
        <v>41904</v>
      </c>
      <c r="X11518" t="s">
        <v>44775</v>
      </c>
    </row>
    <row r="11519" spans="1:24">
      <c r="A11519">
        <f>HYPERLINK("https://www.philgeps.gov.ph/GEPSNONPILOT/Tender/SplashBidNoticeAbstractUI.aspx?menuIndex=3&amp;refID=7129156&amp;Result=3","7129156")</f>
        <v>0</v>
      </c>
      <c r="B11519" t="s">
        <v>3357</v>
      </c>
      <c r="C11519" t="s">
        <v>14703</v>
      </c>
      <c r="D11519" t="s">
        <v>17996</v>
      </c>
      <c r="E11519" t="s">
        <v>18787</v>
      </c>
      <c r="F11519" t="s">
        <v>30900</v>
      </c>
      <c r="G11519" t="s">
        <v>30907</v>
      </c>
      <c r="H11519" t="s">
        <v>30915</v>
      </c>
      <c r="I11519" t="s">
        <v>30919</v>
      </c>
      <c r="J11519" t="s">
        <v>38215</v>
      </c>
      <c r="K11519" t="s">
        <v>40313</v>
      </c>
      <c r="M11519" t="s">
        <v>44226</v>
      </c>
      <c r="N11519" t="s">
        <v>44759</v>
      </c>
      <c r="O11519" t="s">
        <v>44760</v>
      </c>
      <c r="P11519">
        <v>0</v>
      </c>
      <c r="Q11519">
        <v>0</v>
      </c>
      <c r="R11519" t="s">
        <v>44774</v>
      </c>
      <c r="S11519" t="s">
        <v>45266</v>
      </c>
      <c r="T11519" t="s">
        <v>46400</v>
      </c>
      <c r="U11519" t="s">
        <v>56402</v>
      </c>
      <c r="V11519" t="s">
        <v>60419</v>
      </c>
      <c r="W11519" t="s">
        <v>44226</v>
      </c>
      <c r="X11519" t="s">
        <v>44775</v>
      </c>
    </row>
    <row r="11520" spans="1:24">
      <c r="A11520">
        <f>HYPERLINK("https://www.philgeps.gov.ph/GEPSNONPILOT/Tender/SplashBidNoticeAbstractUI.aspx?menuIndex=3&amp;refID=7128969&amp;Result=3","7128969")</f>
        <v>0</v>
      </c>
      <c r="B11520" t="s">
        <v>412</v>
      </c>
      <c r="C11520" t="s">
        <v>14704</v>
      </c>
      <c r="D11520" t="s">
        <v>18015</v>
      </c>
      <c r="E11520" t="s">
        <v>18141</v>
      </c>
      <c r="F11520" t="s">
        <v>30900</v>
      </c>
      <c r="G11520" t="s">
        <v>30907</v>
      </c>
      <c r="H11520" t="s">
        <v>30915</v>
      </c>
      <c r="I11520" t="s">
        <v>30919</v>
      </c>
      <c r="J11520" t="s">
        <v>38216</v>
      </c>
      <c r="K11520" t="s">
        <v>40395</v>
      </c>
      <c r="M11520" t="s">
        <v>40968</v>
      </c>
      <c r="N11520" t="s">
        <v>44759</v>
      </c>
      <c r="O11520" t="s">
        <v>44760</v>
      </c>
      <c r="P11520">
        <v>0</v>
      </c>
      <c r="Q11520">
        <v>2</v>
      </c>
      <c r="R11520" t="s">
        <v>44774</v>
      </c>
      <c r="S11520" t="s">
        <v>45266</v>
      </c>
      <c r="T11520" t="s">
        <v>46373</v>
      </c>
      <c r="U11520" t="s">
        <v>56403</v>
      </c>
      <c r="W11520" t="s">
        <v>40968</v>
      </c>
      <c r="X11520" t="s">
        <v>44775</v>
      </c>
    </row>
    <row r="11521" spans="1:24">
      <c r="A11521">
        <f>HYPERLINK("https://www.philgeps.gov.ph/GEPSNONPILOT/Tender/SplashBidNoticeAbstractUI.aspx?menuIndex=3&amp;refID=7128474&amp;Result=3","7128474")</f>
        <v>0</v>
      </c>
      <c r="B11521" t="s">
        <v>3347</v>
      </c>
      <c r="C11521" t="s">
        <v>14705</v>
      </c>
      <c r="D11521" t="s">
        <v>18002</v>
      </c>
      <c r="E11521" t="s">
        <v>27989</v>
      </c>
      <c r="F11521" t="s">
        <v>30900</v>
      </c>
      <c r="G11521" t="s">
        <v>30907</v>
      </c>
      <c r="H11521" t="s">
        <v>30915</v>
      </c>
      <c r="I11521" t="s">
        <v>30919</v>
      </c>
      <c r="J11521" t="s">
        <v>38217</v>
      </c>
      <c r="K11521" t="s">
        <v>40320</v>
      </c>
      <c r="M11521" t="s">
        <v>44215</v>
      </c>
      <c r="N11521" t="s">
        <v>44759</v>
      </c>
      <c r="O11521" t="s">
        <v>44760</v>
      </c>
      <c r="P11521">
        <v>0</v>
      </c>
      <c r="Q11521">
        <v>5</v>
      </c>
      <c r="R11521" t="s">
        <v>44774</v>
      </c>
      <c r="S11521" t="s">
        <v>45266</v>
      </c>
      <c r="T11521" t="s">
        <v>46409</v>
      </c>
      <c r="U11521" t="s">
        <v>56328</v>
      </c>
      <c r="V11521" t="s">
        <v>60420</v>
      </c>
      <c r="W11521" t="s">
        <v>44215</v>
      </c>
      <c r="X11521" t="s">
        <v>44775</v>
      </c>
    </row>
    <row r="11522" spans="1:24">
      <c r="A11522">
        <f>HYPERLINK("https://www.philgeps.gov.ph/GEPSNONPILOT/Tender/SplashBidNoticeAbstractUI.aspx?menuIndex=3&amp;refID=7129144&amp;Result=3","7129144")</f>
        <v>0</v>
      </c>
      <c r="B11522" t="s">
        <v>106</v>
      </c>
      <c r="C11522" t="s">
        <v>14706</v>
      </c>
      <c r="D11522" t="s">
        <v>17961</v>
      </c>
      <c r="E11522" t="s">
        <v>27990</v>
      </c>
      <c r="F11522" t="s">
        <v>30900</v>
      </c>
      <c r="G11522" t="s">
        <v>30907</v>
      </c>
      <c r="H11522" t="s">
        <v>30916</v>
      </c>
      <c r="I11522" t="s">
        <v>30932</v>
      </c>
      <c r="J11522" t="s">
        <v>38218</v>
      </c>
      <c r="K11522" t="s">
        <v>40289</v>
      </c>
      <c r="M11522" t="s">
        <v>40653</v>
      </c>
      <c r="N11522" t="s">
        <v>44759</v>
      </c>
      <c r="O11522" t="s">
        <v>44760</v>
      </c>
      <c r="Q11522">
        <v>8</v>
      </c>
      <c r="R11522" t="s">
        <v>44774</v>
      </c>
      <c r="S11522" t="s">
        <v>45329</v>
      </c>
      <c r="T11522" t="s">
        <v>46352</v>
      </c>
      <c r="U11522" t="s">
        <v>56404</v>
      </c>
      <c r="V11522" t="s">
        <v>59168</v>
      </c>
      <c r="W11522" t="s">
        <v>40653</v>
      </c>
      <c r="X11522" t="s">
        <v>44775</v>
      </c>
    </row>
    <row r="11523" spans="1:24">
      <c r="A11523">
        <f>HYPERLINK("https://www.philgeps.gov.ph/GEPSNONPILOT/Tender/SplashBidNoticeAbstractUI.aspx?menuIndex=3&amp;refID=7129132&amp;Result=3","7129132")</f>
        <v>0</v>
      </c>
      <c r="B11523" t="s">
        <v>1314</v>
      </c>
      <c r="C11523" t="s">
        <v>14707</v>
      </c>
      <c r="D11523" t="s">
        <v>18019</v>
      </c>
      <c r="E11523" t="s">
        <v>27991</v>
      </c>
      <c r="F11523" t="s">
        <v>30900</v>
      </c>
      <c r="G11523" t="s">
        <v>30907</v>
      </c>
      <c r="H11523" t="s">
        <v>30916</v>
      </c>
      <c r="I11523" t="s">
        <v>30921</v>
      </c>
      <c r="J11523" t="s">
        <v>38219</v>
      </c>
      <c r="K11523" t="s">
        <v>40289</v>
      </c>
      <c r="L11523" t="s">
        <v>1314</v>
      </c>
      <c r="M11523" t="s">
        <v>42251</v>
      </c>
      <c r="N11523" t="s">
        <v>44759</v>
      </c>
      <c r="O11523" t="s">
        <v>44760</v>
      </c>
      <c r="Q11523">
        <v>12</v>
      </c>
      <c r="R11523" t="s">
        <v>44774</v>
      </c>
      <c r="S11523" t="s">
        <v>45330</v>
      </c>
      <c r="T11523" t="s">
        <v>46369</v>
      </c>
      <c r="U11523" t="s">
        <v>56405</v>
      </c>
      <c r="W11523" t="s">
        <v>42251</v>
      </c>
      <c r="X11523" t="s">
        <v>44775</v>
      </c>
    </row>
    <row r="11524" spans="1:24">
      <c r="A11524">
        <f>HYPERLINK("https://www.philgeps.gov.ph/GEPSNONPILOT/Tender/SplashBidNoticeAbstractUI.aspx?menuIndex=3&amp;refID=7128951&amp;Result=3","7128951")</f>
        <v>0</v>
      </c>
      <c r="B11524" t="s">
        <v>106</v>
      </c>
      <c r="C11524" t="s">
        <v>14708</v>
      </c>
      <c r="D11524" t="s">
        <v>17961</v>
      </c>
      <c r="E11524" t="s">
        <v>27992</v>
      </c>
      <c r="F11524" t="s">
        <v>30900</v>
      </c>
      <c r="G11524" t="s">
        <v>30907</v>
      </c>
      <c r="H11524" t="s">
        <v>30916</v>
      </c>
      <c r="I11524" t="s">
        <v>30986</v>
      </c>
      <c r="J11524" t="s">
        <v>38220</v>
      </c>
      <c r="K11524" t="s">
        <v>40289</v>
      </c>
      <c r="M11524" t="s">
        <v>40653</v>
      </c>
      <c r="N11524" t="s">
        <v>44759</v>
      </c>
      <c r="O11524" t="s">
        <v>44760</v>
      </c>
      <c r="Q11524">
        <v>5</v>
      </c>
      <c r="R11524" t="s">
        <v>44774</v>
      </c>
      <c r="S11524" t="s">
        <v>45331</v>
      </c>
      <c r="T11524" t="s">
        <v>46352</v>
      </c>
      <c r="U11524" t="s">
        <v>56406</v>
      </c>
      <c r="V11524" t="s">
        <v>59168</v>
      </c>
      <c r="W11524" t="s">
        <v>40653</v>
      </c>
      <c r="X11524" t="s">
        <v>44775</v>
      </c>
    </row>
    <row r="11525" spans="1:24">
      <c r="A11525">
        <f>HYPERLINK("https://www.philgeps.gov.ph/GEPSNONPILOT/Tender/SplashBidNoticeAbstractUI.aspx?menuIndex=3&amp;refID=7129119&amp;Result=3","7129119")</f>
        <v>0</v>
      </c>
      <c r="B11525" t="s">
        <v>3358</v>
      </c>
      <c r="C11525" t="s">
        <v>14709</v>
      </c>
      <c r="D11525" t="s">
        <v>18007</v>
      </c>
      <c r="E11525" t="s">
        <v>27993</v>
      </c>
      <c r="F11525" t="s">
        <v>30900</v>
      </c>
      <c r="G11525" t="s">
        <v>30907</v>
      </c>
      <c r="H11525" t="s">
        <v>30916</v>
      </c>
      <c r="I11525" t="s">
        <v>8123</v>
      </c>
      <c r="J11525" t="s">
        <v>38221</v>
      </c>
      <c r="K11525" t="s">
        <v>40283</v>
      </c>
      <c r="M11525" t="s">
        <v>44227</v>
      </c>
      <c r="N11525" t="s">
        <v>44759</v>
      </c>
      <c r="O11525" t="s">
        <v>44760</v>
      </c>
      <c r="P11525">
        <v>0</v>
      </c>
      <c r="Q11525">
        <v>1</v>
      </c>
      <c r="R11525" t="s">
        <v>44774</v>
      </c>
      <c r="S11525" t="s">
        <v>45266</v>
      </c>
      <c r="T11525" t="s">
        <v>46369</v>
      </c>
      <c r="U11525" t="s">
        <v>56407</v>
      </c>
      <c r="W11525" t="s">
        <v>44227</v>
      </c>
      <c r="X11525" t="s">
        <v>44775</v>
      </c>
    </row>
    <row r="11526" spans="1:24">
      <c r="A11526">
        <f>HYPERLINK("https://www.philgeps.gov.ph/GEPSNONPILOT/Tender/SplashBidNoticeAbstractUI.aspx?menuIndex=3&amp;refID=7129027&amp;Result=3","7129027")</f>
        <v>0</v>
      </c>
      <c r="B11526" t="s">
        <v>106</v>
      </c>
      <c r="C11526" t="s">
        <v>14710</v>
      </c>
      <c r="D11526" t="s">
        <v>17961</v>
      </c>
      <c r="E11526" t="s">
        <v>27994</v>
      </c>
      <c r="F11526" t="s">
        <v>30900</v>
      </c>
      <c r="G11526" t="s">
        <v>30907</v>
      </c>
      <c r="H11526" t="s">
        <v>30916</v>
      </c>
      <c r="I11526" t="s">
        <v>8123</v>
      </c>
      <c r="J11526" t="s">
        <v>38222</v>
      </c>
      <c r="K11526" t="s">
        <v>40289</v>
      </c>
      <c r="M11526" t="s">
        <v>40653</v>
      </c>
      <c r="N11526" t="s">
        <v>44759</v>
      </c>
      <c r="O11526" t="s">
        <v>44760</v>
      </c>
      <c r="Q11526">
        <v>1</v>
      </c>
      <c r="R11526" t="s">
        <v>44774</v>
      </c>
      <c r="S11526" t="s">
        <v>45332</v>
      </c>
      <c r="T11526" t="s">
        <v>46361</v>
      </c>
      <c r="U11526" t="s">
        <v>56408</v>
      </c>
      <c r="V11526" t="s">
        <v>59168</v>
      </c>
      <c r="W11526" t="s">
        <v>40653</v>
      </c>
      <c r="X11526" t="s">
        <v>44775</v>
      </c>
    </row>
    <row r="11527" spans="1:24">
      <c r="A11527">
        <f>HYPERLINK("https://www.philgeps.gov.ph/GEPSNONPILOT/Tender/SplashBidNoticeAbstractUI.aspx?menuIndex=3&amp;refID=7129098&amp;Result=3","7129098")</f>
        <v>0</v>
      </c>
      <c r="B11527" t="s">
        <v>753</v>
      </c>
      <c r="C11527" t="s">
        <v>14711</v>
      </c>
      <c r="D11527" t="s">
        <v>17976</v>
      </c>
      <c r="E11527" t="s">
        <v>27995</v>
      </c>
      <c r="F11527" t="s">
        <v>30900</v>
      </c>
      <c r="G11527" t="s">
        <v>30907</v>
      </c>
      <c r="H11527" t="s">
        <v>30916</v>
      </c>
      <c r="I11527" t="s">
        <v>30989</v>
      </c>
      <c r="J11527" t="s">
        <v>35651</v>
      </c>
      <c r="K11527" t="s">
        <v>40292</v>
      </c>
      <c r="L11527" t="s">
        <v>753</v>
      </c>
      <c r="M11527" t="s">
        <v>41317</v>
      </c>
      <c r="N11527" t="s">
        <v>44759</v>
      </c>
      <c r="O11527" t="s">
        <v>44760</v>
      </c>
      <c r="Q11527">
        <v>23</v>
      </c>
      <c r="R11527" t="s">
        <v>44774</v>
      </c>
      <c r="S11527" t="s">
        <v>44998</v>
      </c>
      <c r="T11527" t="s">
        <v>46366</v>
      </c>
      <c r="U11527" t="s">
        <v>48259</v>
      </c>
      <c r="V11527" t="s">
        <v>59295</v>
      </c>
      <c r="W11527" t="s">
        <v>41317</v>
      </c>
      <c r="X11527" t="s">
        <v>44775</v>
      </c>
    </row>
    <row r="11528" spans="1:24">
      <c r="A11528">
        <f>HYPERLINK("https://www.philgeps.gov.ph/GEPSNONPILOT/Tender/SplashBidNoticeAbstractUI.aspx?menuIndex=3&amp;refID=7128930&amp;Result=3","7128930")</f>
        <v>0</v>
      </c>
      <c r="B11528" t="s">
        <v>3356</v>
      </c>
      <c r="C11528" t="s">
        <v>14712</v>
      </c>
      <c r="D11528" t="s">
        <v>17959</v>
      </c>
      <c r="E11528" t="s">
        <v>27996</v>
      </c>
      <c r="F11528" t="s">
        <v>30900</v>
      </c>
      <c r="G11528" t="s">
        <v>30907</v>
      </c>
      <c r="H11528" t="s">
        <v>30917</v>
      </c>
      <c r="I11528" t="s">
        <v>31006</v>
      </c>
      <c r="J11528" t="s">
        <v>38223</v>
      </c>
      <c r="K11528" t="s">
        <v>40332</v>
      </c>
      <c r="M11528" t="s">
        <v>44225</v>
      </c>
      <c r="N11528" t="s">
        <v>44759</v>
      </c>
      <c r="O11528" t="s">
        <v>44760</v>
      </c>
      <c r="P11528">
        <v>0</v>
      </c>
      <c r="Q11528">
        <v>6</v>
      </c>
      <c r="R11528" t="s">
        <v>44774</v>
      </c>
      <c r="S11528" t="s">
        <v>45266</v>
      </c>
      <c r="T11528" t="s">
        <v>46411</v>
      </c>
      <c r="U11528" t="s">
        <v>56409</v>
      </c>
      <c r="V11528" t="s">
        <v>60418</v>
      </c>
      <c r="W11528" t="s">
        <v>44225</v>
      </c>
      <c r="X11528" t="s">
        <v>44775</v>
      </c>
    </row>
    <row r="11529" spans="1:24">
      <c r="A11529">
        <f>HYPERLINK("https://www.philgeps.gov.ph/GEPSNONPILOT/Tender/SplashBidNoticeAbstractUI.aspx?menuIndex=3&amp;refID=7129088&amp;Result=3","7129088")</f>
        <v>0</v>
      </c>
      <c r="B11529" t="s">
        <v>106</v>
      </c>
      <c r="C11529" t="s">
        <v>14713</v>
      </c>
      <c r="D11529" t="s">
        <v>17961</v>
      </c>
      <c r="E11529" t="s">
        <v>27997</v>
      </c>
      <c r="F11529" t="s">
        <v>30900</v>
      </c>
      <c r="G11529" t="s">
        <v>30907</v>
      </c>
      <c r="H11529" t="s">
        <v>30916</v>
      </c>
      <c r="I11529" t="s">
        <v>8123</v>
      </c>
      <c r="J11529" t="s">
        <v>38224</v>
      </c>
      <c r="K11529" t="s">
        <v>40289</v>
      </c>
      <c r="M11529" t="s">
        <v>40653</v>
      </c>
      <c r="N11529" t="s">
        <v>44759</v>
      </c>
      <c r="O11529" t="s">
        <v>44760</v>
      </c>
      <c r="Q11529">
        <v>3</v>
      </c>
      <c r="R11529" t="s">
        <v>44774</v>
      </c>
      <c r="S11529" t="s">
        <v>44880</v>
      </c>
      <c r="T11529" t="s">
        <v>46352</v>
      </c>
      <c r="U11529" t="s">
        <v>56410</v>
      </c>
      <c r="V11529" t="s">
        <v>59168</v>
      </c>
      <c r="W11529" t="s">
        <v>40653</v>
      </c>
      <c r="X11529" t="s">
        <v>44775</v>
      </c>
    </row>
    <row r="11530" spans="1:24">
      <c r="A11530">
        <f>HYPERLINK("https://www.philgeps.gov.ph/GEPSNONPILOT/Tender/SplashBidNoticeAbstractUI.aspx?menuIndex=3&amp;refID=7129085&amp;Result=3","7129085")</f>
        <v>0</v>
      </c>
      <c r="B11530" t="s">
        <v>1314</v>
      </c>
      <c r="C11530" t="s">
        <v>14714</v>
      </c>
      <c r="D11530" t="s">
        <v>18019</v>
      </c>
      <c r="E11530" t="s">
        <v>27998</v>
      </c>
      <c r="F11530" t="s">
        <v>30900</v>
      </c>
      <c r="G11530" t="s">
        <v>30907</v>
      </c>
      <c r="H11530" t="s">
        <v>30916</v>
      </c>
      <c r="I11530" t="s">
        <v>30924</v>
      </c>
      <c r="J11530" t="s">
        <v>38225</v>
      </c>
      <c r="K11530" t="s">
        <v>40289</v>
      </c>
      <c r="L11530" t="s">
        <v>1314</v>
      </c>
      <c r="M11530" t="s">
        <v>42251</v>
      </c>
      <c r="N11530" t="s">
        <v>44759</v>
      </c>
      <c r="O11530" t="s">
        <v>44760</v>
      </c>
      <c r="Q11530">
        <v>7</v>
      </c>
      <c r="R11530" t="s">
        <v>44774</v>
      </c>
      <c r="S11530" t="s">
        <v>45333</v>
      </c>
      <c r="T11530" t="s">
        <v>46369</v>
      </c>
      <c r="U11530" t="s">
        <v>56411</v>
      </c>
      <c r="W11530" t="s">
        <v>42251</v>
      </c>
      <c r="X11530" t="s">
        <v>44775</v>
      </c>
    </row>
    <row r="11531" spans="1:24">
      <c r="A11531">
        <f>HYPERLINK("https://www.philgeps.gov.ph/GEPSNONPILOT/Tender/SplashBidNoticeAbstractUI.aspx?menuIndex=3&amp;refID=7129292&amp;Result=3","7129292")</f>
        <v>0</v>
      </c>
      <c r="B11531" t="s">
        <v>3359</v>
      </c>
      <c r="C11531" t="s">
        <v>14715</v>
      </c>
      <c r="D11531" t="s">
        <v>18003</v>
      </c>
      <c r="E11531" t="s">
        <v>27999</v>
      </c>
      <c r="F11531" t="s">
        <v>30900</v>
      </c>
      <c r="G11531" t="s">
        <v>30907</v>
      </c>
      <c r="H11531" t="s">
        <v>30916</v>
      </c>
      <c r="I11531" t="s">
        <v>8123</v>
      </c>
      <c r="J11531" t="s">
        <v>38226</v>
      </c>
      <c r="K11531" t="s">
        <v>40286</v>
      </c>
      <c r="M11531" t="s">
        <v>44228</v>
      </c>
      <c r="N11531" t="s">
        <v>44759</v>
      </c>
      <c r="O11531" t="s">
        <v>44760</v>
      </c>
      <c r="P11531">
        <v>0</v>
      </c>
      <c r="Q11531">
        <v>7</v>
      </c>
      <c r="R11531" t="s">
        <v>44774</v>
      </c>
      <c r="S11531" t="s">
        <v>45266</v>
      </c>
      <c r="T11531" t="s">
        <v>46357</v>
      </c>
      <c r="U11531" t="s">
        <v>56412</v>
      </c>
      <c r="W11531" t="s">
        <v>44228</v>
      </c>
      <c r="X11531" t="s">
        <v>44775</v>
      </c>
    </row>
    <row r="11532" spans="1:24">
      <c r="A11532">
        <f>HYPERLINK("https://www.philgeps.gov.ph/GEPSNONPILOT/Tender/SplashBidNoticeAbstractUI.aspx?menuIndex=3&amp;refID=7129282&amp;Result=3","7129282")</f>
        <v>0</v>
      </c>
      <c r="B11532" t="s">
        <v>3359</v>
      </c>
      <c r="C11532" t="s">
        <v>14716</v>
      </c>
      <c r="D11532" t="s">
        <v>18003</v>
      </c>
      <c r="E11532" t="s">
        <v>28000</v>
      </c>
      <c r="F11532" t="s">
        <v>30900</v>
      </c>
      <c r="G11532" t="s">
        <v>30907</v>
      </c>
      <c r="H11532" t="s">
        <v>30916</v>
      </c>
      <c r="I11532" t="s">
        <v>8123</v>
      </c>
      <c r="J11532" t="s">
        <v>38227</v>
      </c>
      <c r="K11532" t="s">
        <v>40286</v>
      </c>
      <c r="M11532" t="s">
        <v>44228</v>
      </c>
      <c r="N11532" t="s">
        <v>44759</v>
      </c>
      <c r="O11532" t="s">
        <v>44760</v>
      </c>
      <c r="P11532">
        <v>0</v>
      </c>
      <c r="Q11532">
        <v>5</v>
      </c>
      <c r="R11532" t="s">
        <v>44774</v>
      </c>
      <c r="S11532" t="s">
        <v>45266</v>
      </c>
      <c r="T11532" t="s">
        <v>46357</v>
      </c>
      <c r="U11532" t="s">
        <v>56412</v>
      </c>
      <c r="W11532" t="s">
        <v>44228</v>
      </c>
      <c r="X11532" t="s">
        <v>44775</v>
      </c>
    </row>
    <row r="11533" spans="1:24">
      <c r="A11533">
        <f>HYPERLINK("https://www.philgeps.gov.ph/GEPSNONPILOT/Tender/SplashBidNoticeAbstractUI.aspx?menuIndex=3&amp;refID=7129280&amp;Result=3","7129280")</f>
        <v>0</v>
      </c>
      <c r="B11533" t="s">
        <v>3360</v>
      </c>
      <c r="C11533" t="s">
        <v>14717</v>
      </c>
      <c r="D11533" t="s">
        <v>17952</v>
      </c>
      <c r="E11533" t="s">
        <v>28001</v>
      </c>
      <c r="F11533" t="s">
        <v>30900</v>
      </c>
      <c r="G11533" t="s">
        <v>30907</v>
      </c>
      <c r="H11533" t="s">
        <v>30916</v>
      </c>
      <c r="I11533" t="s">
        <v>4050</v>
      </c>
      <c r="J11533" t="s">
        <v>38228</v>
      </c>
      <c r="K11533" t="s">
        <v>40283</v>
      </c>
      <c r="L11533" t="s">
        <v>3360</v>
      </c>
      <c r="M11533" t="s">
        <v>44229</v>
      </c>
      <c r="N11533" t="s">
        <v>44759</v>
      </c>
      <c r="O11533" t="s">
        <v>44760</v>
      </c>
      <c r="P11533">
        <v>0</v>
      </c>
      <c r="Q11533">
        <v>0</v>
      </c>
      <c r="R11533" t="s">
        <v>44774</v>
      </c>
      <c r="S11533" t="s">
        <v>45266</v>
      </c>
      <c r="T11533" t="s">
        <v>46353</v>
      </c>
      <c r="U11533" t="s">
        <v>56413</v>
      </c>
      <c r="W11533" t="s">
        <v>44229</v>
      </c>
      <c r="X11533" t="s">
        <v>44775</v>
      </c>
    </row>
    <row r="11534" spans="1:24">
      <c r="A11534">
        <f>HYPERLINK("https://www.philgeps.gov.ph/GEPSNONPILOT/Tender/SplashBidNoticeAbstractUI.aspx?menuIndex=3&amp;refID=7129277&amp;Result=3","7129277")</f>
        <v>0</v>
      </c>
      <c r="B11534" t="s">
        <v>644</v>
      </c>
      <c r="C11534" t="s">
        <v>14718</v>
      </c>
      <c r="D11534" t="s">
        <v>17976</v>
      </c>
      <c r="E11534" t="s">
        <v>28002</v>
      </c>
      <c r="F11534" t="s">
        <v>30899</v>
      </c>
      <c r="G11534" t="s">
        <v>30913</v>
      </c>
      <c r="H11534" t="s">
        <v>30916</v>
      </c>
      <c r="I11534" t="s">
        <v>30933</v>
      </c>
      <c r="J11534" t="s">
        <v>31241</v>
      </c>
      <c r="K11534" t="s">
        <v>40293</v>
      </c>
      <c r="M11534" t="s">
        <v>41207</v>
      </c>
      <c r="N11534" t="s">
        <v>44759</v>
      </c>
      <c r="O11534" t="s">
        <v>44760</v>
      </c>
      <c r="P11534">
        <v>0</v>
      </c>
      <c r="Q11534">
        <v>5</v>
      </c>
      <c r="R11534" t="s">
        <v>44774</v>
      </c>
      <c r="S11534" t="s">
        <v>45266</v>
      </c>
      <c r="T11534" t="s">
        <v>46507</v>
      </c>
      <c r="U11534" t="s">
        <v>56414</v>
      </c>
      <c r="W11534" t="s">
        <v>41207</v>
      </c>
      <c r="X11534" t="s">
        <v>44775</v>
      </c>
    </row>
    <row r="11535" spans="1:24">
      <c r="A11535">
        <f>HYPERLINK("https://www.philgeps.gov.ph/GEPSNONPILOT/Tender/SplashBidNoticeAbstractUI.aspx?menuIndex=3&amp;refID=7129268&amp;Result=3","7129268")</f>
        <v>0</v>
      </c>
      <c r="B11535" t="s">
        <v>3211</v>
      </c>
      <c r="C11535" t="s">
        <v>14719</v>
      </c>
      <c r="D11535" t="s">
        <v>18038</v>
      </c>
      <c r="E11535" t="s">
        <v>28003</v>
      </c>
      <c r="F11535" t="s">
        <v>30900</v>
      </c>
      <c r="G11535" t="s">
        <v>30907</v>
      </c>
      <c r="H11535" t="s">
        <v>30917</v>
      </c>
      <c r="I11535" t="s">
        <v>30996</v>
      </c>
      <c r="J11535" t="s">
        <v>38229</v>
      </c>
      <c r="K11535" t="s">
        <v>40293</v>
      </c>
      <c r="M11535" t="s">
        <v>44050</v>
      </c>
      <c r="N11535" t="s">
        <v>44759</v>
      </c>
      <c r="O11535" t="s">
        <v>44760</v>
      </c>
      <c r="P11535">
        <v>0</v>
      </c>
      <c r="Q11535">
        <v>39</v>
      </c>
      <c r="R11535" t="s">
        <v>44774</v>
      </c>
      <c r="S11535" t="s">
        <v>45266</v>
      </c>
      <c r="T11535" t="s">
        <v>46504</v>
      </c>
      <c r="U11535" t="s">
        <v>56415</v>
      </c>
      <c r="W11535" t="s">
        <v>44050</v>
      </c>
      <c r="X11535" t="s">
        <v>44775</v>
      </c>
    </row>
    <row r="11536" spans="1:24">
      <c r="A11536">
        <f>HYPERLINK("https://www.philgeps.gov.ph/GEPSNONPILOT/Tender/SplashBidNoticeAbstractUI.aspx?menuIndex=3&amp;refID=7129123&amp;Result=3","7129123")</f>
        <v>0</v>
      </c>
      <c r="B11536" t="s">
        <v>2233</v>
      </c>
      <c r="C11536" t="s">
        <v>14720</v>
      </c>
      <c r="D11536" t="s">
        <v>18013</v>
      </c>
      <c r="E11536" t="s">
        <v>28004</v>
      </c>
      <c r="F11536" t="s">
        <v>30900</v>
      </c>
      <c r="G11536" t="s">
        <v>30913</v>
      </c>
      <c r="H11536" t="s">
        <v>30916</v>
      </c>
      <c r="I11536" t="s">
        <v>10602</v>
      </c>
      <c r="J11536" t="s">
        <v>38230</v>
      </c>
      <c r="K11536" t="s">
        <v>40334</v>
      </c>
      <c r="M11536" t="s">
        <v>42943</v>
      </c>
      <c r="N11536" t="s">
        <v>44759</v>
      </c>
      <c r="O11536" t="s">
        <v>44760</v>
      </c>
      <c r="P11536">
        <v>0</v>
      </c>
      <c r="Q11536">
        <v>1</v>
      </c>
      <c r="R11536" t="s">
        <v>44774</v>
      </c>
      <c r="S11536" t="s">
        <v>45266</v>
      </c>
      <c r="T11536" t="s">
        <v>46400</v>
      </c>
      <c r="U11536" t="s">
        <v>56416</v>
      </c>
      <c r="W11536" t="s">
        <v>42943</v>
      </c>
      <c r="X11536" t="s">
        <v>44775</v>
      </c>
    </row>
    <row r="11537" spans="1:24">
      <c r="A11537">
        <f>HYPERLINK("https://www.philgeps.gov.ph/GEPSNONPILOT/Tender/SplashBidNoticeAbstractUI.aspx?menuIndex=3&amp;refID=7129077&amp;Result=3","7129077")</f>
        <v>0</v>
      </c>
      <c r="B11537" t="s">
        <v>3361</v>
      </c>
      <c r="C11537" t="s">
        <v>14721</v>
      </c>
      <c r="D11537" t="s">
        <v>17974</v>
      </c>
      <c r="E11537" t="s">
        <v>28005</v>
      </c>
      <c r="F11537" t="s">
        <v>30900</v>
      </c>
      <c r="G11537" t="s">
        <v>30907</v>
      </c>
      <c r="H11537" t="s">
        <v>30916</v>
      </c>
      <c r="I11537" t="s">
        <v>30949</v>
      </c>
      <c r="J11537" t="s">
        <v>38231</v>
      </c>
      <c r="K11537" t="s">
        <v>40286</v>
      </c>
      <c r="M11537" t="s">
        <v>44230</v>
      </c>
      <c r="N11537" t="s">
        <v>44759</v>
      </c>
      <c r="O11537" t="s">
        <v>44760</v>
      </c>
      <c r="P11537">
        <v>0</v>
      </c>
      <c r="Q11537">
        <v>6</v>
      </c>
      <c r="R11537" t="s">
        <v>44774</v>
      </c>
      <c r="S11537" t="s">
        <v>45266</v>
      </c>
      <c r="T11537" t="s">
        <v>46883</v>
      </c>
      <c r="U11537" t="s">
        <v>56417</v>
      </c>
      <c r="W11537" t="s">
        <v>44230</v>
      </c>
      <c r="X11537" t="s">
        <v>44775</v>
      </c>
    </row>
    <row r="11538" spans="1:24">
      <c r="A11538">
        <f>HYPERLINK("https://www.philgeps.gov.ph/GEPSNONPILOT/Tender/SplashBidNoticeAbstractUI.aspx?menuIndex=3&amp;refID=7129140&amp;Result=3","7129140")</f>
        <v>0</v>
      </c>
      <c r="B11538" t="s">
        <v>3362</v>
      </c>
      <c r="C11538" t="s">
        <v>14722</v>
      </c>
      <c r="D11538" t="s">
        <v>18025</v>
      </c>
      <c r="E11538" t="s">
        <v>28006</v>
      </c>
      <c r="F11538" t="s">
        <v>30900</v>
      </c>
      <c r="G11538" t="s">
        <v>30907</v>
      </c>
      <c r="H11538" t="s">
        <v>30915</v>
      </c>
      <c r="I11538" t="s">
        <v>30919</v>
      </c>
      <c r="J11538" t="s">
        <v>31152</v>
      </c>
      <c r="K11538" t="s">
        <v>40459</v>
      </c>
      <c r="M11538" t="s">
        <v>44231</v>
      </c>
      <c r="N11538" t="s">
        <v>44759</v>
      </c>
      <c r="O11538" t="s">
        <v>44760</v>
      </c>
      <c r="P11538">
        <v>0</v>
      </c>
      <c r="Q11538">
        <v>6</v>
      </c>
      <c r="R11538" t="s">
        <v>44774</v>
      </c>
      <c r="S11538" t="s">
        <v>45266</v>
      </c>
      <c r="T11538" t="s">
        <v>46352</v>
      </c>
      <c r="U11538" t="s">
        <v>56418</v>
      </c>
      <c r="W11538" t="s">
        <v>44231</v>
      </c>
      <c r="X11538" t="s">
        <v>44775</v>
      </c>
    </row>
    <row r="11539" spans="1:24">
      <c r="A11539">
        <f>HYPERLINK("https://www.philgeps.gov.ph/GEPSNONPILOT/Tender/SplashBidNoticeAbstractUI.aspx?menuIndex=3&amp;refID=7129133&amp;Result=3","7129133")</f>
        <v>0</v>
      </c>
      <c r="B11539" t="s">
        <v>3363</v>
      </c>
      <c r="C11539" t="s">
        <v>14723</v>
      </c>
      <c r="D11539" t="s">
        <v>17992</v>
      </c>
      <c r="E11539" t="s">
        <v>28007</v>
      </c>
      <c r="F11539" t="s">
        <v>30900</v>
      </c>
      <c r="G11539" t="s">
        <v>30907</v>
      </c>
      <c r="H11539" t="s">
        <v>30916</v>
      </c>
      <c r="I11539" t="s">
        <v>30960</v>
      </c>
      <c r="J11539" t="s">
        <v>38232</v>
      </c>
      <c r="K11539" t="s">
        <v>40292</v>
      </c>
      <c r="M11539" t="s">
        <v>44232</v>
      </c>
      <c r="N11539" t="s">
        <v>44759</v>
      </c>
      <c r="O11539" t="s">
        <v>44760</v>
      </c>
      <c r="P11539">
        <v>0</v>
      </c>
      <c r="Q11539">
        <v>2</v>
      </c>
      <c r="R11539" t="s">
        <v>44774</v>
      </c>
      <c r="S11539" t="s">
        <v>45266</v>
      </c>
      <c r="T11539" t="s">
        <v>46425</v>
      </c>
      <c r="U11539" t="s">
        <v>56419</v>
      </c>
      <c r="V11539" t="s">
        <v>60421</v>
      </c>
      <c r="W11539" t="s">
        <v>44232</v>
      </c>
      <c r="X11539" t="s">
        <v>44775</v>
      </c>
    </row>
    <row r="11540" spans="1:24">
      <c r="A11540">
        <f>HYPERLINK("https://www.philgeps.gov.ph/GEPSNONPILOT/Tender/SplashBidNoticeAbstractUI.aspx?menuIndex=3&amp;refID=7129251&amp;Result=3","7129251")</f>
        <v>0</v>
      </c>
      <c r="B11540" t="s">
        <v>3364</v>
      </c>
      <c r="C11540" t="s">
        <v>14724</v>
      </c>
      <c r="D11540" t="s">
        <v>18010</v>
      </c>
      <c r="E11540" t="s">
        <v>24533</v>
      </c>
      <c r="F11540" t="s">
        <v>30900</v>
      </c>
      <c r="G11540" t="s">
        <v>30907</v>
      </c>
      <c r="H11540" t="s">
        <v>30916</v>
      </c>
      <c r="I11540" t="s">
        <v>4017</v>
      </c>
      <c r="J11540" t="s">
        <v>31096</v>
      </c>
      <c r="K11540" t="s">
        <v>40288</v>
      </c>
      <c r="M11540" t="s">
        <v>44233</v>
      </c>
      <c r="N11540" t="s">
        <v>44759</v>
      </c>
      <c r="O11540" t="s">
        <v>44760</v>
      </c>
      <c r="P11540">
        <v>0</v>
      </c>
      <c r="Q11540">
        <v>2</v>
      </c>
      <c r="R11540" t="s">
        <v>44774</v>
      </c>
      <c r="S11540" t="s">
        <v>45266</v>
      </c>
      <c r="T11540" t="s">
        <v>46425</v>
      </c>
      <c r="U11540" t="s">
        <v>56420</v>
      </c>
      <c r="W11540" t="s">
        <v>44233</v>
      </c>
      <c r="X11540" t="s">
        <v>44775</v>
      </c>
    </row>
    <row r="11541" spans="1:24">
      <c r="A11541">
        <f>HYPERLINK("https://www.philgeps.gov.ph/GEPSNONPILOT/Tender/SplashBidNoticeAbstractUI.aspx?menuIndex=3&amp;refID=7129258&amp;Result=3","7129258")</f>
        <v>0</v>
      </c>
      <c r="B11541" t="s">
        <v>167</v>
      </c>
      <c r="C11541" t="s">
        <v>14725</v>
      </c>
      <c r="D11541" t="s">
        <v>17962</v>
      </c>
      <c r="E11541" t="s">
        <v>28008</v>
      </c>
      <c r="F11541" t="s">
        <v>30900</v>
      </c>
      <c r="G11541" t="s">
        <v>30907</v>
      </c>
      <c r="H11541" t="s">
        <v>30915</v>
      </c>
      <c r="I11541" t="s">
        <v>30919</v>
      </c>
      <c r="J11541" t="s">
        <v>36049</v>
      </c>
      <c r="K11541" t="s">
        <v>40521</v>
      </c>
      <c r="M11541" t="s">
        <v>43811</v>
      </c>
      <c r="N11541" t="s">
        <v>44759</v>
      </c>
      <c r="O11541" t="s">
        <v>44760</v>
      </c>
      <c r="P11541">
        <v>0</v>
      </c>
      <c r="Q11541">
        <v>2</v>
      </c>
      <c r="R11541" t="s">
        <v>44774</v>
      </c>
      <c r="S11541" t="s">
        <v>45266</v>
      </c>
      <c r="T11541" t="s">
        <v>46387</v>
      </c>
      <c r="U11541" t="s">
        <v>56421</v>
      </c>
      <c r="V11541" t="s">
        <v>60422</v>
      </c>
      <c r="W11541" t="s">
        <v>43811</v>
      </c>
      <c r="X11541" t="s">
        <v>44775</v>
      </c>
    </row>
    <row r="11542" spans="1:24">
      <c r="A11542">
        <f>HYPERLINK("https://www.philgeps.gov.ph/GEPSNONPILOT/Tender/SplashBidNoticeAbstractUI.aspx?menuIndex=3&amp;refID=7129274&amp;Result=3","7129274")</f>
        <v>0</v>
      </c>
      <c r="B11542" t="s">
        <v>1346</v>
      </c>
      <c r="C11542" t="s">
        <v>14726</v>
      </c>
      <c r="D11542" t="s">
        <v>17965</v>
      </c>
      <c r="E11542" t="s">
        <v>28009</v>
      </c>
      <c r="F11542" t="s">
        <v>30900</v>
      </c>
      <c r="G11542" t="s">
        <v>30907</v>
      </c>
      <c r="H11542" t="s">
        <v>30915</v>
      </c>
      <c r="I11542" t="s">
        <v>30919</v>
      </c>
      <c r="J11542" t="s">
        <v>38094</v>
      </c>
      <c r="K11542" t="s">
        <v>40512</v>
      </c>
      <c r="M11542" t="s">
        <v>41968</v>
      </c>
      <c r="N11542" t="s">
        <v>44759</v>
      </c>
      <c r="O11542" t="s">
        <v>44760</v>
      </c>
      <c r="P11542">
        <v>0</v>
      </c>
      <c r="Q11542">
        <v>1</v>
      </c>
      <c r="R11542" t="s">
        <v>44774</v>
      </c>
      <c r="S11542" t="s">
        <v>45266</v>
      </c>
      <c r="T11542" t="s">
        <v>46425</v>
      </c>
      <c r="U11542" t="s">
        <v>56422</v>
      </c>
      <c r="V11542" t="s">
        <v>60423</v>
      </c>
      <c r="W11542" t="s">
        <v>41968</v>
      </c>
      <c r="X11542" t="s">
        <v>44775</v>
      </c>
    </row>
    <row r="11543" spans="1:24">
      <c r="A11543">
        <f>HYPERLINK("https://www.philgeps.gov.ph/GEPSNONPILOT/Tender/SplashBidNoticeAbstractUI.aspx?menuIndex=3&amp;refID=7129247&amp;Result=3","7129247")</f>
        <v>0</v>
      </c>
      <c r="B11543" t="s">
        <v>1571</v>
      </c>
      <c r="C11543" t="s">
        <v>14727</v>
      </c>
      <c r="D11543" t="s">
        <v>17960</v>
      </c>
      <c r="E11543" t="s">
        <v>28010</v>
      </c>
      <c r="F11543" t="s">
        <v>30900</v>
      </c>
      <c r="G11543" t="s">
        <v>30907</v>
      </c>
      <c r="H11543" t="s">
        <v>30916</v>
      </c>
      <c r="I11543" t="s">
        <v>30924</v>
      </c>
      <c r="J11543" t="s">
        <v>38233</v>
      </c>
      <c r="K11543" t="s">
        <v>40286</v>
      </c>
      <c r="L11543" t="s">
        <v>1571</v>
      </c>
      <c r="M11543" t="s">
        <v>42219</v>
      </c>
      <c r="N11543" t="s">
        <v>44759</v>
      </c>
      <c r="O11543" t="s">
        <v>44760</v>
      </c>
      <c r="P11543">
        <v>0</v>
      </c>
      <c r="Q11543">
        <v>7</v>
      </c>
      <c r="R11543" t="s">
        <v>44774</v>
      </c>
      <c r="S11543" t="s">
        <v>45266</v>
      </c>
      <c r="T11543" t="s">
        <v>46418</v>
      </c>
      <c r="U11543" t="s">
        <v>56423</v>
      </c>
      <c r="W11543" t="s">
        <v>42219</v>
      </c>
      <c r="X11543" t="s">
        <v>44775</v>
      </c>
    </row>
    <row r="11544" spans="1:24">
      <c r="A11544">
        <f>HYPERLINK("https://www.philgeps.gov.ph/GEPSNONPILOT/Tender/SplashBidNoticeAbstractUI.aspx?menuIndex=3&amp;refID=7129244&amp;Result=3","7129244")</f>
        <v>0</v>
      </c>
      <c r="B11544" t="s">
        <v>644</v>
      </c>
      <c r="C11544" t="s">
        <v>14728</v>
      </c>
      <c r="D11544" t="s">
        <v>17976</v>
      </c>
      <c r="E11544" t="s">
        <v>28011</v>
      </c>
      <c r="F11544" t="s">
        <v>30899</v>
      </c>
      <c r="G11544" t="s">
        <v>30913</v>
      </c>
      <c r="H11544" t="s">
        <v>30916</v>
      </c>
      <c r="I11544" t="s">
        <v>30974</v>
      </c>
      <c r="J11544" t="s">
        <v>38234</v>
      </c>
      <c r="K11544" t="s">
        <v>40293</v>
      </c>
      <c r="M11544" t="s">
        <v>41207</v>
      </c>
      <c r="N11544" t="s">
        <v>44759</v>
      </c>
      <c r="O11544" t="s">
        <v>44760</v>
      </c>
      <c r="P11544">
        <v>0</v>
      </c>
      <c r="Q11544">
        <v>8</v>
      </c>
      <c r="R11544" t="s">
        <v>44774</v>
      </c>
      <c r="S11544" t="s">
        <v>45266</v>
      </c>
      <c r="T11544" t="s">
        <v>46373</v>
      </c>
      <c r="U11544" t="s">
        <v>56424</v>
      </c>
      <c r="W11544" t="s">
        <v>41207</v>
      </c>
      <c r="X11544" t="s">
        <v>44775</v>
      </c>
    </row>
    <row r="11545" spans="1:24">
      <c r="A11545">
        <f>HYPERLINK("https://www.philgeps.gov.ph/GEPSNONPILOT/Tender/SplashBidNoticeAbstractUI.aspx?menuIndex=3&amp;refID=7129241&amp;Result=3","7129241")</f>
        <v>0</v>
      </c>
      <c r="B11545" t="s">
        <v>3360</v>
      </c>
      <c r="C11545" t="s">
        <v>14729</v>
      </c>
      <c r="D11545" t="s">
        <v>17952</v>
      </c>
      <c r="E11545" t="s">
        <v>19318</v>
      </c>
      <c r="F11545" t="s">
        <v>30900</v>
      </c>
      <c r="G11545" t="s">
        <v>30907</v>
      </c>
      <c r="H11545" t="s">
        <v>30915</v>
      </c>
      <c r="I11545" t="s">
        <v>30919</v>
      </c>
      <c r="J11545" t="s">
        <v>31101</v>
      </c>
      <c r="K11545" t="s">
        <v>40280</v>
      </c>
      <c r="L11545" t="s">
        <v>3360</v>
      </c>
      <c r="M11545" t="s">
        <v>44229</v>
      </c>
      <c r="N11545" t="s">
        <v>44759</v>
      </c>
      <c r="O11545" t="s">
        <v>44760</v>
      </c>
      <c r="P11545">
        <v>0</v>
      </c>
      <c r="Q11545">
        <v>0</v>
      </c>
      <c r="R11545" t="s">
        <v>44774</v>
      </c>
      <c r="S11545" t="s">
        <v>45266</v>
      </c>
      <c r="T11545" t="s">
        <v>46353</v>
      </c>
      <c r="U11545" t="s">
        <v>56413</v>
      </c>
      <c r="W11545" t="s">
        <v>44229</v>
      </c>
      <c r="X11545" t="s">
        <v>44775</v>
      </c>
    </row>
    <row r="11546" spans="1:24">
      <c r="A11546">
        <f>HYPERLINK("https://www.philgeps.gov.ph/GEPSNONPILOT/Tender/SplashBidNoticeAbstractUI.aspx?menuIndex=3&amp;refID=7129220&amp;Result=3","7129220")</f>
        <v>0</v>
      </c>
      <c r="B11546" t="s">
        <v>3365</v>
      </c>
      <c r="C11546" t="s">
        <v>14730</v>
      </c>
      <c r="D11546" t="s">
        <v>17959</v>
      </c>
      <c r="E11546" t="s">
        <v>28012</v>
      </c>
      <c r="F11546" t="s">
        <v>30900</v>
      </c>
      <c r="G11546" t="s">
        <v>30907</v>
      </c>
      <c r="H11546" t="s">
        <v>30915</v>
      </c>
      <c r="I11546" t="s">
        <v>30919</v>
      </c>
      <c r="J11546" t="s">
        <v>38235</v>
      </c>
      <c r="K11546" t="s">
        <v>40293</v>
      </c>
      <c r="M11546" t="s">
        <v>44234</v>
      </c>
      <c r="N11546" t="s">
        <v>44759</v>
      </c>
      <c r="O11546" t="s">
        <v>44760</v>
      </c>
      <c r="Q11546">
        <v>2</v>
      </c>
      <c r="R11546" t="s">
        <v>44774</v>
      </c>
      <c r="S11546" t="s">
        <v>45334</v>
      </c>
      <c r="T11546" t="s">
        <v>46389</v>
      </c>
      <c r="U11546" t="s">
        <v>56425</v>
      </c>
      <c r="V11546" t="s">
        <v>56425</v>
      </c>
      <c r="W11546" t="s">
        <v>44234</v>
      </c>
      <c r="X11546" t="s">
        <v>44775</v>
      </c>
    </row>
    <row r="11547" spans="1:24">
      <c r="A11547">
        <f>HYPERLINK("https://www.philgeps.gov.ph/GEPSNONPILOT/Tender/SplashBidNoticeAbstractUI.aspx?menuIndex=3&amp;refID=7129187&amp;Result=3","7129187")</f>
        <v>0</v>
      </c>
      <c r="B11547" t="s">
        <v>3366</v>
      </c>
      <c r="C11547" t="s">
        <v>14731</v>
      </c>
      <c r="D11547" t="s">
        <v>17953</v>
      </c>
      <c r="E11547" t="s">
        <v>28013</v>
      </c>
      <c r="F11547" t="s">
        <v>30900</v>
      </c>
      <c r="G11547" t="s">
        <v>30907</v>
      </c>
      <c r="H11547" t="s">
        <v>30916</v>
      </c>
      <c r="I11547" t="s">
        <v>30960</v>
      </c>
      <c r="J11547" t="s">
        <v>38236</v>
      </c>
      <c r="K11547" t="s">
        <v>40392</v>
      </c>
      <c r="M11547" t="s">
        <v>44235</v>
      </c>
      <c r="N11547" t="s">
        <v>44759</v>
      </c>
      <c r="O11547" t="s">
        <v>44760</v>
      </c>
      <c r="Q11547">
        <v>4</v>
      </c>
      <c r="R11547" t="s">
        <v>44774</v>
      </c>
      <c r="S11547" t="s">
        <v>45335</v>
      </c>
      <c r="T11547" t="s">
        <v>46352</v>
      </c>
      <c r="U11547" t="s">
        <v>56426</v>
      </c>
      <c r="W11547" t="s">
        <v>44235</v>
      </c>
      <c r="X11547" t="s">
        <v>44775</v>
      </c>
    </row>
    <row r="11548" spans="1:24">
      <c r="A11548">
        <f>HYPERLINK("https://www.philgeps.gov.ph/GEPSNONPILOT/Tender/SplashBidNoticeAbstractUI.aspx?menuIndex=3&amp;refID=7129186&amp;Result=3","7129186")</f>
        <v>0</v>
      </c>
      <c r="B11548" t="s">
        <v>644</v>
      </c>
      <c r="C11548" t="s">
        <v>14732</v>
      </c>
      <c r="D11548" t="s">
        <v>17976</v>
      </c>
      <c r="E11548" t="s">
        <v>28014</v>
      </c>
      <c r="F11548" t="s">
        <v>30899</v>
      </c>
      <c r="G11548" t="s">
        <v>30913</v>
      </c>
      <c r="H11548" t="s">
        <v>30916</v>
      </c>
      <c r="I11548" t="s">
        <v>30947</v>
      </c>
      <c r="J11548" t="s">
        <v>38237</v>
      </c>
      <c r="K11548" t="s">
        <v>40293</v>
      </c>
      <c r="M11548" t="s">
        <v>41207</v>
      </c>
      <c r="N11548" t="s">
        <v>44759</v>
      </c>
      <c r="O11548" t="s">
        <v>44760</v>
      </c>
      <c r="P11548">
        <v>0</v>
      </c>
      <c r="Q11548">
        <v>1</v>
      </c>
      <c r="R11548" t="s">
        <v>44774</v>
      </c>
      <c r="S11548" t="s">
        <v>45266</v>
      </c>
      <c r="T11548" t="s">
        <v>46422</v>
      </c>
      <c r="U11548" t="s">
        <v>56427</v>
      </c>
      <c r="W11548" t="s">
        <v>41207</v>
      </c>
      <c r="X11548" t="s">
        <v>44775</v>
      </c>
    </row>
    <row r="11549" spans="1:24">
      <c r="A11549">
        <f>HYPERLINK("https://www.philgeps.gov.ph/GEPSNONPILOT/Tender/SplashBidNoticeAbstractUI.aspx?menuIndex=3&amp;refID=7129161&amp;Result=3","7129161")</f>
        <v>0</v>
      </c>
      <c r="B11549" t="s">
        <v>1314</v>
      </c>
      <c r="C11549" t="s">
        <v>14733</v>
      </c>
      <c r="D11549" t="s">
        <v>18019</v>
      </c>
      <c r="E11549" t="s">
        <v>28015</v>
      </c>
      <c r="F11549" t="s">
        <v>30900</v>
      </c>
      <c r="G11549" t="s">
        <v>30907</v>
      </c>
      <c r="H11549" t="s">
        <v>30916</v>
      </c>
      <c r="I11549" t="s">
        <v>8044</v>
      </c>
      <c r="J11549" t="s">
        <v>38238</v>
      </c>
      <c r="K11549" t="s">
        <v>40289</v>
      </c>
      <c r="L11549" t="s">
        <v>1314</v>
      </c>
      <c r="M11549" t="s">
        <v>42251</v>
      </c>
      <c r="N11549" t="s">
        <v>44759</v>
      </c>
      <c r="O11549" t="s">
        <v>44760</v>
      </c>
      <c r="Q11549">
        <v>2</v>
      </c>
      <c r="R11549" t="s">
        <v>44774</v>
      </c>
      <c r="S11549" t="s">
        <v>45336</v>
      </c>
      <c r="T11549" t="s">
        <v>46369</v>
      </c>
      <c r="U11549" t="s">
        <v>56428</v>
      </c>
      <c r="W11549" t="s">
        <v>42251</v>
      </c>
      <c r="X11549" t="s">
        <v>44775</v>
      </c>
    </row>
    <row r="11550" spans="1:24">
      <c r="A11550">
        <f>HYPERLINK("https://www.philgeps.gov.ph/GEPSNONPILOT/Tender/SplashBidNoticeAbstractUI.aspx?menuIndex=3&amp;refID=7129149&amp;Result=3","7129149")</f>
        <v>0</v>
      </c>
      <c r="B11550" t="s">
        <v>644</v>
      </c>
      <c r="C11550" t="s">
        <v>14734</v>
      </c>
      <c r="D11550" t="s">
        <v>17976</v>
      </c>
      <c r="E11550" t="s">
        <v>28016</v>
      </c>
      <c r="F11550" t="s">
        <v>30899</v>
      </c>
      <c r="G11550" t="s">
        <v>30913</v>
      </c>
      <c r="H11550" t="s">
        <v>30916</v>
      </c>
      <c r="I11550" t="s">
        <v>30939</v>
      </c>
      <c r="J11550" t="s">
        <v>38239</v>
      </c>
      <c r="K11550" t="s">
        <v>40293</v>
      </c>
      <c r="M11550" t="s">
        <v>41207</v>
      </c>
      <c r="N11550" t="s">
        <v>44759</v>
      </c>
      <c r="O11550" t="s">
        <v>44760</v>
      </c>
      <c r="P11550">
        <v>0</v>
      </c>
      <c r="Q11550">
        <v>1</v>
      </c>
      <c r="R11550" t="s">
        <v>44774</v>
      </c>
      <c r="S11550" t="s">
        <v>45266</v>
      </c>
      <c r="T11550" t="s">
        <v>46418</v>
      </c>
      <c r="U11550" t="s">
        <v>56429</v>
      </c>
      <c r="W11550" t="s">
        <v>41207</v>
      </c>
      <c r="X11550" t="s">
        <v>44775</v>
      </c>
    </row>
    <row r="11551" spans="1:24">
      <c r="A11551">
        <f>HYPERLINK("https://www.philgeps.gov.ph/GEPSNONPILOT/Tender/SplashBidNoticeAbstractUI.aspx?menuIndex=3&amp;refID=7129482&amp;Result=3","7129482")</f>
        <v>0</v>
      </c>
      <c r="B11551" t="s">
        <v>1119</v>
      </c>
      <c r="C11551" t="s">
        <v>14735</v>
      </c>
      <c r="D11551" t="s">
        <v>18038</v>
      </c>
      <c r="E11551" t="s">
        <v>28017</v>
      </c>
      <c r="F11551" t="s">
        <v>30900</v>
      </c>
      <c r="G11551" t="s">
        <v>30907</v>
      </c>
      <c r="H11551" t="s">
        <v>30916</v>
      </c>
      <c r="I11551" t="s">
        <v>7708</v>
      </c>
      <c r="J11551" t="s">
        <v>38240</v>
      </c>
      <c r="K11551" t="s">
        <v>40292</v>
      </c>
      <c r="M11551" t="s">
        <v>42602</v>
      </c>
      <c r="N11551" t="s">
        <v>44759</v>
      </c>
      <c r="O11551" t="s">
        <v>44760</v>
      </c>
      <c r="Q11551">
        <v>7</v>
      </c>
      <c r="R11551" t="s">
        <v>44774</v>
      </c>
      <c r="S11551" t="s">
        <v>45337</v>
      </c>
      <c r="T11551" t="s">
        <v>46561</v>
      </c>
      <c r="U11551" t="s">
        <v>56430</v>
      </c>
      <c r="V11551" t="s">
        <v>60424</v>
      </c>
      <c r="W11551" t="s">
        <v>42602</v>
      </c>
      <c r="X11551" t="s">
        <v>44775</v>
      </c>
    </row>
    <row r="11552" spans="1:24">
      <c r="A11552">
        <f>HYPERLINK("https://www.philgeps.gov.ph/GEPSNONPILOT/Tender/SplashBidNoticeAbstractUI.aspx?menuIndex=3&amp;refID=7129242&amp;Result=3","7129242")</f>
        <v>0</v>
      </c>
      <c r="B11552" t="s">
        <v>3366</v>
      </c>
      <c r="C11552" t="s">
        <v>14736</v>
      </c>
      <c r="D11552" t="s">
        <v>17953</v>
      </c>
      <c r="E11552" t="s">
        <v>28018</v>
      </c>
      <c r="F11552" t="s">
        <v>30900</v>
      </c>
      <c r="G11552" t="s">
        <v>30907</v>
      </c>
      <c r="H11552" t="s">
        <v>30916</v>
      </c>
      <c r="I11552" t="s">
        <v>30940</v>
      </c>
      <c r="J11552" t="s">
        <v>35229</v>
      </c>
      <c r="K11552" t="s">
        <v>40392</v>
      </c>
      <c r="M11552" t="s">
        <v>44235</v>
      </c>
      <c r="N11552" t="s">
        <v>44759</v>
      </c>
      <c r="O11552" t="s">
        <v>44760</v>
      </c>
      <c r="P11552">
        <v>0</v>
      </c>
      <c r="Q11552">
        <v>3</v>
      </c>
      <c r="R11552" t="s">
        <v>44774</v>
      </c>
      <c r="S11552" t="s">
        <v>45266</v>
      </c>
      <c r="T11552" t="s">
        <v>46352</v>
      </c>
      <c r="U11552" t="s">
        <v>56431</v>
      </c>
      <c r="W11552" t="s">
        <v>44235</v>
      </c>
      <c r="X11552" t="s">
        <v>44775</v>
      </c>
    </row>
    <row r="11553" spans="1:24">
      <c r="A11553">
        <f>HYPERLINK("https://www.philgeps.gov.ph/GEPSNONPILOT/Tender/SplashBidNoticeAbstractUI.aspx?menuIndex=3&amp;refID=7129480&amp;Result=3","7129480")</f>
        <v>0</v>
      </c>
      <c r="B11553" t="s">
        <v>3367</v>
      </c>
      <c r="C11553" t="s">
        <v>14737</v>
      </c>
      <c r="D11553" t="s">
        <v>17963</v>
      </c>
      <c r="E11553" t="s">
        <v>28019</v>
      </c>
      <c r="F11553" t="s">
        <v>30900</v>
      </c>
      <c r="G11553" t="s">
        <v>30910</v>
      </c>
      <c r="H11553" t="s">
        <v>30916</v>
      </c>
      <c r="I11553" t="s">
        <v>4142</v>
      </c>
      <c r="J11553" t="s">
        <v>38241</v>
      </c>
      <c r="K11553" t="s">
        <v>40291</v>
      </c>
      <c r="M11553" t="s">
        <v>44236</v>
      </c>
      <c r="N11553" t="s">
        <v>44759</v>
      </c>
      <c r="O11553" t="s">
        <v>44760</v>
      </c>
      <c r="Q11553">
        <v>3</v>
      </c>
      <c r="R11553" t="s">
        <v>44774</v>
      </c>
      <c r="S11553" t="s">
        <v>45338</v>
      </c>
      <c r="T11553" t="s">
        <v>46403</v>
      </c>
      <c r="U11553" t="s">
        <v>47278</v>
      </c>
      <c r="V11553" t="s">
        <v>60425</v>
      </c>
      <c r="W11553" t="s">
        <v>44236</v>
      </c>
      <c r="X11553" t="s">
        <v>44775</v>
      </c>
    </row>
    <row r="11554" spans="1:24">
      <c r="A11554">
        <f>HYPERLINK("https://www.philgeps.gov.ph/GEPSNONPILOT/Tender/SplashBidNoticeAbstractUI.aspx?menuIndex=3&amp;refID=7129474&amp;Result=3","7129474")</f>
        <v>0</v>
      </c>
      <c r="B11554" t="s">
        <v>1119</v>
      </c>
      <c r="C11554" t="s">
        <v>14738</v>
      </c>
      <c r="D11554" t="s">
        <v>18038</v>
      </c>
      <c r="E11554" t="s">
        <v>28020</v>
      </c>
      <c r="F11554" t="s">
        <v>30900</v>
      </c>
      <c r="G11554" t="s">
        <v>30907</v>
      </c>
      <c r="H11554" t="s">
        <v>30916</v>
      </c>
      <c r="I11554" t="s">
        <v>7708</v>
      </c>
      <c r="J11554" t="s">
        <v>38242</v>
      </c>
      <c r="K11554" t="s">
        <v>40292</v>
      </c>
      <c r="M11554" t="s">
        <v>42602</v>
      </c>
      <c r="N11554" t="s">
        <v>44759</v>
      </c>
      <c r="O11554" t="s">
        <v>44760</v>
      </c>
      <c r="Q11554">
        <v>4</v>
      </c>
      <c r="R11554" t="s">
        <v>44774</v>
      </c>
      <c r="S11554" t="s">
        <v>45339</v>
      </c>
      <c r="T11554" t="s">
        <v>46561</v>
      </c>
      <c r="U11554" t="s">
        <v>56430</v>
      </c>
      <c r="V11554" t="s">
        <v>60426</v>
      </c>
      <c r="W11554" t="s">
        <v>42602</v>
      </c>
      <c r="X11554" t="s">
        <v>44775</v>
      </c>
    </row>
    <row r="11555" spans="1:24">
      <c r="A11555">
        <f>HYPERLINK("https://www.philgeps.gov.ph/GEPSNONPILOT/Tender/SplashBidNoticeAbstractUI.aspx?menuIndex=3&amp;refID=7129260&amp;Result=3","7129260")</f>
        <v>0</v>
      </c>
      <c r="B11555" t="s">
        <v>1346</v>
      </c>
      <c r="C11555" t="s">
        <v>14739</v>
      </c>
      <c r="D11555" t="s">
        <v>17965</v>
      </c>
      <c r="E11555" t="s">
        <v>28021</v>
      </c>
      <c r="F11555" t="s">
        <v>30900</v>
      </c>
      <c r="G11555" t="s">
        <v>30907</v>
      </c>
      <c r="H11555" t="s">
        <v>30915</v>
      </c>
      <c r="I11555" t="s">
        <v>30919</v>
      </c>
      <c r="J11555" t="s">
        <v>38094</v>
      </c>
      <c r="K11555" t="s">
        <v>40522</v>
      </c>
      <c r="M11555" t="s">
        <v>41968</v>
      </c>
      <c r="N11555" t="s">
        <v>44759</v>
      </c>
      <c r="O11555" t="s">
        <v>44760</v>
      </c>
      <c r="P11555">
        <v>0</v>
      </c>
      <c r="Q11555">
        <v>1</v>
      </c>
      <c r="R11555" t="s">
        <v>44774</v>
      </c>
      <c r="S11555" t="s">
        <v>45266</v>
      </c>
      <c r="T11555" t="s">
        <v>46425</v>
      </c>
      <c r="U11555" t="s">
        <v>56432</v>
      </c>
      <c r="V11555" t="s">
        <v>60423</v>
      </c>
      <c r="W11555" t="s">
        <v>41968</v>
      </c>
      <c r="X11555" t="s">
        <v>44775</v>
      </c>
    </row>
    <row r="11556" spans="1:24">
      <c r="A11556">
        <f>HYPERLINK("https://www.philgeps.gov.ph/GEPSNONPILOT/Tender/SplashBidNoticeAbstractUI.aspx?menuIndex=3&amp;refID=7129234&amp;Result=3","7129234")</f>
        <v>0</v>
      </c>
      <c r="B11556" t="s">
        <v>1346</v>
      </c>
      <c r="C11556" t="s">
        <v>14740</v>
      </c>
      <c r="D11556" t="s">
        <v>17965</v>
      </c>
      <c r="E11556" t="s">
        <v>28022</v>
      </c>
      <c r="F11556" t="s">
        <v>30900</v>
      </c>
      <c r="G11556" t="s">
        <v>30907</v>
      </c>
      <c r="H11556" t="s">
        <v>30915</v>
      </c>
      <c r="I11556" t="s">
        <v>30919</v>
      </c>
      <c r="J11556" t="s">
        <v>38094</v>
      </c>
      <c r="K11556" t="s">
        <v>40512</v>
      </c>
      <c r="M11556" t="s">
        <v>41968</v>
      </c>
      <c r="N11556" t="s">
        <v>44759</v>
      </c>
      <c r="O11556" t="s">
        <v>44760</v>
      </c>
      <c r="P11556">
        <v>0</v>
      </c>
      <c r="Q11556">
        <v>1</v>
      </c>
      <c r="R11556" t="s">
        <v>44774</v>
      </c>
      <c r="S11556" t="s">
        <v>45266</v>
      </c>
      <c r="T11556" t="s">
        <v>46425</v>
      </c>
      <c r="U11556" t="s">
        <v>56433</v>
      </c>
      <c r="V11556" t="s">
        <v>60423</v>
      </c>
      <c r="W11556" t="s">
        <v>41968</v>
      </c>
      <c r="X11556" t="s">
        <v>44775</v>
      </c>
    </row>
    <row r="11557" spans="1:24">
      <c r="A11557">
        <f>HYPERLINK("https://www.philgeps.gov.ph/GEPSNONPILOT/Tender/SplashBidNoticeAbstractUI.aspx?menuIndex=3&amp;refID=7129439&amp;Result=3","7129439")</f>
        <v>0</v>
      </c>
      <c r="B11557" t="s">
        <v>3254</v>
      </c>
      <c r="C11557" t="s">
        <v>14741</v>
      </c>
      <c r="D11557" t="s">
        <v>17963</v>
      </c>
      <c r="E11557" t="s">
        <v>28023</v>
      </c>
      <c r="F11557" t="s">
        <v>30900</v>
      </c>
      <c r="G11557" t="s">
        <v>30907</v>
      </c>
      <c r="H11557" t="s">
        <v>30916</v>
      </c>
      <c r="I11557" t="s">
        <v>8123</v>
      </c>
      <c r="J11557" t="s">
        <v>38243</v>
      </c>
      <c r="K11557" t="s">
        <v>40291</v>
      </c>
      <c r="L11557" t="s">
        <v>3254</v>
      </c>
      <c r="M11557" t="s">
        <v>44099</v>
      </c>
      <c r="N11557" t="s">
        <v>44759</v>
      </c>
      <c r="O11557" t="s">
        <v>44760</v>
      </c>
      <c r="P11557">
        <v>0</v>
      </c>
      <c r="Q11557">
        <v>0</v>
      </c>
      <c r="R11557" t="s">
        <v>44774</v>
      </c>
      <c r="S11557" t="s">
        <v>45266</v>
      </c>
      <c r="T11557" t="s">
        <v>46409</v>
      </c>
      <c r="U11557" t="s">
        <v>56434</v>
      </c>
      <c r="W11557" t="s">
        <v>44099</v>
      </c>
      <c r="X11557" t="s">
        <v>44775</v>
      </c>
    </row>
    <row r="11558" spans="1:24">
      <c r="A11558">
        <f>HYPERLINK("https://www.philgeps.gov.ph/GEPSNONPILOT/Tender/SplashBidNoticeAbstractUI.aspx?menuIndex=3&amp;refID=7129200&amp;Result=3","7129200")</f>
        <v>0</v>
      </c>
      <c r="B11558" t="s">
        <v>2152</v>
      </c>
      <c r="C11558" t="s">
        <v>14742</v>
      </c>
      <c r="D11558" t="s">
        <v>18019</v>
      </c>
      <c r="E11558" t="s">
        <v>28024</v>
      </c>
      <c r="F11558" t="s">
        <v>30900</v>
      </c>
      <c r="G11558" t="s">
        <v>30907</v>
      </c>
      <c r="H11558" t="s">
        <v>30915</v>
      </c>
      <c r="I11558" t="s">
        <v>30919</v>
      </c>
      <c r="J11558" t="s">
        <v>38244</v>
      </c>
      <c r="K11558" t="s">
        <v>40523</v>
      </c>
      <c r="M11558" t="s">
        <v>43265</v>
      </c>
      <c r="N11558" t="s">
        <v>44759</v>
      </c>
      <c r="O11558" t="s">
        <v>44760</v>
      </c>
      <c r="P11558">
        <v>0</v>
      </c>
      <c r="Q11558">
        <v>2</v>
      </c>
      <c r="R11558" t="s">
        <v>44774</v>
      </c>
      <c r="S11558" t="s">
        <v>45266</v>
      </c>
      <c r="T11558" t="s">
        <v>46725</v>
      </c>
      <c r="U11558" t="s">
        <v>53116</v>
      </c>
      <c r="W11558" t="s">
        <v>43265</v>
      </c>
      <c r="X11558" t="s">
        <v>44775</v>
      </c>
    </row>
    <row r="11559" spans="1:24">
      <c r="A11559">
        <f>HYPERLINK("https://www.philgeps.gov.ph/GEPSNONPILOT/Tender/SplashBidNoticeAbstractUI.aspx?menuIndex=3&amp;refID=7129432&amp;Result=3","7129432")</f>
        <v>0</v>
      </c>
      <c r="B11559" t="s">
        <v>3368</v>
      </c>
      <c r="C11559" t="s">
        <v>14743</v>
      </c>
      <c r="D11559" t="s">
        <v>17953</v>
      </c>
      <c r="E11559" t="s">
        <v>18727</v>
      </c>
      <c r="F11559" t="s">
        <v>30900</v>
      </c>
      <c r="G11559" t="s">
        <v>30907</v>
      </c>
      <c r="H11559" t="s">
        <v>30916</v>
      </c>
      <c r="I11559" t="s">
        <v>30945</v>
      </c>
      <c r="J11559" t="s">
        <v>31090</v>
      </c>
      <c r="K11559" t="s">
        <v>40281</v>
      </c>
      <c r="M11559" t="s">
        <v>44237</v>
      </c>
      <c r="N11559" t="s">
        <v>44759</v>
      </c>
      <c r="O11559" t="s">
        <v>44760</v>
      </c>
      <c r="P11559">
        <v>0</v>
      </c>
      <c r="Q11559">
        <v>0</v>
      </c>
      <c r="R11559" t="s">
        <v>44774</v>
      </c>
      <c r="S11559" t="s">
        <v>45266</v>
      </c>
      <c r="T11559" t="s">
        <v>46810</v>
      </c>
      <c r="U11559" t="s">
        <v>56435</v>
      </c>
      <c r="W11559" t="s">
        <v>44237</v>
      </c>
      <c r="X11559" t="s">
        <v>44775</v>
      </c>
    </row>
    <row r="11560" spans="1:24">
      <c r="A11560">
        <f>HYPERLINK("https://www.philgeps.gov.ph/GEPSNONPILOT/Tender/SplashBidNoticeAbstractUI.aspx?menuIndex=3&amp;refID=7129463&amp;Result=3","7129463")</f>
        <v>0</v>
      </c>
      <c r="B11560" t="s">
        <v>3369</v>
      </c>
      <c r="C11560" t="s">
        <v>14744</v>
      </c>
      <c r="D11560" t="s">
        <v>17957</v>
      </c>
      <c r="E11560" t="s">
        <v>28025</v>
      </c>
      <c r="F11560" t="s">
        <v>30900</v>
      </c>
      <c r="G11560" t="s">
        <v>30907</v>
      </c>
      <c r="H11560" t="s">
        <v>30916</v>
      </c>
      <c r="I11560" t="s">
        <v>9385</v>
      </c>
      <c r="J11560" t="s">
        <v>38245</v>
      </c>
      <c r="K11560" t="s">
        <v>40280</v>
      </c>
      <c r="M11560" t="s">
        <v>44238</v>
      </c>
      <c r="N11560" t="s">
        <v>44759</v>
      </c>
      <c r="O11560" t="s">
        <v>44760</v>
      </c>
      <c r="Q11560">
        <v>43</v>
      </c>
      <c r="R11560" t="s">
        <v>44774</v>
      </c>
      <c r="S11560" t="s">
        <v>45340</v>
      </c>
      <c r="T11560" t="s">
        <v>46511</v>
      </c>
      <c r="U11560" t="s">
        <v>56436</v>
      </c>
      <c r="W11560" t="s">
        <v>44238</v>
      </c>
      <c r="X11560" t="s">
        <v>44775</v>
      </c>
    </row>
    <row r="11561" spans="1:24">
      <c r="A11561">
        <f>HYPERLINK("https://www.philgeps.gov.ph/GEPSNONPILOT/Tender/SplashBidNoticeAbstractUI.aspx?menuIndex=3&amp;refID=7129462&amp;Result=3","7129462")</f>
        <v>0</v>
      </c>
      <c r="B11561" t="s">
        <v>2631</v>
      </c>
      <c r="C11561" t="s">
        <v>14745</v>
      </c>
      <c r="D11561" t="s">
        <v>17959</v>
      </c>
      <c r="E11561" t="s">
        <v>28026</v>
      </c>
      <c r="F11561" t="s">
        <v>30900</v>
      </c>
      <c r="G11561" t="s">
        <v>30912</v>
      </c>
      <c r="H11561" t="s">
        <v>30916</v>
      </c>
      <c r="I11561" t="s">
        <v>4545</v>
      </c>
      <c r="J11561" t="s">
        <v>38246</v>
      </c>
      <c r="K11561" t="s">
        <v>40286</v>
      </c>
      <c r="M11561" t="s">
        <v>43395</v>
      </c>
      <c r="N11561" t="s">
        <v>44759</v>
      </c>
      <c r="O11561" t="s">
        <v>44760</v>
      </c>
      <c r="Q11561">
        <v>3</v>
      </c>
      <c r="R11561" t="s">
        <v>44774</v>
      </c>
      <c r="S11561" t="s">
        <v>45341</v>
      </c>
      <c r="T11561" t="s">
        <v>46383</v>
      </c>
      <c r="U11561" t="s">
        <v>56437</v>
      </c>
      <c r="W11561" t="s">
        <v>43395</v>
      </c>
      <c r="X11561" t="s">
        <v>44775</v>
      </c>
    </row>
    <row r="11562" spans="1:24">
      <c r="A11562">
        <f>HYPERLINK("https://www.philgeps.gov.ph/GEPSNONPILOT/Tender/SplashBidNoticeAbstractUI.aspx?menuIndex=3&amp;refID=7129349&amp;Result=3","7129349")</f>
        <v>0</v>
      </c>
      <c r="B11562" t="s">
        <v>3370</v>
      </c>
      <c r="C11562" t="s">
        <v>14746</v>
      </c>
      <c r="D11562" t="s">
        <v>17975</v>
      </c>
      <c r="E11562" t="s">
        <v>28027</v>
      </c>
      <c r="F11562" t="s">
        <v>30900</v>
      </c>
      <c r="G11562" t="s">
        <v>30907</v>
      </c>
      <c r="H11562" t="s">
        <v>30916</v>
      </c>
      <c r="I11562" t="s">
        <v>8123</v>
      </c>
      <c r="J11562" t="s">
        <v>38247</v>
      </c>
      <c r="K11562" t="s">
        <v>40287</v>
      </c>
      <c r="M11562" t="s">
        <v>44239</v>
      </c>
      <c r="N11562" t="s">
        <v>44759</v>
      </c>
      <c r="O11562" t="s">
        <v>44760</v>
      </c>
      <c r="P11562">
        <v>0</v>
      </c>
      <c r="Q11562">
        <v>1</v>
      </c>
      <c r="R11562" t="s">
        <v>44774</v>
      </c>
      <c r="S11562" t="s">
        <v>45266</v>
      </c>
      <c r="T11562" t="s">
        <v>46383</v>
      </c>
      <c r="U11562" t="s">
        <v>56438</v>
      </c>
      <c r="V11562" t="s">
        <v>60427</v>
      </c>
      <c r="W11562" t="s">
        <v>44239</v>
      </c>
      <c r="X11562" t="s">
        <v>44775</v>
      </c>
    </row>
    <row r="11563" spans="1:24">
      <c r="A11563">
        <f>HYPERLINK("https://www.philgeps.gov.ph/GEPSNONPILOT/Tender/SplashBidNoticeAbstractUI.aspx?menuIndex=3&amp;refID=7129264&amp;Result=3","7129264")</f>
        <v>0</v>
      </c>
      <c r="B11563" t="s">
        <v>3371</v>
      </c>
      <c r="C11563" t="s">
        <v>14747</v>
      </c>
      <c r="D11563" t="s">
        <v>17959</v>
      </c>
      <c r="E11563" t="s">
        <v>28028</v>
      </c>
      <c r="F11563" t="s">
        <v>30900</v>
      </c>
      <c r="G11563" t="s">
        <v>30907</v>
      </c>
      <c r="H11563" t="s">
        <v>30916</v>
      </c>
      <c r="I11563" t="s">
        <v>30921</v>
      </c>
      <c r="J11563" t="s">
        <v>38248</v>
      </c>
      <c r="K11563" t="s">
        <v>40349</v>
      </c>
      <c r="M11563" t="s">
        <v>44240</v>
      </c>
      <c r="N11563" t="s">
        <v>44759</v>
      </c>
      <c r="O11563" t="s">
        <v>44760</v>
      </c>
      <c r="P11563">
        <v>0</v>
      </c>
      <c r="Q11563">
        <v>14</v>
      </c>
      <c r="R11563" t="s">
        <v>44774</v>
      </c>
      <c r="S11563" t="s">
        <v>45266</v>
      </c>
      <c r="T11563" t="s">
        <v>46709</v>
      </c>
      <c r="U11563" t="s">
        <v>56439</v>
      </c>
      <c r="W11563" t="s">
        <v>41689</v>
      </c>
      <c r="X11563" t="s">
        <v>44775</v>
      </c>
    </row>
    <row r="11564" spans="1:24">
      <c r="A11564">
        <f>HYPERLINK("https://www.philgeps.gov.ph/GEPSNONPILOT/Tender/SplashBidNoticeAbstractUI.aspx?menuIndex=3&amp;refID=7129441&amp;Result=3","7129441")</f>
        <v>0</v>
      </c>
      <c r="B11564" t="s">
        <v>997</v>
      </c>
      <c r="C11564" t="s">
        <v>14748</v>
      </c>
      <c r="D11564" t="s">
        <v>17959</v>
      </c>
      <c r="E11564" t="s">
        <v>28029</v>
      </c>
      <c r="F11564" t="s">
        <v>30900</v>
      </c>
      <c r="G11564" t="s">
        <v>30907</v>
      </c>
      <c r="H11564" t="s">
        <v>30916</v>
      </c>
      <c r="I11564" t="s">
        <v>30993</v>
      </c>
      <c r="J11564" t="s">
        <v>38249</v>
      </c>
      <c r="K11564" t="s">
        <v>40301</v>
      </c>
      <c r="M11564" t="s">
        <v>43418</v>
      </c>
      <c r="N11564" t="s">
        <v>44759</v>
      </c>
      <c r="O11564" t="s">
        <v>44760</v>
      </c>
      <c r="Q11564">
        <v>13</v>
      </c>
      <c r="R11564" t="s">
        <v>44774</v>
      </c>
      <c r="S11564" t="s">
        <v>45342</v>
      </c>
      <c r="T11564" t="s">
        <v>46442</v>
      </c>
      <c r="U11564" t="s">
        <v>53599</v>
      </c>
      <c r="W11564" t="s">
        <v>43418</v>
      </c>
      <c r="X11564" t="s">
        <v>44775</v>
      </c>
    </row>
    <row r="11565" spans="1:24">
      <c r="A11565">
        <f>HYPERLINK("https://www.philgeps.gov.ph/GEPSNONPILOT/Tender/SplashBidNoticeAbstractUI.aspx?menuIndex=3&amp;refID=7129473&amp;Result=3","7129473")</f>
        <v>0</v>
      </c>
      <c r="B11565" t="s">
        <v>3368</v>
      </c>
      <c r="C11565" t="s">
        <v>14749</v>
      </c>
      <c r="D11565" t="s">
        <v>17986</v>
      </c>
      <c r="E11565" t="s">
        <v>20657</v>
      </c>
      <c r="F11565" t="s">
        <v>30900</v>
      </c>
      <c r="G11565" t="s">
        <v>30907</v>
      </c>
      <c r="H11565" t="s">
        <v>30916</v>
      </c>
      <c r="I11565" t="s">
        <v>8123</v>
      </c>
      <c r="J11565" t="s">
        <v>31092</v>
      </c>
      <c r="K11565" t="s">
        <v>40281</v>
      </c>
      <c r="M11565" t="s">
        <v>44237</v>
      </c>
      <c r="N11565" t="s">
        <v>44759</v>
      </c>
      <c r="O11565" t="s">
        <v>44760</v>
      </c>
      <c r="P11565">
        <v>0</v>
      </c>
      <c r="Q11565">
        <v>0</v>
      </c>
      <c r="R11565" t="s">
        <v>44774</v>
      </c>
      <c r="S11565" t="s">
        <v>45266</v>
      </c>
      <c r="T11565" t="s">
        <v>46700</v>
      </c>
      <c r="U11565" t="s">
        <v>56440</v>
      </c>
      <c r="W11565" t="s">
        <v>44237</v>
      </c>
      <c r="X11565" t="s">
        <v>44775</v>
      </c>
    </row>
    <row r="11566" spans="1:24">
      <c r="A11566">
        <f>HYPERLINK("https://www.philgeps.gov.ph/GEPSNONPILOT/Tender/SplashBidNoticeAbstractUI.aspx?menuIndex=3&amp;refID=6920352&amp;Result=3","6920352")</f>
        <v>0</v>
      </c>
      <c r="B11566" t="s">
        <v>3372</v>
      </c>
      <c r="C11566" t="s">
        <v>14750</v>
      </c>
      <c r="D11566" t="s">
        <v>17973</v>
      </c>
      <c r="E11566" t="s">
        <v>28030</v>
      </c>
      <c r="F11566" t="s">
        <v>30899</v>
      </c>
      <c r="G11566" t="s">
        <v>30907</v>
      </c>
      <c r="H11566" t="s">
        <v>30915</v>
      </c>
      <c r="I11566" t="s">
        <v>30919</v>
      </c>
      <c r="J11566" t="s">
        <v>31101</v>
      </c>
      <c r="K11566" t="s">
        <v>40286</v>
      </c>
      <c r="L11566" t="s">
        <v>3372</v>
      </c>
      <c r="M11566" t="s">
        <v>44241</v>
      </c>
      <c r="N11566" t="s">
        <v>44759</v>
      </c>
      <c r="O11566" t="s">
        <v>44760</v>
      </c>
      <c r="P11566">
        <v>0</v>
      </c>
      <c r="Q11566">
        <v>0</v>
      </c>
      <c r="R11566" t="s">
        <v>44775</v>
      </c>
      <c r="S11566" t="s">
        <v>45343</v>
      </c>
      <c r="T11566" t="s">
        <v>46625</v>
      </c>
      <c r="U11566" t="s">
        <v>56441</v>
      </c>
      <c r="W11566" t="s">
        <v>44241</v>
      </c>
      <c r="X11566" t="s">
        <v>44837</v>
      </c>
    </row>
    <row r="11567" spans="1:24">
      <c r="A11567">
        <f>HYPERLINK("https://www.philgeps.gov.ph/GEPSNONPILOT/Tender/SplashBidNoticeAbstractUI.aspx?menuIndex=3&amp;refID=7129543&amp;Result=3","7129543")</f>
        <v>0</v>
      </c>
      <c r="B11567" t="s">
        <v>3373</v>
      </c>
      <c r="C11567" t="s">
        <v>14751</v>
      </c>
      <c r="D11567" t="s">
        <v>17959</v>
      </c>
      <c r="E11567" t="s">
        <v>28031</v>
      </c>
      <c r="F11567" t="s">
        <v>30900</v>
      </c>
      <c r="G11567" t="s">
        <v>30907</v>
      </c>
      <c r="H11567" t="s">
        <v>30915</v>
      </c>
      <c r="I11567" t="s">
        <v>30919</v>
      </c>
      <c r="J11567" t="s">
        <v>38250</v>
      </c>
      <c r="K11567" t="s">
        <v>40304</v>
      </c>
      <c r="M11567" t="s">
        <v>44242</v>
      </c>
      <c r="N11567" t="s">
        <v>44759</v>
      </c>
      <c r="O11567" t="s">
        <v>44760</v>
      </c>
      <c r="Q11567">
        <v>7</v>
      </c>
      <c r="R11567" t="s">
        <v>44774</v>
      </c>
      <c r="S11567" t="s">
        <v>45344</v>
      </c>
      <c r="T11567" t="s">
        <v>46375</v>
      </c>
      <c r="U11567" t="s">
        <v>56442</v>
      </c>
      <c r="W11567" t="s">
        <v>44242</v>
      </c>
      <c r="X11567" t="s">
        <v>44775</v>
      </c>
    </row>
    <row r="11568" spans="1:24">
      <c r="A11568">
        <f>HYPERLINK("https://www.philgeps.gov.ph/GEPSNONPILOT/Tender/SplashBidNoticeAbstractUI.aspx?menuIndex=3&amp;refID=7129535&amp;Result=3","7129535")</f>
        <v>0</v>
      </c>
      <c r="B11568" t="s">
        <v>3374</v>
      </c>
      <c r="C11568" t="s">
        <v>14752</v>
      </c>
      <c r="E11568" t="s">
        <v>28032</v>
      </c>
      <c r="F11568" t="s">
        <v>30900</v>
      </c>
      <c r="G11568" t="s">
        <v>30907</v>
      </c>
      <c r="H11568" t="s">
        <v>30916</v>
      </c>
      <c r="I11568" t="s">
        <v>30938</v>
      </c>
      <c r="J11568" t="s">
        <v>31391</v>
      </c>
      <c r="K11568" t="s">
        <v>40289</v>
      </c>
      <c r="M11568" t="s">
        <v>44243</v>
      </c>
      <c r="N11568" t="s">
        <v>44759</v>
      </c>
      <c r="O11568" t="s">
        <v>44760</v>
      </c>
      <c r="P11568">
        <v>0</v>
      </c>
      <c r="Q11568">
        <v>3</v>
      </c>
      <c r="R11568" t="s">
        <v>44774</v>
      </c>
      <c r="S11568" t="s">
        <v>45266</v>
      </c>
      <c r="T11568" t="s">
        <v>46404</v>
      </c>
      <c r="U11568" t="s">
        <v>56443</v>
      </c>
      <c r="V11568" t="s">
        <v>60428</v>
      </c>
      <c r="W11568" t="s">
        <v>44243</v>
      </c>
      <c r="X11568" t="s">
        <v>44775</v>
      </c>
    </row>
    <row r="11569" spans="1:24">
      <c r="A11569">
        <f>HYPERLINK("https://www.philgeps.gov.ph/GEPSNONPILOT/Tender/SplashBidNoticeAbstractUI.aspx?menuIndex=3&amp;refID=7129344&amp;Result=3","7129344")</f>
        <v>0</v>
      </c>
      <c r="B11569" t="s">
        <v>1083</v>
      </c>
      <c r="C11569" t="s">
        <v>14753</v>
      </c>
      <c r="D11569" t="s">
        <v>17999</v>
      </c>
      <c r="E11569" t="s">
        <v>28033</v>
      </c>
      <c r="F11569" t="s">
        <v>30900</v>
      </c>
      <c r="G11569" t="s">
        <v>30907</v>
      </c>
      <c r="H11569" t="s">
        <v>30915</v>
      </c>
      <c r="I11569" t="s">
        <v>30919</v>
      </c>
      <c r="J11569" t="s">
        <v>31297</v>
      </c>
      <c r="K11569" t="s">
        <v>40524</v>
      </c>
      <c r="M11569" t="s">
        <v>41682</v>
      </c>
      <c r="N11569" t="s">
        <v>44759</v>
      </c>
      <c r="O11569" t="s">
        <v>44760</v>
      </c>
      <c r="P11569">
        <v>0</v>
      </c>
      <c r="Q11569">
        <v>0</v>
      </c>
      <c r="R11569" t="s">
        <v>44774</v>
      </c>
      <c r="S11569" t="s">
        <v>45266</v>
      </c>
      <c r="T11569" t="s">
        <v>46404</v>
      </c>
      <c r="U11569" t="s">
        <v>56444</v>
      </c>
      <c r="V11569" t="s">
        <v>59392</v>
      </c>
      <c r="W11569" t="s">
        <v>41682</v>
      </c>
      <c r="X11569" t="s">
        <v>44775</v>
      </c>
    </row>
    <row r="11570" spans="1:24">
      <c r="A11570">
        <f>HYPERLINK("https://www.philgeps.gov.ph/GEPSNONPILOT/Tender/SplashBidNoticeAbstractUI.aspx?menuIndex=3&amp;refID=7129532&amp;Result=3","7129532")</f>
        <v>0</v>
      </c>
      <c r="B11570" t="s">
        <v>3359</v>
      </c>
      <c r="C11570" t="s">
        <v>14754</v>
      </c>
      <c r="D11570" t="s">
        <v>18003</v>
      </c>
      <c r="E11570" t="s">
        <v>28034</v>
      </c>
      <c r="F11570" t="s">
        <v>30900</v>
      </c>
      <c r="G11570" t="s">
        <v>30907</v>
      </c>
      <c r="H11570" t="s">
        <v>30915</v>
      </c>
      <c r="I11570" t="s">
        <v>30919</v>
      </c>
      <c r="J11570" t="s">
        <v>38251</v>
      </c>
      <c r="K11570" t="s">
        <v>40438</v>
      </c>
      <c r="M11570" t="s">
        <v>44228</v>
      </c>
      <c r="N11570" t="s">
        <v>44759</v>
      </c>
      <c r="O11570" t="s">
        <v>44760</v>
      </c>
      <c r="Q11570">
        <v>4</v>
      </c>
      <c r="R11570" t="s">
        <v>44774</v>
      </c>
      <c r="S11570" t="s">
        <v>45345</v>
      </c>
      <c r="T11570" t="s">
        <v>46352</v>
      </c>
      <c r="U11570" t="s">
        <v>56445</v>
      </c>
      <c r="V11570" t="s">
        <v>60429</v>
      </c>
      <c r="W11570" t="s">
        <v>44228</v>
      </c>
      <c r="X11570" t="s">
        <v>44775</v>
      </c>
    </row>
    <row r="11571" spans="1:24">
      <c r="A11571">
        <f>HYPERLINK("https://www.philgeps.gov.ph/GEPSNONPILOT/Tender/SplashBidNoticeAbstractUI.aspx?menuIndex=3&amp;refID=7129533&amp;Result=3","7129533")</f>
        <v>0</v>
      </c>
      <c r="B11571" t="s">
        <v>1891</v>
      </c>
      <c r="C11571" t="s">
        <v>14755</v>
      </c>
      <c r="D11571" t="s">
        <v>17959</v>
      </c>
      <c r="E11571" t="s">
        <v>28035</v>
      </c>
      <c r="F11571" t="s">
        <v>30900</v>
      </c>
      <c r="G11571" t="s">
        <v>30907</v>
      </c>
      <c r="H11571" t="s">
        <v>30915</v>
      </c>
      <c r="I11571" t="s">
        <v>30919</v>
      </c>
      <c r="J11571" t="s">
        <v>38252</v>
      </c>
      <c r="K11571" t="s">
        <v>40354</v>
      </c>
      <c r="M11571" t="s">
        <v>44244</v>
      </c>
      <c r="N11571" t="s">
        <v>44759</v>
      </c>
      <c r="O11571" t="s">
        <v>44760</v>
      </c>
      <c r="P11571">
        <v>0</v>
      </c>
      <c r="Q11571">
        <v>200</v>
      </c>
      <c r="R11571" t="s">
        <v>44774</v>
      </c>
      <c r="S11571" t="s">
        <v>45266</v>
      </c>
      <c r="T11571" t="s">
        <v>46409</v>
      </c>
      <c r="U11571" t="s">
        <v>56446</v>
      </c>
      <c r="W11571" t="s">
        <v>44244</v>
      </c>
      <c r="X11571" t="s">
        <v>44775</v>
      </c>
    </row>
    <row r="11572" spans="1:24">
      <c r="A11572">
        <f>HYPERLINK("https://www.philgeps.gov.ph/GEPSNONPILOT/Tender/SplashBidNoticeAbstractUI.aspx?menuIndex=3&amp;refID=7129350&amp;Result=3","7129350")</f>
        <v>0</v>
      </c>
      <c r="B11572" t="s">
        <v>3375</v>
      </c>
      <c r="C11572" t="s">
        <v>14756</v>
      </c>
      <c r="D11572" t="s">
        <v>17991</v>
      </c>
      <c r="E11572" t="s">
        <v>28036</v>
      </c>
      <c r="F11572" t="s">
        <v>30900</v>
      </c>
      <c r="G11572" t="s">
        <v>30907</v>
      </c>
      <c r="H11572" t="s">
        <v>30916</v>
      </c>
      <c r="I11572" t="s">
        <v>8123</v>
      </c>
      <c r="J11572" t="s">
        <v>38253</v>
      </c>
      <c r="K11572" t="s">
        <v>40292</v>
      </c>
      <c r="M11572" t="s">
        <v>44245</v>
      </c>
      <c r="N11572" t="s">
        <v>44759</v>
      </c>
      <c r="O11572" t="s">
        <v>44760</v>
      </c>
      <c r="P11572">
        <v>0</v>
      </c>
      <c r="Q11572">
        <v>0</v>
      </c>
      <c r="R11572" t="s">
        <v>44774</v>
      </c>
      <c r="S11572" t="s">
        <v>45266</v>
      </c>
      <c r="T11572" t="s">
        <v>46412</v>
      </c>
      <c r="U11572" t="s">
        <v>56447</v>
      </c>
      <c r="W11572" t="s">
        <v>44245</v>
      </c>
      <c r="X11572" t="s">
        <v>44775</v>
      </c>
    </row>
    <row r="11573" spans="1:24">
      <c r="A11573">
        <f>HYPERLINK("https://www.philgeps.gov.ph/GEPSNONPILOT/Tender/SplashBidNoticeAbstractUI.aspx?menuIndex=3&amp;refID=7129528&amp;Result=3","7129528")</f>
        <v>0</v>
      </c>
      <c r="B11573" t="s">
        <v>3359</v>
      </c>
      <c r="C11573" t="s">
        <v>14757</v>
      </c>
      <c r="D11573" t="s">
        <v>18003</v>
      </c>
      <c r="E11573" t="s">
        <v>28037</v>
      </c>
      <c r="F11573" t="s">
        <v>30900</v>
      </c>
      <c r="G11573" t="s">
        <v>30907</v>
      </c>
      <c r="H11573" t="s">
        <v>30915</v>
      </c>
      <c r="I11573" t="s">
        <v>30919</v>
      </c>
      <c r="J11573" t="s">
        <v>38254</v>
      </c>
      <c r="K11573" t="s">
        <v>40495</v>
      </c>
      <c r="M11573" t="s">
        <v>44228</v>
      </c>
      <c r="N11573" t="s">
        <v>44759</v>
      </c>
      <c r="O11573" t="s">
        <v>44760</v>
      </c>
      <c r="P11573">
        <v>0</v>
      </c>
      <c r="Q11573">
        <v>5</v>
      </c>
      <c r="R11573" t="s">
        <v>44774</v>
      </c>
      <c r="S11573" t="s">
        <v>45266</v>
      </c>
      <c r="T11573" t="s">
        <v>46352</v>
      </c>
      <c r="U11573" t="s">
        <v>56445</v>
      </c>
      <c r="V11573" t="s">
        <v>60429</v>
      </c>
      <c r="W11573" t="s">
        <v>44228</v>
      </c>
      <c r="X11573" t="s">
        <v>44775</v>
      </c>
    </row>
    <row r="11574" spans="1:24">
      <c r="A11574">
        <f>HYPERLINK("https://www.philgeps.gov.ph/GEPSNONPILOT/Tender/SplashBidNoticeAbstractUI.aspx?menuIndex=3&amp;refID=7129521&amp;Result=3","7129521")</f>
        <v>0</v>
      </c>
      <c r="B11574" t="s">
        <v>84</v>
      </c>
      <c r="C11574" t="s">
        <v>14758</v>
      </c>
      <c r="E11574" t="s">
        <v>28038</v>
      </c>
      <c r="F11574" t="s">
        <v>30900</v>
      </c>
      <c r="G11574" t="s">
        <v>30911</v>
      </c>
      <c r="H11574" t="s">
        <v>7411</v>
      </c>
      <c r="I11574" t="s">
        <v>7411</v>
      </c>
      <c r="J11574" t="s">
        <v>31412</v>
      </c>
      <c r="K11574" t="s">
        <v>40280</v>
      </c>
      <c r="M11574" t="s">
        <v>44246</v>
      </c>
      <c r="N11574" t="s">
        <v>44759</v>
      </c>
      <c r="O11574" t="s">
        <v>44760</v>
      </c>
      <c r="P11574">
        <v>0</v>
      </c>
      <c r="Q11574">
        <v>5</v>
      </c>
      <c r="R11574" t="s">
        <v>44774</v>
      </c>
      <c r="S11574" t="s">
        <v>45266</v>
      </c>
      <c r="T11574" t="s">
        <v>46378</v>
      </c>
      <c r="U11574" t="s">
        <v>56448</v>
      </c>
      <c r="V11574" t="s">
        <v>60430</v>
      </c>
      <c r="W11574" t="s">
        <v>44246</v>
      </c>
      <c r="X11574" t="s">
        <v>44775</v>
      </c>
    </row>
    <row r="11575" spans="1:24">
      <c r="A11575">
        <f>HYPERLINK("https://www.philgeps.gov.ph/GEPSNONPILOT/Tender/SplashBidNoticeAbstractUI.aspx?menuIndex=3&amp;refID=7129516&amp;Result=3","7129516")</f>
        <v>0</v>
      </c>
      <c r="B11575" t="s">
        <v>1891</v>
      </c>
      <c r="C11575" t="s">
        <v>14759</v>
      </c>
      <c r="D11575" t="s">
        <v>17959</v>
      </c>
      <c r="E11575" t="s">
        <v>28039</v>
      </c>
      <c r="F11575" t="s">
        <v>30900</v>
      </c>
      <c r="G11575" t="s">
        <v>30907</v>
      </c>
      <c r="H11575" t="s">
        <v>30915</v>
      </c>
      <c r="I11575" t="s">
        <v>30919</v>
      </c>
      <c r="J11575" t="s">
        <v>38255</v>
      </c>
      <c r="K11575" t="s">
        <v>40321</v>
      </c>
      <c r="M11575" t="s">
        <v>44244</v>
      </c>
      <c r="N11575" t="s">
        <v>44759</v>
      </c>
      <c r="O11575" t="s">
        <v>44760</v>
      </c>
      <c r="P11575">
        <v>0</v>
      </c>
      <c r="Q11575">
        <v>175</v>
      </c>
      <c r="R11575" t="s">
        <v>44774</v>
      </c>
      <c r="S11575" t="s">
        <v>45266</v>
      </c>
      <c r="T11575" t="s">
        <v>46409</v>
      </c>
      <c r="U11575" t="s">
        <v>56449</v>
      </c>
      <c r="W11575" t="s">
        <v>44244</v>
      </c>
      <c r="X11575" t="s">
        <v>44775</v>
      </c>
    </row>
    <row r="11576" spans="1:24">
      <c r="A11576">
        <f>HYPERLINK("https://www.philgeps.gov.ph/GEPSNONPILOT/Tender/SplashBidNoticeAbstractUI.aspx?menuIndex=3&amp;refID=7129504&amp;Result=3","7129504")</f>
        <v>0</v>
      </c>
      <c r="B11576" t="s">
        <v>3376</v>
      </c>
      <c r="C11576" t="s">
        <v>14760</v>
      </c>
      <c r="D11576" t="s">
        <v>18013</v>
      </c>
      <c r="E11576" t="s">
        <v>28040</v>
      </c>
      <c r="F11576" t="s">
        <v>30900</v>
      </c>
      <c r="G11576" t="s">
        <v>30907</v>
      </c>
      <c r="H11576" t="s">
        <v>30915</v>
      </c>
      <c r="I11576" t="s">
        <v>30919</v>
      </c>
      <c r="J11576" t="s">
        <v>38256</v>
      </c>
      <c r="K11576" t="s">
        <v>40289</v>
      </c>
      <c r="M11576" t="s">
        <v>44247</v>
      </c>
      <c r="N11576" t="s">
        <v>44759</v>
      </c>
      <c r="O11576" t="s">
        <v>44760</v>
      </c>
      <c r="P11576">
        <v>0</v>
      </c>
      <c r="Q11576">
        <v>1</v>
      </c>
      <c r="R11576" t="s">
        <v>44774</v>
      </c>
      <c r="S11576" t="s">
        <v>45266</v>
      </c>
      <c r="T11576" t="s">
        <v>46369</v>
      </c>
      <c r="U11576" t="s">
        <v>56450</v>
      </c>
      <c r="W11576" t="s">
        <v>44247</v>
      </c>
      <c r="X11576" t="s">
        <v>44775</v>
      </c>
    </row>
    <row r="11577" spans="1:24">
      <c r="A11577">
        <f>HYPERLINK("https://www.philgeps.gov.ph/GEPSNONPILOT/Tender/SplashBidNoticeAbstractUI.aspx?menuIndex=3&amp;refID=7129525&amp;Result=3","7129525")</f>
        <v>0</v>
      </c>
      <c r="B11577" t="s">
        <v>1891</v>
      </c>
      <c r="C11577" t="s">
        <v>14761</v>
      </c>
      <c r="D11577" t="s">
        <v>17959</v>
      </c>
      <c r="E11577" t="s">
        <v>28041</v>
      </c>
      <c r="F11577" t="s">
        <v>30900</v>
      </c>
      <c r="G11577" t="s">
        <v>30907</v>
      </c>
      <c r="H11577" t="s">
        <v>30915</v>
      </c>
      <c r="I11577" t="s">
        <v>30919</v>
      </c>
      <c r="J11577" t="s">
        <v>38257</v>
      </c>
      <c r="K11577" t="s">
        <v>40304</v>
      </c>
      <c r="M11577" t="s">
        <v>44244</v>
      </c>
      <c r="N11577" t="s">
        <v>44759</v>
      </c>
      <c r="O11577" t="s">
        <v>44760</v>
      </c>
      <c r="P11577">
        <v>0</v>
      </c>
      <c r="Q11577">
        <v>179</v>
      </c>
      <c r="R11577" t="s">
        <v>44774</v>
      </c>
      <c r="S11577" t="s">
        <v>45266</v>
      </c>
      <c r="T11577" t="s">
        <v>46409</v>
      </c>
      <c r="U11577" t="s">
        <v>47880</v>
      </c>
      <c r="W11577" t="s">
        <v>44244</v>
      </c>
      <c r="X11577" t="s">
        <v>44775</v>
      </c>
    </row>
    <row r="11578" spans="1:24">
      <c r="A11578">
        <f>HYPERLINK("https://www.philgeps.gov.ph/GEPSNONPILOT/Tender/SplashBidNoticeAbstractUI.aspx?menuIndex=3&amp;refID=7129422&amp;Result=3","7129422")</f>
        <v>0</v>
      </c>
      <c r="B11578" t="s">
        <v>3254</v>
      </c>
      <c r="C11578" t="s">
        <v>14762</v>
      </c>
      <c r="D11578" t="s">
        <v>17963</v>
      </c>
      <c r="E11578" t="s">
        <v>28042</v>
      </c>
      <c r="F11578" t="s">
        <v>30900</v>
      </c>
      <c r="G11578" t="s">
        <v>30907</v>
      </c>
      <c r="H11578" t="s">
        <v>30916</v>
      </c>
      <c r="I11578" t="s">
        <v>8123</v>
      </c>
      <c r="J11578" t="s">
        <v>38258</v>
      </c>
      <c r="K11578" t="s">
        <v>40283</v>
      </c>
      <c r="L11578" t="s">
        <v>3254</v>
      </c>
      <c r="M11578" t="s">
        <v>44099</v>
      </c>
      <c r="N11578" t="s">
        <v>44759</v>
      </c>
      <c r="O11578" t="s">
        <v>44760</v>
      </c>
      <c r="P11578">
        <v>0</v>
      </c>
      <c r="Q11578">
        <v>2</v>
      </c>
      <c r="R11578" t="s">
        <v>44774</v>
      </c>
      <c r="S11578" t="s">
        <v>45266</v>
      </c>
      <c r="T11578" t="s">
        <v>46409</v>
      </c>
      <c r="U11578" t="s">
        <v>56451</v>
      </c>
      <c r="W11578" t="s">
        <v>44099</v>
      </c>
      <c r="X11578" t="s">
        <v>44775</v>
      </c>
    </row>
    <row r="11579" spans="1:24">
      <c r="A11579">
        <f>HYPERLINK("https://www.philgeps.gov.ph/GEPSNONPILOT/Tender/SplashBidNoticeAbstractUI.aspx?menuIndex=3&amp;refID=7129501&amp;Result=3","7129501")</f>
        <v>0</v>
      </c>
      <c r="B11579" t="s">
        <v>3376</v>
      </c>
      <c r="C11579" t="s">
        <v>14763</v>
      </c>
      <c r="D11579" t="s">
        <v>18013</v>
      </c>
      <c r="E11579" t="s">
        <v>28043</v>
      </c>
      <c r="F11579" t="s">
        <v>30900</v>
      </c>
      <c r="G11579" t="s">
        <v>30907</v>
      </c>
      <c r="H11579" t="s">
        <v>30916</v>
      </c>
      <c r="I11579" t="s">
        <v>8123</v>
      </c>
      <c r="J11579" t="s">
        <v>38259</v>
      </c>
      <c r="K11579" t="s">
        <v>40289</v>
      </c>
      <c r="M11579" t="s">
        <v>44247</v>
      </c>
      <c r="N11579" t="s">
        <v>44759</v>
      </c>
      <c r="O11579" t="s">
        <v>44760</v>
      </c>
      <c r="P11579">
        <v>0</v>
      </c>
      <c r="Q11579">
        <v>0</v>
      </c>
      <c r="R11579" t="s">
        <v>44774</v>
      </c>
      <c r="S11579" t="s">
        <v>45266</v>
      </c>
      <c r="T11579" t="s">
        <v>46369</v>
      </c>
      <c r="U11579" t="s">
        <v>56452</v>
      </c>
      <c r="W11579" t="s">
        <v>44247</v>
      </c>
      <c r="X11579" t="s">
        <v>44775</v>
      </c>
    </row>
    <row r="11580" spans="1:24">
      <c r="A11580">
        <f>HYPERLINK("https://www.philgeps.gov.ph/GEPSNONPILOT/Tender/SplashBidNoticeAbstractUI.aspx?menuIndex=3&amp;refID=7104222&amp;Result=3","7104222")</f>
        <v>0</v>
      </c>
      <c r="B11580" t="s">
        <v>3099</v>
      </c>
      <c r="C11580" t="s">
        <v>14764</v>
      </c>
      <c r="D11580" t="s">
        <v>17971</v>
      </c>
      <c r="E11580" t="s">
        <v>28044</v>
      </c>
      <c r="F11580" t="s">
        <v>30900</v>
      </c>
      <c r="G11580" t="s">
        <v>30907</v>
      </c>
      <c r="H11580" t="s">
        <v>7411</v>
      </c>
      <c r="I11580" t="s">
        <v>7411</v>
      </c>
      <c r="J11580" t="s">
        <v>38260</v>
      </c>
      <c r="K11580" t="s">
        <v>40304</v>
      </c>
      <c r="M11580" t="s">
        <v>43911</v>
      </c>
      <c r="N11580" t="s">
        <v>44759</v>
      </c>
      <c r="O11580" t="s">
        <v>44760</v>
      </c>
      <c r="P11580">
        <v>0</v>
      </c>
      <c r="Q11580">
        <v>5</v>
      </c>
      <c r="R11580" t="s">
        <v>44775</v>
      </c>
      <c r="S11580" t="s">
        <v>45343</v>
      </c>
      <c r="T11580" t="s">
        <v>46411</v>
      </c>
      <c r="U11580" t="s">
        <v>56453</v>
      </c>
      <c r="V11580" t="s">
        <v>60431</v>
      </c>
      <c r="W11580" t="s">
        <v>43911</v>
      </c>
      <c r="X11580" t="s">
        <v>44784</v>
      </c>
    </row>
    <row r="11581" spans="1:24">
      <c r="A11581">
        <f>HYPERLINK("https://www.philgeps.gov.ph/GEPSNONPILOT/Tender/SplashBidNoticeAbstractUI.aspx?menuIndex=3&amp;refID=7129514&amp;Result=3","7129514")</f>
        <v>0</v>
      </c>
      <c r="B11581" t="s">
        <v>84</v>
      </c>
      <c r="C11581" t="s">
        <v>14765</v>
      </c>
      <c r="E11581" t="s">
        <v>28045</v>
      </c>
      <c r="F11581" t="s">
        <v>30900</v>
      </c>
      <c r="G11581" t="s">
        <v>30911</v>
      </c>
      <c r="H11581" t="s">
        <v>7411</v>
      </c>
      <c r="I11581" t="s">
        <v>7411</v>
      </c>
      <c r="J11581" t="s">
        <v>38261</v>
      </c>
      <c r="K11581" t="s">
        <v>40304</v>
      </c>
      <c r="M11581" t="s">
        <v>44246</v>
      </c>
      <c r="N11581" t="s">
        <v>44759</v>
      </c>
      <c r="O11581" t="s">
        <v>44760</v>
      </c>
      <c r="P11581">
        <v>0</v>
      </c>
      <c r="Q11581">
        <v>1</v>
      </c>
      <c r="R11581" t="s">
        <v>44774</v>
      </c>
      <c r="S11581" t="s">
        <v>45266</v>
      </c>
      <c r="T11581" t="s">
        <v>46378</v>
      </c>
      <c r="U11581" t="s">
        <v>56454</v>
      </c>
      <c r="V11581" t="s">
        <v>60430</v>
      </c>
      <c r="W11581" t="s">
        <v>44246</v>
      </c>
      <c r="X11581" t="s">
        <v>44775</v>
      </c>
    </row>
    <row r="11582" spans="1:24">
      <c r="A11582">
        <f>HYPERLINK("https://www.philgeps.gov.ph/GEPSNONPILOT/Tender/SplashBidNoticeAbstractUI.aspx?menuIndex=3&amp;refID=7107241&amp;Result=3","7107241")</f>
        <v>0</v>
      </c>
      <c r="B11582" t="s">
        <v>138</v>
      </c>
      <c r="C11582" t="s">
        <v>14766</v>
      </c>
      <c r="D11582" t="s">
        <v>17965</v>
      </c>
      <c r="E11582" t="s">
        <v>28046</v>
      </c>
      <c r="F11582" t="s">
        <v>30900</v>
      </c>
      <c r="G11582" t="s">
        <v>30907</v>
      </c>
      <c r="H11582" t="s">
        <v>30915</v>
      </c>
      <c r="I11582" t="s">
        <v>30919</v>
      </c>
      <c r="J11582" t="s">
        <v>38262</v>
      </c>
      <c r="K11582" t="s">
        <v>40508</v>
      </c>
      <c r="M11582" t="s">
        <v>43018</v>
      </c>
      <c r="N11582" t="s">
        <v>44759</v>
      </c>
      <c r="O11582" t="s">
        <v>44760</v>
      </c>
      <c r="P11582">
        <v>0</v>
      </c>
      <c r="Q11582">
        <v>0</v>
      </c>
      <c r="R11582" t="s">
        <v>44775</v>
      </c>
      <c r="S11582" t="s">
        <v>45343</v>
      </c>
      <c r="T11582" t="s">
        <v>46581</v>
      </c>
      <c r="U11582" t="s">
        <v>56455</v>
      </c>
      <c r="W11582" t="s">
        <v>43018</v>
      </c>
      <c r="X11582" t="s">
        <v>44784</v>
      </c>
    </row>
    <row r="11583" spans="1:24">
      <c r="A11583">
        <f>HYPERLINK("https://www.philgeps.gov.ph/GEPSNONPILOT/Tender/SplashBidNoticeAbstractUI.aspx?menuIndex=3&amp;refID=7099522&amp;Result=3","7099522")</f>
        <v>0</v>
      </c>
      <c r="B11583" t="s">
        <v>75</v>
      </c>
      <c r="C11583" t="s">
        <v>14767</v>
      </c>
      <c r="D11583" t="s">
        <v>17985</v>
      </c>
      <c r="E11583" t="s">
        <v>28047</v>
      </c>
      <c r="F11583" t="s">
        <v>30900</v>
      </c>
      <c r="G11583" t="s">
        <v>30907</v>
      </c>
      <c r="H11583" t="s">
        <v>30915</v>
      </c>
      <c r="I11583" t="s">
        <v>30919</v>
      </c>
      <c r="J11583" t="s">
        <v>38043</v>
      </c>
      <c r="K11583" t="s">
        <v>40458</v>
      </c>
      <c r="M11583" t="s">
        <v>40622</v>
      </c>
      <c r="N11583" t="s">
        <v>44759</v>
      </c>
      <c r="O11583" t="s">
        <v>44760</v>
      </c>
      <c r="P11583">
        <v>0</v>
      </c>
      <c r="Q11583">
        <v>2</v>
      </c>
      <c r="R11583" t="s">
        <v>44775</v>
      </c>
      <c r="S11583" t="s">
        <v>45343</v>
      </c>
      <c r="T11583" t="s">
        <v>46389</v>
      </c>
      <c r="U11583" t="s">
        <v>56456</v>
      </c>
      <c r="W11583" t="s">
        <v>40622</v>
      </c>
      <c r="X11583" t="s">
        <v>44788</v>
      </c>
    </row>
    <row r="11584" spans="1:24">
      <c r="A11584">
        <f>HYPERLINK("https://www.philgeps.gov.ph/GEPSNONPILOT/Tender/SplashBidNoticeAbstractUI.aspx?menuIndex=3&amp;refID=7102303-2&amp;Result=3","7102303-2")</f>
        <v>0</v>
      </c>
      <c r="B11584" t="s">
        <v>2647</v>
      </c>
      <c r="C11584" t="s">
        <v>14768</v>
      </c>
      <c r="E11584" t="s">
        <v>28048</v>
      </c>
      <c r="F11584" t="s">
        <v>30900</v>
      </c>
      <c r="G11584" t="s">
        <v>30907</v>
      </c>
      <c r="H11584" t="s">
        <v>7411</v>
      </c>
      <c r="I11584" t="s">
        <v>7411</v>
      </c>
      <c r="J11584" t="s">
        <v>38263</v>
      </c>
      <c r="K11584" t="s">
        <v>40289</v>
      </c>
      <c r="M11584" t="s">
        <v>43413</v>
      </c>
      <c r="N11584" t="s">
        <v>44759</v>
      </c>
      <c r="O11584" t="s">
        <v>44760</v>
      </c>
      <c r="P11584">
        <v>0</v>
      </c>
      <c r="Q11584">
        <v>1</v>
      </c>
      <c r="R11584" t="s">
        <v>44775</v>
      </c>
      <c r="S11584" t="s">
        <v>45343</v>
      </c>
      <c r="T11584" t="s">
        <v>46357</v>
      </c>
      <c r="U11584" t="s">
        <v>56457</v>
      </c>
      <c r="V11584" t="s">
        <v>60432</v>
      </c>
      <c r="W11584" t="s">
        <v>43413</v>
      </c>
      <c r="X11584" t="s">
        <v>44776</v>
      </c>
    </row>
    <row r="11585" spans="1:24">
      <c r="A11585">
        <f>HYPERLINK("https://www.philgeps.gov.ph/GEPSNONPILOT/Tender/SplashBidNoticeAbstractUI.aspx?menuIndex=3&amp;refID=7095691&amp;Result=3","7095691")</f>
        <v>0</v>
      </c>
      <c r="B11585" t="s">
        <v>1202</v>
      </c>
      <c r="C11585" t="s">
        <v>14769</v>
      </c>
      <c r="D11585" t="s">
        <v>17957</v>
      </c>
      <c r="E11585" t="s">
        <v>28049</v>
      </c>
      <c r="F11585" t="s">
        <v>30900</v>
      </c>
      <c r="G11585" t="s">
        <v>30907</v>
      </c>
      <c r="H11585" t="s">
        <v>30915</v>
      </c>
      <c r="I11585" t="s">
        <v>30919</v>
      </c>
      <c r="J11585" t="s">
        <v>31297</v>
      </c>
      <c r="K11585" t="s">
        <v>40292</v>
      </c>
      <c r="M11585" t="s">
        <v>41813</v>
      </c>
      <c r="N11585" t="s">
        <v>44759</v>
      </c>
      <c r="O11585" t="s">
        <v>44760</v>
      </c>
      <c r="Q11585">
        <v>5</v>
      </c>
      <c r="R11585" t="s">
        <v>44775</v>
      </c>
      <c r="S11585" t="s">
        <v>45346</v>
      </c>
      <c r="T11585" t="s">
        <v>46357</v>
      </c>
      <c r="U11585" t="s">
        <v>56458</v>
      </c>
      <c r="W11585" t="s">
        <v>41813</v>
      </c>
      <c r="X11585" t="s">
        <v>44789</v>
      </c>
    </row>
    <row r="11586" spans="1:24">
      <c r="A11586">
        <f>HYPERLINK("https://www.philgeps.gov.ph/GEPSNONPILOT/Tender/SplashBidNoticeAbstractUI.aspx?menuIndex=3&amp;refID=7129433&amp;Result=3","7129433")</f>
        <v>0</v>
      </c>
      <c r="B11586" t="s">
        <v>3254</v>
      </c>
      <c r="C11586" t="s">
        <v>14770</v>
      </c>
      <c r="D11586" t="s">
        <v>17963</v>
      </c>
      <c r="E11586" t="s">
        <v>28050</v>
      </c>
      <c r="F11586" t="s">
        <v>30900</v>
      </c>
      <c r="G11586" t="s">
        <v>30907</v>
      </c>
      <c r="H11586" t="s">
        <v>30916</v>
      </c>
      <c r="I11586" t="s">
        <v>8123</v>
      </c>
      <c r="J11586" t="s">
        <v>38264</v>
      </c>
      <c r="K11586" t="s">
        <v>40284</v>
      </c>
      <c r="L11586" t="s">
        <v>3254</v>
      </c>
      <c r="M11586" t="s">
        <v>44099</v>
      </c>
      <c r="N11586" t="s">
        <v>44759</v>
      </c>
      <c r="O11586" t="s">
        <v>44760</v>
      </c>
      <c r="P11586">
        <v>0</v>
      </c>
      <c r="Q11586">
        <v>1</v>
      </c>
      <c r="R11586" t="s">
        <v>44774</v>
      </c>
      <c r="S11586" t="s">
        <v>45266</v>
      </c>
      <c r="T11586" t="s">
        <v>46409</v>
      </c>
      <c r="U11586" t="s">
        <v>56434</v>
      </c>
      <c r="W11586" t="s">
        <v>44099</v>
      </c>
      <c r="X11586" t="s">
        <v>44775</v>
      </c>
    </row>
    <row r="11587" spans="1:24">
      <c r="A11587">
        <f>HYPERLINK("https://www.philgeps.gov.ph/GEPSNONPILOT/Tender/SplashBidNoticeAbstractUI.aspx?menuIndex=3&amp;refID=7102504-2&amp;Result=3","7102504-2")</f>
        <v>0</v>
      </c>
      <c r="B11587" t="s">
        <v>2647</v>
      </c>
      <c r="C11587" t="s">
        <v>14771</v>
      </c>
      <c r="E11587" t="s">
        <v>28051</v>
      </c>
      <c r="F11587" t="s">
        <v>30900</v>
      </c>
      <c r="G11587" t="s">
        <v>30907</v>
      </c>
      <c r="H11587" t="s">
        <v>7411</v>
      </c>
      <c r="I11587" t="s">
        <v>7411</v>
      </c>
      <c r="J11587" t="s">
        <v>38265</v>
      </c>
      <c r="K11587" t="s">
        <v>40289</v>
      </c>
      <c r="M11587" t="s">
        <v>43413</v>
      </c>
      <c r="N11587" t="s">
        <v>44759</v>
      </c>
      <c r="O11587" t="s">
        <v>44760</v>
      </c>
      <c r="P11587">
        <v>0</v>
      </c>
      <c r="Q11587">
        <v>1</v>
      </c>
      <c r="R11587" t="s">
        <v>44775</v>
      </c>
      <c r="S11587" t="s">
        <v>45343</v>
      </c>
      <c r="T11587" t="s">
        <v>46357</v>
      </c>
      <c r="U11587" t="s">
        <v>56459</v>
      </c>
      <c r="V11587" t="s">
        <v>60433</v>
      </c>
      <c r="W11587" t="s">
        <v>43413</v>
      </c>
      <c r="X11587" t="s">
        <v>44776</v>
      </c>
    </row>
    <row r="11588" spans="1:24">
      <c r="A11588">
        <f>HYPERLINK("https://www.philgeps.gov.ph/GEPSNONPILOT/Tender/SplashBidNoticeAbstractUI.aspx?menuIndex=3&amp;refID=7093460&amp;Result=3","7093460")</f>
        <v>0</v>
      </c>
      <c r="B11588" t="s">
        <v>3327</v>
      </c>
      <c r="C11588" t="s">
        <v>14772</v>
      </c>
      <c r="D11588" t="s">
        <v>18002</v>
      </c>
      <c r="E11588" t="s">
        <v>28052</v>
      </c>
      <c r="F11588" t="s">
        <v>30900</v>
      </c>
      <c r="G11588" t="s">
        <v>30907</v>
      </c>
      <c r="H11588" t="s">
        <v>30915</v>
      </c>
      <c r="I11588" t="s">
        <v>30919</v>
      </c>
      <c r="J11588" t="s">
        <v>38266</v>
      </c>
      <c r="K11588" t="s">
        <v>40314</v>
      </c>
      <c r="M11588" t="s">
        <v>44187</v>
      </c>
      <c r="N11588" t="s">
        <v>44759</v>
      </c>
      <c r="O11588" t="s">
        <v>44760</v>
      </c>
      <c r="Q11588">
        <v>0</v>
      </c>
      <c r="R11588" t="s">
        <v>44775</v>
      </c>
      <c r="S11588" t="s">
        <v>45347</v>
      </c>
      <c r="T11588" t="s">
        <v>46405</v>
      </c>
      <c r="U11588" t="s">
        <v>56460</v>
      </c>
      <c r="V11588" t="s">
        <v>60434</v>
      </c>
      <c r="W11588" t="s">
        <v>60925</v>
      </c>
      <c r="X11588" t="s">
        <v>44790</v>
      </c>
    </row>
    <row r="11589" spans="1:24">
      <c r="A11589">
        <f>HYPERLINK("https://www.philgeps.gov.ph/GEPSNONPILOT/Tender/SplashBidNoticeAbstractUI.aspx?menuIndex=3&amp;refID=7092246&amp;Result=3","7092246")</f>
        <v>0</v>
      </c>
      <c r="B11589" t="s">
        <v>1506</v>
      </c>
      <c r="C11589" t="s">
        <v>14773</v>
      </c>
      <c r="D11589" t="s">
        <v>18001</v>
      </c>
      <c r="E11589" t="s">
        <v>28053</v>
      </c>
      <c r="F11589" t="s">
        <v>30900</v>
      </c>
      <c r="G11589" t="s">
        <v>30907</v>
      </c>
      <c r="H11589" t="s">
        <v>30916</v>
      </c>
      <c r="I11589" t="s">
        <v>30963</v>
      </c>
      <c r="J11589" t="s">
        <v>32049</v>
      </c>
      <c r="K11589" t="s">
        <v>40286</v>
      </c>
      <c r="M11589" t="s">
        <v>42147</v>
      </c>
      <c r="N11589" t="s">
        <v>44759</v>
      </c>
      <c r="O11589" t="s">
        <v>44760</v>
      </c>
      <c r="Q11589">
        <v>4</v>
      </c>
      <c r="R11589" t="s">
        <v>44775</v>
      </c>
      <c r="S11589" t="s">
        <v>45348</v>
      </c>
      <c r="T11589" t="s">
        <v>46467</v>
      </c>
      <c r="U11589" t="s">
        <v>56461</v>
      </c>
      <c r="W11589" t="s">
        <v>42147</v>
      </c>
      <c r="X11589" t="s">
        <v>44790</v>
      </c>
    </row>
    <row r="11590" spans="1:24">
      <c r="A11590">
        <f>HYPERLINK("https://www.philgeps.gov.ph/GEPSNONPILOT/Tender/SplashBidNoticeAbstractUI.aspx?menuIndex=3&amp;refID=7059622&amp;Result=3","7059622")</f>
        <v>0</v>
      </c>
      <c r="B11590" t="s">
        <v>75</v>
      </c>
      <c r="C11590" t="s">
        <v>14774</v>
      </c>
      <c r="D11590" t="s">
        <v>17985</v>
      </c>
      <c r="E11590" t="s">
        <v>28054</v>
      </c>
      <c r="F11590" t="s">
        <v>30900</v>
      </c>
      <c r="G11590" t="s">
        <v>30907</v>
      </c>
      <c r="H11590" t="s">
        <v>30915</v>
      </c>
      <c r="I11590" t="s">
        <v>30919</v>
      </c>
      <c r="J11590" t="s">
        <v>38267</v>
      </c>
      <c r="K11590" t="s">
        <v>40525</v>
      </c>
      <c r="M11590" t="s">
        <v>40622</v>
      </c>
      <c r="N11590" t="s">
        <v>44759</v>
      </c>
      <c r="O11590" t="s">
        <v>44760</v>
      </c>
      <c r="P11590">
        <v>0</v>
      </c>
      <c r="Q11590">
        <v>1</v>
      </c>
      <c r="R11590" t="s">
        <v>44775</v>
      </c>
      <c r="S11590" t="s">
        <v>45343</v>
      </c>
      <c r="T11590" t="s">
        <v>46389</v>
      </c>
      <c r="U11590" t="s">
        <v>56462</v>
      </c>
      <c r="W11590" t="s">
        <v>40622</v>
      </c>
      <c r="X11590" t="s">
        <v>44802</v>
      </c>
    </row>
    <row r="11591" spans="1:24">
      <c r="A11591">
        <f>HYPERLINK("https://www.philgeps.gov.ph/GEPSNONPILOT/Tender/SplashBidNoticeAbstractUI.aspx?menuIndex=3&amp;refID=7094323&amp;Result=3","7094323")</f>
        <v>0</v>
      </c>
      <c r="B11591" t="s">
        <v>41</v>
      </c>
      <c r="C11591" t="s">
        <v>14775</v>
      </c>
      <c r="D11591" t="s">
        <v>17966</v>
      </c>
      <c r="E11591" t="s">
        <v>28055</v>
      </c>
      <c r="F11591" t="s">
        <v>30900</v>
      </c>
      <c r="G11591" t="s">
        <v>30907</v>
      </c>
      <c r="H11591" t="s">
        <v>30915</v>
      </c>
      <c r="I11591" t="s">
        <v>30919</v>
      </c>
      <c r="J11591" t="s">
        <v>38268</v>
      </c>
      <c r="K11591" t="s">
        <v>40354</v>
      </c>
      <c r="M11591" t="s">
        <v>40587</v>
      </c>
      <c r="N11591" t="s">
        <v>44759</v>
      </c>
      <c r="O11591" t="s">
        <v>44760</v>
      </c>
      <c r="P11591">
        <v>0</v>
      </c>
      <c r="Q11591">
        <v>2</v>
      </c>
      <c r="R11591" t="s">
        <v>44775</v>
      </c>
      <c r="S11591" t="s">
        <v>45343</v>
      </c>
      <c r="T11591" t="s">
        <v>46366</v>
      </c>
      <c r="U11591" t="s">
        <v>56463</v>
      </c>
      <c r="V11591" t="s">
        <v>59095</v>
      </c>
      <c r="W11591" t="s">
        <v>40587</v>
      </c>
      <c r="X11591" t="s">
        <v>44789</v>
      </c>
    </row>
    <row r="11592" spans="1:24">
      <c r="A11592">
        <f>HYPERLINK("https://www.philgeps.gov.ph/GEPSNONPILOT/Tender/SplashBidNoticeAbstractUI.aspx?menuIndex=3&amp;refID=7129520&amp;Result=3","7129520")</f>
        <v>0</v>
      </c>
      <c r="B11592" t="s">
        <v>3359</v>
      </c>
      <c r="C11592" t="s">
        <v>14776</v>
      </c>
      <c r="D11592" t="s">
        <v>18003</v>
      </c>
      <c r="E11592" t="s">
        <v>28056</v>
      </c>
      <c r="F11592" t="s">
        <v>30900</v>
      </c>
      <c r="G11592" t="s">
        <v>30907</v>
      </c>
      <c r="H11592" t="s">
        <v>30915</v>
      </c>
      <c r="I11592" t="s">
        <v>30919</v>
      </c>
      <c r="J11592" t="s">
        <v>38269</v>
      </c>
      <c r="K11592" t="s">
        <v>40487</v>
      </c>
      <c r="M11592" t="s">
        <v>44228</v>
      </c>
      <c r="N11592" t="s">
        <v>44759</v>
      </c>
      <c r="O11592" t="s">
        <v>44760</v>
      </c>
      <c r="P11592">
        <v>0</v>
      </c>
      <c r="Q11592">
        <v>5</v>
      </c>
      <c r="R11592" t="s">
        <v>44774</v>
      </c>
      <c r="S11592" t="s">
        <v>45266</v>
      </c>
      <c r="T11592" t="s">
        <v>46352</v>
      </c>
      <c r="U11592" t="s">
        <v>56445</v>
      </c>
      <c r="V11592" t="s">
        <v>60429</v>
      </c>
      <c r="W11592" t="s">
        <v>44228</v>
      </c>
      <c r="X11592" t="s">
        <v>44775</v>
      </c>
    </row>
    <row r="11593" spans="1:24">
      <c r="A11593">
        <f>HYPERLINK("https://www.philgeps.gov.ph/GEPSNONPILOT/Tender/SplashBidNoticeAbstractUI.aspx?menuIndex=3&amp;refID=7093397&amp;Result=3","7093397")</f>
        <v>0</v>
      </c>
      <c r="B11593" t="s">
        <v>3327</v>
      </c>
      <c r="C11593" t="s">
        <v>14777</v>
      </c>
      <c r="D11593" t="s">
        <v>18002</v>
      </c>
      <c r="E11593" t="s">
        <v>28057</v>
      </c>
      <c r="F11593" t="s">
        <v>30900</v>
      </c>
      <c r="G11593" t="s">
        <v>30907</v>
      </c>
      <c r="H11593" t="s">
        <v>30915</v>
      </c>
      <c r="I11593" t="s">
        <v>30919</v>
      </c>
      <c r="J11593" t="s">
        <v>38270</v>
      </c>
      <c r="K11593" t="s">
        <v>40371</v>
      </c>
      <c r="M11593" t="s">
        <v>44187</v>
      </c>
      <c r="N11593" t="s">
        <v>44759</v>
      </c>
      <c r="O11593" t="s">
        <v>44760</v>
      </c>
      <c r="Q11593">
        <v>0</v>
      </c>
      <c r="R11593" t="s">
        <v>44775</v>
      </c>
      <c r="S11593" t="s">
        <v>45349</v>
      </c>
      <c r="T11593" t="s">
        <v>46405</v>
      </c>
      <c r="U11593" t="s">
        <v>56464</v>
      </c>
      <c r="V11593" t="s">
        <v>60435</v>
      </c>
      <c r="W11593" t="s">
        <v>60925</v>
      </c>
      <c r="X11593" t="s">
        <v>44790</v>
      </c>
    </row>
    <row r="11594" spans="1:24">
      <c r="A11594">
        <f>HYPERLINK("https://www.philgeps.gov.ph/GEPSNONPILOT/Tender/SplashBidNoticeAbstractUI.aspx?menuIndex=3&amp;refID=7129534&amp;Result=3","7129534")</f>
        <v>0</v>
      </c>
      <c r="B11594" t="s">
        <v>3373</v>
      </c>
      <c r="C11594" t="s">
        <v>14778</v>
      </c>
      <c r="D11594" t="s">
        <v>17959</v>
      </c>
      <c r="E11594" t="s">
        <v>28058</v>
      </c>
      <c r="F11594" t="s">
        <v>30900</v>
      </c>
      <c r="G11594" t="s">
        <v>30907</v>
      </c>
      <c r="H11594" t="s">
        <v>30915</v>
      </c>
      <c r="I11594" t="s">
        <v>30919</v>
      </c>
      <c r="J11594" t="s">
        <v>38271</v>
      </c>
      <c r="K11594" t="s">
        <v>40301</v>
      </c>
      <c r="M11594" t="s">
        <v>44242</v>
      </c>
      <c r="N11594" t="s">
        <v>44759</v>
      </c>
      <c r="O11594" t="s">
        <v>44760</v>
      </c>
      <c r="Q11594">
        <v>13</v>
      </c>
      <c r="R11594" t="s">
        <v>44774</v>
      </c>
      <c r="S11594" t="s">
        <v>45350</v>
      </c>
      <c r="T11594" t="s">
        <v>46445</v>
      </c>
      <c r="U11594" t="s">
        <v>56465</v>
      </c>
      <c r="W11594" t="s">
        <v>44242</v>
      </c>
      <c r="X11594" t="s">
        <v>44775</v>
      </c>
    </row>
    <row r="11595" spans="1:24">
      <c r="A11595">
        <f>HYPERLINK("https://www.philgeps.gov.ph/GEPSNONPILOT/Tender/SplashBidNoticeAbstractUI.aspx?menuIndex=3&amp;refID=7074198&amp;Result=3","7074198")</f>
        <v>0</v>
      </c>
      <c r="B11595" t="s">
        <v>3094</v>
      </c>
      <c r="C11595" t="s">
        <v>14779</v>
      </c>
      <c r="D11595" t="s">
        <v>18004</v>
      </c>
      <c r="E11595" t="s">
        <v>28059</v>
      </c>
      <c r="F11595" t="s">
        <v>30900</v>
      </c>
      <c r="G11595" t="s">
        <v>30907</v>
      </c>
      <c r="H11595" t="s">
        <v>30916</v>
      </c>
      <c r="I11595" t="s">
        <v>30939</v>
      </c>
      <c r="J11595" t="s">
        <v>38272</v>
      </c>
      <c r="K11595" t="s">
        <v>40292</v>
      </c>
      <c r="M11595" t="s">
        <v>43906</v>
      </c>
      <c r="N11595" t="s">
        <v>44759</v>
      </c>
      <c r="O11595" t="s">
        <v>44760</v>
      </c>
      <c r="P11595">
        <v>0</v>
      </c>
      <c r="Q11595">
        <v>1</v>
      </c>
      <c r="R11595" t="s">
        <v>44775</v>
      </c>
      <c r="S11595" t="s">
        <v>45343</v>
      </c>
      <c r="T11595" t="s">
        <v>46376</v>
      </c>
      <c r="U11595" t="s">
        <v>56466</v>
      </c>
      <c r="W11595" t="s">
        <v>43906</v>
      </c>
      <c r="X11595" t="s">
        <v>44798</v>
      </c>
    </row>
    <row r="11596" spans="1:24">
      <c r="A11596">
        <f>HYPERLINK("https://www.philgeps.gov.ph/GEPSNONPILOT/Tender/SplashBidNoticeAbstractUI.aspx?menuIndex=3&amp;refID=7059563&amp;Result=3","7059563")</f>
        <v>0</v>
      </c>
      <c r="B11596" t="s">
        <v>75</v>
      </c>
      <c r="C11596" t="s">
        <v>14780</v>
      </c>
      <c r="D11596" t="s">
        <v>17985</v>
      </c>
      <c r="E11596" t="s">
        <v>28060</v>
      </c>
      <c r="F11596" t="s">
        <v>30900</v>
      </c>
      <c r="G11596" t="s">
        <v>30907</v>
      </c>
      <c r="H11596" t="s">
        <v>30915</v>
      </c>
      <c r="I11596" t="s">
        <v>30919</v>
      </c>
      <c r="J11596" t="s">
        <v>38273</v>
      </c>
      <c r="K11596" t="s">
        <v>40526</v>
      </c>
      <c r="M11596" t="s">
        <v>40622</v>
      </c>
      <c r="N11596" t="s">
        <v>44759</v>
      </c>
      <c r="O11596" t="s">
        <v>44760</v>
      </c>
      <c r="P11596">
        <v>0</v>
      </c>
      <c r="Q11596">
        <v>2</v>
      </c>
      <c r="R11596" t="s">
        <v>44775</v>
      </c>
      <c r="S11596" t="s">
        <v>45343</v>
      </c>
      <c r="T11596" t="s">
        <v>46389</v>
      </c>
      <c r="U11596" t="s">
        <v>56467</v>
      </c>
      <c r="W11596" t="s">
        <v>40622</v>
      </c>
      <c r="X11596" t="s">
        <v>44802</v>
      </c>
    </row>
    <row r="11597" spans="1:24">
      <c r="A11597">
        <f>HYPERLINK("https://www.philgeps.gov.ph/GEPSNONPILOT/Tender/SplashBidNoticeAbstractUI.aspx?menuIndex=3&amp;refID=7059579&amp;Result=3","7059579")</f>
        <v>0</v>
      </c>
      <c r="B11597" t="s">
        <v>75</v>
      </c>
      <c r="C11597" t="s">
        <v>14781</v>
      </c>
      <c r="D11597" t="s">
        <v>17985</v>
      </c>
      <c r="E11597" t="s">
        <v>28061</v>
      </c>
      <c r="F11597" t="s">
        <v>30900</v>
      </c>
      <c r="G11597" t="s">
        <v>30907</v>
      </c>
      <c r="H11597" t="s">
        <v>30915</v>
      </c>
      <c r="I11597" t="s">
        <v>30919</v>
      </c>
      <c r="J11597" t="s">
        <v>38274</v>
      </c>
      <c r="K11597" t="s">
        <v>40448</v>
      </c>
      <c r="M11597" t="s">
        <v>40622</v>
      </c>
      <c r="N11597" t="s">
        <v>44759</v>
      </c>
      <c r="O11597" t="s">
        <v>44760</v>
      </c>
      <c r="P11597">
        <v>0</v>
      </c>
      <c r="Q11597">
        <v>1</v>
      </c>
      <c r="R11597" t="s">
        <v>44775</v>
      </c>
      <c r="S11597" t="s">
        <v>45343</v>
      </c>
      <c r="T11597" t="s">
        <v>46389</v>
      </c>
      <c r="U11597" t="s">
        <v>56468</v>
      </c>
      <c r="W11597" t="s">
        <v>40622</v>
      </c>
      <c r="X11597" t="s">
        <v>44802</v>
      </c>
    </row>
    <row r="11598" spans="1:24">
      <c r="A11598">
        <f>HYPERLINK("https://www.philgeps.gov.ph/GEPSNONPILOT/Tender/SplashBidNoticeAbstractUI.aspx?menuIndex=3&amp;refID=7059570&amp;Result=3","7059570")</f>
        <v>0</v>
      </c>
      <c r="B11598" t="s">
        <v>75</v>
      </c>
      <c r="C11598" t="s">
        <v>14782</v>
      </c>
      <c r="D11598" t="s">
        <v>17985</v>
      </c>
      <c r="E11598" t="s">
        <v>28062</v>
      </c>
      <c r="F11598" t="s">
        <v>30900</v>
      </c>
      <c r="G11598" t="s">
        <v>30907</v>
      </c>
      <c r="H11598" t="s">
        <v>30915</v>
      </c>
      <c r="I11598" t="s">
        <v>30919</v>
      </c>
      <c r="J11598" t="s">
        <v>38275</v>
      </c>
      <c r="K11598" t="s">
        <v>40501</v>
      </c>
      <c r="M11598" t="s">
        <v>40622</v>
      </c>
      <c r="N11598" t="s">
        <v>44759</v>
      </c>
      <c r="O11598" t="s">
        <v>44760</v>
      </c>
      <c r="P11598">
        <v>0</v>
      </c>
      <c r="Q11598">
        <v>4</v>
      </c>
      <c r="R11598" t="s">
        <v>44775</v>
      </c>
      <c r="S11598" t="s">
        <v>45343</v>
      </c>
      <c r="T11598" t="s">
        <v>46389</v>
      </c>
      <c r="U11598" t="s">
        <v>56469</v>
      </c>
      <c r="W11598" t="s">
        <v>40622</v>
      </c>
      <c r="X11598" t="s">
        <v>44802</v>
      </c>
    </row>
    <row r="11599" spans="1:24">
      <c r="A11599">
        <f>HYPERLINK("https://www.philgeps.gov.ph/GEPSNONPILOT/Tender/SplashBidNoticeAbstractUI.aspx?menuIndex=3&amp;refID=7059609&amp;Result=3","7059609")</f>
        <v>0</v>
      </c>
      <c r="B11599" t="s">
        <v>75</v>
      </c>
      <c r="C11599" t="s">
        <v>14783</v>
      </c>
      <c r="D11599" t="s">
        <v>17985</v>
      </c>
      <c r="E11599" t="s">
        <v>28063</v>
      </c>
      <c r="F11599" t="s">
        <v>30900</v>
      </c>
      <c r="G11599" t="s">
        <v>30907</v>
      </c>
      <c r="H11599" t="s">
        <v>30915</v>
      </c>
      <c r="I11599" t="s">
        <v>30919</v>
      </c>
      <c r="J11599" t="s">
        <v>38276</v>
      </c>
      <c r="K11599" t="s">
        <v>40499</v>
      </c>
      <c r="M11599" t="s">
        <v>40622</v>
      </c>
      <c r="N11599" t="s">
        <v>44759</v>
      </c>
      <c r="O11599" t="s">
        <v>44760</v>
      </c>
      <c r="P11599">
        <v>0</v>
      </c>
      <c r="Q11599">
        <v>2</v>
      </c>
      <c r="R11599" t="s">
        <v>44775</v>
      </c>
      <c r="S11599" t="s">
        <v>45343</v>
      </c>
      <c r="T11599" t="s">
        <v>46389</v>
      </c>
      <c r="U11599" t="s">
        <v>56470</v>
      </c>
      <c r="W11599" t="s">
        <v>40622</v>
      </c>
      <c r="X11599" t="s">
        <v>44802</v>
      </c>
    </row>
    <row r="11600" spans="1:24">
      <c r="A11600">
        <f>HYPERLINK("https://www.philgeps.gov.ph/GEPSNONPILOT/Tender/SplashBidNoticeAbstractUI.aspx?menuIndex=3&amp;refID=7129493&amp;Result=3","7129493")</f>
        <v>0</v>
      </c>
      <c r="B11600" t="s">
        <v>1119</v>
      </c>
      <c r="C11600" t="s">
        <v>14784</v>
      </c>
      <c r="D11600" t="s">
        <v>18038</v>
      </c>
      <c r="E11600" t="s">
        <v>28064</v>
      </c>
      <c r="F11600" t="s">
        <v>30900</v>
      </c>
      <c r="G11600" t="s">
        <v>30907</v>
      </c>
      <c r="H11600" t="s">
        <v>30916</v>
      </c>
      <c r="I11600" t="s">
        <v>7708</v>
      </c>
      <c r="J11600" t="s">
        <v>38277</v>
      </c>
      <c r="K11600" t="s">
        <v>40280</v>
      </c>
      <c r="M11600" t="s">
        <v>42602</v>
      </c>
      <c r="N11600" t="s">
        <v>44759</v>
      </c>
      <c r="O11600" t="s">
        <v>44760</v>
      </c>
      <c r="P11600">
        <v>0</v>
      </c>
      <c r="Q11600">
        <v>6</v>
      </c>
      <c r="R11600" t="s">
        <v>44774</v>
      </c>
      <c r="S11600" t="s">
        <v>45266</v>
      </c>
      <c r="T11600" t="s">
        <v>46370</v>
      </c>
      <c r="U11600" t="s">
        <v>56430</v>
      </c>
      <c r="V11600" t="s">
        <v>59685</v>
      </c>
      <c r="W11600" t="s">
        <v>42602</v>
      </c>
      <c r="X11600" t="s">
        <v>44775</v>
      </c>
    </row>
    <row r="11601" spans="1:24">
      <c r="A11601">
        <f>HYPERLINK("https://www.philgeps.gov.ph/GEPSNONPILOT/Tender/SplashBidNoticeAbstractUI.aspx?menuIndex=3&amp;refID=7129491&amp;Result=3","7129491")</f>
        <v>0</v>
      </c>
      <c r="B11601" t="s">
        <v>322</v>
      </c>
      <c r="C11601" t="s">
        <v>14785</v>
      </c>
      <c r="D11601" t="s">
        <v>17959</v>
      </c>
      <c r="E11601" t="s">
        <v>28065</v>
      </c>
      <c r="F11601" t="s">
        <v>30900</v>
      </c>
      <c r="G11601" t="s">
        <v>30907</v>
      </c>
      <c r="H11601" t="s">
        <v>30916</v>
      </c>
      <c r="I11601" t="s">
        <v>30924</v>
      </c>
      <c r="J11601" t="s">
        <v>38278</v>
      </c>
      <c r="K11601" t="s">
        <v>40397</v>
      </c>
      <c r="M11601" t="s">
        <v>44248</v>
      </c>
      <c r="N11601" t="s">
        <v>44759</v>
      </c>
      <c r="O11601" t="s">
        <v>44760</v>
      </c>
      <c r="Q11601">
        <v>11</v>
      </c>
      <c r="R11601" t="s">
        <v>44774</v>
      </c>
      <c r="S11601" t="s">
        <v>45351</v>
      </c>
      <c r="T11601" t="s">
        <v>46488</v>
      </c>
      <c r="U11601" t="s">
        <v>56471</v>
      </c>
      <c r="V11601" t="s">
        <v>60436</v>
      </c>
      <c r="W11601" t="s">
        <v>44248</v>
      </c>
      <c r="X11601" t="s">
        <v>44775</v>
      </c>
    </row>
    <row r="11602" spans="1:24">
      <c r="A11602">
        <f>HYPERLINK("https://www.philgeps.gov.ph/GEPSNONPILOT/Tender/SplashBidNoticeAbstractUI.aspx?menuIndex=3&amp;refID=7059595&amp;Result=3","7059595")</f>
        <v>0</v>
      </c>
      <c r="B11602" t="s">
        <v>75</v>
      </c>
      <c r="C11602" t="s">
        <v>14786</v>
      </c>
      <c r="D11602" t="s">
        <v>17985</v>
      </c>
      <c r="E11602" t="s">
        <v>28066</v>
      </c>
      <c r="F11602" t="s">
        <v>30900</v>
      </c>
      <c r="G11602" t="s">
        <v>30907</v>
      </c>
      <c r="H11602" t="s">
        <v>30915</v>
      </c>
      <c r="I11602" t="s">
        <v>30919</v>
      </c>
      <c r="J11602" t="s">
        <v>38279</v>
      </c>
      <c r="K11602" t="s">
        <v>40527</v>
      </c>
      <c r="M11602" t="s">
        <v>40622</v>
      </c>
      <c r="N11602" t="s">
        <v>44759</v>
      </c>
      <c r="O11602" t="s">
        <v>44760</v>
      </c>
      <c r="P11602">
        <v>0</v>
      </c>
      <c r="Q11602">
        <v>1</v>
      </c>
      <c r="R11602" t="s">
        <v>44775</v>
      </c>
      <c r="S11602" t="s">
        <v>45343</v>
      </c>
      <c r="T11602" t="s">
        <v>46389</v>
      </c>
      <c r="U11602" t="s">
        <v>56472</v>
      </c>
      <c r="W11602" t="s">
        <v>40622</v>
      </c>
      <c r="X11602" t="s">
        <v>44802</v>
      </c>
    </row>
    <row r="11603" spans="1:24">
      <c r="A11603">
        <f>HYPERLINK("https://www.philgeps.gov.ph/GEPSNONPILOT/Tender/SplashBidNoticeAbstractUI.aspx?menuIndex=3&amp;refID=7059588&amp;Result=3","7059588")</f>
        <v>0</v>
      </c>
      <c r="B11603" t="s">
        <v>75</v>
      </c>
      <c r="C11603" t="s">
        <v>14787</v>
      </c>
      <c r="D11603" t="s">
        <v>17985</v>
      </c>
      <c r="E11603" t="s">
        <v>28067</v>
      </c>
      <c r="F11603" t="s">
        <v>30900</v>
      </c>
      <c r="G11603" t="s">
        <v>30907</v>
      </c>
      <c r="H11603" t="s">
        <v>30915</v>
      </c>
      <c r="I11603" t="s">
        <v>30919</v>
      </c>
      <c r="J11603" t="s">
        <v>38280</v>
      </c>
      <c r="K11603" t="s">
        <v>40528</v>
      </c>
      <c r="M11603" t="s">
        <v>40622</v>
      </c>
      <c r="N11603" t="s">
        <v>44759</v>
      </c>
      <c r="O11603" t="s">
        <v>44760</v>
      </c>
      <c r="P11603">
        <v>0</v>
      </c>
      <c r="Q11603">
        <v>2</v>
      </c>
      <c r="R11603" t="s">
        <v>44775</v>
      </c>
      <c r="S11603" t="s">
        <v>45343</v>
      </c>
      <c r="T11603" t="s">
        <v>46389</v>
      </c>
      <c r="U11603" t="s">
        <v>56473</v>
      </c>
      <c r="W11603" t="s">
        <v>40622</v>
      </c>
      <c r="X11603" t="s">
        <v>44802</v>
      </c>
    </row>
    <row r="11604" spans="1:24">
      <c r="A11604">
        <f>HYPERLINK("https://www.philgeps.gov.ph/GEPSNONPILOT/Tender/SplashBidNoticeAbstractUI.aspx?menuIndex=3&amp;refID=7117519&amp;Result=3","7117519")</f>
        <v>0</v>
      </c>
      <c r="B11604" t="s">
        <v>1606</v>
      </c>
      <c r="C11604" t="s">
        <v>14788</v>
      </c>
      <c r="D11604" t="s">
        <v>17984</v>
      </c>
      <c r="E11604" t="s">
        <v>28068</v>
      </c>
      <c r="F11604" t="s">
        <v>30900</v>
      </c>
      <c r="G11604" t="s">
        <v>30907</v>
      </c>
      <c r="H11604" t="s">
        <v>30916</v>
      </c>
      <c r="I11604" t="s">
        <v>4061</v>
      </c>
      <c r="J11604" t="s">
        <v>33735</v>
      </c>
      <c r="K11604" t="s">
        <v>40286</v>
      </c>
      <c r="M11604" t="s">
        <v>42256</v>
      </c>
      <c r="N11604" t="s">
        <v>44759</v>
      </c>
      <c r="O11604" t="s">
        <v>44760</v>
      </c>
      <c r="P11604">
        <v>0</v>
      </c>
      <c r="Q11604">
        <v>6</v>
      </c>
      <c r="R11604" t="s">
        <v>44775</v>
      </c>
      <c r="S11604" t="s">
        <v>45343</v>
      </c>
      <c r="T11604" t="s">
        <v>46389</v>
      </c>
      <c r="U11604" t="s">
        <v>56474</v>
      </c>
      <c r="W11604" t="s">
        <v>42256</v>
      </c>
      <c r="X11604" t="s">
        <v>44780</v>
      </c>
    </row>
    <row r="11605" spans="1:24">
      <c r="A11605">
        <f>HYPERLINK("https://www.philgeps.gov.ph/GEPSNONPILOT/Tender/SplashBidNoticeAbstractUI.aspx?menuIndex=3&amp;refID=7129518&amp;Result=3","7129518")</f>
        <v>0</v>
      </c>
      <c r="B11605" t="s">
        <v>3374</v>
      </c>
      <c r="C11605" t="s">
        <v>14789</v>
      </c>
      <c r="E11605" t="s">
        <v>28069</v>
      </c>
      <c r="F11605" t="s">
        <v>30900</v>
      </c>
      <c r="G11605" t="s">
        <v>30907</v>
      </c>
      <c r="H11605" t="s">
        <v>30916</v>
      </c>
      <c r="I11605" t="s">
        <v>30943</v>
      </c>
      <c r="J11605" t="s">
        <v>32324</v>
      </c>
      <c r="K11605" t="s">
        <v>40289</v>
      </c>
      <c r="M11605" t="s">
        <v>44243</v>
      </c>
      <c r="N11605" t="s">
        <v>44759</v>
      </c>
      <c r="O11605" t="s">
        <v>44760</v>
      </c>
      <c r="Q11605">
        <v>15</v>
      </c>
      <c r="R11605" t="s">
        <v>44774</v>
      </c>
      <c r="S11605" t="s">
        <v>45352</v>
      </c>
      <c r="T11605" t="s">
        <v>46409</v>
      </c>
      <c r="U11605" t="s">
        <v>56475</v>
      </c>
      <c r="V11605" t="s">
        <v>60437</v>
      </c>
      <c r="W11605" t="s">
        <v>44243</v>
      </c>
      <c r="X11605" t="s">
        <v>44775</v>
      </c>
    </row>
    <row r="11606" spans="1:24">
      <c r="A11606">
        <f>HYPERLINK("https://www.philgeps.gov.ph/GEPSNONPILOT/Tender/SplashBidNoticeAbstractUI.aspx?menuIndex=3&amp;refID=7117184&amp;Result=3","7117184")</f>
        <v>0</v>
      </c>
      <c r="B11606" t="s">
        <v>1321</v>
      </c>
      <c r="C11606" t="s">
        <v>14790</v>
      </c>
      <c r="D11606" t="s">
        <v>17976</v>
      </c>
      <c r="E11606" t="s">
        <v>28070</v>
      </c>
      <c r="F11606" t="s">
        <v>30900</v>
      </c>
      <c r="G11606" t="s">
        <v>30907</v>
      </c>
      <c r="H11606" t="s">
        <v>30915</v>
      </c>
      <c r="I11606" t="s">
        <v>30919</v>
      </c>
      <c r="J11606" t="s">
        <v>31152</v>
      </c>
      <c r="K11606" t="s">
        <v>40304</v>
      </c>
      <c r="M11606" t="s">
        <v>41940</v>
      </c>
      <c r="N11606" t="s">
        <v>44759</v>
      </c>
      <c r="O11606" t="s">
        <v>44760</v>
      </c>
      <c r="P11606">
        <v>0</v>
      </c>
      <c r="Q11606">
        <v>1</v>
      </c>
      <c r="R11606" t="s">
        <v>44775</v>
      </c>
      <c r="S11606" t="s">
        <v>45343</v>
      </c>
      <c r="T11606" t="s">
        <v>46369</v>
      </c>
      <c r="U11606" t="s">
        <v>56476</v>
      </c>
      <c r="W11606" t="s">
        <v>41940</v>
      </c>
      <c r="X11606" t="s">
        <v>44780</v>
      </c>
    </row>
    <row r="11607" spans="1:24">
      <c r="A11607">
        <f>HYPERLINK("https://www.philgeps.gov.ph/GEPSNONPILOT/Tender/SplashBidNoticeAbstractUI.aspx?menuIndex=3&amp;refID=7116900&amp;Result=3","7116900")</f>
        <v>0</v>
      </c>
      <c r="B11607" t="s">
        <v>1026</v>
      </c>
      <c r="C11607" t="s">
        <v>14791</v>
      </c>
      <c r="D11607" t="s">
        <v>17952</v>
      </c>
      <c r="E11607" t="s">
        <v>28071</v>
      </c>
      <c r="F11607" t="s">
        <v>30900</v>
      </c>
      <c r="G11607" t="s">
        <v>30907</v>
      </c>
      <c r="H11607" t="s">
        <v>30915</v>
      </c>
      <c r="I11607" t="s">
        <v>30919</v>
      </c>
      <c r="J11607" t="s">
        <v>32324</v>
      </c>
      <c r="K11607" t="s">
        <v>40292</v>
      </c>
      <c r="M11607" t="s">
        <v>41616</v>
      </c>
      <c r="N11607" t="s">
        <v>44759</v>
      </c>
      <c r="O11607" t="s">
        <v>44760</v>
      </c>
      <c r="P11607">
        <v>0</v>
      </c>
      <c r="Q11607">
        <v>3</v>
      </c>
      <c r="R11607" t="s">
        <v>44775</v>
      </c>
      <c r="S11607" t="s">
        <v>45343</v>
      </c>
      <c r="T11607" t="s">
        <v>46425</v>
      </c>
      <c r="U11607" t="s">
        <v>56477</v>
      </c>
      <c r="W11607" t="s">
        <v>41616</v>
      </c>
      <c r="X11607" t="s">
        <v>44780</v>
      </c>
    </row>
    <row r="11608" spans="1:24">
      <c r="A11608">
        <f>HYPERLINK("https://www.philgeps.gov.ph/GEPSNONPILOT/Tender/SplashBidNoticeAbstractUI.aspx?menuIndex=3&amp;refID=7116541&amp;Result=3","7116541")</f>
        <v>0</v>
      </c>
      <c r="B11608" t="s">
        <v>264</v>
      </c>
      <c r="C11608" t="s">
        <v>14792</v>
      </c>
      <c r="D11608" t="s">
        <v>17997</v>
      </c>
      <c r="E11608" t="s">
        <v>28072</v>
      </c>
      <c r="F11608" t="s">
        <v>30900</v>
      </c>
      <c r="G11608" t="s">
        <v>30907</v>
      </c>
      <c r="H11608" t="s">
        <v>30916</v>
      </c>
      <c r="I11608" t="s">
        <v>8123</v>
      </c>
      <c r="J11608" t="s">
        <v>38281</v>
      </c>
      <c r="K11608" t="s">
        <v>40291</v>
      </c>
      <c r="M11608" t="s">
        <v>40811</v>
      </c>
      <c r="N11608" t="s">
        <v>44759</v>
      </c>
      <c r="O11608" t="s">
        <v>44760</v>
      </c>
      <c r="P11608">
        <v>0</v>
      </c>
      <c r="Q11608">
        <v>0</v>
      </c>
      <c r="R11608" t="s">
        <v>44775</v>
      </c>
      <c r="S11608" t="s">
        <v>45343</v>
      </c>
      <c r="T11608" t="s">
        <v>46487</v>
      </c>
      <c r="U11608" t="s">
        <v>56478</v>
      </c>
      <c r="W11608" t="s">
        <v>40811</v>
      </c>
      <c r="X11608" t="s">
        <v>44780</v>
      </c>
    </row>
    <row r="11609" spans="1:24">
      <c r="A11609">
        <f>HYPERLINK("https://www.philgeps.gov.ph/GEPSNONPILOT/Tender/SplashBidNoticeAbstractUI.aspx?menuIndex=3&amp;refID=7116412&amp;Result=3","7116412")</f>
        <v>0</v>
      </c>
      <c r="B11609" t="s">
        <v>1558</v>
      </c>
      <c r="C11609" t="s">
        <v>14793</v>
      </c>
      <c r="D11609" t="s">
        <v>17996</v>
      </c>
      <c r="E11609" t="s">
        <v>28073</v>
      </c>
      <c r="F11609" t="s">
        <v>30900</v>
      </c>
      <c r="G11609" t="s">
        <v>30907</v>
      </c>
      <c r="H11609" t="s">
        <v>30916</v>
      </c>
      <c r="I11609" t="s">
        <v>4965</v>
      </c>
      <c r="J11609" t="s">
        <v>33171</v>
      </c>
      <c r="K11609" t="s">
        <v>40286</v>
      </c>
      <c r="M11609" t="s">
        <v>42204</v>
      </c>
      <c r="N11609" t="s">
        <v>44759</v>
      </c>
      <c r="O11609" t="s">
        <v>44760</v>
      </c>
      <c r="P11609">
        <v>0</v>
      </c>
      <c r="Q11609">
        <v>1</v>
      </c>
      <c r="R11609" t="s">
        <v>44775</v>
      </c>
      <c r="S11609" t="s">
        <v>45343</v>
      </c>
      <c r="T11609" t="s">
        <v>46352</v>
      </c>
      <c r="U11609" t="s">
        <v>56479</v>
      </c>
      <c r="W11609" t="s">
        <v>42204</v>
      </c>
      <c r="X11609" t="s">
        <v>44780</v>
      </c>
    </row>
    <row r="11610" spans="1:24">
      <c r="A11610">
        <f>HYPERLINK("https://www.philgeps.gov.ph/GEPSNONPILOT/Tender/SplashBidNoticeAbstractUI.aspx?menuIndex=3&amp;refID=7114281&amp;Result=3","7114281")</f>
        <v>0</v>
      </c>
      <c r="B11610" t="s">
        <v>1438</v>
      </c>
      <c r="C11610" t="s">
        <v>14794</v>
      </c>
      <c r="D11610" t="s">
        <v>18019</v>
      </c>
      <c r="E11610" t="s">
        <v>28074</v>
      </c>
      <c r="F11610" t="s">
        <v>30900</v>
      </c>
      <c r="G11610" t="s">
        <v>30907</v>
      </c>
      <c r="H11610" t="s">
        <v>30915</v>
      </c>
      <c r="I11610" t="s">
        <v>30919</v>
      </c>
      <c r="J11610" t="s">
        <v>38282</v>
      </c>
      <c r="K11610" t="s">
        <v>40500</v>
      </c>
      <c r="M11610" t="s">
        <v>42070</v>
      </c>
      <c r="N11610" t="s">
        <v>44759</v>
      </c>
      <c r="O11610" t="s">
        <v>44760</v>
      </c>
      <c r="P11610">
        <v>0</v>
      </c>
      <c r="Q11610">
        <v>6</v>
      </c>
      <c r="R11610" t="s">
        <v>44775</v>
      </c>
      <c r="S11610" t="s">
        <v>45343</v>
      </c>
      <c r="T11610" t="s">
        <v>46399</v>
      </c>
      <c r="U11610" t="s">
        <v>56480</v>
      </c>
      <c r="W11610" t="s">
        <v>42070</v>
      </c>
      <c r="X11610" t="s">
        <v>44781</v>
      </c>
    </row>
    <row r="11611" spans="1:24">
      <c r="A11611">
        <f>HYPERLINK("https://www.philgeps.gov.ph/GEPSNONPILOT/Tender/SplashBidNoticeAbstractUI.aspx?menuIndex=3&amp;refID=7113489&amp;Result=3","7113489")</f>
        <v>0</v>
      </c>
      <c r="B11611" t="s">
        <v>264</v>
      </c>
      <c r="C11611" t="s">
        <v>14795</v>
      </c>
      <c r="D11611" t="s">
        <v>17997</v>
      </c>
      <c r="E11611" t="s">
        <v>28075</v>
      </c>
      <c r="F11611" t="s">
        <v>30900</v>
      </c>
      <c r="G11611" t="s">
        <v>30907</v>
      </c>
      <c r="H11611" t="s">
        <v>30916</v>
      </c>
      <c r="I11611" t="s">
        <v>8123</v>
      </c>
      <c r="J11611" t="s">
        <v>38283</v>
      </c>
      <c r="K11611" t="s">
        <v>40291</v>
      </c>
      <c r="M11611" t="s">
        <v>40811</v>
      </c>
      <c r="N11611" t="s">
        <v>44759</v>
      </c>
      <c r="O11611" t="s">
        <v>44760</v>
      </c>
      <c r="P11611">
        <v>0</v>
      </c>
      <c r="Q11611">
        <v>0</v>
      </c>
      <c r="R11611" t="s">
        <v>44775</v>
      </c>
      <c r="S11611" t="s">
        <v>45343</v>
      </c>
      <c r="T11611" t="s">
        <v>46487</v>
      </c>
      <c r="U11611" t="s">
        <v>56481</v>
      </c>
      <c r="W11611" t="s">
        <v>40811</v>
      </c>
      <c r="X11611" t="s">
        <v>44781</v>
      </c>
    </row>
    <row r="11612" spans="1:24">
      <c r="A11612">
        <f>HYPERLINK("https://www.philgeps.gov.ph/GEPSNONPILOT/Tender/SplashBidNoticeAbstractUI.aspx?menuIndex=3&amp;refID=7114324&amp;Result=3","7114324")</f>
        <v>0</v>
      </c>
      <c r="B11612" t="s">
        <v>1438</v>
      </c>
      <c r="C11612" t="s">
        <v>14796</v>
      </c>
      <c r="D11612" t="s">
        <v>18019</v>
      </c>
      <c r="E11612" t="s">
        <v>28076</v>
      </c>
      <c r="F11612" t="s">
        <v>30900</v>
      </c>
      <c r="G11612" t="s">
        <v>30907</v>
      </c>
      <c r="H11612" t="s">
        <v>30915</v>
      </c>
      <c r="I11612" t="s">
        <v>30919</v>
      </c>
      <c r="J11612" t="s">
        <v>38284</v>
      </c>
      <c r="K11612" t="s">
        <v>40529</v>
      </c>
      <c r="M11612" t="s">
        <v>42070</v>
      </c>
      <c r="N11612" t="s">
        <v>44759</v>
      </c>
      <c r="O11612" t="s">
        <v>44760</v>
      </c>
      <c r="P11612">
        <v>0</v>
      </c>
      <c r="Q11612">
        <v>5</v>
      </c>
      <c r="R11612" t="s">
        <v>44775</v>
      </c>
      <c r="S11612" t="s">
        <v>45343</v>
      </c>
      <c r="T11612" t="s">
        <v>46399</v>
      </c>
      <c r="U11612" t="s">
        <v>56482</v>
      </c>
      <c r="W11612" t="s">
        <v>42070</v>
      </c>
      <c r="X11612" t="s">
        <v>44781</v>
      </c>
    </row>
    <row r="11613" spans="1:24">
      <c r="A11613">
        <f>HYPERLINK("https://www.philgeps.gov.ph/GEPSNONPILOT/Tender/SplashBidNoticeAbstractUI.aspx?menuIndex=3&amp;refID=7109758&amp;Result=3","7109758")</f>
        <v>0</v>
      </c>
      <c r="B11613" t="s">
        <v>1661</v>
      </c>
      <c r="C11613" t="s">
        <v>14797</v>
      </c>
      <c r="D11613" t="s">
        <v>18019</v>
      </c>
      <c r="E11613" t="s">
        <v>28077</v>
      </c>
      <c r="F11613" t="s">
        <v>30900</v>
      </c>
      <c r="G11613" t="s">
        <v>30907</v>
      </c>
      <c r="H11613" t="s">
        <v>30915</v>
      </c>
      <c r="I11613" t="s">
        <v>30919</v>
      </c>
      <c r="J11613" t="s">
        <v>38285</v>
      </c>
      <c r="K11613" t="s">
        <v>40280</v>
      </c>
      <c r="L11613" t="s">
        <v>1661</v>
      </c>
      <c r="M11613" t="s">
        <v>42318</v>
      </c>
      <c r="N11613" t="s">
        <v>44759</v>
      </c>
      <c r="O11613" t="s">
        <v>44760</v>
      </c>
      <c r="P11613">
        <v>0</v>
      </c>
      <c r="Q11613">
        <v>1</v>
      </c>
      <c r="R11613" t="s">
        <v>44775</v>
      </c>
      <c r="S11613" t="s">
        <v>45343</v>
      </c>
      <c r="T11613" t="s">
        <v>46399</v>
      </c>
      <c r="U11613" t="s">
        <v>56483</v>
      </c>
      <c r="W11613" t="s">
        <v>42318</v>
      </c>
      <c r="X11613" t="s">
        <v>44783</v>
      </c>
    </row>
    <row r="11614" spans="1:24">
      <c r="A11614">
        <f>HYPERLINK("https://www.philgeps.gov.ph/GEPSNONPILOT/Tender/SplashBidNoticeAbstractUI.aspx?menuIndex=3&amp;refID=7113361&amp;Result=3","7113361")</f>
        <v>0</v>
      </c>
      <c r="B11614" t="s">
        <v>264</v>
      </c>
      <c r="C11614" t="s">
        <v>14798</v>
      </c>
      <c r="D11614" t="s">
        <v>17997</v>
      </c>
      <c r="E11614" t="s">
        <v>28078</v>
      </c>
      <c r="F11614" t="s">
        <v>30900</v>
      </c>
      <c r="G11614" t="s">
        <v>30907</v>
      </c>
      <c r="H11614" t="s">
        <v>30916</v>
      </c>
      <c r="I11614" t="s">
        <v>8123</v>
      </c>
      <c r="J11614" t="s">
        <v>38286</v>
      </c>
      <c r="K11614" t="s">
        <v>40291</v>
      </c>
      <c r="M11614" t="s">
        <v>40811</v>
      </c>
      <c r="N11614" t="s">
        <v>44759</v>
      </c>
      <c r="O11614" t="s">
        <v>44760</v>
      </c>
      <c r="P11614">
        <v>0</v>
      </c>
      <c r="Q11614">
        <v>0</v>
      </c>
      <c r="R11614" t="s">
        <v>44775</v>
      </c>
      <c r="S11614" t="s">
        <v>45343</v>
      </c>
      <c r="T11614" t="s">
        <v>46487</v>
      </c>
      <c r="U11614" t="s">
        <v>56484</v>
      </c>
      <c r="W11614" t="s">
        <v>40811</v>
      </c>
      <c r="X11614" t="s">
        <v>44781</v>
      </c>
    </row>
    <row r="11615" spans="1:24">
      <c r="A11615">
        <f>HYPERLINK("https://www.philgeps.gov.ph/GEPSNONPILOT/Tender/SplashBidNoticeAbstractUI.aspx?menuIndex=3&amp;refID=7059615&amp;Result=3","7059615")</f>
        <v>0</v>
      </c>
      <c r="B11615" t="s">
        <v>75</v>
      </c>
      <c r="C11615" t="s">
        <v>14799</v>
      </c>
      <c r="D11615" t="s">
        <v>17985</v>
      </c>
      <c r="E11615" t="s">
        <v>28079</v>
      </c>
      <c r="F11615" t="s">
        <v>30900</v>
      </c>
      <c r="G11615" t="s">
        <v>30907</v>
      </c>
      <c r="H11615" t="s">
        <v>30915</v>
      </c>
      <c r="I11615" t="s">
        <v>30919</v>
      </c>
      <c r="J11615" t="s">
        <v>38287</v>
      </c>
      <c r="K11615" t="s">
        <v>40300</v>
      </c>
      <c r="M11615" t="s">
        <v>40622</v>
      </c>
      <c r="N11615" t="s">
        <v>44759</v>
      </c>
      <c r="O11615" t="s">
        <v>44760</v>
      </c>
      <c r="P11615">
        <v>0</v>
      </c>
      <c r="Q11615">
        <v>2</v>
      </c>
      <c r="R11615" t="s">
        <v>44775</v>
      </c>
      <c r="S11615" t="s">
        <v>45343</v>
      </c>
      <c r="T11615" t="s">
        <v>46389</v>
      </c>
      <c r="U11615" t="s">
        <v>56485</v>
      </c>
      <c r="W11615" t="s">
        <v>40622</v>
      </c>
      <c r="X11615" t="s">
        <v>44802</v>
      </c>
    </row>
    <row r="11616" spans="1:24">
      <c r="A11616">
        <f>HYPERLINK("https://www.philgeps.gov.ph/GEPSNONPILOT/Tender/SplashBidNoticeAbstractUI.aspx?menuIndex=3&amp;refID=7116585&amp;Result=3","7116585")</f>
        <v>0</v>
      </c>
      <c r="B11616" t="s">
        <v>1026</v>
      </c>
      <c r="C11616" t="s">
        <v>14800</v>
      </c>
      <c r="D11616" t="s">
        <v>17952</v>
      </c>
      <c r="E11616" t="s">
        <v>28080</v>
      </c>
      <c r="F11616" t="s">
        <v>30900</v>
      </c>
      <c r="G11616" t="s">
        <v>30907</v>
      </c>
      <c r="H11616" t="s">
        <v>30915</v>
      </c>
      <c r="I11616" t="s">
        <v>30919</v>
      </c>
      <c r="J11616" t="s">
        <v>31152</v>
      </c>
      <c r="K11616" t="s">
        <v>40280</v>
      </c>
      <c r="M11616" t="s">
        <v>41616</v>
      </c>
      <c r="N11616" t="s">
        <v>44759</v>
      </c>
      <c r="O11616" t="s">
        <v>44760</v>
      </c>
      <c r="P11616">
        <v>0</v>
      </c>
      <c r="Q11616">
        <v>3</v>
      </c>
      <c r="R11616" t="s">
        <v>44775</v>
      </c>
      <c r="S11616" t="s">
        <v>45343</v>
      </c>
      <c r="T11616" t="s">
        <v>46425</v>
      </c>
      <c r="U11616" t="s">
        <v>56486</v>
      </c>
      <c r="W11616" t="s">
        <v>41616</v>
      </c>
      <c r="X11616" t="s">
        <v>44780</v>
      </c>
    </row>
    <row r="11617" spans="1:24">
      <c r="A11617">
        <f>HYPERLINK("https://www.philgeps.gov.ph/GEPSNONPILOT/Tender/SplashBidNoticeAbstractUI.aspx?menuIndex=3&amp;refID=7115639&amp;Result=3","7115639")</f>
        <v>0</v>
      </c>
      <c r="B11617" t="s">
        <v>3377</v>
      </c>
      <c r="C11617" t="s">
        <v>14801</v>
      </c>
      <c r="E11617" t="s">
        <v>18169</v>
      </c>
      <c r="F11617" t="s">
        <v>30900</v>
      </c>
      <c r="G11617" t="s">
        <v>30907</v>
      </c>
      <c r="H11617" t="s">
        <v>30915</v>
      </c>
      <c r="I11617" t="s">
        <v>30919</v>
      </c>
      <c r="J11617" t="s">
        <v>38288</v>
      </c>
      <c r="K11617" t="s">
        <v>40441</v>
      </c>
      <c r="M11617" t="s">
        <v>44249</v>
      </c>
      <c r="N11617" t="s">
        <v>44759</v>
      </c>
      <c r="O11617" t="s">
        <v>44760</v>
      </c>
      <c r="P11617">
        <v>0</v>
      </c>
      <c r="Q11617">
        <v>0</v>
      </c>
      <c r="R11617" t="s">
        <v>44775</v>
      </c>
      <c r="S11617" t="s">
        <v>45343</v>
      </c>
      <c r="T11617" t="s">
        <v>46389</v>
      </c>
      <c r="U11617" t="s">
        <v>56487</v>
      </c>
      <c r="V11617" t="s">
        <v>60438</v>
      </c>
      <c r="W11617" t="s">
        <v>44249</v>
      </c>
      <c r="X11617" t="s">
        <v>44781</v>
      </c>
    </row>
    <row r="11618" spans="1:24">
      <c r="A11618">
        <f>HYPERLINK("https://www.philgeps.gov.ph/GEPSNONPILOT/Tender/SplashBidNoticeAbstractUI.aspx?menuIndex=3&amp;refID=7120800&amp;Result=3","7120800")</f>
        <v>0</v>
      </c>
      <c r="B11618" t="s">
        <v>3378</v>
      </c>
      <c r="C11618" t="s">
        <v>14802</v>
      </c>
      <c r="D11618" t="s">
        <v>17953</v>
      </c>
      <c r="E11618" t="s">
        <v>21297</v>
      </c>
      <c r="F11618" t="s">
        <v>30900</v>
      </c>
      <c r="G11618" t="s">
        <v>30907</v>
      </c>
      <c r="H11618" t="s">
        <v>30916</v>
      </c>
      <c r="I11618" t="s">
        <v>30921</v>
      </c>
      <c r="J11618" t="s">
        <v>32298</v>
      </c>
      <c r="K11618" t="s">
        <v>40287</v>
      </c>
      <c r="L11618" t="s">
        <v>3378</v>
      </c>
      <c r="M11618" t="s">
        <v>44250</v>
      </c>
      <c r="N11618" t="s">
        <v>44759</v>
      </c>
      <c r="O11618" t="s">
        <v>44760</v>
      </c>
      <c r="P11618">
        <v>0</v>
      </c>
      <c r="Q11618">
        <v>0</v>
      </c>
      <c r="R11618" t="s">
        <v>44775</v>
      </c>
      <c r="S11618" t="s">
        <v>45343</v>
      </c>
      <c r="T11618" t="s">
        <v>46352</v>
      </c>
      <c r="U11618" t="s">
        <v>50693</v>
      </c>
      <c r="V11618" t="s">
        <v>60439</v>
      </c>
      <c r="W11618" t="s">
        <v>44250</v>
      </c>
      <c r="X11618" t="s">
        <v>44777</v>
      </c>
    </row>
    <row r="11619" spans="1:24">
      <c r="A11619">
        <f>HYPERLINK("https://www.philgeps.gov.ph/GEPSNONPILOT/Tender/SplashBidNoticeAbstractUI.aspx?menuIndex=3&amp;refID=7109610&amp;Result=3","7109610")</f>
        <v>0</v>
      </c>
      <c r="B11619" t="s">
        <v>1204</v>
      </c>
      <c r="C11619" t="s">
        <v>14803</v>
      </c>
      <c r="D11619" t="s">
        <v>17963</v>
      </c>
      <c r="E11619" t="s">
        <v>28081</v>
      </c>
      <c r="F11619" t="s">
        <v>30900</v>
      </c>
      <c r="G11619" t="s">
        <v>30907</v>
      </c>
      <c r="H11619" t="s">
        <v>30916</v>
      </c>
      <c r="I11619" t="s">
        <v>30988</v>
      </c>
      <c r="J11619" t="s">
        <v>38289</v>
      </c>
      <c r="K11619" t="s">
        <v>40289</v>
      </c>
      <c r="M11619" t="s">
        <v>43719</v>
      </c>
      <c r="N11619" t="s">
        <v>44759</v>
      </c>
      <c r="O11619" t="s">
        <v>44760</v>
      </c>
      <c r="P11619">
        <v>0</v>
      </c>
      <c r="Q11619">
        <v>4</v>
      </c>
      <c r="R11619" t="s">
        <v>44775</v>
      </c>
      <c r="S11619" t="s">
        <v>45343</v>
      </c>
      <c r="T11619" t="s">
        <v>46454</v>
      </c>
      <c r="U11619" t="s">
        <v>56488</v>
      </c>
      <c r="W11619" t="s">
        <v>41815</v>
      </c>
      <c r="X11619" t="s">
        <v>44783</v>
      </c>
    </row>
    <row r="11620" spans="1:24">
      <c r="A11620">
        <f>HYPERLINK("https://www.philgeps.gov.ph/GEPSNONPILOT/Tender/SplashBidNoticeAbstractUI.aspx?menuIndex=3&amp;refID=6974663&amp;Result=3","6974663")</f>
        <v>0</v>
      </c>
      <c r="B11620" t="s">
        <v>1728</v>
      </c>
      <c r="C11620" t="s">
        <v>14804</v>
      </c>
      <c r="D11620" t="s">
        <v>18016</v>
      </c>
      <c r="E11620" t="s">
        <v>28082</v>
      </c>
      <c r="F11620" t="s">
        <v>30900</v>
      </c>
      <c r="G11620" t="s">
        <v>30907</v>
      </c>
      <c r="H11620" t="s">
        <v>30916</v>
      </c>
      <c r="I11620" t="s">
        <v>5501</v>
      </c>
      <c r="J11620" t="s">
        <v>38290</v>
      </c>
      <c r="K11620" t="s">
        <v>40284</v>
      </c>
      <c r="M11620" t="s">
        <v>44251</v>
      </c>
      <c r="N11620" t="s">
        <v>44759</v>
      </c>
      <c r="O11620" t="s">
        <v>44760</v>
      </c>
      <c r="Q11620">
        <v>24</v>
      </c>
      <c r="R11620" t="s">
        <v>44775</v>
      </c>
      <c r="S11620" t="s">
        <v>45353</v>
      </c>
      <c r="T11620" t="s">
        <v>46351</v>
      </c>
      <c r="U11620" t="s">
        <v>56489</v>
      </c>
      <c r="W11620" t="s">
        <v>44251</v>
      </c>
      <c r="X11620" t="s">
        <v>60958</v>
      </c>
    </row>
    <row r="11621" spans="1:24">
      <c r="A11621">
        <f>HYPERLINK("https://www.philgeps.gov.ph/GEPSNONPILOT/Tender/SplashBidNoticeAbstractUI.aspx?menuIndex=3&amp;refID=7120726&amp;Result=3","7120726")</f>
        <v>0</v>
      </c>
      <c r="B11621" t="s">
        <v>1481</v>
      </c>
      <c r="C11621" t="s">
        <v>14805</v>
      </c>
      <c r="D11621" t="s">
        <v>17978</v>
      </c>
      <c r="E11621" t="s">
        <v>28083</v>
      </c>
      <c r="F11621" t="s">
        <v>30900</v>
      </c>
      <c r="G11621" t="s">
        <v>30907</v>
      </c>
      <c r="H11621" t="s">
        <v>30916</v>
      </c>
      <c r="I11621" t="s">
        <v>30933</v>
      </c>
      <c r="J11621" t="s">
        <v>38291</v>
      </c>
      <c r="K11621" t="s">
        <v>40286</v>
      </c>
      <c r="M11621" t="s">
        <v>42116</v>
      </c>
      <c r="N11621" t="s">
        <v>44759</v>
      </c>
      <c r="O11621" t="s">
        <v>44760</v>
      </c>
      <c r="P11621">
        <v>0</v>
      </c>
      <c r="Q11621">
        <v>6</v>
      </c>
      <c r="R11621" t="s">
        <v>44775</v>
      </c>
      <c r="S11621" t="s">
        <v>45343</v>
      </c>
      <c r="T11621" t="s">
        <v>46409</v>
      </c>
      <c r="U11621" t="s">
        <v>56490</v>
      </c>
      <c r="W11621" t="s">
        <v>42116</v>
      </c>
      <c r="X11621" t="s">
        <v>44777</v>
      </c>
    </row>
    <row r="11622" spans="1:24">
      <c r="A11622">
        <f>HYPERLINK("https://www.philgeps.gov.ph/GEPSNONPILOT/Tender/SplashBidNoticeAbstractUI.aspx?menuIndex=3&amp;refID=7120555&amp;Result=3","7120555")</f>
        <v>0</v>
      </c>
      <c r="B11622" t="s">
        <v>3378</v>
      </c>
      <c r="C11622" t="s">
        <v>14806</v>
      </c>
      <c r="D11622" t="s">
        <v>17953</v>
      </c>
      <c r="E11622" t="s">
        <v>19262</v>
      </c>
      <c r="F11622" t="s">
        <v>30900</v>
      </c>
      <c r="G11622" t="s">
        <v>30907</v>
      </c>
      <c r="H11622" t="s">
        <v>30916</v>
      </c>
      <c r="I11622" t="s">
        <v>10602</v>
      </c>
      <c r="J11622" t="s">
        <v>37751</v>
      </c>
      <c r="K11622" t="s">
        <v>40287</v>
      </c>
      <c r="L11622" t="s">
        <v>3378</v>
      </c>
      <c r="M11622" t="s">
        <v>44250</v>
      </c>
      <c r="N11622" t="s">
        <v>44759</v>
      </c>
      <c r="O11622" t="s">
        <v>44760</v>
      </c>
      <c r="P11622">
        <v>0</v>
      </c>
      <c r="Q11622">
        <v>0</v>
      </c>
      <c r="R11622" t="s">
        <v>44775</v>
      </c>
      <c r="S11622" t="s">
        <v>45343</v>
      </c>
      <c r="T11622" t="s">
        <v>46352</v>
      </c>
      <c r="U11622" t="s">
        <v>50693</v>
      </c>
      <c r="V11622" t="s">
        <v>60439</v>
      </c>
      <c r="W11622" t="s">
        <v>44250</v>
      </c>
      <c r="X11622" t="s">
        <v>44777</v>
      </c>
    </row>
    <row r="11623" spans="1:24">
      <c r="A11623">
        <f>HYPERLINK("https://www.philgeps.gov.ph/GEPSNONPILOT/Tender/SplashBidNoticeAbstractUI.aspx?menuIndex=3&amp;refID=7129497&amp;Result=3","7129497")</f>
        <v>0</v>
      </c>
      <c r="B11623" t="s">
        <v>3379</v>
      </c>
      <c r="C11623" t="s">
        <v>14807</v>
      </c>
      <c r="D11623" t="s">
        <v>17981</v>
      </c>
      <c r="E11623" t="s">
        <v>28084</v>
      </c>
      <c r="F11623" t="s">
        <v>30900</v>
      </c>
      <c r="G11623" t="s">
        <v>30907</v>
      </c>
      <c r="H11623" t="s">
        <v>30916</v>
      </c>
      <c r="I11623" t="s">
        <v>8123</v>
      </c>
      <c r="J11623" t="s">
        <v>38292</v>
      </c>
      <c r="K11623" t="s">
        <v>40281</v>
      </c>
      <c r="M11623" t="s">
        <v>44252</v>
      </c>
      <c r="N11623" t="s">
        <v>44759</v>
      </c>
      <c r="O11623" t="s">
        <v>44760</v>
      </c>
      <c r="P11623">
        <v>0</v>
      </c>
      <c r="Q11623">
        <v>4</v>
      </c>
      <c r="R11623" t="s">
        <v>44774</v>
      </c>
      <c r="S11623" t="s">
        <v>45266</v>
      </c>
      <c r="T11623" t="s">
        <v>46662</v>
      </c>
      <c r="U11623" t="s">
        <v>56491</v>
      </c>
      <c r="W11623" t="s">
        <v>44252</v>
      </c>
      <c r="X11623" t="s">
        <v>44775</v>
      </c>
    </row>
    <row r="11624" spans="1:24">
      <c r="A11624">
        <f>HYPERLINK("https://www.philgeps.gov.ph/GEPSNONPILOT/Tender/SplashBidNoticeAbstractUI.aspx?menuIndex=3&amp;refID=7120630&amp;Result=3","7120630")</f>
        <v>0</v>
      </c>
      <c r="B11624" t="s">
        <v>886</v>
      </c>
      <c r="C11624" t="s">
        <v>14808</v>
      </c>
      <c r="D11624" t="s">
        <v>17972</v>
      </c>
      <c r="E11624" t="s">
        <v>28085</v>
      </c>
      <c r="F11624" t="s">
        <v>30900</v>
      </c>
      <c r="G11624" t="s">
        <v>30907</v>
      </c>
      <c r="H11624" t="s">
        <v>30916</v>
      </c>
      <c r="I11624" t="s">
        <v>8123</v>
      </c>
      <c r="J11624" t="s">
        <v>38293</v>
      </c>
      <c r="K11624" t="s">
        <v>40287</v>
      </c>
      <c r="M11624" t="s">
        <v>44253</v>
      </c>
      <c r="N11624" t="s">
        <v>44759</v>
      </c>
      <c r="O11624" t="s">
        <v>44760</v>
      </c>
      <c r="P11624">
        <v>0</v>
      </c>
      <c r="Q11624">
        <v>0</v>
      </c>
      <c r="R11624" t="s">
        <v>44775</v>
      </c>
      <c r="S11624" t="s">
        <v>45343</v>
      </c>
      <c r="T11624" t="s">
        <v>46351</v>
      </c>
      <c r="U11624" t="s">
        <v>56492</v>
      </c>
      <c r="W11624" t="s">
        <v>44253</v>
      </c>
      <c r="X11624" t="s">
        <v>44777</v>
      </c>
    </row>
    <row r="11625" spans="1:24">
      <c r="A11625">
        <f>HYPERLINK("https://www.philgeps.gov.ph/GEPSNONPILOT/Tender/SplashBidNoticeAbstractUI.aspx?menuIndex=3&amp;refID=7113280&amp;Result=3","7113280")</f>
        <v>0</v>
      </c>
      <c r="B11625" t="s">
        <v>264</v>
      </c>
      <c r="C11625" t="s">
        <v>14809</v>
      </c>
      <c r="D11625" t="s">
        <v>17997</v>
      </c>
      <c r="E11625" t="s">
        <v>28086</v>
      </c>
      <c r="F11625" t="s">
        <v>30900</v>
      </c>
      <c r="G11625" t="s">
        <v>30907</v>
      </c>
      <c r="H11625" t="s">
        <v>30916</v>
      </c>
      <c r="I11625" t="s">
        <v>4050</v>
      </c>
      <c r="J11625" t="s">
        <v>38294</v>
      </c>
      <c r="K11625" t="s">
        <v>40291</v>
      </c>
      <c r="M11625" t="s">
        <v>40811</v>
      </c>
      <c r="N11625" t="s">
        <v>44759</v>
      </c>
      <c r="O11625" t="s">
        <v>44760</v>
      </c>
      <c r="P11625">
        <v>0</v>
      </c>
      <c r="Q11625">
        <v>0</v>
      </c>
      <c r="R11625" t="s">
        <v>44775</v>
      </c>
      <c r="S11625" t="s">
        <v>45343</v>
      </c>
      <c r="T11625" t="s">
        <v>46487</v>
      </c>
      <c r="U11625" t="s">
        <v>56493</v>
      </c>
      <c r="W11625" t="s">
        <v>40811</v>
      </c>
      <c r="X11625" t="s">
        <v>44781</v>
      </c>
    </row>
    <row r="11626" spans="1:24">
      <c r="A11626">
        <f>HYPERLINK("https://www.philgeps.gov.ph/GEPSNONPILOT/Tender/SplashBidNoticeAbstractUI.aspx?menuIndex=3&amp;refID=7120537&amp;Result=3","7120537")</f>
        <v>0</v>
      </c>
      <c r="B11626" t="s">
        <v>2375</v>
      </c>
      <c r="C11626" t="s">
        <v>14810</v>
      </c>
      <c r="D11626" t="s">
        <v>17973</v>
      </c>
      <c r="E11626" t="s">
        <v>28087</v>
      </c>
      <c r="F11626" t="s">
        <v>30900</v>
      </c>
      <c r="G11626" t="s">
        <v>30907</v>
      </c>
      <c r="H11626" t="s">
        <v>30915</v>
      </c>
      <c r="I11626" t="s">
        <v>30919</v>
      </c>
      <c r="J11626" t="s">
        <v>38295</v>
      </c>
      <c r="K11626" t="s">
        <v>40301</v>
      </c>
      <c r="M11626" t="s">
        <v>43101</v>
      </c>
      <c r="N11626" t="s">
        <v>44759</v>
      </c>
      <c r="O11626" t="s">
        <v>44760</v>
      </c>
      <c r="P11626">
        <v>0</v>
      </c>
      <c r="Q11626">
        <v>0</v>
      </c>
      <c r="R11626" t="s">
        <v>44775</v>
      </c>
      <c r="S11626" t="s">
        <v>45343</v>
      </c>
      <c r="T11626" t="s">
        <v>46450</v>
      </c>
      <c r="U11626" t="s">
        <v>56494</v>
      </c>
      <c r="V11626" t="s">
        <v>60440</v>
      </c>
      <c r="W11626" t="s">
        <v>43101</v>
      </c>
      <c r="X11626" t="s">
        <v>44777</v>
      </c>
    </row>
    <row r="11627" spans="1:24">
      <c r="A11627">
        <f>HYPERLINK("https://www.philgeps.gov.ph/GEPSNONPILOT/Tender/SplashBidNoticeAbstractUI.aspx?menuIndex=3&amp;refID=7120525&amp;Result=3","7120525")</f>
        <v>0</v>
      </c>
      <c r="B11627" t="s">
        <v>886</v>
      </c>
      <c r="C11627" t="s">
        <v>14811</v>
      </c>
      <c r="D11627" t="s">
        <v>17972</v>
      </c>
      <c r="E11627" t="s">
        <v>28088</v>
      </c>
      <c r="F11627" t="s">
        <v>30900</v>
      </c>
      <c r="G11627" t="s">
        <v>30907</v>
      </c>
      <c r="H11627" t="s">
        <v>30916</v>
      </c>
      <c r="I11627" t="s">
        <v>30952</v>
      </c>
      <c r="J11627" t="s">
        <v>38296</v>
      </c>
      <c r="K11627" t="s">
        <v>40287</v>
      </c>
      <c r="M11627" t="s">
        <v>44253</v>
      </c>
      <c r="N11627" t="s">
        <v>44759</v>
      </c>
      <c r="O11627" t="s">
        <v>44760</v>
      </c>
      <c r="P11627">
        <v>0</v>
      </c>
      <c r="Q11627">
        <v>3</v>
      </c>
      <c r="R11627" t="s">
        <v>44775</v>
      </c>
      <c r="S11627" t="s">
        <v>45343</v>
      </c>
      <c r="T11627" t="s">
        <v>46351</v>
      </c>
      <c r="U11627" t="s">
        <v>56495</v>
      </c>
      <c r="W11627" t="s">
        <v>44253</v>
      </c>
      <c r="X11627" t="s">
        <v>44777</v>
      </c>
    </row>
    <row r="11628" spans="1:24">
      <c r="A11628">
        <f>HYPERLINK("https://www.philgeps.gov.ph/GEPSNONPILOT/Tender/SplashBidNoticeAbstractUI.aspx?menuIndex=3&amp;refID=7120811&amp;Result=3","7120811")</f>
        <v>0</v>
      </c>
      <c r="B11628" t="s">
        <v>3378</v>
      </c>
      <c r="C11628" t="s">
        <v>14812</v>
      </c>
      <c r="D11628" t="s">
        <v>17953</v>
      </c>
      <c r="E11628" t="s">
        <v>21298</v>
      </c>
      <c r="F11628" t="s">
        <v>30900</v>
      </c>
      <c r="G11628" t="s">
        <v>30907</v>
      </c>
      <c r="H11628" t="s">
        <v>30916</v>
      </c>
      <c r="I11628" t="s">
        <v>30981</v>
      </c>
      <c r="J11628" t="s">
        <v>38297</v>
      </c>
      <c r="K11628" t="s">
        <v>40287</v>
      </c>
      <c r="L11628" t="s">
        <v>3378</v>
      </c>
      <c r="M11628" t="s">
        <v>44250</v>
      </c>
      <c r="N11628" t="s">
        <v>44759</v>
      </c>
      <c r="O11628" t="s">
        <v>44760</v>
      </c>
      <c r="P11628">
        <v>0</v>
      </c>
      <c r="Q11628">
        <v>0</v>
      </c>
      <c r="R11628" t="s">
        <v>44775</v>
      </c>
      <c r="S11628" t="s">
        <v>45343</v>
      </c>
      <c r="T11628" t="s">
        <v>46352</v>
      </c>
      <c r="U11628" t="s">
        <v>50693</v>
      </c>
      <c r="V11628" t="s">
        <v>60439</v>
      </c>
      <c r="W11628" t="s">
        <v>44250</v>
      </c>
      <c r="X11628" t="s">
        <v>44777</v>
      </c>
    </row>
    <row r="11629" spans="1:24">
      <c r="A11629">
        <f>HYPERLINK("https://www.philgeps.gov.ph/GEPSNONPILOT/Tender/SplashBidNoticeAbstractUI.aspx?menuIndex=3&amp;refID=7120304&amp;Result=3","7120304")</f>
        <v>0</v>
      </c>
      <c r="B11629" t="s">
        <v>191</v>
      </c>
      <c r="C11629" t="s">
        <v>4010</v>
      </c>
      <c r="D11629" t="s">
        <v>17998</v>
      </c>
      <c r="E11629" t="s">
        <v>28089</v>
      </c>
      <c r="F11629" t="s">
        <v>30900</v>
      </c>
      <c r="G11629" t="s">
        <v>30907</v>
      </c>
      <c r="H11629" t="s">
        <v>30916</v>
      </c>
      <c r="I11629" t="s">
        <v>4454</v>
      </c>
      <c r="J11629" t="s">
        <v>31288</v>
      </c>
      <c r="K11629" t="s">
        <v>40286</v>
      </c>
      <c r="M11629" t="s">
        <v>40738</v>
      </c>
      <c r="N11629" t="s">
        <v>44759</v>
      </c>
      <c r="O11629" t="s">
        <v>44760</v>
      </c>
      <c r="P11629">
        <v>0</v>
      </c>
      <c r="Q11629">
        <v>2</v>
      </c>
      <c r="R11629" t="s">
        <v>44775</v>
      </c>
      <c r="S11629" t="s">
        <v>45343</v>
      </c>
      <c r="T11629" t="s">
        <v>46884</v>
      </c>
      <c r="U11629" t="s">
        <v>56496</v>
      </c>
      <c r="V11629" t="s">
        <v>60441</v>
      </c>
      <c r="W11629" t="s">
        <v>40738</v>
      </c>
      <c r="X11629" t="s">
        <v>44777</v>
      </c>
    </row>
    <row r="11630" spans="1:24">
      <c r="A11630">
        <f>HYPERLINK("https://www.philgeps.gov.ph/GEPSNONPILOT/Tender/SplashBidNoticeAbstractUI.aspx?menuIndex=3&amp;refID=7120318&amp;Result=3","7120318")</f>
        <v>0</v>
      </c>
      <c r="B11630" t="s">
        <v>56</v>
      </c>
      <c r="C11630" t="s">
        <v>14813</v>
      </c>
      <c r="D11630" t="s">
        <v>17952</v>
      </c>
      <c r="E11630" t="s">
        <v>28090</v>
      </c>
      <c r="F11630" t="s">
        <v>30900</v>
      </c>
      <c r="G11630" t="s">
        <v>30907</v>
      </c>
      <c r="H11630" t="s">
        <v>30916</v>
      </c>
      <c r="I11630" t="s">
        <v>4545</v>
      </c>
      <c r="J11630" t="s">
        <v>31092</v>
      </c>
      <c r="K11630" t="s">
        <v>40294</v>
      </c>
      <c r="M11630" t="s">
        <v>41803</v>
      </c>
      <c r="N11630" t="s">
        <v>44759</v>
      </c>
      <c r="O11630" t="s">
        <v>44760</v>
      </c>
      <c r="P11630">
        <v>0</v>
      </c>
      <c r="Q11630">
        <v>1</v>
      </c>
      <c r="R11630" t="s">
        <v>44775</v>
      </c>
      <c r="S11630" t="s">
        <v>45343</v>
      </c>
      <c r="T11630" t="s">
        <v>46418</v>
      </c>
      <c r="U11630" t="s">
        <v>56497</v>
      </c>
      <c r="V11630" t="s">
        <v>59101</v>
      </c>
      <c r="W11630" t="s">
        <v>41803</v>
      </c>
      <c r="X11630" t="s">
        <v>44777</v>
      </c>
    </row>
    <row r="11631" spans="1:24">
      <c r="A11631">
        <f>HYPERLINK("https://www.philgeps.gov.ph/GEPSNONPILOT/Tender/SplashBidNoticeAbstractUI.aspx?menuIndex=3&amp;refID=7120334&amp;Result=3","7120334")</f>
        <v>0</v>
      </c>
      <c r="B11631" t="s">
        <v>684</v>
      </c>
      <c r="C11631" t="s">
        <v>5091</v>
      </c>
      <c r="D11631" t="s">
        <v>17959</v>
      </c>
      <c r="E11631" t="s">
        <v>28091</v>
      </c>
      <c r="F11631" t="s">
        <v>30900</v>
      </c>
      <c r="G11631" t="s">
        <v>30907</v>
      </c>
      <c r="H11631" t="s">
        <v>30915</v>
      </c>
      <c r="I11631" t="s">
        <v>30919</v>
      </c>
      <c r="J11631" t="s">
        <v>38298</v>
      </c>
      <c r="K11631" t="s">
        <v>40289</v>
      </c>
      <c r="M11631" t="s">
        <v>41248</v>
      </c>
      <c r="N11631" t="s">
        <v>44759</v>
      </c>
      <c r="O11631" t="s">
        <v>44760</v>
      </c>
      <c r="P11631">
        <v>0</v>
      </c>
      <c r="Q11631">
        <v>1</v>
      </c>
      <c r="R11631" t="s">
        <v>44775</v>
      </c>
      <c r="S11631" t="s">
        <v>45343</v>
      </c>
      <c r="T11631" t="s">
        <v>46398</v>
      </c>
      <c r="U11631" t="s">
        <v>56498</v>
      </c>
      <c r="W11631" t="s">
        <v>41248</v>
      </c>
      <c r="X11631" t="s">
        <v>44777</v>
      </c>
    </row>
    <row r="11632" spans="1:24">
      <c r="A11632">
        <f>HYPERLINK("https://www.philgeps.gov.ph/GEPSNONPILOT/Tender/SplashBidNoticeAbstractUI.aspx?menuIndex=3&amp;refID=7120275&amp;Result=3","7120275")</f>
        <v>0</v>
      </c>
      <c r="B11632" t="s">
        <v>3380</v>
      </c>
      <c r="C11632" t="s">
        <v>14814</v>
      </c>
      <c r="D11632" t="s">
        <v>18031</v>
      </c>
      <c r="E11632" t="s">
        <v>28092</v>
      </c>
      <c r="F11632" t="s">
        <v>30900</v>
      </c>
      <c r="G11632" t="s">
        <v>30907</v>
      </c>
      <c r="H11632" t="s">
        <v>30915</v>
      </c>
      <c r="I11632" t="s">
        <v>30919</v>
      </c>
      <c r="J11632" t="s">
        <v>31897</v>
      </c>
      <c r="K11632" t="s">
        <v>40342</v>
      </c>
      <c r="M11632" t="s">
        <v>44254</v>
      </c>
      <c r="N11632" t="s">
        <v>44759</v>
      </c>
      <c r="O11632" t="s">
        <v>44760</v>
      </c>
      <c r="P11632">
        <v>0</v>
      </c>
      <c r="Q11632">
        <v>1</v>
      </c>
      <c r="R11632" t="s">
        <v>44775</v>
      </c>
      <c r="S11632" t="s">
        <v>45343</v>
      </c>
      <c r="T11632" t="s">
        <v>46708</v>
      </c>
      <c r="U11632" t="s">
        <v>56499</v>
      </c>
      <c r="W11632" t="s">
        <v>44254</v>
      </c>
      <c r="X11632" t="s">
        <v>44777</v>
      </c>
    </row>
    <row r="11633" spans="1:24">
      <c r="A11633">
        <f>HYPERLINK("https://www.philgeps.gov.ph/GEPSNONPILOT/Tender/SplashBidNoticeAbstractUI.aspx?menuIndex=3&amp;refID=7119605&amp;Result=3","7119605")</f>
        <v>0</v>
      </c>
      <c r="B11633" t="s">
        <v>3381</v>
      </c>
      <c r="C11633" t="s">
        <v>14815</v>
      </c>
      <c r="D11633" t="s">
        <v>17955</v>
      </c>
      <c r="E11633" t="s">
        <v>19963</v>
      </c>
      <c r="F11633" t="s">
        <v>30899</v>
      </c>
      <c r="G11633" t="s">
        <v>30907</v>
      </c>
      <c r="H11633" t="s">
        <v>30915</v>
      </c>
      <c r="I11633" t="s">
        <v>30930</v>
      </c>
      <c r="J11633" t="s">
        <v>31206</v>
      </c>
      <c r="K11633" t="s">
        <v>40289</v>
      </c>
      <c r="M11633" t="s">
        <v>44255</v>
      </c>
      <c r="N11633" t="s">
        <v>44759</v>
      </c>
      <c r="O11633" t="s">
        <v>44760</v>
      </c>
      <c r="P11633">
        <v>0</v>
      </c>
      <c r="Q11633">
        <v>0</v>
      </c>
      <c r="R11633" t="s">
        <v>44775</v>
      </c>
      <c r="S11633" t="s">
        <v>45343</v>
      </c>
      <c r="T11633" t="s">
        <v>46623</v>
      </c>
      <c r="U11633" t="s">
        <v>56500</v>
      </c>
      <c r="W11633" t="s">
        <v>44255</v>
      </c>
      <c r="X11633" t="s">
        <v>44779</v>
      </c>
    </row>
    <row r="11634" spans="1:24">
      <c r="A11634">
        <f>HYPERLINK("https://www.philgeps.gov.ph/GEPSNONPILOT/Tender/SplashBidNoticeAbstractUI.aspx?menuIndex=3&amp;refID=7118524&amp;Result=3","7118524")</f>
        <v>0</v>
      </c>
      <c r="B11634" t="s">
        <v>3382</v>
      </c>
      <c r="C11634" t="s">
        <v>14816</v>
      </c>
      <c r="D11634" t="s">
        <v>17959</v>
      </c>
      <c r="E11634" t="s">
        <v>28093</v>
      </c>
      <c r="F11634" t="s">
        <v>30900</v>
      </c>
      <c r="G11634" t="s">
        <v>30907</v>
      </c>
      <c r="H11634" t="s">
        <v>30916</v>
      </c>
      <c r="I11634" t="s">
        <v>30933</v>
      </c>
      <c r="J11634" t="s">
        <v>33735</v>
      </c>
      <c r="K11634" t="s">
        <v>40286</v>
      </c>
      <c r="M11634" t="s">
        <v>44256</v>
      </c>
      <c r="N11634" t="s">
        <v>44759</v>
      </c>
      <c r="O11634" t="s">
        <v>44760</v>
      </c>
      <c r="P11634">
        <v>0</v>
      </c>
      <c r="Q11634">
        <v>5</v>
      </c>
      <c r="R11634" t="s">
        <v>44775</v>
      </c>
      <c r="S11634" t="s">
        <v>45343</v>
      </c>
      <c r="T11634" t="s">
        <v>46351</v>
      </c>
      <c r="U11634" t="s">
        <v>56501</v>
      </c>
      <c r="W11634" t="s">
        <v>44256</v>
      </c>
      <c r="X11634" t="s">
        <v>44780</v>
      </c>
    </row>
    <row r="11635" spans="1:24">
      <c r="A11635">
        <f>HYPERLINK("https://www.philgeps.gov.ph/GEPSNONPILOT/Tender/SplashBidNoticeAbstractUI.aspx?menuIndex=3&amp;refID=7120552&amp;Result=3","7120552")</f>
        <v>0</v>
      </c>
      <c r="B11635" t="s">
        <v>886</v>
      </c>
      <c r="C11635" t="s">
        <v>14817</v>
      </c>
      <c r="D11635" t="s">
        <v>17972</v>
      </c>
      <c r="E11635" t="s">
        <v>28094</v>
      </c>
      <c r="F11635" t="s">
        <v>30900</v>
      </c>
      <c r="G11635" t="s">
        <v>30907</v>
      </c>
      <c r="H11635" t="s">
        <v>30916</v>
      </c>
      <c r="I11635" t="s">
        <v>30947</v>
      </c>
      <c r="J11635" t="s">
        <v>33787</v>
      </c>
      <c r="K11635" t="s">
        <v>40287</v>
      </c>
      <c r="M11635" t="s">
        <v>44253</v>
      </c>
      <c r="N11635" t="s">
        <v>44759</v>
      </c>
      <c r="O11635" t="s">
        <v>44760</v>
      </c>
      <c r="P11635">
        <v>0</v>
      </c>
      <c r="Q11635">
        <v>1</v>
      </c>
      <c r="R11635" t="s">
        <v>44775</v>
      </c>
      <c r="S11635" t="s">
        <v>45343</v>
      </c>
      <c r="T11635" t="s">
        <v>46351</v>
      </c>
      <c r="U11635" t="s">
        <v>56502</v>
      </c>
      <c r="W11635" t="s">
        <v>44253</v>
      </c>
      <c r="X11635" t="s">
        <v>44777</v>
      </c>
    </row>
    <row r="11636" spans="1:24">
      <c r="A11636">
        <f>HYPERLINK("https://www.philgeps.gov.ph/GEPSNONPILOT/Tender/SplashBidNoticeAbstractUI.aspx?menuIndex=3&amp;refID=7117967&amp;Result=3","7117967")</f>
        <v>0</v>
      </c>
      <c r="B11636" t="s">
        <v>1581</v>
      </c>
      <c r="C11636" t="s">
        <v>14818</v>
      </c>
      <c r="D11636" t="s">
        <v>17961</v>
      </c>
      <c r="E11636" t="s">
        <v>28095</v>
      </c>
      <c r="F11636" t="s">
        <v>30900</v>
      </c>
      <c r="G11636" t="s">
        <v>30907</v>
      </c>
      <c r="H11636" t="s">
        <v>30916</v>
      </c>
      <c r="I11636" t="s">
        <v>30923</v>
      </c>
      <c r="J11636" t="s">
        <v>33481</v>
      </c>
      <c r="K11636" t="s">
        <v>40284</v>
      </c>
      <c r="M11636" t="s">
        <v>42228</v>
      </c>
      <c r="N11636" t="s">
        <v>44759</v>
      </c>
      <c r="O11636" t="s">
        <v>44760</v>
      </c>
      <c r="P11636">
        <v>0</v>
      </c>
      <c r="Q11636">
        <v>20</v>
      </c>
      <c r="R11636" t="s">
        <v>44775</v>
      </c>
      <c r="S11636" t="s">
        <v>45343</v>
      </c>
      <c r="T11636" t="s">
        <v>46395</v>
      </c>
      <c r="U11636" t="s">
        <v>56503</v>
      </c>
      <c r="V11636" t="s">
        <v>59558</v>
      </c>
      <c r="W11636" t="s">
        <v>42228</v>
      </c>
      <c r="X11636" t="s">
        <v>44780</v>
      </c>
    </row>
    <row r="11637" spans="1:24">
      <c r="A11637">
        <f>HYPERLINK("https://www.philgeps.gov.ph/GEPSNONPILOT/Tender/SplashBidNoticeAbstractUI.aspx?menuIndex=3&amp;refID=7117768&amp;Result=3","7117768")</f>
        <v>0</v>
      </c>
      <c r="B11637" t="s">
        <v>1581</v>
      </c>
      <c r="C11637" t="s">
        <v>14819</v>
      </c>
      <c r="D11637" t="s">
        <v>17961</v>
      </c>
      <c r="E11637" t="s">
        <v>28096</v>
      </c>
      <c r="F11637" t="s">
        <v>30900</v>
      </c>
      <c r="G11637" t="s">
        <v>30907</v>
      </c>
      <c r="H11637" t="s">
        <v>30916</v>
      </c>
      <c r="I11637" t="s">
        <v>30923</v>
      </c>
      <c r="J11637" t="s">
        <v>38299</v>
      </c>
      <c r="K11637" t="s">
        <v>40284</v>
      </c>
      <c r="M11637" t="s">
        <v>42228</v>
      </c>
      <c r="N11637" t="s">
        <v>44759</v>
      </c>
      <c r="O11637" t="s">
        <v>44760</v>
      </c>
      <c r="P11637">
        <v>0</v>
      </c>
      <c r="Q11637">
        <v>13</v>
      </c>
      <c r="R11637" t="s">
        <v>44775</v>
      </c>
      <c r="S11637" t="s">
        <v>45343</v>
      </c>
      <c r="T11637" t="s">
        <v>46395</v>
      </c>
      <c r="U11637" t="s">
        <v>56504</v>
      </c>
      <c r="V11637" t="s">
        <v>59558</v>
      </c>
      <c r="W11637" t="s">
        <v>42228</v>
      </c>
      <c r="X11637" t="s">
        <v>44780</v>
      </c>
    </row>
    <row r="11638" spans="1:24">
      <c r="A11638">
        <f>HYPERLINK("https://www.philgeps.gov.ph/GEPSNONPILOT/Tender/SplashBidNoticeAbstractUI.aspx?menuIndex=3&amp;refID=7108195&amp;Result=3","7108195")</f>
        <v>0</v>
      </c>
      <c r="B11638" t="s">
        <v>1438</v>
      </c>
      <c r="C11638" t="s">
        <v>14820</v>
      </c>
      <c r="D11638" t="s">
        <v>18019</v>
      </c>
      <c r="E11638" t="s">
        <v>28097</v>
      </c>
      <c r="F11638" t="s">
        <v>30900</v>
      </c>
      <c r="G11638" t="s">
        <v>30907</v>
      </c>
      <c r="H11638" t="s">
        <v>30915</v>
      </c>
      <c r="I11638" t="s">
        <v>30919</v>
      </c>
      <c r="J11638" t="s">
        <v>38300</v>
      </c>
      <c r="K11638" t="s">
        <v>40530</v>
      </c>
      <c r="M11638" t="s">
        <v>42070</v>
      </c>
      <c r="N11638" t="s">
        <v>44759</v>
      </c>
      <c r="O11638" t="s">
        <v>44760</v>
      </c>
      <c r="P11638">
        <v>0</v>
      </c>
      <c r="Q11638">
        <v>3</v>
      </c>
      <c r="R11638" t="s">
        <v>44775</v>
      </c>
      <c r="S11638" t="s">
        <v>45343</v>
      </c>
      <c r="T11638" t="s">
        <v>46399</v>
      </c>
      <c r="U11638" t="s">
        <v>56505</v>
      </c>
      <c r="W11638" t="s">
        <v>42070</v>
      </c>
      <c r="X11638" t="s">
        <v>44783</v>
      </c>
    </row>
    <row r="11639" spans="1:24">
      <c r="A11639">
        <f>HYPERLINK("https://www.philgeps.gov.ph/GEPSNONPILOT/Tender/SplashBidNoticeAbstractUI.aspx?menuIndex=3&amp;refID=7108140&amp;Result=3","7108140")</f>
        <v>0</v>
      </c>
      <c r="B11639" t="s">
        <v>1438</v>
      </c>
      <c r="C11639" t="s">
        <v>14821</v>
      </c>
      <c r="D11639" t="s">
        <v>18019</v>
      </c>
      <c r="E11639" t="s">
        <v>28098</v>
      </c>
      <c r="F11639" t="s">
        <v>30900</v>
      </c>
      <c r="G11639" t="s">
        <v>30907</v>
      </c>
      <c r="H11639" t="s">
        <v>30915</v>
      </c>
      <c r="I11639" t="s">
        <v>30919</v>
      </c>
      <c r="J11639" t="s">
        <v>38301</v>
      </c>
      <c r="K11639" t="s">
        <v>40295</v>
      </c>
      <c r="M11639" t="s">
        <v>42070</v>
      </c>
      <c r="N11639" t="s">
        <v>44759</v>
      </c>
      <c r="O11639" t="s">
        <v>44760</v>
      </c>
      <c r="Q11639">
        <v>4</v>
      </c>
      <c r="R11639" t="s">
        <v>44775</v>
      </c>
      <c r="S11639" t="s">
        <v>45354</v>
      </c>
      <c r="T11639" t="s">
        <v>46399</v>
      </c>
      <c r="U11639" t="s">
        <v>56506</v>
      </c>
      <c r="W11639" t="s">
        <v>42070</v>
      </c>
      <c r="X11639" t="s">
        <v>44783</v>
      </c>
    </row>
    <row r="11640" spans="1:24">
      <c r="A11640">
        <f>HYPERLINK("https://www.philgeps.gov.ph/GEPSNONPILOT/Tender/SplashBidNoticeAbstractUI.aspx?menuIndex=3&amp;refID=7107991&amp;Result=3","7107991")</f>
        <v>0</v>
      </c>
      <c r="B11640" t="s">
        <v>1438</v>
      </c>
      <c r="C11640" t="s">
        <v>14822</v>
      </c>
      <c r="D11640" t="s">
        <v>18019</v>
      </c>
      <c r="E11640" t="s">
        <v>28099</v>
      </c>
      <c r="F11640" t="s">
        <v>30900</v>
      </c>
      <c r="G11640" t="s">
        <v>30907</v>
      </c>
      <c r="H11640" t="s">
        <v>30915</v>
      </c>
      <c r="I11640" t="s">
        <v>30919</v>
      </c>
      <c r="J11640" t="s">
        <v>38302</v>
      </c>
      <c r="K11640" t="s">
        <v>40296</v>
      </c>
      <c r="M11640" t="s">
        <v>42070</v>
      </c>
      <c r="N11640" t="s">
        <v>44759</v>
      </c>
      <c r="O11640" t="s">
        <v>44760</v>
      </c>
      <c r="P11640">
        <v>0</v>
      </c>
      <c r="Q11640">
        <v>3</v>
      </c>
      <c r="R11640" t="s">
        <v>44775</v>
      </c>
      <c r="S11640" t="s">
        <v>45343</v>
      </c>
      <c r="T11640" t="s">
        <v>46399</v>
      </c>
      <c r="U11640" t="s">
        <v>56507</v>
      </c>
      <c r="W11640" t="s">
        <v>42070</v>
      </c>
      <c r="X11640" t="s">
        <v>44783</v>
      </c>
    </row>
    <row r="11641" spans="1:24">
      <c r="A11641">
        <f>HYPERLINK("https://www.philgeps.gov.ph/GEPSNONPILOT/Tender/SplashBidNoticeAbstractUI.aspx?menuIndex=3&amp;refID=7107613&amp;Result=3","7107613")</f>
        <v>0</v>
      </c>
      <c r="B11641" t="s">
        <v>1438</v>
      </c>
      <c r="C11641" t="s">
        <v>14823</v>
      </c>
      <c r="D11641" t="s">
        <v>18019</v>
      </c>
      <c r="E11641" t="s">
        <v>28100</v>
      </c>
      <c r="F11641" t="s">
        <v>30900</v>
      </c>
      <c r="G11641" t="s">
        <v>30907</v>
      </c>
      <c r="H11641" t="s">
        <v>30915</v>
      </c>
      <c r="I11641" t="s">
        <v>30919</v>
      </c>
      <c r="J11641" t="s">
        <v>38303</v>
      </c>
      <c r="K11641" t="s">
        <v>40386</v>
      </c>
      <c r="M11641" t="s">
        <v>42070</v>
      </c>
      <c r="N11641" t="s">
        <v>44759</v>
      </c>
      <c r="O11641" t="s">
        <v>44760</v>
      </c>
      <c r="P11641">
        <v>0</v>
      </c>
      <c r="Q11641">
        <v>4</v>
      </c>
      <c r="R11641" t="s">
        <v>44775</v>
      </c>
      <c r="S11641" t="s">
        <v>45343</v>
      </c>
      <c r="T11641" t="s">
        <v>46399</v>
      </c>
      <c r="U11641" t="s">
        <v>56508</v>
      </c>
      <c r="W11641" t="s">
        <v>42070</v>
      </c>
      <c r="X11641" t="s">
        <v>44783</v>
      </c>
    </row>
    <row r="11642" spans="1:24">
      <c r="A11642">
        <f>HYPERLINK("https://www.philgeps.gov.ph/GEPSNONPILOT/Tender/SplashBidNoticeAbstractUI.aspx?menuIndex=3&amp;refID=7129490&amp;Result=3","7129490")</f>
        <v>0</v>
      </c>
      <c r="B11642" t="s">
        <v>1119</v>
      </c>
      <c r="C11642" t="s">
        <v>14824</v>
      </c>
      <c r="D11642" t="s">
        <v>18038</v>
      </c>
      <c r="E11642" t="s">
        <v>28101</v>
      </c>
      <c r="F11642" t="s">
        <v>30900</v>
      </c>
      <c r="G11642" t="s">
        <v>30907</v>
      </c>
      <c r="H11642" t="s">
        <v>30916</v>
      </c>
      <c r="I11642" t="s">
        <v>7708</v>
      </c>
      <c r="J11642" t="s">
        <v>38304</v>
      </c>
      <c r="K11642" t="s">
        <v>40280</v>
      </c>
      <c r="M11642" t="s">
        <v>42602</v>
      </c>
      <c r="N11642" t="s">
        <v>44759</v>
      </c>
      <c r="O11642" t="s">
        <v>44760</v>
      </c>
      <c r="P11642">
        <v>0</v>
      </c>
      <c r="Q11642">
        <v>9</v>
      </c>
      <c r="R11642" t="s">
        <v>44774</v>
      </c>
      <c r="S11642" t="s">
        <v>45266</v>
      </c>
      <c r="T11642" t="s">
        <v>46370</v>
      </c>
      <c r="U11642" t="s">
        <v>56430</v>
      </c>
      <c r="V11642" t="s">
        <v>59685</v>
      </c>
      <c r="W11642" t="s">
        <v>42602</v>
      </c>
      <c r="X11642" t="s">
        <v>44775</v>
      </c>
    </row>
    <row r="11643" spans="1:24">
      <c r="A11643">
        <f>HYPERLINK("https://www.philgeps.gov.ph/GEPSNONPILOT/Tender/SplashBidNoticeAbstractUI.aspx?menuIndex=3&amp;refID=7119613&amp;Result=3","7119613")</f>
        <v>0</v>
      </c>
      <c r="B11643" t="s">
        <v>3381</v>
      </c>
      <c r="C11643" t="s">
        <v>14825</v>
      </c>
      <c r="D11643" t="s">
        <v>17955</v>
      </c>
      <c r="E11643" t="s">
        <v>19382</v>
      </c>
      <c r="F11643" t="s">
        <v>30899</v>
      </c>
      <c r="G11643" t="s">
        <v>30907</v>
      </c>
      <c r="H11643" t="s">
        <v>30915</v>
      </c>
      <c r="I11643" t="s">
        <v>30919</v>
      </c>
      <c r="J11643" t="s">
        <v>38305</v>
      </c>
      <c r="K11643" t="s">
        <v>40289</v>
      </c>
      <c r="M11643" t="s">
        <v>44255</v>
      </c>
      <c r="N11643" t="s">
        <v>44759</v>
      </c>
      <c r="O11643" t="s">
        <v>44760</v>
      </c>
      <c r="P11643">
        <v>0</v>
      </c>
      <c r="Q11643">
        <v>0</v>
      </c>
      <c r="R11643" t="s">
        <v>44775</v>
      </c>
      <c r="S11643" t="s">
        <v>45343</v>
      </c>
      <c r="T11643" t="s">
        <v>46623</v>
      </c>
      <c r="U11643" t="s">
        <v>56509</v>
      </c>
      <c r="W11643" t="s">
        <v>44255</v>
      </c>
      <c r="X11643" t="s">
        <v>44779</v>
      </c>
    </row>
    <row r="11644" spans="1:24">
      <c r="A11644">
        <f>HYPERLINK("https://www.philgeps.gov.ph/GEPSNONPILOT/Tender/SplashBidNoticeAbstractUI.aspx?menuIndex=3&amp;refID=7129483&amp;Result=3","7129483")</f>
        <v>0</v>
      </c>
      <c r="B11644" t="s">
        <v>2619</v>
      </c>
      <c r="C11644" t="s">
        <v>14826</v>
      </c>
      <c r="D11644" t="s">
        <v>17959</v>
      </c>
      <c r="E11644" t="s">
        <v>28102</v>
      </c>
      <c r="F11644" t="s">
        <v>30900</v>
      </c>
      <c r="G11644" t="s">
        <v>30907</v>
      </c>
      <c r="H11644" t="s">
        <v>30916</v>
      </c>
      <c r="I11644" t="s">
        <v>30942</v>
      </c>
      <c r="J11644" t="s">
        <v>31577</v>
      </c>
      <c r="K11644" t="s">
        <v>40332</v>
      </c>
      <c r="M11644" t="s">
        <v>43383</v>
      </c>
      <c r="N11644" t="s">
        <v>44759</v>
      </c>
      <c r="O11644" t="s">
        <v>44760</v>
      </c>
      <c r="P11644">
        <v>0</v>
      </c>
      <c r="Q11644">
        <v>4</v>
      </c>
      <c r="R11644" t="s">
        <v>44774</v>
      </c>
      <c r="S11644" t="s">
        <v>45266</v>
      </c>
      <c r="T11644" t="s">
        <v>46770</v>
      </c>
      <c r="U11644" t="s">
        <v>53510</v>
      </c>
      <c r="W11644" t="s">
        <v>43383</v>
      </c>
      <c r="X11644" t="s">
        <v>44775</v>
      </c>
    </row>
    <row r="11645" spans="1:24">
      <c r="A11645">
        <f>HYPERLINK("https://www.philgeps.gov.ph/GEPSNONPILOT/Tender/SplashBidNoticeAbstractUI.aspx?menuIndex=3&amp;refID=7119610&amp;Result=3","7119610")</f>
        <v>0</v>
      </c>
      <c r="B11645" t="s">
        <v>3381</v>
      </c>
      <c r="C11645" t="s">
        <v>14827</v>
      </c>
      <c r="E11645" t="s">
        <v>20397</v>
      </c>
      <c r="F11645" t="s">
        <v>30899</v>
      </c>
      <c r="G11645" t="s">
        <v>30907</v>
      </c>
      <c r="H11645" t="s">
        <v>30915</v>
      </c>
      <c r="I11645" t="s">
        <v>30930</v>
      </c>
      <c r="J11645" t="s">
        <v>31206</v>
      </c>
      <c r="K11645" t="s">
        <v>40289</v>
      </c>
      <c r="M11645" t="s">
        <v>44255</v>
      </c>
      <c r="N11645" t="s">
        <v>44759</v>
      </c>
      <c r="O11645" t="s">
        <v>44760</v>
      </c>
      <c r="P11645">
        <v>0</v>
      </c>
      <c r="Q11645">
        <v>0</v>
      </c>
      <c r="R11645" t="s">
        <v>44775</v>
      </c>
      <c r="S11645" t="s">
        <v>45343</v>
      </c>
      <c r="T11645" t="s">
        <v>46623</v>
      </c>
      <c r="U11645" t="s">
        <v>56510</v>
      </c>
      <c r="W11645" t="s">
        <v>44255</v>
      </c>
      <c r="X11645" t="s">
        <v>44779</v>
      </c>
    </row>
    <row r="11646" spans="1:24">
      <c r="A11646">
        <f>HYPERLINK("https://www.philgeps.gov.ph/GEPSNONPILOT/Tender/SplashBidNoticeAbstractUI.aspx?menuIndex=3&amp;refID=7129336&amp;Result=3","7129336")</f>
        <v>0</v>
      </c>
      <c r="B11646" t="s">
        <v>1393</v>
      </c>
      <c r="C11646" t="s">
        <v>14828</v>
      </c>
      <c r="E11646" t="s">
        <v>28103</v>
      </c>
      <c r="F11646" t="s">
        <v>30900</v>
      </c>
      <c r="G11646" t="s">
        <v>30907</v>
      </c>
      <c r="H11646" t="s">
        <v>30916</v>
      </c>
      <c r="I11646" t="s">
        <v>30921</v>
      </c>
      <c r="J11646" t="s">
        <v>38306</v>
      </c>
      <c r="K11646" t="s">
        <v>40289</v>
      </c>
      <c r="M11646" t="s">
        <v>42018</v>
      </c>
      <c r="N11646" t="s">
        <v>44759</v>
      </c>
      <c r="O11646" t="s">
        <v>44760</v>
      </c>
      <c r="P11646">
        <v>0</v>
      </c>
      <c r="Q11646">
        <v>19</v>
      </c>
      <c r="R11646" t="s">
        <v>44774</v>
      </c>
      <c r="S11646" t="s">
        <v>45266</v>
      </c>
      <c r="T11646" t="s">
        <v>46544</v>
      </c>
      <c r="U11646" t="s">
        <v>56511</v>
      </c>
      <c r="W11646" t="s">
        <v>42018</v>
      </c>
      <c r="X11646" t="s">
        <v>44775</v>
      </c>
    </row>
    <row r="11647" spans="1:24">
      <c r="A11647">
        <f>HYPERLINK("https://www.philgeps.gov.ph/GEPSNONPILOT/Tender/SplashBidNoticeAbstractUI.aspx?menuIndex=3&amp;refID=7129317&amp;Result=3","7129317")</f>
        <v>0</v>
      </c>
      <c r="B11647" t="s">
        <v>3364</v>
      </c>
      <c r="C11647" t="s">
        <v>14829</v>
      </c>
      <c r="D11647" t="s">
        <v>18010</v>
      </c>
      <c r="E11647" t="s">
        <v>28104</v>
      </c>
      <c r="F11647" t="s">
        <v>30900</v>
      </c>
      <c r="G11647" t="s">
        <v>30907</v>
      </c>
      <c r="H11647" t="s">
        <v>30916</v>
      </c>
      <c r="I11647" t="s">
        <v>4545</v>
      </c>
      <c r="J11647" t="s">
        <v>31049</v>
      </c>
      <c r="K11647" t="s">
        <v>40288</v>
      </c>
      <c r="M11647" t="s">
        <v>44233</v>
      </c>
      <c r="N11647" t="s">
        <v>44759</v>
      </c>
      <c r="O11647" t="s">
        <v>44760</v>
      </c>
      <c r="P11647">
        <v>0</v>
      </c>
      <c r="Q11647">
        <v>1</v>
      </c>
      <c r="R11647" t="s">
        <v>44774</v>
      </c>
      <c r="S11647" t="s">
        <v>45266</v>
      </c>
      <c r="T11647" t="s">
        <v>46553</v>
      </c>
      <c r="U11647" t="s">
        <v>56512</v>
      </c>
      <c r="W11647" t="s">
        <v>44233</v>
      </c>
      <c r="X11647" t="s">
        <v>44775</v>
      </c>
    </row>
    <row r="11648" spans="1:24">
      <c r="A11648">
        <f>HYPERLINK("https://www.philgeps.gov.ph/GEPSNONPILOT/Tender/SplashBidNoticeAbstractUI.aspx?menuIndex=3&amp;refID=7107571&amp;Result=3","7107571")</f>
        <v>0</v>
      </c>
      <c r="B11648" t="s">
        <v>1438</v>
      </c>
      <c r="C11648" t="s">
        <v>14830</v>
      </c>
      <c r="D11648" t="s">
        <v>18019</v>
      </c>
      <c r="E11648" t="s">
        <v>28105</v>
      </c>
      <c r="F11648" t="s">
        <v>30900</v>
      </c>
      <c r="G11648" t="s">
        <v>30907</v>
      </c>
      <c r="H11648" t="s">
        <v>30915</v>
      </c>
      <c r="I11648" t="s">
        <v>30919</v>
      </c>
      <c r="J11648" t="s">
        <v>38307</v>
      </c>
      <c r="K11648" t="s">
        <v>40298</v>
      </c>
      <c r="M11648" t="s">
        <v>42070</v>
      </c>
      <c r="N11648" t="s">
        <v>44759</v>
      </c>
      <c r="O11648" t="s">
        <v>44760</v>
      </c>
      <c r="P11648">
        <v>0</v>
      </c>
      <c r="Q11648">
        <v>2</v>
      </c>
      <c r="R11648" t="s">
        <v>44775</v>
      </c>
      <c r="S11648" t="s">
        <v>45343</v>
      </c>
      <c r="T11648" t="s">
        <v>46399</v>
      </c>
      <c r="U11648" t="s">
        <v>56513</v>
      </c>
      <c r="W11648" t="s">
        <v>42070</v>
      </c>
      <c r="X11648" t="s">
        <v>44783</v>
      </c>
    </row>
    <row r="11649" spans="1:24">
      <c r="A11649">
        <f>HYPERLINK("https://www.philgeps.gov.ph/GEPSNONPILOT/Tender/SplashBidNoticeAbstractUI.aspx?menuIndex=3&amp;refID=7129315&amp;Result=3","7129315")</f>
        <v>0</v>
      </c>
      <c r="B11649" t="s">
        <v>1037</v>
      </c>
      <c r="C11649" t="s">
        <v>14831</v>
      </c>
      <c r="D11649" t="s">
        <v>17981</v>
      </c>
      <c r="E11649" t="s">
        <v>14831</v>
      </c>
      <c r="F11649" t="s">
        <v>30900</v>
      </c>
      <c r="G11649" t="s">
        <v>30907</v>
      </c>
      <c r="H11649" t="s">
        <v>30916</v>
      </c>
      <c r="I11649" t="s">
        <v>30926</v>
      </c>
      <c r="J11649" t="s">
        <v>31105</v>
      </c>
      <c r="K11649" t="s">
        <v>40284</v>
      </c>
      <c r="M11649" t="s">
        <v>41629</v>
      </c>
      <c r="N11649" t="s">
        <v>44759</v>
      </c>
      <c r="O11649" t="s">
        <v>44760</v>
      </c>
      <c r="P11649">
        <v>0</v>
      </c>
      <c r="Q11649">
        <v>1</v>
      </c>
      <c r="R11649" t="s">
        <v>44774</v>
      </c>
      <c r="S11649" t="s">
        <v>45266</v>
      </c>
      <c r="T11649" t="s">
        <v>46363</v>
      </c>
      <c r="U11649" t="s">
        <v>56514</v>
      </c>
      <c r="W11649" t="s">
        <v>41629</v>
      </c>
      <c r="X11649" t="s">
        <v>44775</v>
      </c>
    </row>
    <row r="11650" spans="1:24">
      <c r="A11650">
        <f>HYPERLINK("https://www.philgeps.gov.ph/GEPSNONPILOT/Tender/SplashBidNoticeAbstractUI.aspx?menuIndex=3&amp;refID=7129309&amp;Result=3","7129309")</f>
        <v>0</v>
      </c>
      <c r="B11650" t="s">
        <v>3383</v>
      </c>
      <c r="C11650" t="s">
        <v>14832</v>
      </c>
      <c r="D11650" t="s">
        <v>17955</v>
      </c>
      <c r="E11650" t="s">
        <v>28106</v>
      </c>
      <c r="F11650" t="s">
        <v>30900</v>
      </c>
      <c r="G11650" t="s">
        <v>30907</v>
      </c>
      <c r="H11650" t="s">
        <v>30916</v>
      </c>
      <c r="I11650" t="s">
        <v>4142</v>
      </c>
      <c r="J11650" t="s">
        <v>38308</v>
      </c>
      <c r="K11650" t="s">
        <v>40289</v>
      </c>
      <c r="M11650" t="s">
        <v>44257</v>
      </c>
      <c r="N11650" t="s">
        <v>44759</v>
      </c>
      <c r="O11650" t="s">
        <v>44760</v>
      </c>
      <c r="P11650">
        <v>0</v>
      </c>
      <c r="Q11650">
        <v>4</v>
      </c>
      <c r="R11650" t="s">
        <v>44774</v>
      </c>
      <c r="S11650" t="s">
        <v>45266</v>
      </c>
      <c r="T11650" t="s">
        <v>46369</v>
      </c>
      <c r="U11650" t="s">
        <v>56515</v>
      </c>
      <c r="W11650" t="s">
        <v>44257</v>
      </c>
      <c r="X11650" t="s">
        <v>44775</v>
      </c>
    </row>
    <row r="11651" spans="1:24">
      <c r="A11651">
        <f>HYPERLINK("https://www.philgeps.gov.ph/GEPSNONPILOT/Tender/SplashBidNoticeAbstractUI.aspx?menuIndex=3&amp;refID=7129061&amp;Result=3","7129061")</f>
        <v>0</v>
      </c>
      <c r="B11651" t="s">
        <v>2456</v>
      </c>
      <c r="C11651" t="s">
        <v>14833</v>
      </c>
      <c r="D11651" t="s">
        <v>17998</v>
      </c>
      <c r="E11651" t="s">
        <v>28107</v>
      </c>
      <c r="F11651" t="s">
        <v>30900</v>
      </c>
      <c r="G11651" t="s">
        <v>30907</v>
      </c>
      <c r="H11651" t="s">
        <v>30916</v>
      </c>
      <c r="I11651" t="s">
        <v>30947</v>
      </c>
      <c r="J11651" t="s">
        <v>38309</v>
      </c>
      <c r="K11651" t="s">
        <v>40284</v>
      </c>
      <c r="M11651" t="s">
        <v>43193</v>
      </c>
      <c r="N11651" t="s">
        <v>44759</v>
      </c>
      <c r="O11651" t="s">
        <v>44760</v>
      </c>
      <c r="P11651">
        <v>0</v>
      </c>
      <c r="Q11651">
        <v>2</v>
      </c>
      <c r="R11651" t="s">
        <v>44774</v>
      </c>
      <c r="S11651" t="s">
        <v>45266</v>
      </c>
      <c r="T11651" t="s">
        <v>46352</v>
      </c>
      <c r="U11651" t="s">
        <v>52923</v>
      </c>
      <c r="W11651" t="s">
        <v>43193</v>
      </c>
      <c r="X11651" t="s">
        <v>44775</v>
      </c>
    </row>
    <row r="11652" spans="1:24">
      <c r="A11652">
        <f>HYPERLINK("https://www.philgeps.gov.ph/GEPSNONPILOT/Tender/SplashBidNoticeAbstractUI.aspx?menuIndex=3&amp;refID=7129055&amp;Result=3","7129055")</f>
        <v>0</v>
      </c>
      <c r="B11652" t="s">
        <v>1314</v>
      </c>
      <c r="C11652" t="s">
        <v>14834</v>
      </c>
      <c r="D11652" t="s">
        <v>18019</v>
      </c>
      <c r="E11652" t="s">
        <v>28108</v>
      </c>
      <c r="F11652" t="s">
        <v>30900</v>
      </c>
      <c r="G11652" t="s">
        <v>30907</v>
      </c>
      <c r="H11652" t="s">
        <v>30916</v>
      </c>
      <c r="I11652" t="s">
        <v>4017</v>
      </c>
      <c r="J11652" t="s">
        <v>38310</v>
      </c>
      <c r="K11652" t="s">
        <v>40289</v>
      </c>
      <c r="L11652" t="s">
        <v>1314</v>
      </c>
      <c r="M11652" t="s">
        <v>42251</v>
      </c>
      <c r="N11652" t="s">
        <v>44759</v>
      </c>
      <c r="O11652" t="s">
        <v>44760</v>
      </c>
      <c r="Q11652">
        <v>11</v>
      </c>
      <c r="R11652" t="s">
        <v>44774</v>
      </c>
      <c r="S11652" t="s">
        <v>45355</v>
      </c>
      <c r="T11652" t="s">
        <v>46369</v>
      </c>
      <c r="U11652" t="s">
        <v>56516</v>
      </c>
      <c r="W11652" t="s">
        <v>42251</v>
      </c>
      <c r="X11652" t="s">
        <v>44775</v>
      </c>
    </row>
    <row r="11653" spans="1:24">
      <c r="A11653">
        <f>HYPERLINK("https://www.philgeps.gov.ph/GEPSNONPILOT/Tender/SplashBidNoticeAbstractUI.aspx?menuIndex=3&amp;refID=7129054&amp;Result=3","7129054")</f>
        <v>0</v>
      </c>
      <c r="B11653" t="s">
        <v>3384</v>
      </c>
      <c r="C11653" t="s">
        <v>14835</v>
      </c>
      <c r="D11653" t="s">
        <v>17952</v>
      </c>
      <c r="E11653" t="s">
        <v>28109</v>
      </c>
      <c r="F11653" t="s">
        <v>30900</v>
      </c>
      <c r="G11653" t="s">
        <v>30907</v>
      </c>
      <c r="H11653" t="s">
        <v>30916</v>
      </c>
      <c r="I11653" t="s">
        <v>30931</v>
      </c>
      <c r="J11653" t="s">
        <v>38311</v>
      </c>
      <c r="K11653" t="s">
        <v>40489</v>
      </c>
      <c r="M11653" t="s">
        <v>44258</v>
      </c>
      <c r="N11653" t="s">
        <v>44759</v>
      </c>
      <c r="O11653" t="s">
        <v>44760</v>
      </c>
      <c r="P11653">
        <v>0</v>
      </c>
      <c r="Q11653">
        <v>2</v>
      </c>
      <c r="R11653" t="s">
        <v>44774</v>
      </c>
      <c r="S11653" t="s">
        <v>45266</v>
      </c>
      <c r="T11653" t="s">
        <v>46361</v>
      </c>
      <c r="U11653" t="s">
        <v>56517</v>
      </c>
      <c r="W11653" t="s">
        <v>44258</v>
      </c>
      <c r="X11653" t="s">
        <v>44775</v>
      </c>
    </row>
    <row r="11654" spans="1:24">
      <c r="A11654">
        <f>HYPERLINK("https://www.philgeps.gov.ph/GEPSNONPILOT/Tender/SplashBidNoticeAbstractUI.aspx?menuIndex=3&amp;refID=7129341&amp;Result=3","7129341")</f>
        <v>0</v>
      </c>
      <c r="B11654" t="s">
        <v>1988</v>
      </c>
      <c r="C11654" t="s">
        <v>14836</v>
      </c>
      <c r="D11654" t="s">
        <v>17959</v>
      </c>
      <c r="E11654" t="s">
        <v>28110</v>
      </c>
      <c r="F11654" t="s">
        <v>30900</v>
      </c>
      <c r="G11654" t="s">
        <v>30907</v>
      </c>
      <c r="H11654" t="s">
        <v>30915</v>
      </c>
      <c r="I11654" t="s">
        <v>30919</v>
      </c>
      <c r="J11654" t="s">
        <v>32125</v>
      </c>
      <c r="K11654" t="s">
        <v>40304</v>
      </c>
      <c r="M11654" t="s">
        <v>43684</v>
      </c>
      <c r="N11654" t="s">
        <v>44759</v>
      </c>
      <c r="O11654" t="s">
        <v>44760</v>
      </c>
      <c r="Q11654">
        <v>4</v>
      </c>
      <c r="R11654" t="s">
        <v>44774</v>
      </c>
      <c r="S11654" t="s">
        <v>45356</v>
      </c>
      <c r="T11654" t="s">
        <v>46614</v>
      </c>
      <c r="U11654" t="s">
        <v>56518</v>
      </c>
      <c r="W11654" t="s">
        <v>43684</v>
      </c>
      <c r="X11654" t="s">
        <v>44775</v>
      </c>
    </row>
    <row r="11655" spans="1:24">
      <c r="A11655">
        <f>HYPERLINK("https://www.philgeps.gov.ph/GEPSNONPILOT/Tender/SplashBidNoticeAbstractUI.aspx?menuIndex=3&amp;refID=7129058&amp;Result=3","7129058")</f>
        <v>0</v>
      </c>
      <c r="B11655" t="s">
        <v>2024</v>
      </c>
      <c r="C11655" t="s">
        <v>14837</v>
      </c>
      <c r="D11655" t="s">
        <v>17973</v>
      </c>
      <c r="E11655" t="s">
        <v>28111</v>
      </c>
      <c r="F11655" t="s">
        <v>30900</v>
      </c>
      <c r="G11655" t="s">
        <v>30908</v>
      </c>
      <c r="H11655" t="s">
        <v>30916</v>
      </c>
      <c r="I11655" t="s">
        <v>5830</v>
      </c>
      <c r="J11655" t="s">
        <v>31284</v>
      </c>
      <c r="K11655" t="s">
        <v>40289</v>
      </c>
      <c r="M11655" t="s">
        <v>42720</v>
      </c>
      <c r="N11655" t="s">
        <v>44759</v>
      </c>
      <c r="O11655" t="s">
        <v>44760</v>
      </c>
      <c r="Q11655">
        <v>6</v>
      </c>
      <c r="R11655" t="s">
        <v>44774</v>
      </c>
      <c r="S11655" t="s">
        <v>45357</v>
      </c>
      <c r="T11655" t="s">
        <v>46533</v>
      </c>
      <c r="U11655" t="s">
        <v>56519</v>
      </c>
      <c r="W11655" t="s">
        <v>42720</v>
      </c>
      <c r="X11655" t="s">
        <v>44775</v>
      </c>
    </row>
    <row r="11656" spans="1:24">
      <c r="A11656">
        <f>HYPERLINK("https://www.philgeps.gov.ph/GEPSNONPILOT/Tender/SplashBidNoticeAbstractUI.aspx?menuIndex=3&amp;refID=7129051&amp;Result=3","7129051")</f>
        <v>0</v>
      </c>
      <c r="B11656" t="s">
        <v>223</v>
      </c>
      <c r="C11656" t="s">
        <v>14838</v>
      </c>
      <c r="D11656" t="s">
        <v>18002</v>
      </c>
      <c r="E11656" t="s">
        <v>28112</v>
      </c>
      <c r="F11656" t="s">
        <v>30900</v>
      </c>
      <c r="G11656" t="s">
        <v>30910</v>
      </c>
      <c r="H11656" t="s">
        <v>30916</v>
      </c>
      <c r="I11656" t="s">
        <v>4142</v>
      </c>
      <c r="J11656" t="s">
        <v>31447</v>
      </c>
      <c r="K11656" t="s">
        <v>40289</v>
      </c>
      <c r="M11656" t="s">
        <v>40770</v>
      </c>
      <c r="N11656" t="s">
        <v>44759</v>
      </c>
      <c r="O11656" t="s">
        <v>44760</v>
      </c>
      <c r="Q11656">
        <v>5</v>
      </c>
      <c r="R11656" t="s">
        <v>44774</v>
      </c>
      <c r="S11656" t="s">
        <v>45000</v>
      </c>
      <c r="T11656" t="s">
        <v>46352</v>
      </c>
      <c r="U11656" t="s">
        <v>47286</v>
      </c>
      <c r="W11656" t="s">
        <v>40770</v>
      </c>
      <c r="X11656" t="s">
        <v>44775</v>
      </c>
    </row>
    <row r="11657" spans="1:24">
      <c r="A11657">
        <f>HYPERLINK("https://www.philgeps.gov.ph/GEPSNONPILOT/Tender/SplashBidNoticeAbstractUI.aspx?menuIndex=3&amp;refID=7129327&amp;Result=3","7129327")</f>
        <v>0</v>
      </c>
      <c r="B11657" t="s">
        <v>3383</v>
      </c>
      <c r="C11657" t="s">
        <v>14839</v>
      </c>
      <c r="D11657" t="s">
        <v>17955</v>
      </c>
      <c r="E11657" t="s">
        <v>28113</v>
      </c>
      <c r="F11657" t="s">
        <v>30900</v>
      </c>
      <c r="G11657" t="s">
        <v>30907</v>
      </c>
      <c r="H11657" t="s">
        <v>30916</v>
      </c>
      <c r="I11657" t="s">
        <v>30932</v>
      </c>
      <c r="J11657" t="s">
        <v>31094</v>
      </c>
      <c r="K11657" t="s">
        <v>40289</v>
      </c>
      <c r="M11657" t="s">
        <v>44257</v>
      </c>
      <c r="N11657" t="s">
        <v>44759</v>
      </c>
      <c r="O11657" t="s">
        <v>44760</v>
      </c>
      <c r="P11657">
        <v>0</v>
      </c>
      <c r="Q11657">
        <v>11</v>
      </c>
      <c r="R11657" t="s">
        <v>44774</v>
      </c>
      <c r="S11657" t="s">
        <v>45266</v>
      </c>
      <c r="T11657" t="s">
        <v>46369</v>
      </c>
      <c r="U11657" t="s">
        <v>56520</v>
      </c>
      <c r="W11657" t="s">
        <v>44257</v>
      </c>
      <c r="X11657" t="s">
        <v>44775</v>
      </c>
    </row>
    <row r="11658" spans="1:24">
      <c r="A11658">
        <f>HYPERLINK("https://www.philgeps.gov.ph/GEPSNONPILOT/Tender/SplashBidNoticeAbstractUI.aspx?menuIndex=3&amp;refID=7129040&amp;Result=3","7129040")</f>
        <v>0</v>
      </c>
      <c r="B11658" t="s">
        <v>753</v>
      </c>
      <c r="C11658" t="s">
        <v>14840</v>
      </c>
      <c r="D11658" t="s">
        <v>17976</v>
      </c>
      <c r="E11658" t="s">
        <v>28114</v>
      </c>
      <c r="F11658" t="s">
        <v>30900</v>
      </c>
      <c r="G11658" t="s">
        <v>30907</v>
      </c>
      <c r="H11658" t="s">
        <v>30916</v>
      </c>
      <c r="I11658" t="s">
        <v>30989</v>
      </c>
      <c r="J11658" t="s">
        <v>31214</v>
      </c>
      <c r="K11658" t="s">
        <v>40292</v>
      </c>
      <c r="L11658" t="s">
        <v>753</v>
      </c>
      <c r="M11658" t="s">
        <v>41317</v>
      </c>
      <c r="N11658" t="s">
        <v>44759</v>
      </c>
      <c r="O11658" t="s">
        <v>44760</v>
      </c>
      <c r="Q11658">
        <v>22</v>
      </c>
      <c r="R11658" t="s">
        <v>44774</v>
      </c>
      <c r="S11658" t="s">
        <v>45358</v>
      </c>
      <c r="T11658" t="s">
        <v>46366</v>
      </c>
      <c r="U11658" t="s">
        <v>48259</v>
      </c>
      <c r="V11658" t="s">
        <v>59295</v>
      </c>
      <c r="W11658" t="s">
        <v>41317</v>
      </c>
      <c r="X11658" t="s">
        <v>44775</v>
      </c>
    </row>
    <row r="11659" spans="1:24">
      <c r="A11659">
        <f>HYPERLINK("https://www.philgeps.gov.ph/GEPSNONPILOT/Tender/SplashBidNoticeAbstractUI.aspx?menuIndex=3&amp;refID=7128900&amp;Result=3","7128900")</f>
        <v>0</v>
      </c>
      <c r="B11659" t="s">
        <v>3360</v>
      </c>
      <c r="C11659" t="s">
        <v>14841</v>
      </c>
      <c r="D11659" t="s">
        <v>17952</v>
      </c>
      <c r="E11659" t="s">
        <v>22265</v>
      </c>
      <c r="F11659" t="s">
        <v>30900</v>
      </c>
      <c r="G11659" t="s">
        <v>30907</v>
      </c>
      <c r="H11659" t="s">
        <v>30915</v>
      </c>
      <c r="I11659" t="s">
        <v>30919</v>
      </c>
      <c r="J11659" t="s">
        <v>38312</v>
      </c>
      <c r="K11659" t="s">
        <v>40286</v>
      </c>
      <c r="L11659" t="s">
        <v>3360</v>
      </c>
      <c r="M11659" t="s">
        <v>44229</v>
      </c>
      <c r="N11659" t="s">
        <v>44759</v>
      </c>
      <c r="O11659" t="s">
        <v>44760</v>
      </c>
      <c r="P11659">
        <v>0</v>
      </c>
      <c r="Q11659">
        <v>0</v>
      </c>
      <c r="R11659" t="s">
        <v>44774</v>
      </c>
      <c r="S11659" t="s">
        <v>45266</v>
      </c>
      <c r="T11659" t="s">
        <v>46353</v>
      </c>
      <c r="U11659" t="s">
        <v>56521</v>
      </c>
      <c r="W11659" t="s">
        <v>44229</v>
      </c>
      <c r="X11659" t="s">
        <v>44775</v>
      </c>
    </row>
    <row r="11660" spans="1:24">
      <c r="A11660">
        <f>HYPERLINK("https://www.philgeps.gov.ph/GEPSNONPILOT/Tender/SplashBidNoticeAbstractUI.aspx?menuIndex=3&amp;refID=7129032&amp;Result=3","7129032")</f>
        <v>0</v>
      </c>
      <c r="B11660" t="s">
        <v>1567</v>
      </c>
      <c r="C11660" t="s">
        <v>14842</v>
      </c>
      <c r="D11660" t="s">
        <v>18006</v>
      </c>
      <c r="E11660" t="s">
        <v>28115</v>
      </c>
      <c r="F11660" t="s">
        <v>30900</v>
      </c>
      <c r="G11660" t="s">
        <v>30907</v>
      </c>
      <c r="H11660" t="s">
        <v>30915</v>
      </c>
      <c r="I11660" t="s">
        <v>30919</v>
      </c>
      <c r="J11660" t="s">
        <v>31297</v>
      </c>
      <c r="K11660" t="s">
        <v>40289</v>
      </c>
      <c r="M11660" t="s">
        <v>42215</v>
      </c>
      <c r="N11660" t="s">
        <v>44759</v>
      </c>
      <c r="O11660" t="s">
        <v>44760</v>
      </c>
      <c r="P11660">
        <v>0</v>
      </c>
      <c r="Q11660">
        <v>1</v>
      </c>
      <c r="R11660" t="s">
        <v>44774</v>
      </c>
      <c r="S11660" t="s">
        <v>45266</v>
      </c>
      <c r="T11660" t="s">
        <v>46418</v>
      </c>
      <c r="U11660" t="s">
        <v>54195</v>
      </c>
      <c r="W11660" t="s">
        <v>42215</v>
      </c>
      <c r="X11660" t="s">
        <v>44775</v>
      </c>
    </row>
    <row r="11661" spans="1:24">
      <c r="A11661">
        <f>HYPERLINK("https://www.philgeps.gov.ph/GEPSNONPILOT/Tender/SplashBidNoticeAbstractUI.aspx?menuIndex=3&amp;refID=7128893&amp;Result=3","7128893")</f>
        <v>0</v>
      </c>
      <c r="B11661" t="s">
        <v>416</v>
      </c>
      <c r="C11661" t="s">
        <v>14843</v>
      </c>
      <c r="D11661" t="s">
        <v>17976</v>
      </c>
      <c r="E11661" t="s">
        <v>28116</v>
      </c>
      <c r="F11661" t="s">
        <v>30900</v>
      </c>
      <c r="G11661" t="s">
        <v>30907</v>
      </c>
      <c r="H11661" t="s">
        <v>30916</v>
      </c>
      <c r="I11661" t="s">
        <v>30921</v>
      </c>
      <c r="J11661" t="s">
        <v>38313</v>
      </c>
      <c r="K11661" t="s">
        <v>40283</v>
      </c>
      <c r="M11661" t="s">
        <v>40972</v>
      </c>
      <c r="N11661" t="s">
        <v>44759</v>
      </c>
      <c r="O11661" t="s">
        <v>44760</v>
      </c>
      <c r="Q11661">
        <v>4</v>
      </c>
      <c r="R11661" t="s">
        <v>44774</v>
      </c>
      <c r="S11661" t="s">
        <v>45359</v>
      </c>
      <c r="T11661" t="s">
        <v>46658</v>
      </c>
      <c r="U11661" t="s">
        <v>56522</v>
      </c>
      <c r="W11661" t="s">
        <v>40972</v>
      </c>
      <c r="X11661" t="s">
        <v>44775</v>
      </c>
    </row>
    <row r="11662" spans="1:24">
      <c r="A11662">
        <f>HYPERLINK("https://www.philgeps.gov.ph/GEPSNONPILOT/Tender/SplashBidNoticeAbstractUI.aspx?menuIndex=3&amp;refID=7128886&amp;Result=3","7128886")</f>
        <v>0</v>
      </c>
      <c r="B11662" t="s">
        <v>507</v>
      </c>
      <c r="C11662" t="s">
        <v>14844</v>
      </c>
      <c r="D11662" t="s">
        <v>18005</v>
      </c>
      <c r="E11662" t="s">
        <v>28117</v>
      </c>
      <c r="F11662" t="s">
        <v>30900</v>
      </c>
      <c r="G11662" t="s">
        <v>30907</v>
      </c>
      <c r="H11662" t="s">
        <v>30915</v>
      </c>
      <c r="I11662" t="s">
        <v>30919</v>
      </c>
      <c r="J11662" t="s">
        <v>38314</v>
      </c>
      <c r="K11662" t="s">
        <v>40431</v>
      </c>
      <c r="M11662" t="s">
        <v>41067</v>
      </c>
      <c r="N11662" t="s">
        <v>44759</v>
      </c>
      <c r="O11662" t="s">
        <v>44760</v>
      </c>
      <c r="Q11662">
        <v>0</v>
      </c>
      <c r="R11662" t="s">
        <v>44774</v>
      </c>
      <c r="S11662" t="s">
        <v>45360</v>
      </c>
      <c r="T11662" t="s">
        <v>46459</v>
      </c>
      <c r="U11662" t="s">
        <v>56523</v>
      </c>
      <c r="V11662" t="s">
        <v>59931</v>
      </c>
      <c r="W11662" t="s">
        <v>60845</v>
      </c>
      <c r="X11662" t="s">
        <v>44775</v>
      </c>
    </row>
    <row r="11663" spans="1:24">
      <c r="A11663">
        <f>HYPERLINK("https://www.philgeps.gov.ph/GEPSNONPILOT/Tender/SplashBidNoticeAbstractUI.aspx?menuIndex=3&amp;refID=7128892&amp;Result=3","7128892")</f>
        <v>0</v>
      </c>
      <c r="B11663" t="s">
        <v>106</v>
      </c>
      <c r="C11663" t="s">
        <v>14845</v>
      </c>
      <c r="D11663" t="s">
        <v>17961</v>
      </c>
      <c r="E11663" t="s">
        <v>28118</v>
      </c>
      <c r="F11663" t="s">
        <v>30900</v>
      </c>
      <c r="G11663" t="s">
        <v>30907</v>
      </c>
      <c r="H11663" t="s">
        <v>30916</v>
      </c>
      <c r="I11663" t="s">
        <v>8123</v>
      </c>
      <c r="J11663" t="s">
        <v>38315</v>
      </c>
      <c r="K11663" t="s">
        <v>40289</v>
      </c>
      <c r="M11663" t="s">
        <v>40653</v>
      </c>
      <c r="N11663" t="s">
        <v>44759</v>
      </c>
      <c r="O11663" t="s">
        <v>44760</v>
      </c>
      <c r="Q11663">
        <v>0</v>
      </c>
      <c r="R11663" t="s">
        <v>44774</v>
      </c>
      <c r="S11663" t="s">
        <v>45361</v>
      </c>
      <c r="T11663" t="s">
        <v>46361</v>
      </c>
      <c r="U11663" t="s">
        <v>56524</v>
      </c>
      <c r="V11663" t="s">
        <v>59168</v>
      </c>
      <c r="W11663" t="s">
        <v>40653</v>
      </c>
      <c r="X11663" t="s">
        <v>44775</v>
      </c>
    </row>
    <row r="11664" spans="1:24">
      <c r="A11664">
        <f>HYPERLINK("https://www.philgeps.gov.ph/GEPSNONPILOT/Tender/SplashBidNoticeAbstractUI.aspx?menuIndex=3&amp;refID=7128757&amp;Result=3","7128757")</f>
        <v>0</v>
      </c>
      <c r="B11664" t="s">
        <v>781</v>
      </c>
      <c r="C11664" t="s">
        <v>14846</v>
      </c>
      <c r="D11664" t="s">
        <v>17959</v>
      </c>
      <c r="E11664" t="s">
        <v>28119</v>
      </c>
      <c r="F11664" t="s">
        <v>30900</v>
      </c>
      <c r="G11664" t="s">
        <v>30907</v>
      </c>
      <c r="H11664" t="s">
        <v>30916</v>
      </c>
      <c r="I11664" t="s">
        <v>4545</v>
      </c>
      <c r="J11664" t="s">
        <v>38316</v>
      </c>
      <c r="K11664" t="s">
        <v>40286</v>
      </c>
      <c r="M11664" t="s">
        <v>44218</v>
      </c>
      <c r="N11664" t="s">
        <v>44759</v>
      </c>
      <c r="O11664" t="s">
        <v>44760</v>
      </c>
      <c r="P11664">
        <v>0</v>
      </c>
      <c r="Q11664">
        <v>10</v>
      </c>
      <c r="R11664" t="s">
        <v>44774</v>
      </c>
      <c r="S11664" t="s">
        <v>45266</v>
      </c>
      <c r="T11664" t="s">
        <v>46877</v>
      </c>
      <c r="U11664" t="s">
        <v>56525</v>
      </c>
      <c r="W11664" t="s">
        <v>44218</v>
      </c>
      <c r="X11664" t="s">
        <v>44775</v>
      </c>
    </row>
    <row r="11665" spans="1:24">
      <c r="A11665">
        <f>HYPERLINK("https://www.philgeps.gov.ph/GEPSNONPILOT/Tender/SplashBidNoticeAbstractUI.aspx?menuIndex=3&amp;refID=7128755&amp;Result=3","7128755")</f>
        <v>0</v>
      </c>
      <c r="B11665" t="s">
        <v>819</v>
      </c>
      <c r="C11665" t="s">
        <v>14847</v>
      </c>
      <c r="D11665" t="s">
        <v>18025</v>
      </c>
      <c r="E11665" t="s">
        <v>28120</v>
      </c>
      <c r="F11665" t="s">
        <v>30900</v>
      </c>
      <c r="G11665" t="s">
        <v>30907</v>
      </c>
      <c r="H11665" t="s">
        <v>30915</v>
      </c>
      <c r="I11665" t="s">
        <v>30919</v>
      </c>
      <c r="J11665" t="s">
        <v>38317</v>
      </c>
      <c r="K11665" t="s">
        <v>40304</v>
      </c>
      <c r="M11665" t="s">
        <v>41390</v>
      </c>
      <c r="N11665" t="s">
        <v>44759</v>
      </c>
      <c r="O11665" t="s">
        <v>44760</v>
      </c>
      <c r="P11665">
        <v>0</v>
      </c>
      <c r="Q11665">
        <v>1</v>
      </c>
      <c r="R11665" t="s">
        <v>44774</v>
      </c>
      <c r="S11665" t="s">
        <v>45266</v>
      </c>
      <c r="T11665" t="s">
        <v>46396</v>
      </c>
      <c r="U11665" t="s">
        <v>56526</v>
      </c>
      <c r="W11665" t="s">
        <v>60927</v>
      </c>
      <c r="X11665" t="s">
        <v>44775</v>
      </c>
    </row>
    <row r="11666" spans="1:24">
      <c r="A11666">
        <f>HYPERLINK("https://www.philgeps.gov.ph/GEPSNONPILOT/Tender/SplashBidNoticeAbstractUI.aspx?menuIndex=3&amp;refID=7128919&amp;Result=3","7128919")</f>
        <v>0</v>
      </c>
      <c r="B11666" t="s">
        <v>3385</v>
      </c>
      <c r="C11666" t="s">
        <v>14848</v>
      </c>
      <c r="D11666" t="s">
        <v>17994</v>
      </c>
      <c r="E11666" t="s">
        <v>28121</v>
      </c>
      <c r="F11666" t="s">
        <v>30900</v>
      </c>
      <c r="G11666" t="s">
        <v>30907</v>
      </c>
      <c r="H11666" t="s">
        <v>30916</v>
      </c>
      <c r="I11666" t="s">
        <v>30939</v>
      </c>
      <c r="J11666" t="s">
        <v>38318</v>
      </c>
      <c r="K11666" t="s">
        <v>40289</v>
      </c>
      <c r="M11666" t="s">
        <v>44259</v>
      </c>
      <c r="N11666" t="s">
        <v>44759</v>
      </c>
      <c r="O11666" t="s">
        <v>44760</v>
      </c>
      <c r="P11666">
        <v>0</v>
      </c>
      <c r="Q11666">
        <v>0</v>
      </c>
      <c r="R11666" t="s">
        <v>44774</v>
      </c>
      <c r="S11666" t="s">
        <v>45266</v>
      </c>
      <c r="T11666" t="s">
        <v>46352</v>
      </c>
      <c r="U11666" t="s">
        <v>56527</v>
      </c>
      <c r="W11666" t="s">
        <v>44259</v>
      </c>
      <c r="X11666" t="s">
        <v>44775</v>
      </c>
    </row>
    <row r="11667" spans="1:24">
      <c r="A11667">
        <f>HYPERLINK("https://www.philgeps.gov.ph/GEPSNONPILOT/Tender/SplashBidNoticeAbstractUI.aspx?menuIndex=3&amp;refID=7120539&amp;Result=3","7120539")</f>
        <v>0</v>
      </c>
      <c r="B11667" t="s">
        <v>886</v>
      </c>
      <c r="C11667" t="s">
        <v>14849</v>
      </c>
      <c r="D11667" t="s">
        <v>17972</v>
      </c>
      <c r="E11667" t="s">
        <v>28122</v>
      </c>
      <c r="F11667" t="s">
        <v>30900</v>
      </c>
      <c r="G11667" t="s">
        <v>30907</v>
      </c>
      <c r="H11667" t="s">
        <v>30916</v>
      </c>
      <c r="I11667" t="s">
        <v>30933</v>
      </c>
      <c r="J11667" t="s">
        <v>31069</v>
      </c>
      <c r="K11667" t="s">
        <v>40287</v>
      </c>
      <c r="M11667" t="s">
        <v>44253</v>
      </c>
      <c r="N11667" t="s">
        <v>44759</v>
      </c>
      <c r="O11667" t="s">
        <v>44760</v>
      </c>
      <c r="P11667">
        <v>0</v>
      </c>
      <c r="Q11667">
        <v>6</v>
      </c>
      <c r="R11667" t="s">
        <v>44775</v>
      </c>
      <c r="S11667" t="s">
        <v>45343</v>
      </c>
      <c r="T11667" t="s">
        <v>46351</v>
      </c>
      <c r="U11667" t="s">
        <v>56528</v>
      </c>
      <c r="W11667" t="s">
        <v>44253</v>
      </c>
      <c r="X11667" t="s">
        <v>44777</v>
      </c>
    </row>
    <row r="11668" spans="1:24">
      <c r="A11668">
        <f>HYPERLINK("https://www.philgeps.gov.ph/GEPSNONPILOT/Tender/SplashBidNoticeAbstractUI.aspx?menuIndex=3&amp;refID=7128750&amp;Result=3","7128750")</f>
        <v>0</v>
      </c>
      <c r="B11668" t="s">
        <v>3386</v>
      </c>
      <c r="C11668" t="s">
        <v>14850</v>
      </c>
      <c r="D11668" t="s">
        <v>17953</v>
      </c>
      <c r="E11668" t="s">
        <v>28123</v>
      </c>
      <c r="F11668" t="s">
        <v>30900</v>
      </c>
      <c r="G11668" t="s">
        <v>30907</v>
      </c>
      <c r="H11668" t="s">
        <v>30915</v>
      </c>
      <c r="I11668" t="s">
        <v>30919</v>
      </c>
      <c r="J11668" t="s">
        <v>31341</v>
      </c>
      <c r="K11668" t="s">
        <v>40289</v>
      </c>
      <c r="M11668" t="s">
        <v>44260</v>
      </c>
      <c r="N11668" t="s">
        <v>44759</v>
      </c>
      <c r="O11668" t="s">
        <v>44760</v>
      </c>
      <c r="P11668">
        <v>0</v>
      </c>
      <c r="Q11668">
        <v>0</v>
      </c>
      <c r="R11668" t="s">
        <v>44774</v>
      </c>
      <c r="S11668" t="s">
        <v>45266</v>
      </c>
      <c r="T11668" t="s">
        <v>46658</v>
      </c>
      <c r="U11668" t="s">
        <v>56529</v>
      </c>
      <c r="W11668" t="s">
        <v>44260</v>
      </c>
      <c r="X11668" t="s">
        <v>44775</v>
      </c>
    </row>
    <row r="11669" spans="1:24">
      <c r="A11669">
        <f>HYPERLINK("https://www.philgeps.gov.ph/GEPSNONPILOT/Tender/SplashBidNoticeAbstractUI.aspx?menuIndex=3&amp;refID=7128747&amp;Result=3","7128747")</f>
        <v>0</v>
      </c>
      <c r="B11669" t="s">
        <v>3352</v>
      </c>
      <c r="C11669" t="s">
        <v>14851</v>
      </c>
      <c r="E11669" t="s">
        <v>28124</v>
      </c>
      <c r="F11669" t="s">
        <v>30900</v>
      </c>
      <c r="G11669" t="s">
        <v>30907</v>
      </c>
      <c r="H11669" t="s">
        <v>30916</v>
      </c>
      <c r="I11669" t="s">
        <v>8123</v>
      </c>
      <c r="J11669" t="s">
        <v>38319</v>
      </c>
      <c r="K11669" t="s">
        <v>40314</v>
      </c>
      <c r="M11669" t="s">
        <v>44221</v>
      </c>
      <c r="N11669" t="s">
        <v>44759</v>
      </c>
      <c r="O11669" t="s">
        <v>44760</v>
      </c>
      <c r="P11669">
        <v>0</v>
      </c>
      <c r="Q11669">
        <v>1</v>
      </c>
      <c r="R11669" t="s">
        <v>44774</v>
      </c>
      <c r="S11669" t="s">
        <v>45266</v>
      </c>
      <c r="T11669" t="s">
        <v>46352</v>
      </c>
      <c r="U11669" t="s">
        <v>56530</v>
      </c>
      <c r="V11669" t="s">
        <v>60416</v>
      </c>
      <c r="W11669" t="s">
        <v>44221</v>
      </c>
      <c r="X11669" t="s">
        <v>44775</v>
      </c>
    </row>
    <row r="11670" spans="1:24">
      <c r="A11670">
        <f>HYPERLINK("https://www.philgeps.gov.ph/GEPSNONPILOT/Tender/SplashBidNoticeAbstractUI.aspx?menuIndex=3&amp;refID=7128738&amp;Result=3","7128738")</f>
        <v>0</v>
      </c>
      <c r="B11670" t="s">
        <v>1567</v>
      </c>
      <c r="C11670" t="s">
        <v>14852</v>
      </c>
      <c r="D11670" t="s">
        <v>18006</v>
      </c>
      <c r="E11670" t="s">
        <v>28125</v>
      </c>
      <c r="F11670" t="s">
        <v>30900</v>
      </c>
      <c r="G11670" t="s">
        <v>30907</v>
      </c>
      <c r="H11670" t="s">
        <v>30915</v>
      </c>
      <c r="I11670" t="s">
        <v>30919</v>
      </c>
      <c r="J11670" t="s">
        <v>31391</v>
      </c>
      <c r="K11670" t="s">
        <v>40289</v>
      </c>
      <c r="M11670" t="s">
        <v>42215</v>
      </c>
      <c r="N11670" t="s">
        <v>44759</v>
      </c>
      <c r="O11670" t="s">
        <v>44760</v>
      </c>
      <c r="P11670">
        <v>0</v>
      </c>
      <c r="Q11670">
        <v>1</v>
      </c>
      <c r="R11670" t="s">
        <v>44774</v>
      </c>
      <c r="S11670" t="s">
        <v>45266</v>
      </c>
      <c r="T11670" t="s">
        <v>46418</v>
      </c>
      <c r="U11670" t="s">
        <v>54195</v>
      </c>
      <c r="W11670" t="s">
        <v>42215</v>
      </c>
      <c r="X11670" t="s">
        <v>44775</v>
      </c>
    </row>
    <row r="11671" spans="1:24">
      <c r="A11671">
        <f>HYPERLINK("https://www.philgeps.gov.ph/GEPSNONPILOT/Tender/SplashBidNoticeAbstractUI.aspx?menuIndex=3&amp;refID=7128717&amp;Result=3","7128717")</f>
        <v>0</v>
      </c>
      <c r="B11671" t="s">
        <v>836</v>
      </c>
      <c r="C11671" t="s">
        <v>14853</v>
      </c>
      <c r="D11671" t="s">
        <v>17952</v>
      </c>
      <c r="E11671" t="s">
        <v>28126</v>
      </c>
      <c r="F11671" t="s">
        <v>30901</v>
      </c>
      <c r="G11671" t="s">
        <v>30907</v>
      </c>
      <c r="H11671" t="s">
        <v>30916</v>
      </c>
      <c r="I11671" t="s">
        <v>30974</v>
      </c>
      <c r="J11671" t="s">
        <v>38320</v>
      </c>
      <c r="K11671" t="s">
        <v>40286</v>
      </c>
      <c r="M11671" t="s">
        <v>41409</v>
      </c>
      <c r="N11671" t="s">
        <v>44759</v>
      </c>
      <c r="O11671" t="s">
        <v>44760</v>
      </c>
      <c r="P11671">
        <v>0</v>
      </c>
      <c r="Q11671">
        <v>7</v>
      </c>
      <c r="R11671" t="s">
        <v>44774</v>
      </c>
      <c r="S11671" t="s">
        <v>45266</v>
      </c>
      <c r="T11671" t="s">
        <v>46411</v>
      </c>
      <c r="U11671" t="s">
        <v>56531</v>
      </c>
      <c r="W11671" t="s">
        <v>41409</v>
      </c>
      <c r="X11671" t="s">
        <v>44775</v>
      </c>
    </row>
    <row r="11672" spans="1:24">
      <c r="A11672">
        <f>HYPERLINK("https://www.philgeps.gov.ph/GEPSNONPILOT/Tender/SplashBidNoticeAbstractUI.aspx?menuIndex=3&amp;refID=7128871&amp;Result=3","7128871")</f>
        <v>0</v>
      </c>
      <c r="B11672" t="s">
        <v>855</v>
      </c>
      <c r="C11672" t="s">
        <v>14854</v>
      </c>
      <c r="D11672" t="s">
        <v>17975</v>
      </c>
      <c r="E11672" t="s">
        <v>28127</v>
      </c>
      <c r="F11672" t="s">
        <v>30900</v>
      </c>
      <c r="G11672" t="s">
        <v>30907</v>
      </c>
      <c r="H11672" t="s">
        <v>30915</v>
      </c>
      <c r="I11672" t="s">
        <v>30919</v>
      </c>
      <c r="J11672" t="s">
        <v>38321</v>
      </c>
      <c r="K11672" t="s">
        <v>40292</v>
      </c>
      <c r="M11672" t="s">
        <v>41428</v>
      </c>
      <c r="N11672" t="s">
        <v>44759</v>
      </c>
      <c r="O11672" t="s">
        <v>44760</v>
      </c>
      <c r="P11672">
        <v>0</v>
      </c>
      <c r="Q11672">
        <v>0</v>
      </c>
      <c r="R11672" t="s">
        <v>44774</v>
      </c>
      <c r="S11672" t="s">
        <v>45266</v>
      </c>
      <c r="T11672" t="s">
        <v>46352</v>
      </c>
      <c r="U11672" t="s">
        <v>56532</v>
      </c>
      <c r="W11672" t="s">
        <v>41428</v>
      </c>
      <c r="X11672" t="s">
        <v>44775</v>
      </c>
    </row>
    <row r="11673" spans="1:24">
      <c r="A11673">
        <f>HYPERLINK("https://www.philgeps.gov.ph/GEPSNONPILOT/Tender/SplashBidNoticeAbstractUI.aspx?menuIndex=3&amp;refID=7128570&amp;Result=3","7128570")</f>
        <v>0</v>
      </c>
      <c r="B11673" t="s">
        <v>1567</v>
      </c>
      <c r="C11673" t="s">
        <v>14855</v>
      </c>
      <c r="D11673" t="s">
        <v>18006</v>
      </c>
      <c r="E11673" t="s">
        <v>28128</v>
      </c>
      <c r="F11673" t="s">
        <v>30900</v>
      </c>
      <c r="G11673" t="s">
        <v>30907</v>
      </c>
      <c r="H11673" t="s">
        <v>30915</v>
      </c>
      <c r="I11673" t="s">
        <v>30919</v>
      </c>
      <c r="J11673" t="s">
        <v>31069</v>
      </c>
      <c r="K11673" t="s">
        <v>40289</v>
      </c>
      <c r="M11673" t="s">
        <v>42215</v>
      </c>
      <c r="N11673" t="s">
        <v>44759</v>
      </c>
      <c r="O11673" t="s">
        <v>44760</v>
      </c>
      <c r="P11673">
        <v>0</v>
      </c>
      <c r="Q11673">
        <v>1</v>
      </c>
      <c r="R11673" t="s">
        <v>44774</v>
      </c>
      <c r="S11673" t="s">
        <v>45266</v>
      </c>
      <c r="T11673" t="s">
        <v>46418</v>
      </c>
      <c r="U11673" t="s">
        <v>54195</v>
      </c>
      <c r="W11673" t="s">
        <v>42215</v>
      </c>
      <c r="X11673" t="s">
        <v>44775</v>
      </c>
    </row>
    <row r="11674" spans="1:24">
      <c r="A11674">
        <f>HYPERLINK("https://www.philgeps.gov.ph/GEPSNONPILOT/Tender/SplashBidNoticeAbstractUI.aspx?menuIndex=3&amp;refID=7128563&amp;Result=3","7128563")</f>
        <v>0</v>
      </c>
      <c r="B11674" t="s">
        <v>3347</v>
      </c>
      <c r="C11674" t="s">
        <v>14856</v>
      </c>
      <c r="D11674" t="s">
        <v>18002</v>
      </c>
      <c r="E11674" t="s">
        <v>25618</v>
      </c>
      <c r="F11674" t="s">
        <v>30900</v>
      </c>
      <c r="G11674" t="s">
        <v>30907</v>
      </c>
      <c r="H11674" t="s">
        <v>30915</v>
      </c>
      <c r="I11674" t="s">
        <v>30919</v>
      </c>
      <c r="J11674" t="s">
        <v>38322</v>
      </c>
      <c r="K11674" t="s">
        <v>40377</v>
      </c>
      <c r="M11674" t="s">
        <v>44215</v>
      </c>
      <c r="N11674" t="s">
        <v>44759</v>
      </c>
      <c r="O11674" t="s">
        <v>44760</v>
      </c>
      <c r="P11674">
        <v>0</v>
      </c>
      <c r="Q11674">
        <v>5</v>
      </c>
      <c r="R11674" t="s">
        <v>44774</v>
      </c>
      <c r="S11674" t="s">
        <v>45266</v>
      </c>
      <c r="T11674" t="s">
        <v>46409</v>
      </c>
      <c r="U11674" t="s">
        <v>56328</v>
      </c>
      <c r="V11674" t="s">
        <v>60442</v>
      </c>
      <c r="W11674" t="s">
        <v>44215</v>
      </c>
      <c r="X11674" t="s">
        <v>44775</v>
      </c>
    </row>
    <row r="11675" spans="1:24">
      <c r="A11675">
        <f>HYPERLINK("https://www.philgeps.gov.ph/GEPSNONPILOT/Tender/SplashBidNoticeAbstractUI.aspx?menuIndex=3&amp;refID=7128928&amp;Result=3","7128928")</f>
        <v>0</v>
      </c>
      <c r="B11675" t="s">
        <v>836</v>
      </c>
      <c r="C11675" t="s">
        <v>14857</v>
      </c>
      <c r="D11675" t="s">
        <v>17952</v>
      </c>
      <c r="E11675" t="s">
        <v>28129</v>
      </c>
      <c r="F11675" t="s">
        <v>30900</v>
      </c>
      <c r="G11675" t="s">
        <v>30907</v>
      </c>
      <c r="H11675" t="s">
        <v>30916</v>
      </c>
      <c r="I11675" t="s">
        <v>9385</v>
      </c>
      <c r="J11675" t="s">
        <v>38323</v>
      </c>
      <c r="K11675" t="s">
        <v>40286</v>
      </c>
      <c r="M11675" t="s">
        <v>41409</v>
      </c>
      <c r="N11675" t="s">
        <v>44759</v>
      </c>
      <c r="O11675" t="s">
        <v>44760</v>
      </c>
      <c r="P11675">
        <v>0</v>
      </c>
      <c r="Q11675">
        <v>39</v>
      </c>
      <c r="R11675" t="s">
        <v>44774</v>
      </c>
      <c r="S11675" t="s">
        <v>45266</v>
      </c>
      <c r="T11675" t="s">
        <v>46418</v>
      </c>
      <c r="U11675" t="s">
        <v>56533</v>
      </c>
      <c r="W11675" t="s">
        <v>41409</v>
      </c>
      <c r="X11675" t="s">
        <v>44775</v>
      </c>
    </row>
    <row r="11676" spans="1:24">
      <c r="A11676">
        <f>HYPERLINK("https://www.philgeps.gov.ph/GEPSNONPILOT/Tender/SplashBidNoticeAbstractUI.aspx?menuIndex=3&amp;refID=7128560&amp;Result=3","7128560")</f>
        <v>0</v>
      </c>
      <c r="B11676" t="s">
        <v>2407</v>
      </c>
      <c r="C11676" t="s">
        <v>14858</v>
      </c>
      <c r="D11676" t="s">
        <v>17985</v>
      </c>
      <c r="E11676" t="s">
        <v>28130</v>
      </c>
      <c r="F11676" t="s">
        <v>30900</v>
      </c>
      <c r="G11676" t="s">
        <v>30907</v>
      </c>
      <c r="H11676" t="s">
        <v>30916</v>
      </c>
      <c r="I11676" t="s">
        <v>5830</v>
      </c>
      <c r="J11676" t="s">
        <v>38324</v>
      </c>
      <c r="K11676" t="s">
        <v>40286</v>
      </c>
      <c r="M11676" t="s">
        <v>43284</v>
      </c>
      <c r="N11676" t="s">
        <v>44759</v>
      </c>
      <c r="O11676" t="s">
        <v>44760</v>
      </c>
      <c r="Q11676">
        <v>7</v>
      </c>
      <c r="R11676" t="s">
        <v>44774</v>
      </c>
      <c r="S11676" t="s">
        <v>45362</v>
      </c>
      <c r="T11676" t="s">
        <v>46472</v>
      </c>
      <c r="U11676" t="s">
        <v>56534</v>
      </c>
      <c r="W11676" t="s">
        <v>43284</v>
      </c>
      <c r="X11676" t="s">
        <v>44775</v>
      </c>
    </row>
    <row r="11677" spans="1:24">
      <c r="A11677">
        <f>HYPERLINK("https://www.philgeps.gov.ph/GEPSNONPILOT/Tender/SplashBidNoticeAbstractUI.aspx?menuIndex=3&amp;refID=7128397&amp;Result=3","7128397")</f>
        <v>0</v>
      </c>
      <c r="B11677" t="s">
        <v>839</v>
      </c>
      <c r="C11677" t="s">
        <v>14859</v>
      </c>
      <c r="E11677" t="s">
        <v>28131</v>
      </c>
      <c r="F11677" t="s">
        <v>30900</v>
      </c>
      <c r="G11677" t="s">
        <v>30907</v>
      </c>
      <c r="H11677" t="s">
        <v>30916</v>
      </c>
      <c r="I11677" t="s">
        <v>9385</v>
      </c>
      <c r="J11677" t="s">
        <v>38325</v>
      </c>
      <c r="K11677" t="s">
        <v>40289</v>
      </c>
      <c r="M11677" t="s">
        <v>44261</v>
      </c>
      <c r="N11677" t="s">
        <v>44759</v>
      </c>
      <c r="O11677" t="s">
        <v>44760</v>
      </c>
      <c r="P11677">
        <v>0</v>
      </c>
      <c r="Q11677">
        <v>23</v>
      </c>
      <c r="R11677" t="s">
        <v>44774</v>
      </c>
      <c r="S11677" t="s">
        <v>45266</v>
      </c>
      <c r="T11677" t="s">
        <v>46425</v>
      </c>
      <c r="U11677" t="s">
        <v>56535</v>
      </c>
      <c r="W11677" t="s">
        <v>44261</v>
      </c>
      <c r="X11677" t="s">
        <v>44775</v>
      </c>
    </row>
    <row r="11678" spans="1:24">
      <c r="A11678">
        <f>HYPERLINK("https://www.philgeps.gov.ph/GEPSNONPILOT/Tender/SplashBidNoticeAbstractUI.aspx?menuIndex=3&amp;refID=7128720&amp;Result=3","7128720")</f>
        <v>0</v>
      </c>
      <c r="B11678" t="s">
        <v>605</v>
      </c>
      <c r="C11678" t="s">
        <v>14860</v>
      </c>
      <c r="D11678" t="s">
        <v>18020</v>
      </c>
      <c r="E11678" t="s">
        <v>28132</v>
      </c>
      <c r="F11678" t="s">
        <v>30900</v>
      </c>
      <c r="G11678" t="s">
        <v>30907</v>
      </c>
      <c r="H11678" t="s">
        <v>30916</v>
      </c>
      <c r="I11678" t="s">
        <v>30960</v>
      </c>
      <c r="J11678" t="s">
        <v>38326</v>
      </c>
      <c r="K11678" t="s">
        <v>40283</v>
      </c>
      <c r="M11678" t="s">
        <v>41166</v>
      </c>
      <c r="N11678" t="s">
        <v>44759</v>
      </c>
      <c r="O11678" t="s">
        <v>44760</v>
      </c>
      <c r="P11678">
        <v>0</v>
      </c>
      <c r="Q11678">
        <v>5</v>
      </c>
      <c r="R11678" t="s">
        <v>44774</v>
      </c>
      <c r="S11678" t="s">
        <v>45266</v>
      </c>
      <c r="T11678" t="s">
        <v>46425</v>
      </c>
      <c r="U11678" t="s">
        <v>51739</v>
      </c>
      <c r="W11678" t="s">
        <v>41166</v>
      </c>
      <c r="X11678" t="s">
        <v>44775</v>
      </c>
    </row>
    <row r="11679" spans="1:24">
      <c r="A11679">
        <f>HYPERLINK("https://www.philgeps.gov.ph/GEPSNONPILOT/Tender/SplashBidNoticeAbstractUI.aspx?menuIndex=3&amp;refID=7128564&amp;Result=3","7128564")</f>
        <v>0</v>
      </c>
      <c r="B11679" t="s">
        <v>2307</v>
      </c>
      <c r="C11679" t="s">
        <v>14861</v>
      </c>
      <c r="D11679" t="s">
        <v>17955</v>
      </c>
      <c r="E11679" t="s">
        <v>28133</v>
      </c>
      <c r="F11679" t="s">
        <v>30900</v>
      </c>
      <c r="G11679" t="s">
        <v>30907</v>
      </c>
      <c r="H11679" t="s">
        <v>30916</v>
      </c>
      <c r="I11679" t="s">
        <v>4108</v>
      </c>
      <c r="J11679" t="s">
        <v>33950</v>
      </c>
      <c r="K11679" t="s">
        <v>40286</v>
      </c>
      <c r="M11679" t="s">
        <v>43171</v>
      </c>
      <c r="N11679" t="s">
        <v>44759</v>
      </c>
      <c r="O11679" t="s">
        <v>44760</v>
      </c>
      <c r="P11679">
        <v>0</v>
      </c>
      <c r="Q11679">
        <v>6</v>
      </c>
      <c r="R11679" t="s">
        <v>44774</v>
      </c>
      <c r="S11679" t="s">
        <v>45266</v>
      </c>
      <c r="T11679" t="s">
        <v>46612</v>
      </c>
      <c r="U11679" t="s">
        <v>56536</v>
      </c>
      <c r="W11679" t="s">
        <v>43171</v>
      </c>
      <c r="X11679" t="s">
        <v>44775</v>
      </c>
    </row>
    <row r="11680" spans="1:24">
      <c r="A11680">
        <f>HYPERLINK("https://www.philgeps.gov.ph/GEPSNONPILOT/Tender/SplashBidNoticeAbstractUI.aspx?menuIndex=3&amp;refID=7120642&amp;Result=3","7120642")</f>
        <v>0</v>
      </c>
      <c r="B11680" t="s">
        <v>886</v>
      </c>
      <c r="C11680" t="s">
        <v>14862</v>
      </c>
      <c r="D11680" t="s">
        <v>17972</v>
      </c>
      <c r="E11680" t="s">
        <v>28134</v>
      </c>
      <c r="F11680" t="s">
        <v>30900</v>
      </c>
      <c r="G11680" t="s">
        <v>30907</v>
      </c>
      <c r="H11680" t="s">
        <v>30916</v>
      </c>
      <c r="I11680" t="s">
        <v>8123</v>
      </c>
      <c r="J11680" t="s">
        <v>38327</v>
      </c>
      <c r="K11680" t="s">
        <v>40287</v>
      </c>
      <c r="M11680" t="s">
        <v>44253</v>
      </c>
      <c r="N11680" t="s">
        <v>44759</v>
      </c>
      <c r="O11680" t="s">
        <v>44760</v>
      </c>
      <c r="P11680">
        <v>0</v>
      </c>
      <c r="Q11680">
        <v>2</v>
      </c>
      <c r="R11680" t="s">
        <v>44775</v>
      </c>
      <c r="S11680" t="s">
        <v>45343</v>
      </c>
      <c r="T11680" t="s">
        <v>46351</v>
      </c>
      <c r="U11680" t="s">
        <v>56537</v>
      </c>
      <c r="W11680" t="s">
        <v>44253</v>
      </c>
      <c r="X11680" t="s">
        <v>44777</v>
      </c>
    </row>
    <row r="11681" spans="1:24">
      <c r="A11681">
        <f>HYPERLINK("https://www.philgeps.gov.ph/GEPSNONPILOT/Tender/SplashBidNoticeAbstractUI.aspx?menuIndex=3&amp;refID=7128726&amp;Result=3","7128726")</f>
        <v>0</v>
      </c>
      <c r="B11681" t="s">
        <v>2456</v>
      </c>
      <c r="C11681" t="s">
        <v>14863</v>
      </c>
      <c r="D11681" t="s">
        <v>17998</v>
      </c>
      <c r="E11681" t="s">
        <v>28135</v>
      </c>
      <c r="F11681" t="s">
        <v>30900</v>
      </c>
      <c r="G11681" t="s">
        <v>30907</v>
      </c>
      <c r="H11681" t="s">
        <v>30916</v>
      </c>
      <c r="I11681" t="s">
        <v>6746</v>
      </c>
      <c r="J11681" t="s">
        <v>32498</v>
      </c>
      <c r="K11681" t="s">
        <v>40284</v>
      </c>
      <c r="M11681" t="s">
        <v>43193</v>
      </c>
      <c r="N11681" t="s">
        <v>44759</v>
      </c>
      <c r="O11681" t="s">
        <v>44760</v>
      </c>
      <c r="P11681">
        <v>0</v>
      </c>
      <c r="Q11681">
        <v>0</v>
      </c>
      <c r="R11681" t="s">
        <v>44774</v>
      </c>
      <c r="S11681" t="s">
        <v>45266</v>
      </c>
      <c r="T11681" t="s">
        <v>46352</v>
      </c>
      <c r="U11681" t="s">
        <v>52923</v>
      </c>
      <c r="W11681" t="s">
        <v>43193</v>
      </c>
      <c r="X11681" t="s">
        <v>44775</v>
      </c>
    </row>
    <row r="11682" spans="1:24">
      <c r="A11682">
        <f>HYPERLINK("https://www.philgeps.gov.ph/GEPSNONPILOT/Tender/SplashBidNoticeAbstractUI.aspx?menuIndex=3&amp;refID=7120826&amp;Result=3","7120826")</f>
        <v>0</v>
      </c>
      <c r="B11682" t="s">
        <v>3378</v>
      </c>
      <c r="C11682" t="s">
        <v>14864</v>
      </c>
      <c r="D11682" t="s">
        <v>17953</v>
      </c>
      <c r="E11682" t="s">
        <v>21316</v>
      </c>
      <c r="F11682" t="s">
        <v>30900</v>
      </c>
      <c r="G11682" t="s">
        <v>30907</v>
      </c>
      <c r="H11682" t="s">
        <v>30916</v>
      </c>
      <c r="I11682" t="s">
        <v>5830</v>
      </c>
      <c r="J11682" t="s">
        <v>34350</v>
      </c>
      <c r="K11682" t="s">
        <v>40287</v>
      </c>
      <c r="L11682" t="s">
        <v>3378</v>
      </c>
      <c r="M11682" t="s">
        <v>44250</v>
      </c>
      <c r="N11682" t="s">
        <v>44759</v>
      </c>
      <c r="O11682" t="s">
        <v>44760</v>
      </c>
      <c r="P11682">
        <v>0</v>
      </c>
      <c r="Q11682">
        <v>0</v>
      </c>
      <c r="R11682" t="s">
        <v>44775</v>
      </c>
      <c r="S11682" t="s">
        <v>45343</v>
      </c>
      <c r="T11682" t="s">
        <v>46361</v>
      </c>
      <c r="U11682" t="s">
        <v>50693</v>
      </c>
      <c r="V11682" t="s">
        <v>60439</v>
      </c>
      <c r="W11682" t="s">
        <v>44250</v>
      </c>
      <c r="X11682" t="s">
        <v>44777</v>
      </c>
    </row>
    <row r="11683" spans="1:24">
      <c r="A11683">
        <f>HYPERLINK("https://www.philgeps.gov.ph/GEPSNONPILOT/Tender/SplashBidNoticeAbstractUI.aspx?menuIndex=3&amp;refID=7121611&amp;Result=3","7121611")</f>
        <v>0</v>
      </c>
      <c r="B11683" t="s">
        <v>626</v>
      </c>
      <c r="C11683" t="s">
        <v>14865</v>
      </c>
      <c r="E11683" t="s">
        <v>28136</v>
      </c>
      <c r="F11683" t="s">
        <v>30900</v>
      </c>
      <c r="G11683" t="s">
        <v>30907</v>
      </c>
      <c r="H11683" t="s">
        <v>30915</v>
      </c>
      <c r="I11683" t="s">
        <v>30919</v>
      </c>
      <c r="J11683" t="s">
        <v>38328</v>
      </c>
      <c r="K11683" t="s">
        <v>40289</v>
      </c>
      <c r="M11683" t="s">
        <v>41188</v>
      </c>
      <c r="N11683" t="s">
        <v>44759</v>
      </c>
      <c r="O11683" t="s">
        <v>44760</v>
      </c>
      <c r="P11683">
        <v>0</v>
      </c>
      <c r="Q11683">
        <v>9</v>
      </c>
      <c r="R11683" t="s">
        <v>44775</v>
      </c>
      <c r="S11683" t="s">
        <v>45343</v>
      </c>
      <c r="T11683" t="s">
        <v>46351</v>
      </c>
      <c r="U11683" t="s">
        <v>56538</v>
      </c>
      <c r="V11683" t="s">
        <v>60443</v>
      </c>
      <c r="W11683" t="s">
        <v>41188</v>
      </c>
      <c r="X11683" t="s">
        <v>44777</v>
      </c>
    </row>
    <row r="11684" spans="1:24">
      <c r="A11684">
        <f>HYPERLINK("https://www.philgeps.gov.ph/GEPSNONPILOT/Tender/SplashBidNoticeAbstractUI.aspx?menuIndex=3&amp;refID=7121524&amp;Result=3","7121524")</f>
        <v>0</v>
      </c>
      <c r="B11684" t="s">
        <v>41</v>
      </c>
      <c r="C11684" t="s">
        <v>14866</v>
      </c>
      <c r="D11684" t="s">
        <v>17966</v>
      </c>
      <c r="E11684" t="s">
        <v>28137</v>
      </c>
      <c r="F11684" t="s">
        <v>30900</v>
      </c>
      <c r="G11684" t="s">
        <v>30907</v>
      </c>
      <c r="H11684" t="s">
        <v>30916</v>
      </c>
      <c r="I11684" t="s">
        <v>30939</v>
      </c>
      <c r="J11684" t="s">
        <v>38329</v>
      </c>
      <c r="K11684" t="s">
        <v>40308</v>
      </c>
      <c r="M11684" t="s">
        <v>40831</v>
      </c>
      <c r="N11684" t="s">
        <v>44759</v>
      </c>
      <c r="O11684" t="s">
        <v>44760</v>
      </c>
      <c r="P11684">
        <v>0</v>
      </c>
      <c r="Q11684">
        <v>0</v>
      </c>
      <c r="R11684" t="s">
        <v>44775</v>
      </c>
      <c r="S11684" t="s">
        <v>45343</v>
      </c>
      <c r="T11684" t="s">
        <v>46366</v>
      </c>
      <c r="U11684" t="s">
        <v>56539</v>
      </c>
      <c r="V11684" t="s">
        <v>59095</v>
      </c>
      <c r="W11684" t="s">
        <v>40831</v>
      </c>
      <c r="X11684" t="s">
        <v>44777</v>
      </c>
    </row>
    <row r="11685" spans="1:24">
      <c r="A11685">
        <f>HYPERLINK("https://www.philgeps.gov.ph/GEPSNONPILOT/Tender/SplashBidNoticeAbstractUI.aspx?menuIndex=3&amp;refID=7121498&amp;Result=3","7121498")</f>
        <v>0</v>
      </c>
      <c r="B11685" t="s">
        <v>41</v>
      </c>
      <c r="C11685" t="s">
        <v>14867</v>
      </c>
      <c r="D11685" t="s">
        <v>17966</v>
      </c>
      <c r="E11685" t="s">
        <v>28138</v>
      </c>
      <c r="F11685" t="s">
        <v>30900</v>
      </c>
      <c r="G11685" t="s">
        <v>30907</v>
      </c>
      <c r="H11685" t="s">
        <v>30916</v>
      </c>
      <c r="I11685" t="s">
        <v>30939</v>
      </c>
      <c r="J11685" t="s">
        <v>38330</v>
      </c>
      <c r="K11685" t="s">
        <v>40280</v>
      </c>
      <c r="M11685" t="s">
        <v>40831</v>
      </c>
      <c r="N11685" t="s">
        <v>44759</v>
      </c>
      <c r="O11685" t="s">
        <v>44760</v>
      </c>
      <c r="P11685">
        <v>0</v>
      </c>
      <c r="Q11685">
        <v>0</v>
      </c>
      <c r="R11685" t="s">
        <v>44775</v>
      </c>
      <c r="S11685" t="s">
        <v>45343</v>
      </c>
      <c r="T11685" t="s">
        <v>46366</v>
      </c>
      <c r="U11685" t="s">
        <v>56539</v>
      </c>
      <c r="V11685" t="s">
        <v>59095</v>
      </c>
      <c r="W11685" t="s">
        <v>40831</v>
      </c>
      <c r="X11685" t="s">
        <v>44777</v>
      </c>
    </row>
    <row r="11686" spans="1:24">
      <c r="A11686">
        <f>HYPERLINK("https://www.philgeps.gov.ph/GEPSNONPILOT/Tender/SplashBidNoticeAbstractUI.aspx?menuIndex=3&amp;refID=7121278&amp;Result=3","7121278")</f>
        <v>0</v>
      </c>
      <c r="B11686" t="s">
        <v>41</v>
      </c>
      <c r="C11686" t="s">
        <v>14868</v>
      </c>
      <c r="D11686" t="s">
        <v>17966</v>
      </c>
      <c r="E11686" t="s">
        <v>28139</v>
      </c>
      <c r="F11686" t="s">
        <v>30900</v>
      </c>
      <c r="G11686" t="s">
        <v>30907</v>
      </c>
      <c r="H11686" t="s">
        <v>30916</v>
      </c>
      <c r="I11686" t="s">
        <v>30939</v>
      </c>
      <c r="J11686" t="s">
        <v>38331</v>
      </c>
      <c r="K11686" t="s">
        <v>40283</v>
      </c>
      <c r="M11686" t="s">
        <v>40831</v>
      </c>
      <c r="N11686" t="s">
        <v>44759</v>
      </c>
      <c r="O11686" t="s">
        <v>44760</v>
      </c>
      <c r="P11686">
        <v>0</v>
      </c>
      <c r="Q11686">
        <v>2</v>
      </c>
      <c r="R11686" t="s">
        <v>44775</v>
      </c>
      <c r="S11686" t="s">
        <v>45343</v>
      </c>
      <c r="T11686" t="s">
        <v>46366</v>
      </c>
      <c r="U11686" t="s">
        <v>56540</v>
      </c>
      <c r="V11686" t="s">
        <v>59095</v>
      </c>
      <c r="W11686" t="s">
        <v>40831</v>
      </c>
      <c r="X11686" t="s">
        <v>44777</v>
      </c>
    </row>
    <row r="11687" spans="1:24">
      <c r="A11687">
        <f>HYPERLINK("https://www.philgeps.gov.ph/GEPSNONPILOT/Tender/SplashBidNoticeAbstractUI.aspx?menuIndex=3&amp;refID=7121125&amp;Result=3","7121125")</f>
        <v>0</v>
      </c>
      <c r="B11687" t="s">
        <v>3387</v>
      </c>
      <c r="C11687" t="s">
        <v>14869</v>
      </c>
      <c r="D11687" t="s">
        <v>17969</v>
      </c>
      <c r="E11687" t="s">
        <v>28140</v>
      </c>
      <c r="F11687" t="s">
        <v>30899</v>
      </c>
      <c r="G11687" t="s">
        <v>30907</v>
      </c>
      <c r="H11687" t="s">
        <v>30915</v>
      </c>
      <c r="I11687" t="s">
        <v>4965</v>
      </c>
      <c r="J11687" t="s">
        <v>35231</v>
      </c>
      <c r="K11687" t="s">
        <v>40291</v>
      </c>
      <c r="M11687" t="s">
        <v>44262</v>
      </c>
      <c r="N11687" t="s">
        <v>44759</v>
      </c>
      <c r="O11687" t="s">
        <v>44760</v>
      </c>
      <c r="P11687">
        <v>0</v>
      </c>
      <c r="Q11687">
        <v>6</v>
      </c>
      <c r="R11687" t="s">
        <v>44775</v>
      </c>
      <c r="S11687" t="s">
        <v>45343</v>
      </c>
      <c r="T11687" t="s">
        <v>46391</v>
      </c>
      <c r="U11687" t="s">
        <v>56541</v>
      </c>
      <c r="W11687" t="s">
        <v>44262</v>
      </c>
      <c r="X11687" t="s">
        <v>44777</v>
      </c>
    </row>
    <row r="11688" spans="1:24">
      <c r="A11688">
        <f>HYPERLINK("https://www.philgeps.gov.ph/GEPSNONPILOT/Tender/SplashBidNoticeAbstractUI.aspx?menuIndex=3&amp;refID=7121107&amp;Result=3","7121107")</f>
        <v>0</v>
      </c>
      <c r="B11688" t="s">
        <v>1572</v>
      </c>
      <c r="C11688" t="s">
        <v>14870</v>
      </c>
      <c r="E11688" t="s">
        <v>28141</v>
      </c>
      <c r="F11688" t="s">
        <v>30900</v>
      </c>
      <c r="G11688" t="s">
        <v>30907</v>
      </c>
      <c r="H11688" t="s">
        <v>30916</v>
      </c>
      <c r="I11688" t="s">
        <v>30987</v>
      </c>
      <c r="J11688" t="s">
        <v>38332</v>
      </c>
      <c r="K11688" t="s">
        <v>40286</v>
      </c>
      <c r="M11688" t="s">
        <v>42220</v>
      </c>
      <c r="N11688" t="s">
        <v>44759</v>
      </c>
      <c r="O11688" t="s">
        <v>44760</v>
      </c>
      <c r="Q11688">
        <v>2</v>
      </c>
      <c r="R11688" t="s">
        <v>44775</v>
      </c>
      <c r="S11688" t="s">
        <v>45363</v>
      </c>
      <c r="T11688" t="s">
        <v>46352</v>
      </c>
      <c r="U11688" t="s">
        <v>54084</v>
      </c>
      <c r="W11688" t="s">
        <v>42220</v>
      </c>
      <c r="X11688" t="s">
        <v>44777</v>
      </c>
    </row>
    <row r="11689" spans="1:24">
      <c r="A11689">
        <f>HYPERLINK("https://www.philgeps.gov.ph/GEPSNONPILOT/Tender/SplashBidNoticeAbstractUI.aspx?menuIndex=3&amp;refID=7121017&amp;Result=3","7121017")</f>
        <v>0</v>
      </c>
      <c r="B11689" t="s">
        <v>3378</v>
      </c>
      <c r="C11689" t="s">
        <v>14871</v>
      </c>
      <c r="D11689" t="s">
        <v>17953</v>
      </c>
      <c r="E11689" t="s">
        <v>28142</v>
      </c>
      <c r="F11689" t="s">
        <v>30900</v>
      </c>
      <c r="G11689" t="s">
        <v>30907</v>
      </c>
      <c r="H11689" t="s">
        <v>30916</v>
      </c>
      <c r="I11689" t="s">
        <v>8123</v>
      </c>
      <c r="J11689" t="s">
        <v>36642</v>
      </c>
      <c r="K11689" t="s">
        <v>40287</v>
      </c>
      <c r="L11689" t="s">
        <v>3378</v>
      </c>
      <c r="M11689" t="s">
        <v>44250</v>
      </c>
      <c r="N11689" t="s">
        <v>44759</v>
      </c>
      <c r="O11689" t="s">
        <v>44760</v>
      </c>
      <c r="P11689">
        <v>0</v>
      </c>
      <c r="Q11689">
        <v>0</v>
      </c>
      <c r="R11689" t="s">
        <v>44775</v>
      </c>
      <c r="S11689" t="s">
        <v>45343</v>
      </c>
      <c r="T11689" t="s">
        <v>46352</v>
      </c>
      <c r="U11689" t="s">
        <v>50693</v>
      </c>
      <c r="V11689" t="s">
        <v>60439</v>
      </c>
      <c r="W11689" t="s">
        <v>44250</v>
      </c>
      <c r="X11689" t="s">
        <v>44777</v>
      </c>
    </row>
    <row r="11690" spans="1:24">
      <c r="A11690">
        <f>HYPERLINK("https://www.philgeps.gov.ph/GEPSNONPILOT/Tender/SplashBidNoticeAbstractUI.aspx?menuIndex=3&amp;refID=7108773&amp;Result=3","7108773")</f>
        <v>0</v>
      </c>
      <c r="B11690" t="s">
        <v>1438</v>
      </c>
      <c r="C11690" t="s">
        <v>14872</v>
      </c>
      <c r="D11690" t="s">
        <v>18019</v>
      </c>
      <c r="E11690" t="s">
        <v>28143</v>
      </c>
      <c r="F11690" t="s">
        <v>30900</v>
      </c>
      <c r="G11690" t="s">
        <v>30907</v>
      </c>
      <c r="H11690" t="s">
        <v>30915</v>
      </c>
      <c r="I11690" t="s">
        <v>30919</v>
      </c>
      <c r="J11690" t="s">
        <v>38333</v>
      </c>
      <c r="K11690" t="s">
        <v>40342</v>
      </c>
      <c r="M11690" t="s">
        <v>42070</v>
      </c>
      <c r="N11690" t="s">
        <v>44759</v>
      </c>
      <c r="O11690" t="s">
        <v>44760</v>
      </c>
      <c r="P11690">
        <v>0</v>
      </c>
      <c r="Q11690">
        <v>4</v>
      </c>
      <c r="R11690" t="s">
        <v>44775</v>
      </c>
      <c r="S11690" t="s">
        <v>45343</v>
      </c>
      <c r="T11690" t="s">
        <v>46399</v>
      </c>
      <c r="U11690" t="s">
        <v>56542</v>
      </c>
      <c r="W11690" t="s">
        <v>42070</v>
      </c>
      <c r="X11690" t="s">
        <v>44783</v>
      </c>
    </row>
    <row r="11691" spans="1:24">
      <c r="A11691">
        <f>HYPERLINK("https://www.philgeps.gov.ph/GEPSNONPILOT/Tender/SplashBidNoticeAbstractUI.aspx?menuIndex=3&amp;refID=7122743&amp;Result=3","7122743")</f>
        <v>0</v>
      </c>
      <c r="B11691" t="s">
        <v>3094</v>
      </c>
      <c r="C11691" t="s">
        <v>14873</v>
      </c>
      <c r="D11691" t="s">
        <v>18004</v>
      </c>
      <c r="E11691" t="s">
        <v>28144</v>
      </c>
      <c r="F11691" t="s">
        <v>30900</v>
      </c>
      <c r="G11691" t="s">
        <v>30907</v>
      </c>
      <c r="H11691" t="s">
        <v>30916</v>
      </c>
      <c r="I11691" t="s">
        <v>30963</v>
      </c>
      <c r="J11691" t="s">
        <v>31297</v>
      </c>
      <c r="K11691" t="s">
        <v>40286</v>
      </c>
      <c r="M11691" t="s">
        <v>43906</v>
      </c>
      <c r="N11691" t="s">
        <v>44759</v>
      </c>
      <c r="O11691" t="s">
        <v>44760</v>
      </c>
      <c r="P11691">
        <v>0</v>
      </c>
      <c r="Q11691">
        <v>4</v>
      </c>
      <c r="R11691" t="s">
        <v>44775</v>
      </c>
      <c r="S11691" t="s">
        <v>45343</v>
      </c>
      <c r="T11691" t="s">
        <v>46376</v>
      </c>
      <c r="U11691" t="s">
        <v>56543</v>
      </c>
      <c r="W11691" t="s">
        <v>43906</v>
      </c>
      <c r="X11691" t="s">
        <v>44777</v>
      </c>
    </row>
    <row r="11692" spans="1:24">
      <c r="A11692">
        <f>HYPERLINK("https://www.philgeps.gov.ph/GEPSNONPILOT/Tender/SplashBidNoticeAbstractUI.aspx?menuIndex=3&amp;refID=7122727&amp;Result=3","7122727")</f>
        <v>0</v>
      </c>
      <c r="B11692" t="s">
        <v>3094</v>
      </c>
      <c r="C11692" t="s">
        <v>14874</v>
      </c>
      <c r="D11692" t="s">
        <v>18004</v>
      </c>
      <c r="E11692" t="s">
        <v>28145</v>
      </c>
      <c r="F11692" t="s">
        <v>30900</v>
      </c>
      <c r="G11692" t="s">
        <v>30907</v>
      </c>
      <c r="H11692" t="s">
        <v>30916</v>
      </c>
      <c r="I11692" t="s">
        <v>30939</v>
      </c>
      <c r="J11692" t="s">
        <v>38334</v>
      </c>
      <c r="K11692" t="s">
        <v>40292</v>
      </c>
      <c r="M11692" t="s">
        <v>43906</v>
      </c>
      <c r="N11692" t="s">
        <v>44759</v>
      </c>
      <c r="O11692" t="s">
        <v>44760</v>
      </c>
      <c r="P11692">
        <v>0</v>
      </c>
      <c r="Q11692">
        <v>1</v>
      </c>
      <c r="R11692" t="s">
        <v>44775</v>
      </c>
      <c r="S11692" t="s">
        <v>45343</v>
      </c>
      <c r="T11692" t="s">
        <v>46376</v>
      </c>
      <c r="U11692" t="s">
        <v>56544</v>
      </c>
      <c r="W11692" t="s">
        <v>43906</v>
      </c>
      <c r="X11692" t="s">
        <v>44777</v>
      </c>
    </row>
    <row r="11693" spans="1:24">
      <c r="A11693">
        <f>HYPERLINK("https://www.philgeps.gov.ph/GEPSNONPILOT/Tender/SplashBidNoticeAbstractUI.aspx?menuIndex=3&amp;refID=7122568&amp;Result=3","7122568")</f>
        <v>0</v>
      </c>
      <c r="B11693" t="s">
        <v>3388</v>
      </c>
      <c r="C11693" t="s">
        <v>14875</v>
      </c>
      <c r="D11693" t="s">
        <v>17992</v>
      </c>
      <c r="E11693" t="s">
        <v>28146</v>
      </c>
      <c r="F11693" t="s">
        <v>30900</v>
      </c>
      <c r="G11693" t="s">
        <v>30907</v>
      </c>
      <c r="H11693" t="s">
        <v>30915</v>
      </c>
      <c r="I11693" t="s">
        <v>30919</v>
      </c>
      <c r="J11693" t="s">
        <v>35438</v>
      </c>
      <c r="K11693" t="s">
        <v>40280</v>
      </c>
      <c r="M11693" t="s">
        <v>44263</v>
      </c>
      <c r="N11693" t="s">
        <v>44759</v>
      </c>
      <c r="O11693" t="s">
        <v>44760</v>
      </c>
      <c r="P11693">
        <v>0</v>
      </c>
      <c r="Q11693">
        <v>6</v>
      </c>
      <c r="R11693" t="s">
        <v>44775</v>
      </c>
      <c r="S11693" t="s">
        <v>45343</v>
      </c>
      <c r="T11693" t="s">
        <v>46390</v>
      </c>
      <c r="U11693" t="s">
        <v>56545</v>
      </c>
      <c r="V11693" t="s">
        <v>60444</v>
      </c>
      <c r="W11693" t="s">
        <v>44263</v>
      </c>
      <c r="X11693" t="s">
        <v>44777</v>
      </c>
    </row>
    <row r="11694" spans="1:24">
      <c r="A11694">
        <f>HYPERLINK("https://www.philgeps.gov.ph/GEPSNONPILOT/Tender/SplashBidNoticeAbstractUI.aspx?menuIndex=3&amp;refID=7122590&amp;Result=3","7122590")</f>
        <v>0</v>
      </c>
      <c r="B11694" t="s">
        <v>2127</v>
      </c>
      <c r="C11694" t="s">
        <v>14876</v>
      </c>
      <c r="D11694" t="s">
        <v>17989</v>
      </c>
      <c r="E11694" t="s">
        <v>28147</v>
      </c>
      <c r="F11694" t="s">
        <v>30900</v>
      </c>
      <c r="G11694" t="s">
        <v>30907</v>
      </c>
      <c r="H11694" t="s">
        <v>30915</v>
      </c>
      <c r="I11694" t="s">
        <v>30919</v>
      </c>
      <c r="J11694" t="s">
        <v>38335</v>
      </c>
      <c r="K11694" t="s">
        <v>40304</v>
      </c>
      <c r="M11694" t="s">
        <v>42829</v>
      </c>
      <c r="N11694" t="s">
        <v>44759</v>
      </c>
      <c r="O11694" t="s">
        <v>44760</v>
      </c>
      <c r="P11694">
        <v>0</v>
      </c>
      <c r="Q11694">
        <v>0</v>
      </c>
      <c r="R11694" t="s">
        <v>44775</v>
      </c>
      <c r="S11694" t="s">
        <v>45343</v>
      </c>
      <c r="T11694" t="s">
        <v>46418</v>
      </c>
      <c r="U11694" t="s">
        <v>56546</v>
      </c>
      <c r="W11694" t="s">
        <v>42829</v>
      </c>
      <c r="X11694" t="s">
        <v>44777</v>
      </c>
    </row>
    <row r="11695" spans="1:24">
      <c r="A11695">
        <f>HYPERLINK("https://www.philgeps.gov.ph/GEPSNONPILOT/Tender/SplashBidNoticeAbstractUI.aspx?menuIndex=3&amp;refID=7122288&amp;Result=3","7122288")</f>
        <v>0</v>
      </c>
      <c r="B11695" t="s">
        <v>1314</v>
      </c>
      <c r="C11695" t="s">
        <v>14877</v>
      </c>
      <c r="D11695" t="s">
        <v>18019</v>
      </c>
      <c r="E11695" t="s">
        <v>28148</v>
      </c>
      <c r="F11695" t="s">
        <v>30900</v>
      </c>
      <c r="G11695" t="s">
        <v>30913</v>
      </c>
      <c r="H11695" t="s">
        <v>7411</v>
      </c>
      <c r="I11695" t="s">
        <v>7411</v>
      </c>
      <c r="J11695" t="s">
        <v>38336</v>
      </c>
      <c r="K11695" t="s">
        <v>40289</v>
      </c>
      <c r="L11695" t="s">
        <v>1314</v>
      </c>
      <c r="M11695" t="s">
        <v>41932</v>
      </c>
      <c r="N11695" t="s">
        <v>44759</v>
      </c>
      <c r="O11695" t="s">
        <v>44760</v>
      </c>
      <c r="Q11695">
        <v>5</v>
      </c>
      <c r="R11695" t="s">
        <v>44775</v>
      </c>
      <c r="S11695" t="s">
        <v>45060</v>
      </c>
      <c r="T11695" t="s">
        <v>46465</v>
      </c>
      <c r="U11695" t="s">
        <v>56547</v>
      </c>
      <c r="W11695" t="s">
        <v>41932</v>
      </c>
      <c r="X11695" t="s">
        <v>44777</v>
      </c>
    </row>
    <row r="11696" spans="1:24">
      <c r="A11696">
        <f>HYPERLINK("https://www.philgeps.gov.ph/GEPSNONPILOT/Tender/SplashBidNoticeAbstractUI.aspx?menuIndex=3&amp;refID=7122264&amp;Result=3","7122264")</f>
        <v>0</v>
      </c>
      <c r="B11696" t="s">
        <v>112</v>
      </c>
      <c r="C11696" t="s">
        <v>14878</v>
      </c>
      <c r="D11696" t="s">
        <v>17997</v>
      </c>
      <c r="E11696" t="s">
        <v>28149</v>
      </c>
      <c r="F11696" t="s">
        <v>30900</v>
      </c>
      <c r="G11696" t="s">
        <v>30907</v>
      </c>
      <c r="H11696" t="s">
        <v>30915</v>
      </c>
      <c r="I11696" t="s">
        <v>30919</v>
      </c>
      <c r="J11696" t="s">
        <v>38337</v>
      </c>
      <c r="K11696" t="s">
        <v>40437</v>
      </c>
      <c r="M11696" t="s">
        <v>40659</v>
      </c>
      <c r="N11696" t="s">
        <v>44759</v>
      </c>
      <c r="O11696" t="s">
        <v>44760</v>
      </c>
      <c r="P11696">
        <v>0</v>
      </c>
      <c r="Q11696">
        <v>3</v>
      </c>
      <c r="R11696" t="s">
        <v>44775</v>
      </c>
      <c r="S11696" t="s">
        <v>45343</v>
      </c>
      <c r="T11696" t="s">
        <v>46487</v>
      </c>
      <c r="U11696" t="s">
        <v>56548</v>
      </c>
      <c r="W11696" t="s">
        <v>40659</v>
      </c>
      <c r="X11696" t="s">
        <v>44777</v>
      </c>
    </row>
    <row r="11697" spans="1:24">
      <c r="A11697">
        <f>HYPERLINK("https://www.philgeps.gov.ph/GEPSNONPILOT/Tender/SplashBidNoticeAbstractUI.aspx?menuIndex=3&amp;refID=7121098&amp;Result=3","7121098")</f>
        <v>0</v>
      </c>
      <c r="B11697" t="s">
        <v>877</v>
      </c>
      <c r="C11697" t="s">
        <v>14879</v>
      </c>
      <c r="D11697" t="s">
        <v>18023</v>
      </c>
      <c r="E11697" t="s">
        <v>28150</v>
      </c>
      <c r="F11697" t="s">
        <v>30900</v>
      </c>
      <c r="G11697" t="s">
        <v>30907</v>
      </c>
      <c r="H11697" t="s">
        <v>30915</v>
      </c>
      <c r="I11697" t="s">
        <v>30919</v>
      </c>
      <c r="J11697" t="s">
        <v>31297</v>
      </c>
      <c r="K11697" t="s">
        <v>40280</v>
      </c>
      <c r="M11697" t="s">
        <v>41450</v>
      </c>
      <c r="N11697" t="s">
        <v>44759</v>
      </c>
      <c r="O11697" t="s">
        <v>44760</v>
      </c>
      <c r="Q11697">
        <v>0</v>
      </c>
      <c r="R11697" t="s">
        <v>44775</v>
      </c>
      <c r="S11697" t="s">
        <v>45364</v>
      </c>
      <c r="T11697" t="s">
        <v>46357</v>
      </c>
      <c r="U11697" t="s">
        <v>56549</v>
      </c>
      <c r="W11697" t="s">
        <v>41450</v>
      </c>
      <c r="X11697" t="s">
        <v>44777</v>
      </c>
    </row>
    <row r="11698" spans="1:24">
      <c r="A11698">
        <f>HYPERLINK("https://www.philgeps.gov.ph/GEPSNONPILOT/Tender/SplashBidNoticeAbstractUI.aspx?menuIndex=3&amp;refID=7123258&amp;Result=3","7123258")</f>
        <v>0</v>
      </c>
      <c r="B11698" t="s">
        <v>264</v>
      </c>
      <c r="C11698" t="s">
        <v>14880</v>
      </c>
      <c r="D11698" t="s">
        <v>17997</v>
      </c>
      <c r="E11698" t="s">
        <v>28151</v>
      </c>
      <c r="F11698" t="s">
        <v>30900</v>
      </c>
      <c r="G11698" t="s">
        <v>30907</v>
      </c>
      <c r="H11698" t="s">
        <v>30916</v>
      </c>
      <c r="I11698" t="s">
        <v>8123</v>
      </c>
      <c r="J11698" t="s">
        <v>38338</v>
      </c>
      <c r="K11698" t="s">
        <v>40291</v>
      </c>
      <c r="M11698" t="s">
        <v>40811</v>
      </c>
      <c r="N11698" t="s">
        <v>44759</v>
      </c>
      <c r="O11698" t="s">
        <v>44760</v>
      </c>
      <c r="P11698">
        <v>0</v>
      </c>
      <c r="Q11698">
        <v>0</v>
      </c>
      <c r="R11698" t="s">
        <v>44775</v>
      </c>
      <c r="S11698" t="s">
        <v>45343</v>
      </c>
      <c r="T11698" t="s">
        <v>46487</v>
      </c>
      <c r="U11698" t="s">
        <v>56550</v>
      </c>
      <c r="W11698" t="s">
        <v>40811</v>
      </c>
      <c r="X11698" t="s">
        <v>44776</v>
      </c>
    </row>
    <row r="11699" spans="1:24">
      <c r="A11699">
        <f>HYPERLINK("https://www.philgeps.gov.ph/GEPSNONPILOT/Tender/SplashBidNoticeAbstractUI.aspx?menuIndex=3&amp;refID=7121797&amp;Result=3","7121797")</f>
        <v>0</v>
      </c>
      <c r="B11699" t="s">
        <v>3100</v>
      </c>
      <c r="C11699" t="s">
        <v>14881</v>
      </c>
      <c r="D11699" t="s">
        <v>17985</v>
      </c>
      <c r="E11699" t="s">
        <v>28152</v>
      </c>
      <c r="F11699" t="s">
        <v>30900</v>
      </c>
      <c r="G11699" t="s">
        <v>30907</v>
      </c>
      <c r="H11699" t="s">
        <v>30916</v>
      </c>
      <c r="I11699" t="s">
        <v>6834</v>
      </c>
      <c r="J11699" t="s">
        <v>31096</v>
      </c>
      <c r="K11699" t="s">
        <v>40286</v>
      </c>
      <c r="M11699" t="s">
        <v>43912</v>
      </c>
      <c r="N11699" t="s">
        <v>44759</v>
      </c>
      <c r="O11699" t="s">
        <v>44760</v>
      </c>
      <c r="P11699">
        <v>0</v>
      </c>
      <c r="Q11699">
        <v>4</v>
      </c>
      <c r="R11699" t="s">
        <v>44775</v>
      </c>
      <c r="S11699" t="s">
        <v>45343</v>
      </c>
      <c r="T11699" t="s">
        <v>46625</v>
      </c>
      <c r="U11699" t="s">
        <v>56551</v>
      </c>
      <c r="W11699" t="s">
        <v>43912</v>
      </c>
      <c r="X11699" t="s">
        <v>44777</v>
      </c>
    </row>
    <row r="11700" spans="1:24">
      <c r="A11700">
        <f>HYPERLINK("https://www.philgeps.gov.ph/GEPSNONPILOT/Tender/SplashBidNoticeAbstractUI.aspx?menuIndex=3&amp;refID=7122869&amp;Result=3","7122869")</f>
        <v>0</v>
      </c>
      <c r="B11700" t="s">
        <v>3389</v>
      </c>
      <c r="C11700" t="s">
        <v>14882</v>
      </c>
      <c r="D11700" t="s">
        <v>17975</v>
      </c>
      <c r="E11700" t="s">
        <v>28153</v>
      </c>
      <c r="F11700" t="s">
        <v>30900</v>
      </c>
      <c r="G11700" t="s">
        <v>30907</v>
      </c>
      <c r="H11700" t="s">
        <v>30916</v>
      </c>
      <c r="I11700" t="s">
        <v>5830</v>
      </c>
      <c r="J11700" t="s">
        <v>38339</v>
      </c>
      <c r="K11700" t="s">
        <v>40289</v>
      </c>
      <c r="M11700" t="s">
        <v>44264</v>
      </c>
      <c r="N11700" t="s">
        <v>44759</v>
      </c>
      <c r="O11700" t="s">
        <v>44760</v>
      </c>
      <c r="P11700">
        <v>0</v>
      </c>
      <c r="Q11700">
        <v>13</v>
      </c>
      <c r="R11700" t="s">
        <v>44775</v>
      </c>
      <c r="S11700" t="s">
        <v>45343</v>
      </c>
      <c r="T11700" t="s">
        <v>46885</v>
      </c>
      <c r="U11700" t="s">
        <v>56552</v>
      </c>
      <c r="W11700" t="s">
        <v>44264</v>
      </c>
      <c r="X11700" t="s">
        <v>44777</v>
      </c>
    </row>
    <row r="11701" spans="1:24">
      <c r="A11701">
        <f>HYPERLINK("https://www.philgeps.gov.ph/GEPSNONPILOT/Tender/SplashBidNoticeAbstractUI.aspx?menuIndex=3&amp;refID=7123236&amp;Result=3","7123236")</f>
        <v>0</v>
      </c>
      <c r="B11701" t="s">
        <v>3390</v>
      </c>
      <c r="C11701" t="s">
        <v>14883</v>
      </c>
      <c r="D11701" t="s">
        <v>17972</v>
      </c>
      <c r="E11701" t="s">
        <v>24091</v>
      </c>
      <c r="F11701" t="s">
        <v>30899</v>
      </c>
      <c r="G11701" t="s">
        <v>30907</v>
      </c>
      <c r="H11701" t="s">
        <v>30915</v>
      </c>
      <c r="I11701" t="s">
        <v>30919</v>
      </c>
      <c r="J11701" t="s">
        <v>38340</v>
      </c>
      <c r="K11701" t="s">
        <v>40399</v>
      </c>
      <c r="M11701" t="s">
        <v>44265</v>
      </c>
      <c r="N11701" t="s">
        <v>44759</v>
      </c>
      <c r="O11701" t="s">
        <v>44760</v>
      </c>
      <c r="P11701">
        <v>0</v>
      </c>
      <c r="Q11701">
        <v>0</v>
      </c>
      <c r="R11701" t="s">
        <v>44775</v>
      </c>
      <c r="S11701" t="s">
        <v>45343</v>
      </c>
      <c r="T11701" t="s">
        <v>46404</v>
      </c>
      <c r="U11701" t="s">
        <v>56553</v>
      </c>
      <c r="W11701" t="s">
        <v>44265</v>
      </c>
      <c r="X11701" t="s">
        <v>44776</v>
      </c>
    </row>
    <row r="11702" spans="1:24">
      <c r="A11702">
        <f>HYPERLINK("https://www.philgeps.gov.ph/GEPSNONPILOT/Tender/SplashBidNoticeAbstractUI.aspx?menuIndex=3&amp;refID=7123291&amp;Result=3","7123291")</f>
        <v>0</v>
      </c>
      <c r="B11702" t="s">
        <v>2356</v>
      </c>
      <c r="C11702" t="s">
        <v>14884</v>
      </c>
      <c r="D11702" t="s">
        <v>17988</v>
      </c>
      <c r="E11702" t="s">
        <v>14884</v>
      </c>
      <c r="F11702" t="s">
        <v>30900</v>
      </c>
      <c r="G11702" t="s">
        <v>30907</v>
      </c>
      <c r="H11702" t="s">
        <v>30916</v>
      </c>
      <c r="I11702" t="s">
        <v>30933</v>
      </c>
      <c r="J11702" t="s">
        <v>35438</v>
      </c>
      <c r="K11702" t="s">
        <v>40314</v>
      </c>
      <c r="M11702" t="s">
        <v>43080</v>
      </c>
      <c r="N11702" t="s">
        <v>44759</v>
      </c>
      <c r="O11702" t="s">
        <v>44760</v>
      </c>
      <c r="Q11702">
        <v>5</v>
      </c>
      <c r="R11702" t="s">
        <v>44775</v>
      </c>
      <c r="S11702" t="s">
        <v>45365</v>
      </c>
      <c r="T11702" t="s">
        <v>46426</v>
      </c>
      <c r="U11702" t="s">
        <v>56554</v>
      </c>
      <c r="W11702" t="s">
        <v>43080</v>
      </c>
      <c r="X11702" t="s">
        <v>44776</v>
      </c>
    </row>
    <row r="11703" spans="1:24">
      <c r="A11703">
        <f>HYPERLINK("https://www.philgeps.gov.ph/GEPSNONPILOT/Tender/SplashBidNoticeAbstractUI.aspx?menuIndex=3&amp;refID=7122218&amp;Result=3","7122218")</f>
        <v>0</v>
      </c>
      <c r="B11703" t="s">
        <v>1314</v>
      </c>
      <c r="C11703" t="s">
        <v>14885</v>
      </c>
      <c r="D11703" t="s">
        <v>18019</v>
      </c>
      <c r="E11703" t="s">
        <v>28154</v>
      </c>
      <c r="F11703" t="s">
        <v>30900</v>
      </c>
      <c r="G11703" t="s">
        <v>30913</v>
      </c>
      <c r="H11703" t="s">
        <v>7411</v>
      </c>
      <c r="I11703" t="s">
        <v>7411</v>
      </c>
      <c r="J11703" t="s">
        <v>36151</v>
      </c>
      <c r="K11703" t="s">
        <v>40289</v>
      </c>
      <c r="L11703" t="s">
        <v>1314</v>
      </c>
      <c r="M11703" t="s">
        <v>41932</v>
      </c>
      <c r="N11703" t="s">
        <v>44759</v>
      </c>
      <c r="O11703" t="s">
        <v>44760</v>
      </c>
      <c r="Q11703">
        <v>5</v>
      </c>
      <c r="R11703" t="s">
        <v>44775</v>
      </c>
      <c r="S11703" t="s">
        <v>45366</v>
      </c>
      <c r="T11703" t="s">
        <v>46465</v>
      </c>
      <c r="U11703" t="s">
        <v>56555</v>
      </c>
      <c r="W11703" t="s">
        <v>41932</v>
      </c>
      <c r="X11703" t="s">
        <v>44777</v>
      </c>
    </row>
    <row r="11704" spans="1:24">
      <c r="A11704">
        <f>HYPERLINK("https://www.philgeps.gov.ph/GEPSNONPILOT/Tender/SplashBidNoticeAbstractUI.aspx?menuIndex=3&amp;refID=7123248&amp;Result=3","7123248")</f>
        <v>0</v>
      </c>
      <c r="B11704" t="s">
        <v>2389</v>
      </c>
      <c r="C11704" t="s">
        <v>14886</v>
      </c>
      <c r="D11704" t="s">
        <v>17994</v>
      </c>
      <c r="E11704" t="s">
        <v>28155</v>
      </c>
      <c r="F11704" t="s">
        <v>30900</v>
      </c>
      <c r="G11704" t="s">
        <v>30907</v>
      </c>
      <c r="H11704" t="s">
        <v>30916</v>
      </c>
      <c r="I11704" t="s">
        <v>30947</v>
      </c>
      <c r="J11704" t="s">
        <v>38341</v>
      </c>
      <c r="K11704" t="s">
        <v>40291</v>
      </c>
      <c r="M11704" t="s">
        <v>43115</v>
      </c>
      <c r="N11704" t="s">
        <v>44759</v>
      </c>
      <c r="O11704" t="s">
        <v>44760</v>
      </c>
      <c r="P11704">
        <v>0</v>
      </c>
      <c r="Q11704">
        <v>0</v>
      </c>
      <c r="R11704" t="s">
        <v>44775</v>
      </c>
      <c r="S11704" t="s">
        <v>45343</v>
      </c>
      <c r="T11704" t="s">
        <v>46389</v>
      </c>
      <c r="U11704" t="s">
        <v>56556</v>
      </c>
      <c r="W11704" t="s">
        <v>43115</v>
      </c>
      <c r="X11704" t="s">
        <v>44776</v>
      </c>
    </row>
    <row r="11705" spans="1:24">
      <c r="A11705">
        <f>HYPERLINK("https://www.philgeps.gov.ph/GEPSNONPILOT/Tender/SplashBidNoticeAbstractUI.aspx?menuIndex=3&amp;refID=7123270&amp;Result=3","7123270")</f>
        <v>0</v>
      </c>
      <c r="B11705" t="s">
        <v>3391</v>
      </c>
      <c r="C11705" t="s">
        <v>14887</v>
      </c>
      <c r="D11705" t="s">
        <v>17963</v>
      </c>
      <c r="E11705" t="s">
        <v>28156</v>
      </c>
      <c r="F11705" t="s">
        <v>30900</v>
      </c>
      <c r="G11705" t="s">
        <v>30907</v>
      </c>
      <c r="H11705" t="s">
        <v>30915</v>
      </c>
      <c r="I11705" t="s">
        <v>30919</v>
      </c>
      <c r="J11705" t="s">
        <v>34589</v>
      </c>
      <c r="K11705" t="s">
        <v>40280</v>
      </c>
      <c r="M11705" t="s">
        <v>44266</v>
      </c>
      <c r="N11705" t="s">
        <v>44759</v>
      </c>
      <c r="O11705" t="s">
        <v>44760</v>
      </c>
      <c r="P11705">
        <v>0</v>
      </c>
      <c r="Q11705">
        <v>0</v>
      </c>
      <c r="R11705" t="s">
        <v>44775</v>
      </c>
      <c r="S11705" t="s">
        <v>45343</v>
      </c>
      <c r="T11705" t="s">
        <v>46763</v>
      </c>
      <c r="U11705" t="s">
        <v>56557</v>
      </c>
      <c r="W11705" t="s">
        <v>44266</v>
      </c>
      <c r="X11705" t="s">
        <v>44776</v>
      </c>
    </row>
    <row r="11706" spans="1:24">
      <c r="A11706">
        <f>HYPERLINK("https://www.philgeps.gov.ph/GEPSNONPILOT/Tender/SplashBidNoticeAbstractUI.aspx?menuIndex=3&amp;refID=7123269&amp;Result=3","7123269")</f>
        <v>0</v>
      </c>
      <c r="B11706" t="s">
        <v>3392</v>
      </c>
      <c r="C11706" t="s">
        <v>14888</v>
      </c>
      <c r="D11706" t="s">
        <v>17957</v>
      </c>
      <c r="E11706" t="s">
        <v>28157</v>
      </c>
      <c r="F11706" t="s">
        <v>30900</v>
      </c>
      <c r="G11706" t="s">
        <v>30907</v>
      </c>
      <c r="H11706" t="s">
        <v>30915</v>
      </c>
      <c r="I11706" t="s">
        <v>30919</v>
      </c>
      <c r="J11706" t="s">
        <v>31152</v>
      </c>
      <c r="K11706" t="s">
        <v>40401</v>
      </c>
      <c r="M11706" t="s">
        <v>44267</v>
      </c>
      <c r="N11706" t="s">
        <v>44759</v>
      </c>
      <c r="O11706" t="s">
        <v>44760</v>
      </c>
      <c r="P11706">
        <v>0</v>
      </c>
      <c r="Q11706">
        <v>0</v>
      </c>
      <c r="R11706" t="s">
        <v>44775</v>
      </c>
      <c r="S11706" t="s">
        <v>45343</v>
      </c>
      <c r="T11706" t="s">
        <v>46511</v>
      </c>
      <c r="U11706" t="s">
        <v>56558</v>
      </c>
      <c r="V11706" t="s">
        <v>60445</v>
      </c>
      <c r="W11706" t="s">
        <v>44267</v>
      </c>
      <c r="X11706" t="s">
        <v>44776</v>
      </c>
    </row>
    <row r="11707" spans="1:24">
      <c r="A11707">
        <f>HYPERLINK("https://www.philgeps.gov.ph/GEPSNONPILOT/Tender/SplashBidNoticeAbstractUI.aspx?menuIndex=3&amp;refID=7123235&amp;Result=3","7123235")</f>
        <v>0</v>
      </c>
      <c r="B11707" t="s">
        <v>1494</v>
      </c>
      <c r="C11707" t="s">
        <v>14889</v>
      </c>
      <c r="D11707" t="s">
        <v>17957</v>
      </c>
      <c r="E11707" t="s">
        <v>28158</v>
      </c>
      <c r="F11707" t="s">
        <v>30900</v>
      </c>
      <c r="G11707" t="s">
        <v>30907</v>
      </c>
      <c r="H11707" t="s">
        <v>30916</v>
      </c>
      <c r="I11707" t="s">
        <v>30933</v>
      </c>
      <c r="J11707" t="s">
        <v>38342</v>
      </c>
      <c r="K11707" t="s">
        <v>40286</v>
      </c>
      <c r="M11707" t="s">
        <v>42133</v>
      </c>
      <c r="N11707" t="s">
        <v>44759</v>
      </c>
      <c r="O11707" t="s">
        <v>44760</v>
      </c>
      <c r="P11707">
        <v>0</v>
      </c>
      <c r="Q11707">
        <v>6</v>
      </c>
      <c r="R11707" t="s">
        <v>44775</v>
      </c>
      <c r="S11707" t="s">
        <v>45343</v>
      </c>
      <c r="T11707" t="s">
        <v>46425</v>
      </c>
      <c r="U11707" t="s">
        <v>56559</v>
      </c>
      <c r="W11707" t="s">
        <v>42133</v>
      </c>
      <c r="X11707" t="s">
        <v>44776</v>
      </c>
    </row>
    <row r="11708" spans="1:24">
      <c r="A11708">
        <f>HYPERLINK("https://www.philgeps.gov.ph/GEPSNONPILOT/Tender/SplashBidNoticeAbstractUI.aspx?menuIndex=3&amp;refID=7123193&amp;Result=3","7123193")</f>
        <v>0</v>
      </c>
      <c r="B11708" t="s">
        <v>3393</v>
      </c>
      <c r="C11708" t="s">
        <v>14890</v>
      </c>
      <c r="D11708" t="s">
        <v>18002</v>
      </c>
      <c r="E11708" t="s">
        <v>28159</v>
      </c>
      <c r="F11708" t="s">
        <v>30899</v>
      </c>
      <c r="G11708" t="s">
        <v>30907</v>
      </c>
      <c r="H11708" t="s">
        <v>30916</v>
      </c>
      <c r="I11708" t="s">
        <v>11785</v>
      </c>
      <c r="J11708" t="s">
        <v>38343</v>
      </c>
      <c r="K11708" t="s">
        <v>40385</v>
      </c>
      <c r="M11708" t="s">
        <v>44268</v>
      </c>
      <c r="N11708" t="s">
        <v>44759</v>
      </c>
      <c r="O11708" t="s">
        <v>44760</v>
      </c>
      <c r="P11708">
        <v>0</v>
      </c>
      <c r="Q11708">
        <v>6</v>
      </c>
      <c r="R11708" t="s">
        <v>44775</v>
      </c>
      <c r="S11708" t="s">
        <v>45343</v>
      </c>
      <c r="T11708" t="s">
        <v>46886</v>
      </c>
      <c r="U11708" t="s">
        <v>56560</v>
      </c>
      <c r="W11708" t="s">
        <v>44268</v>
      </c>
      <c r="X11708" t="s">
        <v>44776</v>
      </c>
    </row>
    <row r="11709" spans="1:24">
      <c r="A11709">
        <f>HYPERLINK("https://www.philgeps.gov.ph/GEPSNONPILOT/Tender/SplashBidNoticeAbstractUI.aspx?menuIndex=3&amp;refID=7122087&amp;Result=3","7122087")</f>
        <v>0</v>
      </c>
      <c r="B11709" t="s">
        <v>3394</v>
      </c>
      <c r="C11709" t="s">
        <v>14891</v>
      </c>
      <c r="D11709" t="s">
        <v>18010</v>
      </c>
      <c r="E11709" t="s">
        <v>28160</v>
      </c>
      <c r="F11709" t="s">
        <v>30900</v>
      </c>
      <c r="G11709" t="s">
        <v>30907</v>
      </c>
      <c r="H11709" t="s">
        <v>30915</v>
      </c>
      <c r="I11709" t="s">
        <v>30919</v>
      </c>
      <c r="J11709" t="s">
        <v>31096</v>
      </c>
      <c r="K11709" t="s">
        <v>40280</v>
      </c>
      <c r="M11709" t="s">
        <v>44269</v>
      </c>
      <c r="N11709" t="s">
        <v>44759</v>
      </c>
      <c r="O11709" t="s">
        <v>44760</v>
      </c>
      <c r="P11709">
        <v>0</v>
      </c>
      <c r="Q11709">
        <v>4</v>
      </c>
      <c r="R11709" t="s">
        <v>44775</v>
      </c>
      <c r="S11709" t="s">
        <v>45343</v>
      </c>
      <c r="T11709" t="s">
        <v>46361</v>
      </c>
      <c r="U11709" t="s">
        <v>56561</v>
      </c>
      <c r="W11709" t="s">
        <v>44269</v>
      </c>
      <c r="X11709" t="s">
        <v>44777</v>
      </c>
    </row>
    <row r="11710" spans="1:24">
      <c r="A11710">
        <f>HYPERLINK("https://www.philgeps.gov.ph/GEPSNONPILOT/Tender/SplashBidNoticeAbstractUI.aspx?menuIndex=3&amp;refID=7122748&amp;Result=3","7122748")</f>
        <v>0</v>
      </c>
      <c r="B11710" t="s">
        <v>3094</v>
      </c>
      <c r="C11710" t="s">
        <v>14892</v>
      </c>
      <c r="D11710" t="s">
        <v>18004</v>
      </c>
      <c r="E11710" t="s">
        <v>28161</v>
      </c>
      <c r="F11710" t="s">
        <v>30900</v>
      </c>
      <c r="G11710" t="s">
        <v>30907</v>
      </c>
      <c r="H11710" t="s">
        <v>30916</v>
      </c>
      <c r="I11710" t="s">
        <v>10847</v>
      </c>
      <c r="J11710" t="s">
        <v>31152</v>
      </c>
      <c r="K11710" t="s">
        <v>40292</v>
      </c>
      <c r="M11710" t="s">
        <v>43906</v>
      </c>
      <c r="N11710" t="s">
        <v>44759</v>
      </c>
      <c r="O11710" t="s">
        <v>44760</v>
      </c>
      <c r="P11710">
        <v>0</v>
      </c>
      <c r="Q11710">
        <v>1</v>
      </c>
      <c r="R11710" t="s">
        <v>44775</v>
      </c>
      <c r="S11710" t="s">
        <v>45343</v>
      </c>
      <c r="T11710" t="s">
        <v>46376</v>
      </c>
      <c r="U11710" t="s">
        <v>56562</v>
      </c>
      <c r="W11710" t="s">
        <v>43906</v>
      </c>
      <c r="X11710" t="s">
        <v>44777</v>
      </c>
    </row>
    <row r="11711" spans="1:24">
      <c r="A11711">
        <f>HYPERLINK("https://www.philgeps.gov.ph/GEPSNONPILOT/Tender/SplashBidNoticeAbstractUI.aspx?menuIndex=3&amp;refID=7123171&amp;Result=3","7123171")</f>
        <v>0</v>
      </c>
      <c r="B11711" t="s">
        <v>3395</v>
      </c>
      <c r="C11711" t="s">
        <v>14893</v>
      </c>
      <c r="D11711" t="s">
        <v>18009</v>
      </c>
      <c r="E11711" t="s">
        <v>28162</v>
      </c>
      <c r="F11711" t="s">
        <v>30900</v>
      </c>
      <c r="G11711" t="s">
        <v>30907</v>
      </c>
      <c r="H11711" t="s">
        <v>30916</v>
      </c>
      <c r="I11711" t="s">
        <v>30919</v>
      </c>
      <c r="J11711" t="s">
        <v>38344</v>
      </c>
      <c r="K11711" t="s">
        <v>40452</v>
      </c>
      <c r="M11711" t="s">
        <v>44270</v>
      </c>
      <c r="N11711" t="s">
        <v>44759</v>
      </c>
      <c r="O11711" t="s">
        <v>44760</v>
      </c>
      <c r="P11711">
        <v>0</v>
      </c>
      <c r="Q11711">
        <v>1</v>
      </c>
      <c r="R11711" t="s">
        <v>44775</v>
      </c>
      <c r="S11711" t="s">
        <v>45343</v>
      </c>
      <c r="T11711" t="s">
        <v>46409</v>
      </c>
      <c r="U11711" t="s">
        <v>56563</v>
      </c>
      <c r="W11711" t="s">
        <v>44270</v>
      </c>
      <c r="X11711" t="s">
        <v>44776</v>
      </c>
    </row>
    <row r="11712" spans="1:24">
      <c r="A11712">
        <f>HYPERLINK("https://www.philgeps.gov.ph/GEPSNONPILOT/Tender/SplashBidNoticeAbstractUI.aspx?menuIndex=3&amp;refID=7123149&amp;Result=3","7123149")</f>
        <v>0</v>
      </c>
      <c r="B11712" t="s">
        <v>3153</v>
      </c>
      <c r="C11712" t="s">
        <v>13495</v>
      </c>
      <c r="D11712" t="s">
        <v>18009</v>
      </c>
      <c r="E11712" t="s">
        <v>28163</v>
      </c>
      <c r="F11712" t="s">
        <v>30900</v>
      </c>
      <c r="G11712" t="s">
        <v>30907</v>
      </c>
      <c r="H11712" t="s">
        <v>30916</v>
      </c>
      <c r="I11712" t="s">
        <v>8123</v>
      </c>
      <c r="J11712" t="s">
        <v>38345</v>
      </c>
      <c r="K11712" t="s">
        <v>40283</v>
      </c>
      <c r="M11712" t="s">
        <v>43976</v>
      </c>
      <c r="N11712" t="s">
        <v>44759</v>
      </c>
      <c r="O11712" t="s">
        <v>44760</v>
      </c>
      <c r="P11712">
        <v>0</v>
      </c>
      <c r="Q11712">
        <v>1</v>
      </c>
      <c r="R11712" t="s">
        <v>44775</v>
      </c>
      <c r="S11712" t="s">
        <v>45343</v>
      </c>
      <c r="T11712" t="s">
        <v>46409</v>
      </c>
      <c r="U11712" t="s">
        <v>55447</v>
      </c>
      <c r="W11712" t="s">
        <v>43976</v>
      </c>
      <c r="X11712" t="s">
        <v>44776</v>
      </c>
    </row>
    <row r="11713" spans="1:24">
      <c r="A11713">
        <f>HYPERLINK("https://www.philgeps.gov.ph/GEPSNONPILOT/Tender/SplashBidNoticeAbstractUI.aspx?menuIndex=3&amp;refID=7123201&amp;Result=3","7123201")</f>
        <v>0</v>
      </c>
      <c r="B11713" t="s">
        <v>3396</v>
      </c>
      <c r="C11713" t="s">
        <v>14894</v>
      </c>
      <c r="D11713" t="s">
        <v>18022</v>
      </c>
      <c r="E11713" t="s">
        <v>28164</v>
      </c>
      <c r="F11713" t="s">
        <v>30900</v>
      </c>
      <c r="G11713" t="s">
        <v>30907</v>
      </c>
      <c r="H11713" t="s">
        <v>30916</v>
      </c>
      <c r="I11713" t="s">
        <v>4108</v>
      </c>
      <c r="J11713" t="s">
        <v>38346</v>
      </c>
      <c r="K11713" t="s">
        <v>40284</v>
      </c>
      <c r="M11713" t="s">
        <v>44271</v>
      </c>
      <c r="N11713" t="s">
        <v>44759</v>
      </c>
      <c r="O11713" t="s">
        <v>44760</v>
      </c>
      <c r="P11713">
        <v>0</v>
      </c>
      <c r="Q11713">
        <v>7</v>
      </c>
      <c r="R11713" t="s">
        <v>44775</v>
      </c>
      <c r="S11713" t="s">
        <v>45343</v>
      </c>
      <c r="T11713" t="s">
        <v>46399</v>
      </c>
      <c r="U11713" t="s">
        <v>56564</v>
      </c>
      <c r="V11713" t="s">
        <v>60446</v>
      </c>
      <c r="W11713" t="s">
        <v>44271</v>
      </c>
      <c r="X11713" t="s">
        <v>44776</v>
      </c>
    </row>
    <row r="11714" spans="1:24">
      <c r="A11714">
        <f>HYPERLINK("https://www.philgeps.gov.ph/GEPSNONPILOT/Tender/SplashBidNoticeAbstractUI.aspx?menuIndex=3&amp;refID=7123138&amp;Result=3","7123138")</f>
        <v>0</v>
      </c>
      <c r="B11714" t="s">
        <v>1285</v>
      </c>
      <c r="C11714" t="s">
        <v>14895</v>
      </c>
      <c r="D11714" t="s">
        <v>17958</v>
      </c>
      <c r="E11714" t="s">
        <v>28165</v>
      </c>
      <c r="F11714" t="s">
        <v>30900</v>
      </c>
      <c r="G11714" t="s">
        <v>30913</v>
      </c>
      <c r="H11714" t="s">
        <v>30916</v>
      </c>
      <c r="I11714" t="s">
        <v>4545</v>
      </c>
      <c r="J11714" t="s">
        <v>38347</v>
      </c>
      <c r="K11714" t="s">
        <v>40286</v>
      </c>
      <c r="M11714" t="s">
        <v>41902</v>
      </c>
      <c r="N11714" t="s">
        <v>44759</v>
      </c>
      <c r="O11714" t="s">
        <v>44760</v>
      </c>
      <c r="Q11714">
        <v>6</v>
      </c>
      <c r="R11714" t="s">
        <v>44775</v>
      </c>
      <c r="S11714" t="s">
        <v>45367</v>
      </c>
      <c r="T11714" t="s">
        <v>46421</v>
      </c>
      <c r="U11714" t="s">
        <v>56565</v>
      </c>
      <c r="V11714" t="s">
        <v>60447</v>
      </c>
      <c r="W11714" t="s">
        <v>41902</v>
      </c>
      <c r="X11714" t="s">
        <v>44776</v>
      </c>
    </row>
    <row r="11715" spans="1:24">
      <c r="A11715">
        <f>HYPERLINK("https://www.philgeps.gov.ph/GEPSNONPILOT/Tender/SplashBidNoticeAbstractUI.aspx?menuIndex=3&amp;refID=7122261&amp;Result=3","7122261")</f>
        <v>0</v>
      </c>
      <c r="B11715" t="s">
        <v>1314</v>
      </c>
      <c r="C11715" t="s">
        <v>14896</v>
      </c>
      <c r="D11715" t="s">
        <v>18019</v>
      </c>
      <c r="E11715" t="s">
        <v>28166</v>
      </c>
      <c r="F11715" t="s">
        <v>30900</v>
      </c>
      <c r="G11715" t="s">
        <v>30913</v>
      </c>
      <c r="H11715" t="s">
        <v>7411</v>
      </c>
      <c r="I11715" t="s">
        <v>7411</v>
      </c>
      <c r="J11715" t="s">
        <v>38348</v>
      </c>
      <c r="K11715" t="s">
        <v>40289</v>
      </c>
      <c r="L11715" t="s">
        <v>1314</v>
      </c>
      <c r="M11715" t="s">
        <v>41932</v>
      </c>
      <c r="N11715" t="s">
        <v>44759</v>
      </c>
      <c r="O11715" t="s">
        <v>44760</v>
      </c>
      <c r="Q11715">
        <v>5</v>
      </c>
      <c r="R11715" t="s">
        <v>44775</v>
      </c>
      <c r="S11715" t="s">
        <v>45368</v>
      </c>
      <c r="T11715" t="s">
        <v>46465</v>
      </c>
      <c r="U11715" t="s">
        <v>56566</v>
      </c>
      <c r="W11715" t="s">
        <v>41932</v>
      </c>
      <c r="X11715" t="s">
        <v>44777</v>
      </c>
    </row>
    <row r="11716" spans="1:24">
      <c r="A11716">
        <f>HYPERLINK("https://www.philgeps.gov.ph/GEPSNONPILOT/Tender/SplashBidNoticeAbstractUI.aspx?menuIndex=3&amp;refID=7123301&amp;Result=3","7123301")</f>
        <v>0</v>
      </c>
      <c r="B11716" t="s">
        <v>704</v>
      </c>
      <c r="C11716" t="s">
        <v>14897</v>
      </c>
      <c r="D11716" t="s">
        <v>17987</v>
      </c>
      <c r="E11716" t="s">
        <v>28167</v>
      </c>
      <c r="F11716" t="s">
        <v>30900</v>
      </c>
      <c r="G11716" t="s">
        <v>30907</v>
      </c>
      <c r="H11716" t="s">
        <v>30916</v>
      </c>
      <c r="I11716" t="s">
        <v>30933</v>
      </c>
      <c r="J11716" t="s">
        <v>35994</v>
      </c>
      <c r="K11716" t="s">
        <v>40280</v>
      </c>
      <c r="M11716" t="s">
        <v>41268</v>
      </c>
      <c r="N11716" t="s">
        <v>44759</v>
      </c>
      <c r="O11716" t="s">
        <v>44760</v>
      </c>
      <c r="P11716">
        <v>0</v>
      </c>
      <c r="Q11716">
        <v>3</v>
      </c>
      <c r="R11716" t="s">
        <v>44775</v>
      </c>
      <c r="S11716" t="s">
        <v>45343</v>
      </c>
      <c r="T11716" t="s">
        <v>46409</v>
      </c>
      <c r="U11716" t="s">
        <v>56567</v>
      </c>
      <c r="W11716" t="s">
        <v>41268</v>
      </c>
      <c r="X11716" t="s">
        <v>44776</v>
      </c>
    </row>
    <row r="11717" spans="1:24">
      <c r="A11717">
        <f>HYPERLINK("https://www.philgeps.gov.ph/GEPSNONPILOT/Tender/SplashBidNoticeAbstractUI.aspx?menuIndex=3&amp;refID=7123409&amp;Result=3","7123409")</f>
        <v>0</v>
      </c>
      <c r="B11717" t="s">
        <v>2197</v>
      </c>
      <c r="C11717" t="s">
        <v>14898</v>
      </c>
      <c r="D11717" t="s">
        <v>17972</v>
      </c>
      <c r="E11717" t="s">
        <v>28168</v>
      </c>
      <c r="F11717" t="s">
        <v>30900</v>
      </c>
      <c r="G11717" t="s">
        <v>30907</v>
      </c>
      <c r="H11717" t="s">
        <v>30916</v>
      </c>
      <c r="I11717" t="s">
        <v>30933</v>
      </c>
      <c r="J11717" t="s">
        <v>34097</v>
      </c>
      <c r="K11717" t="s">
        <v>40280</v>
      </c>
      <c r="M11717" t="s">
        <v>42904</v>
      </c>
      <c r="N11717" t="s">
        <v>44759</v>
      </c>
      <c r="O11717" t="s">
        <v>44760</v>
      </c>
      <c r="P11717">
        <v>0</v>
      </c>
      <c r="Q11717">
        <v>5</v>
      </c>
      <c r="R11717" t="s">
        <v>44775</v>
      </c>
      <c r="S11717" t="s">
        <v>45343</v>
      </c>
      <c r="T11717" t="s">
        <v>46425</v>
      </c>
      <c r="U11717" t="s">
        <v>56568</v>
      </c>
      <c r="V11717" t="s">
        <v>60448</v>
      </c>
      <c r="W11717" t="s">
        <v>42904</v>
      </c>
      <c r="X11717" t="s">
        <v>44776</v>
      </c>
    </row>
    <row r="11718" spans="1:24">
      <c r="A11718">
        <f>HYPERLINK("https://www.philgeps.gov.ph/GEPSNONPILOT/Tender/SplashBidNoticeAbstractUI.aspx?menuIndex=3&amp;refID=7123401&amp;Result=3","7123401")</f>
        <v>0</v>
      </c>
      <c r="B11718" t="s">
        <v>3397</v>
      </c>
      <c r="C11718" t="s">
        <v>14899</v>
      </c>
      <c r="D11718" t="s">
        <v>17972</v>
      </c>
      <c r="E11718" t="s">
        <v>28169</v>
      </c>
      <c r="F11718" t="s">
        <v>30900</v>
      </c>
      <c r="G11718" t="s">
        <v>30907</v>
      </c>
      <c r="H11718" t="s">
        <v>30916</v>
      </c>
      <c r="I11718" t="s">
        <v>8123</v>
      </c>
      <c r="J11718" t="s">
        <v>32712</v>
      </c>
      <c r="K11718" t="s">
        <v>40283</v>
      </c>
      <c r="M11718" t="s">
        <v>44272</v>
      </c>
      <c r="N11718" t="s">
        <v>44759</v>
      </c>
      <c r="O11718" t="s">
        <v>44760</v>
      </c>
      <c r="P11718">
        <v>0</v>
      </c>
      <c r="Q11718">
        <v>1</v>
      </c>
      <c r="R11718" t="s">
        <v>44775</v>
      </c>
      <c r="S11718" t="s">
        <v>45343</v>
      </c>
      <c r="T11718" t="s">
        <v>46357</v>
      </c>
      <c r="U11718" t="s">
        <v>56569</v>
      </c>
      <c r="V11718" t="s">
        <v>60449</v>
      </c>
      <c r="W11718" t="s">
        <v>60928</v>
      </c>
      <c r="X11718" t="s">
        <v>44776</v>
      </c>
    </row>
    <row r="11719" spans="1:24">
      <c r="A11719">
        <f>HYPERLINK("https://www.philgeps.gov.ph/GEPSNONPILOT/Tender/SplashBidNoticeAbstractUI.aspx?menuIndex=3&amp;refID=7123263&amp;Result=3","7123263")</f>
        <v>0</v>
      </c>
      <c r="B11719" t="s">
        <v>2127</v>
      </c>
      <c r="C11719" t="s">
        <v>14900</v>
      </c>
      <c r="D11719" t="s">
        <v>17989</v>
      </c>
      <c r="E11719" t="s">
        <v>28170</v>
      </c>
      <c r="F11719" t="s">
        <v>30900</v>
      </c>
      <c r="G11719" t="s">
        <v>30907</v>
      </c>
      <c r="H11719" t="s">
        <v>30916</v>
      </c>
      <c r="I11719" t="s">
        <v>4017</v>
      </c>
      <c r="J11719" t="s">
        <v>38349</v>
      </c>
      <c r="K11719" t="s">
        <v>40286</v>
      </c>
      <c r="M11719" t="s">
        <v>42829</v>
      </c>
      <c r="N11719" t="s">
        <v>44759</v>
      </c>
      <c r="O11719" t="s">
        <v>44760</v>
      </c>
      <c r="P11719">
        <v>0</v>
      </c>
      <c r="Q11719">
        <v>5</v>
      </c>
      <c r="R11719" t="s">
        <v>44775</v>
      </c>
      <c r="S11719" t="s">
        <v>45343</v>
      </c>
      <c r="T11719" t="s">
        <v>46492</v>
      </c>
      <c r="U11719" t="s">
        <v>56570</v>
      </c>
      <c r="W11719" t="s">
        <v>42829</v>
      </c>
      <c r="X11719" t="s">
        <v>44776</v>
      </c>
    </row>
    <row r="11720" spans="1:24">
      <c r="A11720">
        <f>HYPERLINK("https://www.philgeps.gov.ph/GEPSNONPILOT/Tender/SplashBidNoticeAbstractUI.aspx?menuIndex=3&amp;refID=7123139&amp;Result=3","7123139")</f>
        <v>0</v>
      </c>
      <c r="B11720" t="s">
        <v>1285</v>
      </c>
      <c r="C11720" t="s">
        <v>14901</v>
      </c>
      <c r="D11720" t="s">
        <v>17958</v>
      </c>
      <c r="E11720" t="s">
        <v>28171</v>
      </c>
      <c r="F11720" t="s">
        <v>30900</v>
      </c>
      <c r="G11720" t="s">
        <v>30913</v>
      </c>
      <c r="H11720" t="s">
        <v>30916</v>
      </c>
      <c r="I11720" t="s">
        <v>30933</v>
      </c>
      <c r="J11720" t="s">
        <v>31577</v>
      </c>
      <c r="K11720" t="s">
        <v>40286</v>
      </c>
      <c r="M11720" t="s">
        <v>41902</v>
      </c>
      <c r="N11720" t="s">
        <v>44759</v>
      </c>
      <c r="O11720" t="s">
        <v>44760</v>
      </c>
      <c r="P11720">
        <v>0</v>
      </c>
      <c r="Q11720">
        <v>3</v>
      </c>
      <c r="R11720" t="s">
        <v>44775</v>
      </c>
      <c r="S11720" t="s">
        <v>45343</v>
      </c>
      <c r="T11720" t="s">
        <v>46421</v>
      </c>
      <c r="U11720" t="s">
        <v>56571</v>
      </c>
      <c r="V11720" t="s">
        <v>60450</v>
      </c>
      <c r="W11720" t="s">
        <v>41902</v>
      </c>
      <c r="X11720" t="s">
        <v>44776</v>
      </c>
    </row>
    <row r="11721" spans="1:24">
      <c r="A11721">
        <f>HYPERLINK("https://www.philgeps.gov.ph/GEPSNONPILOT/Tender/SplashBidNoticeAbstractUI.aspx?menuIndex=3&amp;refID=7121892&amp;Result=3","7121892")</f>
        <v>0</v>
      </c>
      <c r="B11721" t="s">
        <v>73</v>
      </c>
      <c r="C11721" t="s">
        <v>14902</v>
      </c>
      <c r="D11721" t="s">
        <v>17983</v>
      </c>
      <c r="E11721" t="s">
        <v>28172</v>
      </c>
      <c r="F11721" t="s">
        <v>30900</v>
      </c>
      <c r="G11721" t="s">
        <v>30907</v>
      </c>
      <c r="H11721" t="s">
        <v>30916</v>
      </c>
      <c r="I11721" t="s">
        <v>30936</v>
      </c>
      <c r="J11721" t="s">
        <v>31241</v>
      </c>
      <c r="K11721" t="s">
        <v>40292</v>
      </c>
      <c r="M11721" t="s">
        <v>40620</v>
      </c>
      <c r="N11721" t="s">
        <v>44759</v>
      </c>
      <c r="O11721" t="s">
        <v>44760</v>
      </c>
      <c r="P11721">
        <v>0</v>
      </c>
      <c r="Q11721">
        <v>2</v>
      </c>
      <c r="R11721" t="s">
        <v>44775</v>
      </c>
      <c r="S11721" t="s">
        <v>45343</v>
      </c>
      <c r="T11721" t="s">
        <v>46658</v>
      </c>
      <c r="U11721" t="s">
        <v>56572</v>
      </c>
      <c r="W11721" t="s">
        <v>40620</v>
      </c>
      <c r="X11721" t="s">
        <v>44777</v>
      </c>
    </row>
    <row r="11722" spans="1:24">
      <c r="A11722">
        <f>HYPERLINK("https://www.philgeps.gov.ph/GEPSNONPILOT/Tender/SplashBidNoticeAbstractUI.aspx?menuIndex=3&amp;refID=7123282&amp;Result=3","7123282")</f>
        <v>0</v>
      </c>
      <c r="B11722" t="s">
        <v>464</v>
      </c>
      <c r="C11722" t="s">
        <v>14903</v>
      </c>
      <c r="D11722" t="s">
        <v>17984</v>
      </c>
      <c r="E11722" t="s">
        <v>28173</v>
      </c>
      <c r="F11722" t="s">
        <v>30900</v>
      </c>
      <c r="G11722" t="s">
        <v>30907</v>
      </c>
      <c r="H11722" t="s">
        <v>30916</v>
      </c>
      <c r="I11722" t="s">
        <v>30941</v>
      </c>
      <c r="J11722" t="s">
        <v>38350</v>
      </c>
      <c r="K11722" t="s">
        <v>40286</v>
      </c>
      <c r="M11722" t="s">
        <v>41022</v>
      </c>
      <c r="N11722" t="s">
        <v>44759</v>
      </c>
      <c r="O11722" t="s">
        <v>44760</v>
      </c>
      <c r="P11722">
        <v>0</v>
      </c>
      <c r="Q11722">
        <v>2</v>
      </c>
      <c r="R11722" t="s">
        <v>44775</v>
      </c>
      <c r="S11722" t="s">
        <v>45343</v>
      </c>
      <c r="T11722" t="s">
        <v>46389</v>
      </c>
      <c r="U11722" t="s">
        <v>56573</v>
      </c>
      <c r="W11722" t="s">
        <v>41022</v>
      </c>
      <c r="X11722" t="s">
        <v>44776</v>
      </c>
    </row>
    <row r="11723" spans="1:24">
      <c r="A11723">
        <f>HYPERLINK("https://www.philgeps.gov.ph/GEPSNONPILOT/Tender/SplashBidNoticeAbstractUI.aspx?menuIndex=3&amp;refID=7123397&amp;Result=3","7123397")</f>
        <v>0</v>
      </c>
      <c r="B11723" t="s">
        <v>280</v>
      </c>
      <c r="C11723" t="s">
        <v>14904</v>
      </c>
      <c r="D11723" t="s">
        <v>17985</v>
      </c>
      <c r="E11723" t="s">
        <v>28174</v>
      </c>
      <c r="F11723" t="s">
        <v>30900</v>
      </c>
      <c r="G11723" t="s">
        <v>30907</v>
      </c>
      <c r="H11723" t="s">
        <v>30916</v>
      </c>
      <c r="I11723" t="s">
        <v>10847</v>
      </c>
      <c r="J11723" t="s">
        <v>38351</v>
      </c>
      <c r="K11723" t="s">
        <v>40304</v>
      </c>
      <c r="M11723" t="s">
        <v>40827</v>
      </c>
      <c r="N11723" t="s">
        <v>44759</v>
      </c>
      <c r="O11723" t="s">
        <v>44760</v>
      </c>
      <c r="P11723">
        <v>0</v>
      </c>
      <c r="Q11723">
        <v>2</v>
      </c>
      <c r="R11723" t="s">
        <v>44775</v>
      </c>
      <c r="S11723" t="s">
        <v>45343</v>
      </c>
      <c r="T11723" t="s">
        <v>46425</v>
      </c>
      <c r="U11723" t="s">
        <v>56574</v>
      </c>
      <c r="W11723" t="s">
        <v>40827</v>
      </c>
      <c r="X11723" t="s">
        <v>44776</v>
      </c>
    </row>
    <row r="11724" spans="1:24">
      <c r="A11724">
        <f>HYPERLINK("https://www.philgeps.gov.ph/GEPSNONPILOT/Tender/SplashBidNoticeAbstractUI.aspx?menuIndex=3&amp;refID=7123384&amp;Result=3","7123384")</f>
        <v>0</v>
      </c>
      <c r="B11724" t="s">
        <v>231</v>
      </c>
      <c r="C11724" t="s">
        <v>14905</v>
      </c>
      <c r="D11724" t="s">
        <v>17957</v>
      </c>
      <c r="E11724" t="s">
        <v>28175</v>
      </c>
      <c r="F11724" t="s">
        <v>30900</v>
      </c>
      <c r="G11724" t="s">
        <v>30907</v>
      </c>
      <c r="H11724" t="s">
        <v>30915</v>
      </c>
      <c r="I11724" t="s">
        <v>30919</v>
      </c>
      <c r="J11724" t="s">
        <v>38352</v>
      </c>
      <c r="K11724" t="s">
        <v>40304</v>
      </c>
      <c r="M11724" t="s">
        <v>40778</v>
      </c>
      <c r="N11724" t="s">
        <v>44759</v>
      </c>
      <c r="O11724" t="s">
        <v>44760</v>
      </c>
      <c r="Q11724">
        <v>1</v>
      </c>
      <c r="R11724" t="s">
        <v>44775</v>
      </c>
      <c r="S11724" t="s">
        <v>45369</v>
      </c>
      <c r="T11724" t="s">
        <v>46389</v>
      </c>
      <c r="U11724" t="s">
        <v>56575</v>
      </c>
      <c r="W11724" t="s">
        <v>40778</v>
      </c>
      <c r="X11724" t="s">
        <v>44776</v>
      </c>
    </row>
    <row r="11725" spans="1:24">
      <c r="A11725">
        <f>HYPERLINK("https://www.philgeps.gov.ph/GEPSNONPILOT/Tender/SplashBidNoticeAbstractUI.aspx?menuIndex=3&amp;refID=7123380&amp;Result=3","7123380")</f>
        <v>0</v>
      </c>
      <c r="B11725" t="s">
        <v>3398</v>
      </c>
      <c r="C11725" t="s">
        <v>14906</v>
      </c>
      <c r="D11725" t="s">
        <v>18006</v>
      </c>
      <c r="E11725" t="s">
        <v>28176</v>
      </c>
      <c r="F11725" t="s">
        <v>30900</v>
      </c>
      <c r="G11725" t="s">
        <v>30907</v>
      </c>
      <c r="H11725" t="s">
        <v>30915</v>
      </c>
      <c r="I11725" t="s">
        <v>30919</v>
      </c>
      <c r="J11725" t="s">
        <v>31152</v>
      </c>
      <c r="K11725" t="s">
        <v>40335</v>
      </c>
      <c r="M11725" t="s">
        <v>44273</v>
      </c>
      <c r="N11725" t="s">
        <v>44759</v>
      </c>
      <c r="O11725" t="s">
        <v>44760</v>
      </c>
      <c r="P11725">
        <v>0</v>
      </c>
      <c r="Q11725">
        <v>0</v>
      </c>
      <c r="R11725" t="s">
        <v>44775</v>
      </c>
      <c r="S11725" t="s">
        <v>45343</v>
      </c>
      <c r="T11725" t="s">
        <v>46613</v>
      </c>
      <c r="U11725" t="s">
        <v>56576</v>
      </c>
      <c r="W11725" t="s">
        <v>44273</v>
      </c>
      <c r="X11725" t="s">
        <v>44776</v>
      </c>
    </row>
    <row r="11726" spans="1:24">
      <c r="A11726">
        <f>HYPERLINK("https://www.philgeps.gov.ph/GEPSNONPILOT/Tender/SplashBidNoticeAbstractUI.aspx?menuIndex=3&amp;refID=7123345&amp;Result=3","7123345")</f>
        <v>0</v>
      </c>
      <c r="B11726" t="s">
        <v>3399</v>
      </c>
      <c r="C11726" t="s">
        <v>14907</v>
      </c>
      <c r="D11726" t="s">
        <v>17978</v>
      </c>
      <c r="E11726" t="s">
        <v>28177</v>
      </c>
      <c r="F11726" t="s">
        <v>30900</v>
      </c>
      <c r="G11726" t="s">
        <v>30907</v>
      </c>
      <c r="H11726" t="s">
        <v>30916</v>
      </c>
      <c r="I11726" t="s">
        <v>8123</v>
      </c>
      <c r="J11726" t="s">
        <v>38353</v>
      </c>
      <c r="K11726" t="s">
        <v>40302</v>
      </c>
      <c r="M11726" t="s">
        <v>44274</v>
      </c>
      <c r="N11726" t="s">
        <v>44759</v>
      </c>
      <c r="O11726" t="s">
        <v>44760</v>
      </c>
      <c r="P11726">
        <v>0</v>
      </c>
      <c r="Q11726">
        <v>0</v>
      </c>
      <c r="R11726" t="s">
        <v>44775</v>
      </c>
      <c r="S11726" t="s">
        <v>45343</v>
      </c>
      <c r="T11726" t="s">
        <v>46399</v>
      </c>
      <c r="U11726" t="s">
        <v>56577</v>
      </c>
      <c r="W11726" t="s">
        <v>44274</v>
      </c>
      <c r="X11726" t="s">
        <v>44776</v>
      </c>
    </row>
    <row r="11727" spans="1:24">
      <c r="A11727">
        <f>HYPERLINK("https://www.philgeps.gov.ph/GEPSNONPILOT/Tender/SplashBidNoticeAbstractUI.aspx?menuIndex=3&amp;refID=7123344&amp;Result=3","7123344")</f>
        <v>0</v>
      </c>
      <c r="B11727" t="s">
        <v>1063</v>
      </c>
      <c r="C11727" t="s">
        <v>14908</v>
      </c>
      <c r="D11727" t="s">
        <v>17959</v>
      </c>
      <c r="E11727" t="s">
        <v>28178</v>
      </c>
      <c r="F11727" t="s">
        <v>30900</v>
      </c>
      <c r="G11727" t="s">
        <v>30913</v>
      </c>
      <c r="H11727" t="s">
        <v>30916</v>
      </c>
      <c r="I11727" t="s">
        <v>30932</v>
      </c>
      <c r="J11727" t="s">
        <v>38354</v>
      </c>
      <c r="K11727" t="s">
        <v>40280</v>
      </c>
      <c r="M11727" t="s">
        <v>41660</v>
      </c>
      <c r="N11727" t="s">
        <v>44759</v>
      </c>
      <c r="O11727" t="s">
        <v>44760</v>
      </c>
      <c r="Q11727">
        <v>12</v>
      </c>
      <c r="R11727" t="s">
        <v>44775</v>
      </c>
      <c r="S11727" t="s">
        <v>45370</v>
      </c>
      <c r="T11727" t="s">
        <v>46409</v>
      </c>
      <c r="U11727" t="s">
        <v>56578</v>
      </c>
      <c r="V11727" t="s">
        <v>60451</v>
      </c>
      <c r="W11727" t="s">
        <v>41660</v>
      </c>
      <c r="X11727" t="s">
        <v>44776</v>
      </c>
    </row>
    <row r="11728" spans="1:24">
      <c r="A11728">
        <f>HYPERLINK("https://www.philgeps.gov.ph/GEPSNONPILOT/Tender/SplashBidNoticeAbstractUI.aspx?menuIndex=3&amp;refID=7123333&amp;Result=3","7123333")</f>
        <v>0</v>
      </c>
      <c r="B11728" t="s">
        <v>2356</v>
      </c>
      <c r="C11728" t="s">
        <v>14909</v>
      </c>
      <c r="D11728" t="s">
        <v>17988</v>
      </c>
      <c r="E11728" t="s">
        <v>14909</v>
      </c>
      <c r="F11728" t="s">
        <v>30900</v>
      </c>
      <c r="G11728" t="s">
        <v>30907</v>
      </c>
      <c r="H11728" t="s">
        <v>30916</v>
      </c>
      <c r="I11728" t="s">
        <v>30924</v>
      </c>
      <c r="J11728" t="s">
        <v>31288</v>
      </c>
      <c r="K11728" t="s">
        <v>40314</v>
      </c>
      <c r="M11728" t="s">
        <v>43080</v>
      </c>
      <c r="N11728" t="s">
        <v>44759</v>
      </c>
      <c r="O11728" t="s">
        <v>44760</v>
      </c>
      <c r="P11728">
        <v>0</v>
      </c>
      <c r="Q11728">
        <v>1</v>
      </c>
      <c r="R11728" t="s">
        <v>44775</v>
      </c>
      <c r="S11728" t="s">
        <v>45343</v>
      </c>
      <c r="T11728" t="s">
        <v>46426</v>
      </c>
      <c r="U11728" t="s">
        <v>56579</v>
      </c>
      <c r="W11728" t="s">
        <v>43080</v>
      </c>
      <c r="X11728" t="s">
        <v>44776</v>
      </c>
    </row>
    <row r="11729" spans="1:24">
      <c r="A11729">
        <f>HYPERLINK("https://www.philgeps.gov.ph/GEPSNONPILOT/Tender/SplashBidNoticeAbstractUI.aspx?menuIndex=3&amp;refID=7123330&amp;Result=3","7123330")</f>
        <v>0</v>
      </c>
      <c r="B11729" t="s">
        <v>2337</v>
      </c>
      <c r="C11729" t="s">
        <v>14910</v>
      </c>
      <c r="D11729" t="s">
        <v>18019</v>
      </c>
      <c r="E11729" t="s">
        <v>22457</v>
      </c>
      <c r="F11729" t="s">
        <v>30900</v>
      </c>
      <c r="G11729" t="s">
        <v>30907</v>
      </c>
      <c r="H11729" t="s">
        <v>30916</v>
      </c>
      <c r="I11729" t="s">
        <v>8123</v>
      </c>
      <c r="J11729" t="s">
        <v>38355</v>
      </c>
      <c r="K11729" t="s">
        <v>40287</v>
      </c>
      <c r="M11729" t="s">
        <v>43059</v>
      </c>
      <c r="N11729" t="s">
        <v>44759</v>
      </c>
      <c r="O11729" t="s">
        <v>44760</v>
      </c>
      <c r="P11729">
        <v>0</v>
      </c>
      <c r="Q11729">
        <v>3</v>
      </c>
      <c r="R11729" t="s">
        <v>44775</v>
      </c>
      <c r="S11729" t="s">
        <v>45343</v>
      </c>
      <c r="T11729" t="s">
        <v>46487</v>
      </c>
      <c r="U11729" t="s">
        <v>56580</v>
      </c>
      <c r="W11729" t="s">
        <v>43059</v>
      </c>
      <c r="X11729" t="s">
        <v>44776</v>
      </c>
    </row>
    <row r="11730" spans="1:24">
      <c r="A11730">
        <f>HYPERLINK("https://www.philgeps.gov.ph/GEPSNONPILOT/Tender/SplashBidNoticeAbstractUI.aspx?menuIndex=3&amp;refID=7123328&amp;Result=3","7123328")</f>
        <v>0</v>
      </c>
      <c r="B11730" t="s">
        <v>264</v>
      </c>
      <c r="C11730" t="s">
        <v>14911</v>
      </c>
      <c r="D11730" t="s">
        <v>17997</v>
      </c>
      <c r="E11730" t="s">
        <v>28179</v>
      </c>
      <c r="F11730" t="s">
        <v>30900</v>
      </c>
      <c r="G11730" t="s">
        <v>30907</v>
      </c>
      <c r="H11730" t="s">
        <v>30915</v>
      </c>
      <c r="I11730" t="s">
        <v>30919</v>
      </c>
      <c r="J11730" t="s">
        <v>38356</v>
      </c>
      <c r="K11730" t="s">
        <v>40292</v>
      </c>
      <c r="M11730" t="s">
        <v>40811</v>
      </c>
      <c r="N11730" t="s">
        <v>44759</v>
      </c>
      <c r="O11730" t="s">
        <v>44760</v>
      </c>
      <c r="P11730">
        <v>0</v>
      </c>
      <c r="Q11730">
        <v>0</v>
      </c>
      <c r="R11730" t="s">
        <v>44775</v>
      </c>
      <c r="S11730" t="s">
        <v>45343</v>
      </c>
      <c r="T11730" t="s">
        <v>46487</v>
      </c>
      <c r="U11730" t="s">
        <v>56581</v>
      </c>
      <c r="W11730" t="s">
        <v>40811</v>
      </c>
      <c r="X11730" t="s">
        <v>44776</v>
      </c>
    </row>
    <row r="11731" spans="1:24">
      <c r="A11731">
        <f>HYPERLINK("https://www.philgeps.gov.ph/GEPSNONPILOT/Tender/SplashBidNoticeAbstractUI.aspx?menuIndex=3&amp;refID=7123320&amp;Result=3","7123320")</f>
        <v>0</v>
      </c>
      <c r="B11731" t="s">
        <v>2356</v>
      </c>
      <c r="C11731" t="s">
        <v>14912</v>
      </c>
      <c r="D11731" t="s">
        <v>17988</v>
      </c>
      <c r="E11731" t="s">
        <v>28180</v>
      </c>
      <c r="F11731" t="s">
        <v>30900</v>
      </c>
      <c r="G11731" t="s">
        <v>30907</v>
      </c>
      <c r="H11731" t="s">
        <v>30916</v>
      </c>
      <c r="I11731" t="s">
        <v>30933</v>
      </c>
      <c r="J11731" t="s">
        <v>38357</v>
      </c>
      <c r="K11731" t="s">
        <v>40314</v>
      </c>
      <c r="M11731" t="s">
        <v>43080</v>
      </c>
      <c r="N11731" t="s">
        <v>44759</v>
      </c>
      <c r="O11731" t="s">
        <v>44760</v>
      </c>
      <c r="P11731">
        <v>0</v>
      </c>
      <c r="Q11731">
        <v>4</v>
      </c>
      <c r="R11731" t="s">
        <v>44775</v>
      </c>
      <c r="S11731" t="s">
        <v>45343</v>
      </c>
      <c r="T11731" t="s">
        <v>46426</v>
      </c>
      <c r="U11731" t="s">
        <v>56582</v>
      </c>
      <c r="W11731" t="s">
        <v>43080</v>
      </c>
      <c r="X11731" t="s">
        <v>44776</v>
      </c>
    </row>
    <row r="11732" spans="1:24">
      <c r="A11732">
        <f>HYPERLINK("https://www.philgeps.gov.ph/GEPSNONPILOT/Tender/SplashBidNoticeAbstractUI.aspx?menuIndex=3&amp;refID=7123391&amp;Result=3","7123391")</f>
        <v>0</v>
      </c>
      <c r="B11732" t="s">
        <v>492</v>
      </c>
      <c r="C11732" t="s">
        <v>14913</v>
      </c>
      <c r="D11732" t="s">
        <v>18018</v>
      </c>
      <c r="E11732" t="s">
        <v>27298</v>
      </c>
      <c r="F11732" t="s">
        <v>30900</v>
      </c>
      <c r="G11732" t="s">
        <v>30907</v>
      </c>
      <c r="H11732" t="s">
        <v>30915</v>
      </c>
      <c r="I11732" t="s">
        <v>30919</v>
      </c>
      <c r="J11732" t="s">
        <v>38358</v>
      </c>
      <c r="K11732" t="s">
        <v>40358</v>
      </c>
      <c r="M11732" t="s">
        <v>41051</v>
      </c>
      <c r="N11732" t="s">
        <v>44759</v>
      </c>
      <c r="O11732" t="s">
        <v>44760</v>
      </c>
      <c r="P11732">
        <v>0</v>
      </c>
      <c r="Q11732">
        <v>0</v>
      </c>
      <c r="R11732" t="s">
        <v>44775</v>
      </c>
      <c r="S11732" t="s">
        <v>45343</v>
      </c>
      <c r="T11732" t="s">
        <v>46887</v>
      </c>
      <c r="U11732" t="s">
        <v>56583</v>
      </c>
      <c r="W11732" t="s">
        <v>41051</v>
      </c>
      <c r="X11732" t="s">
        <v>44776</v>
      </c>
    </row>
    <row r="11733" spans="1:24">
      <c r="A11733">
        <f>HYPERLINK("https://www.philgeps.gov.ph/GEPSNONPILOT/Tender/SplashBidNoticeAbstractUI.aspx?menuIndex=3&amp;refID=7123381&amp;Result=3","7123381")</f>
        <v>0</v>
      </c>
      <c r="B11733" t="s">
        <v>3400</v>
      </c>
      <c r="C11733" t="s">
        <v>6975</v>
      </c>
      <c r="D11733" t="s">
        <v>17971</v>
      </c>
      <c r="E11733" t="s">
        <v>28181</v>
      </c>
      <c r="F11733" t="s">
        <v>30900</v>
      </c>
      <c r="G11733" t="s">
        <v>30907</v>
      </c>
      <c r="H11733" t="s">
        <v>30916</v>
      </c>
      <c r="I11733" t="s">
        <v>8123</v>
      </c>
      <c r="J11733" t="s">
        <v>31096</v>
      </c>
      <c r="K11733" t="s">
        <v>40284</v>
      </c>
      <c r="M11733" t="s">
        <v>44275</v>
      </c>
      <c r="N11733" t="s">
        <v>44759</v>
      </c>
      <c r="O11733" t="s">
        <v>44760</v>
      </c>
      <c r="P11733">
        <v>0</v>
      </c>
      <c r="Q11733">
        <v>1</v>
      </c>
      <c r="R11733" t="s">
        <v>44775</v>
      </c>
      <c r="S11733" t="s">
        <v>45343</v>
      </c>
      <c r="T11733" t="s">
        <v>46591</v>
      </c>
      <c r="U11733" t="s">
        <v>56584</v>
      </c>
      <c r="W11733" t="s">
        <v>44275</v>
      </c>
      <c r="X11733" t="s">
        <v>44776</v>
      </c>
    </row>
    <row r="11734" spans="1:24">
      <c r="A11734">
        <f>HYPERLINK("https://www.philgeps.gov.ph/GEPSNONPILOT/Tender/SplashBidNoticeAbstractUI.aspx?menuIndex=3&amp;refID=7123431&amp;Result=3","7123431")</f>
        <v>0</v>
      </c>
      <c r="B11734" t="s">
        <v>3400</v>
      </c>
      <c r="C11734" t="s">
        <v>10201</v>
      </c>
      <c r="D11734" t="s">
        <v>17971</v>
      </c>
      <c r="E11734" t="s">
        <v>28182</v>
      </c>
      <c r="F11734" t="s">
        <v>30904</v>
      </c>
      <c r="G11734" t="s">
        <v>30907</v>
      </c>
      <c r="H11734" t="s">
        <v>30916</v>
      </c>
      <c r="I11734" t="s">
        <v>8123</v>
      </c>
      <c r="J11734" t="s">
        <v>31049</v>
      </c>
      <c r="K11734" t="s">
        <v>40284</v>
      </c>
      <c r="M11734" t="s">
        <v>44275</v>
      </c>
      <c r="N11734" t="s">
        <v>44759</v>
      </c>
      <c r="O11734" t="s">
        <v>44760</v>
      </c>
      <c r="P11734">
        <v>0</v>
      </c>
      <c r="Q11734">
        <v>2</v>
      </c>
      <c r="R11734" t="s">
        <v>44775</v>
      </c>
      <c r="S11734" t="s">
        <v>45343</v>
      </c>
      <c r="T11734" t="s">
        <v>46591</v>
      </c>
      <c r="U11734" t="s">
        <v>56585</v>
      </c>
      <c r="W11734" t="s">
        <v>44275</v>
      </c>
      <c r="X11734" t="s">
        <v>44776</v>
      </c>
    </row>
    <row r="11735" spans="1:24">
      <c r="A11735">
        <f>HYPERLINK("https://www.philgeps.gov.ph/GEPSNONPILOT/Tender/SplashBidNoticeAbstractUI.aspx?menuIndex=3&amp;refID=7123363&amp;Result=3","7123363")</f>
        <v>0</v>
      </c>
      <c r="B11735" t="s">
        <v>3401</v>
      </c>
      <c r="C11735" t="s">
        <v>14914</v>
      </c>
      <c r="D11735" t="s">
        <v>17978</v>
      </c>
      <c r="E11735" t="s">
        <v>28183</v>
      </c>
      <c r="F11735" t="s">
        <v>30900</v>
      </c>
      <c r="G11735" t="s">
        <v>30907</v>
      </c>
      <c r="H11735" t="s">
        <v>30916</v>
      </c>
      <c r="I11735" t="s">
        <v>8123</v>
      </c>
      <c r="J11735" t="s">
        <v>38359</v>
      </c>
      <c r="K11735" t="s">
        <v>40358</v>
      </c>
      <c r="M11735" t="s">
        <v>44276</v>
      </c>
      <c r="N11735" t="s">
        <v>44759</v>
      </c>
      <c r="O11735" t="s">
        <v>44760</v>
      </c>
      <c r="P11735">
        <v>0</v>
      </c>
      <c r="Q11735">
        <v>0</v>
      </c>
      <c r="R11735" t="s">
        <v>44775</v>
      </c>
      <c r="S11735" t="s">
        <v>45343</v>
      </c>
      <c r="T11735" t="s">
        <v>46399</v>
      </c>
      <c r="U11735" t="s">
        <v>56586</v>
      </c>
      <c r="W11735" t="s">
        <v>44276</v>
      </c>
      <c r="X11735" t="s">
        <v>44776</v>
      </c>
    </row>
    <row r="11736" spans="1:24">
      <c r="A11736">
        <f>HYPERLINK("https://www.philgeps.gov.ph/GEPSNONPILOT/Tender/SplashBidNoticeAbstractUI.aspx?menuIndex=3&amp;refID=7123538&amp;Result=3","7123538")</f>
        <v>0</v>
      </c>
      <c r="B11736" t="s">
        <v>807</v>
      </c>
      <c r="C11736" t="s">
        <v>14915</v>
      </c>
      <c r="D11736" t="s">
        <v>18015</v>
      </c>
      <c r="E11736" t="s">
        <v>28184</v>
      </c>
      <c r="F11736" t="s">
        <v>30900</v>
      </c>
      <c r="G11736" t="s">
        <v>30907</v>
      </c>
      <c r="H11736" t="s">
        <v>30915</v>
      </c>
      <c r="I11736" t="s">
        <v>30919</v>
      </c>
      <c r="J11736" t="s">
        <v>38360</v>
      </c>
      <c r="K11736" t="s">
        <v>40292</v>
      </c>
      <c r="M11736" t="s">
        <v>41377</v>
      </c>
      <c r="N11736" t="s">
        <v>44759</v>
      </c>
      <c r="O11736" t="s">
        <v>44760</v>
      </c>
      <c r="P11736">
        <v>0</v>
      </c>
      <c r="Q11736">
        <v>0</v>
      </c>
      <c r="R11736" t="s">
        <v>44775</v>
      </c>
      <c r="S11736" t="s">
        <v>45343</v>
      </c>
      <c r="T11736" t="s">
        <v>46352</v>
      </c>
      <c r="U11736" t="s">
        <v>56587</v>
      </c>
      <c r="W11736" t="s">
        <v>41377</v>
      </c>
      <c r="X11736" t="s">
        <v>44776</v>
      </c>
    </row>
    <row r="11737" spans="1:24">
      <c r="A11737">
        <f>HYPERLINK("https://www.philgeps.gov.ph/GEPSNONPILOT/Tender/SplashBidNoticeAbstractUI.aspx?menuIndex=3&amp;refID=7123411&amp;Result=3","7123411")</f>
        <v>0</v>
      </c>
      <c r="B11737" t="s">
        <v>1882</v>
      </c>
      <c r="C11737" t="s">
        <v>14916</v>
      </c>
      <c r="D11737" t="s">
        <v>17968</v>
      </c>
      <c r="E11737" t="s">
        <v>28185</v>
      </c>
      <c r="F11737" t="s">
        <v>30900</v>
      </c>
      <c r="G11737" t="s">
        <v>30907</v>
      </c>
      <c r="H11737" t="s">
        <v>30916</v>
      </c>
      <c r="I11737" t="s">
        <v>30933</v>
      </c>
      <c r="J11737" t="s">
        <v>38361</v>
      </c>
      <c r="K11737" t="s">
        <v>40280</v>
      </c>
      <c r="M11737" t="s">
        <v>42557</v>
      </c>
      <c r="N11737" t="s">
        <v>44759</v>
      </c>
      <c r="O11737" t="s">
        <v>44760</v>
      </c>
      <c r="P11737">
        <v>0</v>
      </c>
      <c r="Q11737">
        <v>6</v>
      </c>
      <c r="R11737" t="s">
        <v>44775</v>
      </c>
      <c r="S11737" t="s">
        <v>45343</v>
      </c>
      <c r="T11737" t="s">
        <v>46421</v>
      </c>
      <c r="U11737" t="s">
        <v>56588</v>
      </c>
      <c r="W11737" t="s">
        <v>42557</v>
      </c>
      <c r="X11737" t="s">
        <v>44776</v>
      </c>
    </row>
    <row r="11738" spans="1:24">
      <c r="A11738">
        <f>HYPERLINK("https://www.philgeps.gov.ph/GEPSNONPILOT/Tender/SplashBidNoticeAbstractUI.aspx?menuIndex=3&amp;refID=7123524&amp;Result=3","7123524")</f>
        <v>0</v>
      </c>
      <c r="B11738" t="s">
        <v>1281</v>
      </c>
      <c r="C11738" t="s">
        <v>14917</v>
      </c>
      <c r="D11738" t="s">
        <v>17966</v>
      </c>
      <c r="E11738" t="s">
        <v>28186</v>
      </c>
      <c r="F11738" t="s">
        <v>30900</v>
      </c>
      <c r="G11738" t="s">
        <v>30907</v>
      </c>
      <c r="H11738" t="s">
        <v>30916</v>
      </c>
      <c r="I11738" t="s">
        <v>30939</v>
      </c>
      <c r="J11738" t="s">
        <v>31069</v>
      </c>
      <c r="K11738" t="s">
        <v>40292</v>
      </c>
      <c r="M11738" t="s">
        <v>41898</v>
      </c>
      <c r="N11738" t="s">
        <v>44759</v>
      </c>
      <c r="O11738" t="s">
        <v>44760</v>
      </c>
      <c r="P11738">
        <v>0</v>
      </c>
      <c r="Q11738">
        <v>0</v>
      </c>
      <c r="R11738" t="s">
        <v>44775</v>
      </c>
      <c r="S11738" t="s">
        <v>45343</v>
      </c>
      <c r="T11738" t="s">
        <v>46466</v>
      </c>
      <c r="U11738" t="s">
        <v>56589</v>
      </c>
      <c r="W11738" t="s">
        <v>60856</v>
      </c>
      <c r="X11738" t="s">
        <v>44776</v>
      </c>
    </row>
    <row r="11739" spans="1:24">
      <c r="A11739">
        <f>HYPERLINK("https://www.philgeps.gov.ph/GEPSNONPILOT/Tender/SplashBidNoticeAbstractUI.aspx?menuIndex=3&amp;refID=7123518&amp;Result=3","7123518")</f>
        <v>0</v>
      </c>
      <c r="B11739" t="s">
        <v>700</v>
      </c>
      <c r="C11739" t="s">
        <v>14918</v>
      </c>
      <c r="D11739" t="s">
        <v>17961</v>
      </c>
      <c r="E11739" t="s">
        <v>28187</v>
      </c>
      <c r="F11739" t="s">
        <v>30900</v>
      </c>
      <c r="G11739" t="s">
        <v>30907</v>
      </c>
      <c r="H11739" t="s">
        <v>30916</v>
      </c>
      <c r="I11739" t="s">
        <v>9385</v>
      </c>
      <c r="J11739" t="s">
        <v>32314</v>
      </c>
      <c r="K11739" t="s">
        <v>40292</v>
      </c>
      <c r="M11739" t="s">
        <v>44277</v>
      </c>
      <c r="N11739" t="s">
        <v>44759</v>
      </c>
      <c r="O11739" t="s">
        <v>44760</v>
      </c>
      <c r="Q11739">
        <v>33</v>
      </c>
      <c r="R11739" t="s">
        <v>44775</v>
      </c>
      <c r="S11739" t="s">
        <v>45371</v>
      </c>
      <c r="T11739" t="s">
        <v>46445</v>
      </c>
      <c r="U11739" t="s">
        <v>56590</v>
      </c>
      <c r="V11739" t="s">
        <v>60452</v>
      </c>
      <c r="W11739" t="s">
        <v>44277</v>
      </c>
      <c r="X11739" t="s">
        <v>44776</v>
      </c>
    </row>
    <row r="11740" spans="1:24">
      <c r="A11740">
        <f>HYPERLINK("https://www.philgeps.gov.ph/GEPSNONPILOT/Tender/SplashBidNoticeAbstractUI.aspx?menuIndex=3&amp;refID=7123532&amp;Result=3","7123532")</f>
        <v>0</v>
      </c>
      <c r="B11740" t="s">
        <v>2821</v>
      </c>
      <c r="C11740" t="s">
        <v>14919</v>
      </c>
      <c r="D11740" t="s">
        <v>17959</v>
      </c>
      <c r="E11740" t="s">
        <v>28188</v>
      </c>
      <c r="F11740" t="s">
        <v>30900</v>
      </c>
      <c r="G11740" t="s">
        <v>30907</v>
      </c>
      <c r="H11740" t="s">
        <v>30917</v>
      </c>
      <c r="I11740" t="s">
        <v>30931</v>
      </c>
      <c r="J11740" t="s">
        <v>32324</v>
      </c>
      <c r="K11740" t="s">
        <v>40434</v>
      </c>
      <c r="M11740" t="s">
        <v>43606</v>
      </c>
      <c r="N11740" t="s">
        <v>44759</v>
      </c>
      <c r="O11740" t="s">
        <v>44760</v>
      </c>
      <c r="P11740">
        <v>0</v>
      </c>
      <c r="Q11740">
        <v>0</v>
      </c>
      <c r="R11740" t="s">
        <v>44775</v>
      </c>
      <c r="S11740" t="s">
        <v>45343</v>
      </c>
      <c r="T11740" t="s">
        <v>46440</v>
      </c>
      <c r="U11740" t="s">
        <v>56591</v>
      </c>
      <c r="W11740" t="s">
        <v>43606</v>
      </c>
      <c r="X11740" t="s">
        <v>44776</v>
      </c>
    </row>
    <row r="11741" spans="1:24">
      <c r="A11741">
        <f>HYPERLINK("https://www.philgeps.gov.ph/GEPSNONPILOT/Tender/SplashBidNoticeAbstractUI.aspx?menuIndex=3&amp;refID=7123512&amp;Result=3","7123512")</f>
        <v>0</v>
      </c>
      <c r="B11741" t="s">
        <v>3402</v>
      </c>
      <c r="C11741" t="s">
        <v>14920</v>
      </c>
      <c r="D11741" t="s">
        <v>17995</v>
      </c>
      <c r="E11741" t="s">
        <v>28189</v>
      </c>
      <c r="F11741" t="s">
        <v>30900</v>
      </c>
      <c r="G11741" t="s">
        <v>30907</v>
      </c>
      <c r="H11741" t="s">
        <v>30916</v>
      </c>
      <c r="I11741" t="s">
        <v>30924</v>
      </c>
      <c r="J11741" t="s">
        <v>37136</v>
      </c>
      <c r="K11741" t="s">
        <v>40286</v>
      </c>
      <c r="M11741" t="s">
        <v>44278</v>
      </c>
      <c r="N11741" t="s">
        <v>44759</v>
      </c>
      <c r="O11741" t="s">
        <v>44760</v>
      </c>
      <c r="P11741">
        <v>0</v>
      </c>
      <c r="Q11741">
        <v>5</v>
      </c>
      <c r="R11741" t="s">
        <v>44775</v>
      </c>
      <c r="S11741" t="s">
        <v>45343</v>
      </c>
      <c r="T11741" t="s">
        <v>46888</v>
      </c>
      <c r="U11741" t="s">
        <v>56592</v>
      </c>
      <c r="W11741" t="s">
        <v>44278</v>
      </c>
      <c r="X11741" t="s">
        <v>44776</v>
      </c>
    </row>
    <row r="11742" spans="1:24">
      <c r="A11742">
        <f>HYPERLINK("https://www.philgeps.gov.ph/GEPSNONPILOT/Tender/SplashBidNoticeAbstractUI.aspx?menuIndex=3&amp;refID=7123498&amp;Result=3","7123498")</f>
        <v>0</v>
      </c>
      <c r="B11742" t="s">
        <v>434</v>
      </c>
      <c r="C11742" t="s">
        <v>14921</v>
      </c>
      <c r="D11742" t="s">
        <v>17978</v>
      </c>
      <c r="E11742" t="s">
        <v>28190</v>
      </c>
      <c r="F11742" t="s">
        <v>30900</v>
      </c>
      <c r="G11742" t="s">
        <v>30907</v>
      </c>
      <c r="H11742" t="s">
        <v>30915</v>
      </c>
      <c r="I11742" t="s">
        <v>30919</v>
      </c>
      <c r="J11742" t="s">
        <v>31297</v>
      </c>
      <c r="K11742" t="s">
        <v>40304</v>
      </c>
      <c r="M11742" t="s">
        <v>40991</v>
      </c>
      <c r="N11742" t="s">
        <v>44759</v>
      </c>
      <c r="O11742" t="s">
        <v>44760</v>
      </c>
      <c r="P11742">
        <v>0</v>
      </c>
      <c r="Q11742">
        <v>1</v>
      </c>
      <c r="R11742" t="s">
        <v>44775</v>
      </c>
      <c r="S11742" t="s">
        <v>45343</v>
      </c>
      <c r="T11742" t="s">
        <v>46389</v>
      </c>
      <c r="U11742" t="s">
        <v>56593</v>
      </c>
      <c r="W11742" t="s">
        <v>40991</v>
      </c>
      <c r="X11742" t="s">
        <v>44776</v>
      </c>
    </row>
    <row r="11743" spans="1:24">
      <c r="A11743">
        <f>HYPERLINK("https://www.philgeps.gov.ph/GEPSNONPILOT/Tender/SplashBidNoticeAbstractUI.aspx?menuIndex=3&amp;refID=7123153&amp;Result=3","7123153")</f>
        <v>0</v>
      </c>
      <c r="B11743" t="s">
        <v>3153</v>
      </c>
      <c r="C11743" t="s">
        <v>14922</v>
      </c>
      <c r="D11743" t="s">
        <v>18009</v>
      </c>
      <c r="E11743" t="s">
        <v>28191</v>
      </c>
      <c r="F11743" t="s">
        <v>30900</v>
      </c>
      <c r="G11743" t="s">
        <v>30907</v>
      </c>
      <c r="H11743" t="s">
        <v>30916</v>
      </c>
      <c r="I11743" t="s">
        <v>4142</v>
      </c>
      <c r="J11743" t="s">
        <v>38362</v>
      </c>
      <c r="K11743" t="s">
        <v>40283</v>
      </c>
      <c r="M11743" t="s">
        <v>43976</v>
      </c>
      <c r="N11743" t="s">
        <v>44759</v>
      </c>
      <c r="O11743" t="s">
        <v>44760</v>
      </c>
      <c r="P11743">
        <v>0</v>
      </c>
      <c r="Q11743">
        <v>4</v>
      </c>
      <c r="R11743" t="s">
        <v>44775</v>
      </c>
      <c r="S11743" t="s">
        <v>45343</v>
      </c>
      <c r="T11743" t="s">
        <v>46425</v>
      </c>
      <c r="U11743" t="s">
        <v>56594</v>
      </c>
      <c r="W11743" t="s">
        <v>43976</v>
      </c>
      <c r="X11743" t="s">
        <v>44776</v>
      </c>
    </row>
    <row r="11744" spans="1:24">
      <c r="A11744">
        <f>HYPERLINK("https://www.philgeps.gov.ph/GEPSNONPILOT/Tender/SplashBidNoticeAbstractUI.aspx?menuIndex=3&amp;refID=7123497&amp;Result=3","7123497")</f>
        <v>0</v>
      </c>
      <c r="B11744" t="s">
        <v>3403</v>
      </c>
      <c r="C11744" t="s">
        <v>14923</v>
      </c>
      <c r="D11744" t="s">
        <v>17984</v>
      </c>
      <c r="E11744" t="s">
        <v>28192</v>
      </c>
      <c r="F11744" t="s">
        <v>30900</v>
      </c>
      <c r="G11744" t="s">
        <v>30907</v>
      </c>
      <c r="H11744" t="s">
        <v>30916</v>
      </c>
      <c r="I11744" t="s">
        <v>4545</v>
      </c>
      <c r="J11744" t="s">
        <v>31282</v>
      </c>
      <c r="K11744" t="s">
        <v>40287</v>
      </c>
      <c r="M11744" t="s">
        <v>44279</v>
      </c>
      <c r="N11744" t="s">
        <v>44759</v>
      </c>
      <c r="O11744" t="s">
        <v>44760</v>
      </c>
      <c r="P11744">
        <v>0</v>
      </c>
      <c r="Q11744">
        <v>6</v>
      </c>
      <c r="R11744" t="s">
        <v>44775</v>
      </c>
      <c r="S11744" t="s">
        <v>45343</v>
      </c>
      <c r="T11744" t="s">
        <v>46400</v>
      </c>
      <c r="U11744" t="s">
        <v>56595</v>
      </c>
      <c r="W11744" t="s">
        <v>44279</v>
      </c>
      <c r="X11744" t="s">
        <v>44776</v>
      </c>
    </row>
    <row r="11745" spans="1:24">
      <c r="A11745">
        <f>HYPERLINK("https://www.philgeps.gov.ph/GEPSNONPILOT/Tender/SplashBidNoticeAbstractUI.aspx?menuIndex=3&amp;refID=7123398&amp;Result=3","7123398")</f>
        <v>0</v>
      </c>
      <c r="B11745" t="s">
        <v>1315</v>
      </c>
      <c r="C11745" t="s">
        <v>14924</v>
      </c>
      <c r="D11745" t="s">
        <v>17982</v>
      </c>
      <c r="E11745" t="s">
        <v>28193</v>
      </c>
      <c r="F11745" t="s">
        <v>30900</v>
      </c>
      <c r="G11745" t="s">
        <v>30907</v>
      </c>
      <c r="H11745" t="s">
        <v>30916</v>
      </c>
      <c r="I11745" t="s">
        <v>30947</v>
      </c>
      <c r="J11745" t="s">
        <v>38363</v>
      </c>
      <c r="K11745" t="s">
        <v>40286</v>
      </c>
      <c r="M11745" t="s">
        <v>41933</v>
      </c>
      <c r="N11745" t="s">
        <v>44759</v>
      </c>
      <c r="O11745" t="s">
        <v>44760</v>
      </c>
      <c r="P11745">
        <v>0</v>
      </c>
      <c r="Q11745">
        <v>4</v>
      </c>
      <c r="R11745" t="s">
        <v>44775</v>
      </c>
      <c r="S11745" t="s">
        <v>45343</v>
      </c>
      <c r="T11745" t="s">
        <v>46465</v>
      </c>
      <c r="U11745" t="s">
        <v>56596</v>
      </c>
      <c r="W11745" t="s">
        <v>41933</v>
      </c>
      <c r="X11745" t="s">
        <v>44776</v>
      </c>
    </row>
    <row r="11746" spans="1:24">
      <c r="A11746">
        <f>HYPERLINK("https://www.philgeps.gov.ph/GEPSNONPILOT/Tender/SplashBidNoticeAbstractUI.aspx?menuIndex=3&amp;refID=7123480&amp;Result=3","7123480")</f>
        <v>0</v>
      </c>
      <c r="B11746" t="s">
        <v>2102</v>
      </c>
      <c r="C11746" t="s">
        <v>14925</v>
      </c>
      <c r="D11746" t="s">
        <v>18001</v>
      </c>
      <c r="E11746" t="s">
        <v>28194</v>
      </c>
      <c r="F11746" t="s">
        <v>30900</v>
      </c>
      <c r="G11746" t="s">
        <v>30907</v>
      </c>
      <c r="H11746" t="s">
        <v>30915</v>
      </c>
      <c r="I11746" t="s">
        <v>30919</v>
      </c>
      <c r="J11746" t="s">
        <v>38364</v>
      </c>
      <c r="K11746" t="s">
        <v>40286</v>
      </c>
      <c r="M11746" t="s">
        <v>42801</v>
      </c>
      <c r="N11746" t="s">
        <v>44759</v>
      </c>
      <c r="O11746" t="s">
        <v>44760</v>
      </c>
      <c r="P11746">
        <v>0</v>
      </c>
      <c r="Q11746">
        <v>1</v>
      </c>
      <c r="R11746" t="s">
        <v>44775</v>
      </c>
      <c r="S11746" t="s">
        <v>45343</v>
      </c>
      <c r="T11746" t="s">
        <v>46492</v>
      </c>
      <c r="U11746" t="s">
        <v>56597</v>
      </c>
      <c r="V11746" t="s">
        <v>60453</v>
      </c>
      <c r="W11746" t="s">
        <v>42801</v>
      </c>
      <c r="X11746" t="s">
        <v>44776</v>
      </c>
    </row>
    <row r="11747" spans="1:24">
      <c r="A11747">
        <f>HYPERLINK("https://www.philgeps.gov.ph/GEPSNONPILOT/Tender/SplashBidNoticeAbstractUI.aspx?menuIndex=3&amp;refID=7123513&amp;Result=3","7123513")</f>
        <v>0</v>
      </c>
      <c r="B11747" t="s">
        <v>807</v>
      </c>
      <c r="C11747" t="s">
        <v>14926</v>
      </c>
      <c r="D11747" t="s">
        <v>18015</v>
      </c>
      <c r="E11747" t="s">
        <v>28195</v>
      </c>
      <c r="F11747" t="s">
        <v>30900</v>
      </c>
      <c r="G11747" t="s">
        <v>30907</v>
      </c>
      <c r="H11747" t="s">
        <v>30915</v>
      </c>
      <c r="I11747" t="s">
        <v>30919</v>
      </c>
      <c r="J11747" t="s">
        <v>38365</v>
      </c>
      <c r="K11747" t="s">
        <v>40286</v>
      </c>
      <c r="M11747" t="s">
        <v>41377</v>
      </c>
      <c r="N11747" t="s">
        <v>44759</v>
      </c>
      <c r="O11747" t="s">
        <v>44760</v>
      </c>
      <c r="P11747">
        <v>0</v>
      </c>
      <c r="Q11747">
        <v>0</v>
      </c>
      <c r="R11747" t="s">
        <v>44775</v>
      </c>
      <c r="S11747" t="s">
        <v>45343</v>
      </c>
      <c r="T11747" t="s">
        <v>46352</v>
      </c>
      <c r="U11747" t="s">
        <v>56598</v>
      </c>
      <c r="W11747" t="s">
        <v>41377</v>
      </c>
      <c r="X11747" t="s">
        <v>44776</v>
      </c>
    </row>
    <row r="11748" spans="1:24">
      <c r="A11748">
        <f>HYPERLINK("https://www.philgeps.gov.ph/GEPSNONPILOT/Tender/SplashBidNoticeAbstractUI.aspx?menuIndex=3&amp;refID=7123474&amp;Result=3","7123474")</f>
        <v>0</v>
      </c>
      <c r="B11748" t="s">
        <v>2373</v>
      </c>
      <c r="C11748" t="s">
        <v>14927</v>
      </c>
      <c r="D11748" t="s">
        <v>17966</v>
      </c>
      <c r="E11748" t="s">
        <v>28196</v>
      </c>
      <c r="F11748" t="s">
        <v>30900</v>
      </c>
      <c r="G11748" t="s">
        <v>30907</v>
      </c>
      <c r="H11748" t="s">
        <v>30915</v>
      </c>
      <c r="I11748" t="s">
        <v>30919</v>
      </c>
      <c r="J11748" t="s">
        <v>38366</v>
      </c>
      <c r="K11748" t="s">
        <v>40354</v>
      </c>
      <c r="M11748" t="s">
        <v>43178</v>
      </c>
      <c r="N11748" t="s">
        <v>44759</v>
      </c>
      <c r="O11748" t="s">
        <v>44760</v>
      </c>
      <c r="P11748">
        <v>0</v>
      </c>
      <c r="Q11748">
        <v>0</v>
      </c>
      <c r="R11748" t="s">
        <v>44775</v>
      </c>
      <c r="S11748" t="s">
        <v>45343</v>
      </c>
      <c r="T11748" t="s">
        <v>46409</v>
      </c>
      <c r="U11748" t="s">
        <v>56599</v>
      </c>
      <c r="W11748" t="s">
        <v>43178</v>
      </c>
      <c r="X11748" t="s">
        <v>44776</v>
      </c>
    </row>
    <row r="11749" spans="1:24">
      <c r="A11749">
        <f>HYPERLINK("https://www.philgeps.gov.ph/GEPSNONPILOT/Tender/SplashBidNoticeAbstractUI.aspx?menuIndex=3&amp;refID=7123463&amp;Result=3","7123463")</f>
        <v>0</v>
      </c>
      <c r="B11749" t="s">
        <v>3398</v>
      </c>
      <c r="C11749" t="s">
        <v>14928</v>
      </c>
      <c r="D11749" t="s">
        <v>18006</v>
      </c>
      <c r="E11749" t="s">
        <v>28197</v>
      </c>
      <c r="F11749" t="s">
        <v>30900</v>
      </c>
      <c r="G11749" t="s">
        <v>30907</v>
      </c>
      <c r="H11749" t="s">
        <v>30915</v>
      </c>
      <c r="I11749" t="s">
        <v>30919</v>
      </c>
      <c r="J11749" t="s">
        <v>31152</v>
      </c>
      <c r="K11749" t="s">
        <v>40335</v>
      </c>
      <c r="M11749" t="s">
        <v>44273</v>
      </c>
      <c r="N11749" t="s">
        <v>44759</v>
      </c>
      <c r="O11749" t="s">
        <v>44760</v>
      </c>
      <c r="P11749">
        <v>0</v>
      </c>
      <c r="Q11749">
        <v>0</v>
      </c>
      <c r="R11749" t="s">
        <v>44775</v>
      </c>
      <c r="S11749" t="s">
        <v>45343</v>
      </c>
      <c r="T11749" t="s">
        <v>46613</v>
      </c>
      <c r="U11749" t="s">
        <v>56600</v>
      </c>
      <c r="W11749" t="s">
        <v>44273</v>
      </c>
      <c r="X11749" t="s">
        <v>44776</v>
      </c>
    </row>
    <row r="11750" spans="1:24">
      <c r="A11750">
        <f>HYPERLINK("https://www.philgeps.gov.ph/GEPSNONPILOT/Tender/SplashBidNoticeAbstractUI.aspx?menuIndex=3&amp;refID=7123453&amp;Result=3","7123453")</f>
        <v>0</v>
      </c>
      <c r="B11750" t="s">
        <v>1315</v>
      </c>
      <c r="C11750" t="s">
        <v>14929</v>
      </c>
      <c r="D11750" t="s">
        <v>17982</v>
      </c>
      <c r="E11750" t="s">
        <v>28198</v>
      </c>
      <c r="F11750" t="s">
        <v>30900</v>
      </c>
      <c r="G11750" t="s">
        <v>30907</v>
      </c>
      <c r="H11750" t="s">
        <v>30916</v>
      </c>
      <c r="I11750" t="s">
        <v>4061</v>
      </c>
      <c r="J11750" t="s">
        <v>38367</v>
      </c>
      <c r="K11750" t="s">
        <v>40286</v>
      </c>
      <c r="M11750" t="s">
        <v>41933</v>
      </c>
      <c r="N11750" t="s">
        <v>44759</v>
      </c>
      <c r="O11750" t="s">
        <v>44760</v>
      </c>
      <c r="P11750">
        <v>0</v>
      </c>
      <c r="Q11750">
        <v>1</v>
      </c>
      <c r="R11750" t="s">
        <v>44775</v>
      </c>
      <c r="S11750" t="s">
        <v>45343</v>
      </c>
      <c r="T11750" t="s">
        <v>46465</v>
      </c>
      <c r="U11750" t="s">
        <v>56601</v>
      </c>
      <c r="W11750" t="s">
        <v>41933</v>
      </c>
      <c r="X11750" t="s">
        <v>44776</v>
      </c>
    </row>
    <row r="11751" spans="1:24">
      <c r="A11751">
        <f>HYPERLINK("https://www.philgeps.gov.ph/GEPSNONPILOT/Tender/SplashBidNoticeAbstractUI.aspx?menuIndex=3&amp;refID=7123447&amp;Result=3","7123447")</f>
        <v>0</v>
      </c>
      <c r="B11751" t="s">
        <v>191</v>
      </c>
      <c r="C11751" t="s">
        <v>14930</v>
      </c>
      <c r="D11751" t="s">
        <v>17998</v>
      </c>
      <c r="E11751" t="s">
        <v>28199</v>
      </c>
      <c r="F11751" t="s">
        <v>30900</v>
      </c>
      <c r="G11751" t="s">
        <v>30907</v>
      </c>
      <c r="H11751" t="s">
        <v>30915</v>
      </c>
      <c r="I11751" t="s">
        <v>8123</v>
      </c>
      <c r="J11751" t="s">
        <v>38368</v>
      </c>
      <c r="K11751" t="s">
        <v>40286</v>
      </c>
      <c r="M11751" t="s">
        <v>40738</v>
      </c>
      <c r="N11751" t="s">
        <v>44759</v>
      </c>
      <c r="O11751" t="s">
        <v>44760</v>
      </c>
      <c r="P11751">
        <v>0</v>
      </c>
      <c r="Q11751">
        <v>0</v>
      </c>
      <c r="R11751" t="s">
        <v>44775</v>
      </c>
      <c r="S11751" t="s">
        <v>45343</v>
      </c>
      <c r="T11751" t="s">
        <v>46889</v>
      </c>
      <c r="U11751" t="s">
        <v>56602</v>
      </c>
      <c r="V11751" t="s">
        <v>60454</v>
      </c>
      <c r="W11751" t="s">
        <v>40738</v>
      </c>
      <c r="X11751" t="s">
        <v>44776</v>
      </c>
    </row>
    <row r="11752" spans="1:24">
      <c r="A11752">
        <f>HYPERLINK("https://www.philgeps.gov.ph/GEPSNONPILOT/Tender/SplashBidNoticeAbstractUI.aspx?menuIndex=3&amp;refID=7123425&amp;Result=3","7123425")</f>
        <v>0</v>
      </c>
      <c r="B11752" t="s">
        <v>3402</v>
      </c>
      <c r="C11752" t="s">
        <v>7551</v>
      </c>
      <c r="D11752" t="s">
        <v>17995</v>
      </c>
      <c r="E11752" t="s">
        <v>28200</v>
      </c>
      <c r="F11752" t="s">
        <v>30900</v>
      </c>
      <c r="G11752" t="s">
        <v>30909</v>
      </c>
      <c r="H11752" t="s">
        <v>30916</v>
      </c>
      <c r="I11752" t="s">
        <v>8123</v>
      </c>
      <c r="J11752" t="s">
        <v>38369</v>
      </c>
      <c r="K11752" t="s">
        <v>40286</v>
      </c>
      <c r="M11752" t="s">
        <v>44278</v>
      </c>
      <c r="N11752" t="s">
        <v>44759</v>
      </c>
      <c r="O11752" t="s">
        <v>44760</v>
      </c>
      <c r="P11752">
        <v>0</v>
      </c>
      <c r="Q11752">
        <v>0</v>
      </c>
      <c r="R11752" t="s">
        <v>44775</v>
      </c>
      <c r="S11752" t="s">
        <v>45343</v>
      </c>
      <c r="T11752" t="s">
        <v>46531</v>
      </c>
      <c r="U11752" t="s">
        <v>56603</v>
      </c>
      <c r="W11752" t="s">
        <v>44278</v>
      </c>
      <c r="X11752" t="s">
        <v>44776</v>
      </c>
    </row>
    <row r="11753" spans="1:24">
      <c r="A11753">
        <f>HYPERLINK("https://www.philgeps.gov.ph/GEPSNONPILOT/Tender/SplashBidNoticeAbstractUI.aspx?menuIndex=3&amp;refID=7123482&amp;Result=3","7123482")</f>
        <v>0</v>
      </c>
      <c r="B11753" t="s">
        <v>3403</v>
      </c>
      <c r="C11753" t="s">
        <v>14931</v>
      </c>
      <c r="D11753" t="s">
        <v>17984</v>
      </c>
      <c r="E11753" t="s">
        <v>28201</v>
      </c>
      <c r="F11753" t="s">
        <v>30900</v>
      </c>
      <c r="G11753" t="s">
        <v>30907</v>
      </c>
      <c r="H11753" t="s">
        <v>30916</v>
      </c>
      <c r="I11753" t="s">
        <v>6834</v>
      </c>
      <c r="J11753" t="s">
        <v>31243</v>
      </c>
      <c r="K11753" t="s">
        <v>40291</v>
      </c>
      <c r="M11753" t="s">
        <v>44279</v>
      </c>
      <c r="N11753" t="s">
        <v>44759</v>
      </c>
      <c r="O11753" t="s">
        <v>44760</v>
      </c>
      <c r="P11753">
        <v>0</v>
      </c>
      <c r="Q11753">
        <v>6</v>
      </c>
      <c r="R11753" t="s">
        <v>44775</v>
      </c>
      <c r="S11753" t="s">
        <v>45343</v>
      </c>
      <c r="T11753" t="s">
        <v>46409</v>
      </c>
      <c r="U11753" t="s">
        <v>56595</v>
      </c>
      <c r="W11753" t="s">
        <v>44279</v>
      </c>
      <c r="X11753" t="s">
        <v>44776</v>
      </c>
    </row>
    <row r="11754" spans="1:24">
      <c r="A11754">
        <f>HYPERLINK("https://www.philgeps.gov.ph/GEPSNONPILOT/Tender/SplashBidNoticeAbstractUI.aspx?menuIndex=3&amp;refID=7123307&amp;Result=3","7123307")</f>
        <v>0</v>
      </c>
      <c r="B11754" t="s">
        <v>3227</v>
      </c>
      <c r="C11754" t="s">
        <v>14932</v>
      </c>
      <c r="D11754" t="s">
        <v>17965</v>
      </c>
      <c r="E11754" t="s">
        <v>28202</v>
      </c>
      <c r="F11754" t="s">
        <v>30900</v>
      </c>
      <c r="G11754" t="s">
        <v>30907</v>
      </c>
      <c r="H11754" t="s">
        <v>30916</v>
      </c>
      <c r="I11754" t="s">
        <v>30947</v>
      </c>
      <c r="J11754" t="s">
        <v>38370</v>
      </c>
      <c r="K11754" t="s">
        <v>40286</v>
      </c>
      <c r="M11754" t="s">
        <v>44066</v>
      </c>
      <c r="N11754" t="s">
        <v>44759</v>
      </c>
      <c r="O11754" t="s">
        <v>44760</v>
      </c>
      <c r="P11754">
        <v>0</v>
      </c>
      <c r="Q11754">
        <v>3</v>
      </c>
      <c r="R11754" t="s">
        <v>44775</v>
      </c>
      <c r="S11754" t="s">
        <v>45343</v>
      </c>
      <c r="T11754" t="s">
        <v>46418</v>
      </c>
      <c r="U11754" t="s">
        <v>56604</v>
      </c>
      <c r="W11754" t="s">
        <v>44066</v>
      </c>
      <c r="X11754" t="s">
        <v>44776</v>
      </c>
    </row>
    <row r="11755" spans="1:24">
      <c r="A11755">
        <f>HYPERLINK("https://www.philgeps.gov.ph/GEPSNONPILOT/Tender/SplashBidNoticeAbstractUI.aspx?menuIndex=3&amp;refID=7123294&amp;Result=3","7123294")</f>
        <v>0</v>
      </c>
      <c r="B11755" t="s">
        <v>1177</v>
      </c>
      <c r="C11755" t="s">
        <v>14933</v>
      </c>
      <c r="D11755" t="s">
        <v>17975</v>
      </c>
      <c r="E11755" t="s">
        <v>28203</v>
      </c>
      <c r="F11755" t="s">
        <v>30900</v>
      </c>
      <c r="G11755" t="s">
        <v>30907</v>
      </c>
      <c r="H11755" t="s">
        <v>30916</v>
      </c>
      <c r="I11755" t="s">
        <v>30949</v>
      </c>
      <c r="J11755" t="s">
        <v>38371</v>
      </c>
      <c r="K11755" t="s">
        <v>40292</v>
      </c>
      <c r="M11755" t="s">
        <v>41784</v>
      </c>
      <c r="N11755" t="s">
        <v>44759</v>
      </c>
      <c r="O11755" t="s">
        <v>44760</v>
      </c>
      <c r="P11755">
        <v>0</v>
      </c>
      <c r="Q11755">
        <v>6</v>
      </c>
      <c r="R11755" t="s">
        <v>44775</v>
      </c>
      <c r="S11755" t="s">
        <v>45343</v>
      </c>
      <c r="T11755" t="s">
        <v>46389</v>
      </c>
      <c r="U11755" t="s">
        <v>56605</v>
      </c>
      <c r="V11755" t="s">
        <v>60455</v>
      </c>
      <c r="W11755" t="s">
        <v>41784</v>
      </c>
      <c r="X11755" t="s">
        <v>44776</v>
      </c>
    </row>
    <row r="11756" spans="1:24">
      <c r="A11756">
        <f>HYPERLINK("https://www.philgeps.gov.ph/GEPSNONPILOT/Tender/SplashBidNoticeAbstractUI.aspx?menuIndex=3&amp;refID=7123465&amp;Result=3","7123465")</f>
        <v>0</v>
      </c>
      <c r="B11756" t="s">
        <v>1063</v>
      </c>
      <c r="C11756" t="s">
        <v>14934</v>
      </c>
      <c r="D11756" t="s">
        <v>17959</v>
      </c>
      <c r="E11756" t="s">
        <v>28204</v>
      </c>
      <c r="F11756" t="s">
        <v>30900</v>
      </c>
      <c r="G11756" t="s">
        <v>30913</v>
      </c>
      <c r="H11756" t="s">
        <v>30916</v>
      </c>
      <c r="I11756" t="s">
        <v>30944</v>
      </c>
      <c r="J11756" t="s">
        <v>38372</v>
      </c>
      <c r="K11756" t="s">
        <v>40280</v>
      </c>
      <c r="M11756" t="s">
        <v>41660</v>
      </c>
      <c r="N11756" t="s">
        <v>44759</v>
      </c>
      <c r="O11756" t="s">
        <v>44760</v>
      </c>
      <c r="Q11756">
        <v>10</v>
      </c>
      <c r="R11756" t="s">
        <v>44775</v>
      </c>
      <c r="S11756" t="s">
        <v>45372</v>
      </c>
      <c r="T11756" t="s">
        <v>46429</v>
      </c>
      <c r="U11756" t="s">
        <v>56606</v>
      </c>
      <c r="V11756" t="s">
        <v>60456</v>
      </c>
      <c r="W11756" t="s">
        <v>41660</v>
      </c>
      <c r="X11756" t="s">
        <v>44776</v>
      </c>
    </row>
    <row r="11757" spans="1:24">
      <c r="A11757">
        <f>HYPERLINK("https://www.philgeps.gov.ph/GEPSNONPILOT/Tender/SplashBidNoticeAbstractUI.aspx?menuIndex=3&amp;refID=7123136&amp;Result=3","7123136")</f>
        <v>0</v>
      </c>
      <c r="B11757" t="s">
        <v>1285</v>
      </c>
      <c r="C11757" t="s">
        <v>14935</v>
      </c>
      <c r="D11757" t="s">
        <v>17958</v>
      </c>
      <c r="E11757" t="s">
        <v>28205</v>
      </c>
      <c r="F11757" t="s">
        <v>30900</v>
      </c>
      <c r="G11757" t="s">
        <v>30913</v>
      </c>
      <c r="H11757" t="s">
        <v>30915</v>
      </c>
      <c r="I11757" t="s">
        <v>30919</v>
      </c>
      <c r="J11757" t="s">
        <v>38373</v>
      </c>
      <c r="K11757" t="s">
        <v>40422</v>
      </c>
      <c r="M11757" t="s">
        <v>41902</v>
      </c>
      <c r="N11757" t="s">
        <v>44759</v>
      </c>
      <c r="O11757" t="s">
        <v>44760</v>
      </c>
      <c r="P11757">
        <v>0</v>
      </c>
      <c r="Q11757">
        <v>1</v>
      </c>
      <c r="R11757" t="s">
        <v>44775</v>
      </c>
      <c r="S11757" t="s">
        <v>45343</v>
      </c>
      <c r="T11757" t="s">
        <v>46369</v>
      </c>
      <c r="U11757" t="s">
        <v>56607</v>
      </c>
      <c r="W11757" t="s">
        <v>41902</v>
      </c>
      <c r="X11757" t="s">
        <v>44776</v>
      </c>
    </row>
    <row r="11758" spans="1:24">
      <c r="A11758">
        <f>HYPERLINK("https://www.philgeps.gov.ph/GEPSNONPILOT/Tender/SplashBidNoticeAbstractUI.aspx?menuIndex=3&amp;refID=7123133&amp;Result=3","7123133")</f>
        <v>0</v>
      </c>
      <c r="B11758" t="s">
        <v>3404</v>
      </c>
      <c r="C11758" t="s">
        <v>14936</v>
      </c>
      <c r="D11758" t="s">
        <v>17956</v>
      </c>
      <c r="E11758" t="s">
        <v>28206</v>
      </c>
      <c r="F11758" t="s">
        <v>30900</v>
      </c>
      <c r="G11758" t="s">
        <v>30907</v>
      </c>
      <c r="H11758" t="s">
        <v>30916</v>
      </c>
      <c r="I11758" t="s">
        <v>30933</v>
      </c>
      <c r="J11758" t="s">
        <v>31158</v>
      </c>
      <c r="K11758" t="s">
        <v>40286</v>
      </c>
      <c r="M11758" t="s">
        <v>44280</v>
      </c>
      <c r="N11758" t="s">
        <v>44759</v>
      </c>
      <c r="O11758" t="s">
        <v>44760</v>
      </c>
      <c r="P11758">
        <v>0</v>
      </c>
      <c r="Q11758">
        <v>4</v>
      </c>
      <c r="R11758" t="s">
        <v>44775</v>
      </c>
      <c r="S11758" t="s">
        <v>45343</v>
      </c>
      <c r="T11758" t="s">
        <v>46418</v>
      </c>
      <c r="U11758" t="s">
        <v>56608</v>
      </c>
      <c r="V11758" t="s">
        <v>59391</v>
      </c>
      <c r="W11758" t="s">
        <v>44280</v>
      </c>
      <c r="X11758" t="s">
        <v>44776</v>
      </c>
    </row>
    <row r="11759" spans="1:24">
      <c r="A11759">
        <f>HYPERLINK("https://www.philgeps.gov.ph/GEPSNONPILOT/Tender/SplashBidNoticeAbstractUI.aspx?menuIndex=3&amp;refID=7123439&amp;Result=3","7123439")</f>
        <v>0</v>
      </c>
      <c r="B11759" t="s">
        <v>280</v>
      </c>
      <c r="C11759" t="s">
        <v>14937</v>
      </c>
      <c r="D11759" t="s">
        <v>17985</v>
      </c>
      <c r="E11759" t="s">
        <v>28207</v>
      </c>
      <c r="F11759" t="s">
        <v>30900</v>
      </c>
      <c r="G11759" t="s">
        <v>30907</v>
      </c>
      <c r="H11759" t="s">
        <v>30916</v>
      </c>
      <c r="I11759" t="s">
        <v>4108</v>
      </c>
      <c r="J11759" t="s">
        <v>36905</v>
      </c>
      <c r="K11759" t="s">
        <v>40289</v>
      </c>
      <c r="M11759" t="s">
        <v>40827</v>
      </c>
      <c r="N11759" t="s">
        <v>44759</v>
      </c>
      <c r="O11759" t="s">
        <v>44760</v>
      </c>
      <c r="P11759">
        <v>0</v>
      </c>
      <c r="Q11759">
        <v>0</v>
      </c>
      <c r="R11759" t="s">
        <v>44775</v>
      </c>
      <c r="S11759" t="s">
        <v>45343</v>
      </c>
      <c r="T11759" t="s">
        <v>46425</v>
      </c>
      <c r="U11759" t="s">
        <v>56609</v>
      </c>
      <c r="W11759" t="s">
        <v>40827</v>
      </c>
      <c r="X11759" t="s">
        <v>44776</v>
      </c>
    </row>
    <row r="11760" spans="1:24">
      <c r="A11760">
        <f>HYPERLINK("https://www.philgeps.gov.ph/GEPSNONPILOT/Tender/SplashBidNoticeAbstractUI.aspx?menuIndex=3&amp;refID=7123509&amp;Result=3","7123509")</f>
        <v>0</v>
      </c>
      <c r="B11760" t="s">
        <v>264</v>
      </c>
      <c r="C11760" t="s">
        <v>14938</v>
      </c>
      <c r="D11760" t="s">
        <v>17997</v>
      </c>
      <c r="E11760" t="s">
        <v>28208</v>
      </c>
      <c r="F11760" t="s">
        <v>30900</v>
      </c>
      <c r="G11760" t="s">
        <v>30907</v>
      </c>
      <c r="H11760" t="s">
        <v>30915</v>
      </c>
      <c r="I11760" t="s">
        <v>30919</v>
      </c>
      <c r="J11760" t="s">
        <v>38374</v>
      </c>
      <c r="K11760" t="s">
        <v>40293</v>
      </c>
      <c r="M11760" t="s">
        <v>40811</v>
      </c>
      <c r="N11760" t="s">
        <v>44759</v>
      </c>
      <c r="O11760" t="s">
        <v>44760</v>
      </c>
      <c r="P11760">
        <v>0</v>
      </c>
      <c r="Q11760">
        <v>0</v>
      </c>
      <c r="R11760" t="s">
        <v>44775</v>
      </c>
      <c r="S11760" t="s">
        <v>45343</v>
      </c>
      <c r="T11760" t="s">
        <v>46487</v>
      </c>
      <c r="U11760" t="s">
        <v>56610</v>
      </c>
      <c r="W11760" t="s">
        <v>40811</v>
      </c>
      <c r="X11760" t="s">
        <v>44776</v>
      </c>
    </row>
    <row r="11761" spans="1:24">
      <c r="A11761">
        <f>HYPERLINK("https://www.philgeps.gov.ph/GEPSNONPILOT/Tender/SplashBidNoticeAbstractUI.aspx?menuIndex=3&amp;refID=7123317&amp;Result=3","7123317")</f>
        <v>0</v>
      </c>
      <c r="B11761" t="s">
        <v>3227</v>
      </c>
      <c r="C11761" t="s">
        <v>14939</v>
      </c>
      <c r="D11761" t="s">
        <v>17965</v>
      </c>
      <c r="E11761" t="s">
        <v>28209</v>
      </c>
      <c r="F11761" t="s">
        <v>30900</v>
      </c>
      <c r="G11761" t="s">
        <v>30907</v>
      </c>
      <c r="H11761" t="s">
        <v>30916</v>
      </c>
      <c r="I11761" t="s">
        <v>31007</v>
      </c>
      <c r="J11761" t="s">
        <v>38375</v>
      </c>
      <c r="K11761" t="s">
        <v>40286</v>
      </c>
      <c r="M11761" t="s">
        <v>44066</v>
      </c>
      <c r="N11761" t="s">
        <v>44759</v>
      </c>
      <c r="O11761" t="s">
        <v>44760</v>
      </c>
      <c r="P11761">
        <v>0</v>
      </c>
      <c r="Q11761">
        <v>0</v>
      </c>
      <c r="R11761" t="s">
        <v>44775</v>
      </c>
      <c r="S11761" t="s">
        <v>45343</v>
      </c>
      <c r="T11761" t="s">
        <v>46418</v>
      </c>
      <c r="U11761" t="s">
        <v>56604</v>
      </c>
      <c r="W11761" t="s">
        <v>44066</v>
      </c>
      <c r="X11761" t="s">
        <v>44776</v>
      </c>
    </row>
    <row r="11762" spans="1:24">
      <c r="A11762">
        <f>HYPERLINK("https://www.philgeps.gov.ph/GEPSNONPILOT/Tender/SplashBidNoticeAbstractUI.aspx?menuIndex=3&amp;refID=7123542&amp;Result=3","7123542")</f>
        <v>0</v>
      </c>
      <c r="B11762" t="s">
        <v>280</v>
      </c>
      <c r="C11762" t="s">
        <v>14940</v>
      </c>
      <c r="D11762" t="s">
        <v>17985</v>
      </c>
      <c r="E11762" t="s">
        <v>28210</v>
      </c>
      <c r="F11762" t="s">
        <v>30900</v>
      </c>
      <c r="G11762" t="s">
        <v>30907</v>
      </c>
      <c r="H11762" t="s">
        <v>30916</v>
      </c>
      <c r="I11762" t="s">
        <v>30928</v>
      </c>
      <c r="J11762" t="s">
        <v>38376</v>
      </c>
      <c r="K11762" t="s">
        <v>40289</v>
      </c>
      <c r="M11762" t="s">
        <v>40827</v>
      </c>
      <c r="N11762" t="s">
        <v>44759</v>
      </c>
      <c r="O11762" t="s">
        <v>44760</v>
      </c>
      <c r="P11762">
        <v>0</v>
      </c>
      <c r="Q11762">
        <v>2</v>
      </c>
      <c r="R11762" t="s">
        <v>44775</v>
      </c>
      <c r="S11762" t="s">
        <v>45343</v>
      </c>
      <c r="T11762" t="s">
        <v>46425</v>
      </c>
      <c r="U11762" t="s">
        <v>56611</v>
      </c>
      <c r="W11762" t="s">
        <v>40827</v>
      </c>
      <c r="X11762" t="s">
        <v>44776</v>
      </c>
    </row>
    <row r="11763" spans="1:24">
      <c r="A11763">
        <f>HYPERLINK("https://www.philgeps.gov.ph/GEPSNONPILOT/Tender/SplashBidNoticeAbstractUI.aspx?menuIndex=3&amp;refID=7123572&amp;Result=3","7123572")</f>
        <v>0</v>
      </c>
      <c r="B11763" t="s">
        <v>2356</v>
      </c>
      <c r="C11763" t="s">
        <v>14941</v>
      </c>
      <c r="D11763" t="s">
        <v>17988</v>
      </c>
      <c r="E11763" t="s">
        <v>14941</v>
      </c>
      <c r="F11763" t="s">
        <v>30900</v>
      </c>
      <c r="G11763" t="s">
        <v>30907</v>
      </c>
      <c r="H11763" t="s">
        <v>30916</v>
      </c>
      <c r="I11763" t="s">
        <v>30933</v>
      </c>
      <c r="J11763" t="s">
        <v>38377</v>
      </c>
      <c r="K11763" t="s">
        <v>40314</v>
      </c>
      <c r="M11763" t="s">
        <v>43080</v>
      </c>
      <c r="N11763" t="s">
        <v>44759</v>
      </c>
      <c r="O11763" t="s">
        <v>44760</v>
      </c>
      <c r="P11763">
        <v>0</v>
      </c>
      <c r="Q11763">
        <v>0</v>
      </c>
      <c r="R11763" t="s">
        <v>44775</v>
      </c>
      <c r="S11763" t="s">
        <v>45343</v>
      </c>
      <c r="T11763" t="s">
        <v>46426</v>
      </c>
      <c r="U11763" t="s">
        <v>56612</v>
      </c>
      <c r="W11763" t="s">
        <v>43080</v>
      </c>
      <c r="X11763" t="s">
        <v>44776</v>
      </c>
    </row>
    <row r="11764" spans="1:24">
      <c r="A11764">
        <f>HYPERLINK("https://www.philgeps.gov.ph/GEPSNONPILOT/Tender/SplashBidNoticeAbstractUI.aspx?menuIndex=3&amp;refID=7123573&amp;Result=3","7123573")</f>
        <v>0</v>
      </c>
      <c r="B11764" t="s">
        <v>191</v>
      </c>
      <c r="C11764" t="s">
        <v>4010</v>
      </c>
      <c r="D11764" t="s">
        <v>17998</v>
      </c>
      <c r="E11764" t="s">
        <v>28211</v>
      </c>
      <c r="F11764" t="s">
        <v>30900</v>
      </c>
      <c r="G11764" t="s">
        <v>30907</v>
      </c>
      <c r="H11764" t="s">
        <v>30916</v>
      </c>
      <c r="I11764" t="s">
        <v>4454</v>
      </c>
      <c r="J11764" t="s">
        <v>31096</v>
      </c>
      <c r="K11764" t="s">
        <v>40286</v>
      </c>
      <c r="M11764" t="s">
        <v>40738</v>
      </c>
      <c r="N11764" t="s">
        <v>44759</v>
      </c>
      <c r="O11764" t="s">
        <v>44760</v>
      </c>
      <c r="P11764">
        <v>0</v>
      </c>
      <c r="Q11764">
        <v>0</v>
      </c>
      <c r="R11764" t="s">
        <v>44775</v>
      </c>
      <c r="S11764" t="s">
        <v>45343</v>
      </c>
      <c r="T11764" t="s">
        <v>46889</v>
      </c>
      <c r="U11764" t="s">
        <v>56613</v>
      </c>
      <c r="V11764" t="s">
        <v>60457</v>
      </c>
      <c r="W11764" t="s">
        <v>40738</v>
      </c>
      <c r="X11764" t="s">
        <v>44776</v>
      </c>
    </row>
    <row r="11765" spans="1:24">
      <c r="A11765">
        <f>HYPERLINK("https://www.philgeps.gov.ph/GEPSNONPILOT/Tender/SplashBidNoticeAbstractUI.aspx?menuIndex=3&amp;refID=7123565&amp;Result=3","7123565")</f>
        <v>0</v>
      </c>
      <c r="B11765" t="s">
        <v>3405</v>
      </c>
      <c r="C11765" t="s">
        <v>14942</v>
      </c>
      <c r="D11765" t="s">
        <v>17952</v>
      </c>
      <c r="E11765" t="s">
        <v>28212</v>
      </c>
      <c r="F11765" t="s">
        <v>30900</v>
      </c>
      <c r="G11765" t="s">
        <v>30907</v>
      </c>
      <c r="H11765" t="s">
        <v>30916</v>
      </c>
      <c r="I11765" t="s">
        <v>4142</v>
      </c>
      <c r="J11765" t="s">
        <v>38378</v>
      </c>
      <c r="K11765" t="s">
        <v>40286</v>
      </c>
      <c r="M11765" t="s">
        <v>44281</v>
      </c>
      <c r="N11765" t="s">
        <v>44759</v>
      </c>
      <c r="O11765" t="s">
        <v>44760</v>
      </c>
      <c r="P11765">
        <v>0</v>
      </c>
      <c r="Q11765">
        <v>6</v>
      </c>
      <c r="R11765" t="s">
        <v>44775</v>
      </c>
      <c r="S11765" t="s">
        <v>45343</v>
      </c>
      <c r="T11765" t="s">
        <v>46389</v>
      </c>
      <c r="U11765" t="s">
        <v>56614</v>
      </c>
      <c r="W11765" t="s">
        <v>44281</v>
      </c>
      <c r="X11765" t="s">
        <v>44776</v>
      </c>
    </row>
    <row r="11766" spans="1:24">
      <c r="A11766">
        <f>HYPERLINK("https://www.philgeps.gov.ph/GEPSNONPILOT/Tender/SplashBidNoticeAbstractUI.aspx?menuIndex=3&amp;refID=7123556&amp;Result=3","7123556")</f>
        <v>0</v>
      </c>
      <c r="B11766" t="s">
        <v>2373</v>
      </c>
      <c r="C11766" t="s">
        <v>14943</v>
      </c>
      <c r="D11766" t="s">
        <v>17966</v>
      </c>
      <c r="E11766" t="s">
        <v>28213</v>
      </c>
      <c r="F11766" t="s">
        <v>30900</v>
      </c>
      <c r="G11766" t="s">
        <v>30907</v>
      </c>
      <c r="H11766" t="s">
        <v>30915</v>
      </c>
      <c r="I11766" t="s">
        <v>30919</v>
      </c>
      <c r="J11766" t="s">
        <v>38379</v>
      </c>
      <c r="K11766" t="s">
        <v>40354</v>
      </c>
      <c r="M11766" t="s">
        <v>43178</v>
      </c>
      <c r="N11766" t="s">
        <v>44759</v>
      </c>
      <c r="O11766" t="s">
        <v>44760</v>
      </c>
      <c r="P11766">
        <v>0</v>
      </c>
      <c r="Q11766">
        <v>0</v>
      </c>
      <c r="R11766" t="s">
        <v>44775</v>
      </c>
      <c r="S11766" t="s">
        <v>45343</v>
      </c>
      <c r="T11766" t="s">
        <v>46409</v>
      </c>
      <c r="U11766" t="s">
        <v>56615</v>
      </c>
      <c r="W11766" t="s">
        <v>43178</v>
      </c>
      <c r="X11766" t="s">
        <v>44776</v>
      </c>
    </row>
    <row r="11767" spans="1:24">
      <c r="A11767">
        <f>HYPERLINK("https://www.philgeps.gov.ph/GEPSNONPILOT/Tender/SplashBidNoticeAbstractUI.aspx?menuIndex=3&amp;refID=7123553&amp;Result=3","7123553")</f>
        <v>0</v>
      </c>
      <c r="B11767" t="s">
        <v>365</v>
      </c>
      <c r="C11767" t="s">
        <v>14944</v>
      </c>
      <c r="D11767" t="s">
        <v>17957</v>
      </c>
      <c r="E11767" t="s">
        <v>28214</v>
      </c>
      <c r="F11767" t="s">
        <v>30900</v>
      </c>
      <c r="G11767" t="s">
        <v>30907</v>
      </c>
      <c r="H11767" t="s">
        <v>30916</v>
      </c>
      <c r="I11767" t="s">
        <v>5501</v>
      </c>
      <c r="J11767" t="s">
        <v>35622</v>
      </c>
      <c r="K11767" t="s">
        <v>40283</v>
      </c>
      <c r="M11767" t="s">
        <v>40919</v>
      </c>
      <c r="N11767" t="s">
        <v>44759</v>
      </c>
      <c r="O11767" t="s">
        <v>44760</v>
      </c>
      <c r="P11767">
        <v>0</v>
      </c>
      <c r="Q11767">
        <v>2</v>
      </c>
      <c r="R11767" t="s">
        <v>44775</v>
      </c>
      <c r="S11767" t="s">
        <v>45343</v>
      </c>
      <c r="T11767" t="s">
        <v>46421</v>
      </c>
      <c r="U11767" t="s">
        <v>56616</v>
      </c>
      <c r="W11767" t="s">
        <v>40919</v>
      </c>
      <c r="X11767" t="s">
        <v>44776</v>
      </c>
    </row>
    <row r="11768" spans="1:24">
      <c r="A11768">
        <f>HYPERLINK("https://www.philgeps.gov.ph/GEPSNONPILOT/Tender/SplashBidNoticeAbstractUI.aspx?menuIndex=3&amp;refID=7123552&amp;Result=3","7123552")</f>
        <v>0</v>
      </c>
      <c r="B11768" t="s">
        <v>492</v>
      </c>
      <c r="C11768" t="s">
        <v>14945</v>
      </c>
      <c r="D11768" t="s">
        <v>18018</v>
      </c>
      <c r="E11768" t="s">
        <v>28215</v>
      </c>
      <c r="F11768" t="s">
        <v>30900</v>
      </c>
      <c r="G11768" t="s">
        <v>30907</v>
      </c>
      <c r="H11768" t="s">
        <v>30915</v>
      </c>
      <c r="I11768" t="s">
        <v>30919</v>
      </c>
      <c r="J11768" t="s">
        <v>38380</v>
      </c>
      <c r="K11768" t="s">
        <v>40343</v>
      </c>
      <c r="M11768" t="s">
        <v>41051</v>
      </c>
      <c r="N11768" t="s">
        <v>44759</v>
      </c>
      <c r="O11768" t="s">
        <v>44760</v>
      </c>
      <c r="P11768">
        <v>0</v>
      </c>
      <c r="Q11768">
        <v>0</v>
      </c>
      <c r="R11768" t="s">
        <v>44775</v>
      </c>
      <c r="S11768" t="s">
        <v>45343</v>
      </c>
      <c r="T11768" t="s">
        <v>46887</v>
      </c>
      <c r="U11768" t="s">
        <v>56617</v>
      </c>
      <c r="W11768" t="s">
        <v>41051</v>
      </c>
      <c r="X11768" t="s">
        <v>44776</v>
      </c>
    </row>
    <row r="11769" spans="1:24">
      <c r="A11769">
        <f>HYPERLINK("https://www.philgeps.gov.ph/GEPSNONPILOT/Tender/SplashBidNoticeAbstractUI.aspx?menuIndex=3&amp;refID=7123549&amp;Result=3","7123549")</f>
        <v>0</v>
      </c>
      <c r="B11769" t="s">
        <v>838</v>
      </c>
      <c r="C11769" t="s">
        <v>14946</v>
      </c>
      <c r="D11769" t="s">
        <v>17975</v>
      </c>
      <c r="E11769" t="s">
        <v>28216</v>
      </c>
      <c r="F11769" t="s">
        <v>30900</v>
      </c>
      <c r="G11769" t="s">
        <v>30907</v>
      </c>
      <c r="H11769" t="s">
        <v>30917</v>
      </c>
      <c r="I11769" t="s">
        <v>30942</v>
      </c>
      <c r="J11769" t="s">
        <v>31105</v>
      </c>
      <c r="K11769" t="s">
        <v>40284</v>
      </c>
      <c r="M11769" t="s">
        <v>41411</v>
      </c>
      <c r="N11769" t="s">
        <v>44759</v>
      </c>
      <c r="O11769" t="s">
        <v>44760</v>
      </c>
      <c r="P11769">
        <v>0</v>
      </c>
      <c r="Q11769">
        <v>1</v>
      </c>
      <c r="R11769" t="s">
        <v>44775</v>
      </c>
      <c r="S11769" t="s">
        <v>45343</v>
      </c>
      <c r="T11769" t="s">
        <v>46357</v>
      </c>
      <c r="U11769" t="s">
        <v>56618</v>
      </c>
      <c r="W11769" t="s">
        <v>41411</v>
      </c>
      <c r="X11769" t="s">
        <v>44776</v>
      </c>
    </row>
    <row r="11770" spans="1:24">
      <c r="A11770">
        <f>HYPERLINK("https://www.philgeps.gov.ph/GEPSNONPILOT/Tender/SplashBidNoticeAbstractUI.aspx?menuIndex=3&amp;refID=7123534&amp;Result=3","7123534")</f>
        <v>0</v>
      </c>
      <c r="B11770" t="s">
        <v>928</v>
      </c>
      <c r="C11770" t="s">
        <v>14947</v>
      </c>
      <c r="D11770" t="s">
        <v>17972</v>
      </c>
      <c r="E11770" t="s">
        <v>26908</v>
      </c>
      <c r="F11770" t="s">
        <v>30900</v>
      </c>
      <c r="G11770" t="s">
        <v>30907</v>
      </c>
      <c r="H11770" t="s">
        <v>30915</v>
      </c>
      <c r="I11770" t="s">
        <v>30932</v>
      </c>
      <c r="J11770" t="s">
        <v>38381</v>
      </c>
      <c r="K11770" t="s">
        <v>40289</v>
      </c>
      <c r="M11770" t="s">
        <v>41510</v>
      </c>
      <c r="N11770" t="s">
        <v>44759</v>
      </c>
      <c r="O11770" t="s">
        <v>44760</v>
      </c>
      <c r="P11770">
        <v>0</v>
      </c>
      <c r="Q11770">
        <v>3</v>
      </c>
      <c r="R11770" t="s">
        <v>44775</v>
      </c>
      <c r="S11770" t="s">
        <v>45343</v>
      </c>
      <c r="T11770" t="s">
        <v>46454</v>
      </c>
      <c r="U11770" t="s">
        <v>54779</v>
      </c>
      <c r="W11770" t="s">
        <v>41510</v>
      </c>
      <c r="X11770" t="s">
        <v>44776</v>
      </c>
    </row>
    <row r="11771" spans="1:24">
      <c r="A11771">
        <f>HYPERLINK("https://www.philgeps.gov.ph/GEPSNONPILOT/Tender/SplashBidNoticeAbstractUI.aspx?menuIndex=3&amp;refID=7123543&amp;Result=3","7123543")</f>
        <v>0</v>
      </c>
      <c r="B11771" t="s">
        <v>1978</v>
      </c>
      <c r="C11771" t="s">
        <v>14948</v>
      </c>
      <c r="D11771" t="s">
        <v>17993</v>
      </c>
      <c r="E11771" t="s">
        <v>28217</v>
      </c>
      <c r="F11771" t="s">
        <v>30900</v>
      </c>
      <c r="G11771" t="s">
        <v>30907</v>
      </c>
      <c r="H11771" t="s">
        <v>30915</v>
      </c>
      <c r="I11771" t="s">
        <v>30919</v>
      </c>
      <c r="J11771" t="s">
        <v>38382</v>
      </c>
      <c r="K11771" t="s">
        <v>40289</v>
      </c>
      <c r="M11771" t="s">
        <v>42667</v>
      </c>
      <c r="N11771" t="s">
        <v>44759</v>
      </c>
      <c r="O11771" t="s">
        <v>44760</v>
      </c>
      <c r="P11771">
        <v>0</v>
      </c>
      <c r="Q11771">
        <v>1</v>
      </c>
      <c r="R11771" t="s">
        <v>44775</v>
      </c>
      <c r="S11771" t="s">
        <v>45343</v>
      </c>
      <c r="T11771" t="s">
        <v>46352</v>
      </c>
      <c r="U11771" t="s">
        <v>56619</v>
      </c>
      <c r="W11771" t="s">
        <v>42667</v>
      </c>
      <c r="X11771" t="s">
        <v>44776</v>
      </c>
    </row>
    <row r="11772" spans="1:24">
      <c r="A11772">
        <f>HYPERLINK("https://www.philgeps.gov.ph/GEPSNONPILOT/Tender/SplashBidNoticeAbstractUI.aspx?menuIndex=3&amp;refID=7123621&amp;Result=3","7123621")</f>
        <v>0</v>
      </c>
      <c r="B11772" t="s">
        <v>434</v>
      </c>
      <c r="C11772" t="s">
        <v>14949</v>
      </c>
      <c r="D11772" t="s">
        <v>17978</v>
      </c>
      <c r="E11772" t="s">
        <v>28218</v>
      </c>
      <c r="F11772" t="s">
        <v>30900</v>
      </c>
      <c r="G11772" t="s">
        <v>30907</v>
      </c>
      <c r="H11772" t="s">
        <v>30915</v>
      </c>
      <c r="I11772" t="s">
        <v>30919</v>
      </c>
      <c r="J11772" t="s">
        <v>31152</v>
      </c>
      <c r="K11772" t="s">
        <v>40292</v>
      </c>
      <c r="M11772" t="s">
        <v>40991</v>
      </c>
      <c r="N11772" t="s">
        <v>44759</v>
      </c>
      <c r="O11772" t="s">
        <v>44760</v>
      </c>
      <c r="P11772">
        <v>0</v>
      </c>
      <c r="Q11772">
        <v>1</v>
      </c>
      <c r="R11772" t="s">
        <v>44775</v>
      </c>
      <c r="S11772" t="s">
        <v>45343</v>
      </c>
      <c r="T11772" t="s">
        <v>46389</v>
      </c>
      <c r="U11772" t="s">
        <v>56620</v>
      </c>
      <c r="W11772" t="s">
        <v>40991</v>
      </c>
      <c r="X11772" t="s">
        <v>44776</v>
      </c>
    </row>
    <row r="11773" spans="1:24">
      <c r="A11773">
        <f>HYPERLINK("https://www.philgeps.gov.ph/GEPSNONPILOT/Tender/SplashBidNoticeAbstractUI.aspx?menuIndex=3&amp;refID=7123612&amp;Result=3","7123612")</f>
        <v>0</v>
      </c>
      <c r="B11773" t="s">
        <v>2356</v>
      </c>
      <c r="C11773" t="s">
        <v>14941</v>
      </c>
      <c r="D11773" t="s">
        <v>17988</v>
      </c>
      <c r="E11773" t="s">
        <v>14941</v>
      </c>
      <c r="F11773" t="s">
        <v>30900</v>
      </c>
      <c r="G11773" t="s">
        <v>30907</v>
      </c>
      <c r="H11773" t="s">
        <v>30916</v>
      </c>
      <c r="I11773" t="s">
        <v>30933</v>
      </c>
      <c r="J11773" t="s">
        <v>38383</v>
      </c>
      <c r="K11773" t="s">
        <v>40314</v>
      </c>
      <c r="M11773" t="s">
        <v>43080</v>
      </c>
      <c r="N11773" t="s">
        <v>44759</v>
      </c>
      <c r="O11773" t="s">
        <v>44760</v>
      </c>
      <c r="P11773">
        <v>0</v>
      </c>
      <c r="Q11773">
        <v>0</v>
      </c>
      <c r="R11773" t="s">
        <v>44775</v>
      </c>
      <c r="S11773" t="s">
        <v>45343</v>
      </c>
      <c r="T11773" t="s">
        <v>46426</v>
      </c>
      <c r="U11773" t="s">
        <v>56612</v>
      </c>
      <c r="W11773" t="s">
        <v>43080</v>
      </c>
      <c r="X11773" t="s">
        <v>44776</v>
      </c>
    </row>
    <row r="11774" spans="1:24">
      <c r="A11774">
        <f>HYPERLINK("https://www.philgeps.gov.ph/GEPSNONPILOT/Tender/SplashBidNoticeAbstractUI.aspx?menuIndex=3&amp;refID=7123607&amp;Result=3","7123607")</f>
        <v>0</v>
      </c>
      <c r="B11774" t="s">
        <v>112</v>
      </c>
      <c r="C11774" t="s">
        <v>14950</v>
      </c>
      <c r="D11774" t="s">
        <v>17997</v>
      </c>
      <c r="E11774" t="s">
        <v>28219</v>
      </c>
      <c r="F11774" t="s">
        <v>30900</v>
      </c>
      <c r="G11774" t="s">
        <v>30907</v>
      </c>
      <c r="H11774" t="s">
        <v>30915</v>
      </c>
      <c r="I11774" t="s">
        <v>30919</v>
      </c>
      <c r="J11774" t="s">
        <v>38384</v>
      </c>
      <c r="K11774" t="s">
        <v>40292</v>
      </c>
      <c r="M11774" t="s">
        <v>40659</v>
      </c>
      <c r="N11774" t="s">
        <v>44759</v>
      </c>
      <c r="O11774" t="s">
        <v>44760</v>
      </c>
      <c r="P11774">
        <v>0</v>
      </c>
      <c r="Q11774">
        <v>0</v>
      </c>
      <c r="R11774" t="s">
        <v>44775</v>
      </c>
      <c r="S11774" t="s">
        <v>45343</v>
      </c>
      <c r="T11774" t="s">
        <v>46487</v>
      </c>
      <c r="U11774" t="s">
        <v>56621</v>
      </c>
      <c r="W11774" t="s">
        <v>40659</v>
      </c>
      <c r="X11774" t="s">
        <v>44776</v>
      </c>
    </row>
    <row r="11775" spans="1:24">
      <c r="A11775">
        <f>HYPERLINK("https://www.philgeps.gov.ph/GEPSNONPILOT/Tender/SplashBidNoticeAbstractUI.aspx?menuIndex=3&amp;refID=7123606&amp;Result=3","7123606")</f>
        <v>0</v>
      </c>
      <c r="B11775" t="s">
        <v>1978</v>
      </c>
      <c r="C11775" t="s">
        <v>14951</v>
      </c>
      <c r="D11775" t="s">
        <v>17993</v>
      </c>
      <c r="E11775" t="s">
        <v>28220</v>
      </c>
      <c r="F11775" t="s">
        <v>30900</v>
      </c>
      <c r="G11775" t="s">
        <v>30907</v>
      </c>
      <c r="H11775" t="s">
        <v>30915</v>
      </c>
      <c r="I11775" t="s">
        <v>30919</v>
      </c>
      <c r="J11775" t="s">
        <v>38385</v>
      </c>
      <c r="K11775" t="s">
        <v>40289</v>
      </c>
      <c r="M11775" t="s">
        <v>42667</v>
      </c>
      <c r="N11775" t="s">
        <v>44759</v>
      </c>
      <c r="O11775" t="s">
        <v>44760</v>
      </c>
      <c r="P11775">
        <v>0</v>
      </c>
      <c r="Q11775">
        <v>1</v>
      </c>
      <c r="R11775" t="s">
        <v>44775</v>
      </c>
      <c r="S11775" t="s">
        <v>45343</v>
      </c>
      <c r="T11775" t="s">
        <v>46352</v>
      </c>
      <c r="U11775" t="s">
        <v>56622</v>
      </c>
      <c r="W11775" t="s">
        <v>42667</v>
      </c>
      <c r="X11775" t="s">
        <v>44776</v>
      </c>
    </row>
    <row r="11776" spans="1:24">
      <c r="A11776">
        <f>HYPERLINK("https://www.philgeps.gov.ph/GEPSNONPILOT/Tender/SplashBidNoticeAbstractUI.aspx?menuIndex=3&amp;refID=7123626&amp;Result=3","7123626")</f>
        <v>0</v>
      </c>
      <c r="B11776" t="s">
        <v>2022</v>
      </c>
      <c r="C11776" t="s">
        <v>14952</v>
      </c>
      <c r="D11776" t="s">
        <v>17990</v>
      </c>
      <c r="E11776" t="s">
        <v>28221</v>
      </c>
      <c r="F11776" t="s">
        <v>30900</v>
      </c>
      <c r="G11776" t="s">
        <v>30907</v>
      </c>
      <c r="H11776" t="s">
        <v>30916</v>
      </c>
      <c r="I11776" t="s">
        <v>4545</v>
      </c>
      <c r="J11776" t="s">
        <v>38386</v>
      </c>
      <c r="K11776" t="s">
        <v>40286</v>
      </c>
      <c r="M11776" t="s">
        <v>44282</v>
      </c>
      <c r="N11776" t="s">
        <v>44759</v>
      </c>
      <c r="O11776" t="s">
        <v>44760</v>
      </c>
      <c r="P11776">
        <v>0</v>
      </c>
      <c r="Q11776">
        <v>2</v>
      </c>
      <c r="R11776" t="s">
        <v>44775</v>
      </c>
      <c r="S11776" t="s">
        <v>45343</v>
      </c>
      <c r="T11776" t="s">
        <v>46400</v>
      </c>
      <c r="U11776" t="s">
        <v>56623</v>
      </c>
      <c r="W11776" t="s">
        <v>44282</v>
      </c>
      <c r="X11776" t="s">
        <v>44776</v>
      </c>
    </row>
    <row r="11777" spans="1:24">
      <c r="A11777">
        <f>HYPERLINK("https://www.philgeps.gov.ph/GEPSNONPILOT/Tender/SplashBidNoticeAbstractUI.aspx?menuIndex=3&amp;refID=7123610&amp;Result=3","7123610")</f>
        <v>0</v>
      </c>
      <c r="B11777" t="s">
        <v>3402</v>
      </c>
      <c r="C11777" t="s">
        <v>14953</v>
      </c>
      <c r="D11777" t="s">
        <v>17995</v>
      </c>
      <c r="E11777" t="s">
        <v>28222</v>
      </c>
      <c r="F11777" t="s">
        <v>30900</v>
      </c>
      <c r="G11777" t="s">
        <v>30909</v>
      </c>
      <c r="H11777" t="s">
        <v>30916</v>
      </c>
      <c r="I11777" t="s">
        <v>4108</v>
      </c>
      <c r="J11777" t="s">
        <v>31043</v>
      </c>
      <c r="K11777" t="s">
        <v>40286</v>
      </c>
      <c r="M11777" t="s">
        <v>44278</v>
      </c>
      <c r="N11777" t="s">
        <v>44759</v>
      </c>
      <c r="O11777" t="s">
        <v>44760</v>
      </c>
      <c r="P11777">
        <v>0</v>
      </c>
      <c r="Q11777">
        <v>0</v>
      </c>
      <c r="R11777" t="s">
        <v>44775</v>
      </c>
      <c r="S11777" t="s">
        <v>45343</v>
      </c>
      <c r="T11777" t="s">
        <v>46531</v>
      </c>
      <c r="U11777" t="s">
        <v>56624</v>
      </c>
      <c r="W11777" t="s">
        <v>44278</v>
      </c>
      <c r="X11777" t="s">
        <v>44776</v>
      </c>
    </row>
    <row r="11778" spans="1:24">
      <c r="A11778">
        <f>HYPERLINK("https://www.philgeps.gov.ph/GEPSNONPILOT/Tender/SplashBidNoticeAbstractUI.aspx?menuIndex=3&amp;refID=7123694&amp;Result=3","7123694")</f>
        <v>0</v>
      </c>
      <c r="B11778" t="s">
        <v>892</v>
      </c>
      <c r="C11778" t="s">
        <v>5383</v>
      </c>
      <c r="D11778" t="s">
        <v>17978</v>
      </c>
      <c r="E11778" t="s">
        <v>28223</v>
      </c>
      <c r="F11778" t="s">
        <v>30900</v>
      </c>
      <c r="G11778" t="s">
        <v>30907</v>
      </c>
      <c r="H11778" t="s">
        <v>30916</v>
      </c>
      <c r="I11778" t="s">
        <v>4142</v>
      </c>
      <c r="J11778" t="s">
        <v>38387</v>
      </c>
      <c r="K11778" t="s">
        <v>40284</v>
      </c>
      <c r="M11778" t="s">
        <v>41466</v>
      </c>
      <c r="N11778" t="s">
        <v>44759</v>
      </c>
      <c r="O11778" t="s">
        <v>44760</v>
      </c>
      <c r="P11778">
        <v>0</v>
      </c>
      <c r="Q11778">
        <v>1</v>
      </c>
      <c r="R11778" t="s">
        <v>44775</v>
      </c>
      <c r="S11778" t="s">
        <v>45343</v>
      </c>
      <c r="T11778" t="s">
        <v>46425</v>
      </c>
      <c r="U11778" t="s">
        <v>56625</v>
      </c>
      <c r="W11778" t="s">
        <v>41466</v>
      </c>
      <c r="X11778" t="s">
        <v>44776</v>
      </c>
    </row>
    <row r="11779" spans="1:24">
      <c r="A11779">
        <f>HYPERLINK("https://www.philgeps.gov.ph/GEPSNONPILOT/Tender/SplashBidNoticeAbstractUI.aspx?menuIndex=3&amp;refID=7123582&amp;Result=3","7123582")</f>
        <v>0</v>
      </c>
      <c r="B11779" t="s">
        <v>3406</v>
      </c>
      <c r="C11779" t="s">
        <v>14954</v>
      </c>
      <c r="D11779" t="s">
        <v>17977</v>
      </c>
      <c r="E11779" t="s">
        <v>18615</v>
      </c>
      <c r="F11779" t="s">
        <v>30900</v>
      </c>
      <c r="G11779" t="s">
        <v>30907</v>
      </c>
      <c r="H11779" t="s">
        <v>30915</v>
      </c>
      <c r="I11779" t="s">
        <v>30919</v>
      </c>
      <c r="J11779" t="s">
        <v>38388</v>
      </c>
      <c r="K11779" t="s">
        <v>40304</v>
      </c>
      <c r="M11779" t="s">
        <v>44283</v>
      </c>
      <c r="N11779" t="s">
        <v>44759</v>
      </c>
      <c r="O11779" t="s">
        <v>44760</v>
      </c>
      <c r="P11779">
        <v>0</v>
      </c>
      <c r="Q11779">
        <v>1</v>
      </c>
      <c r="R11779" t="s">
        <v>44775</v>
      </c>
      <c r="S11779" t="s">
        <v>45343</v>
      </c>
      <c r="T11779" t="s">
        <v>46389</v>
      </c>
      <c r="U11779" t="s">
        <v>56626</v>
      </c>
      <c r="V11779" t="s">
        <v>59421</v>
      </c>
      <c r="W11779" t="s">
        <v>44283</v>
      </c>
      <c r="X11779" t="s">
        <v>44776</v>
      </c>
    </row>
    <row r="11780" spans="1:24">
      <c r="A11780">
        <f>HYPERLINK("https://www.philgeps.gov.ph/GEPSNONPILOT/Tender/SplashBidNoticeAbstractUI.aspx?menuIndex=3&amp;refID=7123685&amp;Result=3","7123685")</f>
        <v>0</v>
      </c>
      <c r="B11780" t="s">
        <v>212</v>
      </c>
      <c r="C11780" t="s">
        <v>14955</v>
      </c>
      <c r="D11780" t="s">
        <v>17962</v>
      </c>
      <c r="E11780" t="s">
        <v>28224</v>
      </c>
      <c r="F11780" t="s">
        <v>30900</v>
      </c>
      <c r="G11780" t="s">
        <v>30907</v>
      </c>
      <c r="H11780" t="s">
        <v>30915</v>
      </c>
      <c r="I11780" t="s">
        <v>30919</v>
      </c>
      <c r="J11780" t="s">
        <v>31152</v>
      </c>
      <c r="K11780" t="s">
        <v>40320</v>
      </c>
      <c r="M11780" t="s">
        <v>40759</v>
      </c>
      <c r="N11780" t="s">
        <v>44759</v>
      </c>
      <c r="O11780" t="s">
        <v>44760</v>
      </c>
      <c r="P11780">
        <v>0</v>
      </c>
      <c r="Q11780">
        <v>1</v>
      </c>
      <c r="R11780" t="s">
        <v>44775</v>
      </c>
      <c r="S11780" t="s">
        <v>45343</v>
      </c>
      <c r="T11780" t="s">
        <v>46400</v>
      </c>
      <c r="U11780" t="s">
        <v>56627</v>
      </c>
      <c r="W11780" t="s">
        <v>40759</v>
      </c>
      <c r="X11780" t="s">
        <v>44776</v>
      </c>
    </row>
    <row r="11781" spans="1:24">
      <c r="A11781">
        <f>HYPERLINK("https://www.philgeps.gov.ph/GEPSNONPILOT/Tender/SplashBidNoticeAbstractUI.aspx?menuIndex=3&amp;refID=7123684&amp;Result=3","7123684")</f>
        <v>0</v>
      </c>
      <c r="B11781" t="s">
        <v>3398</v>
      </c>
      <c r="C11781" t="s">
        <v>14956</v>
      </c>
      <c r="D11781" t="s">
        <v>18006</v>
      </c>
      <c r="E11781" t="s">
        <v>28225</v>
      </c>
      <c r="F11781" t="s">
        <v>30900</v>
      </c>
      <c r="G11781" t="s">
        <v>30907</v>
      </c>
      <c r="H11781" t="s">
        <v>30915</v>
      </c>
      <c r="I11781" t="s">
        <v>30919</v>
      </c>
      <c r="J11781" t="s">
        <v>35994</v>
      </c>
      <c r="K11781" t="s">
        <v>40293</v>
      </c>
      <c r="M11781" t="s">
        <v>44273</v>
      </c>
      <c r="N11781" t="s">
        <v>44759</v>
      </c>
      <c r="O11781" t="s">
        <v>44760</v>
      </c>
      <c r="P11781">
        <v>0</v>
      </c>
      <c r="Q11781">
        <v>0</v>
      </c>
      <c r="R11781" t="s">
        <v>44775</v>
      </c>
      <c r="S11781" t="s">
        <v>45343</v>
      </c>
      <c r="T11781" t="s">
        <v>46613</v>
      </c>
      <c r="U11781" t="s">
        <v>56628</v>
      </c>
      <c r="W11781" t="s">
        <v>44273</v>
      </c>
      <c r="X11781" t="s">
        <v>44776</v>
      </c>
    </row>
    <row r="11782" spans="1:24">
      <c r="A11782">
        <f>HYPERLINK("https://www.philgeps.gov.ph/GEPSNONPILOT/Tender/SplashBidNoticeAbstractUI.aspx?menuIndex=3&amp;refID=7123620&amp;Result=3","7123620")</f>
        <v>0</v>
      </c>
      <c r="B11782" t="s">
        <v>2753</v>
      </c>
      <c r="C11782" t="s">
        <v>14957</v>
      </c>
      <c r="D11782" t="s">
        <v>18038</v>
      </c>
      <c r="E11782" t="s">
        <v>28226</v>
      </c>
      <c r="F11782" t="s">
        <v>30900</v>
      </c>
      <c r="G11782" t="s">
        <v>30907</v>
      </c>
      <c r="H11782" t="s">
        <v>30916</v>
      </c>
      <c r="I11782" t="s">
        <v>30947</v>
      </c>
      <c r="J11782" t="s">
        <v>35179</v>
      </c>
      <c r="K11782" t="s">
        <v>40284</v>
      </c>
      <c r="M11782" t="s">
        <v>43530</v>
      </c>
      <c r="N11782" t="s">
        <v>44759</v>
      </c>
      <c r="O11782" t="s">
        <v>44760</v>
      </c>
      <c r="P11782">
        <v>0</v>
      </c>
      <c r="Q11782">
        <v>2</v>
      </c>
      <c r="R11782" t="s">
        <v>44775</v>
      </c>
      <c r="S11782" t="s">
        <v>45343</v>
      </c>
      <c r="T11782" t="s">
        <v>46557</v>
      </c>
      <c r="U11782" t="s">
        <v>53950</v>
      </c>
      <c r="V11782" t="s">
        <v>60458</v>
      </c>
      <c r="W11782" t="s">
        <v>43530</v>
      </c>
      <c r="X11782" t="s">
        <v>44776</v>
      </c>
    </row>
    <row r="11783" spans="1:24">
      <c r="A11783">
        <f>HYPERLINK("https://www.philgeps.gov.ph/GEPSNONPILOT/Tender/SplashBidNoticeAbstractUI.aspx?menuIndex=3&amp;refID=7123679&amp;Result=3","7123679")</f>
        <v>0</v>
      </c>
      <c r="B11783" t="s">
        <v>434</v>
      </c>
      <c r="C11783" t="s">
        <v>14958</v>
      </c>
      <c r="D11783" t="s">
        <v>17978</v>
      </c>
      <c r="E11783" t="s">
        <v>28227</v>
      </c>
      <c r="F11783" t="s">
        <v>30900</v>
      </c>
      <c r="G11783" t="s">
        <v>30907</v>
      </c>
      <c r="H11783" t="s">
        <v>30915</v>
      </c>
      <c r="I11783" t="s">
        <v>30919</v>
      </c>
      <c r="J11783" t="s">
        <v>31270</v>
      </c>
      <c r="K11783" t="s">
        <v>40286</v>
      </c>
      <c r="M11783" t="s">
        <v>40991</v>
      </c>
      <c r="N11783" t="s">
        <v>44759</v>
      </c>
      <c r="O11783" t="s">
        <v>44760</v>
      </c>
      <c r="P11783">
        <v>0</v>
      </c>
      <c r="Q11783">
        <v>1</v>
      </c>
      <c r="R11783" t="s">
        <v>44775</v>
      </c>
      <c r="S11783" t="s">
        <v>45343</v>
      </c>
      <c r="T11783" t="s">
        <v>46389</v>
      </c>
      <c r="U11783" t="s">
        <v>56629</v>
      </c>
      <c r="W11783" t="s">
        <v>40991</v>
      </c>
      <c r="X11783" t="s">
        <v>44776</v>
      </c>
    </row>
    <row r="11784" spans="1:24">
      <c r="A11784">
        <f>HYPERLINK("https://www.philgeps.gov.ph/GEPSNONPILOT/Tender/SplashBidNoticeAbstractUI.aspx?menuIndex=3&amp;refID=7123724&amp;Result=3","7123724")</f>
        <v>0</v>
      </c>
      <c r="B11784" t="s">
        <v>2534</v>
      </c>
      <c r="C11784" t="s">
        <v>14959</v>
      </c>
      <c r="D11784" t="s">
        <v>17992</v>
      </c>
      <c r="E11784" t="s">
        <v>24999</v>
      </c>
      <c r="F11784" t="s">
        <v>30900</v>
      </c>
      <c r="G11784" t="s">
        <v>30907</v>
      </c>
      <c r="H11784" t="s">
        <v>30915</v>
      </c>
      <c r="I11784" t="s">
        <v>30919</v>
      </c>
      <c r="J11784" t="s">
        <v>31391</v>
      </c>
      <c r="K11784" t="s">
        <v>40404</v>
      </c>
      <c r="M11784" t="s">
        <v>43290</v>
      </c>
      <c r="N11784" t="s">
        <v>44759</v>
      </c>
      <c r="O11784" t="s">
        <v>44760</v>
      </c>
      <c r="P11784">
        <v>0</v>
      </c>
      <c r="Q11784">
        <v>1</v>
      </c>
      <c r="R11784" t="s">
        <v>44775</v>
      </c>
      <c r="S11784" t="s">
        <v>45343</v>
      </c>
      <c r="T11784" t="s">
        <v>46383</v>
      </c>
      <c r="U11784" t="s">
        <v>56630</v>
      </c>
      <c r="W11784" t="s">
        <v>43290</v>
      </c>
      <c r="X11784" t="s">
        <v>44776</v>
      </c>
    </row>
    <row r="11785" spans="1:24">
      <c r="A11785">
        <f>HYPERLINK("https://www.philgeps.gov.ph/GEPSNONPILOT/Tender/SplashBidNoticeAbstractUI.aspx?menuIndex=3&amp;refID=7123717&amp;Result=3","7123717")</f>
        <v>0</v>
      </c>
      <c r="B11785" t="s">
        <v>3202</v>
      </c>
      <c r="C11785" t="s">
        <v>14960</v>
      </c>
      <c r="D11785" t="s">
        <v>17986</v>
      </c>
      <c r="E11785" t="s">
        <v>28228</v>
      </c>
      <c r="F11785" t="s">
        <v>30900</v>
      </c>
      <c r="G11785" t="s">
        <v>30907</v>
      </c>
      <c r="H11785" t="s">
        <v>30916</v>
      </c>
      <c r="I11785" t="s">
        <v>30939</v>
      </c>
      <c r="J11785" t="s">
        <v>38389</v>
      </c>
      <c r="K11785" t="s">
        <v>40286</v>
      </c>
      <c r="M11785" t="s">
        <v>44040</v>
      </c>
      <c r="N11785" t="s">
        <v>44759</v>
      </c>
      <c r="O11785" t="s">
        <v>44760</v>
      </c>
      <c r="Q11785">
        <v>0</v>
      </c>
      <c r="R11785" t="s">
        <v>44775</v>
      </c>
      <c r="S11785" t="s">
        <v>45373</v>
      </c>
      <c r="T11785" t="s">
        <v>46357</v>
      </c>
      <c r="U11785" t="s">
        <v>56631</v>
      </c>
      <c r="V11785" t="s">
        <v>60459</v>
      </c>
      <c r="W11785" t="s">
        <v>44040</v>
      </c>
      <c r="X11785" t="s">
        <v>44776</v>
      </c>
    </row>
    <row r="11786" spans="1:24">
      <c r="A11786">
        <f>HYPERLINK("https://www.philgeps.gov.ph/GEPSNONPILOT/Tender/SplashBidNoticeAbstractUI.aspx?menuIndex=3&amp;refID=7123541&amp;Result=3","7123541")</f>
        <v>0</v>
      </c>
      <c r="B11786" t="s">
        <v>705</v>
      </c>
      <c r="C11786" t="s">
        <v>14961</v>
      </c>
      <c r="D11786" t="s">
        <v>17961</v>
      </c>
      <c r="E11786" t="s">
        <v>28229</v>
      </c>
      <c r="F11786" t="s">
        <v>30900</v>
      </c>
      <c r="G11786" t="s">
        <v>30907</v>
      </c>
      <c r="H11786" t="s">
        <v>30915</v>
      </c>
      <c r="I11786" t="s">
        <v>30919</v>
      </c>
      <c r="J11786" t="s">
        <v>31157</v>
      </c>
      <c r="K11786" t="s">
        <v>40459</v>
      </c>
      <c r="M11786" t="s">
        <v>41269</v>
      </c>
      <c r="N11786" t="s">
        <v>44759</v>
      </c>
      <c r="O11786" t="s">
        <v>44760</v>
      </c>
      <c r="P11786">
        <v>0</v>
      </c>
      <c r="Q11786">
        <v>0</v>
      </c>
      <c r="R11786" t="s">
        <v>44775</v>
      </c>
      <c r="S11786" t="s">
        <v>45343</v>
      </c>
      <c r="T11786" t="s">
        <v>46357</v>
      </c>
      <c r="U11786" t="s">
        <v>56632</v>
      </c>
      <c r="W11786" t="s">
        <v>41269</v>
      </c>
      <c r="X11786" t="s">
        <v>44776</v>
      </c>
    </row>
    <row r="11787" spans="1:24">
      <c r="A11787">
        <f>HYPERLINK("https://www.philgeps.gov.ph/GEPSNONPILOT/Tender/SplashBidNoticeAbstractUI.aspx?menuIndex=3&amp;refID=7123702&amp;Result=3","7123702")</f>
        <v>0</v>
      </c>
      <c r="B11787" t="s">
        <v>121</v>
      </c>
      <c r="C11787" t="s">
        <v>14962</v>
      </c>
      <c r="D11787" t="s">
        <v>18010</v>
      </c>
      <c r="E11787" t="s">
        <v>28230</v>
      </c>
      <c r="F11787" t="s">
        <v>30900</v>
      </c>
      <c r="G11787" t="s">
        <v>30907</v>
      </c>
      <c r="H11787" t="s">
        <v>30917</v>
      </c>
      <c r="I11787" t="s">
        <v>30948</v>
      </c>
      <c r="J11787" t="s">
        <v>38390</v>
      </c>
      <c r="K11787" t="s">
        <v>40293</v>
      </c>
      <c r="M11787" t="s">
        <v>40668</v>
      </c>
      <c r="N11787" t="s">
        <v>44759</v>
      </c>
      <c r="O11787" t="s">
        <v>44760</v>
      </c>
      <c r="P11787">
        <v>0</v>
      </c>
      <c r="Q11787">
        <v>1</v>
      </c>
      <c r="R11787" t="s">
        <v>44775</v>
      </c>
      <c r="S11787" t="s">
        <v>45343</v>
      </c>
      <c r="T11787" t="s">
        <v>46411</v>
      </c>
      <c r="U11787" t="s">
        <v>56633</v>
      </c>
      <c r="W11787" t="s">
        <v>40668</v>
      </c>
      <c r="X11787" t="s">
        <v>44776</v>
      </c>
    </row>
    <row r="11788" spans="1:24">
      <c r="A11788">
        <f>HYPERLINK("https://www.philgeps.gov.ph/GEPSNONPILOT/Tender/SplashBidNoticeAbstractUI.aspx?menuIndex=3&amp;refID=7123699&amp;Result=3","7123699")</f>
        <v>0</v>
      </c>
      <c r="B11788" t="s">
        <v>3407</v>
      </c>
      <c r="C11788" t="s">
        <v>14963</v>
      </c>
      <c r="D11788" t="s">
        <v>18015</v>
      </c>
      <c r="E11788" t="s">
        <v>28231</v>
      </c>
      <c r="F11788" t="s">
        <v>30900</v>
      </c>
      <c r="G11788" t="s">
        <v>30907</v>
      </c>
      <c r="H11788" t="s">
        <v>30916</v>
      </c>
      <c r="I11788" t="s">
        <v>8123</v>
      </c>
      <c r="J11788" t="s">
        <v>38391</v>
      </c>
      <c r="K11788" t="s">
        <v>40286</v>
      </c>
      <c r="M11788" t="s">
        <v>44284</v>
      </c>
      <c r="N11788" t="s">
        <v>44759</v>
      </c>
      <c r="O11788" t="s">
        <v>44760</v>
      </c>
      <c r="P11788">
        <v>0</v>
      </c>
      <c r="Q11788">
        <v>0</v>
      </c>
      <c r="R11788" t="s">
        <v>44775</v>
      </c>
      <c r="S11788" t="s">
        <v>45343</v>
      </c>
      <c r="T11788" t="s">
        <v>46389</v>
      </c>
      <c r="U11788" t="s">
        <v>56634</v>
      </c>
      <c r="V11788" t="s">
        <v>60460</v>
      </c>
      <c r="W11788" t="s">
        <v>44284</v>
      </c>
      <c r="X11788" t="s">
        <v>44776</v>
      </c>
    </row>
    <row r="11789" spans="1:24">
      <c r="A11789">
        <f>HYPERLINK("https://www.philgeps.gov.ph/GEPSNONPILOT/Tender/SplashBidNoticeAbstractUI.aspx?menuIndex=3&amp;refID=7123698&amp;Result=3","7123698")</f>
        <v>0</v>
      </c>
      <c r="B11789" t="s">
        <v>2534</v>
      </c>
      <c r="C11789" t="s">
        <v>14964</v>
      </c>
      <c r="D11789" t="s">
        <v>17992</v>
      </c>
      <c r="E11789" t="s">
        <v>25002</v>
      </c>
      <c r="F11789" t="s">
        <v>30900</v>
      </c>
      <c r="G11789" t="s">
        <v>30907</v>
      </c>
      <c r="H11789" t="s">
        <v>30915</v>
      </c>
      <c r="I11789" t="s">
        <v>30919</v>
      </c>
      <c r="J11789" t="s">
        <v>38392</v>
      </c>
      <c r="K11789" t="s">
        <v>40326</v>
      </c>
      <c r="M11789" t="s">
        <v>43290</v>
      </c>
      <c r="N11789" t="s">
        <v>44759</v>
      </c>
      <c r="O11789" t="s">
        <v>44760</v>
      </c>
      <c r="P11789">
        <v>0</v>
      </c>
      <c r="Q11789">
        <v>0</v>
      </c>
      <c r="R11789" t="s">
        <v>44775</v>
      </c>
      <c r="S11789" t="s">
        <v>45343</v>
      </c>
      <c r="T11789" t="s">
        <v>46383</v>
      </c>
      <c r="U11789" t="s">
        <v>56635</v>
      </c>
      <c r="W11789" t="s">
        <v>43290</v>
      </c>
      <c r="X11789" t="s">
        <v>44776</v>
      </c>
    </row>
    <row r="11790" spans="1:24">
      <c r="A11790">
        <f>HYPERLINK("https://www.philgeps.gov.ph/GEPSNONPILOT/Tender/SplashBidNoticeAbstractUI.aspx?menuIndex=3&amp;refID=7123678&amp;Result=3","7123678")</f>
        <v>0</v>
      </c>
      <c r="B11790" t="s">
        <v>264</v>
      </c>
      <c r="C11790" t="s">
        <v>14965</v>
      </c>
      <c r="D11790" t="s">
        <v>17997</v>
      </c>
      <c r="E11790" t="s">
        <v>28232</v>
      </c>
      <c r="F11790" t="s">
        <v>30900</v>
      </c>
      <c r="G11790" t="s">
        <v>30907</v>
      </c>
      <c r="H11790" t="s">
        <v>30915</v>
      </c>
      <c r="I11790" t="s">
        <v>30919</v>
      </c>
      <c r="J11790" t="s">
        <v>33336</v>
      </c>
      <c r="K11790" t="s">
        <v>40342</v>
      </c>
      <c r="M11790" t="s">
        <v>40811</v>
      </c>
      <c r="N11790" t="s">
        <v>44759</v>
      </c>
      <c r="O11790" t="s">
        <v>44760</v>
      </c>
      <c r="P11790">
        <v>0</v>
      </c>
      <c r="Q11790">
        <v>0</v>
      </c>
      <c r="R11790" t="s">
        <v>44775</v>
      </c>
      <c r="S11790" t="s">
        <v>45343</v>
      </c>
      <c r="T11790" t="s">
        <v>46890</v>
      </c>
      <c r="U11790" t="s">
        <v>56636</v>
      </c>
      <c r="W11790" t="s">
        <v>40811</v>
      </c>
      <c r="X11790" t="s">
        <v>44776</v>
      </c>
    </row>
    <row r="11791" spans="1:24">
      <c r="A11791">
        <f>HYPERLINK("https://www.philgeps.gov.ph/GEPSNONPILOT/Tender/SplashBidNoticeAbstractUI.aspx?menuIndex=3&amp;refID=7123677&amp;Result=3","7123677")</f>
        <v>0</v>
      </c>
      <c r="B11791" t="s">
        <v>2534</v>
      </c>
      <c r="C11791" t="s">
        <v>14966</v>
      </c>
      <c r="D11791" t="s">
        <v>17992</v>
      </c>
      <c r="E11791" t="s">
        <v>23595</v>
      </c>
      <c r="F11791" t="s">
        <v>30900</v>
      </c>
      <c r="G11791" t="s">
        <v>30907</v>
      </c>
      <c r="H11791" t="s">
        <v>30915</v>
      </c>
      <c r="I11791" t="s">
        <v>30919</v>
      </c>
      <c r="J11791" t="s">
        <v>38393</v>
      </c>
      <c r="K11791" t="s">
        <v>40360</v>
      </c>
      <c r="M11791" t="s">
        <v>43290</v>
      </c>
      <c r="N11791" t="s">
        <v>44759</v>
      </c>
      <c r="O11791" t="s">
        <v>44760</v>
      </c>
      <c r="P11791">
        <v>0</v>
      </c>
      <c r="Q11791">
        <v>1</v>
      </c>
      <c r="R11791" t="s">
        <v>44775</v>
      </c>
      <c r="S11791" t="s">
        <v>45343</v>
      </c>
      <c r="T11791" t="s">
        <v>46383</v>
      </c>
      <c r="U11791" t="s">
        <v>56637</v>
      </c>
      <c r="W11791" t="s">
        <v>43290</v>
      </c>
      <c r="X11791" t="s">
        <v>44776</v>
      </c>
    </row>
    <row r="11792" spans="1:24">
      <c r="A11792">
        <f>HYPERLINK("https://www.philgeps.gov.ph/GEPSNONPILOT/Tender/SplashBidNoticeAbstractUI.aspx?menuIndex=3&amp;refID=7123676&amp;Result=3","7123676")</f>
        <v>0</v>
      </c>
      <c r="B11792" t="s">
        <v>2116</v>
      </c>
      <c r="C11792" t="s">
        <v>14967</v>
      </c>
      <c r="D11792" t="s">
        <v>18007</v>
      </c>
      <c r="E11792" t="s">
        <v>28233</v>
      </c>
      <c r="F11792" t="s">
        <v>30900</v>
      </c>
      <c r="G11792" t="s">
        <v>30907</v>
      </c>
      <c r="H11792" t="s">
        <v>30915</v>
      </c>
      <c r="I11792" t="s">
        <v>30919</v>
      </c>
      <c r="J11792" t="s">
        <v>38394</v>
      </c>
      <c r="K11792" t="s">
        <v>40280</v>
      </c>
      <c r="M11792" t="s">
        <v>42817</v>
      </c>
      <c r="N11792" t="s">
        <v>44759</v>
      </c>
      <c r="O11792" t="s">
        <v>44760</v>
      </c>
      <c r="Q11792">
        <v>6</v>
      </c>
      <c r="R11792" t="s">
        <v>44775</v>
      </c>
      <c r="S11792" t="s">
        <v>45374</v>
      </c>
      <c r="T11792" t="s">
        <v>46421</v>
      </c>
      <c r="U11792" t="s">
        <v>56638</v>
      </c>
      <c r="W11792" t="s">
        <v>42817</v>
      </c>
      <c r="X11792" t="s">
        <v>44776</v>
      </c>
    </row>
    <row r="11793" spans="1:24">
      <c r="A11793">
        <f>HYPERLINK("https://www.philgeps.gov.ph/GEPSNONPILOT/Tender/SplashBidNoticeAbstractUI.aspx?menuIndex=3&amp;refID=7123659&amp;Result=3","7123659")</f>
        <v>0</v>
      </c>
      <c r="B11793" t="s">
        <v>231</v>
      </c>
      <c r="C11793" t="s">
        <v>14968</v>
      </c>
      <c r="D11793" t="s">
        <v>17957</v>
      </c>
      <c r="E11793" t="s">
        <v>28234</v>
      </c>
      <c r="F11793" t="s">
        <v>30900</v>
      </c>
      <c r="G11793" t="s">
        <v>30907</v>
      </c>
      <c r="H11793" t="s">
        <v>30915</v>
      </c>
      <c r="I11793" t="s">
        <v>30919</v>
      </c>
      <c r="J11793" t="s">
        <v>38395</v>
      </c>
      <c r="K11793" t="s">
        <v>40304</v>
      </c>
      <c r="M11793" t="s">
        <v>40778</v>
      </c>
      <c r="N11793" t="s">
        <v>44759</v>
      </c>
      <c r="O11793" t="s">
        <v>44760</v>
      </c>
      <c r="P11793">
        <v>0</v>
      </c>
      <c r="Q11793">
        <v>1</v>
      </c>
      <c r="R11793" t="s">
        <v>44775</v>
      </c>
      <c r="S11793" t="s">
        <v>45343</v>
      </c>
      <c r="T11793" t="s">
        <v>46389</v>
      </c>
      <c r="U11793" t="s">
        <v>56639</v>
      </c>
      <c r="W11793" t="s">
        <v>40778</v>
      </c>
      <c r="X11793" t="s">
        <v>44776</v>
      </c>
    </row>
    <row r="11794" spans="1:24">
      <c r="A11794">
        <f>HYPERLINK("https://www.philgeps.gov.ph/GEPSNONPILOT/Tender/SplashBidNoticeAbstractUI.aspx?menuIndex=3&amp;refID=7123712&amp;Result=3","7123712")</f>
        <v>0</v>
      </c>
      <c r="B11794" t="s">
        <v>3408</v>
      </c>
      <c r="C11794" t="s">
        <v>8808</v>
      </c>
      <c r="D11794" t="s">
        <v>17978</v>
      </c>
      <c r="E11794" t="s">
        <v>28235</v>
      </c>
      <c r="F11794" t="s">
        <v>30900</v>
      </c>
      <c r="G11794" t="s">
        <v>30907</v>
      </c>
      <c r="H11794" t="s">
        <v>30915</v>
      </c>
      <c r="I11794" t="s">
        <v>30919</v>
      </c>
      <c r="J11794" t="s">
        <v>31101</v>
      </c>
      <c r="K11794" t="s">
        <v>40286</v>
      </c>
      <c r="M11794" t="s">
        <v>44285</v>
      </c>
      <c r="N11794" t="s">
        <v>44759</v>
      </c>
      <c r="O11794" t="s">
        <v>44760</v>
      </c>
      <c r="P11794">
        <v>0</v>
      </c>
      <c r="Q11794">
        <v>2</v>
      </c>
      <c r="R11794" t="s">
        <v>44775</v>
      </c>
      <c r="S11794" t="s">
        <v>45343</v>
      </c>
      <c r="T11794" t="s">
        <v>46409</v>
      </c>
      <c r="U11794" t="s">
        <v>56640</v>
      </c>
      <c r="V11794" t="s">
        <v>60461</v>
      </c>
      <c r="W11794" t="s">
        <v>44285</v>
      </c>
      <c r="X11794" t="s">
        <v>44776</v>
      </c>
    </row>
    <row r="11795" spans="1:24">
      <c r="A11795">
        <f>HYPERLINK("https://www.philgeps.gov.ph/GEPSNONPILOT/Tender/SplashBidNoticeAbstractUI.aspx?menuIndex=3&amp;refID=7123622&amp;Result=3","7123622")</f>
        <v>0</v>
      </c>
      <c r="B11795" t="s">
        <v>700</v>
      </c>
      <c r="C11795" t="s">
        <v>14969</v>
      </c>
      <c r="D11795" t="s">
        <v>17961</v>
      </c>
      <c r="E11795" t="s">
        <v>28236</v>
      </c>
      <c r="F11795" t="s">
        <v>30900</v>
      </c>
      <c r="G11795" t="s">
        <v>30907</v>
      </c>
      <c r="H11795" t="s">
        <v>30916</v>
      </c>
      <c r="I11795" t="s">
        <v>9385</v>
      </c>
      <c r="J11795" t="s">
        <v>38396</v>
      </c>
      <c r="K11795" t="s">
        <v>40292</v>
      </c>
      <c r="M11795" t="s">
        <v>44277</v>
      </c>
      <c r="N11795" t="s">
        <v>44759</v>
      </c>
      <c r="O11795" t="s">
        <v>44760</v>
      </c>
      <c r="Q11795">
        <v>23</v>
      </c>
      <c r="R11795" t="s">
        <v>44775</v>
      </c>
      <c r="S11795" t="s">
        <v>45375</v>
      </c>
      <c r="T11795" t="s">
        <v>46445</v>
      </c>
      <c r="U11795" t="s">
        <v>56641</v>
      </c>
      <c r="V11795" t="s">
        <v>60452</v>
      </c>
      <c r="W11795" t="s">
        <v>44277</v>
      </c>
      <c r="X11795" t="s">
        <v>44776</v>
      </c>
    </row>
    <row r="11796" spans="1:24">
      <c r="A11796">
        <f>HYPERLINK("https://www.philgeps.gov.ph/GEPSNONPILOT/Tender/SplashBidNoticeAbstractUI.aspx?menuIndex=3&amp;refID=7123627&amp;Result=3","7123627")</f>
        <v>0</v>
      </c>
      <c r="B11796" t="s">
        <v>3409</v>
      </c>
      <c r="C11796" t="s">
        <v>14970</v>
      </c>
      <c r="D11796" t="s">
        <v>17978</v>
      </c>
      <c r="E11796" t="s">
        <v>28237</v>
      </c>
      <c r="F11796" t="s">
        <v>30900</v>
      </c>
      <c r="G11796" t="s">
        <v>30907</v>
      </c>
      <c r="H11796" t="s">
        <v>30915</v>
      </c>
      <c r="I11796" t="s">
        <v>30919</v>
      </c>
      <c r="J11796" t="s">
        <v>31101</v>
      </c>
      <c r="K11796" t="s">
        <v>40280</v>
      </c>
      <c r="M11796" t="s">
        <v>44286</v>
      </c>
      <c r="N11796" t="s">
        <v>44759</v>
      </c>
      <c r="O11796" t="s">
        <v>44760</v>
      </c>
      <c r="P11796">
        <v>0</v>
      </c>
      <c r="Q11796">
        <v>0</v>
      </c>
      <c r="R11796" t="s">
        <v>44775</v>
      </c>
      <c r="S11796" t="s">
        <v>45343</v>
      </c>
      <c r="T11796" t="s">
        <v>46357</v>
      </c>
      <c r="U11796" t="s">
        <v>56642</v>
      </c>
      <c r="W11796" t="s">
        <v>44286</v>
      </c>
      <c r="X11796" t="s">
        <v>44776</v>
      </c>
    </row>
    <row r="11797" spans="1:24">
      <c r="A11797">
        <f>HYPERLINK("https://www.philgeps.gov.ph/GEPSNONPILOT/Tender/SplashBidNoticeAbstractUI.aspx?menuIndex=3&amp;refID=7123769&amp;Result=3","7123769")</f>
        <v>0</v>
      </c>
      <c r="B11797" t="s">
        <v>1978</v>
      </c>
      <c r="C11797" t="s">
        <v>14971</v>
      </c>
      <c r="D11797" t="s">
        <v>17993</v>
      </c>
      <c r="E11797" t="s">
        <v>28238</v>
      </c>
      <c r="F11797" t="s">
        <v>30900</v>
      </c>
      <c r="G11797" t="s">
        <v>30907</v>
      </c>
      <c r="H11797" t="s">
        <v>30915</v>
      </c>
      <c r="I11797" t="s">
        <v>30919</v>
      </c>
      <c r="J11797" t="s">
        <v>38397</v>
      </c>
      <c r="K11797" t="s">
        <v>40289</v>
      </c>
      <c r="M11797" t="s">
        <v>42667</v>
      </c>
      <c r="N11797" t="s">
        <v>44759</v>
      </c>
      <c r="O11797" t="s">
        <v>44760</v>
      </c>
      <c r="P11797">
        <v>0</v>
      </c>
      <c r="Q11797">
        <v>1</v>
      </c>
      <c r="R11797" t="s">
        <v>44775</v>
      </c>
      <c r="S11797" t="s">
        <v>45343</v>
      </c>
      <c r="T11797" t="s">
        <v>46352</v>
      </c>
      <c r="U11797" t="s">
        <v>56643</v>
      </c>
      <c r="W11797" t="s">
        <v>42667</v>
      </c>
      <c r="X11797" t="s">
        <v>44776</v>
      </c>
    </row>
    <row r="11798" spans="1:24">
      <c r="A11798">
        <f>HYPERLINK("https://www.philgeps.gov.ph/GEPSNONPILOT/Tender/SplashBidNoticeAbstractUI.aspx?menuIndex=3&amp;refID=7123602&amp;Result=3","7123602")</f>
        <v>0</v>
      </c>
      <c r="B11798" t="s">
        <v>280</v>
      </c>
      <c r="C11798" t="s">
        <v>14972</v>
      </c>
      <c r="D11798" t="s">
        <v>17985</v>
      </c>
      <c r="E11798" t="s">
        <v>28239</v>
      </c>
      <c r="F11798" t="s">
        <v>30900</v>
      </c>
      <c r="G11798" t="s">
        <v>30907</v>
      </c>
      <c r="H11798" t="s">
        <v>30916</v>
      </c>
      <c r="I11798" t="s">
        <v>4108</v>
      </c>
      <c r="J11798" t="s">
        <v>34033</v>
      </c>
      <c r="K11798" t="s">
        <v>40289</v>
      </c>
      <c r="M11798" t="s">
        <v>40827</v>
      </c>
      <c r="N11798" t="s">
        <v>44759</v>
      </c>
      <c r="O11798" t="s">
        <v>44760</v>
      </c>
      <c r="P11798">
        <v>0</v>
      </c>
      <c r="Q11798">
        <v>1</v>
      </c>
      <c r="R11798" t="s">
        <v>44775</v>
      </c>
      <c r="S11798" t="s">
        <v>45343</v>
      </c>
      <c r="T11798" t="s">
        <v>46425</v>
      </c>
      <c r="U11798" t="s">
        <v>56644</v>
      </c>
      <c r="W11798" t="s">
        <v>40827</v>
      </c>
      <c r="X11798" t="s">
        <v>44776</v>
      </c>
    </row>
    <row r="11799" spans="1:24">
      <c r="A11799">
        <f>HYPERLINK("https://www.philgeps.gov.ph/GEPSNONPILOT/Tender/SplashBidNoticeAbstractUI.aspx?menuIndex=3&amp;refID=7123638&amp;Result=3","7123638")</f>
        <v>0</v>
      </c>
      <c r="B11799" t="s">
        <v>3408</v>
      </c>
      <c r="C11799" t="s">
        <v>12869</v>
      </c>
      <c r="D11799" t="s">
        <v>17978</v>
      </c>
      <c r="E11799" t="s">
        <v>28235</v>
      </c>
      <c r="F11799" t="s">
        <v>30900</v>
      </c>
      <c r="G11799" t="s">
        <v>30907</v>
      </c>
      <c r="H11799" t="s">
        <v>30915</v>
      </c>
      <c r="I11799" t="s">
        <v>30919</v>
      </c>
      <c r="J11799" t="s">
        <v>31243</v>
      </c>
      <c r="K11799" t="s">
        <v>40286</v>
      </c>
      <c r="M11799" t="s">
        <v>44285</v>
      </c>
      <c r="N11799" t="s">
        <v>44759</v>
      </c>
      <c r="O11799" t="s">
        <v>44760</v>
      </c>
      <c r="P11799">
        <v>0</v>
      </c>
      <c r="Q11799">
        <v>2</v>
      </c>
      <c r="R11799" t="s">
        <v>44775</v>
      </c>
      <c r="S11799" t="s">
        <v>45343</v>
      </c>
      <c r="T11799" t="s">
        <v>46409</v>
      </c>
      <c r="U11799" t="s">
        <v>56645</v>
      </c>
      <c r="V11799" t="s">
        <v>59692</v>
      </c>
      <c r="W11799" t="s">
        <v>44285</v>
      </c>
      <c r="X11799" t="s">
        <v>44776</v>
      </c>
    </row>
    <row r="11800" spans="1:24">
      <c r="A11800">
        <f>HYPERLINK("https://www.philgeps.gov.ph/GEPSNONPILOT/Tender/SplashBidNoticeAbstractUI.aspx?menuIndex=3&amp;refID=7123836&amp;Result=3","7123836")</f>
        <v>0</v>
      </c>
      <c r="B11800" t="s">
        <v>2330</v>
      </c>
      <c r="C11800" t="s">
        <v>14973</v>
      </c>
      <c r="D11800" t="s">
        <v>17953</v>
      </c>
      <c r="E11800" t="s">
        <v>28240</v>
      </c>
      <c r="F11800" t="s">
        <v>30900</v>
      </c>
      <c r="G11800" t="s">
        <v>30907</v>
      </c>
      <c r="H11800" t="s">
        <v>30916</v>
      </c>
      <c r="I11800" t="s">
        <v>4965</v>
      </c>
      <c r="J11800" t="s">
        <v>31966</v>
      </c>
      <c r="K11800" t="s">
        <v>40289</v>
      </c>
      <c r="M11800" t="s">
        <v>43989</v>
      </c>
      <c r="N11800" t="s">
        <v>44759</v>
      </c>
      <c r="O11800" t="s">
        <v>44760</v>
      </c>
      <c r="P11800">
        <v>0</v>
      </c>
      <c r="Q11800">
        <v>1</v>
      </c>
      <c r="R11800" t="s">
        <v>44775</v>
      </c>
      <c r="S11800" t="s">
        <v>45343</v>
      </c>
      <c r="T11800" t="s">
        <v>46760</v>
      </c>
      <c r="U11800" t="s">
        <v>56646</v>
      </c>
      <c r="V11800" t="s">
        <v>60462</v>
      </c>
      <c r="W11800" t="s">
        <v>43989</v>
      </c>
      <c r="X11800" t="s">
        <v>44776</v>
      </c>
    </row>
    <row r="11801" spans="1:24">
      <c r="A11801">
        <f>HYPERLINK("https://www.philgeps.gov.ph/GEPSNONPILOT/Tender/SplashBidNoticeAbstractUI.aspx?menuIndex=3&amp;refID=7123767&amp;Result=3","7123767")</f>
        <v>0</v>
      </c>
      <c r="B11801" t="s">
        <v>2022</v>
      </c>
      <c r="C11801" t="s">
        <v>14974</v>
      </c>
      <c r="D11801" t="s">
        <v>17990</v>
      </c>
      <c r="E11801" t="s">
        <v>28241</v>
      </c>
      <c r="F11801" t="s">
        <v>30900</v>
      </c>
      <c r="G11801" t="s">
        <v>30907</v>
      </c>
      <c r="H11801" t="s">
        <v>30916</v>
      </c>
      <c r="I11801" t="s">
        <v>4965</v>
      </c>
      <c r="J11801" t="s">
        <v>38398</v>
      </c>
      <c r="K11801" t="s">
        <v>40286</v>
      </c>
      <c r="M11801" t="s">
        <v>44282</v>
      </c>
      <c r="N11801" t="s">
        <v>44759</v>
      </c>
      <c r="O11801" t="s">
        <v>44760</v>
      </c>
      <c r="P11801">
        <v>0</v>
      </c>
      <c r="Q11801">
        <v>2</v>
      </c>
      <c r="R11801" t="s">
        <v>44775</v>
      </c>
      <c r="S11801" t="s">
        <v>45343</v>
      </c>
      <c r="T11801" t="s">
        <v>46400</v>
      </c>
      <c r="U11801" t="s">
        <v>56647</v>
      </c>
      <c r="W11801" t="s">
        <v>44282</v>
      </c>
      <c r="X11801" t="s">
        <v>44776</v>
      </c>
    </row>
    <row r="11802" spans="1:24">
      <c r="A11802">
        <f>HYPERLINK("https://www.philgeps.gov.ph/GEPSNONPILOT/Tender/SplashBidNoticeAbstractUI.aspx?menuIndex=3&amp;refID=7123859&amp;Result=3","7123859")</f>
        <v>0</v>
      </c>
      <c r="B11802" t="s">
        <v>3410</v>
      </c>
      <c r="C11802" t="s">
        <v>14975</v>
      </c>
      <c r="D11802" t="s">
        <v>17995</v>
      </c>
      <c r="E11802" t="s">
        <v>28242</v>
      </c>
      <c r="F11802" t="s">
        <v>30900</v>
      </c>
      <c r="G11802" t="s">
        <v>30907</v>
      </c>
      <c r="H11802" t="s">
        <v>30915</v>
      </c>
      <c r="I11802" t="s">
        <v>30919</v>
      </c>
      <c r="J11802" t="s">
        <v>38399</v>
      </c>
      <c r="K11802" t="s">
        <v>40293</v>
      </c>
      <c r="M11802" t="s">
        <v>44287</v>
      </c>
      <c r="N11802" t="s">
        <v>44759</v>
      </c>
      <c r="O11802" t="s">
        <v>44760</v>
      </c>
      <c r="P11802">
        <v>0</v>
      </c>
      <c r="Q11802">
        <v>0</v>
      </c>
      <c r="R11802" t="s">
        <v>44775</v>
      </c>
      <c r="S11802" t="s">
        <v>45343</v>
      </c>
      <c r="T11802" t="s">
        <v>46422</v>
      </c>
      <c r="U11802" t="s">
        <v>56648</v>
      </c>
      <c r="V11802" t="s">
        <v>60463</v>
      </c>
      <c r="W11802" t="s">
        <v>44287</v>
      </c>
      <c r="X11802" t="s">
        <v>44776</v>
      </c>
    </row>
    <row r="11803" spans="1:24">
      <c r="A11803">
        <f>HYPERLINK("https://www.philgeps.gov.ph/GEPSNONPILOT/Tender/SplashBidNoticeAbstractUI.aspx?menuIndex=3&amp;refID=7123587&amp;Result=3","7123587")</f>
        <v>0</v>
      </c>
      <c r="B11803" t="s">
        <v>3398</v>
      </c>
      <c r="C11803" t="s">
        <v>14976</v>
      </c>
      <c r="D11803" t="s">
        <v>18006</v>
      </c>
      <c r="E11803" t="s">
        <v>28243</v>
      </c>
      <c r="F11803" t="s">
        <v>30900</v>
      </c>
      <c r="G11803" t="s">
        <v>30907</v>
      </c>
      <c r="H11803" t="s">
        <v>30915</v>
      </c>
      <c r="I11803" t="s">
        <v>30919</v>
      </c>
      <c r="J11803" t="s">
        <v>32074</v>
      </c>
      <c r="K11803" t="s">
        <v>40304</v>
      </c>
      <c r="M11803" t="s">
        <v>44273</v>
      </c>
      <c r="N11803" t="s">
        <v>44759</v>
      </c>
      <c r="O11803" t="s">
        <v>44760</v>
      </c>
      <c r="P11803">
        <v>0</v>
      </c>
      <c r="Q11803">
        <v>0</v>
      </c>
      <c r="R11803" t="s">
        <v>44775</v>
      </c>
      <c r="S11803" t="s">
        <v>45343</v>
      </c>
      <c r="T11803" t="s">
        <v>46613</v>
      </c>
      <c r="U11803" t="s">
        <v>56649</v>
      </c>
      <c r="W11803" t="s">
        <v>44273</v>
      </c>
      <c r="X11803" t="s">
        <v>44776</v>
      </c>
    </row>
    <row r="11804" spans="1:24">
      <c r="A11804">
        <f>HYPERLINK("https://www.philgeps.gov.ph/GEPSNONPILOT/Tender/SplashBidNoticeAbstractUI.aspx?menuIndex=3&amp;refID=7123854&amp;Result=3","7123854")</f>
        <v>0</v>
      </c>
      <c r="B11804" t="s">
        <v>209</v>
      </c>
      <c r="C11804" t="s">
        <v>14977</v>
      </c>
      <c r="D11804" t="s">
        <v>17985</v>
      </c>
      <c r="E11804" t="s">
        <v>28244</v>
      </c>
      <c r="F11804" t="s">
        <v>30900</v>
      </c>
      <c r="G11804" t="s">
        <v>30907</v>
      </c>
      <c r="H11804" t="s">
        <v>30916</v>
      </c>
      <c r="I11804" t="s">
        <v>30947</v>
      </c>
      <c r="J11804" t="s">
        <v>31952</v>
      </c>
      <c r="K11804" t="s">
        <v>40283</v>
      </c>
      <c r="M11804" t="s">
        <v>40756</v>
      </c>
      <c r="N11804" t="s">
        <v>44759</v>
      </c>
      <c r="O11804" t="s">
        <v>44760</v>
      </c>
      <c r="P11804">
        <v>0</v>
      </c>
      <c r="Q11804">
        <v>1</v>
      </c>
      <c r="R11804" t="s">
        <v>44775</v>
      </c>
      <c r="S11804" t="s">
        <v>45343</v>
      </c>
      <c r="T11804" t="s">
        <v>46548</v>
      </c>
      <c r="U11804" t="s">
        <v>56650</v>
      </c>
      <c r="W11804" t="s">
        <v>40756</v>
      </c>
      <c r="X11804" t="s">
        <v>44776</v>
      </c>
    </row>
    <row r="11805" spans="1:24">
      <c r="A11805">
        <f>HYPERLINK("https://www.philgeps.gov.ph/GEPSNONPILOT/Tender/SplashBidNoticeAbstractUI.aspx?menuIndex=3&amp;refID=7123846&amp;Result=3","7123846")</f>
        <v>0</v>
      </c>
      <c r="B11805" t="s">
        <v>3407</v>
      </c>
      <c r="C11805" t="s">
        <v>14978</v>
      </c>
      <c r="D11805" t="s">
        <v>18015</v>
      </c>
      <c r="E11805" t="s">
        <v>28245</v>
      </c>
      <c r="F11805" t="s">
        <v>30900</v>
      </c>
      <c r="G11805" t="s">
        <v>30907</v>
      </c>
      <c r="H11805" t="s">
        <v>30916</v>
      </c>
      <c r="I11805" t="s">
        <v>8123</v>
      </c>
      <c r="J11805" t="s">
        <v>38400</v>
      </c>
      <c r="K11805" t="s">
        <v>40286</v>
      </c>
      <c r="M11805" t="s">
        <v>44284</v>
      </c>
      <c r="N11805" t="s">
        <v>44759</v>
      </c>
      <c r="O11805" t="s">
        <v>44760</v>
      </c>
      <c r="P11805">
        <v>0</v>
      </c>
      <c r="Q11805">
        <v>0</v>
      </c>
      <c r="R11805" t="s">
        <v>44775</v>
      </c>
      <c r="S11805" t="s">
        <v>45343</v>
      </c>
      <c r="T11805" t="s">
        <v>46389</v>
      </c>
      <c r="U11805" t="s">
        <v>56651</v>
      </c>
      <c r="V11805" t="s">
        <v>60464</v>
      </c>
      <c r="W11805" t="s">
        <v>44284</v>
      </c>
      <c r="X11805" t="s">
        <v>44776</v>
      </c>
    </row>
    <row r="11806" spans="1:24">
      <c r="A11806">
        <f>HYPERLINK("https://www.philgeps.gov.ph/GEPSNONPILOT/Tender/SplashBidNoticeAbstractUI.aspx?menuIndex=3&amp;refID=7123823&amp;Result=3","7123823")</f>
        <v>0</v>
      </c>
      <c r="B11806" t="s">
        <v>3411</v>
      </c>
      <c r="C11806" t="s">
        <v>14979</v>
      </c>
      <c r="D11806" t="s">
        <v>17959</v>
      </c>
      <c r="E11806" t="s">
        <v>28246</v>
      </c>
      <c r="F11806" t="s">
        <v>30899</v>
      </c>
      <c r="G11806" t="s">
        <v>30907</v>
      </c>
      <c r="H11806" t="s">
        <v>30916</v>
      </c>
      <c r="I11806" t="s">
        <v>30935</v>
      </c>
      <c r="J11806" t="s">
        <v>38401</v>
      </c>
      <c r="K11806" t="s">
        <v>40283</v>
      </c>
      <c r="M11806" t="s">
        <v>44288</v>
      </c>
      <c r="N11806" t="s">
        <v>44759</v>
      </c>
      <c r="O11806" t="s">
        <v>44760</v>
      </c>
      <c r="P11806">
        <v>0</v>
      </c>
      <c r="Q11806">
        <v>3</v>
      </c>
      <c r="R11806" t="s">
        <v>44775</v>
      </c>
      <c r="S11806" t="s">
        <v>45343</v>
      </c>
      <c r="T11806" t="s">
        <v>46389</v>
      </c>
      <c r="U11806" t="s">
        <v>56652</v>
      </c>
      <c r="W11806" t="s">
        <v>44288</v>
      </c>
      <c r="X11806" t="s">
        <v>44776</v>
      </c>
    </row>
    <row r="11807" spans="1:24">
      <c r="A11807">
        <f>HYPERLINK("https://www.philgeps.gov.ph/GEPSNONPILOT/Tender/SplashBidNoticeAbstractUI.aspx?menuIndex=3&amp;refID=7123869&amp;Result=3","7123869")</f>
        <v>0</v>
      </c>
      <c r="B11807" t="s">
        <v>807</v>
      </c>
      <c r="C11807" t="s">
        <v>14980</v>
      </c>
      <c r="D11807" t="s">
        <v>18015</v>
      </c>
      <c r="E11807" t="s">
        <v>28247</v>
      </c>
      <c r="F11807" t="s">
        <v>30900</v>
      </c>
      <c r="G11807" t="s">
        <v>30907</v>
      </c>
      <c r="H11807" t="s">
        <v>30915</v>
      </c>
      <c r="I11807" t="s">
        <v>30919</v>
      </c>
      <c r="J11807" t="s">
        <v>38402</v>
      </c>
      <c r="K11807" t="s">
        <v>40280</v>
      </c>
      <c r="M11807" t="s">
        <v>41377</v>
      </c>
      <c r="N11807" t="s">
        <v>44759</v>
      </c>
      <c r="O11807" t="s">
        <v>44760</v>
      </c>
      <c r="P11807">
        <v>0</v>
      </c>
      <c r="Q11807">
        <v>0</v>
      </c>
      <c r="R11807" t="s">
        <v>44775</v>
      </c>
      <c r="S11807" t="s">
        <v>45343</v>
      </c>
      <c r="T11807" t="s">
        <v>46352</v>
      </c>
      <c r="U11807" t="s">
        <v>56653</v>
      </c>
      <c r="W11807" t="s">
        <v>41377</v>
      </c>
      <c r="X11807" t="s">
        <v>44776</v>
      </c>
    </row>
    <row r="11808" spans="1:24">
      <c r="A11808">
        <f>HYPERLINK("https://www.philgeps.gov.ph/GEPSNONPILOT/Tender/SplashBidNoticeAbstractUI.aspx?menuIndex=3&amp;refID=7123603&amp;Result=3","7123603")</f>
        <v>0</v>
      </c>
      <c r="B11808" t="s">
        <v>1535</v>
      </c>
      <c r="C11808" t="s">
        <v>14981</v>
      </c>
      <c r="D11808" t="s">
        <v>17993</v>
      </c>
      <c r="E11808" t="s">
        <v>28248</v>
      </c>
      <c r="F11808" t="s">
        <v>30900</v>
      </c>
      <c r="G11808" t="s">
        <v>30907</v>
      </c>
      <c r="H11808" t="s">
        <v>30916</v>
      </c>
      <c r="I11808" t="s">
        <v>4545</v>
      </c>
      <c r="J11808" t="s">
        <v>38403</v>
      </c>
      <c r="K11808" t="s">
        <v>40287</v>
      </c>
      <c r="M11808" t="s">
        <v>42178</v>
      </c>
      <c r="N11808" t="s">
        <v>44759</v>
      </c>
      <c r="O11808" t="s">
        <v>44760</v>
      </c>
      <c r="P11808">
        <v>0</v>
      </c>
      <c r="Q11808">
        <v>7</v>
      </c>
      <c r="R11808" t="s">
        <v>44775</v>
      </c>
      <c r="S11808" t="s">
        <v>45343</v>
      </c>
      <c r="T11808" t="s">
        <v>46534</v>
      </c>
      <c r="U11808" t="s">
        <v>56654</v>
      </c>
      <c r="W11808" t="s">
        <v>42178</v>
      </c>
      <c r="X11808" t="s">
        <v>44776</v>
      </c>
    </row>
    <row r="11809" spans="1:24">
      <c r="A11809">
        <f>HYPERLINK("https://www.philgeps.gov.ph/GEPSNONPILOT/Tender/SplashBidNoticeAbstractUI.aspx?menuIndex=3&amp;refID=7123725&amp;Result=3","7123725")</f>
        <v>0</v>
      </c>
      <c r="B11809" t="s">
        <v>1978</v>
      </c>
      <c r="C11809" t="s">
        <v>14982</v>
      </c>
      <c r="D11809" t="s">
        <v>17993</v>
      </c>
      <c r="E11809" t="s">
        <v>28249</v>
      </c>
      <c r="F11809" t="s">
        <v>30900</v>
      </c>
      <c r="G11809" t="s">
        <v>30907</v>
      </c>
      <c r="H11809" t="s">
        <v>30915</v>
      </c>
      <c r="I11809" t="s">
        <v>30919</v>
      </c>
      <c r="J11809" t="s">
        <v>38404</v>
      </c>
      <c r="K11809" t="s">
        <v>40289</v>
      </c>
      <c r="M11809" t="s">
        <v>42667</v>
      </c>
      <c r="N11809" t="s">
        <v>44759</v>
      </c>
      <c r="O11809" t="s">
        <v>44760</v>
      </c>
      <c r="P11809">
        <v>0</v>
      </c>
      <c r="Q11809">
        <v>1</v>
      </c>
      <c r="R11809" t="s">
        <v>44775</v>
      </c>
      <c r="S11809" t="s">
        <v>45343</v>
      </c>
      <c r="T11809" t="s">
        <v>46352</v>
      </c>
      <c r="U11809" t="s">
        <v>56655</v>
      </c>
      <c r="W11809" t="s">
        <v>42667</v>
      </c>
      <c r="X11809" t="s">
        <v>44776</v>
      </c>
    </row>
    <row r="11810" spans="1:24">
      <c r="A11810">
        <f>HYPERLINK("https://www.philgeps.gov.ph/GEPSNONPILOT/Tender/SplashBidNoticeAbstractUI.aspx?menuIndex=3&amp;refID=7123844&amp;Result=3","7123844")</f>
        <v>0</v>
      </c>
      <c r="B11810" t="s">
        <v>1315</v>
      </c>
      <c r="C11810" t="s">
        <v>14983</v>
      </c>
      <c r="D11810" t="s">
        <v>17982</v>
      </c>
      <c r="E11810" t="s">
        <v>21118</v>
      </c>
      <c r="F11810" t="s">
        <v>30900</v>
      </c>
      <c r="G11810" t="s">
        <v>30907</v>
      </c>
      <c r="H11810" t="s">
        <v>30915</v>
      </c>
      <c r="I11810" t="s">
        <v>30919</v>
      </c>
      <c r="J11810" t="s">
        <v>38405</v>
      </c>
      <c r="K11810" t="s">
        <v>40293</v>
      </c>
      <c r="M11810" t="s">
        <v>41933</v>
      </c>
      <c r="N11810" t="s">
        <v>44759</v>
      </c>
      <c r="O11810" t="s">
        <v>44760</v>
      </c>
      <c r="P11810">
        <v>0</v>
      </c>
      <c r="Q11810">
        <v>2</v>
      </c>
      <c r="R11810" t="s">
        <v>44775</v>
      </c>
      <c r="S11810" t="s">
        <v>45343</v>
      </c>
      <c r="T11810" t="s">
        <v>46465</v>
      </c>
      <c r="U11810" t="s">
        <v>56656</v>
      </c>
      <c r="W11810" t="s">
        <v>41933</v>
      </c>
      <c r="X11810" t="s">
        <v>44776</v>
      </c>
    </row>
    <row r="11811" spans="1:24">
      <c r="A11811">
        <f>HYPERLINK("https://www.philgeps.gov.ph/GEPSNONPILOT/Tender/SplashBidNoticeAbstractUI.aspx?menuIndex=3&amp;refID=7123816&amp;Result=3","7123816")</f>
        <v>0</v>
      </c>
      <c r="B11811" t="s">
        <v>1635</v>
      </c>
      <c r="C11811" t="s">
        <v>14984</v>
      </c>
      <c r="D11811" t="s">
        <v>17959</v>
      </c>
      <c r="E11811" t="s">
        <v>28250</v>
      </c>
      <c r="F11811" t="s">
        <v>30900</v>
      </c>
      <c r="G11811" t="s">
        <v>30907</v>
      </c>
      <c r="H11811" t="s">
        <v>30917</v>
      </c>
      <c r="I11811" t="s">
        <v>30957</v>
      </c>
      <c r="J11811" t="s">
        <v>38406</v>
      </c>
      <c r="K11811" t="s">
        <v>40506</v>
      </c>
      <c r="M11811" t="s">
        <v>42584</v>
      </c>
      <c r="N11811" t="s">
        <v>44759</v>
      </c>
      <c r="O11811" t="s">
        <v>44760</v>
      </c>
      <c r="Q11811">
        <v>2</v>
      </c>
      <c r="R11811" t="s">
        <v>44775</v>
      </c>
      <c r="S11811" t="s">
        <v>45376</v>
      </c>
      <c r="T11811" t="s">
        <v>46422</v>
      </c>
      <c r="U11811" t="s">
        <v>56657</v>
      </c>
      <c r="W11811" t="s">
        <v>42584</v>
      </c>
      <c r="X11811" t="s">
        <v>44776</v>
      </c>
    </row>
    <row r="11812" spans="1:24">
      <c r="A11812">
        <f>HYPERLINK("https://www.philgeps.gov.ph/GEPSNONPILOT/Tender/SplashBidNoticeAbstractUI.aspx?menuIndex=3&amp;refID=7123809&amp;Result=3","7123809")</f>
        <v>0</v>
      </c>
      <c r="B11812" t="s">
        <v>2330</v>
      </c>
      <c r="C11812" t="s">
        <v>14985</v>
      </c>
      <c r="D11812" t="s">
        <v>17953</v>
      </c>
      <c r="E11812" t="s">
        <v>28251</v>
      </c>
      <c r="F11812" t="s">
        <v>30900</v>
      </c>
      <c r="G11812" t="s">
        <v>30907</v>
      </c>
      <c r="H11812" t="s">
        <v>30916</v>
      </c>
      <c r="I11812" t="s">
        <v>6953</v>
      </c>
      <c r="J11812" t="s">
        <v>38407</v>
      </c>
      <c r="K11812" t="s">
        <v>40289</v>
      </c>
      <c r="M11812" t="s">
        <v>43989</v>
      </c>
      <c r="N11812" t="s">
        <v>44759</v>
      </c>
      <c r="O11812" t="s">
        <v>44760</v>
      </c>
      <c r="P11812">
        <v>0</v>
      </c>
      <c r="Q11812">
        <v>1</v>
      </c>
      <c r="R11812" t="s">
        <v>44775</v>
      </c>
      <c r="S11812" t="s">
        <v>45343</v>
      </c>
      <c r="T11812" t="s">
        <v>46760</v>
      </c>
      <c r="U11812" t="s">
        <v>56658</v>
      </c>
      <c r="V11812" t="s">
        <v>60462</v>
      </c>
      <c r="W11812" t="s">
        <v>43989</v>
      </c>
      <c r="X11812" t="s">
        <v>44776</v>
      </c>
    </row>
    <row r="11813" spans="1:24">
      <c r="A11813">
        <f>HYPERLINK("https://www.philgeps.gov.ph/GEPSNONPILOT/Tender/SplashBidNoticeAbstractUI.aspx?menuIndex=3&amp;refID=7123805&amp;Result=3","7123805")</f>
        <v>0</v>
      </c>
      <c r="B11813" t="s">
        <v>3412</v>
      </c>
      <c r="C11813" t="s">
        <v>14986</v>
      </c>
      <c r="D11813" t="s">
        <v>17974</v>
      </c>
      <c r="E11813" t="s">
        <v>26257</v>
      </c>
      <c r="F11813" t="s">
        <v>30900</v>
      </c>
      <c r="G11813" t="s">
        <v>30907</v>
      </c>
      <c r="H11813" t="s">
        <v>30916</v>
      </c>
      <c r="I11813" t="s">
        <v>30924</v>
      </c>
      <c r="J11813" t="s">
        <v>34162</v>
      </c>
      <c r="K11813" t="s">
        <v>40286</v>
      </c>
      <c r="M11813" t="s">
        <v>44289</v>
      </c>
      <c r="N11813" t="s">
        <v>44759</v>
      </c>
      <c r="O11813" t="s">
        <v>44760</v>
      </c>
      <c r="P11813">
        <v>0</v>
      </c>
      <c r="Q11813">
        <v>2</v>
      </c>
      <c r="R11813" t="s">
        <v>44775</v>
      </c>
      <c r="S11813" t="s">
        <v>45343</v>
      </c>
      <c r="T11813" t="s">
        <v>46387</v>
      </c>
      <c r="U11813" t="s">
        <v>56659</v>
      </c>
      <c r="W11813" t="s">
        <v>44289</v>
      </c>
      <c r="X11813" t="s">
        <v>44776</v>
      </c>
    </row>
    <row r="11814" spans="1:24">
      <c r="A11814">
        <f>HYPERLINK("https://www.philgeps.gov.ph/GEPSNONPILOT/Tender/SplashBidNoticeAbstractUI.aspx?menuIndex=3&amp;refID=7123835&amp;Result=3","7123835")</f>
        <v>0</v>
      </c>
      <c r="B11814" t="s">
        <v>2866</v>
      </c>
      <c r="C11814" t="s">
        <v>14987</v>
      </c>
      <c r="D11814" t="s">
        <v>17977</v>
      </c>
      <c r="E11814" t="s">
        <v>28252</v>
      </c>
      <c r="F11814" t="s">
        <v>30900</v>
      </c>
      <c r="G11814" t="s">
        <v>30907</v>
      </c>
      <c r="H11814" t="s">
        <v>30917</v>
      </c>
      <c r="I11814" t="s">
        <v>31006</v>
      </c>
      <c r="J11814" t="s">
        <v>38408</v>
      </c>
      <c r="K11814" t="s">
        <v>40332</v>
      </c>
      <c r="M11814" t="s">
        <v>43654</v>
      </c>
      <c r="N11814" t="s">
        <v>44759</v>
      </c>
      <c r="O11814" t="s">
        <v>44760</v>
      </c>
      <c r="P11814">
        <v>0</v>
      </c>
      <c r="Q11814">
        <v>5</v>
      </c>
      <c r="R11814" t="s">
        <v>44775</v>
      </c>
      <c r="S11814" t="s">
        <v>45343</v>
      </c>
      <c r="T11814" t="s">
        <v>46891</v>
      </c>
      <c r="U11814" t="s">
        <v>56660</v>
      </c>
      <c r="W11814" t="s">
        <v>43654</v>
      </c>
      <c r="X11814" t="s">
        <v>44776</v>
      </c>
    </row>
    <row r="11815" spans="1:24">
      <c r="A11815">
        <f>HYPERLINK("https://www.philgeps.gov.ph/GEPSNONPILOT/Tender/SplashBidNoticeAbstractUI.aspx?menuIndex=3&amp;refID=7123970&amp;Result=3","7123970")</f>
        <v>0</v>
      </c>
      <c r="B11815" t="s">
        <v>1728</v>
      </c>
      <c r="C11815" t="s">
        <v>14988</v>
      </c>
      <c r="E11815" t="s">
        <v>28253</v>
      </c>
      <c r="F11815" t="s">
        <v>30900</v>
      </c>
      <c r="G11815" t="s">
        <v>30907</v>
      </c>
      <c r="H11815" t="s">
        <v>30916</v>
      </c>
      <c r="I11815" t="s">
        <v>9385</v>
      </c>
      <c r="J11815" t="s">
        <v>38409</v>
      </c>
      <c r="K11815" t="s">
        <v>40289</v>
      </c>
      <c r="M11815" t="s">
        <v>44290</v>
      </c>
      <c r="N11815" t="s">
        <v>44759</v>
      </c>
      <c r="O11815" t="s">
        <v>44760</v>
      </c>
      <c r="P11815">
        <v>0</v>
      </c>
      <c r="Q11815">
        <v>13</v>
      </c>
      <c r="R11815" t="s">
        <v>44775</v>
      </c>
      <c r="S11815" t="s">
        <v>45343</v>
      </c>
      <c r="T11815" t="s">
        <v>46422</v>
      </c>
      <c r="U11815" t="s">
        <v>56661</v>
      </c>
      <c r="W11815" t="s">
        <v>44290</v>
      </c>
      <c r="X11815" t="s">
        <v>44776</v>
      </c>
    </row>
    <row r="11816" spans="1:24">
      <c r="A11816">
        <f>HYPERLINK("https://www.philgeps.gov.ph/GEPSNONPILOT/Tender/SplashBidNoticeAbstractUI.aspx?menuIndex=3&amp;refID=7123822&amp;Result=3","7123822")</f>
        <v>0</v>
      </c>
      <c r="B11816" t="s">
        <v>3407</v>
      </c>
      <c r="C11816" t="s">
        <v>14989</v>
      </c>
      <c r="D11816" t="s">
        <v>18015</v>
      </c>
      <c r="E11816" t="s">
        <v>28254</v>
      </c>
      <c r="F11816" t="s">
        <v>30900</v>
      </c>
      <c r="G11816" t="s">
        <v>30907</v>
      </c>
      <c r="H11816" t="s">
        <v>30916</v>
      </c>
      <c r="I11816" t="s">
        <v>8123</v>
      </c>
      <c r="J11816" t="s">
        <v>38410</v>
      </c>
      <c r="K11816" t="s">
        <v>40286</v>
      </c>
      <c r="M11816" t="s">
        <v>44284</v>
      </c>
      <c r="N11816" t="s">
        <v>44759</v>
      </c>
      <c r="O11816" t="s">
        <v>44760</v>
      </c>
      <c r="P11816">
        <v>0</v>
      </c>
      <c r="Q11816">
        <v>0</v>
      </c>
      <c r="R11816" t="s">
        <v>44775</v>
      </c>
      <c r="S11816" t="s">
        <v>45343</v>
      </c>
      <c r="T11816" t="s">
        <v>46389</v>
      </c>
      <c r="U11816" t="s">
        <v>56651</v>
      </c>
      <c r="V11816" t="s">
        <v>60464</v>
      </c>
      <c r="W11816" t="s">
        <v>44284</v>
      </c>
      <c r="X11816" t="s">
        <v>44776</v>
      </c>
    </row>
    <row r="11817" spans="1:24">
      <c r="A11817">
        <f>HYPERLINK("https://www.philgeps.gov.ph/GEPSNONPILOT/Tender/SplashBidNoticeAbstractUI.aspx?menuIndex=3&amp;refID=7123655&amp;Result=3","7123655")</f>
        <v>0</v>
      </c>
      <c r="B11817" t="s">
        <v>3199</v>
      </c>
      <c r="C11817" t="s">
        <v>11058</v>
      </c>
      <c r="D11817" t="s">
        <v>17973</v>
      </c>
      <c r="E11817" t="s">
        <v>19293</v>
      </c>
      <c r="F11817" t="s">
        <v>30900</v>
      </c>
      <c r="G11817" t="s">
        <v>30907</v>
      </c>
      <c r="H11817" t="s">
        <v>30916</v>
      </c>
      <c r="I11817" t="s">
        <v>30934</v>
      </c>
      <c r="J11817" t="s">
        <v>38411</v>
      </c>
      <c r="K11817" t="s">
        <v>40286</v>
      </c>
      <c r="L11817" t="s">
        <v>3199</v>
      </c>
      <c r="M11817" t="s">
        <v>44037</v>
      </c>
      <c r="N11817" t="s">
        <v>44759</v>
      </c>
      <c r="O11817" t="s">
        <v>44760</v>
      </c>
      <c r="Q11817">
        <v>4</v>
      </c>
      <c r="R11817" t="s">
        <v>44775</v>
      </c>
      <c r="S11817" t="s">
        <v>45377</v>
      </c>
      <c r="T11817" t="s">
        <v>46351</v>
      </c>
      <c r="U11817" t="s">
        <v>56662</v>
      </c>
      <c r="V11817" t="s">
        <v>60287</v>
      </c>
      <c r="W11817" t="s">
        <v>44037</v>
      </c>
      <c r="X11817" t="s">
        <v>44776</v>
      </c>
    </row>
    <row r="11818" spans="1:24">
      <c r="A11818">
        <f>HYPERLINK("https://www.philgeps.gov.ph/GEPSNONPILOT/Tender/SplashBidNoticeAbstractUI.aspx?menuIndex=3&amp;refID=7123962&amp;Result=3","7123962")</f>
        <v>0</v>
      </c>
      <c r="B11818" t="s">
        <v>2356</v>
      </c>
      <c r="C11818" t="s">
        <v>14990</v>
      </c>
      <c r="D11818" t="s">
        <v>17988</v>
      </c>
      <c r="E11818" t="s">
        <v>14990</v>
      </c>
      <c r="F11818" t="s">
        <v>30900</v>
      </c>
      <c r="G11818" t="s">
        <v>30907</v>
      </c>
      <c r="H11818" t="s">
        <v>30916</v>
      </c>
      <c r="I11818" t="s">
        <v>30924</v>
      </c>
      <c r="J11818" t="s">
        <v>31067</v>
      </c>
      <c r="K11818" t="s">
        <v>40314</v>
      </c>
      <c r="M11818" t="s">
        <v>43080</v>
      </c>
      <c r="N11818" t="s">
        <v>44759</v>
      </c>
      <c r="O11818" t="s">
        <v>44760</v>
      </c>
      <c r="P11818">
        <v>0</v>
      </c>
      <c r="Q11818">
        <v>2</v>
      </c>
      <c r="R11818" t="s">
        <v>44775</v>
      </c>
      <c r="S11818" t="s">
        <v>45343</v>
      </c>
      <c r="T11818" t="s">
        <v>46426</v>
      </c>
      <c r="U11818" t="s">
        <v>56663</v>
      </c>
      <c r="W11818" t="s">
        <v>43080</v>
      </c>
      <c r="X11818" t="s">
        <v>44776</v>
      </c>
    </row>
    <row r="11819" spans="1:24">
      <c r="A11819">
        <f>HYPERLINK("https://www.philgeps.gov.ph/GEPSNONPILOT/Tender/SplashBidNoticeAbstractUI.aspx?menuIndex=3&amp;refID=7123957&amp;Result=3","7123957")</f>
        <v>0</v>
      </c>
      <c r="B11819" t="s">
        <v>3413</v>
      </c>
      <c r="C11819" t="s">
        <v>14991</v>
      </c>
      <c r="D11819" t="s">
        <v>17953</v>
      </c>
      <c r="E11819" t="s">
        <v>27000</v>
      </c>
      <c r="F11819" t="s">
        <v>30900</v>
      </c>
      <c r="G11819" t="s">
        <v>30907</v>
      </c>
      <c r="H11819" t="s">
        <v>30916</v>
      </c>
      <c r="I11819" t="s">
        <v>4108</v>
      </c>
      <c r="J11819" t="s">
        <v>32200</v>
      </c>
      <c r="K11819" t="s">
        <v>40412</v>
      </c>
      <c r="M11819" t="s">
        <v>44291</v>
      </c>
      <c r="N11819" t="s">
        <v>44759</v>
      </c>
      <c r="O11819" t="s">
        <v>44760</v>
      </c>
      <c r="P11819">
        <v>0</v>
      </c>
      <c r="Q11819">
        <v>0</v>
      </c>
      <c r="R11819" t="s">
        <v>44775</v>
      </c>
      <c r="S11819" t="s">
        <v>45343</v>
      </c>
      <c r="T11819" t="s">
        <v>46399</v>
      </c>
      <c r="U11819" t="s">
        <v>56664</v>
      </c>
      <c r="W11819" t="s">
        <v>44291</v>
      </c>
      <c r="X11819" t="s">
        <v>44776</v>
      </c>
    </row>
    <row r="11820" spans="1:24">
      <c r="A11820">
        <f>HYPERLINK("https://www.philgeps.gov.ph/GEPSNONPILOT/Tender/SplashBidNoticeAbstractUI.aspx?menuIndex=3&amp;refID=7123811&amp;Result=3","7123811")</f>
        <v>0</v>
      </c>
      <c r="B11820" t="s">
        <v>365</v>
      </c>
      <c r="C11820" t="s">
        <v>14992</v>
      </c>
      <c r="D11820" t="s">
        <v>17957</v>
      </c>
      <c r="E11820" t="s">
        <v>27896</v>
      </c>
      <c r="F11820" t="s">
        <v>30900</v>
      </c>
      <c r="G11820" t="s">
        <v>30907</v>
      </c>
      <c r="H11820" t="s">
        <v>30915</v>
      </c>
      <c r="I11820" t="s">
        <v>30919</v>
      </c>
      <c r="J11820" t="s">
        <v>38412</v>
      </c>
      <c r="K11820" t="s">
        <v>40342</v>
      </c>
      <c r="M11820" t="s">
        <v>40919</v>
      </c>
      <c r="N11820" t="s">
        <v>44759</v>
      </c>
      <c r="O11820" t="s">
        <v>44760</v>
      </c>
      <c r="P11820">
        <v>0</v>
      </c>
      <c r="Q11820">
        <v>0</v>
      </c>
      <c r="R11820" t="s">
        <v>44775</v>
      </c>
      <c r="S11820" t="s">
        <v>45343</v>
      </c>
      <c r="T11820" t="s">
        <v>46421</v>
      </c>
      <c r="U11820" t="s">
        <v>56665</v>
      </c>
      <c r="W11820" t="s">
        <v>40919</v>
      </c>
      <c r="X11820" t="s">
        <v>44776</v>
      </c>
    </row>
    <row r="11821" spans="1:24">
      <c r="A11821">
        <f>HYPERLINK("https://www.philgeps.gov.ph/GEPSNONPILOT/Tender/SplashBidNoticeAbstractUI.aspx?menuIndex=3&amp;refID=7123963&amp;Result=3","7123963")</f>
        <v>0</v>
      </c>
      <c r="B11821" t="s">
        <v>223</v>
      </c>
      <c r="C11821" t="s">
        <v>14993</v>
      </c>
      <c r="D11821" t="s">
        <v>18002</v>
      </c>
      <c r="E11821" t="s">
        <v>14993</v>
      </c>
      <c r="F11821" t="s">
        <v>30900</v>
      </c>
      <c r="G11821" t="s">
        <v>30908</v>
      </c>
      <c r="H11821" t="s">
        <v>30916</v>
      </c>
      <c r="I11821" t="s">
        <v>5830</v>
      </c>
      <c r="J11821" t="s">
        <v>36283</v>
      </c>
      <c r="K11821" t="s">
        <v>40289</v>
      </c>
      <c r="M11821" t="s">
        <v>44292</v>
      </c>
      <c r="N11821" t="s">
        <v>44759</v>
      </c>
      <c r="O11821" t="s">
        <v>44760</v>
      </c>
      <c r="Q11821">
        <v>12</v>
      </c>
      <c r="R11821" t="s">
        <v>44775</v>
      </c>
      <c r="S11821" t="s">
        <v>45378</v>
      </c>
      <c r="T11821" t="s">
        <v>46403</v>
      </c>
      <c r="U11821" t="s">
        <v>56666</v>
      </c>
      <c r="W11821" t="s">
        <v>44292</v>
      </c>
      <c r="X11821" t="s">
        <v>44776</v>
      </c>
    </row>
    <row r="11822" spans="1:24">
      <c r="A11822">
        <f>HYPERLINK("https://www.philgeps.gov.ph/GEPSNONPILOT/Tender/SplashBidNoticeAbstractUI.aspx?menuIndex=3&amp;refID=7123935&amp;Result=3","7123935")</f>
        <v>0</v>
      </c>
      <c r="B11822" t="s">
        <v>2356</v>
      </c>
      <c r="C11822" t="s">
        <v>14994</v>
      </c>
      <c r="D11822" t="s">
        <v>17988</v>
      </c>
      <c r="E11822" t="s">
        <v>14994</v>
      </c>
      <c r="F11822" t="s">
        <v>30900</v>
      </c>
      <c r="G11822" t="s">
        <v>30907</v>
      </c>
      <c r="H11822" t="s">
        <v>30916</v>
      </c>
      <c r="I11822" t="s">
        <v>30924</v>
      </c>
      <c r="J11822" t="s">
        <v>38413</v>
      </c>
      <c r="K11822" t="s">
        <v>40314</v>
      </c>
      <c r="M11822" t="s">
        <v>43080</v>
      </c>
      <c r="N11822" t="s">
        <v>44759</v>
      </c>
      <c r="O11822" t="s">
        <v>44760</v>
      </c>
      <c r="P11822">
        <v>0</v>
      </c>
      <c r="Q11822">
        <v>4</v>
      </c>
      <c r="R11822" t="s">
        <v>44775</v>
      </c>
      <c r="S11822" t="s">
        <v>45343</v>
      </c>
      <c r="T11822" t="s">
        <v>46426</v>
      </c>
      <c r="U11822" t="s">
        <v>56667</v>
      </c>
      <c r="W11822" t="s">
        <v>43080</v>
      </c>
      <c r="X11822" t="s">
        <v>44776</v>
      </c>
    </row>
    <row r="11823" spans="1:24">
      <c r="A11823">
        <f>HYPERLINK("https://www.philgeps.gov.ph/GEPSNONPILOT/Tender/SplashBidNoticeAbstractUI.aspx?menuIndex=3&amp;refID=7123933&amp;Result=3","7123933")</f>
        <v>0</v>
      </c>
      <c r="B11823" t="s">
        <v>928</v>
      </c>
      <c r="C11823" t="s">
        <v>14995</v>
      </c>
      <c r="D11823" t="s">
        <v>17972</v>
      </c>
      <c r="E11823" t="s">
        <v>23582</v>
      </c>
      <c r="F11823" t="s">
        <v>30900</v>
      </c>
      <c r="G11823" t="s">
        <v>30907</v>
      </c>
      <c r="H11823" t="s">
        <v>30915</v>
      </c>
      <c r="I11823" t="s">
        <v>30932</v>
      </c>
      <c r="J11823" t="s">
        <v>38414</v>
      </c>
      <c r="K11823" t="s">
        <v>40289</v>
      </c>
      <c r="M11823" t="s">
        <v>41510</v>
      </c>
      <c r="N11823" t="s">
        <v>44759</v>
      </c>
      <c r="O11823" t="s">
        <v>44760</v>
      </c>
      <c r="P11823">
        <v>0</v>
      </c>
      <c r="Q11823">
        <v>2</v>
      </c>
      <c r="R11823" t="s">
        <v>44775</v>
      </c>
      <c r="S11823" t="s">
        <v>45343</v>
      </c>
      <c r="T11823" t="s">
        <v>46357</v>
      </c>
      <c r="U11823" t="s">
        <v>54779</v>
      </c>
      <c r="W11823" t="s">
        <v>41510</v>
      </c>
      <c r="X11823" t="s">
        <v>44776</v>
      </c>
    </row>
    <row r="11824" spans="1:24">
      <c r="A11824">
        <f>HYPERLINK("https://www.philgeps.gov.ph/GEPSNONPILOT/Tender/SplashBidNoticeAbstractUI.aspx?menuIndex=3&amp;refID=7123947&amp;Result=3","7123947")</f>
        <v>0</v>
      </c>
      <c r="B11824" t="s">
        <v>2330</v>
      </c>
      <c r="C11824" t="s">
        <v>14996</v>
      </c>
      <c r="D11824" t="s">
        <v>17953</v>
      </c>
      <c r="E11824" t="s">
        <v>28255</v>
      </c>
      <c r="F11824" t="s">
        <v>30900</v>
      </c>
      <c r="G11824" t="s">
        <v>30907</v>
      </c>
      <c r="H11824" t="s">
        <v>30916</v>
      </c>
      <c r="I11824" t="s">
        <v>8123</v>
      </c>
      <c r="J11824" t="s">
        <v>38415</v>
      </c>
      <c r="K11824" t="s">
        <v>40289</v>
      </c>
      <c r="M11824" t="s">
        <v>43989</v>
      </c>
      <c r="N11824" t="s">
        <v>44759</v>
      </c>
      <c r="O11824" t="s">
        <v>44760</v>
      </c>
      <c r="P11824">
        <v>0</v>
      </c>
      <c r="Q11824">
        <v>0</v>
      </c>
      <c r="R11824" t="s">
        <v>44775</v>
      </c>
      <c r="S11824" t="s">
        <v>45343</v>
      </c>
      <c r="T11824" t="s">
        <v>46760</v>
      </c>
      <c r="U11824" t="s">
        <v>56668</v>
      </c>
      <c r="V11824" t="s">
        <v>60462</v>
      </c>
      <c r="W11824" t="s">
        <v>43989</v>
      </c>
      <c r="X11824" t="s">
        <v>44776</v>
      </c>
    </row>
    <row r="11825" spans="1:24">
      <c r="A11825">
        <f>HYPERLINK("https://www.philgeps.gov.ph/GEPSNONPILOT/Tender/SplashBidNoticeAbstractUI.aspx?menuIndex=3&amp;refID=7123929&amp;Result=3","7123929")</f>
        <v>0</v>
      </c>
      <c r="B11825" t="s">
        <v>3407</v>
      </c>
      <c r="C11825" t="s">
        <v>14997</v>
      </c>
      <c r="D11825" t="s">
        <v>18015</v>
      </c>
      <c r="E11825" t="s">
        <v>28256</v>
      </c>
      <c r="F11825" t="s">
        <v>30900</v>
      </c>
      <c r="G11825" t="s">
        <v>30907</v>
      </c>
      <c r="H11825" t="s">
        <v>30916</v>
      </c>
      <c r="I11825" t="s">
        <v>8123</v>
      </c>
      <c r="J11825" t="s">
        <v>38416</v>
      </c>
      <c r="K11825" t="s">
        <v>40286</v>
      </c>
      <c r="M11825" t="s">
        <v>44284</v>
      </c>
      <c r="N11825" t="s">
        <v>44759</v>
      </c>
      <c r="O11825" t="s">
        <v>44760</v>
      </c>
      <c r="P11825">
        <v>0</v>
      </c>
      <c r="Q11825">
        <v>0</v>
      </c>
      <c r="R11825" t="s">
        <v>44775</v>
      </c>
      <c r="S11825" t="s">
        <v>45343</v>
      </c>
      <c r="T11825" t="s">
        <v>46389</v>
      </c>
      <c r="U11825" t="s">
        <v>56669</v>
      </c>
      <c r="V11825" t="s">
        <v>60464</v>
      </c>
      <c r="W11825" t="s">
        <v>44284</v>
      </c>
      <c r="X11825" t="s">
        <v>44776</v>
      </c>
    </row>
    <row r="11826" spans="1:24">
      <c r="A11826">
        <f>HYPERLINK("https://www.philgeps.gov.ph/GEPSNONPILOT/Tender/SplashBidNoticeAbstractUI.aspx?menuIndex=3&amp;refID=7123928&amp;Result=3","7123928")</f>
        <v>0</v>
      </c>
      <c r="B11826" t="s">
        <v>807</v>
      </c>
      <c r="C11826" t="s">
        <v>14998</v>
      </c>
      <c r="D11826" t="s">
        <v>18015</v>
      </c>
      <c r="E11826" t="s">
        <v>28257</v>
      </c>
      <c r="F11826" t="s">
        <v>30900</v>
      </c>
      <c r="G11826" t="s">
        <v>30907</v>
      </c>
      <c r="H11826" t="s">
        <v>30915</v>
      </c>
      <c r="I11826" t="s">
        <v>30919</v>
      </c>
      <c r="J11826" t="s">
        <v>38417</v>
      </c>
      <c r="K11826" t="s">
        <v>40302</v>
      </c>
      <c r="M11826" t="s">
        <v>41377</v>
      </c>
      <c r="N11826" t="s">
        <v>44759</v>
      </c>
      <c r="O11826" t="s">
        <v>44760</v>
      </c>
      <c r="P11826">
        <v>0</v>
      </c>
      <c r="Q11826">
        <v>0</v>
      </c>
      <c r="R11826" t="s">
        <v>44775</v>
      </c>
      <c r="S11826" t="s">
        <v>45343</v>
      </c>
      <c r="T11826" t="s">
        <v>46352</v>
      </c>
      <c r="U11826" t="s">
        <v>56670</v>
      </c>
      <c r="W11826" t="s">
        <v>41377</v>
      </c>
      <c r="X11826" t="s">
        <v>44776</v>
      </c>
    </row>
    <row r="11827" spans="1:24">
      <c r="A11827">
        <f>HYPERLINK("https://www.philgeps.gov.ph/GEPSNONPILOT/Tender/SplashBidNoticeAbstractUI.aspx?menuIndex=3&amp;refID=7123927&amp;Result=3","7123927")</f>
        <v>0</v>
      </c>
      <c r="B11827" t="s">
        <v>2434</v>
      </c>
      <c r="C11827" t="s">
        <v>14999</v>
      </c>
      <c r="E11827" t="s">
        <v>28258</v>
      </c>
      <c r="F11827" t="s">
        <v>30900</v>
      </c>
      <c r="G11827" t="s">
        <v>30907</v>
      </c>
      <c r="H11827" t="s">
        <v>30916</v>
      </c>
      <c r="I11827" t="s">
        <v>30933</v>
      </c>
      <c r="J11827" t="s">
        <v>32616</v>
      </c>
      <c r="K11827" t="s">
        <v>40292</v>
      </c>
      <c r="M11827" t="s">
        <v>43165</v>
      </c>
      <c r="N11827" t="s">
        <v>44759</v>
      </c>
      <c r="O11827" t="s">
        <v>44760</v>
      </c>
      <c r="P11827">
        <v>0</v>
      </c>
      <c r="Q11827">
        <v>8</v>
      </c>
      <c r="R11827" t="s">
        <v>44775</v>
      </c>
      <c r="S11827" t="s">
        <v>45343</v>
      </c>
      <c r="T11827" t="s">
        <v>46425</v>
      </c>
      <c r="U11827" t="s">
        <v>56671</v>
      </c>
      <c r="W11827" t="s">
        <v>43165</v>
      </c>
      <c r="X11827" t="s">
        <v>44776</v>
      </c>
    </row>
    <row r="11828" spans="1:24">
      <c r="A11828">
        <f>HYPERLINK("https://www.philgeps.gov.ph/GEPSNONPILOT/Tender/SplashBidNoticeAbstractUI.aspx?menuIndex=3&amp;refID=7123921&amp;Result=3","7123921")</f>
        <v>0</v>
      </c>
      <c r="B11828" t="s">
        <v>2330</v>
      </c>
      <c r="C11828" t="s">
        <v>15000</v>
      </c>
      <c r="D11828" t="s">
        <v>17953</v>
      </c>
      <c r="E11828" t="s">
        <v>28259</v>
      </c>
      <c r="F11828" t="s">
        <v>30900</v>
      </c>
      <c r="G11828" t="s">
        <v>30907</v>
      </c>
      <c r="H11828" t="s">
        <v>30916</v>
      </c>
      <c r="I11828" t="s">
        <v>8123</v>
      </c>
      <c r="J11828" t="s">
        <v>38418</v>
      </c>
      <c r="K11828" t="s">
        <v>40289</v>
      </c>
      <c r="M11828" t="s">
        <v>43989</v>
      </c>
      <c r="N11828" t="s">
        <v>44759</v>
      </c>
      <c r="O11828" t="s">
        <v>44760</v>
      </c>
      <c r="P11828">
        <v>0</v>
      </c>
      <c r="Q11828">
        <v>0</v>
      </c>
      <c r="R11828" t="s">
        <v>44775</v>
      </c>
      <c r="S11828" t="s">
        <v>45343</v>
      </c>
      <c r="T11828" t="s">
        <v>46760</v>
      </c>
      <c r="U11828" t="s">
        <v>56672</v>
      </c>
      <c r="V11828" t="s">
        <v>60462</v>
      </c>
      <c r="W11828" t="s">
        <v>43989</v>
      </c>
      <c r="X11828" t="s">
        <v>44776</v>
      </c>
    </row>
    <row r="11829" spans="1:24">
      <c r="A11829">
        <f>HYPERLINK("https://www.philgeps.gov.ph/GEPSNONPILOT/Tender/SplashBidNoticeAbstractUI.aspx?menuIndex=3&amp;refID=7123903&amp;Result=3","7123903")</f>
        <v>0</v>
      </c>
      <c r="B11829" t="s">
        <v>807</v>
      </c>
      <c r="C11829" t="s">
        <v>15001</v>
      </c>
      <c r="D11829" t="s">
        <v>18015</v>
      </c>
      <c r="E11829" t="s">
        <v>28260</v>
      </c>
      <c r="F11829" t="s">
        <v>30900</v>
      </c>
      <c r="G11829" t="s">
        <v>30907</v>
      </c>
      <c r="H11829" t="s">
        <v>30915</v>
      </c>
      <c r="I11829" t="s">
        <v>30919</v>
      </c>
      <c r="J11829" t="s">
        <v>38419</v>
      </c>
      <c r="K11829" t="s">
        <v>40304</v>
      </c>
      <c r="M11829" t="s">
        <v>41377</v>
      </c>
      <c r="N11829" t="s">
        <v>44759</v>
      </c>
      <c r="O11829" t="s">
        <v>44760</v>
      </c>
      <c r="P11829">
        <v>0</v>
      </c>
      <c r="Q11829">
        <v>0</v>
      </c>
      <c r="R11829" t="s">
        <v>44775</v>
      </c>
      <c r="S11829" t="s">
        <v>45343</v>
      </c>
      <c r="T11829" t="s">
        <v>46352</v>
      </c>
      <c r="U11829" t="s">
        <v>56673</v>
      </c>
      <c r="W11829" t="s">
        <v>41377</v>
      </c>
      <c r="X11829" t="s">
        <v>44776</v>
      </c>
    </row>
    <row r="11830" spans="1:24">
      <c r="A11830">
        <f>HYPERLINK("https://www.philgeps.gov.ph/GEPSNONPILOT/Tender/SplashBidNoticeAbstractUI.aspx?menuIndex=3&amp;refID=7123899&amp;Result=3","7123899")</f>
        <v>0</v>
      </c>
      <c r="B11830" t="s">
        <v>2330</v>
      </c>
      <c r="C11830" t="s">
        <v>15002</v>
      </c>
      <c r="D11830" t="s">
        <v>17953</v>
      </c>
      <c r="E11830" t="s">
        <v>28261</v>
      </c>
      <c r="F11830" t="s">
        <v>30900</v>
      </c>
      <c r="G11830" t="s">
        <v>30907</v>
      </c>
      <c r="H11830" t="s">
        <v>30916</v>
      </c>
      <c r="I11830" t="s">
        <v>8123</v>
      </c>
      <c r="J11830" t="s">
        <v>33992</v>
      </c>
      <c r="K11830" t="s">
        <v>40289</v>
      </c>
      <c r="M11830" t="s">
        <v>43989</v>
      </c>
      <c r="N11830" t="s">
        <v>44759</v>
      </c>
      <c r="O11830" t="s">
        <v>44760</v>
      </c>
      <c r="P11830">
        <v>0</v>
      </c>
      <c r="Q11830">
        <v>0</v>
      </c>
      <c r="R11830" t="s">
        <v>44775</v>
      </c>
      <c r="S11830" t="s">
        <v>45343</v>
      </c>
      <c r="T11830" t="s">
        <v>46760</v>
      </c>
      <c r="U11830" t="s">
        <v>56674</v>
      </c>
      <c r="V11830" t="s">
        <v>60462</v>
      </c>
      <c r="W11830" t="s">
        <v>43989</v>
      </c>
      <c r="X11830" t="s">
        <v>44776</v>
      </c>
    </row>
    <row r="11831" spans="1:24">
      <c r="A11831">
        <f>HYPERLINK("https://www.philgeps.gov.ph/GEPSNONPILOT/Tender/SplashBidNoticeAbstractUI.aspx?menuIndex=3&amp;refID=7123915&amp;Result=3","7123915")</f>
        <v>0</v>
      </c>
      <c r="B11831" t="s">
        <v>3411</v>
      </c>
      <c r="C11831" t="s">
        <v>15003</v>
      </c>
      <c r="D11831" t="s">
        <v>17959</v>
      </c>
      <c r="E11831" t="s">
        <v>22759</v>
      </c>
      <c r="F11831" t="s">
        <v>30899</v>
      </c>
      <c r="G11831" t="s">
        <v>30907</v>
      </c>
      <c r="H11831" t="s">
        <v>30916</v>
      </c>
      <c r="I11831" t="s">
        <v>30935</v>
      </c>
      <c r="J11831" t="s">
        <v>31049</v>
      </c>
      <c r="K11831" t="s">
        <v>40283</v>
      </c>
      <c r="M11831" t="s">
        <v>44288</v>
      </c>
      <c r="N11831" t="s">
        <v>44759</v>
      </c>
      <c r="O11831" t="s">
        <v>44760</v>
      </c>
      <c r="P11831">
        <v>0</v>
      </c>
      <c r="Q11831">
        <v>4</v>
      </c>
      <c r="R11831" t="s">
        <v>44775</v>
      </c>
      <c r="S11831" t="s">
        <v>45343</v>
      </c>
      <c r="T11831" t="s">
        <v>46892</v>
      </c>
      <c r="U11831" t="s">
        <v>56675</v>
      </c>
      <c r="W11831" t="s">
        <v>44288</v>
      </c>
      <c r="X11831" t="s">
        <v>44776</v>
      </c>
    </row>
    <row r="11832" spans="1:24">
      <c r="A11832">
        <f>HYPERLINK("https://www.philgeps.gov.ph/GEPSNONPILOT/Tender/SplashBidNoticeAbstractUI.aspx?menuIndex=3&amp;refID=7123888&amp;Result=3","7123888")</f>
        <v>0</v>
      </c>
      <c r="B11832" t="s">
        <v>888</v>
      </c>
      <c r="C11832" t="s">
        <v>15004</v>
      </c>
      <c r="D11832" t="s">
        <v>17951</v>
      </c>
      <c r="E11832" t="s">
        <v>28262</v>
      </c>
      <c r="F11832" t="s">
        <v>30900</v>
      </c>
      <c r="G11832" t="s">
        <v>30907</v>
      </c>
      <c r="H11832" t="s">
        <v>30916</v>
      </c>
      <c r="I11832" t="s">
        <v>4545</v>
      </c>
      <c r="J11832" t="s">
        <v>34250</v>
      </c>
      <c r="K11832" t="s">
        <v>40292</v>
      </c>
      <c r="M11832" t="s">
        <v>41461</v>
      </c>
      <c r="N11832" t="s">
        <v>44759</v>
      </c>
      <c r="O11832" t="s">
        <v>44760</v>
      </c>
      <c r="Q11832">
        <v>11</v>
      </c>
      <c r="R11832" t="s">
        <v>44775</v>
      </c>
      <c r="S11832" t="s">
        <v>45379</v>
      </c>
      <c r="T11832" t="s">
        <v>46839</v>
      </c>
      <c r="U11832" t="s">
        <v>56676</v>
      </c>
      <c r="V11832" t="s">
        <v>60465</v>
      </c>
      <c r="W11832" t="s">
        <v>41461</v>
      </c>
      <c r="X11832" t="s">
        <v>44776</v>
      </c>
    </row>
    <row r="11833" spans="1:24">
      <c r="A11833">
        <f>HYPERLINK("https://www.philgeps.gov.ph/GEPSNONPILOT/Tender/SplashBidNoticeAbstractUI.aspx?menuIndex=3&amp;refID=7123875&amp;Result=3","7123875")</f>
        <v>0</v>
      </c>
      <c r="B11833" t="s">
        <v>492</v>
      </c>
      <c r="C11833" t="s">
        <v>15005</v>
      </c>
      <c r="D11833" t="s">
        <v>18018</v>
      </c>
      <c r="E11833" t="s">
        <v>28263</v>
      </c>
      <c r="F11833" t="s">
        <v>30900</v>
      </c>
      <c r="G11833" t="s">
        <v>30907</v>
      </c>
      <c r="H11833" t="s">
        <v>30915</v>
      </c>
      <c r="I11833" t="s">
        <v>30919</v>
      </c>
      <c r="J11833" t="s">
        <v>38420</v>
      </c>
      <c r="K11833" t="s">
        <v>40322</v>
      </c>
      <c r="M11833" t="s">
        <v>41051</v>
      </c>
      <c r="N11833" t="s">
        <v>44759</v>
      </c>
      <c r="O11833" t="s">
        <v>44760</v>
      </c>
      <c r="P11833">
        <v>0</v>
      </c>
      <c r="Q11833">
        <v>0</v>
      </c>
      <c r="R11833" t="s">
        <v>44775</v>
      </c>
      <c r="S11833" t="s">
        <v>45343</v>
      </c>
      <c r="T11833" t="s">
        <v>46887</v>
      </c>
      <c r="U11833" t="s">
        <v>56677</v>
      </c>
      <c r="W11833" t="s">
        <v>41051</v>
      </c>
      <c r="X11833" t="s">
        <v>44776</v>
      </c>
    </row>
    <row r="11834" spans="1:24">
      <c r="A11834">
        <f>HYPERLINK("https://www.philgeps.gov.ph/GEPSNONPILOT/Tender/SplashBidNoticeAbstractUI.aspx?menuIndex=3&amp;refID=7123794&amp;Result=3","7123794")</f>
        <v>0</v>
      </c>
      <c r="B11834" t="s">
        <v>3202</v>
      </c>
      <c r="C11834" t="s">
        <v>15006</v>
      </c>
      <c r="D11834" t="s">
        <v>17986</v>
      </c>
      <c r="E11834" t="s">
        <v>28264</v>
      </c>
      <c r="F11834" t="s">
        <v>30900</v>
      </c>
      <c r="G11834" t="s">
        <v>30907</v>
      </c>
      <c r="H11834" t="s">
        <v>30916</v>
      </c>
      <c r="I11834" t="s">
        <v>30939</v>
      </c>
      <c r="J11834" t="s">
        <v>34097</v>
      </c>
      <c r="K11834" t="s">
        <v>40286</v>
      </c>
      <c r="M11834" t="s">
        <v>44040</v>
      </c>
      <c r="N11834" t="s">
        <v>44759</v>
      </c>
      <c r="O11834" t="s">
        <v>44760</v>
      </c>
      <c r="Q11834">
        <v>1</v>
      </c>
      <c r="R11834" t="s">
        <v>44775</v>
      </c>
      <c r="S11834" t="s">
        <v>45380</v>
      </c>
      <c r="T11834" t="s">
        <v>46357</v>
      </c>
      <c r="U11834" t="s">
        <v>56678</v>
      </c>
      <c r="V11834" t="s">
        <v>60459</v>
      </c>
      <c r="W11834" t="s">
        <v>44040</v>
      </c>
      <c r="X11834" t="s">
        <v>44776</v>
      </c>
    </row>
    <row r="11835" spans="1:24">
      <c r="A11835">
        <f>HYPERLINK("https://www.philgeps.gov.ph/GEPSNONPILOT/Tender/SplashBidNoticeAbstractUI.aspx?menuIndex=3&amp;refID=7123810&amp;Result=3","7123810")</f>
        <v>0</v>
      </c>
      <c r="B11835" t="s">
        <v>191</v>
      </c>
      <c r="C11835" t="s">
        <v>15007</v>
      </c>
      <c r="D11835" t="s">
        <v>17998</v>
      </c>
      <c r="E11835" t="s">
        <v>28265</v>
      </c>
      <c r="F11835" t="s">
        <v>30900</v>
      </c>
      <c r="G11835" t="s">
        <v>30907</v>
      </c>
      <c r="H11835" t="s">
        <v>30916</v>
      </c>
      <c r="I11835" t="s">
        <v>8044</v>
      </c>
      <c r="J11835" t="s">
        <v>32680</v>
      </c>
      <c r="K11835" t="s">
        <v>40286</v>
      </c>
      <c r="M11835" t="s">
        <v>40738</v>
      </c>
      <c r="N11835" t="s">
        <v>44759</v>
      </c>
      <c r="O11835" t="s">
        <v>44760</v>
      </c>
      <c r="P11835">
        <v>0</v>
      </c>
      <c r="Q11835">
        <v>0</v>
      </c>
      <c r="R11835" t="s">
        <v>44775</v>
      </c>
      <c r="S11835" t="s">
        <v>45343</v>
      </c>
      <c r="T11835" t="s">
        <v>46889</v>
      </c>
      <c r="U11835" t="s">
        <v>56679</v>
      </c>
      <c r="V11835" t="s">
        <v>60466</v>
      </c>
      <c r="W11835" t="s">
        <v>40738</v>
      </c>
      <c r="X11835" t="s">
        <v>44776</v>
      </c>
    </row>
    <row r="11836" spans="1:24">
      <c r="A11836">
        <f>HYPERLINK("https://www.philgeps.gov.ph/GEPSNONPILOT/Tender/SplashBidNoticeAbstractUI.aspx?menuIndex=3&amp;refID=7123919&amp;Result=3","7123919")</f>
        <v>0</v>
      </c>
      <c r="B11836" t="s">
        <v>1202</v>
      </c>
      <c r="C11836" t="s">
        <v>15008</v>
      </c>
      <c r="D11836" t="s">
        <v>17957</v>
      </c>
      <c r="E11836" t="s">
        <v>28266</v>
      </c>
      <c r="F11836" t="s">
        <v>30900</v>
      </c>
      <c r="G11836" t="s">
        <v>30907</v>
      </c>
      <c r="H11836" t="s">
        <v>30916</v>
      </c>
      <c r="I11836" t="s">
        <v>30938</v>
      </c>
      <c r="J11836" t="s">
        <v>38421</v>
      </c>
      <c r="K11836" t="s">
        <v>40284</v>
      </c>
      <c r="M11836" t="s">
        <v>41813</v>
      </c>
      <c r="N11836" t="s">
        <v>44759</v>
      </c>
      <c r="O11836" t="s">
        <v>44760</v>
      </c>
      <c r="P11836">
        <v>0</v>
      </c>
      <c r="Q11836">
        <v>1</v>
      </c>
      <c r="R11836" t="s">
        <v>44775</v>
      </c>
      <c r="S11836" t="s">
        <v>45343</v>
      </c>
      <c r="T11836" t="s">
        <v>46591</v>
      </c>
      <c r="U11836" t="s">
        <v>56680</v>
      </c>
      <c r="V11836" t="s">
        <v>60467</v>
      </c>
      <c r="W11836" t="s">
        <v>41813</v>
      </c>
      <c r="X11836" t="s">
        <v>44776</v>
      </c>
    </row>
    <row r="11837" spans="1:24">
      <c r="A11837">
        <f>HYPERLINK("https://www.philgeps.gov.ph/GEPSNONPILOT/Tender/SplashBidNoticeAbstractUI.aspx?menuIndex=3&amp;refID=7123804&amp;Result=3","7123804")</f>
        <v>0</v>
      </c>
      <c r="B11837" t="s">
        <v>1978</v>
      </c>
      <c r="C11837" t="s">
        <v>15009</v>
      </c>
      <c r="D11837" t="s">
        <v>17993</v>
      </c>
      <c r="E11837" t="s">
        <v>28267</v>
      </c>
      <c r="F11837" t="s">
        <v>30900</v>
      </c>
      <c r="G11837" t="s">
        <v>30907</v>
      </c>
      <c r="H11837" t="s">
        <v>30915</v>
      </c>
      <c r="I11837" t="s">
        <v>30919</v>
      </c>
      <c r="J11837" t="s">
        <v>38422</v>
      </c>
      <c r="K11837" t="s">
        <v>40289</v>
      </c>
      <c r="M11837" t="s">
        <v>42667</v>
      </c>
      <c r="N11837" t="s">
        <v>44759</v>
      </c>
      <c r="O11837" t="s">
        <v>44760</v>
      </c>
      <c r="P11837">
        <v>0</v>
      </c>
      <c r="Q11837">
        <v>1</v>
      </c>
      <c r="R11837" t="s">
        <v>44775</v>
      </c>
      <c r="S11837" t="s">
        <v>45343</v>
      </c>
      <c r="T11837" t="s">
        <v>46352</v>
      </c>
      <c r="U11837" t="s">
        <v>56681</v>
      </c>
      <c r="W11837" t="s">
        <v>42667</v>
      </c>
      <c r="X11837" t="s">
        <v>44776</v>
      </c>
    </row>
    <row r="11838" spans="1:24">
      <c r="A11838">
        <f>HYPERLINK("https://www.philgeps.gov.ph/GEPSNONPILOT/Tender/SplashBidNoticeAbstractUI.aspx?menuIndex=3&amp;refID=7124047&amp;Result=3","7124047")</f>
        <v>0</v>
      </c>
      <c r="B11838" t="s">
        <v>888</v>
      </c>
      <c r="C11838" t="s">
        <v>15010</v>
      </c>
      <c r="D11838" t="s">
        <v>17951</v>
      </c>
      <c r="E11838" t="s">
        <v>28268</v>
      </c>
      <c r="F11838" t="s">
        <v>30900</v>
      </c>
      <c r="G11838" t="s">
        <v>30907</v>
      </c>
      <c r="H11838" t="s">
        <v>30916</v>
      </c>
      <c r="I11838" t="s">
        <v>9385</v>
      </c>
      <c r="J11838" t="s">
        <v>38423</v>
      </c>
      <c r="K11838" t="s">
        <v>40292</v>
      </c>
      <c r="M11838" t="s">
        <v>41461</v>
      </c>
      <c r="N11838" t="s">
        <v>44759</v>
      </c>
      <c r="O11838" t="s">
        <v>44760</v>
      </c>
      <c r="Q11838">
        <v>28</v>
      </c>
      <c r="R11838" t="s">
        <v>44775</v>
      </c>
      <c r="S11838" t="s">
        <v>45381</v>
      </c>
      <c r="T11838" t="s">
        <v>46893</v>
      </c>
      <c r="U11838" t="s">
        <v>56682</v>
      </c>
      <c r="V11838" t="s">
        <v>60468</v>
      </c>
      <c r="W11838" t="s">
        <v>41461</v>
      </c>
      <c r="X11838" t="s">
        <v>44776</v>
      </c>
    </row>
    <row r="11839" spans="1:24">
      <c r="A11839">
        <f>HYPERLINK("https://www.philgeps.gov.ph/GEPSNONPILOT/Tender/SplashBidNoticeAbstractUI.aspx?menuIndex=3&amp;refID=7123781&amp;Result=3","7123781")</f>
        <v>0</v>
      </c>
      <c r="B11839" t="s">
        <v>3407</v>
      </c>
      <c r="C11839" t="s">
        <v>15011</v>
      </c>
      <c r="D11839" t="s">
        <v>18015</v>
      </c>
      <c r="E11839" t="s">
        <v>28269</v>
      </c>
      <c r="F11839" t="s">
        <v>30900</v>
      </c>
      <c r="G11839" t="s">
        <v>30907</v>
      </c>
      <c r="H11839" t="s">
        <v>30916</v>
      </c>
      <c r="I11839" t="s">
        <v>8123</v>
      </c>
      <c r="J11839" t="s">
        <v>38424</v>
      </c>
      <c r="K11839" t="s">
        <v>40286</v>
      </c>
      <c r="M11839" t="s">
        <v>44284</v>
      </c>
      <c r="N11839" t="s">
        <v>44759</v>
      </c>
      <c r="O11839" t="s">
        <v>44760</v>
      </c>
      <c r="P11839">
        <v>0</v>
      </c>
      <c r="Q11839">
        <v>0</v>
      </c>
      <c r="R11839" t="s">
        <v>44775</v>
      </c>
      <c r="S11839" t="s">
        <v>45343</v>
      </c>
      <c r="T11839" t="s">
        <v>46389</v>
      </c>
      <c r="U11839" t="s">
        <v>56683</v>
      </c>
      <c r="V11839" t="s">
        <v>60464</v>
      </c>
      <c r="W11839" t="s">
        <v>44284</v>
      </c>
      <c r="X11839" t="s">
        <v>44776</v>
      </c>
    </row>
    <row r="11840" spans="1:24">
      <c r="A11840">
        <f>HYPERLINK("https://www.philgeps.gov.ph/GEPSNONPILOT/Tender/SplashBidNoticeAbstractUI.aspx?menuIndex=3&amp;refID=7124041&amp;Result=3","7124041")</f>
        <v>0</v>
      </c>
      <c r="B11840" t="s">
        <v>1031</v>
      </c>
      <c r="C11840" t="s">
        <v>15012</v>
      </c>
      <c r="D11840" t="s">
        <v>17960</v>
      </c>
      <c r="E11840" t="s">
        <v>28270</v>
      </c>
      <c r="F11840" t="s">
        <v>30900</v>
      </c>
      <c r="G11840" t="s">
        <v>30907</v>
      </c>
      <c r="H11840" t="s">
        <v>30916</v>
      </c>
      <c r="I11840" t="s">
        <v>17295</v>
      </c>
      <c r="J11840" t="s">
        <v>38425</v>
      </c>
      <c r="K11840" t="s">
        <v>40283</v>
      </c>
      <c r="M11840" t="s">
        <v>41622</v>
      </c>
      <c r="N11840" t="s">
        <v>44759</v>
      </c>
      <c r="O11840" t="s">
        <v>44760</v>
      </c>
      <c r="Q11840">
        <v>4</v>
      </c>
      <c r="R11840" t="s">
        <v>44775</v>
      </c>
      <c r="S11840" t="s">
        <v>45382</v>
      </c>
      <c r="T11840" t="s">
        <v>46894</v>
      </c>
      <c r="U11840" t="s">
        <v>56684</v>
      </c>
      <c r="V11840" t="s">
        <v>59366</v>
      </c>
      <c r="W11840" t="s">
        <v>41622</v>
      </c>
      <c r="X11840" t="s">
        <v>44776</v>
      </c>
    </row>
    <row r="11841" spans="1:24">
      <c r="A11841">
        <f>HYPERLINK("https://www.philgeps.gov.ph/GEPSNONPILOT/Tender/SplashBidNoticeAbstractUI.aspx?menuIndex=3&amp;refID=7124040&amp;Result=3","7124040")</f>
        <v>0</v>
      </c>
      <c r="B11841" t="s">
        <v>1023</v>
      </c>
      <c r="C11841" t="s">
        <v>15013</v>
      </c>
      <c r="D11841" t="s">
        <v>17978</v>
      </c>
      <c r="E11841" t="s">
        <v>28271</v>
      </c>
      <c r="F11841" t="s">
        <v>30900</v>
      </c>
      <c r="G11841" t="s">
        <v>30907</v>
      </c>
      <c r="H11841" t="s">
        <v>30916</v>
      </c>
      <c r="I11841" t="s">
        <v>30947</v>
      </c>
      <c r="J11841" t="s">
        <v>38426</v>
      </c>
      <c r="K11841" t="s">
        <v>40286</v>
      </c>
      <c r="M11841" t="s">
        <v>43375</v>
      </c>
      <c r="N11841" t="s">
        <v>44759</v>
      </c>
      <c r="O11841" t="s">
        <v>44760</v>
      </c>
      <c r="Q11841">
        <v>5</v>
      </c>
      <c r="R11841" t="s">
        <v>44775</v>
      </c>
      <c r="S11841" t="s">
        <v>45383</v>
      </c>
      <c r="T11841" t="s">
        <v>46846</v>
      </c>
      <c r="U11841" t="s">
        <v>56685</v>
      </c>
      <c r="V11841" t="s">
        <v>60469</v>
      </c>
      <c r="W11841" t="s">
        <v>43375</v>
      </c>
      <c r="X11841" t="s">
        <v>44776</v>
      </c>
    </row>
    <row r="11842" spans="1:24">
      <c r="A11842">
        <f>HYPERLINK("https://www.philgeps.gov.ph/GEPSNONPILOT/Tender/SplashBidNoticeAbstractUI.aspx?menuIndex=3&amp;refID=7124037&amp;Result=3","7124037")</f>
        <v>0</v>
      </c>
      <c r="B11842" t="s">
        <v>3410</v>
      </c>
      <c r="C11842" t="s">
        <v>15014</v>
      </c>
      <c r="D11842" t="s">
        <v>17995</v>
      </c>
      <c r="E11842" t="s">
        <v>28272</v>
      </c>
      <c r="F11842" t="s">
        <v>30900</v>
      </c>
      <c r="G11842" t="s">
        <v>30907</v>
      </c>
      <c r="H11842" t="s">
        <v>30916</v>
      </c>
      <c r="I11842" t="s">
        <v>30939</v>
      </c>
      <c r="J11842" t="s">
        <v>38427</v>
      </c>
      <c r="K11842" t="s">
        <v>40333</v>
      </c>
      <c r="M11842" t="s">
        <v>44287</v>
      </c>
      <c r="N11842" t="s">
        <v>44759</v>
      </c>
      <c r="O11842" t="s">
        <v>44760</v>
      </c>
      <c r="P11842">
        <v>0</v>
      </c>
      <c r="Q11842">
        <v>0</v>
      </c>
      <c r="R11842" t="s">
        <v>44775</v>
      </c>
      <c r="S11842" t="s">
        <v>45343</v>
      </c>
      <c r="T11842" t="s">
        <v>46422</v>
      </c>
      <c r="U11842" t="s">
        <v>56686</v>
      </c>
      <c r="V11842" t="s">
        <v>60463</v>
      </c>
      <c r="W11842" t="s">
        <v>44287</v>
      </c>
      <c r="X11842" t="s">
        <v>44776</v>
      </c>
    </row>
    <row r="11843" spans="1:24">
      <c r="A11843">
        <f>HYPERLINK("https://www.philgeps.gov.ph/GEPSNONPILOT/Tender/SplashBidNoticeAbstractUI.aspx?menuIndex=3&amp;refID=7124046&amp;Result=3","7124046")</f>
        <v>0</v>
      </c>
      <c r="B11843" t="s">
        <v>3407</v>
      </c>
      <c r="C11843" t="s">
        <v>15015</v>
      </c>
      <c r="D11843" t="s">
        <v>18015</v>
      </c>
      <c r="E11843" t="s">
        <v>28273</v>
      </c>
      <c r="F11843" t="s">
        <v>30900</v>
      </c>
      <c r="G11843" t="s">
        <v>30907</v>
      </c>
      <c r="H11843" t="s">
        <v>30916</v>
      </c>
      <c r="I11843" t="s">
        <v>8123</v>
      </c>
      <c r="J11843" t="s">
        <v>38400</v>
      </c>
      <c r="K11843" t="s">
        <v>40286</v>
      </c>
      <c r="M11843" t="s">
        <v>44284</v>
      </c>
      <c r="N11843" t="s">
        <v>44759</v>
      </c>
      <c r="O11843" t="s">
        <v>44760</v>
      </c>
      <c r="P11843">
        <v>0</v>
      </c>
      <c r="Q11843">
        <v>0</v>
      </c>
      <c r="R11843" t="s">
        <v>44775</v>
      </c>
      <c r="S11843" t="s">
        <v>45343</v>
      </c>
      <c r="T11843" t="s">
        <v>46389</v>
      </c>
      <c r="U11843" t="s">
        <v>56651</v>
      </c>
      <c r="V11843" t="s">
        <v>60464</v>
      </c>
      <c r="W11843" t="s">
        <v>44284</v>
      </c>
      <c r="X11843" t="s">
        <v>44776</v>
      </c>
    </row>
    <row r="11844" spans="1:24">
      <c r="A11844">
        <f>HYPERLINK("https://www.philgeps.gov.ph/GEPSNONPILOT/Tender/SplashBidNoticeAbstractUI.aspx?menuIndex=3&amp;refID=7124021&amp;Result=3","7124021")</f>
        <v>0</v>
      </c>
      <c r="B11844" t="s">
        <v>3414</v>
      </c>
      <c r="C11844" t="s">
        <v>15016</v>
      </c>
      <c r="D11844" t="s">
        <v>17980</v>
      </c>
      <c r="E11844" t="s">
        <v>28274</v>
      </c>
      <c r="F11844" t="s">
        <v>30900</v>
      </c>
      <c r="G11844" t="s">
        <v>30907</v>
      </c>
      <c r="H11844" t="s">
        <v>30916</v>
      </c>
      <c r="I11844" t="s">
        <v>30952</v>
      </c>
      <c r="J11844" t="s">
        <v>34097</v>
      </c>
      <c r="K11844" t="s">
        <v>40392</v>
      </c>
      <c r="M11844" t="s">
        <v>44293</v>
      </c>
      <c r="N11844" t="s">
        <v>44759</v>
      </c>
      <c r="O11844" t="s">
        <v>44760</v>
      </c>
      <c r="Q11844">
        <v>6</v>
      </c>
      <c r="R11844" t="s">
        <v>44775</v>
      </c>
      <c r="S11844" t="s">
        <v>45384</v>
      </c>
      <c r="T11844" t="s">
        <v>46425</v>
      </c>
      <c r="U11844" t="s">
        <v>56687</v>
      </c>
      <c r="V11844" t="s">
        <v>60470</v>
      </c>
      <c r="W11844" t="s">
        <v>44293</v>
      </c>
      <c r="X11844" t="s">
        <v>44776</v>
      </c>
    </row>
    <row r="11845" spans="1:24">
      <c r="A11845">
        <f>HYPERLINK("https://www.philgeps.gov.ph/GEPSNONPILOT/Tender/SplashBidNoticeAbstractUI.aspx?menuIndex=3&amp;refID=7123975&amp;Result=3","7123975")</f>
        <v>0</v>
      </c>
      <c r="B11845" t="s">
        <v>2330</v>
      </c>
      <c r="C11845" t="s">
        <v>15017</v>
      </c>
      <c r="D11845" t="s">
        <v>17953</v>
      </c>
      <c r="E11845" t="s">
        <v>28275</v>
      </c>
      <c r="F11845" t="s">
        <v>30900</v>
      </c>
      <c r="G11845" t="s">
        <v>30907</v>
      </c>
      <c r="H11845" t="s">
        <v>30916</v>
      </c>
      <c r="I11845" t="s">
        <v>9385</v>
      </c>
      <c r="J11845" t="s">
        <v>38428</v>
      </c>
      <c r="K11845" t="s">
        <v>40289</v>
      </c>
      <c r="M11845" t="s">
        <v>43989</v>
      </c>
      <c r="N11845" t="s">
        <v>44759</v>
      </c>
      <c r="O11845" t="s">
        <v>44760</v>
      </c>
      <c r="P11845">
        <v>0</v>
      </c>
      <c r="Q11845">
        <v>5</v>
      </c>
      <c r="R11845" t="s">
        <v>44775</v>
      </c>
      <c r="S11845" t="s">
        <v>45343</v>
      </c>
      <c r="T11845" t="s">
        <v>46760</v>
      </c>
      <c r="U11845" t="s">
        <v>56688</v>
      </c>
      <c r="V11845" t="s">
        <v>60462</v>
      </c>
      <c r="W11845" t="s">
        <v>43989</v>
      </c>
      <c r="X11845" t="s">
        <v>44776</v>
      </c>
    </row>
    <row r="11846" spans="1:24">
      <c r="A11846">
        <f>HYPERLINK("https://www.philgeps.gov.ph/GEPSNONPILOT/Tender/SplashBidNoticeAbstractUI.aspx?menuIndex=3&amp;refID=7124015&amp;Result=3","7124015")</f>
        <v>0</v>
      </c>
      <c r="B11846" t="s">
        <v>3407</v>
      </c>
      <c r="C11846" t="s">
        <v>15018</v>
      </c>
      <c r="D11846" t="s">
        <v>18015</v>
      </c>
      <c r="E11846" t="s">
        <v>28276</v>
      </c>
      <c r="F11846" t="s">
        <v>30900</v>
      </c>
      <c r="G11846" t="s">
        <v>30907</v>
      </c>
      <c r="H11846" t="s">
        <v>30916</v>
      </c>
      <c r="I11846" t="s">
        <v>8123</v>
      </c>
      <c r="J11846" t="s">
        <v>38429</v>
      </c>
      <c r="K11846" t="s">
        <v>40286</v>
      </c>
      <c r="M11846" t="s">
        <v>44284</v>
      </c>
      <c r="N11846" t="s">
        <v>44759</v>
      </c>
      <c r="O11846" t="s">
        <v>44760</v>
      </c>
      <c r="P11846">
        <v>0</v>
      </c>
      <c r="Q11846">
        <v>0</v>
      </c>
      <c r="R11846" t="s">
        <v>44775</v>
      </c>
      <c r="S11846" t="s">
        <v>45343</v>
      </c>
      <c r="T11846" t="s">
        <v>46389</v>
      </c>
      <c r="U11846" t="s">
        <v>56651</v>
      </c>
      <c r="V11846" t="s">
        <v>60464</v>
      </c>
      <c r="W11846" t="s">
        <v>44284</v>
      </c>
      <c r="X11846" t="s">
        <v>44776</v>
      </c>
    </row>
    <row r="11847" spans="1:24">
      <c r="A11847">
        <f>HYPERLINK("https://www.philgeps.gov.ph/GEPSNONPILOT/Tender/SplashBidNoticeAbstractUI.aspx?menuIndex=3&amp;refID=7124033&amp;Result=3","7124033")</f>
        <v>0</v>
      </c>
      <c r="B11847" t="s">
        <v>3411</v>
      </c>
      <c r="C11847" t="s">
        <v>15019</v>
      </c>
      <c r="D11847" t="s">
        <v>17959</v>
      </c>
      <c r="E11847" t="s">
        <v>18532</v>
      </c>
      <c r="F11847" t="s">
        <v>30899</v>
      </c>
      <c r="G11847" t="s">
        <v>30907</v>
      </c>
      <c r="H11847" t="s">
        <v>30916</v>
      </c>
      <c r="I11847" t="s">
        <v>8123</v>
      </c>
      <c r="J11847" t="s">
        <v>31243</v>
      </c>
      <c r="K11847" t="s">
        <v>40283</v>
      </c>
      <c r="M11847" t="s">
        <v>44288</v>
      </c>
      <c r="N11847" t="s">
        <v>44759</v>
      </c>
      <c r="O11847" t="s">
        <v>44760</v>
      </c>
      <c r="P11847">
        <v>0</v>
      </c>
      <c r="Q11847">
        <v>1</v>
      </c>
      <c r="R11847" t="s">
        <v>44775</v>
      </c>
      <c r="S11847" t="s">
        <v>45343</v>
      </c>
      <c r="T11847" t="s">
        <v>46887</v>
      </c>
      <c r="U11847" t="s">
        <v>56689</v>
      </c>
      <c r="W11847" t="s">
        <v>44288</v>
      </c>
      <c r="X11847" t="s">
        <v>44776</v>
      </c>
    </row>
    <row r="11848" spans="1:24">
      <c r="A11848">
        <f>HYPERLINK("https://www.philgeps.gov.ph/GEPSNONPILOT/Tender/SplashBidNoticeAbstractUI.aspx?menuIndex=3&amp;refID=7124003&amp;Result=3","7124003")</f>
        <v>0</v>
      </c>
      <c r="B11848" t="s">
        <v>3202</v>
      </c>
      <c r="C11848" t="s">
        <v>15020</v>
      </c>
      <c r="D11848" t="s">
        <v>17986</v>
      </c>
      <c r="E11848" t="s">
        <v>28277</v>
      </c>
      <c r="F11848" t="s">
        <v>30900</v>
      </c>
      <c r="G11848" t="s">
        <v>30907</v>
      </c>
      <c r="H11848" t="s">
        <v>30916</v>
      </c>
      <c r="I11848" t="s">
        <v>8123</v>
      </c>
      <c r="J11848" t="s">
        <v>38430</v>
      </c>
      <c r="K11848" t="s">
        <v>40286</v>
      </c>
      <c r="M11848" t="s">
        <v>44040</v>
      </c>
      <c r="N11848" t="s">
        <v>44759</v>
      </c>
      <c r="O11848" t="s">
        <v>44760</v>
      </c>
      <c r="Q11848">
        <v>1</v>
      </c>
      <c r="R11848" t="s">
        <v>44775</v>
      </c>
      <c r="S11848" t="s">
        <v>45385</v>
      </c>
      <c r="T11848" t="s">
        <v>46357</v>
      </c>
      <c r="U11848" t="s">
        <v>56690</v>
      </c>
      <c r="V11848" t="s">
        <v>60459</v>
      </c>
      <c r="W11848" t="s">
        <v>44040</v>
      </c>
      <c r="X11848" t="s">
        <v>44776</v>
      </c>
    </row>
    <row r="11849" spans="1:24">
      <c r="A11849">
        <f>HYPERLINK("https://www.philgeps.gov.ph/GEPSNONPILOT/Tender/SplashBidNoticeAbstractUI.aspx?menuIndex=3&amp;refID=7123993&amp;Result=3","7123993")</f>
        <v>0</v>
      </c>
      <c r="B11849" t="s">
        <v>2330</v>
      </c>
      <c r="C11849" t="s">
        <v>15021</v>
      </c>
      <c r="D11849" t="s">
        <v>17953</v>
      </c>
      <c r="E11849" t="s">
        <v>28278</v>
      </c>
      <c r="F11849" t="s">
        <v>30900</v>
      </c>
      <c r="G11849" t="s">
        <v>30907</v>
      </c>
      <c r="H11849" t="s">
        <v>30916</v>
      </c>
      <c r="I11849" t="s">
        <v>9385</v>
      </c>
      <c r="J11849" t="s">
        <v>38431</v>
      </c>
      <c r="K11849" t="s">
        <v>40289</v>
      </c>
      <c r="M11849" t="s">
        <v>43989</v>
      </c>
      <c r="N11849" t="s">
        <v>44759</v>
      </c>
      <c r="O11849" t="s">
        <v>44760</v>
      </c>
      <c r="P11849">
        <v>0</v>
      </c>
      <c r="Q11849">
        <v>5</v>
      </c>
      <c r="R11849" t="s">
        <v>44775</v>
      </c>
      <c r="S11849" t="s">
        <v>45343</v>
      </c>
      <c r="T11849" t="s">
        <v>46760</v>
      </c>
      <c r="U11849" t="s">
        <v>56691</v>
      </c>
      <c r="V11849" t="s">
        <v>60462</v>
      </c>
      <c r="W11849" t="s">
        <v>43989</v>
      </c>
      <c r="X11849" t="s">
        <v>44776</v>
      </c>
    </row>
    <row r="11850" spans="1:24">
      <c r="A11850">
        <f>HYPERLINK("https://www.philgeps.gov.ph/GEPSNONPILOT/Tender/SplashBidNoticeAbstractUI.aspx?menuIndex=3&amp;refID=7124191&amp;Result=3","7124191")</f>
        <v>0</v>
      </c>
      <c r="B11850" t="s">
        <v>3407</v>
      </c>
      <c r="C11850" t="s">
        <v>15022</v>
      </c>
      <c r="D11850" t="s">
        <v>18015</v>
      </c>
      <c r="E11850" t="s">
        <v>28279</v>
      </c>
      <c r="F11850" t="s">
        <v>30900</v>
      </c>
      <c r="G11850" t="s">
        <v>30907</v>
      </c>
      <c r="H11850" t="s">
        <v>30916</v>
      </c>
      <c r="I11850" t="s">
        <v>8123</v>
      </c>
      <c r="J11850" t="s">
        <v>38400</v>
      </c>
      <c r="K11850" t="s">
        <v>40286</v>
      </c>
      <c r="M11850" t="s">
        <v>44284</v>
      </c>
      <c r="N11850" t="s">
        <v>44759</v>
      </c>
      <c r="O11850" t="s">
        <v>44760</v>
      </c>
      <c r="P11850">
        <v>0</v>
      </c>
      <c r="Q11850">
        <v>0</v>
      </c>
      <c r="R11850" t="s">
        <v>44775</v>
      </c>
      <c r="S11850" t="s">
        <v>45343</v>
      </c>
      <c r="T11850" t="s">
        <v>46389</v>
      </c>
      <c r="U11850" t="s">
        <v>56651</v>
      </c>
      <c r="V11850" t="s">
        <v>60464</v>
      </c>
      <c r="W11850" t="s">
        <v>44284</v>
      </c>
      <c r="X11850" t="s">
        <v>44776</v>
      </c>
    </row>
    <row r="11851" spans="1:24">
      <c r="A11851">
        <f>HYPERLINK("https://www.philgeps.gov.ph/GEPSNONPILOT/Tender/SplashBidNoticeAbstractUI.aspx?menuIndex=3&amp;refID=7123941&amp;Result=3","7123941")</f>
        <v>0</v>
      </c>
      <c r="B11851" t="s">
        <v>264</v>
      </c>
      <c r="C11851" t="s">
        <v>15023</v>
      </c>
      <c r="D11851" t="s">
        <v>17997</v>
      </c>
      <c r="E11851" t="s">
        <v>28280</v>
      </c>
      <c r="F11851" t="s">
        <v>30900</v>
      </c>
      <c r="G11851" t="s">
        <v>30907</v>
      </c>
      <c r="H11851" t="s">
        <v>30916</v>
      </c>
      <c r="I11851" t="s">
        <v>30919</v>
      </c>
      <c r="J11851" t="s">
        <v>38432</v>
      </c>
      <c r="K11851" t="s">
        <v>40280</v>
      </c>
      <c r="M11851" t="s">
        <v>40811</v>
      </c>
      <c r="N11851" t="s">
        <v>44759</v>
      </c>
      <c r="O11851" t="s">
        <v>44760</v>
      </c>
      <c r="P11851">
        <v>0</v>
      </c>
      <c r="Q11851">
        <v>1</v>
      </c>
      <c r="R11851" t="s">
        <v>44775</v>
      </c>
      <c r="S11851" t="s">
        <v>45343</v>
      </c>
      <c r="T11851" t="s">
        <v>46376</v>
      </c>
      <c r="U11851" t="s">
        <v>56692</v>
      </c>
      <c r="W11851" t="s">
        <v>40811</v>
      </c>
      <c r="X11851" t="s">
        <v>44776</v>
      </c>
    </row>
    <row r="11852" spans="1:24">
      <c r="A11852">
        <f>HYPERLINK("https://www.philgeps.gov.ph/GEPSNONPILOT/Tender/SplashBidNoticeAbstractUI.aspx?menuIndex=3&amp;refID=7124013&amp;Result=3","7124013")</f>
        <v>0</v>
      </c>
      <c r="B11852" t="s">
        <v>2717</v>
      </c>
      <c r="C11852" t="s">
        <v>15024</v>
      </c>
      <c r="D11852" t="s">
        <v>17973</v>
      </c>
      <c r="E11852" t="s">
        <v>28281</v>
      </c>
      <c r="F11852" t="s">
        <v>30900</v>
      </c>
      <c r="G11852" t="s">
        <v>30907</v>
      </c>
      <c r="H11852" t="s">
        <v>30916</v>
      </c>
      <c r="I11852" t="s">
        <v>30985</v>
      </c>
      <c r="J11852" t="s">
        <v>38433</v>
      </c>
      <c r="K11852" t="s">
        <v>40286</v>
      </c>
      <c r="M11852" t="s">
        <v>43492</v>
      </c>
      <c r="N11852" t="s">
        <v>44759</v>
      </c>
      <c r="O11852" t="s">
        <v>44760</v>
      </c>
      <c r="Q11852">
        <v>12</v>
      </c>
      <c r="R11852" t="s">
        <v>44775</v>
      </c>
      <c r="S11852" t="s">
        <v>45386</v>
      </c>
      <c r="T11852" t="s">
        <v>46352</v>
      </c>
      <c r="U11852" t="s">
        <v>56693</v>
      </c>
      <c r="W11852" t="s">
        <v>43492</v>
      </c>
      <c r="X11852" t="s">
        <v>44776</v>
      </c>
    </row>
    <row r="11853" spans="1:24">
      <c r="A11853">
        <f>HYPERLINK("https://www.philgeps.gov.ph/GEPSNONPILOT/Tender/SplashBidNoticeAbstractUI.aspx?menuIndex=3&amp;refID=7124184&amp;Result=3","7124184")</f>
        <v>0</v>
      </c>
      <c r="B11853" t="s">
        <v>3415</v>
      </c>
      <c r="C11853" t="s">
        <v>15025</v>
      </c>
      <c r="D11853" t="s">
        <v>17962</v>
      </c>
      <c r="E11853" t="s">
        <v>28282</v>
      </c>
      <c r="F11853" t="s">
        <v>30900</v>
      </c>
      <c r="G11853" t="s">
        <v>30907</v>
      </c>
      <c r="H11853" t="s">
        <v>30915</v>
      </c>
      <c r="I11853" t="s">
        <v>30919</v>
      </c>
      <c r="J11853" t="s">
        <v>38434</v>
      </c>
      <c r="K11853" t="s">
        <v>40289</v>
      </c>
      <c r="M11853" t="s">
        <v>44294</v>
      </c>
      <c r="N11853" t="s">
        <v>44759</v>
      </c>
      <c r="O11853" t="s">
        <v>44760</v>
      </c>
      <c r="P11853">
        <v>0</v>
      </c>
      <c r="Q11853">
        <v>1</v>
      </c>
      <c r="R11853" t="s">
        <v>44775</v>
      </c>
      <c r="S11853" t="s">
        <v>45343</v>
      </c>
      <c r="T11853" t="s">
        <v>46421</v>
      </c>
      <c r="U11853" t="s">
        <v>56694</v>
      </c>
      <c r="W11853" t="s">
        <v>44294</v>
      </c>
      <c r="X11853" t="s">
        <v>44776</v>
      </c>
    </row>
    <row r="11854" spans="1:24">
      <c r="A11854">
        <f>HYPERLINK("https://www.philgeps.gov.ph/GEPSNONPILOT/Tender/SplashBidNoticeAbstractUI.aspx?menuIndex=3&amp;refID=7124149&amp;Result=3","7124149")</f>
        <v>0</v>
      </c>
      <c r="B11854" t="s">
        <v>1311</v>
      </c>
      <c r="C11854" t="s">
        <v>15026</v>
      </c>
      <c r="D11854" t="s">
        <v>17963</v>
      </c>
      <c r="E11854" t="s">
        <v>28283</v>
      </c>
      <c r="F11854" t="s">
        <v>30900</v>
      </c>
      <c r="G11854" t="s">
        <v>30907</v>
      </c>
      <c r="H11854" t="s">
        <v>30915</v>
      </c>
      <c r="I11854" t="s">
        <v>30919</v>
      </c>
      <c r="J11854" t="s">
        <v>31391</v>
      </c>
      <c r="K11854" t="s">
        <v>40304</v>
      </c>
      <c r="M11854" t="s">
        <v>41929</v>
      </c>
      <c r="N11854" t="s">
        <v>44759</v>
      </c>
      <c r="O11854" t="s">
        <v>44760</v>
      </c>
      <c r="P11854">
        <v>0</v>
      </c>
      <c r="Q11854">
        <v>1</v>
      </c>
      <c r="R11854" t="s">
        <v>44775</v>
      </c>
      <c r="S11854" t="s">
        <v>45343</v>
      </c>
      <c r="T11854" t="s">
        <v>46353</v>
      </c>
      <c r="U11854" t="s">
        <v>56695</v>
      </c>
      <c r="W11854" t="s">
        <v>41929</v>
      </c>
      <c r="X11854" t="s">
        <v>44776</v>
      </c>
    </row>
    <row r="11855" spans="1:24">
      <c r="A11855">
        <f>HYPERLINK("https://www.philgeps.gov.ph/GEPSNONPILOT/Tender/SplashBidNoticeAbstractUI.aspx?menuIndex=3&amp;refID=7123946&amp;Result=3","7123946")</f>
        <v>0</v>
      </c>
      <c r="B11855" t="s">
        <v>1978</v>
      </c>
      <c r="C11855" t="s">
        <v>15027</v>
      </c>
      <c r="D11855" t="s">
        <v>17993</v>
      </c>
      <c r="E11855" t="s">
        <v>28284</v>
      </c>
      <c r="F11855" t="s">
        <v>30900</v>
      </c>
      <c r="G11855" t="s">
        <v>30907</v>
      </c>
      <c r="H11855" t="s">
        <v>30915</v>
      </c>
      <c r="I11855" t="s">
        <v>30919</v>
      </c>
      <c r="J11855" t="s">
        <v>38435</v>
      </c>
      <c r="K11855" t="s">
        <v>40289</v>
      </c>
      <c r="M11855" t="s">
        <v>42667</v>
      </c>
      <c r="N11855" t="s">
        <v>44759</v>
      </c>
      <c r="O11855" t="s">
        <v>44760</v>
      </c>
      <c r="P11855">
        <v>0</v>
      </c>
      <c r="Q11855">
        <v>1</v>
      </c>
      <c r="R11855" t="s">
        <v>44775</v>
      </c>
      <c r="S11855" t="s">
        <v>45343</v>
      </c>
      <c r="T11855" t="s">
        <v>46352</v>
      </c>
      <c r="U11855" t="s">
        <v>56696</v>
      </c>
      <c r="W11855" t="s">
        <v>42667</v>
      </c>
      <c r="X11855" t="s">
        <v>44776</v>
      </c>
    </row>
    <row r="11856" spans="1:24">
      <c r="A11856">
        <f>HYPERLINK("https://www.philgeps.gov.ph/GEPSNONPILOT/Tender/SplashBidNoticeAbstractUI.aspx?menuIndex=3&amp;refID=7124144&amp;Result=3","7124144")</f>
        <v>0</v>
      </c>
      <c r="B11856" t="s">
        <v>3416</v>
      </c>
      <c r="C11856" t="s">
        <v>15028</v>
      </c>
      <c r="D11856" t="s">
        <v>17978</v>
      </c>
      <c r="E11856" t="s">
        <v>28285</v>
      </c>
      <c r="F11856" t="s">
        <v>30900</v>
      </c>
      <c r="G11856" t="s">
        <v>30907</v>
      </c>
      <c r="H11856" t="s">
        <v>30915</v>
      </c>
      <c r="I11856" t="s">
        <v>30919</v>
      </c>
      <c r="J11856" t="s">
        <v>31243</v>
      </c>
      <c r="K11856" t="s">
        <v>40292</v>
      </c>
      <c r="M11856" t="s">
        <v>44295</v>
      </c>
      <c r="N11856" t="s">
        <v>44759</v>
      </c>
      <c r="O11856" t="s">
        <v>44760</v>
      </c>
      <c r="P11856">
        <v>0</v>
      </c>
      <c r="Q11856">
        <v>1</v>
      </c>
      <c r="R11856" t="s">
        <v>44775</v>
      </c>
      <c r="S11856" t="s">
        <v>45343</v>
      </c>
      <c r="T11856" t="s">
        <v>46351</v>
      </c>
      <c r="U11856" t="s">
        <v>56697</v>
      </c>
      <c r="W11856" t="s">
        <v>44295</v>
      </c>
      <c r="X11856" t="s">
        <v>44776</v>
      </c>
    </row>
    <row r="11857" spans="1:24">
      <c r="A11857">
        <f>HYPERLINK("https://www.philgeps.gov.ph/GEPSNONPILOT/Tender/SplashBidNoticeAbstractUI.aspx?menuIndex=3&amp;refID=7124141&amp;Result=3","7124141")</f>
        <v>0</v>
      </c>
      <c r="B11857" t="s">
        <v>3417</v>
      </c>
      <c r="C11857" t="s">
        <v>3769</v>
      </c>
      <c r="D11857" t="s">
        <v>18019</v>
      </c>
      <c r="E11857" t="s">
        <v>28286</v>
      </c>
      <c r="F11857" t="s">
        <v>30900</v>
      </c>
      <c r="G11857" t="s">
        <v>30907</v>
      </c>
      <c r="H11857" t="s">
        <v>30917</v>
      </c>
      <c r="I11857" t="s">
        <v>17295</v>
      </c>
      <c r="J11857" t="s">
        <v>31270</v>
      </c>
      <c r="K11857" t="s">
        <v>40319</v>
      </c>
      <c r="M11857" t="s">
        <v>44296</v>
      </c>
      <c r="N11857" t="s">
        <v>44759</v>
      </c>
      <c r="O11857" t="s">
        <v>44760</v>
      </c>
      <c r="P11857">
        <v>0</v>
      </c>
      <c r="Q11857">
        <v>4</v>
      </c>
      <c r="R11857" t="s">
        <v>44775</v>
      </c>
      <c r="S11857" t="s">
        <v>45343</v>
      </c>
      <c r="T11857" t="s">
        <v>46357</v>
      </c>
      <c r="U11857" t="s">
        <v>56698</v>
      </c>
      <c r="V11857" t="s">
        <v>59391</v>
      </c>
      <c r="W11857" t="s">
        <v>44296</v>
      </c>
      <c r="X11857" t="s">
        <v>44776</v>
      </c>
    </row>
    <row r="11858" spans="1:24">
      <c r="A11858">
        <f>HYPERLINK("https://www.philgeps.gov.ph/GEPSNONPILOT/Tender/SplashBidNoticeAbstractUI.aspx?menuIndex=3&amp;refID=7124135&amp;Result=3","7124135")</f>
        <v>0</v>
      </c>
      <c r="B11858" t="s">
        <v>3407</v>
      </c>
      <c r="C11858" t="s">
        <v>15029</v>
      </c>
      <c r="D11858" t="s">
        <v>18015</v>
      </c>
      <c r="E11858" t="s">
        <v>28287</v>
      </c>
      <c r="F11858" t="s">
        <v>30900</v>
      </c>
      <c r="G11858" t="s">
        <v>30907</v>
      </c>
      <c r="H11858" t="s">
        <v>30916</v>
      </c>
      <c r="I11858" t="s">
        <v>8123</v>
      </c>
      <c r="J11858" t="s">
        <v>38400</v>
      </c>
      <c r="K11858" t="s">
        <v>40286</v>
      </c>
      <c r="M11858" t="s">
        <v>44284</v>
      </c>
      <c r="N11858" t="s">
        <v>44759</v>
      </c>
      <c r="O11858" t="s">
        <v>44760</v>
      </c>
      <c r="P11858">
        <v>0</v>
      </c>
      <c r="Q11858">
        <v>0</v>
      </c>
      <c r="R11858" t="s">
        <v>44775</v>
      </c>
      <c r="S11858" t="s">
        <v>45343</v>
      </c>
      <c r="T11858" t="s">
        <v>46389</v>
      </c>
      <c r="U11858" t="s">
        <v>56651</v>
      </c>
      <c r="V11858" t="s">
        <v>60464</v>
      </c>
      <c r="W11858" t="s">
        <v>44284</v>
      </c>
      <c r="X11858" t="s">
        <v>44776</v>
      </c>
    </row>
    <row r="11859" spans="1:24">
      <c r="A11859">
        <f>HYPERLINK("https://www.philgeps.gov.ph/GEPSNONPILOT/Tender/SplashBidNoticeAbstractUI.aspx?menuIndex=3&amp;refID=7124165&amp;Result=3","7124165")</f>
        <v>0</v>
      </c>
      <c r="B11859" t="s">
        <v>3407</v>
      </c>
      <c r="C11859" t="s">
        <v>15030</v>
      </c>
      <c r="D11859" t="s">
        <v>18015</v>
      </c>
      <c r="E11859" t="s">
        <v>28288</v>
      </c>
      <c r="F11859" t="s">
        <v>30900</v>
      </c>
      <c r="G11859" t="s">
        <v>30907</v>
      </c>
      <c r="H11859" t="s">
        <v>30916</v>
      </c>
      <c r="I11859" t="s">
        <v>8123</v>
      </c>
      <c r="J11859" t="s">
        <v>38400</v>
      </c>
      <c r="K11859" t="s">
        <v>40286</v>
      </c>
      <c r="M11859" t="s">
        <v>44284</v>
      </c>
      <c r="N11859" t="s">
        <v>44759</v>
      </c>
      <c r="O11859" t="s">
        <v>44760</v>
      </c>
      <c r="P11859">
        <v>0</v>
      </c>
      <c r="Q11859">
        <v>0</v>
      </c>
      <c r="R11859" t="s">
        <v>44775</v>
      </c>
      <c r="S11859" t="s">
        <v>45343</v>
      </c>
      <c r="T11859" t="s">
        <v>46389</v>
      </c>
      <c r="U11859" t="s">
        <v>56651</v>
      </c>
      <c r="V11859" t="s">
        <v>60464</v>
      </c>
      <c r="W11859" t="s">
        <v>44284</v>
      </c>
      <c r="X11859" t="s">
        <v>44776</v>
      </c>
    </row>
    <row r="11860" spans="1:24">
      <c r="A11860">
        <f>HYPERLINK("https://www.philgeps.gov.ph/GEPSNONPILOT/Tender/SplashBidNoticeAbstractUI.aspx?menuIndex=3&amp;refID=7124163&amp;Result=3","7124163")</f>
        <v>0</v>
      </c>
      <c r="B11860" t="s">
        <v>807</v>
      </c>
      <c r="C11860" t="s">
        <v>15031</v>
      </c>
      <c r="D11860" t="s">
        <v>18015</v>
      </c>
      <c r="E11860" t="s">
        <v>28289</v>
      </c>
      <c r="F11860" t="s">
        <v>30900</v>
      </c>
      <c r="G11860" t="s">
        <v>30907</v>
      </c>
      <c r="H11860" t="s">
        <v>30915</v>
      </c>
      <c r="I11860" t="s">
        <v>30919</v>
      </c>
      <c r="J11860" t="s">
        <v>38436</v>
      </c>
      <c r="K11860" t="s">
        <v>40335</v>
      </c>
      <c r="M11860" t="s">
        <v>41377</v>
      </c>
      <c r="N11860" t="s">
        <v>44759</v>
      </c>
      <c r="O11860" t="s">
        <v>44760</v>
      </c>
      <c r="P11860">
        <v>0</v>
      </c>
      <c r="Q11860">
        <v>0</v>
      </c>
      <c r="R11860" t="s">
        <v>44775</v>
      </c>
      <c r="S11860" t="s">
        <v>45343</v>
      </c>
      <c r="T11860" t="s">
        <v>46352</v>
      </c>
      <c r="U11860" t="s">
        <v>56699</v>
      </c>
      <c r="W11860" t="s">
        <v>41377</v>
      </c>
      <c r="X11860" t="s">
        <v>44776</v>
      </c>
    </row>
    <row r="11861" spans="1:24">
      <c r="A11861">
        <f>HYPERLINK("https://www.philgeps.gov.ph/GEPSNONPILOT/Tender/SplashBidNoticeAbstractUI.aspx?menuIndex=3&amp;refID=7124137&amp;Result=3","7124137")</f>
        <v>0</v>
      </c>
      <c r="B11861" t="s">
        <v>3413</v>
      </c>
      <c r="C11861" t="s">
        <v>15032</v>
      </c>
      <c r="D11861" t="s">
        <v>17953</v>
      </c>
      <c r="E11861" t="s">
        <v>27000</v>
      </c>
      <c r="F11861" t="s">
        <v>30900</v>
      </c>
      <c r="G11861" t="s">
        <v>30907</v>
      </c>
      <c r="H11861" t="s">
        <v>30916</v>
      </c>
      <c r="I11861" t="s">
        <v>4108</v>
      </c>
      <c r="J11861" t="s">
        <v>38437</v>
      </c>
      <c r="K11861" t="s">
        <v>40412</v>
      </c>
      <c r="M11861" t="s">
        <v>44291</v>
      </c>
      <c r="N11861" t="s">
        <v>44759</v>
      </c>
      <c r="O11861" t="s">
        <v>44760</v>
      </c>
      <c r="P11861">
        <v>0</v>
      </c>
      <c r="Q11861">
        <v>0</v>
      </c>
      <c r="R11861" t="s">
        <v>44775</v>
      </c>
      <c r="S11861" t="s">
        <v>45343</v>
      </c>
      <c r="T11861" t="s">
        <v>46399</v>
      </c>
      <c r="U11861" t="s">
        <v>56700</v>
      </c>
      <c r="W11861" t="s">
        <v>44291</v>
      </c>
      <c r="X11861" t="s">
        <v>44776</v>
      </c>
    </row>
    <row r="11862" spans="1:24">
      <c r="A11862">
        <f>HYPERLINK("https://www.philgeps.gov.ph/GEPSNONPILOT/Tender/SplashBidNoticeAbstractUI.aspx?menuIndex=3&amp;refID=7124180&amp;Result=3","7124180")</f>
        <v>0</v>
      </c>
      <c r="B11862" t="s">
        <v>492</v>
      </c>
      <c r="C11862" t="s">
        <v>15033</v>
      </c>
      <c r="D11862" t="s">
        <v>18018</v>
      </c>
      <c r="E11862" t="s">
        <v>28290</v>
      </c>
      <c r="F11862" t="s">
        <v>30900</v>
      </c>
      <c r="G11862" t="s">
        <v>30907</v>
      </c>
      <c r="H11862" t="s">
        <v>30915</v>
      </c>
      <c r="I11862" t="s">
        <v>30919</v>
      </c>
      <c r="J11862" t="s">
        <v>38438</v>
      </c>
      <c r="K11862" t="s">
        <v>40330</v>
      </c>
      <c r="M11862" t="s">
        <v>41051</v>
      </c>
      <c r="N11862" t="s">
        <v>44759</v>
      </c>
      <c r="O11862" t="s">
        <v>44760</v>
      </c>
      <c r="P11862">
        <v>0</v>
      </c>
      <c r="Q11862">
        <v>0</v>
      </c>
      <c r="R11862" t="s">
        <v>44775</v>
      </c>
      <c r="S11862" t="s">
        <v>45343</v>
      </c>
      <c r="T11862" t="s">
        <v>46887</v>
      </c>
      <c r="U11862" t="s">
        <v>56701</v>
      </c>
      <c r="W11862" t="s">
        <v>41051</v>
      </c>
      <c r="X11862" t="s">
        <v>44776</v>
      </c>
    </row>
    <row r="11863" spans="1:24">
      <c r="A11863">
        <f>HYPERLINK("https://www.philgeps.gov.ph/GEPSNONPILOT/Tender/SplashBidNoticeAbstractUI.aspx?menuIndex=3&amp;refID=7124366&amp;Result=3","7124366")</f>
        <v>0</v>
      </c>
      <c r="B11863" t="s">
        <v>3418</v>
      </c>
      <c r="C11863" t="s">
        <v>15034</v>
      </c>
      <c r="D11863" t="s">
        <v>18013</v>
      </c>
      <c r="E11863" t="s">
        <v>28291</v>
      </c>
      <c r="F11863" t="s">
        <v>30900</v>
      </c>
      <c r="G11863" t="s">
        <v>30907</v>
      </c>
      <c r="H11863" t="s">
        <v>30915</v>
      </c>
      <c r="I11863" t="s">
        <v>30919</v>
      </c>
      <c r="J11863" t="s">
        <v>34557</v>
      </c>
      <c r="K11863" t="s">
        <v>40328</v>
      </c>
      <c r="M11863" t="s">
        <v>44297</v>
      </c>
      <c r="N11863" t="s">
        <v>44759</v>
      </c>
      <c r="O11863" t="s">
        <v>44760</v>
      </c>
      <c r="Q11863">
        <v>0</v>
      </c>
      <c r="R11863" t="s">
        <v>44775</v>
      </c>
      <c r="S11863" t="s">
        <v>45387</v>
      </c>
      <c r="T11863" t="s">
        <v>46519</v>
      </c>
      <c r="U11863" t="s">
        <v>56702</v>
      </c>
      <c r="V11863" t="s">
        <v>60471</v>
      </c>
      <c r="W11863" t="s">
        <v>44297</v>
      </c>
      <c r="X11863" t="s">
        <v>44776</v>
      </c>
    </row>
    <row r="11864" spans="1:24">
      <c r="A11864">
        <f>HYPERLINK("https://www.philgeps.gov.ph/GEPSNONPILOT/Tender/SplashBidNoticeAbstractUI.aspx?menuIndex=3&amp;refID=7124023&amp;Result=3","7124023")</f>
        <v>0</v>
      </c>
      <c r="B11864" t="s">
        <v>807</v>
      </c>
      <c r="C11864" t="s">
        <v>15035</v>
      </c>
      <c r="D11864" t="s">
        <v>18015</v>
      </c>
      <c r="E11864" t="s">
        <v>28292</v>
      </c>
      <c r="F11864" t="s">
        <v>30900</v>
      </c>
      <c r="G11864" t="s">
        <v>30907</v>
      </c>
      <c r="H11864" t="s">
        <v>30915</v>
      </c>
      <c r="I11864" t="s">
        <v>30919</v>
      </c>
      <c r="J11864" t="s">
        <v>38439</v>
      </c>
      <c r="K11864" t="s">
        <v>40358</v>
      </c>
      <c r="M11864" t="s">
        <v>41377</v>
      </c>
      <c r="N11864" t="s">
        <v>44759</v>
      </c>
      <c r="O11864" t="s">
        <v>44760</v>
      </c>
      <c r="P11864">
        <v>0</v>
      </c>
      <c r="Q11864">
        <v>0</v>
      </c>
      <c r="R11864" t="s">
        <v>44775</v>
      </c>
      <c r="S11864" t="s">
        <v>45343</v>
      </c>
      <c r="T11864" t="s">
        <v>46352</v>
      </c>
      <c r="U11864" t="s">
        <v>56703</v>
      </c>
      <c r="W11864" t="s">
        <v>41377</v>
      </c>
      <c r="X11864" t="s">
        <v>44776</v>
      </c>
    </row>
    <row r="11865" spans="1:24">
      <c r="A11865">
        <f>HYPERLINK("https://www.philgeps.gov.ph/GEPSNONPILOT/Tender/SplashBidNoticeAbstractUI.aspx?menuIndex=3&amp;refID=7124350&amp;Result=3","7124350")</f>
        <v>0</v>
      </c>
      <c r="B11865" t="s">
        <v>3418</v>
      </c>
      <c r="C11865" t="s">
        <v>15036</v>
      </c>
      <c r="D11865" t="s">
        <v>18013</v>
      </c>
      <c r="E11865" t="s">
        <v>28293</v>
      </c>
      <c r="F11865" t="s">
        <v>30900</v>
      </c>
      <c r="G11865" t="s">
        <v>30907</v>
      </c>
      <c r="H11865" t="s">
        <v>30915</v>
      </c>
      <c r="I11865" t="s">
        <v>30919</v>
      </c>
      <c r="J11865" t="s">
        <v>38440</v>
      </c>
      <c r="K11865" t="s">
        <v>40342</v>
      </c>
      <c r="M11865" t="s">
        <v>44297</v>
      </c>
      <c r="N11865" t="s">
        <v>44759</v>
      </c>
      <c r="O11865" t="s">
        <v>44760</v>
      </c>
      <c r="P11865">
        <v>0</v>
      </c>
      <c r="Q11865">
        <v>0</v>
      </c>
      <c r="R11865" t="s">
        <v>44775</v>
      </c>
      <c r="S11865" t="s">
        <v>45343</v>
      </c>
      <c r="T11865" t="s">
        <v>46409</v>
      </c>
      <c r="U11865" t="s">
        <v>56704</v>
      </c>
      <c r="V11865" t="s">
        <v>60472</v>
      </c>
      <c r="W11865" t="s">
        <v>44297</v>
      </c>
      <c r="X11865" t="s">
        <v>44776</v>
      </c>
    </row>
    <row r="11866" spans="1:24">
      <c r="A11866">
        <f>HYPERLINK("https://www.philgeps.gov.ph/GEPSNONPILOT/Tender/SplashBidNoticeAbstractUI.aspx?menuIndex=3&amp;refID=7123969&amp;Result=3","7123969")</f>
        <v>0</v>
      </c>
      <c r="B11866" t="s">
        <v>480</v>
      </c>
      <c r="C11866" t="s">
        <v>15037</v>
      </c>
      <c r="D11866" t="s">
        <v>17972</v>
      </c>
      <c r="E11866" t="s">
        <v>28294</v>
      </c>
      <c r="F11866" t="s">
        <v>30900</v>
      </c>
      <c r="G11866" t="s">
        <v>30907</v>
      </c>
      <c r="H11866" t="s">
        <v>30916</v>
      </c>
      <c r="I11866" t="s">
        <v>30927</v>
      </c>
      <c r="J11866" t="s">
        <v>38441</v>
      </c>
      <c r="K11866" t="s">
        <v>40291</v>
      </c>
      <c r="M11866" t="s">
        <v>41038</v>
      </c>
      <c r="N11866" t="s">
        <v>44759</v>
      </c>
      <c r="O11866" t="s">
        <v>44760</v>
      </c>
      <c r="P11866">
        <v>0</v>
      </c>
      <c r="Q11866">
        <v>3</v>
      </c>
      <c r="R11866" t="s">
        <v>44775</v>
      </c>
      <c r="S11866" t="s">
        <v>45343</v>
      </c>
      <c r="T11866" t="s">
        <v>46403</v>
      </c>
      <c r="U11866" t="s">
        <v>56705</v>
      </c>
      <c r="W11866" t="s">
        <v>41038</v>
      </c>
      <c r="X11866" t="s">
        <v>44776</v>
      </c>
    </row>
    <row r="11867" spans="1:24">
      <c r="A11867">
        <f>HYPERLINK("https://www.philgeps.gov.ph/GEPSNONPILOT/Tender/SplashBidNoticeAbstractUI.aspx?menuIndex=3&amp;refID=7124127&amp;Result=3","7124127")</f>
        <v>0</v>
      </c>
      <c r="B11867" t="s">
        <v>807</v>
      </c>
      <c r="C11867" t="s">
        <v>15038</v>
      </c>
      <c r="D11867" t="s">
        <v>18015</v>
      </c>
      <c r="E11867" t="s">
        <v>28295</v>
      </c>
      <c r="F11867" t="s">
        <v>30900</v>
      </c>
      <c r="G11867" t="s">
        <v>30907</v>
      </c>
      <c r="H11867" t="s">
        <v>30915</v>
      </c>
      <c r="I11867" t="s">
        <v>30919</v>
      </c>
      <c r="J11867" t="s">
        <v>38442</v>
      </c>
      <c r="K11867" t="s">
        <v>40304</v>
      </c>
      <c r="M11867" t="s">
        <v>41377</v>
      </c>
      <c r="N11867" t="s">
        <v>44759</v>
      </c>
      <c r="O11867" t="s">
        <v>44760</v>
      </c>
      <c r="P11867">
        <v>0</v>
      </c>
      <c r="Q11867">
        <v>0</v>
      </c>
      <c r="R11867" t="s">
        <v>44775</v>
      </c>
      <c r="S11867" t="s">
        <v>45343</v>
      </c>
      <c r="T11867" t="s">
        <v>46352</v>
      </c>
      <c r="U11867" t="s">
        <v>56706</v>
      </c>
      <c r="W11867" t="s">
        <v>41377</v>
      </c>
      <c r="X11867" t="s">
        <v>44776</v>
      </c>
    </row>
    <row r="11868" spans="1:24">
      <c r="A11868">
        <f>HYPERLINK("https://www.philgeps.gov.ph/GEPSNONPILOT/Tender/SplashBidNoticeAbstractUI.aspx?menuIndex=3&amp;refID=7124347&amp;Result=3","7124347")</f>
        <v>0</v>
      </c>
      <c r="B11868" t="s">
        <v>3419</v>
      </c>
      <c r="C11868" t="s">
        <v>15039</v>
      </c>
      <c r="D11868" t="s">
        <v>17971</v>
      </c>
      <c r="E11868" t="s">
        <v>28296</v>
      </c>
      <c r="F11868" t="s">
        <v>30900</v>
      </c>
      <c r="G11868" t="s">
        <v>30907</v>
      </c>
      <c r="H11868" t="s">
        <v>30916</v>
      </c>
      <c r="I11868" t="s">
        <v>30924</v>
      </c>
      <c r="J11868" t="s">
        <v>38443</v>
      </c>
      <c r="K11868" t="s">
        <v>40286</v>
      </c>
      <c r="M11868" t="s">
        <v>44298</v>
      </c>
      <c r="N11868" t="s">
        <v>44759</v>
      </c>
      <c r="O11868" t="s">
        <v>44760</v>
      </c>
      <c r="P11868">
        <v>0</v>
      </c>
      <c r="Q11868">
        <v>6</v>
      </c>
      <c r="R11868" t="s">
        <v>44775</v>
      </c>
      <c r="S11868" t="s">
        <v>45343</v>
      </c>
      <c r="T11868" t="s">
        <v>46613</v>
      </c>
      <c r="U11868" t="s">
        <v>56707</v>
      </c>
      <c r="W11868" t="s">
        <v>44298</v>
      </c>
      <c r="X11868" t="s">
        <v>44776</v>
      </c>
    </row>
    <row r="11869" spans="1:24">
      <c r="A11869">
        <f>HYPERLINK("https://www.philgeps.gov.ph/GEPSNONPILOT/Tender/SplashBidNoticeAbstractUI.aspx?menuIndex=3&amp;refID=7124325&amp;Result=3","7124325")</f>
        <v>0</v>
      </c>
      <c r="B11869" t="s">
        <v>1023</v>
      </c>
      <c r="C11869" t="s">
        <v>15040</v>
      </c>
      <c r="D11869" t="s">
        <v>17978</v>
      </c>
      <c r="E11869" t="s">
        <v>28297</v>
      </c>
      <c r="F11869" t="s">
        <v>30900</v>
      </c>
      <c r="G11869" t="s">
        <v>30907</v>
      </c>
      <c r="H11869" t="s">
        <v>30916</v>
      </c>
      <c r="I11869" t="s">
        <v>6953</v>
      </c>
      <c r="J11869" t="s">
        <v>38444</v>
      </c>
      <c r="K11869" t="s">
        <v>40280</v>
      </c>
      <c r="M11869" t="s">
        <v>43375</v>
      </c>
      <c r="N11869" t="s">
        <v>44759</v>
      </c>
      <c r="O11869" t="s">
        <v>44760</v>
      </c>
      <c r="Q11869">
        <v>4</v>
      </c>
      <c r="R11869" t="s">
        <v>44775</v>
      </c>
      <c r="S11869" t="s">
        <v>45388</v>
      </c>
      <c r="T11869" t="s">
        <v>46895</v>
      </c>
      <c r="U11869" t="s">
        <v>56685</v>
      </c>
      <c r="V11869" t="s">
        <v>60469</v>
      </c>
      <c r="W11869" t="s">
        <v>43375</v>
      </c>
      <c r="X11869" t="s">
        <v>44776</v>
      </c>
    </row>
    <row r="11870" spans="1:24">
      <c r="A11870">
        <f>HYPERLINK("https://www.philgeps.gov.ph/GEPSNONPILOT/Tender/SplashBidNoticeAbstractUI.aspx?menuIndex=3&amp;refID=7124198&amp;Result=3","7124198")</f>
        <v>0</v>
      </c>
      <c r="B11870" t="s">
        <v>3420</v>
      </c>
      <c r="C11870" t="s">
        <v>15041</v>
      </c>
      <c r="D11870" t="s">
        <v>18025</v>
      </c>
      <c r="E11870" t="s">
        <v>28298</v>
      </c>
      <c r="F11870" t="s">
        <v>30900</v>
      </c>
      <c r="G11870" t="s">
        <v>30907</v>
      </c>
      <c r="H11870" t="s">
        <v>30915</v>
      </c>
      <c r="I11870" t="s">
        <v>4965</v>
      </c>
      <c r="J11870" t="s">
        <v>38445</v>
      </c>
      <c r="K11870" t="s">
        <v>40531</v>
      </c>
      <c r="M11870" t="s">
        <v>44299</v>
      </c>
      <c r="N11870" t="s">
        <v>44759</v>
      </c>
      <c r="O11870" t="s">
        <v>44760</v>
      </c>
      <c r="Q11870">
        <v>18</v>
      </c>
      <c r="R11870" t="s">
        <v>44775</v>
      </c>
      <c r="S11870" t="s">
        <v>45389</v>
      </c>
      <c r="T11870" t="s">
        <v>46472</v>
      </c>
      <c r="U11870" t="s">
        <v>56708</v>
      </c>
      <c r="W11870" t="s">
        <v>44299</v>
      </c>
      <c r="X11870" t="s">
        <v>44776</v>
      </c>
    </row>
    <row r="11871" spans="1:24">
      <c r="A11871">
        <f>HYPERLINK("https://www.philgeps.gov.ph/GEPSNONPILOT/Tender/SplashBidNoticeAbstractUI.aspx?menuIndex=3&amp;refID=7124302&amp;Result=3","7124302")</f>
        <v>0</v>
      </c>
      <c r="B11871" t="s">
        <v>1978</v>
      </c>
      <c r="C11871" t="s">
        <v>15042</v>
      </c>
      <c r="D11871" t="s">
        <v>17993</v>
      </c>
      <c r="E11871" t="s">
        <v>28299</v>
      </c>
      <c r="F11871" t="s">
        <v>30900</v>
      </c>
      <c r="G11871" t="s">
        <v>30907</v>
      </c>
      <c r="H11871" t="s">
        <v>30916</v>
      </c>
      <c r="I11871" t="s">
        <v>30933</v>
      </c>
      <c r="J11871" t="s">
        <v>32616</v>
      </c>
      <c r="K11871" t="s">
        <v>40289</v>
      </c>
      <c r="M11871" t="s">
        <v>42667</v>
      </c>
      <c r="N11871" t="s">
        <v>44759</v>
      </c>
      <c r="O11871" t="s">
        <v>44760</v>
      </c>
      <c r="P11871">
        <v>0</v>
      </c>
      <c r="Q11871">
        <v>13</v>
      </c>
      <c r="R11871" t="s">
        <v>44775</v>
      </c>
      <c r="S11871" t="s">
        <v>45343</v>
      </c>
      <c r="T11871" t="s">
        <v>46352</v>
      </c>
      <c r="U11871" t="s">
        <v>56709</v>
      </c>
      <c r="W11871" t="s">
        <v>42667</v>
      </c>
      <c r="X11871" t="s">
        <v>44776</v>
      </c>
    </row>
    <row r="11872" spans="1:24">
      <c r="A11872">
        <f>HYPERLINK("https://www.philgeps.gov.ph/GEPSNONPILOT/Tender/SplashBidNoticeAbstractUI.aspx?menuIndex=3&amp;refID=7123651&amp;Result=3","7123651")</f>
        <v>0</v>
      </c>
      <c r="B11872" t="s">
        <v>892</v>
      </c>
      <c r="C11872" t="s">
        <v>11182</v>
      </c>
      <c r="D11872" t="s">
        <v>17978</v>
      </c>
      <c r="E11872" t="s">
        <v>28300</v>
      </c>
      <c r="F11872" t="s">
        <v>30900</v>
      </c>
      <c r="G11872" t="s">
        <v>30907</v>
      </c>
      <c r="H11872" t="s">
        <v>30916</v>
      </c>
      <c r="I11872" t="s">
        <v>4017</v>
      </c>
      <c r="J11872" t="s">
        <v>31271</v>
      </c>
      <c r="K11872" t="s">
        <v>40286</v>
      </c>
      <c r="M11872" t="s">
        <v>41466</v>
      </c>
      <c r="N11872" t="s">
        <v>44759</v>
      </c>
      <c r="O11872" t="s">
        <v>44760</v>
      </c>
      <c r="P11872">
        <v>0</v>
      </c>
      <c r="Q11872">
        <v>3</v>
      </c>
      <c r="R11872" t="s">
        <v>44775</v>
      </c>
      <c r="S11872" t="s">
        <v>45343</v>
      </c>
      <c r="T11872" t="s">
        <v>46425</v>
      </c>
      <c r="U11872" t="s">
        <v>56710</v>
      </c>
      <c r="W11872" t="s">
        <v>41466</v>
      </c>
      <c r="X11872" t="s">
        <v>44776</v>
      </c>
    </row>
    <row r="11873" spans="1:24">
      <c r="A11873">
        <f>HYPERLINK("https://www.philgeps.gov.ph/GEPSNONPILOT/Tender/SplashBidNoticeAbstractUI.aspx?menuIndex=3&amp;refID=7124358&amp;Result=3","7124358")</f>
        <v>0</v>
      </c>
      <c r="B11873" t="s">
        <v>2462</v>
      </c>
      <c r="C11873" t="s">
        <v>15043</v>
      </c>
      <c r="D11873" t="s">
        <v>17964</v>
      </c>
      <c r="E11873" t="s">
        <v>28301</v>
      </c>
      <c r="F11873" t="s">
        <v>30900</v>
      </c>
      <c r="G11873" t="s">
        <v>30907</v>
      </c>
      <c r="H11873" t="s">
        <v>30916</v>
      </c>
      <c r="I11873" t="s">
        <v>30926</v>
      </c>
      <c r="J11873" t="s">
        <v>38446</v>
      </c>
      <c r="K11873" t="s">
        <v>40286</v>
      </c>
      <c r="M11873" t="s">
        <v>43199</v>
      </c>
      <c r="N11873" t="s">
        <v>44759</v>
      </c>
      <c r="O11873" t="s">
        <v>44760</v>
      </c>
      <c r="Q11873">
        <v>4</v>
      </c>
      <c r="R11873" t="s">
        <v>44775</v>
      </c>
      <c r="S11873" t="s">
        <v>45390</v>
      </c>
      <c r="T11873" t="s">
        <v>46409</v>
      </c>
      <c r="U11873" t="s">
        <v>56711</v>
      </c>
      <c r="W11873" t="s">
        <v>43199</v>
      </c>
      <c r="X11873" t="s">
        <v>44776</v>
      </c>
    </row>
    <row r="11874" spans="1:24">
      <c r="A11874">
        <f>HYPERLINK("https://www.philgeps.gov.ph/GEPSNONPILOT/Tender/SplashBidNoticeAbstractUI.aspx?menuIndex=3&amp;refID=7124341&amp;Result=3","7124341")</f>
        <v>0</v>
      </c>
      <c r="B11874" t="s">
        <v>1978</v>
      </c>
      <c r="C11874" t="s">
        <v>15044</v>
      </c>
      <c r="D11874" t="s">
        <v>17993</v>
      </c>
      <c r="E11874" t="s">
        <v>28302</v>
      </c>
      <c r="F11874" t="s">
        <v>30900</v>
      </c>
      <c r="G11874" t="s">
        <v>30907</v>
      </c>
      <c r="H11874" t="s">
        <v>30916</v>
      </c>
      <c r="I11874" t="s">
        <v>7708</v>
      </c>
      <c r="J11874" t="s">
        <v>38447</v>
      </c>
      <c r="K11874" t="s">
        <v>40289</v>
      </c>
      <c r="M11874" t="s">
        <v>42667</v>
      </c>
      <c r="N11874" t="s">
        <v>44759</v>
      </c>
      <c r="O11874" t="s">
        <v>44760</v>
      </c>
      <c r="P11874">
        <v>0</v>
      </c>
      <c r="Q11874">
        <v>12</v>
      </c>
      <c r="R11874" t="s">
        <v>44775</v>
      </c>
      <c r="S11874" t="s">
        <v>45343</v>
      </c>
      <c r="T11874" t="s">
        <v>46352</v>
      </c>
      <c r="U11874" t="s">
        <v>56712</v>
      </c>
      <c r="W11874" t="s">
        <v>42667</v>
      </c>
      <c r="X11874" t="s">
        <v>44776</v>
      </c>
    </row>
    <row r="11875" spans="1:24">
      <c r="A11875">
        <f>HYPERLINK("https://www.philgeps.gov.ph/GEPSNONPILOT/Tender/SplashBidNoticeAbstractUI.aspx?menuIndex=3&amp;refID=7124303&amp;Result=3","7124303")</f>
        <v>0</v>
      </c>
      <c r="B11875" t="s">
        <v>492</v>
      </c>
      <c r="C11875" t="s">
        <v>15045</v>
      </c>
      <c r="D11875" t="s">
        <v>18018</v>
      </c>
      <c r="E11875" t="s">
        <v>28303</v>
      </c>
      <c r="F11875" t="s">
        <v>30900</v>
      </c>
      <c r="G11875" t="s">
        <v>30907</v>
      </c>
      <c r="H11875" t="s">
        <v>30915</v>
      </c>
      <c r="I11875" t="s">
        <v>30919</v>
      </c>
      <c r="J11875" t="s">
        <v>38448</v>
      </c>
      <c r="K11875" t="s">
        <v>40337</v>
      </c>
      <c r="M11875" t="s">
        <v>41051</v>
      </c>
      <c r="N11875" t="s">
        <v>44759</v>
      </c>
      <c r="O11875" t="s">
        <v>44760</v>
      </c>
      <c r="P11875">
        <v>0</v>
      </c>
      <c r="Q11875">
        <v>0</v>
      </c>
      <c r="R11875" t="s">
        <v>44775</v>
      </c>
      <c r="S11875" t="s">
        <v>45343</v>
      </c>
      <c r="T11875" t="s">
        <v>46887</v>
      </c>
      <c r="U11875" t="s">
        <v>56713</v>
      </c>
      <c r="W11875" t="s">
        <v>41051</v>
      </c>
      <c r="X11875" t="s">
        <v>44776</v>
      </c>
    </row>
    <row r="11876" spans="1:24">
      <c r="A11876">
        <f>HYPERLINK("https://www.philgeps.gov.ph/GEPSNONPILOT/Tender/SplashBidNoticeAbstractUI.aspx?menuIndex=3&amp;refID=7124348&amp;Result=3","7124348")</f>
        <v>0</v>
      </c>
      <c r="B11876" t="s">
        <v>2542</v>
      </c>
      <c r="C11876" t="s">
        <v>15046</v>
      </c>
      <c r="E11876" t="s">
        <v>28304</v>
      </c>
      <c r="F11876" t="s">
        <v>30900</v>
      </c>
      <c r="G11876" t="s">
        <v>30907</v>
      </c>
      <c r="H11876" t="s">
        <v>30915</v>
      </c>
      <c r="I11876" t="s">
        <v>30919</v>
      </c>
      <c r="J11876" t="s">
        <v>38449</v>
      </c>
      <c r="K11876" t="s">
        <v>40289</v>
      </c>
      <c r="M11876" t="s">
        <v>43299</v>
      </c>
      <c r="N11876" t="s">
        <v>44759</v>
      </c>
      <c r="O11876" t="s">
        <v>44760</v>
      </c>
      <c r="Q11876">
        <v>51</v>
      </c>
      <c r="R11876" t="s">
        <v>44775</v>
      </c>
      <c r="S11876" t="s">
        <v>45314</v>
      </c>
      <c r="T11876" t="s">
        <v>46429</v>
      </c>
      <c r="U11876" t="s">
        <v>55002</v>
      </c>
      <c r="W11876" t="s">
        <v>60910</v>
      </c>
      <c r="X11876" t="s">
        <v>44776</v>
      </c>
    </row>
    <row r="11877" spans="1:24">
      <c r="A11877">
        <f>HYPERLINK("https://www.philgeps.gov.ph/GEPSNONPILOT/Tender/SplashBidNoticeAbstractUI.aspx?menuIndex=3&amp;refID=7124492&amp;Result=3","7124492")</f>
        <v>0</v>
      </c>
      <c r="B11877" t="s">
        <v>3421</v>
      </c>
      <c r="C11877" t="s">
        <v>8615</v>
      </c>
      <c r="D11877" t="s">
        <v>17963</v>
      </c>
      <c r="E11877" t="s">
        <v>26648</v>
      </c>
      <c r="F11877" t="s">
        <v>30900</v>
      </c>
      <c r="G11877" t="s">
        <v>30907</v>
      </c>
      <c r="H11877" t="s">
        <v>30915</v>
      </c>
      <c r="I11877" t="s">
        <v>30919</v>
      </c>
      <c r="J11877" t="s">
        <v>38450</v>
      </c>
      <c r="K11877" t="s">
        <v>40283</v>
      </c>
      <c r="M11877" t="s">
        <v>44300</v>
      </c>
      <c r="N11877" t="s">
        <v>44759</v>
      </c>
      <c r="O11877" t="s">
        <v>44760</v>
      </c>
      <c r="P11877">
        <v>0</v>
      </c>
      <c r="Q11877">
        <v>2</v>
      </c>
      <c r="R11877" t="s">
        <v>44775</v>
      </c>
      <c r="S11877" t="s">
        <v>45343</v>
      </c>
      <c r="T11877" t="s">
        <v>46704</v>
      </c>
      <c r="U11877" t="s">
        <v>56714</v>
      </c>
      <c r="W11877" t="s">
        <v>44300</v>
      </c>
      <c r="X11877" t="s">
        <v>44776</v>
      </c>
    </row>
    <row r="11878" spans="1:24">
      <c r="A11878">
        <f>HYPERLINK("https://www.philgeps.gov.ph/GEPSNONPILOT/Tender/SplashBidNoticeAbstractUI.aspx?menuIndex=3&amp;refID=7124270&amp;Result=3","7124270")</f>
        <v>0</v>
      </c>
      <c r="B11878" t="s">
        <v>2764</v>
      </c>
      <c r="C11878" t="s">
        <v>15047</v>
      </c>
      <c r="D11878" t="s">
        <v>17957</v>
      </c>
      <c r="E11878" t="s">
        <v>19755</v>
      </c>
      <c r="F11878" t="s">
        <v>30900</v>
      </c>
      <c r="G11878" t="s">
        <v>30907</v>
      </c>
      <c r="H11878" t="s">
        <v>30915</v>
      </c>
      <c r="I11878" t="s">
        <v>30919</v>
      </c>
      <c r="J11878" t="s">
        <v>38451</v>
      </c>
      <c r="K11878" t="s">
        <v>40301</v>
      </c>
      <c r="M11878" t="s">
        <v>43542</v>
      </c>
      <c r="N11878" t="s">
        <v>44759</v>
      </c>
      <c r="O11878" t="s">
        <v>44760</v>
      </c>
      <c r="P11878">
        <v>0</v>
      </c>
      <c r="Q11878">
        <v>2</v>
      </c>
      <c r="R11878" t="s">
        <v>44775</v>
      </c>
      <c r="S11878" t="s">
        <v>45343</v>
      </c>
      <c r="T11878" t="s">
        <v>46409</v>
      </c>
      <c r="U11878" t="s">
        <v>56715</v>
      </c>
      <c r="W11878" t="s">
        <v>43542</v>
      </c>
      <c r="X11878" t="s">
        <v>44776</v>
      </c>
    </row>
    <row r="11879" spans="1:24">
      <c r="A11879">
        <f>HYPERLINK("https://www.philgeps.gov.ph/GEPSNONPILOT/Tender/SplashBidNoticeAbstractUI.aspx?menuIndex=3&amp;refID=7124104&amp;Result=3","7124104")</f>
        <v>0</v>
      </c>
      <c r="B11879" t="s">
        <v>3407</v>
      </c>
      <c r="C11879" t="s">
        <v>15048</v>
      </c>
      <c r="D11879" t="s">
        <v>18015</v>
      </c>
      <c r="E11879" t="s">
        <v>28305</v>
      </c>
      <c r="F11879" t="s">
        <v>30900</v>
      </c>
      <c r="G11879" t="s">
        <v>30907</v>
      </c>
      <c r="H11879" t="s">
        <v>30916</v>
      </c>
      <c r="I11879" t="s">
        <v>8123</v>
      </c>
      <c r="J11879" t="s">
        <v>38416</v>
      </c>
      <c r="K11879" t="s">
        <v>40286</v>
      </c>
      <c r="M11879" t="s">
        <v>44284</v>
      </c>
      <c r="N11879" t="s">
        <v>44759</v>
      </c>
      <c r="O11879" t="s">
        <v>44760</v>
      </c>
      <c r="P11879">
        <v>0</v>
      </c>
      <c r="Q11879">
        <v>0</v>
      </c>
      <c r="R11879" t="s">
        <v>44775</v>
      </c>
      <c r="S11879" t="s">
        <v>45343</v>
      </c>
      <c r="T11879" t="s">
        <v>46389</v>
      </c>
      <c r="U11879" t="s">
        <v>56651</v>
      </c>
      <c r="V11879" t="s">
        <v>60464</v>
      </c>
      <c r="W11879" t="s">
        <v>44284</v>
      </c>
      <c r="X11879" t="s">
        <v>44776</v>
      </c>
    </row>
    <row r="11880" spans="1:24">
      <c r="A11880">
        <f>HYPERLINK("https://www.philgeps.gov.ph/GEPSNONPILOT/Tender/SplashBidNoticeAbstractUI.aspx?menuIndex=3&amp;refID=7124277&amp;Result=3","7124277")</f>
        <v>0</v>
      </c>
      <c r="B11880" t="s">
        <v>2456</v>
      </c>
      <c r="C11880" t="s">
        <v>15049</v>
      </c>
      <c r="D11880" t="s">
        <v>17998</v>
      </c>
      <c r="E11880" t="s">
        <v>24349</v>
      </c>
      <c r="F11880" t="s">
        <v>30900</v>
      </c>
      <c r="G11880" t="s">
        <v>30907</v>
      </c>
      <c r="H11880" t="s">
        <v>30916</v>
      </c>
      <c r="I11880" t="s">
        <v>10847</v>
      </c>
      <c r="J11880" t="s">
        <v>31370</v>
      </c>
      <c r="K11880" t="s">
        <v>40284</v>
      </c>
      <c r="M11880" t="s">
        <v>43193</v>
      </c>
      <c r="N11880" t="s">
        <v>44759</v>
      </c>
      <c r="O11880" t="s">
        <v>44760</v>
      </c>
      <c r="P11880">
        <v>0</v>
      </c>
      <c r="Q11880">
        <v>1</v>
      </c>
      <c r="R11880" t="s">
        <v>44775</v>
      </c>
      <c r="S11880" t="s">
        <v>45343</v>
      </c>
      <c r="T11880" t="s">
        <v>46409</v>
      </c>
      <c r="U11880" t="s">
        <v>52923</v>
      </c>
      <c r="W11880" t="s">
        <v>43193</v>
      </c>
      <c r="X11880" t="s">
        <v>44776</v>
      </c>
    </row>
    <row r="11881" spans="1:24">
      <c r="A11881">
        <f>HYPERLINK("https://www.philgeps.gov.ph/GEPSNONPILOT/Tender/SplashBidNoticeAbstractUI.aspx?menuIndex=3&amp;refID=7124457&amp;Result=3","7124457")</f>
        <v>0</v>
      </c>
      <c r="B11881" t="s">
        <v>3422</v>
      </c>
      <c r="C11881" t="s">
        <v>15050</v>
      </c>
      <c r="D11881" t="s">
        <v>17964</v>
      </c>
      <c r="E11881" t="s">
        <v>22943</v>
      </c>
      <c r="F11881" t="s">
        <v>30900</v>
      </c>
      <c r="G11881" t="s">
        <v>30907</v>
      </c>
      <c r="H11881" t="s">
        <v>30915</v>
      </c>
      <c r="I11881" t="s">
        <v>30919</v>
      </c>
      <c r="J11881" t="s">
        <v>31069</v>
      </c>
      <c r="K11881" t="s">
        <v>40392</v>
      </c>
      <c r="M11881" t="s">
        <v>44301</v>
      </c>
      <c r="N11881" t="s">
        <v>44759</v>
      </c>
      <c r="O11881" t="s">
        <v>44760</v>
      </c>
      <c r="P11881">
        <v>0</v>
      </c>
      <c r="Q11881">
        <v>1</v>
      </c>
      <c r="R11881" t="s">
        <v>44775</v>
      </c>
      <c r="S11881" t="s">
        <v>45343</v>
      </c>
      <c r="T11881" t="s">
        <v>46351</v>
      </c>
      <c r="U11881" t="s">
        <v>56716</v>
      </c>
      <c r="W11881" t="s">
        <v>44301</v>
      </c>
      <c r="X11881" t="s">
        <v>44776</v>
      </c>
    </row>
    <row r="11882" spans="1:24">
      <c r="A11882">
        <f>HYPERLINK("https://www.philgeps.gov.ph/GEPSNONPILOT/Tender/SplashBidNoticeAbstractUI.aspx?menuIndex=3&amp;refID=7124465&amp;Result=3","7124465")</f>
        <v>0</v>
      </c>
      <c r="B11882" t="s">
        <v>3423</v>
      </c>
      <c r="C11882" t="s">
        <v>15051</v>
      </c>
      <c r="D11882" t="s">
        <v>17952</v>
      </c>
      <c r="E11882" t="s">
        <v>18149</v>
      </c>
      <c r="F11882" t="s">
        <v>30900</v>
      </c>
      <c r="G11882" t="s">
        <v>30907</v>
      </c>
      <c r="H11882" t="s">
        <v>30916</v>
      </c>
      <c r="I11882" t="s">
        <v>8123</v>
      </c>
      <c r="J11882" t="s">
        <v>31204</v>
      </c>
      <c r="K11882" t="s">
        <v>40283</v>
      </c>
      <c r="M11882" t="s">
        <v>44302</v>
      </c>
      <c r="N11882" t="s">
        <v>44759</v>
      </c>
      <c r="O11882" t="s">
        <v>44760</v>
      </c>
      <c r="P11882">
        <v>0</v>
      </c>
      <c r="Q11882">
        <v>0</v>
      </c>
      <c r="R11882" t="s">
        <v>44775</v>
      </c>
      <c r="S11882" t="s">
        <v>45343</v>
      </c>
      <c r="T11882" t="s">
        <v>46625</v>
      </c>
      <c r="U11882" t="s">
        <v>56717</v>
      </c>
      <c r="W11882" t="s">
        <v>44302</v>
      </c>
      <c r="X11882" t="s">
        <v>44776</v>
      </c>
    </row>
    <row r="11883" spans="1:24">
      <c r="A11883">
        <f>HYPERLINK("https://www.philgeps.gov.ph/GEPSNONPILOT/Tender/SplashBidNoticeAbstractUI.aspx?menuIndex=3&amp;refID=7124461&amp;Result=3","7124461")</f>
        <v>0</v>
      </c>
      <c r="B11883" t="s">
        <v>3411</v>
      </c>
      <c r="C11883" t="s">
        <v>15052</v>
      </c>
      <c r="D11883" t="s">
        <v>17959</v>
      </c>
      <c r="E11883" t="s">
        <v>28306</v>
      </c>
      <c r="F11883" t="s">
        <v>30899</v>
      </c>
      <c r="G11883" t="s">
        <v>30907</v>
      </c>
      <c r="H11883" t="s">
        <v>30916</v>
      </c>
      <c r="I11883" t="s">
        <v>4545</v>
      </c>
      <c r="J11883" t="s">
        <v>32664</v>
      </c>
      <c r="K11883" t="s">
        <v>40283</v>
      </c>
      <c r="M11883" t="s">
        <v>44288</v>
      </c>
      <c r="N11883" t="s">
        <v>44759</v>
      </c>
      <c r="O11883" t="s">
        <v>44760</v>
      </c>
      <c r="P11883">
        <v>0</v>
      </c>
      <c r="Q11883">
        <v>3</v>
      </c>
      <c r="R11883" t="s">
        <v>44775</v>
      </c>
      <c r="S11883" t="s">
        <v>45343</v>
      </c>
      <c r="T11883" t="s">
        <v>46542</v>
      </c>
      <c r="U11883" t="s">
        <v>56718</v>
      </c>
      <c r="W11883" t="s">
        <v>44288</v>
      </c>
      <c r="X11883" t="s">
        <v>44776</v>
      </c>
    </row>
    <row r="11884" spans="1:24">
      <c r="A11884">
        <f>HYPERLINK("https://www.philgeps.gov.ph/GEPSNONPILOT/Tender/SplashBidNoticeAbstractUI.aspx?menuIndex=3&amp;refID=7124450&amp;Result=3","7124450")</f>
        <v>0</v>
      </c>
      <c r="B11884" t="s">
        <v>3310</v>
      </c>
      <c r="C11884" t="s">
        <v>15053</v>
      </c>
      <c r="D11884" t="s">
        <v>17978</v>
      </c>
      <c r="E11884" t="s">
        <v>27670</v>
      </c>
      <c r="F11884" t="s">
        <v>30900</v>
      </c>
      <c r="G11884" t="s">
        <v>30907</v>
      </c>
      <c r="H11884" t="s">
        <v>30915</v>
      </c>
      <c r="I11884" t="s">
        <v>30919</v>
      </c>
      <c r="J11884" t="s">
        <v>31101</v>
      </c>
      <c r="K11884" t="s">
        <v>40286</v>
      </c>
      <c r="M11884" t="s">
        <v>44165</v>
      </c>
      <c r="N11884" t="s">
        <v>44759</v>
      </c>
      <c r="O11884" t="s">
        <v>44760</v>
      </c>
      <c r="P11884">
        <v>0</v>
      </c>
      <c r="Q11884">
        <v>1</v>
      </c>
      <c r="R11884" t="s">
        <v>44775</v>
      </c>
      <c r="S11884" t="s">
        <v>45343</v>
      </c>
      <c r="T11884" t="s">
        <v>46409</v>
      </c>
      <c r="U11884" t="s">
        <v>56719</v>
      </c>
      <c r="V11884" t="s">
        <v>59692</v>
      </c>
      <c r="W11884" t="s">
        <v>44165</v>
      </c>
      <c r="X11884" t="s">
        <v>44776</v>
      </c>
    </row>
    <row r="11885" spans="1:24">
      <c r="A11885">
        <f>HYPERLINK("https://www.philgeps.gov.ph/GEPSNONPILOT/Tender/SplashBidNoticeAbstractUI.aspx?menuIndex=3&amp;refID=7124431&amp;Result=3","7124431")</f>
        <v>0</v>
      </c>
      <c r="B11885" t="s">
        <v>3310</v>
      </c>
      <c r="C11885" t="s">
        <v>4678</v>
      </c>
      <c r="D11885" t="s">
        <v>17978</v>
      </c>
      <c r="E11885" t="s">
        <v>27670</v>
      </c>
      <c r="F11885" t="s">
        <v>30900</v>
      </c>
      <c r="G11885" t="s">
        <v>30907</v>
      </c>
      <c r="H11885" t="s">
        <v>30915</v>
      </c>
      <c r="I11885" t="s">
        <v>30919</v>
      </c>
      <c r="J11885" t="s">
        <v>31105</v>
      </c>
      <c r="K11885" t="s">
        <v>40286</v>
      </c>
      <c r="M11885" t="s">
        <v>44165</v>
      </c>
      <c r="N11885" t="s">
        <v>44759</v>
      </c>
      <c r="O11885" t="s">
        <v>44760</v>
      </c>
      <c r="P11885">
        <v>0</v>
      </c>
      <c r="Q11885">
        <v>1</v>
      </c>
      <c r="R11885" t="s">
        <v>44775</v>
      </c>
      <c r="S11885" t="s">
        <v>45343</v>
      </c>
      <c r="T11885" t="s">
        <v>46409</v>
      </c>
      <c r="U11885" t="s">
        <v>56720</v>
      </c>
      <c r="V11885" t="s">
        <v>59692</v>
      </c>
      <c r="W11885" t="s">
        <v>44165</v>
      </c>
      <c r="X11885" t="s">
        <v>44776</v>
      </c>
    </row>
    <row r="11886" spans="1:24">
      <c r="A11886">
        <f>HYPERLINK("https://www.philgeps.gov.ph/GEPSNONPILOT/Tender/SplashBidNoticeAbstractUI.aspx?menuIndex=3&amp;refID=7124459&amp;Result=3","7124459")</f>
        <v>0</v>
      </c>
      <c r="B11886" t="s">
        <v>629</v>
      </c>
      <c r="C11886" t="s">
        <v>15054</v>
      </c>
      <c r="D11886" t="s">
        <v>17992</v>
      </c>
      <c r="E11886" t="s">
        <v>28307</v>
      </c>
      <c r="F11886" t="s">
        <v>30900</v>
      </c>
      <c r="G11886" t="s">
        <v>30907</v>
      </c>
      <c r="H11886" t="s">
        <v>30916</v>
      </c>
      <c r="I11886" t="s">
        <v>30918</v>
      </c>
      <c r="J11886" t="s">
        <v>38452</v>
      </c>
      <c r="K11886" t="s">
        <v>40280</v>
      </c>
      <c r="M11886" t="s">
        <v>41191</v>
      </c>
      <c r="N11886" t="s">
        <v>44759</v>
      </c>
      <c r="O11886" t="s">
        <v>44760</v>
      </c>
      <c r="P11886">
        <v>0</v>
      </c>
      <c r="Q11886">
        <v>6</v>
      </c>
      <c r="R11886" t="s">
        <v>44775</v>
      </c>
      <c r="S11886" t="s">
        <v>45343</v>
      </c>
      <c r="T11886" t="s">
        <v>46613</v>
      </c>
      <c r="U11886" t="s">
        <v>56721</v>
      </c>
      <c r="V11886" t="s">
        <v>59226</v>
      </c>
      <c r="W11886" t="s">
        <v>41191</v>
      </c>
      <c r="X11886" t="s">
        <v>44776</v>
      </c>
    </row>
    <row r="11887" spans="1:24">
      <c r="A11887">
        <f>HYPERLINK("https://www.philgeps.gov.ph/GEPSNONPILOT/Tender/SplashBidNoticeAbstractUI.aspx?menuIndex=3&amp;refID=7124420&amp;Result=3","7124420")</f>
        <v>0</v>
      </c>
      <c r="B11887" t="s">
        <v>888</v>
      </c>
      <c r="C11887" t="s">
        <v>15055</v>
      </c>
      <c r="D11887" t="s">
        <v>17951</v>
      </c>
      <c r="E11887" t="s">
        <v>28308</v>
      </c>
      <c r="F11887" t="s">
        <v>30900</v>
      </c>
      <c r="G11887" t="s">
        <v>30907</v>
      </c>
      <c r="H11887" t="s">
        <v>30916</v>
      </c>
      <c r="I11887" t="s">
        <v>4545</v>
      </c>
      <c r="J11887" t="s">
        <v>31288</v>
      </c>
      <c r="K11887" t="s">
        <v>40286</v>
      </c>
      <c r="M11887" t="s">
        <v>41461</v>
      </c>
      <c r="N11887" t="s">
        <v>44759</v>
      </c>
      <c r="O11887" t="s">
        <v>44760</v>
      </c>
      <c r="P11887">
        <v>0</v>
      </c>
      <c r="Q11887">
        <v>8</v>
      </c>
      <c r="R11887" t="s">
        <v>44775</v>
      </c>
      <c r="S11887" t="s">
        <v>45343</v>
      </c>
      <c r="T11887" t="s">
        <v>46422</v>
      </c>
      <c r="U11887" t="s">
        <v>56722</v>
      </c>
      <c r="V11887" t="s">
        <v>60473</v>
      </c>
      <c r="W11887" t="s">
        <v>41461</v>
      </c>
      <c r="X11887" t="s">
        <v>44776</v>
      </c>
    </row>
    <row r="11888" spans="1:24">
      <c r="A11888">
        <f>HYPERLINK("https://www.philgeps.gov.ph/GEPSNONPILOT/Tender/SplashBidNoticeAbstractUI.aspx?menuIndex=3&amp;refID=7124469&amp;Result=3","7124469")</f>
        <v>0</v>
      </c>
      <c r="B11888" t="s">
        <v>888</v>
      </c>
      <c r="C11888" t="s">
        <v>15056</v>
      </c>
      <c r="D11888" t="s">
        <v>17951</v>
      </c>
      <c r="E11888" t="s">
        <v>28309</v>
      </c>
      <c r="F11888" t="s">
        <v>30900</v>
      </c>
      <c r="G11888" t="s">
        <v>30907</v>
      </c>
      <c r="H11888" t="s">
        <v>30916</v>
      </c>
      <c r="I11888" t="s">
        <v>30934</v>
      </c>
      <c r="J11888" t="s">
        <v>38453</v>
      </c>
      <c r="K11888" t="s">
        <v>40286</v>
      </c>
      <c r="M11888" t="s">
        <v>41461</v>
      </c>
      <c r="N11888" t="s">
        <v>44759</v>
      </c>
      <c r="O11888" t="s">
        <v>44760</v>
      </c>
      <c r="P11888">
        <v>0</v>
      </c>
      <c r="Q11888">
        <v>1</v>
      </c>
      <c r="R11888" t="s">
        <v>44775</v>
      </c>
      <c r="S11888" t="s">
        <v>45343</v>
      </c>
      <c r="T11888" t="s">
        <v>46422</v>
      </c>
      <c r="U11888" t="s">
        <v>56723</v>
      </c>
      <c r="V11888" t="s">
        <v>60474</v>
      </c>
      <c r="W11888" t="s">
        <v>41461</v>
      </c>
      <c r="X11888" t="s">
        <v>44776</v>
      </c>
    </row>
    <row r="11889" spans="1:24">
      <c r="A11889">
        <f>HYPERLINK("https://www.philgeps.gov.ph/GEPSNONPILOT/Tender/SplashBidNoticeAbstractUI.aspx?menuIndex=3&amp;refID=7124447&amp;Result=3","7124447")</f>
        <v>0</v>
      </c>
      <c r="B11889" t="s">
        <v>3411</v>
      </c>
      <c r="C11889" t="s">
        <v>15057</v>
      </c>
      <c r="D11889" t="s">
        <v>17959</v>
      </c>
      <c r="E11889" t="s">
        <v>28310</v>
      </c>
      <c r="F11889" t="s">
        <v>30899</v>
      </c>
      <c r="G11889" t="s">
        <v>30907</v>
      </c>
      <c r="H11889" t="s">
        <v>30916</v>
      </c>
      <c r="I11889" t="s">
        <v>30952</v>
      </c>
      <c r="J11889" t="s">
        <v>35402</v>
      </c>
      <c r="K11889" t="s">
        <v>40283</v>
      </c>
      <c r="M11889" t="s">
        <v>44288</v>
      </c>
      <c r="N11889" t="s">
        <v>44759</v>
      </c>
      <c r="O11889" t="s">
        <v>44760</v>
      </c>
      <c r="P11889">
        <v>0</v>
      </c>
      <c r="Q11889">
        <v>5</v>
      </c>
      <c r="R11889" t="s">
        <v>44775</v>
      </c>
      <c r="S11889" t="s">
        <v>45343</v>
      </c>
      <c r="T11889" t="s">
        <v>46409</v>
      </c>
      <c r="U11889" t="s">
        <v>56724</v>
      </c>
      <c r="W11889" t="s">
        <v>44288</v>
      </c>
      <c r="X11889" t="s">
        <v>44776</v>
      </c>
    </row>
    <row r="11890" spans="1:24">
      <c r="A11890">
        <f>HYPERLINK("https://www.philgeps.gov.ph/GEPSNONPILOT/Tender/SplashBidNoticeAbstractUI.aspx?menuIndex=3&amp;refID=7124440&amp;Result=3","7124440")</f>
        <v>0</v>
      </c>
      <c r="B11890" t="s">
        <v>888</v>
      </c>
      <c r="C11890" t="s">
        <v>15058</v>
      </c>
      <c r="D11890" t="s">
        <v>17951</v>
      </c>
      <c r="E11890" t="s">
        <v>28311</v>
      </c>
      <c r="F11890" t="s">
        <v>30900</v>
      </c>
      <c r="G11890" t="s">
        <v>30907</v>
      </c>
      <c r="H11890" t="s">
        <v>30916</v>
      </c>
      <c r="I11890" t="s">
        <v>4545</v>
      </c>
      <c r="J11890" t="s">
        <v>38454</v>
      </c>
      <c r="K11890" t="s">
        <v>40286</v>
      </c>
      <c r="M11890" t="s">
        <v>41461</v>
      </c>
      <c r="N11890" t="s">
        <v>44759</v>
      </c>
      <c r="O11890" t="s">
        <v>44760</v>
      </c>
      <c r="P11890">
        <v>0</v>
      </c>
      <c r="Q11890">
        <v>2</v>
      </c>
      <c r="R11890" t="s">
        <v>44775</v>
      </c>
      <c r="S11890" t="s">
        <v>45343</v>
      </c>
      <c r="T11890" t="s">
        <v>46422</v>
      </c>
      <c r="U11890" t="s">
        <v>56725</v>
      </c>
      <c r="V11890" t="s">
        <v>60475</v>
      </c>
      <c r="W11890" t="s">
        <v>41461</v>
      </c>
      <c r="X11890" t="s">
        <v>44776</v>
      </c>
    </row>
    <row r="11891" spans="1:24">
      <c r="A11891">
        <f>HYPERLINK("https://www.philgeps.gov.ph/GEPSNONPILOT/Tender/SplashBidNoticeAbstractUI.aspx?menuIndex=3&amp;refID=7124620&amp;Result=3","7124620")</f>
        <v>0</v>
      </c>
      <c r="B11891" t="s">
        <v>614</v>
      </c>
      <c r="C11891" t="s">
        <v>15059</v>
      </c>
      <c r="D11891" t="s">
        <v>17996</v>
      </c>
      <c r="E11891" t="s">
        <v>28312</v>
      </c>
      <c r="F11891" t="s">
        <v>30900</v>
      </c>
      <c r="G11891" t="s">
        <v>30907</v>
      </c>
      <c r="H11891" t="s">
        <v>30916</v>
      </c>
      <c r="I11891" t="s">
        <v>30929</v>
      </c>
      <c r="J11891" t="s">
        <v>38455</v>
      </c>
      <c r="K11891" t="s">
        <v>40286</v>
      </c>
      <c r="M11891" t="s">
        <v>41176</v>
      </c>
      <c r="N11891" t="s">
        <v>44759</v>
      </c>
      <c r="O11891" t="s">
        <v>44760</v>
      </c>
      <c r="P11891">
        <v>0</v>
      </c>
      <c r="Q11891">
        <v>29</v>
      </c>
      <c r="R11891" t="s">
        <v>44775</v>
      </c>
      <c r="S11891" t="s">
        <v>45343</v>
      </c>
      <c r="T11891" t="s">
        <v>46389</v>
      </c>
      <c r="U11891" t="s">
        <v>56726</v>
      </c>
      <c r="W11891" t="s">
        <v>41176</v>
      </c>
      <c r="X11891" t="s">
        <v>44776</v>
      </c>
    </row>
    <row r="11892" spans="1:24">
      <c r="A11892">
        <f>HYPERLINK("https://www.philgeps.gov.ph/GEPSNONPILOT/Tender/SplashBidNoticeAbstractUI.aspx?menuIndex=3&amp;refID=7124618&amp;Result=3","7124618")</f>
        <v>0</v>
      </c>
      <c r="B11892" t="s">
        <v>197</v>
      </c>
      <c r="C11892" t="s">
        <v>15060</v>
      </c>
      <c r="D11892" t="s">
        <v>18013</v>
      </c>
      <c r="E11892" t="s">
        <v>28313</v>
      </c>
      <c r="F11892" t="s">
        <v>30900</v>
      </c>
      <c r="G11892" t="s">
        <v>30907</v>
      </c>
      <c r="H11892" t="s">
        <v>30915</v>
      </c>
      <c r="I11892" t="s">
        <v>30919</v>
      </c>
      <c r="J11892" t="s">
        <v>31101</v>
      </c>
      <c r="K11892" t="s">
        <v>40292</v>
      </c>
      <c r="M11892" t="s">
        <v>40744</v>
      </c>
      <c r="N11892" t="s">
        <v>44759</v>
      </c>
      <c r="O11892" t="s">
        <v>44760</v>
      </c>
      <c r="P11892">
        <v>0</v>
      </c>
      <c r="Q11892">
        <v>0</v>
      </c>
      <c r="R11892" t="s">
        <v>44775</v>
      </c>
      <c r="S11892" t="s">
        <v>45343</v>
      </c>
      <c r="T11892" t="s">
        <v>46357</v>
      </c>
      <c r="U11892" t="s">
        <v>56727</v>
      </c>
      <c r="W11892" t="s">
        <v>40744</v>
      </c>
      <c r="X11892" t="s">
        <v>44776</v>
      </c>
    </row>
    <row r="11893" spans="1:24">
      <c r="A11893">
        <f>HYPERLINK("https://www.philgeps.gov.ph/GEPSNONPILOT/Tender/SplashBidNoticeAbstractUI.aspx?menuIndex=3&amp;refID=7124418&amp;Result=3","7124418")</f>
        <v>0</v>
      </c>
      <c r="B11893" t="s">
        <v>180</v>
      </c>
      <c r="C11893" t="s">
        <v>15061</v>
      </c>
      <c r="D11893" t="s">
        <v>17987</v>
      </c>
      <c r="E11893" t="s">
        <v>28314</v>
      </c>
      <c r="F11893" t="s">
        <v>30900</v>
      </c>
      <c r="G11893" t="s">
        <v>30907</v>
      </c>
      <c r="H11893" t="s">
        <v>30916</v>
      </c>
      <c r="I11893" t="s">
        <v>30933</v>
      </c>
      <c r="J11893" t="s">
        <v>31094</v>
      </c>
      <c r="K11893" t="s">
        <v>40289</v>
      </c>
      <c r="M11893" t="s">
        <v>44303</v>
      </c>
      <c r="N11893" t="s">
        <v>44759</v>
      </c>
      <c r="O11893" t="s">
        <v>44760</v>
      </c>
      <c r="P11893">
        <v>0</v>
      </c>
      <c r="Q11893">
        <v>5</v>
      </c>
      <c r="R11893" t="s">
        <v>44775</v>
      </c>
      <c r="S11893" t="s">
        <v>45343</v>
      </c>
      <c r="T11893" t="s">
        <v>46409</v>
      </c>
      <c r="U11893" t="s">
        <v>56728</v>
      </c>
      <c r="W11893" t="s">
        <v>44303</v>
      </c>
      <c r="X11893" t="s">
        <v>44776</v>
      </c>
    </row>
    <row r="11894" spans="1:24">
      <c r="A11894">
        <f>HYPERLINK("https://www.philgeps.gov.ph/GEPSNONPILOT/Tender/SplashBidNoticeAbstractUI.aspx?menuIndex=3&amp;refID=7124602&amp;Result=3","7124602")</f>
        <v>0</v>
      </c>
      <c r="B11894" t="s">
        <v>3424</v>
      </c>
      <c r="C11894" t="s">
        <v>15062</v>
      </c>
      <c r="D11894" t="s">
        <v>17985</v>
      </c>
      <c r="E11894" t="s">
        <v>28315</v>
      </c>
      <c r="F11894" t="s">
        <v>30900</v>
      </c>
      <c r="G11894" t="s">
        <v>30907</v>
      </c>
      <c r="H11894" t="s">
        <v>30916</v>
      </c>
      <c r="I11894" t="s">
        <v>8123</v>
      </c>
      <c r="J11894" t="s">
        <v>38456</v>
      </c>
      <c r="K11894" t="s">
        <v>40283</v>
      </c>
      <c r="M11894" t="s">
        <v>44304</v>
      </c>
      <c r="N11894" t="s">
        <v>44759</v>
      </c>
      <c r="O11894" t="s">
        <v>44760</v>
      </c>
      <c r="P11894">
        <v>0</v>
      </c>
      <c r="Q11894">
        <v>1</v>
      </c>
      <c r="R11894" t="s">
        <v>44775</v>
      </c>
      <c r="S11894" t="s">
        <v>45343</v>
      </c>
      <c r="T11894" t="s">
        <v>46421</v>
      </c>
      <c r="U11894" t="s">
        <v>56729</v>
      </c>
      <c r="W11894" t="s">
        <v>44304</v>
      </c>
      <c r="X11894" t="s">
        <v>44776</v>
      </c>
    </row>
    <row r="11895" spans="1:24">
      <c r="A11895">
        <f>HYPERLINK("https://www.philgeps.gov.ph/GEPSNONPILOT/Tender/SplashBidNoticeAbstractUI.aspx?menuIndex=3&amp;refID=7124599&amp;Result=3","7124599")</f>
        <v>0</v>
      </c>
      <c r="B11895" t="s">
        <v>1978</v>
      </c>
      <c r="C11895" t="s">
        <v>15063</v>
      </c>
      <c r="D11895" t="s">
        <v>17993</v>
      </c>
      <c r="E11895" t="s">
        <v>28316</v>
      </c>
      <c r="F11895" t="s">
        <v>30900</v>
      </c>
      <c r="G11895" t="s">
        <v>30907</v>
      </c>
      <c r="H11895" t="s">
        <v>30916</v>
      </c>
      <c r="I11895" t="s">
        <v>30923</v>
      </c>
      <c r="J11895" t="s">
        <v>31153</v>
      </c>
      <c r="K11895" t="s">
        <v>40289</v>
      </c>
      <c r="M11895" t="s">
        <v>42667</v>
      </c>
      <c r="N11895" t="s">
        <v>44759</v>
      </c>
      <c r="O11895" t="s">
        <v>44760</v>
      </c>
      <c r="P11895">
        <v>0</v>
      </c>
      <c r="Q11895">
        <v>11</v>
      </c>
      <c r="R11895" t="s">
        <v>44775</v>
      </c>
      <c r="S11895" t="s">
        <v>45343</v>
      </c>
      <c r="T11895" t="s">
        <v>46352</v>
      </c>
      <c r="U11895" t="s">
        <v>56730</v>
      </c>
      <c r="W11895" t="s">
        <v>42667</v>
      </c>
      <c r="X11895" t="s">
        <v>44776</v>
      </c>
    </row>
    <row r="11896" spans="1:24">
      <c r="A11896">
        <f>HYPERLINK("https://www.philgeps.gov.ph/GEPSNONPILOT/Tender/SplashBidNoticeAbstractUI.aspx?menuIndex=3&amp;refID=7124593&amp;Result=3","7124593")</f>
        <v>0</v>
      </c>
      <c r="B11896" t="s">
        <v>888</v>
      </c>
      <c r="C11896" t="s">
        <v>15064</v>
      </c>
      <c r="D11896" t="s">
        <v>17951</v>
      </c>
      <c r="E11896" t="s">
        <v>28317</v>
      </c>
      <c r="F11896" t="s">
        <v>30900</v>
      </c>
      <c r="G11896" t="s">
        <v>30908</v>
      </c>
      <c r="H11896" t="s">
        <v>30916</v>
      </c>
      <c r="I11896" t="s">
        <v>30981</v>
      </c>
      <c r="J11896" t="s">
        <v>38457</v>
      </c>
      <c r="K11896" t="s">
        <v>40286</v>
      </c>
      <c r="M11896" t="s">
        <v>41461</v>
      </c>
      <c r="N11896" t="s">
        <v>44759</v>
      </c>
      <c r="O11896" t="s">
        <v>44760</v>
      </c>
      <c r="P11896">
        <v>0</v>
      </c>
      <c r="Q11896">
        <v>0</v>
      </c>
      <c r="R11896" t="s">
        <v>44775</v>
      </c>
      <c r="S11896" t="s">
        <v>45343</v>
      </c>
      <c r="T11896" t="s">
        <v>46591</v>
      </c>
      <c r="U11896" t="s">
        <v>48542</v>
      </c>
      <c r="W11896" t="s">
        <v>41461</v>
      </c>
      <c r="X11896" t="s">
        <v>44776</v>
      </c>
    </row>
    <row r="11897" spans="1:24">
      <c r="A11897">
        <f>HYPERLINK("https://www.philgeps.gov.ph/GEPSNONPILOT/Tender/SplashBidNoticeAbstractUI.aspx?menuIndex=3&amp;refID=7124423&amp;Result=3","7124423")</f>
        <v>0</v>
      </c>
      <c r="B11897" t="s">
        <v>2496</v>
      </c>
      <c r="C11897" t="s">
        <v>15065</v>
      </c>
      <c r="D11897" t="s">
        <v>18001</v>
      </c>
      <c r="E11897" t="s">
        <v>28318</v>
      </c>
      <c r="F11897" t="s">
        <v>30899</v>
      </c>
      <c r="G11897" t="s">
        <v>30907</v>
      </c>
      <c r="H11897" t="s">
        <v>30917</v>
      </c>
      <c r="I11897" t="s">
        <v>4454</v>
      </c>
      <c r="J11897" t="s">
        <v>38458</v>
      </c>
      <c r="K11897" t="s">
        <v>40280</v>
      </c>
      <c r="M11897" t="s">
        <v>43238</v>
      </c>
      <c r="N11897" t="s">
        <v>44759</v>
      </c>
      <c r="O11897" t="s">
        <v>44760</v>
      </c>
      <c r="P11897">
        <v>0</v>
      </c>
      <c r="Q11897">
        <v>6</v>
      </c>
      <c r="R11897" t="s">
        <v>44775</v>
      </c>
      <c r="S11897" t="s">
        <v>45343</v>
      </c>
      <c r="T11897" t="s">
        <v>46474</v>
      </c>
      <c r="U11897" t="s">
        <v>56731</v>
      </c>
      <c r="W11897" t="s">
        <v>43238</v>
      </c>
      <c r="X11897" t="s">
        <v>44776</v>
      </c>
    </row>
    <row r="11898" spans="1:24">
      <c r="A11898">
        <f>HYPERLINK("https://www.philgeps.gov.ph/GEPSNONPILOT/Tender/SplashBidNoticeAbstractUI.aspx?menuIndex=3&amp;refID=7124592&amp;Result=3","7124592")</f>
        <v>0</v>
      </c>
      <c r="B11898" t="s">
        <v>806</v>
      </c>
      <c r="C11898" t="s">
        <v>15066</v>
      </c>
      <c r="D11898" t="s">
        <v>18029</v>
      </c>
      <c r="E11898" t="s">
        <v>28319</v>
      </c>
      <c r="F11898" t="s">
        <v>30900</v>
      </c>
      <c r="G11898" t="s">
        <v>30907</v>
      </c>
      <c r="H11898" t="s">
        <v>30915</v>
      </c>
      <c r="I11898" t="s">
        <v>30919</v>
      </c>
      <c r="J11898" t="s">
        <v>38459</v>
      </c>
      <c r="K11898" t="s">
        <v>40292</v>
      </c>
      <c r="M11898" t="s">
        <v>41376</v>
      </c>
      <c r="N11898" t="s">
        <v>44759</v>
      </c>
      <c r="O11898" t="s">
        <v>44760</v>
      </c>
      <c r="P11898">
        <v>0</v>
      </c>
      <c r="Q11898">
        <v>0</v>
      </c>
      <c r="R11898" t="s">
        <v>44775</v>
      </c>
      <c r="S11898" t="s">
        <v>45343</v>
      </c>
      <c r="T11898" t="s">
        <v>46542</v>
      </c>
      <c r="U11898" t="s">
        <v>56732</v>
      </c>
      <c r="W11898" t="s">
        <v>41376</v>
      </c>
      <c r="X11898" t="s">
        <v>44776</v>
      </c>
    </row>
    <row r="11899" spans="1:24">
      <c r="A11899">
        <f>HYPERLINK("https://www.philgeps.gov.ph/GEPSNONPILOT/Tender/SplashBidNoticeAbstractUI.aspx?menuIndex=3&amp;refID=7124598&amp;Result=3","7124598")</f>
        <v>0</v>
      </c>
      <c r="B11899" t="s">
        <v>3425</v>
      </c>
      <c r="C11899" t="s">
        <v>15067</v>
      </c>
      <c r="D11899" t="s">
        <v>17976</v>
      </c>
      <c r="E11899" t="s">
        <v>28320</v>
      </c>
      <c r="F11899" t="s">
        <v>30900</v>
      </c>
      <c r="G11899" t="s">
        <v>30907</v>
      </c>
      <c r="H11899" t="s">
        <v>7411</v>
      </c>
      <c r="I11899" t="s">
        <v>7411</v>
      </c>
      <c r="J11899" t="s">
        <v>38460</v>
      </c>
      <c r="K11899" t="s">
        <v>40532</v>
      </c>
      <c r="M11899" t="s">
        <v>44305</v>
      </c>
      <c r="N11899" t="s">
        <v>44759</v>
      </c>
      <c r="O11899" t="s">
        <v>44760</v>
      </c>
      <c r="P11899">
        <v>0</v>
      </c>
      <c r="Q11899">
        <v>7</v>
      </c>
      <c r="R11899" t="s">
        <v>44775</v>
      </c>
      <c r="S11899" t="s">
        <v>45343</v>
      </c>
      <c r="T11899" t="s">
        <v>46495</v>
      </c>
      <c r="U11899" t="s">
        <v>56733</v>
      </c>
      <c r="W11899" t="s">
        <v>44305</v>
      </c>
      <c r="X11899" t="s">
        <v>44776</v>
      </c>
    </row>
    <row r="11900" spans="1:24">
      <c r="A11900">
        <f>HYPERLINK("https://www.philgeps.gov.ph/GEPSNONPILOT/Tender/SplashBidNoticeAbstractUI.aspx?menuIndex=3&amp;refID=7124625&amp;Result=3","7124625")</f>
        <v>0</v>
      </c>
      <c r="B11900" t="s">
        <v>1978</v>
      </c>
      <c r="C11900" t="s">
        <v>15068</v>
      </c>
      <c r="D11900" t="s">
        <v>17993</v>
      </c>
      <c r="E11900" t="s">
        <v>28321</v>
      </c>
      <c r="F11900" t="s">
        <v>30900</v>
      </c>
      <c r="G11900" t="s">
        <v>30907</v>
      </c>
      <c r="H11900" t="s">
        <v>30916</v>
      </c>
      <c r="I11900" t="s">
        <v>30923</v>
      </c>
      <c r="J11900" t="s">
        <v>38461</v>
      </c>
      <c r="K11900" t="s">
        <v>40289</v>
      </c>
      <c r="M11900" t="s">
        <v>42667</v>
      </c>
      <c r="N11900" t="s">
        <v>44759</v>
      </c>
      <c r="O11900" t="s">
        <v>44760</v>
      </c>
      <c r="P11900">
        <v>0</v>
      </c>
      <c r="Q11900">
        <v>2</v>
      </c>
      <c r="R11900" t="s">
        <v>44775</v>
      </c>
      <c r="S11900" t="s">
        <v>45343</v>
      </c>
      <c r="T11900" t="s">
        <v>46352</v>
      </c>
      <c r="U11900" t="s">
        <v>56734</v>
      </c>
      <c r="W11900" t="s">
        <v>42667</v>
      </c>
      <c r="X11900" t="s">
        <v>44776</v>
      </c>
    </row>
    <row r="11901" spans="1:24">
      <c r="A11901">
        <f>HYPERLINK("https://www.philgeps.gov.ph/GEPSNONPILOT/Tender/SplashBidNoticeAbstractUI.aspx?menuIndex=3&amp;refID=7124330&amp;Result=3","7124330")</f>
        <v>0</v>
      </c>
      <c r="B11901" t="s">
        <v>3418</v>
      </c>
      <c r="C11901" t="s">
        <v>15069</v>
      </c>
      <c r="D11901" t="s">
        <v>18013</v>
      </c>
      <c r="E11901" t="s">
        <v>28322</v>
      </c>
      <c r="F11901" t="s">
        <v>30900</v>
      </c>
      <c r="G11901" t="s">
        <v>30907</v>
      </c>
      <c r="H11901" t="s">
        <v>30915</v>
      </c>
      <c r="I11901" t="s">
        <v>30919</v>
      </c>
      <c r="J11901" t="s">
        <v>32964</v>
      </c>
      <c r="K11901" t="s">
        <v>40342</v>
      </c>
      <c r="M11901" t="s">
        <v>44297</v>
      </c>
      <c r="N11901" t="s">
        <v>44759</v>
      </c>
      <c r="O11901" t="s">
        <v>44760</v>
      </c>
      <c r="Q11901">
        <v>0</v>
      </c>
      <c r="R11901" t="s">
        <v>44775</v>
      </c>
      <c r="S11901" t="s">
        <v>44875</v>
      </c>
      <c r="T11901" t="s">
        <v>46519</v>
      </c>
      <c r="U11901" t="s">
        <v>56735</v>
      </c>
      <c r="V11901" t="s">
        <v>60476</v>
      </c>
      <c r="W11901" t="s">
        <v>44297</v>
      </c>
      <c r="X11901" t="s">
        <v>44776</v>
      </c>
    </row>
    <row r="11902" spans="1:24">
      <c r="A11902">
        <f>HYPERLINK("https://www.philgeps.gov.ph/GEPSNONPILOT/Tender/SplashBidNoticeAbstractUI.aspx?menuIndex=3&amp;refID=7124609&amp;Result=3","7124609")</f>
        <v>0</v>
      </c>
      <c r="B11902" t="s">
        <v>3426</v>
      </c>
      <c r="C11902" t="s">
        <v>15070</v>
      </c>
      <c r="E11902" t="s">
        <v>28323</v>
      </c>
      <c r="F11902" t="s">
        <v>30900</v>
      </c>
      <c r="G11902" t="s">
        <v>30907</v>
      </c>
      <c r="H11902" t="s">
        <v>30915</v>
      </c>
      <c r="I11902" t="s">
        <v>30919</v>
      </c>
      <c r="J11902" t="s">
        <v>35651</v>
      </c>
      <c r="K11902" t="s">
        <v>40289</v>
      </c>
      <c r="M11902" t="s">
        <v>44306</v>
      </c>
      <c r="N11902" t="s">
        <v>44759</v>
      </c>
      <c r="O11902" t="s">
        <v>44760</v>
      </c>
      <c r="P11902">
        <v>0</v>
      </c>
      <c r="Q11902">
        <v>1</v>
      </c>
      <c r="R11902" t="s">
        <v>44775</v>
      </c>
      <c r="S11902" t="s">
        <v>45343</v>
      </c>
      <c r="T11902" t="s">
        <v>46420</v>
      </c>
      <c r="U11902" t="s">
        <v>56736</v>
      </c>
      <c r="W11902" t="s">
        <v>44306</v>
      </c>
      <c r="X11902" t="s">
        <v>44776</v>
      </c>
    </row>
    <row r="11903" spans="1:24">
      <c r="A11903">
        <f>HYPERLINK("https://www.philgeps.gov.ph/GEPSNONPILOT/Tender/SplashBidNoticeAbstractUI.aspx?menuIndex=3&amp;refID=7124525&amp;Result=3","7124525")</f>
        <v>0</v>
      </c>
      <c r="B11903" t="s">
        <v>3425</v>
      </c>
      <c r="C11903" t="s">
        <v>15071</v>
      </c>
      <c r="D11903" t="s">
        <v>17976</v>
      </c>
      <c r="E11903" t="s">
        <v>28324</v>
      </c>
      <c r="F11903" t="s">
        <v>30900</v>
      </c>
      <c r="G11903" t="s">
        <v>30907</v>
      </c>
      <c r="H11903" t="s">
        <v>7411</v>
      </c>
      <c r="I11903" t="s">
        <v>7411</v>
      </c>
      <c r="J11903" t="s">
        <v>38462</v>
      </c>
      <c r="K11903" t="s">
        <v>40321</v>
      </c>
      <c r="M11903" t="s">
        <v>44305</v>
      </c>
      <c r="N11903" t="s">
        <v>44759</v>
      </c>
      <c r="O11903" t="s">
        <v>44760</v>
      </c>
      <c r="P11903">
        <v>0</v>
      </c>
      <c r="Q11903">
        <v>8</v>
      </c>
      <c r="R11903" t="s">
        <v>44775</v>
      </c>
      <c r="S11903" t="s">
        <v>45343</v>
      </c>
      <c r="T11903" t="s">
        <v>46495</v>
      </c>
      <c r="U11903" t="s">
        <v>56737</v>
      </c>
      <c r="W11903" t="s">
        <v>44305</v>
      </c>
      <c r="X11903" t="s">
        <v>44776</v>
      </c>
    </row>
    <row r="11904" spans="1:24">
      <c r="A11904">
        <f>HYPERLINK("https://www.philgeps.gov.ph/GEPSNONPILOT/Tender/SplashBidNoticeAbstractUI.aspx?menuIndex=3&amp;refID=7124545&amp;Result=3","7124545")</f>
        <v>0</v>
      </c>
      <c r="B11904" t="s">
        <v>380</v>
      </c>
      <c r="C11904" t="s">
        <v>15072</v>
      </c>
      <c r="D11904" t="s">
        <v>18003</v>
      </c>
      <c r="E11904" t="s">
        <v>28325</v>
      </c>
      <c r="F11904" t="s">
        <v>30900</v>
      </c>
      <c r="G11904" t="s">
        <v>30907</v>
      </c>
      <c r="H11904" t="s">
        <v>30915</v>
      </c>
      <c r="I11904" t="s">
        <v>30919</v>
      </c>
      <c r="J11904" t="s">
        <v>31096</v>
      </c>
      <c r="K11904" t="s">
        <v>40286</v>
      </c>
      <c r="M11904" t="s">
        <v>40934</v>
      </c>
      <c r="N11904" t="s">
        <v>44759</v>
      </c>
      <c r="O11904" t="s">
        <v>44760</v>
      </c>
      <c r="P11904">
        <v>0</v>
      </c>
      <c r="Q11904">
        <v>0</v>
      </c>
      <c r="R11904" t="s">
        <v>44775</v>
      </c>
      <c r="S11904" t="s">
        <v>45343</v>
      </c>
      <c r="T11904" t="s">
        <v>46703</v>
      </c>
      <c r="U11904" t="s">
        <v>51829</v>
      </c>
      <c r="W11904" t="s">
        <v>40934</v>
      </c>
      <c r="X11904" t="s">
        <v>44776</v>
      </c>
    </row>
    <row r="11905" spans="1:24">
      <c r="A11905">
        <f>HYPERLINK("https://www.philgeps.gov.ph/GEPSNONPILOT/Tender/SplashBidNoticeAbstractUI.aspx?menuIndex=3&amp;refID=7124511&amp;Result=3","7124511")</f>
        <v>0</v>
      </c>
      <c r="B11905" t="s">
        <v>3427</v>
      </c>
      <c r="C11905" t="s">
        <v>15073</v>
      </c>
      <c r="D11905" t="s">
        <v>17978</v>
      </c>
      <c r="E11905" t="s">
        <v>28326</v>
      </c>
      <c r="F11905" t="s">
        <v>30900</v>
      </c>
      <c r="G11905" t="s">
        <v>30907</v>
      </c>
      <c r="H11905" t="s">
        <v>30915</v>
      </c>
      <c r="I11905" t="s">
        <v>30919</v>
      </c>
      <c r="J11905" t="s">
        <v>31450</v>
      </c>
      <c r="K11905" t="s">
        <v>40346</v>
      </c>
      <c r="M11905" t="s">
        <v>44307</v>
      </c>
      <c r="N11905" t="s">
        <v>44759</v>
      </c>
      <c r="O11905" t="s">
        <v>44760</v>
      </c>
      <c r="P11905">
        <v>0</v>
      </c>
      <c r="Q11905">
        <v>1</v>
      </c>
      <c r="R11905" t="s">
        <v>44775</v>
      </c>
      <c r="S11905" t="s">
        <v>45343</v>
      </c>
      <c r="T11905" t="s">
        <v>46357</v>
      </c>
      <c r="U11905" t="s">
        <v>56738</v>
      </c>
      <c r="W11905" t="s">
        <v>44307</v>
      </c>
      <c r="X11905" t="s">
        <v>44776</v>
      </c>
    </row>
    <row r="11906" spans="1:24">
      <c r="A11906">
        <f>HYPERLINK("https://www.philgeps.gov.ph/GEPSNONPILOT/Tender/SplashBidNoticeAbstractUI.aspx?menuIndex=3&amp;refID=7124504&amp;Result=3","7124504")</f>
        <v>0</v>
      </c>
      <c r="B11906" t="s">
        <v>448</v>
      </c>
      <c r="C11906" t="s">
        <v>15074</v>
      </c>
      <c r="D11906" t="s">
        <v>17987</v>
      </c>
      <c r="E11906" t="s">
        <v>28327</v>
      </c>
      <c r="F11906" t="s">
        <v>30900</v>
      </c>
      <c r="G11906" t="s">
        <v>30907</v>
      </c>
      <c r="H11906" t="s">
        <v>30916</v>
      </c>
      <c r="I11906" t="s">
        <v>8123</v>
      </c>
      <c r="J11906" t="s">
        <v>38463</v>
      </c>
      <c r="K11906" t="s">
        <v>40287</v>
      </c>
      <c r="M11906" t="s">
        <v>41005</v>
      </c>
      <c r="N11906" t="s">
        <v>44759</v>
      </c>
      <c r="O11906" t="s">
        <v>44760</v>
      </c>
      <c r="P11906">
        <v>0</v>
      </c>
      <c r="Q11906">
        <v>2</v>
      </c>
      <c r="R11906" t="s">
        <v>44775</v>
      </c>
      <c r="S11906" t="s">
        <v>45343</v>
      </c>
      <c r="T11906" t="s">
        <v>46574</v>
      </c>
      <c r="U11906" t="s">
        <v>56739</v>
      </c>
      <c r="W11906" t="s">
        <v>41005</v>
      </c>
      <c r="X11906" t="s">
        <v>44776</v>
      </c>
    </row>
    <row r="11907" spans="1:24">
      <c r="A11907">
        <f>HYPERLINK("https://www.philgeps.gov.ph/GEPSNONPILOT/Tender/SplashBidNoticeAbstractUI.aspx?menuIndex=3&amp;refID=7124509&amp;Result=3","7124509")</f>
        <v>0</v>
      </c>
      <c r="B11907" t="s">
        <v>925</v>
      </c>
      <c r="C11907" t="s">
        <v>15075</v>
      </c>
      <c r="D11907" t="s">
        <v>17959</v>
      </c>
      <c r="E11907" t="s">
        <v>28328</v>
      </c>
      <c r="F11907" t="s">
        <v>30899</v>
      </c>
      <c r="G11907" t="s">
        <v>30907</v>
      </c>
      <c r="H11907" t="s">
        <v>30916</v>
      </c>
      <c r="I11907" t="s">
        <v>30947</v>
      </c>
      <c r="J11907" t="s">
        <v>31101</v>
      </c>
      <c r="K11907" t="s">
        <v>40286</v>
      </c>
      <c r="M11907" t="s">
        <v>41505</v>
      </c>
      <c r="N11907" t="s">
        <v>44759</v>
      </c>
      <c r="O11907" t="s">
        <v>44760</v>
      </c>
      <c r="P11907">
        <v>0</v>
      </c>
      <c r="Q11907">
        <v>4</v>
      </c>
      <c r="R11907" t="s">
        <v>44775</v>
      </c>
      <c r="S11907" t="s">
        <v>45343</v>
      </c>
      <c r="T11907" t="s">
        <v>46658</v>
      </c>
      <c r="U11907" t="s">
        <v>56740</v>
      </c>
      <c r="V11907" t="s">
        <v>59332</v>
      </c>
      <c r="W11907" t="s">
        <v>41505</v>
      </c>
      <c r="X11907" t="s">
        <v>44776</v>
      </c>
    </row>
    <row r="11908" spans="1:24">
      <c r="A11908">
        <f>HYPERLINK("https://www.philgeps.gov.ph/GEPSNONPILOT/Tender/SplashBidNoticeAbstractUI.aspx?menuIndex=3&amp;refID=7124537&amp;Result=3","7124537")</f>
        <v>0</v>
      </c>
      <c r="B11908" t="s">
        <v>379</v>
      </c>
      <c r="C11908" t="s">
        <v>15076</v>
      </c>
      <c r="D11908" t="s">
        <v>18015</v>
      </c>
      <c r="E11908" t="s">
        <v>28329</v>
      </c>
      <c r="F11908" t="s">
        <v>30900</v>
      </c>
      <c r="G11908" t="s">
        <v>30907</v>
      </c>
      <c r="H11908" t="s">
        <v>30916</v>
      </c>
      <c r="I11908" t="s">
        <v>30932</v>
      </c>
      <c r="J11908" t="s">
        <v>38464</v>
      </c>
      <c r="K11908" t="s">
        <v>40283</v>
      </c>
      <c r="M11908" t="s">
        <v>40933</v>
      </c>
      <c r="N11908" t="s">
        <v>44759</v>
      </c>
      <c r="O11908" t="s">
        <v>44760</v>
      </c>
      <c r="P11908">
        <v>0</v>
      </c>
      <c r="Q11908">
        <v>0</v>
      </c>
      <c r="R11908" t="s">
        <v>44775</v>
      </c>
      <c r="S11908" t="s">
        <v>45343</v>
      </c>
      <c r="T11908" t="s">
        <v>46369</v>
      </c>
      <c r="U11908" t="s">
        <v>56741</v>
      </c>
      <c r="W11908" t="s">
        <v>40933</v>
      </c>
      <c r="X11908" t="s">
        <v>44776</v>
      </c>
    </row>
    <row r="11909" spans="1:24">
      <c r="A11909">
        <f>HYPERLINK("https://www.philgeps.gov.ph/GEPSNONPILOT/Tender/SplashBidNoticeAbstractUI.aspx?menuIndex=3&amp;refID=7124790&amp;Result=3","7124790")</f>
        <v>0</v>
      </c>
      <c r="B11909" t="s">
        <v>2753</v>
      </c>
      <c r="C11909" t="s">
        <v>15077</v>
      </c>
      <c r="D11909" t="s">
        <v>18038</v>
      </c>
      <c r="E11909" t="s">
        <v>28330</v>
      </c>
      <c r="F11909" t="s">
        <v>30900</v>
      </c>
      <c r="G11909" t="s">
        <v>30907</v>
      </c>
      <c r="H11909" t="s">
        <v>30916</v>
      </c>
      <c r="I11909" t="s">
        <v>4965</v>
      </c>
      <c r="J11909" t="s">
        <v>33913</v>
      </c>
      <c r="K11909" t="s">
        <v>40284</v>
      </c>
      <c r="M11909" t="s">
        <v>43530</v>
      </c>
      <c r="N11909" t="s">
        <v>44759</v>
      </c>
      <c r="O11909" t="s">
        <v>44760</v>
      </c>
      <c r="P11909">
        <v>0</v>
      </c>
      <c r="Q11909">
        <v>0</v>
      </c>
      <c r="R11909" t="s">
        <v>44775</v>
      </c>
      <c r="S11909" t="s">
        <v>45343</v>
      </c>
      <c r="T11909" t="s">
        <v>46418</v>
      </c>
      <c r="U11909" t="s">
        <v>56742</v>
      </c>
      <c r="V11909" t="s">
        <v>60458</v>
      </c>
      <c r="W11909" t="s">
        <v>43530</v>
      </c>
      <c r="X11909" t="s">
        <v>44776</v>
      </c>
    </row>
    <row r="11910" spans="1:24">
      <c r="A11910">
        <f>HYPERLINK("https://www.philgeps.gov.ph/GEPSNONPILOT/Tender/SplashBidNoticeAbstractUI.aspx?menuIndex=3&amp;refID=7124531&amp;Result=3","7124531")</f>
        <v>0</v>
      </c>
      <c r="B11910" t="s">
        <v>3428</v>
      </c>
      <c r="C11910" t="s">
        <v>15078</v>
      </c>
      <c r="D11910" t="s">
        <v>18019</v>
      </c>
      <c r="E11910" t="s">
        <v>18094</v>
      </c>
      <c r="F11910" t="s">
        <v>30900</v>
      </c>
      <c r="G11910" t="s">
        <v>30907</v>
      </c>
      <c r="H11910" t="s">
        <v>30916</v>
      </c>
      <c r="I11910" t="s">
        <v>17295</v>
      </c>
      <c r="J11910" t="s">
        <v>38465</v>
      </c>
      <c r="K11910" t="s">
        <v>40332</v>
      </c>
      <c r="M11910" t="s">
        <v>44308</v>
      </c>
      <c r="N11910" t="s">
        <v>44759</v>
      </c>
      <c r="O11910" t="s">
        <v>44760</v>
      </c>
      <c r="P11910">
        <v>0</v>
      </c>
      <c r="Q11910">
        <v>5</v>
      </c>
      <c r="R11910" t="s">
        <v>44775</v>
      </c>
      <c r="S11910" t="s">
        <v>45343</v>
      </c>
      <c r="T11910" t="s">
        <v>46352</v>
      </c>
      <c r="U11910" t="s">
        <v>56743</v>
      </c>
      <c r="V11910" t="s">
        <v>60477</v>
      </c>
      <c r="W11910" t="s">
        <v>60929</v>
      </c>
      <c r="X11910" t="s">
        <v>44776</v>
      </c>
    </row>
    <row r="11911" spans="1:24">
      <c r="A11911">
        <f>HYPERLINK("https://www.philgeps.gov.ph/GEPSNONPILOT/Tender/SplashBidNoticeAbstractUI.aspx?menuIndex=3&amp;refID=7124588&amp;Result=3","7124588")</f>
        <v>0</v>
      </c>
      <c r="B11911" t="s">
        <v>448</v>
      </c>
      <c r="C11911" t="s">
        <v>15079</v>
      </c>
      <c r="D11911" t="s">
        <v>17987</v>
      </c>
      <c r="E11911" t="s">
        <v>28331</v>
      </c>
      <c r="F11911" t="s">
        <v>30900</v>
      </c>
      <c r="G11911" t="s">
        <v>30907</v>
      </c>
      <c r="H11911" t="s">
        <v>30916</v>
      </c>
      <c r="I11911" t="s">
        <v>30935</v>
      </c>
      <c r="J11911" t="s">
        <v>37405</v>
      </c>
      <c r="K11911" t="s">
        <v>40287</v>
      </c>
      <c r="M11911" t="s">
        <v>41005</v>
      </c>
      <c r="N11911" t="s">
        <v>44759</v>
      </c>
      <c r="O11911" t="s">
        <v>44760</v>
      </c>
      <c r="P11911">
        <v>0</v>
      </c>
      <c r="Q11911">
        <v>19</v>
      </c>
      <c r="R11911" t="s">
        <v>44775</v>
      </c>
      <c r="S11911" t="s">
        <v>45343</v>
      </c>
      <c r="T11911" t="s">
        <v>46574</v>
      </c>
      <c r="U11911" t="s">
        <v>56744</v>
      </c>
      <c r="W11911" t="s">
        <v>41005</v>
      </c>
      <c r="X11911" t="s">
        <v>44776</v>
      </c>
    </row>
    <row r="11912" spans="1:24">
      <c r="A11912">
        <f>HYPERLINK("https://www.philgeps.gov.ph/GEPSNONPILOT/Tender/SplashBidNoticeAbstractUI.aspx?menuIndex=3&amp;refID=7124432&amp;Result=3","7124432")</f>
        <v>0</v>
      </c>
      <c r="B11912" t="s">
        <v>1558</v>
      </c>
      <c r="C11912" t="s">
        <v>15080</v>
      </c>
      <c r="D11912" t="s">
        <v>17996</v>
      </c>
      <c r="E11912" t="s">
        <v>28332</v>
      </c>
      <c r="F11912" t="s">
        <v>30900</v>
      </c>
      <c r="G11912" t="s">
        <v>30907</v>
      </c>
      <c r="H11912" t="s">
        <v>30916</v>
      </c>
      <c r="I11912" t="s">
        <v>30933</v>
      </c>
      <c r="J11912" t="s">
        <v>38466</v>
      </c>
      <c r="K11912" t="s">
        <v>40286</v>
      </c>
      <c r="M11912" t="s">
        <v>42204</v>
      </c>
      <c r="N11912" t="s">
        <v>44759</v>
      </c>
      <c r="O11912" t="s">
        <v>44760</v>
      </c>
      <c r="P11912">
        <v>0</v>
      </c>
      <c r="Q11912">
        <v>5</v>
      </c>
      <c r="R11912" t="s">
        <v>44775</v>
      </c>
      <c r="S11912" t="s">
        <v>45343</v>
      </c>
      <c r="T11912" t="s">
        <v>46361</v>
      </c>
      <c r="U11912" t="s">
        <v>56745</v>
      </c>
      <c r="W11912" t="s">
        <v>42204</v>
      </c>
      <c r="X11912" t="s">
        <v>44776</v>
      </c>
    </row>
    <row r="11913" spans="1:24">
      <c r="A11913">
        <f>HYPERLINK("https://www.philgeps.gov.ph/GEPSNONPILOT/Tender/SplashBidNoticeAbstractUI.aspx?menuIndex=3&amp;refID=7124777&amp;Result=3","7124777")</f>
        <v>0</v>
      </c>
      <c r="B11913" t="s">
        <v>305</v>
      </c>
      <c r="C11913" t="s">
        <v>15081</v>
      </c>
      <c r="D11913" t="s">
        <v>17972</v>
      </c>
      <c r="E11913" t="s">
        <v>22841</v>
      </c>
      <c r="F11913" t="s">
        <v>30900</v>
      </c>
      <c r="G11913" t="s">
        <v>30907</v>
      </c>
      <c r="H11913" t="s">
        <v>30915</v>
      </c>
      <c r="I11913" t="s">
        <v>30919</v>
      </c>
      <c r="J11913" t="s">
        <v>38467</v>
      </c>
      <c r="K11913" t="s">
        <v>40449</v>
      </c>
      <c r="M11913" t="s">
        <v>40855</v>
      </c>
      <c r="N11913" t="s">
        <v>44759</v>
      </c>
      <c r="O11913" t="s">
        <v>44760</v>
      </c>
      <c r="Q11913">
        <v>0</v>
      </c>
      <c r="R11913" t="s">
        <v>44775</v>
      </c>
      <c r="S11913" t="s">
        <v>45391</v>
      </c>
      <c r="T11913" t="s">
        <v>46373</v>
      </c>
      <c r="U11913" t="s">
        <v>56746</v>
      </c>
      <c r="W11913" t="s">
        <v>40855</v>
      </c>
      <c r="X11913" t="s">
        <v>44776</v>
      </c>
    </row>
    <row r="11914" spans="1:24">
      <c r="A11914">
        <f>HYPERLINK("https://www.philgeps.gov.ph/GEPSNONPILOT/Tender/SplashBidNoticeAbstractUI.aspx?menuIndex=3&amp;refID=7124747&amp;Result=3","7124747")</f>
        <v>0</v>
      </c>
      <c r="B11914" t="s">
        <v>56</v>
      </c>
      <c r="C11914" t="s">
        <v>15082</v>
      </c>
      <c r="D11914" t="s">
        <v>17952</v>
      </c>
      <c r="E11914" t="s">
        <v>28333</v>
      </c>
      <c r="F11914" t="s">
        <v>30900</v>
      </c>
      <c r="G11914" t="s">
        <v>30907</v>
      </c>
      <c r="H11914" t="s">
        <v>30916</v>
      </c>
      <c r="I11914" t="s">
        <v>4545</v>
      </c>
      <c r="J11914" t="s">
        <v>38055</v>
      </c>
      <c r="K11914" t="s">
        <v>40286</v>
      </c>
      <c r="M11914" t="s">
        <v>43553</v>
      </c>
      <c r="N11914" t="s">
        <v>44759</v>
      </c>
      <c r="O11914" t="s">
        <v>44760</v>
      </c>
      <c r="P11914">
        <v>0</v>
      </c>
      <c r="Q11914">
        <v>0</v>
      </c>
      <c r="R11914" t="s">
        <v>44775</v>
      </c>
      <c r="S11914" t="s">
        <v>45343</v>
      </c>
      <c r="T11914" t="s">
        <v>46418</v>
      </c>
      <c r="U11914" t="s">
        <v>56747</v>
      </c>
      <c r="V11914" t="s">
        <v>59226</v>
      </c>
      <c r="W11914" t="s">
        <v>43553</v>
      </c>
      <c r="X11914" t="s">
        <v>44776</v>
      </c>
    </row>
    <row r="11915" spans="1:24">
      <c r="A11915">
        <f>HYPERLINK("https://www.philgeps.gov.ph/GEPSNONPILOT/Tender/SplashBidNoticeAbstractUI.aspx?menuIndex=3&amp;refID=7124711&amp;Result=3","7124711")</f>
        <v>0</v>
      </c>
      <c r="B11915" t="s">
        <v>1420</v>
      </c>
      <c r="C11915" t="s">
        <v>15083</v>
      </c>
      <c r="D11915" t="s">
        <v>18003</v>
      </c>
      <c r="E11915" t="s">
        <v>28334</v>
      </c>
      <c r="F11915" t="s">
        <v>30900</v>
      </c>
      <c r="G11915" t="s">
        <v>30907</v>
      </c>
      <c r="H11915" t="s">
        <v>30917</v>
      </c>
      <c r="I11915" t="s">
        <v>17295</v>
      </c>
      <c r="J11915" t="s">
        <v>38468</v>
      </c>
      <c r="K11915" t="s">
        <v>40332</v>
      </c>
      <c r="M11915" t="s">
        <v>42049</v>
      </c>
      <c r="N11915" t="s">
        <v>44759</v>
      </c>
      <c r="O11915" t="s">
        <v>44760</v>
      </c>
      <c r="Q11915">
        <v>2</v>
      </c>
      <c r="R11915" t="s">
        <v>44775</v>
      </c>
      <c r="S11915" t="s">
        <v>45392</v>
      </c>
      <c r="T11915" t="s">
        <v>46389</v>
      </c>
      <c r="U11915" t="s">
        <v>56748</v>
      </c>
      <c r="W11915" t="s">
        <v>42049</v>
      </c>
      <c r="X11915" t="s">
        <v>44776</v>
      </c>
    </row>
    <row r="11916" spans="1:24">
      <c r="A11916">
        <f>HYPERLINK("https://www.philgeps.gov.ph/GEPSNONPILOT/Tender/SplashBidNoticeAbstractUI.aspx?menuIndex=3&amp;refID=7124780&amp;Result=3","7124780")</f>
        <v>0</v>
      </c>
      <c r="B11916" t="s">
        <v>3425</v>
      </c>
      <c r="C11916" t="s">
        <v>15084</v>
      </c>
      <c r="D11916" t="s">
        <v>17976</v>
      </c>
      <c r="E11916" t="s">
        <v>28335</v>
      </c>
      <c r="F11916" t="s">
        <v>30900</v>
      </c>
      <c r="G11916" t="s">
        <v>30907</v>
      </c>
      <c r="H11916" t="s">
        <v>7411</v>
      </c>
      <c r="I11916" t="s">
        <v>7411</v>
      </c>
      <c r="J11916" t="s">
        <v>38469</v>
      </c>
      <c r="K11916" t="s">
        <v>40484</v>
      </c>
      <c r="M11916" t="s">
        <v>44305</v>
      </c>
      <c r="N11916" t="s">
        <v>44759</v>
      </c>
      <c r="O11916" t="s">
        <v>44760</v>
      </c>
      <c r="P11916">
        <v>0</v>
      </c>
      <c r="Q11916">
        <v>7</v>
      </c>
      <c r="R11916" t="s">
        <v>44775</v>
      </c>
      <c r="S11916" t="s">
        <v>45343</v>
      </c>
      <c r="T11916" t="s">
        <v>46495</v>
      </c>
      <c r="U11916" t="s">
        <v>56737</v>
      </c>
      <c r="W11916" t="s">
        <v>44305</v>
      </c>
      <c r="X11916" t="s">
        <v>44776</v>
      </c>
    </row>
    <row r="11917" spans="1:24">
      <c r="A11917">
        <f>HYPERLINK("https://www.philgeps.gov.ph/GEPSNONPILOT/Tender/SplashBidNoticeAbstractUI.aspx?menuIndex=3&amp;refID=7124769&amp;Result=3","7124769")</f>
        <v>0</v>
      </c>
      <c r="B11917" t="s">
        <v>3429</v>
      </c>
      <c r="C11917" t="s">
        <v>15085</v>
      </c>
      <c r="D11917" t="s">
        <v>17962</v>
      </c>
      <c r="E11917" t="s">
        <v>28336</v>
      </c>
      <c r="F11917" t="s">
        <v>30900</v>
      </c>
      <c r="G11917" t="s">
        <v>30907</v>
      </c>
      <c r="H11917" t="s">
        <v>30915</v>
      </c>
      <c r="I11917" t="s">
        <v>30919</v>
      </c>
      <c r="J11917" t="s">
        <v>38470</v>
      </c>
      <c r="K11917" t="s">
        <v>40294</v>
      </c>
      <c r="M11917" t="s">
        <v>44309</v>
      </c>
      <c r="N11917" t="s">
        <v>44759</v>
      </c>
      <c r="O11917" t="s">
        <v>44760</v>
      </c>
      <c r="P11917">
        <v>0</v>
      </c>
      <c r="Q11917">
        <v>1</v>
      </c>
      <c r="R11917" t="s">
        <v>44775</v>
      </c>
      <c r="S11917" t="s">
        <v>45343</v>
      </c>
      <c r="T11917" t="s">
        <v>46421</v>
      </c>
      <c r="U11917" t="s">
        <v>56749</v>
      </c>
      <c r="W11917" t="s">
        <v>44309</v>
      </c>
      <c r="X11917" t="s">
        <v>44776</v>
      </c>
    </row>
    <row r="11918" spans="1:24">
      <c r="A11918">
        <f>HYPERLINK("https://www.philgeps.gov.ph/GEPSNONPILOT/Tender/SplashBidNoticeAbstractUI.aspx?menuIndex=3&amp;refID=7124751&amp;Result=3","7124751")</f>
        <v>0</v>
      </c>
      <c r="B11918" t="s">
        <v>3411</v>
      </c>
      <c r="C11918" t="s">
        <v>15086</v>
      </c>
      <c r="D11918" t="s">
        <v>17959</v>
      </c>
      <c r="E11918" t="s">
        <v>28337</v>
      </c>
      <c r="F11918" t="s">
        <v>30899</v>
      </c>
      <c r="G11918" t="s">
        <v>30907</v>
      </c>
      <c r="H11918" t="s">
        <v>30916</v>
      </c>
      <c r="I11918" t="s">
        <v>30929</v>
      </c>
      <c r="J11918" t="s">
        <v>31096</v>
      </c>
      <c r="K11918" t="s">
        <v>40283</v>
      </c>
      <c r="M11918" t="s">
        <v>44288</v>
      </c>
      <c r="N11918" t="s">
        <v>44759</v>
      </c>
      <c r="O11918" t="s">
        <v>44760</v>
      </c>
      <c r="P11918">
        <v>0</v>
      </c>
      <c r="Q11918">
        <v>4</v>
      </c>
      <c r="R11918" t="s">
        <v>44775</v>
      </c>
      <c r="S11918" t="s">
        <v>45343</v>
      </c>
      <c r="T11918" t="s">
        <v>46466</v>
      </c>
      <c r="U11918" t="s">
        <v>56750</v>
      </c>
      <c r="W11918" t="s">
        <v>44288</v>
      </c>
      <c r="X11918" t="s">
        <v>44776</v>
      </c>
    </row>
    <row r="11919" spans="1:24">
      <c r="A11919">
        <f>HYPERLINK("https://www.philgeps.gov.ph/GEPSNONPILOT/Tender/SplashBidNoticeAbstractUI.aspx?menuIndex=3&amp;refID=7124696&amp;Result=3","7124696")</f>
        <v>0</v>
      </c>
      <c r="B11919" t="s">
        <v>1531</v>
      </c>
      <c r="C11919" t="s">
        <v>15087</v>
      </c>
      <c r="D11919" t="s">
        <v>17959</v>
      </c>
      <c r="E11919" t="s">
        <v>28338</v>
      </c>
      <c r="F11919" t="s">
        <v>30900</v>
      </c>
      <c r="G11919" t="s">
        <v>30907</v>
      </c>
      <c r="H11919" t="s">
        <v>30916</v>
      </c>
      <c r="I11919" t="s">
        <v>6834</v>
      </c>
      <c r="J11919" t="s">
        <v>38471</v>
      </c>
      <c r="K11919" t="s">
        <v>40289</v>
      </c>
      <c r="M11919" t="s">
        <v>42174</v>
      </c>
      <c r="N11919" t="s">
        <v>44759</v>
      </c>
      <c r="O11919" t="s">
        <v>44760</v>
      </c>
      <c r="Q11919">
        <v>22</v>
      </c>
      <c r="R11919" t="s">
        <v>44775</v>
      </c>
      <c r="S11919" t="s">
        <v>45393</v>
      </c>
      <c r="T11919" t="s">
        <v>46595</v>
      </c>
      <c r="U11919" t="s">
        <v>54782</v>
      </c>
      <c r="W11919" t="s">
        <v>42174</v>
      </c>
      <c r="X11919" t="s">
        <v>44776</v>
      </c>
    </row>
    <row r="11920" spans="1:24">
      <c r="A11920">
        <f>HYPERLINK("https://www.philgeps.gov.ph/GEPSNONPILOT/Tender/SplashBidNoticeAbstractUI.aspx?menuIndex=3&amp;refID=7124689&amp;Result=3","7124689")</f>
        <v>0</v>
      </c>
      <c r="B11920" t="s">
        <v>3430</v>
      </c>
      <c r="C11920" t="s">
        <v>15088</v>
      </c>
      <c r="D11920" t="s">
        <v>17973</v>
      </c>
      <c r="E11920" t="s">
        <v>28339</v>
      </c>
      <c r="F11920" t="s">
        <v>30900</v>
      </c>
      <c r="G11920" t="s">
        <v>30907</v>
      </c>
      <c r="H11920" t="s">
        <v>30915</v>
      </c>
      <c r="I11920" t="s">
        <v>30919</v>
      </c>
      <c r="J11920" t="s">
        <v>38472</v>
      </c>
      <c r="K11920" t="s">
        <v>40292</v>
      </c>
      <c r="M11920" t="s">
        <v>44310</v>
      </c>
      <c r="N11920" t="s">
        <v>44759</v>
      </c>
      <c r="O11920" t="s">
        <v>44760</v>
      </c>
      <c r="P11920">
        <v>0</v>
      </c>
      <c r="Q11920">
        <v>0</v>
      </c>
      <c r="R11920" t="s">
        <v>44775</v>
      </c>
      <c r="S11920" t="s">
        <v>45343</v>
      </c>
      <c r="T11920" t="s">
        <v>46389</v>
      </c>
      <c r="U11920" t="s">
        <v>56751</v>
      </c>
      <c r="W11920" t="s">
        <v>44310</v>
      </c>
      <c r="X11920" t="s">
        <v>44776</v>
      </c>
    </row>
    <row r="11921" spans="1:24">
      <c r="A11921">
        <f>HYPERLINK("https://www.philgeps.gov.ph/GEPSNONPILOT/Tender/SplashBidNoticeAbstractUI.aspx?menuIndex=3&amp;refID=7124709&amp;Result=3","7124709")</f>
        <v>0</v>
      </c>
      <c r="B11921" t="s">
        <v>379</v>
      </c>
      <c r="C11921" t="s">
        <v>15089</v>
      </c>
      <c r="D11921" t="s">
        <v>18015</v>
      </c>
      <c r="E11921" t="s">
        <v>28340</v>
      </c>
      <c r="F11921" t="s">
        <v>30900</v>
      </c>
      <c r="G11921" t="s">
        <v>30907</v>
      </c>
      <c r="H11921" t="s">
        <v>30916</v>
      </c>
      <c r="I11921" t="s">
        <v>4454</v>
      </c>
      <c r="J11921" t="s">
        <v>38473</v>
      </c>
      <c r="K11921" t="s">
        <v>40283</v>
      </c>
      <c r="M11921" t="s">
        <v>40933</v>
      </c>
      <c r="N11921" t="s">
        <v>44759</v>
      </c>
      <c r="O11921" t="s">
        <v>44760</v>
      </c>
      <c r="P11921">
        <v>0</v>
      </c>
      <c r="Q11921">
        <v>1</v>
      </c>
      <c r="R11921" t="s">
        <v>44775</v>
      </c>
      <c r="S11921" t="s">
        <v>45343</v>
      </c>
      <c r="T11921" t="s">
        <v>46369</v>
      </c>
      <c r="U11921" t="s">
        <v>56752</v>
      </c>
      <c r="W11921" t="s">
        <v>40933</v>
      </c>
      <c r="X11921" t="s">
        <v>44776</v>
      </c>
    </row>
    <row r="11922" spans="1:24">
      <c r="A11922">
        <f>HYPERLINK("https://www.philgeps.gov.ph/GEPSNONPILOT/Tender/SplashBidNoticeAbstractUI.aspx?menuIndex=3&amp;refID=7124741&amp;Result=3","7124741")</f>
        <v>0</v>
      </c>
      <c r="B11922" t="s">
        <v>1978</v>
      </c>
      <c r="C11922" t="s">
        <v>15090</v>
      </c>
      <c r="D11922" t="s">
        <v>17993</v>
      </c>
      <c r="E11922" t="s">
        <v>28341</v>
      </c>
      <c r="F11922" t="s">
        <v>30900</v>
      </c>
      <c r="G11922" t="s">
        <v>30907</v>
      </c>
      <c r="H11922" t="s">
        <v>30916</v>
      </c>
      <c r="I11922" t="s">
        <v>30923</v>
      </c>
      <c r="J11922" t="s">
        <v>38474</v>
      </c>
      <c r="K11922" t="s">
        <v>40289</v>
      </c>
      <c r="M11922" t="s">
        <v>42667</v>
      </c>
      <c r="N11922" t="s">
        <v>44759</v>
      </c>
      <c r="O11922" t="s">
        <v>44760</v>
      </c>
      <c r="P11922">
        <v>0</v>
      </c>
      <c r="Q11922">
        <v>2</v>
      </c>
      <c r="R11922" t="s">
        <v>44775</v>
      </c>
      <c r="S11922" t="s">
        <v>45343</v>
      </c>
      <c r="T11922" t="s">
        <v>46352</v>
      </c>
      <c r="U11922" t="s">
        <v>56753</v>
      </c>
      <c r="W11922" t="s">
        <v>42667</v>
      </c>
      <c r="X11922" t="s">
        <v>44776</v>
      </c>
    </row>
    <row r="11923" spans="1:24">
      <c r="A11923">
        <f>HYPERLINK("https://www.philgeps.gov.ph/GEPSNONPILOT/Tender/SplashBidNoticeAbstractUI.aspx?menuIndex=3&amp;refID=7124568&amp;Result=3","7124568")</f>
        <v>0</v>
      </c>
      <c r="B11923" t="s">
        <v>1640</v>
      </c>
      <c r="C11923" t="s">
        <v>15091</v>
      </c>
      <c r="D11923" t="s">
        <v>18013</v>
      </c>
      <c r="E11923" t="s">
        <v>28342</v>
      </c>
      <c r="F11923" t="s">
        <v>30900</v>
      </c>
      <c r="G11923" t="s">
        <v>30907</v>
      </c>
      <c r="H11923" t="s">
        <v>30915</v>
      </c>
      <c r="I11923" t="s">
        <v>30919</v>
      </c>
      <c r="J11923" t="s">
        <v>34384</v>
      </c>
      <c r="K11923" t="s">
        <v>40364</v>
      </c>
      <c r="M11923" t="s">
        <v>42296</v>
      </c>
      <c r="N11923" t="s">
        <v>44759</v>
      </c>
      <c r="O11923" t="s">
        <v>44760</v>
      </c>
      <c r="Q11923">
        <v>0</v>
      </c>
      <c r="R11923" t="s">
        <v>44775</v>
      </c>
      <c r="S11923" t="s">
        <v>45394</v>
      </c>
      <c r="T11923" t="s">
        <v>46706</v>
      </c>
      <c r="U11923" t="s">
        <v>56754</v>
      </c>
      <c r="W11923" t="s">
        <v>42296</v>
      </c>
      <c r="X11923" t="s">
        <v>44776</v>
      </c>
    </row>
    <row r="11924" spans="1:24">
      <c r="A11924">
        <f>HYPERLINK("https://www.philgeps.gov.ph/GEPSNONPILOT/Tender/SplashBidNoticeAbstractUI.aspx?menuIndex=3&amp;refID=7124665&amp;Result=3","7124665")</f>
        <v>0</v>
      </c>
      <c r="B11924" t="s">
        <v>614</v>
      </c>
      <c r="C11924" t="s">
        <v>15092</v>
      </c>
      <c r="D11924" t="s">
        <v>17996</v>
      </c>
      <c r="E11924" t="s">
        <v>28343</v>
      </c>
      <c r="F11924" t="s">
        <v>30900</v>
      </c>
      <c r="G11924" t="s">
        <v>30907</v>
      </c>
      <c r="H11924" t="s">
        <v>30916</v>
      </c>
      <c r="I11924" t="s">
        <v>9385</v>
      </c>
      <c r="J11924" t="s">
        <v>38475</v>
      </c>
      <c r="K11924" t="s">
        <v>40286</v>
      </c>
      <c r="M11924" t="s">
        <v>41176</v>
      </c>
      <c r="N11924" t="s">
        <v>44759</v>
      </c>
      <c r="O11924" t="s">
        <v>44760</v>
      </c>
      <c r="P11924">
        <v>0</v>
      </c>
      <c r="Q11924">
        <v>14</v>
      </c>
      <c r="R11924" t="s">
        <v>44775</v>
      </c>
      <c r="S11924" t="s">
        <v>45343</v>
      </c>
      <c r="T11924" t="s">
        <v>46389</v>
      </c>
      <c r="U11924" t="s">
        <v>56755</v>
      </c>
      <c r="W11924" t="s">
        <v>41176</v>
      </c>
      <c r="X11924" t="s">
        <v>44776</v>
      </c>
    </row>
    <row r="11925" spans="1:24">
      <c r="A11925">
        <f>HYPERLINK("https://www.philgeps.gov.ph/GEPSNONPILOT/Tender/SplashBidNoticeAbstractUI.aspx?menuIndex=3&amp;refID=7124680&amp;Result=3","7124680")</f>
        <v>0</v>
      </c>
      <c r="B11925" t="s">
        <v>785</v>
      </c>
      <c r="C11925" t="s">
        <v>15093</v>
      </c>
      <c r="D11925" t="s">
        <v>17984</v>
      </c>
      <c r="E11925" t="s">
        <v>28344</v>
      </c>
      <c r="F11925" t="s">
        <v>30900</v>
      </c>
      <c r="G11925" t="s">
        <v>30907</v>
      </c>
      <c r="H11925" t="s">
        <v>30916</v>
      </c>
      <c r="I11925" t="s">
        <v>30933</v>
      </c>
      <c r="J11925" t="s">
        <v>32049</v>
      </c>
      <c r="K11925" t="s">
        <v>40293</v>
      </c>
      <c r="M11925" t="s">
        <v>41354</v>
      </c>
      <c r="N11925" t="s">
        <v>44759</v>
      </c>
      <c r="O11925" t="s">
        <v>44760</v>
      </c>
      <c r="P11925">
        <v>0</v>
      </c>
      <c r="Q11925">
        <v>3</v>
      </c>
      <c r="R11925" t="s">
        <v>44775</v>
      </c>
      <c r="S11925" t="s">
        <v>45343</v>
      </c>
      <c r="T11925" t="s">
        <v>46404</v>
      </c>
      <c r="U11925" t="s">
        <v>56756</v>
      </c>
      <c r="W11925" t="s">
        <v>41354</v>
      </c>
      <c r="X11925" t="s">
        <v>44776</v>
      </c>
    </row>
    <row r="11926" spans="1:24">
      <c r="A11926">
        <f>HYPERLINK("https://www.philgeps.gov.ph/GEPSNONPILOT/Tender/SplashBidNoticeAbstractUI.aspx?menuIndex=3&amp;refID=7124871&amp;Result=3","7124871")</f>
        <v>0</v>
      </c>
      <c r="B11926" t="s">
        <v>819</v>
      </c>
      <c r="C11926" t="s">
        <v>15094</v>
      </c>
      <c r="D11926" t="s">
        <v>18025</v>
      </c>
      <c r="E11926" t="s">
        <v>28345</v>
      </c>
      <c r="F11926" t="s">
        <v>30900</v>
      </c>
      <c r="G11926" t="s">
        <v>30907</v>
      </c>
      <c r="H11926" t="s">
        <v>30915</v>
      </c>
      <c r="I11926" t="s">
        <v>30919</v>
      </c>
      <c r="J11926" t="s">
        <v>38476</v>
      </c>
      <c r="K11926" t="s">
        <v>40354</v>
      </c>
      <c r="M11926" t="s">
        <v>41390</v>
      </c>
      <c r="N11926" t="s">
        <v>44759</v>
      </c>
      <c r="O11926" t="s">
        <v>44760</v>
      </c>
      <c r="P11926">
        <v>0</v>
      </c>
      <c r="Q11926">
        <v>0</v>
      </c>
      <c r="R11926" t="s">
        <v>44775</v>
      </c>
      <c r="S11926" t="s">
        <v>45343</v>
      </c>
      <c r="T11926" t="s">
        <v>46396</v>
      </c>
      <c r="U11926" t="s">
        <v>56757</v>
      </c>
      <c r="W11926" t="s">
        <v>41390</v>
      </c>
      <c r="X11926" t="s">
        <v>44776</v>
      </c>
    </row>
    <row r="11927" spans="1:24">
      <c r="A11927">
        <f>HYPERLINK("https://www.philgeps.gov.ph/GEPSNONPILOT/Tender/SplashBidNoticeAbstractUI.aspx?menuIndex=3&amp;refID=7124699&amp;Result=3","7124699")</f>
        <v>0</v>
      </c>
      <c r="B11927" t="s">
        <v>448</v>
      </c>
      <c r="C11927" t="s">
        <v>15095</v>
      </c>
      <c r="D11927" t="s">
        <v>17987</v>
      </c>
      <c r="E11927" t="s">
        <v>28346</v>
      </c>
      <c r="F11927" t="s">
        <v>30900</v>
      </c>
      <c r="G11927" t="s">
        <v>30907</v>
      </c>
      <c r="H11927" t="s">
        <v>30916</v>
      </c>
      <c r="I11927" t="s">
        <v>10961</v>
      </c>
      <c r="J11927" t="s">
        <v>38477</v>
      </c>
      <c r="K11927" t="s">
        <v>40287</v>
      </c>
      <c r="M11927" t="s">
        <v>41005</v>
      </c>
      <c r="N11927" t="s">
        <v>44759</v>
      </c>
      <c r="O11927" t="s">
        <v>44760</v>
      </c>
      <c r="P11927">
        <v>0</v>
      </c>
      <c r="Q11927">
        <v>2</v>
      </c>
      <c r="R11927" t="s">
        <v>44775</v>
      </c>
      <c r="S11927" t="s">
        <v>45343</v>
      </c>
      <c r="T11927" t="s">
        <v>46387</v>
      </c>
      <c r="U11927" t="s">
        <v>56758</v>
      </c>
      <c r="W11927" t="s">
        <v>41005</v>
      </c>
      <c r="X11927" t="s">
        <v>44776</v>
      </c>
    </row>
    <row r="11928" spans="1:24">
      <c r="A11928">
        <f>HYPERLINK("https://www.philgeps.gov.ph/GEPSNONPILOT/Tender/SplashBidNoticeAbstractUI.aspx?menuIndex=3&amp;refID=7124870&amp;Result=3","7124870")</f>
        <v>0</v>
      </c>
      <c r="B11928" t="s">
        <v>1531</v>
      </c>
      <c r="C11928" t="s">
        <v>15096</v>
      </c>
      <c r="D11928" t="s">
        <v>17959</v>
      </c>
      <c r="E11928" t="s">
        <v>28347</v>
      </c>
      <c r="F11928" t="s">
        <v>30900</v>
      </c>
      <c r="G11928" t="s">
        <v>30907</v>
      </c>
      <c r="H11928" t="s">
        <v>30916</v>
      </c>
      <c r="I11928" t="s">
        <v>30942</v>
      </c>
      <c r="J11928" t="s">
        <v>35638</v>
      </c>
      <c r="K11928" t="s">
        <v>40319</v>
      </c>
      <c r="M11928" t="s">
        <v>42174</v>
      </c>
      <c r="N11928" t="s">
        <v>44759</v>
      </c>
      <c r="O11928" t="s">
        <v>44760</v>
      </c>
      <c r="Q11928">
        <v>6</v>
      </c>
      <c r="R11928" t="s">
        <v>44775</v>
      </c>
      <c r="S11928" t="s">
        <v>45395</v>
      </c>
      <c r="T11928" t="s">
        <v>46450</v>
      </c>
      <c r="U11928" t="s">
        <v>54782</v>
      </c>
      <c r="W11928" t="s">
        <v>42174</v>
      </c>
      <c r="X11928" t="s">
        <v>44776</v>
      </c>
    </row>
    <row r="11929" spans="1:24">
      <c r="A11929">
        <f>HYPERLINK("https://www.philgeps.gov.ph/GEPSNONPILOT/Tender/SplashBidNoticeAbstractUI.aspx?menuIndex=3&amp;refID=7124848&amp;Result=3","7124848")</f>
        <v>0</v>
      </c>
      <c r="B11929" t="s">
        <v>3429</v>
      </c>
      <c r="C11929" t="s">
        <v>15097</v>
      </c>
      <c r="D11929" t="s">
        <v>17962</v>
      </c>
      <c r="E11929" t="s">
        <v>28348</v>
      </c>
      <c r="F11929" t="s">
        <v>30900</v>
      </c>
      <c r="G11929" t="s">
        <v>30907</v>
      </c>
      <c r="H11929" t="s">
        <v>30915</v>
      </c>
      <c r="I11929" t="s">
        <v>30919</v>
      </c>
      <c r="J11929" t="s">
        <v>38478</v>
      </c>
      <c r="K11929" t="s">
        <v>40287</v>
      </c>
      <c r="M11929" t="s">
        <v>44309</v>
      </c>
      <c r="N11929" t="s">
        <v>44759</v>
      </c>
      <c r="O11929" t="s">
        <v>44760</v>
      </c>
      <c r="P11929">
        <v>0</v>
      </c>
      <c r="Q11929">
        <v>1</v>
      </c>
      <c r="R11929" t="s">
        <v>44775</v>
      </c>
      <c r="S11929" t="s">
        <v>45343</v>
      </c>
      <c r="T11929" t="s">
        <v>46421</v>
      </c>
      <c r="U11929" t="s">
        <v>56759</v>
      </c>
      <c r="W11929" t="s">
        <v>44309</v>
      </c>
      <c r="X11929" t="s">
        <v>44776</v>
      </c>
    </row>
    <row r="11930" spans="1:24">
      <c r="A11930">
        <f>HYPERLINK("https://www.philgeps.gov.ph/GEPSNONPILOT/Tender/SplashBidNoticeAbstractUI.aspx?menuIndex=3&amp;refID=7124844&amp;Result=3","7124844")</f>
        <v>0</v>
      </c>
      <c r="B11930" t="s">
        <v>1978</v>
      </c>
      <c r="C11930" t="s">
        <v>15098</v>
      </c>
      <c r="D11930" t="s">
        <v>17993</v>
      </c>
      <c r="E11930" t="s">
        <v>28349</v>
      </c>
      <c r="F11930" t="s">
        <v>30900</v>
      </c>
      <c r="G11930" t="s">
        <v>30907</v>
      </c>
      <c r="H11930" t="s">
        <v>30916</v>
      </c>
      <c r="I11930" t="s">
        <v>30918</v>
      </c>
      <c r="J11930" t="s">
        <v>38479</v>
      </c>
      <c r="K11930" t="s">
        <v>40289</v>
      </c>
      <c r="M11930" t="s">
        <v>42667</v>
      </c>
      <c r="N11930" t="s">
        <v>44759</v>
      </c>
      <c r="O11930" t="s">
        <v>44760</v>
      </c>
      <c r="P11930">
        <v>0</v>
      </c>
      <c r="Q11930">
        <v>17</v>
      </c>
      <c r="R11930" t="s">
        <v>44775</v>
      </c>
      <c r="S11930" t="s">
        <v>45343</v>
      </c>
      <c r="T11930" t="s">
        <v>46352</v>
      </c>
      <c r="U11930" t="s">
        <v>56760</v>
      </c>
      <c r="W11930" t="s">
        <v>42667</v>
      </c>
      <c r="X11930" t="s">
        <v>44776</v>
      </c>
    </row>
    <row r="11931" spans="1:24">
      <c r="A11931">
        <f>HYPERLINK("https://www.philgeps.gov.ph/GEPSNONPILOT/Tender/SplashBidNoticeAbstractUI.aspx?menuIndex=3&amp;refID=7124837&amp;Result=3","7124837")</f>
        <v>0</v>
      </c>
      <c r="B11931" t="s">
        <v>75</v>
      </c>
      <c r="C11931" t="s">
        <v>15099</v>
      </c>
      <c r="D11931" t="s">
        <v>17985</v>
      </c>
      <c r="E11931" t="s">
        <v>28350</v>
      </c>
      <c r="F11931" t="s">
        <v>30900</v>
      </c>
      <c r="G11931" t="s">
        <v>30907</v>
      </c>
      <c r="H11931" t="s">
        <v>30915</v>
      </c>
      <c r="I11931" t="s">
        <v>30919</v>
      </c>
      <c r="J11931" t="s">
        <v>38480</v>
      </c>
      <c r="K11931" t="s">
        <v>40402</v>
      </c>
      <c r="M11931" t="s">
        <v>40622</v>
      </c>
      <c r="N11931" t="s">
        <v>44759</v>
      </c>
      <c r="O11931" t="s">
        <v>44760</v>
      </c>
      <c r="P11931">
        <v>0</v>
      </c>
      <c r="Q11931">
        <v>1</v>
      </c>
      <c r="R11931" t="s">
        <v>44775</v>
      </c>
      <c r="S11931" t="s">
        <v>45343</v>
      </c>
      <c r="T11931" t="s">
        <v>46389</v>
      </c>
      <c r="U11931" t="s">
        <v>56761</v>
      </c>
      <c r="W11931" t="s">
        <v>40622</v>
      </c>
      <c r="X11931" t="s">
        <v>44776</v>
      </c>
    </row>
    <row r="11932" spans="1:24">
      <c r="A11932">
        <f>HYPERLINK("https://www.philgeps.gov.ph/GEPSNONPILOT/Tender/SplashBidNoticeAbstractUI.aspx?menuIndex=3&amp;refID=7124835&amp;Result=3","7124835")</f>
        <v>0</v>
      </c>
      <c r="B11932" t="s">
        <v>2753</v>
      </c>
      <c r="C11932" t="s">
        <v>15100</v>
      </c>
      <c r="D11932" t="s">
        <v>18038</v>
      </c>
      <c r="E11932" t="s">
        <v>28351</v>
      </c>
      <c r="F11932" t="s">
        <v>30900</v>
      </c>
      <c r="G11932" t="s">
        <v>30907</v>
      </c>
      <c r="H11932" t="s">
        <v>30916</v>
      </c>
      <c r="I11932" t="s">
        <v>30963</v>
      </c>
      <c r="J11932" t="s">
        <v>34475</v>
      </c>
      <c r="K11932" t="s">
        <v>40284</v>
      </c>
      <c r="M11932" t="s">
        <v>43530</v>
      </c>
      <c r="N11932" t="s">
        <v>44759</v>
      </c>
      <c r="O11932" t="s">
        <v>44760</v>
      </c>
      <c r="P11932">
        <v>0</v>
      </c>
      <c r="Q11932">
        <v>1</v>
      </c>
      <c r="R11932" t="s">
        <v>44775</v>
      </c>
      <c r="S11932" t="s">
        <v>45343</v>
      </c>
      <c r="T11932" t="s">
        <v>46418</v>
      </c>
      <c r="U11932" t="s">
        <v>56762</v>
      </c>
      <c r="V11932" t="s">
        <v>60458</v>
      </c>
      <c r="W11932" t="s">
        <v>43530</v>
      </c>
      <c r="X11932" t="s">
        <v>44776</v>
      </c>
    </row>
    <row r="11933" spans="1:24">
      <c r="A11933">
        <f>HYPERLINK("https://www.philgeps.gov.ph/GEPSNONPILOT/Tender/SplashBidNoticeAbstractUI.aspx?menuIndex=3&amp;refID=7124831&amp;Result=3","7124831")</f>
        <v>0</v>
      </c>
      <c r="B11933" t="s">
        <v>75</v>
      </c>
      <c r="C11933" t="s">
        <v>15101</v>
      </c>
      <c r="D11933" t="s">
        <v>17985</v>
      </c>
      <c r="E11933" t="s">
        <v>28352</v>
      </c>
      <c r="F11933" t="s">
        <v>30900</v>
      </c>
      <c r="G11933" t="s">
        <v>30907</v>
      </c>
      <c r="H11933" t="s">
        <v>30915</v>
      </c>
      <c r="I11933" t="s">
        <v>30919</v>
      </c>
      <c r="J11933" t="s">
        <v>38481</v>
      </c>
      <c r="K11933" t="s">
        <v>40517</v>
      </c>
      <c r="M11933" t="s">
        <v>40622</v>
      </c>
      <c r="N11933" t="s">
        <v>44759</v>
      </c>
      <c r="O11933" t="s">
        <v>44760</v>
      </c>
      <c r="P11933">
        <v>0</v>
      </c>
      <c r="Q11933">
        <v>1</v>
      </c>
      <c r="R11933" t="s">
        <v>44775</v>
      </c>
      <c r="S11933" t="s">
        <v>45343</v>
      </c>
      <c r="T11933" t="s">
        <v>46389</v>
      </c>
      <c r="U11933" t="s">
        <v>56763</v>
      </c>
      <c r="W11933" t="s">
        <v>40622</v>
      </c>
      <c r="X11933" t="s">
        <v>44776</v>
      </c>
    </row>
    <row r="11934" spans="1:24">
      <c r="A11934">
        <f>HYPERLINK("https://www.philgeps.gov.ph/GEPSNONPILOT/Tender/SplashBidNoticeAbstractUI.aspx?menuIndex=3&amp;refID=7124828&amp;Result=3","7124828")</f>
        <v>0</v>
      </c>
      <c r="B11934" t="s">
        <v>3425</v>
      </c>
      <c r="C11934" t="s">
        <v>15102</v>
      </c>
      <c r="D11934" t="s">
        <v>18013</v>
      </c>
      <c r="E11934" t="s">
        <v>28353</v>
      </c>
      <c r="F11934" t="s">
        <v>30900</v>
      </c>
      <c r="G11934" t="s">
        <v>30907</v>
      </c>
      <c r="H11934" t="s">
        <v>7411</v>
      </c>
      <c r="I11934" t="s">
        <v>7411</v>
      </c>
      <c r="J11934" t="s">
        <v>38482</v>
      </c>
      <c r="K11934" t="s">
        <v>40487</v>
      </c>
      <c r="M11934" t="s">
        <v>44305</v>
      </c>
      <c r="N11934" t="s">
        <v>44759</v>
      </c>
      <c r="O11934" t="s">
        <v>44760</v>
      </c>
      <c r="P11934">
        <v>0</v>
      </c>
      <c r="Q11934">
        <v>9</v>
      </c>
      <c r="R11934" t="s">
        <v>44775</v>
      </c>
      <c r="S11934" t="s">
        <v>45343</v>
      </c>
      <c r="T11934" t="s">
        <v>46495</v>
      </c>
      <c r="U11934" t="s">
        <v>56733</v>
      </c>
      <c r="W11934" t="s">
        <v>44305</v>
      </c>
      <c r="X11934" t="s">
        <v>44776</v>
      </c>
    </row>
    <row r="11935" spans="1:24">
      <c r="A11935">
        <f>HYPERLINK("https://www.philgeps.gov.ph/GEPSNONPILOT/Tender/SplashBidNoticeAbstractUI.aspx?menuIndex=3&amp;refID=7124822&amp;Result=3","7124822")</f>
        <v>0</v>
      </c>
      <c r="B11935" t="s">
        <v>350</v>
      </c>
      <c r="C11935" t="s">
        <v>15103</v>
      </c>
      <c r="D11935" t="s">
        <v>18025</v>
      </c>
      <c r="E11935" t="s">
        <v>28354</v>
      </c>
      <c r="F11935" t="s">
        <v>30900</v>
      </c>
      <c r="G11935" t="s">
        <v>30907</v>
      </c>
      <c r="H11935" t="s">
        <v>30916</v>
      </c>
      <c r="I11935" t="s">
        <v>30942</v>
      </c>
      <c r="J11935" t="s">
        <v>31653</v>
      </c>
      <c r="K11935" t="s">
        <v>40286</v>
      </c>
      <c r="M11935" t="s">
        <v>44311</v>
      </c>
      <c r="N11935" t="s">
        <v>44759</v>
      </c>
      <c r="O11935" t="s">
        <v>44760</v>
      </c>
      <c r="P11935">
        <v>0</v>
      </c>
      <c r="Q11935">
        <v>2</v>
      </c>
      <c r="R11935" t="s">
        <v>44775</v>
      </c>
      <c r="S11935" t="s">
        <v>45343</v>
      </c>
      <c r="T11935" t="s">
        <v>46404</v>
      </c>
      <c r="U11935" t="s">
        <v>47499</v>
      </c>
      <c r="V11935" t="s">
        <v>59326</v>
      </c>
      <c r="W11935" t="s">
        <v>60826</v>
      </c>
      <c r="X11935" t="s">
        <v>44776</v>
      </c>
    </row>
    <row r="11936" spans="1:24">
      <c r="A11936">
        <f>HYPERLINK("https://www.philgeps.gov.ph/GEPSNONPILOT/Tender/SplashBidNoticeAbstractUI.aspx?menuIndex=3&amp;refID=7124820&amp;Result=3","7124820")</f>
        <v>0</v>
      </c>
      <c r="B11936" t="s">
        <v>3431</v>
      </c>
      <c r="C11936" t="s">
        <v>15104</v>
      </c>
      <c r="D11936" t="s">
        <v>18001</v>
      </c>
      <c r="E11936" t="s">
        <v>28355</v>
      </c>
      <c r="F11936" t="s">
        <v>30900</v>
      </c>
      <c r="G11936" t="s">
        <v>30907</v>
      </c>
      <c r="H11936" t="s">
        <v>30916</v>
      </c>
      <c r="I11936" t="s">
        <v>30923</v>
      </c>
      <c r="J11936" t="s">
        <v>32707</v>
      </c>
      <c r="K11936" t="s">
        <v>40287</v>
      </c>
      <c r="M11936" t="s">
        <v>44312</v>
      </c>
      <c r="N11936" t="s">
        <v>44759</v>
      </c>
      <c r="O11936" t="s">
        <v>44760</v>
      </c>
      <c r="Q11936">
        <v>7</v>
      </c>
      <c r="R11936" t="s">
        <v>44775</v>
      </c>
      <c r="S11936" t="s">
        <v>45396</v>
      </c>
      <c r="T11936" t="s">
        <v>46498</v>
      </c>
      <c r="U11936" t="s">
        <v>56764</v>
      </c>
      <c r="W11936" t="s">
        <v>44312</v>
      </c>
      <c r="X11936" t="s">
        <v>44776</v>
      </c>
    </row>
    <row r="11937" spans="1:24">
      <c r="A11937">
        <f>HYPERLINK("https://www.philgeps.gov.ph/GEPSNONPILOT/Tender/SplashBidNoticeAbstractUI.aspx?menuIndex=3&amp;refID=7124819&amp;Result=3","7124819")</f>
        <v>0</v>
      </c>
      <c r="B11937" t="s">
        <v>629</v>
      </c>
      <c r="C11937" t="s">
        <v>15105</v>
      </c>
      <c r="D11937" t="s">
        <v>17992</v>
      </c>
      <c r="E11937" t="s">
        <v>28356</v>
      </c>
      <c r="F11937" t="s">
        <v>30900</v>
      </c>
      <c r="G11937" t="s">
        <v>30907</v>
      </c>
      <c r="H11937" t="s">
        <v>30916</v>
      </c>
      <c r="I11937" t="s">
        <v>30924</v>
      </c>
      <c r="J11937" t="s">
        <v>31263</v>
      </c>
      <c r="K11937" t="s">
        <v>40283</v>
      </c>
      <c r="M11937" t="s">
        <v>41195</v>
      </c>
      <c r="N11937" t="s">
        <v>44759</v>
      </c>
      <c r="O11937" t="s">
        <v>44760</v>
      </c>
      <c r="P11937">
        <v>0</v>
      </c>
      <c r="Q11937">
        <v>2</v>
      </c>
      <c r="R11937" t="s">
        <v>44775</v>
      </c>
      <c r="S11937" t="s">
        <v>45343</v>
      </c>
      <c r="T11937" t="s">
        <v>46613</v>
      </c>
      <c r="U11937" t="s">
        <v>56765</v>
      </c>
      <c r="V11937" t="s">
        <v>59226</v>
      </c>
      <c r="W11937" t="s">
        <v>41195</v>
      </c>
      <c r="X11937" t="s">
        <v>44776</v>
      </c>
    </row>
    <row r="11938" spans="1:24">
      <c r="A11938">
        <f>HYPERLINK("https://www.philgeps.gov.ph/GEPSNONPILOT/Tender/SplashBidNoticeAbstractUI.aspx?menuIndex=3&amp;refID=7124816&amp;Result=3","7124816")</f>
        <v>0</v>
      </c>
      <c r="B11938" t="s">
        <v>2382</v>
      </c>
      <c r="C11938" t="s">
        <v>15106</v>
      </c>
      <c r="D11938" t="s">
        <v>18021</v>
      </c>
      <c r="E11938" t="s">
        <v>28357</v>
      </c>
      <c r="F11938" t="s">
        <v>30900</v>
      </c>
      <c r="G11938" t="s">
        <v>30907</v>
      </c>
      <c r="H11938" t="s">
        <v>30915</v>
      </c>
      <c r="I11938" t="s">
        <v>30919</v>
      </c>
      <c r="J11938" t="s">
        <v>38483</v>
      </c>
      <c r="K11938" t="s">
        <v>40342</v>
      </c>
      <c r="M11938" t="s">
        <v>43108</v>
      </c>
      <c r="N11938" t="s">
        <v>44759</v>
      </c>
      <c r="O11938" t="s">
        <v>44760</v>
      </c>
      <c r="P11938">
        <v>0</v>
      </c>
      <c r="Q11938">
        <v>2</v>
      </c>
      <c r="R11938" t="s">
        <v>44775</v>
      </c>
      <c r="S11938" t="s">
        <v>45343</v>
      </c>
      <c r="T11938" t="s">
        <v>46439</v>
      </c>
      <c r="U11938" t="s">
        <v>56766</v>
      </c>
      <c r="V11938" t="s">
        <v>59855</v>
      </c>
      <c r="W11938" t="s">
        <v>43108</v>
      </c>
      <c r="X11938" t="s">
        <v>44776</v>
      </c>
    </row>
    <row r="11939" spans="1:24">
      <c r="A11939">
        <f>HYPERLINK("https://www.philgeps.gov.ph/GEPSNONPILOT/Tender/SplashBidNoticeAbstractUI.aspx?menuIndex=3&amp;refID=7124946&amp;Result=3","7124946")</f>
        <v>0</v>
      </c>
      <c r="B11939" t="s">
        <v>3432</v>
      </c>
      <c r="C11939" t="s">
        <v>15107</v>
      </c>
      <c r="D11939" t="s">
        <v>17981</v>
      </c>
      <c r="E11939" t="s">
        <v>28358</v>
      </c>
      <c r="F11939" t="s">
        <v>30900</v>
      </c>
      <c r="G11939" t="s">
        <v>30907</v>
      </c>
      <c r="H11939" t="s">
        <v>30915</v>
      </c>
      <c r="I11939" t="s">
        <v>30919</v>
      </c>
      <c r="J11939" t="s">
        <v>37695</v>
      </c>
      <c r="K11939" t="s">
        <v>40533</v>
      </c>
      <c r="M11939" t="s">
        <v>44313</v>
      </c>
      <c r="N11939" t="s">
        <v>44759</v>
      </c>
      <c r="O11939" t="s">
        <v>44760</v>
      </c>
      <c r="Q11939">
        <v>25</v>
      </c>
      <c r="R11939" t="s">
        <v>44775</v>
      </c>
      <c r="S11939" t="s">
        <v>45279</v>
      </c>
      <c r="T11939" t="s">
        <v>46352</v>
      </c>
      <c r="U11939" t="s">
        <v>56767</v>
      </c>
      <c r="V11939" t="s">
        <v>60478</v>
      </c>
      <c r="W11939" t="s">
        <v>44313</v>
      </c>
      <c r="X11939" t="s">
        <v>44776</v>
      </c>
    </row>
    <row r="11940" spans="1:24">
      <c r="A11940">
        <f>HYPERLINK("https://www.philgeps.gov.ph/GEPSNONPILOT/Tender/SplashBidNoticeAbstractUI.aspx?menuIndex=3&amp;refID=7124539&amp;Result=3","7124539")</f>
        <v>0</v>
      </c>
      <c r="B11940" t="s">
        <v>1978</v>
      </c>
      <c r="C11940" t="s">
        <v>15108</v>
      </c>
      <c r="D11940" t="s">
        <v>17993</v>
      </c>
      <c r="E11940" t="s">
        <v>28359</v>
      </c>
      <c r="F11940" t="s">
        <v>30900</v>
      </c>
      <c r="G11940" t="s">
        <v>30907</v>
      </c>
      <c r="H11940" t="s">
        <v>30916</v>
      </c>
      <c r="I11940" t="s">
        <v>9385</v>
      </c>
      <c r="J11940" t="s">
        <v>36367</v>
      </c>
      <c r="K11940" t="s">
        <v>40289</v>
      </c>
      <c r="M11940" t="s">
        <v>42667</v>
      </c>
      <c r="N11940" t="s">
        <v>44759</v>
      </c>
      <c r="O11940" t="s">
        <v>44760</v>
      </c>
      <c r="P11940">
        <v>0</v>
      </c>
      <c r="Q11940">
        <v>5</v>
      </c>
      <c r="R11940" t="s">
        <v>44775</v>
      </c>
      <c r="S11940" t="s">
        <v>45343</v>
      </c>
      <c r="T11940" t="s">
        <v>46352</v>
      </c>
      <c r="U11940" t="s">
        <v>56768</v>
      </c>
      <c r="W11940" t="s">
        <v>42667</v>
      </c>
      <c r="X11940" t="s">
        <v>44776</v>
      </c>
    </row>
    <row r="11941" spans="1:24">
      <c r="A11941">
        <f>HYPERLINK("https://www.philgeps.gov.ph/GEPSNONPILOT/Tender/SplashBidNoticeAbstractUI.aspx?menuIndex=3&amp;refID=7124935&amp;Result=3","7124935")</f>
        <v>0</v>
      </c>
      <c r="B11941" t="s">
        <v>819</v>
      </c>
      <c r="C11941" t="s">
        <v>15109</v>
      </c>
      <c r="D11941" t="s">
        <v>18025</v>
      </c>
      <c r="E11941" t="s">
        <v>28360</v>
      </c>
      <c r="F11941" t="s">
        <v>30900</v>
      </c>
      <c r="G11941" t="s">
        <v>30907</v>
      </c>
      <c r="H11941" t="s">
        <v>30915</v>
      </c>
      <c r="I11941" t="s">
        <v>30919</v>
      </c>
      <c r="J11941" t="s">
        <v>38484</v>
      </c>
      <c r="K11941" t="s">
        <v>40292</v>
      </c>
      <c r="M11941" t="s">
        <v>41390</v>
      </c>
      <c r="N11941" t="s">
        <v>44759</v>
      </c>
      <c r="O11941" t="s">
        <v>44760</v>
      </c>
      <c r="P11941">
        <v>0</v>
      </c>
      <c r="Q11941">
        <v>1</v>
      </c>
      <c r="R11941" t="s">
        <v>44775</v>
      </c>
      <c r="S11941" t="s">
        <v>45343</v>
      </c>
      <c r="T11941" t="s">
        <v>46396</v>
      </c>
      <c r="U11941" t="s">
        <v>56757</v>
      </c>
      <c r="W11941" t="s">
        <v>41390</v>
      </c>
      <c r="X11941" t="s">
        <v>44776</v>
      </c>
    </row>
    <row r="11942" spans="1:24">
      <c r="A11942">
        <f>HYPERLINK("https://www.philgeps.gov.ph/GEPSNONPILOT/Tender/SplashBidNoticeAbstractUI.aspx?menuIndex=3&amp;refID=7124863&amp;Result=3","7124863")</f>
        <v>0</v>
      </c>
      <c r="B11942" t="s">
        <v>2836</v>
      </c>
      <c r="C11942" t="s">
        <v>15110</v>
      </c>
      <c r="D11942" t="s">
        <v>17973</v>
      </c>
      <c r="E11942" t="s">
        <v>19538</v>
      </c>
      <c r="F11942" t="s">
        <v>30900</v>
      </c>
      <c r="G11942" t="s">
        <v>30907</v>
      </c>
      <c r="H11942" t="s">
        <v>30915</v>
      </c>
      <c r="I11942" t="s">
        <v>30919</v>
      </c>
      <c r="J11942" t="s">
        <v>32288</v>
      </c>
      <c r="K11942" t="s">
        <v>40286</v>
      </c>
      <c r="L11942" t="s">
        <v>2836</v>
      </c>
      <c r="M11942" t="s">
        <v>43621</v>
      </c>
      <c r="N11942" t="s">
        <v>44759</v>
      </c>
      <c r="O11942" t="s">
        <v>44760</v>
      </c>
      <c r="P11942">
        <v>0</v>
      </c>
      <c r="Q11942">
        <v>1</v>
      </c>
      <c r="R11942" t="s">
        <v>44775</v>
      </c>
      <c r="S11942" t="s">
        <v>45343</v>
      </c>
      <c r="T11942" t="s">
        <v>46404</v>
      </c>
      <c r="U11942" t="s">
        <v>56769</v>
      </c>
      <c r="W11942" t="s">
        <v>43621</v>
      </c>
      <c r="X11942" t="s">
        <v>44776</v>
      </c>
    </row>
    <row r="11943" spans="1:24">
      <c r="A11943">
        <f>HYPERLINK("https://www.philgeps.gov.ph/GEPSNONPILOT/Tender/SplashBidNoticeAbstractUI.aspx?menuIndex=3&amp;refID=7124932&amp;Result=3","7124932")</f>
        <v>0</v>
      </c>
      <c r="B11943" t="s">
        <v>350</v>
      </c>
      <c r="C11943" t="s">
        <v>15111</v>
      </c>
      <c r="D11943" t="s">
        <v>18025</v>
      </c>
      <c r="E11943" t="s">
        <v>28361</v>
      </c>
      <c r="F11943" t="s">
        <v>30900</v>
      </c>
      <c r="G11943" t="s">
        <v>30907</v>
      </c>
      <c r="H11943" t="s">
        <v>30916</v>
      </c>
      <c r="I11943" t="s">
        <v>30933</v>
      </c>
      <c r="J11943" t="s">
        <v>32967</v>
      </c>
      <c r="K11943" t="s">
        <v>40286</v>
      </c>
      <c r="M11943" t="s">
        <v>41170</v>
      </c>
      <c r="N11943" t="s">
        <v>44759</v>
      </c>
      <c r="O11943" t="s">
        <v>44760</v>
      </c>
      <c r="P11943">
        <v>0</v>
      </c>
      <c r="Q11943">
        <v>2</v>
      </c>
      <c r="R11943" t="s">
        <v>44775</v>
      </c>
      <c r="S11943" t="s">
        <v>45343</v>
      </c>
      <c r="T11943" t="s">
        <v>46404</v>
      </c>
      <c r="U11943" t="s">
        <v>47499</v>
      </c>
      <c r="V11943" t="s">
        <v>59326</v>
      </c>
      <c r="W11943" t="s">
        <v>60826</v>
      </c>
      <c r="X11943" t="s">
        <v>44776</v>
      </c>
    </row>
    <row r="11944" spans="1:24">
      <c r="A11944">
        <f>HYPERLINK("https://www.philgeps.gov.ph/GEPSNONPILOT/Tender/SplashBidNoticeAbstractUI.aspx?menuIndex=3&amp;refID=7124924&amp;Result=3","7124924")</f>
        <v>0</v>
      </c>
      <c r="B11944" t="s">
        <v>1307</v>
      </c>
      <c r="C11944" t="s">
        <v>15112</v>
      </c>
      <c r="D11944" t="s">
        <v>17953</v>
      </c>
      <c r="E11944" t="s">
        <v>25418</v>
      </c>
      <c r="F11944" t="s">
        <v>30900</v>
      </c>
      <c r="G11944" t="s">
        <v>30907</v>
      </c>
      <c r="H11944" t="s">
        <v>30916</v>
      </c>
      <c r="I11944" t="s">
        <v>30933</v>
      </c>
      <c r="J11944" t="s">
        <v>38485</v>
      </c>
      <c r="K11944" t="s">
        <v>40289</v>
      </c>
      <c r="M11944" t="s">
        <v>41925</v>
      </c>
      <c r="N11944" t="s">
        <v>44759</v>
      </c>
      <c r="O11944" t="s">
        <v>44760</v>
      </c>
      <c r="P11944">
        <v>0</v>
      </c>
      <c r="Q11944">
        <v>1</v>
      </c>
      <c r="R11944" t="s">
        <v>44775</v>
      </c>
      <c r="S11944" t="s">
        <v>45343</v>
      </c>
      <c r="T11944" t="s">
        <v>46409</v>
      </c>
      <c r="U11944" t="s">
        <v>56770</v>
      </c>
      <c r="W11944" t="s">
        <v>41925</v>
      </c>
      <c r="X11944" t="s">
        <v>44776</v>
      </c>
    </row>
    <row r="11945" spans="1:24">
      <c r="A11945">
        <f>HYPERLINK("https://www.philgeps.gov.ph/GEPSNONPILOT/Tender/SplashBidNoticeAbstractUI.aspx?menuIndex=3&amp;refID=7124931&amp;Result=3","7124931")</f>
        <v>0</v>
      </c>
      <c r="B11945" t="s">
        <v>1978</v>
      </c>
      <c r="C11945" t="s">
        <v>15113</v>
      </c>
      <c r="D11945" t="s">
        <v>17993</v>
      </c>
      <c r="E11945" t="s">
        <v>28362</v>
      </c>
      <c r="F11945" t="s">
        <v>30900</v>
      </c>
      <c r="G11945" t="s">
        <v>30907</v>
      </c>
      <c r="H11945" t="s">
        <v>30916</v>
      </c>
      <c r="I11945" t="s">
        <v>7708</v>
      </c>
      <c r="J11945" t="s">
        <v>38486</v>
      </c>
      <c r="K11945" t="s">
        <v>40289</v>
      </c>
      <c r="M11945" t="s">
        <v>42667</v>
      </c>
      <c r="N11945" t="s">
        <v>44759</v>
      </c>
      <c r="O11945" t="s">
        <v>44760</v>
      </c>
      <c r="P11945">
        <v>0</v>
      </c>
      <c r="Q11945">
        <v>11</v>
      </c>
      <c r="R11945" t="s">
        <v>44775</v>
      </c>
      <c r="S11945" t="s">
        <v>45343</v>
      </c>
      <c r="T11945" t="s">
        <v>46352</v>
      </c>
      <c r="U11945" t="s">
        <v>56771</v>
      </c>
      <c r="W11945" t="s">
        <v>42667</v>
      </c>
      <c r="X11945" t="s">
        <v>44776</v>
      </c>
    </row>
    <row r="11946" spans="1:24">
      <c r="A11946">
        <f>HYPERLINK("https://www.philgeps.gov.ph/GEPSNONPILOT/Tender/SplashBidNoticeAbstractUI.aspx?menuIndex=3&amp;refID=7124927&amp;Result=3","7124927")</f>
        <v>0</v>
      </c>
      <c r="B11946" t="s">
        <v>305</v>
      </c>
      <c r="C11946" t="s">
        <v>15114</v>
      </c>
      <c r="D11946" t="s">
        <v>17972</v>
      </c>
      <c r="E11946" t="s">
        <v>28363</v>
      </c>
      <c r="F11946" t="s">
        <v>30900</v>
      </c>
      <c r="G11946" t="s">
        <v>30907</v>
      </c>
      <c r="H11946" t="s">
        <v>30915</v>
      </c>
      <c r="I11946" t="s">
        <v>30919</v>
      </c>
      <c r="J11946" t="s">
        <v>38487</v>
      </c>
      <c r="K11946" t="s">
        <v>40447</v>
      </c>
      <c r="M11946" t="s">
        <v>40855</v>
      </c>
      <c r="N11946" t="s">
        <v>44759</v>
      </c>
      <c r="O11946" t="s">
        <v>44760</v>
      </c>
      <c r="P11946">
        <v>0</v>
      </c>
      <c r="Q11946">
        <v>0</v>
      </c>
      <c r="R11946" t="s">
        <v>44775</v>
      </c>
      <c r="S11946" t="s">
        <v>45343</v>
      </c>
      <c r="T11946" t="s">
        <v>46418</v>
      </c>
      <c r="U11946" t="s">
        <v>56772</v>
      </c>
      <c r="W11946" t="s">
        <v>40855</v>
      </c>
      <c r="X11946" t="s">
        <v>44776</v>
      </c>
    </row>
    <row r="11947" spans="1:24">
      <c r="A11947">
        <f>HYPERLINK("https://www.philgeps.gov.ph/GEPSNONPILOT/Tender/SplashBidNoticeAbstractUI.aspx?menuIndex=3&amp;refID=7124915&amp;Result=3","7124915")</f>
        <v>0</v>
      </c>
      <c r="B11947" t="s">
        <v>819</v>
      </c>
      <c r="C11947" t="s">
        <v>15115</v>
      </c>
      <c r="D11947" t="s">
        <v>18025</v>
      </c>
      <c r="E11947" t="s">
        <v>28345</v>
      </c>
      <c r="F11947" t="s">
        <v>30900</v>
      </c>
      <c r="G11947" t="s">
        <v>30907</v>
      </c>
      <c r="H11947" t="s">
        <v>30915</v>
      </c>
      <c r="I11947" t="s">
        <v>30919</v>
      </c>
      <c r="J11947" t="s">
        <v>38488</v>
      </c>
      <c r="K11947" t="s">
        <v>40293</v>
      </c>
      <c r="M11947" t="s">
        <v>41390</v>
      </c>
      <c r="N11947" t="s">
        <v>44759</v>
      </c>
      <c r="O11947" t="s">
        <v>44760</v>
      </c>
      <c r="P11947">
        <v>0</v>
      </c>
      <c r="Q11947">
        <v>0</v>
      </c>
      <c r="R11947" t="s">
        <v>44775</v>
      </c>
      <c r="S11947" t="s">
        <v>45343</v>
      </c>
      <c r="T11947" t="s">
        <v>46396</v>
      </c>
      <c r="U11947" t="s">
        <v>56757</v>
      </c>
      <c r="W11947" t="s">
        <v>41390</v>
      </c>
      <c r="X11947" t="s">
        <v>44776</v>
      </c>
    </row>
    <row r="11948" spans="1:24">
      <c r="A11948">
        <f>HYPERLINK("https://www.philgeps.gov.ph/GEPSNONPILOT/Tender/SplashBidNoticeAbstractUI.aspx?menuIndex=3&amp;refID=7124914&amp;Result=3","7124914")</f>
        <v>0</v>
      </c>
      <c r="B11948" t="s">
        <v>2022</v>
      </c>
      <c r="C11948" t="s">
        <v>15116</v>
      </c>
      <c r="D11948" t="s">
        <v>17990</v>
      </c>
      <c r="E11948" t="s">
        <v>28364</v>
      </c>
      <c r="F11948" t="s">
        <v>30900</v>
      </c>
      <c r="G11948" t="s">
        <v>30907</v>
      </c>
      <c r="H11948" t="s">
        <v>30915</v>
      </c>
      <c r="I11948" t="s">
        <v>8123</v>
      </c>
      <c r="J11948" t="s">
        <v>38489</v>
      </c>
      <c r="K11948" t="s">
        <v>40525</v>
      </c>
      <c r="M11948" t="s">
        <v>43567</v>
      </c>
      <c r="N11948" t="s">
        <v>44759</v>
      </c>
      <c r="O11948" t="s">
        <v>44760</v>
      </c>
      <c r="P11948">
        <v>0</v>
      </c>
      <c r="Q11948">
        <v>2</v>
      </c>
      <c r="R11948" t="s">
        <v>44775</v>
      </c>
      <c r="S11948" t="s">
        <v>45343</v>
      </c>
      <c r="T11948" t="s">
        <v>46425</v>
      </c>
      <c r="U11948" t="s">
        <v>56773</v>
      </c>
      <c r="W11948" t="s">
        <v>43567</v>
      </c>
      <c r="X11948" t="s">
        <v>44776</v>
      </c>
    </row>
    <row r="11949" spans="1:24">
      <c r="A11949">
        <f>HYPERLINK("https://www.philgeps.gov.ph/GEPSNONPILOT/Tender/SplashBidNoticeAbstractUI.aspx?menuIndex=3&amp;refID=7124909&amp;Result=3","7124909")</f>
        <v>0</v>
      </c>
      <c r="B11949" t="s">
        <v>1711</v>
      </c>
      <c r="C11949" t="s">
        <v>15117</v>
      </c>
      <c r="D11949" t="s">
        <v>17952</v>
      </c>
      <c r="E11949" t="s">
        <v>18727</v>
      </c>
      <c r="F11949" t="s">
        <v>30900</v>
      </c>
      <c r="G11949" t="s">
        <v>30907</v>
      </c>
      <c r="H11949" t="s">
        <v>30915</v>
      </c>
      <c r="I11949" t="s">
        <v>30919</v>
      </c>
      <c r="J11949" t="s">
        <v>31214</v>
      </c>
      <c r="K11949" t="s">
        <v>40292</v>
      </c>
      <c r="M11949" t="s">
        <v>42374</v>
      </c>
      <c r="N11949" t="s">
        <v>44759</v>
      </c>
      <c r="O11949" t="s">
        <v>44760</v>
      </c>
      <c r="P11949">
        <v>0</v>
      </c>
      <c r="Q11949">
        <v>6</v>
      </c>
      <c r="R11949" t="s">
        <v>44775</v>
      </c>
      <c r="S11949" t="s">
        <v>45343</v>
      </c>
      <c r="T11949" t="s">
        <v>46369</v>
      </c>
      <c r="U11949" t="s">
        <v>56774</v>
      </c>
      <c r="W11949" t="s">
        <v>42374</v>
      </c>
      <c r="X11949" t="s">
        <v>44776</v>
      </c>
    </row>
    <row r="11950" spans="1:24">
      <c r="A11950">
        <f>HYPERLINK("https://www.philgeps.gov.ph/GEPSNONPILOT/Tender/SplashBidNoticeAbstractUI.aspx?menuIndex=3&amp;refID=7124678&amp;Result=3","7124678")</f>
        <v>0</v>
      </c>
      <c r="B11950" t="s">
        <v>1279</v>
      </c>
      <c r="C11950" t="s">
        <v>15118</v>
      </c>
      <c r="D11950" t="s">
        <v>17963</v>
      </c>
      <c r="E11950" t="s">
        <v>28365</v>
      </c>
      <c r="F11950" t="s">
        <v>30900</v>
      </c>
      <c r="G11950" t="s">
        <v>30907</v>
      </c>
      <c r="H11950" t="s">
        <v>30916</v>
      </c>
      <c r="I11950" t="s">
        <v>30933</v>
      </c>
      <c r="J11950" t="s">
        <v>38490</v>
      </c>
      <c r="K11950" t="s">
        <v>40286</v>
      </c>
      <c r="M11950" t="s">
        <v>41896</v>
      </c>
      <c r="N11950" t="s">
        <v>44759</v>
      </c>
      <c r="O11950" t="s">
        <v>44760</v>
      </c>
      <c r="P11950">
        <v>0</v>
      </c>
      <c r="Q11950">
        <v>8</v>
      </c>
      <c r="R11950" t="s">
        <v>44775</v>
      </c>
      <c r="S11950" t="s">
        <v>45343</v>
      </c>
      <c r="T11950" t="s">
        <v>46353</v>
      </c>
      <c r="U11950" t="s">
        <v>56775</v>
      </c>
      <c r="W11950" t="s">
        <v>41896</v>
      </c>
      <c r="X11950" t="s">
        <v>44776</v>
      </c>
    </row>
    <row r="11951" spans="1:24">
      <c r="A11951">
        <f>HYPERLINK("https://www.philgeps.gov.ph/GEPSNONPILOT/Tender/SplashBidNoticeAbstractUI.aspx?menuIndex=3&amp;refID=7124907&amp;Result=3","7124907")</f>
        <v>0</v>
      </c>
      <c r="B11951" t="s">
        <v>2091</v>
      </c>
      <c r="C11951" t="s">
        <v>15119</v>
      </c>
      <c r="D11951" t="s">
        <v>17952</v>
      </c>
      <c r="E11951" t="s">
        <v>28366</v>
      </c>
      <c r="F11951" t="s">
        <v>30900</v>
      </c>
      <c r="G11951" t="s">
        <v>30907</v>
      </c>
      <c r="H11951" t="s">
        <v>30916</v>
      </c>
      <c r="I11951" t="s">
        <v>30918</v>
      </c>
      <c r="J11951" t="s">
        <v>38491</v>
      </c>
      <c r="K11951" t="s">
        <v>40289</v>
      </c>
      <c r="M11951" t="s">
        <v>42790</v>
      </c>
      <c r="N11951" t="s">
        <v>44759</v>
      </c>
      <c r="O11951" t="s">
        <v>44760</v>
      </c>
      <c r="Q11951">
        <v>31</v>
      </c>
      <c r="R11951" t="s">
        <v>44775</v>
      </c>
      <c r="S11951" t="s">
        <v>45397</v>
      </c>
      <c r="T11951" t="s">
        <v>46425</v>
      </c>
      <c r="U11951" t="s">
        <v>56776</v>
      </c>
      <c r="W11951" t="s">
        <v>42790</v>
      </c>
      <c r="X11951" t="s">
        <v>44776</v>
      </c>
    </row>
    <row r="11952" spans="1:24">
      <c r="A11952">
        <f>HYPERLINK("https://www.philgeps.gov.ph/GEPSNONPILOT/Tender/SplashBidNoticeAbstractUI.aspx?menuIndex=3&amp;refID=7124906&amp;Result=3","7124906")</f>
        <v>0</v>
      </c>
      <c r="B11952" t="s">
        <v>305</v>
      </c>
      <c r="C11952" t="s">
        <v>15120</v>
      </c>
      <c r="D11952" t="s">
        <v>17972</v>
      </c>
      <c r="E11952" t="s">
        <v>28367</v>
      </c>
      <c r="F11952" t="s">
        <v>30900</v>
      </c>
      <c r="G11952" t="s">
        <v>30907</v>
      </c>
      <c r="H11952" t="s">
        <v>30915</v>
      </c>
      <c r="I11952" t="s">
        <v>30919</v>
      </c>
      <c r="J11952" t="s">
        <v>38487</v>
      </c>
      <c r="K11952" t="s">
        <v>40447</v>
      </c>
      <c r="M11952" t="s">
        <v>40855</v>
      </c>
      <c r="N11952" t="s">
        <v>44759</v>
      </c>
      <c r="O11952" t="s">
        <v>44760</v>
      </c>
      <c r="P11952">
        <v>0</v>
      </c>
      <c r="Q11952">
        <v>0</v>
      </c>
      <c r="R11952" t="s">
        <v>44775</v>
      </c>
      <c r="S11952" t="s">
        <v>45343</v>
      </c>
      <c r="T11952" t="s">
        <v>46418</v>
      </c>
      <c r="U11952" t="s">
        <v>56777</v>
      </c>
      <c r="W11952" t="s">
        <v>40855</v>
      </c>
      <c r="X11952" t="s">
        <v>44776</v>
      </c>
    </row>
    <row r="11953" spans="1:24">
      <c r="A11953">
        <f>HYPERLINK("https://www.philgeps.gov.ph/GEPSNONPILOT/Tender/SplashBidNoticeAbstractUI.aspx?menuIndex=3&amp;refID=7125033&amp;Result=3","7125033")</f>
        <v>0</v>
      </c>
      <c r="B11953" t="s">
        <v>3433</v>
      </c>
      <c r="C11953" t="s">
        <v>15121</v>
      </c>
      <c r="D11953" t="s">
        <v>17989</v>
      </c>
      <c r="E11953" t="s">
        <v>28368</v>
      </c>
      <c r="F11953" t="s">
        <v>30900</v>
      </c>
      <c r="G11953" t="s">
        <v>30907</v>
      </c>
      <c r="H11953" t="s">
        <v>30915</v>
      </c>
      <c r="I11953" t="s">
        <v>30919</v>
      </c>
      <c r="J11953" t="s">
        <v>38492</v>
      </c>
      <c r="K11953" t="s">
        <v>40392</v>
      </c>
      <c r="M11953" t="s">
        <v>44314</v>
      </c>
      <c r="N11953" t="s">
        <v>44759</v>
      </c>
      <c r="O11953" t="s">
        <v>44760</v>
      </c>
      <c r="P11953">
        <v>0</v>
      </c>
      <c r="Q11953">
        <v>4</v>
      </c>
      <c r="R11953" t="s">
        <v>44775</v>
      </c>
      <c r="S11953" t="s">
        <v>45343</v>
      </c>
      <c r="T11953" t="s">
        <v>46389</v>
      </c>
      <c r="U11953" t="s">
        <v>56778</v>
      </c>
      <c r="W11953" t="s">
        <v>44314</v>
      </c>
      <c r="X11953" t="s">
        <v>44776</v>
      </c>
    </row>
    <row r="11954" spans="1:24">
      <c r="A11954">
        <f>HYPERLINK("https://www.philgeps.gov.ph/GEPSNONPILOT/Tender/SplashBidNoticeAbstractUI.aspx?menuIndex=3&amp;refID=7124925&amp;Result=3","7124925")</f>
        <v>0</v>
      </c>
      <c r="B11954" t="s">
        <v>629</v>
      </c>
      <c r="C11954" t="s">
        <v>15122</v>
      </c>
      <c r="D11954" t="s">
        <v>17992</v>
      </c>
      <c r="E11954" t="s">
        <v>28369</v>
      </c>
      <c r="F11954" t="s">
        <v>30900</v>
      </c>
      <c r="G11954" t="s">
        <v>30907</v>
      </c>
      <c r="H11954" t="s">
        <v>30916</v>
      </c>
      <c r="I11954" t="s">
        <v>31013</v>
      </c>
      <c r="J11954" t="s">
        <v>38493</v>
      </c>
      <c r="K11954" t="s">
        <v>40283</v>
      </c>
      <c r="M11954" t="s">
        <v>41485</v>
      </c>
      <c r="N11954" t="s">
        <v>44759</v>
      </c>
      <c r="O11954" t="s">
        <v>44760</v>
      </c>
      <c r="Q11954">
        <v>8</v>
      </c>
      <c r="R11954" t="s">
        <v>44775</v>
      </c>
      <c r="S11954" t="s">
        <v>45398</v>
      </c>
      <c r="T11954" t="s">
        <v>46613</v>
      </c>
      <c r="U11954" t="s">
        <v>56779</v>
      </c>
      <c r="W11954" t="s">
        <v>41485</v>
      </c>
      <c r="X11954" t="s">
        <v>44776</v>
      </c>
    </row>
    <row r="11955" spans="1:24">
      <c r="A11955">
        <f>HYPERLINK("https://www.philgeps.gov.ph/GEPSNONPILOT/Tender/SplashBidNoticeAbstractUI.aspx?menuIndex=3&amp;refID=7125028&amp;Result=3","7125028")</f>
        <v>0</v>
      </c>
      <c r="B11955" t="s">
        <v>819</v>
      </c>
      <c r="C11955" t="s">
        <v>15123</v>
      </c>
      <c r="D11955" t="s">
        <v>18025</v>
      </c>
      <c r="E11955" t="s">
        <v>28360</v>
      </c>
      <c r="F11955" t="s">
        <v>30900</v>
      </c>
      <c r="G11955" t="s">
        <v>30907</v>
      </c>
      <c r="H11955" t="s">
        <v>30915</v>
      </c>
      <c r="I11955" t="s">
        <v>30919</v>
      </c>
      <c r="J11955" t="s">
        <v>38494</v>
      </c>
      <c r="K11955" t="s">
        <v>40354</v>
      </c>
      <c r="M11955" t="s">
        <v>41390</v>
      </c>
      <c r="N11955" t="s">
        <v>44759</v>
      </c>
      <c r="O11955" t="s">
        <v>44760</v>
      </c>
      <c r="P11955">
        <v>0</v>
      </c>
      <c r="Q11955">
        <v>0</v>
      </c>
      <c r="R11955" t="s">
        <v>44775</v>
      </c>
      <c r="S11955" t="s">
        <v>45343</v>
      </c>
      <c r="T11955" t="s">
        <v>46418</v>
      </c>
      <c r="U11955" t="s">
        <v>56757</v>
      </c>
      <c r="W11955" t="s">
        <v>41390</v>
      </c>
      <c r="X11955" t="s">
        <v>44776</v>
      </c>
    </row>
    <row r="11956" spans="1:24">
      <c r="A11956">
        <f>HYPERLINK("https://www.philgeps.gov.ph/GEPSNONPILOT/Tender/SplashBidNoticeAbstractUI.aspx?menuIndex=3&amp;refID=7125029&amp;Result=3","7125029")</f>
        <v>0</v>
      </c>
      <c r="B11956" t="s">
        <v>3434</v>
      </c>
      <c r="C11956" t="s">
        <v>15124</v>
      </c>
      <c r="D11956" t="s">
        <v>17952</v>
      </c>
      <c r="E11956" t="s">
        <v>28370</v>
      </c>
      <c r="F11956" t="s">
        <v>30900</v>
      </c>
      <c r="G11956" t="s">
        <v>30907</v>
      </c>
      <c r="H11956" t="s">
        <v>30916</v>
      </c>
      <c r="I11956" t="s">
        <v>8123</v>
      </c>
      <c r="J11956" t="s">
        <v>38495</v>
      </c>
      <c r="K11956" t="s">
        <v>40302</v>
      </c>
      <c r="M11956" t="s">
        <v>44315</v>
      </c>
      <c r="N11956" t="s">
        <v>44759</v>
      </c>
      <c r="O11956" t="s">
        <v>44760</v>
      </c>
      <c r="P11956">
        <v>0</v>
      </c>
      <c r="Q11956">
        <v>0</v>
      </c>
      <c r="R11956" t="s">
        <v>44775</v>
      </c>
      <c r="S11956" t="s">
        <v>45343</v>
      </c>
      <c r="T11956" t="s">
        <v>46409</v>
      </c>
      <c r="U11956" t="s">
        <v>56780</v>
      </c>
      <c r="V11956" t="s">
        <v>60479</v>
      </c>
      <c r="W11956" t="s">
        <v>44315</v>
      </c>
      <c r="X11956" t="s">
        <v>44776</v>
      </c>
    </row>
    <row r="11957" spans="1:24">
      <c r="A11957">
        <f>HYPERLINK("https://www.philgeps.gov.ph/GEPSNONPILOT/Tender/SplashBidNoticeAbstractUI.aspx?menuIndex=3&amp;refID=7124849&amp;Result=3","7124849")</f>
        <v>0</v>
      </c>
      <c r="B11957" t="s">
        <v>55</v>
      </c>
      <c r="C11957" t="s">
        <v>15125</v>
      </c>
      <c r="D11957" t="s">
        <v>17975</v>
      </c>
      <c r="E11957" t="s">
        <v>28371</v>
      </c>
      <c r="F11957" t="s">
        <v>30900</v>
      </c>
      <c r="G11957" t="s">
        <v>30907</v>
      </c>
      <c r="H11957" t="s">
        <v>30916</v>
      </c>
      <c r="I11957" t="s">
        <v>6396</v>
      </c>
      <c r="J11957" t="s">
        <v>38496</v>
      </c>
      <c r="K11957" t="s">
        <v>40286</v>
      </c>
      <c r="M11957" t="s">
        <v>40601</v>
      </c>
      <c r="N11957" t="s">
        <v>44759</v>
      </c>
      <c r="O11957" t="s">
        <v>44760</v>
      </c>
      <c r="P11957">
        <v>0</v>
      </c>
      <c r="Q11957">
        <v>4</v>
      </c>
      <c r="R11957" t="s">
        <v>44775</v>
      </c>
      <c r="S11957" t="s">
        <v>45343</v>
      </c>
      <c r="T11957" t="s">
        <v>46357</v>
      </c>
      <c r="U11957" t="s">
        <v>56781</v>
      </c>
      <c r="V11957" t="s">
        <v>60480</v>
      </c>
      <c r="W11957" t="s">
        <v>40601</v>
      </c>
      <c r="X11957" t="s">
        <v>44776</v>
      </c>
    </row>
    <row r="11958" spans="1:24">
      <c r="A11958">
        <f>HYPERLINK("https://www.philgeps.gov.ph/GEPSNONPILOT/Tender/SplashBidNoticeAbstractUI.aspx?menuIndex=3&amp;refID=7125026&amp;Result=3","7125026")</f>
        <v>0</v>
      </c>
      <c r="B11958" t="s">
        <v>2022</v>
      </c>
      <c r="C11958" t="s">
        <v>15126</v>
      </c>
      <c r="D11958" t="s">
        <v>17990</v>
      </c>
      <c r="E11958" t="s">
        <v>28372</v>
      </c>
      <c r="F11958" t="s">
        <v>30900</v>
      </c>
      <c r="G11958" t="s">
        <v>30907</v>
      </c>
      <c r="H11958" t="s">
        <v>30915</v>
      </c>
      <c r="I11958" t="s">
        <v>8123</v>
      </c>
      <c r="J11958" t="s">
        <v>38497</v>
      </c>
      <c r="K11958" t="s">
        <v>40308</v>
      </c>
      <c r="M11958" t="s">
        <v>43567</v>
      </c>
      <c r="N11958" t="s">
        <v>44759</v>
      </c>
      <c r="O11958" t="s">
        <v>44760</v>
      </c>
      <c r="P11958">
        <v>0</v>
      </c>
      <c r="Q11958">
        <v>1</v>
      </c>
      <c r="R11958" t="s">
        <v>44775</v>
      </c>
      <c r="S11958" t="s">
        <v>45343</v>
      </c>
      <c r="T11958" t="s">
        <v>46467</v>
      </c>
      <c r="U11958" t="s">
        <v>56782</v>
      </c>
      <c r="W11958" t="s">
        <v>43567</v>
      </c>
      <c r="X11958" t="s">
        <v>44776</v>
      </c>
    </row>
    <row r="11959" spans="1:24">
      <c r="A11959">
        <f>HYPERLINK("https://www.philgeps.gov.ph/GEPSNONPILOT/Tender/SplashBidNoticeAbstractUI.aspx?menuIndex=3&amp;refID=7124917&amp;Result=3","7124917")</f>
        <v>0</v>
      </c>
      <c r="B11959" t="s">
        <v>3435</v>
      </c>
      <c r="C11959" t="s">
        <v>15127</v>
      </c>
      <c r="D11959" t="s">
        <v>17977</v>
      </c>
      <c r="E11959" t="s">
        <v>18094</v>
      </c>
      <c r="F11959" t="s">
        <v>30900</v>
      </c>
      <c r="G11959" t="s">
        <v>30907</v>
      </c>
      <c r="H11959" t="s">
        <v>30915</v>
      </c>
      <c r="I11959" t="s">
        <v>30919</v>
      </c>
      <c r="J11959" t="s">
        <v>38498</v>
      </c>
      <c r="K11959" t="s">
        <v>40292</v>
      </c>
      <c r="M11959" t="s">
        <v>44316</v>
      </c>
      <c r="N11959" t="s">
        <v>44759</v>
      </c>
      <c r="O11959" t="s">
        <v>44760</v>
      </c>
      <c r="P11959">
        <v>0</v>
      </c>
      <c r="Q11959">
        <v>0</v>
      </c>
      <c r="R11959" t="s">
        <v>44775</v>
      </c>
      <c r="S11959" t="s">
        <v>45343</v>
      </c>
      <c r="T11959" t="s">
        <v>46389</v>
      </c>
      <c r="U11959" t="s">
        <v>56783</v>
      </c>
      <c r="W11959" t="s">
        <v>44316</v>
      </c>
      <c r="X11959" t="s">
        <v>44776</v>
      </c>
    </row>
    <row r="11960" spans="1:24">
      <c r="A11960">
        <f>HYPERLINK("https://www.philgeps.gov.ph/GEPSNONPILOT/Tender/SplashBidNoticeAbstractUI.aspx?menuIndex=3&amp;refID=7125024&amp;Result=3","7125024")</f>
        <v>0</v>
      </c>
      <c r="B11960" t="s">
        <v>1614</v>
      </c>
      <c r="C11960" t="s">
        <v>15128</v>
      </c>
      <c r="D11960" t="s">
        <v>18012</v>
      </c>
      <c r="E11960" t="s">
        <v>28373</v>
      </c>
      <c r="F11960" t="s">
        <v>30900</v>
      </c>
      <c r="G11960" t="s">
        <v>30907</v>
      </c>
      <c r="H11960" t="s">
        <v>30915</v>
      </c>
      <c r="I11960" t="s">
        <v>30919</v>
      </c>
      <c r="J11960" t="s">
        <v>38499</v>
      </c>
      <c r="K11960" t="s">
        <v>40534</v>
      </c>
      <c r="M11960" t="s">
        <v>42264</v>
      </c>
      <c r="N11960" t="s">
        <v>44759</v>
      </c>
      <c r="O11960" t="s">
        <v>44760</v>
      </c>
      <c r="P11960">
        <v>0</v>
      </c>
      <c r="Q11960">
        <v>1</v>
      </c>
      <c r="R11960" t="s">
        <v>44775</v>
      </c>
      <c r="S11960" t="s">
        <v>45343</v>
      </c>
      <c r="T11960" t="s">
        <v>46613</v>
      </c>
      <c r="U11960" t="s">
        <v>56784</v>
      </c>
      <c r="W11960" t="s">
        <v>60869</v>
      </c>
      <c r="X11960" t="s">
        <v>44776</v>
      </c>
    </row>
    <row r="11961" spans="1:24">
      <c r="A11961">
        <f>HYPERLINK("https://www.philgeps.gov.ph/GEPSNONPILOT/Tender/SplashBidNoticeAbstractUI.aspx?menuIndex=3&amp;refID=7125003&amp;Result=3","7125003")</f>
        <v>0</v>
      </c>
      <c r="B11961" t="s">
        <v>55</v>
      </c>
      <c r="C11961" t="s">
        <v>15129</v>
      </c>
      <c r="D11961" t="s">
        <v>17975</v>
      </c>
      <c r="E11961" t="s">
        <v>19843</v>
      </c>
      <c r="F11961" t="s">
        <v>30900</v>
      </c>
      <c r="G11961" t="s">
        <v>30907</v>
      </c>
      <c r="H11961" t="s">
        <v>30916</v>
      </c>
      <c r="I11961" t="s">
        <v>4454</v>
      </c>
      <c r="J11961" t="s">
        <v>31256</v>
      </c>
      <c r="K11961" t="s">
        <v>40286</v>
      </c>
      <c r="M11961" t="s">
        <v>40601</v>
      </c>
      <c r="N11961" t="s">
        <v>44759</v>
      </c>
      <c r="O11961" t="s">
        <v>44760</v>
      </c>
      <c r="P11961">
        <v>0</v>
      </c>
      <c r="Q11961">
        <v>1</v>
      </c>
      <c r="R11961" t="s">
        <v>44775</v>
      </c>
      <c r="S11961" t="s">
        <v>45343</v>
      </c>
      <c r="T11961" t="s">
        <v>46357</v>
      </c>
      <c r="U11961" t="s">
        <v>56785</v>
      </c>
      <c r="V11961" t="s">
        <v>60481</v>
      </c>
      <c r="W11961" t="s">
        <v>40601</v>
      </c>
      <c r="X11961" t="s">
        <v>44776</v>
      </c>
    </row>
    <row r="11962" spans="1:24">
      <c r="A11962">
        <f>HYPERLINK("https://www.philgeps.gov.ph/GEPSNONPILOT/Tender/SplashBidNoticeAbstractUI.aspx?menuIndex=3&amp;refID=7124989&amp;Result=3","7124989")</f>
        <v>0</v>
      </c>
      <c r="B11962" t="s">
        <v>3436</v>
      </c>
      <c r="C11962" t="s">
        <v>15130</v>
      </c>
      <c r="D11962" t="s">
        <v>17999</v>
      </c>
      <c r="E11962" t="s">
        <v>28374</v>
      </c>
      <c r="F11962" t="s">
        <v>30900</v>
      </c>
      <c r="G11962" t="s">
        <v>30907</v>
      </c>
      <c r="H11962" t="s">
        <v>30915</v>
      </c>
      <c r="I11962" t="s">
        <v>30919</v>
      </c>
      <c r="J11962" t="s">
        <v>38500</v>
      </c>
      <c r="K11962" t="s">
        <v>40395</v>
      </c>
      <c r="M11962" t="s">
        <v>44317</v>
      </c>
      <c r="N11962" t="s">
        <v>44759</v>
      </c>
      <c r="O11962" t="s">
        <v>44760</v>
      </c>
      <c r="Q11962">
        <v>7</v>
      </c>
      <c r="R11962" t="s">
        <v>44775</v>
      </c>
      <c r="S11962" t="s">
        <v>45399</v>
      </c>
      <c r="T11962" t="s">
        <v>46411</v>
      </c>
      <c r="U11962" t="s">
        <v>56786</v>
      </c>
      <c r="V11962" t="s">
        <v>60482</v>
      </c>
      <c r="W11962" t="s">
        <v>44335</v>
      </c>
      <c r="X11962" t="s">
        <v>44776</v>
      </c>
    </row>
    <row r="11963" spans="1:24">
      <c r="A11963">
        <f>HYPERLINK("https://www.philgeps.gov.ph/GEPSNONPILOT/Tender/SplashBidNoticeAbstractUI.aspx?menuIndex=3&amp;refID=7124964&amp;Result=3","7124964")</f>
        <v>0</v>
      </c>
      <c r="B11963" t="s">
        <v>3437</v>
      </c>
      <c r="C11963" t="s">
        <v>15131</v>
      </c>
      <c r="D11963" t="s">
        <v>17996</v>
      </c>
      <c r="E11963" t="s">
        <v>28375</v>
      </c>
      <c r="F11963" t="s">
        <v>30900</v>
      </c>
      <c r="G11963" t="s">
        <v>30907</v>
      </c>
      <c r="H11963" t="s">
        <v>30917</v>
      </c>
      <c r="I11963" t="s">
        <v>30949</v>
      </c>
      <c r="J11963" t="s">
        <v>31653</v>
      </c>
      <c r="K11963" t="s">
        <v>40283</v>
      </c>
      <c r="M11963" t="s">
        <v>44318</v>
      </c>
      <c r="N11963" t="s">
        <v>44759</v>
      </c>
      <c r="O11963" t="s">
        <v>44760</v>
      </c>
      <c r="Q11963">
        <v>1</v>
      </c>
      <c r="R11963" t="s">
        <v>44775</v>
      </c>
      <c r="S11963" t="s">
        <v>45400</v>
      </c>
      <c r="T11963" t="s">
        <v>46896</v>
      </c>
      <c r="U11963" t="s">
        <v>56787</v>
      </c>
      <c r="W11963" t="s">
        <v>44318</v>
      </c>
      <c r="X11963" t="s">
        <v>44776</v>
      </c>
    </row>
    <row r="11964" spans="1:24">
      <c r="A11964">
        <f>HYPERLINK("https://www.philgeps.gov.ph/GEPSNONPILOT/Tender/SplashBidNoticeAbstractUI.aspx?menuIndex=3&amp;refID=7124963&amp;Result=3","7124963")</f>
        <v>0</v>
      </c>
      <c r="B11964" t="s">
        <v>700</v>
      </c>
      <c r="C11964" t="s">
        <v>15132</v>
      </c>
      <c r="D11964" t="s">
        <v>17961</v>
      </c>
      <c r="E11964" t="s">
        <v>28376</v>
      </c>
      <c r="F11964" t="s">
        <v>30900</v>
      </c>
      <c r="G11964" t="s">
        <v>30907</v>
      </c>
      <c r="H11964" t="s">
        <v>30916</v>
      </c>
      <c r="I11964" t="s">
        <v>30960</v>
      </c>
      <c r="J11964" t="s">
        <v>38501</v>
      </c>
      <c r="K11964" t="s">
        <v>40293</v>
      </c>
      <c r="M11964" t="s">
        <v>44277</v>
      </c>
      <c r="N11964" t="s">
        <v>44759</v>
      </c>
      <c r="O11964" t="s">
        <v>44760</v>
      </c>
      <c r="Q11964">
        <v>9</v>
      </c>
      <c r="R11964" t="s">
        <v>44775</v>
      </c>
      <c r="S11964" t="s">
        <v>45401</v>
      </c>
      <c r="T11964" t="s">
        <v>46445</v>
      </c>
      <c r="U11964" t="s">
        <v>56788</v>
      </c>
      <c r="V11964" t="s">
        <v>60452</v>
      </c>
      <c r="W11964" t="s">
        <v>44277</v>
      </c>
      <c r="X11964" t="s">
        <v>44776</v>
      </c>
    </row>
    <row r="11965" spans="1:24">
      <c r="A11965">
        <f>HYPERLINK("https://www.philgeps.gov.ph/GEPSNONPILOT/Tender/SplashBidNoticeAbstractUI.aspx?menuIndex=3&amp;refID=7124959&amp;Result=3","7124959")</f>
        <v>0</v>
      </c>
      <c r="B11965" t="s">
        <v>2836</v>
      </c>
      <c r="C11965" t="s">
        <v>15133</v>
      </c>
      <c r="D11965" t="s">
        <v>17973</v>
      </c>
      <c r="E11965" t="s">
        <v>19529</v>
      </c>
      <c r="F11965" t="s">
        <v>30900</v>
      </c>
      <c r="G11965" t="s">
        <v>30907</v>
      </c>
      <c r="H11965" t="s">
        <v>30916</v>
      </c>
      <c r="I11965" t="s">
        <v>30933</v>
      </c>
      <c r="J11965" t="s">
        <v>31094</v>
      </c>
      <c r="K11965" t="s">
        <v>40286</v>
      </c>
      <c r="L11965" t="s">
        <v>2836</v>
      </c>
      <c r="M11965" t="s">
        <v>43621</v>
      </c>
      <c r="N11965" t="s">
        <v>44759</v>
      </c>
      <c r="O11965" t="s">
        <v>44760</v>
      </c>
      <c r="P11965">
        <v>0</v>
      </c>
      <c r="Q11965">
        <v>5</v>
      </c>
      <c r="R11965" t="s">
        <v>44775</v>
      </c>
      <c r="S11965" t="s">
        <v>45343</v>
      </c>
      <c r="T11965" t="s">
        <v>46404</v>
      </c>
      <c r="U11965" t="s">
        <v>56789</v>
      </c>
      <c r="W11965" t="s">
        <v>43621</v>
      </c>
      <c r="X11965" t="s">
        <v>44776</v>
      </c>
    </row>
    <row r="11966" spans="1:24">
      <c r="A11966">
        <f>HYPERLINK("https://www.philgeps.gov.ph/GEPSNONPILOT/Tender/SplashBidNoticeAbstractUI.aspx?menuIndex=3&amp;refID=7124979&amp;Result=3","7124979")</f>
        <v>0</v>
      </c>
      <c r="B11966" t="s">
        <v>1614</v>
      </c>
      <c r="C11966" t="s">
        <v>15134</v>
      </c>
      <c r="D11966" t="s">
        <v>18012</v>
      </c>
      <c r="E11966" t="s">
        <v>28377</v>
      </c>
      <c r="F11966" t="s">
        <v>30900</v>
      </c>
      <c r="G11966" t="s">
        <v>30907</v>
      </c>
      <c r="H11966" t="s">
        <v>30915</v>
      </c>
      <c r="I11966" t="s">
        <v>30919</v>
      </c>
      <c r="J11966" t="s">
        <v>38502</v>
      </c>
      <c r="K11966" t="s">
        <v>40342</v>
      </c>
      <c r="M11966" t="s">
        <v>42264</v>
      </c>
      <c r="N11966" t="s">
        <v>44759</v>
      </c>
      <c r="O11966" t="s">
        <v>44760</v>
      </c>
      <c r="P11966">
        <v>0</v>
      </c>
      <c r="Q11966">
        <v>0</v>
      </c>
      <c r="R11966" t="s">
        <v>44775</v>
      </c>
      <c r="S11966" t="s">
        <v>45343</v>
      </c>
      <c r="T11966" t="s">
        <v>46613</v>
      </c>
      <c r="U11966" t="s">
        <v>56790</v>
      </c>
      <c r="W11966" t="s">
        <v>60869</v>
      </c>
      <c r="X11966" t="s">
        <v>44776</v>
      </c>
    </row>
    <row r="11967" spans="1:24">
      <c r="A11967">
        <f>HYPERLINK("https://www.philgeps.gov.ph/GEPSNONPILOT/Tender/SplashBidNoticeAbstractUI.aspx?menuIndex=3&amp;refID=7124957&amp;Result=3","7124957")</f>
        <v>0</v>
      </c>
      <c r="B11967" t="s">
        <v>819</v>
      </c>
      <c r="C11967" t="s">
        <v>15135</v>
      </c>
      <c r="D11967" t="s">
        <v>18025</v>
      </c>
      <c r="E11967" t="s">
        <v>28345</v>
      </c>
      <c r="F11967" t="s">
        <v>30900</v>
      </c>
      <c r="G11967" t="s">
        <v>30907</v>
      </c>
      <c r="H11967" t="s">
        <v>30915</v>
      </c>
      <c r="I11967" t="s">
        <v>30919</v>
      </c>
      <c r="J11967" t="s">
        <v>36481</v>
      </c>
      <c r="K11967" t="s">
        <v>40342</v>
      </c>
      <c r="M11967" t="s">
        <v>41390</v>
      </c>
      <c r="N11967" t="s">
        <v>44759</v>
      </c>
      <c r="O11967" t="s">
        <v>44760</v>
      </c>
      <c r="P11967">
        <v>0</v>
      </c>
      <c r="Q11967">
        <v>1</v>
      </c>
      <c r="R11967" t="s">
        <v>44775</v>
      </c>
      <c r="S11967" t="s">
        <v>45343</v>
      </c>
      <c r="T11967" t="s">
        <v>46396</v>
      </c>
      <c r="U11967" t="s">
        <v>56757</v>
      </c>
      <c r="W11967" t="s">
        <v>41390</v>
      </c>
      <c r="X11967" t="s">
        <v>44776</v>
      </c>
    </row>
    <row r="11968" spans="1:24">
      <c r="A11968">
        <f>HYPERLINK("https://www.philgeps.gov.ph/GEPSNONPILOT/Tender/SplashBidNoticeAbstractUI.aspx?menuIndex=3&amp;refID=7124954&amp;Result=3","7124954")</f>
        <v>0</v>
      </c>
      <c r="B11968" t="s">
        <v>190</v>
      </c>
      <c r="C11968" t="s">
        <v>15136</v>
      </c>
      <c r="D11968" t="s">
        <v>17989</v>
      </c>
      <c r="E11968" t="s">
        <v>28378</v>
      </c>
      <c r="F11968" t="s">
        <v>30900</v>
      </c>
      <c r="G11968" t="s">
        <v>30907</v>
      </c>
      <c r="H11968" t="s">
        <v>30916</v>
      </c>
      <c r="I11968" t="s">
        <v>5501</v>
      </c>
      <c r="J11968" t="s">
        <v>31391</v>
      </c>
      <c r="K11968" t="s">
        <v>40286</v>
      </c>
      <c r="M11968" t="s">
        <v>40737</v>
      </c>
      <c r="N11968" t="s">
        <v>44759</v>
      </c>
      <c r="O11968" t="s">
        <v>44760</v>
      </c>
      <c r="P11968">
        <v>0</v>
      </c>
      <c r="Q11968">
        <v>4</v>
      </c>
      <c r="R11968" t="s">
        <v>44775</v>
      </c>
      <c r="S11968" t="s">
        <v>45343</v>
      </c>
      <c r="T11968" t="s">
        <v>46352</v>
      </c>
      <c r="U11968" t="s">
        <v>56791</v>
      </c>
      <c r="W11968" t="s">
        <v>40737</v>
      </c>
      <c r="X11968" t="s">
        <v>44776</v>
      </c>
    </row>
    <row r="11969" spans="1:24">
      <c r="A11969">
        <f>HYPERLINK("https://www.philgeps.gov.ph/GEPSNONPILOT/Tender/SplashBidNoticeAbstractUI.aspx?menuIndex=3&amp;refID=7124986&amp;Result=3","7124986")</f>
        <v>0</v>
      </c>
      <c r="B11969" t="s">
        <v>639</v>
      </c>
      <c r="C11969" t="s">
        <v>15137</v>
      </c>
      <c r="D11969" t="s">
        <v>18017</v>
      </c>
      <c r="E11969" t="s">
        <v>28379</v>
      </c>
      <c r="F11969" t="s">
        <v>30900</v>
      </c>
      <c r="G11969" t="s">
        <v>30907</v>
      </c>
      <c r="H11969" t="s">
        <v>30915</v>
      </c>
      <c r="I11969" t="s">
        <v>30919</v>
      </c>
      <c r="J11969" t="s">
        <v>32967</v>
      </c>
      <c r="K11969" t="s">
        <v>40304</v>
      </c>
      <c r="M11969" t="s">
        <v>41202</v>
      </c>
      <c r="N11969" t="s">
        <v>44759</v>
      </c>
      <c r="O11969" t="s">
        <v>44760</v>
      </c>
      <c r="P11969">
        <v>0</v>
      </c>
      <c r="Q11969">
        <v>6</v>
      </c>
      <c r="R11969" t="s">
        <v>44775</v>
      </c>
      <c r="S11969" t="s">
        <v>45343</v>
      </c>
      <c r="T11969" t="s">
        <v>46425</v>
      </c>
      <c r="U11969" t="s">
        <v>56792</v>
      </c>
      <c r="W11969" t="s">
        <v>41202</v>
      </c>
      <c r="X11969" t="s">
        <v>44776</v>
      </c>
    </row>
    <row r="11970" spans="1:24">
      <c r="A11970">
        <f>HYPERLINK("https://www.philgeps.gov.ph/GEPSNONPILOT/Tender/SplashBidNoticeAbstractUI.aspx?menuIndex=3&amp;refID=7124947&amp;Result=3","7124947")</f>
        <v>0</v>
      </c>
      <c r="B11970" t="s">
        <v>994</v>
      </c>
      <c r="C11970" t="s">
        <v>5821</v>
      </c>
      <c r="D11970" t="s">
        <v>17959</v>
      </c>
      <c r="E11970" t="s">
        <v>28380</v>
      </c>
      <c r="F11970" t="s">
        <v>30900</v>
      </c>
      <c r="G11970" t="s">
        <v>30907</v>
      </c>
      <c r="H11970" t="s">
        <v>30916</v>
      </c>
      <c r="I11970" t="s">
        <v>30923</v>
      </c>
      <c r="J11970" t="s">
        <v>38503</v>
      </c>
      <c r="K11970" t="s">
        <v>40283</v>
      </c>
      <c r="M11970" t="s">
        <v>41583</v>
      </c>
      <c r="N11970" t="s">
        <v>44759</v>
      </c>
      <c r="O11970" t="s">
        <v>44760</v>
      </c>
      <c r="P11970">
        <v>0</v>
      </c>
      <c r="Q11970">
        <v>3</v>
      </c>
      <c r="R11970" t="s">
        <v>44775</v>
      </c>
      <c r="S11970" t="s">
        <v>45343</v>
      </c>
      <c r="T11970" t="s">
        <v>46421</v>
      </c>
      <c r="U11970" t="s">
        <v>56793</v>
      </c>
      <c r="W11970" t="s">
        <v>41583</v>
      </c>
      <c r="X11970" t="s">
        <v>44776</v>
      </c>
    </row>
    <row r="11971" spans="1:24">
      <c r="A11971">
        <f>HYPERLINK("https://www.philgeps.gov.ph/GEPSNONPILOT/Tender/SplashBidNoticeAbstractUI.aspx?menuIndex=3&amp;refID=7124952&amp;Result=3","7124952")</f>
        <v>0</v>
      </c>
      <c r="B11971" t="s">
        <v>3438</v>
      </c>
      <c r="C11971" t="s">
        <v>15138</v>
      </c>
      <c r="D11971" t="s">
        <v>17985</v>
      </c>
      <c r="E11971" t="s">
        <v>28381</v>
      </c>
      <c r="F11971" t="s">
        <v>30900</v>
      </c>
      <c r="G11971" t="s">
        <v>30907</v>
      </c>
      <c r="H11971" t="s">
        <v>30915</v>
      </c>
      <c r="I11971" t="s">
        <v>30919</v>
      </c>
      <c r="J11971" t="s">
        <v>31096</v>
      </c>
      <c r="K11971" t="s">
        <v>40283</v>
      </c>
      <c r="M11971" t="s">
        <v>44319</v>
      </c>
      <c r="N11971" t="s">
        <v>44759</v>
      </c>
      <c r="O11971" t="s">
        <v>44760</v>
      </c>
      <c r="P11971">
        <v>0</v>
      </c>
      <c r="Q11971">
        <v>1</v>
      </c>
      <c r="R11971" t="s">
        <v>44775</v>
      </c>
      <c r="S11971" t="s">
        <v>45343</v>
      </c>
      <c r="T11971" t="s">
        <v>46369</v>
      </c>
      <c r="U11971" t="s">
        <v>56794</v>
      </c>
      <c r="W11971" t="s">
        <v>44319</v>
      </c>
      <c r="X11971" t="s">
        <v>44776</v>
      </c>
    </row>
    <row r="11972" spans="1:24">
      <c r="A11972">
        <f>HYPERLINK("https://www.philgeps.gov.ph/GEPSNONPILOT/Tender/SplashBidNoticeAbstractUI.aspx?menuIndex=3&amp;refID=7124898&amp;Result=3","7124898")</f>
        <v>0</v>
      </c>
      <c r="B11972" t="s">
        <v>396</v>
      </c>
      <c r="C11972" t="s">
        <v>15139</v>
      </c>
      <c r="D11972" t="s">
        <v>17984</v>
      </c>
      <c r="E11972" t="s">
        <v>28382</v>
      </c>
      <c r="F11972" t="s">
        <v>30900</v>
      </c>
      <c r="G11972" t="s">
        <v>30907</v>
      </c>
      <c r="H11972" t="s">
        <v>30915</v>
      </c>
      <c r="I11972" t="s">
        <v>30919</v>
      </c>
      <c r="J11972" t="s">
        <v>38504</v>
      </c>
      <c r="K11972" t="s">
        <v>40483</v>
      </c>
      <c r="M11972" t="s">
        <v>40951</v>
      </c>
      <c r="N11972" t="s">
        <v>44759</v>
      </c>
      <c r="O11972" t="s">
        <v>44760</v>
      </c>
      <c r="P11972">
        <v>0</v>
      </c>
      <c r="Q11972">
        <v>0</v>
      </c>
      <c r="R11972" t="s">
        <v>44775</v>
      </c>
      <c r="S11972" t="s">
        <v>45343</v>
      </c>
      <c r="T11972" t="s">
        <v>46361</v>
      </c>
      <c r="U11972" t="s">
        <v>56795</v>
      </c>
      <c r="W11972" t="s">
        <v>40951</v>
      </c>
      <c r="X11972" t="s">
        <v>44776</v>
      </c>
    </row>
    <row r="11973" spans="1:24">
      <c r="A11973">
        <f>HYPERLINK("https://www.philgeps.gov.ph/GEPSNONPILOT/Tender/SplashBidNoticeAbstractUI.aspx?menuIndex=3&amp;refID=7124974&amp;Result=3","7124974")</f>
        <v>0</v>
      </c>
      <c r="B11973" t="s">
        <v>2022</v>
      </c>
      <c r="C11973" t="s">
        <v>15140</v>
      </c>
      <c r="D11973" t="s">
        <v>17990</v>
      </c>
      <c r="E11973" t="s">
        <v>28383</v>
      </c>
      <c r="F11973" t="s">
        <v>30900</v>
      </c>
      <c r="G11973" t="s">
        <v>30907</v>
      </c>
      <c r="H11973" t="s">
        <v>30915</v>
      </c>
      <c r="I11973" t="s">
        <v>8123</v>
      </c>
      <c r="J11973" t="s">
        <v>38505</v>
      </c>
      <c r="K11973" t="s">
        <v>40301</v>
      </c>
      <c r="M11973" t="s">
        <v>43567</v>
      </c>
      <c r="N11973" t="s">
        <v>44759</v>
      </c>
      <c r="O11973" t="s">
        <v>44760</v>
      </c>
      <c r="P11973">
        <v>0</v>
      </c>
      <c r="Q11973">
        <v>1</v>
      </c>
      <c r="R11973" t="s">
        <v>44775</v>
      </c>
      <c r="S11973" t="s">
        <v>45343</v>
      </c>
      <c r="T11973" t="s">
        <v>46553</v>
      </c>
      <c r="U11973" t="s">
        <v>56796</v>
      </c>
      <c r="W11973" t="s">
        <v>43567</v>
      </c>
      <c r="X11973" t="s">
        <v>44776</v>
      </c>
    </row>
    <row r="11974" spans="1:24">
      <c r="A11974">
        <f>HYPERLINK("https://www.philgeps.gov.ph/GEPSNONPILOT/Tender/SplashBidNoticeAbstractUI.aspx?menuIndex=3&amp;refID=7124955&amp;Result=3","7124955")</f>
        <v>0</v>
      </c>
      <c r="B11974" t="s">
        <v>857</v>
      </c>
      <c r="C11974" t="s">
        <v>15141</v>
      </c>
      <c r="D11974" t="s">
        <v>17984</v>
      </c>
      <c r="E11974" t="s">
        <v>28384</v>
      </c>
      <c r="F11974" t="s">
        <v>30900</v>
      </c>
      <c r="G11974" t="s">
        <v>30907</v>
      </c>
      <c r="H11974" t="s">
        <v>30915</v>
      </c>
      <c r="I11974" t="s">
        <v>30919</v>
      </c>
      <c r="J11974" t="s">
        <v>38506</v>
      </c>
      <c r="K11974" t="s">
        <v>40329</v>
      </c>
      <c r="M11974" t="s">
        <v>41430</v>
      </c>
      <c r="N11974" t="s">
        <v>44759</v>
      </c>
      <c r="O11974" t="s">
        <v>44760</v>
      </c>
      <c r="P11974">
        <v>0</v>
      </c>
      <c r="Q11974">
        <v>1</v>
      </c>
      <c r="R11974" t="s">
        <v>44775</v>
      </c>
      <c r="S11974" t="s">
        <v>45343</v>
      </c>
      <c r="T11974" t="s">
        <v>46409</v>
      </c>
      <c r="U11974" t="s">
        <v>56797</v>
      </c>
      <c r="W11974" t="s">
        <v>41430</v>
      </c>
      <c r="X11974" t="s">
        <v>44776</v>
      </c>
    </row>
    <row r="11975" spans="1:24">
      <c r="A11975">
        <f>HYPERLINK("https://www.philgeps.gov.ph/GEPSNONPILOT/Tender/SplashBidNoticeAbstractUI.aspx?menuIndex=3&amp;refID=7124888&amp;Result=3","7124888")</f>
        <v>0</v>
      </c>
      <c r="B11975" t="s">
        <v>819</v>
      </c>
      <c r="C11975" t="s">
        <v>15142</v>
      </c>
      <c r="D11975" t="s">
        <v>18025</v>
      </c>
      <c r="E11975" t="s">
        <v>28345</v>
      </c>
      <c r="F11975" t="s">
        <v>30900</v>
      </c>
      <c r="G11975" t="s">
        <v>30907</v>
      </c>
      <c r="H11975" t="s">
        <v>30915</v>
      </c>
      <c r="I11975" t="s">
        <v>30919</v>
      </c>
      <c r="J11975" t="s">
        <v>38507</v>
      </c>
      <c r="K11975" t="s">
        <v>40280</v>
      </c>
      <c r="M11975" t="s">
        <v>41390</v>
      </c>
      <c r="N11975" t="s">
        <v>44759</v>
      </c>
      <c r="O11975" t="s">
        <v>44760</v>
      </c>
      <c r="P11975">
        <v>0</v>
      </c>
      <c r="Q11975">
        <v>0</v>
      </c>
      <c r="R11975" t="s">
        <v>44775</v>
      </c>
      <c r="S11975" t="s">
        <v>45343</v>
      </c>
      <c r="T11975" t="s">
        <v>46396</v>
      </c>
      <c r="U11975" t="s">
        <v>56757</v>
      </c>
      <c r="W11975" t="s">
        <v>41390</v>
      </c>
      <c r="X11975" t="s">
        <v>44776</v>
      </c>
    </row>
    <row r="11976" spans="1:24">
      <c r="A11976">
        <f>HYPERLINK("https://www.philgeps.gov.ph/GEPSNONPILOT/Tender/SplashBidNoticeAbstractUI.aspx?menuIndex=3&amp;refID=7124875&amp;Result=3","7124875")</f>
        <v>0</v>
      </c>
      <c r="B11976" t="s">
        <v>2022</v>
      </c>
      <c r="C11976" t="s">
        <v>15143</v>
      </c>
      <c r="D11976" t="s">
        <v>17990</v>
      </c>
      <c r="E11976" t="s">
        <v>28385</v>
      </c>
      <c r="F11976" t="s">
        <v>30900</v>
      </c>
      <c r="G11976" t="s">
        <v>30907</v>
      </c>
      <c r="H11976" t="s">
        <v>30915</v>
      </c>
      <c r="I11976" t="s">
        <v>8123</v>
      </c>
      <c r="J11976" t="s">
        <v>38508</v>
      </c>
      <c r="K11976" t="s">
        <v>40428</v>
      </c>
      <c r="M11976" t="s">
        <v>43567</v>
      </c>
      <c r="N11976" t="s">
        <v>44759</v>
      </c>
      <c r="O11976" t="s">
        <v>44760</v>
      </c>
      <c r="P11976">
        <v>0</v>
      </c>
      <c r="Q11976">
        <v>1</v>
      </c>
      <c r="R11976" t="s">
        <v>44775</v>
      </c>
      <c r="S11976" t="s">
        <v>45343</v>
      </c>
      <c r="T11976" t="s">
        <v>46404</v>
      </c>
      <c r="U11976" t="s">
        <v>56798</v>
      </c>
      <c r="W11976" t="s">
        <v>43567</v>
      </c>
      <c r="X11976" t="s">
        <v>44776</v>
      </c>
    </row>
    <row r="11977" spans="1:24">
      <c r="A11977">
        <f>HYPERLINK("https://www.philgeps.gov.ph/GEPSNONPILOT/Tender/SplashBidNoticeAbstractUI.aspx?menuIndex=3&amp;refID=7124882&amp;Result=3","7124882")</f>
        <v>0</v>
      </c>
      <c r="B11977" t="s">
        <v>3432</v>
      </c>
      <c r="C11977" t="s">
        <v>15144</v>
      </c>
      <c r="D11977" t="s">
        <v>17981</v>
      </c>
      <c r="E11977" t="s">
        <v>28386</v>
      </c>
      <c r="F11977" t="s">
        <v>30900</v>
      </c>
      <c r="G11977" t="s">
        <v>30907</v>
      </c>
      <c r="H11977" t="s">
        <v>30915</v>
      </c>
      <c r="I11977" t="s">
        <v>30919</v>
      </c>
      <c r="J11977" t="s">
        <v>38509</v>
      </c>
      <c r="K11977" t="s">
        <v>40535</v>
      </c>
      <c r="M11977" t="s">
        <v>44313</v>
      </c>
      <c r="N11977" t="s">
        <v>44759</v>
      </c>
      <c r="O11977" t="s">
        <v>44760</v>
      </c>
      <c r="Q11977">
        <v>27</v>
      </c>
      <c r="R11977" t="s">
        <v>44775</v>
      </c>
      <c r="S11977" t="s">
        <v>45402</v>
      </c>
      <c r="T11977" t="s">
        <v>46352</v>
      </c>
      <c r="U11977" t="s">
        <v>56767</v>
      </c>
      <c r="V11977" t="s">
        <v>60478</v>
      </c>
      <c r="W11977" t="s">
        <v>44313</v>
      </c>
      <c r="X11977" t="s">
        <v>44776</v>
      </c>
    </row>
    <row r="11978" spans="1:24">
      <c r="A11978">
        <f>HYPERLINK("https://www.philgeps.gov.ph/GEPSNONPILOT/Tender/SplashBidNoticeAbstractUI.aspx?menuIndex=3&amp;refID=7124872&amp;Result=3","7124872")</f>
        <v>0</v>
      </c>
      <c r="B11978" t="s">
        <v>2789</v>
      </c>
      <c r="C11978" t="s">
        <v>15145</v>
      </c>
      <c r="D11978" t="s">
        <v>18011</v>
      </c>
      <c r="E11978" t="s">
        <v>28387</v>
      </c>
      <c r="F11978" t="s">
        <v>30900</v>
      </c>
      <c r="G11978" t="s">
        <v>30907</v>
      </c>
      <c r="H11978" t="s">
        <v>30915</v>
      </c>
      <c r="I11978" t="s">
        <v>30919</v>
      </c>
      <c r="J11978" t="s">
        <v>38510</v>
      </c>
      <c r="K11978" t="s">
        <v>40335</v>
      </c>
      <c r="M11978" t="s">
        <v>43572</v>
      </c>
      <c r="N11978" t="s">
        <v>44759</v>
      </c>
      <c r="O11978" t="s">
        <v>44760</v>
      </c>
      <c r="Q11978">
        <v>0</v>
      </c>
      <c r="R11978" t="s">
        <v>44775</v>
      </c>
      <c r="S11978" t="s">
        <v>45403</v>
      </c>
      <c r="T11978" t="s">
        <v>46425</v>
      </c>
      <c r="U11978" t="s">
        <v>56799</v>
      </c>
      <c r="W11978" t="s">
        <v>43572</v>
      </c>
      <c r="X11978" t="s">
        <v>44776</v>
      </c>
    </row>
    <row r="11979" spans="1:24">
      <c r="A11979">
        <f>HYPERLINK("https://www.philgeps.gov.ph/GEPSNONPILOT/Tender/SplashBidNoticeAbstractUI.aspx?menuIndex=3&amp;refID=7125017&amp;Result=3","7125017")</f>
        <v>0</v>
      </c>
      <c r="B11979" t="s">
        <v>819</v>
      </c>
      <c r="C11979" t="s">
        <v>15146</v>
      </c>
      <c r="D11979" t="s">
        <v>18025</v>
      </c>
      <c r="E11979" t="s">
        <v>28360</v>
      </c>
      <c r="F11979" t="s">
        <v>30900</v>
      </c>
      <c r="G11979" t="s">
        <v>30907</v>
      </c>
      <c r="H11979" t="s">
        <v>30915</v>
      </c>
      <c r="I11979" t="s">
        <v>30919</v>
      </c>
      <c r="J11979" t="s">
        <v>38511</v>
      </c>
      <c r="K11979" t="s">
        <v>40342</v>
      </c>
      <c r="M11979" t="s">
        <v>41390</v>
      </c>
      <c r="N11979" t="s">
        <v>44759</v>
      </c>
      <c r="O11979" t="s">
        <v>44760</v>
      </c>
      <c r="P11979">
        <v>0</v>
      </c>
      <c r="Q11979">
        <v>2</v>
      </c>
      <c r="R11979" t="s">
        <v>44775</v>
      </c>
      <c r="S11979" t="s">
        <v>45343</v>
      </c>
      <c r="T11979" t="s">
        <v>46396</v>
      </c>
      <c r="U11979" t="s">
        <v>56757</v>
      </c>
      <c r="W11979" t="s">
        <v>41390</v>
      </c>
      <c r="X11979" t="s">
        <v>44776</v>
      </c>
    </row>
    <row r="11980" spans="1:24">
      <c r="A11980">
        <f>HYPERLINK("https://www.philgeps.gov.ph/GEPSNONPILOT/Tender/SplashBidNoticeAbstractUI.aspx?menuIndex=3&amp;refID=7125172&amp;Result=3","7125172")</f>
        <v>0</v>
      </c>
      <c r="B11980" t="s">
        <v>3439</v>
      </c>
      <c r="C11980" t="s">
        <v>15147</v>
      </c>
      <c r="D11980" t="s">
        <v>17959</v>
      </c>
      <c r="E11980" t="s">
        <v>28388</v>
      </c>
      <c r="F11980" t="s">
        <v>30900</v>
      </c>
      <c r="G11980" t="s">
        <v>30907</v>
      </c>
      <c r="H11980" t="s">
        <v>30916</v>
      </c>
      <c r="I11980" t="s">
        <v>30921</v>
      </c>
      <c r="J11980" t="s">
        <v>38512</v>
      </c>
      <c r="K11980" t="s">
        <v>40286</v>
      </c>
      <c r="M11980" t="s">
        <v>44320</v>
      </c>
      <c r="N11980" t="s">
        <v>44759</v>
      </c>
      <c r="O11980" t="s">
        <v>44760</v>
      </c>
      <c r="Q11980">
        <v>17</v>
      </c>
      <c r="R11980" t="s">
        <v>44775</v>
      </c>
      <c r="S11980" t="s">
        <v>45404</v>
      </c>
      <c r="T11980" t="s">
        <v>46357</v>
      </c>
      <c r="U11980" t="s">
        <v>56800</v>
      </c>
      <c r="W11980" t="s">
        <v>44320</v>
      </c>
      <c r="X11980" t="s">
        <v>44776</v>
      </c>
    </row>
    <row r="11981" spans="1:24">
      <c r="A11981">
        <f>HYPERLINK("https://www.philgeps.gov.ph/GEPSNONPILOT/Tender/SplashBidNoticeAbstractUI.aspx?menuIndex=3&amp;refID=7125168&amp;Result=3","7125168")</f>
        <v>0</v>
      </c>
      <c r="B11981" t="s">
        <v>3440</v>
      </c>
      <c r="C11981" t="s">
        <v>15148</v>
      </c>
      <c r="D11981" t="s">
        <v>17985</v>
      </c>
      <c r="E11981" t="s">
        <v>28389</v>
      </c>
      <c r="F11981" t="s">
        <v>30900</v>
      </c>
      <c r="G11981" t="s">
        <v>30907</v>
      </c>
      <c r="H11981" t="s">
        <v>30915</v>
      </c>
      <c r="I11981" t="s">
        <v>30919</v>
      </c>
      <c r="J11981" t="s">
        <v>31096</v>
      </c>
      <c r="K11981" t="s">
        <v>40283</v>
      </c>
      <c r="M11981" t="s">
        <v>44321</v>
      </c>
      <c r="N11981" t="s">
        <v>44759</v>
      </c>
      <c r="O11981" t="s">
        <v>44760</v>
      </c>
      <c r="P11981">
        <v>0</v>
      </c>
      <c r="Q11981">
        <v>1</v>
      </c>
      <c r="R11981" t="s">
        <v>44775</v>
      </c>
      <c r="S11981" t="s">
        <v>45343</v>
      </c>
      <c r="T11981" t="s">
        <v>46547</v>
      </c>
      <c r="U11981" t="s">
        <v>56801</v>
      </c>
      <c r="W11981" t="s">
        <v>44321</v>
      </c>
      <c r="X11981" t="s">
        <v>44776</v>
      </c>
    </row>
    <row r="11982" spans="1:24">
      <c r="A11982">
        <f>HYPERLINK("https://www.philgeps.gov.ph/GEPSNONPILOT/Tender/SplashBidNoticeAbstractUI.aspx?menuIndex=3&amp;refID=7125162&amp;Result=3","7125162")</f>
        <v>0</v>
      </c>
      <c r="B11982" t="s">
        <v>295</v>
      </c>
      <c r="C11982" t="s">
        <v>15149</v>
      </c>
      <c r="D11982" t="s">
        <v>17951</v>
      </c>
      <c r="E11982" t="s">
        <v>28390</v>
      </c>
      <c r="F11982" t="s">
        <v>30900</v>
      </c>
      <c r="G11982" t="s">
        <v>30907</v>
      </c>
      <c r="H11982" t="s">
        <v>30915</v>
      </c>
      <c r="I11982" t="s">
        <v>30919</v>
      </c>
      <c r="J11982" t="s">
        <v>38513</v>
      </c>
      <c r="K11982" t="s">
        <v>40335</v>
      </c>
      <c r="M11982" t="s">
        <v>40843</v>
      </c>
      <c r="N11982" t="s">
        <v>44759</v>
      </c>
      <c r="O11982" t="s">
        <v>44760</v>
      </c>
      <c r="P11982">
        <v>0</v>
      </c>
      <c r="Q11982">
        <v>1</v>
      </c>
      <c r="R11982" t="s">
        <v>44775</v>
      </c>
      <c r="S11982" t="s">
        <v>45343</v>
      </c>
      <c r="T11982" t="s">
        <v>46422</v>
      </c>
      <c r="U11982" t="s">
        <v>56802</v>
      </c>
      <c r="W11982" t="s">
        <v>40843</v>
      </c>
      <c r="X11982" t="s">
        <v>44776</v>
      </c>
    </row>
    <row r="11983" spans="1:24">
      <c r="A11983">
        <f>HYPERLINK("https://www.philgeps.gov.ph/GEPSNONPILOT/Tender/SplashBidNoticeAbstractUI.aspx?menuIndex=3&amp;refID=7124890&amp;Result=3","7124890")</f>
        <v>0</v>
      </c>
      <c r="B11983" t="s">
        <v>3199</v>
      </c>
      <c r="C11983" t="s">
        <v>15150</v>
      </c>
      <c r="D11983" t="s">
        <v>17973</v>
      </c>
      <c r="E11983" t="s">
        <v>21118</v>
      </c>
      <c r="F11983" t="s">
        <v>30900</v>
      </c>
      <c r="G11983" t="s">
        <v>30907</v>
      </c>
      <c r="H11983" t="s">
        <v>30916</v>
      </c>
      <c r="I11983" t="s">
        <v>4545</v>
      </c>
      <c r="J11983" t="s">
        <v>32967</v>
      </c>
      <c r="K11983" t="s">
        <v>40286</v>
      </c>
      <c r="L11983" t="s">
        <v>3199</v>
      </c>
      <c r="M11983" t="s">
        <v>44037</v>
      </c>
      <c r="N11983" t="s">
        <v>44759</v>
      </c>
      <c r="O11983" t="s">
        <v>44760</v>
      </c>
      <c r="Q11983">
        <v>8</v>
      </c>
      <c r="R11983" t="s">
        <v>44775</v>
      </c>
      <c r="S11983" t="s">
        <v>45405</v>
      </c>
      <c r="T11983" t="s">
        <v>46897</v>
      </c>
      <c r="U11983" t="s">
        <v>56803</v>
      </c>
      <c r="V11983" t="s">
        <v>60287</v>
      </c>
      <c r="W11983" t="s">
        <v>44037</v>
      </c>
      <c r="X11983" t="s">
        <v>44776</v>
      </c>
    </row>
    <row r="11984" spans="1:24">
      <c r="A11984">
        <f>HYPERLINK("https://www.philgeps.gov.ph/GEPSNONPILOT/Tender/SplashBidNoticeAbstractUI.aspx?menuIndex=3&amp;refID=7125158&amp;Result=3","7125158")</f>
        <v>0</v>
      </c>
      <c r="B11984" t="s">
        <v>2485</v>
      </c>
      <c r="C11984" t="s">
        <v>15151</v>
      </c>
      <c r="D11984" t="s">
        <v>17980</v>
      </c>
      <c r="E11984" t="s">
        <v>28391</v>
      </c>
      <c r="F11984" t="s">
        <v>30900</v>
      </c>
      <c r="G11984" t="s">
        <v>30907</v>
      </c>
      <c r="H11984" t="s">
        <v>30916</v>
      </c>
      <c r="I11984" t="s">
        <v>30927</v>
      </c>
      <c r="J11984" t="s">
        <v>38514</v>
      </c>
      <c r="K11984" t="s">
        <v>40286</v>
      </c>
      <c r="M11984" t="s">
        <v>43226</v>
      </c>
      <c r="N11984" t="s">
        <v>44759</v>
      </c>
      <c r="O11984" t="s">
        <v>44760</v>
      </c>
      <c r="Q11984">
        <v>1</v>
      </c>
      <c r="R11984" t="s">
        <v>44775</v>
      </c>
      <c r="S11984" t="s">
        <v>45406</v>
      </c>
      <c r="T11984" t="s">
        <v>46429</v>
      </c>
      <c r="U11984" t="s">
        <v>56804</v>
      </c>
      <c r="V11984" t="s">
        <v>59894</v>
      </c>
      <c r="W11984" t="s">
        <v>43226</v>
      </c>
      <c r="X11984" t="s">
        <v>44776</v>
      </c>
    </row>
    <row r="11985" spans="1:24">
      <c r="A11985">
        <f>HYPERLINK("https://www.philgeps.gov.ph/GEPSNONPILOT/Tender/SplashBidNoticeAbstractUI.aspx?menuIndex=3&amp;refID=7125153&amp;Result=3","7125153")</f>
        <v>0</v>
      </c>
      <c r="B11985" t="s">
        <v>3434</v>
      </c>
      <c r="C11985" t="s">
        <v>15152</v>
      </c>
      <c r="D11985" t="s">
        <v>17952</v>
      </c>
      <c r="E11985" t="s">
        <v>28392</v>
      </c>
      <c r="F11985" t="s">
        <v>30900</v>
      </c>
      <c r="G11985" t="s">
        <v>30907</v>
      </c>
      <c r="H11985" t="s">
        <v>30916</v>
      </c>
      <c r="I11985" t="s">
        <v>8123</v>
      </c>
      <c r="J11985" t="s">
        <v>38515</v>
      </c>
      <c r="K11985" t="s">
        <v>40293</v>
      </c>
      <c r="M11985" t="s">
        <v>44315</v>
      </c>
      <c r="N11985" t="s">
        <v>44759</v>
      </c>
      <c r="O11985" t="s">
        <v>44760</v>
      </c>
      <c r="P11985">
        <v>0</v>
      </c>
      <c r="Q11985">
        <v>0</v>
      </c>
      <c r="R11985" t="s">
        <v>44775</v>
      </c>
      <c r="S11985" t="s">
        <v>45343</v>
      </c>
      <c r="T11985" t="s">
        <v>46409</v>
      </c>
      <c r="U11985" t="s">
        <v>56805</v>
      </c>
      <c r="V11985" t="s">
        <v>60479</v>
      </c>
      <c r="W11985" t="s">
        <v>44315</v>
      </c>
      <c r="X11985" t="s">
        <v>44776</v>
      </c>
    </row>
    <row r="11986" spans="1:24">
      <c r="A11986">
        <f>HYPERLINK("https://www.philgeps.gov.ph/GEPSNONPILOT/Tender/SplashBidNoticeAbstractUI.aspx?menuIndex=3&amp;refID=7125148&amp;Result=3","7125148")</f>
        <v>0</v>
      </c>
      <c r="B11986" t="s">
        <v>3441</v>
      </c>
      <c r="C11986" t="s">
        <v>15153</v>
      </c>
      <c r="D11986" t="s">
        <v>17978</v>
      </c>
      <c r="E11986" t="s">
        <v>28393</v>
      </c>
      <c r="F11986" t="s">
        <v>30900</v>
      </c>
      <c r="G11986" t="s">
        <v>30907</v>
      </c>
      <c r="H11986" t="s">
        <v>30916</v>
      </c>
      <c r="I11986" t="s">
        <v>10602</v>
      </c>
      <c r="J11986" t="s">
        <v>38516</v>
      </c>
      <c r="K11986" t="s">
        <v>40385</v>
      </c>
      <c r="M11986" t="s">
        <v>44322</v>
      </c>
      <c r="N11986" t="s">
        <v>44759</v>
      </c>
      <c r="O11986" t="s">
        <v>44760</v>
      </c>
      <c r="P11986">
        <v>0</v>
      </c>
      <c r="Q11986">
        <v>1</v>
      </c>
      <c r="R11986" t="s">
        <v>44775</v>
      </c>
      <c r="S11986" t="s">
        <v>45343</v>
      </c>
      <c r="T11986" t="s">
        <v>46404</v>
      </c>
      <c r="U11986" t="s">
        <v>56806</v>
      </c>
      <c r="V11986" t="s">
        <v>59331</v>
      </c>
      <c r="W11986" t="s">
        <v>44322</v>
      </c>
      <c r="X11986" t="s">
        <v>44776</v>
      </c>
    </row>
    <row r="11987" spans="1:24">
      <c r="A11987">
        <f>HYPERLINK("https://www.philgeps.gov.ph/GEPSNONPILOT/Tender/SplashBidNoticeAbstractUI.aspx?menuIndex=3&amp;refID=7125112&amp;Result=3","7125112")</f>
        <v>0</v>
      </c>
      <c r="B11987" t="s">
        <v>3442</v>
      </c>
      <c r="C11987" t="s">
        <v>15154</v>
      </c>
      <c r="D11987" t="s">
        <v>17959</v>
      </c>
      <c r="E11987" t="s">
        <v>28394</v>
      </c>
      <c r="F11987" t="s">
        <v>30900</v>
      </c>
      <c r="G11987" t="s">
        <v>30907</v>
      </c>
      <c r="H11987" t="s">
        <v>7411</v>
      </c>
      <c r="I11987" t="s">
        <v>7411</v>
      </c>
      <c r="J11987" t="s">
        <v>38517</v>
      </c>
      <c r="K11987" t="s">
        <v>40304</v>
      </c>
      <c r="M11987" t="s">
        <v>44323</v>
      </c>
      <c r="N11987" t="s">
        <v>44759</v>
      </c>
      <c r="O11987" t="s">
        <v>44760</v>
      </c>
      <c r="Q11987">
        <v>10</v>
      </c>
      <c r="R11987" t="s">
        <v>44775</v>
      </c>
      <c r="S11987" t="s">
        <v>45041</v>
      </c>
      <c r="T11987" t="s">
        <v>46898</v>
      </c>
      <c r="U11987" t="s">
        <v>56807</v>
      </c>
      <c r="W11987" t="s">
        <v>44323</v>
      </c>
      <c r="X11987" t="s">
        <v>44776</v>
      </c>
    </row>
    <row r="11988" spans="1:24">
      <c r="A11988">
        <f>HYPERLINK("https://www.philgeps.gov.ph/GEPSNONPILOT/Tender/SplashBidNoticeAbstractUI.aspx?menuIndex=3&amp;refID=7125108&amp;Result=3","7125108")</f>
        <v>0</v>
      </c>
      <c r="B11988" t="s">
        <v>2382</v>
      </c>
      <c r="C11988" t="s">
        <v>15155</v>
      </c>
      <c r="D11988" t="s">
        <v>18021</v>
      </c>
      <c r="E11988" t="s">
        <v>28395</v>
      </c>
      <c r="F11988" t="s">
        <v>30900</v>
      </c>
      <c r="G11988" t="s">
        <v>30907</v>
      </c>
      <c r="H11988" t="s">
        <v>30915</v>
      </c>
      <c r="I11988" t="s">
        <v>30919</v>
      </c>
      <c r="J11988" t="s">
        <v>38518</v>
      </c>
      <c r="K11988" t="s">
        <v>40342</v>
      </c>
      <c r="M11988" t="s">
        <v>43108</v>
      </c>
      <c r="N11988" t="s">
        <v>44759</v>
      </c>
      <c r="O11988" t="s">
        <v>44760</v>
      </c>
      <c r="P11988">
        <v>0</v>
      </c>
      <c r="Q11988">
        <v>2</v>
      </c>
      <c r="R11988" t="s">
        <v>44775</v>
      </c>
      <c r="S11988" t="s">
        <v>45343</v>
      </c>
      <c r="T11988" t="s">
        <v>46439</v>
      </c>
      <c r="U11988" t="s">
        <v>56808</v>
      </c>
      <c r="V11988" t="s">
        <v>59855</v>
      </c>
      <c r="W11988" t="s">
        <v>43108</v>
      </c>
      <c r="X11988" t="s">
        <v>44776</v>
      </c>
    </row>
    <row r="11989" spans="1:24">
      <c r="A11989">
        <f>HYPERLINK("https://www.philgeps.gov.ph/GEPSNONPILOT/Tender/SplashBidNoticeAbstractUI.aspx?menuIndex=3&amp;refID=7125136&amp;Result=3","7125136")</f>
        <v>0</v>
      </c>
      <c r="B11989" t="s">
        <v>3443</v>
      </c>
      <c r="C11989" t="s">
        <v>15156</v>
      </c>
      <c r="D11989" t="s">
        <v>17957</v>
      </c>
      <c r="E11989" t="s">
        <v>28396</v>
      </c>
      <c r="F11989" t="s">
        <v>30903</v>
      </c>
      <c r="G11989" t="s">
        <v>30913</v>
      </c>
      <c r="H11989" t="s">
        <v>30915</v>
      </c>
      <c r="I11989" t="s">
        <v>30919</v>
      </c>
      <c r="J11989" t="s">
        <v>38519</v>
      </c>
      <c r="K11989" t="s">
        <v>40301</v>
      </c>
      <c r="M11989" t="s">
        <v>44324</v>
      </c>
      <c r="N11989" t="s">
        <v>44759</v>
      </c>
      <c r="O11989" t="s">
        <v>44760</v>
      </c>
      <c r="P11989">
        <v>0</v>
      </c>
      <c r="Q11989">
        <v>2</v>
      </c>
      <c r="R11989" t="s">
        <v>44775</v>
      </c>
      <c r="S11989" t="s">
        <v>45343</v>
      </c>
      <c r="T11989" t="s">
        <v>46380</v>
      </c>
      <c r="U11989" t="s">
        <v>56809</v>
      </c>
      <c r="W11989" t="s">
        <v>44324</v>
      </c>
      <c r="X11989" t="s">
        <v>44776</v>
      </c>
    </row>
    <row r="11990" spans="1:24">
      <c r="A11990">
        <f>HYPERLINK("https://www.philgeps.gov.ph/GEPSNONPILOT/Tender/SplashBidNoticeAbstractUI.aspx?menuIndex=3&amp;refID=7125082&amp;Result=3","7125082")</f>
        <v>0</v>
      </c>
      <c r="B11990" t="s">
        <v>3434</v>
      </c>
      <c r="C11990" t="s">
        <v>15157</v>
      </c>
      <c r="D11990" t="s">
        <v>17952</v>
      </c>
      <c r="E11990" t="s">
        <v>28397</v>
      </c>
      <c r="F11990" t="s">
        <v>30900</v>
      </c>
      <c r="G11990" t="s">
        <v>30907</v>
      </c>
      <c r="H11990" t="s">
        <v>30916</v>
      </c>
      <c r="I11990" t="s">
        <v>8123</v>
      </c>
      <c r="J11990" t="s">
        <v>38520</v>
      </c>
      <c r="K11990" t="s">
        <v>40293</v>
      </c>
      <c r="M11990" t="s">
        <v>44315</v>
      </c>
      <c r="N11990" t="s">
        <v>44759</v>
      </c>
      <c r="O11990" t="s">
        <v>44760</v>
      </c>
      <c r="P11990">
        <v>0</v>
      </c>
      <c r="Q11990">
        <v>0</v>
      </c>
      <c r="R11990" t="s">
        <v>44775</v>
      </c>
      <c r="S11990" t="s">
        <v>45343</v>
      </c>
      <c r="T11990" t="s">
        <v>46409</v>
      </c>
      <c r="U11990" t="s">
        <v>56810</v>
      </c>
      <c r="V11990" t="s">
        <v>60479</v>
      </c>
      <c r="W11990" t="s">
        <v>44315</v>
      </c>
      <c r="X11990" t="s">
        <v>44776</v>
      </c>
    </row>
    <row r="11991" spans="1:24">
      <c r="A11991">
        <f>HYPERLINK("https://www.philgeps.gov.ph/GEPSNONPILOT/Tender/SplashBidNoticeAbstractUI.aspx?menuIndex=3&amp;refID=7125114&amp;Result=3","7125114")</f>
        <v>0</v>
      </c>
      <c r="B11991" t="s">
        <v>3444</v>
      </c>
      <c r="C11991" t="s">
        <v>15141</v>
      </c>
      <c r="D11991" t="s">
        <v>17984</v>
      </c>
      <c r="E11991" t="s">
        <v>28384</v>
      </c>
      <c r="F11991" t="s">
        <v>30900</v>
      </c>
      <c r="G11991" t="s">
        <v>30907</v>
      </c>
      <c r="H11991" t="s">
        <v>30915</v>
      </c>
      <c r="I11991" t="s">
        <v>30919</v>
      </c>
      <c r="J11991" t="s">
        <v>38506</v>
      </c>
      <c r="K11991" t="s">
        <v>40329</v>
      </c>
      <c r="M11991" t="s">
        <v>44325</v>
      </c>
      <c r="N11991" t="s">
        <v>44759</v>
      </c>
      <c r="O11991" t="s">
        <v>44760</v>
      </c>
      <c r="P11991">
        <v>0</v>
      </c>
      <c r="Q11991">
        <v>0</v>
      </c>
      <c r="R11991" t="s">
        <v>44775</v>
      </c>
      <c r="S11991" t="s">
        <v>45343</v>
      </c>
      <c r="T11991" t="s">
        <v>46357</v>
      </c>
      <c r="U11991" t="s">
        <v>56811</v>
      </c>
      <c r="W11991" t="s">
        <v>44325</v>
      </c>
      <c r="X11991" t="s">
        <v>44776</v>
      </c>
    </row>
    <row r="11992" spans="1:24">
      <c r="A11992">
        <f>HYPERLINK("https://www.philgeps.gov.ph/GEPSNONPILOT/Tender/SplashBidNoticeAbstractUI.aspx?menuIndex=3&amp;refID=7125081&amp;Result=3","7125081")</f>
        <v>0</v>
      </c>
      <c r="B11992" t="s">
        <v>3445</v>
      </c>
      <c r="C11992" t="s">
        <v>15158</v>
      </c>
      <c r="D11992" t="s">
        <v>17993</v>
      </c>
      <c r="E11992" t="s">
        <v>28398</v>
      </c>
      <c r="F11992" t="s">
        <v>30900</v>
      </c>
      <c r="G11992" t="s">
        <v>30907</v>
      </c>
      <c r="H11992" t="s">
        <v>30915</v>
      </c>
      <c r="I11992" t="s">
        <v>30919</v>
      </c>
      <c r="J11992" t="s">
        <v>32276</v>
      </c>
      <c r="K11992" t="s">
        <v>40323</v>
      </c>
      <c r="M11992" t="s">
        <v>44326</v>
      </c>
      <c r="N11992" t="s">
        <v>44759</v>
      </c>
      <c r="O11992" t="s">
        <v>44760</v>
      </c>
      <c r="P11992">
        <v>0</v>
      </c>
      <c r="Q11992">
        <v>11</v>
      </c>
      <c r="R11992" t="s">
        <v>44775</v>
      </c>
      <c r="S11992" t="s">
        <v>45343</v>
      </c>
      <c r="T11992" t="s">
        <v>46409</v>
      </c>
      <c r="U11992" t="s">
        <v>56812</v>
      </c>
      <c r="V11992" t="s">
        <v>60483</v>
      </c>
      <c r="W11992" t="s">
        <v>44326</v>
      </c>
      <c r="X11992" t="s">
        <v>44776</v>
      </c>
    </row>
    <row r="11993" spans="1:24">
      <c r="A11993">
        <f>HYPERLINK("https://www.philgeps.gov.ph/GEPSNONPILOT/Tender/SplashBidNoticeAbstractUI.aspx?menuIndex=3&amp;refID=7125068&amp;Result=3","7125068")</f>
        <v>0</v>
      </c>
      <c r="B11993" t="s">
        <v>2751</v>
      </c>
      <c r="C11993" t="s">
        <v>15159</v>
      </c>
      <c r="D11993" t="s">
        <v>17953</v>
      </c>
      <c r="E11993" t="s">
        <v>22739</v>
      </c>
      <c r="F11993" t="s">
        <v>30900</v>
      </c>
      <c r="G11993" t="s">
        <v>30907</v>
      </c>
      <c r="H11993" t="s">
        <v>30916</v>
      </c>
      <c r="I11993" t="s">
        <v>30923</v>
      </c>
      <c r="J11993" t="s">
        <v>35124</v>
      </c>
      <c r="K11993" t="s">
        <v>40281</v>
      </c>
      <c r="M11993" t="s">
        <v>43528</v>
      </c>
      <c r="N11993" t="s">
        <v>44759</v>
      </c>
      <c r="O11993" t="s">
        <v>44760</v>
      </c>
      <c r="P11993">
        <v>0</v>
      </c>
      <c r="Q11993">
        <v>9</v>
      </c>
      <c r="R11993" t="s">
        <v>44775</v>
      </c>
      <c r="S11993" t="s">
        <v>45343</v>
      </c>
      <c r="T11993" t="s">
        <v>46356</v>
      </c>
      <c r="U11993" t="s">
        <v>56813</v>
      </c>
      <c r="W11993" t="s">
        <v>43528</v>
      </c>
      <c r="X11993" t="s">
        <v>44776</v>
      </c>
    </row>
    <row r="11994" spans="1:24">
      <c r="A11994">
        <f>HYPERLINK("https://www.philgeps.gov.ph/GEPSNONPILOT/Tender/SplashBidNoticeAbstractUI.aspx?menuIndex=3&amp;refID=7125064&amp;Result=3","7125064")</f>
        <v>0</v>
      </c>
      <c r="B11994" t="s">
        <v>1531</v>
      </c>
      <c r="C11994" t="s">
        <v>15160</v>
      </c>
      <c r="D11994" t="s">
        <v>17959</v>
      </c>
      <c r="E11994" t="s">
        <v>28399</v>
      </c>
      <c r="F11994" t="s">
        <v>30900</v>
      </c>
      <c r="G11994" t="s">
        <v>30907</v>
      </c>
      <c r="H11994" t="s">
        <v>30916</v>
      </c>
      <c r="I11994" t="s">
        <v>31010</v>
      </c>
      <c r="J11994" t="s">
        <v>35231</v>
      </c>
      <c r="K11994" t="s">
        <v>40289</v>
      </c>
      <c r="M11994" t="s">
        <v>42174</v>
      </c>
      <c r="N11994" t="s">
        <v>44759</v>
      </c>
      <c r="O11994" t="s">
        <v>44760</v>
      </c>
      <c r="Q11994">
        <v>12</v>
      </c>
      <c r="R11994" t="s">
        <v>44775</v>
      </c>
      <c r="S11994" t="s">
        <v>45407</v>
      </c>
      <c r="T11994" t="s">
        <v>46450</v>
      </c>
      <c r="U11994" t="s">
        <v>54782</v>
      </c>
      <c r="W11994" t="s">
        <v>42174</v>
      </c>
      <c r="X11994" t="s">
        <v>44776</v>
      </c>
    </row>
    <row r="11995" spans="1:24">
      <c r="A11995">
        <f>HYPERLINK("https://www.philgeps.gov.ph/GEPSNONPILOT/Tender/SplashBidNoticeAbstractUI.aspx?menuIndex=3&amp;refID=7125142&amp;Result=3","7125142")</f>
        <v>0</v>
      </c>
      <c r="B11995" t="s">
        <v>2668</v>
      </c>
      <c r="C11995" t="s">
        <v>15161</v>
      </c>
      <c r="D11995" t="s">
        <v>17954</v>
      </c>
      <c r="E11995" t="s">
        <v>28400</v>
      </c>
      <c r="F11995" t="s">
        <v>30900</v>
      </c>
      <c r="G11995" t="s">
        <v>30907</v>
      </c>
      <c r="H11995" t="s">
        <v>30915</v>
      </c>
      <c r="I11995" t="s">
        <v>30919</v>
      </c>
      <c r="J11995" t="s">
        <v>38521</v>
      </c>
      <c r="K11995" t="s">
        <v>40349</v>
      </c>
      <c r="M11995" t="s">
        <v>44021</v>
      </c>
      <c r="N11995" t="s">
        <v>44759</v>
      </c>
      <c r="O11995" t="s">
        <v>44760</v>
      </c>
      <c r="P11995">
        <v>0</v>
      </c>
      <c r="Q11995">
        <v>2</v>
      </c>
      <c r="R11995" t="s">
        <v>44775</v>
      </c>
      <c r="S11995" t="s">
        <v>45343</v>
      </c>
      <c r="T11995" t="s">
        <v>46418</v>
      </c>
      <c r="U11995" t="s">
        <v>56814</v>
      </c>
      <c r="W11995" t="s">
        <v>44021</v>
      </c>
      <c r="X11995" t="s">
        <v>44776</v>
      </c>
    </row>
    <row r="11996" spans="1:24">
      <c r="A11996">
        <f>HYPERLINK("https://www.philgeps.gov.ph/GEPSNONPILOT/Tender/SplashBidNoticeAbstractUI.aspx?menuIndex=3&amp;refID=7125056&amp;Result=3","7125056")</f>
        <v>0</v>
      </c>
      <c r="B11996" t="s">
        <v>1595</v>
      </c>
      <c r="C11996" t="s">
        <v>15162</v>
      </c>
      <c r="D11996" t="s">
        <v>17962</v>
      </c>
      <c r="E11996" t="s">
        <v>28401</v>
      </c>
      <c r="F11996" t="s">
        <v>30900</v>
      </c>
      <c r="G11996" t="s">
        <v>30907</v>
      </c>
      <c r="H11996" t="s">
        <v>30915</v>
      </c>
      <c r="I11996" t="s">
        <v>30919</v>
      </c>
      <c r="J11996" t="s">
        <v>38522</v>
      </c>
      <c r="K11996" t="s">
        <v>40355</v>
      </c>
      <c r="M11996" t="s">
        <v>42244</v>
      </c>
      <c r="N11996" t="s">
        <v>44759</v>
      </c>
      <c r="O11996" t="s">
        <v>44760</v>
      </c>
      <c r="P11996">
        <v>0</v>
      </c>
      <c r="Q11996">
        <v>2</v>
      </c>
      <c r="R11996" t="s">
        <v>44775</v>
      </c>
      <c r="S11996" t="s">
        <v>45343</v>
      </c>
      <c r="T11996" t="s">
        <v>46352</v>
      </c>
      <c r="U11996" t="s">
        <v>56815</v>
      </c>
      <c r="W11996" t="s">
        <v>42244</v>
      </c>
      <c r="X11996" t="s">
        <v>44776</v>
      </c>
    </row>
    <row r="11997" spans="1:24">
      <c r="A11997">
        <f>HYPERLINK("https://www.philgeps.gov.ph/GEPSNONPILOT/Tender/SplashBidNoticeAbstractUI.aspx?menuIndex=3&amp;refID=7125065&amp;Result=3","7125065")</f>
        <v>0</v>
      </c>
      <c r="B11997" t="s">
        <v>857</v>
      </c>
      <c r="C11997" t="s">
        <v>15163</v>
      </c>
      <c r="D11997" t="s">
        <v>17984</v>
      </c>
      <c r="E11997" t="s">
        <v>28402</v>
      </c>
      <c r="F11997" t="s">
        <v>30900</v>
      </c>
      <c r="G11997" t="s">
        <v>30907</v>
      </c>
      <c r="H11997" t="s">
        <v>30915</v>
      </c>
      <c r="I11997" t="s">
        <v>30919</v>
      </c>
      <c r="J11997" t="s">
        <v>31049</v>
      </c>
      <c r="K11997" t="s">
        <v>40284</v>
      </c>
      <c r="M11997" t="s">
        <v>41430</v>
      </c>
      <c r="N11997" t="s">
        <v>44759</v>
      </c>
      <c r="O11997" t="s">
        <v>44760</v>
      </c>
      <c r="P11997">
        <v>0</v>
      </c>
      <c r="Q11997">
        <v>1</v>
      </c>
      <c r="R11997" t="s">
        <v>44775</v>
      </c>
      <c r="S11997" t="s">
        <v>45343</v>
      </c>
      <c r="T11997" t="s">
        <v>46357</v>
      </c>
      <c r="U11997" t="s">
        <v>56816</v>
      </c>
      <c r="W11997" t="s">
        <v>41430</v>
      </c>
      <c r="X11997" t="s">
        <v>44776</v>
      </c>
    </row>
    <row r="11998" spans="1:24">
      <c r="A11998">
        <f>HYPERLINK("https://www.philgeps.gov.ph/GEPSNONPILOT/Tender/SplashBidNoticeAbstractUI.aspx?menuIndex=3&amp;refID=7125319&amp;Result=3","7125319")</f>
        <v>0</v>
      </c>
      <c r="B11998" t="s">
        <v>207</v>
      </c>
      <c r="C11998" t="s">
        <v>15164</v>
      </c>
      <c r="D11998" t="s">
        <v>17985</v>
      </c>
      <c r="E11998" t="s">
        <v>28403</v>
      </c>
      <c r="F11998" t="s">
        <v>30900</v>
      </c>
      <c r="G11998" t="s">
        <v>30907</v>
      </c>
      <c r="H11998" t="s">
        <v>30916</v>
      </c>
      <c r="I11998" t="s">
        <v>30924</v>
      </c>
      <c r="J11998" t="s">
        <v>35993</v>
      </c>
      <c r="K11998" t="s">
        <v>40286</v>
      </c>
      <c r="M11998" t="s">
        <v>42199</v>
      </c>
      <c r="N11998" t="s">
        <v>44759</v>
      </c>
      <c r="O11998" t="s">
        <v>44760</v>
      </c>
      <c r="Q11998">
        <v>6</v>
      </c>
      <c r="R11998" t="s">
        <v>44775</v>
      </c>
      <c r="S11998" t="s">
        <v>45408</v>
      </c>
      <c r="T11998" t="s">
        <v>46409</v>
      </c>
      <c r="U11998" t="s">
        <v>56817</v>
      </c>
      <c r="W11998" t="s">
        <v>42199</v>
      </c>
      <c r="X11998" t="s">
        <v>44776</v>
      </c>
    </row>
    <row r="11999" spans="1:24">
      <c r="A11999">
        <f>HYPERLINK("https://www.philgeps.gov.ph/GEPSNONPILOT/Tender/SplashBidNoticeAbstractUI.aspx?menuIndex=3&amp;refID=7124688&amp;Result=3","7124688")</f>
        <v>0</v>
      </c>
      <c r="B11999" t="s">
        <v>629</v>
      </c>
      <c r="C11999" t="s">
        <v>15165</v>
      </c>
      <c r="D11999" t="s">
        <v>17992</v>
      </c>
      <c r="E11999" t="s">
        <v>28404</v>
      </c>
      <c r="F11999" t="s">
        <v>30900</v>
      </c>
      <c r="G11999" t="s">
        <v>30907</v>
      </c>
      <c r="H11999" t="s">
        <v>30916</v>
      </c>
      <c r="I11999" t="s">
        <v>30924</v>
      </c>
      <c r="J11999" t="s">
        <v>38523</v>
      </c>
      <c r="K11999" t="s">
        <v>40283</v>
      </c>
      <c r="M11999" t="s">
        <v>41195</v>
      </c>
      <c r="N11999" t="s">
        <v>44759</v>
      </c>
      <c r="O11999" t="s">
        <v>44760</v>
      </c>
      <c r="P11999">
        <v>0</v>
      </c>
      <c r="Q11999">
        <v>2</v>
      </c>
      <c r="R11999" t="s">
        <v>44775</v>
      </c>
      <c r="S11999" t="s">
        <v>45343</v>
      </c>
      <c r="T11999" t="s">
        <v>46613</v>
      </c>
      <c r="U11999" t="s">
        <v>56818</v>
      </c>
      <c r="V11999" t="s">
        <v>60484</v>
      </c>
      <c r="W11999" t="s">
        <v>41195</v>
      </c>
      <c r="X11999" t="s">
        <v>44776</v>
      </c>
    </row>
    <row r="12000" spans="1:24">
      <c r="A12000">
        <f>HYPERLINK("https://www.philgeps.gov.ph/GEPSNONPILOT/Tender/SplashBidNoticeAbstractUI.aspx?menuIndex=3&amp;refID=7124893&amp;Result=3","7124893")</f>
        <v>0</v>
      </c>
      <c r="B12000" t="s">
        <v>1978</v>
      </c>
      <c r="C12000" t="s">
        <v>15166</v>
      </c>
      <c r="D12000" t="s">
        <v>17993</v>
      </c>
      <c r="E12000" t="s">
        <v>28405</v>
      </c>
      <c r="F12000" t="s">
        <v>30900</v>
      </c>
      <c r="G12000" t="s">
        <v>30907</v>
      </c>
      <c r="H12000" t="s">
        <v>30916</v>
      </c>
      <c r="I12000" t="s">
        <v>30934</v>
      </c>
      <c r="J12000" t="s">
        <v>38524</v>
      </c>
      <c r="K12000" t="s">
        <v>40289</v>
      </c>
      <c r="M12000" t="s">
        <v>42667</v>
      </c>
      <c r="N12000" t="s">
        <v>44759</v>
      </c>
      <c r="O12000" t="s">
        <v>44760</v>
      </c>
      <c r="P12000">
        <v>0</v>
      </c>
      <c r="Q12000">
        <v>6</v>
      </c>
      <c r="R12000" t="s">
        <v>44775</v>
      </c>
      <c r="S12000" t="s">
        <v>45343</v>
      </c>
      <c r="T12000" t="s">
        <v>46352</v>
      </c>
      <c r="U12000" t="s">
        <v>56819</v>
      </c>
      <c r="W12000" t="s">
        <v>42667</v>
      </c>
      <c r="X12000" t="s">
        <v>44776</v>
      </c>
    </row>
    <row r="12001" spans="1:24">
      <c r="A12001">
        <f>HYPERLINK("https://www.philgeps.gov.ph/GEPSNONPILOT/Tender/SplashBidNoticeAbstractUI.aspx?menuIndex=3&amp;refID=7125309&amp;Result=3","7125309")</f>
        <v>0</v>
      </c>
      <c r="B12001" t="s">
        <v>3446</v>
      </c>
      <c r="C12001" t="s">
        <v>5458</v>
      </c>
      <c r="D12001" t="s">
        <v>17975</v>
      </c>
      <c r="E12001" t="s">
        <v>18328</v>
      </c>
      <c r="F12001" t="s">
        <v>30904</v>
      </c>
      <c r="G12001" t="s">
        <v>30907</v>
      </c>
      <c r="H12001" t="s">
        <v>30915</v>
      </c>
      <c r="I12001" t="s">
        <v>30919</v>
      </c>
      <c r="J12001" t="s">
        <v>38525</v>
      </c>
      <c r="K12001" t="s">
        <v>40286</v>
      </c>
      <c r="M12001" t="s">
        <v>44327</v>
      </c>
      <c r="N12001" t="s">
        <v>44759</v>
      </c>
      <c r="O12001" t="s">
        <v>44760</v>
      </c>
      <c r="P12001">
        <v>0</v>
      </c>
      <c r="Q12001">
        <v>0</v>
      </c>
      <c r="R12001" t="s">
        <v>44775</v>
      </c>
      <c r="S12001" t="s">
        <v>45343</v>
      </c>
      <c r="T12001" t="s">
        <v>46658</v>
      </c>
      <c r="U12001" t="s">
        <v>56820</v>
      </c>
      <c r="W12001" t="s">
        <v>44327</v>
      </c>
      <c r="X12001" t="s">
        <v>44776</v>
      </c>
    </row>
    <row r="12002" spans="1:24">
      <c r="A12002">
        <f>HYPERLINK("https://www.philgeps.gov.ph/GEPSNONPILOT/Tender/SplashBidNoticeAbstractUI.aspx?menuIndex=3&amp;refID=7125295&amp;Result=3","7125295")</f>
        <v>0</v>
      </c>
      <c r="B12002" t="s">
        <v>3447</v>
      </c>
      <c r="C12002" t="s">
        <v>15167</v>
      </c>
      <c r="D12002" t="s">
        <v>17971</v>
      </c>
      <c r="E12002" t="s">
        <v>18094</v>
      </c>
      <c r="F12002" t="s">
        <v>30900</v>
      </c>
      <c r="G12002" t="s">
        <v>30907</v>
      </c>
      <c r="H12002" t="s">
        <v>30916</v>
      </c>
      <c r="I12002" t="s">
        <v>8123</v>
      </c>
      <c r="J12002" t="s">
        <v>38526</v>
      </c>
      <c r="K12002" t="s">
        <v>40284</v>
      </c>
      <c r="M12002" t="s">
        <v>44328</v>
      </c>
      <c r="N12002" t="s">
        <v>44759</v>
      </c>
      <c r="O12002" t="s">
        <v>44760</v>
      </c>
      <c r="P12002">
        <v>0</v>
      </c>
      <c r="Q12002">
        <v>2</v>
      </c>
      <c r="R12002" t="s">
        <v>44775</v>
      </c>
      <c r="S12002" t="s">
        <v>45343</v>
      </c>
      <c r="T12002" t="s">
        <v>46591</v>
      </c>
      <c r="U12002" t="s">
        <v>56821</v>
      </c>
      <c r="W12002" t="s">
        <v>44328</v>
      </c>
      <c r="X12002" t="s">
        <v>44776</v>
      </c>
    </row>
    <row r="12003" spans="1:24">
      <c r="A12003">
        <f>HYPERLINK("https://www.philgeps.gov.ph/GEPSNONPILOT/Tender/SplashBidNoticeAbstractUI.aspx?menuIndex=3&amp;refID=7125288&amp;Result=3","7125288")</f>
        <v>0</v>
      </c>
      <c r="B12003" t="s">
        <v>3434</v>
      </c>
      <c r="C12003" t="s">
        <v>15168</v>
      </c>
      <c r="D12003" t="s">
        <v>17952</v>
      </c>
      <c r="E12003" t="s">
        <v>28406</v>
      </c>
      <c r="F12003" t="s">
        <v>30900</v>
      </c>
      <c r="G12003" t="s">
        <v>30907</v>
      </c>
      <c r="H12003" t="s">
        <v>30915</v>
      </c>
      <c r="I12003" t="s">
        <v>30919</v>
      </c>
      <c r="J12003" t="s">
        <v>38527</v>
      </c>
      <c r="K12003" t="s">
        <v>40312</v>
      </c>
      <c r="M12003" t="s">
        <v>44315</v>
      </c>
      <c r="N12003" t="s">
        <v>44759</v>
      </c>
      <c r="O12003" t="s">
        <v>44760</v>
      </c>
      <c r="P12003">
        <v>0</v>
      </c>
      <c r="Q12003">
        <v>4</v>
      </c>
      <c r="R12003" t="s">
        <v>44775</v>
      </c>
      <c r="S12003" t="s">
        <v>45343</v>
      </c>
      <c r="T12003" t="s">
        <v>46409</v>
      </c>
      <c r="U12003" t="s">
        <v>56822</v>
      </c>
      <c r="V12003" t="s">
        <v>59226</v>
      </c>
      <c r="W12003" t="s">
        <v>44315</v>
      </c>
      <c r="X12003" t="s">
        <v>44776</v>
      </c>
    </row>
    <row r="12004" spans="1:24">
      <c r="A12004">
        <f>HYPERLINK("https://www.philgeps.gov.ph/GEPSNONPILOT/Tender/SplashBidNoticeAbstractUI.aspx?menuIndex=3&amp;refID=7125280&amp;Result=3","7125280")</f>
        <v>0</v>
      </c>
      <c r="B12004" t="s">
        <v>3448</v>
      </c>
      <c r="C12004" t="s">
        <v>15169</v>
      </c>
      <c r="D12004" t="s">
        <v>17973</v>
      </c>
      <c r="E12004" t="s">
        <v>28407</v>
      </c>
      <c r="F12004" t="s">
        <v>30900</v>
      </c>
      <c r="G12004" t="s">
        <v>30907</v>
      </c>
      <c r="H12004" t="s">
        <v>30916</v>
      </c>
      <c r="I12004" t="s">
        <v>30933</v>
      </c>
      <c r="J12004" t="s">
        <v>33787</v>
      </c>
      <c r="K12004" t="s">
        <v>40293</v>
      </c>
      <c r="M12004" t="s">
        <v>44329</v>
      </c>
      <c r="N12004" t="s">
        <v>44759</v>
      </c>
      <c r="O12004" t="s">
        <v>44760</v>
      </c>
      <c r="P12004">
        <v>0</v>
      </c>
      <c r="Q12004">
        <v>7</v>
      </c>
      <c r="R12004" t="s">
        <v>44775</v>
      </c>
      <c r="S12004" t="s">
        <v>45343</v>
      </c>
      <c r="T12004" t="s">
        <v>46418</v>
      </c>
      <c r="U12004" t="s">
        <v>56823</v>
      </c>
      <c r="W12004" t="s">
        <v>44329</v>
      </c>
      <c r="X12004" t="s">
        <v>44776</v>
      </c>
    </row>
    <row r="12005" spans="1:24">
      <c r="A12005">
        <f>HYPERLINK("https://www.philgeps.gov.ph/GEPSNONPILOT/Tender/SplashBidNoticeAbstractUI.aspx?menuIndex=3&amp;refID=7125255&amp;Result=3","7125255")</f>
        <v>0</v>
      </c>
      <c r="B12005" t="s">
        <v>1278</v>
      </c>
      <c r="C12005" t="s">
        <v>15170</v>
      </c>
      <c r="D12005" t="s">
        <v>17957</v>
      </c>
      <c r="E12005" t="s">
        <v>28408</v>
      </c>
      <c r="F12005" t="s">
        <v>30900</v>
      </c>
      <c r="G12005" t="s">
        <v>30907</v>
      </c>
      <c r="H12005" t="s">
        <v>30915</v>
      </c>
      <c r="I12005" t="s">
        <v>30919</v>
      </c>
      <c r="J12005" t="s">
        <v>31241</v>
      </c>
      <c r="K12005" t="s">
        <v>40422</v>
      </c>
      <c r="M12005" t="s">
        <v>41895</v>
      </c>
      <c r="N12005" t="s">
        <v>44759</v>
      </c>
      <c r="O12005" t="s">
        <v>44760</v>
      </c>
      <c r="P12005">
        <v>0</v>
      </c>
      <c r="Q12005">
        <v>1</v>
      </c>
      <c r="R12005" t="s">
        <v>44775</v>
      </c>
      <c r="S12005" t="s">
        <v>45343</v>
      </c>
      <c r="T12005" t="s">
        <v>46409</v>
      </c>
      <c r="U12005" t="s">
        <v>56824</v>
      </c>
      <c r="W12005" t="s">
        <v>41895</v>
      </c>
      <c r="X12005" t="s">
        <v>44776</v>
      </c>
    </row>
    <row r="12006" spans="1:24">
      <c r="A12006">
        <f>HYPERLINK("https://www.philgeps.gov.ph/GEPSNONPILOT/Tender/SplashBidNoticeAbstractUI.aspx?menuIndex=3&amp;refID=7124948&amp;Result=3","7124948")</f>
        <v>0</v>
      </c>
      <c r="B12006" t="s">
        <v>2382</v>
      </c>
      <c r="C12006" t="s">
        <v>15171</v>
      </c>
      <c r="D12006" t="s">
        <v>18021</v>
      </c>
      <c r="E12006" t="s">
        <v>28409</v>
      </c>
      <c r="F12006" t="s">
        <v>30900</v>
      </c>
      <c r="G12006" t="s">
        <v>30907</v>
      </c>
      <c r="H12006" t="s">
        <v>30915</v>
      </c>
      <c r="I12006" t="s">
        <v>30919</v>
      </c>
      <c r="J12006" t="s">
        <v>38528</v>
      </c>
      <c r="K12006" t="s">
        <v>40304</v>
      </c>
      <c r="M12006" t="s">
        <v>43108</v>
      </c>
      <c r="N12006" t="s">
        <v>44759</v>
      </c>
      <c r="O12006" t="s">
        <v>44760</v>
      </c>
      <c r="P12006">
        <v>0</v>
      </c>
      <c r="Q12006">
        <v>2</v>
      </c>
      <c r="R12006" t="s">
        <v>44775</v>
      </c>
      <c r="S12006" t="s">
        <v>45343</v>
      </c>
      <c r="T12006" t="s">
        <v>46439</v>
      </c>
      <c r="U12006" t="s">
        <v>56825</v>
      </c>
      <c r="V12006" t="s">
        <v>59855</v>
      </c>
      <c r="W12006" t="s">
        <v>43108</v>
      </c>
      <c r="X12006" t="s">
        <v>44776</v>
      </c>
    </row>
    <row r="12007" spans="1:24">
      <c r="A12007">
        <f>HYPERLINK("https://www.philgeps.gov.ph/GEPSNONPILOT/Tender/SplashBidNoticeAbstractUI.aspx?menuIndex=3&amp;refID=7125310&amp;Result=3","7125310")</f>
        <v>0</v>
      </c>
      <c r="B12007" t="s">
        <v>167</v>
      </c>
      <c r="C12007" t="s">
        <v>15172</v>
      </c>
      <c r="D12007" t="s">
        <v>17990</v>
      </c>
      <c r="E12007" t="s">
        <v>23966</v>
      </c>
      <c r="F12007" t="s">
        <v>30900</v>
      </c>
      <c r="G12007" t="s">
        <v>30908</v>
      </c>
      <c r="H12007" t="s">
        <v>30916</v>
      </c>
      <c r="I12007" t="s">
        <v>4004</v>
      </c>
      <c r="J12007" t="s">
        <v>31101</v>
      </c>
      <c r="K12007" t="s">
        <v>40283</v>
      </c>
      <c r="M12007" t="s">
        <v>44330</v>
      </c>
      <c r="N12007" t="s">
        <v>44759</v>
      </c>
      <c r="O12007" t="s">
        <v>44760</v>
      </c>
      <c r="Q12007">
        <v>4</v>
      </c>
      <c r="R12007" t="s">
        <v>44775</v>
      </c>
      <c r="S12007" t="s">
        <v>45409</v>
      </c>
      <c r="T12007" t="s">
        <v>46391</v>
      </c>
      <c r="U12007" t="s">
        <v>56826</v>
      </c>
      <c r="W12007" t="s">
        <v>44330</v>
      </c>
      <c r="X12007" t="s">
        <v>44776</v>
      </c>
    </row>
    <row r="12008" spans="1:24">
      <c r="A12008">
        <f>HYPERLINK("https://www.philgeps.gov.ph/GEPSNONPILOT/Tender/SplashBidNoticeAbstractUI.aspx?menuIndex=3&amp;refID=7125305&amp;Result=3","7125305")</f>
        <v>0</v>
      </c>
      <c r="B12008" t="s">
        <v>3449</v>
      </c>
      <c r="C12008" t="s">
        <v>15173</v>
      </c>
      <c r="D12008" t="s">
        <v>18019</v>
      </c>
      <c r="E12008" t="s">
        <v>28410</v>
      </c>
      <c r="F12008" t="s">
        <v>30900</v>
      </c>
      <c r="G12008" t="s">
        <v>30907</v>
      </c>
      <c r="H12008" t="s">
        <v>30916</v>
      </c>
      <c r="I12008" t="s">
        <v>8123</v>
      </c>
      <c r="J12008" t="s">
        <v>31341</v>
      </c>
      <c r="K12008" t="s">
        <v>40321</v>
      </c>
      <c r="M12008" t="s">
        <v>44331</v>
      </c>
      <c r="N12008" t="s">
        <v>44759</v>
      </c>
      <c r="O12008" t="s">
        <v>44760</v>
      </c>
      <c r="P12008">
        <v>0</v>
      </c>
      <c r="Q12008">
        <v>1</v>
      </c>
      <c r="R12008" t="s">
        <v>44775</v>
      </c>
      <c r="S12008" t="s">
        <v>45343</v>
      </c>
      <c r="T12008" t="s">
        <v>46366</v>
      </c>
      <c r="U12008" t="s">
        <v>56827</v>
      </c>
      <c r="W12008" t="s">
        <v>44331</v>
      </c>
      <c r="X12008" t="s">
        <v>44776</v>
      </c>
    </row>
    <row r="12009" spans="1:24">
      <c r="A12009">
        <f>HYPERLINK("https://www.philgeps.gov.ph/GEPSNONPILOT/Tender/SplashBidNoticeAbstractUI.aspx?menuIndex=3&amp;refID=7125223&amp;Result=3","7125223")</f>
        <v>0</v>
      </c>
      <c r="B12009" t="s">
        <v>295</v>
      </c>
      <c r="C12009" t="s">
        <v>15174</v>
      </c>
      <c r="D12009" t="s">
        <v>17951</v>
      </c>
      <c r="E12009" t="s">
        <v>28411</v>
      </c>
      <c r="F12009" t="s">
        <v>30900</v>
      </c>
      <c r="G12009" t="s">
        <v>30907</v>
      </c>
      <c r="H12009" t="s">
        <v>30915</v>
      </c>
      <c r="I12009" t="s">
        <v>30919</v>
      </c>
      <c r="J12009" t="s">
        <v>38529</v>
      </c>
      <c r="K12009" t="s">
        <v>40292</v>
      </c>
      <c r="M12009" t="s">
        <v>40843</v>
      </c>
      <c r="N12009" t="s">
        <v>44759</v>
      </c>
      <c r="O12009" t="s">
        <v>44760</v>
      </c>
      <c r="P12009">
        <v>0</v>
      </c>
      <c r="Q12009">
        <v>1</v>
      </c>
      <c r="R12009" t="s">
        <v>44775</v>
      </c>
      <c r="S12009" t="s">
        <v>45343</v>
      </c>
      <c r="T12009" t="s">
        <v>46422</v>
      </c>
      <c r="U12009" t="s">
        <v>56828</v>
      </c>
      <c r="W12009" t="s">
        <v>40843</v>
      </c>
      <c r="X12009" t="s">
        <v>44776</v>
      </c>
    </row>
    <row r="12010" spans="1:24">
      <c r="A12010">
        <f>HYPERLINK("https://www.philgeps.gov.ph/GEPSNONPILOT/Tender/SplashBidNoticeAbstractUI.aspx?menuIndex=3&amp;refID=7125222&amp;Result=3","7125222")</f>
        <v>0</v>
      </c>
      <c r="B12010" t="s">
        <v>3448</v>
      </c>
      <c r="C12010" t="s">
        <v>15175</v>
      </c>
      <c r="D12010" t="s">
        <v>17973</v>
      </c>
      <c r="E12010" t="s">
        <v>28412</v>
      </c>
      <c r="F12010" t="s">
        <v>30900</v>
      </c>
      <c r="G12010" t="s">
        <v>30907</v>
      </c>
      <c r="H12010" t="s">
        <v>30916</v>
      </c>
      <c r="I12010" t="s">
        <v>30933</v>
      </c>
      <c r="J12010" t="s">
        <v>32130</v>
      </c>
      <c r="K12010" t="s">
        <v>40293</v>
      </c>
      <c r="M12010" t="s">
        <v>44329</v>
      </c>
      <c r="N12010" t="s">
        <v>44759</v>
      </c>
      <c r="O12010" t="s">
        <v>44760</v>
      </c>
      <c r="P12010">
        <v>0</v>
      </c>
      <c r="Q12010">
        <v>4</v>
      </c>
      <c r="R12010" t="s">
        <v>44775</v>
      </c>
      <c r="S12010" t="s">
        <v>45343</v>
      </c>
      <c r="T12010" t="s">
        <v>46418</v>
      </c>
      <c r="U12010" t="s">
        <v>56829</v>
      </c>
      <c r="W12010" t="s">
        <v>44329</v>
      </c>
      <c r="X12010" t="s">
        <v>44776</v>
      </c>
    </row>
    <row r="12011" spans="1:24">
      <c r="A12011">
        <f>HYPERLINK("https://www.philgeps.gov.ph/GEPSNONPILOT/Tender/SplashBidNoticeAbstractUI.aspx?menuIndex=3&amp;refID=7125248&amp;Result=3","7125248")</f>
        <v>0</v>
      </c>
      <c r="B12011" t="s">
        <v>3441</v>
      </c>
      <c r="C12011" t="s">
        <v>15176</v>
      </c>
      <c r="D12011" t="s">
        <v>17978</v>
      </c>
      <c r="E12011" t="s">
        <v>28413</v>
      </c>
      <c r="F12011" t="s">
        <v>30900</v>
      </c>
      <c r="G12011" t="s">
        <v>30907</v>
      </c>
      <c r="H12011" t="s">
        <v>30916</v>
      </c>
      <c r="I12011" t="s">
        <v>30936</v>
      </c>
      <c r="J12011" t="s">
        <v>33896</v>
      </c>
      <c r="K12011" t="s">
        <v>40286</v>
      </c>
      <c r="M12011" t="s">
        <v>44322</v>
      </c>
      <c r="N12011" t="s">
        <v>44759</v>
      </c>
      <c r="O12011" t="s">
        <v>44760</v>
      </c>
      <c r="P12011">
        <v>0</v>
      </c>
      <c r="Q12011">
        <v>0</v>
      </c>
      <c r="R12011" t="s">
        <v>44775</v>
      </c>
      <c r="S12011" t="s">
        <v>45343</v>
      </c>
      <c r="T12011" t="s">
        <v>46404</v>
      </c>
      <c r="U12011" t="s">
        <v>56830</v>
      </c>
      <c r="V12011" t="s">
        <v>59331</v>
      </c>
      <c r="W12011" t="s">
        <v>44322</v>
      </c>
      <c r="X12011" t="s">
        <v>44776</v>
      </c>
    </row>
    <row r="12012" spans="1:24">
      <c r="A12012">
        <f>HYPERLINK("https://www.philgeps.gov.ph/GEPSNONPILOT/Tender/SplashBidNoticeAbstractUI.aspx?menuIndex=3&amp;refID=7125234&amp;Result=3","7125234")</f>
        <v>0</v>
      </c>
      <c r="B12012" t="s">
        <v>2727</v>
      </c>
      <c r="C12012" t="s">
        <v>15177</v>
      </c>
      <c r="D12012" t="s">
        <v>17952</v>
      </c>
      <c r="E12012" t="s">
        <v>28414</v>
      </c>
      <c r="F12012" t="s">
        <v>30900</v>
      </c>
      <c r="G12012" t="s">
        <v>30907</v>
      </c>
      <c r="H12012" t="s">
        <v>30916</v>
      </c>
      <c r="I12012" t="s">
        <v>8123</v>
      </c>
      <c r="J12012" t="s">
        <v>38530</v>
      </c>
      <c r="K12012" t="s">
        <v>40301</v>
      </c>
      <c r="M12012" t="s">
        <v>43502</v>
      </c>
      <c r="N12012" t="s">
        <v>44759</v>
      </c>
      <c r="O12012" t="s">
        <v>44760</v>
      </c>
      <c r="Q12012">
        <v>4</v>
      </c>
      <c r="R12012" t="s">
        <v>44775</v>
      </c>
      <c r="S12012" t="s">
        <v>45355</v>
      </c>
      <c r="T12012" t="s">
        <v>46409</v>
      </c>
      <c r="U12012" t="s">
        <v>56831</v>
      </c>
      <c r="W12012" t="s">
        <v>43502</v>
      </c>
      <c r="X12012" t="s">
        <v>44776</v>
      </c>
    </row>
    <row r="12013" spans="1:24">
      <c r="A12013">
        <f>HYPERLINK("https://www.philgeps.gov.ph/GEPSNONPILOT/Tender/SplashBidNoticeAbstractUI.aspx?menuIndex=3&amp;refID=7125228&amp;Result=3","7125228")</f>
        <v>0</v>
      </c>
      <c r="B12013" t="s">
        <v>2382</v>
      </c>
      <c r="C12013" t="s">
        <v>15178</v>
      </c>
      <c r="D12013" t="s">
        <v>18021</v>
      </c>
      <c r="E12013" t="s">
        <v>28415</v>
      </c>
      <c r="F12013" t="s">
        <v>30900</v>
      </c>
      <c r="G12013" t="s">
        <v>30907</v>
      </c>
      <c r="H12013" t="s">
        <v>30915</v>
      </c>
      <c r="I12013" t="s">
        <v>30919</v>
      </c>
      <c r="J12013" t="s">
        <v>38531</v>
      </c>
      <c r="K12013" t="s">
        <v>40328</v>
      </c>
      <c r="M12013" t="s">
        <v>43108</v>
      </c>
      <c r="N12013" t="s">
        <v>44759</v>
      </c>
      <c r="O12013" t="s">
        <v>44760</v>
      </c>
      <c r="P12013">
        <v>0</v>
      </c>
      <c r="Q12013">
        <v>1</v>
      </c>
      <c r="R12013" t="s">
        <v>44775</v>
      </c>
      <c r="S12013" t="s">
        <v>45343</v>
      </c>
      <c r="T12013" t="s">
        <v>46439</v>
      </c>
      <c r="U12013" t="s">
        <v>56832</v>
      </c>
      <c r="V12013" t="s">
        <v>59855</v>
      </c>
      <c r="W12013" t="s">
        <v>43108</v>
      </c>
      <c r="X12013" t="s">
        <v>44776</v>
      </c>
    </row>
    <row r="12014" spans="1:24">
      <c r="A12014">
        <f>HYPERLINK("https://www.philgeps.gov.ph/GEPSNONPILOT/Tender/SplashBidNoticeAbstractUI.aspx?menuIndex=3&amp;refID=7125446&amp;Result=3","7125446")</f>
        <v>0</v>
      </c>
      <c r="B12014" t="s">
        <v>187</v>
      </c>
      <c r="C12014" t="s">
        <v>15179</v>
      </c>
      <c r="D12014" t="s">
        <v>17952</v>
      </c>
      <c r="E12014" t="s">
        <v>25856</v>
      </c>
      <c r="F12014" t="s">
        <v>30900</v>
      </c>
      <c r="G12014" t="s">
        <v>30907</v>
      </c>
      <c r="H12014" t="s">
        <v>30915</v>
      </c>
      <c r="I12014" t="s">
        <v>30919</v>
      </c>
      <c r="J12014" t="s">
        <v>38532</v>
      </c>
      <c r="K12014" t="s">
        <v>40445</v>
      </c>
      <c r="M12014" t="s">
        <v>40734</v>
      </c>
      <c r="N12014" t="s">
        <v>44759</v>
      </c>
      <c r="O12014" t="s">
        <v>44760</v>
      </c>
      <c r="P12014">
        <v>0</v>
      </c>
      <c r="Q12014">
        <v>7</v>
      </c>
      <c r="R12014" t="s">
        <v>44775</v>
      </c>
      <c r="S12014" t="s">
        <v>45343</v>
      </c>
      <c r="T12014" t="s">
        <v>46445</v>
      </c>
      <c r="U12014" t="s">
        <v>56833</v>
      </c>
      <c r="W12014" t="s">
        <v>40734</v>
      </c>
      <c r="X12014" t="s">
        <v>44776</v>
      </c>
    </row>
    <row r="12015" spans="1:24">
      <c r="A12015">
        <f>HYPERLINK("https://www.philgeps.gov.ph/GEPSNONPILOT/Tender/SplashBidNoticeAbstractUI.aspx?menuIndex=3&amp;refID=7125437&amp;Result=3","7125437")</f>
        <v>0</v>
      </c>
      <c r="B12015" t="s">
        <v>408</v>
      </c>
      <c r="C12015" t="s">
        <v>15180</v>
      </c>
      <c r="E12015" t="s">
        <v>28416</v>
      </c>
      <c r="F12015" t="s">
        <v>30900</v>
      </c>
      <c r="G12015" t="s">
        <v>30907</v>
      </c>
      <c r="H12015" t="s">
        <v>30916</v>
      </c>
      <c r="I12015" t="s">
        <v>8123</v>
      </c>
      <c r="J12015" t="s">
        <v>38533</v>
      </c>
      <c r="K12015" t="s">
        <v>40289</v>
      </c>
      <c r="M12015" t="s">
        <v>40964</v>
      </c>
      <c r="N12015" t="s">
        <v>44759</v>
      </c>
      <c r="O12015" t="s">
        <v>44760</v>
      </c>
      <c r="P12015">
        <v>0</v>
      </c>
      <c r="Q12015">
        <v>0</v>
      </c>
      <c r="R12015" t="s">
        <v>44775</v>
      </c>
      <c r="S12015" t="s">
        <v>45343</v>
      </c>
      <c r="T12015" t="s">
        <v>46484</v>
      </c>
      <c r="U12015" t="s">
        <v>56834</v>
      </c>
      <c r="W12015" t="s">
        <v>40964</v>
      </c>
      <c r="X12015" t="s">
        <v>44776</v>
      </c>
    </row>
    <row r="12016" spans="1:24">
      <c r="A12016">
        <f>HYPERLINK("https://www.philgeps.gov.ph/GEPSNONPILOT/Tender/SplashBidNoticeAbstractUI.aspx?menuIndex=3&amp;refID=7125417&amp;Result=3","7125417")</f>
        <v>0</v>
      </c>
      <c r="B12016" t="s">
        <v>326</v>
      </c>
      <c r="C12016" t="s">
        <v>15181</v>
      </c>
      <c r="E12016" t="s">
        <v>28417</v>
      </c>
      <c r="F12016" t="s">
        <v>30900</v>
      </c>
      <c r="G12016" t="s">
        <v>30907</v>
      </c>
      <c r="H12016" t="s">
        <v>30916</v>
      </c>
      <c r="I12016" t="s">
        <v>30929</v>
      </c>
      <c r="J12016" t="s">
        <v>38534</v>
      </c>
      <c r="K12016" t="s">
        <v>40289</v>
      </c>
      <c r="M12016" t="s">
        <v>44332</v>
      </c>
      <c r="N12016" t="s">
        <v>44759</v>
      </c>
      <c r="O12016" t="s">
        <v>44760</v>
      </c>
      <c r="Q12016">
        <v>26</v>
      </c>
      <c r="R12016" t="s">
        <v>44775</v>
      </c>
      <c r="S12016" t="s">
        <v>45410</v>
      </c>
      <c r="T12016" t="s">
        <v>46899</v>
      </c>
      <c r="U12016" t="s">
        <v>56835</v>
      </c>
      <c r="W12016" t="s">
        <v>44332</v>
      </c>
      <c r="X12016" t="s">
        <v>44776</v>
      </c>
    </row>
    <row r="12017" spans="1:24">
      <c r="A12017">
        <f>HYPERLINK("https://www.philgeps.gov.ph/GEPSNONPILOT/Tender/SplashBidNoticeAbstractUI.aspx?menuIndex=3&amp;refID=7125413&amp;Result=3","7125413")</f>
        <v>0</v>
      </c>
      <c r="B12017" t="s">
        <v>408</v>
      </c>
      <c r="C12017" t="s">
        <v>15182</v>
      </c>
      <c r="E12017" t="s">
        <v>28418</v>
      </c>
      <c r="F12017" t="s">
        <v>30900</v>
      </c>
      <c r="G12017" t="s">
        <v>30907</v>
      </c>
      <c r="H12017" t="s">
        <v>30916</v>
      </c>
      <c r="I12017" t="s">
        <v>6953</v>
      </c>
      <c r="J12017" t="s">
        <v>38535</v>
      </c>
      <c r="K12017" t="s">
        <v>40289</v>
      </c>
      <c r="M12017" t="s">
        <v>40964</v>
      </c>
      <c r="N12017" t="s">
        <v>44759</v>
      </c>
      <c r="O12017" t="s">
        <v>44760</v>
      </c>
      <c r="P12017">
        <v>0</v>
      </c>
      <c r="Q12017">
        <v>0</v>
      </c>
      <c r="R12017" t="s">
        <v>44775</v>
      </c>
      <c r="S12017" t="s">
        <v>45343</v>
      </c>
      <c r="T12017" t="s">
        <v>46484</v>
      </c>
      <c r="U12017" t="s">
        <v>56836</v>
      </c>
      <c r="W12017" t="s">
        <v>40964</v>
      </c>
      <c r="X12017" t="s">
        <v>44776</v>
      </c>
    </row>
    <row r="12018" spans="1:24">
      <c r="A12018">
        <f>HYPERLINK("https://www.philgeps.gov.ph/GEPSNONPILOT/Tender/SplashBidNoticeAbstractUI.aspx?menuIndex=3&amp;refID=7125394&amp;Result=3","7125394")</f>
        <v>0</v>
      </c>
      <c r="B12018" t="s">
        <v>3441</v>
      </c>
      <c r="C12018" t="s">
        <v>15183</v>
      </c>
      <c r="D12018" t="s">
        <v>17978</v>
      </c>
      <c r="E12018" t="s">
        <v>28419</v>
      </c>
      <c r="F12018" t="s">
        <v>30900</v>
      </c>
      <c r="G12018" t="s">
        <v>30907</v>
      </c>
      <c r="H12018" t="s">
        <v>30915</v>
      </c>
      <c r="I12018" t="s">
        <v>30919</v>
      </c>
      <c r="J12018" t="s">
        <v>32661</v>
      </c>
      <c r="K12018" t="s">
        <v>40452</v>
      </c>
      <c r="M12018" t="s">
        <v>44322</v>
      </c>
      <c r="N12018" t="s">
        <v>44759</v>
      </c>
      <c r="O12018" t="s">
        <v>44760</v>
      </c>
      <c r="P12018">
        <v>0</v>
      </c>
      <c r="Q12018">
        <v>2</v>
      </c>
      <c r="R12018" t="s">
        <v>44775</v>
      </c>
      <c r="S12018" t="s">
        <v>45343</v>
      </c>
      <c r="T12018" t="s">
        <v>46404</v>
      </c>
      <c r="U12018" t="s">
        <v>56837</v>
      </c>
      <c r="V12018" t="s">
        <v>59331</v>
      </c>
      <c r="W12018" t="s">
        <v>44322</v>
      </c>
      <c r="X12018" t="s">
        <v>44776</v>
      </c>
    </row>
    <row r="12019" spans="1:24">
      <c r="A12019">
        <f>HYPERLINK("https://www.philgeps.gov.ph/GEPSNONPILOT/Tender/SplashBidNoticeAbstractUI.aspx?menuIndex=3&amp;refID=7125066&amp;Result=3","7125066")</f>
        <v>0</v>
      </c>
      <c r="B12019" t="s">
        <v>2456</v>
      </c>
      <c r="C12019" t="s">
        <v>15184</v>
      </c>
      <c r="D12019" t="s">
        <v>17998</v>
      </c>
      <c r="E12019" t="s">
        <v>28420</v>
      </c>
      <c r="F12019" t="s">
        <v>30900</v>
      </c>
      <c r="G12019" t="s">
        <v>30907</v>
      </c>
      <c r="H12019" t="s">
        <v>30916</v>
      </c>
      <c r="I12019" t="s">
        <v>30923</v>
      </c>
      <c r="J12019" t="s">
        <v>31049</v>
      </c>
      <c r="K12019" t="s">
        <v>40284</v>
      </c>
      <c r="M12019" t="s">
        <v>43193</v>
      </c>
      <c r="N12019" t="s">
        <v>44759</v>
      </c>
      <c r="O12019" t="s">
        <v>44760</v>
      </c>
      <c r="P12019">
        <v>0</v>
      </c>
      <c r="Q12019">
        <v>1</v>
      </c>
      <c r="R12019" t="s">
        <v>44775</v>
      </c>
      <c r="S12019" t="s">
        <v>45343</v>
      </c>
      <c r="T12019" t="s">
        <v>46409</v>
      </c>
      <c r="U12019" t="s">
        <v>52923</v>
      </c>
      <c r="W12019" t="s">
        <v>43193</v>
      </c>
      <c r="X12019" t="s">
        <v>44776</v>
      </c>
    </row>
    <row r="12020" spans="1:24">
      <c r="A12020">
        <f>HYPERLINK("https://www.philgeps.gov.ph/GEPSNONPILOT/Tender/SplashBidNoticeAbstractUI.aspx?menuIndex=3&amp;refID=7125389&amp;Result=3","7125389")</f>
        <v>0</v>
      </c>
      <c r="B12020" t="s">
        <v>212</v>
      </c>
      <c r="C12020" t="s">
        <v>15185</v>
      </c>
      <c r="D12020" t="s">
        <v>17962</v>
      </c>
      <c r="E12020" t="s">
        <v>28421</v>
      </c>
      <c r="F12020" t="s">
        <v>30900</v>
      </c>
      <c r="G12020" t="s">
        <v>30907</v>
      </c>
      <c r="H12020" t="s">
        <v>30915</v>
      </c>
      <c r="I12020" t="s">
        <v>30919</v>
      </c>
      <c r="J12020" t="s">
        <v>32324</v>
      </c>
      <c r="K12020" t="s">
        <v>40320</v>
      </c>
      <c r="M12020" t="s">
        <v>40759</v>
      </c>
      <c r="N12020" t="s">
        <v>44759</v>
      </c>
      <c r="O12020" t="s">
        <v>44760</v>
      </c>
      <c r="P12020">
        <v>0</v>
      </c>
      <c r="Q12020">
        <v>3</v>
      </c>
      <c r="R12020" t="s">
        <v>44775</v>
      </c>
      <c r="S12020" t="s">
        <v>45343</v>
      </c>
      <c r="T12020" t="s">
        <v>46441</v>
      </c>
      <c r="U12020" t="s">
        <v>55463</v>
      </c>
      <c r="W12020" t="s">
        <v>40759</v>
      </c>
      <c r="X12020" t="s">
        <v>44776</v>
      </c>
    </row>
    <row r="12021" spans="1:24">
      <c r="A12021">
        <f>HYPERLINK("https://www.philgeps.gov.ph/GEPSNONPILOT/Tender/SplashBidNoticeAbstractUI.aspx?menuIndex=3&amp;refID=7125388&amp;Result=3","7125388")</f>
        <v>0</v>
      </c>
      <c r="B12021" t="s">
        <v>3194</v>
      </c>
      <c r="C12021" t="s">
        <v>15186</v>
      </c>
      <c r="D12021" t="s">
        <v>17962</v>
      </c>
      <c r="E12021" t="s">
        <v>27014</v>
      </c>
      <c r="F12021" t="s">
        <v>30900</v>
      </c>
      <c r="G12021" t="s">
        <v>30907</v>
      </c>
      <c r="H12021" t="s">
        <v>30916</v>
      </c>
      <c r="I12021" t="s">
        <v>4545</v>
      </c>
      <c r="J12021" t="s">
        <v>31096</v>
      </c>
      <c r="K12021" t="s">
        <v>40287</v>
      </c>
      <c r="M12021" t="s">
        <v>44032</v>
      </c>
      <c r="N12021" t="s">
        <v>44759</v>
      </c>
      <c r="O12021" t="s">
        <v>44760</v>
      </c>
      <c r="P12021">
        <v>0</v>
      </c>
      <c r="Q12021">
        <v>12</v>
      </c>
      <c r="R12021" t="s">
        <v>44775</v>
      </c>
      <c r="S12021" t="s">
        <v>45343</v>
      </c>
      <c r="T12021" t="s">
        <v>46393</v>
      </c>
      <c r="U12021" t="s">
        <v>56838</v>
      </c>
      <c r="V12021" t="s">
        <v>60485</v>
      </c>
      <c r="W12021" t="s">
        <v>44032</v>
      </c>
      <c r="X12021" t="s">
        <v>44776</v>
      </c>
    </row>
    <row r="12022" spans="1:24">
      <c r="A12022">
        <f>HYPERLINK("https://www.philgeps.gov.ph/GEPSNONPILOT/Tender/SplashBidNoticeAbstractUI.aspx?menuIndex=3&amp;refID=7125383&amp;Result=3","7125383")</f>
        <v>0</v>
      </c>
      <c r="B12022" t="s">
        <v>326</v>
      </c>
      <c r="C12022" t="s">
        <v>15187</v>
      </c>
      <c r="E12022" t="s">
        <v>28422</v>
      </c>
      <c r="F12022" t="s">
        <v>30900</v>
      </c>
      <c r="G12022" t="s">
        <v>30907</v>
      </c>
      <c r="H12022" t="s">
        <v>30916</v>
      </c>
      <c r="I12022" t="s">
        <v>30929</v>
      </c>
      <c r="J12022" t="s">
        <v>31069</v>
      </c>
      <c r="K12022" t="s">
        <v>40289</v>
      </c>
      <c r="M12022" t="s">
        <v>44332</v>
      </c>
      <c r="N12022" t="s">
        <v>44759</v>
      </c>
      <c r="O12022" t="s">
        <v>44760</v>
      </c>
      <c r="Q12022">
        <v>23</v>
      </c>
      <c r="R12022" t="s">
        <v>44775</v>
      </c>
      <c r="S12022" t="s">
        <v>45411</v>
      </c>
      <c r="T12022" t="s">
        <v>46476</v>
      </c>
      <c r="U12022" t="s">
        <v>56835</v>
      </c>
      <c r="W12022" t="s">
        <v>44332</v>
      </c>
      <c r="X12022" t="s">
        <v>44776</v>
      </c>
    </row>
    <row r="12023" spans="1:24">
      <c r="A12023">
        <f>HYPERLINK("https://www.philgeps.gov.ph/GEPSNONPILOT/Tender/SplashBidNoticeAbstractUI.aspx?menuIndex=3&amp;refID=7125432&amp;Result=3","7125432")</f>
        <v>0</v>
      </c>
      <c r="B12023" t="s">
        <v>3413</v>
      </c>
      <c r="C12023" t="s">
        <v>15188</v>
      </c>
      <c r="D12023" t="s">
        <v>17953</v>
      </c>
      <c r="E12023" t="s">
        <v>26968</v>
      </c>
      <c r="F12023" t="s">
        <v>30900</v>
      </c>
      <c r="G12023" t="s">
        <v>30907</v>
      </c>
      <c r="H12023" t="s">
        <v>30916</v>
      </c>
      <c r="I12023" t="s">
        <v>4108</v>
      </c>
      <c r="J12023" t="s">
        <v>34556</v>
      </c>
      <c r="K12023" t="s">
        <v>40412</v>
      </c>
      <c r="M12023" t="s">
        <v>44291</v>
      </c>
      <c r="N12023" t="s">
        <v>44759</v>
      </c>
      <c r="O12023" t="s">
        <v>44760</v>
      </c>
      <c r="P12023">
        <v>0</v>
      </c>
      <c r="Q12023">
        <v>0</v>
      </c>
      <c r="R12023" t="s">
        <v>44775</v>
      </c>
      <c r="S12023" t="s">
        <v>45343</v>
      </c>
      <c r="T12023" t="s">
        <v>46399</v>
      </c>
      <c r="U12023" t="s">
        <v>56839</v>
      </c>
      <c r="W12023" t="s">
        <v>44291</v>
      </c>
      <c r="X12023" t="s">
        <v>44776</v>
      </c>
    </row>
    <row r="12024" spans="1:24">
      <c r="A12024">
        <f>HYPERLINK("https://www.philgeps.gov.ph/GEPSNONPILOT/Tender/SplashBidNoticeAbstractUI.aspx?menuIndex=3&amp;refID=7125416&amp;Result=3","7125416")</f>
        <v>0</v>
      </c>
      <c r="B12024" t="s">
        <v>2382</v>
      </c>
      <c r="C12024" t="s">
        <v>13373</v>
      </c>
      <c r="D12024" t="s">
        <v>18021</v>
      </c>
      <c r="E12024" t="s">
        <v>28423</v>
      </c>
      <c r="F12024" t="s">
        <v>30900</v>
      </c>
      <c r="G12024" t="s">
        <v>30907</v>
      </c>
      <c r="H12024" t="s">
        <v>30915</v>
      </c>
      <c r="I12024" t="s">
        <v>30919</v>
      </c>
      <c r="J12024" t="s">
        <v>38536</v>
      </c>
      <c r="K12024" t="s">
        <v>40286</v>
      </c>
      <c r="M12024" t="s">
        <v>43108</v>
      </c>
      <c r="N12024" t="s">
        <v>44759</v>
      </c>
      <c r="O12024" t="s">
        <v>44760</v>
      </c>
      <c r="P12024">
        <v>0</v>
      </c>
      <c r="Q12024">
        <v>0</v>
      </c>
      <c r="R12024" t="s">
        <v>44775</v>
      </c>
      <c r="S12024" t="s">
        <v>45343</v>
      </c>
      <c r="T12024" t="s">
        <v>46363</v>
      </c>
      <c r="U12024" t="s">
        <v>56840</v>
      </c>
      <c r="V12024" t="s">
        <v>59855</v>
      </c>
      <c r="W12024" t="s">
        <v>43108</v>
      </c>
      <c r="X12024" t="s">
        <v>44776</v>
      </c>
    </row>
    <row r="12025" spans="1:24">
      <c r="A12025">
        <f>HYPERLINK("https://www.philgeps.gov.ph/GEPSNONPILOT/Tender/SplashBidNoticeAbstractUI.aspx?menuIndex=3&amp;refID=7125353&amp;Result=3","7125353")</f>
        <v>0</v>
      </c>
      <c r="B12025" t="s">
        <v>3424</v>
      </c>
      <c r="C12025" t="s">
        <v>15189</v>
      </c>
      <c r="D12025" t="s">
        <v>17985</v>
      </c>
      <c r="E12025" t="s">
        <v>28424</v>
      </c>
      <c r="F12025" t="s">
        <v>30900</v>
      </c>
      <c r="G12025" t="s">
        <v>30907</v>
      </c>
      <c r="H12025" t="s">
        <v>30916</v>
      </c>
      <c r="I12025" t="s">
        <v>8123</v>
      </c>
      <c r="J12025" t="s">
        <v>38537</v>
      </c>
      <c r="K12025" t="s">
        <v>40283</v>
      </c>
      <c r="M12025" t="s">
        <v>44304</v>
      </c>
      <c r="N12025" t="s">
        <v>44759</v>
      </c>
      <c r="O12025" t="s">
        <v>44760</v>
      </c>
      <c r="P12025">
        <v>0</v>
      </c>
      <c r="Q12025">
        <v>1</v>
      </c>
      <c r="R12025" t="s">
        <v>44775</v>
      </c>
      <c r="S12025" t="s">
        <v>45343</v>
      </c>
      <c r="T12025" t="s">
        <v>46421</v>
      </c>
      <c r="U12025" t="s">
        <v>56841</v>
      </c>
      <c r="W12025" t="s">
        <v>44304</v>
      </c>
      <c r="X12025" t="s">
        <v>44776</v>
      </c>
    </row>
    <row r="12026" spans="1:24">
      <c r="A12026">
        <f>HYPERLINK("https://www.philgeps.gov.ph/GEPSNONPILOT/Tender/SplashBidNoticeAbstractUI.aspx?menuIndex=3&amp;refID=7125346&amp;Result=3","7125346")</f>
        <v>0</v>
      </c>
      <c r="B12026" t="s">
        <v>3448</v>
      </c>
      <c r="C12026" t="s">
        <v>15190</v>
      </c>
      <c r="D12026" t="s">
        <v>17973</v>
      </c>
      <c r="E12026" t="s">
        <v>28425</v>
      </c>
      <c r="F12026" t="s">
        <v>30900</v>
      </c>
      <c r="G12026" t="s">
        <v>30907</v>
      </c>
      <c r="H12026" t="s">
        <v>30916</v>
      </c>
      <c r="I12026" t="s">
        <v>4545</v>
      </c>
      <c r="J12026" t="s">
        <v>35570</v>
      </c>
      <c r="K12026" t="s">
        <v>40293</v>
      </c>
      <c r="M12026" t="s">
        <v>44329</v>
      </c>
      <c r="N12026" t="s">
        <v>44759</v>
      </c>
      <c r="O12026" t="s">
        <v>44760</v>
      </c>
      <c r="P12026">
        <v>0</v>
      </c>
      <c r="Q12026">
        <v>12</v>
      </c>
      <c r="R12026" t="s">
        <v>44775</v>
      </c>
      <c r="S12026" t="s">
        <v>45343</v>
      </c>
      <c r="T12026" t="s">
        <v>46418</v>
      </c>
      <c r="U12026" t="s">
        <v>56842</v>
      </c>
      <c r="W12026" t="s">
        <v>44329</v>
      </c>
      <c r="X12026" t="s">
        <v>44776</v>
      </c>
    </row>
    <row r="12027" spans="1:24">
      <c r="A12027">
        <f>HYPERLINK("https://www.philgeps.gov.ph/GEPSNONPILOT/Tender/SplashBidNoticeAbstractUI.aspx?menuIndex=3&amp;refID=7125352&amp;Result=3","7125352")</f>
        <v>0</v>
      </c>
      <c r="B12027" t="s">
        <v>2094</v>
      </c>
      <c r="C12027" t="s">
        <v>15191</v>
      </c>
      <c r="D12027" t="s">
        <v>17962</v>
      </c>
      <c r="E12027" t="s">
        <v>28426</v>
      </c>
      <c r="F12027" t="s">
        <v>30900</v>
      </c>
      <c r="G12027" t="s">
        <v>30907</v>
      </c>
      <c r="H12027" t="s">
        <v>30916</v>
      </c>
      <c r="I12027" t="s">
        <v>30921</v>
      </c>
      <c r="J12027" t="s">
        <v>31298</v>
      </c>
      <c r="K12027" t="s">
        <v>40283</v>
      </c>
      <c r="M12027" t="s">
        <v>42793</v>
      </c>
      <c r="N12027" t="s">
        <v>44759</v>
      </c>
      <c r="O12027" t="s">
        <v>44760</v>
      </c>
      <c r="P12027">
        <v>0</v>
      </c>
      <c r="Q12027">
        <v>2</v>
      </c>
      <c r="R12027" t="s">
        <v>44775</v>
      </c>
      <c r="S12027" t="s">
        <v>45343</v>
      </c>
      <c r="T12027" t="s">
        <v>46421</v>
      </c>
      <c r="U12027" t="s">
        <v>56843</v>
      </c>
      <c r="V12027" t="s">
        <v>60486</v>
      </c>
      <c r="W12027" t="s">
        <v>42793</v>
      </c>
      <c r="X12027" t="s">
        <v>44776</v>
      </c>
    </row>
    <row r="12028" spans="1:24">
      <c r="A12028">
        <f>HYPERLINK("https://www.philgeps.gov.ph/GEPSNONPILOT/Tender/SplashBidNoticeAbstractUI.aspx?menuIndex=3&amp;refID=7125378&amp;Result=3","7125378")</f>
        <v>0</v>
      </c>
      <c r="B12028" t="s">
        <v>3041</v>
      </c>
      <c r="C12028" t="s">
        <v>15192</v>
      </c>
      <c r="D12028" t="s">
        <v>17991</v>
      </c>
      <c r="E12028" t="s">
        <v>28427</v>
      </c>
      <c r="F12028" t="s">
        <v>30900</v>
      </c>
      <c r="G12028" t="s">
        <v>30907</v>
      </c>
      <c r="H12028" t="s">
        <v>30916</v>
      </c>
      <c r="I12028" t="s">
        <v>7708</v>
      </c>
      <c r="J12028" t="s">
        <v>38538</v>
      </c>
      <c r="K12028" t="s">
        <v>40286</v>
      </c>
      <c r="M12028" t="s">
        <v>43851</v>
      </c>
      <c r="N12028" t="s">
        <v>44759</v>
      </c>
      <c r="O12028" t="s">
        <v>44760</v>
      </c>
      <c r="P12028">
        <v>0</v>
      </c>
      <c r="Q12028">
        <v>7</v>
      </c>
      <c r="R12028" t="s">
        <v>44775</v>
      </c>
      <c r="S12028" t="s">
        <v>45343</v>
      </c>
      <c r="T12028" t="s">
        <v>46508</v>
      </c>
      <c r="U12028" t="s">
        <v>56844</v>
      </c>
      <c r="W12028" t="s">
        <v>43851</v>
      </c>
      <c r="X12028" t="s">
        <v>44776</v>
      </c>
    </row>
    <row r="12029" spans="1:24">
      <c r="A12029">
        <f>HYPERLINK("https://www.philgeps.gov.ph/GEPSNONPILOT/Tender/SplashBidNoticeAbstractUI.aspx?menuIndex=3&amp;refID=7125556&amp;Result=3","7125556")</f>
        <v>0</v>
      </c>
      <c r="B12029" t="s">
        <v>380</v>
      </c>
      <c r="C12029" t="s">
        <v>15193</v>
      </c>
      <c r="D12029" t="s">
        <v>18003</v>
      </c>
      <c r="E12029" t="s">
        <v>28428</v>
      </c>
      <c r="F12029" t="s">
        <v>30900</v>
      </c>
      <c r="G12029" t="s">
        <v>30907</v>
      </c>
      <c r="H12029" t="s">
        <v>30915</v>
      </c>
      <c r="I12029" t="s">
        <v>30919</v>
      </c>
      <c r="J12029" t="s">
        <v>31101</v>
      </c>
      <c r="K12029" t="s">
        <v>40292</v>
      </c>
      <c r="M12029" t="s">
        <v>40934</v>
      </c>
      <c r="N12029" t="s">
        <v>44759</v>
      </c>
      <c r="O12029" t="s">
        <v>44760</v>
      </c>
      <c r="P12029">
        <v>0</v>
      </c>
      <c r="Q12029">
        <v>0</v>
      </c>
      <c r="R12029" t="s">
        <v>44775</v>
      </c>
      <c r="S12029" t="s">
        <v>45343</v>
      </c>
      <c r="T12029" t="s">
        <v>46703</v>
      </c>
      <c r="U12029" t="s">
        <v>51829</v>
      </c>
      <c r="W12029" t="s">
        <v>40934</v>
      </c>
      <c r="X12029" t="s">
        <v>44776</v>
      </c>
    </row>
    <row r="12030" spans="1:24">
      <c r="A12030">
        <f>HYPERLINK("https://www.philgeps.gov.ph/GEPSNONPILOT/Tender/SplashBidNoticeAbstractUI.aspx?menuIndex=3&amp;refID=7125546&amp;Result=3","7125546")</f>
        <v>0</v>
      </c>
      <c r="B12030" t="s">
        <v>3450</v>
      </c>
      <c r="C12030" t="s">
        <v>15194</v>
      </c>
      <c r="D12030" t="s">
        <v>18052</v>
      </c>
      <c r="E12030" t="s">
        <v>28429</v>
      </c>
      <c r="F12030" t="s">
        <v>30900</v>
      </c>
      <c r="G12030" t="s">
        <v>30907</v>
      </c>
      <c r="H12030" t="s">
        <v>30916</v>
      </c>
      <c r="I12030" t="s">
        <v>4061</v>
      </c>
      <c r="J12030" t="s">
        <v>38539</v>
      </c>
      <c r="K12030" t="s">
        <v>40280</v>
      </c>
      <c r="M12030" t="s">
        <v>44333</v>
      </c>
      <c r="N12030" t="s">
        <v>44759</v>
      </c>
      <c r="O12030" t="s">
        <v>44760</v>
      </c>
      <c r="P12030">
        <v>0</v>
      </c>
      <c r="Q12030">
        <v>4</v>
      </c>
      <c r="R12030" t="s">
        <v>44775</v>
      </c>
      <c r="S12030" t="s">
        <v>45343</v>
      </c>
      <c r="T12030" t="s">
        <v>46404</v>
      </c>
      <c r="U12030" t="s">
        <v>56845</v>
      </c>
      <c r="V12030" t="s">
        <v>60487</v>
      </c>
      <c r="W12030" t="s">
        <v>44333</v>
      </c>
      <c r="X12030" t="s">
        <v>44776</v>
      </c>
    </row>
    <row r="12031" spans="1:24">
      <c r="A12031">
        <f>HYPERLINK("https://www.philgeps.gov.ph/GEPSNONPILOT/Tender/SplashBidNoticeAbstractUI.aspx?menuIndex=3&amp;refID=7125404&amp;Result=3","7125404")</f>
        <v>0</v>
      </c>
      <c r="B12031" t="s">
        <v>3451</v>
      </c>
      <c r="C12031" t="s">
        <v>6034</v>
      </c>
      <c r="D12031" t="s">
        <v>17975</v>
      </c>
      <c r="E12031" t="s">
        <v>24091</v>
      </c>
      <c r="F12031" t="s">
        <v>30904</v>
      </c>
      <c r="G12031" t="s">
        <v>30907</v>
      </c>
      <c r="H12031" t="s">
        <v>30915</v>
      </c>
      <c r="I12031" t="s">
        <v>30919</v>
      </c>
      <c r="J12031" t="s">
        <v>31206</v>
      </c>
      <c r="K12031" t="s">
        <v>40314</v>
      </c>
      <c r="M12031" t="s">
        <v>44334</v>
      </c>
      <c r="N12031" t="s">
        <v>44759</v>
      </c>
      <c r="O12031" t="s">
        <v>44760</v>
      </c>
      <c r="P12031">
        <v>0</v>
      </c>
      <c r="Q12031">
        <v>0</v>
      </c>
      <c r="R12031" t="s">
        <v>44775</v>
      </c>
      <c r="S12031" t="s">
        <v>45343</v>
      </c>
      <c r="T12031" t="s">
        <v>46383</v>
      </c>
      <c r="U12031" t="s">
        <v>56846</v>
      </c>
      <c r="W12031" t="s">
        <v>44334</v>
      </c>
      <c r="X12031" t="s">
        <v>44776</v>
      </c>
    </row>
    <row r="12032" spans="1:24">
      <c r="A12032">
        <f>HYPERLINK("https://www.philgeps.gov.ph/GEPSNONPILOT/Tender/SplashBidNoticeAbstractUI.aspx?menuIndex=3&amp;refID=7125533&amp;Result=3","7125533")</f>
        <v>0</v>
      </c>
      <c r="B12032" t="s">
        <v>990</v>
      </c>
      <c r="C12032" t="s">
        <v>15195</v>
      </c>
      <c r="D12032" t="s">
        <v>17963</v>
      </c>
      <c r="E12032" t="s">
        <v>28430</v>
      </c>
      <c r="F12032" t="s">
        <v>30900</v>
      </c>
      <c r="G12032" t="s">
        <v>30907</v>
      </c>
      <c r="H12032" t="s">
        <v>30917</v>
      </c>
      <c r="I12032" t="s">
        <v>17295</v>
      </c>
      <c r="J12032" t="s">
        <v>38540</v>
      </c>
      <c r="K12032" t="s">
        <v>40536</v>
      </c>
      <c r="M12032" t="s">
        <v>41578</v>
      </c>
      <c r="N12032" t="s">
        <v>44759</v>
      </c>
      <c r="O12032" t="s">
        <v>44760</v>
      </c>
      <c r="Q12032">
        <v>1</v>
      </c>
      <c r="R12032" t="s">
        <v>44775</v>
      </c>
      <c r="S12032" t="s">
        <v>45412</v>
      </c>
      <c r="T12032" t="s">
        <v>46357</v>
      </c>
      <c r="U12032" t="s">
        <v>56847</v>
      </c>
      <c r="W12032" t="s">
        <v>41578</v>
      </c>
      <c r="X12032" t="s">
        <v>44776</v>
      </c>
    </row>
    <row r="12033" spans="1:24">
      <c r="A12033">
        <f>HYPERLINK("https://www.philgeps.gov.ph/GEPSNONPILOT/Tender/SplashBidNoticeAbstractUI.aspx?menuIndex=3&amp;refID=7125557&amp;Result=3","7125557")</f>
        <v>0</v>
      </c>
      <c r="B12033" t="s">
        <v>1640</v>
      </c>
      <c r="C12033" t="s">
        <v>15196</v>
      </c>
      <c r="D12033" t="s">
        <v>18013</v>
      </c>
      <c r="E12033" t="s">
        <v>28431</v>
      </c>
      <c r="F12033" t="s">
        <v>30900</v>
      </c>
      <c r="G12033" t="s">
        <v>30907</v>
      </c>
      <c r="H12033" t="s">
        <v>30915</v>
      </c>
      <c r="I12033" t="s">
        <v>30919</v>
      </c>
      <c r="J12033" t="s">
        <v>35668</v>
      </c>
      <c r="K12033" t="s">
        <v>40304</v>
      </c>
      <c r="M12033" t="s">
        <v>42296</v>
      </c>
      <c r="N12033" t="s">
        <v>44759</v>
      </c>
      <c r="O12033" t="s">
        <v>44760</v>
      </c>
      <c r="Q12033">
        <v>0</v>
      </c>
      <c r="R12033" t="s">
        <v>44775</v>
      </c>
      <c r="S12033" t="s">
        <v>45413</v>
      </c>
      <c r="T12033" t="s">
        <v>46441</v>
      </c>
      <c r="U12033" t="s">
        <v>56754</v>
      </c>
      <c r="V12033" t="s">
        <v>60488</v>
      </c>
      <c r="W12033" t="s">
        <v>42296</v>
      </c>
      <c r="X12033" t="s">
        <v>44776</v>
      </c>
    </row>
    <row r="12034" spans="1:24">
      <c r="A12034">
        <f>HYPERLINK("https://www.philgeps.gov.ph/GEPSNONPILOT/Tender/SplashBidNoticeAbstractUI.aspx?menuIndex=3&amp;refID=7125373&amp;Result=3","7125373")</f>
        <v>0</v>
      </c>
      <c r="B12034" t="s">
        <v>3436</v>
      </c>
      <c r="C12034" t="s">
        <v>15197</v>
      </c>
      <c r="D12034" t="s">
        <v>17999</v>
      </c>
      <c r="E12034" t="s">
        <v>28432</v>
      </c>
      <c r="F12034" t="s">
        <v>30900</v>
      </c>
      <c r="G12034" t="s">
        <v>30907</v>
      </c>
      <c r="H12034" t="s">
        <v>30915</v>
      </c>
      <c r="I12034" t="s">
        <v>30919</v>
      </c>
      <c r="J12034" t="s">
        <v>38541</v>
      </c>
      <c r="K12034" t="s">
        <v>40406</v>
      </c>
      <c r="M12034" t="s">
        <v>44335</v>
      </c>
      <c r="N12034" t="s">
        <v>44759</v>
      </c>
      <c r="O12034" t="s">
        <v>44760</v>
      </c>
      <c r="Q12034">
        <v>5</v>
      </c>
      <c r="R12034" t="s">
        <v>44775</v>
      </c>
      <c r="S12034" t="s">
        <v>45414</v>
      </c>
      <c r="T12034" t="s">
        <v>46411</v>
      </c>
      <c r="U12034" t="s">
        <v>56848</v>
      </c>
      <c r="V12034" t="s">
        <v>60482</v>
      </c>
      <c r="W12034" t="s">
        <v>44335</v>
      </c>
      <c r="X12034" t="s">
        <v>44776</v>
      </c>
    </row>
    <row r="12035" spans="1:24">
      <c r="A12035">
        <f>HYPERLINK("https://www.philgeps.gov.ph/GEPSNONPILOT/Tender/SplashBidNoticeAbstractUI.aspx?menuIndex=3&amp;refID=7125516&amp;Result=3","7125516")</f>
        <v>0</v>
      </c>
      <c r="B12035" t="s">
        <v>3436</v>
      </c>
      <c r="C12035" t="s">
        <v>15198</v>
      </c>
      <c r="D12035" t="s">
        <v>17999</v>
      </c>
      <c r="E12035" t="s">
        <v>28433</v>
      </c>
      <c r="F12035" t="s">
        <v>30900</v>
      </c>
      <c r="G12035" t="s">
        <v>30907</v>
      </c>
      <c r="H12035" t="s">
        <v>30915</v>
      </c>
      <c r="I12035" t="s">
        <v>30919</v>
      </c>
      <c r="J12035" t="s">
        <v>38542</v>
      </c>
      <c r="K12035" t="s">
        <v>40406</v>
      </c>
      <c r="M12035" t="s">
        <v>44335</v>
      </c>
      <c r="N12035" t="s">
        <v>44759</v>
      </c>
      <c r="O12035" t="s">
        <v>44760</v>
      </c>
      <c r="Q12035">
        <v>8</v>
      </c>
      <c r="R12035" t="s">
        <v>44775</v>
      </c>
      <c r="S12035" t="s">
        <v>45415</v>
      </c>
      <c r="T12035" t="s">
        <v>46411</v>
      </c>
      <c r="U12035" t="s">
        <v>56849</v>
      </c>
      <c r="V12035" t="s">
        <v>60482</v>
      </c>
      <c r="W12035" t="s">
        <v>44335</v>
      </c>
      <c r="X12035" t="s">
        <v>44776</v>
      </c>
    </row>
    <row r="12036" spans="1:24">
      <c r="A12036">
        <f>HYPERLINK("https://www.philgeps.gov.ph/GEPSNONPILOT/Tender/SplashBidNoticeAbstractUI.aspx?menuIndex=3&amp;refID=7125212&amp;Result=3","7125212")</f>
        <v>0</v>
      </c>
      <c r="B12036" t="s">
        <v>223</v>
      </c>
      <c r="C12036" t="s">
        <v>15199</v>
      </c>
      <c r="E12036" t="s">
        <v>28434</v>
      </c>
      <c r="F12036" t="s">
        <v>30900</v>
      </c>
      <c r="G12036" t="s">
        <v>30907</v>
      </c>
      <c r="H12036" t="s">
        <v>30916</v>
      </c>
      <c r="I12036" t="s">
        <v>30923</v>
      </c>
      <c r="J12036" t="s">
        <v>38543</v>
      </c>
      <c r="K12036" t="s">
        <v>40289</v>
      </c>
      <c r="M12036" t="s">
        <v>41103</v>
      </c>
      <c r="N12036" t="s">
        <v>44759</v>
      </c>
      <c r="O12036" t="s">
        <v>44760</v>
      </c>
      <c r="Q12036">
        <v>24</v>
      </c>
      <c r="R12036" t="s">
        <v>44775</v>
      </c>
      <c r="S12036" t="s">
        <v>44879</v>
      </c>
      <c r="T12036" t="s">
        <v>46359</v>
      </c>
      <c r="U12036" t="s">
        <v>56850</v>
      </c>
      <c r="W12036" t="s">
        <v>41103</v>
      </c>
      <c r="X12036" t="s">
        <v>44776</v>
      </c>
    </row>
    <row r="12037" spans="1:24">
      <c r="A12037">
        <f>HYPERLINK("https://www.philgeps.gov.ph/GEPSNONPILOT/Tender/SplashBidNoticeAbstractUI.aspx?menuIndex=3&amp;refID=7125544&amp;Result=3","7125544")</f>
        <v>0</v>
      </c>
      <c r="B12037" t="s">
        <v>2209</v>
      </c>
      <c r="C12037" t="s">
        <v>15200</v>
      </c>
      <c r="D12037" t="s">
        <v>17959</v>
      </c>
      <c r="E12037" t="s">
        <v>15200</v>
      </c>
      <c r="F12037" t="s">
        <v>30900</v>
      </c>
      <c r="G12037" t="s">
        <v>30907</v>
      </c>
      <c r="H12037" t="s">
        <v>30916</v>
      </c>
      <c r="I12037" t="s">
        <v>6396</v>
      </c>
      <c r="J12037" t="s">
        <v>38544</v>
      </c>
      <c r="K12037" t="s">
        <v>40286</v>
      </c>
      <c r="M12037" t="s">
        <v>42917</v>
      </c>
      <c r="N12037" t="s">
        <v>44759</v>
      </c>
      <c r="O12037" t="s">
        <v>44760</v>
      </c>
      <c r="P12037">
        <v>0</v>
      </c>
      <c r="Q12037">
        <v>4</v>
      </c>
      <c r="R12037" t="s">
        <v>44775</v>
      </c>
      <c r="S12037" t="s">
        <v>45343</v>
      </c>
      <c r="T12037" t="s">
        <v>46425</v>
      </c>
      <c r="U12037" t="s">
        <v>48263</v>
      </c>
      <c r="W12037" t="s">
        <v>42917</v>
      </c>
      <c r="X12037" t="s">
        <v>44776</v>
      </c>
    </row>
    <row r="12038" spans="1:24">
      <c r="A12038">
        <f>HYPERLINK("https://www.philgeps.gov.ph/GEPSNONPILOT/Tender/SplashBidNoticeAbstractUI.aspx?menuIndex=3&amp;refID=7125510&amp;Result=3","7125510")</f>
        <v>0</v>
      </c>
      <c r="B12038" t="s">
        <v>187</v>
      </c>
      <c r="C12038" t="s">
        <v>15201</v>
      </c>
      <c r="D12038" t="s">
        <v>17952</v>
      </c>
      <c r="E12038" t="s">
        <v>25846</v>
      </c>
      <c r="F12038" t="s">
        <v>30900</v>
      </c>
      <c r="G12038" t="s">
        <v>30907</v>
      </c>
      <c r="H12038" t="s">
        <v>30917</v>
      </c>
      <c r="I12038" t="s">
        <v>17295</v>
      </c>
      <c r="J12038" t="s">
        <v>38545</v>
      </c>
      <c r="K12038" t="s">
        <v>40332</v>
      </c>
      <c r="M12038" t="s">
        <v>40734</v>
      </c>
      <c r="N12038" t="s">
        <v>44759</v>
      </c>
      <c r="O12038" t="s">
        <v>44760</v>
      </c>
      <c r="P12038">
        <v>0</v>
      </c>
      <c r="Q12038">
        <v>7</v>
      </c>
      <c r="R12038" t="s">
        <v>44775</v>
      </c>
      <c r="S12038" t="s">
        <v>45343</v>
      </c>
      <c r="T12038" t="s">
        <v>46386</v>
      </c>
      <c r="U12038" t="s">
        <v>56851</v>
      </c>
      <c r="W12038" t="s">
        <v>40734</v>
      </c>
      <c r="X12038" t="s">
        <v>44776</v>
      </c>
    </row>
    <row r="12039" spans="1:24">
      <c r="A12039">
        <f>HYPERLINK("https://www.philgeps.gov.ph/GEPSNONPILOT/Tender/SplashBidNoticeAbstractUI.aspx?menuIndex=3&amp;refID=7125509&amp;Result=3","7125509")</f>
        <v>0</v>
      </c>
      <c r="B12039" t="s">
        <v>2382</v>
      </c>
      <c r="C12039" t="s">
        <v>13373</v>
      </c>
      <c r="D12039" t="s">
        <v>18021</v>
      </c>
      <c r="E12039" t="s">
        <v>28435</v>
      </c>
      <c r="F12039" t="s">
        <v>30900</v>
      </c>
      <c r="G12039" t="s">
        <v>30907</v>
      </c>
      <c r="H12039" t="s">
        <v>30915</v>
      </c>
      <c r="I12039" t="s">
        <v>30919</v>
      </c>
      <c r="J12039" t="s">
        <v>38546</v>
      </c>
      <c r="K12039" t="s">
        <v>40291</v>
      </c>
      <c r="M12039" t="s">
        <v>43108</v>
      </c>
      <c r="N12039" t="s">
        <v>44759</v>
      </c>
      <c r="O12039" t="s">
        <v>44760</v>
      </c>
      <c r="P12039">
        <v>0</v>
      </c>
      <c r="Q12039">
        <v>0</v>
      </c>
      <c r="R12039" t="s">
        <v>44775</v>
      </c>
      <c r="S12039" t="s">
        <v>45343</v>
      </c>
      <c r="T12039" t="s">
        <v>46363</v>
      </c>
      <c r="U12039" t="s">
        <v>56852</v>
      </c>
      <c r="V12039" t="s">
        <v>60489</v>
      </c>
      <c r="W12039" t="s">
        <v>43108</v>
      </c>
      <c r="X12039" t="s">
        <v>44776</v>
      </c>
    </row>
    <row r="12040" spans="1:24">
      <c r="A12040">
        <f>HYPERLINK("https://www.philgeps.gov.ph/GEPSNONPILOT/Tender/SplashBidNoticeAbstractUI.aspx?menuIndex=3&amp;refID=7125500&amp;Result=3","7125500")</f>
        <v>0</v>
      </c>
      <c r="B12040" t="s">
        <v>1640</v>
      </c>
      <c r="C12040" t="s">
        <v>15202</v>
      </c>
      <c r="D12040" t="s">
        <v>18013</v>
      </c>
      <c r="E12040" t="s">
        <v>28436</v>
      </c>
      <c r="F12040" t="s">
        <v>30900</v>
      </c>
      <c r="G12040" t="s">
        <v>30907</v>
      </c>
      <c r="H12040" t="s">
        <v>30915</v>
      </c>
      <c r="I12040" t="s">
        <v>30919</v>
      </c>
      <c r="J12040" t="s">
        <v>32964</v>
      </c>
      <c r="K12040" t="s">
        <v>40422</v>
      </c>
      <c r="M12040" t="s">
        <v>42296</v>
      </c>
      <c r="N12040" t="s">
        <v>44759</v>
      </c>
      <c r="O12040" t="s">
        <v>44760</v>
      </c>
      <c r="Q12040">
        <v>0</v>
      </c>
      <c r="R12040" t="s">
        <v>44775</v>
      </c>
      <c r="S12040" t="s">
        <v>45416</v>
      </c>
      <c r="T12040" t="s">
        <v>46706</v>
      </c>
      <c r="U12040" t="s">
        <v>56754</v>
      </c>
      <c r="V12040" t="s">
        <v>60490</v>
      </c>
      <c r="W12040" t="s">
        <v>42296</v>
      </c>
      <c r="X12040" t="s">
        <v>44776</v>
      </c>
    </row>
    <row r="12041" spans="1:24">
      <c r="A12041">
        <f>HYPERLINK("https://www.philgeps.gov.ph/GEPSNONPILOT/Tender/SplashBidNoticeAbstractUI.aspx?menuIndex=3&amp;refID=7125651&amp;Result=3","7125651")</f>
        <v>0</v>
      </c>
      <c r="B12041" t="s">
        <v>380</v>
      </c>
      <c r="C12041" t="s">
        <v>15203</v>
      </c>
      <c r="D12041" t="s">
        <v>18003</v>
      </c>
      <c r="E12041" t="s">
        <v>28437</v>
      </c>
      <c r="F12041" t="s">
        <v>30900</v>
      </c>
      <c r="G12041" t="s">
        <v>30907</v>
      </c>
      <c r="H12041" t="s">
        <v>30915</v>
      </c>
      <c r="I12041" t="s">
        <v>30919</v>
      </c>
      <c r="J12041" t="s">
        <v>31243</v>
      </c>
      <c r="K12041" t="s">
        <v>40342</v>
      </c>
      <c r="M12041" t="s">
        <v>40934</v>
      </c>
      <c r="N12041" t="s">
        <v>44759</v>
      </c>
      <c r="O12041" t="s">
        <v>44760</v>
      </c>
      <c r="P12041">
        <v>0</v>
      </c>
      <c r="Q12041">
        <v>0</v>
      </c>
      <c r="R12041" t="s">
        <v>44775</v>
      </c>
      <c r="S12041" t="s">
        <v>45343</v>
      </c>
      <c r="T12041" t="s">
        <v>46703</v>
      </c>
      <c r="U12041" t="s">
        <v>51829</v>
      </c>
      <c r="W12041" t="s">
        <v>40934</v>
      </c>
      <c r="X12041" t="s">
        <v>44776</v>
      </c>
    </row>
    <row r="12042" spans="1:24">
      <c r="A12042">
        <f>HYPERLINK("https://www.philgeps.gov.ph/GEPSNONPILOT/Tender/SplashBidNoticeAbstractUI.aspx?menuIndex=3&amp;refID=7125650&amp;Result=3","7125650")</f>
        <v>0</v>
      </c>
      <c r="B12042" t="s">
        <v>187</v>
      </c>
      <c r="C12042" t="s">
        <v>15204</v>
      </c>
      <c r="D12042" t="s">
        <v>17952</v>
      </c>
      <c r="E12042" t="s">
        <v>28438</v>
      </c>
      <c r="F12042" t="s">
        <v>30900</v>
      </c>
      <c r="G12042" t="s">
        <v>30907</v>
      </c>
      <c r="H12042" t="s">
        <v>30916</v>
      </c>
      <c r="I12042" t="s">
        <v>4017</v>
      </c>
      <c r="J12042" t="s">
        <v>38547</v>
      </c>
      <c r="K12042" t="s">
        <v>40286</v>
      </c>
      <c r="M12042" t="s">
        <v>40734</v>
      </c>
      <c r="N12042" t="s">
        <v>44759</v>
      </c>
      <c r="O12042" t="s">
        <v>44760</v>
      </c>
      <c r="P12042">
        <v>0</v>
      </c>
      <c r="Q12042">
        <v>19</v>
      </c>
      <c r="R12042" t="s">
        <v>44775</v>
      </c>
      <c r="S12042" t="s">
        <v>45343</v>
      </c>
      <c r="T12042" t="s">
        <v>46532</v>
      </c>
      <c r="U12042" t="s">
        <v>56853</v>
      </c>
      <c r="W12042" t="s">
        <v>40734</v>
      </c>
      <c r="X12042" t="s">
        <v>44776</v>
      </c>
    </row>
    <row r="12043" spans="1:24">
      <c r="A12043">
        <f>HYPERLINK("https://www.philgeps.gov.ph/GEPSNONPILOT/Tender/SplashBidNoticeAbstractUI.aspx?menuIndex=3&amp;refID=7124778&amp;Result=3","7124778")</f>
        <v>0</v>
      </c>
      <c r="B12043" t="s">
        <v>75</v>
      </c>
      <c r="C12043" t="s">
        <v>15205</v>
      </c>
      <c r="D12043" t="s">
        <v>17985</v>
      </c>
      <c r="E12043" t="s">
        <v>28439</v>
      </c>
      <c r="F12043" t="s">
        <v>30900</v>
      </c>
      <c r="G12043" t="s">
        <v>30907</v>
      </c>
      <c r="H12043" t="s">
        <v>30915</v>
      </c>
      <c r="I12043" t="s">
        <v>30919</v>
      </c>
      <c r="J12043" t="s">
        <v>38043</v>
      </c>
      <c r="K12043" t="s">
        <v>40458</v>
      </c>
      <c r="M12043" t="s">
        <v>40622</v>
      </c>
      <c r="N12043" t="s">
        <v>44759</v>
      </c>
      <c r="O12043" t="s">
        <v>44760</v>
      </c>
      <c r="P12043">
        <v>0</v>
      </c>
      <c r="Q12043">
        <v>4</v>
      </c>
      <c r="R12043" t="s">
        <v>44775</v>
      </c>
      <c r="S12043" t="s">
        <v>45343</v>
      </c>
      <c r="T12043" t="s">
        <v>46389</v>
      </c>
      <c r="U12043" t="s">
        <v>56456</v>
      </c>
      <c r="W12043" t="s">
        <v>40622</v>
      </c>
      <c r="X12043" t="s">
        <v>44776</v>
      </c>
    </row>
    <row r="12044" spans="1:24">
      <c r="A12044">
        <f>HYPERLINK("https://www.philgeps.gov.ph/GEPSNONPILOT/Tender/SplashBidNoticeAbstractUI.aspx?menuIndex=3&amp;refID=7125646&amp;Result=3","7125646")</f>
        <v>0</v>
      </c>
      <c r="B12044" t="s">
        <v>3452</v>
      </c>
      <c r="C12044" t="s">
        <v>15206</v>
      </c>
      <c r="D12044" t="s">
        <v>17989</v>
      </c>
      <c r="E12044" t="s">
        <v>28440</v>
      </c>
      <c r="F12044" t="s">
        <v>30900</v>
      </c>
      <c r="G12044" t="s">
        <v>30907</v>
      </c>
      <c r="H12044" t="s">
        <v>30915</v>
      </c>
      <c r="I12044" t="s">
        <v>30919</v>
      </c>
      <c r="J12044" t="s">
        <v>38548</v>
      </c>
      <c r="K12044" t="s">
        <v>40321</v>
      </c>
      <c r="M12044" t="s">
        <v>44336</v>
      </c>
      <c r="N12044" t="s">
        <v>44759</v>
      </c>
      <c r="O12044" t="s">
        <v>44760</v>
      </c>
      <c r="P12044">
        <v>0</v>
      </c>
      <c r="Q12044">
        <v>0</v>
      </c>
      <c r="R12044" t="s">
        <v>44775</v>
      </c>
      <c r="S12044" t="s">
        <v>45343</v>
      </c>
      <c r="T12044" t="s">
        <v>46595</v>
      </c>
      <c r="U12044" t="s">
        <v>56854</v>
      </c>
      <c r="W12044" t="s">
        <v>44336</v>
      </c>
      <c r="X12044" t="s">
        <v>44776</v>
      </c>
    </row>
    <row r="12045" spans="1:24">
      <c r="A12045">
        <f>HYPERLINK("https://www.philgeps.gov.ph/GEPSNONPILOT/Tender/SplashBidNoticeAbstractUI.aspx?menuIndex=3&amp;refID=7125636&amp;Result=3","7125636")</f>
        <v>0</v>
      </c>
      <c r="B12045" t="s">
        <v>3453</v>
      </c>
      <c r="C12045" t="s">
        <v>15207</v>
      </c>
      <c r="D12045" t="s">
        <v>17978</v>
      </c>
      <c r="E12045" t="s">
        <v>28441</v>
      </c>
      <c r="F12045" t="s">
        <v>30900</v>
      </c>
      <c r="G12045" t="s">
        <v>30907</v>
      </c>
      <c r="H12045" t="s">
        <v>30915</v>
      </c>
      <c r="I12045" t="s">
        <v>30919</v>
      </c>
      <c r="J12045" t="s">
        <v>38549</v>
      </c>
      <c r="K12045" t="s">
        <v>40280</v>
      </c>
      <c r="L12045" t="s">
        <v>3453</v>
      </c>
      <c r="M12045" t="s">
        <v>44337</v>
      </c>
      <c r="N12045" t="s">
        <v>44759</v>
      </c>
      <c r="O12045" t="s">
        <v>44760</v>
      </c>
      <c r="P12045">
        <v>0</v>
      </c>
      <c r="Q12045">
        <v>2</v>
      </c>
      <c r="R12045" t="s">
        <v>44775</v>
      </c>
      <c r="S12045" t="s">
        <v>45343</v>
      </c>
      <c r="T12045" t="s">
        <v>46389</v>
      </c>
      <c r="U12045" t="s">
        <v>56855</v>
      </c>
      <c r="W12045" t="s">
        <v>44337</v>
      </c>
      <c r="X12045" t="s">
        <v>44776</v>
      </c>
    </row>
    <row r="12046" spans="1:24">
      <c r="A12046">
        <f>HYPERLINK("https://www.philgeps.gov.ph/GEPSNONPILOT/Tender/SplashBidNoticeAbstractUI.aspx?menuIndex=3&amp;refID=7125501&amp;Result=3","7125501")</f>
        <v>0</v>
      </c>
      <c r="B12046" t="s">
        <v>2094</v>
      </c>
      <c r="C12046" t="s">
        <v>15208</v>
      </c>
      <c r="D12046" t="s">
        <v>17962</v>
      </c>
      <c r="E12046" t="s">
        <v>28442</v>
      </c>
      <c r="F12046" t="s">
        <v>30900</v>
      </c>
      <c r="G12046" t="s">
        <v>30907</v>
      </c>
      <c r="H12046" t="s">
        <v>30916</v>
      </c>
      <c r="I12046" t="s">
        <v>30950</v>
      </c>
      <c r="J12046" t="s">
        <v>38550</v>
      </c>
      <c r="K12046" t="s">
        <v>40283</v>
      </c>
      <c r="M12046" t="s">
        <v>42793</v>
      </c>
      <c r="N12046" t="s">
        <v>44759</v>
      </c>
      <c r="O12046" t="s">
        <v>44760</v>
      </c>
      <c r="P12046">
        <v>0</v>
      </c>
      <c r="Q12046">
        <v>8</v>
      </c>
      <c r="R12046" t="s">
        <v>44775</v>
      </c>
      <c r="S12046" t="s">
        <v>45343</v>
      </c>
      <c r="T12046" t="s">
        <v>46421</v>
      </c>
      <c r="U12046" t="s">
        <v>56856</v>
      </c>
      <c r="V12046" t="s">
        <v>60491</v>
      </c>
      <c r="W12046" t="s">
        <v>42793</v>
      </c>
      <c r="X12046" t="s">
        <v>44776</v>
      </c>
    </row>
    <row r="12047" spans="1:24">
      <c r="A12047">
        <f>HYPERLINK("https://www.philgeps.gov.ph/GEPSNONPILOT/Tender/SplashBidNoticeAbstractUI.aspx?menuIndex=3&amp;refID=7125625&amp;Result=3","7125625")</f>
        <v>0</v>
      </c>
      <c r="B12047" t="s">
        <v>1614</v>
      </c>
      <c r="C12047" t="s">
        <v>15209</v>
      </c>
      <c r="D12047" t="s">
        <v>18012</v>
      </c>
      <c r="E12047" t="s">
        <v>28443</v>
      </c>
      <c r="F12047" t="s">
        <v>30900</v>
      </c>
      <c r="G12047" t="s">
        <v>30907</v>
      </c>
      <c r="H12047" t="s">
        <v>30916</v>
      </c>
      <c r="I12047" t="s">
        <v>4004</v>
      </c>
      <c r="J12047" t="s">
        <v>31297</v>
      </c>
      <c r="K12047" t="s">
        <v>40292</v>
      </c>
      <c r="M12047" t="s">
        <v>42264</v>
      </c>
      <c r="N12047" t="s">
        <v>44759</v>
      </c>
      <c r="O12047" t="s">
        <v>44760</v>
      </c>
      <c r="P12047">
        <v>0</v>
      </c>
      <c r="Q12047">
        <v>11</v>
      </c>
      <c r="R12047" t="s">
        <v>44775</v>
      </c>
      <c r="S12047" t="s">
        <v>45343</v>
      </c>
      <c r="T12047" t="s">
        <v>46613</v>
      </c>
      <c r="U12047" t="s">
        <v>56857</v>
      </c>
      <c r="W12047" t="s">
        <v>60869</v>
      </c>
      <c r="X12047" t="s">
        <v>44776</v>
      </c>
    </row>
    <row r="12048" spans="1:24">
      <c r="A12048">
        <f>HYPERLINK("https://www.philgeps.gov.ph/GEPSNONPILOT/Tender/SplashBidNoticeAbstractUI.aspx?menuIndex=3&amp;refID=7125622&amp;Result=3","7125622")</f>
        <v>0</v>
      </c>
      <c r="B12048" t="s">
        <v>3452</v>
      </c>
      <c r="C12048" t="s">
        <v>15210</v>
      </c>
      <c r="D12048" t="s">
        <v>17989</v>
      </c>
      <c r="E12048" t="s">
        <v>28444</v>
      </c>
      <c r="F12048" t="s">
        <v>30900</v>
      </c>
      <c r="G12048" t="s">
        <v>30907</v>
      </c>
      <c r="H12048" t="s">
        <v>30915</v>
      </c>
      <c r="I12048" t="s">
        <v>30957</v>
      </c>
      <c r="J12048" t="s">
        <v>31297</v>
      </c>
      <c r="K12048" t="s">
        <v>40337</v>
      </c>
      <c r="M12048" t="s">
        <v>44336</v>
      </c>
      <c r="N12048" t="s">
        <v>44759</v>
      </c>
      <c r="O12048" t="s">
        <v>44760</v>
      </c>
      <c r="P12048">
        <v>0</v>
      </c>
      <c r="Q12048">
        <v>0</v>
      </c>
      <c r="R12048" t="s">
        <v>44775</v>
      </c>
      <c r="S12048" t="s">
        <v>45343</v>
      </c>
      <c r="T12048" t="s">
        <v>46730</v>
      </c>
      <c r="U12048" t="s">
        <v>56858</v>
      </c>
      <c r="W12048" t="s">
        <v>44336</v>
      </c>
      <c r="X12048" t="s">
        <v>44776</v>
      </c>
    </row>
    <row r="12049" spans="1:24">
      <c r="A12049">
        <f>HYPERLINK("https://www.philgeps.gov.ph/GEPSNONPILOT/Tender/SplashBidNoticeAbstractUI.aspx?menuIndex=3&amp;refID=7125612&amp;Result=3","7125612")</f>
        <v>0</v>
      </c>
      <c r="B12049" t="s">
        <v>187</v>
      </c>
      <c r="C12049" t="s">
        <v>15211</v>
      </c>
      <c r="D12049" t="s">
        <v>17952</v>
      </c>
      <c r="E12049" t="s">
        <v>28445</v>
      </c>
      <c r="F12049" t="s">
        <v>30900</v>
      </c>
      <c r="G12049" t="s">
        <v>30907</v>
      </c>
      <c r="H12049" t="s">
        <v>30916</v>
      </c>
      <c r="I12049" t="s">
        <v>4017</v>
      </c>
      <c r="J12049" t="s">
        <v>38551</v>
      </c>
      <c r="K12049" t="s">
        <v>40286</v>
      </c>
      <c r="M12049" t="s">
        <v>40734</v>
      </c>
      <c r="N12049" t="s">
        <v>44759</v>
      </c>
      <c r="O12049" t="s">
        <v>44760</v>
      </c>
      <c r="Q12049">
        <v>17</v>
      </c>
      <c r="R12049" t="s">
        <v>44775</v>
      </c>
      <c r="S12049" t="s">
        <v>45415</v>
      </c>
      <c r="T12049" t="s">
        <v>46745</v>
      </c>
      <c r="U12049" t="s">
        <v>56851</v>
      </c>
      <c r="W12049" t="s">
        <v>40734</v>
      </c>
      <c r="X12049" t="s">
        <v>44776</v>
      </c>
    </row>
    <row r="12050" spans="1:24">
      <c r="A12050">
        <f>HYPERLINK("https://www.philgeps.gov.ph/GEPSNONPILOT/Tender/SplashBidNoticeAbstractUI.aspx?menuIndex=3&amp;refID=7125515&amp;Result=3","7125515")</f>
        <v>0</v>
      </c>
      <c r="B12050" t="s">
        <v>3454</v>
      </c>
      <c r="C12050" t="s">
        <v>15212</v>
      </c>
      <c r="D12050" t="s">
        <v>17959</v>
      </c>
      <c r="E12050" t="s">
        <v>28446</v>
      </c>
      <c r="F12050" t="s">
        <v>30900</v>
      </c>
      <c r="G12050" t="s">
        <v>30907</v>
      </c>
      <c r="H12050" t="s">
        <v>30916</v>
      </c>
      <c r="I12050" t="s">
        <v>4142</v>
      </c>
      <c r="J12050" t="s">
        <v>38552</v>
      </c>
      <c r="K12050" t="s">
        <v>40280</v>
      </c>
      <c r="M12050" t="s">
        <v>44338</v>
      </c>
      <c r="N12050" t="s">
        <v>44759</v>
      </c>
      <c r="O12050" t="s">
        <v>44760</v>
      </c>
      <c r="P12050">
        <v>0</v>
      </c>
      <c r="Q12050">
        <v>6</v>
      </c>
      <c r="R12050" t="s">
        <v>44775</v>
      </c>
      <c r="S12050" t="s">
        <v>45343</v>
      </c>
      <c r="T12050" t="s">
        <v>46352</v>
      </c>
      <c r="U12050" t="s">
        <v>56859</v>
      </c>
      <c r="W12050" t="s">
        <v>44338</v>
      </c>
      <c r="X12050" t="s">
        <v>44776</v>
      </c>
    </row>
    <row r="12051" spans="1:24">
      <c r="A12051">
        <f>HYPERLINK("https://www.philgeps.gov.ph/GEPSNONPILOT/Tender/SplashBidNoticeAbstractUI.aspx?menuIndex=3&amp;refID=7125641&amp;Result=3","7125641")</f>
        <v>0</v>
      </c>
      <c r="B12051" t="s">
        <v>1088</v>
      </c>
      <c r="C12051" t="s">
        <v>15213</v>
      </c>
      <c r="D12051" t="s">
        <v>17959</v>
      </c>
      <c r="E12051" t="s">
        <v>28447</v>
      </c>
      <c r="F12051" t="s">
        <v>30900</v>
      </c>
      <c r="G12051" t="s">
        <v>30907</v>
      </c>
      <c r="H12051" t="s">
        <v>30917</v>
      </c>
      <c r="I12051" t="s">
        <v>30988</v>
      </c>
      <c r="J12051" t="s">
        <v>31153</v>
      </c>
      <c r="K12051" t="s">
        <v>40319</v>
      </c>
      <c r="M12051" t="s">
        <v>44339</v>
      </c>
      <c r="N12051" t="s">
        <v>44759</v>
      </c>
      <c r="O12051" t="s">
        <v>44760</v>
      </c>
      <c r="P12051">
        <v>0</v>
      </c>
      <c r="Q12051">
        <v>5</v>
      </c>
      <c r="R12051" t="s">
        <v>44775</v>
      </c>
      <c r="S12051" t="s">
        <v>45343</v>
      </c>
      <c r="T12051" t="s">
        <v>46418</v>
      </c>
      <c r="U12051" t="s">
        <v>56860</v>
      </c>
      <c r="W12051" t="s">
        <v>44339</v>
      </c>
      <c r="X12051" t="s">
        <v>44776</v>
      </c>
    </row>
    <row r="12052" spans="1:24">
      <c r="A12052">
        <f>HYPERLINK("https://www.philgeps.gov.ph/GEPSNONPILOT/Tender/SplashBidNoticeAbstractUI.aspx?menuIndex=3&amp;refID=7125630&amp;Result=3","7125630")</f>
        <v>0</v>
      </c>
      <c r="B12052" t="s">
        <v>3119</v>
      </c>
      <c r="C12052" t="s">
        <v>15214</v>
      </c>
      <c r="D12052" t="s">
        <v>17985</v>
      </c>
      <c r="E12052" t="s">
        <v>28448</v>
      </c>
      <c r="F12052" t="s">
        <v>30900</v>
      </c>
      <c r="G12052" t="s">
        <v>30907</v>
      </c>
      <c r="H12052" t="s">
        <v>30916</v>
      </c>
      <c r="I12052" t="s">
        <v>30923</v>
      </c>
      <c r="J12052" t="s">
        <v>38553</v>
      </c>
      <c r="K12052" t="s">
        <v>40280</v>
      </c>
      <c r="M12052" t="s">
        <v>43934</v>
      </c>
      <c r="N12052" t="s">
        <v>44759</v>
      </c>
      <c r="O12052" t="s">
        <v>44760</v>
      </c>
      <c r="Q12052">
        <v>16</v>
      </c>
      <c r="R12052" t="s">
        <v>44775</v>
      </c>
      <c r="S12052" t="s">
        <v>45417</v>
      </c>
      <c r="T12052" t="s">
        <v>46422</v>
      </c>
      <c r="U12052" t="s">
        <v>56861</v>
      </c>
      <c r="W12052" t="s">
        <v>43934</v>
      </c>
      <c r="X12052" t="s">
        <v>44776</v>
      </c>
    </row>
    <row r="12053" spans="1:24">
      <c r="A12053">
        <f>HYPERLINK("https://www.philgeps.gov.ph/GEPSNONPILOT/Tender/SplashBidNoticeAbstractUI.aspx?menuIndex=3&amp;refID=7125588&amp;Result=3","7125588")</f>
        <v>0</v>
      </c>
      <c r="B12053" t="s">
        <v>322</v>
      </c>
      <c r="C12053" t="s">
        <v>15215</v>
      </c>
      <c r="E12053" t="s">
        <v>28449</v>
      </c>
      <c r="F12053" t="s">
        <v>30900</v>
      </c>
      <c r="G12053" t="s">
        <v>30907</v>
      </c>
      <c r="H12053" t="s">
        <v>30915</v>
      </c>
      <c r="I12053" t="s">
        <v>30919</v>
      </c>
      <c r="J12053" t="s">
        <v>32935</v>
      </c>
      <c r="K12053" t="s">
        <v>40289</v>
      </c>
      <c r="M12053" t="s">
        <v>44340</v>
      </c>
      <c r="N12053" t="s">
        <v>44759</v>
      </c>
      <c r="O12053" t="s">
        <v>44760</v>
      </c>
      <c r="P12053">
        <v>0</v>
      </c>
      <c r="Q12053">
        <v>5</v>
      </c>
      <c r="R12053" t="s">
        <v>44775</v>
      </c>
      <c r="S12053" t="s">
        <v>45343</v>
      </c>
      <c r="T12053" t="s">
        <v>46412</v>
      </c>
      <c r="U12053" t="s">
        <v>56862</v>
      </c>
      <c r="W12053" t="s">
        <v>44340</v>
      </c>
      <c r="X12053" t="s">
        <v>44776</v>
      </c>
    </row>
    <row r="12054" spans="1:24">
      <c r="A12054">
        <f>HYPERLINK("https://www.philgeps.gov.ph/GEPSNONPILOT/Tender/SplashBidNoticeAbstractUI.aspx?menuIndex=3&amp;refID=7125585&amp;Result=3","7125585")</f>
        <v>0</v>
      </c>
      <c r="B12054" t="s">
        <v>3452</v>
      </c>
      <c r="C12054" t="s">
        <v>15216</v>
      </c>
      <c r="D12054" t="s">
        <v>17989</v>
      </c>
      <c r="E12054" t="s">
        <v>28450</v>
      </c>
      <c r="F12054" t="s">
        <v>30900</v>
      </c>
      <c r="G12054" t="s">
        <v>30907</v>
      </c>
      <c r="H12054" t="s">
        <v>30915</v>
      </c>
      <c r="I12054" t="s">
        <v>30919</v>
      </c>
      <c r="J12054" t="s">
        <v>31214</v>
      </c>
      <c r="K12054" t="s">
        <v>40534</v>
      </c>
      <c r="M12054" t="s">
        <v>44336</v>
      </c>
      <c r="N12054" t="s">
        <v>44759</v>
      </c>
      <c r="O12054" t="s">
        <v>44760</v>
      </c>
      <c r="P12054">
        <v>0</v>
      </c>
      <c r="Q12054">
        <v>1</v>
      </c>
      <c r="R12054" t="s">
        <v>44775</v>
      </c>
      <c r="S12054" t="s">
        <v>45343</v>
      </c>
      <c r="T12054" t="s">
        <v>46606</v>
      </c>
      <c r="U12054" t="s">
        <v>56863</v>
      </c>
      <c r="W12054" t="s">
        <v>44336</v>
      </c>
      <c r="X12054" t="s">
        <v>44776</v>
      </c>
    </row>
    <row r="12055" spans="1:24">
      <c r="A12055">
        <f>HYPERLINK("https://www.philgeps.gov.ph/GEPSNONPILOT/Tender/SplashBidNoticeAbstractUI.aspx?menuIndex=3&amp;refID=7125614&amp;Result=3","7125614")</f>
        <v>0</v>
      </c>
      <c r="B12055" t="s">
        <v>326</v>
      </c>
      <c r="C12055" t="s">
        <v>15217</v>
      </c>
      <c r="E12055" t="s">
        <v>28451</v>
      </c>
      <c r="F12055" t="s">
        <v>30900</v>
      </c>
      <c r="G12055" t="s">
        <v>30907</v>
      </c>
      <c r="H12055" t="s">
        <v>30916</v>
      </c>
      <c r="I12055" t="s">
        <v>30929</v>
      </c>
      <c r="J12055" t="s">
        <v>31094</v>
      </c>
      <c r="K12055" t="s">
        <v>40289</v>
      </c>
      <c r="M12055" t="s">
        <v>44341</v>
      </c>
      <c r="N12055" t="s">
        <v>44759</v>
      </c>
      <c r="O12055" t="s">
        <v>44760</v>
      </c>
      <c r="Q12055">
        <v>15</v>
      </c>
      <c r="R12055" t="s">
        <v>44775</v>
      </c>
      <c r="S12055" t="s">
        <v>45418</v>
      </c>
      <c r="T12055" t="s">
        <v>46476</v>
      </c>
      <c r="U12055" t="s">
        <v>56835</v>
      </c>
      <c r="W12055" t="s">
        <v>44341</v>
      </c>
      <c r="X12055" t="s">
        <v>44776</v>
      </c>
    </row>
    <row r="12056" spans="1:24">
      <c r="A12056">
        <f>HYPERLINK("https://www.philgeps.gov.ph/GEPSNONPILOT/Tender/SplashBidNoticeAbstractUI.aspx?menuIndex=3&amp;refID=7125770&amp;Result=3","7125770")</f>
        <v>0</v>
      </c>
      <c r="B12056" t="s">
        <v>2209</v>
      </c>
      <c r="C12056" t="s">
        <v>15218</v>
      </c>
      <c r="D12056" t="s">
        <v>17959</v>
      </c>
      <c r="E12056" t="s">
        <v>15218</v>
      </c>
      <c r="F12056" t="s">
        <v>30900</v>
      </c>
      <c r="G12056" t="s">
        <v>30907</v>
      </c>
      <c r="H12056" t="s">
        <v>30916</v>
      </c>
      <c r="I12056" t="s">
        <v>9385</v>
      </c>
      <c r="J12056" t="s">
        <v>38554</v>
      </c>
      <c r="K12056" t="s">
        <v>40286</v>
      </c>
      <c r="M12056" t="s">
        <v>42917</v>
      </c>
      <c r="N12056" t="s">
        <v>44759</v>
      </c>
      <c r="O12056" t="s">
        <v>44760</v>
      </c>
      <c r="P12056">
        <v>0</v>
      </c>
      <c r="Q12056">
        <v>10</v>
      </c>
      <c r="R12056" t="s">
        <v>44775</v>
      </c>
      <c r="S12056" t="s">
        <v>45343</v>
      </c>
      <c r="T12056" t="s">
        <v>46425</v>
      </c>
      <c r="U12056" t="s">
        <v>56864</v>
      </c>
      <c r="W12056" t="s">
        <v>42917</v>
      </c>
      <c r="X12056" t="s">
        <v>44776</v>
      </c>
    </row>
    <row r="12057" spans="1:24">
      <c r="A12057">
        <f>HYPERLINK("https://www.philgeps.gov.ph/GEPSNONPILOT/Tender/SplashBidNoticeAbstractUI.aspx?menuIndex=3&amp;refID=7125548&amp;Result=3","7125548")</f>
        <v>0</v>
      </c>
      <c r="B12057" t="s">
        <v>3455</v>
      </c>
      <c r="C12057" t="s">
        <v>15219</v>
      </c>
      <c r="D12057" t="s">
        <v>17974</v>
      </c>
      <c r="E12057" t="s">
        <v>28452</v>
      </c>
      <c r="F12057" t="s">
        <v>30900</v>
      </c>
      <c r="G12057" t="s">
        <v>30907</v>
      </c>
      <c r="H12057" t="s">
        <v>30916</v>
      </c>
      <c r="I12057" t="s">
        <v>30950</v>
      </c>
      <c r="J12057" t="s">
        <v>38555</v>
      </c>
      <c r="K12057" t="s">
        <v>40283</v>
      </c>
      <c r="M12057" t="s">
        <v>44342</v>
      </c>
      <c r="N12057" t="s">
        <v>44759</v>
      </c>
      <c r="O12057" t="s">
        <v>44760</v>
      </c>
      <c r="P12057">
        <v>0</v>
      </c>
      <c r="Q12057">
        <v>2</v>
      </c>
      <c r="R12057" t="s">
        <v>44775</v>
      </c>
      <c r="S12057" t="s">
        <v>45343</v>
      </c>
      <c r="T12057" t="s">
        <v>46409</v>
      </c>
      <c r="U12057" t="s">
        <v>56865</v>
      </c>
      <c r="V12057" t="s">
        <v>59226</v>
      </c>
      <c r="W12057" t="s">
        <v>44342</v>
      </c>
      <c r="X12057" t="s">
        <v>44776</v>
      </c>
    </row>
    <row r="12058" spans="1:24">
      <c r="A12058">
        <f>HYPERLINK("https://www.philgeps.gov.ph/GEPSNONPILOT/Tender/SplashBidNoticeAbstractUI.aspx?menuIndex=3&amp;refID=7125603&amp;Result=3","7125603")</f>
        <v>0</v>
      </c>
      <c r="B12058" t="s">
        <v>3453</v>
      </c>
      <c r="C12058" t="s">
        <v>15220</v>
      </c>
      <c r="D12058" t="s">
        <v>17978</v>
      </c>
      <c r="E12058" t="s">
        <v>28453</v>
      </c>
      <c r="F12058" t="s">
        <v>30900</v>
      </c>
      <c r="G12058" t="s">
        <v>30907</v>
      </c>
      <c r="H12058" t="s">
        <v>30915</v>
      </c>
      <c r="I12058" t="s">
        <v>30919</v>
      </c>
      <c r="J12058" t="s">
        <v>38556</v>
      </c>
      <c r="K12058" t="s">
        <v>40280</v>
      </c>
      <c r="L12058" t="s">
        <v>3453</v>
      </c>
      <c r="M12058" t="s">
        <v>44337</v>
      </c>
      <c r="N12058" t="s">
        <v>44759</v>
      </c>
      <c r="O12058" t="s">
        <v>44760</v>
      </c>
      <c r="P12058">
        <v>0</v>
      </c>
      <c r="Q12058">
        <v>2</v>
      </c>
      <c r="R12058" t="s">
        <v>44775</v>
      </c>
      <c r="S12058" t="s">
        <v>45343</v>
      </c>
      <c r="T12058" t="s">
        <v>46389</v>
      </c>
      <c r="U12058" t="s">
        <v>56866</v>
      </c>
      <c r="W12058" t="s">
        <v>44337</v>
      </c>
      <c r="X12058" t="s">
        <v>44776</v>
      </c>
    </row>
    <row r="12059" spans="1:24">
      <c r="A12059">
        <f>HYPERLINK("https://www.philgeps.gov.ph/GEPSNONPILOT/Tender/SplashBidNoticeAbstractUI.aspx?menuIndex=3&amp;refID=7125769&amp;Result=3","7125769")</f>
        <v>0</v>
      </c>
      <c r="B12059" t="s">
        <v>2215</v>
      </c>
      <c r="C12059" t="s">
        <v>15221</v>
      </c>
      <c r="E12059" t="s">
        <v>28454</v>
      </c>
      <c r="F12059" t="s">
        <v>30900</v>
      </c>
      <c r="G12059" t="s">
        <v>30907</v>
      </c>
      <c r="H12059" t="s">
        <v>30915</v>
      </c>
      <c r="I12059" t="s">
        <v>30919</v>
      </c>
      <c r="J12059" t="s">
        <v>31152</v>
      </c>
      <c r="K12059" t="s">
        <v>40293</v>
      </c>
      <c r="M12059" t="s">
        <v>42924</v>
      </c>
      <c r="N12059" t="s">
        <v>44759</v>
      </c>
      <c r="O12059" t="s">
        <v>44760</v>
      </c>
      <c r="P12059">
        <v>0</v>
      </c>
      <c r="Q12059">
        <v>0</v>
      </c>
      <c r="R12059" t="s">
        <v>44775</v>
      </c>
      <c r="S12059" t="s">
        <v>45343</v>
      </c>
      <c r="T12059" t="s">
        <v>46400</v>
      </c>
      <c r="U12059" t="s">
        <v>56867</v>
      </c>
      <c r="W12059" t="s">
        <v>42924</v>
      </c>
      <c r="X12059" t="s">
        <v>44776</v>
      </c>
    </row>
    <row r="12060" spans="1:24">
      <c r="A12060">
        <f>HYPERLINK("https://www.philgeps.gov.ph/GEPSNONPILOT/Tender/SplashBidNoticeAbstractUI.aspx?menuIndex=3&amp;refID=7125517&amp;Result=3","7125517")</f>
        <v>0</v>
      </c>
      <c r="B12060" t="s">
        <v>3119</v>
      </c>
      <c r="C12060" t="s">
        <v>15222</v>
      </c>
      <c r="D12060" t="s">
        <v>17985</v>
      </c>
      <c r="E12060" t="s">
        <v>28455</v>
      </c>
      <c r="F12060" t="s">
        <v>30900</v>
      </c>
      <c r="G12060" t="s">
        <v>30907</v>
      </c>
      <c r="H12060" t="s">
        <v>30916</v>
      </c>
      <c r="I12060" t="s">
        <v>5501</v>
      </c>
      <c r="J12060" t="s">
        <v>38557</v>
      </c>
      <c r="K12060" t="s">
        <v>40280</v>
      </c>
      <c r="M12060" t="s">
        <v>43934</v>
      </c>
      <c r="N12060" t="s">
        <v>44759</v>
      </c>
      <c r="O12060" t="s">
        <v>44760</v>
      </c>
      <c r="Q12060">
        <v>11</v>
      </c>
      <c r="R12060" t="s">
        <v>44775</v>
      </c>
      <c r="S12060" t="s">
        <v>45172</v>
      </c>
      <c r="T12060" t="s">
        <v>46422</v>
      </c>
      <c r="U12060" t="s">
        <v>56861</v>
      </c>
      <c r="W12060" t="s">
        <v>43934</v>
      </c>
      <c r="X12060" t="s">
        <v>44776</v>
      </c>
    </row>
    <row r="12061" spans="1:24">
      <c r="A12061">
        <f>HYPERLINK("https://www.philgeps.gov.ph/GEPSNONPILOT/Tender/SplashBidNoticeAbstractUI.aspx?menuIndex=3&amp;refID=7125757&amp;Result=3","7125757")</f>
        <v>0</v>
      </c>
      <c r="B12061" t="s">
        <v>380</v>
      </c>
      <c r="C12061" t="s">
        <v>15223</v>
      </c>
      <c r="D12061" t="s">
        <v>18003</v>
      </c>
      <c r="E12061" t="s">
        <v>28456</v>
      </c>
      <c r="F12061" t="s">
        <v>30900</v>
      </c>
      <c r="G12061" t="s">
        <v>30907</v>
      </c>
      <c r="H12061" t="s">
        <v>30915</v>
      </c>
      <c r="I12061" t="s">
        <v>30919</v>
      </c>
      <c r="J12061" t="s">
        <v>31341</v>
      </c>
      <c r="K12061" t="s">
        <v>40280</v>
      </c>
      <c r="M12061" t="s">
        <v>40934</v>
      </c>
      <c r="N12061" t="s">
        <v>44759</v>
      </c>
      <c r="O12061" t="s">
        <v>44760</v>
      </c>
      <c r="P12061">
        <v>0</v>
      </c>
      <c r="Q12061">
        <v>0</v>
      </c>
      <c r="R12061" t="s">
        <v>44775</v>
      </c>
      <c r="S12061" t="s">
        <v>45343</v>
      </c>
      <c r="T12061" t="s">
        <v>46703</v>
      </c>
      <c r="U12061" t="s">
        <v>51829</v>
      </c>
      <c r="W12061" t="s">
        <v>40934</v>
      </c>
      <c r="X12061" t="s">
        <v>44776</v>
      </c>
    </row>
    <row r="12062" spans="1:24">
      <c r="A12062">
        <f>HYPERLINK("https://www.philgeps.gov.ph/GEPSNONPILOT/Tender/SplashBidNoticeAbstractUI.aspx?menuIndex=3&amp;refID=7125753&amp;Result=3","7125753")</f>
        <v>0</v>
      </c>
      <c r="B12062" t="s">
        <v>3456</v>
      </c>
      <c r="C12062" t="s">
        <v>15224</v>
      </c>
      <c r="D12062" t="s">
        <v>17973</v>
      </c>
      <c r="E12062" t="s">
        <v>28457</v>
      </c>
      <c r="F12062" t="s">
        <v>30900</v>
      </c>
      <c r="G12062" t="s">
        <v>30907</v>
      </c>
      <c r="H12062" t="s">
        <v>30916</v>
      </c>
      <c r="I12062" t="s">
        <v>10961</v>
      </c>
      <c r="J12062" t="s">
        <v>38558</v>
      </c>
      <c r="K12062" t="s">
        <v>40280</v>
      </c>
      <c r="M12062" t="s">
        <v>44343</v>
      </c>
      <c r="N12062" t="s">
        <v>44759</v>
      </c>
      <c r="O12062" t="s">
        <v>44760</v>
      </c>
      <c r="P12062">
        <v>0</v>
      </c>
      <c r="Q12062">
        <v>16</v>
      </c>
      <c r="R12062" t="s">
        <v>44775</v>
      </c>
      <c r="S12062" t="s">
        <v>45343</v>
      </c>
      <c r="T12062" t="s">
        <v>46409</v>
      </c>
      <c r="U12062" t="s">
        <v>56868</v>
      </c>
      <c r="W12062" t="s">
        <v>44343</v>
      </c>
      <c r="X12062" t="s">
        <v>44776</v>
      </c>
    </row>
    <row r="12063" spans="1:24">
      <c r="A12063">
        <f>HYPERLINK("https://www.philgeps.gov.ph/GEPSNONPILOT/Tender/SplashBidNoticeAbstractUI.aspx?menuIndex=3&amp;refID=7125748&amp;Result=3","7125748")</f>
        <v>0</v>
      </c>
      <c r="B12063" t="s">
        <v>3457</v>
      </c>
      <c r="C12063" t="s">
        <v>15225</v>
      </c>
      <c r="D12063" t="s">
        <v>17951</v>
      </c>
      <c r="E12063" t="s">
        <v>28458</v>
      </c>
      <c r="F12063" t="s">
        <v>30900</v>
      </c>
      <c r="G12063" t="s">
        <v>30907</v>
      </c>
      <c r="H12063" t="s">
        <v>30915</v>
      </c>
      <c r="I12063" t="s">
        <v>30919</v>
      </c>
      <c r="J12063" t="s">
        <v>38559</v>
      </c>
      <c r="K12063" t="s">
        <v>40292</v>
      </c>
      <c r="M12063" t="s">
        <v>44344</v>
      </c>
      <c r="N12063" t="s">
        <v>44759</v>
      </c>
      <c r="O12063" t="s">
        <v>44760</v>
      </c>
      <c r="P12063">
        <v>0</v>
      </c>
      <c r="Q12063">
        <v>1</v>
      </c>
      <c r="R12063" t="s">
        <v>44775</v>
      </c>
      <c r="S12063" t="s">
        <v>45343</v>
      </c>
      <c r="T12063" t="s">
        <v>46404</v>
      </c>
      <c r="U12063" t="s">
        <v>56869</v>
      </c>
      <c r="W12063" t="s">
        <v>44344</v>
      </c>
      <c r="X12063" t="s">
        <v>44776</v>
      </c>
    </row>
    <row r="12064" spans="1:24">
      <c r="A12064">
        <f>HYPERLINK("https://www.philgeps.gov.ph/GEPSNONPILOT/Tender/SplashBidNoticeAbstractUI.aspx?menuIndex=3&amp;refID=7125746&amp;Result=3","7125746")</f>
        <v>0</v>
      </c>
      <c r="B12064" t="s">
        <v>2209</v>
      </c>
      <c r="C12064" t="s">
        <v>15226</v>
      </c>
      <c r="D12064" t="s">
        <v>17959</v>
      </c>
      <c r="E12064" t="s">
        <v>15226</v>
      </c>
      <c r="F12064" t="s">
        <v>30900</v>
      </c>
      <c r="G12064" t="s">
        <v>30907</v>
      </c>
      <c r="H12064" t="s">
        <v>30916</v>
      </c>
      <c r="I12064" t="s">
        <v>9385</v>
      </c>
      <c r="J12064" t="s">
        <v>38560</v>
      </c>
      <c r="K12064" t="s">
        <v>40286</v>
      </c>
      <c r="M12064" t="s">
        <v>42917</v>
      </c>
      <c r="N12064" t="s">
        <v>44759</v>
      </c>
      <c r="O12064" t="s">
        <v>44760</v>
      </c>
      <c r="P12064">
        <v>0</v>
      </c>
      <c r="Q12064">
        <v>21</v>
      </c>
      <c r="R12064" t="s">
        <v>44775</v>
      </c>
      <c r="S12064" t="s">
        <v>45343</v>
      </c>
      <c r="T12064" t="s">
        <v>46425</v>
      </c>
      <c r="U12064" t="s">
        <v>56864</v>
      </c>
      <c r="W12064" t="s">
        <v>42917</v>
      </c>
      <c r="X12064" t="s">
        <v>44776</v>
      </c>
    </row>
    <row r="12065" spans="1:24">
      <c r="A12065">
        <f>HYPERLINK("https://www.philgeps.gov.ph/GEPSNONPILOT/Tender/SplashBidNoticeAbstractUI.aspx?menuIndex=3&amp;refID=7125723&amp;Result=3","7125723")</f>
        <v>0</v>
      </c>
      <c r="B12065" t="s">
        <v>2209</v>
      </c>
      <c r="C12065" t="s">
        <v>15227</v>
      </c>
      <c r="D12065" t="s">
        <v>17959</v>
      </c>
      <c r="E12065" t="s">
        <v>15227</v>
      </c>
      <c r="F12065" t="s">
        <v>30900</v>
      </c>
      <c r="G12065" t="s">
        <v>30907</v>
      </c>
      <c r="H12065" t="s">
        <v>30916</v>
      </c>
      <c r="I12065" t="s">
        <v>10847</v>
      </c>
      <c r="J12065" t="s">
        <v>38561</v>
      </c>
      <c r="K12065" t="s">
        <v>40286</v>
      </c>
      <c r="M12065" t="s">
        <v>42917</v>
      </c>
      <c r="N12065" t="s">
        <v>44759</v>
      </c>
      <c r="O12065" t="s">
        <v>44760</v>
      </c>
      <c r="P12065">
        <v>0</v>
      </c>
      <c r="Q12065">
        <v>1</v>
      </c>
      <c r="R12065" t="s">
        <v>44775</v>
      </c>
      <c r="S12065" t="s">
        <v>45343</v>
      </c>
      <c r="T12065" t="s">
        <v>46425</v>
      </c>
      <c r="U12065" t="s">
        <v>48718</v>
      </c>
      <c r="W12065" t="s">
        <v>42917</v>
      </c>
      <c r="X12065" t="s">
        <v>44776</v>
      </c>
    </row>
    <row r="12066" spans="1:24">
      <c r="A12066">
        <f>HYPERLINK("https://www.philgeps.gov.ph/GEPSNONPILOT/Tender/SplashBidNoticeAbstractUI.aspx?menuIndex=3&amp;refID=7125526&amp;Result=3","7125526")</f>
        <v>0</v>
      </c>
      <c r="B12066" t="s">
        <v>629</v>
      </c>
      <c r="C12066" t="s">
        <v>15228</v>
      </c>
      <c r="D12066" t="s">
        <v>17992</v>
      </c>
      <c r="E12066" t="s">
        <v>28459</v>
      </c>
      <c r="F12066" t="s">
        <v>30900</v>
      </c>
      <c r="G12066" t="s">
        <v>30907</v>
      </c>
      <c r="H12066" t="s">
        <v>30916</v>
      </c>
      <c r="I12066" t="s">
        <v>10961</v>
      </c>
      <c r="J12066" t="s">
        <v>31152</v>
      </c>
      <c r="K12066" t="s">
        <v>40286</v>
      </c>
      <c r="M12066" t="s">
        <v>41195</v>
      </c>
      <c r="N12066" t="s">
        <v>44759</v>
      </c>
      <c r="O12066" t="s">
        <v>44760</v>
      </c>
      <c r="P12066">
        <v>0</v>
      </c>
      <c r="Q12066">
        <v>4</v>
      </c>
      <c r="R12066" t="s">
        <v>44775</v>
      </c>
      <c r="S12066" t="s">
        <v>45343</v>
      </c>
      <c r="T12066" t="s">
        <v>46613</v>
      </c>
      <c r="U12066" t="s">
        <v>56870</v>
      </c>
      <c r="V12066" t="s">
        <v>59226</v>
      </c>
      <c r="W12066" t="s">
        <v>41195</v>
      </c>
      <c r="X12066" t="s">
        <v>44776</v>
      </c>
    </row>
    <row r="12067" spans="1:24">
      <c r="A12067">
        <f>HYPERLINK("https://www.philgeps.gov.ph/GEPSNONPILOT/Tender/SplashBidNoticeAbstractUI.aspx?menuIndex=3&amp;refID=7125715&amp;Result=3","7125715")</f>
        <v>0</v>
      </c>
      <c r="B12067" t="s">
        <v>3457</v>
      </c>
      <c r="C12067" t="s">
        <v>15229</v>
      </c>
      <c r="D12067" t="s">
        <v>17951</v>
      </c>
      <c r="E12067" t="s">
        <v>28460</v>
      </c>
      <c r="F12067" t="s">
        <v>30900</v>
      </c>
      <c r="G12067" t="s">
        <v>30907</v>
      </c>
      <c r="H12067" t="s">
        <v>30915</v>
      </c>
      <c r="I12067" t="s">
        <v>30919</v>
      </c>
      <c r="J12067" t="s">
        <v>38562</v>
      </c>
      <c r="K12067" t="s">
        <v>40398</v>
      </c>
      <c r="M12067" t="s">
        <v>44344</v>
      </c>
      <c r="N12067" t="s">
        <v>44759</v>
      </c>
      <c r="O12067" t="s">
        <v>44760</v>
      </c>
      <c r="P12067">
        <v>0</v>
      </c>
      <c r="Q12067">
        <v>1</v>
      </c>
      <c r="R12067" t="s">
        <v>44775</v>
      </c>
      <c r="S12067" t="s">
        <v>45343</v>
      </c>
      <c r="T12067" t="s">
        <v>46404</v>
      </c>
      <c r="U12067" t="s">
        <v>56871</v>
      </c>
      <c r="W12067" t="s">
        <v>44344</v>
      </c>
      <c r="X12067" t="s">
        <v>44776</v>
      </c>
    </row>
    <row r="12068" spans="1:24">
      <c r="A12068">
        <f>HYPERLINK("https://www.philgeps.gov.ph/GEPSNONPILOT/Tender/SplashBidNoticeAbstractUI.aspx?menuIndex=3&amp;refID=7125758&amp;Result=3","7125758")</f>
        <v>0</v>
      </c>
      <c r="B12068" t="s">
        <v>2209</v>
      </c>
      <c r="C12068" t="s">
        <v>15230</v>
      </c>
      <c r="D12068" t="s">
        <v>17959</v>
      </c>
      <c r="E12068" t="s">
        <v>15230</v>
      </c>
      <c r="F12068" t="s">
        <v>30900</v>
      </c>
      <c r="G12068" t="s">
        <v>30907</v>
      </c>
      <c r="H12068" t="s">
        <v>30916</v>
      </c>
      <c r="I12068" t="s">
        <v>9385</v>
      </c>
      <c r="J12068" t="s">
        <v>31152</v>
      </c>
      <c r="K12068" t="s">
        <v>40286</v>
      </c>
      <c r="M12068" t="s">
        <v>42917</v>
      </c>
      <c r="N12068" t="s">
        <v>44759</v>
      </c>
      <c r="O12068" t="s">
        <v>44760</v>
      </c>
      <c r="P12068">
        <v>0</v>
      </c>
      <c r="Q12068">
        <v>14</v>
      </c>
      <c r="R12068" t="s">
        <v>44775</v>
      </c>
      <c r="S12068" t="s">
        <v>45343</v>
      </c>
      <c r="T12068" t="s">
        <v>46425</v>
      </c>
      <c r="U12068" t="s">
        <v>56864</v>
      </c>
      <c r="W12068" t="s">
        <v>42917</v>
      </c>
      <c r="X12068" t="s">
        <v>44776</v>
      </c>
    </row>
    <row r="12069" spans="1:24">
      <c r="A12069">
        <f>HYPERLINK("https://www.philgeps.gov.ph/GEPSNONPILOT/Tender/SplashBidNoticeAbstractUI.aspx?menuIndex=3&amp;refID=7125583&amp;Result=3","7125583")</f>
        <v>0</v>
      </c>
      <c r="B12069" t="s">
        <v>3441</v>
      </c>
      <c r="C12069" t="s">
        <v>15231</v>
      </c>
      <c r="D12069" t="s">
        <v>17978</v>
      </c>
      <c r="E12069" t="s">
        <v>28461</v>
      </c>
      <c r="F12069" t="s">
        <v>30900</v>
      </c>
      <c r="G12069" t="s">
        <v>30907</v>
      </c>
      <c r="H12069" t="s">
        <v>30915</v>
      </c>
      <c r="I12069" t="s">
        <v>30919</v>
      </c>
      <c r="J12069" t="s">
        <v>38563</v>
      </c>
      <c r="K12069" t="s">
        <v>40295</v>
      </c>
      <c r="M12069" t="s">
        <v>44322</v>
      </c>
      <c r="N12069" t="s">
        <v>44759</v>
      </c>
      <c r="O12069" t="s">
        <v>44760</v>
      </c>
      <c r="P12069">
        <v>0</v>
      </c>
      <c r="Q12069">
        <v>2</v>
      </c>
      <c r="R12069" t="s">
        <v>44775</v>
      </c>
      <c r="S12069" t="s">
        <v>45343</v>
      </c>
      <c r="T12069" t="s">
        <v>46404</v>
      </c>
      <c r="U12069" t="s">
        <v>56872</v>
      </c>
      <c r="V12069" t="s">
        <v>59331</v>
      </c>
      <c r="W12069" t="s">
        <v>44322</v>
      </c>
      <c r="X12069" t="s">
        <v>44776</v>
      </c>
    </row>
    <row r="12070" spans="1:24">
      <c r="A12070">
        <f>HYPERLINK("https://www.philgeps.gov.ph/GEPSNONPILOT/Tender/SplashBidNoticeAbstractUI.aspx?menuIndex=3&amp;refID=7125756&amp;Result=3","7125756")</f>
        <v>0</v>
      </c>
      <c r="B12070" t="s">
        <v>627</v>
      </c>
      <c r="C12070" t="s">
        <v>15232</v>
      </c>
      <c r="D12070" t="s">
        <v>17952</v>
      </c>
      <c r="E12070" t="s">
        <v>28462</v>
      </c>
      <c r="F12070" t="s">
        <v>30900</v>
      </c>
      <c r="G12070" t="s">
        <v>30907</v>
      </c>
      <c r="H12070" t="s">
        <v>30915</v>
      </c>
      <c r="I12070" t="s">
        <v>30919</v>
      </c>
      <c r="J12070" t="s">
        <v>38564</v>
      </c>
      <c r="K12070" t="s">
        <v>40280</v>
      </c>
      <c r="M12070" t="s">
        <v>41189</v>
      </c>
      <c r="N12070" t="s">
        <v>44759</v>
      </c>
      <c r="O12070" t="s">
        <v>44760</v>
      </c>
      <c r="P12070">
        <v>0</v>
      </c>
      <c r="Q12070">
        <v>1</v>
      </c>
      <c r="R12070" t="s">
        <v>44775</v>
      </c>
      <c r="S12070" t="s">
        <v>45343</v>
      </c>
      <c r="T12070" t="s">
        <v>46357</v>
      </c>
      <c r="U12070" t="s">
        <v>56873</v>
      </c>
      <c r="V12070" t="s">
        <v>60492</v>
      </c>
      <c r="W12070" t="s">
        <v>41189</v>
      </c>
      <c r="X12070" t="s">
        <v>44776</v>
      </c>
    </row>
    <row r="12071" spans="1:24">
      <c r="A12071">
        <f>HYPERLINK("https://www.philgeps.gov.ph/GEPSNONPILOT/Tender/SplashBidNoticeAbstractUI.aspx?menuIndex=3&amp;refID=7125740&amp;Result=3","7125740")</f>
        <v>0</v>
      </c>
      <c r="B12071" t="s">
        <v>231</v>
      </c>
      <c r="C12071" t="s">
        <v>15233</v>
      </c>
      <c r="D12071" t="s">
        <v>17957</v>
      </c>
      <c r="E12071" t="s">
        <v>28463</v>
      </c>
      <c r="F12071" t="s">
        <v>30900</v>
      </c>
      <c r="G12071" t="s">
        <v>30907</v>
      </c>
      <c r="H12071" t="s">
        <v>30916</v>
      </c>
      <c r="I12071" t="s">
        <v>4108</v>
      </c>
      <c r="J12071" t="s">
        <v>38565</v>
      </c>
      <c r="K12071" t="s">
        <v>40286</v>
      </c>
      <c r="M12071" t="s">
        <v>40778</v>
      </c>
      <c r="N12071" t="s">
        <v>44759</v>
      </c>
      <c r="O12071" t="s">
        <v>44760</v>
      </c>
      <c r="P12071">
        <v>0</v>
      </c>
      <c r="Q12071">
        <v>3</v>
      </c>
      <c r="R12071" t="s">
        <v>44775</v>
      </c>
      <c r="S12071" t="s">
        <v>45343</v>
      </c>
      <c r="T12071" t="s">
        <v>46389</v>
      </c>
      <c r="U12071" t="s">
        <v>56874</v>
      </c>
      <c r="W12071" t="s">
        <v>40778</v>
      </c>
      <c r="X12071" t="s">
        <v>44776</v>
      </c>
    </row>
    <row r="12072" spans="1:24">
      <c r="A12072">
        <f>HYPERLINK("https://www.philgeps.gov.ph/GEPSNONPILOT/Tender/SplashBidNoticeAbstractUI.aspx?menuIndex=3&amp;refID=7125729&amp;Result=3","7125729")</f>
        <v>0</v>
      </c>
      <c r="B12072" t="s">
        <v>1531</v>
      </c>
      <c r="C12072" t="s">
        <v>15234</v>
      </c>
      <c r="D12072" t="s">
        <v>17959</v>
      </c>
      <c r="E12072" t="s">
        <v>28464</v>
      </c>
      <c r="F12072" t="s">
        <v>30900</v>
      </c>
      <c r="G12072" t="s">
        <v>30907</v>
      </c>
      <c r="H12072" t="s">
        <v>30915</v>
      </c>
      <c r="I12072" t="s">
        <v>30919</v>
      </c>
      <c r="J12072" t="s">
        <v>38566</v>
      </c>
      <c r="K12072" t="s">
        <v>40342</v>
      </c>
      <c r="M12072" t="s">
        <v>42174</v>
      </c>
      <c r="N12072" t="s">
        <v>44759</v>
      </c>
      <c r="O12072" t="s">
        <v>44760</v>
      </c>
      <c r="Q12072">
        <v>10</v>
      </c>
      <c r="R12072" t="s">
        <v>44775</v>
      </c>
      <c r="S12072" t="s">
        <v>45419</v>
      </c>
      <c r="T12072" t="s">
        <v>46606</v>
      </c>
      <c r="U12072" t="s">
        <v>54782</v>
      </c>
      <c r="W12072" t="s">
        <v>42174</v>
      </c>
      <c r="X12072" t="s">
        <v>44776</v>
      </c>
    </row>
    <row r="12073" spans="1:24">
      <c r="A12073">
        <f>HYPERLINK("https://www.philgeps.gov.ph/GEPSNONPILOT/Tender/SplashBidNoticeAbstractUI.aspx?menuIndex=3&amp;refID=7125683&amp;Result=3","7125683")</f>
        <v>0</v>
      </c>
      <c r="B12073" t="s">
        <v>3458</v>
      </c>
      <c r="C12073" t="s">
        <v>15235</v>
      </c>
      <c r="D12073" t="s">
        <v>18000</v>
      </c>
      <c r="E12073" t="s">
        <v>22992</v>
      </c>
      <c r="F12073" t="s">
        <v>30900</v>
      </c>
      <c r="G12073" t="s">
        <v>30907</v>
      </c>
      <c r="H12073" t="s">
        <v>30915</v>
      </c>
      <c r="I12073" t="s">
        <v>30919</v>
      </c>
      <c r="J12073" t="s">
        <v>38567</v>
      </c>
      <c r="K12073" t="s">
        <v>40289</v>
      </c>
      <c r="M12073" t="s">
        <v>44345</v>
      </c>
      <c r="N12073" t="s">
        <v>44759</v>
      </c>
      <c r="O12073" t="s">
        <v>44760</v>
      </c>
      <c r="P12073">
        <v>0</v>
      </c>
      <c r="Q12073">
        <v>6</v>
      </c>
      <c r="R12073" t="s">
        <v>44775</v>
      </c>
      <c r="S12073" t="s">
        <v>45343</v>
      </c>
      <c r="T12073" t="s">
        <v>46376</v>
      </c>
      <c r="U12073" t="s">
        <v>56875</v>
      </c>
      <c r="V12073" t="s">
        <v>60493</v>
      </c>
      <c r="W12073" t="s">
        <v>44345</v>
      </c>
      <c r="X12073" t="s">
        <v>44776</v>
      </c>
    </row>
    <row r="12074" spans="1:24">
      <c r="A12074">
        <f>HYPERLINK("https://www.philgeps.gov.ph/GEPSNONPILOT/Tender/SplashBidNoticeAbstractUI.aspx?menuIndex=3&amp;refID=7125674&amp;Result=3","7125674")</f>
        <v>0</v>
      </c>
      <c r="B12074" t="s">
        <v>3452</v>
      </c>
      <c r="C12074" t="s">
        <v>15236</v>
      </c>
      <c r="D12074" t="s">
        <v>17989</v>
      </c>
      <c r="E12074" t="s">
        <v>28465</v>
      </c>
      <c r="F12074" t="s">
        <v>30900</v>
      </c>
      <c r="G12074" t="s">
        <v>30907</v>
      </c>
      <c r="H12074" t="s">
        <v>30915</v>
      </c>
      <c r="I12074" t="s">
        <v>30919</v>
      </c>
      <c r="J12074" t="s">
        <v>31152</v>
      </c>
      <c r="K12074" t="s">
        <v>40325</v>
      </c>
      <c r="M12074" t="s">
        <v>44336</v>
      </c>
      <c r="N12074" t="s">
        <v>44759</v>
      </c>
      <c r="O12074" t="s">
        <v>44760</v>
      </c>
      <c r="P12074">
        <v>0</v>
      </c>
      <c r="Q12074">
        <v>1</v>
      </c>
      <c r="R12074" t="s">
        <v>44775</v>
      </c>
      <c r="S12074" t="s">
        <v>45343</v>
      </c>
      <c r="T12074" t="s">
        <v>46900</v>
      </c>
      <c r="U12074" t="s">
        <v>56876</v>
      </c>
      <c r="W12074" t="s">
        <v>44336</v>
      </c>
      <c r="X12074" t="s">
        <v>44776</v>
      </c>
    </row>
    <row r="12075" spans="1:24">
      <c r="A12075">
        <f>HYPERLINK("https://www.philgeps.gov.ph/GEPSNONPILOT/Tender/SplashBidNoticeAbstractUI.aspx?menuIndex=3&amp;refID=7125663&amp;Result=3","7125663")</f>
        <v>0</v>
      </c>
      <c r="B12075" t="s">
        <v>3441</v>
      </c>
      <c r="C12075" t="s">
        <v>15237</v>
      </c>
      <c r="D12075" t="s">
        <v>17978</v>
      </c>
      <c r="E12075" t="s">
        <v>28466</v>
      </c>
      <c r="F12075" t="s">
        <v>30900</v>
      </c>
      <c r="G12075" t="s">
        <v>30907</v>
      </c>
      <c r="H12075" t="s">
        <v>30915</v>
      </c>
      <c r="I12075" t="s">
        <v>30919</v>
      </c>
      <c r="J12075" t="s">
        <v>31701</v>
      </c>
      <c r="K12075" t="s">
        <v>40509</v>
      </c>
      <c r="M12075" t="s">
        <v>44322</v>
      </c>
      <c r="N12075" t="s">
        <v>44759</v>
      </c>
      <c r="O12075" t="s">
        <v>44760</v>
      </c>
      <c r="P12075">
        <v>0</v>
      </c>
      <c r="Q12075">
        <v>2</v>
      </c>
      <c r="R12075" t="s">
        <v>44775</v>
      </c>
      <c r="S12075" t="s">
        <v>45343</v>
      </c>
      <c r="T12075" t="s">
        <v>46404</v>
      </c>
      <c r="U12075" t="s">
        <v>56877</v>
      </c>
      <c r="V12075" t="s">
        <v>59331</v>
      </c>
      <c r="W12075" t="s">
        <v>44322</v>
      </c>
      <c r="X12075" t="s">
        <v>44776</v>
      </c>
    </row>
    <row r="12076" spans="1:24">
      <c r="A12076">
        <f>HYPERLINK("https://www.philgeps.gov.ph/GEPSNONPILOT/Tender/SplashBidNoticeAbstractUI.aspx?menuIndex=3&amp;refID=7125582&amp;Result=3","7125582")</f>
        <v>0</v>
      </c>
      <c r="B12076" t="s">
        <v>2094</v>
      </c>
      <c r="C12076" t="s">
        <v>15238</v>
      </c>
      <c r="D12076" t="s">
        <v>17962</v>
      </c>
      <c r="E12076" t="s">
        <v>28467</v>
      </c>
      <c r="F12076" t="s">
        <v>30900</v>
      </c>
      <c r="G12076" t="s">
        <v>30907</v>
      </c>
      <c r="H12076" t="s">
        <v>30916</v>
      </c>
      <c r="I12076" t="s">
        <v>5501</v>
      </c>
      <c r="J12076" t="s">
        <v>38568</v>
      </c>
      <c r="K12076" t="s">
        <v>40283</v>
      </c>
      <c r="M12076" t="s">
        <v>42793</v>
      </c>
      <c r="N12076" t="s">
        <v>44759</v>
      </c>
      <c r="O12076" t="s">
        <v>44760</v>
      </c>
      <c r="P12076">
        <v>0</v>
      </c>
      <c r="Q12076">
        <v>2</v>
      </c>
      <c r="R12076" t="s">
        <v>44775</v>
      </c>
      <c r="S12076" t="s">
        <v>45343</v>
      </c>
      <c r="T12076" t="s">
        <v>46421</v>
      </c>
      <c r="U12076" t="s">
        <v>56878</v>
      </c>
      <c r="V12076" t="s">
        <v>60494</v>
      </c>
      <c r="W12076" t="s">
        <v>42793</v>
      </c>
      <c r="X12076" t="s">
        <v>44776</v>
      </c>
    </row>
    <row r="12077" spans="1:24">
      <c r="A12077">
        <f>HYPERLINK("https://www.philgeps.gov.ph/GEPSNONPILOT/Tender/SplashBidNoticeAbstractUI.aspx?menuIndex=3&amp;refID=7125709&amp;Result=3","7125709")</f>
        <v>0</v>
      </c>
      <c r="B12077" t="s">
        <v>2209</v>
      </c>
      <c r="C12077" t="s">
        <v>15239</v>
      </c>
      <c r="D12077" t="s">
        <v>17959</v>
      </c>
      <c r="E12077" t="s">
        <v>15239</v>
      </c>
      <c r="F12077" t="s">
        <v>30900</v>
      </c>
      <c r="G12077" t="s">
        <v>30907</v>
      </c>
      <c r="H12077" t="s">
        <v>30916</v>
      </c>
      <c r="I12077" t="s">
        <v>10847</v>
      </c>
      <c r="J12077" t="s">
        <v>31066</v>
      </c>
      <c r="K12077" t="s">
        <v>40286</v>
      </c>
      <c r="M12077" t="s">
        <v>42917</v>
      </c>
      <c r="N12077" t="s">
        <v>44759</v>
      </c>
      <c r="O12077" t="s">
        <v>44760</v>
      </c>
      <c r="P12077">
        <v>0</v>
      </c>
      <c r="Q12077">
        <v>0</v>
      </c>
      <c r="R12077" t="s">
        <v>44775</v>
      </c>
      <c r="S12077" t="s">
        <v>45343</v>
      </c>
      <c r="T12077" t="s">
        <v>46425</v>
      </c>
      <c r="U12077" t="s">
        <v>48718</v>
      </c>
      <c r="W12077" t="s">
        <v>42917</v>
      </c>
      <c r="X12077" t="s">
        <v>44776</v>
      </c>
    </row>
    <row r="12078" spans="1:24">
      <c r="A12078">
        <f>HYPERLINK("https://www.philgeps.gov.ph/GEPSNONPILOT/Tender/SplashBidNoticeAbstractUI.aspx?menuIndex=3&amp;refID=7125580&amp;Result=3","7125580")</f>
        <v>0</v>
      </c>
      <c r="B12078" t="s">
        <v>921</v>
      </c>
      <c r="C12078" t="s">
        <v>15240</v>
      </c>
      <c r="D12078" t="s">
        <v>17975</v>
      </c>
      <c r="E12078" t="s">
        <v>28468</v>
      </c>
      <c r="F12078" t="s">
        <v>30900</v>
      </c>
      <c r="G12078" t="s">
        <v>30907</v>
      </c>
      <c r="H12078" t="s">
        <v>30916</v>
      </c>
      <c r="I12078" t="s">
        <v>30930</v>
      </c>
      <c r="J12078" t="s">
        <v>31153</v>
      </c>
      <c r="K12078" t="s">
        <v>40286</v>
      </c>
      <c r="M12078" t="s">
        <v>41501</v>
      </c>
      <c r="N12078" t="s">
        <v>44759</v>
      </c>
      <c r="O12078" t="s">
        <v>44760</v>
      </c>
      <c r="P12078">
        <v>0</v>
      </c>
      <c r="Q12078">
        <v>8</v>
      </c>
      <c r="R12078" t="s">
        <v>44775</v>
      </c>
      <c r="S12078" t="s">
        <v>45343</v>
      </c>
      <c r="T12078" t="s">
        <v>46404</v>
      </c>
      <c r="U12078" t="s">
        <v>56879</v>
      </c>
      <c r="W12078" t="s">
        <v>41501</v>
      </c>
      <c r="X12078" t="s">
        <v>44776</v>
      </c>
    </row>
    <row r="12079" spans="1:24">
      <c r="A12079">
        <f>HYPERLINK("https://www.philgeps.gov.ph/GEPSNONPILOT/Tender/SplashBidNoticeAbstractUI.aspx?menuIndex=3&amp;refID=7125573&amp;Result=3","7125573")</f>
        <v>0</v>
      </c>
      <c r="B12079" t="s">
        <v>1818</v>
      </c>
      <c r="C12079" t="s">
        <v>15241</v>
      </c>
      <c r="D12079" t="s">
        <v>18053</v>
      </c>
      <c r="E12079" t="s">
        <v>28469</v>
      </c>
      <c r="F12079" t="s">
        <v>30900</v>
      </c>
      <c r="G12079" t="s">
        <v>30907</v>
      </c>
      <c r="H12079" t="s">
        <v>30916</v>
      </c>
      <c r="I12079" t="s">
        <v>30983</v>
      </c>
      <c r="J12079" t="s">
        <v>38569</v>
      </c>
      <c r="K12079" t="s">
        <v>40293</v>
      </c>
      <c r="M12079" t="s">
        <v>44346</v>
      </c>
      <c r="N12079" t="s">
        <v>44759</v>
      </c>
      <c r="O12079" t="s">
        <v>44760</v>
      </c>
      <c r="P12079">
        <v>0</v>
      </c>
      <c r="Q12079">
        <v>6</v>
      </c>
      <c r="R12079" t="s">
        <v>44775</v>
      </c>
      <c r="S12079" t="s">
        <v>45343</v>
      </c>
      <c r="T12079" t="s">
        <v>46351</v>
      </c>
      <c r="U12079" t="s">
        <v>56880</v>
      </c>
      <c r="V12079" t="s">
        <v>60495</v>
      </c>
      <c r="W12079" t="s">
        <v>44346</v>
      </c>
      <c r="X12079" t="s">
        <v>44776</v>
      </c>
    </row>
    <row r="12080" spans="1:24">
      <c r="A12080">
        <f>HYPERLINK("https://www.philgeps.gov.ph/GEPSNONPILOT/Tender/SplashBidNoticeAbstractUI.aspx?menuIndex=3&amp;refID=7125566&amp;Result=3","7125566")</f>
        <v>0</v>
      </c>
      <c r="B12080" t="s">
        <v>3373</v>
      </c>
      <c r="C12080" t="s">
        <v>15242</v>
      </c>
      <c r="D12080" t="s">
        <v>17985</v>
      </c>
      <c r="E12080" t="s">
        <v>20235</v>
      </c>
      <c r="F12080" t="s">
        <v>30900</v>
      </c>
      <c r="G12080" t="s">
        <v>30908</v>
      </c>
      <c r="H12080" t="s">
        <v>30915</v>
      </c>
      <c r="I12080" t="s">
        <v>30948</v>
      </c>
      <c r="J12080" t="s">
        <v>33038</v>
      </c>
      <c r="K12080" t="s">
        <v>40280</v>
      </c>
      <c r="M12080" t="s">
        <v>44347</v>
      </c>
      <c r="N12080" t="s">
        <v>44759</v>
      </c>
      <c r="O12080" t="s">
        <v>44760</v>
      </c>
      <c r="Q12080">
        <v>0</v>
      </c>
      <c r="R12080" t="s">
        <v>44775</v>
      </c>
      <c r="S12080" t="s">
        <v>45420</v>
      </c>
      <c r="T12080" t="s">
        <v>46363</v>
      </c>
      <c r="U12080" t="s">
        <v>56881</v>
      </c>
      <c r="V12080" t="s">
        <v>60496</v>
      </c>
      <c r="W12080" t="s">
        <v>44347</v>
      </c>
      <c r="X12080" t="s">
        <v>44776</v>
      </c>
    </row>
    <row r="12081" spans="1:24">
      <c r="A12081">
        <f>HYPERLINK("https://www.philgeps.gov.ph/GEPSNONPILOT/Tender/SplashBidNoticeAbstractUI.aspx?menuIndex=3&amp;refID=7125499&amp;Result=3","7125499")</f>
        <v>0</v>
      </c>
      <c r="B12081" t="s">
        <v>3450</v>
      </c>
      <c r="C12081" t="s">
        <v>15243</v>
      </c>
      <c r="D12081" t="s">
        <v>18052</v>
      </c>
      <c r="E12081" t="s">
        <v>28470</v>
      </c>
      <c r="F12081" t="s">
        <v>30900</v>
      </c>
      <c r="G12081" t="s">
        <v>30907</v>
      </c>
      <c r="H12081" t="s">
        <v>30916</v>
      </c>
      <c r="I12081" t="s">
        <v>4061</v>
      </c>
      <c r="J12081" t="s">
        <v>36286</v>
      </c>
      <c r="K12081" t="s">
        <v>40280</v>
      </c>
      <c r="M12081" t="s">
        <v>44333</v>
      </c>
      <c r="N12081" t="s">
        <v>44759</v>
      </c>
      <c r="O12081" t="s">
        <v>44760</v>
      </c>
      <c r="Q12081">
        <v>6</v>
      </c>
      <c r="R12081" t="s">
        <v>44775</v>
      </c>
      <c r="S12081" t="s">
        <v>45421</v>
      </c>
      <c r="T12081" t="s">
        <v>46389</v>
      </c>
      <c r="U12081" t="s">
        <v>56882</v>
      </c>
      <c r="V12081" t="s">
        <v>60497</v>
      </c>
      <c r="W12081" t="s">
        <v>44333</v>
      </c>
      <c r="X12081" t="s">
        <v>44776</v>
      </c>
    </row>
    <row r="12082" spans="1:24">
      <c r="A12082">
        <f>HYPERLINK("https://www.philgeps.gov.ph/GEPSNONPILOT/Tender/SplashBidNoticeAbstractUI.aspx?menuIndex=3&amp;refID=7125667&amp;Result=3","7125667")</f>
        <v>0</v>
      </c>
      <c r="B12082" t="s">
        <v>2899</v>
      </c>
      <c r="C12082" t="s">
        <v>15244</v>
      </c>
      <c r="D12082" t="s">
        <v>17952</v>
      </c>
      <c r="E12082" t="s">
        <v>25957</v>
      </c>
      <c r="F12082" t="s">
        <v>30900</v>
      </c>
      <c r="G12082" t="s">
        <v>30907</v>
      </c>
      <c r="H12082" t="s">
        <v>30916</v>
      </c>
      <c r="I12082" t="s">
        <v>30933</v>
      </c>
      <c r="J12082" t="s">
        <v>31069</v>
      </c>
      <c r="K12082" t="s">
        <v>40292</v>
      </c>
      <c r="M12082" t="s">
        <v>43692</v>
      </c>
      <c r="N12082" t="s">
        <v>44759</v>
      </c>
      <c r="O12082" t="s">
        <v>44760</v>
      </c>
      <c r="P12082">
        <v>0</v>
      </c>
      <c r="Q12082">
        <v>4</v>
      </c>
      <c r="R12082" t="s">
        <v>44775</v>
      </c>
      <c r="S12082" t="s">
        <v>45343</v>
      </c>
      <c r="T12082" t="s">
        <v>46583</v>
      </c>
      <c r="U12082" t="s">
        <v>56883</v>
      </c>
      <c r="W12082" t="s">
        <v>43692</v>
      </c>
      <c r="X12082" t="s">
        <v>44776</v>
      </c>
    </row>
    <row r="12083" spans="1:24">
      <c r="A12083">
        <f>HYPERLINK("https://www.philgeps.gov.ph/GEPSNONPILOT/Tender/SplashBidNoticeAbstractUI.aspx?menuIndex=3&amp;refID=7125476&amp;Result=3","7125476")</f>
        <v>0</v>
      </c>
      <c r="B12083" t="s">
        <v>3441</v>
      </c>
      <c r="C12083" t="s">
        <v>15245</v>
      </c>
      <c r="D12083" t="s">
        <v>17978</v>
      </c>
      <c r="E12083" t="s">
        <v>28471</v>
      </c>
      <c r="F12083" t="s">
        <v>30900</v>
      </c>
      <c r="G12083" t="s">
        <v>30907</v>
      </c>
      <c r="H12083" t="s">
        <v>30915</v>
      </c>
      <c r="I12083" t="s">
        <v>30919</v>
      </c>
      <c r="J12083" t="s">
        <v>38101</v>
      </c>
      <c r="K12083" t="s">
        <v>40280</v>
      </c>
      <c r="M12083" t="s">
        <v>44322</v>
      </c>
      <c r="N12083" t="s">
        <v>44759</v>
      </c>
      <c r="O12083" t="s">
        <v>44760</v>
      </c>
      <c r="P12083">
        <v>0</v>
      </c>
      <c r="Q12083">
        <v>3</v>
      </c>
      <c r="R12083" t="s">
        <v>44775</v>
      </c>
      <c r="S12083" t="s">
        <v>45343</v>
      </c>
      <c r="T12083" t="s">
        <v>46404</v>
      </c>
      <c r="U12083" t="s">
        <v>56884</v>
      </c>
      <c r="V12083" t="s">
        <v>59331</v>
      </c>
      <c r="W12083" t="s">
        <v>44322</v>
      </c>
      <c r="X12083" t="s">
        <v>44776</v>
      </c>
    </row>
    <row r="12084" spans="1:24">
      <c r="A12084">
        <f>HYPERLINK("https://www.philgeps.gov.ph/GEPSNONPILOT/Tender/SplashBidNoticeAbstractUI.aspx?menuIndex=3&amp;refID=7125574&amp;Result=3","7125574")</f>
        <v>0</v>
      </c>
      <c r="B12084" t="s">
        <v>187</v>
      </c>
      <c r="C12084" t="s">
        <v>15246</v>
      </c>
      <c r="D12084" t="s">
        <v>17952</v>
      </c>
      <c r="E12084" t="s">
        <v>25839</v>
      </c>
      <c r="F12084" t="s">
        <v>30900</v>
      </c>
      <c r="G12084" t="s">
        <v>30907</v>
      </c>
      <c r="H12084" t="s">
        <v>30915</v>
      </c>
      <c r="I12084" t="s">
        <v>30919</v>
      </c>
      <c r="J12084" t="s">
        <v>31188</v>
      </c>
      <c r="K12084" t="s">
        <v>40406</v>
      </c>
      <c r="M12084" t="s">
        <v>40734</v>
      </c>
      <c r="N12084" t="s">
        <v>44759</v>
      </c>
      <c r="O12084" t="s">
        <v>44760</v>
      </c>
      <c r="P12084">
        <v>0</v>
      </c>
      <c r="Q12084">
        <v>15</v>
      </c>
      <c r="R12084" t="s">
        <v>44775</v>
      </c>
      <c r="S12084" t="s">
        <v>45343</v>
      </c>
      <c r="T12084" t="s">
        <v>46530</v>
      </c>
      <c r="U12084" t="s">
        <v>56851</v>
      </c>
      <c r="W12084" t="s">
        <v>40734</v>
      </c>
      <c r="X12084" t="s">
        <v>44776</v>
      </c>
    </row>
    <row r="12085" spans="1:24">
      <c r="A12085">
        <f>HYPERLINK("https://www.philgeps.gov.ph/GEPSNONPILOT/Tender/SplashBidNoticeAbstractUI.aspx?menuIndex=3&amp;refID=7125703&amp;Result=3","7125703")</f>
        <v>0</v>
      </c>
      <c r="B12085" t="s">
        <v>1531</v>
      </c>
      <c r="C12085" t="s">
        <v>15247</v>
      </c>
      <c r="D12085" t="s">
        <v>17959</v>
      </c>
      <c r="E12085" t="s">
        <v>28472</v>
      </c>
      <c r="F12085" t="s">
        <v>30900</v>
      </c>
      <c r="G12085" t="s">
        <v>30907</v>
      </c>
      <c r="H12085" t="s">
        <v>30915</v>
      </c>
      <c r="I12085" t="s">
        <v>30919</v>
      </c>
      <c r="J12085" t="s">
        <v>38570</v>
      </c>
      <c r="K12085" t="s">
        <v>40328</v>
      </c>
      <c r="M12085" t="s">
        <v>42174</v>
      </c>
      <c r="N12085" t="s">
        <v>44759</v>
      </c>
      <c r="O12085" t="s">
        <v>44760</v>
      </c>
      <c r="Q12085">
        <v>10</v>
      </c>
      <c r="R12085" t="s">
        <v>44775</v>
      </c>
      <c r="S12085" t="s">
        <v>45422</v>
      </c>
      <c r="T12085" t="s">
        <v>46606</v>
      </c>
      <c r="U12085" t="s">
        <v>54782</v>
      </c>
      <c r="W12085" t="s">
        <v>42174</v>
      </c>
      <c r="X12085" t="s">
        <v>44776</v>
      </c>
    </row>
    <row r="12086" spans="1:24">
      <c r="A12086">
        <f>HYPERLINK("https://www.philgeps.gov.ph/GEPSNONPILOT/Tender/SplashBidNoticeAbstractUI.aspx?menuIndex=3&amp;refID=7125463&amp;Result=3","7125463")</f>
        <v>0</v>
      </c>
      <c r="B12086" t="s">
        <v>408</v>
      </c>
      <c r="C12086" t="s">
        <v>10573</v>
      </c>
      <c r="E12086" t="s">
        <v>28473</v>
      </c>
      <c r="F12086" t="s">
        <v>30900</v>
      </c>
      <c r="G12086" t="s">
        <v>30907</v>
      </c>
      <c r="H12086" t="s">
        <v>30916</v>
      </c>
      <c r="I12086" t="s">
        <v>30922</v>
      </c>
      <c r="J12086" t="s">
        <v>38571</v>
      </c>
      <c r="K12086" t="s">
        <v>40289</v>
      </c>
      <c r="M12086" t="s">
        <v>40964</v>
      </c>
      <c r="N12086" t="s">
        <v>44759</v>
      </c>
      <c r="O12086" t="s">
        <v>44760</v>
      </c>
      <c r="P12086">
        <v>0</v>
      </c>
      <c r="Q12086">
        <v>0</v>
      </c>
      <c r="R12086" t="s">
        <v>44775</v>
      </c>
      <c r="S12086" t="s">
        <v>45343</v>
      </c>
      <c r="T12086" t="s">
        <v>46484</v>
      </c>
      <c r="U12086" t="s">
        <v>56885</v>
      </c>
      <c r="W12086" t="s">
        <v>40964</v>
      </c>
      <c r="X12086" t="s">
        <v>44776</v>
      </c>
    </row>
    <row r="12087" spans="1:24">
      <c r="A12087">
        <f>HYPERLINK("https://www.philgeps.gov.ph/GEPSNONPILOT/Tender/SplashBidNoticeAbstractUI.aspx?menuIndex=3&amp;refID=7125461&amp;Result=3","7125461")</f>
        <v>0</v>
      </c>
      <c r="B12087" t="s">
        <v>3459</v>
      </c>
      <c r="C12087" t="s">
        <v>15248</v>
      </c>
      <c r="D12087" t="s">
        <v>17978</v>
      </c>
      <c r="E12087" t="s">
        <v>28474</v>
      </c>
      <c r="F12087" t="s">
        <v>30900</v>
      </c>
      <c r="G12087" t="s">
        <v>30907</v>
      </c>
      <c r="H12087" t="s">
        <v>30915</v>
      </c>
      <c r="I12087" t="s">
        <v>30919</v>
      </c>
      <c r="J12087" t="s">
        <v>33065</v>
      </c>
      <c r="K12087" t="s">
        <v>40286</v>
      </c>
      <c r="M12087" t="s">
        <v>44348</v>
      </c>
      <c r="N12087" t="s">
        <v>44759</v>
      </c>
      <c r="O12087" t="s">
        <v>44760</v>
      </c>
      <c r="P12087">
        <v>0</v>
      </c>
      <c r="Q12087">
        <v>0</v>
      </c>
      <c r="R12087" t="s">
        <v>44775</v>
      </c>
      <c r="S12087" t="s">
        <v>45343</v>
      </c>
      <c r="T12087" t="s">
        <v>46625</v>
      </c>
      <c r="U12087" t="s">
        <v>56886</v>
      </c>
      <c r="W12087" t="s">
        <v>44348</v>
      </c>
      <c r="X12087" t="s">
        <v>44776</v>
      </c>
    </row>
    <row r="12088" spans="1:24">
      <c r="A12088">
        <f>HYPERLINK("https://www.philgeps.gov.ph/GEPSNONPILOT/Tender/SplashBidNoticeAbstractUI.aspx?menuIndex=3&amp;refID=7125336&amp;Result=3","7125336")</f>
        <v>0</v>
      </c>
      <c r="B12088" t="s">
        <v>2829</v>
      </c>
      <c r="C12088" t="s">
        <v>15249</v>
      </c>
      <c r="D12088" t="s">
        <v>18035</v>
      </c>
      <c r="E12088" t="s">
        <v>24366</v>
      </c>
      <c r="F12088" t="s">
        <v>30900</v>
      </c>
      <c r="G12088" t="s">
        <v>30907</v>
      </c>
      <c r="H12088" t="s">
        <v>30915</v>
      </c>
      <c r="I12088" t="s">
        <v>30919</v>
      </c>
      <c r="J12088" t="s">
        <v>31241</v>
      </c>
      <c r="K12088" t="s">
        <v>40289</v>
      </c>
      <c r="M12088" t="s">
        <v>43614</v>
      </c>
      <c r="N12088" t="s">
        <v>44759</v>
      </c>
      <c r="O12088" t="s">
        <v>44760</v>
      </c>
      <c r="P12088">
        <v>0</v>
      </c>
      <c r="Q12088">
        <v>0</v>
      </c>
      <c r="R12088" t="s">
        <v>44775</v>
      </c>
      <c r="S12088" t="s">
        <v>45343</v>
      </c>
      <c r="T12088" t="s">
        <v>46425</v>
      </c>
      <c r="U12088" t="s">
        <v>56887</v>
      </c>
      <c r="W12088" t="s">
        <v>43614</v>
      </c>
      <c r="X12088" t="s">
        <v>44776</v>
      </c>
    </row>
    <row r="12089" spans="1:24">
      <c r="A12089">
        <f>HYPERLINK("https://www.philgeps.gov.ph/GEPSNONPILOT/Tender/SplashBidNoticeAbstractUI.aspx?menuIndex=3&amp;refID=7125335&amp;Result=3","7125335")</f>
        <v>0</v>
      </c>
      <c r="B12089" t="s">
        <v>812</v>
      </c>
      <c r="C12089" t="s">
        <v>15250</v>
      </c>
      <c r="D12089" t="s">
        <v>18028</v>
      </c>
      <c r="E12089" t="s">
        <v>28475</v>
      </c>
      <c r="F12089" t="s">
        <v>30900</v>
      </c>
      <c r="G12089" t="s">
        <v>30907</v>
      </c>
      <c r="H12089" t="s">
        <v>30916</v>
      </c>
      <c r="I12089" t="s">
        <v>30933</v>
      </c>
      <c r="J12089" t="s">
        <v>31391</v>
      </c>
      <c r="K12089" t="s">
        <v>40286</v>
      </c>
      <c r="M12089" t="s">
        <v>41383</v>
      </c>
      <c r="N12089" t="s">
        <v>44759</v>
      </c>
      <c r="O12089" t="s">
        <v>44760</v>
      </c>
      <c r="P12089">
        <v>0</v>
      </c>
      <c r="Q12089">
        <v>3</v>
      </c>
      <c r="R12089" t="s">
        <v>44775</v>
      </c>
      <c r="S12089" t="s">
        <v>45343</v>
      </c>
      <c r="T12089" t="s">
        <v>46389</v>
      </c>
      <c r="U12089" t="s">
        <v>56888</v>
      </c>
      <c r="W12089" t="s">
        <v>41383</v>
      </c>
      <c r="X12089" t="s">
        <v>44776</v>
      </c>
    </row>
    <row r="12090" spans="1:24">
      <c r="A12090">
        <f>HYPERLINK("https://www.philgeps.gov.ph/GEPSNONPILOT/Tender/SplashBidNoticeAbstractUI.aspx?menuIndex=3&amp;refID=7125204&amp;Result=3","7125204")</f>
        <v>0</v>
      </c>
      <c r="B12090" t="s">
        <v>3433</v>
      </c>
      <c r="C12090" t="s">
        <v>15251</v>
      </c>
      <c r="D12090" t="s">
        <v>17989</v>
      </c>
      <c r="E12090" t="s">
        <v>28476</v>
      </c>
      <c r="F12090" t="s">
        <v>30900</v>
      </c>
      <c r="G12090" t="s">
        <v>30907</v>
      </c>
      <c r="H12090" t="s">
        <v>30915</v>
      </c>
      <c r="I12090" t="s">
        <v>30919</v>
      </c>
      <c r="J12090" t="s">
        <v>31241</v>
      </c>
      <c r="K12090" t="s">
        <v>40335</v>
      </c>
      <c r="M12090" t="s">
        <v>44314</v>
      </c>
      <c r="N12090" t="s">
        <v>44759</v>
      </c>
      <c r="O12090" t="s">
        <v>44760</v>
      </c>
      <c r="P12090">
        <v>0</v>
      </c>
      <c r="Q12090">
        <v>4</v>
      </c>
      <c r="R12090" t="s">
        <v>44775</v>
      </c>
      <c r="S12090" t="s">
        <v>45343</v>
      </c>
      <c r="T12090" t="s">
        <v>46389</v>
      </c>
      <c r="U12090" t="s">
        <v>56778</v>
      </c>
      <c r="W12090" t="s">
        <v>44314</v>
      </c>
      <c r="X12090" t="s">
        <v>44776</v>
      </c>
    </row>
    <row r="12091" spans="1:24">
      <c r="A12091">
        <f>HYPERLINK("https://www.philgeps.gov.ph/GEPSNONPILOT/Tender/SplashBidNoticeAbstractUI.aspx?menuIndex=3&amp;refID=7125200&amp;Result=3","7125200")</f>
        <v>0</v>
      </c>
      <c r="B12091" t="s">
        <v>1119</v>
      </c>
      <c r="C12091" t="s">
        <v>15252</v>
      </c>
      <c r="D12091" t="s">
        <v>18038</v>
      </c>
      <c r="E12091" t="s">
        <v>28477</v>
      </c>
      <c r="F12091" t="s">
        <v>30900</v>
      </c>
      <c r="G12091" t="s">
        <v>30907</v>
      </c>
      <c r="H12091" t="s">
        <v>30916</v>
      </c>
      <c r="I12091" t="s">
        <v>30939</v>
      </c>
      <c r="J12091" t="s">
        <v>38572</v>
      </c>
      <c r="K12091" t="s">
        <v>40319</v>
      </c>
      <c r="M12091" t="s">
        <v>42602</v>
      </c>
      <c r="N12091" t="s">
        <v>44759</v>
      </c>
      <c r="O12091" t="s">
        <v>44760</v>
      </c>
      <c r="Q12091">
        <v>6</v>
      </c>
      <c r="R12091" t="s">
        <v>44775</v>
      </c>
      <c r="S12091" t="s">
        <v>45423</v>
      </c>
      <c r="T12091" t="s">
        <v>46351</v>
      </c>
      <c r="U12091" t="s">
        <v>56889</v>
      </c>
      <c r="V12091" t="s">
        <v>60498</v>
      </c>
      <c r="W12091" t="s">
        <v>42602</v>
      </c>
      <c r="X12091" t="s">
        <v>44776</v>
      </c>
    </row>
    <row r="12092" spans="1:24">
      <c r="A12092">
        <f>HYPERLINK("https://www.philgeps.gov.ph/GEPSNONPILOT/Tender/SplashBidNoticeAbstractUI.aspx?menuIndex=3&amp;refID=7125337&amp;Result=3","7125337")</f>
        <v>0</v>
      </c>
      <c r="B12092" t="s">
        <v>3441</v>
      </c>
      <c r="C12092" t="s">
        <v>15253</v>
      </c>
      <c r="D12092" t="s">
        <v>17978</v>
      </c>
      <c r="E12092" t="s">
        <v>28478</v>
      </c>
      <c r="F12092" t="s">
        <v>30900</v>
      </c>
      <c r="G12092" t="s">
        <v>30907</v>
      </c>
      <c r="H12092" t="s">
        <v>30916</v>
      </c>
      <c r="I12092" t="s">
        <v>30936</v>
      </c>
      <c r="J12092" t="s">
        <v>38573</v>
      </c>
      <c r="K12092" t="s">
        <v>40283</v>
      </c>
      <c r="M12092" t="s">
        <v>44322</v>
      </c>
      <c r="N12092" t="s">
        <v>44759</v>
      </c>
      <c r="O12092" t="s">
        <v>44760</v>
      </c>
      <c r="P12092">
        <v>0</v>
      </c>
      <c r="Q12092">
        <v>0</v>
      </c>
      <c r="R12092" t="s">
        <v>44775</v>
      </c>
      <c r="S12092" t="s">
        <v>45343</v>
      </c>
      <c r="T12092" t="s">
        <v>46404</v>
      </c>
      <c r="U12092" t="s">
        <v>56890</v>
      </c>
      <c r="V12092" t="s">
        <v>59331</v>
      </c>
      <c r="W12092" t="s">
        <v>44322</v>
      </c>
      <c r="X12092" t="s">
        <v>44776</v>
      </c>
    </row>
    <row r="12093" spans="1:24">
      <c r="A12093">
        <f>HYPERLINK("https://www.philgeps.gov.ph/GEPSNONPILOT/Tender/SplashBidNoticeAbstractUI.aspx?menuIndex=3&amp;refID=7125320&amp;Result=3","7125320")</f>
        <v>0</v>
      </c>
      <c r="B12093" t="s">
        <v>3448</v>
      </c>
      <c r="C12093" t="s">
        <v>15254</v>
      </c>
      <c r="D12093" t="s">
        <v>17973</v>
      </c>
      <c r="E12093" t="s">
        <v>28479</v>
      </c>
      <c r="F12093" t="s">
        <v>30900</v>
      </c>
      <c r="G12093" t="s">
        <v>30907</v>
      </c>
      <c r="H12093" t="s">
        <v>30916</v>
      </c>
      <c r="I12093" t="s">
        <v>30918</v>
      </c>
      <c r="J12093" t="s">
        <v>38574</v>
      </c>
      <c r="K12093" t="s">
        <v>40293</v>
      </c>
      <c r="M12093" t="s">
        <v>44329</v>
      </c>
      <c r="N12093" t="s">
        <v>44759</v>
      </c>
      <c r="O12093" t="s">
        <v>44760</v>
      </c>
      <c r="P12093">
        <v>0</v>
      </c>
      <c r="Q12093">
        <v>50</v>
      </c>
      <c r="R12093" t="s">
        <v>44775</v>
      </c>
      <c r="S12093" t="s">
        <v>45343</v>
      </c>
      <c r="T12093" t="s">
        <v>46418</v>
      </c>
      <c r="U12093" t="s">
        <v>56891</v>
      </c>
      <c r="W12093" t="s">
        <v>44329</v>
      </c>
      <c r="X12093" t="s">
        <v>44776</v>
      </c>
    </row>
    <row r="12094" spans="1:24">
      <c r="A12094">
        <f>HYPERLINK("https://www.philgeps.gov.ph/GEPSNONPILOT/Tender/SplashBidNoticeAbstractUI.aspx?menuIndex=3&amp;refID=7125773&amp;Result=3","7125773")</f>
        <v>0</v>
      </c>
      <c r="B12094" t="s">
        <v>3460</v>
      </c>
      <c r="C12094" t="s">
        <v>15255</v>
      </c>
      <c r="D12094" t="s">
        <v>18018</v>
      </c>
      <c r="E12094" t="s">
        <v>19552</v>
      </c>
      <c r="F12094" t="s">
        <v>30900</v>
      </c>
      <c r="G12094" t="s">
        <v>30907</v>
      </c>
      <c r="H12094" t="s">
        <v>30916</v>
      </c>
      <c r="I12094" t="s">
        <v>30928</v>
      </c>
      <c r="J12094" t="s">
        <v>31568</v>
      </c>
      <c r="K12094" t="s">
        <v>40289</v>
      </c>
      <c r="M12094" t="s">
        <v>44349</v>
      </c>
      <c r="N12094" t="s">
        <v>44759</v>
      </c>
      <c r="O12094" t="s">
        <v>44760</v>
      </c>
      <c r="P12094">
        <v>0</v>
      </c>
      <c r="Q12094">
        <v>5</v>
      </c>
      <c r="R12094" t="s">
        <v>44775</v>
      </c>
      <c r="S12094" t="s">
        <v>45343</v>
      </c>
      <c r="T12094" t="s">
        <v>46644</v>
      </c>
      <c r="U12094" t="s">
        <v>56892</v>
      </c>
      <c r="W12094" t="s">
        <v>44349</v>
      </c>
      <c r="X12094" t="s">
        <v>44776</v>
      </c>
    </row>
    <row r="12095" spans="1:24">
      <c r="A12095">
        <f>HYPERLINK("https://www.philgeps.gov.ph/GEPSNONPILOT/Tender/SplashBidNoticeAbstractUI.aspx?menuIndex=3&amp;refID=7125498&amp;Result=3","7125498")</f>
        <v>0</v>
      </c>
      <c r="B12095" t="s">
        <v>3413</v>
      </c>
      <c r="C12095" t="s">
        <v>15256</v>
      </c>
      <c r="D12095" t="s">
        <v>17953</v>
      </c>
      <c r="E12095" t="s">
        <v>26968</v>
      </c>
      <c r="F12095" t="s">
        <v>30900</v>
      </c>
      <c r="G12095" t="s">
        <v>30907</v>
      </c>
      <c r="H12095" t="s">
        <v>30916</v>
      </c>
      <c r="I12095" t="s">
        <v>4108</v>
      </c>
      <c r="J12095" t="s">
        <v>31257</v>
      </c>
      <c r="K12095" t="s">
        <v>40412</v>
      </c>
      <c r="M12095" t="s">
        <v>44291</v>
      </c>
      <c r="N12095" t="s">
        <v>44759</v>
      </c>
      <c r="O12095" t="s">
        <v>44760</v>
      </c>
      <c r="P12095">
        <v>0</v>
      </c>
      <c r="Q12095">
        <v>0</v>
      </c>
      <c r="R12095" t="s">
        <v>44775</v>
      </c>
      <c r="S12095" t="s">
        <v>45343</v>
      </c>
      <c r="T12095" t="s">
        <v>46399</v>
      </c>
      <c r="U12095" t="s">
        <v>56893</v>
      </c>
      <c r="W12095" t="s">
        <v>44291</v>
      </c>
      <c r="X12095" t="s">
        <v>44776</v>
      </c>
    </row>
    <row r="12096" spans="1:24">
      <c r="A12096">
        <f>HYPERLINK("https://www.philgeps.gov.ph/GEPSNONPILOT/Tender/SplashBidNoticeAbstractUI.aspx?menuIndex=3&amp;refID=7125867&amp;Result=3","7125867")</f>
        <v>0</v>
      </c>
      <c r="B12096" t="s">
        <v>753</v>
      </c>
      <c r="C12096" t="s">
        <v>15257</v>
      </c>
      <c r="D12096" t="s">
        <v>17976</v>
      </c>
      <c r="E12096" t="s">
        <v>28480</v>
      </c>
      <c r="F12096" t="s">
        <v>30900</v>
      </c>
      <c r="G12096" t="s">
        <v>30907</v>
      </c>
      <c r="H12096" t="s">
        <v>30916</v>
      </c>
      <c r="I12096" t="s">
        <v>5501</v>
      </c>
      <c r="J12096" t="s">
        <v>38575</v>
      </c>
      <c r="K12096" t="s">
        <v>40284</v>
      </c>
      <c r="L12096" t="s">
        <v>753</v>
      </c>
      <c r="M12096" t="s">
        <v>41317</v>
      </c>
      <c r="N12096" t="s">
        <v>44759</v>
      </c>
      <c r="O12096" t="s">
        <v>44760</v>
      </c>
      <c r="Q12096">
        <v>9</v>
      </c>
      <c r="R12096" t="s">
        <v>44775</v>
      </c>
      <c r="S12096" t="s">
        <v>45424</v>
      </c>
      <c r="T12096" t="s">
        <v>46366</v>
      </c>
      <c r="U12096" t="s">
        <v>56894</v>
      </c>
      <c r="V12096" t="s">
        <v>59295</v>
      </c>
      <c r="W12096" t="s">
        <v>41317</v>
      </c>
      <c r="X12096" t="s">
        <v>44776</v>
      </c>
    </row>
    <row r="12097" spans="1:24">
      <c r="A12097">
        <f>HYPERLINK("https://www.philgeps.gov.ph/GEPSNONPILOT/Tender/SplashBidNoticeAbstractUI.aspx?menuIndex=3&amp;refID=7125861&amp;Result=3","7125861")</f>
        <v>0</v>
      </c>
      <c r="B12097" t="s">
        <v>2209</v>
      </c>
      <c r="C12097" t="s">
        <v>15258</v>
      </c>
      <c r="D12097" t="s">
        <v>17959</v>
      </c>
      <c r="E12097" t="s">
        <v>15258</v>
      </c>
      <c r="F12097" t="s">
        <v>30900</v>
      </c>
      <c r="G12097" t="s">
        <v>30907</v>
      </c>
      <c r="H12097" t="s">
        <v>30916</v>
      </c>
      <c r="I12097" t="s">
        <v>9385</v>
      </c>
      <c r="J12097" t="s">
        <v>38576</v>
      </c>
      <c r="K12097" t="s">
        <v>40286</v>
      </c>
      <c r="M12097" t="s">
        <v>42917</v>
      </c>
      <c r="N12097" t="s">
        <v>44759</v>
      </c>
      <c r="O12097" t="s">
        <v>44760</v>
      </c>
      <c r="P12097">
        <v>0</v>
      </c>
      <c r="Q12097">
        <v>7</v>
      </c>
      <c r="R12097" t="s">
        <v>44775</v>
      </c>
      <c r="S12097" t="s">
        <v>45343</v>
      </c>
      <c r="T12097" t="s">
        <v>46425</v>
      </c>
      <c r="U12097" t="s">
        <v>48763</v>
      </c>
      <c r="W12097" t="s">
        <v>42917</v>
      </c>
      <c r="X12097" t="s">
        <v>44776</v>
      </c>
    </row>
    <row r="12098" spans="1:24">
      <c r="A12098">
        <f>HYPERLINK("https://www.philgeps.gov.ph/GEPSNONPILOT/Tender/SplashBidNoticeAbstractUI.aspx?menuIndex=3&amp;refID=7125453&amp;Result=3","7125453")</f>
        <v>0</v>
      </c>
      <c r="B12098" t="s">
        <v>3454</v>
      </c>
      <c r="C12098" t="s">
        <v>15259</v>
      </c>
      <c r="D12098" t="s">
        <v>17959</v>
      </c>
      <c r="E12098" t="s">
        <v>28481</v>
      </c>
      <c r="F12098" t="s">
        <v>30900</v>
      </c>
      <c r="G12098" t="s">
        <v>30907</v>
      </c>
      <c r="H12098" t="s">
        <v>30916</v>
      </c>
      <c r="I12098" t="s">
        <v>4142</v>
      </c>
      <c r="J12098" t="s">
        <v>38577</v>
      </c>
      <c r="K12098" t="s">
        <v>40280</v>
      </c>
      <c r="M12098" t="s">
        <v>44338</v>
      </c>
      <c r="N12098" t="s">
        <v>44759</v>
      </c>
      <c r="O12098" t="s">
        <v>44760</v>
      </c>
      <c r="P12098">
        <v>0</v>
      </c>
      <c r="Q12098">
        <v>4</v>
      </c>
      <c r="R12098" t="s">
        <v>44775</v>
      </c>
      <c r="S12098" t="s">
        <v>45343</v>
      </c>
      <c r="T12098" t="s">
        <v>46361</v>
      </c>
      <c r="U12098" t="s">
        <v>56895</v>
      </c>
      <c r="W12098" t="s">
        <v>44338</v>
      </c>
      <c r="X12098" t="s">
        <v>44776</v>
      </c>
    </row>
    <row r="12099" spans="1:24">
      <c r="A12099">
        <f>HYPERLINK("https://www.philgeps.gov.ph/GEPSNONPILOT/Tender/SplashBidNoticeAbstractUI.aspx?menuIndex=3&amp;refID=7125852&amp;Result=3","7125852")</f>
        <v>0</v>
      </c>
      <c r="B12099" t="s">
        <v>2209</v>
      </c>
      <c r="C12099" t="s">
        <v>15260</v>
      </c>
      <c r="D12099" t="s">
        <v>17959</v>
      </c>
      <c r="E12099" t="s">
        <v>15260</v>
      </c>
      <c r="F12099" t="s">
        <v>30900</v>
      </c>
      <c r="G12099" t="s">
        <v>30907</v>
      </c>
      <c r="H12099" t="s">
        <v>30916</v>
      </c>
      <c r="I12099" t="s">
        <v>9385</v>
      </c>
      <c r="J12099" t="s">
        <v>31391</v>
      </c>
      <c r="K12099" t="s">
        <v>40286</v>
      </c>
      <c r="M12099" t="s">
        <v>42917</v>
      </c>
      <c r="N12099" t="s">
        <v>44759</v>
      </c>
      <c r="O12099" t="s">
        <v>44760</v>
      </c>
      <c r="P12099">
        <v>0</v>
      </c>
      <c r="Q12099">
        <v>8</v>
      </c>
      <c r="R12099" t="s">
        <v>44775</v>
      </c>
      <c r="S12099" t="s">
        <v>45343</v>
      </c>
      <c r="T12099" t="s">
        <v>46425</v>
      </c>
      <c r="U12099" t="s">
        <v>48763</v>
      </c>
      <c r="W12099" t="s">
        <v>42917</v>
      </c>
      <c r="X12099" t="s">
        <v>44776</v>
      </c>
    </row>
    <row r="12100" spans="1:24">
      <c r="A12100">
        <f>HYPERLINK("https://www.philgeps.gov.ph/GEPSNONPILOT/Tender/SplashBidNoticeAbstractUI.aspx?menuIndex=3&amp;refID=7125847&amp;Result=3","7125847")</f>
        <v>0</v>
      </c>
      <c r="B12100" t="s">
        <v>85</v>
      </c>
      <c r="C12100" t="s">
        <v>15261</v>
      </c>
      <c r="D12100" t="s">
        <v>17991</v>
      </c>
      <c r="E12100" t="s">
        <v>28482</v>
      </c>
      <c r="F12100" t="s">
        <v>30900</v>
      </c>
      <c r="G12100" t="s">
        <v>30907</v>
      </c>
      <c r="H12100" t="s">
        <v>30916</v>
      </c>
      <c r="I12100" t="s">
        <v>4545</v>
      </c>
      <c r="J12100" t="s">
        <v>38578</v>
      </c>
      <c r="K12100" t="s">
        <v>40289</v>
      </c>
      <c r="M12100" t="s">
        <v>40632</v>
      </c>
      <c r="N12100" t="s">
        <v>44759</v>
      </c>
      <c r="O12100" t="s">
        <v>44760</v>
      </c>
      <c r="P12100">
        <v>0</v>
      </c>
      <c r="Q12100">
        <v>7</v>
      </c>
      <c r="R12100" t="s">
        <v>44775</v>
      </c>
      <c r="S12100" t="s">
        <v>45343</v>
      </c>
      <c r="T12100" t="s">
        <v>46387</v>
      </c>
      <c r="U12100" t="s">
        <v>56896</v>
      </c>
      <c r="W12100" t="s">
        <v>60817</v>
      </c>
      <c r="X12100" t="s">
        <v>44776</v>
      </c>
    </row>
    <row r="12101" spans="1:24">
      <c r="A12101">
        <f>HYPERLINK("https://www.philgeps.gov.ph/GEPSNONPILOT/Tender/SplashBidNoticeAbstractUI.aspx?menuIndex=3&amp;refID=7125710&amp;Result=3","7125710")</f>
        <v>0</v>
      </c>
      <c r="B12101" t="s">
        <v>187</v>
      </c>
      <c r="C12101" t="s">
        <v>15262</v>
      </c>
      <c r="D12101" t="s">
        <v>17952</v>
      </c>
      <c r="E12101" t="s">
        <v>28483</v>
      </c>
      <c r="F12101" t="s">
        <v>30900</v>
      </c>
      <c r="G12101" t="s">
        <v>30907</v>
      </c>
      <c r="H12101" t="s">
        <v>30915</v>
      </c>
      <c r="I12101" t="s">
        <v>30919</v>
      </c>
      <c r="J12101" t="s">
        <v>38579</v>
      </c>
      <c r="K12101" t="s">
        <v>40399</v>
      </c>
      <c r="M12101" t="s">
        <v>40734</v>
      </c>
      <c r="N12101" t="s">
        <v>44759</v>
      </c>
      <c r="O12101" t="s">
        <v>44760</v>
      </c>
      <c r="P12101">
        <v>0</v>
      </c>
      <c r="Q12101">
        <v>8</v>
      </c>
      <c r="R12101" t="s">
        <v>44775</v>
      </c>
      <c r="S12101" t="s">
        <v>45343</v>
      </c>
      <c r="T12101" t="s">
        <v>46517</v>
      </c>
      <c r="U12101" t="s">
        <v>56897</v>
      </c>
      <c r="W12101" t="s">
        <v>40734</v>
      </c>
      <c r="X12101" t="s">
        <v>44776</v>
      </c>
    </row>
    <row r="12102" spans="1:24">
      <c r="A12102">
        <f>HYPERLINK("https://www.philgeps.gov.ph/GEPSNONPILOT/Tender/SplashBidNoticeAbstractUI.aspx?menuIndex=3&amp;refID=7125838&amp;Result=3","7125838")</f>
        <v>0</v>
      </c>
      <c r="B12102" t="s">
        <v>2504</v>
      </c>
      <c r="C12102" t="s">
        <v>15263</v>
      </c>
      <c r="D12102" t="s">
        <v>17973</v>
      </c>
      <c r="E12102" t="s">
        <v>21533</v>
      </c>
      <c r="F12102" t="s">
        <v>30900</v>
      </c>
      <c r="G12102" t="s">
        <v>30907</v>
      </c>
      <c r="H12102" t="s">
        <v>30915</v>
      </c>
      <c r="I12102" t="s">
        <v>30919</v>
      </c>
      <c r="J12102" t="s">
        <v>38580</v>
      </c>
      <c r="K12102" t="s">
        <v>40286</v>
      </c>
      <c r="M12102" t="s">
        <v>43249</v>
      </c>
      <c r="N12102" t="s">
        <v>44759</v>
      </c>
      <c r="O12102" t="s">
        <v>44760</v>
      </c>
      <c r="P12102">
        <v>0</v>
      </c>
      <c r="Q12102">
        <v>0</v>
      </c>
      <c r="R12102" t="s">
        <v>44775</v>
      </c>
      <c r="S12102" t="s">
        <v>45343</v>
      </c>
      <c r="T12102" t="s">
        <v>46403</v>
      </c>
      <c r="U12102" t="s">
        <v>56898</v>
      </c>
      <c r="W12102" t="s">
        <v>43249</v>
      </c>
      <c r="X12102" t="s">
        <v>44776</v>
      </c>
    </row>
    <row r="12103" spans="1:24">
      <c r="A12103">
        <f>HYPERLINK("https://www.philgeps.gov.ph/GEPSNONPILOT/Tender/SplashBidNoticeAbstractUI.aspx?menuIndex=3&amp;refID=7125569&amp;Result=3","7125569")</f>
        <v>0</v>
      </c>
      <c r="B12103" t="s">
        <v>2789</v>
      </c>
      <c r="C12103" t="s">
        <v>15264</v>
      </c>
      <c r="D12103" t="s">
        <v>18011</v>
      </c>
      <c r="E12103" t="s">
        <v>28484</v>
      </c>
      <c r="F12103" t="s">
        <v>30900</v>
      </c>
      <c r="G12103" t="s">
        <v>30907</v>
      </c>
      <c r="H12103" t="s">
        <v>30916</v>
      </c>
      <c r="I12103" t="s">
        <v>8123</v>
      </c>
      <c r="J12103" t="s">
        <v>38581</v>
      </c>
      <c r="K12103" t="s">
        <v>40284</v>
      </c>
      <c r="M12103" t="s">
        <v>43572</v>
      </c>
      <c r="N12103" t="s">
        <v>44759</v>
      </c>
      <c r="O12103" t="s">
        <v>44760</v>
      </c>
      <c r="P12103">
        <v>0</v>
      </c>
      <c r="Q12103">
        <v>0</v>
      </c>
      <c r="R12103" t="s">
        <v>44775</v>
      </c>
      <c r="S12103" t="s">
        <v>45343</v>
      </c>
      <c r="T12103" t="s">
        <v>46425</v>
      </c>
      <c r="U12103" t="s">
        <v>56899</v>
      </c>
      <c r="W12103" t="s">
        <v>43572</v>
      </c>
      <c r="X12103" t="s">
        <v>44776</v>
      </c>
    </row>
    <row r="12104" spans="1:24">
      <c r="A12104">
        <f>HYPERLINK("https://www.philgeps.gov.ph/GEPSNONPILOT/Tender/SplashBidNoticeAbstractUI.aspx?menuIndex=3&amp;refID=7125853&amp;Result=3","7125853")</f>
        <v>0</v>
      </c>
      <c r="B12104" t="s">
        <v>3461</v>
      </c>
      <c r="C12104" t="s">
        <v>15265</v>
      </c>
      <c r="D12104" t="s">
        <v>17993</v>
      </c>
      <c r="E12104" t="s">
        <v>28485</v>
      </c>
      <c r="F12104" t="s">
        <v>30900</v>
      </c>
      <c r="G12104" t="s">
        <v>30907</v>
      </c>
      <c r="H12104" t="s">
        <v>30916</v>
      </c>
      <c r="I12104" t="s">
        <v>5501</v>
      </c>
      <c r="J12104" t="s">
        <v>31270</v>
      </c>
      <c r="K12104" t="s">
        <v>40283</v>
      </c>
      <c r="M12104" t="s">
        <v>44350</v>
      </c>
      <c r="N12104" t="s">
        <v>44759</v>
      </c>
      <c r="O12104" t="s">
        <v>44760</v>
      </c>
      <c r="Q12104">
        <v>14</v>
      </c>
      <c r="R12104" t="s">
        <v>44775</v>
      </c>
      <c r="S12104" t="s">
        <v>45425</v>
      </c>
      <c r="T12104" t="s">
        <v>46396</v>
      </c>
      <c r="U12104" t="s">
        <v>56900</v>
      </c>
      <c r="W12104" t="s">
        <v>44350</v>
      </c>
      <c r="X12104" t="s">
        <v>44776</v>
      </c>
    </row>
    <row r="12105" spans="1:24">
      <c r="A12105">
        <f>HYPERLINK("https://www.philgeps.gov.ph/GEPSNONPILOT/Tender/SplashBidNoticeAbstractUI.aspx?menuIndex=3&amp;refID=7125837&amp;Result=3","7125837")</f>
        <v>0</v>
      </c>
      <c r="B12105" t="s">
        <v>380</v>
      </c>
      <c r="C12105" t="s">
        <v>15266</v>
      </c>
      <c r="D12105" t="s">
        <v>18003</v>
      </c>
      <c r="E12105" t="s">
        <v>28486</v>
      </c>
      <c r="F12105" t="s">
        <v>30900</v>
      </c>
      <c r="G12105" t="s">
        <v>30907</v>
      </c>
      <c r="H12105" t="s">
        <v>30915</v>
      </c>
      <c r="I12105" t="s">
        <v>30919</v>
      </c>
      <c r="J12105" t="s">
        <v>31243</v>
      </c>
      <c r="K12105" t="s">
        <v>40301</v>
      </c>
      <c r="M12105" t="s">
        <v>40934</v>
      </c>
      <c r="N12105" t="s">
        <v>44759</v>
      </c>
      <c r="O12105" t="s">
        <v>44760</v>
      </c>
      <c r="P12105">
        <v>0</v>
      </c>
      <c r="Q12105">
        <v>1</v>
      </c>
      <c r="R12105" t="s">
        <v>44775</v>
      </c>
      <c r="S12105" t="s">
        <v>45343</v>
      </c>
      <c r="T12105" t="s">
        <v>46703</v>
      </c>
      <c r="U12105" t="s">
        <v>51829</v>
      </c>
      <c r="W12105" t="s">
        <v>40934</v>
      </c>
      <c r="X12105" t="s">
        <v>44776</v>
      </c>
    </row>
    <row r="12106" spans="1:24">
      <c r="A12106">
        <f>HYPERLINK("https://www.philgeps.gov.ph/GEPSNONPILOT/Tender/SplashBidNoticeAbstractUI.aspx?menuIndex=3&amp;refID=7125833&amp;Result=3","7125833")</f>
        <v>0</v>
      </c>
      <c r="B12106" t="s">
        <v>1938</v>
      </c>
      <c r="C12106" t="s">
        <v>15267</v>
      </c>
      <c r="D12106" t="s">
        <v>17977</v>
      </c>
      <c r="E12106" t="s">
        <v>28487</v>
      </c>
      <c r="F12106" t="s">
        <v>30900</v>
      </c>
      <c r="G12106" t="s">
        <v>30907</v>
      </c>
      <c r="H12106" t="s">
        <v>7411</v>
      </c>
      <c r="I12106" t="s">
        <v>7411</v>
      </c>
      <c r="J12106" t="s">
        <v>33323</v>
      </c>
      <c r="K12106" t="s">
        <v>40428</v>
      </c>
      <c r="M12106" t="s">
        <v>42619</v>
      </c>
      <c r="N12106" t="s">
        <v>44759</v>
      </c>
      <c r="O12106" t="s">
        <v>44760</v>
      </c>
      <c r="Q12106">
        <v>6</v>
      </c>
      <c r="R12106" t="s">
        <v>44775</v>
      </c>
      <c r="S12106" t="s">
        <v>45426</v>
      </c>
      <c r="T12106" t="s">
        <v>46807</v>
      </c>
      <c r="U12106" t="s">
        <v>56901</v>
      </c>
      <c r="W12106" t="s">
        <v>42619</v>
      </c>
      <c r="X12106" t="s">
        <v>44776</v>
      </c>
    </row>
    <row r="12107" spans="1:24">
      <c r="A12107">
        <f>HYPERLINK("https://www.philgeps.gov.ph/GEPSNONPILOT/Tender/SplashBidNoticeAbstractUI.aspx?menuIndex=3&amp;refID=7125832&amp;Result=3","7125832")</f>
        <v>0</v>
      </c>
      <c r="B12107" t="s">
        <v>753</v>
      </c>
      <c r="C12107" t="s">
        <v>15268</v>
      </c>
      <c r="D12107" t="s">
        <v>17976</v>
      </c>
      <c r="E12107" t="s">
        <v>28488</v>
      </c>
      <c r="F12107" t="s">
        <v>30900</v>
      </c>
      <c r="G12107" t="s">
        <v>30907</v>
      </c>
      <c r="H12107" t="s">
        <v>30916</v>
      </c>
      <c r="I12107" t="s">
        <v>30933</v>
      </c>
      <c r="J12107" t="s">
        <v>31153</v>
      </c>
      <c r="K12107" t="s">
        <v>40280</v>
      </c>
      <c r="L12107" t="s">
        <v>753</v>
      </c>
      <c r="M12107" t="s">
        <v>41317</v>
      </c>
      <c r="N12107" t="s">
        <v>44759</v>
      </c>
      <c r="O12107" t="s">
        <v>44760</v>
      </c>
      <c r="P12107">
        <v>0</v>
      </c>
      <c r="Q12107">
        <v>1</v>
      </c>
      <c r="R12107" t="s">
        <v>44775</v>
      </c>
      <c r="S12107" t="s">
        <v>45343</v>
      </c>
      <c r="T12107" t="s">
        <v>46366</v>
      </c>
      <c r="U12107" t="s">
        <v>50039</v>
      </c>
      <c r="V12107" t="s">
        <v>59295</v>
      </c>
      <c r="W12107" t="s">
        <v>41317</v>
      </c>
      <c r="X12107" t="s">
        <v>44776</v>
      </c>
    </row>
    <row r="12108" spans="1:24">
      <c r="A12108">
        <f>HYPERLINK("https://www.philgeps.gov.ph/GEPSNONPILOT/Tender/SplashBidNoticeAbstractUI.aspx?menuIndex=3&amp;refID=7125802&amp;Result=3","7125802")</f>
        <v>0</v>
      </c>
      <c r="B12108" t="s">
        <v>2215</v>
      </c>
      <c r="C12108" t="s">
        <v>15269</v>
      </c>
      <c r="E12108" t="s">
        <v>28489</v>
      </c>
      <c r="F12108" t="s">
        <v>30900</v>
      </c>
      <c r="G12108" t="s">
        <v>30907</v>
      </c>
      <c r="H12108" t="s">
        <v>30915</v>
      </c>
      <c r="I12108" t="s">
        <v>30919</v>
      </c>
      <c r="J12108" t="s">
        <v>31152</v>
      </c>
      <c r="K12108" t="s">
        <v>40293</v>
      </c>
      <c r="M12108" t="s">
        <v>42924</v>
      </c>
      <c r="N12108" t="s">
        <v>44759</v>
      </c>
      <c r="O12108" t="s">
        <v>44760</v>
      </c>
      <c r="P12108">
        <v>0</v>
      </c>
      <c r="Q12108">
        <v>0</v>
      </c>
      <c r="R12108" t="s">
        <v>44775</v>
      </c>
      <c r="S12108" t="s">
        <v>45343</v>
      </c>
      <c r="T12108" t="s">
        <v>46409</v>
      </c>
      <c r="U12108" t="s">
        <v>56902</v>
      </c>
      <c r="W12108" t="s">
        <v>42924</v>
      </c>
      <c r="X12108" t="s">
        <v>44776</v>
      </c>
    </row>
    <row r="12109" spans="1:24">
      <c r="A12109">
        <f>HYPERLINK("https://www.philgeps.gov.ph/GEPSNONPILOT/Tender/SplashBidNoticeAbstractUI.aspx?menuIndex=3&amp;refID=7125798&amp;Result=3","7125798")</f>
        <v>0</v>
      </c>
      <c r="B12109" t="s">
        <v>231</v>
      </c>
      <c r="C12109" t="s">
        <v>15270</v>
      </c>
      <c r="D12109" t="s">
        <v>17957</v>
      </c>
      <c r="E12109" t="s">
        <v>28490</v>
      </c>
      <c r="F12109" t="s">
        <v>30900</v>
      </c>
      <c r="G12109" t="s">
        <v>30907</v>
      </c>
      <c r="H12109" t="s">
        <v>30916</v>
      </c>
      <c r="I12109" t="s">
        <v>6953</v>
      </c>
      <c r="J12109" t="s">
        <v>38582</v>
      </c>
      <c r="K12109" t="s">
        <v>40286</v>
      </c>
      <c r="M12109" t="s">
        <v>40778</v>
      </c>
      <c r="N12109" t="s">
        <v>44759</v>
      </c>
      <c r="O12109" t="s">
        <v>44760</v>
      </c>
      <c r="P12109">
        <v>0</v>
      </c>
      <c r="Q12109">
        <v>3</v>
      </c>
      <c r="R12109" t="s">
        <v>44775</v>
      </c>
      <c r="S12109" t="s">
        <v>45343</v>
      </c>
      <c r="T12109" t="s">
        <v>46389</v>
      </c>
      <c r="U12109" t="s">
        <v>56903</v>
      </c>
      <c r="W12109" t="s">
        <v>40778</v>
      </c>
      <c r="X12109" t="s">
        <v>44776</v>
      </c>
    </row>
    <row r="12110" spans="1:24">
      <c r="A12110">
        <f>HYPERLINK("https://www.philgeps.gov.ph/GEPSNONPILOT/Tender/SplashBidNoticeAbstractUI.aspx?menuIndex=3&amp;refID=7125793&amp;Result=3","7125793")</f>
        <v>0</v>
      </c>
      <c r="B12110" t="s">
        <v>3462</v>
      </c>
      <c r="C12110" t="s">
        <v>15271</v>
      </c>
      <c r="D12110" t="s">
        <v>17966</v>
      </c>
      <c r="E12110" t="s">
        <v>22263</v>
      </c>
      <c r="F12110" t="s">
        <v>30900</v>
      </c>
      <c r="G12110" t="s">
        <v>30907</v>
      </c>
      <c r="H12110" t="s">
        <v>30916</v>
      </c>
      <c r="I12110" t="s">
        <v>30939</v>
      </c>
      <c r="J12110" t="s">
        <v>31152</v>
      </c>
      <c r="K12110" t="s">
        <v>40286</v>
      </c>
      <c r="M12110" t="s">
        <v>44351</v>
      </c>
      <c r="N12110" t="s">
        <v>44759</v>
      </c>
      <c r="O12110" t="s">
        <v>44760</v>
      </c>
      <c r="P12110">
        <v>0</v>
      </c>
      <c r="Q12110">
        <v>0</v>
      </c>
      <c r="R12110" t="s">
        <v>44775</v>
      </c>
      <c r="S12110" t="s">
        <v>45343</v>
      </c>
      <c r="T12110" t="s">
        <v>46369</v>
      </c>
      <c r="U12110" t="s">
        <v>56904</v>
      </c>
      <c r="V12110" t="s">
        <v>60499</v>
      </c>
      <c r="W12110" t="s">
        <v>44351</v>
      </c>
      <c r="X12110" t="s">
        <v>44776</v>
      </c>
    </row>
    <row r="12111" spans="1:24">
      <c r="A12111">
        <f>HYPERLINK("https://www.philgeps.gov.ph/GEPSNONPILOT/Tender/SplashBidNoticeAbstractUI.aspx?menuIndex=3&amp;refID=7125840&amp;Result=3","7125840")</f>
        <v>0</v>
      </c>
      <c r="B12111" t="s">
        <v>326</v>
      </c>
      <c r="C12111" t="s">
        <v>15272</v>
      </c>
      <c r="E12111" t="s">
        <v>28491</v>
      </c>
      <c r="F12111" t="s">
        <v>30900</v>
      </c>
      <c r="G12111" t="s">
        <v>30907</v>
      </c>
      <c r="H12111" t="s">
        <v>30916</v>
      </c>
      <c r="I12111" t="s">
        <v>30929</v>
      </c>
      <c r="J12111" t="s">
        <v>31282</v>
      </c>
      <c r="K12111" t="s">
        <v>40289</v>
      </c>
      <c r="M12111" t="s">
        <v>44341</v>
      </c>
      <c r="N12111" t="s">
        <v>44759</v>
      </c>
      <c r="O12111" t="s">
        <v>44760</v>
      </c>
      <c r="Q12111">
        <v>19</v>
      </c>
      <c r="R12111" t="s">
        <v>44775</v>
      </c>
      <c r="S12111" t="s">
        <v>45427</v>
      </c>
      <c r="T12111" t="s">
        <v>46476</v>
      </c>
      <c r="U12111" t="s">
        <v>56835</v>
      </c>
      <c r="W12111" t="s">
        <v>44341</v>
      </c>
      <c r="X12111" t="s">
        <v>44776</v>
      </c>
    </row>
    <row r="12112" spans="1:24">
      <c r="A12112">
        <f>HYPERLINK("https://www.philgeps.gov.ph/GEPSNONPILOT/Tender/SplashBidNoticeAbstractUI.aspx?menuIndex=3&amp;refID=7125779&amp;Result=3","7125779")</f>
        <v>0</v>
      </c>
      <c r="B12112" t="s">
        <v>2209</v>
      </c>
      <c r="C12112" t="s">
        <v>15273</v>
      </c>
      <c r="D12112" t="s">
        <v>17959</v>
      </c>
      <c r="E12112" t="s">
        <v>15273</v>
      </c>
      <c r="F12112" t="s">
        <v>30900</v>
      </c>
      <c r="G12112" t="s">
        <v>30907</v>
      </c>
      <c r="H12112" t="s">
        <v>30916</v>
      </c>
      <c r="I12112" t="s">
        <v>9385</v>
      </c>
      <c r="J12112" t="s">
        <v>31069</v>
      </c>
      <c r="K12112" t="s">
        <v>40286</v>
      </c>
      <c r="M12112" t="s">
        <v>42917</v>
      </c>
      <c r="N12112" t="s">
        <v>44759</v>
      </c>
      <c r="O12112" t="s">
        <v>44760</v>
      </c>
      <c r="P12112">
        <v>0</v>
      </c>
      <c r="Q12112">
        <v>9</v>
      </c>
      <c r="R12112" t="s">
        <v>44775</v>
      </c>
      <c r="S12112" t="s">
        <v>45343</v>
      </c>
      <c r="T12112" t="s">
        <v>46425</v>
      </c>
      <c r="U12112" t="s">
        <v>48763</v>
      </c>
      <c r="W12112" t="s">
        <v>42917</v>
      </c>
      <c r="X12112" t="s">
        <v>44776</v>
      </c>
    </row>
    <row r="12113" spans="1:24">
      <c r="A12113">
        <f>HYPERLINK("https://www.philgeps.gov.ph/GEPSNONPILOT/Tender/SplashBidNoticeAbstractUI.aspx?menuIndex=3&amp;refID=7125772&amp;Result=3","7125772")</f>
        <v>0</v>
      </c>
      <c r="B12113" t="s">
        <v>3456</v>
      </c>
      <c r="C12113" t="s">
        <v>15274</v>
      </c>
      <c r="D12113" t="s">
        <v>17973</v>
      </c>
      <c r="E12113" t="s">
        <v>28492</v>
      </c>
      <c r="F12113" t="s">
        <v>30900</v>
      </c>
      <c r="G12113" t="s">
        <v>30907</v>
      </c>
      <c r="H12113" t="s">
        <v>30916</v>
      </c>
      <c r="I12113" t="s">
        <v>6953</v>
      </c>
      <c r="J12113" t="s">
        <v>38583</v>
      </c>
      <c r="K12113" t="s">
        <v>40334</v>
      </c>
      <c r="M12113" t="s">
        <v>44343</v>
      </c>
      <c r="N12113" t="s">
        <v>44759</v>
      </c>
      <c r="O12113" t="s">
        <v>44760</v>
      </c>
      <c r="Q12113">
        <v>5</v>
      </c>
      <c r="R12113" t="s">
        <v>44775</v>
      </c>
      <c r="S12113" t="s">
        <v>45428</v>
      </c>
      <c r="T12113" t="s">
        <v>46409</v>
      </c>
      <c r="U12113" t="s">
        <v>56868</v>
      </c>
      <c r="W12113" t="s">
        <v>44343</v>
      </c>
      <c r="X12113" t="s">
        <v>44776</v>
      </c>
    </row>
    <row r="12114" spans="1:24">
      <c r="A12114">
        <f>HYPERLINK("https://www.philgeps.gov.ph/GEPSNONPILOT/Tender/SplashBidNoticeAbstractUI.aspx?menuIndex=3&amp;refID=7125197&amp;Result=3","7125197")</f>
        <v>0</v>
      </c>
      <c r="B12114" t="s">
        <v>2668</v>
      </c>
      <c r="C12114" t="s">
        <v>15275</v>
      </c>
      <c r="D12114" t="s">
        <v>17954</v>
      </c>
      <c r="E12114" t="s">
        <v>28493</v>
      </c>
      <c r="F12114" t="s">
        <v>30900</v>
      </c>
      <c r="G12114" t="s">
        <v>30907</v>
      </c>
      <c r="H12114" t="s">
        <v>30915</v>
      </c>
      <c r="I12114" t="s">
        <v>30919</v>
      </c>
      <c r="J12114" t="s">
        <v>38584</v>
      </c>
      <c r="K12114" t="s">
        <v>40304</v>
      </c>
      <c r="M12114" t="s">
        <v>44021</v>
      </c>
      <c r="N12114" t="s">
        <v>44759</v>
      </c>
      <c r="O12114" t="s">
        <v>44760</v>
      </c>
      <c r="P12114">
        <v>0</v>
      </c>
      <c r="Q12114">
        <v>2</v>
      </c>
      <c r="R12114" t="s">
        <v>44775</v>
      </c>
      <c r="S12114" t="s">
        <v>45343</v>
      </c>
      <c r="T12114" t="s">
        <v>46418</v>
      </c>
      <c r="U12114" t="s">
        <v>56905</v>
      </c>
      <c r="W12114" t="s">
        <v>44021</v>
      </c>
      <c r="X12114" t="s">
        <v>44776</v>
      </c>
    </row>
    <row r="12115" spans="1:24">
      <c r="A12115">
        <f>HYPERLINK("https://www.philgeps.gov.ph/GEPSNONPILOT/Tender/SplashBidNoticeAbstractUI.aspx?menuIndex=3&amp;refID=7125185&amp;Result=3","7125185")</f>
        <v>0</v>
      </c>
      <c r="B12115" t="s">
        <v>2832</v>
      </c>
      <c r="C12115" t="s">
        <v>15276</v>
      </c>
      <c r="D12115" t="s">
        <v>17969</v>
      </c>
      <c r="E12115" t="s">
        <v>28494</v>
      </c>
      <c r="F12115" t="s">
        <v>30900</v>
      </c>
      <c r="G12115" t="s">
        <v>30907</v>
      </c>
      <c r="H12115" t="s">
        <v>30915</v>
      </c>
      <c r="I12115" t="s">
        <v>30919</v>
      </c>
      <c r="J12115" t="s">
        <v>38585</v>
      </c>
      <c r="K12115" t="s">
        <v>40304</v>
      </c>
      <c r="M12115" t="s">
        <v>43617</v>
      </c>
      <c r="N12115" t="s">
        <v>44759</v>
      </c>
      <c r="O12115" t="s">
        <v>44760</v>
      </c>
      <c r="P12115">
        <v>0</v>
      </c>
      <c r="Q12115">
        <v>1</v>
      </c>
      <c r="R12115" t="s">
        <v>44775</v>
      </c>
      <c r="S12115" t="s">
        <v>45343</v>
      </c>
      <c r="T12115" t="s">
        <v>46404</v>
      </c>
      <c r="U12115" t="s">
        <v>56906</v>
      </c>
      <c r="W12115" t="s">
        <v>43617</v>
      </c>
      <c r="X12115" t="s">
        <v>44776</v>
      </c>
    </row>
    <row r="12116" spans="1:24">
      <c r="A12116">
        <f>HYPERLINK("https://www.philgeps.gov.ph/GEPSNONPILOT/Tender/SplashBidNoticeAbstractUI.aspx?menuIndex=3&amp;refID=7125865&amp;Result=3","7125865")</f>
        <v>0</v>
      </c>
      <c r="B12116" t="s">
        <v>326</v>
      </c>
      <c r="C12116" t="s">
        <v>15277</v>
      </c>
      <c r="E12116" t="s">
        <v>28495</v>
      </c>
      <c r="F12116" t="s">
        <v>30900</v>
      </c>
      <c r="G12116" t="s">
        <v>30907</v>
      </c>
      <c r="H12116" t="s">
        <v>30916</v>
      </c>
      <c r="I12116" t="s">
        <v>30929</v>
      </c>
      <c r="J12116" t="s">
        <v>38586</v>
      </c>
      <c r="K12116" t="s">
        <v>40289</v>
      </c>
      <c r="M12116" t="s">
        <v>44341</v>
      </c>
      <c r="N12116" t="s">
        <v>44759</v>
      </c>
      <c r="O12116" t="s">
        <v>44760</v>
      </c>
      <c r="Q12116">
        <v>17</v>
      </c>
      <c r="R12116" t="s">
        <v>44775</v>
      </c>
      <c r="S12116" t="s">
        <v>45429</v>
      </c>
      <c r="T12116" t="s">
        <v>46476</v>
      </c>
      <c r="U12116" t="s">
        <v>56835</v>
      </c>
      <c r="W12116" t="s">
        <v>44341</v>
      </c>
      <c r="X12116" t="s">
        <v>44776</v>
      </c>
    </row>
    <row r="12117" spans="1:24">
      <c r="A12117">
        <f>HYPERLINK("https://www.philgeps.gov.ph/GEPSNONPILOT/Tender/SplashBidNoticeAbstractUI.aspx?menuIndex=3&amp;refID=7125692&amp;Result=3","7125692")</f>
        <v>0</v>
      </c>
      <c r="B12117" t="s">
        <v>231</v>
      </c>
      <c r="C12117" t="s">
        <v>15278</v>
      </c>
      <c r="D12117" t="s">
        <v>17957</v>
      </c>
      <c r="E12117" t="s">
        <v>28496</v>
      </c>
      <c r="F12117" t="s">
        <v>30900</v>
      </c>
      <c r="G12117" t="s">
        <v>30907</v>
      </c>
      <c r="H12117" t="s">
        <v>30916</v>
      </c>
      <c r="I12117" t="s">
        <v>30949</v>
      </c>
      <c r="J12117" t="s">
        <v>38587</v>
      </c>
      <c r="K12117" t="s">
        <v>40286</v>
      </c>
      <c r="M12117" t="s">
        <v>40778</v>
      </c>
      <c r="N12117" t="s">
        <v>44759</v>
      </c>
      <c r="O12117" t="s">
        <v>44760</v>
      </c>
      <c r="Q12117">
        <v>5</v>
      </c>
      <c r="R12117" t="s">
        <v>44775</v>
      </c>
      <c r="S12117" t="s">
        <v>45430</v>
      </c>
      <c r="T12117" t="s">
        <v>46389</v>
      </c>
      <c r="U12117" t="s">
        <v>56907</v>
      </c>
      <c r="W12117" t="s">
        <v>40778</v>
      </c>
      <c r="X12117" t="s">
        <v>44776</v>
      </c>
    </row>
    <row r="12118" spans="1:24">
      <c r="A12118">
        <f>HYPERLINK("https://www.philgeps.gov.ph/GEPSNONPILOT/Tender/SplashBidNoticeAbstractUI.aspx?menuIndex=3&amp;refID=7125193&amp;Result=3","7125193")</f>
        <v>0</v>
      </c>
      <c r="B12118" t="s">
        <v>639</v>
      </c>
      <c r="C12118" t="s">
        <v>15279</v>
      </c>
      <c r="D12118" t="s">
        <v>18017</v>
      </c>
      <c r="E12118" t="s">
        <v>28497</v>
      </c>
      <c r="F12118" t="s">
        <v>30900</v>
      </c>
      <c r="G12118" t="s">
        <v>30907</v>
      </c>
      <c r="H12118" t="s">
        <v>30916</v>
      </c>
      <c r="I12118" t="s">
        <v>8123</v>
      </c>
      <c r="J12118" t="s">
        <v>31152</v>
      </c>
      <c r="K12118" t="s">
        <v>40286</v>
      </c>
      <c r="M12118" t="s">
        <v>41202</v>
      </c>
      <c r="N12118" t="s">
        <v>44759</v>
      </c>
      <c r="O12118" t="s">
        <v>44760</v>
      </c>
      <c r="P12118">
        <v>0</v>
      </c>
      <c r="Q12118">
        <v>2</v>
      </c>
      <c r="R12118" t="s">
        <v>44775</v>
      </c>
      <c r="S12118" t="s">
        <v>45343</v>
      </c>
      <c r="T12118" t="s">
        <v>46425</v>
      </c>
      <c r="U12118" t="s">
        <v>56908</v>
      </c>
      <c r="W12118" t="s">
        <v>41202</v>
      </c>
      <c r="X12118" t="s">
        <v>44776</v>
      </c>
    </row>
    <row r="12119" spans="1:24">
      <c r="A12119">
        <f>HYPERLINK("https://www.philgeps.gov.ph/GEPSNONPILOT/Tender/SplashBidNoticeAbstractUI.aspx?menuIndex=3&amp;refID=7125931&amp;Result=3","7125931")</f>
        <v>0</v>
      </c>
      <c r="B12119" t="s">
        <v>231</v>
      </c>
      <c r="C12119" t="s">
        <v>15280</v>
      </c>
      <c r="D12119" t="s">
        <v>17957</v>
      </c>
      <c r="E12119" t="s">
        <v>28498</v>
      </c>
      <c r="F12119" t="s">
        <v>30900</v>
      </c>
      <c r="G12119" t="s">
        <v>30907</v>
      </c>
      <c r="H12119" t="s">
        <v>30916</v>
      </c>
      <c r="I12119" t="s">
        <v>4142</v>
      </c>
      <c r="J12119" t="s">
        <v>38588</v>
      </c>
      <c r="K12119" t="s">
        <v>40286</v>
      </c>
      <c r="M12119" t="s">
        <v>40778</v>
      </c>
      <c r="N12119" t="s">
        <v>44759</v>
      </c>
      <c r="O12119" t="s">
        <v>44760</v>
      </c>
      <c r="P12119">
        <v>0</v>
      </c>
      <c r="Q12119">
        <v>3</v>
      </c>
      <c r="R12119" t="s">
        <v>44775</v>
      </c>
      <c r="S12119" t="s">
        <v>45343</v>
      </c>
      <c r="T12119" t="s">
        <v>46389</v>
      </c>
      <c r="U12119" t="s">
        <v>56909</v>
      </c>
      <c r="W12119" t="s">
        <v>40778</v>
      </c>
      <c r="X12119" t="s">
        <v>44776</v>
      </c>
    </row>
    <row r="12120" spans="1:24">
      <c r="A12120">
        <f>HYPERLINK("https://www.philgeps.gov.ph/GEPSNONPILOT/Tender/SplashBidNoticeAbstractUI.aspx?menuIndex=3&amp;refID=7125940&amp;Result=3","7125940")</f>
        <v>0</v>
      </c>
      <c r="B12120" t="s">
        <v>231</v>
      </c>
      <c r="C12120" t="s">
        <v>15281</v>
      </c>
      <c r="D12120" t="s">
        <v>17957</v>
      </c>
      <c r="E12120" t="s">
        <v>28499</v>
      </c>
      <c r="F12120" t="s">
        <v>30900</v>
      </c>
      <c r="G12120" t="s">
        <v>30907</v>
      </c>
      <c r="H12120" t="s">
        <v>30916</v>
      </c>
      <c r="I12120" t="s">
        <v>8123</v>
      </c>
      <c r="J12120" t="s">
        <v>38589</v>
      </c>
      <c r="K12120" t="s">
        <v>40286</v>
      </c>
      <c r="M12120" t="s">
        <v>40778</v>
      </c>
      <c r="N12120" t="s">
        <v>44759</v>
      </c>
      <c r="O12120" t="s">
        <v>44760</v>
      </c>
      <c r="P12120">
        <v>0</v>
      </c>
      <c r="Q12120">
        <v>1</v>
      </c>
      <c r="R12120" t="s">
        <v>44775</v>
      </c>
      <c r="S12120" t="s">
        <v>45343</v>
      </c>
      <c r="T12120" t="s">
        <v>46389</v>
      </c>
      <c r="U12120" t="s">
        <v>56910</v>
      </c>
      <c r="W12120" t="s">
        <v>40778</v>
      </c>
      <c r="X12120" t="s">
        <v>44776</v>
      </c>
    </row>
    <row r="12121" spans="1:24">
      <c r="A12121">
        <f>HYPERLINK("https://www.philgeps.gov.ph/GEPSNONPILOT/Tender/SplashBidNoticeAbstractUI.aspx?menuIndex=3&amp;refID=7125055&amp;Result=3","7125055")</f>
        <v>0</v>
      </c>
      <c r="B12121" t="s">
        <v>2017</v>
      </c>
      <c r="C12121" t="s">
        <v>15282</v>
      </c>
      <c r="D12121" t="s">
        <v>18003</v>
      </c>
      <c r="E12121" t="s">
        <v>28500</v>
      </c>
      <c r="F12121" t="s">
        <v>30900</v>
      </c>
      <c r="G12121" t="s">
        <v>30907</v>
      </c>
      <c r="H12121" t="s">
        <v>30916</v>
      </c>
      <c r="I12121" t="s">
        <v>10847</v>
      </c>
      <c r="J12121" t="s">
        <v>38590</v>
      </c>
      <c r="K12121" t="s">
        <v>40289</v>
      </c>
      <c r="M12121" t="s">
        <v>42713</v>
      </c>
      <c r="N12121" t="s">
        <v>44759</v>
      </c>
      <c r="O12121" t="s">
        <v>44760</v>
      </c>
      <c r="P12121">
        <v>0</v>
      </c>
      <c r="Q12121">
        <v>2</v>
      </c>
      <c r="R12121" t="s">
        <v>44775</v>
      </c>
      <c r="S12121" t="s">
        <v>45343</v>
      </c>
      <c r="T12121" t="s">
        <v>46531</v>
      </c>
      <c r="U12121" t="s">
        <v>56911</v>
      </c>
      <c r="W12121" t="s">
        <v>42713</v>
      </c>
      <c r="X12121" t="s">
        <v>44776</v>
      </c>
    </row>
    <row r="12122" spans="1:24">
      <c r="A12122">
        <f>HYPERLINK("https://www.philgeps.gov.ph/GEPSNONPILOT/Tender/SplashBidNoticeAbstractUI.aspx?menuIndex=3&amp;refID=7125929&amp;Result=3","7125929")</f>
        <v>0</v>
      </c>
      <c r="B12122" t="s">
        <v>3462</v>
      </c>
      <c r="C12122" t="s">
        <v>15283</v>
      </c>
      <c r="D12122" t="s">
        <v>17966</v>
      </c>
      <c r="E12122" t="s">
        <v>18727</v>
      </c>
      <c r="F12122" t="s">
        <v>30900</v>
      </c>
      <c r="G12122" t="s">
        <v>30907</v>
      </c>
      <c r="H12122" t="s">
        <v>30916</v>
      </c>
      <c r="I12122" t="s">
        <v>6953</v>
      </c>
      <c r="J12122" t="s">
        <v>31153</v>
      </c>
      <c r="K12122" t="s">
        <v>40286</v>
      </c>
      <c r="M12122" t="s">
        <v>44351</v>
      </c>
      <c r="N12122" t="s">
        <v>44759</v>
      </c>
      <c r="O12122" t="s">
        <v>44760</v>
      </c>
      <c r="P12122">
        <v>0</v>
      </c>
      <c r="Q12122">
        <v>2</v>
      </c>
      <c r="R12122" t="s">
        <v>44775</v>
      </c>
      <c r="S12122" t="s">
        <v>45343</v>
      </c>
      <c r="T12122" t="s">
        <v>46369</v>
      </c>
      <c r="U12122" t="s">
        <v>56912</v>
      </c>
      <c r="V12122" t="s">
        <v>60500</v>
      </c>
      <c r="W12122" t="s">
        <v>44351</v>
      </c>
      <c r="X12122" t="s">
        <v>44776</v>
      </c>
    </row>
    <row r="12123" spans="1:24">
      <c r="A12123">
        <f>HYPERLINK("https://www.philgeps.gov.ph/GEPSNONPILOT/Tender/SplashBidNoticeAbstractUI.aspx?menuIndex=3&amp;refID=7125803&amp;Result=3","7125803")</f>
        <v>0</v>
      </c>
      <c r="B12123" t="s">
        <v>3456</v>
      </c>
      <c r="C12123" t="s">
        <v>15284</v>
      </c>
      <c r="D12123" t="s">
        <v>17973</v>
      </c>
      <c r="E12123" t="s">
        <v>28501</v>
      </c>
      <c r="F12123" t="s">
        <v>30900</v>
      </c>
      <c r="G12123" t="s">
        <v>30907</v>
      </c>
      <c r="H12123" t="s">
        <v>30916</v>
      </c>
      <c r="I12123" t="s">
        <v>30924</v>
      </c>
      <c r="J12123" t="s">
        <v>31653</v>
      </c>
      <c r="K12123" t="s">
        <v>40286</v>
      </c>
      <c r="M12123" t="s">
        <v>44343</v>
      </c>
      <c r="N12123" t="s">
        <v>44759</v>
      </c>
      <c r="O12123" t="s">
        <v>44760</v>
      </c>
      <c r="P12123">
        <v>0</v>
      </c>
      <c r="Q12123">
        <v>4</v>
      </c>
      <c r="R12123" t="s">
        <v>44775</v>
      </c>
      <c r="S12123" t="s">
        <v>45343</v>
      </c>
      <c r="T12123" t="s">
        <v>46409</v>
      </c>
      <c r="U12123" t="s">
        <v>56868</v>
      </c>
      <c r="W12123" t="s">
        <v>44343</v>
      </c>
      <c r="X12123" t="s">
        <v>44776</v>
      </c>
    </row>
    <row r="12124" spans="1:24">
      <c r="A12124">
        <f>HYPERLINK("https://www.philgeps.gov.ph/GEPSNONPILOT/Tender/SplashBidNoticeAbstractUI.aspx?menuIndex=3&amp;refID=7125922&amp;Result=3","7125922")</f>
        <v>0</v>
      </c>
      <c r="B12124" t="s">
        <v>295</v>
      </c>
      <c r="C12124" t="s">
        <v>15285</v>
      </c>
      <c r="D12124" t="s">
        <v>17951</v>
      </c>
      <c r="E12124" t="s">
        <v>28502</v>
      </c>
      <c r="F12124" t="s">
        <v>30900</v>
      </c>
      <c r="G12124" t="s">
        <v>30907</v>
      </c>
      <c r="H12124" t="s">
        <v>30916</v>
      </c>
      <c r="I12124" t="s">
        <v>30942</v>
      </c>
      <c r="J12124" t="s">
        <v>38591</v>
      </c>
      <c r="K12124" t="s">
        <v>40293</v>
      </c>
      <c r="M12124" t="s">
        <v>43490</v>
      </c>
      <c r="N12124" t="s">
        <v>44759</v>
      </c>
      <c r="O12124" t="s">
        <v>44760</v>
      </c>
      <c r="Q12124">
        <v>0</v>
      </c>
      <c r="R12124" t="s">
        <v>44775</v>
      </c>
      <c r="S12124" t="s">
        <v>45431</v>
      </c>
      <c r="T12124" t="s">
        <v>46422</v>
      </c>
      <c r="U12124" t="s">
        <v>56913</v>
      </c>
      <c r="W12124" t="s">
        <v>43490</v>
      </c>
      <c r="X12124" t="s">
        <v>44776</v>
      </c>
    </row>
    <row r="12125" spans="1:24">
      <c r="A12125">
        <f>HYPERLINK("https://www.philgeps.gov.ph/GEPSNONPILOT/Tender/SplashBidNoticeAbstractUI.aspx?menuIndex=3&amp;refID=7125842&amp;Result=3","7125842")</f>
        <v>0</v>
      </c>
      <c r="B12125" t="s">
        <v>2209</v>
      </c>
      <c r="C12125" t="s">
        <v>15286</v>
      </c>
      <c r="D12125" t="s">
        <v>17959</v>
      </c>
      <c r="E12125" t="s">
        <v>15286</v>
      </c>
      <c r="F12125" t="s">
        <v>30900</v>
      </c>
      <c r="G12125" t="s">
        <v>30907</v>
      </c>
      <c r="H12125" t="s">
        <v>30916</v>
      </c>
      <c r="I12125" t="s">
        <v>9385</v>
      </c>
      <c r="J12125" t="s">
        <v>31391</v>
      </c>
      <c r="K12125" t="s">
        <v>40286</v>
      </c>
      <c r="M12125" t="s">
        <v>42917</v>
      </c>
      <c r="N12125" t="s">
        <v>44759</v>
      </c>
      <c r="O12125" t="s">
        <v>44760</v>
      </c>
      <c r="P12125">
        <v>0</v>
      </c>
      <c r="Q12125">
        <v>7</v>
      </c>
      <c r="R12125" t="s">
        <v>44775</v>
      </c>
      <c r="S12125" t="s">
        <v>45343</v>
      </c>
      <c r="T12125" t="s">
        <v>46425</v>
      </c>
      <c r="U12125" t="s">
        <v>48763</v>
      </c>
      <c r="W12125" t="s">
        <v>42917</v>
      </c>
      <c r="X12125" t="s">
        <v>44776</v>
      </c>
    </row>
    <row r="12126" spans="1:24">
      <c r="A12126">
        <f>HYPERLINK("https://www.philgeps.gov.ph/GEPSNONPILOT/Tender/SplashBidNoticeAbstractUI.aspx?menuIndex=3&amp;refID=7125926&amp;Result=3","7125926")</f>
        <v>0</v>
      </c>
      <c r="B12126" t="s">
        <v>3463</v>
      </c>
      <c r="C12126" t="s">
        <v>15287</v>
      </c>
      <c r="D12126" t="s">
        <v>17955</v>
      </c>
      <c r="E12126" t="s">
        <v>28503</v>
      </c>
      <c r="F12126" t="s">
        <v>30900</v>
      </c>
      <c r="G12126" t="s">
        <v>30909</v>
      </c>
      <c r="H12126" t="s">
        <v>30916</v>
      </c>
      <c r="I12126" t="s">
        <v>30940</v>
      </c>
      <c r="J12126" t="s">
        <v>38592</v>
      </c>
      <c r="K12126" t="s">
        <v>40283</v>
      </c>
      <c r="M12126" t="s">
        <v>44352</v>
      </c>
      <c r="N12126" t="s">
        <v>44759</v>
      </c>
      <c r="O12126" t="s">
        <v>44760</v>
      </c>
      <c r="Q12126">
        <v>2</v>
      </c>
      <c r="R12126" t="s">
        <v>44775</v>
      </c>
      <c r="S12126" t="s">
        <v>45432</v>
      </c>
      <c r="T12126" t="s">
        <v>46699</v>
      </c>
      <c r="U12126" t="s">
        <v>56914</v>
      </c>
      <c r="W12126" t="s">
        <v>44352</v>
      </c>
      <c r="X12126" t="s">
        <v>44776</v>
      </c>
    </row>
    <row r="12127" spans="1:24">
      <c r="A12127">
        <f>HYPERLINK("https://www.philgeps.gov.ph/GEPSNONPILOT/Tender/SplashBidNoticeAbstractUI.aspx?menuIndex=3&amp;refID=7125916&amp;Result=3","7125916")</f>
        <v>0</v>
      </c>
      <c r="B12127" t="s">
        <v>231</v>
      </c>
      <c r="C12127" t="s">
        <v>15288</v>
      </c>
      <c r="D12127" t="s">
        <v>17957</v>
      </c>
      <c r="E12127" t="s">
        <v>28504</v>
      </c>
      <c r="F12127" t="s">
        <v>30900</v>
      </c>
      <c r="G12127" t="s">
        <v>30907</v>
      </c>
      <c r="H12127" t="s">
        <v>30916</v>
      </c>
      <c r="I12127" t="s">
        <v>8123</v>
      </c>
      <c r="J12127" t="s">
        <v>38593</v>
      </c>
      <c r="K12127" t="s">
        <v>40286</v>
      </c>
      <c r="M12127" t="s">
        <v>40778</v>
      </c>
      <c r="N12127" t="s">
        <v>44759</v>
      </c>
      <c r="O12127" t="s">
        <v>44760</v>
      </c>
      <c r="P12127">
        <v>0</v>
      </c>
      <c r="Q12127">
        <v>0</v>
      </c>
      <c r="R12127" t="s">
        <v>44775</v>
      </c>
      <c r="S12127" t="s">
        <v>45343</v>
      </c>
      <c r="T12127" t="s">
        <v>46389</v>
      </c>
      <c r="U12127" t="s">
        <v>56915</v>
      </c>
      <c r="W12127" t="s">
        <v>40778</v>
      </c>
      <c r="X12127" t="s">
        <v>44776</v>
      </c>
    </row>
    <row r="12128" spans="1:24">
      <c r="A12128">
        <f>HYPERLINK("https://www.philgeps.gov.ph/GEPSNONPILOT/Tender/SplashBidNoticeAbstractUI.aspx?menuIndex=3&amp;refID=7125934&amp;Result=3","7125934")</f>
        <v>0</v>
      </c>
      <c r="B12128" t="s">
        <v>1071</v>
      </c>
      <c r="C12128" t="s">
        <v>15289</v>
      </c>
      <c r="D12128" t="s">
        <v>17971</v>
      </c>
      <c r="E12128" t="s">
        <v>28505</v>
      </c>
      <c r="F12128" t="s">
        <v>30900</v>
      </c>
      <c r="G12128" t="s">
        <v>30907</v>
      </c>
      <c r="H12128" t="s">
        <v>30916</v>
      </c>
      <c r="I12128" t="s">
        <v>30949</v>
      </c>
      <c r="J12128" t="s">
        <v>37625</v>
      </c>
      <c r="K12128" t="s">
        <v>40280</v>
      </c>
      <c r="M12128" t="s">
        <v>44353</v>
      </c>
      <c r="N12128" t="s">
        <v>44759</v>
      </c>
      <c r="O12128" t="s">
        <v>44760</v>
      </c>
      <c r="P12128">
        <v>0</v>
      </c>
      <c r="Q12128">
        <v>2</v>
      </c>
      <c r="R12128" t="s">
        <v>44775</v>
      </c>
      <c r="S12128" t="s">
        <v>45343</v>
      </c>
      <c r="T12128" t="s">
        <v>46418</v>
      </c>
      <c r="U12128" t="s">
        <v>56916</v>
      </c>
      <c r="W12128" t="s">
        <v>44353</v>
      </c>
      <c r="X12128" t="s">
        <v>44776</v>
      </c>
    </row>
    <row r="12129" spans="1:24">
      <c r="A12129">
        <f>HYPERLINK("https://www.philgeps.gov.ph/GEPSNONPILOT/Tender/SplashBidNoticeAbstractUI.aspx?menuIndex=3&amp;refID=7125901&amp;Result=3","7125901")</f>
        <v>0</v>
      </c>
      <c r="B12129" t="s">
        <v>2209</v>
      </c>
      <c r="C12129" t="s">
        <v>15290</v>
      </c>
      <c r="D12129" t="s">
        <v>17959</v>
      </c>
      <c r="E12129" t="s">
        <v>15290</v>
      </c>
      <c r="F12129" t="s">
        <v>30900</v>
      </c>
      <c r="G12129" t="s">
        <v>30907</v>
      </c>
      <c r="H12129" t="s">
        <v>30916</v>
      </c>
      <c r="I12129" t="s">
        <v>9385</v>
      </c>
      <c r="J12129" t="s">
        <v>31101</v>
      </c>
      <c r="K12129" t="s">
        <v>40286</v>
      </c>
      <c r="M12129" t="s">
        <v>42917</v>
      </c>
      <c r="N12129" t="s">
        <v>44759</v>
      </c>
      <c r="O12129" t="s">
        <v>44760</v>
      </c>
      <c r="P12129">
        <v>0</v>
      </c>
      <c r="Q12129">
        <v>13</v>
      </c>
      <c r="R12129" t="s">
        <v>44775</v>
      </c>
      <c r="S12129" t="s">
        <v>45343</v>
      </c>
      <c r="T12129" t="s">
        <v>46425</v>
      </c>
      <c r="U12129" t="s">
        <v>56917</v>
      </c>
      <c r="W12129" t="s">
        <v>42917</v>
      </c>
      <c r="X12129" t="s">
        <v>44776</v>
      </c>
    </row>
    <row r="12130" spans="1:24">
      <c r="A12130">
        <f>HYPERLINK("https://www.philgeps.gov.ph/GEPSNONPILOT/Tender/SplashBidNoticeAbstractUI.aspx?menuIndex=3&amp;refID=7125914&amp;Result=3","7125914")</f>
        <v>0</v>
      </c>
      <c r="B12130" t="s">
        <v>1284</v>
      </c>
      <c r="C12130" t="s">
        <v>15291</v>
      </c>
      <c r="D12130" t="s">
        <v>17959</v>
      </c>
      <c r="E12130" t="s">
        <v>28506</v>
      </c>
      <c r="F12130" t="s">
        <v>30900</v>
      </c>
      <c r="G12130" t="s">
        <v>30907</v>
      </c>
      <c r="H12130" t="s">
        <v>30916</v>
      </c>
      <c r="I12130" t="s">
        <v>9385</v>
      </c>
      <c r="J12130" t="s">
        <v>38594</v>
      </c>
      <c r="K12130" t="s">
        <v>40289</v>
      </c>
      <c r="M12130" t="s">
        <v>44354</v>
      </c>
      <c r="N12130" t="s">
        <v>44759</v>
      </c>
      <c r="O12130" t="s">
        <v>44760</v>
      </c>
      <c r="Q12130">
        <v>40</v>
      </c>
      <c r="R12130" t="s">
        <v>44775</v>
      </c>
      <c r="S12130" t="s">
        <v>45433</v>
      </c>
      <c r="T12130" t="s">
        <v>46399</v>
      </c>
      <c r="U12130" t="s">
        <v>56918</v>
      </c>
      <c r="W12130" t="s">
        <v>44354</v>
      </c>
      <c r="X12130" t="s">
        <v>44776</v>
      </c>
    </row>
    <row r="12131" spans="1:24">
      <c r="A12131">
        <f>HYPERLINK("https://www.philgeps.gov.ph/GEPSNONPILOT/Tender/SplashBidNoticeAbstractUI.aspx?menuIndex=3&amp;refID=7125898&amp;Result=3","7125898")</f>
        <v>0</v>
      </c>
      <c r="B12131" t="s">
        <v>1284</v>
      </c>
      <c r="C12131" t="s">
        <v>15292</v>
      </c>
      <c r="E12131" t="s">
        <v>28507</v>
      </c>
      <c r="F12131" t="s">
        <v>30900</v>
      </c>
      <c r="G12131" t="s">
        <v>30907</v>
      </c>
      <c r="H12131" t="s">
        <v>30916</v>
      </c>
      <c r="I12131" t="s">
        <v>30936</v>
      </c>
      <c r="J12131" t="s">
        <v>32616</v>
      </c>
      <c r="K12131" t="s">
        <v>40289</v>
      </c>
      <c r="M12131" t="s">
        <v>44354</v>
      </c>
      <c r="N12131" t="s">
        <v>44759</v>
      </c>
      <c r="O12131" t="s">
        <v>44760</v>
      </c>
      <c r="Q12131">
        <v>7</v>
      </c>
      <c r="R12131" t="s">
        <v>44775</v>
      </c>
      <c r="S12131" t="s">
        <v>45288</v>
      </c>
      <c r="T12131" t="s">
        <v>46399</v>
      </c>
      <c r="U12131" t="s">
        <v>56919</v>
      </c>
      <c r="W12131" t="s">
        <v>44354</v>
      </c>
      <c r="X12131" t="s">
        <v>44776</v>
      </c>
    </row>
    <row r="12132" spans="1:24">
      <c r="A12132">
        <f>HYPERLINK("https://www.philgeps.gov.ph/GEPSNONPILOT/Tender/SplashBidNoticeAbstractUI.aspx?menuIndex=3&amp;refID=7125896&amp;Result=3","7125896")</f>
        <v>0</v>
      </c>
      <c r="B12132" t="s">
        <v>295</v>
      </c>
      <c r="C12132" t="s">
        <v>15293</v>
      </c>
      <c r="D12132" t="s">
        <v>17951</v>
      </c>
      <c r="E12132" t="s">
        <v>28508</v>
      </c>
      <c r="F12132" t="s">
        <v>30900</v>
      </c>
      <c r="G12132" t="s">
        <v>30907</v>
      </c>
      <c r="H12132" t="s">
        <v>30916</v>
      </c>
      <c r="I12132" t="s">
        <v>30919</v>
      </c>
      <c r="J12132" t="s">
        <v>38595</v>
      </c>
      <c r="K12132" t="s">
        <v>40398</v>
      </c>
      <c r="M12132" t="s">
        <v>43490</v>
      </c>
      <c r="N12132" t="s">
        <v>44759</v>
      </c>
      <c r="O12132" t="s">
        <v>44760</v>
      </c>
      <c r="P12132">
        <v>0</v>
      </c>
      <c r="Q12132">
        <v>1</v>
      </c>
      <c r="R12132" t="s">
        <v>44775</v>
      </c>
      <c r="S12132" t="s">
        <v>45343</v>
      </c>
      <c r="T12132" t="s">
        <v>46422</v>
      </c>
      <c r="U12132" t="s">
        <v>56920</v>
      </c>
      <c r="W12132" t="s">
        <v>43490</v>
      </c>
      <c r="X12132" t="s">
        <v>44776</v>
      </c>
    </row>
    <row r="12133" spans="1:24">
      <c r="A12133">
        <f>HYPERLINK("https://www.philgeps.gov.ph/GEPSNONPILOT/Tender/SplashBidNoticeAbstractUI.aspx?menuIndex=3&amp;refID=7125891&amp;Result=3","7125891")</f>
        <v>0</v>
      </c>
      <c r="B12133" t="s">
        <v>231</v>
      </c>
      <c r="C12133" t="s">
        <v>15294</v>
      </c>
      <c r="D12133" t="s">
        <v>17957</v>
      </c>
      <c r="E12133" t="s">
        <v>28509</v>
      </c>
      <c r="F12133" t="s">
        <v>30900</v>
      </c>
      <c r="G12133" t="s">
        <v>30907</v>
      </c>
      <c r="H12133" t="s">
        <v>30915</v>
      </c>
      <c r="I12133" t="s">
        <v>30919</v>
      </c>
      <c r="J12133" t="s">
        <v>38596</v>
      </c>
      <c r="K12133" t="s">
        <v>40304</v>
      </c>
      <c r="M12133" t="s">
        <v>40778</v>
      </c>
      <c r="N12133" t="s">
        <v>44759</v>
      </c>
      <c r="O12133" t="s">
        <v>44760</v>
      </c>
      <c r="P12133">
        <v>0</v>
      </c>
      <c r="Q12133">
        <v>1</v>
      </c>
      <c r="R12133" t="s">
        <v>44775</v>
      </c>
      <c r="S12133" t="s">
        <v>45343</v>
      </c>
      <c r="T12133" t="s">
        <v>46389</v>
      </c>
      <c r="U12133" t="s">
        <v>56921</v>
      </c>
      <c r="W12133" t="s">
        <v>40778</v>
      </c>
      <c r="X12133" t="s">
        <v>44776</v>
      </c>
    </row>
    <row r="12134" spans="1:24">
      <c r="A12134">
        <f>HYPERLINK("https://www.philgeps.gov.ph/GEPSNONPILOT/Tender/SplashBidNoticeAbstractUI.aspx?menuIndex=3&amp;refID=7125889&amp;Result=3","7125889")</f>
        <v>0</v>
      </c>
      <c r="B12134" t="s">
        <v>2209</v>
      </c>
      <c r="C12134" t="s">
        <v>15295</v>
      </c>
      <c r="D12134" t="s">
        <v>17959</v>
      </c>
      <c r="E12134" t="s">
        <v>15295</v>
      </c>
      <c r="F12134" t="s">
        <v>30900</v>
      </c>
      <c r="G12134" t="s">
        <v>30907</v>
      </c>
      <c r="H12134" t="s">
        <v>30916</v>
      </c>
      <c r="I12134" t="s">
        <v>5830</v>
      </c>
      <c r="J12134" t="s">
        <v>31152</v>
      </c>
      <c r="K12134" t="s">
        <v>40286</v>
      </c>
      <c r="M12134" t="s">
        <v>42917</v>
      </c>
      <c r="N12134" t="s">
        <v>44759</v>
      </c>
      <c r="O12134" t="s">
        <v>44760</v>
      </c>
      <c r="P12134">
        <v>0</v>
      </c>
      <c r="Q12134">
        <v>11</v>
      </c>
      <c r="R12134" t="s">
        <v>44775</v>
      </c>
      <c r="S12134" t="s">
        <v>45343</v>
      </c>
      <c r="T12134" t="s">
        <v>46425</v>
      </c>
      <c r="U12134" t="s">
        <v>56922</v>
      </c>
      <c r="W12134" t="s">
        <v>42917</v>
      </c>
      <c r="X12134" t="s">
        <v>44776</v>
      </c>
    </row>
    <row r="12135" spans="1:24">
      <c r="A12135">
        <f>HYPERLINK("https://www.philgeps.gov.ph/GEPSNONPILOT/Tender/SplashBidNoticeAbstractUI.aspx?menuIndex=3&amp;refID=7125917&amp;Result=3","7125917")</f>
        <v>0</v>
      </c>
      <c r="B12135" t="s">
        <v>942</v>
      </c>
      <c r="C12135" t="s">
        <v>15296</v>
      </c>
      <c r="D12135" t="s">
        <v>18009</v>
      </c>
      <c r="E12135" t="s">
        <v>28510</v>
      </c>
      <c r="F12135" t="s">
        <v>30900</v>
      </c>
      <c r="G12135" t="s">
        <v>30907</v>
      </c>
      <c r="H12135" t="s">
        <v>30915</v>
      </c>
      <c r="I12135" t="s">
        <v>30919</v>
      </c>
      <c r="J12135" t="s">
        <v>38597</v>
      </c>
      <c r="K12135" t="s">
        <v>40280</v>
      </c>
      <c r="M12135" t="s">
        <v>41526</v>
      </c>
      <c r="N12135" t="s">
        <v>44759</v>
      </c>
      <c r="O12135" t="s">
        <v>44760</v>
      </c>
      <c r="P12135">
        <v>0</v>
      </c>
      <c r="Q12135">
        <v>0</v>
      </c>
      <c r="R12135" t="s">
        <v>44775</v>
      </c>
      <c r="S12135" t="s">
        <v>45343</v>
      </c>
      <c r="T12135" t="s">
        <v>46369</v>
      </c>
      <c r="U12135" t="s">
        <v>56923</v>
      </c>
      <c r="W12135" t="s">
        <v>41526</v>
      </c>
      <c r="X12135" t="s">
        <v>44776</v>
      </c>
    </row>
    <row r="12136" spans="1:24">
      <c r="A12136">
        <f>HYPERLINK("https://www.philgeps.gov.ph/GEPSNONPILOT/Tender/SplashBidNoticeAbstractUI.aspx?menuIndex=3&amp;refID=7125879&amp;Result=3","7125879")</f>
        <v>0</v>
      </c>
      <c r="B12136" t="s">
        <v>3462</v>
      </c>
      <c r="C12136" t="s">
        <v>15297</v>
      </c>
      <c r="D12136" t="s">
        <v>17966</v>
      </c>
      <c r="E12136" t="s">
        <v>22351</v>
      </c>
      <c r="F12136" t="s">
        <v>30900</v>
      </c>
      <c r="G12136" t="s">
        <v>30907</v>
      </c>
      <c r="H12136" t="s">
        <v>30916</v>
      </c>
      <c r="I12136" t="s">
        <v>30939</v>
      </c>
      <c r="J12136" t="s">
        <v>31152</v>
      </c>
      <c r="K12136" t="s">
        <v>40286</v>
      </c>
      <c r="M12136" t="s">
        <v>44351</v>
      </c>
      <c r="N12136" t="s">
        <v>44759</v>
      </c>
      <c r="O12136" t="s">
        <v>44760</v>
      </c>
      <c r="P12136">
        <v>0</v>
      </c>
      <c r="Q12136">
        <v>0</v>
      </c>
      <c r="R12136" t="s">
        <v>44775</v>
      </c>
      <c r="S12136" t="s">
        <v>45343</v>
      </c>
      <c r="T12136" t="s">
        <v>46369</v>
      </c>
      <c r="U12136" t="s">
        <v>56924</v>
      </c>
      <c r="V12136" t="s">
        <v>60501</v>
      </c>
      <c r="W12136" t="s">
        <v>44351</v>
      </c>
      <c r="X12136" t="s">
        <v>44776</v>
      </c>
    </row>
    <row r="12137" spans="1:24">
      <c r="A12137">
        <f>HYPERLINK("https://www.philgeps.gov.ph/GEPSNONPILOT/Tender/SplashBidNoticeAbstractUI.aspx?menuIndex=3&amp;refID=7125183&amp;Result=3","7125183")</f>
        <v>0</v>
      </c>
      <c r="B12137" t="s">
        <v>628</v>
      </c>
      <c r="C12137" t="s">
        <v>15298</v>
      </c>
      <c r="D12137" t="s">
        <v>17961</v>
      </c>
      <c r="E12137" t="s">
        <v>28511</v>
      </c>
      <c r="F12137" t="s">
        <v>30900</v>
      </c>
      <c r="G12137" t="s">
        <v>30913</v>
      </c>
      <c r="H12137" t="s">
        <v>30916</v>
      </c>
      <c r="I12137" t="s">
        <v>30949</v>
      </c>
      <c r="J12137" t="s">
        <v>38598</v>
      </c>
      <c r="K12137" t="s">
        <v>40304</v>
      </c>
      <c r="M12137" t="s">
        <v>43298</v>
      </c>
      <c r="N12137" t="s">
        <v>44759</v>
      </c>
      <c r="O12137" t="s">
        <v>44760</v>
      </c>
      <c r="P12137">
        <v>0</v>
      </c>
      <c r="Q12137">
        <v>4</v>
      </c>
      <c r="R12137" t="s">
        <v>44775</v>
      </c>
      <c r="S12137" t="s">
        <v>45343</v>
      </c>
      <c r="T12137" t="s">
        <v>46389</v>
      </c>
      <c r="U12137" t="s">
        <v>56925</v>
      </c>
      <c r="V12137" t="s">
        <v>59929</v>
      </c>
      <c r="W12137" t="s">
        <v>43298</v>
      </c>
      <c r="X12137" t="s">
        <v>44776</v>
      </c>
    </row>
    <row r="12138" spans="1:24">
      <c r="A12138">
        <f>HYPERLINK("https://www.philgeps.gov.ph/GEPSNONPILOT/Tender/SplashBidNoticeAbstractUI.aspx?menuIndex=3&amp;refID=7125047&amp;Result=3","7125047")</f>
        <v>0</v>
      </c>
      <c r="B12138" t="s">
        <v>3445</v>
      </c>
      <c r="C12138" t="s">
        <v>15299</v>
      </c>
      <c r="D12138" t="s">
        <v>17993</v>
      </c>
      <c r="E12138" t="s">
        <v>28512</v>
      </c>
      <c r="F12138" t="s">
        <v>30900</v>
      </c>
      <c r="G12138" t="s">
        <v>30907</v>
      </c>
      <c r="H12138" t="s">
        <v>30915</v>
      </c>
      <c r="I12138" t="s">
        <v>30919</v>
      </c>
      <c r="J12138" t="s">
        <v>32276</v>
      </c>
      <c r="K12138" t="s">
        <v>40401</v>
      </c>
      <c r="M12138" t="s">
        <v>44326</v>
      </c>
      <c r="N12138" t="s">
        <v>44759</v>
      </c>
      <c r="O12138" t="s">
        <v>44760</v>
      </c>
      <c r="P12138">
        <v>0</v>
      </c>
      <c r="Q12138">
        <v>12</v>
      </c>
      <c r="R12138" t="s">
        <v>44775</v>
      </c>
      <c r="S12138" t="s">
        <v>45343</v>
      </c>
      <c r="T12138" t="s">
        <v>46409</v>
      </c>
      <c r="U12138" t="s">
        <v>56926</v>
      </c>
      <c r="V12138" t="s">
        <v>60502</v>
      </c>
      <c r="W12138" t="s">
        <v>44326</v>
      </c>
      <c r="X12138" t="s">
        <v>44776</v>
      </c>
    </row>
    <row r="12139" spans="1:24">
      <c r="A12139">
        <f>HYPERLINK("https://www.philgeps.gov.ph/GEPSNONPILOT/Tender/SplashBidNoticeAbstractUI.aspx?menuIndex=3&amp;refID=7125883&amp;Result=3","7125883")</f>
        <v>0</v>
      </c>
      <c r="B12139" t="s">
        <v>1071</v>
      </c>
      <c r="C12139" t="s">
        <v>15300</v>
      </c>
      <c r="D12139" t="s">
        <v>17971</v>
      </c>
      <c r="E12139" t="s">
        <v>28513</v>
      </c>
      <c r="F12139" t="s">
        <v>30900</v>
      </c>
      <c r="G12139" t="s">
        <v>30907</v>
      </c>
      <c r="H12139" t="s">
        <v>30916</v>
      </c>
      <c r="I12139" t="s">
        <v>30947</v>
      </c>
      <c r="J12139" t="s">
        <v>38599</v>
      </c>
      <c r="K12139" t="s">
        <v>40293</v>
      </c>
      <c r="M12139" t="s">
        <v>44353</v>
      </c>
      <c r="N12139" t="s">
        <v>44759</v>
      </c>
      <c r="O12139" t="s">
        <v>44760</v>
      </c>
      <c r="P12139">
        <v>0</v>
      </c>
      <c r="Q12139">
        <v>1</v>
      </c>
      <c r="R12139" t="s">
        <v>44775</v>
      </c>
      <c r="S12139" t="s">
        <v>45343</v>
      </c>
      <c r="T12139" t="s">
        <v>46418</v>
      </c>
      <c r="U12139" t="s">
        <v>56927</v>
      </c>
      <c r="W12139" t="s">
        <v>44353</v>
      </c>
      <c r="X12139" t="s">
        <v>44776</v>
      </c>
    </row>
    <row r="12140" spans="1:24">
      <c r="A12140">
        <f>HYPERLINK("https://www.philgeps.gov.ph/GEPSNONPILOT/Tender/SplashBidNoticeAbstractUI.aspx?menuIndex=3&amp;refID=7124805&amp;Result=3","7124805")</f>
        <v>0</v>
      </c>
      <c r="B12140" t="s">
        <v>305</v>
      </c>
      <c r="C12140" t="s">
        <v>15301</v>
      </c>
      <c r="D12140" t="s">
        <v>17972</v>
      </c>
      <c r="E12140" t="s">
        <v>22674</v>
      </c>
      <c r="F12140" t="s">
        <v>30900</v>
      </c>
      <c r="G12140" t="s">
        <v>30907</v>
      </c>
      <c r="H12140" t="s">
        <v>30915</v>
      </c>
      <c r="I12140" t="s">
        <v>30919</v>
      </c>
      <c r="J12140" t="s">
        <v>38487</v>
      </c>
      <c r="K12140" t="s">
        <v>40447</v>
      </c>
      <c r="M12140" t="s">
        <v>40855</v>
      </c>
      <c r="N12140" t="s">
        <v>44759</v>
      </c>
      <c r="O12140" t="s">
        <v>44760</v>
      </c>
      <c r="P12140">
        <v>0</v>
      </c>
      <c r="Q12140">
        <v>0</v>
      </c>
      <c r="R12140" t="s">
        <v>44775</v>
      </c>
      <c r="S12140" t="s">
        <v>45343</v>
      </c>
      <c r="T12140" t="s">
        <v>46418</v>
      </c>
      <c r="U12140" t="s">
        <v>56928</v>
      </c>
      <c r="W12140" t="s">
        <v>40855</v>
      </c>
      <c r="X12140" t="s">
        <v>44776</v>
      </c>
    </row>
    <row r="12141" spans="1:24">
      <c r="A12141">
        <f>HYPERLINK("https://www.philgeps.gov.ph/GEPSNONPILOT/Tender/SplashBidNoticeAbstractUI.aspx?menuIndex=3&amp;refID=7124802&amp;Result=3","7124802")</f>
        <v>0</v>
      </c>
      <c r="B12141" t="s">
        <v>75</v>
      </c>
      <c r="C12141" t="s">
        <v>15302</v>
      </c>
      <c r="D12141" t="s">
        <v>17985</v>
      </c>
      <c r="E12141" t="s">
        <v>28514</v>
      </c>
      <c r="F12141" t="s">
        <v>30900</v>
      </c>
      <c r="G12141" t="s">
        <v>30907</v>
      </c>
      <c r="H12141" t="s">
        <v>30915</v>
      </c>
      <c r="I12141" t="s">
        <v>30919</v>
      </c>
      <c r="J12141" t="s">
        <v>38600</v>
      </c>
      <c r="K12141" t="s">
        <v>40345</v>
      </c>
      <c r="M12141" t="s">
        <v>40622</v>
      </c>
      <c r="N12141" t="s">
        <v>44759</v>
      </c>
      <c r="O12141" t="s">
        <v>44760</v>
      </c>
      <c r="P12141">
        <v>0</v>
      </c>
      <c r="Q12141">
        <v>4</v>
      </c>
      <c r="R12141" t="s">
        <v>44775</v>
      </c>
      <c r="S12141" t="s">
        <v>45343</v>
      </c>
      <c r="T12141" t="s">
        <v>46389</v>
      </c>
      <c r="U12141" t="s">
        <v>56929</v>
      </c>
      <c r="W12141" t="s">
        <v>40622</v>
      </c>
      <c r="X12141" t="s">
        <v>44776</v>
      </c>
    </row>
    <row r="12142" spans="1:24">
      <c r="A12142">
        <f>HYPERLINK("https://www.philgeps.gov.ph/GEPSNONPILOT/Tender/SplashBidNoticeAbstractUI.aspx?menuIndex=3&amp;refID=7124798&amp;Result=3","7124798")</f>
        <v>0</v>
      </c>
      <c r="B12142" t="s">
        <v>1188</v>
      </c>
      <c r="C12142" t="s">
        <v>15303</v>
      </c>
      <c r="D12142" t="s">
        <v>18019</v>
      </c>
      <c r="E12142" t="s">
        <v>28515</v>
      </c>
      <c r="F12142" t="s">
        <v>30900</v>
      </c>
      <c r="G12142" t="s">
        <v>30907</v>
      </c>
      <c r="H12142" t="s">
        <v>30916</v>
      </c>
      <c r="I12142" t="s">
        <v>30922</v>
      </c>
      <c r="J12142" t="s">
        <v>35994</v>
      </c>
      <c r="K12142" t="s">
        <v>40286</v>
      </c>
      <c r="M12142" t="s">
        <v>44355</v>
      </c>
      <c r="N12142" t="s">
        <v>44759</v>
      </c>
      <c r="O12142" t="s">
        <v>44760</v>
      </c>
      <c r="P12142">
        <v>0</v>
      </c>
      <c r="Q12142">
        <v>7</v>
      </c>
      <c r="R12142" t="s">
        <v>44775</v>
      </c>
      <c r="S12142" t="s">
        <v>45343</v>
      </c>
      <c r="T12142" t="s">
        <v>46389</v>
      </c>
      <c r="U12142" t="s">
        <v>56930</v>
      </c>
      <c r="W12142" t="s">
        <v>44355</v>
      </c>
      <c r="X12142" t="s">
        <v>44776</v>
      </c>
    </row>
    <row r="12143" spans="1:24">
      <c r="A12143">
        <f>HYPERLINK("https://www.philgeps.gov.ph/GEPSNONPILOT/Tender/SplashBidNoticeAbstractUI.aspx?menuIndex=3&amp;refID=7124797&amp;Result=3","7124797")</f>
        <v>0</v>
      </c>
      <c r="B12143" t="s">
        <v>1978</v>
      </c>
      <c r="C12143" t="s">
        <v>15304</v>
      </c>
      <c r="D12143" t="s">
        <v>17993</v>
      </c>
      <c r="E12143" t="s">
        <v>28516</v>
      </c>
      <c r="F12143" t="s">
        <v>30900</v>
      </c>
      <c r="G12143" t="s">
        <v>30907</v>
      </c>
      <c r="H12143" t="s">
        <v>30916</v>
      </c>
      <c r="I12143" t="s">
        <v>8123</v>
      </c>
      <c r="J12143" t="s">
        <v>38601</v>
      </c>
      <c r="K12143" t="s">
        <v>40289</v>
      </c>
      <c r="M12143" t="s">
        <v>42667</v>
      </c>
      <c r="N12143" t="s">
        <v>44759</v>
      </c>
      <c r="O12143" t="s">
        <v>44760</v>
      </c>
      <c r="P12143">
        <v>0</v>
      </c>
      <c r="Q12143">
        <v>1</v>
      </c>
      <c r="R12143" t="s">
        <v>44775</v>
      </c>
      <c r="S12143" t="s">
        <v>45343</v>
      </c>
      <c r="T12143" t="s">
        <v>46352</v>
      </c>
      <c r="U12143" t="s">
        <v>56931</v>
      </c>
      <c r="W12143" t="s">
        <v>42667</v>
      </c>
      <c r="X12143" t="s">
        <v>44776</v>
      </c>
    </row>
    <row r="12144" spans="1:24">
      <c r="A12144">
        <f>HYPERLINK("https://www.philgeps.gov.ph/GEPSNONPILOT/Tender/SplashBidNoticeAbstractUI.aspx?menuIndex=3&amp;refID=7124662&amp;Result=3","7124662")</f>
        <v>0</v>
      </c>
      <c r="B12144" t="s">
        <v>3425</v>
      </c>
      <c r="C12144" t="s">
        <v>15305</v>
      </c>
      <c r="D12144" t="s">
        <v>17976</v>
      </c>
      <c r="E12144" t="s">
        <v>28517</v>
      </c>
      <c r="F12144" t="s">
        <v>30900</v>
      </c>
      <c r="G12144" t="s">
        <v>30907</v>
      </c>
      <c r="H12144" t="s">
        <v>7411</v>
      </c>
      <c r="I12144" t="s">
        <v>7411</v>
      </c>
      <c r="J12144" t="s">
        <v>38602</v>
      </c>
      <c r="K12144" t="s">
        <v>40320</v>
      </c>
      <c r="M12144" t="s">
        <v>44305</v>
      </c>
      <c r="N12144" t="s">
        <v>44759</v>
      </c>
      <c r="O12144" t="s">
        <v>44760</v>
      </c>
      <c r="P12144">
        <v>0</v>
      </c>
      <c r="Q12144">
        <v>8</v>
      </c>
      <c r="R12144" t="s">
        <v>44775</v>
      </c>
      <c r="S12144" t="s">
        <v>45343</v>
      </c>
      <c r="T12144" t="s">
        <v>46495</v>
      </c>
      <c r="U12144" t="s">
        <v>56733</v>
      </c>
      <c r="W12144" t="s">
        <v>44305</v>
      </c>
      <c r="X12144" t="s">
        <v>44776</v>
      </c>
    </row>
    <row r="12145" spans="1:24">
      <c r="A12145">
        <f>HYPERLINK("https://www.philgeps.gov.ph/GEPSNONPILOT/Tender/SplashBidNoticeAbstractUI.aspx?menuIndex=3&amp;refID=7125873&amp;Result=3","7125873")</f>
        <v>0</v>
      </c>
      <c r="B12145" t="s">
        <v>295</v>
      </c>
      <c r="C12145" t="s">
        <v>15306</v>
      </c>
      <c r="D12145" t="s">
        <v>17951</v>
      </c>
      <c r="E12145" t="s">
        <v>28518</v>
      </c>
      <c r="F12145" t="s">
        <v>30900</v>
      </c>
      <c r="G12145" t="s">
        <v>30907</v>
      </c>
      <c r="H12145" t="s">
        <v>30915</v>
      </c>
      <c r="I12145" t="s">
        <v>30919</v>
      </c>
      <c r="J12145" t="s">
        <v>38603</v>
      </c>
      <c r="K12145" t="s">
        <v>40304</v>
      </c>
      <c r="M12145" t="s">
        <v>43490</v>
      </c>
      <c r="N12145" t="s">
        <v>44759</v>
      </c>
      <c r="O12145" t="s">
        <v>44760</v>
      </c>
      <c r="P12145">
        <v>0</v>
      </c>
      <c r="Q12145">
        <v>1</v>
      </c>
      <c r="R12145" t="s">
        <v>44775</v>
      </c>
      <c r="S12145" t="s">
        <v>45343</v>
      </c>
      <c r="T12145" t="s">
        <v>46422</v>
      </c>
      <c r="U12145" t="s">
        <v>56932</v>
      </c>
      <c r="W12145" t="s">
        <v>43490</v>
      </c>
      <c r="X12145" t="s">
        <v>44776</v>
      </c>
    </row>
    <row r="12146" spans="1:24">
      <c r="A12146">
        <f>HYPERLINK("https://www.philgeps.gov.ph/GEPSNONPILOT/Tender/SplashBidNoticeAbstractUI.aspx?menuIndex=3&amp;refID=7124811&amp;Result=3","7124811")</f>
        <v>0</v>
      </c>
      <c r="B12146" t="s">
        <v>448</v>
      </c>
      <c r="C12146" t="s">
        <v>15307</v>
      </c>
      <c r="D12146" t="s">
        <v>17987</v>
      </c>
      <c r="E12146" t="s">
        <v>28519</v>
      </c>
      <c r="F12146" t="s">
        <v>30900</v>
      </c>
      <c r="G12146" t="s">
        <v>30907</v>
      </c>
      <c r="H12146" t="s">
        <v>30916</v>
      </c>
      <c r="I12146" t="s">
        <v>8123</v>
      </c>
      <c r="J12146" t="s">
        <v>38604</v>
      </c>
      <c r="K12146" t="s">
        <v>40287</v>
      </c>
      <c r="M12146" t="s">
        <v>41005</v>
      </c>
      <c r="N12146" t="s">
        <v>44759</v>
      </c>
      <c r="O12146" t="s">
        <v>44760</v>
      </c>
      <c r="P12146">
        <v>0</v>
      </c>
      <c r="Q12146">
        <v>0</v>
      </c>
      <c r="R12146" t="s">
        <v>44775</v>
      </c>
      <c r="S12146" t="s">
        <v>45343</v>
      </c>
      <c r="T12146" t="s">
        <v>46387</v>
      </c>
      <c r="U12146" t="s">
        <v>56933</v>
      </c>
      <c r="W12146" t="s">
        <v>41005</v>
      </c>
      <c r="X12146" t="s">
        <v>44776</v>
      </c>
    </row>
    <row r="12147" spans="1:24">
      <c r="A12147">
        <f>HYPERLINK("https://www.philgeps.gov.ph/GEPSNONPILOT/Tender/SplashBidNoticeAbstractUI.aspx?menuIndex=3&amp;refID=7124498&amp;Result=3","7124498")</f>
        <v>0</v>
      </c>
      <c r="B12147" t="s">
        <v>3423</v>
      </c>
      <c r="C12147" t="s">
        <v>12434</v>
      </c>
      <c r="D12147" t="s">
        <v>17952</v>
      </c>
      <c r="E12147" t="s">
        <v>18608</v>
      </c>
      <c r="F12147" t="s">
        <v>30900</v>
      </c>
      <c r="G12147" t="s">
        <v>30907</v>
      </c>
      <c r="H12147" t="s">
        <v>30916</v>
      </c>
      <c r="I12147" t="s">
        <v>8123</v>
      </c>
      <c r="J12147" t="s">
        <v>38605</v>
      </c>
      <c r="K12147" t="s">
        <v>40283</v>
      </c>
      <c r="M12147" t="s">
        <v>44302</v>
      </c>
      <c r="N12147" t="s">
        <v>44759</v>
      </c>
      <c r="O12147" t="s">
        <v>44760</v>
      </c>
      <c r="P12147">
        <v>0</v>
      </c>
      <c r="Q12147">
        <v>0</v>
      </c>
      <c r="R12147" t="s">
        <v>44775</v>
      </c>
      <c r="S12147" t="s">
        <v>45343</v>
      </c>
      <c r="T12147" t="s">
        <v>46625</v>
      </c>
      <c r="U12147" t="s">
        <v>56934</v>
      </c>
      <c r="W12147" t="s">
        <v>44302</v>
      </c>
      <c r="X12147" t="s">
        <v>44776</v>
      </c>
    </row>
    <row r="12148" spans="1:24">
      <c r="A12148">
        <f>HYPERLINK("https://www.philgeps.gov.ph/GEPSNONPILOT/Tender/SplashBidNoticeAbstractUI.aspx?menuIndex=3&amp;refID=7125831&amp;Result=3","7125831")</f>
        <v>0</v>
      </c>
      <c r="B12148" t="s">
        <v>85</v>
      </c>
      <c r="C12148" t="s">
        <v>15308</v>
      </c>
      <c r="D12148" t="s">
        <v>17991</v>
      </c>
      <c r="E12148" t="s">
        <v>28520</v>
      </c>
      <c r="F12148" t="s">
        <v>30900</v>
      </c>
      <c r="G12148" t="s">
        <v>30907</v>
      </c>
      <c r="H12148" t="s">
        <v>30916</v>
      </c>
      <c r="I12148" t="s">
        <v>30924</v>
      </c>
      <c r="J12148" t="s">
        <v>38606</v>
      </c>
      <c r="K12148" t="s">
        <v>40289</v>
      </c>
      <c r="M12148" t="s">
        <v>40632</v>
      </c>
      <c r="N12148" t="s">
        <v>44759</v>
      </c>
      <c r="O12148" t="s">
        <v>44760</v>
      </c>
      <c r="Q12148">
        <v>2</v>
      </c>
      <c r="R12148" t="s">
        <v>44775</v>
      </c>
      <c r="S12148" t="s">
        <v>45434</v>
      </c>
      <c r="T12148" t="s">
        <v>46387</v>
      </c>
      <c r="U12148" t="s">
        <v>56935</v>
      </c>
      <c r="W12148" t="s">
        <v>60817</v>
      </c>
      <c r="X12148" t="s">
        <v>44776</v>
      </c>
    </row>
    <row r="12149" spans="1:24">
      <c r="A12149">
        <f>HYPERLINK("https://www.philgeps.gov.ph/GEPSNONPILOT/Tender/SplashBidNoticeAbstractUI.aspx?menuIndex=3&amp;refID=7125874&amp;Result=3","7125874")</f>
        <v>0</v>
      </c>
      <c r="B12149" t="s">
        <v>231</v>
      </c>
      <c r="C12149" t="s">
        <v>15309</v>
      </c>
      <c r="D12149" t="s">
        <v>17957</v>
      </c>
      <c r="E12149" t="s">
        <v>28521</v>
      </c>
      <c r="F12149" t="s">
        <v>30900</v>
      </c>
      <c r="G12149" t="s">
        <v>30907</v>
      </c>
      <c r="H12149" t="s">
        <v>30916</v>
      </c>
      <c r="I12149" t="s">
        <v>6953</v>
      </c>
      <c r="J12149" t="s">
        <v>38607</v>
      </c>
      <c r="K12149" t="s">
        <v>40286</v>
      </c>
      <c r="M12149" t="s">
        <v>40778</v>
      </c>
      <c r="N12149" t="s">
        <v>44759</v>
      </c>
      <c r="O12149" t="s">
        <v>44760</v>
      </c>
      <c r="P12149">
        <v>0</v>
      </c>
      <c r="Q12149">
        <v>1</v>
      </c>
      <c r="R12149" t="s">
        <v>44775</v>
      </c>
      <c r="S12149" t="s">
        <v>45343</v>
      </c>
      <c r="T12149" t="s">
        <v>46389</v>
      </c>
      <c r="U12149" t="s">
        <v>56936</v>
      </c>
      <c r="W12149" t="s">
        <v>40778</v>
      </c>
      <c r="X12149" t="s">
        <v>44776</v>
      </c>
    </row>
    <row r="12150" spans="1:24">
      <c r="A12150">
        <f>HYPERLINK("https://www.philgeps.gov.ph/GEPSNONPILOT/Tender/SplashBidNoticeAbstractUI.aspx?menuIndex=3&amp;refID=7124384&amp;Result=3","7124384")</f>
        <v>0</v>
      </c>
      <c r="B12150" t="s">
        <v>888</v>
      </c>
      <c r="C12150" t="s">
        <v>15310</v>
      </c>
      <c r="D12150" t="s">
        <v>17951</v>
      </c>
      <c r="E12150" t="s">
        <v>28522</v>
      </c>
      <c r="F12150" t="s">
        <v>30900</v>
      </c>
      <c r="G12150" t="s">
        <v>30907</v>
      </c>
      <c r="H12150" t="s">
        <v>30916</v>
      </c>
      <c r="I12150" t="s">
        <v>8123</v>
      </c>
      <c r="J12150" t="s">
        <v>38608</v>
      </c>
      <c r="K12150" t="s">
        <v>40286</v>
      </c>
      <c r="M12150" t="s">
        <v>41461</v>
      </c>
      <c r="N12150" t="s">
        <v>44759</v>
      </c>
      <c r="O12150" t="s">
        <v>44760</v>
      </c>
      <c r="P12150">
        <v>0</v>
      </c>
      <c r="Q12150">
        <v>0</v>
      </c>
      <c r="R12150" t="s">
        <v>44775</v>
      </c>
      <c r="S12150" t="s">
        <v>45343</v>
      </c>
      <c r="T12150" t="s">
        <v>46422</v>
      </c>
      <c r="U12150" t="s">
        <v>56937</v>
      </c>
      <c r="V12150" t="s">
        <v>60503</v>
      </c>
      <c r="W12150" t="s">
        <v>41461</v>
      </c>
      <c r="X12150" t="s">
        <v>44776</v>
      </c>
    </row>
    <row r="12151" spans="1:24">
      <c r="A12151">
        <f>HYPERLINK("https://www.philgeps.gov.ph/GEPSNONPILOT/Tender/SplashBidNoticeAbstractUI.aspx?menuIndex=3&amp;refID=7126012&amp;Result=3","7126012")</f>
        <v>0</v>
      </c>
      <c r="B12151" t="s">
        <v>3464</v>
      </c>
      <c r="C12151" t="s">
        <v>15311</v>
      </c>
      <c r="D12151" t="s">
        <v>17979</v>
      </c>
      <c r="E12151" t="s">
        <v>28523</v>
      </c>
      <c r="F12151" t="s">
        <v>30900</v>
      </c>
      <c r="G12151" t="s">
        <v>30907</v>
      </c>
      <c r="H12151" t="s">
        <v>30915</v>
      </c>
      <c r="I12151" t="s">
        <v>30919</v>
      </c>
      <c r="J12151" t="s">
        <v>38609</v>
      </c>
      <c r="K12151" t="s">
        <v>40289</v>
      </c>
      <c r="M12151" t="s">
        <v>44356</v>
      </c>
      <c r="N12151" t="s">
        <v>44759</v>
      </c>
      <c r="O12151" t="s">
        <v>44760</v>
      </c>
      <c r="P12151">
        <v>0</v>
      </c>
      <c r="Q12151">
        <v>138</v>
      </c>
      <c r="R12151" t="s">
        <v>44775</v>
      </c>
      <c r="S12151" t="s">
        <v>45343</v>
      </c>
      <c r="T12151" t="s">
        <v>46357</v>
      </c>
      <c r="U12151" t="s">
        <v>56938</v>
      </c>
      <c r="W12151" t="s">
        <v>44356</v>
      </c>
      <c r="X12151" t="s">
        <v>44776</v>
      </c>
    </row>
    <row r="12152" spans="1:24">
      <c r="A12152">
        <f>HYPERLINK("https://www.philgeps.gov.ph/GEPSNONPILOT/Tender/SplashBidNoticeAbstractUI.aspx?menuIndex=3&amp;refID=7125932&amp;Result=3","7125932")</f>
        <v>0</v>
      </c>
      <c r="B12152" t="s">
        <v>3094</v>
      </c>
      <c r="C12152" t="s">
        <v>15312</v>
      </c>
      <c r="D12152" t="s">
        <v>18004</v>
      </c>
      <c r="E12152" t="s">
        <v>28524</v>
      </c>
      <c r="F12152" t="s">
        <v>30900</v>
      </c>
      <c r="G12152" t="s">
        <v>30907</v>
      </c>
      <c r="H12152" t="s">
        <v>30916</v>
      </c>
      <c r="I12152" t="s">
        <v>6953</v>
      </c>
      <c r="J12152" t="s">
        <v>38610</v>
      </c>
      <c r="K12152" t="s">
        <v>40286</v>
      </c>
      <c r="M12152" t="s">
        <v>43906</v>
      </c>
      <c r="N12152" t="s">
        <v>44759</v>
      </c>
      <c r="O12152" t="s">
        <v>44760</v>
      </c>
      <c r="P12152">
        <v>0</v>
      </c>
      <c r="Q12152">
        <v>3</v>
      </c>
      <c r="R12152" t="s">
        <v>44775</v>
      </c>
      <c r="S12152" t="s">
        <v>45343</v>
      </c>
      <c r="T12152" t="s">
        <v>46376</v>
      </c>
      <c r="U12152" t="s">
        <v>56939</v>
      </c>
      <c r="W12152" t="s">
        <v>43906</v>
      </c>
      <c r="X12152" t="s">
        <v>44776</v>
      </c>
    </row>
    <row r="12153" spans="1:24">
      <c r="A12153">
        <f>HYPERLINK("https://www.philgeps.gov.ph/GEPSNONPILOT/Tender/SplashBidNoticeAbstractUI.aspx?menuIndex=3&amp;refID=7126048&amp;Result=3","7126048")</f>
        <v>0</v>
      </c>
      <c r="B12153" t="s">
        <v>3068</v>
      </c>
      <c r="C12153" t="s">
        <v>15313</v>
      </c>
      <c r="D12153" t="s">
        <v>18025</v>
      </c>
      <c r="E12153" t="s">
        <v>28525</v>
      </c>
      <c r="F12153" t="s">
        <v>30900</v>
      </c>
      <c r="G12153" t="s">
        <v>30907</v>
      </c>
      <c r="H12153" t="s">
        <v>30915</v>
      </c>
      <c r="I12153" t="s">
        <v>30919</v>
      </c>
      <c r="J12153" t="s">
        <v>35793</v>
      </c>
      <c r="K12153" t="s">
        <v>40286</v>
      </c>
      <c r="M12153" t="s">
        <v>43879</v>
      </c>
      <c r="N12153" t="s">
        <v>44759</v>
      </c>
      <c r="O12153" t="s">
        <v>44760</v>
      </c>
      <c r="P12153">
        <v>0</v>
      </c>
      <c r="Q12153">
        <v>9</v>
      </c>
      <c r="R12153" t="s">
        <v>44775</v>
      </c>
      <c r="S12153" t="s">
        <v>45343</v>
      </c>
      <c r="T12153" t="s">
        <v>46409</v>
      </c>
      <c r="U12153" t="s">
        <v>56940</v>
      </c>
      <c r="W12153" t="s">
        <v>60911</v>
      </c>
      <c r="X12153" t="s">
        <v>44776</v>
      </c>
    </row>
    <row r="12154" spans="1:24">
      <c r="A12154">
        <f>HYPERLINK("https://www.philgeps.gov.ph/GEPSNONPILOT/Tender/SplashBidNoticeAbstractUI.aspx?menuIndex=3&amp;refID=7124792&amp;Result=3","7124792")</f>
        <v>0</v>
      </c>
      <c r="B12154" t="s">
        <v>3411</v>
      </c>
      <c r="C12154" t="s">
        <v>15314</v>
      </c>
      <c r="D12154" t="s">
        <v>17959</v>
      </c>
      <c r="E12154" t="s">
        <v>28526</v>
      </c>
      <c r="F12154" t="s">
        <v>30899</v>
      </c>
      <c r="G12154" t="s">
        <v>30907</v>
      </c>
      <c r="H12154" t="s">
        <v>30916</v>
      </c>
      <c r="I12154" t="s">
        <v>10879</v>
      </c>
      <c r="J12154" t="s">
        <v>33038</v>
      </c>
      <c r="K12154" t="s">
        <v>40283</v>
      </c>
      <c r="M12154" t="s">
        <v>44288</v>
      </c>
      <c r="N12154" t="s">
        <v>44759</v>
      </c>
      <c r="O12154" t="s">
        <v>44760</v>
      </c>
      <c r="P12154">
        <v>0</v>
      </c>
      <c r="Q12154">
        <v>3</v>
      </c>
      <c r="R12154" t="s">
        <v>44775</v>
      </c>
      <c r="S12154" t="s">
        <v>45343</v>
      </c>
      <c r="T12154" t="s">
        <v>46901</v>
      </c>
      <c r="U12154" t="s">
        <v>56941</v>
      </c>
      <c r="W12154" t="s">
        <v>44288</v>
      </c>
      <c r="X12154" t="s">
        <v>44776</v>
      </c>
    </row>
    <row r="12155" spans="1:24">
      <c r="A12155">
        <f>HYPERLINK("https://www.philgeps.gov.ph/GEPSNONPILOT/Tender/SplashBidNoticeAbstractUI.aspx?menuIndex=3&amp;refID=7126033&amp;Result=3","7126033")</f>
        <v>0</v>
      </c>
      <c r="B12155" t="s">
        <v>3333</v>
      </c>
      <c r="C12155" t="s">
        <v>15315</v>
      </c>
      <c r="D12155" t="s">
        <v>17995</v>
      </c>
      <c r="E12155" t="s">
        <v>28527</v>
      </c>
      <c r="F12155" t="s">
        <v>30900</v>
      </c>
      <c r="G12155" t="s">
        <v>30906</v>
      </c>
      <c r="H12155" t="s">
        <v>30916</v>
      </c>
      <c r="I12155" t="s">
        <v>6746</v>
      </c>
      <c r="J12155" t="s">
        <v>32854</v>
      </c>
      <c r="K12155" t="s">
        <v>40294</v>
      </c>
      <c r="M12155" t="s">
        <v>44194</v>
      </c>
      <c r="N12155" t="s">
        <v>44759</v>
      </c>
      <c r="O12155" t="s">
        <v>44760</v>
      </c>
      <c r="P12155">
        <v>0</v>
      </c>
      <c r="Q12155">
        <v>0</v>
      </c>
      <c r="R12155" t="s">
        <v>44775</v>
      </c>
      <c r="S12155" t="s">
        <v>45343</v>
      </c>
      <c r="T12155" t="s">
        <v>46771</v>
      </c>
      <c r="U12155" t="s">
        <v>56942</v>
      </c>
      <c r="W12155" t="s">
        <v>44194</v>
      </c>
      <c r="X12155" t="s">
        <v>44776</v>
      </c>
    </row>
    <row r="12156" spans="1:24">
      <c r="A12156">
        <f>HYPERLINK("https://www.philgeps.gov.ph/GEPSNONPILOT/Tender/SplashBidNoticeAbstractUI.aspx?menuIndex=3&amp;refID=7125885&amp;Result=3","7125885")</f>
        <v>0</v>
      </c>
      <c r="B12156" t="s">
        <v>2209</v>
      </c>
      <c r="C12156" t="s">
        <v>15316</v>
      </c>
      <c r="D12156" t="s">
        <v>17959</v>
      </c>
      <c r="E12156" t="s">
        <v>28528</v>
      </c>
      <c r="F12156" t="s">
        <v>30900</v>
      </c>
      <c r="G12156" t="s">
        <v>30907</v>
      </c>
      <c r="H12156" t="s">
        <v>30916</v>
      </c>
      <c r="I12156" t="s">
        <v>5830</v>
      </c>
      <c r="J12156" t="s">
        <v>31297</v>
      </c>
      <c r="K12156" t="s">
        <v>40286</v>
      </c>
      <c r="M12156" t="s">
        <v>42917</v>
      </c>
      <c r="N12156" t="s">
        <v>44759</v>
      </c>
      <c r="O12156" t="s">
        <v>44760</v>
      </c>
      <c r="P12156">
        <v>0</v>
      </c>
      <c r="Q12156">
        <v>6</v>
      </c>
      <c r="R12156" t="s">
        <v>44775</v>
      </c>
      <c r="S12156" t="s">
        <v>45343</v>
      </c>
      <c r="T12156" t="s">
        <v>46425</v>
      </c>
      <c r="U12156" t="s">
        <v>56943</v>
      </c>
      <c r="W12156" t="s">
        <v>42917</v>
      </c>
      <c r="X12156" t="s">
        <v>44776</v>
      </c>
    </row>
    <row r="12157" spans="1:24">
      <c r="A12157">
        <f>HYPERLINK("https://www.philgeps.gov.ph/GEPSNONPILOT/Tender/SplashBidNoticeAbstractUI.aspx?menuIndex=3&amp;refID=7126021&amp;Result=3","7126021")</f>
        <v>0</v>
      </c>
      <c r="B12157" t="s">
        <v>1143</v>
      </c>
      <c r="C12157" t="s">
        <v>15317</v>
      </c>
      <c r="D12157" t="s">
        <v>17990</v>
      </c>
      <c r="E12157" t="s">
        <v>28529</v>
      </c>
      <c r="F12157" t="s">
        <v>30903</v>
      </c>
      <c r="G12157" t="s">
        <v>30909</v>
      </c>
      <c r="H12157" t="s">
        <v>30916</v>
      </c>
      <c r="I12157" t="s">
        <v>30927</v>
      </c>
      <c r="J12157" t="s">
        <v>31043</v>
      </c>
      <c r="K12157" t="s">
        <v>40286</v>
      </c>
      <c r="M12157" t="s">
        <v>42441</v>
      </c>
      <c r="N12157" t="s">
        <v>44759</v>
      </c>
      <c r="O12157" t="s">
        <v>44760</v>
      </c>
      <c r="Q12157">
        <v>0</v>
      </c>
      <c r="R12157" t="s">
        <v>44775</v>
      </c>
      <c r="S12157" t="s">
        <v>45435</v>
      </c>
      <c r="T12157" t="s">
        <v>46414</v>
      </c>
      <c r="U12157" t="s">
        <v>56944</v>
      </c>
      <c r="W12157" t="s">
        <v>42441</v>
      </c>
      <c r="X12157" t="s">
        <v>44776</v>
      </c>
    </row>
    <row r="12158" spans="1:24">
      <c r="A12158">
        <f>HYPERLINK("https://www.philgeps.gov.ph/GEPSNONPILOT/Tender/SplashBidNoticeAbstractUI.aspx?menuIndex=3&amp;refID=7124405&amp;Result=3","7124405")</f>
        <v>0</v>
      </c>
      <c r="B12158" t="s">
        <v>888</v>
      </c>
      <c r="C12158" t="s">
        <v>15318</v>
      </c>
      <c r="D12158" t="s">
        <v>17951</v>
      </c>
      <c r="E12158" t="s">
        <v>28530</v>
      </c>
      <c r="F12158" t="s">
        <v>30900</v>
      </c>
      <c r="G12158" t="s">
        <v>30907</v>
      </c>
      <c r="H12158" t="s">
        <v>30916</v>
      </c>
      <c r="I12158" t="s">
        <v>10961</v>
      </c>
      <c r="J12158" t="s">
        <v>35199</v>
      </c>
      <c r="K12158" t="s">
        <v>40286</v>
      </c>
      <c r="M12158" t="s">
        <v>41461</v>
      </c>
      <c r="N12158" t="s">
        <v>44759</v>
      </c>
      <c r="O12158" t="s">
        <v>44760</v>
      </c>
      <c r="P12158">
        <v>0</v>
      </c>
      <c r="Q12158">
        <v>4</v>
      </c>
      <c r="R12158" t="s">
        <v>44775</v>
      </c>
      <c r="S12158" t="s">
        <v>45343</v>
      </c>
      <c r="T12158" t="s">
        <v>46422</v>
      </c>
      <c r="U12158" t="s">
        <v>56945</v>
      </c>
      <c r="V12158" t="s">
        <v>60504</v>
      </c>
      <c r="W12158" t="s">
        <v>41461</v>
      </c>
      <c r="X12158" t="s">
        <v>44776</v>
      </c>
    </row>
    <row r="12159" spans="1:24">
      <c r="A12159">
        <f>HYPERLINK("https://www.philgeps.gov.ph/GEPSNONPILOT/Tender/SplashBidNoticeAbstractUI.aspx?menuIndex=3&amp;refID=7126010&amp;Result=3","7126010")</f>
        <v>0</v>
      </c>
      <c r="B12159" t="s">
        <v>3464</v>
      </c>
      <c r="C12159" t="s">
        <v>15319</v>
      </c>
      <c r="D12159" t="s">
        <v>17979</v>
      </c>
      <c r="E12159" t="s">
        <v>28531</v>
      </c>
      <c r="F12159" t="s">
        <v>30900</v>
      </c>
      <c r="G12159" t="s">
        <v>30907</v>
      </c>
      <c r="H12159" t="s">
        <v>30915</v>
      </c>
      <c r="I12159" t="s">
        <v>30919</v>
      </c>
      <c r="J12159" t="s">
        <v>38611</v>
      </c>
      <c r="K12159" t="s">
        <v>40289</v>
      </c>
      <c r="M12159" t="s">
        <v>44356</v>
      </c>
      <c r="N12159" t="s">
        <v>44759</v>
      </c>
      <c r="O12159" t="s">
        <v>44760</v>
      </c>
      <c r="P12159">
        <v>0</v>
      </c>
      <c r="Q12159">
        <v>137</v>
      </c>
      <c r="R12159" t="s">
        <v>44775</v>
      </c>
      <c r="S12159" t="s">
        <v>45343</v>
      </c>
      <c r="T12159" t="s">
        <v>46357</v>
      </c>
      <c r="U12159" t="s">
        <v>56946</v>
      </c>
      <c r="W12159" t="s">
        <v>44356</v>
      </c>
      <c r="X12159" t="s">
        <v>44776</v>
      </c>
    </row>
    <row r="12160" spans="1:24">
      <c r="A12160">
        <f>HYPERLINK("https://www.philgeps.gov.ph/GEPSNONPILOT/Tender/SplashBidNoticeAbstractUI.aspx?menuIndex=3&amp;refID=7124631&amp;Result=3","7124631")</f>
        <v>0</v>
      </c>
      <c r="B12160" t="s">
        <v>492</v>
      </c>
      <c r="C12160" t="s">
        <v>15320</v>
      </c>
      <c r="D12160" t="s">
        <v>18018</v>
      </c>
      <c r="E12160" t="s">
        <v>28532</v>
      </c>
      <c r="F12160" t="s">
        <v>30900</v>
      </c>
      <c r="G12160" t="s">
        <v>30907</v>
      </c>
      <c r="H12160" t="s">
        <v>30915</v>
      </c>
      <c r="I12160" t="s">
        <v>30919</v>
      </c>
      <c r="J12160" t="s">
        <v>38612</v>
      </c>
      <c r="K12160" t="s">
        <v>40359</v>
      </c>
      <c r="M12160" t="s">
        <v>41051</v>
      </c>
      <c r="N12160" t="s">
        <v>44759</v>
      </c>
      <c r="O12160" t="s">
        <v>44760</v>
      </c>
      <c r="P12160">
        <v>0</v>
      </c>
      <c r="Q12160">
        <v>0</v>
      </c>
      <c r="R12160" t="s">
        <v>44775</v>
      </c>
      <c r="S12160" t="s">
        <v>45343</v>
      </c>
      <c r="T12160" t="s">
        <v>46887</v>
      </c>
      <c r="U12160" t="s">
        <v>56947</v>
      </c>
      <c r="W12160" t="s">
        <v>41051</v>
      </c>
      <c r="X12160" t="s">
        <v>44776</v>
      </c>
    </row>
    <row r="12161" spans="1:24">
      <c r="A12161">
        <f>HYPERLINK("https://www.philgeps.gov.ph/GEPSNONPILOT/Tender/SplashBidNoticeAbstractUI.aspx?menuIndex=3&amp;refID=7126044&amp;Result=3","7126044")</f>
        <v>0</v>
      </c>
      <c r="B12161" t="s">
        <v>3465</v>
      </c>
      <c r="C12161" t="s">
        <v>10068</v>
      </c>
      <c r="D12161" t="s">
        <v>17981</v>
      </c>
      <c r="E12161" t="s">
        <v>23900</v>
      </c>
      <c r="F12161" t="s">
        <v>30900</v>
      </c>
      <c r="G12161" t="s">
        <v>30907</v>
      </c>
      <c r="H12161" t="s">
        <v>30915</v>
      </c>
      <c r="I12161" t="s">
        <v>30919</v>
      </c>
      <c r="J12161" t="s">
        <v>38613</v>
      </c>
      <c r="K12161" t="s">
        <v>40292</v>
      </c>
      <c r="M12161" t="s">
        <v>44357</v>
      </c>
      <c r="N12161" t="s">
        <v>44759</v>
      </c>
      <c r="O12161" t="s">
        <v>44760</v>
      </c>
      <c r="P12161">
        <v>0</v>
      </c>
      <c r="Q12161">
        <v>7</v>
      </c>
      <c r="R12161" t="s">
        <v>44775</v>
      </c>
      <c r="S12161" t="s">
        <v>45343</v>
      </c>
      <c r="T12161" t="s">
        <v>46412</v>
      </c>
      <c r="U12161" t="s">
        <v>52509</v>
      </c>
      <c r="W12161" t="s">
        <v>44357</v>
      </c>
      <c r="X12161" t="s">
        <v>44776</v>
      </c>
    </row>
    <row r="12162" spans="1:24">
      <c r="A12162">
        <f>HYPERLINK("https://www.philgeps.gov.ph/GEPSNONPILOT/Tender/SplashBidNoticeAbstractUI.aspx?menuIndex=3&amp;refID=7126003&amp;Result=3","7126003")</f>
        <v>0</v>
      </c>
      <c r="B12162" t="s">
        <v>3464</v>
      </c>
      <c r="C12162" t="s">
        <v>15321</v>
      </c>
      <c r="D12162" t="s">
        <v>17979</v>
      </c>
      <c r="E12162" t="s">
        <v>28533</v>
      </c>
      <c r="F12162" t="s">
        <v>30900</v>
      </c>
      <c r="G12162" t="s">
        <v>30907</v>
      </c>
      <c r="H12162" t="s">
        <v>30915</v>
      </c>
      <c r="I12162" t="s">
        <v>30919</v>
      </c>
      <c r="J12162" t="s">
        <v>38614</v>
      </c>
      <c r="K12162" t="s">
        <v>40289</v>
      </c>
      <c r="M12162" t="s">
        <v>44356</v>
      </c>
      <c r="N12162" t="s">
        <v>44759</v>
      </c>
      <c r="O12162" t="s">
        <v>44760</v>
      </c>
      <c r="P12162">
        <v>0</v>
      </c>
      <c r="Q12162">
        <v>137</v>
      </c>
      <c r="R12162" t="s">
        <v>44775</v>
      </c>
      <c r="S12162" t="s">
        <v>45343</v>
      </c>
      <c r="T12162" t="s">
        <v>46357</v>
      </c>
      <c r="U12162" t="s">
        <v>56948</v>
      </c>
      <c r="W12162" t="s">
        <v>44356</v>
      </c>
      <c r="X12162" t="s">
        <v>44776</v>
      </c>
    </row>
    <row r="12163" spans="1:24">
      <c r="A12163">
        <f>HYPERLINK("https://www.philgeps.gov.ph/GEPSNONPILOT/Tender/SplashBidNoticeAbstractUI.aspx?menuIndex=3&amp;refID=7126032&amp;Result=3","7126032")</f>
        <v>0</v>
      </c>
      <c r="B12163" t="s">
        <v>634</v>
      </c>
      <c r="C12163" t="s">
        <v>15322</v>
      </c>
      <c r="D12163" t="s">
        <v>17999</v>
      </c>
      <c r="E12163" t="s">
        <v>28534</v>
      </c>
      <c r="F12163" t="s">
        <v>30900</v>
      </c>
      <c r="G12163" t="s">
        <v>30907</v>
      </c>
      <c r="H12163" t="s">
        <v>30915</v>
      </c>
      <c r="I12163" t="s">
        <v>30919</v>
      </c>
      <c r="J12163" t="s">
        <v>38615</v>
      </c>
      <c r="K12163" t="s">
        <v>40342</v>
      </c>
      <c r="M12163" t="s">
        <v>41197</v>
      </c>
      <c r="N12163" t="s">
        <v>44759</v>
      </c>
      <c r="O12163" t="s">
        <v>44760</v>
      </c>
      <c r="Q12163">
        <v>8</v>
      </c>
      <c r="R12163" t="s">
        <v>44775</v>
      </c>
      <c r="S12163" t="s">
        <v>45436</v>
      </c>
      <c r="T12163" t="s">
        <v>46425</v>
      </c>
      <c r="U12163" t="s">
        <v>56949</v>
      </c>
      <c r="W12163" t="s">
        <v>41197</v>
      </c>
      <c r="X12163" t="s">
        <v>44776</v>
      </c>
    </row>
    <row r="12164" spans="1:24">
      <c r="A12164">
        <f>HYPERLINK("https://www.philgeps.gov.ph/GEPSNONPILOT/Tender/SplashBidNoticeAbstractUI.aspx?menuIndex=3&amp;refID=7126002&amp;Result=3","7126002")</f>
        <v>0</v>
      </c>
      <c r="B12164" t="s">
        <v>388</v>
      </c>
      <c r="C12164" t="s">
        <v>15323</v>
      </c>
      <c r="E12164" t="s">
        <v>28535</v>
      </c>
      <c r="F12164" t="s">
        <v>30900</v>
      </c>
      <c r="G12164" t="s">
        <v>30907</v>
      </c>
      <c r="H12164" t="s">
        <v>30916</v>
      </c>
      <c r="I12164" t="s">
        <v>30924</v>
      </c>
      <c r="J12164" t="s">
        <v>38616</v>
      </c>
      <c r="K12164" t="s">
        <v>40289</v>
      </c>
      <c r="M12164" t="s">
        <v>44358</v>
      </c>
      <c r="N12164" t="s">
        <v>44759</v>
      </c>
      <c r="O12164" t="s">
        <v>44760</v>
      </c>
      <c r="Q12164">
        <v>12</v>
      </c>
      <c r="R12164" t="s">
        <v>44775</v>
      </c>
      <c r="S12164" t="s">
        <v>45437</v>
      </c>
      <c r="T12164" t="s">
        <v>46390</v>
      </c>
      <c r="U12164" t="s">
        <v>56950</v>
      </c>
      <c r="W12164" t="s">
        <v>44358</v>
      </c>
      <c r="X12164" t="s">
        <v>44776</v>
      </c>
    </row>
    <row r="12165" spans="1:24">
      <c r="A12165">
        <f>HYPERLINK("https://www.philgeps.gov.ph/GEPSNONPILOT/Tender/SplashBidNoticeAbstractUI.aspx?menuIndex=3&amp;refID=7126015&amp;Result=3","7126015")</f>
        <v>0</v>
      </c>
      <c r="B12165" t="s">
        <v>1004</v>
      </c>
      <c r="C12165" t="s">
        <v>15324</v>
      </c>
      <c r="D12165" t="s">
        <v>17959</v>
      </c>
      <c r="E12165" t="s">
        <v>28536</v>
      </c>
      <c r="F12165" t="s">
        <v>30900</v>
      </c>
      <c r="G12165" t="s">
        <v>30907</v>
      </c>
      <c r="H12165" t="s">
        <v>30916</v>
      </c>
      <c r="I12165" t="s">
        <v>30924</v>
      </c>
      <c r="J12165" t="s">
        <v>35115</v>
      </c>
      <c r="K12165" t="s">
        <v>40286</v>
      </c>
      <c r="M12165" t="s">
        <v>44359</v>
      </c>
      <c r="N12165" t="s">
        <v>44759</v>
      </c>
      <c r="O12165" t="s">
        <v>44760</v>
      </c>
      <c r="Q12165">
        <v>16</v>
      </c>
      <c r="R12165" t="s">
        <v>44775</v>
      </c>
      <c r="S12165" t="s">
        <v>45388</v>
      </c>
      <c r="T12165" t="s">
        <v>46495</v>
      </c>
      <c r="U12165" t="s">
        <v>56951</v>
      </c>
      <c r="W12165" t="s">
        <v>60930</v>
      </c>
      <c r="X12165" t="s">
        <v>44776</v>
      </c>
    </row>
    <row r="12166" spans="1:24">
      <c r="A12166">
        <f>HYPERLINK("https://www.philgeps.gov.ph/GEPSNONPILOT/Tender/SplashBidNoticeAbstractUI.aspx?menuIndex=3&amp;refID=7124627&amp;Result=3","7124627")</f>
        <v>0</v>
      </c>
      <c r="B12166" t="s">
        <v>925</v>
      </c>
      <c r="C12166" t="s">
        <v>15325</v>
      </c>
      <c r="D12166" t="s">
        <v>17959</v>
      </c>
      <c r="E12166" t="s">
        <v>28537</v>
      </c>
      <c r="F12166" t="s">
        <v>30899</v>
      </c>
      <c r="G12166" t="s">
        <v>30907</v>
      </c>
      <c r="H12166" t="s">
        <v>30916</v>
      </c>
      <c r="I12166" t="s">
        <v>4108</v>
      </c>
      <c r="J12166" t="s">
        <v>31341</v>
      </c>
      <c r="K12166" t="s">
        <v>40286</v>
      </c>
      <c r="M12166" t="s">
        <v>41505</v>
      </c>
      <c r="N12166" t="s">
        <v>44759</v>
      </c>
      <c r="O12166" t="s">
        <v>44760</v>
      </c>
      <c r="P12166">
        <v>0</v>
      </c>
      <c r="Q12166">
        <v>3</v>
      </c>
      <c r="R12166" t="s">
        <v>44775</v>
      </c>
      <c r="S12166" t="s">
        <v>45343</v>
      </c>
      <c r="T12166" t="s">
        <v>46658</v>
      </c>
      <c r="U12166" t="s">
        <v>56952</v>
      </c>
      <c r="V12166" t="s">
        <v>59332</v>
      </c>
      <c r="W12166" t="s">
        <v>41505</v>
      </c>
      <c r="X12166" t="s">
        <v>44776</v>
      </c>
    </row>
    <row r="12167" spans="1:24">
      <c r="A12167">
        <f>HYPERLINK("https://www.philgeps.gov.ph/GEPSNONPILOT/Tender/SplashBidNoticeAbstractUI.aspx?menuIndex=3&amp;refID=7125992&amp;Result=3","7125992")</f>
        <v>0</v>
      </c>
      <c r="B12167" t="s">
        <v>997</v>
      </c>
      <c r="C12167" t="s">
        <v>15326</v>
      </c>
      <c r="D12167" t="s">
        <v>17959</v>
      </c>
      <c r="E12167" t="s">
        <v>28538</v>
      </c>
      <c r="F12167" t="s">
        <v>30900</v>
      </c>
      <c r="G12167" t="s">
        <v>30907</v>
      </c>
      <c r="H12167" t="s">
        <v>30916</v>
      </c>
      <c r="I12167" t="s">
        <v>30964</v>
      </c>
      <c r="J12167" t="s">
        <v>37106</v>
      </c>
      <c r="K12167" t="s">
        <v>40293</v>
      </c>
      <c r="M12167" t="s">
        <v>43418</v>
      </c>
      <c r="N12167" t="s">
        <v>44759</v>
      </c>
      <c r="O12167" t="s">
        <v>44760</v>
      </c>
      <c r="P12167">
        <v>0</v>
      </c>
      <c r="Q12167">
        <v>3</v>
      </c>
      <c r="R12167" t="s">
        <v>44775</v>
      </c>
      <c r="S12167" t="s">
        <v>45343</v>
      </c>
      <c r="T12167" t="s">
        <v>46373</v>
      </c>
      <c r="U12167" t="s">
        <v>56953</v>
      </c>
      <c r="W12167" t="s">
        <v>43418</v>
      </c>
      <c r="X12167" t="s">
        <v>44776</v>
      </c>
    </row>
    <row r="12168" spans="1:24">
      <c r="A12168">
        <f>HYPERLINK("https://www.philgeps.gov.ph/GEPSNONPILOT/Tender/SplashBidNoticeAbstractUI.aspx?menuIndex=3&amp;refID=7126050&amp;Result=3","7126050")</f>
        <v>0</v>
      </c>
      <c r="B12168" t="s">
        <v>1905</v>
      </c>
      <c r="C12168" t="s">
        <v>15327</v>
      </c>
      <c r="D12168" t="s">
        <v>18002</v>
      </c>
      <c r="E12168" t="s">
        <v>28539</v>
      </c>
      <c r="F12168" t="s">
        <v>30900</v>
      </c>
      <c r="G12168" t="s">
        <v>30907</v>
      </c>
      <c r="H12168" t="s">
        <v>30916</v>
      </c>
      <c r="I12168" t="s">
        <v>5830</v>
      </c>
      <c r="J12168" t="s">
        <v>38617</v>
      </c>
      <c r="K12168" t="s">
        <v>40321</v>
      </c>
      <c r="M12168" t="s">
        <v>42582</v>
      </c>
      <c r="N12168" t="s">
        <v>44759</v>
      </c>
      <c r="O12168" t="s">
        <v>44760</v>
      </c>
      <c r="P12168">
        <v>0</v>
      </c>
      <c r="Q12168">
        <v>6</v>
      </c>
      <c r="R12168" t="s">
        <v>44775</v>
      </c>
      <c r="S12168" t="s">
        <v>45343</v>
      </c>
      <c r="T12168" t="s">
        <v>46421</v>
      </c>
      <c r="U12168" t="s">
        <v>56954</v>
      </c>
      <c r="V12168" t="s">
        <v>59664</v>
      </c>
      <c r="W12168" t="s">
        <v>42582</v>
      </c>
      <c r="X12168" t="s">
        <v>44776</v>
      </c>
    </row>
    <row r="12169" spans="1:24">
      <c r="A12169">
        <f>HYPERLINK("https://www.philgeps.gov.ph/GEPSNONPILOT/Tender/SplashBidNoticeAbstractUI.aspx?menuIndex=3&amp;refID=7126047&amp;Result=3","7126047")</f>
        <v>0</v>
      </c>
      <c r="B12169" t="s">
        <v>44</v>
      </c>
      <c r="C12169" t="s">
        <v>15328</v>
      </c>
      <c r="D12169" t="s">
        <v>17969</v>
      </c>
      <c r="E12169" t="s">
        <v>28540</v>
      </c>
      <c r="F12169" t="s">
        <v>30900</v>
      </c>
      <c r="G12169" t="s">
        <v>30907</v>
      </c>
      <c r="H12169" t="s">
        <v>30916</v>
      </c>
      <c r="I12169" t="s">
        <v>6396</v>
      </c>
      <c r="J12169" t="s">
        <v>38618</v>
      </c>
      <c r="K12169" t="s">
        <v>40284</v>
      </c>
      <c r="M12169" t="s">
        <v>40590</v>
      </c>
      <c r="N12169" t="s">
        <v>44759</v>
      </c>
      <c r="O12169" t="s">
        <v>44760</v>
      </c>
      <c r="P12169">
        <v>0</v>
      </c>
      <c r="Q12169">
        <v>3</v>
      </c>
      <c r="R12169" t="s">
        <v>44775</v>
      </c>
      <c r="S12169" t="s">
        <v>45343</v>
      </c>
      <c r="T12169" t="s">
        <v>46418</v>
      </c>
      <c r="U12169" t="s">
        <v>56955</v>
      </c>
      <c r="W12169" t="s">
        <v>40590</v>
      </c>
      <c r="X12169" t="s">
        <v>44776</v>
      </c>
    </row>
    <row r="12170" spans="1:24">
      <c r="A12170">
        <f>HYPERLINK("https://www.philgeps.gov.ph/GEPSNONPILOT/Tender/SplashBidNoticeAbstractUI.aspx?menuIndex=3&amp;refID=7126081&amp;Result=3","7126081")</f>
        <v>0</v>
      </c>
      <c r="B12170" t="s">
        <v>3068</v>
      </c>
      <c r="C12170" t="s">
        <v>15329</v>
      </c>
      <c r="D12170" t="s">
        <v>18025</v>
      </c>
      <c r="E12170" t="s">
        <v>28541</v>
      </c>
      <c r="F12170" t="s">
        <v>30900</v>
      </c>
      <c r="G12170" t="s">
        <v>30907</v>
      </c>
      <c r="H12170" t="s">
        <v>30915</v>
      </c>
      <c r="I12170" t="s">
        <v>30919</v>
      </c>
      <c r="J12170" t="s">
        <v>35668</v>
      </c>
      <c r="K12170" t="s">
        <v>40292</v>
      </c>
      <c r="M12170" t="s">
        <v>43879</v>
      </c>
      <c r="N12170" t="s">
        <v>44759</v>
      </c>
      <c r="O12170" t="s">
        <v>44760</v>
      </c>
      <c r="Q12170">
        <v>14</v>
      </c>
      <c r="R12170" t="s">
        <v>44775</v>
      </c>
      <c r="S12170" t="s">
        <v>45438</v>
      </c>
      <c r="T12170" t="s">
        <v>46409</v>
      </c>
      <c r="U12170" t="s">
        <v>56940</v>
      </c>
      <c r="W12170" t="s">
        <v>60911</v>
      </c>
      <c r="X12170" t="s">
        <v>44776</v>
      </c>
    </row>
    <row r="12171" spans="1:24">
      <c r="A12171">
        <f>HYPERLINK("https://www.philgeps.gov.ph/GEPSNONPILOT/Tender/SplashBidNoticeAbstractUI.aspx?menuIndex=3&amp;refID=7126095&amp;Result=3","7126095")</f>
        <v>0</v>
      </c>
      <c r="B12171" t="s">
        <v>3068</v>
      </c>
      <c r="C12171" t="s">
        <v>15330</v>
      </c>
      <c r="D12171" t="s">
        <v>18025</v>
      </c>
      <c r="E12171" t="s">
        <v>28542</v>
      </c>
      <c r="F12171" t="s">
        <v>30900</v>
      </c>
      <c r="G12171" t="s">
        <v>30907</v>
      </c>
      <c r="H12171" t="s">
        <v>30915</v>
      </c>
      <c r="I12171" t="s">
        <v>30919</v>
      </c>
      <c r="J12171" t="s">
        <v>35232</v>
      </c>
      <c r="K12171" t="s">
        <v>40389</v>
      </c>
      <c r="M12171" t="s">
        <v>43879</v>
      </c>
      <c r="N12171" t="s">
        <v>44759</v>
      </c>
      <c r="O12171" t="s">
        <v>44760</v>
      </c>
      <c r="Q12171">
        <v>19</v>
      </c>
      <c r="R12171" t="s">
        <v>44775</v>
      </c>
      <c r="S12171" t="s">
        <v>45439</v>
      </c>
      <c r="T12171" t="s">
        <v>46409</v>
      </c>
      <c r="U12171" t="s">
        <v>56940</v>
      </c>
      <c r="W12171" t="s">
        <v>60911</v>
      </c>
      <c r="X12171" t="s">
        <v>44776</v>
      </c>
    </row>
    <row r="12172" spans="1:24">
      <c r="A12172">
        <f>HYPERLINK("https://www.philgeps.gov.ph/GEPSNONPILOT/Tender/SplashBidNoticeAbstractUI.aspx?menuIndex=3&amp;refID=7126089&amp;Result=3","7126089")</f>
        <v>0</v>
      </c>
      <c r="B12172" t="s">
        <v>1905</v>
      </c>
      <c r="C12172" t="s">
        <v>15331</v>
      </c>
      <c r="D12172" t="s">
        <v>18002</v>
      </c>
      <c r="E12172" t="s">
        <v>28543</v>
      </c>
      <c r="F12172" t="s">
        <v>30900</v>
      </c>
      <c r="G12172" t="s">
        <v>30907</v>
      </c>
      <c r="H12172" t="s">
        <v>30916</v>
      </c>
      <c r="I12172" t="s">
        <v>30934</v>
      </c>
      <c r="J12172" t="s">
        <v>38619</v>
      </c>
      <c r="K12172" t="s">
        <v>40286</v>
      </c>
      <c r="M12172" t="s">
        <v>42582</v>
      </c>
      <c r="N12172" t="s">
        <v>44759</v>
      </c>
      <c r="O12172" t="s">
        <v>44760</v>
      </c>
      <c r="P12172">
        <v>0</v>
      </c>
      <c r="Q12172">
        <v>8</v>
      </c>
      <c r="R12172" t="s">
        <v>44775</v>
      </c>
      <c r="S12172" t="s">
        <v>45343</v>
      </c>
      <c r="T12172" t="s">
        <v>46421</v>
      </c>
      <c r="U12172" t="s">
        <v>56956</v>
      </c>
      <c r="V12172" t="s">
        <v>59664</v>
      </c>
      <c r="W12172" t="s">
        <v>42582</v>
      </c>
      <c r="X12172" t="s">
        <v>44776</v>
      </c>
    </row>
    <row r="12173" spans="1:24">
      <c r="A12173">
        <f>HYPERLINK("https://www.philgeps.gov.ph/GEPSNONPILOT/Tender/SplashBidNoticeAbstractUI.aspx?menuIndex=3&amp;refID=7125995&amp;Result=3","7125995")</f>
        <v>0</v>
      </c>
      <c r="B12173" t="s">
        <v>3466</v>
      </c>
      <c r="C12173" t="s">
        <v>15332</v>
      </c>
      <c r="D12173" t="s">
        <v>17960</v>
      </c>
      <c r="E12173" t="s">
        <v>18066</v>
      </c>
      <c r="F12173" t="s">
        <v>30900</v>
      </c>
      <c r="G12173" t="s">
        <v>30907</v>
      </c>
      <c r="H12173" t="s">
        <v>30916</v>
      </c>
      <c r="I12173" t="s">
        <v>8123</v>
      </c>
      <c r="J12173" t="s">
        <v>38620</v>
      </c>
      <c r="K12173" t="s">
        <v>40286</v>
      </c>
      <c r="L12173" t="s">
        <v>3466</v>
      </c>
      <c r="M12173" t="s">
        <v>44360</v>
      </c>
      <c r="N12173" t="s">
        <v>44759</v>
      </c>
      <c r="O12173" t="s">
        <v>44760</v>
      </c>
      <c r="P12173">
        <v>0</v>
      </c>
      <c r="Q12173">
        <v>0</v>
      </c>
      <c r="R12173" t="s">
        <v>44775</v>
      </c>
      <c r="S12173" t="s">
        <v>45343</v>
      </c>
      <c r="T12173" t="s">
        <v>46357</v>
      </c>
      <c r="U12173" t="s">
        <v>56957</v>
      </c>
      <c r="V12173" t="s">
        <v>60505</v>
      </c>
      <c r="W12173" t="s">
        <v>44360</v>
      </c>
      <c r="X12173" t="s">
        <v>44776</v>
      </c>
    </row>
    <row r="12174" spans="1:24">
      <c r="A12174">
        <f>HYPERLINK("https://www.philgeps.gov.ph/GEPSNONPILOT/Tender/SplashBidNoticeAbstractUI.aspx?menuIndex=3&amp;refID=7126086&amp;Result=3","7126086")</f>
        <v>0</v>
      </c>
      <c r="B12174" t="s">
        <v>3068</v>
      </c>
      <c r="C12174" t="s">
        <v>15333</v>
      </c>
      <c r="D12174" t="s">
        <v>18025</v>
      </c>
      <c r="E12174" t="s">
        <v>28544</v>
      </c>
      <c r="F12174" t="s">
        <v>30900</v>
      </c>
      <c r="G12174" t="s">
        <v>30907</v>
      </c>
      <c r="H12174" t="s">
        <v>30915</v>
      </c>
      <c r="I12174" t="s">
        <v>30919</v>
      </c>
      <c r="J12174" t="s">
        <v>33772</v>
      </c>
      <c r="K12174" t="s">
        <v>40304</v>
      </c>
      <c r="M12174" t="s">
        <v>43879</v>
      </c>
      <c r="N12174" t="s">
        <v>44759</v>
      </c>
      <c r="O12174" t="s">
        <v>44760</v>
      </c>
      <c r="P12174">
        <v>0</v>
      </c>
      <c r="Q12174">
        <v>17</v>
      </c>
      <c r="R12174" t="s">
        <v>44775</v>
      </c>
      <c r="S12174" t="s">
        <v>45343</v>
      </c>
      <c r="T12174" t="s">
        <v>46409</v>
      </c>
      <c r="U12174" t="s">
        <v>56940</v>
      </c>
      <c r="W12174" t="s">
        <v>60911</v>
      </c>
      <c r="X12174" t="s">
        <v>44776</v>
      </c>
    </row>
    <row r="12175" spans="1:24">
      <c r="A12175">
        <f>HYPERLINK("https://www.philgeps.gov.ph/GEPSNONPILOT/Tender/SplashBidNoticeAbstractUI.aspx?menuIndex=3&amp;refID=7125993&amp;Result=3","7125993")</f>
        <v>0</v>
      </c>
      <c r="B12175" t="s">
        <v>1143</v>
      </c>
      <c r="C12175" t="s">
        <v>15334</v>
      </c>
      <c r="D12175" t="s">
        <v>17990</v>
      </c>
      <c r="E12175" t="s">
        <v>28545</v>
      </c>
      <c r="F12175" t="s">
        <v>30903</v>
      </c>
      <c r="G12175" t="s">
        <v>30909</v>
      </c>
      <c r="H12175" t="s">
        <v>30916</v>
      </c>
      <c r="I12175" t="s">
        <v>4108</v>
      </c>
      <c r="J12175" t="s">
        <v>38621</v>
      </c>
      <c r="K12175" t="s">
        <v>40286</v>
      </c>
      <c r="M12175" t="s">
        <v>42441</v>
      </c>
      <c r="N12175" t="s">
        <v>44759</v>
      </c>
      <c r="O12175" t="s">
        <v>44760</v>
      </c>
      <c r="Q12175">
        <v>0</v>
      </c>
      <c r="R12175" t="s">
        <v>44775</v>
      </c>
      <c r="S12175" t="s">
        <v>45440</v>
      </c>
      <c r="T12175" t="s">
        <v>46414</v>
      </c>
      <c r="U12175" t="s">
        <v>56958</v>
      </c>
      <c r="W12175" t="s">
        <v>42441</v>
      </c>
      <c r="X12175" t="s">
        <v>44776</v>
      </c>
    </row>
    <row r="12176" spans="1:24">
      <c r="A12176">
        <f>HYPERLINK("https://www.philgeps.gov.ph/GEPSNONPILOT/Tender/SplashBidNoticeAbstractUI.aspx?menuIndex=3&amp;refID=7126075&amp;Result=3","7126075")</f>
        <v>0</v>
      </c>
      <c r="B12176" t="s">
        <v>1905</v>
      </c>
      <c r="C12176" t="s">
        <v>15335</v>
      </c>
      <c r="D12176" t="s">
        <v>18002</v>
      </c>
      <c r="E12176" t="s">
        <v>28546</v>
      </c>
      <c r="F12176" t="s">
        <v>30900</v>
      </c>
      <c r="G12176" t="s">
        <v>30907</v>
      </c>
      <c r="H12176" t="s">
        <v>30916</v>
      </c>
      <c r="I12176" t="s">
        <v>5501</v>
      </c>
      <c r="J12176" t="s">
        <v>38622</v>
      </c>
      <c r="K12176" t="s">
        <v>40287</v>
      </c>
      <c r="M12176" t="s">
        <v>42582</v>
      </c>
      <c r="N12176" t="s">
        <v>44759</v>
      </c>
      <c r="O12176" t="s">
        <v>44760</v>
      </c>
      <c r="P12176">
        <v>0</v>
      </c>
      <c r="Q12176">
        <v>3</v>
      </c>
      <c r="R12176" t="s">
        <v>44775</v>
      </c>
      <c r="S12176" t="s">
        <v>45343</v>
      </c>
      <c r="T12176" t="s">
        <v>46421</v>
      </c>
      <c r="U12176" t="s">
        <v>56959</v>
      </c>
      <c r="V12176" t="s">
        <v>59664</v>
      </c>
      <c r="W12176" t="s">
        <v>42582</v>
      </c>
      <c r="X12176" t="s">
        <v>44776</v>
      </c>
    </row>
    <row r="12177" spans="1:24">
      <c r="A12177">
        <f>HYPERLINK("https://www.philgeps.gov.ph/GEPSNONPILOT/Tender/SplashBidNoticeAbstractUI.aspx?menuIndex=3&amp;refID=7126004&amp;Result=3","7126004")</f>
        <v>0</v>
      </c>
      <c r="B12177" t="s">
        <v>1038</v>
      </c>
      <c r="C12177" t="s">
        <v>15336</v>
      </c>
      <c r="D12177" t="s">
        <v>18002</v>
      </c>
      <c r="E12177" t="s">
        <v>28547</v>
      </c>
      <c r="F12177" t="s">
        <v>30900</v>
      </c>
      <c r="G12177" t="s">
        <v>30907</v>
      </c>
      <c r="H12177" t="s">
        <v>30916</v>
      </c>
      <c r="I12177" t="s">
        <v>30921</v>
      </c>
      <c r="J12177" t="s">
        <v>38623</v>
      </c>
      <c r="K12177" t="s">
        <v>40286</v>
      </c>
      <c r="M12177" t="s">
        <v>41630</v>
      </c>
      <c r="N12177" t="s">
        <v>44759</v>
      </c>
      <c r="O12177" t="s">
        <v>44760</v>
      </c>
      <c r="P12177">
        <v>0</v>
      </c>
      <c r="Q12177">
        <v>11</v>
      </c>
      <c r="R12177" t="s">
        <v>44775</v>
      </c>
      <c r="S12177" t="s">
        <v>45343</v>
      </c>
      <c r="T12177" t="s">
        <v>46483</v>
      </c>
      <c r="U12177" t="s">
        <v>56960</v>
      </c>
      <c r="W12177" t="s">
        <v>41630</v>
      </c>
      <c r="X12177" t="s">
        <v>44776</v>
      </c>
    </row>
    <row r="12178" spans="1:24">
      <c r="A12178">
        <f>HYPERLINK("https://www.philgeps.gov.ph/GEPSNONPILOT/Tender/SplashBidNoticeAbstractUI.aspx?menuIndex=3&amp;refID=7126071&amp;Result=3","7126071")</f>
        <v>0</v>
      </c>
      <c r="B12178" t="s">
        <v>3068</v>
      </c>
      <c r="C12178" t="s">
        <v>15337</v>
      </c>
      <c r="D12178" t="s">
        <v>18025</v>
      </c>
      <c r="E12178" t="s">
        <v>28548</v>
      </c>
      <c r="F12178" t="s">
        <v>30900</v>
      </c>
      <c r="G12178" t="s">
        <v>30907</v>
      </c>
      <c r="H12178" t="s">
        <v>30915</v>
      </c>
      <c r="I12178" t="s">
        <v>30919</v>
      </c>
      <c r="J12178" t="s">
        <v>31157</v>
      </c>
      <c r="K12178" t="s">
        <v>40286</v>
      </c>
      <c r="M12178" t="s">
        <v>43879</v>
      </c>
      <c r="N12178" t="s">
        <v>44759</v>
      </c>
      <c r="O12178" t="s">
        <v>44760</v>
      </c>
      <c r="P12178">
        <v>0</v>
      </c>
      <c r="Q12178">
        <v>8</v>
      </c>
      <c r="R12178" t="s">
        <v>44775</v>
      </c>
      <c r="S12178" t="s">
        <v>45343</v>
      </c>
      <c r="T12178" t="s">
        <v>46409</v>
      </c>
      <c r="U12178" t="s">
        <v>56940</v>
      </c>
      <c r="W12178" t="s">
        <v>60911</v>
      </c>
      <c r="X12178" t="s">
        <v>44776</v>
      </c>
    </row>
    <row r="12179" spans="1:24">
      <c r="A12179">
        <f>HYPERLINK("https://www.philgeps.gov.ph/GEPSNONPILOT/Tender/SplashBidNoticeAbstractUI.aspx?menuIndex=3&amp;refID=7126090&amp;Result=3","7126090")</f>
        <v>0</v>
      </c>
      <c r="B12179" t="s">
        <v>3068</v>
      </c>
      <c r="C12179" t="s">
        <v>15338</v>
      </c>
      <c r="D12179" t="s">
        <v>18025</v>
      </c>
      <c r="E12179" t="s">
        <v>28549</v>
      </c>
      <c r="F12179" t="s">
        <v>30900</v>
      </c>
      <c r="G12179" t="s">
        <v>30907</v>
      </c>
      <c r="H12179" t="s">
        <v>30915</v>
      </c>
      <c r="I12179" t="s">
        <v>30919</v>
      </c>
      <c r="J12179" t="s">
        <v>38624</v>
      </c>
      <c r="K12179" t="s">
        <v>40301</v>
      </c>
      <c r="M12179" t="s">
        <v>43879</v>
      </c>
      <c r="N12179" t="s">
        <v>44759</v>
      </c>
      <c r="O12179" t="s">
        <v>44760</v>
      </c>
      <c r="P12179">
        <v>0</v>
      </c>
      <c r="Q12179">
        <v>19</v>
      </c>
      <c r="R12179" t="s">
        <v>44775</v>
      </c>
      <c r="S12179" t="s">
        <v>45343</v>
      </c>
      <c r="T12179" t="s">
        <v>46409</v>
      </c>
      <c r="U12179" t="s">
        <v>56940</v>
      </c>
      <c r="W12179" t="s">
        <v>60911</v>
      </c>
      <c r="X12179" t="s">
        <v>44776</v>
      </c>
    </row>
    <row r="12180" spans="1:24">
      <c r="A12180">
        <f>HYPERLINK("https://www.philgeps.gov.ph/GEPSNONPILOT/Tender/SplashBidNoticeAbstractUI.aspx?menuIndex=3&amp;refID=7126070&amp;Result=3","7126070")</f>
        <v>0</v>
      </c>
      <c r="B12180" t="s">
        <v>44</v>
      </c>
      <c r="C12180" t="s">
        <v>15339</v>
      </c>
      <c r="D12180" t="s">
        <v>17969</v>
      </c>
      <c r="E12180" t="s">
        <v>28550</v>
      </c>
      <c r="F12180" t="s">
        <v>30900</v>
      </c>
      <c r="G12180" t="s">
        <v>30907</v>
      </c>
      <c r="H12180" t="s">
        <v>30916</v>
      </c>
      <c r="I12180" t="s">
        <v>30924</v>
      </c>
      <c r="J12180" t="s">
        <v>37552</v>
      </c>
      <c r="K12180" t="s">
        <v>40284</v>
      </c>
      <c r="M12180" t="s">
        <v>40590</v>
      </c>
      <c r="N12180" t="s">
        <v>44759</v>
      </c>
      <c r="O12180" t="s">
        <v>44760</v>
      </c>
      <c r="P12180">
        <v>0</v>
      </c>
      <c r="Q12180">
        <v>1</v>
      </c>
      <c r="R12180" t="s">
        <v>44775</v>
      </c>
      <c r="S12180" t="s">
        <v>45343</v>
      </c>
      <c r="T12180" t="s">
        <v>46418</v>
      </c>
      <c r="U12180" t="s">
        <v>56961</v>
      </c>
      <c r="W12180" t="s">
        <v>40590</v>
      </c>
      <c r="X12180" t="s">
        <v>44776</v>
      </c>
    </row>
    <row r="12181" spans="1:24">
      <c r="A12181">
        <f>HYPERLINK("https://www.philgeps.gov.ph/GEPSNONPILOT/Tender/SplashBidNoticeAbstractUI.aspx?menuIndex=3&amp;refID=7126067&amp;Result=3","7126067")</f>
        <v>0</v>
      </c>
      <c r="B12181" t="s">
        <v>2075</v>
      </c>
      <c r="C12181" t="s">
        <v>15340</v>
      </c>
      <c r="D12181" t="s">
        <v>17959</v>
      </c>
      <c r="E12181" t="s">
        <v>28551</v>
      </c>
      <c r="F12181" t="s">
        <v>30900</v>
      </c>
      <c r="G12181" t="s">
        <v>30907</v>
      </c>
      <c r="H12181" t="s">
        <v>30916</v>
      </c>
      <c r="I12181" t="s">
        <v>10879</v>
      </c>
      <c r="J12181" t="s">
        <v>38625</v>
      </c>
      <c r="K12181" t="s">
        <v>40287</v>
      </c>
      <c r="M12181" t="s">
        <v>42774</v>
      </c>
      <c r="N12181" t="s">
        <v>44759</v>
      </c>
      <c r="O12181" t="s">
        <v>44760</v>
      </c>
      <c r="P12181">
        <v>0</v>
      </c>
      <c r="Q12181">
        <v>8</v>
      </c>
      <c r="R12181" t="s">
        <v>44775</v>
      </c>
      <c r="S12181" t="s">
        <v>45343</v>
      </c>
      <c r="T12181" t="s">
        <v>46412</v>
      </c>
      <c r="U12181" t="s">
        <v>56962</v>
      </c>
      <c r="W12181" t="s">
        <v>42774</v>
      </c>
      <c r="X12181" t="s">
        <v>44776</v>
      </c>
    </row>
    <row r="12182" spans="1:24">
      <c r="A12182">
        <f>HYPERLINK("https://www.philgeps.gov.ph/GEPSNONPILOT/Tender/SplashBidNoticeAbstractUI.aspx?menuIndex=3&amp;refID=7126063&amp;Result=3","7126063")</f>
        <v>0</v>
      </c>
      <c r="B12182" t="s">
        <v>3467</v>
      </c>
      <c r="C12182" t="s">
        <v>15341</v>
      </c>
      <c r="D12182" t="s">
        <v>17955</v>
      </c>
      <c r="E12182" t="s">
        <v>28552</v>
      </c>
      <c r="F12182" t="s">
        <v>30900</v>
      </c>
      <c r="G12182" t="s">
        <v>30907</v>
      </c>
      <c r="H12182" t="s">
        <v>30916</v>
      </c>
      <c r="I12182" t="s">
        <v>5830</v>
      </c>
      <c r="J12182" t="s">
        <v>38626</v>
      </c>
      <c r="K12182" t="s">
        <v>40286</v>
      </c>
      <c r="M12182" t="s">
        <v>44361</v>
      </c>
      <c r="N12182" t="s">
        <v>44759</v>
      </c>
      <c r="O12182" t="s">
        <v>44760</v>
      </c>
      <c r="P12182">
        <v>0</v>
      </c>
      <c r="Q12182">
        <v>22</v>
      </c>
      <c r="R12182" t="s">
        <v>44775</v>
      </c>
      <c r="S12182" t="s">
        <v>45343</v>
      </c>
      <c r="T12182" t="s">
        <v>46399</v>
      </c>
      <c r="U12182" t="s">
        <v>56963</v>
      </c>
      <c r="W12182" t="s">
        <v>44361</v>
      </c>
      <c r="X12182" t="s">
        <v>44776</v>
      </c>
    </row>
    <row r="12183" spans="1:24">
      <c r="A12183">
        <f>HYPERLINK("https://www.philgeps.gov.ph/GEPSNONPILOT/Tender/SplashBidNoticeAbstractUI.aspx?menuIndex=3&amp;refID=7126078&amp;Result=3","7126078")</f>
        <v>0</v>
      </c>
      <c r="B12183" t="s">
        <v>3068</v>
      </c>
      <c r="C12183" t="s">
        <v>15342</v>
      </c>
      <c r="D12183" t="s">
        <v>18025</v>
      </c>
      <c r="E12183" t="s">
        <v>28553</v>
      </c>
      <c r="F12183" t="s">
        <v>30900</v>
      </c>
      <c r="G12183" t="s">
        <v>30907</v>
      </c>
      <c r="H12183" t="s">
        <v>30915</v>
      </c>
      <c r="I12183" t="s">
        <v>30919</v>
      </c>
      <c r="J12183" t="s">
        <v>31063</v>
      </c>
      <c r="K12183" t="s">
        <v>40292</v>
      </c>
      <c r="M12183" t="s">
        <v>43879</v>
      </c>
      <c r="N12183" t="s">
        <v>44759</v>
      </c>
      <c r="O12183" t="s">
        <v>44760</v>
      </c>
      <c r="Q12183">
        <v>13</v>
      </c>
      <c r="R12183" t="s">
        <v>44775</v>
      </c>
      <c r="S12183" t="s">
        <v>45441</v>
      </c>
      <c r="T12183" t="s">
        <v>46409</v>
      </c>
      <c r="U12183" t="s">
        <v>56940</v>
      </c>
      <c r="W12183" t="s">
        <v>60911</v>
      </c>
      <c r="X12183" t="s">
        <v>44776</v>
      </c>
    </row>
    <row r="12184" spans="1:24">
      <c r="A12184">
        <f>HYPERLINK("https://www.philgeps.gov.ph/GEPSNONPILOT/Tender/SplashBidNoticeAbstractUI.aspx?menuIndex=3&amp;refID=7126169&amp;Result=3","7126169")</f>
        <v>0</v>
      </c>
      <c r="B12184" t="s">
        <v>1628</v>
      </c>
      <c r="C12184" t="s">
        <v>15343</v>
      </c>
      <c r="D12184" t="s">
        <v>18000</v>
      </c>
      <c r="E12184" t="s">
        <v>28554</v>
      </c>
      <c r="F12184" t="s">
        <v>30900</v>
      </c>
      <c r="G12184" t="s">
        <v>30907</v>
      </c>
      <c r="H12184" t="s">
        <v>30916</v>
      </c>
      <c r="I12184" t="s">
        <v>4142</v>
      </c>
      <c r="J12184" t="s">
        <v>38627</v>
      </c>
      <c r="K12184" t="s">
        <v>40286</v>
      </c>
      <c r="M12184" t="s">
        <v>42280</v>
      </c>
      <c r="N12184" t="s">
        <v>44759</v>
      </c>
      <c r="O12184" t="s">
        <v>44760</v>
      </c>
      <c r="P12184">
        <v>0</v>
      </c>
      <c r="Q12184">
        <v>8</v>
      </c>
      <c r="R12184" t="s">
        <v>44775</v>
      </c>
      <c r="S12184" t="s">
        <v>45343</v>
      </c>
      <c r="T12184" t="s">
        <v>46533</v>
      </c>
      <c r="U12184" t="s">
        <v>56964</v>
      </c>
      <c r="W12184" t="s">
        <v>42280</v>
      </c>
      <c r="X12184" t="s">
        <v>44776</v>
      </c>
    </row>
    <row r="12185" spans="1:24">
      <c r="A12185">
        <f>HYPERLINK("https://www.philgeps.gov.ph/GEPSNONPILOT/Tender/SplashBidNoticeAbstractUI.aspx?menuIndex=3&amp;refID=7126074&amp;Result=3","7126074")</f>
        <v>0</v>
      </c>
      <c r="B12185" t="s">
        <v>3068</v>
      </c>
      <c r="C12185" t="s">
        <v>15344</v>
      </c>
      <c r="D12185" t="s">
        <v>18025</v>
      </c>
      <c r="E12185" t="s">
        <v>28555</v>
      </c>
      <c r="F12185" t="s">
        <v>30900</v>
      </c>
      <c r="G12185" t="s">
        <v>30907</v>
      </c>
      <c r="H12185" t="s">
        <v>30915</v>
      </c>
      <c r="I12185" t="s">
        <v>30919</v>
      </c>
      <c r="J12185" t="s">
        <v>34345</v>
      </c>
      <c r="K12185" t="s">
        <v>40293</v>
      </c>
      <c r="M12185" t="s">
        <v>43879</v>
      </c>
      <c r="N12185" t="s">
        <v>44759</v>
      </c>
      <c r="O12185" t="s">
        <v>44760</v>
      </c>
      <c r="Q12185">
        <v>10</v>
      </c>
      <c r="R12185" t="s">
        <v>44775</v>
      </c>
      <c r="S12185" t="s">
        <v>45442</v>
      </c>
      <c r="T12185" t="s">
        <v>46409</v>
      </c>
      <c r="U12185" t="s">
        <v>56940</v>
      </c>
      <c r="W12185" t="s">
        <v>60911</v>
      </c>
      <c r="X12185" t="s">
        <v>44776</v>
      </c>
    </row>
    <row r="12186" spans="1:24">
      <c r="A12186">
        <f>HYPERLINK("https://www.philgeps.gov.ph/GEPSNONPILOT/Tender/SplashBidNoticeAbstractUI.aspx?menuIndex=3&amp;refID=7126164&amp;Result=3","7126164")</f>
        <v>0</v>
      </c>
      <c r="B12186" t="s">
        <v>2060</v>
      </c>
      <c r="C12186" t="s">
        <v>13134</v>
      </c>
      <c r="D12186" t="s">
        <v>17986</v>
      </c>
      <c r="E12186" t="s">
        <v>28556</v>
      </c>
      <c r="F12186" t="s">
        <v>30900</v>
      </c>
      <c r="G12186" t="s">
        <v>30907</v>
      </c>
      <c r="H12186" t="s">
        <v>30916</v>
      </c>
      <c r="I12186" t="s">
        <v>10847</v>
      </c>
      <c r="J12186" t="s">
        <v>38628</v>
      </c>
      <c r="K12186" t="s">
        <v>40287</v>
      </c>
      <c r="M12186" t="s">
        <v>42759</v>
      </c>
      <c r="N12186" t="s">
        <v>44759</v>
      </c>
      <c r="O12186" t="s">
        <v>44760</v>
      </c>
      <c r="P12186">
        <v>0</v>
      </c>
      <c r="Q12186">
        <v>1</v>
      </c>
      <c r="R12186" t="s">
        <v>44775</v>
      </c>
      <c r="S12186" t="s">
        <v>45343</v>
      </c>
      <c r="T12186" t="s">
        <v>46357</v>
      </c>
      <c r="U12186" t="s">
        <v>56965</v>
      </c>
      <c r="W12186" t="s">
        <v>42759</v>
      </c>
      <c r="X12186" t="s">
        <v>44776</v>
      </c>
    </row>
    <row r="12187" spans="1:24">
      <c r="A12187">
        <f>HYPERLINK("https://www.philgeps.gov.ph/GEPSNONPILOT/Tender/SplashBidNoticeAbstractUI.aspx?menuIndex=3&amp;refID=7126163&amp;Result=3","7126163")</f>
        <v>0</v>
      </c>
      <c r="B12187" t="s">
        <v>1628</v>
      </c>
      <c r="C12187" t="s">
        <v>15345</v>
      </c>
      <c r="D12187" t="s">
        <v>18000</v>
      </c>
      <c r="E12187" t="s">
        <v>28557</v>
      </c>
      <c r="F12187" t="s">
        <v>30900</v>
      </c>
      <c r="G12187" t="s">
        <v>30907</v>
      </c>
      <c r="H12187" t="s">
        <v>30916</v>
      </c>
      <c r="I12187" t="s">
        <v>7708</v>
      </c>
      <c r="J12187" t="s">
        <v>38629</v>
      </c>
      <c r="K12187" t="s">
        <v>40286</v>
      </c>
      <c r="M12187" t="s">
        <v>42280</v>
      </c>
      <c r="N12187" t="s">
        <v>44759</v>
      </c>
      <c r="O12187" t="s">
        <v>44760</v>
      </c>
      <c r="P12187">
        <v>0</v>
      </c>
      <c r="Q12187">
        <v>2</v>
      </c>
      <c r="R12187" t="s">
        <v>44775</v>
      </c>
      <c r="S12187" t="s">
        <v>45343</v>
      </c>
      <c r="T12187" t="s">
        <v>46711</v>
      </c>
      <c r="U12187" t="s">
        <v>56966</v>
      </c>
      <c r="W12187" t="s">
        <v>42280</v>
      </c>
      <c r="X12187" t="s">
        <v>44776</v>
      </c>
    </row>
    <row r="12188" spans="1:24">
      <c r="A12188">
        <f>HYPERLINK("https://www.philgeps.gov.ph/GEPSNONPILOT/Tender/SplashBidNoticeAbstractUI.aspx?menuIndex=3&amp;refID=7126088&amp;Result=3","7126088")</f>
        <v>0</v>
      </c>
      <c r="B12188" t="s">
        <v>3068</v>
      </c>
      <c r="C12188" t="s">
        <v>15346</v>
      </c>
      <c r="D12188" t="s">
        <v>18025</v>
      </c>
      <c r="E12188" t="s">
        <v>28558</v>
      </c>
      <c r="F12188" t="s">
        <v>30900</v>
      </c>
      <c r="G12188" t="s">
        <v>30907</v>
      </c>
      <c r="H12188" t="s">
        <v>30915</v>
      </c>
      <c r="I12188" t="s">
        <v>30919</v>
      </c>
      <c r="J12188" t="s">
        <v>38630</v>
      </c>
      <c r="K12188" t="s">
        <v>40342</v>
      </c>
      <c r="M12188" t="s">
        <v>43879</v>
      </c>
      <c r="N12188" t="s">
        <v>44759</v>
      </c>
      <c r="O12188" t="s">
        <v>44760</v>
      </c>
      <c r="P12188">
        <v>0</v>
      </c>
      <c r="Q12188">
        <v>24</v>
      </c>
      <c r="R12188" t="s">
        <v>44775</v>
      </c>
      <c r="S12188" t="s">
        <v>45343</v>
      </c>
      <c r="T12188" t="s">
        <v>46409</v>
      </c>
      <c r="U12188" t="s">
        <v>56940</v>
      </c>
      <c r="W12188" t="s">
        <v>60911</v>
      </c>
      <c r="X12188" t="s">
        <v>44776</v>
      </c>
    </row>
    <row r="12189" spans="1:24">
      <c r="A12189">
        <f>HYPERLINK("https://www.philgeps.gov.ph/GEPSNONPILOT/Tender/SplashBidNoticeAbstractUI.aspx?menuIndex=3&amp;refID=7126155&amp;Result=3","7126155")</f>
        <v>0</v>
      </c>
      <c r="B12189" t="s">
        <v>1628</v>
      </c>
      <c r="C12189" t="s">
        <v>15347</v>
      </c>
      <c r="D12189" t="s">
        <v>18000</v>
      </c>
      <c r="E12189" t="s">
        <v>28559</v>
      </c>
      <c r="F12189" t="s">
        <v>30900</v>
      </c>
      <c r="G12189" t="s">
        <v>30907</v>
      </c>
      <c r="H12189" t="s">
        <v>30916</v>
      </c>
      <c r="I12189" t="s">
        <v>30933</v>
      </c>
      <c r="J12189" t="s">
        <v>35135</v>
      </c>
      <c r="K12189" t="s">
        <v>40280</v>
      </c>
      <c r="M12189" t="s">
        <v>42280</v>
      </c>
      <c r="N12189" t="s">
        <v>44759</v>
      </c>
      <c r="O12189" t="s">
        <v>44760</v>
      </c>
      <c r="P12189">
        <v>0</v>
      </c>
      <c r="Q12189">
        <v>3</v>
      </c>
      <c r="R12189" t="s">
        <v>44775</v>
      </c>
      <c r="S12189" t="s">
        <v>45343</v>
      </c>
      <c r="T12189" t="s">
        <v>46525</v>
      </c>
      <c r="U12189" t="s">
        <v>56967</v>
      </c>
      <c r="W12189" t="s">
        <v>42280</v>
      </c>
      <c r="X12189" t="s">
        <v>44776</v>
      </c>
    </row>
    <row r="12190" spans="1:24">
      <c r="A12190">
        <f>HYPERLINK("https://www.philgeps.gov.ph/GEPSNONPILOT/Tender/SplashBidNoticeAbstractUI.aspx?menuIndex=3&amp;refID=7126065&amp;Result=3","7126065")</f>
        <v>0</v>
      </c>
      <c r="B12190" t="s">
        <v>3333</v>
      </c>
      <c r="C12190" t="s">
        <v>15348</v>
      </c>
      <c r="D12190" t="s">
        <v>17995</v>
      </c>
      <c r="E12190" t="s">
        <v>28560</v>
      </c>
      <c r="F12190" t="s">
        <v>30900</v>
      </c>
      <c r="G12190" t="s">
        <v>30906</v>
      </c>
      <c r="H12190" t="s">
        <v>30916</v>
      </c>
      <c r="I12190" t="s">
        <v>30940</v>
      </c>
      <c r="J12190" t="s">
        <v>35000</v>
      </c>
      <c r="K12190" t="s">
        <v>40294</v>
      </c>
      <c r="M12190" t="s">
        <v>44194</v>
      </c>
      <c r="N12190" t="s">
        <v>44759</v>
      </c>
      <c r="O12190" t="s">
        <v>44760</v>
      </c>
      <c r="P12190">
        <v>0</v>
      </c>
      <c r="Q12190">
        <v>0</v>
      </c>
      <c r="R12190" t="s">
        <v>44775</v>
      </c>
      <c r="S12190" t="s">
        <v>45343</v>
      </c>
      <c r="T12190" t="s">
        <v>46771</v>
      </c>
      <c r="U12190" t="s">
        <v>56968</v>
      </c>
      <c r="W12190" t="s">
        <v>44194</v>
      </c>
      <c r="X12190" t="s">
        <v>44776</v>
      </c>
    </row>
    <row r="12191" spans="1:24">
      <c r="A12191">
        <f>HYPERLINK("https://www.philgeps.gov.ph/GEPSNONPILOT/Tender/SplashBidNoticeAbstractUI.aspx?menuIndex=3&amp;refID=7126143&amp;Result=3","7126143")</f>
        <v>0</v>
      </c>
      <c r="B12191" t="s">
        <v>1628</v>
      </c>
      <c r="C12191" t="s">
        <v>15349</v>
      </c>
      <c r="D12191" t="s">
        <v>18000</v>
      </c>
      <c r="E12191" t="s">
        <v>28561</v>
      </c>
      <c r="F12191" t="s">
        <v>30900</v>
      </c>
      <c r="G12191" t="s">
        <v>30907</v>
      </c>
      <c r="H12191" t="s">
        <v>30916</v>
      </c>
      <c r="I12191" t="s">
        <v>7708</v>
      </c>
      <c r="J12191" t="s">
        <v>38631</v>
      </c>
      <c r="K12191" t="s">
        <v>40293</v>
      </c>
      <c r="M12191" t="s">
        <v>42280</v>
      </c>
      <c r="N12191" t="s">
        <v>44759</v>
      </c>
      <c r="O12191" t="s">
        <v>44760</v>
      </c>
      <c r="P12191">
        <v>0</v>
      </c>
      <c r="Q12191">
        <v>4</v>
      </c>
      <c r="R12191" t="s">
        <v>44775</v>
      </c>
      <c r="S12191" t="s">
        <v>45343</v>
      </c>
      <c r="T12191" t="s">
        <v>46429</v>
      </c>
      <c r="U12191" t="s">
        <v>56969</v>
      </c>
      <c r="W12191" t="s">
        <v>42280</v>
      </c>
      <c r="X12191" t="s">
        <v>44776</v>
      </c>
    </row>
    <row r="12192" spans="1:24">
      <c r="A12192">
        <f>HYPERLINK("https://www.philgeps.gov.ph/GEPSNONPILOT/Tender/SplashBidNoticeAbstractUI.aspx?menuIndex=3&amp;refID=7126131&amp;Result=3","7126131")</f>
        <v>0</v>
      </c>
      <c r="B12192" t="s">
        <v>911</v>
      </c>
      <c r="C12192" t="s">
        <v>15350</v>
      </c>
      <c r="D12192" t="s">
        <v>17961</v>
      </c>
      <c r="E12192" t="s">
        <v>28562</v>
      </c>
      <c r="F12192" t="s">
        <v>30900</v>
      </c>
      <c r="G12192" t="s">
        <v>30907</v>
      </c>
      <c r="H12192" t="s">
        <v>30916</v>
      </c>
      <c r="I12192" t="s">
        <v>8123</v>
      </c>
      <c r="J12192" t="s">
        <v>38632</v>
      </c>
      <c r="K12192" t="s">
        <v>40286</v>
      </c>
      <c r="M12192" t="s">
        <v>44362</v>
      </c>
      <c r="N12192" t="s">
        <v>44759</v>
      </c>
      <c r="O12192" t="s">
        <v>44760</v>
      </c>
      <c r="P12192">
        <v>0</v>
      </c>
      <c r="Q12192">
        <v>5</v>
      </c>
      <c r="R12192" t="s">
        <v>44775</v>
      </c>
      <c r="S12192" t="s">
        <v>45343</v>
      </c>
      <c r="T12192" t="s">
        <v>46409</v>
      </c>
      <c r="U12192" t="s">
        <v>56970</v>
      </c>
      <c r="W12192" t="s">
        <v>44362</v>
      </c>
      <c r="X12192" t="s">
        <v>44776</v>
      </c>
    </row>
    <row r="12193" spans="1:24">
      <c r="A12193">
        <f>HYPERLINK("https://www.philgeps.gov.ph/GEPSNONPILOT/Tender/SplashBidNoticeAbstractUI.aspx?menuIndex=3&amp;refID=7126130&amp;Result=3","7126130")</f>
        <v>0</v>
      </c>
      <c r="B12193" t="s">
        <v>1905</v>
      </c>
      <c r="C12193" t="s">
        <v>15351</v>
      </c>
      <c r="D12193" t="s">
        <v>18002</v>
      </c>
      <c r="E12193" t="s">
        <v>28563</v>
      </c>
      <c r="F12193" t="s">
        <v>30900</v>
      </c>
      <c r="G12193" t="s">
        <v>30907</v>
      </c>
      <c r="H12193" t="s">
        <v>30916</v>
      </c>
      <c r="I12193" t="s">
        <v>5501</v>
      </c>
      <c r="J12193" t="s">
        <v>38633</v>
      </c>
      <c r="K12193" t="s">
        <v>40287</v>
      </c>
      <c r="M12193" t="s">
        <v>42582</v>
      </c>
      <c r="N12193" t="s">
        <v>44759</v>
      </c>
      <c r="O12193" t="s">
        <v>44760</v>
      </c>
      <c r="P12193">
        <v>0</v>
      </c>
      <c r="Q12193">
        <v>8</v>
      </c>
      <c r="R12193" t="s">
        <v>44775</v>
      </c>
      <c r="S12193" t="s">
        <v>45343</v>
      </c>
      <c r="T12193" t="s">
        <v>46421</v>
      </c>
      <c r="U12193" t="s">
        <v>56971</v>
      </c>
      <c r="V12193" t="s">
        <v>59664</v>
      </c>
      <c r="W12193" t="s">
        <v>42582</v>
      </c>
      <c r="X12193" t="s">
        <v>44776</v>
      </c>
    </row>
    <row r="12194" spans="1:24">
      <c r="A12194">
        <f>HYPERLINK("https://www.philgeps.gov.ph/GEPSNONPILOT/Tender/SplashBidNoticeAbstractUI.aspx?menuIndex=3&amp;refID=7126066&amp;Result=3","7126066")</f>
        <v>0</v>
      </c>
      <c r="B12194" t="s">
        <v>3068</v>
      </c>
      <c r="C12194" t="s">
        <v>15352</v>
      </c>
      <c r="D12194" t="s">
        <v>18025</v>
      </c>
      <c r="E12194" t="s">
        <v>28564</v>
      </c>
      <c r="F12194" t="s">
        <v>30900</v>
      </c>
      <c r="G12194" t="s">
        <v>30907</v>
      </c>
      <c r="H12194" t="s">
        <v>30915</v>
      </c>
      <c r="I12194" t="s">
        <v>30919</v>
      </c>
      <c r="J12194" t="s">
        <v>31157</v>
      </c>
      <c r="K12194" t="s">
        <v>40293</v>
      </c>
      <c r="M12194" t="s">
        <v>43879</v>
      </c>
      <c r="N12194" t="s">
        <v>44759</v>
      </c>
      <c r="O12194" t="s">
        <v>44760</v>
      </c>
      <c r="Q12194">
        <v>8</v>
      </c>
      <c r="R12194" t="s">
        <v>44775</v>
      </c>
      <c r="S12194" t="s">
        <v>45443</v>
      </c>
      <c r="T12194" t="s">
        <v>46409</v>
      </c>
      <c r="U12194" t="s">
        <v>56940</v>
      </c>
      <c r="W12194" t="s">
        <v>60911</v>
      </c>
      <c r="X12194" t="s">
        <v>44776</v>
      </c>
    </row>
    <row r="12195" spans="1:24">
      <c r="A12195">
        <f>HYPERLINK("https://www.philgeps.gov.ph/GEPSNONPILOT/Tender/SplashBidNoticeAbstractUI.aspx?menuIndex=3&amp;refID=7126135&amp;Result=3","7126135")</f>
        <v>0</v>
      </c>
      <c r="B12195" t="s">
        <v>1905</v>
      </c>
      <c r="C12195" t="s">
        <v>15353</v>
      </c>
      <c r="D12195" t="s">
        <v>18002</v>
      </c>
      <c r="E12195" t="s">
        <v>28565</v>
      </c>
      <c r="F12195" t="s">
        <v>30900</v>
      </c>
      <c r="G12195" t="s">
        <v>30907</v>
      </c>
      <c r="H12195" t="s">
        <v>30916</v>
      </c>
      <c r="I12195" t="s">
        <v>4545</v>
      </c>
      <c r="J12195" t="s">
        <v>38634</v>
      </c>
      <c r="K12195" t="s">
        <v>40287</v>
      </c>
      <c r="M12195" t="s">
        <v>42582</v>
      </c>
      <c r="N12195" t="s">
        <v>44759</v>
      </c>
      <c r="O12195" t="s">
        <v>44760</v>
      </c>
      <c r="P12195">
        <v>0</v>
      </c>
      <c r="Q12195">
        <v>9</v>
      </c>
      <c r="R12195" t="s">
        <v>44775</v>
      </c>
      <c r="S12195" t="s">
        <v>45343</v>
      </c>
      <c r="T12195" t="s">
        <v>46421</v>
      </c>
      <c r="U12195" t="s">
        <v>56972</v>
      </c>
      <c r="V12195" t="s">
        <v>59664</v>
      </c>
      <c r="W12195" t="s">
        <v>42582</v>
      </c>
      <c r="X12195" t="s">
        <v>44776</v>
      </c>
    </row>
    <row r="12196" spans="1:24">
      <c r="A12196">
        <f>HYPERLINK("https://www.philgeps.gov.ph/GEPSNONPILOT/Tender/SplashBidNoticeAbstractUI.aspx?menuIndex=3&amp;refID=7126126&amp;Result=3","7126126")</f>
        <v>0</v>
      </c>
      <c r="B12196" t="s">
        <v>1905</v>
      </c>
      <c r="C12196" t="s">
        <v>15354</v>
      </c>
      <c r="D12196" t="s">
        <v>18002</v>
      </c>
      <c r="E12196" t="s">
        <v>28566</v>
      </c>
      <c r="F12196" t="s">
        <v>30900</v>
      </c>
      <c r="G12196" t="s">
        <v>30907</v>
      </c>
      <c r="H12196" t="s">
        <v>30916</v>
      </c>
      <c r="I12196" t="s">
        <v>4142</v>
      </c>
      <c r="J12196" t="s">
        <v>38635</v>
      </c>
      <c r="K12196" t="s">
        <v>40294</v>
      </c>
      <c r="M12196" t="s">
        <v>42582</v>
      </c>
      <c r="N12196" t="s">
        <v>44759</v>
      </c>
      <c r="O12196" t="s">
        <v>44760</v>
      </c>
      <c r="P12196">
        <v>0</v>
      </c>
      <c r="Q12196">
        <v>7</v>
      </c>
      <c r="R12196" t="s">
        <v>44775</v>
      </c>
      <c r="S12196" t="s">
        <v>45343</v>
      </c>
      <c r="T12196" t="s">
        <v>46421</v>
      </c>
      <c r="U12196" t="s">
        <v>56973</v>
      </c>
      <c r="V12196" t="s">
        <v>59664</v>
      </c>
      <c r="W12196" t="s">
        <v>42582</v>
      </c>
      <c r="X12196" t="s">
        <v>44776</v>
      </c>
    </row>
    <row r="12197" spans="1:24">
      <c r="A12197">
        <f>HYPERLINK("https://www.philgeps.gov.ph/GEPSNONPILOT/Tender/SplashBidNoticeAbstractUI.aspx?menuIndex=3&amp;refID=7126121&amp;Result=3","7126121")</f>
        <v>0</v>
      </c>
      <c r="B12197" t="s">
        <v>3333</v>
      </c>
      <c r="C12197" t="s">
        <v>15355</v>
      </c>
      <c r="D12197" t="s">
        <v>17995</v>
      </c>
      <c r="E12197" t="s">
        <v>28567</v>
      </c>
      <c r="F12197" t="s">
        <v>30900</v>
      </c>
      <c r="G12197" t="s">
        <v>30907</v>
      </c>
      <c r="H12197" t="s">
        <v>30916</v>
      </c>
      <c r="I12197" t="s">
        <v>8123</v>
      </c>
      <c r="J12197" t="s">
        <v>38636</v>
      </c>
      <c r="K12197" t="s">
        <v>40294</v>
      </c>
      <c r="M12197" t="s">
        <v>44194</v>
      </c>
      <c r="N12197" t="s">
        <v>44759</v>
      </c>
      <c r="O12197" t="s">
        <v>44760</v>
      </c>
      <c r="P12197">
        <v>0</v>
      </c>
      <c r="Q12197">
        <v>1</v>
      </c>
      <c r="R12197" t="s">
        <v>44775</v>
      </c>
      <c r="S12197" t="s">
        <v>45343</v>
      </c>
      <c r="T12197" t="s">
        <v>46771</v>
      </c>
      <c r="U12197" t="s">
        <v>56968</v>
      </c>
      <c r="W12197" t="s">
        <v>44194</v>
      </c>
      <c r="X12197" t="s">
        <v>44776</v>
      </c>
    </row>
    <row r="12198" spans="1:24">
      <c r="A12198">
        <f>HYPERLINK("https://www.philgeps.gov.ph/GEPSNONPILOT/Tender/SplashBidNoticeAbstractUI.aspx?menuIndex=3&amp;refID=7126119&amp;Result=3","7126119")</f>
        <v>0</v>
      </c>
      <c r="B12198" t="s">
        <v>1905</v>
      </c>
      <c r="C12198" t="s">
        <v>15356</v>
      </c>
      <c r="D12198" t="s">
        <v>18002</v>
      </c>
      <c r="E12198" t="s">
        <v>28568</v>
      </c>
      <c r="F12198" t="s">
        <v>30900</v>
      </c>
      <c r="G12198" t="s">
        <v>30907</v>
      </c>
      <c r="H12198" t="s">
        <v>30916</v>
      </c>
      <c r="I12198" t="s">
        <v>30924</v>
      </c>
      <c r="J12198" t="s">
        <v>38637</v>
      </c>
      <c r="K12198" t="s">
        <v>40283</v>
      </c>
      <c r="M12198" t="s">
        <v>42582</v>
      </c>
      <c r="N12198" t="s">
        <v>44759</v>
      </c>
      <c r="O12198" t="s">
        <v>44760</v>
      </c>
      <c r="P12198">
        <v>0</v>
      </c>
      <c r="Q12198">
        <v>5</v>
      </c>
      <c r="R12198" t="s">
        <v>44775</v>
      </c>
      <c r="S12198" t="s">
        <v>45343</v>
      </c>
      <c r="T12198" t="s">
        <v>46421</v>
      </c>
      <c r="U12198" t="s">
        <v>56974</v>
      </c>
      <c r="V12198" t="s">
        <v>59664</v>
      </c>
      <c r="W12198" t="s">
        <v>42582</v>
      </c>
      <c r="X12198" t="s">
        <v>44776</v>
      </c>
    </row>
    <row r="12199" spans="1:24">
      <c r="A12199">
        <f>HYPERLINK("https://www.philgeps.gov.ph/GEPSNONPILOT/Tender/SplashBidNoticeAbstractUI.aspx?menuIndex=3&amp;refID=7126115&amp;Result=3","7126115")</f>
        <v>0</v>
      </c>
      <c r="B12199" t="s">
        <v>44</v>
      </c>
      <c r="C12199" t="s">
        <v>15357</v>
      </c>
      <c r="D12199" t="s">
        <v>17969</v>
      </c>
      <c r="E12199" t="s">
        <v>28569</v>
      </c>
      <c r="F12199" t="s">
        <v>30900</v>
      </c>
      <c r="G12199" t="s">
        <v>30907</v>
      </c>
      <c r="H12199" t="s">
        <v>30916</v>
      </c>
      <c r="I12199" t="s">
        <v>10879</v>
      </c>
      <c r="J12199" t="s">
        <v>38638</v>
      </c>
      <c r="K12199" t="s">
        <v>40284</v>
      </c>
      <c r="M12199" t="s">
        <v>40590</v>
      </c>
      <c r="N12199" t="s">
        <v>44759</v>
      </c>
      <c r="O12199" t="s">
        <v>44760</v>
      </c>
      <c r="P12199">
        <v>0</v>
      </c>
      <c r="Q12199">
        <v>7</v>
      </c>
      <c r="R12199" t="s">
        <v>44775</v>
      </c>
      <c r="S12199" t="s">
        <v>45343</v>
      </c>
      <c r="T12199" t="s">
        <v>46418</v>
      </c>
      <c r="U12199" t="s">
        <v>56975</v>
      </c>
      <c r="W12199" t="s">
        <v>40590</v>
      </c>
      <c r="X12199" t="s">
        <v>44776</v>
      </c>
    </row>
    <row r="12200" spans="1:24">
      <c r="A12200">
        <f>HYPERLINK("https://www.philgeps.gov.ph/GEPSNONPILOT/Tender/SplashBidNoticeAbstractUI.aspx?menuIndex=3&amp;refID=7126085&amp;Result=3","7126085")</f>
        <v>0</v>
      </c>
      <c r="B12200" t="s">
        <v>3068</v>
      </c>
      <c r="C12200" t="s">
        <v>15358</v>
      </c>
      <c r="D12200" t="s">
        <v>18025</v>
      </c>
      <c r="E12200" t="s">
        <v>28570</v>
      </c>
      <c r="F12200" t="s">
        <v>30900</v>
      </c>
      <c r="G12200" t="s">
        <v>30907</v>
      </c>
      <c r="H12200" t="s">
        <v>30915</v>
      </c>
      <c r="I12200" t="s">
        <v>30919</v>
      </c>
      <c r="J12200" t="s">
        <v>37627</v>
      </c>
      <c r="K12200" t="s">
        <v>40292</v>
      </c>
      <c r="M12200" t="s">
        <v>43879</v>
      </c>
      <c r="N12200" t="s">
        <v>44759</v>
      </c>
      <c r="O12200" t="s">
        <v>44760</v>
      </c>
      <c r="Q12200">
        <v>14</v>
      </c>
      <c r="R12200" t="s">
        <v>44775</v>
      </c>
      <c r="S12200" t="s">
        <v>45444</v>
      </c>
      <c r="T12200" t="s">
        <v>46409</v>
      </c>
      <c r="U12200" t="s">
        <v>56940</v>
      </c>
      <c r="W12200" t="s">
        <v>60911</v>
      </c>
      <c r="X12200" t="s">
        <v>44776</v>
      </c>
    </row>
    <row r="12201" spans="1:24">
      <c r="A12201">
        <f>HYPERLINK("https://www.philgeps.gov.ph/GEPSNONPILOT/Tender/SplashBidNoticeAbstractUI.aspx?menuIndex=3&amp;refID=7126140&amp;Result=3","7126140")</f>
        <v>0</v>
      </c>
      <c r="B12201" t="s">
        <v>1905</v>
      </c>
      <c r="C12201" t="s">
        <v>15359</v>
      </c>
      <c r="D12201" t="s">
        <v>18002</v>
      </c>
      <c r="E12201" t="s">
        <v>28571</v>
      </c>
      <c r="F12201" t="s">
        <v>30900</v>
      </c>
      <c r="G12201" t="s">
        <v>30907</v>
      </c>
      <c r="H12201" t="s">
        <v>30916</v>
      </c>
      <c r="I12201" t="s">
        <v>4545</v>
      </c>
      <c r="J12201" t="s">
        <v>38639</v>
      </c>
      <c r="K12201" t="s">
        <v>40321</v>
      </c>
      <c r="M12201" t="s">
        <v>42582</v>
      </c>
      <c r="N12201" t="s">
        <v>44759</v>
      </c>
      <c r="O12201" t="s">
        <v>44760</v>
      </c>
      <c r="P12201">
        <v>0</v>
      </c>
      <c r="Q12201">
        <v>13</v>
      </c>
      <c r="R12201" t="s">
        <v>44775</v>
      </c>
      <c r="S12201" t="s">
        <v>45343</v>
      </c>
      <c r="T12201" t="s">
        <v>46421</v>
      </c>
      <c r="U12201" t="s">
        <v>56976</v>
      </c>
      <c r="V12201" t="s">
        <v>59664</v>
      </c>
      <c r="W12201" t="s">
        <v>42582</v>
      </c>
      <c r="X12201" t="s">
        <v>44776</v>
      </c>
    </row>
    <row r="12202" spans="1:24">
      <c r="A12202">
        <f>HYPERLINK("https://www.philgeps.gov.ph/GEPSNONPILOT/Tender/SplashBidNoticeAbstractUI.aspx?menuIndex=3&amp;refID=7126258&amp;Result=3","7126258")</f>
        <v>0</v>
      </c>
      <c r="B12202" t="s">
        <v>3468</v>
      </c>
      <c r="C12202" t="s">
        <v>15360</v>
      </c>
      <c r="D12202" t="s">
        <v>17999</v>
      </c>
      <c r="E12202" t="s">
        <v>28572</v>
      </c>
      <c r="F12202" t="s">
        <v>30900</v>
      </c>
      <c r="G12202" t="s">
        <v>30907</v>
      </c>
      <c r="H12202" t="s">
        <v>7411</v>
      </c>
      <c r="I12202" t="s">
        <v>7411</v>
      </c>
      <c r="J12202" t="s">
        <v>38640</v>
      </c>
      <c r="K12202" t="s">
        <v>40327</v>
      </c>
      <c r="M12202" t="s">
        <v>44363</v>
      </c>
      <c r="N12202" t="s">
        <v>44759</v>
      </c>
      <c r="O12202" t="s">
        <v>44760</v>
      </c>
      <c r="P12202">
        <v>0</v>
      </c>
      <c r="Q12202">
        <v>2</v>
      </c>
      <c r="R12202" t="s">
        <v>44775</v>
      </c>
      <c r="S12202" t="s">
        <v>45343</v>
      </c>
      <c r="T12202" t="s">
        <v>46411</v>
      </c>
      <c r="U12202" t="s">
        <v>56977</v>
      </c>
      <c r="W12202" t="s">
        <v>44363</v>
      </c>
      <c r="X12202" t="s">
        <v>44776</v>
      </c>
    </row>
    <row r="12203" spans="1:24">
      <c r="A12203">
        <f>HYPERLINK("https://www.philgeps.gov.ph/GEPSNONPILOT/Tender/SplashBidNoticeAbstractUI.aspx?menuIndex=3&amp;refID=7126133&amp;Result=3","7126133")</f>
        <v>0</v>
      </c>
      <c r="B12203" t="s">
        <v>1628</v>
      </c>
      <c r="C12203" t="s">
        <v>15361</v>
      </c>
      <c r="D12203" t="s">
        <v>18000</v>
      </c>
      <c r="E12203" t="s">
        <v>28573</v>
      </c>
      <c r="F12203" t="s">
        <v>30900</v>
      </c>
      <c r="G12203" t="s">
        <v>30907</v>
      </c>
      <c r="H12203" t="s">
        <v>30916</v>
      </c>
      <c r="I12203" t="s">
        <v>30933</v>
      </c>
      <c r="J12203" t="s">
        <v>32616</v>
      </c>
      <c r="K12203" t="s">
        <v>40280</v>
      </c>
      <c r="M12203" t="s">
        <v>42280</v>
      </c>
      <c r="N12203" t="s">
        <v>44759</v>
      </c>
      <c r="O12203" t="s">
        <v>44760</v>
      </c>
      <c r="P12203">
        <v>0</v>
      </c>
      <c r="Q12203">
        <v>7</v>
      </c>
      <c r="R12203" t="s">
        <v>44775</v>
      </c>
      <c r="S12203" t="s">
        <v>45343</v>
      </c>
      <c r="T12203" t="s">
        <v>46902</v>
      </c>
      <c r="U12203" t="s">
        <v>56978</v>
      </c>
      <c r="W12203" t="s">
        <v>42280</v>
      </c>
      <c r="X12203" t="s">
        <v>44776</v>
      </c>
    </row>
    <row r="12204" spans="1:24">
      <c r="A12204">
        <f>HYPERLINK("https://www.philgeps.gov.ph/GEPSNONPILOT/Tender/SplashBidNoticeAbstractUI.aspx?menuIndex=3&amp;refID=7126253&amp;Result=3","7126253")</f>
        <v>0</v>
      </c>
      <c r="B12204" t="s">
        <v>1371</v>
      </c>
      <c r="C12204" t="s">
        <v>15362</v>
      </c>
      <c r="D12204" t="s">
        <v>17959</v>
      </c>
      <c r="E12204" t="s">
        <v>28574</v>
      </c>
      <c r="F12204" t="s">
        <v>30900</v>
      </c>
      <c r="G12204" t="s">
        <v>30907</v>
      </c>
      <c r="H12204" t="s">
        <v>7411</v>
      </c>
      <c r="I12204" t="s">
        <v>30924</v>
      </c>
      <c r="J12204" t="s">
        <v>38641</v>
      </c>
      <c r="K12204" t="s">
        <v>40339</v>
      </c>
      <c r="M12204" t="s">
        <v>44364</v>
      </c>
      <c r="N12204" t="s">
        <v>44759</v>
      </c>
      <c r="O12204" t="s">
        <v>44760</v>
      </c>
      <c r="P12204">
        <v>0</v>
      </c>
      <c r="Q12204">
        <v>12</v>
      </c>
      <c r="R12204" t="s">
        <v>44775</v>
      </c>
      <c r="S12204" t="s">
        <v>45343</v>
      </c>
      <c r="T12204" t="s">
        <v>46805</v>
      </c>
      <c r="U12204" t="s">
        <v>56979</v>
      </c>
      <c r="W12204" t="s">
        <v>44364</v>
      </c>
      <c r="X12204" t="s">
        <v>44776</v>
      </c>
    </row>
    <row r="12205" spans="1:24">
      <c r="A12205">
        <f>HYPERLINK("https://www.philgeps.gov.ph/GEPSNONPILOT/Tender/SplashBidNoticeAbstractUI.aspx?menuIndex=3&amp;refID=7126250&amp;Result=3","7126250")</f>
        <v>0</v>
      </c>
      <c r="B12205" t="s">
        <v>3468</v>
      </c>
      <c r="C12205" t="s">
        <v>15363</v>
      </c>
      <c r="D12205" t="s">
        <v>17999</v>
      </c>
      <c r="E12205" t="s">
        <v>28575</v>
      </c>
      <c r="F12205" t="s">
        <v>30900</v>
      </c>
      <c r="G12205" t="s">
        <v>30907</v>
      </c>
      <c r="H12205" t="s">
        <v>7411</v>
      </c>
      <c r="I12205" t="s">
        <v>7411</v>
      </c>
      <c r="J12205" t="s">
        <v>38642</v>
      </c>
      <c r="K12205" t="s">
        <v>40466</v>
      </c>
      <c r="M12205" t="s">
        <v>44363</v>
      </c>
      <c r="N12205" t="s">
        <v>44759</v>
      </c>
      <c r="O12205" t="s">
        <v>44760</v>
      </c>
      <c r="P12205">
        <v>0</v>
      </c>
      <c r="Q12205">
        <v>3</v>
      </c>
      <c r="R12205" t="s">
        <v>44775</v>
      </c>
      <c r="S12205" t="s">
        <v>45343</v>
      </c>
      <c r="T12205" t="s">
        <v>46411</v>
      </c>
      <c r="U12205" t="s">
        <v>56980</v>
      </c>
      <c r="W12205" t="s">
        <v>44363</v>
      </c>
      <c r="X12205" t="s">
        <v>44776</v>
      </c>
    </row>
    <row r="12206" spans="1:24">
      <c r="A12206">
        <f>HYPERLINK("https://www.philgeps.gov.ph/GEPSNONPILOT/Tender/SplashBidNoticeAbstractUI.aspx?menuIndex=3&amp;refID=7126099&amp;Result=3","7126099")</f>
        <v>0</v>
      </c>
      <c r="B12206" t="s">
        <v>820</v>
      </c>
      <c r="C12206" t="s">
        <v>15364</v>
      </c>
      <c r="E12206" t="s">
        <v>28576</v>
      </c>
      <c r="F12206" t="s">
        <v>30900</v>
      </c>
      <c r="G12206" t="s">
        <v>30907</v>
      </c>
      <c r="H12206" t="s">
        <v>30915</v>
      </c>
      <c r="I12206" t="s">
        <v>30919</v>
      </c>
      <c r="J12206" t="s">
        <v>38643</v>
      </c>
      <c r="K12206" t="s">
        <v>40289</v>
      </c>
      <c r="M12206" t="s">
        <v>41392</v>
      </c>
      <c r="N12206" t="s">
        <v>44759</v>
      </c>
      <c r="O12206" t="s">
        <v>44760</v>
      </c>
      <c r="P12206">
        <v>0</v>
      </c>
      <c r="Q12206">
        <v>0</v>
      </c>
      <c r="R12206" t="s">
        <v>44775</v>
      </c>
      <c r="S12206" t="s">
        <v>45343</v>
      </c>
      <c r="T12206" t="s">
        <v>46425</v>
      </c>
      <c r="U12206" t="s">
        <v>56981</v>
      </c>
      <c r="W12206" t="s">
        <v>41392</v>
      </c>
      <c r="X12206" t="s">
        <v>44776</v>
      </c>
    </row>
    <row r="12207" spans="1:24">
      <c r="A12207">
        <f>HYPERLINK("https://www.philgeps.gov.ph/GEPSNONPILOT/Tender/SplashBidNoticeAbstractUI.aspx?menuIndex=3&amp;refID=7126242&amp;Result=3","7126242")</f>
        <v>0</v>
      </c>
      <c r="B12207" t="s">
        <v>1092</v>
      </c>
      <c r="C12207" t="s">
        <v>15365</v>
      </c>
      <c r="D12207" t="s">
        <v>17957</v>
      </c>
      <c r="E12207" t="s">
        <v>28577</v>
      </c>
      <c r="F12207" t="s">
        <v>30900</v>
      </c>
      <c r="G12207" t="s">
        <v>30907</v>
      </c>
      <c r="H12207" t="s">
        <v>30915</v>
      </c>
      <c r="I12207" t="s">
        <v>30919</v>
      </c>
      <c r="J12207" t="s">
        <v>38644</v>
      </c>
      <c r="K12207" t="s">
        <v>40280</v>
      </c>
      <c r="M12207" t="s">
        <v>41692</v>
      </c>
      <c r="N12207" t="s">
        <v>44759</v>
      </c>
      <c r="O12207" t="s">
        <v>44760</v>
      </c>
      <c r="P12207">
        <v>0</v>
      </c>
      <c r="Q12207">
        <v>0</v>
      </c>
      <c r="R12207" t="s">
        <v>44775</v>
      </c>
      <c r="S12207" t="s">
        <v>45343</v>
      </c>
      <c r="T12207" t="s">
        <v>46389</v>
      </c>
      <c r="U12207" t="s">
        <v>56982</v>
      </c>
      <c r="W12207" t="s">
        <v>41692</v>
      </c>
      <c r="X12207" t="s">
        <v>44776</v>
      </c>
    </row>
    <row r="12208" spans="1:24">
      <c r="A12208">
        <f>HYPERLINK("https://www.philgeps.gov.ph/GEPSNONPILOT/Tender/SplashBidNoticeAbstractUI.aspx?menuIndex=3&amp;refID=7126235&amp;Result=3","7126235")</f>
        <v>0</v>
      </c>
      <c r="B12208" t="s">
        <v>3333</v>
      </c>
      <c r="C12208" t="s">
        <v>15366</v>
      </c>
      <c r="D12208" t="s">
        <v>17995</v>
      </c>
      <c r="E12208" t="s">
        <v>28578</v>
      </c>
      <c r="F12208" t="s">
        <v>30900</v>
      </c>
      <c r="G12208" t="s">
        <v>30907</v>
      </c>
      <c r="H12208" t="s">
        <v>30916</v>
      </c>
      <c r="I12208" t="s">
        <v>8123</v>
      </c>
      <c r="J12208" t="s">
        <v>38645</v>
      </c>
      <c r="K12208" t="s">
        <v>40294</v>
      </c>
      <c r="M12208" t="s">
        <v>44194</v>
      </c>
      <c r="N12208" t="s">
        <v>44759</v>
      </c>
      <c r="O12208" t="s">
        <v>44760</v>
      </c>
      <c r="P12208">
        <v>0</v>
      </c>
      <c r="Q12208">
        <v>1</v>
      </c>
      <c r="R12208" t="s">
        <v>44775</v>
      </c>
      <c r="S12208" t="s">
        <v>45343</v>
      </c>
      <c r="T12208" t="s">
        <v>46771</v>
      </c>
      <c r="U12208" t="s">
        <v>56983</v>
      </c>
      <c r="W12208" t="s">
        <v>44194</v>
      </c>
      <c r="X12208" t="s">
        <v>44776</v>
      </c>
    </row>
    <row r="12209" spans="1:24">
      <c r="A12209">
        <f>HYPERLINK("https://www.philgeps.gov.ph/GEPSNONPILOT/Tender/SplashBidNoticeAbstractUI.aspx?menuIndex=3&amp;refID=7126153&amp;Result=3","7126153")</f>
        <v>0</v>
      </c>
      <c r="B12209" t="s">
        <v>1628</v>
      </c>
      <c r="C12209" t="s">
        <v>15367</v>
      </c>
      <c r="D12209" t="s">
        <v>18000</v>
      </c>
      <c r="E12209" t="s">
        <v>28579</v>
      </c>
      <c r="F12209" t="s">
        <v>30900</v>
      </c>
      <c r="G12209" t="s">
        <v>30907</v>
      </c>
      <c r="H12209" t="s">
        <v>30916</v>
      </c>
      <c r="I12209" t="s">
        <v>30933</v>
      </c>
      <c r="J12209" t="s">
        <v>35135</v>
      </c>
      <c r="K12209" t="s">
        <v>40280</v>
      </c>
      <c r="M12209" t="s">
        <v>42280</v>
      </c>
      <c r="N12209" t="s">
        <v>44759</v>
      </c>
      <c r="O12209" t="s">
        <v>44760</v>
      </c>
      <c r="P12209">
        <v>0</v>
      </c>
      <c r="Q12209">
        <v>3</v>
      </c>
      <c r="R12209" t="s">
        <v>44775</v>
      </c>
      <c r="S12209" t="s">
        <v>45343</v>
      </c>
      <c r="T12209" t="s">
        <v>46791</v>
      </c>
      <c r="U12209" t="s">
        <v>56984</v>
      </c>
      <c r="W12209" t="s">
        <v>42280</v>
      </c>
      <c r="X12209" t="s">
        <v>44776</v>
      </c>
    </row>
    <row r="12210" spans="1:24">
      <c r="A12210">
        <f>HYPERLINK("https://www.philgeps.gov.ph/GEPSNONPILOT/Tender/SplashBidNoticeAbstractUI.aspx?menuIndex=3&amp;refID=7126234&amp;Result=3","7126234")</f>
        <v>0</v>
      </c>
      <c r="B12210" t="s">
        <v>1092</v>
      </c>
      <c r="C12210" t="s">
        <v>15368</v>
      </c>
      <c r="D12210" t="s">
        <v>17957</v>
      </c>
      <c r="E12210" t="s">
        <v>28580</v>
      </c>
      <c r="F12210" t="s">
        <v>30900</v>
      </c>
      <c r="G12210" t="s">
        <v>30907</v>
      </c>
      <c r="H12210" t="s">
        <v>30915</v>
      </c>
      <c r="I12210" t="s">
        <v>30919</v>
      </c>
      <c r="J12210" t="s">
        <v>38646</v>
      </c>
      <c r="K12210" t="s">
        <v>40292</v>
      </c>
      <c r="M12210" t="s">
        <v>41692</v>
      </c>
      <c r="N12210" t="s">
        <v>44759</v>
      </c>
      <c r="O12210" t="s">
        <v>44760</v>
      </c>
      <c r="P12210">
        <v>0</v>
      </c>
      <c r="Q12210">
        <v>0</v>
      </c>
      <c r="R12210" t="s">
        <v>44775</v>
      </c>
      <c r="S12210" t="s">
        <v>45343</v>
      </c>
      <c r="T12210" t="s">
        <v>46400</v>
      </c>
      <c r="U12210" t="s">
        <v>56985</v>
      </c>
      <c r="W12210" t="s">
        <v>41692</v>
      </c>
      <c r="X12210" t="s">
        <v>44776</v>
      </c>
    </row>
    <row r="12211" spans="1:24">
      <c r="A12211">
        <f>HYPERLINK("https://www.philgeps.gov.ph/GEPSNONPILOT/Tender/SplashBidNoticeAbstractUI.aspx?menuIndex=3&amp;refID=7126218&amp;Result=3","7126218")</f>
        <v>0</v>
      </c>
      <c r="B12211" t="s">
        <v>380</v>
      </c>
      <c r="C12211" t="s">
        <v>15369</v>
      </c>
      <c r="D12211" t="s">
        <v>18003</v>
      </c>
      <c r="E12211" t="s">
        <v>28581</v>
      </c>
      <c r="F12211" t="s">
        <v>30900</v>
      </c>
      <c r="G12211" t="s">
        <v>30907</v>
      </c>
      <c r="H12211" t="s">
        <v>30915</v>
      </c>
      <c r="I12211" t="s">
        <v>30919</v>
      </c>
      <c r="J12211" t="s">
        <v>31391</v>
      </c>
      <c r="K12211" t="s">
        <v>40304</v>
      </c>
      <c r="M12211" t="s">
        <v>40934</v>
      </c>
      <c r="N12211" t="s">
        <v>44759</v>
      </c>
      <c r="O12211" t="s">
        <v>44760</v>
      </c>
      <c r="P12211">
        <v>0</v>
      </c>
      <c r="Q12211">
        <v>0</v>
      </c>
      <c r="R12211" t="s">
        <v>44775</v>
      </c>
      <c r="S12211" t="s">
        <v>45343</v>
      </c>
      <c r="T12211" t="s">
        <v>46703</v>
      </c>
      <c r="U12211" t="s">
        <v>51829</v>
      </c>
      <c r="W12211" t="s">
        <v>40934</v>
      </c>
      <c r="X12211" t="s">
        <v>44776</v>
      </c>
    </row>
    <row r="12212" spans="1:24">
      <c r="A12212">
        <f>HYPERLINK("https://www.philgeps.gov.ph/GEPSNONPILOT/Tender/SplashBidNoticeAbstractUI.aspx?menuIndex=3&amp;refID=7126197&amp;Result=3","7126197")</f>
        <v>0</v>
      </c>
      <c r="B12212" t="s">
        <v>1628</v>
      </c>
      <c r="C12212" t="s">
        <v>15370</v>
      </c>
      <c r="D12212" t="s">
        <v>18000</v>
      </c>
      <c r="E12212" t="s">
        <v>28582</v>
      </c>
      <c r="F12212" t="s">
        <v>30900</v>
      </c>
      <c r="G12212" t="s">
        <v>30907</v>
      </c>
      <c r="H12212" t="s">
        <v>30916</v>
      </c>
      <c r="I12212" t="s">
        <v>30933</v>
      </c>
      <c r="J12212" t="s">
        <v>31211</v>
      </c>
      <c r="K12212" t="s">
        <v>40293</v>
      </c>
      <c r="M12212" t="s">
        <v>42280</v>
      </c>
      <c r="N12212" t="s">
        <v>44759</v>
      </c>
      <c r="O12212" t="s">
        <v>44760</v>
      </c>
      <c r="P12212">
        <v>0</v>
      </c>
      <c r="Q12212">
        <v>1</v>
      </c>
      <c r="R12212" t="s">
        <v>44775</v>
      </c>
      <c r="S12212" t="s">
        <v>45343</v>
      </c>
      <c r="T12212" t="s">
        <v>46470</v>
      </c>
      <c r="U12212" t="s">
        <v>56986</v>
      </c>
      <c r="W12212" t="s">
        <v>42280</v>
      </c>
      <c r="X12212" t="s">
        <v>44776</v>
      </c>
    </row>
    <row r="12213" spans="1:24">
      <c r="A12213">
        <f>HYPERLINK("https://www.philgeps.gov.ph/GEPSNONPILOT/Tender/SplashBidNoticeAbstractUI.aspx?menuIndex=3&amp;refID=7126188&amp;Result=3","7126188")</f>
        <v>0</v>
      </c>
      <c r="B12213" t="s">
        <v>1628</v>
      </c>
      <c r="C12213" t="s">
        <v>15371</v>
      </c>
      <c r="D12213" t="s">
        <v>18000</v>
      </c>
      <c r="E12213" t="s">
        <v>28583</v>
      </c>
      <c r="F12213" t="s">
        <v>30900</v>
      </c>
      <c r="G12213" t="s">
        <v>30907</v>
      </c>
      <c r="H12213" t="s">
        <v>30916</v>
      </c>
      <c r="I12213" t="s">
        <v>4108</v>
      </c>
      <c r="J12213" t="s">
        <v>38647</v>
      </c>
      <c r="K12213" t="s">
        <v>40286</v>
      </c>
      <c r="M12213" t="s">
        <v>42280</v>
      </c>
      <c r="N12213" t="s">
        <v>44759</v>
      </c>
      <c r="O12213" t="s">
        <v>44760</v>
      </c>
      <c r="P12213">
        <v>0</v>
      </c>
      <c r="Q12213">
        <v>0</v>
      </c>
      <c r="R12213" t="s">
        <v>44775</v>
      </c>
      <c r="S12213" t="s">
        <v>45343</v>
      </c>
      <c r="T12213" t="s">
        <v>46559</v>
      </c>
      <c r="U12213" t="s">
        <v>56987</v>
      </c>
      <c r="W12213" t="s">
        <v>42280</v>
      </c>
      <c r="X12213" t="s">
        <v>44776</v>
      </c>
    </row>
    <row r="12214" spans="1:24">
      <c r="A12214">
        <f>HYPERLINK("https://www.philgeps.gov.ph/GEPSNONPILOT/Tender/SplashBidNoticeAbstractUI.aspx?menuIndex=3&amp;refID=7126239&amp;Result=3","7126239")</f>
        <v>0</v>
      </c>
      <c r="B12214" t="s">
        <v>1092</v>
      </c>
      <c r="C12214" t="s">
        <v>15372</v>
      </c>
      <c r="D12214" t="s">
        <v>17957</v>
      </c>
      <c r="E12214" t="s">
        <v>28584</v>
      </c>
      <c r="F12214" t="s">
        <v>30900</v>
      </c>
      <c r="G12214" t="s">
        <v>30907</v>
      </c>
      <c r="H12214" t="s">
        <v>30915</v>
      </c>
      <c r="I12214" t="s">
        <v>30919</v>
      </c>
      <c r="J12214" t="s">
        <v>38648</v>
      </c>
      <c r="K12214" t="s">
        <v>40280</v>
      </c>
      <c r="M12214" t="s">
        <v>41692</v>
      </c>
      <c r="N12214" t="s">
        <v>44759</v>
      </c>
      <c r="O12214" t="s">
        <v>44760</v>
      </c>
      <c r="P12214">
        <v>0</v>
      </c>
      <c r="Q12214">
        <v>0</v>
      </c>
      <c r="R12214" t="s">
        <v>44775</v>
      </c>
      <c r="S12214" t="s">
        <v>45343</v>
      </c>
      <c r="T12214" t="s">
        <v>46389</v>
      </c>
      <c r="U12214" t="s">
        <v>56988</v>
      </c>
      <c r="W12214" t="s">
        <v>41692</v>
      </c>
      <c r="X12214" t="s">
        <v>44776</v>
      </c>
    </row>
    <row r="12215" spans="1:24">
      <c r="A12215">
        <f>HYPERLINK("https://www.philgeps.gov.ph/GEPSNONPILOT/Tender/SplashBidNoticeAbstractUI.aspx?menuIndex=3&amp;refID=7126102&amp;Result=3","7126102")</f>
        <v>0</v>
      </c>
      <c r="B12215" t="s">
        <v>3469</v>
      </c>
      <c r="C12215" t="s">
        <v>15373</v>
      </c>
      <c r="D12215" t="s">
        <v>17975</v>
      </c>
      <c r="E12215" t="s">
        <v>28585</v>
      </c>
      <c r="F12215" t="s">
        <v>30900</v>
      </c>
      <c r="G12215" t="s">
        <v>30907</v>
      </c>
      <c r="H12215" t="s">
        <v>30916</v>
      </c>
      <c r="I12215" t="s">
        <v>5501</v>
      </c>
      <c r="J12215" t="s">
        <v>38649</v>
      </c>
      <c r="K12215" t="s">
        <v>40294</v>
      </c>
      <c r="M12215" t="s">
        <v>44365</v>
      </c>
      <c r="N12215" t="s">
        <v>44759</v>
      </c>
      <c r="O12215" t="s">
        <v>44760</v>
      </c>
      <c r="Q12215">
        <v>2</v>
      </c>
      <c r="R12215" t="s">
        <v>44775</v>
      </c>
      <c r="S12215" t="s">
        <v>45445</v>
      </c>
      <c r="T12215" t="s">
        <v>46369</v>
      </c>
      <c r="U12215" t="s">
        <v>56989</v>
      </c>
      <c r="V12215" t="s">
        <v>60506</v>
      </c>
      <c r="W12215" t="s">
        <v>44365</v>
      </c>
      <c r="X12215" t="s">
        <v>44776</v>
      </c>
    </row>
    <row r="12216" spans="1:24">
      <c r="A12216">
        <f>HYPERLINK("https://www.philgeps.gov.ph/GEPSNONPILOT/Tender/SplashBidNoticeAbstractUI.aspx?menuIndex=3&amp;refID=7126248&amp;Result=3","7126248")</f>
        <v>0</v>
      </c>
      <c r="B12216" t="s">
        <v>351</v>
      </c>
      <c r="C12216" t="s">
        <v>15374</v>
      </c>
      <c r="D12216" t="s">
        <v>17994</v>
      </c>
      <c r="E12216" t="s">
        <v>28586</v>
      </c>
      <c r="F12216" t="s">
        <v>30900</v>
      </c>
      <c r="G12216" t="s">
        <v>30907</v>
      </c>
      <c r="H12216" t="s">
        <v>30916</v>
      </c>
      <c r="I12216" t="s">
        <v>5830</v>
      </c>
      <c r="J12216" t="s">
        <v>38650</v>
      </c>
      <c r="K12216" t="s">
        <v>40292</v>
      </c>
      <c r="M12216" t="s">
        <v>44366</v>
      </c>
      <c r="N12216" t="s">
        <v>44759</v>
      </c>
      <c r="O12216" t="s">
        <v>44760</v>
      </c>
      <c r="Q12216">
        <v>11</v>
      </c>
      <c r="R12216" t="s">
        <v>44775</v>
      </c>
      <c r="S12216" t="s">
        <v>45446</v>
      </c>
      <c r="T12216" t="s">
        <v>46376</v>
      </c>
      <c r="U12216" t="s">
        <v>56990</v>
      </c>
      <c r="W12216" t="s">
        <v>40904</v>
      </c>
      <c r="X12216" t="s">
        <v>44776</v>
      </c>
    </row>
    <row r="12217" spans="1:24">
      <c r="A12217">
        <f>HYPERLINK("https://www.philgeps.gov.ph/GEPSNONPILOT/Tender/SplashBidNoticeAbstractUI.aspx?menuIndex=3&amp;refID=7126179&amp;Result=3","7126179")</f>
        <v>0</v>
      </c>
      <c r="B12217" t="s">
        <v>911</v>
      </c>
      <c r="C12217" t="s">
        <v>15375</v>
      </c>
      <c r="D12217" t="s">
        <v>17961</v>
      </c>
      <c r="E12217" t="s">
        <v>28587</v>
      </c>
      <c r="F12217" t="s">
        <v>30900</v>
      </c>
      <c r="G12217" t="s">
        <v>30907</v>
      </c>
      <c r="H12217" t="s">
        <v>30916</v>
      </c>
      <c r="I12217" t="s">
        <v>8123</v>
      </c>
      <c r="J12217" t="s">
        <v>38651</v>
      </c>
      <c r="K12217" t="s">
        <v>40286</v>
      </c>
      <c r="M12217" t="s">
        <v>44362</v>
      </c>
      <c r="N12217" t="s">
        <v>44759</v>
      </c>
      <c r="O12217" t="s">
        <v>44760</v>
      </c>
      <c r="Q12217">
        <v>4</v>
      </c>
      <c r="R12217" t="s">
        <v>44775</v>
      </c>
      <c r="S12217" t="s">
        <v>45447</v>
      </c>
      <c r="T12217" t="s">
        <v>46409</v>
      </c>
      <c r="U12217" t="s">
        <v>56970</v>
      </c>
      <c r="W12217" t="s">
        <v>44362</v>
      </c>
      <c r="X12217" t="s">
        <v>44776</v>
      </c>
    </row>
    <row r="12218" spans="1:24">
      <c r="A12218">
        <f>HYPERLINK("https://www.philgeps.gov.ph/GEPSNONPILOT/Tender/SplashBidNoticeAbstractUI.aspx?menuIndex=3&amp;refID=7126184&amp;Result=3","7126184")</f>
        <v>0</v>
      </c>
      <c r="B12218" t="s">
        <v>1628</v>
      </c>
      <c r="C12218" t="s">
        <v>15376</v>
      </c>
      <c r="D12218" t="s">
        <v>18000</v>
      </c>
      <c r="E12218" t="s">
        <v>28588</v>
      </c>
      <c r="F12218" t="s">
        <v>30900</v>
      </c>
      <c r="G12218" t="s">
        <v>30907</v>
      </c>
      <c r="H12218" t="s">
        <v>30916</v>
      </c>
      <c r="I12218" t="s">
        <v>30939</v>
      </c>
      <c r="J12218" t="s">
        <v>38652</v>
      </c>
      <c r="K12218" t="s">
        <v>40286</v>
      </c>
      <c r="M12218" t="s">
        <v>42280</v>
      </c>
      <c r="N12218" t="s">
        <v>44759</v>
      </c>
      <c r="O12218" t="s">
        <v>44760</v>
      </c>
      <c r="P12218">
        <v>0</v>
      </c>
      <c r="Q12218">
        <v>0</v>
      </c>
      <c r="R12218" t="s">
        <v>44775</v>
      </c>
      <c r="S12218" t="s">
        <v>45343</v>
      </c>
      <c r="T12218" t="s">
        <v>46534</v>
      </c>
      <c r="U12218" t="s">
        <v>56991</v>
      </c>
      <c r="W12218" t="s">
        <v>42280</v>
      </c>
      <c r="X12218" t="s">
        <v>44776</v>
      </c>
    </row>
    <row r="12219" spans="1:24">
      <c r="A12219">
        <f>HYPERLINK("https://www.philgeps.gov.ph/GEPSNONPILOT/Tender/SplashBidNoticeAbstractUI.aspx?menuIndex=3&amp;refID=7126178&amp;Result=3","7126178")</f>
        <v>0</v>
      </c>
      <c r="B12219" t="s">
        <v>44</v>
      </c>
      <c r="C12219" t="s">
        <v>15377</v>
      </c>
      <c r="D12219" t="s">
        <v>17969</v>
      </c>
      <c r="E12219" t="s">
        <v>28589</v>
      </c>
      <c r="F12219" t="s">
        <v>30900</v>
      </c>
      <c r="G12219" t="s">
        <v>30907</v>
      </c>
      <c r="H12219" t="s">
        <v>30916</v>
      </c>
      <c r="I12219" t="s">
        <v>4050</v>
      </c>
      <c r="J12219" t="s">
        <v>31153</v>
      </c>
      <c r="K12219" t="s">
        <v>40284</v>
      </c>
      <c r="M12219" t="s">
        <v>40590</v>
      </c>
      <c r="N12219" t="s">
        <v>44759</v>
      </c>
      <c r="O12219" t="s">
        <v>44760</v>
      </c>
      <c r="P12219">
        <v>0</v>
      </c>
      <c r="Q12219">
        <v>0</v>
      </c>
      <c r="R12219" t="s">
        <v>44775</v>
      </c>
      <c r="S12219" t="s">
        <v>45343</v>
      </c>
      <c r="T12219" t="s">
        <v>46418</v>
      </c>
      <c r="U12219" t="s">
        <v>56992</v>
      </c>
      <c r="W12219" t="s">
        <v>40590</v>
      </c>
      <c r="X12219" t="s">
        <v>44776</v>
      </c>
    </row>
    <row r="12220" spans="1:24">
      <c r="A12220">
        <f>HYPERLINK("https://www.philgeps.gov.ph/GEPSNONPILOT/Tender/SplashBidNoticeAbstractUI.aspx?menuIndex=3&amp;refID=7126176&amp;Result=3","7126176")</f>
        <v>0</v>
      </c>
      <c r="B12220" t="s">
        <v>1628</v>
      </c>
      <c r="C12220" t="s">
        <v>15378</v>
      </c>
      <c r="D12220" t="s">
        <v>18000</v>
      </c>
      <c r="E12220" t="s">
        <v>28590</v>
      </c>
      <c r="F12220" t="s">
        <v>30900</v>
      </c>
      <c r="G12220" t="s">
        <v>30907</v>
      </c>
      <c r="H12220" t="s">
        <v>30916</v>
      </c>
      <c r="I12220" t="s">
        <v>4108</v>
      </c>
      <c r="J12220" t="s">
        <v>38653</v>
      </c>
      <c r="K12220" t="s">
        <v>40286</v>
      </c>
      <c r="M12220" t="s">
        <v>42280</v>
      </c>
      <c r="N12220" t="s">
        <v>44759</v>
      </c>
      <c r="O12220" t="s">
        <v>44760</v>
      </c>
      <c r="P12220">
        <v>0</v>
      </c>
      <c r="Q12220">
        <v>1</v>
      </c>
      <c r="R12220" t="s">
        <v>44775</v>
      </c>
      <c r="S12220" t="s">
        <v>45343</v>
      </c>
      <c r="T12220" t="s">
        <v>46644</v>
      </c>
      <c r="U12220" t="s">
        <v>56993</v>
      </c>
      <c r="W12220" t="s">
        <v>42280</v>
      </c>
      <c r="X12220" t="s">
        <v>44776</v>
      </c>
    </row>
    <row r="12221" spans="1:24">
      <c r="A12221">
        <f>HYPERLINK("https://www.philgeps.gov.ph/GEPSNONPILOT/Tender/SplashBidNoticeAbstractUI.aspx?menuIndex=3&amp;refID=7126098&amp;Result=3","7126098")</f>
        <v>0</v>
      </c>
      <c r="B12221" t="s">
        <v>1905</v>
      </c>
      <c r="C12221" t="s">
        <v>15379</v>
      </c>
      <c r="D12221" t="s">
        <v>18002</v>
      </c>
      <c r="E12221" t="s">
        <v>28591</v>
      </c>
      <c r="F12221" t="s">
        <v>30900</v>
      </c>
      <c r="G12221" t="s">
        <v>30907</v>
      </c>
      <c r="H12221" t="s">
        <v>30916</v>
      </c>
      <c r="I12221" t="s">
        <v>30942</v>
      </c>
      <c r="J12221" t="s">
        <v>38654</v>
      </c>
      <c r="K12221" t="s">
        <v>40366</v>
      </c>
      <c r="M12221" t="s">
        <v>42582</v>
      </c>
      <c r="N12221" t="s">
        <v>44759</v>
      </c>
      <c r="O12221" t="s">
        <v>44760</v>
      </c>
      <c r="P12221">
        <v>0</v>
      </c>
      <c r="Q12221">
        <v>1</v>
      </c>
      <c r="R12221" t="s">
        <v>44775</v>
      </c>
      <c r="S12221" t="s">
        <v>45343</v>
      </c>
      <c r="T12221" t="s">
        <v>46421</v>
      </c>
      <c r="U12221" t="s">
        <v>56994</v>
      </c>
      <c r="V12221" t="s">
        <v>59664</v>
      </c>
      <c r="W12221" t="s">
        <v>42582</v>
      </c>
      <c r="X12221" t="s">
        <v>44776</v>
      </c>
    </row>
    <row r="12222" spans="1:24">
      <c r="A12222">
        <f>HYPERLINK("https://www.philgeps.gov.ph/GEPSNONPILOT/Tender/SplashBidNoticeAbstractUI.aspx?menuIndex=3&amp;refID=7126330&amp;Result=3","7126330")</f>
        <v>0</v>
      </c>
      <c r="B12222" t="s">
        <v>3470</v>
      </c>
      <c r="C12222" t="s">
        <v>15380</v>
      </c>
      <c r="D12222" t="s">
        <v>17959</v>
      </c>
      <c r="E12222" t="s">
        <v>28592</v>
      </c>
      <c r="F12222" t="s">
        <v>30900</v>
      </c>
      <c r="G12222" t="s">
        <v>30907</v>
      </c>
      <c r="H12222" t="s">
        <v>30915</v>
      </c>
      <c r="I12222" t="s">
        <v>30919</v>
      </c>
      <c r="J12222" t="s">
        <v>31069</v>
      </c>
      <c r="K12222" t="s">
        <v>40304</v>
      </c>
      <c r="M12222" t="s">
        <v>44367</v>
      </c>
      <c r="N12222" t="s">
        <v>44759</v>
      </c>
      <c r="O12222" t="s">
        <v>44760</v>
      </c>
      <c r="Q12222">
        <v>8</v>
      </c>
      <c r="R12222" t="s">
        <v>44775</v>
      </c>
      <c r="S12222" t="s">
        <v>45448</v>
      </c>
      <c r="T12222" t="s">
        <v>46375</v>
      </c>
      <c r="U12222" t="s">
        <v>56995</v>
      </c>
      <c r="W12222" t="s">
        <v>44367</v>
      </c>
      <c r="X12222" t="s">
        <v>44776</v>
      </c>
    </row>
    <row r="12223" spans="1:24">
      <c r="A12223">
        <f>HYPERLINK("https://www.philgeps.gov.ph/GEPSNONPILOT/Tender/SplashBidNoticeAbstractUI.aspx?menuIndex=3&amp;refID=7126189&amp;Result=3","7126189")</f>
        <v>0</v>
      </c>
      <c r="B12223" t="s">
        <v>2060</v>
      </c>
      <c r="C12223" t="s">
        <v>15381</v>
      </c>
      <c r="D12223" t="s">
        <v>17986</v>
      </c>
      <c r="E12223" t="s">
        <v>28593</v>
      </c>
      <c r="F12223" t="s">
        <v>30900</v>
      </c>
      <c r="G12223" t="s">
        <v>30907</v>
      </c>
      <c r="H12223" t="s">
        <v>30916</v>
      </c>
      <c r="I12223" t="s">
        <v>31021</v>
      </c>
      <c r="J12223" t="s">
        <v>31105</v>
      </c>
      <c r="K12223" t="s">
        <v>40287</v>
      </c>
      <c r="M12223" t="s">
        <v>42759</v>
      </c>
      <c r="N12223" t="s">
        <v>44759</v>
      </c>
      <c r="O12223" t="s">
        <v>44760</v>
      </c>
      <c r="P12223">
        <v>0</v>
      </c>
      <c r="Q12223">
        <v>0</v>
      </c>
      <c r="R12223" t="s">
        <v>44775</v>
      </c>
      <c r="S12223" t="s">
        <v>45343</v>
      </c>
      <c r="T12223" t="s">
        <v>46357</v>
      </c>
      <c r="U12223" t="s">
        <v>56996</v>
      </c>
      <c r="W12223" t="s">
        <v>42759</v>
      </c>
      <c r="X12223" t="s">
        <v>44776</v>
      </c>
    </row>
    <row r="12224" spans="1:24">
      <c r="A12224">
        <f>HYPERLINK("https://www.philgeps.gov.ph/GEPSNONPILOT/Tender/SplashBidNoticeAbstractUI.aspx?menuIndex=3&amp;refID=7126181&amp;Result=3","7126181")</f>
        <v>0</v>
      </c>
      <c r="B12224" t="s">
        <v>918</v>
      </c>
      <c r="C12224" t="s">
        <v>15382</v>
      </c>
      <c r="D12224" t="s">
        <v>17959</v>
      </c>
      <c r="E12224" t="s">
        <v>28594</v>
      </c>
      <c r="F12224" t="s">
        <v>30900</v>
      </c>
      <c r="G12224" t="s">
        <v>30907</v>
      </c>
      <c r="H12224" t="s">
        <v>30916</v>
      </c>
      <c r="I12224" t="s">
        <v>4545</v>
      </c>
      <c r="J12224" t="s">
        <v>38655</v>
      </c>
      <c r="K12224" t="s">
        <v>40286</v>
      </c>
      <c r="M12224" t="s">
        <v>41650</v>
      </c>
      <c r="N12224" t="s">
        <v>44759</v>
      </c>
      <c r="O12224" t="s">
        <v>44760</v>
      </c>
      <c r="Q12224">
        <v>49</v>
      </c>
      <c r="R12224" t="s">
        <v>44775</v>
      </c>
      <c r="S12224" t="s">
        <v>45449</v>
      </c>
      <c r="T12224" t="s">
        <v>46498</v>
      </c>
      <c r="U12224" t="s">
        <v>56997</v>
      </c>
      <c r="W12224" t="s">
        <v>41650</v>
      </c>
      <c r="X12224" t="s">
        <v>44776</v>
      </c>
    </row>
    <row r="12225" spans="1:24">
      <c r="A12225">
        <f>HYPERLINK("https://www.philgeps.gov.ph/GEPSNONPILOT/Tender/SplashBidNoticeAbstractUI.aspx?menuIndex=3&amp;refID=7126329&amp;Result=3","7126329")</f>
        <v>0</v>
      </c>
      <c r="B12225" t="s">
        <v>1143</v>
      </c>
      <c r="C12225" t="s">
        <v>15383</v>
      </c>
      <c r="D12225" t="s">
        <v>17990</v>
      </c>
      <c r="E12225" t="s">
        <v>28595</v>
      </c>
      <c r="F12225" t="s">
        <v>30900</v>
      </c>
      <c r="G12225" t="s">
        <v>30907</v>
      </c>
      <c r="H12225" t="s">
        <v>30916</v>
      </c>
      <c r="I12225" t="s">
        <v>8123</v>
      </c>
      <c r="J12225" t="s">
        <v>38656</v>
      </c>
      <c r="K12225" t="s">
        <v>40283</v>
      </c>
      <c r="M12225" t="s">
        <v>42441</v>
      </c>
      <c r="N12225" t="s">
        <v>44759</v>
      </c>
      <c r="O12225" t="s">
        <v>44760</v>
      </c>
      <c r="Q12225">
        <v>0</v>
      </c>
      <c r="R12225" t="s">
        <v>44775</v>
      </c>
      <c r="S12225" t="s">
        <v>45450</v>
      </c>
      <c r="T12225" t="s">
        <v>46559</v>
      </c>
      <c r="U12225" t="s">
        <v>56998</v>
      </c>
      <c r="W12225" t="s">
        <v>42441</v>
      </c>
      <c r="X12225" t="s">
        <v>44776</v>
      </c>
    </row>
    <row r="12226" spans="1:24">
      <c r="A12226">
        <f>HYPERLINK("https://www.philgeps.gov.ph/GEPSNONPILOT/Tender/SplashBidNoticeAbstractUI.aspx?menuIndex=3&amp;refID=7126321&amp;Result=3","7126321")</f>
        <v>0</v>
      </c>
      <c r="B12226" t="s">
        <v>3470</v>
      </c>
      <c r="C12226" t="s">
        <v>15384</v>
      </c>
      <c r="D12226" t="s">
        <v>18002</v>
      </c>
      <c r="E12226" t="s">
        <v>28596</v>
      </c>
      <c r="F12226" t="s">
        <v>30900</v>
      </c>
      <c r="G12226" t="s">
        <v>30907</v>
      </c>
      <c r="H12226" t="s">
        <v>30915</v>
      </c>
      <c r="I12226" t="s">
        <v>30919</v>
      </c>
      <c r="J12226" t="s">
        <v>36049</v>
      </c>
      <c r="K12226" t="s">
        <v>40292</v>
      </c>
      <c r="M12226" t="s">
        <v>44367</v>
      </c>
      <c r="N12226" t="s">
        <v>44759</v>
      </c>
      <c r="O12226" t="s">
        <v>44760</v>
      </c>
      <c r="Q12226">
        <v>5</v>
      </c>
      <c r="R12226" t="s">
        <v>44775</v>
      </c>
      <c r="S12226" t="s">
        <v>45451</v>
      </c>
      <c r="T12226" t="s">
        <v>46433</v>
      </c>
      <c r="U12226" t="s">
        <v>56999</v>
      </c>
      <c r="W12226" t="s">
        <v>44367</v>
      </c>
      <c r="X12226" t="s">
        <v>44776</v>
      </c>
    </row>
    <row r="12227" spans="1:24">
      <c r="A12227">
        <f>HYPERLINK("https://www.philgeps.gov.ph/GEPSNONPILOT/Tender/SplashBidNoticeAbstractUI.aspx?menuIndex=3&amp;refID=7126311&amp;Result=3","7126311")</f>
        <v>0</v>
      </c>
      <c r="B12227" t="s">
        <v>1750</v>
      </c>
      <c r="C12227" t="s">
        <v>15385</v>
      </c>
      <c r="D12227" t="s">
        <v>17966</v>
      </c>
      <c r="E12227" t="s">
        <v>28597</v>
      </c>
      <c r="F12227" t="s">
        <v>30900</v>
      </c>
      <c r="G12227" t="s">
        <v>30907</v>
      </c>
      <c r="H12227" t="s">
        <v>30916</v>
      </c>
      <c r="I12227" t="s">
        <v>30947</v>
      </c>
      <c r="J12227" t="s">
        <v>38657</v>
      </c>
      <c r="K12227" t="s">
        <v>40283</v>
      </c>
      <c r="M12227" t="s">
        <v>43962</v>
      </c>
      <c r="N12227" t="s">
        <v>44759</v>
      </c>
      <c r="O12227" t="s">
        <v>44760</v>
      </c>
      <c r="P12227">
        <v>0</v>
      </c>
      <c r="Q12227">
        <v>4</v>
      </c>
      <c r="R12227" t="s">
        <v>44775</v>
      </c>
      <c r="S12227" t="s">
        <v>45343</v>
      </c>
      <c r="T12227" t="s">
        <v>46418</v>
      </c>
      <c r="U12227" t="s">
        <v>57000</v>
      </c>
      <c r="W12227" t="s">
        <v>60873</v>
      </c>
      <c r="X12227" t="s">
        <v>44776</v>
      </c>
    </row>
    <row r="12228" spans="1:24">
      <c r="A12228">
        <f>HYPERLINK("https://www.philgeps.gov.ph/GEPSNONPILOT/Tender/SplashBidNoticeAbstractUI.aspx?menuIndex=3&amp;refID=7126306&amp;Result=3","7126306")</f>
        <v>0</v>
      </c>
      <c r="B12228" t="s">
        <v>1750</v>
      </c>
      <c r="C12228" t="s">
        <v>15386</v>
      </c>
      <c r="D12228" t="s">
        <v>17966</v>
      </c>
      <c r="E12228" t="s">
        <v>28598</v>
      </c>
      <c r="F12228" t="s">
        <v>30900</v>
      </c>
      <c r="G12228" t="s">
        <v>30907</v>
      </c>
      <c r="H12228" t="s">
        <v>30916</v>
      </c>
      <c r="I12228" t="s">
        <v>10602</v>
      </c>
      <c r="J12228" t="s">
        <v>31412</v>
      </c>
      <c r="K12228" t="s">
        <v>40292</v>
      </c>
      <c r="M12228" t="s">
        <v>43962</v>
      </c>
      <c r="N12228" t="s">
        <v>44759</v>
      </c>
      <c r="O12228" t="s">
        <v>44760</v>
      </c>
      <c r="P12228">
        <v>0</v>
      </c>
      <c r="Q12228">
        <v>1</v>
      </c>
      <c r="R12228" t="s">
        <v>44775</v>
      </c>
      <c r="S12228" t="s">
        <v>45343</v>
      </c>
      <c r="T12228" t="s">
        <v>46418</v>
      </c>
      <c r="U12228" t="s">
        <v>57001</v>
      </c>
      <c r="W12228" t="s">
        <v>60873</v>
      </c>
      <c r="X12228" t="s">
        <v>44776</v>
      </c>
    </row>
    <row r="12229" spans="1:24">
      <c r="A12229">
        <f>HYPERLINK("https://www.philgeps.gov.ph/GEPSNONPILOT/Tender/SplashBidNoticeAbstractUI.aspx?menuIndex=3&amp;refID=7126301&amp;Result=3","7126301")</f>
        <v>0</v>
      </c>
      <c r="B12229" t="s">
        <v>3471</v>
      </c>
      <c r="C12229" t="s">
        <v>15387</v>
      </c>
      <c r="D12229" t="s">
        <v>17984</v>
      </c>
      <c r="E12229" t="s">
        <v>28599</v>
      </c>
      <c r="F12229" t="s">
        <v>30900</v>
      </c>
      <c r="G12229" t="s">
        <v>30907</v>
      </c>
      <c r="H12229" t="s">
        <v>30915</v>
      </c>
      <c r="I12229" t="s">
        <v>30919</v>
      </c>
      <c r="J12229" t="s">
        <v>38658</v>
      </c>
      <c r="K12229" t="s">
        <v>40350</v>
      </c>
      <c r="M12229" t="s">
        <v>44368</v>
      </c>
      <c r="N12229" t="s">
        <v>44759</v>
      </c>
      <c r="O12229" t="s">
        <v>44760</v>
      </c>
      <c r="P12229">
        <v>0</v>
      </c>
      <c r="Q12229">
        <v>0</v>
      </c>
      <c r="R12229" t="s">
        <v>44775</v>
      </c>
      <c r="S12229" t="s">
        <v>45343</v>
      </c>
      <c r="T12229" t="s">
        <v>46425</v>
      </c>
      <c r="U12229" t="s">
        <v>57002</v>
      </c>
      <c r="W12229" t="s">
        <v>44368</v>
      </c>
      <c r="X12229" t="s">
        <v>44776</v>
      </c>
    </row>
    <row r="12230" spans="1:24">
      <c r="A12230">
        <f>HYPERLINK("https://www.philgeps.gov.ph/GEPSNONPILOT/Tender/SplashBidNoticeAbstractUI.aspx?menuIndex=3&amp;refID=7126193&amp;Result=3","7126193")</f>
        <v>0</v>
      </c>
      <c r="B12230" t="s">
        <v>1628</v>
      </c>
      <c r="C12230" t="s">
        <v>15388</v>
      </c>
      <c r="D12230" t="s">
        <v>18000</v>
      </c>
      <c r="E12230" t="s">
        <v>28600</v>
      </c>
      <c r="F12230" t="s">
        <v>30900</v>
      </c>
      <c r="G12230" t="s">
        <v>30907</v>
      </c>
      <c r="H12230" t="s">
        <v>30916</v>
      </c>
      <c r="I12230" t="s">
        <v>6953</v>
      </c>
      <c r="J12230" t="s">
        <v>38659</v>
      </c>
      <c r="K12230" t="s">
        <v>40314</v>
      </c>
      <c r="M12230" t="s">
        <v>42280</v>
      </c>
      <c r="N12230" t="s">
        <v>44759</v>
      </c>
      <c r="O12230" t="s">
        <v>44760</v>
      </c>
      <c r="P12230">
        <v>0</v>
      </c>
      <c r="Q12230">
        <v>0</v>
      </c>
      <c r="R12230" t="s">
        <v>44775</v>
      </c>
      <c r="S12230" t="s">
        <v>45343</v>
      </c>
      <c r="T12230" t="s">
        <v>46414</v>
      </c>
      <c r="U12230" t="s">
        <v>57003</v>
      </c>
      <c r="W12230" t="s">
        <v>42280</v>
      </c>
      <c r="X12230" t="s">
        <v>44776</v>
      </c>
    </row>
    <row r="12231" spans="1:24">
      <c r="A12231">
        <f>HYPERLINK("https://www.philgeps.gov.ph/GEPSNONPILOT/Tender/SplashBidNoticeAbstractUI.aspx?menuIndex=3&amp;refID=7126299&amp;Result=3","7126299")</f>
        <v>0</v>
      </c>
      <c r="B12231" t="s">
        <v>1750</v>
      </c>
      <c r="C12231" t="s">
        <v>15389</v>
      </c>
      <c r="D12231" t="s">
        <v>17966</v>
      </c>
      <c r="E12231" t="s">
        <v>28601</v>
      </c>
      <c r="F12231" t="s">
        <v>30900</v>
      </c>
      <c r="G12231" t="s">
        <v>30907</v>
      </c>
      <c r="H12231" t="s">
        <v>30916</v>
      </c>
      <c r="I12231" t="s">
        <v>30949</v>
      </c>
      <c r="J12231" t="s">
        <v>38660</v>
      </c>
      <c r="K12231" t="s">
        <v>40283</v>
      </c>
      <c r="M12231" t="s">
        <v>43962</v>
      </c>
      <c r="N12231" t="s">
        <v>44759</v>
      </c>
      <c r="O12231" t="s">
        <v>44760</v>
      </c>
      <c r="Q12231">
        <v>10</v>
      </c>
      <c r="R12231" t="s">
        <v>44775</v>
      </c>
      <c r="S12231" t="s">
        <v>45452</v>
      </c>
      <c r="T12231" t="s">
        <v>46418</v>
      </c>
      <c r="U12231" t="s">
        <v>57004</v>
      </c>
      <c r="W12231" t="s">
        <v>60873</v>
      </c>
      <c r="X12231" t="s">
        <v>44776</v>
      </c>
    </row>
    <row r="12232" spans="1:24">
      <c r="A12232">
        <f>HYPERLINK("https://www.philgeps.gov.ph/GEPSNONPILOT/Tender/SplashBidNoticeAbstractUI.aspx?menuIndex=3&amp;refID=7126289&amp;Result=3","7126289")</f>
        <v>0</v>
      </c>
      <c r="B12232" t="s">
        <v>3083</v>
      </c>
      <c r="C12232" t="s">
        <v>15390</v>
      </c>
      <c r="D12232" t="s">
        <v>18025</v>
      </c>
      <c r="E12232" t="s">
        <v>28602</v>
      </c>
      <c r="F12232" t="s">
        <v>30900</v>
      </c>
      <c r="G12232" t="s">
        <v>30907</v>
      </c>
      <c r="H12232" t="s">
        <v>30916</v>
      </c>
      <c r="I12232" t="s">
        <v>4545</v>
      </c>
      <c r="J12232" t="s">
        <v>38661</v>
      </c>
      <c r="K12232" t="s">
        <v>40286</v>
      </c>
      <c r="M12232" t="s">
        <v>43895</v>
      </c>
      <c r="N12232" t="s">
        <v>44759</v>
      </c>
      <c r="O12232" t="s">
        <v>44760</v>
      </c>
      <c r="P12232">
        <v>0</v>
      </c>
      <c r="Q12232">
        <v>13</v>
      </c>
      <c r="R12232" t="s">
        <v>44775</v>
      </c>
      <c r="S12232" t="s">
        <v>45343</v>
      </c>
      <c r="T12232" t="s">
        <v>46425</v>
      </c>
      <c r="U12232" t="s">
        <v>57005</v>
      </c>
      <c r="W12232" t="s">
        <v>43895</v>
      </c>
      <c r="X12232" t="s">
        <v>44776</v>
      </c>
    </row>
    <row r="12233" spans="1:24">
      <c r="A12233">
        <f>HYPERLINK("https://www.philgeps.gov.ph/GEPSNONPILOT/Tender/SplashBidNoticeAbstractUI.aspx?menuIndex=3&amp;refID=7126310&amp;Result=3","7126310")</f>
        <v>0</v>
      </c>
      <c r="B12233" t="s">
        <v>3471</v>
      </c>
      <c r="C12233" t="s">
        <v>15391</v>
      </c>
      <c r="D12233" t="s">
        <v>17984</v>
      </c>
      <c r="E12233" t="s">
        <v>28603</v>
      </c>
      <c r="F12233" t="s">
        <v>30900</v>
      </c>
      <c r="G12233" t="s">
        <v>30907</v>
      </c>
      <c r="H12233" t="s">
        <v>30915</v>
      </c>
      <c r="I12233" t="s">
        <v>30919</v>
      </c>
      <c r="J12233" t="s">
        <v>38662</v>
      </c>
      <c r="K12233" t="s">
        <v>40537</v>
      </c>
      <c r="M12233" t="s">
        <v>44368</v>
      </c>
      <c r="N12233" t="s">
        <v>44759</v>
      </c>
      <c r="O12233" t="s">
        <v>44760</v>
      </c>
      <c r="P12233">
        <v>0</v>
      </c>
      <c r="Q12233">
        <v>0</v>
      </c>
      <c r="R12233" t="s">
        <v>44775</v>
      </c>
      <c r="S12233" t="s">
        <v>45343</v>
      </c>
      <c r="T12233" t="s">
        <v>46425</v>
      </c>
      <c r="U12233" t="s">
        <v>57006</v>
      </c>
      <c r="W12233" t="s">
        <v>44368</v>
      </c>
      <c r="X12233" t="s">
        <v>44776</v>
      </c>
    </row>
    <row r="12234" spans="1:24">
      <c r="A12234">
        <f>HYPERLINK("https://www.philgeps.gov.ph/GEPSNONPILOT/Tender/SplashBidNoticeAbstractUI.aspx?menuIndex=3&amp;refID=7126303&amp;Result=3","7126303")</f>
        <v>0</v>
      </c>
      <c r="B12234" t="s">
        <v>1750</v>
      </c>
      <c r="C12234" t="s">
        <v>15392</v>
      </c>
      <c r="D12234" t="s">
        <v>17966</v>
      </c>
      <c r="E12234" t="s">
        <v>28604</v>
      </c>
      <c r="F12234" t="s">
        <v>30900</v>
      </c>
      <c r="G12234" t="s">
        <v>30907</v>
      </c>
      <c r="H12234" t="s">
        <v>30916</v>
      </c>
      <c r="I12234" t="s">
        <v>30928</v>
      </c>
      <c r="J12234" t="s">
        <v>38663</v>
      </c>
      <c r="K12234" t="s">
        <v>40283</v>
      </c>
      <c r="M12234" t="s">
        <v>43962</v>
      </c>
      <c r="N12234" t="s">
        <v>44759</v>
      </c>
      <c r="O12234" t="s">
        <v>44760</v>
      </c>
      <c r="P12234">
        <v>0</v>
      </c>
      <c r="Q12234">
        <v>9</v>
      </c>
      <c r="R12234" t="s">
        <v>44775</v>
      </c>
      <c r="S12234" t="s">
        <v>45343</v>
      </c>
      <c r="T12234" t="s">
        <v>46418</v>
      </c>
      <c r="U12234" t="s">
        <v>57007</v>
      </c>
      <c r="W12234" t="s">
        <v>60873</v>
      </c>
      <c r="X12234" t="s">
        <v>44776</v>
      </c>
    </row>
    <row r="12235" spans="1:24">
      <c r="A12235">
        <f>HYPERLINK("https://www.philgeps.gov.ph/GEPSNONPILOT/Tender/SplashBidNoticeAbstractUI.aspx?menuIndex=3&amp;refID=7126281&amp;Result=3","7126281")</f>
        <v>0</v>
      </c>
      <c r="B12235" t="s">
        <v>1750</v>
      </c>
      <c r="C12235" t="s">
        <v>15393</v>
      </c>
      <c r="D12235" t="s">
        <v>17966</v>
      </c>
      <c r="E12235" t="s">
        <v>28605</v>
      </c>
      <c r="F12235" t="s">
        <v>30900</v>
      </c>
      <c r="G12235" t="s">
        <v>30907</v>
      </c>
      <c r="H12235" t="s">
        <v>30916</v>
      </c>
      <c r="I12235" t="s">
        <v>5501</v>
      </c>
      <c r="J12235" t="s">
        <v>38664</v>
      </c>
      <c r="K12235" t="s">
        <v>40283</v>
      </c>
      <c r="M12235" t="s">
        <v>43962</v>
      </c>
      <c r="N12235" t="s">
        <v>44759</v>
      </c>
      <c r="O12235" t="s">
        <v>44760</v>
      </c>
      <c r="P12235">
        <v>0</v>
      </c>
      <c r="Q12235">
        <v>5</v>
      </c>
      <c r="R12235" t="s">
        <v>44775</v>
      </c>
      <c r="S12235" t="s">
        <v>45343</v>
      </c>
      <c r="T12235" t="s">
        <v>46418</v>
      </c>
      <c r="U12235" t="s">
        <v>57008</v>
      </c>
      <c r="W12235" t="s">
        <v>60873</v>
      </c>
      <c r="X12235" t="s">
        <v>44776</v>
      </c>
    </row>
    <row r="12236" spans="1:24">
      <c r="A12236">
        <f>HYPERLINK("https://www.philgeps.gov.ph/GEPSNONPILOT/Tender/SplashBidNoticeAbstractUI.aspx?menuIndex=3&amp;refID=7126356&amp;Result=3","7126356")</f>
        <v>0</v>
      </c>
      <c r="B12236" t="s">
        <v>1143</v>
      </c>
      <c r="C12236" t="s">
        <v>15394</v>
      </c>
      <c r="D12236" t="s">
        <v>17990</v>
      </c>
      <c r="E12236" t="s">
        <v>28606</v>
      </c>
      <c r="F12236" t="s">
        <v>30900</v>
      </c>
      <c r="G12236" t="s">
        <v>30907</v>
      </c>
      <c r="H12236" t="s">
        <v>30916</v>
      </c>
      <c r="I12236" t="s">
        <v>30934</v>
      </c>
      <c r="J12236" t="s">
        <v>38665</v>
      </c>
      <c r="K12236" t="s">
        <v>40283</v>
      </c>
      <c r="M12236" t="s">
        <v>42441</v>
      </c>
      <c r="N12236" t="s">
        <v>44759</v>
      </c>
      <c r="O12236" t="s">
        <v>44760</v>
      </c>
      <c r="Q12236">
        <v>4</v>
      </c>
      <c r="R12236" t="s">
        <v>44775</v>
      </c>
      <c r="S12236" t="s">
        <v>45359</v>
      </c>
      <c r="T12236" t="s">
        <v>46559</v>
      </c>
      <c r="U12236" t="s">
        <v>57009</v>
      </c>
      <c r="W12236" t="s">
        <v>42441</v>
      </c>
      <c r="X12236" t="s">
        <v>44776</v>
      </c>
    </row>
    <row r="12237" spans="1:24">
      <c r="A12237">
        <f>HYPERLINK("https://www.philgeps.gov.ph/GEPSNONPILOT/Tender/SplashBidNoticeAbstractUI.aspx?menuIndex=3&amp;refID=7126292&amp;Result=3","7126292")</f>
        <v>0</v>
      </c>
      <c r="B12237" t="s">
        <v>3472</v>
      </c>
      <c r="C12237" t="s">
        <v>15395</v>
      </c>
      <c r="D12237" t="s">
        <v>17970</v>
      </c>
      <c r="E12237" t="s">
        <v>28607</v>
      </c>
      <c r="F12237" t="s">
        <v>30900</v>
      </c>
      <c r="G12237" t="s">
        <v>30907</v>
      </c>
      <c r="H12237" t="s">
        <v>30915</v>
      </c>
      <c r="I12237" t="s">
        <v>30919</v>
      </c>
      <c r="J12237" t="s">
        <v>38666</v>
      </c>
      <c r="K12237" t="s">
        <v>40283</v>
      </c>
      <c r="M12237" t="s">
        <v>44369</v>
      </c>
      <c r="N12237" t="s">
        <v>44759</v>
      </c>
      <c r="O12237" t="s">
        <v>44760</v>
      </c>
      <c r="P12237">
        <v>0</v>
      </c>
      <c r="Q12237">
        <v>0</v>
      </c>
      <c r="R12237" t="s">
        <v>44775</v>
      </c>
      <c r="S12237" t="s">
        <v>45343</v>
      </c>
      <c r="T12237" t="s">
        <v>46421</v>
      </c>
      <c r="U12237" t="s">
        <v>57010</v>
      </c>
      <c r="W12237" t="s">
        <v>44369</v>
      </c>
      <c r="X12237" t="s">
        <v>44776</v>
      </c>
    </row>
    <row r="12238" spans="1:24">
      <c r="A12238">
        <f>HYPERLINK("https://www.philgeps.gov.ph/GEPSNONPILOT/Tender/SplashBidNoticeAbstractUI.aspx?menuIndex=3&amp;refID=7126286&amp;Result=3","7126286")</f>
        <v>0</v>
      </c>
      <c r="B12238" t="s">
        <v>3473</v>
      </c>
      <c r="C12238" t="s">
        <v>15396</v>
      </c>
      <c r="D12238" t="s">
        <v>17993</v>
      </c>
      <c r="E12238" t="s">
        <v>28608</v>
      </c>
      <c r="F12238" t="s">
        <v>30900</v>
      </c>
      <c r="G12238" t="s">
        <v>30907</v>
      </c>
      <c r="H12238" t="s">
        <v>30915</v>
      </c>
      <c r="I12238" t="s">
        <v>30919</v>
      </c>
      <c r="J12238" t="s">
        <v>31407</v>
      </c>
      <c r="K12238" t="s">
        <v>40286</v>
      </c>
      <c r="M12238" t="s">
        <v>44370</v>
      </c>
      <c r="N12238" t="s">
        <v>44759</v>
      </c>
      <c r="O12238" t="s">
        <v>44760</v>
      </c>
      <c r="P12238">
        <v>0</v>
      </c>
      <c r="Q12238">
        <v>0</v>
      </c>
      <c r="R12238" t="s">
        <v>44775</v>
      </c>
      <c r="S12238" t="s">
        <v>45343</v>
      </c>
      <c r="T12238" t="s">
        <v>46409</v>
      </c>
      <c r="U12238" t="s">
        <v>57011</v>
      </c>
      <c r="W12238" t="s">
        <v>44370</v>
      </c>
      <c r="X12238" t="s">
        <v>44776</v>
      </c>
    </row>
    <row r="12239" spans="1:24">
      <c r="A12239">
        <f>HYPERLINK("https://www.philgeps.gov.ph/GEPSNONPILOT/Tender/SplashBidNoticeAbstractUI.aspx?menuIndex=3&amp;refID=7094884&amp;Result=3","7094884")</f>
        <v>0</v>
      </c>
      <c r="B12239" t="s">
        <v>2641</v>
      </c>
      <c r="C12239" t="s">
        <v>15397</v>
      </c>
      <c r="D12239" t="s">
        <v>18018</v>
      </c>
      <c r="E12239" t="s">
        <v>19466</v>
      </c>
      <c r="F12239" t="s">
        <v>30900</v>
      </c>
      <c r="G12239" t="s">
        <v>30907</v>
      </c>
      <c r="H12239" t="s">
        <v>30915</v>
      </c>
      <c r="I12239" t="s">
        <v>30919</v>
      </c>
      <c r="J12239" t="s">
        <v>38667</v>
      </c>
      <c r="K12239" t="s">
        <v>40280</v>
      </c>
      <c r="M12239" t="s">
        <v>43407</v>
      </c>
      <c r="N12239" t="s">
        <v>44759</v>
      </c>
      <c r="O12239" t="s">
        <v>44760</v>
      </c>
      <c r="P12239">
        <v>0</v>
      </c>
      <c r="Q12239">
        <v>0</v>
      </c>
      <c r="R12239" t="s">
        <v>44776</v>
      </c>
      <c r="S12239" t="s">
        <v>45453</v>
      </c>
      <c r="T12239" t="s">
        <v>46390</v>
      </c>
      <c r="U12239" t="s">
        <v>57012</v>
      </c>
      <c r="W12239" t="s">
        <v>43407</v>
      </c>
      <c r="X12239" t="s">
        <v>44789</v>
      </c>
    </row>
    <row r="12240" spans="1:24">
      <c r="A12240">
        <f>HYPERLINK("https://www.philgeps.gov.ph/GEPSNONPILOT/Tender/SplashBidNoticeAbstractUI.aspx?menuIndex=3&amp;refID=7089372-2&amp;Result=3","7089372-2")</f>
        <v>0</v>
      </c>
      <c r="B12240" t="s">
        <v>1512</v>
      </c>
      <c r="C12240" t="s">
        <v>15398</v>
      </c>
      <c r="D12240" t="s">
        <v>17963</v>
      </c>
      <c r="E12240" t="s">
        <v>28609</v>
      </c>
      <c r="F12240" t="s">
        <v>30900</v>
      </c>
      <c r="G12240" t="s">
        <v>30907</v>
      </c>
      <c r="H12240" t="s">
        <v>7411</v>
      </c>
      <c r="I12240" t="s">
        <v>30919</v>
      </c>
      <c r="J12240" t="s">
        <v>31897</v>
      </c>
      <c r="K12240" t="s">
        <v>40304</v>
      </c>
      <c r="L12240" t="s">
        <v>40569</v>
      </c>
      <c r="M12240" t="s">
        <v>42153</v>
      </c>
      <c r="N12240" t="s">
        <v>44759</v>
      </c>
      <c r="O12240" t="s">
        <v>44760</v>
      </c>
      <c r="P12240">
        <v>0</v>
      </c>
      <c r="Q12240">
        <v>0</v>
      </c>
      <c r="R12240" t="s">
        <v>44776</v>
      </c>
      <c r="S12240" t="s">
        <v>45453</v>
      </c>
      <c r="T12240" t="s">
        <v>46351</v>
      </c>
      <c r="U12240" t="s">
        <v>57013</v>
      </c>
      <c r="W12240" t="s">
        <v>42153</v>
      </c>
      <c r="X12240" t="s">
        <v>44777</v>
      </c>
    </row>
    <row r="12241" spans="1:24">
      <c r="A12241">
        <f>HYPERLINK("https://www.philgeps.gov.ph/GEPSNONPILOT/Tender/SplashBidNoticeAbstractUI.aspx?menuIndex=3&amp;refID=7094965&amp;Result=3","7094965")</f>
        <v>0</v>
      </c>
      <c r="B12241" t="s">
        <v>2641</v>
      </c>
      <c r="C12241" t="s">
        <v>15399</v>
      </c>
      <c r="D12241" t="s">
        <v>18018</v>
      </c>
      <c r="E12241" t="s">
        <v>19010</v>
      </c>
      <c r="F12241" t="s">
        <v>30900</v>
      </c>
      <c r="G12241" t="s">
        <v>30907</v>
      </c>
      <c r="H12241" t="s">
        <v>30915</v>
      </c>
      <c r="I12241" t="s">
        <v>30919</v>
      </c>
      <c r="J12241" t="s">
        <v>38668</v>
      </c>
      <c r="K12241" t="s">
        <v>40354</v>
      </c>
      <c r="M12241" t="s">
        <v>43407</v>
      </c>
      <c r="N12241" t="s">
        <v>44759</v>
      </c>
      <c r="O12241" t="s">
        <v>44760</v>
      </c>
      <c r="P12241">
        <v>0</v>
      </c>
      <c r="Q12241">
        <v>0</v>
      </c>
      <c r="R12241" t="s">
        <v>44776</v>
      </c>
      <c r="S12241" t="s">
        <v>45453</v>
      </c>
      <c r="T12241" t="s">
        <v>46390</v>
      </c>
      <c r="U12241" t="s">
        <v>57014</v>
      </c>
      <c r="W12241" t="s">
        <v>43407</v>
      </c>
      <c r="X12241" t="s">
        <v>44789</v>
      </c>
    </row>
    <row r="12242" spans="1:24">
      <c r="A12242">
        <f>HYPERLINK("https://www.philgeps.gov.ph/GEPSNONPILOT/Tender/SplashBidNoticeAbstractUI.aspx?menuIndex=3&amp;refID=7086047&amp;Result=3","7086047")</f>
        <v>0</v>
      </c>
      <c r="B12242" t="s">
        <v>3474</v>
      </c>
      <c r="C12242" t="s">
        <v>15400</v>
      </c>
      <c r="D12242" t="s">
        <v>17953</v>
      </c>
      <c r="E12242" t="s">
        <v>28610</v>
      </c>
      <c r="F12242" t="s">
        <v>30900</v>
      </c>
      <c r="G12242" t="s">
        <v>30914</v>
      </c>
      <c r="H12242" t="s">
        <v>30916</v>
      </c>
      <c r="I12242" t="s">
        <v>4142</v>
      </c>
      <c r="J12242" t="s">
        <v>38669</v>
      </c>
      <c r="K12242" t="s">
        <v>40281</v>
      </c>
      <c r="M12242" t="s">
        <v>44371</v>
      </c>
      <c r="N12242" t="s">
        <v>44759</v>
      </c>
      <c r="O12242" t="s">
        <v>44760</v>
      </c>
      <c r="P12242">
        <v>0</v>
      </c>
      <c r="Q12242">
        <v>2</v>
      </c>
      <c r="R12242" t="s">
        <v>44776</v>
      </c>
      <c r="S12242" t="s">
        <v>45453</v>
      </c>
      <c r="T12242" t="s">
        <v>46623</v>
      </c>
      <c r="U12242" t="s">
        <v>57015</v>
      </c>
      <c r="W12242" t="s">
        <v>44371</v>
      </c>
      <c r="X12242" t="s">
        <v>44792</v>
      </c>
    </row>
    <row r="12243" spans="1:24">
      <c r="A12243">
        <f>HYPERLINK("https://www.philgeps.gov.ph/GEPSNONPILOT/Tender/SplashBidNoticeAbstractUI.aspx?menuIndex=3&amp;refID=7126362&amp;Result=3","7126362")</f>
        <v>0</v>
      </c>
      <c r="B12243" t="s">
        <v>2907</v>
      </c>
      <c r="C12243" t="s">
        <v>15401</v>
      </c>
      <c r="D12243" t="s">
        <v>18017</v>
      </c>
      <c r="E12243" t="s">
        <v>28611</v>
      </c>
      <c r="F12243" t="s">
        <v>30900</v>
      </c>
      <c r="G12243" t="s">
        <v>30907</v>
      </c>
      <c r="H12243" t="s">
        <v>30916</v>
      </c>
      <c r="I12243" t="s">
        <v>30939</v>
      </c>
      <c r="J12243" t="s">
        <v>35103</v>
      </c>
      <c r="K12243" t="s">
        <v>40287</v>
      </c>
      <c r="M12243" t="s">
        <v>43701</v>
      </c>
      <c r="N12243" t="s">
        <v>44759</v>
      </c>
      <c r="O12243" t="s">
        <v>44760</v>
      </c>
      <c r="P12243">
        <v>0</v>
      </c>
      <c r="Q12243">
        <v>0</v>
      </c>
      <c r="R12243" t="s">
        <v>44775</v>
      </c>
      <c r="S12243" t="s">
        <v>45343</v>
      </c>
      <c r="T12243" t="s">
        <v>46404</v>
      </c>
      <c r="U12243" t="s">
        <v>57016</v>
      </c>
      <c r="W12243" t="s">
        <v>60906</v>
      </c>
      <c r="X12243" t="s">
        <v>44776</v>
      </c>
    </row>
    <row r="12244" spans="1:24">
      <c r="A12244">
        <f>HYPERLINK("https://www.philgeps.gov.ph/GEPSNONPILOT/Tender/SplashBidNoticeAbstractUI.aspx?menuIndex=3&amp;refID=7126363&amp;Result=3","7126363")</f>
        <v>0</v>
      </c>
      <c r="B12244" t="s">
        <v>2907</v>
      </c>
      <c r="C12244" t="s">
        <v>15402</v>
      </c>
      <c r="D12244" t="s">
        <v>18017</v>
      </c>
      <c r="E12244" t="s">
        <v>28612</v>
      </c>
      <c r="F12244" t="s">
        <v>30900</v>
      </c>
      <c r="G12244" t="s">
        <v>30907</v>
      </c>
      <c r="H12244" t="s">
        <v>30916</v>
      </c>
      <c r="I12244" t="s">
        <v>30928</v>
      </c>
      <c r="J12244" t="s">
        <v>38670</v>
      </c>
      <c r="K12244" t="s">
        <v>40286</v>
      </c>
      <c r="M12244" t="s">
        <v>43701</v>
      </c>
      <c r="N12244" t="s">
        <v>44759</v>
      </c>
      <c r="O12244" t="s">
        <v>44760</v>
      </c>
      <c r="P12244">
        <v>0</v>
      </c>
      <c r="Q12244">
        <v>16</v>
      </c>
      <c r="R12244" t="s">
        <v>44775</v>
      </c>
      <c r="S12244" t="s">
        <v>45343</v>
      </c>
      <c r="T12244" t="s">
        <v>46404</v>
      </c>
      <c r="U12244" t="s">
        <v>57017</v>
      </c>
      <c r="W12244" t="s">
        <v>60906</v>
      </c>
      <c r="X12244" t="s">
        <v>44776</v>
      </c>
    </row>
    <row r="12245" spans="1:24">
      <c r="A12245">
        <f>HYPERLINK("https://www.philgeps.gov.ph/GEPSNONPILOT/Tender/SplashBidNoticeAbstractUI.aspx?menuIndex=3&amp;refID=7126288&amp;Result=3","7126288")</f>
        <v>0</v>
      </c>
      <c r="B12245" t="s">
        <v>3471</v>
      </c>
      <c r="C12245" t="s">
        <v>15403</v>
      </c>
      <c r="D12245" t="s">
        <v>17984</v>
      </c>
      <c r="E12245" t="s">
        <v>28613</v>
      </c>
      <c r="F12245" t="s">
        <v>30900</v>
      </c>
      <c r="G12245" t="s">
        <v>30907</v>
      </c>
      <c r="H12245" t="s">
        <v>30915</v>
      </c>
      <c r="I12245" t="s">
        <v>30919</v>
      </c>
      <c r="J12245" t="s">
        <v>38671</v>
      </c>
      <c r="K12245" t="s">
        <v>40498</v>
      </c>
      <c r="M12245" t="s">
        <v>44368</v>
      </c>
      <c r="N12245" t="s">
        <v>44759</v>
      </c>
      <c r="O12245" t="s">
        <v>44760</v>
      </c>
      <c r="P12245">
        <v>0</v>
      </c>
      <c r="Q12245">
        <v>0</v>
      </c>
      <c r="R12245" t="s">
        <v>44775</v>
      </c>
      <c r="S12245" t="s">
        <v>45343</v>
      </c>
      <c r="T12245" t="s">
        <v>46425</v>
      </c>
      <c r="U12245" t="s">
        <v>57018</v>
      </c>
      <c r="W12245" t="s">
        <v>44368</v>
      </c>
      <c r="X12245" t="s">
        <v>44776</v>
      </c>
    </row>
    <row r="12246" spans="1:24">
      <c r="A12246">
        <f>HYPERLINK("https://www.philgeps.gov.ph/GEPSNONPILOT/Tender/SplashBidNoticeAbstractUI.aspx?menuIndex=3&amp;refID=7126357&amp;Result=3","7126357")</f>
        <v>0</v>
      </c>
      <c r="B12246" t="s">
        <v>2907</v>
      </c>
      <c r="C12246" t="s">
        <v>15404</v>
      </c>
      <c r="D12246" t="s">
        <v>18017</v>
      </c>
      <c r="E12246" t="s">
        <v>28614</v>
      </c>
      <c r="F12246" t="s">
        <v>30900</v>
      </c>
      <c r="G12246" t="s">
        <v>30907</v>
      </c>
      <c r="H12246" t="s">
        <v>30916</v>
      </c>
      <c r="I12246" t="s">
        <v>30933</v>
      </c>
      <c r="J12246" t="s">
        <v>34061</v>
      </c>
      <c r="K12246" t="s">
        <v>40292</v>
      </c>
      <c r="M12246" t="s">
        <v>43701</v>
      </c>
      <c r="N12246" t="s">
        <v>44759</v>
      </c>
      <c r="O12246" t="s">
        <v>44760</v>
      </c>
      <c r="P12246">
        <v>0</v>
      </c>
      <c r="Q12246">
        <v>10</v>
      </c>
      <c r="R12246" t="s">
        <v>44775</v>
      </c>
      <c r="S12246" t="s">
        <v>45343</v>
      </c>
      <c r="T12246" t="s">
        <v>46404</v>
      </c>
      <c r="U12246" t="s">
        <v>57016</v>
      </c>
      <c r="W12246" t="s">
        <v>60906</v>
      </c>
      <c r="X12246" t="s">
        <v>44776</v>
      </c>
    </row>
    <row r="12247" spans="1:24">
      <c r="A12247">
        <f>HYPERLINK("https://www.philgeps.gov.ph/GEPSNONPILOT/Tender/SplashBidNoticeAbstractUI.aspx?menuIndex=3&amp;refID=7126351&amp;Result=3","7126351")</f>
        <v>0</v>
      </c>
      <c r="B12247" t="s">
        <v>3470</v>
      </c>
      <c r="C12247" t="s">
        <v>15405</v>
      </c>
      <c r="D12247" t="s">
        <v>17977</v>
      </c>
      <c r="E12247" t="s">
        <v>28615</v>
      </c>
      <c r="F12247" t="s">
        <v>30900</v>
      </c>
      <c r="G12247" t="s">
        <v>30907</v>
      </c>
      <c r="H12247" t="s">
        <v>30915</v>
      </c>
      <c r="I12247" t="s">
        <v>30919</v>
      </c>
      <c r="J12247" t="s">
        <v>31153</v>
      </c>
      <c r="K12247" t="s">
        <v>40292</v>
      </c>
      <c r="M12247" t="s">
        <v>44367</v>
      </c>
      <c r="N12247" t="s">
        <v>44759</v>
      </c>
      <c r="O12247" t="s">
        <v>44760</v>
      </c>
      <c r="Q12247">
        <v>3</v>
      </c>
      <c r="R12247" t="s">
        <v>44775</v>
      </c>
      <c r="S12247" t="s">
        <v>45454</v>
      </c>
      <c r="T12247" t="s">
        <v>46392</v>
      </c>
      <c r="U12247" t="s">
        <v>57019</v>
      </c>
      <c r="W12247" t="s">
        <v>44367</v>
      </c>
      <c r="X12247" t="s">
        <v>44776</v>
      </c>
    </row>
    <row r="12248" spans="1:24">
      <c r="A12248">
        <f>HYPERLINK("https://www.philgeps.gov.ph/GEPSNONPILOT/Tender/SplashBidNoticeAbstractUI.aspx?menuIndex=3&amp;refID=7126244&amp;Result=3","7126244")</f>
        <v>0</v>
      </c>
      <c r="B12248" t="s">
        <v>1004</v>
      </c>
      <c r="C12248" t="s">
        <v>15406</v>
      </c>
      <c r="D12248" t="s">
        <v>17959</v>
      </c>
      <c r="E12248" t="s">
        <v>28616</v>
      </c>
      <c r="F12248" t="s">
        <v>30900</v>
      </c>
      <c r="G12248" t="s">
        <v>30907</v>
      </c>
      <c r="H12248" t="s">
        <v>30916</v>
      </c>
      <c r="I12248" t="s">
        <v>30924</v>
      </c>
      <c r="J12248" t="s">
        <v>38672</v>
      </c>
      <c r="K12248" t="s">
        <v>40280</v>
      </c>
      <c r="M12248" t="s">
        <v>44359</v>
      </c>
      <c r="N12248" t="s">
        <v>44759</v>
      </c>
      <c r="O12248" t="s">
        <v>44760</v>
      </c>
      <c r="Q12248">
        <v>13</v>
      </c>
      <c r="R12248" t="s">
        <v>44775</v>
      </c>
      <c r="S12248" t="s">
        <v>45455</v>
      </c>
      <c r="T12248" t="s">
        <v>46404</v>
      </c>
      <c r="U12248" t="s">
        <v>57020</v>
      </c>
      <c r="W12248" t="s">
        <v>60930</v>
      </c>
      <c r="X12248" t="s">
        <v>44776</v>
      </c>
    </row>
    <row r="12249" spans="1:24">
      <c r="A12249">
        <f>HYPERLINK("https://www.philgeps.gov.ph/GEPSNONPILOT/Tender/SplashBidNoticeAbstractUI.aspx?menuIndex=3&amp;refID=7126355&amp;Result=3","7126355")</f>
        <v>0</v>
      </c>
      <c r="B12249" t="s">
        <v>1119</v>
      </c>
      <c r="C12249" t="s">
        <v>15407</v>
      </c>
      <c r="D12249" t="s">
        <v>18038</v>
      </c>
      <c r="E12249" t="s">
        <v>28617</v>
      </c>
      <c r="F12249" t="s">
        <v>30900</v>
      </c>
      <c r="G12249" t="s">
        <v>30907</v>
      </c>
      <c r="H12249" t="s">
        <v>30916</v>
      </c>
      <c r="I12249" t="s">
        <v>31011</v>
      </c>
      <c r="J12249" t="s">
        <v>38673</v>
      </c>
      <c r="K12249" t="s">
        <v>40280</v>
      </c>
      <c r="M12249" t="s">
        <v>42602</v>
      </c>
      <c r="N12249" t="s">
        <v>44759</v>
      </c>
      <c r="O12249" t="s">
        <v>44760</v>
      </c>
      <c r="Q12249">
        <v>10</v>
      </c>
      <c r="R12249" t="s">
        <v>44775</v>
      </c>
      <c r="S12249" t="s">
        <v>45456</v>
      </c>
      <c r="T12249" t="s">
        <v>46386</v>
      </c>
      <c r="U12249" t="s">
        <v>57021</v>
      </c>
      <c r="V12249" t="s">
        <v>60507</v>
      </c>
      <c r="W12249" t="s">
        <v>42602</v>
      </c>
      <c r="X12249" t="s">
        <v>44776</v>
      </c>
    </row>
    <row r="12250" spans="1:24">
      <c r="A12250">
        <f>HYPERLINK("https://www.philgeps.gov.ph/GEPSNONPILOT/Tender/SplashBidNoticeAbstractUI.aspx?menuIndex=3&amp;refID=7126359&amp;Result=3","7126359")</f>
        <v>0</v>
      </c>
      <c r="B12250" t="s">
        <v>2907</v>
      </c>
      <c r="C12250" t="s">
        <v>15408</v>
      </c>
      <c r="D12250" t="s">
        <v>18017</v>
      </c>
      <c r="E12250" t="s">
        <v>28618</v>
      </c>
      <c r="F12250" t="s">
        <v>30900</v>
      </c>
      <c r="G12250" t="s">
        <v>30907</v>
      </c>
      <c r="H12250" t="s">
        <v>30916</v>
      </c>
      <c r="I12250" t="s">
        <v>7708</v>
      </c>
      <c r="J12250" t="s">
        <v>35257</v>
      </c>
      <c r="K12250" t="s">
        <v>40294</v>
      </c>
      <c r="M12250" t="s">
        <v>43701</v>
      </c>
      <c r="N12250" t="s">
        <v>44759</v>
      </c>
      <c r="O12250" t="s">
        <v>44760</v>
      </c>
      <c r="P12250">
        <v>0</v>
      </c>
      <c r="Q12250">
        <v>4</v>
      </c>
      <c r="R12250" t="s">
        <v>44775</v>
      </c>
      <c r="S12250" t="s">
        <v>45343</v>
      </c>
      <c r="T12250" t="s">
        <v>46404</v>
      </c>
      <c r="U12250" t="s">
        <v>57022</v>
      </c>
      <c r="W12250" t="s">
        <v>60906</v>
      </c>
      <c r="X12250" t="s">
        <v>44776</v>
      </c>
    </row>
    <row r="12251" spans="1:24">
      <c r="A12251">
        <f>HYPERLINK("https://www.philgeps.gov.ph/GEPSNONPILOT/Tender/SplashBidNoticeAbstractUI.aspx?menuIndex=3&amp;refID=7112069&amp;Result=3","7112069")</f>
        <v>0</v>
      </c>
      <c r="B12251" t="s">
        <v>3475</v>
      </c>
      <c r="C12251" t="s">
        <v>15409</v>
      </c>
      <c r="D12251" t="s">
        <v>17998</v>
      </c>
      <c r="E12251" t="s">
        <v>28619</v>
      </c>
      <c r="F12251" t="s">
        <v>30900</v>
      </c>
      <c r="G12251" t="s">
        <v>30907</v>
      </c>
      <c r="H12251" t="s">
        <v>30916</v>
      </c>
      <c r="I12251" t="s">
        <v>30933</v>
      </c>
      <c r="J12251" t="s">
        <v>34160</v>
      </c>
      <c r="K12251" t="s">
        <v>40286</v>
      </c>
      <c r="M12251" t="s">
        <v>44372</v>
      </c>
      <c r="N12251" t="s">
        <v>44759</v>
      </c>
      <c r="O12251" t="s">
        <v>44760</v>
      </c>
      <c r="P12251">
        <v>0</v>
      </c>
      <c r="Q12251">
        <v>5</v>
      </c>
      <c r="R12251" t="s">
        <v>44776</v>
      </c>
      <c r="S12251" t="s">
        <v>45453</v>
      </c>
      <c r="T12251" t="s">
        <v>46421</v>
      </c>
      <c r="U12251" t="s">
        <v>57023</v>
      </c>
      <c r="W12251" t="s">
        <v>44372</v>
      </c>
      <c r="X12251" t="s">
        <v>44782</v>
      </c>
    </row>
    <row r="12252" spans="1:24">
      <c r="A12252">
        <f>HYPERLINK("https://www.philgeps.gov.ph/GEPSNONPILOT/Tender/SplashBidNoticeAbstractUI.aspx?menuIndex=3&amp;refID=7111932&amp;Result=3","7111932")</f>
        <v>0</v>
      </c>
      <c r="B12252" t="s">
        <v>3475</v>
      </c>
      <c r="C12252" t="s">
        <v>15410</v>
      </c>
      <c r="D12252" t="s">
        <v>17998</v>
      </c>
      <c r="E12252" t="s">
        <v>28620</v>
      </c>
      <c r="F12252" t="s">
        <v>30900</v>
      </c>
      <c r="G12252" t="s">
        <v>30907</v>
      </c>
      <c r="H12252" t="s">
        <v>30915</v>
      </c>
      <c r="I12252" t="s">
        <v>30919</v>
      </c>
      <c r="J12252" t="s">
        <v>38674</v>
      </c>
      <c r="K12252" t="s">
        <v>40301</v>
      </c>
      <c r="M12252" t="s">
        <v>44372</v>
      </c>
      <c r="N12252" t="s">
        <v>44759</v>
      </c>
      <c r="O12252" t="s">
        <v>44760</v>
      </c>
      <c r="P12252">
        <v>0</v>
      </c>
      <c r="Q12252">
        <v>10</v>
      </c>
      <c r="R12252" t="s">
        <v>44776</v>
      </c>
      <c r="S12252" t="s">
        <v>45453</v>
      </c>
      <c r="T12252" t="s">
        <v>46421</v>
      </c>
      <c r="U12252" t="s">
        <v>57024</v>
      </c>
      <c r="W12252" t="s">
        <v>44372</v>
      </c>
      <c r="X12252" t="s">
        <v>44782</v>
      </c>
    </row>
    <row r="12253" spans="1:24">
      <c r="A12253">
        <f>HYPERLINK("https://www.philgeps.gov.ph/GEPSNONPILOT/Tender/SplashBidNoticeAbstractUI.aspx?menuIndex=3&amp;refID=7109004&amp;Result=3","7109004")</f>
        <v>0</v>
      </c>
      <c r="B12253" t="s">
        <v>587</v>
      </c>
      <c r="C12253" t="s">
        <v>15411</v>
      </c>
      <c r="D12253" t="s">
        <v>17967</v>
      </c>
      <c r="E12253" t="s">
        <v>28621</v>
      </c>
      <c r="F12253" t="s">
        <v>30900</v>
      </c>
      <c r="G12253" t="s">
        <v>30907</v>
      </c>
      <c r="H12253" t="s">
        <v>30916</v>
      </c>
      <c r="I12253" t="s">
        <v>8123</v>
      </c>
      <c r="J12253" t="s">
        <v>32329</v>
      </c>
      <c r="K12253" t="s">
        <v>40284</v>
      </c>
      <c r="M12253" t="s">
        <v>41149</v>
      </c>
      <c r="N12253" t="s">
        <v>44759</v>
      </c>
      <c r="O12253" t="s">
        <v>44760</v>
      </c>
      <c r="P12253">
        <v>0</v>
      </c>
      <c r="Q12253">
        <v>0</v>
      </c>
      <c r="R12253" t="s">
        <v>44776</v>
      </c>
      <c r="S12253" t="s">
        <v>45453</v>
      </c>
      <c r="T12253" t="s">
        <v>46457</v>
      </c>
      <c r="U12253" t="s">
        <v>57025</v>
      </c>
      <c r="W12253" t="s">
        <v>41149</v>
      </c>
      <c r="X12253" t="s">
        <v>44783</v>
      </c>
    </row>
    <row r="12254" spans="1:24">
      <c r="A12254">
        <f>HYPERLINK("https://www.philgeps.gov.ph/GEPSNONPILOT/Tender/SplashBidNoticeAbstractUI.aspx?menuIndex=3&amp;refID=7092224&amp;Result=3","7092224")</f>
        <v>0</v>
      </c>
      <c r="B12254" t="s">
        <v>1506</v>
      </c>
      <c r="C12254" t="s">
        <v>15412</v>
      </c>
      <c r="D12254" t="s">
        <v>18001</v>
      </c>
      <c r="E12254" t="s">
        <v>28622</v>
      </c>
      <c r="F12254" t="s">
        <v>30900</v>
      </c>
      <c r="G12254" t="s">
        <v>30907</v>
      </c>
      <c r="H12254" t="s">
        <v>30916</v>
      </c>
      <c r="I12254" t="s">
        <v>30963</v>
      </c>
      <c r="J12254" t="s">
        <v>38675</v>
      </c>
      <c r="K12254" t="s">
        <v>40286</v>
      </c>
      <c r="M12254" t="s">
        <v>42147</v>
      </c>
      <c r="N12254" t="s">
        <v>44759</v>
      </c>
      <c r="O12254" t="s">
        <v>44760</v>
      </c>
      <c r="Q12254">
        <v>5</v>
      </c>
      <c r="R12254" t="s">
        <v>44776</v>
      </c>
      <c r="S12254" t="s">
        <v>44866</v>
      </c>
      <c r="T12254" t="s">
        <v>46467</v>
      </c>
      <c r="U12254" t="s">
        <v>56461</v>
      </c>
      <c r="W12254" t="s">
        <v>42147</v>
      </c>
      <c r="X12254" t="s">
        <v>44790</v>
      </c>
    </row>
    <row r="12255" spans="1:24">
      <c r="A12255">
        <f>HYPERLINK("https://www.philgeps.gov.ph/GEPSNONPILOT/Tender/SplashBidNoticeAbstractUI.aspx?menuIndex=3&amp;refID=7106277&amp;Result=3","7106277")</f>
        <v>0</v>
      </c>
      <c r="B12255" t="s">
        <v>3476</v>
      </c>
      <c r="C12255" t="s">
        <v>15413</v>
      </c>
      <c r="D12255" t="s">
        <v>18023</v>
      </c>
      <c r="E12255" t="s">
        <v>28623</v>
      </c>
      <c r="F12255" t="s">
        <v>30900</v>
      </c>
      <c r="G12255" t="s">
        <v>30907</v>
      </c>
      <c r="H12255" t="s">
        <v>30915</v>
      </c>
      <c r="I12255" t="s">
        <v>30919</v>
      </c>
      <c r="J12255" t="s">
        <v>38676</v>
      </c>
      <c r="K12255" t="s">
        <v>40280</v>
      </c>
      <c r="M12255" t="s">
        <v>44373</v>
      </c>
      <c r="N12255" t="s">
        <v>44759</v>
      </c>
      <c r="O12255" t="s">
        <v>44760</v>
      </c>
      <c r="P12255">
        <v>0</v>
      </c>
      <c r="Q12255">
        <v>0</v>
      </c>
      <c r="R12255" t="s">
        <v>44776</v>
      </c>
      <c r="S12255" t="s">
        <v>45453</v>
      </c>
      <c r="T12255" t="s">
        <v>46409</v>
      </c>
      <c r="U12255" t="s">
        <v>47641</v>
      </c>
      <c r="W12255" t="s">
        <v>44373</v>
      </c>
      <c r="X12255" t="s">
        <v>44784</v>
      </c>
    </row>
    <row r="12256" spans="1:24">
      <c r="A12256">
        <f>HYPERLINK("https://www.philgeps.gov.ph/GEPSNONPILOT/Tender/SplashBidNoticeAbstractUI.aspx?menuIndex=3&amp;refID=7111863&amp;Result=3","7111863")</f>
        <v>0</v>
      </c>
      <c r="B12256" t="s">
        <v>3475</v>
      </c>
      <c r="C12256" t="s">
        <v>15414</v>
      </c>
      <c r="D12256" t="s">
        <v>17998</v>
      </c>
      <c r="E12256" t="s">
        <v>28624</v>
      </c>
      <c r="F12256" t="s">
        <v>30900</v>
      </c>
      <c r="G12256" t="s">
        <v>30907</v>
      </c>
      <c r="H12256" t="s">
        <v>30915</v>
      </c>
      <c r="I12256" t="s">
        <v>30919</v>
      </c>
      <c r="J12256" t="s">
        <v>38677</v>
      </c>
      <c r="K12256" t="s">
        <v>40301</v>
      </c>
      <c r="M12256" t="s">
        <v>44372</v>
      </c>
      <c r="N12256" t="s">
        <v>44759</v>
      </c>
      <c r="O12256" t="s">
        <v>44760</v>
      </c>
      <c r="P12256">
        <v>0</v>
      </c>
      <c r="Q12256">
        <v>10</v>
      </c>
      <c r="R12256" t="s">
        <v>44776</v>
      </c>
      <c r="S12256" t="s">
        <v>45453</v>
      </c>
      <c r="T12256" t="s">
        <v>46478</v>
      </c>
      <c r="U12256" t="s">
        <v>57026</v>
      </c>
      <c r="W12256" t="s">
        <v>44372</v>
      </c>
      <c r="X12256" t="s">
        <v>44782</v>
      </c>
    </row>
    <row r="12257" spans="1:24">
      <c r="A12257">
        <f>HYPERLINK("https://www.philgeps.gov.ph/GEPSNONPILOT/Tender/SplashBidNoticeAbstractUI.aspx?menuIndex=3&amp;refID=7109698&amp;Result=3","7109698")</f>
        <v>0</v>
      </c>
      <c r="B12257" t="s">
        <v>100</v>
      </c>
      <c r="C12257" t="s">
        <v>15415</v>
      </c>
      <c r="D12257" t="s">
        <v>17995</v>
      </c>
      <c r="E12257" t="s">
        <v>28625</v>
      </c>
      <c r="F12257" t="s">
        <v>30900</v>
      </c>
      <c r="G12257" t="s">
        <v>30907</v>
      </c>
      <c r="H12257" t="s">
        <v>30916</v>
      </c>
      <c r="I12257" t="s">
        <v>10961</v>
      </c>
      <c r="J12257" t="s">
        <v>31096</v>
      </c>
      <c r="K12257" t="s">
        <v>40289</v>
      </c>
      <c r="M12257" t="s">
        <v>40647</v>
      </c>
      <c r="N12257" t="s">
        <v>44759</v>
      </c>
      <c r="O12257" t="s">
        <v>44760</v>
      </c>
      <c r="P12257">
        <v>0</v>
      </c>
      <c r="Q12257">
        <v>1</v>
      </c>
      <c r="R12257" t="s">
        <v>44776</v>
      </c>
      <c r="S12257" t="s">
        <v>45453</v>
      </c>
      <c r="T12257" t="s">
        <v>46421</v>
      </c>
      <c r="U12257" t="s">
        <v>57027</v>
      </c>
      <c r="V12257" t="s">
        <v>60508</v>
      </c>
      <c r="W12257" t="s">
        <v>40647</v>
      </c>
      <c r="X12257" t="s">
        <v>44783</v>
      </c>
    </row>
    <row r="12258" spans="1:24">
      <c r="A12258">
        <f>HYPERLINK("https://www.philgeps.gov.ph/GEPSNONPILOT/Tender/SplashBidNoticeAbstractUI.aspx?menuIndex=3&amp;refID=7105881&amp;Result=3","7105881")</f>
        <v>0</v>
      </c>
      <c r="B12258" t="s">
        <v>3476</v>
      </c>
      <c r="C12258" t="s">
        <v>15416</v>
      </c>
      <c r="D12258" t="s">
        <v>18023</v>
      </c>
      <c r="E12258" t="s">
        <v>28626</v>
      </c>
      <c r="F12258" t="s">
        <v>30900</v>
      </c>
      <c r="G12258" t="s">
        <v>30907</v>
      </c>
      <c r="H12258" t="s">
        <v>30915</v>
      </c>
      <c r="I12258" t="s">
        <v>30919</v>
      </c>
      <c r="J12258" t="s">
        <v>38678</v>
      </c>
      <c r="K12258" t="s">
        <v>40355</v>
      </c>
      <c r="M12258" t="s">
        <v>44373</v>
      </c>
      <c r="N12258" t="s">
        <v>44759</v>
      </c>
      <c r="O12258" t="s">
        <v>44760</v>
      </c>
      <c r="P12258">
        <v>0</v>
      </c>
      <c r="Q12258">
        <v>0</v>
      </c>
      <c r="R12258" t="s">
        <v>44776</v>
      </c>
      <c r="S12258" t="s">
        <v>45453</v>
      </c>
      <c r="T12258" t="s">
        <v>46409</v>
      </c>
      <c r="U12258" t="s">
        <v>47641</v>
      </c>
      <c r="W12258" t="s">
        <v>44373</v>
      </c>
      <c r="X12258" t="s">
        <v>44784</v>
      </c>
    </row>
    <row r="12259" spans="1:24">
      <c r="A12259">
        <f>HYPERLINK("https://www.philgeps.gov.ph/GEPSNONPILOT/Tender/SplashBidNoticeAbstractUI.aspx?menuIndex=3&amp;refID=7105878&amp;Result=3","7105878")</f>
        <v>0</v>
      </c>
      <c r="B12259" t="s">
        <v>3477</v>
      </c>
      <c r="C12259" t="s">
        <v>15417</v>
      </c>
      <c r="D12259" t="s">
        <v>17973</v>
      </c>
      <c r="E12259" t="s">
        <v>22992</v>
      </c>
      <c r="F12259" t="s">
        <v>30900</v>
      </c>
      <c r="G12259" t="s">
        <v>30907</v>
      </c>
      <c r="H12259" t="s">
        <v>30916</v>
      </c>
      <c r="I12259" t="s">
        <v>30980</v>
      </c>
      <c r="J12259" t="s">
        <v>38679</v>
      </c>
      <c r="K12259" t="s">
        <v>40293</v>
      </c>
      <c r="M12259" t="s">
        <v>44374</v>
      </c>
      <c r="N12259" t="s">
        <v>44759</v>
      </c>
      <c r="O12259" t="s">
        <v>44760</v>
      </c>
      <c r="P12259">
        <v>0</v>
      </c>
      <c r="Q12259">
        <v>1</v>
      </c>
      <c r="R12259" t="s">
        <v>44776</v>
      </c>
      <c r="S12259" t="s">
        <v>45453</v>
      </c>
      <c r="T12259" t="s">
        <v>46409</v>
      </c>
      <c r="U12259" t="s">
        <v>57028</v>
      </c>
      <c r="V12259" t="s">
        <v>60509</v>
      </c>
      <c r="W12259" t="s">
        <v>44374</v>
      </c>
      <c r="X12259" t="s">
        <v>44784</v>
      </c>
    </row>
    <row r="12260" spans="1:24">
      <c r="A12260">
        <f>HYPERLINK("https://www.philgeps.gov.ph/GEPSNONPILOT/Tender/SplashBidNoticeAbstractUI.aspx?menuIndex=3&amp;refID=7106030&amp;Result=3","7106030")</f>
        <v>0</v>
      </c>
      <c r="B12260" t="s">
        <v>3476</v>
      </c>
      <c r="C12260" t="s">
        <v>15418</v>
      </c>
      <c r="D12260" t="s">
        <v>18023</v>
      </c>
      <c r="E12260" t="s">
        <v>28627</v>
      </c>
      <c r="F12260" t="s">
        <v>30900</v>
      </c>
      <c r="G12260" t="s">
        <v>30907</v>
      </c>
      <c r="H12260" t="s">
        <v>30915</v>
      </c>
      <c r="I12260" t="s">
        <v>30919</v>
      </c>
      <c r="J12260" t="s">
        <v>31297</v>
      </c>
      <c r="K12260" t="s">
        <v>40358</v>
      </c>
      <c r="M12260" t="s">
        <v>44373</v>
      </c>
      <c r="N12260" t="s">
        <v>44759</v>
      </c>
      <c r="O12260" t="s">
        <v>44760</v>
      </c>
      <c r="P12260">
        <v>0</v>
      </c>
      <c r="Q12260">
        <v>1</v>
      </c>
      <c r="R12260" t="s">
        <v>44776</v>
      </c>
      <c r="S12260" t="s">
        <v>45453</v>
      </c>
      <c r="T12260" t="s">
        <v>46409</v>
      </c>
      <c r="U12260" t="s">
        <v>47641</v>
      </c>
      <c r="W12260" t="s">
        <v>44373</v>
      </c>
      <c r="X12260" t="s">
        <v>44784</v>
      </c>
    </row>
    <row r="12261" spans="1:24">
      <c r="A12261">
        <f>HYPERLINK("https://www.philgeps.gov.ph/GEPSNONPILOT/Tender/SplashBidNoticeAbstractUI.aspx?menuIndex=3&amp;refID=7105622&amp;Result=3","7105622")</f>
        <v>0</v>
      </c>
      <c r="B12261" t="s">
        <v>3477</v>
      </c>
      <c r="C12261" t="s">
        <v>15419</v>
      </c>
      <c r="D12261" t="s">
        <v>17973</v>
      </c>
      <c r="E12261" t="s">
        <v>19755</v>
      </c>
      <c r="F12261" t="s">
        <v>30900</v>
      </c>
      <c r="G12261" t="s">
        <v>30907</v>
      </c>
      <c r="H12261" t="s">
        <v>30916</v>
      </c>
      <c r="I12261" t="s">
        <v>5501</v>
      </c>
      <c r="J12261" t="s">
        <v>38680</v>
      </c>
      <c r="K12261" t="s">
        <v>40293</v>
      </c>
      <c r="M12261" t="s">
        <v>44374</v>
      </c>
      <c r="N12261" t="s">
        <v>44759</v>
      </c>
      <c r="O12261" t="s">
        <v>44760</v>
      </c>
      <c r="P12261">
        <v>0</v>
      </c>
      <c r="Q12261">
        <v>4</v>
      </c>
      <c r="R12261" t="s">
        <v>44776</v>
      </c>
      <c r="S12261" t="s">
        <v>45453</v>
      </c>
      <c r="T12261" t="s">
        <v>46389</v>
      </c>
      <c r="U12261" t="s">
        <v>57029</v>
      </c>
      <c r="V12261" t="s">
        <v>60510</v>
      </c>
      <c r="W12261" t="s">
        <v>44374</v>
      </c>
      <c r="X12261" t="s">
        <v>44784</v>
      </c>
    </row>
    <row r="12262" spans="1:24">
      <c r="A12262">
        <f>HYPERLINK("https://www.philgeps.gov.ph/GEPSNONPILOT/Tender/SplashBidNoticeAbstractUI.aspx?menuIndex=3&amp;refID=7114521&amp;Result=3","7114521")</f>
        <v>0</v>
      </c>
      <c r="B12262" t="s">
        <v>932</v>
      </c>
      <c r="C12262" t="s">
        <v>15420</v>
      </c>
      <c r="D12262" t="s">
        <v>17959</v>
      </c>
      <c r="E12262" t="s">
        <v>28628</v>
      </c>
      <c r="F12262" t="s">
        <v>30900</v>
      </c>
      <c r="G12262" t="s">
        <v>30907</v>
      </c>
      <c r="H12262" t="s">
        <v>30916</v>
      </c>
      <c r="I12262" t="s">
        <v>4108</v>
      </c>
      <c r="J12262" t="s">
        <v>38681</v>
      </c>
      <c r="K12262" t="s">
        <v>40283</v>
      </c>
      <c r="M12262" t="s">
        <v>44375</v>
      </c>
      <c r="N12262" t="s">
        <v>44759</v>
      </c>
      <c r="O12262" t="s">
        <v>44760</v>
      </c>
      <c r="P12262">
        <v>0</v>
      </c>
      <c r="Q12262">
        <v>0</v>
      </c>
      <c r="R12262" t="s">
        <v>44776</v>
      </c>
      <c r="S12262" t="s">
        <v>45453</v>
      </c>
      <c r="T12262" t="s">
        <v>46421</v>
      </c>
      <c r="U12262" t="s">
        <v>57030</v>
      </c>
      <c r="W12262" t="s">
        <v>44375</v>
      </c>
      <c r="X12262" t="s">
        <v>44781</v>
      </c>
    </row>
    <row r="12263" spans="1:24">
      <c r="A12263">
        <f>HYPERLINK("https://www.philgeps.gov.ph/GEPSNONPILOT/Tender/SplashBidNoticeAbstractUI.aspx?menuIndex=3&amp;refID=7114504&amp;Result=3","7114504")</f>
        <v>0</v>
      </c>
      <c r="B12263" t="s">
        <v>932</v>
      </c>
      <c r="C12263" t="s">
        <v>15421</v>
      </c>
      <c r="D12263" t="s">
        <v>17959</v>
      </c>
      <c r="E12263" t="s">
        <v>28629</v>
      </c>
      <c r="F12263" t="s">
        <v>30900</v>
      </c>
      <c r="G12263" t="s">
        <v>30907</v>
      </c>
      <c r="H12263" t="s">
        <v>30916</v>
      </c>
      <c r="I12263" t="s">
        <v>10847</v>
      </c>
      <c r="J12263" t="s">
        <v>34589</v>
      </c>
      <c r="K12263" t="s">
        <v>40283</v>
      </c>
      <c r="M12263" t="s">
        <v>44375</v>
      </c>
      <c r="N12263" t="s">
        <v>44759</v>
      </c>
      <c r="O12263" t="s">
        <v>44760</v>
      </c>
      <c r="P12263">
        <v>0</v>
      </c>
      <c r="Q12263">
        <v>0</v>
      </c>
      <c r="R12263" t="s">
        <v>44776</v>
      </c>
      <c r="S12263" t="s">
        <v>45453</v>
      </c>
      <c r="T12263" t="s">
        <v>46421</v>
      </c>
      <c r="U12263" t="s">
        <v>48718</v>
      </c>
      <c r="W12263" t="s">
        <v>44375</v>
      </c>
      <c r="X12263" t="s">
        <v>44781</v>
      </c>
    </row>
    <row r="12264" spans="1:24">
      <c r="A12264">
        <f>HYPERLINK("https://www.philgeps.gov.ph/GEPSNONPILOT/Tender/SplashBidNoticeAbstractUI.aspx?menuIndex=3&amp;refID=7114484&amp;Result=3","7114484")</f>
        <v>0</v>
      </c>
      <c r="B12264" t="s">
        <v>932</v>
      </c>
      <c r="C12264" t="s">
        <v>15422</v>
      </c>
      <c r="D12264" t="s">
        <v>17959</v>
      </c>
      <c r="E12264" t="s">
        <v>28630</v>
      </c>
      <c r="F12264" t="s">
        <v>30900</v>
      </c>
      <c r="G12264" t="s">
        <v>30907</v>
      </c>
      <c r="H12264" t="s">
        <v>30916</v>
      </c>
      <c r="I12264" t="s">
        <v>10847</v>
      </c>
      <c r="J12264" t="s">
        <v>34160</v>
      </c>
      <c r="K12264" t="s">
        <v>40283</v>
      </c>
      <c r="M12264" t="s">
        <v>44375</v>
      </c>
      <c r="N12264" t="s">
        <v>44759</v>
      </c>
      <c r="O12264" t="s">
        <v>44760</v>
      </c>
      <c r="P12264">
        <v>0</v>
      </c>
      <c r="Q12264">
        <v>0</v>
      </c>
      <c r="R12264" t="s">
        <v>44776</v>
      </c>
      <c r="S12264" t="s">
        <v>45453</v>
      </c>
      <c r="T12264" t="s">
        <v>46421</v>
      </c>
      <c r="U12264" t="s">
        <v>48718</v>
      </c>
      <c r="W12264" t="s">
        <v>44375</v>
      </c>
      <c r="X12264" t="s">
        <v>44781</v>
      </c>
    </row>
    <row r="12265" spans="1:24">
      <c r="A12265">
        <f>HYPERLINK("https://www.philgeps.gov.ph/GEPSNONPILOT/Tender/SplashBidNoticeAbstractUI.aspx?menuIndex=3&amp;refID=7126175&amp;Result=3","7126175")</f>
        <v>0</v>
      </c>
      <c r="B12265" t="s">
        <v>44</v>
      </c>
      <c r="C12265" t="s">
        <v>15377</v>
      </c>
      <c r="D12265" t="s">
        <v>17969</v>
      </c>
      <c r="E12265" t="s">
        <v>28631</v>
      </c>
      <c r="F12265" t="s">
        <v>30900</v>
      </c>
      <c r="G12265" t="s">
        <v>30907</v>
      </c>
      <c r="H12265" t="s">
        <v>30916</v>
      </c>
      <c r="I12265" t="s">
        <v>4050</v>
      </c>
      <c r="J12265" t="s">
        <v>31153</v>
      </c>
      <c r="K12265" t="s">
        <v>40284</v>
      </c>
      <c r="M12265" t="s">
        <v>40590</v>
      </c>
      <c r="N12265" t="s">
        <v>44759</v>
      </c>
      <c r="O12265" t="s">
        <v>44760</v>
      </c>
      <c r="P12265">
        <v>0</v>
      </c>
      <c r="Q12265">
        <v>3</v>
      </c>
      <c r="R12265" t="s">
        <v>44775</v>
      </c>
      <c r="S12265" t="s">
        <v>45343</v>
      </c>
      <c r="T12265" t="s">
        <v>46418</v>
      </c>
      <c r="U12265" t="s">
        <v>56992</v>
      </c>
      <c r="W12265" t="s">
        <v>40590</v>
      </c>
      <c r="X12265" t="s">
        <v>44776</v>
      </c>
    </row>
    <row r="12266" spans="1:24">
      <c r="A12266">
        <f>HYPERLINK("https://www.philgeps.gov.ph/GEPSNONPILOT/Tender/SplashBidNoticeAbstractUI.aspx?menuIndex=3&amp;refID=7114387&amp;Result=3","7114387")</f>
        <v>0</v>
      </c>
      <c r="B12266" t="s">
        <v>932</v>
      </c>
      <c r="C12266" t="s">
        <v>15423</v>
      </c>
      <c r="D12266" t="s">
        <v>17959</v>
      </c>
      <c r="E12266" t="s">
        <v>28632</v>
      </c>
      <c r="F12266" t="s">
        <v>30900</v>
      </c>
      <c r="G12266" t="s">
        <v>30907</v>
      </c>
      <c r="H12266" t="s">
        <v>30916</v>
      </c>
      <c r="I12266" t="s">
        <v>4142</v>
      </c>
      <c r="J12266" t="s">
        <v>38682</v>
      </c>
      <c r="K12266" t="s">
        <v>40283</v>
      </c>
      <c r="M12266" t="s">
        <v>44375</v>
      </c>
      <c r="N12266" t="s">
        <v>44759</v>
      </c>
      <c r="O12266" t="s">
        <v>44760</v>
      </c>
      <c r="P12266">
        <v>0</v>
      </c>
      <c r="Q12266">
        <v>1</v>
      </c>
      <c r="R12266" t="s">
        <v>44776</v>
      </c>
      <c r="S12266" t="s">
        <v>45453</v>
      </c>
      <c r="T12266" t="s">
        <v>46421</v>
      </c>
      <c r="U12266" t="s">
        <v>48263</v>
      </c>
      <c r="W12266" t="s">
        <v>44375</v>
      </c>
      <c r="X12266" t="s">
        <v>44781</v>
      </c>
    </row>
    <row r="12267" spans="1:24">
      <c r="A12267">
        <f>HYPERLINK("https://www.philgeps.gov.ph/GEPSNONPILOT/Tender/SplashBidNoticeAbstractUI.aspx?menuIndex=3&amp;refID=7106234&amp;Result=3","7106234")</f>
        <v>0</v>
      </c>
      <c r="B12267" t="s">
        <v>3476</v>
      </c>
      <c r="C12267" t="s">
        <v>15424</v>
      </c>
      <c r="D12267" t="s">
        <v>18023</v>
      </c>
      <c r="E12267" t="s">
        <v>28633</v>
      </c>
      <c r="F12267" t="s">
        <v>30900</v>
      </c>
      <c r="G12267" t="s">
        <v>30907</v>
      </c>
      <c r="H12267" t="s">
        <v>30915</v>
      </c>
      <c r="I12267" t="s">
        <v>30919</v>
      </c>
      <c r="J12267" t="s">
        <v>31297</v>
      </c>
      <c r="K12267" t="s">
        <v>40280</v>
      </c>
      <c r="M12267" t="s">
        <v>44373</v>
      </c>
      <c r="N12267" t="s">
        <v>44759</v>
      </c>
      <c r="O12267" t="s">
        <v>44760</v>
      </c>
      <c r="P12267">
        <v>0</v>
      </c>
      <c r="Q12267">
        <v>0</v>
      </c>
      <c r="R12267" t="s">
        <v>44776</v>
      </c>
      <c r="S12267" t="s">
        <v>45453</v>
      </c>
      <c r="T12267" t="s">
        <v>46409</v>
      </c>
      <c r="U12267" t="s">
        <v>47641</v>
      </c>
      <c r="W12267" t="s">
        <v>44373</v>
      </c>
      <c r="X12267" t="s">
        <v>44784</v>
      </c>
    </row>
    <row r="12268" spans="1:24">
      <c r="A12268">
        <f>HYPERLINK("https://www.philgeps.gov.ph/GEPSNONPILOT/Tender/SplashBidNoticeAbstractUI.aspx?menuIndex=3&amp;refID=7114362&amp;Result=3","7114362")</f>
        <v>0</v>
      </c>
      <c r="B12268" t="s">
        <v>89</v>
      </c>
      <c r="C12268" t="s">
        <v>15425</v>
      </c>
      <c r="D12268" t="s">
        <v>17971</v>
      </c>
      <c r="E12268" t="s">
        <v>28634</v>
      </c>
      <c r="F12268" t="s">
        <v>30900</v>
      </c>
      <c r="G12268" t="s">
        <v>30907</v>
      </c>
      <c r="H12268" t="s">
        <v>30916</v>
      </c>
      <c r="I12268" t="s">
        <v>5501</v>
      </c>
      <c r="J12268" t="s">
        <v>38683</v>
      </c>
      <c r="K12268" t="s">
        <v>40289</v>
      </c>
      <c r="M12268" t="s">
        <v>40636</v>
      </c>
      <c r="N12268" t="s">
        <v>44759</v>
      </c>
      <c r="O12268" t="s">
        <v>44760</v>
      </c>
      <c r="Q12268">
        <v>23</v>
      </c>
      <c r="R12268" t="s">
        <v>44776</v>
      </c>
      <c r="S12268" t="s">
        <v>45457</v>
      </c>
      <c r="T12268" t="s">
        <v>46694</v>
      </c>
      <c r="U12268" t="s">
        <v>57031</v>
      </c>
      <c r="V12268" t="s">
        <v>60121</v>
      </c>
      <c r="W12268" t="s">
        <v>40636</v>
      </c>
      <c r="X12268" t="s">
        <v>44781</v>
      </c>
    </row>
    <row r="12269" spans="1:24">
      <c r="A12269">
        <f>HYPERLINK("https://www.philgeps.gov.ph/GEPSNONPILOT/Tender/SplashBidNoticeAbstractUI.aspx?menuIndex=3&amp;refID=7114129&amp;Result=3","7114129")</f>
        <v>0</v>
      </c>
      <c r="B12269" t="s">
        <v>3478</v>
      </c>
      <c r="C12269" t="s">
        <v>15426</v>
      </c>
      <c r="D12269" t="s">
        <v>18021</v>
      </c>
      <c r="E12269" t="s">
        <v>28635</v>
      </c>
      <c r="F12269" t="s">
        <v>30900</v>
      </c>
      <c r="G12269" t="s">
        <v>30907</v>
      </c>
      <c r="H12269" t="s">
        <v>30916</v>
      </c>
      <c r="I12269" t="s">
        <v>8123</v>
      </c>
      <c r="J12269" t="s">
        <v>38684</v>
      </c>
      <c r="K12269" t="s">
        <v>40327</v>
      </c>
      <c r="M12269" t="s">
        <v>44376</v>
      </c>
      <c r="N12269" t="s">
        <v>44759</v>
      </c>
      <c r="O12269" t="s">
        <v>44760</v>
      </c>
      <c r="P12269">
        <v>0</v>
      </c>
      <c r="Q12269">
        <v>0</v>
      </c>
      <c r="R12269" t="s">
        <v>44776</v>
      </c>
      <c r="S12269" t="s">
        <v>45453</v>
      </c>
      <c r="T12269" t="s">
        <v>46412</v>
      </c>
      <c r="U12269" t="s">
        <v>57032</v>
      </c>
      <c r="V12269" t="s">
        <v>59758</v>
      </c>
      <c r="W12269" t="s">
        <v>44376</v>
      </c>
      <c r="X12269" t="s">
        <v>44781</v>
      </c>
    </row>
    <row r="12270" spans="1:24">
      <c r="A12270">
        <f>HYPERLINK("https://www.philgeps.gov.ph/GEPSNONPILOT/Tender/SplashBidNoticeAbstractUI.aspx?menuIndex=3&amp;refID=7105519&amp;Result=3","7105519")</f>
        <v>0</v>
      </c>
      <c r="B12270" t="s">
        <v>3476</v>
      </c>
      <c r="C12270" t="s">
        <v>15427</v>
      </c>
      <c r="D12270" t="s">
        <v>18023</v>
      </c>
      <c r="E12270" t="s">
        <v>28636</v>
      </c>
      <c r="F12270" t="s">
        <v>30900</v>
      </c>
      <c r="G12270" t="s">
        <v>30907</v>
      </c>
      <c r="H12270" t="s">
        <v>30915</v>
      </c>
      <c r="I12270" t="s">
        <v>30919</v>
      </c>
      <c r="J12270" t="s">
        <v>38685</v>
      </c>
      <c r="K12270" t="s">
        <v>40292</v>
      </c>
      <c r="M12270" t="s">
        <v>44373</v>
      </c>
      <c r="N12270" t="s">
        <v>44759</v>
      </c>
      <c r="O12270" t="s">
        <v>44760</v>
      </c>
      <c r="P12270">
        <v>0</v>
      </c>
      <c r="Q12270">
        <v>0</v>
      </c>
      <c r="R12270" t="s">
        <v>44776</v>
      </c>
      <c r="S12270" t="s">
        <v>45453</v>
      </c>
      <c r="T12270" t="s">
        <v>46409</v>
      </c>
      <c r="U12270" t="s">
        <v>47641</v>
      </c>
      <c r="W12270" t="s">
        <v>44373</v>
      </c>
      <c r="X12270" t="s">
        <v>44784</v>
      </c>
    </row>
    <row r="12271" spans="1:24">
      <c r="A12271">
        <f>HYPERLINK("https://www.philgeps.gov.ph/GEPSNONPILOT/Tender/SplashBidNoticeAbstractUI.aspx?menuIndex=3&amp;refID=7113957&amp;Result=3","7113957")</f>
        <v>0</v>
      </c>
      <c r="B12271" t="s">
        <v>2066</v>
      </c>
      <c r="C12271" t="s">
        <v>15428</v>
      </c>
      <c r="D12271" t="s">
        <v>17971</v>
      </c>
      <c r="E12271" t="s">
        <v>28637</v>
      </c>
      <c r="F12271" t="s">
        <v>30900</v>
      </c>
      <c r="G12271" t="s">
        <v>30907</v>
      </c>
      <c r="H12271" t="s">
        <v>30916</v>
      </c>
      <c r="I12271" t="s">
        <v>4050</v>
      </c>
      <c r="J12271" t="s">
        <v>38686</v>
      </c>
      <c r="K12271" t="s">
        <v>40286</v>
      </c>
      <c r="L12271" t="s">
        <v>2066</v>
      </c>
      <c r="M12271" t="s">
        <v>44377</v>
      </c>
      <c r="N12271" t="s">
        <v>44759</v>
      </c>
      <c r="O12271" t="s">
        <v>44760</v>
      </c>
      <c r="P12271">
        <v>0</v>
      </c>
      <c r="Q12271">
        <v>4</v>
      </c>
      <c r="R12271" t="s">
        <v>44776</v>
      </c>
      <c r="S12271" t="s">
        <v>45453</v>
      </c>
      <c r="T12271" t="s">
        <v>46399</v>
      </c>
      <c r="U12271" t="s">
        <v>51831</v>
      </c>
      <c r="W12271" t="s">
        <v>44377</v>
      </c>
      <c r="X12271" t="s">
        <v>44781</v>
      </c>
    </row>
    <row r="12272" spans="1:24">
      <c r="A12272">
        <f>HYPERLINK("https://www.philgeps.gov.ph/GEPSNONPILOT/Tender/SplashBidNoticeAbstractUI.aspx?menuIndex=3&amp;refID=7113456&amp;Result=3","7113456")</f>
        <v>0</v>
      </c>
      <c r="B12272" t="s">
        <v>593</v>
      </c>
      <c r="C12272" t="s">
        <v>15429</v>
      </c>
      <c r="D12272" t="s">
        <v>18031</v>
      </c>
      <c r="E12272" t="s">
        <v>28638</v>
      </c>
      <c r="F12272" t="s">
        <v>30900</v>
      </c>
      <c r="G12272" t="s">
        <v>30907</v>
      </c>
      <c r="H12272" t="s">
        <v>30916</v>
      </c>
      <c r="I12272" t="s">
        <v>30923</v>
      </c>
      <c r="J12272" t="s">
        <v>32324</v>
      </c>
      <c r="K12272" t="s">
        <v>40286</v>
      </c>
      <c r="M12272" t="s">
        <v>41155</v>
      </c>
      <c r="N12272" t="s">
        <v>44759</v>
      </c>
      <c r="O12272" t="s">
        <v>44760</v>
      </c>
      <c r="P12272">
        <v>0</v>
      </c>
      <c r="Q12272">
        <v>16</v>
      </c>
      <c r="R12272" t="s">
        <v>44776</v>
      </c>
      <c r="S12272" t="s">
        <v>45453</v>
      </c>
      <c r="T12272" t="s">
        <v>46357</v>
      </c>
      <c r="U12272" t="s">
        <v>57033</v>
      </c>
      <c r="W12272" t="s">
        <v>41155</v>
      </c>
      <c r="X12272" t="s">
        <v>44781</v>
      </c>
    </row>
    <row r="12273" spans="1:24">
      <c r="A12273">
        <f>HYPERLINK("https://www.philgeps.gov.ph/GEPSNONPILOT/Tender/SplashBidNoticeAbstractUI.aspx?menuIndex=3&amp;refID=7113424&amp;Result=3","7113424")</f>
        <v>0</v>
      </c>
      <c r="B12273" t="s">
        <v>593</v>
      </c>
      <c r="C12273" t="s">
        <v>15430</v>
      </c>
      <c r="D12273" t="s">
        <v>18031</v>
      </c>
      <c r="E12273" t="s">
        <v>28639</v>
      </c>
      <c r="F12273" t="s">
        <v>30900</v>
      </c>
      <c r="G12273" t="s">
        <v>30907</v>
      </c>
      <c r="H12273" t="s">
        <v>30916</v>
      </c>
      <c r="I12273" t="s">
        <v>6834</v>
      </c>
      <c r="J12273" t="s">
        <v>36049</v>
      </c>
      <c r="K12273" t="s">
        <v>40286</v>
      </c>
      <c r="M12273" t="s">
        <v>41155</v>
      </c>
      <c r="N12273" t="s">
        <v>44759</v>
      </c>
      <c r="O12273" t="s">
        <v>44760</v>
      </c>
      <c r="P12273">
        <v>0</v>
      </c>
      <c r="Q12273">
        <v>14</v>
      </c>
      <c r="R12273" t="s">
        <v>44776</v>
      </c>
      <c r="S12273" t="s">
        <v>45453</v>
      </c>
      <c r="T12273" t="s">
        <v>46357</v>
      </c>
      <c r="U12273" t="s">
        <v>57034</v>
      </c>
      <c r="W12273" t="s">
        <v>41155</v>
      </c>
      <c r="X12273" t="s">
        <v>44781</v>
      </c>
    </row>
    <row r="12274" spans="1:24">
      <c r="A12274">
        <f>HYPERLINK("https://www.philgeps.gov.ph/GEPSNONPILOT/Tender/SplashBidNoticeAbstractUI.aspx?menuIndex=3&amp;refID=7114351&amp;Result=3","7114351")</f>
        <v>0</v>
      </c>
      <c r="B12274" t="s">
        <v>155</v>
      </c>
      <c r="C12274" t="s">
        <v>15431</v>
      </c>
      <c r="D12274" t="s">
        <v>17951</v>
      </c>
      <c r="E12274" t="s">
        <v>28640</v>
      </c>
      <c r="F12274" t="s">
        <v>30900</v>
      </c>
      <c r="G12274" t="s">
        <v>30907</v>
      </c>
      <c r="H12274" t="s">
        <v>30916</v>
      </c>
      <c r="I12274" t="s">
        <v>30951</v>
      </c>
      <c r="J12274" t="s">
        <v>31152</v>
      </c>
      <c r="K12274" t="s">
        <v>40286</v>
      </c>
      <c r="M12274" t="s">
        <v>40702</v>
      </c>
      <c r="N12274" t="s">
        <v>44759</v>
      </c>
      <c r="O12274" t="s">
        <v>44760</v>
      </c>
      <c r="Q12274">
        <v>5</v>
      </c>
      <c r="R12274" t="s">
        <v>44776</v>
      </c>
      <c r="S12274" t="s">
        <v>45458</v>
      </c>
      <c r="T12274" t="s">
        <v>46409</v>
      </c>
      <c r="U12274" t="s">
        <v>57035</v>
      </c>
      <c r="V12274" t="s">
        <v>60511</v>
      </c>
      <c r="W12274" t="s">
        <v>40702</v>
      </c>
      <c r="X12274" t="s">
        <v>44781</v>
      </c>
    </row>
    <row r="12275" spans="1:24">
      <c r="A12275">
        <f>HYPERLINK("https://www.philgeps.gov.ph/GEPSNONPILOT/Tender/SplashBidNoticeAbstractUI.aspx?menuIndex=3&amp;refID=7126009&amp;Result=3","7126009")</f>
        <v>0</v>
      </c>
      <c r="B12275" t="s">
        <v>1143</v>
      </c>
      <c r="C12275" t="s">
        <v>15432</v>
      </c>
      <c r="D12275" t="s">
        <v>17990</v>
      </c>
      <c r="E12275" t="s">
        <v>28641</v>
      </c>
      <c r="F12275" t="s">
        <v>30903</v>
      </c>
      <c r="G12275" t="s">
        <v>30909</v>
      </c>
      <c r="H12275" t="s">
        <v>30916</v>
      </c>
      <c r="I12275" t="s">
        <v>4108</v>
      </c>
      <c r="J12275" t="s">
        <v>31298</v>
      </c>
      <c r="K12275" t="s">
        <v>40286</v>
      </c>
      <c r="M12275" t="s">
        <v>42441</v>
      </c>
      <c r="N12275" t="s">
        <v>44759</v>
      </c>
      <c r="O12275" t="s">
        <v>44760</v>
      </c>
      <c r="Q12275">
        <v>3</v>
      </c>
      <c r="R12275" t="s">
        <v>44775</v>
      </c>
      <c r="S12275" t="s">
        <v>45459</v>
      </c>
      <c r="T12275" t="s">
        <v>46414</v>
      </c>
      <c r="U12275" t="s">
        <v>57036</v>
      </c>
      <c r="W12275" t="s">
        <v>42441</v>
      </c>
      <c r="X12275" t="s">
        <v>44776</v>
      </c>
    </row>
    <row r="12276" spans="1:24">
      <c r="A12276">
        <f>HYPERLINK("https://www.philgeps.gov.ph/GEPSNONPILOT/Tender/SplashBidNoticeAbstractUI.aspx?menuIndex=3&amp;refID=7117307&amp;Result=3","7117307")</f>
        <v>0</v>
      </c>
      <c r="B12276" t="s">
        <v>3479</v>
      </c>
      <c r="C12276" t="s">
        <v>15433</v>
      </c>
      <c r="D12276" t="s">
        <v>17959</v>
      </c>
      <c r="E12276" t="s">
        <v>28642</v>
      </c>
      <c r="F12276" t="s">
        <v>30904</v>
      </c>
      <c r="G12276" t="s">
        <v>30907</v>
      </c>
      <c r="H12276" t="s">
        <v>30916</v>
      </c>
      <c r="I12276" t="s">
        <v>30948</v>
      </c>
      <c r="J12276" t="s">
        <v>38687</v>
      </c>
      <c r="K12276" t="s">
        <v>40287</v>
      </c>
      <c r="M12276" t="s">
        <v>44378</v>
      </c>
      <c r="N12276" t="s">
        <v>44759</v>
      </c>
      <c r="O12276" t="s">
        <v>44760</v>
      </c>
      <c r="P12276">
        <v>0</v>
      </c>
      <c r="Q12276">
        <v>3</v>
      </c>
      <c r="R12276" t="s">
        <v>44776</v>
      </c>
      <c r="S12276" t="s">
        <v>45453</v>
      </c>
      <c r="T12276" t="s">
        <v>46699</v>
      </c>
      <c r="U12276" t="s">
        <v>57037</v>
      </c>
      <c r="W12276" t="s">
        <v>44378</v>
      </c>
      <c r="X12276" t="s">
        <v>44780</v>
      </c>
    </row>
    <row r="12277" spans="1:24">
      <c r="A12277">
        <f>HYPERLINK("https://www.philgeps.gov.ph/GEPSNONPILOT/Tender/SplashBidNoticeAbstractUI.aspx?menuIndex=3&amp;refID=7106525&amp;Result=3","7106525")</f>
        <v>0</v>
      </c>
      <c r="B12277" t="s">
        <v>2486</v>
      </c>
      <c r="C12277" t="s">
        <v>15434</v>
      </c>
      <c r="D12277" t="s">
        <v>17978</v>
      </c>
      <c r="E12277" t="s">
        <v>28643</v>
      </c>
      <c r="F12277" t="s">
        <v>30899</v>
      </c>
      <c r="G12277" t="s">
        <v>30907</v>
      </c>
      <c r="H12277" t="s">
        <v>30916</v>
      </c>
      <c r="I12277" t="s">
        <v>8123</v>
      </c>
      <c r="J12277" t="s">
        <v>38688</v>
      </c>
      <c r="K12277" t="s">
        <v>40314</v>
      </c>
      <c r="M12277" t="s">
        <v>43227</v>
      </c>
      <c r="N12277" t="s">
        <v>44759</v>
      </c>
      <c r="O12277" t="s">
        <v>44760</v>
      </c>
      <c r="P12277">
        <v>0</v>
      </c>
      <c r="Q12277">
        <v>0</v>
      </c>
      <c r="R12277" t="s">
        <v>44776</v>
      </c>
      <c r="S12277" t="s">
        <v>45453</v>
      </c>
      <c r="T12277" t="s">
        <v>46357</v>
      </c>
      <c r="U12277" t="s">
        <v>57038</v>
      </c>
      <c r="V12277" t="s">
        <v>59933</v>
      </c>
      <c r="W12277" t="s">
        <v>43227</v>
      </c>
      <c r="X12277" t="s">
        <v>44784</v>
      </c>
    </row>
    <row r="12278" spans="1:24">
      <c r="A12278">
        <f>HYPERLINK("https://www.philgeps.gov.ph/GEPSNONPILOT/Tender/SplashBidNoticeAbstractUI.aspx?menuIndex=3&amp;refID=7117175&amp;Result=3","7117175")</f>
        <v>0</v>
      </c>
      <c r="B12278" t="s">
        <v>3480</v>
      </c>
      <c r="C12278" t="s">
        <v>15435</v>
      </c>
      <c r="D12278" t="s">
        <v>18002</v>
      </c>
      <c r="E12278" t="s">
        <v>28644</v>
      </c>
      <c r="F12278" t="s">
        <v>30900</v>
      </c>
      <c r="G12278" t="s">
        <v>30907</v>
      </c>
      <c r="H12278" t="s">
        <v>30915</v>
      </c>
      <c r="I12278" t="s">
        <v>30919</v>
      </c>
      <c r="J12278" t="s">
        <v>38689</v>
      </c>
      <c r="K12278" t="s">
        <v>40286</v>
      </c>
      <c r="M12278" t="s">
        <v>44379</v>
      </c>
      <c r="N12278" t="s">
        <v>44759</v>
      </c>
      <c r="O12278" t="s">
        <v>44760</v>
      </c>
      <c r="P12278">
        <v>0</v>
      </c>
      <c r="Q12278">
        <v>1</v>
      </c>
      <c r="R12278" t="s">
        <v>44776</v>
      </c>
      <c r="S12278" t="s">
        <v>45453</v>
      </c>
      <c r="T12278" t="s">
        <v>46357</v>
      </c>
      <c r="U12278" t="s">
        <v>57039</v>
      </c>
      <c r="W12278" t="s">
        <v>44379</v>
      </c>
      <c r="X12278" t="s">
        <v>44780</v>
      </c>
    </row>
    <row r="12279" spans="1:24">
      <c r="A12279">
        <f>HYPERLINK("https://www.philgeps.gov.ph/GEPSNONPILOT/Tender/SplashBidNoticeAbstractUI.aspx?menuIndex=3&amp;refID=7116975&amp;Result=3","7116975")</f>
        <v>0</v>
      </c>
      <c r="B12279" t="s">
        <v>1581</v>
      </c>
      <c r="C12279" t="s">
        <v>4850</v>
      </c>
      <c r="D12279" t="s">
        <v>17961</v>
      </c>
      <c r="E12279" t="s">
        <v>28645</v>
      </c>
      <c r="F12279" t="s">
        <v>30900</v>
      </c>
      <c r="G12279" t="s">
        <v>30907</v>
      </c>
      <c r="H12279" t="s">
        <v>30916</v>
      </c>
      <c r="I12279" t="s">
        <v>30939</v>
      </c>
      <c r="J12279" t="s">
        <v>36920</v>
      </c>
      <c r="K12279" t="s">
        <v>40466</v>
      </c>
      <c r="M12279" t="s">
        <v>42228</v>
      </c>
      <c r="N12279" t="s">
        <v>44759</v>
      </c>
      <c r="O12279" t="s">
        <v>44760</v>
      </c>
      <c r="P12279">
        <v>0</v>
      </c>
      <c r="Q12279">
        <v>1</v>
      </c>
      <c r="R12279" t="s">
        <v>44776</v>
      </c>
      <c r="S12279" t="s">
        <v>45453</v>
      </c>
      <c r="T12279" t="s">
        <v>46390</v>
      </c>
      <c r="U12279" t="s">
        <v>57040</v>
      </c>
      <c r="V12279" t="s">
        <v>59558</v>
      </c>
      <c r="W12279" t="s">
        <v>42228</v>
      </c>
      <c r="X12279" t="s">
        <v>44780</v>
      </c>
    </row>
    <row r="12280" spans="1:24">
      <c r="A12280">
        <f>HYPERLINK("https://www.philgeps.gov.ph/GEPSNONPILOT/Tender/SplashBidNoticeAbstractUI.aspx?menuIndex=3&amp;refID=7117261&amp;Result=3","7117261")</f>
        <v>0</v>
      </c>
      <c r="B12280" t="s">
        <v>1641</v>
      </c>
      <c r="C12280" t="s">
        <v>15436</v>
      </c>
      <c r="D12280" t="s">
        <v>17981</v>
      </c>
      <c r="E12280" t="s">
        <v>28646</v>
      </c>
      <c r="F12280" t="s">
        <v>30900</v>
      </c>
      <c r="G12280" t="s">
        <v>30907</v>
      </c>
      <c r="H12280" t="s">
        <v>30915</v>
      </c>
      <c r="I12280" t="s">
        <v>30919</v>
      </c>
      <c r="J12280" t="s">
        <v>38690</v>
      </c>
      <c r="K12280" t="s">
        <v>40292</v>
      </c>
      <c r="M12280" t="s">
        <v>42297</v>
      </c>
      <c r="N12280" t="s">
        <v>44759</v>
      </c>
      <c r="O12280" t="s">
        <v>44760</v>
      </c>
      <c r="Q12280">
        <v>32</v>
      </c>
      <c r="R12280" t="s">
        <v>44776</v>
      </c>
      <c r="S12280" t="s">
        <v>45460</v>
      </c>
      <c r="T12280" t="s">
        <v>46487</v>
      </c>
      <c r="U12280" t="s">
        <v>57041</v>
      </c>
      <c r="W12280" t="s">
        <v>42297</v>
      </c>
      <c r="X12280" t="s">
        <v>44780</v>
      </c>
    </row>
    <row r="12281" spans="1:24">
      <c r="A12281">
        <f>HYPERLINK("https://www.philgeps.gov.ph/GEPSNONPILOT/Tender/SplashBidNoticeAbstractUI.aspx?menuIndex=3&amp;refID=7113590&amp;Result=3","7113590")</f>
        <v>0</v>
      </c>
      <c r="B12281" t="s">
        <v>2066</v>
      </c>
      <c r="C12281" t="s">
        <v>15437</v>
      </c>
      <c r="D12281" t="s">
        <v>17971</v>
      </c>
      <c r="E12281" t="s">
        <v>28647</v>
      </c>
      <c r="F12281" t="s">
        <v>30900</v>
      </c>
      <c r="G12281" t="s">
        <v>30907</v>
      </c>
      <c r="H12281" t="s">
        <v>30916</v>
      </c>
      <c r="I12281" t="s">
        <v>4050</v>
      </c>
      <c r="J12281" t="s">
        <v>38691</v>
      </c>
      <c r="K12281" t="s">
        <v>40286</v>
      </c>
      <c r="L12281" t="s">
        <v>2066</v>
      </c>
      <c r="M12281" t="s">
        <v>44377</v>
      </c>
      <c r="N12281" t="s">
        <v>44759</v>
      </c>
      <c r="O12281" t="s">
        <v>44760</v>
      </c>
      <c r="P12281">
        <v>0</v>
      </c>
      <c r="Q12281">
        <v>9</v>
      </c>
      <c r="R12281" t="s">
        <v>44776</v>
      </c>
      <c r="S12281" t="s">
        <v>45453</v>
      </c>
      <c r="T12281" t="s">
        <v>46399</v>
      </c>
      <c r="U12281" t="s">
        <v>51831</v>
      </c>
      <c r="W12281" t="s">
        <v>44377</v>
      </c>
      <c r="X12281" t="s">
        <v>44781</v>
      </c>
    </row>
    <row r="12282" spans="1:24">
      <c r="A12282">
        <f>HYPERLINK("https://www.philgeps.gov.ph/GEPSNONPILOT/Tender/SplashBidNoticeAbstractUI.aspx?menuIndex=3&amp;refID=7116893&amp;Result=3","7116893")</f>
        <v>0</v>
      </c>
      <c r="B12282" t="s">
        <v>3481</v>
      </c>
      <c r="C12282" t="s">
        <v>15438</v>
      </c>
      <c r="D12282" t="s">
        <v>17951</v>
      </c>
      <c r="E12282" t="s">
        <v>20095</v>
      </c>
      <c r="F12282" t="s">
        <v>30900</v>
      </c>
      <c r="G12282" t="s">
        <v>30907</v>
      </c>
      <c r="H12282" t="s">
        <v>30915</v>
      </c>
      <c r="I12282" t="s">
        <v>30919</v>
      </c>
      <c r="J12282" t="s">
        <v>38692</v>
      </c>
      <c r="K12282" t="s">
        <v>40286</v>
      </c>
      <c r="M12282" t="s">
        <v>44380</v>
      </c>
      <c r="N12282" t="s">
        <v>44759</v>
      </c>
      <c r="O12282" t="s">
        <v>44760</v>
      </c>
      <c r="P12282">
        <v>0</v>
      </c>
      <c r="Q12282">
        <v>0</v>
      </c>
      <c r="R12282" t="s">
        <v>44776</v>
      </c>
      <c r="S12282" t="s">
        <v>45453</v>
      </c>
      <c r="T12282" t="s">
        <v>46387</v>
      </c>
      <c r="U12282" t="s">
        <v>57042</v>
      </c>
      <c r="W12282" t="s">
        <v>44380</v>
      </c>
      <c r="X12282" t="s">
        <v>44780</v>
      </c>
    </row>
    <row r="12283" spans="1:24">
      <c r="A12283">
        <f>HYPERLINK("https://www.philgeps.gov.ph/GEPSNONPILOT/Tender/SplashBidNoticeAbstractUI.aspx?menuIndex=3&amp;refID=7117728&amp;Result=3","7117728")</f>
        <v>0</v>
      </c>
      <c r="B12283" t="s">
        <v>3482</v>
      </c>
      <c r="C12283" t="s">
        <v>15439</v>
      </c>
      <c r="D12283" t="s">
        <v>17990</v>
      </c>
      <c r="E12283" t="s">
        <v>20674</v>
      </c>
      <c r="F12283" t="s">
        <v>30900</v>
      </c>
      <c r="G12283" t="s">
        <v>30907</v>
      </c>
      <c r="H12283" t="s">
        <v>30915</v>
      </c>
      <c r="I12283" t="s">
        <v>30919</v>
      </c>
      <c r="J12283" t="s">
        <v>31897</v>
      </c>
      <c r="K12283" t="s">
        <v>40341</v>
      </c>
      <c r="M12283" t="s">
        <v>44381</v>
      </c>
      <c r="N12283" t="s">
        <v>44759</v>
      </c>
      <c r="O12283" t="s">
        <v>44760</v>
      </c>
      <c r="P12283">
        <v>0</v>
      </c>
      <c r="Q12283">
        <v>0</v>
      </c>
      <c r="R12283" t="s">
        <v>44776</v>
      </c>
      <c r="S12283" t="s">
        <v>45453</v>
      </c>
      <c r="T12283" t="s">
        <v>46421</v>
      </c>
      <c r="U12283" t="s">
        <v>57043</v>
      </c>
      <c r="V12283" t="s">
        <v>60512</v>
      </c>
      <c r="W12283" t="s">
        <v>44381</v>
      </c>
      <c r="X12283" t="s">
        <v>44780</v>
      </c>
    </row>
    <row r="12284" spans="1:24">
      <c r="A12284">
        <f>HYPERLINK("https://www.philgeps.gov.ph/GEPSNONPILOT/Tender/SplashBidNoticeAbstractUI.aspx?menuIndex=3&amp;refID=7114407&amp;Result=3","7114407")</f>
        <v>0</v>
      </c>
      <c r="B12284" t="s">
        <v>932</v>
      </c>
      <c r="C12284" t="s">
        <v>15440</v>
      </c>
      <c r="D12284" t="s">
        <v>17959</v>
      </c>
      <c r="E12284" t="s">
        <v>28648</v>
      </c>
      <c r="F12284" t="s">
        <v>30900</v>
      </c>
      <c r="G12284" t="s">
        <v>30907</v>
      </c>
      <c r="H12284" t="s">
        <v>30916</v>
      </c>
      <c r="I12284" t="s">
        <v>4142</v>
      </c>
      <c r="J12284" t="s">
        <v>38693</v>
      </c>
      <c r="K12284" t="s">
        <v>40283</v>
      </c>
      <c r="M12284" t="s">
        <v>44375</v>
      </c>
      <c r="N12284" t="s">
        <v>44759</v>
      </c>
      <c r="O12284" t="s">
        <v>44760</v>
      </c>
      <c r="P12284">
        <v>0</v>
      </c>
      <c r="Q12284">
        <v>0</v>
      </c>
      <c r="R12284" t="s">
        <v>44776</v>
      </c>
      <c r="S12284" t="s">
        <v>45453</v>
      </c>
      <c r="T12284" t="s">
        <v>46421</v>
      </c>
      <c r="U12284" t="s">
        <v>48263</v>
      </c>
      <c r="W12284" t="s">
        <v>44375</v>
      </c>
      <c r="X12284" t="s">
        <v>44781</v>
      </c>
    </row>
    <row r="12285" spans="1:24">
      <c r="A12285">
        <f>HYPERLINK("https://www.philgeps.gov.ph/GEPSNONPILOT/Tender/SplashBidNoticeAbstractUI.aspx?menuIndex=3&amp;refID=7116377&amp;Result=3","7116377")</f>
        <v>0</v>
      </c>
      <c r="B12285" t="s">
        <v>1177</v>
      </c>
      <c r="C12285" t="s">
        <v>15441</v>
      </c>
      <c r="D12285" t="s">
        <v>17975</v>
      </c>
      <c r="E12285" t="s">
        <v>28649</v>
      </c>
      <c r="F12285" t="s">
        <v>30900</v>
      </c>
      <c r="G12285" t="s">
        <v>30907</v>
      </c>
      <c r="H12285" t="s">
        <v>30915</v>
      </c>
      <c r="I12285" t="s">
        <v>30919</v>
      </c>
      <c r="J12285" t="s">
        <v>38694</v>
      </c>
      <c r="K12285" t="s">
        <v>40280</v>
      </c>
      <c r="M12285" t="s">
        <v>41784</v>
      </c>
      <c r="N12285" t="s">
        <v>44759</v>
      </c>
      <c r="O12285" t="s">
        <v>44760</v>
      </c>
      <c r="P12285">
        <v>0</v>
      </c>
      <c r="Q12285">
        <v>1</v>
      </c>
      <c r="R12285" t="s">
        <v>44776</v>
      </c>
      <c r="S12285" t="s">
        <v>45453</v>
      </c>
      <c r="T12285" t="s">
        <v>46389</v>
      </c>
      <c r="U12285" t="s">
        <v>57044</v>
      </c>
      <c r="W12285" t="s">
        <v>41784</v>
      </c>
      <c r="X12285" t="s">
        <v>44780</v>
      </c>
    </row>
    <row r="12286" spans="1:24">
      <c r="A12286">
        <f>HYPERLINK("https://www.philgeps.gov.ph/GEPSNONPILOT/Tender/SplashBidNoticeAbstractUI.aspx?menuIndex=3&amp;refID=7116375&amp;Result=3","7116375")</f>
        <v>0</v>
      </c>
      <c r="B12286" t="s">
        <v>1177</v>
      </c>
      <c r="C12286" t="s">
        <v>15442</v>
      </c>
      <c r="D12286" t="s">
        <v>17975</v>
      </c>
      <c r="E12286" t="s">
        <v>28650</v>
      </c>
      <c r="F12286" t="s">
        <v>30900</v>
      </c>
      <c r="G12286" t="s">
        <v>30907</v>
      </c>
      <c r="H12286" t="s">
        <v>30915</v>
      </c>
      <c r="I12286" t="s">
        <v>30919</v>
      </c>
      <c r="J12286" t="s">
        <v>38695</v>
      </c>
      <c r="K12286" t="s">
        <v>40280</v>
      </c>
      <c r="M12286" t="s">
        <v>41784</v>
      </c>
      <c r="N12286" t="s">
        <v>44759</v>
      </c>
      <c r="O12286" t="s">
        <v>44760</v>
      </c>
      <c r="P12286">
        <v>0</v>
      </c>
      <c r="Q12286">
        <v>1</v>
      </c>
      <c r="R12286" t="s">
        <v>44776</v>
      </c>
      <c r="S12286" t="s">
        <v>45453</v>
      </c>
      <c r="T12286" t="s">
        <v>46389</v>
      </c>
      <c r="U12286" t="s">
        <v>57045</v>
      </c>
      <c r="W12286" t="s">
        <v>41784</v>
      </c>
      <c r="X12286" t="s">
        <v>44780</v>
      </c>
    </row>
    <row r="12287" spans="1:24">
      <c r="A12287">
        <f>HYPERLINK("https://www.philgeps.gov.ph/GEPSNONPILOT/Tender/SplashBidNoticeAbstractUI.aspx?menuIndex=3&amp;refID=7116280&amp;Result=3","7116280")</f>
        <v>0</v>
      </c>
      <c r="B12287" t="s">
        <v>3483</v>
      </c>
      <c r="C12287" t="s">
        <v>15443</v>
      </c>
      <c r="D12287" t="s">
        <v>17978</v>
      </c>
      <c r="E12287" t="s">
        <v>28651</v>
      </c>
      <c r="F12287" t="s">
        <v>30900</v>
      </c>
      <c r="G12287" t="s">
        <v>30907</v>
      </c>
      <c r="H12287" t="s">
        <v>30916</v>
      </c>
      <c r="I12287" t="s">
        <v>30934</v>
      </c>
      <c r="J12287" t="s">
        <v>31049</v>
      </c>
      <c r="K12287" t="s">
        <v>40291</v>
      </c>
      <c r="M12287" t="s">
        <v>44382</v>
      </c>
      <c r="N12287" t="s">
        <v>44759</v>
      </c>
      <c r="O12287" t="s">
        <v>44760</v>
      </c>
      <c r="P12287">
        <v>0</v>
      </c>
      <c r="Q12287">
        <v>2</v>
      </c>
      <c r="R12287" t="s">
        <v>44776</v>
      </c>
      <c r="S12287" t="s">
        <v>45453</v>
      </c>
      <c r="T12287" t="s">
        <v>46357</v>
      </c>
      <c r="U12287" t="s">
        <v>57046</v>
      </c>
      <c r="W12287" t="s">
        <v>44382</v>
      </c>
      <c r="X12287" t="s">
        <v>44781</v>
      </c>
    </row>
    <row r="12288" spans="1:24">
      <c r="A12288">
        <f>HYPERLINK("https://www.philgeps.gov.ph/GEPSNONPILOT/Tender/SplashBidNoticeAbstractUI.aspx?menuIndex=3&amp;refID=7115932&amp;Result=3","7115932")</f>
        <v>0</v>
      </c>
      <c r="B12288" t="s">
        <v>92</v>
      </c>
      <c r="C12288" t="s">
        <v>15444</v>
      </c>
      <c r="D12288" t="s">
        <v>17959</v>
      </c>
      <c r="E12288" t="s">
        <v>28652</v>
      </c>
      <c r="F12288" t="s">
        <v>30900</v>
      </c>
      <c r="G12288" t="s">
        <v>30907</v>
      </c>
      <c r="H12288" t="s">
        <v>30916</v>
      </c>
      <c r="I12288" t="s">
        <v>30947</v>
      </c>
      <c r="J12288" t="s">
        <v>38696</v>
      </c>
      <c r="K12288" t="s">
        <v>40362</v>
      </c>
      <c r="M12288" t="s">
        <v>40639</v>
      </c>
      <c r="N12288" t="s">
        <v>44759</v>
      </c>
      <c r="O12288" t="s">
        <v>44760</v>
      </c>
      <c r="P12288">
        <v>0</v>
      </c>
      <c r="Q12288">
        <v>5</v>
      </c>
      <c r="R12288" t="s">
        <v>44776</v>
      </c>
      <c r="S12288" t="s">
        <v>45453</v>
      </c>
      <c r="T12288" t="s">
        <v>46421</v>
      </c>
      <c r="U12288" t="s">
        <v>57047</v>
      </c>
      <c r="W12288" t="s">
        <v>40639</v>
      </c>
      <c r="X12288" t="s">
        <v>44781</v>
      </c>
    </row>
    <row r="12289" spans="1:24">
      <c r="A12289">
        <f>HYPERLINK("https://www.philgeps.gov.ph/GEPSNONPILOT/Tender/SplashBidNoticeAbstractUI.aspx?menuIndex=3&amp;refID=7115629&amp;Result=3","7115629")</f>
        <v>0</v>
      </c>
      <c r="B12289" t="s">
        <v>3484</v>
      </c>
      <c r="C12289" t="s">
        <v>15445</v>
      </c>
      <c r="D12289" t="s">
        <v>17960</v>
      </c>
      <c r="E12289" t="s">
        <v>28653</v>
      </c>
      <c r="F12289" t="s">
        <v>30900</v>
      </c>
      <c r="G12289" t="s">
        <v>30907</v>
      </c>
      <c r="H12289" t="s">
        <v>30916</v>
      </c>
      <c r="I12289" t="s">
        <v>8123</v>
      </c>
      <c r="J12289" t="s">
        <v>38697</v>
      </c>
      <c r="K12289" t="s">
        <v>40284</v>
      </c>
      <c r="M12289" t="s">
        <v>44383</v>
      </c>
      <c r="N12289" t="s">
        <v>44759</v>
      </c>
      <c r="O12289" t="s">
        <v>44760</v>
      </c>
      <c r="P12289">
        <v>0</v>
      </c>
      <c r="Q12289">
        <v>1</v>
      </c>
      <c r="R12289" t="s">
        <v>44776</v>
      </c>
      <c r="S12289" t="s">
        <v>45453</v>
      </c>
      <c r="T12289" t="s">
        <v>46399</v>
      </c>
      <c r="U12289" t="s">
        <v>57048</v>
      </c>
      <c r="W12289" t="s">
        <v>44383</v>
      </c>
      <c r="X12289" t="s">
        <v>44781</v>
      </c>
    </row>
    <row r="12290" spans="1:24">
      <c r="A12290">
        <f>HYPERLINK("https://www.philgeps.gov.ph/GEPSNONPILOT/Tender/SplashBidNoticeAbstractUI.aspx?menuIndex=3&amp;refID=7116484&amp;Result=3","7116484")</f>
        <v>0</v>
      </c>
      <c r="B12290" t="s">
        <v>86</v>
      </c>
      <c r="C12290" t="s">
        <v>15446</v>
      </c>
      <c r="D12290" t="s">
        <v>17963</v>
      </c>
      <c r="E12290" t="s">
        <v>28654</v>
      </c>
      <c r="F12290" t="s">
        <v>30900</v>
      </c>
      <c r="G12290" t="s">
        <v>30907</v>
      </c>
      <c r="H12290" t="s">
        <v>30915</v>
      </c>
      <c r="I12290" t="s">
        <v>30919</v>
      </c>
      <c r="J12290" t="s">
        <v>38698</v>
      </c>
      <c r="K12290" t="s">
        <v>40292</v>
      </c>
      <c r="M12290" t="s">
        <v>40633</v>
      </c>
      <c r="N12290" t="s">
        <v>44759</v>
      </c>
      <c r="O12290" t="s">
        <v>44760</v>
      </c>
      <c r="P12290">
        <v>0</v>
      </c>
      <c r="Q12290">
        <v>0</v>
      </c>
      <c r="R12290" t="s">
        <v>44776</v>
      </c>
      <c r="S12290" t="s">
        <v>45453</v>
      </c>
      <c r="T12290" t="s">
        <v>46373</v>
      </c>
      <c r="U12290" t="s">
        <v>57049</v>
      </c>
      <c r="W12290" t="s">
        <v>40633</v>
      </c>
      <c r="X12290" t="s">
        <v>44780</v>
      </c>
    </row>
    <row r="12291" spans="1:24">
      <c r="A12291">
        <f>HYPERLINK("https://www.philgeps.gov.ph/GEPSNONPILOT/Tender/SplashBidNoticeAbstractUI.aspx?menuIndex=3&amp;refID=7116392&amp;Result=3","7116392")</f>
        <v>0</v>
      </c>
      <c r="B12291" t="s">
        <v>86</v>
      </c>
      <c r="C12291" t="s">
        <v>15447</v>
      </c>
      <c r="D12291" t="s">
        <v>17963</v>
      </c>
      <c r="E12291" t="s">
        <v>28655</v>
      </c>
      <c r="F12291" t="s">
        <v>30900</v>
      </c>
      <c r="G12291" t="s">
        <v>30907</v>
      </c>
      <c r="H12291" t="s">
        <v>30915</v>
      </c>
      <c r="I12291" t="s">
        <v>30919</v>
      </c>
      <c r="J12291" t="s">
        <v>38699</v>
      </c>
      <c r="K12291" t="s">
        <v>40280</v>
      </c>
      <c r="M12291" t="s">
        <v>40633</v>
      </c>
      <c r="N12291" t="s">
        <v>44759</v>
      </c>
      <c r="O12291" t="s">
        <v>44760</v>
      </c>
      <c r="P12291">
        <v>0</v>
      </c>
      <c r="Q12291">
        <v>0</v>
      </c>
      <c r="R12291" t="s">
        <v>44776</v>
      </c>
      <c r="S12291" t="s">
        <v>45453</v>
      </c>
      <c r="T12291" t="s">
        <v>46373</v>
      </c>
      <c r="U12291" t="s">
        <v>57050</v>
      </c>
      <c r="W12291" t="s">
        <v>40633</v>
      </c>
      <c r="X12291" t="s">
        <v>44780</v>
      </c>
    </row>
    <row r="12292" spans="1:24">
      <c r="A12292">
        <f>HYPERLINK("https://www.philgeps.gov.ph/GEPSNONPILOT/Tender/SplashBidNoticeAbstractUI.aspx?menuIndex=3&amp;refID=7116448&amp;Result=3","7116448")</f>
        <v>0</v>
      </c>
      <c r="B12292" t="s">
        <v>86</v>
      </c>
      <c r="C12292" t="s">
        <v>15448</v>
      </c>
      <c r="D12292" t="s">
        <v>17963</v>
      </c>
      <c r="E12292" t="s">
        <v>28656</v>
      </c>
      <c r="F12292" t="s">
        <v>30900</v>
      </c>
      <c r="G12292" t="s">
        <v>30907</v>
      </c>
      <c r="H12292" t="s">
        <v>30915</v>
      </c>
      <c r="I12292" t="s">
        <v>30919</v>
      </c>
      <c r="J12292" t="s">
        <v>38698</v>
      </c>
      <c r="K12292" t="s">
        <v>40292</v>
      </c>
      <c r="M12292" t="s">
        <v>40633</v>
      </c>
      <c r="N12292" t="s">
        <v>44759</v>
      </c>
      <c r="O12292" t="s">
        <v>44760</v>
      </c>
      <c r="P12292">
        <v>0</v>
      </c>
      <c r="Q12292">
        <v>0</v>
      </c>
      <c r="R12292" t="s">
        <v>44776</v>
      </c>
      <c r="S12292" t="s">
        <v>45453</v>
      </c>
      <c r="T12292" t="s">
        <v>46373</v>
      </c>
      <c r="U12292" t="s">
        <v>57049</v>
      </c>
      <c r="W12292" t="s">
        <v>40633</v>
      </c>
      <c r="X12292" t="s">
        <v>44780</v>
      </c>
    </row>
    <row r="12293" spans="1:24">
      <c r="A12293">
        <f>HYPERLINK("https://www.philgeps.gov.ph/GEPSNONPILOT/Tender/SplashBidNoticeAbstractUI.aspx?menuIndex=3&amp;refID=7116621&amp;Result=3","7116621")</f>
        <v>0</v>
      </c>
      <c r="B12293" t="s">
        <v>591</v>
      </c>
      <c r="C12293" t="s">
        <v>15449</v>
      </c>
      <c r="D12293" t="s">
        <v>17998</v>
      </c>
      <c r="E12293" t="s">
        <v>28657</v>
      </c>
      <c r="F12293" t="s">
        <v>30900</v>
      </c>
      <c r="G12293" t="s">
        <v>30907</v>
      </c>
      <c r="H12293" t="s">
        <v>30916</v>
      </c>
      <c r="I12293" t="s">
        <v>30918</v>
      </c>
      <c r="J12293" t="s">
        <v>31412</v>
      </c>
      <c r="K12293" t="s">
        <v>40286</v>
      </c>
      <c r="M12293" t="s">
        <v>41247</v>
      </c>
      <c r="N12293" t="s">
        <v>44759</v>
      </c>
      <c r="O12293" t="s">
        <v>44760</v>
      </c>
      <c r="P12293">
        <v>0</v>
      </c>
      <c r="Q12293">
        <v>24</v>
      </c>
      <c r="R12293" t="s">
        <v>44776</v>
      </c>
      <c r="S12293" t="s">
        <v>45453</v>
      </c>
      <c r="T12293" t="s">
        <v>46366</v>
      </c>
      <c r="U12293" t="s">
        <v>47981</v>
      </c>
      <c r="V12293" t="s">
        <v>59259</v>
      </c>
      <c r="W12293" t="s">
        <v>41247</v>
      </c>
      <c r="X12293" t="s">
        <v>44780</v>
      </c>
    </row>
    <row r="12294" spans="1:24">
      <c r="A12294">
        <f>HYPERLINK("https://www.philgeps.gov.ph/GEPSNONPILOT/Tender/SplashBidNoticeAbstractUI.aspx?menuIndex=3&amp;refID=7126323&amp;Result=3","7126323")</f>
        <v>0</v>
      </c>
      <c r="B12294" t="s">
        <v>3471</v>
      </c>
      <c r="C12294" t="s">
        <v>15450</v>
      </c>
      <c r="D12294" t="s">
        <v>17984</v>
      </c>
      <c r="E12294" t="s">
        <v>28658</v>
      </c>
      <c r="F12294" t="s">
        <v>30900</v>
      </c>
      <c r="G12294" t="s">
        <v>30907</v>
      </c>
      <c r="H12294" t="s">
        <v>30915</v>
      </c>
      <c r="I12294" t="s">
        <v>30919</v>
      </c>
      <c r="J12294" t="s">
        <v>38700</v>
      </c>
      <c r="K12294" t="s">
        <v>40325</v>
      </c>
      <c r="M12294" t="s">
        <v>44368</v>
      </c>
      <c r="N12294" t="s">
        <v>44759</v>
      </c>
      <c r="O12294" t="s">
        <v>44760</v>
      </c>
      <c r="P12294">
        <v>0</v>
      </c>
      <c r="Q12294">
        <v>0</v>
      </c>
      <c r="R12294" t="s">
        <v>44775</v>
      </c>
      <c r="S12294" t="s">
        <v>45343</v>
      </c>
      <c r="T12294" t="s">
        <v>46425</v>
      </c>
      <c r="U12294" t="s">
        <v>57051</v>
      </c>
      <c r="W12294" t="s">
        <v>44368</v>
      </c>
      <c r="X12294" t="s">
        <v>44776</v>
      </c>
    </row>
    <row r="12295" spans="1:24">
      <c r="A12295">
        <f>HYPERLINK("https://www.philgeps.gov.ph/GEPSNONPILOT/Tender/SplashBidNoticeAbstractUI.aspx?menuIndex=3&amp;refID=7114796&amp;Result=3","7114796")</f>
        <v>0</v>
      </c>
      <c r="B12295" t="s">
        <v>2777</v>
      </c>
      <c r="C12295" t="s">
        <v>15451</v>
      </c>
      <c r="D12295" t="s">
        <v>17993</v>
      </c>
      <c r="E12295" t="s">
        <v>28659</v>
      </c>
      <c r="F12295" t="s">
        <v>30900</v>
      </c>
      <c r="G12295" t="s">
        <v>30907</v>
      </c>
      <c r="H12295" t="s">
        <v>30915</v>
      </c>
      <c r="I12295" t="s">
        <v>30919</v>
      </c>
      <c r="J12295" t="s">
        <v>36049</v>
      </c>
      <c r="K12295" t="s">
        <v>40304</v>
      </c>
      <c r="M12295" t="s">
        <v>43559</v>
      </c>
      <c r="N12295" t="s">
        <v>44759</v>
      </c>
      <c r="O12295" t="s">
        <v>44760</v>
      </c>
      <c r="P12295">
        <v>0</v>
      </c>
      <c r="Q12295">
        <v>2</v>
      </c>
      <c r="R12295" t="s">
        <v>44776</v>
      </c>
      <c r="S12295" t="s">
        <v>45453</v>
      </c>
      <c r="T12295" t="s">
        <v>46683</v>
      </c>
      <c r="U12295" t="s">
        <v>57052</v>
      </c>
      <c r="W12295" t="s">
        <v>43559</v>
      </c>
      <c r="X12295" t="s">
        <v>44781</v>
      </c>
    </row>
    <row r="12296" spans="1:24">
      <c r="A12296">
        <f>HYPERLINK("https://www.philgeps.gov.ph/GEPSNONPILOT/Tender/SplashBidNoticeAbstractUI.aspx?menuIndex=3&amp;refID=7113119&amp;Result=3","7113119")</f>
        <v>0</v>
      </c>
      <c r="B12296" t="s">
        <v>1177</v>
      </c>
      <c r="C12296" t="s">
        <v>15452</v>
      </c>
      <c r="D12296" t="s">
        <v>17975</v>
      </c>
      <c r="E12296" t="s">
        <v>28660</v>
      </c>
      <c r="F12296" t="s">
        <v>30900</v>
      </c>
      <c r="G12296" t="s">
        <v>30907</v>
      </c>
      <c r="H12296" t="s">
        <v>30915</v>
      </c>
      <c r="I12296" t="s">
        <v>30919</v>
      </c>
      <c r="J12296" t="s">
        <v>38701</v>
      </c>
      <c r="K12296" t="s">
        <v>40301</v>
      </c>
      <c r="M12296" t="s">
        <v>41784</v>
      </c>
      <c r="N12296" t="s">
        <v>44759</v>
      </c>
      <c r="O12296" t="s">
        <v>44760</v>
      </c>
      <c r="P12296">
        <v>0</v>
      </c>
      <c r="Q12296">
        <v>4</v>
      </c>
      <c r="R12296" t="s">
        <v>44776</v>
      </c>
      <c r="S12296" t="s">
        <v>45453</v>
      </c>
      <c r="T12296" t="s">
        <v>46389</v>
      </c>
      <c r="U12296" t="s">
        <v>57053</v>
      </c>
      <c r="W12296" t="s">
        <v>41784</v>
      </c>
      <c r="X12296" t="s">
        <v>44781</v>
      </c>
    </row>
    <row r="12297" spans="1:24">
      <c r="A12297">
        <f>HYPERLINK("https://www.philgeps.gov.ph/GEPSNONPILOT/Tender/SplashBidNoticeAbstractUI.aspx?menuIndex=3&amp;refID=7114590&amp;Result=3","7114590")</f>
        <v>0</v>
      </c>
      <c r="B12297" t="s">
        <v>932</v>
      </c>
      <c r="C12297" t="s">
        <v>15453</v>
      </c>
      <c r="D12297" t="s">
        <v>17959</v>
      </c>
      <c r="E12297" t="s">
        <v>28661</v>
      </c>
      <c r="F12297" t="s">
        <v>30900</v>
      </c>
      <c r="G12297" t="s">
        <v>30907</v>
      </c>
      <c r="H12297" t="s">
        <v>30916</v>
      </c>
      <c r="I12297" t="s">
        <v>4108</v>
      </c>
      <c r="J12297" t="s">
        <v>38702</v>
      </c>
      <c r="K12297" t="s">
        <v>40283</v>
      </c>
      <c r="M12297" t="s">
        <v>44375</v>
      </c>
      <c r="N12297" t="s">
        <v>44759</v>
      </c>
      <c r="O12297" t="s">
        <v>44760</v>
      </c>
      <c r="P12297">
        <v>0</v>
      </c>
      <c r="Q12297">
        <v>0</v>
      </c>
      <c r="R12297" t="s">
        <v>44776</v>
      </c>
      <c r="S12297" t="s">
        <v>45453</v>
      </c>
      <c r="T12297" t="s">
        <v>46399</v>
      </c>
      <c r="U12297" t="s">
        <v>57030</v>
      </c>
      <c r="W12297" t="s">
        <v>44375</v>
      </c>
      <c r="X12297" t="s">
        <v>44781</v>
      </c>
    </row>
    <row r="12298" spans="1:24">
      <c r="A12298">
        <f>HYPERLINK("https://www.philgeps.gov.ph/GEPSNONPILOT/Tender/SplashBidNoticeAbstractUI.aspx?menuIndex=3&amp;refID=7113131&amp;Result=3","7113131")</f>
        <v>0</v>
      </c>
      <c r="B12298" t="s">
        <v>1177</v>
      </c>
      <c r="C12298" t="s">
        <v>12249</v>
      </c>
      <c r="D12298" t="s">
        <v>17975</v>
      </c>
      <c r="E12298" t="s">
        <v>28662</v>
      </c>
      <c r="F12298" t="s">
        <v>30900</v>
      </c>
      <c r="G12298" t="s">
        <v>30907</v>
      </c>
      <c r="H12298" t="s">
        <v>30915</v>
      </c>
      <c r="I12298" t="s">
        <v>30919</v>
      </c>
      <c r="J12298" t="s">
        <v>38703</v>
      </c>
      <c r="K12298" t="s">
        <v>40354</v>
      </c>
      <c r="M12298" t="s">
        <v>41784</v>
      </c>
      <c r="N12298" t="s">
        <v>44759</v>
      </c>
      <c r="O12298" t="s">
        <v>44760</v>
      </c>
      <c r="P12298">
        <v>0</v>
      </c>
      <c r="Q12298">
        <v>1</v>
      </c>
      <c r="R12298" t="s">
        <v>44776</v>
      </c>
      <c r="S12298" t="s">
        <v>45453</v>
      </c>
      <c r="T12298" t="s">
        <v>46389</v>
      </c>
      <c r="U12298" t="s">
        <v>57054</v>
      </c>
      <c r="W12298" t="s">
        <v>41784</v>
      </c>
      <c r="X12298" t="s">
        <v>44781</v>
      </c>
    </row>
    <row r="12299" spans="1:24">
      <c r="A12299">
        <f>HYPERLINK("https://www.philgeps.gov.ph/GEPSNONPILOT/Tender/SplashBidNoticeAbstractUI.aspx?menuIndex=3&amp;refID=7115582&amp;Result=3","7115582")</f>
        <v>0</v>
      </c>
      <c r="B12299" t="s">
        <v>3484</v>
      </c>
      <c r="C12299" t="s">
        <v>15454</v>
      </c>
      <c r="D12299" t="s">
        <v>17960</v>
      </c>
      <c r="E12299" t="s">
        <v>28663</v>
      </c>
      <c r="F12299" t="s">
        <v>30900</v>
      </c>
      <c r="G12299" t="s">
        <v>30907</v>
      </c>
      <c r="H12299" t="s">
        <v>30916</v>
      </c>
      <c r="I12299" t="s">
        <v>8123</v>
      </c>
      <c r="J12299" t="s">
        <v>38704</v>
      </c>
      <c r="K12299" t="s">
        <v>40284</v>
      </c>
      <c r="M12299" t="s">
        <v>44383</v>
      </c>
      <c r="N12299" t="s">
        <v>44759</v>
      </c>
      <c r="O12299" t="s">
        <v>44760</v>
      </c>
      <c r="P12299">
        <v>0</v>
      </c>
      <c r="Q12299">
        <v>1</v>
      </c>
      <c r="R12299" t="s">
        <v>44776</v>
      </c>
      <c r="S12299" t="s">
        <v>45453</v>
      </c>
      <c r="T12299" t="s">
        <v>46399</v>
      </c>
      <c r="U12299" t="s">
        <v>57055</v>
      </c>
      <c r="W12299" t="s">
        <v>44383</v>
      </c>
      <c r="X12299" t="s">
        <v>44781</v>
      </c>
    </row>
    <row r="12300" spans="1:24">
      <c r="A12300">
        <f>HYPERLINK("https://www.philgeps.gov.ph/GEPSNONPILOT/Tender/SplashBidNoticeAbstractUI.aspx?menuIndex=3&amp;refID=7118689&amp;Result=3","7118689")</f>
        <v>0</v>
      </c>
      <c r="B12300" t="s">
        <v>812</v>
      </c>
      <c r="C12300" t="s">
        <v>15455</v>
      </c>
      <c r="D12300" t="s">
        <v>18028</v>
      </c>
      <c r="E12300" t="s">
        <v>28664</v>
      </c>
      <c r="F12300" t="s">
        <v>30900</v>
      </c>
      <c r="G12300" t="s">
        <v>30907</v>
      </c>
      <c r="H12300" t="s">
        <v>30915</v>
      </c>
      <c r="I12300" t="s">
        <v>30919</v>
      </c>
      <c r="J12300" t="s">
        <v>38705</v>
      </c>
      <c r="K12300" t="s">
        <v>40392</v>
      </c>
      <c r="M12300" t="s">
        <v>41383</v>
      </c>
      <c r="N12300" t="s">
        <v>44759</v>
      </c>
      <c r="O12300" t="s">
        <v>44760</v>
      </c>
      <c r="P12300">
        <v>0</v>
      </c>
      <c r="Q12300">
        <v>1</v>
      </c>
      <c r="R12300" t="s">
        <v>44776</v>
      </c>
      <c r="S12300" t="s">
        <v>45453</v>
      </c>
      <c r="T12300" t="s">
        <v>46389</v>
      </c>
      <c r="U12300" t="s">
        <v>57056</v>
      </c>
      <c r="W12300" t="s">
        <v>41383</v>
      </c>
      <c r="X12300" t="s">
        <v>44780</v>
      </c>
    </row>
    <row r="12301" spans="1:24">
      <c r="A12301">
        <f>HYPERLINK("https://www.philgeps.gov.ph/GEPSNONPILOT/Tender/SplashBidNoticeAbstractUI.aspx?menuIndex=3&amp;refID=7118668&amp;Result=3","7118668")</f>
        <v>0</v>
      </c>
      <c r="B12301" t="s">
        <v>3485</v>
      </c>
      <c r="C12301" t="s">
        <v>15456</v>
      </c>
      <c r="D12301" t="s">
        <v>17997</v>
      </c>
      <c r="E12301" t="s">
        <v>28665</v>
      </c>
      <c r="F12301" t="s">
        <v>30900</v>
      </c>
      <c r="G12301" t="s">
        <v>30907</v>
      </c>
      <c r="H12301" t="s">
        <v>30915</v>
      </c>
      <c r="I12301" t="s">
        <v>30919</v>
      </c>
      <c r="J12301" t="s">
        <v>38706</v>
      </c>
      <c r="K12301" t="s">
        <v>40291</v>
      </c>
      <c r="M12301" t="s">
        <v>44384</v>
      </c>
      <c r="N12301" t="s">
        <v>44759</v>
      </c>
      <c r="O12301" t="s">
        <v>44760</v>
      </c>
      <c r="P12301">
        <v>0</v>
      </c>
      <c r="Q12301">
        <v>0</v>
      </c>
      <c r="R12301" t="s">
        <v>44776</v>
      </c>
      <c r="S12301" t="s">
        <v>45453</v>
      </c>
      <c r="T12301" t="s">
        <v>46903</v>
      </c>
      <c r="U12301" t="s">
        <v>57057</v>
      </c>
      <c r="W12301" t="s">
        <v>44384</v>
      </c>
      <c r="X12301" t="s">
        <v>44780</v>
      </c>
    </row>
    <row r="12302" spans="1:24">
      <c r="A12302">
        <f>HYPERLINK("https://www.philgeps.gov.ph/GEPSNONPILOT/Tender/SplashBidNoticeAbstractUI.aspx?menuIndex=3&amp;refID=7118640&amp;Result=3","7118640")</f>
        <v>0</v>
      </c>
      <c r="B12302" t="s">
        <v>3485</v>
      </c>
      <c r="C12302" t="s">
        <v>15457</v>
      </c>
      <c r="D12302" t="s">
        <v>17997</v>
      </c>
      <c r="E12302" t="s">
        <v>28666</v>
      </c>
      <c r="F12302" t="s">
        <v>30900</v>
      </c>
      <c r="G12302" t="s">
        <v>30907</v>
      </c>
      <c r="H12302" t="s">
        <v>30915</v>
      </c>
      <c r="I12302" t="s">
        <v>30919</v>
      </c>
      <c r="J12302" t="s">
        <v>36964</v>
      </c>
      <c r="K12302" t="s">
        <v>40291</v>
      </c>
      <c r="M12302" t="s">
        <v>44384</v>
      </c>
      <c r="N12302" t="s">
        <v>44759</v>
      </c>
      <c r="O12302" t="s">
        <v>44760</v>
      </c>
      <c r="P12302">
        <v>0</v>
      </c>
      <c r="Q12302">
        <v>0</v>
      </c>
      <c r="R12302" t="s">
        <v>44776</v>
      </c>
      <c r="S12302" t="s">
        <v>45453</v>
      </c>
      <c r="T12302" t="s">
        <v>46904</v>
      </c>
      <c r="U12302" t="s">
        <v>57058</v>
      </c>
      <c r="W12302" t="s">
        <v>44384</v>
      </c>
      <c r="X12302" t="s">
        <v>44780</v>
      </c>
    </row>
    <row r="12303" spans="1:24">
      <c r="A12303">
        <f>HYPERLINK("https://www.philgeps.gov.ph/GEPSNONPILOT/Tender/SplashBidNoticeAbstractUI.aspx?menuIndex=3&amp;refID=7118654&amp;Result=3","7118654")</f>
        <v>0</v>
      </c>
      <c r="B12303" t="s">
        <v>812</v>
      </c>
      <c r="C12303" t="s">
        <v>15458</v>
      </c>
      <c r="D12303" t="s">
        <v>18028</v>
      </c>
      <c r="E12303" t="s">
        <v>28667</v>
      </c>
      <c r="F12303" t="s">
        <v>30900</v>
      </c>
      <c r="G12303" t="s">
        <v>30907</v>
      </c>
      <c r="H12303" t="s">
        <v>30915</v>
      </c>
      <c r="I12303" t="s">
        <v>30919</v>
      </c>
      <c r="J12303" t="s">
        <v>38707</v>
      </c>
      <c r="K12303" t="s">
        <v>40538</v>
      </c>
      <c r="M12303" t="s">
        <v>41383</v>
      </c>
      <c r="N12303" t="s">
        <v>44759</v>
      </c>
      <c r="O12303" t="s">
        <v>44760</v>
      </c>
      <c r="P12303">
        <v>0</v>
      </c>
      <c r="Q12303">
        <v>0</v>
      </c>
      <c r="R12303" t="s">
        <v>44776</v>
      </c>
      <c r="S12303" t="s">
        <v>45453</v>
      </c>
      <c r="T12303" t="s">
        <v>46389</v>
      </c>
      <c r="U12303" t="s">
        <v>57059</v>
      </c>
      <c r="W12303" t="s">
        <v>41383</v>
      </c>
      <c r="X12303" t="s">
        <v>44780</v>
      </c>
    </row>
    <row r="12304" spans="1:24">
      <c r="A12304">
        <f>HYPERLINK("https://www.philgeps.gov.ph/GEPSNONPILOT/Tender/SplashBidNoticeAbstractUI.aspx?menuIndex=3&amp;refID=7112589&amp;Result=3","7112589")</f>
        <v>0</v>
      </c>
      <c r="B12304" t="s">
        <v>1177</v>
      </c>
      <c r="C12304" t="s">
        <v>15459</v>
      </c>
      <c r="D12304" t="s">
        <v>17975</v>
      </c>
      <c r="E12304" t="s">
        <v>28668</v>
      </c>
      <c r="F12304" t="s">
        <v>30900</v>
      </c>
      <c r="G12304" t="s">
        <v>30907</v>
      </c>
      <c r="H12304" t="s">
        <v>30915</v>
      </c>
      <c r="I12304" t="s">
        <v>30919</v>
      </c>
      <c r="J12304" t="s">
        <v>38708</v>
      </c>
      <c r="K12304" t="s">
        <v>40304</v>
      </c>
      <c r="M12304" t="s">
        <v>41784</v>
      </c>
      <c r="N12304" t="s">
        <v>44759</v>
      </c>
      <c r="O12304" t="s">
        <v>44760</v>
      </c>
      <c r="P12304">
        <v>0</v>
      </c>
      <c r="Q12304">
        <v>1</v>
      </c>
      <c r="R12304" t="s">
        <v>44776</v>
      </c>
      <c r="S12304" t="s">
        <v>45453</v>
      </c>
      <c r="T12304" t="s">
        <v>46389</v>
      </c>
      <c r="U12304" t="s">
        <v>57060</v>
      </c>
      <c r="W12304" t="s">
        <v>41784</v>
      </c>
      <c r="X12304" t="s">
        <v>44782</v>
      </c>
    </row>
    <row r="12305" spans="1:24">
      <c r="A12305">
        <f>HYPERLINK("https://www.philgeps.gov.ph/GEPSNONPILOT/Tender/SplashBidNoticeAbstractUI.aspx?menuIndex=3&amp;refID=7118619&amp;Result=3","7118619")</f>
        <v>0</v>
      </c>
      <c r="B12305" t="s">
        <v>85</v>
      </c>
      <c r="C12305" t="s">
        <v>15460</v>
      </c>
      <c r="D12305" t="s">
        <v>17991</v>
      </c>
      <c r="E12305" t="s">
        <v>28669</v>
      </c>
      <c r="F12305" t="s">
        <v>30900</v>
      </c>
      <c r="G12305" t="s">
        <v>30907</v>
      </c>
      <c r="H12305" t="s">
        <v>30916</v>
      </c>
      <c r="I12305" t="s">
        <v>30933</v>
      </c>
      <c r="J12305" t="s">
        <v>38709</v>
      </c>
      <c r="K12305" t="s">
        <v>40304</v>
      </c>
      <c r="M12305" t="s">
        <v>40632</v>
      </c>
      <c r="N12305" t="s">
        <v>44759</v>
      </c>
      <c r="O12305" t="s">
        <v>44760</v>
      </c>
      <c r="P12305">
        <v>0</v>
      </c>
      <c r="Q12305">
        <v>4</v>
      </c>
      <c r="R12305" t="s">
        <v>44776</v>
      </c>
      <c r="S12305" t="s">
        <v>45453</v>
      </c>
      <c r="T12305" t="s">
        <v>46387</v>
      </c>
      <c r="U12305" t="s">
        <v>57061</v>
      </c>
      <c r="W12305" t="s">
        <v>60817</v>
      </c>
      <c r="X12305" t="s">
        <v>44780</v>
      </c>
    </row>
    <row r="12306" spans="1:24">
      <c r="A12306">
        <f>HYPERLINK("https://www.philgeps.gov.ph/GEPSNONPILOT/Tender/SplashBidNoticeAbstractUI.aspx?menuIndex=3&amp;refID=7116088&amp;Result=3","7116088")</f>
        <v>0</v>
      </c>
      <c r="B12306" t="s">
        <v>3156</v>
      </c>
      <c r="C12306" t="s">
        <v>15461</v>
      </c>
      <c r="D12306" t="s">
        <v>17999</v>
      </c>
      <c r="E12306" t="s">
        <v>28670</v>
      </c>
      <c r="F12306" t="s">
        <v>30900</v>
      </c>
      <c r="G12306" t="s">
        <v>30907</v>
      </c>
      <c r="H12306" t="s">
        <v>30915</v>
      </c>
      <c r="I12306" t="s">
        <v>30919</v>
      </c>
      <c r="J12306" t="s">
        <v>38710</v>
      </c>
      <c r="K12306" t="s">
        <v>40312</v>
      </c>
      <c r="M12306" t="s">
        <v>44385</v>
      </c>
      <c r="N12306" t="s">
        <v>44759</v>
      </c>
      <c r="O12306" t="s">
        <v>44760</v>
      </c>
      <c r="Q12306">
        <v>19</v>
      </c>
      <c r="R12306" t="s">
        <v>44776</v>
      </c>
      <c r="S12306" t="s">
        <v>44993</v>
      </c>
      <c r="T12306" t="s">
        <v>46488</v>
      </c>
      <c r="U12306" t="s">
        <v>57062</v>
      </c>
      <c r="V12306" t="s">
        <v>60513</v>
      </c>
      <c r="W12306" t="s">
        <v>60931</v>
      </c>
      <c r="X12306" t="s">
        <v>44781</v>
      </c>
    </row>
    <row r="12307" spans="1:24">
      <c r="A12307">
        <f>HYPERLINK("https://www.philgeps.gov.ph/GEPSNONPILOT/Tender/SplashBidNoticeAbstractUI.aspx?menuIndex=3&amp;refID=7118503&amp;Result=3","7118503")</f>
        <v>0</v>
      </c>
      <c r="B12307" t="s">
        <v>812</v>
      </c>
      <c r="C12307" t="s">
        <v>15462</v>
      </c>
      <c r="D12307" t="s">
        <v>18028</v>
      </c>
      <c r="E12307" t="s">
        <v>28671</v>
      </c>
      <c r="F12307" t="s">
        <v>30900</v>
      </c>
      <c r="G12307" t="s">
        <v>30907</v>
      </c>
      <c r="H12307" t="s">
        <v>30915</v>
      </c>
      <c r="I12307" t="s">
        <v>30919</v>
      </c>
      <c r="J12307" t="s">
        <v>38711</v>
      </c>
      <c r="K12307" t="s">
        <v>40298</v>
      </c>
      <c r="M12307" t="s">
        <v>41383</v>
      </c>
      <c r="N12307" t="s">
        <v>44759</v>
      </c>
      <c r="O12307" t="s">
        <v>44760</v>
      </c>
      <c r="P12307">
        <v>0</v>
      </c>
      <c r="Q12307">
        <v>1</v>
      </c>
      <c r="R12307" t="s">
        <v>44776</v>
      </c>
      <c r="S12307" t="s">
        <v>45453</v>
      </c>
      <c r="T12307" t="s">
        <v>46389</v>
      </c>
      <c r="U12307" t="s">
        <v>57063</v>
      </c>
      <c r="W12307" t="s">
        <v>41383</v>
      </c>
      <c r="X12307" t="s">
        <v>44780</v>
      </c>
    </row>
    <row r="12308" spans="1:24">
      <c r="A12308">
        <f>HYPERLINK("https://www.philgeps.gov.ph/GEPSNONPILOT/Tender/SplashBidNoticeAbstractUI.aspx?menuIndex=3&amp;refID=7118699&amp;Result=3","7118699")</f>
        <v>0</v>
      </c>
      <c r="B12308" t="s">
        <v>85</v>
      </c>
      <c r="C12308" t="s">
        <v>15463</v>
      </c>
      <c r="D12308" t="s">
        <v>17991</v>
      </c>
      <c r="E12308" t="s">
        <v>28672</v>
      </c>
      <c r="F12308" t="s">
        <v>30900</v>
      </c>
      <c r="G12308" t="s">
        <v>30907</v>
      </c>
      <c r="H12308" t="s">
        <v>30916</v>
      </c>
      <c r="I12308" t="s">
        <v>30933</v>
      </c>
      <c r="J12308" t="s">
        <v>38712</v>
      </c>
      <c r="K12308" t="s">
        <v>40289</v>
      </c>
      <c r="M12308" t="s">
        <v>40632</v>
      </c>
      <c r="N12308" t="s">
        <v>44759</v>
      </c>
      <c r="O12308" t="s">
        <v>44760</v>
      </c>
      <c r="P12308">
        <v>0</v>
      </c>
      <c r="Q12308">
        <v>3</v>
      </c>
      <c r="R12308" t="s">
        <v>44776</v>
      </c>
      <c r="S12308" t="s">
        <v>45453</v>
      </c>
      <c r="T12308" t="s">
        <v>46387</v>
      </c>
      <c r="U12308" t="s">
        <v>57064</v>
      </c>
      <c r="W12308" t="s">
        <v>60817</v>
      </c>
      <c r="X12308" t="s">
        <v>44780</v>
      </c>
    </row>
    <row r="12309" spans="1:24">
      <c r="A12309">
        <f>HYPERLINK("https://www.philgeps.gov.ph/GEPSNONPILOT/Tender/SplashBidNoticeAbstractUI.aspx?menuIndex=3&amp;refID=7118178&amp;Result=3","7118178")</f>
        <v>0</v>
      </c>
      <c r="B12309" t="s">
        <v>1647</v>
      </c>
      <c r="C12309" t="s">
        <v>15464</v>
      </c>
      <c r="D12309" t="s">
        <v>18002</v>
      </c>
      <c r="E12309" t="s">
        <v>28673</v>
      </c>
      <c r="F12309" t="s">
        <v>30900</v>
      </c>
      <c r="G12309" t="s">
        <v>30907</v>
      </c>
      <c r="H12309" t="s">
        <v>30916</v>
      </c>
      <c r="I12309" t="s">
        <v>9385</v>
      </c>
      <c r="J12309" t="s">
        <v>38713</v>
      </c>
      <c r="K12309" t="s">
        <v>40284</v>
      </c>
      <c r="M12309" t="s">
        <v>42303</v>
      </c>
      <c r="N12309" t="s">
        <v>44759</v>
      </c>
      <c r="O12309" t="s">
        <v>44760</v>
      </c>
      <c r="P12309">
        <v>0</v>
      </c>
      <c r="Q12309">
        <v>9</v>
      </c>
      <c r="R12309" t="s">
        <v>44776</v>
      </c>
      <c r="S12309" t="s">
        <v>45453</v>
      </c>
      <c r="T12309" t="s">
        <v>46352</v>
      </c>
      <c r="U12309" t="s">
        <v>57065</v>
      </c>
      <c r="W12309" t="s">
        <v>60907</v>
      </c>
      <c r="X12309" t="s">
        <v>44780</v>
      </c>
    </row>
    <row r="12310" spans="1:24">
      <c r="A12310">
        <f>HYPERLINK("https://www.philgeps.gov.ph/GEPSNONPILOT/Tender/SplashBidNoticeAbstractUI.aspx?menuIndex=3&amp;refID=7118396&amp;Result=3","7118396")</f>
        <v>0</v>
      </c>
      <c r="B12310" t="s">
        <v>767</v>
      </c>
      <c r="C12310" t="s">
        <v>15465</v>
      </c>
      <c r="D12310" t="s">
        <v>18020</v>
      </c>
      <c r="E12310" t="s">
        <v>28674</v>
      </c>
      <c r="F12310" t="s">
        <v>30900</v>
      </c>
      <c r="G12310" t="s">
        <v>30907</v>
      </c>
      <c r="H12310" t="s">
        <v>30916</v>
      </c>
      <c r="I12310" t="s">
        <v>30923</v>
      </c>
      <c r="J12310" t="s">
        <v>38714</v>
      </c>
      <c r="K12310" t="s">
        <v>40283</v>
      </c>
      <c r="M12310" t="s">
        <v>41333</v>
      </c>
      <c r="N12310" t="s">
        <v>44759</v>
      </c>
      <c r="O12310" t="s">
        <v>44760</v>
      </c>
      <c r="P12310">
        <v>0</v>
      </c>
      <c r="Q12310">
        <v>9</v>
      </c>
      <c r="R12310" t="s">
        <v>44776</v>
      </c>
      <c r="S12310" t="s">
        <v>45453</v>
      </c>
      <c r="T12310" t="s">
        <v>46421</v>
      </c>
      <c r="U12310" t="s">
        <v>57066</v>
      </c>
      <c r="V12310" t="s">
        <v>60404</v>
      </c>
      <c r="W12310" t="s">
        <v>41333</v>
      </c>
      <c r="X12310" t="s">
        <v>44780</v>
      </c>
    </row>
    <row r="12311" spans="1:24">
      <c r="A12311">
        <f>HYPERLINK("https://www.philgeps.gov.ph/GEPSNONPILOT/Tender/SplashBidNoticeAbstractUI.aspx?menuIndex=3&amp;refID=7118623&amp;Result=3","7118623")</f>
        <v>0</v>
      </c>
      <c r="B12311" t="s">
        <v>812</v>
      </c>
      <c r="C12311" t="s">
        <v>15466</v>
      </c>
      <c r="D12311" t="s">
        <v>18028</v>
      </c>
      <c r="E12311" t="s">
        <v>28675</v>
      </c>
      <c r="F12311" t="s">
        <v>30900</v>
      </c>
      <c r="G12311" t="s">
        <v>30907</v>
      </c>
      <c r="H12311" t="s">
        <v>30915</v>
      </c>
      <c r="I12311" t="s">
        <v>30919</v>
      </c>
      <c r="J12311" t="s">
        <v>38715</v>
      </c>
      <c r="K12311" t="s">
        <v>40280</v>
      </c>
      <c r="M12311" t="s">
        <v>41383</v>
      </c>
      <c r="N12311" t="s">
        <v>44759</v>
      </c>
      <c r="O12311" t="s">
        <v>44760</v>
      </c>
      <c r="P12311">
        <v>0</v>
      </c>
      <c r="Q12311">
        <v>0</v>
      </c>
      <c r="R12311" t="s">
        <v>44776</v>
      </c>
      <c r="S12311" t="s">
        <v>45453</v>
      </c>
      <c r="T12311" t="s">
        <v>46389</v>
      </c>
      <c r="U12311" t="s">
        <v>57067</v>
      </c>
      <c r="W12311" t="s">
        <v>41383</v>
      </c>
      <c r="X12311" t="s">
        <v>44780</v>
      </c>
    </row>
    <row r="12312" spans="1:24">
      <c r="A12312">
        <f>HYPERLINK("https://www.philgeps.gov.ph/GEPSNONPILOT/Tender/SplashBidNoticeAbstractUI.aspx?menuIndex=3&amp;refID=7118557&amp;Result=3","7118557")</f>
        <v>0</v>
      </c>
      <c r="B12312" t="s">
        <v>812</v>
      </c>
      <c r="C12312" t="s">
        <v>15467</v>
      </c>
      <c r="D12312" t="s">
        <v>18028</v>
      </c>
      <c r="E12312" t="s">
        <v>28676</v>
      </c>
      <c r="F12312" t="s">
        <v>30900</v>
      </c>
      <c r="G12312" t="s">
        <v>30907</v>
      </c>
      <c r="H12312" t="s">
        <v>30915</v>
      </c>
      <c r="I12312" t="s">
        <v>30919</v>
      </c>
      <c r="J12312" t="s">
        <v>38716</v>
      </c>
      <c r="K12312" t="s">
        <v>40336</v>
      </c>
      <c r="M12312" t="s">
        <v>41383</v>
      </c>
      <c r="N12312" t="s">
        <v>44759</v>
      </c>
      <c r="O12312" t="s">
        <v>44760</v>
      </c>
      <c r="P12312">
        <v>0</v>
      </c>
      <c r="Q12312">
        <v>0</v>
      </c>
      <c r="R12312" t="s">
        <v>44776</v>
      </c>
      <c r="S12312" t="s">
        <v>45453</v>
      </c>
      <c r="T12312" t="s">
        <v>46389</v>
      </c>
      <c r="U12312" t="s">
        <v>57068</v>
      </c>
      <c r="W12312" t="s">
        <v>41383</v>
      </c>
      <c r="X12312" t="s">
        <v>44780</v>
      </c>
    </row>
    <row r="12313" spans="1:24">
      <c r="A12313">
        <f>HYPERLINK("https://www.philgeps.gov.ph/GEPSNONPILOT/Tender/SplashBidNoticeAbstractUI.aspx?menuIndex=3&amp;refID=7118747&amp;Result=3","7118747")</f>
        <v>0</v>
      </c>
      <c r="B12313" t="s">
        <v>3018</v>
      </c>
      <c r="C12313" t="s">
        <v>15468</v>
      </c>
      <c r="D12313" t="s">
        <v>17975</v>
      </c>
      <c r="E12313" t="s">
        <v>28677</v>
      </c>
      <c r="F12313" t="s">
        <v>30900</v>
      </c>
      <c r="G12313" t="s">
        <v>30907</v>
      </c>
      <c r="H12313" t="s">
        <v>30915</v>
      </c>
      <c r="I12313" t="s">
        <v>30919</v>
      </c>
      <c r="J12313" t="s">
        <v>31069</v>
      </c>
      <c r="K12313" t="s">
        <v>40335</v>
      </c>
      <c r="M12313" t="s">
        <v>43826</v>
      </c>
      <c r="N12313" t="s">
        <v>44759</v>
      </c>
      <c r="O12313" t="s">
        <v>44760</v>
      </c>
      <c r="P12313">
        <v>0</v>
      </c>
      <c r="Q12313">
        <v>2</v>
      </c>
      <c r="R12313" t="s">
        <v>44776</v>
      </c>
      <c r="S12313" t="s">
        <v>45453</v>
      </c>
      <c r="T12313" t="s">
        <v>46614</v>
      </c>
      <c r="U12313" t="s">
        <v>57069</v>
      </c>
      <c r="W12313" t="s">
        <v>43826</v>
      </c>
      <c r="X12313" t="s">
        <v>44780</v>
      </c>
    </row>
    <row r="12314" spans="1:24">
      <c r="A12314">
        <f>HYPERLINK("https://www.philgeps.gov.ph/GEPSNONPILOT/Tender/SplashBidNoticeAbstractUI.aspx?menuIndex=3&amp;refID=7119829&amp;Result=3","7119829")</f>
        <v>0</v>
      </c>
      <c r="B12314" t="s">
        <v>1188</v>
      </c>
      <c r="C12314" t="s">
        <v>15469</v>
      </c>
      <c r="D12314" t="s">
        <v>18019</v>
      </c>
      <c r="E12314" t="s">
        <v>28678</v>
      </c>
      <c r="F12314" t="s">
        <v>30900</v>
      </c>
      <c r="G12314" t="s">
        <v>30907</v>
      </c>
      <c r="H12314" t="s">
        <v>30916</v>
      </c>
      <c r="I12314" t="s">
        <v>30970</v>
      </c>
      <c r="J12314" t="s">
        <v>32616</v>
      </c>
      <c r="K12314" t="s">
        <v>40280</v>
      </c>
      <c r="M12314" t="s">
        <v>44355</v>
      </c>
      <c r="N12314" t="s">
        <v>44759</v>
      </c>
      <c r="O12314" t="s">
        <v>44760</v>
      </c>
      <c r="Q12314">
        <v>17</v>
      </c>
      <c r="R12314" t="s">
        <v>44776</v>
      </c>
      <c r="S12314" t="s">
        <v>45461</v>
      </c>
      <c r="T12314" t="s">
        <v>46387</v>
      </c>
      <c r="U12314" t="s">
        <v>57070</v>
      </c>
      <c r="W12314" t="s">
        <v>44355</v>
      </c>
      <c r="X12314" t="s">
        <v>44778</v>
      </c>
    </row>
    <row r="12315" spans="1:24">
      <c r="A12315">
        <f>HYPERLINK("https://www.philgeps.gov.ph/GEPSNONPILOT/Tender/SplashBidNoticeAbstractUI.aspx?menuIndex=3&amp;refID=7113110&amp;Result=3","7113110")</f>
        <v>0</v>
      </c>
      <c r="B12315" t="s">
        <v>1177</v>
      </c>
      <c r="C12315" t="s">
        <v>15470</v>
      </c>
      <c r="D12315" t="s">
        <v>17975</v>
      </c>
      <c r="E12315" t="s">
        <v>28679</v>
      </c>
      <c r="F12315" t="s">
        <v>30900</v>
      </c>
      <c r="G12315" t="s">
        <v>30907</v>
      </c>
      <c r="H12315" t="s">
        <v>30915</v>
      </c>
      <c r="I12315" t="s">
        <v>30919</v>
      </c>
      <c r="J12315" t="s">
        <v>38717</v>
      </c>
      <c r="K12315" t="s">
        <v>40322</v>
      </c>
      <c r="M12315" t="s">
        <v>41784</v>
      </c>
      <c r="N12315" t="s">
        <v>44759</v>
      </c>
      <c r="O12315" t="s">
        <v>44760</v>
      </c>
      <c r="P12315">
        <v>0</v>
      </c>
      <c r="Q12315">
        <v>1</v>
      </c>
      <c r="R12315" t="s">
        <v>44776</v>
      </c>
      <c r="S12315" t="s">
        <v>45453</v>
      </c>
      <c r="T12315" t="s">
        <v>46389</v>
      </c>
      <c r="U12315" t="s">
        <v>57071</v>
      </c>
      <c r="W12315" t="s">
        <v>41784</v>
      </c>
      <c r="X12315" t="s">
        <v>44781</v>
      </c>
    </row>
    <row r="12316" spans="1:24">
      <c r="A12316">
        <f>HYPERLINK("https://www.philgeps.gov.ph/GEPSNONPILOT/Tender/SplashBidNoticeAbstractUI.aspx?menuIndex=3&amp;refID=7119535&amp;Result=3","7119535")</f>
        <v>0</v>
      </c>
      <c r="B12316" t="s">
        <v>134</v>
      </c>
      <c r="C12316" t="s">
        <v>15471</v>
      </c>
      <c r="E12316" t="s">
        <v>28680</v>
      </c>
      <c r="F12316" t="s">
        <v>30900</v>
      </c>
      <c r="G12316" t="s">
        <v>30907</v>
      </c>
      <c r="H12316" t="s">
        <v>30916</v>
      </c>
      <c r="I12316" t="s">
        <v>30933</v>
      </c>
      <c r="J12316" t="s">
        <v>31069</v>
      </c>
      <c r="K12316" t="s">
        <v>40280</v>
      </c>
      <c r="M12316" t="s">
        <v>40681</v>
      </c>
      <c r="N12316" t="s">
        <v>44759</v>
      </c>
      <c r="O12316" t="s">
        <v>44760</v>
      </c>
      <c r="Q12316">
        <v>6</v>
      </c>
      <c r="R12316" t="s">
        <v>44776</v>
      </c>
      <c r="S12316" t="s">
        <v>45004</v>
      </c>
      <c r="T12316" t="s">
        <v>46421</v>
      </c>
      <c r="U12316" t="s">
        <v>54994</v>
      </c>
      <c r="W12316" t="s">
        <v>40681</v>
      </c>
      <c r="X12316" t="s">
        <v>44779</v>
      </c>
    </row>
    <row r="12317" spans="1:24">
      <c r="A12317">
        <f>HYPERLINK("https://www.philgeps.gov.ph/GEPSNONPILOT/Tender/SplashBidNoticeAbstractUI.aspx?menuIndex=3&amp;refID=7119666&amp;Result=3","7119666")</f>
        <v>0</v>
      </c>
      <c r="B12317" t="s">
        <v>2923</v>
      </c>
      <c r="C12317" t="s">
        <v>15472</v>
      </c>
      <c r="D12317" t="s">
        <v>17959</v>
      </c>
      <c r="E12317" t="s">
        <v>28681</v>
      </c>
      <c r="F12317" t="s">
        <v>30900</v>
      </c>
      <c r="G12317" t="s">
        <v>30907</v>
      </c>
      <c r="H12317" t="s">
        <v>30916</v>
      </c>
      <c r="I12317" t="s">
        <v>30924</v>
      </c>
      <c r="J12317" t="s">
        <v>36049</v>
      </c>
      <c r="K12317" t="s">
        <v>40332</v>
      </c>
      <c r="M12317" t="s">
        <v>44386</v>
      </c>
      <c r="N12317" t="s">
        <v>44759</v>
      </c>
      <c r="O12317" t="s">
        <v>44760</v>
      </c>
      <c r="Q12317">
        <v>17</v>
      </c>
      <c r="R12317" t="s">
        <v>44776</v>
      </c>
      <c r="S12317" t="s">
        <v>45462</v>
      </c>
      <c r="T12317" t="s">
        <v>46361</v>
      </c>
      <c r="U12317" t="s">
        <v>57072</v>
      </c>
      <c r="V12317" t="s">
        <v>60514</v>
      </c>
      <c r="W12317" t="s">
        <v>44386</v>
      </c>
      <c r="X12317" t="s">
        <v>44779</v>
      </c>
    </row>
    <row r="12318" spans="1:24">
      <c r="A12318">
        <f>HYPERLINK("https://www.philgeps.gov.ph/GEPSNONPILOT/Tender/SplashBidNoticeAbstractUI.aspx?menuIndex=3&amp;refID=7119531&amp;Result=3","7119531")</f>
        <v>0</v>
      </c>
      <c r="B12318" t="s">
        <v>134</v>
      </c>
      <c r="C12318" t="s">
        <v>15473</v>
      </c>
      <c r="E12318" t="s">
        <v>28682</v>
      </c>
      <c r="F12318" t="s">
        <v>30900</v>
      </c>
      <c r="G12318" t="s">
        <v>30907</v>
      </c>
      <c r="H12318" t="s">
        <v>30916</v>
      </c>
      <c r="I12318" t="s">
        <v>30933</v>
      </c>
      <c r="J12318" t="s">
        <v>38718</v>
      </c>
      <c r="K12318" t="s">
        <v>40280</v>
      </c>
      <c r="M12318" t="s">
        <v>40681</v>
      </c>
      <c r="N12318" t="s">
        <v>44759</v>
      </c>
      <c r="O12318" t="s">
        <v>44760</v>
      </c>
      <c r="Q12318">
        <v>7</v>
      </c>
      <c r="R12318" t="s">
        <v>44776</v>
      </c>
      <c r="S12318" t="s">
        <v>45463</v>
      </c>
      <c r="T12318" t="s">
        <v>46421</v>
      </c>
      <c r="U12318" t="s">
        <v>54994</v>
      </c>
      <c r="W12318" t="s">
        <v>40681</v>
      </c>
      <c r="X12318" t="s">
        <v>44779</v>
      </c>
    </row>
    <row r="12319" spans="1:24">
      <c r="A12319">
        <f>HYPERLINK("https://www.philgeps.gov.ph/GEPSNONPILOT/Tender/SplashBidNoticeAbstractUI.aspx?menuIndex=3&amp;refID=7114792&amp;Result=3","7114792")</f>
        <v>0</v>
      </c>
      <c r="B12319" t="s">
        <v>932</v>
      </c>
      <c r="C12319" t="s">
        <v>15474</v>
      </c>
      <c r="D12319" t="s">
        <v>17959</v>
      </c>
      <c r="E12319" t="s">
        <v>28683</v>
      </c>
      <c r="F12319" t="s">
        <v>30900</v>
      </c>
      <c r="G12319" t="s">
        <v>30907</v>
      </c>
      <c r="H12319" t="s">
        <v>30916</v>
      </c>
      <c r="I12319" t="s">
        <v>30995</v>
      </c>
      <c r="J12319" t="s">
        <v>38719</v>
      </c>
      <c r="K12319" t="s">
        <v>40283</v>
      </c>
      <c r="M12319" t="s">
        <v>44375</v>
      </c>
      <c r="N12319" t="s">
        <v>44759</v>
      </c>
      <c r="O12319" t="s">
        <v>44760</v>
      </c>
      <c r="P12319">
        <v>0</v>
      </c>
      <c r="Q12319">
        <v>4</v>
      </c>
      <c r="R12319" t="s">
        <v>44776</v>
      </c>
      <c r="S12319" t="s">
        <v>45453</v>
      </c>
      <c r="T12319" t="s">
        <v>46421</v>
      </c>
      <c r="U12319" t="s">
        <v>57073</v>
      </c>
      <c r="W12319" t="s">
        <v>44375</v>
      </c>
      <c r="X12319" t="s">
        <v>44781</v>
      </c>
    </row>
    <row r="12320" spans="1:24">
      <c r="A12320">
        <f>HYPERLINK("https://www.philgeps.gov.ph/GEPSNONPILOT/Tender/SplashBidNoticeAbstractUI.aspx?menuIndex=3&amp;refID=7119524&amp;Result=3","7119524")</f>
        <v>0</v>
      </c>
      <c r="B12320" t="s">
        <v>134</v>
      </c>
      <c r="C12320" t="s">
        <v>15475</v>
      </c>
      <c r="E12320" t="s">
        <v>28684</v>
      </c>
      <c r="F12320" t="s">
        <v>30900</v>
      </c>
      <c r="G12320" t="s">
        <v>30907</v>
      </c>
      <c r="H12320" t="s">
        <v>30916</v>
      </c>
      <c r="I12320" t="s">
        <v>30933</v>
      </c>
      <c r="J12320" t="s">
        <v>35229</v>
      </c>
      <c r="K12320" t="s">
        <v>40280</v>
      </c>
      <c r="M12320" t="s">
        <v>40681</v>
      </c>
      <c r="N12320" t="s">
        <v>44759</v>
      </c>
      <c r="O12320" t="s">
        <v>44760</v>
      </c>
      <c r="Q12320">
        <v>2</v>
      </c>
      <c r="R12320" t="s">
        <v>44776</v>
      </c>
      <c r="S12320" t="s">
        <v>45080</v>
      </c>
      <c r="T12320" t="s">
        <v>46421</v>
      </c>
      <c r="U12320" t="s">
        <v>54994</v>
      </c>
      <c r="W12320" t="s">
        <v>40681</v>
      </c>
      <c r="X12320" t="s">
        <v>44779</v>
      </c>
    </row>
    <row r="12321" spans="1:24">
      <c r="A12321">
        <f>HYPERLINK("https://www.philgeps.gov.ph/GEPSNONPILOT/Tender/SplashBidNoticeAbstractUI.aspx?menuIndex=3&amp;refID=7119520&amp;Result=3","7119520")</f>
        <v>0</v>
      </c>
      <c r="B12321" t="s">
        <v>134</v>
      </c>
      <c r="C12321" t="s">
        <v>15476</v>
      </c>
      <c r="E12321" t="s">
        <v>28685</v>
      </c>
      <c r="F12321" t="s">
        <v>30900</v>
      </c>
      <c r="G12321" t="s">
        <v>30907</v>
      </c>
      <c r="H12321" t="s">
        <v>30916</v>
      </c>
      <c r="I12321" t="s">
        <v>30933</v>
      </c>
      <c r="J12321" t="s">
        <v>35229</v>
      </c>
      <c r="K12321" t="s">
        <v>40280</v>
      </c>
      <c r="M12321" t="s">
        <v>40681</v>
      </c>
      <c r="N12321" t="s">
        <v>44759</v>
      </c>
      <c r="O12321" t="s">
        <v>44760</v>
      </c>
      <c r="Q12321">
        <v>2</v>
      </c>
      <c r="R12321" t="s">
        <v>44776</v>
      </c>
      <c r="S12321" t="s">
        <v>45464</v>
      </c>
      <c r="T12321" t="s">
        <v>46421</v>
      </c>
      <c r="U12321" t="s">
        <v>54994</v>
      </c>
      <c r="W12321" t="s">
        <v>40681</v>
      </c>
      <c r="X12321" t="s">
        <v>44779</v>
      </c>
    </row>
    <row r="12322" spans="1:24">
      <c r="A12322">
        <f>HYPERLINK("https://www.philgeps.gov.ph/GEPSNONPILOT/Tender/SplashBidNoticeAbstractUI.aspx?menuIndex=3&amp;refID=7119887&amp;Result=3","7119887")</f>
        <v>0</v>
      </c>
      <c r="B12322" t="s">
        <v>3486</v>
      </c>
      <c r="C12322" t="s">
        <v>15477</v>
      </c>
      <c r="D12322" t="s">
        <v>17964</v>
      </c>
      <c r="E12322" t="s">
        <v>18282</v>
      </c>
      <c r="F12322" t="s">
        <v>30900</v>
      </c>
      <c r="G12322" t="s">
        <v>30907</v>
      </c>
      <c r="H12322" t="s">
        <v>30915</v>
      </c>
      <c r="I12322" t="s">
        <v>30919</v>
      </c>
      <c r="J12322" t="s">
        <v>38720</v>
      </c>
      <c r="K12322" t="s">
        <v>40428</v>
      </c>
      <c r="M12322" t="s">
        <v>44387</v>
      </c>
      <c r="N12322" t="s">
        <v>44759</v>
      </c>
      <c r="O12322" t="s">
        <v>44760</v>
      </c>
      <c r="P12322">
        <v>0</v>
      </c>
      <c r="Q12322">
        <v>0</v>
      </c>
      <c r="R12322" t="s">
        <v>44776</v>
      </c>
      <c r="S12322" t="s">
        <v>45453</v>
      </c>
      <c r="T12322" t="s">
        <v>46399</v>
      </c>
      <c r="U12322" t="s">
        <v>57074</v>
      </c>
      <c r="V12322" t="s">
        <v>60515</v>
      </c>
      <c r="W12322" t="s">
        <v>44387</v>
      </c>
      <c r="X12322" t="s">
        <v>44778</v>
      </c>
    </row>
    <row r="12323" spans="1:24">
      <c r="A12323">
        <f>HYPERLINK("https://www.philgeps.gov.ph/GEPSNONPILOT/Tender/SplashBidNoticeAbstractUI.aspx?menuIndex=3&amp;refID=7119598&amp;Result=3","7119598")</f>
        <v>0</v>
      </c>
      <c r="B12323" t="s">
        <v>125</v>
      </c>
      <c r="C12323" t="s">
        <v>15478</v>
      </c>
      <c r="D12323" t="s">
        <v>17952</v>
      </c>
      <c r="E12323" t="s">
        <v>28686</v>
      </c>
      <c r="F12323" t="s">
        <v>30900</v>
      </c>
      <c r="G12323" t="s">
        <v>30907</v>
      </c>
      <c r="H12323" t="s">
        <v>30916</v>
      </c>
      <c r="I12323" t="s">
        <v>30985</v>
      </c>
      <c r="J12323" t="s">
        <v>38721</v>
      </c>
      <c r="K12323" t="s">
        <v>40293</v>
      </c>
      <c r="M12323" t="s">
        <v>40672</v>
      </c>
      <c r="N12323" t="s">
        <v>44759</v>
      </c>
      <c r="O12323" t="s">
        <v>44760</v>
      </c>
      <c r="P12323">
        <v>0</v>
      </c>
      <c r="Q12323">
        <v>14</v>
      </c>
      <c r="R12323" t="s">
        <v>44776</v>
      </c>
      <c r="S12323" t="s">
        <v>45453</v>
      </c>
      <c r="T12323" t="s">
        <v>46421</v>
      </c>
      <c r="U12323" t="s">
        <v>57075</v>
      </c>
      <c r="W12323" t="s">
        <v>40672</v>
      </c>
      <c r="X12323" t="s">
        <v>44779</v>
      </c>
    </row>
    <row r="12324" spans="1:24">
      <c r="A12324">
        <f>HYPERLINK("https://www.philgeps.gov.ph/GEPSNONPILOT/Tender/SplashBidNoticeAbstractUI.aspx?menuIndex=3&amp;refID=7120172&amp;Result=3","7120172")</f>
        <v>0</v>
      </c>
      <c r="B12324" t="s">
        <v>3487</v>
      </c>
      <c r="C12324" t="s">
        <v>15479</v>
      </c>
      <c r="D12324" t="s">
        <v>17952</v>
      </c>
      <c r="E12324" t="s">
        <v>22992</v>
      </c>
      <c r="F12324" t="s">
        <v>30900</v>
      </c>
      <c r="G12324" t="s">
        <v>30907</v>
      </c>
      <c r="H12324" t="s">
        <v>30916</v>
      </c>
      <c r="I12324" t="s">
        <v>8123</v>
      </c>
      <c r="J12324" t="s">
        <v>38722</v>
      </c>
      <c r="K12324" t="s">
        <v>40284</v>
      </c>
      <c r="M12324" t="s">
        <v>44388</v>
      </c>
      <c r="N12324" t="s">
        <v>44759</v>
      </c>
      <c r="O12324" t="s">
        <v>44760</v>
      </c>
      <c r="P12324">
        <v>0</v>
      </c>
      <c r="Q12324">
        <v>2</v>
      </c>
      <c r="R12324" t="s">
        <v>44776</v>
      </c>
      <c r="S12324" t="s">
        <v>45453</v>
      </c>
      <c r="T12324" t="s">
        <v>46366</v>
      </c>
      <c r="U12324" t="s">
        <v>57076</v>
      </c>
      <c r="W12324" t="s">
        <v>44388</v>
      </c>
      <c r="X12324" t="s">
        <v>44777</v>
      </c>
    </row>
    <row r="12325" spans="1:24">
      <c r="A12325">
        <f>HYPERLINK("https://www.philgeps.gov.ph/GEPSNONPILOT/Tender/SplashBidNoticeAbstractUI.aspx?menuIndex=3&amp;refID=7119526&amp;Result=3","7119526")</f>
        <v>0</v>
      </c>
      <c r="B12325" t="s">
        <v>134</v>
      </c>
      <c r="C12325" t="s">
        <v>15480</v>
      </c>
      <c r="E12325" t="s">
        <v>28687</v>
      </c>
      <c r="F12325" t="s">
        <v>30900</v>
      </c>
      <c r="G12325" t="s">
        <v>30907</v>
      </c>
      <c r="H12325" t="s">
        <v>30916</v>
      </c>
      <c r="I12325" t="s">
        <v>30933</v>
      </c>
      <c r="J12325" t="s">
        <v>35229</v>
      </c>
      <c r="K12325" t="s">
        <v>40280</v>
      </c>
      <c r="M12325" t="s">
        <v>40681</v>
      </c>
      <c r="N12325" t="s">
        <v>44759</v>
      </c>
      <c r="O12325" t="s">
        <v>44760</v>
      </c>
      <c r="Q12325">
        <v>3</v>
      </c>
      <c r="R12325" t="s">
        <v>44776</v>
      </c>
      <c r="S12325" t="s">
        <v>45465</v>
      </c>
      <c r="T12325" t="s">
        <v>46478</v>
      </c>
      <c r="U12325" t="s">
        <v>54994</v>
      </c>
      <c r="W12325" t="s">
        <v>40681</v>
      </c>
      <c r="X12325" t="s">
        <v>44779</v>
      </c>
    </row>
    <row r="12326" spans="1:24">
      <c r="A12326">
        <f>HYPERLINK("https://www.philgeps.gov.ph/GEPSNONPILOT/Tender/SplashBidNoticeAbstractUI.aspx?menuIndex=3&amp;refID=7118582&amp;Result=3","7118582")</f>
        <v>0</v>
      </c>
      <c r="B12326" t="s">
        <v>812</v>
      </c>
      <c r="C12326" t="s">
        <v>15481</v>
      </c>
      <c r="D12326" t="s">
        <v>18028</v>
      </c>
      <c r="E12326" t="s">
        <v>28688</v>
      </c>
      <c r="F12326" t="s">
        <v>30900</v>
      </c>
      <c r="G12326" t="s">
        <v>30907</v>
      </c>
      <c r="H12326" t="s">
        <v>30915</v>
      </c>
      <c r="I12326" t="s">
        <v>30919</v>
      </c>
      <c r="J12326" t="s">
        <v>38723</v>
      </c>
      <c r="K12326" t="s">
        <v>40308</v>
      </c>
      <c r="M12326" t="s">
        <v>41383</v>
      </c>
      <c r="N12326" t="s">
        <v>44759</v>
      </c>
      <c r="O12326" t="s">
        <v>44760</v>
      </c>
      <c r="P12326">
        <v>0</v>
      </c>
      <c r="Q12326">
        <v>0</v>
      </c>
      <c r="R12326" t="s">
        <v>44776</v>
      </c>
      <c r="S12326" t="s">
        <v>45453</v>
      </c>
      <c r="T12326" t="s">
        <v>46362</v>
      </c>
      <c r="U12326" t="s">
        <v>57077</v>
      </c>
      <c r="W12326" t="s">
        <v>41383</v>
      </c>
      <c r="X12326" t="s">
        <v>44780</v>
      </c>
    </row>
    <row r="12327" spans="1:24">
      <c r="A12327">
        <f>HYPERLINK("https://www.philgeps.gov.ph/GEPSNONPILOT/Tender/SplashBidNoticeAbstractUI.aspx?menuIndex=3&amp;refID=7120143&amp;Result=3","7120143")</f>
        <v>0</v>
      </c>
      <c r="B12327" t="s">
        <v>1177</v>
      </c>
      <c r="C12327" t="s">
        <v>15482</v>
      </c>
      <c r="D12327" t="s">
        <v>17975</v>
      </c>
      <c r="E12327" t="s">
        <v>28689</v>
      </c>
      <c r="F12327" t="s">
        <v>30900</v>
      </c>
      <c r="G12327" t="s">
        <v>30907</v>
      </c>
      <c r="H12327" t="s">
        <v>30916</v>
      </c>
      <c r="I12327" t="s">
        <v>30947</v>
      </c>
      <c r="J12327" t="s">
        <v>38724</v>
      </c>
      <c r="K12327" t="s">
        <v>40286</v>
      </c>
      <c r="M12327" t="s">
        <v>41784</v>
      </c>
      <c r="N12327" t="s">
        <v>44759</v>
      </c>
      <c r="O12327" t="s">
        <v>44760</v>
      </c>
      <c r="P12327">
        <v>0</v>
      </c>
      <c r="Q12327">
        <v>3</v>
      </c>
      <c r="R12327" t="s">
        <v>44776</v>
      </c>
      <c r="S12327" t="s">
        <v>45453</v>
      </c>
      <c r="T12327" t="s">
        <v>46389</v>
      </c>
      <c r="U12327" t="s">
        <v>57078</v>
      </c>
      <c r="V12327" t="s">
        <v>60455</v>
      </c>
      <c r="W12327" t="s">
        <v>41784</v>
      </c>
      <c r="X12327" t="s">
        <v>44777</v>
      </c>
    </row>
    <row r="12328" spans="1:24">
      <c r="A12328">
        <f>HYPERLINK("https://www.philgeps.gov.ph/GEPSNONPILOT/Tender/SplashBidNoticeAbstractUI.aspx?menuIndex=3&amp;refID=7120135&amp;Result=3","7120135")</f>
        <v>0</v>
      </c>
      <c r="B12328" t="s">
        <v>812</v>
      </c>
      <c r="C12328" t="s">
        <v>15483</v>
      </c>
      <c r="D12328" t="s">
        <v>18028</v>
      </c>
      <c r="E12328" t="s">
        <v>28690</v>
      </c>
      <c r="F12328" t="s">
        <v>30900</v>
      </c>
      <c r="G12328" t="s">
        <v>30907</v>
      </c>
      <c r="H12328" t="s">
        <v>30915</v>
      </c>
      <c r="I12328" t="s">
        <v>30919</v>
      </c>
      <c r="J12328" t="s">
        <v>31241</v>
      </c>
      <c r="K12328" t="s">
        <v>40538</v>
      </c>
      <c r="M12328" t="s">
        <v>41383</v>
      </c>
      <c r="N12328" t="s">
        <v>44759</v>
      </c>
      <c r="O12328" t="s">
        <v>44760</v>
      </c>
      <c r="P12328">
        <v>0</v>
      </c>
      <c r="Q12328">
        <v>1</v>
      </c>
      <c r="R12328" t="s">
        <v>44776</v>
      </c>
      <c r="S12328" t="s">
        <v>45453</v>
      </c>
      <c r="T12328" t="s">
        <v>46389</v>
      </c>
      <c r="U12328" t="s">
        <v>57079</v>
      </c>
      <c r="W12328" t="s">
        <v>41383</v>
      </c>
      <c r="X12328" t="s">
        <v>44777</v>
      </c>
    </row>
    <row r="12329" spans="1:24">
      <c r="A12329">
        <f>HYPERLINK("https://www.philgeps.gov.ph/GEPSNONPILOT/Tender/SplashBidNoticeAbstractUI.aspx?menuIndex=3&amp;refID=7120144&amp;Result=3","7120144")</f>
        <v>0</v>
      </c>
      <c r="B12329" t="s">
        <v>3488</v>
      </c>
      <c r="C12329" t="s">
        <v>15484</v>
      </c>
      <c r="D12329" t="s">
        <v>18054</v>
      </c>
      <c r="E12329" t="s">
        <v>28691</v>
      </c>
      <c r="F12329" t="s">
        <v>30900</v>
      </c>
      <c r="G12329" t="s">
        <v>30913</v>
      </c>
      <c r="H12329" t="s">
        <v>30916</v>
      </c>
      <c r="I12329" t="s">
        <v>30949</v>
      </c>
      <c r="J12329" t="s">
        <v>31270</v>
      </c>
      <c r="K12329" t="s">
        <v>40293</v>
      </c>
      <c r="M12329" t="s">
        <v>44389</v>
      </c>
      <c r="N12329" t="s">
        <v>44759</v>
      </c>
      <c r="O12329" t="s">
        <v>44760</v>
      </c>
      <c r="Q12329">
        <v>7</v>
      </c>
      <c r="R12329" t="s">
        <v>44776</v>
      </c>
      <c r="S12329" t="s">
        <v>45466</v>
      </c>
      <c r="T12329" t="s">
        <v>46359</v>
      </c>
      <c r="U12329" t="s">
        <v>57080</v>
      </c>
      <c r="W12329" t="s">
        <v>44389</v>
      </c>
      <c r="X12329" t="s">
        <v>44777</v>
      </c>
    </row>
    <row r="12330" spans="1:24">
      <c r="A12330">
        <f>HYPERLINK("https://www.philgeps.gov.ph/GEPSNONPILOT/Tender/SplashBidNoticeAbstractUI.aspx?menuIndex=3&amp;refID=7120124&amp;Result=3","7120124")</f>
        <v>0</v>
      </c>
      <c r="B12330" t="s">
        <v>812</v>
      </c>
      <c r="C12330" t="s">
        <v>15485</v>
      </c>
      <c r="D12330" t="s">
        <v>18028</v>
      </c>
      <c r="E12330" t="s">
        <v>28692</v>
      </c>
      <c r="F12330" t="s">
        <v>30900</v>
      </c>
      <c r="G12330" t="s">
        <v>30907</v>
      </c>
      <c r="H12330" t="s">
        <v>30915</v>
      </c>
      <c r="I12330" t="s">
        <v>30919</v>
      </c>
      <c r="J12330" t="s">
        <v>38725</v>
      </c>
      <c r="K12330" t="s">
        <v>40335</v>
      </c>
      <c r="M12330" t="s">
        <v>41383</v>
      </c>
      <c r="N12330" t="s">
        <v>44759</v>
      </c>
      <c r="O12330" t="s">
        <v>44760</v>
      </c>
      <c r="P12330">
        <v>0</v>
      </c>
      <c r="Q12330">
        <v>0</v>
      </c>
      <c r="R12330" t="s">
        <v>44776</v>
      </c>
      <c r="S12330" t="s">
        <v>45453</v>
      </c>
      <c r="T12330" t="s">
        <v>46389</v>
      </c>
      <c r="U12330" t="s">
        <v>57081</v>
      </c>
      <c r="W12330" t="s">
        <v>41383</v>
      </c>
      <c r="X12330" t="s">
        <v>44777</v>
      </c>
    </row>
    <row r="12331" spans="1:24">
      <c r="A12331">
        <f>HYPERLINK("https://www.philgeps.gov.ph/GEPSNONPILOT/Tender/SplashBidNoticeAbstractUI.aspx?menuIndex=3&amp;refID=7120122&amp;Result=3","7120122")</f>
        <v>0</v>
      </c>
      <c r="B12331" t="s">
        <v>3489</v>
      </c>
      <c r="C12331" t="s">
        <v>15486</v>
      </c>
      <c r="D12331" t="s">
        <v>17996</v>
      </c>
      <c r="E12331" t="s">
        <v>28693</v>
      </c>
      <c r="F12331" t="s">
        <v>30900</v>
      </c>
      <c r="G12331" t="s">
        <v>30907</v>
      </c>
      <c r="H12331" t="s">
        <v>30915</v>
      </c>
      <c r="I12331" t="s">
        <v>30919</v>
      </c>
      <c r="J12331" t="s">
        <v>31241</v>
      </c>
      <c r="K12331" t="s">
        <v>40289</v>
      </c>
      <c r="M12331" t="s">
        <v>44390</v>
      </c>
      <c r="N12331" t="s">
        <v>44759</v>
      </c>
      <c r="O12331" t="s">
        <v>44760</v>
      </c>
      <c r="P12331">
        <v>0</v>
      </c>
      <c r="Q12331">
        <v>0</v>
      </c>
      <c r="R12331" t="s">
        <v>44776</v>
      </c>
      <c r="S12331" t="s">
        <v>45453</v>
      </c>
      <c r="T12331" t="s">
        <v>46409</v>
      </c>
      <c r="U12331" t="s">
        <v>57082</v>
      </c>
      <c r="W12331" t="s">
        <v>44390</v>
      </c>
      <c r="X12331" t="s">
        <v>44777</v>
      </c>
    </row>
    <row r="12332" spans="1:24">
      <c r="A12332">
        <f>HYPERLINK("https://www.philgeps.gov.ph/GEPSNONPILOT/Tender/SplashBidNoticeAbstractUI.aspx?menuIndex=3&amp;refID=7119625&amp;Result=3","7119625")</f>
        <v>0</v>
      </c>
      <c r="B12332" t="s">
        <v>3490</v>
      </c>
      <c r="C12332" t="s">
        <v>15487</v>
      </c>
      <c r="D12332" t="s">
        <v>18039</v>
      </c>
      <c r="E12332" t="s">
        <v>28694</v>
      </c>
      <c r="F12332" t="s">
        <v>30900</v>
      </c>
      <c r="G12332" t="s">
        <v>30907</v>
      </c>
      <c r="H12332" t="s">
        <v>30915</v>
      </c>
      <c r="I12332" t="s">
        <v>30919</v>
      </c>
      <c r="J12332" t="s">
        <v>38726</v>
      </c>
      <c r="K12332" t="s">
        <v>40290</v>
      </c>
      <c r="M12332" t="s">
        <v>44391</v>
      </c>
      <c r="N12332" t="s">
        <v>44759</v>
      </c>
      <c r="O12332" t="s">
        <v>44760</v>
      </c>
      <c r="P12332">
        <v>0</v>
      </c>
      <c r="Q12332">
        <v>6</v>
      </c>
      <c r="R12332" t="s">
        <v>44776</v>
      </c>
      <c r="S12332" t="s">
        <v>45453</v>
      </c>
      <c r="T12332" t="s">
        <v>46512</v>
      </c>
      <c r="U12332" t="s">
        <v>57083</v>
      </c>
      <c r="W12332" t="s">
        <v>60932</v>
      </c>
      <c r="X12332" t="s">
        <v>44779</v>
      </c>
    </row>
    <row r="12333" spans="1:24">
      <c r="A12333">
        <f>HYPERLINK("https://www.philgeps.gov.ph/GEPSNONPILOT/Tender/SplashBidNoticeAbstractUI.aspx?menuIndex=3&amp;refID=7120120&amp;Result=3","7120120")</f>
        <v>0</v>
      </c>
      <c r="B12333" t="s">
        <v>3489</v>
      </c>
      <c r="C12333" t="s">
        <v>15488</v>
      </c>
      <c r="D12333" t="s">
        <v>17996</v>
      </c>
      <c r="E12333" t="s">
        <v>28695</v>
      </c>
      <c r="F12333" t="s">
        <v>30900</v>
      </c>
      <c r="G12333" t="s">
        <v>30907</v>
      </c>
      <c r="H12333" t="s">
        <v>30915</v>
      </c>
      <c r="I12333" t="s">
        <v>30919</v>
      </c>
      <c r="J12333" t="s">
        <v>31241</v>
      </c>
      <c r="K12333" t="s">
        <v>40289</v>
      </c>
      <c r="M12333" t="s">
        <v>44390</v>
      </c>
      <c r="N12333" t="s">
        <v>44759</v>
      </c>
      <c r="O12333" t="s">
        <v>44760</v>
      </c>
      <c r="P12333">
        <v>0</v>
      </c>
      <c r="Q12333">
        <v>0</v>
      </c>
      <c r="R12333" t="s">
        <v>44776</v>
      </c>
      <c r="S12333" t="s">
        <v>45453</v>
      </c>
      <c r="T12333" t="s">
        <v>46409</v>
      </c>
      <c r="U12333" t="s">
        <v>57084</v>
      </c>
      <c r="W12333" t="s">
        <v>44390</v>
      </c>
      <c r="X12333" t="s">
        <v>44777</v>
      </c>
    </row>
    <row r="12334" spans="1:24">
      <c r="A12334">
        <f>HYPERLINK("https://www.philgeps.gov.ph/GEPSNONPILOT/Tender/SplashBidNoticeAbstractUI.aspx?menuIndex=3&amp;refID=7120117&amp;Result=3","7120117")</f>
        <v>0</v>
      </c>
      <c r="B12334" t="s">
        <v>3489</v>
      </c>
      <c r="C12334" t="s">
        <v>15489</v>
      </c>
      <c r="D12334" t="s">
        <v>17996</v>
      </c>
      <c r="E12334" t="s">
        <v>28696</v>
      </c>
      <c r="F12334" t="s">
        <v>30900</v>
      </c>
      <c r="G12334" t="s">
        <v>30907</v>
      </c>
      <c r="H12334" t="s">
        <v>30915</v>
      </c>
      <c r="I12334" t="s">
        <v>30919</v>
      </c>
      <c r="J12334" t="s">
        <v>31241</v>
      </c>
      <c r="K12334" t="s">
        <v>40289</v>
      </c>
      <c r="M12334" t="s">
        <v>44390</v>
      </c>
      <c r="N12334" t="s">
        <v>44759</v>
      </c>
      <c r="O12334" t="s">
        <v>44760</v>
      </c>
      <c r="P12334">
        <v>0</v>
      </c>
      <c r="Q12334">
        <v>0</v>
      </c>
      <c r="R12334" t="s">
        <v>44776</v>
      </c>
      <c r="S12334" t="s">
        <v>45453</v>
      </c>
      <c r="T12334" t="s">
        <v>46409</v>
      </c>
      <c r="U12334" t="s">
        <v>57085</v>
      </c>
      <c r="W12334" t="s">
        <v>44390</v>
      </c>
      <c r="X12334" t="s">
        <v>44777</v>
      </c>
    </row>
    <row r="12335" spans="1:24">
      <c r="A12335">
        <f>HYPERLINK("https://www.philgeps.gov.ph/GEPSNONPILOT/Tender/SplashBidNoticeAbstractUI.aspx?menuIndex=3&amp;refID=7120138&amp;Result=3","7120138")</f>
        <v>0</v>
      </c>
      <c r="B12335" t="s">
        <v>1172</v>
      </c>
      <c r="C12335" t="s">
        <v>15490</v>
      </c>
      <c r="D12335" t="s">
        <v>18035</v>
      </c>
      <c r="E12335" t="s">
        <v>28697</v>
      </c>
      <c r="F12335" t="s">
        <v>30900</v>
      </c>
      <c r="G12335" t="s">
        <v>30907</v>
      </c>
      <c r="H12335" t="s">
        <v>30916</v>
      </c>
      <c r="I12335" t="s">
        <v>8123</v>
      </c>
      <c r="J12335" t="s">
        <v>38727</v>
      </c>
      <c r="K12335" t="s">
        <v>40287</v>
      </c>
      <c r="M12335" t="s">
        <v>42726</v>
      </c>
      <c r="N12335" t="s">
        <v>44759</v>
      </c>
      <c r="O12335" t="s">
        <v>44760</v>
      </c>
      <c r="P12335">
        <v>0</v>
      </c>
      <c r="Q12335">
        <v>2</v>
      </c>
      <c r="R12335" t="s">
        <v>44776</v>
      </c>
      <c r="S12335" t="s">
        <v>45453</v>
      </c>
      <c r="T12335" t="s">
        <v>46389</v>
      </c>
      <c r="U12335" t="s">
        <v>57086</v>
      </c>
      <c r="W12335" t="s">
        <v>42726</v>
      </c>
      <c r="X12335" t="s">
        <v>44777</v>
      </c>
    </row>
    <row r="12336" spans="1:24">
      <c r="A12336">
        <f>HYPERLINK("https://www.philgeps.gov.ph/GEPSNONPILOT/Tender/SplashBidNoticeAbstractUI.aspx?menuIndex=3&amp;refID=7120112&amp;Result=3","7120112")</f>
        <v>0</v>
      </c>
      <c r="B12336" t="s">
        <v>3489</v>
      </c>
      <c r="C12336" t="s">
        <v>15491</v>
      </c>
      <c r="D12336" t="s">
        <v>17996</v>
      </c>
      <c r="E12336" t="s">
        <v>28698</v>
      </c>
      <c r="F12336" t="s">
        <v>30900</v>
      </c>
      <c r="G12336" t="s">
        <v>30907</v>
      </c>
      <c r="H12336" t="s">
        <v>30915</v>
      </c>
      <c r="I12336" t="s">
        <v>30919</v>
      </c>
      <c r="J12336" t="s">
        <v>32753</v>
      </c>
      <c r="K12336" t="s">
        <v>40289</v>
      </c>
      <c r="M12336" t="s">
        <v>44390</v>
      </c>
      <c r="N12336" t="s">
        <v>44759</v>
      </c>
      <c r="O12336" t="s">
        <v>44760</v>
      </c>
      <c r="P12336">
        <v>0</v>
      </c>
      <c r="Q12336">
        <v>0</v>
      </c>
      <c r="R12336" t="s">
        <v>44776</v>
      </c>
      <c r="S12336" t="s">
        <v>45453</v>
      </c>
      <c r="T12336" t="s">
        <v>46409</v>
      </c>
      <c r="U12336" t="s">
        <v>57087</v>
      </c>
      <c r="W12336" t="s">
        <v>44390</v>
      </c>
      <c r="X12336" t="s">
        <v>44777</v>
      </c>
    </row>
    <row r="12337" spans="1:24">
      <c r="A12337">
        <f>HYPERLINK("https://www.philgeps.gov.ph/GEPSNONPILOT/Tender/SplashBidNoticeAbstractUI.aspx?menuIndex=3&amp;refID=7120328&amp;Result=3","7120328")</f>
        <v>0</v>
      </c>
      <c r="B12337" t="s">
        <v>3491</v>
      </c>
      <c r="C12337" t="s">
        <v>15492</v>
      </c>
      <c r="D12337" t="s">
        <v>17999</v>
      </c>
      <c r="E12337" t="s">
        <v>28699</v>
      </c>
      <c r="F12337" t="s">
        <v>30900</v>
      </c>
      <c r="G12337" t="s">
        <v>30907</v>
      </c>
      <c r="H12337" t="s">
        <v>30916</v>
      </c>
      <c r="I12337" t="s">
        <v>30922</v>
      </c>
      <c r="J12337" t="s">
        <v>36394</v>
      </c>
      <c r="K12337" t="s">
        <v>40286</v>
      </c>
      <c r="M12337" t="s">
        <v>44392</v>
      </c>
      <c r="N12337" t="s">
        <v>44759</v>
      </c>
      <c r="O12337" t="s">
        <v>44760</v>
      </c>
      <c r="P12337">
        <v>0</v>
      </c>
      <c r="Q12337">
        <v>3</v>
      </c>
      <c r="R12337" t="s">
        <v>44776</v>
      </c>
      <c r="S12337" t="s">
        <v>45453</v>
      </c>
      <c r="T12337" t="s">
        <v>46771</v>
      </c>
      <c r="U12337" t="s">
        <v>57088</v>
      </c>
      <c r="W12337" t="s">
        <v>44392</v>
      </c>
      <c r="X12337" t="s">
        <v>44777</v>
      </c>
    </row>
    <row r="12338" spans="1:24">
      <c r="A12338">
        <f>HYPERLINK("https://www.philgeps.gov.ph/GEPSNONPILOT/Tender/SplashBidNoticeAbstractUI.aspx?menuIndex=3&amp;refID=7120320&amp;Result=3","7120320")</f>
        <v>0</v>
      </c>
      <c r="B12338" t="s">
        <v>331</v>
      </c>
      <c r="C12338" t="s">
        <v>15493</v>
      </c>
      <c r="D12338" t="s">
        <v>18004</v>
      </c>
      <c r="E12338" t="s">
        <v>28700</v>
      </c>
      <c r="F12338" t="s">
        <v>30900</v>
      </c>
      <c r="G12338" t="s">
        <v>30907</v>
      </c>
      <c r="H12338" t="s">
        <v>30916</v>
      </c>
      <c r="I12338" t="s">
        <v>8123</v>
      </c>
      <c r="J12338" t="s">
        <v>38728</v>
      </c>
      <c r="K12338" t="s">
        <v>40292</v>
      </c>
      <c r="M12338" t="s">
        <v>40882</v>
      </c>
      <c r="N12338" t="s">
        <v>44759</v>
      </c>
      <c r="O12338" t="s">
        <v>44760</v>
      </c>
      <c r="P12338">
        <v>0</v>
      </c>
      <c r="Q12338">
        <v>0</v>
      </c>
      <c r="R12338" t="s">
        <v>44776</v>
      </c>
      <c r="S12338" t="s">
        <v>45453</v>
      </c>
      <c r="T12338" t="s">
        <v>46357</v>
      </c>
      <c r="U12338" t="s">
        <v>57089</v>
      </c>
      <c r="W12338" t="s">
        <v>40882</v>
      </c>
      <c r="X12338" t="s">
        <v>44777</v>
      </c>
    </row>
    <row r="12339" spans="1:24">
      <c r="A12339">
        <f>HYPERLINK("https://www.philgeps.gov.ph/GEPSNONPILOT/Tender/SplashBidNoticeAbstractUI.aspx?menuIndex=3&amp;refID=7120309&amp;Result=3","7120309")</f>
        <v>0</v>
      </c>
      <c r="B12339" t="s">
        <v>1177</v>
      </c>
      <c r="C12339" t="s">
        <v>15494</v>
      </c>
      <c r="D12339" t="s">
        <v>17975</v>
      </c>
      <c r="E12339" t="s">
        <v>28701</v>
      </c>
      <c r="F12339" t="s">
        <v>30900</v>
      </c>
      <c r="G12339" t="s">
        <v>30907</v>
      </c>
      <c r="H12339" t="s">
        <v>30916</v>
      </c>
      <c r="I12339" t="s">
        <v>5830</v>
      </c>
      <c r="J12339" t="s">
        <v>31153</v>
      </c>
      <c r="K12339" t="s">
        <v>40280</v>
      </c>
      <c r="M12339" t="s">
        <v>41784</v>
      </c>
      <c r="N12339" t="s">
        <v>44759</v>
      </c>
      <c r="O12339" t="s">
        <v>44760</v>
      </c>
      <c r="P12339">
        <v>0</v>
      </c>
      <c r="Q12339">
        <v>9</v>
      </c>
      <c r="R12339" t="s">
        <v>44776</v>
      </c>
      <c r="S12339" t="s">
        <v>45453</v>
      </c>
      <c r="T12339" t="s">
        <v>46389</v>
      </c>
      <c r="U12339" t="s">
        <v>57090</v>
      </c>
      <c r="V12339" t="s">
        <v>60455</v>
      </c>
      <c r="W12339" t="s">
        <v>41784</v>
      </c>
      <c r="X12339" t="s">
        <v>44777</v>
      </c>
    </row>
    <row r="12340" spans="1:24">
      <c r="A12340">
        <f>HYPERLINK("https://www.philgeps.gov.ph/GEPSNONPILOT/Tender/SplashBidNoticeAbstractUI.aspx?menuIndex=3&amp;refID=7120146&amp;Result=3","7120146")</f>
        <v>0</v>
      </c>
      <c r="B12340" t="s">
        <v>812</v>
      </c>
      <c r="C12340" t="s">
        <v>15495</v>
      </c>
      <c r="D12340" t="s">
        <v>18028</v>
      </c>
      <c r="E12340" t="s">
        <v>28702</v>
      </c>
      <c r="F12340" t="s">
        <v>30900</v>
      </c>
      <c r="G12340" t="s">
        <v>30907</v>
      </c>
      <c r="H12340" t="s">
        <v>30915</v>
      </c>
      <c r="I12340" t="s">
        <v>30919</v>
      </c>
      <c r="J12340" t="s">
        <v>38729</v>
      </c>
      <c r="K12340" t="s">
        <v>40360</v>
      </c>
      <c r="M12340" t="s">
        <v>41383</v>
      </c>
      <c r="N12340" t="s">
        <v>44759</v>
      </c>
      <c r="O12340" t="s">
        <v>44760</v>
      </c>
      <c r="P12340">
        <v>0</v>
      </c>
      <c r="Q12340">
        <v>2</v>
      </c>
      <c r="R12340" t="s">
        <v>44776</v>
      </c>
      <c r="S12340" t="s">
        <v>45453</v>
      </c>
      <c r="T12340" t="s">
        <v>46389</v>
      </c>
      <c r="U12340" t="s">
        <v>57091</v>
      </c>
      <c r="W12340" t="s">
        <v>41383</v>
      </c>
      <c r="X12340" t="s">
        <v>44777</v>
      </c>
    </row>
    <row r="12341" spans="1:24">
      <c r="A12341">
        <f>HYPERLINK("https://www.philgeps.gov.ph/GEPSNONPILOT/Tender/SplashBidNoticeAbstractUI.aspx?menuIndex=3&amp;refID=7120107&amp;Result=3","7120107")</f>
        <v>0</v>
      </c>
      <c r="B12341" t="s">
        <v>3489</v>
      </c>
      <c r="C12341" t="s">
        <v>15496</v>
      </c>
      <c r="D12341" t="s">
        <v>17996</v>
      </c>
      <c r="E12341" t="s">
        <v>28703</v>
      </c>
      <c r="F12341" t="s">
        <v>30900</v>
      </c>
      <c r="G12341" t="s">
        <v>30907</v>
      </c>
      <c r="H12341" t="s">
        <v>30915</v>
      </c>
      <c r="I12341" t="s">
        <v>30919</v>
      </c>
      <c r="J12341" t="s">
        <v>38730</v>
      </c>
      <c r="K12341" t="s">
        <v>40289</v>
      </c>
      <c r="M12341" t="s">
        <v>44390</v>
      </c>
      <c r="N12341" t="s">
        <v>44759</v>
      </c>
      <c r="O12341" t="s">
        <v>44760</v>
      </c>
      <c r="P12341">
        <v>0</v>
      </c>
      <c r="Q12341">
        <v>0</v>
      </c>
      <c r="R12341" t="s">
        <v>44776</v>
      </c>
      <c r="S12341" t="s">
        <v>45453</v>
      </c>
      <c r="T12341" t="s">
        <v>46409</v>
      </c>
      <c r="U12341" t="s">
        <v>57092</v>
      </c>
      <c r="W12341" t="s">
        <v>44390</v>
      </c>
      <c r="X12341" t="s">
        <v>44777</v>
      </c>
    </row>
    <row r="12342" spans="1:24">
      <c r="A12342">
        <f>HYPERLINK("https://www.philgeps.gov.ph/GEPSNONPILOT/Tender/SplashBidNoticeAbstractUI.aspx?menuIndex=3&amp;refID=7120302&amp;Result=3","7120302")</f>
        <v>0</v>
      </c>
      <c r="B12342" t="s">
        <v>1254</v>
      </c>
      <c r="C12342" t="s">
        <v>15497</v>
      </c>
      <c r="D12342" t="s">
        <v>17998</v>
      </c>
      <c r="E12342" t="s">
        <v>26816</v>
      </c>
      <c r="F12342" t="s">
        <v>30899</v>
      </c>
      <c r="G12342" t="s">
        <v>30907</v>
      </c>
      <c r="H12342" t="s">
        <v>30916</v>
      </c>
      <c r="I12342" t="s">
        <v>30933</v>
      </c>
      <c r="J12342" t="s">
        <v>31297</v>
      </c>
      <c r="K12342" t="s">
        <v>40286</v>
      </c>
      <c r="M12342" t="s">
        <v>41866</v>
      </c>
      <c r="N12342" t="s">
        <v>44759</v>
      </c>
      <c r="O12342" t="s">
        <v>44760</v>
      </c>
      <c r="P12342">
        <v>0</v>
      </c>
      <c r="Q12342">
        <v>5</v>
      </c>
      <c r="R12342" t="s">
        <v>44776</v>
      </c>
      <c r="S12342" t="s">
        <v>45453</v>
      </c>
      <c r="T12342" t="s">
        <v>46409</v>
      </c>
      <c r="U12342" t="s">
        <v>57093</v>
      </c>
      <c r="W12342" t="s">
        <v>41866</v>
      </c>
      <c r="X12342" t="s">
        <v>44777</v>
      </c>
    </row>
    <row r="12343" spans="1:24">
      <c r="A12343">
        <f>HYPERLINK("https://www.philgeps.gov.ph/GEPSNONPILOT/Tender/SplashBidNoticeAbstractUI.aspx?menuIndex=3&amp;refID=7120301&amp;Result=3","7120301")</f>
        <v>0</v>
      </c>
      <c r="B12343" t="s">
        <v>1043</v>
      </c>
      <c r="C12343" t="s">
        <v>15498</v>
      </c>
      <c r="D12343" t="s">
        <v>18000</v>
      </c>
      <c r="E12343" t="s">
        <v>28704</v>
      </c>
      <c r="F12343" t="s">
        <v>30900</v>
      </c>
      <c r="G12343" t="s">
        <v>30907</v>
      </c>
      <c r="H12343" t="s">
        <v>30916</v>
      </c>
      <c r="I12343" t="s">
        <v>10879</v>
      </c>
      <c r="J12343" t="s">
        <v>31241</v>
      </c>
      <c r="K12343" t="s">
        <v>40289</v>
      </c>
      <c r="M12343" t="s">
        <v>41642</v>
      </c>
      <c r="N12343" t="s">
        <v>44759</v>
      </c>
      <c r="O12343" t="s">
        <v>44760</v>
      </c>
      <c r="P12343">
        <v>0</v>
      </c>
      <c r="Q12343">
        <v>4</v>
      </c>
      <c r="R12343" t="s">
        <v>44776</v>
      </c>
      <c r="S12343" t="s">
        <v>45453</v>
      </c>
      <c r="T12343" t="s">
        <v>46425</v>
      </c>
      <c r="U12343" t="s">
        <v>57094</v>
      </c>
      <c r="W12343" t="s">
        <v>41642</v>
      </c>
      <c r="X12343" t="s">
        <v>44777</v>
      </c>
    </row>
    <row r="12344" spans="1:24">
      <c r="A12344">
        <f>HYPERLINK("https://www.philgeps.gov.ph/GEPSNONPILOT/Tender/SplashBidNoticeAbstractUI.aspx?menuIndex=3&amp;refID=7119516&amp;Result=3","7119516")</f>
        <v>0</v>
      </c>
      <c r="B12344" t="s">
        <v>134</v>
      </c>
      <c r="C12344" t="s">
        <v>15499</v>
      </c>
      <c r="E12344" t="s">
        <v>28705</v>
      </c>
      <c r="F12344" t="s">
        <v>30900</v>
      </c>
      <c r="G12344" t="s">
        <v>30907</v>
      </c>
      <c r="H12344" t="s">
        <v>30916</v>
      </c>
      <c r="I12344" t="s">
        <v>30928</v>
      </c>
      <c r="J12344" t="s">
        <v>32753</v>
      </c>
      <c r="K12344" t="s">
        <v>40286</v>
      </c>
      <c r="M12344" t="s">
        <v>40681</v>
      </c>
      <c r="N12344" t="s">
        <v>44759</v>
      </c>
      <c r="O12344" t="s">
        <v>44760</v>
      </c>
      <c r="Q12344">
        <v>8</v>
      </c>
      <c r="R12344" t="s">
        <v>44776</v>
      </c>
      <c r="S12344" t="s">
        <v>45467</v>
      </c>
      <c r="T12344" t="s">
        <v>46421</v>
      </c>
      <c r="U12344" t="s">
        <v>54994</v>
      </c>
      <c r="W12344" t="s">
        <v>40681</v>
      </c>
      <c r="X12344" t="s">
        <v>44779</v>
      </c>
    </row>
    <row r="12345" spans="1:24">
      <c r="A12345">
        <f>HYPERLINK("https://www.philgeps.gov.ph/GEPSNONPILOT/Tender/SplashBidNoticeAbstractUI.aspx?menuIndex=3&amp;refID=7120291&amp;Result=3","7120291")</f>
        <v>0</v>
      </c>
      <c r="B12345" t="s">
        <v>589</v>
      </c>
      <c r="C12345" t="s">
        <v>15500</v>
      </c>
      <c r="D12345" t="s">
        <v>17969</v>
      </c>
      <c r="E12345" t="s">
        <v>28706</v>
      </c>
      <c r="F12345" t="s">
        <v>30900</v>
      </c>
      <c r="G12345" t="s">
        <v>30907</v>
      </c>
      <c r="H12345" t="s">
        <v>30915</v>
      </c>
      <c r="I12345" t="s">
        <v>30919</v>
      </c>
      <c r="J12345" t="s">
        <v>38731</v>
      </c>
      <c r="K12345" t="s">
        <v>40301</v>
      </c>
      <c r="M12345" t="s">
        <v>41151</v>
      </c>
      <c r="N12345" t="s">
        <v>44759</v>
      </c>
      <c r="O12345" t="s">
        <v>44760</v>
      </c>
      <c r="P12345">
        <v>0</v>
      </c>
      <c r="Q12345">
        <v>0</v>
      </c>
      <c r="R12345" t="s">
        <v>44776</v>
      </c>
      <c r="S12345" t="s">
        <v>45453</v>
      </c>
      <c r="T12345" t="s">
        <v>46412</v>
      </c>
      <c r="U12345" t="s">
        <v>57095</v>
      </c>
      <c r="W12345" t="s">
        <v>41151</v>
      </c>
      <c r="X12345" t="s">
        <v>44777</v>
      </c>
    </row>
    <row r="12346" spans="1:24">
      <c r="A12346">
        <f>HYPERLINK("https://www.philgeps.gov.ph/GEPSNONPILOT/Tender/SplashBidNoticeAbstractUI.aspx?menuIndex=3&amp;refID=7120286&amp;Result=3","7120286")</f>
        <v>0</v>
      </c>
      <c r="B12346" t="s">
        <v>3492</v>
      </c>
      <c r="C12346" t="s">
        <v>15501</v>
      </c>
      <c r="D12346" t="s">
        <v>17980</v>
      </c>
      <c r="E12346" t="s">
        <v>28707</v>
      </c>
      <c r="F12346" t="s">
        <v>30900</v>
      </c>
      <c r="G12346" t="s">
        <v>30907</v>
      </c>
      <c r="H12346" t="s">
        <v>30916</v>
      </c>
      <c r="I12346" t="s">
        <v>30918</v>
      </c>
      <c r="J12346" t="s">
        <v>31243</v>
      </c>
      <c r="K12346" t="s">
        <v>40284</v>
      </c>
      <c r="M12346" t="s">
        <v>44393</v>
      </c>
      <c r="N12346" t="s">
        <v>44759</v>
      </c>
      <c r="O12346" t="s">
        <v>44760</v>
      </c>
      <c r="P12346">
        <v>0</v>
      </c>
      <c r="Q12346">
        <v>4</v>
      </c>
      <c r="R12346" t="s">
        <v>44776</v>
      </c>
      <c r="S12346" t="s">
        <v>45453</v>
      </c>
      <c r="T12346" t="s">
        <v>46409</v>
      </c>
      <c r="U12346" t="s">
        <v>57096</v>
      </c>
      <c r="W12346" t="s">
        <v>44393</v>
      </c>
      <c r="X12346" t="s">
        <v>44777</v>
      </c>
    </row>
    <row r="12347" spans="1:24">
      <c r="A12347">
        <f>HYPERLINK("https://www.philgeps.gov.ph/GEPSNONPILOT/Tender/SplashBidNoticeAbstractUI.aspx?menuIndex=3&amp;refID=7120280&amp;Result=3","7120280")</f>
        <v>0</v>
      </c>
      <c r="B12347" t="s">
        <v>3493</v>
      </c>
      <c r="C12347" t="s">
        <v>15502</v>
      </c>
      <c r="D12347" t="s">
        <v>17975</v>
      </c>
      <c r="E12347" t="s">
        <v>18158</v>
      </c>
      <c r="F12347" t="s">
        <v>30900</v>
      </c>
      <c r="G12347" t="s">
        <v>30907</v>
      </c>
      <c r="H12347" t="s">
        <v>30916</v>
      </c>
      <c r="I12347" t="s">
        <v>8123</v>
      </c>
      <c r="J12347" t="s">
        <v>38732</v>
      </c>
      <c r="K12347" t="s">
        <v>40283</v>
      </c>
      <c r="M12347" t="s">
        <v>44394</v>
      </c>
      <c r="N12347" t="s">
        <v>44759</v>
      </c>
      <c r="O12347" t="s">
        <v>44760</v>
      </c>
      <c r="P12347">
        <v>0</v>
      </c>
      <c r="Q12347">
        <v>1</v>
      </c>
      <c r="R12347" t="s">
        <v>44776</v>
      </c>
      <c r="S12347" t="s">
        <v>45453</v>
      </c>
      <c r="T12347" t="s">
        <v>46399</v>
      </c>
      <c r="U12347" t="s">
        <v>57097</v>
      </c>
      <c r="W12347" t="s">
        <v>44394</v>
      </c>
      <c r="X12347" t="s">
        <v>44777</v>
      </c>
    </row>
    <row r="12348" spans="1:24">
      <c r="A12348">
        <f>HYPERLINK("https://www.philgeps.gov.ph/GEPSNONPILOT/Tender/SplashBidNoticeAbstractUI.aspx?menuIndex=3&amp;refID=7120329&amp;Result=3","7120329")</f>
        <v>0</v>
      </c>
      <c r="B12348" t="s">
        <v>3492</v>
      </c>
      <c r="C12348" t="s">
        <v>15501</v>
      </c>
      <c r="D12348" t="s">
        <v>17980</v>
      </c>
      <c r="E12348" t="s">
        <v>28708</v>
      </c>
      <c r="F12348" t="s">
        <v>30900</v>
      </c>
      <c r="G12348" t="s">
        <v>30907</v>
      </c>
      <c r="H12348" t="s">
        <v>30916</v>
      </c>
      <c r="I12348" t="s">
        <v>30918</v>
      </c>
      <c r="J12348" t="s">
        <v>31096</v>
      </c>
      <c r="K12348" t="s">
        <v>40284</v>
      </c>
      <c r="M12348" t="s">
        <v>44393</v>
      </c>
      <c r="N12348" t="s">
        <v>44759</v>
      </c>
      <c r="O12348" t="s">
        <v>44760</v>
      </c>
      <c r="P12348">
        <v>0</v>
      </c>
      <c r="Q12348">
        <v>1</v>
      </c>
      <c r="R12348" t="s">
        <v>44776</v>
      </c>
      <c r="S12348" t="s">
        <v>45453</v>
      </c>
      <c r="T12348" t="s">
        <v>46409</v>
      </c>
      <c r="U12348" t="s">
        <v>57098</v>
      </c>
      <c r="W12348" t="s">
        <v>44393</v>
      </c>
      <c r="X12348" t="s">
        <v>44777</v>
      </c>
    </row>
    <row r="12349" spans="1:24">
      <c r="A12349">
        <f>HYPERLINK("https://www.philgeps.gov.ph/GEPSNONPILOT/Tender/SplashBidNoticeAbstractUI.aspx?menuIndex=3&amp;refID=7120114&amp;Result=3","7120114")</f>
        <v>0</v>
      </c>
      <c r="B12349" t="s">
        <v>3489</v>
      </c>
      <c r="C12349" t="s">
        <v>15503</v>
      </c>
      <c r="D12349" t="s">
        <v>17996</v>
      </c>
      <c r="E12349" t="s">
        <v>28709</v>
      </c>
      <c r="F12349" t="s">
        <v>30900</v>
      </c>
      <c r="G12349" t="s">
        <v>30907</v>
      </c>
      <c r="H12349" t="s">
        <v>30915</v>
      </c>
      <c r="I12349" t="s">
        <v>30919</v>
      </c>
      <c r="J12349" t="s">
        <v>32753</v>
      </c>
      <c r="K12349" t="s">
        <v>40289</v>
      </c>
      <c r="M12349" t="s">
        <v>44390</v>
      </c>
      <c r="N12349" t="s">
        <v>44759</v>
      </c>
      <c r="O12349" t="s">
        <v>44760</v>
      </c>
      <c r="P12349">
        <v>0</v>
      </c>
      <c r="Q12349">
        <v>0</v>
      </c>
      <c r="R12349" t="s">
        <v>44776</v>
      </c>
      <c r="S12349" t="s">
        <v>45453</v>
      </c>
      <c r="T12349" t="s">
        <v>46409</v>
      </c>
      <c r="U12349" t="s">
        <v>57099</v>
      </c>
      <c r="W12349" t="s">
        <v>44390</v>
      </c>
      <c r="X12349" t="s">
        <v>44777</v>
      </c>
    </row>
    <row r="12350" spans="1:24">
      <c r="A12350">
        <f>HYPERLINK("https://www.philgeps.gov.ph/GEPSNONPILOT/Tender/SplashBidNoticeAbstractUI.aspx?menuIndex=3&amp;refID=7120153&amp;Result=3","7120153")</f>
        <v>0</v>
      </c>
      <c r="B12350" t="s">
        <v>1177</v>
      </c>
      <c r="C12350" t="s">
        <v>15504</v>
      </c>
      <c r="D12350" t="s">
        <v>17975</v>
      </c>
      <c r="E12350" t="s">
        <v>28710</v>
      </c>
      <c r="F12350" t="s">
        <v>30900</v>
      </c>
      <c r="G12350" t="s">
        <v>30907</v>
      </c>
      <c r="H12350" t="s">
        <v>30916</v>
      </c>
      <c r="I12350" t="s">
        <v>4108</v>
      </c>
      <c r="J12350" t="s">
        <v>38733</v>
      </c>
      <c r="K12350" t="s">
        <v>40280</v>
      </c>
      <c r="M12350" t="s">
        <v>41784</v>
      </c>
      <c r="N12350" t="s">
        <v>44759</v>
      </c>
      <c r="O12350" t="s">
        <v>44760</v>
      </c>
      <c r="P12350">
        <v>0</v>
      </c>
      <c r="Q12350">
        <v>3</v>
      </c>
      <c r="R12350" t="s">
        <v>44776</v>
      </c>
      <c r="S12350" t="s">
        <v>45453</v>
      </c>
      <c r="T12350" t="s">
        <v>46389</v>
      </c>
      <c r="U12350" t="s">
        <v>57100</v>
      </c>
      <c r="V12350" t="s">
        <v>60455</v>
      </c>
      <c r="W12350" t="s">
        <v>41784</v>
      </c>
      <c r="X12350" t="s">
        <v>44777</v>
      </c>
    </row>
    <row r="12351" spans="1:24">
      <c r="A12351">
        <f>HYPERLINK("https://www.philgeps.gov.ph/GEPSNONPILOT/Tender/SplashBidNoticeAbstractUI.aspx?menuIndex=3&amp;refID=7120289&amp;Result=3","7120289")</f>
        <v>0</v>
      </c>
      <c r="B12351" t="s">
        <v>1647</v>
      </c>
      <c r="C12351" t="s">
        <v>15505</v>
      </c>
      <c r="D12351" t="s">
        <v>18002</v>
      </c>
      <c r="E12351" t="s">
        <v>28711</v>
      </c>
      <c r="F12351" t="s">
        <v>30900</v>
      </c>
      <c r="G12351" t="s">
        <v>30907</v>
      </c>
      <c r="H12351" t="s">
        <v>30916</v>
      </c>
      <c r="I12351" t="s">
        <v>5501</v>
      </c>
      <c r="J12351" t="s">
        <v>38734</v>
      </c>
      <c r="K12351" t="s">
        <v>40284</v>
      </c>
      <c r="M12351" t="s">
        <v>42303</v>
      </c>
      <c r="N12351" t="s">
        <v>44759</v>
      </c>
      <c r="O12351" t="s">
        <v>44760</v>
      </c>
      <c r="P12351">
        <v>0</v>
      </c>
      <c r="Q12351">
        <v>2</v>
      </c>
      <c r="R12351" t="s">
        <v>44776</v>
      </c>
      <c r="S12351" t="s">
        <v>45453</v>
      </c>
      <c r="T12351" t="s">
        <v>46352</v>
      </c>
      <c r="U12351" t="s">
        <v>57101</v>
      </c>
      <c r="W12351" t="s">
        <v>60907</v>
      </c>
      <c r="X12351" t="s">
        <v>44777</v>
      </c>
    </row>
    <row r="12352" spans="1:24">
      <c r="A12352">
        <f>HYPERLINK("https://www.philgeps.gov.ph/GEPSNONPILOT/Tender/SplashBidNoticeAbstractUI.aspx?menuIndex=3&amp;refID=7120496&amp;Result=3","7120496")</f>
        <v>0</v>
      </c>
      <c r="B12352" t="s">
        <v>3494</v>
      </c>
      <c r="C12352" t="s">
        <v>15506</v>
      </c>
      <c r="D12352" t="s">
        <v>17989</v>
      </c>
      <c r="E12352" t="s">
        <v>18066</v>
      </c>
      <c r="F12352" t="s">
        <v>30900</v>
      </c>
      <c r="G12352" t="s">
        <v>30907</v>
      </c>
      <c r="H12352" t="s">
        <v>30916</v>
      </c>
      <c r="I12352" t="s">
        <v>8123</v>
      </c>
      <c r="J12352" t="s">
        <v>38735</v>
      </c>
      <c r="K12352" t="s">
        <v>40289</v>
      </c>
      <c r="M12352" t="s">
        <v>44395</v>
      </c>
      <c r="N12352" t="s">
        <v>44759</v>
      </c>
      <c r="O12352" t="s">
        <v>44760</v>
      </c>
      <c r="P12352">
        <v>0</v>
      </c>
      <c r="Q12352">
        <v>0</v>
      </c>
      <c r="R12352" t="s">
        <v>44776</v>
      </c>
      <c r="S12352" t="s">
        <v>45453</v>
      </c>
      <c r="T12352" t="s">
        <v>46366</v>
      </c>
      <c r="U12352" t="s">
        <v>57102</v>
      </c>
      <c r="W12352" t="s">
        <v>44395</v>
      </c>
      <c r="X12352" t="s">
        <v>44777</v>
      </c>
    </row>
    <row r="12353" spans="1:24">
      <c r="A12353">
        <f>HYPERLINK("https://www.philgeps.gov.ph/GEPSNONPILOT/Tender/SplashBidNoticeAbstractUI.aspx?menuIndex=3&amp;refID=7120498&amp;Result=3","7120498")</f>
        <v>0</v>
      </c>
      <c r="B12353" t="s">
        <v>3491</v>
      </c>
      <c r="C12353" t="s">
        <v>15507</v>
      </c>
      <c r="D12353" t="s">
        <v>17999</v>
      </c>
      <c r="E12353" t="s">
        <v>28712</v>
      </c>
      <c r="F12353" t="s">
        <v>30900</v>
      </c>
      <c r="G12353" t="s">
        <v>30907</v>
      </c>
      <c r="H12353" t="s">
        <v>30916</v>
      </c>
      <c r="I12353" t="s">
        <v>30930</v>
      </c>
      <c r="J12353" t="s">
        <v>38736</v>
      </c>
      <c r="K12353" t="s">
        <v>40286</v>
      </c>
      <c r="M12353" t="s">
        <v>44392</v>
      </c>
      <c r="N12353" t="s">
        <v>44759</v>
      </c>
      <c r="O12353" t="s">
        <v>44760</v>
      </c>
      <c r="Q12353">
        <v>5</v>
      </c>
      <c r="R12353" t="s">
        <v>44776</v>
      </c>
      <c r="S12353" t="s">
        <v>45091</v>
      </c>
      <c r="T12353" t="s">
        <v>46359</v>
      </c>
      <c r="U12353" t="s">
        <v>57103</v>
      </c>
      <c r="W12353" t="s">
        <v>44392</v>
      </c>
      <c r="X12353" t="s">
        <v>44777</v>
      </c>
    </row>
    <row r="12354" spans="1:24">
      <c r="A12354">
        <f>HYPERLINK("https://www.philgeps.gov.ph/GEPSNONPILOT/Tender/SplashBidNoticeAbstractUI.aspx?menuIndex=3&amp;refID=7120307&amp;Result=3","7120307")</f>
        <v>0</v>
      </c>
      <c r="B12354" t="s">
        <v>458</v>
      </c>
      <c r="C12354" t="s">
        <v>15508</v>
      </c>
      <c r="D12354" t="s">
        <v>17951</v>
      </c>
      <c r="E12354" t="s">
        <v>22856</v>
      </c>
      <c r="F12354" t="s">
        <v>30900</v>
      </c>
      <c r="G12354" t="s">
        <v>30907</v>
      </c>
      <c r="H12354" t="s">
        <v>30916</v>
      </c>
      <c r="I12354" t="s">
        <v>30933</v>
      </c>
      <c r="J12354" t="s">
        <v>32324</v>
      </c>
      <c r="K12354" t="s">
        <v>40293</v>
      </c>
      <c r="M12354" t="s">
        <v>41016</v>
      </c>
      <c r="N12354" t="s">
        <v>44759</v>
      </c>
      <c r="O12354" t="s">
        <v>44760</v>
      </c>
      <c r="Q12354">
        <v>10</v>
      </c>
      <c r="R12354" t="s">
        <v>44776</v>
      </c>
      <c r="S12354" t="s">
        <v>45468</v>
      </c>
      <c r="T12354" t="s">
        <v>46369</v>
      </c>
      <c r="U12354" t="s">
        <v>57104</v>
      </c>
      <c r="V12354" t="s">
        <v>60516</v>
      </c>
      <c r="W12354" t="s">
        <v>41016</v>
      </c>
      <c r="X12354" t="s">
        <v>44777</v>
      </c>
    </row>
    <row r="12355" spans="1:24">
      <c r="A12355">
        <f>HYPERLINK("https://www.philgeps.gov.ph/GEPSNONPILOT/Tender/SplashBidNoticeAbstractUI.aspx?menuIndex=3&amp;refID=7120457&amp;Result=3","7120457")</f>
        <v>0</v>
      </c>
      <c r="B12355" t="s">
        <v>3495</v>
      </c>
      <c r="C12355" t="s">
        <v>15509</v>
      </c>
      <c r="D12355" t="s">
        <v>17973</v>
      </c>
      <c r="E12355" t="s">
        <v>21533</v>
      </c>
      <c r="F12355" t="s">
        <v>30900</v>
      </c>
      <c r="G12355" t="s">
        <v>30907</v>
      </c>
      <c r="H12355" t="s">
        <v>30915</v>
      </c>
      <c r="I12355" t="s">
        <v>30919</v>
      </c>
      <c r="J12355" t="s">
        <v>31067</v>
      </c>
      <c r="K12355" t="s">
        <v>40291</v>
      </c>
      <c r="M12355" t="s">
        <v>44396</v>
      </c>
      <c r="N12355" t="s">
        <v>44759</v>
      </c>
      <c r="O12355" t="s">
        <v>44760</v>
      </c>
      <c r="P12355">
        <v>0</v>
      </c>
      <c r="Q12355">
        <v>0</v>
      </c>
      <c r="R12355" t="s">
        <v>44776</v>
      </c>
      <c r="S12355" t="s">
        <v>45453</v>
      </c>
      <c r="T12355" t="s">
        <v>46581</v>
      </c>
      <c r="U12355" t="s">
        <v>57105</v>
      </c>
      <c r="W12355" t="s">
        <v>44396</v>
      </c>
      <c r="X12355" t="s">
        <v>44777</v>
      </c>
    </row>
    <row r="12356" spans="1:24">
      <c r="A12356">
        <f>HYPERLINK("https://www.philgeps.gov.ph/GEPSNONPILOT/Tender/SplashBidNoticeAbstractUI.aspx?menuIndex=3&amp;refID=7120434&amp;Result=3","7120434")</f>
        <v>0</v>
      </c>
      <c r="B12356" t="s">
        <v>1242</v>
      </c>
      <c r="C12356" t="s">
        <v>15510</v>
      </c>
      <c r="D12356" t="s">
        <v>17959</v>
      </c>
      <c r="E12356" t="s">
        <v>28713</v>
      </c>
      <c r="F12356" t="s">
        <v>30900</v>
      </c>
      <c r="G12356" t="s">
        <v>30906</v>
      </c>
      <c r="H12356" t="s">
        <v>30916</v>
      </c>
      <c r="I12356" t="s">
        <v>30923</v>
      </c>
      <c r="J12356" t="s">
        <v>38737</v>
      </c>
      <c r="K12356" t="s">
        <v>40287</v>
      </c>
      <c r="M12356" t="s">
        <v>44397</v>
      </c>
      <c r="N12356" t="s">
        <v>44759</v>
      </c>
      <c r="O12356" t="s">
        <v>44760</v>
      </c>
      <c r="P12356">
        <v>0</v>
      </c>
      <c r="Q12356">
        <v>14</v>
      </c>
      <c r="R12356" t="s">
        <v>44776</v>
      </c>
      <c r="S12356" t="s">
        <v>45453</v>
      </c>
      <c r="T12356" t="s">
        <v>46409</v>
      </c>
      <c r="U12356" t="s">
        <v>57106</v>
      </c>
      <c r="W12356" t="s">
        <v>44397</v>
      </c>
      <c r="X12356" t="s">
        <v>44777</v>
      </c>
    </row>
    <row r="12357" spans="1:24">
      <c r="A12357">
        <f>HYPERLINK("https://www.philgeps.gov.ph/GEPSNONPILOT/Tender/SplashBidNoticeAbstractUI.aspx?menuIndex=3&amp;refID=7120428&amp;Result=3","7120428")</f>
        <v>0</v>
      </c>
      <c r="B12357" t="s">
        <v>331</v>
      </c>
      <c r="C12357" t="s">
        <v>15511</v>
      </c>
      <c r="D12357" t="s">
        <v>18004</v>
      </c>
      <c r="E12357" t="s">
        <v>28714</v>
      </c>
      <c r="F12357" t="s">
        <v>30900</v>
      </c>
      <c r="G12357" t="s">
        <v>30907</v>
      </c>
      <c r="H12357" t="s">
        <v>30916</v>
      </c>
      <c r="I12357" t="s">
        <v>8123</v>
      </c>
      <c r="J12357" t="s">
        <v>38738</v>
      </c>
      <c r="K12357" t="s">
        <v>40292</v>
      </c>
      <c r="M12357" t="s">
        <v>40882</v>
      </c>
      <c r="N12357" t="s">
        <v>44759</v>
      </c>
      <c r="O12357" t="s">
        <v>44760</v>
      </c>
      <c r="P12357">
        <v>0</v>
      </c>
      <c r="Q12357">
        <v>0</v>
      </c>
      <c r="R12357" t="s">
        <v>44776</v>
      </c>
      <c r="S12357" t="s">
        <v>45453</v>
      </c>
      <c r="T12357" t="s">
        <v>46357</v>
      </c>
      <c r="U12357" t="s">
        <v>57089</v>
      </c>
      <c r="W12357" t="s">
        <v>40882</v>
      </c>
      <c r="X12357" t="s">
        <v>44777</v>
      </c>
    </row>
    <row r="12358" spans="1:24">
      <c r="A12358">
        <f>HYPERLINK("https://www.philgeps.gov.ph/GEPSNONPILOT/Tender/SplashBidNoticeAbstractUI.aspx?menuIndex=3&amp;refID=7120408&amp;Result=3","7120408")</f>
        <v>0</v>
      </c>
      <c r="B12358" t="s">
        <v>3492</v>
      </c>
      <c r="C12358" t="s">
        <v>15512</v>
      </c>
      <c r="D12358" t="s">
        <v>17980</v>
      </c>
      <c r="E12358" t="s">
        <v>28715</v>
      </c>
      <c r="F12358" t="s">
        <v>30900</v>
      </c>
      <c r="G12358" t="s">
        <v>30909</v>
      </c>
      <c r="H12358" t="s">
        <v>30916</v>
      </c>
      <c r="I12358" t="s">
        <v>6396</v>
      </c>
      <c r="J12358" t="s">
        <v>38739</v>
      </c>
      <c r="K12358" t="s">
        <v>40284</v>
      </c>
      <c r="M12358" t="s">
        <v>44393</v>
      </c>
      <c r="N12358" t="s">
        <v>44759</v>
      </c>
      <c r="O12358" t="s">
        <v>44760</v>
      </c>
      <c r="P12358">
        <v>0</v>
      </c>
      <c r="Q12358">
        <v>1</v>
      </c>
      <c r="R12358" t="s">
        <v>44776</v>
      </c>
      <c r="S12358" t="s">
        <v>45453</v>
      </c>
      <c r="T12358" t="s">
        <v>46409</v>
      </c>
      <c r="U12358" t="s">
        <v>57107</v>
      </c>
      <c r="W12358" t="s">
        <v>44393</v>
      </c>
      <c r="X12358" t="s">
        <v>44777</v>
      </c>
    </row>
    <row r="12359" spans="1:24">
      <c r="A12359">
        <f>HYPERLINK("https://www.philgeps.gov.ph/GEPSNONPILOT/Tender/SplashBidNoticeAbstractUI.aspx?menuIndex=3&amp;refID=7120467&amp;Result=3","7120467")</f>
        <v>0</v>
      </c>
      <c r="B12359" t="s">
        <v>3378</v>
      </c>
      <c r="C12359" t="s">
        <v>15513</v>
      </c>
      <c r="D12359" t="s">
        <v>17953</v>
      </c>
      <c r="E12359" t="s">
        <v>18752</v>
      </c>
      <c r="F12359" t="s">
        <v>30900</v>
      </c>
      <c r="G12359" t="s">
        <v>30907</v>
      </c>
      <c r="H12359" t="s">
        <v>30916</v>
      </c>
      <c r="I12359" t="s">
        <v>8123</v>
      </c>
      <c r="J12359" t="s">
        <v>31728</v>
      </c>
      <c r="K12359" t="s">
        <v>40287</v>
      </c>
      <c r="L12359" t="s">
        <v>3378</v>
      </c>
      <c r="M12359" t="s">
        <v>44250</v>
      </c>
      <c r="N12359" t="s">
        <v>44759</v>
      </c>
      <c r="O12359" t="s">
        <v>44760</v>
      </c>
      <c r="P12359">
        <v>0</v>
      </c>
      <c r="Q12359">
        <v>1</v>
      </c>
      <c r="R12359" t="s">
        <v>44776</v>
      </c>
      <c r="S12359" t="s">
        <v>45453</v>
      </c>
      <c r="T12359" t="s">
        <v>46409</v>
      </c>
      <c r="U12359" t="s">
        <v>50693</v>
      </c>
      <c r="V12359" t="s">
        <v>60439</v>
      </c>
      <c r="W12359" t="s">
        <v>44250</v>
      </c>
      <c r="X12359" t="s">
        <v>44777</v>
      </c>
    </row>
    <row r="12360" spans="1:24">
      <c r="A12360">
        <f>HYPERLINK("https://www.philgeps.gov.ph/GEPSNONPILOT/Tender/SplashBidNoticeAbstractUI.aspx?menuIndex=3&amp;refID=7120383&amp;Result=3","7120383")</f>
        <v>0</v>
      </c>
      <c r="B12360" t="s">
        <v>2764</v>
      </c>
      <c r="C12360" t="s">
        <v>15514</v>
      </c>
      <c r="D12360" t="s">
        <v>17957</v>
      </c>
      <c r="E12360" t="s">
        <v>18852</v>
      </c>
      <c r="F12360" t="s">
        <v>30900</v>
      </c>
      <c r="G12360" t="s">
        <v>30907</v>
      </c>
      <c r="H12360" t="s">
        <v>30915</v>
      </c>
      <c r="I12360" t="s">
        <v>30919</v>
      </c>
      <c r="J12360" t="s">
        <v>38740</v>
      </c>
      <c r="K12360" t="s">
        <v>40304</v>
      </c>
      <c r="M12360" t="s">
        <v>43542</v>
      </c>
      <c r="N12360" t="s">
        <v>44759</v>
      </c>
      <c r="O12360" t="s">
        <v>44760</v>
      </c>
      <c r="P12360">
        <v>0</v>
      </c>
      <c r="Q12360">
        <v>0</v>
      </c>
      <c r="R12360" t="s">
        <v>44776</v>
      </c>
      <c r="S12360" t="s">
        <v>45453</v>
      </c>
      <c r="T12360" t="s">
        <v>46357</v>
      </c>
      <c r="U12360" t="s">
        <v>57108</v>
      </c>
      <c r="W12360" t="s">
        <v>43542</v>
      </c>
      <c r="X12360" t="s">
        <v>44777</v>
      </c>
    </row>
    <row r="12361" spans="1:24">
      <c r="A12361">
        <f>HYPERLINK("https://www.philgeps.gov.ph/GEPSNONPILOT/Tender/SplashBidNoticeAbstractUI.aspx?menuIndex=3&amp;refID=7119836&amp;Result=3","7119836")</f>
        <v>0</v>
      </c>
      <c r="B12361" t="s">
        <v>3492</v>
      </c>
      <c r="C12361" t="s">
        <v>15515</v>
      </c>
      <c r="D12361" t="s">
        <v>17980</v>
      </c>
      <c r="E12361" t="s">
        <v>28716</v>
      </c>
      <c r="F12361" t="s">
        <v>30900</v>
      </c>
      <c r="G12361" t="s">
        <v>30907</v>
      </c>
      <c r="H12361" t="s">
        <v>30916</v>
      </c>
      <c r="I12361" t="s">
        <v>5501</v>
      </c>
      <c r="J12361" t="s">
        <v>31243</v>
      </c>
      <c r="K12361" t="s">
        <v>40284</v>
      </c>
      <c r="M12361" t="s">
        <v>44393</v>
      </c>
      <c r="N12361" t="s">
        <v>44759</v>
      </c>
      <c r="O12361" t="s">
        <v>44760</v>
      </c>
      <c r="P12361">
        <v>0</v>
      </c>
      <c r="Q12361">
        <v>1</v>
      </c>
      <c r="R12361" t="s">
        <v>44776</v>
      </c>
      <c r="S12361" t="s">
        <v>45453</v>
      </c>
      <c r="T12361" t="s">
        <v>46409</v>
      </c>
      <c r="U12361" t="s">
        <v>57109</v>
      </c>
      <c r="W12361" t="s">
        <v>44393</v>
      </c>
      <c r="X12361" t="s">
        <v>44778</v>
      </c>
    </row>
    <row r="12362" spans="1:24">
      <c r="A12362">
        <f>HYPERLINK("https://www.philgeps.gov.ph/GEPSNONPILOT/Tender/SplashBidNoticeAbstractUI.aspx?menuIndex=3&amp;refID=7120381&amp;Result=3","7120381")</f>
        <v>0</v>
      </c>
      <c r="B12362" t="s">
        <v>382</v>
      </c>
      <c r="C12362" t="s">
        <v>15516</v>
      </c>
      <c r="E12362" t="s">
        <v>28717</v>
      </c>
      <c r="F12362" t="s">
        <v>30900</v>
      </c>
      <c r="G12362" t="s">
        <v>30907</v>
      </c>
      <c r="H12362" t="s">
        <v>30915</v>
      </c>
      <c r="I12362" t="s">
        <v>30919</v>
      </c>
      <c r="J12362" t="s">
        <v>34345</v>
      </c>
      <c r="K12362" t="s">
        <v>40292</v>
      </c>
      <c r="M12362" t="s">
        <v>43552</v>
      </c>
      <c r="N12362" t="s">
        <v>44759</v>
      </c>
      <c r="O12362" t="s">
        <v>44760</v>
      </c>
      <c r="P12362">
        <v>0</v>
      </c>
      <c r="Q12362">
        <v>0</v>
      </c>
      <c r="R12362" t="s">
        <v>44776</v>
      </c>
      <c r="S12362" t="s">
        <v>45453</v>
      </c>
      <c r="T12362" t="s">
        <v>46425</v>
      </c>
      <c r="U12362" t="s">
        <v>50345</v>
      </c>
      <c r="W12362" t="s">
        <v>43552</v>
      </c>
      <c r="X12362" t="s">
        <v>44777</v>
      </c>
    </row>
    <row r="12363" spans="1:24">
      <c r="A12363">
        <f>HYPERLINK("https://www.philgeps.gov.ph/GEPSNONPILOT/Tender/SplashBidNoticeAbstractUI.aspx?menuIndex=3&amp;refID=7120356&amp;Result=3","7120356")</f>
        <v>0</v>
      </c>
      <c r="B12363" t="s">
        <v>1043</v>
      </c>
      <c r="C12363" t="s">
        <v>15517</v>
      </c>
      <c r="D12363" t="s">
        <v>18000</v>
      </c>
      <c r="E12363" t="s">
        <v>28718</v>
      </c>
      <c r="F12363" t="s">
        <v>30900</v>
      </c>
      <c r="G12363" t="s">
        <v>30907</v>
      </c>
      <c r="H12363" t="s">
        <v>30916</v>
      </c>
      <c r="I12363" t="s">
        <v>4545</v>
      </c>
      <c r="J12363" t="s">
        <v>38741</v>
      </c>
      <c r="K12363" t="s">
        <v>40289</v>
      </c>
      <c r="M12363" t="s">
        <v>41642</v>
      </c>
      <c r="N12363" t="s">
        <v>44759</v>
      </c>
      <c r="O12363" t="s">
        <v>44760</v>
      </c>
      <c r="Q12363">
        <v>9</v>
      </c>
      <c r="R12363" t="s">
        <v>44776</v>
      </c>
      <c r="S12363" t="s">
        <v>45469</v>
      </c>
      <c r="T12363" t="s">
        <v>46425</v>
      </c>
      <c r="U12363" t="s">
        <v>57110</v>
      </c>
      <c r="W12363" t="s">
        <v>41642</v>
      </c>
      <c r="X12363" t="s">
        <v>44777</v>
      </c>
    </row>
    <row r="12364" spans="1:24">
      <c r="A12364">
        <f>HYPERLINK("https://www.philgeps.gov.ph/GEPSNONPILOT/Tender/SplashBidNoticeAbstractUI.aspx?menuIndex=3&amp;refID=7120385&amp;Result=3","7120385")</f>
        <v>0</v>
      </c>
      <c r="B12364" t="s">
        <v>1861</v>
      </c>
      <c r="C12364" t="s">
        <v>15518</v>
      </c>
      <c r="D12364" t="s">
        <v>17974</v>
      </c>
      <c r="E12364" t="s">
        <v>28719</v>
      </c>
      <c r="F12364" t="s">
        <v>30900</v>
      </c>
      <c r="G12364" t="s">
        <v>30907</v>
      </c>
      <c r="H12364" t="s">
        <v>30915</v>
      </c>
      <c r="I12364" t="s">
        <v>30919</v>
      </c>
      <c r="J12364" t="s">
        <v>38742</v>
      </c>
      <c r="K12364" t="s">
        <v>40349</v>
      </c>
      <c r="M12364" t="s">
        <v>42535</v>
      </c>
      <c r="N12364" t="s">
        <v>44759</v>
      </c>
      <c r="O12364" t="s">
        <v>44760</v>
      </c>
      <c r="P12364">
        <v>0</v>
      </c>
      <c r="Q12364">
        <v>0</v>
      </c>
      <c r="R12364" t="s">
        <v>44776</v>
      </c>
      <c r="S12364" t="s">
        <v>45453</v>
      </c>
      <c r="T12364" t="s">
        <v>46357</v>
      </c>
      <c r="U12364" t="s">
        <v>57111</v>
      </c>
      <c r="W12364" t="s">
        <v>42535</v>
      </c>
      <c r="X12364" t="s">
        <v>44777</v>
      </c>
    </row>
    <row r="12365" spans="1:24">
      <c r="A12365">
        <f>HYPERLINK("https://www.philgeps.gov.ph/GEPSNONPILOT/Tender/SplashBidNoticeAbstractUI.aspx?menuIndex=3&amp;refID=7120355&amp;Result=3","7120355")</f>
        <v>0</v>
      </c>
      <c r="B12365" t="s">
        <v>3492</v>
      </c>
      <c r="C12365" t="s">
        <v>5501</v>
      </c>
      <c r="D12365" t="s">
        <v>17980</v>
      </c>
      <c r="E12365" t="s">
        <v>28720</v>
      </c>
      <c r="F12365" t="s">
        <v>30900</v>
      </c>
      <c r="G12365" t="s">
        <v>30907</v>
      </c>
      <c r="H12365" t="s">
        <v>30916</v>
      </c>
      <c r="I12365" t="s">
        <v>5501</v>
      </c>
      <c r="J12365" t="s">
        <v>38743</v>
      </c>
      <c r="K12365" t="s">
        <v>40284</v>
      </c>
      <c r="M12365" t="s">
        <v>44393</v>
      </c>
      <c r="N12365" t="s">
        <v>44759</v>
      </c>
      <c r="O12365" t="s">
        <v>44760</v>
      </c>
      <c r="P12365">
        <v>0</v>
      </c>
      <c r="Q12365">
        <v>1</v>
      </c>
      <c r="R12365" t="s">
        <v>44776</v>
      </c>
      <c r="S12365" t="s">
        <v>45453</v>
      </c>
      <c r="T12365" t="s">
        <v>46409</v>
      </c>
      <c r="U12365" t="s">
        <v>57112</v>
      </c>
      <c r="W12365" t="s">
        <v>44393</v>
      </c>
      <c r="X12365" t="s">
        <v>44777</v>
      </c>
    </row>
    <row r="12366" spans="1:24">
      <c r="A12366">
        <f>HYPERLINK("https://www.philgeps.gov.ph/GEPSNONPILOT/Tender/SplashBidNoticeAbstractUI.aspx?menuIndex=3&amp;refID=7120384&amp;Result=3","7120384")</f>
        <v>0</v>
      </c>
      <c r="B12366" t="s">
        <v>278</v>
      </c>
      <c r="C12366" t="s">
        <v>15519</v>
      </c>
      <c r="D12366" t="s">
        <v>17995</v>
      </c>
      <c r="E12366" t="s">
        <v>28721</v>
      </c>
      <c r="F12366" t="s">
        <v>30900</v>
      </c>
      <c r="G12366" t="s">
        <v>30907</v>
      </c>
      <c r="H12366" t="s">
        <v>30915</v>
      </c>
      <c r="I12366" t="s">
        <v>30919</v>
      </c>
      <c r="J12366" t="s">
        <v>38744</v>
      </c>
      <c r="K12366" t="s">
        <v>40308</v>
      </c>
      <c r="M12366" t="s">
        <v>40887</v>
      </c>
      <c r="N12366" t="s">
        <v>44759</v>
      </c>
      <c r="O12366" t="s">
        <v>44760</v>
      </c>
      <c r="P12366">
        <v>0</v>
      </c>
      <c r="Q12366">
        <v>0</v>
      </c>
      <c r="R12366" t="s">
        <v>44776</v>
      </c>
      <c r="S12366" t="s">
        <v>45453</v>
      </c>
      <c r="T12366" t="s">
        <v>46533</v>
      </c>
      <c r="U12366" t="s">
        <v>57113</v>
      </c>
      <c r="W12366" t="s">
        <v>60825</v>
      </c>
      <c r="X12366" t="s">
        <v>44777</v>
      </c>
    </row>
    <row r="12367" spans="1:24">
      <c r="A12367">
        <f>HYPERLINK("https://www.philgeps.gov.ph/GEPSNONPILOT/Tender/SplashBidNoticeAbstractUI.aspx?menuIndex=3&amp;refID=7120621&amp;Result=3","7120621")</f>
        <v>0</v>
      </c>
      <c r="B12367" t="s">
        <v>3496</v>
      </c>
      <c r="C12367" t="s">
        <v>15520</v>
      </c>
      <c r="D12367" t="s">
        <v>18033</v>
      </c>
      <c r="E12367" t="s">
        <v>28722</v>
      </c>
      <c r="F12367" t="s">
        <v>30900</v>
      </c>
      <c r="G12367" t="s">
        <v>30907</v>
      </c>
      <c r="H12367" t="s">
        <v>30917</v>
      </c>
      <c r="I12367" t="s">
        <v>6834</v>
      </c>
      <c r="J12367" t="s">
        <v>31243</v>
      </c>
      <c r="K12367" t="s">
        <v>40314</v>
      </c>
      <c r="M12367" t="s">
        <v>44398</v>
      </c>
      <c r="N12367" t="s">
        <v>44759</v>
      </c>
      <c r="O12367" t="s">
        <v>44760</v>
      </c>
      <c r="P12367">
        <v>0</v>
      </c>
      <c r="Q12367">
        <v>1</v>
      </c>
      <c r="R12367" t="s">
        <v>44776</v>
      </c>
      <c r="S12367" t="s">
        <v>45453</v>
      </c>
      <c r="T12367" t="s">
        <v>46362</v>
      </c>
      <c r="U12367" t="s">
        <v>57114</v>
      </c>
      <c r="W12367" t="s">
        <v>44398</v>
      </c>
      <c r="X12367" t="s">
        <v>44777</v>
      </c>
    </row>
    <row r="12368" spans="1:24">
      <c r="A12368">
        <f>HYPERLINK("https://www.philgeps.gov.ph/GEPSNONPILOT/Tender/SplashBidNoticeAbstractUI.aspx?menuIndex=3&amp;refID=7120473&amp;Result=3","7120473")</f>
        <v>0</v>
      </c>
      <c r="B12368" t="s">
        <v>147</v>
      </c>
      <c r="C12368" t="s">
        <v>15521</v>
      </c>
      <c r="D12368" t="s">
        <v>17970</v>
      </c>
      <c r="E12368" t="s">
        <v>28723</v>
      </c>
      <c r="F12368" t="s">
        <v>30900</v>
      </c>
      <c r="G12368" t="s">
        <v>30907</v>
      </c>
      <c r="H12368" t="s">
        <v>30916</v>
      </c>
      <c r="I12368" t="s">
        <v>30929</v>
      </c>
      <c r="J12368" t="s">
        <v>35229</v>
      </c>
      <c r="K12368" t="s">
        <v>40292</v>
      </c>
      <c r="M12368" t="s">
        <v>40694</v>
      </c>
      <c r="N12368" t="s">
        <v>44759</v>
      </c>
      <c r="O12368" t="s">
        <v>44760</v>
      </c>
      <c r="P12368">
        <v>0</v>
      </c>
      <c r="Q12368">
        <v>23</v>
      </c>
      <c r="R12368" t="s">
        <v>44776</v>
      </c>
      <c r="S12368" t="s">
        <v>45453</v>
      </c>
      <c r="T12368" t="s">
        <v>46544</v>
      </c>
      <c r="U12368" t="s">
        <v>57115</v>
      </c>
      <c r="W12368" t="s">
        <v>40694</v>
      </c>
      <c r="X12368" t="s">
        <v>44777</v>
      </c>
    </row>
    <row r="12369" spans="1:24">
      <c r="A12369">
        <f>HYPERLINK("https://www.philgeps.gov.ph/GEPSNONPILOT/Tender/SplashBidNoticeAbstractUI.aspx?menuIndex=3&amp;refID=7120368&amp;Result=3","7120368")</f>
        <v>0</v>
      </c>
      <c r="B12369" t="s">
        <v>2199</v>
      </c>
      <c r="C12369" t="s">
        <v>15522</v>
      </c>
      <c r="D12369" t="s">
        <v>17952</v>
      </c>
      <c r="E12369" t="s">
        <v>28724</v>
      </c>
      <c r="F12369" t="s">
        <v>30900</v>
      </c>
      <c r="G12369" t="s">
        <v>30907</v>
      </c>
      <c r="H12369" t="s">
        <v>30915</v>
      </c>
      <c r="I12369" t="s">
        <v>30919</v>
      </c>
      <c r="J12369" t="s">
        <v>38745</v>
      </c>
      <c r="K12369" t="s">
        <v>40292</v>
      </c>
      <c r="M12369" t="s">
        <v>42906</v>
      </c>
      <c r="N12369" t="s">
        <v>44759</v>
      </c>
      <c r="O12369" t="s">
        <v>44760</v>
      </c>
      <c r="P12369">
        <v>0</v>
      </c>
      <c r="Q12369">
        <v>5</v>
      </c>
      <c r="R12369" t="s">
        <v>44776</v>
      </c>
      <c r="S12369" t="s">
        <v>45453</v>
      </c>
      <c r="T12369" t="s">
        <v>46694</v>
      </c>
      <c r="U12369" t="s">
        <v>57116</v>
      </c>
      <c r="V12369" t="s">
        <v>59226</v>
      </c>
      <c r="W12369" t="s">
        <v>42906</v>
      </c>
      <c r="X12369" t="s">
        <v>44777</v>
      </c>
    </row>
    <row r="12370" spans="1:24">
      <c r="A12370">
        <f>HYPERLINK("https://www.philgeps.gov.ph/GEPSNONPILOT/Tender/SplashBidNoticeAbstractUI.aspx?menuIndex=3&amp;refID=7120605&amp;Result=3","7120605")</f>
        <v>0</v>
      </c>
      <c r="B12370" t="s">
        <v>2141</v>
      </c>
      <c r="C12370" t="s">
        <v>15523</v>
      </c>
      <c r="D12370" t="s">
        <v>17959</v>
      </c>
      <c r="E12370" t="s">
        <v>28725</v>
      </c>
      <c r="F12370" t="s">
        <v>30900</v>
      </c>
      <c r="G12370" t="s">
        <v>30908</v>
      </c>
      <c r="H12370" t="s">
        <v>30916</v>
      </c>
      <c r="I12370" t="s">
        <v>30949</v>
      </c>
      <c r="J12370" t="s">
        <v>38746</v>
      </c>
      <c r="K12370" t="s">
        <v>40283</v>
      </c>
      <c r="M12370" t="s">
        <v>42843</v>
      </c>
      <c r="N12370" t="s">
        <v>44759</v>
      </c>
      <c r="O12370" t="s">
        <v>44760</v>
      </c>
      <c r="Q12370">
        <v>0</v>
      </c>
      <c r="R12370" t="s">
        <v>44776</v>
      </c>
      <c r="S12370" t="s">
        <v>44958</v>
      </c>
      <c r="T12370" t="s">
        <v>46704</v>
      </c>
      <c r="U12370" t="s">
        <v>57117</v>
      </c>
      <c r="W12370" t="s">
        <v>42843</v>
      </c>
      <c r="X12370" t="s">
        <v>44777</v>
      </c>
    </row>
    <row r="12371" spans="1:24">
      <c r="A12371">
        <f>HYPERLINK("https://www.philgeps.gov.ph/GEPSNONPILOT/Tender/SplashBidNoticeAbstractUI.aspx?menuIndex=3&amp;refID=7120614&amp;Result=3","7120614")</f>
        <v>0</v>
      </c>
      <c r="B12371" t="s">
        <v>2439</v>
      </c>
      <c r="C12371" t="s">
        <v>15524</v>
      </c>
      <c r="D12371" t="s">
        <v>17980</v>
      </c>
      <c r="E12371" t="s">
        <v>23454</v>
      </c>
      <c r="F12371" t="s">
        <v>30900</v>
      </c>
      <c r="G12371" t="s">
        <v>30907</v>
      </c>
      <c r="H12371" t="s">
        <v>30915</v>
      </c>
      <c r="I12371" t="s">
        <v>30919</v>
      </c>
      <c r="J12371" t="s">
        <v>38747</v>
      </c>
      <c r="K12371" t="s">
        <v>40292</v>
      </c>
      <c r="M12371" t="s">
        <v>43170</v>
      </c>
      <c r="N12371" t="s">
        <v>44759</v>
      </c>
      <c r="O12371" t="s">
        <v>44760</v>
      </c>
      <c r="P12371">
        <v>0</v>
      </c>
      <c r="Q12371">
        <v>2</v>
      </c>
      <c r="R12371" t="s">
        <v>44776</v>
      </c>
      <c r="S12371" t="s">
        <v>45453</v>
      </c>
      <c r="T12371" t="s">
        <v>46498</v>
      </c>
      <c r="U12371" t="s">
        <v>52853</v>
      </c>
      <c r="V12371" t="s">
        <v>60517</v>
      </c>
      <c r="W12371" t="s">
        <v>43170</v>
      </c>
      <c r="X12371" t="s">
        <v>44777</v>
      </c>
    </row>
    <row r="12372" spans="1:24">
      <c r="A12372">
        <f>HYPERLINK("https://www.philgeps.gov.ph/GEPSNONPILOT/Tender/SplashBidNoticeAbstractUI.aspx?menuIndex=3&amp;refID=7120462&amp;Result=3","7120462")</f>
        <v>0</v>
      </c>
      <c r="B12372" t="s">
        <v>1122</v>
      </c>
      <c r="C12372" t="s">
        <v>15525</v>
      </c>
      <c r="D12372" t="s">
        <v>17973</v>
      </c>
      <c r="E12372" t="s">
        <v>28726</v>
      </c>
      <c r="F12372" t="s">
        <v>30900</v>
      </c>
      <c r="G12372" t="s">
        <v>30907</v>
      </c>
      <c r="H12372" t="s">
        <v>30916</v>
      </c>
      <c r="I12372" t="s">
        <v>30928</v>
      </c>
      <c r="J12372" t="s">
        <v>31214</v>
      </c>
      <c r="K12372" t="s">
        <v>40280</v>
      </c>
      <c r="M12372" t="s">
        <v>41724</v>
      </c>
      <c r="N12372" t="s">
        <v>44759</v>
      </c>
      <c r="O12372" t="s">
        <v>44760</v>
      </c>
      <c r="P12372">
        <v>0</v>
      </c>
      <c r="Q12372">
        <v>3</v>
      </c>
      <c r="R12372" t="s">
        <v>44776</v>
      </c>
      <c r="S12372" t="s">
        <v>45453</v>
      </c>
      <c r="T12372" t="s">
        <v>46351</v>
      </c>
      <c r="U12372" t="s">
        <v>57118</v>
      </c>
      <c r="W12372" t="s">
        <v>41724</v>
      </c>
      <c r="X12372" t="s">
        <v>44777</v>
      </c>
    </row>
    <row r="12373" spans="1:24">
      <c r="A12373">
        <f>HYPERLINK("https://www.philgeps.gov.ph/GEPSNONPILOT/Tender/SplashBidNoticeAbstractUI.aspx?menuIndex=3&amp;refID=7120607&amp;Result=3","7120607")</f>
        <v>0</v>
      </c>
      <c r="B12373" t="s">
        <v>3378</v>
      </c>
      <c r="C12373" t="s">
        <v>15526</v>
      </c>
      <c r="D12373" t="s">
        <v>17953</v>
      </c>
      <c r="E12373" t="s">
        <v>23085</v>
      </c>
      <c r="F12373" t="s">
        <v>30900</v>
      </c>
      <c r="G12373" t="s">
        <v>30907</v>
      </c>
      <c r="H12373" t="s">
        <v>30916</v>
      </c>
      <c r="I12373" t="s">
        <v>10602</v>
      </c>
      <c r="J12373" t="s">
        <v>34078</v>
      </c>
      <c r="K12373" t="s">
        <v>40287</v>
      </c>
      <c r="L12373" t="s">
        <v>3378</v>
      </c>
      <c r="M12373" t="s">
        <v>44250</v>
      </c>
      <c r="N12373" t="s">
        <v>44759</v>
      </c>
      <c r="O12373" t="s">
        <v>44760</v>
      </c>
      <c r="P12373">
        <v>0</v>
      </c>
      <c r="Q12373">
        <v>0</v>
      </c>
      <c r="R12373" t="s">
        <v>44776</v>
      </c>
      <c r="S12373" t="s">
        <v>45453</v>
      </c>
      <c r="T12373" t="s">
        <v>46400</v>
      </c>
      <c r="U12373" t="s">
        <v>50693</v>
      </c>
      <c r="V12373" t="s">
        <v>60439</v>
      </c>
      <c r="W12373" t="s">
        <v>44250</v>
      </c>
      <c r="X12373" t="s">
        <v>44777</v>
      </c>
    </row>
    <row r="12374" spans="1:24">
      <c r="A12374">
        <f>HYPERLINK("https://www.philgeps.gov.ph/GEPSNONPILOT/Tender/SplashBidNoticeAbstractUI.aspx?menuIndex=3&amp;refID=7120574&amp;Result=3","7120574")</f>
        <v>0</v>
      </c>
      <c r="B12374" t="s">
        <v>2439</v>
      </c>
      <c r="C12374" t="s">
        <v>15527</v>
      </c>
      <c r="D12374" t="s">
        <v>17980</v>
      </c>
      <c r="E12374" t="s">
        <v>19823</v>
      </c>
      <c r="F12374" t="s">
        <v>30900</v>
      </c>
      <c r="G12374" t="s">
        <v>30907</v>
      </c>
      <c r="H12374" t="s">
        <v>30915</v>
      </c>
      <c r="I12374" t="s">
        <v>30919</v>
      </c>
      <c r="J12374" t="s">
        <v>33171</v>
      </c>
      <c r="K12374" t="s">
        <v>40280</v>
      </c>
      <c r="M12374" t="s">
        <v>43170</v>
      </c>
      <c r="N12374" t="s">
        <v>44759</v>
      </c>
      <c r="O12374" t="s">
        <v>44760</v>
      </c>
      <c r="P12374">
        <v>0</v>
      </c>
      <c r="Q12374">
        <v>5</v>
      </c>
      <c r="R12374" t="s">
        <v>44776</v>
      </c>
      <c r="S12374" t="s">
        <v>45453</v>
      </c>
      <c r="T12374" t="s">
        <v>46498</v>
      </c>
      <c r="U12374" t="s">
        <v>52853</v>
      </c>
      <c r="V12374" t="s">
        <v>60518</v>
      </c>
      <c r="W12374" t="s">
        <v>43170</v>
      </c>
      <c r="X12374" t="s">
        <v>44777</v>
      </c>
    </row>
    <row r="12375" spans="1:24">
      <c r="A12375">
        <f>HYPERLINK("https://www.philgeps.gov.ph/GEPSNONPILOT/Tender/SplashBidNoticeAbstractUI.aspx?menuIndex=3&amp;refID=7120269&amp;Result=3","7120269")</f>
        <v>0</v>
      </c>
      <c r="B12375" t="s">
        <v>3497</v>
      </c>
      <c r="C12375" t="s">
        <v>15528</v>
      </c>
      <c r="D12375" t="s">
        <v>17966</v>
      </c>
      <c r="E12375" t="s">
        <v>28727</v>
      </c>
      <c r="F12375" t="s">
        <v>30904</v>
      </c>
      <c r="G12375" t="s">
        <v>30907</v>
      </c>
      <c r="H12375" t="s">
        <v>30915</v>
      </c>
      <c r="I12375" t="s">
        <v>30919</v>
      </c>
      <c r="J12375" t="s">
        <v>32324</v>
      </c>
      <c r="K12375" t="s">
        <v>40304</v>
      </c>
      <c r="M12375" t="s">
        <v>44399</v>
      </c>
      <c r="N12375" t="s">
        <v>44759</v>
      </c>
      <c r="O12375" t="s">
        <v>44760</v>
      </c>
      <c r="P12375">
        <v>0</v>
      </c>
      <c r="Q12375">
        <v>0</v>
      </c>
      <c r="R12375" t="s">
        <v>44776</v>
      </c>
      <c r="S12375" t="s">
        <v>45453</v>
      </c>
      <c r="T12375" t="s">
        <v>46421</v>
      </c>
      <c r="U12375" t="s">
        <v>57119</v>
      </c>
      <c r="W12375" t="s">
        <v>44399</v>
      </c>
      <c r="X12375" t="s">
        <v>44777</v>
      </c>
    </row>
    <row r="12376" spans="1:24">
      <c r="A12376">
        <f>HYPERLINK("https://www.philgeps.gov.ph/GEPSNONPILOT/Tender/SplashBidNoticeAbstractUI.aspx?menuIndex=3&amp;refID=7120567&amp;Result=3","7120567")</f>
        <v>0</v>
      </c>
      <c r="B12376" t="s">
        <v>899</v>
      </c>
      <c r="C12376" t="s">
        <v>15529</v>
      </c>
      <c r="E12376" t="s">
        <v>28728</v>
      </c>
      <c r="F12376" t="s">
        <v>30900</v>
      </c>
      <c r="G12376" t="s">
        <v>30907</v>
      </c>
      <c r="H12376" t="s">
        <v>30916</v>
      </c>
      <c r="I12376" t="s">
        <v>30923</v>
      </c>
      <c r="J12376" t="s">
        <v>38748</v>
      </c>
      <c r="K12376" t="s">
        <v>40289</v>
      </c>
      <c r="M12376" t="s">
        <v>41473</v>
      </c>
      <c r="N12376" t="s">
        <v>44759</v>
      </c>
      <c r="O12376" t="s">
        <v>44760</v>
      </c>
      <c r="Q12376">
        <v>21</v>
      </c>
      <c r="R12376" t="s">
        <v>44776</v>
      </c>
      <c r="S12376" t="s">
        <v>45470</v>
      </c>
      <c r="T12376" t="s">
        <v>46409</v>
      </c>
      <c r="U12376" t="s">
        <v>57120</v>
      </c>
      <c r="W12376" t="s">
        <v>41473</v>
      </c>
      <c r="X12376" t="s">
        <v>44777</v>
      </c>
    </row>
    <row r="12377" spans="1:24">
      <c r="A12377">
        <f>HYPERLINK("https://www.philgeps.gov.ph/GEPSNONPILOT/Tender/SplashBidNoticeAbstractUI.aspx?menuIndex=3&amp;refID=7120602&amp;Result=3","7120602")</f>
        <v>0</v>
      </c>
      <c r="B12377" t="s">
        <v>3488</v>
      </c>
      <c r="C12377" t="s">
        <v>15530</v>
      </c>
      <c r="D12377" t="s">
        <v>18053</v>
      </c>
      <c r="E12377" t="s">
        <v>28729</v>
      </c>
      <c r="F12377" t="s">
        <v>30900</v>
      </c>
      <c r="G12377" t="s">
        <v>30913</v>
      </c>
      <c r="H12377" t="s">
        <v>30916</v>
      </c>
      <c r="I12377" t="s">
        <v>4061</v>
      </c>
      <c r="J12377" t="s">
        <v>38749</v>
      </c>
      <c r="K12377" t="s">
        <v>40293</v>
      </c>
      <c r="M12377" t="s">
        <v>44389</v>
      </c>
      <c r="N12377" t="s">
        <v>44759</v>
      </c>
      <c r="O12377" t="s">
        <v>44760</v>
      </c>
      <c r="Q12377">
        <v>2</v>
      </c>
      <c r="R12377" t="s">
        <v>44776</v>
      </c>
      <c r="S12377" t="s">
        <v>45471</v>
      </c>
      <c r="T12377" t="s">
        <v>46418</v>
      </c>
      <c r="U12377" t="s">
        <v>57121</v>
      </c>
      <c r="W12377" t="s">
        <v>44389</v>
      </c>
      <c r="X12377" t="s">
        <v>44777</v>
      </c>
    </row>
    <row r="12378" spans="1:24">
      <c r="A12378">
        <f>HYPERLINK("https://www.philgeps.gov.ph/GEPSNONPILOT/Tender/SplashBidNoticeAbstractUI.aspx?menuIndex=3&amp;refID=7120558&amp;Result=3","7120558")</f>
        <v>0</v>
      </c>
      <c r="B12378" t="s">
        <v>1254</v>
      </c>
      <c r="C12378" t="s">
        <v>15531</v>
      </c>
      <c r="D12378" t="s">
        <v>17998</v>
      </c>
      <c r="E12378" t="s">
        <v>25350</v>
      </c>
      <c r="F12378" t="s">
        <v>30899</v>
      </c>
      <c r="G12378" t="s">
        <v>30907</v>
      </c>
      <c r="H12378" t="s">
        <v>30915</v>
      </c>
      <c r="I12378" t="s">
        <v>30919</v>
      </c>
      <c r="J12378" t="s">
        <v>31270</v>
      </c>
      <c r="K12378" t="s">
        <v>40280</v>
      </c>
      <c r="M12378" t="s">
        <v>41866</v>
      </c>
      <c r="N12378" t="s">
        <v>44759</v>
      </c>
      <c r="O12378" t="s">
        <v>44760</v>
      </c>
      <c r="P12378">
        <v>0</v>
      </c>
      <c r="Q12378">
        <v>1</v>
      </c>
      <c r="R12378" t="s">
        <v>44776</v>
      </c>
      <c r="S12378" t="s">
        <v>45453</v>
      </c>
      <c r="T12378" t="s">
        <v>46519</v>
      </c>
      <c r="U12378" t="s">
        <v>57122</v>
      </c>
      <c r="V12378" t="s">
        <v>59447</v>
      </c>
      <c r="W12378" t="s">
        <v>41866</v>
      </c>
      <c r="X12378" t="s">
        <v>44777</v>
      </c>
    </row>
    <row r="12379" spans="1:24">
      <c r="A12379">
        <f>HYPERLINK("https://www.philgeps.gov.ph/GEPSNONPILOT/Tender/SplashBidNoticeAbstractUI.aspx?menuIndex=3&amp;refID=7120546&amp;Result=3","7120546")</f>
        <v>0</v>
      </c>
      <c r="B12379" t="s">
        <v>899</v>
      </c>
      <c r="C12379" t="s">
        <v>15532</v>
      </c>
      <c r="E12379" t="s">
        <v>28730</v>
      </c>
      <c r="F12379" t="s">
        <v>30900</v>
      </c>
      <c r="G12379" t="s">
        <v>30907</v>
      </c>
      <c r="H12379" t="s">
        <v>30916</v>
      </c>
      <c r="I12379" t="s">
        <v>30923</v>
      </c>
      <c r="J12379" t="s">
        <v>38750</v>
      </c>
      <c r="K12379" t="s">
        <v>40289</v>
      </c>
      <c r="M12379" t="s">
        <v>41473</v>
      </c>
      <c r="N12379" t="s">
        <v>44759</v>
      </c>
      <c r="O12379" t="s">
        <v>44760</v>
      </c>
      <c r="Q12379">
        <v>30</v>
      </c>
      <c r="R12379" t="s">
        <v>44776</v>
      </c>
      <c r="S12379" t="s">
        <v>45172</v>
      </c>
      <c r="T12379" t="s">
        <v>46409</v>
      </c>
      <c r="U12379" t="s">
        <v>57120</v>
      </c>
      <c r="W12379" t="s">
        <v>41473</v>
      </c>
      <c r="X12379" t="s">
        <v>44777</v>
      </c>
    </row>
    <row r="12380" spans="1:24">
      <c r="A12380">
        <f>HYPERLINK("https://www.philgeps.gov.ph/GEPSNONPILOT/Tender/SplashBidNoticeAbstractUI.aspx?menuIndex=3&amp;refID=7120594&amp;Result=3","7120594")</f>
        <v>0</v>
      </c>
      <c r="B12380" t="s">
        <v>3491</v>
      </c>
      <c r="C12380" t="s">
        <v>15533</v>
      </c>
      <c r="D12380" t="s">
        <v>17999</v>
      </c>
      <c r="E12380" t="s">
        <v>28731</v>
      </c>
      <c r="F12380" t="s">
        <v>30900</v>
      </c>
      <c r="G12380" t="s">
        <v>30907</v>
      </c>
      <c r="H12380" t="s">
        <v>30916</v>
      </c>
      <c r="I12380" t="s">
        <v>30930</v>
      </c>
      <c r="J12380" t="s">
        <v>38751</v>
      </c>
      <c r="K12380" t="s">
        <v>40286</v>
      </c>
      <c r="M12380" t="s">
        <v>44392</v>
      </c>
      <c r="N12380" t="s">
        <v>44759</v>
      </c>
      <c r="O12380" t="s">
        <v>44760</v>
      </c>
      <c r="Q12380">
        <v>4</v>
      </c>
      <c r="R12380" t="s">
        <v>44776</v>
      </c>
      <c r="S12380" t="s">
        <v>45219</v>
      </c>
      <c r="T12380" t="s">
        <v>46359</v>
      </c>
      <c r="U12380" t="s">
        <v>57123</v>
      </c>
      <c r="W12380" t="s">
        <v>44392</v>
      </c>
      <c r="X12380" t="s">
        <v>44777</v>
      </c>
    </row>
    <row r="12381" spans="1:24">
      <c r="A12381">
        <f>HYPERLINK("https://www.philgeps.gov.ph/GEPSNONPILOT/Tender/SplashBidNoticeAbstractUI.aspx?menuIndex=3&amp;refID=7120541&amp;Result=3","7120541")</f>
        <v>0</v>
      </c>
      <c r="B12381" t="s">
        <v>2439</v>
      </c>
      <c r="C12381" t="s">
        <v>15534</v>
      </c>
      <c r="D12381" t="s">
        <v>17980</v>
      </c>
      <c r="E12381" t="s">
        <v>21127</v>
      </c>
      <c r="F12381" t="s">
        <v>30900</v>
      </c>
      <c r="G12381" t="s">
        <v>30907</v>
      </c>
      <c r="H12381" t="s">
        <v>30915</v>
      </c>
      <c r="I12381" t="s">
        <v>30919</v>
      </c>
      <c r="J12381" t="s">
        <v>31066</v>
      </c>
      <c r="K12381" t="s">
        <v>40280</v>
      </c>
      <c r="M12381" t="s">
        <v>43170</v>
      </c>
      <c r="N12381" t="s">
        <v>44759</v>
      </c>
      <c r="O12381" t="s">
        <v>44760</v>
      </c>
      <c r="P12381">
        <v>0</v>
      </c>
      <c r="Q12381">
        <v>3</v>
      </c>
      <c r="R12381" t="s">
        <v>44776</v>
      </c>
      <c r="S12381" t="s">
        <v>45453</v>
      </c>
      <c r="T12381" t="s">
        <v>46498</v>
      </c>
      <c r="U12381" t="s">
        <v>52853</v>
      </c>
      <c r="V12381" t="s">
        <v>60519</v>
      </c>
      <c r="W12381" t="s">
        <v>43170</v>
      </c>
      <c r="X12381" t="s">
        <v>44777</v>
      </c>
    </row>
    <row r="12382" spans="1:24">
      <c r="A12382">
        <f>HYPERLINK("https://www.philgeps.gov.ph/GEPSNONPILOT/Tender/SplashBidNoticeAbstractUI.aspx?menuIndex=3&amp;refID=7120588&amp;Result=3","7120588")</f>
        <v>0</v>
      </c>
      <c r="B12382" t="s">
        <v>899</v>
      </c>
      <c r="C12382" t="s">
        <v>15535</v>
      </c>
      <c r="E12382" t="s">
        <v>28732</v>
      </c>
      <c r="F12382" t="s">
        <v>30900</v>
      </c>
      <c r="G12382" t="s">
        <v>30907</v>
      </c>
      <c r="H12382" t="s">
        <v>30916</v>
      </c>
      <c r="I12382" t="s">
        <v>30923</v>
      </c>
      <c r="J12382" t="s">
        <v>38752</v>
      </c>
      <c r="K12382" t="s">
        <v>40289</v>
      </c>
      <c r="M12382" t="s">
        <v>41473</v>
      </c>
      <c r="N12382" t="s">
        <v>44759</v>
      </c>
      <c r="O12382" t="s">
        <v>44760</v>
      </c>
      <c r="Q12382">
        <v>10</v>
      </c>
      <c r="R12382" t="s">
        <v>44776</v>
      </c>
      <c r="S12382" t="s">
        <v>45470</v>
      </c>
      <c r="T12382" t="s">
        <v>46409</v>
      </c>
      <c r="U12382" t="s">
        <v>57120</v>
      </c>
      <c r="W12382" t="s">
        <v>41473</v>
      </c>
      <c r="X12382" t="s">
        <v>44777</v>
      </c>
    </row>
    <row r="12383" spans="1:24">
      <c r="A12383">
        <f>HYPERLINK("https://www.philgeps.gov.ph/GEPSNONPILOT/Tender/SplashBidNoticeAbstractUI.aspx?menuIndex=3&amp;refID=7120529&amp;Result=3","7120529")</f>
        <v>0</v>
      </c>
      <c r="B12383" t="s">
        <v>1468</v>
      </c>
      <c r="C12383" t="s">
        <v>15536</v>
      </c>
      <c r="D12383" t="s">
        <v>17973</v>
      </c>
      <c r="E12383" t="s">
        <v>28733</v>
      </c>
      <c r="F12383" t="s">
        <v>30900</v>
      </c>
      <c r="G12383" t="s">
        <v>30907</v>
      </c>
      <c r="H12383" t="s">
        <v>30916</v>
      </c>
      <c r="I12383" t="s">
        <v>30974</v>
      </c>
      <c r="J12383" t="s">
        <v>38753</v>
      </c>
      <c r="K12383" t="s">
        <v>40280</v>
      </c>
      <c r="M12383" t="s">
        <v>44400</v>
      </c>
      <c r="N12383" t="s">
        <v>44759</v>
      </c>
      <c r="O12383" t="s">
        <v>44760</v>
      </c>
      <c r="Q12383">
        <v>11</v>
      </c>
      <c r="R12383" t="s">
        <v>44776</v>
      </c>
      <c r="S12383" t="s">
        <v>45164</v>
      </c>
      <c r="T12383" t="s">
        <v>46472</v>
      </c>
      <c r="U12383" t="s">
        <v>57124</v>
      </c>
      <c r="W12383" t="s">
        <v>44400</v>
      </c>
      <c r="X12383" t="s">
        <v>44777</v>
      </c>
    </row>
    <row r="12384" spans="1:24">
      <c r="A12384">
        <f>HYPERLINK("https://www.philgeps.gov.ph/GEPSNONPILOT/Tender/SplashBidNoticeAbstractUI.aspx?menuIndex=3&amp;refID=7120517&amp;Result=3","7120517")</f>
        <v>0</v>
      </c>
      <c r="B12384" t="s">
        <v>2002</v>
      </c>
      <c r="C12384" t="s">
        <v>15537</v>
      </c>
      <c r="D12384" t="s">
        <v>17971</v>
      </c>
      <c r="E12384" t="s">
        <v>28734</v>
      </c>
      <c r="F12384" t="s">
        <v>30900</v>
      </c>
      <c r="G12384" t="s">
        <v>30907</v>
      </c>
      <c r="H12384" t="s">
        <v>30916</v>
      </c>
      <c r="I12384" t="s">
        <v>30919</v>
      </c>
      <c r="J12384" t="s">
        <v>38754</v>
      </c>
      <c r="K12384" t="s">
        <v>40446</v>
      </c>
      <c r="M12384" t="s">
        <v>42695</v>
      </c>
      <c r="N12384" t="s">
        <v>44759</v>
      </c>
      <c r="O12384" t="s">
        <v>44760</v>
      </c>
      <c r="Q12384">
        <v>17</v>
      </c>
      <c r="R12384" t="s">
        <v>44776</v>
      </c>
      <c r="S12384" t="s">
        <v>45472</v>
      </c>
      <c r="T12384" t="s">
        <v>46694</v>
      </c>
      <c r="U12384" t="s">
        <v>57125</v>
      </c>
      <c r="W12384" t="s">
        <v>42695</v>
      </c>
      <c r="X12384" t="s">
        <v>44777</v>
      </c>
    </row>
    <row r="12385" spans="1:24">
      <c r="A12385">
        <f>HYPERLINK("https://www.philgeps.gov.ph/GEPSNONPILOT/Tender/SplashBidNoticeAbstractUI.aspx?menuIndex=3&amp;refID=7120566&amp;Result=3","7120566")</f>
        <v>0</v>
      </c>
      <c r="B12385" t="s">
        <v>3491</v>
      </c>
      <c r="C12385" t="s">
        <v>15538</v>
      </c>
      <c r="D12385" t="s">
        <v>17999</v>
      </c>
      <c r="E12385" t="s">
        <v>28735</v>
      </c>
      <c r="F12385" t="s">
        <v>30900</v>
      </c>
      <c r="G12385" t="s">
        <v>30907</v>
      </c>
      <c r="H12385" t="s">
        <v>30916</v>
      </c>
      <c r="I12385" t="s">
        <v>30930</v>
      </c>
      <c r="J12385" t="s">
        <v>38755</v>
      </c>
      <c r="K12385" t="s">
        <v>40286</v>
      </c>
      <c r="M12385" t="s">
        <v>44392</v>
      </c>
      <c r="N12385" t="s">
        <v>44759</v>
      </c>
      <c r="O12385" t="s">
        <v>44760</v>
      </c>
      <c r="P12385">
        <v>0</v>
      </c>
      <c r="Q12385">
        <v>2</v>
      </c>
      <c r="R12385" t="s">
        <v>44776</v>
      </c>
      <c r="S12385" t="s">
        <v>45453</v>
      </c>
      <c r="T12385" t="s">
        <v>46771</v>
      </c>
      <c r="U12385" t="s">
        <v>57126</v>
      </c>
      <c r="W12385" t="s">
        <v>44392</v>
      </c>
      <c r="X12385" t="s">
        <v>44777</v>
      </c>
    </row>
    <row r="12386" spans="1:24">
      <c r="A12386">
        <f>HYPERLINK("https://www.philgeps.gov.ph/GEPSNONPILOT/Tender/SplashBidNoticeAbstractUI.aspx?menuIndex=3&amp;refID=7120540&amp;Result=3","7120540")</f>
        <v>0</v>
      </c>
      <c r="B12386" t="s">
        <v>3498</v>
      </c>
      <c r="C12386" t="s">
        <v>7390</v>
      </c>
      <c r="D12386" t="s">
        <v>17990</v>
      </c>
      <c r="E12386" t="s">
        <v>18615</v>
      </c>
      <c r="F12386" t="s">
        <v>30899</v>
      </c>
      <c r="G12386" t="s">
        <v>30907</v>
      </c>
      <c r="H12386" t="s">
        <v>30916</v>
      </c>
      <c r="I12386" t="s">
        <v>30933</v>
      </c>
      <c r="J12386" t="s">
        <v>31525</v>
      </c>
      <c r="K12386" t="s">
        <v>40281</v>
      </c>
      <c r="M12386" t="s">
        <v>44401</v>
      </c>
      <c r="N12386" t="s">
        <v>44759</v>
      </c>
      <c r="O12386" t="s">
        <v>44760</v>
      </c>
      <c r="P12386">
        <v>0</v>
      </c>
      <c r="Q12386">
        <v>0</v>
      </c>
      <c r="R12386" t="s">
        <v>44776</v>
      </c>
      <c r="S12386" t="s">
        <v>45453</v>
      </c>
      <c r="T12386" t="s">
        <v>46374</v>
      </c>
      <c r="U12386" t="s">
        <v>57127</v>
      </c>
      <c r="V12386" t="s">
        <v>60520</v>
      </c>
      <c r="W12386" t="s">
        <v>44401</v>
      </c>
      <c r="X12386" t="s">
        <v>44777</v>
      </c>
    </row>
    <row r="12387" spans="1:24">
      <c r="A12387">
        <f>HYPERLINK("https://www.philgeps.gov.ph/GEPSNONPILOT/Tender/SplashBidNoticeAbstractUI.aspx?menuIndex=3&amp;refID=7120550&amp;Result=3","7120550")</f>
        <v>0</v>
      </c>
      <c r="B12387" t="s">
        <v>331</v>
      </c>
      <c r="C12387" t="s">
        <v>15539</v>
      </c>
      <c r="D12387" t="s">
        <v>18004</v>
      </c>
      <c r="E12387" t="s">
        <v>28736</v>
      </c>
      <c r="F12387" t="s">
        <v>30900</v>
      </c>
      <c r="G12387" t="s">
        <v>30907</v>
      </c>
      <c r="H12387" t="s">
        <v>30916</v>
      </c>
      <c r="I12387" t="s">
        <v>30939</v>
      </c>
      <c r="J12387" t="s">
        <v>38756</v>
      </c>
      <c r="K12387" t="s">
        <v>40292</v>
      </c>
      <c r="M12387" t="s">
        <v>40882</v>
      </c>
      <c r="N12387" t="s">
        <v>44759</v>
      </c>
      <c r="O12387" t="s">
        <v>44760</v>
      </c>
      <c r="P12387">
        <v>0</v>
      </c>
      <c r="Q12387">
        <v>1</v>
      </c>
      <c r="R12387" t="s">
        <v>44776</v>
      </c>
      <c r="S12387" t="s">
        <v>45453</v>
      </c>
      <c r="T12387" t="s">
        <v>46357</v>
      </c>
      <c r="U12387" t="s">
        <v>57089</v>
      </c>
      <c r="W12387" t="s">
        <v>40882</v>
      </c>
      <c r="X12387" t="s">
        <v>44777</v>
      </c>
    </row>
    <row r="12388" spans="1:24">
      <c r="A12388">
        <f>HYPERLINK("https://www.philgeps.gov.ph/GEPSNONPILOT/Tender/SplashBidNoticeAbstractUI.aspx?menuIndex=3&amp;refID=7120267&amp;Result=3","7120267")</f>
        <v>0</v>
      </c>
      <c r="B12388" t="s">
        <v>1177</v>
      </c>
      <c r="C12388" t="s">
        <v>15540</v>
      </c>
      <c r="D12388" t="s">
        <v>17975</v>
      </c>
      <c r="E12388" t="s">
        <v>28737</v>
      </c>
      <c r="F12388" t="s">
        <v>30900</v>
      </c>
      <c r="G12388" t="s">
        <v>30907</v>
      </c>
      <c r="H12388" t="s">
        <v>30916</v>
      </c>
      <c r="I12388" t="s">
        <v>4108</v>
      </c>
      <c r="J12388" t="s">
        <v>38757</v>
      </c>
      <c r="K12388" t="s">
        <v>40280</v>
      </c>
      <c r="M12388" t="s">
        <v>41784</v>
      </c>
      <c r="N12388" t="s">
        <v>44759</v>
      </c>
      <c r="O12388" t="s">
        <v>44760</v>
      </c>
      <c r="P12388">
        <v>0</v>
      </c>
      <c r="Q12388">
        <v>1</v>
      </c>
      <c r="R12388" t="s">
        <v>44776</v>
      </c>
      <c r="S12388" t="s">
        <v>45453</v>
      </c>
      <c r="T12388" t="s">
        <v>46389</v>
      </c>
      <c r="U12388" t="s">
        <v>57100</v>
      </c>
      <c r="V12388" t="s">
        <v>60455</v>
      </c>
      <c r="W12388" t="s">
        <v>41784</v>
      </c>
      <c r="X12388" t="s">
        <v>44777</v>
      </c>
    </row>
    <row r="12389" spans="1:24">
      <c r="A12389">
        <f>HYPERLINK("https://www.philgeps.gov.ph/GEPSNONPILOT/Tender/SplashBidNoticeAbstractUI.aspx?menuIndex=3&amp;refID=7120515&amp;Result=3","7120515")</f>
        <v>0</v>
      </c>
      <c r="B12389" t="s">
        <v>2441</v>
      </c>
      <c r="C12389" t="s">
        <v>15541</v>
      </c>
      <c r="D12389" t="s">
        <v>17975</v>
      </c>
      <c r="E12389" t="s">
        <v>26160</v>
      </c>
      <c r="F12389" t="s">
        <v>30900</v>
      </c>
      <c r="G12389" t="s">
        <v>30907</v>
      </c>
      <c r="H12389" t="s">
        <v>30915</v>
      </c>
      <c r="I12389" t="s">
        <v>30919</v>
      </c>
      <c r="J12389" t="s">
        <v>31297</v>
      </c>
      <c r="K12389" t="s">
        <v>40280</v>
      </c>
      <c r="M12389" t="s">
        <v>43175</v>
      </c>
      <c r="N12389" t="s">
        <v>44759</v>
      </c>
      <c r="O12389" t="s">
        <v>44760</v>
      </c>
      <c r="P12389">
        <v>0</v>
      </c>
      <c r="Q12389">
        <v>0</v>
      </c>
      <c r="R12389" t="s">
        <v>44776</v>
      </c>
      <c r="S12389" t="s">
        <v>45453</v>
      </c>
      <c r="T12389" t="s">
        <v>46515</v>
      </c>
      <c r="U12389" t="s">
        <v>57128</v>
      </c>
      <c r="W12389" t="s">
        <v>43175</v>
      </c>
      <c r="X12389" t="s">
        <v>44777</v>
      </c>
    </row>
    <row r="12390" spans="1:24">
      <c r="A12390">
        <f>HYPERLINK("https://www.philgeps.gov.ph/GEPSNONPILOT/Tender/SplashBidNoticeAbstractUI.aspx?menuIndex=3&amp;refID=7120809&amp;Result=3","7120809")</f>
        <v>0</v>
      </c>
      <c r="B12390" t="s">
        <v>3499</v>
      </c>
      <c r="C12390" t="s">
        <v>15542</v>
      </c>
      <c r="D12390" t="s">
        <v>18027</v>
      </c>
      <c r="E12390" t="s">
        <v>28738</v>
      </c>
      <c r="F12390" t="s">
        <v>30900</v>
      </c>
      <c r="G12390" t="s">
        <v>30907</v>
      </c>
      <c r="H12390" t="s">
        <v>30915</v>
      </c>
      <c r="I12390" t="s">
        <v>30919</v>
      </c>
      <c r="J12390" t="s">
        <v>38758</v>
      </c>
      <c r="K12390" t="s">
        <v>40537</v>
      </c>
      <c r="M12390" t="s">
        <v>44402</v>
      </c>
      <c r="N12390" t="s">
        <v>44759</v>
      </c>
      <c r="O12390" t="s">
        <v>44760</v>
      </c>
      <c r="P12390">
        <v>0</v>
      </c>
      <c r="Q12390">
        <v>0</v>
      </c>
      <c r="R12390" t="s">
        <v>44776</v>
      </c>
      <c r="S12390" t="s">
        <v>45453</v>
      </c>
      <c r="T12390" t="s">
        <v>46905</v>
      </c>
      <c r="U12390" t="s">
        <v>57129</v>
      </c>
      <c r="W12390" t="s">
        <v>44402</v>
      </c>
      <c r="X12390" t="s">
        <v>44777</v>
      </c>
    </row>
    <row r="12391" spans="1:24">
      <c r="A12391">
        <f>HYPERLINK("https://www.philgeps.gov.ph/GEPSNONPILOT/Tender/SplashBidNoticeAbstractUI.aspx?menuIndex=3&amp;refID=7120840&amp;Result=3","7120840")</f>
        <v>0</v>
      </c>
      <c r="B12391" t="s">
        <v>3378</v>
      </c>
      <c r="C12391" t="s">
        <v>15543</v>
      </c>
      <c r="D12391" t="s">
        <v>17953</v>
      </c>
      <c r="E12391" t="s">
        <v>24979</v>
      </c>
      <c r="F12391" t="s">
        <v>30900</v>
      </c>
      <c r="G12391" t="s">
        <v>30907</v>
      </c>
      <c r="H12391" t="s">
        <v>30916</v>
      </c>
      <c r="I12391" t="s">
        <v>5830</v>
      </c>
      <c r="J12391" t="s">
        <v>31151</v>
      </c>
      <c r="K12391" t="s">
        <v>40287</v>
      </c>
      <c r="L12391" t="s">
        <v>3378</v>
      </c>
      <c r="M12391" t="s">
        <v>44250</v>
      </c>
      <c r="N12391" t="s">
        <v>44759</v>
      </c>
      <c r="O12391" t="s">
        <v>44760</v>
      </c>
      <c r="P12391">
        <v>0</v>
      </c>
      <c r="Q12391">
        <v>0</v>
      </c>
      <c r="R12391" t="s">
        <v>44776</v>
      </c>
      <c r="S12391" t="s">
        <v>45453</v>
      </c>
      <c r="T12391" t="s">
        <v>46409</v>
      </c>
      <c r="U12391" t="s">
        <v>50693</v>
      </c>
      <c r="V12391" t="s">
        <v>60439</v>
      </c>
      <c r="W12391" t="s">
        <v>44250</v>
      </c>
      <c r="X12391" t="s">
        <v>44777</v>
      </c>
    </row>
    <row r="12392" spans="1:24">
      <c r="A12392">
        <f>HYPERLINK("https://www.philgeps.gov.ph/GEPSNONPILOT/Tender/SplashBidNoticeAbstractUI.aspx?menuIndex=3&amp;refID=7120557&amp;Result=3","7120557")</f>
        <v>0</v>
      </c>
      <c r="B12392" t="s">
        <v>147</v>
      </c>
      <c r="C12392" t="s">
        <v>15544</v>
      </c>
      <c r="D12392" t="s">
        <v>17970</v>
      </c>
      <c r="E12392" t="s">
        <v>28739</v>
      </c>
      <c r="F12392" t="s">
        <v>30900</v>
      </c>
      <c r="G12392" t="s">
        <v>30907</v>
      </c>
      <c r="H12392" t="s">
        <v>30916</v>
      </c>
      <c r="I12392" t="s">
        <v>4108</v>
      </c>
      <c r="J12392" t="s">
        <v>38759</v>
      </c>
      <c r="K12392" t="s">
        <v>40280</v>
      </c>
      <c r="M12392" t="s">
        <v>40694</v>
      </c>
      <c r="N12392" t="s">
        <v>44759</v>
      </c>
      <c r="O12392" t="s">
        <v>44760</v>
      </c>
      <c r="P12392">
        <v>0</v>
      </c>
      <c r="Q12392">
        <v>3</v>
      </c>
      <c r="R12392" t="s">
        <v>44776</v>
      </c>
      <c r="S12392" t="s">
        <v>45453</v>
      </c>
      <c r="T12392" t="s">
        <v>46544</v>
      </c>
      <c r="U12392" t="s">
        <v>57130</v>
      </c>
      <c r="W12392" t="s">
        <v>40694</v>
      </c>
      <c r="X12392" t="s">
        <v>44777</v>
      </c>
    </row>
    <row r="12393" spans="1:24">
      <c r="A12393">
        <f>HYPERLINK("https://www.philgeps.gov.ph/GEPSNONPILOT/Tender/SplashBidNoticeAbstractUI.aspx?menuIndex=3&amp;refID=7120836&amp;Result=3","7120836")</f>
        <v>0</v>
      </c>
      <c r="B12393" t="s">
        <v>555</v>
      </c>
      <c r="C12393" t="s">
        <v>15545</v>
      </c>
      <c r="D12393" t="s">
        <v>18028</v>
      </c>
      <c r="E12393" t="s">
        <v>28740</v>
      </c>
      <c r="F12393" t="s">
        <v>30900</v>
      </c>
      <c r="G12393" t="s">
        <v>30907</v>
      </c>
      <c r="H12393" t="s">
        <v>30915</v>
      </c>
      <c r="I12393" t="s">
        <v>30948</v>
      </c>
      <c r="J12393" t="s">
        <v>38760</v>
      </c>
      <c r="K12393" t="s">
        <v>40377</v>
      </c>
      <c r="M12393" t="s">
        <v>41116</v>
      </c>
      <c r="N12393" t="s">
        <v>44759</v>
      </c>
      <c r="O12393" t="s">
        <v>44760</v>
      </c>
      <c r="P12393">
        <v>0</v>
      </c>
      <c r="Q12393">
        <v>0</v>
      </c>
      <c r="R12393" t="s">
        <v>44776</v>
      </c>
      <c r="S12393" t="s">
        <v>45453</v>
      </c>
      <c r="T12393" t="s">
        <v>46504</v>
      </c>
      <c r="U12393" t="s">
        <v>57131</v>
      </c>
      <c r="W12393" t="s">
        <v>41116</v>
      </c>
      <c r="X12393" t="s">
        <v>44777</v>
      </c>
    </row>
    <row r="12394" spans="1:24">
      <c r="A12394">
        <f>HYPERLINK("https://www.philgeps.gov.ph/GEPSNONPILOT/Tender/SplashBidNoticeAbstractUI.aspx?menuIndex=3&amp;refID=7120828&amp;Result=3","7120828")</f>
        <v>0</v>
      </c>
      <c r="B12394" t="s">
        <v>28</v>
      </c>
      <c r="C12394" t="s">
        <v>15546</v>
      </c>
      <c r="D12394" t="s">
        <v>17955</v>
      </c>
      <c r="E12394" t="s">
        <v>28741</v>
      </c>
      <c r="F12394" t="s">
        <v>30900</v>
      </c>
      <c r="G12394" t="s">
        <v>30907</v>
      </c>
      <c r="H12394" t="s">
        <v>30916</v>
      </c>
      <c r="I12394" t="s">
        <v>8123</v>
      </c>
      <c r="J12394" t="s">
        <v>38761</v>
      </c>
      <c r="K12394" t="s">
        <v>40283</v>
      </c>
      <c r="M12394" t="s">
        <v>40574</v>
      </c>
      <c r="N12394" t="s">
        <v>44759</v>
      </c>
      <c r="O12394" t="s">
        <v>44760</v>
      </c>
      <c r="P12394">
        <v>0</v>
      </c>
      <c r="Q12394">
        <v>4</v>
      </c>
      <c r="R12394" t="s">
        <v>44776</v>
      </c>
      <c r="S12394" t="s">
        <v>45453</v>
      </c>
      <c r="T12394" t="s">
        <v>46533</v>
      </c>
      <c r="U12394" t="s">
        <v>57132</v>
      </c>
      <c r="W12394" t="s">
        <v>40574</v>
      </c>
      <c r="X12394" t="s">
        <v>44777</v>
      </c>
    </row>
    <row r="12395" spans="1:24">
      <c r="A12395">
        <f>HYPERLINK("https://www.philgeps.gov.ph/GEPSNONPILOT/Tender/SplashBidNoticeAbstractUI.aspx?menuIndex=3&amp;refID=7120831&amp;Result=3","7120831")</f>
        <v>0</v>
      </c>
      <c r="B12395" t="s">
        <v>3500</v>
      </c>
      <c r="C12395" t="s">
        <v>15547</v>
      </c>
      <c r="D12395" t="s">
        <v>17952</v>
      </c>
      <c r="E12395" t="s">
        <v>28742</v>
      </c>
      <c r="F12395" t="s">
        <v>30900</v>
      </c>
      <c r="G12395" t="s">
        <v>30907</v>
      </c>
      <c r="H12395" t="s">
        <v>30916</v>
      </c>
      <c r="I12395" t="s">
        <v>8123</v>
      </c>
      <c r="J12395" t="s">
        <v>38762</v>
      </c>
      <c r="K12395" t="s">
        <v>40283</v>
      </c>
      <c r="M12395" t="s">
        <v>44403</v>
      </c>
      <c r="N12395" t="s">
        <v>44759</v>
      </c>
      <c r="O12395" t="s">
        <v>44760</v>
      </c>
      <c r="P12395">
        <v>0</v>
      </c>
      <c r="Q12395">
        <v>0</v>
      </c>
      <c r="R12395" t="s">
        <v>44776</v>
      </c>
      <c r="S12395" t="s">
        <v>45453</v>
      </c>
      <c r="T12395" t="s">
        <v>46511</v>
      </c>
      <c r="U12395" t="s">
        <v>57133</v>
      </c>
      <c r="V12395" t="s">
        <v>60521</v>
      </c>
      <c r="W12395" t="s">
        <v>44403</v>
      </c>
      <c r="X12395" t="s">
        <v>44777</v>
      </c>
    </row>
    <row r="12396" spans="1:24">
      <c r="A12396">
        <f>HYPERLINK("https://www.philgeps.gov.ph/GEPSNONPILOT/Tender/SplashBidNoticeAbstractUI.aspx?menuIndex=3&amp;refID=7120802&amp;Result=3","7120802")</f>
        <v>0</v>
      </c>
      <c r="B12396" t="s">
        <v>3501</v>
      </c>
      <c r="C12396" t="s">
        <v>15548</v>
      </c>
      <c r="D12396" t="s">
        <v>18009</v>
      </c>
      <c r="E12396" t="s">
        <v>28743</v>
      </c>
      <c r="F12396" t="s">
        <v>30900</v>
      </c>
      <c r="G12396" t="s">
        <v>30907</v>
      </c>
      <c r="H12396" t="s">
        <v>30916</v>
      </c>
      <c r="I12396" t="s">
        <v>8123</v>
      </c>
      <c r="J12396" t="s">
        <v>38763</v>
      </c>
      <c r="K12396" t="s">
        <v>40284</v>
      </c>
      <c r="M12396" t="s">
        <v>44404</v>
      </c>
      <c r="N12396" t="s">
        <v>44759</v>
      </c>
      <c r="O12396" t="s">
        <v>44760</v>
      </c>
      <c r="P12396">
        <v>0</v>
      </c>
      <c r="Q12396">
        <v>0</v>
      </c>
      <c r="R12396" t="s">
        <v>44776</v>
      </c>
      <c r="S12396" t="s">
        <v>45453</v>
      </c>
      <c r="T12396" t="s">
        <v>46896</v>
      </c>
      <c r="U12396" t="s">
        <v>57134</v>
      </c>
      <c r="W12396" t="s">
        <v>44404</v>
      </c>
      <c r="X12396" t="s">
        <v>44777</v>
      </c>
    </row>
    <row r="12397" spans="1:24">
      <c r="A12397">
        <f>HYPERLINK("https://www.philgeps.gov.ph/GEPSNONPILOT/Tender/SplashBidNoticeAbstractUI.aspx?menuIndex=3&amp;refID=7120793&amp;Result=3","7120793")</f>
        <v>0</v>
      </c>
      <c r="B12397" t="s">
        <v>3378</v>
      </c>
      <c r="C12397" t="s">
        <v>15549</v>
      </c>
      <c r="D12397" t="s">
        <v>17953</v>
      </c>
      <c r="E12397" t="s">
        <v>21288</v>
      </c>
      <c r="F12397" t="s">
        <v>30900</v>
      </c>
      <c r="G12397" t="s">
        <v>30907</v>
      </c>
      <c r="H12397" t="s">
        <v>30916</v>
      </c>
      <c r="I12397" t="s">
        <v>10602</v>
      </c>
      <c r="J12397" t="s">
        <v>34078</v>
      </c>
      <c r="K12397" t="s">
        <v>40287</v>
      </c>
      <c r="L12397" t="s">
        <v>3378</v>
      </c>
      <c r="M12397" t="s">
        <v>44250</v>
      </c>
      <c r="N12397" t="s">
        <v>44759</v>
      </c>
      <c r="O12397" t="s">
        <v>44760</v>
      </c>
      <c r="P12397">
        <v>0</v>
      </c>
      <c r="Q12397">
        <v>0</v>
      </c>
      <c r="R12397" t="s">
        <v>44776</v>
      </c>
      <c r="S12397" t="s">
        <v>45453</v>
      </c>
      <c r="T12397" t="s">
        <v>46400</v>
      </c>
      <c r="U12397" t="s">
        <v>50693</v>
      </c>
      <c r="V12397" t="s">
        <v>60439</v>
      </c>
      <c r="W12397" t="s">
        <v>44250</v>
      </c>
      <c r="X12397" t="s">
        <v>44777</v>
      </c>
    </row>
    <row r="12398" spans="1:24">
      <c r="A12398">
        <f>HYPERLINK("https://www.philgeps.gov.ph/GEPSNONPILOT/Tender/SplashBidNoticeAbstractUI.aspx?menuIndex=3&amp;refID=7120776&amp;Result=3","7120776")</f>
        <v>0</v>
      </c>
      <c r="B12398" t="s">
        <v>3501</v>
      </c>
      <c r="C12398" t="s">
        <v>15550</v>
      </c>
      <c r="D12398" t="s">
        <v>18009</v>
      </c>
      <c r="E12398" t="s">
        <v>28744</v>
      </c>
      <c r="F12398" t="s">
        <v>30900</v>
      </c>
      <c r="G12398" t="s">
        <v>30907</v>
      </c>
      <c r="H12398" t="s">
        <v>30915</v>
      </c>
      <c r="I12398" t="s">
        <v>30919</v>
      </c>
      <c r="J12398" t="s">
        <v>38764</v>
      </c>
      <c r="K12398" t="s">
        <v>40284</v>
      </c>
      <c r="M12398" t="s">
        <v>44404</v>
      </c>
      <c r="N12398" t="s">
        <v>44759</v>
      </c>
      <c r="O12398" t="s">
        <v>44760</v>
      </c>
      <c r="P12398">
        <v>0</v>
      </c>
      <c r="Q12398">
        <v>0</v>
      </c>
      <c r="R12398" t="s">
        <v>44776</v>
      </c>
      <c r="S12398" t="s">
        <v>45453</v>
      </c>
      <c r="T12398" t="s">
        <v>46429</v>
      </c>
      <c r="U12398" t="s">
        <v>57135</v>
      </c>
      <c r="W12398" t="s">
        <v>44404</v>
      </c>
      <c r="X12398" t="s">
        <v>44777</v>
      </c>
    </row>
    <row r="12399" spans="1:24">
      <c r="A12399">
        <f>HYPERLINK("https://www.philgeps.gov.ph/GEPSNONPILOT/Tender/SplashBidNoticeAbstractUI.aspx?menuIndex=3&amp;refID=7120343&amp;Result=3","7120343")</f>
        <v>0</v>
      </c>
      <c r="B12399" t="s">
        <v>2372</v>
      </c>
      <c r="C12399" t="s">
        <v>15551</v>
      </c>
      <c r="D12399" t="s">
        <v>18003</v>
      </c>
      <c r="E12399" t="s">
        <v>28745</v>
      </c>
      <c r="F12399" t="s">
        <v>30900</v>
      </c>
      <c r="G12399" t="s">
        <v>30907</v>
      </c>
      <c r="H12399" t="s">
        <v>30915</v>
      </c>
      <c r="I12399" t="s">
        <v>30919</v>
      </c>
      <c r="J12399" t="s">
        <v>31066</v>
      </c>
      <c r="K12399" t="s">
        <v>40372</v>
      </c>
      <c r="M12399" t="s">
        <v>43098</v>
      </c>
      <c r="N12399" t="s">
        <v>44759</v>
      </c>
      <c r="O12399" t="s">
        <v>44760</v>
      </c>
      <c r="P12399">
        <v>0</v>
      </c>
      <c r="Q12399">
        <v>0</v>
      </c>
      <c r="R12399" t="s">
        <v>44776</v>
      </c>
      <c r="S12399" t="s">
        <v>45453</v>
      </c>
      <c r="T12399" t="s">
        <v>46412</v>
      </c>
      <c r="U12399" t="s">
        <v>57136</v>
      </c>
      <c r="V12399" t="s">
        <v>60522</v>
      </c>
      <c r="W12399" t="s">
        <v>43098</v>
      </c>
      <c r="X12399" t="s">
        <v>44777</v>
      </c>
    </row>
    <row r="12400" spans="1:24">
      <c r="A12400">
        <f>HYPERLINK("https://www.philgeps.gov.ph/GEPSNONPILOT/Tender/SplashBidNoticeAbstractUI.aspx?menuIndex=3&amp;refID=7120768&amp;Result=3","7120768")</f>
        <v>0</v>
      </c>
      <c r="B12400" t="s">
        <v>555</v>
      </c>
      <c r="C12400" t="s">
        <v>15552</v>
      </c>
      <c r="D12400" t="s">
        <v>18028</v>
      </c>
      <c r="E12400" t="s">
        <v>28746</v>
      </c>
      <c r="F12400" t="s">
        <v>30900</v>
      </c>
      <c r="G12400" t="s">
        <v>30907</v>
      </c>
      <c r="H12400" t="s">
        <v>30915</v>
      </c>
      <c r="I12400" t="s">
        <v>30948</v>
      </c>
      <c r="J12400" t="s">
        <v>31241</v>
      </c>
      <c r="K12400" t="s">
        <v>40328</v>
      </c>
      <c r="M12400" t="s">
        <v>41116</v>
      </c>
      <c r="N12400" t="s">
        <v>44759</v>
      </c>
      <c r="O12400" t="s">
        <v>44760</v>
      </c>
      <c r="P12400">
        <v>0</v>
      </c>
      <c r="Q12400">
        <v>1</v>
      </c>
      <c r="R12400" t="s">
        <v>44776</v>
      </c>
      <c r="S12400" t="s">
        <v>45453</v>
      </c>
      <c r="T12400" t="s">
        <v>46422</v>
      </c>
      <c r="U12400" t="s">
        <v>57137</v>
      </c>
      <c r="W12400" t="s">
        <v>41116</v>
      </c>
      <c r="X12400" t="s">
        <v>44777</v>
      </c>
    </row>
    <row r="12401" spans="1:24">
      <c r="A12401">
        <f>HYPERLINK("https://www.philgeps.gov.ph/GEPSNONPILOT/Tender/SplashBidNoticeAbstractUI.aspx?menuIndex=3&amp;refID=7120762&amp;Result=3","7120762")</f>
        <v>0</v>
      </c>
      <c r="B12401" t="s">
        <v>2920</v>
      </c>
      <c r="C12401" t="s">
        <v>15553</v>
      </c>
      <c r="D12401" t="s">
        <v>17975</v>
      </c>
      <c r="E12401" t="s">
        <v>28747</v>
      </c>
      <c r="F12401" t="s">
        <v>30900</v>
      </c>
      <c r="G12401" t="s">
        <v>30907</v>
      </c>
      <c r="H12401" t="s">
        <v>30916</v>
      </c>
      <c r="I12401" t="s">
        <v>30924</v>
      </c>
      <c r="J12401" t="s">
        <v>38765</v>
      </c>
      <c r="K12401" t="s">
        <v>40286</v>
      </c>
      <c r="M12401" t="s">
        <v>43715</v>
      </c>
      <c r="N12401" t="s">
        <v>44759</v>
      </c>
      <c r="O12401" t="s">
        <v>44760</v>
      </c>
      <c r="P12401">
        <v>0</v>
      </c>
      <c r="Q12401">
        <v>3</v>
      </c>
      <c r="R12401" t="s">
        <v>44776</v>
      </c>
      <c r="S12401" t="s">
        <v>45453</v>
      </c>
      <c r="T12401" t="s">
        <v>46487</v>
      </c>
      <c r="U12401" t="s">
        <v>57138</v>
      </c>
      <c r="W12401" t="s">
        <v>43715</v>
      </c>
      <c r="X12401" t="s">
        <v>44777</v>
      </c>
    </row>
    <row r="12402" spans="1:24">
      <c r="A12402">
        <f>HYPERLINK("https://www.philgeps.gov.ph/GEPSNONPILOT/Tender/SplashBidNoticeAbstractUI.aspx?menuIndex=3&amp;refID=7120745&amp;Result=3","7120745")</f>
        <v>0</v>
      </c>
      <c r="B12402" t="s">
        <v>2486</v>
      </c>
      <c r="C12402" t="s">
        <v>15554</v>
      </c>
      <c r="D12402" t="s">
        <v>17978</v>
      </c>
      <c r="E12402" t="s">
        <v>28748</v>
      </c>
      <c r="F12402" t="s">
        <v>30899</v>
      </c>
      <c r="G12402" t="s">
        <v>30907</v>
      </c>
      <c r="H12402" t="s">
        <v>30915</v>
      </c>
      <c r="I12402" t="s">
        <v>30919</v>
      </c>
      <c r="J12402" t="s">
        <v>38766</v>
      </c>
      <c r="K12402" t="s">
        <v>40292</v>
      </c>
      <c r="M12402" t="s">
        <v>43227</v>
      </c>
      <c r="N12402" t="s">
        <v>44759</v>
      </c>
      <c r="O12402" t="s">
        <v>44760</v>
      </c>
      <c r="P12402">
        <v>0</v>
      </c>
      <c r="Q12402">
        <v>1</v>
      </c>
      <c r="R12402" t="s">
        <v>44776</v>
      </c>
      <c r="S12402" t="s">
        <v>45453</v>
      </c>
      <c r="T12402" t="s">
        <v>46357</v>
      </c>
      <c r="U12402" t="s">
        <v>57139</v>
      </c>
      <c r="V12402" t="s">
        <v>59200</v>
      </c>
      <c r="W12402" t="s">
        <v>43227</v>
      </c>
      <c r="X12402" t="s">
        <v>44777</v>
      </c>
    </row>
    <row r="12403" spans="1:24">
      <c r="A12403">
        <f>HYPERLINK("https://www.philgeps.gov.ph/GEPSNONPILOT/Tender/SplashBidNoticeAbstractUI.aspx?menuIndex=3&amp;refID=7120348&amp;Result=3","7120348")</f>
        <v>0</v>
      </c>
      <c r="B12403" t="s">
        <v>3487</v>
      </c>
      <c r="C12403" t="s">
        <v>15555</v>
      </c>
      <c r="D12403" t="s">
        <v>17952</v>
      </c>
      <c r="E12403" t="s">
        <v>28749</v>
      </c>
      <c r="F12403" t="s">
        <v>30900</v>
      </c>
      <c r="G12403" t="s">
        <v>30907</v>
      </c>
      <c r="H12403" t="s">
        <v>30915</v>
      </c>
      <c r="I12403" t="s">
        <v>30919</v>
      </c>
      <c r="J12403" t="s">
        <v>32271</v>
      </c>
      <c r="K12403" t="s">
        <v>40295</v>
      </c>
      <c r="M12403" t="s">
        <v>44388</v>
      </c>
      <c r="N12403" t="s">
        <v>44759</v>
      </c>
      <c r="O12403" t="s">
        <v>44760</v>
      </c>
      <c r="P12403">
        <v>0</v>
      </c>
      <c r="Q12403">
        <v>3</v>
      </c>
      <c r="R12403" t="s">
        <v>44776</v>
      </c>
      <c r="S12403" t="s">
        <v>45453</v>
      </c>
      <c r="T12403" t="s">
        <v>46366</v>
      </c>
      <c r="U12403" t="s">
        <v>57140</v>
      </c>
      <c r="W12403" t="s">
        <v>44388</v>
      </c>
      <c r="X12403" t="s">
        <v>44777</v>
      </c>
    </row>
    <row r="12404" spans="1:24">
      <c r="A12404">
        <f>HYPERLINK("https://www.philgeps.gov.ph/GEPSNONPILOT/Tender/SplashBidNoticeAbstractUI.aspx?menuIndex=3&amp;refID=7120786&amp;Result=3","7120786")</f>
        <v>0</v>
      </c>
      <c r="B12404" t="s">
        <v>750</v>
      </c>
      <c r="C12404" t="s">
        <v>15556</v>
      </c>
      <c r="D12404" t="s">
        <v>17961</v>
      </c>
      <c r="E12404" t="s">
        <v>28750</v>
      </c>
      <c r="F12404" t="s">
        <v>30900</v>
      </c>
      <c r="G12404" t="s">
        <v>30907</v>
      </c>
      <c r="H12404" t="s">
        <v>30916</v>
      </c>
      <c r="I12404" t="s">
        <v>8123</v>
      </c>
      <c r="J12404" t="s">
        <v>38767</v>
      </c>
      <c r="K12404" t="s">
        <v>40280</v>
      </c>
      <c r="M12404" t="s">
        <v>41961</v>
      </c>
      <c r="N12404" t="s">
        <v>44759</v>
      </c>
      <c r="O12404" t="s">
        <v>44760</v>
      </c>
      <c r="Q12404">
        <v>2</v>
      </c>
      <c r="R12404" t="s">
        <v>44776</v>
      </c>
      <c r="S12404" t="s">
        <v>45473</v>
      </c>
      <c r="T12404" t="s">
        <v>46487</v>
      </c>
      <c r="U12404" t="s">
        <v>57141</v>
      </c>
      <c r="W12404" t="s">
        <v>41961</v>
      </c>
      <c r="X12404" t="s">
        <v>44777</v>
      </c>
    </row>
    <row r="12405" spans="1:24">
      <c r="A12405">
        <f>HYPERLINK("https://www.philgeps.gov.ph/GEPSNONPILOT/Tender/SplashBidNoticeAbstractUI.aspx?menuIndex=3&amp;refID=7120938&amp;Result=3","7120938")</f>
        <v>0</v>
      </c>
      <c r="B12405" t="s">
        <v>3378</v>
      </c>
      <c r="C12405" t="s">
        <v>15557</v>
      </c>
      <c r="D12405" t="s">
        <v>17953</v>
      </c>
      <c r="E12405" t="s">
        <v>19695</v>
      </c>
      <c r="F12405" t="s">
        <v>30900</v>
      </c>
      <c r="G12405" t="s">
        <v>30907</v>
      </c>
      <c r="H12405" t="s">
        <v>30916</v>
      </c>
      <c r="I12405" t="s">
        <v>8365</v>
      </c>
      <c r="J12405" t="s">
        <v>31863</v>
      </c>
      <c r="K12405" t="s">
        <v>40287</v>
      </c>
      <c r="L12405" t="s">
        <v>3378</v>
      </c>
      <c r="M12405" t="s">
        <v>44250</v>
      </c>
      <c r="N12405" t="s">
        <v>44759</v>
      </c>
      <c r="O12405" t="s">
        <v>44760</v>
      </c>
      <c r="P12405">
        <v>0</v>
      </c>
      <c r="Q12405">
        <v>0</v>
      </c>
      <c r="R12405" t="s">
        <v>44776</v>
      </c>
      <c r="S12405" t="s">
        <v>45453</v>
      </c>
      <c r="T12405" t="s">
        <v>46409</v>
      </c>
      <c r="U12405" t="s">
        <v>50693</v>
      </c>
      <c r="V12405" t="s">
        <v>60439</v>
      </c>
      <c r="W12405" t="s">
        <v>44250</v>
      </c>
      <c r="X12405" t="s">
        <v>44777</v>
      </c>
    </row>
    <row r="12406" spans="1:24">
      <c r="A12406">
        <f>HYPERLINK("https://www.philgeps.gov.ph/GEPSNONPILOT/Tender/SplashBidNoticeAbstractUI.aspx?menuIndex=3&amp;refID=7120615&amp;Result=3","7120615")</f>
        <v>0</v>
      </c>
      <c r="B12406" t="s">
        <v>3502</v>
      </c>
      <c r="C12406" t="s">
        <v>7390</v>
      </c>
      <c r="D12406" t="s">
        <v>17990</v>
      </c>
      <c r="E12406" t="s">
        <v>18615</v>
      </c>
      <c r="F12406" t="s">
        <v>30899</v>
      </c>
      <c r="G12406" t="s">
        <v>30907</v>
      </c>
      <c r="H12406" t="s">
        <v>30916</v>
      </c>
      <c r="I12406" t="s">
        <v>30933</v>
      </c>
      <c r="J12406" t="s">
        <v>31525</v>
      </c>
      <c r="K12406" t="s">
        <v>40281</v>
      </c>
      <c r="M12406" t="s">
        <v>44405</v>
      </c>
      <c r="N12406" t="s">
        <v>44759</v>
      </c>
      <c r="O12406" t="s">
        <v>44760</v>
      </c>
      <c r="P12406">
        <v>0</v>
      </c>
      <c r="Q12406">
        <v>1</v>
      </c>
      <c r="R12406" t="s">
        <v>44776</v>
      </c>
      <c r="S12406" t="s">
        <v>45453</v>
      </c>
      <c r="T12406" t="s">
        <v>46374</v>
      </c>
      <c r="U12406" t="s">
        <v>57142</v>
      </c>
      <c r="V12406" t="s">
        <v>60523</v>
      </c>
      <c r="W12406" t="s">
        <v>44405</v>
      </c>
      <c r="X12406" t="s">
        <v>44777</v>
      </c>
    </row>
    <row r="12407" spans="1:24">
      <c r="A12407">
        <f>HYPERLINK("https://www.philgeps.gov.ph/GEPSNONPILOT/Tender/SplashBidNoticeAbstractUI.aspx?menuIndex=3&amp;refID=7120976&amp;Result=3","7120976")</f>
        <v>0</v>
      </c>
      <c r="B12407" t="s">
        <v>2416</v>
      </c>
      <c r="C12407" t="s">
        <v>15558</v>
      </c>
      <c r="D12407" t="s">
        <v>17993</v>
      </c>
      <c r="E12407" t="s">
        <v>28751</v>
      </c>
      <c r="F12407" t="s">
        <v>30900</v>
      </c>
      <c r="G12407" t="s">
        <v>30907</v>
      </c>
      <c r="H12407" t="s">
        <v>30916</v>
      </c>
      <c r="I12407" t="s">
        <v>5501</v>
      </c>
      <c r="J12407" t="s">
        <v>38768</v>
      </c>
      <c r="K12407" t="s">
        <v>40286</v>
      </c>
      <c r="M12407" t="s">
        <v>43143</v>
      </c>
      <c r="N12407" t="s">
        <v>44759</v>
      </c>
      <c r="O12407" t="s">
        <v>44760</v>
      </c>
      <c r="P12407">
        <v>0</v>
      </c>
      <c r="Q12407">
        <v>10</v>
      </c>
      <c r="R12407" t="s">
        <v>44776</v>
      </c>
      <c r="S12407" t="s">
        <v>45453</v>
      </c>
      <c r="T12407" t="s">
        <v>46389</v>
      </c>
      <c r="U12407" t="s">
        <v>57143</v>
      </c>
      <c r="V12407" t="s">
        <v>59325</v>
      </c>
      <c r="W12407" t="s">
        <v>43143</v>
      </c>
      <c r="X12407" t="s">
        <v>44777</v>
      </c>
    </row>
    <row r="12408" spans="1:24">
      <c r="A12408">
        <f>HYPERLINK("https://www.philgeps.gov.ph/GEPSNONPILOT/Tender/SplashBidNoticeAbstractUI.aspx?menuIndex=3&amp;refID=7120740&amp;Result=3","7120740")</f>
        <v>0</v>
      </c>
      <c r="B12408" t="s">
        <v>3503</v>
      </c>
      <c r="C12408" t="s">
        <v>15559</v>
      </c>
      <c r="D12408" t="s">
        <v>17957</v>
      </c>
      <c r="E12408" t="s">
        <v>28752</v>
      </c>
      <c r="F12408" t="s">
        <v>30900</v>
      </c>
      <c r="G12408" t="s">
        <v>30907</v>
      </c>
      <c r="H12408" t="s">
        <v>30915</v>
      </c>
      <c r="I12408" t="s">
        <v>30919</v>
      </c>
      <c r="J12408" t="s">
        <v>32276</v>
      </c>
      <c r="K12408" t="s">
        <v>40521</v>
      </c>
      <c r="M12408" t="s">
        <v>44406</v>
      </c>
      <c r="N12408" t="s">
        <v>44759</v>
      </c>
      <c r="O12408" t="s">
        <v>44760</v>
      </c>
      <c r="P12408">
        <v>0</v>
      </c>
      <c r="Q12408">
        <v>0</v>
      </c>
      <c r="R12408" t="s">
        <v>44776</v>
      </c>
      <c r="S12408" t="s">
        <v>45453</v>
      </c>
      <c r="T12408" t="s">
        <v>46425</v>
      </c>
      <c r="U12408" t="s">
        <v>57144</v>
      </c>
      <c r="V12408" t="s">
        <v>60524</v>
      </c>
      <c r="W12408" t="s">
        <v>44406</v>
      </c>
      <c r="X12408" t="s">
        <v>44777</v>
      </c>
    </row>
    <row r="12409" spans="1:24">
      <c r="A12409">
        <f>HYPERLINK("https://www.philgeps.gov.ph/GEPSNONPILOT/Tender/SplashBidNoticeAbstractUI.aspx?menuIndex=3&amp;refID=7120955&amp;Result=3","7120955")</f>
        <v>0</v>
      </c>
      <c r="B12409" t="s">
        <v>3499</v>
      </c>
      <c r="C12409" t="s">
        <v>15560</v>
      </c>
      <c r="D12409" t="s">
        <v>18027</v>
      </c>
      <c r="E12409" t="s">
        <v>28753</v>
      </c>
      <c r="F12409" t="s">
        <v>30900</v>
      </c>
      <c r="G12409" t="s">
        <v>30907</v>
      </c>
      <c r="H12409" t="s">
        <v>30915</v>
      </c>
      <c r="I12409" t="s">
        <v>30919</v>
      </c>
      <c r="J12409" t="s">
        <v>38769</v>
      </c>
      <c r="K12409" t="s">
        <v>40302</v>
      </c>
      <c r="M12409" t="s">
        <v>44402</v>
      </c>
      <c r="N12409" t="s">
        <v>44759</v>
      </c>
      <c r="O12409" t="s">
        <v>44760</v>
      </c>
      <c r="P12409">
        <v>0</v>
      </c>
      <c r="Q12409">
        <v>1</v>
      </c>
      <c r="R12409" t="s">
        <v>44776</v>
      </c>
      <c r="S12409" t="s">
        <v>45453</v>
      </c>
      <c r="T12409" t="s">
        <v>46897</v>
      </c>
      <c r="U12409" t="s">
        <v>57145</v>
      </c>
      <c r="W12409" t="s">
        <v>44402</v>
      </c>
      <c r="X12409" t="s">
        <v>44777</v>
      </c>
    </row>
    <row r="12410" spans="1:24">
      <c r="A12410">
        <f>HYPERLINK("https://www.philgeps.gov.ph/GEPSNONPILOT/Tender/SplashBidNoticeAbstractUI.aspx?menuIndex=3&amp;refID=7120936&amp;Result=3","7120936")</f>
        <v>0</v>
      </c>
      <c r="B12410" t="s">
        <v>3499</v>
      </c>
      <c r="C12410" t="s">
        <v>15561</v>
      </c>
      <c r="D12410" t="s">
        <v>18027</v>
      </c>
      <c r="E12410" t="s">
        <v>28754</v>
      </c>
      <c r="F12410" t="s">
        <v>30900</v>
      </c>
      <c r="G12410" t="s">
        <v>30907</v>
      </c>
      <c r="H12410" t="s">
        <v>30915</v>
      </c>
      <c r="I12410" t="s">
        <v>30919</v>
      </c>
      <c r="J12410" t="s">
        <v>38770</v>
      </c>
      <c r="K12410" t="s">
        <v>40302</v>
      </c>
      <c r="M12410" t="s">
        <v>44402</v>
      </c>
      <c r="N12410" t="s">
        <v>44759</v>
      </c>
      <c r="O12410" t="s">
        <v>44760</v>
      </c>
      <c r="P12410">
        <v>0</v>
      </c>
      <c r="Q12410">
        <v>0</v>
      </c>
      <c r="R12410" t="s">
        <v>44776</v>
      </c>
      <c r="S12410" t="s">
        <v>45453</v>
      </c>
      <c r="T12410" t="s">
        <v>46897</v>
      </c>
      <c r="U12410" t="s">
        <v>57146</v>
      </c>
      <c r="W12410" t="s">
        <v>44402</v>
      </c>
      <c r="X12410" t="s">
        <v>44777</v>
      </c>
    </row>
    <row r="12411" spans="1:24">
      <c r="A12411">
        <f>HYPERLINK("https://www.philgeps.gov.ph/GEPSNONPILOT/Tender/SplashBidNoticeAbstractUI.aspx?menuIndex=3&amp;refID=7120974&amp;Result=3","7120974")</f>
        <v>0</v>
      </c>
      <c r="B12411" t="s">
        <v>3499</v>
      </c>
      <c r="C12411" t="s">
        <v>15562</v>
      </c>
      <c r="D12411" t="s">
        <v>18027</v>
      </c>
      <c r="E12411" t="s">
        <v>28755</v>
      </c>
      <c r="F12411" t="s">
        <v>30900</v>
      </c>
      <c r="G12411" t="s">
        <v>30907</v>
      </c>
      <c r="H12411" t="s">
        <v>30915</v>
      </c>
      <c r="I12411" t="s">
        <v>30919</v>
      </c>
      <c r="J12411" t="s">
        <v>38771</v>
      </c>
      <c r="K12411" t="s">
        <v>40326</v>
      </c>
      <c r="M12411" t="s">
        <v>44402</v>
      </c>
      <c r="N12411" t="s">
        <v>44759</v>
      </c>
      <c r="O12411" t="s">
        <v>44760</v>
      </c>
      <c r="P12411">
        <v>0</v>
      </c>
      <c r="Q12411">
        <v>0</v>
      </c>
      <c r="R12411" t="s">
        <v>44776</v>
      </c>
      <c r="S12411" t="s">
        <v>45453</v>
      </c>
      <c r="T12411" t="s">
        <v>46897</v>
      </c>
      <c r="U12411" t="s">
        <v>57147</v>
      </c>
      <c r="W12411" t="s">
        <v>44402</v>
      </c>
      <c r="X12411" t="s">
        <v>44777</v>
      </c>
    </row>
    <row r="12412" spans="1:24">
      <c r="A12412">
        <f>HYPERLINK("https://www.philgeps.gov.ph/GEPSNONPILOT/Tender/SplashBidNoticeAbstractUI.aspx?menuIndex=3&amp;refID=7120935&amp;Result=3","7120935")</f>
        <v>0</v>
      </c>
      <c r="B12412" t="s">
        <v>3500</v>
      </c>
      <c r="C12412" t="s">
        <v>15563</v>
      </c>
      <c r="D12412" t="s">
        <v>17952</v>
      </c>
      <c r="E12412" t="s">
        <v>28756</v>
      </c>
      <c r="F12412" t="s">
        <v>30900</v>
      </c>
      <c r="G12412" t="s">
        <v>30907</v>
      </c>
      <c r="H12412" t="s">
        <v>30916</v>
      </c>
      <c r="I12412" t="s">
        <v>8123</v>
      </c>
      <c r="J12412" t="s">
        <v>38772</v>
      </c>
      <c r="K12412" t="s">
        <v>40283</v>
      </c>
      <c r="M12412" t="s">
        <v>44403</v>
      </c>
      <c r="N12412" t="s">
        <v>44759</v>
      </c>
      <c r="O12412" t="s">
        <v>44760</v>
      </c>
      <c r="P12412">
        <v>0</v>
      </c>
      <c r="Q12412">
        <v>0</v>
      </c>
      <c r="R12412" t="s">
        <v>44776</v>
      </c>
      <c r="S12412" t="s">
        <v>45453</v>
      </c>
      <c r="T12412" t="s">
        <v>46511</v>
      </c>
      <c r="U12412" t="s">
        <v>57148</v>
      </c>
      <c r="V12412" t="s">
        <v>60521</v>
      </c>
      <c r="W12412" t="s">
        <v>44403</v>
      </c>
      <c r="X12412" t="s">
        <v>44777</v>
      </c>
    </row>
    <row r="12413" spans="1:24">
      <c r="A12413">
        <f>HYPERLINK("https://www.philgeps.gov.ph/GEPSNONPILOT/Tender/SplashBidNoticeAbstractUI.aspx?menuIndex=3&amp;refID=7120937&amp;Result=3","7120937")</f>
        <v>0</v>
      </c>
      <c r="B12413" t="s">
        <v>989</v>
      </c>
      <c r="C12413" t="s">
        <v>15564</v>
      </c>
      <c r="D12413" t="s">
        <v>18025</v>
      </c>
      <c r="E12413" t="s">
        <v>28757</v>
      </c>
      <c r="F12413" t="s">
        <v>30900</v>
      </c>
      <c r="G12413" t="s">
        <v>30907</v>
      </c>
      <c r="H12413" t="s">
        <v>30916</v>
      </c>
      <c r="I12413" t="s">
        <v>30942</v>
      </c>
      <c r="J12413" t="s">
        <v>38773</v>
      </c>
      <c r="K12413" t="s">
        <v>40291</v>
      </c>
      <c r="M12413" t="s">
        <v>41577</v>
      </c>
      <c r="N12413" t="s">
        <v>44759</v>
      </c>
      <c r="O12413" t="s">
        <v>44760</v>
      </c>
      <c r="P12413">
        <v>0</v>
      </c>
      <c r="Q12413">
        <v>1</v>
      </c>
      <c r="R12413" t="s">
        <v>44776</v>
      </c>
      <c r="S12413" t="s">
        <v>45453</v>
      </c>
      <c r="T12413" t="s">
        <v>46613</v>
      </c>
      <c r="U12413" t="s">
        <v>57149</v>
      </c>
      <c r="W12413" t="s">
        <v>41577</v>
      </c>
      <c r="X12413" t="s">
        <v>44777</v>
      </c>
    </row>
    <row r="12414" spans="1:24">
      <c r="A12414">
        <f>HYPERLINK("https://www.philgeps.gov.ph/GEPSNONPILOT/Tender/SplashBidNoticeAbstractUI.aspx?menuIndex=3&amp;refID=7120919&amp;Result=3","7120919")</f>
        <v>0</v>
      </c>
      <c r="B12414" t="s">
        <v>81</v>
      </c>
      <c r="C12414" t="s">
        <v>15565</v>
      </c>
      <c r="D12414" t="s">
        <v>17959</v>
      </c>
      <c r="E12414" t="s">
        <v>28758</v>
      </c>
      <c r="F12414" t="s">
        <v>30900</v>
      </c>
      <c r="G12414" t="s">
        <v>30907</v>
      </c>
      <c r="H12414" t="s">
        <v>30916</v>
      </c>
      <c r="I12414" t="s">
        <v>30923</v>
      </c>
      <c r="J12414" t="s">
        <v>38774</v>
      </c>
      <c r="K12414" t="s">
        <v>40289</v>
      </c>
      <c r="M12414" t="s">
        <v>41346</v>
      </c>
      <c r="N12414" t="s">
        <v>44759</v>
      </c>
      <c r="O12414" t="s">
        <v>44760</v>
      </c>
      <c r="P12414">
        <v>0</v>
      </c>
      <c r="Q12414">
        <v>8</v>
      </c>
      <c r="R12414" t="s">
        <v>44776</v>
      </c>
      <c r="S12414" t="s">
        <v>45453</v>
      </c>
      <c r="T12414" t="s">
        <v>46399</v>
      </c>
      <c r="U12414" t="s">
        <v>57150</v>
      </c>
      <c r="W12414" t="s">
        <v>41346</v>
      </c>
      <c r="X12414" t="s">
        <v>44777</v>
      </c>
    </row>
    <row r="12415" spans="1:24">
      <c r="A12415">
        <f>HYPERLINK("https://www.philgeps.gov.ph/GEPSNONPILOT/Tender/SplashBidNoticeAbstractUI.aspx?menuIndex=3&amp;refID=7120899&amp;Result=3","7120899")</f>
        <v>0</v>
      </c>
      <c r="B12415" t="s">
        <v>989</v>
      </c>
      <c r="C12415" t="s">
        <v>15566</v>
      </c>
      <c r="D12415" t="s">
        <v>18025</v>
      </c>
      <c r="E12415" t="s">
        <v>28759</v>
      </c>
      <c r="F12415" t="s">
        <v>30900</v>
      </c>
      <c r="G12415" t="s">
        <v>30907</v>
      </c>
      <c r="H12415" t="s">
        <v>30916</v>
      </c>
      <c r="I12415" t="s">
        <v>30924</v>
      </c>
      <c r="J12415" t="s">
        <v>38775</v>
      </c>
      <c r="K12415" t="s">
        <v>40288</v>
      </c>
      <c r="M12415" t="s">
        <v>41577</v>
      </c>
      <c r="N12415" t="s">
        <v>44759</v>
      </c>
      <c r="O12415" t="s">
        <v>44760</v>
      </c>
      <c r="P12415">
        <v>0</v>
      </c>
      <c r="Q12415">
        <v>11</v>
      </c>
      <c r="R12415" t="s">
        <v>44776</v>
      </c>
      <c r="S12415" t="s">
        <v>45453</v>
      </c>
      <c r="T12415" t="s">
        <v>46613</v>
      </c>
      <c r="U12415" t="s">
        <v>57151</v>
      </c>
      <c r="W12415" t="s">
        <v>41577</v>
      </c>
      <c r="X12415" t="s">
        <v>44777</v>
      </c>
    </row>
    <row r="12416" spans="1:24">
      <c r="A12416">
        <f>HYPERLINK("https://www.philgeps.gov.ph/GEPSNONPILOT/Tender/SplashBidNoticeAbstractUI.aspx?menuIndex=3&amp;refID=7120897&amp;Result=3","7120897")</f>
        <v>0</v>
      </c>
      <c r="B12416" t="s">
        <v>3378</v>
      </c>
      <c r="C12416" t="s">
        <v>15567</v>
      </c>
      <c r="D12416" t="s">
        <v>17953</v>
      </c>
      <c r="E12416" t="s">
        <v>20587</v>
      </c>
      <c r="F12416" t="s">
        <v>30900</v>
      </c>
      <c r="G12416" t="s">
        <v>30907</v>
      </c>
      <c r="H12416" t="s">
        <v>30916</v>
      </c>
      <c r="I12416" t="s">
        <v>30976</v>
      </c>
      <c r="J12416" t="s">
        <v>32298</v>
      </c>
      <c r="K12416" t="s">
        <v>40287</v>
      </c>
      <c r="L12416" t="s">
        <v>3378</v>
      </c>
      <c r="M12416" t="s">
        <v>44250</v>
      </c>
      <c r="N12416" t="s">
        <v>44759</v>
      </c>
      <c r="O12416" t="s">
        <v>44760</v>
      </c>
      <c r="P12416">
        <v>0</v>
      </c>
      <c r="Q12416">
        <v>2</v>
      </c>
      <c r="R12416" t="s">
        <v>44776</v>
      </c>
      <c r="S12416" t="s">
        <v>45453</v>
      </c>
      <c r="T12416" t="s">
        <v>46409</v>
      </c>
      <c r="U12416" t="s">
        <v>50693</v>
      </c>
      <c r="V12416" t="s">
        <v>60439</v>
      </c>
      <c r="W12416" t="s">
        <v>44250</v>
      </c>
      <c r="X12416" t="s">
        <v>44777</v>
      </c>
    </row>
    <row r="12417" spans="1:24">
      <c r="A12417">
        <f>HYPERLINK("https://www.philgeps.gov.ph/GEPSNONPILOT/Tender/SplashBidNoticeAbstractUI.aspx?menuIndex=3&amp;refID=7120922&amp;Result=3","7120922")</f>
        <v>0</v>
      </c>
      <c r="B12417" t="s">
        <v>1491</v>
      </c>
      <c r="C12417" t="s">
        <v>15568</v>
      </c>
      <c r="D12417" t="s">
        <v>17968</v>
      </c>
      <c r="E12417" t="s">
        <v>28760</v>
      </c>
      <c r="F12417" t="s">
        <v>30900</v>
      </c>
      <c r="G12417" t="s">
        <v>30907</v>
      </c>
      <c r="H12417" t="s">
        <v>30916</v>
      </c>
      <c r="I12417" t="s">
        <v>30927</v>
      </c>
      <c r="J12417" t="s">
        <v>38776</v>
      </c>
      <c r="K12417" t="s">
        <v>40321</v>
      </c>
      <c r="M12417" t="s">
        <v>42129</v>
      </c>
      <c r="N12417" t="s">
        <v>44759</v>
      </c>
      <c r="O12417" t="s">
        <v>44760</v>
      </c>
      <c r="P12417">
        <v>0</v>
      </c>
      <c r="Q12417">
        <v>0</v>
      </c>
      <c r="R12417" t="s">
        <v>44776</v>
      </c>
      <c r="S12417" t="s">
        <v>45453</v>
      </c>
      <c r="T12417" t="s">
        <v>46357</v>
      </c>
      <c r="U12417" t="s">
        <v>57152</v>
      </c>
      <c r="W12417" t="s">
        <v>60863</v>
      </c>
      <c r="X12417" t="s">
        <v>44777</v>
      </c>
    </row>
    <row r="12418" spans="1:24">
      <c r="A12418">
        <f>HYPERLINK("https://www.philgeps.gov.ph/GEPSNONPILOT/Tender/SplashBidNoticeAbstractUI.aspx?menuIndex=3&amp;refID=7120882&amp;Result=3","7120882")</f>
        <v>0</v>
      </c>
      <c r="B12418" t="s">
        <v>3378</v>
      </c>
      <c r="C12418" t="s">
        <v>15569</v>
      </c>
      <c r="D12418" t="s">
        <v>17953</v>
      </c>
      <c r="E12418" t="s">
        <v>28761</v>
      </c>
      <c r="F12418" t="s">
        <v>30900</v>
      </c>
      <c r="G12418" t="s">
        <v>30907</v>
      </c>
      <c r="H12418" t="s">
        <v>30916</v>
      </c>
      <c r="I12418" t="s">
        <v>8365</v>
      </c>
      <c r="J12418" t="s">
        <v>31583</v>
      </c>
      <c r="K12418" t="s">
        <v>40287</v>
      </c>
      <c r="L12418" t="s">
        <v>3378</v>
      </c>
      <c r="M12418" t="s">
        <v>44250</v>
      </c>
      <c r="N12418" t="s">
        <v>44759</v>
      </c>
      <c r="O12418" t="s">
        <v>44760</v>
      </c>
      <c r="P12418">
        <v>0</v>
      </c>
      <c r="Q12418">
        <v>1</v>
      </c>
      <c r="R12418" t="s">
        <v>44776</v>
      </c>
      <c r="S12418" t="s">
        <v>45453</v>
      </c>
      <c r="T12418" t="s">
        <v>46409</v>
      </c>
      <c r="U12418" t="s">
        <v>50693</v>
      </c>
      <c r="V12418" t="s">
        <v>60439</v>
      </c>
      <c r="W12418" t="s">
        <v>44250</v>
      </c>
      <c r="X12418" t="s">
        <v>44777</v>
      </c>
    </row>
    <row r="12419" spans="1:24">
      <c r="A12419">
        <f>HYPERLINK("https://www.philgeps.gov.ph/GEPSNONPILOT/Tender/SplashBidNoticeAbstractUI.aspx?menuIndex=3&amp;refID=7121152&amp;Result=3","7121152")</f>
        <v>0</v>
      </c>
      <c r="B12419" t="s">
        <v>2087</v>
      </c>
      <c r="C12419" t="s">
        <v>15570</v>
      </c>
      <c r="D12419" t="s">
        <v>17959</v>
      </c>
      <c r="E12419" t="s">
        <v>28762</v>
      </c>
      <c r="F12419" t="s">
        <v>30900</v>
      </c>
      <c r="G12419" t="s">
        <v>30909</v>
      </c>
      <c r="H12419" t="s">
        <v>30916</v>
      </c>
      <c r="I12419" t="s">
        <v>9385</v>
      </c>
      <c r="J12419" t="s">
        <v>38777</v>
      </c>
      <c r="K12419" t="s">
        <v>40289</v>
      </c>
      <c r="M12419" t="s">
        <v>44072</v>
      </c>
      <c r="N12419" t="s">
        <v>44759</v>
      </c>
      <c r="O12419" t="s">
        <v>44760</v>
      </c>
      <c r="Q12419">
        <v>12</v>
      </c>
      <c r="R12419" t="s">
        <v>44776</v>
      </c>
      <c r="S12419" t="s">
        <v>45039</v>
      </c>
      <c r="T12419" t="s">
        <v>46390</v>
      </c>
      <c r="U12419" t="s">
        <v>57153</v>
      </c>
      <c r="V12419" t="s">
        <v>60525</v>
      </c>
      <c r="W12419" t="s">
        <v>44072</v>
      </c>
      <c r="X12419" t="s">
        <v>44777</v>
      </c>
    </row>
    <row r="12420" spans="1:24">
      <c r="A12420">
        <f>HYPERLINK("https://www.philgeps.gov.ph/GEPSNONPILOT/Tender/SplashBidNoticeAbstractUI.aspx?menuIndex=3&amp;refID=7120495&amp;Result=3","7120495")</f>
        <v>0</v>
      </c>
      <c r="B12420" t="s">
        <v>2019</v>
      </c>
      <c r="C12420" t="s">
        <v>15571</v>
      </c>
      <c r="D12420" t="s">
        <v>17959</v>
      </c>
      <c r="E12420" t="s">
        <v>28763</v>
      </c>
      <c r="F12420" t="s">
        <v>30900</v>
      </c>
      <c r="G12420" t="s">
        <v>30907</v>
      </c>
      <c r="H12420" t="s">
        <v>30916</v>
      </c>
      <c r="I12420" t="s">
        <v>31011</v>
      </c>
      <c r="J12420" t="s">
        <v>32329</v>
      </c>
      <c r="K12420" t="s">
        <v>40292</v>
      </c>
      <c r="M12420" t="s">
        <v>44407</v>
      </c>
      <c r="N12420" t="s">
        <v>44759</v>
      </c>
      <c r="O12420" t="s">
        <v>44760</v>
      </c>
      <c r="Q12420">
        <v>12</v>
      </c>
      <c r="R12420" t="s">
        <v>44776</v>
      </c>
      <c r="S12420" t="s">
        <v>44952</v>
      </c>
      <c r="T12420" t="s">
        <v>46369</v>
      </c>
      <c r="U12420" t="s">
        <v>57154</v>
      </c>
      <c r="V12420" t="s">
        <v>60526</v>
      </c>
      <c r="W12420" t="s">
        <v>44407</v>
      </c>
      <c r="X12420" t="s">
        <v>44777</v>
      </c>
    </row>
    <row r="12421" spans="1:24">
      <c r="A12421">
        <f>HYPERLINK("https://www.philgeps.gov.ph/GEPSNONPILOT/Tender/SplashBidNoticeAbstractUI.aspx?menuIndex=3&amp;refID=7120964&amp;Result=3","7120964")</f>
        <v>0</v>
      </c>
      <c r="B12421" t="s">
        <v>3500</v>
      </c>
      <c r="C12421" t="s">
        <v>15572</v>
      </c>
      <c r="D12421" t="s">
        <v>17952</v>
      </c>
      <c r="E12421" t="s">
        <v>28764</v>
      </c>
      <c r="F12421" t="s">
        <v>30900</v>
      </c>
      <c r="G12421" t="s">
        <v>30907</v>
      </c>
      <c r="H12421" t="s">
        <v>30916</v>
      </c>
      <c r="I12421" t="s">
        <v>8123</v>
      </c>
      <c r="J12421" t="s">
        <v>38778</v>
      </c>
      <c r="K12421" t="s">
        <v>40283</v>
      </c>
      <c r="M12421" t="s">
        <v>44403</v>
      </c>
      <c r="N12421" t="s">
        <v>44759</v>
      </c>
      <c r="O12421" t="s">
        <v>44760</v>
      </c>
      <c r="P12421">
        <v>0</v>
      </c>
      <c r="Q12421">
        <v>0</v>
      </c>
      <c r="R12421" t="s">
        <v>44776</v>
      </c>
      <c r="S12421" t="s">
        <v>45453</v>
      </c>
      <c r="T12421" t="s">
        <v>46511</v>
      </c>
      <c r="U12421" t="s">
        <v>57148</v>
      </c>
      <c r="V12421" t="s">
        <v>60521</v>
      </c>
      <c r="W12421" t="s">
        <v>44403</v>
      </c>
      <c r="X12421" t="s">
        <v>44777</v>
      </c>
    </row>
    <row r="12422" spans="1:24">
      <c r="A12422">
        <f>HYPERLINK("https://www.philgeps.gov.ph/GEPSNONPILOT/Tender/SplashBidNoticeAbstractUI.aspx?menuIndex=3&amp;refID=7121144&amp;Result=3","7121144")</f>
        <v>0</v>
      </c>
      <c r="B12422" t="s">
        <v>1967</v>
      </c>
      <c r="C12422" t="s">
        <v>15573</v>
      </c>
      <c r="D12422" t="s">
        <v>17988</v>
      </c>
      <c r="E12422" t="s">
        <v>28765</v>
      </c>
      <c r="F12422" t="s">
        <v>30903</v>
      </c>
      <c r="G12422" t="s">
        <v>30909</v>
      </c>
      <c r="H12422" t="s">
        <v>30915</v>
      </c>
      <c r="I12422" t="s">
        <v>30919</v>
      </c>
      <c r="J12422" t="s">
        <v>38779</v>
      </c>
      <c r="K12422" t="s">
        <v>40289</v>
      </c>
      <c r="M12422" t="s">
        <v>42653</v>
      </c>
      <c r="N12422" t="s">
        <v>44759</v>
      </c>
      <c r="O12422" t="s">
        <v>44760</v>
      </c>
      <c r="Q12422">
        <v>0</v>
      </c>
      <c r="R12422" t="s">
        <v>44776</v>
      </c>
      <c r="S12422" t="s">
        <v>45474</v>
      </c>
      <c r="T12422" t="s">
        <v>46625</v>
      </c>
      <c r="U12422" t="s">
        <v>57155</v>
      </c>
      <c r="W12422" t="s">
        <v>42653</v>
      </c>
      <c r="X12422" t="s">
        <v>44777</v>
      </c>
    </row>
    <row r="12423" spans="1:24">
      <c r="A12423">
        <f>HYPERLINK("https://www.philgeps.gov.ph/GEPSNONPILOT/Tender/SplashBidNoticeAbstractUI.aspx?menuIndex=3&amp;refID=7121128&amp;Result=3","7121128")</f>
        <v>0</v>
      </c>
      <c r="B12423" t="s">
        <v>1232</v>
      </c>
      <c r="C12423" t="s">
        <v>15574</v>
      </c>
      <c r="D12423" t="s">
        <v>17969</v>
      </c>
      <c r="E12423" t="s">
        <v>28766</v>
      </c>
      <c r="F12423" t="s">
        <v>30900</v>
      </c>
      <c r="G12423" t="s">
        <v>30907</v>
      </c>
      <c r="H12423" t="s">
        <v>30916</v>
      </c>
      <c r="I12423" t="s">
        <v>30932</v>
      </c>
      <c r="J12423" t="s">
        <v>31069</v>
      </c>
      <c r="K12423" t="s">
        <v>40292</v>
      </c>
      <c r="M12423" t="s">
        <v>43975</v>
      </c>
      <c r="N12423" t="s">
        <v>44759</v>
      </c>
      <c r="O12423" t="s">
        <v>44760</v>
      </c>
      <c r="Q12423">
        <v>8</v>
      </c>
      <c r="R12423" t="s">
        <v>44776</v>
      </c>
      <c r="S12423" t="s">
        <v>44943</v>
      </c>
      <c r="T12423" t="s">
        <v>46351</v>
      </c>
      <c r="U12423" t="s">
        <v>57156</v>
      </c>
      <c r="W12423" t="s">
        <v>43975</v>
      </c>
      <c r="X12423" t="s">
        <v>44777</v>
      </c>
    </row>
    <row r="12424" spans="1:24">
      <c r="A12424">
        <f>HYPERLINK("https://www.philgeps.gov.ph/GEPSNONPILOT/Tender/SplashBidNoticeAbstractUI.aspx?menuIndex=3&amp;refID=7121099&amp;Result=3","7121099")</f>
        <v>0</v>
      </c>
      <c r="B12424" t="s">
        <v>3167</v>
      </c>
      <c r="C12424" t="s">
        <v>15575</v>
      </c>
      <c r="D12424" t="s">
        <v>17992</v>
      </c>
      <c r="E12424" t="s">
        <v>28767</v>
      </c>
      <c r="F12424" t="s">
        <v>30900</v>
      </c>
      <c r="G12424" t="s">
        <v>30907</v>
      </c>
      <c r="H12424" t="s">
        <v>30916</v>
      </c>
      <c r="I12424" t="s">
        <v>30923</v>
      </c>
      <c r="J12424" t="s">
        <v>38780</v>
      </c>
      <c r="K12424" t="s">
        <v>40286</v>
      </c>
      <c r="M12424" t="s">
        <v>43993</v>
      </c>
      <c r="N12424" t="s">
        <v>44759</v>
      </c>
      <c r="O12424" t="s">
        <v>44760</v>
      </c>
      <c r="P12424">
        <v>0</v>
      </c>
      <c r="Q12424">
        <v>4</v>
      </c>
      <c r="R12424" t="s">
        <v>44776</v>
      </c>
      <c r="S12424" t="s">
        <v>45453</v>
      </c>
      <c r="T12424" t="s">
        <v>46421</v>
      </c>
      <c r="U12424" t="s">
        <v>57157</v>
      </c>
      <c r="V12424" t="s">
        <v>60527</v>
      </c>
      <c r="W12424" t="s">
        <v>43993</v>
      </c>
      <c r="X12424" t="s">
        <v>44777</v>
      </c>
    </row>
    <row r="12425" spans="1:24">
      <c r="A12425">
        <f>HYPERLINK("https://www.philgeps.gov.ph/GEPSNONPILOT/Tender/SplashBidNoticeAbstractUI.aspx?menuIndex=3&amp;refID=7121103&amp;Result=3","7121103")</f>
        <v>0</v>
      </c>
      <c r="B12425" t="s">
        <v>3027</v>
      </c>
      <c r="C12425" t="s">
        <v>15576</v>
      </c>
      <c r="D12425" t="s">
        <v>17953</v>
      </c>
      <c r="E12425" t="s">
        <v>28768</v>
      </c>
      <c r="F12425" t="s">
        <v>30900</v>
      </c>
      <c r="G12425" t="s">
        <v>30907</v>
      </c>
      <c r="H12425" t="s">
        <v>30917</v>
      </c>
      <c r="I12425" t="s">
        <v>10847</v>
      </c>
      <c r="J12425" t="s">
        <v>38781</v>
      </c>
      <c r="K12425" t="s">
        <v>40434</v>
      </c>
      <c r="M12425" t="s">
        <v>43836</v>
      </c>
      <c r="N12425" t="s">
        <v>44759</v>
      </c>
      <c r="O12425" t="s">
        <v>44760</v>
      </c>
      <c r="Q12425">
        <v>2</v>
      </c>
      <c r="R12425" t="s">
        <v>44776</v>
      </c>
      <c r="S12425" t="s">
        <v>45475</v>
      </c>
      <c r="T12425" t="s">
        <v>46421</v>
      </c>
      <c r="U12425" t="s">
        <v>57158</v>
      </c>
      <c r="W12425" t="s">
        <v>43836</v>
      </c>
      <c r="X12425" t="s">
        <v>44777</v>
      </c>
    </row>
    <row r="12426" spans="1:24">
      <c r="A12426">
        <f>HYPERLINK("https://www.philgeps.gov.ph/GEPSNONPILOT/Tender/SplashBidNoticeAbstractUI.aspx?menuIndex=3&amp;refID=7121150&amp;Result=3","7121150")</f>
        <v>0</v>
      </c>
      <c r="B12426" t="s">
        <v>1199</v>
      </c>
      <c r="C12426" t="s">
        <v>15577</v>
      </c>
      <c r="D12426" t="s">
        <v>17955</v>
      </c>
      <c r="E12426" t="s">
        <v>28769</v>
      </c>
      <c r="F12426" t="s">
        <v>30900</v>
      </c>
      <c r="G12426" t="s">
        <v>30907</v>
      </c>
      <c r="H12426" t="s">
        <v>30915</v>
      </c>
      <c r="I12426" t="s">
        <v>30919</v>
      </c>
      <c r="J12426" t="s">
        <v>31297</v>
      </c>
      <c r="K12426" t="s">
        <v>40430</v>
      </c>
      <c r="M12426" t="s">
        <v>41810</v>
      </c>
      <c r="N12426" t="s">
        <v>44759</v>
      </c>
      <c r="O12426" t="s">
        <v>44760</v>
      </c>
      <c r="P12426">
        <v>0</v>
      </c>
      <c r="Q12426">
        <v>1</v>
      </c>
      <c r="R12426" t="s">
        <v>44776</v>
      </c>
      <c r="S12426" t="s">
        <v>45453</v>
      </c>
      <c r="T12426" t="s">
        <v>46399</v>
      </c>
      <c r="U12426" t="s">
        <v>57159</v>
      </c>
      <c r="W12426" t="s">
        <v>41810</v>
      </c>
      <c r="X12426" t="s">
        <v>44777</v>
      </c>
    </row>
    <row r="12427" spans="1:24">
      <c r="A12427">
        <f>HYPERLINK("https://www.philgeps.gov.ph/GEPSNONPILOT/Tender/SplashBidNoticeAbstractUI.aspx?menuIndex=3&amp;refID=7120972&amp;Result=3","7120972")</f>
        <v>0</v>
      </c>
      <c r="B12427" t="s">
        <v>3378</v>
      </c>
      <c r="C12427" t="s">
        <v>15578</v>
      </c>
      <c r="D12427" t="s">
        <v>17953</v>
      </c>
      <c r="E12427" t="s">
        <v>28770</v>
      </c>
      <c r="F12427" t="s">
        <v>30900</v>
      </c>
      <c r="G12427" t="s">
        <v>30907</v>
      </c>
      <c r="H12427" t="s">
        <v>30916</v>
      </c>
      <c r="I12427" t="s">
        <v>5830</v>
      </c>
      <c r="J12427" t="s">
        <v>31236</v>
      </c>
      <c r="K12427" t="s">
        <v>40287</v>
      </c>
      <c r="L12427" t="s">
        <v>3378</v>
      </c>
      <c r="M12427" t="s">
        <v>44250</v>
      </c>
      <c r="N12427" t="s">
        <v>44759</v>
      </c>
      <c r="O12427" t="s">
        <v>44760</v>
      </c>
      <c r="P12427">
        <v>0</v>
      </c>
      <c r="Q12427">
        <v>0</v>
      </c>
      <c r="R12427" t="s">
        <v>44776</v>
      </c>
      <c r="S12427" t="s">
        <v>45453</v>
      </c>
      <c r="T12427" t="s">
        <v>46409</v>
      </c>
      <c r="U12427" t="s">
        <v>50693</v>
      </c>
      <c r="V12427" t="s">
        <v>60439</v>
      </c>
      <c r="W12427" t="s">
        <v>44250</v>
      </c>
      <c r="X12427" t="s">
        <v>44777</v>
      </c>
    </row>
    <row r="12428" spans="1:24">
      <c r="A12428">
        <f>HYPERLINK("https://www.philgeps.gov.ph/GEPSNONPILOT/Tender/SplashBidNoticeAbstractUI.aspx?menuIndex=3&amp;refID=7121094&amp;Result=3","7121094")</f>
        <v>0</v>
      </c>
      <c r="B12428" t="s">
        <v>2389</v>
      </c>
      <c r="C12428" t="s">
        <v>15579</v>
      </c>
      <c r="D12428" t="s">
        <v>17994</v>
      </c>
      <c r="E12428" t="s">
        <v>28771</v>
      </c>
      <c r="F12428" t="s">
        <v>30900</v>
      </c>
      <c r="G12428" t="s">
        <v>30907</v>
      </c>
      <c r="H12428" t="s">
        <v>30916</v>
      </c>
      <c r="I12428" t="s">
        <v>4108</v>
      </c>
      <c r="J12428" t="s">
        <v>38782</v>
      </c>
      <c r="K12428" t="s">
        <v>40314</v>
      </c>
      <c r="M12428" t="s">
        <v>43115</v>
      </c>
      <c r="N12428" t="s">
        <v>44759</v>
      </c>
      <c r="O12428" t="s">
        <v>44760</v>
      </c>
      <c r="P12428">
        <v>0</v>
      </c>
      <c r="Q12428">
        <v>1</v>
      </c>
      <c r="R12428" t="s">
        <v>44776</v>
      </c>
      <c r="S12428" t="s">
        <v>45453</v>
      </c>
      <c r="T12428" t="s">
        <v>46389</v>
      </c>
      <c r="U12428" t="s">
        <v>57160</v>
      </c>
      <c r="W12428" t="s">
        <v>43115</v>
      </c>
      <c r="X12428" t="s">
        <v>44777</v>
      </c>
    </row>
    <row r="12429" spans="1:24">
      <c r="A12429">
        <f>HYPERLINK("https://www.philgeps.gov.ph/GEPSNONPILOT/Tender/SplashBidNoticeAbstractUI.aspx?menuIndex=3&amp;refID=7121077&amp;Result=3","7121077")</f>
        <v>0</v>
      </c>
      <c r="B12429" t="s">
        <v>3500</v>
      </c>
      <c r="C12429" t="s">
        <v>15580</v>
      </c>
      <c r="D12429" t="s">
        <v>17952</v>
      </c>
      <c r="E12429" t="s">
        <v>28772</v>
      </c>
      <c r="F12429" t="s">
        <v>30900</v>
      </c>
      <c r="G12429" t="s">
        <v>30907</v>
      </c>
      <c r="H12429" t="s">
        <v>30916</v>
      </c>
      <c r="I12429" t="s">
        <v>8123</v>
      </c>
      <c r="J12429" t="s">
        <v>38783</v>
      </c>
      <c r="K12429" t="s">
        <v>40283</v>
      </c>
      <c r="M12429" t="s">
        <v>44403</v>
      </c>
      <c r="N12429" t="s">
        <v>44759</v>
      </c>
      <c r="O12429" t="s">
        <v>44760</v>
      </c>
      <c r="P12429">
        <v>0</v>
      </c>
      <c r="Q12429">
        <v>0</v>
      </c>
      <c r="R12429" t="s">
        <v>44776</v>
      </c>
      <c r="S12429" t="s">
        <v>45453</v>
      </c>
      <c r="T12429" t="s">
        <v>46511</v>
      </c>
      <c r="U12429" t="s">
        <v>57148</v>
      </c>
      <c r="V12429" t="s">
        <v>60521</v>
      </c>
      <c r="W12429" t="s">
        <v>44403</v>
      </c>
      <c r="X12429" t="s">
        <v>44777</v>
      </c>
    </row>
    <row r="12430" spans="1:24">
      <c r="A12430">
        <f>HYPERLINK("https://www.philgeps.gov.ph/GEPSNONPILOT/Tender/SplashBidNoticeAbstractUI.aspx?menuIndex=3&amp;refID=7121065&amp;Result=3","7121065")</f>
        <v>0</v>
      </c>
      <c r="B12430" t="s">
        <v>185</v>
      </c>
      <c r="C12430" t="s">
        <v>15581</v>
      </c>
      <c r="D12430" t="s">
        <v>18002</v>
      </c>
      <c r="E12430" t="s">
        <v>28773</v>
      </c>
      <c r="F12430" t="s">
        <v>30900</v>
      </c>
      <c r="G12430" t="s">
        <v>30907</v>
      </c>
      <c r="H12430" t="s">
        <v>30915</v>
      </c>
      <c r="I12430" t="s">
        <v>30919</v>
      </c>
      <c r="J12430" t="s">
        <v>31297</v>
      </c>
      <c r="K12430" t="s">
        <v>40292</v>
      </c>
      <c r="M12430" t="s">
        <v>40732</v>
      </c>
      <c r="N12430" t="s">
        <v>44759</v>
      </c>
      <c r="O12430" t="s">
        <v>44760</v>
      </c>
      <c r="P12430">
        <v>0</v>
      </c>
      <c r="Q12430">
        <v>1</v>
      </c>
      <c r="R12430" t="s">
        <v>44776</v>
      </c>
      <c r="S12430" t="s">
        <v>45453</v>
      </c>
      <c r="T12430" t="s">
        <v>46357</v>
      </c>
      <c r="U12430" t="s">
        <v>57161</v>
      </c>
      <c r="W12430" t="s">
        <v>60820</v>
      </c>
      <c r="X12430" t="s">
        <v>44777</v>
      </c>
    </row>
    <row r="12431" spans="1:24">
      <c r="A12431">
        <f>HYPERLINK("https://www.philgeps.gov.ph/GEPSNONPILOT/Tender/SplashBidNoticeAbstractUI.aspx?menuIndex=3&amp;refID=7121053&amp;Result=3","7121053")</f>
        <v>0</v>
      </c>
      <c r="B12431" t="s">
        <v>3500</v>
      </c>
      <c r="C12431" t="s">
        <v>15582</v>
      </c>
      <c r="D12431" t="s">
        <v>17952</v>
      </c>
      <c r="E12431" t="s">
        <v>28774</v>
      </c>
      <c r="F12431" t="s">
        <v>30900</v>
      </c>
      <c r="G12431" t="s">
        <v>30907</v>
      </c>
      <c r="H12431" t="s">
        <v>30916</v>
      </c>
      <c r="I12431" t="s">
        <v>8123</v>
      </c>
      <c r="J12431" t="s">
        <v>38784</v>
      </c>
      <c r="K12431" t="s">
        <v>40283</v>
      </c>
      <c r="M12431" t="s">
        <v>44403</v>
      </c>
      <c r="N12431" t="s">
        <v>44759</v>
      </c>
      <c r="O12431" t="s">
        <v>44760</v>
      </c>
      <c r="P12431">
        <v>0</v>
      </c>
      <c r="Q12431">
        <v>1</v>
      </c>
      <c r="R12431" t="s">
        <v>44776</v>
      </c>
      <c r="S12431" t="s">
        <v>45453</v>
      </c>
      <c r="T12431" t="s">
        <v>46511</v>
      </c>
      <c r="U12431" t="s">
        <v>57148</v>
      </c>
      <c r="V12431" t="s">
        <v>60521</v>
      </c>
      <c r="W12431" t="s">
        <v>44403</v>
      </c>
      <c r="X12431" t="s">
        <v>44777</v>
      </c>
    </row>
    <row r="12432" spans="1:24">
      <c r="A12432">
        <f>HYPERLINK("https://www.philgeps.gov.ph/GEPSNONPILOT/Tender/SplashBidNoticeAbstractUI.aspx?menuIndex=3&amp;refID=7121048&amp;Result=3","7121048")</f>
        <v>0</v>
      </c>
      <c r="B12432" t="s">
        <v>805</v>
      </c>
      <c r="C12432" t="s">
        <v>15583</v>
      </c>
      <c r="D12432" t="s">
        <v>18006</v>
      </c>
      <c r="E12432" t="s">
        <v>28775</v>
      </c>
      <c r="F12432" t="s">
        <v>30900</v>
      </c>
      <c r="G12432" t="s">
        <v>30907</v>
      </c>
      <c r="H12432" t="s">
        <v>30916</v>
      </c>
      <c r="I12432" t="s">
        <v>30939</v>
      </c>
      <c r="J12432" t="s">
        <v>38785</v>
      </c>
      <c r="K12432" t="s">
        <v>40289</v>
      </c>
      <c r="M12432" t="s">
        <v>41375</v>
      </c>
      <c r="N12432" t="s">
        <v>44759</v>
      </c>
      <c r="O12432" t="s">
        <v>44760</v>
      </c>
      <c r="P12432">
        <v>0</v>
      </c>
      <c r="Q12432">
        <v>0</v>
      </c>
      <c r="R12432" t="s">
        <v>44776</v>
      </c>
      <c r="S12432" t="s">
        <v>45453</v>
      </c>
      <c r="T12432" t="s">
        <v>46357</v>
      </c>
      <c r="U12432" t="s">
        <v>57162</v>
      </c>
      <c r="W12432" t="s">
        <v>41375</v>
      </c>
      <c r="X12432" t="s">
        <v>44777</v>
      </c>
    </row>
    <row r="12433" spans="1:24">
      <c r="A12433">
        <f>HYPERLINK("https://www.philgeps.gov.ph/GEPSNONPILOT/Tender/SplashBidNoticeAbstractUI.aspx?menuIndex=3&amp;refID=7121043&amp;Result=3","7121043")</f>
        <v>0</v>
      </c>
      <c r="B12433" t="s">
        <v>515</v>
      </c>
      <c r="C12433" t="s">
        <v>15584</v>
      </c>
      <c r="D12433" t="s">
        <v>17966</v>
      </c>
      <c r="E12433" t="s">
        <v>28776</v>
      </c>
      <c r="F12433" t="s">
        <v>30900</v>
      </c>
      <c r="G12433" t="s">
        <v>30907</v>
      </c>
      <c r="H12433" t="s">
        <v>30917</v>
      </c>
      <c r="I12433" t="s">
        <v>4017</v>
      </c>
      <c r="J12433" t="s">
        <v>38786</v>
      </c>
      <c r="K12433" t="s">
        <v>40293</v>
      </c>
      <c r="M12433" t="s">
        <v>44008</v>
      </c>
      <c r="N12433" t="s">
        <v>44759</v>
      </c>
      <c r="O12433" t="s">
        <v>44760</v>
      </c>
      <c r="P12433">
        <v>0</v>
      </c>
      <c r="Q12433">
        <v>6</v>
      </c>
      <c r="R12433" t="s">
        <v>44776</v>
      </c>
      <c r="S12433" t="s">
        <v>45453</v>
      </c>
      <c r="T12433" t="s">
        <v>46412</v>
      </c>
      <c r="U12433" t="s">
        <v>55550</v>
      </c>
      <c r="V12433" t="s">
        <v>60263</v>
      </c>
      <c r="W12433" t="s">
        <v>44008</v>
      </c>
      <c r="X12433" t="s">
        <v>44777</v>
      </c>
    </row>
    <row r="12434" spans="1:24">
      <c r="A12434">
        <f>HYPERLINK("https://www.philgeps.gov.ph/GEPSNONPILOT/Tender/SplashBidNoticeAbstractUI.aspx?menuIndex=3&amp;refID=7121032&amp;Result=3","7121032")</f>
        <v>0</v>
      </c>
      <c r="B12434" t="s">
        <v>3499</v>
      </c>
      <c r="C12434" t="s">
        <v>15585</v>
      </c>
      <c r="D12434" t="s">
        <v>18027</v>
      </c>
      <c r="E12434" t="s">
        <v>28777</v>
      </c>
      <c r="F12434" t="s">
        <v>30900</v>
      </c>
      <c r="G12434" t="s">
        <v>30907</v>
      </c>
      <c r="H12434" t="s">
        <v>30915</v>
      </c>
      <c r="I12434" t="s">
        <v>30919</v>
      </c>
      <c r="J12434" t="s">
        <v>38787</v>
      </c>
      <c r="K12434" t="s">
        <v>40284</v>
      </c>
      <c r="M12434" t="s">
        <v>44402</v>
      </c>
      <c r="N12434" t="s">
        <v>44759</v>
      </c>
      <c r="O12434" t="s">
        <v>44760</v>
      </c>
      <c r="P12434">
        <v>0</v>
      </c>
      <c r="Q12434">
        <v>0</v>
      </c>
      <c r="R12434" t="s">
        <v>44776</v>
      </c>
      <c r="S12434" t="s">
        <v>45453</v>
      </c>
      <c r="T12434" t="s">
        <v>46897</v>
      </c>
      <c r="U12434" t="s">
        <v>57163</v>
      </c>
      <c r="W12434" t="s">
        <v>44402</v>
      </c>
      <c r="X12434" t="s">
        <v>44777</v>
      </c>
    </row>
    <row r="12435" spans="1:24">
      <c r="A12435">
        <f>HYPERLINK("https://www.philgeps.gov.ph/GEPSNONPILOT/Tender/SplashBidNoticeAbstractUI.aspx?menuIndex=3&amp;refID=7120923&amp;Result=3","7120923")</f>
        <v>0</v>
      </c>
      <c r="B12435" t="s">
        <v>3378</v>
      </c>
      <c r="C12435" t="s">
        <v>15586</v>
      </c>
      <c r="D12435" t="s">
        <v>17953</v>
      </c>
      <c r="E12435" t="s">
        <v>26169</v>
      </c>
      <c r="F12435" t="s">
        <v>30900</v>
      </c>
      <c r="G12435" t="s">
        <v>30907</v>
      </c>
      <c r="H12435" t="s">
        <v>30916</v>
      </c>
      <c r="I12435" t="s">
        <v>4142</v>
      </c>
      <c r="J12435" t="s">
        <v>31728</v>
      </c>
      <c r="K12435" t="s">
        <v>40287</v>
      </c>
      <c r="L12435" t="s">
        <v>3378</v>
      </c>
      <c r="M12435" t="s">
        <v>44250</v>
      </c>
      <c r="N12435" t="s">
        <v>44759</v>
      </c>
      <c r="O12435" t="s">
        <v>44760</v>
      </c>
      <c r="P12435">
        <v>0</v>
      </c>
      <c r="Q12435">
        <v>1</v>
      </c>
      <c r="R12435" t="s">
        <v>44776</v>
      </c>
      <c r="S12435" t="s">
        <v>45453</v>
      </c>
      <c r="T12435" t="s">
        <v>46409</v>
      </c>
      <c r="U12435" t="s">
        <v>50693</v>
      </c>
      <c r="V12435" t="s">
        <v>60439</v>
      </c>
      <c r="W12435" t="s">
        <v>44250</v>
      </c>
      <c r="X12435" t="s">
        <v>44777</v>
      </c>
    </row>
    <row r="12436" spans="1:24">
      <c r="A12436">
        <f>HYPERLINK("https://www.philgeps.gov.ph/GEPSNONPILOT/Tender/SplashBidNoticeAbstractUI.aspx?menuIndex=3&amp;refID=7121035&amp;Result=3","7121035")</f>
        <v>0</v>
      </c>
      <c r="B12436" t="s">
        <v>185</v>
      </c>
      <c r="C12436" t="s">
        <v>15587</v>
      </c>
      <c r="D12436" t="s">
        <v>18002</v>
      </c>
      <c r="E12436" t="s">
        <v>28778</v>
      </c>
      <c r="F12436" t="s">
        <v>30900</v>
      </c>
      <c r="G12436" t="s">
        <v>30907</v>
      </c>
      <c r="H12436" t="s">
        <v>30915</v>
      </c>
      <c r="I12436" t="s">
        <v>30919</v>
      </c>
      <c r="J12436" t="s">
        <v>32616</v>
      </c>
      <c r="K12436" t="s">
        <v>40312</v>
      </c>
      <c r="M12436" t="s">
        <v>40732</v>
      </c>
      <c r="N12436" t="s">
        <v>44759</v>
      </c>
      <c r="O12436" t="s">
        <v>44760</v>
      </c>
      <c r="P12436">
        <v>0</v>
      </c>
      <c r="Q12436">
        <v>2</v>
      </c>
      <c r="R12436" t="s">
        <v>44776</v>
      </c>
      <c r="S12436" t="s">
        <v>45453</v>
      </c>
      <c r="T12436" t="s">
        <v>46357</v>
      </c>
      <c r="U12436" t="s">
        <v>57164</v>
      </c>
      <c r="W12436" t="s">
        <v>60820</v>
      </c>
      <c r="X12436" t="s">
        <v>44777</v>
      </c>
    </row>
    <row r="12437" spans="1:24">
      <c r="A12437">
        <f>HYPERLINK("https://www.philgeps.gov.ph/GEPSNONPILOT/Tender/SplashBidNoticeAbstractUI.aspx?menuIndex=3&amp;refID=7121085&amp;Result=3","7121085")</f>
        <v>0</v>
      </c>
      <c r="B12437" t="s">
        <v>1232</v>
      </c>
      <c r="C12437" t="s">
        <v>15588</v>
      </c>
      <c r="D12437" t="s">
        <v>17969</v>
      </c>
      <c r="E12437" t="s">
        <v>28779</v>
      </c>
      <c r="F12437" t="s">
        <v>30900</v>
      </c>
      <c r="G12437" t="s">
        <v>30907</v>
      </c>
      <c r="H12437" t="s">
        <v>30916</v>
      </c>
      <c r="I12437" t="s">
        <v>30932</v>
      </c>
      <c r="J12437" t="s">
        <v>32125</v>
      </c>
      <c r="K12437" t="s">
        <v>40292</v>
      </c>
      <c r="M12437" t="s">
        <v>43975</v>
      </c>
      <c r="N12437" t="s">
        <v>44759</v>
      </c>
      <c r="O12437" t="s">
        <v>44760</v>
      </c>
      <c r="Q12437">
        <v>7</v>
      </c>
      <c r="R12437" t="s">
        <v>44776</v>
      </c>
      <c r="S12437" t="s">
        <v>45476</v>
      </c>
      <c r="T12437" t="s">
        <v>46351</v>
      </c>
      <c r="U12437" t="s">
        <v>57165</v>
      </c>
      <c r="W12437" t="s">
        <v>43975</v>
      </c>
      <c r="X12437" t="s">
        <v>44777</v>
      </c>
    </row>
    <row r="12438" spans="1:24">
      <c r="A12438">
        <f>HYPERLINK("https://www.philgeps.gov.ph/GEPSNONPILOT/Tender/SplashBidNoticeAbstractUI.aspx?menuIndex=3&amp;refID=7121014&amp;Result=3","7121014")</f>
        <v>0</v>
      </c>
      <c r="B12438" t="s">
        <v>3500</v>
      </c>
      <c r="C12438" t="s">
        <v>15589</v>
      </c>
      <c r="D12438" t="s">
        <v>17952</v>
      </c>
      <c r="E12438" t="s">
        <v>28780</v>
      </c>
      <c r="F12438" t="s">
        <v>30900</v>
      </c>
      <c r="G12438" t="s">
        <v>30907</v>
      </c>
      <c r="H12438" t="s">
        <v>30916</v>
      </c>
      <c r="I12438" t="s">
        <v>8123</v>
      </c>
      <c r="J12438" t="s">
        <v>38784</v>
      </c>
      <c r="K12438" t="s">
        <v>40283</v>
      </c>
      <c r="M12438" t="s">
        <v>44403</v>
      </c>
      <c r="N12438" t="s">
        <v>44759</v>
      </c>
      <c r="O12438" t="s">
        <v>44760</v>
      </c>
      <c r="P12438">
        <v>0</v>
      </c>
      <c r="Q12438">
        <v>0</v>
      </c>
      <c r="R12438" t="s">
        <v>44776</v>
      </c>
      <c r="S12438" t="s">
        <v>45453</v>
      </c>
      <c r="T12438" t="s">
        <v>46511</v>
      </c>
      <c r="U12438" t="s">
        <v>57148</v>
      </c>
      <c r="V12438" t="s">
        <v>60521</v>
      </c>
      <c r="W12438" t="s">
        <v>44403</v>
      </c>
      <c r="X12438" t="s">
        <v>44777</v>
      </c>
    </row>
    <row r="12439" spans="1:24">
      <c r="A12439">
        <f>HYPERLINK("https://www.philgeps.gov.ph/GEPSNONPILOT/Tender/SplashBidNoticeAbstractUI.aspx?menuIndex=3&amp;refID=7121164&amp;Result=3","7121164")</f>
        <v>0</v>
      </c>
      <c r="B12439" t="s">
        <v>3167</v>
      </c>
      <c r="C12439" t="s">
        <v>15590</v>
      </c>
      <c r="D12439" t="s">
        <v>17992</v>
      </c>
      <c r="E12439" t="s">
        <v>28781</v>
      </c>
      <c r="F12439" t="s">
        <v>30900</v>
      </c>
      <c r="G12439" t="s">
        <v>30907</v>
      </c>
      <c r="H12439" t="s">
        <v>30915</v>
      </c>
      <c r="I12439" t="s">
        <v>30919</v>
      </c>
      <c r="J12439" t="s">
        <v>38788</v>
      </c>
      <c r="K12439" t="s">
        <v>40292</v>
      </c>
      <c r="M12439" t="s">
        <v>43993</v>
      </c>
      <c r="N12439" t="s">
        <v>44759</v>
      </c>
      <c r="O12439" t="s">
        <v>44760</v>
      </c>
      <c r="P12439">
        <v>0</v>
      </c>
      <c r="Q12439">
        <v>0</v>
      </c>
      <c r="R12439" t="s">
        <v>44776</v>
      </c>
      <c r="S12439" t="s">
        <v>45453</v>
      </c>
      <c r="T12439" t="s">
        <v>46421</v>
      </c>
      <c r="U12439" t="s">
        <v>57166</v>
      </c>
      <c r="V12439" t="s">
        <v>60252</v>
      </c>
      <c r="W12439" t="s">
        <v>43993</v>
      </c>
      <c r="X12439" t="s">
        <v>44777</v>
      </c>
    </row>
    <row r="12440" spans="1:24">
      <c r="A12440">
        <f>HYPERLINK("https://www.philgeps.gov.ph/GEPSNONPILOT/Tender/SplashBidNoticeAbstractUI.aspx?menuIndex=3&amp;refID=7121045&amp;Result=3","7121045")</f>
        <v>0</v>
      </c>
      <c r="B12440" t="s">
        <v>28</v>
      </c>
      <c r="C12440" t="s">
        <v>15591</v>
      </c>
      <c r="D12440" t="s">
        <v>17955</v>
      </c>
      <c r="E12440" t="s">
        <v>28782</v>
      </c>
      <c r="F12440" t="s">
        <v>30900</v>
      </c>
      <c r="G12440" t="s">
        <v>30907</v>
      </c>
      <c r="H12440" t="s">
        <v>30916</v>
      </c>
      <c r="I12440" t="s">
        <v>30919</v>
      </c>
      <c r="J12440" t="s">
        <v>38789</v>
      </c>
      <c r="K12440" t="s">
        <v>40358</v>
      </c>
      <c r="M12440" t="s">
        <v>40574</v>
      </c>
      <c r="N12440" t="s">
        <v>44759</v>
      </c>
      <c r="O12440" t="s">
        <v>44760</v>
      </c>
      <c r="P12440">
        <v>0</v>
      </c>
      <c r="Q12440">
        <v>0</v>
      </c>
      <c r="R12440" t="s">
        <v>44776</v>
      </c>
      <c r="S12440" t="s">
        <v>45453</v>
      </c>
      <c r="T12440" t="s">
        <v>46533</v>
      </c>
      <c r="U12440" t="s">
        <v>57167</v>
      </c>
      <c r="W12440" t="s">
        <v>40574</v>
      </c>
      <c r="X12440" t="s">
        <v>44777</v>
      </c>
    </row>
    <row r="12441" spans="1:24">
      <c r="A12441">
        <f>HYPERLINK("https://www.philgeps.gov.ph/GEPSNONPILOT/Tender/SplashBidNoticeAbstractUI.aspx?menuIndex=3&amp;refID=7121254&amp;Result=3","7121254")</f>
        <v>0</v>
      </c>
      <c r="B12441" t="s">
        <v>3504</v>
      </c>
      <c r="C12441" t="s">
        <v>15592</v>
      </c>
      <c r="D12441" t="s">
        <v>17973</v>
      </c>
      <c r="E12441" t="s">
        <v>28783</v>
      </c>
      <c r="F12441" t="s">
        <v>30900</v>
      </c>
      <c r="G12441" t="s">
        <v>30907</v>
      </c>
      <c r="H12441" t="s">
        <v>30915</v>
      </c>
      <c r="I12441" t="s">
        <v>30919</v>
      </c>
      <c r="J12441" t="s">
        <v>38790</v>
      </c>
      <c r="K12441" t="s">
        <v>40280</v>
      </c>
      <c r="M12441" t="s">
        <v>44408</v>
      </c>
      <c r="N12441" t="s">
        <v>44759</v>
      </c>
      <c r="O12441" t="s">
        <v>44760</v>
      </c>
      <c r="P12441">
        <v>0</v>
      </c>
      <c r="Q12441">
        <v>1</v>
      </c>
      <c r="R12441" t="s">
        <v>44776</v>
      </c>
      <c r="S12441" t="s">
        <v>45453</v>
      </c>
      <c r="T12441" t="s">
        <v>46495</v>
      </c>
      <c r="U12441" t="s">
        <v>57168</v>
      </c>
      <c r="W12441" t="s">
        <v>44408</v>
      </c>
      <c r="X12441" t="s">
        <v>44777</v>
      </c>
    </row>
    <row r="12442" spans="1:24">
      <c r="A12442">
        <f>HYPERLINK("https://www.philgeps.gov.ph/GEPSNONPILOT/Tender/SplashBidNoticeAbstractUI.aspx?menuIndex=3&amp;refID=7121252&amp;Result=3","7121252")</f>
        <v>0</v>
      </c>
      <c r="B12442" t="s">
        <v>1232</v>
      </c>
      <c r="C12442" t="s">
        <v>15593</v>
      </c>
      <c r="D12442" t="s">
        <v>17956</v>
      </c>
      <c r="E12442" t="s">
        <v>15593</v>
      </c>
      <c r="F12442" t="s">
        <v>30900</v>
      </c>
      <c r="G12442" t="s">
        <v>30907</v>
      </c>
      <c r="H12442" t="s">
        <v>30916</v>
      </c>
      <c r="I12442" t="s">
        <v>30963</v>
      </c>
      <c r="J12442" t="s">
        <v>38791</v>
      </c>
      <c r="K12442" t="s">
        <v>40292</v>
      </c>
      <c r="M12442" t="s">
        <v>43975</v>
      </c>
      <c r="N12442" t="s">
        <v>44759</v>
      </c>
      <c r="O12442" t="s">
        <v>44760</v>
      </c>
      <c r="Q12442">
        <v>9</v>
      </c>
      <c r="R12442" t="s">
        <v>44776</v>
      </c>
      <c r="S12442" t="s">
        <v>45477</v>
      </c>
      <c r="T12442" t="s">
        <v>46351</v>
      </c>
      <c r="U12442" t="s">
        <v>57169</v>
      </c>
      <c r="W12442" t="s">
        <v>43975</v>
      </c>
      <c r="X12442" t="s">
        <v>44777</v>
      </c>
    </row>
    <row r="12443" spans="1:24">
      <c r="A12443">
        <f>HYPERLINK("https://www.philgeps.gov.ph/GEPSNONPILOT/Tender/SplashBidNoticeAbstractUI.aspx?menuIndex=3&amp;refID=7120880&amp;Result=3","7120880")</f>
        <v>0</v>
      </c>
      <c r="B12443" t="s">
        <v>3505</v>
      </c>
      <c r="C12443" t="s">
        <v>15594</v>
      </c>
      <c r="D12443" t="s">
        <v>17959</v>
      </c>
      <c r="E12443" t="s">
        <v>28784</v>
      </c>
      <c r="F12443" t="s">
        <v>30900</v>
      </c>
      <c r="G12443" t="s">
        <v>30907</v>
      </c>
      <c r="H12443" t="s">
        <v>30915</v>
      </c>
      <c r="I12443" t="s">
        <v>30919</v>
      </c>
      <c r="J12443" t="s">
        <v>38792</v>
      </c>
      <c r="K12443" t="s">
        <v>40290</v>
      </c>
      <c r="M12443" t="s">
        <v>44409</v>
      </c>
      <c r="N12443" t="s">
        <v>44759</v>
      </c>
      <c r="O12443" t="s">
        <v>44760</v>
      </c>
      <c r="Q12443">
        <v>12</v>
      </c>
      <c r="R12443" t="s">
        <v>44776</v>
      </c>
      <c r="S12443" t="s">
        <v>45478</v>
      </c>
      <c r="T12443" t="s">
        <v>46377</v>
      </c>
      <c r="U12443" t="s">
        <v>57170</v>
      </c>
      <c r="W12443" t="s">
        <v>44409</v>
      </c>
      <c r="X12443" t="s">
        <v>44777</v>
      </c>
    </row>
    <row r="12444" spans="1:24">
      <c r="A12444">
        <f>HYPERLINK("https://www.philgeps.gov.ph/GEPSNONPILOT/Tender/SplashBidNoticeAbstractUI.aspx?menuIndex=3&amp;refID=7121250&amp;Result=3","7121250")</f>
        <v>0</v>
      </c>
      <c r="B12444" t="s">
        <v>1199</v>
      </c>
      <c r="C12444" t="s">
        <v>15595</v>
      </c>
      <c r="D12444" t="s">
        <v>17955</v>
      </c>
      <c r="E12444" t="s">
        <v>28785</v>
      </c>
      <c r="F12444" t="s">
        <v>30900</v>
      </c>
      <c r="G12444" t="s">
        <v>30907</v>
      </c>
      <c r="H12444" t="s">
        <v>30915</v>
      </c>
      <c r="I12444" t="s">
        <v>30919</v>
      </c>
      <c r="J12444" t="s">
        <v>35962</v>
      </c>
      <c r="K12444" t="s">
        <v>40509</v>
      </c>
      <c r="M12444" t="s">
        <v>41810</v>
      </c>
      <c r="N12444" t="s">
        <v>44759</v>
      </c>
      <c r="O12444" t="s">
        <v>44760</v>
      </c>
      <c r="P12444">
        <v>0</v>
      </c>
      <c r="Q12444">
        <v>0</v>
      </c>
      <c r="R12444" t="s">
        <v>44776</v>
      </c>
      <c r="S12444" t="s">
        <v>45453</v>
      </c>
      <c r="T12444" t="s">
        <v>46399</v>
      </c>
      <c r="U12444" t="s">
        <v>57171</v>
      </c>
      <c r="W12444" t="s">
        <v>41810</v>
      </c>
      <c r="X12444" t="s">
        <v>44777</v>
      </c>
    </row>
    <row r="12445" spans="1:24">
      <c r="A12445">
        <f>HYPERLINK("https://www.philgeps.gov.ph/GEPSNONPILOT/Tender/SplashBidNoticeAbstractUI.aspx?menuIndex=3&amp;refID=7120983&amp;Result=3","7120983")</f>
        <v>0</v>
      </c>
      <c r="B12445" t="s">
        <v>2389</v>
      </c>
      <c r="C12445" t="s">
        <v>15596</v>
      </c>
      <c r="D12445" t="s">
        <v>17997</v>
      </c>
      <c r="E12445" t="s">
        <v>28786</v>
      </c>
      <c r="F12445" t="s">
        <v>30900</v>
      </c>
      <c r="G12445" t="s">
        <v>30907</v>
      </c>
      <c r="H12445" t="s">
        <v>30916</v>
      </c>
      <c r="I12445" t="s">
        <v>4108</v>
      </c>
      <c r="J12445" t="s">
        <v>31152</v>
      </c>
      <c r="K12445" t="s">
        <v>40293</v>
      </c>
      <c r="M12445" t="s">
        <v>43115</v>
      </c>
      <c r="N12445" t="s">
        <v>44759</v>
      </c>
      <c r="O12445" t="s">
        <v>44760</v>
      </c>
      <c r="P12445">
        <v>0</v>
      </c>
      <c r="Q12445">
        <v>1</v>
      </c>
      <c r="R12445" t="s">
        <v>44776</v>
      </c>
      <c r="S12445" t="s">
        <v>45453</v>
      </c>
      <c r="T12445" t="s">
        <v>46389</v>
      </c>
      <c r="U12445" t="s">
        <v>57172</v>
      </c>
      <c r="W12445" t="s">
        <v>43115</v>
      </c>
      <c r="X12445" t="s">
        <v>44777</v>
      </c>
    </row>
    <row r="12446" spans="1:24">
      <c r="A12446">
        <f>HYPERLINK("https://www.philgeps.gov.ph/GEPSNONPILOT/Tender/SplashBidNoticeAbstractUI.aspx?menuIndex=3&amp;refID=7121231&amp;Result=3","7121231")</f>
        <v>0</v>
      </c>
      <c r="B12446" t="s">
        <v>749</v>
      </c>
      <c r="C12446" t="s">
        <v>15597</v>
      </c>
      <c r="D12446" t="s">
        <v>17952</v>
      </c>
      <c r="E12446" t="s">
        <v>28787</v>
      </c>
      <c r="F12446" t="s">
        <v>30900</v>
      </c>
      <c r="G12446" t="s">
        <v>30907</v>
      </c>
      <c r="H12446" t="s">
        <v>30916</v>
      </c>
      <c r="I12446" t="s">
        <v>8123</v>
      </c>
      <c r="J12446" t="s">
        <v>38793</v>
      </c>
      <c r="K12446" t="s">
        <v>40286</v>
      </c>
      <c r="M12446" t="s">
        <v>41313</v>
      </c>
      <c r="N12446" t="s">
        <v>44759</v>
      </c>
      <c r="O12446" t="s">
        <v>44760</v>
      </c>
      <c r="P12446">
        <v>0</v>
      </c>
      <c r="Q12446">
        <v>0</v>
      </c>
      <c r="R12446" t="s">
        <v>44776</v>
      </c>
      <c r="S12446" t="s">
        <v>45453</v>
      </c>
      <c r="T12446" t="s">
        <v>46413</v>
      </c>
      <c r="U12446" t="s">
        <v>57173</v>
      </c>
      <c r="V12446" t="s">
        <v>60528</v>
      </c>
      <c r="W12446" t="s">
        <v>41313</v>
      </c>
      <c r="X12446" t="s">
        <v>44777</v>
      </c>
    </row>
    <row r="12447" spans="1:24">
      <c r="A12447">
        <f>HYPERLINK("https://www.philgeps.gov.ph/GEPSNONPILOT/Tender/SplashBidNoticeAbstractUI.aspx?menuIndex=3&amp;refID=7121230&amp;Result=3","7121230")</f>
        <v>0</v>
      </c>
      <c r="B12447" t="s">
        <v>3450</v>
      </c>
      <c r="C12447" t="s">
        <v>15598</v>
      </c>
      <c r="D12447" t="s">
        <v>18052</v>
      </c>
      <c r="E12447" t="s">
        <v>28788</v>
      </c>
      <c r="F12447" t="s">
        <v>30900</v>
      </c>
      <c r="G12447" t="s">
        <v>30907</v>
      </c>
      <c r="H12447" t="s">
        <v>30916</v>
      </c>
      <c r="I12447" t="s">
        <v>30936</v>
      </c>
      <c r="J12447" t="s">
        <v>37624</v>
      </c>
      <c r="K12447" t="s">
        <v>40286</v>
      </c>
      <c r="M12447" t="s">
        <v>44333</v>
      </c>
      <c r="N12447" t="s">
        <v>44759</v>
      </c>
      <c r="O12447" t="s">
        <v>44760</v>
      </c>
      <c r="Q12447">
        <v>5</v>
      </c>
      <c r="R12447" t="s">
        <v>44776</v>
      </c>
      <c r="S12447" t="s">
        <v>45479</v>
      </c>
      <c r="T12447" t="s">
        <v>46399</v>
      </c>
      <c r="U12447" t="s">
        <v>57174</v>
      </c>
      <c r="V12447" t="s">
        <v>60497</v>
      </c>
      <c r="W12447" t="s">
        <v>44333</v>
      </c>
      <c r="X12447" t="s">
        <v>44777</v>
      </c>
    </row>
    <row r="12448" spans="1:24">
      <c r="A12448">
        <f>HYPERLINK("https://www.philgeps.gov.ph/GEPSNONPILOT/Tender/SplashBidNoticeAbstractUI.aspx?menuIndex=3&amp;refID=7121236&amp;Result=3","7121236")</f>
        <v>0</v>
      </c>
      <c r="B12448" t="s">
        <v>2389</v>
      </c>
      <c r="C12448" t="s">
        <v>15599</v>
      </c>
      <c r="D12448" t="s">
        <v>17994</v>
      </c>
      <c r="E12448" t="s">
        <v>28789</v>
      </c>
      <c r="F12448" t="s">
        <v>30900</v>
      </c>
      <c r="G12448" t="s">
        <v>30907</v>
      </c>
      <c r="H12448" t="s">
        <v>30916</v>
      </c>
      <c r="I12448" t="s">
        <v>4061</v>
      </c>
      <c r="J12448" t="s">
        <v>31701</v>
      </c>
      <c r="K12448" t="s">
        <v>40286</v>
      </c>
      <c r="M12448" t="s">
        <v>43115</v>
      </c>
      <c r="N12448" t="s">
        <v>44759</v>
      </c>
      <c r="O12448" t="s">
        <v>44760</v>
      </c>
      <c r="P12448">
        <v>0</v>
      </c>
      <c r="Q12448">
        <v>2</v>
      </c>
      <c r="R12448" t="s">
        <v>44776</v>
      </c>
      <c r="S12448" t="s">
        <v>45453</v>
      </c>
      <c r="T12448" t="s">
        <v>46906</v>
      </c>
      <c r="U12448" t="s">
        <v>57175</v>
      </c>
      <c r="W12448" t="s">
        <v>43115</v>
      </c>
      <c r="X12448" t="s">
        <v>44777</v>
      </c>
    </row>
    <row r="12449" spans="1:24">
      <c r="A12449">
        <f>HYPERLINK("https://www.philgeps.gov.ph/GEPSNONPILOT/Tender/SplashBidNoticeAbstractUI.aspx?menuIndex=3&amp;refID=7121226&amp;Result=3","7121226")</f>
        <v>0</v>
      </c>
      <c r="B12449" t="s">
        <v>3013</v>
      </c>
      <c r="C12449" t="s">
        <v>15600</v>
      </c>
      <c r="D12449" t="s">
        <v>17985</v>
      </c>
      <c r="E12449" t="s">
        <v>28790</v>
      </c>
      <c r="F12449" t="s">
        <v>30900</v>
      </c>
      <c r="G12449" t="s">
        <v>30907</v>
      </c>
      <c r="H12449" t="s">
        <v>30916</v>
      </c>
      <c r="I12449" t="s">
        <v>5501</v>
      </c>
      <c r="J12449" t="s">
        <v>38794</v>
      </c>
      <c r="K12449" t="s">
        <v>40283</v>
      </c>
      <c r="M12449" t="s">
        <v>43820</v>
      </c>
      <c r="N12449" t="s">
        <v>44759</v>
      </c>
      <c r="O12449" t="s">
        <v>44760</v>
      </c>
      <c r="P12449">
        <v>0</v>
      </c>
      <c r="Q12449">
        <v>3</v>
      </c>
      <c r="R12449" t="s">
        <v>44776</v>
      </c>
      <c r="S12449" t="s">
        <v>45453</v>
      </c>
      <c r="T12449" t="s">
        <v>46409</v>
      </c>
      <c r="U12449" t="s">
        <v>57176</v>
      </c>
      <c r="W12449" t="s">
        <v>43820</v>
      </c>
      <c r="X12449" t="s">
        <v>44777</v>
      </c>
    </row>
    <row r="12450" spans="1:24">
      <c r="A12450">
        <f>HYPERLINK("https://www.philgeps.gov.ph/GEPSNONPILOT/Tender/SplashBidNoticeAbstractUI.aspx?menuIndex=3&amp;refID=7121214&amp;Result=3","7121214")</f>
        <v>0</v>
      </c>
      <c r="B12450" t="s">
        <v>461</v>
      </c>
      <c r="C12450" t="s">
        <v>15601</v>
      </c>
      <c r="D12450" t="s">
        <v>17977</v>
      </c>
      <c r="E12450" t="s">
        <v>28791</v>
      </c>
      <c r="F12450" t="s">
        <v>30900</v>
      </c>
      <c r="G12450" t="s">
        <v>30907</v>
      </c>
      <c r="H12450" t="s">
        <v>30916</v>
      </c>
      <c r="I12450" t="s">
        <v>30924</v>
      </c>
      <c r="J12450" t="s">
        <v>38795</v>
      </c>
      <c r="K12450" t="s">
        <v>40289</v>
      </c>
      <c r="M12450" t="s">
        <v>41019</v>
      </c>
      <c r="N12450" t="s">
        <v>44759</v>
      </c>
      <c r="O12450" t="s">
        <v>44760</v>
      </c>
      <c r="P12450">
        <v>0</v>
      </c>
      <c r="Q12450">
        <v>7</v>
      </c>
      <c r="R12450" t="s">
        <v>44776</v>
      </c>
      <c r="S12450" t="s">
        <v>45453</v>
      </c>
      <c r="T12450" t="s">
        <v>46404</v>
      </c>
      <c r="U12450" t="s">
        <v>57177</v>
      </c>
      <c r="W12450" t="s">
        <v>41019</v>
      </c>
      <c r="X12450" t="s">
        <v>44777</v>
      </c>
    </row>
    <row r="12451" spans="1:24">
      <c r="A12451">
        <f>HYPERLINK("https://www.philgeps.gov.ph/GEPSNONPILOT/Tender/SplashBidNoticeAbstractUI.aspx?menuIndex=3&amp;refID=7121233&amp;Result=3","7121233")</f>
        <v>0</v>
      </c>
      <c r="B12451" t="s">
        <v>1585</v>
      </c>
      <c r="C12451" t="s">
        <v>15602</v>
      </c>
      <c r="D12451" t="s">
        <v>17953</v>
      </c>
      <c r="E12451" t="s">
        <v>28792</v>
      </c>
      <c r="F12451" t="s">
        <v>30900</v>
      </c>
      <c r="G12451" t="s">
        <v>30907</v>
      </c>
      <c r="H12451" t="s">
        <v>30916</v>
      </c>
      <c r="I12451" t="s">
        <v>9385</v>
      </c>
      <c r="J12451" t="s">
        <v>38796</v>
      </c>
      <c r="K12451" t="s">
        <v>40293</v>
      </c>
      <c r="M12451" t="s">
        <v>44410</v>
      </c>
      <c r="N12451" t="s">
        <v>44759</v>
      </c>
      <c r="O12451" t="s">
        <v>44760</v>
      </c>
      <c r="P12451">
        <v>0</v>
      </c>
      <c r="Q12451">
        <v>16</v>
      </c>
      <c r="R12451" t="s">
        <v>44776</v>
      </c>
      <c r="S12451" t="s">
        <v>45453</v>
      </c>
      <c r="T12451" t="s">
        <v>46351</v>
      </c>
      <c r="U12451" t="s">
        <v>57178</v>
      </c>
      <c r="W12451" t="s">
        <v>42232</v>
      </c>
      <c r="X12451" t="s">
        <v>44777</v>
      </c>
    </row>
    <row r="12452" spans="1:24">
      <c r="A12452">
        <f>HYPERLINK("https://www.philgeps.gov.ph/GEPSNONPILOT/Tender/SplashBidNoticeAbstractUI.aspx?menuIndex=3&amp;refID=7121218&amp;Result=3","7121218")</f>
        <v>0</v>
      </c>
      <c r="B12452" t="s">
        <v>2042</v>
      </c>
      <c r="C12452" t="s">
        <v>15603</v>
      </c>
      <c r="D12452" t="s">
        <v>17969</v>
      </c>
      <c r="E12452" t="s">
        <v>28793</v>
      </c>
      <c r="F12452" t="s">
        <v>30900</v>
      </c>
      <c r="G12452" t="s">
        <v>30907</v>
      </c>
      <c r="H12452" t="s">
        <v>30915</v>
      </c>
      <c r="I12452" t="s">
        <v>30919</v>
      </c>
      <c r="J12452" t="s">
        <v>38797</v>
      </c>
      <c r="K12452" t="s">
        <v>40289</v>
      </c>
      <c r="M12452" t="s">
        <v>42739</v>
      </c>
      <c r="N12452" t="s">
        <v>44759</v>
      </c>
      <c r="O12452" t="s">
        <v>44760</v>
      </c>
      <c r="P12452">
        <v>0</v>
      </c>
      <c r="Q12452">
        <v>7</v>
      </c>
      <c r="R12452" t="s">
        <v>44776</v>
      </c>
      <c r="S12452" t="s">
        <v>45453</v>
      </c>
      <c r="T12452" t="s">
        <v>46907</v>
      </c>
      <c r="U12452" t="s">
        <v>57179</v>
      </c>
      <c r="V12452" t="s">
        <v>60529</v>
      </c>
      <c r="W12452" t="s">
        <v>42739</v>
      </c>
      <c r="X12452" t="s">
        <v>44777</v>
      </c>
    </row>
    <row r="12453" spans="1:24">
      <c r="A12453">
        <f>HYPERLINK("https://www.philgeps.gov.ph/GEPSNONPILOT/Tender/SplashBidNoticeAbstractUI.aspx?menuIndex=3&amp;refID=7121185&amp;Result=3","7121185")</f>
        <v>0</v>
      </c>
      <c r="B12453" t="s">
        <v>282</v>
      </c>
      <c r="C12453" t="s">
        <v>15604</v>
      </c>
      <c r="D12453" t="s">
        <v>18022</v>
      </c>
      <c r="E12453" t="s">
        <v>28794</v>
      </c>
      <c r="F12453" t="s">
        <v>30900</v>
      </c>
      <c r="G12453" t="s">
        <v>30907</v>
      </c>
      <c r="H12453" t="s">
        <v>30916</v>
      </c>
      <c r="I12453" t="s">
        <v>31035</v>
      </c>
      <c r="J12453" t="s">
        <v>38798</v>
      </c>
      <c r="K12453" t="s">
        <v>40289</v>
      </c>
      <c r="M12453" t="s">
        <v>40829</v>
      </c>
      <c r="N12453" t="s">
        <v>44759</v>
      </c>
      <c r="O12453" t="s">
        <v>44760</v>
      </c>
      <c r="P12453">
        <v>0</v>
      </c>
      <c r="Q12453">
        <v>6</v>
      </c>
      <c r="R12453" t="s">
        <v>44776</v>
      </c>
      <c r="S12453" t="s">
        <v>45453</v>
      </c>
      <c r="T12453" t="s">
        <v>46425</v>
      </c>
      <c r="U12453" t="s">
        <v>57180</v>
      </c>
      <c r="W12453" t="s">
        <v>40829</v>
      </c>
      <c r="X12453" t="s">
        <v>44777</v>
      </c>
    </row>
    <row r="12454" spans="1:24">
      <c r="A12454">
        <f>HYPERLINK("https://www.philgeps.gov.ph/GEPSNONPILOT/Tender/SplashBidNoticeAbstractUI.aspx?menuIndex=3&amp;refID=7121478&amp;Result=3","7121478")</f>
        <v>0</v>
      </c>
      <c r="B12454" t="s">
        <v>3506</v>
      </c>
      <c r="C12454" t="s">
        <v>15605</v>
      </c>
      <c r="D12454" t="s">
        <v>17975</v>
      </c>
      <c r="E12454" t="s">
        <v>27358</v>
      </c>
      <c r="F12454" t="s">
        <v>30900</v>
      </c>
      <c r="G12454" t="s">
        <v>30907</v>
      </c>
      <c r="H12454" t="s">
        <v>30915</v>
      </c>
      <c r="I12454" t="s">
        <v>30919</v>
      </c>
      <c r="J12454" t="s">
        <v>38799</v>
      </c>
      <c r="K12454" t="s">
        <v>40280</v>
      </c>
      <c r="M12454" t="s">
        <v>44411</v>
      </c>
      <c r="N12454" t="s">
        <v>44759</v>
      </c>
      <c r="O12454" t="s">
        <v>44760</v>
      </c>
      <c r="P12454">
        <v>0</v>
      </c>
      <c r="Q12454">
        <v>3</v>
      </c>
      <c r="R12454" t="s">
        <v>44776</v>
      </c>
      <c r="S12454" t="s">
        <v>45453</v>
      </c>
      <c r="T12454" t="s">
        <v>46443</v>
      </c>
      <c r="U12454" t="s">
        <v>57181</v>
      </c>
      <c r="V12454" t="s">
        <v>60530</v>
      </c>
      <c r="W12454" t="s">
        <v>44411</v>
      </c>
      <c r="X12454" t="s">
        <v>44777</v>
      </c>
    </row>
    <row r="12455" spans="1:24">
      <c r="A12455">
        <f>HYPERLINK("https://www.philgeps.gov.ph/GEPSNONPILOT/Tender/SplashBidNoticeAbstractUI.aspx?menuIndex=3&amp;refID=7121466&amp;Result=3","7121466")</f>
        <v>0</v>
      </c>
      <c r="B12455" t="s">
        <v>3507</v>
      </c>
      <c r="C12455" t="s">
        <v>15606</v>
      </c>
      <c r="D12455" t="s">
        <v>17995</v>
      </c>
      <c r="E12455" t="s">
        <v>28795</v>
      </c>
      <c r="F12455" t="s">
        <v>30900</v>
      </c>
      <c r="G12455" t="s">
        <v>30907</v>
      </c>
      <c r="H12455" t="s">
        <v>30916</v>
      </c>
      <c r="I12455" t="s">
        <v>8123</v>
      </c>
      <c r="J12455" t="s">
        <v>38800</v>
      </c>
      <c r="K12455" t="s">
        <v>40286</v>
      </c>
      <c r="M12455" t="s">
        <v>44412</v>
      </c>
      <c r="N12455" t="s">
        <v>44759</v>
      </c>
      <c r="O12455" t="s">
        <v>44760</v>
      </c>
      <c r="P12455">
        <v>0</v>
      </c>
      <c r="Q12455">
        <v>0</v>
      </c>
      <c r="R12455" t="s">
        <v>44776</v>
      </c>
      <c r="S12455" t="s">
        <v>45453</v>
      </c>
      <c r="T12455" t="s">
        <v>46412</v>
      </c>
      <c r="U12455" t="s">
        <v>57182</v>
      </c>
      <c r="W12455" t="s">
        <v>44412</v>
      </c>
      <c r="X12455" t="s">
        <v>44777</v>
      </c>
    </row>
    <row r="12456" spans="1:24">
      <c r="A12456">
        <f>HYPERLINK("https://www.philgeps.gov.ph/GEPSNONPILOT/Tender/SplashBidNoticeAbstractUI.aspx?menuIndex=3&amp;refID=7121197&amp;Result=3","7121197")</f>
        <v>0</v>
      </c>
      <c r="B12456" t="s">
        <v>2696</v>
      </c>
      <c r="C12456" t="s">
        <v>15607</v>
      </c>
      <c r="E12456" t="s">
        <v>28796</v>
      </c>
      <c r="F12456" t="s">
        <v>30900</v>
      </c>
      <c r="G12456" t="s">
        <v>30908</v>
      </c>
      <c r="H12456" t="s">
        <v>30916</v>
      </c>
      <c r="I12456" t="s">
        <v>4050</v>
      </c>
      <c r="J12456" t="s">
        <v>38801</v>
      </c>
      <c r="K12456" t="s">
        <v>40289</v>
      </c>
      <c r="M12456" t="s">
        <v>43468</v>
      </c>
      <c r="N12456" t="s">
        <v>44759</v>
      </c>
      <c r="O12456" t="s">
        <v>44760</v>
      </c>
      <c r="Q12456">
        <v>12</v>
      </c>
      <c r="R12456" t="s">
        <v>44776</v>
      </c>
      <c r="S12456" t="s">
        <v>45480</v>
      </c>
      <c r="T12456" t="s">
        <v>46662</v>
      </c>
      <c r="U12456" t="s">
        <v>47009</v>
      </c>
      <c r="W12456" t="s">
        <v>43468</v>
      </c>
      <c r="X12456" t="s">
        <v>44777</v>
      </c>
    </row>
    <row r="12457" spans="1:24">
      <c r="A12457">
        <f>HYPERLINK("https://www.philgeps.gov.ph/GEPSNONPILOT/Tender/SplashBidNoticeAbstractUI.aspx?menuIndex=3&amp;refID=7121225&amp;Result=3","7121225")</f>
        <v>0</v>
      </c>
      <c r="B12457" t="s">
        <v>3503</v>
      </c>
      <c r="C12457" t="s">
        <v>15608</v>
      </c>
      <c r="D12457" t="s">
        <v>17957</v>
      </c>
      <c r="E12457" t="s">
        <v>28797</v>
      </c>
      <c r="F12457" t="s">
        <v>30900</v>
      </c>
      <c r="G12457" t="s">
        <v>30907</v>
      </c>
      <c r="H12457" t="s">
        <v>30915</v>
      </c>
      <c r="I12457" t="s">
        <v>30919</v>
      </c>
      <c r="J12457" t="s">
        <v>32276</v>
      </c>
      <c r="K12457" t="s">
        <v>40521</v>
      </c>
      <c r="M12457" t="s">
        <v>44406</v>
      </c>
      <c r="N12457" t="s">
        <v>44759</v>
      </c>
      <c r="O12457" t="s">
        <v>44760</v>
      </c>
      <c r="P12457">
        <v>0</v>
      </c>
      <c r="Q12457">
        <v>0</v>
      </c>
      <c r="R12457" t="s">
        <v>44776</v>
      </c>
      <c r="S12457" t="s">
        <v>45453</v>
      </c>
      <c r="T12457" t="s">
        <v>46425</v>
      </c>
      <c r="U12457" t="s">
        <v>57144</v>
      </c>
      <c r="V12457" t="s">
        <v>60524</v>
      </c>
      <c r="W12457" t="s">
        <v>44406</v>
      </c>
      <c r="X12457" t="s">
        <v>44777</v>
      </c>
    </row>
    <row r="12458" spans="1:24">
      <c r="A12458">
        <f>HYPERLINK("https://www.philgeps.gov.ph/GEPSNONPILOT/Tender/SplashBidNoticeAbstractUI.aspx?menuIndex=3&amp;refID=7121444&amp;Result=3","7121444")</f>
        <v>0</v>
      </c>
      <c r="B12458" t="s">
        <v>2420</v>
      </c>
      <c r="C12458" t="s">
        <v>15609</v>
      </c>
      <c r="D12458" t="s">
        <v>17988</v>
      </c>
      <c r="E12458" t="s">
        <v>28798</v>
      </c>
      <c r="F12458" t="s">
        <v>30900</v>
      </c>
      <c r="G12458" t="s">
        <v>30907</v>
      </c>
      <c r="H12458" t="s">
        <v>30916</v>
      </c>
      <c r="I12458" t="s">
        <v>30928</v>
      </c>
      <c r="J12458" t="s">
        <v>31243</v>
      </c>
      <c r="K12458" t="s">
        <v>40286</v>
      </c>
      <c r="M12458" t="s">
        <v>43147</v>
      </c>
      <c r="N12458" t="s">
        <v>44759</v>
      </c>
      <c r="O12458" t="s">
        <v>44760</v>
      </c>
      <c r="P12458">
        <v>0</v>
      </c>
      <c r="Q12458">
        <v>5</v>
      </c>
      <c r="R12458" t="s">
        <v>44776</v>
      </c>
      <c r="S12458" t="s">
        <v>45453</v>
      </c>
      <c r="T12458" t="s">
        <v>46373</v>
      </c>
      <c r="U12458" t="s">
        <v>57183</v>
      </c>
      <c r="W12458" t="s">
        <v>43177</v>
      </c>
      <c r="X12458" t="s">
        <v>44777</v>
      </c>
    </row>
    <row r="12459" spans="1:24">
      <c r="A12459">
        <f>HYPERLINK("https://www.philgeps.gov.ph/GEPSNONPILOT/Tender/SplashBidNoticeAbstractUI.aspx?menuIndex=3&amp;refID=7121407&amp;Result=3","7121407")</f>
        <v>0</v>
      </c>
      <c r="B12459" t="s">
        <v>2042</v>
      </c>
      <c r="C12459" t="s">
        <v>15610</v>
      </c>
      <c r="D12459" t="s">
        <v>17969</v>
      </c>
      <c r="E12459" t="s">
        <v>28799</v>
      </c>
      <c r="F12459" t="s">
        <v>30900</v>
      </c>
      <c r="G12459" t="s">
        <v>30907</v>
      </c>
      <c r="H12459" t="s">
        <v>30915</v>
      </c>
      <c r="I12459" t="s">
        <v>30919</v>
      </c>
      <c r="J12459" t="s">
        <v>38802</v>
      </c>
      <c r="K12459" t="s">
        <v>40289</v>
      </c>
      <c r="M12459" t="s">
        <v>42739</v>
      </c>
      <c r="N12459" t="s">
        <v>44759</v>
      </c>
      <c r="O12459" t="s">
        <v>44760</v>
      </c>
      <c r="P12459">
        <v>0</v>
      </c>
      <c r="Q12459">
        <v>8</v>
      </c>
      <c r="R12459" t="s">
        <v>44776</v>
      </c>
      <c r="S12459" t="s">
        <v>45453</v>
      </c>
      <c r="T12459" t="s">
        <v>46907</v>
      </c>
      <c r="U12459" t="s">
        <v>57179</v>
      </c>
      <c r="V12459" t="s">
        <v>60531</v>
      </c>
      <c r="W12459" t="s">
        <v>42739</v>
      </c>
      <c r="X12459" t="s">
        <v>44777</v>
      </c>
    </row>
    <row r="12460" spans="1:24">
      <c r="A12460">
        <f>HYPERLINK("https://www.philgeps.gov.ph/GEPSNONPILOT/Tender/SplashBidNoticeAbstractUI.aspx?menuIndex=3&amp;refID=7121439&amp;Result=3","7121439")</f>
        <v>0</v>
      </c>
      <c r="B12460" t="s">
        <v>1232</v>
      </c>
      <c r="C12460" t="s">
        <v>15611</v>
      </c>
      <c r="D12460" t="s">
        <v>17969</v>
      </c>
      <c r="E12460" t="s">
        <v>28800</v>
      </c>
      <c r="F12460" t="s">
        <v>30900</v>
      </c>
      <c r="G12460" t="s">
        <v>30907</v>
      </c>
      <c r="H12460" t="s">
        <v>30916</v>
      </c>
      <c r="I12460" t="s">
        <v>30970</v>
      </c>
      <c r="J12460" t="s">
        <v>38803</v>
      </c>
      <c r="K12460" t="s">
        <v>40292</v>
      </c>
      <c r="M12460" t="s">
        <v>43975</v>
      </c>
      <c r="N12460" t="s">
        <v>44759</v>
      </c>
      <c r="O12460" t="s">
        <v>44760</v>
      </c>
      <c r="Q12460">
        <v>3</v>
      </c>
      <c r="R12460" t="s">
        <v>44776</v>
      </c>
      <c r="S12460" t="s">
        <v>45322</v>
      </c>
      <c r="T12460" t="s">
        <v>46422</v>
      </c>
      <c r="U12460" t="s">
        <v>57184</v>
      </c>
      <c r="W12460" t="s">
        <v>43975</v>
      </c>
      <c r="X12460" t="s">
        <v>44777</v>
      </c>
    </row>
    <row r="12461" spans="1:24">
      <c r="A12461">
        <f>HYPERLINK("https://www.philgeps.gov.ph/GEPSNONPILOT/Tender/SplashBidNoticeAbstractUI.aspx?menuIndex=3&amp;refID=7121001&amp;Result=3","7121001")</f>
        <v>0</v>
      </c>
      <c r="B12461" t="s">
        <v>3378</v>
      </c>
      <c r="C12461" t="s">
        <v>15612</v>
      </c>
      <c r="D12461" t="s">
        <v>17953</v>
      </c>
      <c r="E12461" t="s">
        <v>28801</v>
      </c>
      <c r="F12461" t="s">
        <v>30900</v>
      </c>
      <c r="G12461" t="s">
        <v>30907</v>
      </c>
      <c r="H12461" t="s">
        <v>30916</v>
      </c>
      <c r="I12461" t="s">
        <v>4050</v>
      </c>
      <c r="J12461" t="s">
        <v>32098</v>
      </c>
      <c r="K12461" t="s">
        <v>40287</v>
      </c>
      <c r="L12461" t="s">
        <v>3378</v>
      </c>
      <c r="M12461" t="s">
        <v>44250</v>
      </c>
      <c r="N12461" t="s">
        <v>44759</v>
      </c>
      <c r="O12461" t="s">
        <v>44760</v>
      </c>
      <c r="P12461">
        <v>0</v>
      </c>
      <c r="Q12461">
        <v>0</v>
      </c>
      <c r="R12461" t="s">
        <v>44776</v>
      </c>
      <c r="S12461" t="s">
        <v>45453</v>
      </c>
      <c r="T12461" t="s">
        <v>46409</v>
      </c>
      <c r="U12461" t="s">
        <v>50693</v>
      </c>
      <c r="V12461" t="s">
        <v>60439</v>
      </c>
      <c r="W12461" t="s">
        <v>44250</v>
      </c>
      <c r="X12461" t="s">
        <v>44777</v>
      </c>
    </row>
    <row r="12462" spans="1:24">
      <c r="A12462">
        <f>HYPERLINK("https://www.philgeps.gov.ph/GEPSNONPILOT/Tender/SplashBidNoticeAbstractUI.aspx?menuIndex=3&amp;refID=7121388&amp;Result=3","7121388")</f>
        <v>0</v>
      </c>
      <c r="B12462" t="s">
        <v>538</v>
      </c>
      <c r="C12462" t="s">
        <v>15613</v>
      </c>
      <c r="D12462" t="s">
        <v>18002</v>
      </c>
      <c r="E12462" t="s">
        <v>28802</v>
      </c>
      <c r="F12462" t="s">
        <v>30900</v>
      </c>
      <c r="G12462" t="s">
        <v>30907</v>
      </c>
      <c r="H12462" t="s">
        <v>30916</v>
      </c>
      <c r="I12462" t="s">
        <v>30923</v>
      </c>
      <c r="J12462" t="s">
        <v>38804</v>
      </c>
      <c r="K12462" t="s">
        <v>40289</v>
      </c>
      <c r="M12462" t="s">
        <v>41098</v>
      </c>
      <c r="N12462" t="s">
        <v>44759</v>
      </c>
      <c r="O12462" t="s">
        <v>44760</v>
      </c>
      <c r="P12462">
        <v>0</v>
      </c>
      <c r="Q12462">
        <v>3</v>
      </c>
      <c r="R12462" t="s">
        <v>44776</v>
      </c>
      <c r="S12462" t="s">
        <v>45453</v>
      </c>
      <c r="T12462" t="s">
        <v>46409</v>
      </c>
      <c r="U12462" t="s">
        <v>57185</v>
      </c>
      <c r="W12462" t="s">
        <v>41098</v>
      </c>
      <c r="X12462" t="s">
        <v>44777</v>
      </c>
    </row>
    <row r="12463" spans="1:24">
      <c r="A12463">
        <f>HYPERLINK("https://www.philgeps.gov.ph/GEPSNONPILOT/Tender/SplashBidNoticeAbstractUI.aspx?menuIndex=3&amp;refID=7121381&amp;Result=3","7121381")</f>
        <v>0</v>
      </c>
      <c r="B12463" t="s">
        <v>715</v>
      </c>
      <c r="C12463" t="s">
        <v>15614</v>
      </c>
      <c r="D12463" t="s">
        <v>17975</v>
      </c>
      <c r="E12463" t="s">
        <v>28803</v>
      </c>
      <c r="F12463" t="s">
        <v>30900</v>
      </c>
      <c r="G12463" t="s">
        <v>30907</v>
      </c>
      <c r="H12463" t="s">
        <v>30915</v>
      </c>
      <c r="I12463" t="s">
        <v>30919</v>
      </c>
      <c r="J12463" t="s">
        <v>38805</v>
      </c>
      <c r="K12463" t="s">
        <v>40289</v>
      </c>
      <c r="M12463" t="s">
        <v>41279</v>
      </c>
      <c r="N12463" t="s">
        <v>44759</v>
      </c>
      <c r="O12463" t="s">
        <v>44760</v>
      </c>
      <c r="P12463">
        <v>0</v>
      </c>
      <c r="Q12463">
        <v>1</v>
      </c>
      <c r="R12463" t="s">
        <v>44776</v>
      </c>
      <c r="S12463" t="s">
        <v>45453</v>
      </c>
      <c r="T12463" t="s">
        <v>46399</v>
      </c>
      <c r="U12463" t="s">
        <v>48203</v>
      </c>
      <c r="W12463" t="s">
        <v>41279</v>
      </c>
      <c r="X12463" t="s">
        <v>44777</v>
      </c>
    </row>
    <row r="12464" spans="1:24">
      <c r="A12464">
        <f>HYPERLINK("https://www.philgeps.gov.ph/GEPSNONPILOT/Tender/SplashBidNoticeAbstractUI.aspx?menuIndex=3&amp;refID=7121370&amp;Result=3","7121370")</f>
        <v>0</v>
      </c>
      <c r="B12464" t="s">
        <v>1590</v>
      </c>
      <c r="C12464" t="s">
        <v>15615</v>
      </c>
      <c r="E12464" t="s">
        <v>28804</v>
      </c>
      <c r="F12464" t="s">
        <v>30900</v>
      </c>
      <c r="G12464" t="s">
        <v>30907</v>
      </c>
      <c r="H12464" t="s">
        <v>30916</v>
      </c>
      <c r="I12464" t="s">
        <v>30923</v>
      </c>
      <c r="J12464" t="s">
        <v>32110</v>
      </c>
      <c r="K12464" t="s">
        <v>40289</v>
      </c>
      <c r="M12464" t="s">
        <v>44413</v>
      </c>
      <c r="N12464" t="s">
        <v>44759</v>
      </c>
      <c r="O12464" t="s">
        <v>44760</v>
      </c>
      <c r="Q12464">
        <v>20</v>
      </c>
      <c r="R12464" t="s">
        <v>44776</v>
      </c>
      <c r="S12464" t="s">
        <v>45268</v>
      </c>
      <c r="T12464" t="s">
        <v>46821</v>
      </c>
      <c r="U12464" t="s">
        <v>57186</v>
      </c>
      <c r="W12464" t="s">
        <v>44413</v>
      </c>
      <c r="X12464" t="s">
        <v>44777</v>
      </c>
    </row>
    <row r="12465" spans="1:24">
      <c r="A12465">
        <f>HYPERLINK("https://www.philgeps.gov.ph/GEPSNONPILOT/Tender/SplashBidNoticeAbstractUI.aspx?menuIndex=3&amp;refID=7121599&amp;Result=3","7121599")</f>
        <v>0</v>
      </c>
      <c r="B12465" t="s">
        <v>342</v>
      </c>
      <c r="C12465" t="s">
        <v>15616</v>
      </c>
      <c r="D12465" t="s">
        <v>18016</v>
      </c>
      <c r="E12465" t="s">
        <v>28805</v>
      </c>
      <c r="F12465" t="s">
        <v>30900</v>
      </c>
      <c r="G12465" t="s">
        <v>30907</v>
      </c>
      <c r="H12465" t="s">
        <v>30916</v>
      </c>
      <c r="I12465" t="s">
        <v>4142</v>
      </c>
      <c r="J12465" t="s">
        <v>38806</v>
      </c>
      <c r="K12465" t="s">
        <v>40283</v>
      </c>
      <c r="M12465" t="s">
        <v>40895</v>
      </c>
      <c r="N12465" t="s">
        <v>44759</v>
      </c>
      <c r="O12465" t="s">
        <v>44760</v>
      </c>
      <c r="P12465">
        <v>0</v>
      </c>
      <c r="Q12465">
        <v>9</v>
      </c>
      <c r="R12465" t="s">
        <v>44776</v>
      </c>
      <c r="S12465" t="s">
        <v>45453</v>
      </c>
      <c r="T12465" t="s">
        <v>46404</v>
      </c>
      <c r="U12465" t="s">
        <v>57187</v>
      </c>
      <c r="W12465" t="s">
        <v>40895</v>
      </c>
      <c r="X12465" t="s">
        <v>44777</v>
      </c>
    </row>
    <row r="12466" spans="1:24">
      <c r="A12466">
        <f>HYPERLINK("https://www.philgeps.gov.ph/GEPSNONPILOT/Tender/SplashBidNoticeAbstractUI.aspx?menuIndex=3&amp;refID=7121695&amp;Result=3","7121695")</f>
        <v>0</v>
      </c>
      <c r="B12466" t="s">
        <v>497</v>
      </c>
      <c r="C12466" t="s">
        <v>15617</v>
      </c>
      <c r="D12466" t="s">
        <v>17951</v>
      </c>
      <c r="E12466" t="s">
        <v>18912</v>
      </c>
      <c r="F12466" t="s">
        <v>30900</v>
      </c>
      <c r="G12466" t="s">
        <v>30907</v>
      </c>
      <c r="H12466" t="s">
        <v>30915</v>
      </c>
      <c r="I12466" t="s">
        <v>30919</v>
      </c>
      <c r="J12466" t="s">
        <v>38807</v>
      </c>
      <c r="K12466" t="s">
        <v>40341</v>
      </c>
      <c r="L12466" t="s">
        <v>497</v>
      </c>
      <c r="M12466" t="s">
        <v>41056</v>
      </c>
      <c r="N12466" t="s">
        <v>44759</v>
      </c>
      <c r="O12466" t="s">
        <v>44760</v>
      </c>
      <c r="P12466">
        <v>0</v>
      </c>
      <c r="Q12466">
        <v>0</v>
      </c>
      <c r="R12466" t="s">
        <v>44776</v>
      </c>
      <c r="S12466" t="s">
        <v>45453</v>
      </c>
      <c r="T12466" t="s">
        <v>46625</v>
      </c>
      <c r="U12466" t="s">
        <v>57188</v>
      </c>
      <c r="W12466" t="s">
        <v>41056</v>
      </c>
      <c r="X12466" t="s">
        <v>44777</v>
      </c>
    </row>
    <row r="12467" spans="1:24">
      <c r="A12467">
        <f>HYPERLINK("https://www.philgeps.gov.ph/GEPSNONPILOT/Tender/SplashBidNoticeAbstractUI.aspx?menuIndex=3&amp;refID=7121432&amp;Result=3","7121432")</f>
        <v>0</v>
      </c>
      <c r="B12467" t="s">
        <v>713</v>
      </c>
      <c r="C12467" t="s">
        <v>15618</v>
      </c>
      <c r="D12467" t="s">
        <v>17953</v>
      </c>
      <c r="E12467" t="s">
        <v>28806</v>
      </c>
      <c r="F12467" t="s">
        <v>30900</v>
      </c>
      <c r="G12467" t="s">
        <v>30907</v>
      </c>
      <c r="H12467" t="s">
        <v>30915</v>
      </c>
      <c r="I12467" t="s">
        <v>30919</v>
      </c>
      <c r="J12467" t="s">
        <v>38808</v>
      </c>
      <c r="K12467" t="s">
        <v>40289</v>
      </c>
      <c r="M12467" t="s">
        <v>44414</v>
      </c>
      <c r="N12467" t="s">
        <v>44759</v>
      </c>
      <c r="O12467" t="s">
        <v>44760</v>
      </c>
      <c r="P12467">
        <v>0</v>
      </c>
      <c r="Q12467">
        <v>6</v>
      </c>
      <c r="R12467" t="s">
        <v>44776</v>
      </c>
      <c r="S12467" t="s">
        <v>45453</v>
      </c>
      <c r="T12467" t="s">
        <v>46614</v>
      </c>
      <c r="U12467" t="s">
        <v>57189</v>
      </c>
      <c r="W12467" t="s">
        <v>44414</v>
      </c>
      <c r="X12467" t="s">
        <v>44777</v>
      </c>
    </row>
    <row r="12468" spans="1:24">
      <c r="A12468">
        <f>HYPERLINK("https://www.philgeps.gov.ph/GEPSNONPILOT/Tender/SplashBidNoticeAbstractUI.aspx?menuIndex=3&amp;refID=7121655&amp;Result=3","7121655")</f>
        <v>0</v>
      </c>
      <c r="B12468" t="s">
        <v>660</v>
      </c>
      <c r="C12468" t="s">
        <v>15619</v>
      </c>
      <c r="D12468" t="s">
        <v>17964</v>
      </c>
      <c r="E12468" t="s">
        <v>28807</v>
      </c>
      <c r="F12468" t="s">
        <v>30900</v>
      </c>
      <c r="G12468" t="s">
        <v>30907</v>
      </c>
      <c r="H12468" t="s">
        <v>30915</v>
      </c>
      <c r="I12468" t="s">
        <v>30948</v>
      </c>
      <c r="J12468" t="s">
        <v>38809</v>
      </c>
      <c r="K12468" t="s">
        <v>40289</v>
      </c>
      <c r="M12468" t="s">
        <v>42882</v>
      </c>
      <c r="N12468" t="s">
        <v>44759</v>
      </c>
      <c r="O12468" t="s">
        <v>44760</v>
      </c>
      <c r="P12468">
        <v>0</v>
      </c>
      <c r="Q12468">
        <v>0</v>
      </c>
      <c r="R12468" t="s">
        <v>44776</v>
      </c>
      <c r="S12468" t="s">
        <v>45453</v>
      </c>
      <c r="T12468" t="s">
        <v>46487</v>
      </c>
      <c r="U12468" t="s">
        <v>57190</v>
      </c>
      <c r="V12468" t="s">
        <v>60532</v>
      </c>
      <c r="W12468" t="s">
        <v>41223</v>
      </c>
      <c r="X12468" t="s">
        <v>44777</v>
      </c>
    </row>
    <row r="12469" spans="1:24">
      <c r="A12469">
        <f>HYPERLINK("https://www.philgeps.gov.ph/GEPSNONPILOT/Tender/SplashBidNoticeAbstractUI.aspx?menuIndex=3&amp;refID=7121657&amp;Result=3","7121657")</f>
        <v>0</v>
      </c>
      <c r="B12469" t="s">
        <v>2389</v>
      </c>
      <c r="C12469" t="s">
        <v>15620</v>
      </c>
      <c r="D12469" t="s">
        <v>17994</v>
      </c>
      <c r="E12469" t="s">
        <v>28808</v>
      </c>
      <c r="F12469" t="s">
        <v>30900</v>
      </c>
      <c r="G12469" t="s">
        <v>30907</v>
      </c>
      <c r="H12469" t="s">
        <v>30916</v>
      </c>
      <c r="I12469" t="s">
        <v>30947</v>
      </c>
      <c r="J12469" t="s">
        <v>38810</v>
      </c>
      <c r="K12469" t="s">
        <v>40291</v>
      </c>
      <c r="M12469" t="s">
        <v>43115</v>
      </c>
      <c r="N12469" t="s">
        <v>44759</v>
      </c>
      <c r="O12469" t="s">
        <v>44760</v>
      </c>
      <c r="P12469">
        <v>0</v>
      </c>
      <c r="Q12469">
        <v>0</v>
      </c>
      <c r="R12469" t="s">
        <v>44776</v>
      </c>
      <c r="S12469" t="s">
        <v>45453</v>
      </c>
      <c r="T12469" t="s">
        <v>46389</v>
      </c>
      <c r="U12469" t="s">
        <v>57191</v>
      </c>
      <c r="W12469" t="s">
        <v>43115</v>
      </c>
      <c r="X12469" t="s">
        <v>44777</v>
      </c>
    </row>
    <row r="12470" spans="1:24">
      <c r="A12470">
        <f>HYPERLINK("https://www.philgeps.gov.ph/GEPSNONPILOT/Tender/SplashBidNoticeAbstractUI.aspx?menuIndex=3&amp;refID=7121616&amp;Result=3","7121616")</f>
        <v>0</v>
      </c>
      <c r="B12470" t="s">
        <v>3506</v>
      </c>
      <c r="C12470" t="s">
        <v>15621</v>
      </c>
      <c r="D12470" t="s">
        <v>17975</v>
      </c>
      <c r="E12470" t="s">
        <v>28809</v>
      </c>
      <c r="F12470" t="s">
        <v>30900</v>
      </c>
      <c r="G12470" t="s">
        <v>30907</v>
      </c>
      <c r="H12470" t="s">
        <v>30916</v>
      </c>
      <c r="I12470" t="s">
        <v>30927</v>
      </c>
      <c r="J12470" t="s">
        <v>38811</v>
      </c>
      <c r="K12470" t="s">
        <v>40291</v>
      </c>
      <c r="M12470" t="s">
        <v>44411</v>
      </c>
      <c r="N12470" t="s">
        <v>44759</v>
      </c>
      <c r="O12470" t="s">
        <v>44760</v>
      </c>
      <c r="P12470">
        <v>0</v>
      </c>
      <c r="Q12470">
        <v>2</v>
      </c>
      <c r="R12470" t="s">
        <v>44776</v>
      </c>
      <c r="S12470" t="s">
        <v>45453</v>
      </c>
      <c r="T12470" t="s">
        <v>46421</v>
      </c>
      <c r="U12470" t="s">
        <v>57192</v>
      </c>
      <c r="V12470" t="s">
        <v>60530</v>
      </c>
      <c r="W12470" t="s">
        <v>44411</v>
      </c>
      <c r="X12470" t="s">
        <v>44777</v>
      </c>
    </row>
    <row r="12471" spans="1:24">
      <c r="A12471">
        <f>HYPERLINK("https://www.philgeps.gov.ph/GEPSNONPILOT/Tender/SplashBidNoticeAbstractUI.aspx?menuIndex=3&amp;refID=7121394&amp;Result=3","7121394")</f>
        <v>0</v>
      </c>
      <c r="B12471" t="s">
        <v>2066</v>
      </c>
      <c r="C12471" t="s">
        <v>15622</v>
      </c>
      <c r="D12471" t="s">
        <v>17971</v>
      </c>
      <c r="E12471" t="s">
        <v>28810</v>
      </c>
      <c r="F12471" t="s">
        <v>30900</v>
      </c>
      <c r="G12471" t="s">
        <v>30907</v>
      </c>
      <c r="H12471" t="s">
        <v>30916</v>
      </c>
      <c r="I12471" t="s">
        <v>30933</v>
      </c>
      <c r="J12471" t="s">
        <v>37383</v>
      </c>
      <c r="K12471" t="s">
        <v>40286</v>
      </c>
      <c r="L12471" t="s">
        <v>2066</v>
      </c>
      <c r="M12471" t="s">
        <v>44377</v>
      </c>
      <c r="N12471" t="s">
        <v>44759</v>
      </c>
      <c r="O12471" t="s">
        <v>44760</v>
      </c>
      <c r="P12471">
        <v>0</v>
      </c>
      <c r="Q12471">
        <v>10</v>
      </c>
      <c r="R12471" t="s">
        <v>44776</v>
      </c>
      <c r="S12471" t="s">
        <v>45453</v>
      </c>
      <c r="T12471" t="s">
        <v>46399</v>
      </c>
      <c r="U12471" t="s">
        <v>51831</v>
      </c>
      <c r="V12471" t="s">
        <v>59995</v>
      </c>
      <c r="W12471" t="s">
        <v>44377</v>
      </c>
      <c r="X12471" t="s">
        <v>44777</v>
      </c>
    </row>
    <row r="12472" spans="1:24">
      <c r="A12472">
        <f>HYPERLINK("https://www.philgeps.gov.ph/GEPSNONPILOT/Tender/SplashBidNoticeAbstractUI.aspx?menuIndex=3&amp;refID=7121591&amp;Result=3","7121591")</f>
        <v>0</v>
      </c>
      <c r="B12472" t="s">
        <v>329</v>
      </c>
      <c r="C12472" t="s">
        <v>15623</v>
      </c>
      <c r="E12472" t="s">
        <v>28811</v>
      </c>
      <c r="F12472" t="s">
        <v>30900</v>
      </c>
      <c r="G12472" t="s">
        <v>30907</v>
      </c>
      <c r="H12472" t="s">
        <v>30916</v>
      </c>
      <c r="I12472" t="s">
        <v>30933</v>
      </c>
      <c r="J12472" t="s">
        <v>38812</v>
      </c>
      <c r="K12472" t="s">
        <v>40289</v>
      </c>
      <c r="M12472" t="s">
        <v>40880</v>
      </c>
      <c r="N12472" t="s">
        <v>44759</v>
      </c>
      <c r="O12472" t="s">
        <v>44760</v>
      </c>
      <c r="P12472">
        <v>0</v>
      </c>
      <c r="Q12472">
        <v>4</v>
      </c>
      <c r="R12472" t="s">
        <v>44776</v>
      </c>
      <c r="S12472" t="s">
        <v>45453</v>
      </c>
      <c r="T12472" t="s">
        <v>46393</v>
      </c>
      <c r="U12472" t="s">
        <v>57193</v>
      </c>
      <c r="V12472" t="s">
        <v>60533</v>
      </c>
      <c r="W12472" t="s">
        <v>40880</v>
      </c>
      <c r="X12472" t="s">
        <v>44777</v>
      </c>
    </row>
    <row r="12473" spans="1:24">
      <c r="A12473">
        <f>HYPERLINK("https://www.philgeps.gov.ph/GEPSNONPILOT/Tender/SplashBidNoticeAbstractUI.aspx?menuIndex=3&amp;refID=7121583&amp;Result=3","7121583")</f>
        <v>0</v>
      </c>
      <c r="B12473" t="s">
        <v>3508</v>
      </c>
      <c r="C12473" t="s">
        <v>15624</v>
      </c>
      <c r="D12473" t="s">
        <v>17985</v>
      </c>
      <c r="E12473" t="s">
        <v>28812</v>
      </c>
      <c r="F12473" t="s">
        <v>30900</v>
      </c>
      <c r="G12473" t="s">
        <v>30907</v>
      </c>
      <c r="H12473" t="s">
        <v>30917</v>
      </c>
      <c r="I12473" t="s">
        <v>17295</v>
      </c>
      <c r="J12473" t="s">
        <v>38813</v>
      </c>
      <c r="K12473" t="s">
        <v>40319</v>
      </c>
      <c r="M12473" t="s">
        <v>44415</v>
      </c>
      <c r="N12473" t="s">
        <v>44759</v>
      </c>
      <c r="O12473" t="s">
        <v>44760</v>
      </c>
      <c r="P12473">
        <v>0</v>
      </c>
      <c r="Q12473">
        <v>3</v>
      </c>
      <c r="R12473" t="s">
        <v>44776</v>
      </c>
      <c r="S12473" t="s">
        <v>45453</v>
      </c>
      <c r="T12473" t="s">
        <v>46351</v>
      </c>
      <c r="U12473" t="s">
        <v>57194</v>
      </c>
      <c r="V12473" t="s">
        <v>60325</v>
      </c>
      <c r="W12473" t="s">
        <v>44415</v>
      </c>
      <c r="X12473" t="s">
        <v>44777</v>
      </c>
    </row>
    <row r="12474" spans="1:24">
      <c r="A12474">
        <f>HYPERLINK("https://www.philgeps.gov.ph/GEPSNONPILOT/Tender/SplashBidNoticeAbstractUI.aspx?menuIndex=3&amp;refID=7121582&amp;Result=3","7121582")</f>
        <v>0</v>
      </c>
      <c r="B12474" t="s">
        <v>3506</v>
      </c>
      <c r="C12474" t="s">
        <v>15625</v>
      </c>
      <c r="D12474" t="s">
        <v>17975</v>
      </c>
      <c r="E12474" t="s">
        <v>28813</v>
      </c>
      <c r="F12474" t="s">
        <v>30900</v>
      </c>
      <c r="G12474" t="s">
        <v>30907</v>
      </c>
      <c r="H12474" t="s">
        <v>30915</v>
      </c>
      <c r="I12474" t="s">
        <v>30919</v>
      </c>
      <c r="J12474" t="s">
        <v>38814</v>
      </c>
      <c r="K12474" t="s">
        <v>40292</v>
      </c>
      <c r="M12474" t="s">
        <v>44411</v>
      </c>
      <c r="N12474" t="s">
        <v>44759</v>
      </c>
      <c r="O12474" t="s">
        <v>44760</v>
      </c>
      <c r="P12474">
        <v>0</v>
      </c>
      <c r="Q12474">
        <v>2</v>
      </c>
      <c r="R12474" t="s">
        <v>44776</v>
      </c>
      <c r="S12474" t="s">
        <v>45453</v>
      </c>
      <c r="T12474" t="s">
        <v>46443</v>
      </c>
      <c r="U12474" t="s">
        <v>57195</v>
      </c>
      <c r="V12474" t="s">
        <v>60530</v>
      </c>
      <c r="W12474" t="s">
        <v>44411</v>
      </c>
      <c r="X12474" t="s">
        <v>44777</v>
      </c>
    </row>
    <row r="12475" spans="1:24">
      <c r="A12475">
        <f>HYPERLINK("https://www.philgeps.gov.ph/GEPSNONPILOT/Tender/SplashBidNoticeAbstractUI.aspx?menuIndex=3&amp;refID=7121587&amp;Result=3","7121587")</f>
        <v>0</v>
      </c>
      <c r="B12475" t="s">
        <v>1316</v>
      </c>
      <c r="C12475" t="s">
        <v>15626</v>
      </c>
      <c r="D12475" t="s">
        <v>17952</v>
      </c>
      <c r="E12475" t="s">
        <v>25502</v>
      </c>
      <c r="F12475" t="s">
        <v>30900</v>
      </c>
      <c r="G12475" t="s">
        <v>30907</v>
      </c>
      <c r="H12475" t="s">
        <v>30916</v>
      </c>
      <c r="I12475" t="s">
        <v>30933</v>
      </c>
      <c r="J12475" t="s">
        <v>34250</v>
      </c>
      <c r="K12475" t="s">
        <v>40304</v>
      </c>
      <c r="M12475" t="s">
        <v>41934</v>
      </c>
      <c r="N12475" t="s">
        <v>44759</v>
      </c>
      <c r="O12475" t="s">
        <v>44760</v>
      </c>
      <c r="P12475">
        <v>0</v>
      </c>
      <c r="Q12475">
        <v>2</v>
      </c>
      <c r="R12475" t="s">
        <v>44776</v>
      </c>
      <c r="S12475" t="s">
        <v>45453</v>
      </c>
      <c r="T12475" t="s">
        <v>46357</v>
      </c>
      <c r="U12475" t="s">
        <v>57196</v>
      </c>
      <c r="V12475" t="s">
        <v>60534</v>
      </c>
      <c r="W12475" t="s">
        <v>41934</v>
      </c>
      <c r="X12475" t="s">
        <v>44777</v>
      </c>
    </row>
    <row r="12476" spans="1:24">
      <c r="A12476">
        <f>HYPERLINK("https://www.philgeps.gov.ph/GEPSNONPILOT/Tender/SplashBidNoticeAbstractUI.aspx?menuIndex=3&amp;refID=7121579&amp;Result=3","7121579")</f>
        <v>0</v>
      </c>
      <c r="B12476" t="s">
        <v>1232</v>
      </c>
      <c r="C12476" t="s">
        <v>15627</v>
      </c>
      <c r="D12476" t="s">
        <v>17969</v>
      </c>
      <c r="E12476" t="s">
        <v>28814</v>
      </c>
      <c r="F12476" t="s">
        <v>30900</v>
      </c>
      <c r="G12476" t="s">
        <v>30907</v>
      </c>
      <c r="H12476" t="s">
        <v>30916</v>
      </c>
      <c r="I12476" t="s">
        <v>4050</v>
      </c>
      <c r="J12476" t="s">
        <v>32329</v>
      </c>
      <c r="K12476" t="s">
        <v>40280</v>
      </c>
      <c r="M12476" t="s">
        <v>43975</v>
      </c>
      <c r="N12476" t="s">
        <v>44759</v>
      </c>
      <c r="O12476" t="s">
        <v>44760</v>
      </c>
      <c r="Q12476">
        <v>4</v>
      </c>
      <c r="R12476" t="s">
        <v>44776</v>
      </c>
      <c r="S12476" t="s">
        <v>44888</v>
      </c>
      <c r="T12476" t="s">
        <v>46422</v>
      </c>
      <c r="U12476" t="s">
        <v>57197</v>
      </c>
      <c r="W12476" t="s">
        <v>43975</v>
      </c>
      <c r="X12476" t="s">
        <v>44777</v>
      </c>
    </row>
    <row r="12477" spans="1:24">
      <c r="A12477">
        <f>HYPERLINK("https://www.philgeps.gov.ph/GEPSNONPILOT/Tender/SplashBidNoticeAbstractUI.aspx?menuIndex=3&amp;refID=7121580&amp;Result=3","7121580")</f>
        <v>0</v>
      </c>
      <c r="B12477" t="s">
        <v>830</v>
      </c>
      <c r="C12477" t="s">
        <v>15628</v>
      </c>
      <c r="D12477" t="s">
        <v>18027</v>
      </c>
      <c r="E12477" t="s">
        <v>28815</v>
      </c>
      <c r="F12477" t="s">
        <v>30900</v>
      </c>
      <c r="G12477" t="s">
        <v>30907</v>
      </c>
      <c r="H12477" t="s">
        <v>30916</v>
      </c>
      <c r="I12477" t="s">
        <v>30922</v>
      </c>
      <c r="J12477" t="s">
        <v>38815</v>
      </c>
      <c r="K12477" t="s">
        <v>40286</v>
      </c>
      <c r="M12477" t="s">
        <v>41403</v>
      </c>
      <c r="N12477" t="s">
        <v>44759</v>
      </c>
      <c r="O12477" t="s">
        <v>44760</v>
      </c>
      <c r="P12477">
        <v>0</v>
      </c>
      <c r="Q12477">
        <v>4</v>
      </c>
      <c r="R12477" t="s">
        <v>44776</v>
      </c>
      <c r="S12477" t="s">
        <v>45453</v>
      </c>
      <c r="T12477" t="s">
        <v>46369</v>
      </c>
      <c r="U12477" t="s">
        <v>57198</v>
      </c>
      <c r="W12477" t="s">
        <v>41403</v>
      </c>
      <c r="X12477" t="s">
        <v>44777</v>
      </c>
    </row>
    <row r="12478" spans="1:24">
      <c r="A12478">
        <f>HYPERLINK("https://www.philgeps.gov.ph/GEPSNONPILOT/Tender/SplashBidNoticeAbstractUI.aspx?menuIndex=3&amp;refID=7121471&amp;Result=3","7121471")</f>
        <v>0</v>
      </c>
      <c r="B12478" t="s">
        <v>58</v>
      </c>
      <c r="C12478" t="s">
        <v>15629</v>
      </c>
      <c r="D12478" t="s">
        <v>17977</v>
      </c>
      <c r="E12478" t="s">
        <v>28816</v>
      </c>
      <c r="F12478" t="s">
        <v>30900</v>
      </c>
      <c r="G12478" t="s">
        <v>30907</v>
      </c>
      <c r="H12478" t="s">
        <v>30916</v>
      </c>
      <c r="I12478" t="s">
        <v>30939</v>
      </c>
      <c r="J12478" t="s">
        <v>38816</v>
      </c>
      <c r="K12478" t="s">
        <v>40287</v>
      </c>
      <c r="M12478" t="s">
        <v>40604</v>
      </c>
      <c r="N12478" t="s">
        <v>44759</v>
      </c>
      <c r="O12478" t="s">
        <v>44760</v>
      </c>
      <c r="P12478">
        <v>0</v>
      </c>
      <c r="Q12478">
        <v>0</v>
      </c>
      <c r="R12478" t="s">
        <v>44776</v>
      </c>
      <c r="S12478" t="s">
        <v>45453</v>
      </c>
      <c r="T12478" t="s">
        <v>46352</v>
      </c>
      <c r="U12478" t="s">
        <v>57199</v>
      </c>
      <c r="V12478" t="s">
        <v>60535</v>
      </c>
      <c r="W12478" t="s">
        <v>60815</v>
      </c>
      <c r="X12478" t="s">
        <v>44777</v>
      </c>
    </row>
    <row r="12479" spans="1:24">
      <c r="A12479">
        <f>HYPERLINK("https://www.philgeps.gov.ph/GEPSNONPILOT/Tender/SplashBidNoticeAbstractUI.aspx?menuIndex=3&amp;refID=7121628&amp;Result=3","7121628")</f>
        <v>0</v>
      </c>
      <c r="B12479" t="s">
        <v>3509</v>
      </c>
      <c r="C12479" t="s">
        <v>15630</v>
      </c>
      <c r="D12479" t="s">
        <v>17978</v>
      </c>
      <c r="E12479" t="s">
        <v>20397</v>
      </c>
      <c r="F12479" t="s">
        <v>30900</v>
      </c>
      <c r="G12479" t="s">
        <v>30907</v>
      </c>
      <c r="H12479" t="s">
        <v>30916</v>
      </c>
      <c r="I12479" t="s">
        <v>30933</v>
      </c>
      <c r="J12479" t="s">
        <v>38817</v>
      </c>
      <c r="K12479" t="s">
        <v>40283</v>
      </c>
      <c r="M12479" t="s">
        <v>44416</v>
      </c>
      <c r="N12479" t="s">
        <v>44759</v>
      </c>
      <c r="O12479" t="s">
        <v>44760</v>
      </c>
      <c r="P12479">
        <v>0</v>
      </c>
      <c r="Q12479">
        <v>6</v>
      </c>
      <c r="R12479" t="s">
        <v>44776</v>
      </c>
      <c r="S12479" t="s">
        <v>45453</v>
      </c>
      <c r="T12479" t="s">
        <v>46531</v>
      </c>
      <c r="U12479" t="s">
        <v>57200</v>
      </c>
      <c r="V12479" t="s">
        <v>60536</v>
      </c>
      <c r="W12479" t="s">
        <v>44416</v>
      </c>
      <c r="X12479" t="s">
        <v>44777</v>
      </c>
    </row>
    <row r="12480" spans="1:24">
      <c r="A12480">
        <f>HYPERLINK("https://www.philgeps.gov.ph/GEPSNONPILOT/Tender/SplashBidNoticeAbstractUI.aspx?menuIndex=3&amp;refID=7120998&amp;Result=3","7120998")</f>
        <v>0</v>
      </c>
      <c r="B12480" t="s">
        <v>3499</v>
      </c>
      <c r="C12480" t="s">
        <v>15631</v>
      </c>
      <c r="D12480" t="s">
        <v>18027</v>
      </c>
      <c r="E12480" t="s">
        <v>28817</v>
      </c>
      <c r="F12480" t="s">
        <v>30900</v>
      </c>
      <c r="G12480" t="s">
        <v>30907</v>
      </c>
      <c r="H12480" t="s">
        <v>30915</v>
      </c>
      <c r="I12480" t="s">
        <v>30919</v>
      </c>
      <c r="J12480" t="s">
        <v>38818</v>
      </c>
      <c r="K12480" t="s">
        <v>40302</v>
      </c>
      <c r="M12480" t="s">
        <v>44402</v>
      </c>
      <c r="N12480" t="s">
        <v>44759</v>
      </c>
      <c r="O12480" t="s">
        <v>44760</v>
      </c>
      <c r="P12480">
        <v>0</v>
      </c>
      <c r="Q12480">
        <v>0</v>
      </c>
      <c r="R12480" t="s">
        <v>44776</v>
      </c>
      <c r="S12480" t="s">
        <v>45453</v>
      </c>
      <c r="T12480" t="s">
        <v>46905</v>
      </c>
      <c r="U12480" t="s">
        <v>57201</v>
      </c>
      <c r="W12480" t="s">
        <v>44402</v>
      </c>
      <c r="X12480" t="s">
        <v>44777</v>
      </c>
    </row>
    <row r="12481" spans="1:24">
      <c r="A12481">
        <f>HYPERLINK("https://www.philgeps.gov.ph/GEPSNONPILOT/Tender/SplashBidNoticeAbstractUI.aspx?menuIndex=3&amp;refID=7121800&amp;Result=3","7121800")</f>
        <v>0</v>
      </c>
      <c r="B12481" t="s">
        <v>2474</v>
      </c>
      <c r="C12481" t="s">
        <v>15632</v>
      </c>
      <c r="D12481" t="s">
        <v>17959</v>
      </c>
      <c r="E12481" t="s">
        <v>28818</v>
      </c>
      <c r="F12481" t="s">
        <v>30900</v>
      </c>
      <c r="G12481" t="s">
        <v>30907</v>
      </c>
      <c r="H12481" t="s">
        <v>30915</v>
      </c>
      <c r="I12481" t="s">
        <v>30919</v>
      </c>
      <c r="J12481" t="s">
        <v>38819</v>
      </c>
      <c r="K12481" t="s">
        <v>40290</v>
      </c>
      <c r="M12481" t="s">
        <v>44417</v>
      </c>
      <c r="N12481" t="s">
        <v>44759</v>
      </c>
      <c r="O12481" t="s">
        <v>44760</v>
      </c>
      <c r="P12481">
        <v>0</v>
      </c>
      <c r="Q12481">
        <v>10</v>
      </c>
      <c r="R12481" t="s">
        <v>44776</v>
      </c>
      <c r="S12481" t="s">
        <v>45453</v>
      </c>
      <c r="T12481" t="s">
        <v>46400</v>
      </c>
      <c r="U12481" t="s">
        <v>57202</v>
      </c>
      <c r="W12481" t="s">
        <v>60933</v>
      </c>
      <c r="X12481" t="s">
        <v>44777</v>
      </c>
    </row>
    <row r="12482" spans="1:24">
      <c r="A12482">
        <f>HYPERLINK("https://www.philgeps.gov.ph/GEPSNONPILOT/Tender/SplashBidNoticeAbstractUI.aspx?menuIndex=3&amp;refID=7121817&amp;Result=3","7121817")</f>
        <v>0</v>
      </c>
      <c r="B12482" t="s">
        <v>134</v>
      </c>
      <c r="C12482" t="s">
        <v>15633</v>
      </c>
      <c r="E12482" t="s">
        <v>28819</v>
      </c>
      <c r="F12482" t="s">
        <v>30900</v>
      </c>
      <c r="G12482" t="s">
        <v>30907</v>
      </c>
      <c r="H12482" t="s">
        <v>30916</v>
      </c>
      <c r="I12482" t="s">
        <v>30933</v>
      </c>
      <c r="J12482" t="s">
        <v>31701</v>
      </c>
      <c r="K12482" t="s">
        <v>40392</v>
      </c>
      <c r="M12482" t="s">
        <v>40681</v>
      </c>
      <c r="N12482" t="s">
        <v>44759</v>
      </c>
      <c r="O12482" t="s">
        <v>44760</v>
      </c>
      <c r="Q12482">
        <v>10</v>
      </c>
      <c r="R12482" t="s">
        <v>44776</v>
      </c>
      <c r="S12482" t="s">
        <v>45422</v>
      </c>
      <c r="T12482" t="s">
        <v>46421</v>
      </c>
      <c r="U12482" t="s">
        <v>54994</v>
      </c>
      <c r="W12482" t="s">
        <v>40681</v>
      </c>
      <c r="X12482" t="s">
        <v>44777</v>
      </c>
    </row>
    <row r="12483" spans="1:24">
      <c r="A12483">
        <f>HYPERLINK("https://www.philgeps.gov.ph/GEPSNONPILOT/Tender/SplashBidNoticeAbstractUI.aspx?menuIndex=3&amp;refID=7121788&amp;Result=3","7121788")</f>
        <v>0</v>
      </c>
      <c r="B12483" t="s">
        <v>496</v>
      </c>
      <c r="C12483" t="s">
        <v>15634</v>
      </c>
      <c r="D12483" t="s">
        <v>18019</v>
      </c>
      <c r="E12483" t="s">
        <v>28820</v>
      </c>
      <c r="F12483" t="s">
        <v>30900</v>
      </c>
      <c r="G12483" t="s">
        <v>30907</v>
      </c>
      <c r="H12483" t="s">
        <v>30915</v>
      </c>
      <c r="I12483" t="s">
        <v>30957</v>
      </c>
      <c r="J12483" t="s">
        <v>34841</v>
      </c>
      <c r="K12483" t="s">
        <v>40286</v>
      </c>
      <c r="M12483" t="s">
        <v>42577</v>
      </c>
      <c r="N12483" t="s">
        <v>44759</v>
      </c>
      <c r="O12483" t="s">
        <v>44760</v>
      </c>
      <c r="P12483">
        <v>0</v>
      </c>
      <c r="Q12483">
        <v>3</v>
      </c>
      <c r="R12483" t="s">
        <v>44776</v>
      </c>
      <c r="S12483" t="s">
        <v>45453</v>
      </c>
      <c r="T12483" t="s">
        <v>46425</v>
      </c>
      <c r="U12483" t="s">
        <v>57203</v>
      </c>
      <c r="W12483" t="s">
        <v>42577</v>
      </c>
      <c r="X12483" t="s">
        <v>44777</v>
      </c>
    </row>
    <row r="12484" spans="1:24">
      <c r="A12484">
        <f>HYPERLINK("https://www.philgeps.gov.ph/GEPSNONPILOT/Tender/SplashBidNoticeAbstractUI.aspx?menuIndex=3&amp;refID=7121812&amp;Result=3","7121812")</f>
        <v>0</v>
      </c>
      <c r="B12484" t="s">
        <v>3510</v>
      </c>
      <c r="C12484" t="s">
        <v>15635</v>
      </c>
      <c r="D12484" t="s">
        <v>17952</v>
      </c>
      <c r="E12484" t="s">
        <v>28821</v>
      </c>
      <c r="F12484" t="s">
        <v>30900</v>
      </c>
      <c r="G12484" t="s">
        <v>30907</v>
      </c>
      <c r="H12484" t="s">
        <v>30915</v>
      </c>
      <c r="I12484" t="s">
        <v>30919</v>
      </c>
      <c r="J12484" t="s">
        <v>31297</v>
      </c>
      <c r="K12484" t="s">
        <v>40304</v>
      </c>
      <c r="M12484" t="s">
        <v>44418</v>
      </c>
      <c r="N12484" t="s">
        <v>44759</v>
      </c>
      <c r="O12484" t="s">
        <v>44760</v>
      </c>
      <c r="P12484">
        <v>0</v>
      </c>
      <c r="Q12484">
        <v>2</v>
      </c>
      <c r="R12484" t="s">
        <v>44776</v>
      </c>
      <c r="S12484" t="s">
        <v>45453</v>
      </c>
      <c r="T12484" t="s">
        <v>46409</v>
      </c>
      <c r="U12484" t="s">
        <v>57204</v>
      </c>
      <c r="W12484" t="s">
        <v>60934</v>
      </c>
      <c r="X12484" t="s">
        <v>44777</v>
      </c>
    </row>
    <row r="12485" spans="1:24">
      <c r="A12485">
        <f>HYPERLINK("https://www.philgeps.gov.ph/GEPSNONPILOT/Tender/SplashBidNoticeAbstractUI.aspx?menuIndex=3&amp;refID=7121775&amp;Result=3","7121775")</f>
        <v>0</v>
      </c>
      <c r="B12485" t="s">
        <v>2389</v>
      </c>
      <c r="C12485" t="s">
        <v>15636</v>
      </c>
      <c r="D12485" t="s">
        <v>17994</v>
      </c>
      <c r="E12485" t="s">
        <v>28822</v>
      </c>
      <c r="F12485" t="s">
        <v>30900</v>
      </c>
      <c r="G12485" t="s">
        <v>30907</v>
      </c>
      <c r="H12485" t="s">
        <v>30916</v>
      </c>
      <c r="I12485" t="s">
        <v>30961</v>
      </c>
      <c r="J12485" t="s">
        <v>38820</v>
      </c>
      <c r="K12485" t="s">
        <v>40293</v>
      </c>
      <c r="M12485" t="s">
        <v>43115</v>
      </c>
      <c r="N12485" t="s">
        <v>44759</v>
      </c>
      <c r="O12485" t="s">
        <v>44760</v>
      </c>
      <c r="P12485">
        <v>0</v>
      </c>
      <c r="Q12485">
        <v>2</v>
      </c>
      <c r="R12485" t="s">
        <v>44776</v>
      </c>
      <c r="S12485" t="s">
        <v>45453</v>
      </c>
      <c r="T12485" t="s">
        <v>46389</v>
      </c>
      <c r="U12485" t="s">
        <v>57205</v>
      </c>
      <c r="W12485" t="s">
        <v>43115</v>
      </c>
      <c r="X12485" t="s">
        <v>44777</v>
      </c>
    </row>
    <row r="12486" spans="1:24">
      <c r="A12486">
        <f>HYPERLINK("https://www.philgeps.gov.ph/GEPSNONPILOT/Tender/SplashBidNoticeAbstractUI.aspx?menuIndex=3&amp;refID=7121802&amp;Result=3","7121802")</f>
        <v>0</v>
      </c>
      <c r="B12486" t="s">
        <v>497</v>
      </c>
      <c r="C12486" t="s">
        <v>15637</v>
      </c>
      <c r="D12486" t="s">
        <v>17951</v>
      </c>
      <c r="E12486" t="s">
        <v>18912</v>
      </c>
      <c r="F12486" t="s">
        <v>30900</v>
      </c>
      <c r="G12486" t="s">
        <v>30907</v>
      </c>
      <c r="H12486" t="s">
        <v>30916</v>
      </c>
      <c r="I12486" t="s">
        <v>30931</v>
      </c>
      <c r="J12486" t="s">
        <v>38821</v>
      </c>
      <c r="K12486" t="s">
        <v>40289</v>
      </c>
      <c r="L12486" t="s">
        <v>497</v>
      </c>
      <c r="M12486" t="s">
        <v>41056</v>
      </c>
      <c r="N12486" t="s">
        <v>44759</v>
      </c>
      <c r="O12486" t="s">
        <v>44760</v>
      </c>
      <c r="P12486">
        <v>0</v>
      </c>
      <c r="Q12486">
        <v>0</v>
      </c>
      <c r="R12486" t="s">
        <v>44776</v>
      </c>
      <c r="S12486" t="s">
        <v>45453</v>
      </c>
      <c r="T12486" t="s">
        <v>46625</v>
      </c>
      <c r="U12486" t="s">
        <v>57206</v>
      </c>
      <c r="W12486" t="s">
        <v>41056</v>
      </c>
      <c r="X12486" t="s">
        <v>44777</v>
      </c>
    </row>
    <row r="12487" spans="1:24">
      <c r="A12487">
        <f>HYPERLINK("https://www.philgeps.gov.ph/GEPSNONPILOT/Tender/SplashBidNoticeAbstractUI.aspx?menuIndex=3&amp;refID=7121757&amp;Result=3","7121757")</f>
        <v>0</v>
      </c>
      <c r="B12487" t="s">
        <v>331</v>
      </c>
      <c r="C12487" t="s">
        <v>15638</v>
      </c>
      <c r="D12487" t="s">
        <v>18004</v>
      </c>
      <c r="E12487" t="s">
        <v>28823</v>
      </c>
      <c r="F12487" t="s">
        <v>30900</v>
      </c>
      <c r="G12487" t="s">
        <v>30912</v>
      </c>
      <c r="H12487" t="s">
        <v>30916</v>
      </c>
      <c r="I12487" t="s">
        <v>30920</v>
      </c>
      <c r="J12487" t="s">
        <v>38822</v>
      </c>
      <c r="K12487" t="s">
        <v>40292</v>
      </c>
      <c r="M12487" t="s">
        <v>40882</v>
      </c>
      <c r="N12487" t="s">
        <v>44759</v>
      </c>
      <c r="O12487" t="s">
        <v>44760</v>
      </c>
      <c r="P12487">
        <v>0</v>
      </c>
      <c r="Q12487">
        <v>0</v>
      </c>
      <c r="R12487" t="s">
        <v>44776</v>
      </c>
      <c r="S12487" t="s">
        <v>45453</v>
      </c>
      <c r="T12487" t="s">
        <v>46357</v>
      </c>
      <c r="U12487" t="s">
        <v>47469</v>
      </c>
      <c r="W12487" t="s">
        <v>40882</v>
      </c>
      <c r="X12487" t="s">
        <v>44777</v>
      </c>
    </row>
    <row r="12488" spans="1:24">
      <c r="A12488">
        <f>HYPERLINK("https://www.philgeps.gov.ph/GEPSNONPILOT/Tender/SplashBidNoticeAbstractUI.aspx?menuIndex=3&amp;refID=7121782&amp;Result=3","7121782")</f>
        <v>0</v>
      </c>
      <c r="B12488" t="s">
        <v>134</v>
      </c>
      <c r="C12488" t="s">
        <v>15639</v>
      </c>
      <c r="E12488" t="s">
        <v>28824</v>
      </c>
      <c r="F12488" t="s">
        <v>30900</v>
      </c>
      <c r="G12488" t="s">
        <v>30907</v>
      </c>
      <c r="H12488" t="s">
        <v>30916</v>
      </c>
      <c r="I12488" t="s">
        <v>30942</v>
      </c>
      <c r="J12488" t="s">
        <v>31152</v>
      </c>
      <c r="K12488" t="s">
        <v>40292</v>
      </c>
      <c r="M12488" t="s">
        <v>40681</v>
      </c>
      <c r="N12488" t="s">
        <v>44759</v>
      </c>
      <c r="O12488" t="s">
        <v>44760</v>
      </c>
      <c r="P12488">
        <v>0</v>
      </c>
      <c r="Q12488">
        <v>2</v>
      </c>
      <c r="R12488" t="s">
        <v>44776</v>
      </c>
      <c r="S12488" t="s">
        <v>45453</v>
      </c>
      <c r="T12488" t="s">
        <v>46421</v>
      </c>
      <c r="U12488" t="s">
        <v>54994</v>
      </c>
      <c r="W12488" t="s">
        <v>40681</v>
      </c>
      <c r="X12488" t="s">
        <v>44777</v>
      </c>
    </row>
    <row r="12489" spans="1:24">
      <c r="A12489">
        <f>HYPERLINK("https://www.philgeps.gov.ph/GEPSNONPILOT/Tender/SplashBidNoticeAbstractUI.aspx?menuIndex=3&amp;refID=7121747&amp;Result=3","7121747")</f>
        <v>0</v>
      </c>
      <c r="B12489" t="s">
        <v>1403</v>
      </c>
      <c r="C12489" t="s">
        <v>15640</v>
      </c>
      <c r="D12489" t="s">
        <v>17954</v>
      </c>
      <c r="E12489" t="s">
        <v>28825</v>
      </c>
      <c r="F12489" t="s">
        <v>30900</v>
      </c>
      <c r="G12489" t="s">
        <v>30907</v>
      </c>
      <c r="H12489" t="s">
        <v>30915</v>
      </c>
      <c r="I12489" t="s">
        <v>30919</v>
      </c>
      <c r="J12489" t="s">
        <v>38823</v>
      </c>
      <c r="K12489" t="s">
        <v>40280</v>
      </c>
      <c r="M12489" t="s">
        <v>42030</v>
      </c>
      <c r="N12489" t="s">
        <v>44759</v>
      </c>
      <c r="O12489" t="s">
        <v>44760</v>
      </c>
      <c r="P12489">
        <v>0</v>
      </c>
      <c r="Q12489">
        <v>5</v>
      </c>
      <c r="R12489" t="s">
        <v>44776</v>
      </c>
      <c r="S12489" t="s">
        <v>45453</v>
      </c>
      <c r="T12489" t="s">
        <v>46356</v>
      </c>
      <c r="U12489" t="s">
        <v>57207</v>
      </c>
      <c r="W12489" t="s">
        <v>42030</v>
      </c>
      <c r="X12489" t="s">
        <v>44777</v>
      </c>
    </row>
    <row r="12490" spans="1:24">
      <c r="A12490">
        <f>HYPERLINK("https://www.philgeps.gov.ph/GEPSNONPILOT/Tender/SplashBidNoticeAbstractUI.aspx?menuIndex=3&amp;refID=7121729&amp;Result=3","7121729")</f>
        <v>0</v>
      </c>
      <c r="B12490" t="s">
        <v>3506</v>
      </c>
      <c r="C12490" t="s">
        <v>15641</v>
      </c>
      <c r="D12490" t="s">
        <v>17975</v>
      </c>
      <c r="E12490" t="s">
        <v>28826</v>
      </c>
      <c r="F12490" t="s">
        <v>30900</v>
      </c>
      <c r="G12490" t="s">
        <v>30907</v>
      </c>
      <c r="H12490" t="s">
        <v>30916</v>
      </c>
      <c r="I12490" t="s">
        <v>30927</v>
      </c>
      <c r="J12490" t="s">
        <v>38824</v>
      </c>
      <c r="K12490" t="s">
        <v>40291</v>
      </c>
      <c r="M12490" t="s">
        <v>44411</v>
      </c>
      <c r="N12490" t="s">
        <v>44759</v>
      </c>
      <c r="O12490" t="s">
        <v>44760</v>
      </c>
      <c r="P12490">
        <v>0</v>
      </c>
      <c r="Q12490">
        <v>2</v>
      </c>
      <c r="R12490" t="s">
        <v>44776</v>
      </c>
      <c r="S12490" t="s">
        <v>45453</v>
      </c>
      <c r="T12490" t="s">
        <v>46421</v>
      </c>
      <c r="U12490" t="s">
        <v>57192</v>
      </c>
      <c r="W12490" t="s">
        <v>44411</v>
      </c>
      <c r="X12490" t="s">
        <v>44777</v>
      </c>
    </row>
    <row r="12491" spans="1:24">
      <c r="A12491">
        <f>HYPERLINK("https://www.philgeps.gov.ph/GEPSNONPILOT/Tender/SplashBidNoticeAbstractUI.aspx?menuIndex=3&amp;refID=7121752&amp;Result=3","7121752")</f>
        <v>0</v>
      </c>
      <c r="B12491" t="s">
        <v>3511</v>
      </c>
      <c r="C12491" t="s">
        <v>15642</v>
      </c>
      <c r="D12491" t="s">
        <v>18022</v>
      </c>
      <c r="E12491" t="s">
        <v>28827</v>
      </c>
      <c r="F12491" t="s">
        <v>30900</v>
      </c>
      <c r="G12491" t="s">
        <v>30907</v>
      </c>
      <c r="H12491" t="s">
        <v>30915</v>
      </c>
      <c r="I12491" t="s">
        <v>30919</v>
      </c>
      <c r="J12491" t="s">
        <v>38825</v>
      </c>
      <c r="K12491" t="s">
        <v>40539</v>
      </c>
      <c r="M12491" t="s">
        <v>44419</v>
      </c>
      <c r="N12491" t="s">
        <v>44759</v>
      </c>
      <c r="O12491" t="s">
        <v>44760</v>
      </c>
      <c r="Q12491">
        <v>5</v>
      </c>
      <c r="R12491" t="s">
        <v>44776</v>
      </c>
      <c r="S12491" t="s">
        <v>45481</v>
      </c>
      <c r="T12491" t="s">
        <v>46409</v>
      </c>
      <c r="U12491" t="s">
        <v>57208</v>
      </c>
      <c r="W12491" t="s">
        <v>44419</v>
      </c>
      <c r="X12491" t="s">
        <v>44777</v>
      </c>
    </row>
    <row r="12492" spans="1:24">
      <c r="A12492">
        <f>HYPERLINK("https://www.philgeps.gov.ph/GEPSNONPILOT/Tender/SplashBidNoticeAbstractUI.aspx?menuIndex=3&amp;refID=7121936&amp;Result=3","7121936")</f>
        <v>0</v>
      </c>
      <c r="B12492" t="s">
        <v>3316</v>
      </c>
      <c r="C12492" t="s">
        <v>15643</v>
      </c>
      <c r="D12492" t="s">
        <v>17959</v>
      </c>
      <c r="E12492" t="s">
        <v>28828</v>
      </c>
      <c r="F12492" t="s">
        <v>30899</v>
      </c>
      <c r="G12492" t="s">
        <v>30907</v>
      </c>
      <c r="H12492" t="s">
        <v>30916</v>
      </c>
      <c r="I12492" t="s">
        <v>30923</v>
      </c>
      <c r="J12492" t="s">
        <v>38826</v>
      </c>
      <c r="K12492" t="s">
        <v>40286</v>
      </c>
      <c r="M12492" t="s">
        <v>44173</v>
      </c>
      <c r="N12492" t="s">
        <v>44759</v>
      </c>
      <c r="O12492" t="s">
        <v>44760</v>
      </c>
      <c r="P12492">
        <v>0</v>
      </c>
      <c r="Q12492">
        <v>1</v>
      </c>
      <c r="R12492" t="s">
        <v>44776</v>
      </c>
      <c r="S12492" t="s">
        <v>45453</v>
      </c>
      <c r="T12492" t="s">
        <v>46541</v>
      </c>
      <c r="U12492" t="s">
        <v>57209</v>
      </c>
      <c r="V12492" t="s">
        <v>60383</v>
      </c>
      <c r="W12492" t="s">
        <v>44173</v>
      </c>
      <c r="X12492" t="s">
        <v>44777</v>
      </c>
    </row>
    <row r="12493" spans="1:24">
      <c r="A12493">
        <f>HYPERLINK("https://www.philgeps.gov.ph/GEPSNONPILOT/Tender/SplashBidNoticeAbstractUI.aspx?menuIndex=3&amp;refID=7121935&amp;Result=3","7121935")</f>
        <v>0</v>
      </c>
      <c r="B12493" t="s">
        <v>416</v>
      </c>
      <c r="C12493" t="s">
        <v>15644</v>
      </c>
      <c r="D12493" t="s">
        <v>17976</v>
      </c>
      <c r="E12493" t="s">
        <v>18365</v>
      </c>
      <c r="F12493" t="s">
        <v>30900</v>
      </c>
      <c r="G12493" t="s">
        <v>30906</v>
      </c>
      <c r="H12493" t="s">
        <v>30916</v>
      </c>
      <c r="I12493" t="s">
        <v>30934</v>
      </c>
      <c r="J12493" t="s">
        <v>34896</v>
      </c>
      <c r="K12493" t="s">
        <v>40283</v>
      </c>
      <c r="M12493" t="s">
        <v>40972</v>
      </c>
      <c r="N12493" t="s">
        <v>44759</v>
      </c>
      <c r="O12493" t="s">
        <v>44760</v>
      </c>
      <c r="Q12493">
        <v>3</v>
      </c>
      <c r="R12493" t="s">
        <v>44776</v>
      </c>
      <c r="S12493" t="s">
        <v>45368</v>
      </c>
      <c r="T12493" t="s">
        <v>46658</v>
      </c>
      <c r="U12493" t="s">
        <v>57210</v>
      </c>
      <c r="W12493" t="s">
        <v>40972</v>
      </c>
      <c r="X12493" t="s">
        <v>44777</v>
      </c>
    </row>
    <row r="12494" spans="1:24">
      <c r="A12494">
        <f>HYPERLINK("https://www.philgeps.gov.ph/GEPSNONPILOT/Tender/SplashBidNoticeAbstractUI.aspx?menuIndex=3&amp;refID=7121743&amp;Result=3","7121743")</f>
        <v>0</v>
      </c>
      <c r="B12494" t="s">
        <v>65</v>
      </c>
      <c r="C12494" t="s">
        <v>15645</v>
      </c>
      <c r="D12494" t="s">
        <v>18001</v>
      </c>
      <c r="E12494" t="s">
        <v>28829</v>
      </c>
      <c r="F12494" t="s">
        <v>30900</v>
      </c>
      <c r="G12494" t="s">
        <v>30907</v>
      </c>
      <c r="H12494" t="s">
        <v>30916</v>
      </c>
      <c r="I12494" t="s">
        <v>4108</v>
      </c>
      <c r="J12494" t="s">
        <v>38827</v>
      </c>
      <c r="K12494" t="s">
        <v>40286</v>
      </c>
      <c r="M12494" t="s">
        <v>44420</v>
      </c>
      <c r="N12494" t="s">
        <v>44759</v>
      </c>
      <c r="O12494" t="s">
        <v>44760</v>
      </c>
      <c r="P12494">
        <v>0</v>
      </c>
      <c r="Q12494">
        <v>4</v>
      </c>
      <c r="R12494" t="s">
        <v>44776</v>
      </c>
      <c r="S12494" t="s">
        <v>45453</v>
      </c>
      <c r="T12494" t="s">
        <v>46357</v>
      </c>
      <c r="U12494" t="s">
        <v>57211</v>
      </c>
      <c r="W12494" t="s">
        <v>44420</v>
      </c>
      <c r="X12494" t="s">
        <v>44777</v>
      </c>
    </row>
    <row r="12495" spans="1:24">
      <c r="A12495">
        <f>HYPERLINK("https://www.philgeps.gov.ph/GEPSNONPILOT/Tender/SplashBidNoticeAbstractUI.aspx?menuIndex=3&amp;refID=7121760&amp;Result=3","7121760")</f>
        <v>0</v>
      </c>
      <c r="B12495" t="s">
        <v>2389</v>
      </c>
      <c r="C12495" t="s">
        <v>15646</v>
      </c>
      <c r="D12495" t="s">
        <v>17994</v>
      </c>
      <c r="E12495" t="s">
        <v>28830</v>
      </c>
      <c r="F12495" t="s">
        <v>30900</v>
      </c>
      <c r="G12495" t="s">
        <v>30907</v>
      </c>
      <c r="H12495" t="s">
        <v>30916</v>
      </c>
      <c r="I12495" t="s">
        <v>30947</v>
      </c>
      <c r="J12495" t="s">
        <v>38828</v>
      </c>
      <c r="K12495" t="s">
        <v>40291</v>
      </c>
      <c r="M12495" t="s">
        <v>43115</v>
      </c>
      <c r="N12495" t="s">
        <v>44759</v>
      </c>
      <c r="O12495" t="s">
        <v>44760</v>
      </c>
      <c r="P12495">
        <v>0</v>
      </c>
      <c r="Q12495">
        <v>1</v>
      </c>
      <c r="R12495" t="s">
        <v>44776</v>
      </c>
      <c r="S12495" t="s">
        <v>45453</v>
      </c>
      <c r="T12495" t="s">
        <v>46389</v>
      </c>
      <c r="U12495" t="s">
        <v>57212</v>
      </c>
      <c r="W12495" t="s">
        <v>43115</v>
      </c>
      <c r="X12495" t="s">
        <v>44777</v>
      </c>
    </row>
    <row r="12496" spans="1:24">
      <c r="A12496">
        <f>HYPERLINK("https://www.philgeps.gov.ph/GEPSNONPILOT/Tender/SplashBidNoticeAbstractUI.aspx?menuIndex=3&amp;refID=7121927&amp;Result=3","7121927")</f>
        <v>0</v>
      </c>
      <c r="B12496" t="s">
        <v>3512</v>
      </c>
      <c r="C12496" t="s">
        <v>15647</v>
      </c>
      <c r="D12496" t="s">
        <v>17979</v>
      </c>
      <c r="E12496" t="s">
        <v>28831</v>
      </c>
      <c r="F12496" t="s">
        <v>30900</v>
      </c>
      <c r="G12496" t="s">
        <v>30907</v>
      </c>
      <c r="H12496" t="s">
        <v>30916</v>
      </c>
      <c r="I12496" t="s">
        <v>30949</v>
      </c>
      <c r="J12496" t="s">
        <v>32125</v>
      </c>
      <c r="K12496" t="s">
        <v>40286</v>
      </c>
      <c r="M12496" t="s">
        <v>44421</v>
      </c>
      <c r="N12496" t="s">
        <v>44759</v>
      </c>
      <c r="O12496" t="s">
        <v>44760</v>
      </c>
      <c r="P12496">
        <v>0</v>
      </c>
      <c r="Q12496">
        <v>10</v>
      </c>
      <c r="R12496" t="s">
        <v>44776</v>
      </c>
      <c r="S12496" t="s">
        <v>45453</v>
      </c>
      <c r="T12496" t="s">
        <v>46421</v>
      </c>
      <c r="U12496" t="s">
        <v>57213</v>
      </c>
      <c r="V12496" t="s">
        <v>60537</v>
      </c>
      <c r="W12496" t="s">
        <v>44421</v>
      </c>
      <c r="X12496" t="s">
        <v>44777</v>
      </c>
    </row>
    <row r="12497" spans="1:24">
      <c r="A12497">
        <f>HYPERLINK("https://www.philgeps.gov.ph/GEPSNONPILOT/Tender/SplashBidNoticeAbstractUI.aspx?menuIndex=3&amp;refID=7121784&amp;Result=3","7121784")</f>
        <v>0</v>
      </c>
      <c r="B12497" t="s">
        <v>3506</v>
      </c>
      <c r="C12497" t="s">
        <v>15648</v>
      </c>
      <c r="D12497" t="s">
        <v>17975</v>
      </c>
      <c r="E12497" t="s">
        <v>28832</v>
      </c>
      <c r="F12497" t="s">
        <v>30900</v>
      </c>
      <c r="G12497" t="s">
        <v>30907</v>
      </c>
      <c r="H12497" t="s">
        <v>30916</v>
      </c>
      <c r="I12497" t="s">
        <v>4108</v>
      </c>
      <c r="J12497" t="s">
        <v>38829</v>
      </c>
      <c r="K12497" t="s">
        <v>40291</v>
      </c>
      <c r="M12497" t="s">
        <v>44411</v>
      </c>
      <c r="N12497" t="s">
        <v>44759</v>
      </c>
      <c r="O12497" t="s">
        <v>44760</v>
      </c>
      <c r="P12497">
        <v>0</v>
      </c>
      <c r="Q12497">
        <v>6</v>
      </c>
      <c r="R12497" t="s">
        <v>44776</v>
      </c>
      <c r="S12497" t="s">
        <v>45453</v>
      </c>
      <c r="T12497" t="s">
        <v>46399</v>
      </c>
      <c r="U12497" t="s">
        <v>57214</v>
      </c>
      <c r="W12497" t="s">
        <v>44411</v>
      </c>
      <c r="X12497" t="s">
        <v>44777</v>
      </c>
    </row>
    <row r="12498" spans="1:24">
      <c r="A12498">
        <f>HYPERLINK("https://www.philgeps.gov.ph/GEPSNONPILOT/Tender/SplashBidNoticeAbstractUI.aspx?menuIndex=3&amp;refID=7121915&amp;Result=3","7121915")</f>
        <v>0</v>
      </c>
      <c r="B12498" t="s">
        <v>3513</v>
      </c>
      <c r="C12498" t="s">
        <v>15649</v>
      </c>
      <c r="D12498" t="s">
        <v>17975</v>
      </c>
      <c r="E12498" t="s">
        <v>24637</v>
      </c>
      <c r="F12498" t="s">
        <v>30900</v>
      </c>
      <c r="G12498" t="s">
        <v>30907</v>
      </c>
      <c r="H12498" t="s">
        <v>30916</v>
      </c>
      <c r="I12498" t="s">
        <v>6746</v>
      </c>
      <c r="J12498" t="s">
        <v>38830</v>
      </c>
      <c r="K12498" t="s">
        <v>40283</v>
      </c>
      <c r="M12498" t="s">
        <v>44422</v>
      </c>
      <c r="N12498" t="s">
        <v>44759</v>
      </c>
      <c r="O12498" t="s">
        <v>44760</v>
      </c>
      <c r="P12498">
        <v>0</v>
      </c>
      <c r="Q12498">
        <v>0</v>
      </c>
      <c r="R12498" t="s">
        <v>44776</v>
      </c>
      <c r="S12498" t="s">
        <v>45453</v>
      </c>
      <c r="T12498" t="s">
        <v>46404</v>
      </c>
      <c r="U12498" t="s">
        <v>57215</v>
      </c>
      <c r="W12498" t="s">
        <v>44422</v>
      </c>
      <c r="X12498" t="s">
        <v>44777</v>
      </c>
    </row>
    <row r="12499" spans="1:24">
      <c r="A12499">
        <f>HYPERLINK("https://www.philgeps.gov.ph/GEPSNONPILOT/Tender/SplashBidNoticeAbstractUI.aspx?menuIndex=3&amp;refID=7121898&amp;Result=3","7121898")</f>
        <v>0</v>
      </c>
      <c r="B12499" t="s">
        <v>2641</v>
      </c>
      <c r="C12499" t="s">
        <v>15650</v>
      </c>
      <c r="D12499" t="s">
        <v>18018</v>
      </c>
      <c r="E12499" t="s">
        <v>28833</v>
      </c>
      <c r="F12499" t="s">
        <v>30900</v>
      </c>
      <c r="G12499" t="s">
        <v>30907</v>
      </c>
      <c r="H12499" t="s">
        <v>30916</v>
      </c>
      <c r="I12499" t="s">
        <v>4142</v>
      </c>
      <c r="J12499" t="s">
        <v>38831</v>
      </c>
      <c r="K12499" t="s">
        <v>40287</v>
      </c>
      <c r="M12499" t="s">
        <v>43407</v>
      </c>
      <c r="N12499" t="s">
        <v>44759</v>
      </c>
      <c r="O12499" t="s">
        <v>44760</v>
      </c>
      <c r="P12499">
        <v>0</v>
      </c>
      <c r="Q12499">
        <v>2</v>
      </c>
      <c r="R12499" t="s">
        <v>44776</v>
      </c>
      <c r="S12499" t="s">
        <v>45453</v>
      </c>
      <c r="T12499" t="s">
        <v>46410</v>
      </c>
      <c r="U12499" t="s">
        <v>57216</v>
      </c>
      <c r="W12499" t="s">
        <v>43407</v>
      </c>
      <c r="X12499" t="s">
        <v>44777</v>
      </c>
    </row>
    <row r="12500" spans="1:24">
      <c r="A12500">
        <f>HYPERLINK("https://www.philgeps.gov.ph/GEPSNONPILOT/Tender/SplashBidNoticeAbstractUI.aspx?menuIndex=3&amp;refID=7121894&amp;Result=3","7121894")</f>
        <v>0</v>
      </c>
      <c r="B12500" t="s">
        <v>416</v>
      </c>
      <c r="C12500" t="s">
        <v>15651</v>
      </c>
      <c r="E12500" t="s">
        <v>28834</v>
      </c>
      <c r="F12500" t="s">
        <v>30900</v>
      </c>
      <c r="G12500" t="s">
        <v>30906</v>
      </c>
      <c r="H12500" t="s">
        <v>30916</v>
      </c>
      <c r="I12500" t="s">
        <v>30921</v>
      </c>
      <c r="J12500" t="s">
        <v>38832</v>
      </c>
      <c r="K12500" t="s">
        <v>40283</v>
      </c>
      <c r="M12500" t="s">
        <v>40972</v>
      </c>
      <c r="N12500" t="s">
        <v>44759</v>
      </c>
      <c r="O12500" t="s">
        <v>44760</v>
      </c>
      <c r="Q12500">
        <v>3</v>
      </c>
      <c r="R12500" t="s">
        <v>44776</v>
      </c>
      <c r="S12500" t="s">
        <v>45482</v>
      </c>
      <c r="T12500" t="s">
        <v>46658</v>
      </c>
      <c r="U12500" t="s">
        <v>57210</v>
      </c>
      <c r="W12500" t="s">
        <v>40972</v>
      </c>
      <c r="X12500" t="s">
        <v>44777</v>
      </c>
    </row>
    <row r="12501" spans="1:24">
      <c r="A12501">
        <f>HYPERLINK("https://www.philgeps.gov.ph/GEPSNONPILOT/Tender/SplashBidNoticeAbstractUI.aspx?menuIndex=3&amp;refID=7121891&amp;Result=3","7121891")</f>
        <v>0</v>
      </c>
      <c r="B12501" t="s">
        <v>3514</v>
      </c>
      <c r="C12501" t="s">
        <v>15652</v>
      </c>
      <c r="D12501" t="s">
        <v>17973</v>
      </c>
      <c r="E12501" t="s">
        <v>28835</v>
      </c>
      <c r="F12501" t="s">
        <v>30900</v>
      </c>
      <c r="G12501" t="s">
        <v>30907</v>
      </c>
      <c r="H12501" t="s">
        <v>30916</v>
      </c>
      <c r="I12501" t="s">
        <v>6834</v>
      </c>
      <c r="J12501" t="s">
        <v>38833</v>
      </c>
      <c r="K12501" t="s">
        <v>40293</v>
      </c>
      <c r="M12501" t="s">
        <v>44423</v>
      </c>
      <c r="N12501" t="s">
        <v>44759</v>
      </c>
      <c r="O12501" t="s">
        <v>44760</v>
      </c>
      <c r="P12501">
        <v>0</v>
      </c>
      <c r="Q12501">
        <v>3</v>
      </c>
      <c r="R12501" t="s">
        <v>44776</v>
      </c>
      <c r="S12501" t="s">
        <v>45453</v>
      </c>
      <c r="T12501" t="s">
        <v>46400</v>
      </c>
      <c r="U12501" t="s">
        <v>57217</v>
      </c>
      <c r="W12501" t="s">
        <v>44423</v>
      </c>
      <c r="X12501" t="s">
        <v>44777</v>
      </c>
    </row>
    <row r="12502" spans="1:24">
      <c r="A12502">
        <f>HYPERLINK("https://www.philgeps.gov.ph/GEPSNONPILOT/Tender/SplashBidNoticeAbstractUI.aspx?menuIndex=3&amp;refID=7121639&amp;Result=3","7121639")</f>
        <v>0</v>
      </c>
      <c r="B12502" t="s">
        <v>3515</v>
      </c>
      <c r="C12502" t="s">
        <v>13537</v>
      </c>
      <c r="D12502" t="s">
        <v>17953</v>
      </c>
      <c r="E12502" t="s">
        <v>28836</v>
      </c>
      <c r="F12502" t="s">
        <v>30900</v>
      </c>
      <c r="G12502" t="s">
        <v>30907</v>
      </c>
      <c r="H12502" t="s">
        <v>30916</v>
      </c>
      <c r="I12502" t="s">
        <v>6396</v>
      </c>
      <c r="J12502" t="s">
        <v>38834</v>
      </c>
      <c r="K12502" t="s">
        <v>40281</v>
      </c>
      <c r="M12502" t="s">
        <v>44424</v>
      </c>
      <c r="N12502" t="s">
        <v>44759</v>
      </c>
      <c r="O12502" t="s">
        <v>44760</v>
      </c>
      <c r="P12502">
        <v>0</v>
      </c>
      <c r="Q12502">
        <v>3</v>
      </c>
      <c r="R12502" t="s">
        <v>44776</v>
      </c>
      <c r="S12502" t="s">
        <v>45453</v>
      </c>
      <c r="T12502" t="s">
        <v>46414</v>
      </c>
      <c r="U12502" t="s">
        <v>57218</v>
      </c>
      <c r="W12502" t="s">
        <v>44424</v>
      </c>
      <c r="X12502" t="s">
        <v>44777</v>
      </c>
    </row>
    <row r="12503" spans="1:24">
      <c r="A12503">
        <f>HYPERLINK("https://www.philgeps.gov.ph/GEPSNONPILOT/Tender/SplashBidNoticeAbstractUI.aspx?menuIndex=3&amp;refID=7121887&amp;Result=3","7121887")</f>
        <v>0</v>
      </c>
      <c r="B12503" t="s">
        <v>3516</v>
      </c>
      <c r="C12503" t="s">
        <v>15653</v>
      </c>
      <c r="D12503" t="s">
        <v>17960</v>
      </c>
      <c r="E12503" t="s">
        <v>28837</v>
      </c>
      <c r="F12503" t="s">
        <v>30900</v>
      </c>
      <c r="G12503" t="s">
        <v>30907</v>
      </c>
      <c r="H12503" t="s">
        <v>30916</v>
      </c>
      <c r="I12503" t="s">
        <v>30919</v>
      </c>
      <c r="J12503" t="s">
        <v>38835</v>
      </c>
      <c r="K12503" t="s">
        <v>40286</v>
      </c>
      <c r="M12503" t="s">
        <v>44425</v>
      </c>
      <c r="N12503" t="s">
        <v>44759</v>
      </c>
      <c r="O12503" t="s">
        <v>44760</v>
      </c>
      <c r="P12503">
        <v>0</v>
      </c>
      <c r="Q12503">
        <v>0</v>
      </c>
      <c r="R12503" t="s">
        <v>44776</v>
      </c>
      <c r="S12503" t="s">
        <v>45453</v>
      </c>
      <c r="T12503" t="s">
        <v>46357</v>
      </c>
      <c r="U12503" t="s">
        <v>57219</v>
      </c>
      <c r="W12503" t="s">
        <v>44425</v>
      </c>
      <c r="X12503" t="s">
        <v>44777</v>
      </c>
    </row>
    <row r="12504" spans="1:24">
      <c r="A12504">
        <f>HYPERLINK("https://www.philgeps.gov.ph/GEPSNONPILOT/Tender/SplashBidNoticeAbstractUI.aspx?menuIndex=3&amp;refID=7121867&amp;Result=3","7121867")</f>
        <v>0</v>
      </c>
      <c r="B12504" t="s">
        <v>1232</v>
      </c>
      <c r="C12504" t="s">
        <v>15654</v>
      </c>
      <c r="D12504" t="s">
        <v>17969</v>
      </c>
      <c r="E12504" t="s">
        <v>28838</v>
      </c>
      <c r="F12504" t="s">
        <v>30900</v>
      </c>
      <c r="G12504" t="s">
        <v>30907</v>
      </c>
      <c r="H12504" t="s">
        <v>30916</v>
      </c>
      <c r="I12504" t="s">
        <v>30928</v>
      </c>
      <c r="J12504" t="s">
        <v>32125</v>
      </c>
      <c r="K12504" t="s">
        <v>40292</v>
      </c>
      <c r="M12504" t="s">
        <v>43975</v>
      </c>
      <c r="N12504" t="s">
        <v>44759</v>
      </c>
      <c r="O12504" t="s">
        <v>44760</v>
      </c>
      <c r="Q12504">
        <v>13</v>
      </c>
      <c r="R12504" t="s">
        <v>44776</v>
      </c>
      <c r="S12504" t="s">
        <v>44878</v>
      </c>
      <c r="T12504" t="s">
        <v>46422</v>
      </c>
      <c r="U12504" t="s">
        <v>57220</v>
      </c>
      <c r="W12504" t="s">
        <v>43975</v>
      </c>
      <c r="X12504" t="s">
        <v>44777</v>
      </c>
    </row>
    <row r="12505" spans="1:24">
      <c r="A12505">
        <f>HYPERLINK("https://www.philgeps.gov.ph/GEPSNONPILOT/Tender/SplashBidNoticeAbstractUI.aspx?menuIndex=3&amp;refID=7121864&amp;Result=3","7121864")</f>
        <v>0</v>
      </c>
      <c r="B12505" t="s">
        <v>3517</v>
      </c>
      <c r="C12505" t="s">
        <v>15655</v>
      </c>
      <c r="D12505" t="s">
        <v>18002</v>
      </c>
      <c r="E12505" t="s">
        <v>28839</v>
      </c>
      <c r="F12505" t="s">
        <v>30900</v>
      </c>
      <c r="G12505" t="s">
        <v>30907</v>
      </c>
      <c r="H12505" t="s">
        <v>30916</v>
      </c>
      <c r="I12505" t="s">
        <v>5830</v>
      </c>
      <c r="J12505" t="s">
        <v>38836</v>
      </c>
      <c r="K12505" t="s">
        <v>40289</v>
      </c>
      <c r="M12505" t="s">
        <v>44426</v>
      </c>
      <c r="N12505" t="s">
        <v>44759</v>
      </c>
      <c r="O12505" t="s">
        <v>44760</v>
      </c>
      <c r="Q12505">
        <v>22</v>
      </c>
      <c r="R12505" t="s">
        <v>44776</v>
      </c>
      <c r="S12505" t="s">
        <v>45483</v>
      </c>
      <c r="T12505" t="s">
        <v>46357</v>
      </c>
      <c r="U12505" t="s">
        <v>57221</v>
      </c>
      <c r="W12505" t="s">
        <v>44426</v>
      </c>
      <c r="X12505" t="s">
        <v>44777</v>
      </c>
    </row>
    <row r="12506" spans="1:24">
      <c r="A12506">
        <f>HYPERLINK("https://www.philgeps.gov.ph/GEPSNONPILOT/Tender/SplashBidNoticeAbstractUI.aspx?menuIndex=3&amp;refID=7121904&amp;Result=3","7121904")</f>
        <v>0</v>
      </c>
      <c r="B12506" t="s">
        <v>3501</v>
      </c>
      <c r="C12506" t="s">
        <v>15656</v>
      </c>
      <c r="D12506" t="s">
        <v>18009</v>
      </c>
      <c r="E12506" t="s">
        <v>28840</v>
      </c>
      <c r="F12506" t="s">
        <v>30900</v>
      </c>
      <c r="G12506" t="s">
        <v>30906</v>
      </c>
      <c r="H12506" t="s">
        <v>30916</v>
      </c>
      <c r="I12506" t="s">
        <v>4142</v>
      </c>
      <c r="J12506" t="s">
        <v>38837</v>
      </c>
      <c r="K12506" t="s">
        <v>40283</v>
      </c>
      <c r="M12506" t="s">
        <v>44404</v>
      </c>
      <c r="N12506" t="s">
        <v>44759</v>
      </c>
      <c r="O12506" t="s">
        <v>44760</v>
      </c>
      <c r="P12506">
        <v>0</v>
      </c>
      <c r="Q12506">
        <v>4</v>
      </c>
      <c r="R12506" t="s">
        <v>44776</v>
      </c>
      <c r="S12506" t="s">
        <v>45453</v>
      </c>
      <c r="T12506" t="s">
        <v>46409</v>
      </c>
      <c r="U12506" t="s">
        <v>57222</v>
      </c>
      <c r="W12506" t="s">
        <v>44404</v>
      </c>
      <c r="X12506" t="s">
        <v>44777</v>
      </c>
    </row>
    <row r="12507" spans="1:24">
      <c r="A12507">
        <f>HYPERLINK("https://www.philgeps.gov.ph/GEPSNONPILOT/Tender/SplashBidNoticeAbstractUI.aspx?menuIndex=3&amp;refID=7121862&amp;Result=3","7121862")</f>
        <v>0</v>
      </c>
      <c r="B12507" t="s">
        <v>1840</v>
      </c>
      <c r="C12507" t="s">
        <v>15657</v>
      </c>
      <c r="D12507" t="s">
        <v>17959</v>
      </c>
      <c r="E12507" t="s">
        <v>28841</v>
      </c>
      <c r="F12507" t="s">
        <v>30900</v>
      </c>
      <c r="G12507" t="s">
        <v>30908</v>
      </c>
      <c r="H12507" t="s">
        <v>7411</v>
      </c>
      <c r="I12507" t="s">
        <v>30924</v>
      </c>
      <c r="J12507" t="s">
        <v>38838</v>
      </c>
      <c r="K12507" t="s">
        <v>40540</v>
      </c>
      <c r="M12507" t="s">
        <v>44427</v>
      </c>
      <c r="N12507" t="s">
        <v>44759</v>
      </c>
      <c r="O12507" t="s">
        <v>44760</v>
      </c>
      <c r="P12507">
        <v>0</v>
      </c>
      <c r="Q12507">
        <v>26</v>
      </c>
      <c r="R12507" t="s">
        <v>44776</v>
      </c>
      <c r="S12507" t="s">
        <v>45453</v>
      </c>
      <c r="T12507" t="s">
        <v>46483</v>
      </c>
      <c r="U12507" t="s">
        <v>57223</v>
      </c>
      <c r="W12507" t="s">
        <v>44427</v>
      </c>
      <c r="X12507" t="s">
        <v>44777</v>
      </c>
    </row>
    <row r="12508" spans="1:24">
      <c r="A12508">
        <f>HYPERLINK("https://www.philgeps.gov.ph/GEPSNONPILOT/Tender/SplashBidNoticeAbstractUI.aspx?menuIndex=3&amp;refID=7121858&amp;Result=3","7121858")</f>
        <v>0</v>
      </c>
      <c r="B12508" t="s">
        <v>3316</v>
      </c>
      <c r="C12508" t="s">
        <v>15658</v>
      </c>
      <c r="D12508" t="s">
        <v>17959</v>
      </c>
      <c r="E12508" t="s">
        <v>28842</v>
      </c>
      <c r="F12508" t="s">
        <v>30899</v>
      </c>
      <c r="G12508" t="s">
        <v>30907</v>
      </c>
      <c r="H12508" t="s">
        <v>30916</v>
      </c>
      <c r="I12508" t="s">
        <v>30923</v>
      </c>
      <c r="J12508" t="s">
        <v>38839</v>
      </c>
      <c r="K12508" t="s">
        <v>40286</v>
      </c>
      <c r="M12508" t="s">
        <v>44173</v>
      </c>
      <c r="N12508" t="s">
        <v>44759</v>
      </c>
      <c r="O12508" t="s">
        <v>44760</v>
      </c>
      <c r="P12508">
        <v>0</v>
      </c>
      <c r="Q12508">
        <v>2</v>
      </c>
      <c r="R12508" t="s">
        <v>44776</v>
      </c>
      <c r="S12508" t="s">
        <v>45453</v>
      </c>
      <c r="T12508" t="s">
        <v>46625</v>
      </c>
      <c r="U12508" t="s">
        <v>57224</v>
      </c>
      <c r="V12508" t="s">
        <v>60383</v>
      </c>
      <c r="W12508" t="s">
        <v>44173</v>
      </c>
      <c r="X12508" t="s">
        <v>44777</v>
      </c>
    </row>
    <row r="12509" spans="1:24">
      <c r="A12509">
        <f>HYPERLINK("https://www.philgeps.gov.ph/GEPSNONPILOT/Tender/SplashBidNoticeAbstractUI.aspx?menuIndex=3&amp;refID=7121846&amp;Result=3","7121846")</f>
        <v>0</v>
      </c>
      <c r="B12509" t="s">
        <v>3518</v>
      </c>
      <c r="C12509" t="s">
        <v>15659</v>
      </c>
      <c r="D12509" t="s">
        <v>17960</v>
      </c>
      <c r="E12509" t="s">
        <v>28843</v>
      </c>
      <c r="F12509" t="s">
        <v>30900</v>
      </c>
      <c r="G12509" t="s">
        <v>30907</v>
      </c>
      <c r="H12509" t="s">
        <v>30915</v>
      </c>
      <c r="I12509" t="s">
        <v>30919</v>
      </c>
      <c r="J12509" t="s">
        <v>38840</v>
      </c>
      <c r="K12509" t="s">
        <v>40286</v>
      </c>
      <c r="M12509" t="s">
        <v>44428</v>
      </c>
      <c r="N12509" t="s">
        <v>44759</v>
      </c>
      <c r="O12509" t="s">
        <v>44760</v>
      </c>
      <c r="P12509">
        <v>0</v>
      </c>
      <c r="Q12509">
        <v>0</v>
      </c>
      <c r="R12509" t="s">
        <v>44776</v>
      </c>
      <c r="S12509" t="s">
        <v>45453</v>
      </c>
      <c r="T12509" t="s">
        <v>46357</v>
      </c>
      <c r="U12509" t="s">
        <v>57225</v>
      </c>
      <c r="W12509" t="s">
        <v>44428</v>
      </c>
      <c r="X12509" t="s">
        <v>44777</v>
      </c>
    </row>
    <row r="12510" spans="1:24">
      <c r="A12510">
        <f>HYPERLINK("https://www.philgeps.gov.ph/GEPSNONPILOT/Tender/SplashBidNoticeAbstractUI.aspx?menuIndex=3&amp;refID=7121842&amp;Result=3","7121842")</f>
        <v>0</v>
      </c>
      <c r="B12510" t="s">
        <v>2474</v>
      </c>
      <c r="C12510" t="s">
        <v>15660</v>
      </c>
      <c r="D12510" t="s">
        <v>17959</v>
      </c>
      <c r="E12510" t="s">
        <v>28844</v>
      </c>
      <c r="F12510" t="s">
        <v>30900</v>
      </c>
      <c r="G12510" t="s">
        <v>30907</v>
      </c>
      <c r="H12510" t="s">
        <v>30915</v>
      </c>
      <c r="I12510" t="s">
        <v>30919</v>
      </c>
      <c r="J12510" t="s">
        <v>35706</v>
      </c>
      <c r="K12510" t="s">
        <v>40290</v>
      </c>
      <c r="M12510" t="s">
        <v>44417</v>
      </c>
      <c r="N12510" t="s">
        <v>44759</v>
      </c>
      <c r="O12510" t="s">
        <v>44760</v>
      </c>
      <c r="P12510">
        <v>0</v>
      </c>
      <c r="Q12510">
        <v>7</v>
      </c>
      <c r="R12510" t="s">
        <v>44776</v>
      </c>
      <c r="S12510" t="s">
        <v>45453</v>
      </c>
      <c r="T12510" t="s">
        <v>46400</v>
      </c>
      <c r="U12510" t="s">
        <v>57202</v>
      </c>
      <c r="W12510" t="s">
        <v>60933</v>
      </c>
      <c r="X12510" t="s">
        <v>44777</v>
      </c>
    </row>
    <row r="12511" spans="1:24">
      <c r="A12511">
        <f>HYPERLINK("https://www.philgeps.gov.ph/GEPSNONPILOT/Tender/SplashBidNoticeAbstractUI.aspx?menuIndex=3&amp;refID=7121888&amp;Result=3","7121888")</f>
        <v>0</v>
      </c>
      <c r="B12511" t="s">
        <v>3519</v>
      </c>
      <c r="C12511" t="s">
        <v>15661</v>
      </c>
      <c r="D12511" t="s">
        <v>17971</v>
      </c>
      <c r="E12511" t="s">
        <v>28845</v>
      </c>
      <c r="F12511" t="s">
        <v>30900</v>
      </c>
      <c r="G12511" t="s">
        <v>30907</v>
      </c>
      <c r="H12511" t="s">
        <v>30915</v>
      </c>
      <c r="I12511" t="s">
        <v>30919</v>
      </c>
      <c r="J12511" t="s">
        <v>38841</v>
      </c>
      <c r="K12511" t="s">
        <v>40292</v>
      </c>
      <c r="M12511" t="s">
        <v>44429</v>
      </c>
      <c r="N12511" t="s">
        <v>44759</v>
      </c>
      <c r="O12511" t="s">
        <v>44760</v>
      </c>
      <c r="P12511">
        <v>0</v>
      </c>
      <c r="Q12511">
        <v>98</v>
      </c>
      <c r="R12511" t="s">
        <v>44776</v>
      </c>
      <c r="S12511" t="s">
        <v>45453</v>
      </c>
      <c r="T12511" t="s">
        <v>46400</v>
      </c>
      <c r="U12511" t="s">
        <v>57226</v>
      </c>
      <c r="V12511" t="s">
        <v>60538</v>
      </c>
      <c r="W12511" t="s">
        <v>44429</v>
      </c>
      <c r="X12511" t="s">
        <v>44777</v>
      </c>
    </row>
    <row r="12512" spans="1:24">
      <c r="A12512">
        <f>HYPERLINK("https://www.philgeps.gov.ph/GEPSNONPILOT/Tender/SplashBidNoticeAbstractUI.aspx?menuIndex=3&amp;refID=7121726&amp;Result=3","7121726")</f>
        <v>0</v>
      </c>
      <c r="B12512" t="s">
        <v>1232</v>
      </c>
      <c r="C12512" t="s">
        <v>15662</v>
      </c>
      <c r="D12512" t="s">
        <v>17969</v>
      </c>
      <c r="E12512" t="s">
        <v>28846</v>
      </c>
      <c r="F12512" t="s">
        <v>30900</v>
      </c>
      <c r="G12512" t="s">
        <v>30907</v>
      </c>
      <c r="H12512" t="s">
        <v>30916</v>
      </c>
      <c r="I12512" t="s">
        <v>30997</v>
      </c>
      <c r="J12512" t="s">
        <v>33238</v>
      </c>
      <c r="K12512" t="s">
        <v>40292</v>
      </c>
      <c r="M12512" t="s">
        <v>43975</v>
      </c>
      <c r="N12512" t="s">
        <v>44759</v>
      </c>
      <c r="O12512" t="s">
        <v>44760</v>
      </c>
      <c r="Q12512">
        <v>5</v>
      </c>
      <c r="R12512" t="s">
        <v>44776</v>
      </c>
      <c r="S12512" t="s">
        <v>44909</v>
      </c>
      <c r="T12512" t="s">
        <v>46422</v>
      </c>
      <c r="U12512" t="s">
        <v>57227</v>
      </c>
      <c r="W12512" t="s">
        <v>43975</v>
      </c>
      <c r="X12512" t="s">
        <v>44777</v>
      </c>
    </row>
    <row r="12513" spans="1:24">
      <c r="A12513">
        <f>HYPERLINK("https://www.philgeps.gov.ph/GEPSNONPILOT/Tender/SplashBidNoticeAbstractUI.aspx?menuIndex=3&amp;refID=7122024&amp;Result=3","7122024")</f>
        <v>0</v>
      </c>
      <c r="B12513" t="s">
        <v>3520</v>
      </c>
      <c r="C12513" t="s">
        <v>15663</v>
      </c>
      <c r="D12513" t="s">
        <v>17973</v>
      </c>
      <c r="E12513" t="s">
        <v>28847</v>
      </c>
      <c r="F12513" t="s">
        <v>30900</v>
      </c>
      <c r="G12513" t="s">
        <v>30907</v>
      </c>
      <c r="H12513" t="s">
        <v>30916</v>
      </c>
      <c r="I12513" t="s">
        <v>30949</v>
      </c>
      <c r="J12513" t="s">
        <v>38842</v>
      </c>
      <c r="K12513" t="s">
        <v>40286</v>
      </c>
      <c r="M12513" t="s">
        <v>44430</v>
      </c>
      <c r="N12513" t="s">
        <v>44759</v>
      </c>
      <c r="O12513" t="s">
        <v>44760</v>
      </c>
      <c r="Q12513">
        <v>0</v>
      </c>
      <c r="R12513" t="s">
        <v>44776</v>
      </c>
      <c r="S12513" t="s">
        <v>45484</v>
      </c>
      <c r="T12513" t="s">
        <v>46400</v>
      </c>
      <c r="U12513" t="s">
        <v>57228</v>
      </c>
      <c r="V12513" t="s">
        <v>60539</v>
      </c>
      <c r="W12513" t="s">
        <v>44430</v>
      </c>
      <c r="X12513" t="s">
        <v>44777</v>
      </c>
    </row>
    <row r="12514" spans="1:24">
      <c r="A12514">
        <f>HYPERLINK("https://www.philgeps.gov.ph/GEPSNONPILOT/Tender/SplashBidNoticeAbstractUI.aspx?menuIndex=3&amp;refID=7121881&amp;Result=3","7121881")</f>
        <v>0</v>
      </c>
      <c r="B12514" t="s">
        <v>2474</v>
      </c>
      <c r="C12514" t="s">
        <v>15664</v>
      </c>
      <c r="D12514" t="s">
        <v>17959</v>
      </c>
      <c r="E12514" t="s">
        <v>28848</v>
      </c>
      <c r="F12514" t="s">
        <v>30900</v>
      </c>
      <c r="G12514" t="s">
        <v>30907</v>
      </c>
      <c r="H12514" t="s">
        <v>30915</v>
      </c>
      <c r="I12514" t="s">
        <v>30919</v>
      </c>
      <c r="J12514" t="s">
        <v>38843</v>
      </c>
      <c r="K12514" t="s">
        <v>40290</v>
      </c>
      <c r="M12514" t="s">
        <v>44417</v>
      </c>
      <c r="N12514" t="s">
        <v>44759</v>
      </c>
      <c r="O12514" t="s">
        <v>44760</v>
      </c>
      <c r="P12514">
        <v>0</v>
      </c>
      <c r="Q12514">
        <v>4</v>
      </c>
      <c r="R12514" t="s">
        <v>44776</v>
      </c>
      <c r="S12514" t="s">
        <v>45453</v>
      </c>
      <c r="T12514" t="s">
        <v>46400</v>
      </c>
      <c r="U12514" t="s">
        <v>57202</v>
      </c>
      <c r="W12514" t="s">
        <v>60933</v>
      </c>
      <c r="X12514" t="s">
        <v>44777</v>
      </c>
    </row>
    <row r="12515" spans="1:24">
      <c r="A12515">
        <f>HYPERLINK("https://www.philgeps.gov.ph/GEPSNONPILOT/Tender/SplashBidNoticeAbstractUI.aspx?menuIndex=3&amp;refID=7121850&amp;Result=3","7121850")</f>
        <v>0</v>
      </c>
      <c r="B12515" t="s">
        <v>1548</v>
      </c>
      <c r="C12515" t="s">
        <v>15665</v>
      </c>
      <c r="D12515" t="s">
        <v>17974</v>
      </c>
      <c r="E12515" t="s">
        <v>28849</v>
      </c>
      <c r="F12515" t="s">
        <v>30900</v>
      </c>
      <c r="G12515" t="s">
        <v>30907</v>
      </c>
      <c r="H12515" t="s">
        <v>30916</v>
      </c>
      <c r="I12515" t="s">
        <v>10847</v>
      </c>
      <c r="J12515" t="s">
        <v>32967</v>
      </c>
      <c r="K12515" t="s">
        <v>40287</v>
      </c>
      <c r="M12515" t="s">
        <v>42192</v>
      </c>
      <c r="N12515" t="s">
        <v>44759</v>
      </c>
      <c r="O12515" t="s">
        <v>44760</v>
      </c>
      <c r="P12515">
        <v>0</v>
      </c>
      <c r="Q12515">
        <v>0</v>
      </c>
      <c r="R12515" t="s">
        <v>44776</v>
      </c>
      <c r="S12515" t="s">
        <v>45453</v>
      </c>
      <c r="T12515" t="s">
        <v>46357</v>
      </c>
      <c r="U12515" t="s">
        <v>57229</v>
      </c>
      <c r="W12515" t="s">
        <v>42192</v>
      </c>
      <c r="X12515" t="s">
        <v>44777</v>
      </c>
    </row>
    <row r="12516" spans="1:24">
      <c r="A12516">
        <f>HYPERLINK("https://www.philgeps.gov.ph/GEPSNONPILOT/Tender/SplashBidNoticeAbstractUI.aspx?menuIndex=3&amp;refID=7120739&amp;Result=3","7120739")</f>
        <v>0</v>
      </c>
      <c r="B12516" t="s">
        <v>1177</v>
      </c>
      <c r="C12516" t="s">
        <v>15666</v>
      </c>
      <c r="D12516" t="s">
        <v>17975</v>
      </c>
      <c r="E12516" t="s">
        <v>28850</v>
      </c>
      <c r="F12516" t="s">
        <v>30900</v>
      </c>
      <c r="G12516" t="s">
        <v>30907</v>
      </c>
      <c r="H12516" t="s">
        <v>30916</v>
      </c>
      <c r="I12516" t="s">
        <v>4108</v>
      </c>
      <c r="J12516" t="s">
        <v>38844</v>
      </c>
      <c r="K12516" t="s">
        <v>40286</v>
      </c>
      <c r="M12516" t="s">
        <v>41784</v>
      </c>
      <c r="N12516" t="s">
        <v>44759</v>
      </c>
      <c r="O12516" t="s">
        <v>44760</v>
      </c>
      <c r="P12516">
        <v>0</v>
      </c>
      <c r="Q12516">
        <v>1</v>
      </c>
      <c r="R12516" t="s">
        <v>44776</v>
      </c>
      <c r="S12516" t="s">
        <v>45453</v>
      </c>
      <c r="T12516" t="s">
        <v>46389</v>
      </c>
      <c r="U12516" t="s">
        <v>57230</v>
      </c>
      <c r="W12516" t="s">
        <v>41784</v>
      </c>
      <c r="X12516" t="s">
        <v>44777</v>
      </c>
    </row>
    <row r="12517" spans="1:24">
      <c r="A12517">
        <f>HYPERLINK("https://www.philgeps.gov.ph/GEPSNONPILOT/Tender/SplashBidNoticeAbstractUI.aspx?menuIndex=3&amp;refID=7121832&amp;Result=3","7121832")</f>
        <v>0</v>
      </c>
      <c r="B12517" t="s">
        <v>1403</v>
      </c>
      <c r="C12517" t="s">
        <v>15667</v>
      </c>
      <c r="D12517" t="s">
        <v>17954</v>
      </c>
      <c r="E12517" t="s">
        <v>28851</v>
      </c>
      <c r="F12517" t="s">
        <v>30900</v>
      </c>
      <c r="G12517" t="s">
        <v>30907</v>
      </c>
      <c r="H12517" t="s">
        <v>30915</v>
      </c>
      <c r="I12517" t="s">
        <v>30919</v>
      </c>
      <c r="J12517" t="s">
        <v>31297</v>
      </c>
      <c r="K12517" t="s">
        <v>40308</v>
      </c>
      <c r="M12517" t="s">
        <v>42030</v>
      </c>
      <c r="N12517" t="s">
        <v>44759</v>
      </c>
      <c r="O12517" t="s">
        <v>44760</v>
      </c>
      <c r="P12517">
        <v>0</v>
      </c>
      <c r="Q12517">
        <v>5</v>
      </c>
      <c r="R12517" t="s">
        <v>44776</v>
      </c>
      <c r="S12517" t="s">
        <v>45453</v>
      </c>
      <c r="T12517" t="s">
        <v>46356</v>
      </c>
      <c r="U12517" t="s">
        <v>57231</v>
      </c>
      <c r="W12517" t="s">
        <v>42030</v>
      </c>
      <c r="X12517" t="s">
        <v>44777</v>
      </c>
    </row>
    <row r="12518" spans="1:24">
      <c r="A12518">
        <f>HYPERLINK("https://www.philgeps.gov.ph/GEPSNONPILOT/Tender/SplashBidNoticeAbstractUI.aspx?menuIndex=3&amp;refID=7122054&amp;Result=3","7122054")</f>
        <v>0</v>
      </c>
      <c r="B12518" t="s">
        <v>331</v>
      </c>
      <c r="C12518" t="s">
        <v>15668</v>
      </c>
      <c r="D12518" t="s">
        <v>18004</v>
      </c>
      <c r="E12518" t="s">
        <v>28852</v>
      </c>
      <c r="F12518" t="s">
        <v>30900</v>
      </c>
      <c r="G12518" t="s">
        <v>30908</v>
      </c>
      <c r="H12518" t="s">
        <v>30916</v>
      </c>
      <c r="I12518" t="s">
        <v>30955</v>
      </c>
      <c r="J12518" t="s">
        <v>31863</v>
      </c>
      <c r="K12518" t="s">
        <v>40292</v>
      </c>
      <c r="M12518" t="s">
        <v>40882</v>
      </c>
      <c r="N12518" t="s">
        <v>44759</v>
      </c>
      <c r="O12518" t="s">
        <v>44760</v>
      </c>
      <c r="P12518">
        <v>0</v>
      </c>
      <c r="Q12518">
        <v>0</v>
      </c>
      <c r="R12518" t="s">
        <v>44776</v>
      </c>
      <c r="S12518" t="s">
        <v>45453</v>
      </c>
      <c r="T12518" t="s">
        <v>46357</v>
      </c>
      <c r="U12518" t="s">
        <v>47469</v>
      </c>
      <c r="W12518" t="s">
        <v>40882</v>
      </c>
      <c r="X12518" t="s">
        <v>44777</v>
      </c>
    </row>
    <row r="12519" spans="1:24">
      <c r="A12519">
        <f>HYPERLINK("https://www.philgeps.gov.ph/GEPSNONPILOT/Tender/SplashBidNoticeAbstractUI.aspx?menuIndex=3&amp;refID=7122030&amp;Result=3","7122030")</f>
        <v>0</v>
      </c>
      <c r="B12519" t="s">
        <v>2560</v>
      </c>
      <c r="C12519" t="s">
        <v>15669</v>
      </c>
      <c r="D12519" t="s">
        <v>18031</v>
      </c>
      <c r="E12519" t="s">
        <v>24471</v>
      </c>
      <c r="F12519" t="s">
        <v>30900</v>
      </c>
      <c r="G12519" t="s">
        <v>30907</v>
      </c>
      <c r="H12519" t="s">
        <v>30916</v>
      </c>
      <c r="I12519" t="s">
        <v>30947</v>
      </c>
      <c r="J12519" t="s">
        <v>32398</v>
      </c>
      <c r="K12519" t="s">
        <v>40286</v>
      </c>
      <c r="M12519" t="s">
        <v>43318</v>
      </c>
      <c r="N12519" t="s">
        <v>44759</v>
      </c>
      <c r="O12519" t="s">
        <v>44760</v>
      </c>
      <c r="P12519">
        <v>0</v>
      </c>
      <c r="Q12519">
        <v>2</v>
      </c>
      <c r="R12519" t="s">
        <v>44776</v>
      </c>
      <c r="S12519" t="s">
        <v>45453</v>
      </c>
      <c r="T12519" t="s">
        <v>46399</v>
      </c>
      <c r="U12519" t="s">
        <v>57232</v>
      </c>
      <c r="W12519" t="s">
        <v>43318</v>
      </c>
      <c r="X12519" t="s">
        <v>44777</v>
      </c>
    </row>
    <row r="12520" spans="1:24">
      <c r="A12520">
        <f>HYPERLINK("https://www.philgeps.gov.ph/GEPSNONPILOT/Tender/SplashBidNoticeAbstractUI.aspx?menuIndex=3&amp;refID=7122062&amp;Result=3","7122062")</f>
        <v>0</v>
      </c>
      <c r="B12520" t="s">
        <v>223</v>
      </c>
      <c r="C12520" t="s">
        <v>15670</v>
      </c>
      <c r="E12520" t="s">
        <v>28853</v>
      </c>
      <c r="F12520" t="s">
        <v>30900</v>
      </c>
      <c r="G12520" t="s">
        <v>30907</v>
      </c>
      <c r="H12520" t="s">
        <v>30916</v>
      </c>
      <c r="I12520" t="s">
        <v>30924</v>
      </c>
      <c r="J12520" t="s">
        <v>31577</v>
      </c>
      <c r="K12520" t="s">
        <v>40289</v>
      </c>
      <c r="M12520" t="s">
        <v>41103</v>
      </c>
      <c r="N12520" t="s">
        <v>44759</v>
      </c>
      <c r="O12520" t="s">
        <v>44760</v>
      </c>
      <c r="Q12520">
        <v>15</v>
      </c>
      <c r="R12520" t="s">
        <v>44776</v>
      </c>
      <c r="S12520" t="s">
        <v>44909</v>
      </c>
      <c r="T12520" t="s">
        <v>46908</v>
      </c>
      <c r="U12520" t="s">
        <v>57233</v>
      </c>
      <c r="W12520" t="s">
        <v>41103</v>
      </c>
      <c r="X12520" t="s">
        <v>44777</v>
      </c>
    </row>
    <row r="12521" spans="1:24">
      <c r="A12521">
        <f>HYPERLINK("https://www.philgeps.gov.ph/GEPSNONPILOT/Tender/SplashBidNoticeAbstractUI.aspx?menuIndex=3&amp;refID=7122021&amp;Result=3","7122021")</f>
        <v>0</v>
      </c>
      <c r="B12521" t="s">
        <v>331</v>
      </c>
      <c r="C12521" t="s">
        <v>15671</v>
      </c>
      <c r="D12521" t="s">
        <v>18004</v>
      </c>
      <c r="E12521" t="s">
        <v>28854</v>
      </c>
      <c r="F12521" t="s">
        <v>30900</v>
      </c>
      <c r="G12521" t="s">
        <v>30908</v>
      </c>
      <c r="H12521" t="s">
        <v>30916</v>
      </c>
      <c r="I12521" t="s">
        <v>30939</v>
      </c>
      <c r="J12521" t="s">
        <v>38845</v>
      </c>
      <c r="K12521" t="s">
        <v>40292</v>
      </c>
      <c r="M12521" t="s">
        <v>40882</v>
      </c>
      <c r="N12521" t="s">
        <v>44759</v>
      </c>
      <c r="O12521" t="s">
        <v>44760</v>
      </c>
      <c r="P12521">
        <v>0</v>
      </c>
      <c r="Q12521">
        <v>1</v>
      </c>
      <c r="R12521" t="s">
        <v>44776</v>
      </c>
      <c r="S12521" t="s">
        <v>45453</v>
      </c>
      <c r="T12521" t="s">
        <v>46357</v>
      </c>
      <c r="U12521" t="s">
        <v>47469</v>
      </c>
      <c r="W12521" t="s">
        <v>40882</v>
      </c>
      <c r="X12521" t="s">
        <v>44777</v>
      </c>
    </row>
    <row r="12522" spans="1:24">
      <c r="A12522">
        <f>HYPERLINK("https://www.philgeps.gov.ph/GEPSNONPILOT/Tender/SplashBidNoticeAbstractUI.aspx?menuIndex=3&amp;refID=7122008&amp;Result=3","7122008")</f>
        <v>0</v>
      </c>
      <c r="B12522" t="s">
        <v>2474</v>
      </c>
      <c r="C12522" t="s">
        <v>15672</v>
      </c>
      <c r="D12522" t="s">
        <v>17959</v>
      </c>
      <c r="E12522" t="s">
        <v>28855</v>
      </c>
      <c r="F12522" t="s">
        <v>30900</v>
      </c>
      <c r="G12522" t="s">
        <v>30907</v>
      </c>
      <c r="H12522" t="s">
        <v>30915</v>
      </c>
      <c r="I12522" t="s">
        <v>30919</v>
      </c>
      <c r="J12522" t="s">
        <v>38846</v>
      </c>
      <c r="K12522" t="s">
        <v>40340</v>
      </c>
      <c r="M12522" t="s">
        <v>44417</v>
      </c>
      <c r="N12522" t="s">
        <v>44759</v>
      </c>
      <c r="O12522" t="s">
        <v>44760</v>
      </c>
      <c r="P12522">
        <v>0</v>
      </c>
      <c r="Q12522">
        <v>4</v>
      </c>
      <c r="R12522" t="s">
        <v>44776</v>
      </c>
      <c r="S12522" t="s">
        <v>45453</v>
      </c>
      <c r="T12522" t="s">
        <v>46400</v>
      </c>
      <c r="U12522" t="s">
        <v>57202</v>
      </c>
      <c r="W12522" t="s">
        <v>60933</v>
      </c>
      <c r="X12522" t="s">
        <v>44777</v>
      </c>
    </row>
    <row r="12523" spans="1:24">
      <c r="A12523">
        <f>HYPERLINK("https://www.philgeps.gov.ph/GEPSNONPILOT/Tender/SplashBidNoticeAbstractUI.aspx?menuIndex=3&amp;refID=7122034&amp;Result=3","7122034")</f>
        <v>0</v>
      </c>
      <c r="B12523" t="s">
        <v>2474</v>
      </c>
      <c r="C12523" t="s">
        <v>15673</v>
      </c>
      <c r="D12523" t="s">
        <v>17959</v>
      </c>
      <c r="E12523" t="s">
        <v>28856</v>
      </c>
      <c r="F12523" t="s">
        <v>30900</v>
      </c>
      <c r="G12523" t="s">
        <v>30907</v>
      </c>
      <c r="H12523" t="s">
        <v>30915</v>
      </c>
      <c r="I12523" t="s">
        <v>30919</v>
      </c>
      <c r="J12523" t="s">
        <v>33238</v>
      </c>
      <c r="K12523" t="s">
        <v>40304</v>
      </c>
      <c r="M12523" t="s">
        <v>44417</v>
      </c>
      <c r="N12523" t="s">
        <v>44759</v>
      </c>
      <c r="O12523" t="s">
        <v>44760</v>
      </c>
      <c r="P12523">
        <v>0</v>
      </c>
      <c r="Q12523">
        <v>5</v>
      </c>
      <c r="R12523" t="s">
        <v>44776</v>
      </c>
      <c r="S12523" t="s">
        <v>45453</v>
      </c>
      <c r="T12523" t="s">
        <v>46400</v>
      </c>
      <c r="U12523" t="s">
        <v>57202</v>
      </c>
      <c r="W12523" t="s">
        <v>60933</v>
      </c>
      <c r="X12523" t="s">
        <v>44777</v>
      </c>
    </row>
    <row r="12524" spans="1:24">
      <c r="A12524">
        <f>HYPERLINK("https://www.philgeps.gov.ph/GEPSNONPILOT/Tender/SplashBidNoticeAbstractUI.aspx?menuIndex=3&amp;refID=7121994&amp;Result=3","7121994")</f>
        <v>0</v>
      </c>
      <c r="B12524" t="s">
        <v>331</v>
      </c>
      <c r="C12524" t="s">
        <v>15674</v>
      </c>
      <c r="D12524" t="s">
        <v>18004</v>
      </c>
      <c r="E12524" t="s">
        <v>28857</v>
      </c>
      <c r="F12524" t="s">
        <v>30900</v>
      </c>
      <c r="G12524" t="s">
        <v>30908</v>
      </c>
      <c r="H12524" t="s">
        <v>30916</v>
      </c>
      <c r="I12524" t="s">
        <v>8123</v>
      </c>
      <c r="J12524" t="s">
        <v>32466</v>
      </c>
      <c r="K12524" t="s">
        <v>40292</v>
      </c>
      <c r="M12524" t="s">
        <v>40882</v>
      </c>
      <c r="N12524" t="s">
        <v>44759</v>
      </c>
      <c r="O12524" t="s">
        <v>44760</v>
      </c>
      <c r="P12524">
        <v>0</v>
      </c>
      <c r="Q12524">
        <v>0</v>
      </c>
      <c r="R12524" t="s">
        <v>44776</v>
      </c>
      <c r="S12524" t="s">
        <v>45453</v>
      </c>
      <c r="T12524" t="s">
        <v>46357</v>
      </c>
      <c r="U12524" t="s">
        <v>47469</v>
      </c>
      <c r="W12524" t="s">
        <v>40882</v>
      </c>
      <c r="X12524" t="s">
        <v>44777</v>
      </c>
    </row>
    <row r="12525" spans="1:24">
      <c r="A12525">
        <f>HYPERLINK("https://www.philgeps.gov.ph/GEPSNONPILOT/Tender/SplashBidNoticeAbstractUI.aspx?menuIndex=3&amp;refID=7122065&amp;Result=3","7122065")</f>
        <v>0</v>
      </c>
      <c r="B12525" t="s">
        <v>2560</v>
      </c>
      <c r="C12525" t="s">
        <v>15675</v>
      </c>
      <c r="D12525" t="s">
        <v>18031</v>
      </c>
      <c r="E12525" t="s">
        <v>20021</v>
      </c>
      <c r="F12525" t="s">
        <v>30900</v>
      </c>
      <c r="G12525" t="s">
        <v>30907</v>
      </c>
      <c r="H12525" t="s">
        <v>30916</v>
      </c>
      <c r="I12525" t="s">
        <v>8123</v>
      </c>
      <c r="J12525" t="s">
        <v>38847</v>
      </c>
      <c r="K12525" t="s">
        <v>40286</v>
      </c>
      <c r="M12525" t="s">
        <v>43318</v>
      </c>
      <c r="N12525" t="s">
        <v>44759</v>
      </c>
      <c r="O12525" t="s">
        <v>44760</v>
      </c>
      <c r="P12525">
        <v>0</v>
      </c>
      <c r="Q12525">
        <v>3</v>
      </c>
      <c r="R12525" t="s">
        <v>44776</v>
      </c>
      <c r="S12525" t="s">
        <v>45453</v>
      </c>
      <c r="T12525" t="s">
        <v>46399</v>
      </c>
      <c r="U12525" t="s">
        <v>57234</v>
      </c>
      <c r="W12525" t="s">
        <v>43318</v>
      </c>
      <c r="X12525" t="s">
        <v>44777</v>
      </c>
    </row>
    <row r="12526" spans="1:24">
      <c r="A12526">
        <f>HYPERLINK("https://www.philgeps.gov.ph/GEPSNONPILOT/Tender/SplashBidNoticeAbstractUI.aspx?menuIndex=3&amp;refID=7121976&amp;Result=3","7121976")</f>
        <v>0</v>
      </c>
      <c r="B12526" t="s">
        <v>3521</v>
      </c>
      <c r="C12526" t="s">
        <v>15676</v>
      </c>
      <c r="D12526" t="s">
        <v>17973</v>
      </c>
      <c r="E12526" t="s">
        <v>28858</v>
      </c>
      <c r="F12526" t="s">
        <v>30900</v>
      </c>
      <c r="G12526" t="s">
        <v>30907</v>
      </c>
      <c r="H12526" t="s">
        <v>30915</v>
      </c>
      <c r="I12526" t="s">
        <v>30919</v>
      </c>
      <c r="J12526" t="s">
        <v>31341</v>
      </c>
      <c r="K12526" t="s">
        <v>40292</v>
      </c>
      <c r="M12526" t="s">
        <v>44431</v>
      </c>
      <c r="N12526" t="s">
        <v>44759</v>
      </c>
      <c r="O12526" t="s">
        <v>44760</v>
      </c>
      <c r="P12526">
        <v>0</v>
      </c>
      <c r="Q12526">
        <v>0</v>
      </c>
      <c r="R12526" t="s">
        <v>44776</v>
      </c>
      <c r="S12526" t="s">
        <v>45453</v>
      </c>
      <c r="T12526" t="s">
        <v>46389</v>
      </c>
      <c r="U12526" t="s">
        <v>57235</v>
      </c>
      <c r="W12526" t="s">
        <v>44431</v>
      </c>
      <c r="X12526" t="s">
        <v>44777</v>
      </c>
    </row>
    <row r="12527" spans="1:24">
      <c r="A12527">
        <f>HYPERLINK("https://www.philgeps.gov.ph/GEPSNONPILOT/Tender/SplashBidNoticeAbstractUI.aspx?menuIndex=3&amp;refID=7121963&amp;Result=3","7121963")</f>
        <v>0</v>
      </c>
      <c r="B12527" t="s">
        <v>3513</v>
      </c>
      <c r="C12527" t="s">
        <v>15677</v>
      </c>
      <c r="D12527" t="s">
        <v>17975</v>
      </c>
      <c r="E12527" t="s">
        <v>18610</v>
      </c>
      <c r="F12527" t="s">
        <v>30900</v>
      </c>
      <c r="G12527" t="s">
        <v>30907</v>
      </c>
      <c r="H12527" t="s">
        <v>30916</v>
      </c>
      <c r="I12527" t="s">
        <v>10879</v>
      </c>
      <c r="J12527" t="s">
        <v>38848</v>
      </c>
      <c r="K12527" t="s">
        <v>40283</v>
      </c>
      <c r="M12527" t="s">
        <v>44422</v>
      </c>
      <c r="N12527" t="s">
        <v>44759</v>
      </c>
      <c r="O12527" t="s">
        <v>44760</v>
      </c>
      <c r="P12527">
        <v>0</v>
      </c>
      <c r="Q12527">
        <v>3</v>
      </c>
      <c r="R12527" t="s">
        <v>44776</v>
      </c>
      <c r="S12527" t="s">
        <v>45453</v>
      </c>
      <c r="T12527" t="s">
        <v>46404</v>
      </c>
      <c r="U12527" t="s">
        <v>57236</v>
      </c>
      <c r="W12527" t="s">
        <v>44422</v>
      </c>
      <c r="X12527" t="s">
        <v>44777</v>
      </c>
    </row>
    <row r="12528" spans="1:24">
      <c r="A12528">
        <f>HYPERLINK("https://www.philgeps.gov.ph/GEPSNONPILOT/Tender/SplashBidNoticeAbstractUI.aspx?menuIndex=3&amp;refID=7122026&amp;Result=3","7122026")</f>
        <v>0</v>
      </c>
      <c r="B12528" t="s">
        <v>303</v>
      </c>
      <c r="C12528" t="s">
        <v>15678</v>
      </c>
      <c r="D12528" t="s">
        <v>17951</v>
      </c>
      <c r="E12528" t="s">
        <v>28859</v>
      </c>
      <c r="F12528" t="s">
        <v>30900</v>
      </c>
      <c r="G12528" t="s">
        <v>30907</v>
      </c>
      <c r="H12528" t="s">
        <v>30915</v>
      </c>
      <c r="I12528" t="s">
        <v>30919</v>
      </c>
      <c r="J12528" t="s">
        <v>32558</v>
      </c>
      <c r="K12528" t="s">
        <v>40497</v>
      </c>
      <c r="M12528" t="s">
        <v>40852</v>
      </c>
      <c r="N12528" t="s">
        <v>44759</v>
      </c>
      <c r="O12528" t="s">
        <v>44760</v>
      </c>
      <c r="Q12528">
        <v>1</v>
      </c>
      <c r="R12528" t="s">
        <v>44776</v>
      </c>
      <c r="S12528" t="s">
        <v>45485</v>
      </c>
      <c r="T12528" t="s">
        <v>46357</v>
      </c>
      <c r="U12528" t="s">
        <v>57237</v>
      </c>
      <c r="W12528" t="s">
        <v>40852</v>
      </c>
      <c r="X12528" t="s">
        <v>44777</v>
      </c>
    </row>
    <row r="12529" spans="1:24">
      <c r="A12529">
        <f>HYPERLINK("https://www.philgeps.gov.ph/GEPSNONPILOT/Tender/SplashBidNoticeAbstractUI.aspx?menuIndex=3&amp;refID=7121956&amp;Result=3","7121956")</f>
        <v>0</v>
      </c>
      <c r="B12529" t="s">
        <v>2560</v>
      </c>
      <c r="C12529" t="s">
        <v>15679</v>
      </c>
      <c r="D12529" t="s">
        <v>18031</v>
      </c>
      <c r="E12529" t="s">
        <v>21533</v>
      </c>
      <c r="F12529" t="s">
        <v>30900</v>
      </c>
      <c r="G12529" t="s">
        <v>30907</v>
      </c>
      <c r="H12529" t="s">
        <v>30916</v>
      </c>
      <c r="I12529" t="s">
        <v>30932</v>
      </c>
      <c r="J12529" t="s">
        <v>31687</v>
      </c>
      <c r="K12529" t="s">
        <v>40286</v>
      </c>
      <c r="M12529" t="s">
        <v>43318</v>
      </c>
      <c r="N12529" t="s">
        <v>44759</v>
      </c>
      <c r="O12529" t="s">
        <v>44760</v>
      </c>
      <c r="P12529">
        <v>0</v>
      </c>
      <c r="Q12529">
        <v>2</v>
      </c>
      <c r="R12529" t="s">
        <v>44776</v>
      </c>
      <c r="S12529" t="s">
        <v>45453</v>
      </c>
      <c r="T12529" t="s">
        <v>46909</v>
      </c>
      <c r="U12529" t="s">
        <v>57238</v>
      </c>
      <c r="W12529" t="s">
        <v>43318</v>
      </c>
      <c r="X12529" t="s">
        <v>44777</v>
      </c>
    </row>
    <row r="12530" spans="1:24">
      <c r="A12530">
        <f>HYPERLINK("https://www.philgeps.gov.ph/GEPSNONPILOT/Tender/SplashBidNoticeAbstractUI.aspx?menuIndex=3&amp;refID=7122041&amp;Result=3","7122041")</f>
        <v>0</v>
      </c>
      <c r="B12530" t="s">
        <v>839</v>
      </c>
      <c r="C12530" t="s">
        <v>15680</v>
      </c>
      <c r="E12530" t="s">
        <v>28860</v>
      </c>
      <c r="F12530" t="s">
        <v>30900</v>
      </c>
      <c r="G12530" t="s">
        <v>30907</v>
      </c>
      <c r="H12530" t="s">
        <v>30916</v>
      </c>
      <c r="I12530" t="s">
        <v>11785</v>
      </c>
      <c r="J12530" t="s">
        <v>38849</v>
      </c>
      <c r="K12530" t="s">
        <v>40289</v>
      </c>
      <c r="M12530" t="s">
        <v>44432</v>
      </c>
      <c r="N12530" t="s">
        <v>44759</v>
      </c>
      <c r="O12530" t="s">
        <v>44760</v>
      </c>
      <c r="Q12530">
        <v>18</v>
      </c>
      <c r="R12530" t="s">
        <v>44776</v>
      </c>
      <c r="S12530" t="s">
        <v>45486</v>
      </c>
      <c r="T12530" t="s">
        <v>46421</v>
      </c>
      <c r="U12530" t="s">
        <v>57239</v>
      </c>
      <c r="W12530" t="s">
        <v>44432</v>
      </c>
      <c r="X12530" t="s">
        <v>44777</v>
      </c>
    </row>
    <row r="12531" spans="1:24">
      <c r="A12531">
        <f>HYPERLINK("https://www.philgeps.gov.ph/GEPSNONPILOT/Tender/SplashBidNoticeAbstractUI.aspx?menuIndex=3&amp;refID=7121954&amp;Result=3","7121954")</f>
        <v>0</v>
      </c>
      <c r="B12531" t="s">
        <v>3522</v>
      </c>
      <c r="C12531" t="s">
        <v>15681</v>
      </c>
      <c r="D12531" t="s">
        <v>17975</v>
      </c>
      <c r="E12531" t="s">
        <v>18282</v>
      </c>
      <c r="F12531" t="s">
        <v>30900</v>
      </c>
      <c r="G12531" t="s">
        <v>30907</v>
      </c>
      <c r="H12531" t="s">
        <v>30916</v>
      </c>
      <c r="I12531" t="s">
        <v>8123</v>
      </c>
      <c r="J12531" t="s">
        <v>38850</v>
      </c>
      <c r="K12531" t="s">
        <v>40283</v>
      </c>
      <c r="M12531" t="s">
        <v>44433</v>
      </c>
      <c r="N12531" t="s">
        <v>44759</v>
      </c>
      <c r="O12531" t="s">
        <v>44760</v>
      </c>
      <c r="P12531">
        <v>0</v>
      </c>
      <c r="Q12531">
        <v>1</v>
      </c>
      <c r="R12531" t="s">
        <v>44776</v>
      </c>
      <c r="S12531" t="s">
        <v>45453</v>
      </c>
      <c r="T12531" t="s">
        <v>46399</v>
      </c>
      <c r="U12531" t="s">
        <v>57240</v>
      </c>
      <c r="W12531" t="s">
        <v>44433</v>
      </c>
      <c r="X12531" t="s">
        <v>44777</v>
      </c>
    </row>
    <row r="12532" spans="1:24">
      <c r="A12532">
        <f>HYPERLINK("https://www.philgeps.gov.ph/GEPSNONPILOT/Tender/SplashBidNoticeAbstractUI.aspx?menuIndex=3&amp;refID=7121941&amp;Result=3","7121941")</f>
        <v>0</v>
      </c>
      <c r="B12532" t="s">
        <v>2706</v>
      </c>
      <c r="C12532" t="s">
        <v>15682</v>
      </c>
      <c r="D12532" t="s">
        <v>18028</v>
      </c>
      <c r="E12532" t="s">
        <v>28861</v>
      </c>
      <c r="F12532" t="s">
        <v>30900</v>
      </c>
      <c r="G12532" t="s">
        <v>30907</v>
      </c>
      <c r="H12532" t="s">
        <v>30916</v>
      </c>
      <c r="I12532" t="s">
        <v>30949</v>
      </c>
      <c r="J12532" t="s">
        <v>31398</v>
      </c>
      <c r="K12532" t="s">
        <v>40286</v>
      </c>
      <c r="M12532" t="s">
        <v>43479</v>
      </c>
      <c r="N12532" t="s">
        <v>44759</v>
      </c>
      <c r="O12532" t="s">
        <v>44760</v>
      </c>
      <c r="P12532">
        <v>0</v>
      </c>
      <c r="Q12532">
        <v>2</v>
      </c>
      <c r="R12532" t="s">
        <v>44776</v>
      </c>
      <c r="S12532" t="s">
        <v>45453</v>
      </c>
      <c r="T12532" t="s">
        <v>46421</v>
      </c>
      <c r="U12532" t="s">
        <v>57241</v>
      </c>
      <c r="W12532" t="s">
        <v>43479</v>
      </c>
      <c r="X12532" t="s">
        <v>44777</v>
      </c>
    </row>
    <row r="12533" spans="1:24">
      <c r="A12533">
        <f>HYPERLINK("https://www.philgeps.gov.ph/GEPSNONPILOT/Tender/SplashBidNoticeAbstractUI.aspx?menuIndex=3&amp;refID=7120835&amp;Result=3","7120835")</f>
        <v>0</v>
      </c>
      <c r="B12533" t="s">
        <v>3251</v>
      </c>
      <c r="C12533" t="s">
        <v>15683</v>
      </c>
      <c r="D12533" t="s">
        <v>18011</v>
      </c>
      <c r="E12533" t="s">
        <v>28862</v>
      </c>
      <c r="F12533" t="s">
        <v>30900</v>
      </c>
      <c r="G12533" t="s">
        <v>30907</v>
      </c>
      <c r="H12533" t="s">
        <v>30915</v>
      </c>
      <c r="I12533" t="s">
        <v>30919</v>
      </c>
      <c r="J12533" t="s">
        <v>31152</v>
      </c>
      <c r="K12533" t="s">
        <v>40292</v>
      </c>
      <c r="M12533" t="s">
        <v>44096</v>
      </c>
      <c r="N12533" t="s">
        <v>44759</v>
      </c>
      <c r="O12533" t="s">
        <v>44760</v>
      </c>
      <c r="P12533">
        <v>0</v>
      </c>
      <c r="Q12533">
        <v>0</v>
      </c>
      <c r="R12533" t="s">
        <v>44776</v>
      </c>
      <c r="S12533" t="s">
        <v>45453</v>
      </c>
      <c r="T12533" t="s">
        <v>46421</v>
      </c>
      <c r="U12533" t="s">
        <v>55817</v>
      </c>
      <c r="W12533" t="s">
        <v>44096</v>
      </c>
      <c r="X12533" t="s">
        <v>44777</v>
      </c>
    </row>
    <row r="12534" spans="1:24">
      <c r="A12534">
        <f>HYPERLINK("https://www.philgeps.gov.ph/GEPSNONPILOT/Tender/SplashBidNoticeAbstractUI.aspx?menuIndex=3&amp;refID=7122258&amp;Result=3","7122258")</f>
        <v>0</v>
      </c>
      <c r="B12534" t="s">
        <v>331</v>
      </c>
      <c r="C12534" t="s">
        <v>15684</v>
      </c>
      <c r="D12534" t="s">
        <v>18004</v>
      </c>
      <c r="E12534" t="s">
        <v>28863</v>
      </c>
      <c r="F12534" t="s">
        <v>30900</v>
      </c>
      <c r="G12534" t="s">
        <v>30908</v>
      </c>
      <c r="H12534" t="s">
        <v>30916</v>
      </c>
      <c r="I12534" t="s">
        <v>30939</v>
      </c>
      <c r="J12534" t="s">
        <v>38851</v>
      </c>
      <c r="K12534" t="s">
        <v>40292</v>
      </c>
      <c r="M12534" t="s">
        <v>40882</v>
      </c>
      <c r="N12534" t="s">
        <v>44759</v>
      </c>
      <c r="O12534" t="s">
        <v>44760</v>
      </c>
      <c r="P12534">
        <v>0</v>
      </c>
      <c r="Q12534">
        <v>1</v>
      </c>
      <c r="R12534" t="s">
        <v>44776</v>
      </c>
      <c r="S12534" t="s">
        <v>45453</v>
      </c>
      <c r="T12534" t="s">
        <v>46357</v>
      </c>
      <c r="U12534" t="s">
        <v>47469</v>
      </c>
      <c r="W12534" t="s">
        <v>40882</v>
      </c>
      <c r="X12534" t="s">
        <v>44777</v>
      </c>
    </row>
    <row r="12535" spans="1:24">
      <c r="A12535">
        <f>HYPERLINK("https://www.philgeps.gov.ph/GEPSNONPILOT/Tender/SplashBidNoticeAbstractUI.aspx?menuIndex=3&amp;refID=7121912&amp;Result=3","7121912")</f>
        <v>0</v>
      </c>
      <c r="B12535" t="s">
        <v>2474</v>
      </c>
      <c r="C12535" t="s">
        <v>15685</v>
      </c>
      <c r="D12535" t="s">
        <v>17959</v>
      </c>
      <c r="E12535" t="s">
        <v>28864</v>
      </c>
      <c r="F12535" t="s">
        <v>30900</v>
      </c>
      <c r="G12535" t="s">
        <v>30907</v>
      </c>
      <c r="H12535" t="s">
        <v>30915</v>
      </c>
      <c r="I12535" t="s">
        <v>30919</v>
      </c>
      <c r="J12535" t="s">
        <v>35714</v>
      </c>
      <c r="K12535" t="s">
        <v>40290</v>
      </c>
      <c r="M12535" t="s">
        <v>44417</v>
      </c>
      <c r="N12535" t="s">
        <v>44759</v>
      </c>
      <c r="O12535" t="s">
        <v>44760</v>
      </c>
      <c r="P12535">
        <v>0</v>
      </c>
      <c r="Q12535">
        <v>5</v>
      </c>
      <c r="R12535" t="s">
        <v>44776</v>
      </c>
      <c r="S12535" t="s">
        <v>45453</v>
      </c>
      <c r="T12535" t="s">
        <v>46400</v>
      </c>
      <c r="U12535" t="s">
        <v>57202</v>
      </c>
      <c r="W12535" t="s">
        <v>60933</v>
      </c>
      <c r="X12535" t="s">
        <v>44777</v>
      </c>
    </row>
    <row r="12536" spans="1:24">
      <c r="A12536">
        <f>HYPERLINK("https://www.philgeps.gov.ph/GEPSNONPILOT/Tender/SplashBidNoticeAbstractUI.aspx?menuIndex=3&amp;refID=7121962&amp;Result=3","7121962")</f>
        <v>0</v>
      </c>
      <c r="B12536" t="s">
        <v>416</v>
      </c>
      <c r="C12536" t="s">
        <v>15686</v>
      </c>
      <c r="D12536" t="s">
        <v>17976</v>
      </c>
      <c r="E12536" t="s">
        <v>28865</v>
      </c>
      <c r="F12536" t="s">
        <v>30900</v>
      </c>
      <c r="G12536" t="s">
        <v>30907</v>
      </c>
      <c r="H12536" t="s">
        <v>30916</v>
      </c>
      <c r="I12536" t="s">
        <v>10602</v>
      </c>
      <c r="J12536" t="s">
        <v>31135</v>
      </c>
      <c r="K12536" t="s">
        <v>40283</v>
      </c>
      <c r="M12536" t="s">
        <v>40972</v>
      </c>
      <c r="N12536" t="s">
        <v>44759</v>
      </c>
      <c r="O12536" t="s">
        <v>44760</v>
      </c>
      <c r="Q12536">
        <v>0</v>
      </c>
      <c r="R12536" t="s">
        <v>44776</v>
      </c>
      <c r="S12536" t="s">
        <v>45487</v>
      </c>
      <c r="T12536" t="s">
        <v>46658</v>
      </c>
      <c r="U12536" t="s">
        <v>57242</v>
      </c>
      <c r="W12536" t="s">
        <v>40972</v>
      </c>
      <c r="X12536" t="s">
        <v>44777</v>
      </c>
    </row>
    <row r="12537" spans="1:24">
      <c r="A12537">
        <f>HYPERLINK("https://www.philgeps.gov.ph/GEPSNONPILOT/Tender/SplashBidNoticeAbstractUI.aspx?menuIndex=3&amp;refID=7121721&amp;Result=3","7121721")</f>
        <v>0</v>
      </c>
      <c r="B12537" t="s">
        <v>496</v>
      </c>
      <c r="C12537" t="s">
        <v>15687</v>
      </c>
      <c r="D12537" t="s">
        <v>18019</v>
      </c>
      <c r="E12537" t="s">
        <v>28866</v>
      </c>
      <c r="F12537" t="s">
        <v>30900</v>
      </c>
      <c r="G12537" t="s">
        <v>30907</v>
      </c>
      <c r="H12537" t="s">
        <v>30915</v>
      </c>
      <c r="I12537" t="s">
        <v>30955</v>
      </c>
      <c r="J12537" t="s">
        <v>38852</v>
      </c>
      <c r="K12537" t="s">
        <v>40280</v>
      </c>
      <c r="M12537" t="s">
        <v>42577</v>
      </c>
      <c r="N12537" t="s">
        <v>44759</v>
      </c>
      <c r="O12537" t="s">
        <v>44760</v>
      </c>
      <c r="P12537">
        <v>0</v>
      </c>
      <c r="Q12537">
        <v>8</v>
      </c>
      <c r="R12537" t="s">
        <v>44776</v>
      </c>
      <c r="S12537" t="s">
        <v>45453</v>
      </c>
      <c r="T12537" t="s">
        <v>46400</v>
      </c>
      <c r="U12537" t="s">
        <v>57243</v>
      </c>
      <c r="W12537" t="s">
        <v>42577</v>
      </c>
      <c r="X12537" t="s">
        <v>44777</v>
      </c>
    </row>
    <row r="12538" spans="1:24">
      <c r="A12538">
        <f>HYPERLINK("https://www.philgeps.gov.ph/GEPSNONPILOT/Tender/SplashBidNoticeAbstractUI.aspx?menuIndex=3&amp;refID=7122184&amp;Result=3","7122184")</f>
        <v>0</v>
      </c>
      <c r="B12538" t="s">
        <v>3523</v>
      </c>
      <c r="C12538" t="s">
        <v>15688</v>
      </c>
      <c r="D12538" t="s">
        <v>17978</v>
      </c>
      <c r="E12538" t="s">
        <v>28867</v>
      </c>
      <c r="F12538" t="s">
        <v>30900</v>
      </c>
      <c r="G12538" t="s">
        <v>30907</v>
      </c>
      <c r="H12538" t="s">
        <v>30915</v>
      </c>
      <c r="I12538" t="s">
        <v>30919</v>
      </c>
      <c r="J12538" t="s">
        <v>31105</v>
      </c>
      <c r="K12538" t="s">
        <v>40286</v>
      </c>
      <c r="M12538" t="s">
        <v>44434</v>
      </c>
      <c r="N12538" t="s">
        <v>44759</v>
      </c>
      <c r="O12538" t="s">
        <v>44760</v>
      </c>
      <c r="P12538">
        <v>0</v>
      </c>
      <c r="Q12538">
        <v>1</v>
      </c>
      <c r="R12538" t="s">
        <v>44776</v>
      </c>
      <c r="S12538" t="s">
        <v>45453</v>
      </c>
      <c r="T12538" t="s">
        <v>46399</v>
      </c>
      <c r="U12538" t="s">
        <v>57244</v>
      </c>
      <c r="V12538" t="s">
        <v>59692</v>
      </c>
      <c r="W12538" t="s">
        <v>44434</v>
      </c>
      <c r="X12538" t="s">
        <v>44777</v>
      </c>
    </row>
    <row r="12539" spans="1:24">
      <c r="A12539">
        <f>HYPERLINK("https://www.philgeps.gov.ph/GEPSNONPILOT/Tender/SplashBidNoticeAbstractUI.aspx?menuIndex=3&amp;refID=7122176&amp;Result=3","7122176")</f>
        <v>0</v>
      </c>
      <c r="B12539" t="s">
        <v>3524</v>
      </c>
      <c r="C12539" t="s">
        <v>15689</v>
      </c>
      <c r="D12539" t="s">
        <v>17992</v>
      </c>
      <c r="E12539" t="s">
        <v>28868</v>
      </c>
      <c r="F12539" t="s">
        <v>30900</v>
      </c>
      <c r="G12539" t="s">
        <v>30907</v>
      </c>
      <c r="H12539" t="s">
        <v>30916</v>
      </c>
      <c r="I12539" t="s">
        <v>30963</v>
      </c>
      <c r="J12539" t="s">
        <v>38853</v>
      </c>
      <c r="K12539" t="s">
        <v>40283</v>
      </c>
      <c r="M12539" t="s">
        <v>44435</v>
      </c>
      <c r="N12539" t="s">
        <v>44759</v>
      </c>
      <c r="O12539" t="s">
        <v>44760</v>
      </c>
      <c r="P12539">
        <v>0</v>
      </c>
      <c r="Q12539">
        <v>0</v>
      </c>
      <c r="R12539" t="s">
        <v>44776</v>
      </c>
      <c r="S12539" t="s">
        <v>45453</v>
      </c>
      <c r="T12539" t="s">
        <v>46376</v>
      </c>
      <c r="U12539" t="s">
        <v>57245</v>
      </c>
      <c r="W12539" t="s">
        <v>44435</v>
      </c>
      <c r="X12539" t="s">
        <v>44777</v>
      </c>
    </row>
    <row r="12540" spans="1:24">
      <c r="A12540">
        <f>HYPERLINK("https://www.philgeps.gov.ph/GEPSNONPILOT/Tender/SplashBidNoticeAbstractUI.aspx?menuIndex=3&amp;refID=7122175&amp;Result=3","7122175")</f>
        <v>0</v>
      </c>
      <c r="B12540" t="s">
        <v>2095</v>
      </c>
      <c r="C12540" t="s">
        <v>15690</v>
      </c>
      <c r="D12540" t="s">
        <v>17975</v>
      </c>
      <c r="E12540" t="s">
        <v>20225</v>
      </c>
      <c r="F12540" t="s">
        <v>30900</v>
      </c>
      <c r="G12540" t="s">
        <v>30907</v>
      </c>
      <c r="H12540" t="s">
        <v>30916</v>
      </c>
      <c r="I12540" t="s">
        <v>4142</v>
      </c>
      <c r="J12540" t="s">
        <v>38854</v>
      </c>
      <c r="K12540" t="s">
        <v>40287</v>
      </c>
      <c r="M12540" t="s">
        <v>42794</v>
      </c>
      <c r="N12540" t="s">
        <v>44759</v>
      </c>
      <c r="O12540" t="s">
        <v>44760</v>
      </c>
      <c r="P12540">
        <v>0</v>
      </c>
      <c r="Q12540">
        <v>5</v>
      </c>
      <c r="R12540" t="s">
        <v>44776</v>
      </c>
      <c r="S12540" t="s">
        <v>45453</v>
      </c>
      <c r="T12540" t="s">
        <v>46412</v>
      </c>
      <c r="U12540" t="s">
        <v>57246</v>
      </c>
      <c r="W12540" t="s">
        <v>42794</v>
      </c>
      <c r="X12540" t="s">
        <v>44777</v>
      </c>
    </row>
    <row r="12541" spans="1:24">
      <c r="A12541">
        <f>HYPERLINK("https://www.philgeps.gov.ph/GEPSNONPILOT/Tender/SplashBidNoticeAbstractUI.aspx?menuIndex=3&amp;refID=7122156&amp;Result=3","7122156")</f>
        <v>0</v>
      </c>
      <c r="B12541" t="s">
        <v>255</v>
      </c>
      <c r="C12541" t="s">
        <v>15691</v>
      </c>
      <c r="D12541" t="s">
        <v>17980</v>
      </c>
      <c r="E12541" t="s">
        <v>28869</v>
      </c>
      <c r="F12541" t="s">
        <v>30900</v>
      </c>
      <c r="G12541" t="s">
        <v>30907</v>
      </c>
      <c r="H12541" t="s">
        <v>30915</v>
      </c>
      <c r="I12541" t="s">
        <v>30919</v>
      </c>
      <c r="J12541" t="s">
        <v>38855</v>
      </c>
      <c r="K12541" t="s">
        <v>40395</v>
      </c>
      <c r="M12541" t="s">
        <v>40802</v>
      </c>
      <c r="N12541" t="s">
        <v>44759</v>
      </c>
      <c r="O12541" t="s">
        <v>44760</v>
      </c>
      <c r="P12541">
        <v>0</v>
      </c>
      <c r="Q12541">
        <v>1</v>
      </c>
      <c r="R12541" t="s">
        <v>44776</v>
      </c>
      <c r="S12541" t="s">
        <v>45453</v>
      </c>
      <c r="T12541" t="s">
        <v>46445</v>
      </c>
      <c r="U12541" t="s">
        <v>57247</v>
      </c>
      <c r="W12541" t="s">
        <v>40802</v>
      </c>
      <c r="X12541" t="s">
        <v>44777</v>
      </c>
    </row>
    <row r="12542" spans="1:24">
      <c r="A12542">
        <f>HYPERLINK("https://www.philgeps.gov.ph/GEPSNONPILOT/Tender/SplashBidNoticeAbstractUI.aspx?menuIndex=3&amp;refID=7122139&amp;Result=3","7122139")</f>
        <v>0</v>
      </c>
      <c r="B12542" t="s">
        <v>1403</v>
      </c>
      <c r="C12542" t="s">
        <v>15692</v>
      </c>
      <c r="D12542" t="s">
        <v>17954</v>
      </c>
      <c r="E12542" t="s">
        <v>28870</v>
      </c>
      <c r="F12542" t="s">
        <v>30900</v>
      </c>
      <c r="G12542" t="s">
        <v>30907</v>
      </c>
      <c r="H12542" t="s">
        <v>30915</v>
      </c>
      <c r="I12542" t="s">
        <v>30919</v>
      </c>
      <c r="J12542" t="s">
        <v>31152</v>
      </c>
      <c r="K12542" t="s">
        <v>40309</v>
      </c>
      <c r="M12542" t="s">
        <v>42030</v>
      </c>
      <c r="N12542" t="s">
        <v>44759</v>
      </c>
      <c r="O12542" t="s">
        <v>44760</v>
      </c>
      <c r="P12542">
        <v>0</v>
      </c>
      <c r="Q12542">
        <v>6</v>
      </c>
      <c r="R12542" t="s">
        <v>44776</v>
      </c>
      <c r="S12542" t="s">
        <v>45453</v>
      </c>
      <c r="T12542" t="s">
        <v>46356</v>
      </c>
      <c r="U12542" t="s">
        <v>57248</v>
      </c>
      <c r="W12542" t="s">
        <v>42030</v>
      </c>
      <c r="X12542" t="s">
        <v>44777</v>
      </c>
    </row>
    <row r="12543" spans="1:24">
      <c r="A12543">
        <f>HYPERLINK("https://www.philgeps.gov.ph/GEPSNONPILOT/Tender/SplashBidNoticeAbstractUI.aspx?menuIndex=3&amp;refID=7122133&amp;Result=3","7122133")</f>
        <v>0</v>
      </c>
      <c r="B12543" t="s">
        <v>2706</v>
      </c>
      <c r="C12543" t="s">
        <v>15693</v>
      </c>
      <c r="D12543" t="s">
        <v>18028</v>
      </c>
      <c r="E12543" t="s">
        <v>28871</v>
      </c>
      <c r="F12543" t="s">
        <v>30900</v>
      </c>
      <c r="G12543" t="s">
        <v>30907</v>
      </c>
      <c r="H12543" t="s">
        <v>30915</v>
      </c>
      <c r="I12543" t="s">
        <v>30919</v>
      </c>
      <c r="J12543" t="s">
        <v>38856</v>
      </c>
      <c r="K12543" t="s">
        <v>40295</v>
      </c>
      <c r="M12543" t="s">
        <v>43479</v>
      </c>
      <c r="N12543" t="s">
        <v>44759</v>
      </c>
      <c r="O12543" t="s">
        <v>44760</v>
      </c>
      <c r="P12543">
        <v>0</v>
      </c>
      <c r="Q12543">
        <v>5</v>
      </c>
      <c r="R12543" t="s">
        <v>44776</v>
      </c>
      <c r="S12543" t="s">
        <v>45453</v>
      </c>
      <c r="T12543" t="s">
        <v>46421</v>
      </c>
      <c r="U12543" t="s">
        <v>57249</v>
      </c>
      <c r="W12543" t="s">
        <v>43479</v>
      </c>
      <c r="X12543" t="s">
        <v>44777</v>
      </c>
    </row>
    <row r="12544" spans="1:24">
      <c r="A12544">
        <f>HYPERLINK("https://www.philgeps.gov.ph/GEPSNONPILOT/Tender/SplashBidNoticeAbstractUI.aspx?menuIndex=3&amp;refID=7122221&amp;Result=3","7122221")</f>
        <v>0</v>
      </c>
      <c r="B12544" t="s">
        <v>2541</v>
      </c>
      <c r="C12544" t="s">
        <v>15694</v>
      </c>
      <c r="D12544" t="s">
        <v>18014</v>
      </c>
      <c r="E12544" t="s">
        <v>28872</v>
      </c>
      <c r="F12544" t="s">
        <v>30900</v>
      </c>
      <c r="G12544" t="s">
        <v>30907</v>
      </c>
      <c r="H12544" t="s">
        <v>30916</v>
      </c>
      <c r="I12544" t="s">
        <v>4545</v>
      </c>
      <c r="J12544" t="s">
        <v>38857</v>
      </c>
      <c r="K12544" t="s">
        <v>40284</v>
      </c>
      <c r="M12544" t="s">
        <v>43297</v>
      </c>
      <c r="N12544" t="s">
        <v>44759</v>
      </c>
      <c r="O12544" t="s">
        <v>44760</v>
      </c>
      <c r="P12544">
        <v>0</v>
      </c>
      <c r="Q12544">
        <v>6</v>
      </c>
      <c r="R12544" t="s">
        <v>44776</v>
      </c>
      <c r="S12544" t="s">
        <v>45453</v>
      </c>
      <c r="T12544" t="s">
        <v>46387</v>
      </c>
      <c r="U12544" t="s">
        <v>57250</v>
      </c>
      <c r="W12544" t="s">
        <v>43297</v>
      </c>
      <c r="X12544" t="s">
        <v>44777</v>
      </c>
    </row>
    <row r="12545" spans="1:24">
      <c r="A12545">
        <f>HYPERLINK("https://www.philgeps.gov.ph/GEPSNONPILOT/Tender/SplashBidNoticeAbstractUI.aspx?menuIndex=3&amp;refID=7122132&amp;Result=3","7122132")</f>
        <v>0</v>
      </c>
      <c r="B12545" t="s">
        <v>2560</v>
      </c>
      <c r="C12545" t="s">
        <v>15695</v>
      </c>
      <c r="D12545" t="s">
        <v>18031</v>
      </c>
      <c r="E12545" t="s">
        <v>28873</v>
      </c>
      <c r="F12545" t="s">
        <v>30900</v>
      </c>
      <c r="G12545" t="s">
        <v>30907</v>
      </c>
      <c r="H12545" t="s">
        <v>30916</v>
      </c>
      <c r="I12545" t="s">
        <v>30933</v>
      </c>
      <c r="J12545" t="s">
        <v>31391</v>
      </c>
      <c r="K12545" t="s">
        <v>40286</v>
      </c>
      <c r="M12545" t="s">
        <v>43318</v>
      </c>
      <c r="N12545" t="s">
        <v>44759</v>
      </c>
      <c r="O12545" t="s">
        <v>44760</v>
      </c>
      <c r="P12545">
        <v>0</v>
      </c>
      <c r="Q12545">
        <v>1</v>
      </c>
      <c r="R12545" t="s">
        <v>44776</v>
      </c>
      <c r="S12545" t="s">
        <v>45453</v>
      </c>
      <c r="T12545" t="s">
        <v>46399</v>
      </c>
      <c r="U12545" t="s">
        <v>57251</v>
      </c>
      <c r="W12545" t="s">
        <v>43318</v>
      </c>
      <c r="X12545" t="s">
        <v>44777</v>
      </c>
    </row>
    <row r="12546" spans="1:24">
      <c r="A12546">
        <f>HYPERLINK("https://www.philgeps.gov.ph/GEPSNONPILOT/Tender/SplashBidNoticeAbstractUI.aspx?menuIndex=3&amp;refID=7121983&amp;Result=3","7121983")</f>
        <v>0</v>
      </c>
      <c r="B12546" t="s">
        <v>2474</v>
      </c>
      <c r="C12546" t="s">
        <v>15696</v>
      </c>
      <c r="D12546" t="s">
        <v>17959</v>
      </c>
      <c r="E12546" t="s">
        <v>28874</v>
      </c>
      <c r="F12546" t="s">
        <v>30900</v>
      </c>
      <c r="G12546" t="s">
        <v>30907</v>
      </c>
      <c r="H12546" t="s">
        <v>30915</v>
      </c>
      <c r="I12546" t="s">
        <v>30919</v>
      </c>
      <c r="J12546" t="s">
        <v>33803</v>
      </c>
      <c r="K12546" t="s">
        <v>40292</v>
      </c>
      <c r="M12546" t="s">
        <v>44417</v>
      </c>
      <c r="N12546" t="s">
        <v>44759</v>
      </c>
      <c r="O12546" t="s">
        <v>44760</v>
      </c>
      <c r="P12546">
        <v>0</v>
      </c>
      <c r="Q12546">
        <v>8</v>
      </c>
      <c r="R12546" t="s">
        <v>44776</v>
      </c>
      <c r="S12546" t="s">
        <v>45453</v>
      </c>
      <c r="T12546" t="s">
        <v>46400</v>
      </c>
      <c r="U12546" t="s">
        <v>57202</v>
      </c>
      <c r="W12546" t="s">
        <v>60933</v>
      </c>
      <c r="X12546" t="s">
        <v>44777</v>
      </c>
    </row>
    <row r="12547" spans="1:24">
      <c r="A12547">
        <f>HYPERLINK("https://www.philgeps.gov.ph/GEPSNONPILOT/Tender/SplashBidNoticeAbstractUI.aspx?menuIndex=3&amp;refID=7122109&amp;Result=3","7122109")</f>
        <v>0</v>
      </c>
      <c r="B12547" t="s">
        <v>331</v>
      </c>
      <c r="C12547" t="s">
        <v>15697</v>
      </c>
      <c r="D12547" t="s">
        <v>18004</v>
      </c>
      <c r="E12547" t="s">
        <v>28875</v>
      </c>
      <c r="F12547" t="s">
        <v>30900</v>
      </c>
      <c r="G12547" t="s">
        <v>30908</v>
      </c>
      <c r="H12547" t="s">
        <v>30916</v>
      </c>
      <c r="I12547" t="s">
        <v>8123</v>
      </c>
      <c r="J12547" t="s">
        <v>33470</v>
      </c>
      <c r="K12547" t="s">
        <v>40292</v>
      </c>
      <c r="M12547" t="s">
        <v>40882</v>
      </c>
      <c r="N12547" t="s">
        <v>44759</v>
      </c>
      <c r="O12547" t="s">
        <v>44760</v>
      </c>
      <c r="P12547">
        <v>0</v>
      </c>
      <c r="Q12547">
        <v>0</v>
      </c>
      <c r="R12547" t="s">
        <v>44776</v>
      </c>
      <c r="S12547" t="s">
        <v>45453</v>
      </c>
      <c r="T12547" t="s">
        <v>46357</v>
      </c>
      <c r="U12547" t="s">
        <v>47469</v>
      </c>
      <c r="W12547" t="s">
        <v>40882</v>
      </c>
      <c r="X12547" t="s">
        <v>44777</v>
      </c>
    </row>
    <row r="12548" spans="1:24">
      <c r="A12548">
        <f>HYPERLINK("https://www.philgeps.gov.ph/GEPSNONPILOT/Tender/SplashBidNoticeAbstractUI.aspx?menuIndex=3&amp;refID=7122091&amp;Result=3","7122091")</f>
        <v>0</v>
      </c>
      <c r="B12548" t="s">
        <v>1523</v>
      </c>
      <c r="C12548" t="s">
        <v>15698</v>
      </c>
      <c r="D12548" t="s">
        <v>18010</v>
      </c>
      <c r="E12548" t="s">
        <v>28876</v>
      </c>
      <c r="F12548" t="s">
        <v>30900</v>
      </c>
      <c r="G12548" t="s">
        <v>30907</v>
      </c>
      <c r="H12548" t="s">
        <v>30916</v>
      </c>
      <c r="I12548" t="s">
        <v>8123</v>
      </c>
      <c r="J12548" t="s">
        <v>38858</v>
      </c>
      <c r="K12548" t="s">
        <v>40286</v>
      </c>
      <c r="L12548" t="s">
        <v>1523</v>
      </c>
      <c r="M12548" t="s">
        <v>42165</v>
      </c>
      <c r="N12548" t="s">
        <v>44759</v>
      </c>
      <c r="O12548" t="s">
        <v>44760</v>
      </c>
      <c r="P12548">
        <v>0</v>
      </c>
      <c r="Q12548">
        <v>10</v>
      </c>
      <c r="R12548" t="s">
        <v>44776</v>
      </c>
      <c r="S12548" t="s">
        <v>45453</v>
      </c>
      <c r="T12548" t="s">
        <v>46409</v>
      </c>
      <c r="U12548" t="s">
        <v>57252</v>
      </c>
      <c r="W12548" t="s">
        <v>42165</v>
      </c>
      <c r="X12548" t="s">
        <v>44777</v>
      </c>
    </row>
    <row r="12549" spans="1:24">
      <c r="A12549">
        <f>HYPERLINK("https://www.philgeps.gov.ph/GEPSNONPILOT/Tender/SplashBidNoticeAbstractUI.aspx?menuIndex=3&amp;refID=7121961&amp;Result=3","7121961")</f>
        <v>0</v>
      </c>
      <c r="B12549" t="s">
        <v>3525</v>
      </c>
      <c r="C12549" t="s">
        <v>15699</v>
      </c>
      <c r="D12549" t="s">
        <v>17959</v>
      </c>
      <c r="E12549" t="s">
        <v>28877</v>
      </c>
      <c r="F12549" t="s">
        <v>30900</v>
      </c>
      <c r="G12549" t="s">
        <v>30907</v>
      </c>
      <c r="H12549" t="s">
        <v>30916</v>
      </c>
      <c r="I12549" t="s">
        <v>4004</v>
      </c>
      <c r="J12549" t="s">
        <v>38859</v>
      </c>
      <c r="K12549" t="s">
        <v>40289</v>
      </c>
      <c r="M12549" t="s">
        <v>44436</v>
      </c>
      <c r="N12549" t="s">
        <v>44759</v>
      </c>
      <c r="O12549" t="s">
        <v>44760</v>
      </c>
      <c r="Q12549">
        <v>20</v>
      </c>
      <c r="R12549" t="s">
        <v>44776</v>
      </c>
      <c r="S12549" t="s">
        <v>45488</v>
      </c>
      <c r="T12549" t="s">
        <v>46412</v>
      </c>
      <c r="U12549" t="s">
        <v>57253</v>
      </c>
      <c r="V12549" t="s">
        <v>59168</v>
      </c>
      <c r="W12549" t="s">
        <v>44436</v>
      </c>
      <c r="X12549" t="s">
        <v>44777</v>
      </c>
    </row>
    <row r="12550" spans="1:24">
      <c r="A12550">
        <f>HYPERLINK("https://www.philgeps.gov.ph/GEPSNONPILOT/Tender/SplashBidNoticeAbstractUI.aspx?menuIndex=3&amp;refID=7122283&amp;Result=3","7122283")</f>
        <v>0</v>
      </c>
      <c r="B12550" t="s">
        <v>411</v>
      </c>
      <c r="C12550" t="s">
        <v>15700</v>
      </c>
      <c r="D12550" t="s">
        <v>17959</v>
      </c>
      <c r="E12550" t="s">
        <v>28878</v>
      </c>
      <c r="F12550" t="s">
        <v>30900</v>
      </c>
      <c r="G12550" t="s">
        <v>30907</v>
      </c>
      <c r="H12550" t="s">
        <v>30916</v>
      </c>
      <c r="I12550" t="s">
        <v>4545</v>
      </c>
      <c r="J12550" t="s">
        <v>38860</v>
      </c>
      <c r="K12550" t="s">
        <v>40280</v>
      </c>
      <c r="M12550" t="s">
        <v>40967</v>
      </c>
      <c r="N12550" t="s">
        <v>44759</v>
      </c>
      <c r="O12550" t="s">
        <v>44760</v>
      </c>
      <c r="P12550">
        <v>0</v>
      </c>
      <c r="Q12550">
        <v>12</v>
      </c>
      <c r="R12550" t="s">
        <v>44776</v>
      </c>
      <c r="S12550" t="s">
        <v>45453</v>
      </c>
      <c r="T12550" t="s">
        <v>46694</v>
      </c>
      <c r="U12550" t="s">
        <v>57254</v>
      </c>
      <c r="W12550" t="s">
        <v>40967</v>
      </c>
      <c r="X12550" t="s">
        <v>44777</v>
      </c>
    </row>
    <row r="12551" spans="1:24">
      <c r="A12551">
        <f>HYPERLINK("https://www.philgeps.gov.ph/GEPSNONPILOT/Tender/SplashBidNoticeAbstractUI.aspx?menuIndex=3&amp;refID=7122438&amp;Result=3","7122438")</f>
        <v>0</v>
      </c>
      <c r="B12551" t="s">
        <v>223</v>
      </c>
      <c r="C12551" t="s">
        <v>15701</v>
      </c>
      <c r="D12551" t="s">
        <v>18002</v>
      </c>
      <c r="E12551" t="s">
        <v>28879</v>
      </c>
      <c r="F12551" t="s">
        <v>30900</v>
      </c>
      <c r="G12551" t="s">
        <v>30910</v>
      </c>
      <c r="H12551" t="s">
        <v>30916</v>
      </c>
      <c r="I12551" t="s">
        <v>9385</v>
      </c>
      <c r="J12551" t="s">
        <v>31084</v>
      </c>
      <c r="K12551" t="s">
        <v>40289</v>
      </c>
      <c r="M12551" t="s">
        <v>40770</v>
      </c>
      <c r="N12551" t="s">
        <v>44759</v>
      </c>
      <c r="O12551" t="s">
        <v>44760</v>
      </c>
      <c r="Q12551">
        <v>29</v>
      </c>
      <c r="R12551" t="s">
        <v>44776</v>
      </c>
      <c r="S12551" t="s">
        <v>45489</v>
      </c>
      <c r="T12551" t="s">
        <v>46409</v>
      </c>
      <c r="U12551" t="s">
        <v>47286</v>
      </c>
      <c r="W12551" t="s">
        <v>40770</v>
      </c>
      <c r="X12551" t="s">
        <v>44777</v>
      </c>
    </row>
    <row r="12552" spans="1:24">
      <c r="A12552">
        <f>HYPERLINK("https://www.philgeps.gov.ph/GEPSNONPILOT/Tender/SplashBidNoticeAbstractUI.aspx?menuIndex=3&amp;refID=7122433&amp;Result=3","7122433")</f>
        <v>0</v>
      </c>
      <c r="B12552" t="s">
        <v>372</v>
      </c>
      <c r="C12552" t="s">
        <v>15702</v>
      </c>
      <c r="D12552" t="s">
        <v>17968</v>
      </c>
      <c r="E12552" t="s">
        <v>28880</v>
      </c>
      <c r="F12552" t="s">
        <v>30900</v>
      </c>
      <c r="G12552" t="s">
        <v>30907</v>
      </c>
      <c r="H12552" t="s">
        <v>30916</v>
      </c>
      <c r="I12552" t="s">
        <v>30933</v>
      </c>
      <c r="J12552" t="s">
        <v>31701</v>
      </c>
      <c r="K12552" t="s">
        <v>40283</v>
      </c>
      <c r="M12552" t="s">
        <v>43876</v>
      </c>
      <c r="N12552" t="s">
        <v>44759</v>
      </c>
      <c r="O12552" t="s">
        <v>44760</v>
      </c>
      <c r="P12552">
        <v>0</v>
      </c>
      <c r="Q12552">
        <v>7</v>
      </c>
      <c r="R12552" t="s">
        <v>44776</v>
      </c>
      <c r="S12552" t="s">
        <v>45453</v>
      </c>
      <c r="T12552" t="s">
        <v>46425</v>
      </c>
      <c r="U12552" t="s">
        <v>57255</v>
      </c>
      <c r="W12552" t="s">
        <v>43876</v>
      </c>
      <c r="X12552" t="s">
        <v>44777</v>
      </c>
    </row>
    <row r="12553" spans="1:24">
      <c r="A12553">
        <f>HYPERLINK("https://www.philgeps.gov.ph/GEPSNONPILOT/Tender/SplashBidNoticeAbstractUI.aspx?menuIndex=3&amp;refID=7122205&amp;Result=3","7122205")</f>
        <v>0</v>
      </c>
      <c r="B12553" t="s">
        <v>2589</v>
      </c>
      <c r="C12553" t="s">
        <v>15703</v>
      </c>
      <c r="D12553" t="s">
        <v>17964</v>
      </c>
      <c r="E12553" t="s">
        <v>28881</v>
      </c>
      <c r="F12553" t="s">
        <v>30900</v>
      </c>
      <c r="G12553" t="s">
        <v>30908</v>
      </c>
      <c r="H12553" t="s">
        <v>30916</v>
      </c>
      <c r="I12553" t="s">
        <v>30925</v>
      </c>
      <c r="J12553" t="s">
        <v>38861</v>
      </c>
      <c r="K12553" t="s">
        <v>40286</v>
      </c>
      <c r="M12553" t="s">
        <v>43350</v>
      </c>
      <c r="N12553" t="s">
        <v>44759</v>
      </c>
      <c r="O12553" t="s">
        <v>44760</v>
      </c>
      <c r="P12553">
        <v>0</v>
      </c>
      <c r="Q12553">
        <v>5</v>
      </c>
      <c r="R12553" t="s">
        <v>44776</v>
      </c>
      <c r="S12553" t="s">
        <v>45453</v>
      </c>
      <c r="T12553" t="s">
        <v>46644</v>
      </c>
      <c r="U12553" t="s">
        <v>57256</v>
      </c>
      <c r="W12553" t="s">
        <v>43350</v>
      </c>
      <c r="X12553" t="s">
        <v>44777</v>
      </c>
    </row>
    <row r="12554" spans="1:24">
      <c r="A12554">
        <f>HYPERLINK("https://www.philgeps.gov.ph/GEPSNONPILOT/Tender/SplashBidNoticeAbstractUI.aspx?menuIndex=3&amp;refID=7122417&amp;Result=3","7122417")</f>
        <v>0</v>
      </c>
      <c r="B12554" t="s">
        <v>721</v>
      </c>
      <c r="C12554" t="s">
        <v>15704</v>
      </c>
      <c r="D12554" t="s">
        <v>17973</v>
      </c>
      <c r="E12554" t="s">
        <v>28882</v>
      </c>
      <c r="F12554" t="s">
        <v>30900</v>
      </c>
      <c r="G12554" t="s">
        <v>30907</v>
      </c>
      <c r="H12554" t="s">
        <v>30916</v>
      </c>
      <c r="I12554" t="s">
        <v>30933</v>
      </c>
      <c r="J12554" t="s">
        <v>37626</v>
      </c>
      <c r="K12554" t="s">
        <v>40280</v>
      </c>
      <c r="M12554" t="s">
        <v>41285</v>
      </c>
      <c r="N12554" t="s">
        <v>44759</v>
      </c>
      <c r="O12554" t="s">
        <v>44760</v>
      </c>
      <c r="Q12554">
        <v>18</v>
      </c>
      <c r="R12554" t="s">
        <v>44776</v>
      </c>
      <c r="S12554" t="s">
        <v>45490</v>
      </c>
      <c r="T12554" t="s">
        <v>46389</v>
      </c>
      <c r="U12554" t="s">
        <v>57257</v>
      </c>
      <c r="W12554" t="s">
        <v>41285</v>
      </c>
      <c r="X12554" t="s">
        <v>44777</v>
      </c>
    </row>
    <row r="12555" spans="1:24">
      <c r="A12555">
        <f>HYPERLINK("https://www.philgeps.gov.ph/GEPSNONPILOT/Tender/SplashBidNoticeAbstractUI.aspx?menuIndex=3&amp;refID=7122414&amp;Result=3","7122414")</f>
        <v>0</v>
      </c>
      <c r="B12555" t="s">
        <v>3526</v>
      </c>
      <c r="C12555" t="s">
        <v>15705</v>
      </c>
      <c r="D12555" t="s">
        <v>17976</v>
      </c>
      <c r="E12555" t="s">
        <v>28883</v>
      </c>
      <c r="F12555" t="s">
        <v>30900</v>
      </c>
      <c r="G12555" t="s">
        <v>30907</v>
      </c>
      <c r="H12555" t="s">
        <v>30916</v>
      </c>
      <c r="I12555" t="s">
        <v>6396</v>
      </c>
      <c r="J12555" t="s">
        <v>38862</v>
      </c>
      <c r="K12555" t="s">
        <v>40284</v>
      </c>
      <c r="M12555" t="s">
        <v>44437</v>
      </c>
      <c r="N12555" t="s">
        <v>44759</v>
      </c>
      <c r="O12555" t="s">
        <v>44760</v>
      </c>
      <c r="Q12555">
        <v>3</v>
      </c>
      <c r="R12555" t="s">
        <v>44776</v>
      </c>
      <c r="S12555" t="s">
        <v>45491</v>
      </c>
      <c r="T12555" t="s">
        <v>46421</v>
      </c>
      <c r="U12555" t="s">
        <v>57258</v>
      </c>
      <c r="W12555" t="s">
        <v>44437</v>
      </c>
      <c r="X12555" t="s">
        <v>44777</v>
      </c>
    </row>
    <row r="12556" spans="1:24">
      <c r="A12556">
        <f>HYPERLINK("https://www.philgeps.gov.ph/GEPSNONPILOT/Tender/SplashBidNoticeAbstractUI.aspx?menuIndex=3&amp;refID=7122397&amp;Result=3","7122397")</f>
        <v>0</v>
      </c>
      <c r="B12556" t="s">
        <v>839</v>
      </c>
      <c r="C12556" t="s">
        <v>15706</v>
      </c>
      <c r="E12556" t="s">
        <v>28884</v>
      </c>
      <c r="F12556" t="s">
        <v>30900</v>
      </c>
      <c r="G12556" t="s">
        <v>30907</v>
      </c>
      <c r="H12556" t="s">
        <v>30916</v>
      </c>
      <c r="I12556" t="s">
        <v>30923</v>
      </c>
      <c r="J12556" t="s">
        <v>38863</v>
      </c>
      <c r="K12556" t="s">
        <v>40289</v>
      </c>
      <c r="M12556" t="s">
        <v>44438</v>
      </c>
      <c r="N12556" t="s">
        <v>44759</v>
      </c>
      <c r="O12556" t="s">
        <v>44760</v>
      </c>
      <c r="Q12556">
        <v>27</v>
      </c>
      <c r="R12556" t="s">
        <v>44776</v>
      </c>
      <c r="S12556" t="s">
        <v>45492</v>
      </c>
      <c r="T12556" t="s">
        <v>46389</v>
      </c>
      <c r="U12556" t="s">
        <v>57259</v>
      </c>
      <c r="W12556" t="s">
        <v>44438</v>
      </c>
      <c r="X12556" t="s">
        <v>44777</v>
      </c>
    </row>
    <row r="12557" spans="1:24">
      <c r="A12557">
        <f>HYPERLINK("https://www.philgeps.gov.ph/GEPSNONPILOT/Tender/SplashBidNoticeAbstractUI.aspx?menuIndex=3&amp;refID=7122385&amp;Result=3","7122385")</f>
        <v>0</v>
      </c>
      <c r="B12557" t="s">
        <v>721</v>
      </c>
      <c r="C12557" t="s">
        <v>15707</v>
      </c>
      <c r="D12557" t="s">
        <v>17973</v>
      </c>
      <c r="E12557" t="s">
        <v>28885</v>
      </c>
      <c r="F12557" t="s">
        <v>30900</v>
      </c>
      <c r="G12557" t="s">
        <v>30907</v>
      </c>
      <c r="H12557" t="s">
        <v>30916</v>
      </c>
      <c r="I12557" t="s">
        <v>30933</v>
      </c>
      <c r="J12557" t="s">
        <v>38864</v>
      </c>
      <c r="K12557" t="s">
        <v>40293</v>
      </c>
      <c r="M12557" t="s">
        <v>41285</v>
      </c>
      <c r="N12557" t="s">
        <v>44759</v>
      </c>
      <c r="O12557" t="s">
        <v>44760</v>
      </c>
      <c r="P12557">
        <v>0</v>
      </c>
      <c r="Q12557">
        <v>11</v>
      </c>
      <c r="R12557" t="s">
        <v>44776</v>
      </c>
      <c r="S12557" t="s">
        <v>45453</v>
      </c>
      <c r="T12557" t="s">
        <v>46389</v>
      </c>
      <c r="U12557" t="s">
        <v>57260</v>
      </c>
      <c r="W12557" t="s">
        <v>41285</v>
      </c>
      <c r="X12557" t="s">
        <v>44777</v>
      </c>
    </row>
    <row r="12558" spans="1:24">
      <c r="A12558">
        <f>HYPERLINK("https://www.philgeps.gov.ph/GEPSNONPILOT/Tender/SplashBidNoticeAbstractUI.aspx?menuIndex=3&amp;refID=7122361&amp;Result=3","7122361")</f>
        <v>0</v>
      </c>
      <c r="B12558" t="s">
        <v>1523</v>
      </c>
      <c r="C12558" t="s">
        <v>15708</v>
      </c>
      <c r="D12558" t="s">
        <v>18010</v>
      </c>
      <c r="E12558" t="s">
        <v>28886</v>
      </c>
      <c r="F12558" t="s">
        <v>30900</v>
      </c>
      <c r="G12558" t="s">
        <v>30907</v>
      </c>
      <c r="H12558" t="s">
        <v>7411</v>
      </c>
      <c r="I12558" t="s">
        <v>7411</v>
      </c>
      <c r="J12558" t="s">
        <v>31282</v>
      </c>
      <c r="K12558" t="s">
        <v>40291</v>
      </c>
      <c r="L12558" t="s">
        <v>1523</v>
      </c>
      <c r="M12558" t="s">
        <v>42165</v>
      </c>
      <c r="N12558" t="s">
        <v>44759</v>
      </c>
      <c r="O12558" t="s">
        <v>44760</v>
      </c>
      <c r="P12558">
        <v>0</v>
      </c>
      <c r="Q12558">
        <v>3</v>
      </c>
      <c r="R12558" t="s">
        <v>44776</v>
      </c>
      <c r="S12558" t="s">
        <v>45453</v>
      </c>
      <c r="T12558" t="s">
        <v>46519</v>
      </c>
      <c r="U12558" t="s">
        <v>57261</v>
      </c>
      <c r="W12558" t="s">
        <v>42165</v>
      </c>
      <c r="X12558" t="s">
        <v>44777</v>
      </c>
    </row>
    <row r="12559" spans="1:24">
      <c r="A12559">
        <f>HYPERLINK("https://www.philgeps.gov.ph/GEPSNONPILOT/Tender/SplashBidNoticeAbstractUI.aspx?menuIndex=3&amp;refID=7121944&amp;Result=3","7121944")</f>
        <v>0</v>
      </c>
      <c r="B12559" t="s">
        <v>2474</v>
      </c>
      <c r="C12559" t="s">
        <v>15709</v>
      </c>
      <c r="D12559" t="s">
        <v>17959</v>
      </c>
      <c r="E12559" t="s">
        <v>28887</v>
      </c>
      <c r="F12559" t="s">
        <v>30900</v>
      </c>
      <c r="G12559" t="s">
        <v>30907</v>
      </c>
      <c r="H12559" t="s">
        <v>30915</v>
      </c>
      <c r="I12559" t="s">
        <v>30919</v>
      </c>
      <c r="J12559" t="s">
        <v>38865</v>
      </c>
      <c r="K12559" t="s">
        <v>40290</v>
      </c>
      <c r="M12559" t="s">
        <v>44417</v>
      </c>
      <c r="N12559" t="s">
        <v>44759</v>
      </c>
      <c r="O12559" t="s">
        <v>44760</v>
      </c>
      <c r="P12559">
        <v>0</v>
      </c>
      <c r="Q12559">
        <v>6</v>
      </c>
      <c r="R12559" t="s">
        <v>44776</v>
      </c>
      <c r="S12559" t="s">
        <v>45453</v>
      </c>
      <c r="T12559" t="s">
        <v>46400</v>
      </c>
      <c r="U12559" t="s">
        <v>57202</v>
      </c>
      <c r="W12559" t="s">
        <v>60933</v>
      </c>
      <c r="X12559" t="s">
        <v>44777</v>
      </c>
    </row>
    <row r="12560" spans="1:24">
      <c r="A12560">
        <f>HYPERLINK("https://www.philgeps.gov.ph/GEPSNONPILOT/Tender/SplashBidNoticeAbstractUI.aspx?menuIndex=3&amp;refID=7122377&amp;Result=3","7122377")</f>
        <v>0</v>
      </c>
      <c r="B12560" t="s">
        <v>2390</v>
      </c>
      <c r="C12560" t="s">
        <v>15710</v>
      </c>
      <c r="D12560" t="s">
        <v>18015</v>
      </c>
      <c r="E12560" t="s">
        <v>28888</v>
      </c>
      <c r="F12560" t="s">
        <v>30900</v>
      </c>
      <c r="G12560" t="s">
        <v>30907</v>
      </c>
      <c r="H12560" t="s">
        <v>30915</v>
      </c>
      <c r="I12560" t="s">
        <v>30919</v>
      </c>
      <c r="J12560" t="s">
        <v>38866</v>
      </c>
      <c r="K12560" t="s">
        <v>40422</v>
      </c>
      <c r="M12560" t="s">
        <v>43116</v>
      </c>
      <c r="N12560" t="s">
        <v>44759</v>
      </c>
      <c r="O12560" t="s">
        <v>44760</v>
      </c>
      <c r="P12560">
        <v>0</v>
      </c>
      <c r="Q12560">
        <v>5</v>
      </c>
      <c r="R12560" t="s">
        <v>44776</v>
      </c>
      <c r="S12560" t="s">
        <v>45453</v>
      </c>
      <c r="T12560" t="s">
        <v>46357</v>
      </c>
      <c r="U12560" t="s">
        <v>56251</v>
      </c>
      <c r="W12560" t="s">
        <v>43116</v>
      </c>
      <c r="X12560" t="s">
        <v>44777</v>
      </c>
    </row>
    <row r="12561" spans="1:24">
      <c r="A12561">
        <f>HYPERLINK("https://www.philgeps.gov.ph/GEPSNONPILOT/Tender/SplashBidNoticeAbstractUI.aspx?menuIndex=3&amp;refID=7122350&amp;Result=3","7122350")</f>
        <v>0</v>
      </c>
      <c r="B12561" t="s">
        <v>1232</v>
      </c>
      <c r="C12561" t="s">
        <v>15711</v>
      </c>
      <c r="D12561" t="s">
        <v>17969</v>
      </c>
      <c r="E12561" t="s">
        <v>28889</v>
      </c>
      <c r="F12561" t="s">
        <v>30900</v>
      </c>
      <c r="G12561" t="s">
        <v>30907</v>
      </c>
      <c r="H12561" t="s">
        <v>30916</v>
      </c>
      <c r="I12561" t="s">
        <v>30928</v>
      </c>
      <c r="J12561" t="s">
        <v>38867</v>
      </c>
      <c r="K12561" t="s">
        <v>40292</v>
      </c>
      <c r="M12561" t="s">
        <v>43975</v>
      </c>
      <c r="N12561" t="s">
        <v>44759</v>
      </c>
      <c r="O12561" t="s">
        <v>44760</v>
      </c>
      <c r="Q12561">
        <v>15</v>
      </c>
      <c r="R12561" t="s">
        <v>44776</v>
      </c>
      <c r="S12561" t="s">
        <v>45493</v>
      </c>
      <c r="T12561" t="s">
        <v>46422</v>
      </c>
      <c r="U12561" t="s">
        <v>57262</v>
      </c>
      <c r="W12561" t="s">
        <v>43975</v>
      </c>
      <c r="X12561" t="s">
        <v>44777</v>
      </c>
    </row>
    <row r="12562" spans="1:24">
      <c r="A12562">
        <f>HYPERLINK("https://www.philgeps.gov.ph/GEPSNONPILOT/Tender/SplashBidNoticeAbstractUI.aspx?menuIndex=3&amp;refID=7122359&amp;Result=3","7122359")</f>
        <v>0</v>
      </c>
      <c r="B12562" t="s">
        <v>2850</v>
      </c>
      <c r="C12562" t="s">
        <v>15712</v>
      </c>
      <c r="E12562" t="s">
        <v>28890</v>
      </c>
      <c r="F12562" t="s">
        <v>30900</v>
      </c>
      <c r="G12562" t="s">
        <v>30907</v>
      </c>
      <c r="H12562" t="s">
        <v>30917</v>
      </c>
      <c r="I12562" t="s">
        <v>31015</v>
      </c>
      <c r="J12562" t="s">
        <v>38868</v>
      </c>
      <c r="K12562" t="s">
        <v>40366</v>
      </c>
      <c r="M12562" t="s">
        <v>43637</v>
      </c>
      <c r="N12562" t="s">
        <v>44759</v>
      </c>
      <c r="O12562" t="s">
        <v>44760</v>
      </c>
      <c r="P12562">
        <v>0</v>
      </c>
      <c r="Q12562">
        <v>1</v>
      </c>
      <c r="R12562" t="s">
        <v>44776</v>
      </c>
      <c r="S12562" t="s">
        <v>45453</v>
      </c>
      <c r="T12562" t="s">
        <v>46400</v>
      </c>
      <c r="U12562" t="s">
        <v>57263</v>
      </c>
      <c r="W12562" t="s">
        <v>43637</v>
      </c>
      <c r="X12562" t="s">
        <v>44777</v>
      </c>
    </row>
    <row r="12563" spans="1:24">
      <c r="A12563">
        <f>HYPERLINK("https://www.philgeps.gov.ph/GEPSNONPILOT/Tender/SplashBidNoticeAbstractUI.aspx?menuIndex=3&amp;refID=7122093&amp;Result=3","7122093")</f>
        <v>0</v>
      </c>
      <c r="B12563" t="s">
        <v>1204</v>
      </c>
      <c r="C12563" t="s">
        <v>15713</v>
      </c>
      <c r="D12563" t="s">
        <v>17963</v>
      </c>
      <c r="E12563" t="s">
        <v>28891</v>
      </c>
      <c r="F12563" t="s">
        <v>30900</v>
      </c>
      <c r="G12563" t="s">
        <v>30907</v>
      </c>
      <c r="H12563" t="s">
        <v>30916</v>
      </c>
      <c r="I12563" t="s">
        <v>8365</v>
      </c>
      <c r="J12563" t="s">
        <v>38869</v>
      </c>
      <c r="K12563" t="s">
        <v>40289</v>
      </c>
      <c r="M12563" t="s">
        <v>43719</v>
      </c>
      <c r="N12563" t="s">
        <v>44759</v>
      </c>
      <c r="O12563" t="s">
        <v>44760</v>
      </c>
      <c r="P12563">
        <v>0</v>
      </c>
      <c r="Q12563">
        <v>12</v>
      </c>
      <c r="R12563" t="s">
        <v>44776</v>
      </c>
      <c r="S12563" t="s">
        <v>45453</v>
      </c>
      <c r="T12563" t="s">
        <v>46454</v>
      </c>
      <c r="U12563" t="s">
        <v>57264</v>
      </c>
      <c r="W12563" t="s">
        <v>41815</v>
      </c>
      <c r="X12563" t="s">
        <v>44777</v>
      </c>
    </row>
    <row r="12564" spans="1:24">
      <c r="A12564">
        <f>HYPERLINK("https://www.philgeps.gov.ph/GEPSNONPILOT/Tender/SplashBidNoticeAbstractUI.aspx?menuIndex=3&amp;refID=7122311&amp;Result=3","7122311")</f>
        <v>0</v>
      </c>
      <c r="B12564" t="s">
        <v>627</v>
      </c>
      <c r="C12564" t="s">
        <v>15714</v>
      </c>
      <c r="D12564" t="s">
        <v>17952</v>
      </c>
      <c r="E12564" t="s">
        <v>28892</v>
      </c>
      <c r="F12564" t="s">
        <v>30900</v>
      </c>
      <c r="G12564" t="s">
        <v>30907</v>
      </c>
      <c r="H12564" t="s">
        <v>30915</v>
      </c>
      <c r="I12564" t="s">
        <v>30919</v>
      </c>
      <c r="J12564" t="s">
        <v>32276</v>
      </c>
      <c r="K12564" t="s">
        <v>40292</v>
      </c>
      <c r="M12564" t="s">
        <v>41189</v>
      </c>
      <c r="N12564" t="s">
        <v>44759</v>
      </c>
      <c r="O12564" t="s">
        <v>44760</v>
      </c>
      <c r="P12564">
        <v>0</v>
      </c>
      <c r="Q12564">
        <v>2</v>
      </c>
      <c r="R12564" t="s">
        <v>44776</v>
      </c>
      <c r="S12564" t="s">
        <v>45453</v>
      </c>
      <c r="T12564" t="s">
        <v>46357</v>
      </c>
      <c r="U12564" t="s">
        <v>56873</v>
      </c>
      <c r="V12564" t="s">
        <v>60540</v>
      </c>
      <c r="W12564" t="s">
        <v>41189</v>
      </c>
      <c r="X12564" t="s">
        <v>44777</v>
      </c>
    </row>
    <row r="12565" spans="1:24">
      <c r="A12565">
        <f>HYPERLINK("https://www.philgeps.gov.ph/GEPSNONPILOT/Tender/SplashBidNoticeAbstractUI.aspx?menuIndex=3&amp;refID=7122296&amp;Result=3","7122296")</f>
        <v>0</v>
      </c>
      <c r="B12565" t="s">
        <v>1195</v>
      </c>
      <c r="C12565" t="s">
        <v>15715</v>
      </c>
      <c r="D12565" t="s">
        <v>17987</v>
      </c>
      <c r="E12565" t="s">
        <v>28893</v>
      </c>
      <c r="F12565" t="s">
        <v>30900</v>
      </c>
      <c r="G12565" t="s">
        <v>30907</v>
      </c>
      <c r="H12565" t="s">
        <v>30915</v>
      </c>
      <c r="I12565" t="s">
        <v>30919</v>
      </c>
      <c r="J12565" t="s">
        <v>38870</v>
      </c>
      <c r="K12565" t="s">
        <v>40358</v>
      </c>
      <c r="M12565" t="s">
        <v>41806</v>
      </c>
      <c r="N12565" t="s">
        <v>44759</v>
      </c>
      <c r="O12565" t="s">
        <v>44760</v>
      </c>
      <c r="Q12565">
        <v>0</v>
      </c>
      <c r="R12565" t="s">
        <v>44776</v>
      </c>
      <c r="S12565" t="s">
        <v>45494</v>
      </c>
      <c r="T12565" t="s">
        <v>46425</v>
      </c>
      <c r="U12565" t="s">
        <v>57265</v>
      </c>
      <c r="W12565" t="s">
        <v>41806</v>
      </c>
      <c r="X12565" t="s">
        <v>44777</v>
      </c>
    </row>
    <row r="12566" spans="1:24">
      <c r="A12566">
        <f>HYPERLINK("https://www.philgeps.gov.ph/GEPSNONPILOT/Tender/SplashBidNoticeAbstractUI.aspx?menuIndex=3&amp;refID=7122235&amp;Result=3","7122235")</f>
        <v>0</v>
      </c>
      <c r="B12566" t="s">
        <v>3527</v>
      </c>
      <c r="C12566" t="s">
        <v>15716</v>
      </c>
      <c r="D12566" t="s">
        <v>17968</v>
      </c>
      <c r="E12566" t="s">
        <v>28894</v>
      </c>
      <c r="F12566" t="s">
        <v>30900</v>
      </c>
      <c r="G12566" t="s">
        <v>30907</v>
      </c>
      <c r="H12566" t="s">
        <v>30916</v>
      </c>
      <c r="I12566" t="s">
        <v>8123</v>
      </c>
      <c r="J12566" t="s">
        <v>38871</v>
      </c>
      <c r="K12566" t="s">
        <v>40283</v>
      </c>
      <c r="M12566" t="s">
        <v>44439</v>
      </c>
      <c r="N12566" t="s">
        <v>44759</v>
      </c>
      <c r="O12566" t="s">
        <v>44760</v>
      </c>
      <c r="P12566">
        <v>0</v>
      </c>
      <c r="Q12566">
        <v>1</v>
      </c>
      <c r="R12566" t="s">
        <v>44776</v>
      </c>
      <c r="S12566" t="s">
        <v>45453</v>
      </c>
      <c r="T12566" t="s">
        <v>46363</v>
      </c>
      <c r="U12566" t="s">
        <v>57266</v>
      </c>
      <c r="W12566" t="s">
        <v>44439</v>
      </c>
      <c r="X12566" t="s">
        <v>44777</v>
      </c>
    </row>
    <row r="12567" spans="1:24">
      <c r="A12567">
        <f>HYPERLINK("https://www.philgeps.gov.ph/GEPSNONPILOT/Tender/SplashBidNoticeAbstractUI.aspx?menuIndex=3&amp;refID=7122294&amp;Result=3","7122294")</f>
        <v>0</v>
      </c>
      <c r="B12567" t="s">
        <v>1472</v>
      </c>
      <c r="C12567" t="s">
        <v>15717</v>
      </c>
      <c r="D12567" t="s">
        <v>17978</v>
      </c>
      <c r="E12567" t="s">
        <v>28895</v>
      </c>
      <c r="F12567" t="s">
        <v>30900</v>
      </c>
      <c r="G12567" t="s">
        <v>30907</v>
      </c>
      <c r="H12567" t="s">
        <v>30915</v>
      </c>
      <c r="I12567" t="s">
        <v>30919</v>
      </c>
      <c r="J12567" t="s">
        <v>38872</v>
      </c>
      <c r="K12567" t="s">
        <v>40371</v>
      </c>
      <c r="M12567" t="s">
        <v>42106</v>
      </c>
      <c r="N12567" t="s">
        <v>44759</v>
      </c>
      <c r="O12567" t="s">
        <v>44760</v>
      </c>
      <c r="P12567">
        <v>0</v>
      </c>
      <c r="Q12567">
        <v>0</v>
      </c>
      <c r="R12567" t="s">
        <v>44776</v>
      </c>
      <c r="S12567" t="s">
        <v>45453</v>
      </c>
      <c r="T12567" t="s">
        <v>46425</v>
      </c>
      <c r="U12567" t="s">
        <v>57267</v>
      </c>
      <c r="W12567" t="s">
        <v>42106</v>
      </c>
      <c r="X12567" t="s">
        <v>44777</v>
      </c>
    </row>
    <row r="12568" spans="1:24">
      <c r="A12568">
        <f>HYPERLINK("https://www.philgeps.gov.ph/GEPSNONPILOT/Tender/SplashBidNoticeAbstractUI.aspx?menuIndex=3&amp;refID=7122284&amp;Result=3","7122284")</f>
        <v>0</v>
      </c>
      <c r="B12568" t="s">
        <v>167</v>
      </c>
      <c r="C12568" t="s">
        <v>15718</v>
      </c>
      <c r="D12568" t="s">
        <v>17990</v>
      </c>
      <c r="E12568" t="s">
        <v>28896</v>
      </c>
      <c r="F12568" t="s">
        <v>30900</v>
      </c>
      <c r="G12568" t="s">
        <v>30907</v>
      </c>
      <c r="H12568" t="s">
        <v>30916</v>
      </c>
      <c r="I12568" t="s">
        <v>4017</v>
      </c>
      <c r="J12568" t="s">
        <v>31152</v>
      </c>
      <c r="K12568" t="s">
        <v>40292</v>
      </c>
      <c r="M12568" t="s">
        <v>44440</v>
      </c>
      <c r="N12568" t="s">
        <v>44759</v>
      </c>
      <c r="O12568" t="s">
        <v>44760</v>
      </c>
      <c r="Q12568">
        <v>19</v>
      </c>
      <c r="R12568" t="s">
        <v>44776</v>
      </c>
      <c r="S12568" t="s">
        <v>45277</v>
      </c>
      <c r="T12568" t="s">
        <v>46425</v>
      </c>
      <c r="U12568" t="s">
        <v>57268</v>
      </c>
      <c r="V12568" t="s">
        <v>60541</v>
      </c>
      <c r="W12568" t="s">
        <v>44440</v>
      </c>
      <c r="X12568" t="s">
        <v>44777</v>
      </c>
    </row>
    <row r="12569" spans="1:24">
      <c r="A12569">
        <f>HYPERLINK("https://www.philgeps.gov.ph/GEPSNONPILOT/Tender/SplashBidNoticeAbstractUI.aspx?menuIndex=3&amp;refID=7122081&amp;Result=3","7122081")</f>
        <v>0</v>
      </c>
      <c r="B12569" t="s">
        <v>3316</v>
      </c>
      <c r="C12569" t="s">
        <v>15719</v>
      </c>
      <c r="D12569" t="s">
        <v>17959</v>
      </c>
      <c r="E12569" t="s">
        <v>28897</v>
      </c>
      <c r="F12569" t="s">
        <v>30899</v>
      </c>
      <c r="G12569" t="s">
        <v>30907</v>
      </c>
      <c r="H12569" t="s">
        <v>30916</v>
      </c>
      <c r="I12569" t="s">
        <v>8123</v>
      </c>
      <c r="J12569" t="s">
        <v>38873</v>
      </c>
      <c r="K12569" t="s">
        <v>40286</v>
      </c>
      <c r="M12569" t="s">
        <v>44173</v>
      </c>
      <c r="N12569" t="s">
        <v>44759</v>
      </c>
      <c r="O12569" t="s">
        <v>44760</v>
      </c>
      <c r="P12569">
        <v>0</v>
      </c>
      <c r="Q12569">
        <v>0</v>
      </c>
      <c r="R12569" t="s">
        <v>44776</v>
      </c>
      <c r="S12569" t="s">
        <v>45453</v>
      </c>
      <c r="T12569" t="s">
        <v>46658</v>
      </c>
      <c r="U12569" t="s">
        <v>57269</v>
      </c>
      <c r="V12569" t="s">
        <v>60383</v>
      </c>
      <c r="W12569" t="s">
        <v>44173</v>
      </c>
      <c r="X12569" t="s">
        <v>44777</v>
      </c>
    </row>
    <row r="12570" spans="1:24">
      <c r="A12570">
        <f>HYPERLINK("https://www.philgeps.gov.ph/GEPSNONPILOT/Tender/SplashBidNoticeAbstractUI.aspx?menuIndex=3&amp;refID=7122324&amp;Result=3","7122324")</f>
        <v>0</v>
      </c>
      <c r="B12570" t="s">
        <v>1472</v>
      </c>
      <c r="C12570" t="s">
        <v>15720</v>
      </c>
      <c r="D12570" t="s">
        <v>17978</v>
      </c>
      <c r="E12570" t="s">
        <v>28898</v>
      </c>
      <c r="F12570" t="s">
        <v>30900</v>
      </c>
      <c r="G12570" t="s">
        <v>30907</v>
      </c>
      <c r="H12570" t="s">
        <v>30915</v>
      </c>
      <c r="I12570" t="s">
        <v>30919</v>
      </c>
      <c r="J12570" t="s">
        <v>38874</v>
      </c>
      <c r="K12570" t="s">
        <v>40314</v>
      </c>
      <c r="M12570" t="s">
        <v>42106</v>
      </c>
      <c r="N12570" t="s">
        <v>44759</v>
      </c>
      <c r="O12570" t="s">
        <v>44760</v>
      </c>
      <c r="P12570">
        <v>0</v>
      </c>
      <c r="Q12570">
        <v>0</v>
      </c>
      <c r="R12570" t="s">
        <v>44776</v>
      </c>
      <c r="S12570" t="s">
        <v>45453</v>
      </c>
      <c r="T12570" t="s">
        <v>46425</v>
      </c>
      <c r="U12570" t="s">
        <v>57270</v>
      </c>
      <c r="W12570" t="s">
        <v>42106</v>
      </c>
      <c r="X12570" t="s">
        <v>44777</v>
      </c>
    </row>
    <row r="12571" spans="1:24">
      <c r="A12571">
        <f>HYPERLINK("https://www.philgeps.gov.ph/GEPSNONPILOT/Tender/SplashBidNoticeAbstractUI.aspx?menuIndex=3&amp;refID=7122266&amp;Result=3","7122266")</f>
        <v>0</v>
      </c>
      <c r="B12571" t="s">
        <v>1472</v>
      </c>
      <c r="C12571" t="s">
        <v>15721</v>
      </c>
      <c r="D12571" t="s">
        <v>17978</v>
      </c>
      <c r="E12571" t="s">
        <v>28899</v>
      </c>
      <c r="F12571" t="s">
        <v>30900</v>
      </c>
      <c r="G12571" t="s">
        <v>30907</v>
      </c>
      <c r="H12571" t="s">
        <v>30916</v>
      </c>
      <c r="I12571" t="s">
        <v>30933</v>
      </c>
      <c r="J12571" t="s">
        <v>35229</v>
      </c>
      <c r="K12571" t="s">
        <v>40286</v>
      </c>
      <c r="M12571" t="s">
        <v>42106</v>
      </c>
      <c r="N12571" t="s">
        <v>44759</v>
      </c>
      <c r="O12571" t="s">
        <v>44760</v>
      </c>
      <c r="P12571">
        <v>0</v>
      </c>
      <c r="Q12571">
        <v>0</v>
      </c>
      <c r="R12571" t="s">
        <v>44776</v>
      </c>
      <c r="S12571" t="s">
        <v>45453</v>
      </c>
      <c r="T12571" t="s">
        <v>46880</v>
      </c>
      <c r="U12571" t="s">
        <v>57271</v>
      </c>
      <c r="W12571" t="s">
        <v>42106</v>
      </c>
      <c r="X12571" t="s">
        <v>44777</v>
      </c>
    </row>
    <row r="12572" spans="1:24">
      <c r="A12572">
        <f>HYPERLINK("https://www.philgeps.gov.ph/GEPSNONPILOT/Tender/SplashBidNoticeAbstractUI.aspx?menuIndex=3&amp;refID=7122300&amp;Result=3","7122300")</f>
        <v>0</v>
      </c>
      <c r="B12572" t="s">
        <v>911</v>
      </c>
      <c r="C12572" t="s">
        <v>15722</v>
      </c>
      <c r="D12572" t="s">
        <v>17961</v>
      </c>
      <c r="E12572" t="s">
        <v>28900</v>
      </c>
      <c r="F12572" t="s">
        <v>30900</v>
      </c>
      <c r="G12572" t="s">
        <v>30907</v>
      </c>
      <c r="H12572" t="s">
        <v>30915</v>
      </c>
      <c r="I12572" t="s">
        <v>30919</v>
      </c>
      <c r="J12572" t="s">
        <v>38875</v>
      </c>
      <c r="K12572" t="s">
        <v>40395</v>
      </c>
      <c r="M12572" t="s">
        <v>41490</v>
      </c>
      <c r="N12572" t="s">
        <v>44759</v>
      </c>
      <c r="O12572" t="s">
        <v>44760</v>
      </c>
      <c r="P12572">
        <v>0</v>
      </c>
      <c r="Q12572">
        <v>3</v>
      </c>
      <c r="R12572" t="s">
        <v>44776</v>
      </c>
      <c r="S12572" t="s">
        <v>45453</v>
      </c>
      <c r="T12572" t="s">
        <v>46409</v>
      </c>
      <c r="U12572" t="s">
        <v>57272</v>
      </c>
      <c r="W12572" t="s">
        <v>41490</v>
      </c>
      <c r="X12572" t="s">
        <v>44777</v>
      </c>
    </row>
    <row r="12573" spans="1:24">
      <c r="A12573">
        <f>HYPERLINK("https://www.philgeps.gov.ph/GEPSNONPILOT/Tender/SplashBidNoticeAbstractUI.aspx?menuIndex=3&amp;refID=7122563&amp;Result=3","7122563")</f>
        <v>0</v>
      </c>
      <c r="B12573" t="s">
        <v>331</v>
      </c>
      <c r="C12573" t="s">
        <v>15723</v>
      </c>
      <c r="D12573" t="s">
        <v>18004</v>
      </c>
      <c r="E12573" t="s">
        <v>28901</v>
      </c>
      <c r="F12573" t="s">
        <v>30900</v>
      </c>
      <c r="G12573" t="s">
        <v>30908</v>
      </c>
      <c r="H12573" t="s">
        <v>30916</v>
      </c>
      <c r="I12573" t="s">
        <v>8123</v>
      </c>
      <c r="J12573" t="s">
        <v>35503</v>
      </c>
      <c r="K12573" t="s">
        <v>40292</v>
      </c>
      <c r="M12573" t="s">
        <v>40882</v>
      </c>
      <c r="N12573" t="s">
        <v>44759</v>
      </c>
      <c r="O12573" t="s">
        <v>44760</v>
      </c>
      <c r="P12573">
        <v>0</v>
      </c>
      <c r="Q12573">
        <v>0</v>
      </c>
      <c r="R12573" t="s">
        <v>44776</v>
      </c>
      <c r="S12573" t="s">
        <v>45453</v>
      </c>
      <c r="T12573" t="s">
        <v>46357</v>
      </c>
      <c r="U12573" t="s">
        <v>47469</v>
      </c>
      <c r="W12573" t="s">
        <v>40882</v>
      </c>
      <c r="X12573" t="s">
        <v>44777</v>
      </c>
    </row>
    <row r="12574" spans="1:24">
      <c r="A12574">
        <f>HYPERLINK("https://www.philgeps.gov.ph/GEPSNONPILOT/Tender/SplashBidNoticeAbstractUI.aspx?menuIndex=3&amp;refID=7122561&amp;Result=3","7122561")</f>
        <v>0</v>
      </c>
      <c r="B12574" t="s">
        <v>860</v>
      </c>
      <c r="C12574" t="s">
        <v>15724</v>
      </c>
      <c r="D12574" t="s">
        <v>17959</v>
      </c>
      <c r="E12574" t="s">
        <v>28902</v>
      </c>
      <c r="F12574" t="s">
        <v>30900</v>
      </c>
      <c r="G12574" t="s">
        <v>30907</v>
      </c>
      <c r="H12574" t="s">
        <v>30915</v>
      </c>
      <c r="I12574" t="s">
        <v>30919</v>
      </c>
      <c r="J12574" t="s">
        <v>38876</v>
      </c>
      <c r="K12574" t="s">
        <v>40289</v>
      </c>
      <c r="M12574" t="s">
        <v>41433</v>
      </c>
      <c r="N12574" t="s">
        <v>44759</v>
      </c>
      <c r="O12574" t="s">
        <v>44760</v>
      </c>
      <c r="P12574">
        <v>0</v>
      </c>
      <c r="Q12574">
        <v>3</v>
      </c>
      <c r="R12574" t="s">
        <v>44776</v>
      </c>
      <c r="S12574" t="s">
        <v>45453</v>
      </c>
      <c r="T12574" t="s">
        <v>46395</v>
      </c>
      <c r="U12574" t="s">
        <v>57273</v>
      </c>
      <c r="W12574" t="s">
        <v>41433</v>
      </c>
      <c r="X12574" t="s">
        <v>44777</v>
      </c>
    </row>
    <row r="12575" spans="1:24">
      <c r="A12575">
        <f>HYPERLINK("https://www.philgeps.gov.ph/GEPSNONPILOT/Tender/SplashBidNoticeAbstractUI.aspx?menuIndex=3&amp;refID=7122415&amp;Result=3","7122415")</f>
        <v>0</v>
      </c>
      <c r="B12575" t="s">
        <v>3248</v>
      </c>
      <c r="C12575" t="s">
        <v>15725</v>
      </c>
      <c r="D12575" t="s">
        <v>17952</v>
      </c>
      <c r="E12575" t="s">
        <v>18158</v>
      </c>
      <c r="F12575" t="s">
        <v>30900</v>
      </c>
      <c r="G12575" t="s">
        <v>30907</v>
      </c>
      <c r="H12575" t="s">
        <v>30915</v>
      </c>
      <c r="I12575" t="s">
        <v>30919</v>
      </c>
      <c r="J12575" t="s">
        <v>33323</v>
      </c>
      <c r="K12575" t="s">
        <v>40304</v>
      </c>
      <c r="M12575" t="s">
        <v>44441</v>
      </c>
      <c r="N12575" t="s">
        <v>44759</v>
      </c>
      <c r="O12575" t="s">
        <v>44760</v>
      </c>
      <c r="P12575">
        <v>0</v>
      </c>
      <c r="Q12575">
        <v>1</v>
      </c>
      <c r="R12575" t="s">
        <v>44776</v>
      </c>
      <c r="S12575" t="s">
        <v>45453</v>
      </c>
      <c r="T12575" t="s">
        <v>46412</v>
      </c>
      <c r="U12575" t="s">
        <v>57274</v>
      </c>
      <c r="W12575" t="s">
        <v>44441</v>
      </c>
      <c r="X12575" t="s">
        <v>44777</v>
      </c>
    </row>
    <row r="12576" spans="1:24">
      <c r="A12576">
        <f>HYPERLINK("https://www.philgeps.gov.ph/GEPSNONPILOT/Tender/SplashBidNoticeAbstractUI.aspx?menuIndex=3&amp;refID=7122547&amp;Result=3","7122547")</f>
        <v>0</v>
      </c>
      <c r="B12576" t="s">
        <v>3528</v>
      </c>
      <c r="C12576" t="s">
        <v>15726</v>
      </c>
      <c r="D12576" t="s">
        <v>18019</v>
      </c>
      <c r="E12576" t="s">
        <v>28903</v>
      </c>
      <c r="F12576" t="s">
        <v>30900</v>
      </c>
      <c r="G12576" t="s">
        <v>30907</v>
      </c>
      <c r="H12576" t="s">
        <v>30916</v>
      </c>
      <c r="I12576" t="s">
        <v>8123</v>
      </c>
      <c r="J12576" t="s">
        <v>38877</v>
      </c>
      <c r="K12576" t="s">
        <v>40280</v>
      </c>
      <c r="M12576" t="s">
        <v>44442</v>
      </c>
      <c r="N12576" t="s">
        <v>44759</v>
      </c>
      <c r="O12576" t="s">
        <v>44760</v>
      </c>
      <c r="Q12576">
        <v>1</v>
      </c>
      <c r="R12576" t="s">
        <v>44776</v>
      </c>
      <c r="S12576" t="s">
        <v>45495</v>
      </c>
      <c r="T12576" t="s">
        <v>46910</v>
      </c>
      <c r="U12576" t="s">
        <v>57275</v>
      </c>
      <c r="W12576" t="s">
        <v>44442</v>
      </c>
      <c r="X12576" t="s">
        <v>44777</v>
      </c>
    </row>
    <row r="12577" spans="1:24">
      <c r="A12577">
        <f>HYPERLINK("https://www.philgeps.gov.ph/GEPSNONPILOT/Tender/SplashBidNoticeAbstractUI.aspx?menuIndex=3&amp;refID=7122544&amp;Result=3","7122544")</f>
        <v>0</v>
      </c>
      <c r="B12577" t="s">
        <v>3529</v>
      </c>
      <c r="C12577" t="s">
        <v>15727</v>
      </c>
      <c r="D12577" t="s">
        <v>17960</v>
      </c>
      <c r="E12577" t="s">
        <v>28904</v>
      </c>
      <c r="F12577" t="s">
        <v>30900</v>
      </c>
      <c r="G12577" t="s">
        <v>30907</v>
      </c>
      <c r="H12577" t="s">
        <v>30916</v>
      </c>
      <c r="I12577" t="s">
        <v>4108</v>
      </c>
      <c r="J12577" t="s">
        <v>38878</v>
      </c>
      <c r="K12577" t="s">
        <v>40304</v>
      </c>
      <c r="M12577" t="s">
        <v>44443</v>
      </c>
      <c r="N12577" t="s">
        <v>44759</v>
      </c>
      <c r="O12577" t="s">
        <v>44760</v>
      </c>
      <c r="P12577">
        <v>0</v>
      </c>
      <c r="Q12577">
        <v>2</v>
      </c>
      <c r="R12577" t="s">
        <v>44776</v>
      </c>
      <c r="S12577" t="s">
        <v>45453</v>
      </c>
      <c r="T12577" t="s">
        <v>46376</v>
      </c>
      <c r="U12577" t="s">
        <v>57276</v>
      </c>
      <c r="V12577" t="s">
        <v>60542</v>
      </c>
      <c r="W12577" t="s">
        <v>44443</v>
      </c>
      <c r="X12577" t="s">
        <v>44777</v>
      </c>
    </row>
    <row r="12578" spans="1:24">
      <c r="A12578">
        <f>HYPERLINK("https://www.philgeps.gov.ph/GEPSNONPILOT/Tender/SplashBidNoticeAbstractUI.aspx?menuIndex=3&amp;refID=7122539&amp;Result=3","7122539")</f>
        <v>0</v>
      </c>
      <c r="B12578" t="s">
        <v>331</v>
      </c>
      <c r="C12578" t="s">
        <v>15728</v>
      </c>
      <c r="D12578" t="s">
        <v>18004</v>
      </c>
      <c r="E12578" t="s">
        <v>28905</v>
      </c>
      <c r="F12578" t="s">
        <v>30900</v>
      </c>
      <c r="G12578" t="s">
        <v>30908</v>
      </c>
      <c r="H12578" t="s">
        <v>30916</v>
      </c>
      <c r="I12578" t="s">
        <v>8123</v>
      </c>
      <c r="J12578" t="s">
        <v>38879</v>
      </c>
      <c r="K12578" t="s">
        <v>40292</v>
      </c>
      <c r="M12578" t="s">
        <v>40882</v>
      </c>
      <c r="N12578" t="s">
        <v>44759</v>
      </c>
      <c r="O12578" t="s">
        <v>44760</v>
      </c>
      <c r="P12578">
        <v>0</v>
      </c>
      <c r="Q12578">
        <v>0</v>
      </c>
      <c r="R12578" t="s">
        <v>44776</v>
      </c>
      <c r="S12578" t="s">
        <v>45453</v>
      </c>
      <c r="T12578" t="s">
        <v>46357</v>
      </c>
      <c r="U12578" t="s">
        <v>47469</v>
      </c>
      <c r="W12578" t="s">
        <v>40882</v>
      </c>
      <c r="X12578" t="s">
        <v>44777</v>
      </c>
    </row>
    <row r="12579" spans="1:24">
      <c r="A12579">
        <f>HYPERLINK("https://www.philgeps.gov.ph/GEPSNONPILOT/Tender/SplashBidNoticeAbstractUI.aspx?menuIndex=3&amp;refID=7122528&amp;Result=3","7122528")</f>
        <v>0</v>
      </c>
      <c r="B12579" t="s">
        <v>831</v>
      </c>
      <c r="C12579" t="s">
        <v>15729</v>
      </c>
      <c r="D12579" t="s">
        <v>17971</v>
      </c>
      <c r="E12579" t="s">
        <v>19010</v>
      </c>
      <c r="F12579" t="s">
        <v>30900</v>
      </c>
      <c r="G12579" t="s">
        <v>30907</v>
      </c>
      <c r="H12579" t="s">
        <v>30916</v>
      </c>
      <c r="I12579" t="s">
        <v>4545</v>
      </c>
      <c r="J12579" t="s">
        <v>38880</v>
      </c>
      <c r="K12579" t="s">
        <v>40286</v>
      </c>
      <c r="M12579" t="s">
        <v>41404</v>
      </c>
      <c r="N12579" t="s">
        <v>44759</v>
      </c>
      <c r="O12579" t="s">
        <v>44760</v>
      </c>
      <c r="P12579">
        <v>0</v>
      </c>
      <c r="Q12579">
        <v>6</v>
      </c>
      <c r="R12579" t="s">
        <v>44776</v>
      </c>
      <c r="S12579" t="s">
        <v>45453</v>
      </c>
      <c r="T12579" t="s">
        <v>46474</v>
      </c>
      <c r="U12579" t="s">
        <v>57277</v>
      </c>
      <c r="W12579" t="s">
        <v>41404</v>
      </c>
      <c r="X12579" t="s">
        <v>44777</v>
      </c>
    </row>
    <row r="12580" spans="1:24">
      <c r="A12580">
        <f>HYPERLINK("https://www.philgeps.gov.ph/GEPSNONPILOT/Tender/SplashBidNoticeAbstractUI.aspx?menuIndex=3&amp;refID=7122526&amp;Result=3","7122526")</f>
        <v>0</v>
      </c>
      <c r="B12580" t="s">
        <v>3436</v>
      </c>
      <c r="C12580" t="s">
        <v>15730</v>
      </c>
      <c r="D12580" t="s">
        <v>17999</v>
      </c>
      <c r="E12580" t="s">
        <v>28906</v>
      </c>
      <c r="F12580" t="s">
        <v>30900</v>
      </c>
      <c r="G12580" t="s">
        <v>30907</v>
      </c>
      <c r="H12580" t="s">
        <v>30916</v>
      </c>
      <c r="I12580" t="s">
        <v>30939</v>
      </c>
      <c r="J12580" t="s">
        <v>38881</v>
      </c>
      <c r="K12580" t="s">
        <v>40319</v>
      </c>
      <c r="M12580" t="s">
        <v>44317</v>
      </c>
      <c r="N12580" t="s">
        <v>44759</v>
      </c>
      <c r="O12580" t="s">
        <v>44760</v>
      </c>
      <c r="P12580">
        <v>0</v>
      </c>
      <c r="Q12580">
        <v>0</v>
      </c>
      <c r="R12580" t="s">
        <v>44776</v>
      </c>
      <c r="S12580" t="s">
        <v>45453</v>
      </c>
      <c r="T12580" t="s">
        <v>46357</v>
      </c>
      <c r="U12580" t="s">
        <v>57278</v>
      </c>
      <c r="V12580" t="s">
        <v>60543</v>
      </c>
      <c r="W12580" t="s">
        <v>60935</v>
      </c>
      <c r="X12580" t="s">
        <v>44777</v>
      </c>
    </row>
    <row r="12581" spans="1:24">
      <c r="A12581">
        <f>HYPERLINK("https://www.philgeps.gov.ph/GEPSNONPILOT/Tender/SplashBidNoticeAbstractUI.aspx?menuIndex=3&amp;refID=7122567&amp;Result=3","7122567")</f>
        <v>0</v>
      </c>
      <c r="B12581" t="s">
        <v>3530</v>
      </c>
      <c r="C12581" t="s">
        <v>15731</v>
      </c>
      <c r="D12581" t="s">
        <v>17985</v>
      </c>
      <c r="E12581" t="s">
        <v>28907</v>
      </c>
      <c r="F12581" t="s">
        <v>30900</v>
      </c>
      <c r="G12581" t="s">
        <v>30907</v>
      </c>
      <c r="H12581" t="s">
        <v>30915</v>
      </c>
      <c r="I12581" t="s">
        <v>30919</v>
      </c>
      <c r="J12581" t="s">
        <v>31152</v>
      </c>
      <c r="K12581" t="s">
        <v>40280</v>
      </c>
      <c r="M12581" t="s">
        <v>44444</v>
      </c>
      <c r="N12581" t="s">
        <v>44759</v>
      </c>
      <c r="O12581" t="s">
        <v>44760</v>
      </c>
      <c r="P12581">
        <v>0</v>
      </c>
      <c r="Q12581">
        <v>0</v>
      </c>
      <c r="R12581" t="s">
        <v>44776</v>
      </c>
      <c r="S12581" t="s">
        <v>45453</v>
      </c>
      <c r="T12581" t="s">
        <v>46350</v>
      </c>
      <c r="U12581" t="s">
        <v>57279</v>
      </c>
      <c r="W12581" t="s">
        <v>44444</v>
      </c>
      <c r="X12581" t="s">
        <v>44777</v>
      </c>
    </row>
    <row r="12582" spans="1:24">
      <c r="A12582">
        <f>HYPERLINK("https://www.philgeps.gov.ph/GEPSNONPILOT/Tender/SplashBidNoticeAbstractUI.aspx?menuIndex=3&amp;refID=7122512&amp;Result=3","7122512")</f>
        <v>0</v>
      </c>
      <c r="B12582" t="s">
        <v>2753</v>
      </c>
      <c r="C12582" t="s">
        <v>15732</v>
      </c>
      <c r="D12582" t="s">
        <v>18038</v>
      </c>
      <c r="E12582" t="s">
        <v>28908</v>
      </c>
      <c r="F12582" t="s">
        <v>30900</v>
      </c>
      <c r="G12582" t="s">
        <v>30907</v>
      </c>
      <c r="H12582" t="s">
        <v>30915</v>
      </c>
      <c r="I12582" t="s">
        <v>30919</v>
      </c>
      <c r="J12582" t="s">
        <v>38882</v>
      </c>
      <c r="K12582" t="s">
        <v>40280</v>
      </c>
      <c r="M12582" t="s">
        <v>43530</v>
      </c>
      <c r="N12582" t="s">
        <v>44759</v>
      </c>
      <c r="O12582" t="s">
        <v>44760</v>
      </c>
      <c r="P12582">
        <v>0</v>
      </c>
      <c r="Q12582">
        <v>0</v>
      </c>
      <c r="R12582" t="s">
        <v>44776</v>
      </c>
      <c r="S12582" t="s">
        <v>45453</v>
      </c>
      <c r="T12582" t="s">
        <v>46357</v>
      </c>
      <c r="U12582" t="s">
        <v>57280</v>
      </c>
      <c r="W12582" t="s">
        <v>43530</v>
      </c>
      <c r="X12582" t="s">
        <v>44777</v>
      </c>
    </row>
    <row r="12583" spans="1:24">
      <c r="A12583">
        <f>HYPERLINK("https://www.philgeps.gov.ph/GEPSNONPILOT/Tender/SplashBidNoticeAbstractUI.aspx?menuIndex=3&amp;refID=7122554&amp;Result=3","7122554")</f>
        <v>0</v>
      </c>
      <c r="B12583" t="s">
        <v>3530</v>
      </c>
      <c r="C12583" t="s">
        <v>15733</v>
      </c>
      <c r="D12583" t="s">
        <v>17985</v>
      </c>
      <c r="E12583" t="s">
        <v>28909</v>
      </c>
      <c r="F12583" t="s">
        <v>30900</v>
      </c>
      <c r="G12583" t="s">
        <v>30907</v>
      </c>
      <c r="H12583" t="s">
        <v>30915</v>
      </c>
      <c r="I12583" t="s">
        <v>30919</v>
      </c>
      <c r="J12583" t="s">
        <v>38883</v>
      </c>
      <c r="K12583" t="s">
        <v>40293</v>
      </c>
      <c r="M12583" t="s">
        <v>44444</v>
      </c>
      <c r="N12583" t="s">
        <v>44759</v>
      </c>
      <c r="O12583" t="s">
        <v>44760</v>
      </c>
      <c r="P12583">
        <v>0</v>
      </c>
      <c r="Q12583">
        <v>0</v>
      </c>
      <c r="R12583" t="s">
        <v>44776</v>
      </c>
      <c r="S12583" t="s">
        <v>45453</v>
      </c>
      <c r="T12583" t="s">
        <v>46350</v>
      </c>
      <c r="U12583" t="s">
        <v>57281</v>
      </c>
      <c r="W12583" t="s">
        <v>44444</v>
      </c>
      <c r="X12583" t="s">
        <v>44777</v>
      </c>
    </row>
    <row r="12584" spans="1:24">
      <c r="A12584">
        <f>HYPERLINK("https://www.philgeps.gov.ph/GEPSNONPILOT/Tender/SplashBidNoticeAbstractUI.aspx?menuIndex=3&amp;refID=7122534&amp;Result=3","7122534")</f>
        <v>0</v>
      </c>
      <c r="B12584" t="s">
        <v>860</v>
      </c>
      <c r="C12584" t="s">
        <v>15734</v>
      </c>
      <c r="D12584" t="s">
        <v>17959</v>
      </c>
      <c r="E12584" t="s">
        <v>28910</v>
      </c>
      <c r="F12584" t="s">
        <v>30900</v>
      </c>
      <c r="G12584" t="s">
        <v>30907</v>
      </c>
      <c r="H12584" t="s">
        <v>30917</v>
      </c>
      <c r="I12584" t="s">
        <v>30942</v>
      </c>
      <c r="J12584" t="s">
        <v>38884</v>
      </c>
      <c r="K12584" t="s">
        <v>40332</v>
      </c>
      <c r="M12584" t="s">
        <v>41433</v>
      </c>
      <c r="N12584" t="s">
        <v>44759</v>
      </c>
      <c r="O12584" t="s">
        <v>44760</v>
      </c>
      <c r="P12584">
        <v>0</v>
      </c>
      <c r="Q12584">
        <v>4</v>
      </c>
      <c r="R12584" t="s">
        <v>44776</v>
      </c>
      <c r="S12584" t="s">
        <v>45453</v>
      </c>
      <c r="T12584" t="s">
        <v>46395</v>
      </c>
      <c r="U12584" t="s">
        <v>57282</v>
      </c>
      <c r="W12584" t="s">
        <v>41433</v>
      </c>
      <c r="X12584" t="s">
        <v>44777</v>
      </c>
    </row>
    <row r="12585" spans="1:24">
      <c r="A12585">
        <f>HYPERLINK("https://www.philgeps.gov.ph/GEPSNONPILOT/Tender/SplashBidNoticeAbstractUI.aspx?menuIndex=3&amp;refID=7122668&amp;Result=3","7122668")</f>
        <v>0</v>
      </c>
      <c r="B12585" t="s">
        <v>3531</v>
      </c>
      <c r="C12585" t="s">
        <v>15735</v>
      </c>
      <c r="D12585" t="s">
        <v>17959</v>
      </c>
      <c r="E12585" t="s">
        <v>28911</v>
      </c>
      <c r="F12585" t="s">
        <v>30900</v>
      </c>
      <c r="G12585" t="s">
        <v>30907</v>
      </c>
      <c r="H12585" t="s">
        <v>30916</v>
      </c>
      <c r="I12585" t="s">
        <v>30924</v>
      </c>
      <c r="J12585" t="s">
        <v>38885</v>
      </c>
      <c r="K12585" t="s">
        <v>40286</v>
      </c>
      <c r="M12585" t="s">
        <v>44445</v>
      </c>
      <c r="N12585" t="s">
        <v>44759</v>
      </c>
      <c r="O12585" t="s">
        <v>44760</v>
      </c>
      <c r="Q12585">
        <v>17</v>
      </c>
      <c r="R12585" t="s">
        <v>44776</v>
      </c>
      <c r="S12585" t="s">
        <v>45496</v>
      </c>
      <c r="T12585" t="s">
        <v>46712</v>
      </c>
      <c r="U12585" t="s">
        <v>57283</v>
      </c>
      <c r="V12585" t="s">
        <v>60544</v>
      </c>
      <c r="W12585" t="s">
        <v>44445</v>
      </c>
      <c r="X12585" t="s">
        <v>44777</v>
      </c>
    </row>
    <row r="12586" spans="1:24">
      <c r="A12586">
        <f>HYPERLINK("https://www.philgeps.gov.ph/GEPSNONPILOT/Tender/SplashBidNoticeAbstractUI.aspx?menuIndex=3&amp;refID=7122095&amp;Result=3","7122095")</f>
        <v>0</v>
      </c>
      <c r="B12586" t="s">
        <v>1472</v>
      </c>
      <c r="C12586" t="s">
        <v>15736</v>
      </c>
      <c r="D12586" t="s">
        <v>17978</v>
      </c>
      <c r="E12586" t="s">
        <v>28912</v>
      </c>
      <c r="F12586" t="s">
        <v>30900</v>
      </c>
      <c r="G12586" t="s">
        <v>30907</v>
      </c>
      <c r="H12586" t="s">
        <v>30916</v>
      </c>
      <c r="I12586" t="s">
        <v>30976</v>
      </c>
      <c r="J12586" t="s">
        <v>33333</v>
      </c>
      <c r="K12586" t="s">
        <v>40286</v>
      </c>
      <c r="M12586" t="s">
        <v>42106</v>
      </c>
      <c r="N12586" t="s">
        <v>44759</v>
      </c>
      <c r="O12586" t="s">
        <v>44760</v>
      </c>
      <c r="P12586">
        <v>0</v>
      </c>
      <c r="Q12586">
        <v>8</v>
      </c>
      <c r="R12586" t="s">
        <v>44776</v>
      </c>
      <c r="S12586" t="s">
        <v>45453</v>
      </c>
      <c r="T12586" t="s">
        <v>46425</v>
      </c>
      <c r="U12586" t="s">
        <v>57284</v>
      </c>
      <c r="W12586" t="s">
        <v>42106</v>
      </c>
      <c r="X12586" t="s">
        <v>44777</v>
      </c>
    </row>
    <row r="12587" spans="1:24">
      <c r="A12587">
        <f>HYPERLINK("https://www.philgeps.gov.ph/GEPSNONPILOT/Tender/SplashBidNoticeAbstractUI.aspx?menuIndex=3&amp;refID=7122507&amp;Result=3","7122507")</f>
        <v>0</v>
      </c>
      <c r="B12587" t="s">
        <v>721</v>
      </c>
      <c r="C12587" t="s">
        <v>15737</v>
      </c>
      <c r="D12587" t="s">
        <v>17973</v>
      </c>
      <c r="E12587" t="s">
        <v>28913</v>
      </c>
      <c r="F12587" t="s">
        <v>30900</v>
      </c>
      <c r="G12587" t="s">
        <v>30907</v>
      </c>
      <c r="H12587" t="s">
        <v>30916</v>
      </c>
      <c r="I12587" t="s">
        <v>30933</v>
      </c>
      <c r="J12587" t="s">
        <v>38886</v>
      </c>
      <c r="K12587" t="s">
        <v>40286</v>
      </c>
      <c r="M12587" t="s">
        <v>41285</v>
      </c>
      <c r="N12587" t="s">
        <v>44759</v>
      </c>
      <c r="O12587" t="s">
        <v>44760</v>
      </c>
      <c r="Q12587">
        <v>8</v>
      </c>
      <c r="R12587" t="s">
        <v>44776</v>
      </c>
      <c r="S12587" t="s">
        <v>45497</v>
      </c>
      <c r="T12587" t="s">
        <v>46389</v>
      </c>
      <c r="U12587" t="s">
        <v>57285</v>
      </c>
      <c r="W12587" t="s">
        <v>41285</v>
      </c>
      <c r="X12587" t="s">
        <v>44777</v>
      </c>
    </row>
    <row r="12588" spans="1:24">
      <c r="A12588">
        <f>HYPERLINK("https://www.philgeps.gov.ph/GEPSNONPILOT/Tender/SplashBidNoticeAbstractUI.aspx?menuIndex=3&amp;refID=7122667&amp;Result=3","7122667")</f>
        <v>0</v>
      </c>
      <c r="B12588" t="s">
        <v>2053</v>
      </c>
      <c r="C12588" t="s">
        <v>15738</v>
      </c>
      <c r="D12588" t="s">
        <v>17998</v>
      </c>
      <c r="E12588" t="s">
        <v>28914</v>
      </c>
      <c r="F12588" t="s">
        <v>30900</v>
      </c>
      <c r="G12588" t="s">
        <v>30907</v>
      </c>
      <c r="H12588" t="s">
        <v>30916</v>
      </c>
      <c r="I12588" t="s">
        <v>30941</v>
      </c>
      <c r="J12588" t="s">
        <v>38887</v>
      </c>
      <c r="K12588" t="s">
        <v>40288</v>
      </c>
      <c r="M12588" t="s">
        <v>42752</v>
      </c>
      <c r="N12588" t="s">
        <v>44759</v>
      </c>
      <c r="O12588" t="s">
        <v>44760</v>
      </c>
      <c r="Q12588">
        <v>1</v>
      </c>
      <c r="R12588" t="s">
        <v>44776</v>
      </c>
      <c r="S12588" t="s">
        <v>45498</v>
      </c>
      <c r="T12588" t="s">
        <v>46911</v>
      </c>
      <c r="U12588" t="s">
        <v>57286</v>
      </c>
      <c r="W12588" t="s">
        <v>42752</v>
      </c>
      <c r="X12588" t="s">
        <v>44777</v>
      </c>
    </row>
    <row r="12589" spans="1:24">
      <c r="A12589">
        <f>HYPERLINK("https://www.philgeps.gov.ph/GEPSNONPILOT/Tender/SplashBidNoticeAbstractUI.aspx?menuIndex=3&amp;refID=7122648&amp;Result=3","7122648")</f>
        <v>0</v>
      </c>
      <c r="B12589" t="s">
        <v>2053</v>
      </c>
      <c r="C12589" t="s">
        <v>15739</v>
      </c>
      <c r="D12589" t="s">
        <v>17980</v>
      </c>
      <c r="E12589" t="s">
        <v>28915</v>
      </c>
      <c r="F12589" t="s">
        <v>30900</v>
      </c>
      <c r="G12589" t="s">
        <v>30907</v>
      </c>
      <c r="H12589" t="s">
        <v>30916</v>
      </c>
      <c r="I12589" t="s">
        <v>30936</v>
      </c>
      <c r="J12589" t="s">
        <v>38888</v>
      </c>
      <c r="K12589" t="s">
        <v>40293</v>
      </c>
      <c r="M12589" t="s">
        <v>42752</v>
      </c>
      <c r="N12589" t="s">
        <v>44759</v>
      </c>
      <c r="O12589" t="s">
        <v>44760</v>
      </c>
      <c r="Q12589">
        <v>4</v>
      </c>
      <c r="R12589" t="s">
        <v>44776</v>
      </c>
      <c r="S12589" t="s">
        <v>45499</v>
      </c>
      <c r="T12589" t="s">
        <v>46694</v>
      </c>
      <c r="U12589" t="s">
        <v>57287</v>
      </c>
      <c r="W12589" t="s">
        <v>42752</v>
      </c>
      <c r="X12589" t="s">
        <v>44777</v>
      </c>
    </row>
    <row r="12590" spans="1:24">
      <c r="A12590">
        <f>HYPERLINK("https://www.philgeps.gov.ph/GEPSNONPILOT/Tender/SplashBidNoticeAbstractUI.aspx?menuIndex=3&amp;refID=7122642&amp;Result=3","7122642")</f>
        <v>0</v>
      </c>
      <c r="B12590" t="s">
        <v>959</v>
      </c>
      <c r="C12590" t="s">
        <v>15740</v>
      </c>
      <c r="D12590" t="s">
        <v>17975</v>
      </c>
      <c r="E12590" t="s">
        <v>28916</v>
      </c>
      <c r="F12590" t="s">
        <v>30899</v>
      </c>
      <c r="G12590" t="s">
        <v>30907</v>
      </c>
      <c r="H12590" t="s">
        <v>30916</v>
      </c>
      <c r="I12590" t="s">
        <v>30919</v>
      </c>
      <c r="J12590" t="s">
        <v>38889</v>
      </c>
      <c r="K12590" t="s">
        <v>40292</v>
      </c>
      <c r="M12590" t="s">
        <v>41545</v>
      </c>
      <c r="N12590" t="s">
        <v>44759</v>
      </c>
      <c r="O12590" t="s">
        <v>44760</v>
      </c>
      <c r="Q12590">
        <v>2</v>
      </c>
      <c r="R12590" t="s">
        <v>44776</v>
      </c>
      <c r="S12590" t="s">
        <v>45500</v>
      </c>
      <c r="T12590" t="s">
        <v>46399</v>
      </c>
      <c r="U12590" t="s">
        <v>57288</v>
      </c>
      <c r="V12590" t="s">
        <v>60545</v>
      </c>
      <c r="W12590" t="s">
        <v>41545</v>
      </c>
      <c r="X12590" t="s">
        <v>44777</v>
      </c>
    </row>
    <row r="12591" spans="1:24">
      <c r="A12591">
        <f>HYPERLINK("https://www.philgeps.gov.ph/GEPSNONPILOT/Tender/SplashBidNoticeAbstractUI.aspx?menuIndex=3&amp;refID=7122079&amp;Result=3","7122079")</f>
        <v>0</v>
      </c>
      <c r="B12591" t="s">
        <v>3433</v>
      </c>
      <c r="C12591" t="s">
        <v>15741</v>
      </c>
      <c r="D12591" t="s">
        <v>17989</v>
      </c>
      <c r="E12591" t="s">
        <v>19976</v>
      </c>
      <c r="F12591" t="s">
        <v>30900</v>
      </c>
      <c r="G12591" t="s">
        <v>30906</v>
      </c>
      <c r="H12591" t="s">
        <v>30916</v>
      </c>
      <c r="I12591" t="s">
        <v>30933</v>
      </c>
      <c r="J12591" t="s">
        <v>31297</v>
      </c>
      <c r="K12591" t="s">
        <v>40286</v>
      </c>
      <c r="M12591" t="s">
        <v>44314</v>
      </c>
      <c r="N12591" t="s">
        <v>44759</v>
      </c>
      <c r="O12591" t="s">
        <v>44760</v>
      </c>
      <c r="P12591">
        <v>0</v>
      </c>
      <c r="Q12591">
        <v>4</v>
      </c>
      <c r="R12591" t="s">
        <v>44776</v>
      </c>
      <c r="S12591" t="s">
        <v>45453</v>
      </c>
      <c r="T12591" t="s">
        <v>46399</v>
      </c>
      <c r="U12591" t="s">
        <v>57289</v>
      </c>
      <c r="W12591" t="s">
        <v>44314</v>
      </c>
      <c r="X12591" t="s">
        <v>44777</v>
      </c>
    </row>
    <row r="12592" spans="1:24">
      <c r="A12592">
        <f>HYPERLINK("https://www.philgeps.gov.ph/GEPSNONPILOT/Tender/SplashBidNoticeAbstractUI.aspx?menuIndex=3&amp;refID=7122674&amp;Result=3","7122674")</f>
        <v>0</v>
      </c>
      <c r="B12592" t="s">
        <v>959</v>
      </c>
      <c r="C12592" t="s">
        <v>15742</v>
      </c>
      <c r="D12592" t="s">
        <v>17975</v>
      </c>
      <c r="E12592" t="s">
        <v>28917</v>
      </c>
      <c r="F12592" t="s">
        <v>30899</v>
      </c>
      <c r="G12592" t="s">
        <v>30907</v>
      </c>
      <c r="H12592" t="s">
        <v>30916</v>
      </c>
      <c r="I12592" t="s">
        <v>30919</v>
      </c>
      <c r="J12592" t="s">
        <v>38890</v>
      </c>
      <c r="K12592" t="s">
        <v>40292</v>
      </c>
      <c r="M12592" t="s">
        <v>41545</v>
      </c>
      <c r="N12592" t="s">
        <v>44759</v>
      </c>
      <c r="O12592" t="s">
        <v>44760</v>
      </c>
      <c r="Q12592">
        <v>1</v>
      </c>
      <c r="R12592" t="s">
        <v>44776</v>
      </c>
      <c r="S12592" t="s">
        <v>45501</v>
      </c>
      <c r="T12592" t="s">
        <v>46399</v>
      </c>
      <c r="U12592" t="s">
        <v>57288</v>
      </c>
      <c r="V12592" t="s">
        <v>59893</v>
      </c>
      <c r="W12592" t="s">
        <v>41545</v>
      </c>
      <c r="X12592" t="s">
        <v>44777</v>
      </c>
    </row>
    <row r="12593" spans="1:24">
      <c r="A12593">
        <f>HYPERLINK("https://www.philgeps.gov.ph/GEPSNONPILOT/Tender/SplashBidNoticeAbstractUI.aspx?menuIndex=3&amp;refID=7122656&amp;Result=3","7122656")</f>
        <v>0</v>
      </c>
      <c r="B12593" t="s">
        <v>2095</v>
      </c>
      <c r="C12593" t="s">
        <v>15743</v>
      </c>
      <c r="D12593" t="s">
        <v>17975</v>
      </c>
      <c r="E12593" t="s">
        <v>20231</v>
      </c>
      <c r="F12593" t="s">
        <v>30900</v>
      </c>
      <c r="G12593" t="s">
        <v>30907</v>
      </c>
      <c r="H12593" t="s">
        <v>30916</v>
      </c>
      <c r="I12593" t="s">
        <v>30935</v>
      </c>
      <c r="J12593" t="s">
        <v>35542</v>
      </c>
      <c r="K12593" t="s">
        <v>40287</v>
      </c>
      <c r="M12593" t="s">
        <v>42794</v>
      </c>
      <c r="N12593" t="s">
        <v>44759</v>
      </c>
      <c r="O12593" t="s">
        <v>44760</v>
      </c>
      <c r="P12593">
        <v>0</v>
      </c>
      <c r="Q12593">
        <v>2</v>
      </c>
      <c r="R12593" t="s">
        <v>44776</v>
      </c>
      <c r="S12593" t="s">
        <v>45453</v>
      </c>
      <c r="T12593" t="s">
        <v>46376</v>
      </c>
      <c r="U12593" t="s">
        <v>57290</v>
      </c>
      <c r="W12593" t="s">
        <v>42794</v>
      </c>
      <c r="X12593" t="s">
        <v>44777</v>
      </c>
    </row>
    <row r="12594" spans="1:24">
      <c r="A12594">
        <f>HYPERLINK("https://www.philgeps.gov.ph/GEPSNONPILOT/Tender/SplashBidNoticeAbstractUI.aspx?menuIndex=3&amp;refID=7122660&amp;Result=3","7122660")</f>
        <v>0</v>
      </c>
      <c r="B12594" t="s">
        <v>2199</v>
      </c>
      <c r="C12594" t="s">
        <v>15744</v>
      </c>
      <c r="D12594" t="s">
        <v>17952</v>
      </c>
      <c r="E12594" t="s">
        <v>28918</v>
      </c>
      <c r="F12594" t="s">
        <v>30900</v>
      </c>
      <c r="G12594" t="s">
        <v>30907</v>
      </c>
      <c r="H12594" t="s">
        <v>30915</v>
      </c>
      <c r="I12594" t="s">
        <v>30919</v>
      </c>
      <c r="J12594" t="s">
        <v>38891</v>
      </c>
      <c r="K12594" t="s">
        <v>40280</v>
      </c>
      <c r="M12594" t="s">
        <v>42906</v>
      </c>
      <c r="N12594" t="s">
        <v>44759</v>
      </c>
      <c r="O12594" t="s">
        <v>44760</v>
      </c>
      <c r="P12594">
        <v>0</v>
      </c>
      <c r="Q12594">
        <v>2</v>
      </c>
      <c r="R12594" t="s">
        <v>44776</v>
      </c>
      <c r="S12594" t="s">
        <v>45453</v>
      </c>
      <c r="T12594" t="s">
        <v>46694</v>
      </c>
      <c r="U12594" t="s">
        <v>57116</v>
      </c>
      <c r="V12594" t="s">
        <v>59226</v>
      </c>
      <c r="W12594" t="s">
        <v>42906</v>
      </c>
      <c r="X12594" t="s">
        <v>44777</v>
      </c>
    </row>
    <row r="12595" spans="1:24">
      <c r="A12595">
        <f>HYPERLINK("https://www.philgeps.gov.ph/GEPSNONPILOT/Tender/SplashBidNoticeAbstractUI.aspx?menuIndex=3&amp;refID=7122683&amp;Result=3","7122683")</f>
        <v>0</v>
      </c>
      <c r="B12595" t="s">
        <v>2199</v>
      </c>
      <c r="C12595" t="s">
        <v>13671</v>
      </c>
      <c r="D12595" t="s">
        <v>17952</v>
      </c>
      <c r="E12595" t="s">
        <v>28919</v>
      </c>
      <c r="F12595" t="s">
        <v>30900</v>
      </c>
      <c r="G12595" t="s">
        <v>30907</v>
      </c>
      <c r="H12595" t="s">
        <v>30915</v>
      </c>
      <c r="I12595" t="s">
        <v>30919</v>
      </c>
      <c r="J12595" t="s">
        <v>38892</v>
      </c>
      <c r="K12595" t="s">
        <v>40280</v>
      </c>
      <c r="M12595" t="s">
        <v>42906</v>
      </c>
      <c r="N12595" t="s">
        <v>44759</v>
      </c>
      <c r="O12595" t="s">
        <v>44760</v>
      </c>
      <c r="P12595">
        <v>0</v>
      </c>
      <c r="Q12595">
        <v>4</v>
      </c>
      <c r="R12595" t="s">
        <v>44776</v>
      </c>
      <c r="S12595" t="s">
        <v>45453</v>
      </c>
      <c r="T12595" t="s">
        <v>46694</v>
      </c>
      <c r="U12595" t="s">
        <v>57116</v>
      </c>
      <c r="V12595" t="s">
        <v>59226</v>
      </c>
      <c r="W12595" t="s">
        <v>42906</v>
      </c>
      <c r="X12595" t="s">
        <v>44777</v>
      </c>
    </row>
    <row r="12596" spans="1:24">
      <c r="A12596">
        <f>HYPERLINK("https://www.philgeps.gov.ph/GEPSNONPILOT/Tender/SplashBidNoticeAbstractUI.aspx?menuIndex=3&amp;refID=7122792&amp;Result=3","7122792")</f>
        <v>0</v>
      </c>
      <c r="B12596" t="s">
        <v>2199</v>
      </c>
      <c r="C12596" t="s">
        <v>15745</v>
      </c>
      <c r="D12596" t="s">
        <v>17952</v>
      </c>
      <c r="E12596" t="s">
        <v>28920</v>
      </c>
      <c r="F12596" t="s">
        <v>30900</v>
      </c>
      <c r="G12596" t="s">
        <v>30907</v>
      </c>
      <c r="H12596" t="s">
        <v>30915</v>
      </c>
      <c r="I12596" t="s">
        <v>30919</v>
      </c>
      <c r="J12596" t="s">
        <v>38893</v>
      </c>
      <c r="K12596" t="s">
        <v>40280</v>
      </c>
      <c r="M12596" t="s">
        <v>42906</v>
      </c>
      <c r="N12596" t="s">
        <v>44759</v>
      </c>
      <c r="O12596" t="s">
        <v>44760</v>
      </c>
      <c r="P12596">
        <v>0</v>
      </c>
      <c r="Q12596">
        <v>1</v>
      </c>
      <c r="R12596" t="s">
        <v>44776</v>
      </c>
      <c r="S12596" t="s">
        <v>45453</v>
      </c>
      <c r="T12596" t="s">
        <v>46694</v>
      </c>
      <c r="U12596" t="s">
        <v>57116</v>
      </c>
      <c r="V12596" t="s">
        <v>59226</v>
      </c>
      <c r="W12596" t="s">
        <v>42906</v>
      </c>
      <c r="X12596" t="s">
        <v>44777</v>
      </c>
    </row>
    <row r="12597" spans="1:24">
      <c r="A12597">
        <f>HYPERLINK("https://www.philgeps.gov.ph/GEPSNONPILOT/Tender/SplashBidNoticeAbstractUI.aspx?menuIndex=3&amp;refID=7122794&amp;Result=3","7122794")</f>
        <v>0</v>
      </c>
      <c r="B12597" t="s">
        <v>945</v>
      </c>
      <c r="C12597" t="s">
        <v>15746</v>
      </c>
      <c r="D12597" t="s">
        <v>17962</v>
      </c>
      <c r="E12597" t="s">
        <v>28921</v>
      </c>
      <c r="F12597" t="s">
        <v>30900</v>
      </c>
      <c r="G12597" t="s">
        <v>30907</v>
      </c>
      <c r="H12597" t="s">
        <v>30916</v>
      </c>
      <c r="I12597" t="s">
        <v>4545</v>
      </c>
      <c r="J12597" t="s">
        <v>38894</v>
      </c>
      <c r="K12597" t="s">
        <v>40280</v>
      </c>
      <c r="M12597" t="s">
        <v>41529</v>
      </c>
      <c r="N12597" t="s">
        <v>44759</v>
      </c>
      <c r="O12597" t="s">
        <v>44760</v>
      </c>
      <c r="P12597">
        <v>0</v>
      </c>
      <c r="Q12597">
        <v>10</v>
      </c>
      <c r="R12597" t="s">
        <v>44776</v>
      </c>
      <c r="S12597" t="s">
        <v>45453</v>
      </c>
      <c r="T12597" t="s">
        <v>46412</v>
      </c>
      <c r="U12597" t="s">
        <v>57291</v>
      </c>
      <c r="V12597" t="s">
        <v>60325</v>
      </c>
      <c r="W12597" t="s">
        <v>41529</v>
      </c>
      <c r="X12597" t="s">
        <v>44777</v>
      </c>
    </row>
    <row r="12598" spans="1:24">
      <c r="A12598">
        <f>HYPERLINK("https://www.philgeps.gov.ph/GEPSNONPILOT/Tender/SplashBidNoticeAbstractUI.aspx?menuIndex=3&amp;refID=7122638&amp;Result=3","7122638")</f>
        <v>0</v>
      </c>
      <c r="B12598" t="s">
        <v>2199</v>
      </c>
      <c r="C12598" t="s">
        <v>15747</v>
      </c>
      <c r="D12598" t="s">
        <v>17952</v>
      </c>
      <c r="E12598" t="s">
        <v>28922</v>
      </c>
      <c r="F12598" t="s">
        <v>30900</v>
      </c>
      <c r="G12598" t="s">
        <v>30907</v>
      </c>
      <c r="H12598" t="s">
        <v>30916</v>
      </c>
      <c r="I12598" t="s">
        <v>8123</v>
      </c>
      <c r="J12598" t="s">
        <v>38895</v>
      </c>
      <c r="K12598" t="s">
        <v>40284</v>
      </c>
      <c r="M12598" t="s">
        <v>42906</v>
      </c>
      <c r="N12598" t="s">
        <v>44759</v>
      </c>
      <c r="O12598" t="s">
        <v>44760</v>
      </c>
      <c r="P12598">
        <v>0</v>
      </c>
      <c r="Q12598">
        <v>1</v>
      </c>
      <c r="R12598" t="s">
        <v>44776</v>
      </c>
      <c r="S12598" t="s">
        <v>45453</v>
      </c>
      <c r="T12598" t="s">
        <v>46694</v>
      </c>
      <c r="U12598" t="s">
        <v>52098</v>
      </c>
      <c r="V12598" t="s">
        <v>59226</v>
      </c>
      <c r="W12598" t="s">
        <v>42906</v>
      </c>
      <c r="X12598" t="s">
        <v>44777</v>
      </c>
    </row>
    <row r="12599" spans="1:24">
      <c r="A12599">
        <f>HYPERLINK("https://www.philgeps.gov.ph/GEPSNONPILOT/Tender/SplashBidNoticeAbstractUI.aspx?menuIndex=3&amp;refID=7122622&amp;Result=3","7122622")</f>
        <v>0</v>
      </c>
      <c r="B12599" t="s">
        <v>2095</v>
      </c>
      <c r="C12599" t="s">
        <v>15748</v>
      </c>
      <c r="D12599" t="s">
        <v>17975</v>
      </c>
      <c r="E12599" t="s">
        <v>20233</v>
      </c>
      <c r="F12599" t="s">
        <v>30900</v>
      </c>
      <c r="G12599" t="s">
        <v>30907</v>
      </c>
      <c r="H12599" t="s">
        <v>30916</v>
      </c>
      <c r="I12599" t="s">
        <v>8123</v>
      </c>
      <c r="J12599" t="s">
        <v>38896</v>
      </c>
      <c r="K12599" t="s">
        <v>40287</v>
      </c>
      <c r="M12599" t="s">
        <v>42794</v>
      </c>
      <c r="N12599" t="s">
        <v>44759</v>
      </c>
      <c r="O12599" t="s">
        <v>44760</v>
      </c>
      <c r="P12599">
        <v>0</v>
      </c>
      <c r="Q12599">
        <v>1</v>
      </c>
      <c r="R12599" t="s">
        <v>44776</v>
      </c>
      <c r="S12599" t="s">
        <v>45453</v>
      </c>
      <c r="T12599" t="s">
        <v>46412</v>
      </c>
      <c r="U12599" t="s">
        <v>57292</v>
      </c>
      <c r="W12599" t="s">
        <v>42794</v>
      </c>
      <c r="X12599" t="s">
        <v>44777</v>
      </c>
    </row>
    <row r="12600" spans="1:24">
      <c r="A12600">
        <f>HYPERLINK("https://www.philgeps.gov.ph/GEPSNONPILOT/Tender/SplashBidNoticeAbstractUI.aspx?menuIndex=3&amp;refID=7122549&amp;Result=3","7122549")</f>
        <v>0</v>
      </c>
      <c r="B12600" t="s">
        <v>2095</v>
      </c>
      <c r="C12600" t="s">
        <v>15749</v>
      </c>
      <c r="D12600" t="s">
        <v>17975</v>
      </c>
      <c r="E12600" t="s">
        <v>20226</v>
      </c>
      <c r="F12600" t="s">
        <v>30900</v>
      </c>
      <c r="G12600" t="s">
        <v>30907</v>
      </c>
      <c r="H12600" t="s">
        <v>30916</v>
      </c>
      <c r="I12600" t="s">
        <v>30932</v>
      </c>
      <c r="J12600" t="s">
        <v>38897</v>
      </c>
      <c r="K12600" t="s">
        <v>40287</v>
      </c>
      <c r="M12600" t="s">
        <v>42794</v>
      </c>
      <c r="N12600" t="s">
        <v>44759</v>
      </c>
      <c r="O12600" t="s">
        <v>44760</v>
      </c>
      <c r="P12600">
        <v>0</v>
      </c>
      <c r="Q12600">
        <v>5</v>
      </c>
      <c r="R12600" t="s">
        <v>44776</v>
      </c>
      <c r="S12600" t="s">
        <v>45453</v>
      </c>
      <c r="T12600" t="s">
        <v>46412</v>
      </c>
      <c r="U12600" t="s">
        <v>57293</v>
      </c>
      <c r="W12600" t="s">
        <v>42794</v>
      </c>
      <c r="X12600" t="s">
        <v>44777</v>
      </c>
    </row>
    <row r="12601" spans="1:24">
      <c r="A12601">
        <f>HYPERLINK("https://www.philgeps.gov.ph/GEPSNONPILOT/Tender/SplashBidNoticeAbstractUI.aspx?menuIndex=3&amp;refID=7122781&amp;Result=3","7122781")</f>
        <v>0</v>
      </c>
      <c r="B12601" t="s">
        <v>150</v>
      </c>
      <c r="C12601" t="s">
        <v>15750</v>
      </c>
      <c r="D12601" t="s">
        <v>18006</v>
      </c>
      <c r="E12601" t="s">
        <v>28923</v>
      </c>
      <c r="F12601" t="s">
        <v>30900</v>
      </c>
      <c r="G12601" t="s">
        <v>30907</v>
      </c>
      <c r="H12601" t="s">
        <v>30915</v>
      </c>
      <c r="I12601" t="s">
        <v>30919</v>
      </c>
      <c r="J12601" t="s">
        <v>31101</v>
      </c>
      <c r="K12601" t="s">
        <v>40280</v>
      </c>
      <c r="M12601" t="s">
        <v>40697</v>
      </c>
      <c r="N12601" t="s">
        <v>44759</v>
      </c>
      <c r="O12601" t="s">
        <v>44760</v>
      </c>
      <c r="P12601">
        <v>0</v>
      </c>
      <c r="Q12601">
        <v>0</v>
      </c>
      <c r="R12601" t="s">
        <v>44776</v>
      </c>
      <c r="S12601" t="s">
        <v>45453</v>
      </c>
      <c r="T12601" t="s">
        <v>46412</v>
      </c>
      <c r="U12601" t="s">
        <v>57294</v>
      </c>
      <c r="W12601" t="s">
        <v>40697</v>
      </c>
      <c r="X12601" t="s">
        <v>44777</v>
      </c>
    </row>
    <row r="12602" spans="1:24">
      <c r="A12602">
        <f>HYPERLINK("https://www.philgeps.gov.ph/GEPSNONPILOT/Tender/SplashBidNoticeAbstractUI.aspx?menuIndex=3&amp;refID=7122768&amp;Result=3","7122768")</f>
        <v>0</v>
      </c>
      <c r="B12602" t="s">
        <v>3532</v>
      </c>
      <c r="C12602" t="s">
        <v>15751</v>
      </c>
      <c r="D12602" t="s">
        <v>17991</v>
      </c>
      <c r="E12602" t="s">
        <v>28924</v>
      </c>
      <c r="F12602" t="s">
        <v>30900</v>
      </c>
      <c r="G12602" t="s">
        <v>30907</v>
      </c>
      <c r="H12602" t="s">
        <v>30916</v>
      </c>
      <c r="I12602" t="s">
        <v>31001</v>
      </c>
      <c r="J12602" t="s">
        <v>32125</v>
      </c>
      <c r="K12602" t="s">
        <v>40286</v>
      </c>
      <c r="M12602" t="s">
        <v>44446</v>
      </c>
      <c r="N12602" t="s">
        <v>44759</v>
      </c>
      <c r="O12602" t="s">
        <v>44760</v>
      </c>
      <c r="Q12602">
        <v>5</v>
      </c>
      <c r="R12602" t="s">
        <v>44776</v>
      </c>
      <c r="S12602" t="s">
        <v>45502</v>
      </c>
      <c r="T12602" t="s">
        <v>46390</v>
      </c>
      <c r="U12602" t="s">
        <v>57295</v>
      </c>
      <c r="W12602" t="s">
        <v>44446</v>
      </c>
      <c r="X12602" t="s">
        <v>44777</v>
      </c>
    </row>
    <row r="12603" spans="1:24">
      <c r="A12603">
        <f>HYPERLINK("https://www.philgeps.gov.ph/GEPSNONPILOT/Tender/SplashBidNoticeAbstractUI.aspx?menuIndex=3&amp;refID=7122630&amp;Result=3","7122630")</f>
        <v>0</v>
      </c>
      <c r="B12603" t="s">
        <v>860</v>
      </c>
      <c r="C12603" t="s">
        <v>15752</v>
      </c>
      <c r="D12603" t="s">
        <v>17959</v>
      </c>
      <c r="E12603" t="s">
        <v>28925</v>
      </c>
      <c r="F12603" t="s">
        <v>30900</v>
      </c>
      <c r="G12603" t="s">
        <v>30907</v>
      </c>
      <c r="H12603" t="s">
        <v>30915</v>
      </c>
      <c r="I12603" t="s">
        <v>30919</v>
      </c>
      <c r="J12603" t="s">
        <v>38898</v>
      </c>
      <c r="K12603" t="s">
        <v>40289</v>
      </c>
      <c r="M12603" t="s">
        <v>41433</v>
      </c>
      <c r="N12603" t="s">
        <v>44759</v>
      </c>
      <c r="O12603" t="s">
        <v>44760</v>
      </c>
      <c r="P12603">
        <v>0</v>
      </c>
      <c r="Q12603">
        <v>0</v>
      </c>
      <c r="R12603" t="s">
        <v>44776</v>
      </c>
      <c r="S12603" t="s">
        <v>45453</v>
      </c>
      <c r="T12603" t="s">
        <v>46395</v>
      </c>
      <c r="U12603" t="s">
        <v>57296</v>
      </c>
      <c r="W12603" t="s">
        <v>41433</v>
      </c>
      <c r="X12603" t="s">
        <v>44777</v>
      </c>
    </row>
    <row r="12604" spans="1:24">
      <c r="A12604">
        <f>HYPERLINK("https://www.philgeps.gov.ph/GEPSNONPILOT/Tender/SplashBidNoticeAbstractUI.aspx?menuIndex=3&amp;refID=7122787&amp;Result=3","7122787")</f>
        <v>0</v>
      </c>
      <c r="B12604" t="s">
        <v>3378</v>
      </c>
      <c r="C12604" t="s">
        <v>15753</v>
      </c>
      <c r="D12604" t="s">
        <v>17953</v>
      </c>
      <c r="E12604" t="s">
        <v>23553</v>
      </c>
      <c r="F12604" t="s">
        <v>30900</v>
      </c>
      <c r="G12604" t="s">
        <v>30907</v>
      </c>
      <c r="H12604" t="s">
        <v>30916</v>
      </c>
      <c r="I12604" t="s">
        <v>8123</v>
      </c>
      <c r="J12604" t="s">
        <v>31863</v>
      </c>
      <c r="K12604" t="s">
        <v>40287</v>
      </c>
      <c r="L12604" t="s">
        <v>3378</v>
      </c>
      <c r="M12604" t="s">
        <v>44250</v>
      </c>
      <c r="N12604" t="s">
        <v>44759</v>
      </c>
      <c r="O12604" t="s">
        <v>44760</v>
      </c>
      <c r="P12604">
        <v>0</v>
      </c>
      <c r="Q12604">
        <v>1</v>
      </c>
      <c r="R12604" t="s">
        <v>44776</v>
      </c>
      <c r="S12604" t="s">
        <v>45453</v>
      </c>
      <c r="T12604" t="s">
        <v>46409</v>
      </c>
      <c r="U12604" t="s">
        <v>50693</v>
      </c>
      <c r="V12604" t="s">
        <v>60439</v>
      </c>
      <c r="W12604" t="s">
        <v>44250</v>
      </c>
      <c r="X12604" t="s">
        <v>44777</v>
      </c>
    </row>
    <row r="12605" spans="1:24">
      <c r="A12605">
        <f>HYPERLINK("https://www.philgeps.gov.ph/GEPSNONPILOT/Tender/SplashBidNoticeAbstractUI.aspx?menuIndex=3&amp;refID=7122788&amp;Result=3","7122788")</f>
        <v>0</v>
      </c>
      <c r="B12605" t="s">
        <v>3533</v>
      </c>
      <c r="C12605" t="s">
        <v>15754</v>
      </c>
      <c r="D12605" t="s">
        <v>17953</v>
      </c>
      <c r="E12605" t="s">
        <v>28926</v>
      </c>
      <c r="F12605" t="s">
        <v>30900</v>
      </c>
      <c r="G12605" t="s">
        <v>30907</v>
      </c>
      <c r="H12605" t="s">
        <v>30916</v>
      </c>
      <c r="I12605" t="s">
        <v>11785</v>
      </c>
      <c r="J12605" t="s">
        <v>33325</v>
      </c>
      <c r="K12605" t="s">
        <v>40281</v>
      </c>
      <c r="M12605" t="s">
        <v>44447</v>
      </c>
      <c r="N12605" t="s">
        <v>44759</v>
      </c>
      <c r="O12605" t="s">
        <v>44760</v>
      </c>
      <c r="P12605">
        <v>0</v>
      </c>
      <c r="Q12605">
        <v>1</v>
      </c>
      <c r="R12605" t="s">
        <v>44776</v>
      </c>
      <c r="S12605" t="s">
        <v>45453</v>
      </c>
      <c r="T12605" t="s">
        <v>46399</v>
      </c>
      <c r="U12605" t="s">
        <v>57297</v>
      </c>
      <c r="W12605" t="s">
        <v>44447</v>
      </c>
      <c r="X12605" t="s">
        <v>44777</v>
      </c>
    </row>
    <row r="12606" spans="1:24">
      <c r="A12606">
        <f>HYPERLINK("https://www.philgeps.gov.ph/GEPSNONPILOT/Tender/SplashBidNoticeAbstractUI.aspx?menuIndex=3&amp;refID=7122728&amp;Result=3","7122728")</f>
        <v>0</v>
      </c>
      <c r="B12606" t="s">
        <v>2199</v>
      </c>
      <c r="C12606" t="s">
        <v>15755</v>
      </c>
      <c r="D12606" t="s">
        <v>17952</v>
      </c>
      <c r="E12606" t="s">
        <v>28927</v>
      </c>
      <c r="F12606" t="s">
        <v>30900</v>
      </c>
      <c r="G12606" t="s">
        <v>30907</v>
      </c>
      <c r="H12606" t="s">
        <v>30915</v>
      </c>
      <c r="I12606" t="s">
        <v>30919</v>
      </c>
      <c r="J12606" t="s">
        <v>38899</v>
      </c>
      <c r="K12606" t="s">
        <v>40280</v>
      </c>
      <c r="M12606" t="s">
        <v>42906</v>
      </c>
      <c r="N12606" t="s">
        <v>44759</v>
      </c>
      <c r="O12606" t="s">
        <v>44760</v>
      </c>
      <c r="P12606">
        <v>0</v>
      </c>
      <c r="Q12606">
        <v>2</v>
      </c>
      <c r="R12606" t="s">
        <v>44776</v>
      </c>
      <c r="S12606" t="s">
        <v>45453</v>
      </c>
      <c r="T12606" t="s">
        <v>46694</v>
      </c>
      <c r="U12606" t="s">
        <v>57116</v>
      </c>
      <c r="V12606" t="s">
        <v>59226</v>
      </c>
      <c r="W12606" t="s">
        <v>42906</v>
      </c>
      <c r="X12606" t="s">
        <v>44777</v>
      </c>
    </row>
    <row r="12607" spans="1:24">
      <c r="A12607">
        <f>HYPERLINK("https://www.philgeps.gov.ph/GEPSNONPILOT/Tender/SplashBidNoticeAbstractUI.aspx?menuIndex=3&amp;refID=7122753&amp;Result=3","7122753")</f>
        <v>0</v>
      </c>
      <c r="B12607" t="s">
        <v>2199</v>
      </c>
      <c r="C12607" t="s">
        <v>15756</v>
      </c>
      <c r="D12607" t="s">
        <v>17952</v>
      </c>
      <c r="E12607" t="s">
        <v>28928</v>
      </c>
      <c r="F12607" t="s">
        <v>30900</v>
      </c>
      <c r="G12607" t="s">
        <v>30907</v>
      </c>
      <c r="H12607" t="s">
        <v>30915</v>
      </c>
      <c r="I12607" t="s">
        <v>30919</v>
      </c>
      <c r="J12607" t="s">
        <v>38900</v>
      </c>
      <c r="K12607" t="s">
        <v>40280</v>
      </c>
      <c r="M12607" t="s">
        <v>42906</v>
      </c>
      <c r="N12607" t="s">
        <v>44759</v>
      </c>
      <c r="O12607" t="s">
        <v>44760</v>
      </c>
      <c r="P12607">
        <v>0</v>
      </c>
      <c r="Q12607">
        <v>1</v>
      </c>
      <c r="R12607" t="s">
        <v>44776</v>
      </c>
      <c r="S12607" t="s">
        <v>45453</v>
      </c>
      <c r="T12607" t="s">
        <v>46694</v>
      </c>
      <c r="U12607" t="s">
        <v>57116</v>
      </c>
      <c r="V12607" t="s">
        <v>59226</v>
      </c>
      <c r="W12607" t="s">
        <v>42906</v>
      </c>
      <c r="X12607" t="s">
        <v>44777</v>
      </c>
    </row>
    <row r="12608" spans="1:24">
      <c r="A12608">
        <f>HYPERLINK("https://www.philgeps.gov.ph/GEPSNONPILOT/Tender/SplashBidNoticeAbstractUI.aspx?menuIndex=3&amp;refID=7122724&amp;Result=3","7122724")</f>
        <v>0</v>
      </c>
      <c r="B12608" t="s">
        <v>2095</v>
      </c>
      <c r="C12608" t="s">
        <v>15757</v>
      </c>
      <c r="D12608" t="s">
        <v>17975</v>
      </c>
      <c r="E12608" t="s">
        <v>20229</v>
      </c>
      <c r="F12608" t="s">
        <v>30900</v>
      </c>
      <c r="G12608" t="s">
        <v>30907</v>
      </c>
      <c r="H12608" t="s">
        <v>30916</v>
      </c>
      <c r="I12608" t="s">
        <v>30924</v>
      </c>
      <c r="J12608" t="s">
        <v>38901</v>
      </c>
      <c r="K12608" t="s">
        <v>40283</v>
      </c>
      <c r="M12608" t="s">
        <v>42794</v>
      </c>
      <c r="N12608" t="s">
        <v>44759</v>
      </c>
      <c r="O12608" t="s">
        <v>44760</v>
      </c>
      <c r="P12608">
        <v>0</v>
      </c>
      <c r="Q12608">
        <v>5</v>
      </c>
      <c r="R12608" t="s">
        <v>44776</v>
      </c>
      <c r="S12608" t="s">
        <v>45453</v>
      </c>
      <c r="T12608" t="s">
        <v>46412</v>
      </c>
      <c r="U12608" t="s">
        <v>57298</v>
      </c>
      <c r="W12608" t="s">
        <v>42794</v>
      </c>
      <c r="X12608" t="s">
        <v>44777</v>
      </c>
    </row>
    <row r="12609" spans="1:24">
      <c r="A12609">
        <f>HYPERLINK("https://www.philgeps.gov.ph/GEPSNONPILOT/Tender/SplashBidNoticeAbstractUI.aspx?menuIndex=3&amp;refID=7122715&amp;Result=3","7122715")</f>
        <v>0</v>
      </c>
      <c r="B12609" t="s">
        <v>2465</v>
      </c>
      <c r="C12609" t="s">
        <v>15758</v>
      </c>
      <c r="D12609" t="s">
        <v>17959</v>
      </c>
      <c r="E12609" t="s">
        <v>28929</v>
      </c>
      <c r="F12609" t="s">
        <v>30900</v>
      </c>
      <c r="G12609" t="s">
        <v>30907</v>
      </c>
      <c r="H12609" t="s">
        <v>30915</v>
      </c>
      <c r="I12609" t="s">
        <v>30919</v>
      </c>
      <c r="J12609" t="s">
        <v>38902</v>
      </c>
      <c r="K12609" t="s">
        <v>40280</v>
      </c>
      <c r="M12609" t="s">
        <v>43203</v>
      </c>
      <c r="N12609" t="s">
        <v>44759</v>
      </c>
      <c r="O12609" t="s">
        <v>44760</v>
      </c>
      <c r="P12609">
        <v>0</v>
      </c>
      <c r="Q12609">
        <v>8</v>
      </c>
      <c r="R12609" t="s">
        <v>44776</v>
      </c>
      <c r="S12609" t="s">
        <v>45453</v>
      </c>
      <c r="T12609" t="s">
        <v>46429</v>
      </c>
      <c r="U12609" t="s">
        <v>57299</v>
      </c>
      <c r="V12609" t="s">
        <v>60199</v>
      </c>
      <c r="W12609" t="s">
        <v>43203</v>
      </c>
      <c r="X12609" t="s">
        <v>44777</v>
      </c>
    </row>
    <row r="12610" spans="1:24">
      <c r="A12610">
        <f>HYPERLINK("https://www.philgeps.gov.ph/GEPSNONPILOT/Tender/SplashBidNoticeAbstractUI.aspx?menuIndex=3&amp;refID=7122750&amp;Result=3","7122750")</f>
        <v>0</v>
      </c>
      <c r="B12610" t="s">
        <v>3534</v>
      </c>
      <c r="C12610" t="s">
        <v>15759</v>
      </c>
      <c r="D12610" t="s">
        <v>17951</v>
      </c>
      <c r="E12610" t="s">
        <v>27606</v>
      </c>
      <c r="F12610" t="s">
        <v>30900</v>
      </c>
      <c r="G12610" t="s">
        <v>30907</v>
      </c>
      <c r="H12610" t="s">
        <v>30916</v>
      </c>
      <c r="I12610" t="s">
        <v>8123</v>
      </c>
      <c r="J12610" t="s">
        <v>38903</v>
      </c>
      <c r="K12610" t="s">
        <v>40286</v>
      </c>
      <c r="M12610" t="s">
        <v>44448</v>
      </c>
      <c r="N12610" t="s">
        <v>44759</v>
      </c>
      <c r="O12610" t="s">
        <v>44760</v>
      </c>
      <c r="P12610">
        <v>0</v>
      </c>
      <c r="Q12610">
        <v>0</v>
      </c>
      <c r="R12610" t="s">
        <v>44776</v>
      </c>
      <c r="S12610" t="s">
        <v>45453</v>
      </c>
      <c r="T12610" t="s">
        <v>46591</v>
      </c>
      <c r="U12610" t="s">
        <v>57300</v>
      </c>
      <c r="W12610" t="s">
        <v>44448</v>
      </c>
      <c r="X12610" t="s">
        <v>44777</v>
      </c>
    </row>
    <row r="12611" spans="1:24">
      <c r="A12611">
        <f>HYPERLINK("https://www.philgeps.gov.ph/GEPSNONPILOT/Tender/SplashBidNoticeAbstractUI.aspx?menuIndex=3&amp;refID=7122730&amp;Result=3","7122730")</f>
        <v>0</v>
      </c>
      <c r="B12611" t="s">
        <v>2465</v>
      </c>
      <c r="C12611" t="s">
        <v>15760</v>
      </c>
      <c r="D12611" t="s">
        <v>17959</v>
      </c>
      <c r="E12611" t="s">
        <v>28930</v>
      </c>
      <c r="F12611" t="s">
        <v>30900</v>
      </c>
      <c r="G12611" t="s">
        <v>30907</v>
      </c>
      <c r="H12611" t="s">
        <v>30915</v>
      </c>
      <c r="I12611" t="s">
        <v>30919</v>
      </c>
      <c r="J12611" t="s">
        <v>38904</v>
      </c>
      <c r="K12611" t="s">
        <v>40292</v>
      </c>
      <c r="M12611" t="s">
        <v>43203</v>
      </c>
      <c r="N12611" t="s">
        <v>44759</v>
      </c>
      <c r="O12611" t="s">
        <v>44760</v>
      </c>
      <c r="P12611">
        <v>0</v>
      </c>
      <c r="Q12611">
        <v>5</v>
      </c>
      <c r="R12611" t="s">
        <v>44776</v>
      </c>
      <c r="S12611" t="s">
        <v>45453</v>
      </c>
      <c r="T12611" t="s">
        <v>46426</v>
      </c>
      <c r="U12611" t="s">
        <v>57301</v>
      </c>
      <c r="V12611" t="s">
        <v>60199</v>
      </c>
      <c r="W12611" t="s">
        <v>43203</v>
      </c>
      <c r="X12611" t="s">
        <v>44777</v>
      </c>
    </row>
    <row r="12612" spans="1:24">
      <c r="A12612">
        <f>HYPERLINK("https://www.philgeps.gov.ph/GEPSNONPILOT/Tender/SplashBidNoticeAbstractUI.aspx?menuIndex=3&amp;refID=7122357&amp;Result=3","7122357")</f>
        <v>0</v>
      </c>
      <c r="B12612" t="s">
        <v>3535</v>
      </c>
      <c r="C12612" t="s">
        <v>15761</v>
      </c>
      <c r="D12612" t="s">
        <v>18031</v>
      </c>
      <c r="E12612" t="s">
        <v>28931</v>
      </c>
      <c r="F12612" t="s">
        <v>30900</v>
      </c>
      <c r="G12612" t="s">
        <v>30907</v>
      </c>
      <c r="H12612" t="s">
        <v>30915</v>
      </c>
      <c r="I12612" t="s">
        <v>30919</v>
      </c>
      <c r="J12612" t="s">
        <v>38905</v>
      </c>
      <c r="K12612" t="s">
        <v>40308</v>
      </c>
      <c r="M12612" t="s">
        <v>44449</v>
      </c>
      <c r="N12612" t="s">
        <v>44759</v>
      </c>
      <c r="O12612" t="s">
        <v>44760</v>
      </c>
      <c r="P12612">
        <v>0</v>
      </c>
      <c r="Q12612">
        <v>0</v>
      </c>
      <c r="R12612" t="s">
        <v>44776</v>
      </c>
      <c r="S12612" t="s">
        <v>45453</v>
      </c>
      <c r="T12612" t="s">
        <v>46357</v>
      </c>
      <c r="U12612" t="s">
        <v>57302</v>
      </c>
      <c r="V12612" t="s">
        <v>60546</v>
      </c>
      <c r="W12612" t="s">
        <v>44449</v>
      </c>
      <c r="X12612" t="s">
        <v>44777</v>
      </c>
    </row>
    <row r="12613" spans="1:24">
      <c r="A12613">
        <f>HYPERLINK("https://www.philgeps.gov.ph/GEPSNONPILOT/Tender/SplashBidNoticeAbstractUI.aspx?menuIndex=3&amp;refID=7122713&amp;Result=3","7122713")</f>
        <v>0</v>
      </c>
      <c r="B12613" t="s">
        <v>2199</v>
      </c>
      <c r="C12613" t="s">
        <v>15762</v>
      </c>
      <c r="D12613" t="s">
        <v>17952</v>
      </c>
      <c r="E12613" t="s">
        <v>28932</v>
      </c>
      <c r="F12613" t="s">
        <v>30900</v>
      </c>
      <c r="G12613" t="s">
        <v>30907</v>
      </c>
      <c r="H12613" t="s">
        <v>30915</v>
      </c>
      <c r="I12613" t="s">
        <v>30919</v>
      </c>
      <c r="J12613" t="s">
        <v>38891</v>
      </c>
      <c r="K12613" t="s">
        <v>40280</v>
      </c>
      <c r="M12613" t="s">
        <v>42906</v>
      </c>
      <c r="N12613" t="s">
        <v>44759</v>
      </c>
      <c r="O12613" t="s">
        <v>44760</v>
      </c>
      <c r="P12613">
        <v>0</v>
      </c>
      <c r="Q12613">
        <v>4</v>
      </c>
      <c r="R12613" t="s">
        <v>44776</v>
      </c>
      <c r="S12613" t="s">
        <v>45453</v>
      </c>
      <c r="T12613" t="s">
        <v>46694</v>
      </c>
      <c r="U12613" t="s">
        <v>57116</v>
      </c>
      <c r="V12613" t="s">
        <v>59226</v>
      </c>
      <c r="W12613" t="s">
        <v>42906</v>
      </c>
      <c r="X12613" t="s">
        <v>44777</v>
      </c>
    </row>
    <row r="12614" spans="1:24">
      <c r="A12614">
        <f>HYPERLINK("https://www.philgeps.gov.ph/GEPSNONPILOT/Tender/SplashBidNoticeAbstractUI.aspx?menuIndex=3&amp;refID=7122617&amp;Result=3","7122617")</f>
        <v>0</v>
      </c>
      <c r="B12614" t="s">
        <v>860</v>
      </c>
      <c r="C12614" t="s">
        <v>15763</v>
      </c>
      <c r="D12614" t="s">
        <v>17959</v>
      </c>
      <c r="E12614" t="s">
        <v>28933</v>
      </c>
      <c r="F12614" t="s">
        <v>30900</v>
      </c>
      <c r="G12614" t="s">
        <v>30907</v>
      </c>
      <c r="H12614" t="s">
        <v>30915</v>
      </c>
      <c r="I12614" t="s">
        <v>30919</v>
      </c>
      <c r="J12614" t="s">
        <v>38906</v>
      </c>
      <c r="K12614" t="s">
        <v>40289</v>
      </c>
      <c r="M12614" t="s">
        <v>41433</v>
      </c>
      <c r="N12614" t="s">
        <v>44759</v>
      </c>
      <c r="O12614" t="s">
        <v>44760</v>
      </c>
      <c r="P12614">
        <v>0</v>
      </c>
      <c r="Q12614">
        <v>0</v>
      </c>
      <c r="R12614" t="s">
        <v>44776</v>
      </c>
      <c r="S12614" t="s">
        <v>45453</v>
      </c>
      <c r="T12614" t="s">
        <v>46395</v>
      </c>
      <c r="U12614" t="s">
        <v>57303</v>
      </c>
      <c r="W12614" t="s">
        <v>41433</v>
      </c>
      <c r="X12614" t="s">
        <v>44777</v>
      </c>
    </row>
    <row r="12615" spans="1:24">
      <c r="A12615">
        <f>HYPERLINK("https://www.philgeps.gov.ph/GEPSNONPILOT/Tender/SplashBidNoticeAbstractUI.aspx?menuIndex=3&amp;refID=7122736&amp;Result=3","7122736")</f>
        <v>0</v>
      </c>
      <c r="B12615" t="s">
        <v>3531</v>
      </c>
      <c r="C12615" t="s">
        <v>15764</v>
      </c>
      <c r="D12615" t="s">
        <v>17959</v>
      </c>
      <c r="E12615" t="s">
        <v>28934</v>
      </c>
      <c r="F12615" t="s">
        <v>30900</v>
      </c>
      <c r="G12615" t="s">
        <v>30907</v>
      </c>
      <c r="H12615" t="s">
        <v>30916</v>
      </c>
      <c r="I12615" t="s">
        <v>6396</v>
      </c>
      <c r="J12615" t="s">
        <v>38907</v>
      </c>
      <c r="K12615" t="s">
        <v>40289</v>
      </c>
      <c r="M12615" t="s">
        <v>44445</v>
      </c>
      <c r="N12615" t="s">
        <v>44759</v>
      </c>
      <c r="O12615" t="s">
        <v>44760</v>
      </c>
      <c r="Q12615">
        <v>7</v>
      </c>
      <c r="R12615" t="s">
        <v>44776</v>
      </c>
      <c r="S12615" t="s">
        <v>45503</v>
      </c>
      <c r="T12615" t="s">
        <v>46712</v>
      </c>
      <c r="U12615" t="s">
        <v>57304</v>
      </c>
      <c r="V12615" t="s">
        <v>60547</v>
      </c>
      <c r="W12615" t="s">
        <v>44445</v>
      </c>
      <c r="X12615" t="s">
        <v>44777</v>
      </c>
    </row>
    <row r="12616" spans="1:24">
      <c r="A12616">
        <f>HYPERLINK("https://www.philgeps.gov.ph/GEPSNONPILOT/Tender/SplashBidNoticeAbstractUI.aspx?menuIndex=3&amp;refID=7122857&amp;Result=3","7122857")</f>
        <v>0</v>
      </c>
      <c r="B12616" t="s">
        <v>1119</v>
      </c>
      <c r="C12616" t="s">
        <v>15765</v>
      </c>
      <c r="D12616" t="s">
        <v>18038</v>
      </c>
      <c r="E12616" t="s">
        <v>28935</v>
      </c>
      <c r="F12616" t="s">
        <v>30900</v>
      </c>
      <c r="G12616" t="s">
        <v>30907</v>
      </c>
      <c r="H12616" t="s">
        <v>30916</v>
      </c>
      <c r="I12616" t="s">
        <v>7708</v>
      </c>
      <c r="J12616" t="s">
        <v>38908</v>
      </c>
      <c r="K12616" t="s">
        <v>40304</v>
      </c>
      <c r="M12616" t="s">
        <v>42602</v>
      </c>
      <c r="N12616" t="s">
        <v>44759</v>
      </c>
      <c r="O12616" t="s">
        <v>44760</v>
      </c>
      <c r="Q12616">
        <v>7</v>
      </c>
      <c r="R12616" t="s">
        <v>44776</v>
      </c>
      <c r="S12616" t="s">
        <v>45504</v>
      </c>
      <c r="T12616" t="s">
        <v>46351</v>
      </c>
      <c r="U12616" t="s">
        <v>57305</v>
      </c>
      <c r="V12616" t="s">
        <v>59685</v>
      </c>
      <c r="W12616" t="s">
        <v>42602</v>
      </c>
      <c r="X12616" t="s">
        <v>44777</v>
      </c>
    </row>
    <row r="12617" spans="1:24">
      <c r="A12617">
        <f>HYPERLINK("https://www.philgeps.gov.ph/GEPSNONPILOT/Tender/SplashBidNoticeAbstractUI.aspx?menuIndex=3&amp;refID=7122783&amp;Result=3","7122783")</f>
        <v>0</v>
      </c>
      <c r="B12617" t="s">
        <v>2199</v>
      </c>
      <c r="C12617" t="s">
        <v>15766</v>
      </c>
      <c r="D12617" t="s">
        <v>17952</v>
      </c>
      <c r="E12617" t="s">
        <v>28936</v>
      </c>
      <c r="F12617" t="s">
        <v>30900</v>
      </c>
      <c r="G12617" t="s">
        <v>30907</v>
      </c>
      <c r="H12617" t="s">
        <v>30915</v>
      </c>
      <c r="I12617" t="s">
        <v>30919</v>
      </c>
      <c r="J12617" t="s">
        <v>38909</v>
      </c>
      <c r="K12617" t="s">
        <v>40280</v>
      </c>
      <c r="M12617" t="s">
        <v>42906</v>
      </c>
      <c r="N12617" t="s">
        <v>44759</v>
      </c>
      <c r="O12617" t="s">
        <v>44760</v>
      </c>
      <c r="P12617">
        <v>0</v>
      </c>
      <c r="Q12617">
        <v>1</v>
      </c>
      <c r="R12617" t="s">
        <v>44776</v>
      </c>
      <c r="S12617" t="s">
        <v>45453</v>
      </c>
      <c r="T12617" t="s">
        <v>46694</v>
      </c>
      <c r="U12617" t="s">
        <v>57116</v>
      </c>
      <c r="V12617" t="s">
        <v>59226</v>
      </c>
      <c r="W12617" t="s">
        <v>42906</v>
      </c>
      <c r="X12617" t="s">
        <v>44777</v>
      </c>
    </row>
    <row r="12618" spans="1:24">
      <c r="A12618">
        <f>HYPERLINK("https://www.philgeps.gov.ph/GEPSNONPILOT/Tender/SplashBidNoticeAbstractUI.aspx?menuIndex=3&amp;refID=7122700&amp;Result=3","7122700")</f>
        <v>0</v>
      </c>
      <c r="B12618" t="s">
        <v>3531</v>
      </c>
      <c r="C12618" t="s">
        <v>15767</v>
      </c>
      <c r="D12618" t="s">
        <v>17959</v>
      </c>
      <c r="E12618" t="s">
        <v>28937</v>
      </c>
      <c r="F12618" t="s">
        <v>30900</v>
      </c>
      <c r="G12618" t="s">
        <v>30907</v>
      </c>
      <c r="H12618" t="s">
        <v>30916</v>
      </c>
      <c r="I12618" t="s">
        <v>6396</v>
      </c>
      <c r="J12618" t="s">
        <v>38910</v>
      </c>
      <c r="K12618" t="s">
        <v>40286</v>
      </c>
      <c r="M12618" t="s">
        <v>44445</v>
      </c>
      <c r="N12618" t="s">
        <v>44759</v>
      </c>
      <c r="O12618" t="s">
        <v>44760</v>
      </c>
      <c r="Q12618">
        <v>11</v>
      </c>
      <c r="R12618" t="s">
        <v>44776</v>
      </c>
      <c r="S12618" t="s">
        <v>45505</v>
      </c>
      <c r="T12618" t="s">
        <v>46712</v>
      </c>
      <c r="U12618" t="s">
        <v>57306</v>
      </c>
      <c r="V12618" t="s">
        <v>60547</v>
      </c>
      <c r="W12618" t="s">
        <v>44445</v>
      </c>
      <c r="X12618" t="s">
        <v>44777</v>
      </c>
    </row>
    <row r="12619" spans="1:24">
      <c r="A12619">
        <f>HYPERLINK("https://www.philgeps.gov.ph/GEPSNONPILOT/Tender/SplashBidNoticeAbstractUI.aspx?menuIndex=3&amp;refID=7122777&amp;Result=3","7122777")</f>
        <v>0</v>
      </c>
      <c r="B12619" t="s">
        <v>2199</v>
      </c>
      <c r="C12619" t="s">
        <v>15768</v>
      </c>
      <c r="D12619" t="s">
        <v>17952</v>
      </c>
      <c r="E12619" t="s">
        <v>28938</v>
      </c>
      <c r="F12619" t="s">
        <v>30900</v>
      </c>
      <c r="G12619" t="s">
        <v>30907</v>
      </c>
      <c r="H12619" t="s">
        <v>30915</v>
      </c>
      <c r="I12619" t="s">
        <v>30919</v>
      </c>
      <c r="J12619" t="s">
        <v>38911</v>
      </c>
      <c r="K12619" t="s">
        <v>40280</v>
      </c>
      <c r="M12619" t="s">
        <v>42906</v>
      </c>
      <c r="N12619" t="s">
        <v>44759</v>
      </c>
      <c r="O12619" t="s">
        <v>44760</v>
      </c>
      <c r="P12619">
        <v>0</v>
      </c>
      <c r="Q12619">
        <v>3</v>
      </c>
      <c r="R12619" t="s">
        <v>44776</v>
      </c>
      <c r="S12619" t="s">
        <v>45453</v>
      </c>
      <c r="T12619" t="s">
        <v>46694</v>
      </c>
      <c r="U12619" t="s">
        <v>57116</v>
      </c>
      <c r="V12619" t="s">
        <v>59226</v>
      </c>
      <c r="W12619" t="s">
        <v>42906</v>
      </c>
      <c r="X12619" t="s">
        <v>44777</v>
      </c>
    </row>
    <row r="12620" spans="1:24">
      <c r="A12620">
        <f>HYPERLINK("https://www.philgeps.gov.ph/GEPSNONPILOT/Tender/SplashBidNoticeAbstractUI.aspx?menuIndex=3&amp;refID=7122843&amp;Result=3","7122843")</f>
        <v>0</v>
      </c>
      <c r="B12620" t="s">
        <v>3536</v>
      </c>
      <c r="C12620" t="s">
        <v>15769</v>
      </c>
      <c r="D12620" t="s">
        <v>17951</v>
      </c>
      <c r="E12620" t="s">
        <v>28939</v>
      </c>
      <c r="F12620" t="s">
        <v>30900</v>
      </c>
      <c r="G12620" t="s">
        <v>30907</v>
      </c>
      <c r="H12620" t="s">
        <v>30915</v>
      </c>
      <c r="I12620" t="s">
        <v>30922</v>
      </c>
      <c r="J12620" t="s">
        <v>38912</v>
      </c>
      <c r="K12620" t="s">
        <v>40341</v>
      </c>
      <c r="M12620" t="s">
        <v>44450</v>
      </c>
      <c r="N12620" t="s">
        <v>44759</v>
      </c>
      <c r="O12620" t="s">
        <v>44760</v>
      </c>
      <c r="P12620">
        <v>0</v>
      </c>
      <c r="Q12620">
        <v>0</v>
      </c>
      <c r="R12620" t="s">
        <v>44776</v>
      </c>
      <c r="S12620" t="s">
        <v>45453</v>
      </c>
      <c r="T12620" t="s">
        <v>46357</v>
      </c>
      <c r="U12620" t="s">
        <v>57307</v>
      </c>
      <c r="W12620" t="s">
        <v>44450</v>
      </c>
      <c r="X12620" t="s">
        <v>44777</v>
      </c>
    </row>
    <row r="12621" spans="1:24">
      <c r="A12621">
        <f>HYPERLINK("https://www.philgeps.gov.ph/GEPSNONPILOT/Tender/SplashBidNoticeAbstractUI.aspx?menuIndex=3&amp;refID=7122848&amp;Result=3","7122848")</f>
        <v>0</v>
      </c>
      <c r="B12621" t="s">
        <v>1119</v>
      </c>
      <c r="C12621" t="s">
        <v>15770</v>
      </c>
      <c r="D12621" t="s">
        <v>18038</v>
      </c>
      <c r="E12621" t="s">
        <v>28940</v>
      </c>
      <c r="F12621" t="s">
        <v>30900</v>
      </c>
      <c r="G12621" t="s">
        <v>30907</v>
      </c>
      <c r="H12621" t="s">
        <v>30916</v>
      </c>
      <c r="I12621" t="s">
        <v>7708</v>
      </c>
      <c r="J12621" t="s">
        <v>38913</v>
      </c>
      <c r="K12621" t="s">
        <v>40292</v>
      </c>
      <c r="M12621" t="s">
        <v>42602</v>
      </c>
      <c r="N12621" t="s">
        <v>44759</v>
      </c>
      <c r="O12621" t="s">
        <v>44760</v>
      </c>
      <c r="Q12621">
        <v>8</v>
      </c>
      <c r="R12621" t="s">
        <v>44776</v>
      </c>
      <c r="S12621" t="s">
        <v>45108</v>
      </c>
      <c r="T12621" t="s">
        <v>46351</v>
      </c>
      <c r="U12621" t="s">
        <v>57305</v>
      </c>
      <c r="V12621" t="s">
        <v>59685</v>
      </c>
      <c r="W12621" t="s">
        <v>42602</v>
      </c>
      <c r="X12621" t="s">
        <v>44777</v>
      </c>
    </row>
    <row r="12622" spans="1:24">
      <c r="A12622">
        <f>HYPERLINK("https://www.philgeps.gov.ph/GEPSNONPILOT/Tender/SplashBidNoticeAbstractUI.aspx?menuIndex=3&amp;refID=7122839&amp;Result=3","7122839")</f>
        <v>0</v>
      </c>
      <c r="B12622" t="s">
        <v>1119</v>
      </c>
      <c r="C12622" t="s">
        <v>15771</v>
      </c>
      <c r="D12622" t="s">
        <v>18038</v>
      </c>
      <c r="E12622" t="s">
        <v>28941</v>
      </c>
      <c r="F12622" t="s">
        <v>30900</v>
      </c>
      <c r="G12622" t="s">
        <v>30907</v>
      </c>
      <c r="H12622" t="s">
        <v>30916</v>
      </c>
      <c r="I12622" t="s">
        <v>7708</v>
      </c>
      <c r="J12622" t="s">
        <v>38914</v>
      </c>
      <c r="K12622" t="s">
        <v>40292</v>
      </c>
      <c r="M12622" t="s">
        <v>42602</v>
      </c>
      <c r="N12622" t="s">
        <v>44759</v>
      </c>
      <c r="O12622" t="s">
        <v>44760</v>
      </c>
      <c r="Q12622">
        <v>7</v>
      </c>
      <c r="R12622" t="s">
        <v>44776</v>
      </c>
      <c r="S12622" t="s">
        <v>45506</v>
      </c>
      <c r="T12622" t="s">
        <v>46351</v>
      </c>
      <c r="U12622" t="s">
        <v>57305</v>
      </c>
      <c r="V12622" t="s">
        <v>59685</v>
      </c>
      <c r="W12622" t="s">
        <v>42602</v>
      </c>
      <c r="X12622" t="s">
        <v>44777</v>
      </c>
    </row>
    <row r="12623" spans="1:24">
      <c r="A12623">
        <f>HYPERLINK("https://www.philgeps.gov.ph/GEPSNONPILOT/Tender/SplashBidNoticeAbstractUI.aspx?menuIndex=3&amp;refID=7122704&amp;Result=3","7122704")</f>
        <v>0</v>
      </c>
      <c r="B12623" t="s">
        <v>2904</v>
      </c>
      <c r="C12623" t="s">
        <v>15772</v>
      </c>
      <c r="D12623" t="s">
        <v>17959</v>
      </c>
      <c r="E12623" t="s">
        <v>27684</v>
      </c>
      <c r="F12623" t="s">
        <v>30900</v>
      </c>
      <c r="G12623" t="s">
        <v>30907</v>
      </c>
      <c r="H12623" t="s">
        <v>30916</v>
      </c>
      <c r="I12623" t="s">
        <v>30989</v>
      </c>
      <c r="J12623" t="s">
        <v>38915</v>
      </c>
      <c r="K12623" t="s">
        <v>40286</v>
      </c>
      <c r="M12623" t="s">
        <v>43698</v>
      </c>
      <c r="N12623" t="s">
        <v>44759</v>
      </c>
      <c r="O12623" t="s">
        <v>44760</v>
      </c>
      <c r="P12623">
        <v>0</v>
      </c>
      <c r="Q12623">
        <v>3</v>
      </c>
      <c r="R12623" t="s">
        <v>44776</v>
      </c>
      <c r="S12623" t="s">
        <v>45453</v>
      </c>
      <c r="T12623" t="s">
        <v>46912</v>
      </c>
      <c r="U12623" t="s">
        <v>57308</v>
      </c>
      <c r="V12623" t="s">
        <v>60548</v>
      </c>
      <c r="W12623" t="s">
        <v>43698</v>
      </c>
      <c r="X12623" t="s">
        <v>44777</v>
      </c>
    </row>
    <row r="12624" spans="1:24">
      <c r="A12624">
        <f>HYPERLINK("https://www.philgeps.gov.ph/GEPSNONPILOT/Tender/SplashBidNoticeAbstractUI.aspx?menuIndex=3&amp;refID=7122828&amp;Result=3","7122828")</f>
        <v>0</v>
      </c>
      <c r="B12624" t="s">
        <v>1992</v>
      </c>
      <c r="C12624" t="s">
        <v>15773</v>
      </c>
      <c r="D12624" t="s">
        <v>17993</v>
      </c>
      <c r="E12624" t="s">
        <v>28942</v>
      </c>
      <c r="F12624" t="s">
        <v>30900</v>
      </c>
      <c r="G12624" t="s">
        <v>30907</v>
      </c>
      <c r="H12624" t="s">
        <v>30916</v>
      </c>
      <c r="I12624" t="s">
        <v>4545</v>
      </c>
      <c r="J12624" t="s">
        <v>31152</v>
      </c>
      <c r="K12624" t="s">
        <v>40286</v>
      </c>
      <c r="M12624" t="s">
        <v>42683</v>
      </c>
      <c r="N12624" t="s">
        <v>44759</v>
      </c>
      <c r="O12624" t="s">
        <v>44760</v>
      </c>
      <c r="P12624">
        <v>0</v>
      </c>
      <c r="Q12624">
        <v>6</v>
      </c>
      <c r="R12624" t="s">
        <v>44776</v>
      </c>
      <c r="S12624" t="s">
        <v>45453</v>
      </c>
      <c r="T12624" t="s">
        <v>46421</v>
      </c>
      <c r="U12624" t="s">
        <v>57309</v>
      </c>
      <c r="V12624" t="s">
        <v>59698</v>
      </c>
      <c r="W12624" t="s">
        <v>42683</v>
      </c>
      <c r="X12624" t="s">
        <v>44777</v>
      </c>
    </row>
    <row r="12625" spans="1:24">
      <c r="A12625">
        <f>HYPERLINK("https://www.philgeps.gov.ph/GEPSNONPILOT/Tender/SplashBidNoticeAbstractUI.aspx?menuIndex=3&amp;refID=7122835&amp;Result=3","7122835")</f>
        <v>0</v>
      </c>
      <c r="B12625" t="s">
        <v>2199</v>
      </c>
      <c r="C12625" t="s">
        <v>15774</v>
      </c>
      <c r="D12625" t="s">
        <v>17952</v>
      </c>
      <c r="E12625" t="s">
        <v>28943</v>
      </c>
      <c r="F12625" t="s">
        <v>30900</v>
      </c>
      <c r="G12625" t="s">
        <v>30907</v>
      </c>
      <c r="H12625" t="s">
        <v>30915</v>
      </c>
      <c r="I12625" t="s">
        <v>30919</v>
      </c>
      <c r="J12625" t="s">
        <v>38916</v>
      </c>
      <c r="K12625" t="s">
        <v>40280</v>
      </c>
      <c r="M12625" t="s">
        <v>42906</v>
      </c>
      <c r="N12625" t="s">
        <v>44759</v>
      </c>
      <c r="O12625" t="s">
        <v>44760</v>
      </c>
      <c r="P12625">
        <v>0</v>
      </c>
      <c r="Q12625">
        <v>5</v>
      </c>
      <c r="R12625" t="s">
        <v>44776</v>
      </c>
      <c r="S12625" t="s">
        <v>45453</v>
      </c>
      <c r="T12625" t="s">
        <v>46694</v>
      </c>
      <c r="U12625" t="s">
        <v>57116</v>
      </c>
      <c r="V12625" t="s">
        <v>59226</v>
      </c>
      <c r="W12625" t="s">
        <v>42906</v>
      </c>
      <c r="X12625" t="s">
        <v>44777</v>
      </c>
    </row>
    <row r="12626" spans="1:24">
      <c r="A12626">
        <f>HYPERLINK("https://www.philgeps.gov.ph/GEPSNONPILOT/Tender/SplashBidNoticeAbstractUI.aspx?menuIndex=3&amp;refID=7122827&amp;Result=3","7122827")</f>
        <v>0</v>
      </c>
      <c r="B12626" t="s">
        <v>3536</v>
      </c>
      <c r="C12626" t="s">
        <v>15775</v>
      </c>
      <c r="D12626" t="s">
        <v>17951</v>
      </c>
      <c r="E12626" t="s">
        <v>28944</v>
      </c>
      <c r="F12626" t="s">
        <v>30900</v>
      </c>
      <c r="G12626" t="s">
        <v>30907</v>
      </c>
      <c r="H12626" t="s">
        <v>30916</v>
      </c>
      <c r="I12626" t="s">
        <v>30986</v>
      </c>
      <c r="J12626" t="s">
        <v>38917</v>
      </c>
      <c r="K12626" t="s">
        <v>40286</v>
      </c>
      <c r="M12626" t="s">
        <v>44450</v>
      </c>
      <c r="N12626" t="s">
        <v>44759</v>
      </c>
      <c r="O12626" t="s">
        <v>44760</v>
      </c>
      <c r="P12626">
        <v>0</v>
      </c>
      <c r="Q12626">
        <v>5</v>
      </c>
      <c r="R12626" t="s">
        <v>44776</v>
      </c>
      <c r="S12626" t="s">
        <v>45453</v>
      </c>
      <c r="T12626" t="s">
        <v>46357</v>
      </c>
      <c r="U12626" t="s">
        <v>57310</v>
      </c>
      <c r="W12626" t="s">
        <v>44450</v>
      </c>
      <c r="X12626" t="s">
        <v>44777</v>
      </c>
    </row>
    <row r="12627" spans="1:24">
      <c r="A12627">
        <f>HYPERLINK("https://www.philgeps.gov.ph/GEPSNONPILOT/Tender/SplashBidNoticeAbstractUI.aspx?menuIndex=3&amp;refID=7122821&amp;Result=3","7122821")</f>
        <v>0</v>
      </c>
      <c r="B12627" t="s">
        <v>3537</v>
      </c>
      <c r="C12627" t="s">
        <v>15776</v>
      </c>
      <c r="E12627" t="s">
        <v>28945</v>
      </c>
      <c r="F12627" t="s">
        <v>30900</v>
      </c>
      <c r="G12627" t="s">
        <v>30907</v>
      </c>
      <c r="H12627" t="s">
        <v>30915</v>
      </c>
      <c r="I12627" t="s">
        <v>30919</v>
      </c>
      <c r="J12627" t="s">
        <v>38918</v>
      </c>
      <c r="K12627" t="s">
        <v>40289</v>
      </c>
      <c r="M12627" t="s">
        <v>44451</v>
      </c>
      <c r="N12627" t="s">
        <v>44759</v>
      </c>
      <c r="O12627" t="s">
        <v>44760</v>
      </c>
      <c r="Q12627">
        <v>36</v>
      </c>
      <c r="R12627" t="s">
        <v>44776</v>
      </c>
      <c r="S12627" t="s">
        <v>45507</v>
      </c>
      <c r="T12627" t="s">
        <v>46456</v>
      </c>
      <c r="U12627" t="s">
        <v>57311</v>
      </c>
      <c r="W12627" t="s">
        <v>44451</v>
      </c>
      <c r="X12627" t="s">
        <v>44777</v>
      </c>
    </row>
    <row r="12628" spans="1:24">
      <c r="A12628">
        <f>HYPERLINK("https://www.philgeps.gov.ph/GEPSNONPILOT/Tender/SplashBidNoticeAbstractUI.aspx?menuIndex=3&amp;refID=7122685&amp;Result=3","7122685")</f>
        <v>0</v>
      </c>
      <c r="B12628" t="s">
        <v>3531</v>
      </c>
      <c r="C12628" t="s">
        <v>15777</v>
      </c>
      <c r="D12628" t="s">
        <v>17959</v>
      </c>
      <c r="E12628" t="s">
        <v>28946</v>
      </c>
      <c r="F12628" t="s">
        <v>30900</v>
      </c>
      <c r="G12628" t="s">
        <v>30907</v>
      </c>
      <c r="H12628" t="s">
        <v>30916</v>
      </c>
      <c r="I12628" t="s">
        <v>30924</v>
      </c>
      <c r="J12628" t="s">
        <v>38919</v>
      </c>
      <c r="K12628" t="s">
        <v>40286</v>
      </c>
      <c r="M12628" t="s">
        <v>44445</v>
      </c>
      <c r="N12628" t="s">
        <v>44759</v>
      </c>
      <c r="O12628" t="s">
        <v>44760</v>
      </c>
      <c r="Q12628">
        <v>24</v>
      </c>
      <c r="R12628" t="s">
        <v>44776</v>
      </c>
      <c r="S12628" t="s">
        <v>45508</v>
      </c>
      <c r="T12628" t="s">
        <v>46712</v>
      </c>
      <c r="U12628" t="s">
        <v>57312</v>
      </c>
      <c r="V12628" t="s">
        <v>60547</v>
      </c>
      <c r="W12628" t="s">
        <v>44445</v>
      </c>
      <c r="X12628" t="s">
        <v>44777</v>
      </c>
    </row>
    <row r="12629" spans="1:24">
      <c r="A12629">
        <f>HYPERLINK("https://www.philgeps.gov.ph/GEPSNONPILOT/Tender/SplashBidNoticeAbstractUI.aspx?menuIndex=3&amp;refID=7122853&amp;Result=3","7122853")</f>
        <v>0</v>
      </c>
      <c r="B12629" t="s">
        <v>920</v>
      </c>
      <c r="C12629" t="s">
        <v>15778</v>
      </c>
      <c r="D12629" t="s">
        <v>17959</v>
      </c>
      <c r="E12629" t="s">
        <v>28947</v>
      </c>
      <c r="F12629" t="s">
        <v>30900</v>
      </c>
      <c r="G12629" t="s">
        <v>30907</v>
      </c>
      <c r="H12629" t="s">
        <v>30916</v>
      </c>
      <c r="I12629" t="s">
        <v>30924</v>
      </c>
      <c r="J12629" t="s">
        <v>38920</v>
      </c>
      <c r="K12629" t="s">
        <v>40293</v>
      </c>
      <c r="M12629" t="s">
        <v>44452</v>
      </c>
      <c r="N12629" t="s">
        <v>44759</v>
      </c>
      <c r="O12629" t="s">
        <v>44760</v>
      </c>
      <c r="Q12629">
        <v>20</v>
      </c>
      <c r="R12629" t="s">
        <v>44776</v>
      </c>
      <c r="S12629" t="s">
        <v>45509</v>
      </c>
      <c r="T12629" t="s">
        <v>46752</v>
      </c>
      <c r="U12629" t="s">
        <v>57313</v>
      </c>
      <c r="W12629" t="s">
        <v>44452</v>
      </c>
      <c r="X12629" t="s">
        <v>44777</v>
      </c>
    </row>
    <row r="12630" spans="1:24">
      <c r="A12630">
        <f>HYPERLINK("https://www.philgeps.gov.ph/GEPSNONPILOT/Tender/SplashBidNoticeAbstractUI.aspx?menuIndex=3&amp;refID=7122851&amp;Result=3","7122851")</f>
        <v>0</v>
      </c>
      <c r="B12630" t="s">
        <v>150</v>
      </c>
      <c r="C12630" t="s">
        <v>15779</v>
      </c>
      <c r="D12630" t="s">
        <v>18006</v>
      </c>
      <c r="E12630" t="s">
        <v>28948</v>
      </c>
      <c r="F12630" t="s">
        <v>30900</v>
      </c>
      <c r="G12630" t="s">
        <v>30907</v>
      </c>
      <c r="H12630" t="s">
        <v>30916</v>
      </c>
      <c r="I12630" t="s">
        <v>4545</v>
      </c>
      <c r="J12630" t="s">
        <v>31152</v>
      </c>
      <c r="K12630" t="s">
        <v>40280</v>
      </c>
      <c r="M12630" t="s">
        <v>40697</v>
      </c>
      <c r="N12630" t="s">
        <v>44759</v>
      </c>
      <c r="O12630" t="s">
        <v>44760</v>
      </c>
      <c r="P12630">
        <v>0</v>
      </c>
      <c r="Q12630">
        <v>5</v>
      </c>
      <c r="R12630" t="s">
        <v>44776</v>
      </c>
      <c r="S12630" t="s">
        <v>45453</v>
      </c>
      <c r="T12630" t="s">
        <v>46412</v>
      </c>
      <c r="U12630" t="s">
        <v>57314</v>
      </c>
      <c r="W12630" t="s">
        <v>40697</v>
      </c>
      <c r="X12630" t="s">
        <v>44777</v>
      </c>
    </row>
    <row r="12631" spans="1:24">
      <c r="A12631">
        <f>HYPERLINK("https://www.philgeps.gov.ph/GEPSNONPILOT/Tender/SplashBidNoticeAbstractUI.aspx?menuIndex=3&amp;refID=7122811&amp;Result=3","7122811")</f>
        <v>0</v>
      </c>
      <c r="B12631" t="s">
        <v>3378</v>
      </c>
      <c r="C12631" t="s">
        <v>15780</v>
      </c>
      <c r="D12631" t="s">
        <v>17953</v>
      </c>
      <c r="E12631" t="s">
        <v>25338</v>
      </c>
      <c r="F12631" t="s">
        <v>30900</v>
      </c>
      <c r="G12631" t="s">
        <v>30907</v>
      </c>
      <c r="H12631" t="s">
        <v>30916</v>
      </c>
      <c r="I12631" t="s">
        <v>8123</v>
      </c>
      <c r="J12631" t="s">
        <v>31863</v>
      </c>
      <c r="K12631" t="s">
        <v>40287</v>
      </c>
      <c r="L12631" t="s">
        <v>3378</v>
      </c>
      <c r="M12631" t="s">
        <v>44250</v>
      </c>
      <c r="N12631" t="s">
        <v>44759</v>
      </c>
      <c r="O12631" t="s">
        <v>44760</v>
      </c>
      <c r="P12631">
        <v>0</v>
      </c>
      <c r="Q12631">
        <v>1</v>
      </c>
      <c r="R12631" t="s">
        <v>44776</v>
      </c>
      <c r="S12631" t="s">
        <v>45453</v>
      </c>
      <c r="T12631" t="s">
        <v>46409</v>
      </c>
      <c r="U12631" t="s">
        <v>50693</v>
      </c>
      <c r="V12631" t="s">
        <v>60439</v>
      </c>
      <c r="W12631" t="s">
        <v>44250</v>
      </c>
      <c r="X12631" t="s">
        <v>44777</v>
      </c>
    </row>
    <row r="12632" spans="1:24">
      <c r="A12632">
        <f>HYPERLINK("https://www.philgeps.gov.ph/GEPSNONPILOT/Tender/SplashBidNoticeAbstractUI.aspx?menuIndex=3&amp;refID=7122833&amp;Result=3","7122833")</f>
        <v>0</v>
      </c>
      <c r="B12632" t="s">
        <v>1119</v>
      </c>
      <c r="C12632" t="s">
        <v>15781</v>
      </c>
      <c r="D12632" t="s">
        <v>18038</v>
      </c>
      <c r="E12632" t="s">
        <v>28949</v>
      </c>
      <c r="F12632" t="s">
        <v>30900</v>
      </c>
      <c r="G12632" t="s">
        <v>30907</v>
      </c>
      <c r="H12632" t="s">
        <v>30916</v>
      </c>
      <c r="I12632" t="s">
        <v>7708</v>
      </c>
      <c r="J12632" t="s">
        <v>38921</v>
      </c>
      <c r="K12632" t="s">
        <v>40280</v>
      </c>
      <c r="M12632" t="s">
        <v>42602</v>
      </c>
      <c r="N12632" t="s">
        <v>44759</v>
      </c>
      <c r="O12632" t="s">
        <v>44760</v>
      </c>
      <c r="Q12632">
        <v>5</v>
      </c>
      <c r="R12632" t="s">
        <v>44776</v>
      </c>
      <c r="S12632" t="s">
        <v>45510</v>
      </c>
      <c r="T12632" t="s">
        <v>46351</v>
      </c>
      <c r="U12632" t="s">
        <v>57305</v>
      </c>
      <c r="V12632" t="s">
        <v>59685</v>
      </c>
      <c r="W12632" t="s">
        <v>42602</v>
      </c>
      <c r="X12632" t="s">
        <v>44777</v>
      </c>
    </row>
    <row r="12633" spans="1:24">
      <c r="A12633">
        <f>HYPERLINK("https://www.philgeps.gov.ph/GEPSNONPILOT/Tender/SplashBidNoticeAbstractUI.aspx?menuIndex=3&amp;refID=7122826&amp;Result=3","7122826")</f>
        <v>0</v>
      </c>
      <c r="B12633" t="s">
        <v>1119</v>
      </c>
      <c r="C12633" t="s">
        <v>15782</v>
      </c>
      <c r="D12633" t="s">
        <v>18038</v>
      </c>
      <c r="E12633" t="s">
        <v>28950</v>
      </c>
      <c r="F12633" t="s">
        <v>30900</v>
      </c>
      <c r="G12633" t="s">
        <v>30907</v>
      </c>
      <c r="H12633" t="s">
        <v>30916</v>
      </c>
      <c r="I12633" t="s">
        <v>7708</v>
      </c>
      <c r="J12633" t="s">
        <v>38922</v>
      </c>
      <c r="K12633" t="s">
        <v>40280</v>
      </c>
      <c r="M12633" t="s">
        <v>42602</v>
      </c>
      <c r="N12633" t="s">
        <v>44759</v>
      </c>
      <c r="O12633" t="s">
        <v>44760</v>
      </c>
      <c r="Q12633">
        <v>8</v>
      </c>
      <c r="R12633" t="s">
        <v>44776</v>
      </c>
      <c r="S12633" t="s">
        <v>45511</v>
      </c>
      <c r="T12633" t="s">
        <v>46351</v>
      </c>
      <c r="U12633" t="s">
        <v>57305</v>
      </c>
      <c r="V12633" t="s">
        <v>60549</v>
      </c>
      <c r="W12633" t="s">
        <v>42602</v>
      </c>
      <c r="X12633" t="s">
        <v>44777</v>
      </c>
    </row>
    <row r="12634" spans="1:24">
      <c r="A12634">
        <f>HYPERLINK("https://www.philgeps.gov.ph/GEPSNONPILOT/Tender/SplashBidNoticeAbstractUI.aspx?menuIndex=3&amp;refID=7122810&amp;Result=3","7122810")</f>
        <v>0</v>
      </c>
      <c r="B12634" t="s">
        <v>2199</v>
      </c>
      <c r="C12634" t="s">
        <v>15783</v>
      </c>
      <c r="D12634" t="s">
        <v>17952</v>
      </c>
      <c r="E12634" t="s">
        <v>28951</v>
      </c>
      <c r="F12634" t="s">
        <v>30900</v>
      </c>
      <c r="G12634" t="s">
        <v>30907</v>
      </c>
      <c r="H12634" t="s">
        <v>30915</v>
      </c>
      <c r="I12634" t="s">
        <v>30919</v>
      </c>
      <c r="J12634" t="s">
        <v>38923</v>
      </c>
      <c r="K12634" t="s">
        <v>40280</v>
      </c>
      <c r="M12634" t="s">
        <v>42906</v>
      </c>
      <c r="N12634" t="s">
        <v>44759</v>
      </c>
      <c r="O12634" t="s">
        <v>44760</v>
      </c>
      <c r="P12634">
        <v>0</v>
      </c>
      <c r="Q12634">
        <v>2</v>
      </c>
      <c r="R12634" t="s">
        <v>44776</v>
      </c>
      <c r="S12634" t="s">
        <v>45453</v>
      </c>
      <c r="T12634" t="s">
        <v>46694</v>
      </c>
      <c r="U12634" t="s">
        <v>57116</v>
      </c>
      <c r="V12634" t="s">
        <v>59226</v>
      </c>
      <c r="W12634" t="s">
        <v>42906</v>
      </c>
      <c r="X12634" t="s">
        <v>44777</v>
      </c>
    </row>
    <row r="12635" spans="1:24">
      <c r="A12635">
        <f>HYPERLINK("https://www.philgeps.gov.ph/GEPSNONPILOT/Tender/SplashBidNoticeAbstractUI.aspx?menuIndex=3&amp;refID=7122897&amp;Result=3","7122897")</f>
        <v>0</v>
      </c>
      <c r="B12635" t="s">
        <v>150</v>
      </c>
      <c r="C12635" t="s">
        <v>15784</v>
      </c>
      <c r="D12635" t="s">
        <v>18006</v>
      </c>
      <c r="E12635" t="s">
        <v>28952</v>
      </c>
      <c r="F12635" t="s">
        <v>30900</v>
      </c>
      <c r="G12635" t="s">
        <v>30907</v>
      </c>
      <c r="H12635" t="s">
        <v>30916</v>
      </c>
      <c r="I12635" t="s">
        <v>4050</v>
      </c>
      <c r="J12635" t="s">
        <v>38924</v>
      </c>
      <c r="K12635" t="s">
        <v>40280</v>
      </c>
      <c r="M12635" t="s">
        <v>40697</v>
      </c>
      <c r="N12635" t="s">
        <v>44759</v>
      </c>
      <c r="O12635" t="s">
        <v>44760</v>
      </c>
      <c r="P12635">
        <v>0</v>
      </c>
      <c r="Q12635">
        <v>0</v>
      </c>
      <c r="R12635" t="s">
        <v>44776</v>
      </c>
      <c r="S12635" t="s">
        <v>45453</v>
      </c>
      <c r="T12635" t="s">
        <v>46412</v>
      </c>
      <c r="U12635" t="s">
        <v>57315</v>
      </c>
      <c r="W12635" t="s">
        <v>40697</v>
      </c>
      <c r="X12635" t="s">
        <v>44777</v>
      </c>
    </row>
    <row r="12636" spans="1:24">
      <c r="A12636">
        <f>HYPERLINK("https://www.philgeps.gov.ph/GEPSNONPILOT/Tender/SplashBidNoticeAbstractUI.aspx?menuIndex=3&amp;refID=7122894&amp;Result=3","7122894")</f>
        <v>0</v>
      </c>
      <c r="B12636" t="s">
        <v>3167</v>
      </c>
      <c r="C12636" t="s">
        <v>15785</v>
      </c>
      <c r="D12636" t="s">
        <v>17992</v>
      </c>
      <c r="E12636" t="s">
        <v>28953</v>
      </c>
      <c r="F12636" t="s">
        <v>30900</v>
      </c>
      <c r="G12636" t="s">
        <v>30907</v>
      </c>
      <c r="H12636" t="s">
        <v>30915</v>
      </c>
      <c r="I12636" t="s">
        <v>30919</v>
      </c>
      <c r="J12636" t="s">
        <v>31152</v>
      </c>
      <c r="K12636" t="s">
        <v>40292</v>
      </c>
      <c r="M12636" t="s">
        <v>43993</v>
      </c>
      <c r="N12636" t="s">
        <v>44759</v>
      </c>
      <c r="O12636" t="s">
        <v>44760</v>
      </c>
      <c r="P12636">
        <v>0</v>
      </c>
      <c r="Q12636">
        <v>0</v>
      </c>
      <c r="R12636" t="s">
        <v>44776</v>
      </c>
      <c r="S12636" t="s">
        <v>45453</v>
      </c>
      <c r="T12636" t="s">
        <v>46421</v>
      </c>
      <c r="U12636" t="s">
        <v>57316</v>
      </c>
      <c r="V12636" t="s">
        <v>60550</v>
      </c>
      <c r="W12636" t="s">
        <v>43993</v>
      </c>
      <c r="X12636" t="s">
        <v>44777</v>
      </c>
    </row>
    <row r="12637" spans="1:24">
      <c r="A12637">
        <f>HYPERLINK("https://www.philgeps.gov.ph/GEPSNONPILOT/Tender/SplashBidNoticeAbstractUI.aspx?menuIndex=3&amp;refID=7122805&amp;Result=3","7122805")</f>
        <v>0</v>
      </c>
      <c r="B12637" t="s">
        <v>3533</v>
      </c>
      <c r="C12637" t="s">
        <v>15786</v>
      </c>
      <c r="D12637" t="s">
        <v>17953</v>
      </c>
      <c r="E12637" t="s">
        <v>28954</v>
      </c>
      <c r="F12637" t="s">
        <v>30900</v>
      </c>
      <c r="G12637" t="s">
        <v>30907</v>
      </c>
      <c r="H12637" t="s">
        <v>30916</v>
      </c>
      <c r="I12637" t="s">
        <v>4545</v>
      </c>
      <c r="J12637" t="s">
        <v>33193</v>
      </c>
      <c r="K12637" t="s">
        <v>40281</v>
      </c>
      <c r="M12637" t="s">
        <v>44447</v>
      </c>
      <c r="N12637" t="s">
        <v>44759</v>
      </c>
      <c r="O12637" t="s">
        <v>44760</v>
      </c>
      <c r="P12637">
        <v>0</v>
      </c>
      <c r="Q12637">
        <v>0</v>
      </c>
      <c r="R12637" t="s">
        <v>44776</v>
      </c>
      <c r="S12637" t="s">
        <v>45453</v>
      </c>
      <c r="T12637" t="s">
        <v>46399</v>
      </c>
      <c r="U12637" t="s">
        <v>57317</v>
      </c>
      <c r="W12637" t="s">
        <v>44447</v>
      </c>
      <c r="X12637" t="s">
        <v>44777</v>
      </c>
    </row>
    <row r="12638" spans="1:24">
      <c r="A12638">
        <f>HYPERLINK("https://www.philgeps.gov.ph/GEPSNONPILOT/Tender/SplashBidNoticeAbstractUI.aspx?menuIndex=3&amp;refID=7122809&amp;Result=3","7122809")</f>
        <v>0</v>
      </c>
      <c r="B12638" t="s">
        <v>3533</v>
      </c>
      <c r="C12638" t="s">
        <v>15787</v>
      </c>
      <c r="D12638" t="s">
        <v>17953</v>
      </c>
      <c r="E12638" t="s">
        <v>28955</v>
      </c>
      <c r="F12638" t="s">
        <v>30900</v>
      </c>
      <c r="G12638" t="s">
        <v>30907</v>
      </c>
      <c r="H12638" t="s">
        <v>30916</v>
      </c>
      <c r="I12638" t="s">
        <v>30999</v>
      </c>
      <c r="J12638" t="s">
        <v>32200</v>
      </c>
      <c r="K12638" t="s">
        <v>40281</v>
      </c>
      <c r="M12638" t="s">
        <v>44447</v>
      </c>
      <c r="N12638" t="s">
        <v>44759</v>
      </c>
      <c r="O12638" t="s">
        <v>44760</v>
      </c>
      <c r="P12638">
        <v>0</v>
      </c>
      <c r="Q12638">
        <v>0</v>
      </c>
      <c r="R12638" t="s">
        <v>44776</v>
      </c>
      <c r="S12638" t="s">
        <v>45453</v>
      </c>
      <c r="T12638" t="s">
        <v>46399</v>
      </c>
      <c r="U12638" t="s">
        <v>57318</v>
      </c>
      <c r="W12638" t="s">
        <v>44447</v>
      </c>
      <c r="X12638" t="s">
        <v>44777</v>
      </c>
    </row>
    <row r="12639" spans="1:24">
      <c r="A12639">
        <f>HYPERLINK("https://www.philgeps.gov.ph/GEPSNONPILOT/Tender/SplashBidNoticeAbstractUI.aspx?menuIndex=3&amp;refID=7122863&amp;Result=3","7122863")</f>
        <v>0</v>
      </c>
      <c r="B12639" t="s">
        <v>3526</v>
      </c>
      <c r="C12639" t="s">
        <v>15788</v>
      </c>
      <c r="D12639" t="s">
        <v>17976</v>
      </c>
      <c r="E12639" t="s">
        <v>20832</v>
      </c>
      <c r="F12639" t="s">
        <v>30900</v>
      </c>
      <c r="G12639" t="s">
        <v>30907</v>
      </c>
      <c r="H12639" t="s">
        <v>30915</v>
      </c>
      <c r="I12639" t="s">
        <v>30919</v>
      </c>
      <c r="J12639" t="s">
        <v>38925</v>
      </c>
      <c r="K12639" t="s">
        <v>40354</v>
      </c>
      <c r="M12639" t="s">
        <v>44437</v>
      </c>
      <c r="N12639" t="s">
        <v>44759</v>
      </c>
      <c r="O12639" t="s">
        <v>44760</v>
      </c>
      <c r="Q12639">
        <v>2</v>
      </c>
      <c r="R12639" t="s">
        <v>44776</v>
      </c>
      <c r="S12639" t="s">
        <v>45512</v>
      </c>
      <c r="T12639" t="s">
        <v>46425</v>
      </c>
      <c r="U12639" t="s">
        <v>57319</v>
      </c>
      <c r="W12639" t="s">
        <v>44437</v>
      </c>
      <c r="X12639" t="s">
        <v>44777</v>
      </c>
    </row>
    <row r="12640" spans="1:24">
      <c r="A12640">
        <f>HYPERLINK("https://www.philgeps.gov.ph/GEPSNONPILOT/Tender/SplashBidNoticeAbstractUI.aspx?menuIndex=3&amp;refID=7122697&amp;Result=3","7122697")</f>
        <v>0</v>
      </c>
      <c r="B12640" t="s">
        <v>945</v>
      </c>
      <c r="C12640" t="s">
        <v>15789</v>
      </c>
      <c r="D12640" t="s">
        <v>17962</v>
      </c>
      <c r="E12640" t="s">
        <v>28956</v>
      </c>
      <c r="F12640" t="s">
        <v>30900</v>
      </c>
      <c r="G12640" t="s">
        <v>30907</v>
      </c>
      <c r="H12640" t="s">
        <v>30916</v>
      </c>
      <c r="I12640" t="s">
        <v>30933</v>
      </c>
      <c r="J12640" t="s">
        <v>38926</v>
      </c>
      <c r="K12640" t="s">
        <v>40292</v>
      </c>
      <c r="M12640" t="s">
        <v>41529</v>
      </c>
      <c r="N12640" t="s">
        <v>44759</v>
      </c>
      <c r="O12640" t="s">
        <v>44760</v>
      </c>
      <c r="P12640">
        <v>0</v>
      </c>
      <c r="Q12640">
        <v>11</v>
      </c>
      <c r="R12640" t="s">
        <v>44776</v>
      </c>
      <c r="S12640" t="s">
        <v>45453</v>
      </c>
      <c r="T12640" t="s">
        <v>46412</v>
      </c>
      <c r="U12640" t="s">
        <v>56383</v>
      </c>
      <c r="V12640" t="s">
        <v>60325</v>
      </c>
      <c r="W12640" t="s">
        <v>41529</v>
      </c>
      <c r="X12640" t="s">
        <v>44777</v>
      </c>
    </row>
    <row r="12641" spans="1:24">
      <c r="A12641">
        <f>HYPERLINK("https://www.philgeps.gov.ph/GEPSNONPILOT/Tender/SplashBidNoticeAbstractUI.aspx?menuIndex=3&amp;refID=7122893&amp;Result=3","7122893")</f>
        <v>0</v>
      </c>
      <c r="B12641" t="s">
        <v>3538</v>
      </c>
      <c r="C12641" t="s">
        <v>15790</v>
      </c>
      <c r="D12641" t="s">
        <v>18007</v>
      </c>
      <c r="E12641" t="s">
        <v>28957</v>
      </c>
      <c r="F12641" t="s">
        <v>30900</v>
      </c>
      <c r="G12641" t="s">
        <v>30907</v>
      </c>
      <c r="H12641" t="s">
        <v>30916</v>
      </c>
      <c r="I12641" t="s">
        <v>4545</v>
      </c>
      <c r="J12641" t="s">
        <v>38927</v>
      </c>
      <c r="K12641" t="s">
        <v>40286</v>
      </c>
      <c r="M12641" t="s">
        <v>44453</v>
      </c>
      <c r="N12641" t="s">
        <v>44759</v>
      </c>
      <c r="O12641" t="s">
        <v>44760</v>
      </c>
      <c r="P12641">
        <v>0</v>
      </c>
      <c r="Q12641">
        <v>1</v>
      </c>
      <c r="R12641" t="s">
        <v>44776</v>
      </c>
      <c r="S12641" t="s">
        <v>45453</v>
      </c>
      <c r="T12641" t="s">
        <v>46421</v>
      </c>
      <c r="U12641" t="s">
        <v>57320</v>
      </c>
      <c r="W12641" t="s">
        <v>44453</v>
      </c>
      <c r="X12641" t="s">
        <v>44777</v>
      </c>
    </row>
    <row r="12642" spans="1:24">
      <c r="A12642">
        <f>HYPERLINK("https://www.philgeps.gov.ph/GEPSNONPILOT/Tender/SplashBidNoticeAbstractUI.aspx?menuIndex=3&amp;refID=7122885&amp;Result=3","7122885")</f>
        <v>0</v>
      </c>
      <c r="B12642" t="s">
        <v>3536</v>
      </c>
      <c r="C12642" t="s">
        <v>15791</v>
      </c>
      <c r="D12642" t="s">
        <v>17951</v>
      </c>
      <c r="E12642" t="s">
        <v>28958</v>
      </c>
      <c r="F12642" t="s">
        <v>30900</v>
      </c>
      <c r="G12642" t="s">
        <v>30907</v>
      </c>
      <c r="H12642" t="s">
        <v>30915</v>
      </c>
      <c r="I12642" t="s">
        <v>30922</v>
      </c>
      <c r="J12642" t="s">
        <v>38928</v>
      </c>
      <c r="K12642" t="s">
        <v>40286</v>
      </c>
      <c r="M12642" t="s">
        <v>44450</v>
      </c>
      <c r="N12642" t="s">
        <v>44759</v>
      </c>
      <c r="O12642" t="s">
        <v>44760</v>
      </c>
      <c r="P12642">
        <v>0</v>
      </c>
      <c r="Q12642">
        <v>0</v>
      </c>
      <c r="R12642" t="s">
        <v>44776</v>
      </c>
      <c r="S12642" t="s">
        <v>45453</v>
      </c>
      <c r="T12642" t="s">
        <v>46357</v>
      </c>
      <c r="U12642" t="s">
        <v>57321</v>
      </c>
      <c r="W12642" t="s">
        <v>44450</v>
      </c>
      <c r="X12642" t="s">
        <v>44777</v>
      </c>
    </row>
    <row r="12643" spans="1:24">
      <c r="A12643">
        <f>HYPERLINK("https://www.philgeps.gov.ph/GEPSNONPILOT/Tender/SplashBidNoticeAbstractUI.aspx?menuIndex=3&amp;refID=7122887&amp;Result=3","7122887")</f>
        <v>0</v>
      </c>
      <c r="B12643" t="s">
        <v>3538</v>
      </c>
      <c r="C12643" t="s">
        <v>15792</v>
      </c>
      <c r="D12643" t="s">
        <v>18007</v>
      </c>
      <c r="E12643" t="s">
        <v>28959</v>
      </c>
      <c r="F12643" t="s">
        <v>30900</v>
      </c>
      <c r="G12643" t="s">
        <v>30907</v>
      </c>
      <c r="H12643" t="s">
        <v>30916</v>
      </c>
      <c r="I12643" t="s">
        <v>30931</v>
      </c>
      <c r="J12643" t="s">
        <v>31687</v>
      </c>
      <c r="K12643" t="s">
        <v>40286</v>
      </c>
      <c r="M12643" t="s">
        <v>44453</v>
      </c>
      <c r="N12643" t="s">
        <v>44759</v>
      </c>
      <c r="O12643" t="s">
        <v>44760</v>
      </c>
      <c r="Q12643">
        <v>5</v>
      </c>
      <c r="R12643" t="s">
        <v>44776</v>
      </c>
      <c r="S12643" t="s">
        <v>45513</v>
      </c>
      <c r="T12643" t="s">
        <v>46421</v>
      </c>
      <c r="U12643" t="s">
        <v>57322</v>
      </c>
      <c r="W12643" t="s">
        <v>44453</v>
      </c>
      <c r="X12643" t="s">
        <v>44777</v>
      </c>
    </row>
    <row r="12644" spans="1:24">
      <c r="A12644">
        <f>HYPERLINK("https://www.philgeps.gov.ph/GEPSNONPILOT/Tender/SplashBidNoticeAbstractUI.aspx?menuIndex=3&amp;refID=7122878&amp;Result=3","7122878")</f>
        <v>0</v>
      </c>
      <c r="B12644" t="s">
        <v>3536</v>
      </c>
      <c r="C12644" t="s">
        <v>15793</v>
      </c>
      <c r="D12644" t="s">
        <v>17951</v>
      </c>
      <c r="E12644" t="s">
        <v>28960</v>
      </c>
      <c r="F12644" t="s">
        <v>30900</v>
      </c>
      <c r="G12644" t="s">
        <v>30907</v>
      </c>
      <c r="H12644" t="s">
        <v>30915</v>
      </c>
      <c r="I12644" t="s">
        <v>30922</v>
      </c>
      <c r="J12644" t="s">
        <v>38929</v>
      </c>
      <c r="K12644" t="s">
        <v>40304</v>
      </c>
      <c r="M12644" t="s">
        <v>44450</v>
      </c>
      <c r="N12644" t="s">
        <v>44759</v>
      </c>
      <c r="O12644" t="s">
        <v>44760</v>
      </c>
      <c r="P12644">
        <v>0</v>
      </c>
      <c r="Q12644">
        <v>0</v>
      </c>
      <c r="R12644" t="s">
        <v>44776</v>
      </c>
      <c r="S12644" t="s">
        <v>45453</v>
      </c>
      <c r="T12644" t="s">
        <v>46357</v>
      </c>
      <c r="U12644" t="s">
        <v>57323</v>
      </c>
      <c r="W12644" t="s">
        <v>44450</v>
      </c>
      <c r="X12644" t="s">
        <v>44777</v>
      </c>
    </row>
    <row r="12645" spans="1:24">
      <c r="A12645">
        <f>HYPERLINK("https://www.philgeps.gov.ph/GEPSNONPILOT/Tender/SplashBidNoticeAbstractUI.aspx?menuIndex=3&amp;refID=7122896&amp;Result=3","7122896")</f>
        <v>0</v>
      </c>
      <c r="B12645" t="s">
        <v>3536</v>
      </c>
      <c r="C12645" t="s">
        <v>15794</v>
      </c>
      <c r="D12645" t="s">
        <v>17951</v>
      </c>
      <c r="E12645" t="s">
        <v>28961</v>
      </c>
      <c r="F12645" t="s">
        <v>30900</v>
      </c>
      <c r="G12645" t="s">
        <v>30907</v>
      </c>
      <c r="H12645" t="s">
        <v>30915</v>
      </c>
      <c r="I12645" t="s">
        <v>8123</v>
      </c>
      <c r="J12645" t="s">
        <v>31152</v>
      </c>
      <c r="K12645" t="s">
        <v>40354</v>
      </c>
      <c r="M12645" t="s">
        <v>44450</v>
      </c>
      <c r="N12645" t="s">
        <v>44759</v>
      </c>
      <c r="O12645" t="s">
        <v>44760</v>
      </c>
      <c r="P12645">
        <v>0</v>
      </c>
      <c r="Q12645">
        <v>0</v>
      </c>
      <c r="R12645" t="s">
        <v>44776</v>
      </c>
      <c r="S12645" t="s">
        <v>45453</v>
      </c>
      <c r="T12645" t="s">
        <v>46357</v>
      </c>
      <c r="U12645" t="s">
        <v>57324</v>
      </c>
      <c r="W12645" t="s">
        <v>44450</v>
      </c>
      <c r="X12645" t="s">
        <v>44777</v>
      </c>
    </row>
    <row r="12646" spans="1:24">
      <c r="A12646">
        <f>HYPERLINK("https://www.philgeps.gov.ph/GEPSNONPILOT/Tender/SplashBidNoticeAbstractUI.aspx?menuIndex=3&amp;refID=7122877&amp;Result=3","7122877")</f>
        <v>0</v>
      </c>
      <c r="B12646" t="s">
        <v>3539</v>
      </c>
      <c r="C12646" t="s">
        <v>15795</v>
      </c>
      <c r="D12646" t="s">
        <v>17963</v>
      </c>
      <c r="E12646" t="s">
        <v>28962</v>
      </c>
      <c r="F12646" t="s">
        <v>30900</v>
      </c>
      <c r="G12646" t="s">
        <v>30907</v>
      </c>
      <c r="H12646" t="s">
        <v>30915</v>
      </c>
      <c r="I12646" t="s">
        <v>30919</v>
      </c>
      <c r="J12646" t="s">
        <v>31897</v>
      </c>
      <c r="K12646" t="s">
        <v>40301</v>
      </c>
      <c r="L12646" t="s">
        <v>3539</v>
      </c>
      <c r="M12646" t="s">
        <v>44454</v>
      </c>
      <c r="N12646" t="s">
        <v>44759</v>
      </c>
      <c r="O12646" t="s">
        <v>44760</v>
      </c>
      <c r="P12646">
        <v>0</v>
      </c>
      <c r="Q12646">
        <v>1</v>
      </c>
      <c r="R12646" t="s">
        <v>44776</v>
      </c>
      <c r="S12646" t="s">
        <v>45453</v>
      </c>
      <c r="T12646" t="s">
        <v>46425</v>
      </c>
      <c r="U12646" t="s">
        <v>57325</v>
      </c>
      <c r="W12646" t="s">
        <v>44454</v>
      </c>
      <c r="X12646" t="s">
        <v>44777</v>
      </c>
    </row>
    <row r="12647" spans="1:24">
      <c r="A12647">
        <f>HYPERLINK("https://www.philgeps.gov.ph/GEPSNONPILOT/Tender/SplashBidNoticeAbstractUI.aspx?menuIndex=3&amp;refID=7122886&amp;Result=3","7122886")</f>
        <v>0</v>
      </c>
      <c r="B12647" t="s">
        <v>3167</v>
      </c>
      <c r="C12647" t="s">
        <v>15796</v>
      </c>
      <c r="D12647" t="s">
        <v>17992</v>
      </c>
      <c r="E12647" t="s">
        <v>28963</v>
      </c>
      <c r="F12647" t="s">
        <v>30900</v>
      </c>
      <c r="G12647" t="s">
        <v>30907</v>
      </c>
      <c r="H12647" t="s">
        <v>30915</v>
      </c>
      <c r="I12647" t="s">
        <v>30919</v>
      </c>
      <c r="J12647" t="s">
        <v>38930</v>
      </c>
      <c r="K12647" t="s">
        <v>40342</v>
      </c>
      <c r="M12647" t="s">
        <v>43993</v>
      </c>
      <c r="N12647" t="s">
        <v>44759</v>
      </c>
      <c r="O12647" t="s">
        <v>44760</v>
      </c>
      <c r="P12647">
        <v>0</v>
      </c>
      <c r="Q12647">
        <v>0</v>
      </c>
      <c r="R12647" t="s">
        <v>44776</v>
      </c>
      <c r="S12647" t="s">
        <v>45453</v>
      </c>
      <c r="T12647" t="s">
        <v>46421</v>
      </c>
      <c r="U12647" t="s">
        <v>57326</v>
      </c>
      <c r="V12647" t="s">
        <v>60550</v>
      </c>
      <c r="W12647" t="s">
        <v>43993</v>
      </c>
      <c r="X12647" t="s">
        <v>44777</v>
      </c>
    </row>
    <row r="12648" spans="1:24">
      <c r="A12648">
        <f>HYPERLINK("https://www.philgeps.gov.ph/GEPSNONPILOT/Tender/SplashBidNoticeAbstractUI.aspx?menuIndex=3&amp;refID=7122834&amp;Result=3","7122834")</f>
        <v>0</v>
      </c>
      <c r="B12648" t="s">
        <v>150</v>
      </c>
      <c r="C12648" t="s">
        <v>15797</v>
      </c>
      <c r="E12648" t="s">
        <v>28964</v>
      </c>
      <c r="F12648" t="s">
        <v>30900</v>
      </c>
      <c r="G12648" t="s">
        <v>30907</v>
      </c>
      <c r="H12648" t="s">
        <v>30916</v>
      </c>
      <c r="I12648" t="s">
        <v>4545</v>
      </c>
      <c r="J12648" t="s">
        <v>37184</v>
      </c>
      <c r="K12648" t="s">
        <v>40280</v>
      </c>
      <c r="M12648" t="s">
        <v>40697</v>
      </c>
      <c r="N12648" t="s">
        <v>44759</v>
      </c>
      <c r="O12648" t="s">
        <v>44760</v>
      </c>
      <c r="P12648">
        <v>0</v>
      </c>
      <c r="Q12648">
        <v>8</v>
      </c>
      <c r="R12648" t="s">
        <v>44776</v>
      </c>
      <c r="S12648" t="s">
        <v>45453</v>
      </c>
      <c r="T12648" t="s">
        <v>46503</v>
      </c>
      <c r="U12648" t="s">
        <v>57327</v>
      </c>
      <c r="W12648" t="s">
        <v>40697</v>
      </c>
      <c r="X12648" t="s">
        <v>44777</v>
      </c>
    </row>
    <row r="12649" spans="1:24">
      <c r="A12649">
        <f>HYPERLINK("https://www.philgeps.gov.ph/GEPSNONPILOT/Tender/SplashBidNoticeAbstractUI.aspx?menuIndex=3&amp;refID=7122867&amp;Result=3","7122867")</f>
        <v>0</v>
      </c>
      <c r="B12649" t="s">
        <v>3536</v>
      </c>
      <c r="C12649" t="s">
        <v>15798</v>
      </c>
      <c r="D12649" t="s">
        <v>17951</v>
      </c>
      <c r="E12649" t="s">
        <v>28965</v>
      </c>
      <c r="F12649" t="s">
        <v>30900</v>
      </c>
      <c r="G12649" t="s">
        <v>30907</v>
      </c>
      <c r="H12649" t="s">
        <v>30916</v>
      </c>
      <c r="I12649" t="s">
        <v>30922</v>
      </c>
      <c r="J12649" t="s">
        <v>38931</v>
      </c>
      <c r="K12649" t="s">
        <v>40304</v>
      </c>
      <c r="M12649" t="s">
        <v>44450</v>
      </c>
      <c r="N12649" t="s">
        <v>44759</v>
      </c>
      <c r="O12649" t="s">
        <v>44760</v>
      </c>
      <c r="P12649">
        <v>0</v>
      </c>
      <c r="Q12649">
        <v>1</v>
      </c>
      <c r="R12649" t="s">
        <v>44776</v>
      </c>
      <c r="S12649" t="s">
        <v>45453</v>
      </c>
      <c r="T12649" t="s">
        <v>46357</v>
      </c>
      <c r="U12649" t="s">
        <v>57328</v>
      </c>
      <c r="W12649" t="s">
        <v>44450</v>
      </c>
      <c r="X12649" t="s">
        <v>44777</v>
      </c>
    </row>
    <row r="12650" spans="1:24">
      <c r="A12650">
        <f>HYPERLINK("https://www.philgeps.gov.ph/GEPSNONPILOT/Tender/SplashBidNoticeAbstractUI.aspx?menuIndex=3&amp;refID=7122905&amp;Result=3","7122905")</f>
        <v>0</v>
      </c>
      <c r="B12650" t="s">
        <v>1119</v>
      </c>
      <c r="C12650" t="s">
        <v>15799</v>
      </c>
      <c r="D12650" t="s">
        <v>17979</v>
      </c>
      <c r="E12650" t="s">
        <v>28966</v>
      </c>
      <c r="F12650" t="s">
        <v>30900</v>
      </c>
      <c r="G12650" t="s">
        <v>30907</v>
      </c>
      <c r="H12650" t="s">
        <v>30916</v>
      </c>
      <c r="I12650" t="s">
        <v>30963</v>
      </c>
      <c r="J12650" t="s">
        <v>38932</v>
      </c>
      <c r="K12650" t="s">
        <v>40407</v>
      </c>
      <c r="M12650" t="s">
        <v>42602</v>
      </c>
      <c r="N12650" t="s">
        <v>44759</v>
      </c>
      <c r="O12650" t="s">
        <v>44760</v>
      </c>
      <c r="Q12650">
        <v>7</v>
      </c>
      <c r="R12650" t="s">
        <v>44776</v>
      </c>
      <c r="S12650" t="s">
        <v>45514</v>
      </c>
      <c r="T12650" t="s">
        <v>46694</v>
      </c>
      <c r="U12650" t="s">
        <v>57329</v>
      </c>
      <c r="V12650" t="s">
        <v>60551</v>
      </c>
      <c r="W12650" t="s">
        <v>42602</v>
      </c>
      <c r="X12650" t="s">
        <v>44777</v>
      </c>
    </row>
    <row r="12651" spans="1:24">
      <c r="A12651">
        <f>HYPERLINK("https://www.philgeps.gov.ph/GEPSNONPILOT/Tender/SplashBidNoticeAbstractUI.aspx?menuIndex=3&amp;refID=7122866&amp;Result=3","7122866")</f>
        <v>0</v>
      </c>
      <c r="B12651" t="s">
        <v>3540</v>
      </c>
      <c r="C12651" t="s">
        <v>15800</v>
      </c>
      <c r="E12651" t="s">
        <v>28967</v>
      </c>
      <c r="F12651" t="s">
        <v>30900</v>
      </c>
      <c r="G12651" t="s">
        <v>30907</v>
      </c>
      <c r="H12651" t="s">
        <v>30916</v>
      </c>
      <c r="I12651" t="s">
        <v>30923</v>
      </c>
      <c r="J12651" t="s">
        <v>38933</v>
      </c>
      <c r="K12651" t="s">
        <v>40289</v>
      </c>
      <c r="M12651" t="s">
        <v>44455</v>
      </c>
      <c r="N12651" t="s">
        <v>44759</v>
      </c>
      <c r="O12651" t="s">
        <v>44760</v>
      </c>
      <c r="Q12651">
        <v>17</v>
      </c>
      <c r="R12651" t="s">
        <v>44776</v>
      </c>
      <c r="S12651" t="s">
        <v>45515</v>
      </c>
      <c r="T12651" t="s">
        <v>46399</v>
      </c>
      <c r="U12651" t="s">
        <v>57330</v>
      </c>
      <c r="W12651" t="s">
        <v>44455</v>
      </c>
      <c r="X12651" t="s">
        <v>44777</v>
      </c>
    </row>
    <row r="12652" spans="1:24">
      <c r="A12652">
        <f>HYPERLINK("https://www.philgeps.gov.ph/GEPSNONPILOT/Tender/SplashBidNoticeAbstractUI.aspx?menuIndex=3&amp;refID=7122868&amp;Result=3","7122868")</f>
        <v>0</v>
      </c>
      <c r="B12652" t="s">
        <v>1028</v>
      </c>
      <c r="C12652" t="s">
        <v>15801</v>
      </c>
      <c r="D12652" t="s">
        <v>18033</v>
      </c>
      <c r="E12652" t="s">
        <v>28968</v>
      </c>
      <c r="F12652" t="s">
        <v>30900</v>
      </c>
      <c r="G12652" t="s">
        <v>30907</v>
      </c>
      <c r="H12652" t="s">
        <v>30915</v>
      </c>
      <c r="I12652" t="s">
        <v>8123</v>
      </c>
      <c r="J12652" t="s">
        <v>31158</v>
      </c>
      <c r="K12652" t="s">
        <v>40395</v>
      </c>
      <c r="M12652" t="s">
        <v>41619</v>
      </c>
      <c r="N12652" t="s">
        <v>44759</v>
      </c>
      <c r="O12652" t="s">
        <v>44760</v>
      </c>
      <c r="P12652">
        <v>0</v>
      </c>
      <c r="Q12652">
        <v>1</v>
      </c>
      <c r="R12652" t="s">
        <v>44776</v>
      </c>
      <c r="S12652" t="s">
        <v>45453</v>
      </c>
      <c r="T12652" t="s">
        <v>46913</v>
      </c>
      <c r="U12652" t="s">
        <v>57331</v>
      </c>
      <c r="V12652" t="s">
        <v>59364</v>
      </c>
      <c r="W12652" t="s">
        <v>41619</v>
      </c>
      <c r="X12652" t="s">
        <v>44777</v>
      </c>
    </row>
    <row r="12653" spans="1:24">
      <c r="A12653">
        <f>HYPERLINK("https://www.philgeps.gov.ph/GEPSNONPILOT/Tender/SplashBidNoticeAbstractUI.aspx?menuIndex=3&amp;refID=7122884&amp;Result=3","7122884")</f>
        <v>0</v>
      </c>
      <c r="B12653" t="s">
        <v>150</v>
      </c>
      <c r="C12653" t="s">
        <v>15802</v>
      </c>
      <c r="D12653" t="s">
        <v>18006</v>
      </c>
      <c r="E12653" t="s">
        <v>22828</v>
      </c>
      <c r="F12653" t="s">
        <v>30900</v>
      </c>
      <c r="G12653" t="s">
        <v>30907</v>
      </c>
      <c r="H12653" t="s">
        <v>30916</v>
      </c>
      <c r="I12653" t="s">
        <v>6953</v>
      </c>
      <c r="J12653" t="s">
        <v>31066</v>
      </c>
      <c r="K12653" t="s">
        <v>40280</v>
      </c>
      <c r="M12653" t="s">
        <v>40697</v>
      </c>
      <c r="N12653" t="s">
        <v>44759</v>
      </c>
      <c r="O12653" t="s">
        <v>44760</v>
      </c>
      <c r="P12653">
        <v>0</v>
      </c>
      <c r="Q12653">
        <v>0</v>
      </c>
      <c r="R12653" t="s">
        <v>44776</v>
      </c>
      <c r="S12653" t="s">
        <v>45453</v>
      </c>
      <c r="T12653" t="s">
        <v>46412</v>
      </c>
      <c r="U12653" t="s">
        <v>57332</v>
      </c>
      <c r="W12653" t="s">
        <v>40697</v>
      </c>
      <c r="X12653" t="s">
        <v>44777</v>
      </c>
    </row>
    <row r="12654" spans="1:24">
      <c r="A12654">
        <f>HYPERLINK("https://www.philgeps.gov.ph/GEPSNONPILOT/Tender/SplashBidNoticeAbstractUI.aspx?menuIndex=3&amp;refID=7123034&amp;Result=3","7123034")</f>
        <v>0</v>
      </c>
      <c r="B12654" t="s">
        <v>3540</v>
      </c>
      <c r="C12654" t="s">
        <v>15803</v>
      </c>
      <c r="E12654" t="s">
        <v>28969</v>
      </c>
      <c r="F12654" t="s">
        <v>30900</v>
      </c>
      <c r="G12654" t="s">
        <v>30907</v>
      </c>
      <c r="H12654" t="s">
        <v>30916</v>
      </c>
      <c r="I12654" t="s">
        <v>30923</v>
      </c>
      <c r="J12654" t="s">
        <v>38934</v>
      </c>
      <c r="K12654" t="s">
        <v>40289</v>
      </c>
      <c r="M12654" t="s">
        <v>44455</v>
      </c>
      <c r="N12654" t="s">
        <v>44759</v>
      </c>
      <c r="O12654" t="s">
        <v>44760</v>
      </c>
      <c r="Q12654">
        <v>26</v>
      </c>
      <c r="R12654" t="s">
        <v>44776</v>
      </c>
      <c r="S12654" t="s">
        <v>45516</v>
      </c>
      <c r="T12654" t="s">
        <v>46399</v>
      </c>
      <c r="U12654" t="s">
        <v>57330</v>
      </c>
      <c r="W12654" t="s">
        <v>44455</v>
      </c>
      <c r="X12654" t="s">
        <v>44777</v>
      </c>
    </row>
    <row r="12655" spans="1:24">
      <c r="A12655">
        <f>HYPERLINK("https://www.philgeps.gov.ph/GEPSNONPILOT/Tender/SplashBidNoticeAbstractUI.aspx?menuIndex=3&amp;refID=7122873&amp;Result=3","7122873")</f>
        <v>0</v>
      </c>
      <c r="B12655" t="s">
        <v>3539</v>
      </c>
      <c r="C12655" t="s">
        <v>15804</v>
      </c>
      <c r="D12655" t="s">
        <v>17963</v>
      </c>
      <c r="E12655" t="s">
        <v>28199</v>
      </c>
      <c r="F12655" t="s">
        <v>30900</v>
      </c>
      <c r="G12655" t="s">
        <v>30907</v>
      </c>
      <c r="H12655" t="s">
        <v>30915</v>
      </c>
      <c r="I12655" t="s">
        <v>30919</v>
      </c>
      <c r="J12655" t="s">
        <v>38935</v>
      </c>
      <c r="K12655" t="s">
        <v>40286</v>
      </c>
      <c r="L12655" t="s">
        <v>3539</v>
      </c>
      <c r="M12655" t="s">
        <v>44454</v>
      </c>
      <c r="N12655" t="s">
        <v>44759</v>
      </c>
      <c r="O12655" t="s">
        <v>44760</v>
      </c>
      <c r="P12655">
        <v>0</v>
      </c>
      <c r="Q12655">
        <v>2</v>
      </c>
      <c r="R12655" t="s">
        <v>44776</v>
      </c>
      <c r="S12655" t="s">
        <v>45453</v>
      </c>
      <c r="T12655" t="s">
        <v>46425</v>
      </c>
      <c r="U12655" t="s">
        <v>57333</v>
      </c>
      <c r="W12655" t="s">
        <v>44454</v>
      </c>
      <c r="X12655" t="s">
        <v>44777</v>
      </c>
    </row>
    <row r="12656" spans="1:24">
      <c r="A12656">
        <f>HYPERLINK("https://www.philgeps.gov.ph/GEPSNONPILOT/Tender/SplashBidNoticeAbstractUI.aspx?menuIndex=3&amp;refID=7122889&amp;Result=3","7122889")</f>
        <v>0</v>
      </c>
      <c r="B12656" t="s">
        <v>3540</v>
      </c>
      <c r="C12656" t="s">
        <v>15805</v>
      </c>
      <c r="E12656" t="s">
        <v>28967</v>
      </c>
      <c r="F12656" t="s">
        <v>30900</v>
      </c>
      <c r="G12656" t="s">
        <v>30907</v>
      </c>
      <c r="H12656" t="s">
        <v>30916</v>
      </c>
      <c r="I12656" t="s">
        <v>30923</v>
      </c>
      <c r="J12656" t="s">
        <v>38936</v>
      </c>
      <c r="K12656" t="s">
        <v>40289</v>
      </c>
      <c r="M12656" t="s">
        <v>44455</v>
      </c>
      <c r="N12656" t="s">
        <v>44759</v>
      </c>
      <c r="O12656" t="s">
        <v>44760</v>
      </c>
      <c r="Q12656">
        <v>29</v>
      </c>
      <c r="R12656" t="s">
        <v>44776</v>
      </c>
      <c r="S12656" t="s">
        <v>45517</v>
      </c>
      <c r="T12656" t="s">
        <v>46357</v>
      </c>
      <c r="U12656" t="s">
        <v>57330</v>
      </c>
      <c r="W12656" t="s">
        <v>44455</v>
      </c>
      <c r="X12656" t="s">
        <v>44777</v>
      </c>
    </row>
    <row r="12657" spans="1:24">
      <c r="A12657">
        <f>HYPERLINK("https://www.philgeps.gov.ph/GEPSNONPILOT/Tender/SplashBidNoticeAbstractUI.aspx?menuIndex=3&amp;refID=7122883&amp;Result=3","7122883")</f>
        <v>0</v>
      </c>
      <c r="B12657" t="s">
        <v>3540</v>
      </c>
      <c r="C12657" t="s">
        <v>15806</v>
      </c>
      <c r="E12657" t="s">
        <v>28967</v>
      </c>
      <c r="F12657" t="s">
        <v>30900</v>
      </c>
      <c r="G12657" t="s">
        <v>30907</v>
      </c>
      <c r="H12657" t="s">
        <v>30916</v>
      </c>
      <c r="I12657" t="s">
        <v>30923</v>
      </c>
      <c r="J12657" t="s">
        <v>38937</v>
      </c>
      <c r="K12657" t="s">
        <v>40289</v>
      </c>
      <c r="M12657" t="s">
        <v>44455</v>
      </c>
      <c r="N12657" t="s">
        <v>44759</v>
      </c>
      <c r="O12657" t="s">
        <v>44760</v>
      </c>
      <c r="Q12657">
        <v>26</v>
      </c>
      <c r="R12657" t="s">
        <v>44776</v>
      </c>
      <c r="S12657" t="s">
        <v>45518</v>
      </c>
      <c r="T12657" t="s">
        <v>46399</v>
      </c>
      <c r="U12657" t="s">
        <v>57330</v>
      </c>
      <c r="W12657" t="s">
        <v>44455</v>
      </c>
      <c r="X12657" t="s">
        <v>44777</v>
      </c>
    </row>
    <row r="12658" spans="1:24">
      <c r="A12658">
        <f>HYPERLINK("https://www.philgeps.gov.ph/GEPSNONPILOT/Tender/SplashBidNoticeAbstractUI.aspx?menuIndex=3&amp;refID=7122882&amp;Result=3","7122882")</f>
        <v>0</v>
      </c>
      <c r="B12658" t="s">
        <v>3539</v>
      </c>
      <c r="C12658" t="s">
        <v>15807</v>
      </c>
      <c r="D12658" t="s">
        <v>17963</v>
      </c>
      <c r="E12658" t="s">
        <v>28970</v>
      </c>
      <c r="F12658" t="s">
        <v>30900</v>
      </c>
      <c r="G12658" t="s">
        <v>30907</v>
      </c>
      <c r="H12658" t="s">
        <v>30916</v>
      </c>
      <c r="I12658" t="s">
        <v>30919</v>
      </c>
      <c r="J12658" t="s">
        <v>38938</v>
      </c>
      <c r="K12658" t="s">
        <v>40289</v>
      </c>
      <c r="L12658" t="s">
        <v>3539</v>
      </c>
      <c r="M12658" t="s">
        <v>44454</v>
      </c>
      <c r="N12658" t="s">
        <v>44759</v>
      </c>
      <c r="O12658" t="s">
        <v>44760</v>
      </c>
      <c r="P12658">
        <v>0</v>
      </c>
      <c r="Q12658">
        <v>0</v>
      </c>
      <c r="R12658" t="s">
        <v>44776</v>
      </c>
      <c r="S12658" t="s">
        <v>45453</v>
      </c>
      <c r="T12658" t="s">
        <v>46425</v>
      </c>
      <c r="U12658" t="s">
        <v>57334</v>
      </c>
      <c r="W12658" t="s">
        <v>44454</v>
      </c>
      <c r="X12658" t="s">
        <v>44777</v>
      </c>
    </row>
    <row r="12659" spans="1:24">
      <c r="A12659">
        <f>HYPERLINK("https://www.philgeps.gov.ph/GEPSNONPILOT/Tender/SplashBidNoticeAbstractUI.aspx?menuIndex=3&amp;refID=7122977&amp;Result=3","7122977")</f>
        <v>0</v>
      </c>
      <c r="B12659" t="s">
        <v>1119</v>
      </c>
      <c r="C12659" t="s">
        <v>15808</v>
      </c>
      <c r="D12659" t="s">
        <v>18038</v>
      </c>
      <c r="E12659" t="s">
        <v>28971</v>
      </c>
      <c r="F12659" t="s">
        <v>30900</v>
      </c>
      <c r="G12659" t="s">
        <v>30907</v>
      </c>
      <c r="H12659" t="s">
        <v>30916</v>
      </c>
      <c r="I12659" t="s">
        <v>7708</v>
      </c>
      <c r="J12659" t="s">
        <v>38939</v>
      </c>
      <c r="K12659" t="s">
        <v>40280</v>
      </c>
      <c r="M12659" t="s">
        <v>42602</v>
      </c>
      <c r="N12659" t="s">
        <v>44759</v>
      </c>
      <c r="O12659" t="s">
        <v>44760</v>
      </c>
      <c r="Q12659">
        <v>5</v>
      </c>
      <c r="R12659" t="s">
        <v>44776</v>
      </c>
      <c r="S12659" t="s">
        <v>45519</v>
      </c>
      <c r="T12659" t="s">
        <v>46351</v>
      </c>
      <c r="U12659" t="s">
        <v>57335</v>
      </c>
      <c r="V12659" t="s">
        <v>59685</v>
      </c>
      <c r="W12659" t="s">
        <v>42602</v>
      </c>
      <c r="X12659" t="s">
        <v>44777</v>
      </c>
    </row>
    <row r="12660" spans="1:24">
      <c r="A12660">
        <f>HYPERLINK("https://www.philgeps.gov.ph/GEPSNONPILOT/Tender/SplashBidNoticeAbstractUI.aspx?menuIndex=3&amp;refID=7122933&amp;Result=3","7122933")</f>
        <v>0</v>
      </c>
      <c r="B12660" t="s">
        <v>3167</v>
      </c>
      <c r="C12660" t="s">
        <v>15809</v>
      </c>
      <c r="D12660" t="s">
        <v>17992</v>
      </c>
      <c r="E12660" t="s">
        <v>28972</v>
      </c>
      <c r="F12660" t="s">
        <v>30900</v>
      </c>
      <c r="G12660" t="s">
        <v>30907</v>
      </c>
      <c r="H12660" t="s">
        <v>30915</v>
      </c>
      <c r="I12660" t="s">
        <v>30919</v>
      </c>
      <c r="J12660" t="s">
        <v>38940</v>
      </c>
      <c r="K12660" t="s">
        <v>40304</v>
      </c>
      <c r="M12660" t="s">
        <v>43993</v>
      </c>
      <c r="N12660" t="s">
        <v>44759</v>
      </c>
      <c r="O12660" t="s">
        <v>44760</v>
      </c>
      <c r="P12660">
        <v>0</v>
      </c>
      <c r="Q12660">
        <v>0</v>
      </c>
      <c r="R12660" t="s">
        <v>44776</v>
      </c>
      <c r="S12660" t="s">
        <v>45453</v>
      </c>
      <c r="T12660" t="s">
        <v>46421</v>
      </c>
      <c r="U12660" t="s">
        <v>57336</v>
      </c>
      <c r="V12660" t="s">
        <v>60550</v>
      </c>
      <c r="W12660" t="s">
        <v>43993</v>
      </c>
      <c r="X12660" t="s">
        <v>44777</v>
      </c>
    </row>
    <row r="12661" spans="1:24">
      <c r="A12661">
        <f>HYPERLINK("https://www.philgeps.gov.ph/GEPSNONPILOT/Tender/SplashBidNoticeAbstractUI.aspx?menuIndex=3&amp;refID=7122991&amp;Result=3","7122991")</f>
        <v>0</v>
      </c>
      <c r="B12661" t="s">
        <v>1119</v>
      </c>
      <c r="C12661" t="s">
        <v>15810</v>
      </c>
      <c r="D12661" t="s">
        <v>18038</v>
      </c>
      <c r="E12661" t="s">
        <v>28973</v>
      </c>
      <c r="F12661" t="s">
        <v>30900</v>
      </c>
      <c r="G12661" t="s">
        <v>30907</v>
      </c>
      <c r="H12661" t="s">
        <v>30916</v>
      </c>
      <c r="I12661" t="s">
        <v>7708</v>
      </c>
      <c r="J12661" t="s">
        <v>38941</v>
      </c>
      <c r="K12661" t="s">
        <v>40280</v>
      </c>
      <c r="M12661" t="s">
        <v>42602</v>
      </c>
      <c r="N12661" t="s">
        <v>44759</v>
      </c>
      <c r="O12661" t="s">
        <v>44760</v>
      </c>
      <c r="Q12661">
        <v>5</v>
      </c>
      <c r="R12661" t="s">
        <v>44776</v>
      </c>
      <c r="S12661" t="s">
        <v>45520</v>
      </c>
      <c r="T12661" t="s">
        <v>46351</v>
      </c>
      <c r="U12661" t="s">
        <v>57335</v>
      </c>
      <c r="V12661" t="s">
        <v>59685</v>
      </c>
      <c r="W12661" t="s">
        <v>42602</v>
      </c>
      <c r="X12661" t="s">
        <v>44777</v>
      </c>
    </row>
    <row r="12662" spans="1:24">
      <c r="A12662">
        <f>HYPERLINK("https://www.philgeps.gov.ph/GEPSNONPILOT/Tender/SplashBidNoticeAbstractUI.aspx?menuIndex=3&amp;refID=7122932&amp;Result=3","7122932")</f>
        <v>0</v>
      </c>
      <c r="B12662" t="s">
        <v>3538</v>
      </c>
      <c r="C12662" t="s">
        <v>15811</v>
      </c>
      <c r="D12662" t="s">
        <v>18007</v>
      </c>
      <c r="E12662" t="s">
        <v>28974</v>
      </c>
      <c r="F12662" t="s">
        <v>30900</v>
      </c>
      <c r="G12662" t="s">
        <v>30907</v>
      </c>
      <c r="H12662" t="s">
        <v>30915</v>
      </c>
      <c r="I12662" t="s">
        <v>30919</v>
      </c>
      <c r="J12662" t="s">
        <v>31152</v>
      </c>
      <c r="K12662" t="s">
        <v>40308</v>
      </c>
      <c r="M12662" t="s">
        <v>44453</v>
      </c>
      <c r="N12662" t="s">
        <v>44759</v>
      </c>
      <c r="O12662" t="s">
        <v>44760</v>
      </c>
      <c r="P12662">
        <v>0</v>
      </c>
      <c r="Q12662">
        <v>3</v>
      </c>
      <c r="R12662" t="s">
        <v>44776</v>
      </c>
      <c r="S12662" t="s">
        <v>45453</v>
      </c>
      <c r="T12662" t="s">
        <v>46421</v>
      </c>
      <c r="U12662" t="s">
        <v>57337</v>
      </c>
      <c r="W12662" t="s">
        <v>44453</v>
      </c>
      <c r="X12662" t="s">
        <v>44777</v>
      </c>
    </row>
    <row r="12663" spans="1:24">
      <c r="A12663">
        <f>HYPERLINK("https://www.philgeps.gov.ph/GEPSNONPILOT/Tender/SplashBidNoticeAbstractUI.aspx?menuIndex=3&amp;refID=7122922&amp;Result=3","7122922")</f>
        <v>0</v>
      </c>
      <c r="B12663" t="s">
        <v>3538</v>
      </c>
      <c r="C12663" t="s">
        <v>15812</v>
      </c>
      <c r="D12663" t="s">
        <v>18007</v>
      </c>
      <c r="E12663" t="s">
        <v>28975</v>
      </c>
      <c r="F12663" t="s">
        <v>30900</v>
      </c>
      <c r="G12663" t="s">
        <v>30907</v>
      </c>
      <c r="H12663" t="s">
        <v>30916</v>
      </c>
      <c r="I12663" t="s">
        <v>30929</v>
      </c>
      <c r="J12663" t="s">
        <v>38942</v>
      </c>
      <c r="K12663" t="s">
        <v>40286</v>
      </c>
      <c r="M12663" t="s">
        <v>44453</v>
      </c>
      <c r="N12663" t="s">
        <v>44759</v>
      </c>
      <c r="O12663" t="s">
        <v>44760</v>
      </c>
      <c r="P12663">
        <v>0</v>
      </c>
      <c r="Q12663">
        <v>2</v>
      </c>
      <c r="R12663" t="s">
        <v>44776</v>
      </c>
      <c r="S12663" t="s">
        <v>45453</v>
      </c>
      <c r="T12663" t="s">
        <v>46421</v>
      </c>
      <c r="U12663" t="s">
        <v>57338</v>
      </c>
      <c r="W12663" t="s">
        <v>44453</v>
      </c>
      <c r="X12663" t="s">
        <v>44777</v>
      </c>
    </row>
    <row r="12664" spans="1:24">
      <c r="A12664">
        <f>HYPERLINK("https://www.philgeps.gov.ph/GEPSNONPILOT/Tender/SplashBidNoticeAbstractUI.aspx?menuIndex=3&amp;refID=7122937&amp;Result=3","7122937")</f>
        <v>0</v>
      </c>
      <c r="B12664" t="s">
        <v>3526</v>
      </c>
      <c r="C12664" t="s">
        <v>15813</v>
      </c>
      <c r="D12664" t="s">
        <v>17976</v>
      </c>
      <c r="E12664" t="s">
        <v>21927</v>
      </c>
      <c r="F12664" t="s">
        <v>30900</v>
      </c>
      <c r="G12664" t="s">
        <v>30907</v>
      </c>
      <c r="H12664" t="s">
        <v>30915</v>
      </c>
      <c r="I12664" t="s">
        <v>30919</v>
      </c>
      <c r="J12664" t="s">
        <v>38943</v>
      </c>
      <c r="K12664" t="s">
        <v>40312</v>
      </c>
      <c r="M12664" t="s">
        <v>44437</v>
      </c>
      <c r="N12664" t="s">
        <v>44759</v>
      </c>
      <c r="O12664" t="s">
        <v>44760</v>
      </c>
      <c r="Q12664">
        <v>4</v>
      </c>
      <c r="R12664" t="s">
        <v>44776</v>
      </c>
      <c r="S12664" t="s">
        <v>45521</v>
      </c>
      <c r="T12664" t="s">
        <v>46369</v>
      </c>
      <c r="U12664" t="s">
        <v>57339</v>
      </c>
      <c r="W12664" t="s">
        <v>44437</v>
      </c>
      <c r="X12664" t="s">
        <v>44777</v>
      </c>
    </row>
    <row r="12665" spans="1:24">
      <c r="A12665">
        <f>HYPERLINK("https://www.philgeps.gov.ph/GEPSNONPILOT/Tender/SplashBidNoticeAbstractUI.aspx?menuIndex=3&amp;refID=7122919&amp;Result=3","7122919")</f>
        <v>0</v>
      </c>
      <c r="B12665" t="s">
        <v>3536</v>
      </c>
      <c r="C12665" t="s">
        <v>15814</v>
      </c>
      <c r="D12665" t="s">
        <v>17951</v>
      </c>
      <c r="E12665" t="s">
        <v>28976</v>
      </c>
      <c r="F12665" t="s">
        <v>30900</v>
      </c>
      <c r="G12665" t="s">
        <v>30907</v>
      </c>
      <c r="H12665" t="s">
        <v>30915</v>
      </c>
      <c r="I12665" t="s">
        <v>8123</v>
      </c>
      <c r="J12665" t="s">
        <v>31391</v>
      </c>
      <c r="K12665" t="s">
        <v>40342</v>
      </c>
      <c r="M12665" t="s">
        <v>44450</v>
      </c>
      <c r="N12665" t="s">
        <v>44759</v>
      </c>
      <c r="O12665" t="s">
        <v>44760</v>
      </c>
      <c r="P12665">
        <v>0</v>
      </c>
      <c r="Q12665">
        <v>1</v>
      </c>
      <c r="R12665" t="s">
        <v>44776</v>
      </c>
      <c r="S12665" t="s">
        <v>45453</v>
      </c>
      <c r="T12665" t="s">
        <v>46357</v>
      </c>
      <c r="U12665" t="s">
        <v>57324</v>
      </c>
      <c r="W12665" t="s">
        <v>44450</v>
      </c>
      <c r="X12665" t="s">
        <v>44777</v>
      </c>
    </row>
    <row r="12666" spans="1:24">
      <c r="A12666">
        <f>HYPERLINK("https://www.philgeps.gov.ph/GEPSNONPILOT/Tender/SplashBidNoticeAbstractUI.aspx?menuIndex=3&amp;refID=7122992&amp;Result=3","7122992")</f>
        <v>0</v>
      </c>
      <c r="B12666" t="s">
        <v>3540</v>
      </c>
      <c r="C12666" t="s">
        <v>15815</v>
      </c>
      <c r="E12666" t="s">
        <v>28977</v>
      </c>
      <c r="F12666" t="s">
        <v>30900</v>
      </c>
      <c r="G12666" t="s">
        <v>30907</v>
      </c>
      <c r="H12666" t="s">
        <v>30916</v>
      </c>
      <c r="I12666" t="s">
        <v>30923</v>
      </c>
      <c r="J12666" t="s">
        <v>38944</v>
      </c>
      <c r="K12666" t="s">
        <v>40289</v>
      </c>
      <c r="M12666" t="s">
        <v>44455</v>
      </c>
      <c r="N12666" t="s">
        <v>44759</v>
      </c>
      <c r="O12666" t="s">
        <v>44760</v>
      </c>
      <c r="Q12666">
        <v>25</v>
      </c>
      <c r="R12666" t="s">
        <v>44776</v>
      </c>
      <c r="S12666" t="s">
        <v>45522</v>
      </c>
      <c r="T12666" t="s">
        <v>46376</v>
      </c>
      <c r="U12666" t="s">
        <v>57330</v>
      </c>
      <c r="W12666" t="s">
        <v>44455</v>
      </c>
      <c r="X12666" t="s">
        <v>44777</v>
      </c>
    </row>
    <row r="12667" spans="1:24">
      <c r="A12667">
        <f>HYPERLINK("https://www.philgeps.gov.ph/GEPSNONPILOT/Tender/SplashBidNoticeAbstractUI.aspx?menuIndex=3&amp;refID=7122916&amp;Result=3","7122916")</f>
        <v>0</v>
      </c>
      <c r="B12667" t="s">
        <v>3167</v>
      </c>
      <c r="C12667" t="s">
        <v>15816</v>
      </c>
      <c r="D12667" t="s">
        <v>17992</v>
      </c>
      <c r="E12667" t="s">
        <v>28978</v>
      </c>
      <c r="F12667" t="s">
        <v>30900</v>
      </c>
      <c r="G12667" t="s">
        <v>30907</v>
      </c>
      <c r="H12667" t="s">
        <v>30915</v>
      </c>
      <c r="I12667" t="s">
        <v>30919</v>
      </c>
      <c r="J12667" t="s">
        <v>38945</v>
      </c>
      <c r="K12667" t="s">
        <v>40292</v>
      </c>
      <c r="M12667" t="s">
        <v>43993</v>
      </c>
      <c r="N12667" t="s">
        <v>44759</v>
      </c>
      <c r="O12667" t="s">
        <v>44760</v>
      </c>
      <c r="P12667">
        <v>0</v>
      </c>
      <c r="Q12667">
        <v>0</v>
      </c>
      <c r="R12667" t="s">
        <v>44776</v>
      </c>
      <c r="S12667" t="s">
        <v>45453</v>
      </c>
      <c r="T12667" t="s">
        <v>46421</v>
      </c>
      <c r="U12667" t="s">
        <v>57340</v>
      </c>
      <c r="V12667" t="s">
        <v>60550</v>
      </c>
      <c r="W12667" t="s">
        <v>43993</v>
      </c>
      <c r="X12667" t="s">
        <v>44777</v>
      </c>
    </row>
    <row r="12668" spans="1:24">
      <c r="A12668">
        <f>HYPERLINK("https://www.philgeps.gov.ph/GEPSNONPILOT/Tender/SplashBidNoticeAbstractUI.aspx?menuIndex=3&amp;refID=7122914&amp;Result=3","7122914")</f>
        <v>0</v>
      </c>
      <c r="B12668" t="s">
        <v>3538</v>
      </c>
      <c r="C12668" t="s">
        <v>15817</v>
      </c>
      <c r="D12668" t="s">
        <v>18007</v>
      </c>
      <c r="E12668" t="s">
        <v>28979</v>
      </c>
      <c r="F12668" t="s">
        <v>30900</v>
      </c>
      <c r="G12668" t="s">
        <v>30907</v>
      </c>
      <c r="H12668" t="s">
        <v>30916</v>
      </c>
      <c r="I12668" t="s">
        <v>6396</v>
      </c>
      <c r="J12668" t="s">
        <v>38946</v>
      </c>
      <c r="K12668" t="s">
        <v>40286</v>
      </c>
      <c r="M12668" t="s">
        <v>44453</v>
      </c>
      <c r="N12668" t="s">
        <v>44759</v>
      </c>
      <c r="O12668" t="s">
        <v>44760</v>
      </c>
      <c r="P12668">
        <v>0</v>
      </c>
      <c r="Q12668">
        <v>3</v>
      </c>
      <c r="R12668" t="s">
        <v>44776</v>
      </c>
      <c r="S12668" t="s">
        <v>45453</v>
      </c>
      <c r="T12668" t="s">
        <v>46421</v>
      </c>
      <c r="U12668" t="s">
        <v>57341</v>
      </c>
      <c r="W12668" t="s">
        <v>44453</v>
      </c>
      <c r="X12668" t="s">
        <v>44777</v>
      </c>
    </row>
    <row r="12669" spans="1:24">
      <c r="A12669">
        <f>HYPERLINK("https://www.philgeps.gov.ph/GEPSNONPILOT/Tender/SplashBidNoticeAbstractUI.aspx?menuIndex=3&amp;refID=7123050&amp;Result=3","7123050")</f>
        <v>0</v>
      </c>
      <c r="B12669" t="s">
        <v>3541</v>
      </c>
      <c r="C12669" t="s">
        <v>15818</v>
      </c>
      <c r="D12669" t="s">
        <v>17972</v>
      </c>
      <c r="E12669" t="s">
        <v>28980</v>
      </c>
      <c r="F12669" t="s">
        <v>30900</v>
      </c>
      <c r="G12669" t="s">
        <v>30907</v>
      </c>
      <c r="H12669" t="s">
        <v>30916</v>
      </c>
      <c r="I12669" t="s">
        <v>8123</v>
      </c>
      <c r="J12669" t="s">
        <v>38947</v>
      </c>
      <c r="K12669" t="s">
        <v>40342</v>
      </c>
      <c r="M12669" t="s">
        <v>44456</v>
      </c>
      <c r="N12669" t="s">
        <v>44759</v>
      </c>
      <c r="O12669" t="s">
        <v>44760</v>
      </c>
      <c r="Q12669">
        <v>2</v>
      </c>
      <c r="R12669" t="s">
        <v>44776</v>
      </c>
      <c r="S12669" t="s">
        <v>45523</v>
      </c>
      <c r="T12669" t="s">
        <v>46376</v>
      </c>
      <c r="U12669" t="s">
        <v>57342</v>
      </c>
      <c r="W12669" t="s">
        <v>44456</v>
      </c>
      <c r="X12669" t="s">
        <v>44777</v>
      </c>
    </row>
    <row r="12670" spans="1:24">
      <c r="A12670">
        <f>HYPERLINK("https://www.philgeps.gov.ph/GEPSNONPILOT/Tender/SplashBidNoticeAbstractUI.aspx?menuIndex=3&amp;refID=7122973&amp;Result=3","7122973")</f>
        <v>0</v>
      </c>
      <c r="B12670" t="s">
        <v>3540</v>
      </c>
      <c r="C12670" t="s">
        <v>15819</v>
      </c>
      <c r="E12670" t="s">
        <v>28981</v>
      </c>
      <c r="F12670" t="s">
        <v>30900</v>
      </c>
      <c r="G12670" t="s">
        <v>30907</v>
      </c>
      <c r="H12670" t="s">
        <v>30916</v>
      </c>
      <c r="I12670" t="s">
        <v>31032</v>
      </c>
      <c r="J12670" t="s">
        <v>38948</v>
      </c>
      <c r="K12670" t="s">
        <v>40289</v>
      </c>
      <c r="M12670" t="s">
        <v>44455</v>
      </c>
      <c r="N12670" t="s">
        <v>44759</v>
      </c>
      <c r="O12670" t="s">
        <v>44760</v>
      </c>
      <c r="P12670">
        <v>0</v>
      </c>
      <c r="Q12670">
        <v>10</v>
      </c>
      <c r="R12670" t="s">
        <v>44776</v>
      </c>
      <c r="S12670" t="s">
        <v>45453</v>
      </c>
      <c r="T12670" t="s">
        <v>46399</v>
      </c>
      <c r="U12670" t="s">
        <v>57330</v>
      </c>
      <c r="W12670" t="s">
        <v>44455</v>
      </c>
      <c r="X12670" t="s">
        <v>44777</v>
      </c>
    </row>
    <row r="12671" spans="1:24">
      <c r="A12671">
        <f>HYPERLINK("https://www.philgeps.gov.ph/GEPSNONPILOT/Tender/SplashBidNoticeAbstractUI.aspx?menuIndex=3&amp;refID=7110992&amp;Result=3","7110992")</f>
        <v>0</v>
      </c>
      <c r="B12671" t="s">
        <v>1622</v>
      </c>
      <c r="C12671" t="s">
        <v>15820</v>
      </c>
      <c r="D12671" t="s">
        <v>17985</v>
      </c>
      <c r="E12671" t="s">
        <v>28982</v>
      </c>
      <c r="F12671" t="s">
        <v>30900</v>
      </c>
      <c r="G12671" t="s">
        <v>30907</v>
      </c>
      <c r="H12671" t="s">
        <v>30916</v>
      </c>
      <c r="I12671" t="s">
        <v>5501</v>
      </c>
      <c r="J12671" t="s">
        <v>38949</v>
      </c>
      <c r="K12671" t="s">
        <v>40286</v>
      </c>
      <c r="M12671" t="s">
        <v>42273</v>
      </c>
      <c r="N12671" t="s">
        <v>44759</v>
      </c>
      <c r="O12671" t="s">
        <v>44760</v>
      </c>
      <c r="P12671">
        <v>0</v>
      </c>
      <c r="Q12671">
        <v>0</v>
      </c>
      <c r="R12671" t="s">
        <v>44777</v>
      </c>
      <c r="S12671" t="s">
        <v>45524</v>
      </c>
      <c r="T12671" t="s">
        <v>46409</v>
      </c>
      <c r="U12671" t="s">
        <v>57343</v>
      </c>
      <c r="V12671" t="s">
        <v>59572</v>
      </c>
      <c r="W12671" t="s">
        <v>42273</v>
      </c>
      <c r="X12671" t="s">
        <v>44782</v>
      </c>
    </row>
    <row r="12672" spans="1:24">
      <c r="A12672">
        <f>HYPERLINK("https://www.philgeps.gov.ph/GEPSNONPILOT/Tender/SplashBidNoticeAbstractUI.aspx?menuIndex=3&amp;refID=7110765&amp;Result=3","7110765")</f>
        <v>0</v>
      </c>
      <c r="B12672" t="s">
        <v>1172</v>
      </c>
      <c r="C12672" t="s">
        <v>15821</v>
      </c>
      <c r="D12672" t="s">
        <v>18035</v>
      </c>
      <c r="E12672" t="s">
        <v>28983</v>
      </c>
      <c r="F12672" t="s">
        <v>30900</v>
      </c>
      <c r="G12672" t="s">
        <v>30907</v>
      </c>
      <c r="H12672" t="s">
        <v>30916</v>
      </c>
      <c r="I12672" t="s">
        <v>30963</v>
      </c>
      <c r="J12672" t="s">
        <v>38950</v>
      </c>
      <c r="K12672" t="s">
        <v>40287</v>
      </c>
      <c r="M12672" t="s">
        <v>42726</v>
      </c>
      <c r="N12672" t="s">
        <v>44759</v>
      </c>
      <c r="O12672" t="s">
        <v>44760</v>
      </c>
      <c r="Q12672">
        <v>4</v>
      </c>
      <c r="R12672" t="s">
        <v>44777</v>
      </c>
      <c r="S12672" t="s">
        <v>45525</v>
      </c>
      <c r="T12672" t="s">
        <v>46389</v>
      </c>
      <c r="U12672" t="s">
        <v>57344</v>
      </c>
      <c r="W12672" t="s">
        <v>42726</v>
      </c>
      <c r="X12672" t="s">
        <v>44782</v>
      </c>
    </row>
    <row r="12673" spans="1:24">
      <c r="A12673">
        <f>HYPERLINK("https://www.philgeps.gov.ph/GEPSNONPILOT/Tender/SplashBidNoticeAbstractUI.aspx?menuIndex=3&amp;refID=7122923&amp;Result=3","7122923")</f>
        <v>0</v>
      </c>
      <c r="B12673" t="s">
        <v>3167</v>
      </c>
      <c r="C12673" t="s">
        <v>15822</v>
      </c>
      <c r="D12673" t="s">
        <v>17992</v>
      </c>
      <c r="E12673" t="s">
        <v>28984</v>
      </c>
      <c r="F12673" t="s">
        <v>30900</v>
      </c>
      <c r="G12673" t="s">
        <v>30907</v>
      </c>
      <c r="H12673" t="s">
        <v>30915</v>
      </c>
      <c r="I12673" t="s">
        <v>30919</v>
      </c>
      <c r="J12673" t="s">
        <v>38951</v>
      </c>
      <c r="K12673" t="s">
        <v>40292</v>
      </c>
      <c r="M12673" t="s">
        <v>43993</v>
      </c>
      <c r="N12673" t="s">
        <v>44759</v>
      </c>
      <c r="O12673" t="s">
        <v>44760</v>
      </c>
      <c r="P12673">
        <v>0</v>
      </c>
      <c r="Q12673">
        <v>0</v>
      </c>
      <c r="R12673" t="s">
        <v>44776</v>
      </c>
      <c r="S12673" t="s">
        <v>45453</v>
      </c>
      <c r="T12673" t="s">
        <v>46421</v>
      </c>
      <c r="U12673" t="s">
        <v>57345</v>
      </c>
      <c r="V12673" t="s">
        <v>60550</v>
      </c>
      <c r="W12673" t="s">
        <v>43993</v>
      </c>
      <c r="X12673" t="s">
        <v>44777</v>
      </c>
    </row>
    <row r="12674" spans="1:24">
      <c r="A12674">
        <f>HYPERLINK("https://www.philgeps.gov.ph/GEPSNONPILOT/Tender/SplashBidNoticeAbstractUI.aspx?menuIndex=3&amp;refID=7110729&amp;Result=3","7110729")</f>
        <v>0</v>
      </c>
      <c r="B12674" t="s">
        <v>1172</v>
      </c>
      <c r="C12674" t="s">
        <v>15823</v>
      </c>
      <c r="D12674" t="s">
        <v>18035</v>
      </c>
      <c r="E12674" t="s">
        <v>28985</v>
      </c>
      <c r="F12674" t="s">
        <v>30900</v>
      </c>
      <c r="G12674" t="s">
        <v>30907</v>
      </c>
      <c r="H12674" t="s">
        <v>30916</v>
      </c>
      <c r="I12674" t="s">
        <v>10847</v>
      </c>
      <c r="J12674" t="s">
        <v>32560</v>
      </c>
      <c r="K12674" t="s">
        <v>40287</v>
      </c>
      <c r="M12674" t="s">
        <v>42726</v>
      </c>
      <c r="N12674" t="s">
        <v>44759</v>
      </c>
      <c r="O12674" t="s">
        <v>44760</v>
      </c>
      <c r="P12674">
        <v>0</v>
      </c>
      <c r="Q12674">
        <v>2</v>
      </c>
      <c r="R12674" t="s">
        <v>44777</v>
      </c>
      <c r="S12674" t="s">
        <v>45524</v>
      </c>
      <c r="T12674" t="s">
        <v>46389</v>
      </c>
      <c r="U12674" t="s">
        <v>57344</v>
      </c>
      <c r="W12674" t="s">
        <v>42726</v>
      </c>
      <c r="X12674" t="s">
        <v>44782</v>
      </c>
    </row>
    <row r="12675" spans="1:24">
      <c r="A12675">
        <f>HYPERLINK("https://www.philgeps.gov.ph/GEPSNONPILOT/Tender/SplashBidNoticeAbstractUI.aspx?menuIndex=3&amp;refID=7110706&amp;Result=3","7110706")</f>
        <v>0</v>
      </c>
      <c r="B12675" t="s">
        <v>1172</v>
      </c>
      <c r="C12675" t="s">
        <v>15824</v>
      </c>
      <c r="D12675" t="s">
        <v>18035</v>
      </c>
      <c r="E12675" t="s">
        <v>28986</v>
      </c>
      <c r="F12675" t="s">
        <v>30900</v>
      </c>
      <c r="G12675" t="s">
        <v>30907</v>
      </c>
      <c r="H12675" t="s">
        <v>30916</v>
      </c>
      <c r="I12675" t="s">
        <v>8123</v>
      </c>
      <c r="J12675" t="s">
        <v>38952</v>
      </c>
      <c r="K12675" t="s">
        <v>40287</v>
      </c>
      <c r="M12675" t="s">
        <v>42726</v>
      </c>
      <c r="N12675" t="s">
        <v>44759</v>
      </c>
      <c r="O12675" t="s">
        <v>44760</v>
      </c>
      <c r="P12675">
        <v>0</v>
      </c>
      <c r="Q12675">
        <v>2</v>
      </c>
      <c r="R12675" t="s">
        <v>44777</v>
      </c>
      <c r="S12675" t="s">
        <v>45524</v>
      </c>
      <c r="T12675" t="s">
        <v>46389</v>
      </c>
      <c r="U12675" t="s">
        <v>57344</v>
      </c>
      <c r="W12675" t="s">
        <v>42726</v>
      </c>
      <c r="X12675" t="s">
        <v>44782</v>
      </c>
    </row>
    <row r="12676" spans="1:24">
      <c r="A12676">
        <f>HYPERLINK("https://www.philgeps.gov.ph/GEPSNONPILOT/Tender/SplashBidNoticeAbstractUI.aspx?menuIndex=3&amp;refID=7122908&amp;Result=3","7122908")</f>
        <v>0</v>
      </c>
      <c r="B12676" t="s">
        <v>150</v>
      </c>
      <c r="C12676" t="s">
        <v>15825</v>
      </c>
      <c r="D12676" t="s">
        <v>18006</v>
      </c>
      <c r="E12676" t="s">
        <v>28987</v>
      </c>
      <c r="F12676" t="s">
        <v>30900</v>
      </c>
      <c r="G12676" t="s">
        <v>30907</v>
      </c>
      <c r="H12676" t="s">
        <v>30916</v>
      </c>
      <c r="I12676" t="s">
        <v>6953</v>
      </c>
      <c r="J12676" t="s">
        <v>38953</v>
      </c>
      <c r="K12676" t="s">
        <v>40280</v>
      </c>
      <c r="M12676" t="s">
        <v>40697</v>
      </c>
      <c r="N12676" t="s">
        <v>44759</v>
      </c>
      <c r="O12676" t="s">
        <v>44760</v>
      </c>
      <c r="P12676">
        <v>0</v>
      </c>
      <c r="Q12676">
        <v>0</v>
      </c>
      <c r="R12676" t="s">
        <v>44776</v>
      </c>
      <c r="S12676" t="s">
        <v>45453</v>
      </c>
      <c r="T12676" t="s">
        <v>46412</v>
      </c>
      <c r="U12676" t="s">
        <v>57346</v>
      </c>
      <c r="W12676" t="s">
        <v>40697</v>
      </c>
      <c r="X12676" t="s">
        <v>44777</v>
      </c>
    </row>
    <row r="12677" spans="1:24">
      <c r="A12677">
        <f>HYPERLINK("https://www.philgeps.gov.ph/GEPSNONPILOT/Tender/SplashBidNoticeAbstractUI.aspx?menuIndex=3&amp;refID=7108978&amp;Result=3","7108978")</f>
        <v>0</v>
      </c>
      <c r="B12677" t="s">
        <v>799</v>
      </c>
      <c r="C12677" t="s">
        <v>15826</v>
      </c>
      <c r="D12677" t="s">
        <v>17985</v>
      </c>
      <c r="E12677" t="s">
        <v>28988</v>
      </c>
      <c r="F12677" t="s">
        <v>30900</v>
      </c>
      <c r="G12677" t="s">
        <v>30907</v>
      </c>
      <c r="H12677" t="s">
        <v>30916</v>
      </c>
      <c r="I12677" t="s">
        <v>30933</v>
      </c>
      <c r="J12677" t="s">
        <v>32967</v>
      </c>
      <c r="K12677" t="s">
        <v>40293</v>
      </c>
      <c r="M12677" t="s">
        <v>41369</v>
      </c>
      <c r="N12677" t="s">
        <v>44759</v>
      </c>
      <c r="O12677" t="s">
        <v>44760</v>
      </c>
      <c r="P12677">
        <v>0</v>
      </c>
      <c r="Q12677">
        <v>8</v>
      </c>
      <c r="R12677" t="s">
        <v>44777</v>
      </c>
      <c r="S12677" t="s">
        <v>45524</v>
      </c>
      <c r="T12677" t="s">
        <v>46357</v>
      </c>
      <c r="U12677" t="s">
        <v>57347</v>
      </c>
      <c r="V12677" t="s">
        <v>60552</v>
      </c>
      <c r="W12677" t="s">
        <v>41369</v>
      </c>
      <c r="X12677" t="s">
        <v>44783</v>
      </c>
    </row>
    <row r="12678" spans="1:24">
      <c r="A12678">
        <f>HYPERLINK("https://www.philgeps.gov.ph/GEPSNONPILOT/Tender/SplashBidNoticeAbstractUI.aspx?menuIndex=3&amp;refID=6989512-2&amp;Result=3","6989512-2")</f>
        <v>0</v>
      </c>
      <c r="B12678" t="s">
        <v>2276</v>
      </c>
      <c r="C12678" t="s">
        <v>15827</v>
      </c>
      <c r="E12678" t="s">
        <v>28989</v>
      </c>
      <c r="F12678" t="s">
        <v>30900</v>
      </c>
      <c r="G12678" t="s">
        <v>30907</v>
      </c>
      <c r="H12678" t="s">
        <v>7411</v>
      </c>
      <c r="I12678" t="s">
        <v>7411</v>
      </c>
      <c r="J12678" t="s">
        <v>38954</v>
      </c>
      <c r="K12678" t="s">
        <v>40289</v>
      </c>
      <c r="M12678" t="s">
        <v>43983</v>
      </c>
      <c r="N12678" t="s">
        <v>44759</v>
      </c>
      <c r="O12678" t="s">
        <v>44760</v>
      </c>
      <c r="Q12678">
        <v>3</v>
      </c>
      <c r="R12678" t="s">
        <v>44777</v>
      </c>
      <c r="S12678" t="s">
        <v>45526</v>
      </c>
      <c r="T12678" t="s">
        <v>46399</v>
      </c>
      <c r="U12678" t="s">
        <v>57348</v>
      </c>
      <c r="W12678" t="s">
        <v>43983</v>
      </c>
      <c r="X12678" t="s">
        <v>44779</v>
      </c>
    </row>
    <row r="12679" spans="1:24">
      <c r="A12679">
        <f>HYPERLINK("https://www.philgeps.gov.ph/GEPSNONPILOT/Tender/SplashBidNoticeAbstractUI.aspx?menuIndex=3&amp;refID=7108141&amp;Result=3","7108141")</f>
        <v>0</v>
      </c>
      <c r="B12679" t="s">
        <v>3542</v>
      </c>
      <c r="C12679" t="s">
        <v>15828</v>
      </c>
      <c r="D12679" t="s">
        <v>18004</v>
      </c>
      <c r="E12679" t="s">
        <v>28990</v>
      </c>
      <c r="F12679" t="s">
        <v>30900</v>
      </c>
      <c r="G12679" t="s">
        <v>30907</v>
      </c>
      <c r="H12679" t="s">
        <v>30916</v>
      </c>
      <c r="I12679" t="s">
        <v>30939</v>
      </c>
      <c r="J12679" t="s">
        <v>38955</v>
      </c>
      <c r="K12679" t="s">
        <v>40286</v>
      </c>
      <c r="M12679" t="s">
        <v>44457</v>
      </c>
      <c r="N12679" t="s">
        <v>44759</v>
      </c>
      <c r="O12679" t="s">
        <v>44760</v>
      </c>
      <c r="P12679">
        <v>0</v>
      </c>
      <c r="Q12679">
        <v>0</v>
      </c>
      <c r="R12679" t="s">
        <v>44777</v>
      </c>
      <c r="S12679" t="s">
        <v>45524</v>
      </c>
      <c r="T12679" t="s">
        <v>46357</v>
      </c>
      <c r="U12679" t="s">
        <v>57349</v>
      </c>
      <c r="V12679" t="s">
        <v>60553</v>
      </c>
      <c r="W12679" t="s">
        <v>44457</v>
      </c>
      <c r="X12679" t="s">
        <v>44783</v>
      </c>
    </row>
    <row r="12680" spans="1:24">
      <c r="A12680">
        <f>HYPERLINK("https://www.philgeps.gov.ph/GEPSNONPILOT/Tender/SplashBidNoticeAbstractUI.aspx?menuIndex=3&amp;refID=7109006&amp;Result=3","7109006")</f>
        <v>0</v>
      </c>
      <c r="B12680" t="s">
        <v>2298</v>
      </c>
      <c r="C12680" t="s">
        <v>15829</v>
      </c>
      <c r="D12680" t="s">
        <v>17961</v>
      </c>
      <c r="E12680" t="s">
        <v>28991</v>
      </c>
      <c r="F12680" t="s">
        <v>30900</v>
      </c>
      <c r="G12680" t="s">
        <v>30907</v>
      </c>
      <c r="H12680" t="s">
        <v>30915</v>
      </c>
      <c r="I12680" t="s">
        <v>30919</v>
      </c>
      <c r="J12680" t="s">
        <v>38956</v>
      </c>
      <c r="K12680" t="s">
        <v>40280</v>
      </c>
      <c r="M12680" t="s">
        <v>43013</v>
      </c>
      <c r="N12680" t="s">
        <v>44759</v>
      </c>
      <c r="O12680" t="s">
        <v>44760</v>
      </c>
      <c r="P12680">
        <v>0</v>
      </c>
      <c r="Q12680">
        <v>1</v>
      </c>
      <c r="R12680" t="s">
        <v>44777</v>
      </c>
      <c r="S12680" t="s">
        <v>45524</v>
      </c>
      <c r="T12680" t="s">
        <v>46531</v>
      </c>
      <c r="U12680" t="s">
        <v>57350</v>
      </c>
      <c r="W12680" t="s">
        <v>43013</v>
      </c>
      <c r="X12680" t="s">
        <v>44783</v>
      </c>
    </row>
    <row r="12681" spans="1:24">
      <c r="A12681">
        <f>HYPERLINK("https://www.philgeps.gov.ph/GEPSNONPILOT/Tender/SplashBidNoticeAbstractUI.aspx?menuIndex=3&amp;refID=7123087&amp;Result=3","7123087")</f>
        <v>0</v>
      </c>
      <c r="B12681" t="s">
        <v>3543</v>
      </c>
      <c r="C12681" t="s">
        <v>11095</v>
      </c>
      <c r="D12681" t="s">
        <v>17963</v>
      </c>
      <c r="E12681" t="s">
        <v>28992</v>
      </c>
      <c r="F12681" t="s">
        <v>30900</v>
      </c>
      <c r="G12681" t="s">
        <v>30907</v>
      </c>
      <c r="H12681" t="s">
        <v>30916</v>
      </c>
      <c r="I12681" t="s">
        <v>8365</v>
      </c>
      <c r="J12681" t="s">
        <v>38957</v>
      </c>
      <c r="K12681" t="s">
        <v>40286</v>
      </c>
      <c r="M12681" t="s">
        <v>44458</v>
      </c>
      <c r="N12681" t="s">
        <v>44759</v>
      </c>
      <c r="O12681" t="s">
        <v>44760</v>
      </c>
      <c r="Q12681">
        <v>25</v>
      </c>
      <c r="R12681" t="s">
        <v>44776</v>
      </c>
      <c r="S12681" t="s">
        <v>45527</v>
      </c>
      <c r="T12681" t="s">
        <v>46357</v>
      </c>
      <c r="U12681" t="s">
        <v>57351</v>
      </c>
      <c r="W12681" t="s">
        <v>44458</v>
      </c>
      <c r="X12681" t="s">
        <v>44777</v>
      </c>
    </row>
    <row r="12682" spans="1:24">
      <c r="A12682">
        <f>HYPERLINK("https://www.philgeps.gov.ph/GEPSNONPILOT/Tender/SplashBidNoticeAbstractUI.aspx?menuIndex=3&amp;refID=6571698&amp;Result=3","6571698")</f>
        <v>0</v>
      </c>
      <c r="B12682" t="s">
        <v>3544</v>
      </c>
      <c r="C12682" t="s">
        <v>15830</v>
      </c>
      <c r="D12682" t="s">
        <v>17952</v>
      </c>
      <c r="E12682" t="s">
        <v>28993</v>
      </c>
      <c r="F12682" t="s">
        <v>30900</v>
      </c>
      <c r="G12682" t="s">
        <v>30907</v>
      </c>
      <c r="H12682" t="s">
        <v>30915</v>
      </c>
      <c r="I12682" t="s">
        <v>30919</v>
      </c>
      <c r="J12682" t="s">
        <v>31341</v>
      </c>
      <c r="K12682" t="s">
        <v>40283</v>
      </c>
      <c r="L12682" t="s">
        <v>3544</v>
      </c>
      <c r="M12682" t="s">
        <v>44459</v>
      </c>
      <c r="N12682" t="s">
        <v>44759</v>
      </c>
      <c r="O12682" t="s">
        <v>44760</v>
      </c>
      <c r="P12682">
        <v>0</v>
      </c>
      <c r="Q12682">
        <v>2</v>
      </c>
      <c r="R12682" t="s">
        <v>44777</v>
      </c>
      <c r="S12682" t="s">
        <v>45524</v>
      </c>
      <c r="T12682" t="s">
        <v>46630</v>
      </c>
      <c r="U12682" t="s">
        <v>57352</v>
      </c>
      <c r="W12682" t="s">
        <v>44459</v>
      </c>
      <c r="X12682" t="s">
        <v>60959</v>
      </c>
    </row>
    <row r="12683" spans="1:24">
      <c r="A12683">
        <f>HYPERLINK("https://www.philgeps.gov.ph/GEPSNONPILOT/Tender/SplashBidNoticeAbstractUI.aspx?menuIndex=3&amp;refID=7123078&amp;Result=3","7123078")</f>
        <v>0</v>
      </c>
      <c r="B12683" t="s">
        <v>1768</v>
      </c>
      <c r="C12683" t="s">
        <v>15831</v>
      </c>
      <c r="D12683" t="s">
        <v>17988</v>
      </c>
      <c r="E12683" t="s">
        <v>20850</v>
      </c>
      <c r="F12683" t="s">
        <v>30900</v>
      </c>
      <c r="G12683" t="s">
        <v>30907</v>
      </c>
      <c r="H12683" t="s">
        <v>30915</v>
      </c>
      <c r="I12683" t="s">
        <v>30919</v>
      </c>
      <c r="J12683" t="s">
        <v>38958</v>
      </c>
      <c r="K12683" t="s">
        <v>40504</v>
      </c>
      <c r="M12683" t="s">
        <v>42440</v>
      </c>
      <c r="N12683" t="s">
        <v>44759</v>
      </c>
      <c r="O12683" t="s">
        <v>44760</v>
      </c>
      <c r="P12683">
        <v>0</v>
      </c>
      <c r="Q12683">
        <v>0</v>
      </c>
      <c r="R12683" t="s">
        <v>44776</v>
      </c>
      <c r="S12683" t="s">
        <v>45453</v>
      </c>
      <c r="T12683" t="s">
        <v>46357</v>
      </c>
      <c r="U12683" t="s">
        <v>57353</v>
      </c>
      <c r="W12683" t="s">
        <v>42440</v>
      </c>
      <c r="X12683" t="s">
        <v>44777</v>
      </c>
    </row>
    <row r="12684" spans="1:24">
      <c r="A12684">
        <f>HYPERLINK("https://www.philgeps.gov.ph/GEPSNONPILOT/Tender/SplashBidNoticeAbstractUI.aspx?menuIndex=3&amp;refID=7110672&amp;Result=3","7110672")</f>
        <v>0</v>
      </c>
      <c r="B12684" t="s">
        <v>1172</v>
      </c>
      <c r="C12684" t="s">
        <v>6899</v>
      </c>
      <c r="D12684" t="s">
        <v>18035</v>
      </c>
      <c r="E12684" t="s">
        <v>28994</v>
      </c>
      <c r="F12684" t="s">
        <v>30900</v>
      </c>
      <c r="G12684" t="s">
        <v>30907</v>
      </c>
      <c r="H12684" t="s">
        <v>30916</v>
      </c>
      <c r="I12684" t="s">
        <v>5501</v>
      </c>
      <c r="J12684" t="s">
        <v>38959</v>
      </c>
      <c r="K12684" t="s">
        <v>40287</v>
      </c>
      <c r="M12684" t="s">
        <v>42726</v>
      </c>
      <c r="N12684" t="s">
        <v>44759</v>
      </c>
      <c r="O12684" t="s">
        <v>44760</v>
      </c>
      <c r="P12684">
        <v>0</v>
      </c>
      <c r="Q12684">
        <v>5</v>
      </c>
      <c r="R12684" t="s">
        <v>44777</v>
      </c>
      <c r="S12684" t="s">
        <v>45524</v>
      </c>
      <c r="T12684" t="s">
        <v>46389</v>
      </c>
      <c r="U12684" t="s">
        <v>57344</v>
      </c>
      <c r="W12684" t="s">
        <v>42726</v>
      </c>
      <c r="X12684" t="s">
        <v>44782</v>
      </c>
    </row>
    <row r="12685" spans="1:24">
      <c r="A12685">
        <f>HYPERLINK("https://www.philgeps.gov.ph/GEPSNONPILOT/Tender/SplashBidNoticeAbstractUI.aspx?menuIndex=3&amp;refID=7123067&amp;Result=3","7123067")</f>
        <v>0</v>
      </c>
      <c r="B12685" t="s">
        <v>3545</v>
      </c>
      <c r="C12685" t="s">
        <v>15832</v>
      </c>
      <c r="D12685" t="s">
        <v>17953</v>
      </c>
      <c r="E12685" t="s">
        <v>18605</v>
      </c>
      <c r="F12685" t="s">
        <v>30904</v>
      </c>
      <c r="G12685" t="s">
        <v>30907</v>
      </c>
      <c r="H12685" t="s">
        <v>30916</v>
      </c>
      <c r="I12685" t="s">
        <v>30923</v>
      </c>
      <c r="J12685" t="s">
        <v>36833</v>
      </c>
      <c r="K12685" t="s">
        <v>40281</v>
      </c>
      <c r="L12685" t="s">
        <v>3545</v>
      </c>
      <c r="M12685" t="s">
        <v>44460</v>
      </c>
      <c r="N12685" t="s">
        <v>44759</v>
      </c>
      <c r="O12685" t="s">
        <v>44760</v>
      </c>
      <c r="P12685">
        <v>0</v>
      </c>
      <c r="Q12685">
        <v>1</v>
      </c>
      <c r="R12685" t="s">
        <v>44776</v>
      </c>
      <c r="S12685" t="s">
        <v>45453</v>
      </c>
      <c r="T12685" t="s">
        <v>46399</v>
      </c>
      <c r="U12685" t="s">
        <v>57354</v>
      </c>
      <c r="W12685" t="s">
        <v>44460</v>
      </c>
      <c r="X12685" t="s">
        <v>44777</v>
      </c>
    </row>
    <row r="12686" spans="1:24">
      <c r="A12686">
        <f>HYPERLINK("https://www.philgeps.gov.ph/GEPSNONPILOT/Tender/SplashBidNoticeAbstractUI.aspx?menuIndex=3&amp;refID=7123079&amp;Result=3","7123079")</f>
        <v>0</v>
      </c>
      <c r="B12686" t="s">
        <v>3546</v>
      </c>
      <c r="C12686" t="s">
        <v>15833</v>
      </c>
      <c r="D12686" t="s">
        <v>17959</v>
      </c>
      <c r="E12686" t="s">
        <v>15833</v>
      </c>
      <c r="F12686" t="s">
        <v>30900</v>
      </c>
      <c r="G12686" t="s">
        <v>30908</v>
      </c>
      <c r="H12686" t="s">
        <v>30916</v>
      </c>
      <c r="I12686" t="s">
        <v>30924</v>
      </c>
      <c r="J12686" t="s">
        <v>34972</v>
      </c>
      <c r="K12686" t="s">
        <v>40289</v>
      </c>
      <c r="M12686" t="s">
        <v>44461</v>
      </c>
      <c r="N12686" t="s">
        <v>44759</v>
      </c>
      <c r="O12686" t="s">
        <v>44760</v>
      </c>
      <c r="Q12686">
        <v>4</v>
      </c>
      <c r="R12686" t="s">
        <v>44776</v>
      </c>
      <c r="S12686" t="s">
        <v>45330</v>
      </c>
      <c r="T12686" t="s">
        <v>46391</v>
      </c>
      <c r="U12686" t="s">
        <v>57355</v>
      </c>
      <c r="W12686" t="s">
        <v>44461</v>
      </c>
      <c r="X12686" t="s">
        <v>44777</v>
      </c>
    </row>
    <row r="12687" spans="1:24">
      <c r="A12687">
        <f>HYPERLINK("https://www.philgeps.gov.ph/GEPSNONPILOT/Tender/SplashBidNoticeAbstractUI.aspx?menuIndex=3&amp;refID=7123075&amp;Result=3","7123075")</f>
        <v>0</v>
      </c>
      <c r="B12687" t="s">
        <v>997</v>
      </c>
      <c r="C12687" t="s">
        <v>15834</v>
      </c>
      <c r="D12687" t="s">
        <v>17959</v>
      </c>
      <c r="E12687" t="s">
        <v>28995</v>
      </c>
      <c r="F12687" t="s">
        <v>30900</v>
      </c>
      <c r="G12687" t="s">
        <v>30907</v>
      </c>
      <c r="H12687" t="s">
        <v>30916</v>
      </c>
      <c r="I12687" t="s">
        <v>30933</v>
      </c>
      <c r="J12687" t="s">
        <v>38960</v>
      </c>
      <c r="K12687" t="s">
        <v>40293</v>
      </c>
      <c r="M12687" t="s">
        <v>41735</v>
      </c>
      <c r="N12687" t="s">
        <v>44759</v>
      </c>
      <c r="O12687" t="s">
        <v>44760</v>
      </c>
      <c r="Q12687">
        <v>3</v>
      </c>
      <c r="R12687" t="s">
        <v>44776</v>
      </c>
      <c r="S12687" t="s">
        <v>45139</v>
      </c>
      <c r="T12687" t="s">
        <v>46443</v>
      </c>
      <c r="U12687" t="s">
        <v>49106</v>
      </c>
      <c r="W12687" t="s">
        <v>41735</v>
      </c>
      <c r="X12687" t="s">
        <v>44777</v>
      </c>
    </row>
    <row r="12688" spans="1:24">
      <c r="A12688">
        <f>HYPERLINK("https://www.philgeps.gov.ph/GEPSNONPILOT/Tender/SplashBidNoticeAbstractUI.aspx?menuIndex=3&amp;refID=7123055&amp;Result=3","7123055")</f>
        <v>0</v>
      </c>
      <c r="B12688" t="s">
        <v>3545</v>
      </c>
      <c r="C12688" t="s">
        <v>15835</v>
      </c>
      <c r="D12688" t="s">
        <v>17953</v>
      </c>
      <c r="E12688" t="s">
        <v>18727</v>
      </c>
      <c r="F12688" t="s">
        <v>30904</v>
      </c>
      <c r="G12688" t="s">
        <v>30907</v>
      </c>
      <c r="H12688" t="s">
        <v>30916</v>
      </c>
      <c r="I12688" t="s">
        <v>8365</v>
      </c>
      <c r="J12688" t="s">
        <v>38961</v>
      </c>
      <c r="K12688" t="s">
        <v>40281</v>
      </c>
      <c r="L12688" t="s">
        <v>3545</v>
      </c>
      <c r="M12688" t="s">
        <v>44460</v>
      </c>
      <c r="N12688" t="s">
        <v>44759</v>
      </c>
      <c r="O12688" t="s">
        <v>44760</v>
      </c>
      <c r="P12688">
        <v>0</v>
      </c>
      <c r="Q12688">
        <v>0</v>
      </c>
      <c r="R12688" t="s">
        <v>44776</v>
      </c>
      <c r="S12688" t="s">
        <v>45453</v>
      </c>
      <c r="T12688" t="s">
        <v>46399</v>
      </c>
      <c r="U12688" t="s">
        <v>57356</v>
      </c>
      <c r="W12688" t="s">
        <v>44460</v>
      </c>
      <c r="X12688" t="s">
        <v>44777</v>
      </c>
    </row>
    <row r="12689" spans="1:24">
      <c r="A12689">
        <f>HYPERLINK("https://www.philgeps.gov.ph/GEPSNONPILOT/Tender/SplashBidNoticeAbstractUI.aspx?menuIndex=3&amp;refID=7123063&amp;Result=3","7123063")</f>
        <v>0</v>
      </c>
      <c r="B12689" t="s">
        <v>1768</v>
      </c>
      <c r="C12689" t="s">
        <v>15836</v>
      </c>
      <c r="D12689" t="s">
        <v>17988</v>
      </c>
      <c r="E12689" t="s">
        <v>28996</v>
      </c>
      <c r="F12689" t="s">
        <v>30900</v>
      </c>
      <c r="G12689" t="s">
        <v>30907</v>
      </c>
      <c r="H12689" t="s">
        <v>30915</v>
      </c>
      <c r="I12689" t="s">
        <v>30919</v>
      </c>
      <c r="J12689" t="s">
        <v>38962</v>
      </c>
      <c r="K12689" t="s">
        <v>40360</v>
      </c>
      <c r="M12689" t="s">
        <v>42440</v>
      </c>
      <c r="N12689" t="s">
        <v>44759</v>
      </c>
      <c r="O12689" t="s">
        <v>44760</v>
      </c>
      <c r="P12689">
        <v>0</v>
      </c>
      <c r="Q12689">
        <v>0</v>
      </c>
      <c r="R12689" t="s">
        <v>44776</v>
      </c>
      <c r="S12689" t="s">
        <v>45453</v>
      </c>
      <c r="T12689" t="s">
        <v>46357</v>
      </c>
      <c r="U12689" t="s">
        <v>57357</v>
      </c>
      <c r="W12689" t="s">
        <v>42440</v>
      </c>
      <c r="X12689" t="s">
        <v>44777</v>
      </c>
    </row>
    <row r="12690" spans="1:24">
      <c r="A12690">
        <f>HYPERLINK("https://www.philgeps.gov.ph/GEPSNONPILOT/Tender/SplashBidNoticeAbstractUI.aspx?menuIndex=3&amp;refID=7122907&amp;Result=3","7122907")</f>
        <v>0</v>
      </c>
      <c r="B12690" t="s">
        <v>3167</v>
      </c>
      <c r="C12690" t="s">
        <v>15837</v>
      </c>
      <c r="D12690" t="s">
        <v>17992</v>
      </c>
      <c r="E12690" t="s">
        <v>28978</v>
      </c>
      <c r="F12690" t="s">
        <v>30900</v>
      </c>
      <c r="G12690" t="s">
        <v>30907</v>
      </c>
      <c r="H12690" t="s">
        <v>30915</v>
      </c>
      <c r="I12690" t="s">
        <v>30919</v>
      </c>
      <c r="J12690" t="s">
        <v>31152</v>
      </c>
      <c r="K12690" t="s">
        <v>40342</v>
      </c>
      <c r="M12690" t="s">
        <v>43993</v>
      </c>
      <c r="N12690" t="s">
        <v>44759</v>
      </c>
      <c r="O12690" t="s">
        <v>44760</v>
      </c>
      <c r="P12690">
        <v>0</v>
      </c>
      <c r="Q12690">
        <v>0</v>
      </c>
      <c r="R12690" t="s">
        <v>44776</v>
      </c>
      <c r="S12690" t="s">
        <v>45453</v>
      </c>
      <c r="T12690" t="s">
        <v>46421</v>
      </c>
      <c r="U12690" t="s">
        <v>57358</v>
      </c>
      <c r="V12690" t="s">
        <v>60550</v>
      </c>
      <c r="W12690" t="s">
        <v>43993</v>
      </c>
      <c r="X12690" t="s">
        <v>44777</v>
      </c>
    </row>
    <row r="12691" spans="1:24">
      <c r="A12691">
        <f>HYPERLINK("https://www.philgeps.gov.ph/GEPSNONPILOT/Tender/SplashBidNoticeAbstractUI.aspx?menuIndex=3&amp;refID=7122906&amp;Result=3","7122906")</f>
        <v>0</v>
      </c>
      <c r="B12691" t="s">
        <v>3538</v>
      </c>
      <c r="C12691" t="s">
        <v>15838</v>
      </c>
      <c r="D12691" t="s">
        <v>18007</v>
      </c>
      <c r="E12691" t="s">
        <v>28997</v>
      </c>
      <c r="F12691" t="s">
        <v>30900</v>
      </c>
      <c r="G12691" t="s">
        <v>30907</v>
      </c>
      <c r="H12691" t="s">
        <v>30916</v>
      </c>
      <c r="I12691" t="s">
        <v>9385</v>
      </c>
      <c r="J12691" t="s">
        <v>31105</v>
      </c>
      <c r="K12691" t="s">
        <v>40286</v>
      </c>
      <c r="M12691" t="s">
        <v>44453</v>
      </c>
      <c r="N12691" t="s">
        <v>44759</v>
      </c>
      <c r="O12691" t="s">
        <v>44760</v>
      </c>
      <c r="P12691">
        <v>0</v>
      </c>
      <c r="Q12691">
        <v>4</v>
      </c>
      <c r="R12691" t="s">
        <v>44776</v>
      </c>
      <c r="S12691" t="s">
        <v>45453</v>
      </c>
      <c r="T12691" t="s">
        <v>46421</v>
      </c>
      <c r="U12691" t="s">
        <v>57359</v>
      </c>
      <c r="W12691" t="s">
        <v>44453</v>
      </c>
      <c r="X12691" t="s">
        <v>44777</v>
      </c>
    </row>
    <row r="12692" spans="1:24">
      <c r="A12692">
        <f>HYPERLINK("https://www.philgeps.gov.ph/GEPSNONPILOT/Tender/SplashBidNoticeAbstractUI.aspx?menuIndex=3&amp;refID=7122862&amp;Result=3","7122862")</f>
        <v>0</v>
      </c>
      <c r="B12692" t="s">
        <v>3167</v>
      </c>
      <c r="C12692" t="s">
        <v>15839</v>
      </c>
      <c r="D12692" t="s">
        <v>17992</v>
      </c>
      <c r="E12692" t="s">
        <v>28998</v>
      </c>
      <c r="F12692" t="s">
        <v>30900</v>
      </c>
      <c r="G12692" t="s">
        <v>30907</v>
      </c>
      <c r="H12692" t="s">
        <v>30916</v>
      </c>
      <c r="I12692" t="s">
        <v>6834</v>
      </c>
      <c r="J12692" t="s">
        <v>31391</v>
      </c>
      <c r="K12692" t="s">
        <v>40292</v>
      </c>
      <c r="M12692" t="s">
        <v>43993</v>
      </c>
      <c r="N12692" t="s">
        <v>44759</v>
      </c>
      <c r="O12692" t="s">
        <v>44760</v>
      </c>
      <c r="P12692">
        <v>0</v>
      </c>
      <c r="Q12692">
        <v>7</v>
      </c>
      <c r="R12692" t="s">
        <v>44776</v>
      </c>
      <c r="S12692" t="s">
        <v>45453</v>
      </c>
      <c r="T12692" t="s">
        <v>46478</v>
      </c>
      <c r="U12692" t="s">
        <v>57360</v>
      </c>
      <c r="V12692" t="s">
        <v>60550</v>
      </c>
      <c r="W12692" t="s">
        <v>43993</v>
      </c>
      <c r="X12692" t="s">
        <v>44777</v>
      </c>
    </row>
    <row r="12693" spans="1:24">
      <c r="A12693">
        <f>HYPERLINK("https://www.philgeps.gov.ph/GEPSNONPILOT/Tender/SplashBidNoticeAbstractUI.aspx?menuIndex=3&amp;refID=7122858&amp;Result=3","7122858")</f>
        <v>0</v>
      </c>
      <c r="B12693" t="s">
        <v>3536</v>
      </c>
      <c r="C12693" t="s">
        <v>15840</v>
      </c>
      <c r="D12693" t="s">
        <v>17951</v>
      </c>
      <c r="E12693" t="s">
        <v>28999</v>
      </c>
      <c r="F12693" t="s">
        <v>30900</v>
      </c>
      <c r="G12693" t="s">
        <v>30907</v>
      </c>
      <c r="H12693" t="s">
        <v>30916</v>
      </c>
      <c r="I12693" t="s">
        <v>11785</v>
      </c>
      <c r="J12693" t="s">
        <v>31313</v>
      </c>
      <c r="K12693" t="s">
        <v>40286</v>
      </c>
      <c r="M12693" t="s">
        <v>44450</v>
      </c>
      <c r="N12693" t="s">
        <v>44759</v>
      </c>
      <c r="O12693" t="s">
        <v>44760</v>
      </c>
      <c r="P12693">
        <v>0</v>
      </c>
      <c r="Q12693">
        <v>3</v>
      </c>
      <c r="R12693" t="s">
        <v>44776</v>
      </c>
      <c r="S12693" t="s">
        <v>45453</v>
      </c>
      <c r="T12693" t="s">
        <v>46376</v>
      </c>
      <c r="U12693" t="s">
        <v>57361</v>
      </c>
      <c r="W12693" t="s">
        <v>44450</v>
      </c>
      <c r="X12693" t="s">
        <v>44777</v>
      </c>
    </row>
    <row r="12694" spans="1:24">
      <c r="A12694">
        <f>HYPERLINK("https://www.philgeps.gov.ph/GEPSNONPILOT/Tender/SplashBidNoticeAbstractUI.aspx?menuIndex=3&amp;refID=7116655&amp;Result=3","7116655")</f>
        <v>0</v>
      </c>
      <c r="B12694" t="s">
        <v>1614</v>
      </c>
      <c r="C12694" t="s">
        <v>15841</v>
      </c>
      <c r="D12694" t="s">
        <v>18012</v>
      </c>
      <c r="E12694" t="s">
        <v>29000</v>
      </c>
      <c r="F12694" t="s">
        <v>30900</v>
      </c>
      <c r="G12694" t="s">
        <v>30907</v>
      </c>
      <c r="H12694" t="s">
        <v>30916</v>
      </c>
      <c r="I12694" t="s">
        <v>30958</v>
      </c>
      <c r="J12694" t="s">
        <v>38963</v>
      </c>
      <c r="K12694" t="s">
        <v>40289</v>
      </c>
      <c r="M12694" t="s">
        <v>42264</v>
      </c>
      <c r="N12694" t="s">
        <v>44759</v>
      </c>
      <c r="O12694" t="s">
        <v>44760</v>
      </c>
      <c r="P12694">
        <v>0</v>
      </c>
      <c r="Q12694">
        <v>0</v>
      </c>
      <c r="R12694" t="s">
        <v>44777</v>
      </c>
      <c r="S12694" t="s">
        <v>45524</v>
      </c>
      <c r="T12694" t="s">
        <v>46613</v>
      </c>
      <c r="U12694" t="s">
        <v>57362</v>
      </c>
      <c r="W12694" t="s">
        <v>60869</v>
      </c>
      <c r="X12694" t="s">
        <v>44780</v>
      </c>
    </row>
    <row r="12695" spans="1:24">
      <c r="A12695">
        <f>HYPERLINK("https://www.philgeps.gov.ph/GEPSNONPILOT/Tender/SplashBidNoticeAbstractUI.aspx?menuIndex=3&amp;refID=7116553&amp;Result=3","7116553")</f>
        <v>0</v>
      </c>
      <c r="B12695" t="s">
        <v>3383</v>
      </c>
      <c r="C12695" t="s">
        <v>15842</v>
      </c>
      <c r="D12695" t="s">
        <v>17955</v>
      </c>
      <c r="E12695" t="s">
        <v>29001</v>
      </c>
      <c r="F12695" t="s">
        <v>30900</v>
      </c>
      <c r="G12695" t="s">
        <v>30907</v>
      </c>
      <c r="H12695" t="s">
        <v>30916</v>
      </c>
      <c r="I12695" t="s">
        <v>4545</v>
      </c>
      <c r="J12695" t="s">
        <v>38964</v>
      </c>
      <c r="K12695" t="s">
        <v>40289</v>
      </c>
      <c r="M12695" t="s">
        <v>44257</v>
      </c>
      <c r="N12695" t="s">
        <v>44759</v>
      </c>
      <c r="O12695" t="s">
        <v>44760</v>
      </c>
      <c r="P12695">
        <v>0</v>
      </c>
      <c r="Q12695">
        <v>15</v>
      </c>
      <c r="R12695" t="s">
        <v>44777</v>
      </c>
      <c r="S12695" t="s">
        <v>45524</v>
      </c>
      <c r="T12695" t="s">
        <v>46421</v>
      </c>
      <c r="U12695" t="s">
        <v>57363</v>
      </c>
      <c r="W12695" t="s">
        <v>44257</v>
      </c>
      <c r="X12695" t="s">
        <v>44780</v>
      </c>
    </row>
    <row r="12696" spans="1:24">
      <c r="A12696">
        <f>HYPERLINK("https://www.philgeps.gov.ph/GEPSNONPILOT/Tender/SplashBidNoticeAbstractUI.aspx?menuIndex=3&amp;refID=7123060&amp;Result=3","7123060")</f>
        <v>0</v>
      </c>
      <c r="B12696" t="s">
        <v>2881</v>
      </c>
      <c r="C12696" t="s">
        <v>15843</v>
      </c>
      <c r="D12696" t="s">
        <v>18031</v>
      </c>
      <c r="E12696" t="s">
        <v>29002</v>
      </c>
      <c r="F12696" t="s">
        <v>30900</v>
      </c>
      <c r="G12696" t="s">
        <v>30907</v>
      </c>
      <c r="H12696" t="s">
        <v>30915</v>
      </c>
      <c r="I12696" t="s">
        <v>30919</v>
      </c>
      <c r="J12696" t="s">
        <v>31391</v>
      </c>
      <c r="K12696" t="s">
        <v>40308</v>
      </c>
      <c r="M12696" t="s">
        <v>43673</v>
      </c>
      <c r="N12696" t="s">
        <v>44759</v>
      </c>
      <c r="O12696" t="s">
        <v>44760</v>
      </c>
      <c r="P12696">
        <v>0</v>
      </c>
      <c r="Q12696">
        <v>0</v>
      </c>
      <c r="R12696" t="s">
        <v>44776</v>
      </c>
      <c r="S12696" t="s">
        <v>45453</v>
      </c>
      <c r="T12696" t="s">
        <v>46399</v>
      </c>
      <c r="U12696" t="s">
        <v>57364</v>
      </c>
      <c r="W12696" t="s">
        <v>43673</v>
      </c>
      <c r="X12696" t="s">
        <v>44777</v>
      </c>
    </row>
    <row r="12697" spans="1:24">
      <c r="A12697">
        <f>HYPERLINK("https://www.philgeps.gov.ph/GEPSNONPILOT/Tender/SplashBidNoticeAbstractUI.aspx?menuIndex=3&amp;refID=7122912&amp;Result=3","7122912")</f>
        <v>0</v>
      </c>
      <c r="B12697" t="s">
        <v>1119</v>
      </c>
      <c r="C12697" t="s">
        <v>15844</v>
      </c>
      <c r="D12697" t="s">
        <v>17954</v>
      </c>
      <c r="E12697" t="s">
        <v>29003</v>
      </c>
      <c r="F12697" t="s">
        <v>30900</v>
      </c>
      <c r="G12697" t="s">
        <v>30907</v>
      </c>
      <c r="H12697" t="s">
        <v>30915</v>
      </c>
      <c r="I12697" t="s">
        <v>30919</v>
      </c>
      <c r="J12697" t="s">
        <v>32324</v>
      </c>
      <c r="K12697" t="s">
        <v>40342</v>
      </c>
      <c r="M12697" t="s">
        <v>42602</v>
      </c>
      <c r="N12697" t="s">
        <v>44759</v>
      </c>
      <c r="O12697" t="s">
        <v>44760</v>
      </c>
      <c r="Q12697">
        <v>0</v>
      </c>
      <c r="R12697" t="s">
        <v>44776</v>
      </c>
      <c r="S12697" t="s">
        <v>45528</v>
      </c>
      <c r="T12697" t="s">
        <v>46694</v>
      </c>
      <c r="U12697" t="s">
        <v>57329</v>
      </c>
      <c r="V12697" t="s">
        <v>60554</v>
      </c>
      <c r="W12697" t="s">
        <v>42602</v>
      </c>
      <c r="X12697" t="s">
        <v>44777</v>
      </c>
    </row>
    <row r="12698" spans="1:24">
      <c r="A12698">
        <f>HYPERLINK("https://www.philgeps.gov.ph/GEPSNONPILOT/Tender/SplashBidNoticeAbstractUI.aspx?menuIndex=3&amp;refID=7116210&amp;Result=3","7116210")</f>
        <v>0</v>
      </c>
      <c r="B12698" t="s">
        <v>3547</v>
      </c>
      <c r="C12698" t="s">
        <v>15845</v>
      </c>
      <c r="D12698" t="s">
        <v>18017</v>
      </c>
      <c r="E12698" t="s">
        <v>29004</v>
      </c>
      <c r="F12698" t="s">
        <v>30900</v>
      </c>
      <c r="G12698" t="s">
        <v>30907</v>
      </c>
      <c r="H12698" t="s">
        <v>30915</v>
      </c>
      <c r="I12698" t="s">
        <v>30919</v>
      </c>
      <c r="J12698" t="s">
        <v>38965</v>
      </c>
      <c r="K12698" t="s">
        <v>40280</v>
      </c>
      <c r="M12698" t="s">
        <v>44462</v>
      </c>
      <c r="N12698" t="s">
        <v>44759</v>
      </c>
      <c r="O12698" t="s">
        <v>44760</v>
      </c>
      <c r="P12698">
        <v>0</v>
      </c>
      <c r="Q12698">
        <v>2</v>
      </c>
      <c r="R12698" t="s">
        <v>44777</v>
      </c>
      <c r="S12698" t="s">
        <v>45524</v>
      </c>
      <c r="T12698" t="s">
        <v>46357</v>
      </c>
      <c r="U12698" t="s">
        <v>57365</v>
      </c>
      <c r="V12698" t="s">
        <v>60097</v>
      </c>
      <c r="W12698" t="s">
        <v>44462</v>
      </c>
      <c r="X12698" t="s">
        <v>44781</v>
      </c>
    </row>
    <row r="12699" spans="1:24">
      <c r="A12699">
        <f>HYPERLINK("https://www.philgeps.gov.ph/GEPSNONPILOT/Tender/SplashBidNoticeAbstractUI.aspx?menuIndex=3&amp;refID=7115524&amp;Result=3","7115524")</f>
        <v>0</v>
      </c>
      <c r="B12699" t="s">
        <v>1169</v>
      </c>
      <c r="C12699" t="s">
        <v>15846</v>
      </c>
      <c r="D12699" t="s">
        <v>17965</v>
      </c>
      <c r="E12699" t="s">
        <v>29005</v>
      </c>
      <c r="F12699" t="s">
        <v>30900</v>
      </c>
      <c r="G12699" t="s">
        <v>30907</v>
      </c>
      <c r="H12699" t="s">
        <v>30915</v>
      </c>
      <c r="I12699" t="s">
        <v>30919</v>
      </c>
      <c r="J12699" t="s">
        <v>38966</v>
      </c>
      <c r="K12699" t="s">
        <v>40314</v>
      </c>
      <c r="M12699" t="s">
        <v>41776</v>
      </c>
      <c r="N12699" t="s">
        <v>44759</v>
      </c>
      <c r="O12699" t="s">
        <v>44760</v>
      </c>
      <c r="P12699">
        <v>0</v>
      </c>
      <c r="Q12699">
        <v>0</v>
      </c>
      <c r="R12699" t="s">
        <v>44777</v>
      </c>
      <c r="S12699" t="s">
        <v>45524</v>
      </c>
      <c r="T12699" t="s">
        <v>46412</v>
      </c>
      <c r="U12699" t="s">
        <v>57366</v>
      </c>
      <c r="V12699" t="s">
        <v>60202</v>
      </c>
      <c r="W12699" t="s">
        <v>41776</v>
      </c>
      <c r="X12699" t="s">
        <v>44781</v>
      </c>
    </row>
    <row r="12700" spans="1:24">
      <c r="A12700">
        <f>HYPERLINK("https://www.philgeps.gov.ph/GEPSNONPILOT/Tender/SplashBidNoticeAbstractUI.aspx?menuIndex=3&amp;refID=7116423&amp;Result=3","7116423")</f>
        <v>0</v>
      </c>
      <c r="B12700" t="s">
        <v>3101</v>
      </c>
      <c r="C12700" t="s">
        <v>15847</v>
      </c>
      <c r="D12700" t="s">
        <v>17953</v>
      </c>
      <c r="E12700" t="s">
        <v>29006</v>
      </c>
      <c r="F12700" t="s">
        <v>30900</v>
      </c>
      <c r="G12700" t="s">
        <v>30907</v>
      </c>
      <c r="H12700" t="s">
        <v>30915</v>
      </c>
      <c r="I12700" t="s">
        <v>30919</v>
      </c>
      <c r="J12700" t="s">
        <v>38967</v>
      </c>
      <c r="K12700" t="s">
        <v>40386</v>
      </c>
      <c r="M12700" t="s">
        <v>43913</v>
      </c>
      <c r="N12700" t="s">
        <v>44759</v>
      </c>
      <c r="O12700" t="s">
        <v>44760</v>
      </c>
      <c r="Q12700">
        <v>6</v>
      </c>
      <c r="R12700" t="s">
        <v>44777</v>
      </c>
      <c r="S12700" t="s">
        <v>45529</v>
      </c>
      <c r="T12700" t="s">
        <v>46389</v>
      </c>
      <c r="U12700" t="s">
        <v>56025</v>
      </c>
      <c r="W12700" t="s">
        <v>43913</v>
      </c>
      <c r="X12700" t="s">
        <v>44780</v>
      </c>
    </row>
    <row r="12701" spans="1:24">
      <c r="A12701">
        <f>HYPERLINK("https://www.philgeps.gov.ph/GEPSNONPILOT/Tender/SplashBidNoticeAbstractUI.aspx?menuIndex=3&amp;refID=7115268&amp;Result=3","7115268")</f>
        <v>0</v>
      </c>
      <c r="B12701" t="s">
        <v>3548</v>
      </c>
      <c r="C12701" t="s">
        <v>15848</v>
      </c>
      <c r="D12701" t="s">
        <v>17952</v>
      </c>
      <c r="E12701" t="s">
        <v>29007</v>
      </c>
      <c r="F12701" t="s">
        <v>30900</v>
      </c>
      <c r="G12701" t="s">
        <v>30907</v>
      </c>
      <c r="H12701" t="s">
        <v>30916</v>
      </c>
      <c r="I12701" t="s">
        <v>6408</v>
      </c>
      <c r="J12701" t="s">
        <v>31120</v>
      </c>
      <c r="K12701" t="s">
        <v>40286</v>
      </c>
      <c r="M12701" t="s">
        <v>44463</v>
      </c>
      <c r="N12701" t="s">
        <v>44759</v>
      </c>
      <c r="O12701" t="s">
        <v>44760</v>
      </c>
      <c r="P12701">
        <v>0</v>
      </c>
      <c r="Q12701">
        <v>3</v>
      </c>
      <c r="R12701" t="s">
        <v>44777</v>
      </c>
      <c r="S12701" t="s">
        <v>45524</v>
      </c>
      <c r="T12701" t="s">
        <v>46390</v>
      </c>
      <c r="U12701" t="s">
        <v>57367</v>
      </c>
      <c r="W12701" t="s">
        <v>44463</v>
      </c>
      <c r="X12701" t="s">
        <v>44781</v>
      </c>
    </row>
    <row r="12702" spans="1:24">
      <c r="A12702">
        <f>HYPERLINK("https://www.philgeps.gov.ph/GEPSNONPILOT/Tender/SplashBidNoticeAbstractUI.aspx?menuIndex=3&amp;refID=7114737&amp;Result=3","7114737")</f>
        <v>0</v>
      </c>
      <c r="B12702" t="s">
        <v>3549</v>
      </c>
      <c r="C12702" t="s">
        <v>15849</v>
      </c>
      <c r="D12702" t="s">
        <v>18015</v>
      </c>
      <c r="E12702" t="s">
        <v>29008</v>
      </c>
      <c r="F12702" t="s">
        <v>30900</v>
      </c>
      <c r="G12702" t="s">
        <v>30913</v>
      </c>
      <c r="H12702" t="s">
        <v>30915</v>
      </c>
      <c r="I12702" t="s">
        <v>30919</v>
      </c>
      <c r="J12702" t="s">
        <v>31701</v>
      </c>
      <c r="K12702" t="s">
        <v>40354</v>
      </c>
      <c r="M12702" t="s">
        <v>44464</v>
      </c>
      <c r="N12702" t="s">
        <v>44759</v>
      </c>
      <c r="O12702" t="s">
        <v>44760</v>
      </c>
      <c r="P12702">
        <v>0</v>
      </c>
      <c r="Q12702">
        <v>0</v>
      </c>
      <c r="R12702" t="s">
        <v>44777</v>
      </c>
      <c r="S12702" t="s">
        <v>45524</v>
      </c>
      <c r="T12702" t="s">
        <v>46484</v>
      </c>
      <c r="U12702" t="s">
        <v>57368</v>
      </c>
      <c r="V12702" t="s">
        <v>60555</v>
      </c>
      <c r="W12702" t="s">
        <v>44464</v>
      </c>
      <c r="X12702" t="s">
        <v>44781</v>
      </c>
    </row>
    <row r="12703" spans="1:24">
      <c r="A12703">
        <f>HYPERLINK("https://www.philgeps.gov.ph/GEPSNONPILOT/Tender/SplashBidNoticeAbstractUI.aspx?menuIndex=3&amp;refID=7123085&amp;Result=3","7123085")</f>
        <v>0</v>
      </c>
      <c r="B12703" t="s">
        <v>3545</v>
      </c>
      <c r="C12703" t="s">
        <v>15850</v>
      </c>
      <c r="D12703" t="s">
        <v>17953</v>
      </c>
      <c r="E12703" t="s">
        <v>20657</v>
      </c>
      <c r="F12703" t="s">
        <v>30904</v>
      </c>
      <c r="G12703" t="s">
        <v>30907</v>
      </c>
      <c r="H12703" t="s">
        <v>30916</v>
      </c>
      <c r="I12703" t="s">
        <v>30935</v>
      </c>
      <c r="J12703" t="s">
        <v>31728</v>
      </c>
      <c r="K12703" t="s">
        <v>40281</v>
      </c>
      <c r="L12703" t="s">
        <v>3545</v>
      </c>
      <c r="M12703" t="s">
        <v>44460</v>
      </c>
      <c r="N12703" t="s">
        <v>44759</v>
      </c>
      <c r="O12703" t="s">
        <v>44760</v>
      </c>
      <c r="P12703">
        <v>0</v>
      </c>
      <c r="Q12703">
        <v>1</v>
      </c>
      <c r="R12703" t="s">
        <v>44776</v>
      </c>
      <c r="S12703" t="s">
        <v>45453</v>
      </c>
      <c r="T12703" t="s">
        <v>46399</v>
      </c>
      <c r="U12703" t="s">
        <v>57369</v>
      </c>
      <c r="W12703" t="s">
        <v>44460</v>
      </c>
      <c r="X12703" t="s">
        <v>44777</v>
      </c>
    </row>
    <row r="12704" spans="1:24">
      <c r="A12704">
        <f>HYPERLINK("https://www.philgeps.gov.ph/GEPSNONPILOT/Tender/SplashBidNoticeAbstractUI.aspx?menuIndex=3&amp;refID=7116407&amp;Result=3","7116407")</f>
        <v>0</v>
      </c>
      <c r="B12704" t="s">
        <v>1317</v>
      </c>
      <c r="C12704" t="s">
        <v>15851</v>
      </c>
      <c r="D12704" t="s">
        <v>17977</v>
      </c>
      <c r="E12704" t="s">
        <v>29009</v>
      </c>
      <c r="F12704" t="s">
        <v>30900</v>
      </c>
      <c r="G12704" t="s">
        <v>30907</v>
      </c>
      <c r="H12704" t="s">
        <v>30916</v>
      </c>
      <c r="I12704" t="s">
        <v>6396</v>
      </c>
      <c r="J12704" t="s">
        <v>38968</v>
      </c>
      <c r="K12704" t="s">
        <v>40289</v>
      </c>
      <c r="M12704" t="s">
        <v>44465</v>
      </c>
      <c r="N12704" t="s">
        <v>44759</v>
      </c>
      <c r="O12704" t="s">
        <v>44760</v>
      </c>
      <c r="P12704">
        <v>0</v>
      </c>
      <c r="Q12704">
        <v>15</v>
      </c>
      <c r="R12704" t="s">
        <v>44777</v>
      </c>
      <c r="S12704" t="s">
        <v>45524</v>
      </c>
      <c r="T12704" t="s">
        <v>46425</v>
      </c>
      <c r="U12704" t="s">
        <v>57370</v>
      </c>
      <c r="W12704" t="s">
        <v>44465</v>
      </c>
      <c r="X12704" t="s">
        <v>44780</v>
      </c>
    </row>
    <row r="12705" spans="1:24">
      <c r="A12705">
        <f>HYPERLINK("https://www.philgeps.gov.ph/GEPSNONPILOT/Tender/SplashBidNoticeAbstractUI.aspx?menuIndex=3&amp;refID=7115998&amp;Result=3","7115998")</f>
        <v>0</v>
      </c>
      <c r="B12705" t="s">
        <v>3550</v>
      </c>
      <c r="C12705" t="s">
        <v>15852</v>
      </c>
      <c r="D12705" t="s">
        <v>17959</v>
      </c>
      <c r="E12705" t="s">
        <v>19382</v>
      </c>
      <c r="F12705" t="s">
        <v>30900</v>
      </c>
      <c r="G12705" t="s">
        <v>30907</v>
      </c>
      <c r="H12705" t="s">
        <v>7411</v>
      </c>
      <c r="I12705" t="s">
        <v>7411</v>
      </c>
      <c r="J12705" t="s">
        <v>33238</v>
      </c>
      <c r="K12705" t="s">
        <v>40289</v>
      </c>
      <c r="M12705" t="s">
        <v>44466</v>
      </c>
      <c r="N12705" t="s">
        <v>44759</v>
      </c>
      <c r="O12705" t="s">
        <v>44760</v>
      </c>
      <c r="Q12705">
        <v>15</v>
      </c>
      <c r="R12705" t="s">
        <v>44777</v>
      </c>
      <c r="S12705" t="s">
        <v>45530</v>
      </c>
      <c r="T12705" t="s">
        <v>46914</v>
      </c>
      <c r="U12705" t="s">
        <v>57371</v>
      </c>
      <c r="W12705" t="s">
        <v>44466</v>
      </c>
      <c r="X12705" t="s">
        <v>44781</v>
      </c>
    </row>
    <row r="12706" spans="1:24">
      <c r="A12706">
        <f>HYPERLINK("https://www.philgeps.gov.ph/GEPSNONPILOT/Tender/SplashBidNoticeAbstractUI.aspx?menuIndex=3&amp;refID=7113674&amp;Result=3","7113674")</f>
        <v>0</v>
      </c>
      <c r="B12706" t="s">
        <v>545</v>
      </c>
      <c r="C12706" t="s">
        <v>15853</v>
      </c>
      <c r="D12706" t="s">
        <v>17951</v>
      </c>
      <c r="E12706" t="s">
        <v>29010</v>
      </c>
      <c r="F12706" t="s">
        <v>30900</v>
      </c>
      <c r="G12706" t="s">
        <v>30907</v>
      </c>
      <c r="H12706" t="s">
        <v>30915</v>
      </c>
      <c r="I12706" t="s">
        <v>30919</v>
      </c>
      <c r="J12706" t="s">
        <v>31152</v>
      </c>
      <c r="K12706" t="s">
        <v>40289</v>
      </c>
      <c r="M12706" t="s">
        <v>41106</v>
      </c>
      <c r="N12706" t="s">
        <v>44759</v>
      </c>
      <c r="O12706" t="s">
        <v>44760</v>
      </c>
      <c r="Q12706">
        <v>0</v>
      </c>
      <c r="R12706" t="s">
        <v>44777</v>
      </c>
      <c r="S12706" t="s">
        <v>45531</v>
      </c>
      <c r="T12706" t="s">
        <v>46400</v>
      </c>
      <c r="U12706" t="s">
        <v>57372</v>
      </c>
      <c r="W12706" t="s">
        <v>41106</v>
      </c>
      <c r="X12706" t="s">
        <v>44781</v>
      </c>
    </row>
    <row r="12707" spans="1:24">
      <c r="A12707">
        <f>HYPERLINK("https://www.philgeps.gov.ph/GEPSNONPILOT/Tender/SplashBidNoticeAbstractUI.aspx?menuIndex=3&amp;refID=7113579&amp;Result=3","7113579")</f>
        <v>0</v>
      </c>
      <c r="B12707" t="s">
        <v>3549</v>
      </c>
      <c r="C12707" t="s">
        <v>15854</v>
      </c>
      <c r="D12707" t="s">
        <v>18015</v>
      </c>
      <c r="E12707" t="s">
        <v>29011</v>
      </c>
      <c r="F12707" t="s">
        <v>30900</v>
      </c>
      <c r="G12707" t="s">
        <v>30913</v>
      </c>
      <c r="H12707" t="s">
        <v>30916</v>
      </c>
      <c r="I12707" t="s">
        <v>30935</v>
      </c>
      <c r="J12707" t="s">
        <v>33323</v>
      </c>
      <c r="K12707" t="s">
        <v>40293</v>
      </c>
      <c r="M12707" t="s">
        <v>44464</v>
      </c>
      <c r="N12707" t="s">
        <v>44759</v>
      </c>
      <c r="O12707" t="s">
        <v>44760</v>
      </c>
      <c r="P12707">
        <v>0</v>
      </c>
      <c r="Q12707">
        <v>7</v>
      </c>
      <c r="R12707" t="s">
        <v>44777</v>
      </c>
      <c r="S12707" t="s">
        <v>45524</v>
      </c>
      <c r="T12707" t="s">
        <v>46484</v>
      </c>
      <c r="U12707" t="s">
        <v>57373</v>
      </c>
      <c r="V12707" t="s">
        <v>60556</v>
      </c>
      <c r="W12707" t="s">
        <v>44464</v>
      </c>
      <c r="X12707" t="s">
        <v>44781</v>
      </c>
    </row>
    <row r="12708" spans="1:24">
      <c r="A12708">
        <f>HYPERLINK("https://www.philgeps.gov.ph/GEPSNONPILOT/Tender/SplashBidNoticeAbstractUI.aspx?menuIndex=3&amp;refID=7116833&amp;Result=3","7116833")</f>
        <v>0</v>
      </c>
      <c r="B12708" t="s">
        <v>85</v>
      </c>
      <c r="C12708" t="s">
        <v>15855</v>
      </c>
      <c r="D12708" t="s">
        <v>17991</v>
      </c>
      <c r="E12708" t="s">
        <v>29012</v>
      </c>
      <c r="F12708" t="s">
        <v>30900</v>
      </c>
      <c r="G12708" t="s">
        <v>30907</v>
      </c>
      <c r="H12708" t="s">
        <v>30915</v>
      </c>
      <c r="I12708" t="s">
        <v>30919</v>
      </c>
      <c r="J12708" t="s">
        <v>31897</v>
      </c>
      <c r="K12708" t="s">
        <v>40295</v>
      </c>
      <c r="M12708" t="s">
        <v>40960</v>
      </c>
      <c r="N12708" t="s">
        <v>44759</v>
      </c>
      <c r="O12708" t="s">
        <v>44760</v>
      </c>
      <c r="P12708">
        <v>0</v>
      </c>
      <c r="Q12708">
        <v>3</v>
      </c>
      <c r="R12708" t="s">
        <v>44777</v>
      </c>
      <c r="S12708" t="s">
        <v>45524</v>
      </c>
      <c r="T12708" t="s">
        <v>46387</v>
      </c>
      <c r="U12708" t="s">
        <v>57374</v>
      </c>
      <c r="W12708" t="s">
        <v>40960</v>
      </c>
      <c r="X12708" t="s">
        <v>44780</v>
      </c>
    </row>
    <row r="12709" spans="1:24">
      <c r="A12709">
        <f>HYPERLINK("https://www.philgeps.gov.ph/GEPSNONPILOT/Tender/SplashBidNoticeAbstractUI.aspx?menuIndex=3&amp;refID=7113904&amp;Result=3","7113904")</f>
        <v>0</v>
      </c>
      <c r="B12709" t="s">
        <v>1170</v>
      </c>
      <c r="C12709" t="s">
        <v>15856</v>
      </c>
      <c r="D12709" t="s">
        <v>18010</v>
      </c>
      <c r="E12709" t="s">
        <v>26137</v>
      </c>
      <c r="F12709" t="s">
        <v>30900</v>
      </c>
      <c r="G12709" t="s">
        <v>30907</v>
      </c>
      <c r="H12709" t="s">
        <v>30915</v>
      </c>
      <c r="I12709" t="s">
        <v>30919</v>
      </c>
      <c r="J12709" t="s">
        <v>31391</v>
      </c>
      <c r="K12709" t="s">
        <v>40280</v>
      </c>
      <c r="M12709" t="s">
        <v>41777</v>
      </c>
      <c r="N12709" t="s">
        <v>44759</v>
      </c>
      <c r="O12709" t="s">
        <v>44760</v>
      </c>
      <c r="P12709">
        <v>0</v>
      </c>
      <c r="Q12709">
        <v>44</v>
      </c>
      <c r="R12709" t="s">
        <v>44777</v>
      </c>
      <c r="S12709" t="s">
        <v>45524</v>
      </c>
      <c r="T12709" t="s">
        <v>46412</v>
      </c>
      <c r="U12709" t="s">
        <v>57375</v>
      </c>
      <c r="W12709" t="s">
        <v>41777</v>
      </c>
      <c r="X12709" t="s">
        <v>44781</v>
      </c>
    </row>
    <row r="12710" spans="1:24">
      <c r="A12710">
        <f>HYPERLINK("https://www.philgeps.gov.ph/GEPSNONPILOT/Tender/SplashBidNoticeAbstractUI.aspx?menuIndex=3&amp;refID=7122990&amp;Result=3","7122990")</f>
        <v>0</v>
      </c>
      <c r="B12710" t="s">
        <v>1128</v>
      </c>
      <c r="C12710" t="s">
        <v>15857</v>
      </c>
      <c r="D12710" t="s">
        <v>17995</v>
      </c>
      <c r="E12710" t="s">
        <v>22470</v>
      </c>
      <c r="F12710" t="s">
        <v>30900</v>
      </c>
      <c r="G12710" t="s">
        <v>30907</v>
      </c>
      <c r="H12710" t="s">
        <v>30916</v>
      </c>
      <c r="I12710" t="s">
        <v>4545</v>
      </c>
      <c r="J12710" t="s">
        <v>38969</v>
      </c>
      <c r="K12710" t="s">
        <v>40284</v>
      </c>
      <c r="M12710" t="s">
        <v>41730</v>
      </c>
      <c r="N12710" t="s">
        <v>44759</v>
      </c>
      <c r="O12710" t="s">
        <v>44760</v>
      </c>
      <c r="P12710">
        <v>0</v>
      </c>
      <c r="Q12710">
        <v>5</v>
      </c>
      <c r="R12710" t="s">
        <v>44776</v>
      </c>
      <c r="S12710" t="s">
        <v>45453</v>
      </c>
      <c r="T12710" t="s">
        <v>46393</v>
      </c>
      <c r="U12710" t="s">
        <v>57376</v>
      </c>
      <c r="W12710" t="s">
        <v>41730</v>
      </c>
      <c r="X12710" t="s">
        <v>44777</v>
      </c>
    </row>
    <row r="12711" spans="1:24">
      <c r="A12711">
        <f>HYPERLINK("https://www.philgeps.gov.ph/GEPSNONPILOT/Tender/SplashBidNoticeAbstractUI.aspx?menuIndex=3&amp;refID=7116871&amp;Result=3","7116871")</f>
        <v>0</v>
      </c>
      <c r="B12711" t="s">
        <v>281</v>
      </c>
      <c r="C12711" t="s">
        <v>15858</v>
      </c>
      <c r="D12711" t="s">
        <v>17952</v>
      </c>
      <c r="E12711" t="s">
        <v>29013</v>
      </c>
      <c r="F12711" t="s">
        <v>30900</v>
      </c>
      <c r="G12711" t="s">
        <v>30907</v>
      </c>
      <c r="H12711" t="s">
        <v>30916</v>
      </c>
      <c r="I12711" t="s">
        <v>30947</v>
      </c>
      <c r="J12711" t="s">
        <v>38970</v>
      </c>
      <c r="K12711" t="s">
        <v>40286</v>
      </c>
      <c r="M12711" t="s">
        <v>43172</v>
      </c>
      <c r="N12711" t="s">
        <v>44759</v>
      </c>
      <c r="O12711" t="s">
        <v>44760</v>
      </c>
      <c r="Q12711">
        <v>1</v>
      </c>
      <c r="R12711" t="s">
        <v>44777</v>
      </c>
      <c r="S12711" t="s">
        <v>45532</v>
      </c>
      <c r="T12711" t="s">
        <v>46404</v>
      </c>
      <c r="U12711" t="s">
        <v>57377</v>
      </c>
      <c r="W12711" t="s">
        <v>43172</v>
      </c>
      <c r="X12711" t="s">
        <v>44780</v>
      </c>
    </row>
    <row r="12712" spans="1:24">
      <c r="A12712">
        <f>HYPERLINK("https://www.philgeps.gov.ph/GEPSNONPILOT/Tender/SplashBidNoticeAbstractUI.aspx?menuIndex=3&amp;refID=7116854&amp;Result=3","7116854")</f>
        <v>0</v>
      </c>
      <c r="B12712" t="s">
        <v>987</v>
      </c>
      <c r="C12712" t="s">
        <v>15859</v>
      </c>
      <c r="E12712" t="s">
        <v>29014</v>
      </c>
      <c r="F12712" t="s">
        <v>30900</v>
      </c>
      <c r="G12712" t="s">
        <v>30907</v>
      </c>
      <c r="H12712" t="s">
        <v>30916</v>
      </c>
      <c r="I12712" t="s">
        <v>9385</v>
      </c>
      <c r="J12712" t="s">
        <v>38971</v>
      </c>
      <c r="K12712" t="s">
        <v>40289</v>
      </c>
      <c r="M12712" t="s">
        <v>43927</v>
      </c>
      <c r="N12712" t="s">
        <v>44759</v>
      </c>
      <c r="O12712" t="s">
        <v>44760</v>
      </c>
      <c r="Q12712">
        <v>31</v>
      </c>
      <c r="R12712" t="s">
        <v>44777</v>
      </c>
      <c r="S12712" t="s">
        <v>45533</v>
      </c>
      <c r="T12712" t="s">
        <v>46689</v>
      </c>
      <c r="U12712" t="s">
        <v>57378</v>
      </c>
      <c r="W12712" t="s">
        <v>43927</v>
      </c>
      <c r="X12712" t="s">
        <v>44780</v>
      </c>
    </row>
    <row r="12713" spans="1:24">
      <c r="A12713">
        <f>HYPERLINK("https://www.philgeps.gov.ph/GEPSNONPILOT/Tender/SplashBidNoticeAbstractUI.aspx?menuIndex=3&amp;refID=7116919&amp;Result=3","7116919")</f>
        <v>0</v>
      </c>
      <c r="B12713" t="s">
        <v>1997</v>
      </c>
      <c r="C12713" t="s">
        <v>15860</v>
      </c>
      <c r="D12713" t="s">
        <v>17953</v>
      </c>
      <c r="E12713" t="s">
        <v>29015</v>
      </c>
      <c r="F12713" t="s">
        <v>30900</v>
      </c>
      <c r="G12713" t="s">
        <v>30907</v>
      </c>
      <c r="H12713" t="s">
        <v>30917</v>
      </c>
      <c r="I12713" t="s">
        <v>30942</v>
      </c>
      <c r="J12713" t="s">
        <v>38972</v>
      </c>
      <c r="K12713" t="s">
        <v>40319</v>
      </c>
      <c r="M12713" t="s">
        <v>44467</v>
      </c>
      <c r="N12713" t="s">
        <v>44759</v>
      </c>
      <c r="O12713" t="s">
        <v>44760</v>
      </c>
      <c r="Q12713">
        <v>7</v>
      </c>
      <c r="R12713" t="s">
        <v>44777</v>
      </c>
      <c r="S12713" t="s">
        <v>45534</v>
      </c>
      <c r="T12713" t="s">
        <v>46399</v>
      </c>
      <c r="U12713" t="s">
        <v>57379</v>
      </c>
      <c r="V12713" t="s">
        <v>60557</v>
      </c>
      <c r="W12713" t="s">
        <v>44467</v>
      </c>
      <c r="X12713" t="s">
        <v>44780</v>
      </c>
    </row>
    <row r="12714" spans="1:24">
      <c r="A12714">
        <f>HYPERLINK("https://www.philgeps.gov.ph/GEPSNONPILOT/Tender/SplashBidNoticeAbstractUI.aspx?menuIndex=3&amp;refID=7116835&amp;Result=3","7116835")</f>
        <v>0</v>
      </c>
      <c r="B12714" t="s">
        <v>743</v>
      </c>
      <c r="C12714" t="s">
        <v>15861</v>
      </c>
      <c r="D12714" t="s">
        <v>18013</v>
      </c>
      <c r="E12714" t="s">
        <v>29016</v>
      </c>
      <c r="F12714" t="s">
        <v>30900</v>
      </c>
      <c r="G12714" t="s">
        <v>30907</v>
      </c>
      <c r="H12714" t="s">
        <v>30916</v>
      </c>
      <c r="I12714" t="s">
        <v>30922</v>
      </c>
      <c r="J12714" t="s">
        <v>32993</v>
      </c>
      <c r="K12714" t="s">
        <v>40286</v>
      </c>
      <c r="M12714" t="s">
        <v>41307</v>
      </c>
      <c r="N12714" t="s">
        <v>44759</v>
      </c>
      <c r="O12714" t="s">
        <v>44760</v>
      </c>
      <c r="Q12714">
        <v>2</v>
      </c>
      <c r="R12714" t="s">
        <v>44777</v>
      </c>
      <c r="S12714" t="s">
        <v>45535</v>
      </c>
      <c r="T12714" t="s">
        <v>46409</v>
      </c>
      <c r="U12714" t="s">
        <v>57380</v>
      </c>
      <c r="W12714" t="s">
        <v>41307</v>
      </c>
      <c r="X12714" t="s">
        <v>44780</v>
      </c>
    </row>
    <row r="12715" spans="1:24">
      <c r="A12715">
        <f>HYPERLINK("https://www.philgeps.gov.ph/GEPSNONPILOT/Tender/SplashBidNoticeAbstractUI.aspx?menuIndex=3&amp;refID=7116795&amp;Result=3","7116795")</f>
        <v>0</v>
      </c>
      <c r="B12715" t="s">
        <v>1997</v>
      </c>
      <c r="C12715" t="s">
        <v>15862</v>
      </c>
      <c r="D12715" t="s">
        <v>17953</v>
      </c>
      <c r="E12715" t="s">
        <v>29017</v>
      </c>
      <c r="F12715" t="s">
        <v>30900</v>
      </c>
      <c r="G12715" t="s">
        <v>30907</v>
      </c>
      <c r="H12715" t="s">
        <v>30916</v>
      </c>
      <c r="I12715" t="s">
        <v>9385</v>
      </c>
      <c r="J12715" t="s">
        <v>38973</v>
      </c>
      <c r="K12715" t="s">
        <v>40284</v>
      </c>
      <c r="M12715" t="s">
        <v>44467</v>
      </c>
      <c r="N12715" t="s">
        <v>44759</v>
      </c>
      <c r="O12715" t="s">
        <v>44760</v>
      </c>
      <c r="Q12715">
        <v>9</v>
      </c>
      <c r="R12715" t="s">
        <v>44777</v>
      </c>
      <c r="S12715" t="s">
        <v>45536</v>
      </c>
      <c r="T12715" t="s">
        <v>46399</v>
      </c>
      <c r="U12715" t="s">
        <v>57381</v>
      </c>
      <c r="V12715" t="s">
        <v>60557</v>
      </c>
      <c r="W12715" t="s">
        <v>44467</v>
      </c>
      <c r="X12715" t="s">
        <v>44780</v>
      </c>
    </row>
    <row r="12716" spans="1:24">
      <c r="A12716">
        <f>HYPERLINK("https://www.philgeps.gov.ph/GEPSNONPILOT/Tender/SplashBidNoticeAbstractUI.aspx?menuIndex=3&amp;refID=7116907&amp;Result=3","7116907")</f>
        <v>0</v>
      </c>
      <c r="B12716" t="s">
        <v>281</v>
      </c>
      <c r="C12716" t="s">
        <v>15863</v>
      </c>
      <c r="D12716" t="s">
        <v>18053</v>
      </c>
      <c r="E12716" t="s">
        <v>29018</v>
      </c>
      <c r="F12716" t="s">
        <v>30900</v>
      </c>
      <c r="G12716" t="s">
        <v>30907</v>
      </c>
      <c r="H12716" t="s">
        <v>30916</v>
      </c>
      <c r="I12716" t="s">
        <v>30936</v>
      </c>
      <c r="J12716" t="s">
        <v>35962</v>
      </c>
      <c r="K12716" t="s">
        <v>40292</v>
      </c>
      <c r="M12716" t="s">
        <v>43172</v>
      </c>
      <c r="N12716" t="s">
        <v>44759</v>
      </c>
      <c r="O12716" t="s">
        <v>44760</v>
      </c>
      <c r="P12716">
        <v>0</v>
      </c>
      <c r="Q12716">
        <v>3</v>
      </c>
      <c r="R12716" t="s">
        <v>44777</v>
      </c>
      <c r="S12716" t="s">
        <v>45524</v>
      </c>
      <c r="T12716" t="s">
        <v>46404</v>
      </c>
      <c r="U12716" t="s">
        <v>57382</v>
      </c>
      <c r="W12716" t="s">
        <v>43172</v>
      </c>
      <c r="X12716" t="s">
        <v>44780</v>
      </c>
    </row>
    <row r="12717" spans="1:24">
      <c r="A12717">
        <f>HYPERLINK("https://www.philgeps.gov.ph/GEPSNONPILOT/Tender/SplashBidNoticeAbstractUI.aspx?menuIndex=3&amp;refID=7116832&amp;Result=3","7116832")</f>
        <v>0</v>
      </c>
      <c r="B12717" t="s">
        <v>281</v>
      </c>
      <c r="C12717" t="s">
        <v>15864</v>
      </c>
      <c r="D12717" t="s">
        <v>18055</v>
      </c>
      <c r="E12717" t="s">
        <v>29019</v>
      </c>
      <c r="F12717" t="s">
        <v>30900</v>
      </c>
      <c r="G12717" t="s">
        <v>30907</v>
      </c>
      <c r="H12717" t="s">
        <v>30916</v>
      </c>
      <c r="I12717" t="s">
        <v>30947</v>
      </c>
      <c r="J12717" t="s">
        <v>38974</v>
      </c>
      <c r="K12717" t="s">
        <v>40286</v>
      </c>
      <c r="M12717" t="s">
        <v>43172</v>
      </c>
      <c r="N12717" t="s">
        <v>44759</v>
      </c>
      <c r="O12717" t="s">
        <v>44760</v>
      </c>
      <c r="Q12717">
        <v>4</v>
      </c>
      <c r="R12717" t="s">
        <v>44777</v>
      </c>
      <c r="S12717" t="s">
        <v>45537</v>
      </c>
      <c r="T12717" t="s">
        <v>46404</v>
      </c>
      <c r="U12717" t="s">
        <v>57383</v>
      </c>
      <c r="W12717" t="s">
        <v>43172</v>
      </c>
      <c r="X12717" t="s">
        <v>44780</v>
      </c>
    </row>
    <row r="12718" spans="1:24">
      <c r="A12718">
        <f>HYPERLINK("https://www.philgeps.gov.ph/GEPSNONPILOT/Tender/SplashBidNoticeAbstractUI.aspx?menuIndex=3&amp;refID=7116692&amp;Result=3","7116692")</f>
        <v>0</v>
      </c>
      <c r="B12718" t="s">
        <v>281</v>
      </c>
      <c r="C12718" t="s">
        <v>15865</v>
      </c>
      <c r="D12718" t="s">
        <v>17952</v>
      </c>
      <c r="E12718" t="s">
        <v>29020</v>
      </c>
      <c r="F12718" t="s">
        <v>30900</v>
      </c>
      <c r="G12718" t="s">
        <v>30907</v>
      </c>
      <c r="H12718" t="s">
        <v>30916</v>
      </c>
      <c r="I12718" t="s">
        <v>30936</v>
      </c>
      <c r="J12718" t="s">
        <v>38975</v>
      </c>
      <c r="K12718" t="s">
        <v>40292</v>
      </c>
      <c r="M12718" t="s">
        <v>43172</v>
      </c>
      <c r="N12718" t="s">
        <v>44759</v>
      </c>
      <c r="O12718" t="s">
        <v>44760</v>
      </c>
      <c r="Q12718">
        <v>3</v>
      </c>
      <c r="R12718" t="s">
        <v>44777</v>
      </c>
      <c r="S12718" t="s">
        <v>45538</v>
      </c>
      <c r="T12718" t="s">
        <v>46404</v>
      </c>
      <c r="U12718" t="s">
        <v>57384</v>
      </c>
      <c r="W12718" t="s">
        <v>43172</v>
      </c>
      <c r="X12718" t="s">
        <v>44780</v>
      </c>
    </row>
    <row r="12719" spans="1:24">
      <c r="A12719">
        <f>HYPERLINK("https://www.philgeps.gov.ph/GEPSNONPILOT/Tender/SplashBidNoticeAbstractUI.aspx?menuIndex=3&amp;refID=7116767&amp;Result=3","7116767")</f>
        <v>0</v>
      </c>
      <c r="B12719" t="s">
        <v>743</v>
      </c>
      <c r="C12719" t="s">
        <v>15866</v>
      </c>
      <c r="D12719" t="s">
        <v>18013</v>
      </c>
      <c r="E12719" t="s">
        <v>29021</v>
      </c>
      <c r="F12719" t="s">
        <v>30900</v>
      </c>
      <c r="G12719" t="s">
        <v>30907</v>
      </c>
      <c r="H12719" t="s">
        <v>30916</v>
      </c>
      <c r="I12719" t="s">
        <v>4050</v>
      </c>
      <c r="J12719" t="s">
        <v>38976</v>
      </c>
      <c r="K12719" t="s">
        <v>40292</v>
      </c>
      <c r="M12719" t="s">
        <v>41307</v>
      </c>
      <c r="N12719" t="s">
        <v>44759</v>
      </c>
      <c r="O12719" t="s">
        <v>44760</v>
      </c>
      <c r="Q12719">
        <v>3</v>
      </c>
      <c r="R12719" t="s">
        <v>44777</v>
      </c>
      <c r="S12719" t="s">
        <v>45539</v>
      </c>
      <c r="T12719" t="s">
        <v>46409</v>
      </c>
      <c r="U12719" t="s">
        <v>57385</v>
      </c>
      <c r="W12719" t="s">
        <v>41307</v>
      </c>
      <c r="X12719" t="s">
        <v>44780</v>
      </c>
    </row>
    <row r="12720" spans="1:24">
      <c r="A12720">
        <f>HYPERLINK("https://www.philgeps.gov.ph/GEPSNONPILOT/Tender/SplashBidNoticeAbstractUI.aspx?menuIndex=3&amp;refID=7117123&amp;Result=3","7117123")</f>
        <v>0</v>
      </c>
      <c r="B12720" t="s">
        <v>1641</v>
      </c>
      <c r="C12720" t="s">
        <v>15867</v>
      </c>
      <c r="D12720" t="s">
        <v>17981</v>
      </c>
      <c r="E12720" t="s">
        <v>29022</v>
      </c>
      <c r="F12720" t="s">
        <v>30900</v>
      </c>
      <c r="G12720" t="s">
        <v>30907</v>
      </c>
      <c r="H12720" t="s">
        <v>30916</v>
      </c>
      <c r="I12720" t="s">
        <v>31011</v>
      </c>
      <c r="J12720" t="s">
        <v>38977</v>
      </c>
      <c r="K12720" t="s">
        <v>40304</v>
      </c>
      <c r="M12720" t="s">
        <v>42297</v>
      </c>
      <c r="N12720" t="s">
        <v>44759</v>
      </c>
      <c r="O12720" t="s">
        <v>44760</v>
      </c>
      <c r="Q12720">
        <v>9</v>
      </c>
      <c r="R12720" t="s">
        <v>44777</v>
      </c>
      <c r="S12720" t="s">
        <v>45211</v>
      </c>
      <c r="T12720" t="s">
        <v>46701</v>
      </c>
      <c r="U12720" t="s">
        <v>57386</v>
      </c>
      <c r="W12720" t="s">
        <v>42297</v>
      </c>
      <c r="X12720" t="s">
        <v>44780</v>
      </c>
    </row>
    <row r="12721" spans="1:24">
      <c r="A12721">
        <f>HYPERLINK("https://www.philgeps.gov.ph/GEPSNONPILOT/Tender/SplashBidNoticeAbstractUI.aspx?menuIndex=3&amp;refID=7113969&amp;Result=3","7113969")</f>
        <v>0</v>
      </c>
      <c r="B12721" t="s">
        <v>3549</v>
      </c>
      <c r="C12721" t="s">
        <v>15868</v>
      </c>
      <c r="D12721" t="s">
        <v>18015</v>
      </c>
      <c r="E12721" t="s">
        <v>29023</v>
      </c>
      <c r="F12721" t="s">
        <v>30900</v>
      </c>
      <c r="G12721" t="s">
        <v>30913</v>
      </c>
      <c r="H12721" t="s">
        <v>30915</v>
      </c>
      <c r="I12721" t="s">
        <v>30919</v>
      </c>
      <c r="J12721" t="s">
        <v>31391</v>
      </c>
      <c r="K12721" t="s">
        <v>40292</v>
      </c>
      <c r="M12721" t="s">
        <v>44464</v>
      </c>
      <c r="N12721" t="s">
        <v>44759</v>
      </c>
      <c r="O12721" t="s">
        <v>44760</v>
      </c>
      <c r="P12721">
        <v>0</v>
      </c>
      <c r="Q12721">
        <v>0</v>
      </c>
      <c r="R12721" t="s">
        <v>44777</v>
      </c>
      <c r="S12721" t="s">
        <v>45524</v>
      </c>
      <c r="T12721" t="s">
        <v>46484</v>
      </c>
      <c r="U12721" t="s">
        <v>57387</v>
      </c>
      <c r="V12721" t="s">
        <v>60556</v>
      </c>
      <c r="W12721" t="s">
        <v>44464</v>
      </c>
      <c r="X12721" t="s">
        <v>44781</v>
      </c>
    </row>
    <row r="12722" spans="1:24">
      <c r="A12722">
        <f>HYPERLINK("https://www.philgeps.gov.ph/GEPSNONPILOT/Tender/SplashBidNoticeAbstractUI.aspx?menuIndex=3&amp;refID=7116189&amp;Result=3","7116189")</f>
        <v>0</v>
      </c>
      <c r="B12722" t="s">
        <v>3547</v>
      </c>
      <c r="C12722" t="s">
        <v>15869</v>
      </c>
      <c r="D12722" t="s">
        <v>18017</v>
      </c>
      <c r="E12722" t="s">
        <v>29024</v>
      </c>
      <c r="F12722" t="s">
        <v>30900</v>
      </c>
      <c r="G12722" t="s">
        <v>30907</v>
      </c>
      <c r="H12722" t="s">
        <v>30915</v>
      </c>
      <c r="I12722" t="s">
        <v>30919</v>
      </c>
      <c r="J12722" t="s">
        <v>38978</v>
      </c>
      <c r="K12722" t="s">
        <v>40280</v>
      </c>
      <c r="M12722" t="s">
        <v>44462</v>
      </c>
      <c r="N12722" t="s">
        <v>44759</v>
      </c>
      <c r="O12722" t="s">
        <v>44760</v>
      </c>
      <c r="P12722">
        <v>0</v>
      </c>
      <c r="Q12722">
        <v>2</v>
      </c>
      <c r="R12722" t="s">
        <v>44777</v>
      </c>
      <c r="S12722" t="s">
        <v>45524</v>
      </c>
      <c r="T12722" t="s">
        <v>46357</v>
      </c>
      <c r="U12722" t="s">
        <v>57388</v>
      </c>
      <c r="V12722" t="s">
        <v>60097</v>
      </c>
      <c r="W12722" t="s">
        <v>44462</v>
      </c>
      <c r="X12722" t="s">
        <v>44781</v>
      </c>
    </row>
    <row r="12723" spans="1:24">
      <c r="A12723">
        <f>HYPERLINK("https://www.philgeps.gov.ph/GEPSNONPILOT/Tender/SplashBidNoticeAbstractUI.aspx?menuIndex=3&amp;refID=7117503&amp;Result=3","7117503")</f>
        <v>0</v>
      </c>
      <c r="B12723" t="s">
        <v>317</v>
      </c>
      <c r="C12723" t="s">
        <v>15870</v>
      </c>
      <c r="D12723" t="s">
        <v>17952</v>
      </c>
      <c r="E12723" t="s">
        <v>29025</v>
      </c>
      <c r="F12723" t="s">
        <v>30900</v>
      </c>
      <c r="G12723" t="s">
        <v>30907</v>
      </c>
      <c r="H12723" t="s">
        <v>30916</v>
      </c>
      <c r="I12723" t="s">
        <v>30933</v>
      </c>
      <c r="J12723" t="s">
        <v>31297</v>
      </c>
      <c r="K12723" t="s">
        <v>40284</v>
      </c>
      <c r="M12723" t="s">
        <v>40868</v>
      </c>
      <c r="N12723" t="s">
        <v>44759</v>
      </c>
      <c r="O12723" t="s">
        <v>44760</v>
      </c>
      <c r="P12723">
        <v>0</v>
      </c>
      <c r="Q12723">
        <v>4</v>
      </c>
      <c r="R12723" t="s">
        <v>44777</v>
      </c>
      <c r="S12723" t="s">
        <v>45524</v>
      </c>
      <c r="T12723" t="s">
        <v>46390</v>
      </c>
      <c r="U12723" t="s">
        <v>50412</v>
      </c>
      <c r="W12723" t="s">
        <v>60824</v>
      </c>
      <c r="X12723" t="s">
        <v>44780</v>
      </c>
    </row>
    <row r="12724" spans="1:24">
      <c r="A12724">
        <f>HYPERLINK("https://www.philgeps.gov.ph/GEPSNONPILOT/Tender/SplashBidNoticeAbstractUI.aspx?menuIndex=3&amp;refID=7117497&amp;Result=3","7117497")</f>
        <v>0</v>
      </c>
      <c r="B12724" t="s">
        <v>3551</v>
      </c>
      <c r="C12724" t="s">
        <v>15871</v>
      </c>
      <c r="D12724" t="s">
        <v>18019</v>
      </c>
      <c r="E12724" t="s">
        <v>29026</v>
      </c>
      <c r="F12724" t="s">
        <v>30900</v>
      </c>
      <c r="G12724" t="s">
        <v>30907</v>
      </c>
      <c r="H12724" t="s">
        <v>30916</v>
      </c>
      <c r="I12724" t="s">
        <v>8123</v>
      </c>
      <c r="J12724" t="s">
        <v>38979</v>
      </c>
      <c r="K12724" t="s">
        <v>40286</v>
      </c>
      <c r="M12724" t="s">
        <v>44468</v>
      </c>
      <c r="N12724" t="s">
        <v>44759</v>
      </c>
      <c r="O12724" t="s">
        <v>44760</v>
      </c>
      <c r="P12724">
        <v>0</v>
      </c>
      <c r="Q12724">
        <v>1</v>
      </c>
      <c r="R12724" t="s">
        <v>44777</v>
      </c>
      <c r="S12724" t="s">
        <v>45524</v>
      </c>
      <c r="T12724" t="s">
        <v>46646</v>
      </c>
      <c r="U12724" t="s">
        <v>57389</v>
      </c>
      <c r="W12724" t="s">
        <v>44468</v>
      </c>
      <c r="X12724" t="s">
        <v>44780</v>
      </c>
    </row>
    <row r="12725" spans="1:24">
      <c r="A12725">
        <f>HYPERLINK("https://www.philgeps.gov.ph/GEPSNONPILOT/Tender/SplashBidNoticeAbstractUI.aspx?menuIndex=3&amp;refID=7123021&amp;Result=3","7123021")</f>
        <v>0</v>
      </c>
      <c r="B12725" t="s">
        <v>3540</v>
      </c>
      <c r="C12725" t="s">
        <v>15872</v>
      </c>
      <c r="E12725" t="s">
        <v>29027</v>
      </c>
      <c r="F12725" t="s">
        <v>30901</v>
      </c>
      <c r="G12725" t="s">
        <v>30907</v>
      </c>
      <c r="H12725" t="s">
        <v>30916</v>
      </c>
      <c r="I12725" t="s">
        <v>31008</v>
      </c>
      <c r="J12725" t="s">
        <v>38980</v>
      </c>
      <c r="K12725" t="s">
        <v>40289</v>
      </c>
      <c r="M12725" t="s">
        <v>44455</v>
      </c>
      <c r="N12725" t="s">
        <v>44759</v>
      </c>
      <c r="O12725" t="s">
        <v>44760</v>
      </c>
      <c r="Q12725">
        <v>14</v>
      </c>
      <c r="R12725" t="s">
        <v>44776</v>
      </c>
      <c r="S12725" t="s">
        <v>45540</v>
      </c>
      <c r="T12725" t="s">
        <v>46399</v>
      </c>
      <c r="U12725" t="s">
        <v>57330</v>
      </c>
      <c r="W12725" t="s">
        <v>44455</v>
      </c>
      <c r="X12725" t="s">
        <v>44777</v>
      </c>
    </row>
    <row r="12726" spans="1:24">
      <c r="A12726">
        <f>HYPERLINK("https://www.philgeps.gov.ph/GEPSNONPILOT/Tender/SplashBidNoticeAbstractUI.aspx?menuIndex=3&amp;refID=7117495&amp;Result=3","7117495")</f>
        <v>0</v>
      </c>
      <c r="B12726" t="s">
        <v>3461</v>
      </c>
      <c r="C12726" t="s">
        <v>15873</v>
      </c>
      <c r="D12726" t="s">
        <v>17993</v>
      </c>
      <c r="E12726" t="s">
        <v>28485</v>
      </c>
      <c r="F12726" t="s">
        <v>30900</v>
      </c>
      <c r="G12726" t="s">
        <v>30907</v>
      </c>
      <c r="H12726" t="s">
        <v>30915</v>
      </c>
      <c r="I12726" t="s">
        <v>30919</v>
      </c>
      <c r="J12726" t="s">
        <v>32324</v>
      </c>
      <c r="K12726" t="s">
        <v>40292</v>
      </c>
      <c r="M12726" t="s">
        <v>44350</v>
      </c>
      <c r="N12726" t="s">
        <v>44759</v>
      </c>
      <c r="O12726" t="s">
        <v>44760</v>
      </c>
      <c r="P12726">
        <v>0</v>
      </c>
      <c r="Q12726">
        <v>2</v>
      </c>
      <c r="R12726" t="s">
        <v>44777</v>
      </c>
      <c r="S12726" t="s">
        <v>45524</v>
      </c>
      <c r="T12726" t="s">
        <v>46915</v>
      </c>
      <c r="U12726" t="s">
        <v>56900</v>
      </c>
      <c r="W12726" t="s">
        <v>44350</v>
      </c>
      <c r="X12726" t="s">
        <v>44780</v>
      </c>
    </row>
    <row r="12727" spans="1:24">
      <c r="A12727">
        <f>HYPERLINK("https://www.philgeps.gov.ph/GEPSNONPILOT/Tender/SplashBidNoticeAbstractUI.aspx?menuIndex=3&amp;refID=7116798&amp;Result=3","7116798")</f>
        <v>0</v>
      </c>
      <c r="B12727" t="s">
        <v>2647</v>
      </c>
      <c r="C12727" t="s">
        <v>15874</v>
      </c>
      <c r="E12727" t="s">
        <v>29028</v>
      </c>
      <c r="F12727" t="s">
        <v>30900</v>
      </c>
      <c r="G12727" t="s">
        <v>30907</v>
      </c>
      <c r="H12727" t="s">
        <v>30915</v>
      </c>
      <c r="I12727" t="s">
        <v>30919</v>
      </c>
      <c r="J12727" t="s">
        <v>38981</v>
      </c>
      <c r="K12727" t="s">
        <v>40289</v>
      </c>
      <c r="M12727" t="s">
        <v>43413</v>
      </c>
      <c r="N12727" t="s">
        <v>44759</v>
      </c>
      <c r="O12727" t="s">
        <v>44760</v>
      </c>
      <c r="P12727">
        <v>0</v>
      </c>
      <c r="Q12727">
        <v>2</v>
      </c>
      <c r="R12727" t="s">
        <v>44777</v>
      </c>
      <c r="S12727" t="s">
        <v>45524</v>
      </c>
      <c r="T12727" t="s">
        <v>46409</v>
      </c>
      <c r="U12727" t="s">
        <v>57390</v>
      </c>
      <c r="V12727" t="s">
        <v>60558</v>
      </c>
      <c r="W12727" t="s">
        <v>43413</v>
      </c>
      <c r="X12727" t="s">
        <v>44780</v>
      </c>
    </row>
    <row r="12728" spans="1:24">
      <c r="A12728">
        <f>HYPERLINK("https://www.philgeps.gov.ph/GEPSNONPILOT/Tender/SplashBidNoticeAbstractUI.aspx?menuIndex=3&amp;refID=7117501&amp;Result=3","7117501")</f>
        <v>0</v>
      </c>
      <c r="B12728" t="s">
        <v>538</v>
      </c>
      <c r="C12728" t="s">
        <v>15875</v>
      </c>
      <c r="D12728" t="s">
        <v>18002</v>
      </c>
      <c r="E12728" t="s">
        <v>29029</v>
      </c>
      <c r="F12728" t="s">
        <v>30900</v>
      </c>
      <c r="G12728" t="s">
        <v>30907</v>
      </c>
      <c r="H12728" t="s">
        <v>30915</v>
      </c>
      <c r="I12728" t="s">
        <v>31022</v>
      </c>
      <c r="J12728" t="s">
        <v>31241</v>
      </c>
      <c r="K12728" t="s">
        <v>40280</v>
      </c>
      <c r="M12728" t="s">
        <v>41098</v>
      </c>
      <c r="N12728" t="s">
        <v>44759</v>
      </c>
      <c r="O12728" t="s">
        <v>44760</v>
      </c>
      <c r="P12728">
        <v>0</v>
      </c>
      <c r="Q12728">
        <v>4</v>
      </c>
      <c r="R12728" t="s">
        <v>44777</v>
      </c>
      <c r="S12728" t="s">
        <v>45524</v>
      </c>
      <c r="T12728" t="s">
        <v>46357</v>
      </c>
      <c r="U12728" t="s">
        <v>57391</v>
      </c>
      <c r="W12728" t="s">
        <v>41098</v>
      </c>
      <c r="X12728" t="s">
        <v>44780</v>
      </c>
    </row>
    <row r="12729" spans="1:24">
      <c r="A12729">
        <f>HYPERLINK("https://www.philgeps.gov.ph/GEPSNONPILOT/Tender/SplashBidNoticeAbstractUI.aspx?menuIndex=3&amp;refID=7117445&amp;Result=3","7117445")</f>
        <v>0</v>
      </c>
      <c r="B12729" t="s">
        <v>3551</v>
      </c>
      <c r="C12729" t="s">
        <v>15876</v>
      </c>
      <c r="D12729" t="s">
        <v>18019</v>
      </c>
      <c r="E12729" t="s">
        <v>21764</v>
      </c>
      <c r="F12729" t="s">
        <v>30900</v>
      </c>
      <c r="G12729" t="s">
        <v>30907</v>
      </c>
      <c r="H12729" t="s">
        <v>30916</v>
      </c>
      <c r="I12729" t="s">
        <v>4545</v>
      </c>
      <c r="J12729" t="s">
        <v>36049</v>
      </c>
      <c r="K12729" t="s">
        <v>40286</v>
      </c>
      <c r="M12729" t="s">
        <v>44468</v>
      </c>
      <c r="N12729" t="s">
        <v>44759</v>
      </c>
      <c r="O12729" t="s">
        <v>44760</v>
      </c>
      <c r="P12729">
        <v>0</v>
      </c>
      <c r="Q12729">
        <v>12</v>
      </c>
      <c r="R12729" t="s">
        <v>44777</v>
      </c>
      <c r="S12729" t="s">
        <v>45524</v>
      </c>
      <c r="T12729" t="s">
        <v>46646</v>
      </c>
      <c r="U12729" t="s">
        <v>57389</v>
      </c>
      <c r="W12729" t="s">
        <v>44468</v>
      </c>
      <c r="X12729" t="s">
        <v>44780</v>
      </c>
    </row>
    <row r="12730" spans="1:24">
      <c r="A12730">
        <f>HYPERLINK("https://www.philgeps.gov.ph/GEPSNONPILOT/Tender/SplashBidNoticeAbstractUI.aspx?menuIndex=3&amp;refID=7117398&amp;Result=3","7117398")</f>
        <v>0</v>
      </c>
      <c r="B12730" t="s">
        <v>400</v>
      </c>
      <c r="C12730" t="s">
        <v>15877</v>
      </c>
      <c r="D12730" t="s">
        <v>17971</v>
      </c>
      <c r="E12730" t="s">
        <v>29030</v>
      </c>
      <c r="F12730" t="s">
        <v>30900</v>
      </c>
      <c r="G12730" t="s">
        <v>30907</v>
      </c>
      <c r="H12730" t="s">
        <v>30916</v>
      </c>
      <c r="I12730" t="s">
        <v>4545</v>
      </c>
      <c r="J12730" t="s">
        <v>38982</v>
      </c>
      <c r="K12730" t="s">
        <v>40289</v>
      </c>
      <c r="M12730" t="s">
        <v>40955</v>
      </c>
      <c r="N12730" t="s">
        <v>44759</v>
      </c>
      <c r="O12730" t="s">
        <v>44760</v>
      </c>
      <c r="P12730">
        <v>0</v>
      </c>
      <c r="Q12730">
        <v>1</v>
      </c>
      <c r="R12730" t="s">
        <v>44777</v>
      </c>
      <c r="S12730" t="s">
        <v>45524</v>
      </c>
      <c r="T12730" t="s">
        <v>46421</v>
      </c>
      <c r="U12730" t="s">
        <v>57392</v>
      </c>
      <c r="W12730" t="s">
        <v>40955</v>
      </c>
      <c r="X12730" t="s">
        <v>44780</v>
      </c>
    </row>
    <row r="12731" spans="1:24">
      <c r="A12731">
        <f>HYPERLINK("https://www.philgeps.gov.ph/GEPSNONPILOT/Tender/SplashBidNoticeAbstractUI.aspx?menuIndex=3&amp;refID=7117396&amp;Result=3","7117396")</f>
        <v>0</v>
      </c>
      <c r="B12731" t="s">
        <v>3551</v>
      </c>
      <c r="C12731" t="s">
        <v>15878</v>
      </c>
      <c r="D12731" t="s">
        <v>18019</v>
      </c>
      <c r="E12731" t="s">
        <v>21769</v>
      </c>
      <c r="F12731" t="s">
        <v>30900</v>
      </c>
      <c r="G12731" t="s">
        <v>30907</v>
      </c>
      <c r="H12731" t="s">
        <v>30916</v>
      </c>
      <c r="I12731" t="s">
        <v>30933</v>
      </c>
      <c r="J12731" t="s">
        <v>33735</v>
      </c>
      <c r="K12731" t="s">
        <v>40286</v>
      </c>
      <c r="M12731" t="s">
        <v>44468</v>
      </c>
      <c r="N12731" t="s">
        <v>44759</v>
      </c>
      <c r="O12731" t="s">
        <v>44760</v>
      </c>
      <c r="P12731">
        <v>0</v>
      </c>
      <c r="Q12731">
        <v>9</v>
      </c>
      <c r="R12731" t="s">
        <v>44777</v>
      </c>
      <c r="S12731" t="s">
        <v>45524</v>
      </c>
      <c r="T12731" t="s">
        <v>46646</v>
      </c>
      <c r="U12731" t="s">
        <v>57389</v>
      </c>
      <c r="W12731" t="s">
        <v>44468</v>
      </c>
      <c r="X12731" t="s">
        <v>44780</v>
      </c>
    </row>
    <row r="12732" spans="1:24">
      <c r="A12732">
        <f>HYPERLINK("https://www.philgeps.gov.ph/GEPSNONPILOT/Tender/SplashBidNoticeAbstractUI.aspx?menuIndex=3&amp;refID=7117474&amp;Result=3","7117474")</f>
        <v>0</v>
      </c>
      <c r="B12732" t="s">
        <v>3551</v>
      </c>
      <c r="C12732" t="s">
        <v>15879</v>
      </c>
      <c r="D12732" t="s">
        <v>18019</v>
      </c>
      <c r="E12732" t="s">
        <v>29031</v>
      </c>
      <c r="F12732" t="s">
        <v>30900</v>
      </c>
      <c r="G12732" t="s">
        <v>30907</v>
      </c>
      <c r="H12732" t="s">
        <v>30915</v>
      </c>
      <c r="I12732" t="s">
        <v>30919</v>
      </c>
      <c r="J12732" t="s">
        <v>38983</v>
      </c>
      <c r="K12732" t="s">
        <v>40295</v>
      </c>
      <c r="M12732" t="s">
        <v>44468</v>
      </c>
      <c r="N12732" t="s">
        <v>44759</v>
      </c>
      <c r="O12732" t="s">
        <v>44760</v>
      </c>
      <c r="P12732">
        <v>0</v>
      </c>
      <c r="Q12732">
        <v>2</v>
      </c>
      <c r="R12732" t="s">
        <v>44777</v>
      </c>
      <c r="S12732" t="s">
        <v>45524</v>
      </c>
      <c r="T12732" t="s">
        <v>46646</v>
      </c>
      <c r="U12732" t="s">
        <v>57393</v>
      </c>
      <c r="W12732" t="s">
        <v>44468</v>
      </c>
      <c r="X12732" t="s">
        <v>44780</v>
      </c>
    </row>
    <row r="12733" spans="1:24">
      <c r="A12733">
        <f>HYPERLINK("https://www.philgeps.gov.ph/GEPSNONPILOT/Tender/SplashBidNoticeAbstractUI.aspx?menuIndex=3&amp;refID=7117464&amp;Result=3","7117464")</f>
        <v>0</v>
      </c>
      <c r="B12733" t="s">
        <v>3551</v>
      </c>
      <c r="C12733" t="s">
        <v>15880</v>
      </c>
      <c r="D12733" t="s">
        <v>18019</v>
      </c>
      <c r="E12733" t="s">
        <v>21781</v>
      </c>
      <c r="F12733" t="s">
        <v>30900</v>
      </c>
      <c r="G12733" t="s">
        <v>30907</v>
      </c>
      <c r="H12733" t="s">
        <v>30915</v>
      </c>
      <c r="I12733" t="s">
        <v>30919</v>
      </c>
      <c r="J12733" t="s">
        <v>38843</v>
      </c>
      <c r="K12733" t="s">
        <v>40493</v>
      </c>
      <c r="M12733" t="s">
        <v>44468</v>
      </c>
      <c r="N12733" t="s">
        <v>44759</v>
      </c>
      <c r="O12733" t="s">
        <v>44760</v>
      </c>
      <c r="P12733">
        <v>0</v>
      </c>
      <c r="Q12733">
        <v>2</v>
      </c>
      <c r="R12733" t="s">
        <v>44777</v>
      </c>
      <c r="S12733" t="s">
        <v>45524</v>
      </c>
      <c r="T12733" t="s">
        <v>46646</v>
      </c>
      <c r="U12733" t="s">
        <v>57393</v>
      </c>
      <c r="W12733" t="s">
        <v>44468</v>
      </c>
      <c r="X12733" t="s">
        <v>44780</v>
      </c>
    </row>
    <row r="12734" spans="1:24">
      <c r="A12734">
        <f>HYPERLINK("https://www.philgeps.gov.ph/GEPSNONPILOT/Tender/SplashBidNoticeAbstractUI.aspx?menuIndex=3&amp;refID=7117232&amp;Result=3","7117232")</f>
        <v>0</v>
      </c>
      <c r="B12734" t="s">
        <v>1634</v>
      </c>
      <c r="C12734" t="s">
        <v>15881</v>
      </c>
      <c r="D12734" t="s">
        <v>17982</v>
      </c>
      <c r="E12734" t="s">
        <v>29032</v>
      </c>
      <c r="F12734" t="s">
        <v>30900</v>
      </c>
      <c r="G12734" t="s">
        <v>30907</v>
      </c>
      <c r="H12734" t="s">
        <v>30916</v>
      </c>
      <c r="I12734" t="s">
        <v>30939</v>
      </c>
      <c r="J12734" t="s">
        <v>34203</v>
      </c>
      <c r="K12734" t="s">
        <v>40304</v>
      </c>
      <c r="M12734" t="s">
        <v>42288</v>
      </c>
      <c r="N12734" t="s">
        <v>44759</v>
      </c>
      <c r="O12734" t="s">
        <v>44760</v>
      </c>
      <c r="P12734">
        <v>0</v>
      </c>
      <c r="Q12734">
        <v>0</v>
      </c>
      <c r="R12734" t="s">
        <v>44777</v>
      </c>
      <c r="S12734" t="s">
        <v>45524</v>
      </c>
      <c r="T12734" t="s">
        <v>46545</v>
      </c>
      <c r="U12734" t="s">
        <v>57394</v>
      </c>
      <c r="W12734" t="s">
        <v>42288</v>
      </c>
      <c r="X12734" t="s">
        <v>44780</v>
      </c>
    </row>
    <row r="12735" spans="1:24">
      <c r="A12735">
        <f>HYPERLINK("https://www.philgeps.gov.ph/GEPSNONPILOT/Tender/SplashBidNoticeAbstractUI.aspx?menuIndex=3&amp;refID=7117410&amp;Result=3","7117410")</f>
        <v>0</v>
      </c>
      <c r="B12735" t="s">
        <v>3548</v>
      </c>
      <c r="C12735" t="s">
        <v>15882</v>
      </c>
      <c r="D12735" t="s">
        <v>17952</v>
      </c>
      <c r="E12735" t="s">
        <v>22996</v>
      </c>
      <c r="F12735" t="s">
        <v>30900</v>
      </c>
      <c r="G12735" t="s">
        <v>30907</v>
      </c>
      <c r="H12735" t="s">
        <v>30916</v>
      </c>
      <c r="I12735" t="s">
        <v>5501</v>
      </c>
      <c r="J12735" t="s">
        <v>31101</v>
      </c>
      <c r="K12735" t="s">
        <v>40286</v>
      </c>
      <c r="M12735" t="s">
        <v>44463</v>
      </c>
      <c r="N12735" t="s">
        <v>44759</v>
      </c>
      <c r="O12735" t="s">
        <v>44760</v>
      </c>
      <c r="P12735">
        <v>0</v>
      </c>
      <c r="Q12735">
        <v>4</v>
      </c>
      <c r="R12735" t="s">
        <v>44777</v>
      </c>
      <c r="S12735" t="s">
        <v>45524</v>
      </c>
      <c r="T12735" t="s">
        <v>46390</v>
      </c>
      <c r="U12735" t="s">
        <v>57395</v>
      </c>
      <c r="W12735" t="s">
        <v>44463</v>
      </c>
      <c r="X12735" t="s">
        <v>44780</v>
      </c>
    </row>
    <row r="12736" spans="1:24">
      <c r="A12736">
        <f>HYPERLINK("https://www.philgeps.gov.ph/GEPSNONPILOT/Tender/SplashBidNoticeAbstractUI.aspx?menuIndex=3&amp;refID=7116757&amp;Result=3","7116757")</f>
        <v>0</v>
      </c>
      <c r="B12736" t="s">
        <v>281</v>
      </c>
      <c r="C12736" t="s">
        <v>15883</v>
      </c>
      <c r="D12736" t="s">
        <v>18053</v>
      </c>
      <c r="E12736" t="s">
        <v>29033</v>
      </c>
      <c r="F12736" t="s">
        <v>30900</v>
      </c>
      <c r="G12736" t="s">
        <v>30907</v>
      </c>
      <c r="H12736" t="s">
        <v>30916</v>
      </c>
      <c r="I12736" t="s">
        <v>30936</v>
      </c>
      <c r="J12736" t="s">
        <v>32324</v>
      </c>
      <c r="K12736" t="s">
        <v>40292</v>
      </c>
      <c r="M12736" t="s">
        <v>43172</v>
      </c>
      <c r="N12736" t="s">
        <v>44759</v>
      </c>
      <c r="O12736" t="s">
        <v>44760</v>
      </c>
      <c r="P12736">
        <v>0</v>
      </c>
      <c r="Q12736">
        <v>3</v>
      </c>
      <c r="R12736" t="s">
        <v>44777</v>
      </c>
      <c r="S12736" t="s">
        <v>45524</v>
      </c>
      <c r="T12736" t="s">
        <v>46404</v>
      </c>
      <c r="U12736" t="s">
        <v>57396</v>
      </c>
      <c r="W12736" t="s">
        <v>43172</v>
      </c>
      <c r="X12736" t="s">
        <v>44780</v>
      </c>
    </row>
    <row r="12737" spans="1:24">
      <c r="A12737">
        <f>HYPERLINK("https://www.philgeps.gov.ph/GEPSNONPILOT/Tender/SplashBidNoticeAbstractUI.aspx?menuIndex=3&amp;refID=7117421&amp;Result=3","7117421")</f>
        <v>0</v>
      </c>
      <c r="B12737" t="s">
        <v>331</v>
      </c>
      <c r="C12737" t="s">
        <v>15884</v>
      </c>
      <c r="D12737" t="s">
        <v>18004</v>
      </c>
      <c r="E12737" t="s">
        <v>29034</v>
      </c>
      <c r="F12737" t="s">
        <v>30900</v>
      </c>
      <c r="G12737" t="s">
        <v>30907</v>
      </c>
      <c r="H12737" t="s">
        <v>30916</v>
      </c>
      <c r="I12737" t="s">
        <v>30922</v>
      </c>
      <c r="J12737" t="s">
        <v>31288</v>
      </c>
      <c r="K12737" t="s">
        <v>40292</v>
      </c>
      <c r="M12737" t="s">
        <v>40882</v>
      </c>
      <c r="N12737" t="s">
        <v>44759</v>
      </c>
      <c r="O12737" t="s">
        <v>44760</v>
      </c>
      <c r="P12737">
        <v>0</v>
      </c>
      <c r="Q12737">
        <v>1</v>
      </c>
      <c r="R12737" t="s">
        <v>44777</v>
      </c>
      <c r="S12737" t="s">
        <v>45524</v>
      </c>
      <c r="T12737" t="s">
        <v>46625</v>
      </c>
      <c r="U12737" t="s">
        <v>57397</v>
      </c>
      <c r="W12737" t="s">
        <v>40882</v>
      </c>
      <c r="X12737" t="s">
        <v>44780</v>
      </c>
    </row>
    <row r="12738" spans="1:24">
      <c r="A12738">
        <f>HYPERLINK("https://www.philgeps.gov.ph/GEPSNONPILOT/Tender/SplashBidNoticeAbstractUI.aspx?menuIndex=3&amp;refID=7117361&amp;Result=3","7117361")</f>
        <v>0</v>
      </c>
      <c r="B12738" t="s">
        <v>3552</v>
      </c>
      <c r="C12738" t="s">
        <v>15885</v>
      </c>
      <c r="D12738" t="s">
        <v>17961</v>
      </c>
      <c r="E12738" t="s">
        <v>18094</v>
      </c>
      <c r="F12738" t="s">
        <v>30900</v>
      </c>
      <c r="G12738" t="s">
        <v>30907</v>
      </c>
      <c r="H12738" t="s">
        <v>30916</v>
      </c>
      <c r="I12738" t="s">
        <v>30933</v>
      </c>
      <c r="J12738" t="s">
        <v>33529</v>
      </c>
      <c r="K12738" t="s">
        <v>40286</v>
      </c>
      <c r="M12738" t="s">
        <v>44469</v>
      </c>
      <c r="N12738" t="s">
        <v>44759</v>
      </c>
      <c r="O12738" t="s">
        <v>44760</v>
      </c>
      <c r="P12738">
        <v>0</v>
      </c>
      <c r="Q12738">
        <v>2</v>
      </c>
      <c r="R12738" t="s">
        <v>44777</v>
      </c>
      <c r="S12738" t="s">
        <v>45524</v>
      </c>
      <c r="T12738" t="s">
        <v>46398</v>
      </c>
      <c r="U12738" t="s">
        <v>57398</v>
      </c>
      <c r="W12738" t="s">
        <v>44469</v>
      </c>
      <c r="X12738" t="s">
        <v>44780</v>
      </c>
    </row>
    <row r="12739" spans="1:24">
      <c r="A12739">
        <f>HYPERLINK("https://www.philgeps.gov.ph/GEPSNONPILOT/Tender/SplashBidNoticeAbstractUI.aspx?menuIndex=3&amp;refID=7117263&amp;Result=3","7117263")</f>
        <v>0</v>
      </c>
      <c r="B12739" t="s">
        <v>1997</v>
      </c>
      <c r="C12739" t="s">
        <v>15886</v>
      </c>
      <c r="D12739" t="s">
        <v>17953</v>
      </c>
      <c r="E12739" t="s">
        <v>29035</v>
      </c>
      <c r="F12739" t="s">
        <v>30900</v>
      </c>
      <c r="G12739" t="s">
        <v>30907</v>
      </c>
      <c r="H12739" t="s">
        <v>30917</v>
      </c>
      <c r="I12739" t="s">
        <v>30942</v>
      </c>
      <c r="J12739" t="s">
        <v>36723</v>
      </c>
      <c r="K12739" t="s">
        <v>40332</v>
      </c>
      <c r="M12739" t="s">
        <v>44467</v>
      </c>
      <c r="N12739" t="s">
        <v>44759</v>
      </c>
      <c r="O12739" t="s">
        <v>44760</v>
      </c>
      <c r="Q12739">
        <v>0</v>
      </c>
      <c r="R12739" t="s">
        <v>44777</v>
      </c>
      <c r="S12739" t="s">
        <v>45541</v>
      </c>
      <c r="T12739" t="s">
        <v>46399</v>
      </c>
      <c r="U12739" t="s">
        <v>57399</v>
      </c>
      <c r="V12739" t="s">
        <v>60557</v>
      </c>
      <c r="W12739" t="s">
        <v>44467</v>
      </c>
      <c r="X12739" t="s">
        <v>44780</v>
      </c>
    </row>
    <row r="12740" spans="1:24">
      <c r="A12740">
        <f>HYPERLINK("https://www.philgeps.gov.ph/GEPSNONPILOT/Tender/SplashBidNoticeAbstractUI.aspx?menuIndex=3&amp;refID=7117974&amp;Result=3","7117974")</f>
        <v>0</v>
      </c>
      <c r="B12740" t="s">
        <v>3553</v>
      </c>
      <c r="C12740" t="s">
        <v>15887</v>
      </c>
      <c r="D12740" t="s">
        <v>17985</v>
      </c>
      <c r="E12740" t="s">
        <v>29036</v>
      </c>
      <c r="F12740" t="s">
        <v>30900</v>
      </c>
      <c r="G12740" t="s">
        <v>30907</v>
      </c>
      <c r="H12740" t="s">
        <v>30916</v>
      </c>
      <c r="I12740" t="s">
        <v>30933</v>
      </c>
      <c r="J12740" t="s">
        <v>31096</v>
      </c>
      <c r="K12740" t="s">
        <v>40293</v>
      </c>
      <c r="L12740" t="s">
        <v>3553</v>
      </c>
      <c r="M12740" t="s">
        <v>44470</v>
      </c>
      <c r="N12740" t="s">
        <v>44759</v>
      </c>
      <c r="O12740" t="s">
        <v>44760</v>
      </c>
      <c r="P12740">
        <v>0</v>
      </c>
      <c r="Q12740">
        <v>0</v>
      </c>
      <c r="R12740" t="s">
        <v>44777</v>
      </c>
      <c r="S12740" t="s">
        <v>45524</v>
      </c>
      <c r="T12740" t="s">
        <v>46544</v>
      </c>
      <c r="U12740" t="s">
        <v>57400</v>
      </c>
      <c r="W12740" t="s">
        <v>44470</v>
      </c>
      <c r="X12740" t="s">
        <v>44780</v>
      </c>
    </row>
    <row r="12741" spans="1:24">
      <c r="A12741">
        <f>HYPERLINK("https://www.philgeps.gov.ph/GEPSNONPILOT/Tender/SplashBidNoticeAbstractUI.aspx?menuIndex=3&amp;refID=7117908&amp;Result=3","7117908")</f>
        <v>0</v>
      </c>
      <c r="B12741" t="s">
        <v>382</v>
      </c>
      <c r="C12741" t="s">
        <v>15888</v>
      </c>
      <c r="E12741" t="s">
        <v>29037</v>
      </c>
      <c r="F12741" t="s">
        <v>30900</v>
      </c>
      <c r="G12741" t="s">
        <v>30907</v>
      </c>
      <c r="H12741" t="s">
        <v>30915</v>
      </c>
      <c r="I12741" t="s">
        <v>30919</v>
      </c>
      <c r="J12741" t="s">
        <v>38984</v>
      </c>
      <c r="K12741" t="s">
        <v>40341</v>
      </c>
      <c r="M12741" t="s">
        <v>43552</v>
      </c>
      <c r="N12741" t="s">
        <v>44759</v>
      </c>
      <c r="O12741" t="s">
        <v>44760</v>
      </c>
      <c r="Q12741">
        <v>0</v>
      </c>
      <c r="R12741" t="s">
        <v>44777</v>
      </c>
      <c r="S12741" t="s">
        <v>45542</v>
      </c>
      <c r="T12741" t="s">
        <v>46531</v>
      </c>
      <c r="U12741" t="s">
        <v>50345</v>
      </c>
      <c r="W12741" t="s">
        <v>43552</v>
      </c>
      <c r="X12741" t="s">
        <v>44780</v>
      </c>
    </row>
    <row r="12742" spans="1:24">
      <c r="A12742">
        <f>HYPERLINK("https://www.philgeps.gov.ph/GEPSNONPILOT/Tender/SplashBidNoticeAbstractUI.aspx?menuIndex=3&amp;refID=7117222&amp;Result=3","7117222")</f>
        <v>0</v>
      </c>
      <c r="B12742" t="s">
        <v>1997</v>
      </c>
      <c r="C12742" t="s">
        <v>15889</v>
      </c>
      <c r="D12742" t="s">
        <v>17953</v>
      </c>
      <c r="E12742" t="s">
        <v>29038</v>
      </c>
      <c r="F12742" t="s">
        <v>30900</v>
      </c>
      <c r="G12742" t="s">
        <v>30907</v>
      </c>
      <c r="H12742" t="s">
        <v>30917</v>
      </c>
      <c r="I12742" t="s">
        <v>31006</v>
      </c>
      <c r="J12742" t="s">
        <v>31158</v>
      </c>
      <c r="K12742" t="s">
        <v>40332</v>
      </c>
      <c r="M12742" t="s">
        <v>44467</v>
      </c>
      <c r="N12742" t="s">
        <v>44759</v>
      </c>
      <c r="O12742" t="s">
        <v>44760</v>
      </c>
      <c r="Q12742">
        <v>3</v>
      </c>
      <c r="R12742" t="s">
        <v>44777</v>
      </c>
      <c r="S12742" t="s">
        <v>45543</v>
      </c>
      <c r="T12742" t="s">
        <v>46399</v>
      </c>
      <c r="U12742" t="s">
        <v>57401</v>
      </c>
      <c r="V12742" t="s">
        <v>60557</v>
      </c>
      <c r="W12742" t="s">
        <v>44467</v>
      </c>
      <c r="X12742" t="s">
        <v>44780</v>
      </c>
    </row>
    <row r="12743" spans="1:24">
      <c r="A12743">
        <f>HYPERLINK("https://www.philgeps.gov.ph/GEPSNONPILOT/Tender/SplashBidNoticeAbstractUI.aspx?menuIndex=3&amp;refID=7117868&amp;Result=3","7117868")</f>
        <v>0</v>
      </c>
      <c r="B12743" t="s">
        <v>2966</v>
      </c>
      <c r="C12743" t="s">
        <v>15890</v>
      </c>
      <c r="D12743" t="s">
        <v>17994</v>
      </c>
      <c r="E12743" t="s">
        <v>29039</v>
      </c>
      <c r="F12743" t="s">
        <v>30900</v>
      </c>
      <c r="G12743" t="s">
        <v>30907</v>
      </c>
      <c r="H12743" t="s">
        <v>30916</v>
      </c>
      <c r="I12743" t="s">
        <v>4545</v>
      </c>
      <c r="J12743" t="s">
        <v>38985</v>
      </c>
      <c r="K12743" t="s">
        <v>40286</v>
      </c>
      <c r="L12743" t="s">
        <v>2966</v>
      </c>
      <c r="M12743" t="s">
        <v>43767</v>
      </c>
      <c r="N12743" t="s">
        <v>44759</v>
      </c>
      <c r="O12743" t="s">
        <v>44760</v>
      </c>
      <c r="P12743">
        <v>0</v>
      </c>
      <c r="Q12743">
        <v>6</v>
      </c>
      <c r="R12743" t="s">
        <v>44777</v>
      </c>
      <c r="S12743" t="s">
        <v>45524</v>
      </c>
      <c r="T12743" t="s">
        <v>46483</v>
      </c>
      <c r="U12743" t="s">
        <v>57402</v>
      </c>
      <c r="W12743" t="s">
        <v>43767</v>
      </c>
      <c r="X12743" t="s">
        <v>44780</v>
      </c>
    </row>
    <row r="12744" spans="1:24">
      <c r="A12744">
        <f>HYPERLINK("https://www.philgeps.gov.ph/GEPSNONPILOT/Tender/SplashBidNoticeAbstractUI.aspx?menuIndex=3&amp;refID=7117168&amp;Result=3","7117168")</f>
        <v>0</v>
      </c>
      <c r="B12744" t="s">
        <v>743</v>
      </c>
      <c r="C12744" t="s">
        <v>15891</v>
      </c>
      <c r="D12744" t="s">
        <v>18013</v>
      </c>
      <c r="E12744" t="s">
        <v>29040</v>
      </c>
      <c r="F12744" t="s">
        <v>30900</v>
      </c>
      <c r="G12744" t="s">
        <v>30907</v>
      </c>
      <c r="H12744" t="s">
        <v>30916</v>
      </c>
      <c r="I12744" t="s">
        <v>30922</v>
      </c>
      <c r="J12744" t="s">
        <v>38986</v>
      </c>
      <c r="K12744" t="s">
        <v>40286</v>
      </c>
      <c r="M12744" t="s">
        <v>41307</v>
      </c>
      <c r="N12744" t="s">
        <v>44759</v>
      </c>
      <c r="O12744" t="s">
        <v>44760</v>
      </c>
      <c r="Q12744">
        <v>1</v>
      </c>
      <c r="R12744" t="s">
        <v>44777</v>
      </c>
      <c r="S12744" t="s">
        <v>45544</v>
      </c>
      <c r="T12744" t="s">
        <v>46409</v>
      </c>
      <c r="U12744" t="s">
        <v>57403</v>
      </c>
      <c r="W12744" t="s">
        <v>41307</v>
      </c>
      <c r="X12744" t="s">
        <v>44780</v>
      </c>
    </row>
    <row r="12745" spans="1:24">
      <c r="A12745">
        <f>HYPERLINK("https://www.philgeps.gov.ph/GEPSNONPILOT/Tender/SplashBidNoticeAbstractUI.aspx?menuIndex=3&amp;refID=7117862&amp;Result=3","7117862")</f>
        <v>0</v>
      </c>
      <c r="B12745" t="s">
        <v>3309</v>
      </c>
      <c r="C12745" t="s">
        <v>15892</v>
      </c>
      <c r="D12745" t="s">
        <v>17953</v>
      </c>
      <c r="E12745" t="s">
        <v>29041</v>
      </c>
      <c r="F12745" t="s">
        <v>30900</v>
      </c>
      <c r="G12745" t="s">
        <v>30907</v>
      </c>
      <c r="H12745" t="s">
        <v>30915</v>
      </c>
      <c r="I12745" t="s">
        <v>30919</v>
      </c>
      <c r="J12745" t="s">
        <v>38987</v>
      </c>
      <c r="K12745" t="s">
        <v>40446</v>
      </c>
      <c r="M12745" t="s">
        <v>44164</v>
      </c>
      <c r="N12745" t="s">
        <v>44759</v>
      </c>
      <c r="O12745" t="s">
        <v>44760</v>
      </c>
      <c r="Q12745">
        <v>10</v>
      </c>
      <c r="R12745" t="s">
        <v>44777</v>
      </c>
      <c r="S12745" t="s">
        <v>45265</v>
      </c>
      <c r="T12745" t="s">
        <v>46409</v>
      </c>
      <c r="U12745" t="s">
        <v>57404</v>
      </c>
      <c r="W12745" t="s">
        <v>44164</v>
      </c>
      <c r="X12745" t="s">
        <v>44780</v>
      </c>
    </row>
    <row r="12746" spans="1:24">
      <c r="A12746">
        <f>HYPERLINK("https://www.philgeps.gov.ph/GEPSNONPILOT/Tender/SplashBidNoticeAbstractUI.aspx?menuIndex=3&amp;refID=7117840&amp;Result=3","7117840")</f>
        <v>0</v>
      </c>
      <c r="B12746" t="s">
        <v>1193</v>
      </c>
      <c r="C12746" t="s">
        <v>15893</v>
      </c>
      <c r="D12746" t="s">
        <v>17954</v>
      </c>
      <c r="E12746" t="s">
        <v>29042</v>
      </c>
      <c r="F12746" t="s">
        <v>30900</v>
      </c>
      <c r="G12746" t="s">
        <v>30907</v>
      </c>
      <c r="H12746" t="s">
        <v>30916</v>
      </c>
      <c r="I12746" t="s">
        <v>30933</v>
      </c>
      <c r="J12746" t="s">
        <v>38988</v>
      </c>
      <c r="K12746" t="s">
        <v>40283</v>
      </c>
      <c r="M12746" t="s">
        <v>41804</v>
      </c>
      <c r="N12746" t="s">
        <v>44759</v>
      </c>
      <c r="O12746" t="s">
        <v>44760</v>
      </c>
      <c r="P12746">
        <v>0</v>
      </c>
      <c r="Q12746">
        <v>6</v>
      </c>
      <c r="R12746" t="s">
        <v>44777</v>
      </c>
      <c r="S12746" t="s">
        <v>45524</v>
      </c>
      <c r="T12746" t="s">
        <v>46399</v>
      </c>
      <c r="U12746" t="s">
        <v>57405</v>
      </c>
      <c r="W12746" t="s">
        <v>41804</v>
      </c>
      <c r="X12746" t="s">
        <v>44780</v>
      </c>
    </row>
    <row r="12747" spans="1:24">
      <c r="A12747">
        <f>HYPERLINK("https://www.philgeps.gov.ph/GEPSNONPILOT/Tender/SplashBidNoticeAbstractUI.aspx?menuIndex=3&amp;refID=7116745&amp;Result=3","7116745")</f>
        <v>0</v>
      </c>
      <c r="B12747" t="s">
        <v>2647</v>
      </c>
      <c r="C12747" t="s">
        <v>15894</v>
      </c>
      <c r="E12747" t="s">
        <v>29043</v>
      </c>
      <c r="F12747" t="s">
        <v>30900</v>
      </c>
      <c r="G12747" t="s">
        <v>30907</v>
      </c>
      <c r="H12747" t="s">
        <v>30915</v>
      </c>
      <c r="I12747" t="s">
        <v>30919</v>
      </c>
      <c r="J12747" t="s">
        <v>38989</v>
      </c>
      <c r="K12747" t="s">
        <v>40289</v>
      </c>
      <c r="M12747" t="s">
        <v>43413</v>
      </c>
      <c r="N12747" t="s">
        <v>44759</v>
      </c>
      <c r="O12747" t="s">
        <v>44760</v>
      </c>
      <c r="P12747">
        <v>0</v>
      </c>
      <c r="Q12747">
        <v>3</v>
      </c>
      <c r="R12747" t="s">
        <v>44777</v>
      </c>
      <c r="S12747" t="s">
        <v>45524</v>
      </c>
      <c r="T12747" t="s">
        <v>46409</v>
      </c>
      <c r="U12747" t="s">
        <v>57406</v>
      </c>
      <c r="V12747" t="s">
        <v>60559</v>
      </c>
      <c r="W12747" t="s">
        <v>43413</v>
      </c>
      <c r="X12747" t="s">
        <v>44780</v>
      </c>
    </row>
    <row r="12748" spans="1:24">
      <c r="A12748">
        <f>HYPERLINK("https://www.philgeps.gov.ph/GEPSNONPILOT/Tender/SplashBidNoticeAbstractUI.aspx?menuIndex=3&amp;refID=7117897&amp;Result=3","7117897")</f>
        <v>0</v>
      </c>
      <c r="B12748" t="s">
        <v>1997</v>
      </c>
      <c r="C12748" t="s">
        <v>15895</v>
      </c>
      <c r="D12748" t="s">
        <v>17953</v>
      </c>
      <c r="E12748" t="s">
        <v>29044</v>
      </c>
      <c r="F12748" t="s">
        <v>30900</v>
      </c>
      <c r="G12748" t="s">
        <v>30907</v>
      </c>
      <c r="H12748" t="s">
        <v>30916</v>
      </c>
      <c r="I12748" t="s">
        <v>30918</v>
      </c>
      <c r="J12748" t="s">
        <v>38990</v>
      </c>
      <c r="K12748" t="s">
        <v>40304</v>
      </c>
      <c r="M12748" t="s">
        <v>44467</v>
      </c>
      <c r="N12748" t="s">
        <v>44759</v>
      </c>
      <c r="O12748" t="s">
        <v>44760</v>
      </c>
      <c r="Q12748">
        <v>26</v>
      </c>
      <c r="R12748" t="s">
        <v>44777</v>
      </c>
      <c r="S12748" t="s">
        <v>45545</v>
      </c>
      <c r="T12748" t="s">
        <v>46399</v>
      </c>
      <c r="U12748" t="s">
        <v>57407</v>
      </c>
      <c r="V12748" t="s">
        <v>60557</v>
      </c>
      <c r="W12748" t="s">
        <v>44467</v>
      </c>
      <c r="X12748" t="s">
        <v>44780</v>
      </c>
    </row>
    <row r="12749" spans="1:24">
      <c r="A12749">
        <f>HYPERLINK("https://www.philgeps.gov.ph/GEPSNONPILOT/Tender/SplashBidNoticeAbstractUI.aspx?menuIndex=3&amp;refID=7117859&amp;Result=3","7117859")</f>
        <v>0</v>
      </c>
      <c r="B12749" t="s">
        <v>1634</v>
      </c>
      <c r="C12749" t="s">
        <v>15896</v>
      </c>
      <c r="D12749" t="s">
        <v>17982</v>
      </c>
      <c r="E12749" t="s">
        <v>29045</v>
      </c>
      <c r="F12749" t="s">
        <v>30900</v>
      </c>
      <c r="G12749" t="s">
        <v>30907</v>
      </c>
      <c r="H12749" t="s">
        <v>30916</v>
      </c>
      <c r="I12749" t="s">
        <v>30933</v>
      </c>
      <c r="J12749" t="s">
        <v>31635</v>
      </c>
      <c r="K12749" t="s">
        <v>40286</v>
      </c>
      <c r="M12749" t="s">
        <v>42288</v>
      </c>
      <c r="N12749" t="s">
        <v>44759</v>
      </c>
      <c r="O12749" t="s">
        <v>44760</v>
      </c>
      <c r="P12749">
        <v>0</v>
      </c>
      <c r="Q12749">
        <v>0</v>
      </c>
      <c r="R12749" t="s">
        <v>44777</v>
      </c>
      <c r="S12749" t="s">
        <v>45524</v>
      </c>
      <c r="T12749" t="s">
        <v>46545</v>
      </c>
      <c r="U12749" t="s">
        <v>57408</v>
      </c>
      <c r="W12749" t="s">
        <v>42288</v>
      </c>
      <c r="X12749" t="s">
        <v>44780</v>
      </c>
    </row>
    <row r="12750" spans="1:24">
      <c r="A12750">
        <f>HYPERLINK("https://www.philgeps.gov.ph/GEPSNONPILOT/Tender/SplashBidNoticeAbstractUI.aspx?menuIndex=3&amp;refID=7117886&amp;Result=3","7117886")</f>
        <v>0</v>
      </c>
      <c r="B12750" t="s">
        <v>382</v>
      </c>
      <c r="C12750" t="s">
        <v>15897</v>
      </c>
      <c r="E12750" t="s">
        <v>29046</v>
      </c>
      <c r="F12750" t="s">
        <v>30900</v>
      </c>
      <c r="G12750" t="s">
        <v>30907</v>
      </c>
      <c r="H12750" t="s">
        <v>30915</v>
      </c>
      <c r="I12750" t="s">
        <v>30919</v>
      </c>
      <c r="J12750" t="s">
        <v>32276</v>
      </c>
      <c r="K12750" t="s">
        <v>40301</v>
      </c>
      <c r="M12750" t="s">
        <v>43552</v>
      </c>
      <c r="N12750" t="s">
        <v>44759</v>
      </c>
      <c r="O12750" t="s">
        <v>44760</v>
      </c>
      <c r="P12750">
        <v>0</v>
      </c>
      <c r="Q12750">
        <v>1</v>
      </c>
      <c r="R12750" t="s">
        <v>44777</v>
      </c>
      <c r="S12750" t="s">
        <v>45524</v>
      </c>
      <c r="T12750" t="s">
        <v>46531</v>
      </c>
      <c r="U12750" t="s">
        <v>50345</v>
      </c>
      <c r="W12750" t="s">
        <v>43552</v>
      </c>
      <c r="X12750" t="s">
        <v>44780</v>
      </c>
    </row>
    <row r="12751" spans="1:24">
      <c r="A12751">
        <f>HYPERLINK("https://www.philgeps.gov.ph/GEPSNONPILOT/Tender/SplashBidNoticeAbstractUI.aspx?menuIndex=3&amp;refID=7117843&amp;Result=3","7117843")</f>
        <v>0</v>
      </c>
      <c r="B12751" t="s">
        <v>1997</v>
      </c>
      <c r="C12751" t="s">
        <v>15898</v>
      </c>
      <c r="D12751" t="s">
        <v>17953</v>
      </c>
      <c r="E12751" t="s">
        <v>29047</v>
      </c>
      <c r="F12751" t="s">
        <v>30900</v>
      </c>
      <c r="G12751" t="s">
        <v>30907</v>
      </c>
      <c r="H12751" t="s">
        <v>30917</v>
      </c>
      <c r="I12751" t="s">
        <v>30924</v>
      </c>
      <c r="J12751" t="s">
        <v>33547</v>
      </c>
      <c r="K12751" t="s">
        <v>40292</v>
      </c>
      <c r="M12751" t="s">
        <v>44467</v>
      </c>
      <c r="N12751" t="s">
        <v>44759</v>
      </c>
      <c r="O12751" t="s">
        <v>44760</v>
      </c>
      <c r="Q12751">
        <v>20</v>
      </c>
      <c r="R12751" t="s">
        <v>44777</v>
      </c>
      <c r="S12751" t="s">
        <v>45546</v>
      </c>
      <c r="T12751" t="s">
        <v>46399</v>
      </c>
      <c r="U12751" t="s">
        <v>57409</v>
      </c>
      <c r="V12751" t="s">
        <v>60557</v>
      </c>
      <c r="W12751" t="s">
        <v>44467</v>
      </c>
      <c r="X12751" t="s">
        <v>44780</v>
      </c>
    </row>
    <row r="12752" spans="1:24">
      <c r="A12752">
        <f>HYPERLINK("https://www.philgeps.gov.ph/GEPSNONPILOT/Tender/SplashBidNoticeAbstractUI.aspx?menuIndex=3&amp;refID=7117877&amp;Result=3","7117877")</f>
        <v>0</v>
      </c>
      <c r="B12752" t="s">
        <v>1193</v>
      </c>
      <c r="C12752" t="s">
        <v>15899</v>
      </c>
      <c r="D12752" t="s">
        <v>17954</v>
      </c>
      <c r="E12752" t="s">
        <v>29048</v>
      </c>
      <c r="F12752" t="s">
        <v>30900</v>
      </c>
      <c r="G12752" t="s">
        <v>30907</v>
      </c>
      <c r="H12752" t="s">
        <v>30916</v>
      </c>
      <c r="I12752" t="s">
        <v>30933</v>
      </c>
      <c r="J12752" t="s">
        <v>31153</v>
      </c>
      <c r="K12752" t="s">
        <v>40283</v>
      </c>
      <c r="M12752" t="s">
        <v>41804</v>
      </c>
      <c r="N12752" t="s">
        <v>44759</v>
      </c>
      <c r="O12752" t="s">
        <v>44760</v>
      </c>
      <c r="P12752">
        <v>0</v>
      </c>
      <c r="Q12752">
        <v>4</v>
      </c>
      <c r="R12752" t="s">
        <v>44777</v>
      </c>
      <c r="S12752" t="s">
        <v>45524</v>
      </c>
      <c r="T12752" t="s">
        <v>46399</v>
      </c>
      <c r="U12752" t="s">
        <v>57410</v>
      </c>
      <c r="W12752" t="s">
        <v>41804</v>
      </c>
      <c r="X12752" t="s">
        <v>44780</v>
      </c>
    </row>
    <row r="12753" spans="1:24">
      <c r="A12753">
        <f>HYPERLINK("https://www.philgeps.gov.ph/GEPSNONPILOT/Tender/SplashBidNoticeAbstractUI.aspx?menuIndex=3&amp;refID=7117823&amp;Result=3","7117823")</f>
        <v>0</v>
      </c>
      <c r="B12753" t="s">
        <v>1285</v>
      </c>
      <c r="C12753" t="s">
        <v>14901</v>
      </c>
      <c r="D12753" t="s">
        <v>17958</v>
      </c>
      <c r="E12753" t="s">
        <v>28171</v>
      </c>
      <c r="F12753" t="s">
        <v>30900</v>
      </c>
      <c r="G12753" t="s">
        <v>30913</v>
      </c>
      <c r="H12753" t="s">
        <v>30916</v>
      </c>
      <c r="I12753" t="s">
        <v>30933</v>
      </c>
      <c r="J12753" t="s">
        <v>31577</v>
      </c>
      <c r="K12753" t="s">
        <v>40286</v>
      </c>
      <c r="M12753" t="s">
        <v>41902</v>
      </c>
      <c r="N12753" t="s">
        <v>44759</v>
      </c>
      <c r="O12753" t="s">
        <v>44760</v>
      </c>
      <c r="P12753">
        <v>0</v>
      </c>
      <c r="Q12753">
        <v>4</v>
      </c>
      <c r="R12753" t="s">
        <v>44777</v>
      </c>
      <c r="S12753" t="s">
        <v>45524</v>
      </c>
      <c r="T12753" t="s">
        <v>46421</v>
      </c>
      <c r="U12753" t="s">
        <v>56571</v>
      </c>
      <c r="V12753" t="s">
        <v>60450</v>
      </c>
      <c r="W12753" t="s">
        <v>41902</v>
      </c>
      <c r="X12753" t="s">
        <v>44780</v>
      </c>
    </row>
    <row r="12754" spans="1:24">
      <c r="A12754">
        <f>HYPERLINK("https://www.philgeps.gov.ph/GEPSNONPILOT/Tender/SplashBidNoticeAbstractUI.aspx?menuIndex=3&amp;refID=7118290&amp;Result=3","7118290")</f>
        <v>0</v>
      </c>
      <c r="B12754" t="s">
        <v>1997</v>
      </c>
      <c r="C12754" t="s">
        <v>15900</v>
      </c>
      <c r="D12754" t="s">
        <v>17953</v>
      </c>
      <c r="E12754" t="s">
        <v>29049</v>
      </c>
      <c r="F12754" t="s">
        <v>30900</v>
      </c>
      <c r="G12754" t="s">
        <v>30907</v>
      </c>
      <c r="H12754" t="s">
        <v>30916</v>
      </c>
      <c r="I12754" t="s">
        <v>30923</v>
      </c>
      <c r="J12754" t="s">
        <v>38991</v>
      </c>
      <c r="K12754" t="s">
        <v>40284</v>
      </c>
      <c r="M12754" t="s">
        <v>44467</v>
      </c>
      <c r="N12754" t="s">
        <v>44759</v>
      </c>
      <c r="O12754" t="s">
        <v>44760</v>
      </c>
      <c r="Q12754">
        <v>7</v>
      </c>
      <c r="R12754" t="s">
        <v>44777</v>
      </c>
      <c r="S12754" t="s">
        <v>45547</v>
      </c>
      <c r="T12754" t="s">
        <v>46399</v>
      </c>
      <c r="U12754" t="s">
        <v>57411</v>
      </c>
      <c r="V12754" t="s">
        <v>60557</v>
      </c>
      <c r="W12754" t="s">
        <v>44467</v>
      </c>
      <c r="X12754" t="s">
        <v>44780</v>
      </c>
    </row>
    <row r="12755" spans="1:24">
      <c r="A12755">
        <f>HYPERLINK("https://www.philgeps.gov.ph/GEPSNONPILOT/Tender/SplashBidNoticeAbstractUI.aspx?menuIndex=3&amp;refID=7116779&amp;Result=3","7116779")</f>
        <v>0</v>
      </c>
      <c r="B12755" t="s">
        <v>85</v>
      </c>
      <c r="C12755" t="s">
        <v>15901</v>
      </c>
      <c r="D12755" t="s">
        <v>17991</v>
      </c>
      <c r="E12755" t="s">
        <v>29050</v>
      </c>
      <c r="F12755" t="s">
        <v>30900</v>
      </c>
      <c r="G12755" t="s">
        <v>30907</v>
      </c>
      <c r="H12755" t="s">
        <v>30915</v>
      </c>
      <c r="I12755" t="s">
        <v>30919</v>
      </c>
      <c r="J12755" t="s">
        <v>38992</v>
      </c>
      <c r="K12755" t="s">
        <v>40292</v>
      </c>
      <c r="M12755" t="s">
        <v>40960</v>
      </c>
      <c r="N12755" t="s">
        <v>44759</v>
      </c>
      <c r="O12755" t="s">
        <v>44760</v>
      </c>
      <c r="P12755">
        <v>0</v>
      </c>
      <c r="Q12755">
        <v>0</v>
      </c>
      <c r="R12755" t="s">
        <v>44777</v>
      </c>
      <c r="S12755" t="s">
        <v>45524</v>
      </c>
      <c r="T12755" t="s">
        <v>46387</v>
      </c>
      <c r="U12755" t="s">
        <v>57412</v>
      </c>
      <c r="W12755" t="s">
        <v>40960</v>
      </c>
      <c r="X12755" t="s">
        <v>44780</v>
      </c>
    </row>
    <row r="12756" spans="1:24">
      <c r="A12756">
        <f>HYPERLINK("https://www.philgeps.gov.ph/GEPSNONPILOT/Tender/SplashBidNoticeAbstractUI.aspx?menuIndex=3&amp;refID=7117815&amp;Result=3","7117815")</f>
        <v>0</v>
      </c>
      <c r="B12756" t="s">
        <v>3309</v>
      </c>
      <c r="C12756" t="s">
        <v>15902</v>
      </c>
      <c r="D12756" t="s">
        <v>17953</v>
      </c>
      <c r="E12756" t="s">
        <v>29051</v>
      </c>
      <c r="F12756" t="s">
        <v>30900</v>
      </c>
      <c r="G12756" t="s">
        <v>30907</v>
      </c>
      <c r="H12756" t="s">
        <v>30915</v>
      </c>
      <c r="I12756" t="s">
        <v>30919</v>
      </c>
      <c r="J12756" t="s">
        <v>38993</v>
      </c>
      <c r="K12756" t="s">
        <v>40304</v>
      </c>
      <c r="M12756" t="s">
        <v>44164</v>
      </c>
      <c r="N12756" t="s">
        <v>44759</v>
      </c>
      <c r="O12756" t="s">
        <v>44760</v>
      </c>
      <c r="Q12756">
        <v>11</v>
      </c>
      <c r="R12756" t="s">
        <v>44777</v>
      </c>
      <c r="S12756" t="s">
        <v>45548</v>
      </c>
      <c r="T12756" t="s">
        <v>46409</v>
      </c>
      <c r="U12756" t="s">
        <v>57413</v>
      </c>
      <c r="W12756" t="s">
        <v>44164</v>
      </c>
      <c r="X12756" t="s">
        <v>44780</v>
      </c>
    </row>
    <row r="12757" spans="1:24">
      <c r="A12757">
        <f>HYPERLINK("https://www.philgeps.gov.ph/GEPSNONPILOT/Tender/SplashBidNoticeAbstractUI.aspx?menuIndex=3&amp;refID=7117809&amp;Result=3","7117809")</f>
        <v>0</v>
      </c>
      <c r="B12757" t="s">
        <v>3548</v>
      </c>
      <c r="C12757" t="s">
        <v>15903</v>
      </c>
      <c r="D12757" t="s">
        <v>17952</v>
      </c>
      <c r="E12757" t="s">
        <v>29052</v>
      </c>
      <c r="F12757" t="s">
        <v>30900</v>
      </c>
      <c r="G12757" t="s">
        <v>30907</v>
      </c>
      <c r="H12757" t="s">
        <v>30916</v>
      </c>
      <c r="I12757" t="s">
        <v>30921</v>
      </c>
      <c r="J12757" t="s">
        <v>38994</v>
      </c>
      <c r="K12757" t="s">
        <v>40286</v>
      </c>
      <c r="M12757" t="s">
        <v>44463</v>
      </c>
      <c r="N12757" t="s">
        <v>44759</v>
      </c>
      <c r="O12757" t="s">
        <v>44760</v>
      </c>
      <c r="P12757">
        <v>0</v>
      </c>
      <c r="Q12757">
        <v>2</v>
      </c>
      <c r="R12757" t="s">
        <v>44777</v>
      </c>
      <c r="S12757" t="s">
        <v>45524</v>
      </c>
      <c r="T12757" t="s">
        <v>46390</v>
      </c>
      <c r="U12757" t="s">
        <v>57414</v>
      </c>
      <c r="W12757" t="s">
        <v>44463</v>
      </c>
      <c r="X12757" t="s">
        <v>44780</v>
      </c>
    </row>
    <row r="12758" spans="1:24">
      <c r="A12758">
        <f>HYPERLINK("https://www.philgeps.gov.ph/GEPSNONPILOT/Tender/SplashBidNoticeAbstractUI.aspx?menuIndex=3&amp;refID=7118170&amp;Result=3","7118170")</f>
        <v>0</v>
      </c>
      <c r="B12758" t="s">
        <v>427</v>
      </c>
      <c r="C12758" t="s">
        <v>15904</v>
      </c>
      <c r="D12758" t="s">
        <v>17986</v>
      </c>
      <c r="E12758" t="s">
        <v>18764</v>
      </c>
      <c r="F12758" t="s">
        <v>30900</v>
      </c>
      <c r="G12758" t="s">
        <v>30907</v>
      </c>
      <c r="H12758" t="s">
        <v>30915</v>
      </c>
      <c r="I12758" t="s">
        <v>30919</v>
      </c>
      <c r="J12758" t="s">
        <v>31069</v>
      </c>
      <c r="K12758" t="s">
        <v>40289</v>
      </c>
      <c r="M12758" t="s">
        <v>40984</v>
      </c>
      <c r="N12758" t="s">
        <v>44759</v>
      </c>
      <c r="O12758" t="s">
        <v>44760</v>
      </c>
      <c r="Q12758">
        <v>0</v>
      </c>
      <c r="R12758" t="s">
        <v>44777</v>
      </c>
      <c r="S12758" t="s">
        <v>45549</v>
      </c>
      <c r="T12758" t="s">
        <v>46495</v>
      </c>
      <c r="U12758" t="s">
        <v>57415</v>
      </c>
      <c r="V12758" t="s">
        <v>60560</v>
      </c>
      <c r="W12758" t="s">
        <v>40984</v>
      </c>
      <c r="X12758" t="s">
        <v>44780</v>
      </c>
    </row>
    <row r="12759" spans="1:24">
      <c r="A12759">
        <f>HYPERLINK("https://www.philgeps.gov.ph/GEPSNONPILOT/Tender/SplashBidNoticeAbstractUI.aspx?menuIndex=3&amp;refID=7118313&amp;Result=3","7118313")</f>
        <v>0</v>
      </c>
      <c r="B12759" t="s">
        <v>1121</v>
      </c>
      <c r="C12759" t="s">
        <v>15905</v>
      </c>
      <c r="D12759" t="s">
        <v>17981</v>
      </c>
      <c r="E12759" t="s">
        <v>29053</v>
      </c>
      <c r="F12759" t="s">
        <v>30900</v>
      </c>
      <c r="G12759" t="s">
        <v>30907</v>
      </c>
      <c r="H12759" t="s">
        <v>30916</v>
      </c>
      <c r="I12759" t="s">
        <v>30933</v>
      </c>
      <c r="J12759" t="s">
        <v>38995</v>
      </c>
      <c r="K12759" t="s">
        <v>40286</v>
      </c>
      <c r="M12759" t="s">
        <v>44471</v>
      </c>
      <c r="N12759" t="s">
        <v>44759</v>
      </c>
      <c r="O12759" t="s">
        <v>44760</v>
      </c>
      <c r="Q12759">
        <v>3</v>
      </c>
      <c r="R12759" t="s">
        <v>44777</v>
      </c>
      <c r="S12759" t="s">
        <v>45550</v>
      </c>
      <c r="T12759" t="s">
        <v>46404</v>
      </c>
      <c r="U12759" t="s">
        <v>57416</v>
      </c>
      <c r="W12759" t="s">
        <v>44471</v>
      </c>
      <c r="X12759" t="s">
        <v>44780</v>
      </c>
    </row>
    <row r="12760" spans="1:24">
      <c r="A12760">
        <f>HYPERLINK("https://www.philgeps.gov.ph/GEPSNONPILOT/Tender/SplashBidNoticeAbstractUI.aspx?menuIndex=3&amp;refID=7118327&amp;Result=3","7118327")</f>
        <v>0</v>
      </c>
      <c r="B12760" t="s">
        <v>309</v>
      </c>
      <c r="C12760" t="s">
        <v>15906</v>
      </c>
      <c r="D12760" t="s">
        <v>17995</v>
      </c>
      <c r="E12760" t="s">
        <v>29054</v>
      </c>
      <c r="F12760" t="s">
        <v>30900</v>
      </c>
      <c r="G12760" t="s">
        <v>30907</v>
      </c>
      <c r="H12760" t="s">
        <v>30915</v>
      </c>
      <c r="I12760" t="s">
        <v>30919</v>
      </c>
      <c r="J12760" t="s">
        <v>31241</v>
      </c>
      <c r="K12760" t="s">
        <v>40360</v>
      </c>
      <c r="M12760" t="s">
        <v>40859</v>
      </c>
      <c r="N12760" t="s">
        <v>44759</v>
      </c>
      <c r="O12760" t="s">
        <v>44760</v>
      </c>
      <c r="P12760">
        <v>0</v>
      </c>
      <c r="Q12760">
        <v>0</v>
      </c>
      <c r="R12760" t="s">
        <v>44777</v>
      </c>
      <c r="S12760" t="s">
        <v>45524</v>
      </c>
      <c r="T12760" t="s">
        <v>46421</v>
      </c>
      <c r="U12760" t="s">
        <v>57417</v>
      </c>
      <c r="W12760" t="s">
        <v>40859</v>
      </c>
      <c r="X12760" t="s">
        <v>44780</v>
      </c>
    </row>
    <row r="12761" spans="1:24">
      <c r="A12761">
        <f>HYPERLINK("https://www.philgeps.gov.ph/GEPSNONPILOT/Tender/SplashBidNoticeAbstractUI.aspx?menuIndex=3&amp;refID=7118159&amp;Result=3","7118159")</f>
        <v>0</v>
      </c>
      <c r="B12761" t="s">
        <v>382</v>
      </c>
      <c r="C12761" t="s">
        <v>15907</v>
      </c>
      <c r="E12761" t="s">
        <v>29055</v>
      </c>
      <c r="F12761" t="s">
        <v>30900</v>
      </c>
      <c r="G12761" t="s">
        <v>30907</v>
      </c>
      <c r="H12761" t="s">
        <v>30916</v>
      </c>
      <c r="I12761" t="s">
        <v>8123</v>
      </c>
      <c r="J12761" t="s">
        <v>38996</v>
      </c>
      <c r="K12761" t="s">
        <v>40286</v>
      </c>
      <c r="M12761" t="s">
        <v>43552</v>
      </c>
      <c r="N12761" t="s">
        <v>44759</v>
      </c>
      <c r="O12761" t="s">
        <v>44760</v>
      </c>
      <c r="P12761">
        <v>0</v>
      </c>
      <c r="Q12761">
        <v>1</v>
      </c>
      <c r="R12761" t="s">
        <v>44777</v>
      </c>
      <c r="S12761" t="s">
        <v>45524</v>
      </c>
      <c r="T12761" t="s">
        <v>46531</v>
      </c>
      <c r="U12761" t="s">
        <v>50345</v>
      </c>
      <c r="W12761" t="s">
        <v>43552</v>
      </c>
      <c r="X12761" t="s">
        <v>44780</v>
      </c>
    </row>
    <row r="12762" spans="1:24">
      <c r="A12762">
        <f>HYPERLINK("https://www.philgeps.gov.ph/GEPSNONPILOT/Tender/SplashBidNoticeAbstractUI.aspx?menuIndex=3&amp;refID=7118242&amp;Result=3","7118242")</f>
        <v>0</v>
      </c>
      <c r="B12762" t="s">
        <v>427</v>
      </c>
      <c r="C12762" t="s">
        <v>15908</v>
      </c>
      <c r="D12762" t="s">
        <v>17986</v>
      </c>
      <c r="E12762" t="s">
        <v>18764</v>
      </c>
      <c r="F12762" t="s">
        <v>30900</v>
      </c>
      <c r="G12762" t="s">
        <v>30907</v>
      </c>
      <c r="H12762" t="s">
        <v>30915</v>
      </c>
      <c r="I12762" t="s">
        <v>30919</v>
      </c>
      <c r="J12762" t="s">
        <v>37375</v>
      </c>
      <c r="K12762" t="s">
        <v>40289</v>
      </c>
      <c r="M12762" t="s">
        <v>40984</v>
      </c>
      <c r="N12762" t="s">
        <v>44759</v>
      </c>
      <c r="O12762" t="s">
        <v>44760</v>
      </c>
      <c r="Q12762">
        <v>0</v>
      </c>
      <c r="R12762" t="s">
        <v>44777</v>
      </c>
      <c r="S12762" t="s">
        <v>45551</v>
      </c>
      <c r="T12762" t="s">
        <v>46428</v>
      </c>
      <c r="U12762" t="s">
        <v>57418</v>
      </c>
      <c r="V12762" t="s">
        <v>60560</v>
      </c>
      <c r="W12762" t="s">
        <v>40984</v>
      </c>
      <c r="X12762" t="s">
        <v>44780</v>
      </c>
    </row>
    <row r="12763" spans="1:24">
      <c r="A12763">
        <f>HYPERLINK("https://www.philgeps.gov.ph/GEPSNONPILOT/Tender/SplashBidNoticeAbstractUI.aspx?menuIndex=3&amp;refID=7118088&amp;Result=3","7118088")</f>
        <v>0</v>
      </c>
      <c r="B12763" t="s">
        <v>1997</v>
      </c>
      <c r="C12763" t="s">
        <v>15909</v>
      </c>
      <c r="D12763" t="s">
        <v>17953</v>
      </c>
      <c r="E12763" t="s">
        <v>29056</v>
      </c>
      <c r="F12763" t="s">
        <v>30900</v>
      </c>
      <c r="G12763" t="s">
        <v>30907</v>
      </c>
      <c r="H12763" t="s">
        <v>30916</v>
      </c>
      <c r="I12763" t="s">
        <v>30923</v>
      </c>
      <c r="J12763" t="s">
        <v>38997</v>
      </c>
      <c r="K12763" t="s">
        <v>40284</v>
      </c>
      <c r="M12763" t="s">
        <v>44467</v>
      </c>
      <c r="N12763" t="s">
        <v>44759</v>
      </c>
      <c r="O12763" t="s">
        <v>44760</v>
      </c>
      <c r="Q12763">
        <v>7</v>
      </c>
      <c r="R12763" t="s">
        <v>44777</v>
      </c>
      <c r="S12763" t="s">
        <v>45552</v>
      </c>
      <c r="T12763" t="s">
        <v>46399</v>
      </c>
      <c r="U12763" t="s">
        <v>57419</v>
      </c>
      <c r="V12763" t="s">
        <v>60557</v>
      </c>
      <c r="W12763" t="s">
        <v>44467</v>
      </c>
      <c r="X12763" t="s">
        <v>44780</v>
      </c>
    </row>
    <row r="12764" spans="1:24">
      <c r="A12764">
        <f>HYPERLINK("https://www.philgeps.gov.ph/GEPSNONPILOT/Tender/SplashBidNoticeAbstractUI.aspx?menuIndex=3&amp;refID=7118576&amp;Result=3","7118576")</f>
        <v>0</v>
      </c>
      <c r="B12764" t="s">
        <v>38</v>
      </c>
      <c r="C12764" t="s">
        <v>15910</v>
      </c>
      <c r="D12764" t="s">
        <v>17964</v>
      </c>
      <c r="E12764" t="s">
        <v>29057</v>
      </c>
      <c r="F12764" t="s">
        <v>30900</v>
      </c>
      <c r="G12764" t="s">
        <v>30907</v>
      </c>
      <c r="H12764" t="s">
        <v>30916</v>
      </c>
      <c r="I12764" t="s">
        <v>30934</v>
      </c>
      <c r="J12764" t="s">
        <v>38998</v>
      </c>
      <c r="K12764" t="s">
        <v>40287</v>
      </c>
      <c r="L12764" t="s">
        <v>38</v>
      </c>
      <c r="M12764" t="s">
        <v>44472</v>
      </c>
      <c r="N12764" t="s">
        <v>44759</v>
      </c>
      <c r="O12764" t="s">
        <v>44760</v>
      </c>
      <c r="P12764">
        <v>0</v>
      </c>
      <c r="Q12764">
        <v>4</v>
      </c>
      <c r="R12764" t="s">
        <v>44777</v>
      </c>
      <c r="S12764" t="s">
        <v>45524</v>
      </c>
      <c r="T12764" t="s">
        <v>46425</v>
      </c>
      <c r="U12764" t="s">
        <v>57420</v>
      </c>
      <c r="V12764" t="s">
        <v>60561</v>
      </c>
      <c r="W12764" t="s">
        <v>44472</v>
      </c>
      <c r="X12764" t="s">
        <v>44780</v>
      </c>
    </row>
    <row r="12765" spans="1:24">
      <c r="A12765">
        <f>HYPERLINK("https://www.philgeps.gov.ph/GEPSNONPILOT/Tender/SplashBidNoticeAbstractUI.aspx?menuIndex=3&amp;refID=7118191&amp;Result=3","7118191")</f>
        <v>0</v>
      </c>
      <c r="B12765" t="s">
        <v>309</v>
      </c>
      <c r="C12765" t="s">
        <v>15911</v>
      </c>
      <c r="D12765" t="s">
        <v>17995</v>
      </c>
      <c r="E12765" t="s">
        <v>29058</v>
      </c>
      <c r="F12765" t="s">
        <v>30900</v>
      </c>
      <c r="G12765" t="s">
        <v>30907</v>
      </c>
      <c r="H12765" t="s">
        <v>30915</v>
      </c>
      <c r="I12765" t="s">
        <v>30919</v>
      </c>
      <c r="J12765" t="s">
        <v>38999</v>
      </c>
      <c r="K12765" t="s">
        <v>40517</v>
      </c>
      <c r="M12765" t="s">
        <v>40859</v>
      </c>
      <c r="N12765" t="s">
        <v>44759</v>
      </c>
      <c r="O12765" t="s">
        <v>44760</v>
      </c>
      <c r="P12765">
        <v>0</v>
      </c>
      <c r="Q12765">
        <v>0</v>
      </c>
      <c r="R12765" t="s">
        <v>44777</v>
      </c>
      <c r="S12765" t="s">
        <v>45524</v>
      </c>
      <c r="T12765" t="s">
        <v>46421</v>
      </c>
      <c r="U12765" t="s">
        <v>57421</v>
      </c>
      <c r="W12765" t="s">
        <v>40859</v>
      </c>
      <c r="X12765" t="s">
        <v>44780</v>
      </c>
    </row>
    <row r="12766" spans="1:24">
      <c r="A12766">
        <f>HYPERLINK("https://www.philgeps.gov.ph/GEPSNONPILOT/Tender/SplashBidNoticeAbstractUI.aspx?menuIndex=3&amp;refID=7118646&amp;Result=3","7118646")</f>
        <v>0</v>
      </c>
      <c r="B12766" t="s">
        <v>38</v>
      </c>
      <c r="C12766" t="s">
        <v>15912</v>
      </c>
      <c r="D12766" t="s">
        <v>17964</v>
      </c>
      <c r="E12766" t="s">
        <v>29059</v>
      </c>
      <c r="F12766" t="s">
        <v>30900</v>
      </c>
      <c r="G12766" t="s">
        <v>30907</v>
      </c>
      <c r="H12766" t="s">
        <v>30916</v>
      </c>
      <c r="I12766" t="s">
        <v>30924</v>
      </c>
      <c r="J12766" t="s">
        <v>31313</v>
      </c>
      <c r="K12766" t="s">
        <v>40287</v>
      </c>
      <c r="L12766" t="s">
        <v>38</v>
      </c>
      <c r="M12766" t="s">
        <v>44472</v>
      </c>
      <c r="N12766" t="s">
        <v>44759</v>
      </c>
      <c r="O12766" t="s">
        <v>44760</v>
      </c>
      <c r="P12766">
        <v>0</v>
      </c>
      <c r="Q12766">
        <v>7</v>
      </c>
      <c r="R12766" t="s">
        <v>44777</v>
      </c>
      <c r="S12766" t="s">
        <v>45524</v>
      </c>
      <c r="T12766" t="s">
        <v>46425</v>
      </c>
      <c r="U12766" t="s">
        <v>57420</v>
      </c>
      <c r="V12766" t="s">
        <v>60561</v>
      </c>
      <c r="W12766" t="s">
        <v>44472</v>
      </c>
      <c r="X12766" t="s">
        <v>44780</v>
      </c>
    </row>
    <row r="12767" spans="1:24">
      <c r="A12767">
        <f>HYPERLINK("https://www.philgeps.gov.ph/GEPSNONPILOT/Tender/SplashBidNoticeAbstractUI.aspx?menuIndex=3&amp;refID=7118643&amp;Result=3","7118643")</f>
        <v>0</v>
      </c>
      <c r="B12767" t="s">
        <v>1997</v>
      </c>
      <c r="C12767" t="s">
        <v>15913</v>
      </c>
      <c r="D12767" t="s">
        <v>17953</v>
      </c>
      <c r="E12767" t="s">
        <v>29060</v>
      </c>
      <c r="F12767" t="s">
        <v>30900</v>
      </c>
      <c r="G12767" t="s">
        <v>30907</v>
      </c>
      <c r="H12767" t="s">
        <v>30916</v>
      </c>
      <c r="I12767" t="s">
        <v>30923</v>
      </c>
      <c r="J12767" t="s">
        <v>39000</v>
      </c>
      <c r="K12767" t="s">
        <v>40284</v>
      </c>
      <c r="M12767" t="s">
        <v>44467</v>
      </c>
      <c r="N12767" t="s">
        <v>44759</v>
      </c>
      <c r="O12767" t="s">
        <v>44760</v>
      </c>
      <c r="Q12767">
        <v>7</v>
      </c>
      <c r="R12767" t="s">
        <v>44777</v>
      </c>
      <c r="S12767" t="s">
        <v>45553</v>
      </c>
      <c r="T12767" t="s">
        <v>46399</v>
      </c>
      <c r="U12767" t="s">
        <v>57422</v>
      </c>
      <c r="V12767" t="s">
        <v>60557</v>
      </c>
      <c r="W12767" t="s">
        <v>44467</v>
      </c>
      <c r="X12767" t="s">
        <v>44780</v>
      </c>
    </row>
    <row r="12768" spans="1:24">
      <c r="A12768">
        <f>HYPERLINK("https://www.philgeps.gov.ph/GEPSNONPILOT/Tender/SplashBidNoticeAbstractUI.aspx?menuIndex=3&amp;refID=7118229&amp;Result=3","7118229")</f>
        <v>0</v>
      </c>
      <c r="B12768" t="s">
        <v>309</v>
      </c>
      <c r="C12768" t="s">
        <v>15914</v>
      </c>
      <c r="D12768" t="s">
        <v>17995</v>
      </c>
      <c r="E12768" t="s">
        <v>29061</v>
      </c>
      <c r="F12768" t="s">
        <v>30900</v>
      </c>
      <c r="G12768" t="s">
        <v>30907</v>
      </c>
      <c r="H12768" t="s">
        <v>30915</v>
      </c>
      <c r="I12768" t="s">
        <v>30919</v>
      </c>
      <c r="J12768" t="s">
        <v>39001</v>
      </c>
      <c r="K12768" t="s">
        <v>40472</v>
      </c>
      <c r="M12768" t="s">
        <v>40859</v>
      </c>
      <c r="N12768" t="s">
        <v>44759</v>
      </c>
      <c r="O12768" t="s">
        <v>44760</v>
      </c>
      <c r="P12768">
        <v>0</v>
      </c>
      <c r="Q12768">
        <v>0</v>
      </c>
      <c r="R12768" t="s">
        <v>44777</v>
      </c>
      <c r="S12768" t="s">
        <v>45524</v>
      </c>
      <c r="T12768" t="s">
        <v>46421</v>
      </c>
      <c r="U12768" t="s">
        <v>57421</v>
      </c>
      <c r="W12768" t="s">
        <v>40859</v>
      </c>
      <c r="X12768" t="s">
        <v>44780</v>
      </c>
    </row>
    <row r="12769" spans="1:24">
      <c r="A12769">
        <f>HYPERLINK("https://www.philgeps.gov.ph/GEPSNONPILOT/Tender/SplashBidNoticeAbstractUI.aspx?menuIndex=3&amp;refID=7118155&amp;Result=3","7118155")</f>
        <v>0</v>
      </c>
      <c r="B12769" t="s">
        <v>1997</v>
      </c>
      <c r="C12769" t="s">
        <v>15915</v>
      </c>
      <c r="D12769" t="s">
        <v>17953</v>
      </c>
      <c r="E12769" t="s">
        <v>29062</v>
      </c>
      <c r="F12769" t="s">
        <v>30900</v>
      </c>
      <c r="G12769" t="s">
        <v>30907</v>
      </c>
      <c r="H12769" t="s">
        <v>30916</v>
      </c>
      <c r="I12769" t="s">
        <v>30923</v>
      </c>
      <c r="J12769" t="s">
        <v>39002</v>
      </c>
      <c r="K12769" t="s">
        <v>40284</v>
      </c>
      <c r="M12769" t="s">
        <v>44467</v>
      </c>
      <c r="N12769" t="s">
        <v>44759</v>
      </c>
      <c r="O12769" t="s">
        <v>44760</v>
      </c>
      <c r="Q12769">
        <v>8</v>
      </c>
      <c r="R12769" t="s">
        <v>44777</v>
      </c>
      <c r="S12769" t="s">
        <v>45554</v>
      </c>
      <c r="T12769" t="s">
        <v>46399</v>
      </c>
      <c r="U12769" t="s">
        <v>57423</v>
      </c>
      <c r="V12769" t="s">
        <v>60557</v>
      </c>
      <c r="W12769" t="s">
        <v>44467</v>
      </c>
      <c r="X12769" t="s">
        <v>44780</v>
      </c>
    </row>
    <row r="12770" spans="1:24">
      <c r="A12770">
        <f>HYPERLINK("https://www.philgeps.gov.ph/GEPSNONPILOT/Tender/SplashBidNoticeAbstractUI.aspx?menuIndex=3&amp;refID=7118642&amp;Result=3","7118642")</f>
        <v>0</v>
      </c>
      <c r="B12770" t="s">
        <v>618</v>
      </c>
      <c r="C12770" t="s">
        <v>15916</v>
      </c>
      <c r="E12770" t="s">
        <v>29063</v>
      </c>
      <c r="F12770" t="s">
        <v>30900</v>
      </c>
      <c r="G12770" t="s">
        <v>30907</v>
      </c>
      <c r="H12770" t="s">
        <v>30916</v>
      </c>
      <c r="I12770" t="s">
        <v>30918</v>
      </c>
      <c r="J12770" t="s">
        <v>35570</v>
      </c>
      <c r="K12770" t="s">
        <v>40289</v>
      </c>
      <c r="M12770" t="s">
        <v>44473</v>
      </c>
      <c r="N12770" t="s">
        <v>44759</v>
      </c>
      <c r="O12770" t="s">
        <v>44760</v>
      </c>
      <c r="Q12770">
        <v>27</v>
      </c>
      <c r="R12770" t="s">
        <v>44777</v>
      </c>
      <c r="S12770" t="s">
        <v>45555</v>
      </c>
      <c r="T12770" t="s">
        <v>46689</v>
      </c>
      <c r="U12770" t="s">
        <v>57424</v>
      </c>
      <c r="W12770" t="s">
        <v>44473</v>
      </c>
      <c r="X12770" t="s">
        <v>44780</v>
      </c>
    </row>
    <row r="12771" spans="1:24">
      <c r="A12771">
        <f>HYPERLINK("https://www.philgeps.gov.ph/GEPSNONPILOT/Tender/SplashBidNoticeAbstractUI.aspx?menuIndex=3&amp;refID=7118538&amp;Result=3","7118538")</f>
        <v>0</v>
      </c>
      <c r="B12771" t="s">
        <v>617</v>
      </c>
      <c r="C12771" t="s">
        <v>15917</v>
      </c>
      <c r="D12771" t="s">
        <v>17995</v>
      </c>
      <c r="E12771" t="s">
        <v>29064</v>
      </c>
      <c r="F12771" t="s">
        <v>30900</v>
      </c>
      <c r="G12771" t="s">
        <v>30907</v>
      </c>
      <c r="H12771" t="s">
        <v>30915</v>
      </c>
      <c r="I12771" t="s">
        <v>30919</v>
      </c>
      <c r="J12771" t="s">
        <v>31297</v>
      </c>
      <c r="K12771" t="s">
        <v>40280</v>
      </c>
      <c r="M12771" t="s">
        <v>41179</v>
      </c>
      <c r="N12771" t="s">
        <v>44759</v>
      </c>
      <c r="O12771" t="s">
        <v>44760</v>
      </c>
      <c r="Q12771">
        <v>1</v>
      </c>
      <c r="R12771" t="s">
        <v>44777</v>
      </c>
      <c r="S12771" t="s">
        <v>45556</v>
      </c>
      <c r="T12771" t="s">
        <v>46390</v>
      </c>
      <c r="U12771" t="s">
        <v>57425</v>
      </c>
      <c r="V12771" t="s">
        <v>59265</v>
      </c>
      <c r="W12771" t="s">
        <v>41179</v>
      </c>
      <c r="X12771" t="s">
        <v>44780</v>
      </c>
    </row>
    <row r="12772" spans="1:24">
      <c r="A12772">
        <f>HYPERLINK("https://www.philgeps.gov.ph/GEPSNONPILOT/Tender/SplashBidNoticeAbstractUI.aspx?menuIndex=3&amp;refID=7118545&amp;Result=3","7118545")</f>
        <v>0</v>
      </c>
      <c r="B12772" t="s">
        <v>38</v>
      </c>
      <c r="C12772" t="s">
        <v>15918</v>
      </c>
      <c r="D12772" t="s">
        <v>17964</v>
      </c>
      <c r="E12772" t="s">
        <v>29065</v>
      </c>
      <c r="F12772" t="s">
        <v>30900</v>
      </c>
      <c r="G12772" t="s">
        <v>30907</v>
      </c>
      <c r="H12772" t="s">
        <v>30916</v>
      </c>
      <c r="I12772" t="s">
        <v>4017</v>
      </c>
      <c r="J12772" t="s">
        <v>39003</v>
      </c>
      <c r="K12772" t="s">
        <v>40286</v>
      </c>
      <c r="L12772" t="s">
        <v>38</v>
      </c>
      <c r="M12772" t="s">
        <v>44472</v>
      </c>
      <c r="N12772" t="s">
        <v>44759</v>
      </c>
      <c r="O12772" t="s">
        <v>44760</v>
      </c>
      <c r="P12772">
        <v>0</v>
      </c>
      <c r="Q12772">
        <v>13</v>
      </c>
      <c r="R12772" t="s">
        <v>44777</v>
      </c>
      <c r="S12772" t="s">
        <v>45524</v>
      </c>
      <c r="T12772" t="s">
        <v>46425</v>
      </c>
      <c r="U12772" t="s">
        <v>57420</v>
      </c>
      <c r="V12772" t="s">
        <v>60562</v>
      </c>
      <c r="W12772" t="s">
        <v>44472</v>
      </c>
      <c r="X12772" t="s">
        <v>44780</v>
      </c>
    </row>
    <row r="12773" spans="1:24">
      <c r="A12773">
        <f>HYPERLINK("https://www.philgeps.gov.ph/GEPSNONPILOT/Tender/SplashBidNoticeAbstractUI.aspx?menuIndex=3&amp;refID=7118500&amp;Result=3","7118500")</f>
        <v>0</v>
      </c>
      <c r="B12773" t="s">
        <v>1997</v>
      </c>
      <c r="C12773" t="s">
        <v>15919</v>
      </c>
      <c r="D12773" t="s">
        <v>17953</v>
      </c>
      <c r="E12773" t="s">
        <v>29066</v>
      </c>
      <c r="F12773" t="s">
        <v>30900</v>
      </c>
      <c r="G12773" t="s">
        <v>30907</v>
      </c>
      <c r="H12773" t="s">
        <v>30916</v>
      </c>
      <c r="I12773" t="s">
        <v>30923</v>
      </c>
      <c r="J12773" t="s">
        <v>39004</v>
      </c>
      <c r="K12773" t="s">
        <v>40284</v>
      </c>
      <c r="M12773" t="s">
        <v>44467</v>
      </c>
      <c r="N12773" t="s">
        <v>44759</v>
      </c>
      <c r="O12773" t="s">
        <v>44760</v>
      </c>
      <c r="Q12773">
        <v>4</v>
      </c>
      <c r="R12773" t="s">
        <v>44777</v>
      </c>
      <c r="S12773" t="s">
        <v>45557</v>
      </c>
      <c r="T12773" t="s">
        <v>46399</v>
      </c>
      <c r="U12773" t="s">
        <v>57426</v>
      </c>
      <c r="V12773" t="s">
        <v>60557</v>
      </c>
      <c r="W12773" t="s">
        <v>44467</v>
      </c>
      <c r="X12773" t="s">
        <v>44780</v>
      </c>
    </row>
    <row r="12774" spans="1:24">
      <c r="A12774">
        <f>HYPERLINK("https://www.philgeps.gov.ph/GEPSNONPILOT/Tender/SplashBidNoticeAbstractUI.aspx?menuIndex=3&amp;refID=7118469&amp;Result=3","7118469")</f>
        <v>0</v>
      </c>
      <c r="B12774" t="s">
        <v>38</v>
      </c>
      <c r="C12774" t="s">
        <v>15920</v>
      </c>
      <c r="D12774" t="s">
        <v>17964</v>
      </c>
      <c r="E12774" t="s">
        <v>29067</v>
      </c>
      <c r="F12774" t="s">
        <v>30900</v>
      </c>
      <c r="G12774" t="s">
        <v>30907</v>
      </c>
      <c r="H12774" t="s">
        <v>30916</v>
      </c>
      <c r="I12774" t="s">
        <v>30924</v>
      </c>
      <c r="J12774" t="s">
        <v>39005</v>
      </c>
      <c r="K12774" t="s">
        <v>40287</v>
      </c>
      <c r="L12774" t="s">
        <v>38</v>
      </c>
      <c r="M12774" t="s">
        <v>44472</v>
      </c>
      <c r="N12774" t="s">
        <v>44759</v>
      </c>
      <c r="O12774" t="s">
        <v>44760</v>
      </c>
      <c r="P12774">
        <v>0</v>
      </c>
      <c r="Q12774">
        <v>4</v>
      </c>
      <c r="R12774" t="s">
        <v>44777</v>
      </c>
      <c r="S12774" t="s">
        <v>45524</v>
      </c>
      <c r="T12774" t="s">
        <v>46425</v>
      </c>
      <c r="U12774" t="s">
        <v>57420</v>
      </c>
      <c r="V12774" t="s">
        <v>60563</v>
      </c>
      <c r="W12774" t="s">
        <v>44472</v>
      </c>
      <c r="X12774" t="s">
        <v>44780</v>
      </c>
    </row>
    <row r="12775" spans="1:24">
      <c r="A12775">
        <f>HYPERLINK("https://www.philgeps.gov.ph/GEPSNONPILOT/Tender/SplashBidNoticeAbstractUI.aspx?menuIndex=3&amp;refID=7118466&amp;Result=3","7118466")</f>
        <v>0</v>
      </c>
      <c r="B12775" t="s">
        <v>281</v>
      </c>
      <c r="C12775" t="s">
        <v>15921</v>
      </c>
      <c r="D12775" t="s">
        <v>17952</v>
      </c>
      <c r="E12775" t="s">
        <v>29068</v>
      </c>
      <c r="F12775" t="s">
        <v>30900</v>
      </c>
      <c r="G12775" t="s">
        <v>30908</v>
      </c>
      <c r="H12775" t="s">
        <v>30916</v>
      </c>
      <c r="I12775" t="s">
        <v>6396</v>
      </c>
      <c r="J12775" t="s">
        <v>39006</v>
      </c>
      <c r="K12775" t="s">
        <v>40283</v>
      </c>
      <c r="M12775" t="s">
        <v>40828</v>
      </c>
      <c r="N12775" t="s">
        <v>44759</v>
      </c>
      <c r="O12775" t="s">
        <v>44760</v>
      </c>
      <c r="Q12775">
        <v>8</v>
      </c>
      <c r="R12775" t="s">
        <v>44777</v>
      </c>
      <c r="S12775" t="s">
        <v>45558</v>
      </c>
      <c r="T12775" t="s">
        <v>46704</v>
      </c>
      <c r="U12775" t="s">
        <v>57427</v>
      </c>
      <c r="W12775" t="s">
        <v>40828</v>
      </c>
      <c r="X12775" t="s">
        <v>44780</v>
      </c>
    </row>
    <row r="12776" spans="1:24">
      <c r="A12776">
        <f>HYPERLINK("https://www.philgeps.gov.ph/GEPSNONPILOT/Tender/SplashBidNoticeAbstractUI.aspx?menuIndex=3&amp;refID=7118444&amp;Result=3","7118444")</f>
        <v>0</v>
      </c>
      <c r="B12776" t="s">
        <v>2669</v>
      </c>
      <c r="C12776" t="s">
        <v>15922</v>
      </c>
      <c r="D12776" t="s">
        <v>17971</v>
      </c>
      <c r="E12776" t="s">
        <v>29069</v>
      </c>
      <c r="F12776" t="s">
        <v>30900</v>
      </c>
      <c r="G12776" t="s">
        <v>30907</v>
      </c>
      <c r="H12776" t="s">
        <v>30917</v>
      </c>
      <c r="I12776" t="s">
        <v>17295</v>
      </c>
      <c r="J12776" t="s">
        <v>39007</v>
      </c>
      <c r="K12776" t="s">
        <v>40369</v>
      </c>
      <c r="L12776" t="s">
        <v>2669</v>
      </c>
      <c r="M12776" t="s">
        <v>43439</v>
      </c>
      <c r="N12776" t="s">
        <v>44759</v>
      </c>
      <c r="O12776" t="s">
        <v>44760</v>
      </c>
      <c r="P12776">
        <v>0</v>
      </c>
      <c r="Q12776">
        <v>4</v>
      </c>
      <c r="R12776" t="s">
        <v>44777</v>
      </c>
      <c r="S12776" t="s">
        <v>45524</v>
      </c>
      <c r="T12776" t="s">
        <v>46357</v>
      </c>
      <c r="U12776" t="s">
        <v>57428</v>
      </c>
      <c r="W12776" t="s">
        <v>43439</v>
      </c>
      <c r="X12776" t="s">
        <v>44780</v>
      </c>
    </row>
    <row r="12777" spans="1:24">
      <c r="A12777">
        <f>HYPERLINK("https://www.philgeps.gov.ph/GEPSNONPILOT/Tender/SplashBidNoticeAbstractUI.aspx?menuIndex=3&amp;refID=7118424&amp;Result=3","7118424")</f>
        <v>0</v>
      </c>
      <c r="B12777" t="s">
        <v>1727</v>
      </c>
      <c r="C12777" t="s">
        <v>15923</v>
      </c>
      <c r="D12777" t="s">
        <v>18033</v>
      </c>
      <c r="E12777" t="s">
        <v>29070</v>
      </c>
      <c r="F12777" t="s">
        <v>30900</v>
      </c>
      <c r="G12777" t="s">
        <v>30907</v>
      </c>
      <c r="H12777" t="s">
        <v>30916</v>
      </c>
      <c r="I12777" t="s">
        <v>30970</v>
      </c>
      <c r="J12777" t="s">
        <v>39008</v>
      </c>
      <c r="K12777" t="s">
        <v>40291</v>
      </c>
      <c r="M12777" t="s">
        <v>42393</v>
      </c>
      <c r="N12777" t="s">
        <v>44759</v>
      </c>
      <c r="O12777" t="s">
        <v>44760</v>
      </c>
      <c r="P12777">
        <v>0</v>
      </c>
      <c r="Q12777">
        <v>1</v>
      </c>
      <c r="R12777" t="s">
        <v>44777</v>
      </c>
      <c r="S12777" t="s">
        <v>45524</v>
      </c>
      <c r="T12777" t="s">
        <v>46393</v>
      </c>
      <c r="U12777" t="s">
        <v>57429</v>
      </c>
      <c r="W12777" t="s">
        <v>42393</v>
      </c>
      <c r="X12777" t="s">
        <v>44780</v>
      </c>
    </row>
    <row r="12778" spans="1:24">
      <c r="A12778">
        <f>HYPERLINK("https://www.philgeps.gov.ph/GEPSNONPILOT/Tender/SplashBidNoticeAbstractUI.aspx?menuIndex=3&amp;refID=7118416&amp;Result=3","7118416")</f>
        <v>0</v>
      </c>
      <c r="B12778" t="s">
        <v>1997</v>
      </c>
      <c r="C12778" t="s">
        <v>15924</v>
      </c>
      <c r="D12778" t="s">
        <v>17953</v>
      </c>
      <c r="E12778" t="s">
        <v>29071</v>
      </c>
      <c r="F12778" t="s">
        <v>30900</v>
      </c>
      <c r="G12778" t="s">
        <v>30907</v>
      </c>
      <c r="H12778" t="s">
        <v>30916</v>
      </c>
      <c r="I12778" t="s">
        <v>30923</v>
      </c>
      <c r="J12778" t="s">
        <v>39009</v>
      </c>
      <c r="K12778" t="s">
        <v>40284</v>
      </c>
      <c r="M12778" t="s">
        <v>44467</v>
      </c>
      <c r="N12778" t="s">
        <v>44759</v>
      </c>
      <c r="O12778" t="s">
        <v>44760</v>
      </c>
      <c r="Q12778">
        <v>12</v>
      </c>
      <c r="R12778" t="s">
        <v>44777</v>
      </c>
      <c r="S12778" t="s">
        <v>45559</v>
      </c>
      <c r="T12778" t="s">
        <v>46399</v>
      </c>
      <c r="U12778" t="s">
        <v>57430</v>
      </c>
      <c r="V12778" t="s">
        <v>60557</v>
      </c>
      <c r="W12778" t="s">
        <v>44467</v>
      </c>
      <c r="X12778" t="s">
        <v>44780</v>
      </c>
    </row>
    <row r="12779" spans="1:24">
      <c r="A12779">
        <f>HYPERLINK("https://www.philgeps.gov.ph/GEPSNONPILOT/Tender/SplashBidNoticeAbstractUI.aspx?menuIndex=3&amp;refID=7118414&amp;Result=3","7118414")</f>
        <v>0</v>
      </c>
      <c r="B12779" t="s">
        <v>38</v>
      </c>
      <c r="C12779" t="s">
        <v>15925</v>
      </c>
      <c r="D12779" t="s">
        <v>17964</v>
      </c>
      <c r="E12779" t="s">
        <v>29072</v>
      </c>
      <c r="F12779" t="s">
        <v>30900</v>
      </c>
      <c r="G12779" t="s">
        <v>30907</v>
      </c>
      <c r="H12779" t="s">
        <v>30916</v>
      </c>
      <c r="I12779" t="s">
        <v>30934</v>
      </c>
      <c r="J12779" t="s">
        <v>31341</v>
      </c>
      <c r="K12779" t="s">
        <v>40287</v>
      </c>
      <c r="L12779" t="s">
        <v>38</v>
      </c>
      <c r="M12779" t="s">
        <v>44472</v>
      </c>
      <c r="N12779" t="s">
        <v>44759</v>
      </c>
      <c r="O12779" t="s">
        <v>44760</v>
      </c>
      <c r="P12779">
        <v>0</v>
      </c>
      <c r="Q12779">
        <v>5</v>
      </c>
      <c r="R12779" t="s">
        <v>44777</v>
      </c>
      <c r="S12779" t="s">
        <v>45524</v>
      </c>
      <c r="T12779" t="s">
        <v>46425</v>
      </c>
      <c r="U12779" t="s">
        <v>57420</v>
      </c>
      <c r="V12779" t="s">
        <v>60561</v>
      </c>
      <c r="W12779" t="s">
        <v>44472</v>
      </c>
      <c r="X12779" t="s">
        <v>44780</v>
      </c>
    </row>
    <row r="12780" spans="1:24">
      <c r="A12780">
        <f>HYPERLINK("https://www.philgeps.gov.ph/GEPSNONPILOT/Tender/SplashBidNoticeAbstractUI.aspx?menuIndex=3&amp;refID=7118406&amp;Result=3","7118406")</f>
        <v>0</v>
      </c>
      <c r="B12780" t="s">
        <v>3554</v>
      </c>
      <c r="C12780" t="s">
        <v>15926</v>
      </c>
      <c r="D12780" t="s">
        <v>17997</v>
      </c>
      <c r="E12780" t="s">
        <v>18852</v>
      </c>
      <c r="F12780" t="s">
        <v>30900</v>
      </c>
      <c r="G12780" t="s">
        <v>30907</v>
      </c>
      <c r="H12780" t="s">
        <v>30916</v>
      </c>
      <c r="I12780" t="s">
        <v>30951</v>
      </c>
      <c r="J12780" t="s">
        <v>39010</v>
      </c>
      <c r="K12780" t="s">
        <v>40286</v>
      </c>
      <c r="M12780" t="s">
        <v>44474</v>
      </c>
      <c r="N12780" t="s">
        <v>44759</v>
      </c>
      <c r="O12780" t="s">
        <v>44760</v>
      </c>
      <c r="P12780">
        <v>0</v>
      </c>
      <c r="Q12780">
        <v>9</v>
      </c>
      <c r="R12780" t="s">
        <v>44777</v>
      </c>
      <c r="S12780" t="s">
        <v>45524</v>
      </c>
      <c r="T12780" t="s">
        <v>46409</v>
      </c>
      <c r="U12780" t="s">
        <v>57431</v>
      </c>
      <c r="W12780" t="s">
        <v>44474</v>
      </c>
      <c r="X12780" t="s">
        <v>44780</v>
      </c>
    </row>
    <row r="12781" spans="1:24">
      <c r="A12781">
        <f>HYPERLINK("https://www.philgeps.gov.ph/GEPSNONPILOT/Tender/SplashBidNoticeAbstractUI.aspx?menuIndex=3&amp;refID=7118390&amp;Result=3","7118390")</f>
        <v>0</v>
      </c>
      <c r="B12781" t="s">
        <v>38</v>
      </c>
      <c r="C12781" t="s">
        <v>15927</v>
      </c>
      <c r="D12781" t="s">
        <v>17964</v>
      </c>
      <c r="E12781" t="s">
        <v>29073</v>
      </c>
      <c r="F12781" t="s">
        <v>30900</v>
      </c>
      <c r="G12781" t="s">
        <v>30907</v>
      </c>
      <c r="H12781" t="s">
        <v>30916</v>
      </c>
      <c r="I12781" t="s">
        <v>30933</v>
      </c>
      <c r="J12781" t="s">
        <v>39011</v>
      </c>
      <c r="K12781" t="s">
        <v>40286</v>
      </c>
      <c r="L12781" t="s">
        <v>38</v>
      </c>
      <c r="M12781" t="s">
        <v>44472</v>
      </c>
      <c r="N12781" t="s">
        <v>44759</v>
      </c>
      <c r="O12781" t="s">
        <v>44760</v>
      </c>
      <c r="P12781">
        <v>0</v>
      </c>
      <c r="Q12781">
        <v>9</v>
      </c>
      <c r="R12781" t="s">
        <v>44777</v>
      </c>
      <c r="S12781" t="s">
        <v>45524</v>
      </c>
      <c r="T12781" t="s">
        <v>46425</v>
      </c>
      <c r="U12781" t="s">
        <v>57420</v>
      </c>
      <c r="V12781" t="s">
        <v>60562</v>
      </c>
      <c r="W12781" t="s">
        <v>44472</v>
      </c>
      <c r="X12781" t="s">
        <v>44780</v>
      </c>
    </row>
    <row r="12782" spans="1:24">
      <c r="A12782">
        <f>HYPERLINK("https://www.philgeps.gov.ph/GEPSNONPILOT/Tender/SplashBidNoticeAbstractUI.aspx?menuIndex=3&amp;refID=7118465&amp;Result=3","7118465")</f>
        <v>0</v>
      </c>
      <c r="B12782" t="s">
        <v>1997</v>
      </c>
      <c r="C12782" t="s">
        <v>15928</v>
      </c>
      <c r="D12782" t="s">
        <v>17953</v>
      </c>
      <c r="E12782" t="s">
        <v>29074</v>
      </c>
      <c r="F12782" t="s">
        <v>30900</v>
      </c>
      <c r="G12782" t="s">
        <v>30907</v>
      </c>
      <c r="H12782" t="s">
        <v>30916</v>
      </c>
      <c r="I12782" t="s">
        <v>30923</v>
      </c>
      <c r="J12782" t="s">
        <v>39012</v>
      </c>
      <c r="K12782" t="s">
        <v>40284</v>
      </c>
      <c r="M12782" t="s">
        <v>44467</v>
      </c>
      <c r="N12782" t="s">
        <v>44759</v>
      </c>
      <c r="O12782" t="s">
        <v>44760</v>
      </c>
      <c r="Q12782">
        <v>4</v>
      </c>
      <c r="R12782" t="s">
        <v>44777</v>
      </c>
      <c r="S12782" t="s">
        <v>45560</v>
      </c>
      <c r="T12782" t="s">
        <v>46399</v>
      </c>
      <c r="U12782" t="s">
        <v>57432</v>
      </c>
      <c r="V12782" t="s">
        <v>60557</v>
      </c>
      <c r="W12782" t="s">
        <v>44467</v>
      </c>
      <c r="X12782" t="s">
        <v>44780</v>
      </c>
    </row>
    <row r="12783" spans="1:24">
      <c r="A12783">
        <f>HYPERLINK("https://www.philgeps.gov.ph/GEPSNONPILOT/Tender/SplashBidNoticeAbstractUI.aspx?menuIndex=3&amp;refID=7118347&amp;Result=3","7118347")</f>
        <v>0</v>
      </c>
      <c r="B12783" t="s">
        <v>309</v>
      </c>
      <c r="C12783" t="s">
        <v>15929</v>
      </c>
      <c r="D12783" t="s">
        <v>17995</v>
      </c>
      <c r="E12783" t="s">
        <v>29075</v>
      </c>
      <c r="F12783" t="s">
        <v>30900</v>
      </c>
      <c r="G12783" t="s">
        <v>30907</v>
      </c>
      <c r="H12783" t="s">
        <v>30915</v>
      </c>
      <c r="I12783" t="s">
        <v>30919</v>
      </c>
      <c r="J12783" t="s">
        <v>39013</v>
      </c>
      <c r="K12783" t="s">
        <v>40354</v>
      </c>
      <c r="M12783" t="s">
        <v>40859</v>
      </c>
      <c r="N12783" t="s">
        <v>44759</v>
      </c>
      <c r="O12783" t="s">
        <v>44760</v>
      </c>
      <c r="P12783">
        <v>0</v>
      </c>
      <c r="Q12783">
        <v>0</v>
      </c>
      <c r="R12783" t="s">
        <v>44777</v>
      </c>
      <c r="S12783" t="s">
        <v>45524</v>
      </c>
      <c r="T12783" t="s">
        <v>46421</v>
      </c>
      <c r="U12783" t="s">
        <v>57433</v>
      </c>
      <c r="W12783" t="s">
        <v>40859</v>
      </c>
      <c r="X12783" t="s">
        <v>44780</v>
      </c>
    </row>
    <row r="12784" spans="1:24">
      <c r="A12784">
        <f>HYPERLINK("https://www.philgeps.gov.ph/GEPSNONPILOT/Tender/SplashBidNoticeAbstractUI.aspx?menuIndex=3&amp;refID=7118087&amp;Result=3","7118087")</f>
        <v>0</v>
      </c>
      <c r="B12784" t="s">
        <v>382</v>
      </c>
      <c r="C12784" t="s">
        <v>15930</v>
      </c>
      <c r="E12784" t="s">
        <v>29076</v>
      </c>
      <c r="F12784" t="s">
        <v>30900</v>
      </c>
      <c r="G12784" t="s">
        <v>30907</v>
      </c>
      <c r="H12784" t="s">
        <v>30916</v>
      </c>
      <c r="I12784" t="s">
        <v>8123</v>
      </c>
      <c r="J12784" t="s">
        <v>32044</v>
      </c>
      <c r="K12784" t="s">
        <v>40286</v>
      </c>
      <c r="M12784" t="s">
        <v>43552</v>
      </c>
      <c r="N12784" t="s">
        <v>44759</v>
      </c>
      <c r="O12784" t="s">
        <v>44760</v>
      </c>
      <c r="P12784">
        <v>0</v>
      </c>
      <c r="Q12784">
        <v>0</v>
      </c>
      <c r="R12784" t="s">
        <v>44777</v>
      </c>
      <c r="S12784" t="s">
        <v>45524</v>
      </c>
      <c r="T12784" t="s">
        <v>46531</v>
      </c>
      <c r="U12784" t="s">
        <v>50345</v>
      </c>
      <c r="W12784" t="s">
        <v>43552</v>
      </c>
      <c r="X12784" t="s">
        <v>44780</v>
      </c>
    </row>
    <row r="12785" spans="1:24">
      <c r="A12785">
        <f>HYPERLINK("https://www.philgeps.gov.ph/GEPSNONPILOT/Tender/SplashBidNoticeAbstractUI.aspx?menuIndex=3&amp;refID=7118337&amp;Result=3","7118337")</f>
        <v>0</v>
      </c>
      <c r="B12785" t="s">
        <v>38</v>
      </c>
      <c r="C12785" t="s">
        <v>10258</v>
      </c>
      <c r="D12785" t="s">
        <v>17964</v>
      </c>
      <c r="E12785" t="s">
        <v>29077</v>
      </c>
      <c r="F12785" t="s">
        <v>30900</v>
      </c>
      <c r="G12785" t="s">
        <v>30907</v>
      </c>
      <c r="H12785" t="s">
        <v>30915</v>
      </c>
      <c r="I12785" t="s">
        <v>30919</v>
      </c>
      <c r="J12785" t="s">
        <v>39014</v>
      </c>
      <c r="K12785" t="s">
        <v>40335</v>
      </c>
      <c r="L12785" t="s">
        <v>38</v>
      </c>
      <c r="M12785" t="s">
        <v>44472</v>
      </c>
      <c r="N12785" t="s">
        <v>44759</v>
      </c>
      <c r="O12785" t="s">
        <v>44760</v>
      </c>
      <c r="P12785">
        <v>0</v>
      </c>
      <c r="Q12785">
        <v>2</v>
      </c>
      <c r="R12785" t="s">
        <v>44777</v>
      </c>
      <c r="S12785" t="s">
        <v>45524</v>
      </c>
      <c r="T12785" t="s">
        <v>46425</v>
      </c>
      <c r="U12785" t="s">
        <v>57420</v>
      </c>
      <c r="V12785" t="s">
        <v>60562</v>
      </c>
      <c r="W12785" t="s">
        <v>44472</v>
      </c>
      <c r="X12785" t="s">
        <v>44780</v>
      </c>
    </row>
    <row r="12786" spans="1:24">
      <c r="A12786">
        <f>HYPERLINK("https://www.philgeps.gov.ph/GEPSNONPILOT/Tender/SplashBidNoticeAbstractUI.aspx?menuIndex=3&amp;refID=7118059&amp;Result=3","7118059")</f>
        <v>0</v>
      </c>
      <c r="B12786" t="s">
        <v>1997</v>
      </c>
      <c r="C12786" t="s">
        <v>15931</v>
      </c>
      <c r="D12786" t="s">
        <v>17953</v>
      </c>
      <c r="E12786" t="s">
        <v>29078</v>
      </c>
      <c r="F12786" t="s">
        <v>30900</v>
      </c>
      <c r="G12786" t="s">
        <v>30907</v>
      </c>
      <c r="H12786" t="s">
        <v>30916</v>
      </c>
      <c r="I12786" t="s">
        <v>4142</v>
      </c>
      <c r="J12786" t="s">
        <v>39015</v>
      </c>
      <c r="K12786" t="s">
        <v>40284</v>
      </c>
      <c r="M12786" t="s">
        <v>44467</v>
      </c>
      <c r="N12786" t="s">
        <v>44759</v>
      </c>
      <c r="O12786" t="s">
        <v>44760</v>
      </c>
      <c r="Q12786">
        <v>4</v>
      </c>
      <c r="R12786" t="s">
        <v>44777</v>
      </c>
      <c r="S12786" t="s">
        <v>45561</v>
      </c>
      <c r="T12786" t="s">
        <v>46399</v>
      </c>
      <c r="U12786" t="s">
        <v>57434</v>
      </c>
      <c r="V12786" t="s">
        <v>60557</v>
      </c>
      <c r="W12786" t="s">
        <v>44467</v>
      </c>
      <c r="X12786" t="s">
        <v>44780</v>
      </c>
    </row>
    <row r="12787" spans="1:24">
      <c r="A12787">
        <f>HYPERLINK("https://www.philgeps.gov.ph/GEPSNONPILOT/Tender/SplashBidNoticeAbstractUI.aspx?menuIndex=3&amp;refID=7118609&amp;Result=3","7118609")</f>
        <v>0</v>
      </c>
      <c r="B12787" t="s">
        <v>1997</v>
      </c>
      <c r="C12787" t="s">
        <v>15932</v>
      </c>
      <c r="D12787" t="s">
        <v>17953</v>
      </c>
      <c r="E12787" t="s">
        <v>29079</v>
      </c>
      <c r="F12787" t="s">
        <v>30900</v>
      </c>
      <c r="G12787" t="s">
        <v>30907</v>
      </c>
      <c r="H12787" t="s">
        <v>30916</v>
      </c>
      <c r="I12787" t="s">
        <v>30923</v>
      </c>
      <c r="J12787" t="s">
        <v>39016</v>
      </c>
      <c r="K12787" t="s">
        <v>40284</v>
      </c>
      <c r="M12787" t="s">
        <v>44467</v>
      </c>
      <c r="N12787" t="s">
        <v>44759</v>
      </c>
      <c r="O12787" t="s">
        <v>44760</v>
      </c>
      <c r="Q12787">
        <v>6</v>
      </c>
      <c r="R12787" t="s">
        <v>44777</v>
      </c>
      <c r="S12787" t="s">
        <v>45562</v>
      </c>
      <c r="T12787" t="s">
        <v>46399</v>
      </c>
      <c r="U12787" t="s">
        <v>57435</v>
      </c>
      <c r="V12787" t="s">
        <v>60557</v>
      </c>
      <c r="W12787" t="s">
        <v>44467</v>
      </c>
      <c r="X12787" t="s">
        <v>44780</v>
      </c>
    </row>
    <row r="12788" spans="1:24">
      <c r="A12788">
        <f>HYPERLINK("https://www.philgeps.gov.ph/GEPSNONPILOT/Tender/SplashBidNoticeAbstractUI.aspx?menuIndex=3&amp;refID=7118024&amp;Result=3","7118024")</f>
        <v>0</v>
      </c>
      <c r="B12788" t="s">
        <v>799</v>
      </c>
      <c r="C12788" t="s">
        <v>15933</v>
      </c>
      <c r="D12788" t="s">
        <v>17985</v>
      </c>
      <c r="E12788" t="s">
        <v>29080</v>
      </c>
      <c r="F12788" t="s">
        <v>30900</v>
      </c>
      <c r="G12788" t="s">
        <v>30907</v>
      </c>
      <c r="H12788" t="s">
        <v>30916</v>
      </c>
      <c r="I12788" t="s">
        <v>30933</v>
      </c>
      <c r="J12788" t="s">
        <v>31101</v>
      </c>
      <c r="K12788" t="s">
        <v>40293</v>
      </c>
      <c r="M12788" t="s">
        <v>41369</v>
      </c>
      <c r="N12788" t="s">
        <v>44759</v>
      </c>
      <c r="O12788" t="s">
        <v>44760</v>
      </c>
      <c r="P12788">
        <v>0</v>
      </c>
      <c r="Q12788">
        <v>0</v>
      </c>
      <c r="R12788" t="s">
        <v>44777</v>
      </c>
      <c r="S12788" t="s">
        <v>45524</v>
      </c>
      <c r="T12788" t="s">
        <v>46357</v>
      </c>
      <c r="U12788" t="s">
        <v>57436</v>
      </c>
      <c r="V12788" t="s">
        <v>60564</v>
      </c>
      <c r="W12788" t="s">
        <v>41369</v>
      </c>
      <c r="X12788" t="s">
        <v>44780</v>
      </c>
    </row>
    <row r="12789" spans="1:24">
      <c r="A12789">
        <f>HYPERLINK("https://www.philgeps.gov.ph/GEPSNONPILOT/Tender/SplashBidNoticeAbstractUI.aspx?menuIndex=3&amp;refID=7118112&amp;Result=3","7118112")</f>
        <v>0</v>
      </c>
      <c r="B12789" t="s">
        <v>1997</v>
      </c>
      <c r="C12789" t="s">
        <v>15934</v>
      </c>
      <c r="D12789" t="s">
        <v>17953</v>
      </c>
      <c r="E12789" t="s">
        <v>29081</v>
      </c>
      <c r="F12789" t="s">
        <v>30900</v>
      </c>
      <c r="G12789" t="s">
        <v>30907</v>
      </c>
      <c r="H12789" t="s">
        <v>30916</v>
      </c>
      <c r="I12789" t="s">
        <v>30923</v>
      </c>
      <c r="J12789" t="s">
        <v>39017</v>
      </c>
      <c r="K12789" t="s">
        <v>40284</v>
      </c>
      <c r="M12789" t="s">
        <v>44467</v>
      </c>
      <c r="N12789" t="s">
        <v>44759</v>
      </c>
      <c r="O12789" t="s">
        <v>44760</v>
      </c>
      <c r="Q12789">
        <v>8</v>
      </c>
      <c r="R12789" t="s">
        <v>44777</v>
      </c>
      <c r="S12789" t="s">
        <v>45554</v>
      </c>
      <c r="T12789" t="s">
        <v>46399</v>
      </c>
      <c r="U12789" t="s">
        <v>57437</v>
      </c>
      <c r="V12789" t="s">
        <v>60557</v>
      </c>
      <c r="W12789" t="s">
        <v>44467</v>
      </c>
      <c r="X12789" t="s">
        <v>44780</v>
      </c>
    </row>
    <row r="12790" spans="1:24">
      <c r="A12790">
        <f>HYPERLINK("https://www.philgeps.gov.ph/GEPSNONPILOT/Tender/SplashBidNoticeAbstractUI.aspx?menuIndex=3&amp;refID=7118381&amp;Result=3","7118381")</f>
        <v>0</v>
      </c>
      <c r="B12790" t="s">
        <v>1997</v>
      </c>
      <c r="C12790" t="s">
        <v>15935</v>
      </c>
      <c r="D12790" t="s">
        <v>17953</v>
      </c>
      <c r="E12790" t="s">
        <v>29082</v>
      </c>
      <c r="F12790" t="s">
        <v>30900</v>
      </c>
      <c r="G12790" t="s">
        <v>30907</v>
      </c>
      <c r="H12790" t="s">
        <v>30916</v>
      </c>
      <c r="I12790" t="s">
        <v>30923</v>
      </c>
      <c r="J12790" t="s">
        <v>39018</v>
      </c>
      <c r="K12790" t="s">
        <v>40284</v>
      </c>
      <c r="M12790" t="s">
        <v>44467</v>
      </c>
      <c r="N12790" t="s">
        <v>44759</v>
      </c>
      <c r="O12790" t="s">
        <v>44760</v>
      </c>
      <c r="Q12790">
        <v>7</v>
      </c>
      <c r="R12790" t="s">
        <v>44777</v>
      </c>
      <c r="S12790" t="s">
        <v>45559</v>
      </c>
      <c r="T12790" t="s">
        <v>46399</v>
      </c>
      <c r="U12790" t="s">
        <v>57438</v>
      </c>
      <c r="V12790" t="s">
        <v>60557</v>
      </c>
      <c r="W12790" t="s">
        <v>44467</v>
      </c>
      <c r="X12790" t="s">
        <v>44780</v>
      </c>
    </row>
    <row r="12791" spans="1:24">
      <c r="A12791">
        <f>HYPERLINK("https://www.philgeps.gov.ph/GEPSNONPILOT/Tender/SplashBidNoticeAbstractUI.aspx?menuIndex=3&amp;refID=7118078&amp;Result=3","7118078")</f>
        <v>0</v>
      </c>
      <c r="B12791" t="s">
        <v>1401</v>
      </c>
      <c r="C12791" t="s">
        <v>15936</v>
      </c>
      <c r="D12791" t="s">
        <v>17982</v>
      </c>
      <c r="E12791" t="s">
        <v>29083</v>
      </c>
      <c r="F12791" t="s">
        <v>30900</v>
      </c>
      <c r="G12791" t="s">
        <v>30907</v>
      </c>
      <c r="H12791" t="s">
        <v>30916</v>
      </c>
      <c r="I12791" t="s">
        <v>30933</v>
      </c>
      <c r="J12791" t="s">
        <v>31297</v>
      </c>
      <c r="K12791" t="s">
        <v>40286</v>
      </c>
      <c r="M12791" t="s">
        <v>42027</v>
      </c>
      <c r="N12791" t="s">
        <v>44759</v>
      </c>
      <c r="O12791" t="s">
        <v>44760</v>
      </c>
      <c r="P12791">
        <v>0</v>
      </c>
      <c r="Q12791">
        <v>4</v>
      </c>
      <c r="R12791" t="s">
        <v>44777</v>
      </c>
      <c r="S12791" t="s">
        <v>45524</v>
      </c>
      <c r="T12791" t="s">
        <v>46357</v>
      </c>
      <c r="U12791" t="s">
        <v>57439</v>
      </c>
      <c r="V12791" t="s">
        <v>59786</v>
      </c>
      <c r="W12791" t="s">
        <v>42027</v>
      </c>
      <c r="X12791" t="s">
        <v>44780</v>
      </c>
    </row>
    <row r="12792" spans="1:24">
      <c r="A12792">
        <f>HYPERLINK("https://www.philgeps.gov.ph/GEPSNONPILOT/Tender/SplashBidNoticeAbstractUI.aspx?menuIndex=3&amp;refID=7118009&amp;Result=3","7118009")</f>
        <v>0</v>
      </c>
      <c r="B12792" t="s">
        <v>1997</v>
      </c>
      <c r="C12792" t="s">
        <v>15937</v>
      </c>
      <c r="D12792" t="s">
        <v>17953</v>
      </c>
      <c r="E12792" t="s">
        <v>29084</v>
      </c>
      <c r="F12792" t="s">
        <v>30900</v>
      </c>
      <c r="G12792" t="s">
        <v>30907</v>
      </c>
      <c r="H12792" t="s">
        <v>30916</v>
      </c>
      <c r="I12792" t="s">
        <v>8044</v>
      </c>
      <c r="J12792" t="s">
        <v>39019</v>
      </c>
      <c r="K12792" t="s">
        <v>40284</v>
      </c>
      <c r="M12792" t="s">
        <v>44467</v>
      </c>
      <c r="N12792" t="s">
        <v>44759</v>
      </c>
      <c r="O12792" t="s">
        <v>44760</v>
      </c>
      <c r="Q12792">
        <v>3</v>
      </c>
      <c r="R12792" t="s">
        <v>44777</v>
      </c>
      <c r="S12792" t="s">
        <v>45563</v>
      </c>
      <c r="T12792" t="s">
        <v>46399</v>
      </c>
      <c r="U12792" t="s">
        <v>57440</v>
      </c>
      <c r="V12792" t="s">
        <v>60557</v>
      </c>
      <c r="W12792" t="s">
        <v>44467</v>
      </c>
      <c r="X12792" t="s">
        <v>44780</v>
      </c>
    </row>
    <row r="12793" spans="1:24">
      <c r="A12793">
        <f>HYPERLINK("https://www.philgeps.gov.ph/GEPSNONPILOT/Tender/SplashBidNoticeAbstractUI.aspx?menuIndex=3&amp;refID=7117786&amp;Result=3","7117786")</f>
        <v>0</v>
      </c>
      <c r="B12793" t="s">
        <v>2462</v>
      </c>
      <c r="C12793" t="s">
        <v>15938</v>
      </c>
      <c r="D12793" t="s">
        <v>17964</v>
      </c>
      <c r="E12793" t="s">
        <v>29085</v>
      </c>
      <c r="F12793" t="s">
        <v>30900</v>
      </c>
      <c r="G12793" t="s">
        <v>30907</v>
      </c>
      <c r="H12793" t="s">
        <v>30916</v>
      </c>
      <c r="I12793" t="s">
        <v>4142</v>
      </c>
      <c r="J12793" t="s">
        <v>39020</v>
      </c>
      <c r="K12793" t="s">
        <v>40286</v>
      </c>
      <c r="M12793" t="s">
        <v>43199</v>
      </c>
      <c r="N12793" t="s">
        <v>44759</v>
      </c>
      <c r="O12793" t="s">
        <v>44760</v>
      </c>
      <c r="Q12793">
        <v>4</v>
      </c>
      <c r="R12793" t="s">
        <v>44777</v>
      </c>
      <c r="S12793" t="s">
        <v>45564</v>
      </c>
      <c r="T12793" t="s">
        <v>46357</v>
      </c>
      <c r="U12793" t="s">
        <v>57441</v>
      </c>
      <c r="W12793" t="s">
        <v>43199</v>
      </c>
      <c r="X12793" t="s">
        <v>44780</v>
      </c>
    </row>
    <row r="12794" spans="1:24">
      <c r="A12794">
        <f>HYPERLINK("https://www.philgeps.gov.ph/GEPSNONPILOT/Tender/SplashBidNoticeAbstractUI.aspx?menuIndex=3&amp;refID=7117674&amp;Result=3","7117674")</f>
        <v>0</v>
      </c>
      <c r="B12794" t="s">
        <v>3264</v>
      </c>
      <c r="C12794" t="s">
        <v>15939</v>
      </c>
      <c r="D12794" t="s">
        <v>17971</v>
      </c>
      <c r="E12794" t="s">
        <v>29086</v>
      </c>
      <c r="F12794" t="s">
        <v>30900</v>
      </c>
      <c r="G12794" t="s">
        <v>30907</v>
      </c>
      <c r="H12794" t="s">
        <v>30916</v>
      </c>
      <c r="I12794" t="s">
        <v>30922</v>
      </c>
      <c r="J12794" t="s">
        <v>39021</v>
      </c>
      <c r="K12794" t="s">
        <v>40283</v>
      </c>
      <c r="M12794" t="s">
        <v>44110</v>
      </c>
      <c r="N12794" t="s">
        <v>44759</v>
      </c>
      <c r="O12794" t="s">
        <v>44760</v>
      </c>
      <c r="P12794">
        <v>0</v>
      </c>
      <c r="Q12794">
        <v>12</v>
      </c>
      <c r="R12794" t="s">
        <v>44777</v>
      </c>
      <c r="S12794" t="s">
        <v>45524</v>
      </c>
      <c r="T12794" t="s">
        <v>46457</v>
      </c>
      <c r="U12794" t="s">
        <v>57442</v>
      </c>
      <c r="V12794" t="s">
        <v>60330</v>
      </c>
      <c r="W12794" t="s">
        <v>44110</v>
      </c>
      <c r="X12794" t="s">
        <v>44780</v>
      </c>
    </row>
    <row r="12795" spans="1:24">
      <c r="A12795">
        <f>HYPERLINK("https://www.philgeps.gov.ph/GEPSNONPILOT/Tender/SplashBidNoticeAbstractUI.aspx?menuIndex=3&amp;refID=7117663&amp;Result=3","7117663")</f>
        <v>0</v>
      </c>
      <c r="B12795" t="s">
        <v>2966</v>
      </c>
      <c r="C12795" t="s">
        <v>15940</v>
      </c>
      <c r="D12795" t="s">
        <v>17994</v>
      </c>
      <c r="E12795" t="s">
        <v>29087</v>
      </c>
      <c r="F12795" t="s">
        <v>30900</v>
      </c>
      <c r="G12795" t="s">
        <v>30907</v>
      </c>
      <c r="H12795" t="s">
        <v>30916</v>
      </c>
      <c r="I12795" t="s">
        <v>5501</v>
      </c>
      <c r="J12795" t="s">
        <v>39022</v>
      </c>
      <c r="K12795" t="s">
        <v>40291</v>
      </c>
      <c r="L12795" t="s">
        <v>2966</v>
      </c>
      <c r="M12795" t="s">
        <v>43767</v>
      </c>
      <c r="N12795" t="s">
        <v>44759</v>
      </c>
      <c r="O12795" t="s">
        <v>44760</v>
      </c>
      <c r="P12795">
        <v>0</v>
      </c>
      <c r="Q12795">
        <v>10</v>
      </c>
      <c r="R12795" t="s">
        <v>44777</v>
      </c>
      <c r="S12795" t="s">
        <v>45524</v>
      </c>
      <c r="T12795" t="s">
        <v>46483</v>
      </c>
      <c r="U12795" t="s">
        <v>57443</v>
      </c>
      <c r="W12795" t="s">
        <v>43767</v>
      </c>
      <c r="X12795" t="s">
        <v>44780</v>
      </c>
    </row>
    <row r="12796" spans="1:24">
      <c r="A12796">
        <f>HYPERLINK("https://www.philgeps.gov.ph/GEPSNONPILOT/Tender/SplashBidNoticeAbstractUI.aspx?menuIndex=3&amp;refID=7117583&amp;Result=3","7117583")</f>
        <v>0</v>
      </c>
      <c r="B12796" t="s">
        <v>227</v>
      </c>
      <c r="C12796" t="s">
        <v>15941</v>
      </c>
      <c r="D12796" t="s">
        <v>18012</v>
      </c>
      <c r="E12796" t="s">
        <v>29088</v>
      </c>
      <c r="F12796" t="s">
        <v>30900</v>
      </c>
      <c r="G12796" t="s">
        <v>30907</v>
      </c>
      <c r="H12796" t="s">
        <v>30915</v>
      </c>
      <c r="I12796" t="s">
        <v>30919</v>
      </c>
      <c r="J12796" t="s">
        <v>39023</v>
      </c>
      <c r="K12796" t="s">
        <v>40280</v>
      </c>
      <c r="M12796" t="s">
        <v>40774</v>
      </c>
      <c r="N12796" t="s">
        <v>44759</v>
      </c>
      <c r="O12796" t="s">
        <v>44760</v>
      </c>
      <c r="Q12796">
        <v>7</v>
      </c>
      <c r="R12796" t="s">
        <v>44777</v>
      </c>
      <c r="S12796" t="s">
        <v>45565</v>
      </c>
      <c r="T12796" t="s">
        <v>46655</v>
      </c>
      <c r="U12796" t="s">
        <v>57444</v>
      </c>
      <c r="V12796" t="s">
        <v>59148</v>
      </c>
      <c r="W12796" t="s">
        <v>40774</v>
      </c>
      <c r="X12796" t="s">
        <v>44780</v>
      </c>
    </row>
    <row r="12797" spans="1:24">
      <c r="A12797">
        <f>HYPERLINK("https://www.philgeps.gov.ph/GEPSNONPILOT/Tender/SplashBidNoticeAbstractUI.aspx?menuIndex=3&amp;refID=7118025&amp;Result=3","7118025")</f>
        <v>0</v>
      </c>
      <c r="B12797" t="s">
        <v>1997</v>
      </c>
      <c r="C12797" t="s">
        <v>15942</v>
      </c>
      <c r="D12797" t="s">
        <v>17953</v>
      </c>
      <c r="E12797" t="s">
        <v>29089</v>
      </c>
      <c r="F12797" t="s">
        <v>30900</v>
      </c>
      <c r="G12797" t="s">
        <v>30907</v>
      </c>
      <c r="H12797" t="s">
        <v>30916</v>
      </c>
      <c r="I12797" t="s">
        <v>8044</v>
      </c>
      <c r="J12797" t="s">
        <v>39024</v>
      </c>
      <c r="K12797" t="s">
        <v>40284</v>
      </c>
      <c r="M12797" t="s">
        <v>44467</v>
      </c>
      <c r="N12797" t="s">
        <v>44759</v>
      </c>
      <c r="O12797" t="s">
        <v>44760</v>
      </c>
      <c r="Q12797">
        <v>1</v>
      </c>
      <c r="R12797" t="s">
        <v>44777</v>
      </c>
      <c r="S12797" t="s">
        <v>45561</v>
      </c>
      <c r="T12797" t="s">
        <v>46399</v>
      </c>
      <c r="U12797" t="s">
        <v>57445</v>
      </c>
      <c r="V12797" t="s">
        <v>60557</v>
      </c>
      <c r="W12797" t="s">
        <v>44467</v>
      </c>
      <c r="X12797" t="s">
        <v>44780</v>
      </c>
    </row>
    <row r="12798" spans="1:24">
      <c r="A12798">
        <f>HYPERLINK("https://www.philgeps.gov.ph/GEPSNONPILOT/Tender/SplashBidNoticeAbstractUI.aspx?menuIndex=3&amp;refID=7117522&amp;Result=3","7117522")</f>
        <v>0</v>
      </c>
      <c r="B12798" t="s">
        <v>317</v>
      </c>
      <c r="C12798" t="s">
        <v>15943</v>
      </c>
      <c r="D12798" t="s">
        <v>17952</v>
      </c>
      <c r="E12798" t="s">
        <v>29090</v>
      </c>
      <c r="F12798" t="s">
        <v>30900</v>
      </c>
      <c r="G12798" t="s">
        <v>30907</v>
      </c>
      <c r="H12798" t="s">
        <v>30916</v>
      </c>
      <c r="I12798" t="s">
        <v>30933</v>
      </c>
      <c r="J12798" t="s">
        <v>37375</v>
      </c>
      <c r="K12798" t="s">
        <v>40284</v>
      </c>
      <c r="M12798" t="s">
        <v>40868</v>
      </c>
      <c r="N12798" t="s">
        <v>44759</v>
      </c>
      <c r="O12798" t="s">
        <v>44760</v>
      </c>
      <c r="P12798">
        <v>0</v>
      </c>
      <c r="Q12798">
        <v>2</v>
      </c>
      <c r="R12798" t="s">
        <v>44777</v>
      </c>
      <c r="S12798" t="s">
        <v>45524</v>
      </c>
      <c r="T12798" t="s">
        <v>46390</v>
      </c>
      <c r="U12798" t="s">
        <v>50412</v>
      </c>
      <c r="W12798" t="s">
        <v>60824</v>
      </c>
      <c r="X12798" t="s">
        <v>44780</v>
      </c>
    </row>
    <row r="12799" spans="1:24">
      <c r="A12799">
        <f>HYPERLINK("https://www.philgeps.gov.ph/GEPSNONPILOT/Tender/SplashBidNoticeAbstractUI.aspx?menuIndex=3&amp;refID=7117119&amp;Result=3","7117119")</f>
        <v>0</v>
      </c>
      <c r="B12799" t="s">
        <v>2506</v>
      </c>
      <c r="C12799" t="s">
        <v>15944</v>
      </c>
      <c r="D12799" t="s">
        <v>18005</v>
      </c>
      <c r="E12799" t="s">
        <v>29091</v>
      </c>
      <c r="F12799" t="s">
        <v>30900</v>
      </c>
      <c r="G12799" t="s">
        <v>30907</v>
      </c>
      <c r="H12799" t="s">
        <v>7411</v>
      </c>
      <c r="I12799" t="s">
        <v>7411</v>
      </c>
      <c r="J12799" t="s">
        <v>39025</v>
      </c>
      <c r="K12799" t="s">
        <v>40342</v>
      </c>
      <c r="M12799" t="s">
        <v>43251</v>
      </c>
      <c r="N12799" t="s">
        <v>44759</v>
      </c>
      <c r="O12799" t="s">
        <v>44760</v>
      </c>
      <c r="P12799">
        <v>0</v>
      </c>
      <c r="Q12799">
        <v>3</v>
      </c>
      <c r="R12799" t="s">
        <v>44777</v>
      </c>
      <c r="S12799" t="s">
        <v>45524</v>
      </c>
      <c r="T12799" t="s">
        <v>46916</v>
      </c>
      <c r="U12799" t="s">
        <v>57446</v>
      </c>
      <c r="W12799" t="s">
        <v>43251</v>
      </c>
      <c r="X12799" t="s">
        <v>44780</v>
      </c>
    </row>
    <row r="12800" spans="1:24">
      <c r="A12800">
        <f>HYPERLINK("https://www.philgeps.gov.ph/GEPSNONPILOT/Tender/SplashBidNoticeAbstractUI.aspx?menuIndex=3&amp;refID=7117985&amp;Result=3","7117985")</f>
        <v>0</v>
      </c>
      <c r="B12800" t="s">
        <v>1997</v>
      </c>
      <c r="C12800" t="s">
        <v>15945</v>
      </c>
      <c r="D12800" t="s">
        <v>17953</v>
      </c>
      <c r="E12800" t="s">
        <v>29092</v>
      </c>
      <c r="F12800" t="s">
        <v>30900</v>
      </c>
      <c r="G12800" t="s">
        <v>30907</v>
      </c>
      <c r="H12800" t="s">
        <v>30916</v>
      </c>
      <c r="I12800" t="s">
        <v>30923</v>
      </c>
      <c r="J12800" t="s">
        <v>34349</v>
      </c>
      <c r="K12800" t="s">
        <v>40319</v>
      </c>
      <c r="M12800" t="s">
        <v>44467</v>
      </c>
      <c r="N12800" t="s">
        <v>44759</v>
      </c>
      <c r="O12800" t="s">
        <v>44760</v>
      </c>
      <c r="Q12800">
        <v>2</v>
      </c>
      <c r="R12800" t="s">
        <v>44777</v>
      </c>
      <c r="S12800" t="s">
        <v>45566</v>
      </c>
      <c r="T12800" t="s">
        <v>46399</v>
      </c>
      <c r="U12800" t="s">
        <v>57447</v>
      </c>
      <c r="V12800" t="s">
        <v>60557</v>
      </c>
      <c r="W12800" t="s">
        <v>44467</v>
      </c>
      <c r="X12800" t="s">
        <v>44780</v>
      </c>
    </row>
    <row r="12801" spans="1:24">
      <c r="A12801">
        <f>HYPERLINK("https://www.philgeps.gov.ph/GEPSNONPILOT/Tender/SplashBidNoticeAbstractUI.aspx?menuIndex=3&amp;refID=7117058&amp;Result=3","7117058")</f>
        <v>0</v>
      </c>
      <c r="B12801" t="s">
        <v>1997</v>
      </c>
      <c r="C12801" t="s">
        <v>15946</v>
      </c>
      <c r="D12801" t="s">
        <v>17953</v>
      </c>
      <c r="E12801" t="s">
        <v>29093</v>
      </c>
      <c r="F12801" t="s">
        <v>30900</v>
      </c>
      <c r="G12801" t="s">
        <v>30907</v>
      </c>
      <c r="H12801" t="s">
        <v>30917</v>
      </c>
      <c r="I12801" t="s">
        <v>17295</v>
      </c>
      <c r="J12801" t="s">
        <v>39026</v>
      </c>
      <c r="K12801" t="s">
        <v>40332</v>
      </c>
      <c r="M12801" t="s">
        <v>44467</v>
      </c>
      <c r="N12801" t="s">
        <v>44759</v>
      </c>
      <c r="O12801" t="s">
        <v>44760</v>
      </c>
      <c r="Q12801">
        <v>3</v>
      </c>
      <c r="R12801" t="s">
        <v>44777</v>
      </c>
      <c r="S12801" t="s">
        <v>45523</v>
      </c>
      <c r="T12801" t="s">
        <v>46399</v>
      </c>
      <c r="U12801" t="s">
        <v>57448</v>
      </c>
      <c r="V12801" t="s">
        <v>60557</v>
      </c>
      <c r="W12801" t="s">
        <v>44467</v>
      </c>
      <c r="X12801" t="s">
        <v>44780</v>
      </c>
    </row>
    <row r="12802" spans="1:24">
      <c r="A12802">
        <f>HYPERLINK("https://www.philgeps.gov.ph/GEPSNONPILOT/Tender/SplashBidNoticeAbstractUI.aspx?menuIndex=3&amp;refID=7116727&amp;Result=3","7116727")</f>
        <v>0</v>
      </c>
      <c r="B12802" t="s">
        <v>2647</v>
      </c>
      <c r="C12802" t="s">
        <v>15947</v>
      </c>
      <c r="E12802" t="s">
        <v>29094</v>
      </c>
      <c r="F12802" t="s">
        <v>30900</v>
      </c>
      <c r="G12802" t="s">
        <v>30907</v>
      </c>
      <c r="H12802" t="s">
        <v>30915</v>
      </c>
      <c r="I12802" t="s">
        <v>30919</v>
      </c>
      <c r="J12802" t="s">
        <v>39027</v>
      </c>
      <c r="K12802" t="s">
        <v>40289</v>
      </c>
      <c r="M12802" t="s">
        <v>43413</v>
      </c>
      <c r="N12802" t="s">
        <v>44759</v>
      </c>
      <c r="O12802" t="s">
        <v>44760</v>
      </c>
      <c r="P12802">
        <v>0</v>
      </c>
      <c r="Q12802">
        <v>0</v>
      </c>
      <c r="R12802" t="s">
        <v>44777</v>
      </c>
      <c r="S12802" t="s">
        <v>45524</v>
      </c>
      <c r="T12802" t="s">
        <v>46409</v>
      </c>
      <c r="U12802" t="s">
        <v>57449</v>
      </c>
      <c r="V12802" t="s">
        <v>60565</v>
      </c>
      <c r="W12802" t="s">
        <v>43413</v>
      </c>
      <c r="X12802" t="s">
        <v>44780</v>
      </c>
    </row>
    <row r="12803" spans="1:24">
      <c r="A12803">
        <f>HYPERLINK("https://www.philgeps.gov.ph/GEPSNONPILOT/Tender/SplashBidNoticeAbstractUI.aspx?menuIndex=3&amp;refID=7117617&amp;Result=3","7117617")</f>
        <v>0</v>
      </c>
      <c r="B12803" t="s">
        <v>1997</v>
      </c>
      <c r="C12803" t="s">
        <v>15948</v>
      </c>
      <c r="D12803" t="s">
        <v>17953</v>
      </c>
      <c r="E12803" t="s">
        <v>29095</v>
      </c>
      <c r="F12803" t="s">
        <v>30900</v>
      </c>
      <c r="G12803" t="s">
        <v>30907</v>
      </c>
      <c r="H12803" t="s">
        <v>30917</v>
      </c>
      <c r="I12803" t="s">
        <v>30918</v>
      </c>
      <c r="J12803" t="s">
        <v>34061</v>
      </c>
      <c r="K12803" t="s">
        <v>40292</v>
      </c>
      <c r="M12803" t="s">
        <v>44467</v>
      </c>
      <c r="N12803" t="s">
        <v>44759</v>
      </c>
      <c r="O12803" t="s">
        <v>44760</v>
      </c>
      <c r="Q12803">
        <v>21</v>
      </c>
      <c r="R12803" t="s">
        <v>44777</v>
      </c>
      <c r="S12803" t="s">
        <v>45541</v>
      </c>
      <c r="T12803" t="s">
        <v>46399</v>
      </c>
      <c r="U12803" t="s">
        <v>57450</v>
      </c>
      <c r="V12803" t="s">
        <v>60557</v>
      </c>
      <c r="W12803" t="s">
        <v>44467</v>
      </c>
      <c r="X12803" t="s">
        <v>44780</v>
      </c>
    </row>
    <row r="12804" spans="1:24">
      <c r="A12804">
        <f>HYPERLINK("https://www.philgeps.gov.ph/GEPSNONPILOT/Tender/SplashBidNoticeAbstractUI.aspx?menuIndex=3&amp;refID=7116998&amp;Result=3","7116998")</f>
        <v>0</v>
      </c>
      <c r="B12804" t="s">
        <v>743</v>
      </c>
      <c r="C12804" t="s">
        <v>15949</v>
      </c>
      <c r="D12804" t="s">
        <v>18013</v>
      </c>
      <c r="E12804" t="s">
        <v>29096</v>
      </c>
      <c r="F12804" t="s">
        <v>30900</v>
      </c>
      <c r="G12804" t="s">
        <v>30907</v>
      </c>
      <c r="H12804" t="s">
        <v>30916</v>
      </c>
      <c r="I12804" t="s">
        <v>30932</v>
      </c>
      <c r="J12804" t="s">
        <v>33323</v>
      </c>
      <c r="K12804" t="s">
        <v>40292</v>
      </c>
      <c r="M12804" t="s">
        <v>41307</v>
      </c>
      <c r="N12804" t="s">
        <v>44759</v>
      </c>
      <c r="O12804" t="s">
        <v>44760</v>
      </c>
      <c r="Q12804">
        <v>12</v>
      </c>
      <c r="R12804" t="s">
        <v>44777</v>
      </c>
      <c r="S12804" t="s">
        <v>45567</v>
      </c>
      <c r="T12804" t="s">
        <v>46409</v>
      </c>
      <c r="U12804" t="s">
        <v>57451</v>
      </c>
      <c r="W12804" t="s">
        <v>41307</v>
      </c>
      <c r="X12804" t="s">
        <v>44780</v>
      </c>
    </row>
    <row r="12805" spans="1:24">
      <c r="A12805">
        <f>HYPERLINK("https://www.philgeps.gov.ph/GEPSNONPILOT/Tender/SplashBidNoticeAbstractUI.aspx?menuIndex=3&amp;refID=7117622&amp;Result=3","7117622")</f>
        <v>0</v>
      </c>
      <c r="B12805" t="s">
        <v>3475</v>
      </c>
      <c r="C12805" t="s">
        <v>15950</v>
      </c>
      <c r="E12805" t="s">
        <v>29097</v>
      </c>
      <c r="F12805" t="s">
        <v>30900</v>
      </c>
      <c r="G12805" t="s">
        <v>30907</v>
      </c>
      <c r="H12805" t="s">
        <v>30915</v>
      </c>
      <c r="I12805" t="s">
        <v>30919</v>
      </c>
      <c r="J12805" t="s">
        <v>33727</v>
      </c>
      <c r="K12805" t="s">
        <v>40286</v>
      </c>
      <c r="M12805" t="s">
        <v>44372</v>
      </c>
      <c r="N12805" t="s">
        <v>44759</v>
      </c>
      <c r="O12805" t="s">
        <v>44760</v>
      </c>
      <c r="P12805">
        <v>0</v>
      </c>
      <c r="Q12805">
        <v>1</v>
      </c>
      <c r="R12805" t="s">
        <v>44777</v>
      </c>
      <c r="S12805" t="s">
        <v>45524</v>
      </c>
      <c r="T12805" t="s">
        <v>46421</v>
      </c>
      <c r="U12805" t="s">
        <v>57452</v>
      </c>
      <c r="W12805" t="s">
        <v>44372</v>
      </c>
      <c r="X12805" t="s">
        <v>44780</v>
      </c>
    </row>
    <row r="12806" spans="1:24">
      <c r="A12806">
        <f>HYPERLINK("https://www.philgeps.gov.ph/GEPSNONPILOT/Tender/SplashBidNoticeAbstractUI.aspx?menuIndex=3&amp;refID=7116719&amp;Result=3","7116719")</f>
        <v>0</v>
      </c>
      <c r="B12806" t="s">
        <v>281</v>
      </c>
      <c r="C12806" t="s">
        <v>15951</v>
      </c>
      <c r="D12806" t="s">
        <v>17952</v>
      </c>
      <c r="E12806" t="s">
        <v>29098</v>
      </c>
      <c r="F12806" t="s">
        <v>30900</v>
      </c>
      <c r="G12806" t="s">
        <v>30907</v>
      </c>
      <c r="H12806" t="s">
        <v>30916</v>
      </c>
      <c r="I12806" t="s">
        <v>30936</v>
      </c>
      <c r="J12806" t="s">
        <v>34250</v>
      </c>
      <c r="K12806" t="s">
        <v>40292</v>
      </c>
      <c r="M12806" t="s">
        <v>43172</v>
      </c>
      <c r="N12806" t="s">
        <v>44759</v>
      </c>
      <c r="O12806" t="s">
        <v>44760</v>
      </c>
      <c r="P12806">
        <v>0</v>
      </c>
      <c r="Q12806">
        <v>1</v>
      </c>
      <c r="R12806" t="s">
        <v>44777</v>
      </c>
      <c r="S12806" t="s">
        <v>45524</v>
      </c>
      <c r="T12806" t="s">
        <v>46404</v>
      </c>
      <c r="U12806" t="s">
        <v>57453</v>
      </c>
      <c r="W12806" t="s">
        <v>43172</v>
      </c>
      <c r="X12806" t="s">
        <v>44780</v>
      </c>
    </row>
    <row r="12807" spans="1:24">
      <c r="A12807">
        <f>HYPERLINK("https://www.philgeps.gov.ph/GEPSNONPILOT/Tender/SplashBidNoticeAbstractUI.aspx?menuIndex=3&amp;refID=7116699&amp;Result=3","7116699")</f>
        <v>0</v>
      </c>
      <c r="B12807" t="s">
        <v>2647</v>
      </c>
      <c r="C12807" t="s">
        <v>15952</v>
      </c>
      <c r="E12807" t="s">
        <v>29099</v>
      </c>
      <c r="F12807" t="s">
        <v>30900</v>
      </c>
      <c r="G12807" t="s">
        <v>30907</v>
      </c>
      <c r="H12807" t="s">
        <v>30915</v>
      </c>
      <c r="I12807" t="s">
        <v>30919</v>
      </c>
      <c r="J12807" t="s">
        <v>39028</v>
      </c>
      <c r="K12807" t="s">
        <v>40289</v>
      </c>
      <c r="M12807" t="s">
        <v>43413</v>
      </c>
      <c r="N12807" t="s">
        <v>44759</v>
      </c>
      <c r="O12807" t="s">
        <v>44760</v>
      </c>
      <c r="P12807">
        <v>0</v>
      </c>
      <c r="Q12807">
        <v>2</v>
      </c>
      <c r="R12807" t="s">
        <v>44777</v>
      </c>
      <c r="S12807" t="s">
        <v>45524</v>
      </c>
      <c r="T12807" t="s">
        <v>46357</v>
      </c>
      <c r="U12807" t="s">
        <v>57454</v>
      </c>
      <c r="V12807" t="s">
        <v>60566</v>
      </c>
      <c r="W12807" t="s">
        <v>43413</v>
      </c>
      <c r="X12807" t="s">
        <v>44780</v>
      </c>
    </row>
    <row r="12808" spans="1:24">
      <c r="A12808">
        <f>HYPERLINK("https://www.philgeps.gov.ph/GEPSNONPILOT/Tender/SplashBidNoticeAbstractUI.aspx?menuIndex=3&amp;refID=7113147&amp;Result=3","7113147")</f>
        <v>0</v>
      </c>
      <c r="B12808" t="s">
        <v>2033</v>
      </c>
      <c r="C12808" t="s">
        <v>15953</v>
      </c>
      <c r="D12808" t="s">
        <v>17998</v>
      </c>
      <c r="E12808" t="s">
        <v>29100</v>
      </c>
      <c r="F12808" t="s">
        <v>30900</v>
      </c>
      <c r="G12808" t="s">
        <v>30907</v>
      </c>
      <c r="H12808" t="s">
        <v>30916</v>
      </c>
      <c r="I12808" t="s">
        <v>30933</v>
      </c>
      <c r="J12808" t="s">
        <v>32324</v>
      </c>
      <c r="K12808" t="s">
        <v>40293</v>
      </c>
      <c r="M12808" t="s">
        <v>42730</v>
      </c>
      <c r="N12808" t="s">
        <v>44759</v>
      </c>
      <c r="O12808" t="s">
        <v>44760</v>
      </c>
      <c r="P12808">
        <v>0</v>
      </c>
      <c r="Q12808">
        <v>11</v>
      </c>
      <c r="R12808" t="s">
        <v>44777</v>
      </c>
      <c r="S12808" t="s">
        <v>45524</v>
      </c>
      <c r="T12808" t="s">
        <v>46357</v>
      </c>
      <c r="U12808" t="s">
        <v>57455</v>
      </c>
      <c r="W12808" t="s">
        <v>42730</v>
      </c>
      <c r="X12808" t="s">
        <v>44781</v>
      </c>
    </row>
    <row r="12809" spans="1:24">
      <c r="A12809">
        <f>HYPERLINK("https://www.philgeps.gov.ph/GEPSNONPILOT/Tender/SplashBidNoticeAbstractUI.aspx?menuIndex=3&amp;refID=7116710&amp;Result=3","7116710")</f>
        <v>0</v>
      </c>
      <c r="B12809" t="s">
        <v>2647</v>
      </c>
      <c r="C12809" t="s">
        <v>15954</v>
      </c>
      <c r="E12809" t="s">
        <v>29101</v>
      </c>
      <c r="F12809" t="s">
        <v>30900</v>
      </c>
      <c r="G12809" t="s">
        <v>30907</v>
      </c>
      <c r="H12809" t="s">
        <v>30915</v>
      </c>
      <c r="I12809" t="s">
        <v>30919</v>
      </c>
      <c r="J12809" t="s">
        <v>39027</v>
      </c>
      <c r="K12809" t="s">
        <v>40289</v>
      </c>
      <c r="M12809" t="s">
        <v>43413</v>
      </c>
      <c r="N12809" t="s">
        <v>44759</v>
      </c>
      <c r="O12809" t="s">
        <v>44760</v>
      </c>
      <c r="P12809">
        <v>0</v>
      </c>
      <c r="Q12809">
        <v>0</v>
      </c>
      <c r="R12809" t="s">
        <v>44777</v>
      </c>
      <c r="S12809" t="s">
        <v>45524</v>
      </c>
      <c r="T12809" t="s">
        <v>46409</v>
      </c>
      <c r="U12809" t="s">
        <v>57456</v>
      </c>
      <c r="V12809" t="s">
        <v>60567</v>
      </c>
      <c r="W12809" t="s">
        <v>43413</v>
      </c>
      <c r="X12809" t="s">
        <v>44780</v>
      </c>
    </row>
    <row r="12810" spans="1:24">
      <c r="A12810">
        <f>HYPERLINK("https://www.philgeps.gov.ph/GEPSNONPILOT/Tender/SplashBidNoticeAbstractUI.aspx?menuIndex=3&amp;refID=7116742&amp;Result=3","7116742")</f>
        <v>0</v>
      </c>
      <c r="B12810" t="s">
        <v>1997</v>
      </c>
      <c r="C12810" t="s">
        <v>15955</v>
      </c>
      <c r="D12810" t="s">
        <v>17953</v>
      </c>
      <c r="E12810" t="s">
        <v>29102</v>
      </c>
      <c r="F12810" t="s">
        <v>30900</v>
      </c>
      <c r="G12810" t="s">
        <v>30907</v>
      </c>
      <c r="H12810" t="s">
        <v>30916</v>
      </c>
      <c r="I12810" t="s">
        <v>10847</v>
      </c>
      <c r="J12810" t="s">
        <v>39029</v>
      </c>
      <c r="K12810" t="s">
        <v>40319</v>
      </c>
      <c r="M12810" t="s">
        <v>44467</v>
      </c>
      <c r="N12810" t="s">
        <v>44759</v>
      </c>
      <c r="O12810" t="s">
        <v>44760</v>
      </c>
      <c r="Q12810">
        <v>2</v>
      </c>
      <c r="R12810" t="s">
        <v>44777</v>
      </c>
      <c r="S12810" t="s">
        <v>45568</v>
      </c>
      <c r="T12810" t="s">
        <v>46399</v>
      </c>
      <c r="U12810" t="s">
        <v>57457</v>
      </c>
      <c r="V12810" t="s">
        <v>60557</v>
      </c>
      <c r="W12810" t="s">
        <v>44467</v>
      </c>
      <c r="X12810" t="s">
        <v>44780</v>
      </c>
    </row>
    <row r="12811" spans="1:24">
      <c r="A12811">
        <f>HYPERLINK("https://www.philgeps.gov.ph/GEPSNONPILOT/Tender/SplashBidNoticeAbstractUI.aspx?menuIndex=3&amp;refID=7116675&amp;Result=3","7116675")</f>
        <v>0</v>
      </c>
      <c r="B12811" t="s">
        <v>2647</v>
      </c>
      <c r="C12811" t="s">
        <v>15956</v>
      </c>
      <c r="E12811" t="s">
        <v>29103</v>
      </c>
      <c r="F12811" t="s">
        <v>30900</v>
      </c>
      <c r="G12811" t="s">
        <v>30907</v>
      </c>
      <c r="H12811" t="s">
        <v>30915</v>
      </c>
      <c r="I12811" t="s">
        <v>30919</v>
      </c>
      <c r="J12811" t="s">
        <v>39028</v>
      </c>
      <c r="K12811" t="s">
        <v>40289</v>
      </c>
      <c r="M12811" t="s">
        <v>43413</v>
      </c>
      <c r="N12811" t="s">
        <v>44759</v>
      </c>
      <c r="O12811" t="s">
        <v>44760</v>
      </c>
      <c r="P12811">
        <v>0</v>
      </c>
      <c r="Q12811">
        <v>4</v>
      </c>
      <c r="R12811" t="s">
        <v>44777</v>
      </c>
      <c r="S12811" t="s">
        <v>45524</v>
      </c>
      <c r="T12811" t="s">
        <v>46357</v>
      </c>
      <c r="U12811" t="s">
        <v>57458</v>
      </c>
      <c r="V12811" t="s">
        <v>60568</v>
      </c>
      <c r="W12811" t="s">
        <v>43413</v>
      </c>
      <c r="X12811" t="s">
        <v>44780</v>
      </c>
    </row>
    <row r="12812" spans="1:24">
      <c r="A12812">
        <f>HYPERLINK("https://www.philgeps.gov.ph/GEPSNONPILOT/Tender/SplashBidNoticeAbstractUI.aspx?menuIndex=3&amp;refID=7112918&amp;Result=3","7112918")</f>
        <v>0</v>
      </c>
      <c r="B12812" t="s">
        <v>2033</v>
      </c>
      <c r="C12812" t="s">
        <v>15957</v>
      </c>
      <c r="D12812" t="s">
        <v>17998</v>
      </c>
      <c r="E12812" t="s">
        <v>29104</v>
      </c>
      <c r="F12812" t="s">
        <v>30900</v>
      </c>
      <c r="G12812" t="s">
        <v>30907</v>
      </c>
      <c r="H12812" t="s">
        <v>30915</v>
      </c>
      <c r="I12812" t="s">
        <v>30919</v>
      </c>
      <c r="J12812" t="s">
        <v>31391</v>
      </c>
      <c r="K12812" t="s">
        <v>40354</v>
      </c>
      <c r="M12812" t="s">
        <v>42730</v>
      </c>
      <c r="N12812" t="s">
        <v>44759</v>
      </c>
      <c r="O12812" t="s">
        <v>44760</v>
      </c>
      <c r="P12812">
        <v>0</v>
      </c>
      <c r="Q12812">
        <v>3</v>
      </c>
      <c r="R12812" t="s">
        <v>44777</v>
      </c>
      <c r="S12812" t="s">
        <v>45524</v>
      </c>
      <c r="T12812" t="s">
        <v>46357</v>
      </c>
      <c r="U12812" t="s">
        <v>57459</v>
      </c>
      <c r="W12812" t="s">
        <v>42730</v>
      </c>
      <c r="X12812" t="s">
        <v>44782</v>
      </c>
    </row>
    <row r="12813" spans="1:24">
      <c r="A12813">
        <f>HYPERLINK("https://www.philgeps.gov.ph/GEPSNONPILOT/Tender/SplashBidNoticeAbstractUI.aspx?menuIndex=3&amp;refID=7113122&amp;Result=3","7113122")</f>
        <v>0</v>
      </c>
      <c r="B12813" t="s">
        <v>2033</v>
      </c>
      <c r="C12813" t="s">
        <v>15958</v>
      </c>
      <c r="D12813" t="s">
        <v>17998</v>
      </c>
      <c r="E12813" t="s">
        <v>29105</v>
      </c>
      <c r="F12813" t="s">
        <v>30900</v>
      </c>
      <c r="G12813" t="s">
        <v>30907</v>
      </c>
      <c r="H12813" t="s">
        <v>30916</v>
      </c>
      <c r="I12813" t="s">
        <v>30933</v>
      </c>
      <c r="J12813" t="s">
        <v>31944</v>
      </c>
      <c r="K12813" t="s">
        <v>40293</v>
      </c>
      <c r="M12813" t="s">
        <v>42730</v>
      </c>
      <c r="N12813" t="s">
        <v>44759</v>
      </c>
      <c r="O12813" t="s">
        <v>44760</v>
      </c>
      <c r="P12813">
        <v>0</v>
      </c>
      <c r="Q12813">
        <v>0</v>
      </c>
      <c r="R12813" t="s">
        <v>44777</v>
      </c>
      <c r="S12813" t="s">
        <v>45524</v>
      </c>
      <c r="T12813" t="s">
        <v>46357</v>
      </c>
      <c r="U12813" t="s">
        <v>57460</v>
      </c>
      <c r="W12813" t="s">
        <v>42730</v>
      </c>
      <c r="X12813" t="s">
        <v>44781</v>
      </c>
    </row>
    <row r="12814" spans="1:24">
      <c r="A12814">
        <f>HYPERLINK("https://www.philgeps.gov.ph/GEPSNONPILOT/Tender/SplashBidNoticeAbstractUI.aspx?menuIndex=3&amp;refID=7122800&amp;Result=3","7122800")</f>
        <v>0</v>
      </c>
      <c r="B12814" t="s">
        <v>1609</v>
      </c>
      <c r="C12814" t="s">
        <v>15959</v>
      </c>
      <c r="D12814" t="s">
        <v>17952</v>
      </c>
      <c r="E12814" t="s">
        <v>18758</v>
      </c>
      <c r="F12814" t="s">
        <v>30900</v>
      </c>
      <c r="G12814" t="s">
        <v>30907</v>
      </c>
      <c r="H12814" t="s">
        <v>30916</v>
      </c>
      <c r="I12814" t="s">
        <v>30924</v>
      </c>
      <c r="J12814" t="s">
        <v>34097</v>
      </c>
      <c r="K12814" t="s">
        <v>40332</v>
      </c>
      <c r="M12814" t="s">
        <v>42259</v>
      </c>
      <c r="N12814" t="s">
        <v>44759</v>
      </c>
      <c r="O12814" t="s">
        <v>44760</v>
      </c>
      <c r="Q12814">
        <v>6</v>
      </c>
      <c r="R12814" t="s">
        <v>44776</v>
      </c>
      <c r="S12814" t="s">
        <v>44870</v>
      </c>
      <c r="T12814" t="s">
        <v>46404</v>
      </c>
      <c r="U12814" t="s">
        <v>57461</v>
      </c>
      <c r="W12814" t="s">
        <v>42259</v>
      </c>
      <c r="X12814" t="s">
        <v>44777</v>
      </c>
    </row>
    <row r="12815" spans="1:24">
      <c r="A12815">
        <f>HYPERLINK("https://www.philgeps.gov.ph/GEPSNONPILOT/Tender/SplashBidNoticeAbstractUI.aspx?menuIndex=3&amp;refID=7122798&amp;Result=3","7122798")</f>
        <v>0</v>
      </c>
      <c r="B12815" t="s">
        <v>3533</v>
      </c>
      <c r="C12815" t="s">
        <v>15960</v>
      </c>
      <c r="D12815" t="s">
        <v>17953</v>
      </c>
      <c r="E12815" t="s">
        <v>29106</v>
      </c>
      <c r="F12815" t="s">
        <v>30900</v>
      </c>
      <c r="G12815" t="s">
        <v>30907</v>
      </c>
      <c r="H12815" t="s">
        <v>30916</v>
      </c>
      <c r="I12815" t="s">
        <v>30922</v>
      </c>
      <c r="J12815" t="s">
        <v>33325</v>
      </c>
      <c r="K12815" t="s">
        <v>40281</v>
      </c>
      <c r="M12815" t="s">
        <v>44447</v>
      </c>
      <c r="N12815" t="s">
        <v>44759</v>
      </c>
      <c r="O12815" t="s">
        <v>44760</v>
      </c>
      <c r="P12815">
        <v>0</v>
      </c>
      <c r="Q12815">
        <v>0</v>
      </c>
      <c r="R12815" t="s">
        <v>44776</v>
      </c>
      <c r="S12815" t="s">
        <v>45453</v>
      </c>
      <c r="T12815" t="s">
        <v>46399</v>
      </c>
      <c r="U12815" t="s">
        <v>57462</v>
      </c>
      <c r="W12815" t="s">
        <v>44447</v>
      </c>
      <c r="X12815" t="s">
        <v>44777</v>
      </c>
    </row>
    <row r="12816" spans="1:24">
      <c r="A12816">
        <f>HYPERLINK("https://www.philgeps.gov.ph/GEPSNONPILOT/Tender/SplashBidNoticeAbstractUI.aspx?menuIndex=3&amp;refID=7113111&amp;Result=3","7113111")</f>
        <v>0</v>
      </c>
      <c r="B12816" t="s">
        <v>2033</v>
      </c>
      <c r="C12816" t="s">
        <v>15961</v>
      </c>
      <c r="D12816" t="s">
        <v>17998</v>
      </c>
      <c r="E12816" t="s">
        <v>29107</v>
      </c>
      <c r="F12816" t="s">
        <v>30900</v>
      </c>
      <c r="G12816" t="s">
        <v>30907</v>
      </c>
      <c r="H12816" t="s">
        <v>30916</v>
      </c>
      <c r="I12816" t="s">
        <v>30933</v>
      </c>
      <c r="J12816" t="s">
        <v>39030</v>
      </c>
      <c r="K12816" t="s">
        <v>40293</v>
      </c>
      <c r="M12816" t="s">
        <v>42730</v>
      </c>
      <c r="N12816" t="s">
        <v>44759</v>
      </c>
      <c r="O12816" t="s">
        <v>44760</v>
      </c>
      <c r="Q12816">
        <v>7</v>
      </c>
      <c r="R12816" t="s">
        <v>44777</v>
      </c>
      <c r="S12816" t="s">
        <v>45569</v>
      </c>
      <c r="T12816" t="s">
        <v>46357</v>
      </c>
      <c r="U12816" t="s">
        <v>57463</v>
      </c>
      <c r="W12816" t="s">
        <v>42730</v>
      </c>
      <c r="X12816" t="s">
        <v>44781</v>
      </c>
    </row>
    <row r="12817" spans="1:24">
      <c r="A12817">
        <f>HYPERLINK("https://www.philgeps.gov.ph/GEPSNONPILOT/Tender/SplashBidNoticeAbstractUI.aspx?menuIndex=3&amp;refID=7122615&amp;Result=3","7122615")</f>
        <v>0</v>
      </c>
      <c r="B12817" t="s">
        <v>331</v>
      </c>
      <c r="C12817" t="s">
        <v>15962</v>
      </c>
      <c r="D12817" t="s">
        <v>18004</v>
      </c>
      <c r="E12817" t="s">
        <v>29108</v>
      </c>
      <c r="F12817" t="s">
        <v>30900</v>
      </c>
      <c r="G12817" t="s">
        <v>30908</v>
      </c>
      <c r="H12817" t="s">
        <v>30916</v>
      </c>
      <c r="I12817" t="s">
        <v>30955</v>
      </c>
      <c r="J12817" t="s">
        <v>31863</v>
      </c>
      <c r="K12817" t="s">
        <v>40292</v>
      </c>
      <c r="M12817" t="s">
        <v>40882</v>
      </c>
      <c r="N12817" t="s">
        <v>44759</v>
      </c>
      <c r="O12817" t="s">
        <v>44760</v>
      </c>
      <c r="P12817">
        <v>0</v>
      </c>
      <c r="Q12817">
        <v>0</v>
      </c>
      <c r="R12817" t="s">
        <v>44776</v>
      </c>
      <c r="S12817" t="s">
        <v>45453</v>
      </c>
      <c r="T12817" t="s">
        <v>46357</v>
      </c>
      <c r="U12817" t="s">
        <v>47469</v>
      </c>
      <c r="W12817" t="s">
        <v>40882</v>
      </c>
      <c r="X12817" t="s">
        <v>44777</v>
      </c>
    </row>
    <row r="12818" spans="1:24">
      <c r="A12818">
        <f>HYPERLINK("https://www.philgeps.gov.ph/GEPSNONPILOT/Tender/SplashBidNoticeAbstractUI.aspx?menuIndex=3&amp;refID=7112638&amp;Result=3","7112638")</f>
        <v>0</v>
      </c>
      <c r="B12818" t="s">
        <v>3549</v>
      </c>
      <c r="C12818" t="s">
        <v>15963</v>
      </c>
      <c r="D12818" t="s">
        <v>18015</v>
      </c>
      <c r="E12818" t="s">
        <v>29109</v>
      </c>
      <c r="F12818" t="s">
        <v>30900</v>
      </c>
      <c r="G12818" t="s">
        <v>30913</v>
      </c>
      <c r="H12818" t="s">
        <v>30916</v>
      </c>
      <c r="I12818" t="s">
        <v>4108</v>
      </c>
      <c r="J12818" t="s">
        <v>39031</v>
      </c>
      <c r="K12818" t="s">
        <v>40293</v>
      </c>
      <c r="M12818" t="s">
        <v>44464</v>
      </c>
      <c r="N12818" t="s">
        <v>44759</v>
      </c>
      <c r="O12818" t="s">
        <v>44760</v>
      </c>
      <c r="P12818">
        <v>0</v>
      </c>
      <c r="Q12818">
        <v>1</v>
      </c>
      <c r="R12818" t="s">
        <v>44777</v>
      </c>
      <c r="S12818" t="s">
        <v>45524</v>
      </c>
      <c r="T12818" t="s">
        <v>46484</v>
      </c>
      <c r="U12818" t="s">
        <v>57464</v>
      </c>
      <c r="V12818" t="s">
        <v>60555</v>
      </c>
      <c r="W12818" t="s">
        <v>44464</v>
      </c>
      <c r="X12818" t="s">
        <v>44782</v>
      </c>
    </row>
    <row r="12819" spans="1:24">
      <c r="A12819">
        <f>HYPERLINK("https://www.philgeps.gov.ph/GEPSNONPILOT/Tender/SplashBidNoticeAbstractUI.aspx?menuIndex=3&amp;refID=7122600&amp;Result=3","7122600")</f>
        <v>0</v>
      </c>
      <c r="B12819" t="s">
        <v>997</v>
      </c>
      <c r="C12819" t="s">
        <v>15964</v>
      </c>
      <c r="D12819" t="s">
        <v>17959</v>
      </c>
      <c r="E12819" t="s">
        <v>29110</v>
      </c>
      <c r="F12819" t="s">
        <v>30900</v>
      </c>
      <c r="G12819" t="s">
        <v>30907</v>
      </c>
      <c r="H12819" t="s">
        <v>30916</v>
      </c>
      <c r="I12819" t="s">
        <v>30963</v>
      </c>
      <c r="J12819" t="s">
        <v>39032</v>
      </c>
      <c r="K12819" t="s">
        <v>40392</v>
      </c>
      <c r="M12819" t="s">
        <v>44162</v>
      </c>
      <c r="N12819" t="s">
        <v>44759</v>
      </c>
      <c r="O12819" t="s">
        <v>44760</v>
      </c>
      <c r="Q12819">
        <v>3</v>
      </c>
      <c r="R12819" t="s">
        <v>44776</v>
      </c>
      <c r="S12819" t="s">
        <v>45570</v>
      </c>
      <c r="T12819" t="s">
        <v>46411</v>
      </c>
      <c r="U12819" t="s">
        <v>57465</v>
      </c>
      <c r="W12819" t="s">
        <v>44162</v>
      </c>
      <c r="X12819" t="s">
        <v>44777</v>
      </c>
    </row>
    <row r="12820" spans="1:24">
      <c r="A12820">
        <f>HYPERLINK("https://www.philgeps.gov.ph/GEPSNONPILOT/Tender/SplashBidNoticeAbstractUI.aspx?menuIndex=3&amp;refID=7122604&amp;Result=3","7122604")</f>
        <v>0</v>
      </c>
      <c r="B12820" t="s">
        <v>331</v>
      </c>
      <c r="C12820" t="s">
        <v>15965</v>
      </c>
      <c r="D12820" t="s">
        <v>18004</v>
      </c>
      <c r="E12820" t="s">
        <v>29111</v>
      </c>
      <c r="F12820" t="s">
        <v>30900</v>
      </c>
      <c r="G12820" t="s">
        <v>30908</v>
      </c>
      <c r="H12820" t="s">
        <v>30916</v>
      </c>
      <c r="I12820" t="s">
        <v>8123</v>
      </c>
      <c r="J12820" t="s">
        <v>39033</v>
      </c>
      <c r="K12820" t="s">
        <v>40292</v>
      </c>
      <c r="M12820" t="s">
        <v>40882</v>
      </c>
      <c r="N12820" t="s">
        <v>44759</v>
      </c>
      <c r="O12820" t="s">
        <v>44760</v>
      </c>
      <c r="P12820">
        <v>0</v>
      </c>
      <c r="Q12820">
        <v>0</v>
      </c>
      <c r="R12820" t="s">
        <v>44776</v>
      </c>
      <c r="S12820" t="s">
        <v>45453</v>
      </c>
      <c r="T12820" t="s">
        <v>46357</v>
      </c>
      <c r="U12820" t="s">
        <v>47469</v>
      </c>
      <c r="W12820" t="s">
        <v>40882</v>
      </c>
      <c r="X12820" t="s">
        <v>44777</v>
      </c>
    </row>
    <row r="12821" spans="1:24">
      <c r="A12821">
        <f>HYPERLINK("https://www.philgeps.gov.ph/GEPSNONPILOT/Tender/SplashBidNoticeAbstractUI.aspx?menuIndex=3&amp;refID=7122596&amp;Result=3","7122596")</f>
        <v>0</v>
      </c>
      <c r="B12821" t="s">
        <v>3555</v>
      </c>
      <c r="C12821" t="s">
        <v>15966</v>
      </c>
      <c r="E12821" t="s">
        <v>29112</v>
      </c>
      <c r="F12821" t="s">
        <v>30900</v>
      </c>
      <c r="G12821" t="s">
        <v>30907</v>
      </c>
      <c r="H12821" t="s">
        <v>30915</v>
      </c>
      <c r="I12821" t="s">
        <v>30919</v>
      </c>
      <c r="J12821" t="s">
        <v>39034</v>
      </c>
      <c r="K12821" t="s">
        <v>40369</v>
      </c>
      <c r="M12821" t="s">
        <v>44475</v>
      </c>
      <c r="N12821" t="s">
        <v>44759</v>
      </c>
      <c r="O12821" t="s">
        <v>44760</v>
      </c>
      <c r="Q12821">
        <v>15</v>
      </c>
      <c r="R12821" t="s">
        <v>44776</v>
      </c>
      <c r="S12821" t="s">
        <v>45571</v>
      </c>
      <c r="T12821" t="s">
        <v>46352</v>
      </c>
      <c r="U12821" t="s">
        <v>57466</v>
      </c>
      <c r="W12821" t="s">
        <v>44475</v>
      </c>
      <c r="X12821" t="s">
        <v>44777</v>
      </c>
    </row>
    <row r="12822" spans="1:24">
      <c r="A12822">
        <f>HYPERLINK("https://www.philgeps.gov.ph/GEPSNONPILOT/Tender/SplashBidNoticeAbstractUI.aspx?menuIndex=3&amp;refID=7122603&amp;Result=3","7122603")</f>
        <v>0</v>
      </c>
      <c r="B12822" t="s">
        <v>860</v>
      </c>
      <c r="C12822" t="s">
        <v>15967</v>
      </c>
      <c r="D12822" t="s">
        <v>17959</v>
      </c>
      <c r="E12822" t="s">
        <v>29113</v>
      </c>
      <c r="F12822" t="s">
        <v>30900</v>
      </c>
      <c r="G12822" t="s">
        <v>30907</v>
      </c>
      <c r="H12822" t="s">
        <v>30915</v>
      </c>
      <c r="I12822" t="s">
        <v>30919</v>
      </c>
      <c r="J12822" t="s">
        <v>39035</v>
      </c>
      <c r="K12822" t="s">
        <v>40289</v>
      </c>
      <c r="M12822" t="s">
        <v>41433</v>
      </c>
      <c r="N12822" t="s">
        <v>44759</v>
      </c>
      <c r="O12822" t="s">
        <v>44760</v>
      </c>
      <c r="P12822">
        <v>0</v>
      </c>
      <c r="Q12822">
        <v>2</v>
      </c>
      <c r="R12822" t="s">
        <v>44776</v>
      </c>
      <c r="S12822" t="s">
        <v>45453</v>
      </c>
      <c r="T12822" t="s">
        <v>46395</v>
      </c>
      <c r="U12822" t="s">
        <v>57467</v>
      </c>
      <c r="W12822" t="s">
        <v>41433</v>
      </c>
      <c r="X12822" t="s">
        <v>44777</v>
      </c>
    </row>
    <row r="12823" spans="1:24">
      <c r="A12823">
        <f>HYPERLINK("https://www.philgeps.gov.ph/GEPSNONPILOT/Tender/SplashBidNoticeAbstractUI.aspx?menuIndex=3&amp;refID=7122582&amp;Result=3","7122582")</f>
        <v>0</v>
      </c>
      <c r="B12823" t="s">
        <v>860</v>
      </c>
      <c r="C12823" t="s">
        <v>15968</v>
      </c>
      <c r="D12823" t="s">
        <v>17959</v>
      </c>
      <c r="E12823" t="s">
        <v>29114</v>
      </c>
      <c r="F12823" t="s">
        <v>30900</v>
      </c>
      <c r="G12823" t="s">
        <v>30907</v>
      </c>
      <c r="H12823" t="s">
        <v>30915</v>
      </c>
      <c r="I12823" t="s">
        <v>30919</v>
      </c>
      <c r="J12823" t="s">
        <v>39036</v>
      </c>
      <c r="K12823" t="s">
        <v>40289</v>
      </c>
      <c r="M12823" t="s">
        <v>41433</v>
      </c>
      <c r="N12823" t="s">
        <v>44759</v>
      </c>
      <c r="O12823" t="s">
        <v>44760</v>
      </c>
      <c r="P12823">
        <v>0</v>
      </c>
      <c r="Q12823">
        <v>0</v>
      </c>
      <c r="R12823" t="s">
        <v>44776</v>
      </c>
      <c r="S12823" t="s">
        <v>45453</v>
      </c>
      <c r="T12823" t="s">
        <v>46395</v>
      </c>
      <c r="U12823" t="s">
        <v>57468</v>
      </c>
      <c r="W12823" t="s">
        <v>41433</v>
      </c>
      <c r="X12823" t="s">
        <v>44777</v>
      </c>
    </row>
    <row r="12824" spans="1:24">
      <c r="A12824">
        <f>HYPERLINK("https://www.philgeps.gov.ph/GEPSNONPILOT/Tender/SplashBidNoticeAbstractUI.aspx?menuIndex=3&amp;refID=7122506&amp;Result=3","7122506")</f>
        <v>0</v>
      </c>
      <c r="B12824" t="s">
        <v>3530</v>
      </c>
      <c r="C12824" t="s">
        <v>15969</v>
      </c>
      <c r="D12824" t="s">
        <v>17985</v>
      </c>
      <c r="E12824" t="s">
        <v>29115</v>
      </c>
      <c r="F12824" t="s">
        <v>30900</v>
      </c>
      <c r="G12824" t="s">
        <v>30907</v>
      </c>
      <c r="H12824" t="s">
        <v>30915</v>
      </c>
      <c r="I12824" t="s">
        <v>30919</v>
      </c>
      <c r="J12824" t="s">
        <v>31152</v>
      </c>
      <c r="K12824" t="s">
        <v>40280</v>
      </c>
      <c r="M12824" t="s">
        <v>44444</v>
      </c>
      <c r="N12824" t="s">
        <v>44759</v>
      </c>
      <c r="O12824" t="s">
        <v>44760</v>
      </c>
      <c r="P12824">
        <v>0</v>
      </c>
      <c r="Q12824">
        <v>0</v>
      </c>
      <c r="R12824" t="s">
        <v>44776</v>
      </c>
      <c r="S12824" t="s">
        <v>45453</v>
      </c>
      <c r="T12824" t="s">
        <v>46350</v>
      </c>
      <c r="U12824" t="s">
        <v>57469</v>
      </c>
      <c r="W12824" t="s">
        <v>44444</v>
      </c>
      <c r="X12824" t="s">
        <v>44777</v>
      </c>
    </row>
    <row r="12825" spans="1:24">
      <c r="A12825">
        <f>HYPERLINK("https://www.philgeps.gov.ph/GEPSNONPILOT/Tender/SplashBidNoticeAbstractUI.aspx?menuIndex=3&amp;refID=7122504&amp;Result=3","7122504")</f>
        <v>0</v>
      </c>
      <c r="B12825" t="s">
        <v>860</v>
      </c>
      <c r="C12825" t="s">
        <v>15970</v>
      </c>
      <c r="D12825" t="s">
        <v>17959</v>
      </c>
      <c r="E12825" t="s">
        <v>29116</v>
      </c>
      <c r="F12825" t="s">
        <v>30900</v>
      </c>
      <c r="G12825" t="s">
        <v>30907</v>
      </c>
      <c r="H12825" t="s">
        <v>30916</v>
      </c>
      <c r="I12825" t="s">
        <v>30934</v>
      </c>
      <c r="J12825" t="s">
        <v>39037</v>
      </c>
      <c r="K12825" t="s">
        <v>40289</v>
      </c>
      <c r="M12825" t="s">
        <v>41433</v>
      </c>
      <c r="N12825" t="s">
        <v>44759</v>
      </c>
      <c r="O12825" t="s">
        <v>44760</v>
      </c>
      <c r="P12825">
        <v>0</v>
      </c>
      <c r="Q12825">
        <v>13</v>
      </c>
      <c r="R12825" t="s">
        <v>44776</v>
      </c>
      <c r="S12825" t="s">
        <v>45453</v>
      </c>
      <c r="T12825" t="s">
        <v>46395</v>
      </c>
      <c r="U12825" t="s">
        <v>57470</v>
      </c>
      <c r="W12825" t="s">
        <v>41433</v>
      </c>
      <c r="X12825" t="s">
        <v>44777</v>
      </c>
    </row>
    <row r="12826" spans="1:24">
      <c r="A12826">
        <f>HYPERLINK("https://www.philgeps.gov.ph/GEPSNONPILOT/Tender/SplashBidNoticeAbstractUI.aspx?menuIndex=3&amp;refID=7122575&amp;Result=3","7122575")</f>
        <v>0</v>
      </c>
      <c r="B12826" t="s">
        <v>331</v>
      </c>
      <c r="C12826" t="s">
        <v>15971</v>
      </c>
      <c r="D12826" t="s">
        <v>18004</v>
      </c>
      <c r="E12826" t="s">
        <v>29117</v>
      </c>
      <c r="F12826" t="s">
        <v>30900</v>
      </c>
      <c r="G12826" t="s">
        <v>30908</v>
      </c>
      <c r="H12826" t="s">
        <v>30916</v>
      </c>
      <c r="I12826" t="s">
        <v>30955</v>
      </c>
      <c r="J12826" t="s">
        <v>31863</v>
      </c>
      <c r="K12826" t="s">
        <v>40292</v>
      </c>
      <c r="M12826" t="s">
        <v>40882</v>
      </c>
      <c r="N12826" t="s">
        <v>44759</v>
      </c>
      <c r="O12826" t="s">
        <v>44760</v>
      </c>
      <c r="P12826">
        <v>0</v>
      </c>
      <c r="Q12826">
        <v>0</v>
      </c>
      <c r="R12826" t="s">
        <v>44776</v>
      </c>
      <c r="S12826" t="s">
        <v>45453</v>
      </c>
      <c r="T12826" t="s">
        <v>46357</v>
      </c>
      <c r="U12826" t="s">
        <v>47469</v>
      </c>
      <c r="W12826" t="s">
        <v>40882</v>
      </c>
      <c r="X12826" t="s">
        <v>44777</v>
      </c>
    </row>
    <row r="12827" spans="1:24">
      <c r="A12827">
        <f>HYPERLINK("https://www.philgeps.gov.ph/GEPSNONPILOT/Tender/SplashBidNoticeAbstractUI.aspx?menuIndex=3&amp;refID=7122474&amp;Result=3","7122474")</f>
        <v>0</v>
      </c>
      <c r="B12827" t="s">
        <v>860</v>
      </c>
      <c r="C12827" t="s">
        <v>15972</v>
      </c>
      <c r="D12827" t="s">
        <v>17959</v>
      </c>
      <c r="E12827" t="s">
        <v>29118</v>
      </c>
      <c r="F12827" t="s">
        <v>30900</v>
      </c>
      <c r="G12827" t="s">
        <v>30907</v>
      </c>
      <c r="H12827" t="s">
        <v>30917</v>
      </c>
      <c r="I12827" t="s">
        <v>30942</v>
      </c>
      <c r="J12827" t="s">
        <v>31391</v>
      </c>
      <c r="K12827" t="s">
        <v>40332</v>
      </c>
      <c r="M12827" t="s">
        <v>41433</v>
      </c>
      <c r="N12827" t="s">
        <v>44759</v>
      </c>
      <c r="O12827" t="s">
        <v>44760</v>
      </c>
      <c r="P12827">
        <v>0</v>
      </c>
      <c r="Q12827">
        <v>8</v>
      </c>
      <c r="R12827" t="s">
        <v>44776</v>
      </c>
      <c r="S12827" t="s">
        <v>45453</v>
      </c>
      <c r="T12827" t="s">
        <v>46395</v>
      </c>
      <c r="U12827" t="s">
        <v>57471</v>
      </c>
      <c r="W12827" t="s">
        <v>41433</v>
      </c>
      <c r="X12827" t="s">
        <v>44777</v>
      </c>
    </row>
    <row r="12828" spans="1:24">
      <c r="A12828">
        <f>HYPERLINK("https://www.philgeps.gov.ph/GEPSNONPILOT/Tender/SplashBidNoticeAbstractUI.aspx?menuIndex=3&amp;refID=7122464&amp;Result=3","7122464")</f>
        <v>0</v>
      </c>
      <c r="B12828" t="s">
        <v>3556</v>
      </c>
      <c r="C12828" t="s">
        <v>15973</v>
      </c>
      <c r="D12828" t="s">
        <v>17968</v>
      </c>
      <c r="E12828" t="s">
        <v>29119</v>
      </c>
      <c r="F12828" t="s">
        <v>30900</v>
      </c>
      <c r="G12828" t="s">
        <v>30907</v>
      </c>
      <c r="H12828" t="s">
        <v>30915</v>
      </c>
      <c r="I12828" t="s">
        <v>30919</v>
      </c>
      <c r="J12828" t="s">
        <v>39038</v>
      </c>
      <c r="K12828" t="s">
        <v>40280</v>
      </c>
      <c r="M12828" t="s">
        <v>44476</v>
      </c>
      <c r="N12828" t="s">
        <v>44759</v>
      </c>
      <c r="O12828" t="s">
        <v>44760</v>
      </c>
      <c r="P12828">
        <v>0</v>
      </c>
      <c r="Q12828">
        <v>0</v>
      </c>
      <c r="R12828" t="s">
        <v>44776</v>
      </c>
      <c r="S12828" t="s">
        <v>45453</v>
      </c>
      <c r="T12828" t="s">
        <v>46418</v>
      </c>
      <c r="U12828" t="s">
        <v>57472</v>
      </c>
      <c r="W12828" t="s">
        <v>44476</v>
      </c>
      <c r="X12828" t="s">
        <v>44777</v>
      </c>
    </row>
    <row r="12829" spans="1:24">
      <c r="A12829">
        <f>HYPERLINK("https://www.philgeps.gov.ph/GEPSNONPILOT/Tender/SplashBidNoticeAbstractUI.aspx?menuIndex=3&amp;refID=7122484&amp;Result=3","7122484")</f>
        <v>0</v>
      </c>
      <c r="B12829" t="s">
        <v>1069</v>
      </c>
      <c r="C12829" t="s">
        <v>15974</v>
      </c>
      <c r="D12829" t="s">
        <v>17975</v>
      </c>
      <c r="E12829" t="s">
        <v>29120</v>
      </c>
      <c r="F12829" t="s">
        <v>30900</v>
      </c>
      <c r="G12829" t="s">
        <v>30907</v>
      </c>
      <c r="H12829" t="s">
        <v>30916</v>
      </c>
      <c r="I12829" t="s">
        <v>30919</v>
      </c>
      <c r="J12829" t="s">
        <v>39039</v>
      </c>
      <c r="K12829" t="s">
        <v>40289</v>
      </c>
      <c r="M12829" t="s">
        <v>41667</v>
      </c>
      <c r="N12829" t="s">
        <v>44759</v>
      </c>
      <c r="O12829" t="s">
        <v>44760</v>
      </c>
      <c r="P12829">
        <v>0</v>
      </c>
      <c r="Q12829">
        <v>0</v>
      </c>
      <c r="R12829" t="s">
        <v>44776</v>
      </c>
      <c r="S12829" t="s">
        <v>45453</v>
      </c>
      <c r="T12829" t="s">
        <v>46376</v>
      </c>
      <c r="U12829" t="s">
        <v>49393</v>
      </c>
      <c r="W12829" t="s">
        <v>41667</v>
      </c>
      <c r="X12829" t="s">
        <v>44777</v>
      </c>
    </row>
    <row r="12830" spans="1:24">
      <c r="A12830">
        <f>HYPERLINK("https://www.philgeps.gov.ph/GEPSNONPILOT/Tender/SplashBidNoticeAbstractUI.aspx?menuIndex=3&amp;refID=7122463&amp;Result=3","7122463")</f>
        <v>0</v>
      </c>
      <c r="B12830" t="s">
        <v>2850</v>
      </c>
      <c r="C12830" t="s">
        <v>15975</v>
      </c>
      <c r="E12830" t="s">
        <v>29121</v>
      </c>
      <c r="F12830" t="s">
        <v>30900</v>
      </c>
      <c r="G12830" t="s">
        <v>30907</v>
      </c>
      <c r="H12830" t="s">
        <v>30917</v>
      </c>
      <c r="I12830" t="s">
        <v>30942</v>
      </c>
      <c r="J12830" t="s">
        <v>39040</v>
      </c>
      <c r="K12830" t="s">
        <v>40366</v>
      </c>
      <c r="M12830" t="s">
        <v>43637</v>
      </c>
      <c r="N12830" t="s">
        <v>44759</v>
      </c>
      <c r="O12830" t="s">
        <v>44760</v>
      </c>
      <c r="P12830">
        <v>0</v>
      </c>
      <c r="Q12830">
        <v>0</v>
      </c>
      <c r="R12830" t="s">
        <v>44776</v>
      </c>
      <c r="S12830" t="s">
        <v>45453</v>
      </c>
      <c r="T12830" t="s">
        <v>46400</v>
      </c>
      <c r="U12830" t="s">
        <v>57473</v>
      </c>
      <c r="W12830" t="s">
        <v>43637</v>
      </c>
      <c r="X12830" t="s">
        <v>44777</v>
      </c>
    </row>
    <row r="12831" spans="1:24">
      <c r="A12831">
        <f>HYPERLINK("https://www.philgeps.gov.ph/GEPSNONPILOT/Tender/SplashBidNoticeAbstractUI.aspx?menuIndex=3&amp;refID=7122075&amp;Result=3","7122075")</f>
        <v>0</v>
      </c>
      <c r="B12831" t="s">
        <v>303</v>
      </c>
      <c r="C12831" t="s">
        <v>15976</v>
      </c>
      <c r="D12831" t="s">
        <v>17951</v>
      </c>
      <c r="E12831" t="s">
        <v>29122</v>
      </c>
      <c r="F12831" t="s">
        <v>30900</v>
      </c>
      <c r="G12831" t="s">
        <v>30907</v>
      </c>
      <c r="H12831" t="s">
        <v>30915</v>
      </c>
      <c r="I12831" t="s">
        <v>30919</v>
      </c>
      <c r="J12831" t="s">
        <v>32523</v>
      </c>
      <c r="K12831" t="s">
        <v>40497</v>
      </c>
      <c r="M12831" t="s">
        <v>40852</v>
      </c>
      <c r="N12831" t="s">
        <v>44759</v>
      </c>
      <c r="O12831" t="s">
        <v>44760</v>
      </c>
      <c r="Q12831">
        <v>1</v>
      </c>
      <c r="R12831" t="s">
        <v>44776</v>
      </c>
      <c r="S12831" t="s">
        <v>45572</v>
      </c>
      <c r="T12831" t="s">
        <v>46357</v>
      </c>
      <c r="U12831" t="s">
        <v>57237</v>
      </c>
      <c r="W12831" t="s">
        <v>40852</v>
      </c>
      <c r="X12831" t="s">
        <v>44777</v>
      </c>
    </row>
    <row r="12832" spans="1:24">
      <c r="A12832">
        <f>HYPERLINK("https://www.philgeps.gov.ph/GEPSNONPILOT/Tender/SplashBidNoticeAbstractUI.aspx?menuIndex=3&amp;refID=7122579&amp;Result=3","7122579")</f>
        <v>0</v>
      </c>
      <c r="B12832" t="s">
        <v>3557</v>
      </c>
      <c r="C12832" t="s">
        <v>15977</v>
      </c>
      <c r="D12832" t="s">
        <v>17960</v>
      </c>
      <c r="E12832" t="s">
        <v>18271</v>
      </c>
      <c r="F12832" t="s">
        <v>30900</v>
      </c>
      <c r="G12832" t="s">
        <v>30907</v>
      </c>
      <c r="H12832" t="s">
        <v>30915</v>
      </c>
      <c r="I12832" t="s">
        <v>30919</v>
      </c>
      <c r="J12832" t="s">
        <v>39041</v>
      </c>
      <c r="K12832" t="s">
        <v>40292</v>
      </c>
      <c r="M12832" t="s">
        <v>44477</v>
      </c>
      <c r="N12832" t="s">
        <v>44759</v>
      </c>
      <c r="O12832" t="s">
        <v>44760</v>
      </c>
      <c r="Q12832">
        <v>2</v>
      </c>
      <c r="R12832" t="s">
        <v>44776</v>
      </c>
      <c r="S12832" t="s">
        <v>45573</v>
      </c>
      <c r="T12832" t="s">
        <v>46625</v>
      </c>
      <c r="U12832" t="s">
        <v>57474</v>
      </c>
      <c r="W12832" t="s">
        <v>44477</v>
      </c>
      <c r="X12832" t="s">
        <v>44777</v>
      </c>
    </row>
    <row r="12833" spans="1:24">
      <c r="A12833">
        <f>HYPERLINK("https://www.philgeps.gov.ph/GEPSNONPILOT/Tender/SplashBidNoticeAbstractUI.aspx?menuIndex=3&amp;refID=7122070&amp;Result=3","7122070")</f>
        <v>0</v>
      </c>
      <c r="B12833" t="s">
        <v>2474</v>
      </c>
      <c r="C12833" t="s">
        <v>15978</v>
      </c>
      <c r="D12833" t="s">
        <v>17959</v>
      </c>
      <c r="E12833" t="s">
        <v>29123</v>
      </c>
      <c r="F12833" t="s">
        <v>30900</v>
      </c>
      <c r="G12833" t="s">
        <v>30907</v>
      </c>
      <c r="H12833" t="s">
        <v>30915</v>
      </c>
      <c r="I12833" t="s">
        <v>30919</v>
      </c>
      <c r="J12833" t="s">
        <v>32324</v>
      </c>
      <c r="K12833" t="s">
        <v>40292</v>
      </c>
      <c r="M12833" t="s">
        <v>44417</v>
      </c>
      <c r="N12833" t="s">
        <v>44759</v>
      </c>
      <c r="O12833" t="s">
        <v>44760</v>
      </c>
      <c r="P12833">
        <v>0</v>
      </c>
      <c r="Q12833">
        <v>4</v>
      </c>
      <c r="R12833" t="s">
        <v>44776</v>
      </c>
      <c r="S12833" t="s">
        <v>45453</v>
      </c>
      <c r="T12833" t="s">
        <v>46400</v>
      </c>
      <c r="U12833" t="s">
        <v>57202</v>
      </c>
      <c r="W12833" t="s">
        <v>60933</v>
      </c>
      <c r="X12833" t="s">
        <v>44777</v>
      </c>
    </row>
    <row r="12834" spans="1:24">
      <c r="A12834">
        <f>HYPERLINK("https://www.philgeps.gov.ph/GEPSNONPILOT/Tender/SplashBidNoticeAbstractUI.aspx?menuIndex=3&amp;refID=7122068&amp;Result=3","7122068")</f>
        <v>0</v>
      </c>
      <c r="B12834" t="s">
        <v>3535</v>
      </c>
      <c r="C12834" t="s">
        <v>15979</v>
      </c>
      <c r="D12834" t="s">
        <v>18031</v>
      </c>
      <c r="E12834" t="s">
        <v>29124</v>
      </c>
      <c r="F12834" t="s">
        <v>30900</v>
      </c>
      <c r="G12834" t="s">
        <v>30907</v>
      </c>
      <c r="H12834" t="s">
        <v>30915</v>
      </c>
      <c r="I12834" t="s">
        <v>30919</v>
      </c>
      <c r="J12834" t="s">
        <v>39042</v>
      </c>
      <c r="K12834" t="s">
        <v>40298</v>
      </c>
      <c r="M12834" t="s">
        <v>44449</v>
      </c>
      <c r="N12834" t="s">
        <v>44759</v>
      </c>
      <c r="O12834" t="s">
        <v>44760</v>
      </c>
      <c r="P12834">
        <v>0</v>
      </c>
      <c r="Q12834">
        <v>0</v>
      </c>
      <c r="R12834" t="s">
        <v>44776</v>
      </c>
      <c r="S12834" t="s">
        <v>45453</v>
      </c>
      <c r="T12834" t="s">
        <v>46357</v>
      </c>
      <c r="U12834" t="s">
        <v>57302</v>
      </c>
      <c r="V12834" t="s">
        <v>60569</v>
      </c>
      <c r="W12834" t="s">
        <v>44449</v>
      </c>
      <c r="X12834" t="s">
        <v>44777</v>
      </c>
    </row>
    <row r="12835" spans="1:24">
      <c r="A12835">
        <f>HYPERLINK("https://www.philgeps.gov.ph/GEPSNONPILOT/Tender/SplashBidNoticeAbstractUI.aspx?menuIndex=3&amp;refID=7121718&amp;Result=3","7121718")</f>
        <v>0</v>
      </c>
      <c r="B12835" t="s">
        <v>416</v>
      </c>
      <c r="C12835" t="s">
        <v>15980</v>
      </c>
      <c r="D12835" t="s">
        <v>17976</v>
      </c>
      <c r="E12835" t="s">
        <v>29125</v>
      </c>
      <c r="F12835" t="s">
        <v>30904</v>
      </c>
      <c r="G12835" t="s">
        <v>30906</v>
      </c>
      <c r="H12835" t="s">
        <v>30916</v>
      </c>
      <c r="I12835" t="s">
        <v>6953</v>
      </c>
      <c r="J12835" t="s">
        <v>31139</v>
      </c>
      <c r="K12835" t="s">
        <v>40283</v>
      </c>
      <c r="M12835" t="s">
        <v>40972</v>
      </c>
      <c r="N12835" t="s">
        <v>44759</v>
      </c>
      <c r="O12835" t="s">
        <v>44760</v>
      </c>
      <c r="Q12835">
        <v>0</v>
      </c>
      <c r="R12835" t="s">
        <v>44776</v>
      </c>
      <c r="S12835" t="s">
        <v>45574</v>
      </c>
      <c r="T12835" t="s">
        <v>46658</v>
      </c>
      <c r="U12835" t="s">
        <v>57210</v>
      </c>
      <c r="W12835" t="s">
        <v>40972</v>
      </c>
      <c r="X12835" t="s">
        <v>44777</v>
      </c>
    </row>
    <row r="12836" spans="1:24">
      <c r="A12836">
        <f>HYPERLINK("https://www.philgeps.gov.ph/GEPSNONPILOT/Tender/SplashBidNoticeAbstractUI.aspx?menuIndex=3&amp;refID=7121715&amp;Result=3","7121715")</f>
        <v>0</v>
      </c>
      <c r="B12836" t="s">
        <v>143</v>
      </c>
      <c r="C12836" t="s">
        <v>15981</v>
      </c>
      <c r="D12836" t="s">
        <v>17965</v>
      </c>
      <c r="E12836" t="s">
        <v>29126</v>
      </c>
      <c r="F12836" t="s">
        <v>30900</v>
      </c>
      <c r="G12836" t="s">
        <v>30907</v>
      </c>
      <c r="H12836" t="s">
        <v>30915</v>
      </c>
      <c r="I12836" t="s">
        <v>30919</v>
      </c>
      <c r="J12836" t="s">
        <v>39043</v>
      </c>
      <c r="K12836" t="s">
        <v>40286</v>
      </c>
      <c r="M12836" t="s">
        <v>40854</v>
      </c>
      <c r="N12836" t="s">
        <v>44759</v>
      </c>
      <c r="O12836" t="s">
        <v>44760</v>
      </c>
      <c r="P12836">
        <v>0</v>
      </c>
      <c r="Q12836">
        <v>0</v>
      </c>
      <c r="R12836" t="s">
        <v>44776</v>
      </c>
      <c r="S12836" t="s">
        <v>45453</v>
      </c>
      <c r="T12836" t="s">
        <v>46361</v>
      </c>
      <c r="U12836" t="s">
        <v>47423</v>
      </c>
      <c r="W12836" t="s">
        <v>40854</v>
      </c>
      <c r="X12836" t="s">
        <v>44777</v>
      </c>
    </row>
    <row r="12837" spans="1:24">
      <c r="A12837">
        <f>HYPERLINK("https://www.philgeps.gov.ph/GEPSNONPILOT/Tender/SplashBidNoticeAbstractUI.aspx?menuIndex=3&amp;refID=7121697&amp;Result=3","7121697")</f>
        <v>0</v>
      </c>
      <c r="B12837" t="s">
        <v>3506</v>
      </c>
      <c r="C12837" t="s">
        <v>15982</v>
      </c>
      <c r="D12837" t="s">
        <v>17975</v>
      </c>
      <c r="E12837" t="s">
        <v>29127</v>
      </c>
      <c r="F12837" t="s">
        <v>30900</v>
      </c>
      <c r="G12837" t="s">
        <v>30907</v>
      </c>
      <c r="H12837" t="s">
        <v>30916</v>
      </c>
      <c r="I12837" t="s">
        <v>30927</v>
      </c>
      <c r="J12837" t="s">
        <v>39044</v>
      </c>
      <c r="K12837" t="s">
        <v>40291</v>
      </c>
      <c r="M12837" t="s">
        <v>44411</v>
      </c>
      <c r="N12837" t="s">
        <v>44759</v>
      </c>
      <c r="O12837" t="s">
        <v>44760</v>
      </c>
      <c r="P12837">
        <v>0</v>
      </c>
      <c r="Q12837">
        <v>2</v>
      </c>
      <c r="R12837" t="s">
        <v>44776</v>
      </c>
      <c r="S12837" t="s">
        <v>45453</v>
      </c>
      <c r="T12837" t="s">
        <v>46421</v>
      </c>
      <c r="U12837" t="s">
        <v>57192</v>
      </c>
      <c r="W12837" t="s">
        <v>44411</v>
      </c>
      <c r="X12837" t="s">
        <v>44777</v>
      </c>
    </row>
    <row r="12838" spans="1:24">
      <c r="A12838">
        <f>HYPERLINK("https://www.philgeps.gov.ph/GEPSNONPILOT/Tender/SplashBidNoticeAbstractUI.aspx?menuIndex=3&amp;refID=7118304&amp;Result=3","7118304")</f>
        <v>0</v>
      </c>
      <c r="B12838" t="s">
        <v>743</v>
      </c>
      <c r="C12838" t="s">
        <v>15983</v>
      </c>
      <c r="D12838" t="s">
        <v>18013</v>
      </c>
      <c r="E12838" t="s">
        <v>29128</v>
      </c>
      <c r="F12838" t="s">
        <v>30900</v>
      </c>
      <c r="G12838" t="s">
        <v>30907</v>
      </c>
      <c r="H12838" t="s">
        <v>30916</v>
      </c>
      <c r="I12838" t="s">
        <v>30922</v>
      </c>
      <c r="J12838" t="s">
        <v>32057</v>
      </c>
      <c r="K12838" t="s">
        <v>40292</v>
      </c>
      <c r="M12838" t="s">
        <v>41307</v>
      </c>
      <c r="N12838" t="s">
        <v>44759</v>
      </c>
      <c r="O12838" t="s">
        <v>44760</v>
      </c>
      <c r="Q12838">
        <v>2</v>
      </c>
      <c r="R12838" t="s">
        <v>44777</v>
      </c>
      <c r="S12838" t="s">
        <v>45575</v>
      </c>
      <c r="T12838" t="s">
        <v>46409</v>
      </c>
      <c r="U12838" t="s">
        <v>57475</v>
      </c>
      <c r="W12838" t="s">
        <v>41307</v>
      </c>
      <c r="X12838" t="s">
        <v>44780</v>
      </c>
    </row>
    <row r="12839" spans="1:24">
      <c r="A12839">
        <f>HYPERLINK("https://www.philgeps.gov.ph/GEPSNONPILOT/Tender/SplashBidNoticeAbstractUI.aspx?menuIndex=3&amp;refID=7118872&amp;Result=3","7118872")</f>
        <v>0</v>
      </c>
      <c r="B12839" t="s">
        <v>1997</v>
      </c>
      <c r="C12839" t="s">
        <v>15984</v>
      </c>
      <c r="D12839" t="s">
        <v>17953</v>
      </c>
      <c r="E12839" t="s">
        <v>29129</v>
      </c>
      <c r="F12839" t="s">
        <v>30900</v>
      </c>
      <c r="G12839" t="s">
        <v>30907</v>
      </c>
      <c r="H12839" t="s">
        <v>30916</v>
      </c>
      <c r="I12839" t="s">
        <v>30923</v>
      </c>
      <c r="J12839" t="s">
        <v>39045</v>
      </c>
      <c r="K12839" t="s">
        <v>40292</v>
      </c>
      <c r="M12839" t="s">
        <v>44467</v>
      </c>
      <c r="N12839" t="s">
        <v>44759</v>
      </c>
      <c r="O12839" t="s">
        <v>44760</v>
      </c>
      <c r="Q12839">
        <v>13</v>
      </c>
      <c r="R12839" t="s">
        <v>44777</v>
      </c>
      <c r="S12839" t="s">
        <v>45576</v>
      </c>
      <c r="T12839" t="s">
        <v>46389</v>
      </c>
      <c r="U12839" t="s">
        <v>57476</v>
      </c>
      <c r="V12839" t="s">
        <v>60557</v>
      </c>
      <c r="W12839" t="s">
        <v>44467</v>
      </c>
      <c r="X12839" t="s">
        <v>44780</v>
      </c>
    </row>
    <row r="12840" spans="1:24">
      <c r="A12840">
        <f>HYPERLINK("https://www.philgeps.gov.ph/GEPSNONPILOT/Tender/SplashBidNoticeAbstractUI.aspx?menuIndex=3&amp;refID=7122799&amp;Result=3","7122799")</f>
        <v>0</v>
      </c>
      <c r="B12840" t="s">
        <v>3378</v>
      </c>
      <c r="C12840" t="s">
        <v>15985</v>
      </c>
      <c r="D12840" t="s">
        <v>17953</v>
      </c>
      <c r="E12840" t="s">
        <v>29130</v>
      </c>
      <c r="F12840" t="s">
        <v>30900</v>
      </c>
      <c r="G12840" t="s">
        <v>30907</v>
      </c>
      <c r="H12840" t="s">
        <v>30916</v>
      </c>
      <c r="I12840" t="s">
        <v>8123</v>
      </c>
      <c r="J12840" t="s">
        <v>32298</v>
      </c>
      <c r="K12840" t="s">
        <v>40287</v>
      </c>
      <c r="L12840" t="s">
        <v>3378</v>
      </c>
      <c r="M12840" t="s">
        <v>44250</v>
      </c>
      <c r="N12840" t="s">
        <v>44759</v>
      </c>
      <c r="O12840" t="s">
        <v>44760</v>
      </c>
      <c r="P12840">
        <v>0</v>
      </c>
      <c r="Q12840">
        <v>1</v>
      </c>
      <c r="R12840" t="s">
        <v>44776</v>
      </c>
      <c r="S12840" t="s">
        <v>45453</v>
      </c>
      <c r="T12840" t="s">
        <v>46409</v>
      </c>
      <c r="U12840" t="s">
        <v>50693</v>
      </c>
      <c r="V12840" t="s">
        <v>60439</v>
      </c>
      <c r="W12840" t="s">
        <v>44250</v>
      </c>
      <c r="X12840" t="s">
        <v>44777</v>
      </c>
    </row>
    <row r="12841" spans="1:24">
      <c r="A12841">
        <f>HYPERLINK("https://www.philgeps.gov.ph/GEPSNONPILOT/Tender/SplashBidNoticeAbstractUI.aspx?menuIndex=3&amp;refID=7118880&amp;Result=3","7118880")</f>
        <v>0</v>
      </c>
      <c r="B12841" t="s">
        <v>1639</v>
      </c>
      <c r="C12841" t="s">
        <v>15986</v>
      </c>
      <c r="D12841" t="s">
        <v>17985</v>
      </c>
      <c r="E12841" t="s">
        <v>29131</v>
      </c>
      <c r="F12841" t="s">
        <v>30900</v>
      </c>
      <c r="G12841" t="s">
        <v>30907</v>
      </c>
      <c r="H12841" t="s">
        <v>30916</v>
      </c>
      <c r="I12841" t="s">
        <v>30947</v>
      </c>
      <c r="J12841" t="s">
        <v>39046</v>
      </c>
      <c r="K12841" t="s">
        <v>40366</v>
      </c>
      <c r="M12841" t="s">
        <v>42295</v>
      </c>
      <c r="N12841" t="s">
        <v>44759</v>
      </c>
      <c r="O12841" t="s">
        <v>44760</v>
      </c>
      <c r="Q12841">
        <v>4</v>
      </c>
      <c r="R12841" t="s">
        <v>44777</v>
      </c>
      <c r="S12841" t="s">
        <v>45577</v>
      </c>
      <c r="T12841" t="s">
        <v>46357</v>
      </c>
      <c r="U12841" t="s">
        <v>57477</v>
      </c>
      <c r="W12841" t="s">
        <v>42295</v>
      </c>
      <c r="X12841" t="s">
        <v>44780</v>
      </c>
    </row>
    <row r="12842" spans="1:24">
      <c r="A12842">
        <f>HYPERLINK("https://www.philgeps.gov.ph/GEPSNONPILOT/Tender/SplashBidNoticeAbstractUI.aspx?menuIndex=3&amp;refID=7118833&amp;Result=3","7118833")</f>
        <v>0</v>
      </c>
      <c r="B12842" t="s">
        <v>926</v>
      </c>
      <c r="C12842" t="s">
        <v>15987</v>
      </c>
      <c r="D12842" t="s">
        <v>17999</v>
      </c>
      <c r="E12842" t="s">
        <v>29132</v>
      </c>
      <c r="F12842" t="s">
        <v>30900</v>
      </c>
      <c r="G12842" t="s">
        <v>30907</v>
      </c>
      <c r="H12842" t="s">
        <v>30916</v>
      </c>
      <c r="I12842" t="s">
        <v>30924</v>
      </c>
      <c r="J12842" t="s">
        <v>39047</v>
      </c>
      <c r="K12842" t="s">
        <v>40286</v>
      </c>
      <c r="M12842" t="s">
        <v>42665</v>
      </c>
      <c r="N12842" t="s">
        <v>44759</v>
      </c>
      <c r="O12842" t="s">
        <v>44760</v>
      </c>
      <c r="P12842">
        <v>0</v>
      </c>
      <c r="Q12842">
        <v>18</v>
      </c>
      <c r="R12842" t="s">
        <v>44777</v>
      </c>
      <c r="S12842" t="s">
        <v>45524</v>
      </c>
      <c r="T12842" t="s">
        <v>46383</v>
      </c>
      <c r="U12842" t="s">
        <v>57478</v>
      </c>
      <c r="W12842" t="s">
        <v>42665</v>
      </c>
      <c r="X12842" t="s">
        <v>44780</v>
      </c>
    </row>
    <row r="12843" spans="1:24">
      <c r="A12843">
        <f>HYPERLINK("https://www.philgeps.gov.ph/GEPSNONPILOT/Tender/SplashBidNoticeAbstractUI.aspx?menuIndex=3&amp;refID=7118860&amp;Result=3","7118860")</f>
        <v>0</v>
      </c>
      <c r="B12843" t="s">
        <v>1997</v>
      </c>
      <c r="C12843" t="s">
        <v>15988</v>
      </c>
      <c r="D12843" t="s">
        <v>17953</v>
      </c>
      <c r="E12843" t="s">
        <v>29133</v>
      </c>
      <c r="F12843" t="s">
        <v>30900</v>
      </c>
      <c r="G12843" t="s">
        <v>30907</v>
      </c>
      <c r="H12843" t="s">
        <v>30916</v>
      </c>
      <c r="I12843" t="s">
        <v>30918</v>
      </c>
      <c r="J12843" t="s">
        <v>34860</v>
      </c>
      <c r="K12843" t="s">
        <v>40286</v>
      </c>
      <c r="M12843" t="s">
        <v>44467</v>
      </c>
      <c r="N12843" t="s">
        <v>44759</v>
      </c>
      <c r="O12843" t="s">
        <v>44760</v>
      </c>
      <c r="Q12843">
        <v>20</v>
      </c>
      <c r="R12843" t="s">
        <v>44777</v>
      </c>
      <c r="S12843" t="s">
        <v>45576</v>
      </c>
      <c r="T12843" t="s">
        <v>46389</v>
      </c>
      <c r="U12843" t="s">
        <v>57479</v>
      </c>
      <c r="V12843" t="s">
        <v>60557</v>
      </c>
      <c r="W12843" t="s">
        <v>44467</v>
      </c>
      <c r="X12843" t="s">
        <v>44780</v>
      </c>
    </row>
    <row r="12844" spans="1:24">
      <c r="A12844">
        <f>HYPERLINK("https://www.philgeps.gov.ph/GEPSNONPILOT/Tender/SplashBidNoticeAbstractUI.aspx?menuIndex=3&amp;refID=7118822&amp;Result=3","7118822")</f>
        <v>0</v>
      </c>
      <c r="B12844" t="s">
        <v>926</v>
      </c>
      <c r="C12844" t="s">
        <v>15989</v>
      </c>
      <c r="D12844" t="s">
        <v>17999</v>
      </c>
      <c r="E12844" t="s">
        <v>29134</v>
      </c>
      <c r="F12844" t="s">
        <v>30900</v>
      </c>
      <c r="G12844" t="s">
        <v>30907</v>
      </c>
      <c r="H12844" t="s">
        <v>30916</v>
      </c>
      <c r="I12844" t="s">
        <v>30924</v>
      </c>
      <c r="J12844" t="s">
        <v>39048</v>
      </c>
      <c r="K12844" t="s">
        <v>40286</v>
      </c>
      <c r="M12844" t="s">
        <v>42665</v>
      </c>
      <c r="N12844" t="s">
        <v>44759</v>
      </c>
      <c r="O12844" t="s">
        <v>44760</v>
      </c>
      <c r="P12844">
        <v>0</v>
      </c>
      <c r="Q12844">
        <v>17</v>
      </c>
      <c r="R12844" t="s">
        <v>44777</v>
      </c>
      <c r="S12844" t="s">
        <v>45524</v>
      </c>
      <c r="T12844" t="s">
        <v>46383</v>
      </c>
      <c r="U12844" t="s">
        <v>57480</v>
      </c>
      <c r="W12844" t="s">
        <v>42665</v>
      </c>
      <c r="X12844" t="s">
        <v>44780</v>
      </c>
    </row>
    <row r="12845" spans="1:24">
      <c r="A12845">
        <f>HYPERLINK("https://www.philgeps.gov.ph/GEPSNONPILOT/Tender/SplashBidNoticeAbstractUI.aspx?menuIndex=3&amp;refID=7118806&amp;Result=3","7118806")</f>
        <v>0</v>
      </c>
      <c r="B12845" t="s">
        <v>926</v>
      </c>
      <c r="C12845" t="s">
        <v>15990</v>
      </c>
      <c r="D12845" t="s">
        <v>17999</v>
      </c>
      <c r="E12845" t="s">
        <v>29135</v>
      </c>
      <c r="F12845" t="s">
        <v>30900</v>
      </c>
      <c r="G12845" t="s">
        <v>30907</v>
      </c>
      <c r="H12845" t="s">
        <v>30916</v>
      </c>
      <c r="I12845" t="s">
        <v>30924</v>
      </c>
      <c r="J12845" t="s">
        <v>39049</v>
      </c>
      <c r="K12845" t="s">
        <v>40286</v>
      </c>
      <c r="M12845" t="s">
        <v>42665</v>
      </c>
      <c r="N12845" t="s">
        <v>44759</v>
      </c>
      <c r="O12845" t="s">
        <v>44760</v>
      </c>
      <c r="P12845">
        <v>0</v>
      </c>
      <c r="Q12845">
        <v>16</v>
      </c>
      <c r="R12845" t="s">
        <v>44777</v>
      </c>
      <c r="S12845" t="s">
        <v>45524</v>
      </c>
      <c r="T12845" t="s">
        <v>46383</v>
      </c>
      <c r="U12845" t="s">
        <v>57481</v>
      </c>
      <c r="W12845" t="s">
        <v>42665</v>
      </c>
      <c r="X12845" t="s">
        <v>44780</v>
      </c>
    </row>
    <row r="12846" spans="1:24">
      <c r="A12846">
        <f>HYPERLINK("https://www.philgeps.gov.ph/GEPSNONPILOT/Tender/SplashBidNoticeAbstractUI.aspx?menuIndex=3&amp;refID=7118778&amp;Result=3","7118778")</f>
        <v>0</v>
      </c>
      <c r="B12846" t="s">
        <v>1997</v>
      </c>
      <c r="C12846" t="s">
        <v>15991</v>
      </c>
      <c r="D12846" t="s">
        <v>17953</v>
      </c>
      <c r="E12846" t="s">
        <v>29136</v>
      </c>
      <c r="F12846" t="s">
        <v>30900</v>
      </c>
      <c r="G12846" t="s">
        <v>30907</v>
      </c>
      <c r="H12846" t="s">
        <v>30916</v>
      </c>
      <c r="I12846" t="s">
        <v>30923</v>
      </c>
      <c r="J12846" t="s">
        <v>39050</v>
      </c>
      <c r="K12846" t="s">
        <v>40284</v>
      </c>
      <c r="M12846" t="s">
        <v>44467</v>
      </c>
      <c r="N12846" t="s">
        <v>44759</v>
      </c>
      <c r="O12846" t="s">
        <v>44760</v>
      </c>
      <c r="Q12846">
        <v>5</v>
      </c>
      <c r="R12846" t="s">
        <v>44777</v>
      </c>
      <c r="S12846" t="s">
        <v>45578</v>
      </c>
      <c r="T12846" t="s">
        <v>46399</v>
      </c>
      <c r="U12846" t="s">
        <v>57482</v>
      </c>
      <c r="V12846" t="s">
        <v>60557</v>
      </c>
      <c r="W12846" t="s">
        <v>44467</v>
      </c>
      <c r="X12846" t="s">
        <v>44780</v>
      </c>
    </row>
    <row r="12847" spans="1:24">
      <c r="A12847">
        <f>HYPERLINK("https://www.philgeps.gov.ph/GEPSNONPILOT/Tender/SplashBidNoticeAbstractUI.aspx?menuIndex=3&amp;refID=7118809&amp;Result=3","7118809")</f>
        <v>0</v>
      </c>
      <c r="B12847" t="s">
        <v>1997</v>
      </c>
      <c r="C12847" t="s">
        <v>15992</v>
      </c>
      <c r="D12847" t="s">
        <v>17953</v>
      </c>
      <c r="E12847" t="s">
        <v>29137</v>
      </c>
      <c r="F12847" t="s">
        <v>30900</v>
      </c>
      <c r="G12847" t="s">
        <v>30907</v>
      </c>
      <c r="H12847" t="s">
        <v>30916</v>
      </c>
      <c r="I12847" t="s">
        <v>30923</v>
      </c>
      <c r="J12847" t="s">
        <v>39051</v>
      </c>
      <c r="K12847" t="s">
        <v>40284</v>
      </c>
      <c r="M12847" t="s">
        <v>44467</v>
      </c>
      <c r="N12847" t="s">
        <v>44759</v>
      </c>
      <c r="O12847" t="s">
        <v>44760</v>
      </c>
      <c r="Q12847">
        <v>3</v>
      </c>
      <c r="R12847" t="s">
        <v>44777</v>
      </c>
      <c r="S12847" t="s">
        <v>45579</v>
      </c>
      <c r="T12847" t="s">
        <v>46399</v>
      </c>
      <c r="U12847" t="s">
        <v>57483</v>
      </c>
      <c r="V12847" t="s">
        <v>60557</v>
      </c>
      <c r="W12847" t="s">
        <v>44467</v>
      </c>
      <c r="X12847" t="s">
        <v>44780</v>
      </c>
    </row>
    <row r="12848" spans="1:24">
      <c r="A12848">
        <f>HYPERLINK("https://www.philgeps.gov.ph/GEPSNONPILOT/Tender/SplashBidNoticeAbstractUI.aspx?menuIndex=3&amp;refID=7118770&amp;Result=3","7118770")</f>
        <v>0</v>
      </c>
      <c r="B12848" t="s">
        <v>3558</v>
      </c>
      <c r="C12848" t="s">
        <v>15993</v>
      </c>
      <c r="D12848" t="s">
        <v>17977</v>
      </c>
      <c r="E12848" t="s">
        <v>29138</v>
      </c>
      <c r="F12848" t="s">
        <v>30900</v>
      </c>
      <c r="G12848" t="s">
        <v>30907</v>
      </c>
      <c r="H12848" t="s">
        <v>30915</v>
      </c>
      <c r="I12848" t="s">
        <v>30919</v>
      </c>
      <c r="J12848" t="s">
        <v>37390</v>
      </c>
      <c r="K12848" t="s">
        <v>40392</v>
      </c>
      <c r="M12848" t="s">
        <v>44478</v>
      </c>
      <c r="N12848" t="s">
        <v>44759</v>
      </c>
      <c r="O12848" t="s">
        <v>44760</v>
      </c>
      <c r="P12848">
        <v>0</v>
      </c>
      <c r="Q12848">
        <v>9</v>
      </c>
      <c r="R12848" t="s">
        <v>44777</v>
      </c>
      <c r="S12848" t="s">
        <v>45524</v>
      </c>
      <c r="T12848" t="s">
        <v>46409</v>
      </c>
      <c r="U12848" t="s">
        <v>57484</v>
      </c>
      <c r="W12848" t="s">
        <v>60936</v>
      </c>
      <c r="X12848" t="s">
        <v>44780</v>
      </c>
    </row>
    <row r="12849" spans="1:24">
      <c r="A12849">
        <f>HYPERLINK("https://www.philgeps.gov.ph/GEPSNONPILOT/Tender/SplashBidNoticeAbstractUI.aspx?menuIndex=3&amp;refID=7113199&amp;Result=3","7113199")</f>
        <v>0</v>
      </c>
      <c r="B12849" t="s">
        <v>3559</v>
      </c>
      <c r="C12849" t="s">
        <v>15994</v>
      </c>
      <c r="D12849" t="s">
        <v>18014</v>
      </c>
      <c r="E12849" t="s">
        <v>29139</v>
      </c>
      <c r="F12849" t="s">
        <v>30900</v>
      </c>
      <c r="G12849" t="s">
        <v>30907</v>
      </c>
      <c r="H12849" t="s">
        <v>30916</v>
      </c>
      <c r="I12849" t="s">
        <v>30939</v>
      </c>
      <c r="J12849" t="s">
        <v>39052</v>
      </c>
      <c r="K12849" t="s">
        <v>40283</v>
      </c>
      <c r="M12849" t="s">
        <v>44479</v>
      </c>
      <c r="N12849" t="s">
        <v>44759</v>
      </c>
      <c r="O12849" t="s">
        <v>44760</v>
      </c>
      <c r="P12849">
        <v>0</v>
      </c>
      <c r="Q12849">
        <v>0</v>
      </c>
      <c r="R12849" t="s">
        <v>44777</v>
      </c>
      <c r="S12849" t="s">
        <v>45524</v>
      </c>
      <c r="T12849" t="s">
        <v>46383</v>
      </c>
      <c r="U12849" t="s">
        <v>57485</v>
      </c>
      <c r="W12849" t="s">
        <v>44479</v>
      </c>
      <c r="X12849" t="s">
        <v>44781</v>
      </c>
    </row>
    <row r="12850" spans="1:24">
      <c r="A12850">
        <f>HYPERLINK("https://www.philgeps.gov.ph/GEPSNONPILOT/Tender/SplashBidNoticeAbstractUI.aspx?menuIndex=3&amp;refID=7118757&amp;Result=3","7118757")</f>
        <v>0</v>
      </c>
      <c r="B12850" t="s">
        <v>1997</v>
      </c>
      <c r="C12850" t="s">
        <v>15995</v>
      </c>
      <c r="D12850" t="s">
        <v>17953</v>
      </c>
      <c r="E12850" t="s">
        <v>29140</v>
      </c>
      <c r="F12850" t="s">
        <v>30900</v>
      </c>
      <c r="G12850" t="s">
        <v>30907</v>
      </c>
      <c r="H12850" t="s">
        <v>30916</v>
      </c>
      <c r="I12850" t="s">
        <v>30923</v>
      </c>
      <c r="J12850" t="s">
        <v>36895</v>
      </c>
      <c r="K12850" t="s">
        <v>40284</v>
      </c>
      <c r="M12850" t="s">
        <v>44467</v>
      </c>
      <c r="N12850" t="s">
        <v>44759</v>
      </c>
      <c r="O12850" t="s">
        <v>44760</v>
      </c>
      <c r="Q12850">
        <v>5</v>
      </c>
      <c r="R12850" t="s">
        <v>44777</v>
      </c>
      <c r="S12850" t="s">
        <v>45580</v>
      </c>
      <c r="T12850" t="s">
        <v>46399</v>
      </c>
      <c r="U12850" t="s">
        <v>57486</v>
      </c>
      <c r="V12850" t="s">
        <v>60557</v>
      </c>
      <c r="W12850" t="s">
        <v>44467</v>
      </c>
      <c r="X12850" t="s">
        <v>44780</v>
      </c>
    </row>
    <row r="12851" spans="1:24">
      <c r="A12851">
        <f>HYPERLINK("https://www.philgeps.gov.ph/GEPSNONPILOT/Tender/SplashBidNoticeAbstractUI.aspx?menuIndex=3&amp;refID=7118723&amp;Result=3","7118723")</f>
        <v>0</v>
      </c>
      <c r="B12851" t="s">
        <v>1997</v>
      </c>
      <c r="C12851" t="s">
        <v>15996</v>
      </c>
      <c r="D12851" t="s">
        <v>17953</v>
      </c>
      <c r="E12851" t="s">
        <v>29141</v>
      </c>
      <c r="F12851" t="s">
        <v>30900</v>
      </c>
      <c r="G12851" t="s">
        <v>30907</v>
      </c>
      <c r="H12851" t="s">
        <v>30916</v>
      </c>
      <c r="I12851" t="s">
        <v>30923</v>
      </c>
      <c r="J12851" t="s">
        <v>39053</v>
      </c>
      <c r="K12851" t="s">
        <v>40284</v>
      </c>
      <c r="M12851" t="s">
        <v>44467</v>
      </c>
      <c r="N12851" t="s">
        <v>44759</v>
      </c>
      <c r="O12851" t="s">
        <v>44760</v>
      </c>
      <c r="Q12851">
        <v>9</v>
      </c>
      <c r="R12851" t="s">
        <v>44777</v>
      </c>
      <c r="S12851" t="s">
        <v>45581</v>
      </c>
      <c r="T12851" t="s">
        <v>46399</v>
      </c>
      <c r="U12851" t="s">
        <v>57487</v>
      </c>
      <c r="V12851" t="s">
        <v>60557</v>
      </c>
      <c r="W12851" t="s">
        <v>44467</v>
      </c>
      <c r="X12851" t="s">
        <v>44780</v>
      </c>
    </row>
    <row r="12852" spans="1:24">
      <c r="A12852">
        <f>HYPERLINK("https://www.philgeps.gov.ph/GEPSNONPILOT/Tender/SplashBidNoticeAbstractUI.aspx?menuIndex=3&amp;refID=7118807&amp;Result=3","7118807")</f>
        <v>0</v>
      </c>
      <c r="B12852" t="s">
        <v>281</v>
      </c>
      <c r="C12852" t="s">
        <v>15997</v>
      </c>
      <c r="D12852" t="s">
        <v>17952</v>
      </c>
      <c r="E12852" t="s">
        <v>29142</v>
      </c>
      <c r="F12852" t="s">
        <v>30900</v>
      </c>
      <c r="G12852" t="s">
        <v>30908</v>
      </c>
      <c r="H12852" t="s">
        <v>30916</v>
      </c>
      <c r="I12852" t="s">
        <v>9385</v>
      </c>
      <c r="J12852" t="s">
        <v>39054</v>
      </c>
      <c r="K12852" t="s">
        <v>40283</v>
      </c>
      <c r="M12852" t="s">
        <v>40828</v>
      </c>
      <c r="N12852" t="s">
        <v>44759</v>
      </c>
      <c r="O12852" t="s">
        <v>44760</v>
      </c>
      <c r="Q12852">
        <v>10</v>
      </c>
      <c r="R12852" t="s">
        <v>44777</v>
      </c>
      <c r="S12852" t="s">
        <v>45250</v>
      </c>
      <c r="T12852" t="s">
        <v>46704</v>
      </c>
      <c r="U12852" t="s">
        <v>57488</v>
      </c>
      <c r="W12852" t="s">
        <v>40828</v>
      </c>
      <c r="X12852" t="s">
        <v>44780</v>
      </c>
    </row>
    <row r="12853" spans="1:24">
      <c r="A12853">
        <f>HYPERLINK("https://www.philgeps.gov.ph/GEPSNONPILOT/Tender/SplashBidNoticeAbstractUI.aspx?menuIndex=3&amp;refID=7119026&amp;Result=3","7119026")</f>
        <v>0</v>
      </c>
      <c r="B12853" t="s">
        <v>1997</v>
      </c>
      <c r="C12853" t="s">
        <v>15998</v>
      </c>
      <c r="D12853" t="s">
        <v>17953</v>
      </c>
      <c r="E12853" t="s">
        <v>29143</v>
      </c>
      <c r="F12853" t="s">
        <v>30900</v>
      </c>
      <c r="G12853" t="s">
        <v>30907</v>
      </c>
      <c r="H12853" t="s">
        <v>30916</v>
      </c>
      <c r="I12853" t="s">
        <v>9385</v>
      </c>
      <c r="J12853" t="s">
        <v>31152</v>
      </c>
      <c r="K12853" t="s">
        <v>40284</v>
      </c>
      <c r="M12853" t="s">
        <v>44467</v>
      </c>
      <c r="N12853" t="s">
        <v>44759</v>
      </c>
      <c r="O12853" t="s">
        <v>44760</v>
      </c>
      <c r="Q12853">
        <v>5</v>
      </c>
      <c r="R12853" t="s">
        <v>44777</v>
      </c>
      <c r="S12853" t="s">
        <v>45582</v>
      </c>
      <c r="T12853" t="s">
        <v>46389</v>
      </c>
      <c r="U12853" t="s">
        <v>57489</v>
      </c>
      <c r="V12853" t="s">
        <v>60557</v>
      </c>
      <c r="W12853" t="s">
        <v>44467</v>
      </c>
      <c r="X12853" t="s">
        <v>44780</v>
      </c>
    </row>
    <row r="12854" spans="1:24">
      <c r="A12854">
        <f>HYPERLINK("https://www.philgeps.gov.ph/GEPSNONPILOT/Tender/SplashBidNoticeAbstractUI.aspx?menuIndex=3&amp;refID=7119024&amp;Result=3","7119024")</f>
        <v>0</v>
      </c>
      <c r="B12854" t="s">
        <v>1997</v>
      </c>
      <c r="C12854" t="s">
        <v>15999</v>
      </c>
      <c r="D12854" t="s">
        <v>17953</v>
      </c>
      <c r="E12854" t="s">
        <v>29144</v>
      </c>
      <c r="F12854" t="s">
        <v>30900</v>
      </c>
      <c r="G12854" t="s">
        <v>30907</v>
      </c>
      <c r="H12854" t="s">
        <v>30916</v>
      </c>
      <c r="I12854" t="s">
        <v>9385</v>
      </c>
      <c r="J12854" t="s">
        <v>31577</v>
      </c>
      <c r="K12854" t="s">
        <v>40284</v>
      </c>
      <c r="M12854" t="s">
        <v>44467</v>
      </c>
      <c r="N12854" t="s">
        <v>44759</v>
      </c>
      <c r="O12854" t="s">
        <v>44760</v>
      </c>
      <c r="Q12854">
        <v>6</v>
      </c>
      <c r="R12854" t="s">
        <v>44777</v>
      </c>
      <c r="S12854" t="s">
        <v>45583</v>
      </c>
      <c r="T12854" t="s">
        <v>46389</v>
      </c>
      <c r="U12854" t="s">
        <v>57490</v>
      </c>
      <c r="V12854" t="s">
        <v>60557</v>
      </c>
      <c r="W12854" t="s">
        <v>44467</v>
      </c>
      <c r="X12854" t="s">
        <v>44780</v>
      </c>
    </row>
    <row r="12855" spans="1:24">
      <c r="A12855">
        <f>HYPERLINK("https://www.philgeps.gov.ph/GEPSNONPILOT/Tender/SplashBidNoticeAbstractUI.aspx?menuIndex=3&amp;refID=7121717&amp;Result=3","7121717")</f>
        <v>0</v>
      </c>
      <c r="B12855" t="s">
        <v>3556</v>
      </c>
      <c r="C12855" t="s">
        <v>16000</v>
      </c>
      <c r="D12855" t="s">
        <v>17968</v>
      </c>
      <c r="E12855" t="s">
        <v>29145</v>
      </c>
      <c r="F12855" t="s">
        <v>30900</v>
      </c>
      <c r="G12855" t="s">
        <v>30907</v>
      </c>
      <c r="H12855" t="s">
        <v>30915</v>
      </c>
      <c r="I12855" t="s">
        <v>30919</v>
      </c>
      <c r="J12855" t="s">
        <v>32271</v>
      </c>
      <c r="K12855" t="s">
        <v>40292</v>
      </c>
      <c r="M12855" t="s">
        <v>44476</v>
      </c>
      <c r="N12855" t="s">
        <v>44759</v>
      </c>
      <c r="O12855" t="s">
        <v>44760</v>
      </c>
      <c r="P12855">
        <v>0</v>
      </c>
      <c r="Q12855">
        <v>0</v>
      </c>
      <c r="R12855" t="s">
        <v>44776</v>
      </c>
      <c r="S12855" t="s">
        <v>45453</v>
      </c>
      <c r="T12855" t="s">
        <v>46418</v>
      </c>
      <c r="U12855" t="s">
        <v>57491</v>
      </c>
      <c r="W12855" t="s">
        <v>44476</v>
      </c>
      <c r="X12855" t="s">
        <v>44777</v>
      </c>
    </row>
    <row r="12856" spans="1:24">
      <c r="A12856">
        <f>HYPERLINK("https://www.philgeps.gov.ph/GEPSNONPILOT/Tender/SplashBidNoticeAbstractUI.aspx?menuIndex=3&amp;refID=7118712&amp;Result=3","7118712")</f>
        <v>0</v>
      </c>
      <c r="B12856" t="s">
        <v>281</v>
      </c>
      <c r="C12856" t="s">
        <v>16001</v>
      </c>
      <c r="D12856" t="s">
        <v>17952</v>
      </c>
      <c r="E12856" t="s">
        <v>29146</v>
      </c>
      <c r="F12856" t="s">
        <v>30900</v>
      </c>
      <c r="G12856" t="s">
        <v>30908</v>
      </c>
      <c r="H12856" t="s">
        <v>30916</v>
      </c>
      <c r="I12856" t="s">
        <v>30947</v>
      </c>
      <c r="J12856" t="s">
        <v>39055</v>
      </c>
      <c r="K12856" t="s">
        <v>40283</v>
      </c>
      <c r="M12856" t="s">
        <v>40828</v>
      </c>
      <c r="N12856" t="s">
        <v>44759</v>
      </c>
      <c r="O12856" t="s">
        <v>44760</v>
      </c>
      <c r="Q12856">
        <v>5</v>
      </c>
      <c r="R12856" t="s">
        <v>44777</v>
      </c>
      <c r="S12856" t="s">
        <v>45584</v>
      </c>
      <c r="T12856" t="s">
        <v>46704</v>
      </c>
      <c r="U12856" t="s">
        <v>57492</v>
      </c>
      <c r="W12856" t="s">
        <v>40828</v>
      </c>
      <c r="X12856" t="s">
        <v>44780</v>
      </c>
    </row>
    <row r="12857" spans="1:24">
      <c r="A12857">
        <f>HYPERLINK("https://www.philgeps.gov.ph/GEPSNONPILOT/Tender/SplashBidNoticeAbstractUI.aspx?menuIndex=3&amp;refID=7119015&amp;Result=3","7119015")</f>
        <v>0</v>
      </c>
      <c r="B12857" t="s">
        <v>1198</v>
      </c>
      <c r="C12857" t="s">
        <v>16002</v>
      </c>
      <c r="D12857" t="s">
        <v>17999</v>
      </c>
      <c r="E12857" t="s">
        <v>29147</v>
      </c>
      <c r="F12857" t="s">
        <v>30900</v>
      </c>
      <c r="G12857" t="s">
        <v>30907</v>
      </c>
      <c r="H12857" t="s">
        <v>30915</v>
      </c>
      <c r="I12857" t="s">
        <v>30919</v>
      </c>
      <c r="J12857" t="s">
        <v>31126</v>
      </c>
      <c r="K12857" t="s">
        <v>40280</v>
      </c>
      <c r="M12857" t="s">
        <v>41809</v>
      </c>
      <c r="N12857" t="s">
        <v>44759</v>
      </c>
      <c r="O12857" t="s">
        <v>44760</v>
      </c>
      <c r="P12857">
        <v>0</v>
      </c>
      <c r="Q12857">
        <v>0</v>
      </c>
      <c r="R12857" t="s">
        <v>44777</v>
      </c>
      <c r="S12857" t="s">
        <v>45524</v>
      </c>
      <c r="T12857" t="s">
        <v>46390</v>
      </c>
      <c r="U12857" t="s">
        <v>57493</v>
      </c>
      <c r="V12857" t="s">
        <v>59430</v>
      </c>
      <c r="W12857" t="s">
        <v>41809</v>
      </c>
      <c r="X12857" t="s">
        <v>44780</v>
      </c>
    </row>
    <row r="12858" spans="1:24">
      <c r="A12858">
        <f>HYPERLINK("https://www.philgeps.gov.ph/GEPSNONPILOT/Tender/SplashBidNoticeAbstractUI.aspx?menuIndex=3&amp;refID=7122472&amp;Result=3","7122472")</f>
        <v>0</v>
      </c>
      <c r="B12858" t="s">
        <v>721</v>
      </c>
      <c r="C12858" t="s">
        <v>16003</v>
      </c>
      <c r="D12858" t="s">
        <v>17973</v>
      </c>
      <c r="E12858" t="s">
        <v>29148</v>
      </c>
      <c r="F12858" t="s">
        <v>30900</v>
      </c>
      <c r="G12858" t="s">
        <v>30907</v>
      </c>
      <c r="H12858" t="s">
        <v>30916</v>
      </c>
      <c r="I12858" t="s">
        <v>30933</v>
      </c>
      <c r="J12858" t="s">
        <v>33323</v>
      </c>
      <c r="K12858" t="s">
        <v>40293</v>
      </c>
      <c r="M12858" t="s">
        <v>41285</v>
      </c>
      <c r="N12858" t="s">
        <v>44759</v>
      </c>
      <c r="O12858" t="s">
        <v>44760</v>
      </c>
      <c r="P12858">
        <v>0</v>
      </c>
      <c r="Q12858">
        <v>6</v>
      </c>
      <c r="R12858" t="s">
        <v>44776</v>
      </c>
      <c r="S12858" t="s">
        <v>45453</v>
      </c>
      <c r="T12858" t="s">
        <v>46389</v>
      </c>
      <c r="U12858" t="s">
        <v>57494</v>
      </c>
      <c r="W12858" t="s">
        <v>41285</v>
      </c>
      <c r="X12858" t="s">
        <v>44777</v>
      </c>
    </row>
    <row r="12859" spans="1:24">
      <c r="A12859">
        <f>HYPERLINK("https://www.philgeps.gov.ph/GEPSNONPILOT/Tender/SplashBidNoticeAbstractUI.aspx?menuIndex=3&amp;refID=7119018&amp;Result=3","7119018")</f>
        <v>0</v>
      </c>
      <c r="B12859" t="s">
        <v>1997</v>
      </c>
      <c r="C12859" t="s">
        <v>16004</v>
      </c>
      <c r="D12859" t="s">
        <v>17953</v>
      </c>
      <c r="E12859" t="s">
        <v>29149</v>
      </c>
      <c r="F12859" t="s">
        <v>30900</v>
      </c>
      <c r="G12859" t="s">
        <v>30907</v>
      </c>
      <c r="H12859" t="s">
        <v>30916</v>
      </c>
      <c r="I12859" t="s">
        <v>9385</v>
      </c>
      <c r="J12859" t="s">
        <v>39056</v>
      </c>
      <c r="K12859" t="s">
        <v>40284</v>
      </c>
      <c r="M12859" t="s">
        <v>44467</v>
      </c>
      <c r="N12859" t="s">
        <v>44759</v>
      </c>
      <c r="O12859" t="s">
        <v>44760</v>
      </c>
      <c r="Q12859">
        <v>4</v>
      </c>
      <c r="R12859" t="s">
        <v>44777</v>
      </c>
      <c r="S12859" t="s">
        <v>45583</v>
      </c>
      <c r="T12859" t="s">
        <v>46389</v>
      </c>
      <c r="U12859" t="s">
        <v>57495</v>
      </c>
      <c r="V12859" t="s">
        <v>60557</v>
      </c>
      <c r="W12859" t="s">
        <v>44467</v>
      </c>
      <c r="X12859" t="s">
        <v>44780</v>
      </c>
    </row>
    <row r="12860" spans="1:24">
      <c r="A12860">
        <f>HYPERLINK("https://www.philgeps.gov.ph/GEPSNONPILOT/Tender/SplashBidNoticeAbstractUI.aspx?menuIndex=3&amp;refID=7119019&amp;Result=3","7119019")</f>
        <v>0</v>
      </c>
      <c r="B12860" t="s">
        <v>1750</v>
      </c>
      <c r="C12860" t="s">
        <v>16005</v>
      </c>
      <c r="D12860" t="s">
        <v>17966</v>
      </c>
      <c r="E12860" t="s">
        <v>29150</v>
      </c>
      <c r="F12860" t="s">
        <v>30900</v>
      </c>
      <c r="G12860" t="s">
        <v>30907</v>
      </c>
      <c r="H12860" t="s">
        <v>30915</v>
      </c>
      <c r="I12860" t="s">
        <v>30919</v>
      </c>
      <c r="J12860" t="s">
        <v>31153</v>
      </c>
      <c r="K12860" t="s">
        <v>40339</v>
      </c>
      <c r="M12860" t="s">
        <v>44480</v>
      </c>
      <c r="N12860" t="s">
        <v>44759</v>
      </c>
      <c r="O12860" t="s">
        <v>44760</v>
      </c>
      <c r="P12860">
        <v>0</v>
      </c>
      <c r="Q12860">
        <v>1</v>
      </c>
      <c r="R12860" t="s">
        <v>44777</v>
      </c>
      <c r="S12860" t="s">
        <v>45524</v>
      </c>
      <c r="T12860" t="s">
        <v>46488</v>
      </c>
      <c r="U12860" t="s">
        <v>57496</v>
      </c>
      <c r="W12860" t="s">
        <v>60874</v>
      </c>
      <c r="X12860" t="s">
        <v>44780</v>
      </c>
    </row>
    <row r="12861" spans="1:24">
      <c r="A12861">
        <f>HYPERLINK("https://www.philgeps.gov.ph/GEPSNONPILOT/Tender/SplashBidNoticeAbstractUI.aspx?menuIndex=3&amp;refID=7119013&amp;Result=3","7119013")</f>
        <v>0</v>
      </c>
      <c r="B12861" t="s">
        <v>1997</v>
      </c>
      <c r="C12861" t="s">
        <v>16006</v>
      </c>
      <c r="D12861" t="s">
        <v>17953</v>
      </c>
      <c r="E12861" t="s">
        <v>29151</v>
      </c>
      <c r="F12861" t="s">
        <v>30900</v>
      </c>
      <c r="G12861" t="s">
        <v>30907</v>
      </c>
      <c r="H12861" t="s">
        <v>30916</v>
      </c>
      <c r="I12861" t="s">
        <v>9385</v>
      </c>
      <c r="J12861" t="s">
        <v>39057</v>
      </c>
      <c r="K12861" t="s">
        <v>40284</v>
      </c>
      <c r="M12861" t="s">
        <v>44467</v>
      </c>
      <c r="N12861" t="s">
        <v>44759</v>
      </c>
      <c r="O12861" t="s">
        <v>44760</v>
      </c>
      <c r="Q12861">
        <v>9</v>
      </c>
      <c r="R12861" t="s">
        <v>44777</v>
      </c>
      <c r="S12861" t="s">
        <v>45585</v>
      </c>
      <c r="T12861" t="s">
        <v>46389</v>
      </c>
      <c r="U12861" t="s">
        <v>57497</v>
      </c>
      <c r="V12861" t="s">
        <v>60557</v>
      </c>
      <c r="W12861" t="s">
        <v>44467</v>
      </c>
      <c r="X12861" t="s">
        <v>44780</v>
      </c>
    </row>
    <row r="12862" spans="1:24">
      <c r="A12862">
        <f>HYPERLINK("https://www.philgeps.gov.ph/GEPSNONPILOT/Tender/SplashBidNoticeAbstractUI.aspx?menuIndex=3&amp;refID=7118989&amp;Result=3","7118989")</f>
        <v>0</v>
      </c>
      <c r="B12862" t="s">
        <v>1997</v>
      </c>
      <c r="C12862" t="s">
        <v>16007</v>
      </c>
      <c r="D12862" t="s">
        <v>17953</v>
      </c>
      <c r="E12862" t="s">
        <v>29152</v>
      </c>
      <c r="F12862" t="s">
        <v>30900</v>
      </c>
      <c r="G12862" t="s">
        <v>30907</v>
      </c>
      <c r="H12862" t="s">
        <v>30916</v>
      </c>
      <c r="I12862" t="s">
        <v>9385</v>
      </c>
      <c r="J12862" t="s">
        <v>39058</v>
      </c>
      <c r="K12862" t="s">
        <v>40284</v>
      </c>
      <c r="M12862" t="s">
        <v>44467</v>
      </c>
      <c r="N12862" t="s">
        <v>44759</v>
      </c>
      <c r="O12862" t="s">
        <v>44760</v>
      </c>
      <c r="Q12862">
        <v>4</v>
      </c>
      <c r="R12862" t="s">
        <v>44777</v>
      </c>
      <c r="S12862" t="s">
        <v>45586</v>
      </c>
      <c r="T12862" t="s">
        <v>46389</v>
      </c>
      <c r="U12862" t="s">
        <v>57498</v>
      </c>
      <c r="V12862" t="s">
        <v>60557</v>
      </c>
      <c r="W12862" t="s">
        <v>44467</v>
      </c>
      <c r="X12862" t="s">
        <v>44780</v>
      </c>
    </row>
    <row r="12863" spans="1:24">
      <c r="A12863">
        <f>HYPERLINK("https://www.philgeps.gov.ph/GEPSNONPILOT/Tender/SplashBidNoticeAbstractUI.aspx?menuIndex=3&amp;refID=7118296&amp;Result=3","7118296")</f>
        <v>0</v>
      </c>
      <c r="B12863" t="s">
        <v>309</v>
      </c>
      <c r="C12863" t="s">
        <v>16008</v>
      </c>
      <c r="D12863" t="s">
        <v>17995</v>
      </c>
      <c r="E12863" t="s">
        <v>29153</v>
      </c>
      <c r="F12863" t="s">
        <v>30900</v>
      </c>
      <c r="G12863" t="s">
        <v>30907</v>
      </c>
      <c r="H12863" t="s">
        <v>30915</v>
      </c>
      <c r="I12863" t="s">
        <v>30919</v>
      </c>
      <c r="J12863" t="s">
        <v>39059</v>
      </c>
      <c r="K12863" t="s">
        <v>40541</v>
      </c>
      <c r="M12863" t="s">
        <v>40859</v>
      </c>
      <c r="N12863" t="s">
        <v>44759</v>
      </c>
      <c r="O12863" t="s">
        <v>44760</v>
      </c>
      <c r="P12863">
        <v>0</v>
      </c>
      <c r="Q12863">
        <v>0</v>
      </c>
      <c r="R12863" t="s">
        <v>44777</v>
      </c>
      <c r="S12863" t="s">
        <v>45524</v>
      </c>
      <c r="T12863" t="s">
        <v>46421</v>
      </c>
      <c r="U12863" t="s">
        <v>57421</v>
      </c>
      <c r="W12863" t="s">
        <v>40859</v>
      </c>
      <c r="X12863" t="s">
        <v>44780</v>
      </c>
    </row>
    <row r="12864" spans="1:24">
      <c r="A12864">
        <f>HYPERLINK("https://www.philgeps.gov.ph/GEPSNONPILOT/Tender/SplashBidNoticeAbstractUI.aspx?menuIndex=3&amp;refID=7119010&amp;Result=3","7119010")</f>
        <v>0</v>
      </c>
      <c r="B12864" t="s">
        <v>1997</v>
      </c>
      <c r="C12864" t="s">
        <v>16009</v>
      </c>
      <c r="D12864" t="s">
        <v>17953</v>
      </c>
      <c r="E12864" t="s">
        <v>29154</v>
      </c>
      <c r="F12864" t="s">
        <v>30900</v>
      </c>
      <c r="G12864" t="s">
        <v>30907</v>
      </c>
      <c r="H12864" t="s">
        <v>30916</v>
      </c>
      <c r="I12864" t="s">
        <v>9385</v>
      </c>
      <c r="J12864" t="s">
        <v>39060</v>
      </c>
      <c r="K12864" t="s">
        <v>40284</v>
      </c>
      <c r="M12864" t="s">
        <v>44467</v>
      </c>
      <c r="N12864" t="s">
        <v>44759</v>
      </c>
      <c r="O12864" t="s">
        <v>44760</v>
      </c>
      <c r="Q12864">
        <v>4</v>
      </c>
      <c r="R12864" t="s">
        <v>44777</v>
      </c>
      <c r="S12864" t="s">
        <v>45587</v>
      </c>
      <c r="T12864" t="s">
        <v>46389</v>
      </c>
      <c r="U12864" t="s">
        <v>57499</v>
      </c>
      <c r="V12864" t="s">
        <v>60557</v>
      </c>
      <c r="W12864" t="s">
        <v>44467</v>
      </c>
      <c r="X12864" t="s">
        <v>44780</v>
      </c>
    </row>
    <row r="12865" spans="1:24">
      <c r="A12865">
        <f>HYPERLINK("https://www.philgeps.gov.ph/GEPSNONPILOT/Tender/SplashBidNoticeAbstractUI.aspx?menuIndex=3&amp;refID=7118997&amp;Result=3","7118997")</f>
        <v>0</v>
      </c>
      <c r="B12865" t="s">
        <v>1997</v>
      </c>
      <c r="C12865" t="s">
        <v>16010</v>
      </c>
      <c r="D12865" t="s">
        <v>17953</v>
      </c>
      <c r="E12865" t="s">
        <v>29155</v>
      </c>
      <c r="F12865" t="s">
        <v>30900</v>
      </c>
      <c r="G12865" t="s">
        <v>30907</v>
      </c>
      <c r="H12865" t="s">
        <v>30916</v>
      </c>
      <c r="I12865" t="s">
        <v>9385</v>
      </c>
      <c r="J12865" t="s">
        <v>31077</v>
      </c>
      <c r="K12865" t="s">
        <v>40284</v>
      </c>
      <c r="M12865" t="s">
        <v>44467</v>
      </c>
      <c r="N12865" t="s">
        <v>44759</v>
      </c>
      <c r="O12865" t="s">
        <v>44760</v>
      </c>
      <c r="Q12865">
        <v>3</v>
      </c>
      <c r="R12865" t="s">
        <v>44777</v>
      </c>
      <c r="S12865" t="s">
        <v>45588</v>
      </c>
      <c r="T12865" t="s">
        <v>46389</v>
      </c>
      <c r="U12865" t="s">
        <v>57500</v>
      </c>
      <c r="V12865" t="s">
        <v>60557</v>
      </c>
      <c r="W12865" t="s">
        <v>44467</v>
      </c>
      <c r="X12865" t="s">
        <v>44780</v>
      </c>
    </row>
    <row r="12866" spans="1:24">
      <c r="A12866">
        <f>HYPERLINK("https://www.philgeps.gov.ph/GEPSNONPILOT/Tender/SplashBidNoticeAbstractUI.aspx?menuIndex=3&amp;refID=7118972&amp;Result=3","7118972")</f>
        <v>0</v>
      </c>
      <c r="B12866" t="s">
        <v>1997</v>
      </c>
      <c r="C12866" t="s">
        <v>16011</v>
      </c>
      <c r="D12866" t="s">
        <v>17953</v>
      </c>
      <c r="E12866" t="s">
        <v>29156</v>
      </c>
      <c r="F12866" t="s">
        <v>30900</v>
      </c>
      <c r="G12866" t="s">
        <v>30907</v>
      </c>
      <c r="H12866" t="s">
        <v>30916</v>
      </c>
      <c r="I12866" t="s">
        <v>9385</v>
      </c>
      <c r="J12866" t="s">
        <v>39061</v>
      </c>
      <c r="K12866" t="s">
        <v>40284</v>
      </c>
      <c r="M12866" t="s">
        <v>44467</v>
      </c>
      <c r="N12866" t="s">
        <v>44759</v>
      </c>
      <c r="O12866" t="s">
        <v>44760</v>
      </c>
      <c r="Q12866">
        <v>8</v>
      </c>
      <c r="R12866" t="s">
        <v>44777</v>
      </c>
      <c r="S12866" t="s">
        <v>45589</v>
      </c>
      <c r="T12866" t="s">
        <v>46389</v>
      </c>
      <c r="U12866" t="s">
        <v>57501</v>
      </c>
      <c r="V12866" t="s">
        <v>60557</v>
      </c>
      <c r="W12866" t="s">
        <v>44467</v>
      </c>
      <c r="X12866" t="s">
        <v>44780</v>
      </c>
    </row>
    <row r="12867" spans="1:24">
      <c r="A12867">
        <f>HYPERLINK("https://www.philgeps.gov.ph/GEPSNONPILOT/Tender/SplashBidNoticeAbstractUI.aspx?menuIndex=3&amp;refID=7118985&amp;Result=3","7118985")</f>
        <v>0</v>
      </c>
      <c r="B12867" t="s">
        <v>1997</v>
      </c>
      <c r="C12867" t="s">
        <v>16012</v>
      </c>
      <c r="D12867" t="s">
        <v>17953</v>
      </c>
      <c r="E12867" t="s">
        <v>29157</v>
      </c>
      <c r="F12867" t="s">
        <v>30900</v>
      </c>
      <c r="G12867" t="s">
        <v>30907</v>
      </c>
      <c r="H12867" t="s">
        <v>30916</v>
      </c>
      <c r="I12867" t="s">
        <v>9385</v>
      </c>
      <c r="J12867" t="s">
        <v>39062</v>
      </c>
      <c r="K12867" t="s">
        <v>40284</v>
      </c>
      <c r="M12867" t="s">
        <v>44467</v>
      </c>
      <c r="N12867" t="s">
        <v>44759</v>
      </c>
      <c r="O12867" t="s">
        <v>44760</v>
      </c>
      <c r="Q12867">
        <v>3</v>
      </c>
      <c r="R12867" t="s">
        <v>44777</v>
      </c>
      <c r="S12867" t="s">
        <v>45590</v>
      </c>
      <c r="T12867" t="s">
        <v>46389</v>
      </c>
      <c r="U12867" t="s">
        <v>57502</v>
      </c>
      <c r="V12867" t="s">
        <v>60557</v>
      </c>
      <c r="W12867" t="s">
        <v>44467</v>
      </c>
      <c r="X12867" t="s">
        <v>44780</v>
      </c>
    </row>
    <row r="12868" spans="1:24">
      <c r="A12868">
        <f>HYPERLINK("https://www.philgeps.gov.ph/GEPSNONPILOT/Tender/SplashBidNoticeAbstractUI.aspx?menuIndex=3&amp;refID=7118980&amp;Result=3","7118980")</f>
        <v>0</v>
      </c>
      <c r="B12868" t="s">
        <v>1997</v>
      </c>
      <c r="C12868" t="s">
        <v>16013</v>
      </c>
      <c r="D12868" t="s">
        <v>17953</v>
      </c>
      <c r="E12868" t="s">
        <v>29158</v>
      </c>
      <c r="F12868" t="s">
        <v>30900</v>
      </c>
      <c r="G12868" t="s">
        <v>30907</v>
      </c>
      <c r="H12868" t="s">
        <v>30916</v>
      </c>
      <c r="I12868" t="s">
        <v>9385</v>
      </c>
      <c r="J12868" t="s">
        <v>39063</v>
      </c>
      <c r="K12868" t="s">
        <v>40284</v>
      </c>
      <c r="M12868" t="s">
        <v>44467</v>
      </c>
      <c r="N12868" t="s">
        <v>44759</v>
      </c>
      <c r="O12868" t="s">
        <v>44760</v>
      </c>
      <c r="Q12868">
        <v>4</v>
      </c>
      <c r="R12868" t="s">
        <v>44777</v>
      </c>
      <c r="S12868" t="s">
        <v>45590</v>
      </c>
      <c r="T12868" t="s">
        <v>46389</v>
      </c>
      <c r="U12868" t="s">
        <v>57503</v>
      </c>
      <c r="V12868" t="s">
        <v>60557</v>
      </c>
      <c r="W12868" t="s">
        <v>44467</v>
      </c>
      <c r="X12868" t="s">
        <v>44780</v>
      </c>
    </row>
    <row r="12869" spans="1:24">
      <c r="A12869">
        <f>HYPERLINK("https://www.philgeps.gov.ph/GEPSNONPILOT/Tender/SplashBidNoticeAbstractUI.aspx?menuIndex=3&amp;refID=7119004&amp;Result=3","7119004")</f>
        <v>0</v>
      </c>
      <c r="B12869" t="s">
        <v>1997</v>
      </c>
      <c r="C12869" t="s">
        <v>16014</v>
      </c>
      <c r="D12869" t="s">
        <v>17953</v>
      </c>
      <c r="E12869" t="s">
        <v>29159</v>
      </c>
      <c r="F12869" t="s">
        <v>30900</v>
      </c>
      <c r="G12869" t="s">
        <v>30907</v>
      </c>
      <c r="H12869" t="s">
        <v>30916</v>
      </c>
      <c r="I12869" t="s">
        <v>9385</v>
      </c>
      <c r="J12869" t="s">
        <v>39064</v>
      </c>
      <c r="K12869" t="s">
        <v>40284</v>
      </c>
      <c r="M12869" t="s">
        <v>44467</v>
      </c>
      <c r="N12869" t="s">
        <v>44759</v>
      </c>
      <c r="O12869" t="s">
        <v>44760</v>
      </c>
      <c r="Q12869">
        <v>3</v>
      </c>
      <c r="R12869" t="s">
        <v>44777</v>
      </c>
      <c r="S12869" t="s">
        <v>45588</v>
      </c>
      <c r="T12869" t="s">
        <v>46389</v>
      </c>
      <c r="U12869" t="s">
        <v>57504</v>
      </c>
      <c r="V12869" t="s">
        <v>60557</v>
      </c>
      <c r="W12869" t="s">
        <v>44467</v>
      </c>
      <c r="X12869" t="s">
        <v>44780</v>
      </c>
    </row>
    <row r="12870" spans="1:24">
      <c r="A12870">
        <f>HYPERLINK("https://www.philgeps.gov.ph/GEPSNONPILOT/Tender/SplashBidNoticeAbstractUI.aspx?menuIndex=3&amp;refID=7118939&amp;Result=3","7118939")</f>
        <v>0</v>
      </c>
      <c r="B12870" t="s">
        <v>1997</v>
      </c>
      <c r="C12870" t="s">
        <v>16015</v>
      </c>
      <c r="D12870" t="s">
        <v>17953</v>
      </c>
      <c r="E12870" t="s">
        <v>29160</v>
      </c>
      <c r="F12870" t="s">
        <v>30900</v>
      </c>
      <c r="G12870" t="s">
        <v>30907</v>
      </c>
      <c r="H12870" t="s">
        <v>30916</v>
      </c>
      <c r="I12870" t="s">
        <v>30933</v>
      </c>
      <c r="J12870" t="s">
        <v>31241</v>
      </c>
      <c r="K12870" t="s">
        <v>40342</v>
      </c>
      <c r="M12870" t="s">
        <v>44467</v>
      </c>
      <c r="N12870" t="s">
        <v>44759</v>
      </c>
      <c r="O12870" t="s">
        <v>44760</v>
      </c>
      <c r="Q12870">
        <v>10</v>
      </c>
      <c r="R12870" t="s">
        <v>44777</v>
      </c>
      <c r="S12870" t="s">
        <v>45591</v>
      </c>
      <c r="T12870" t="s">
        <v>46389</v>
      </c>
      <c r="U12870" t="s">
        <v>57505</v>
      </c>
      <c r="V12870" t="s">
        <v>60557</v>
      </c>
      <c r="W12870" t="s">
        <v>44467</v>
      </c>
      <c r="X12870" t="s">
        <v>44780</v>
      </c>
    </row>
    <row r="12871" spans="1:24">
      <c r="A12871">
        <f>HYPERLINK("https://www.philgeps.gov.ph/GEPSNONPILOT/Tender/SplashBidNoticeAbstractUI.aspx?menuIndex=3&amp;refID=7118949&amp;Result=3","7118949")</f>
        <v>0</v>
      </c>
      <c r="B12871" t="s">
        <v>1997</v>
      </c>
      <c r="C12871" t="s">
        <v>16016</v>
      </c>
      <c r="D12871" t="s">
        <v>17953</v>
      </c>
      <c r="E12871" t="s">
        <v>29161</v>
      </c>
      <c r="F12871" t="s">
        <v>30900</v>
      </c>
      <c r="G12871" t="s">
        <v>30907</v>
      </c>
      <c r="H12871" t="s">
        <v>30916</v>
      </c>
      <c r="I12871" t="s">
        <v>9385</v>
      </c>
      <c r="J12871" t="s">
        <v>33333</v>
      </c>
      <c r="K12871" t="s">
        <v>40284</v>
      </c>
      <c r="M12871" t="s">
        <v>44467</v>
      </c>
      <c r="N12871" t="s">
        <v>44759</v>
      </c>
      <c r="O12871" t="s">
        <v>44760</v>
      </c>
      <c r="Q12871">
        <v>5</v>
      </c>
      <c r="R12871" t="s">
        <v>44777</v>
      </c>
      <c r="S12871" t="s">
        <v>45592</v>
      </c>
      <c r="T12871" t="s">
        <v>46389</v>
      </c>
      <c r="U12871" t="s">
        <v>57506</v>
      </c>
      <c r="V12871" t="s">
        <v>60557</v>
      </c>
      <c r="W12871" t="s">
        <v>44467</v>
      </c>
      <c r="X12871" t="s">
        <v>44780</v>
      </c>
    </row>
    <row r="12872" spans="1:24">
      <c r="A12872">
        <f>HYPERLINK("https://www.philgeps.gov.ph/GEPSNONPILOT/Tender/SplashBidNoticeAbstractUI.aspx?menuIndex=3&amp;refID=7119255&amp;Result=3","7119255")</f>
        <v>0</v>
      </c>
      <c r="B12872" t="s">
        <v>1750</v>
      </c>
      <c r="C12872" t="s">
        <v>16017</v>
      </c>
      <c r="D12872" t="s">
        <v>17966</v>
      </c>
      <c r="E12872" t="s">
        <v>29162</v>
      </c>
      <c r="F12872" t="s">
        <v>30900</v>
      </c>
      <c r="G12872" t="s">
        <v>30907</v>
      </c>
      <c r="H12872" t="s">
        <v>30915</v>
      </c>
      <c r="I12872" t="s">
        <v>30919</v>
      </c>
      <c r="J12872" t="s">
        <v>31214</v>
      </c>
      <c r="K12872" t="s">
        <v>40292</v>
      </c>
      <c r="M12872" t="s">
        <v>43962</v>
      </c>
      <c r="N12872" t="s">
        <v>44759</v>
      </c>
      <c r="O12872" t="s">
        <v>44760</v>
      </c>
      <c r="P12872">
        <v>0</v>
      </c>
      <c r="Q12872">
        <v>0</v>
      </c>
      <c r="R12872" t="s">
        <v>44777</v>
      </c>
      <c r="S12872" t="s">
        <v>45524</v>
      </c>
      <c r="T12872" t="s">
        <v>46488</v>
      </c>
      <c r="U12872" t="s">
        <v>57507</v>
      </c>
      <c r="W12872" t="s">
        <v>60874</v>
      </c>
      <c r="X12872" t="s">
        <v>44779</v>
      </c>
    </row>
    <row r="12873" spans="1:24">
      <c r="A12873">
        <f>HYPERLINK("https://www.philgeps.gov.ph/GEPSNONPILOT/Tender/SplashBidNoticeAbstractUI.aspx?menuIndex=3&amp;refID=7119231&amp;Result=3","7119231")</f>
        <v>0</v>
      </c>
      <c r="B12873" t="s">
        <v>1750</v>
      </c>
      <c r="C12873" t="s">
        <v>16018</v>
      </c>
      <c r="E12873" t="s">
        <v>29163</v>
      </c>
      <c r="F12873" t="s">
        <v>30900</v>
      </c>
      <c r="G12873" t="s">
        <v>30907</v>
      </c>
      <c r="H12873" t="s">
        <v>30915</v>
      </c>
      <c r="I12873" t="s">
        <v>30919</v>
      </c>
      <c r="J12873" t="s">
        <v>39065</v>
      </c>
      <c r="K12873" t="s">
        <v>40304</v>
      </c>
      <c r="M12873" t="s">
        <v>43962</v>
      </c>
      <c r="N12873" t="s">
        <v>44759</v>
      </c>
      <c r="O12873" t="s">
        <v>44760</v>
      </c>
      <c r="P12873">
        <v>0</v>
      </c>
      <c r="Q12873">
        <v>0</v>
      </c>
      <c r="R12873" t="s">
        <v>44777</v>
      </c>
      <c r="S12873" t="s">
        <v>45524</v>
      </c>
      <c r="T12873" t="s">
        <v>46488</v>
      </c>
      <c r="U12873" t="s">
        <v>57508</v>
      </c>
      <c r="W12873" t="s">
        <v>60874</v>
      </c>
      <c r="X12873" t="s">
        <v>44779</v>
      </c>
    </row>
    <row r="12874" spans="1:24">
      <c r="A12874">
        <f>HYPERLINK("https://www.philgeps.gov.ph/GEPSNONPILOT/Tender/SplashBidNoticeAbstractUI.aspx?menuIndex=3&amp;refID=7119008&amp;Result=3","7119008")</f>
        <v>0</v>
      </c>
      <c r="B12874" t="s">
        <v>1997</v>
      </c>
      <c r="C12874" t="s">
        <v>16019</v>
      </c>
      <c r="D12874" t="s">
        <v>17953</v>
      </c>
      <c r="E12874" t="s">
        <v>29164</v>
      </c>
      <c r="F12874" t="s">
        <v>30900</v>
      </c>
      <c r="G12874" t="s">
        <v>30907</v>
      </c>
      <c r="H12874" t="s">
        <v>30916</v>
      </c>
      <c r="I12874" t="s">
        <v>5501</v>
      </c>
      <c r="J12874" t="s">
        <v>39066</v>
      </c>
      <c r="K12874" t="s">
        <v>40284</v>
      </c>
      <c r="M12874" t="s">
        <v>44481</v>
      </c>
      <c r="N12874" t="s">
        <v>44759</v>
      </c>
      <c r="O12874" t="s">
        <v>44760</v>
      </c>
      <c r="Q12874">
        <v>10</v>
      </c>
      <c r="R12874" t="s">
        <v>44777</v>
      </c>
      <c r="S12874" t="s">
        <v>45593</v>
      </c>
      <c r="T12874" t="s">
        <v>46409</v>
      </c>
      <c r="U12874" t="s">
        <v>57509</v>
      </c>
      <c r="V12874" t="s">
        <v>60557</v>
      </c>
      <c r="W12874" t="s">
        <v>44481</v>
      </c>
      <c r="X12874" t="s">
        <v>44780</v>
      </c>
    </row>
    <row r="12875" spans="1:24">
      <c r="A12875">
        <f>HYPERLINK("https://www.philgeps.gov.ph/GEPSNONPILOT/Tender/SplashBidNoticeAbstractUI.aspx?menuIndex=3&amp;refID=7119236&amp;Result=3","7119236")</f>
        <v>0</v>
      </c>
      <c r="B12875" t="s">
        <v>1750</v>
      </c>
      <c r="C12875" t="s">
        <v>16020</v>
      </c>
      <c r="D12875" t="s">
        <v>17966</v>
      </c>
      <c r="E12875" t="s">
        <v>29165</v>
      </c>
      <c r="F12875" t="s">
        <v>30900</v>
      </c>
      <c r="G12875" t="s">
        <v>30907</v>
      </c>
      <c r="H12875" t="s">
        <v>30915</v>
      </c>
      <c r="I12875" t="s">
        <v>30919</v>
      </c>
      <c r="J12875" t="s">
        <v>31214</v>
      </c>
      <c r="K12875" t="s">
        <v>40392</v>
      </c>
      <c r="M12875" t="s">
        <v>43962</v>
      </c>
      <c r="N12875" t="s">
        <v>44759</v>
      </c>
      <c r="O12875" t="s">
        <v>44760</v>
      </c>
      <c r="P12875">
        <v>0</v>
      </c>
      <c r="Q12875">
        <v>0</v>
      </c>
      <c r="R12875" t="s">
        <v>44777</v>
      </c>
      <c r="S12875" t="s">
        <v>45524</v>
      </c>
      <c r="T12875" t="s">
        <v>46488</v>
      </c>
      <c r="U12875" t="s">
        <v>57510</v>
      </c>
      <c r="W12875" t="s">
        <v>60874</v>
      </c>
      <c r="X12875" t="s">
        <v>44779</v>
      </c>
    </row>
    <row r="12876" spans="1:24">
      <c r="A12876">
        <f>HYPERLINK("https://www.philgeps.gov.ph/GEPSNONPILOT/Tender/SplashBidNoticeAbstractUI.aspx?menuIndex=3&amp;refID=7119230&amp;Result=3","7119230")</f>
        <v>0</v>
      </c>
      <c r="B12876" t="s">
        <v>1141</v>
      </c>
      <c r="C12876" t="s">
        <v>16021</v>
      </c>
      <c r="D12876" t="s">
        <v>18021</v>
      </c>
      <c r="E12876" t="s">
        <v>29166</v>
      </c>
      <c r="F12876" t="s">
        <v>30900</v>
      </c>
      <c r="G12876" t="s">
        <v>30907</v>
      </c>
      <c r="H12876" t="s">
        <v>30916</v>
      </c>
      <c r="I12876" t="s">
        <v>30927</v>
      </c>
      <c r="J12876" t="s">
        <v>39067</v>
      </c>
      <c r="K12876" t="s">
        <v>40286</v>
      </c>
      <c r="M12876" t="s">
        <v>41746</v>
      </c>
      <c r="N12876" t="s">
        <v>44759</v>
      </c>
      <c r="O12876" t="s">
        <v>44760</v>
      </c>
      <c r="P12876">
        <v>0</v>
      </c>
      <c r="Q12876">
        <v>0</v>
      </c>
      <c r="R12876" t="s">
        <v>44777</v>
      </c>
      <c r="S12876" t="s">
        <v>45524</v>
      </c>
      <c r="T12876" t="s">
        <v>46351</v>
      </c>
      <c r="U12876" t="s">
        <v>49586</v>
      </c>
      <c r="V12876" t="s">
        <v>60570</v>
      </c>
      <c r="W12876" t="s">
        <v>41746</v>
      </c>
      <c r="X12876" t="s">
        <v>44779</v>
      </c>
    </row>
    <row r="12877" spans="1:24">
      <c r="A12877">
        <f>HYPERLINK("https://www.philgeps.gov.ph/GEPSNONPILOT/Tender/SplashBidNoticeAbstractUI.aspx?menuIndex=3&amp;refID=7119229&amp;Result=3","7119229")</f>
        <v>0</v>
      </c>
      <c r="B12877" t="s">
        <v>1750</v>
      </c>
      <c r="C12877" t="s">
        <v>16022</v>
      </c>
      <c r="D12877" t="s">
        <v>17966</v>
      </c>
      <c r="E12877" t="s">
        <v>29167</v>
      </c>
      <c r="F12877" t="s">
        <v>30900</v>
      </c>
      <c r="G12877" t="s">
        <v>30907</v>
      </c>
      <c r="H12877" t="s">
        <v>30915</v>
      </c>
      <c r="I12877" t="s">
        <v>30919</v>
      </c>
      <c r="J12877" t="s">
        <v>31391</v>
      </c>
      <c r="K12877" t="s">
        <v>40304</v>
      </c>
      <c r="M12877" t="s">
        <v>43962</v>
      </c>
      <c r="N12877" t="s">
        <v>44759</v>
      </c>
      <c r="O12877" t="s">
        <v>44760</v>
      </c>
      <c r="P12877">
        <v>0</v>
      </c>
      <c r="Q12877">
        <v>0</v>
      </c>
      <c r="R12877" t="s">
        <v>44777</v>
      </c>
      <c r="S12877" t="s">
        <v>45524</v>
      </c>
      <c r="T12877" t="s">
        <v>46503</v>
      </c>
      <c r="U12877" t="s">
        <v>57511</v>
      </c>
      <c r="W12877" t="s">
        <v>60874</v>
      </c>
      <c r="X12877" t="s">
        <v>44779</v>
      </c>
    </row>
    <row r="12878" spans="1:24">
      <c r="A12878">
        <f>HYPERLINK("https://www.philgeps.gov.ph/GEPSNONPILOT/Tender/SplashBidNoticeAbstractUI.aspx?menuIndex=3&amp;refID=7119263&amp;Result=3","7119263")</f>
        <v>0</v>
      </c>
      <c r="B12878" t="s">
        <v>1750</v>
      </c>
      <c r="C12878" t="s">
        <v>16023</v>
      </c>
      <c r="D12878" t="s">
        <v>17966</v>
      </c>
      <c r="E12878" t="s">
        <v>29168</v>
      </c>
      <c r="F12878" t="s">
        <v>30900</v>
      </c>
      <c r="G12878" t="s">
        <v>30907</v>
      </c>
      <c r="H12878" t="s">
        <v>30915</v>
      </c>
      <c r="I12878" t="s">
        <v>30919</v>
      </c>
      <c r="J12878" t="s">
        <v>39068</v>
      </c>
      <c r="K12878" t="s">
        <v>40392</v>
      </c>
      <c r="M12878" t="s">
        <v>43962</v>
      </c>
      <c r="N12878" t="s">
        <v>44759</v>
      </c>
      <c r="O12878" t="s">
        <v>44760</v>
      </c>
      <c r="P12878">
        <v>0</v>
      </c>
      <c r="Q12878">
        <v>0</v>
      </c>
      <c r="R12878" t="s">
        <v>44777</v>
      </c>
      <c r="S12878" t="s">
        <v>45524</v>
      </c>
      <c r="T12878" t="s">
        <v>46488</v>
      </c>
      <c r="U12878" t="s">
        <v>57512</v>
      </c>
      <c r="W12878" t="s">
        <v>60874</v>
      </c>
      <c r="X12878" t="s">
        <v>44779</v>
      </c>
    </row>
    <row r="12879" spans="1:24">
      <c r="A12879">
        <f>HYPERLINK("https://www.philgeps.gov.ph/GEPSNONPILOT/Tender/SplashBidNoticeAbstractUI.aspx?menuIndex=3&amp;refID=7119052&amp;Result=3","7119052")</f>
        <v>0</v>
      </c>
      <c r="B12879" t="s">
        <v>1997</v>
      </c>
      <c r="C12879" t="s">
        <v>16024</v>
      </c>
      <c r="D12879" t="s">
        <v>17953</v>
      </c>
      <c r="E12879" t="s">
        <v>29169</v>
      </c>
      <c r="F12879" t="s">
        <v>30900</v>
      </c>
      <c r="G12879" t="s">
        <v>30907</v>
      </c>
      <c r="H12879" t="s">
        <v>30916</v>
      </c>
      <c r="I12879" t="s">
        <v>5501</v>
      </c>
      <c r="J12879" t="s">
        <v>39069</v>
      </c>
      <c r="K12879" t="s">
        <v>40284</v>
      </c>
      <c r="M12879" t="s">
        <v>44481</v>
      </c>
      <c r="N12879" t="s">
        <v>44759</v>
      </c>
      <c r="O12879" t="s">
        <v>44760</v>
      </c>
      <c r="Q12879">
        <v>9</v>
      </c>
      <c r="R12879" t="s">
        <v>44777</v>
      </c>
      <c r="S12879" t="s">
        <v>45547</v>
      </c>
      <c r="T12879" t="s">
        <v>46409</v>
      </c>
      <c r="U12879" t="s">
        <v>57513</v>
      </c>
      <c r="V12879" t="s">
        <v>60557</v>
      </c>
      <c r="W12879" t="s">
        <v>44481</v>
      </c>
      <c r="X12879" t="s">
        <v>44780</v>
      </c>
    </row>
    <row r="12880" spans="1:24">
      <c r="A12880">
        <f>HYPERLINK("https://www.philgeps.gov.ph/GEPSNONPILOT/Tender/SplashBidNoticeAbstractUI.aspx?menuIndex=3&amp;refID=7119051&amp;Result=3","7119051")</f>
        <v>0</v>
      </c>
      <c r="B12880" t="s">
        <v>1997</v>
      </c>
      <c r="C12880" t="s">
        <v>16025</v>
      </c>
      <c r="D12880" t="s">
        <v>17953</v>
      </c>
      <c r="E12880" t="s">
        <v>29170</v>
      </c>
      <c r="F12880" t="s">
        <v>30900</v>
      </c>
      <c r="G12880" t="s">
        <v>30907</v>
      </c>
      <c r="H12880" t="s">
        <v>30916</v>
      </c>
      <c r="I12880" t="s">
        <v>9385</v>
      </c>
      <c r="J12880" t="s">
        <v>39070</v>
      </c>
      <c r="K12880" t="s">
        <v>40284</v>
      </c>
      <c r="M12880" t="s">
        <v>44467</v>
      </c>
      <c r="N12880" t="s">
        <v>44759</v>
      </c>
      <c r="O12880" t="s">
        <v>44760</v>
      </c>
      <c r="Q12880">
        <v>4</v>
      </c>
      <c r="R12880" t="s">
        <v>44777</v>
      </c>
      <c r="S12880" t="s">
        <v>45594</v>
      </c>
      <c r="T12880" t="s">
        <v>46389</v>
      </c>
      <c r="U12880" t="s">
        <v>57514</v>
      </c>
      <c r="V12880" t="s">
        <v>60557</v>
      </c>
      <c r="W12880" t="s">
        <v>44467</v>
      </c>
      <c r="X12880" t="s">
        <v>44780</v>
      </c>
    </row>
    <row r="12881" spans="1:24">
      <c r="A12881">
        <f>HYPERLINK("https://www.philgeps.gov.ph/GEPSNONPILOT/Tender/SplashBidNoticeAbstractUI.aspx?menuIndex=3&amp;refID=7119048&amp;Result=3","7119048")</f>
        <v>0</v>
      </c>
      <c r="B12881" t="s">
        <v>1997</v>
      </c>
      <c r="C12881" t="s">
        <v>16026</v>
      </c>
      <c r="D12881" t="s">
        <v>17953</v>
      </c>
      <c r="E12881" t="s">
        <v>29171</v>
      </c>
      <c r="F12881" t="s">
        <v>30900</v>
      </c>
      <c r="G12881" t="s">
        <v>30907</v>
      </c>
      <c r="H12881" t="s">
        <v>30916</v>
      </c>
      <c r="I12881" t="s">
        <v>5501</v>
      </c>
      <c r="J12881" t="s">
        <v>39071</v>
      </c>
      <c r="K12881" t="s">
        <v>40284</v>
      </c>
      <c r="M12881" t="s">
        <v>44481</v>
      </c>
      <c r="N12881" t="s">
        <v>44759</v>
      </c>
      <c r="O12881" t="s">
        <v>44760</v>
      </c>
      <c r="Q12881">
        <v>7</v>
      </c>
      <c r="R12881" t="s">
        <v>44777</v>
      </c>
      <c r="S12881" t="s">
        <v>45554</v>
      </c>
      <c r="T12881" t="s">
        <v>46409</v>
      </c>
      <c r="U12881" t="s">
        <v>57515</v>
      </c>
      <c r="V12881" t="s">
        <v>60557</v>
      </c>
      <c r="W12881" t="s">
        <v>44481</v>
      </c>
      <c r="X12881" t="s">
        <v>44780</v>
      </c>
    </row>
    <row r="12882" spans="1:24">
      <c r="A12882">
        <f>HYPERLINK("https://www.philgeps.gov.ph/GEPSNONPILOT/Tender/SplashBidNoticeAbstractUI.aspx?menuIndex=3&amp;refID=7119716&amp;Result=3","7119716")</f>
        <v>0</v>
      </c>
      <c r="B12882" t="s">
        <v>3560</v>
      </c>
      <c r="C12882" t="s">
        <v>16027</v>
      </c>
      <c r="D12882" t="s">
        <v>17977</v>
      </c>
      <c r="E12882" t="s">
        <v>29172</v>
      </c>
      <c r="F12882" t="s">
        <v>30900</v>
      </c>
      <c r="G12882" t="s">
        <v>30907</v>
      </c>
      <c r="H12882" t="s">
        <v>30915</v>
      </c>
      <c r="I12882" t="s">
        <v>30919</v>
      </c>
      <c r="J12882" t="s">
        <v>39072</v>
      </c>
      <c r="K12882" t="s">
        <v>40304</v>
      </c>
      <c r="M12882" t="s">
        <v>44482</v>
      </c>
      <c r="N12882" t="s">
        <v>44759</v>
      </c>
      <c r="O12882" t="s">
        <v>44760</v>
      </c>
      <c r="P12882">
        <v>0</v>
      </c>
      <c r="Q12882">
        <v>0</v>
      </c>
      <c r="R12882" t="s">
        <v>44777</v>
      </c>
      <c r="S12882" t="s">
        <v>45524</v>
      </c>
      <c r="T12882" t="s">
        <v>46418</v>
      </c>
      <c r="U12882" t="s">
        <v>57516</v>
      </c>
      <c r="W12882" t="s">
        <v>44482</v>
      </c>
      <c r="X12882" t="s">
        <v>44778</v>
      </c>
    </row>
    <row r="12883" spans="1:24">
      <c r="A12883">
        <f>HYPERLINK("https://www.philgeps.gov.ph/GEPSNONPILOT/Tender/SplashBidNoticeAbstractUI.aspx?menuIndex=3&amp;refID=7119714&amp;Result=3","7119714")</f>
        <v>0</v>
      </c>
      <c r="B12883" t="s">
        <v>3560</v>
      </c>
      <c r="C12883" t="s">
        <v>16028</v>
      </c>
      <c r="D12883" t="s">
        <v>17977</v>
      </c>
      <c r="E12883" t="s">
        <v>29173</v>
      </c>
      <c r="F12883" t="s">
        <v>30900</v>
      </c>
      <c r="G12883" t="s">
        <v>30907</v>
      </c>
      <c r="H12883" t="s">
        <v>30915</v>
      </c>
      <c r="I12883" t="s">
        <v>30919</v>
      </c>
      <c r="J12883" t="s">
        <v>39073</v>
      </c>
      <c r="K12883" t="s">
        <v>40280</v>
      </c>
      <c r="M12883" t="s">
        <v>44482</v>
      </c>
      <c r="N12883" t="s">
        <v>44759</v>
      </c>
      <c r="O12883" t="s">
        <v>44760</v>
      </c>
      <c r="P12883">
        <v>0</v>
      </c>
      <c r="Q12883">
        <v>0</v>
      </c>
      <c r="R12883" t="s">
        <v>44777</v>
      </c>
      <c r="S12883" t="s">
        <v>45524</v>
      </c>
      <c r="T12883" t="s">
        <v>46418</v>
      </c>
      <c r="U12883" t="s">
        <v>57517</v>
      </c>
      <c r="W12883" t="s">
        <v>44482</v>
      </c>
      <c r="X12883" t="s">
        <v>44778</v>
      </c>
    </row>
    <row r="12884" spans="1:24">
      <c r="A12884">
        <f>HYPERLINK("https://www.philgeps.gov.ph/GEPSNONPILOT/Tender/SplashBidNoticeAbstractUI.aspx?menuIndex=3&amp;refID=7119712&amp;Result=3","7119712")</f>
        <v>0</v>
      </c>
      <c r="B12884" t="s">
        <v>3560</v>
      </c>
      <c r="C12884" t="s">
        <v>16029</v>
      </c>
      <c r="D12884" t="s">
        <v>17977</v>
      </c>
      <c r="E12884" t="s">
        <v>29174</v>
      </c>
      <c r="F12884" t="s">
        <v>30900</v>
      </c>
      <c r="G12884" t="s">
        <v>30907</v>
      </c>
      <c r="H12884" t="s">
        <v>30915</v>
      </c>
      <c r="I12884" t="s">
        <v>30919</v>
      </c>
      <c r="J12884" t="s">
        <v>39074</v>
      </c>
      <c r="K12884" t="s">
        <v>40304</v>
      </c>
      <c r="M12884" t="s">
        <v>44482</v>
      </c>
      <c r="N12884" t="s">
        <v>44759</v>
      </c>
      <c r="O12884" t="s">
        <v>44760</v>
      </c>
      <c r="P12884">
        <v>0</v>
      </c>
      <c r="Q12884">
        <v>0</v>
      </c>
      <c r="R12884" t="s">
        <v>44777</v>
      </c>
      <c r="S12884" t="s">
        <v>45524</v>
      </c>
      <c r="T12884" t="s">
        <v>46418</v>
      </c>
      <c r="U12884" t="s">
        <v>57518</v>
      </c>
      <c r="W12884" t="s">
        <v>44482</v>
      </c>
      <c r="X12884" t="s">
        <v>44778</v>
      </c>
    </row>
    <row r="12885" spans="1:24">
      <c r="A12885">
        <f>HYPERLINK("https://www.philgeps.gov.ph/GEPSNONPILOT/Tender/SplashBidNoticeAbstractUI.aspx?menuIndex=3&amp;refID=7119699&amp;Result=3","7119699")</f>
        <v>0</v>
      </c>
      <c r="B12885" t="s">
        <v>3561</v>
      </c>
      <c r="C12885" t="s">
        <v>16030</v>
      </c>
      <c r="D12885" t="s">
        <v>17984</v>
      </c>
      <c r="E12885" t="s">
        <v>18094</v>
      </c>
      <c r="F12885" t="s">
        <v>30900</v>
      </c>
      <c r="G12885" t="s">
        <v>30907</v>
      </c>
      <c r="H12885" t="s">
        <v>30916</v>
      </c>
      <c r="I12885" t="s">
        <v>30949</v>
      </c>
      <c r="J12885" t="s">
        <v>31284</v>
      </c>
      <c r="K12885" t="s">
        <v>40287</v>
      </c>
      <c r="M12885" t="s">
        <v>44483</v>
      </c>
      <c r="N12885" t="s">
        <v>44759</v>
      </c>
      <c r="O12885" t="s">
        <v>44760</v>
      </c>
      <c r="P12885">
        <v>0</v>
      </c>
      <c r="Q12885">
        <v>2</v>
      </c>
      <c r="R12885" t="s">
        <v>44777</v>
      </c>
      <c r="S12885" t="s">
        <v>45524</v>
      </c>
      <c r="T12885" t="s">
        <v>46533</v>
      </c>
      <c r="U12885" t="s">
        <v>57519</v>
      </c>
      <c r="W12885" t="s">
        <v>44483</v>
      </c>
      <c r="X12885" t="s">
        <v>44778</v>
      </c>
    </row>
    <row r="12886" spans="1:24">
      <c r="A12886">
        <f>HYPERLINK("https://www.philgeps.gov.ph/GEPSNONPILOT/Tender/SplashBidNoticeAbstractUI.aspx?menuIndex=3&amp;refID=7119055&amp;Result=3","7119055")</f>
        <v>0</v>
      </c>
      <c r="B12886" t="s">
        <v>1997</v>
      </c>
      <c r="C12886" t="s">
        <v>16031</v>
      </c>
      <c r="D12886" t="s">
        <v>17953</v>
      </c>
      <c r="E12886" t="s">
        <v>29175</v>
      </c>
      <c r="F12886" t="s">
        <v>30900</v>
      </c>
      <c r="G12886" t="s">
        <v>30907</v>
      </c>
      <c r="H12886" t="s">
        <v>30916</v>
      </c>
      <c r="I12886" t="s">
        <v>5501</v>
      </c>
      <c r="J12886" t="s">
        <v>39075</v>
      </c>
      <c r="K12886" t="s">
        <v>40284</v>
      </c>
      <c r="M12886" t="s">
        <v>44481</v>
      </c>
      <c r="N12886" t="s">
        <v>44759</v>
      </c>
      <c r="O12886" t="s">
        <v>44760</v>
      </c>
      <c r="Q12886">
        <v>7</v>
      </c>
      <c r="R12886" t="s">
        <v>44777</v>
      </c>
      <c r="S12886" t="s">
        <v>45560</v>
      </c>
      <c r="T12886" t="s">
        <v>46409</v>
      </c>
      <c r="U12886" t="s">
        <v>57520</v>
      </c>
      <c r="V12886" t="s">
        <v>60557</v>
      </c>
      <c r="W12886" t="s">
        <v>44481</v>
      </c>
      <c r="X12886" t="s">
        <v>44780</v>
      </c>
    </row>
    <row r="12887" spans="1:24">
      <c r="A12887">
        <f>HYPERLINK("https://www.philgeps.gov.ph/GEPSNONPILOT/Tender/SplashBidNoticeAbstractUI.aspx?menuIndex=3&amp;refID=7119697&amp;Result=3","7119697")</f>
        <v>0</v>
      </c>
      <c r="B12887" t="s">
        <v>3562</v>
      </c>
      <c r="C12887" t="s">
        <v>16032</v>
      </c>
      <c r="D12887" t="s">
        <v>17984</v>
      </c>
      <c r="E12887" t="s">
        <v>18094</v>
      </c>
      <c r="F12887" t="s">
        <v>30900</v>
      </c>
      <c r="G12887" t="s">
        <v>30907</v>
      </c>
      <c r="H12887" t="s">
        <v>30915</v>
      </c>
      <c r="I12887" t="s">
        <v>8123</v>
      </c>
      <c r="J12887" t="s">
        <v>39076</v>
      </c>
      <c r="K12887" t="s">
        <v>40287</v>
      </c>
      <c r="M12887" t="s">
        <v>44484</v>
      </c>
      <c r="N12887" t="s">
        <v>44759</v>
      </c>
      <c r="O12887" t="s">
        <v>44760</v>
      </c>
      <c r="P12887">
        <v>0</v>
      </c>
      <c r="Q12887">
        <v>0</v>
      </c>
      <c r="R12887" t="s">
        <v>44777</v>
      </c>
      <c r="S12887" t="s">
        <v>45524</v>
      </c>
      <c r="T12887" t="s">
        <v>46383</v>
      </c>
      <c r="U12887" t="s">
        <v>57521</v>
      </c>
      <c r="W12887" t="s">
        <v>44484</v>
      </c>
      <c r="X12887" t="s">
        <v>44778</v>
      </c>
    </row>
    <row r="12888" spans="1:24">
      <c r="A12888">
        <f>HYPERLINK("https://www.philgeps.gov.ph/GEPSNONPILOT/Tender/SplashBidNoticeAbstractUI.aspx?menuIndex=3&amp;refID=7119707&amp;Result=3","7119707")</f>
        <v>0</v>
      </c>
      <c r="B12888" t="s">
        <v>3560</v>
      </c>
      <c r="C12888" t="s">
        <v>16033</v>
      </c>
      <c r="D12888" t="s">
        <v>17977</v>
      </c>
      <c r="E12888" t="s">
        <v>29176</v>
      </c>
      <c r="F12888" t="s">
        <v>30900</v>
      </c>
      <c r="G12888" t="s">
        <v>30907</v>
      </c>
      <c r="H12888" t="s">
        <v>30915</v>
      </c>
      <c r="I12888" t="s">
        <v>30919</v>
      </c>
      <c r="J12888" t="s">
        <v>39077</v>
      </c>
      <c r="K12888" t="s">
        <v>40304</v>
      </c>
      <c r="M12888" t="s">
        <v>44482</v>
      </c>
      <c r="N12888" t="s">
        <v>44759</v>
      </c>
      <c r="O12888" t="s">
        <v>44760</v>
      </c>
      <c r="P12888">
        <v>0</v>
      </c>
      <c r="Q12888">
        <v>0</v>
      </c>
      <c r="R12888" t="s">
        <v>44777</v>
      </c>
      <c r="S12888" t="s">
        <v>45524</v>
      </c>
      <c r="T12888" t="s">
        <v>46418</v>
      </c>
      <c r="U12888" t="s">
        <v>57522</v>
      </c>
      <c r="W12888" t="s">
        <v>44482</v>
      </c>
      <c r="X12888" t="s">
        <v>44778</v>
      </c>
    </row>
    <row r="12889" spans="1:24">
      <c r="A12889">
        <f>HYPERLINK("https://www.philgeps.gov.ph/GEPSNONPILOT/Tender/SplashBidNoticeAbstractUI.aspx?menuIndex=3&amp;refID=7119687&amp;Result=3","7119687")</f>
        <v>0</v>
      </c>
      <c r="B12889" t="s">
        <v>3555</v>
      </c>
      <c r="C12889" t="s">
        <v>16034</v>
      </c>
      <c r="D12889" t="s">
        <v>17959</v>
      </c>
      <c r="E12889" t="s">
        <v>29177</v>
      </c>
      <c r="F12889" t="s">
        <v>30900</v>
      </c>
      <c r="G12889" t="s">
        <v>30907</v>
      </c>
      <c r="H12889" t="s">
        <v>30916</v>
      </c>
      <c r="I12889" t="s">
        <v>30977</v>
      </c>
      <c r="J12889" t="s">
        <v>39078</v>
      </c>
      <c r="K12889" t="s">
        <v>40280</v>
      </c>
      <c r="M12889" t="s">
        <v>44485</v>
      </c>
      <c r="N12889" t="s">
        <v>44759</v>
      </c>
      <c r="O12889" t="s">
        <v>44760</v>
      </c>
      <c r="P12889">
        <v>0</v>
      </c>
      <c r="Q12889">
        <v>18</v>
      </c>
      <c r="R12889" t="s">
        <v>44777</v>
      </c>
      <c r="S12889" t="s">
        <v>45524</v>
      </c>
      <c r="T12889" t="s">
        <v>46409</v>
      </c>
      <c r="U12889" t="s">
        <v>57523</v>
      </c>
      <c r="W12889" t="s">
        <v>44485</v>
      </c>
      <c r="X12889" t="s">
        <v>44778</v>
      </c>
    </row>
    <row r="12890" spans="1:24">
      <c r="A12890">
        <f>HYPERLINK("https://www.philgeps.gov.ph/GEPSNONPILOT/Tender/SplashBidNoticeAbstractUI.aspx?menuIndex=3&amp;refID=7119623&amp;Result=3","7119623")</f>
        <v>0</v>
      </c>
      <c r="B12890" t="s">
        <v>3563</v>
      </c>
      <c r="C12890" t="s">
        <v>16035</v>
      </c>
      <c r="D12890" t="s">
        <v>17993</v>
      </c>
      <c r="E12890" t="s">
        <v>29178</v>
      </c>
      <c r="F12890" t="s">
        <v>30900</v>
      </c>
      <c r="G12890" t="s">
        <v>30907</v>
      </c>
      <c r="H12890" t="s">
        <v>30916</v>
      </c>
      <c r="I12890" t="s">
        <v>8123</v>
      </c>
      <c r="J12890" t="s">
        <v>39079</v>
      </c>
      <c r="K12890" t="s">
        <v>40285</v>
      </c>
      <c r="L12890" t="s">
        <v>3563</v>
      </c>
      <c r="M12890" t="s">
        <v>44486</v>
      </c>
      <c r="N12890" t="s">
        <v>44759</v>
      </c>
      <c r="O12890" t="s">
        <v>44760</v>
      </c>
      <c r="P12890">
        <v>0</v>
      </c>
      <c r="Q12890">
        <v>1</v>
      </c>
      <c r="R12890" t="s">
        <v>44777</v>
      </c>
      <c r="S12890" t="s">
        <v>45524</v>
      </c>
      <c r="T12890" t="s">
        <v>46414</v>
      </c>
      <c r="U12890" t="s">
        <v>57524</v>
      </c>
      <c r="W12890" t="s">
        <v>44486</v>
      </c>
      <c r="X12890" t="s">
        <v>44779</v>
      </c>
    </row>
    <row r="12891" spans="1:24">
      <c r="A12891">
        <f>HYPERLINK("https://www.philgeps.gov.ph/GEPSNONPILOT/Tender/SplashBidNoticeAbstractUI.aspx?menuIndex=3&amp;refID=7119615&amp;Result=3","7119615")</f>
        <v>0</v>
      </c>
      <c r="B12891" t="s">
        <v>634</v>
      </c>
      <c r="C12891" t="s">
        <v>16036</v>
      </c>
      <c r="D12891" t="s">
        <v>17999</v>
      </c>
      <c r="E12891" t="s">
        <v>29179</v>
      </c>
      <c r="F12891" t="s">
        <v>30900</v>
      </c>
      <c r="G12891" t="s">
        <v>30907</v>
      </c>
      <c r="H12891" t="s">
        <v>30916</v>
      </c>
      <c r="I12891" t="s">
        <v>30981</v>
      </c>
      <c r="J12891" t="s">
        <v>32271</v>
      </c>
      <c r="K12891" t="s">
        <v>40286</v>
      </c>
      <c r="M12891" t="s">
        <v>44487</v>
      </c>
      <c r="N12891" t="s">
        <v>44759</v>
      </c>
      <c r="O12891" t="s">
        <v>44760</v>
      </c>
      <c r="Q12891">
        <v>4</v>
      </c>
      <c r="R12891" t="s">
        <v>44777</v>
      </c>
      <c r="S12891" t="s">
        <v>45595</v>
      </c>
      <c r="T12891" t="s">
        <v>46421</v>
      </c>
      <c r="U12891" t="s">
        <v>57525</v>
      </c>
      <c r="W12891" t="s">
        <v>44487</v>
      </c>
      <c r="X12891" t="s">
        <v>44779</v>
      </c>
    </row>
    <row r="12892" spans="1:24">
      <c r="A12892">
        <f>HYPERLINK("https://www.philgeps.gov.ph/GEPSNONPILOT/Tender/SplashBidNoticeAbstractUI.aspx?menuIndex=3&amp;refID=7119545&amp;Result=3","7119545")</f>
        <v>0</v>
      </c>
      <c r="B12892" t="s">
        <v>3564</v>
      </c>
      <c r="C12892" t="s">
        <v>16037</v>
      </c>
      <c r="D12892" t="s">
        <v>17953</v>
      </c>
      <c r="E12892" t="s">
        <v>29180</v>
      </c>
      <c r="F12892" t="s">
        <v>30900</v>
      </c>
      <c r="G12892" t="s">
        <v>30907</v>
      </c>
      <c r="H12892" t="s">
        <v>30916</v>
      </c>
      <c r="I12892" t="s">
        <v>8123</v>
      </c>
      <c r="J12892" t="s">
        <v>39080</v>
      </c>
      <c r="K12892" t="s">
        <v>40281</v>
      </c>
      <c r="M12892" t="s">
        <v>44488</v>
      </c>
      <c r="N12892" t="s">
        <v>44759</v>
      </c>
      <c r="O12892" t="s">
        <v>44760</v>
      </c>
      <c r="P12892">
        <v>0</v>
      </c>
      <c r="Q12892">
        <v>0</v>
      </c>
      <c r="R12892" t="s">
        <v>44777</v>
      </c>
      <c r="S12892" t="s">
        <v>45524</v>
      </c>
      <c r="T12892" t="s">
        <v>46700</v>
      </c>
      <c r="U12892" t="s">
        <v>57526</v>
      </c>
      <c r="W12892" t="s">
        <v>44488</v>
      </c>
      <c r="X12892" t="s">
        <v>44779</v>
      </c>
    </row>
    <row r="12893" spans="1:24">
      <c r="A12893">
        <f>HYPERLINK("https://www.philgeps.gov.ph/GEPSNONPILOT/Tender/SplashBidNoticeAbstractUI.aspx?menuIndex=3&amp;refID=7119533&amp;Result=3","7119533")</f>
        <v>0</v>
      </c>
      <c r="B12893" t="s">
        <v>3564</v>
      </c>
      <c r="C12893" t="s">
        <v>16038</v>
      </c>
      <c r="D12893" t="s">
        <v>17953</v>
      </c>
      <c r="E12893" t="s">
        <v>29181</v>
      </c>
      <c r="F12893" t="s">
        <v>30900</v>
      </c>
      <c r="G12893" t="s">
        <v>30907</v>
      </c>
      <c r="H12893" t="s">
        <v>30916</v>
      </c>
      <c r="I12893" t="s">
        <v>8123</v>
      </c>
      <c r="J12893" t="s">
        <v>31863</v>
      </c>
      <c r="K12893" t="s">
        <v>40281</v>
      </c>
      <c r="M12893" t="s">
        <v>44488</v>
      </c>
      <c r="N12893" t="s">
        <v>44759</v>
      </c>
      <c r="O12893" t="s">
        <v>44760</v>
      </c>
      <c r="P12893">
        <v>0</v>
      </c>
      <c r="Q12893">
        <v>0</v>
      </c>
      <c r="R12893" t="s">
        <v>44777</v>
      </c>
      <c r="S12893" t="s">
        <v>45524</v>
      </c>
      <c r="T12893" t="s">
        <v>46700</v>
      </c>
      <c r="U12893" t="s">
        <v>57527</v>
      </c>
      <c r="W12893" t="s">
        <v>44488</v>
      </c>
      <c r="X12893" t="s">
        <v>44779</v>
      </c>
    </row>
    <row r="12894" spans="1:24">
      <c r="A12894">
        <f>HYPERLINK("https://www.philgeps.gov.ph/GEPSNONPILOT/Tender/SplashBidNoticeAbstractUI.aspx?menuIndex=3&amp;refID=7119873&amp;Result=3","7119873")</f>
        <v>0</v>
      </c>
      <c r="B12894" t="s">
        <v>3359</v>
      </c>
      <c r="C12894" t="s">
        <v>16039</v>
      </c>
      <c r="D12894" t="s">
        <v>18003</v>
      </c>
      <c r="E12894" t="s">
        <v>29182</v>
      </c>
      <c r="F12894" t="s">
        <v>30900</v>
      </c>
      <c r="G12894" t="s">
        <v>30907</v>
      </c>
      <c r="H12894" t="s">
        <v>30916</v>
      </c>
      <c r="I12894" t="s">
        <v>30942</v>
      </c>
      <c r="J12894" t="s">
        <v>39081</v>
      </c>
      <c r="K12894" t="s">
        <v>40286</v>
      </c>
      <c r="M12894" t="s">
        <v>44228</v>
      </c>
      <c r="N12894" t="s">
        <v>44759</v>
      </c>
      <c r="O12894" t="s">
        <v>44760</v>
      </c>
      <c r="P12894">
        <v>0</v>
      </c>
      <c r="Q12894">
        <v>0</v>
      </c>
      <c r="R12894" t="s">
        <v>44777</v>
      </c>
      <c r="S12894" t="s">
        <v>45524</v>
      </c>
      <c r="T12894" t="s">
        <v>46357</v>
      </c>
      <c r="U12894" t="s">
        <v>57528</v>
      </c>
      <c r="W12894" t="s">
        <v>44228</v>
      </c>
      <c r="X12894" t="s">
        <v>44778</v>
      </c>
    </row>
    <row r="12895" spans="1:24">
      <c r="A12895">
        <f>HYPERLINK("https://www.philgeps.gov.ph/GEPSNONPILOT/Tender/SplashBidNoticeAbstractUI.aspx?menuIndex=3&amp;refID=7119020&amp;Result=3","7119020")</f>
        <v>0</v>
      </c>
      <c r="B12895" t="s">
        <v>1997</v>
      </c>
      <c r="C12895" t="s">
        <v>16040</v>
      </c>
      <c r="D12895" t="s">
        <v>17953</v>
      </c>
      <c r="E12895" t="s">
        <v>29183</v>
      </c>
      <c r="F12895" t="s">
        <v>30900</v>
      </c>
      <c r="G12895" t="s">
        <v>30907</v>
      </c>
      <c r="H12895" t="s">
        <v>30916</v>
      </c>
      <c r="I12895" t="s">
        <v>5501</v>
      </c>
      <c r="J12895" t="s">
        <v>39082</v>
      </c>
      <c r="K12895" t="s">
        <v>40284</v>
      </c>
      <c r="M12895" t="s">
        <v>44481</v>
      </c>
      <c r="N12895" t="s">
        <v>44759</v>
      </c>
      <c r="O12895" t="s">
        <v>44760</v>
      </c>
      <c r="Q12895">
        <v>7</v>
      </c>
      <c r="R12895" t="s">
        <v>44777</v>
      </c>
      <c r="S12895" t="s">
        <v>45541</v>
      </c>
      <c r="T12895" t="s">
        <v>46409</v>
      </c>
      <c r="U12895" t="s">
        <v>57529</v>
      </c>
      <c r="V12895" t="s">
        <v>60557</v>
      </c>
      <c r="W12895" t="s">
        <v>44481</v>
      </c>
      <c r="X12895" t="s">
        <v>44780</v>
      </c>
    </row>
    <row r="12896" spans="1:24">
      <c r="A12896">
        <f>HYPERLINK("https://www.philgeps.gov.ph/GEPSNONPILOT/Tender/SplashBidNoticeAbstractUI.aspx?menuIndex=3&amp;refID=7119872&amp;Result=3","7119872")</f>
        <v>0</v>
      </c>
      <c r="B12896" t="s">
        <v>3359</v>
      </c>
      <c r="C12896" t="s">
        <v>16041</v>
      </c>
      <c r="D12896" t="s">
        <v>18003</v>
      </c>
      <c r="E12896" t="s">
        <v>29184</v>
      </c>
      <c r="F12896" t="s">
        <v>30900</v>
      </c>
      <c r="G12896" t="s">
        <v>30907</v>
      </c>
      <c r="H12896" t="s">
        <v>30916</v>
      </c>
      <c r="I12896" t="s">
        <v>8123</v>
      </c>
      <c r="J12896" t="s">
        <v>39083</v>
      </c>
      <c r="K12896" t="s">
        <v>40286</v>
      </c>
      <c r="M12896" t="s">
        <v>44228</v>
      </c>
      <c r="N12896" t="s">
        <v>44759</v>
      </c>
      <c r="O12896" t="s">
        <v>44760</v>
      </c>
      <c r="P12896">
        <v>0</v>
      </c>
      <c r="Q12896">
        <v>2</v>
      </c>
      <c r="R12896" t="s">
        <v>44777</v>
      </c>
      <c r="S12896" t="s">
        <v>45524</v>
      </c>
      <c r="T12896" t="s">
        <v>46357</v>
      </c>
      <c r="U12896" t="s">
        <v>57528</v>
      </c>
      <c r="W12896" t="s">
        <v>44228</v>
      </c>
      <c r="X12896" t="s">
        <v>44778</v>
      </c>
    </row>
    <row r="12897" spans="1:24">
      <c r="A12897">
        <f>HYPERLINK("https://www.philgeps.gov.ph/GEPSNONPILOT/Tender/SplashBidNoticeAbstractUI.aspx?menuIndex=3&amp;refID=7119868&amp;Result=3","7119868")</f>
        <v>0</v>
      </c>
      <c r="B12897" t="s">
        <v>331</v>
      </c>
      <c r="C12897" t="s">
        <v>15728</v>
      </c>
      <c r="D12897" t="s">
        <v>18004</v>
      </c>
      <c r="E12897" t="s">
        <v>29185</v>
      </c>
      <c r="F12897" t="s">
        <v>30900</v>
      </c>
      <c r="G12897" t="s">
        <v>30907</v>
      </c>
      <c r="H12897" t="s">
        <v>30916</v>
      </c>
      <c r="I12897" t="s">
        <v>8123</v>
      </c>
      <c r="J12897" t="s">
        <v>34741</v>
      </c>
      <c r="K12897" t="s">
        <v>40292</v>
      </c>
      <c r="M12897" t="s">
        <v>40882</v>
      </c>
      <c r="N12897" t="s">
        <v>44759</v>
      </c>
      <c r="O12897" t="s">
        <v>44760</v>
      </c>
      <c r="P12897">
        <v>0</v>
      </c>
      <c r="Q12897">
        <v>0</v>
      </c>
      <c r="R12897" t="s">
        <v>44777</v>
      </c>
      <c r="S12897" t="s">
        <v>45524</v>
      </c>
      <c r="T12897" t="s">
        <v>46357</v>
      </c>
      <c r="U12897" t="s">
        <v>57089</v>
      </c>
      <c r="W12897" t="s">
        <v>40882</v>
      </c>
      <c r="X12897" t="s">
        <v>44778</v>
      </c>
    </row>
    <row r="12898" spans="1:24">
      <c r="A12898">
        <f>HYPERLINK("https://www.philgeps.gov.ph/GEPSNONPILOT/Tender/SplashBidNoticeAbstractUI.aspx?menuIndex=3&amp;refID=7119870&amp;Result=3","7119870")</f>
        <v>0</v>
      </c>
      <c r="B12898" t="s">
        <v>3359</v>
      </c>
      <c r="C12898" t="s">
        <v>16042</v>
      </c>
      <c r="D12898" t="s">
        <v>18003</v>
      </c>
      <c r="E12898" t="s">
        <v>29186</v>
      </c>
      <c r="F12898" t="s">
        <v>30900</v>
      </c>
      <c r="G12898" t="s">
        <v>30907</v>
      </c>
      <c r="H12898" t="s">
        <v>30916</v>
      </c>
      <c r="I12898" t="s">
        <v>30939</v>
      </c>
      <c r="J12898" t="s">
        <v>39084</v>
      </c>
      <c r="K12898" t="s">
        <v>40292</v>
      </c>
      <c r="M12898" t="s">
        <v>44228</v>
      </c>
      <c r="N12898" t="s">
        <v>44759</v>
      </c>
      <c r="O12898" t="s">
        <v>44760</v>
      </c>
      <c r="P12898">
        <v>0</v>
      </c>
      <c r="Q12898">
        <v>0</v>
      </c>
      <c r="R12898" t="s">
        <v>44777</v>
      </c>
      <c r="S12898" t="s">
        <v>45524</v>
      </c>
      <c r="T12898" t="s">
        <v>46357</v>
      </c>
      <c r="U12898" t="s">
        <v>57528</v>
      </c>
      <c r="W12898" t="s">
        <v>44228</v>
      </c>
      <c r="X12898" t="s">
        <v>44778</v>
      </c>
    </row>
    <row r="12899" spans="1:24">
      <c r="A12899">
        <f>HYPERLINK("https://www.philgeps.gov.ph/GEPSNONPILOT/Tender/SplashBidNoticeAbstractUI.aspx?menuIndex=3&amp;refID=7119863&amp;Result=3","7119863")</f>
        <v>0</v>
      </c>
      <c r="B12899" t="s">
        <v>331</v>
      </c>
      <c r="C12899" t="s">
        <v>16043</v>
      </c>
      <c r="D12899" t="s">
        <v>18004</v>
      </c>
      <c r="E12899" t="s">
        <v>29187</v>
      </c>
      <c r="F12899" t="s">
        <v>30900</v>
      </c>
      <c r="G12899" t="s">
        <v>30907</v>
      </c>
      <c r="H12899" t="s">
        <v>30916</v>
      </c>
      <c r="I12899" t="s">
        <v>8123</v>
      </c>
      <c r="J12899" t="s">
        <v>39085</v>
      </c>
      <c r="K12899" t="s">
        <v>40292</v>
      </c>
      <c r="M12899" t="s">
        <v>40882</v>
      </c>
      <c r="N12899" t="s">
        <v>44759</v>
      </c>
      <c r="O12899" t="s">
        <v>44760</v>
      </c>
      <c r="P12899">
        <v>0</v>
      </c>
      <c r="Q12899">
        <v>0</v>
      </c>
      <c r="R12899" t="s">
        <v>44777</v>
      </c>
      <c r="S12899" t="s">
        <v>45524</v>
      </c>
      <c r="T12899" t="s">
        <v>46357</v>
      </c>
      <c r="U12899" t="s">
        <v>57089</v>
      </c>
      <c r="W12899" t="s">
        <v>40882</v>
      </c>
      <c r="X12899" t="s">
        <v>44778</v>
      </c>
    </row>
    <row r="12900" spans="1:24">
      <c r="A12900">
        <f>HYPERLINK("https://www.philgeps.gov.ph/GEPSNONPILOT/Tender/SplashBidNoticeAbstractUI.aspx?menuIndex=3&amp;refID=7119862&amp;Result=3","7119862")</f>
        <v>0</v>
      </c>
      <c r="B12900" t="s">
        <v>3359</v>
      </c>
      <c r="C12900" t="s">
        <v>16044</v>
      </c>
      <c r="D12900" t="s">
        <v>18003</v>
      </c>
      <c r="E12900" t="s">
        <v>29188</v>
      </c>
      <c r="F12900" t="s">
        <v>30900</v>
      </c>
      <c r="G12900" t="s">
        <v>30907</v>
      </c>
      <c r="H12900" t="s">
        <v>30916</v>
      </c>
      <c r="I12900" t="s">
        <v>8123</v>
      </c>
      <c r="J12900" t="s">
        <v>39086</v>
      </c>
      <c r="K12900" t="s">
        <v>40286</v>
      </c>
      <c r="M12900" t="s">
        <v>44228</v>
      </c>
      <c r="N12900" t="s">
        <v>44759</v>
      </c>
      <c r="O12900" t="s">
        <v>44760</v>
      </c>
      <c r="P12900">
        <v>0</v>
      </c>
      <c r="Q12900">
        <v>4</v>
      </c>
      <c r="R12900" t="s">
        <v>44777</v>
      </c>
      <c r="S12900" t="s">
        <v>45524</v>
      </c>
      <c r="T12900" t="s">
        <v>46357</v>
      </c>
      <c r="U12900" t="s">
        <v>57528</v>
      </c>
      <c r="W12900" t="s">
        <v>44228</v>
      </c>
      <c r="X12900" t="s">
        <v>44778</v>
      </c>
    </row>
    <row r="12901" spans="1:24">
      <c r="A12901">
        <f>HYPERLINK("https://www.philgeps.gov.ph/GEPSNONPILOT/Tender/SplashBidNoticeAbstractUI.aspx?menuIndex=3&amp;refID=7119856&amp;Result=3","7119856")</f>
        <v>0</v>
      </c>
      <c r="B12901" t="s">
        <v>331</v>
      </c>
      <c r="C12901" t="s">
        <v>16045</v>
      </c>
      <c r="D12901" t="s">
        <v>18004</v>
      </c>
      <c r="E12901" t="s">
        <v>29189</v>
      </c>
      <c r="F12901" t="s">
        <v>30900</v>
      </c>
      <c r="G12901" t="s">
        <v>30907</v>
      </c>
      <c r="H12901" t="s">
        <v>30916</v>
      </c>
      <c r="I12901" t="s">
        <v>8123</v>
      </c>
      <c r="J12901" t="s">
        <v>39087</v>
      </c>
      <c r="K12901" t="s">
        <v>40292</v>
      </c>
      <c r="M12901" t="s">
        <v>40882</v>
      </c>
      <c r="N12901" t="s">
        <v>44759</v>
      </c>
      <c r="O12901" t="s">
        <v>44760</v>
      </c>
      <c r="P12901">
        <v>0</v>
      </c>
      <c r="Q12901">
        <v>0</v>
      </c>
      <c r="R12901" t="s">
        <v>44777</v>
      </c>
      <c r="S12901" t="s">
        <v>45524</v>
      </c>
      <c r="T12901" t="s">
        <v>46357</v>
      </c>
      <c r="U12901" t="s">
        <v>57089</v>
      </c>
      <c r="W12901" t="s">
        <v>40882</v>
      </c>
      <c r="X12901" t="s">
        <v>44778</v>
      </c>
    </row>
    <row r="12902" spans="1:24">
      <c r="A12902">
        <f>HYPERLINK("https://www.philgeps.gov.ph/GEPSNONPILOT/Tender/SplashBidNoticeAbstractUI.aspx?menuIndex=3&amp;refID=7119827&amp;Result=3","7119827")</f>
        <v>0</v>
      </c>
      <c r="B12902" t="s">
        <v>3351</v>
      </c>
      <c r="C12902" t="s">
        <v>16046</v>
      </c>
      <c r="D12902" t="s">
        <v>17990</v>
      </c>
      <c r="E12902" t="s">
        <v>29190</v>
      </c>
      <c r="F12902" t="s">
        <v>30900</v>
      </c>
      <c r="G12902" t="s">
        <v>30907</v>
      </c>
      <c r="H12902" t="s">
        <v>30915</v>
      </c>
      <c r="I12902" t="s">
        <v>30919</v>
      </c>
      <c r="J12902" t="s">
        <v>32125</v>
      </c>
      <c r="K12902" t="s">
        <v>40304</v>
      </c>
      <c r="M12902" t="s">
        <v>44220</v>
      </c>
      <c r="N12902" t="s">
        <v>44759</v>
      </c>
      <c r="O12902" t="s">
        <v>44760</v>
      </c>
      <c r="P12902">
        <v>0</v>
      </c>
      <c r="Q12902">
        <v>2</v>
      </c>
      <c r="R12902" t="s">
        <v>44777</v>
      </c>
      <c r="S12902" t="s">
        <v>45524</v>
      </c>
      <c r="T12902" t="s">
        <v>46441</v>
      </c>
      <c r="U12902" t="s">
        <v>57530</v>
      </c>
      <c r="W12902" t="s">
        <v>44220</v>
      </c>
      <c r="X12902" t="s">
        <v>44778</v>
      </c>
    </row>
    <row r="12903" spans="1:24">
      <c r="A12903">
        <f>HYPERLINK("https://www.philgeps.gov.ph/GEPSNONPILOT/Tender/SplashBidNoticeAbstractUI.aspx?menuIndex=3&amp;refID=7119803&amp;Result=3","7119803")</f>
        <v>0</v>
      </c>
      <c r="B12903" t="s">
        <v>322</v>
      </c>
      <c r="C12903" t="s">
        <v>16047</v>
      </c>
      <c r="D12903" t="s">
        <v>17959</v>
      </c>
      <c r="E12903" t="s">
        <v>29191</v>
      </c>
      <c r="F12903" t="s">
        <v>30900</v>
      </c>
      <c r="G12903" t="s">
        <v>30907</v>
      </c>
      <c r="H12903" t="s">
        <v>30916</v>
      </c>
      <c r="I12903" t="s">
        <v>30957</v>
      </c>
      <c r="J12903" t="s">
        <v>34781</v>
      </c>
      <c r="K12903" t="s">
        <v>40392</v>
      </c>
      <c r="M12903" t="s">
        <v>43773</v>
      </c>
      <c r="N12903" t="s">
        <v>44759</v>
      </c>
      <c r="O12903" t="s">
        <v>44760</v>
      </c>
      <c r="P12903">
        <v>0</v>
      </c>
      <c r="Q12903">
        <v>2</v>
      </c>
      <c r="R12903" t="s">
        <v>44777</v>
      </c>
      <c r="S12903" t="s">
        <v>45524</v>
      </c>
      <c r="T12903" t="s">
        <v>46412</v>
      </c>
      <c r="U12903" t="s">
        <v>57531</v>
      </c>
      <c r="W12903" t="s">
        <v>43773</v>
      </c>
      <c r="X12903" t="s">
        <v>44778</v>
      </c>
    </row>
    <row r="12904" spans="1:24">
      <c r="A12904">
        <f>HYPERLINK("https://www.philgeps.gov.ph/GEPSNONPILOT/Tender/SplashBidNoticeAbstractUI.aspx?menuIndex=3&amp;refID=7119802&amp;Result=3","7119802")</f>
        <v>0</v>
      </c>
      <c r="B12904" t="s">
        <v>1822</v>
      </c>
      <c r="C12904" t="s">
        <v>16048</v>
      </c>
      <c r="D12904" t="s">
        <v>18033</v>
      </c>
      <c r="E12904" t="s">
        <v>29192</v>
      </c>
      <c r="F12904" t="s">
        <v>30900</v>
      </c>
      <c r="G12904" t="s">
        <v>30907</v>
      </c>
      <c r="H12904" t="s">
        <v>30915</v>
      </c>
      <c r="I12904" t="s">
        <v>30919</v>
      </c>
      <c r="J12904" t="s">
        <v>34915</v>
      </c>
      <c r="K12904" t="s">
        <v>40341</v>
      </c>
      <c r="M12904" t="s">
        <v>42495</v>
      </c>
      <c r="N12904" t="s">
        <v>44759</v>
      </c>
      <c r="O12904" t="s">
        <v>44760</v>
      </c>
      <c r="Q12904">
        <v>2</v>
      </c>
      <c r="R12904" t="s">
        <v>44777</v>
      </c>
      <c r="S12904" t="s">
        <v>45596</v>
      </c>
      <c r="T12904" t="s">
        <v>46399</v>
      </c>
      <c r="U12904" t="s">
        <v>57532</v>
      </c>
      <c r="V12904" t="s">
        <v>60571</v>
      </c>
      <c r="W12904" t="s">
        <v>42495</v>
      </c>
      <c r="X12904" t="s">
        <v>44778</v>
      </c>
    </row>
    <row r="12905" spans="1:24">
      <c r="A12905">
        <f>HYPERLINK("https://www.philgeps.gov.ph/GEPSNONPILOT/Tender/SplashBidNoticeAbstractUI.aspx?menuIndex=3&amp;refID=7119795&amp;Result=3","7119795")</f>
        <v>0</v>
      </c>
      <c r="B12905" t="s">
        <v>1822</v>
      </c>
      <c r="C12905" t="s">
        <v>16049</v>
      </c>
      <c r="D12905" t="s">
        <v>18033</v>
      </c>
      <c r="E12905" t="s">
        <v>29193</v>
      </c>
      <c r="F12905" t="s">
        <v>30900</v>
      </c>
      <c r="G12905" t="s">
        <v>30907</v>
      </c>
      <c r="H12905" t="s">
        <v>30915</v>
      </c>
      <c r="I12905" t="s">
        <v>30919</v>
      </c>
      <c r="J12905" t="s">
        <v>34915</v>
      </c>
      <c r="K12905" t="s">
        <v>40341</v>
      </c>
      <c r="M12905" t="s">
        <v>42495</v>
      </c>
      <c r="N12905" t="s">
        <v>44759</v>
      </c>
      <c r="O12905" t="s">
        <v>44760</v>
      </c>
      <c r="Q12905">
        <v>2</v>
      </c>
      <c r="R12905" t="s">
        <v>44777</v>
      </c>
      <c r="S12905" t="s">
        <v>45597</v>
      </c>
      <c r="T12905" t="s">
        <v>46399</v>
      </c>
      <c r="U12905" t="s">
        <v>57532</v>
      </c>
      <c r="V12905" t="s">
        <v>60572</v>
      </c>
      <c r="W12905" t="s">
        <v>42495</v>
      </c>
      <c r="X12905" t="s">
        <v>44778</v>
      </c>
    </row>
    <row r="12906" spans="1:24">
      <c r="A12906">
        <f>HYPERLINK("https://www.philgeps.gov.ph/GEPSNONPILOT/Tender/SplashBidNoticeAbstractUI.aspx?menuIndex=3&amp;refID=7119226&amp;Result=3","7119226")</f>
        <v>0</v>
      </c>
      <c r="B12906" t="s">
        <v>1750</v>
      </c>
      <c r="C12906" t="s">
        <v>16050</v>
      </c>
      <c r="D12906" t="s">
        <v>17966</v>
      </c>
      <c r="E12906" t="s">
        <v>29194</v>
      </c>
      <c r="F12906" t="s">
        <v>30900</v>
      </c>
      <c r="G12906" t="s">
        <v>30907</v>
      </c>
      <c r="H12906" t="s">
        <v>30915</v>
      </c>
      <c r="I12906" t="s">
        <v>30919</v>
      </c>
      <c r="J12906" t="s">
        <v>39088</v>
      </c>
      <c r="K12906" t="s">
        <v>40405</v>
      </c>
      <c r="M12906" t="s">
        <v>43962</v>
      </c>
      <c r="N12906" t="s">
        <v>44759</v>
      </c>
      <c r="O12906" t="s">
        <v>44760</v>
      </c>
      <c r="P12906">
        <v>0</v>
      </c>
      <c r="Q12906">
        <v>0</v>
      </c>
      <c r="R12906" t="s">
        <v>44777</v>
      </c>
      <c r="S12906" t="s">
        <v>45524</v>
      </c>
      <c r="T12906" t="s">
        <v>46488</v>
      </c>
      <c r="U12906" t="s">
        <v>57533</v>
      </c>
      <c r="W12906" t="s">
        <v>60874</v>
      </c>
      <c r="X12906" t="s">
        <v>44779</v>
      </c>
    </row>
    <row r="12907" spans="1:24">
      <c r="A12907">
        <f>HYPERLINK("https://www.philgeps.gov.ph/GEPSNONPILOT/Tender/SplashBidNoticeAbstractUI.aspx?menuIndex=3&amp;refID=7119776&amp;Result=3","7119776")</f>
        <v>0</v>
      </c>
      <c r="B12907" t="s">
        <v>1822</v>
      </c>
      <c r="C12907" t="s">
        <v>16051</v>
      </c>
      <c r="D12907" t="s">
        <v>18033</v>
      </c>
      <c r="E12907" t="s">
        <v>29195</v>
      </c>
      <c r="F12907" t="s">
        <v>30900</v>
      </c>
      <c r="G12907" t="s">
        <v>30907</v>
      </c>
      <c r="H12907" t="s">
        <v>30915</v>
      </c>
      <c r="I12907" t="s">
        <v>30919</v>
      </c>
      <c r="J12907" t="s">
        <v>39089</v>
      </c>
      <c r="K12907" t="s">
        <v>40542</v>
      </c>
      <c r="M12907" t="s">
        <v>42495</v>
      </c>
      <c r="N12907" t="s">
        <v>44759</v>
      </c>
      <c r="O12907" t="s">
        <v>44760</v>
      </c>
      <c r="P12907">
        <v>0</v>
      </c>
      <c r="Q12907">
        <v>5</v>
      </c>
      <c r="R12907" t="s">
        <v>44777</v>
      </c>
      <c r="S12907" t="s">
        <v>45524</v>
      </c>
      <c r="T12907" t="s">
        <v>46399</v>
      </c>
      <c r="U12907" t="s">
        <v>57532</v>
      </c>
      <c r="V12907" t="s">
        <v>60573</v>
      </c>
      <c r="W12907" t="s">
        <v>42495</v>
      </c>
      <c r="X12907" t="s">
        <v>44778</v>
      </c>
    </row>
    <row r="12908" spans="1:24">
      <c r="A12908">
        <f>HYPERLINK("https://www.philgeps.gov.ph/GEPSNONPILOT/Tender/SplashBidNoticeAbstractUI.aspx?menuIndex=3&amp;refID=7120035&amp;Result=3","7120035")</f>
        <v>0</v>
      </c>
      <c r="B12908" t="s">
        <v>3565</v>
      </c>
      <c r="C12908" t="s">
        <v>16052</v>
      </c>
      <c r="D12908" t="s">
        <v>17954</v>
      </c>
      <c r="E12908" t="s">
        <v>18852</v>
      </c>
      <c r="F12908" t="s">
        <v>30900</v>
      </c>
      <c r="G12908" t="s">
        <v>30907</v>
      </c>
      <c r="H12908" t="s">
        <v>30915</v>
      </c>
      <c r="I12908" t="s">
        <v>30919</v>
      </c>
      <c r="J12908" t="s">
        <v>39090</v>
      </c>
      <c r="K12908" t="s">
        <v>40543</v>
      </c>
      <c r="M12908" t="s">
        <v>44489</v>
      </c>
      <c r="N12908" t="s">
        <v>44759</v>
      </c>
      <c r="O12908" t="s">
        <v>44760</v>
      </c>
      <c r="P12908">
        <v>0</v>
      </c>
      <c r="Q12908">
        <v>2</v>
      </c>
      <c r="R12908" t="s">
        <v>44777</v>
      </c>
      <c r="S12908" t="s">
        <v>45524</v>
      </c>
      <c r="T12908" t="s">
        <v>46369</v>
      </c>
      <c r="U12908" t="s">
        <v>57534</v>
      </c>
      <c r="W12908" t="s">
        <v>44489</v>
      </c>
      <c r="X12908" t="s">
        <v>44778</v>
      </c>
    </row>
    <row r="12909" spans="1:24">
      <c r="A12909">
        <f>HYPERLINK("https://www.philgeps.gov.ph/GEPSNONPILOT/Tender/SplashBidNoticeAbstractUI.aspx?menuIndex=3&amp;refID=7120032&amp;Result=3","7120032")</f>
        <v>0</v>
      </c>
      <c r="B12909" t="s">
        <v>585</v>
      </c>
      <c r="C12909" t="s">
        <v>16053</v>
      </c>
      <c r="E12909" t="s">
        <v>29196</v>
      </c>
      <c r="F12909" t="s">
        <v>30900</v>
      </c>
      <c r="G12909" t="s">
        <v>30907</v>
      </c>
      <c r="H12909" t="s">
        <v>30916</v>
      </c>
      <c r="I12909" t="s">
        <v>9385</v>
      </c>
      <c r="J12909" t="s">
        <v>32616</v>
      </c>
      <c r="K12909" t="s">
        <v>40289</v>
      </c>
      <c r="M12909" t="s">
        <v>43347</v>
      </c>
      <c r="N12909" t="s">
        <v>44759</v>
      </c>
      <c r="O12909" t="s">
        <v>44760</v>
      </c>
      <c r="Q12909">
        <v>10</v>
      </c>
      <c r="R12909" t="s">
        <v>44777</v>
      </c>
      <c r="S12909" t="s">
        <v>45598</v>
      </c>
      <c r="T12909" t="s">
        <v>46421</v>
      </c>
      <c r="U12909" t="s">
        <v>57535</v>
      </c>
      <c r="V12909" t="s">
        <v>59954</v>
      </c>
      <c r="W12909" t="s">
        <v>43347</v>
      </c>
      <c r="X12909" t="s">
        <v>44778</v>
      </c>
    </row>
    <row r="12910" spans="1:24">
      <c r="A12910">
        <f>HYPERLINK("https://www.philgeps.gov.ph/GEPSNONPILOT/Tender/SplashBidNoticeAbstractUI.aspx?menuIndex=3&amp;refID=7119232&amp;Result=3","7119232")</f>
        <v>0</v>
      </c>
      <c r="B12910" t="s">
        <v>1141</v>
      </c>
      <c r="C12910" t="s">
        <v>16054</v>
      </c>
      <c r="D12910" t="s">
        <v>18021</v>
      </c>
      <c r="E12910" t="s">
        <v>29197</v>
      </c>
      <c r="F12910" t="s">
        <v>30900</v>
      </c>
      <c r="G12910" t="s">
        <v>30907</v>
      </c>
      <c r="H12910" t="s">
        <v>30916</v>
      </c>
      <c r="I12910" t="s">
        <v>6396</v>
      </c>
      <c r="J12910" t="s">
        <v>39091</v>
      </c>
      <c r="K12910" t="s">
        <v>40286</v>
      </c>
      <c r="M12910" t="s">
        <v>41746</v>
      </c>
      <c r="N12910" t="s">
        <v>44759</v>
      </c>
      <c r="O12910" t="s">
        <v>44760</v>
      </c>
      <c r="P12910">
        <v>0</v>
      </c>
      <c r="Q12910">
        <v>3</v>
      </c>
      <c r="R12910" t="s">
        <v>44777</v>
      </c>
      <c r="S12910" t="s">
        <v>45524</v>
      </c>
      <c r="T12910" t="s">
        <v>46351</v>
      </c>
      <c r="U12910" t="s">
        <v>49586</v>
      </c>
      <c r="V12910" t="s">
        <v>60574</v>
      </c>
      <c r="W12910" t="s">
        <v>41746</v>
      </c>
      <c r="X12910" t="s">
        <v>44779</v>
      </c>
    </row>
    <row r="12911" spans="1:24">
      <c r="A12911">
        <f>HYPERLINK("https://www.philgeps.gov.ph/GEPSNONPILOT/Tender/SplashBidNoticeAbstractUI.aspx?menuIndex=3&amp;refID=7120011&amp;Result=3","7120011")</f>
        <v>0</v>
      </c>
      <c r="B12911" t="s">
        <v>3566</v>
      </c>
      <c r="C12911" t="s">
        <v>16055</v>
      </c>
      <c r="D12911" t="s">
        <v>17975</v>
      </c>
      <c r="E12911" t="s">
        <v>29198</v>
      </c>
      <c r="F12911" t="s">
        <v>30900</v>
      </c>
      <c r="G12911" t="s">
        <v>30907</v>
      </c>
      <c r="H12911" t="s">
        <v>30916</v>
      </c>
      <c r="I12911" t="s">
        <v>8123</v>
      </c>
      <c r="J12911" t="s">
        <v>39092</v>
      </c>
      <c r="K12911" t="s">
        <v>40283</v>
      </c>
      <c r="M12911" t="s">
        <v>44490</v>
      </c>
      <c r="N12911" t="s">
        <v>44759</v>
      </c>
      <c r="O12911" t="s">
        <v>44760</v>
      </c>
      <c r="P12911">
        <v>0</v>
      </c>
      <c r="Q12911">
        <v>2</v>
      </c>
      <c r="R12911" t="s">
        <v>44777</v>
      </c>
      <c r="S12911" t="s">
        <v>45524</v>
      </c>
      <c r="T12911" t="s">
        <v>46383</v>
      </c>
      <c r="U12911" t="s">
        <v>57536</v>
      </c>
      <c r="W12911" t="s">
        <v>44490</v>
      </c>
      <c r="X12911" t="s">
        <v>44778</v>
      </c>
    </row>
    <row r="12912" spans="1:24">
      <c r="A12912">
        <f>HYPERLINK("https://www.philgeps.gov.ph/GEPSNONPILOT/Tender/SplashBidNoticeAbstractUI.aspx?menuIndex=3&amp;refID=7119866&amp;Result=3","7119866")</f>
        <v>0</v>
      </c>
      <c r="B12912" t="s">
        <v>3359</v>
      </c>
      <c r="C12912" t="s">
        <v>16056</v>
      </c>
      <c r="D12912" t="s">
        <v>18003</v>
      </c>
      <c r="E12912" t="s">
        <v>29199</v>
      </c>
      <c r="F12912" t="s">
        <v>30900</v>
      </c>
      <c r="G12912" t="s">
        <v>30907</v>
      </c>
      <c r="H12912" t="s">
        <v>30916</v>
      </c>
      <c r="I12912" t="s">
        <v>8123</v>
      </c>
      <c r="J12912" t="s">
        <v>39093</v>
      </c>
      <c r="K12912" t="s">
        <v>40286</v>
      </c>
      <c r="M12912" t="s">
        <v>44228</v>
      </c>
      <c r="N12912" t="s">
        <v>44759</v>
      </c>
      <c r="O12912" t="s">
        <v>44760</v>
      </c>
      <c r="P12912">
        <v>0</v>
      </c>
      <c r="Q12912">
        <v>8</v>
      </c>
      <c r="R12912" t="s">
        <v>44777</v>
      </c>
      <c r="S12912" t="s">
        <v>45524</v>
      </c>
      <c r="T12912" t="s">
        <v>46357</v>
      </c>
      <c r="U12912" t="s">
        <v>57528</v>
      </c>
      <c r="W12912" t="s">
        <v>44228</v>
      </c>
      <c r="X12912" t="s">
        <v>44778</v>
      </c>
    </row>
    <row r="12913" spans="1:24">
      <c r="A12913">
        <f>HYPERLINK("https://www.philgeps.gov.ph/GEPSNONPILOT/Tender/SplashBidNoticeAbstractUI.aspx?menuIndex=3&amp;refID=7119957&amp;Result=3","7119957")</f>
        <v>0</v>
      </c>
      <c r="B12913" t="s">
        <v>899</v>
      </c>
      <c r="C12913" t="s">
        <v>16057</v>
      </c>
      <c r="E12913" t="s">
        <v>29200</v>
      </c>
      <c r="F12913" t="s">
        <v>30900</v>
      </c>
      <c r="G12913" t="s">
        <v>30907</v>
      </c>
      <c r="H12913" t="s">
        <v>30916</v>
      </c>
      <c r="I12913" t="s">
        <v>30980</v>
      </c>
      <c r="J12913" t="s">
        <v>39094</v>
      </c>
      <c r="K12913" t="s">
        <v>40289</v>
      </c>
      <c r="M12913" t="s">
        <v>41473</v>
      </c>
      <c r="N12913" t="s">
        <v>44759</v>
      </c>
      <c r="O12913" t="s">
        <v>44760</v>
      </c>
      <c r="Q12913">
        <v>2</v>
      </c>
      <c r="R12913" t="s">
        <v>44777</v>
      </c>
      <c r="S12913" t="s">
        <v>45599</v>
      </c>
      <c r="T12913" t="s">
        <v>46357</v>
      </c>
      <c r="U12913" t="s">
        <v>57537</v>
      </c>
      <c r="W12913" t="s">
        <v>41473</v>
      </c>
      <c r="X12913" t="s">
        <v>44778</v>
      </c>
    </row>
    <row r="12914" spans="1:24">
      <c r="A12914">
        <f>HYPERLINK("https://www.philgeps.gov.ph/GEPSNONPILOT/Tender/SplashBidNoticeAbstractUI.aspx?menuIndex=3&amp;refID=7119771&amp;Result=3","7119771")</f>
        <v>0</v>
      </c>
      <c r="B12914" t="s">
        <v>1822</v>
      </c>
      <c r="C12914" t="s">
        <v>16058</v>
      </c>
      <c r="D12914" t="s">
        <v>18033</v>
      </c>
      <c r="E12914" t="s">
        <v>29201</v>
      </c>
      <c r="F12914" t="s">
        <v>30900</v>
      </c>
      <c r="G12914" t="s">
        <v>30907</v>
      </c>
      <c r="H12914" t="s">
        <v>30915</v>
      </c>
      <c r="I12914" t="s">
        <v>30919</v>
      </c>
      <c r="J12914" t="s">
        <v>39095</v>
      </c>
      <c r="K12914" t="s">
        <v>40541</v>
      </c>
      <c r="M12914" t="s">
        <v>42495</v>
      </c>
      <c r="N12914" t="s">
        <v>44759</v>
      </c>
      <c r="O12914" t="s">
        <v>44760</v>
      </c>
      <c r="P12914">
        <v>0</v>
      </c>
      <c r="Q12914">
        <v>3</v>
      </c>
      <c r="R12914" t="s">
        <v>44777</v>
      </c>
      <c r="S12914" t="s">
        <v>45524</v>
      </c>
      <c r="T12914" t="s">
        <v>46399</v>
      </c>
      <c r="U12914" t="s">
        <v>57532</v>
      </c>
      <c r="V12914" t="s">
        <v>60575</v>
      </c>
      <c r="W12914" t="s">
        <v>42495</v>
      </c>
      <c r="X12914" t="s">
        <v>44778</v>
      </c>
    </row>
    <row r="12915" spans="1:24">
      <c r="A12915">
        <f>HYPERLINK("https://www.philgeps.gov.ph/GEPSNONPILOT/Tender/SplashBidNoticeAbstractUI.aspx?menuIndex=3&amp;refID=7118741&amp;Result=3","7118741")</f>
        <v>0</v>
      </c>
      <c r="B12915" t="s">
        <v>1997</v>
      </c>
      <c r="C12915" t="s">
        <v>16059</v>
      </c>
      <c r="D12915" t="s">
        <v>17953</v>
      </c>
      <c r="E12915" t="s">
        <v>29202</v>
      </c>
      <c r="F12915" t="s">
        <v>30900</v>
      </c>
      <c r="G12915" t="s">
        <v>30907</v>
      </c>
      <c r="H12915" t="s">
        <v>30916</v>
      </c>
      <c r="I12915" t="s">
        <v>30923</v>
      </c>
      <c r="J12915" t="s">
        <v>39096</v>
      </c>
      <c r="K12915" t="s">
        <v>40284</v>
      </c>
      <c r="M12915" t="s">
        <v>44467</v>
      </c>
      <c r="N12915" t="s">
        <v>44759</v>
      </c>
      <c r="O12915" t="s">
        <v>44760</v>
      </c>
      <c r="Q12915">
        <v>6</v>
      </c>
      <c r="R12915" t="s">
        <v>44777</v>
      </c>
      <c r="S12915" t="s">
        <v>45580</v>
      </c>
      <c r="T12915" t="s">
        <v>46399</v>
      </c>
      <c r="U12915" t="s">
        <v>57538</v>
      </c>
      <c r="V12915" t="s">
        <v>60557</v>
      </c>
      <c r="W12915" t="s">
        <v>44467</v>
      </c>
      <c r="X12915" t="s">
        <v>44780</v>
      </c>
    </row>
    <row r="12916" spans="1:24">
      <c r="A12916">
        <f>HYPERLINK("https://www.philgeps.gov.ph/GEPSNONPILOT/Tender/SplashBidNoticeAbstractUI.aspx?menuIndex=3&amp;refID=7119960&amp;Result=3","7119960")</f>
        <v>0</v>
      </c>
      <c r="B12916" t="s">
        <v>899</v>
      </c>
      <c r="C12916" t="s">
        <v>16060</v>
      </c>
      <c r="E12916" t="s">
        <v>29203</v>
      </c>
      <c r="F12916" t="s">
        <v>30900</v>
      </c>
      <c r="G12916" t="s">
        <v>30907</v>
      </c>
      <c r="H12916" t="s">
        <v>30916</v>
      </c>
      <c r="I12916" t="s">
        <v>30980</v>
      </c>
      <c r="J12916" t="s">
        <v>39097</v>
      </c>
      <c r="K12916" t="s">
        <v>40289</v>
      </c>
      <c r="M12916" t="s">
        <v>41473</v>
      </c>
      <c r="N12916" t="s">
        <v>44759</v>
      </c>
      <c r="O12916" t="s">
        <v>44760</v>
      </c>
      <c r="Q12916">
        <v>4</v>
      </c>
      <c r="R12916" t="s">
        <v>44777</v>
      </c>
      <c r="S12916" t="s">
        <v>45600</v>
      </c>
      <c r="T12916" t="s">
        <v>46357</v>
      </c>
      <c r="U12916" t="s">
        <v>57537</v>
      </c>
      <c r="W12916" t="s">
        <v>41473</v>
      </c>
      <c r="X12916" t="s">
        <v>44778</v>
      </c>
    </row>
    <row r="12917" spans="1:24">
      <c r="A12917">
        <f>HYPERLINK("https://www.philgeps.gov.ph/GEPSNONPILOT/Tender/SplashBidNoticeAbstractUI.aspx?menuIndex=3&amp;refID=7119907&amp;Result=3","7119907")</f>
        <v>0</v>
      </c>
      <c r="B12917" t="s">
        <v>585</v>
      </c>
      <c r="C12917" t="s">
        <v>16061</v>
      </c>
      <c r="E12917" t="s">
        <v>29204</v>
      </c>
      <c r="F12917" t="s">
        <v>30900</v>
      </c>
      <c r="G12917" t="s">
        <v>30907</v>
      </c>
      <c r="H12917" t="s">
        <v>30916</v>
      </c>
      <c r="I12917" t="s">
        <v>30947</v>
      </c>
      <c r="J12917" t="s">
        <v>39098</v>
      </c>
      <c r="K12917" t="s">
        <v>40289</v>
      </c>
      <c r="M12917" t="s">
        <v>43347</v>
      </c>
      <c r="N12917" t="s">
        <v>44759</v>
      </c>
      <c r="O12917" t="s">
        <v>44760</v>
      </c>
      <c r="Q12917">
        <v>2</v>
      </c>
      <c r="R12917" t="s">
        <v>44777</v>
      </c>
      <c r="S12917" t="s">
        <v>45601</v>
      </c>
      <c r="T12917" t="s">
        <v>46421</v>
      </c>
      <c r="U12917" t="s">
        <v>57539</v>
      </c>
      <c r="V12917" t="s">
        <v>59954</v>
      </c>
      <c r="W12917" t="s">
        <v>43347</v>
      </c>
      <c r="X12917" t="s">
        <v>44778</v>
      </c>
    </row>
    <row r="12918" spans="1:24">
      <c r="A12918">
        <f>HYPERLINK("https://www.philgeps.gov.ph/GEPSNONPILOT/Tender/SplashBidNoticeAbstractUI.aspx?menuIndex=3&amp;refID=7119926&amp;Result=3","7119926")</f>
        <v>0</v>
      </c>
      <c r="B12918" t="s">
        <v>1096</v>
      </c>
      <c r="C12918" t="s">
        <v>16062</v>
      </c>
      <c r="E12918" t="s">
        <v>29205</v>
      </c>
      <c r="F12918" t="s">
        <v>30900</v>
      </c>
      <c r="G12918" t="s">
        <v>30907</v>
      </c>
      <c r="H12918" t="s">
        <v>30916</v>
      </c>
      <c r="I12918" t="s">
        <v>30947</v>
      </c>
      <c r="J12918" t="s">
        <v>39099</v>
      </c>
      <c r="K12918" t="s">
        <v>40289</v>
      </c>
      <c r="M12918" t="s">
        <v>42955</v>
      </c>
      <c r="N12918" t="s">
        <v>44759</v>
      </c>
      <c r="O12918" t="s">
        <v>44760</v>
      </c>
      <c r="Q12918">
        <v>2</v>
      </c>
      <c r="R12918" t="s">
        <v>44777</v>
      </c>
      <c r="S12918" t="s">
        <v>45602</v>
      </c>
      <c r="T12918" t="s">
        <v>46389</v>
      </c>
      <c r="U12918" t="s">
        <v>57540</v>
      </c>
      <c r="W12918" t="s">
        <v>42955</v>
      </c>
      <c r="X12918" t="s">
        <v>44778</v>
      </c>
    </row>
    <row r="12919" spans="1:24">
      <c r="A12919">
        <f>HYPERLINK("https://www.philgeps.gov.ph/GEPSNONPILOT/Tender/SplashBidNoticeAbstractUI.aspx?menuIndex=3&amp;refID=7119914&amp;Result=3","7119914")</f>
        <v>0</v>
      </c>
      <c r="B12919" t="s">
        <v>3567</v>
      </c>
      <c r="C12919" t="s">
        <v>16063</v>
      </c>
      <c r="E12919" t="s">
        <v>29206</v>
      </c>
      <c r="F12919" t="s">
        <v>30900</v>
      </c>
      <c r="G12919" t="s">
        <v>30907</v>
      </c>
      <c r="H12919" t="s">
        <v>30916</v>
      </c>
      <c r="I12919" t="s">
        <v>30921</v>
      </c>
      <c r="J12919" t="s">
        <v>39100</v>
      </c>
      <c r="K12919" t="s">
        <v>40286</v>
      </c>
      <c r="M12919" t="s">
        <v>44491</v>
      </c>
      <c r="N12919" t="s">
        <v>44759</v>
      </c>
      <c r="O12919" t="s">
        <v>44760</v>
      </c>
      <c r="Q12919">
        <v>22</v>
      </c>
      <c r="R12919" t="s">
        <v>44777</v>
      </c>
      <c r="S12919" t="s">
        <v>45203</v>
      </c>
      <c r="T12919" t="s">
        <v>46404</v>
      </c>
      <c r="U12919" t="s">
        <v>57541</v>
      </c>
      <c r="V12919" t="s">
        <v>60576</v>
      </c>
      <c r="W12919" t="s">
        <v>44491</v>
      </c>
      <c r="X12919" t="s">
        <v>44778</v>
      </c>
    </row>
    <row r="12920" spans="1:24">
      <c r="A12920">
        <f>HYPERLINK("https://www.philgeps.gov.ph/GEPSNONPILOT/Tender/SplashBidNoticeAbstractUI.aspx?menuIndex=3&amp;refID=7119698&amp;Result=3","7119698")</f>
        <v>0</v>
      </c>
      <c r="B12920" t="s">
        <v>3568</v>
      </c>
      <c r="C12920" t="s">
        <v>16064</v>
      </c>
      <c r="D12920" t="s">
        <v>17959</v>
      </c>
      <c r="E12920" t="s">
        <v>29207</v>
      </c>
      <c r="F12920" t="s">
        <v>30900</v>
      </c>
      <c r="G12920" t="s">
        <v>30907</v>
      </c>
      <c r="H12920" t="s">
        <v>30917</v>
      </c>
      <c r="I12920" t="s">
        <v>30942</v>
      </c>
      <c r="J12920" t="s">
        <v>31069</v>
      </c>
      <c r="K12920" t="s">
        <v>40366</v>
      </c>
      <c r="M12920" t="s">
        <v>44492</v>
      </c>
      <c r="N12920" t="s">
        <v>44759</v>
      </c>
      <c r="O12920" t="s">
        <v>44760</v>
      </c>
      <c r="Q12920">
        <v>3</v>
      </c>
      <c r="R12920" t="s">
        <v>44777</v>
      </c>
      <c r="S12920" t="s">
        <v>45603</v>
      </c>
      <c r="T12920" t="s">
        <v>46483</v>
      </c>
      <c r="U12920" t="s">
        <v>57542</v>
      </c>
      <c r="W12920" t="s">
        <v>44492</v>
      </c>
      <c r="X12920" t="s">
        <v>44778</v>
      </c>
    </row>
    <row r="12921" spans="1:24">
      <c r="A12921">
        <f>HYPERLINK("https://www.philgeps.gov.ph/GEPSNONPILOT/Tender/SplashBidNoticeAbstractUI.aspx?menuIndex=3&amp;refID=7119888&amp;Result=3","7119888")</f>
        <v>0</v>
      </c>
      <c r="B12921" t="s">
        <v>3569</v>
      </c>
      <c r="C12921" t="s">
        <v>16065</v>
      </c>
      <c r="D12921" t="s">
        <v>17996</v>
      </c>
      <c r="E12921" t="s">
        <v>29208</v>
      </c>
      <c r="F12921" t="s">
        <v>30900</v>
      </c>
      <c r="G12921" t="s">
        <v>30907</v>
      </c>
      <c r="H12921" t="s">
        <v>30916</v>
      </c>
      <c r="I12921" t="s">
        <v>30933</v>
      </c>
      <c r="J12921" t="s">
        <v>39101</v>
      </c>
      <c r="K12921" t="s">
        <v>40286</v>
      </c>
      <c r="M12921" t="s">
        <v>44493</v>
      </c>
      <c r="N12921" t="s">
        <v>44759</v>
      </c>
      <c r="O12921" t="s">
        <v>44760</v>
      </c>
      <c r="Q12921">
        <v>5</v>
      </c>
      <c r="R12921" t="s">
        <v>44777</v>
      </c>
      <c r="S12921" t="s">
        <v>45604</v>
      </c>
      <c r="T12921" t="s">
        <v>46357</v>
      </c>
      <c r="U12921" t="s">
        <v>57543</v>
      </c>
      <c r="V12921" t="s">
        <v>60577</v>
      </c>
      <c r="W12921" t="s">
        <v>44493</v>
      </c>
      <c r="X12921" t="s">
        <v>44778</v>
      </c>
    </row>
    <row r="12922" spans="1:24">
      <c r="A12922">
        <f>HYPERLINK("https://www.philgeps.gov.ph/GEPSNONPILOT/Tender/SplashBidNoticeAbstractUI.aspx?menuIndex=3&amp;refID=7119884&amp;Result=3","7119884")</f>
        <v>0</v>
      </c>
      <c r="B12922" t="s">
        <v>618</v>
      </c>
      <c r="C12922" t="s">
        <v>16066</v>
      </c>
      <c r="D12922" t="s">
        <v>17959</v>
      </c>
      <c r="E12922" t="s">
        <v>29209</v>
      </c>
      <c r="F12922" t="s">
        <v>30900</v>
      </c>
      <c r="G12922" t="s">
        <v>30907</v>
      </c>
      <c r="H12922" t="s">
        <v>30916</v>
      </c>
      <c r="I12922" t="s">
        <v>30918</v>
      </c>
      <c r="J12922" t="s">
        <v>31211</v>
      </c>
      <c r="K12922" t="s">
        <v>40289</v>
      </c>
      <c r="M12922" t="s">
        <v>44494</v>
      </c>
      <c r="N12922" t="s">
        <v>44759</v>
      </c>
      <c r="O12922" t="s">
        <v>44760</v>
      </c>
      <c r="Q12922">
        <v>19</v>
      </c>
      <c r="R12922" t="s">
        <v>44777</v>
      </c>
      <c r="S12922" t="s">
        <v>45605</v>
      </c>
      <c r="T12922" t="s">
        <v>46389</v>
      </c>
      <c r="U12922" t="s">
        <v>57544</v>
      </c>
      <c r="W12922" t="s">
        <v>44494</v>
      </c>
      <c r="X12922" t="s">
        <v>44778</v>
      </c>
    </row>
    <row r="12923" spans="1:24">
      <c r="A12923">
        <f>HYPERLINK("https://www.philgeps.gov.ph/GEPSNONPILOT/Tender/SplashBidNoticeAbstractUI.aspx?menuIndex=3&amp;refID=7119882&amp;Result=3","7119882")</f>
        <v>0</v>
      </c>
      <c r="B12923" t="s">
        <v>618</v>
      </c>
      <c r="C12923" t="s">
        <v>16067</v>
      </c>
      <c r="D12923" t="s">
        <v>17959</v>
      </c>
      <c r="E12923" t="s">
        <v>29210</v>
      </c>
      <c r="F12923" t="s">
        <v>30900</v>
      </c>
      <c r="G12923" t="s">
        <v>30907</v>
      </c>
      <c r="H12923" t="s">
        <v>30916</v>
      </c>
      <c r="I12923" t="s">
        <v>30918</v>
      </c>
      <c r="J12923" t="s">
        <v>32967</v>
      </c>
      <c r="K12923" t="s">
        <v>40289</v>
      </c>
      <c r="M12923" t="s">
        <v>44494</v>
      </c>
      <c r="N12923" t="s">
        <v>44759</v>
      </c>
      <c r="O12923" t="s">
        <v>44760</v>
      </c>
      <c r="Q12923">
        <v>25</v>
      </c>
      <c r="R12923" t="s">
        <v>44777</v>
      </c>
      <c r="S12923" t="s">
        <v>45606</v>
      </c>
      <c r="T12923" t="s">
        <v>46389</v>
      </c>
      <c r="U12923" t="s">
        <v>57544</v>
      </c>
      <c r="W12923" t="s">
        <v>44494</v>
      </c>
      <c r="X12923" t="s">
        <v>44778</v>
      </c>
    </row>
    <row r="12924" spans="1:24">
      <c r="A12924">
        <f>HYPERLINK("https://www.philgeps.gov.ph/GEPSNONPILOT/Tender/SplashBidNoticeAbstractUI.aspx?menuIndex=3&amp;refID=7119880&amp;Result=3","7119880")</f>
        <v>0</v>
      </c>
      <c r="B12924" t="s">
        <v>618</v>
      </c>
      <c r="C12924" t="s">
        <v>16068</v>
      </c>
      <c r="D12924" t="s">
        <v>17959</v>
      </c>
      <c r="E12924" t="s">
        <v>29211</v>
      </c>
      <c r="F12924" t="s">
        <v>30900</v>
      </c>
      <c r="G12924" t="s">
        <v>30907</v>
      </c>
      <c r="H12924" t="s">
        <v>30916</v>
      </c>
      <c r="I12924" t="s">
        <v>30918</v>
      </c>
      <c r="J12924" t="s">
        <v>31096</v>
      </c>
      <c r="K12924" t="s">
        <v>40289</v>
      </c>
      <c r="M12924" t="s">
        <v>44494</v>
      </c>
      <c r="N12924" t="s">
        <v>44759</v>
      </c>
      <c r="O12924" t="s">
        <v>44760</v>
      </c>
      <c r="Q12924">
        <v>12</v>
      </c>
      <c r="R12924" t="s">
        <v>44777</v>
      </c>
      <c r="S12924" t="s">
        <v>45607</v>
      </c>
      <c r="T12924" t="s">
        <v>46389</v>
      </c>
      <c r="U12924" t="s">
        <v>57544</v>
      </c>
      <c r="W12924" t="s">
        <v>44494</v>
      </c>
      <c r="X12924" t="s">
        <v>44778</v>
      </c>
    </row>
    <row r="12925" spans="1:24">
      <c r="A12925">
        <f>HYPERLINK("https://www.philgeps.gov.ph/GEPSNONPILOT/Tender/SplashBidNoticeAbstractUI.aspx?menuIndex=3&amp;refID=7119876&amp;Result=3","7119876")</f>
        <v>0</v>
      </c>
      <c r="B12925" t="s">
        <v>1327</v>
      </c>
      <c r="C12925" t="s">
        <v>16069</v>
      </c>
      <c r="D12925" t="s">
        <v>17971</v>
      </c>
      <c r="E12925" t="s">
        <v>18787</v>
      </c>
      <c r="F12925" t="s">
        <v>30900</v>
      </c>
      <c r="G12925" t="s">
        <v>30907</v>
      </c>
      <c r="H12925" t="s">
        <v>30915</v>
      </c>
      <c r="I12925" t="s">
        <v>30919</v>
      </c>
      <c r="J12925" t="s">
        <v>39102</v>
      </c>
      <c r="K12925" t="s">
        <v>40304</v>
      </c>
      <c r="M12925" t="s">
        <v>41946</v>
      </c>
      <c r="N12925" t="s">
        <v>44759</v>
      </c>
      <c r="O12925" t="s">
        <v>44760</v>
      </c>
      <c r="P12925">
        <v>0</v>
      </c>
      <c r="Q12925">
        <v>19</v>
      </c>
      <c r="R12925" t="s">
        <v>44777</v>
      </c>
      <c r="S12925" t="s">
        <v>45524</v>
      </c>
      <c r="T12925" t="s">
        <v>46390</v>
      </c>
      <c r="U12925" t="s">
        <v>57545</v>
      </c>
      <c r="V12925" t="s">
        <v>60578</v>
      </c>
      <c r="W12925" t="s">
        <v>41946</v>
      </c>
      <c r="X12925" t="s">
        <v>44778</v>
      </c>
    </row>
    <row r="12926" spans="1:24">
      <c r="A12926">
        <f>HYPERLINK("https://www.philgeps.gov.ph/GEPSNONPILOT/Tender/SplashBidNoticeAbstractUI.aspx?menuIndex=3&amp;refID=7119897&amp;Result=3","7119897")</f>
        <v>0</v>
      </c>
      <c r="B12926" t="s">
        <v>585</v>
      </c>
      <c r="C12926" t="s">
        <v>16070</v>
      </c>
      <c r="E12926" t="s">
        <v>29212</v>
      </c>
      <c r="F12926" t="s">
        <v>30900</v>
      </c>
      <c r="G12926" t="s">
        <v>30907</v>
      </c>
      <c r="H12926" t="s">
        <v>30916</v>
      </c>
      <c r="I12926" t="s">
        <v>30947</v>
      </c>
      <c r="J12926" t="s">
        <v>39103</v>
      </c>
      <c r="K12926" t="s">
        <v>40289</v>
      </c>
      <c r="M12926" t="s">
        <v>43347</v>
      </c>
      <c r="N12926" t="s">
        <v>44759</v>
      </c>
      <c r="O12926" t="s">
        <v>44760</v>
      </c>
      <c r="Q12926">
        <v>2</v>
      </c>
      <c r="R12926" t="s">
        <v>44777</v>
      </c>
      <c r="S12926" t="s">
        <v>45608</v>
      </c>
      <c r="T12926" t="s">
        <v>46421</v>
      </c>
      <c r="U12926" t="s">
        <v>57546</v>
      </c>
      <c r="V12926" t="s">
        <v>59954</v>
      </c>
      <c r="W12926" t="s">
        <v>43347</v>
      </c>
      <c r="X12926" t="s">
        <v>44778</v>
      </c>
    </row>
    <row r="12927" spans="1:24">
      <c r="A12927">
        <f>HYPERLINK("https://www.philgeps.gov.ph/GEPSNONPILOT/Tender/SplashBidNoticeAbstractUI.aspx?menuIndex=3&amp;refID=7119923&amp;Result=3","7119923")</f>
        <v>0</v>
      </c>
      <c r="B12927" t="s">
        <v>1096</v>
      </c>
      <c r="C12927" t="s">
        <v>16071</v>
      </c>
      <c r="E12927" t="s">
        <v>29213</v>
      </c>
      <c r="F12927" t="s">
        <v>30900</v>
      </c>
      <c r="G12927" t="s">
        <v>30907</v>
      </c>
      <c r="H12927" t="s">
        <v>30916</v>
      </c>
      <c r="I12927" t="s">
        <v>30936</v>
      </c>
      <c r="J12927" t="s">
        <v>37138</v>
      </c>
      <c r="K12927" t="s">
        <v>40289</v>
      </c>
      <c r="M12927" t="s">
        <v>42955</v>
      </c>
      <c r="N12927" t="s">
        <v>44759</v>
      </c>
      <c r="O12927" t="s">
        <v>44760</v>
      </c>
      <c r="Q12927">
        <v>5</v>
      </c>
      <c r="R12927" t="s">
        <v>44777</v>
      </c>
      <c r="S12927" t="s">
        <v>45609</v>
      </c>
      <c r="T12927" t="s">
        <v>46389</v>
      </c>
      <c r="U12927" t="s">
        <v>57547</v>
      </c>
      <c r="W12927" t="s">
        <v>42955</v>
      </c>
      <c r="X12927" t="s">
        <v>44778</v>
      </c>
    </row>
    <row r="12928" spans="1:24">
      <c r="A12928">
        <f>HYPERLINK("https://www.philgeps.gov.ph/GEPSNONPILOT/Tender/SplashBidNoticeAbstractUI.aspx?menuIndex=3&amp;refID=7119886&amp;Result=3","7119886")</f>
        <v>0</v>
      </c>
      <c r="B12928" t="s">
        <v>618</v>
      </c>
      <c r="C12928" t="s">
        <v>16072</v>
      </c>
      <c r="D12928" t="s">
        <v>17959</v>
      </c>
      <c r="E12928" t="s">
        <v>29214</v>
      </c>
      <c r="F12928" t="s">
        <v>30900</v>
      </c>
      <c r="G12928" t="s">
        <v>30907</v>
      </c>
      <c r="H12928" t="s">
        <v>30916</v>
      </c>
      <c r="I12928" t="s">
        <v>30918</v>
      </c>
      <c r="J12928" t="s">
        <v>31766</v>
      </c>
      <c r="K12928" t="s">
        <v>40289</v>
      </c>
      <c r="M12928" t="s">
        <v>44494</v>
      </c>
      <c r="N12928" t="s">
        <v>44759</v>
      </c>
      <c r="O12928" t="s">
        <v>44760</v>
      </c>
      <c r="Q12928">
        <v>14</v>
      </c>
      <c r="R12928" t="s">
        <v>44777</v>
      </c>
      <c r="S12928" t="s">
        <v>45610</v>
      </c>
      <c r="T12928" t="s">
        <v>46389</v>
      </c>
      <c r="U12928" t="s">
        <v>57544</v>
      </c>
      <c r="W12928" t="s">
        <v>44494</v>
      </c>
      <c r="X12928" t="s">
        <v>44778</v>
      </c>
    </row>
    <row r="12929" spans="1:24">
      <c r="A12929">
        <f>HYPERLINK("https://www.philgeps.gov.ph/GEPSNONPILOT/Tender/SplashBidNoticeAbstractUI.aspx?menuIndex=3&amp;refID=7119874&amp;Result=3","7119874")</f>
        <v>0</v>
      </c>
      <c r="B12929" t="s">
        <v>3359</v>
      </c>
      <c r="C12929" t="s">
        <v>16073</v>
      </c>
      <c r="D12929" t="s">
        <v>18003</v>
      </c>
      <c r="E12929" t="s">
        <v>29182</v>
      </c>
      <c r="F12929" t="s">
        <v>30900</v>
      </c>
      <c r="G12929" t="s">
        <v>30907</v>
      </c>
      <c r="H12929" t="s">
        <v>30916</v>
      </c>
      <c r="I12929" t="s">
        <v>30942</v>
      </c>
      <c r="J12929" t="s">
        <v>39104</v>
      </c>
      <c r="K12929" t="s">
        <v>40286</v>
      </c>
      <c r="M12929" t="s">
        <v>44228</v>
      </c>
      <c r="N12929" t="s">
        <v>44759</v>
      </c>
      <c r="O12929" t="s">
        <v>44760</v>
      </c>
      <c r="P12929">
        <v>0</v>
      </c>
      <c r="Q12929">
        <v>0</v>
      </c>
      <c r="R12929" t="s">
        <v>44777</v>
      </c>
      <c r="S12929" t="s">
        <v>45524</v>
      </c>
      <c r="T12929" t="s">
        <v>46357</v>
      </c>
      <c r="U12929" t="s">
        <v>57528</v>
      </c>
      <c r="W12929" t="s">
        <v>44228</v>
      </c>
      <c r="X12929" t="s">
        <v>44778</v>
      </c>
    </row>
    <row r="12930" spans="1:24">
      <c r="A12930">
        <f>HYPERLINK("https://www.philgeps.gov.ph/GEPSNONPILOT/Tender/SplashBidNoticeAbstractUI.aspx?menuIndex=3&amp;refID=7119491&amp;Result=3","7119491")</f>
        <v>0</v>
      </c>
      <c r="B12930" t="s">
        <v>3570</v>
      </c>
      <c r="C12930" t="s">
        <v>16074</v>
      </c>
      <c r="D12930" t="s">
        <v>17953</v>
      </c>
      <c r="E12930" t="s">
        <v>29215</v>
      </c>
      <c r="F12930" t="s">
        <v>30900</v>
      </c>
      <c r="G12930" t="s">
        <v>30907</v>
      </c>
      <c r="H12930" t="s">
        <v>30916</v>
      </c>
      <c r="I12930" t="s">
        <v>30925</v>
      </c>
      <c r="J12930" t="s">
        <v>31151</v>
      </c>
      <c r="K12930" t="s">
        <v>40281</v>
      </c>
      <c r="M12930" t="s">
        <v>44495</v>
      </c>
      <c r="N12930" t="s">
        <v>44759</v>
      </c>
      <c r="O12930" t="s">
        <v>44760</v>
      </c>
      <c r="P12930">
        <v>0</v>
      </c>
      <c r="Q12930">
        <v>0</v>
      </c>
      <c r="R12930" t="s">
        <v>44778</v>
      </c>
      <c r="S12930" t="s">
        <v>45611</v>
      </c>
      <c r="T12930" t="s">
        <v>46379</v>
      </c>
      <c r="U12930" t="s">
        <v>57548</v>
      </c>
      <c r="W12930" t="s">
        <v>44495</v>
      </c>
      <c r="X12930" t="s">
        <v>44779</v>
      </c>
    </row>
    <row r="12931" spans="1:24">
      <c r="A12931">
        <f>HYPERLINK("https://www.philgeps.gov.ph/GEPSNONPILOT/Tender/SplashBidNoticeAbstractUI.aspx?menuIndex=3&amp;refID=7119883&amp;Result=3","7119883")</f>
        <v>0</v>
      </c>
      <c r="B12931" t="s">
        <v>3571</v>
      </c>
      <c r="C12931" t="s">
        <v>16075</v>
      </c>
      <c r="D12931" t="s">
        <v>17973</v>
      </c>
      <c r="E12931" t="s">
        <v>29216</v>
      </c>
      <c r="F12931" t="s">
        <v>30899</v>
      </c>
      <c r="G12931" t="s">
        <v>30907</v>
      </c>
      <c r="H12931" t="s">
        <v>30916</v>
      </c>
      <c r="I12931" t="s">
        <v>8123</v>
      </c>
      <c r="J12931" t="s">
        <v>31049</v>
      </c>
      <c r="K12931" t="s">
        <v>40294</v>
      </c>
      <c r="M12931" t="s">
        <v>44496</v>
      </c>
      <c r="N12931" t="s">
        <v>44759</v>
      </c>
      <c r="O12931" t="s">
        <v>44760</v>
      </c>
      <c r="P12931">
        <v>0</v>
      </c>
      <c r="Q12931">
        <v>0</v>
      </c>
      <c r="R12931" t="s">
        <v>44777</v>
      </c>
      <c r="S12931" t="s">
        <v>45524</v>
      </c>
      <c r="T12931" t="s">
        <v>46374</v>
      </c>
      <c r="U12931" t="s">
        <v>57549</v>
      </c>
      <c r="W12931" t="s">
        <v>44496</v>
      </c>
      <c r="X12931" t="s">
        <v>44778</v>
      </c>
    </row>
    <row r="12932" spans="1:24">
      <c r="A12932">
        <f>HYPERLINK("https://www.philgeps.gov.ph/GEPSNONPILOT/Tender/SplashBidNoticeAbstractUI.aspx?menuIndex=3&amp;refID=7119465&amp;Result=3","7119465")</f>
        <v>0</v>
      </c>
      <c r="B12932" t="s">
        <v>3570</v>
      </c>
      <c r="C12932" t="s">
        <v>16076</v>
      </c>
      <c r="D12932" t="s">
        <v>17953</v>
      </c>
      <c r="E12932" t="s">
        <v>29217</v>
      </c>
      <c r="F12932" t="s">
        <v>30900</v>
      </c>
      <c r="G12932" t="s">
        <v>30907</v>
      </c>
      <c r="H12932" t="s">
        <v>30916</v>
      </c>
      <c r="I12932" t="s">
        <v>4142</v>
      </c>
      <c r="J12932" t="s">
        <v>39105</v>
      </c>
      <c r="K12932" t="s">
        <v>40281</v>
      </c>
      <c r="M12932" t="s">
        <v>44495</v>
      </c>
      <c r="N12932" t="s">
        <v>44759</v>
      </c>
      <c r="O12932" t="s">
        <v>44760</v>
      </c>
      <c r="P12932">
        <v>0</v>
      </c>
      <c r="Q12932">
        <v>1</v>
      </c>
      <c r="R12932" t="s">
        <v>44778</v>
      </c>
      <c r="S12932" t="s">
        <v>45611</v>
      </c>
      <c r="T12932" t="s">
        <v>46379</v>
      </c>
      <c r="U12932" t="s">
        <v>57548</v>
      </c>
      <c r="W12932" t="s">
        <v>44495</v>
      </c>
      <c r="X12932" t="s">
        <v>44779</v>
      </c>
    </row>
    <row r="12933" spans="1:24">
      <c r="A12933">
        <f>HYPERLINK("https://www.philgeps.gov.ph/GEPSNONPILOT/Tender/SplashBidNoticeAbstractUI.aspx?menuIndex=3&amp;refID=7119879&amp;Result=3","7119879")</f>
        <v>0</v>
      </c>
      <c r="B12933" t="s">
        <v>1666</v>
      </c>
      <c r="C12933" t="s">
        <v>16077</v>
      </c>
      <c r="D12933" t="s">
        <v>18010</v>
      </c>
      <c r="E12933" t="s">
        <v>29218</v>
      </c>
      <c r="F12933" t="s">
        <v>30900</v>
      </c>
      <c r="G12933" t="s">
        <v>30907</v>
      </c>
      <c r="H12933" t="s">
        <v>30916</v>
      </c>
      <c r="I12933" t="s">
        <v>31003</v>
      </c>
      <c r="J12933" t="s">
        <v>34250</v>
      </c>
      <c r="K12933" t="s">
        <v>40286</v>
      </c>
      <c r="M12933" t="s">
        <v>42323</v>
      </c>
      <c r="N12933" t="s">
        <v>44759</v>
      </c>
      <c r="O12933" t="s">
        <v>44760</v>
      </c>
      <c r="Q12933">
        <v>9</v>
      </c>
      <c r="R12933" t="s">
        <v>44777</v>
      </c>
      <c r="S12933" t="s">
        <v>45612</v>
      </c>
      <c r="T12933" t="s">
        <v>46455</v>
      </c>
      <c r="U12933" t="s">
        <v>57550</v>
      </c>
      <c r="V12933" t="s">
        <v>60579</v>
      </c>
      <c r="W12933" t="s">
        <v>42323</v>
      </c>
      <c r="X12933" t="s">
        <v>44778</v>
      </c>
    </row>
    <row r="12934" spans="1:24">
      <c r="A12934">
        <f>HYPERLINK("https://www.philgeps.gov.ph/GEPSNONPILOT/Tender/SplashBidNoticeAbstractUI.aspx?menuIndex=3&amp;refID=7119885&amp;Result=3","7119885")</f>
        <v>0</v>
      </c>
      <c r="B12934" t="s">
        <v>618</v>
      </c>
      <c r="C12934" t="s">
        <v>16078</v>
      </c>
      <c r="D12934" t="s">
        <v>17959</v>
      </c>
      <c r="E12934" t="s">
        <v>29219</v>
      </c>
      <c r="F12934" t="s">
        <v>30900</v>
      </c>
      <c r="G12934" t="s">
        <v>30907</v>
      </c>
      <c r="H12934" t="s">
        <v>30916</v>
      </c>
      <c r="I12934" t="s">
        <v>30918</v>
      </c>
      <c r="J12934" t="s">
        <v>32560</v>
      </c>
      <c r="K12934" t="s">
        <v>40289</v>
      </c>
      <c r="M12934" t="s">
        <v>44494</v>
      </c>
      <c r="N12934" t="s">
        <v>44759</v>
      </c>
      <c r="O12934" t="s">
        <v>44760</v>
      </c>
      <c r="Q12934">
        <v>22</v>
      </c>
      <c r="R12934" t="s">
        <v>44777</v>
      </c>
      <c r="S12934" t="s">
        <v>45613</v>
      </c>
      <c r="T12934" t="s">
        <v>46389</v>
      </c>
      <c r="U12934" t="s">
        <v>57544</v>
      </c>
      <c r="W12934" t="s">
        <v>44494</v>
      </c>
      <c r="X12934" t="s">
        <v>44778</v>
      </c>
    </row>
    <row r="12935" spans="1:24">
      <c r="A12935">
        <f>HYPERLINK("https://www.philgeps.gov.ph/GEPSNONPILOT/Tender/SplashBidNoticeAbstractUI.aspx?menuIndex=3&amp;refID=7119459&amp;Result=3","7119459")</f>
        <v>0</v>
      </c>
      <c r="B12935" t="s">
        <v>1461</v>
      </c>
      <c r="C12935" t="s">
        <v>16079</v>
      </c>
      <c r="D12935" t="s">
        <v>17976</v>
      </c>
      <c r="E12935" t="s">
        <v>29220</v>
      </c>
      <c r="F12935" t="s">
        <v>30900</v>
      </c>
      <c r="G12935" t="s">
        <v>30907</v>
      </c>
      <c r="H12935" t="s">
        <v>30915</v>
      </c>
      <c r="I12935" t="s">
        <v>30919</v>
      </c>
      <c r="J12935" t="s">
        <v>31391</v>
      </c>
      <c r="K12935" t="s">
        <v>40280</v>
      </c>
      <c r="M12935" t="s">
        <v>42093</v>
      </c>
      <c r="N12935" t="s">
        <v>44759</v>
      </c>
      <c r="O12935" t="s">
        <v>44760</v>
      </c>
      <c r="P12935">
        <v>0</v>
      </c>
      <c r="Q12935">
        <v>0</v>
      </c>
      <c r="R12935" t="s">
        <v>44778</v>
      </c>
      <c r="S12935" t="s">
        <v>45611</v>
      </c>
      <c r="T12935" t="s">
        <v>46917</v>
      </c>
      <c r="U12935" t="s">
        <v>57551</v>
      </c>
      <c r="W12935" t="s">
        <v>42093</v>
      </c>
      <c r="X12935" t="s">
        <v>44779</v>
      </c>
    </row>
    <row r="12936" spans="1:24">
      <c r="A12936">
        <f>HYPERLINK("https://www.philgeps.gov.ph/GEPSNONPILOT/Tender/SplashBidNoticeAbstractUI.aspx?menuIndex=3&amp;refID=7119762&amp;Result=3","7119762")</f>
        <v>0</v>
      </c>
      <c r="B12936" t="s">
        <v>3572</v>
      </c>
      <c r="C12936" t="s">
        <v>16080</v>
      </c>
      <c r="D12936" t="s">
        <v>17962</v>
      </c>
      <c r="E12936" t="s">
        <v>29221</v>
      </c>
      <c r="F12936" t="s">
        <v>30900</v>
      </c>
      <c r="G12936" t="s">
        <v>30907</v>
      </c>
      <c r="H12936" t="s">
        <v>30916</v>
      </c>
      <c r="I12936" t="s">
        <v>4017</v>
      </c>
      <c r="J12936" t="s">
        <v>31105</v>
      </c>
      <c r="K12936" t="s">
        <v>40291</v>
      </c>
      <c r="M12936" t="s">
        <v>44497</v>
      </c>
      <c r="N12936" t="s">
        <v>44759</v>
      </c>
      <c r="O12936" t="s">
        <v>44760</v>
      </c>
      <c r="P12936">
        <v>0</v>
      </c>
      <c r="Q12936">
        <v>4</v>
      </c>
      <c r="R12936" t="s">
        <v>44777</v>
      </c>
      <c r="S12936" t="s">
        <v>45524</v>
      </c>
      <c r="T12936" t="s">
        <v>46738</v>
      </c>
      <c r="U12936" t="s">
        <v>57552</v>
      </c>
      <c r="W12936" t="s">
        <v>44497</v>
      </c>
      <c r="X12936" t="s">
        <v>44778</v>
      </c>
    </row>
    <row r="12937" spans="1:24">
      <c r="A12937">
        <f>HYPERLINK("https://www.philgeps.gov.ph/GEPSNONPILOT/Tender/SplashBidNoticeAbstractUI.aspx?menuIndex=3&amp;refID=7119484&amp;Result=3","7119484")</f>
        <v>0</v>
      </c>
      <c r="B12937" t="s">
        <v>3570</v>
      </c>
      <c r="C12937" t="s">
        <v>16081</v>
      </c>
      <c r="D12937" t="s">
        <v>17953</v>
      </c>
      <c r="E12937" t="s">
        <v>29222</v>
      </c>
      <c r="F12937" t="s">
        <v>30900</v>
      </c>
      <c r="G12937" t="s">
        <v>30907</v>
      </c>
      <c r="H12937" t="s">
        <v>30916</v>
      </c>
      <c r="I12937" t="s">
        <v>5830</v>
      </c>
      <c r="J12937" t="s">
        <v>39106</v>
      </c>
      <c r="K12937" t="s">
        <v>40281</v>
      </c>
      <c r="M12937" t="s">
        <v>44495</v>
      </c>
      <c r="N12937" t="s">
        <v>44759</v>
      </c>
      <c r="O12937" t="s">
        <v>44760</v>
      </c>
      <c r="P12937">
        <v>0</v>
      </c>
      <c r="Q12937">
        <v>2</v>
      </c>
      <c r="R12937" t="s">
        <v>44778</v>
      </c>
      <c r="S12937" t="s">
        <v>45611</v>
      </c>
      <c r="T12937" t="s">
        <v>46379</v>
      </c>
      <c r="U12937" t="s">
        <v>57548</v>
      </c>
      <c r="W12937" t="s">
        <v>44495</v>
      </c>
      <c r="X12937" t="s">
        <v>44779</v>
      </c>
    </row>
    <row r="12938" spans="1:24">
      <c r="A12938">
        <f>HYPERLINK("https://www.philgeps.gov.ph/GEPSNONPILOT/Tender/SplashBidNoticeAbstractUI.aspx?menuIndex=3&amp;refID=7119366&amp;Result=3","7119366")</f>
        <v>0</v>
      </c>
      <c r="B12938" t="s">
        <v>3573</v>
      </c>
      <c r="C12938" t="s">
        <v>16082</v>
      </c>
      <c r="D12938" t="s">
        <v>17973</v>
      </c>
      <c r="E12938" t="s">
        <v>22445</v>
      </c>
      <c r="F12938" t="s">
        <v>30900</v>
      </c>
      <c r="G12938" t="s">
        <v>30907</v>
      </c>
      <c r="H12938" t="s">
        <v>30915</v>
      </c>
      <c r="I12938" t="s">
        <v>30919</v>
      </c>
      <c r="J12938" t="s">
        <v>31206</v>
      </c>
      <c r="K12938" t="s">
        <v>40293</v>
      </c>
      <c r="M12938" t="s">
        <v>44498</v>
      </c>
      <c r="N12938" t="s">
        <v>44759</v>
      </c>
      <c r="O12938" t="s">
        <v>44760</v>
      </c>
      <c r="P12938">
        <v>0</v>
      </c>
      <c r="Q12938">
        <v>0</v>
      </c>
      <c r="R12938" t="s">
        <v>44778</v>
      </c>
      <c r="S12938" t="s">
        <v>45611</v>
      </c>
      <c r="T12938" t="s">
        <v>46399</v>
      </c>
      <c r="U12938" t="s">
        <v>57553</v>
      </c>
      <c r="V12938" t="s">
        <v>59637</v>
      </c>
      <c r="W12938" t="s">
        <v>44498</v>
      </c>
      <c r="X12938" t="s">
        <v>44779</v>
      </c>
    </row>
    <row r="12939" spans="1:24">
      <c r="A12939">
        <f>HYPERLINK("https://www.philgeps.gov.ph/GEPSNONPILOT/Tender/SplashBidNoticeAbstractUI.aspx?menuIndex=3&amp;refID=7119351&amp;Result=3","7119351")</f>
        <v>0</v>
      </c>
      <c r="B12939" t="s">
        <v>3574</v>
      </c>
      <c r="C12939" t="s">
        <v>16083</v>
      </c>
      <c r="D12939" t="s">
        <v>17996</v>
      </c>
      <c r="E12939" t="s">
        <v>29223</v>
      </c>
      <c r="F12939" t="s">
        <v>30900</v>
      </c>
      <c r="G12939" t="s">
        <v>30907</v>
      </c>
      <c r="H12939" t="s">
        <v>30916</v>
      </c>
      <c r="I12939" t="s">
        <v>17295</v>
      </c>
      <c r="J12939" t="s">
        <v>39107</v>
      </c>
      <c r="K12939" t="s">
        <v>40332</v>
      </c>
      <c r="M12939" t="s">
        <v>44499</v>
      </c>
      <c r="N12939" t="s">
        <v>44759</v>
      </c>
      <c r="O12939" t="s">
        <v>44760</v>
      </c>
      <c r="Q12939">
        <v>7</v>
      </c>
      <c r="R12939" t="s">
        <v>44778</v>
      </c>
      <c r="S12939" t="s">
        <v>45614</v>
      </c>
      <c r="T12939" t="s">
        <v>46356</v>
      </c>
      <c r="U12939" t="s">
        <v>57554</v>
      </c>
      <c r="W12939" t="s">
        <v>44499</v>
      </c>
      <c r="X12939" t="s">
        <v>44779</v>
      </c>
    </row>
    <row r="12940" spans="1:24">
      <c r="A12940">
        <f>HYPERLINK("https://www.philgeps.gov.ph/GEPSNONPILOT/Tender/SplashBidNoticeAbstractUI.aspx?menuIndex=3&amp;refID=7119472&amp;Result=3","7119472")</f>
        <v>0</v>
      </c>
      <c r="B12940" t="s">
        <v>3570</v>
      </c>
      <c r="C12940" t="s">
        <v>16084</v>
      </c>
      <c r="D12940" t="s">
        <v>17953</v>
      </c>
      <c r="E12940" t="s">
        <v>29224</v>
      </c>
      <c r="F12940" t="s">
        <v>30900</v>
      </c>
      <c r="G12940" t="s">
        <v>30907</v>
      </c>
      <c r="H12940" t="s">
        <v>30916</v>
      </c>
      <c r="I12940" t="s">
        <v>4142</v>
      </c>
      <c r="J12940" t="s">
        <v>39108</v>
      </c>
      <c r="K12940" t="s">
        <v>40281</v>
      </c>
      <c r="M12940" t="s">
        <v>44495</v>
      </c>
      <c r="N12940" t="s">
        <v>44759</v>
      </c>
      <c r="O12940" t="s">
        <v>44760</v>
      </c>
      <c r="P12940">
        <v>0</v>
      </c>
      <c r="Q12940">
        <v>0</v>
      </c>
      <c r="R12940" t="s">
        <v>44778</v>
      </c>
      <c r="S12940" t="s">
        <v>45611</v>
      </c>
      <c r="T12940" t="s">
        <v>46379</v>
      </c>
      <c r="U12940" t="s">
        <v>57555</v>
      </c>
      <c r="W12940" t="s">
        <v>44495</v>
      </c>
      <c r="X12940" t="s">
        <v>44779</v>
      </c>
    </row>
    <row r="12941" spans="1:24">
      <c r="A12941">
        <f>HYPERLINK("https://www.philgeps.gov.ph/GEPSNONPILOT/Tender/SplashBidNoticeAbstractUI.aspx?menuIndex=3&amp;refID=7119308&amp;Result=3","7119308")</f>
        <v>0</v>
      </c>
      <c r="B12941" t="s">
        <v>3575</v>
      </c>
      <c r="C12941" t="s">
        <v>16085</v>
      </c>
      <c r="D12941" t="s">
        <v>17978</v>
      </c>
      <c r="E12941" t="s">
        <v>29225</v>
      </c>
      <c r="F12941" t="s">
        <v>30900</v>
      </c>
      <c r="G12941" t="s">
        <v>30907</v>
      </c>
      <c r="H12941" t="s">
        <v>30916</v>
      </c>
      <c r="I12941" t="s">
        <v>4108</v>
      </c>
      <c r="J12941" t="s">
        <v>39109</v>
      </c>
      <c r="K12941" t="s">
        <v>40284</v>
      </c>
      <c r="M12941" t="s">
        <v>44500</v>
      </c>
      <c r="N12941" t="s">
        <v>44759</v>
      </c>
      <c r="O12941" t="s">
        <v>44760</v>
      </c>
      <c r="P12941">
        <v>0</v>
      </c>
      <c r="Q12941">
        <v>0</v>
      </c>
      <c r="R12941" t="s">
        <v>44778</v>
      </c>
      <c r="S12941" t="s">
        <v>45611</v>
      </c>
      <c r="T12941" t="s">
        <v>46918</v>
      </c>
      <c r="U12941" t="s">
        <v>57556</v>
      </c>
      <c r="W12941" t="s">
        <v>44500</v>
      </c>
      <c r="X12941" t="s">
        <v>44779</v>
      </c>
    </row>
    <row r="12942" spans="1:24">
      <c r="A12942">
        <f>HYPERLINK("https://www.philgeps.gov.ph/GEPSNONPILOT/Tender/SplashBidNoticeAbstractUI.aspx?menuIndex=3&amp;refID=7118909&amp;Result=3","7118909")</f>
        <v>0</v>
      </c>
      <c r="B12942" t="s">
        <v>1775</v>
      </c>
      <c r="C12942" t="s">
        <v>16086</v>
      </c>
      <c r="D12942" t="s">
        <v>18032</v>
      </c>
      <c r="E12942" t="s">
        <v>29226</v>
      </c>
      <c r="F12942" t="s">
        <v>30900</v>
      </c>
      <c r="G12942" t="s">
        <v>30907</v>
      </c>
      <c r="H12942" t="s">
        <v>30915</v>
      </c>
      <c r="I12942" t="s">
        <v>30919</v>
      </c>
      <c r="J12942" t="s">
        <v>31243</v>
      </c>
      <c r="K12942" t="s">
        <v>40286</v>
      </c>
      <c r="M12942" t="s">
        <v>42448</v>
      </c>
      <c r="N12942" t="s">
        <v>44759</v>
      </c>
      <c r="O12942" t="s">
        <v>44760</v>
      </c>
      <c r="P12942">
        <v>0</v>
      </c>
      <c r="Q12942">
        <v>0</v>
      </c>
      <c r="R12942" t="s">
        <v>44778</v>
      </c>
      <c r="S12942" t="s">
        <v>45611</v>
      </c>
      <c r="T12942" t="s">
        <v>46533</v>
      </c>
      <c r="U12942" t="s">
        <v>51267</v>
      </c>
      <c r="W12942" t="s">
        <v>42448</v>
      </c>
      <c r="X12942" t="s">
        <v>44780</v>
      </c>
    </row>
    <row r="12943" spans="1:24">
      <c r="A12943">
        <f>HYPERLINK("https://www.philgeps.gov.ph/GEPSNONPILOT/Tender/SplashBidNoticeAbstractUI.aspx?menuIndex=3&amp;refID=7118143&amp;Result=3","7118143")</f>
        <v>0</v>
      </c>
      <c r="B12943" t="s">
        <v>3432</v>
      </c>
      <c r="C12943" t="s">
        <v>16087</v>
      </c>
      <c r="D12943" t="s">
        <v>17981</v>
      </c>
      <c r="E12943" t="s">
        <v>29227</v>
      </c>
      <c r="F12943" t="s">
        <v>30900</v>
      </c>
      <c r="G12943" t="s">
        <v>30907</v>
      </c>
      <c r="H12943" t="s">
        <v>30915</v>
      </c>
      <c r="I12943" t="s">
        <v>30919</v>
      </c>
      <c r="J12943" t="s">
        <v>36061</v>
      </c>
      <c r="K12943" t="s">
        <v>40301</v>
      </c>
      <c r="M12943" t="s">
        <v>44313</v>
      </c>
      <c r="N12943" t="s">
        <v>44759</v>
      </c>
      <c r="O12943" t="s">
        <v>44760</v>
      </c>
      <c r="P12943">
        <v>0</v>
      </c>
      <c r="Q12943">
        <v>30</v>
      </c>
      <c r="R12943" t="s">
        <v>44778</v>
      </c>
      <c r="S12943" t="s">
        <v>45611</v>
      </c>
      <c r="T12943" t="s">
        <v>46352</v>
      </c>
      <c r="U12943" t="s">
        <v>57557</v>
      </c>
      <c r="V12943" t="s">
        <v>60478</v>
      </c>
      <c r="W12943" t="s">
        <v>44313</v>
      </c>
      <c r="X12943" t="s">
        <v>44780</v>
      </c>
    </row>
    <row r="12944" spans="1:24">
      <c r="A12944">
        <f>HYPERLINK("https://www.philgeps.gov.ph/GEPSNONPILOT/Tender/SplashBidNoticeAbstractUI.aspx?menuIndex=3&amp;refID=7119420&amp;Result=3","7119420")</f>
        <v>0</v>
      </c>
      <c r="B12944" t="s">
        <v>1461</v>
      </c>
      <c r="C12944" t="s">
        <v>16088</v>
      </c>
      <c r="D12944" t="s">
        <v>17976</v>
      </c>
      <c r="E12944" t="s">
        <v>29228</v>
      </c>
      <c r="F12944" t="s">
        <v>30900</v>
      </c>
      <c r="G12944" t="s">
        <v>30907</v>
      </c>
      <c r="H12944" t="s">
        <v>30915</v>
      </c>
      <c r="I12944" t="s">
        <v>30919</v>
      </c>
      <c r="J12944" t="s">
        <v>39110</v>
      </c>
      <c r="K12944" t="s">
        <v>40286</v>
      </c>
      <c r="M12944" t="s">
        <v>42093</v>
      </c>
      <c r="N12944" t="s">
        <v>44759</v>
      </c>
      <c r="O12944" t="s">
        <v>44760</v>
      </c>
      <c r="P12944">
        <v>0</v>
      </c>
      <c r="Q12944">
        <v>1</v>
      </c>
      <c r="R12944" t="s">
        <v>44778</v>
      </c>
      <c r="S12944" t="s">
        <v>45611</v>
      </c>
      <c r="T12944" t="s">
        <v>46470</v>
      </c>
      <c r="U12944" t="s">
        <v>57558</v>
      </c>
      <c r="W12944" t="s">
        <v>42093</v>
      </c>
      <c r="X12944" t="s">
        <v>44779</v>
      </c>
    </row>
    <row r="12945" spans="1:24">
      <c r="A12945">
        <f>HYPERLINK("https://www.philgeps.gov.ph/GEPSNONPILOT/Tender/SplashBidNoticeAbstractUI.aspx?menuIndex=3&amp;refID=7116782&amp;Result=3","7116782")</f>
        <v>0</v>
      </c>
      <c r="B12945" t="s">
        <v>626</v>
      </c>
      <c r="C12945" t="s">
        <v>16089</v>
      </c>
      <c r="E12945" t="s">
        <v>29229</v>
      </c>
      <c r="F12945" t="s">
        <v>30900</v>
      </c>
      <c r="G12945" t="s">
        <v>30907</v>
      </c>
      <c r="H12945" t="s">
        <v>30916</v>
      </c>
      <c r="I12945" t="s">
        <v>4108</v>
      </c>
      <c r="J12945" t="s">
        <v>31049</v>
      </c>
      <c r="K12945" t="s">
        <v>40289</v>
      </c>
      <c r="M12945" t="s">
        <v>41188</v>
      </c>
      <c r="N12945" t="s">
        <v>44759</v>
      </c>
      <c r="O12945" t="s">
        <v>44760</v>
      </c>
      <c r="Q12945">
        <v>2</v>
      </c>
      <c r="R12945" t="s">
        <v>44778</v>
      </c>
      <c r="S12945" t="s">
        <v>44910</v>
      </c>
      <c r="T12945" t="s">
        <v>46558</v>
      </c>
      <c r="U12945" t="s">
        <v>57559</v>
      </c>
      <c r="V12945" t="s">
        <v>60580</v>
      </c>
      <c r="W12945" t="s">
        <v>41188</v>
      </c>
      <c r="X12945" t="s">
        <v>44780</v>
      </c>
    </row>
    <row r="12946" spans="1:24">
      <c r="A12946">
        <f>HYPERLINK("https://www.philgeps.gov.ph/GEPSNONPILOT/Tender/SplashBidNoticeAbstractUI.aspx?menuIndex=3&amp;refID=7120057&amp;Result=3","7120057")</f>
        <v>0</v>
      </c>
      <c r="B12946" t="s">
        <v>1251</v>
      </c>
      <c r="C12946" t="s">
        <v>16090</v>
      </c>
      <c r="D12946" t="s">
        <v>17963</v>
      </c>
      <c r="E12946" t="s">
        <v>29230</v>
      </c>
      <c r="F12946" t="s">
        <v>30900</v>
      </c>
      <c r="G12946" t="s">
        <v>30907</v>
      </c>
      <c r="H12946" t="s">
        <v>30915</v>
      </c>
      <c r="I12946" t="s">
        <v>30919</v>
      </c>
      <c r="J12946" t="s">
        <v>39111</v>
      </c>
      <c r="K12946" t="s">
        <v>40531</v>
      </c>
      <c r="M12946" t="s">
        <v>41863</v>
      </c>
      <c r="N12946" t="s">
        <v>44759</v>
      </c>
      <c r="O12946" t="s">
        <v>44760</v>
      </c>
      <c r="P12946">
        <v>0</v>
      </c>
      <c r="Q12946">
        <v>22</v>
      </c>
      <c r="R12946" t="s">
        <v>44777</v>
      </c>
      <c r="S12946" t="s">
        <v>45524</v>
      </c>
      <c r="T12946" t="s">
        <v>46497</v>
      </c>
      <c r="U12946" t="s">
        <v>57560</v>
      </c>
      <c r="W12946" t="s">
        <v>41863</v>
      </c>
      <c r="X12946" t="s">
        <v>44778</v>
      </c>
    </row>
    <row r="12947" spans="1:24">
      <c r="A12947">
        <f>HYPERLINK("https://www.philgeps.gov.ph/GEPSNONPILOT/Tender/SplashBidNoticeAbstractUI.aspx?menuIndex=3&amp;refID=7119371&amp;Result=3","7119371")</f>
        <v>0</v>
      </c>
      <c r="B12947" t="s">
        <v>3573</v>
      </c>
      <c r="C12947" t="s">
        <v>8808</v>
      </c>
      <c r="D12947" t="s">
        <v>17973</v>
      </c>
      <c r="E12947" t="s">
        <v>29231</v>
      </c>
      <c r="F12947" t="s">
        <v>30900</v>
      </c>
      <c r="G12947" t="s">
        <v>30907</v>
      </c>
      <c r="H12947" t="s">
        <v>30915</v>
      </c>
      <c r="I12947" t="s">
        <v>30919</v>
      </c>
      <c r="J12947" t="s">
        <v>31635</v>
      </c>
      <c r="K12947" t="s">
        <v>40293</v>
      </c>
      <c r="M12947" t="s">
        <v>44498</v>
      </c>
      <c r="N12947" t="s">
        <v>44759</v>
      </c>
      <c r="O12947" t="s">
        <v>44760</v>
      </c>
      <c r="P12947">
        <v>0</v>
      </c>
      <c r="Q12947">
        <v>0</v>
      </c>
      <c r="R12947" t="s">
        <v>44778</v>
      </c>
      <c r="S12947" t="s">
        <v>45611</v>
      </c>
      <c r="T12947" t="s">
        <v>46399</v>
      </c>
      <c r="U12947" t="s">
        <v>57561</v>
      </c>
      <c r="V12947" t="s">
        <v>59637</v>
      </c>
      <c r="W12947" t="s">
        <v>44498</v>
      </c>
      <c r="X12947" t="s">
        <v>44779</v>
      </c>
    </row>
    <row r="12948" spans="1:24">
      <c r="A12948">
        <f>HYPERLINK("https://www.philgeps.gov.ph/GEPSNONPILOT/Tender/SplashBidNoticeAbstractUI.aspx?menuIndex=3&amp;refID=7114507&amp;Result=3","7114507")</f>
        <v>0</v>
      </c>
      <c r="B12948" t="s">
        <v>3576</v>
      </c>
      <c r="C12948" t="s">
        <v>16091</v>
      </c>
      <c r="D12948" t="s">
        <v>17980</v>
      </c>
      <c r="E12948" t="s">
        <v>29232</v>
      </c>
      <c r="F12948" t="s">
        <v>30900</v>
      </c>
      <c r="G12948" t="s">
        <v>30907</v>
      </c>
      <c r="H12948" t="s">
        <v>30916</v>
      </c>
      <c r="I12948" t="s">
        <v>6396</v>
      </c>
      <c r="J12948" t="s">
        <v>36735</v>
      </c>
      <c r="K12948" t="s">
        <v>40293</v>
      </c>
      <c r="M12948" t="s">
        <v>44501</v>
      </c>
      <c r="N12948" t="s">
        <v>44759</v>
      </c>
      <c r="O12948" t="s">
        <v>44760</v>
      </c>
      <c r="Q12948">
        <v>6</v>
      </c>
      <c r="R12948" t="s">
        <v>44779</v>
      </c>
      <c r="S12948" t="s">
        <v>45615</v>
      </c>
      <c r="T12948" t="s">
        <v>46495</v>
      </c>
      <c r="U12948" t="s">
        <v>57562</v>
      </c>
      <c r="V12948" t="s">
        <v>60581</v>
      </c>
      <c r="W12948" t="s">
        <v>44501</v>
      </c>
      <c r="X12948" t="s">
        <v>44781</v>
      </c>
    </row>
    <row r="12949" spans="1:24">
      <c r="A12949">
        <f>HYPERLINK("https://www.philgeps.gov.ph/GEPSNONPILOT/Tender/SplashBidNoticeAbstractUI.aspx?menuIndex=3&amp;refID=7119239&amp;Result=3","7119239")</f>
        <v>0</v>
      </c>
      <c r="B12949" t="s">
        <v>1750</v>
      </c>
      <c r="C12949" t="s">
        <v>16092</v>
      </c>
      <c r="D12949" t="s">
        <v>17966</v>
      </c>
      <c r="E12949" t="s">
        <v>29233</v>
      </c>
      <c r="F12949" t="s">
        <v>30900</v>
      </c>
      <c r="G12949" t="s">
        <v>30907</v>
      </c>
      <c r="H12949" t="s">
        <v>30915</v>
      </c>
      <c r="I12949" t="s">
        <v>30919</v>
      </c>
      <c r="J12949" t="s">
        <v>37114</v>
      </c>
      <c r="K12949" t="s">
        <v>40392</v>
      </c>
      <c r="M12949" t="s">
        <v>43962</v>
      </c>
      <c r="N12949" t="s">
        <v>44759</v>
      </c>
      <c r="O12949" t="s">
        <v>44760</v>
      </c>
      <c r="P12949">
        <v>0</v>
      </c>
      <c r="Q12949">
        <v>0</v>
      </c>
      <c r="R12949" t="s">
        <v>44777</v>
      </c>
      <c r="S12949" t="s">
        <v>45524</v>
      </c>
      <c r="T12949" t="s">
        <v>46488</v>
      </c>
      <c r="U12949" t="s">
        <v>57563</v>
      </c>
      <c r="W12949" t="s">
        <v>60874</v>
      </c>
      <c r="X12949" t="s">
        <v>44779</v>
      </c>
    </row>
    <row r="12950" spans="1:24">
      <c r="A12950">
        <f>HYPERLINK("https://www.philgeps.gov.ph/GEPSNONPILOT/Tender/SplashBidNoticeAbstractUI.aspx?menuIndex=3&amp;refID=7114451&amp;Result=3","7114451")</f>
        <v>0</v>
      </c>
      <c r="B12950" t="s">
        <v>3576</v>
      </c>
      <c r="C12950" t="s">
        <v>16093</v>
      </c>
      <c r="D12950" t="s">
        <v>17980</v>
      </c>
      <c r="E12950" t="s">
        <v>29234</v>
      </c>
      <c r="F12950" t="s">
        <v>30900</v>
      </c>
      <c r="G12950" t="s">
        <v>30907</v>
      </c>
      <c r="H12950" t="s">
        <v>30916</v>
      </c>
      <c r="I12950" t="s">
        <v>30924</v>
      </c>
      <c r="J12950" t="s">
        <v>39112</v>
      </c>
      <c r="K12950" t="s">
        <v>40293</v>
      </c>
      <c r="M12950" t="s">
        <v>44501</v>
      </c>
      <c r="N12950" t="s">
        <v>44759</v>
      </c>
      <c r="O12950" t="s">
        <v>44760</v>
      </c>
      <c r="Q12950">
        <v>3</v>
      </c>
      <c r="R12950" t="s">
        <v>44779</v>
      </c>
      <c r="S12950" t="s">
        <v>45616</v>
      </c>
      <c r="T12950" t="s">
        <v>46495</v>
      </c>
      <c r="U12950" t="s">
        <v>57564</v>
      </c>
      <c r="V12950" t="s">
        <v>60581</v>
      </c>
      <c r="W12950" t="s">
        <v>44501</v>
      </c>
      <c r="X12950" t="s">
        <v>44781</v>
      </c>
    </row>
    <row r="12951" spans="1:24">
      <c r="A12951">
        <f>HYPERLINK("https://www.philgeps.gov.ph/GEPSNONPILOT/Tender/SplashBidNoticeAbstractUI.aspx?menuIndex=3&amp;refID=7113976&amp;Result=3","7113976")</f>
        <v>0</v>
      </c>
      <c r="B12951" t="s">
        <v>121</v>
      </c>
      <c r="C12951" t="s">
        <v>4515</v>
      </c>
      <c r="D12951" t="s">
        <v>17971</v>
      </c>
      <c r="E12951" t="s">
        <v>29235</v>
      </c>
      <c r="F12951" t="s">
        <v>30900</v>
      </c>
      <c r="G12951" t="s">
        <v>30910</v>
      </c>
      <c r="H12951" t="s">
        <v>30916</v>
      </c>
      <c r="I12951" t="s">
        <v>6396</v>
      </c>
      <c r="J12951" t="s">
        <v>39113</v>
      </c>
      <c r="K12951" t="s">
        <v>40286</v>
      </c>
      <c r="M12951" t="s">
        <v>40668</v>
      </c>
      <c r="N12951" t="s">
        <v>44759</v>
      </c>
      <c r="O12951" t="s">
        <v>44760</v>
      </c>
      <c r="Q12951">
        <v>1</v>
      </c>
      <c r="R12951" t="s">
        <v>44779</v>
      </c>
      <c r="S12951" t="s">
        <v>45617</v>
      </c>
      <c r="T12951" t="s">
        <v>46357</v>
      </c>
      <c r="U12951" t="s">
        <v>57565</v>
      </c>
      <c r="W12951" t="s">
        <v>40668</v>
      </c>
      <c r="X12951" t="s">
        <v>44781</v>
      </c>
    </row>
    <row r="12952" spans="1:24">
      <c r="A12952">
        <f>HYPERLINK("https://www.philgeps.gov.ph/GEPSNONPILOT/Tender/SplashBidNoticeAbstractUI.aspx?menuIndex=3&amp;refID=7093040&amp;Result=3","7093040")</f>
        <v>0</v>
      </c>
      <c r="B12952" t="s">
        <v>3577</v>
      </c>
      <c r="C12952" t="s">
        <v>16094</v>
      </c>
      <c r="D12952" t="s">
        <v>17988</v>
      </c>
      <c r="E12952" t="s">
        <v>29236</v>
      </c>
      <c r="F12952" t="s">
        <v>30900</v>
      </c>
      <c r="G12952" t="s">
        <v>30907</v>
      </c>
      <c r="H12952" t="s">
        <v>30916</v>
      </c>
      <c r="I12952" t="s">
        <v>5501</v>
      </c>
      <c r="J12952" t="s">
        <v>39114</v>
      </c>
      <c r="K12952" t="s">
        <v>40293</v>
      </c>
      <c r="M12952" t="s">
        <v>44502</v>
      </c>
      <c r="N12952" t="s">
        <v>44759</v>
      </c>
      <c r="O12952" t="s">
        <v>44760</v>
      </c>
      <c r="P12952">
        <v>0</v>
      </c>
      <c r="Q12952">
        <v>8</v>
      </c>
      <c r="R12952" t="s">
        <v>44779</v>
      </c>
      <c r="S12952" t="s">
        <v>45618</v>
      </c>
      <c r="T12952" t="s">
        <v>46572</v>
      </c>
      <c r="U12952" t="s">
        <v>57566</v>
      </c>
      <c r="W12952" t="s">
        <v>44502</v>
      </c>
      <c r="X12952" t="s">
        <v>44790</v>
      </c>
    </row>
    <row r="12953" spans="1:24">
      <c r="A12953">
        <f>HYPERLINK("https://www.philgeps.gov.ph/GEPSNONPILOT/Tender/SplashBidNoticeAbstractUI.aspx?menuIndex=3&amp;refID=7119671&amp;Result=3","7119671")</f>
        <v>0</v>
      </c>
      <c r="B12953" t="s">
        <v>3578</v>
      </c>
      <c r="C12953" t="s">
        <v>16095</v>
      </c>
      <c r="E12953" t="s">
        <v>29237</v>
      </c>
      <c r="F12953" t="s">
        <v>30900</v>
      </c>
      <c r="G12953" t="s">
        <v>30907</v>
      </c>
      <c r="H12953" t="s">
        <v>30916</v>
      </c>
      <c r="I12953" t="s">
        <v>30944</v>
      </c>
      <c r="J12953" t="s">
        <v>32324</v>
      </c>
      <c r="K12953" t="s">
        <v>40286</v>
      </c>
      <c r="M12953" t="s">
        <v>44503</v>
      </c>
      <c r="N12953" t="s">
        <v>44759</v>
      </c>
      <c r="O12953" t="s">
        <v>44760</v>
      </c>
      <c r="Q12953">
        <v>4</v>
      </c>
      <c r="R12953" t="s">
        <v>44778</v>
      </c>
      <c r="S12953" t="s">
        <v>45619</v>
      </c>
      <c r="T12953" t="s">
        <v>46429</v>
      </c>
      <c r="U12953" t="s">
        <v>57567</v>
      </c>
      <c r="W12953" t="s">
        <v>44503</v>
      </c>
      <c r="X12953" t="s">
        <v>44779</v>
      </c>
    </row>
    <row r="12954" spans="1:24">
      <c r="A12954">
        <f>HYPERLINK("https://www.philgeps.gov.ph/GEPSNONPILOT/Tender/SplashBidNoticeAbstractUI.aspx?menuIndex=3&amp;refID=7119287&amp;Result=3","7119287")</f>
        <v>0</v>
      </c>
      <c r="B12954" t="s">
        <v>79</v>
      </c>
      <c r="C12954" t="s">
        <v>16096</v>
      </c>
      <c r="D12954" t="s">
        <v>17988</v>
      </c>
      <c r="E12954" t="s">
        <v>20255</v>
      </c>
      <c r="F12954" t="s">
        <v>30900</v>
      </c>
      <c r="G12954" t="s">
        <v>30907</v>
      </c>
      <c r="H12954" t="s">
        <v>30916</v>
      </c>
      <c r="I12954" t="s">
        <v>5501</v>
      </c>
      <c r="J12954" t="s">
        <v>39115</v>
      </c>
      <c r="K12954" t="s">
        <v>40287</v>
      </c>
      <c r="M12954" t="s">
        <v>40626</v>
      </c>
      <c r="N12954" t="s">
        <v>44759</v>
      </c>
      <c r="O12954" t="s">
        <v>44760</v>
      </c>
      <c r="P12954">
        <v>0</v>
      </c>
      <c r="Q12954">
        <v>6</v>
      </c>
      <c r="R12954" t="s">
        <v>44778</v>
      </c>
      <c r="S12954" t="s">
        <v>45611</v>
      </c>
      <c r="T12954" t="s">
        <v>46919</v>
      </c>
      <c r="U12954" t="s">
        <v>57568</v>
      </c>
      <c r="V12954" t="s">
        <v>60582</v>
      </c>
      <c r="W12954" t="s">
        <v>40626</v>
      </c>
      <c r="X12954" t="s">
        <v>44779</v>
      </c>
    </row>
    <row r="12955" spans="1:24">
      <c r="A12955">
        <f>HYPERLINK("https://www.philgeps.gov.ph/GEPSNONPILOT/Tender/SplashBidNoticeAbstractUI.aspx?menuIndex=3&amp;refID=7119670&amp;Result=3","7119670")</f>
        <v>0</v>
      </c>
      <c r="B12955" t="s">
        <v>3578</v>
      </c>
      <c r="C12955" t="s">
        <v>16097</v>
      </c>
      <c r="E12955" t="s">
        <v>29238</v>
      </c>
      <c r="F12955" t="s">
        <v>30900</v>
      </c>
      <c r="G12955" t="s">
        <v>30907</v>
      </c>
      <c r="H12955" t="s">
        <v>30915</v>
      </c>
      <c r="I12955" t="s">
        <v>30919</v>
      </c>
      <c r="J12955" t="s">
        <v>39116</v>
      </c>
      <c r="K12955" t="s">
        <v>40342</v>
      </c>
      <c r="M12955" t="s">
        <v>44503</v>
      </c>
      <c r="N12955" t="s">
        <v>44759</v>
      </c>
      <c r="O12955" t="s">
        <v>44760</v>
      </c>
      <c r="Q12955">
        <v>8</v>
      </c>
      <c r="R12955" t="s">
        <v>44778</v>
      </c>
      <c r="S12955" t="s">
        <v>45620</v>
      </c>
      <c r="T12955" t="s">
        <v>46550</v>
      </c>
      <c r="U12955" t="s">
        <v>57569</v>
      </c>
      <c r="W12955" t="s">
        <v>44503</v>
      </c>
      <c r="X12955" t="s">
        <v>44779</v>
      </c>
    </row>
    <row r="12956" spans="1:24">
      <c r="A12956">
        <f>HYPERLINK("https://www.philgeps.gov.ph/GEPSNONPILOT/Tender/SplashBidNoticeAbstractUI.aspx?menuIndex=3&amp;refID=7119664&amp;Result=3","7119664")</f>
        <v>0</v>
      </c>
      <c r="B12956" t="s">
        <v>3579</v>
      </c>
      <c r="C12956" t="s">
        <v>16098</v>
      </c>
      <c r="D12956" t="s">
        <v>18016</v>
      </c>
      <c r="E12956" t="s">
        <v>29239</v>
      </c>
      <c r="F12956" t="s">
        <v>30900</v>
      </c>
      <c r="G12956" t="s">
        <v>30907</v>
      </c>
      <c r="H12956" t="s">
        <v>30916</v>
      </c>
      <c r="I12956" t="s">
        <v>30922</v>
      </c>
      <c r="J12956" t="s">
        <v>39117</v>
      </c>
      <c r="K12956" t="s">
        <v>40289</v>
      </c>
      <c r="M12956" t="s">
        <v>44504</v>
      </c>
      <c r="N12956" t="s">
        <v>44759</v>
      </c>
      <c r="O12956" t="s">
        <v>44760</v>
      </c>
      <c r="Q12956">
        <v>13</v>
      </c>
      <c r="R12956" t="s">
        <v>44778</v>
      </c>
      <c r="S12956" t="s">
        <v>45621</v>
      </c>
      <c r="T12956" t="s">
        <v>46387</v>
      </c>
      <c r="U12956" t="s">
        <v>57570</v>
      </c>
      <c r="W12956" t="s">
        <v>44504</v>
      </c>
      <c r="X12956" t="s">
        <v>44779</v>
      </c>
    </row>
    <row r="12957" spans="1:24">
      <c r="A12957">
        <f>HYPERLINK("https://www.philgeps.gov.ph/GEPSNONPILOT/Tender/SplashBidNoticeAbstractUI.aspx?menuIndex=3&amp;refID=7119661&amp;Result=3","7119661")</f>
        <v>0</v>
      </c>
      <c r="B12957" t="s">
        <v>3579</v>
      </c>
      <c r="C12957" t="s">
        <v>16099</v>
      </c>
      <c r="D12957" t="s">
        <v>18016</v>
      </c>
      <c r="E12957" t="s">
        <v>29240</v>
      </c>
      <c r="F12957" t="s">
        <v>30900</v>
      </c>
      <c r="G12957" t="s">
        <v>30907</v>
      </c>
      <c r="H12957" t="s">
        <v>30916</v>
      </c>
      <c r="I12957" t="s">
        <v>30922</v>
      </c>
      <c r="J12957" t="s">
        <v>31577</v>
      </c>
      <c r="K12957" t="s">
        <v>40289</v>
      </c>
      <c r="M12957" t="s">
        <v>44504</v>
      </c>
      <c r="N12957" t="s">
        <v>44759</v>
      </c>
      <c r="O12957" t="s">
        <v>44760</v>
      </c>
      <c r="Q12957">
        <v>5</v>
      </c>
      <c r="R12957" t="s">
        <v>44778</v>
      </c>
      <c r="S12957" t="s">
        <v>45622</v>
      </c>
      <c r="T12957" t="s">
        <v>46351</v>
      </c>
      <c r="U12957" t="s">
        <v>57571</v>
      </c>
      <c r="W12957" t="s">
        <v>44504</v>
      </c>
      <c r="X12957" t="s">
        <v>44779</v>
      </c>
    </row>
    <row r="12958" spans="1:24">
      <c r="A12958">
        <f>HYPERLINK("https://www.philgeps.gov.ph/GEPSNONPILOT/Tender/SplashBidNoticeAbstractUI.aspx?menuIndex=3&amp;refID=7119674&amp;Result=3","7119674")</f>
        <v>0</v>
      </c>
      <c r="B12958" t="s">
        <v>3578</v>
      </c>
      <c r="C12958" t="s">
        <v>16100</v>
      </c>
      <c r="E12958" t="s">
        <v>29241</v>
      </c>
      <c r="F12958" t="s">
        <v>30900</v>
      </c>
      <c r="G12958" t="s">
        <v>30907</v>
      </c>
      <c r="H12958" t="s">
        <v>30916</v>
      </c>
      <c r="I12958" t="s">
        <v>30944</v>
      </c>
      <c r="J12958" t="s">
        <v>39118</v>
      </c>
      <c r="K12958" t="s">
        <v>40292</v>
      </c>
      <c r="M12958" t="s">
        <v>44503</v>
      </c>
      <c r="N12958" t="s">
        <v>44759</v>
      </c>
      <c r="O12958" t="s">
        <v>44760</v>
      </c>
      <c r="Q12958">
        <v>9</v>
      </c>
      <c r="R12958" t="s">
        <v>44778</v>
      </c>
      <c r="S12958" t="s">
        <v>45623</v>
      </c>
      <c r="T12958" t="s">
        <v>46411</v>
      </c>
      <c r="U12958" t="s">
        <v>57572</v>
      </c>
      <c r="W12958" t="s">
        <v>44503</v>
      </c>
      <c r="X12958" t="s">
        <v>44779</v>
      </c>
    </row>
    <row r="12959" spans="1:24">
      <c r="A12959">
        <f>HYPERLINK("https://www.philgeps.gov.ph/GEPSNONPILOT/Tender/SplashBidNoticeAbstractUI.aspx?menuIndex=3&amp;refID=7119639&amp;Result=3","7119639")</f>
        <v>0</v>
      </c>
      <c r="B12959" t="s">
        <v>2132</v>
      </c>
      <c r="C12959" t="s">
        <v>16101</v>
      </c>
      <c r="D12959" t="s">
        <v>18033</v>
      </c>
      <c r="E12959" t="s">
        <v>29242</v>
      </c>
      <c r="F12959" t="s">
        <v>30900</v>
      </c>
      <c r="G12959" t="s">
        <v>30907</v>
      </c>
      <c r="H12959" t="s">
        <v>30915</v>
      </c>
      <c r="I12959" t="s">
        <v>30919</v>
      </c>
      <c r="J12959" t="s">
        <v>39119</v>
      </c>
      <c r="K12959" t="s">
        <v>40292</v>
      </c>
      <c r="M12959" t="s">
        <v>42834</v>
      </c>
      <c r="N12959" t="s">
        <v>44759</v>
      </c>
      <c r="O12959" t="s">
        <v>44760</v>
      </c>
      <c r="Q12959">
        <v>0</v>
      </c>
      <c r="R12959" t="s">
        <v>44778</v>
      </c>
      <c r="S12959" t="s">
        <v>45624</v>
      </c>
      <c r="T12959" t="s">
        <v>46412</v>
      </c>
      <c r="U12959" t="s">
        <v>57573</v>
      </c>
      <c r="W12959" t="s">
        <v>42834</v>
      </c>
      <c r="X12959" t="s">
        <v>44779</v>
      </c>
    </row>
    <row r="12960" spans="1:24">
      <c r="A12960">
        <f>HYPERLINK("https://www.philgeps.gov.ph/GEPSNONPILOT/Tender/SplashBidNoticeAbstractUI.aspx?menuIndex=3&amp;refID=7119630&amp;Result=3","7119630")</f>
        <v>0</v>
      </c>
      <c r="B12960" t="s">
        <v>1775</v>
      </c>
      <c r="C12960" t="s">
        <v>16102</v>
      </c>
      <c r="D12960" t="s">
        <v>18032</v>
      </c>
      <c r="E12960" t="s">
        <v>29243</v>
      </c>
      <c r="F12960" t="s">
        <v>30900</v>
      </c>
      <c r="G12960" t="s">
        <v>30907</v>
      </c>
      <c r="H12960" t="s">
        <v>30915</v>
      </c>
      <c r="I12960" t="s">
        <v>30919</v>
      </c>
      <c r="J12960" t="s">
        <v>31391</v>
      </c>
      <c r="K12960" t="s">
        <v>40280</v>
      </c>
      <c r="M12960" t="s">
        <v>42448</v>
      </c>
      <c r="N12960" t="s">
        <v>44759</v>
      </c>
      <c r="O12960" t="s">
        <v>44760</v>
      </c>
      <c r="P12960">
        <v>0</v>
      </c>
      <c r="Q12960">
        <v>0</v>
      </c>
      <c r="R12960" t="s">
        <v>44778</v>
      </c>
      <c r="S12960" t="s">
        <v>45611</v>
      </c>
      <c r="T12960" t="s">
        <v>46533</v>
      </c>
      <c r="U12960" t="s">
        <v>51267</v>
      </c>
      <c r="W12960" t="s">
        <v>42448</v>
      </c>
      <c r="X12960" t="s">
        <v>44779</v>
      </c>
    </row>
    <row r="12961" spans="1:24">
      <c r="A12961">
        <f>HYPERLINK("https://www.philgeps.gov.ph/GEPSNONPILOT/Tender/SplashBidNoticeAbstractUI.aspx?menuIndex=3&amp;refID=7119606&amp;Result=3","7119606")</f>
        <v>0</v>
      </c>
      <c r="B12961" t="s">
        <v>1930</v>
      </c>
      <c r="C12961" t="s">
        <v>16103</v>
      </c>
      <c r="D12961" t="s">
        <v>17969</v>
      </c>
      <c r="E12961" t="s">
        <v>29244</v>
      </c>
      <c r="F12961" t="s">
        <v>30900</v>
      </c>
      <c r="G12961" t="s">
        <v>30907</v>
      </c>
      <c r="H12961" t="s">
        <v>30915</v>
      </c>
      <c r="I12961" t="s">
        <v>30919</v>
      </c>
      <c r="J12961" t="s">
        <v>39120</v>
      </c>
      <c r="K12961" t="s">
        <v>40428</v>
      </c>
      <c r="M12961" t="s">
        <v>42611</v>
      </c>
      <c r="N12961" t="s">
        <v>44759</v>
      </c>
      <c r="O12961" t="s">
        <v>44760</v>
      </c>
      <c r="P12961">
        <v>0</v>
      </c>
      <c r="Q12961">
        <v>5</v>
      </c>
      <c r="R12961" t="s">
        <v>44778</v>
      </c>
      <c r="S12961" t="s">
        <v>45611</v>
      </c>
      <c r="T12961" t="s">
        <v>46548</v>
      </c>
      <c r="U12961" t="s">
        <v>57574</v>
      </c>
      <c r="W12961" t="s">
        <v>42611</v>
      </c>
      <c r="X12961" t="s">
        <v>44779</v>
      </c>
    </row>
    <row r="12962" spans="1:24">
      <c r="A12962">
        <f>HYPERLINK("https://www.philgeps.gov.ph/GEPSNONPILOT/Tender/SplashBidNoticeAbstractUI.aspx?menuIndex=3&amp;refID=7119599&amp;Result=3","7119599")</f>
        <v>0</v>
      </c>
      <c r="B12962" t="s">
        <v>1930</v>
      </c>
      <c r="C12962" t="s">
        <v>16104</v>
      </c>
      <c r="D12962" t="s">
        <v>17969</v>
      </c>
      <c r="E12962" t="s">
        <v>29245</v>
      </c>
      <c r="F12962" t="s">
        <v>30900</v>
      </c>
      <c r="G12962" t="s">
        <v>30907</v>
      </c>
      <c r="H12962" t="s">
        <v>30915</v>
      </c>
      <c r="I12962" t="s">
        <v>30919</v>
      </c>
      <c r="J12962" t="s">
        <v>39121</v>
      </c>
      <c r="K12962" t="s">
        <v>40416</v>
      </c>
      <c r="M12962" t="s">
        <v>42611</v>
      </c>
      <c r="N12962" t="s">
        <v>44759</v>
      </c>
      <c r="O12962" t="s">
        <v>44760</v>
      </c>
      <c r="P12962">
        <v>0</v>
      </c>
      <c r="Q12962">
        <v>3</v>
      </c>
      <c r="R12962" t="s">
        <v>44778</v>
      </c>
      <c r="S12962" t="s">
        <v>45611</v>
      </c>
      <c r="T12962" t="s">
        <v>46548</v>
      </c>
      <c r="U12962" t="s">
        <v>57575</v>
      </c>
      <c r="V12962" t="s">
        <v>59742</v>
      </c>
      <c r="W12962" t="s">
        <v>42611</v>
      </c>
      <c r="X12962" t="s">
        <v>44779</v>
      </c>
    </row>
    <row r="12963" spans="1:24">
      <c r="A12963">
        <f>HYPERLINK("https://www.philgeps.gov.ph/GEPSNONPILOT/Tender/SplashBidNoticeAbstractUI.aspx?menuIndex=3&amp;refID=7119504&amp;Result=3","7119504")</f>
        <v>0</v>
      </c>
      <c r="B12963" t="s">
        <v>3570</v>
      </c>
      <c r="C12963" t="s">
        <v>16084</v>
      </c>
      <c r="D12963" t="s">
        <v>17953</v>
      </c>
      <c r="E12963" t="s">
        <v>29246</v>
      </c>
      <c r="F12963" t="s">
        <v>30900</v>
      </c>
      <c r="G12963" t="s">
        <v>30907</v>
      </c>
      <c r="H12963" t="s">
        <v>30916</v>
      </c>
      <c r="I12963" t="s">
        <v>4142</v>
      </c>
      <c r="J12963" t="s">
        <v>39122</v>
      </c>
      <c r="K12963" t="s">
        <v>40281</v>
      </c>
      <c r="M12963" t="s">
        <v>44495</v>
      </c>
      <c r="N12963" t="s">
        <v>44759</v>
      </c>
      <c r="O12963" t="s">
        <v>44760</v>
      </c>
      <c r="P12963">
        <v>0</v>
      </c>
      <c r="Q12963">
        <v>1</v>
      </c>
      <c r="R12963" t="s">
        <v>44778</v>
      </c>
      <c r="S12963" t="s">
        <v>45611</v>
      </c>
      <c r="T12963" t="s">
        <v>46379</v>
      </c>
      <c r="U12963" t="s">
        <v>57548</v>
      </c>
      <c r="W12963" t="s">
        <v>44495</v>
      </c>
      <c r="X12963" t="s">
        <v>44779</v>
      </c>
    </row>
    <row r="12964" spans="1:24">
      <c r="A12964">
        <f>HYPERLINK("https://www.philgeps.gov.ph/GEPSNONPILOT/Tender/SplashBidNoticeAbstractUI.aspx?menuIndex=3&amp;refID=7119369&amp;Result=3","7119369")</f>
        <v>0</v>
      </c>
      <c r="B12964" t="s">
        <v>3573</v>
      </c>
      <c r="C12964" t="s">
        <v>16105</v>
      </c>
      <c r="D12964" t="s">
        <v>17973</v>
      </c>
      <c r="E12964" t="s">
        <v>29247</v>
      </c>
      <c r="F12964" t="s">
        <v>30900</v>
      </c>
      <c r="G12964" t="s">
        <v>30907</v>
      </c>
      <c r="H12964" t="s">
        <v>30915</v>
      </c>
      <c r="I12964" t="s">
        <v>30919</v>
      </c>
      <c r="J12964" t="s">
        <v>31070</v>
      </c>
      <c r="K12964" t="s">
        <v>40293</v>
      </c>
      <c r="M12964" t="s">
        <v>44498</v>
      </c>
      <c r="N12964" t="s">
        <v>44759</v>
      </c>
      <c r="O12964" t="s">
        <v>44760</v>
      </c>
      <c r="P12964">
        <v>0</v>
      </c>
      <c r="Q12964">
        <v>0</v>
      </c>
      <c r="R12964" t="s">
        <v>44778</v>
      </c>
      <c r="S12964" t="s">
        <v>45611</v>
      </c>
      <c r="T12964" t="s">
        <v>46399</v>
      </c>
      <c r="U12964" t="s">
        <v>57576</v>
      </c>
      <c r="V12964" t="s">
        <v>59637</v>
      </c>
      <c r="W12964" t="s">
        <v>44498</v>
      </c>
      <c r="X12964" t="s">
        <v>44779</v>
      </c>
    </row>
    <row r="12965" spans="1:24">
      <c r="A12965">
        <f>HYPERLINK("https://www.philgeps.gov.ph/GEPSNONPILOT/Tender/SplashBidNoticeAbstractUI.aspx?menuIndex=3&amp;refID=7119660&amp;Result=3","7119660")</f>
        <v>0</v>
      </c>
      <c r="B12965" t="s">
        <v>3579</v>
      </c>
      <c r="C12965" t="s">
        <v>16106</v>
      </c>
      <c r="D12965" t="s">
        <v>18016</v>
      </c>
      <c r="E12965" t="s">
        <v>29248</v>
      </c>
      <c r="F12965" t="s">
        <v>30900</v>
      </c>
      <c r="G12965" t="s">
        <v>30907</v>
      </c>
      <c r="H12965" t="s">
        <v>30915</v>
      </c>
      <c r="I12965" t="s">
        <v>30972</v>
      </c>
      <c r="J12965" t="s">
        <v>39123</v>
      </c>
      <c r="K12965" t="s">
        <v>40289</v>
      </c>
      <c r="M12965" t="s">
        <v>44504</v>
      </c>
      <c r="N12965" t="s">
        <v>44759</v>
      </c>
      <c r="O12965" t="s">
        <v>44760</v>
      </c>
      <c r="P12965">
        <v>0</v>
      </c>
      <c r="Q12965">
        <v>1</v>
      </c>
      <c r="R12965" t="s">
        <v>44778</v>
      </c>
      <c r="S12965" t="s">
        <v>45611</v>
      </c>
      <c r="T12965" t="s">
        <v>46487</v>
      </c>
      <c r="U12965" t="s">
        <v>57577</v>
      </c>
      <c r="W12965" t="s">
        <v>44504</v>
      </c>
      <c r="X12965" t="s">
        <v>44779</v>
      </c>
    </row>
    <row r="12966" spans="1:24">
      <c r="A12966">
        <f>HYPERLINK("https://www.philgeps.gov.ph/GEPSNONPILOT/Tender/SplashBidNoticeAbstractUI.aspx?menuIndex=3&amp;refID=7119657&amp;Result=3","7119657")</f>
        <v>0</v>
      </c>
      <c r="B12966" t="s">
        <v>3579</v>
      </c>
      <c r="C12966" t="s">
        <v>16107</v>
      </c>
      <c r="D12966" t="s">
        <v>18016</v>
      </c>
      <c r="E12966" t="s">
        <v>29249</v>
      </c>
      <c r="F12966" t="s">
        <v>30900</v>
      </c>
      <c r="G12966" t="s">
        <v>30907</v>
      </c>
      <c r="H12966" t="s">
        <v>30915</v>
      </c>
      <c r="I12966" t="s">
        <v>30972</v>
      </c>
      <c r="J12966" t="s">
        <v>39124</v>
      </c>
      <c r="K12966" t="s">
        <v>40280</v>
      </c>
      <c r="M12966" t="s">
        <v>44504</v>
      </c>
      <c r="N12966" t="s">
        <v>44759</v>
      </c>
      <c r="O12966" t="s">
        <v>44760</v>
      </c>
      <c r="P12966">
        <v>0</v>
      </c>
      <c r="Q12966">
        <v>4</v>
      </c>
      <c r="R12966" t="s">
        <v>44778</v>
      </c>
      <c r="S12966" t="s">
        <v>45611</v>
      </c>
      <c r="T12966" t="s">
        <v>46694</v>
      </c>
      <c r="U12966" t="s">
        <v>57578</v>
      </c>
      <c r="W12966" t="s">
        <v>44504</v>
      </c>
      <c r="X12966" t="s">
        <v>44779</v>
      </c>
    </row>
    <row r="12967" spans="1:24">
      <c r="A12967">
        <f>HYPERLINK("https://www.philgeps.gov.ph/GEPSNONPILOT/Tender/SplashBidNoticeAbstractUI.aspx?menuIndex=3&amp;refID=7119498&amp;Result=3","7119498")</f>
        <v>0</v>
      </c>
      <c r="B12967" t="s">
        <v>3570</v>
      </c>
      <c r="C12967" t="s">
        <v>16108</v>
      </c>
      <c r="D12967" t="s">
        <v>17953</v>
      </c>
      <c r="E12967" t="s">
        <v>29250</v>
      </c>
      <c r="F12967" t="s">
        <v>30900</v>
      </c>
      <c r="G12967" t="s">
        <v>30907</v>
      </c>
      <c r="H12967" t="s">
        <v>30916</v>
      </c>
      <c r="I12967" t="s">
        <v>5830</v>
      </c>
      <c r="J12967" t="s">
        <v>39125</v>
      </c>
      <c r="K12967" t="s">
        <v>40281</v>
      </c>
      <c r="M12967" t="s">
        <v>44495</v>
      </c>
      <c r="N12967" t="s">
        <v>44759</v>
      </c>
      <c r="O12967" t="s">
        <v>44760</v>
      </c>
      <c r="P12967">
        <v>0</v>
      </c>
      <c r="Q12967">
        <v>1</v>
      </c>
      <c r="R12967" t="s">
        <v>44778</v>
      </c>
      <c r="S12967" t="s">
        <v>45611</v>
      </c>
      <c r="T12967" t="s">
        <v>46379</v>
      </c>
      <c r="U12967" t="s">
        <v>57548</v>
      </c>
      <c r="W12967" t="s">
        <v>44495</v>
      </c>
      <c r="X12967" t="s">
        <v>44779</v>
      </c>
    </row>
    <row r="12968" spans="1:24">
      <c r="A12968">
        <f>HYPERLINK("https://www.philgeps.gov.ph/GEPSNONPILOT/Tender/SplashBidNoticeAbstractUI.aspx?menuIndex=3&amp;refID=7120050&amp;Result=3","7120050")</f>
        <v>0</v>
      </c>
      <c r="B12968" t="s">
        <v>1251</v>
      </c>
      <c r="C12968" t="s">
        <v>16109</v>
      </c>
      <c r="D12968" t="s">
        <v>17963</v>
      </c>
      <c r="E12968" t="s">
        <v>29251</v>
      </c>
      <c r="F12968" t="s">
        <v>30900</v>
      </c>
      <c r="G12968" t="s">
        <v>30907</v>
      </c>
      <c r="H12968" t="s">
        <v>30915</v>
      </c>
      <c r="I12968" t="s">
        <v>30919</v>
      </c>
      <c r="J12968" t="s">
        <v>39126</v>
      </c>
      <c r="K12968" t="s">
        <v>40425</v>
      </c>
      <c r="M12968" t="s">
        <v>41863</v>
      </c>
      <c r="N12968" t="s">
        <v>44759</v>
      </c>
      <c r="O12968" t="s">
        <v>44760</v>
      </c>
      <c r="Q12968">
        <v>23</v>
      </c>
      <c r="R12968" t="s">
        <v>44777</v>
      </c>
      <c r="S12968" t="s">
        <v>45625</v>
      </c>
      <c r="T12968" t="s">
        <v>46508</v>
      </c>
      <c r="U12968" t="s">
        <v>57579</v>
      </c>
      <c r="W12968" t="s">
        <v>41863</v>
      </c>
      <c r="X12968" t="s">
        <v>44778</v>
      </c>
    </row>
    <row r="12969" spans="1:24">
      <c r="A12969">
        <f>HYPERLINK("https://www.philgeps.gov.ph/GEPSNONPILOT/Tender/SplashBidNoticeAbstractUI.aspx?menuIndex=3&amp;refID=7120038&amp;Result=3","7120038")</f>
        <v>0</v>
      </c>
      <c r="B12969" t="s">
        <v>3565</v>
      </c>
      <c r="C12969" t="s">
        <v>16110</v>
      </c>
      <c r="D12969" t="s">
        <v>17954</v>
      </c>
      <c r="E12969" t="s">
        <v>19755</v>
      </c>
      <c r="F12969" t="s">
        <v>30900</v>
      </c>
      <c r="G12969" t="s">
        <v>30907</v>
      </c>
      <c r="H12969" t="s">
        <v>30915</v>
      </c>
      <c r="I12969" t="s">
        <v>30919</v>
      </c>
      <c r="J12969" t="s">
        <v>39127</v>
      </c>
      <c r="K12969" t="s">
        <v>40301</v>
      </c>
      <c r="M12969" t="s">
        <v>44489</v>
      </c>
      <c r="N12969" t="s">
        <v>44759</v>
      </c>
      <c r="O12969" t="s">
        <v>44760</v>
      </c>
      <c r="P12969">
        <v>0</v>
      </c>
      <c r="Q12969">
        <v>3</v>
      </c>
      <c r="R12969" t="s">
        <v>44777</v>
      </c>
      <c r="S12969" t="s">
        <v>45524</v>
      </c>
      <c r="T12969" t="s">
        <v>46427</v>
      </c>
      <c r="U12969" t="s">
        <v>57580</v>
      </c>
      <c r="W12969" t="s">
        <v>44489</v>
      </c>
      <c r="X12969" t="s">
        <v>44778</v>
      </c>
    </row>
    <row r="12970" spans="1:24">
      <c r="A12970">
        <f>HYPERLINK("https://www.philgeps.gov.ph/GEPSNONPILOT/Tender/SplashBidNoticeAbstractUI.aspx?menuIndex=3&amp;refID=7119439&amp;Result=3","7119439")</f>
        <v>0</v>
      </c>
      <c r="B12970" t="s">
        <v>1461</v>
      </c>
      <c r="C12970" t="s">
        <v>16111</v>
      </c>
      <c r="D12970" t="s">
        <v>17976</v>
      </c>
      <c r="E12970" t="s">
        <v>29252</v>
      </c>
      <c r="F12970" t="s">
        <v>30900</v>
      </c>
      <c r="G12970" t="s">
        <v>30907</v>
      </c>
      <c r="H12970" t="s">
        <v>30915</v>
      </c>
      <c r="I12970" t="s">
        <v>30919</v>
      </c>
      <c r="J12970" t="s">
        <v>31391</v>
      </c>
      <c r="K12970" t="s">
        <v>40280</v>
      </c>
      <c r="M12970" t="s">
        <v>42093</v>
      </c>
      <c r="N12970" t="s">
        <v>44759</v>
      </c>
      <c r="O12970" t="s">
        <v>44760</v>
      </c>
      <c r="P12970">
        <v>0</v>
      </c>
      <c r="Q12970">
        <v>0</v>
      </c>
      <c r="R12970" t="s">
        <v>44778</v>
      </c>
      <c r="S12970" t="s">
        <v>45611</v>
      </c>
      <c r="T12970" t="s">
        <v>46920</v>
      </c>
      <c r="U12970" t="s">
        <v>57581</v>
      </c>
      <c r="W12970" t="s">
        <v>42093</v>
      </c>
      <c r="X12970" t="s">
        <v>44779</v>
      </c>
    </row>
    <row r="12971" spans="1:24">
      <c r="A12971">
        <f>HYPERLINK("https://www.philgeps.gov.ph/GEPSNONPILOT/Tender/SplashBidNoticeAbstractUI.aspx?menuIndex=3&amp;refID=7119743&amp;Result=3","7119743")</f>
        <v>0</v>
      </c>
      <c r="B12971" t="s">
        <v>3257</v>
      </c>
      <c r="C12971" t="s">
        <v>13985</v>
      </c>
      <c r="D12971" t="s">
        <v>17980</v>
      </c>
      <c r="E12971" t="s">
        <v>29253</v>
      </c>
      <c r="F12971" t="s">
        <v>30900</v>
      </c>
      <c r="G12971" t="s">
        <v>30907</v>
      </c>
      <c r="H12971" t="s">
        <v>30916</v>
      </c>
      <c r="I12971" t="s">
        <v>4142</v>
      </c>
      <c r="J12971" t="s">
        <v>37742</v>
      </c>
      <c r="K12971" t="s">
        <v>40284</v>
      </c>
      <c r="M12971" t="s">
        <v>44102</v>
      </c>
      <c r="N12971" t="s">
        <v>44759</v>
      </c>
      <c r="O12971" t="s">
        <v>44760</v>
      </c>
      <c r="P12971">
        <v>0</v>
      </c>
      <c r="Q12971">
        <v>1</v>
      </c>
      <c r="R12971" t="s">
        <v>44777</v>
      </c>
      <c r="S12971" t="s">
        <v>45524</v>
      </c>
      <c r="T12971" t="s">
        <v>46694</v>
      </c>
      <c r="U12971" t="s">
        <v>55832</v>
      </c>
      <c r="W12971" t="s">
        <v>44102</v>
      </c>
      <c r="X12971" t="s">
        <v>44778</v>
      </c>
    </row>
    <row r="12972" spans="1:24">
      <c r="A12972">
        <f>HYPERLINK("https://www.philgeps.gov.ph/GEPSNONPILOT/Tender/SplashBidNoticeAbstractUI.aspx?menuIndex=3&amp;refID=7119726&amp;Result=3","7119726")</f>
        <v>0</v>
      </c>
      <c r="B12972" t="s">
        <v>3560</v>
      </c>
      <c r="C12972" t="s">
        <v>16112</v>
      </c>
      <c r="D12972" t="s">
        <v>17977</v>
      </c>
      <c r="E12972" t="s">
        <v>29254</v>
      </c>
      <c r="F12972" t="s">
        <v>30900</v>
      </c>
      <c r="G12972" t="s">
        <v>30907</v>
      </c>
      <c r="H12972" t="s">
        <v>30916</v>
      </c>
      <c r="I12972" t="s">
        <v>30949</v>
      </c>
      <c r="J12972" t="s">
        <v>39128</v>
      </c>
      <c r="K12972" t="s">
        <v>40284</v>
      </c>
      <c r="M12972" t="s">
        <v>44482</v>
      </c>
      <c r="N12972" t="s">
        <v>44759</v>
      </c>
      <c r="O12972" t="s">
        <v>44760</v>
      </c>
      <c r="P12972">
        <v>0</v>
      </c>
      <c r="Q12972">
        <v>5</v>
      </c>
      <c r="R12972" t="s">
        <v>44777</v>
      </c>
      <c r="S12972" t="s">
        <v>45524</v>
      </c>
      <c r="T12972" t="s">
        <v>46418</v>
      </c>
      <c r="U12972" t="s">
        <v>57582</v>
      </c>
      <c r="W12972" t="s">
        <v>44482</v>
      </c>
      <c r="X12972" t="s">
        <v>44778</v>
      </c>
    </row>
    <row r="12973" spans="1:24">
      <c r="A12973">
        <f>HYPERLINK("https://www.philgeps.gov.ph/GEPSNONPILOT/Tender/SplashBidNoticeAbstractUI.aspx?menuIndex=3&amp;refID=7119723&amp;Result=3","7119723")</f>
        <v>0</v>
      </c>
      <c r="B12973" t="s">
        <v>3560</v>
      </c>
      <c r="C12973" t="s">
        <v>16113</v>
      </c>
      <c r="D12973" t="s">
        <v>17977</v>
      </c>
      <c r="E12973" t="s">
        <v>29255</v>
      </c>
      <c r="F12973" t="s">
        <v>30900</v>
      </c>
      <c r="G12973" t="s">
        <v>30907</v>
      </c>
      <c r="H12973" t="s">
        <v>30915</v>
      </c>
      <c r="I12973" t="s">
        <v>30919</v>
      </c>
      <c r="J12973" t="s">
        <v>39129</v>
      </c>
      <c r="K12973" t="s">
        <v>40280</v>
      </c>
      <c r="M12973" t="s">
        <v>44482</v>
      </c>
      <c r="N12973" t="s">
        <v>44759</v>
      </c>
      <c r="O12973" t="s">
        <v>44760</v>
      </c>
      <c r="P12973">
        <v>0</v>
      </c>
      <c r="Q12973">
        <v>0</v>
      </c>
      <c r="R12973" t="s">
        <v>44777</v>
      </c>
      <c r="S12973" t="s">
        <v>45524</v>
      </c>
      <c r="T12973" t="s">
        <v>46418</v>
      </c>
      <c r="U12973" t="s">
        <v>57583</v>
      </c>
      <c r="W12973" t="s">
        <v>44482</v>
      </c>
      <c r="X12973" t="s">
        <v>44778</v>
      </c>
    </row>
    <row r="12974" spans="1:24">
      <c r="A12974">
        <f>HYPERLINK("https://www.philgeps.gov.ph/GEPSNONPILOT/Tender/SplashBidNoticeAbstractUI.aspx?menuIndex=3&amp;refID=7119528&amp;Result=3","7119528")</f>
        <v>0</v>
      </c>
      <c r="B12974" t="s">
        <v>3560</v>
      </c>
      <c r="C12974" t="s">
        <v>16114</v>
      </c>
      <c r="D12974" t="s">
        <v>17977</v>
      </c>
      <c r="E12974" t="s">
        <v>29256</v>
      </c>
      <c r="F12974" t="s">
        <v>30900</v>
      </c>
      <c r="G12974" t="s">
        <v>30907</v>
      </c>
      <c r="H12974" t="s">
        <v>30915</v>
      </c>
      <c r="I12974" t="s">
        <v>30919</v>
      </c>
      <c r="J12974" t="s">
        <v>39077</v>
      </c>
      <c r="K12974" t="s">
        <v>40284</v>
      </c>
      <c r="M12974" t="s">
        <v>44482</v>
      </c>
      <c r="N12974" t="s">
        <v>44759</v>
      </c>
      <c r="O12974" t="s">
        <v>44760</v>
      </c>
      <c r="P12974">
        <v>0</v>
      </c>
      <c r="Q12974">
        <v>0</v>
      </c>
      <c r="R12974" t="s">
        <v>44777</v>
      </c>
      <c r="S12974" t="s">
        <v>45524</v>
      </c>
      <c r="T12974" t="s">
        <v>46418</v>
      </c>
      <c r="U12974" t="s">
        <v>57584</v>
      </c>
      <c r="W12974" t="s">
        <v>44482</v>
      </c>
      <c r="X12974" t="s">
        <v>44779</v>
      </c>
    </row>
    <row r="12975" spans="1:24">
      <c r="A12975">
        <f>HYPERLINK("https://www.philgeps.gov.ph/GEPSNONPILOT/Tender/SplashBidNoticeAbstractUI.aspx?menuIndex=3&amp;refID=7119521&amp;Result=3","7119521")</f>
        <v>0</v>
      </c>
      <c r="B12975" t="s">
        <v>3580</v>
      </c>
      <c r="C12975" t="s">
        <v>16115</v>
      </c>
      <c r="D12975" t="s">
        <v>17992</v>
      </c>
      <c r="E12975" t="s">
        <v>29257</v>
      </c>
      <c r="F12975" t="s">
        <v>30900</v>
      </c>
      <c r="G12975" t="s">
        <v>30907</v>
      </c>
      <c r="H12975" t="s">
        <v>30916</v>
      </c>
      <c r="I12975" t="s">
        <v>30939</v>
      </c>
      <c r="J12975" t="s">
        <v>39130</v>
      </c>
      <c r="K12975" t="s">
        <v>40286</v>
      </c>
      <c r="M12975" t="s">
        <v>44505</v>
      </c>
      <c r="N12975" t="s">
        <v>44759</v>
      </c>
      <c r="O12975" t="s">
        <v>44760</v>
      </c>
      <c r="Q12975">
        <v>1</v>
      </c>
      <c r="R12975" t="s">
        <v>44777</v>
      </c>
      <c r="S12975" t="s">
        <v>45626</v>
      </c>
      <c r="T12975" t="s">
        <v>46704</v>
      </c>
      <c r="U12975" t="s">
        <v>57585</v>
      </c>
      <c r="W12975" t="s">
        <v>44505</v>
      </c>
      <c r="X12975" t="s">
        <v>44779</v>
      </c>
    </row>
    <row r="12976" spans="1:24">
      <c r="A12976">
        <f>HYPERLINK("https://www.philgeps.gov.ph/GEPSNONPILOT/Tender/SplashBidNoticeAbstractUI.aspx?menuIndex=3&amp;refID=7119719&amp;Result=3","7119719")</f>
        <v>0</v>
      </c>
      <c r="B12976" t="s">
        <v>3560</v>
      </c>
      <c r="C12976" t="s">
        <v>16116</v>
      </c>
      <c r="D12976" t="s">
        <v>17977</v>
      </c>
      <c r="E12976" t="s">
        <v>29258</v>
      </c>
      <c r="F12976" t="s">
        <v>30900</v>
      </c>
      <c r="G12976" t="s">
        <v>30907</v>
      </c>
      <c r="H12976" t="s">
        <v>30915</v>
      </c>
      <c r="I12976" t="s">
        <v>30919</v>
      </c>
      <c r="J12976" t="s">
        <v>39131</v>
      </c>
      <c r="K12976" t="s">
        <v>40280</v>
      </c>
      <c r="M12976" t="s">
        <v>44482</v>
      </c>
      <c r="N12976" t="s">
        <v>44759</v>
      </c>
      <c r="O12976" t="s">
        <v>44760</v>
      </c>
      <c r="P12976">
        <v>0</v>
      </c>
      <c r="Q12976">
        <v>0</v>
      </c>
      <c r="R12976" t="s">
        <v>44777</v>
      </c>
      <c r="S12976" t="s">
        <v>45524</v>
      </c>
      <c r="T12976" t="s">
        <v>46418</v>
      </c>
      <c r="U12976" t="s">
        <v>57586</v>
      </c>
      <c r="W12976" t="s">
        <v>44482</v>
      </c>
      <c r="X12976" t="s">
        <v>44778</v>
      </c>
    </row>
    <row r="12977" spans="1:24">
      <c r="A12977">
        <f>HYPERLINK("https://www.philgeps.gov.ph/GEPSNONPILOT/Tender/SplashBidNoticeAbstractUI.aspx?menuIndex=3&amp;refID=7119519&amp;Result=3","7119519")</f>
        <v>0</v>
      </c>
      <c r="B12977" t="s">
        <v>3564</v>
      </c>
      <c r="C12977" t="s">
        <v>16117</v>
      </c>
      <c r="D12977" t="s">
        <v>17953</v>
      </c>
      <c r="E12977" t="s">
        <v>29259</v>
      </c>
      <c r="F12977" t="s">
        <v>30900</v>
      </c>
      <c r="G12977" t="s">
        <v>30907</v>
      </c>
      <c r="H12977" t="s">
        <v>30916</v>
      </c>
      <c r="I12977" t="s">
        <v>4142</v>
      </c>
      <c r="J12977" t="s">
        <v>32190</v>
      </c>
      <c r="K12977" t="s">
        <v>40281</v>
      </c>
      <c r="M12977" t="s">
        <v>44488</v>
      </c>
      <c r="N12977" t="s">
        <v>44759</v>
      </c>
      <c r="O12977" t="s">
        <v>44760</v>
      </c>
      <c r="P12977">
        <v>0</v>
      </c>
      <c r="Q12977">
        <v>1</v>
      </c>
      <c r="R12977" t="s">
        <v>44777</v>
      </c>
      <c r="S12977" t="s">
        <v>45524</v>
      </c>
      <c r="T12977" t="s">
        <v>46700</v>
      </c>
      <c r="U12977" t="s">
        <v>57587</v>
      </c>
      <c r="W12977" t="s">
        <v>44488</v>
      </c>
      <c r="X12977" t="s">
        <v>44779</v>
      </c>
    </row>
    <row r="12978" spans="1:24">
      <c r="A12978">
        <f>HYPERLINK("https://www.philgeps.gov.ph/GEPSNONPILOT/Tender/SplashBidNoticeAbstractUI.aspx?menuIndex=3&amp;refID=7119718&amp;Result=3","7119718")</f>
        <v>0</v>
      </c>
      <c r="B12978" t="s">
        <v>3560</v>
      </c>
      <c r="C12978" t="s">
        <v>16118</v>
      </c>
      <c r="D12978" t="s">
        <v>17977</v>
      </c>
      <c r="E12978" t="s">
        <v>29260</v>
      </c>
      <c r="F12978" t="s">
        <v>30900</v>
      </c>
      <c r="G12978" t="s">
        <v>30907</v>
      </c>
      <c r="H12978" t="s">
        <v>30915</v>
      </c>
      <c r="I12978" t="s">
        <v>30919</v>
      </c>
      <c r="J12978" t="s">
        <v>39132</v>
      </c>
      <c r="K12978" t="s">
        <v>40304</v>
      </c>
      <c r="M12978" t="s">
        <v>44482</v>
      </c>
      <c r="N12978" t="s">
        <v>44759</v>
      </c>
      <c r="O12978" t="s">
        <v>44760</v>
      </c>
      <c r="P12978">
        <v>0</v>
      </c>
      <c r="Q12978">
        <v>0</v>
      </c>
      <c r="R12978" t="s">
        <v>44777</v>
      </c>
      <c r="S12978" t="s">
        <v>45524</v>
      </c>
      <c r="T12978" t="s">
        <v>46418</v>
      </c>
      <c r="U12978" t="s">
        <v>57588</v>
      </c>
      <c r="W12978" t="s">
        <v>44482</v>
      </c>
      <c r="X12978" t="s">
        <v>44778</v>
      </c>
    </row>
    <row r="12979" spans="1:24">
      <c r="A12979">
        <f>HYPERLINK("https://www.philgeps.gov.ph/GEPSNONPILOT/Tender/SplashBidNoticeAbstractUI.aspx?menuIndex=3&amp;refID=7119509&amp;Result=3","7119509")</f>
        <v>0</v>
      </c>
      <c r="B12979" t="s">
        <v>3560</v>
      </c>
      <c r="C12979" t="s">
        <v>16119</v>
      </c>
      <c r="D12979" t="s">
        <v>17977</v>
      </c>
      <c r="E12979" t="s">
        <v>29261</v>
      </c>
      <c r="F12979" t="s">
        <v>30900</v>
      </c>
      <c r="G12979" t="s">
        <v>30907</v>
      </c>
      <c r="H12979" t="s">
        <v>30915</v>
      </c>
      <c r="I12979" t="s">
        <v>30919</v>
      </c>
      <c r="J12979" t="s">
        <v>39133</v>
      </c>
      <c r="K12979" t="s">
        <v>40406</v>
      </c>
      <c r="M12979" t="s">
        <v>44482</v>
      </c>
      <c r="N12979" t="s">
        <v>44759</v>
      </c>
      <c r="O12979" t="s">
        <v>44760</v>
      </c>
      <c r="P12979">
        <v>0</v>
      </c>
      <c r="Q12979">
        <v>1</v>
      </c>
      <c r="R12979" t="s">
        <v>44777</v>
      </c>
      <c r="S12979" t="s">
        <v>45524</v>
      </c>
      <c r="T12979" t="s">
        <v>46418</v>
      </c>
      <c r="U12979" t="s">
        <v>57589</v>
      </c>
      <c r="W12979" t="s">
        <v>44482</v>
      </c>
      <c r="X12979" t="s">
        <v>44779</v>
      </c>
    </row>
    <row r="12980" spans="1:24">
      <c r="A12980">
        <f>HYPERLINK("https://www.philgeps.gov.ph/GEPSNONPILOT/Tender/SplashBidNoticeAbstractUI.aspx?menuIndex=3&amp;refID=7119496&amp;Result=3","7119496")</f>
        <v>0</v>
      </c>
      <c r="B12980" t="s">
        <v>3570</v>
      </c>
      <c r="C12980" t="s">
        <v>16120</v>
      </c>
      <c r="D12980" t="s">
        <v>17953</v>
      </c>
      <c r="E12980" t="s">
        <v>29250</v>
      </c>
      <c r="F12980" t="s">
        <v>30900</v>
      </c>
      <c r="G12980" t="s">
        <v>30907</v>
      </c>
      <c r="H12980" t="s">
        <v>7411</v>
      </c>
      <c r="I12980" t="s">
        <v>30981</v>
      </c>
      <c r="J12980" t="s">
        <v>37751</v>
      </c>
      <c r="K12980" t="s">
        <v>40281</v>
      </c>
      <c r="M12980" t="s">
        <v>44495</v>
      </c>
      <c r="N12980" t="s">
        <v>44759</v>
      </c>
      <c r="O12980" t="s">
        <v>44760</v>
      </c>
      <c r="P12980">
        <v>0</v>
      </c>
      <c r="Q12980">
        <v>0</v>
      </c>
      <c r="R12980" t="s">
        <v>44778</v>
      </c>
      <c r="S12980" t="s">
        <v>45611</v>
      </c>
      <c r="T12980" t="s">
        <v>46379</v>
      </c>
      <c r="U12980" t="s">
        <v>57548</v>
      </c>
      <c r="W12980" t="s">
        <v>44495</v>
      </c>
      <c r="X12980" t="s">
        <v>44779</v>
      </c>
    </row>
    <row r="12981" spans="1:24">
      <c r="A12981">
        <f>HYPERLINK("https://www.philgeps.gov.ph/GEPSNONPILOT/Tender/SplashBidNoticeAbstractUI.aspx?menuIndex=3&amp;refID=7119502&amp;Result=3","7119502")</f>
        <v>0</v>
      </c>
      <c r="B12981" t="s">
        <v>3564</v>
      </c>
      <c r="C12981" t="s">
        <v>16121</v>
      </c>
      <c r="D12981" t="s">
        <v>17953</v>
      </c>
      <c r="E12981" t="s">
        <v>29262</v>
      </c>
      <c r="F12981" t="s">
        <v>30900</v>
      </c>
      <c r="G12981" t="s">
        <v>30907</v>
      </c>
      <c r="H12981" t="s">
        <v>30916</v>
      </c>
      <c r="I12981" t="s">
        <v>4454</v>
      </c>
      <c r="J12981" t="s">
        <v>32451</v>
      </c>
      <c r="K12981" t="s">
        <v>40281</v>
      </c>
      <c r="M12981" t="s">
        <v>44488</v>
      </c>
      <c r="N12981" t="s">
        <v>44759</v>
      </c>
      <c r="O12981" t="s">
        <v>44760</v>
      </c>
      <c r="P12981">
        <v>0</v>
      </c>
      <c r="Q12981">
        <v>1</v>
      </c>
      <c r="R12981" t="s">
        <v>44777</v>
      </c>
      <c r="S12981" t="s">
        <v>45524</v>
      </c>
      <c r="T12981" t="s">
        <v>46700</v>
      </c>
      <c r="U12981" t="s">
        <v>57590</v>
      </c>
      <c r="W12981" t="s">
        <v>44488</v>
      </c>
      <c r="X12981" t="s">
        <v>44779</v>
      </c>
    </row>
    <row r="12982" spans="1:24">
      <c r="A12982">
        <f>HYPERLINK("https://www.philgeps.gov.ph/GEPSNONPILOT/Tender/SplashBidNoticeAbstractUI.aspx?menuIndex=3&amp;refID=7119356&amp;Result=3","7119356")</f>
        <v>0</v>
      </c>
      <c r="B12982" t="s">
        <v>1053</v>
      </c>
      <c r="C12982" t="s">
        <v>16122</v>
      </c>
      <c r="D12982" t="s">
        <v>17982</v>
      </c>
      <c r="E12982" t="s">
        <v>29263</v>
      </c>
      <c r="F12982" t="s">
        <v>30900</v>
      </c>
      <c r="G12982" t="s">
        <v>30907</v>
      </c>
      <c r="H12982" t="s">
        <v>30916</v>
      </c>
      <c r="I12982" t="s">
        <v>30921</v>
      </c>
      <c r="J12982" t="s">
        <v>39134</v>
      </c>
      <c r="K12982" t="s">
        <v>40293</v>
      </c>
      <c r="M12982" t="s">
        <v>41649</v>
      </c>
      <c r="N12982" t="s">
        <v>44759</v>
      </c>
      <c r="O12982" t="s">
        <v>44760</v>
      </c>
      <c r="P12982">
        <v>0</v>
      </c>
      <c r="Q12982">
        <v>4</v>
      </c>
      <c r="R12982" t="s">
        <v>44777</v>
      </c>
      <c r="S12982" t="s">
        <v>45524</v>
      </c>
      <c r="T12982" t="s">
        <v>46443</v>
      </c>
      <c r="U12982" t="s">
        <v>57591</v>
      </c>
      <c r="V12982" t="s">
        <v>60583</v>
      </c>
      <c r="W12982" t="s">
        <v>41649</v>
      </c>
      <c r="X12982" t="s">
        <v>44779</v>
      </c>
    </row>
    <row r="12983" spans="1:24">
      <c r="A12983">
        <f>HYPERLINK("https://www.philgeps.gov.ph/GEPSNONPILOT/Tender/SplashBidNoticeAbstractUI.aspx?menuIndex=3&amp;refID=7120040&amp;Result=3","7120040")</f>
        <v>0</v>
      </c>
      <c r="B12983" t="s">
        <v>585</v>
      </c>
      <c r="C12983" t="s">
        <v>16123</v>
      </c>
      <c r="E12983" t="s">
        <v>29264</v>
      </c>
      <c r="F12983" t="s">
        <v>30900</v>
      </c>
      <c r="G12983" t="s">
        <v>30907</v>
      </c>
      <c r="H12983" t="s">
        <v>30916</v>
      </c>
      <c r="I12983" t="s">
        <v>30936</v>
      </c>
      <c r="J12983" t="s">
        <v>37842</v>
      </c>
      <c r="K12983" t="s">
        <v>40289</v>
      </c>
      <c r="M12983" t="s">
        <v>43347</v>
      </c>
      <c r="N12983" t="s">
        <v>44759</v>
      </c>
      <c r="O12983" t="s">
        <v>44760</v>
      </c>
      <c r="Q12983">
        <v>5</v>
      </c>
      <c r="R12983" t="s">
        <v>44777</v>
      </c>
      <c r="S12983" t="s">
        <v>45372</v>
      </c>
      <c r="T12983" t="s">
        <v>46421</v>
      </c>
      <c r="U12983" t="s">
        <v>57592</v>
      </c>
      <c r="V12983" t="s">
        <v>59954</v>
      </c>
      <c r="W12983" t="s">
        <v>43347</v>
      </c>
      <c r="X12983" t="s">
        <v>44778</v>
      </c>
    </row>
    <row r="12984" spans="1:24">
      <c r="A12984">
        <f>HYPERLINK("https://www.philgeps.gov.ph/GEPSNONPILOT/Tender/SplashBidNoticeAbstractUI.aspx?menuIndex=3&amp;refID=7119046&amp;Result=3","7119046")</f>
        <v>0</v>
      </c>
      <c r="B12984" t="s">
        <v>1997</v>
      </c>
      <c r="C12984" t="s">
        <v>16124</v>
      </c>
      <c r="D12984" t="s">
        <v>17953</v>
      </c>
      <c r="E12984" t="s">
        <v>29265</v>
      </c>
      <c r="F12984" t="s">
        <v>30900</v>
      </c>
      <c r="G12984" t="s">
        <v>30907</v>
      </c>
      <c r="H12984" t="s">
        <v>30916</v>
      </c>
      <c r="I12984" t="s">
        <v>9385</v>
      </c>
      <c r="J12984" t="s">
        <v>39135</v>
      </c>
      <c r="K12984" t="s">
        <v>40284</v>
      </c>
      <c r="M12984" t="s">
        <v>44467</v>
      </c>
      <c r="N12984" t="s">
        <v>44759</v>
      </c>
      <c r="O12984" t="s">
        <v>44760</v>
      </c>
      <c r="Q12984">
        <v>7</v>
      </c>
      <c r="R12984" t="s">
        <v>44777</v>
      </c>
      <c r="S12984" t="s">
        <v>45627</v>
      </c>
      <c r="T12984" t="s">
        <v>46389</v>
      </c>
      <c r="U12984" t="s">
        <v>57593</v>
      </c>
      <c r="V12984" t="s">
        <v>60557</v>
      </c>
      <c r="W12984" t="s">
        <v>44467</v>
      </c>
      <c r="X12984" t="s">
        <v>44780</v>
      </c>
    </row>
    <row r="12985" spans="1:24">
      <c r="A12985">
        <f>HYPERLINK("https://www.philgeps.gov.ph/GEPSNONPILOT/Tender/SplashBidNoticeAbstractUI.aspx?menuIndex=3&amp;refID=7119517&amp;Result=3","7119517")</f>
        <v>0</v>
      </c>
      <c r="B12985" t="s">
        <v>3560</v>
      </c>
      <c r="C12985" t="s">
        <v>16125</v>
      </c>
      <c r="D12985" t="s">
        <v>17977</v>
      </c>
      <c r="E12985" t="s">
        <v>29266</v>
      </c>
      <c r="F12985" t="s">
        <v>30900</v>
      </c>
      <c r="G12985" t="s">
        <v>30907</v>
      </c>
      <c r="H12985" t="s">
        <v>30915</v>
      </c>
      <c r="I12985" t="s">
        <v>30919</v>
      </c>
      <c r="J12985" t="s">
        <v>39136</v>
      </c>
      <c r="K12985" t="s">
        <v>40304</v>
      </c>
      <c r="M12985" t="s">
        <v>44482</v>
      </c>
      <c r="N12985" t="s">
        <v>44759</v>
      </c>
      <c r="O12985" t="s">
        <v>44760</v>
      </c>
      <c r="P12985">
        <v>0</v>
      </c>
      <c r="Q12985">
        <v>0</v>
      </c>
      <c r="R12985" t="s">
        <v>44777</v>
      </c>
      <c r="S12985" t="s">
        <v>45524</v>
      </c>
      <c r="T12985" t="s">
        <v>46418</v>
      </c>
      <c r="U12985" t="s">
        <v>57594</v>
      </c>
      <c r="W12985" t="s">
        <v>44482</v>
      </c>
      <c r="X12985" t="s">
        <v>44779</v>
      </c>
    </row>
    <row r="12986" spans="1:24">
      <c r="A12986">
        <f>HYPERLINK("https://www.philgeps.gov.ph/GEPSNONPILOT/Tender/SplashBidNoticeAbstractUI.aspx?menuIndex=3&amp;refID=7119042&amp;Result=3","7119042")</f>
        <v>0</v>
      </c>
      <c r="B12986" t="s">
        <v>1997</v>
      </c>
      <c r="C12986" t="s">
        <v>16126</v>
      </c>
      <c r="D12986" t="s">
        <v>17953</v>
      </c>
      <c r="E12986" t="s">
        <v>29267</v>
      </c>
      <c r="F12986" t="s">
        <v>30900</v>
      </c>
      <c r="G12986" t="s">
        <v>30907</v>
      </c>
      <c r="H12986" t="s">
        <v>30916</v>
      </c>
      <c r="I12986" t="s">
        <v>9385</v>
      </c>
      <c r="J12986" t="s">
        <v>31098</v>
      </c>
      <c r="K12986" t="s">
        <v>40284</v>
      </c>
      <c r="M12986" t="s">
        <v>44467</v>
      </c>
      <c r="N12986" t="s">
        <v>44759</v>
      </c>
      <c r="O12986" t="s">
        <v>44760</v>
      </c>
      <c r="Q12986">
        <v>4</v>
      </c>
      <c r="R12986" t="s">
        <v>44777</v>
      </c>
      <c r="S12986" t="s">
        <v>45628</v>
      </c>
      <c r="T12986" t="s">
        <v>46389</v>
      </c>
      <c r="U12986" t="s">
        <v>57595</v>
      </c>
      <c r="V12986" t="s">
        <v>60557</v>
      </c>
      <c r="W12986" t="s">
        <v>44467</v>
      </c>
      <c r="X12986" t="s">
        <v>44780</v>
      </c>
    </row>
    <row r="12987" spans="1:24">
      <c r="A12987">
        <f>HYPERLINK("https://www.philgeps.gov.ph/GEPSNONPILOT/Tender/SplashBidNoticeAbstractUI.aspx?menuIndex=3&amp;refID=7119028&amp;Result=3","7119028")</f>
        <v>0</v>
      </c>
      <c r="B12987" t="s">
        <v>1997</v>
      </c>
      <c r="C12987" t="s">
        <v>16127</v>
      </c>
      <c r="D12987" t="s">
        <v>17953</v>
      </c>
      <c r="E12987" t="s">
        <v>29268</v>
      </c>
      <c r="F12987" t="s">
        <v>30900</v>
      </c>
      <c r="G12987" t="s">
        <v>30907</v>
      </c>
      <c r="H12987" t="s">
        <v>30916</v>
      </c>
      <c r="I12987" t="s">
        <v>5501</v>
      </c>
      <c r="J12987" t="s">
        <v>39137</v>
      </c>
      <c r="K12987" t="s">
        <v>40284</v>
      </c>
      <c r="M12987" t="s">
        <v>44481</v>
      </c>
      <c r="N12987" t="s">
        <v>44759</v>
      </c>
      <c r="O12987" t="s">
        <v>44760</v>
      </c>
      <c r="Q12987">
        <v>6</v>
      </c>
      <c r="R12987" t="s">
        <v>44777</v>
      </c>
      <c r="S12987" t="s">
        <v>45546</v>
      </c>
      <c r="T12987" t="s">
        <v>46409</v>
      </c>
      <c r="U12987" t="s">
        <v>57596</v>
      </c>
      <c r="V12987" t="s">
        <v>60557</v>
      </c>
      <c r="W12987" t="s">
        <v>44481</v>
      </c>
      <c r="X12987" t="s">
        <v>44780</v>
      </c>
    </row>
    <row r="12988" spans="1:24">
      <c r="A12988">
        <f>HYPERLINK("https://www.philgeps.gov.ph/GEPSNONPILOT/Tender/SplashBidNoticeAbstractUI.aspx?menuIndex=3&amp;refID=7119041&amp;Result=3","7119041")</f>
        <v>0</v>
      </c>
      <c r="B12988" t="s">
        <v>1997</v>
      </c>
      <c r="C12988" t="s">
        <v>16128</v>
      </c>
      <c r="D12988" t="s">
        <v>17953</v>
      </c>
      <c r="E12988" t="s">
        <v>29269</v>
      </c>
      <c r="F12988" t="s">
        <v>30900</v>
      </c>
      <c r="G12988" t="s">
        <v>30907</v>
      </c>
      <c r="H12988" t="s">
        <v>30916</v>
      </c>
      <c r="I12988" t="s">
        <v>5501</v>
      </c>
      <c r="J12988" t="s">
        <v>39138</v>
      </c>
      <c r="K12988" t="s">
        <v>40284</v>
      </c>
      <c r="M12988" t="s">
        <v>44481</v>
      </c>
      <c r="N12988" t="s">
        <v>44759</v>
      </c>
      <c r="O12988" t="s">
        <v>44760</v>
      </c>
      <c r="Q12988">
        <v>10</v>
      </c>
      <c r="R12988" t="s">
        <v>44777</v>
      </c>
      <c r="S12988" t="s">
        <v>45563</v>
      </c>
      <c r="T12988" t="s">
        <v>46409</v>
      </c>
      <c r="U12988" t="s">
        <v>57597</v>
      </c>
      <c r="V12988" t="s">
        <v>60557</v>
      </c>
      <c r="W12988" t="s">
        <v>44481</v>
      </c>
      <c r="X12988" t="s">
        <v>44780</v>
      </c>
    </row>
    <row r="12989" spans="1:24">
      <c r="A12989">
        <f>HYPERLINK("https://www.philgeps.gov.ph/GEPSNONPILOT/Tender/SplashBidNoticeAbstractUI.aspx?menuIndex=3&amp;refID=7119360&amp;Result=3","7119360")</f>
        <v>0</v>
      </c>
      <c r="B12989" t="s">
        <v>1053</v>
      </c>
      <c r="C12989" t="s">
        <v>16129</v>
      </c>
      <c r="D12989" t="s">
        <v>17982</v>
      </c>
      <c r="E12989" t="s">
        <v>29270</v>
      </c>
      <c r="F12989" t="s">
        <v>30900</v>
      </c>
      <c r="G12989" t="s">
        <v>30907</v>
      </c>
      <c r="H12989" t="s">
        <v>30916</v>
      </c>
      <c r="I12989" t="s">
        <v>10961</v>
      </c>
      <c r="J12989" t="s">
        <v>31391</v>
      </c>
      <c r="K12989" t="s">
        <v>40293</v>
      </c>
      <c r="M12989" t="s">
        <v>41649</v>
      </c>
      <c r="N12989" t="s">
        <v>44759</v>
      </c>
      <c r="O12989" t="s">
        <v>44760</v>
      </c>
      <c r="P12989">
        <v>0</v>
      </c>
      <c r="Q12989">
        <v>5</v>
      </c>
      <c r="R12989" t="s">
        <v>44777</v>
      </c>
      <c r="S12989" t="s">
        <v>45524</v>
      </c>
      <c r="T12989" t="s">
        <v>46443</v>
      </c>
      <c r="U12989" t="s">
        <v>57598</v>
      </c>
      <c r="V12989" t="s">
        <v>60583</v>
      </c>
      <c r="W12989" t="s">
        <v>41649</v>
      </c>
      <c r="X12989" t="s">
        <v>44779</v>
      </c>
    </row>
    <row r="12990" spans="1:24">
      <c r="A12990">
        <f>HYPERLINK("https://www.philgeps.gov.ph/GEPSNONPILOT/Tender/SplashBidNoticeAbstractUI.aspx?menuIndex=3&amp;refID=7119036&amp;Result=3","7119036")</f>
        <v>0</v>
      </c>
      <c r="B12990" t="s">
        <v>1997</v>
      </c>
      <c r="C12990" t="s">
        <v>16130</v>
      </c>
      <c r="D12990" t="s">
        <v>17953</v>
      </c>
      <c r="E12990" t="s">
        <v>29271</v>
      </c>
      <c r="F12990" t="s">
        <v>30900</v>
      </c>
      <c r="G12990" t="s">
        <v>30907</v>
      </c>
      <c r="H12990" t="s">
        <v>30916</v>
      </c>
      <c r="I12990" t="s">
        <v>5501</v>
      </c>
      <c r="J12990" t="s">
        <v>39139</v>
      </c>
      <c r="K12990" t="s">
        <v>40284</v>
      </c>
      <c r="M12990" t="s">
        <v>44481</v>
      </c>
      <c r="N12990" t="s">
        <v>44759</v>
      </c>
      <c r="O12990" t="s">
        <v>44760</v>
      </c>
      <c r="Q12990">
        <v>11</v>
      </c>
      <c r="R12990" t="s">
        <v>44777</v>
      </c>
      <c r="S12990" t="s">
        <v>45545</v>
      </c>
      <c r="T12990" t="s">
        <v>46409</v>
      </c>
      <c r="U12990" t="s">
        <v>57599</v>
      </c>
      <c r="V12990" t="s">
        <v>60557</v>
      </c>
      <c r="W12990" t="s">
        <v>44481</v>
      </c>
      <c r="X12990" t="s">
        <v>44780</v>
      </c>
    </row>
    <row r="12991" spans="1:24">
      <c r="A12991">
        <f>HYPERLINK("https://www.philgeps.gov.ph/GEPSNONPILOT/Tender/SplashBidNoticeAbstractUI.aspx?menuIndex=3&amp;refID=7118893&amp;Result=3","7118893")</f>
        <v>0</v>
      </c>
      <c r="B12991" t="s">
        <v>1997</v>
      </c>
      <c r="C12991" t="s">
        <v>16131</v>
      </c>
      <c r="D12991" t="s">
        <v>17953</v>
      </c>
      <c r="E12991" t="s">
        <v>29272</v>
      </c>
      <c r="F12991" t="s">
        <v>30900</v>
      </c>
      <c r="G12991" t="s">
        <v>30907</v>
      </c>
      <c r="H12991" t="s">
        <v>30916</v>
      </c>
      <c r="I12991" t="s">
        <v>30923</v>
      </c>
      <c r="J12991" t="s">
        <v>39140</v>
      </c>
      <c r="K12991" t="s">
        <v>40292</v>
      </c>
      <c r="M12991" t="s">
        <v>44467</v>
      </c>
      <c r="N12991" t="s">
        <v>44759</v>
      </c>
      <c r="O12991" t="s">
        <v>44760</v>
      </c>
      <c r="Q12991">
        <v>8</v>
      </c>
      <c r="R12991" t="s">
        <v>44777</v>
      </c>
      <c r="S12991" t="s">
        <v>45629</v>
      </c>
      <c r="T12991" t="s">
        <v>46389</v>
      </c>
      <c r="U12991" t="s">
        <v>57600</v>
      </c>
      <c r="V12991" t="s">
        <v>60557</v>
      </c>
      <c r="W12991" t="s">
        <v>44467</v>
      </c>
      <c r="X12991" t="s">
        <v>44780</v>
      </c>
    </row>
    <row r="12992" spans="1:24">
      <c r="A12992">
        <f>HYPERLINK("https://www.philgeps.gov.ph/GEPSNONPILOT/Tender/SplashBidNoticeAbstractUI.aspx?menuIndex=3&amp;refID=7119038&amp;Result=3","7119038")</f>
        <v>0</v>
      </c>
      <c r="B12992" t="s">
        <v>1997</v>
      </c>
      <c r="C12992" t="s">
        <v>16132</v>
      </c>
      <c r="D12992" t="s">
        <v>17953</v>
      </c>
      <c r="E12992" t="s">
        <v>29273</v>
      </c>
      <c r="F12992" t="s">
        <v>30900</v>
      </c>
      <c r="G12992" t="s">
        <v>30907</v>
      </c>
      <c r="H12992" t="s">
        <v>30916</v>
      </c>
      <c r="I12992" t="s">
        <v>9385</v>
      </c>
      <c r="J12992" t="s">
        <v>36316</v>
      </c>
      <c r="K12992" t="s">
        <v>40284</v>
      </c>
      <c r="M12992" t="s">
        <v>44467</v>
      </c>
      <c r="N12992" t="s">
        <v>44759</v>
      </c>
      <c r="O12992" t="s">
        <v>44760</v>
      </c>
      <c r="Q12992">
        <v>4</v>
      </c>
      <c r="R12992" t="s">
        <v>44777</v>
      </c>
      <c r="S12992" t="s">
        <v>45630</v>
      </c>
      <c r="T12992" t="s">
        <v>46389</v>
      </c>
      <c r="U12992" t="s">
        <v>57601</v>
      </c>
      <c r="V12992" t="s">
        <v>60557</v>
      </c>
      <c r="W12992" t="s">
        <v>44467</v>
      </c>
      <c r="X12992" t="s">
        <v>44780</v>
      </c>
    </row>
    <row r="12993" spans="1:24">
      <c r="A12993">
        <f>HYPERLINK("https://www.philgeps.gov.ph/GEPSNONPILOT/Tender/SplashBidNoticeAbstractUI.aspx?menuIndex=3&amp;refID=7118678&amp;Result=3","7118678")</f>
        <v>0</v>
      </c>
      <c r="B12993" t="s">
        <v>618</v>
      </c>
      <c r="C12993" t="s">
        <v>16133</v>
      </c>
      <c r="E12993" t="s">
        <v>29274</v>
      </c>
      <c r="F12993" t="s">
        <v>30900</v>
      </c>
      <c r="G12993" t="s">
        <v>30907</v>
      </c>
      <c r="H12993" t="s">
        <v>30916</v>
      </c>
      <c r="I12993" t="s">
        <v>30918</v>
      </c>
      <c r="J12993" t="s">
        <v>33238</v>
      </c>
      <c r="K12993" t="s">
        <v>40289</v>
      </c>
      <c r="M12993" t="s">
        <v>44473</v>
      </c>
      <c r="N12993" t="s">
        <v>44759</v>
      </c>
      <c r="O12993" t="s">
        <v>44760</v>
      </c>
      <c r="Q12993">
        <v>16</v>
      </c>
      <c r="R12993" t="s">
        <v>44777</v>
      </c>
      <c r="S12993" t="s">
        <v>45631</v>
      </c>
      <c r="T12993" t="s">
        <v>46689</v>
      </c>
      <c r="U12993" t="s">
        <v>57602</v>
      </c>
      <c r="W12993" t="s">
        <v>44473</v>
      </c>
      <c r="X12993" t="s">
        <v>44780</v>
      </c>
    </row>
    <row r="12994" spans="1:24">
      <c r="A12994">
        <f>HYPERLINK("https://www.philgeps.gov.ph/GEPSNONPILOT/Tender/SplashBidNoticeAbstractUI.aspx?menuIndex=3&amp;refID=7118932&amp;Result=3","7118932")</f>
        <v>0</v>
      </c>
      <c r="B12994" t="s">
        <v>1997</v>
      </c>
      <c r="C12994" t="s">
        <v>16134</v>
      </c>
      <c r="D12994" t="s">
        <v>17953</v>
      </c>
      <c r="E12994" t="s">
        <v>29275</v>
      </c>
      <c r="F12994" t="s">
        <v>30900</v>
      </c>
      <c r="G12994" t="s">
        <v>30907</v>
      </c>
      <c r="H12994" t="s">
        <v>30916</v>
      </c>
      <c r="I12994" t="s">
        <v>30918</v>
      </c>
      <c r="J12994" t="s">
        <v>32125</v>
      </c>
      <c r="K12994" t="s">
        <v>40286</v>
      </c>
      <c r="M12994" t="s">
        <v>44467</v>
      </c>
      <c r="N12994" t="s">
        <v>44759</v>
      </c>
      <c r="O12994" t="s">
        <v>44760</v>
      </c>
      <c r="Q12994">
        <v>12</v>
      </c>
      <c r="R12994" t="s">
        <v>44777</v>
      </c>
      <c r="S12994" t="s">
        <v>45591</v>
      </c>
      <c r="T12994" t="s">
        <v>46389</v>
      </c>
      <c r="U12994" t="s">
        <v>57603</v>
      </c>
      <c r="V12994" t="s">
        <v>60557</v>
      </c>
      <c r="W12994" t="s">
        <v>44467</v>
      </c>
      <c r="X12994" t="s">
        <v>44780</v>
      </c>
    </row>
    <row r="12995" spans="1:24">
      <c r="A12995">
        <f>HYPERLINK("https://www.philgeps.gov.ph/GEPSNONPILOT/Tender/SplashBidNoticeAbstractUI.aspx?menuIndex=3&amp;refID=7118710&amp;Result=3","7118710")</f>
        <v>0</v>
      </c>
      <c r="B12995" t="s">
        <v>38</v>
      </c>
      <c r="C12995" t="s">
        <v>16135</v>
      </c>
      <c r="D12995" t="s">
        <v>17964</v>
      </c>
      <c r="E12995" t="s">
        <v>29276</v>
      </c>
      <c r="F12995" t="s">
        <v>30900</v>
      </c>
      <c r="G12995" t="s">
        <v>30907</v>
      </c>
      <c r="H12995" t="s">
        <v>30916</v>
      </c>
      <c r="I12995" t="s">
        <v>8123</v>
      </c>
      <c r="J12995" t="s">
        <v>39141</v>
      </c>
      <c r="K12995" t="s">
        <v>40287</v>
      </c>
      <c r="L12995" t="s">
        <v>38</v>
      </c>
      <c r="M12995" t="s">
        <v>44472</v>
      </c>
      <c r="N12995" t="s">
        <v>44759</v>
      </c>
      <c r="O12995" t="s">
        <v>44760</v>
      </c>
      <c r="P12995">
        <v>0</v>
      </c>
      <c r="Q12995">
        <v>1</v>
      </c>
      <c r="R12995" t="s">
        <v>44777</v>
      </c>
      <c r="S12995" t="s">
        <v>45524</v>
      </c>
      <c r="T12995" t="s">
        <v>46425</v>
      </c>
      <c r="U12995" t="s">
        <v>57420</v>
      </c>
      <c r="V12995" t="s">
        <v>60561</v>
      </c>
      <c r="W12995" t="s">
        <v>44472</v>
      </c>
      <c r="X12995" t="s">
        <v>44780</v>
      </c>
    </row>
    <row r="12996" spans="1:24">
      <c r="A12996">
        <f>HYPERLINK("https://www.philgeps.gov.ph/GEPSNONPILOT/Tender/SplashBidNoticeAbstractUI.aspx?menuIndex=3&amp;refID=7119034&amp;Result=3","7119034")</f>
        <v>0</v>
      </c>
      <c r="B12996" t="s">
        <v>1997</v>
      </c>
      <c r="C12996" t="s">
        <v>16136</v>
      </c>
      <c r="D12996" t="s">
        <v>17953</v>
      </c>
      <c r="E12996" t="s">
        <v>29277</v>
      </c>
      <c r="F12996" t="s">
        <v>30900</v>
      </c>
      <c r="G12996" t="s">
        <v>30907</v>
      </c>
      <c r="H12996" t="s">
        <v>30916</v>
      </c>
      <c r="I12996" t="s">
        <v>9385</v>
      </c>
      <c r="J12996" t="s">
        <v>39142</v>
      </c>
      <c r="K12996" t="s">
        <v>40284</v>
      </c>
      <c r="M12996" t="s">
        <v>44467</v>
      </c>
      <c r="N12996" t="s">
        <v>44759</v>
      </c>
      <c r="O12996" t="s">
        <v>44760</v>
      </c>
      <c r="Q12996">
        <v>6</v>
      </c>
      <c r="R12996" t="s">
        <v>44777</v>
      </c>
      <c r="S12996" t="s">
        <v>45630</v>
      </c>
      <c r="T12996" t="s">
        <v>46389</v>
      </c>
      <c r="U12996" t="s">
        <v>57604</v>
      </c>
      <c r="V12996" t="s">
        <v>60557</v>
      </c>
      <c r="W12996" t="s">
        <v>44467</v>
      </c>
      <c r="X12996" t="s">
        <v>44780</v>
      </c>
    </row>
    <row r="12997" spans="1:24">
      <c r="A12997">
        <f>HYPERLINK("https://www.philgeps.gov.ph/GEPSNONPILOT/Tender/SplashBidNoticeAbstractUI.aspx?menuIndex=3&amp;refID=7118890&amp;Result=3","7118890")</f>
        <v>0</v>
      </c>
      <c r="B12997" t="s">
        <v>1639</v>
      </c>
      <c r="C12997" t="s">
        <v>16137</v>
      </c>
      <c r="D12997" t="s">
        <v>17985</v>
      </c>
      <c r="E12997" t="s">
        <v>29278</v>
      </c>
      <c r="F12997" t="s">
        <v>30900</v>
      </c>
      <c r="G12997" t="s">
        <v>30907</v>
      </c>
      <c r="H12997" t="s">
        <v>30915</v>
      </c>
      <c r="I12997" t="s">
        <v>30919</v>
      </c>
      <c r="J12997" t="s">
        <v>31152</v>
      </c>
      <c r="K12997" t="s">
        <v>40292</v>
      </c>
      <c r="M12997" t="s">
        <v>42295</v>
      </c>
      <c r="N12997" t="s">
        <v>44759</v>
      </c>
      <c r="O12997" t="s">
        <v>44760</v>
      </c>
      <c r="P12997">
        <v>0</v>
      </c>
      <c r="Q12997">
        <v>1</v>
      </c>
      <c r="R12997" t="s">
        <v>44777</v>
      </c>
      <c r="S12997" t="s">
        <v>45524</v>
      </c>
      <c r="T12997" t="s">
        <v>46376</v>
      </c>
      <c r="U12997" t="s">
        <v>57605</v>
      </c>
      <c r="W12997" t="s">
        <v>42295</v>
      </c>
      <c r="X12997" t="s">
        <v>44780</v>
      </c>
    </row>
    <row r="12998" spans="1:24">
      <c r="A12998">
        <f>HYPERLINK("https://www.philgeps.gov.ph/GEPSNONPILOT/Tender/SplashBidNoticeAbstractUI.aspx?menuIndex=3&amp;refID=7118666&amp;Result=3","7118666")</f>
        <v>0</v>
      </c>
      <c r="B12998" t="s">
        <v>38</v>
      </c>
      <c r="C12998" t="s">
        <v>16138</v>
      </c>
      <c r="D12998" t="s">
        <v>17964</v>
      </c>
      <c r="E12998" t="s">
        <v>29279</v>
      </c>
      <c r="F12998" t="s">
        <v>30900</v>
      </c>
      <c r="G12998" t="s">
        <v>30907</v>
      </c>
      <c r="H12998" t="s">
        <v>30916</v>
      </c>
      <c r="I12998" t="s">
        <v>8123</v>
      </c>
      <c r="J12998" t="s">
        <v>31389</v>
      </c>
      <c r="K12998" t="s">
        <v>40287</v>
      </c>
      <c r="L12998" t="s">
        <v>38</v>
      </c>
      <c r="M12998" t="s">
        <v>44472</v>
      </c>
      <c r="N12998" t="s">
        <v>44759</v>
      </c>
      <c r="O12998" t="s">
        <v>44760</v>
      </c>
      <c r="P12998">
        <v>0</v>
      </c>
      <c r="Q12998">
        <v>1</v>
      </c>
      <c r="R12998" t="s">
        <v>44777</v>
      </c>
      <c r="S12998" t="s">
        <v>45524</v>
      </c>
      <c r="T12998" t="s">
        <v>46425</v>
      </c>
      <c r="U12998" t="s">
        <v>57420</v>
      </c>
      <c r="V12998" t="s">
        <v>60561</v>
      </c>
      <c r="W12998" t="s">
        <v>44472</v>
      </c>
      <c r="X12998" t="s">
        <v>44780</v>
      </c>
    </row>
    <row r="12999" spans="1:24">
      <c r="A12999">
        <f>HYPERLINK("https://www.philgeps.gov.ph/GEPSNONPILOT/Tender/SplashBidNoticeAbstractUI.aspx?menuIndex=3&amp;refID=7113530&amp;Result=3","7113530")</f>
        <v>0</v>
      </c>
      <c r="B12999" t="s">
        <v>1173</v>
      </c>
      <c r="C12999" t="s">
        <v>5990</v>
      </c>
      <c r="D12999" t="s">
        <v>18013</v>
      </c>
      <c r="E12999" t="s">
        <v>29280</v>
      </c>
      <c r="F12999" t="s">
        <v>30900</v>
      </c>
      <c r="G12999" t="s">
        <v>30907</v>
      </c>
      <c r="H12999" t="s">
        <v>30915</v>
      </c>
      <c r="I12999" t="s">
        <v>30919</v>
      </c>
      <c r="J12999" t="s">
        <v>31241</v>
      </c>
      <c r="K12999" t="s">
        <v>40292</v>
      </c>
      <c r="M12999" t="s">
        <v>41780</v>
      </c>
      <c r="N12999" t="s">
        <v>44759</v>
      </c>
      <c r="O12999" t="s">
        <v>44760</v>
      </c>
      <c r="P12999">
        <v>0</v>
      </c>
      <c r="Q12999">
        <v>1</v>
      </c>
      <c r="R12999" t="s">
        <v>44779</v>
      </c>
      <c r="S12999" t="s">
        <v>45618</v>
      </c>
      <c r="T12999" t="s">
        <v>46389</v>
      </c>
      <c r="U12999" t="s">
        <v>57606</v>
      </c>
      <c r="W12999" t="s">
        <v>41780</v>
      </c>
      <c r="X12999" t="s">
        <v>44781</v>
      </c>
    </row>
    <row r="13000" spans="1:24">
      <c r="A13000">
        <f>HYPERLINK("https://www.philgeps.gov.ph/GEPSNONPILOT/Tender/SplashBidNoticeAbstractUI.aspx?menuIndex=3&amp;refID=7116589&amp;Result=3","7116589")</f>
        <v>0</v>
      </c>
      <c r="B13000" t="s">
        <v>509</v>
      </c>
      <c r="C13000" t="s">
        <v>16139</v>
      </c>
      <c r="D13000" t="s">
        <v>17951</v>
      </c>
      <c r="E13000" t="s">
        <v>18740</v>
      </c>
      <c r="F13000" t="s">
        <v>30900</v>
      </c>
      <c r="G13000" t="s">
        <v>30911</v>
      </c>
      <c r="H13000" t="s">
        <v>7411</v>
      </c>
      <c r="I13000" t="s">
        <v>7411</v>
      </c>
      <c r="J13000" t="s">
        <v>31297</v>
      </c>
      <c r="K13000" t="s">
        <v>40304</v>
      </c>
      <c r="M13000" t="s">
        <v>41069</v>
      </c>
      <c r="N13000" t="s">
        <v>44759</v>
      </c>
      <c r="O13000" t="s">
        <v>44760</v>
      </c>
      <c r="P13000">
        <v>0</v>
      </c>
      <c r="Q13000">
        <v>4</v>
      </c>
      <c r="R13000" t="s">
        <v>44779</v>
      </c>
      <c r="S13000" t="s">
        <v>45618</v>
      </c>
      <c r="T13000" t="s">
        <v>46411</v>
      </c>
      <c r="U13000" t="s">
        <v>57607</v>
      </c>
      <c r="W13000" t="s">
        <v>41069</v>
      </c>
      <c r="X13000" t="s">
        <v>44780</v>
      </c>
    </row>
    <row r="13001" spans="1:24">
      <c r="A13001">
        <f>HYPERLINK("https://www.philgeps.gov.ph/GEPSNONPILOT/Tender/SplashBidNoticeAbstractUI.aspx?menuIndex=3&amp;refID=7116558&amp;Result=3","7116558")</f>
        <v>0</v>
      </c>
      <c r="B13001" t="s">
        <v>2598</v>
      </c>
      <c r="C13001" t="s">
        <v>16140</v>
      </c>
      <c r="D13001" t="s">
        <v>18028</v>
      </c>
      <c r="E13001" t="s">
        <v>29281</v>
      </c>
      <c r="F13001" t="s">
        <v>30900</v>
      </c>
      <c r="G13001" t="s">
        <v>30907</v>
      </c>
      <c r="H13001" t="s">
        <v>30916</v>
      </c>
      <c r="I13001" t="s">
        <v>30933</v>
      </c>
      <c r="J13001" t="s">
        <v>39143</v>
      </c>
      <c r="K13001" t="s">
        <v>40286</v>
      </c>
      <c r="L13001" t="s">
        <v>2598</v>
      </c>
      <c r="M13001" t="s">
        <v>43359</v>
      </c>
      <c r="N13001" t="s">
        <v>44759</v>
      </c>
      <c r="O13001" t="s">
        <v>44760</v>
      </c>
      <c r="P13001">
        <v>0</v>
      </c>
      <c r="Q13001">
        <v>6</v>
      </c>
      <c r="R13001" t="s">
        <v>44779</v>
      </c>
      <c r="S13001" t="s">
        <v>45618</v>
      </c>
      <c r="T13001" t="s">
        <v>46387</v>
      </c>
      <c r="U13001" t="s">
        <v>57608</v>
      </c>
      <c r="W13001" t="s">
        <v>43359</v>
      </c>
      <c r="X13001" t="s">
        <v>44780</v>
      </c>
    </row>
    <row r="13002" spans="1:24">
      <c r="A13002">
        <f>HYPERLINK("https://www.philgeps.gov.ph/GEPSNONPILOT/Tender/SplashBidNoticeAbstractUI.aspx?menuIndex=3&amp;refID=7118670&amp;Result=3","7118670")</f>
        <v>0</v>
      </c>
      <c r="B13002" t="s">
        <v>1997</v>
      </c>
      <c r="C13002" t="s">
        <v>16141</v>
      </c>
      <c r="D13002" t="s">
        <v>17953</v>
      </c>
      <c r="E13002" t="s">
        <v>29282</v>
      </c>
      <c r="F13002" t="s">
        <v>30900</v>
      </c>
      <c r="G13002" t="s">
        <v>30907</v>
      </c>
      <c r="H13002" t="s">
        <v>30916</v>
      </c>
      <c r="I13002" t="s">
        <v>30923</v>
      </c>
      <c r="J13002" t="s">
        <v>39144</v>
      </c>
      <c r="K13002" t="s">
        <v>40284</v>
      </c>
      <c r="M13002" t="s">
        <v>44467</v>
      </c>
      <c r="N13002" t="s">
        <v>44759</v>
      </c>
      <c r="O13002" t="s">
        <v>44760</v>
      </c>
      <c r="Q13002">
        <v>6</v>
      </c>
      <c r="R13002" t="s">
        <v>44777</v>
      </c>
      <c r="S13002" t="s">
        <v>45632</v>
      </c>
      <c r="T13002" t="s">
        <v>46399</v>
      </c>
      <c r="U13002" t="s">
        <v>57609</v>
      </c>
      <c r="V13002" t="s">
        <v>60557</v>
      </c>
      <c r="W13002" t="s">
        <v>44467</v>
      </c>
      <c r="X13002" t="s">
        <v>44780</v>
      </c>
    </row>
    <row r="13003" spans="1:24">
      <c r="A13003">
        <f>HYPERLINK("https://www.philgeps.gov.ph/GEPSNONPILOT/Tender/SplashBidNoticeAbstractUI.aspx?menuIndex=3&amp;refID=7116540&amp;Result=3","7116540")</f>
        <v>0</v>
      </c>
      <c r="B13003" t="s">
        <v>2132</v>
      </c>
      <c r="C13003" t="s">
        <v>16142</v>
      </c>
      <c r="D13003" t="s">
        <v>18033</v>
      </c>
      <c r="E13003" t="s">
        <v>29283</v>
      </c>
      <c r="F13003" t="s">
        <v>30900</v>
      </c>
      <c r="G13003" t="s">
        <v>30907</v>
      </c>
      <c r="H13003" t="s">
        <v>30915</v>
      </c>
      <c r="I13003" t="s">
        <v>30919</v>
      </c>
      <c r="J13003" t="s">
        <v>31577</v>
      </c>
      <c r="K13003" t="s">
        <v>40286</v>
      </c>
      <c r="M13003" t="s">
        <v>42834</v>
      </c>
      <c r="N13003" t="s">
        <v>44759</v>
      </c>
      <c r="O13003" t="s">
        <v>44760</v>
      </c>
      <c r="P13003">
        <v>0</v>
      </c>
      <c r="Q13003">
        <v>0</v>
      </c>
      <c r="R13003" t="s">
        <v>44779</v>
      </c>
      <c r="S13003" t="s">
        <v>45618</v>
      </c>
      <c r="T13003" t="s">
        <v>46412</v>
      </c>
      <c r="U13003" t="s">
        <v>57610</v>
      </c>
      <c r="W13003" t="s">
        <v>42834</v>
      </c>
      <c r="X13003" t="s">
        <v>44780</v>
      </c>
    </row>
    <row r="13004" spans="1:24">
      <c r="A13004">
        <f>HYPERLINK("https://www.philgeps.gov.ph/GEPSNONPILOT/Tender/SplashBidNoticeAbstractUI.aspx?menuIndex=3&amp;refID=7116568&amp;Result=3","7116568")</f>
        <v>0</v>
      </c>
      <c r="B13004" t="s">
        <v>2233</v>
      </c>
      <c r="C13004" t="s">
        <v>16143</v>
      </c>
      <c r="D13004" t="s">
        <v>18013</v>
      </c>
      <c r="E13004" t="s">
        <v>29284</v>
      </c>
      <c r="F13004" t="s">
        <v>30900</v>
      </c>
      <c r="G13004" t="s">
        <v>30913</v>
      </c>
      <c r="H13004" t="s">
        <v>7411</v>
      </c>
      <c r="I13004" t="s">
        <v>30942</v>
      </c>
      <c r="J13004" t="s">
        <v>31098</v>
      </c>
      <c r="K13004" t="s">
        <v>40334</v>
      </c>
      <c r="M13004" t="s">
        <v>42943</v>
      </c>
      <c r="N13004" t="s">
        <v>44759</v>
      </c>
      <c r="O13004" t="s">
        <v>44760</v>
      </c>
      <c r="P13004">
        <v>0</v>
      </c>
      <c r="Q13004">
        <v>2</v>
      </c>
      <c r="R13004" t="s">
        <v>44779</v>
      </c>
      <c r="S13004" t="s">
        <v>45618</v>
      </c>
      <c r="T13004" t="s">
        <v>46376</v>
      </c>
      <c r="U13004" t="s">
        <v>57611</v>
      </c>
      <c r="W13004" t="s">
        <v>42943</v>
      </c>
      <c r="X13004" t="s">
        <v>44780</v>
      </c>
    </row>
    <row r="13005" spans="1:24">
      <c r="A13005">
        <f>HYPERLINK("https://www.philgeps.gov.ph/GEPSNONPILOT/Tender/SplashBidNoticeAbstractUI.aspx?menuIndex=3&amp;refID=7116530&amp;Result=3","7116530")</f>
        <v>0</v>
      </c>
      <c r="B13005" t="s">
        <v>2549</v>
      </c>
      <c r="C13005" t="s">
        <v>16144</v>
      </c>
      <c r="D13005" t="s">
        <v>18003</v>
      </c>
      <c r="E13005" t="s">
        <v>29285</v>
      </c>
      <c r="F13005" t="s">
        <v>30900</v>
      </c>
      <c r="G13005" t="s">
        <v>30907</v>
      </c>
      <c r="H13005" t="s">
        <v>30916</v>
      </c>
      <c r="I13005" t="s">
        <v>30933</v>
      </c>
      <c r="J13005" t="s">
        <v>39145</v>
      </c>
      <c r="K13005" t="s">
        <v>40286</v>
      </c>
      <c r="M13005" t="s">
        <v>43306</v>
      </c>
      <c r="N13005" t="s">
        <v>44759</v>
      </c>
      <c r="O13005" t="s">
        <v>44760</v>
      </c>
      <c r="P13005">
        <v>0</v>
      </c>
      <c r="Q13005">
        <v>3</v>
      </c>
      <c r="R13005" t="s">
        <v>44779</v>
      </c>
      <c r="S13005" t="s">
        <v>45618</v>
      </c>
      <c r="T13005" t="s">
        <v>46351</v>
      </c>
      <c r="U13005" t="s">
        <v>57612</v>
      </c>
      <c r="W13005" t="s">
        <v>43306</v>
      </c>
      <c r="X13005" t="s">
        <v>44780</v>
      </c>
    </row>
    <row r="13006" spans="1:24">
      <c r="A13006">
        <f>HYPERLINK("https://www.philgeps.gov.ph/GEPSNONPILOT/Tender/SplashBidNoticeAbstractUI.aspx?menuIndex=3&amp;refID=7116565&amp;Result=3","7116565")</f>
        <v>0</v>
      </c>
      <c r="B13006" t="s">
        <v>1023</v>
      </c>
      <c r="C13006" t="s">
        <v>16145</v>
      </c>
      <c r="D13006" t="s">
        <v>17978</v>
      </c>
      <c r="E13006" t="s">
        <v>29286</v>
      </c>
      <c r="F13006" t="s">
        <v>30900</v>
      </c>
      <c r="G13006" t="s">
        <v>30907</v>
      </c>
      <c r="H13006" t="s">
        <v>30916</v>
      </c>
      <c r="I13006" t="s">
        <v>30924</v>
      </c>
      <c r="J13006" t="s">
        <v>39146</v>
      </c>
      <c r="K13006" t="s">
        <v>40293</v>
      </c>
      <c r="M13006" t="s">
        <v>43375</v>
      </c>
      <c r="N13006" t="s">
        <v>44759</v>
      </c>
      <c r="O13006" t="s">
        <v>44760</v>
      </c>
      <c r="Q13006">
        <v>15</v>
      </c>
      <c r="R13006" t="s">
        <v>44779</v>
      </c>
      <c r="S13006" t="s">
        <v>45633</v>
      </c>
      <c r="T13006" t="s">
        <v>46921</v>
      </c>
      <c r="U13006" t="s">
        <v>56685</v>
      </c>
      <c r="V13006" t="s">
        <v>60469</v>
      </c>
      <c r="W13006" t="s">
        <v>43375</v>
      </c>
      <c r="X13006" t="s">
        <v>44780</v>
      </c>
    </row>
    <row r="13007" spans="1:24">
      <c r="A13007">
        <f>HYPERLINK("https://www.philgeps.gov.ph/GEPSNONPILOT/Tender/SplashBidNoticeAbstractUI.aspx?menuIndex=3&amp;refID=7116453&amp;Result=3","7116453")</f>
        <v>0</v>
      </c>
      <c r="B13007" t="s">
        <v>2309</v>
      </c>
      <c r="C13007" t="s">
        <v>16146</v>
      </c>
      <c r="D13007" t="s">
        <v>17961</v>
      </c>
      <c r="E13007" t="s">
        <v>29287</v>
      </c>
      <c r="F13007" t="s">
        <v>30900</v>
      </c>
      <c r="G13007" t="s">
        <v>30907</v>
      </c>
      <c r="H13007" t="s">
        <v>30915</v>
      </c>
      <c r="I13007" t="s">
        <v>30919</v>
      </c>
      <c r="J13007" t="s">
        <v>32285</v>
      </c>
      <c r="K13007" t="s">
        <v>40342</v>
      </c>
      <c r="M13007" t="s">
        <v>43027</v>
      </c>
      <c r="N13007" t="s">
        <v>44759</v>
      </c>
      <c r="O13007" t="s">
        <v>44760</v>
      </c>
      <c r="Q13007">
        <v>2</v>
      </c>
      <c r="R13007" t="s">
        <v>44779</v>
      </c>
      <c r="S13007" t="s">
        <v>45634</v>
      </c>
      <c r="T13007" t="s">
        <v>46533</v>
      </c>
      <c r="U13007" t="s">
        <v>57613</v>
      </c>
      <c r="V13007" t="s">
        <v>60584</v>
      </c>
      <c r="W13007" t="s">
        <v>43027</v>
      </c>
      <c r="X13007" t="s">
        <v>44780</v>
      </c>
    </row>
    <row r="13008" spans="1:24">
      <c r="A13008">
        <f>HYPERLINK("https://www.philgeps.gov.ph/GEPSNONPILOT/Tender/SplashBidNoticeAbstractUI.aspx?menuIndex=3&amp;refID=7116450&amp;Result=3","7116450")</f>
        <v>0</v>
      </c>
      <c r="B13008" t="s">
        <v>180</v>
      </c>
      <c r="C13008" t="s">
        <v>16147</v>
      </c>
      <c r="D13008" t="s">
        <v>17987</v>
      </c>
      <c r="E13008" t="s">
        <v>29288</v>
      </c>
      <c r="F13008" t="s">
        <v>30900</v>
      </c>
      <c r="G13008" t="s">
        <v>30907</v>
      </c>
      <c r="H13008" t="s">
        <v>30916</v>
      </c>
      <c r="I13008" t="s">
        <v>8123</v>
      </c>
      <c r="J13008" t="s">
        <v>39147</v>
      </c>
      <c r="K13008" t="s">
        <v>40289</v>
      </c>
      <c r="M13008" t="s">
        <v>44303</v>
      </c>
      <c r="N13008" t="s">
        <v>44759</v>
      </c>
      <c r="O13008" t="s">
        <v>44760</v>
      </c>
      <c r="Q13008">
        <v>0</v>
      </c>
      <c r="R13008" t="s">
        <v>44779</v>
      </c>
      <c r="S13008" t="s">
        <v>45635</v>
      </c>
      <c r="T13008" t="s">
        <v>46409</v>
      </c>
      <c r="U13008" t="s">
        <v>57614</v>
      </c>
      <c r="W13008" t="s">
        <v>44303</v>
      </c>
      <c r="X13008" t="s">
        <v>44780</v>
      </c>
    </row>
    <row r="13009" spans="1:24">
      <c r="A13009">
        <f>HYPERLINK("https://www.philgeps.gov.ph/GEPSNONPILOT/Tender/SplashBidNoticeAbstractUI.aspx?menuIndex=3&amp;refID=7116393&amp;Result=3","7116393")</f>
        <v>0</v>
      </c>
      <c r="B13009" t="s">
        <v>3302</v>
      </c>
      <c r="C13009" t="s">
        <v>16148</v>
      </c>
      <c r="D13009" t="s">
        <v>17959</v>
      </c>
      <c r="E13009" t="s">
        <v>29289</v>
      </c>
      <c r="F13009" t="s">
        <v>30900</v>
      </c>
      <c r="G13009" t="s">
        <v>30907</v>
      </c>
      <c r="H13009" t="s">
        <v>30916</v>
      </c>
      <c r="I13009" t="s">
        <v>30926</v>
      </c>
      <c r="J13009" t="s">
        <v>39148</v>
      </c>
      <c r="K13009" t="s">
        <v>40284</v>
      </c>
      <c r="M13009" t="s">
        <v>44506</v>
      </c>
      <c r="N13009" t="s">
        <v>44759</v>
      </c>
      <c r="O13009" t="s">
        <v>44760</v>
      </c>
      <c r="P13009">
        <v>0</v>
      </c>
      <c r="Q13009">
        <v>0</v>
      </c>
      <c r="R13009" t="s">
        <v>44779</v>
      </c>
      <c r="S13009" t="s">
        <v>45618</v>
      </c>
      <c r="T13009" t="s">
        <v>46581</v>
      </c>
      <c r="U13009" t="s">
        <v>57615</v>
      </c>
      <c r="W13009" t="s">
        <v>44506</v>
      </c>
      <c r="X13009" t="s">
        <v>44780</v>
      </c>
    </row>
    <row r="13010" spans="1:24">
      <c r="A13010">
        <f>HYPERLINK("https://www.philgeps.gov.ph/GEPSNONPILOT/Tender/SplashBidNoticeAbstractUI.aspx?menuIndex=3&amp;refID=7116345&amp;Result=3","7116345")</f>
        <v>0</v>
      </c>
      <c r="B13010" t="s">
        <v>1066</v>
      </c>
      <c r="C13010" t="s">
        <v>16149</v>
      </c>
      <c r="D13010" t="s">
        <v>17970</v>
      </c>
      <c r="E13010" t="s">
        <v>29290</v>
      </c>
      <c r="F13010" t="s">
        <v>30900</v>
      </c>
      <c r="G13010" t="s">
        <v>30907</v>
      </c>
      <c r="H13010" t="s">
        <v>30915</v>
      </c>
      <c r="I13010" t="s">
        <v>30919</v>
      </c>
      <c r="J13010" t="s">
        <v>39149</v>
      </c>
      <c r="K13010" t="s">
        <v>40291</v>
      </c>
      <c r="M13010" t="s">
        <v>41663</v>
      </c>
      <c r="N13010" t="s">
        <v>44759</v>
      </c>
      <c r="O13010" t="s">
        <v>44760</v>
      </c>
      <c r="P13010">
        <v>0</v>
      </c>
      <c r="Q13010">
        <v>1</v>
      </c>
      <c r="R13010" t="s">
        <v>44779</v>
      </c>
      <c r="S13010" t="s">
        <v>45618</v>
      </c>
      <c r="T13010" t="s">
        <v>46533</v>
      </c>
      <c r="U13010" t="s">
        <v>57616</v>
      </c>
      <c r="W13010" t="s">
        <v>41663</v>
      </c>
      <c r="X13010" t="s">
        <v>44780</v>
      </c>
    </row>
    <row r="13011" spans="1:24">
      <c r="A13011">
        <f>HYPERLINK("https://www.philgeps.gov.ph/GEPSNONPILOT/Tender/SplashBidNoticeAbstractUI.aspx?menuIndex=3&amp;refID=7116529&amp;Result=3","7116529")</f>
        <v>0</v>
      </c>
      <c r="B13011" t="s">
        <v>838</v>
      </c>
      <c r="C13011" t="s">
        <v>16150</v>
      </c>
      <c r="D13011" t="s">
        <v>17975</v>
      </c>
      <c r="E13011" t="s">
        <v>19701</v>
      </c>
      <c r="F13011" t="s">
        <v>30900</v>
      </c>
      <c r="G13011" t="s">
        <v>30907</v>
      </c>
      <c r="H13011" t="s">
        <v>30915</v>
      </c>
      <c r="I13011" t="s">
        <v>30919</v>
      </c>
      <c r="J13011" t="s">
        <v>31374</v>
      </c>
      <c r="K13011" t="s">
        <v>40280</v>
      </c>
      <c r="M13011" t="s">
        <v>41411</v>
      </c>
      <c r="N13011" t="s">
        <v>44759</v>
      </c>
      <c r="O13011" t="s">
        <v>44760</v>
      </c>
      <c r="P13011">
        <v>0</v>
      </c>
      <c r="Q13011">
        <v>1</v>
      </c>
      <c r="R13011" t="s">
        <v>44779</v>
      </c>
      <c r="S13011" t="s">
        <v>45618</v>
      </c>
      <c r="T13011" t="s">
        <v>46625</v>
      </c>
      <c r="U13011" t="s">
        <v>57617</v>
      </c>
      <c r="W13011" t="s">
        <v>41411</v>
      </c>
      <c r="X13011" t="s">
        <v>44780</v>
      </c>
    </row>
    <row r="13012" spans="1:24">
      <c r="A13012">
        <f>HYPERLINK("https://www.philgeps.gov.ph/GEPSNONPILOT/Tender/SplashBidNoticeAbstractUI.aspx?menuIndex=3&amp;refID=7116207&amp;Result=3","7116207")</f>
        <v>0</v>
      </c>
      <c r="B13012" t="s">
        <v>1812</v>
      </c>
      <c r="C13012" t="s">
        <v>16151</v>
      </c>
      <c r="D13012" t="s">
        <v>17988</v>
      </c>
      <c r="E13012" t="s">
        <v>29291</v>
      </c>
      <c r="F13012" t="s">
        <v>30900</v>
      </c>
      <c r="G13012" t="s">
        <v>30907</v>
      </c>
      <c r="H13012" t="s">
        <v>30915</v>
      </c>
      <c r="I13012" t="s">
        <v>30919</v>
      </c>
      <c r="J13012" t="s">
        <v>39150</v>
      </c>
      <c r="K13012" t="s">
        <v>40327</v>
      </c>
      <c r="M13012" t="s">
        <v>42486</v>
      </c>
      <c r="N13012" t="s">
        <v>44759</v>
      </c>
      <c r="O13012" t="s">
        <v>44760</v>
      </c>
      <c r="P13012">
        <v>0</v>
      </c>
      <c r="Q13012">
        <v>0</v>
      </c>
      <c r="R13012" t="s">
        <v>44779</v>
      </c>
      <c r="S13012" t="s">
        <v>45618</v>
      </c>
      <c r="T13012" t="s">
        <v>46409</v>
      </c>
      <c r="U13012" t="s">
        <v>57618</v>
      </c>
      <c r="W13012" t="s">
        <v>42486</v>
      </c>
      <c r="X13012" t="s">
        <v>44781</v>
      </c>
    </row>
    <row r="13013" spans="1:24">
      <c r="A13013">
        <f>HYPERLINK("https://www.philgeps.gov.ph/GEPSNONPILOT/Tender/SplashBidNoticeAbstractUI.aspx?menuIndex=3&amp;refID=7115352&amp;Result=3","7115352")</f>
        <v>0</v>
      </c>
      <c r="B13013" t="s">
        <v>3302</v>
      </c>
      <c r="C13013" t="s">
        <v>16152</v>
      </c>
      <c r="D13013" t="s">
        <v>17959</v>
      </c>
      <c r="E13013" t="s">
        <v>29292</v>
      </c>
      <c r="F13013" t="s">
        <v>30900</v>
      </c>
      <c r="G13013" t="s">
        <v>30907</v>
      </c>
      <c r="H13013" t="s">
        <v>30916</v>
      </c>
      <c r="I13013" t="s">
        <v>4142</v>
      </c>
      <c r="J13013" t="s">
        <v>32675</v>
      </c>
      <c r="K13013" t="s">
        <v>40284</v>
      </c>
      <c r="M13013" t="s">
        <v>44506</v>
      </c>
      <c r="N13013" t="s">
        <v>44759</v>
      </c>
      <c r="O13013" t="s">
        <v>44760</v>
      </c>
      <c r="P13013">
        <v>0</v>
      </c>
      <c r="Q13013">
        <v>3</v>
      </c>
      <c r="R13013" t="s">
        <v>44779</v>
      </c>
      <c r="S13013" t="s">
        <v>45618</v>
      </c>
      <c r="T13013" t="s">
        <v>46581</v>
      </c>
      <c r="U13013" t="s">
        <v>57615</v>
      </c>
      <c r="W13013" t="s">
        <v>44506</v>
      </c>
      <c r="X13013" t="s">
        <v>44781</v>
      </c>
    </row>
    <row r="13014" spans="1:24">
      <c r="A13014">
        <f>HYPERLINK("https://www.philgeps.gov.ph/GEPSNONPILOT/Tender/SplashBidNoticeAbstractUI.aspx?menuIndex=3&amp;refID=7118704&amp;Result=3","7118704")</f>
        <v>0</v>
      </c>
      <c r="B13014" t="s">
        <v>1997</v>
      </c>
      <c r="C13014" t="s">
        <v>16153</v>
      </c>
      <c r="D13014" t="s">
        <v>17953</v>
      </c>
      <c r="E13014" t="s">
        <v>29293</v>
      </c>
      <c r="F13014" t="s">
        <v>30900</v>
      </c>
      <c r="G13014" t="s">
        <v>30907</v>
      </c>
      <c r="H13014" t="s">
        <v>30916</v>
      </c>
      <c r="I13014" t="s">
        <v>30923</v>
      </c>
      <c r="J13014" t="s">
        <v>39151</v>
      </c>
      <c r="K13014" t="s">
        <v>40284</v>
      </c>
      <c r="M13014" t="s">
        <v>44467</v>
      </c>
      <c r="N13014" t="s">
        <v>44759</v>
      </c>
      <c r="O13014" t="s">
        <v>44760</v>
      </c>
      <c r="Q13014">
        <v>7</v>
      </c>
      <c r="R13014" t="s">
        <v>44777</v>
      </c>
      <c r="S13014" t="s">
        <v>45632</v>
      </c>
      <c r="T13014" t="s">
        <v>46399</v>
      </c>
      <c r="U13014" t="s">
        <v>57619</v>
      </c>
      <c r="V13014" t="s">
        <v>60557</v>
      </c>
      <c r="W13014" t="s">
        <v>44467</v>
      </c>
      <c r="X13014" t="s">
        <v>44780</v>
      </c>
    </row>
    <row r="13015" spans="1:24">
      <c r="A13015">
        <f>HYPERLINK("https://www.philgeps.gov.ph/GEPSNONPILOT/Tender/SplashBidNoticeAbstractUI.aspx?menuIndex=3&amp;refID=7114946&amp;Result=3","7114946")</f>
        <v>0</v>
      </c>
      <c r="B13015" t="s">
        <v>939</v>
      </c>
      <c r="C13015" t="s">
        <v>16154</v>
      </c>
      <c r="D13015" t="s">
        <v>17959</v>
      </c>
      <c r="E13015" t="s">
        <v>29294</v>
      </c>
      <c r="F13015" t="s">
        <v>30900</v>
      </c>
      <c r="G13015" t="s">
        <v>30907</v>
      </c>
      <c r="H13015" t="s">
        <v>30916</v>
      </c>
      <c r="I13015" t="s">
        <v>4142</v>
      </c>
      <c r="J13015" t="s">
        <v>39152</v>
      </c>
      <c r="K13015" t="s">
        <v>40280</v>
      </c>
      <c r="M13015" t="s">
        <v>41522</v>
      </c>
      <c r="N13015" t="s">
        <v>44759</v>
      </c>
      <c r="O13015" t="s">
        <v>44760</v>
      </c>
      <c r="Q13015">
        <v>19</v>
      </c>
      <c r="R13015" t="s">
        <v>44779</v>
      </c>
      <c r="S13015" t="s">
        <v>45636</v>
      </c>
      <c r="T13015" t="s">
        <v>46404</v>
      </c>
      <c r="U13015" t="s">
        <v>48648</v>
      </c>
      <c r="W13015" t="s">
        <v>41522</v>
      </c>
      <c r="X13015" t="s">
        <v>44781</v>
      </c>
    </row>
    <row r="13016" spans="1:24">
      <c r="A13016">
        <f>HYPERLINK("https://www.philgeps.gov.ph/GEPSNONPILOT/Tender/SplashBidNoticeAbstractUI.aspx?menuIndex=3&amp;refID=7116238&amp;Result=3","7116238")</f>
        <v>0</v>
      </c>
      <c r="B13016" t="s">
        <v>3581</v>
      </c>
      <c r="C13016" t="s">
        <v>16155</v>
      </c>
      <c r="D13016" t="s">
        <v>17971</v>
      </c>
      <c r="E13016" t="s">
        <v>29295</v>
      </c>
      <c r="F13016" t="s">
        <v>30900</v>
      </c>
      <c r="G13016" t="s">
        <v>30913</v>
      </c>
      <c r="H13016" t="s">
        <v>30915</v>
      </c>
      <c r="I13016" t="s">
        <v>30919</v>
      </c>
      <c r="J13016" t="s">
        <v>33015</v>
      </c>
      <c r="K13016" t="s">
        <v>40304</v>
      </c>
      <c r="M13016" t="s">
        <v>44507</v>
      </c>
      <c r="N13016" t="s">
        <v>44759</v>
      </c>
      <c r="O13016" t="s">
        <v>44760</v>
      </c>
      <c r="P13016">
        <v>0</v>
      </c>
      <c r="Q13016">
        <v>101</v>
      </c>
      <c r="R13016" t="s">
        <v>44779</v>
      </c>
      <c r="S13016" t="s">
        <v>45618</v>
      </c>
      <c r="T13016" t="s">
        <v>46613</v>
      </c>
      <c r="U13016" t="s">
        <v>57620</v>
      </c>
      <c r="V13016" t="s">
        <v>60585</v>
      </c>
      <c r="W13016" t="s">
        <v>44507</v>
      </c>
      <c r="X13016" t="s">
        <v>44781</v>
      </c>
    </row>
    <row r="13017" spans="1:24">
      <c r="A13017">
        <f>HYPERLINK("https://www.philgeps.gov.ph/GEPSNONPILOT/Tender/SplashBidNoticeAbstractUI.aspx?menuIndex=3&amp;refID=7118665&amp;Result=3","7118665")</f>
        <v>0</v>
      </c>
      <c r="B13017" t="s">
        <v>1384</v>
      </c>
      <c r="C13017" t="s">
        <v>16156</v>
      </c>
      <c r="D13017" t="s">
        <v>18013</v>
      </c>
      <c r="E13017" t="s">
        <v>29296</v>
      </c>
      <c r="F13017" t="s">
        <v>30900</v>
      </c>
      <c r="G13017" t="s">
        <v>30907</v>
      </c>
      <c r="H13017" t="s">
        <v>30916</v>
      </c>
      <c r="I13017" t="s">
        <v>30931</v>
      </c>
      <c r="J13017" t="s">
        <v>31341</v>
      </c>
      <c r="K13017" t="s">
        <v>40284</v>
      </c>
      <c r="M13017" t="s">
        <v>42008</v>
      </c>
      <c r="N13017" t="s">
        <v>44759</v>
      </c>
      <c r="O13017" t="s">
        <v>44760</v>
      </c>
      <c r="P13017">
        <v>0</v>
      </c>
      <c r="Q13017">
        <v>0</v>
      </c>
      <c r="R13017" t="s">
        <v>44777</v>
      </c>
      <c r="S13017" t="s">
        <v>45524</v>
      </c>
      <c r="T13017" t="s">
        <v>46376</v>
      </c>
      <c r="U13017" t="s">
        <v>57621</v>
      </c>
      <c r="V13017" t="s">
        <v>49756</v>
      </c>
      <c r="W13017" t="s">
        <v>42008</v>
      </c>
      <c r="X13017" t="s">
        <v>44780</v>
      </c>
    </row>
    <row r="13018" spans="1:24">
      <c r="A13018">
        <f>HYPERLINK("https://www.philgeps.gov.ph/GEPSNONPILOT/Tender/SplashBidNoticeAbstractUI.aspx?menuIndex=3&amp;refID=7115319&amp;Result=3","7115319")</f>
        <v>0</v>
      </c>
      <c r="B13018" t="s">
        <v>1835</v>
      </c>
      <c r="C13018" t="s">
        <v>16157</v>
      </c>
      <c r="D13018" t="s">
        <v>17959</v>
      </c>
      <c r="E13018" t="s">
        <v>29297</v>
      </c>
      <c r="F13018" t="s">
        <v>30900</v>
      </c>
      <c r="G13018" t="s">
        <v>30907</v>
      </c>
      <c r="H13018" t="s">
        <v>30915</v>
      </c>
      <c r="I13018" t="s">
        <v>31029</v>
      </c>
      <c r="J13018" t="s">
        <v>32271</v>
      </c>
      <c r="K13018" t="s">
        <v>40342</v>
      </c>
      <c r="M13018" t="s">
        <v>42508</v>
      </c>
      <c r="N13018" t="s">
        <v>44759</v>
      </c>
      <c r="O13018" t="s">
        <v>44760</v>
      </c>
      <c r="Q13018">
        <v>8</v>
      </c>
      <c r="R13018" t="s">
        <v>44779</v>
      </c>
      <c r="S13018" t="s">
        <v>45637</v>
      </c>
      <c r="T13018" t="s">
        <v>46399</v>
      </c>
      <c r="U13018" t="s">
        <v>57622</v>
      </c>
      <c r="W13018" t="s">
        <v>42508</v>
      </c>
      <c r="X13018" t="s">
        <v>44781</v>
      </c>
    </row>
    <row r="13019" spans="1:24">
      <c r="A13019">
        <f>HYPERLINK("https://www.philgeps.gov.ph/GEPSNONPILOT/Tender/SplashBidNoticeAbstractUI.aspx?menuIndex=3&amp;refID=7116599&amp;Result=3","7116599")</f>
        <v>0</v>
      </c>
      <c r="B13019" t="s">
        <v>2413</v>
      </c>
      <c r="C13019" t="s">
        <v>16158</v>
      </c>
      <c r="D13019" t="s">
        <v>17957</v>
      </c>
      <c r="E13019" t="s">
        <v>29298</v>
      </c>
      <c r="F13019" t="s">
        <v>30900</v>
      </c>
      <c r="G13019" t="s">
        <v>30907</v>
      </c>
      <c r="H13019" t="s">
        <v>30915</v>
      </c>
      <c r="I13019" t="s">
        <v>30919</v>
      </c>
      <c r="J13019" t="s">
        <v>31105</v>
      </c>
      <c r="K13019" t="s">
        <v>40286</v>
      </c>
      <c r="M13019" t="s">
        <v>43140</v>
      </c>
      <c r="N13019" t="s">
        <v>44759</v>
      </c>
      <c r="O13019" t="s">
        <v>44760</v>
      </c>
      <c r="P13019">
        <v>0</v>
      </c>
      <c r="Q13019">
        <v>0</v>
      </c>
      <c r="R13019" t="s">
        <v>44779</v>
      </c>
      <c r="S13019" t="s">
        <v>45618</v>
      </c>
      <c r="T13019" t="s">
        <v>46403</v>
      </c>
      <c r="U13019" t="s">
        <v>57623</v>
      </c>
      <c r="V13019" t="s">
        <v>60586</v>
      </c>
      <c r="W13019" t="s">
        <v>43140</v>
      </c>
      <c r="X13019" t="s">
        <v>44780</v>
      </c>
    </row>
    <row r="13020" spans="1:24">
      <c r="A13020">
        <f>HYPERLINK("https://www.philgeps.gov.ph/GEPSNONPILOT/Tender/SplashBidNoticeAbstractUI.aspx?menuIndex=3&amp;refID=7114881&amp;Result=3","7114881")</f>
        <v>0</v>
      </c>
      <c r="B13020" t="s">
        <v>3238</v>
      </c>
      <c r="C13020" t="s">
        <v>16159</v>
      </c>
      <c r="D13020" t="s">
        <v>17957</v>
      </c>
      <c r="E13020" t="s">
        <v>29299</v>
      </c>
      <c r="F13020" t="s">
        <v>30900</v>
      </c>
      <c r="G13020" t="s">
        <v>30907</v>
      </c>
      <c r="H13020" t="s">
        <v>30916</v>
      </c>
      <c r="I13020" t="s">
        <v>30933</v>
      </c>
      <c r="J13020" t="s">
        <v>39153</v>
      </c>
      <c r="K13020" t="s">
        <v>40286</v>
      </c>
      <c r="M13020" t="s">
        <v>44081</v>
      </c>
      <c r="N13020" t="s">
        <v>44759</v>
      </c>
      <c r="O13020" t="s">
        <v>44760</v>
      </c>
      <c r="P13020">
        <v>0</v>
      </c>
      <c r="Q13020">
        <v>13</v>
      </c>
      <c r="R13020" t="s">
        <v>44779</v>
      </c>
      <c r="S13020" t="s">
        <v>45618</v>
      </c>
      <c r="T13020" t="s">
        <v>46383</v>
      </c>
      <c r="U13020" t="s">
        <v>57624</v>
      </c>
      <c r="W13020" t="s">
        <v>44081</v>
      </c>
      <c r="X13020" t="s">
        <v>44781</v>
      </c>
    </row>
    <row r="13021" spans="1:24">
      <c r="A13021">
        <f>HYPERLINK("https://www.philgeps.gov.ph/GEPSNONPILOT/Tender/SplashBidNoticeAbstractUI.aspx?menuIndex=3&amp;refID=7121558&amp;Result=3","7121558")</f>
        <v>0</v>
      </c>
      <c r="B13021" t="s">
        <v>3582</v>
      </c>
      <c r="C13021" t="s">
        <v>16160</v>
      </c>
      <c r="D13021" t="s">
        <v>18004</v>
      </c>
      <c r="E13021" t="s">
        <v>29300</v>
      </c>
      <c r="F13021" t="s">
        <v>30900</v>
      </c>
      <c r="G13021" t="s">
        <v>30907</v>
      </c>
      <c r="H13021" t="s">
        <v>30916</v>
      </c>
      <c r="I13021" t="s">
        <v>30919</v>
      </c>
      <c r="J13021" t="s">
        <v>39154</v>
      </c>
      <c r="K13021" t="s">
        <v>40333</v>
      </c>
      <c r="M13021" t="s">
        <v>44508</v>
      </c>
      <c r="N13021" t="s">
        <v>44759</v>
      </c>
      <c r="O13021" t="s">
        <v>44760</v>
      </c>
      <c r="P13021">
        <v>0</v>
      </c>
      <c r="Q13021">
        <v>2</v>
      </c>
      <c r="R13021" t="s">
        <v>44776</v>
      </c>
      <c r="S13021" t="s">
        <v>45453</v>
      </c>
      <c r="T13021" t="s">
        <v>46376</v>
      </c>
      <c r="U13021" t="s">
        <v>57625</v>
      </c>
      <c r="W13021" t="s">
        <v>44508</v>
      </c>
      <c r="X13021" t="s">
        <v>44777</v>
      </c>
    </row>
    <row r="13022" spans="1:24">
      <c r="A13022">
        <f>HYPERLINK("https://www.philgeps.gov.ph/GEPSNONPILOT/Tender/SplashBidNoticeAbstractUI.aspx?menuIndex=3&amp;refID=7121578&amp;Result=3","7121578")</f>
        <v>0</v>
      </c>
      <c r="B13022" t="s">
        <v>3583</v>
      </c>
      <c r="C13022" t="s">
        <v>16161</v>
      </c>
      <c r="D13022" t="s">
        <v>18012</v>
      </c>
      <c r="E13022" t="s">
        <v>18615</v>
      </c>
      <c r="F13022" t="s">
        <v>30900</v>
      </c>
      <c r="G13022" t="s">
        <v>30913</v>
      </c>
      <c r="H13022" t="s">
        <v>30916</v>
      </c>
      <c r="I13022" t="s">
        <v>31013</v>
      </c>
      <c r="J13022" t="s">
        <v>39155</v>
      </c>
      <c r="K13022" t="s">
        <v>40286</v>
      </c>
      <c r="M13022" t="s">
        <v>44509</v>
      </c>
      <c r="N13022" t="s">
        <v>44759</v>
      </c>
      <c r="O13022" t="s">
        <v>44760</v>
      </c>
      <c r="Q13022">
        <v>1</v>
      </c>
      <c r="R13022" t="s">
        <v>44776</v>
      </c>
      <c r="S13022" t="s">
        <v>45638</v>
      </c>
      <c r="T13022" t="s">
        <v>46581</v>
      </c>
      <c r="U13022" t="s">
        <v>57626</v>
      </c>
      <c r="W13022" t="s">
        <v>44509</v>
      </c>
      <c r="X13022" t="s">
        <v>44777</v>
      </c>
    </row>
    <row r="13023" spans="1:24">
      <c r="A13023">
        <f>HYPERLINK("https://www.philgeps.gov.ph/GEPSNONPILOT/Tender/SplashBidNoticeAbstractUI.aspx?menuIndex=3&amp;refID=7121526&amp;Result=3","7121526")</f>
        <v>0</v>
      </c>
      <c r="B13023" t="s">
        <v>3506</v>
      </c>
      <c r="C13023" t="s">
        <v>16162</v>
      </c>
      <c r="D13023" t="s">
        <v>17975</v>
      </c>
      <c r="E13023" t="s">
        <v>29301</v>
      </c>
      <c r="F13023" t="s">
        <v>30900</v>
      </c>
      <c r="G13023" t="s">
        <v>30907</v>
      </c>
      <c r="H13023" t="s">
        <v>30915</v>
      </c>
      <c r="I13023" t="s">
        <v>30919</v>
      </c>
      <c r="J13023" t="s">
        <v>39156</v>
      </c>
      <c r="K13023" t="s">
        <v>40292</v>
      </c>
      <c r="M13023" t="s">
        <v>44411</v>
      </c>
      <c r="N13023" t="s">
        <v>44759</v>
      </c>
      <c r="O13023" t="s">
        <v>44760</v>
      </c>
      <c r="P13023">
        <v>0</v>
      </c>
      <c r="Q13023">
        <v>2</v>
      </c>
      <c r="R13023" t="s">
        <v>44776</v>
      </c>
      <c r="S13023" t="s">
        <v>45453</v>
      </c>
      <c r="T13023" t="s">
        <v>46443</v>
      </c>
      <c r="U13023" t="s">
        <v>57195</v>
      </c>
      <c r="V13023" t="s">
        <v>60530</v>
      </c>
      <c r="W13023" t="s">
        <v>44411</v>
      </c>
      <c r="X13023" t="s">
        <v>44777</v>
      </c>
    </row>
    <row r="13024" spans="1:24">
      <c r="A13024">
        <f>HYPERLINK("https://www.philgeps.gov.ph/GEPSNONPILOT/Tender/SplashBidNoticeAbstractUI.aspx?menuIndex=3&amp;refID=7121570&amp;Result=3","7121570")</f>
        <v>0</v>
      </c>
      <c r="B13024" t="s">
        <v>2992</v>
      </c>
      <c r="C13024" t="s">
        <v>16163</v>
      </c>
      <c r="D13024" t="s">
        <v>17975</v>
      </c>
      <c r="E13024" t="s">
        <v>26275</v>
      </c>
      <c r="F13024" t="s">
        <v>30899</v>
      </c>
      <c r="G13024" t="s">
        <v>30907</v>
      </c>
      <c r="H13024" t="s">
        <v>30915</v>
      </c>
      <c r="I13024" t="s">
        <v>30919</v>
      </c>
      <c r="J13024" t="s">
        <v>39157</v>
      </c>
      <c r="K13024" t="s">
        <v>40396</v>
      </c>
      <c r="L13024" t="s">
        <v>2992</v>
      </c>
      <c r="M13024" t="s">
        <v>43795</v>
      </c>
      <c r="N13024" t="s">
        <v>44759</v>
      </c>
      <c r="O13024" t="s">
        <v>44760</v>
      </c>
      <c r="P13024">
        <v>0</v>
      </c>
      <c r="Q13024">
        <v>0</v>
      </c>
      <c r="R13024" t="s">
        <v>44776</v>
      </c>
      <c r="S13024" t="s">
        <v>45453</v>
      </c>
      <c r="T13024" t="s">
        <v>46357</v>
      </c>
      <c r="U13024" t="s">
        <v>57627</v>
      </c>
      <c r="W13024" t="s">
        <v>43795</v>
      </c>
      <c r="X13024" t="s">
        <v>44777</v>
      </c>
    </row>
    <row r="13025" spans="1:24">
      <c r="A13025">
        <f>HYPERLINK("https://www.philgeps.gov.ph/GEPSNONPILOT/Tender/SplashBidNoticeAbstractUI.aspx?menuIndex=3&amp;refID=7121565&amp;Result=3","7121565")</f>
        <v>0</v>
      </c>
      <c r="B13025" t="s">
        <v>2920</v>
      </c>
      <c r="C13025" t="s">
        <v>16164</v>
      </c>
      <c r="D13025" t="s">
        <v>17975</v>
      </c>
      <c r="E13025" t="s">
        <v>29302</v>
      </c>
      <c r="F13025" t="s">
        <v>30900</v>
      </c>
      <c r="G13025" t="s">
        <v>30907</v>
      </c>
      <c r="H13025" t="s">
        <v>30916</v>
      </c>
      <c r="I13025" t="s">
        <v>4017</v>
      </c>
      <c r="J13025" t="s">
        <v>35065</v>
      </c>
      <c r="K13025" t="s">
        <v>40293</v>
      </c>
      <c r="M13025" t="s">
        <v>43715</v>
      </c>
      <c r="N13025" t="s">
        <v>44759</v>
      </c>
      <c r="O13025" t="s">
        <v>44760</v>
      </c>
      <c r="P13025">
        <v>0</v>
      </c>
      <c r="Q13025">
        <v>5</v>
      </c>
      <c r="R13025" t="s">
        <v>44776</v>
      </c>
      <c r="S13025" t="s">
        <v>45453</v>
      </c>
      <c r="T13025" t="s">
        <v>46487</v>
      </c>
      <c r="U13025" t="s">
        <v>57628</v>
      </c>
      <c r="W13025" t="s">
        <v>43715</v>
      </c>
      <c r="X13025" t="s">
        <v>44777</v>
      </c>
    </row>
    <row r="13026" spans="1:24">
      <c r="A13026">
        <f>HYPERLINK("https://www.philgeps.gov.ph/GEPSNONPILOT/Tender/SplashBidNoticeAbstractUI.aspx?menuIndex=3&amp;refID=7121347&amp;Result=3","7121347")</f>
        <v>0</v>
      </c>
      <c r="B13026" t="s">
        <v>1590</v>
      </c>
      <c r="C13026" t="s">
        <v>16165</v>
      </c>
      <c r="E13026" t="s">
        <v>29303</v>
      </c>
      <c r="F13026" t="s">
        <v>30900</v>
      </c>
      <c r="G13026" t="s">
        <v>30907</v>
      </c>
      <c r="H13026" t="s">
        <v>30916</v>
      </c>
      <c r="I13026" t="s">
        <v>30923</v>
      </c>
      <c r="J13026" t="s">
        <v>35993</v>
      </c>
      <c r="K13026" t="s">
        <v>40289</v>
      </c>
      <c r="M13026" t="s">
        <v>44413</v>
      </c>
      <c r="N13026" t="s">
        <v>44759</v>
      </c>
      <c r="O13026" t="s">
        <v>44760</v>
      </c>
      <c r="Q13026">
        <v>36</v>
      </c>
      <c r="R13026" t="s">
        <v>44776</v>
      </c>
      <c r="S13026" t="s">
        <v>45639</v>
      </c>
      <c r="T13026" t="s">
        <v>46449</v>
      </c>
      <c r="U13026" t="s">
        <v>57186</v>
      </c>
      <c r="W13026" t="s">
        <v>44413</v>
      </c>
      <c r="X13026" t="s">
        <v>44777</v>
      </c>
    </row>
    <row r="13027" spans="1:24">
      <c r="A13027">
        <f>HYPERLINK("https://www.philgeps.gov.ph/GEPSNONPILOT/Tender/SplashBidNoticeAbstractUI.aspx?menuIndex=3&amp;refID=7116386&amp;Result=3","7116386")</f>
        <v>0</v>
      </c>
      <c r="B13027" t="s">
        <v>3302</v>
      </c>
      <c r="C13027" t="s">
        <v>16166</v>
      </c>
      <c r="D13027" t="s">
        <v>17959</v>
      </c>
      <c r="E13027" t="s">
        <v>29289</v>
      </c>
      <c r="F13027" t="s">
        <v>30900</v>
      </c>
      <c r="G13027" t="s">
        <v>30907</v>
      </c>
      <c r="H13027" t="s">
        <v>30916</v>
      </c>
      <c r="I13027" t="s">
        <v>30926</v>
      </c>
      <c r="J13027" t="s">
        <v>39148</v>
      </c>
      <c r="K13027" t="s">
        <v>40284</v>
      </c>
      <c r="M13027" t="s">
        <v>44506</v>
      </c>
      <c r="N13027" t="s">
        <v>44759</v>
      </c>
      <c r="O13027" t="s">
        <v>44760</v>
      </c>
      <c r="P13027">
        <v>0</v>
      </c>
      <c r="Q13027">
        <v>2</v>
      </c>
      <c r="R13027" t="s">
        <v>44779</v>
      </c>
      <c r="S13027" t="s">
        <v>45618</v>
      </c>
      <c r="T13027" t="s">
        <v>46581</v>
      </c>
      <c r="U13027" t="s">
        <v>57615</v>
      </c>
      <c r="W13027" t="s">
        <v>44506</v>
      </c>
      <c r="X13027" t="s">
        <v>44780</v>
      </c>
    </row>
    <row r="13028" spans="1:24">
      <c r="A13028">
        <f>HYPERLINK("https://www.philgeps.gov.ph/GEPSNONPILOT/Tender/SplashBidNoticeAbstractUI.aspx?menuIndex=3&amp;refID=7121333&amp;Result=3","7121333")</f>
        <v>0</v>
      </c>
      <c r="B13028" t="s">
        <v>1590</v>
      </c>
      <c r="C13028" t="s">
        <v>16167</v>
      </c>
      <c r="E13028" t="s">
        <v>29304</v>
      </c>
      <c r="F13028" t="s">
        <v>30900</v>
      </c>
      <c r="G13028" t="s">
        <v>30907</v>
      </c>
      <c r="H13028" t="s">
        <v>30916</v>
      </c>
      <c r="I13028" t="s">
        <v>30923</v>
      </c>
      <c r="J13028" t="s">
        <v>39158</v>
      </c>
      <c r="K13028" t="s">
        <v>40289</v>
      </c>
      <c r="M13028" t="s">
        <v>44413</v>
      </c>
      <c r="N13028" t="s">
        <v>44759</v>
      </c>
      <c r="O13028" t="s">
        <v>44760</v>
      </c>
      <c r="Q13028">
        <v>27</v>
      </c>
      <c r="R13028" t="s">
        <v>44776</v>
      </c>
      <c r="S13028" t="s">
        <v>45640</v>
      </c>
      <c r="T13028" t="s">
        <v>46703</v>
      </c>
      <c r="U13028" t="s">
        <v>57186</v>
      </c>
      <c r="W13028" t="s">
        <v>44413</v>
      </c>
      <c r="X13028" t="s">
        <v>44777</v>
      </c>
    </row>
    <row r="13029" spans="1:24">
      <c r="A13029">
        <f>HYPERLINK("https://www.philgeps.gov.ph/GEPSNONPILOT/Tender/SplashBidNoticeAbstractUI.aspx?menuIndex=3&amp;refID=7121313&amp;Result=3","7121313")</f>
        <v>0</v>
      </c>
      <c r="B13029" t="s">
        <v>3450</v>
      </c>
      <c r="C13029" t="s">
        <v>16168</v>
      </c>
      <c r="D13029" t="s">
        <v>18056</v>
      </c>
      <c r="E13029" t="s">
        <v>29305</v>
      </c>
      <c r="F13029" t="s">
        <v>30900</v>
      </c>
      <c r="G13029" t="s">
        <v>30907</v>
      </c>
      <c r="H13029" t="s">
        <v>30916</v>
      </c>
      <c r="I13029" t="s">
        <v>30947</v>
      </c>
      <c r="J13029" t="s">
        <v>39159</v>
      </c>
      <c r="K13029" t="s">
        <v>40304</v>
      </c>
      <c r="M13029" t="s">
        <v>44333</v>
      </c>
      <c r="N13029" t="s">
        <v>44759</v>
      </c>
      <c r="O13029" t="s">
        <v>44760</v>
      </c>
      <c r="P13029">
        <v>0</v>
      </c>
      <c r="Q13029">
        <v>1</v>
      </c>
      <c r="R13029" t="s">
        <v>44776</v>
      </c>
      <c r="S13029" t="s">
        <v>45453</v>
      </c>
      <c r="T13029" t="s">
        <v>46412</v>
      </c>
      <c r="U13029" t="s">
        <v>57629</v>
      </c>
      <c r="V13029" t="s">
        <v>60497</v>
      </c>
      <c r="W13029" t="s">
        <v>44333</v>
      </c>
      <c r="X13029" t="s">
        <v>44777</v>
      </c>
    </row>
    <row r="13030" spans="1:24">
      <c r="A13030">
        <f>HYPERLINK("https://www.philgeps.gov.ph/GEPSNONPILOT/Tender/SplashBidNoticeAbstractUI.aspx?menuIndex=3&amp;refID=7119593&amp;Result=3","7119593")</f>
        <v>0</v>
      </c>
      <c r="B13030" t="s">
        <v>1930</v>
      </c>
      <c r="C13030" t="s">
        <v>16169</v>
      </c>
      <c r="D13030" t="s">
        <v>17969</v>
      </c>
      <c r="E13030" t="s">
        <v>29306</v>
      </c>
      <c r="F13030" t="s">
        <v>30900</v>
      </c>
      <c r="G13030" t="s">
        <v>30907</v>
      </c>
      <c r="H13030" t="s">
        <v>30915</v>
      </c>
      <c r="I13030" t="s">
        <v>30919</v>
      </c>
      <c r="J13030" t="s">
        <v>39160</v>
      </c>
      <c r="K13030" t="s">
        <v>40428</v>
      </c>
      <c r="M13030" t="s">
        <v>42611</v>
      </c>
      <c r="N13030" t="s">
        <v>44759</v>
      </c>
      <c r="O13030" t="s">
        <v>44760</v>
      </c>
      <c r="P13030">
        <v>0</v>
      </c>
      <c r="Q13030">
        <v>4</v>
      </c>
      <c r="R13030" t="s">
        <v>44778</v>
      </c>
      <c r="S13030" t="s">
        <v>45611</v>
      </c>
      <c r="T13030" t="s">
        <v>46548</v>
      </c>
      <c r="U13030" t="s">
        <v>57630</v>
      </c>
      <c r="V13030" t="s">
        <v>59742</v>
      </c>
      <c r="W13030" t="s">
        <v>42611</v>
      </c>
      <c r="X13030" t="s">
        <v>44779</v>
      </c>
    </row>
    <row r="13031" spans="1:24">
      <c r="A13031">
        <f>HYPERLINK("https://www.philgeps.gov.ph/GEPSNONPILOT/Tender/SplashBidNoticeAbstractUI.aspx?menuIndex=3&amp;refID=7121310&amp;Result=3","7121310")</f>
        <v>0</v>
      </c>
      <c r="B13031" t="s">
        <v>2389</v>
      </c>
      <c r="C13031" t="s">
        <v>16170</v>
      </c>
      <c r="D13031" t="s">
        <v>17994</v>
      </c>
      <c r="E13031" t="s">
        <v>29307</v>
      </c>
      <c r="F13031" t="s">
        <v>30900</v>
      </c>
      <c r="G13031" t="s">
        <v>30907</v>
      </c>
      <c r="H13031" t="s">
        <v>30916</v>
      </c>
      <c r="I13031" t="s">
        <v>30980</v>
      </c>
      <c r="J13031" t="s">
        <v>39161</v>
      </c>
      <c r="K13031" t="s">
        <v>40291</v>
      </c>
      <c r="M13031" t="s">
        <v>43115</v>
      </c>
      <c r="N13031" t="s">
        <v>44759</v>
      </c>
      <c r="O13031" t="s">
        <v>44760</v>
      </c>
      <c r="P13031">
        <v>0</v>
      </c>
      <c r="Q13031">
        <v>0</v>
      </c>
      <c r="R13031" t="s">
        <v>44776</v>
      </c>
      <c r="S13031" t="s">
        <v>45453</v>
      </c>
      <c r="T13031" t="s">
        <v>46389</v>
      </c>
      <c r="U13031" t="s">
        <v>57631</v>
      </c>
      <c r="W13031" t="s">
        <v>43115</v>
      </c>
      <c r="X13031" t="s">
        <v>44777</v>
      </c>
    </row>
    <row r="13032" spans="1:24">
      <c r="A13032">
        <f>HYPERLINK("https://www.philgeps.gov.ph/GEPSNONPILOT/Tender/SplashBidNoticeAbstractUI.aspx?menuIndex=3&amp;refID=7121288&amp;Result=3","7121288")</f>
        <v>0</v>
      </c>
      <c r="B13032" t="s">
        <v>1199</v>
      </c>
      <c r="C13032" t="s">
        <v>16171</v>
      </c>
      <c r="D13032" t="s">
        <v>17955</v>
      </c>
      <c r="E13032" t="s">
        <v>29308</v>
      </c>
      <c r="F13032" t="s">
        <v>30900</v>
      </c>
      <c r="G13032" t="s">
        <v>30907</v>
      </c>
      <c r="H13032" t="s">
        <v>30915</v>
      </c>
      <c r="I13032" t="s">
        <v>30919</v>
      </c>
      <c r="J13032" t="s">
        <v>31701</v>
      </c>
      <c r="K13032" t="s">
        <v>40544</v>
      </c>
      <c r="M13032" t="s">
        <v>41810</v>
      </c>
      <c r="N13032" t="s">
        <v>44759</v>
      </c>
      <c r="O13032" t="s">
        <v>44760</v>
      </c>
      <c r="P13032">
        <v>0</v>
      </c>
      <c r="Q13032">
        <v>1</v>
      </c>
      <c r="R13032" t="s">
        <v>44776</v>
      </c>
      <c r="S13032" t="s">
        <v>45453</v>
      </c>
      <c r="T13032" t="s">
        <v>46399</v>
      </c>
      <c r="U13032" t="s">
        <v>57632</v>
      </c>
      <c r="W13032" t="s">
        <v>41810</v>
      </c>
      <c r="X13032" t="s">
        <v>44777</v>
      </c>
    </row>
    <row r="13033" spans="1:24">
      <c r="A13033">
        <f>HYPERLINK("https://www.philgeps.gov.ph/GEPSNONPILOT/Tender/SplashBidNoticeAbstractUI.aspx?menuIndex=3&amp;refID=7116752&amp;Result=3","7116752")</f>
        <v>0</v>
      </c>
      <c r="B13033" t="s">
        <v>3584</v>
      </c>
      <c r="C13033" t="s">
        <v>16172</v>
      </c>
      <c r="D13033" t="s">
        <v>17976</v>
      </c>
      <c r="E13033" t="s">
        <v>29309</v>
      </c>
      <c r="F13033" t="s">
        <v>30900</v>
      </c>
      <c r="G13033" t="s">
        <v>30907</v>
      </c>
      <c r="H13033" t="s">
        <v>30915</v>
      </c>
      <c r="I13033" t="s">
        <v>30919</v>
      </c>
      <c r="J13033" t="s">
        <v>34589</v>
      </c>
      <c r="K13033" t="s">
        <v>40280</v>
      </c>
      <c r="M13033" t="s">
        <v>44510</v>
      </c>
      <c r="N13033" t="s">
        <v>44759</v>
      </c>
      <c r="O13033" t="s">
        <v>44760</v>
      </c>
      <c r="P13033">
        <v>0</v>
      </c>
      <c r="Q13033">
        <v>1</v>
      </c>
      <c r="R13033" t="s">
        <v>44779</v>
      </c>
      <c r="S13033" t="s">
        <v>45618</v>
      </c>
      <c r="T13033" t="s">
        <v>46625</v>
      </c>
      <c r="U13033" t="s">
        <v>57633</v>
      </c>
      <c r="W13033" t="s">
        <v>44510</v>
      </c>
      <c r="X13033" t="s">
        <v>44780</v>
      </c>
    </row>
    <row r="13034" spans="1:24">
      <c r="A13034">
        <f>HYPERLINK("https://www.philgeps.gov.ph/GEPSNONPILOT/Tender/SplashBidNoticeAbstractUI.aspx?menuIndex=3&amp;refID=7116732&amp;Result=3","7116732")</f>
        <v>0</v>
      </c>
      <c r="B13034" t="s">
        <v>2519</v>
      </c>
      <c r="C13034" t="s">
        <v>16173</v>
      </c>
      <c r="D13034" t="s">
        <v>18012</v>
      </c>
      <c r="E13034" t="s">
        <v>29310</v>
      </c>
      <c r="F13034" t="s">
        <v>30900</v>
      </c>
      <c r="G13034" t="s">
        <v>30907</v>
      </c>
      <c r="H13034" t="s">
        <v>30916</v>
      </c>
      <c r="I13034" t="s">
        <v>30942</v>
      </c>
      <c r="J13034" t="s">
        <v>39162</v>
      </c>
      <c r="K13034" t="s">
        <v>40289</v>
      </c>
      <c r="M13034" t="s">
        <v>43266</v>
      </c>
      <c r="N13034" t="s">
        <v>44759</v>
      </c>
      <c r="O13034" t="s">
        <v>44760</v>
      </c>
      <c r="P13034">
        <v>0</v>
      </c>
      <c r="Q13034">
        <v>0</v>
      </c>
      <c r="R13034" t="s">
        <v>44779</v>
      </c>
      <c r="S13034" t="s">
        <v>45618</v>
      </c>
      <c r="T13034" t="s">
        <v>46531</v>
      </c>
      <c r="U13034" t="s">
        <v>57634</v>
      </c>
      <c r="W13034" t="s">
        <v>43266</v>
      </c>
      <c r="X13034" t="s">
        <v>44780</v>
      </c>
    </row>
    <row r="13035" spans="1:24">
      <c r="A13035">
        <f>HYPERLINK("https://www.philgeps.gov.ph/GEPSNONPILOT/Tender/SplashBidNoticeAbstractUI.aspx?menuIndex=3&amp;refID=7121509&amp;Result=3","7121509")</f>
        <v>0</v>
      </c>
      <c r="B13035" t="s">
        <v>282</v>
      </c>
      <c r="C13035" t="s">
        <v>16174</v>
      </c>
      <c r="D13035" t="s">
        <v>18022</v>
      </c>
      <c r="E13035" t="s">
        <v>29311</v>
      </c>
      <c r="F13035" t="s">
        <v>30900</v>
      </c>
      <c r="G13035" t="s">
        <v>30907</v>
      </c>
      <c r="H13035" t="s">
        <v>30916</v>
      </c>
      <c r="I13035" t="s">
        <v>8123</v>
      </c>
      <c r="J13035" t="s">
        <v>39163</v>
      </c>
      <c r="K13035" t="s">
        <v>40289</v>
      </c>
      <c r="M13035" t="s">
        <v>40829</v>
      </c>
      <c r="N13035" t="s">
        <v>44759</v>
      </c>
      <c r="O13035" t="s">
        <v>44760</v>
      </c>
      <c r="P13035">
        <v>0</v>
      </c>
      <c r="Q13035">
        <v>4</v>
      </c>
      <c r="R13035" t="s">
        <v>44776</v>
      </c>
      <c r="S13035" t="s">
        <v>45453</v>
      </c>
      <c r="T13035" t="s">
        <v>46922</v>
      </c>
      <c r="U13035" t="s">
        <v>57180</v>
      </c>
      <c r="W13035" t="s">
        <v>40829</v>
      </c>
      <c r="X13035" t="s">
        <v>44777</v>
      </c>
    </row>
    <row r="13036" spans="1:24">
      <c r="A13036">
        <f>HYPERLINK("https://www.philgeps.gov.ph/GEPSNONPILOT/Tender/SplashBidNoticeAbstractUI.aspx?menuIndex=3&amp;refID=7115797&amp;Result=3","7115797")</f>
        <v>0</v>
      </c>
      <c r="B13036" t="s">
        <v>1164</v>
      </c>
      <c r="C13036" t="s">
        <v>16175</v>
      </c>
      <c r="D13036" t="s">
        <v>17955</v>
      </c>
      <c r="E13036" t="s">
        <v>29312</v>
      </c>
      <c r="F13036" t="s">
        <v>30900</v>
      </c>
      <c r="G13036" t="s">
        <v>30907</v>
      </c>
      <c r="H13036" t="s">
        <v>30915</v>
      </c>
      <c r="I13036" t="s">
        <v>30919</v>
      </c>
      <c r="J13036" t="s">
        <v>39164</v>
      </c>
      <c r="K13036" t="s">
        <v>40289</v>
      </c>
      <c r="M13036" t="s">
        <v>42378</v>
      </c>
      <c r="N13036" t="s">
        <v>44759</v>
      </c>
      <c r="O13036" t="s">
        <v>44760</v>
      </c>
      <c r="P13036">
        <v>0</v>
      </c>
      <c r="Q13036">
        <v>0</v>
      </c>
      <c r="R13036" t="s">
        <v>44779</v>
      </c>
      <c r="S13036" t="s">
        <v>45618</v>
      </c>
      <c r="T13036" t="s">
        <v>46641</v>
      </c>
      <c r="U13036" t="s">
        <v>57635</v>
      </c>
      <c r="W13036" t="s">
        <v>42378</v>
      </c>
      <c r="X13036" t="s">
        <v>44781</v>
      </c>
    </row>
    <row r="13037" spans="1:24">
      <c r="A13037">
        <f>HYPERLINK("https://www.philgeps.gov.ph/GEPSNONPILOT/Tender/SplashBidNoticeAbstractUI.aspx?menuIndex=3&amp;refID=7121336&amp;Result=3","7121336")</f>
        <v>0</v>
      </c>
      <c r="B13037" t="s">
        <v>715</v>
      </c>
      <c r="C13037" t="s">
        <v>16176</v>
      </c>
      <c r="D13037" t="s">
        <v>17975</v>
      </c>
      <c r="E13037" t="s">
        <v>29313</v>
      </c>
      <c r="F13037" t="s">
        <v>30900</v>
      </c>
      <c r="G13037" t="s">
        <v>30907</v>
      </c>
      <c r="H13037" t="s">
        <v>30915</v>
      </c>
      <c r="I13037" t="s">
        <v>30919</v>
      </c>
      <c r="J13037" t="s">
        <v>39165</v>
      </c>
      <c r="K13037" t="s">
        <v>40289</v>
      </c>
      <c r="M13037" t="s">
        <v>41279</v>
      </c>
      <c r="N13037" t="s">
        <v>44759</v>
      </c>
      <c r="O13037" t="s">
        <v>44760</v>
      </c>
      <c r="P13037">
        <v>0</v>
      </c>
      <c r="Q13037">
        <v>1</v>
      </c>
      <c r="R13037" t="s">
        <v>44776</v>
      </c>
      <c r="S13037" t="s">
        <v>45453</v>
      </c>
      <c r="T13037" t="s">
        <v>46399</v>
      </c>
      <c r="U13037" t="s">
        <v>48203</v>
      </c>
      <c r="W13037" t="s">
        <v>41279</v>
      </c>
      <c r="X13037" t="s">
        <v>44777</v>
      </c>
    </row>
    <row r="13038" spans="1:24">
      <c r="A13038">
        <f>HYPERLINK("https://www.philgeps.gov.ph/GEPSNONPILOT/Tender/SplashBidNoticeAbstractUI.aspx?menuIndex=3&amp;refID=7116704&amp;Result=3","7116704")</f>
        <v>0</v>
      </c>
      <c r="B13038" t="s">
        <v>2519</v>
      </c>
      <c r="C13038" t="s">
        <v>16177</v>
      </c>
      <c r="D13038" t="s">
        <v>18012</v>
      </c>
      <c r="E13038" t="s">
        <v>29314</v>
      </c>
      <c r="F13038" t="s">
        <v>30900</v>
      </c>
      <c r="G13038" t="s">
        <v>30907</v>
      </c>
      <c r="H13038" t="s">
        <v>30916</v>
      </c>
      <c r="I13038" t="s">
        <v>8123</v>
      </c>
      <c r="J13038" t="s">
        <v>39166</v>
      </c>
      <c r="K13038" t="s">
        <v>40289</v>
      </c>
      <c r="M13038" t="s">
        <v>43266</v>
      </c>
      <c r="N13038" t="s">
        <v>44759</v>
      </c>
      <c r="O13038" t="s">
        <v>44760</v>
      </c>
      <c r="P13038">
        <v>0</v>
      </c>
      <c r="Q13038">
        <v>2</v>
      </c>
      <c r="R13038" t="s">
        <v>44779</v>
      </c>
      <c r="S13038" t="s">
        <v>45618</v>
      </c>
      <c r="T13038" t="s">
        <v>46531</v>
      </c>
      <c r="U13038" t="s">
        <v>57636</v>
      </c>
      <c r="W13038" t="s">
        <v>43266</v>
      </c>
      <c r="X13038" t="s">
        <v>44780</v>
      </c>
    </row>
    <row r="13039" spans="1:24">
      <c r="A13039">
        <f>HYPERLINK("https://www.philgeps.gov.ph/GEPSNONPILOT/Tender/SplashBidNoticeAbstractUI.aspx?menuIndex=3&amp;refID=7116696&amp;Result=3","7116696")</f>
        <v>0</v>
      </c>
      <c r="B13039" t="s">
        <v>2511</v>
      </c>
      <c r="C13039" t="s">
        <v>16178</v>
      </c>
      <c r="D13039" t="s">
        <v>17994</v>
      </c>
      <c r="E13039" t="s">
        <v>29315</v>
      </c>
      <c r="F13039" t="s">
        <v>30900</v>
      </c>
      <c r="G13039" t="s">
        <v>30907</v>
      </c>
      <c r="H13039" t="s">
        <v>30916</v>
      </c>
      <c r="I13039" t="s">
        <v>30932</v>
      </c>
      <c r="J13039" t="s">
        <v>39167</v>
      </c>
      <c r="K13039" t="s">
        <v>40291</v>
      </c>
      <c r="M13039" t="s">
        <v>43257</v>
      </c>
      <c r="N13039" t="s">
        <v>44759</v>
      </c>
      <c r="O13039" t="s">
        <v>44760</v>
      </c>
      <c r="P13039">
        <v>0</v>
      </c>
      <c r="Q13039">
        <v>3</v>
      </c>
      <c r="R13039" t="s">
        <v>44779</v>
      </c>
      <c r="S13039" t="s">
        <v>45618</v>
      </c>
      <c r="T13039" t="s">
        <v>46421</v>
      </c>
      <c r="U13039" t="s">
        <v>57637</v>
      </c>
      <c r="W13039" t="s">
        <v>43257</v>
      </c>
      <c r="X13039" t="s">
        <v>44780</v>
      </c>
    </row>
    <row r="13040" spans="1:24">
      <c r="A13040">
        <f>HYPERLINK("https://www.philgeps.gov.ph/GEPSNONPILOT/Tender/SplashBidNoticeAbstractUI.aspx?menuIndex=3&amp;refID=7116711&amp;Result=3","7116711")</f>
        <v>0</v>
      </c>
      <c r="B13040" t="s">
        <v>2309</v>
      </c>
      <c r="C13040" t="s">
        <v>16179</v>
      </c>
      <c r="D13040" t="s">
        <v>17961</v>
      </c>
      <c r="E13040" t="s">
        <v>29316</v>
      </c>
      <c r="F13040" t="s">
        <v>30900</v>
      </c>
      <c r="G13040" t="s">
        <v>30907</v>
      </c>
      <c r="H13040" t="s">
        <v>30915</v>
      </c>
      <c r="I13040" t="s">
        <v>30919</v>
      </c>
      <c r="J13040" t="s">
        <v>31241</v>
      </c>
      <c r="K13040" t="s">
        <v>40301</v>
      </c>
      <c r="M13040" t="s">
        <v>43027</v>
      </c>
      <c r="N13040" t="s">
        <v>44759</v>
      </c>
      <c r="O13040" t="s">
        <v>44760</v>
      </c>
      <c r="Q13040">
        <v>3</v>
      </c>
      <c r="R13040" t="s">
        <v>44779</v>
      </c>
      <c r="S13040" t="s">
        <v>45641</v>
      </c>
      <c r="T13040" t="s">
        <v>46533</v>
      </c>
      <c r="U13040" t="s">
        <v>57638</v>
      </c>
      <c r="V13040" t="s">
        <v>60587</v>
      </c>
      <c r="W13040" t="s">
        <v>43027</v>
      </c>
      <c r="X13040" t="s">
        <v>44780</v>
      </c>
    </row>
    <row r="13041" spans="1:24">
      <c r="A13041">
        <f>HYPERLINK("https://www.philgeps.gov.ph/GEPSNONPILOT/Tender/SplashBidNoticeAbstractUI.aspx?menuIndex=3&amp;refID=7116701&amp;Result=3","7116701")</f>
        <v>0</v>
      </c>
      <c r="B13041" t="s">
        <v>2534</v>
      </c>
      <c r="C13041" t="s">
        <v>16180</v>
      </c>
      <c r="D13041" t="s">
        <v>17992</v>
      </c>
      <c r="E13041" t="s">
        <v>18169</v>
      </c>
      <c r="F13041" t="s">
        <v>30900</v>
      </c>
      <c r="G13041" t="s">
        <v>30907</v>
      </c>
      <c r="H13041" t="s">
        <v>30916</v>
      </c>
      <c r="I13041" t="s">
        <v>8123</v>
      </c>
      <c r="J13041" t="s">
        <v>39168</v>
      </c>
      <c r="K13041" t="s">
        <v>40291</v>
      </c>
      <c r="M13041" t="s">
        <v>43290</v>
      </c>
      <c r="N13041" t="s">
        <v>44759</v>
      </c>
      <c r="O13041" t="s">
        <v>44760</v>
      </c>
      <c r="P13041">
        <v>0</v>
      </c>
      <c r="Q13041">
        <v>0</v>
      </c>
      <c r="R13041" t="s">
        <v>44779</v>
      </c>
      <c r="S13041" t="s">
        <v>45618</v>
      </c>
      <c r="T13041" t="s">
        <v>46383</v>
      </c>
      <c r="U13041" t="s">
        <v>57639</v>
      </c>
      <c r="W13041" t="s">
        <v>43290</v>
      </c>
      <c r="X13041" t="s">
        <v>44780</v>
      </c>
    </row>
    <row r="13042" spans="1:24">
      <c r="A13042">
        <f>HYPERLINK("https://www.philgeps.gov.ph/GEPSNONPILOT/Tender/SplashBidNoticeAbstractUI.aspx?menuIndex=3&amp;refID=7116677&amp;Result=3","7116677")</f>
        <v>0</v>
      </c>
      <c r="B13042" t="s">
        <v>725</v>
      </c>
      <c r="C13042" t="s">
        <v>16181</v>
      </c>
      <c r="D13042" t="s">
        <v>18004</v>
      </c>
      <c r="E13042" t="s">
        <v>19585</v>
      </c>
      <c r="F13042" t="s">
        <v>30900</v>
      </c>
      <c r="G13042" t="s">
        <v>30907</v>
      </c>
      <c r="H13042" t="s">
        <v>30915</v>
      </c>
      <c r="I13042" t="s">
        <v>30919</v>
      </c>
      <c r="J13042" t="s">
        <v>31701</v>
      </c>
      <c r="K13042" t="s">
        <v>40301</v>
      </c>
      <c r="M13042" t="s">
        <v>41289</v>
      </c>
      <c r="N13042" t="s">
        <v>44759</v>
      </c>
      <c r="O13042" t="s">
        <v>44760</v>
      </c>
      <c r="P13042">
        <v>0</v>
      </c>
      <c r="Q13042">
        <v>11</v>
      </c>
      <c r="R13042" t="s">
        <v>44779</v>
      </c>
      <c r="S13042" t="s">
        <v>45618</v>
      </c>
      <c r="T13042" t="s">
        <v>46545</v>
      </c>
      <c r="U13042" t="s">
        <v>57640</v>
      </c>
      <c r="W13042" t="s">
        <v>41289</v>
      </c>
      <c r="X13042" t="s">
        <v>44780</v>
      </c>
    </row>
    <row r="13043" spans="1:24">
      <c r="A13043">
        <f>HYPERLINK("https://www.philgeps.gov.ph/GEPSNONPILOT/Tender/SplashBidNoticeAbstractUI.aspx?menuIndex=3&amp;refID=7121293&amp;Result=3","7121293")</f>
        <v>0</v>
      </c>
      <c r="B13043" t="s">
        <v>2042</v>
      </c>
      <c r="C13043" t="s">
        <v>16182</v>
      </c>
      <c r="D13043" t="s">
        <v>17969</v>
      </c>
      <c r="E13043" t="s">
        <v>29317</v>
      </c>
      <c r="F13043" t="s">
        <v>30900</v>
      </c>
      <c r="G13043" t="s">
        <v>30907</v>
      </c>
      <c r="H13043" t="s">
        <v>30915</v>
      </c>
      <c r="I13043" t="s">
        <v>30919</v>
      </c>
      <c r="J13043" t="s">
        <v>39169</v>
      </c>
      <c r="K13043" t="s">
        <v>40289</v>
      </c>
      <c r="M13043" t="s">
        <v>42739</v>
      </c>
      <c r="N13043" t="s">
        <v>44759</v>
      </c>
      <c r="O13043" t="s">
        <v>44760</v>
      </c>
      <c r="P13043">
        <v>0</v>
      </c>
      <c r="Q13043">
        <v>7</v>
      </c>
      <c r="R13043" t="s">
        <v>44776</v>
      </c>
      <c r="S13043" t="s">
        <v>45453</v>
      </c>
      <c r="T13043" t="s">
        <v>46907</v>
      </c>
      <c r="U13043" t="s">
        <v>57179</v>
      </c>
      <c r="V13043" t="s">
        <v>60588</v>
      </c>
      <c r="W13043" t="s">
        <v>42739</v>
      </c>
      <c r="X13043" t="s">
        <v>44777</v>
      </c>
    </row>
    <row r="13044" spans="1:24">
      <c r="A13044">
        <f>HYPERLINK("https://www.philgeps.gov.ph/GEPSNONPILOT/Tender/SplashBidNoticeAbstractUI.aspx?menuIndex=3&amp;refID=7116667&amp;Result=3","7116667")</f>
        <v>0</v>
      </c>
      <c r="B13044" t="s">
        <v>3585</v>
      </c>
      <c r="C13044" t="s">
        <v>16183</v>
      </c>
      <c r="D13044" t="s">
        <v>18012</v>
      </c>
      <c r="E13044" t="s">
        <v>29318</v>
      </c>
      <c r="F13044" t="s">
        <v>30900</v>
      </c>
      <c r="G13044" t="s">
        <v>30907</v>
      </c>
      <c r="H13044" t="s">
        <v>30915</v>
      </c>
      <c r="I13044" t="s">
        <v>30919</v>
      </c>
      <c r="J13044" t="s">
        <v>39170</v>
      </c>
      <c r="K13044" t="s">
        <v>40322</v>
      </c>
      <c r="M13044" t="s">
        <v>44511</v>
      </c>
      <c r="N13044" t="s">
        <v>44759</v>
      </c>
      <c r="O13044" t="s">
        <v>44760</v>
      </c>
      <c r="P13044">
        <v>0</v>
      </c>
      <c r="Q13044">
        <v>0</v>
      </c>
      <c r="R13044" t="s">
        <v>44779</v>
      </c>
      <c r="S13044" t="s">
        <v>45618</v>
      </c>
      <c r="T13044" t="s">
        <v>46768</v>
      </c>
      <c r="U13044" t="s">
        <v>57641</v>
      </c>
      <c r="V13044" t="s">
        <v>59421</v>
      </c>
      <c r="W13044" t="s">
        <v>44511</v>
      </c>
      <c r="X13044" t="s">
        <v>44780</v>
      </c>
    </row>
    <row r="13045" spans="1:24">
      <c r="A13045">
        <f>HYPERLINK("https://www.philgeps.gov.ph/GEPSNONPILOT/Tender/SplashBidNoticeAbstractUI.aspx?menuIndex=3&amp;refID=7116653&amp;Result=3","7116653")</f>
        <v>0</v>
      </c>
      <c r="B13045" t="s">
        <v>2519</v>
      </c>
      <c r="C13045" t="s">
        <v>16184</v>
      </c>
      <c r="D13045" t="s">
        <v>18012</v>
      </c>
      <c r="E13045" t="s">
        <v>29319</v>
      </c>
      <c r="F13045" t="s">
        <v>30900</v>
      </c>
      <c r="G13045" t="s">
        <v>30907</v>
      </c>
      <c r="H13045" t="s">
        <v>30916</v>
      </c>
      <c r="I13045" t="s">
        <v>30942</v>
      </c>
      <c r="J13045" t="s">
        <v>35842</v>
      </c>
      <c r="K13045" t="s">
        <v>40289</v>
      </c>
      <c r="M13045" t="s">
        <v>43266</v>
      </c>
      <c r="N13045" t="s">
        <v>44759</v>
      </c>
      <c r="O13045" t="s">
        <v>44760</v>
      </c>
      <c r="P13045">
        <v>0</v>
      </c>
      <c r="Q13045">
        <v>0</v>
      </c>
      <c r="R13045" t="s">
        <v>44779</v>
      </c>
      <c r="S13045" t="s">
        <v>45618</v>
      </c>
      <c r="T13045" t="s">
        <v>46531</v>
      </c>
      <c r="U13045" t="s">
        <v>57642</v>
      </c>
      <c r="W13045" t="s">
        <v>43266</v>
      </c>
      <c r="X13045" t="s">
        <v>44780</v>
      </c>
    </row>
    <row r="13046" spans="1:24">
      <c r="A13046">
        <f>HYPERLINK("https://www.philgeps.gov.ph/GEPSNONPILOT/Tender/SplashBidNoticeAbstractUI.aspx?menuIndex=3&amp;refID=7116715&amp;Result=3","7116715")</f>
        <v>0</v>
      </c>
      <c r="B13046" t="s">
        <v>2413</v>
      </c>
      <c r="C13046" t="s">
        <v>16185</v>
      </c>
      <c r="D13046" t="s">
        <v>17957</v>
      </c>
      <c r="E13046" t="s">
        <v>29320</v>
      </c>
      <c r="F13046" t="s">
        <v>30900</v>
      </c>
      <c r="G13046" t="s">
        <v>30907</v>
      </c>
      <c r="H13046" t="s">
        <v>30915</v>
      </c>
      <c r="I13046" t="s">
        <v>30919</v>
      </c>
      <c r="J13046" t="s">
        <v>31391</v>
      </c>
      <c r="K13046" t="s">
        <v>40304</v>
      </c>
      <c r="M13046" t="s">
        <v>43140</v>
      </c>
      <c r="N13046" t="s">
        <v>44759</v>
      </c>
      <c r="O13046" t="s">
        <v>44760</v>
      </c>
      <c r="P13046">
        <v>0</v>
      </c>
      <c r="Q13046">
        <v>0</v>
      </c>
      <c r="R13046" t="s">
        <v>44779</v>
      </c>
      <c r="S13046" t="s">
        <v>45618</v>
      </c>
      <c r="T13046" t="s">
        <v>46533</v>
      </c>
      <c r="U13046" t="s">
        <v>57623</v>
      </c>
      <c r="V13046" t="s">
        <v>60589</v>
      </c>
      <c r="W13046" t="s">
        <v>43140</v>
      </c>
      <c r="X13046" t="s">
        <v>44780</v>
      </c>
    </row>
    <row r="13047" spans="1:24">
      <c r="A13047">
        <f>HYPERLINK("https://www.philgeps.gov.ph/GEPSNONPILOT/Tender/SplashBidNoticeAbstractUI.aspx?menuIndex=3&amp;refID=7116646&amp;Result=3","7116646")</f>
        <v>0</v>
      </c>
      <c r="B13047" t="s">
        <v>350</v>
      </c>
      <c r="C13047" t="s">
        <v>16186</v>
      </c>
      <c r="D13047" t="s">
        <v>18025</v>
      </c>
      <c r="E13047" t="s">
        <v>29321</v>
      </c>
      <c r="F13047" t="s">
        <v>30900</v>
      </c>
      <c r="G13047" t="s">
        <v>30907</v>
      </c>
      <c r="H13047" t="s">
        <v>30916</v>
      </c>
      <c r="I13047" t="s">
        <v>4142</v>
      </c>
      <c r="J13047" t="s">
        <v>39171</v>
      </c>
      <c r="K13047" t="s">
        <v>40286</v>
      </c>
      <c r="M13047" t="s">
        <v>41170</v>
      </c>
      <c r="N13047" t="s">
        <v>44759</v>
      </c>
      <c r="O13047" t="s">
        <v>44760</v>
      </c>
      <c r="P13047">
        <v>0</v>
      </c>
      <c r="Q13047">
        <v>9</v>
      </c>
      <c r="R13047" t="s">
        <v>44779</v>
      </c>
      <c r="S13047" t="s">
        <v>45618</v>
      </c>
      <c r="T13047" t="s">
        <v>46404</v>
      </c>
      <c r="U13047" t="s">
        <v>47499</v>
      </c>
      <c r="V13047" t="s">
        <v>59326</v>
      </c>
      <c r="W13047" t="s">
        <v>60826</v>
      </c>
      <c r="X13047" t="s">
        <v>44780</v>
      </c>
    </row>
    <row r="13048" spans="1:24">
      <c r="A13048">
        <f>HYPERLINK("https://www.philgeps.gov.ph/GEPSNONPILOT/Tender/SplashBidNoticeAbstractUI.aspx?menuIndex=3&amp;refID=7116632&amp;Result=3","7116632")</f>
        <v>0</v>
      </c>
      <c r="B13048" t="s">
        <v>2519</v>
      </c>
      <c r="C13048" t="s">
        <v>16187</v>
      </c>
      <c r="D13048" t="s">
        <v>18012</v>
      </c>
      <c r="E13048" t="s">
        <v>29322</v>
      </c>
      <c r="F13048" t="s">
        <v>30900</v>
      </c>
      <c r="G13048" t="s">
        <v>30907</v>
      </c>
      <c r="H13048" t="s">
        <v>30916</v>
      </c>
      <c r="I13048" t="s">
        <v>8123</v>
      </c>
      <c r="J13048" t="s">
        <v>35762</v>
      </c>
      <c r="K13048" t="s">
        <v>40289</v>
      </c>
      <c r="M13048" t="s">
        <v>43266</v>
      </c>
      <c r="N13048" t="s">
        <v>44759</v>
      </c>
      <c r="O13048" t="s">
        <v>44760</v>
      </c>
      <c r="P13048">
        <v>0</v>
      </c>
      <c r="Q13048">
        <v>1</v>
      </c>
      <c r="R13048" t="s">
        <v>44779</v>
      </c>
      <c r="S13048" t="s">
        <v>45618</v>
      </c>
      <c r="T13048" t="s">
        <v>46531</v>
      </c>
      <c r="U13048" t="s">
        <v>57643</v>
      </c>
      <c r="W13048" t="s">
        <v>43266</v>
      </c>
      <c r="X13048" t="s">
        <v>44780</v>
      </c>
    </row>
    <row r="13049" spans="1:24">
      <c r="A13049">
        <f>HYPERLINK("https://www.philgeps.gov.ph/GEPSNONPILOT/Tender/SplashBidNoticeAbstractUI.aspx?menuIndex=3&amp;refID=7116678&amp;Result=3","7116678")</f>
        <v>0</v>
      </c>
      <c r="B13049" t="s">
        <v>2309</v>
      </c>
      <c r="C13049" t="s">
        <v>16188</v>
      </c>
      <c r="D13049" t="s">
        <v>17961</v>
      </c>
      <c r="E13049" t="s">
        <v>29323</v>
      </c>
      <c r="F13049" t="s">
        <v>30900</v>
      </c>
      <c r="G13049" t="s">
        <v>30907</v>
      </c>
      <c r="H13049" t="s">
        <v>30915</v>
      </c>
      <c r="I13049" t="s">
        <v>30919</v>
      </c>
      <c r="J13049" t="s">
        <v>32324</v>
      </c>
      <c r="K13049" t="s">
        <v>40304</v>
      </c>
      <c r="M13049" t="s">
        <v>43027</v>
      </c>
      <c r="N13049" t="s">
        <v>44759</v>
      </c>
      <c r="O13049" t="s">
        <v>44760</v>
      </c>
      <c r="Q13049">
        <v>2</v>
      </c>
      <c r="R13049" t="s">
        <v>44779</v>
      </c>
      <c r="S13049" t="s">
        <v>45642</v>
      </c>
      <c r="T13049" t="s">
        <v>46533</v>
      </c>
      <c r="U13049" t="s">
        <v>57644</v>
      </c>
      <c r="V13049" t="s">
        <v>60590</v>
      </c>
      <c r="W13049" t="s">
        <v>43027</v>
      </c>
      <c r="X13049" t="s">
        <v>44780</v>
      </c>
    </row>
    <row r="13050" spans="1:24">
      <c r="A13050">
        <f>HYPERLINK("https://www.philgeps.gov.ph/GEPSNONPILOT/Tender/SplashBidNoticeAbstractUI.aspx?menuIndex=3&amp;refID=7116645&amp;Result=3","7116645")</f>
        <v>0</v>
      </c>
      <c r="B13050" t="s">
        <v>1333</v>
      </c>
      <c r="C13050" t="s">
        <v>16189</v>
      </c>
      <c r="D13050" t="s">
        <v>18034</v>
      </c>
      <c r="E13050" t="s">
        <v>29324</v>
      </c>
      <c r="F13050" t="s">
        <v>30900</v>
      </c>
      <c r="G13050" t="s">
        <v>30907</v>
      </c>
      <c r="H13050" t="s">
        <v>30916</v>
      </c>
      <c r="I13050" t="s">
        <v>30933</v>
      </c>
      <c r="J13050" t="s">
        <v>31518</v>
      </c>
      <c r="K13050" t="s">
        <v>40292</v>
      </c>
      <c r="M13050" t="s">
        <v>41953</v>
      </c>
      <c r="N13050" t="s">
        <v>44759</v>
      </c>
      <c r="O13050" t="s">
        <v>44760</v>
      </c>
      <c r="P13050">
        <v>0</v>
      </c>
      <c r="Q13050">
        <v>1</v>
      </c>
      <c r="R13050" t="s">
        <v>44779</v>
      </c>
      <c r="S13050" t="s">
        <v>45618</v>
      </c>
      <c r="T13050" t="s">
        <v>46403</v>
      </c>
      <c r="U13050" t="s">
        <v>55744</v>
      </c>
      <c r="W13050" t="s">
        <v>41953</v>
      </c>
      <c r="X13050" t="s">
        <v>44780</v>
      </c>
    </row>
    <row r="13051" spans="1:24">
      <c r="A13051">
        <f>HYPERLINK("https://www.philgeps.gov.ph/GEPSNONPILOT/Tender/SplashBidNoticeAbstractUI.aspx?menuIndex=3&amp;refID=7116736&amp;Result=3","7116736")</f>
        <v>0</v>
      </c>
      <c r="B13051" t="s">
        <v>1724</v>
      </c>
      <c r="C13051" t="s">
        <v>16190</v>
      </c>
      <c r="D13051" t="s">
        <v>18016</v>
      </c>
      <c r="E13051" t="s">
        <v>29325</v>
      </c>
      <c r="F13051" t="s">
        <v>30900</v>
      </c>
      <c r="G13051" t="s">
        <v>30907</v>
      </c>
      <c r="H13051" t="s">
        <v>30916</v>
      </c>
      <c r="I13051" t="s">
        <v>30939</v>
      </c>
      <c r="J13051" t="s">
        <v>39172</v>
      </c>
      <c r="K13051" t="s">
        <v>40284</v>
      </c>
      <c r="M13051" t="s">
        <v>42697</v>
      </c>
      <c r="N13051" t="s">
        <v>44759</v>
      </c>
      <c r="O13051" t="s">
        <v>44760</v>
      </c>
      <c r="P13051">
        <v>0</v>
      </c>
      <c r="Q13051">
        <v>0</v>
      </c>
      <c r="R13051" t="s">
        <v>44779</v>
      </c>
      <c r="S13051" t="s">
        <v>45618</v>
      </c>
      <c r="T13051" t="s">
        <v>46414</v>
      </c>
      <c r="U13051" t="s">
        <v>51585</v>
      </c>
      <c r="V13051" t="s">
        <v>59709</v>
      </c>
      <c r="W13051" t="s">
        <v>60878</v>
      </c>
      <c r="X13051" t="s">
        <v>44780</v>
      </c>
    </row>
    <row r="13052" spans="1:24">
      <c r="A13052">
        <f>HYPERLINK("https://www.philgeps.gov.ph/GEPSNONPILOT/Tender/SplashBidNoticeAbstractUI.aspx?menuIndex=3&amp;refID=7116604&amp;Result=3","7116604")</f>
        <v>0</v>
      </c>
      <c r="B13052" t="s">
        <v>2309</v>
      </c>
      <c r="C13052" t="s">
        <v>16191</v>
      </c>
      <c r="D13052" t="s">
        <v>17961</v>
      </c>
      <c r="E13052" t="s">
        <v>29326</v>
      </c>
      <c r="F13052" t="s">
        <v>30900</v>
      </c>
      <c r="G13052" t="s">
        <v>30907</v>
      </c>
      <c r="H13052" t="s">
        <v>30915</v>
      </c>
      <c r="I13052" t="s">
        <v>30919</v>
      </c>
      <c r="J13052" t="s">
        <v>32324</v>
      </c>
      <c r="K13052" t="s">
        <v>40292</v>
      </c>
      <c r="M13052" t="s">
        <v>43027</v>
      </c>
      <c r="N13052" t="s">
        <v>44759</v>
      </c>
      <c r="O13052" t="s">
        <v>44760</v>
      </c>
      <c r="Q13052">
        <v>2</v>
      </c>
      <c r="R13052" t="s">
        <v>44779</v>
      </c>
      <c r="S13052" t="s">
        <v>45643</v>
      </c>
      <c r="T13052" t="s">
        <v>46533</v>
      </c>
      <c r="U13052" t="s">
        <v>57645</v>
      </c>
      <c r="V13052" t="s">
        <v>60591</v>
      </c>
      <c r="W13052" t="s">
        <v>43027</v>
      </c>
      <c r="X13052" t="s">
        <v>44780</v>
      </c>
    </row>
    <row r="13053" spans="1:24">
      <c r="A13053">
        <f>HYPERLINK("https://www.philgeps.gov.ph/GEPSNONPILOT/Tender/SplashBidNoticeAbstractUI.aspx?menuIndex=3&amp;refID=7116629&amp;Result=3","7116629")</f>
        <v>0</v>
      </c>
      <c r="B13053" t="s">
        <v>3584</v>
      </c>
      <c r="C13053" t="s">
        <v>16192</v>
      </c>
      <c r="D13053" t="s">
        <v>17976</v>
      </c>
      <c r="E13053" t="s">
        <v>29327</v>
      </c>
      <c r="F13053" t="s">
        <v>30900</v>
      </c>
      <c r="G13053" t="s">
        <v>30907</v>
      </c>
      <c r="H13053" t="s">
        <v>30915</v>
      </c>
      <c r="I13053" t="s">
        <v>30919</v>
      </c>
      <c r="J13053" t="s">
        <v>31172</v>
      </c>
      <c r="K13053" t="s">
        <v>40286</v>
      </c>
      <c r="M13053" t="s">
        <v>44510</v>
      </c>
      <c r="N13053" t="s">
        <v>44759</v>
      </c>
      <c r="O13053" t="s">
        <v>44760</v>
      </c>
      <c r="P13053">
        <v>0</v>
      </c>
      <c r="Q13053">
        <v>2</v>
      </c>
      <c r="R13053" t="s">
        <v>44779</v>
      </c>
      <c r="S13053" t="s">
        <v>45618</v>
      </c>
      <c r="T13053" t="s">
        <v>46625</v>
      </c>
      <c r="U13053" t="s">
        <v>57633</v>
      </c>
      <c r="W13053" t="s">
        <v>44510</v>
      </c>
      <c r="X13053" t="s">
        <v>44780</v>
      </c>
    </row>
    <row r="13054" spans="1:24">
      <c r="A13054">
        <f>HYPERLINK("https://www.philgeps.gov.ph/GEPSNONPILOT/Tender/SplashBidNoticeAbstractUI.aspx?menuIndex=3&amp;refID=7121261&amp;Result=3","7121261")</f>
        <v>0</v>
      </c>
      <c r="B13054" t="s">
        <v>767</v>
      </c>
      <c r="C13054" t="s">
        <v>3996</v>
      </c>
      <c r="D13054" t="s">
        <v>18020</v>
      </c>
      <c r="E13054" t="s">
        <v>29328</v>
      </c>
      <c r="F13054" t="s">
        <v>30900</v>
      </c>
      <c r="G13054" t="s">
        <v>30907</v>
      </c>
      <c r="H13054" t="s">
        <v>30916</v>
      </c>
      <c r="I13054" t="s">
        <v>4142</v>
      </c>
      <c r="J13054" t="s">
        <v>39173</v>
      </c>
      <c r="K13054" t="s">
        <v>40283</v>
      </c>
      <c r="M13054" t="s">
        <v>41333</v>
      </c>
      <c r="N13054" t="s">
        <v>44759</v>
      </c>
      <c r="O13054" t="s">
        <v>44760</v>
      </c>
      <c r="P13054">
        <v>0</v>
      </c>
      <c r="Q13054">
        <v>4</v>
      </c>
      <c r="R13054" t="s">
        <v>44776</v>
      </c>
      <c r="S13054" t="s">
        <v>45453</v>
      </c>
      <c r="T13054" t="s">
        <v>46421</v>
      </c>
      <c r="U13054" t="s">
        <v>57646</v>
      </c>
      <c r="V13054" t="s">
        <v>60592</v>
      </c>
      <c r="W13054" t="s">
        <v>41333</v>
      </c>
      <c r="X13054" t="s">
        <v>44777</v>
      </c>
    </row>
    <row r="13055" spans="1:24">
      <c r="A13055">
        <f>HYPERLINK("https://www.philgeps.gov.ph/GEPSNONPILOT/Tender/SplashBidNoticeAbstractUI.aspx?menuIndex=3&amp;refID=7121184&amp;Result=3","7121184")</f>
        <v>0</v>
      </c>
      <c r="B13055" t="s">
        <v>3586</v>
      </c>
      <c r="C13055" t="s">
        <v>16193</v>
      </c>
      <c r="D13055" t="s">
        <v>18002</v>
      </c>
      <c r="E13055" t="s">
        <v>29329</v>
      </c>
      <c r="F13055" t="s">
        <v>30900</v>
      </c>
      <c r="G13055" t="s">
        <v>30907</v>
      </c>
      <c r="H13055" t="s">
        <v>30915</v>
      </c>
      <c r="I13055" t="s">
        <v>30919</v>
      </c>
      <c r="J13055" t="s">
        <v>39174</v>
      </c>
      <c r="K13055" t="s">
        <v>40301</v>
      </c>
      <c r="M13055" t="s">
        <v>44512</v>
      </c>
      <c r="N13055" t="s">
        <v>44759</v>
      </c>
      <c r="O13055" t="s">
        <v>44760</v>
      </c>
      <c r="Q13055">
        <v>8</v>
      </c>
      <c r="R13055" t="s">
        <v>44776</v>
      </c>
      <c r="S13055" t="s">
        <v>45644</v>
      </c>
      <c r="T13055" t="s">
        <v>46484</v>
      </c>
      <c r="U13055" t="s">
        <v>57647</v>
      </c>
      <c r="V13055" t="s">
        <v>60593</v>
      </c>
      <c r="W13055" t="s">
        <v>44512</v>
      </c>
      <c r="X13055" t="s">
        <v>44777</v>
      </c>
    </row>
    <row r="13056" spans="1:24">
      <c r="A13056">
        <f>HYPERLINK("https://www.philgeps.gov.ph/GEPSNONPILOT/Tender/SplashBidNoticeAbstractUI.aspx?menuIndex=3&amp;refID=7121177&amp;Result=3","7121177")</f>
        <v>0</v>
      </c>
      <c r="B13056" t="s">
        <v>185</v>
      </c>
      <c r="C13056" t="s">
        <v>16194</v>
      </c>
      <c r="D13056" t="s">
        <v>18002</v>
      </c>
      <c r="E13056" t="s">
        <v>29330</v>
      </c>
      <c r="F13056" t="s">
        <v>30900</v>
      </c>
      <c r="G13056" t="s">
        <v>30907</v>
      </c>
      <c r="H13056" t="s">
        <v>30915</v>
      </c>
      <c r="I13056" t="s">
        <v>30919</v>
      </c>
      <c r="J13056" t="s">
        <v>39175</v>
      </c>
      <c r="K13056" t="s">
        <v>40299</v>
      </c>
      <c r="M13056" t="s">
        <v>40732</v>
      </c>
      <c r="N13056" t="s">
        <v>44759</v>
      </c>
      <c r="O13056" t="s">
        <v>44760</v>
      </c>
      <c r="P13056">
        <v>0</v>
      </c>
      <c r="Q13056">
        <v>0</v>
      </c>
      <c r="R13056" t="s">
        <v>44776</v>
      </c>
      <c r="S13056" t="s">
        <v>45453</v>
      </c>
      <c r="T13056" t="s">
        <v>46357</v>
      </c>
      <c r="U13056" t="s">
        <v>57648</v>
      </c>
      <c r="W13056" t="s">
        <v>60820</v>
      </c>
      <c r="X13056" t="s">
        <v>44777</v>
      </c>
    </row>
    <row r="13057" spans="1:24">
      <c r="A13057">
        <f>HYPERLINK("https://www.philgeps.gov.ph/GEPSNONPILOT/Tender/SplashBidNoticeAbstractUI.aspx?menuIndex=3&amp;refID=7121175&amp;Result=3","7121175")</f>
        <v>0</v>
      </c>
      <c r="B13057" t="s">
        <v>1232</v>
      </c>
      <c r="C13057" t="s">
        <v>16195</v>
      </c>
      <c r="D13057" t="s">
        <v>17969</v>
      </c>
      <c r="E13057" t="s">
        <v>29331</v>
      </c>
      <c r="F13057" t="s">
        <v>30900</v>
      </c>
      <c r="G13057" t="s">
        <v>30907</v>
      </c>
      <c r="H13057" t="s">
        <v>30916</v>
      </c>
      <c r="I13057" t="s">
        <v>30963</v>
      </c>
      <c r="J13057" t="s">
        <v>31391</v>
      </c>
      <c r="K13057" t="s">
        <v>40286</v>
      </c>
      <c r="M13057" t="s">
        <v>43975</v>
      </c>
      <c r="N13057" t="s">
        <v>44759</v>
      </c>
      <c r="O13057" t="s">
        <v>44760</v>
      </c>
      <c r="Q13057">
        <v>4</v>
      </c>
      <c r="R13057" t="s">
        <v>44776</v>
      </c>
      <c r="S13057" t="s">
        <v>45054</v>
      </c>
      <c r="T13057" t="s">
        <v>46351</v>
      </c>
      <c r="U13057" t="s">
        <v>57649</v>
      </c>
      <c r="W13057" t="s">
        <v>43975</v>
      </c>
      <c r="X13057" t="s">
        <v>44777</v>
      </c>
    </row>
    <row r="13058" spans="1:24">
      <c r="A13058">
        <f>HYPERLINK("https://www.philgeps.gov.ph/GEPSNONPILOT/Tender/SplashBidNoticeAbstractUI.aspx?menuIndex=3&amp;refID=7121157&amp;Result=3","7121157")</f>
        <v>0</v>
      </c>
      <c r="B13058" t="s">
        <v>3454</v>
      </c>
      <c r="C13058" t="s">
        <v>16196</v>
      </c>
      <c r="D13058" t="s">
        <v>17959</v>
      </c>
      <c r="E13058" t="s">
        <v>29332</v>
      </c>
      <c r="F13058" t="s">
        <v>30900</v>
      </c>
      <c r="G13058" t="s">
        <v>30907</v>
      </c>
      <c r="H13058" t="s">
        <v>30915</v>
      </c>
      <c r="I13058" t="s">
        <v>30919</v>
      </c>
      <c r="J13058" t="s">
        <v>39176</v>
      </c>
      <c r="K13058" t="s">
        <v>40341</v>
      </c>
      <c r="M13058" t="s">
        <v>44338</v>
      </c>
      <c r="N13058" t="s">
        <v>44759</v>
      </c>
      <c r="O13058" t="s">
        <v>44760</v>
      </c>
      <c r="Q13058">
        <v>29</v>
      </c>
      <c r="R13058" t="s">
        <v>44776</v>
      </c>
      <c r="S13058" t="s">
        <v>45377</v>
      </c>
      <c r="T13058" t="s">
        <v>46357</v>
      </c>
      <c r="U13058" t="s">
        <v>57650</v>
      </c>
      <c r="W13058" t="s">
        <v>44338</v>
      </c>
      <c r="X13058" t="s">
        <v>44777</v>
      </c>
    </row>
    <row r="13059" spans="1:24">
      <c r="A13059">
        <f>HYPERLINK("https://www.philgeps.gov.ph/GEPSNONPILOT/Tender/SplashBidNoticeAbstractUI.aspx?menuIndex=3&amp;refID=7120862&amp;Result=3","7120862")</f>
        <v>0</v>
      </c>
      <c r="B13059" t="s">
        <v>1242</v>
      </c>
      <c r="C13059" t="s">
        <v>16197</v>
      </c>
      <c r="D13059" t="s">
        <v>17959</v>
      </c>
      <c r="E13059" t="s">
        <v>29333</v>
      </c>
      <c r="F13059" t="s">
        <v>30900</v>
      </c>
      <c r="G13059" t="s">
        <v>30907</v>
      </c>
      <c r="H13059" t="s">
        <v>30916</v>
      </c>
      <c r="I13059" t="s">
        <v>30923</v>
      </c>
      <c r="J13059" t="s">
        <v>39177</v>
      </c>
      <c r="K13059" t="s">
        <v>40287</v>
      </c>
      <c r="M13059" t="s">
        <v>41854</v>
      </c>
      <c r="N13059" t="s">
        <v>44759</v>
      </c>
      <c r="O13059" t="s">
        <v>44760</v>
      </c>
      <c r="Q13059">
        <v>5</v>
      </c>
      <c r="R13059" t="s">
        <v>44776</v>
      </c>
      <c r="S13059" t="s">
        <v>45645</v>
      </c>
      <c r="T13059" t="s">
        <v>46495</v>
      </c>
      <c r="U13059" t="s">
        <v>57651</v>
      </c>
      <c r="W13059" t="s">
        <v>41854</v>
      </c>
      <c r="X13059" t="s">
        <v>44777</v>
      </c>
    </row>
    <row r="13060" spans="1:24">
      <c r="A13060">
        <f>HYPERLINK("https://www.philgeps.gov.ph/GEPSNONPILOT/Tender/SplashBidNoticeAbstractUI.aspx?menuIndex=3&amp;refID=7121171&amp;Result=3","7121171")</f>
        <v>0</v>
      </c>
      <c r="B13060" t="s">
        <v>897</v>
      </c>
      <c r="C13060" t="s">
        <v>16198</v>
      </c>
      <c r="D13060" t="s">
        <v>17957</v>
      </c>
      <c r="E13060" t="s">
        <v>18852</v>
      </c>
      <c r="F13060" t="s">
        <v>30900</v>
      </c>
      <c r="G13060" t="s">
        <v>30907</v>
      </c>
      <c r="H13060" t="s">
        <v>30915</v>
      </c>
      <c r="I13060" t="s">
        <v>30919</v>
      </c>
      <c r="J13060" t="s">
        <v>31886</v>
      </c>
      <c r="K13060" t="s">
        <v>40342</v>
      </c>
      <c r="M13060" t="s">
        <v>41471</v>
      </c>
      <c r="N13060" t="s">
        <v>44759</v>
      </c>
      <c r="O13060" t="s">
        <v>44760</v>
      </c>
      <c r="P13060">
        <v>0</v>
      </c>
      <c r="Q13060">
        <v>0</v>
      </c>
      <c r="R13060" t="s">
        <v>44776</v>
      </c>
      <c r="S13060" t="s">
        <v>45453</v>
      </c>
      <c r="T13060" t="s">
        <v>46425</v>
      </c>
      <c r="U13060" t="s">
        <v>57652</v>
      </c>
      <c r="V13060" t="s">
        <v>60594</v>
      </c>
      <c r="W13060" t="s">
        <v>41471</v>
      </c>
      <c r="X13060" t="s">
        <v>44777</v>
      </c>
    </row>
    <row r="13061" spans="1:24">
      <c r="A13061">
        <f>HYPERLINK("https://www.philgeps.gov.ph/GEPSNONPILOT/Tender/SplashBidNoticeAbstractUI.aspx?menuIndex=3&amp;refID=7120855&amp;Result=3","7120855")</f>
        <v>0</v>
      </c>
      <c r="B13061" t="s">
        <v>3248</v>
      </c>
      <c r="C13061" t="s">
        <v>16199</v>
      </c>
      <c r="D13061" t="s">
        <v>17952</v>
      </c>
      <c r="E13061" t="s">
        <v>18282</v>
      </c>
      <c r="F13061" t="s">
        <v>30900</v>
      </c>
      <c r="G13061" t="s">
        <v>30907</v>
      </c>
      <c r="H13061" t="s">
        <v>30915</v>
      </c>
      <c r="I13061" t="s">
        <v>30919</v>
      </c>
      <c r="J13061" t="s">
        <v>31094</v>
      </c>
      <c r="K13061" t="s">
        <v>40280</v>
      </c>
      <c r="M13061" t="s">
        <v>44441</v>
      </c>
      <c r="N13061" t="s">
        <v>44759</v>
      </c>
      <c r="O13061" t="s">
        <v>44760</v>
      </c>
      <c r="P13061">
        <v>0</v>
      </c>
      <c r="Q13061">
        <v>2</v>
      </c>
      <c r="R13061" t="s">
        <v>44776</v>
      </c>
      <c r="S13061" t="s">
        <v>45453</v>
      </c>
      <c r="T13061" t="s">
        <v>46399</v>
      </c>
      <c r="U13061" t="s">
        <v>57653</v>
      </c>
      <c r="W13061" t="s">
        <v>44441</v>
      </c>
      <c r="X13061" t="s">
        <v>44777</v>
      </c>
    </row>
    <row r="13062" spans="1:24">
      <c r="A13062">
        <f>HYPERLINK("https://www.philgeps.gov.ph/GEPSNONPILOT/Tender/SplashBidNoticeAbstractUI.aspx?menuIndex=3&amp;refID=7116762&amp;Result=3","7116762")</f>
        <v>0</v>
      </c>
      <c r="B13062" t="s">
        <v>3587</v>
      </c>
      <c r="C13062" t="s">
        <v>16200</v>
      </c>
      <c r="D13062" t="s">
        <v>17957</v>
      </c>
      <c r="E13062" t="s">
        <v>18740</v>
      </c>
      <c r="F13062" t="s">
        <v>30900</v>
      </c>
      <c r="G13062" t="s">
        <v>30907</v>
      </c>
      <c r="H13062" t="s">
        <v>30915</v>
      </c>
      <c r="I13062" t="s">
        <v>30919</v>
      </c>
      <c r="J13062" t="s">
        <v>36803</v>
      </c>
      <c r="K13062" t="s">
        <v>40289</v>
      </c>
      <c r="M13062" t="s">
        <v>44513</v>
      </c>
      <c r="N13062" t="s">
        <v>44759</v>
      </c>
      <c r="O13062" t="s">
        <v>44760</v>
      </c>
      <c r="P13062">
        <v>0</v>
      </c>
      <c r="Q13062">
        <v>0</v>
      </c>
      <c r="R13062" t="s">
        <v>44779</v>
      </c>
      <c r="S13062" t="s">
        <v>45618</v>
      </c>
      <c r="T13062" t="s">
        <v>46644</v>
      </c>
      <c r="U13062" t="s">
        <v>57654</v>
      </c>
      <c r="W13062" t="s">
        <v>44513</v>
      </c>
      <c r="X13062" t="s">
        <v>44780</v>
      </c>
    </row>
    <row r="13063" spans="1:24">
      <c r="A13063">
        <f>HYPERLINK("https://www.philgeps.gov.ph/GEPSNONPILOT/Tender/SplashBidNoticeAbstractUI.aspx?menuIndex=3&amp;refID=7116613&amp;Result=3","7116613")</f>
        <v>0</v>
      </c>
      <c r="B13063" t="s">
        <v>1333</v>
      </c>
      <c r="C13063" t="s">
        <v>16201</v>
      </c>
      <c r="D13063" t="s">
        <v>18034</v>
      </c>
      <c r="E13063" t="s">
        <v>29334</v>
      </c>
      <c r="F13063" t="s">
        <v>30900</v>
      </c>
      <c r="G13063" t="s">
        <v>30907</v>
      </c>
      <c r="H13063" t="s">
        <v>30916</v>
      </c>
      <c r="I13063" t="s">
        <v>10602</v>
      </c>
      <c r="J13063" t="s">
        <v>31407</v>
      </c>
      <c r="K13063" t="s">
        <v>40283</v>
      </c>
      <c r="M13063" t="s">
        <v>41953</v>
      </c>
      <c r="N13063" t="s">
        <v>44759</v>
      </c>
      <c r="O13063" t="s">
        <v>44760</v>
      </c>
      <c r="P13063">
        <v>0</v>
      </c>
      <c r="Q13063">
        <v>0</v>
      </c>
      <c r="R13063" t="s">
        <v>44779</v>
      </c>
      <c r="S13063" t="s">
        <v>45618</v>
      </c>
      <c r="T13063" t="s">
        <v>46403</v>
      </c>
      <c r="U13063" t="s">
        <v>55744</v>
      </c>
      <c r="W13063" t="s">
        <v>41953</v>
      </c>
      <c r="X13063" t="s">
        <v>44780</v>
      </c>
    </row>
    <row r="13064" spans="1:24">
      <c r="A13064">
        <f>HYPERLINK("https://www.philgeps.gov.ph/GEPSNONPILOT/Tender/SplashBidNoticeAbstractUI.aspx?menuIndex=3&amp;refID=7121183&amp;Result=3","7121183")</f>
        <v>0</v>
      </c>
      <c r="B13064" t="s">
        <v>2416</v>
      </c>
      <c r="C13064" t="s">
        <v>16202</v>
      </c>
      <c r="D13064" t="s">
        <v>17993</v>
      </c>
      <c r="E13064" t="s">
        <v>29335</v>
      </c>
      <c r="F13064" t="s">
        <v>30900</v>
      </c>
      <c r="G13064" t="s">
        <v>30907</v>
      </c>
      <c r="H13064" t="s">
        <v>30916</v>
      </c>
      <c r="I13064" t="s">
        <v>30939</v>
      </c>
      <c r="J13064" t="s">
        <v>39178</v>
      </c>
      <c r="K13064" t="s">
        <v>40319</v>
      </c>
      <c r="M13064" t="s">
        <v>43143</v>
      </c>
      <c r="N13064" t="s">
        <v>44759</v>
      </c>
      <c r="O13064" t="s">
        <v>44760</v>
      </c>
      <c r="P13064">
        <v>0</v>
      </c>
      <c r="Q13064">
        <v>1</v>
      </c>
      <c r="R13064" t="s">
        <v>44776</v>
      </c>
      <c r="S13064" t="s">
        <v>45453</v>
      </c>
      <c r="T13064" t="s">
        <v>46389</v>
      </c>
      <c r="U13064" t="s">
        <v>57655</v>
      </c>
      <c r="V13064" t="s">
        <v>59325</v>
      </c>
      <c r="W13064" t="s">
        <v>43143</v>
      </c>
      <c r="X13064" t="s">
        <v>44777</v>
      </c>
    </row>
    <row r="13065" spans="1:24">
      <c r="A13065">
        <f>HYPERLINK("https://www.philgeps.gov.ph/GEPSNONPILOT/Tender/SplashBidNoticeAbstractUI.aspx?menuIndex=3&amp;refID=7116936&amp;Result=3","7116936")</f>
        <v>0</v>
      </c>
      <c r="B13065" t="s">
        <v>2413</v>
      </c>
      <c r="C13065" t="s">
        <v>16203</v>
      </c>
      <c r="D13065" t="s">
        <v>17957</v>
      </c>
      <c r="E13065" t="s">
        <v>29336</v>
      </c>
      <c r="F13065" t="s">
        <v>30900</v>
      </c>
      <c r="G13065" t="s">
        <v>30907</v>
      </c>
      <c r="H13065" t="s">
        <v>30915</v>
      </c>
      <c r="I13065" t="s">
        <v>30919</v>
      </c>
      <c r="J13065" t="s">
        <v>31153</v>
      </c>
      <c r="K13065" t="s">
        <v>40304</v>
      </c>
      <c r="M13065" t="s">
        <v>43140</v>
      </c>
      <c r="N13065" t="s">
        <v>44759</v>
      </c>
      <c r="O13065" t="s">
        <v>44760</v>
      </c>
      <c r="P13065">
        <v>0</v>
      </c>
      <c r="Q13065">
        <v>0</v>
      </c>
      <c r="R13065" t="s">
        <v>44779</v>
      </c>
      <c r="S13065" t="s">
        <v>45618</v>
      </c>
      <c r="T13065" t="s">
        <v>46548</v>
      </c>
      <c r="U13065" t="s">
        <v>57623</v>
      </c>
      <c r="V13065" t="s">
        <v>60595</v>
      </c>
      <c r="W13065" t="s">
        <v>43140</v>
      </c>
      <c r="X13065" t="s">
        <v>44780</v>
      </c>
    </row>
    <row r="13066" spans="1:24">
      <c r="A13066">
        <f>HYPERLINK("https://www.philgeps.gov.ph/GEPSNONPILOT/Tender/SplashBidNoticeAbstractUI.aspx?menuIndex=3&amp;refID=7116904&amp;Result=3","7116904")</f>
        <v>0</v>
      </c>
      <c r="B13066" t="s">
        <v>3588</v>
      </c>
      <c r="C13066" t="s">
        <v>16204</v>
      </c>
      <c r="D13066" t="s">
        <v>17978</v>
      </c>
      <c r="E13066" t="s">
        <v>18484</v>
      </c>
      <c r="F13066" t="s">
        <v>30900</v>
      </c>
      <c r="G13066" t="s">
        <v>30907</v>
      </c>
      <c r="H13066" t="s">
        <v>30915</v>
      </c>
      <c r="I13066" t="s">
        <v>30919</v>
      </c>
      <c r="J13066" t="s">
        <v>31101</v>
      </c>
      <c r="K13066" t="s">
        <v>40288</v>
      </c>
      <c r="M13066" t="s">
        <v>44514</v>
      </c>
      <c r="N13066" t="s">
        <v>44759</v>
      </c>
      <c r="O13066" t="s">
        <v>44760</v>
      </c>
      <c r="P13066">
        <v>0</v>
      </c>
      <c r="Q13066">
        <v>0</v>
      </c>
      <c r="R13066" t="s">
        <v>44779</v>
      </c>
      <c r="S13066" t="s">
        <v>45618</v>
      </c>
      <c r="T13066" t="s">
        <v>46364</v>
      </c>
      <c r="U13066" t="s">
        <v>57656</v>
      </c>
      <c r="W13066" t="s">
        <v>44514</v>
      </c>
      <c r="X13066" t="s">
        <v>44780</v>
      </c>
    </row>
    <row r="13067" spans="1:24">
      <c r="A13067">
        <f>HYPERLINK("https://www.philgeps.gov.ph/GEPSNONPILOT/Tender/SplashBidNoticeAbstractUI.aspx?menuIndex=3&amp;refID=7116926&amp;Result=3","7116926")</f>
        <v>0</v>
      </c>
      <c r="B13067" t="s">
        <v>1724</v>
      </c>
      <c r="C13067" t="s">
        <v>16205</v>
      </c>
      <c r="D13067" t="s">
        <v>18016</v>
      </c>
      <c r="E13067" t="s">
        <v>29337</v>
      </c>
      <c r="F13067" t="s">
        <v>30900</v>
      </c>
      <c r="G13067" t="s">
        <v>30907</v>
      </c>
      <c r="H13067" t="s">
        <v>30916</v>
      </c>
      <c r="I13067" t="s">
        <v>30939</v>
      </c>
      <c r="J13067" t="s">
        <v>39179</v>
      </c>
      <c r="K13067" t="s">
        <v>40284</v>
      </c>
      <c r="M13067" t="s">
        <v>42697</v>
      </c>
      <c r="N13067" t="s">
        <v>44759</v>
      </c>
      <c r="O13067" t="s">
        <v>44760</v>
      </c>
      <c r="P13067">
        <v>0</v>
      </c>
      <c r="Q13067">
        <v>0</v>
      </c>
      <c r="R13067" t="s">
        <v>44779</v>
      </c>
      <c r="S13067" t="s">
        <v>45618</v>
      </c>
      <c r="T13067" t="s">
        <v>46414</v>
      </c>
      <c r="U13067" t="s">
        <v>51585</v>
      </c>
      <c r="V13067" t="s">
        <v>59709</v>
      </c>
      <c r="W13067" t="s">
        <v>60878</v>
      </c>
      <c r="X13067" t="s">
        <v>44780</v>
      </c>
    </row>
    <row r="13068" spans="1:24">
      <c r="A13068">
        <f>HYPERLINK("https://www.philgeps.gov.ph/GEPSNONPILOT/Tender/SplashBidNoticeAbstractUI.aspx?menuIndex=3&amp;refID=7116897&amp;Result=3","7116897")</f>
        <v>0</v>
      </c>
      <c r="B13068" t="s">
        <v>1724</v>
      </c>
      <c r="C13068" t="s">
        <v>16206</v>
      </c>
      <c r="D13068" t="s">
        <v>18016</v>
      </c>
      <c r="E13068" t="s">
        <v>29338</v>
      </c>
      <c r="F13068" t="s">
        <v>30900</v>
      </c>
      <c r="G13068" t="s">
        <v>30907</v>
      </c>
      <c r="H13068" t="s">
        <v>30915</v>
      </c>
      <c r="I13068" t="s">
        <v>30939</v>
      </c>
      <c r="J13068" t="s">
        <v>39180</v>
      </c>
      <c r="K13068" t="s">
        <v>40284</v>
      </c>
      <c r="M13068" t="s">
        <v>42697</v>
      </c>
      <c r="N13068" t="s">
        <v>44759</v>
      </c>
      <c r="O13068" t="s">
        <v>44760</v>
      </c>
      <c r="P13068">
        <v>0</v>
      </c>
      <c r="Q13068">
        <v>0</v>
      </c>
      <c r="R13068" t="s">
        <v>44779</v>
      </c>
      <c r="S13068" t="s">
        <v>45618</v>
      </c>
      <c r="T13068" t="s">
        <v>46414</v>
      </c>
      <c r="U13068" t="s">
        <v>51585</v>
      </c>
      <c r="V13068" t="s">
        <v>59709</v>
      </c>
      <c r="W13068" t="s">
        <v>60878</v>
      </c>
      <c r="X13068" t="s">
        <v>44780</v>
      </c>
    </row>
    <row r="13069" spans="1:24">
      <c r="A13069">
        <f>HYPERLINK("https://www.philgeps.gov.ph/GEPSNONPILOT/Tender/SplashBidNoticeAbstractUI.aspx?menuIndex=3&amp;refID=7116925&amp;Result=3","7116925")</f>
        <v>0</v>
      </c>
      <c r="B13069" t="s">
        <v>3588</v>
      </c>
      <c r="C13069" t="s">
        <v>16207</v>
      </c>
      <c r="D13069" t="s">
        <v>17978</v>
      </c>
      <c r="E13069" t="s">
        <v>19963</v>
      </c>
      <c r="F13069" t="s">
        <v>30900</v>
      </c>
      <c r="G13069" t="s">
        <v>30907</v>
      </c>
      <c r="H13069" t="s">
        <v>30915</v>
      </c>
      <c r="I13069" t="s">
        <v>30919</v>
      </c>
      <c r="J13069" t="s">
        <v>31096</v>
      </c>
      <c r="K13069" t="s">
        <v>40288</v>
      </c>
      <c r="M13069" t="s">
        <v>44514</v>
      </c>
      <c r="N13069" t="s">
        <v>44759</v>
      </c>
      <c r="O13069" t="s">
        <v>44760</v>
      </c>
      <c r="P13069">
        <v>0</v>
      </c>
      <c r="Q13069">
        <v>0</v>
      </c>
      <c r="R13069" t="s">
        <v>44779</v>
      </c>
      <c r="S13069" t="s">
        <v>45618</v>
      </c>
      <c r="T13069" t="s">
        <v>46364</v>
      </c>
      <c r="U13069" t="s">
        <v>57657</v>
      </c>
      <c r="W13069" t="s">
        <v>44514</v>
      </c>
      <c r="X13069" t="s">
        <v>44780</v>
      </c>
    </row>
    <row r="13070" spans="1:24">
      <c r="A13070">
        <f>HYPERLINK("https://www.philgeps.gov.ph/GEPSNONPILOT/Tender/SplashBidNoticeAbstractUI.aspx?menuIndex=3&amp;refID=7116860&amp;Result=3","7116860")</f>
        <v>0</v>
      </c>
      <c r="B13070" t="s">
        <v>3588</v>
      </c>
      <c r="C13070" t="s">
        <v>16208</v>
      </c>
      <c r="D13070" t="s">
        <v>17978</v>
      </c>
      <c r="E13070" t="s">
        <v>18608</v>
      </c>
      <c r="F13070" t="s">
        <v>30900</v>
      </c>
      <c r="G13070" t="s">
        <v>30907</v>
      </c>
      <c r="H13070" t="s">
        <v>30915</v>
      </c>
      <c r="I13070" t="s">
        <v>30919</v>
      </c>
      <c r="J13070" t="s">
        <v>39181</v>
      </c>
      <c r="K13070" t="s">
        <v>40288</v>
      </c>
      <c r="M13070" t="s">
        <v>44514</v>
      </c>
      <c r="N13070" t="s">
        <v>44759</v>
      </c>
      <c r="O13070" t="s">
        <v>44760</v>
      </c>
      <c r="P13070">
        <v>0</v>
      </c>
      <c r="Q13070">
        <v>0</v>
      </c>
      <c r="R13070" t="s">
        <v>44779</v>
      </c>
      <c r="S13070" t="s">
        <v>45618</v>
      </c>
      <c r="T13070" t="s">
        <v>46404</v>
      </c>
      <c r="U13070" t="s">
        <v>57658</v>
      </c>
      <c r="W13070" t="s">
        <v>44514</v>
      </c>
      <c r="X13070" t="s">
        <v>44780</v>
      </c>
    </row>
    <row r="13071" spans="1:24">
      <c r="A13071">
        <f>HYPERLINK("https://www.philgeps.gov.ph/GEPSNONPILOT/Tender/SplashBidNoticeAbstractUI.aspx?menuIndex=3&amp;refID=7116868&amp;Result=3","7116868")</f>
        <v>0</v>
      </c>
      <c r="B13071" t="s">
        <v>1724</v>
      </c>
      <c r="C13071" t="s">
        <v>16209</v>
      </c>
      <c r="D13071" t="s">
        <v>18016</v>
      </c>
      <c r="E13071" t="s">
        <v>29339</v>
      </c>
      <c r="F13071" t="s">
        <v>30900</v>
      </c>
      <c r="G13071" t="s">
        <v>30907</v>
      </c>
      <c r="H13071" t="s">
        <v>30916</v>
      </c>
      <c r="I13071" t="s">
        <v>30939</v>
      </c>
      <c r="J13071" t="s">
        <v>39182</v>
      </c>
      <c r="K13071" t="s">
        <v>40284</v>
      </c>
      <c r="M13071" t="s">
        <v>42697</v>
      </c>
      <c r="N13071" t="s">
        <v>44759</v>
      </c>
      <c r="O13071" t="s">
        <v>44760</v>
      </c>
      <c r="P13071">
        <v>0</v>
      </c>
      <c r="Q13071">
        <v>0</v>
      </c>
      <c r="R13071" t="s">
        <v>44779</v>
      </c>
      <c r="S13071" t="s">
        <v>45618</v>
      </c>
      <c r="T13071" t="s">
        <v>46414</v>
      </c>
      <c r="U13071" t="s">
        <v>51585</v>
      </c>
      <c r="V13071" t="s">
        <v>59709</v>
      </c>
      <c r="W13071" t="s">
        <v>60878</v>
      </c>
      <c r="X13071" t="s">
        <v>44780</v>
      </c>
    </row>
    <row r="13072" spans="1:24">
      <c r="A13072">
        <f>HYPERLINK("https://www.philgeps.gov.ph/GEPSNONPILOT/Tender/SplashBidNoticeAbstractUI.aspx?menuIndex=3&amp;refID=7116844&amp;Result=3","7116844")</f>
        <v>0</v>
      </c>
      <c r="B13072" t="s">
        <v>3184</v>
      </c>
      <c r="C13072" t="s">
        <v>16210</v>
      </c>
      <c r="D13072" t="s">
        <v>17980</v>
      </c>
      <c r="E13072" t="s">
        <v>29340</v>
      </c>
      <c r="F13072" t="s">
        <v>30900</v>
      </c>
      <c r="G13072" t="s">
        <v>30907</v>
      </c>
      <c r="H13072" t="s">
        <v>30916</v>
      </c>
      <c r="I13072" t="s">
        <v>8123</v>
      </c>
      <c r="J13072" t="s">
        <v>39183</v>
      </c>
      <c r="K13072" t="s">
        <v>40287</v>
      </c>
      <c r="M13072" t="s">
        <v>44015</v>
      </c>
      <c r="N13072" t="s">
        <v>44759</v>
      </c>
      <c r="O13072" t="s">
        <v>44760</v>
      </c>
      <c r="P13072">
        <v>0</v>
      </c>
      <c r="Q13072">
        <v>0</v>
      </c>
      <c r="R13072" t="s">
        <v>44779</v>
      </c>
      <c r="S13072" t="s">
        <v>45618</v>
      </c>
      <c r="T13072" t="s">
        <v>46459</v>
      </c>
      <c r="U13072" t="s">
        <v>57659</v>
      </c>
      <c r="V13072" t="s">
        <v>60265</v>
      </c>
      <c r="W13072" t="s">
        <v>44015</v>
      </c>
      <c r="X13072" t="s">
        <v>44780</v>
      </c>
    </row>
    <row r="13073" spans="1:24">
      <c r="A13073">
        <f>HYPERLINK("https://www.philgeps.gov.ph/GEPSNONPILOT/Tender/SplashBidNoticeAbstractUI.aspx?menuIndex=3&amp;refID=7116827&amp;Result=3","7116827")</f>
        <v>0</v>
      </c>
      <c r="B13073" t="s">
        <v>3585</v>
      </c>
      <c r="C13073" t="s">
        <v>16183</v>
      </c>
      <c r="D13073" t="s">
        <v>18012</v>
      </c>
      <c r="E13073" t="s">
        <v>29341</v>
      </c>
      <c r="F13073" t="s">
        <v>30900</v>
      </c>
      <c r="G13073" t="s">
        <v>30907</v>
      </c>
      <c r="H13073" t="s">
        <v>30916</v>
      </c>
      <c r="I13073" t="s">
        <v>10602</v>
      </c>
      <c r="J13073" t="s">
        <v>31912</v>
      </c>
      <c r="K13073" t="s">
        <v>40283</v>
      </c>
      <c r="M13073" t="s">
        <v>44511</v>
      </c>
      <c r="N13073" t="s">
        <v>44759</v>
      </c>
      <c r="O13073" t="s">
        <v>44760</v>
      </c>
      <c r="P13073">
        <v>0</v>
      </c>
      <c r="Q13073">
        <v>1</v>
      </c>
      <c r="R13073" t="s">
        <v>44779</v>
      </c>
      <c r="S13073" t="s">
        <v>45618</v>
      </c>
      <c r="T13073" t="s">
        <v>46768</v>
      </c>
      <c r="U13073" t="s">
        <v>57660</v>
      </c>
      <c r="V13073" t="s">
        <v>59322</v>
      </c>
      <c r="W13073" t="s">
        <v>44511</v>
      </c>
      <c r="X13073" t="s">
        <v>44780</v>
      </c>
    </row>
    <row r="13074" spans="1:24">
      <c r="A13074">
        <f>HYPERLINK("https://www.philgeps.gov.ph/GEPSNONPILOT/Tender/SplashBidNoticeAbstractUI.aspx?menuIndex=3&amp;refID=7116826&amp;Result=3","7116826")</f>
        <v>0</v>
      </c>
      <c r="B13074" t="s">
        <v>2519</v>
      </c>
      <c r="C13074" t="s">
        <v>16211</v>
      </c>
      <c r="D13074" t="s">
        <v>18012</v>
      </c>
      <c r="E13074" t="s">
        <v>29342</v>
      </c>
      <c r="F13074" t="s">
        <v>30900</v>
      </c>
      <c r="G13074" t="s">
        <v>30907</v>
      </c>
      <c r="H13074" t="s">
        <v>30916</v>
      </c>
      <c r="I13074" t="s">
        <v>8123</v>
      </c>
      <c r="J13074" t="s">
        <v>39184</v>
      </c>
      <c r="K13074" t="s">
        <v>40289</v>
      </c>
      <c r="M13074" t="s">
        <v>43266</v>
      </c>
      <c r="N13074" t="s">
        <v>44759</v>
      </c>
      <c r="O13074" t="s">
        <v>44760</v>
      </c>
      <c r="P13074">
        <v>0</v>
      </c>
      <c r="Q13074">
        <v>2</v>
      </c>
      <c r="R13074" t="s">
        <v>44779</v>
      </c>
      <c r="S13074" t="s">
        <v>45618</v>
      </c>
      <c r="T13074" t="s">
        <v>46531</v>
      </c>
      <c r="U13074" t="s">
        <v>57661</v>
      </c>
      <c r="W13074" t="s">
        <v>43266</v>
      </c>
      <c r="X13074" t="s">
        <v>44780</v>
      </c>
    </row>
    <row r="13075" spans="1:24">
      <c r="A13075">
        <f>HYPERLINK("https://www.philgeps.gov.ph/GEPSNONPILOT/Tender/SplashBidNoticeAbstractUI.aspx?menuIndex=3&amp;refID=7116855&amp;Result=3","7116855")</f>
        <v>0</v>
      </c>
      <c r="B13075" t="s">
        <v>2413</v>
      </c>
      <c r="C13075" t="s">
        <v>16212</v>
      </c>
      <c r="D13075" t="s">
        <v>17957</v>
      </c>
      <c r="E13075" t="s">
        <v>29343</v>
      </c>
      <c r="F13075" t="s">
        <v>30900</v>
      </c>
      <c r="G13075" t="s">
        <v>30907</v>
      </c>
      <c r="H13075" t="s">
        <v>30915</v>
      </c>
      <c r="I13075" t="s">
        <v>30919</v>
      </c>
      <c r="J13075" t="s">
        <v>31069</v>
      </c>
      <c r="K13075" t="s">
        <v>40342</v>
      </c>
      <c r="M13075" t="s">
        <v>43140</v>
      </c>
      <c r="N13075" t="s">
        <v>44759</v>
      </c>
      <c r="O13075" t="s">
        <v>44760</v>
      </c>
      <c r="P13075">
        <v>0</v>
      </c>
      <c r="Q13075">
        <v>0</v>
      </c>
      <c r="R13075" t="s">
        <v>44779</v>
      </c>
      <c r="S13075" t="s">
        <v>45618</v>
      </c>
      <c r="T13075" t="s">
        <v>46607</v>
      </c>
      <c r="U13075" t="s">
        <v>57623</v>
      </c>
      <c r="V13075" t="s">
        <v>60596</v>
      </c>
      <c r="W13075" t="s">
        <v>43140</v>
      </c>
      <c r="X13075" t="s">
        <v>44780</v>
      </c>
    </row>
    <row r="13076" spans="1:24">
      <c r="A13076">
        <f>HYPERLINK("https://www.philgeps.gov.ph/GEPSNONPILOT/Tender/SplashBidNoticeAbstractUI.aspx?menuIndex=3&amp;refID=7116830&amp;Result=3","7116830")</f>
        <v>0</v>
      </c>
      <c r="B13076" t="s">
        <v>3588</v>
      </c>
      <c r="C13076" t="s">
        <v>7947</v>
      </c>
      <c r="D13076" t="s">
        <v>17978</v>
      </c>
      <c r="E13076" t="s">
        <v>18149</v>
      </c>
      <c r="F13076" t="s">
        <v>30900</v>
      </c>
      <c r="G13076" t="s">
        <v>30907</v>
      </c>
      <c r="H13076" t="s">
        <v>30915</v>
      </c>
      <c r="I13076" t="s">
        <v>30919</v>
      </c>
      <c r="J13076" t="s">
        <v>31101</v>
      </c>
      <c r="K13076" t="s">
        <v>40288</v>
      </c>
      <c r="M13076" t="s">
        <v>44514</v>
      </c>
      <c r="N13076" t="s">
        <v>44759</v>
      </c>
      <c r="O13076" t="s">
        <v>44760</v>
      </c>
      <c r="P13076">
        <v>0</v>
      </c>
      <c r="Q13076">
        <v>0</v>
      </c>
      <c r="R13076" t="s">
        <v>44779</v>
      </c>
      <c r="S13076" t="s">
        <v>45618</v>
      </c>
      <c r="T13076" t="s">
        <v>46400</v>
      </c>
      <c r="U13076" t="s">
        <v>57662</v>
      </c>
      <c r="W13076" t="s">
        <v>44514</v>
      </c>
      <c r="X13076" t="s">
        <v>44780</v>
      </c>
    </row>
    <row r="13077" spans="1:24">
      <c r="A13077">
        <f>HYPERLINK("https://www.philgeps.gov.ph/GEPSNONPILOT/Tender/SplashBidNoticeAbstractUI.aspx?menuIndex=3&amp;refID=7116800&amp;Result=3","7116800")</f>
        <v>0</v>
      </c>
      <c r="B13077" t="s">
        <v>1724</v>
      </c>
      <c r="C13077" t="s">
        <v>16213</v>
      </c>
      <c r="D13077" t="s">
        <v>18016</v>
      </c>
      <c r="E13077" t="s">
        <v>29344</v>
      </c>
      <c r="F13077" t="s">
        <v>30900</v>
      </c>
      <c r="G13077" t="s">
        <v>30907</v>
      </c>
      <c r="H13077" t="s">
        <v>30916</v>
      </c>
      <c r="I13077" t="s">
        <v>30939</v>
      </c>
      <c r="J13077" t="s">
        <v>39185</v>
      </c>
      <c r="K13077" t="s">
        <v>40284</v>
      </c>
      <c r="M13077" t="s">
        <v>42697</v>
      </c>
      <c r="N13077" t="s">
        <v>44759</v>
      </c>
      <c r="O13077" t="s">
        <v>44760</v>
      </c>
      <c r="P13077">
        <v>0</v>
      </c>
      <c r="Q13077">
        <v>1</v>
      </c>
      <c r="R13077" t="s">
        <v>44779</v>
      </c>
      <c r="S13077" t="s">
        <v>45618</v>
      </c>
      <c r="T13077" t="s">
        <v>46414</v>
      </c>
      <c r="U13077" t="s">
        <v>51585</v>
      </c>
      <c r="V13077" t="s">
        <v>59709</v>
      </c>
      <c r="W13077" t="s">
        <v>60878</v>
      </c>
      <c r="X13077" t="s">
        <v>44780</v>
      </c>
    </row>
    <row r="13078" spans="1:24">
      <c r="A13078">
        <f>HYPERLINK("https://www.philgeps.gov.ph/GEPSNONPILOT/Tender/SplashBidNoticeAbstractUI.aspx?menuIndex=3&amp;refID=7116695&amp;Result=3","7116695")</f>
        <v>0</v>
      </c>
      <c r="B13078" t="s">
        <v>1724</v>
      </c>
      <c r="C13078" t="s">
        <v>16214</v>
      </c>
      <c r="D13078" t="s">
        <v>18016</v>
      </c>
      <c r="E13078" t="s">
        <v>29345</v>
      </c>
      <c r="F13078" t="s">
        <v>30900</v>
      </c>
      <c r="G13078" t="s">
        <v>30907</v>
      </c>
      <c r="H13078" t="s">
        <v>30916</v>
      </c>
      <c r="I13078" t="s">
        <v>30939</v>
      </c>
      <c r="J13078" t="s">
        <v>39186</v>
      </c>
      <c r="K13078" t="s">
        <v>40284</v>
      </c>
      <c r="M13078" t="s">
        <v>42697</v>
      </c>
      <c r="N13078" t="s">
        <v>44759</v>
      </c>
      <c r="O13078" t="s">
        <v>44760</v>
      </c>
      <c r="P13078">
        <v>0</v>
      </c>
      <c r="Q13078">
        <v>0</v>
      </c>
      <c r="R13078" t="s">
        <v>44779</v>
      </c>
      <c r="S13078" t="s">
        <v>45618</v>
      </c>
      <c r="T13078" t="s">
        <v>46414</v>
      </c>
      <c r="U13078" t="s">
        <v>51585</v>
      </c>
      <c r="V13078" t="s">
        <v>59709</v>
      </c>
      <c r="W13078" t="s">
        <v>60878</v>
      </c>
      <c r="X13078" t="s">
        <v>44780</v>
      </c>
    </row>
    <row r="13079" spans="1:24">
      <c r="A13079">
        <f>HYPERLINK("https://www.philgeps.gov.ph/GEPSNONPILOT/Tender/SplashBidNoticeAbstractUI.aspx?menuIndex=3&amp;refID=7116817&amp;Result=3","7116817")</f>
        <v>0</v>
      </c>
      <c r="B13079" t="s">
        <v>173</v>
      </c>
      <c r="C13079" t="s">
        <v>16215</v>
      </c>
      <c r="D13079" t="s">
        <v>17978</v>
      </c>
      <c r="E13079" t="s">
        <v>29346</v>
      </c>
      <c r="F13079" t="s">
        <v>30900</v>
      </c>
      <c r="G13079" t="s">
        <v>30907</v>
      </c>
      <c r="H13079" t="s">
        <v>30915</v>
      </c>
      <c r="I13079" t="s">
        <v>30919</v>
      </c>
      <c r="J13079" t="s">
        <v>39187</v>
      </c>
      <c r="K13079" t="s">
        <v>40354</v>
      </c>
      <c r="M13079" t="s">
        <v>40720</v>
      </c>
      <c r="N13079" t="s">
        <v>44759</v>
      </c>
      <c r="O13079" t="s">
        <v>44760</v>
      </c>
      <c r="P13079">
        <v>0</v>
      </c>
      <c r="Q13079">
        <v>4</v>
      </c>
      <c r="R13079" t="s">
        <v>44779</v>
      </c>
      <c r="S13079" t="s">
        <v>45618</v>
      </c>
      <c r="T13079" t="s">
        <v>46403</v>
      </c>
      <c r="U13079" t="s">
        <v>57663</v>
      </c>
      <c r="V13079" t="s">
        <v>60158</v>
      </c>
      <c r="W13079" t="s">
        <v>40720</v>
      </c>
      <c r="X13079" t="s">
        <v>44780</v>
      </c>
    </row>
    <row r="13080" spans="1:24">
      <c r="A13080">
        <f>HYPERLINK("https://www.philgeps.gov.ph/GEPSNONPILOT/Tender/SplashBidNoticeAbstractUI.aspx?menuIndex=3&amp;refID=7121542&amp;Result=3","7121542")</f>
        <v>0</v>
      </c>
      <c r="B13080" t="s">
        <v>3589</v>
      </c>
      <c r="C13080" t="s">
        <v>16216</v>
      </c>
      <c r="D13080" t="s">
        <v>18022</v>
      </c>
      <c r="E13080" t="s">
        <v>18282</v>
      </c>
      <c r="F13080" t="s">
        <v>30900</v>
      </c>
      <c r="G13080" t="s">
        <v>30907</v>
      </c>
      <c r="H13080" t="s">
        <v>30915</v>
      </c>
      <c r="I13080" t="s">
        <v>30919</v>
      </c>
      <c r="J13080" t="s">
        <v>39188</v>
      </c>
      <c r="K13080" t="s">
        <v>40398</v>
      </c>
      <c r="L13080" t="s">
        <v>3589</v>
      </c>
      <c r="M13080" t="s">
        <v>44515</v>
      </c>
      <c r="N13080" t="s">
        <v>44759</v>
      </c>
      <c r="O13080" t="s">
        <v>44760</v>
      </c>
      <c r="P13080">
        <v>0</v>
      </c>
      <c r="Q13080">
        <v>6</v>
      </c>
      <c r="R13080" t="s">
        <v>44776</v>
      </c>
      <c r="S13080" t="s">
        <v>45453</v>
      </c>
      <c r="T13080" t="s">
        <v>46399</v>
      </c>
      <c r="U13080" t="s">
        <v>57664</v>
      </c>
      <c r="V13080" t="s">
        <v>60597</v>
      </c>
      <c r="W13080" t="s">
        <v>44515</v>
      </c>
      <c r="X13080" t="s">
        <v>44777</v>
      </c>
    </row>
    <row r="13081" spans="1:24">
      <c r="A13081">
        <f>HYPERLINK("https://www.philgeps.gov.ph/GEPSNONPILOT/Tender/SplashBidNoticeAbstractUI.aspx?menuIndex=3&amp;refID=7117137&amp;Result=3","7117137")</f>
        <v>0</v>
      </c>
      <c r="B13081" t="s">
        <v>3590</v>
      </c>
      <c r="C13081" t="s">
        <v>16217</v>
      </c>
      <c r="D13081" t="s">
        <v>17964</v>
      </c>
      <c r="E13081" t="s">
        <v>29347</v>
      </c>
      <c r="F13081" t="s">
        <v>30900</v>
      </c>
      <c r="G13081" t="s">
        <v>30907</v>
      </c>
      <c r="H13081" t="s">
        <v>30916</v>
      </c>
      <c r="I13081" t="s">
        <v>8123</v>
      </c>
      <c r="J13081" t="s">
        <v>39189</v>
      </c>
      <c r="K13081" t="s">
        <v>40293</v>
      </c>
      <c r="M13081" t="s">
        <v>44516</v>
      </c>
      <c r="N13081" t="s">
        <v>44759</v>
      </c>
      <c r="O13081" t="s">
        <v>44760</v>
      </c>
      <c r="P13081">
        <v>0</v>
      </c>
      <c r="Q13081">
        <v>0</v>
      </c>
      <c r="R13081" t="s">
        <v>44779</v>
      </c>
      <c r="S13081" t="s">
        <v>45618</v>
      </c>
      <c r="T13081" t="s">
        <v>46406</v>
      </c>
      <c r="U13081" t="s">
        <v>57665</v>
      </c>
      <c r="V13081" t="s">
        <v>60598</v>
      </c>
      <c r="W13081" t="s">
        <v>44516</v>
      </c>
      <c r="X13081" t="s">
        <v>44780</v>
      </c>
    </row>
    <row r="13082" spans="1:24">
      <c r="A13082">
        <f>HYPERLINK("https://www.philgeps.gov.ph/GEPSNONPILOT/Tender/SplashBidNoticeAbstractUI.aspx?menuIndex=3&amp;refID=7117113&amp;Result=3","7117113")</f>
        <v>0</v>
      </c>
      <c r="B13082" t="s">
        <v>509</v>
      </c>
      <c r="C13082" t="s">
        <v>16218</v>
      </c>
      <c r="D13082" t="s">
        <v>17951</v>
      </c>
      <c r="E13082" t="s">
        <v>22625</v>
      </c>
      <c r="F13082" t="s">
        <v>30900</v>
      </c>
      <c r="G13082" t="s">
        <v>30907</v>
      </c>
      <c r="H13082" t="s">
        <v>30915</v>
      </c>
      <c r="I13082" t="s">
        <v>30919</v>
      </c>
      <c r="J13082" t="s">
        <v>31241</v>
      </c>
      <c r="K13082" t="s">
        <v>40322</v>
      </c>
      <c r="M13082" t="s">
        <v>41069</v>
      </c>
      <c r="N13082" t="s">
        <v>44759</v>
      </c>
      <c r="O13082" t="s">
        <v>44760</v>
      </c>
      <c r="P13082">
        <v>0</v>
      </c>
      <c r="Q13082">
        <v>0</v>
      </c>
      <c r="R13082" t="s">
        <v>44779</v>
      </c>
      <c r="S13082" t="s">
        <v>45618</v>
      </c>
      <c r="T13082" t="s">
        <v>46421</v>
      </c>
      <c r="U13082" t="s">
        <v>57666</v>
      </c>
      <c r="W13082" t="s">
        <v>41069</v>
      </c>
      <c r="X13082" t="s">
        <v>44780</v>
      </c>
    </row>
    <row r="13083" spans="1:24">
      <c r="A13083">
        <f>HYPERLINK("https://www.philgeps.gov.ph/GEPSNONPILOT/Tender/SplashBidNoticeAbstractUI.aspx?menuIndex=3&amp;refID=7117101&amp;Result=3","7117101")</f>
        <v>0</v>
      </c>
      <c r="B13083" t="s">
        <v>2542</v>
      </c>
      <c r="C13083" t="s">
        <v>16219</v>
      </c>
      <c r="E13083" t="s">
        <v>29348</v>
      </c>
      <c r="F13083" t="s">
        <v>30900</v>
      </c>
      <c r="G13083" t="s">
        <v>30907</v>
      </c>
      <c r="H13083" t="s">
        <v>30915</v>
      </c>
      <c r="I13083" t="s">
        <v>30919</v>
      </c>
      <c r="J13083" t="s">
        <v>39190</v>
      </c>
      <c r="K13083" t="s">
        <v>40289</v>
      </c>
      <c r="M13083" t="s">
        <v>43299</v>
      </c>
      <c r="N13083" t="s">
        <v>44759</v>
      </c>
      <c r="O13083" t="s">
        <v>44760</v>
      </c>
      <c r="Q13083">
        <v>42</v>
      </c>
      <c r="R13083" t="s">
        <v>44779</v>
      </c>
      <c r="S13083" t="s">
        <v>45646</v>
      </c>
      <c r="T13083" t="s">
        <v>46533</v>
      </c>
      <c r="U13083" t="s">
        <v>55002</v>
      </c>
      <c r="W13083" t="s">
        <v>60910</v>
      </c>
      <c r="X13083" t="s">
        <v>44780</v>
      </c>
    </row>
    <row r="13084" spans="1:24">
      <c r="A13084">
        <f>HYPERLINK("https://www.philgeps.gov.ph/GEPSNONPILOT/Tender/SplashBidNoticeAbstractUI.aspx?menuIndex=3&amp;refID=7117226&amp;Result=3","7117226")</f>
        <v>0</v>
      </c>
      <c r="B13084" t="s">
        <v>3591</v>
      </c>
      <c r="C13084" t="s">
        <v>16220</v>
      </c>
      <c r="D13084" t="s">
        <v>17978</v>
      </c>
      <c r="E13084" t="s">
        <v>26137</v>
      </c>
      <c r="F13084" t="s">
        <v>30900</v>
      </c>
      <c r="G13084" t="s">
        <v>30907</v>
      </c>
      <c r="H13084" t="s">
        <v>30916</v>
      </c>
      <c r="I13084" t="s">
        <v>30949</v>
      </c>
      <c r="J13084" t="s">
        <v>31574</v>
      </c>
      <c r="K13084" t="s">
        <v>40289</v>
      </c>
      <c r="M13084" t="s">
        <v>44517</v>
      </c>
      <c r="N13084" t="s">
        <v>44759</v>
      </c>
      <c r="O13084" t="s">
        <v>44760</v>
      </c>
      <c r="Q13084">
        <v>4</v>
      </c>
      <c r="R13084" t="s">
        <v>44779</v>
      </c>
      <c r="S13084" t="s">
        <v>45647</v>
      </c>
      <c r="T13084" t="s">
        <v>46399</v>
      </c>
      <c r="U13084" t="s">
        <v>57667</v>
      </c>
      <c r="W13084" t="s">
        <v>44517</v>
      </c>
      <c r="X13084" t="s">
        <v>44780</v>
      </c>
    </row>
    <row r="13085" spans="1:24">
      <c r="A13085">
        <f>HYPERLINK("https://www.philgeps.gov.ph/GEPSNONPILOT/Tender/SplashBidNoticeAbstractUI.aspx?menuIndex=3&amp;refID=7117086&amp;Result=3","7117086")</f>
        <v>0</v>
      </c>
      <c r="B13085" t="s">
        <v>2542</v>
      </c>
      <c r="C13085" t="s">
        <v>16221</v>
      </c>
      <c r="E13085" t="s">
        <v>29349</v>
      </c>
      <c r="F13085" t="s">
        <v>30900</v>
      </c>
      <c r="G13085" t="s">
        <v>30907</v>
      </c>
      <c r="H13085" t="s">
        <v>30915</v>
      </c>
      <c r="I13085" t="s">
        <v>30919</v>
      </c>
      <c r="J13085" t="s">
        <v>39191</v>
      </c>
      <c r="K13085" t="s">
        <v>40289</v>
      </c>
      <c r="M13085" t="s">
        <v>43299</v>
      </c>
      <c r="N13085" t="s">
        <v>44759</v>
      </c>
      <c r="O13085" t="s">
        <v>44760</v>
      </c>
      <c r="Q13085">
        <v>45</v>
      </c>
      <c r="R13085" t="s">
        <v>44779</v>
      </c>
      <c r="S13085" t="s">
        <v>45648</v>
      </c>
      <c r="T13085" t="s">
        <v>46533</v>
      </c>
      <c r="U13085" t="s">
        <v>55002</v>
      </c>
      <c r="W13085" t="s">
        <v>60910</v>
      </c>
      <c r="X13085" t="s">
        <v>44780</v>
      </c>
    </row>
    <row r="13086" spans="1:24">
      <c r="A13086">
        <f>HYPERLINK("https://www.philgeps.gov.ph/GEPSNONPILOT/Tender/SplashBidNoticeAbstractUI.aspx?menuIndex=3&amp;refID=7117076&amp;Result=3","7117076")</f>
        <v>0</v>
      </c>
      <c r="B13086" t="s">
        <v>2519</v>
      </c>
      <c r="C13086" t="s">
        <v>16222</v>
      </c>
      <c r="D13086" t="s">
        <v>18012</v>
      </c>
      <c r="E13086" t="s">
        <v>29350</v>
      </c>
      <c r="F13086" t="s">
        <v>30900</v>
      </c>
      <c r="G13086" t="s">
        <v>30907</v>
      </c>
      <c r="H13086" t="s">
        <v>30916</v>
      </c>
      <c r="I13086" t="s">
        <v>30942</v>
      </c>
      <c r="J13086" t="s">
        <v>39192</v>
      </c>
      <c r="K13086" t="s">
        <v>40289</v>
      </c>
      <c r="M13086" t="s">
        <v>43266</v>
      </c>
      <c r="N13086" t="s">
        <v>44759</v>
      </c>
      <c r="O13086" t="s">
        <v>44760</v>
      </c>
      <c r="P13086">
        <v>0</v>
      </c>
      <c r="Q13086">
        <v>0</v>
      </c>
      <c r="R13086" t="s">
        <v>44779</v>
      </c>
      <c r="S13086" t="s">
        <v>45618</v>
      </c>
      <c r="T13086" t="s">
        <v>46531</v>
      </c>
      <c r="U13086" t="s">
        <v>57668</v>
      </c>
      <c r="W13086" t="s">
        <v>43266</v>
      </c>
      <c r="X13086" t="s">
        <v>44780</v>
      </c>
    </row>
    <row r="13087" spans="1:24">
      <c r="A13087">
        <f>HYPERLINK("https://www.philgeps.gov.ph/GEPSNONPILOT/Tender/SplashBidNoticeAbstractUI.aspx?menuIndex=3&amp;refID=7117059&amp;Result=3","7117059")</f>
        <v>0</v>
      </c>
      <c r="B13087" t="s">
        <v>2413</v>
      </c>
      <c r="C13087" t="s">
        <v>16223</v>
      </c>
      <c r="D13087" t="s">
        <v>17957</v>
      </c>
      <c r="E13087" t="s">
        <v>29351</v>
      </c>
      <c r="F13087" t="s">
        <v>30900</v>
      </c>
      <c r="G13087" t="s">
        <v>30907</v>
      </c>
      <c r="H13087" t="s">
        <v>30915</v>
      </c>
      <c r="I13087" t="s">
        <v>30919</v>
      </c>
      <c r="J13087" t="s">
        <v>31270</v>
      </c>
      <c r="K13087" t="s">
        <v>40280</v>
      </c>
      <c r="M13087" t="s">
        <v>43140</v>
      </c>
      <c r="N13087" t="s">
        <v>44759</v>
      </c>
      <c r="O13087" t="s">
        <v>44760</v>
      </c>
      <c r="P13087">
        <v>0</v>
      </c>
      <c r="Q13087">
        <v>0</v>
      </c>
      <c r="R13087" t="s">
        <v>44779</v>
      </c>
      <c r="S13087" t="s">
        <v>45618</v>
      </c>
      <c r="T13087" t="s">
        <v>46531</v>
      </c>
      <c r="U13087" t="s">
        <v>57623</v>
      </c>
      <c r="V13087" t="s">
        <v>60599</v>
      </c>
      <c r="W13087" t="s">
        <v>43140</v>
      </c>
      <c r="X13087" t="s">
        <v>44780</v>
      </c>
    </row>
    <row r="13088" spans="1:24">
      <c r="A13088">
        <f>HYPERLINK("https://www.philgeps.gov.ph/GEPSNONPILOT/Tender/SplashBidNoticeAbstractUI.aspx?menuIndex=3&amp;refID=7117045&amp;Result=3","7117045")</f>
        <v>0</v>
      </c>
      <c r="B13088" t="s">
        <v>2246</v>
      </c>
      <c r="C13088" t="s">
        <v>16224</v>
      </c>
      <c r="D13088" t="s">
        <v>17980</v>
      </c>
      <c r="E13088" t="s">
        <v>18740</v>
      </c>
      <c r="F13088" t="s">
        <v>30899</v>
      </c>
      <c r="G13088" t="s">
        <v>30913</v>
      </c>
      <c r="H13088" t="s">
        <v>30916</v>
      </c>
      <c r="I13088" t="s">
        <v>30936</v>
      </c>
      <c r="J13088" t="s">
        <v>39193</v>
      </c>
      <c r="K13088" t="s">
        <v>40287</v>
      </c>
      <c r="M13088" t="s">
        <v>42957</v>
      </c>
      <c r="N13088" t="s">
        <v>44759</v>
      </c>
      <c r="O13088" t="s">
        <v>44760</v>
      </c>
      <c r="P13088">
        <v>0</v>
      </c>
      <c r="Q13088">
        <v>1</v>
      </c>
      <c r="R13088" t="s">
        <v>44779</v>
      </c>
      <c r="S13088" t="s">
        <v>45618</v>
      </c>
      <c r="T13088" t="s">
        <v>46414</v>
      </c>
      <c r="U13088" t="s">
        <v>57669</v>
      </c>
      <c r="V13088" t="s">
        <v>60600</v>
      </c>
      <c r="W13088" t="s">
        <v>42957</v>
      </c>
      <c r="X13088" t="s">
        <v>44780</v>
      </c>
    </row>
    <row r="13089" spans="1:24">
      <c r="A13089">
        <f>HYPERLINK("https://www.philgeps.gov.ph/GEPSNONPILOT/Tender/SplashBidNoticeAbstractUI.aspx?menuIndex=3&amp;refID=7117034&amp;Result=3","7117034")</f>
        <v>0</v>
      </c>
      <c r="B13089" t="s">
        <v>2519</v>
      </c>
      <c r="C13089" t="s">
        <v>16225</v>
      </c>
      <c r="D13089" t="s">
        <v>18012</v>
      </c>
      <c r="E13089" t="s">
        <v>29352</v>
      </c>
      <c r="F13089" t="s">
        <v>30900</v>
      </c>
      <c r="G13089" t="s">
        <v>30907</v>
      </c>
      <c r="H13089" t="s">
        <v>30916</v>
      </c>
      <c r="I13089" t="s">
        <v>8123</v>
      </c>
      <c r="J13089" t="s">
        <v>39194</v>
      </c>
      <c r="K13089" t="s">
        <v>40289</v>
      </c>
      <c r="M13089" t="s">
        <v>43266</v>
      </c>
      <c r="N13089" t="s">
        <v>44759</v>
      </c>
      <c r="O13089" t="s">
        <v>44760</v>
      </c>
      <c r="P13089">
        <v>0</v>
      </c>
      <c r="Q13089">
        <v>1</v>
      </c>
      <c r="R13089" t="s">
        <v>44779</v>
      </c>
      <c r="S13089" t="s">
        <v>45618</v>
      </c>
      <c r="T13089" t="s">
        <v>46531</v>
      </c>
      <c r="U13089" t="s">
        <v>57670</v>
      </c>
      <c r="W13089" t="s">
        <v>43266</v>
      </c>
      <c r="X13089" t="s">
        <v>44780</v>
      </c>
    </row>
    <row r="13090" spans="1:24">
      <c r="A13090">
        <f>HYPERLINK("https://www.philgeps.gov.ph/GEPSNONPILOT/Tender/SplashBidNoticeAbstractUI.aspx?menuIndex=3&amp;refID=7117009&amp;Result=3","7117009")</f>
        <v>0</v>
      </c>
      <c r="B13090" t="s">
        <v>1724</v>
      </c>
      <c r="C13090" t="s">
        <v>16226</v>
      </c>
      <c r="D13090" t="s">
        <v>18016</v>
      </c>
      <c r="E13090" t="s">
        <v>29353</v>
      </c>
      <c r="F13090" t="s">
        <v>30900</v>
      </c>
      <c r="G13090" t="s">
        <v>30907</v>
      </c>
      <c r="H13090" t="s">
        <v>30916</v>
      </c>
      <c r="I13090" t="s">
        <v>30939</v>
      </c>
      <c r="J13090" t="s">
        <v>39195</v>
      </c>
      <c r="K13090" t="s">
        <v>40284</v>
      </c>
      <c r="M13090" t="s">
        <v>42697</v>
      </c>
      <c r="N13090" t="s">
        <v>44759</v>
      </c>
      <c r="O13090" t="s">
        <v>44760</v>
      </c>
      <c r="P13090">
        <v>0</v>
      </c>
      <c r="Q13090">
        <v>0</v>
      </c>
      <c r="R13090" t="s">
        <v>44779</v>
      </c>
      <c r="S13090" t="s">
        <v>45618</v>
      </c>
      <c r="T13090" t="s">
        <v>46414</v>
      </c>
      <c r="U13090" t="s">
        <v>51585</v>
      </c>
      <c r="V13090" t="s">
        <v>59709</v>
      </c>
      <c r="W13090" t="s">
        <v>60878</v>
      </c>
      <c r="X13090" t="s">
        <v>44780</v>
      </c>
    </row>
    <row r="13091" spans="1:24">
      <c r="A13091">
        <f>HYPERLINK("https://www.philgeps.gov.ph/GEPSNONPILOT/Tender/SplashBidNoticeAbstractUI.aspx?menuIndex=3&amp;refID=7117103&amp;Result=3","7117103")</f>
        <v>0</v>
      </c>
      <c r="B13091" t="s">
        <v>2549</v>
      </c>
      <c r="C13091" t="s">
        <v>16144</v>
      </c>
      <c r="D13091" t="s">
        <v>18003</v>
      </c>
      <c r="E13091" t="s">
        <v>29354</v>
      </c>
      <c r="F13091" t="s">
        <v>30900</v>
      </c>
      <c r="G13091" t="s">
        <v>30907</v>
      </c>
      <c r="H13091" t="s">
        <v>30916</v>
      </c>
      <c r="I13091" t="s">
        <v>30933</v>
      </c>
      <c r="J13091" t="s">
        <v>31402</v>
      </c>
      <c r="K13091" t="s">
        <v>40286</v>
      </c>
      <c r="M13091" t="s">
        <v>43306</v>
      </c>
      <c r="N13091" t="s">
        <v>44759</v>
      </c>
      <c r="O13091" t="s">
        <v>44760</v>
      </c>
      <c r="P13091">
        <v>0</v>
      </c>
      <c r="Q13091">
        <v>3</v>
      </c>
      <c r="R13091" t="s">
        <v>44779</v>
      </c>
      <c r="S13091" t="s">
        <v>45618</v>
      </c>
      <c r="T13091" t="s">
        <v>46351</v>
      </c>
      <c r="U13091" t="s">
        <v>57671</v>
      </c>
      <c r="W13091" t="s">
        <v>43306</v>
      </c>
      <c r="X13091" t="s">
        <v>44780</v>
      </c>
    </row>
    <row r="13092" spans="1:24">
      <c r="A13092">
        <f>HYPERLINK("https://www.philgeps.gov.ph/GEPSNONPILOT/Tender/SplashBidNoticeAbstractUI.aspx?menuIndex=3&amp;refID=7117233&amp;Result=3","7117233")</f>
        <v>0</v>
      </c>
      <c r="B13092" t="s">
        <v>3592</v>
      </c>
      <c r="C13092" t="s">
        <v>16227</v>
      </c>
      <c r="D13092" t="s">
        <v>17985</v>
      </c>
      <c r="E13092" t="s">
        <v>29355</v>
      </c>
      <c r="F13092" t="s">
        <v>30900</v>
      </c>
      <c r="G13092" t="s">
        <v>30907</v>
      </c>
      <c r="H13092" t="s">
        <v>30915</v>
      </c>
      <c r="I13092" t="s">
        <v>30919</v>
      </c>
      <c r="J13092" t="s">
        <v>31096</v>
      </c>
      <c r="K13092" t="s">
        <v>40286</v>
      </c>
      <c r="M13092" t="s">
        <v>44518</v>
      </c>
      <c r="N13092" t="s">
        <v>44759</v>
      </c>
      <c r="O13092" t="s">
        <v>44760</v>
      </c>
      <c r="P13092">
        <v>0</v>
      </c>
      <c r="Q13092">
        <v>0</v>
      </c>
      <c r="R13092" t="s">
        <v>44779</v>
      </c>
      <c r="S13092" t="s">
        <v>45618</v>
      </c>
      <c r="T13092" t="s">
        <v>46363</v>
      </c>
      <c r="U13092" t="s">
        <v>57672</v>
      </c>
      <c r="W13092" t="s">
        <v>44518</v>
      </c>
      <c r="X13092" t="s">
        <v>44780</v>
      </c>
    </row>
    <row r="13093" spans="1:24">
      <c r="A13093">
        <f>HYPERLINK("https://www.philgeps.gov.ph/GEPSNONPILOT/Tender/SplashBidNoticeAbstractUI.aspx?menuIndex=3&amp;refID=7117023&amp;Result=3","7117023")</f>
        <v>0</v>
      </c>
      <c r="B13093" t="s">
        <v>3519</v>
      </c>
      <c r="C13093" t="s">
        <v>16228</v>
      </c>
      <c r="D13093" t="s">
        <v>17971</v>
      </c>
      <c r="E13093" t="s">
        <v>29356</v>
      </c>
      <c r="F13093" t="s">
        <v>30900</v>
      </c>
      <c r="G13093" t="s">
        <v>30907</v>
      </c>
      <c r="H13093" t="s">
        <v>30915</v>
      </c>
      <c r="I13093" t="s">
        <v>30919</v>
      </c>
      <c r="J13093" t="s">
        <v>39196</v>
      </c>
      <c r="K13093" t="s">
        <v>40304</v>
      </c>
      <c r="M13093" t="s">
        <v>44429</v>
      </c>
      <c r="N13093" t="s">
        <v>44759</v>
      </c>
      <c r="O13093" t="s">
        <v>44760</v>
      </c>
      <c r="P13093">
        <v>0</v>
      </c>
      <c r="Q13093">
        <v>112</v>
      </c>
      <c r="R13093" t="s">
        <v>44779</v>
      </c>
      <c r="S13093" t="s">
        <v>45618</v>
      </c>
      <c r="T13093" t="s">
        <v>46400</v>
      </c>
      <c r="U13093" t="s">
        <v>57673</v>
      </c>
      <c r="V13093" t="s">
        <v>60601</v>
      </c>
      <c r="W13093" t="s">
        <v>44429</v>
      </c>
      <c r="X13093" t="s">
        <v>44780</v>
      </c>
    </row>
    <row r="13094" spans="1:24">
      <c r="A13094">
        <f>HYPERLINK("https://www.philgeps.gov.ph/GEPSNONPILOT/Tender/SplashBidNoticeAbstractUI.aspx?menuIndex=3&amp;refID=7117454&amp;Result=3","7117454")</f>
        <v>0</v>
      </c>
      <c r="B13094" t="s">
        <v>2056</v>
      </c>
      <c r="C13094" t="s">
        <v>16229</v>
      </c>
      <c r="D13094" t="s">
        <v>17999</v>
      </c>
      <c r="E13094" t="s">
        <v>29357</v>
      </c>
      <c r="F13094" t="s">
        <v>30900</v>
      </c>
      <c r="G13094" t="s">
        <v>30907</v>
      </c>
      <c r="H13094" t="s">
        <v>30915</v>
      </c>
      <c r="I13094" t="s">
        <v>30919</v>
      </c>
      <c r="J13094" t="s">
        <v>31744</v>
      </c>
      <c r="K13094" t="s">
        <v>40289</v>
      </c>
      <c r="M13094" t="s">
        <v>42755</v>
      </c>
      <c r="N13094" t="s">
        <v>44759</v>
      </c>
      <c r="O13094" t="s">
        <v>44760</v>
      </c>
      <c r="P13094">
        <v>0</v>
      </c>
      <c r="Q13094">
        <v>0</v>
      </c>
      <c r="R13094" t="s">
        <v>44779</v>
      </c>
      <c r="S13094" t="s">
        <v>45618</v>
      </c>
      <c r="T13094" t="s">
        <v>46581</v>
      </c>
      <c r="U13094" t="s">
        <v>57674</v>
      </c>
      <c r="W13094" t="s">
        <v>42755</v>
      </c>
      <c r="X13094" t="s">
        <v>44780</v>
      </c>
    </row>
    <row r="13095" spans="1:24">
      <c r="A13095">
        <f>HYPERLINK("https://www.philgeps.gov.ph/GEPSNONPILOT/Tender/SplashBidNoticeAbstractUI.aspx?menuIndex=3&amp;refID=7121280&amp;Result=3","7121280")</f>
        <v>0</v>
      </c>
      <c r="B13095" t="s">
        <v>185</v>
      </c>
      <c r="C13095" t="s">
        <v>16230</v>
      </c>
      <c r="D13095" t="s">
        <v>18002</v>
      </c>
      <c r="E13095" t="s">
        <v>29358</v>
      </c>
      <c r="F13095" t="s">
        <v>30900</v>
      </c>
      <c r="G13095" t="s">
        <v>30907</v>
      </c>
      <c r="H13095" t="s">
        <v>30915</v>
      </c>
      <c r="I13095" t="s">
        <v>30919</v>
      </c>
      <c r="J13095" t="s">
        <v>39197</v>
      </c>
      <c r="K13095" t="s">
        <v>40301</v>
      </c>
      <c r="M13095" t="s">
        <v>40732</v>
      </c>
      <c r="N13095" t="s">
        <v>44759</v>
      </c>
      <c r="O13095" t="s">
        <v>44760</v>
      </c>
      <c r="P13095">
        <v>0</v>
      </c>
      <c r="Q13095">
        <v>2</v>
      </c>
      <c r="R13095" t="s">
        <v>44776</v>
      </c>
      <c r="S13095" t="s">
        <v>45453</v>
      </c>
      <c r="T13095" t="s">
        <v>46357</v>
      </c>
      <c r="U13095" t="s">
        <v>57675</v>
      </c>
      <c r="W13095" t="s">
        <v>60820</v>
      </c>
      <c r="X13095" t="s">
        <v>44777</v>
      </c>
    </row>
    <row r="13096" spans="1:24">
      <c r="A13096">
        <f>HYPERLINK("https://www.philgeps.gov.ph/GEPSNONPILOT/Tender/SplashBidNoticeAbstractUI.aspx?menuIndex=3&amp;refID=7117142&amp;Result=3","7117142")</f>
        <v>0</v>
      </c>
      <c r="B13096" t="s">
        <v>3519</v>
      </c>
      <c r="C13096" t="s">
        <v>16231</v>
      </c>
      <c r="D13096" t="s">
        <v>17971</v>
      </c>
      <c r="E13096" t="s">
        <v>29359</v>
      </c>
      <c r="F13096" t="s">
        <v>30900</v>
      </c>
      <c r="G13096" t="s">
        <v>30907</v>
      </c>
      <c r="H13096" t="s">
        <v>30915</v>
      </c>
      <c r="I13096" t="s">
        <v>30919</v>
      </c>
      <c r="J13096" t="s">
        <v>39198</v>
      </c>
      <c r="K13096" t="s">
        <v>40292</v>
      </c>
      <c r="M13096" t="s">
        <v>44429</v>
      </c>
      <c r="N13096" t="s">
        <v>44759</v>
      </c>
      <c r="O13096" t="s">
        <v>44760</v>
      </c>
      <c r="Q13096">
        <v>113</v>
      </c>
      <c r="R13096" t="s">
        <v>44779</v>
      </c>
      <c r="S13096" t="s">
        <v>45649</v>
      </c>
      <c r="T13096" t="s">
        <v>46880</v>
      </c>
      <c r="U13096" t="s">
        <v>57676</v>
      </c>
      <c r="V13096" t="s">
        <v>60602</v>
      </c>
      <c r="W13096" t="s">
        <v>44429</v>
      </c>
      <c r="X13096" t="s">
        <v>44780</v>
      </c>
    </row>
    <row r="13097" spans="1:24">
      <c r="A13097">
        <f>HYPERLINK("https://www.philgeps.gov.ph/GEPSNONPILOT/Tender/SplashBidNoticeAbstractUI.aspx?menuIndex=3&amp;refID=7117448&amp;Result=3","7117448")</f>
        <v>0</v>
      </c>
      <c r="B13097" t="s">
        <v>2549</v>
      </c>
      <c r="C13097" t="s">
        <v>16144</v>
      </c>
      <c r="D13097" t="s">
        <v>18003</v>
      </c>
      <c r="E13097" t="s">
        <v>29360</v>
      </c>
      <c r="F13097" t="s">
        <v>30900</v>
      </c>
      <c r="G13097" t="s">
        <v>30907</v>
      </c>
      <c r="H13097" t="s">
        <v>30916</v>
      </c>
      <c r="I13097" t="s">
        <v>30933</v>
      </c>
      <c r="J13097" t="s">
        <v>31402</v>
      </c>
      <c r="K13097" t="s">
        <v>40286</v>
      </c>
      <c r="M13097" t="s">
        <v>43306</v>
      </c>
      <c r="N13097" t="s">
        <v>44759</v>
      </c>
      <c r="O13097" t="s">
        <v>44760</v>
      </c>
      <c r="P13097">
        <v>0</v>
      </c>
      <c r="Q13097">
        <v>4</v>
      </c>
      <c r="R13097" t="s">
        <v>44779</v>
      </c>
      <c r="S13097" t="s">
        <v>45618</v>
      </c>
      <c r="T13097" t="s">
        <v>46351</v>
      </c>
      <c r="U13097" t="s">
        <v>57677</v>
      </c>
      <c r="W13097" t="s">
        <v>43306</v>
      </c>
      <c r="X13097" t="s">
        <v>44780</v>
      </c>
    </row>
    <row r="13098" spans="1:24">
      <c r="A13098">
        <f>HYPERLINK("https://www.philgeps.gov.ph/GEPSNONPILOT/Tender/SplashBidNoticeAbstractUI.aspx?menuIndex=3&amp;refID=7117460&amp;Result=3","7117460")</f>
        <v>0</v>
      </c>
      <c r="B13098" t="s">
        <v>2056</v>
      </c>
      <c r="C13098" t="s">
        <v>16232</v>
      </c>
      <c r="D13098" t="s">
        <v>17999</v>
      </c>
      <c r="E13098" t="s">
        <v>29361</v>
      </c>
      <c r="F13098" t="s">
        <v>30900</v>
      </c>
      <c r="G13098" t="s">
        <v>30907</v>
      </c>
      <c r="H13098" t="s">
        <v>30915</v>
      </c>
      <c r="I13098" t="s">
        <v>30919</v>
      </c>
      <c r="J13098" t="s">
        <v>39199</v>
      </c>
      <c r="K13098" t="s">
        <v>40289</v>
      </c>
      <c r="M13098" t="s">
        <v>42755</v>
      </c>
      <c r="N13098" t="s">
        <v>44759</v>
      </c>
      <c r="O13098" t="s">
        <v>44760</v>
      </c>
      <c r="P13098">
        <v>0</v>
      </c>
      <c r="Q13098">
        <v>0</v>
      </c>
      <c r="R13098" t="s">
        <v>44779</v>
      </c>
      <c r="S13098" t="s">
        <v>45618</v>
      </c>
      <c r="T13098" t="s">
        <v>46581</v>
      </c>
      <c r="U13098" t="s">
        <v>57678</v>
      </c>
      <c r="W13098" t="s">
        <v>42755</v>
      </c>
      <c r="X13098" t="s">
        <v>44780</v>
      </c>
    </row>
    <row r="13099" spans="1:24">
      <c r="A13099">
        <f>HYPERLINK("https://www.philgeps.gov.ph/GEPSNONPILOT/Tender/SplashBidNoticeAbstractUI.aspx?menuIndex=3&amp;refID=7117433&amp;Result=3","7117433")</f>
        <v>0</v>
      </c>
      <c r="B13099" t="s">
        <v>2549</v>
      </c>
      <c r="C13099" t="s">
        <v>16144</v>
      </c>
      <c r="D13099" t="s">
        <v>18003</v>
      </c>
      <c r="E13099" t="s">
        <v>29362</v>
      </c>
      <c r="F13099" t="s">
        <v>30900</v>
      </c>
      <c r="G13099" t="s">
        <v>30907</v>
      </c>
      <c r="H13099" t="s">
        <v>30916</v>
      </c>
      <c r="I13099" t="s">
        <v>30933</v>
      </c>
      <c r="J13099" t="s">
        <v>31391</v>
      </c>
      <c r="K13099" t="s">
        <v>40286</v>
      </c>
      <c r="M13099" t="s">
        <v>43306</v>
      </c>
      <c r="N13099" t="s">
        <v>44759</v>
      </c>
      <c r="O13099" t="s">
        <v>44760</v>
      </c>
      <c r="P13099">
        <v>0</v>
      </c>
      <c r="Q13099">
        <v>4</v>
      </c>
      <c r="R13099" t="s">
        <v>44779</v>
      </c>
      <c r="S13099" t="s">
        <v>45618</v>
      </c>
      <c r="T13099" t="s">
        <v>46351</v>
      </c>
      <c r="U13099" t="s">
        <v>57679</v>
      </c>
      <c r="W13099" t="s">
        <v>43306</v>
      </c>
      <c r="X13099" t="s">
        <v>44780</v>
      </c>
    </row>
    <row r="13100" spans="1:24">
      <c r="A13100">
        <f>HYPERLINK("https://www.philgeps.gov.ph/GEPSNONPILOT/Tender/SplashBidNoticeAbstractUI.aspx?menuIndex=3&amp;refID=7117427&amp;Result=3","7117427")</f>
        <v>0</v>
      </c>
      <c r="B13100" t="s">
        <v>805</v>
      </c>
      <c r="C13100" t="s">
        <v>16233</v>
      </c>
      <c r="D13100" t="s">
        <v>18006</v>
      </c>
      <c r="E13100" t="s">
        <v>29363</v>
      </c>
      <c r="F13100" t="s">
        <v>30900</v>
      </c>
      <c r="G13100" t="s">
        <v>30907</v>
      </c>
      <c r="H13100" t="s">
        <v>30915</v>
      </c>
      <c r="I13100" t="s">
        <v>30919</v>
      </c>
      <c r="J13100" t="s">
        <v>32558</v>
      </c>
      <c r="K13100" t="s">
        <v>40439</v>
      </c>
      <c r="M13100" t="s">
        <v>41375</v>
      </c>
      <c r="N13100" t="s">
        <v>44759</v>
      </c>
      <c r="O13100" t="s">
        <v>44760</v>
      </c>
      <c r="P13100">
        <v>0</v>
      </c>
      <c r="Q13100">
        <v>2</v>
      </c>
      <c r="R13100" t="s">
        <v>44779</v>
      </c>
      <c r="S13100" t="s">
        <v>45618</v>
      </c>
      <c r="T13100" t="s">
        <v>46533</v>
      </c>
      <c r="U13100" t="s">
        <v>57680</v>
      </c>
      <c r="W13100" t="s">
        <v>41375</v>
      </c>
      <c r="X13100" t="s">
        <v>44780</v>
      </c>
    </row>
    <row r="13101" spans="1:24">
      <c r="A13101">
        <f>HYPERLINK("https://www.philgeps.gov.ph/GEPSNONPILOT/Tender/SplashBidNoticeAbstractUI.aspx?menuIndex=3&amp;refID=7117437&amp;Result=3","7117437")</f>
        <v>0</v>
      </c>
      <c r="B13101" t="s">
        <v>805</v>
      </c>
      <c r="C13101" t="s">
        <v>16234</v>
      </c>
      <c r="D13101" t="s">
        <v>18006</v>
      </c>
      <c r="E13101" t="s">
        <v>29364</v>
      </c>
      <c r="F13101" t="s">
        <v>30900</v>
      </c>
      <c r="G13101" t="s">
        <v>30907</v>
      </c>
      <c r="H13101" t="s">
        <v>30915</v>
      </c>
      <c r="I13101" t="s">
        <v>30919</v>
      </c>
      <c r="J13101" t="s">
        <v>32523</v>
      </c>
      <c r="K13101" t="s">
        <v>40310</v>
      </c>
      <c r="M13101" t="s">
        <v>41375</v>
      </c>
      <c r="N13101" t="s">
        <v>44759</v>
      </c>
      <c r="O13101" t="s">
        <v>44760</v>
      </c>
      <c r="P13101">
        <v>0</v>
      </c>
      <c r="Q13101">
        <v>2</v>
      </c>
      <c r="R13101" t="s">
        <v>44779</v>
      </c>
      <c r="S13101" t="s">
        <v>45618</v>
      </c>
      <c r="T13101" t="s">
        <v>46533</v>
      </c>
      <c r="U13101" t="s">
        <v>57681</v>
      </c>
      <c r="W13101" t="s">
        <v>41375</v>
      </c>
      <c r="X13101" t="s">
        <v>44780</v>
      </c>
    </row>
    <row r="13102" spans="1:24">
      <c r="A13102">
        <f>HYPERLINK("https://www.philgeps.gov.ph/GEPSNONPILOT/Tender/SplashBidNoticeAbstractUI.aspx?menuIndex=3&amp;refID=7117377&amp;Result=3","7117377")</f>
        <v>0</v>
      </c>
      <c r="B13102" t="s">
        <v>2056</v>
      </c>
      <c r="C13102" t="s">
        <v>16235</v>
      </c>
      <c r="D13102" t="s">
        <v>17999</v>
      </c>
      <c r="E13102" t="s">
        <v>29365</v>
      </c>
      <c r="F13102" t="s">
        <v>30900</v>
      </c>
      <c r="G13102" t="s">
        <v>30906</v>
      </c>
      <c r="H13102" t="s">
        <v>30915</v>
      </c>
      <c r="I13102" t="s">
        <v>30919</v>
      </c>
      <c r="J13102" t="s">
        <v>39200</v>
      </c>
      <c r="K13102" t="s">
        <v>40289</v>
      </c>
      <c r="M13102" t="s">
        <v>42755</v>
      </c>
      <c r="N13102" t="s">
        <v>44759</v>
      </c>
      <c r="O13102" t="s">
        <v>44760</v>
      </c>
      <c r="P13102">
        <v>0</v>
      </c>
      <c r="Q13102">
        <v>0</v>
      </c>
      <c r="R13102" t="s">
        <v>44779</v>
      </c>
      <c r="S13102" t="s">
        <v>45618</v>
      </c>
      <c r="T13102" t="s">
        <v>46581</v>
      </c>
      <c r="U13102" t="s">
        <v>57682</v>
      </c>
      <c r="W13102" t="s">
        <v>42755</v>
      </c>
      <c r="X13102" t="s">
        <v>44780</v>
      </c>
    </row>
    <row r="13103" spans="1:24">
      <c r="A13103">
        <f>HYPERLINK("https://www.philgeps.gov.ph/GEPSNONPILOT/Tender/SplashBidNoticeAbstractUI.aspx?menuIndex=3&amp;refID=7117367&amp;Result=3","7117367")</f>
        <v>0</v>
      </c>
      <c r="B13103" t="s">
        <v>810</v>
      </c>
      <c r="C13103" t="s">
        <v>16236</v>
      </c>
      <c r="D13103" t="s">
        <v>18017</v>
      </c>
      <c r="E13103" t="s">
        <v>29366</v>
      </c>
      <c r="F13103" t="s">
        <v>30900</v>
      </c>
      <c r="G13103" t="s">
        <v>30907</v>
      </c>
      <c r="H13103" t="s">
        <v>30916</v>
      </c>
      <c r="I13103" t="s">
        <v>5501</v>
      </c>
      <c r="J13103" t="s">
        <v>32684</v>
      </c>
      <c r="K13103" t="s">
        <v>40280</v>
      </c>
      <c r="M13103" t="s">
        <v>41381</v>
      </c>
      <c r="N13103" t="s">
        <v>44759</v>
      </c>
      <c r="O13103" t="s">
        <v>44760</v>
      </c>
      <c r="P13103">
        <v>0</v>
      </c>
      <c r="Q13103">
        <v>3</v>
      </c>
      <c r="R13103" t="s">
        <v>44779</v>
      </c>
      <c r="S13103" t="s">
        <v>45618</v>
      </c>
      <c r="T13103" t="s">
        <v>46399</v>
      </c>
      <c r="U13103" t="s">
        <v>57683</v>
      </c>
      <c r="W13103" t="s">
        <v>41381</v>
      </c>
      <c r="X13103" t="s">
        <v>44780</v>
      </c>
    </row>
    <row r="13104" spans="1:24">
      <c r="A13104">
        <f>HYPERLINK("https://www.philgeps.gov.ph/GEPSNONPILOT/Tender/SplashBidNoticeAbstractUI.aspx?menuIndex=3&amp;refID=7117365&amp;Result=3","7117365")</f>
        <v>0</v>
      </c>
      <c r="B13104" t="s">
        <v>2056</v>
      </c>
      <c r="C13104" t="s">
        <v>16237</v>
      </c>
      <c r="D13104" t="s">
        <v>17999</v>
      </c>
      <c r="E13104" t="s">
        <v>26859</v>
      </c>
      <c r="F13104" t="s">
        <v>30900</v>
      </c>
      <c r="G13104" t="s">
        <v>30906</v>
      </c>
      <c r="H13104" t="s">
        <v>30915</v>
      </c>
      <c r="I13104" t="s">
        <v>30919</v>
      </c>
      <c r="J13104" t="s">
        <v>39201</v>
      </c>
      <c r="K13104" t="s">
        <v>40289</v>
      </c>
      <c r="M13104" t="s">
        <v>42755</v>
      </c>
      <c r="N13104" t="s">
        <v>44759</v>
      </c>
      <c r="O13104" t="s">
        <v>44760</v>
      </c>
      <c r="P13104">
        <v>0</v>
      </c>
      <c r="Q13104">
        <v>0</v>
      </c>
      <c r="R13104" t="s">
        <v>44779</v>
      </c>
      <c r="S13104" t="s">
        <v>45618</v>
      </c>
      <c r="T13104" t="s">
        <v>46581</v>
      </c>
      <c r="U13104" t="s">
        <v>57684</v>
      </c>
      <c r="W13104" t="s">
        <v>42755</v>
      </c>
      <c r="X13104" t="s">
        <v>44780</v>
      </c>
    </row>
    <row r="13105" spans="1:24">
      <c r="A13105">
        <f>HYPERLINK("https://www.philgeps.gov.ph/GEPSNONPILOT/Tender/SplashBidNoticeAbstractUI.aspx?menuIndex=3&amp;refID=7117358&amp;Result=3","7117358")</f>
        <v>0</v>
      </c>
      <c r="B13105" t="s">
        <v>2349</v>
      </c>
      <c r="C13105" t="s">
        <v>16238</v>
      </c>
      <c r="D13105" t="s">
        <v>17964</v>
      </c>
      <c r="E13105" t="s">
        <v>29367</v>
      </c>
      <c r="F13105" t="s">
        <v>30900</v>
      </c>
      <c r="G13105" t="s">
        <v>30907</v>
      </c>
      <c r="H13105" t="s">
        <v>30916</v>
      </c>
      <c r="I13105" t="s">
        <v>8123</v>
      </c>
      <c r="J13105" t="s">
        <v>32049</v>
      </c>
      <c r="K13105" t="s">
        <v>40293</v>
      </c>
      <c r="M13105" t="s">
        <v>43073</v>
      </c>
      <c r="N13105" t="s">
        <v>44759</v>
      </c>
      <c r="O13105" t="s">
        <v>44760</v>
      </c>
      <c r="P13105">
        <v>0</v>
      </c>
      <c r="Q13105">
        <v>0</v>
      </c>
      <c r="R13105" t="s">
        <v>44779</v>
      </c>
      <c r="S13105" t="s">
        <v>45618</v>
      </c>
      <c r="T13105" t="s">
        <v>46414</v>
      </c>
      <c r="U13105" t="s">
        <v>57685</v>
      </c>
      <c r="W13105" t="s">
        <v>43073</v>
      </c>
      <c r="X13105" t="s">
        <v>44780</v>
      </c>
    </row>
    <row r="13106" spans="1:24">
      <c r="A13106">
        <f>HYPERLINK("https://www.philgeps.gov.ph/GEPSNONPILOT/Tender/SplashBidNoticeAbstractUI.aspx?menuIndex=3&amp;refID=7117394&amp;Result=3","7117394")</f>
        <v>0</v>
      </c>
      <c r="B13106" t="s">
        <v>3593</v>
      </c>
      <c r="C13106" t="s">
        <v>16239</v>
      </c>
      <c r="D13106" t="s">
        <v>18019</v>
      </c>
      <c r="E13106" t="s">
        <v>18094</v>
      </c>
      <c r="F13106" t="s">
        <v>30900</v>
      </c>
      <c r="G13106" t="s">
        <v>30907</v>
      </c>
      <c r="H13106" t="s">
        <v>30916</v>
      </c>
      <c r="I13106" t="s">
        <v>30933</v>
      </c>
      <c r="J13106" t="s">
        <v>31066</v>
      </c>
      <c r="K13106" t="s">
        <v>40287</v>
      </c>
      <c r="M13106" t="s">
        <v>44519</v>
      </c>
      <c r="N13106" t="s">
        <v>44759</v>
      </c>
      <c r="O13106" t="s">
        <v>44760</v>
      </c>
      <c r="P13106">
        <v>0</v>
      </c>
      <c r="Q13106">
        <v>0</v>
      </c>
      <c r="R13106" t="s">
        <v>44779</v>
      </c>
      <c r="S13106" t="s">
        <v>45618</v>
      </c>
      <c r="T13106" t="s">
        <v>46412</v>
      </c>
      <c r="U13106" t="s">
        <v>57686</v>
      </c>
      <c r="W13106" t="s">
        <v>44519</v>
      </c>
      <c r="X13106" t="s">
        <v>44780</v>
      </c>
    </row>
    <row r="13107" spans="1:24">
      <c r="A13107">
        <f>HYPERLINK("https://www.philgeps.gov.ph/GEPSNONPILOT/Tender/SplashBidNoticeAbstractUI.aspx?menuIndex=3&amp;refID=7117305&amp;Result=3","7117305")</f>
        <v>0</v>
      </c>
      <c r="B13107" t="s">
        <v>1574</v>
      </c>
      <c r="C13107" t="s">
        <v>16240</v>
      </c>
      <c r="D13107" t="s">
        <v>18019</v>
      </c>
      <c r="E13107" t="s">
        <v>29368</v>
      </c>
      <c r="F13107" t="s">
        <v>30900</v>
      </c>
      <c r="G13107" t="s">
        <v>30907</v>
      </c>
      <c r="H13107" t="s">
        <v>30915</v>
      </c>
      <c r="I13107" t="s">
        <v>30919</v>
      </c>
      <c r="J13107" t="s">
        <v>39202</v>
      </c>
      <c r="K13107" t="s">
        <v>40309</v>
      </c>
      <c r="M13107" t="s">
        <v>42222</v>
      </c>
      <c r="N13107" t="s">
        <v>44759</v>
      </c>
      <c r="O13107" t="s">
        <v>44760</v>
      </c>
      <c r="P13107">
        <v>0</v>
      </c>
      <c r="Q13107">
        <v>0</v>
      </c>
      <c r="R13107" t="s">
        <v>44779</v>
      </c>
      <c r="S13107" t="s">
        <v>45618</v>
      </c>
      <c r="T13107" t="s">
        <v>46484</v>
      </c>
      <c r="U13107" t="s">
        <v>52603</v>
      </c>
      <c r="W13107" t="s">
        <v>42222</v>
      </c>
      <c r="X13107" t="s">
        <v>44780</v>
      </c>
    </row>
    <row r="13108" spans="1:24">
      <c r="A13108">
        <f>HYPERLINK("https://www.philgeps.gov.ph/GEPSNONPILOT/Tender/SplashBidNoticeAbstractUI.aspx?menuIndex=3&amp;refID=7117301&amp;Result=3","7117301")</f>
        <v>0</v>
      </c>
      <c r="B13108" t="s">
        <v>3594</v>
      </c>
      <c r="C13108" t="s">
        <v>16241</v>
      </c>
      <c r="D13108" t="s">
        <v>17998</v>
      </c>
      <c r="E13108" t="s">
        <v>29369</v>
      </c>
      <c r="F13108" t="s">
        <v>30900</v>
      </c>
      <c r="G13108" t="s">
        <v>30907</v>
      </c>
      <c r="H13108" t="s">
        <v>30915</v>
      </c>
      <c r="I13108" t="s">
        <v>30919</v>
      </c>
      <c r="J13108" t="s">
        <v>39203</v>
      </c>
      <c r="K13108" t="s">
        <v>40301</v>
      </c>
      <c r="M13108" t="s">
        <v>44520</v>
      </c>
      <c r="N13108" t="s">
        <v>44759</v>
      </c>
      <c r="O13108" t="s">
        <v>44760</v>
      </c>
      <c r="P13108">
        <v>0</v>
      </c>
      <c r="Q13108">
        <v>10</v>
      </c>
      <c r="R13108" t="s">
        <v>44779</v>
      </c>
      <c r="S13108" t="s">
        <v>45618</v>
      </c>
      <c r="T13108" t="s">
        <v>46389</v>
      </c>
      <c r="U13108" t="s">
        <v>57687</v>
      </c>
      <c r="W13108" t="s">
        <v>44520</v>
      </c>
      <c r="X13108" t="s">
        <v>44780</v>
      </c>
    </row>
    <row r="13109" spans="1:24">
      <c r="A13109">
        <f>HYPERLINK("https://www.philgeps.gov.ph/GEPSNONPILOT/Tender/SplashBidNoticeAbstractUI.aspx?menuIndex=3&amp;refID=7117325&amp;Result=3","7117325")</f>
        <v>0</v>
      </c>
      <c r="B13109" t="s">
        <v>1990</v>
      </c>
      <c r="C13109" t="s">
        <v>16242</v>
      </c>
      <c r="D13109" t="s">
        <v>17967</v>
      </c>
      <c r="E13109" t="s">
        <v>29370</v>
      </c>
      <c r="F13109" t="s">
        <v>30900</v>
      </c>
      <c r="G13109" t="s">
        <v>30907</v>
      </c>
      <c r="H13109" t="s">
        <v>30916</v>
      </c>
      <c r="I13109" t="s">
        <v>4545</v>
      </c>
      <c r="J13109" t="s">
        <v>39204</v>
      </c>
      <c r="K13109" t="s">
        <v>40286</v>
      </c>
      <c r="M13109" t="s">
        <v>42681</v>
      </c>
      <c r="N13109" t="s">
        <v>44759</v>
      </c>
      <c r="O13109" t="s">
        <v>44760</v>
      </c>
      <c r="Q13109">
        <v>11</v>
      </c>
      <c r="R13109" t="s">
        <v>44779</v>
      </c>
      <c r="S13109" t="s">
        <v>45650</v>
      </c>
      <c r="T13109" t="s">
        <v>46399</v>
      </c>
      <c r="U13109" t="s">
        <v>57688</v>
      </c>
      <c r="W13109" t="s">
        <v>42681</v>
      </c>
      <c r="X13109" t="s">
        <v>44780</v>
      </c>
    </row>
    <row r="13110" spans="1:24">
      <c r="A13110">
        <f>HYPERLINK("https://www.philgeps.gov.ph/GEPSNONPILOT/Tender/SplashBidNoticeAbstractUI.aspx?menuIndex=3&amp;refID=7117391&amp;Result=3","7117391")</f>
        <v>0</v>
      </c>
      <c r="B13110" t="s">
        <v>2056</v>
      </c>
      <c r="C13110" t="s">
        <v>16243</v>
      </c>
      <c r="D13110" t="s">
        <v>17999</v>
      </c>
      <c r="E13110" t="s">
        <v>19247</v>
      </c>
      <c r="F13110" t="s">
        <v>30900</v>
      </c>
      <c r="G13110" t="s">
        <v>30907</v>
      </c>
      <c r="H13110" t="s">
        <v>30915</v>
      </c>
      <c r="I13110" t="s">
        <v>30919</v>
      </c>
      <c r="J13110" t="s">
        <v>39205</v>
      </c>
      <c r="K13110" t="s">
        <v>40289</v>
      </c>
      <c r="M13110" t="s">
        <v>42755</v>
      </c>
      <c r="N13110" t="s">
        <v>44759</v>
      </c>
      <c r="O13110" t="s">
        <v>44760</v>
      </c>
      <c r="P13110">
        <v>0</v>
      </c>
      <c r="Q13110">
        <v>0</v>
      </c>
      <c r="R13110" t="s">
        <v>44779</v>
      </c>
      <c r="S13110" t="s">
        <v>45618</v>
      </c>
      <c r="T13110" t="s">
        <v>46581</v>
      </c>
      <c r="U13110" t="s">
        <v>57689</v>
      </c>
      <c r="W13110" t="s">
        <v>42755</v>
      </c>
      <c r="X13110" t="s">
        <v>44780</v>
      </c>
    </row>
    <row r="13111" spans="1:24">
      <c r="A13111">
        <f>HYPERLINK("https://www.philgeps.gov.ph/GEPSNONPILOT/Tender/SplashBidNoticeAbstractUI.aspx?menuIndex=3&amp;refID=7117321&amp;Result=3","7117321")</f>
        <v>0</v>
      </c>
      <c r="B13111" t="s">
        <v>272</v>
      </c>
      <c r="C13111" t="s">
        <v>16244</v>
      </c>
      <c r="D13111" t="s">
        <v>17978</v>
      </c>
      <c r="E13111" t="s">
        <v>29371</v>
      </c>
      <c r="F13111" t="s">
        <v>30900</v>
      </c>
      <c r="G13111" t="s">
        <v>30907</v>
      </c>
      <c r="H13111" t="s">
        <v>30915</v>
      </c>
      <c r="I13111" t="s">
        <v>30919</v>
      </c>
      <c r="J13111" t="s">
        <v>31412</v>
      </c>
      <c r="K13111" t="s">
        <v>40280</v>
      </c>
      <c r="M13111" t="s">
        <v>40819</v>
      </c>
      <c r="N13111" t="s">
        <v>44759</v>
      </c>
      <c r="O13111" t="s">
        <v>44760</v>
      </c>
      <c r="P13111">
        <v>0</v>
      </c>
      <c r="Q13111">
        <v>6</v>
      </c>
      <c r="R13111" t="s">
        <v>44779</v>
      </c>
      <c r="S13111" t="s">
        <v>45618</v>
      </c>
      <c r="T13111" t="s">
        <v>46625</v>
      </c>
      <c r="U13111" t="s">
        <v>57690</v>
      </c>
      <c r="V13111" t="s">
        <v>60603</v>
      </c>
      <c r="W13111" t="s">
        <v>40819</v>
      </c>
      <c r="X13111" t="s">
        <v>44780</v>
      </c>
    </row>
    <row r="13112" spans="1:24">
      <c r="A13112">
        <f>HYPERLINK("https://www.philgeps.gov.ph/GEPSNONPILOT/Tender/SplashBidNoticeAbstractUI.aspx?menuIndex=3&amp;refID=7117097&amp;Result=3","7117097")</f>
        <v>0</v>
      </c>
      <c r="B13112" t="s">
        <v>272</v>
      </c>
      <c r="C13112" t="s">
        <v>16245</v>
      </c>
      <c r="D13112" t="s">
        <v>17978</v>
      </c>
      <c r="E13112" t="s">
        <v>29372</v>
      </c>
      <c r="F13112" t="s">
        <v>30900</v>
      </c>
      <c r="G13112" t="s">
        <v>30907</v>
      </c>
      <c r="H13112" t="s">
        <v>30916</v>
      </c>
      <c r="I13112" t="s">
        <v>9385</v>
      </c>
      <c r="J13112" t="s">
        <v>39206</v>
      </c>
      <c r="K13112" t="s">
        <v>40287</v>
      </c>
      <c r="M13112" t="s">
        <v>40819</v>
      </c>
      <c r="N13112" t="s">
        <v>44759</v>
      </c>
      <c r="O13112" t="s">
        <v>44760</v>
      </c>
      <c r="P13112">
        <v>0</v>
      </c>
      <c r="Q13112">
        <v>8</v>
      </c>
      <c r="R13112" t="s">
        <v>44779</v>
      </c>
      <c r="S13112" t="s">
        <v>45618</v>
      </c>
      <c r="T13112" t="s">
        <v>46541</v>
      </c>
      <c r="U13112" t="s">
        <v>57691</v>
      </c>
      <c r="V13112" t="s">
        <v>59955</v>
      </c>
      <c r="W13112" t="s">
        <v>40819</v>
      </c>
      <c r="X13112" t="s">
        <v>44780</v>
      </c>
    </row>
    <row r="13113" spans="1:24">
      <c r="A13113">
        <f>HYPERLINK("https://www.philgeps.gov.ph/GEPSNONPILOT/Tender/SplashBidNoticeAbstractUI.aspx?menuIndex=3&amp;refID=7117392&amp;Result=3","7117392")</f>
        <v>0</v>
      </c>
      <c r="B13113" t="s">
        <v>2215</v>
      </c>
      <c r="C13113" t="s">
        <v>16246</v>
      </c>
      <c r="E13113" t="s">
        <v>29373</v>
      </c>
      <c r="F13113" t="s">
        <v>30900</v>
      </c>
      <c r="G13113" t="s">
        <v>30907</v>
      </c>
      <c r="H13113" t="s">
        <v>30916</v>
      </c>
      <c r="I13113" t="s">
        <v>4454</v>
      </c>
      <c r="J13113" t="s">
        <v>39207</v>
      </c>
      <c r="K13113" t="s">
        <v>40280</v>
      </c>
      <c r="M13113" t="s">
        <v>42924</v>
      </c>
      <c r="N13113" t="s">
        <v>44759</v>
      </c>
      <c r="O13113" t="s">
        <v>44760</v>
      </c>
      <c r="P13113">
        <v>0</v>
      </c>
      <c r="Q13113">
        <v>5</v>
      </c>
      <c r="R13113" t="s">
        <v>44779</v>
      </c>
      <c r="S13113" t="s">
        <v>45618</v>
      </c>
      <c r="T13113" t="s">
        <v>46357</v>
      </c>
      <c r="U13113" t="s">
        <v>57692</v>
      </c>
      <c r="W13113" t="s">
        <v>42924</v>
      </c>
      <c r="X13113" t="s">
        <v>44780</v>
      </c>
    </row>
    <row r="13114" spans="1:24">
      <c r="A13114">
        <f>HYPERLINK("https://www.philgeps.gov.ph/GEPSNONPILOT/Tender/SplashBidNoticeAbstractUI.aspx?menuIndex=3&amp;refID=7117599&amp;Result=3","7117599")</f>
        <v>0</v>
      </c>
      <c r="B13114" t="s">
        <v>96</v>
      </c>
      <c r="C13114" t="s">
        <v>16247</v>
      </c>
      <c r="D13114" t="s">
        <v>17953</v>
      </c>
      <c r="E13114" t="s">
        <v>29374</v>
      </c>
      <c r="F13114" t="s">
        <v>30900</v>
      </c>
      <c r="G13114" t="s">
        <v>30907</v>
      </c>
      <c r="H13114" t="s">
        <v>30915</v>
      </c>
      <c r="I13114" t="s">
        <v>30919</v>
      </c>
      <c r="J13114" t="s">
        <v>31152</v>
      </c>
      <c r="K13114" t="s">
        <v>40289</v>
      </c>
      <c r="M13114" t="s">
        <v>40643</v>
      </c>
      <c r="N13114" t="s">
        <v>44759</v>
      </c>
      <c r="O13114" t="s">
        <v>44760</v>
      </c>
      <c r="P13114">
        <v>0</v>
      </c>
      <c r="Q13114">
        <v>1</v>
      </c>
      <c r="R13114" t="s">
        <v>44779</v>
      </c>
      <c r="S13114" t="s">
        <v>45618</v>
      </c>
      <c r="T13114" t="s">
        <v>46403</v>
      </c>
      <c r="U13114" t="s">
        <v>57693</v>
      </c>
      <c r="V13114" t="s">
        <v>59118</v>
      </c>
      <c r="W13114" t="s">
        <v>40643</v>
      </c>
      <c r="X13114" t="s">
        <v>44780</v>
      </c>
    </row>
    <row r="13115" spans="1:24">
      <c r="A13115">
        <f>HYPERLINK("https://www.philgeps.gov.ph/GEPSNONPILOT/Tender/SplashBidNoticeAbstractUI.aspx?menuIndex=3&amp;refID=7116895&amp;Result=3","7116895")</f>
        <v>0</v>
      </c>
      <c r="B13115" t="s">
        <v>2519</v>
      </c>
      <c r="C13115" t="s">
        <v>16248</v>
      </c>
      <c r="D13115" t="s">
        <v>18012</v>
      </c>
      <c r="E13115" t="s">
        <v>29375</v>
      </c>
      <c r="F13115" t="s">
        <v>30900</v>
      </c>
      <c r="G13115" t="s">
        <v>30907</v>
      </c>
      <c r="H13115" t="s">
        <v>30916</v>
      </c>
      <c r="I13115" t="s">
        <v>30942</v>
      </c>
      <c r="J13115" t="s">
        <v>39208</v>
      </c>
      <c r="K13115" t="s">
        <v>40289</v>
      </c>
      <c r="M13115" t="s">
        <v>43266</v>
      </c>
      <c r="N13115" t="s">
        <v>44759</v>
      </c>
      <c r="O13115" t="s">
        <v>44760</v>
      </c>
      <c r="P13115">
        <v>0</v>
      </c>
      <c r="Q13115">
        <v>0</v>
      </c>
      <c r="R13115" t="s">
        <v>44779</v>
      </c>
      <c r="S13115" t="s">
        <v>45618</v>
      </c>
      <c r="T13115" t="s">
        <v>46531</v>
      </c>
      <c r="U13115" t="s">
        <v>57694</v>
      </c>
      <c r="W13115" t="s">
        <v>43266</v>
      </c>
      <c r="X13115" t="s">
        <v>44780</v>
      </c>
    </row>
    <row r="13116" spans="1:24">
      <c r="A13116">
        <f>HYPERLINK("https://www.philgeps.gov.ph/GEPSNONPILOT/Tender/SplashBidNoticeAbstractUI.aspx?menuIndex=3&amp;refID=7117572&amp;Result=3","7117572")</f>
        <v>0</v>
      </c>
      <c r="B13116" t="s">
        <v>773</v>
      </c>
      <c r="C13116" t="s">
        <v>16249</v>
      </c>
      <c r="D13116" t="s">
        <v>17988</v>
      </c>
      <c r="E13116" t="s">
        <v>29376</v>
      </c>
      <c r="F13116" t="s">
        <v>30903</v>
      </c>
      <c r="G13116" t="s">
        <v>30909</v>
      </c>
      <c r="H13116" t="s">
        <v>30916</v>
      </c>
      <c r="I13116" t="s">
        <v>30949</v>
      </c>
      <c r="J13116" t="s">
        <v>31048</v>
      </c>
      <c r="K13116" t="s">
        <v>40289</v>
      </c>
      <c r="M13116" t="s">
        <v>41341</v>
      </c>
      <c r="N13116" t="s">
        <v>44759</v>
      </c>
      <c r="O13116" t="s">
        <v>44760</v>
      </c>
      <c r="Q13116">
        <v>4</v>
      </c>
      <c r="R13116" t="s">
        <v>44779</v>
      </c>
      <c r="S13116" t="s">
        <v>45651</v>
      </c>
      <c r="T13116" t="s">
        <v>46403</v>
      </c>
      <c r="U13116" t="s">
        <v>57695</v>
      </c>
      <c r="W13116" t="s">
        <v>41341</v>
      </c>
      <c r="X13116" t="s">
        <v>44780</v>
      </c>
    </row>
    <row r="13117" spans="1:24">
      <c r="A13117">
        <f>HYPERLINK("https://www.philgeps.gov.ph/GEPSNONPILOT/Tender/SplashBidNoticeAbstractUI.aspx?menuIndex=3&amp;refID=7117588&amp;Result=3","7117588")</f>
        <v>0</v>
      </c>
      <c r="B13117" t="s">
        <v>2056</v>
      </c>
      <c r="C13117" t="s">
        <v>16250</v>
      </c>
      <c r="D13117" t="s">
        <v>17999</v>
      </c>
      <c r="E13117" t="s">
        <v>29377</v>
      </c>
      <c r="F13117" t="s">
        <v>30900</v>
      </c>
      <c r="G13117" t="s">
        <v>30907</v>
      </c>
      <c r="H13117" t="s">
        <v>30915</v>
      </c>
      <c r="I13117" t="s">
        <v>30919</v>
      </c>
      <c r="J13117" t="s">
        <v>39209</v>
      </c>
      <c r="K13117" t="s">
        <v>40289</v>
      </c>
      <c r="M13117" t="s">
        <v>42755</v>
      </c>
      <c r="N13117" t="s">
        <v>44759</v>
      </c>
      <c r="O13117" t="s">
        <v>44760</v>
      </c>
      <c r="P13117">
        <v>0</v>
      </c>
      <c r="Q13117">
        <v>1</v>
      </c>
      <c r="R13117" t="s">
        <v>44779</v>
      </c>
      <c r="S13117" t="s">
        <v>45618</v>
      </c>
      <c r="T13117" t="s">
        <v>46418</v>
      </c>
      <c r="U13117" t="s">
        <v>57696</v>
      </c>
      <c r="W13117" t="s">
        <v>42755</v>
      </c>
      <c r="X13117" t="s">
        <v>44780</v>
      </c>
    </row>
    <row r="13118" spans="1:24">
      <c r="A13118">
        <f>HYPERLINK("https://www.philgeps.gov.ph/GEPSNONPILOT/Tender/SplashBidNoticeAbstractUI.aspx?menuIndex=3&amp;refID=7117545&amp;Result=3","7117545")</f>
        <v>0</v>
      </c>
      <c r="B13118" t="s">
        <v>96</v>
      </c>
      <c r="C13118" t="s">
        <v>16251</v>
      </c>
      <c r="D13118" t="s">
        <v>17953</v>
      </c>
      <c r="E13118" t="s">
        <v>29378</v>
      </c>
      <c r="F13118" t="s">
        <v>30900</v>
      </c>
      <c r="G13118" t="s">
        <v>30907</v>
      </c>
      <c r="H13118" t="s">
        <v>30916</v>
      </c>
      <c r="I13118" t="s">
        <v>8365</v>
      </c>
      <c r="J13118" t="s">
        <v>39210</v>
      </c>
      <c r="K13118" t="s">
        <v>40289</v>
      </c>
      <c r="M13118" t="s">
        <v>40643</v>
      </c>
      <c r="N13118" t="s">
        <v>44759</v>
      </c>
      <c r="O13118" t="s">
        <v>44760</v>
      </c>
      <c r="P13118">
        <v>0</v>
      </c>
      <c r="Q13118">
        <v>1</v>
      </c>
      <c r="R13118" t="s">
        <v>44779</v>
      </c>
      <c r="S13118" t="s">
        <v>45618</v>
      </c>
      <c r="T13118" t="s">
        <v>46403</v>
      </c>
      <c r="U13118" t="s">
        <v>57697</v>
      </c>
      <c r="V13118" t="s">
        <v>60604</v>
      </c>
      <c r="W13118" t="s">
        <v>40643</v>
      </c>
      <c r="X13118" t="s">
        <v>44780</v>
      </c>
    </row>
    <row r="13119" spans="1:24">
      <c r="A13119">
        <f>HYPERLINK("https://www.philgeps.gov.ph/GEPSNONPILOT/Tender/SplashBidNoticeAbstractUI.aspx?menuIndex=3&amp;refID=7117584&amp;Result=3","7117584")</f>
        <v>0</v>
      </c>
      <c r="B13119" t="s">
        <v>773</v>
      </c>
      <c r="C13119" t="s">
        <v>16252</v>
      </c>
      <c r="D13119" t="s">
        <v>17988</v>
      </c>
      <c r="E13119" t="s">
        <v>29379</v>
      </c>
      <c r="F13119" t="s">
        <v>30903</v>
      </c>
      <c r="G13119" t="s">
        <v>30909</v>
      </c>
      <c r="H13119" t="s">
        <v>30916</v>
      </c>
      <c r="I13119" t="s">
        <v>30949</v>
      </c>
      <c r="J13119" t="s">
        <v>39211</v>
      </c>
      <c r="K13119" t="s">
        <v>40289</v>
      </c>
      <c r="M13119" t="s">
        <v>41341</v>
      </c>
      <c r="N13119" t="s">
        <v>44759</v>
      </c>
      <c r="O13119" t="s">
        <v>44760</v>
      </c>
      <c r="Q13119">
        <v>1</v>
      </c>
      <c r="R13119" t="s">
        <v>44779</v>
      </c>
      <c r="S13119" t="s">
        <v>45652</v>
      </c>
      <c r="T13119" t="s">
        <v>46403</v>
      </c>
      <c r="U13119" t="s">
        <v>57698</v>
      </c>
      <c r="W13119" t="s">
        <v>41341</v>
      </c>
      <c r="X13119" t="s">
        <v>44780</v>
      </c>
    </row>
    <row r="13120" spans="1:24">
      <c r="A13120">
        <f>HYPERLINK("https://www.philgeps.gov.ph/GEPSNONPILOT/Tender/SplashBidNoticeAbstractUI.aspx?menuIndex=3&amp;refID=7116656&amp;Result=3","7116656")</f>
        <v>0</v>
      </c>
      <c r="B13120" t="s">
        <v>1724</v>
      </c>
      <c r="C13120" t="s">
        <v>16253</v>
      </c>
      <c r="D13120" t="s">
        <v>18016</v>
      </c>
      <c r="E13120" t="s">
        <v>29380</v>
      </c>
      <c r="F13120" t="s">
        <v>30900</v>
      </c>
      <c r="G13120" t="s">
        <v>30907</v>
      </c>
      <c r="H13120" t="s">
        <v>30916</v>
      </c>
      <c r="I13120" t="s">
        <v>30939</v>
      </c>
      <c r="J13120" t="s">
        <v>39212</v>
      </c>
      <c r="K13120" t="s">
        <v>40284</v>
      </c>
      <c r="M13120" t="s">
        <v>42697</v>
      </c>
      <c r="N13120" t="s">
        <v>44759</v>
      </c>
      <c r="O13120" t="s">
        <v>44760</v>
      </c>
      <c r="P13120">
        <v>0</v>
      </c>
      <c r="Q13120">
        <v>0</v>
      </c>
      <c r="R13120" t="s">
        <v>44779</v>
      </c>
      <c r="S13120" t="s">
        <v>45618</v>
      </c>
      <c r="T13120" t="s">
        <v>46414</v>
      </c>
      <c r="U13120" t="s">
        <v>51585</v>
      </c>
      <c r="V13120" t="s">
        <v>59709</v>
      </c>
      <c r="W13120" t="s">
        <v>60878</v>
      </c>
      <c r="X13120" t="s">
        <v>44780</v>
      </c>
    </row>
    <row r="13121" spans="1:24">
      <c r="A13121">
        <f>HYPERLINK("https://www.philgeps.gov.ph/GEPSNONPILOT/Tender/SplashBidNoticeAbstractUI.aspx?menuIndex=3&amp;refID=7117539&amp;Result=3","7117539")</f>
        <v>0</v>
      </c>
      <c r="B13121" t="s">
        <v>773</v>
      </c>
      <c r="C13121" t="s">
        <v>16254</v>
      </c>
      <c r="D13121" t="s">
        <v>17988</v>
      </c>
      <c r="E13121" t="s">
        <v>29381</v>
      </c>
      <c r="F13121" t="s">
        <v>30903</v>
      </c>
      <c r="G13121" t="s">
        <v>30909</v>
      </c>
      <c r="H13121" t="s">
        <v>30916</v>
      </c>
      <c r="I13121" t="s">
        <v>30949</v>
      </c>
      <c r="J13121" t="s">
        <v>31204</v>
      </c>
      <c r="K13121" t="s">
        <v>40289</v>
      </c>
      <c r="M13121" t="s">
        <v>41341</v>
      </c>
      <c r="N13121" t="s">
        <v>44759</v>
      </c>
      <c r="O13121" t="s">
        <v>44760</v>
      </c>
      <c r="Q13121">
        <v>1</v>
      </c>
      <c r="R13121" t="s">
        <v>44779</v>
      </c>
      <c r="S13121" t="s">
        <v>45653</v>
      </c>
      <c r="T13121" t="s">
        <v>46403</v>
      </c>
      <c r="U13121" t="s">
        <v>57699</v>
      </c>
      <c r="W13121" t="s">
        <v>41341</v>
      </c>
      <c r="X13121" t="s">
        <v>44780</v>
      </c>
    </row>
    <row r="13122" spans="1:24">
      <c r="A13122">
        <f>HYPERLINK("https://www.philgeps.gov.ph/GEPSNONPILOT/Tender/SplashBidNoticeAbstractUI.aspx?menuIndex=3&amp;refID=7117927&amp;Result=3","7117927")</f>
        <v>0</v>
      </c>
      <c r="B13122" t="s">
        <v>3595</v>
      </c>
      <c r="C13122" t="s">
        <v>16255</v>
      </c>
      <c r="D13122" t="s">
        <v>18014</v>
      </c>
      <c r="E13122" t="s">
        <v>29382</v>
      </c>
      <c r="F13122" t="s">
        <v>30900</v>
      </c>
      <c r="G13122" t="s">
        <v>30906</v>
      </c>
      <c r="H13122" t="s">
        <v>30917</v>
      </c>
      <c r="I13122" t="s">
        <v>30942</v>
      </c>
      <c r="J13122" t="s">
        <v>39213</v>
      </c>
      <c r="K13122" t="s">
        <v>40366</v>
      </c>
      <c r="M13122" t="s">
        <v>44521</v>
      </c>
      <c r="N13122" t="s">
        <v>44759</v>
      </c>
      <c r="O13122" t="s">
        <v>44760</v>
      </c>
      <c r="Q13122">
        <v>2</v>
      </c>
      <c r="R13122" t="s">
        <v>44779</v>
      </c>
      <c r="S13122" t="s">
        <v>45654</v>
      </c>
      <c r="T13122" t="s">
        <v>46399</v>
      </c>
      <c r="U13122" t="s">
        <v>57700</v>
      </c>
      <c r="W13122" t="s">
        <v>44521</v>
      </c>
      <c r="X13122" t="s">
        <v>44780</v>
      </c>
    </row>
    <row r="13123" spans="1:24">
      <c r="A13123">
        <f>HYPERLINK("https://www.philgeps.gov.ph/GEPSNONPILOT/Tender/SplashBidNoticeAbstractUI.aspx?menuIndex=3&amp;refID=7117563&amp;Result=3","7117563")</f>
        <v>0</v>
      </c>
      <c r="B13123" t="s">
        <v>773</v>
      </c>
      <c r="C13123" t="s">
        <v>16256</v>
      </c>
      <c r="D13123" t="s">
        <v>17988</v>
      </c>
      <c r="E13123" t="s">
        <v>29381</v>
      </c>
      <c r="F13123" t="s">
        <v>30903</v>
      </c>
      <c r="G13123" t="s">
        <v>30909</v>
      </c>
      <c r="H13123" t="s">
        <v>30916</v>
      </c>
      <c r="I13123" t="s">
        <v>30949</v>
      </c>
      <c r="J13123" t="s">
        <v>31473</v>
      </c>
      <c r="K13123" t="s">
        <v>40289</v>
      </c>
      <c r="M13123" t="s">
        <v>41341</v>
      </c>
      <c r="N13123" t="s">
        <v>44759</v>
      </c>
      <c r="O13123" t="s">
        <v>44760</v>
      </c>
      <c r="Q13123">
        <v>2</v>
      </c>
      <c r="R13123" t="s">
        <v>44779</v>
      </c>
      <c r="S13123" t="s">
        <v>45655</v>
      </c>
      <c r="T13123" t="s">
        <v>46403</v>
      </c>
      <c r="U13123" t="s">
        <v>57701</v>
      </c>
      <c r="W13123" t="s">
        <v>41341</v>
      </c>
      <c r="X13123" t="s">
        <v>44780</v>
      </c>
    </row>
    <row r="13124" spans="1:24">
      <c r="A13124">
        <f>HYPERLINK("https://www.philgeps.gov.ph/GEPSNONPILOT/Tender/SplashBidNoticeAbstractUI.aspx?menuIndex=3&amp;refID=7117922&amp;Result=3","7117922")</f>
        <v>0</v>
      </c>
      <c r="B13124" t="s">
        <v>1574</v>
      </c>
      <c r="C13124" t="s">
        <v>16257</v>
      </c>
      <c r="D13124" t="s">
        <v>18019</v>
      </c>
      <c r="E13124" t="s">
        <v>29383</v>
      </c>
      <c r="F13124" t="s">
        <v>30900</v>
      </c>
      <c r="G13124" t="s">
        <v>30907</v>
      </c>
      <c r="H13124" t="s">
        <v>30915</v>
      </c>
      <c r="I13124" t="s">
        <v>30919</v>
      </c>
      <c r="J13124" t="s">
        <v>39214</v>
      </c>
      <c r="K13124" t="s">
        <v>40492</v>
      </c>
      <c r="M13124" t="s">
        <v>42222</v>
      </c>
      <c r="N13124" t="s">
        <v>44759</v>
      </c>
      <c r="O13124" t="s">
        <v>44760</v>
      </c>
      <c r="P13124">
        <v>0</v>
      </c>
      <c r="Q13124">
        <v>0</v>
      </c>
      <c r="R13124" t="s">
        <v>44779</v>
      </c>
      <c r="S13124" t="s">
        <v>45618</v>
      </c>
      <c r="T13124" t="s">
        <v>46484</v>
      </c>
      <c r="U13124" t="s">
        <v>52603</v>
      </c>
      <c r="W13124" t="s">
        <v>42222</v>
      </c>
      <c r="X13124" t="s">
        <v>44780</v>
      </c>
    </row>
    <row r="13125" spans="1:24">
      <c r="A13125">
        <f>HYPERLINK("https://www.philgeps.gov.ph/GEPSNONPILOT/Tender/SplashBidNoticeAbstractUI.aspx?menuIndex=3&amp;refID=7117560&amp;Result=3","7117560")</f>
        <v>0</v>
      </c>
      <c r="B13125" t="s">
        <v>2056</v>
      </c>
      <c r="C13125" t="s">
        <v>16258</v>
      </c>
      <c r="D13125" t="s">
        <v>17999</v>
      </c>
      <c r="E13125" t="s">
        <v>29384</v>
      </c>
      <c r="F13125" t="s">
        <v>30900</v>
      </c>
      <c r="G13125" t="s">
        <v>30907</v>
      </c>
      <c r="H13125" t="s">
        <v>30915</v>
      </c>
      <c r="I13125" t="s">
        <v>30919</v>
      </c>
      <c r="J13125" t="s">
        <v>39215</v>
      </c>
      <c r="K13125" t="s">
        <v>40289</v>
      </c>
      <c r="M13125" t="s">
        <v>42755</v>
      </c>
      <c r="N13125" t="s">
        <v>44759</v>
      </c>
      <c r="O13125" t="s">
        <v>44760</v>
      </c>
      <c r="P13125">
        <v>0</v>
      </c>
      <c r="Q13125">
        <v>0</v>
      </c>
      <c r="R13125" t="s">
        <v>44779</v>
      </c>
      <c r="S13125" t="s">
        <v>45618</v>
      </c>
      <c r="T13125" t="s">
        <v>46418</v>
      </c>
      <c r="U13125" t="s">
        <v>57702</v>
      </c>
      <c r="W13125" t="s">
        <v>42755</v>
      </c>
      <c r="X13125" t="s">
        <v>44780</v>
      </c>
    </row>
    <row r="13126" spans="1:24">
      <c r="A13126">
        <f>HYPERLINK("https://www.philgeps.gov.ph/GEPSNONPILOT/Tender/SplashBidNoticeAbstractUI.aspx?menuIndex=3&amp;refID=7117910&amp;Result=3","7117910")</f>
        <v>0</v>
      </c>
      <c r="B13126" t="s">
        <v>3596</v>
      </c>
      <c r="C13126" t="s">
        <v>16259</v>
      </c>
      <c r="D13126" t="s">
        <v>17978</v>
      </c>
      <c r="E13126" t="s">
        <v>29385</v>
      </c>
      <c r="F13126" t="s">
        <v>30900</v>
      </c>
      <c r="G13126" t="s">
        <v>30907</v>
      </c>
      <c r="H13126" t="s">
        <v>30916</v>
      </c>
      <c r="I13126" t="s">
        <v>6396</v>
      </c>
      <c r="J13126" t="s">
        <v>39216</v>
      </c>
      <c r="K13126" t="s">
        <v>40283</v>
      </c>
      <c r="M13126" t="s">
        <v>44522</v>
      </c>
      <c r="N13126" t="s">
        <v>44759</v>
      </c>
      <c r="O13126" t="s">
        <v>44760</v>
      </c>
      <c r="P13126">
        <v>0</v>
      </c>
      <c r="Q13126">
        <v>7</v>
      </c>
      <c r="R13126" t="s">
        <v>44779</v>
      </c>
      <c r="S13126" t="s">
        <v>45618</v>
      </c>
      <c r="T13126" t="s">
        <v>46694</v>
      </c>
      <c r="U13126" t="s">
        <v>57703</v>
      </c>
      <c r="W13126" t="s">
        <v>44522</v>
      </c>
      <c r="X13126" t="s">
        <v>44780</v>
      </c>
    </row>
    <row r="13127" spans="1:24">
      <c r="A13127">
        <f>HYPERLINK("https://www.philgeps.gov.ph/GEPSNONPILOT/Tender/SplashBidNoticeAbstractUI.aspx?menuIndex=3&amp;refID=7117574&amp;Result=3","7117574")</f>
        <v>0</v>
      </c>
      <c r="B13127" t="s">
        <v>96</v>
      </c>
      <c r="C13127" t="s">
        <v>16260</v>
      </c>
      <c r="D13127" t="s">
        <v>17953</v>
      </c>
      <c r="E13127" t="s">
        <v>29386</v>
      </c>
      <c r="F13127" t="s">
        <v>30900</v>
      </c>
      <c r="G13127" t="s">
        <v>30907</v>
      </c>
      <c r="H13127" t="s">
        <v>30916</v>
      </c>
      <c r="I13127" t="s">
        <v>4545</v>
      </c>
      <c r="J13127" t="s">
        <v>39217</v>
      </c>
      <c r="K13127" t="s">
        <v>40289</v>
      </c>
      <c r="M13127" t="s">
        <v>40643</v>
      </c>
      <c r="N13127" t="s">
        <v>44759</v>
      </c>
      <c r="O13127" t="s">
        <v>44760</v>
      </c>
      <c r="Q13127">
        <v>11</v>
      </c>
      <c r="R13127" t="s">
        <v>44779</v>
      </c>
      <c r="S13127" t="s">
        <v>45656</v>
      </c>
      <c r="T13127" t="s">
        <v>46403</v>
      </c>
      <c r="U13127" t="s">
        <v>57704</v>
      </c>
      <c r="V13127" t="s">
        <v>60605</v>
      </c>
      <c r="W13127" t="s">
        <v>40643</v>
      </c>
      <c r="X13127" t="s">
        <v>44780</v>
      </c>
    </row>
    <row r="13128" spans="1:24">
      <c r="A13128">
        <f>HYPERLINK("https://www.philgeps.gov.ph/GEPSNONPILOT/Tender/SplashBidNoticeAbstractUI.aspx?menuIndex=3&amp;refID=7117904&amp;Result=3","7117904")</f>
        <v>0</v>
      </c>
      <c r="B13128" t="s">
        <v>820</v>
      </c>
      <c r="C13128" t="s">
        <v>16261</v>
      </c>
      <c r="E13128" t="s">
        <v>29387</v>
      </c>
      <c r="F13128" t="s">
        <v>30900</v>
      </c>
      <c r="G13128" t="s">
        <v>30907</v>
      </c>
      <c r="H13128" t="s">
        <v>30915</v>
      </c>
      <c r="I13128" t="s">
        <v>30919</v>
      </c>
      <c r="J13128" t="s">
        <v>32324</v>
      </c>
      <c r="K13128" t="s">
        <v>40289</v>
      </c>
      <c r="M13128" t="s">
        <v>41392</v>
      </c>
      <c r="N13128" t="s">
        <v>44759</v>
      </c>
      <c r="O13128" t="s">
        <v>44760</v>
      </c>
      <c r="P13128">
        <v>0</v>
      </c>
      <c r="Q13128">
        <v>0</v>
      </c>
      <c r="R13128" t="s">
        <v>44779</v>
      </c>
      <c r="S13128" t="s">
        <v>45618</v>
      </c>
      <c r="T13128" t="s">
        <v>46425</v>
      </c>
      <c r="U13128" t="s">
        <v>57705</v>
      </c>
      <c r="W13128" t="s">
        <v>41392</v>
      </c>
      <c r="X13128" t="s">
        <v>44780</v>
      </c>
    </row>
    <row r="13129" spans="1:24">
      <c r="A13129">
        <f>HYPERLINK("https://www.philgeps.gov.ph/GEPSNONPILOT/Tender/SplashBidNoticeAbstractUI.aspx?menuIndex=3&amp;refID=7117913&amp;Result=3","7117913")</f>
        <v>0</v>
      </c>
      <c r="B13129" t="s">
        <v>3597</v>
      </c>
      <c r="C13129" t="s">
        <v>16262</v>
      </c>
      <c r="D13129" t="s">
        <v>17952</v>
      </c>
      <c r="E13129" t="s">
        <v>18615</v>
      </c>
      <c r="F13129" t="s">
        <v>30900</v>
      </c>
      <c r="G13129" t="s">
        <v>30907</v>
      </c>
      <c r="H13129" t="s">
        <v>30915</v>
      </c>
      <c r="I13129" t="s">
        <v>30919</v>
      </c>
      <c r="J13129" t="s">
        <v>31355</v>
      </c>
      <c r="K13129" t="s">
        <v>40286</v>
      </c>
      <c r="M13129" t="s">
        <v>44523</v>
      </c>
      <c r="N13129" t="s">
        <v>44759</v>
      </c>
      <c r="O13129" t="s">
        <v>44760</v>
      </c>
      <c r="P13129">
        <v>0</v>
      </c>
      <c r="Q13129">
        <v>1</v>
      </c>
      <c r="R13129" t="s">
        <v>44779</v>
      </c>
      <c r="S13129" t="s">
        <v>45618</v>
      </c>
      <c r="T13129" t="s">
        <v>46410</v>
      </c>
      <c r="U13129" t="s">
        <v>57706</v>
      </c>
      <c r="W13129" t="s">
        <v>44523</v>
      </c>
      <c r="X13129" t="s">
        <v>44780</v>
      </c>
    </row>
    <row r="13130" spans="1:24">
      <c r="A13130">
        <f>HYPERLINK("https://www.philgeps.gov.ph/GEPSNONPILOT/Tender/SplashBidNoticeAbstractUI.aspx?menuIndex=3&amp;refID=7117821&amp;Result=3","7117821")</f>
        <v>0</v>
      </c>
      <c r="B13130" t="s">
        <v>3598</v>
      </c>
      <c r="C13130" t="s">
        <v>16263</v>
      </c>
      <c r="D13130" t="s">
        <v>17964</v>
      </c>
      <c r="E13130" t="s">
        <v>29388</v>
      </c>
      <c r="F13130" t="s">
        <v>30900</v>
      </c>
      <c r="G13130" t="s">
        <v>30907</v>
      </c>
      <c r="H13130" t="s">
        <v>30915</v>
      </c>
      <c r="I13130" t="s">
        <v>30919</v>
      </c>
      <c r="J13130" t="s">
        <v>39218</v>
      </c>
      <c r="K13130" t="s">
        <v>40292</v>
      </c>
      <c r="M13130" t="s">
        <v>44524</v>
      </c>
      <c r="N13130" t="s">
        <v>44759</v>
      </c>
      <c r="O13130" t="s">
        <v>44760</v>
      </c>
      <c r="P13130">
        <v>0</v>
      </c>
      <c r="Q13130">
        <v>1</v>
      </c>
      <c r="R13130" t="s">
        <v>44779</v>
      </c>
      <c r="S13130" t="s">
        <v>45618</v>
      </c>
      <c r="T13130" t="s">
        <v>46429</v>
      </c>
      <c r="U13130" t="s">
        <v>57707</v>
      </c>
      <c r="V13130" t="s">
        <v>60606</v>
      </c>
      <c r="W13130" t="s">
        <v>44524</v>
      </c>
      <c r="X13130" t="s">
        <v>44780</v>
      </c>
    </row>
    <row r="13131" spans="1:24">
      <c r="A13131">
        <f>HYPERLINK("https://www.philgeps.gov.ph/GEPSNONPILOT/Tender/SplashBidNoticeAbstractUI.aspx?menuIndex=3&amp;refID=7117870&amp;Result=3","7117870")</f>
        <v>0</v>
      </c>
      <c r="B13131" t="s">
        <v>3599</v>
      </c>
      <c r="C13131" t="s">
        <v>16264</v>
      </c>
      <c r="D13131" t="s">
        <v>18001</v>
      </c>
      <c r="E13131" t="s">
        <v>29389</v>
      </c>
      <c r="F13131" t="s">
        <v>30900</v>
      </c>
      <c r="G13131" t="s">
        <v>30907</v>
      </c>
      <c r="H13131" t="s">
        <v>30916</v>
      </c>
      <c r="I13131" t="s">
        <v>30928</v>
      </c>
      <c r="J13131" t="s">
        <v>39219</v>
      </c>
      <c r="K13131" t="s">
        <v>40289</v>
      </c>
      <c r="M13131" t="s">
        <v>44525</v>
      </c>
      <c r="N13131" t="s">
        <v>44759</v>
      </c>
      <c r="O13131" t="s">
        <v>44760</v>
      </c>
      <c r="Q13131">
        <v>20</v>
      </c>
      <c r="R13131" t="s">
        <v>44779</v>
      </c>
      <c r="S13131" t="s">
        <v>45657</v>
      </c>
      <c r="T13131" t="s">
        <v>46411</v>
      </c>
      <c r="U13131" t="s">
        <v>57708</v>
      </c>
      <c r="V13131" t="s">
        <v>60607</v>
      </c>
      <c r="W13131" t="s">
        <v>44525</v>
      </c>
      <c r="X13131" t="s">
        <v>44780</v>
      </c>
    </row>
    <row r="13132" spans="1:24">
      <c r="A13132">
        <f>HYPERLINK("https://www.philgeps.gov.ph/GEPSNONPILOT/Tender/SplashBidNoticeAbstractUI.aspx?menuIndex=3&amp;refID=7117898&amp;Result=3","7117898")</f>
        <v>0</v>
      </c>
      <c r="B13132" t="s">
        <v>819</v>
      </c>
      <c r="C13132" t="s">
        <v>16265</v>
      </c>
      <c r="D13132" t="s">
        <v>18025</v>
      </c>
      <c r="E13132" t="s">
        <v>29390</v>
      </c>
      <c r="F13132" t="s">
        <v>30900</v>
      </c>
      <c r="G13132" t="s">
        <v>30907</v>
      </c>
      <c r="H13132" t="s">
        <v>30916</v>
      </c>
      <c r="I13132" t="s">
        <v>30921</v>
      </c>
      <c r="J13132" t="s">
        <v>34061</v>
      </c>
      <c r="K13132" t="s">
        <v>40289</v>
      </c>
      <c r="M13132" t="s">
        <v>41390</v>
      </c>
      <c r="N13132" t="s">
        <v>44759</v>
      </c>
      <c r="O13132" t="s">
        <v>44760</v>
      </c>
      <c r="Q13132">
        <v>15</v>
      </c>
      <c r="R13132" t="s">
        <v>44779</v>
      </c>
      <c r="S13132" t="s">
        <v>45658</v>
      </c>
      <c r="T13132" t="s">
        <v>46356</v>
      </c>
      <c r="U13132" t="s">
        <v>57709</v>
      </c>
      <c r="W13132" t="s">
        <v>60927</v>
      </c>
      <c r="X13132" t="s">
        <v>44780</v>
      </c>
    </row>
    <row r="13133" spans="1:24">
      <c r="A13133">
        <f>HYPERLINK("https://www.philgeps.gov.ph/GEPSNONPILOT/Tender/SplashBidNoticeAbstractUI.aspx?menuIndex=3&amp;refID=7117577&amp;Result=3","7117577")</f>
        <v>0</v>
      </c>
      <c r="B13133" t="s">
        <v>2056</v>
      </c>
      <c r="C13133" t="s">
        <v>16266</v>
      </c>
      <c r="D13133" t="s">
        <v>17999</v>
      </c>
      <c r="E13133" t="s">
        <v>29391</v>
      </c>
      <c r="F13133" t="s">
        <v>30900</v>
      </c>
      <c r="G13133" t="s">
        <v>30907</v>
      </c>
      <c r="H13133" t="s">
        <v>30915</v>
      </c>
      <c r="I13133" t="s">
        <v>30919</v>
      </c>
      <c r="J13133" t="s">
        <v>31153</v>
      </c>
      <c r="K13133" t="s">
        <v>40289</v>
      </c>
      <c r="M13133" t="s">
        <v>42755</v>
      </c>
      <c r="N13133" t="s">
        <v>44759</v>
      </c>
      <c r="O13133" t="s">
        <v>44760</v>
      </c>
      <c r="P13133">
        <v>0</v>
      </c>
      <c r="Q13133">
        <v>1</v>
      </c>
      <c r="R13133" t="s">
        <v>44779</v>
      </c>
      <c r="S13133" t="s">
        <v>45618</v>
      </c>
      <c r="T13133" t="s">
        <v>46418</v>
      </c>
      <c r="U13133" t="s">
        <v>57710</v>
      </c>
      <c r="W13133" t="s">
        <v>42755</v>
      </c>
      <c r="X13133" t="s">
        <v>44780</v>
      </c>
    </row>
    <row r="13134" spans="1:24">
      <c r="A13134">
        <f>HYPERLINK("https://www.philgeps.gov.ph/GEPSNONPILOT/Tender/SplashBidNoticeAbstractUI.aspx?menuIndex=3&amp;refID=7117856&amp;Result=3","7117856")</f>
        <v>0</v>
      </c>
      <c r="B13134" t="s">
        <v>341</v>
      </c>
      <c r="C13134" t="s">
        <v>16267</v>
      </c>
      <c r="D13134" t="s">
        <v>17951</v>
      </c>
      <c r="E13134" t="s">
        <v>29392</v>
      </c>
      <c r="F13134" t="s">
        <v>30900</v>
      </c>
      <c r="G13134" t="s">
        <v>30907</v>
      </c>
      <c r="H13134" t="s">
        <v>30916</v>
      </c>
      <c r="I13134" t="s">
        <v>4545</v>
      </c>
      <c r="J13134" t="s">
        <v>39220</v>
      </c>
      <c r="K13134" t="s">
        <v>40321</v>
      </c>
      <c r="L13134" t="s">
        <v>341</v>
      </c>
      <c r="M13134" t="s">
        <v>40894</v>
      </c>
      <c r="N13134" t="s">
        <v>44759</v>
      </c>
      <c r="O13134" t="s">
        <v>44760</v>
      </c>
      <c r="P13134">
        <v>0</v>
      </c>
      <c r="Q13134">
        <v>1</v>
      </c>
      <c r="R13134" t="s">
        <v>44779</v>
      </c>
      <c r="S13134" t="s">
        <v>45618</v>
      </c>
      <c r="T13134" t="s">
        <v>46404</v>
      </c>
      <c r="U13134" t="s">
        <v>57711</v>
      </c>
      <c r="V13134" t="s">
        <v>48109</v>
      </c>
      <c r="W13134" t="s">
        <v>40894</v>
      </c>
      <c r="X13134" t="s">
        <v>44780</v>
      </c>
    </row>
    <row r="13135" spans="1:24">
      <c r="A13135">
        <f>HYPERLINK("https://www.philgeps.gov.ph/GEPSNONPILOT/Tender/SplashBidNoticeAbstractUI.aspx?menuIndex=3&amp;refID=7117750&amp;Result=3","7117750")</f>
        <v>0</v>
      </c>
      <c r="B13135" t="s">
        <v>1516</v>
      </c>
      <c r="C13135" t="s">
        <v>16268</v>
      </c>
      <c r="D13135" t="s">
        <v>18033</v>
      </c>
      <c r="E13135" t="s">
        <v>29393</v>
      </c>
      <c r="F13135" t="s">
        <v>30900</v>
      </c>
      <c r="G13135" t="s">
        <v>30907</v>
      </c>
      <c r="H13135" t="s">
        <v>30916</v>
      </c>
      <c r="I13135" t="s">
        <v>4108</v>
      </c>
      <c r="J13135" t="s">
        <v>39221</v>
      </c>
      <c r="K13135" t="s">
        <v>40286</v>
      </c>
      <c r="M13135" t="s">
        <v>43062</v>
      </c>
      <c r="N13135" t="s">
        <v>44759</v>
      </c>
      <c r="O13135" t="s">
        <v>44760</v>
      </c>
      <c r="P13135">
        <v>0</v>
      </c>
      <c r="Q13135">
        <v>0</v>
      </c>
      <c r="R13135" t="s">
        <v>44779</v>
      </c>
      <c r="S13135" t="s">
        <v>45618</v>
      </c>
      <c r="T13135" t="s">
        <v>46357</v>
      </c>
      <c r="U13135" t="s">
        <v>57712</v>
      </c>
      <c r="W13135" t="s">
        <v>43062</v>
      </c>
      <c r="X13135" t="s">
        <v>44780</v>
      </c>
    </row>
    <row r="13136" spans="1:24">
      <c r="A13136">
        <f>HYPERLINK("https://www.philgeps.gov.ph/GEPSNONPILOT/Tender/SplashBidNoticeAbstractUI.aspx?menuIndex=3&amp;refID=7117721&amp;Result=3","7117721")</f>
        <v>0</v>
      </c>
      <c r="B13136" t="s">
        <v>3590</v>
      </c>
      <c r="C13136" t="s">
        <v>16269</v>
      </c>
      <c r="D13136" t="s">
        <v>17964</v>
      </c>
      <c r="E13136" t="s">
        <v>29394</v>
      </c>
      <c r="F13136" t="s">
        <v>30900</v>
      </c>
      <c r="G13136" t="s">
        <v>30907</v>
      </c>
      <c r="H13136" t="s">
        <v>30916</v>
      </c>
      <c r="I13136" t="s">
        <v>8123</v>
      </c>
      <c r="J13136" t="s">
        <v>39222</v>
      </c>
      <c r="K13136" t="s">
        <v>40293</v>
      </c>
      <c r="M13136" t="s">
        <v>44516</v>
      </c>
      <c r="N13136" t="s">
        <v>44759</v>
      </c>
      <c r="O13136" t="s">
        <v>44760</v>
      </c>
      <c r="P13136">
        <v>0</v>
      </c>
      <c r="Q13136">
        <v>0</v>
      </c>
      <c r="R13136" t="s">
        <v>44779</v>
      </c>
      <c r="S13136" t="s">
        <v>45618</v>
      </c>
      <c r="T13136" t="s">
        <v>46406</v>
      </c>
      <c r="U13136" t="s">
        <v>57713</v>
      </c>
      <c r="V13136" t="s">
        <v>60598</v>
      </c>
      <c r="W13136" t="s">
        <v>44516</v>
      </c>
      <c r="X13136" t="s">
        <v>44780</v>
      </c>
    </row>
    <row r="13137" spans="1:24">
      <c r="A13137">
        <f>HYPERLINK("https://www.philgeps.gov.ph/GEPSNONPILOT/Tender/SplashBidNoticeAbstractUI.aspx?menuIndex=3&amp;refID=7117720&amp;Result=3","7117720")</f>
        <v>0</v>
      </c>
      <c r="B13137" t="s">
        <v>1516</v>
      </c>
      <c r="C13137" t="s">
        <v>16270</v>
      </c>
      <c r="D13137" t="s">
        <v>18033</v>
      </c>
      <c r="E13137" t="s">
        <v>29395</v>
      </c>
      <c r="F13137" t="s">
        <v>30900</v>
      </c>
      <c r="G13137" t="s">
        <v>30907</v>
      </c>
      <c r="H13137" t="s">
        <v>30916</v>
      </c>
      <c r="I13137" t="s">
        <v>4108</v>
      </c>
      <c r="J13137" t="s">
        <v>39223</v>
      </c>
      <c r="K13137" t="s">
        <v>40286</v>
      </c>
      <c r="M13137" t="s">
        <v>43062</v>
      </c>
      <c r="N13137" t="s">
        <v>44759</v>
      </c>
      <c r="O13137" t="s">
        <v>44760</v>
      </c>
      <c r="Q13137">
        <v>0</v>
      </c>
      <c r="R13137" t="s">
        <v>44779</v>
      </c>
      <c r="S13137" t="s">
        <v>45659</v>
      </c>
      <c r="T13137" t="s">
        <v>46357</v>
      </c>
      <c r="U13137" t="s">
        <v>57712</v>
      </c>
      <c r="W13137" t="s">
        <v>43062</v>
      </c>
      <c r="X13137" t="s">
        <v>44780</v>
      </c>
    </row>
    <row r="13138" spans="1:24">
      <c r="A13138">
        <f>HYPERLINK("https://www.philgeps.gov.ph/GEPSNONPILOT/Tender/SplashBidNoticeAbstractUI.aspx?menuIndex=3&amp;refID=7117690&amp;Result=3","7117690")</f>
        <v>0</v>
      </c>
      <c r="B13138" t="s">
        <v>1516</v>
      </c>
      <c r="C13138" t="s">
        <v>16271</v>
      </c>
      <c r="D13138" t="s">
        <v>18033</v>
      </c>
      <c r="E13138" t="s">
        <v>29396</v>
      </c>
      <c r="F13138" t="s">
        <v>30900</v>
      </c>
      <c r="G13138" t="s">
        <v>30907</v>
      </c>
      <c r="H13138" t="s">
        <v>30916</v>
      </c>
      <c r="I13138" t="s">
        <v>30936</v>
      </c>
      <c r="J13138" t="s">
        <v>39224</v>
      </c>
      <c r="K13138" t="s">
        <v>40286</v>
      </c>
      <c r="M13138" t="s">
        <v>43062</v>
      </c>
      <c r="N13138" t="s">
        <v>44759</v>
      </c>
      <c r="O13138" t="s">
        <v>44760</v>
      </c>
      <c r="P13138">
        <v>0</v>
      </c>
      <c r="Q13138">
        <v>1</v>
      </c>
      <c r="R13138" t="s">
        <v>44779</v>
      </c>
      <c r="S13138" t="s">
        <v>45618</v>
      </c>
      <c r="T13138" t="s">
        <v>46357</v>
      </c>
      <c r="U13138" t="s">
        <v>57712</v>
      </c>
      <c r="W13138" t="s">
        <v>43062</v>
      </c>
      <c r="X13138" t="s">
        <v>44780</v>
      </c>
    </row>
    <row r="13139" spans="1:24">
      <c r="A13139">
        <f>HYPERLINK("https://www.philgeps.gov.ph/GEPSNONPILOT/Tender/SplashBidNoticeAbstractUI.aspx?menuIndex=3&amp;refID=7117631&amp;Result=3","7117631")</f>
        <v>0</v>
      </c>
      <c r="B13139" t="s">
        <v>96</v>
      </c>
      <c r="C13139" t="s">
        <v>16272</v>
      </c>
      <c r="D13139" t="s">
        <v>17953</v>
      </c>
      <c r="E13139" t="s">
        <v>29397</v>
      </c>
      <c r="F13139" t="s">
        <v>30900</v>
      </c>
      <c r="G13139" t="s">
        <v>30907</v>
      </c>
      <c r="H13139" t="s">
        <v>30916</v>
      </c>
      <c r="I13139" t="s">
        <v>8123</v>
      </c>
      <c r="J13139" t="s">
        <v>39225</v>
      </c>
      <c r="K13139" t="s">
        <v>40289</v>
      </c>
      <c r="M13139" t="s">
        <v>40643</v>
      </c>
      <c r="N13139" t="s">
        <v>44759</v>
      </c>
      <c r="O13139" t="s">
        <v>44760</v>
      </c>
      <c r="P13139">
        <v>0</v>
      </c>
      <c r="Q13139">
        <v>4</v>
      </c>
      <c r="R13139" t="s">
        <v>44779</v>
      </c>
      <c r="S13139" t="s">
        <v>45618</v>
      </c>
      <c r="T13139" t="s">
        <v>46403</v>
      </c>
      <c r="U13139" t="s">
        <v>57714</v>
      </c>
      <c r="V13139" t="s">
        <v>59118</v>
      </c>
      <c r="W13139" t="s">
        <v>40643</v>
      </c>
      <c r="X13139" t="s">
        <v>44780</v>
      </c>
    </row>
    <row r="13140" spans="1:24">
      <c r="A13140">
        <f>HYPERLINK("https://www.philgeps.gov.ph/GEPSNONPILOT/Tender/SplashBidNoticeAbstractUI.aspx?menuIndex=3&amp;refID=7117624&amp;Result=3","7117624")</f>
        <v>0</v>
      </c>
      <c r="B13140" t="s">
        <v>2056</v>
      </c>
      <c r="C13140" t="s">
        <v>16273</v>
      </c>
      <c r="D13140" t="s">
        <v>17999</v>
      </c>
      <c r="E13140" t="s">
        <v>29398</v>
      </c>
      <c r="F13140" t="s">
        <v>30900</v>
      </c>
      <c r="G13140" t="s">
        <v>30907</v>
      </c>
      <c r="H13140" t="s">
        <v>30915</v>
      </c>
      <c r="I13140" t="s">
        <v>30919</v>
      </c>
      <c r="J13140" t="s">
        <v>39226</v>
      </c>
      <c r="K13140" t="s">
        <v>40289</v>
      </c>
      <c r="M13140" t="s">
        <v>42755</v>
      </c>
      <c r="N13140" t="s">
        <v>44759</v>
      </c>
      <c r="O13140" t="s">
        <v>44760</v>
      </c>
      <c r="P13140">
        <v>0</v>
      </c>
      <c r="Q13140">
        <v>0</v>
      </c>
      <c r="R13140" t="s">
        <v>44779</v>
      </c>
      <c r="S13140" t="s">
        <v>45618</v>
      </c>
      <c r="T13140" t="s">
        <v>46418</v>
      </c>
      <c r="U13140" t="s">
        <v>57715</v>
      </c>
      <c r="W13140" t="s">
        <v>42755</v>
      </c>
      <c r="X13140" t="s">
        <v>44780</v>
      </c>
    </row>
    <row r="13141" spans="1:24">
      <c r="A13141">
        <f>HYPERLINK("https://www.philgeps.gov.ph/GEPSNONPILOT/Tender/SplashBidNoticeAbstractUI.aspx?menuIndex=3&amp;refID=7117737&amp;Result=3","7117737")</f>
        <v>0</v>
      </c>
      <c r="B13141" t="s">
        <v>2428</v>
      </c>
      <c r="C13141" t="s">
        <v>16274</v>
      </c>
      <c r="D13141" t="s">
        <v>18002</v>
      </c>
      <c r="E13141" t="s">
        <v>29399</v>
      </c>
      <c r="F13141" t="s">
        <v>30900</v>
      </c>
      <c r="G13141" t="s">
        <v>30907</v>
      </c>
      <c r="H13141" t="s">
        <v>30915</v>
      </c>
      <c r="I13141" t="s">
        <v>30919</v>
      </c>
      <c r="J13141" t="s">
        <v>39227</v>
      </c>
      <c r="K13141" t="s">
        <v>40301</v>
      </c>
      <c r="M13141" t="s">
        <v>43159</v>
      </c>
      <c r="N13141" t="s">
        <v>44759</v>
      </c>
      <c r="O13141" t="s">
        <v>44760</v>
      </c>
      <c r="Q13141">
        <v>5</v>
      </c>
      <c r="R13141" t="s">
        <v>44779</v>
      </c>
      <c r="S13141" t="s">
        <v>45660</v>
      </c>
      <c r="T13141" t="s">
        <v>46658</v>
      </c>
      <c r="U13141" t="s">
        <v>57716</v>
      </c>
      <c r="V13141" t="s">
        <v>59994</v>
      </c>
      <c r="W13141" t="s">
        <v>43159</v>
      </c>
      <c r="X13141" t="s">
        <v>44780</v>
      </c>
    </row>
    <row r="13142" spans="1:24">
      <c r="A13142">
        <f>HYPERLINK("https://www.philgeps.gov.ph/GEPSNONPILOT/Tender/SplashBidNoticeAbstractUI.aspx?menuIndex=3&amp;refID=7117653&amp;Result=3","7117653")</f>
        <v>0</v>
      </c>
      <c r="B13142" t="s">
        <v>1574</v>
      </c>
      <c r="C13142" t="s">
        <v>16275</v>
      </c>
      <c r="D13142" t="s">
        <v>18019</v>
      </c>
      <c r="E13142" t="s">
        <v>29400</v>
      </c>
      <c r="F13142" t="s">
        <v>30900</v>
      </c>
      <c r="G13142" t="s">
        <v>30907</v>
      </c>
      <c r="H13142" t="s">
        <v>30915</v>
      </c>
      <c r="I13142" t="s">
        <v>30919</v>
      </c>
      <c r="J13142" t="s">
        <v>39228</v>
      </c>
      <c r="K13142" t="s">
        <v>40545</v>
      </c>
      <c r="M13142" t="s">
        <v>42222</v>
      </c>
      <c r="N13142" t="s">
        <v>44759</v>
      </c>
      <c r="O13142" t="s">
        <v>44760</v>
      </c>
      <c r="P13142">
        <v>0</v>
      </c>
      <c r="Q13142">
        <v>0</v>
      </c>
      <c r="R13142" t="s">
        <v>44779</v>
      </c>
      <c r="S13142" t="s">
        <v>45618</v>
      </c>
      <c r="T13142" t="s">
        <v>46484</v>
      </c>
      <c r="U13142" t="s">
        <v>52603</v>
      </c>
      <c r="W13142" t="s">
        <v>42222</v>
      </c>
      <c r="X13142" t="s">
        <v>44780</v>
      </c>
    </row>
    <row r="13143" spans="1:24">
      <c r="A13143">
        <f>HYPERLINK("https://www.philgeps.gov.ph/GEPSNONPILOT/Tender/SplashBidNoticeAbstractUI.aspx?menuIndex=3&amp;refID=7117525&amp;Result=3","7117525")</f>
        <v>0</v>
      </c>
      <c r="B13143" t="s">
        <v>773</v>
      </c>
      <c r="C13143" t="s">
        <v>16276</v>
      </c>
      <c r="D13143" t="s">
        <v>17988</v>
      </c>
      <c r="E13143" t="s">
        <v>29379</v>
      </c>
      <c r="F13143" t="s">
        <v>30903</v>
      </c>
      <c r="G13143" t="s">
        <v>30909</v>
      </c>
      <c r="H13143" t="s">
        <v>30916</v>
      </c>
      <c r="I13143" t="s">
        <v>30949</v>
      </c>
      <c r="J13143" t="s">
        <v>32364</v>
      </c>
      <c r="K13143" t="s">
        <v>40289</v>
      </c>
      <c r="M13143" t="s">
        <v>41341</v>
      </c>
      <c r="N13143" t="s">
        <v>44759</v>
      </c>
      <c r="O13143" t="s">
        <v>44760</v>
      </c>
      <c r="Q13143">
        <v>1</v>
      </c>
      <c r="R13143" t="s">
        <v>44779</v>
      </c>
      <c r="S13143" t="s">
        <v>45661</v>
      </c>
      <c r="T13143" t="s">
        <v>46403</v>
      </c>
      <c r="U13143" t="s">
        <v>57717</v>
      </c>
      <c r="W13143" t="s">
        <v>41341</v>
      </c>
      <c r="X13143" t="s">
        <v>44780</v>
      </c>
    </row>
    <row r="13144" spans="1:24">
      <c r="A13144">
        <f>HYPERLINK("https://www.philgeps.gov.ph/GEPSNONPILOT/Tender/SplashBidNoticeAbstractUI.aspx?menuIndex=3&amp;refID=7117761&amp;Result=3","7117761")</f>
        <v>0</v>
      </c>
      <c r="B13144" t="s">
        <v>3041</v>
      </c>
      <c r="C13144" t="s">
        <v>16277</v>
      </c>
      <c r="D13144" t="s">
        <v>17991</v>
      </c>
      <c r="E13144" t="s">
        <v>29401</v>
      </c>
      <c r="F13144" t="s">
        <v>30900</v>
      </c>
      <c r="G13144" t="s">
        <v>30907</v>
      </c>
      <c r="H13144" t="s">
        <v>30917</v>
      </c>
      <c r="I13144" t="s">
        <v>17295</v>
      </c>
      <c r="J13144" t="s">
        <v>39229</v>
      </c>
      <c r="K13144" t="s">
        <v>40434</v>
      </c>
      <c r="M13144" t="s">
        <v>43851</v>
      </c>
      <c r="N13144" t="s">
        <v>44759</v>
      </c>
      <c r="O13144" t="s">
        <v>44760</v>
      </c>
      <c r="Q13144">
        <v>5</v>
      </c>
      <c r="R13144" t="s">
        <v>44779</v>
      </c>
      <c r="S13144" t="s">
        <v>45140</v>
      </c>
      <c r="T13144" t="s">
        <v>46515</v>
      </c>
      <c r="U13144" t="s">
        <v>57718</v>
      </c>
      <c r="W13144" t="s">
        <v>43851</v>
      </c>
      <c r="X13144" t="s">
        <v>44780</v>
      </c>
    </row>
    <row r="13145" spans="1:24">
      <c r="A13145">
        <f>HYPERLINK("https://www.philgeps.gov.ph/GEPSNONPILOT/Tender/SplashBidNoticeAbstractUI.aspx?menuIndex=3&amp;refID=7117512&amp;Result=3","7117512")</f>
        <v>0</v>
      </c>
      <c r="B13145" t="s">
        <v>773</v>
      </c>
      <c r="C13145" t="s">
        <v>16278</v>
      </c>
      <c r="D13145" t="s">
        <v>17988</v>
      </c>
      <c r="E13145" t="s">
        <v>29381</v>
      </c>
      <c r="F13145" t="s">
        <v>30903</v>
      </c>
      <c r="G13145" t="s">
        <v>30909</v>
      </c>
      <c r="H13145" t="s">
        <v>30916</v>
      </c>
      <c r="I13145" t="s">
        <v>30949</v>
      </c>
      <c r="J13145" t="s">
        <v>31101</v>
      </c>
      <c r="K13145" t="s">
        <v>40289</v>
      </c>
      <c r="M13145" t="s">
        <v>41341</v>
      </c>
      <c r="N13145" t="s">
        <v>44759</v>
      </c>
      <c r="O13145" t="s">
        <v>44760</v>
      </c>
      <c r="Q13145">
        <v>2</v>
      </c>
      <c r="R13145" t="s">
        <v>44779</v>
      </c>
      <c r="S13145" t="s">
        <v>45662</v>
      </c>
      <c r="T13145" t="s">
        <v>46403</v>
      </c>
      <c r="U13145" t="s">
        <v>57719</v>
      </c>
      <c r="W13145" t="s">
        <v>41341</v>
      </c>
      <c r="X13145" t="s">
        <v>44780</v>
      </c>
    </row>
    <row r="13146" spans="1:24">
      <c r="A13146">
        <f>HYPERLINK("https://www.philgeps.gov.ph/GEPSNONPILOT/Tender/SplashBidNoticeAbstractUI.aspx?menuIndex=3&amp;refID=7117507&amp;Result=3","7117507")</f>
        <v>0</v>
      </c>
      <c r="B13146" t="s">
        <v>773</v>
      </c>
      <c r="C13146" t="s">
        <v>16279</v>
      </c>
      <c r="D13146" t="s">
        <v>17988</v>
      </c>
      <c r="E13146" t="s">
        <v>29376</v>
      </c>
      <c r="F13146" t="s">
        <v>30903</v>
      </c>
      <c r="G13146" t="s">
        <v>30909</v>
      </c>
      <c r="H13146" t="s">
        <v>30916</v>
      </c>
      <c r="I13146" t="s">
        <v>30949</v>
      </c>
      <c r="J13146" t="s">
        <v>31206</v>
      </c>
      <c r="K13146" t="s">
        <v>40289</v>
      </c>
      <c r="M13146" t="s">
        <v>41341</v>
      </c>
      <c r="N13146" t="s">
        <v>44759</v>
      </c>
      <c r="O13146" t="s">
        <v>44760</v>
      </c>
      <c r="Q13146">
        <v>4</v>
      </c>
      <c r="R13146" t="s">
        <v>44779</v>
      </c>
      <c r="S13146" t="s">
        <v>45663</v>
      </c>
      <c r="T13146" t="s">
        <v>46403</v>
      </c>
      <c r="U13146" t="s">
        <v>57720</v>
      </c>
      <c r="W13146" t="s">
        <v>41341</v>
      </c>
      <c r="X13146" t="s">
        <v>44780</v>
      </c>
    </row>
    <row r="13147" spans="1:24">
      <c r="A13147">
        <f>HYPERLINK("https://www.philgeps.gov.ph/GEPSNONPILOT/Tender/SplashBidNoticeAbstractUI.aspx?menuIndex=3&amp;refID=7117479&amp;Result=3","7117479")</f>
        <v>0</v>
      </c>
      <c r="B13147" t="s">
        <v>3187</v>
      </c>
      <c r="C13147" t="s">
        <v>16280</v>
      </c>
      <c r="D13147" t="s">
        <v>17959</v>
      </c>
      <c r="E13147" t="s">
        <v>29402</v>
      </c>
      <c r="F13147" t="s">
        <v>30900</v>
      </c>
      <c r="G13147" t="s">
        <v>30907</v>
      </c>
      <c r="H13147" t="s">
        <v>30916</v>
      </c>
      <c r="I13147" t="s">
        <v>30932</v>
      </c>
      <c r="J13147" t="s">
        <v>31391</v>
      </c>
      <c r="K13147" t="s">
        <v>40293</v>
      </c>
      <c r="M13147" t="s">
        <v>44020</v>
      </c>
      <c r="N13147" t="s">
        <v>44759</v>
      </c>
      <c r="O13147" t="s">
        <v>44760</v>
      </c>
      <c r="Q13147">
        <v>12</v>
      </c>
      <c r="R13147" t="s">
        <v>44779</v>
      </c>
      <c r="S13147" t="s">
        <v>45664</v>
      </c>
      <c r="T13147" t="s">
        <v>46369</v>
      </c>
      <c r="U13147" t="s">
        <v>57721</v>
      </c>
      <c r="W13147" t="s">
        <v>44020</v>
      </c>
      <c r="X13147" t="s">
        <v>44780</v>
      </c>
    </row>
    <row r="13148" spans="1:24">
      <c r="A13148">
        <f>HYPERLINK("https://www.philgeps.gov.ph/GEPSNONPILOT/Tender/SplashBidNoticeAbstractUI.aspx?menuIndex=3&amp;refID=7117491&amp;Result=3","7117491")</f>
        <v>0</v>
      </c>
      <c r="B13148" t="s">
        <v>773</v>
      </c>
      <c r="C13148" t="s">
        <v>16281</v>
      </c>
      <c r="D13148" t="s">
        <v>17988</v>
      </c>
      <c r="E13148" t="s">
        <v>29376</v>
      </c>
      <c r="F13148" t="s">
        <v>30903</v>
      </c>
      <c r="G13148" t="s">
        <v>30909</v>
      </c>
      <c r="H13148" t="s">
        <v>30916</v>
      </c>
      <c r="I13148" t="s">
        <v>30949</v>
      </c>
      <c r="J13148" t="s">
        <v>33447</v>
      </c>
      <c r="K13148" t="s">
        <v>40289</v>
      </c>
      <c r="M13148" t="s">
        <v>41341</v>
      </c>
      <c r="N13148" t="s">
        <v>44759</v>
      </c>
      <c r="O13148" t="s">
        <v>44760</v>
      </c>
      <c r="Q13148">
        <v>5</v>
      </c>
      <c r="R13148" t="s">
        <v>44779</v>
      </c>
      <c r="S13148" t="s">
        <v>45665</v>
      </c>
      <c r="T13148" t="s">
        <v>46403</v>
      </c>
      <c r="U13148" t="s">
        <v>57722</v>
      </c>
      <c r="W13148" t="s">
        <v>41341</v>
      </c>
      <c r="X13148" t="s">
        <v>44780</v>
      </c>
    </row>
    <row r="13149" spans="1:24">
      <c r="A13149">
        <f>HYPERLINK("https://www.philgeps.gov.ph/GEPSNONPILOT/Tender/SplashBidNoticeAbstractUI.aspx?menuIndex=3&amp;refID=7117554&amp;Result=3","7117554")</f>
        <v>0</v>
      </c>
      <c r="B13149" t="s">
        <v>773</v>
      </c>
      <c r="C13149" t="s">
        <v>16282</v>
      </c>
      <c r="D13149" t="s">
        <v>17988</v>
      </c>
      <c r="E13149" t="s">
        <v>29381</v>
      </c>
      <c r="F13149" t="s">
        <v>30903</v>
      </c>
      <c r="G13149" t="s">
        <v>30909</v>
      </c>
      <c r="H13149" t="s">
        <v>30916</v>
      </c>
      <c r="I13149" t="s">
        <v>30949</v>
      </c>
      <c r="J13149" t="s">
        <v>39230</v>
      </c>
      <c r="K13149" t="s">
        <v>40289</v>
      </c>
      <c r="M13149" t="s">
        <v>41341</v>
      </c>
      <c r="N13149" t="s">
        <v>44759</v>
      </c>
      <c r="O13149" t="s">
        <v>44760</v>
      </c>
      <c r="Q13149">
        <v>3</v>
      </c>
      <c r="R13149" t="s">
        <v>44779</v>
      </c>
      <c r="S13149" t="s">
        <v>45666</v>
      </c>
      <c r="T13149" t="s">
        <v>46403</v>
      </c>
      <c r="U13149" t="s">
        <v>57723</v>
      </c>
      <c r="W13149" t="s">
        <v>41341</v>
      </c>
      <c r="X13149" t="s">
        <v>44780</v>
      </c>
    </row>
    <row r="13150" spans="1:24">
      <c r="A13150">
        <f>HYPERLINK("https://www.philgeps.gov.ph/GEPSNONPILOT/Tender/SplashBidNoticeAbstractUI.aspx?menuIndex=3&amp;refID=7117298&amp;Result=3","7117298")</f>
        <v>0</v>
      </c>
      <c r="B13150" t="s">
        <v>3600</v>
      </c>
      <c r="C13150" t="s">
        <v>16283</v>
      </c>
      <c r="E13150" t="s">
        <v>29403</v>
      </c>
      <c r="F13150" t="s">
        <v>30900</v>
      </c>
      <c r="G13150" t="s">
        <v>30907</v>
      </c>
      <c r="H13150" t="s">
        <v>30916</v>
      </c>
      <c r="I13150" t="s">
        <v>4108</v>
      </c>
      <c r="J13150" t="s">
        <v>35438</v>
      </c>
      <c r="K13150" t="s">
        <v>40289</v>
      </c>
      <c r="M13150" t="s">
        <v>44526</v>
      </c>
      <c r="N13150" t="s">
        <v>44759</v>
      </c>
      <c r="O13150" t="s">
        <v>44760</v>
      </c>
      <c r="P13150">
        <v>0</v>
      </c>
      <c r="Q13150">
        <v>2</v>
      </c>
      <c r="R13150" t="s">
        <v>44779</v>
      </c>
      <c r="S13150" t="s">
        <v>45618</v>
      </c>
      <c r="T13150" t="s">
        <v>46399</v>
      </c>
      <c r="U13150" t="s">
        <v>57724</v>
      </c>
      <c r="W13150" t="s">
        <v>44526</v>
      </c>
      <c r="X13150" t="s">
        <v>44780</v>
      </c>
    </row>
    <row r="13151" spans="1:24">
      <c r="A13151">
        <f>HYPERLINK("https://www.philgeps.gov.ph/GEPSNONPILOT/Tender/SplashBidNoticeAbstractUI.aspx?menuIndex=3&amp;refID=7117538&amp;Result=3","7117538")</f>
        <v>0</v>
      </c>
      <c r="B13151" t="s">
        <v>96</v>
      </c>
      <c r="C13151" t="s">
        <v>16284</v>
      </c>
      <c r="D13151" t="s">
        <v>17953</v>
      </c>
      <c r="E13151" t="s">
        <v>29404</v>
      </c>
      <c r="F13151" t="s">
        <v>30900</v>
      </c>
      <c r="G13151" t="s">
        <v>30907</v>
      </c>
      <c r="H13151" t="s">
        <v>30916</v>
      </c>
      <c r="I13151" t="s">
        <v>30933</v>
      </c>
      <c r="J13151" t="s">
        <v>31094</v>
      </c>
      <c r="K13151" t="s">
        <v>40289</v>
      </c>
      <c r="M13151" t="s">
        <v>40643</v>
      </c>
      <c r="N13151" t="s">
        <v>44759</v>
      </c>
      <c r="O13151" t="s">
        <v>44760</v>
      </c>
      <c r="Q13151">
        <v>5</v>
      </c>
      <c r="R13151" t="s">
        <v>44779</v>
      </c>
      <c r="S13151" t="s">
        <v>45667</v>
      </c>
      <c r="T13151" t="s">
        <v>46403</v>
      </c>
      <c r="U13151" t="s">
        <v>57725</v>
      </c>
      <c r="V13151" t="s">
        <v>59118</v>
      </c>
      <c r="W13151" t="s">
        <v>40643</v>
      </c>
      <c r="X13151" t="s">
        <v>44780</v>
      </c>
    </row>
    <row r="13152" spans="1:24">
      <c r="A13152">
        <f>HYPERLINK("https://www.philgeps.gov.ph/GEPSNONPILOT/Tender/SplashBidNoticeAbstractUI.aspx?menuIndex=3&amp;refID=7117646&amp;Result=3","7117646")</f>
        <v>0</v>
      </c>
      <c r="B13152" t="s">
        <v>1516</v>
      </c>
      <c r="C13152" t="s">
        <v>16285</v>
      </c>
      <c r="D13152" t="s">
        <v>18033</v>
      </c>
      <c r="E13152" t="s">
        <v>29405</v>
      </c>
      <c r="F13152" t="s">
        <v>30900</v>
      </c>
      <c r="G13152" t="s">
        <v>30907</v>
      </c>
      <c r="H13152" t="s">
        <v>30916</v>
      </c>
      <c r="I13152" t="s">
        <v>30921</v>
      </c>
      <c r="J13152" t="s">
        <v>39231</v>
      </c>
      <c r="K13152" t="s">
        <v>40286</v>
      </c>
      <c r="M13152" t="s">
        <v>43062</v>
      </c>
      <c r="N13152" t="s">
        <v>44759</v>
      </c>
      <c r="O13152" t="s">
        <v>44760</v>
      </c>
      <c r="Q13152">
        <v>8</v>
      </c>
      <c r="R13152" t="s">
        <v>44779</v>
      </c>
      <c r="S13152" t="s">
        <v>45668</v>
      </c>
      <c r="T13152" t="s">
        <v>46357</v>
      </c>
      <c r="U13152" t="s">
        <v>57712</v>
      </c>
      <c r="W13152" t="s">
        <v>43062</v>
      </c>
      <c r="X13152" t="s">
        <v>44780</v>
      </c>
    </row>
    <row r="13153" spans="1:24">
      <c r="A13153">
        <f>HYPERLINK("https://www.philgeps.gov.ph/GEPSNONPILOT/Tender/SplashBidNoticeAbstractUI.aspx?menuIndex=3&amp;refID=7117001&amp;Result=3","7117001")</f>
        <v>0</v>
      </c>
      <c r="B13153" t="s">
        <v>2246</v>
      </c>
      <c r="C13153" t="s">
        <v>16286</v>
      </c>
      <c r="D13153" t="s">
        <v>17980</v>
      </c>
      <c r="E13153" t="s">
        <v>18545</v>
      </c>
      <c r="F13153" t="s">
        <v>30899</v>
      </c>
      <c r="G13153" t="s">
        <v>30907</v>
      </c>
      <c r="H13153" t="s">
        <v>30916</v>
      </c>
      <c r="I13153" t="s">
        <v>4061</v>
      </c>
      <c r="J13153" t="s">
        <v>39232</v>
      </c>
      <c r="K13153" t="s">
        <v>40287</v>
      </c>
      <c r="M13153" t="s">
        <v>42957</v>
      </c>
      <c r="N13153" t="s">
        <v>44759</v>
      </c>
      <c r="O13153" t="s">
        <v>44760</v>
      </c>
      <c r="P13153">
        <v>0</v>
      </c>
      <c r="Q13153">
        <v>0</v>
      </c>
      <c r="R13153" t="s">
        <v>44779</v>
      </c>
      <c r="S13153" t="s">
        <v>45618</v>
      </c>
      <c r="T13153" t="s">
        <v>46414</v>
      </c>
      <c r="U13153" t="s">
        <v>57726</v>
      </c>
      <c r="V13153" t="s">
        <v>60608</v>
      </c>
      <c r="W13153" t="s">
        <v>42957</v>
      </c>
      <c r="X13153" t="s">
        <v>44780</v>
      </c>
    </row>
    <row r="13154" spans="1:24">
      <c r="A13154">
        <f>HYPERLINK("https://www.philgeps.gov.ph/GEPSNONPILOT/Tender/SplashBidNoticeAbstractUI.aspx?menuIndex=3&amp;refID=7116983&amp;Result=3","7116983")</f>
        <v>0</v>
      </c>
      <c r="B13154" t="s">
        <v>121</v>
      </c>
      <c r="C13154" t="s">
        <v>16287</v>
      </c>
      <c r="D13154" t="s">
        <v>18010</v>
      </c>
      <c r="E13154" t="s">
        <v>29406</v>
      </c>
      <c r="F13154" t="s">
        <v>30900</v>
      </c>
      <c r="G13154" t="s">
        <v>30907</v>
      </c>
      <c r="H13154" t="s">
        <v>30915</v>
      </c>
      <c r="I13154" t="s">
        <v>30919</v>
      </c>
      <c r="J13154" t="s">
        <v>39233</v>
      </c>
      <c r="K13154" t="s">
        <v>40295</v>
      </c>
      <c r="M13154" t="s">
        <v>40668</v>
      </c>
      <c r="N13154" t="s">
        <v>44759</v>
      </c>
      <c r="O13154" t="s">
        <v>44760</v>
      </c>
      <c r="P13154">
        <v>0</v>
      </c>
      <c r="Q13154">
        <v>5</v>
      </c>
      <c r="R13154" t="s">
        <v>44779</v>
      </c>
      <c r="S13154" t="s">
        <v>45618</v>
      </c>
      <c r="T13154" t="s">
        <v>46357</v>
      </c>
      <c r="U13154" t="s">
        <v>57727</v>
      </c>
      <c r="W13154" t="s">
        <v>40668</v>
      </c>
      <c r="X13154" t="s">
        <v>44780</v>
      </c>
    </row>
    <row r="13155" spans="1:24">
      <c r="A13155">
        <f>HYPERLINK("https://www.philgeps.gov.ph/GEPSNONPILOT/Tender/SplashBidNoticeAbstractUI.aspx?menuIndex=3&amp;refID=7116954&amp;Result=3","7116954")</f>
        <v>0</v>
      </c>
      <c r="B13155" t="s">
        <v>2246</v>
      </c>
      <c r="C13155" t="s">
        <v>16288</v>
      </c>
      <c r="D13155" t="s">
        <v>17980</v>
      </c>
      <c r="E13155" t="s">
        <v>18141</v>
      </c>
      <c r="F13155" t="s">
        <v>30899</v>
      </c>
      <c r="G13155" t="s">
        <v>30907</v>
      </c>
      <c r="H13155" t="s">
        <v>30916</v>
      </c>
      <c r="I13155" t="s">
        <v>4061</v>
      </c>
      <c r="J13155" t="s">
        <v>39234</v>
      </c>
      <c r="K13155" t="s">
        <v>40287</v>
      </c>
      <c r="M13155" t="s">
        <v>42957</v>
      </c>
      <c r="N13155" t="s">
        <v>44759</v>
      </c>
      <c r="O13155" t="s">
        <v>44760</v>
      </c>
      <c r="P13155">
        <v>0</v>
      </c>
      <c r="Q13155">
        <v>0</v>
      </c>
      <c r="R13155" t="s">
        <v>44779</v>
      </c>
      <c r="S13155" t="s">
        <v>45618</v>
      </c>
      <c r="T13155" t="s">
        <v>46414</v>
      </c>
      <c r="U13155" t="s">
        <v>57728</v>
      </c>
      <c r="V13155" t="s">
        <v>60600</v>
      </c>
      <c r="W13155" t="s">
        <v>42957</v>
      </c>
      <c r="X13155" t="s">
        <v>44780</v>
      </c>
    </row>
    <row r="13156" spans="1:24">
      <c r="A13156">
        <f>HYPERLINK("https://www.philgeps.gov.ph/GEPSNONPILOT/Tender/SplashBidNoticeAbstractUI.aspx?menuIndex=3&amp;refID=7116946&amp;Result=3","7116946")</f>
        <v>0</v>
      </c>
      <c r="B13156" t="s">
        <v>1724</v>
      </c>
      <c r="C13156" t="s">
        <v>16289</v>
      </c>
      <c r="D13156" t="s">
        <v>18016</v>
      </c>
      <c r="E13156" t="s">
        <v>29407</v>
      </c>
      <c r="F13156" t="s">
        <v>30900</v>
      </c>
      <c r="G13156" t="s">
        <v>30907</v>
      </c>
      <c r="H13156" t="s">
        <v>30916</v>
      </c>
      <c r="I13156" t="s">
        <v>30939</v>
      </c>
      <c r="J13156" t="s">
        <v>39235</v>
      </c>
      <c r="K13156" t="s">
        <v>40284</v>
      </c>
      <c r="M13156" t="s">
        <v>42697</v>
      </c>
      <c r="N13156" t="s">
        <v>44759</v>
      </c>
      <c r="O13156" t="s">
        <v>44760</v>
      </c>
      <c r="P13156">
        <v>0</v>
      </c>
      <c r="Q13156">
        <v>0</v>
      </c>
      <c r="R13156" t="s">
        <v>44779</v>
      </c>
      <c r="S13156" t="s">
        <v>45618</v>
      </c>
      <c r="T13156" t="s">
        <v>46550</v>
      </c>
      <c r="U13156" t="s">
        <v>51585</v>
      </c>
      <c r="V13156" t="s">
        <v>59709</v>
      </c>
      <c r="W13156" t="s">
        <v>60878</v>
      </c>
      <c r="X13156" t="s">
        <v>44780</v>
      </c>
    </row>
    <row r="13157" spans="1:24">
      <c r="A13157">
        <f>HYPERLINK("https://www.philgeps.gov.ph/GEPSNONPILOT/Tender/SplashBidNoticeAbstractUI.aspx?menuIndex=3&amp;refID=7117496&amp;Result=3","7117496")</f>
        <v>0</v>
      </c>
      <c r="B13157" t="s">
        <v>773</v>
      </c>
      <c r="C13157" t="s">
        <v>16290</v>
      </c>
      <c r="D13157" t="s">
        <v>17988</v>
      </c>
      <c r="E13157" t="s">
        <v>29376</v>
      </c>
      <c r="F13157" t="s">
        <v>30903</v>
      </c>
      <c r="G13157" t="s">
        <v>30909</v>
      </c>
      <c r="H13157" t="s">
        <v>30916</v>
      </c>
      <c r="I13157" t="s">
        <v>30949</v>
      </c>
      <c r="J13157" t="s">
        <v>32161</v>
      </c>
      <c r="K13157" t="s">
        <v>40289</v>
      </c>
      <c r="M13157" t="s">
        <v>41341</v>
      </c>
      <c r="N13157" t="s">
        <v>44759</v>
      </c>
      <c r="O13157" t="s">
        <v>44760</v>
      </c>
      <c r="Q13157">
        <v>2</v>
      </c>
      <c r="R13157" t="s">
        <v>44779</v>
      </c>
      <c r="S13157" t="s">
        <v>45669</v>
      </c>
      <c r="T13157" t="s">
        <v>46403</v>
      </c>
      <c r="U13157" t="s">
        <v>57729</v>
      </c>
      <c r="W13157" t="s">
        <v>41341</v>
      </c>
      <c r="X13157" t="s">
        <v>44780</v>
      </c>
    </row>
    <row r="13158" spans="1:24">
      <c r="A13158">
        <f>HYPERLINK("https://www.philgeps.gov.ph/GEPSNONPILOT/Tender/SplashBidNoticeAbstractUI.aspx?menuIndex=3&amp;refID=7118177&amp;Result=3","7118177")</f>
        <v>0</v>
      </c>
      <c r="B13158" t="s">
        <v>629</v>
      </c>
      <c r="C13158" t="s">
        <v>16291</v>
      </c>
      <c r="D13158" t="s">
        <v>17992</v>
      </c>
      <c r="E13158" t="s">
        <v>29408</v>
      </c>
      <c r="F13158" t="s">
        <v>30900</v>
      </c>
      <c r="G13158" t="s">
        <v>30907</v>
      </c>
      <c r="H13158" t="s">
        <v>30916</v>
      </c>
      <c r="I13158" t="s">
        <v>8123</v>
      </c>
      <c r="J13158" t="s">
        <v>39236</v>
      </c>
      <c r="K13158" t="s">
        <v>40283</v>
      </c>
      <c r="M13158" t="s">
        <v>41485</v>
      </c>
      <c r="N13158" t="s">
        <v>44759</v>
      </c>
      <c r="O13158" t="s">
        <v>44760</v>
      </c>
      <c r="P13158">
        <v>0</v>
      </c>
      <c r="Q13158">
        <v>1</v>
      </c>
      <c r="R13158" t="s">
        <v>44779</v>
      </c>
      <c r="S13158" t="s">
        <v>45618</v>
      </c>
      <c r="T13158" t="s">
        <v>46613</v>
      </c>
      <c r="U13158" t="s">
        <v>57730</v>
      </c>
      <c r="W13158" t="s">
        <v>41485</v>
      </c>
      <c r="X13158" t="s">
        <v>44780</v>
      </c>
    </row>
    <row r="13159" spans="1:24">
      <c r="A13159">
        <f>HYPERLINK("https://www.philgeps.gov.ph/GEPSNONPILOT/Tender/SplashBidNoticeAbstractUI.aspx?menuIndex=3&amp;refID=7117465&amp;Result=3","7117465")</f>
        <v>0</v>
      </c>
      <c r="B13159" t="s">
        <v>2056</v>
      </c>
      <c r="C13159" t="s">
        <v>16292</v>
      </c>
      <c r="D13159" t="s">
        <v>17999</v>
      </c>
      <c r="E13159" t="s">
        <v>29409</v>
      </c>
      <c r="F13159" t="s">
        <v>30900</v>
      </c>
      <c r="G13159" t="s">
        <v>30907</v>
      </c>
      <c r="H13159" t="s">
        <v>30915</v>
      </c>
      <c r="I13159" t="s">
        <v>30919</v>
      </c>
      <c r="J13159" t="s">
        <v>39237</v>
      </c>
      <c r="K13159" t="s">
        <v>40289</v>
      </c>
      <c r="M13159" t="s">
        <v>42755</v>
      </c>
      <c r="N13159" t="s">
        <v>44759</v>
      </c>
      <c r="O13159" t="s">
        <v>44760</v>
      </c>
      <c r="P13159">
        <v>0</v>
      </c>
      <c r="Q13159">
        <v>0</v>
      </c>
      <c r="R13159" t="s">
        <v>44779</v>
      </c>
      <c r="S13159" t="s">
        <v>45618</v>
      </c>
      <c r="T13159" t="s">
        <v>46581</v>
      </c>
      <c r="U13159" t="s">
        <v>57731</v>
      </c>
      <c r="W13159" t="s">
        <v>42755</v>
      </c>
      <c r="X13159" t="s">
        <v>44780</v>
      </c>
    </row>
    <row r="13160" spans="1:24">
      <c r="A13160">
        <f>HYPERLINK("https://www.philgeps.gov.ph/GEPSNONPILOT/Tender/SplashBidNoticeAbstractUI.aspx?menuIndex=3&amp;refID=7117281&amp;Result=3","7117281")</f>
        <v>0</v>
      </c>
      <c r="B13160" t="s">
        <v>252</v>
      </c>
      <c r="C13160" t="s">
        <v>16293</v>
      </c>
      <c r="D13160" t="s">
        <v>17965</v>
      </c>
      <c r="E13160" t="s">
        <v>29410</v>
      </c>
      <c r="F13160" t="s">
        <v>30900</v>
      </c>
      <c r="G13160" t="s">
        <v>30907</v>
      </c>
      <c r="H13160" t="s">
        <v>30916</v>
      </c>
      <c r="I13160" t="s">
        <v>30947</v>
      </c>
      <c r="J13160" t="s">
        <v>39238</v>
      </c>
      <c r="K13160" t="s">
        <v>40283</v>
      </c>
      <c r="M13160" t="s">
        <v>40799</v>
      </c>
      <c r="N13160" t="s">
        <v>44759</v>
      </c>
      <c r="O13160" t="s">
        <v>44760</v>
      </c>
      <c r="P13160">
        <v>0</v>
      </c>
      <c r="Q13160">
        <v>3</v>
      </c>
      <c r="R13160" t="s">
        <v>44779</v>
      </c>
      <c r="S13160" t="s">
        <v>45618</v>
      </c>
      <c r="T13160" t="s">
        <v>46623</v>
      </c>
      <c r="U13160" t="s">
        <v>57732</v>
      </c>
      <c r="W13160" t="s">
        <v>40799</v>
      </c>
      <c r="X13160" t="s">
        <v>44780</v>
      </c>
    </row>
    <row r="13161" spans="1:24">
      <c r="A13161">
        <f>HYPERLINK("https://www.philgeps.gov.ph/GEPSNONPILOT/Tender/SplashBidNoticeAbstractUI.aspx?menuIndex=3&amp;refID=7118249&amp;Result=3","7118249")</f>
        <v>0</v>
      </c>
      <c r="B13161" t="s">
        <v>1574</v>
      </c>
      <c r="C13161" t="s">
        <v>16294</v>
      </c>
      <c r="D13161" t="s">
        <v>18019</v>
      </c>
      <c r="E13161" t="s">
        <v>29411</v>
      </c>
      <c r="F13161" t="s">
        <v>30900</v>
      </c>
      <c r="G13161" t="s">
        <v>30907</v>
      </c>
      <c r="H13161" t="s">
        <v>30915</v>
      </c>
      <c r="I13161" t="s">
        <v>30919</v>
      </c>
      <c r="J13161" t="s">
        <v>39239</v>
      </c>
      <c r="K13161" t="s">
        <v>40304</v>
      </c>
      <c r="M13161" t="s">
        <v>42222</v>
      </c>
      <c r="N13161" t="s">
        <v>44759</v>
      </c>
      <c r="O13161" t="s">
        <v>44760</v>
      </c>
      <c r="P13161">
        <v>0</v>
      </c>
      <c r="Q13161">
        <v>0</v>
      </c>
      <c r="R13161" t="s">
        <v>44779</v>
      </c>
      <c r="S13161" t="s">
        <v>45618</v>
      </c>
      <c r="T13161" t="s">
        <v>46484</v>
      </c>
      <c r="U13161" t="s">
        <v>52603</v>
      </c>
      <c r="W13161" t="s">
        <v>42222</v>
      </c>
      <c r="X13161" t="s">
        <v>44780</v>
      </c>
    </row>
    <row r="13162" spans="1:24">
      <c r="A13162">
        <f>HYPERLINK("https://www.philgeps.gov.ph/GEPSNONPILOT/Tender/SplashBidNoticeAbstractUI.aspx?menuIndex=3&amp;refID=7117769&amp;Result=3","7117769")</f>
        <v>0</v>
      </c>
      <c r="B13162" t="s">
        <v>3016</v>
      </c>
      <c r="C13162" t="s">
        <v>16295</v>
      </c>
      <c r="D13162" t="s">
        <v>18004</v>
      </c>
      <c r="E13162" t="s">
        <v>29412</v>
      </c>
      <c r="F13162" t="s">
        <v>30903</v>
      </c>
      <c r="G13162" t="s">
        <v>30907</v>
      </c>
      <c r="H13162" t="s">
        <v>30916</v>
      </c>
      <c r="I13162" t="s">
        <v>8123</v>
      </c>
      <c r="J13162" t="s">
        <v>39240</v>
      </c>
      <c r="K13162" t="s">
        <v>40283</v>
      </c>
      <c r="M13162" t="s">
        <v>43824</v>
      </c>
      <c r="N13162" t="s">
        <v>44759</v>
      </c>
      <c r="O13162" t="s">
        <v>44760</v>
      </c>
      <c r="P13162">
        <v>0</v>
      </c>
      <c r="Q13162">
        <v>1</v>
      </c>
      <c r="R13162" t="s">
        <v>44779</v>
      </c>
      <c r="S13162" t="s">
        <v>45618</v>
      </c>
      <c r="T13162" t="s">
        <v>46412</v>
      </c>
      <c r="U13162" t="s">
        <v>57733</v>
      </c>
      <c r="W13162" t="s">
        <v>43824</v>
      </c>
      <c r="X13162" t="s">
        <v>44780</v>
      </c>
    </row>
    <row r="13163" spans="1:24">
      <c r="A13163">
        <f>HYPERLINK("https://www.philgeps.gov.ph/GEPSNONPILOT/Tender/SplashBidNoticeAbstractUI.aspx?menuIndex=3&amp;refID=7118202&amp;Result=3","7118202")</f>
        <v>0</v>
      </c>
      <c r="B13163" t="s">
        <v>3185</v>
      </c>
      <c r="C13163" t="s">
        <v>16296</v>
      </c>
      <c r="D13163" t="s">
        <v>17961</v>
      </c>
      <c r="E13163" t="s">
        <v>29413</v>
      </c>
      <c r="F13163" t="s">
        <v>30900</v>
      </c>
      <c r="G13163" t="s">
        <v>30907</v>
      </c>
      <c r="H13163" t="s">
        <v>30915</v>
      </c>
      <c r="I13163" t="s">
        <v>30919</v>
      </c>
      <c r="J13163" t="s">
        <v>39241</v>
      </c>
      <c r="K13163" t="s">
        <v>40284</v>
      </c>
      <c r="M13163" t="s">
        <v>44016</v>
      </c>
      <c r="N13163" t="s">
        <v>44759</v>
      </c>
      <c r="O13163" t="s">
        <v>44760</v>
      </c>
      <c r="P13163">
        <v>0</v>
      </c>
      <c r="Q13163">
        <v>0</v>
      </c>
      <c r="R13163" t="s">
        <v>44779</v>
      </c>
      <c r="S13163" t="s">
        <v>45618</v>
      </c>
      <c r="T13163" t="s">
        <v>46445</v>
      </c>
      <c r="U13163" t="s">
        <v>57734</v>
      </c>
      <c r="W13163" t="s">
        <v>44016</v>
      </c>
      <c r="X13163" t="s">
        <v>44780</v>
      </c>
    </row>
    <row r="13164" spans="1:24">
      <c r="A13164">
        <f>HYPERLINK("https://www.philgeps.gov.ph/GEPSNONPILOT/Tender/SplashBidNoticeAbstractUI.aspx?menuIndex=3&amp;refID=7118237&amp;Result=3","7118237")</f>
        <v>0</v>
      </c>
      <c r="B13164" t="s">
        <v>3601</v>
      </c>
      <c r="C13164" t="s">
        <v>16297</v>
      </c>
      <c r="D13164" t="s">
        <v>17958</v>
      </c>
      <c r="E13164" t="s">
        <v>29414</v>
      </c>
      <c r="F13164" t="s">
        <v>30900</v>
      </c>
      <c r="G13164" t="s">
        <v>30907</v>
      </c>
      <c r="H13164" t="s">
        <v>30915</v>
      </c>
      <c r="I13164" t="s">
        <v>30919</v>
      </c>
      <c r="J13164" t="s">
        <v>32523</v>
      </c>
      <c r="K13164" t="s">
        <v>40384</v>
      </c>
      <c r="M13164" t="s">
        <v>44527</v>
      </c>
      <c r="N13164" t="s">
        <v>44759</v>
      </c>
      <c r="O13164" t="s">
        <v>44760</v>
      </c>
      <c r="P13164">
        <v>0</v>
      </c>
      <c r="Q13164">
        <v>1</v>
      </c>
      <c r="R13164" t="s">
        <v>44779</v>
      </c>
      <c r="S13164" t="s">
        <v>45618</v>
      </c>
      <c r="T13164" t="s">
        <v>46414</v>
      </c>
      <c r="U13164" t="s">
        <v>57735</v>
      </c>
      <c r="W13164" t="s">
        <v>44527</v>
      </c>
      <c r="X13164" t="s">
        <v>44780</v>
      </c>
    </row>
    <row r="13165" spans="1:24">
      <c r="A13165">
        <f>HYPERLINK("https://www.philgeps.gov.ph/GEPSNONPILOT/Tender/SplashBidNoticeAbstractUI.aspx?menuIndex=3&amp;refID=7118200&amp;Result=3","7118200")</f>
        <v>0</v>
      </c>
      <c r="B13165" t="s">
        <v>3515</v>
      </c>
      <c r="C13165" t="s">
        <v>16298</v>
      </c>
      <c r="D13165" t="s">
        <v>17953</v>
      </c>
      <c r="E13165" t="s">
        <v>28836</v>
      </c>
      <c r="F13165" t="s">
        <v>30900</v>
      </c>
      <c r="G13165" t="s">
        <v>30907</v>
      </c>
      <c r="H13165" t="s">
        <v>30915</v>
      </c>
      <c r="I13165" t="s">
        <v>8123</v>
      </c>
      <c r="J13165" t="s">
        <v>39242</v>
      </c>
      <c r="K13165" t="s">
        <v>40281</v>
      </c>
      <c r="M13165" t="s">
        <v>44424</v>
      </c>
      <c r="N13165" t="s">
        <v>44759</v>
      </c>
      <c r="O13165" t="s">
        <v>44760</v>
      </c>
      <c r="P13165">
        <v>0</v>
      </c>
      <c r="Q13165">
        <v>0</v>
      </c>
      <c r="R13165" t="s">
        <v>44779</v>
      </c>
      <c r="S13165" t="s">
        <v>45618</v>
      </c>
      <c r="T13165" t="s">
        <v>46625</v>
      </c>
      <c r="U13165" t="s">
        <v>57736</v>
      </c>
      <c r="W13165" t="s">
        <v>44424</v>
      </c>
      <c r="X13165" t="s">
        <v>44780</v>
      </c>
    </row>
    <row r="13166" spans="1:24">
      <c r="A13166">
        <f>HYPERLINK("https://www.philgeps.gov.ph/GEPSNONPILOT/Tender/SplashBidNoticeAbstractUI.aspx?menuIndex=3&amp;refID=7118160&amp;Result=3","7118160")</f>
        <v>0</v>
      </c>
      <c r="B13166" t="s">
        <v>3602</v>
      </c>
      <c r="C13166" t="s">
        <v>16299</v>
      </c>
      <c r="D13166" t="s">
        <v>17964</v>
      </c>
      <c r="E13166" t="s">
        <v>29415</v>
      </c>
      <c r="F13166" t="s">
        <v>30900</v>
      </c>
      <c r="G13166" t="s">
        <v>30907</v>
      </c>
      <c r="H13166" t="s">
        <v>30916</v>
      </c>
      <c r="I13166" t="s">
        <v>8123</v>
      </c>
      <c r="J13166" t="s">
        <v>39243</v>
      </c>
      <c r="K13166" t="s">
        <v>40293</v>
      </c>
      <c r="M13166" t="s">
        <v>44528</v>
      </c>
      <c r="N13166" t="s">
        <v>44759</v>
      </c>
      <c r="O13166" t="s">
        <v>44760</v>
      </c>
      <c r="P13166">
        <v>0</v>
      </c>
      <c r="Q13166">
        <v>0</v>
      </c>
      <c r="R13166" t="s">
        <v>44779</v>
      </c>
      <c r="S13166" t="s">
        <v>45618</v>
      </c>
      <c r="T13166" t="s">
        <v>46406</v>
      </c>
      <c r="U13166" t="s">
        <v>57737</v>
      </c>
      <c r="V13166" t="s">
        <v>60606</v>
      </c>
      <c r="W13166" t="s">
        <v>44528</v>
      </c>
      <c r="X13166" t="s">
        <v>44780</v>
      </c>
    </row>
    <row r="13167" spans="1:24">
      <c r="A13167">
        <f>HYPERLINK("https://www.philgeps.gov.ph/GEPSNONPILOT/Tender/SplashBidNoticeAbstractUI.aspx?menuIndex=3&amp;refID=7118105&amp;Result=3","7118105")</f>
        <v>0</v>
      </c>
      <c r="B13167" t="s">
        <v>3603</v>
      </c>
      <c r="C13167" t="s">
        <v>16300</v>
      </c>
      <c r="D13167" t="s">
        <v>18009</v>
      </c>
      <c r="E13167" t="s">
        <v>29416</v>
      </c>
      <c r="F13167" t="s">
        <v>30900</v>
      </c>
      <c r="G13167" t="s">
        <v>30907</v>
      </c>
      <c r="H13167" t="s">
        <v>30915</v>
      </c>
      <c r="I13167" t="s">
        <v>30919</v>
      </c>
      <c r="J13167" t="s">
        <v>31297</v>
      </c>
      <c r="K13167" t="s">
        <v>40289</v>
      </c>
      <c r="M13167" t="s">
        <v>44529</v>
      </c>
      <c r="N13167" t="s">
        <v>44759</v>
      </c>
      <c r="O13167" t="s">
        <v>44760</v>
      </c>
      <c r="P13167">
        <v>0</v>
      </c>
      <c r="Q13167">
        <v>3</v>
      </c>
      <c r="R13167" t="s">
        <v>44779</v>
      </c>
      <c r="S13167" t="s">
        <v>45618</v>
      </c>
      <c r="T13167" t="s">
        <v>46357</v>
      </c>
      <c r="U13167" t="s">
        <v>57738</v>
      </c>
      <c r="W13167" t="s">
        <v>44529</v>
      </c>
      <c r="X13167" t="s">
        <v>44780</v>
      </c>
    </row>
    <row r="13168" spans="1:24">
      <c r="A13168">
        <f>HYPERLINK("https://www.philgeps.gov.ph/GEPSNONPILOT/Tender/SplashBidNoticeAbstractUI.aspx?menuIndex=3&amp;refID=7116977&amp;Result=3","7116977")</f>
        <v>0</v>
      </c>
      <c r="B13168" t="s">
        <v>1724</v>
      </c>
      <c r="C13168" t="s">
        <v>16301</v>
      </c>
      <c r="D13168" t="s">
        <v>18016</v>
      </c>
      <c r="E13168" t="s">
        <v>29417</v>
      </c>
      <c r="F13168" t="s">
        <v>30900</v>
      </c>
      <c r="G13168" t="s">
        <v>30907</v>
      </c>
      <c r="H13168" t="s">
        <v>30916</v>
      </c>
      <c r="I13168" t="s">
        <v>8123</v>
      </c>
      <c r="J13168" t="s">
        <v>39244</v>
      </c>
      <c r="K13168" t="s">
        <v>40284</v>
      </c>
      <c r="M13168" t="s">
        <v>42697</v>
      </c>
      <c r="N13168" t="s">
        <v>44759</v>
      </c>
      <c r="O13168" t="s">
        <v>44760</v>
      </c>
      <c r="P13168">
        <v>0</v>
      </c>
      <c r="Q13168">
        <v>4</v>
      </c>
      <c r="R13168" t="s">
        <v>44779</v>
      </c>
      <c r="S13168" t="s">
        <v>45618</v>
      </c>
      <c r="T13168" t="s">
        <v>46414</v>
      </c>
      <c r="U13168" t="s">
        <v>51585</v>
      </c>
      <c r="V13168" t="s">
        <v>59709</v>
      </c>
      <c r="W13168" t="s">
        <v>60878</v>
      </c>
      <c r="X13168" t="s">
        <v>44780</v>
      </c>
    </row>
    <row r="13169" spans="1:24">
      <c r="A13169">
        <f>HYPERLINK("https://www.philgeps.gov.ph/GEPSNONPILOT/Tender/SplashBidNoticeAbstractUI.aspx?menuIndex=3&amp;refID=7117477&amp;Result=3","7117477")</f>
        <v>0</v>
      </c>
      <c r="B13169" t="s">
        <v>773</v>
      </c>
      <c r="C13169" t="s">
        <v>16302</v>
      </c>
      <c r="D13169" t="s">
        <v>17988</v>
      </c>
      <c r="E13169" t="s">
        <v>29376</v>
      </c>
      <c r="F13169" t="s">
        <v>30903</v>
      </c>
      <c r="G13169" t="s">
        <v>30909</v>
      </c>
      <c r="H13169" t="s">
        <v>30916</v>
      </c>
      <c r="I13169" t="s">
        <v>30949</v>
      </c>
      <c r="J13169" t="s">
        <v>31183</v>
      </c>
      <c r="K13169" t="s">
        <v>40289</v>
      </c>
      <c r="M13169" t="s">
        <v>41341</v>
      </c>
      <c r="N13169" t="s">
        <v>44759</v>
      </c>
      <c r="O13169" t="s">
        <v>44760</v>
      </c>
      <c r="Q13169">
        <v>2</v>
      </c>
      <c r="R13169" t="s">
        <v>44779</v>
      </c>
      <c r="S13169" t="s">
        <v>45670</v>
      </c>
      <c r="T13169" t="s">
        <v>46403</v>
      </c>
      <c r="U13169" t="s">
        <v>57739</v>
      </c>
      <c r="W13169" t="s">
        <v>41341</v>
      </c>
      <c r="X13169" t="s">
        <v>44780</v>
      </c>
    </row>
    <row r="13170" spans="1:24">
      <c r="A13170">
        <f>HYPERLINK("https://www.philgeps.gov.ph/GEPSNONPILOT/Tender/SplashBidNoticeAbstractUI.aspx?menuIndex=3&amp;refID=7118028&amp;Result=3","7118028")</f>
        <v>0</v>
      </c>
      <c r="B13170" t="s">
        <v>2879</v>
      </c>
      <c r="C13170" t="s">
        <v>16303</v>
      </c>
      <c r="D13170" t="s">
        <v>17959</v>
      </c>
      <c r="E13170" t="s">
        <v>29418</v>
      </c>
      <c r="F13170" t="s">
        <v>30900</v>
      </c>
      <c r="G13170" t="s">
        <v>30908</v>
      </c>
      <c r="H13170" t="s">
        <v>30916</v>
      </c>
      <c r="I13170" t="s">
        <v>4108</v>
      </c>
      <c r="J13170" t="s">
        <v>39245</v>
      </c>
      <c r="K13170" t="s">
        <v>40289</v>
      </c>
      <c r="M13170" t="s">
        <v>44530</v>
      </c>
      <c r="N13170" t="s">
        <v>44759</v>
      </c>
      <c r="O13170" t="s">
        <v>44760</v>
      </c>
      <c r="Q13170">
        <v>0</v>
      </c>
      <c r="R13170" t="s">
        <v>44779</v>
      </c>
      <c r="S13170" t="s">
        <v>44959</v>
      </c>
      <c r="T13170" t="s">
        <v>46590</v>
      </c>
      <c r="U13170" t="s">
        <v>57740</v>
      </c>
      <c r="V13170" t="s">
        <v>60609</v>
      </c>
      <c r="W13170" t="s">
        <v>44530</v>
      </c>
      <c r="X13170" t="s">
        <v>44780</v>
      </c>
    </row>
    <row r="13171" spans="1:24">
      <c r="A13171">
        <f>HYPERLINK("https://www.philgeps.gov.ph/GEPSNONPILOT/Tender/SplashBidNoticeAbstractUI.aspx?menuIndex=3&amp;refID=7118284&amp;Result=3","7118284")</f>
        <v>0</v>
      </c>
      <c r="B13171" t="s">
        <v>3604</v>
      </c>
      <c r="C13171" t="s">
        <v>16304</v>
      </c>
      <c r="D13171" t="s">
        <v>17959</v>
      </c>
      <c r="E13171" t="s">
        <v>29419</v>
      </c>
      <c r="F13171" t="s">
        <v>30900</v>
      </c>
      <c r="G13171" t="s">
        <v>30907</v>
      </c>
      <c r="H13171" t="s">
        <v>30917</v>
      </c>
      <c r="I13171" t="s">
        <v>31015</v>
      </c>
      <c r="J13171" t="s">
        <v>31297</v>
      </c>
      <c r="K13171" t="s">
        <v>40282</v>
      </c>
      <c r="M13171" t="s">
        <v>44531</v>
      </c>
      <c r="N13171" t="s">
        <v>44759</v>
      </c>
      <c r="O13171" t="s">
        <v>44760</v>
      </c>
      <c r="Q13171">
        <v>7</v>
      </c>
      <c r="R13171" t="s">
        <v>44779</v>
      </c>
      <c r="S13171" t="s">
        <v>45671</v>
      </c>
      <c r="T13171" t="s">
        <v>46443</v>
      </c>
      <c r="U13171" t="s">
        <v>57741</v>
      </c>
      <c r="W13171" t="s">
        <v>60937</v>
      </c>
      <c r="X13171" t="s">
        <v>44780</v>
      </c>
    </row>
    <row r="13172" spans="1:24">
      <c r="A13172">
        <f>HYPERLINK("https://www.philgeps.gov.ph/GEPSNONPILOT/Tender/SplashBidNoticeAbstractUI.aspx?menuIndex=3&amp;refID=7118189&amp;Result=3","7118189")</f>
        <v>0</v>
      </c>
      <c r="B13172" t="s">
        <v>3603</v>
      </c>
      <c r="C13172" t="s">
        <v>16305</v>
      </c>
      <c r="D13172" t="s">
        <v>18009</v>
      </c>
      <c r="E13172" t="s">
        <v>29420</v>
      </c>
      <c r="F13172" t="s">
        <v>30900</v>
      </c>
      <c r="G13172" t="s">
        <v>30907</v>
      </c>
      <c r="H13172" t="s">
        <v>30915</v>
      </c>
      <c r="I13172" t="s">
        <v>30919</v>
      </c>
      <c r="J13172" t="s">
        <v>31297</v>
      </c>
      <c r="K13172" t="s">
        <v>40289</v>
      </c>
      <c r="M13172" t="s">
        <v>44529</v>
      </c>
      <c r="N13172" t="s">
        <v>44759</v>
      </c>
      <c r="O13172" t="s">
        <v>44760</v>
      </c>
      <c r="P13172">
        <v>0</v>
      </c>
      <c r="Q13172">
        <v>3</v>
      </c>
      <c r="R13172" t="s">
        <v>44779</v>
      </c>
      <c r="S13172" t="s">
        <v>45618</v>
      </c>
      <c r="T13172" t="s">
        <v>46357</v>
      </c>
      <c r="U13172" t="s">
        <v>57742</v>
      </c>
      <c r="W13172" t="s">
        <v>44529</v>
      </c>
      <c r="X13172" t="s">
        <v>44780</v>
      </c>
    </row>
    <row r="13173" spans="1:24">
      <c r="A13173">
        <f>HYPERLINK("https://www.philgeps.gov.ph/GEPSNONPILOT/Tender/SplashBidNoticeAbstractUI.aspx?menuIndex=3&amp;refID=7118103&amp;Result=3","7118103")</f>
        <v>0</v>
      </c>
      <c r="B13173" t="s">
        <v>892</v>
      </c>
      <c r="C13173" t="s">
        <v>16306</v>
      </c>
      <c r="D13173" t="s">
        <v>17978</v>
      </c>
      <c r="E13173" t="s">
        <v>29421</v>
      </c>
      <c r="F13173" t="s">
        <v>30900</v>
      </c>
      <c r="G13173" t="s">
        <v>30907</v>
      </c>
      <c r="H13173" t="s">
        <v>30916</v>
      </c>
      <c r="I13173" t="s">
        <v>4545</v>
      </c>
      <c r="J13173" t="s">
        <v>31048</v>
      </c>
      <c r="K13173" t="s">
        <v>40314</v>
      </c>
      <c r="M13173" t="s">
        <v>41466</v>
      </c>
      <c r="N13173" t="s">
        <v>44759</v>
      </c>
      <c r="O13173" t="s">
        <v>44760</v>
      </c>
      <c r="Q13173">
        <v>10</v>
      </c>
      <c r="R13173" t="s">
        <v>44779</v>
      </c>
      <c r="S13173" t="s">
        <v>45647</v>
      </c>
      <c r="T13173" t="s">
        <v>46421</v>
      </c>
      <c r="U13173" t="s">
        <v>57743</v>
      </c>
      <c r="W13173" t="s">
        <v>41466</v>
      </c>
      <c r="X13173" t="s">
        <v>44780</v>
      </c>
    </row>
    <row r="13174" spans="1:24">
      <c r="A13174">
        <f>HYPERLINK("https://www.philgeps.gov.ph/GEPSNONPILOT/Tender/SplashBidNoticeAbstractUI.aspx?menuIndex=3&amp;refID=7118637&amp;Result=3","7118637")</f>
        <v>0</v>
      </c>
      <c r="B13174" t="s">
        <v>3605</v>
      </c>
      <c r="C13174" t="s">
        <v>16307</v>
      </c>
      <c r="D13174" t="s">
        <v>17959</v>
      </c>
      <c r="E13174" t="s">
        <v>29422</v>
      </c>
      <c r="F13174" t="s">
        <v>30900</v>
      </c>
      <c r="G13174" t="s">
        <v>30907</v>
      </c>
      <c r="H13174" t="s">
        <v>30915</v>
      </c>
      <c r="I13174" t="s">
        <v>30919</v>
      </c>
      <c r="J13174" t="s">
        <v>39246</v>
      </c>
      <c r="K13174" t="s">
        <v>40406</v>
      </c>
      <c r="M13174" t="s">
        <v>44532</v>
      </c>
      <c r="N13174" t="s">
        <v>44759</v>
      </c>
      <c r="O13174" t="s">
        <v>44760</v>
      </c>
      <c r="Q13174">
        <v>22</v>
      </c>
      <c r="R13174" t="s">
        <v>44779</v>
      </c>
      <c r="S13174" t="s">
        <v>45672</v>
      </c>
      <c r="T13174" t="s">
        <v>46533</v>
      </c>
      <c r="U13174" t="s">
        <v>57744</v>
      </c>
      <c r="W13174" t="s">
        <v>44532</v>
      </c>
      <c r="X13174" t="s">
        <v>44780</v>
      </c>
    </row>
    <row r="13175" spans="1:24">
      <c r="A13175">
        <f>HYPERLINK("https://www.philgeps.gov.ph/GEPSNONPILOT/Tender/SplashBidNoticeAbstractUI.aspx?menuIndex=3&amp;refID=7118629&amp;Result=3","7118629")</f>
        <v>0</v>
      </c>
      <c r="B13175" t="s">
        <v>3606</v>
      </c>
      <c r="C13175" t="s">
        <v>16308</v>
      </c>
      <c r="D13175" t="s">
        <v>17995</v>
      </c>
      <c r="E13175" t="s">
        <v>29423</v>
      </c>
      <c r="F13175" t="s">
        <v>30900</v>
      </c>
      <c r="G13175" t="s">
        <v>30907</v>
      </c>
      <c r="H13175" t="s">
        <v>30915</v>
      </c>
      <c r="I13175" t="s">
        <v>30919</v>
      </c>
      <c r="J13175" t="s">
        <v>39247</v>
      </c>
      <c r="K13175" t="s">
        <v>40304</v>
      </c>
      <c r="M13175" t="s">
        <v>44533</v>
      </c>
      <c r="N13175" t="s">
        <v>44759</v>
      </c>
      <c r="O13175" t="s">
        <v>44760</v>
      </c>
      <c r="P13175">
        <v>0</v>
      </c>
      <c r="Q13175">
        <v>0</v>
      </c>
      <c r="R13175" t="s">
        <v>44779</v>
      </c>
      <c r="S13175" t="s">
        <v>45618</v>
      </c>
      <c r="T13175" t="s">
        <v>46548</v>
      </c>
      <c r="U13175" t="s">
        <v>57745</v>
      </c>
      <c r="W13175" t="s">
        <v>44533</v>
      </c>
      <c r="X13175" t="s">
        <v>44780</v>
      </c>
    </row>
    <row r="13176" spans="1:24">
      <c r="A13176">
        <f>HYPERLINK("https://www.philgeps.gov.ph/GEPSNONPILOT/Tender/SplashBidNoticeAbstractUI.aspx?menuIndex=3&amp;refID=7118023&amp;Result=3","7118023")</f>
        <v>0</v>
      </c>
      <c r="B13176" t="s">
        <v>2535</v>
      </c>
      <c r="C13176" t="s">
        <v>16309</v>
      </c>
      <c r="D13176" t="s">
        <v>17959</v>
      </c>
      <c r="E13176" t="s">
        <v>29424</v>
      </c>
      <c r="F13176" t="s">
        <v>30900</v>
      </c>
      <c r="G13176" t="s">
        <v>30910</v>
      </c>
      <c r="H13176" t="s">
        <v>30916</v>
      </c>
      <c r="I13176" t="s">
        <v>6953</v>
      </c>
      <c r="J13176" t="s">
        <v>39248</v>
      </c>
      <c r="K13176" t="s">
        <v>40284</v>
      </c>
      <c r="M13176" t="s">
        <v>44534</v>
      </c>
      <c r="N13176" t="s">
        <v>44759</v>
      </c>
      <c r="O13176" t="s">
        <v>44760</v>
      </c>
      <c r="Q13176">
        <v>3</v>
      </c>
      <c r="R13176" t="s">
        <v>44779</v>
      </c>
      <c r="S13176" t="s">
        <v>44927</v>
      </c>
      <c r="T13176" t="s">
        <v>46395</v>
      </c>
      <c r="U13176" t="s">
        <v>57746</v>
      </c>
      <c r="W13176" t="s">
        <v>44534</v>
      </c>
      <c r="X13176" t="s">
        <v>44780</v>
      </c>
    </row>
    <row r="13177" spans="1:24">
      <c r="A13177">
        <f>HYPERLINK("https://www.philgeps.gov.ph/GEPSNONPILOT/Tender/SplashBidNoticeAbstractUI.aspx?menuIndex=3&amp;refID=7118607&amp;Result=3","7118607")</f>
        <v>0</v>
      </c>
      <c r="B13177" t="s">
        <v>990</v>
      </c>
      <c r="C13177" t="s">
        <v>16310</v>
      </c>
      <c r="D13177" t="s">
        <v>17963</v>
      </c>
      <c r="E13177" t="s">
        <v>29425</v>
      </c>
      <c r="F13177" t="s">
        <v>30900</v>
      </c>
      <c r="G13177" t="s">
        <v>30907</v>
      </c>
      <c r="H13177" t="s">
        <v>30916</v>
      </c>
      <c r="I13177" t="s">
        <v>4545</v>
      </c>
      <c r="J13177" t="s">
        <v>31701</v>
      </c>
      <c r="K13177" t="s">
        <v>40288</v>
      </c>
      <c r="M13177" t="s">
        <v>41578</v>
      </c>
      <c r="N13177" t="s">
        <v>44759</v>
      </c>
      <c r="O13177" t="s">
        <v>44760</v>
      </c>
      <c r="Q13177">
        <v>7</v>
      </c>
      <c r="R13177" t="s">
        <v>44779</v>
      </c>
      <c r="S13177" t="s">
        <v>45673</v>
      </c>
      <c r="T13177" t="s">
        <v>46374</v>
      </c>
      <c r="U13177" t="s">
        <v>57747</v>
      </c>
      <c r="W13177" t="s">
        <v>41578</v>
      </c>
      <c r="X13177" t="s">
        <v>44780</v>
      </c>
    </row>
    <row r="13178" spans="1:24">
      <c r="A13178">
        <f>HYPERLINK("https://www.philgeps.gov.ph/GEPSNONPILOT/Tender/SplashBidNoticeAbstractUI.aspx?menuIndex=3&amp;refID=7118587&amp;Result=3","7118587")</f>
        <v>0</v>
      </c>
      <c r="B13178" t="s">
        <v>3607</v>
      </c>
      <c r="C13178" t="s">
        <v>16311</v>
      </c>
      <c r="D13178" t="s">
        <v>17978</v>
      </c>
      <c r="E13178" t="s">
        <v>29426</v>
      </c>
      <c r="F13178" t="s">
        <v>30900</v>
      </c>
      <c r="G13178" t="s">
        <v>30907</v>
      </c>
      <c r="H13178" t="s">
        <v>30915</v>
      </c>
      <c r="I13178" t="s">
        <v>30919</v>
      </c>
      <c r="J13178" t="s">
        <v>39249</v>
      </c>
      <c r="K13178" t="s">
        <v>40280</v>
      </c>
      <c r="M13178" t="s">
        <v>44535</v>
      </c>
      <c r="N13178" t="s">
        <v>44759</v>
      </c>
      <c r="O13178" t="s">
        <v>44760</v>
      </c>
      <c r="P13178">
        <v>0</v>
      </c>
      <c r="Q13178">
        <v>1</v>
      </c>
      <c r="R13178" t="s">
        <v>44779</v>
      </c>
      <c r="S13178" t="s">
        <v>45618</v>
      </c>
      <c r="T13178" t="s">
        <v>46404</v>
      </c>
      <c r="U13178" t="s">
        <v>57748</v>
      </c>
      <c r="W13178" t="s">
        <v>44535</v>
      </c>
      <c r="X13178" t="s">
        <v>44780</v>
      </c>
    </row>
    <row r="13179" spans="1:24">
      <c r="A13179">
        <f>HYPERLINK("https://www.philgeps.gov.ph/GEPSNONPILOT/Tender/SplashBidNoticeAbstractUI.aspx?menuIndex=3&amp;refID=7118580&amp;Result=3","7118580")</f>
        <v>0</v>
      </c>
      <c r="B13179" t="s">
        <v>3608</v>
      </c>
      <c r="C13179" t="s">
        <v>16312</v>
      </c>
      <c r="D13179" t="s">
        <v>18010</v>
      </c>
      <c r="E13179" t="s">
        <v>29427</v>
      </c>
      <c r="F13179" t="s">
        <v>30900</v>
      </c>
      <c r="G13179" t="s">
        <v>30907</v>
      </c>
      <c r="H13179" t="s">
        <v>30916</v>
      </c>
      <c r="I13179" t="s">
        <v>30933</v>
      </c>
      <c r="J13179" t="s">
        <v>35994</v>
      </c>
      <c r="K13179" t="s">
        <v>40286</v>
      </c>
      <c r="M13179" t="s">
        <v>44536</v>
      </c>
      <c r="N13179" t="s">
        <v>44759</v>
      </c>
      <c r="O13179" t="s">
        <v>44760</v>
      </c>
      <c r="P13179">
        <v>0</v>
      </c>
      <c r="Q13179">
        <v>2</v>
      </c>
      <c r="R13179" t="s">
        <v>44779</v>
      </c>
      <c r="S13179" t="s">
        <v>45618</v>
      </c>
      <c r="T13179" t="s">
        <v>46484</v>
      </c>
      <c r="U13179" t="s">
        <v>57749</v>
      </c>
      <c r="W13179" t="s">
        <v>44536</v>
      </c>
      <c r="X13179" t="s">
        <v>44780</v>
      </c>
    </row>
    <row r="13180" spans="1:24">
      <c r="A13180">
        <f>HYPERLINK("https://www.philgeps.gov.ph/GEPSNONPILOT/Tender/SplashBidNoticeAbstractUI.aspx?menuIndex=3&amp;refID=7118574&amp;Result=3","7118574")</f>
        <v>0</v>
      </c>
      <c r="B13180" t="s">
        <v>3605</v>
      </c>
      <c r="C13180" t="s">
        <v>16313</v>
      </c>
      <c r="D13180" t="s">
        <v>17959</v>
      </c>
      <c r="E13180" t="s">
        <v>29428</v>
      </c>
      <c r="F13180" t="s">
        <v>30900</v>
      </c>
      <c r="G13180" t="s">
        <v>30907</v>
      </c>
      <c r="H13180" t="s">
        <v>30915</v>
      </c>
      <c r="I13180" t="s">
        <v>30919</v>
      </c>
      <c r="J13180" t="s">
        <v>39250</v>
      </c>
      <c r="K13180" t="s">
        <v>40341</v>
      </c>
      <c r="M13180" t="s">
        <v>44532</v>
      </c>
      <c r="N13180" t="s">
        <v>44759</v>
      </c>
      <c r="O13180" t="s">
        <v>44760</v>
      </c>
      <c r="Q13180">
        <v>18</v>
      </c>
      <c r="R13180" t="s">
        <v>44779</v>
      </c>
      <c r="S13180" t="s">
        <v>45674</v>
      </c>
      <c r="T13180" t="s">
        <v>46533</v>
      </c>
      <c r="U13180" t="s">
        <v>57744</v>
      </c>
      <c r="W13180" t="s">
        <v>44532</v>
      </c>
      <c r="X13180" t="s">
        <v>44780</v>
      </c>
    </row>
    <row r="13181" spans="1:24">
      <c r="A13181">
        <f>HYPERLINK("https://www.philgeps.gov.ph/GEPSNONPILOT/Tender/SplashBidNoticeAbstractUI.aspx?menuIndex=3&amp;refID=7118236&amp;Result=3","7118236")</f>
        <v>0</v>
      </c>
      <c r="B13181" t="s">
        <v>629</v>
      </c>
      <c r="C13181" t="s">
        <v>16291</v>
      </c>
      <c r="D13181" t="s">
        <v>17992</v>
      </c>
      <c r="E13181" t="s">
        <v>29429</v>
      </c>
      <c r="F13181" t="s">
        <v>30900</v>
      </c>
      <c r="G13181" t="s">
        <v>30907</v>
      </c>
      <c r="H13181" t="s">
        <v>30916</v>
      </c>
      <c r="I13181" t="s">
        <v>30933</v>
      </c>
      <c r="J13181" t="s">
        <v>31070</v>
      </c>
      <c r="K13181" t="s">
        <v>40283</v>
      </c>
      <c r="M13181" t="s">
        <v>41485</v>
      </c>
      <c r="N13181" t="s">
        <v>44759</v>
      </c>
      <c r="O13181" t="s">
        <v>44760</v>
      </c>
      <c r="P13181">
        <v>0</v>
      </c>
      <c r="Q13181">
        <v>3</v>
      </c>
      <c r="R13181" t="s">
        <v>44779</v>
      </c>
      <c r="S13181" t="s">
        <v>45618</v>
      </c>
      <c r="T13181" t="s">
        <v>46613</v>
      </c>
      <c r="U13181" t="s">
        <v>57730</v>
      </c>
      <c r="W13181" t="s">
        <v>41485</v>
      </c>
      <c r="X13181" t="s">
        <v>44780</v>
      </c>
    </row>
    <row r="13182" spans="1:24">
      <c r="A13182">
        <f>HYPERLINK("https://www.philgeps.gov.ph/GEPSNONPILOT/Tender/SplashBidNoticeAbstractUI.aspx?menuIndex=3&amp;refID=7118628&amp;Result=3","7118628")</f>
        <v>0</v>
      </c>
      <c r="B13182" t="s">
        <v>3607</v>
      </c>
      <c r="C13182" t="s">
        <v>16314</v>
      </c>
      <c r="D13182" t="s">
        <v>17978</v>
      </c>
      <c r="E13182" t="s">
        <v>29430</v>
      </c>
      <c r="F13182" t="s">
        <v>30900</v>
      </c>
      <c r="G13182" t="s">
        <v>30907</v>
      </c>
      <c r="H13182" t="s">
        <v>30915</v>
      </c>
      <c r="I13182" t="s">
        <v>30919</v>
      </c>
      <c r="J13182" t="s">
        <v>34179</v>
      </c>
      <c r="K13182" t="s">
        <v>40286</v>
      </c>
      <c r="M13182" t="s">
        <v>44535</v>
      </c>
      <c r="N13182" t="s">
        <v>44759</v>
      </c>
      <c r="O13182" t="s">
        <v>44760</v>
      </c>
      <c r="P13182">
        <v>0</v>
      </c>
      <c r="Q13182">
        <v>0</v>
      </c>
      <c r="R13182" t="s">
        <v>44779</v>
      </c>
      <c r="S13182" t="s">
        <v>45618</v>
      </c>
      <c r="T13182" t="s">
        <v>46404</v>
      </c>
      <c r="U13182" t="s">
        <v>57750</v>
      </c>
      <c r="W13182" t="s">
        <v>44535</v>
      </c>
      <c r="X13182" t="s">
        <v>44780</v>
      </c>
    </row>
    <row r="13183" spans="1:24">
      <c r="A13183">
        <f>HYPERLINK("https://www.philgeps.gov.ph/GEPSNONPILOT/Tender/SplashBidNoticeAbstractUI.aspx?menuIndex=3&amp;refID=7118106&amp;Result=3","7118106")</f>
        <v>0</v>
      </c>
      <c r="B13183" t="s">
        <v>629</v>
      </c>
      <c r="C13183" t="s">
        <v>16315</v>
      </c>
      <c r="D13183" t="s">
        <v>17992</v>
      </c>
      <c r="E13183" t="s">
        <v>29431</v>
      </c>
      <c r="F13183" t="s">
        <v>30900</v>
      </c>
      <c r="G13183" t="s">
        <v>30907</v>
      </c>
      <c r="H13183" t="s">
        <v>30916</v>
      </c>
      <c r="I13183" t="s">
        <v>8123</v>
      </c>
      <c r="J13183" t="s">
        <v>39251</v>
      </c>
      <c r="K13183" t="s">
        <v>40283</v>
      </c>
      <c r="M13183" t="s">
        <v>41485</v>
      </c>
      <c r="N13183" t="s">
        <v>44759</v>
      </c>
      <c r="O13183" t="s">
        <v>44760</v>
      </c>
      <c r="P13183">
        <v>0</v>
      </c>
      <c r="Q13183">
        <v>1</v>
      </c>
      <c r="R13183" t="s">
        <v>44779</v>
      </c>
      <c r="S13183" t="s">
        <v>45618</v>
      </c>
      <c r="T13183" t="s">
        <v>46613</v>
      </c>
      <c r="U13183" t="s">
        <v>57751</v>
      </c>
      <c r="W13183" t="s">
        <v>41485</v>
      </c>
      <c r="X13183" t="s">
        <v>44780</v>
      </c>
    </row>
    <row r="13184" spans="1:24">
      <c r="A13184">
        <f>HYPERLINK("https://www.philgeps.gov.ph/GEPSNONPILOT/Tender/SplashBidNoticeAbstractUI.aspx?menuIndex=3&amp;refID=7118532&amp;Result=3","7118532")</f>
        <v>0</v>
      </c>
      <c r="B13184" t="s">
        <v>3184</v>
      </c>
      <c r="C13184" t="s">
        <v>16316</v>
      </c>
      <c r="D13184" t="s">
        <v>17980</v>
      </c>
      <c r="E13184" t="s">
        <v>29432</v>
      </c>
      <c r="F13184" t="s">
        <v>30900</v>
      </c>
      <c r="G13184" t="s">
        <v>30907</v>
      </c>
      <c r="H13184" t="s">
        <v>30916</v>
      </c>
      <c r="I13184" t="s">
        <v>30928</v>
      </c>
      <c r="J13184" t="s">
        <v>39252</v>
      </c>
      <c r="K13184" t="s">
        <v>40287</v>
      </c>
      <c r="M13184" t="s">
        <v>44015</v>
      </c>
      <c r="N13184" t="s">
        <v>44759</v>
      </c>
      <c r="O13184" t="s">
        <v>44760</v>
      </c>
      <c r="P13184">
        <v>0</v>
      </c>
      <c r="Q13184">
        <v>3</v>
      </c>
      <c r="R13184" t="s">
        <v>44779</v>
      </c>
      <c r="S13184" t="s">
        <v>45618</v>
      </c>
      <c r="T13184" t="s">
        <v>46459</v>
      </c>
      <c r="U13184" t="s">
        <v>57752</v>
      </c>
      <c r="W13184" t="s">
        <v>44015</v>
      </c>
      <c r="X13184" t="s">
        <v>44780</v>
      </c>
    </row>
    <row r="13185" spans="1:24">
      <c r="A13185">
        <f>HYPERLINK("https://www.philgeps.gov.ph/GEPSNONPILOT/Tender/SplashBidNoticeAbstractUI.aspx?menuIndex=3&amp;refID=7118531&amp;Result=3","7118531")</f>
        <v>0</v>
      </c>
      <c r="B13185" t="s">
        <v>3455</v>
      </c>
      <c r="C13185" t="s">
        <v>16317</v>
      </c>
      <c r="D13185" t="s">
        <v>17974</v>
      </c>
      <c r="E13185" t="s">
        <v>29433</v>
      </c>
      <c r="F13185" t="s">
        <v>30900</v>
      </c>
      <c r="G13185" t="s">
        <v>30907</v>
      </c>
      <c r="H13185" t="s">
        <v>30916</v>
      </c>
      <c r="I13185" t="s">
        <v>8123</v>
      </c>
      <c r="J13185" t="s">
        <v>39253</v>
      </c>
      <c r="K13185" t="s">
        <v>40283</v>
      </c>
      <c r="M13185" t="s">
        <v>44342</v>
      </c>
      <c r="N13185" t="s">
        <v>44759</v>
      </c>
      <c r="O13185" t="s">
        <v>44760</v>
      </c>
      <c r="P13185">
        <v>0</v>
      </c>
      <c r="Q13185">
        <v>0</v>
      </c>
      <c r="R13185" t="s">
        <v>44779</v>
      </c>
      <c r="S13185" t="s">
        <v>45618</v>
      </c>
      <c r="T13185" t="s">
        <v>46414</v>
      </c>
      <c r="U13185" t="s">
        <v>57753</v>
      </c>
      <c r="V13185" t="s">
        <v>59226</v>
      </c>
      <c r="W13185" t="s">
        <v>44342</v>
      </c>
      <c r="X13185" t="s">
        <v>44780</v>
      </c>
    </row>
    <row r="13186" spans="1:24">
      <c r="A13186">
        <f>HYPERLINK("https://www.philgeps.gov.ph/GEPSNONPILOT/Tender/SplashBidNoticeAbstractUI.aspx?menuIndex=3&amp;refID=7118967&amp;Result=3","7118967")</f>
        <v>0</v>
      </c>
      <c r="B13186" t="s">
        <v>3609</v>
      </c>
      <c r="C13186" t="s">
        <v>16318</v>
      </c>
      <c r="D13186" t="s">
        <v>17954</v>
      </c>
      <c r="E13186" t="s">
        <v>20657</v>
      </c>
      <c r="F13186" t="s">
        <v>30900</v>
      </c>
      <c r="G13186" t="s">
        <v>30907</v>
      </c>
      <c r="H13186" t="s">
        <v>30915</v>
      </c>
      <c r="I13186" t="s">
        <v>30919</v>
      </c>
      <c r="J13186" t="s">
        <v>39254</v>
      </c>
      <c r="K13186" t="s">
        <v>40384</v>
      </c>
      <c r="L13186" t="s">
        <v>3609</v>
      </c>
      <c r="M13186" t="s">
        <v>44537</v>
      </c>
      <c r="N13186" t="s">
        <v>44759</v>
      </c>
      <c r="O13186" t="s">
        <v>44760</v>
      </c>
      <c r="P13186">
        <v>0</v>
      </c>
      <c r="Q13186">
        <v>1</v>
      </c>
      <c r="R13186" t="s">
        <v>44779</v>
      </c>
      <c r="S13186" t="s">
        <v>45618</v>
      </c>
      <c r="T13186" t="s">
        <v>46623</v>
      </c>
      <c r="U13186" t="s">
        <v>57754</v>
      </c>
      <c r="W13186" t="s">
        <v>44537</v>
      </c>
      <c r="X13186" t="s">
        <v>44780</v>
      </c>
    </row>
    <row r="13187" spans="1:24">
      <c r="A13187">
        <f>HYPERLINK("https://www.philgeps.gov.ph/GEPSNONPILOT/Tender/SplashBidNoticeAbstractUI.aspx?menuIndex=3&amp;refID=7118680&amp;Result=3","7118680")</f>
        <v>0</v>
      </c>
      <c r="B13187" t="s">
        <v>3607</v>
      </c>
      <c r="C13187" t="s">
        <v>16319</v>
      </c>
      <c r="D13187" t="s">
        <v>17978</v>
      </c>
      <c r="E13187" t="s">
        <v>29434</v>
      </c>
      <c r="F13187" t="s">
        <v>30900</v>
      </c>
      <c r="G13187" t="s">
        <v>30907</v>
      </c>
      <c r="H13187" t="s">
        <v>30915</v>
      </c>
      <c r="I13187" t="s">
        <v>30919</v>
      </c>
      <c r="J13187" t="s">
        <v>39255</v>
      </c>
      <c r="K13187" t="s">
        <v>40280</v>
      </c>
      <c r="M13187" t="s">
        <v>44535</v>
      </c>
      <c r="N13187" t="s">
        <v>44759</v>
      </c>
      <c r="O13187" t="s">
        <v>44760</v>
      </c>
      <c r="P13187">
        <v>0</v>
      </c>
      <c r="Q13187">
        <v>1</v>
      </c>
      <c r="R13187" t="s">
        <v>44779</v>
      </c>
      <c r="S13187" t="s">
        <v>45618</v>
      </c>
      <c r="T13187" t="s">
        <v>46404</v>
      </c>
      <c r="U13187" t="s">
        <v>57755</v>
      </c>
      <c r="W13187" t="s">
        <v>44535</v>
      </c>
      <c r="X13187" t="s">
        <v>44780</v>
      </c>
    </row>
    <row r="13188" spans="1:24">
      <c r="A13188">
        <f>HYPERLINK("https://www.philgeps.gov.ph/GEPSNONPILOT/Tender/SplashBidNoticeAbstractUI.aspx?menuIndex=3&amp;refID=7118956&amp;Result=3","7118956")</f>
        <v>0</v>
      </c>
      <c r="B13188" t="s">
        <v>3609</v>
      </c>
      <c r="C13188" t="s">
        <v>16320</v>
      </c>
      <c r="D13188" t="s">
        <v>17954</v>
      </c>
      <c r="E13188" t="s">
        <v>18605</v>
      </c>
      <c r="F13188" t="s">
        <v>30900</v>
      </c>
      <c r="G13188" t="s">
        <v>30907</v>
      </c>
      <c r="H13188" t="s">
        <v>30915</v>
      </c>
      <c r="I13188" t="s">
        <v>30919</v>
      </c>
      <c r="J13188" t="s">
        <v>39256</v>
      </c>
      <c r="K13188" t="s">
        <v>40292</v>
      </c>
      <c r="L13188" t="s">
        <v>3609</v>
      </c>
      <c r="M13188" t="s">
        <v>44537</v>
      </c>
      <c r="N13188" t="s">
        <v>44759</v>
      </c>
      <c r="O13188" t="s">
        <v>44760</v>
      </c>
      <c r="P13188">
        <v>0</v>
      </c>
      <c r="Q13188">
        <v>1</v>
      </c>
      <c r="R13188" t="s">
        <v>44779</v>
      </c>
      <c r="S13188" t="s">
        <v>45618</v>
      </c>
      <c r="T13188" t="s">
        <v>46623</v>
      </c>
      <c r="U13188" t="s">
        <v>57756</v>
      </c>
      <c r="W13188" t="s">
        <v>44537</v>
      </c>
      <c r="X13188" t="s">
        <v>44780</v>
      </c>
    </row>
    <row r="13189" spans="1:24">
      <c r="A13189">
        <f>HYPERLINK("https://www.philgeps.gov.ph/GEPSNONPILOT/Tender/SplashBidNoticeAbstractUI.aspx?menuIndex=3&amp;refID=7118560&amp;Result=3","7118560")</f>
        <v>0</v>
      </c>
      <c r="B13189" t="s">
        <v>1937</v>
      </c>
      <c r="C13189" t="s">
        <v>16321</v>
      </c>
      <c r="D13189" t="s">
        <v>17961</v>
      </c>
      <c r="E13189" t="s">
        <v>29435</v>
      </c>
      <c r="F13189" t="s">
        <v>30900</v>
      </c>
      <c r="G13189" t="s">
        <v>30907</v>
      </c>
      <c r="H13189" t="s">
        <v>30916</v>
      </c>
      <c r="I13189" t="s">
        <v>30924</v>
      </c>
      <c r="J13189" t="s">
        <v>39257</v>
      </c>
      <c r="K13189" t="s">
        <v>40286</v>
      </c>
      <c r="M13189" t="s">
        <v>44023</v>
      </c>
      <c r="N13189" t="s">
        <v>44759</v>
      </c>
      <c r="O13189" t="s">
        <v>44760</v>
      </c>
      <c r="Q13189">
        <v>12</v>
      </c>
      <c r="R13189" t="s">
        <v>44779</v>
      </c>
      <c r="S13189" t="s">
        <v>45675</v>
      </c>
      <c r="T13189" t="s">
        <v>46409</v>
      </c>
      <c r="U13189" t="s">
        <v>55597</v>
      </c>
      <c r="W13189" t="s">
        <v>44023</v>
      </c>
      <c r="X13189" t="s">
        <v>44780</v>
      </c>
    </row>
    <row r="13190" spans="1:24">
      <c r="A13190">
        <f>HYPERLINK("https://www.philgeps.gov.ph/GEPSNONPILOT/Tender/SplashBidNoticeAbstractUI.aspx?menuIndex=3&amp;refID=7118648&amp;Result=3","7118648")</f>
        <v>0</v>
      </c>
      <c r="B13190" t="s">
        <v>3607</v>
      </c>
      <c r="C13190" t="s">
        <v>8326</v>
      </c>
      <c r="E13190" t="s">
        <v>29436</v>
      </c>
      <c r="F13190" t="s">
        <v>30900</v>
      </c>
      <c r="G13190" t="s">
        <v>30907</v>
      </c>
      <c r="H13190" t="s">
        <v>30916</v>
      </c>
      <c r="I13190" t="s">
        <v>8123</v>
      </c>
      <c r="J13190" t="s">
        <v>39258</v>
      </c>
      <c r="K13190" t="s">
        <v>40286</v>
      </c>
      <c r="M13190" t="s">
        <v>44535</v>
      </c>
      <c r="N13190" t="s">
        <v>44759</v>
      </c>
      <c r="O13190" t="s">
        <v>44760</v>
      </c>
      <c r="P13190">
        <v>0</v>
      </c>
      <c r="Q13190">
        <v>0</v>
      </c>
      <c r="R13190" t="s">
        <v>44779</v>
      </c>
      <c r="S13190" t="s">
        <v>45618</v>
      </c>
      <c r="T13190" t="s">
        <v>46404</v>
      </c>
      <c r="U13190" t="s">
        <v>50679</v>
      </c>
      <c r="W13190" t="s">
        <v>44535</v>
      </c>
      <c r="X13190" t="s">
        <v>44780</v>
      </c>
    </row>
    <row r="13191" spans="1:24">
      <c r="A13191">
        <f>HYPERLINK("https://www.philgeps.gov.ph/GEPSNONPILOT/Tender/SplashBidNoticeAbstractUI.aspx?menuIndex=3&amp;refID=7118927&amp;Result=3","7118927")</f>
        <v>0</v>
      </c>
      <c r="B13191" t="s">
        <v>2164</v>
      </c>
      <c r="C13191" t="s">
        <v>16322</v>
      </c>
      <c r="D13191" t="s">
        <v>17974</v>
      </c>
      <c r="E13191" t="s">
        <v>29437</v>
      </c>
      <c r="F13191" t="s">
        <v>30900</v>
      </c>
      <c r="G13191" t="s">
        <v>30907</v>
      </c>
      <c r="H13191" t="s">
        <v>30916</v>
      </c>
      <c r="I13191" t="s">
        <v>30949</v>
      </c>
      <c r="J13191" t="s">
        <v>33171</v>
      </c>
      <c r="K13191" t="s">
        <v>40286</v>
      </c>
      <c r="M13191" t="s">
        <v>42869</v>
      </c>
      <c r="N13191" t="s">
        <v>44759</v>
      </c>
      <c r="O13191" t="s">
        <v>44760</v>
      </c>
      <c r="Q13191">
        <v>2</v>
      </c>
      <c r="R13191" t="s">
        <v>44779</v>
      </c>
      <c r="S13191" t="s">
        <v>45676</v>
      </c>
      <c r="T13191" t="s">
        <v>46425</v>
      </c>
      <c r="U13191" t="s">
        <v>57757</v>
      </c>
      <c r="W13191" t="s">
        <v>42869</v>
      </c>
      <c r="X13191" t="s">
        <v>44780</v>
      </c>
    </row>
    <row r="13192" spans="1:24">
      <c r="A13192">
        <f>HYPERLINK("https://www.philgeps.gov.ph/GEPSNONPILOT/Tender/SplashBidNoticeAbstractUI.aspx?menuIndex=3&amp;refID=7118919&amp;Result=3","7118919")</f>
        <v>0</v>
      </c>
      <c r="B13192" t="s">
        <v>1271</v>
      </c>
      <c r="C13192" t="s">
        <v>16323</v>
      </c>
      <c r="E13192" t="s">
        <v>29438</v>
      </c>
      <c r="F13192" t="s">
        <v>30900</v>
      </c>
      <c r="G13192" t="s">
        <v>30907</v>
      </c>
      <c r="H13192" t="s">
        <v>30916</v>
      </c>
      <c r="I13192" t="s">
        <v>4545</v>
      </c>
      <c r="J13192" t="s">
        <v>37708</v>
      </c>
      <c r="K13192" t="s">
        <v>40289</v>
      </c>
      <c r="M13192" t="s">
        <v>41887</v>
      </c>
      <c r="N13192" t="s">
        <v>44759</v>
      </c>
      <c r="O13192" t="s">
        <v>44760</v>
      </c>
      <c r="P13192">
        <v>0</v>
      </c>
      <c r="Q13192">
        <v>8</v>
      </c>
      <c r="R13192" t="s">
        <v>44779</v>
      </c>
      <c r="S13192" t="s">
        <v>45618</v>
      </c>
      <c r="T13192" t="s">
        <v>46909</v>
      </c>
      <c r="U13192" t="s">
        <v>57758</v>
      </c>
      <c r="W13192" t="s">
        <v>41887</v>
      </c>
      <c r="X13192" t="s">
        <v>44780</v>
      </c>
    </row>
    <row r="13193" spans="1:24">
      <c r="A13193">
        <f>HYPERLINK("https://www.philgeps.gov.ph/GEPSNONPILOT/Tender/SplashBidNoticeAbstractUI.aspx?menuIndex=3&amp;refID=7118845&amp;Result=3","7118845")</f>
        <v>0</v>
      </c>
      <c r="B13193" t="s">
        <v>3610</v>
      </c>
      <c r="C13193" t="s">
        <v>16324</v>
      </c>
      <c r="D13193" t="s">
        <v>17994</v>
      </c>
      <c r="E13193" t="s">
        <v>29439</v>
      </c>
      <c r="F13193" t="s">
        <v>30900</v>
      </c>
      <c r="G13193" t="s">
        <v>30907</v>
      </c>
      <c r="H13193" t="s">
        <v>30916</v>
      </c>
      <c r="I13193" t="s">
        <v>4965</v>
      </c>
      <c r="J13193" t="s">
        <v>39259</v>
      </c>
      <c r="K13193" t="s">
        <v>40292</v>
      </c>
      <c r="M13193" t="s">
        <v>44538</v>
      </c>
      <c r="N13193" t="s">
        <v>44759</v>
      </c>
      <c r="O13193" t="s">
        <v>44760</v>
      </c>
      <c r="P13193">
        <v>0</v>
      </c>
      <c r="Q13193">
        <v>1</v>
      </c>
      <c r="R13193" t="s">
        <v>44779</v>
      </c>
      <c r="S13193" t="s">
        <v>45618</v>
      </c>
      <c r="T13193" t="s">
        <v>46409</v>
      </c>
      <c r="U13193" t="s">
        <v>57759</v>
      </c>
      <c r="V13193" t="s">
        <v>60610</v>
      </c>
      <c r="W13193" t="s">
        <v>60938</v>
      </c>
      <c r="X13193" t="s">
        <v>44780</v>
      </c>
    </row>
    <row r="13194" spans="1:24">
      <c r="A13194">
        <f>HYPERLINK("https://www.philgeps.gov.ph/GEPSNONPILOT/Tender/SplashBidNoticeAbstractUI.aspx?menuIndex=3&amp;refID=7118828&amp;Result=3","7118828")</f>
        <v>0</v>
      </c>
      <c r="B13194" t="s">
        <v>1574</v>
      </c>
      <c r="C13194" t="s">
        <v>16325</v>
      </c>
      <c r="D13194" t="s">
        <v>18019</v>
      </c>
      <c r="E13194" t="s">
        <v>29440</v>
      </c>
      <c r="F13194" t="s">
        <v>30900</v>
      </c>
      <c r="G13194" t="s">
        <v>30907</v>
      </c>
      <c r="H13194" t="s">
        <v>30915</v>
      </c>
      <c r="I13194" t="s">
        <v>30919</v>
      </c>
      <c r="J13194" t="s">
        <v>39260</v>
      </c>
      <c r="K13194" t="s">
        <v>40342</v>
      </c>
      <c r="M13194" t="s">
        <v>42222</v>
      </c>
      <c r="N13194" t="s">
        <v>44759</v>
      </c>
      <c r="O13194" t="s">
        <v>44760</v>
      </c>
      <c r="P13194">
        <v>0</v>
      </c>
      <c r="Q13194">
        <v>0</v>
      </c>
      <c r="R13194" t="s">
        <v>44779</v>
      </c>
      <c r="S13194" t="s">
        <v>45618</v>
      </c>
      <c r="T13194" t="s">
        <v>46484</v>
      </c>
      <c r="U13194" t="s">
        <v>52603</v>
      </c>
      <c r="W13194" t="s">
        <v>42222</v>
      </c>
      <c r="X13194" t="s">
        <v>44780</v>
      </c>
    </row>
    <row r="13195" spans="1:24">
      <c r="A13195">
        <f>HYPERLINK("https://www.philgeps.gov.ph/GEPSNONPILOT/Tender/SplashBidNoticeAbstractUI.aspx?menuIndex=3&amp;refID=7118894&amp;Result=3","7118894")</f>
        <v>0</v>
      </c>
      <c r="B13195" t="s">
        <v>3611</v>
      </c>
      <c r="C13195" t="s">
        <v>16326</v>
      </c>
      <c r="D13195" t="s">
        <v>17953</v>
      </c>
      <c r="E13195" t="s">
        <v>29441</v>
      </c>
      <c r="F13195" t="s">
        <v>30900</v>
      </c>
      <c r="G13195" t="s">
        <v>30907</v>
      </c>
      <c r="H13195" t="s">
        <v>30916</v>
      </c>
      <c r="I13195" t="s">
        <v>30933</v>
      </c>
      <c r="J13195" t="s">
        <v>31341</v>
      </c>
      <c r="K13195" t="s">
        <v>40287</v>
      </c>
      <c r="M13195" t="s">
        <v>44539</v>
      </c>
      <c r="N13195" t="s">
        <v>44759</v>
      </c>
      <c r="O13195" t="s">
        <v>44760</v>
      </c>
      <c r="P13195">
        <v>0</v>
      </c>
      <c r="Q13195">
        <v>1</v>
      </c>
      <c r="R13195" t="s">
        <v>44779</v>
      </c>
      <c r="S13195" t="s">
        <v>45618</v>
      </c>
      <c r="T13195" t="s">
        <v>46412</v>
      </c>
      <c r="U13195" t="s">
        <v>57760</v>
      </c>
      <c r="W13195" t="s">
        <v>44539</v>
      </c>
      <c r="X13195" t="s">
        <v>44780</v>
      </c>
    </row>
    <row r="13196" spans="1:24">
      <c r="A13196">
        <f>HYPERLINK("https://www.philgeps.gov.ph/GEPSNONPILOT/Tender/SplashBidNoticeAbstractUI.aspx?menuIndex=3&amp;refID=7118912&amp;Result=3","7118912")</f>
        <v>0</v>
      </c>
      <c r="B13196" t="s">
        <v>2292</v>
      </c>
      <c r="C13196" t="s">
        <v>16327</v>
      </c>
      <c r="D13196" t="s">
        <v>17992</v>
      </c>
      <c r="E13196" t="s">
        <v>20231</v>
      </c>
      <c r="F13196" t="s">
        <v>30900</v>
      </c>
      <c r="G13196" t="s">
        <v>30907</v>
      </c>
      <c r="H13196" t="s">
        <v>30916</v>
      </c>
      <c r="I13196" t="s">
        <v>30931</v>
      </c>
      <c r="J13196" t="s">
        <v>32049</v>
      </c>
      <c r="K13196" t="s">
        <v>40283</v>
      </c>
      <c r="M13196" t="s">
        <v>43007</v>
      </c>
      <c r="N13196" t="s">
        <v>44759</v>
      </c>
      <c r="O13196" t="s">
        <v>44760</v>
      </c>
      <c r="Q13196">
        <v>8</v>
      </c>
      <c r="R13196" t="s">
        <v>44779</v>
      </c>
      <c r="S13196" t="s">
        <v>45677</v>
      </c>
      <c r="T13196" t="s">
        <v>46658</v>
      </c>
      <c r="U13196" t="s">
        <v>57761</v>
      </c>
      <c r="V13196" t="s">
        <v>60611</v>
      </c>
      <c r="W13196" t="s">
        <v>43007</v>
      </c>
      <c r="X13196" t="s">
        <v>44780</v>
      </c>
    </row>
    <row r="13197" spans="1:24">
      <c r="A13197">
        <f>HYPERLINK("https://www.philgeps.gov.ph/GEPSNONPILOT/Tender/SplashBidNoticeAbstractUI.aspx?menuIndex=3&amp;refID=7118813&amp;Result=3","7118813")</f>
        <v>0</v>
      </c>
      <c r="B13197" t="s">
        <v>2082</v>
      </c>
      <c r="C13197" t="s">
        <v>16328</v>
      </c>
      <c r="D13197" t="s">
        <v>18009</v>
      </c>
      <c r="E13197" t="s">
        <v>29442</v>
      </c>
      <c r="F13197" t="s">
        <v>30900</v>
      </c>
      <c r="G13197" t="s">
        <v>30907</v>
      </c>
      <c r="H13197" t="s">
        <v>30915</v>
      </c>
      <c r="I13197" t="s">
        <v>30919</v>
      </c>
      <c r="J13197" t="s">
        <v>39261</v>
      </c>
      <c r="K13197" t="s">
        <v>40280</v>
      </c>
      <c r="M13197" t="s">
        <v>42781</v>
      </c>
      <c r="N13197" t="s">
        <v>44759</v>
      </c>
      <c r="O13197" t="s">
        <v>44760</v>
      </c>
      <c r="P13197">
        <v>0</v>
      </c>
      <c r="Q13197">
        <v>5</v>
      </c>
      <c r="R13197" t="s">
        <v>44779</v>
      </c>
      <c r="S13197" t="s">
        <v>45618</v>
      </c>
      <c r="T13197" t="s">
        <v>46421</v>
      </c>
      <c r="U13197" t="s">
        <v>57762</v>
      </c>
      <c r="W13197" t="s">
        <v>42781</v>
      </c>
      <c r="X13197" t="s">
        <v>44780</v>
      </c>
    </row>
    <row r="13198" spans="1:24">
      <c r="A13198">
        <f>HYPERLINK("https://www.philgeps.gov.ph/GEPSNONPILOT/Tender/SplashBidNoticeAbstractUI.aspx?menuIndex=3&amp;refID=7118940&amp;Result=3","7118940")</f>
        <v>0</v>
      </c>
      <c r="B13198" t="s">
        <v>2292</v>
      </c>
      <c r="C13198" t="s">
        <v>16329</v>
      </c>
      <c r="D13198" t="s">
        <v>17992</v>
      </c>
      <c r="E13198" t="s">
        <v>20229</v>
      </c>
      <c r="F13198" t="s">
        <v>30900</v>
      </c>
      <c r="G13198" t="s">
        <v>30907</v>
      </c>
      <c r="H13198" t="s">
        <v>30916</v>
      </c>
      <c r="I13198" t="s">
        <v>8123</v>
      </c>
      <c r="J13198" t="s">
        <v>39262</v>
      </c>
      <c r="K13198" t="s">
        <v>40284</v>
      </c>
      <c r="M13198" t="s">
        <v>43007</v>
      </c>
      <c r="N13198" t="s">
        <v>44759</v>
      </c>
      <c r="O13198" t="s">
        <v>44760</v>
      </c>
      <c r="P13198">
        <v>0</v>
      </c>
      <c r="Q13198">
        <v>0</v>
      </c>
      <c r="R13198" t="s">
        <v>44779</v>
      </c>
      <c r="S13198" t="s">
        <v>45618</v>
      </c>
      <c r="T13198" t="s">
        <v>46658</v>
      </c>
      <c r="U13198" t="s">
        <v>57763</v>
      </c>
      <c r="W13198" t="s">
        <v>43007</v>
      </c>
      <c r="X13198" t="s">
        <v>44780</v>
      </c>
    </row>
    <row r="13199" spans="1:24">
      <c r="A13199">
        <f>HYPERLINK("https://www.philgeps.gov.ph/GEPSNONPILOT/Tender/SplashBidNoticeAbstractUI.aspx?menuIndex=3&amp;refID=7118810&amp;Result=3","7118810")</f>
        <v>0</v>
      </c>
      <c r="B13199" t="s">
        <v>3607</v>
      </c>
      <c r="C13199" t="s">
        <v>16330</v>
      </c>
      <c r="D13199" t="s">
        <v>17978</v>
      </c>
      <c r="E13199" t="s">
        <v>29443</v>
      </c>
      <c r="F13199" t="s">
        <v>30900</v>
      </c>
      <c r="G13199" t="s">
        <v>30907</v>
      </c>
      <c r="H13199" t="s">
        <v>30915</v>
      </c>
      <c r="I13199" t="s">
        <v>30919</v>
      </c>
      <c r="J13199" t="s">
        <v>34179</v>
      </c>
      <c r="K13199" t="s">
        <v>40286</v>
      </c>
      <c r="M13199" t="s">
        <v>44535</v>
      </c>
      <c r="N13199" t="s">
        <v>44759</v>
      </c>
      <c r="O13199" t="s">
        <v>44760</v>
      </c>
      <c r="P13199">
        <v>0</v>
      </c>
      <c r="Q13199">
        <v>0</v>
      </c>
      <c r="R13199" t="s">
        <v>44779</v>
      </c>
      <c r="S13199" t="s">
        <v>45618</v>
      </c>
      <c r="T13199" t="s">
        <v>46404</v>
      </c>
      <c r="U13199" t="s">
        <v>57764</v>
      </c>
      <c r="W13199" t="s">
        <v>44535</v>
      </c>
      <c r="X13199" t="s">
        <v>44780</v>
      </c>
    </row>
    <row r="13200" spans="1:24">
      <c r="A13200">
        <f>HYPERLINK("https://www.philgeps.gov.ph/GEPSNONPILOT/Tender/SplashBidNoticeAbstractUI.aspx?menuIndex=3&amp;refID=7118773&amp;Result=3","7118773")</f>
        <v>0</v>
      </c>
      <c r="B13200" t="s">
        <v>3605</v>
      </c>
      <c r="C13200" t="s">
        <v>16331</v>
      </c>
      <c r="D13200" t="s">
        <v>17959</v>
      </c>
      <c r="E13200" t="s">
        <v>29444</v>
      </c>
      <c r="F13200" t="s">
        <v>30900</v>
      </c>
      <c r="G13200" t="s">
        <v>30907</v>
      </c>
      <c r="H13200" t="s">
        <v>30915</v>
      </c>
      <c r="I13200" t="s">
        <v>30919</v>
      </c>
      <c r="J13200" t="s">
        <v>39263</v>
      </c>
      <c r="K13200" t="s">
        <v>40395</v>
      </c>
      <c r="M13200" t="s">
        <v>44532</v>
      </c>
      <c r="N13200" t="s">
        <v>44759</v>
      </c>
      <c r="O13200" t="s">
        <v>44760</v>
      </c>
      <c r="Q13200">
        <v>12</v>
      </c>
      <c r="R13200" t="s">
        <v>44779</v>
      </c>
      <c r="S13200" t="s">
        <v>45678</v>
      </c>
      <c r="T13200" t="s">
        <v>46533</v>
      </c>
      <c r="U13200" t="s">
        <v>57744</v>
      </c>
      <c r="W13200" t="s">
        <v>44532</v>
      </c>
      <c r="X13200" t="s">
        <v>44780</v>
      </c>
    </row>
    <row r="13201" spans="1:24">
      <c r="A13201">
        <f>HYPERLINK("https://www.philgeps.gov.ph/GEPSNONPILOT/Tender/SplashBidNoticeAbstractUI.aspx?menuIndex=3&amp;refID=7118735&amp;Result=3","7118735")</f>
        <v>0</v>
      </c>
      <c r="B13201" t="s">
        <v>1327</v>
      </c>
      <c r="C13201" t="s">
        <v>16332</v>
      </c>
      <c r="D13201" t="s">
        <v>17971</v>
      </c>
      <c r="E13201" t="s">
        <v>19755</v>
      </c>
      <c r="F13201" t="s">
        <v>30904</v>
      </c>
      <c r="G13201" t="s">
        <v>30907</v>
      </c>
      <c r="H13201" t="s">
        <v>30916</v>
      </c>
      <c r="I13201" t="s">
        <v>30933</v>
      </c>
      <c r="J13201" t="s">
        <v>32324</v>
      </c>
      <c r="K13201" t="s">
        <v>40286</v>
      </c>
      <c r="M13201" t="s">
        <v>41946</v>
      </c>
      <c r="N13201" t="s">
        <v>44759</v>
      </c>
      <c r="O13201" t="s">
        <v>44760</v>
      </c>
      <c r="P13201">
        <v>0</v>
      </c>
      <c r="Q13201">
        <v>7</v>
      </c>
      <c r="R13201" t="s">
        <v>44779</v>
      </c>
      <c r="S13201" t="s">
        <v>45618</v>
      </c>
      <c r="T13201" t="s">
        <v>46390</v>
      </c>
      <c r="U13201" t="s">
        <v>57765</v>
      </c>
      <c r="V13201" t="s">
        <v>60612</v>
      </c>
      <c r="W13201" t="s">
        <v>41946</v>
      </c>
      <c r="X13201" t="s">
        <v>44780</v>
      </c>
    </row>
    <row r="13202" spans="1:24">
      <c r="A13202">
        <f>HYPERLINK("https://www.philgeps.gov.ph/GEPSNONPILOT/Tender/SplashBidNoticeAbstractUI.aspx?menuIndex=3&amp;refID=7118820&amp;Result=3","7118820")</f>
        <v>0</v>
      </c>
      <c r="B13202" t="s">
        <v>3607</v>
      </c>
      <c r="C13202" t="s">
        <v>16333</v>
      </c>
      <c r="D13202" t="s">
        <v>17978</v>
      </c>
      <c r="E13202" t="s">
        <v>29445</v>
      </c>
      <c r="F13202" t="s">
        <v>30900</v>
      </c>
      <c r="G13202" t="s">
        <v>30907</v>
      </c>
      <c r="H13202" t="s">
        <v>30915</v>
      </c>
      <c r="I13202" t="s">
        <v>30919</v>
      </c>
      <c r="J13202" t="s">
        <v>34179</v>
      </c>
      <c r="K13202" t="s">
        <v>40286</v>
      </c>
      <c r="M13202" t="s">
        <v>44535</v>
      </c>
      <c r="N13202" t="s">
        <v>44759</v>
      </c>
      <c r="O13202" t="s">
        <v>44760</v>
      </c>
      <c r="P13202">
        <v>0</v>
      </c>
      <c r="Q13202">
        <v>0</v>
      </c>
      <c r="R13202" t="s">
        <v>44779</v>
      </c>
      <c r="S13202" t="s">
        <v>45618</v>
      </c>
      <c r="T13202" t="s">
        <v>46404</v>
      </c>
      <c r="U13202" t="s">
        <v>57766</v>
      </c>
      <c r="W13202" t="s">
        <v>44535</v>
      </c>
      <c r="X13202" t="s">
        <v>44780</v>
      </c>
    </row>
    <row r="13203" spans="1:24">
      <c r="A13203">
        <f>HYPERLINK("https://www.philgeps.gov.ph/GEPSNONPILOT/Tender/SplashBidNoticeAbstractUI.aspx?menuIndex=3&amp;refID=7119167&amp;Result=3","7119167")</f>
        <v>0</v>
      </c>
      <c r="B13203" t="s">
        <v>1865</v>
      </c>
      <c r="C13203" t="s">
        <v>16334</v>
      </c>
      <c r="D13203" t="s">
        <v>17952</v>
      </c>
      <c r="E13203" t="s">
        <v>29446</v>
      </c>
      <c r="F13203" t="s">
        <v>30900</v>
      </c>
      <c r="G13203" t="s">
        <v>30907</v>
      </c>
      <c r="H13203" t="s">
        <v>30916</v>
      </c>
      <c r="I13203" t="s">
        <v>30933</v>
      </c>
      <c r="J13203" t="s">
        <v>39264</v>
      </c>
      <c r="K13203" t="s">
        <v>40286</v>
      </c>
      <c r="M13203" t="s">
        <v>42539</v>
      </c>
      <c r="N13203" t="s">
        <v>44759</v>
      </c>
      <c r="O13203" t="s">
        <v>44760</v>
      </c>
      <c r="P13203">
        <v>0</v>
      </c>
      <c r="Q13203">
        <v>2</v>
      </c>
      <c r="R13203" t="s">
        <v>44779</v>
      </c>
      <c r="S13203" t="s">
        <v>45618</v>
      </c>
      <c r="T13203" t="s">
        <v>46357</v>
      </c>
      <c r="U13203" t="s">
        <v>57767</v>
      </c>
      <c r="V13203" t="s">
        <v>59646</v>
      </c>
      <c r="W13203" t="s">
        <v>42539</v>
      </c>
      <c r="X13203" t="s">
        <v>44780</v>
      </c>
    </row>
    <row r="13204" spans="1:24">
      <c r="A13204">
        <f>HYPERLINK("https://www.philgeps.gov.ph/GEPSNONPILOT/Tender/SplashBidNoticeAbstractUI.aspx?menuIndex=3&amp;refID=7119146&amp;Result=3","7119146")</f>
        <v>0</v>
      </c>
      <c r="B13204" t="s">
        <v>3331</v>
      </c>
      <c r="C13204" t="s">
        <v>16335</v>
      </c>
      <c r="D13204" t="s">
        <v>17999</v>
      </c>
      <c r="E13204" t="s">
        <v>29447</v>
      </c>
      <c r="F13204" t="s">
        <v>30900</v>
      </c>
      <c r="G13204" t="s">
        <v>30906</v>
      </c>
      <c r="H13204" t="s">
        <v>30915</v>
      </c>
      <c r="I13204" t="s">
        <v>30919</v>
      </c>
      <c r="J13204" t="s">
        <v>39265</v>
      </c>
      <c r="K13204" t="s">
        <v>40369</v>
      </c>
      <c r="M13204" t="s">
        <v>44191</v>
      </c>
      <c r="N13204" t="s">
        <v>44759</v>
      </c>
      <c r="O13204" t="s">
        <v>44760</v>
      </c>
      <c r="P13204">
        <v>0</v>
      </c>
      <c r="Q13204">
        <v>2</v>
      </c>
      <c r="R13204" t="s">
        <v>44779</v>
      </c>
      <c r="S13204" t="s">
        <v>45618</v>
      </c>
      <c r="T13204" t="s">
        <v>46923</v>
      </c>
      <c r="U13204" t="s">
        <v>57768</v>
      </c>
      <c r="V13204" t="s">
        <v>60613</v>
      </c>
      <c r="W13204" t="s">
        <v>44191</v>
      </c>
      <c r="X13204" t="s">
        <v>44780</v>
      </c>
    </row>
    <row r="13205" spans="1:24">
      <c r="A13205">
        <f>HYPERLINK("https://www.philgeps.gov.ph/GEPSNONPILOT/Tender/SplashBidNoticeAbstractUI.aspx?menuIndex=3&amp;refID=7119142&amp;Result=3","7119142")</f>
        <v>0</v>
      </c>
      <c r="B13205" t="s">
        <v>981</v>
      </c>
      <c r="C13205" t="s">
        <v>16336</v>
      </c>
      <c r="D13205" t="s">
        <v>17993</v>
      </c>
      <c r="E13205" t="s">
        <v>29448</v>
      </c>
      <c r="F13205" t="s">
        <v>30900</v>
      </c>
      <c r="G13205" t="s">
        <v>30907</v>
      </c>
      <c r="H13205" t="s">
        <v>30915</v>
      </c>
      <c r="I13205" t="s">
        <v>30919</v>
      </c>
      <c r="J13205" t="s">
        <v>39266</v>
      </c>
      <c r="K13205" t="s">
        <v>40312</v>
      </c>
      <c r="M13205" t="s">
        <v>44177</v>
      </c>
      <c r="N13205" t="s">
        <v>44759</v>
      </c>
      <c r="O13205" t="s">
        <v>44760</v>
      </c>
      <c r="P13205">
        <v>0</v>
      </c>
      <c r="Q13205">
        <v>7</v>
      </c>
      <c r="R13205" t="s">
        <v>44779</v>
      </c>
      <c r="S13205" t="s">
        <v>45618</v>
      </c>
      <c r="T13205" t="s">
        <v>46351</v>
      </c>
      <c r="U13205" t="s">
        <v>57769</v>
      </c>
      <c r="W13205" t="s">
        <v>44177</v>
      </c>
      <c r="X13205" t="s">
        <v>44780</v>
      </c>
    </row>
    <row r="13206" spans="1:24">
      <c r="A13206">
        <f>HYPERLINK("https://www.philgeps.gov.ph/GEPSNONPILOT/Tender/SplashBidNoticeAbstractUI.aspx?menuIndex=3&amp;refID=7119101&amp;Result=3","7119101")</f>
        <v>0</v>
      </c>
      <c r="B13206" t="s">
        <v>3254</v>
      </c>
      <c r="C13206" t="s">
        <v>16337</v>
      </c>
      <c r="D13206" t="s">
        <v>17963</v>
      </c>
      <c r="E13206" t="s">
        <v>29449</v>
      </c>
      <c r="F13206" t="s">
        <v>30900</v>
      </c>
      <c r="G13206" t="s">
        <v>30908</v>
      </c>
      <c r="H13206" t="s">
        <v>30916</v>
      </c>
      <c r="I13206" t="s">
        <v>8123</v>
      </c>
      <c r="J13206" t="s">
        <v>39267</v>
      </c>
      <c r="K13206" t="s">
        <v>40284</v>
      </c>
      <c r="L13206" t="s">
        <v>3254</v>
      </c>
      <c r="M13206" t="s">
        <v>44099</v>
      </c>
      <c r="N13206" t="s">
        <v>44759</v>
      </c>
      <c r="O13206" t="s">
        <v>44760</v>
      </c>
      <c r="P13206">
        <v>0</v>
      </c>
      <c r="Q13206">
        <v>10</v>
      </c>
      <c r="R13206" t="s">
        <v>44779</v>
      </c>
      <c r="S13206" t="s">
        <v>45618</v>
      </c>
      <c r="T13206" t="s">
        <v>46533</v>
      </c>
      <c r="U13206" t="s">
        <v>57770</v>
      </c>
      <c r="W13206" t="s">
        <v>44099</v>
      </c>
      <c r="X13206" t="s">
        <v>44780</v>
      </c>
    </row>
    <row r="13207" spans="1:24">
      <c r="A13207">
        <f>HYPERLINK("https://www.philgeps.gov.ph/GEPSNONPILOT/Tender/SplashBidNoticeAbstractUI.aspx?menuIndex=3&amp;refID=7118953&amp;Result=3","7118953")</f>
        <v>0</v>
      </c>
      <c r="B13207" t="s">
        <v>2292</v>
      </c>
      <c r="C13207" t="s">
        <v>16338</v>
      </c>
      <c r="D13207" t="s">
        <v>17992</v>
      </c>
      <c r="E13207" t="s">
        <v>20226</v>
      </c>
      <c r="F13207" t="s">
        <v>30900</v>
      </c>
      <c r="G13207" t="s">
        <v>30907</v>
      </c>
      <c r="H13207" t="s">
        <v>30916</v>
      </c>
      <c r="I13207" t="s">
        <v>8123</v>
      </c>
      <c r="J13207" t="s">
        <v>39268</v>
      </c>
      <c r="K13207" t="s">
        <v>40283</v>
      </c>
      <c r="M13207" t="s">
        <v>43007</v>
      </c>
      <c r="N13207" t="s">
        <v>44759</v>
      </c>
      <c r="O13207" t="s">
        <v>44760</v>
      </c>
      <c r="P13207">
        <v>0</v>
      </c>
      <c r="Q13207">
        <v>0</v>
      </c>
      <c r="R13207" t="s">
        <v>44779</v>
      </c>
      <c r="S13207" t="s">
        <v>45618</v>
      </c>
      <c r="T13207" t="s">
        <v>46658</v>
      </c>
      <c r="U13207" t="s">
        <v>57771</v>
      </c>
      <c r="W13207" t="s">
        <v>43007</v>
      </c>
      <c r="X13207" t="s">
        <v>44780</v>
      </c>
    </row>
    <row r="13208" spans="1:24">
      <c r="A13208">
        <f>HYPERLINK("https://www.philgeps.gov.ph/GEPSNONPILOT/Tender/SplashBidNoticeAbstractUI.aspx?menuIndex=3&amp;refID=7119087&amp;Result=3","7119087")</f>
        <v>0</v>
      </c>
      <c r="B13208" t="s">
        <v>2164</v>
      </c>
      <c r="C13208" t="s">
        <v>16339</v>
      </c>
      <c r="D13208" t="s">
        <v>17974</v>
      </c>
      <c r="E13208" t="s">
        <v>29450</v>
      </c>
      <c r="F13208" t="s">
        <v>30900</v>
      </c>
      <c r="G13208" t="s">
        <v>30907</v>
      </c>
      <c r="H13208" t="s">
        <v>30916</v>
      </c>
      <c r="I13208" t="s">
        <v>6953</v>
      </c>
      <c r="J13208" t="s">
        <v>39269</v>
      </c>
      <c r="K13208" t="s">
        <v>40286</v>
      </c>
      <c r="M13208" t="s">
        <v>42869</v>
      </c>
      <c r="N13208" t="s">
        <v>44759</v>
      </c>
      <c r="O13208" t="s">
        <v>44760</v>
      </c>
      <c r="Q13208">
        <v>0</v>
      </c>
      <c r="R13208" t="s">
        <v>44779</v>
      </c>
      <c r="S13208" t="s">
        <v>45169</v>
      </c>
      <c r="T13208" t="s">
        <v>46425</v>
      </c>
      <c r="U13208" t="s">
        <v>57772</v>
      </c>
      <c r="W13208" t="s">
        <v>42869</v>
      </c>
      <c r="X13208" t="s">
        <v>44780</v>
      </c>
    </row>
    <row r="13209" spans="1:24">
      <c r="A13209">
        <f>HYPERLINK("https://www.philgeps.gov.ph/GEPSNONPILOT/Tender/SplashBidNoticeAbstractUI.aspx?menuIndex=3&amp;refID=7119107&amp;Result=3","7119107")</f>
        <v>0</v>
      </c>
      <c r="B13209" t="s">
        <v>1768</v>
      </c>
      <c r="C13209" t="s">
        <v>16340</v>
      </c>
      <c r="D13209" t="s">
        <v>17988</v>
      </c>
      <c r="E13209" t="s">
        <v>20650</v>
      </c>
      <c r="F13209" t="s">
        <v>30900</v>
      </c>
      <c r="G13209" t="s">
        <v>30907</v>
      </c>
      <c r="H13209" t="s">
        <v>30915</v>
      </c>
      <c r="I13209" t="s">
        <v>30919</v>
      </c>
      <c r="J13209" t="s">
        <v>39270</v>
      </c>
      <c r="K13209" t="s">
        <v>40354</v>
      </c>
      <c r="M13209" t="s">
        <v>42440</v>
      </c>
      <c r="N13209" t="s">
        <v>44759</v>
      </c>
      <c r="O13209" t="s">
        <v>44760</v>
      </c>
      <c r="P13209">
        <v>0</v>
      </c>
      <c r="Q13209">
        <v>0</v>
      </c>
      <c r="R13209" t="s">
        <v>44779</v>
      </c>
      <c r="S13209" t="s">
        <v>45618</v>
      </c>
      <c r="T13209" t="s">
        <v>46357</v>
      </c>
      <c r="U13209" t="s">
        <v>57773</v>
      </c>
      <c r="W13209" t="s">
        <v>42440</v>
      </c>
      <c r="X13209" t="s">
        <v>44780</v>
      </c>
    </row>
    <row r="13210" spans="1:24">
      <c r="A13210">
        <f>HYPERLINK("https://www.philgeps.gov.ph/GEPSNONPILOT/Tender/SplashBidNoticeAbstractUI.aspx?menuIndex=3&amp;refID=7119076&amp;Result=3","7119076")</f>
        <v>0</v>
      </c>
      <c r="B13210" t="s">
        <v>3254</v>
      </c>
      <c r="C13210" t="s">
        <v>16341</v>
      </c>
      <c r="D13210" t="s">
        <v>17963</v>
      </c>
      <c r="E13210" t="s">
        <v>29451</v>
      </c>
      <c r="F13210" t="s">
        <v>30900</v>
      </c>
      <c r="G13210" t="s">
        <v>30907</v>
      </c>
      <c r="H13210" t="s">
        <v>30916</v>
      </c>
      <c r="I13210" t="s">
        <v>8123</v>
      </c>
      <c r="J13210" t="s">
        <v>31152</v>
      </c>
      <c r="K13210" t="s">
        <v>40292</v>
      </c>
      <c r="L13210" t="s">
        <v>3254</v>
      </c>
      <c r="M13210" t="s">
        <v>44099</v>
      </c>
      <c r="N13210" t="s">
        <v>44759</v>
      </c>
      <c r="O13210" t="s">
        <v>44760</v>
      </c>
      <c r="P13210">
        <v>0</v>
      </c>
      <c r="Q13210">
        <v>0</v>
      </c>
      <c r="R13210" t="s">
        <v>44779</v>
      </c>
      <c r="S13210" t="s">
        <v>45618</v>
      </c>
      <c r="T13210" t="s">
        <v>46533</v>
      </c>
      <c r="U13210" t="s">
        <v>57774</v>
      </c>
      <c r="W13210" t="s">
        <v>44099</v>
      </c>
      <c r="X13210" t="s">
        <v>44780</v>
      </c>
    </row>
    <row r="13211" spans="1:24">
      <c r="A13211">
        <f>HYPERLINK("https://www.philgeps.gov.ph/GEPSNONPILOT/Tender/SplashBidNoticeAbstractUI.aspx?menuIndex=3&amp;refID=7119074&amp;Result=3","7119074")</f>
        <v>0</v>
      </c>
      <c r="B13211" t="s">
        <v>2164</v>
      </c>
      <c r="C13211" t="s">
        <v>16342</v>
      </c>
      <c r="D13211" t="s">
        <v>17974</v>
      </c>
      <c r="E13211" t="s">
        <v>29452</v>
      </c>
      <c r="F13211" t="s">
        <v>30900</v>
      </c>
      <c r="G13211" t="s">
        <v>30907</v>
      </c>
      <c r="H13211" t="s">
        <v>30916</v>
      </c>
      <c r="I13211" t="s">
        <v>30927</v>
      </c>
      <c r="J13211" t="s">
        <v>39271</v>
      </c>
      <c r="K13211" t="s">
        <v>40286</v>
      </c>
      <c r="M13211" t="s">
        <v>42869</v>
      </c>
      <c r="N13211" t="s">
        <v>44759</v>
      </c>
      <c r="O13211" t="s">
        <v>44760</v>
      </c>
      <c r="Q13211">
        <v>0</v>
      </c>
      <c r="R13211" t="s">
        <v>44779</v>
      </c>
      <c r="S13211" t="s">
        <v>45679</v>
      </c>
      <c r="T13211" t="s">
        <v>46425</v>
      </c>
      <c r="U13211" t="s">
        <v>57775</v>
      </c>
      <c r="W13211" t="s">
        <v>42869</v>
      </c>
      <c r="X13211" t="s">
        <v>44780</v>
      </c>
    </row>
    <row r="13212" spans="1:24">
      <c r="A13212">
        <f>HYPERLINK("https://www.philgeps.gov.ph/GEPSNONPILOT/Tender/SplashBidNoticeAbstractUI.aspx?menuIndex=3&amp;refID=7118752&amp;Result=3","7118752")</f>
        <v>0</v>
      </c>
      <c r="B13212" t="s">
        <v>3605</v>
      </c>
      <c r="C13212" t="s">
        <v>16343</v>
      </c>
      <c r="D13212" t="s">
        <v>17959</v>
      </c>
      <c r="E13212" t="s">
        <v>29453</v>
      </c>
      <c r="F13212" t="s">
        <v>30900</v>
      </c>
      <c r="G13212" t="s">
        <v>30907</v>
      </c>
      <c r="H13212" t="s">
        <v>30915</v>
      </c>
      <c r="I13212" t="s">
        <v>30919</v>
      </c>
      <c r="J13212" t="s">
        <v>39272</v>
      </c>
      <c r="K13212" t="s">
        <v>40395</v>
      </c>
      <c r="M13212" t="s">
        <v>44532</v>
      </c>
      <c r="N13212" t="s">
        <v>44759</v>
      </c>
      <c r="O13212" t="s">
        <v>44760</v>
      </c>
      <c r="Q13212">
        <v>12</v>
      </c>
      <c r="R13212" t="s">
        <v>44779</v>
      </c>
      <c r="S13212" t="s">
        <v>45680</v>
      </c>
      <c r="T13212" t="s">
        <v>46533</v>
      </c>
      <c r="U13212" t="s">
        <v>57744</v>
      </c>
      <c r="W13212" t="s">
        <v>44532</v>
      </c>
      <c r="X13212" t="s">
        <v>44780</v>
      </c>
    </row>
    <row r="13213" spans="1:24">
      <c r="A13213">
        <f>HYPERLINK("https://www.philgeps.gov.ph/GEPSNONPILOT/Tender/SplashBidNoticeAbstractUI.aspx?menuIndex=3&amp;refID=7119072&amp;Result=3","7119072")</f>
        <v>0</v>
      </c>
      <c r="B13213" t="s">
        <v>1133</v>
      </c>
      <c r="C13213" t="s">
        <v>16344</v>
      </c>
      <c r="D13213" t="s">
        <v>17959</v>
      </c>
      <c r="E13213" t="s">
        <v>29454</v>
      </c>
      <c r="F13213" t="s">
        <v>30900</v>
      </c>
      <c r="G13213" t="s">
        <v>30907</v>
      </c>
      <c r="H13213" t="s">
        <v>30916</v>
      </c>
      <c r="I13213" t="s">
        <v>11785</v>
      </c>
      <c r="J13213" t="s">
        <v>39273</v>
      </c>
      <c r="K13213" t="s">
        <v>40289</v>
      </c>
      <c r="M13213" t="s">
        <v>41736</v>
      </c>
      <c r="N13213" t="s">
        <v>44759</v>
      </c>
      <c r="O13213" t="s">
        <v>44760</v>
      </c>
      <c r="Q13213">
        <v>8</v>
      </c>
      <c r="R13213" t="s">
        <v>44779</v>
      </c>
      <c r="S13213" t="s">
        <v>45681</v>
      </c>
      <c r="T13213" t="s">
        <v>46357</v>
      </c>
      <c r="U13213" t="s">
        <v>57776</v>
      </c>
      <c r="W13213" t="s">
        <v>41736</v>
      </c>
      <c r="X13213" t="s">
        <v>44780</v>
      </c>
    </row>
    <row r="13214" spans="1:24">
      <c r="A13214">
        <f>HYPERLINK("https://www.philgeps.gov.ph/GEPSNONPILOT/Tender/SplashBidNoticeAbstractUI.aspx?menuIndex=3&amp;refID=7119085&amp;Result=3","7119085")</f>
        <v>0</v>
      </c>
      <c r="B13214" t="s">
        <v>3254</v>
      </c>
      <c r="C13214" t="s">
        <v>16345</v>
      </c>
      <c r="D13214" t="s">
        <v>17963</v>
      </c>
      <c r="E13214" t="s">
        <v>29455</v>
      </c>
      <c r="F13214" t="s">
        <v>30900</v>
      </c>
      <c r="G13214" t="s">
        <v>30908</v>
      </c>
      <c r="H13214" t="s">
        <v>30916</v>
      </c>
      <c r="I13214" t="s">
        <v>30985</v>
      </c>
      <c r="J13214" t="s">
        <v>31569</v>
      </c>
      <c r="K13214" t="s">
        <v>40286</v>
      </c>
      <c r="L13214" t="s">
        <v>3254</v>
      </c>
      <c r="M13214" t="s">
        <v>44099</v>
      </c>
      <c r="N13214" t="s">
        <v>44759</v>
      </c>
      <c r="O13214" t="s">
        <v>44760</v>
      </c>
      <c r="P13214">
        <v>0</v>
      </c>
      <c r="Q13214">
        <v>0</v>
      </c>
      <c r="R13214" t="s">
        <v>44779</v>
      </c>
      <c r="S13214" t="s">
        <v>45618</v>
      </c>
      <c r="T13214" t="s">
        <v>46533</v>
      </c>
      <c r="U13214" t="s">
        <v>57777</v>
      </c>
      <c r="W13214" t="s">
        <v>44099</v>
      </c>
      <c r="X13214" t="s">
        <v>44780</v>
      </c>
    </row>
    <row r="13215" spans="1:24">
      <c r="A13215">
        <f>HYPERLINK("https://www.philgeps.gov.ph/GEPSNONPILOT/Tender/SplashBidNoticeAbstractUI.aspx?menuIndex=3&amp;refID=7119116&amp;Result=3","7119116")</f>
        <v>0</v>
      </c>
      <c r="B13215" t="s">
        <v>3516</v>
      </c>
      <c r="C13215" t="s">
        <v>16346</v>
      </c>
      <c r="D13215" t="s">
        <v>17960</v>
      </c>
      <c r="E13215" t="s">
        <v>28837</v>
      </c>
      <c r="F13215" t="s">
        <v>30900</v>
      </c>
      <c r="G13215" t="s">
        <v>30907</v>
      </c>
      <c r="H13215" t="s">
        <v>30915</v>
      </c>
      <c r="I13215" t="s">
        <v>30919</v>
      </c>
      <c r="J13215" t="s">
        <v>31049</v>
      </c>
      <c r="K13215" t="s">
        <v>40286</v>
      </c>
      <c r="M13215" t="s">
        <v>44425</v>
      </c>
      <c r="N13215" t="s">
        <v>44759</v>
      </c>
      <c r="O13215" t="s">
        <v>44760</v>
      </c>
      <c r="P13215">
        <v>0</v>
      </c>
      <c r="Q13215">
        <v>0</v>
      </c>
      <c r="R13215" t="s">
        <v>44779</v>
      </c>
      <c r="S13215" t="s">
        <v>45618</v>
      </c>
      <c r="T13215" t="s">
        <v>46625</v>
      </c>
      <c r="U13215" t="s">
        <v>57778</v>
      </c>
      <c r="W13215" t="s">
        <v>44425</v>
      </c>
      <c r="X13215" t="s">
        <v>44780</v>
      </c>
    </row>
    <row r="13216" spans="1:24">
      <c r="A13216">
        <f>HYPERLINK("https://www.philgeps.gov.ph/GEPSNONPILOT/Tender/SplashBidNoticeAbstractUI.aspx?menuIndex=3&amp;refID=7119060&amp;Result=3","7119060")</f>
        <v>0</v>
      </c>
      <c r="B13216" t="s">
        <v>3359</v>
      </c>
      <c r="C13216" t="s">
        <v>16347</v>
      </c>
      <c r="D13216" t="s">
        <v>18003</v>
      </c>
      <c r="E13216" t="s">
        <v>29456</v>
      </c>
      <c r="F13216" t="s">
        <v>30900</v>
      </c>
      <c r="G13216" t="s">
        <v>30911</v>
      </c>
      <c r="H13216" t="s">
        <v>7411</v>
      </c>
      <c r="I13216" t="s">
        <v>7411</v>
      </c>
      <c r="J13216" t="s">
        <v>39274</v>
      </c>
      <c r="K13216" t="s">
        <v>40304</v>
      </c>
      <c r="M13216" t="s">
        <v>44228</v>
      </c>
      <c r="N13216" t="s">
        <v>44759</v>
      </c>
      <c r="O13216" t="s">
        <v>44760</v>
      </c>
      <c r="Q13216">
        <v>7</v>
      </c>
      <c r="R13216" t="s">
        <v>44779</v>
      </c>
      <c r="S13216" t="s">
        <v>45682</v>
      </c>
      <c r="T13216" t="s">
        <v>46411</v>
      </c>
      <c r="U13216" t="s">
        <v>57779</v>
      </c>
      <c r="V13216" t="s">
        <v>60429</v>
      </c>
      <c r="W13216" t="s">
        <v>44228</v>
      </c>
      <c r="X13216" t="s">
        <v>44780</v>
      </c>
    </row>
    <row r="13217" spans="1:24">
      <c r="A13217">
        <f>HYPERLINK("https://www.philgeps.gov.ph/GEPSNONPILOT/Tender/SplashBidNoticeAbstractUI.aspx?menuIndex=3&amp;refID=7119068&amp;Result=3","7119068")</f>
        <v>0</v>
      </c>
      <c r="B13217" t="s">
        <v>2164</v>
      </c>
      <c r="C13217" t="s">
        <v>16348</v>
      </c>
      <c r="D13217" t="s">
        <v>17974</v>
      </c>
      <c r="E13217" t="s">
        <v>29457</v>
      </c>
      <c r="F13217" t="s">
        <v>30900</v>
      </c>
      <c r="G13217" t="s">
        <v>30907</v>
      </c>
      <c r="H13217" t="s">
        <v>30916</v>
      </c>
      <c r="I13217" t="s">
        <v>30922</v>
      </c>
      <c r="J13217" t="s">
        <v>39275</v>
      </c>
      <c r="K13217" t="s">
        <v>40286</v>
      </c>
      <c r="M13217" t="s">
        <v>42869</v>
      </c>
      <c r="N13217" t="s">
        <v>44759</v>
      </c>
      <c r="O13217" t="s">
        <v>44760</v>
      </c>
      <c r="P13217">
        <v>0</v>
      </c>
      <c r="Q13217">
        <v>0</v>
      </c>
      <c r="R13217" t="s">
        <v>44779</v>
      </c>
      <c r="S13217" t="s">
        <v>45618</v>
      </c>
      <c r="T13217" t="s">
        <v>46425</v>
      </c>
      <c r="U13217" t="s">
        <v>57780</v>
      </c>
      <c r="W13217" t="s">
        <v>42869</v>
      </c>
      <c r="X13217" t="s">
        <v>44780</v>
      </c>
    </row>
    <row r="13218" spans="1:24">
      <c r="A13218">
        <f>HYPERLINK("https://www.philgeps.gov.ph/GEPSNONPILOT/Tender/SplashBidNoticeAbstractUI.aspx?menuIndex=3&amp;refID=7110763&amp;Result=3","7110763")</f>
        <v>0</v>
      </c>
      <c r="B13218" t="s">
        <v>3100</v>
      </c>
      <c r="C13218" t="s">
        <v>16349</v>
      </c>
      <c r="E13218" t="s">
        <v>29458</v>
      </c>
      <c r="F13218" t="s">
        <v>30900</v>
      </c>
      <c r="G13218" t="s">
        <v>30907</v>
      </c>
      <c r="H13218" t="s">
        <v>30915</v>
      </c>
      <c r="I13218" t="s">
        <v>30919</v>
      </c>
      <c r="J13218" t="s">
        <v>31152</v>
      </c>
      <c r="K13218" t="s">
        <v>40292</v>
      </c>
      <c r="M13218" t="s">
        <v>43912</v>
      </c>
      <c r="N13218" t="s">
        <v>44759</v>
      </c>
      <c r="O13218" t="s">
        <v>44760</v>
      </c>
      <c r="P13218">
        <v>0</v>
      </c>
      <c r="Q13218">
        <v>0</v>
      </c>
      <c r="R13218" t="s">
        <v>44780</v>
      </c>
      <c r="S13218" t="s">
        <v>45683</v>
      </c>
      <c r="T13218" t="s">
        <v>46409</v>
      </c>
      <c r="U13218" t="s">
        <v>57781</v>
      </c>
      <c r="W13218" t="s">
        <v>43912</v>
      </c>
      <c r="X13218" t="s">
        <v>44782</v>
      </c>
    </row>
    <row r="13219" spans="1:24">
      <c r="A13219">
        <f>HYPERLINK("https://www.philgeps.gov.ph/GEPSNONPILOT/Tender/SplashBidNoticeAbstractUI.aspx?menuIndex=3&amp;refID=7110635&amp;Result=3","7110635")</f>
        <v>0</v>
      </c>
      <c r="B13219" t="s">
        <v>1235</v>
      </c>
      <c r="C13219" t="s">
        <v>16350</v>
      </c>
      <c r="D13219" t="s">
        <v>18003</v>
      </c>
      <c r="E13219" t="s">
        <v>29459</v>
      </c>
      <c r="F13219" t="s">
        <v>30900</v>
      </c>
      <c r="G13219" t="s">
        <v>30907</v>
      </c>
      <c r="H13219" t="s">
        <v>30916</v>
      </c>
      <c r="I13219" t="s">
        <v>30927</v>
      </c>
      <c r="J13219" t="s">
        <v>39276</v>
      </c>
      <c r="K13219" t="s">
        <v>40286</v>
      </c>
      <c r="M13219" t="s">
        <v>42051</v>
      </c>
      <c r="N13219" t="s">
        <v>44759</v>
      </c>
      <c r="O13219" t="s">
        <v>44760</v>
      </c>
      <c r="P13219">
        <v>0</v>
      </c>
      <c r="Q13219">
        <v>2</v>
      </c>
      <c r="R13219" t="s">
        <v>44780</v>
      </c>
      <c r="S13219" t="s">
        <v>45683</v>
      </c>
      <c r="T13219" t="s">
        <v>46425</v>
      </c>
      <c r="U13219" t="s">
        <v>57782</v>
      </c>
      <c r="W13219" t="s">
        <v>42051</v>
      </c>
      <c r="X13219" t="s">
        <v>44782</v>
      </c>
    </row>
    <row r="13220" spans="1:24">
      <c r="A13220">
        <f>HYPERLINK("https://www.philgeps.gov.ph/GEPSNONPILOT/Tender/SplashBidNoticeAbstractUI.aspx?menuIndex=3&amp;refID=7118074&amp;Result=3","7118074")</f>
        <v>0</v>
      </c>
      <c r="B13220" t="s">
        <v>3603</v>
      </c>
      <c r="C13220" t="s">
        <v>16351</v>
      </c>
      <c r="D13220" t="s">
        <v>18009</v>
      </c>
      <c r="E13220" t="s">
        <v>29460</v>
      </c>
      <c r="F13220" t="s">
        <v>30900</v>
      </c>
      <c r="G13220" t="s">
        <v>30907</v>
      </c>
      <c r="H13220" t="s">
        <v>30915</v>
      </c>
      <c r="I13220" t="s">
        <v>30919</v>
      </c>
      <c r="J13220" t="s">
        <v>32125</v>
      </c>
      <c r="K13220" t="s">
        <v>40289</v>
      </c>
      <c r="M13220" t="s">
        <v>44529</v>
      </c>
      <c r="N13220" t="s">
        <v>44759</v>
      </c>
      <c r="O13220" t="s">
        <v>44760</v>
      </c>
      <c r="P13220">
        <v>0</v>
      </c>
      <c r="Q13220">
        <v>4</v>
      </c>
      <c r="R13220" t="s">
        <v>44779</v>
      </c>
      <c r="S13220" t="s">
        <v>45618</v>
      </c>
      <c r="T13220" t="s">
        <v>46474</v>
      </c>
      <c r="U13220" t="s">
        <v>57783</v>
      </c>
      <c r="W13220" t="s">
        <v>44529</v>
      </c>
      <c r="X13220" t="s">
        <v>44780</v>
      </c>
    </row>
    <row r="13221" spans="1:24">
      <c r="A13221">
        <f>HYPERLINK("https://www.philgeps.gov.ph/GEPSNONPILOT/Tender/SplashBidNoticeAbstractUI.aspx?menuIndex=3&amp;refID=7110554&amp;Result=3","7110554")</f>
        <v>0</v>
      </c>
      <c r="B13221" t="s">
        <v>1531</v>
      </c>
      <c r="C13221" t="s">
        <v>16352</v>
      </c>
      <c r="D13221" t="s">
        <v>17959</v>
      </c>
      <c r="E13221" t="s">
        <v>29461</v>
      </c>
      <c r="F13221" t="s">
        <v>30900</v>
      </c>
      <c r="G13221" t="s">
        <v>30907</v>
      </c>
      <c r="H13221" t="s">
        <v>30916</v>
      </c>
      <c r="I13221" t="s">
        <v>30942</v>
      </c>
      <c r="J13221" t="s">
        <v>39277</v>
      </c>
      <c r="K13221" t="s">
        <v>40321</v>
      </c>
      <c r="M13221" t="s">
        <v>42174</v>
      </c>
      <c r="N13221" t="s">
        <v>44759</v>
      </c>
      <c r="O13221" t="s">
        <v>44760</v>
      </c>
      <c r="Q13221">
        <v>2</v>
      </c>
      <c r="R13221" t="s">
        <v>44780</v>
      </c>
      <c r="S13221" t="s">
        <v>45684</v>
      </c>
      <c r="T13221" t="s">
        <v>46389</v>
      </c>
      <c r="U13221" t="s">
        <v>57784</v>
      </c>
      <c r="W13221" t="s">
        <v>42174</v>
      </c>
      <c r="X13221" t="s">
        <v>44782</v>
      </c>
    </row>
    <row r="13222" spans="1:24">
      <c r="A13222">
        <f>HYPERLINK("https://www.philgeps.gov.ph/GEPSNONPILOT/Tender/SplashBidNoticeAbstractUI.aspx?menuIndex=3&amp;refID=7110013&amp;Result=3","7110013")</f>
        <v>0</v>
      </c>
      <c r="B13222" t="s">
        <v>3612</v>
      </c>
      <c r="C13222" t="s">
        <v>16353</v>
      </c>
      <c r="D13222" t="s">
        <v>17999</v>
      </c>
      <c r="E13222" t="s">
        <v>18282</v>
      </c>
      <c r="F13222" t="s">
        <v>30900</v>
      </c>
      <c r="G13222" t="s">
        <v>30907</v>
      </c>
      <c r="H13222" t="s">
        <v>30915</v>
      </c>
      <c r="I13222" t="s">
        <v>30964</v>
      </c>
      <c r="J13222" t="s">
        <v>39278</v>
      </c>
      <c r="K13222" t="s">
        <v>40415</v>
      </c>
      <c r="M13222" t="s">
        <v>44540</v>
      </c>
      <c r="N13222" t="s">
        <v>44759</v>
      </c>
      <c r="O13222" t="s">
        <v>44760</v>
      </c>
      <c r="Q13222">
        <v>6</v>
      </c>
      <c r="R13222" t="s">
        <v>44780</v>
      </c>
      <c r="S13222" t="s">
        <v>45140</v>
      </c>
      <c r="T13222" t="s">
        <v>46641</v>
      </c>
      <c r="U13222" t="s">
        <v>57785</v>
      </c>
      <c r="V13222" t="s">
        <v>60614</v>
      </c>
      <c r="W13222" t="s">
        <v>44540</v>
      </c>
      <c r="X13222" t="s">
        <v>44783</v>
      </c>
    </row>
    <row r="13223" spans="1:24">
      <c r="A13223">
        <f>HYPERLINK("https://www.philgeps.gov.ph/GEPSNONPILOT/Tender/SplashBidNoticeAbstractUI.aspx?menuIndex=3&amp;refID=7110811&amp;Result=3","7110811")</f>
        <v>0</v>
      </c>
      <c r="B13223" t="s">
        <v>3100</v>
      </c>
      <c r="C13223" t="s">
        <v>9818</v>
      </c>
      <c r="D13223" t="s">
        <v>17985</v>
      </c>
      <c r="E13223" t="s">
        <v>29462</v>
      </c>
      <c r="F13223" t="s">
        <v>30900</v>
      </c>
      <c r="G13223" t="s">
        <v>30907</v>
      </c>
      <c r="H13223" t="s">
        <v>30915</v>
      </c>
      <c r="I13223" t="s">
        <v>30919</v>
      </c>
      <c r="J13223" t="s">
        <v>31297</v>
      </c>
      <c r="K13223" t="s">
        <v>40292</v>
      </c>
      <c r="M13223" t="s">
        <v>43912</v>
      </c>
      <c r="N13223" t="s">
        <v>44759</v>
      </c>
      <c r="O13223" t="s">
        <v>44760</v>
      </c>
      <c r="P13223">
        <v>0</v>
      </c>
      <c r="Q13223">
        <v>1</v>
      </c>
      <c r="R13223" t="s">
        <v>44780</v>
      </c>
      <c r="S13223" t="s">
        <v>45683</v>
      </c>
      <c r="T13223" t="s">
        <v>46409</v>
      </c>
      <c r="U13223" t="s">
        <v>57786</v>
      </c>
      <c r="W13223" t="s">
        <v>43912</v>
      </c>
      <c r="X13223" t="s">
        <v>44782</v>
      </c>
    </row>
    <row r="13224" spans="1:24">
      <c r="A13224">
        <f>HYPERLINK("https://www.philgeps.gov.ph/GEPSNONPILOT/Tender/SplashBidNoticeAbstractUI.aspx?menuIndex=3&amp;refID=7108915&amp;Result=3","7108915")</f>
        <v>0</v>
      </c>
      <c r="B13224" t="s">
        <v>3470</v>
      </c>
      <c r="C13224" t="s">
        <v>16354</v>
      </c>
      <c r="D13224" t="s">
        <v>17999</v>
      </c>
      <c r="E13224" t="s">
        <v>29463</v>
      </c>
      <c r="F13224" t="s">
        <v>30900</v>
      </c>
      <c r="G13224" t="s">
        <v>30907</v>
      </c>
      <c r="H13224" t="s">
        <v>30915</v>
      </c>
      <c r="I13224" t="s">
        <v>30919</v>
      </c>
      <c r="J13224" t="s">
        <v>31701</v>
      </c>
      <c r="K13224" t="s">
        <v>40364</v>
      </c>
      <c r="M13224" t="s">
        <v>44367</v>
      </c>
      <c r="N13224" t="s">
        <v>44759</v>
      </c>
      <c r="O13224" t="s">
        <v>44760</v>
      </c>
      <c r="Q13224">
        <v>14</v>
      </c>
      <c r="R13224" t="s">
        <v>44780</v>
      </c>
      <c r="S13224" t="s">
        <v>45685</v>
      </c>
      <c r="T13224" t="s">
        <v>46456</v>
      </c>
      <c r="U13224" t="s">
        <v>57787</v>
      </c>
      <c r="W13224" t="s">
        <v>44367</v>
      </c>
      <c r="X13224" t="s">
        <v>44783</v>
      </c>
    </row>
    <row r="13225" spans="1:24">
      <c r="A13225">
        <f>HYPERLINK("https://www.philgeps.gov.ph/GEPSNONPILOT/Tender/SplashBidNoticeAbstractUI.aspx?menuIndex=3&amp;refID=7108850&amp;Result=3","7108850")</f>
        <v>0</v>
      </c>
      <c r="B13225" t="s">
        <v>3470</v>
      </c>
      <c r="C13225" t="s">
        <v>16355</v>
      </c>
      <c r="E13225" t="s">
        <v>29464</v>
      </c>
      <c r="F13225" t="s">
        <v>30900</v>
      </c>
      <c r="G13225" t="s">
        <v>30907</v>
      </c>
      <c r="H13225" t="s">
        <v>30916</v>
      </c>
      <c r="I13225" t="s">
        <v>30934</v>
      </c>
      <c r="J13225" t="s">
        <v>31937</v>
      </c>
      <c r="K13225" t="s">
        <v>40293</v>
      </c>
      <c r="M13225" t="s">
        <v>44367</v>
      </c>
      <c r="N13225" t="s">
        <v>44759</v>
      </c>
      <c r="O13225" t="s">
        <v>44760</v>
      </c>
      <c r="Q13225">
        <v>20</v>
      </c>
      <c r="R13225" t="s">
        <v>44780</v>
      </c>
      <c r="S13225" t="s">
        <v>45686</v>
      </c>
      <c r="T13225" t="s">
        <v>46380</v>
      </c>
      <c r="U13225" t="s">
        <v>57787</v>
      </c>
      <c r="W13225" t="s">
        <v>44367</v>
      </c>
      <c r="X13225" t="s">
        <v>44783</v>
      </c>
    </row>
    <row r="13226" spans="1:24">
      <c r="A13226">
        <f>HYPERLINK("https://www.philgeps.gov.ph/GEPSNONPILOT/Tender/SplashBidNoticeAbstractUI.aspx?menuIndex=3&amp;refID=7110194&amp;Result=3","7110194")</f>
        <v>0</v>
      </c>
      <c r="B13226" t="s">
        <v>750</v>
      </c>
      <c r="C13226" t="s">
        <v>16356</v>
      </c>
      <c r="D13226" t="s">
        <v>17961</v>
      </c>
      <c r="E13226" t="s">
        <v>29465</v>
      </c>
      <c r="F13226" t="s">
        <v>30900</v>
      </c>
      <c r="G13226" t="s">
        <v>30907</v>
      </c>
      <c r="H13226" t="s">
        <v>30916</v>
      </c>
      <c r="I13226" t="s">
        <v>30984</v>
      </c>
      <c r="J13226" t="s">
        <v>39279</v>
      </c>
      <c r="K13226" t="s">
        <v>40283</v>
      </c>
      <c r="M13226" t="s">
        <v>41961</v>
      </c>
      <c r="N13226" t="s">
        <v>44759</v>
      </c>
      <c r="O13226" t="s">
        <v>44760</v>
      </c>
      <c r="Q13226">
        <v>18</v>
      </c>
      <c r="R13226" t="s">
        <v>44780</v>
      </c>
      <c r="S13226" t="s">
        <v>45687</v>
      </c>
      <c r="T13226" t="s">
        <v>46487</v>
      </c>
      <c r="U13226" t="s">
        <v>57788</v>
      </c>
      <c r="W13226" t="s">
        <v>41961</v>
      </c>
      <c r="X13226" t="s">
        <v>44782</v>
      </c>
    </row>
    <row r="13227" spans="1:24">
      <c r="A13227">
        <f>HYPERLINK("https://www.philgeps.gov.ph/GEPSNONPILOT/Tender/SplashBidNoticeAbstractUI.aspx?menuIndex=3&amp;refID=7108768&amp;Result=3","7108768")</f>
        <v>0</v>
      </c>
      <c r="B13227" t="s">
        <v>3470</v>
      </c>
      <c r="C13227" t="s">
        <v>16357</v>
      </c>
      <c r="D13227" t="s">
        <v>17959</v>
      </c>
      <c r="E13227" t="s">
        <v>29466</v>
      </c>
      <c r="F13227" t="s">
        <v>30900</v>
      </c>
      <c r="G13227" t="s">
        <v>30907</v>
      </c>
      <c r="H13227" t="s">
        <v>30916</v>
      </c>
      <c r="I13227" t="s">
        <v>9385</v>
      </c>
      <c r="J13227" t="s">
        <v>36049</v>
      </c>
      <c r="K13227" t="s">
        <v>40293</v>
      </c>
      <c r="M13227" t="s">
        <v>44367</v>
      </c>
      <c r="N13227" t="s">
        <v>44759</v>
      </c>
      <c r="O13227" t="s">
        <v>44760</v>
      </c>
      <c r="Q13227">
        <v>22</v>
      </c>
      <c r="R13227" t="s">
        <v>44780</v>
      </c>
      <c r="S13227" t="s">
        <v>45688</v>
      </c>
      <c r="T13227" t="s">
        <v>46350</v>
      </c>
      <c r="U13227" t="s">
        <v>57787</v>
      </c>
      <c r="W13227" t="s">
        <v>44367</v>
      </c>
      <c r="X13227" t="s">
        <v>44783</v>
      </c>
    </row>
    <row r="13228" spans="1:24">
      <c r="A13228">
        <f>HYPERLINK("https://www.philgeps.gov.ph/GEPSNONPILOT/Tender/SplashBidNoticeAbstractUI.aspx?menuIndex=3&amp;refID=7110879&amp;Result=3","7110879")</f>
        <v>0</v>
      </c>
      <c r="B13228" t="s">
        <v>86</v>
      </c>
      <c r="C13228" t="s">
        <v>16358</v>
      </c>
      <c r="D13228" t="s">
        <v>17963</v>
      </c>
      <c r="E13228" t="s">
        <v>29467</v>
      </c>
      <c r="F13228" t="s">
        <v>30900</v>
      </c>
      <c r="G13228" t="s">
        <v>30907</v>
      </c>
      <c r="H13228" t="s">
        <v>30916</v>
      </c>
      <c r="I13228" t="s">
        <v>30924</v>
      </c>
      <c r="J13228" t="s">
        <v>32627</v>
      </c>
      <c r="K13228" t="s">
        <v>40293</v>
      </c>
      <c r="M13228" t="s">
        <v>40633</v>
      </c>
      <c r="N13228" t="s">
        <v>44759</v>
      </c>
      <c r="O13228" t="s">
        <v>44760</v>
      </c>
      <c r="P13228">
        <v>0</v>
      </c>
      <c r="Q13228">
        <v>5</v>
      </c>
      <c r="R13228" t="s">
        <v>44780</v>
      </c>
      <c r="S13228" t="s">
        <v>45683</v>
      </c>
      <c r="T13228" t="s">
        <v>46591</v>
      </c>
      <c r="U13228" t="s">
        <v>57789</v>
      </c>
      <c r="W13228" t="s">
        <v>40633</v>
      </c>
      <c r="X13228" t="s">
        <v>44782</v>
      </c>
    </row>
    <row r="13229" spans="1:24">
      <c r="A13229">
        <f>HYPERLINK("https://www.philgeps.gov.ph/GEPSNONPILOT/Tender/SplashBidNoticeAbstractUI.aspx?menuIndex=3&amp;refID=7108861&amp;Result=3","7108861")</f>
        <v>0</v>
      </c>
      <c r="B13229" t="s">
        <v>1583</v>
      </c>
      <c r="C13229" t="s">
        <v>16359</v>
      </c>
      <c r="D13229" t="s">
        <v>17992</v>
      </c>
      <c r="E13229" t="s">
        <v>19701</v>
      </c>
      <c r="F13229" t="s">
        <v>30900</v>
      </c>
      <c r="G13229" t="s">
        <v>30907</v>
      </c>
      <c r="H13229" t="s">
        <v>30915</v>
      </c>
      <c r="I13229" t="s">
        <v>30919</v>
      </c>
      <c r="J13229" t="s">
        <v>39280</v>
      </c>
      <c r="K13229" t="s">
        <v>40439</v>
      </c>
      <c r="M13229" t="s">
        <v>42230</v>
      </c>
      <c r="N13229" t="s">
        <v>44759</v>
      </c>
      <c r="O13229" t="s">
        <v>44760</v>
      </c>
      <c r="P13229">
        <v>0</v>
      </c>
      <c r="Q13229">
        <v>1</v>
      </c>
      <c r="R13229" t="s">
        <v>44780</v>
      </c>
      <c r="S13229" t="s">
        <v>45683</v>
      </c>
      <c r="T13229" t="s">
        <v>46533</v>
      </c>
      <c r="U13229" t="s">
        <v>57790</v>
      </c>
      <c r="W13229" t="s">
        <v>42230</v>
      </c>
      <c r="X13229" t="s">
        <v>44783</v>
      </c>
    </row>
    <row r="13230" spans="1:24">
      <c r="A13230">
        <f>HYPERLINK("https://www.philgeps.gov.ph/GEPSNONPILOT/Tender/SplashBidNoticeAbstractUI.aspx?menuIndex=3&amp;refID=7118083&amp;Result=3","7118083")</f>
        <v>0</v>
      </c>
      <c r="B13230" t="s">
        <v>1574</v>
      </c>
      <c r="C13230" t="s">
        <v>16360</v>
      </c>
      <c r="D13230" t="s">
        <v>18019</v>
      </c>
      <c r="E13230" t="s">
        <v>29468</v>
      </c>
      <c r="F13230" t="s">
        <v>30900</v>
      </c>
      <c r="G13230" t="s">
        <v>30907</v>
      </c>
      <c r="H13230" t="s">
        <v>30915</v>
      </c>
      <c r="I13230" t="s">
        <v>30919</v>
      </c>
      <c r="J13230" t="s">
        <v>39281</v>
      </c>
      <c r="K13230" t="s">
        <v>40280</v>
      </c>
      <c r="M13230" t="s">
        <v>42222</v>
      </c>
      <c r="N13230" t="s">
        <v>44759</v>
      </c>
      <c r="O13230" t="s">
        <v>44760</v>
      </c>
      <c r="P13230">
        <v>0</v>
      </c>
      <c r="Q13230">
        <v>0</v>
      </c>
      <c r="R13230" t="s">
        <v>44779</v>
      </c>
      <c r="S13230" t="s">
        <v>45618</v>
      </c>
      <c r="T13230" t="s">
        <v>46484</v>
      </c>
      <c r="U13230" t="s">
        <v>52603</v>
      </c>
      <c r="W13230" t="s">
        <v>42222</v>
      </c>
      <c r="X13230" t="s">
        <v>44780</v>
      </c>
    </row>
    <row r="13231" spans="1:24">
      <c r="A13231">
        <f>HYPERLINK("https://www.philgeps.gov.ph/GEPSNONPILOT/Tender/SplashBidNoticeAbstractUI.aspx?menuIndex=3&amp;refID=7112363&amp;Result=3","7112363")</f>
        <v>0</v>
      </c>
      <c r="B13231" t="s">
        <v>1414</v>
      </c>
      <c r="C13231" t="s">
        <v>16361</v>
      </c>
      <c r="D13231" t="s">
        <v>17977</v>
      </c>
      <c r="E13231" t="s">
        <v>29469</v>
      </c>
      <c r="F13231" t="s">
        <v>30900</v>
      </c>
      <c r="G13231" t="s">
        <v>30907</v>
      </c>
      <c r="H13231" t="s">
        <v>30916</v>
      </c>
      <c r="I13231" t="s">
        <v>30922</v>
      </c>
      <c r="J13231" t="s">
        <v>39282</v>
      </c>
      <c r="K13231" t="s">
        <v>40292</v>
      </c>
      <c r="M13231" t="s">
        <v>44541</v>
      </c>
      <c r="N13231" t="s">
        <v>44759</v>
      </c>
      <c r="O13231" t="s">
        <v>44760</v>
      </c>
      <c r="P13231">
        <v>0</v>
      </c>
      <c r="Q13231">
        <v>3</v>
      </c>
      <c r="R13231" t="s">
        <v>44780</v>
      </c>
      <c r="S13231" t="s">
        <v>45683</v>
      </c>
      <c r="T13231" t="s">
        <v>46389</v>
      </c>
      <c r="U13231" t="s">
        <v>57791</v>
      </c>
      <c r="W13231" t="s">
        <v>44541</v>
      </c>
      <c r="X13231" t="s">
        <v>44782</v>
      </c>
    </row>
    <row r="13232" spans="1:24">
      <c r="A13232">
        <f>HYPERLINK("https://www.philgeps.gov.ph/GEPSNONPILOT/Tender/SplashBidNoticeAbstractUI.aspx?menuIndex=3&amp;refID=7112300&amp;Result=3","7112300")</f>
        <v>0</v>
      </c>
      <c r="B13232" t="s">
        <v>1414</v>
      </c>
      <c r="C13232" t="s">
        <v>16362</v>
      </c>
      <c r="D13232" t="s">
        <v>17977</v>
      </c>
      <c r="E13232" t="s">
        <v>29470</v>
      </c>
      <c r="F13232" t="s">
        <v>30900</v>
      </c>
      <c r="G13232" t="s">
        <v>30907</v>
      </c>
      <c r="H13232" t="s">
        <v>30916</v>
      </c>
      <c r="I13232" t="s">
        <v>30922</v>
      </c>
      <c r="J13232" t="s">
        <v>39283</v>
      </c>
      <c r="K13232" t="s">
        <v>40292</v>
      </c>
      <c r="M13232" t="s">
        <v>44541</v>
      </c>
      <c r="N13232" t="s">
        <v>44759</v>
      </c>
      <c r="O13232" t="s">
        <v>44760</v>
      </c>
      <c r="P13232">
        <v>0</v>
      </c>
      <c r="Q13232">
        <v>3</v>
      </c>
      <c r="R13232" t="s">
        <v>44780</v>
      </c>
      <c r="S13232" t="s">
        <v>45683</v>
      </c>
      <c r="T13232" t="s">
        <v>46389</v>
      </c>
      <c r="U13232" t="s">
        <v>57792</v>
      </c>
      <c r="W13232" t="s">
        <v>44541</v>
      </c>
      <c r="X13232" t="s">
        <v>44782</v>
      </c>
    </row>
    <row r="13233" spans="1:24">
      <c r="A13233">
        <f>HYPERLINK("https://www.philgeps.gov.ph/GEPSNONPILOT/Tender/SplashBidNoticeAbstractUI.aspx?menuIndex=3&amp;refID=7112235&amp;Result=3","7112235")</f>
        <v>0</v>
      </c>
      <c r="B13233" t="s">
        <v>208</v>
      </c>
      <c r="C13233" t="s">
        <v>16363</v>
      </c>
      <c r="D13233" t="s">
        <v>17964</v>
      </c>
      <c r="E13233" t="s">
        <v>29471</v>
      </c>
      <c r="F13233" t="s">
        <v>30900</v>
      </c>
      <c r="G13233" t="s">
        <v>30907</v>
      </c>
      <c r="H13233" t="s">
        <v>30915</v>
      </c>
      <c r="I13233" t="s">
        <v>30919</v>
      </c>
      <c r="J13233" t="s">
        <v>32049</v>
      </c>
      <c r="K13233" t="s">
        <v>40292</v>
      </c>
      <c r="M13233" t="s">
        <v>44542</v>
      </c>
      <c r="N13233" t="s">
        <v>44759</v>
      </c>
      <c r="O13233" t="s">
        <v>44760</v>
      </c>
      <c r="Q13233">
        <v>2</v>
      </c>
      <c r="R13233" t="s">
        <v>44780</v>
      </c>
      <c r="S13233" t="s">
        <v>45689</v>
      </c>
      <c r="T13233" t="s">
        <v>46533</v>
      </c>
      <c r="U13233" t="s">
        <v>57793</v>
      </c>
      <c r="V13233" t="s">
        <v>60615</v>
      </c>
      <c r="W13233" t="s">
        <v>44542</v>
      </c>
      <c r="X13233" t="s">
        <v>44782</v>
      </c>
    </row>
    <row r="13234" spans="1:24">
      <c r="A13234">
        <f>HYPERLINK("https://www.philgeps.gov.ph/GEPSNONPILOT/Tender/SplashBidNoticeAbstractUI.aspx?menuIndex=3&amp;refID=7112226&amp;Result=3","7112226")</f>
        <v>0</v>
      </c>
      <c r="B13234" t="s">
        <v>1414</v>
      </c>
      <c r="C13234" t="s">
        <v>16364</v>
      </c>
      <c r="D13234" t="s">
        <v>17977</v>
      </c>
      <c r="E13234" t="s">
        <v>29472</v>
      </c>
      <c r="F13234" t="s">
        <v>30900</v>
      </c>
      <c r="G13234" t="s">
        <v>30907</v>
      </c>
      <c r="H13234" t="s">
        <v>30916</v>
      </c>
      <c r="I13234" t="s">
        <v>30928</v>
      </c>
      <c r="J13234" t="s">
        <v>39284</v>
      </c>
      <c r="K13234" t="s">
        <v>40280</v>
      </c>
      <c r="M13234" t="s">
        <v>44541</v>
      </c>
      <c r="N13234" t="s">
        <v>44759</v>
      </c>
      <c r="O13234" t="s">
        <v>44760</v>
      </c>
      <c r="Q13234">
        <v>9</v>
      </c>
      <c r="R13234" t="s">
        <v>44780</v>
      </c>
      <c r="S13234" t="s">
        <v>45690</v>
      </c>
      <c r="T13234" t="s">
        <v>46389</v>
      </c>
      <c r="U13234" t="s">
        <v>57794</v>
      </c>
      <c r="W13234" t="s">
        <v>44541</v>
      </c>
      <c r="X13234" t="s">
        <v>44782</v>
      </c>
    </row>
    <row r="13235" spans="1:24">
      <c r="A13235">
        <f>HYPERLINK("https://www.philgeps.gov.ph/GEPSNONPILOT/Tender/SplashBidNoticeAbstractUI.aspx?menuIndex=3&amp;refID=7112393&amp;Result=3","7112393")</f>
        <v>0</v>
      </c>
      <c r="B13235" t="s">
        <v>1182</v>
      </c>
      <c r="C13235" t="s">
        <v>16365</v>
      </c>
      <c r="D13235" t="s">
        <v>17952</v>
      </c>
      <c r="E13235" t="s">
        <v>29473</v>
      </c>
      <c r="F13235" t="s">
        <v>30900</v>
      </c>
      <c r="G13235" t="s">
        <v>30907</v>
      </c>
      <c r="H13235" t="s">
        <v>30916</v>
      </c>
      <c r="I13235" t="s">
        <v>4545</v>
      </c>
      <c r="J13235" t="s">
        <v>31577</v>
      </c>
      <c r="K13235" t="s">
        <v>40286</v>
      </c>
      <c r="M13235" t="s">
        <v>41791</v>
      </c>
      <c r="N13235" t="s">
        <v>44759</v>
      </c>
      <c r="O13235" t="s">
        <v>44760</v>
      </c>
      <c r="P13235">
        <v>0</v>
      </c>
      <c r="Q13235">
        <v>3</v>
      </c>
      <c r="R13235" t="s">
        <v>44780</v>
      </c>
      <c r="S13235" t="s">
        <v>45683</v>
      </c>
      <c r="T13235" t="s">
        <v>46357</v>
      </c>
      <c r="U13235" t="s">
        <v>57795</v>
      </c>
      <c r="V13235" t="s">
        <v>60616</v>
      </c>
      <c r="W13235" t="s">
        <v>41791</v>
      </c>
      <c r="X13235" t="s">
        <v>44782</v>
      </c>
    </row>
    <row r="13236" spans="1:24">
      <c r="A13236">
        <f>HYPERLINK("https://www.philgeps.gov.ph/GEPSNONPILOT/Tender/SplashBidNoticeAbstractUI.aspx?menuIndex=3&amp;refID=7112132&amp;Result=3","7112132")</f>
        <v>0</v>
      </c>
      <c r="B13236" t="s">
        <v>208</v>
      </c>
      <c r="C13236" t="s">
        <v>16366</v>
      </c>
      <c r="D13236" t="s">
        <v>17964</v>
      </c>
      <c r="E13236" t="s">
        <v>29474</v>
      </c>
      <c r="F13236" t="s">
        <v>30900</v>
      </c>
      <c r="G13236" t="s">
        <v>30907</v>
      </c>
      <c r="H13236" t="s">
        <v>30915</v>
      </c>
      <c r="I13236" t="s">
        <v>30919</v>
      </c>
      <c r="J13236" t="s">
        <v>39285</v>
      </c>
      <c r="K13236" t="s">
        <v>40304</v>
      </c>
      <c r="M13236" t="s">
        <v>44542</v>
      </c>
      <c r="N13236" t="s">
        <v>44759</v>
      </c>
      <c r="O13236" t="s">
        <v>44760</v>
      </c>
      <c r="P13236">
        <v>0</v>
      </c>
      <c r="Q13236">
        <v>6</v>
      </c>
      <c r="R13236" t="s">
        <v>44780</v>
      </c>
      <c r="S13236" t="s">
        <v>45683</v>
      </c>
      <c r="T13236" t="s">
        <v>46533</v>
      </c>
      <c r="U13236" t="s">
        <v>57793</v>
      </c>
      <c r="V13236" t="s">
        <v>60617</v>
      </c>
      <c r="W13236" t="s">
        <v>44542</v>
      </c>
      <c r="X13236" t="s">
        <v>44782</v>
      </c>
    </row>
    <row r="13237" spans="1:24">
      <c r="A13237">
        <f>HYPERLINK("https://www.philgeps.gov.ph/GEPSNONPILOT/Tender/SplashBidNoticeAbstractUI.aspx?menuIndex=3&amp;refID=7112095&amp;Result=3","7112095")</f>
        <v>0</v>
      </c>
      <c r="B13237" t="s">
        <v>1414</v>
      </c>
      <c r="C13237" t="s">
        <v>16367</v>
      </c>
      <c r="D13237" t="s">
        <v>17977</v>
      </c>
      <c r="E13237" t="s">
        <v>29475</v>
      </c>
      <c r="F13237" t="s">
        <v>30900</v>
      </c>
      <c r="G13237" t="s">
        <v>30907</v>
      </c>
      <c r="H13237" t="s">
        <v>30916</v>
      </c>
      <c r="I13237" t="s">
        <v>30922</v>
      </c>
      <c r="J13237" t="s">
        <v>39286</v>
      </c>
      <c r="K13237" t="s">
        <v>40280</v>
      </c>
      <c r="M13237" t="s">
        <v>44541</v>
      </c>
      <c r="N13237" t="s">
        <v>44759</v>
      </c>
      <c r="O13237" t="s">
        <v>44760</v>
      </c>
      <c r="P13237">
        <v>0</v>
      </c>
      <c r="Q13237">
        <v>3</v>
      </c>
      <c r="R13237" t="s">
        <v>44780</v>
      </c>
      <c r="S13237" t="s">
        <v>45683</v>
      </c>
      <c r="T13237" t="s">
        <v>46389</v>
      </c>
      <c r="U13237" t="s">
        <v>57796</v>
      </c>
      <c r="W13237" t="s">
        <v>44541</v>
      </c>
      <c r="X13237" t="s">
        <v>44782</v>
      </c>
    </row>
    <row r="13238" spans="1:24">
      <c r="A13238">
        <f>HYPERLINK("https://www.philgeps.gov.ph/GEPSNONPILOT/Tender/SplashBidNoticeAbstractUI.aspx?menuIndex=3&amp;refID=7112391&amp;Result=3","7112391")</f>
        <v>0</v>
      </c>
      <c r="B13238" t="s">
        <v>1414</v>
      </c>
      <c r="C13238" t="s">
        <v>16368</v>
      </c>
      <c r="D13238" t="s">
        <v>17977</v>
      </c>
      <c r="E13238" t="s">
        <v>29476</v>
      </c>
      <c r="F13238" t="s">
        <v>30900</v>
      </c>
      <c r="G13238" t="s">
        <v>30907</v>
      </c>
      <c r="H13238" t="s">
        <v>30916</v>
      </c>
      <c r="I13238" t="s">
        <v>30922</v>
      </c>
      <c r="J13238" t="s">
        <v>35257</v>
      </c>
      <c r="K13238" t="s">
        <v>40280</v>
      </c>
      <c r="M13238" t="s">
        <v>44541</v>
      </c>
      <c r="N13238" t="s">
        <v>44759</v>
      </c>
      <c r="O13238" t="s">
        <v>44760</v>
      </c>
      <c r="P13238">
        <v>0</v>
      </c>
      <c r="Q13238">
        <v>5</v>
      </c>
      <c r="R13238" t="s">
        <v>44780</v>
      </c>
      <c r="S13238" t="s">
        <v>45683</v>
      </c>
      <c r="T13238" t="s">
        <v>46389</v>
      </c>
      <c r="U13238" t="s">
        <v>57797</v>
      </c>
      <c r="W13238" t="s">
        <v>44541</v>
      </c>
      <c r="X13238" t="s">
        <v>44782</v>
      </c>
    </row>
    <row r="13239" spans="1:24">
      <c r="A13239">
        <f>HYPERLINK("https://www.philgeps.gov.ph/GEPSNONPILOT/Tender/SplashBidNoticeAbstractUI.aspx?menuIndex=3&amp;refID=7112057&amp;Result=3","7112057")</f>
        <v>0</v>
      </c>
      <c r="B13239" t="s">
        <v>1414</v>
      </c>
      <c r="C13239" t="s">
        <v>16369</v>
      </c>
      <c r="D13239" t="s">
        <v>17977</v>
      </c>
      <c r="E13239" t="s">
        <v>29477</v>
      </c>
      <c r="F13239" t="s">
        <v>30900</v>
      </c>
      <c r="G13239" t="s">
        <v>30907</v>
      </c>
      <c r="H13239" t="s">
        <v>30916</v>
      </c>
      <c r="I13239" t="s">
        <v>30922</v>
      </c>
      <c r="J13239" t="s">
        <v>39287</v>
      </c>
      <c r="K13239" t="s">
        <v>40280</v>
      </c>
      <c r="M13239" t="s">
        <v>44541</v>
      </c>
      <c r="N13239" t="s">
        <v>44759</v>
      </c>
      <c r="O13239" t="s">
        <v>44760</v>
      </c>
      <c r="Q13239">
        <v>10</v>
      </c>
      <c r="R13239" t="s">
        <v>44780</v>
      </c>
      <c r="S13239" t="s">
        <v>45574</v>
      </c>
      <c r="T13239" t="s">
        <v>46389</v>
      </c>
      <c r="U13239" t="s">
        <v>57798</v>
      </c>
      <c r="W13239" t="s">
        <v>44541</v>
      </c>
      <c r="X13239" t="s">
        <v>44782</v>
      </c>
    </row>
    <row r="13240" spans="1:24">
      <c r="A13240">
        <f>HYPERLINK("https://www.philgeps.gov.ph/GEPSNONPILOT/Tender/SplashBidNoticeAbstractUI.aspx?menuIndex=3&amp;refID=7112009&amp;Result=3","7112009")</f>
        <v>0</v>
      </c>
      <c r="B13240" t="s">
        <v>1414</v>
      </c>
      <c r="C13240" t="s">
        <v>16370</v>
      </c>
      <c r="D13240" t="s">
        <v>17977</v>
      </c>
      <c r="E13240" t="s">
        <v>29478</v>
      </c>
      <c r="F13240" t="s">
        <v>30900</v>
      </c>
      <c r="G13240" t="s">
        <v>30907</v>
      </c>
      <c r="H13240" t="s">
        <v>30916</v>
      </c>
      <c r="I13240" t="s">
        <v>30922</v>
      </c>
      <c r="J13240" t="s">
        <v>31944</v>
      </c>
      <c r="K13240" t="s">
        <v>40280</v>
      </c>
      <c r="M13240" t="s">
        <v>44541</v>
      </c>
      <c r="N13240" t="s">
        <v>44759</v>
      </c>
      <c r="O13240" t="s">
        <v>44760</v>
      </c>
      <c r="P13240">
        <v>0</v>
      </c>
      <c r="Q13240">
        <v>2</v>
      </c>
      <c r="R13240" t="s">
        <v>44780</v>
      </c>
      <c r="S13240" t="s">
        <v>45683</v>
      </c>
      <c r="T13240" t="s">
        <v>46389</v>
      </c>
      <c r="U13240" t="s">
        <v>57799</v>
      </c>
      <c r="W13240" t="s">
        <v>44541</v>
      </c>
      <c r="X13240" t="s">
        <v>44782</v>
      </c>
    </row>
    <row r="13241" spans="1:24">
      <c r="A13241">
        <f>HYPERLINK("https://www.philgeps.gov.ph/GEPSNONPILOT/Tender/SplashBidNoticeAbstractUI.aspx?menuIndex=3&amp;refID=7111993&amp;Result=3","7111993")</f>
        <v>0</v>
      </c>
      <c r="B13241" t="s">
        <v>208</v>
      </c>
      <c r="C13241" t="s">
        <v>16371</v>
      </c>
      <c r="D13241" t="s">
        <v>17964</v>
      </c>
      <c r="E13241" t="s">
        <v>29479</v>
      </c>
      <c r="F13241" t="s">
        <v>30900</v>
      </c>
      <c r="G13241" t="s">
        <v>30907</v>
      </c>
      <c r="H13241" t="s">
        <v>30915</v>
      </c>
      <c r="I13241" t="s">
        <v>30919</v>
      </c>
      <c r="J13241" t="s">
        <v>31241</v>
      </c>
      <c r="K13241" t="s">
        <v>40446</v>
      </c>
      <c r="M13241" t="s">
        <v>44542</v>
      </c>
      <c r="N13241" t="s">
        <v>44759</v>
      </c>
      <c r="O13241" t="s">
        <v>44760</v>
      </c>
      <c r="Q13241">
        <v>8</v>
      </c>
      <c r="R13241" t="s">
        <v>44780</v>
      </c>
      <c r="S13241" t="s">
        <v>45691</v>
      </c>
      <c r="T13241" t="s">
        <v>46533</v>
      </c>
      <c r="U13241" t="s">
        <v>57793</v>
      </c>
      <c r="V13241" t="s">
        <v>60618</v>
      </c>
      <c r="W13241" t="s">
        <v>44542</v>
      </c>
      <c r="X13241" t="s">
        <v>44782</v>
      </c>
    </row>
    <row r="13242" spans="1:24">
      <c r="A13242">
        <f>HYPERLINK("https://www.philgeps.gov.ph/GEPSNONPILOT/Tender/SplashBidNoticeAbstractUI.aspx?menuIndex=3&amp;refID=7110187&amp;Result=3","7110187")</f>
        <v>0</v>
      </c>
      <c r="B13242" t="s">
        <v>3613</v>
      </c>
      <c r="C13242" t="s">
        <v>16372</v>
      </c>
      <c r="D13242" t="s">
        <v>17990</v>
      </c>
      <c r="E13242" t="s">
        <v>29480</v>
      </c>
      <c r="F13242" t="s">
        <v>30900</v>
      </c>
      <c r="G13242" t="s">
        <v>30907</v>
      </c>
      <c r="H13242" t="s">
        <v>30917</v>
      </c>
      <c r="I13242" t="s">
        <v>30942</v>
      </c>
      <c r="J13242" t="s">
        <v>31412</v>
      </c>
      <c r="K13242" t="s">
        <v>40304</v>
      </c>
      <c r="M13242" t="s">
        <v>44543</v>
      </c>
      <c r="N13242" t="s">
        <v>44759</v>
      </c>
      <c r="O13242" t="s">
        <v>44760</v>
      </c>
      <c r="P13242">
        <v>0</v>
      </c>
      <c r="Q13242">
        <v>2</v>
      </c>
      <c r="R13242" t="s">
        <v>44780</v>
      </c>
      <c r="S13242" t="s">
        <v>45683</v>
      </c>
      <c r="T13242" t="s">
        <v>46581</v>
      </c>
      <c r="U13242" t="s">
        <v>57800</v>
      </c>
      <c r="V13242" t="s">
        <v>60619</v>
      </c>
      <c r="W13242" t="s">
        <v>44543</v>
      </c>
      <c r="X13242" t="s">
        <v>44782</v>
      </c>
    </row>
    <row r="13243" spans="1:24">
      <c r="A13243">
        <f>HYPERLINK("https://www.philgeps.gov.ph/GEPSNONPILOT/Tender/SplashBidNoticeAbstractUI.aspx?menuIndex=3&amp;refID=7111877&amp;Result=3","7111877")</f>
        <v>0</v>
      </c>
      <c r="B13243" t="s">
        <v>1414</v>
      </c>
      <c r="C13243" t="s">
        <v>16373</v>
      </c>
      <c r="D13243" t="s">
        <v>17977</v>
      </c>
      <c r="E13243" t="s">
        <v>29481</v>
      </c>
      <c r="F13243" t="s">
        <v>30900</v>
      </c>
      <c r="G13243" t="s">
        <v>30907</v>
      </c>
      <c r="H13243" t="s">
        <v>30916</v>
      </c>
      <c r="I13243" t="s">
        <v>30977</v>
      </c>
      <c r="J13243" t="s">
        <v>39288</v>
      </c>
      <c r="K13243" t="s">
        <v>40280</v>
      </c>
      <c r="M13243" t="s">
        <v>44541</v>
      </c>
      <c r="N13243" t="s">
        <v>44759</v>
      </c>
      <c r="O13243" t="s">
        <v>44760</v>
      </c>
      <c r="P13243">
        <v>0</v>
      </c>
      <c r="Q13243">
        <v>1</v>
      </c>
      <c r="R13243" t="s">
        <v>44780</v>
      </c>
      <c r="S13243" t="s">
        <v>45683</v>
      </c>
      <c r="T13243" t="s">
        <v>46389</v>
      </c>
      <c r="U13243" t="s">
        <v>57801</v>
      </c>
      <c r="W13243" t="s">
        <v>44541</v>
      </c>
      <c r="X13243" t="s">
        <v>44782</v>
      </c>
    </row>
    <row r="13244" spans="1:24">
      <c r="A13244">
        <f>HYPERLINK("https://www.philgeps.gov.ph/GEPSNONPILOT/Tender/SplashBidNoticeAbstractUI.aspx?menuIndex=3&amp;refID=7112129&amp;Result=3","7112129")</f>
        <v>0</v>
      </c>
      <c r="B13244" t="s">
        <v>1414</v>
      </c>
      <c r="C13244" t="s">
        <v>16374</v>
      </c>
      <c r="D13244" t="s">
        <v>17977</v>
      </c>
      <c r="E13244" t="s">
        <v>29482</v>
      </c>
      <c r="F13244" t="s">
        <v>30900</v>
      </c>
      <c r="G13244" t="s">
        <v>30907</v>
      </c>
      <c r="H13244" t="s">
        <v>30916</v>
      </c>
      <c r="I13244" t="s">
        <v>30922</v>
      </c>
      <c r="J13244" t="s">
        <v>39289</v>
      </c>
      <c r="K13244" t="s">
        <v>40280</v>
      </c>
      <c r="M13244" t="s">
        <v>44541</v>
      </c>
      <c r="N13244" t="s">
        <v>44759</v>
      </c>
      <c r="O13244" t="s">
        <v>44760</v>
      </c>
      <c r="P13244">
        <v>0</v>
      </c>
      <c r="Q13244">
        <v>2</v>
      </c>
      <c r="R13244" t="s">
        <v>44780</v>
      </c>
      <c r="S13244" t="s">
        <v>45683</v>
      </c>
      <c r="T13244" t="s">
        <v>46389</v>
      </c>
      <c r="U13244" t="s">
        <v>57802</v>
      </c>
      <c r="W13244" t="s">
        <v>44541</v>
      </c>
      <c r="X13244" t="s">
        <v>44782</v>
      </c>
    </row>
    <row r="13245" spans="1:24">
      <c r="A13245">
        <f>HYPERLINK("https://www.philgeps.gov.ph/GEPSNONPILOT/Tender/SplashBidNoticeAbstractUI.aspx?menuIndex=3&amp;refID=7113174&amp;Result=3","7113174")</f>
        <v>0</v>
      </c>
      <c r="B13245" t="s">
        <v>2215</v>
      </c>
      <c r="C13245" t="s">
        <v>16375</v>
      </c>
      <c r="E13245" t="s">
        <v>29483</v>
      </c>
      <c r="F13245" t="s">
        <v>30900</v>
      </c>
      <c r="G13245" t="s">
        <v>30907</v>
      </c>
      <c r="H13245" t="s">
        <v>30915</v>
      </c>
      <c r="I13245" t="s">
        <v>30919</v>
      </c>
      <c r="J13245" t="s">
        <v>31152</v>
      </c>
      <c r="K13245" t="s">
        <v>40293</v>
      </c>
      <c r="M13245" t="s">
        <v>42924</v>
      </c>
      <c r="N13245" t="s">
        <v>44759</v>
      </c>
      <c r="O13245" t="s">
        <v>44760</v>
      </c>
      <c r="P13245">
        <v>0</v>
      </c>
      <c r="Q13245">
        <v>0</v>
      </c>
      <c r="R13245" t="s">
        <v>44780</v>
      </c>
      <c r="S13245" t="s">
        <v>45683</v>
      </c>
      <c r="T13245" t="s">
        <v>46414</v>
      </c>
      <c r="U13245" t="s">
        <v>57803</v>
      </c>
      <c r="W13245" t="s">
        <v>42924</v>
      </c>
      <c r="X13245" t="s">
        <v>44781</v>
      </c>
    </row>
    <row r="13246" spans="1:24">
      <c r="A13246">
        <f>HYPERLINK("https://www.philgeps.gov.ph/GEPSNONPILOT/Tender/SplashBidNoticeAbstractUI.aspx?menuIndex=3&amp;refID=7110945&amp;Result=3","7110945")</f>
        <v>0</v>
      </c>
      <c r="B13246" t="s">
        <v>731</v>
      </c>
      <c r="C13246" t="s">
        <v>16376</v>
      </c>
      <c r="D13246" t="s">
        <v>18003</v>
      </c>
      <c r="E13246" t="s">
        <v>16376</v>
      </c>
      <c r="F13246" t="s">
        <v>30900</v>
      </c>
      <c r="G13246" t="s">
        <v>30907</v>
      </c>
      <c r="H13246" t="s">
        <v>30915</v>
      </c>
      <c r="I13246" t="s">
        <v>30919</v>
      </c>
      <c r="J13246" t="s">
        <v>39290</v>
      </c>
      <c r="K13246" t="s">
        <v>40292</v>
      </c>
      <c r="M13246" t="s">
        <v>41295</v>
      </c>
      <c r="N13246" t="s">
        <v>44759</v>
      </c>
      <c r="O13246" t="s">
        <v>44760</v>
      </c>
      <c r="P13246">
        <v>0</v>
      </c>
      <c r="Q13246">
        <v>4</v>
      </c>
      <c r="R13246" t="s">
        <v>44780</v>
      </c>
      <c r="S13246" t="s">
        <v>45683</v>
      </c>
      <c r="T13246" t="s">
        <v>46409</v>
      </c>
      <c r="U13246" t="s">
        <v>57804</v>
      </c>
      <c r="W13246" t="s">
        <v>41295</v>
      </c>
      <c r="X13246" t="s">
        <v>44782</v>
      </c>
    </row>
    <row r="13247" spans="1:24">
      <c r="A13247">
        <f>HYPERLINK("https://www.philgeps.gov.ph/GEPSNONPILOT/Tender/SplashBidNoticeAbstractUI.aspx?menuIndex=3&amp;refID=7113166&amp;Result=3","7113166")</f>
        <v>0</v>
      </c>
      <c r="B13247" t="s">
        <v>86</v>
      </c>
      <c r="C13247" t="s">
        <v>16377</v>
      </c>
      <c r="D13247" t="s">
        <v>17963</v>
      </c>
      <c r="E13247" t="s">
        <v>29484</v>
      </c>
      <c r="F13247" t="s">
        <v>30900</v>
      </c>
      <c r="G13247" t="s">
        <v>30907</v>
      </c>
      <c r="H13247" t="s">
        <v>30915</v>
      </c>
      <c r="I13247" t="s">
        <v>30919</v>
      </c>
      <c r="J13247" t="s">
        <v>39291</v>
      </c>
      <c r="K13247" t="s">
        <v>40280</v>
      </c>
      <c r="M13247" t="s">
        <v>40633</v>
      </c>
      <c r="N13247" t="s">
        <v>44759</v>
      </c>
      <c r="O13247" t="s">
        <v>44760</v>
      </c>
      <c r="P13247">
        <v>0</v>
      </c>
      <c r="Q13247">
        <v>0</v>
      </c>
      <c r="R13247" t="s">
        <v>44780</v>
      </c>
      <c r="S13247" t="s">
        <v>45683</v>
      </c>
      <c r="T13247" t="s">
        <v>46591</v>
      </c>
      <c r="U13247" t="s">
        <v>57805</v>
      </c>
      <c r="W13247" t="s">
        <v>40633</v>
      </c>
      <c r="X13247" t="s">
        <v>44781</v>
      </c>
    </row>
    <row r="13248" spans="1:24">
      <c r="A13248">
        <f>HYPERLINK("https://www.philgeps.gov.ph/GEPSNONPILOT/Tender/SplashBidNoticeAbstractUI.aspx?menuIndex=3&amp;refID=7113146&amp;Result=3","7113146")</f>
        <v>0</v>
      </c>
      <c r="B13248" t="s">
        <v>86</v>
      </c>
      <c r="C13248" t="s">
        <v>16378</v>
      </c>
      <c r="D13248" t="s">
        <v>17963</v>
      </c>
      <c r="E13248" t="s">
        <v>29485</v>
      </c>
      <c r="F13248" t="s">
        <v>30900</v>
      </c>
      <c r="G13248" t="s">
        <v>30907</v>
      </c>
      <c r="H13248" t="s">
        <v>30915</v>
      </c>
      <c r="I13248" t="s">
        <v>30919</v>
      </c>
      <c r="J13248" t="s">
        <v>39292</v>
      </c>
      <c r="K13248" t="s">
        <v>40280</v>
      </c>
      <c r="M13248" t="s">
        <v>40633</v>
      </c>
      <c r="N13248" t="s">
        <v>44759</v>
      </c>
      <c r="O13248" t="s">
        <v>44760</v>
      </c>
      <c r="P13248">
        <v>0</v>
      </c>
      <c r="Q13248">
        <v>0</v>
      </c>
      <c r="R13248" t="s">
        <v>44780</v>
      </c>
      <c r="S13248" t="s">
        <v>45683</v>
      </c>
      <c r="T13248" t="s">
        <v>46591</v>
      </c>
      <c r="U13248" t="s">
        <v>57806</v>
      </c>
      <c r="W13248" t="s">
        <v>40633</v>
      </c>
      <c r="X13248" t="s">
        <v>44781</v>
      </c>
    </row>
    <row r="13249" spans="1:24">
      <c r="A13249">
        <f>HYPERLINK("https://www.philgeps.gov.ph/GEPSNONPILOT/Tender/SplashBidNoticeAbstractUI.aspx?menuIndex=3&amp;refID=7113169&amp;Result=3","7113169")</f>
        <v>0</v>
      </c>
      <c r="B13249" t="s">
        <v>987</v>
      </c>
      <c r="C13249" t="s">
        <v>16379</v>
      </c>
      <c r="E13249" t="s">
        <v>29486</v>
      </c>
      <c r="F13249" t="s">
        <v>30900</v>
      </c>
      <c r="G13249" t="s">
        <v>30907</v>
      </c>
      <c r="H13249" t="s">
        <v>30916</v>
      </c>
      <c r="I13249" t="s">
        <v>30950</v>
      </c>
      <c r="J13249" t="s">
        <v>39293</v>
      </c>
      <c r="K13249" t="s">
        <v>40289</v>
      </c>
      <c r="M13249" t="s">
        <v>43927</v>
      </c>
      <c r="N13249" t="s">
        <v>44759</v>
      </c>
      <c r="O13249" t="s">
        <v>44760</v>
      </c>
      <c r="Q13249">
        <v>29</v>
      </c>
      <c r="R13249" t="s">
        <v>44780</v>
      </c>
      <c r="S13249" t="s">
        <v>45692</v>
      </c>
      <c r="T13249" t="s">
        <v>46689</v>
      </c>
      <c r="U13249" t="s">
        <v>57807</v>
      </c>
      <c r="W13249" t="s">
        <v>43927</v>
      </c>
      <c r="X13249" t="s">
        <v>44781</v>
      </c>
    </row>
    <row r="13250" spans="1:24">
      <c r="A13250">
        <f>HYPERLINK("https://www.philgeps.gov.ph/GEPSNONPILOT/Tender/SplashBidNoticeAbstractUI.aspx?menuIndex=3&amp;refID=7113129&amp;Result=3","7113129")</f>
        <v>0</v>
      </c>
      <c r="B13250" t="s">
        <v>3419</v>
      </c>
      <c r="C13250" t="s">
        <v>16380</v>
      </c>
      <c r="D13250" t="s">
        <v>17971</v>
      </c>
      <c r="E13250" t="s">
        <v>29487</v>
      </c>
      <c r="F13250" t="s">
        <v>30900</v>
      </c>
      <c r="G13250" t="s">
        <v>30907</v>
      </c>
      <c r="H13250" t="s">
        <v>30916</v>
      </c>
      <c r="I13250" t="s">
        <v>8044</v>
      </c>
      <c r="J13250" t="s">
        <v>39294</v>
      </c>
      <c r="K13250" t="s">
        <v>40286</v>
      </c>
      <c r="M13250" t="s">
        <v>44298</v>
      </c>
      <c r="N13250" t="s">
        <v>44759</v>
      </c>
      <c r="O13250" t="s">
        <v>44760</v>
      </c>
      <c r="P13250">
        <v>0</v>
      </c>
      <c r="Q13250">
        <v>7</v>
      </c>
      <c r="R13250" t="s">
        <v>44780</v>
      </c>
      <c r="S13250" t="s">
        <v>45683</v>
      </c>
      <c r="T13250" t="s">
        <v>46613</v>
      </c>
      <c r="U13250" t="s">
        <v>57808</v>
      </c>
      <c r="W13250" t="s">
        <v>44298</v>
      </c>
      <c r="X13250" t="s">
        <v>44781</v>
      </c>
    </row>
    <row r="13251" spans="1:24">
      <c r="A13251">
        <f>HYPERLINK("https://www.philgeps.gov.ph/GEPSNONPILOT/Tender/SplashBidNoticeAbstractUI.aspx?menuIndex=3&amp;refID=7111929&amp;Result=3","7111929")</f>
        <v>0</v>
      </c>
      <c r="B13251" t="s">
        <v>1414</v>
      </c>
      <c r="C13251" t="s">
        <v>16381</v>
      </c>
      <c r="D13251" t="s">
        <v>17977</v>
      </c>
      <c r="E13251" t="s">
        <v>29488</v>
      </c>
      <c r="F13251" t="s">
        <v>30900</v>
      </c>
      <c r="G13251" t="s">
        <v>30907</v>
      </c>
      <c r="H13251" t="s">
        <v>30916</v>
      </c>
      <c r="I13251" t="s">
        <v>30935</v>
      </c>
      <c r="J13251" t="s">
        <v>39295</v>
      </c>
      <c r="K13251" t="s">
        <v>40280</v>
      </c>
      <c r="M13251" t="s">
        <v>44541</v>
      </c>
      <c r="N13251" t="s">
        <v>44759</v>
      </c>
      <c r="O13251" t="s">
        <v>44760</v>
      </c>
      <c r="Q13251">
        <v>14</v>
      </c>
      <c r="R13251" t="s">
        <v>44780</v>
      </c>
      <c r="S13251" t="s">
        <v>45693</v>
      </c>
      <c r="T13251" t="s">
        <v>46389</v>
      </c>
      <c r="U13251" t="s">
        <v>57809</v>
      </c>
      <c r="W13251" t="s">
        <v>44541</v>
      </c>
      <c r="X13251" t="s">
        <v>44782</v>
      </c>
    </row>
    <row r="13252" spans="1:24">
      <c r="A13252">
        <f>HYPERLINK("https://www.philgeps.gov.ph/GEPSNONPILOT/Tender/SplashBidNoticeAbstractUI.aspx?menuIndex=3&amp;refID=7113071&amp;Result=3","7113071")</f>
        <v>0</v>
      </c>
      <c r="B13252" t="s">
        <v>2601</v>
      </c>
      <c r="C13252" t="s">
        <v>16382</v>
      </c>
      <c r="D13252" t="s">
        <v>17954</v>
      </c>
      <c r="E13252" t="s">
        <v>29489</v>
      </c>
      <c r="F13252" t="s">
        <v>30900</v>
      </c>
      <c r="G13252" t="s">
        <v>30907</v>
      </c>
      <c r="H13252" t="s">
        <v>30915</v>
      </c>
      <c r="I13252" t="s">
        <v>30919</v>
      </c>
      <c r="J13252" t="s">
        <v>31297</v>
      </c>
      <c r="K13252" t="s">
        <v>40391</v>
      </c>
      <c r="M13252" t="s">
        <v>43363</v>
      </c>
      <c r="N13252" t="s">
        <v>44759</v>
      </c>
      <c r="O13252" t="s">
        <v>44760</v>
      </c>
      <c r="P13252">
        <v>0</v>
      </c>
      <c r="Q13252">
        <v>11</v>
      </c>
      <c r="R13252" t="s">
        <v>44780</v>
      </c>
      <c r="S13252" t="s">
        <v>45683</v>
      </c>
      <c r="T13252" t="s">
        <v>46658</v>
      </c>
      <c r="U13252" t="s">
        <v>57810</v>
      </c>
      <c r="W13252" t="s">
        <v>43416</v>
      </c>
      <c r="X13252" t="s">
        <v>44781</v>
      </c>
    </row>
    <row r="13253" spans="1:24">
      <c r="A13253">
        <f>HYPERLINK("https://www.philgeps.gov.ph/GEPSNONPILOT/Tender/SplashBidNoticeAbstractUI.aspx?menuIndex=3&amp;refID=7113130&amp;Result=3","7113130")</f>
        <v>0</v>
      </c>
      <c r="B13253" t="s">
        <v>2435</v>
      </c>
      <c r="C13253" t="s">
        <v>16383</v>
      </c>
      <c r="D13253" t="s">
        <v>18009</v>
      </c>
      <c r="E13253" t="s">
        <v>29178</v>
      </c>
      <c r="F13253" t="s">
        <v>30900</v>
      </c>
      <c r="G13253" t="s">
        <v>30907</v>
      </c>
      <c r="H13253" t="s">
        <v>30915</v>
      </c>
      <c r="I13253" t="s">
        <v>30919</v>
      </c>
      <c r="J13253" t="s">
        <v>39296</v>
      </c>
      <c r="K13253" t="s">
        <v>40312</v>
      </c>
      <c r="M13253" t="s">
        <v>43166</v>
      </c>
      <c r="N13253" t="s">
        <v>44759</v>
      </c>
      <c r="O13253" t="s">
        <v>44760</v>
      </c>
      <c r="P13253">
        <v>0</v>
      </c>
      <c r="Q13253">
        <v>5</v>
      </c>
      <c r="R13253" t="s">
        <v>44780</v>
      </c>
      <c r="S13253" t="s">
        <v>45683</v>
      </c>
      <c r="T13253" t="s">
        <v>46414</v>
      </c>
      <c r="U13253" t="s">
        <v>57811</v>
      </c>
      <c r="W13253" t="s">
        <v>43166</v>
      </c>
      <c r="X13253" t="s">
        <v>44781</v>
      </c>
    </row>
    <row r="13254" spans="1:24">
      <c r="A13254">
        <f>HYPERLINK("https://www.philgeps.gov.ph/GEPSNONPILOT/Tender/SplashBidNoticeAbstractUI.aspx?menuIndex=3&amp;refID=7113079&amp;Result=3","7113079")</f>
        <v>0</v>
      </c>
      <c r="B13254" t="s">
        <v>3614</v>
      </c>
      <c r="C13254" t="s">
        <v>16384</v>
      </c>
      <c r="D13254" t="s">
        <v>18009</v>
      </c>
      <c r="E13254" t="s">
        <v>29490</v>
      </c>
      <c r="F13254" t="s">
        <v>30900</v>
      </c>
      <c r="G13254" t="s">
        <v>30907</v>
      </c>
      <c r="H13254" t="s">
        <v>30916</v>
      </c>
      <c r="I13254" t="s">
        <v>30926</v>
      </c>
      <c r="J13254" t="s">
        <v>31138</v>
      </c>
      <c r="K13254" t="s">
        <v>40286</v>
      </c>
      <c r="M13254" t="s">
        <v>44544</v>
      </c>
      <c r="N13254" t="s">
        <v>44759</v>
      </c>
      <c r="O13254" t="s">
        <v>44760</v>
      </c>
      <c r="P13254">
        <v>0</v>
      </c>
      <c r="Q13254">
        <v>0</v>
      </c>
      <c r="R13254" t="s">
        <v>44780</v>
      </c>
      <c r="S13254" t="s">
        <v>45683</v>
      </c>
      <c r="T13254" t="s">
        <v>46533</v>
      </c>
      <c r="U13254" t="s">
        <v>57812</v>
      </c>
      <c r="W13254" t="s">
        <v>44544</v>
      </c>
      <c r="X13254" t="s">
        <v>44781</v>
      </c>
    </row>
    <row r="13255" spans="1:24">
      <c r="A13255">
        <f>HYPERLINK("https://www.philgeps.gov.ph/GEPSNONPILOT/Tender/SplashBidNoticeAbstractUI.aspx?menuIndex=3&amp;refID=7111469&amp;Result=3","7111469")</f>
        <v>0</v>
      </c>
      <c r="B13255" t="s">
        <v>591</v>
      </c>
      <c r="C13255" t="s">
        <v>16385</v>
      </c>
      <c r="D13255" t="s">
        <v>17998</v>
      </c>
      <c r="E13255" t="s">
        <v>29491</v>
      </c>
      <c r="F13255" t="s">
        <v>30900</v>
      </c>
      <c r="G13255" t="s">
        <v>30907</v>
      </c>
      <c r="H13255" t="s">
        <v>30916</v>
      </c>
      <c r="I13255" t="s">
        <v>4965</v>
      </c>
      <c r="J13255" t="s">
        <v>39297</v>
      </c>
      <c r="K13255" t="s">
        <v>40286</v>
      </c>
      <c r="M13255" t="s">
        <v>41247</v>
      </c>
      <c r="N13255" t="s">
        <v>44759</v>
      </c>
      <c r="O13255" t="s">
        <v>44760</v>
      </c>
      <c r="P13255">
        <v>0</v>
      </c>
      <c r="Q13255">
        <v>5</v>
      </c>
      <c r="R13255" t="s">
        <v>44780</v>
      </c>
      <c r="S13255" t="s">
        <v>45683</v>
      </c>
      <c r="T13255" t="s">
        <v>46389</v>
      </c>
      <c r="U13255" t="s">
        <v>47981</v>
      </c>
      <c r="V13255" t="s">
        <v>59259</v>
      </c>
      <c r="W13255" t="s">
        <v>41247</v>
      </c>
      <c r="X13255" t="s">
        <v>44782</v>
      </c>
    </row>
    <row r="13256" spans="1:24">
      <c r="A13256">
        <f>HYPERLINK("https://www.philgeps.gov.ph/GEPSNONPILOT/Tender/SplashBidNoticeAbstractUI.aspx?menuIndex=3&amp;refID=7113116&amp;Result=3","7113116")</f>
        <v>0</v>
      </c>
      <c r="B13256" t="s">
        <v>86</v>
      </c>
      <c r="C13256" t="s">
        <v>16386</v>
      </c>
      <c r="D13256" t="s">
        <v>17963</v>
      </c>
      <c r="E13256" t="s">
        <v>29492</v>
      </c>
      <c r="F13256" t="s">
        <v>30900</v>
      </c>
      <c r="G13256" t="s">
        <v>30907</v>
      </c>
      <c r="H13256" t="s">
        <v>30915</v>
      </c>
      <c r="I13256" t="s">
        <v>30919</v>
      </c>
      <c r="J13256" t="s">
        <v>31131</v>
      </c>
      <c r="K13256" t="s">
        <v>40280</v>
      </c>
      <c r="M13256" t="s">
        <v>40633</v>
      </c>
      <c r="N13256" t="s">
        <v>44759</v>
      </c>
      <c r="O13256" t="s">
        <v>44760</v>
      </c>
      <c r="P13256">
        <v>0</v>
      </c>
      <c r="Q13256">
        <v>0</v>
      </c>
      <c r="R13256" t="s">
        <v>44780</v>
      </c>
      <c r="S13256" t="s">
        <v>45683</v>
      </c>
      <c r="T13256" t="s">
        <v>46591</v>
      </c>
      <c r="U13256" t="s">
        <v>57813</v>
      </c>
      <c r="W13256" t="s">
        <v>40633</v>
      </c>
      <c r="X13256" t="s">
        <v>44781</v>
      </c>
    </row>
    <row r="13257" spans="1:24">
      <c r="A13257">
        <f>HYPERLINK("https://www.philgeps.gov.ph/GEPSNONPILOT/Tender/SplashBidNoticeAbstractUI.aspx?menuIndex=3&amp;refID=7113044&amp;Result=3","7113044")</f>
        <v>0</v>
      </c>
      <c r="B13257" t="s">
        <v>3615</v>
      </c>
      <c r="C13257" t="s">
        <v>16387</v>
      </c>
      <c r="D13257" t="s">
        <v>17993</v>
      </c>
      <c r="E13257" t="s">
        <v>29493</v>
      </c>
      <c r="F13257" t="s">
        <v>30900</v>
      </c>
      <c r="G13257" t="s">
        <v>30907</v>
      </c>
      <c r="H13257" t="s">
        <v>30915</v>
      </c>
      <c r="I13257" t="s">
        <v>30932</v>
      </c>
      <c r="J13257" t="s">
        <v>39298</v>
      </c>
      <c r="K13257" t="s">
        <v>40287</v>
      </c>
      <c r="M13257" t="s">
        <v>44545</v>
      </c>
      <c r="N13257" t="s">
        <v>44759</v>
      </c>
      <c r="O13257" t="s">
        <v>44760</v>
      </c>
      <c r="P13257">
        <v>0</v>
      </c>
      <c r="Q13257">
        <v>2</v>
      </c>
      <c r="R13257" t="s">
        <v>44780</v>
      </c>
      <c r="S13257" t="s">
        <v>45683</v>
      </c>
      <c r="T13257" t="s">
        <v>46383</v>
      </c>
      <c r="U13257" t="s">
        <v>57814</v>
      </c>
      <c r="V13257" t="s">
        <v>60620</v>
      </c>
      <c r="W13257" t="s">
        <v>44545</v>
      </c>
      <c r="X13257" t="s">
        <v>44781</v>
      </c>
    </row>
    <row r="13258" spans="1:24">
      <c r="A13258">
        <f>HYPERLINK("https://www.philgeps.gov.ph/GEPSNONPILOT/Tender/SplashBidNoticeAbstractUI.aspx?menuIndex=3&amp;refID=7113491&amp;Result=3","7113491")</f>
        <v>0</v>
      </c>
      <c r="B13258" t="s">
        <v>2435</v>
      </c>
      <c r="C13258" t="s">
        <v>16388</v>
      </c>
      <c r="D13258" t="s">
        <v>18009</v>
      </c>
      <c r="E13258" t="s">
        <v>29178</v>
      </c>
      <c r="F13258" t="s">
        <v>30900</v>
      </c>
      <c r="G13258" t="s">
        <v>30907</v>
      </c>
      <c r="H13258" t="s">
        <v>30915</v>
      </c>
      <c r="I13258" t="s">
        <v>30919</v>
      </c>
      <c r="J13258" t="s">
        <v>39299</v>
      </c>
      <c r="K13258" t="s">
        <v>40280</v>
      </c>
      <c r="M13258" t="s">
        <v>43166</v>
      </c>
      <c r="N13258" t="s">
        <v>44759</v>
      </c>
      <c r="O13258" t="s">
        <v>44760</v>
      </c>
      <c r="P13258">
        <v>0</v>
      </c>
      <c r="Q13258">
        <v>1</v>
      </c>
      <c r="R13258" t="s">
        <v>44780</v>
      </c>
      <c r="S13258" t="s">
        <v>45683</v>
      </c>
      <c r="T13258" t="s">
        <v>46414</v>
      </c>
      <c r="U13258" t="s">
        <v>57815</v>
      </c>
      <c r="W13258" t="s">
        <v>43166</v>
      </c>
      <c r="X13258" t="s">
        <v>44781</v>
      </c>
    </row>
    <row r="13259" spans="1:24">
      <c r="A13259">
        <f>HYPERLINK("https://www.philgeps.gov.ph/GEPSNONPILOT/Tender/SplashBidNoticeAbstractUI.aspx?menuIndex=3&amp;refID=7113000&amp;Result=3","7113000")</f>
        <v>0</v>
      </c>
      <c r="B13259" t="s">
        <v>2601</v>
      </c>
      <c r="C13259" t="s">
        <v>16389</v>
      </c>
      <c r="D13259" t="s">
        <v>17954</v>
      </c>
      <c r="E13259" t="s">
        <v>29494</v>
      </c>
      <c r="F13259" t="s">
        <v>30900</v>
      </c>
      <c r="G13259" t="s">
        <v>30907</v>
      </c>
      <c r="H13259" t="s">
        <v>30915</v>
      </c>
      <c r="I13259" t="s">
        <v>30919</v>
      </c>
      <c r="J13259" t="s">
        <v>39300</v>
      </c>
      <c r="K13259" t="s">
        <v>40291</v>
      </c>
      <c r="M13259" t="s">
        <v>43363</v>
      </c>
      <c r="N13259" t="s">
        <v>44759</v>
      </c>
      <c r="O13259" t="s">
        <v>44760</v>
      </c>
      <c r="P13259">
        <v>0</v>
      </c>
      <c r="Q13259">
        <v>3</v>
      </c>
      <c r="R13259" t="s">
        <v>44780</v>
      </c>
      <c r="S13259" t="s">
        <v>45683</v>
      </c>
      <c r="T13259" t="s">
        <v>46658</v>
      </c>
      <c r="U13259" t="s">
        <v>57816</v>
      </c>
      <c r="W13259" t="s">
        <v>43416</v>
      </c>
      <c r="X13259" t="s">
        <v>44782</v>
      </c>
    </row>
    <row r="13260" spans="1:24">
      <c r="A13260">
        <f>HYPERLINK("https://www.philgeps.gov.ph/GEPSNONPILOT/Tender/SplashBidNoticeAbstractUI.aspx?menuIndex=3&amp;refID=7113447&amp;Result=3","7113447")</f>
        <v>0</v>
      </c>
      <c r="B13260" t="s">
        <v>3183</v>
      </c>
      <c r="C13260" t="s">
        <v>16390</v>
      </c>
      <c r="D13260" t="s">
        <v>18017</v>
      </c>
      <c r="E13260" t="s">
        <v>29495</v>
      </c>
      <c r="F13260" t="s">
        <v>30900</v>
      </c>
      <c r="G13260" t="s">
        <v>30907</v>
      </c>
      <c r="H13260" t="s">
        <v>30915</v>
      </c>
      <c r="I13260" t="s">
        <v>30919</v>
      </c>
      <c r="J13260" t="s">
        <v>39301</v>
      </c>
      <c r="K13260" t="s">
        <v>40358</v>
      </c>
      <c r="M13260" t="s">
        <v>44013</v>
      </c>
      <c r="N13260" t="s">
        <v>44759</v>
      </c>
      <c r="O13260" t="s">
        <v>44760</v>
      </c>
      <c r="P13260">
        <v>0</v>
      </c>
      <c r="Q13260">
        <v>3</v>
      </c>
      <c r="R13260" t="s">
        <v>44780</v>
      </c>
      <c r="S13260" t="s">
        <v>45683</v>
      </c>
      <c r="T13260" t="s">
        <v>46924</v>
      </c>
      <c r="U13260" t="s">
        <v>57817</v>
      </c>
      <c r="W13260" t="s">
        <v>44013</v>
      </c>
      <c r="X13260" t="s">
        <v>44781</v>
      </c>
    </row>
    <row r="13261" spans="1:24">
      <c r="A13261">
        <f>HYPERLINK("https://www.philgeps.gov.ph/GEPSNONPILOT/Tender/SplashBidNoticeAbstractUI.aspx?menuIndex=3&amp;refID=7113378&amp;Result=3","7113378")</f>
        <v>0</v>
      </c>
      <c r="B13261" t="s">
        <v>1347</v>
      </c>
      <c r="C13261" t="s">
        <v>16391</v>
      </c>
      <c r="D13261" t="s">
        <v>18003</v>
      </c>
      <c r="E13261" t="s">
        <v>29496</v>
      </c>
      <c r="F13261" t="s">
        <v>30899</v>
      </c>
      <c r="G13261" t="s">
        <v>30907</v>
      </c>
      <c r="H13261" t="s">
        <v>30916</v>
      </c>
      <c r="I13261" t="s">
        <v>4545</v>
      </c>
      <c r="J13261" t="s">
        <v>39302</v>
      </c>
      <c r="K13261" t="s">
        <v>40294</v>
      </c>
      <c r="L13261" t="s">
        <v>1347</v>
      </c>
      <c r="M13261" t="s">
        <v>41969</v>
      </c>
      <c r="N13261" t="s">
        <v>44759</v>
      </c>
      <c r="O13261" t="s">
        <v>44760</v>
      </c>
      <c r="P13261">
        <v>0</v>
      </c>
      <c r="Q13261">
        <v>0</v>
      </c>
      <c r="R13261" t="s">
        <v>44780</v>
      </c>
      <c r="S13261" t="s">
        <v>45683</v>
      </c>
      <c r="T13261" t="s">
        <v>46707</v>
      </c>
      <c r="U13261" t="s">
        <v>57818</v>
      </c>
      <c r="W13261" t="s">
        <v>41969</v>
      </c>
      <c r="X13261" t="s">
        <v>44781</v>
      </c>
    </row>
    <row r="13262" spans="1:24">
      <c r="A13262">
        <f>HYPERLINK("https://www.philgeps.gov.ph/GEPSNONPILOT/Tender/SplashBidNoticeAbstractUI.aspx?menuIndex=3&amp;refID=7113377&amp;Result=3","7113377")</f>
        <v>0</v>
      </c>
      <c r="B13262" t="s">
        <v>3616</v>
      </c>
      <c r="C13262" t="s">
        <v>16392</v>
      </c>
      <c r="D13262" t="s">
        <v>17975</v>
      </c>
      <c r="E13262" t="s">
        <v>29497</v>
      </c>
      <c r="F13262" t="s">
        <v>30900</v>
      </c>
      <c r="G13262" t="s">
        <v>30907</v>
      </c>
      <c r="H13262" t="s">
        <v>30915</v>
      </c>
      <c r="I13262" t="s">
        <v>30919</v>
      </c>
      <c r="J13262" t="s">
        <v>32110</v>
      </c>
      <c r="K13262" t="s">
        <v>40289</v>
      </c>
      <c r="M13262" t="s">
        <v>44546</v>
      </c>
      <c r="N13262" t="s">
        <v>44759</v>
      </c>
      <c r="O13262" t="s">
        <v>44760</v>
      </c>
      <c r="P13262">
        <v>0</v>
      </c>
      <c r="Q13262">
        <v>3</v>
      </c>
      <c r="R13262" t="s">
        <v>44780</v>
      </c>
      <c r="S13262" t="s">
        <v>45683</v>
      </c>
      <c r="T13262" t="s">
        <v>46533</v>
      </c>
      <c r="U13262" t="s">
        <v>57819</v>
      </c>
      <c r="W13262" t="s">
        <v>44546</v>
      </c>
      <c r="X13262" t="s">
        <v>44781</v>
      </c>
    </row>
    <row r="13263" spans="1:24">
      <c r="A13263">
        <f>HYPERLINK("https://www.philgeps.gov.ph/GEPSNONPILOT/Tender/SplashBidNoticeAbstractUI.aspx?menuIndex=3&amp;refID=7113333&amp;Result=3","7113333")</f>
        <v>0</v>
      </c>
      <c r="B13263" t="s">
        <v>3617</v>
      </c>
      <c r="C13263" t="s">
        <v>16393</v>
      </c>
      <c r="D13263" t="s">
        <v>17952</v>
      </c>
      <c r="E13263" t="s">
        <v>22622</v>
      </c>
      <c r="F13263" t="s">
        <v>30900</v>
      </c>
      <c r="G13263" t="s">
        <v>30907</v>
      </c>
      <c r="H13263" t="s">
        <v>30916</v>
      </c>
      <c r="I13263" t="s">
        <v>30923</v>
      </c>
      <c r="J13263" t="s">
        <v>39303</v>
      </c>
      <c r="K13263" t="s">
        <v>40284</v>
      </c>
      <c r="M13263" t="s">
        <v>44547</v>
      </c>
      <c r="N13263" t="s">
        <v>44759</v>
      </c>
      <c r="O13263" t="s">
        <v>44760</v>
      </c>
      <c r="P13263">
        <v>0</v>
      </c>
      <c r="Q13263">
        <v>5</v>
      </c>
      <c r="R13263" t="s">
        <v>44780</v>
      </c>
      <c r="S13263" t="s">
        <v>45683</v>
      </c>
      <c r="T13263" t="s">
        <v>46572</v>
      </c>
      <c r="U13263" t="s">
        <v>57820</v>
      </c>
      <c r="W13263" t="s">
        <v>44547</v>
      </c>
      <c r="X13263" t="s">
        <v>44781</v>
      </c>
    </row>
    <row r="13264" spans="1:24">
      <c r="A13264">
        <f>HYPERLINK("https://www.philgeps.gov.ph/GEPSNONPILOT/Tender/SplashBidNoticeAbstractUI.aspx?menuIndex=3&amp;refID=7113320&amp;Result=3","7113320")</f>
        <v>0</v>
      </c>
      <c r="B13264" t="s">
        <v>3617</v>
      </c>
      <c r="C13264" t="s">
        <v>16394</v>
      </c>
      <c r="D13264" t="s">
        <v>17952</v>
      </c>
      <c r="E13264" t="s">
        <v>22616</v>
      </c>
      <c r="F13264" t="s">
        <v>30900</v>
      </c>
      <c r="G13264" t="s">
        <v>30907</v>
      </c>
      <c r="H13264" t="s">
        <v>30916</v>
      </c>
      <c r="I13264" t="s">
        <v>5501</v>
      </c>
      <c r="J13264" t="s">
        <v>39304</v>
      </c>
      <c r="K13264" t="s">
        <v>40284</v>
      </c>
      <c r="M13264" t="s">
        <v>44547</v>
      </c>
      <c r="N13264" t="s">
        <v>44759</v>
      </c>
      <c r="O13264" t="s">
        <v>44760</v>
      </c>
      <c r="P13264">
        <v>0</v>
      </c>
      <c r="Q13264">
        <v>8</v>
      </c>
      <c r="R13264" t="s">
        <v>44780</v>
      </c>
      <c r="S13264" t="s">
        <v>45683</v>
      </c>
      <c r="T13264" t="s">
        <v>46572</v>
      </c>
      <c r="U13264" t="s">
        <v>57821</v>
      </c>
      <c r="W13264" t="s">
        <v>44547</v>
      </c>
      <c r="X13264" t="s">
        <v>44781</v>
      </c>
    </row>
    <row r="13265" spans="1:24">
      <c r="A13265">
        <f>HYPERLINK("https://www.philgeps.gov.ph/GEPSNONPILOT/Tender/SplashBidNoticeAbstractUI.aspx?menuIndex=3&amp;refID=7113306&amp;Result=3","7113306")</f>
        <v>0</v>
      </c>
      <c r="B13265" t="s">
        <v>3335</v>
      </c>
      <c r="C13265" t="s">
        <v>16395</v>
      </c>
      <c r="D13265" t="s">
        <v>17969</v>
      </c>
      <c r="E13265" t="s">
        <v>29498</v>
      </c>
      <c r="F13265" t="s">
        <v>30900</v>
      </c>
      <c r="G13265" t="s">
        <v>30907</v>
      </c>
      <c r="H13265" t="s">
        <v>30917</v>
      </c>
      <c r="I13265" t="s">
        <v>4004</v>
      </c>
      <c r="J13265" t="s">
        <v>39305</v>
      </c>
      <c r="K13265" t="s">
        <v>40291</v>
      </c>
      <c r="M13265" t="s">
        <v>44197</v>
      </c>
      <c r="N13265" t="s">
        <v>44759</v>
      </c>
      <c r="O13265" t="s">
        <v>44760</v>
      </c>
      <c r="P13265">
        <v>0</v>
      </c>
      <c r="Q13265">
        <v>2</v>
      </c>
      <c r="R13265" t="s">
        <v>44780</v>
      </c>
      <c r="S13265" t="s">
        <v>45683</v>
      </c>
      <c r="T13265" t="s">
        <v>46625</v>
      </c>
      <c r="U13265" t="s">
        <v>57822</v>
      </c>
      <c r="W13265" t="s">
        <v>44197</v>
      </c>
      <c r="X13265" t="s">
        <v>44781</v>
      </c>
    </row>
    <row r="13266" spans="1:24">
      <c r="A13266">
        <f>HYPERLINK("https://www.philgeps.gov.ph/GEPSNONPILOT/Tender/SplashBidNoticeAbstractUI.aspx?menuIndex=3&amp;refID=7113285&amp;Result=3","7113285")</f>
        <v>0</v>
      </c>
      <c r="B13266" t="s">
        <v>2215</v>
      </c>
      <c r="C13266" t="s">
        <v>16396</v>
      </c>
      <c r="E13266" t="s">
        <v>29499</v>
      </c>
      <c r="F13266" t="s">
        <v>30900</v>
      </c>
      <c r="G13266" t="s">
        <v>30907</v>
      </c>
      <c r="H13266" t="s">
        <v>30915</v>
      </c>
      <c r="I13266" t="s">
        <v>30919</v>
      </c>
      <c r="J13266" t="s">
        <v>31297</v>
      </c>
      <c r="K13266" t="s">
        <v>40292</v>
      </c>
      <c r="M13266" t="s">
        <v>42924</v>
      </c>
      <c r="N13266" t="s">
        <v>44759</v>
      </c>
      <c r="O13266" t="s">
        <v>44760</v>
      </c>
      <c r="P13266">
        <v>0</v>
      </c>
      <c r="Q13266">
        <v>0</v>
      </c>
      <c r="R13266" t="s">
        <v>44780</v>
      </c>
      <c r="S13266" t="s">
        <v>45683</v>
      </c>
      <c r="T13266" t="s">
        <v>46414</v>
      </c>
      <c r="U13266" t="s">
        <v>57803</v>
      </c>
      <c r="W13266" t="s">
        <v>42924</v>
      </c>
      <c r="X13266" t="s">
        <v>44781</v>
      </c>
    </row>
    <row r="13267" spans="1:24">
      <c r="A13267">
        <f>HYPERLINK("https://www.philgeps.gov.ph/GEPSNONPILOT/Tender/SplashBidNoticeAbstractUI.aspx?menuIndex=3&amp;refID=7113332&amp;Result=3","7113332")</f>
        <v>0</v>
      </c>
      <c r="B13267" t="s">
        <v>2777</v>
      </c>
      <c r="C13267" t="s">
        <v>16397</v>
      </c>
      <c r="D13267" t="s">
        <v>17993</v>
      </c>
      <c r="E13267" t="s">
        <v>29500</v>
      </c>
      <c r="F13267" t="s">
        <v>30900</v>
      </c>
      <c r="G13267" t="s">
        <v>30907</v>
      </c>
      <c r="H13267" t="s">
        <v>30915</v>
      </c>
      <c r="I13267" t="s">
        <v>30919</v>
      </c>
      <c r="J13267" t="s">
        <v>31152</v>
      </c>
      <c r="K13267" t="s">
        <v>40286</v>
      </c>
      <c r="M13267" t="s">
        <v>43559</v>
      </c>
      <c r="N13267" t="s">
        <v>44759</v>
      </c>
      <c r="O13267" t="s">
        <v>44760</v>
      </c>
      <c r="P13267">
        <v>0</v>
      </c>
      <c r="Q13267">
        <v>2</v>
      </c>
      <c r="R13267" t="s">
        <v>44780</v>
      </c>
      <c r="S13267" t="s">
        <v>45683</v>
      </c>
      <c r="T13267" t="s">
        <v>46421</v>
      </c>
      <c r="U13267" t="s">
        <v>55196</v>
      </c>
      <c r="W13267" t="s">
        <v>43559</v>
      </c>
      <c r="X13267" t="s">
        <v>44781</v>
      </c>
    </row>
    <row r="13268" spans="1:24">
      <c r="A13268">
        <f>HYPERLINK("https://www.philgeps.gov.ph/GEPSNONPILOT/Tender/SplashBidNoticeAbstractUI.aspx?menuIndex=3&amp;refID=7113078&amp;Result=3","7113078")</f>
        <v>0</v>
      </c>
      <c r="B13268" t="s">
        <v>3618</v>
      </c>
      <c r="C13268" t="s">
        <v>16398</v>
      </c>
      <c r="D13268" t="s">
        <v>18031</v>
      </c>
      <c r="E13268" t="s">
        <v>20202</v>
      </c>
      <c r="F13268" t="s">
        <v>30900</v>
      </c>
      <c r="G13268" t="s">
        <v>30907</v>
      </c>
      <c r="H13268" t="s">
        <v>30915</v>
      </c>
      <c r="I13268" t="s">
        <v>30919</v>
      </c>
      <c r="J13268" t="s">
        <v>31241</v>
      </c>
      <c r="K13268" t="s">
        <v>40301</v>
      </c>
      <c r="M13268" t="s">
        <v>44548</v>
      </c>
      <c r="N13268" t="s">
        <v>44759</v>
      </c>
      <c r="O13268" t="s">
        <v>44760</v>
      </c>
      <c r="P13268">
        <v>0</v>
      </c>
      <c r="Q13268">
        <v>0</v>
      </c>
      <c r="R13268" t="s">
        <v>44780</v>
      </c>
      <c r="S13268" t="s">
        <v>45683</v>
      </c>
      <c r="T13268" t="s">
        <v>46357</v>
      </c>
      <c r="U13268" t="s">
        <v>57823</v>
      </c>
      <c r="W13268" t="s">
        <v>44548</v>
      </c>
      <c r="X13268" t="s">
        <v>44781</v>
      </c>
    </row>
    <row r="13269" spans="1:24">
      <c r="A13269">
        <f>HYPERLINK("https://www.philgeps.gov.ph/GEPSNONPILOT/Tender/SplashBidNoticeAbstractUI.aspx?menuIndex=3&amp;refID=7113272&amp;Result=3","7113272")</f>
        <v>0</v>
      </c>
      <c r="B13269" t="s">
        <v>3183</v>
      </c>
      <c r="C13269" t="s">
        <v>16399</v>
      </c>
      <c r="D13269" t="s">
        <v>18017</v>
      </c>
      <c r="E13269" t="s">
        <v>29501</v>
      </c>
      <c r="F13269" t="s">
        <v>30900</v>
      </c>
      <c r="G13269" t="s">
        <v>30907</v>
      </c>
      <c r="H13269" t="s">
        <v>30916</v>
      </c>
      <c r="I13269" t="s">
        <v>4545</v>
      </c>
      <c r="J13269" t="s">
        <v>36620</v>
      </c>
      <c r="K13269" t="s">
        <v>40287</v>
      </c>
      <c r="M13269" t="s">
        <v>44013</v>
      </c>
      <c r="N13269" t="s">
        <v>44759</v>
      </c>
      <c r="O13269" t="s">
        <v>44760</v>
      </c>
      <c r="P13269">
        <v>0</v>
      </c>
      <c r="Q13269">
        <v>5</v>
      </c>
      <c r="R13269" t="s">
        <v>44780</v>
      </c>
      <c r="S13269" t="s">
        <v>45683</v>
      </c>
      <c r="T13269" t="s">
        <v>46591</v>
      </c>
      <c r="U13269" t="s">
        <v>57824</v>
      </c>
      <c r="W13269" t="s">
        <v>44013</v>
      </c>
      <c r="X13269" t="s">
        <v>44781</v>
      </c>
    </row>
    <row r="13270" spans="1:24">
      <c r="A13270">
        <f>HYPERLINK("https://www.philgeps.gov.ph/GEPSNONPILOT/Tender/SplashBidNoticeAbstractUI.aspx?menuIndex=3&amp;refID=7113346&amp;Result=3","7113346")</f>
        <v>0</v>
      </c>
      <c r="B13270" t="s">
        <v>2435</v>
      </c>
      <c r="C13270" t="s">
        <v>16400</v>
      </c>
      <c r="D13270" t="s">
        <v>18009</v>
      </c>
      <c r="E13270" t="s">
        <v>29178</v>
      </c>
      <c r="F13270" t="s">
        <v>30900</v>
      </c>
      <c r="G13270" t="s">
        <v>30907</v>
      </c>
      <c r="H13270" t="s">
        <v>30915</v>
      </c>
      <c r="I13270" t="s">
        <v>30919</v>
      </c>
      <c r="J13270" t="s">
        <v>39306</v>
      </c>
      <c r="K13270" t="s">
        <v>40280</v>
      </c>
      <c r="M13270" t="s">
        <v>43166</v>
      </c>
      <c r="N13270" t="s">
        <v>44759</v>
      </c>
      <c r="O13270" t="s">
        <v>44760</v>
      </c>
      <c r="P13270">
        <v>0</v>
      </c>
      <c r="Q13270">
        <v>1</v>
      </c>
      <c r="R13270" t="s">
        <v>44780</v>
      </c>
      <c r="S13270" t="s">
        <v>45683</v>
      </c>
      <c r="T13270" t="s">
        <v>46414</v>
      </c>
      <c r="U13270" t="s">
        <v>57825</v>
      </c>
      <c r="W13270" t="s">
        <v>43166</v>
      </c>
      <c r="X13270" t="s">
        <v>44781</v>
      </c>
    </row>
    <row r="13271" spans="1:24">
      <c r="A13271">
        <f>HYPERLINK("https://www.philgeps.gov.ph/GEPSNONPILOT/Tender/SplashBidNoticeAbstractUI.aspx?menuIndex=3&amp;refID=7113268&amp;Result=3","7113268")</f>
        <v>0</v>
      </c>
      <c r="B13271" t="s">
        <v>3619</v>
      </c>
      <c r="C13271" t="s">
        <v>16401</v>
      </c>
      <c r="D13271" t="s">
        <v>17976</v>
      </c>
      <c r="E13271" t="s">
        <v>29502</v>
      </c>
      <c r="F13271" t="s">
        <v>30900</v>
      </c>
      <c r="G13271" t="s">
        <v>30907</v>
      </c>
      <c r="H13271" t="s">
        <v>30916</v>
      </c>
      <c r="I13271" t="s">
        <v>30985</v>
      </c>
      <c r="J13271" t="s">
        <v>35994</v>
      </c>
      <c r="K13271" t="s">
        <v>40280</v>
      </c>
      <c r="M13271" t="s">
        <v>44549</v>
      </c>
      <c r="N13271" t="s">
        <v>44759</v>
      </c>
      <c r="O13271" t="s">
        <v>44760</v>
      </c>
      <c r="P13271">
        <v>0</v>
      </c>
      <c r="Q13271">
        <v>11</v>
      </c>
      <c r="R13271" t="s">
        <v>44780</v>
      </c>
      <c r="S13271" t="s">
        <v>45683</v>
      </c>
      <c r="T13271" t="s">
        <v>46768</v>
      </c>
      <c r="U13271" t="s">
        <v>57826</v>
      </c>
      <c r="W13271" t="s">
        <v>44549</v>
      </c>
      <c r="X13271" t="s">
        <v>44781</v>
      </c>
    </row>
    <row r="13272" spans="1:24">
      <c r="A13272">
        <f>HYPERLINK("https://www.philgeps.gov.ph/GEPSNONPILOT/Tender/SplashBidNoticeAbstractUI.aspx?menuIndex=3&amp;refID=7112215&amp;Result=3","7112215")</f>
        <v>0</v>
      </c>
      <c r="B13272" t="s">
        <v>2665</v>
      </c>
      <c r="C13272" t="s">
        <v>16402</v>
      </c>
      <c r="D13272" t="s">
        <v>18035</v>
      </c>
      <c r="E13272" t="s">
        <v>29503</v>
      </c>
      <c r="F13272" t="s">
        <v>30900</v>
      </c>
      <c r="G13272" t="s">
        <v>30907</v>
      </c>
      <c r="H13272" t="s">
        <v>30916</v>
      </c>
      <c r="I13272" t="s">
        <v>4454</v>
      </c>
      <c r="J13272" t="s">
        <v>31049</v>
      </c>
      <c r="K13272" t="s">
        <v>40286</v>
      </c>
      <c r="M13272" t="s">
        <v>43435</v>
      </c>
      <c r="N13272" t="s">
        <v>44759</v>
      </c>
      <c r="O13272" t="s">
        <v>44760</v>
      </c>
      <c r="P13272">
        <v>0</v>
      </c>
      <c r="Q13272">
        <v>0</v>
      </c>
      <c r="R13272" t="s">
        <v>44780</v>
      </c>
      <c r="S13272" t="s">
        <v>45683</v>
      </c>
      <c r="T13272" t="s">
        <v>46439</v>
      </c>
      <c r="U13272" t="s">
        <v>57827</v>
      </c>
      <c r="V13272" t="s">
        <v>59134</v>
      </c>
      <c r="W13272" t="s">
        <v>43435</v>
      </c>
      <c r="X13272" t="s">
        <v>44782</v>
      </c>
    </row>
    <row r="13273" spans="1:24">
      <c r="A13273">
        <f>HYPERLINK("https://www.philgeps.gov.ph/GEPSNONPILOT/Tender/SplashBidNoticeAbstractUI.aspx?menuIndex=3&amp;refID=7113230&amp;Result=3","7113230")</f>
        <v>0</v>
      </c>
      <c r="B13273" t="s">
        <v>2435</v>
      </c>
      <c r="C13273" t="s">
        <v>16403</v>
      </c>
      <c r="D13273" t="s">
        <v>18009</v>
      </c>
      <c r="E13273" t="s">
        <v>29178</v>
      </c>
      <c r="F13273" t="s">
        <v>30900</v>
      </c>
      <c r="G13273" t="s">
        <v>30907</v>
      </c>
      <c r="H13273" t="s">
        <v>30915</v>
      </c>
      <c r="I13273" t="s">
        <v>30919</v>
      </c>
      <c r="J13273" t="s">
        <v>39306</v>
      </c>
      <c r="K13273" t="s">
        <v>40431</v>
      </c>
      <c r="M13273" t="s">
        <v>43166</v>
      </c>
      <c r="N13273" t="s">
        <v>44759</v>
      </c>
      <c r="O13273" t="s">
        <v>44760</v>
      </c>
      <c r="P13273">
        <v>0</v>
      </c>
      <c r="Q13273">
        <v>2</v>
      </c>
      <c r="R13273" t="s">
        <v>44780</v>
      </c>
      <c r="S13273" t="s">
        <v>45683</v>
      </c>
      <c r="T13273" t="s">
        <v>46414</v>
      </c>
      <c r="U13273" t="s">
        <v>57828</v>
      </c>
      <c r="W13273" t="s">
        <v>43166</v>
      </c>
      <c r="X13273" t="s">
        <v>44781</v>
      </c>
    </row>
    <row r="13274" spans="1:24">
      <c r="A13274">
        <f>HYPERLINK("https://www.philgeps.gov.ph/GEPSNONPILOT/Tender/SplashBidNoticeAbstractUI.aspx?menuIndex=3&amp;refID=7113198&amp;Result=3","7113198")</f>
        <v>0</v>
      </c>
      <c r="B13274" t="s">
        <v>2215</v>
      </c>
      <c r="C13274" t="s">
        <v>16404</v>
      </c>
      <c r="E13274" t="s">
        <v>29504</v>
      </c>
      <c r="F13274" t="s">
        <v>30900</v>
      </c>
      <c r="G13274" t="s">
        <v>30907</v>
      </c>
      <c r="H13274" t="s">
        <v>30915</v>
      </c>
      <c r="I13274" t="s">
        <v>30919</v>
      </c>
      <c r="J13274" t="s">
        <v>31152</v>
      </c>
      <c r="K13274" t="s">
        <v>40293</v>
      </c>
      <c r="M13274" t="s">
        <v>42924</v>
      </c>
      <c r="N13274" t="s">
        <v>44759</v>
      </c>
      <c r="O13274" t="s">
        <v>44760</v>
      </c>
      <c r="P13274">
        <v>0</v>
      </c>
      <c r="Q13274">
        <v>0</v>
      </c>
      <c r="R13274" t="s">
        <v>44780</v>
      </c>
      <c r="S13274" t="s">
        <v>45683</v>
      </c>
      <c r="T13274" t="s">
        <v>46414</v>
      </c>
      <c r="U13274" t="s">
        <v>57803</v>
      </c>
      <c r="W13274" t="s">
        <v>42924</v>
      </c>
      <c r="X13274" t="s">
        <v>44781</v>
      </c>
    </row>
    <row r="13275" spans="1:24">
      <c r="A13275">
        <f>HYPERLINK("https://www.philgeps.gov.ph/GEPSNONPILOT/Tender/SplashBidNoticeAbstractUI.aspx?menuIndex=3&amp;refID=7113042&amp;Result=3","7113042")</f>
        <v>0</v>
      </c>
      <c r="B13275" t="s">
        <v>3620</v>
      </c>
      <c r="C13275" t="s">
        <v>16405</v>
      </c>
      <c r="D13275" t="s">
        <v>17993</v>
      </c>
      <c r="E13275" t="s">
        <v>29505</v>
      </c>
      <c r="F13275" t="s">
        <v>30900</v>
      </c>
      <c r="G13275" t="s">
        <v>30907</v>
      </c>
      <c r="H13275" t="s">
        <v>30917</v>
      </c>
      <c r="I13275" t="s">
        <v>30932</v>
      </c>
      <c r="J13275" t="s">
        <v>39307</v>
      </c>
      <c r="K13275" t="s">
        <v>40287</v>
      </c>
      <c r="M13275" t="s">
        <v>44550</v>
      </c>
      <c r="N13275" t="s">
        <v>44759</v>
      </c>
      <c r="O13275" t="s">
        <v>44760</v>
      </c>
      <c r="P13275">
        <v>0</v>
      </c>
      <c r="Q13275">
        <v>1</v>
      </c>
      <c r="R13275" t="s">
        <v>44780</v>
      </c>
      <c r="S13275" t="s">
        <v>45683</v>
      </c>
      <c r="T13275" t="s">
        <v>46414</v>
      </c>
      <c r="U13275" t="s">
        <v>57829</v>
      </c>
      <c r="W13275" t="s">
        <v>44550</v>
      </c>
      <c r="X13275" t="s">
        <v>44781</v>
      </c>
    </row>
    <row r="13276" spans="1:24">
      <c r="A13276">
        <f>HYPERLINK("https://www.philgeps.gov.ph/GEPSNONPILOT/Tender/SplashBidNoticeAbstractUI.aspx?menuIndex=3&amp;refID=7113245&amp;Result=3","7113245")</f>
        <v>0</v>
      </c>
      <c r="B13276" t="s">
        <v>161</v>
      </c>
      <c r="C13276" t="s">
        <v>16406</v>
      </c>
      <c r="D13276" t="s">
        <v>17999</v>
      </c>
      <c r="E13276" t="s">
        <v>29506</v>
      </c>
      <c r="F13276" t="s">
        <v>30900</v>
      </c>
      <c r="G13276" t="s">
        <v>30907</v>
      </c>
      <c r="H13276" t="s">
        <v>30916</v>
      </c>
      <c r="I13276" t="s">
        <v>30936</v>
      </c>
      <c r="J13276" t="s">
        <v>39308</v>
      </c>
      <c r="K13276" t="s">
        <v>40286</v>
      </c>
      <c r="M13276" t="s">
        <v>40708</v>
      </c>
      <c r="N13276" t="s">
        <v>44759</v>
      </c>
      <c r="O13276" t="s">
        <v>44760</v>
      </c>
      <c r="Q13276">
        <v>1</v>
      </c>
      <c r="R13276" t="s">
        <v>44780</v>
      </c>
      <c r="S13276" t="s">
        <v>45694</v>
      </c>
      <c r="T13276" t="s">
        <v>46625</v>
      </c>
      <c r="U13276" t="s">
        <v>57830</v>
      </c>
      <c r="V13276" t="s">
        <v>60621</v>
      </c>
      <c r="W13276" t="s">
        <v>40708</v>
      </c>
      <c r="X13276" t="s">
        <v>44781</v>
      </c>
    </row>
    <row r="13277" spans="1:24">
      <c r="A13277">
        <f>HYPERLINK("https://www.philgeps.gov.ph/GEPSNONPILOT/Tender/SplashBidNoticeAbstractUI.aspx?menuIndex=3&amp;refID=7113264&amp;Result=3","7113264")</f>
        <v>0</v>
      </c>
      <c r="B13277" t="s">
        <v>2215</v>
      </c>
      <c r="C13277" t="s">
        <v>16407</v>
      </c>
      <c r="E13277" t="s">
        <v>29507</v>
      </c>
      <c r="F13277" t="s">
        <v>30900</v>
      </c>
      <c r="G13277" t="s">
        <v>30907</v>
      </c>
      <c r="H13277" t="s">
        <v>30915</v>
      </c>
      <c r="I13277" t="s">
        <v>30919</v>
      </c>
      <c r="J13277" t="s">
        <v>31152</v>
      </c>
      <c r="K13277" t="s">
        <v>40293</v>
      </c>
      <c r="M13277" t="s">
        <v>42924</v>
      </c>
      <c r="N13277" t="s">
        <v>44759</v>
      </c>
      <c r="O13277" t="s">
        <v>44760</v>
      </c>
      <c r="P13277">
        <v>0</v>
      </c>
      <c r="Q13277">
        <v>0</v>
      </c>
      <c r="R13277" t="s">
        <v>44780</v>
      </c>
      <c r="S13277" t="s">
        <v>45683</v>
      </c>
      <c r="T13277" t="s">
        <v>46414</v>
      </c>
      <c r="U13277" t="s">
        <v>57803</v>
      </c>
      <c r="W13277" t="s">
        <v>42924</v>
      </c>
      <c r="X13277" t="s">
        <v>44781</v>
      </c>
    </row>
    <row r="13278" spans="1:24">
      <c r="A13278">
        <f>HYPERLINK("https://www.philgeps.gov.ph/GEPSNONPILOT/Tender/SplashBidNoticeAbstractUI.aspx?menuIndex=3&amp;refID=7113225&amp;Result=3","7113225")</f>
        <v>0</v>
      </c>
      <c r="B13278" t="s">
        <v>987</v>
      </c>
      <c r="C13278" t="s">
        <v>16408</v>
      </c>
      <c r="E13278" t="s">
        <v>29508</v>
      </c>
      <c r="F13278" t="s">
        <v>30900</v>
      </c>
      <c r="G13278" t="s">
        <v>30907</v>
      </c>
      <c r="H13278" t="s">
        <v>30916</v>
      </c>
      <c r="I13278" t="s">
        <v>30950</v>
      </c>
      <c r="J13278" t="s">
        <v>39309</v>
      </c>
      <c r="K13278" t="s">
        <v>40289</v>
      </c>
      <c r="M13278" t="s">
        <v>43927</v>
      </c>
      <c r="N13278" t="s">
        <v>44759</v>
      </c>
      <c r="O13278" t="s">
        <v>44760</v>
      </c>
      <c r="Q13278">
        <v>25</v>
      </c>
      <c r="R13278" t="s">
        <v>44780</v>
      </c>
      <c r="S13278" t="s">
        <v>45695</v>
      </c>
      <c r="T13278" t="s">
        <v>46689</v>
      </c>
      <c r="U13278" t="s">
        <v>57831</v>
      </c>
      <c r="W13278" t="s">
        <v>43927</v>
      </c>
      <c r="X13278" t="s">
        <v>44781</v>
      </c>
    </row>
    <row r="13279" spans="1:24">
      <c r="A13279">
        <f>HYPERLINK("https://www.philgeps.gov.ph/GEPSNONPILOT/Tender/SplashBidNoticeAbstractUI.aspx?menuIndex=3&amp;refID=7113212&amp;Result=3","7113212")</f>
        <v>0</v>
      </c>
      <c r="B13279" t="s">
        <v>86</v>
      </c>
      <c r="C13279" t="s">
        <v>16409</v>
      </c>
      <c r="D13279" t="s">
        <v>17963</v>
      </c>
      <c r="E13279" t="s">
        <v>29509</v>
      </c>
      <c r="F13279" t="s">
        <v>30900</v>
      </c>
      <c r="G13279" t="s">
        <v>30907</v>
      </c>
      <c r="H13279" t="s">
        <v>30915</v>
      </c>
      <c r="I13279" t="s">
        <v>30919</v>
      </c>
      <c r="J13279" t="s">
        <v>39310</v>
      </c>
      <c r="K13279" t="s">
        <v>40280</v>
      </c>
      <c r="M13279" t="s">
        <v>40633</v>
      </c>
      <c r="N13279" t="s">
        <v>44759</v>
      </c>
      <c r="O13279" t="s">
        <v>44760</v>
      </c>
      <c r="P13279">
        <v>0</v>
      </c>
      <c r="Q13279">
        <v>0</v>
      </c>
      <c r="R13279" t="s">
        <v>44780</v>
      </c>
      <c r="S13279" t="s">
        <v>45683</v>
      </c>
      <c r="T13279" t="s">
        <v>46591</v>
      </c>
      <c r="U13279" t="s">
        <v>57832</v>
      </c>
      <c r="W13279" t="s">
        <v>40633</v>
      </c>
      <c r="X13279" t="s">
        <v>44781</v>
      </c>
    </row>
    <row r="13280" spans="1:24">
      <c r="A13280">
        <f>HYPERLINK("https://www.philgeps.gov.ph/GEPSNONPILOT/Tender/SplashBidNoticeAbstractUI.aspx?menuIndex=3&amp;refID=7113794&amp;Result=3","7113794")</f>
        <v>0</v>
      </c>
      <c r="B13280" t="s">
        <v>856</v>
      </c>
      <c r="C13280" t="s">
        <v>16410</v>
      </c>
      <c r="D13280" t="s">
        <v>17971</v>
      </c>
      <c r="E13280" t="s">
        <v>29510</v>
      </c>
      <c r="F13280" t="s">
        <v>30900</v>
      </c>
      <c r="G13280" t="s">
        <v>30907</v>
      </c>
      <c r="H13280" t="s">
        <v>30916</v>
      </c>
      <c r="I13280" t="s">
        <v>9385</v>
      </c>
      <c r="J13280" t="s">
        <v>36821</v>
      </c>
      <c r="K13280" t="s">
        <v>40286</v>
      </c>
      <c r="M13280" t="s">
        <v>41429</v>
      </c>
      <c r="N13280" t="s">
        <v>44759</v>
      </c>
      <c r="O13280" t="s">
        <v>44760</v>
      </c>
      <c r="P13280">
        <v>0</v>
      </c>
      <c r="Q13280">
        <v>29</v>
      </c>
      <c r="R13280" t="s">
        <v>44780</v>
      </c>
      <c r="S13280" t="s">
        <v>45683</v>
      </c>
      <c r="T13280" t="s">
        <v>46450</v>
      </c>
      <c r="U13280" t="s">
        <v>57833</v>
      </c>
      <c r="W13280" t="s">
        <v>41429</v>
      </c>
      <c r="X13280" t="s">
        <v>44781</v>
      </c>
    </row>
    <row r="13281" spans="1:24">
      <c r="A13281">
        <f>HYPERLINK("https://www.philgeps.gov.ph/GEPSNONPILOT/Tender/SplashBidNoticeAbstractUI.aspx?menuIndex=3&amp;refID=7113305&amp;Result=3","7113305")</f>
        <v>0</v>
      </c>
      <c r="B13281" t="s">
        <v>2456</v>
      </c>
      <c r="C13281" t="s">
        <v>16411</v>
      </c>
      <c r="D13281" t="s">
        <v>17998</v>
      </c>
      <c r="E13281" t="s">
        <v>24339</v>
      </c>
      <c r="F13281" t="s">
        <v>30900</v>
      </c>
      <c r="G13281" t="s">
        <v>30907</v>
      </c>
      <c r="H13281" t="s">
        <v>30916</v>
      </c>
      <c r="I13281" t="s">
        <v>30933</v>
      </c>
      <c r="J13281" t="s">
        <v>39311</v>
      </c>
      <c r="K13281" t="s">
        <v>40286</v>
      </c>
      <c r="M13281" t="s">
        <v>43193</v>
      </c>
      <c r="N13281" t="s">
        <v>44759</v>
      </c>
      <c r="O13281" t="s">
        <v>44760</v>
      </c>
      <c r="P13281">
        <v>0</v>
      </c>
      <c r="Q13281">
        <v>4</v>
      </c>
      <c r="R13281" t="s">
        <v>44780</v>
      </c>
      <c r="S13281" t="s">
        <v>45683</v>
      </c>
      <c r="T13281" t="s">
        <v>46533</v>
      </c>
      <c r="U13281" t="s">
        <v>52923</v>
      </c>
      <c r="W13281" t="s">
        <v>43193</v>
      </c>
      <c r="X13281" t="s">
        <v>44781</v>
      </c>
    </row>
    <row r="13282" spans="1:24">
      <c r="A13282">
        <f>HYPERLINK("https://www.philgeps.gov.ph/GEPSNONPILOT/Tender/SplashBidNoticeAbstractUI.aspx?menuIndex=3&amp;refID=7113690&amp;Result=3","7113690")</f>
        <v>0</v>
      </c>
      <c r="B13282" t="s">
        <v>3621</v>
      </c>
      <c r="C13282" t="s">
        <v>16412</v>
      </c>
      <c r="D13282" t="s">
        <v>17978</v>
      </c>
      <c r="E13282" t="s">
        <v>29511</v>
      </c>
      <c r="F13282" t="s">
        <v>30900</v>
      </c>
      <c r="G13282" t="s">
        <v>30907</v>
      </c>
      <c r="H13282" t="s">
        <v>30915</v>
      </c>
      <c r="I13282" t="s">
        <v>30919</v>
      </c>
      <c r="J13282" t="s">
        <v>31247</v>
      </c>
      <c r="K13282" t="s">
        <v>40286</v>
      </c>
      <c r="M13282" t="s">
        <v>44551</v>
      </c>
      <c r="N13282" t="s">
        <v>44759</v>
      </c>
      <c r="O13282" t="s">
        <v>44760</v>
      </c>
      <c r="P13282">
        <v>0</v>
      </c>
      <c r="Q13282">
        <v>1</v>
      </c>
      <c r="R13282" t="s">
        <v>44780</v>
      </c>
      <c r="S13282" t="s">
        <v>45683</v>
      </c>
      <c r="T13282" t="s">
        <v>46374</v>
      </c>
      <c r="U13282" t="s">
        <v>55952</v>
      </c>
      <c r="V13282" t="s">
        <v>59692</v>
      </c>
      <c r="W13282" t="s">
        <v>44551</v>
      </c>
      <c r="X13282" t="s">
        <v>44781</v>
      </c>
    </row>
    <row r="13283" spans="1:24">
      <c r="A13283">
        <f>HYPERLINK("https://www.philgeps.gov.ph/GEPSNONPILOT/Tender/SplashBidNoticeAbstractUI.aspx?menuIndex=3&amp;refID=7113739&amp;Result=3","7113739")</f>
        <v>0</v>
      </c>
      <c r="B13283" t="s">
        <v>2808</v>
      </c>
      <c r="C13283" t="s">
        <v>16413</v>
      </c>
      <c r="D13283" t="s">
        <v>17957</v>
      </c>
      <c r="E13283" t="s">
        <v>29512</v>
      </c>
      <c r="F13283" t="s">
        <v>30900</v>
      </c>
      <c r="G13283" t="s">
        <v>30907</v>
      </c>
      <c r="H13283" t="s">
        <v>30915</v>
      </c>
      <c r="I13283" t="s">
        <v>30919</v>
      </c>
      <c r="J13283" t="s">
        <v>39312</v>
      </c>
      <c r="K13283" t="s">
        <v>40361</v>
      </c>
      <c r="M13283" t="s">
        <v>43593</v>
      </c>
      <c r="N13283" t="s">
        <v>44759</v>
      </c>
      <c r="O13283" t="s">
        <v>44760</v>
      </c>
      <c r="P13283">
        <v>0</v>
      </c>
      <c r="Q13283">
        <v>0</v>
      </c>
      <c r="R13283" t="s">
        <v>44780</v>
      </c>
      <c r="S13283" t="s">
        <v>45683</v>
      </c>
      <c r="T13283" t="s">
        <v>46533</v>
      </c>
      <c r="U13283" t="s">
        <v>57834</v>
      </c>
      <c r="W13283" t="s">
        <v>43593</v>
      </c>
      <c r="X13283" t="s">
        <v>44781</v>
      </c>
    </row>
    <row r="13284" spans="1:24">
      <c r="A13284">
        <f>HYPERLINK("https://www.philgeps.gov.ph/GEPSNONPILOT/Tender/SplashBidNoticeAbstractUI.aspx?menuIndex=3&amp;refID=7113684&amp;Result=3","7113684")</f>
        <v>0</v>
      </c>
      <c r="B13284" t="s">
        <v>538</v>
      </c>
      <c r="C13284" t="s">
        <v>16414</v>
      </c>
      <c r="D13284" t="s">
        <v>18002</v>
      </c>
      <c r="E13284" t="s">
        <v>29513</v>
      </c>
      <c r="F13284" t="s">
        <v>30900</v>
      </c>
      <c r="G13284" t="s">
        <v>30907</v>
      </c>
      <c r="H13284" t="s">
        <v>30916</v>
      </c>
      <c r="I13284" t="s">
        <v>4142</v>
      </c>
      <c r="J13284" t="s">
        <v>35962</v>
      </c>
      <c r="K13284" t="s">
        <v>40289</v>
      </c>
      <c r="M13284" t="s">
        <v>41098</v>
      </c>
      <c r="N13284" t="s">
        <v>44759</v>
      </c>
      <c r="O13284" t="s">
        <v>44760</v>
      </c>
      <c r="P13284">
        <v>0</v>
      </c>
      <c r="Q13284">
        <v>11</v>
      </c>
      <c r="R13284" t="s">
        <v>44780</v>
      </c>
      <c r="S13284" t="s">
        <v>45683</v>
      </c>
      <c r="T13284" t="s">
        <v>46533</v>
      </c>
      <c r="U13284" t="s">
        <v>57835</v>
      </c>
      <c r="W13284" t="s">
        <v>41098</v>
      </c>
      <c r="X13284" t="s">
        <v>44781</v>
      </c>
    </row>
    <row r="13285" spans="1:24">
      <c r="A13285">
        <f>HYPERLINK("https://www.philgeps.gov.ph/GEPSNONPILOT/Tender/SplashBidNoticeAbstractUI.aspx?menuIndex=3&amp;refID=7113670&amp;Result=3","7113670")</f>
        <v>0</v>
      </c>
      <c r="B13285" t="s">
        <v>3621</v>
      </c>
      <c r="C13285" t="s">
        <v>16415</v>
      </c>
      <c r="D13285" t="s">
        <v>17978</v>
      </c>
      <c r="E13285" t="s">
        <v>29511</v>
      </c>
      <c r="F13285" t="s">
        <v>30900</v>
      </c>
      <c r="G13285" t="s">
        <v>30907</v>
      </c>
      <c r="H13285" t="s">
        <v>30915</v>
      </c>
      <c r="I13285" t="s">
        <v>30919</v>
      </c>
      <c r="J13285" t="s">
        <v>31183</v>
      </c>
      <c r="K13285" t="s">
        <v>40286</v>
      </c>
      <c r="M13285" t="s">
        <v>44551</v>
      </c>
      <c r="N13285" t="s">
        <v>44759</v>
      </c>
      <c r="O13285" t="s">
        <v>44760</v>
      </c>
      <c r="P13285">
        <v>0</v>
      </c>
      <c r="Q13285">
        <v>1</v>
      </c>
      <c r="R13285" t="s">
        <v>44780</v>
      </c>
      <c r="S13285" t="s">
        <v>45683</v>
      </c>
      <c r="T13285" t="s">
        <v>46403</v>
      </c>
      <c r="U13285" t="s">
        <v>57836</v>
      </c>
      <c r="V13285" t="s">
        <v>60461</v>
      </c>
      <c r="W13285" t="s">
        <v>44551</v>
      </c>
      <c r="X13285" t="s">
        <v>44781</v>
      </c>
    </row>
    <row r="13286" spans="1:24">
      <c r="A13286">
        <f>HYPERLINK("https://www.philgeps.gov.ph/GEPSNONPILOT/Tender/SplashBidNoticeAbstractUI.aspx?menuIndex=3&amp;refID=7113651&amp;Result=3","7113651")</f>
        <v>0</v>
      </c>
      <c r="B13286" t="s">
        <v>186</v>
      </c>
      <c r="C13286" t="s">
        <v>16416</v>
      </c>
      <c r="D13286" t="s">
        <v>17957</v>
      </c>
      <c r="E13286" t="s">
        <v>29514</v>
      </c>
      <c r="F13286" t="s">
        <v>30900</v>
      </c>
      <c r="G13286" t="s">
        <v>30907</v>
      </c>
      <c r="H13286" t="s">
        <v>30916</v>
      </c>
      <c r="I13286" t="s">
        <v>30923</v>
      </c>
      <c r="J13286" t="s">
        <v>39313</v>
      </c>
      <c r="K13286" t="s">
        <v>40286</v>
      </c>
      <c r="M13286" t="s">
        <v>40733</v>
      </c>
      <c r="N13286" t="s">
        <v>44759</v>
      </c>
      <c r="O13286" t="s">
        <v>44760</v>
      </c>
      <c r="P13286">
        <v>0</v>
      </c>
      <c r="Q13286">
        <v>2</v>
      </c>
      <c r="R13286" t="s">
        <v>44780</v>
      </c>
      <c r="S13286" t="s">
        <v>45683</v>
      </c>
      <c r="T13286" t="s">
        <v>46403</v>
      </c>
      <c r="U13286" t="s">
        <v>57837</v>
      </c>
      <c r="V13286" t="s">
        <v>60622</v>
      </c>
      <c r="W13286" t="s">
        <v>40733</v>
      </c>
      <c r="X13286" t="s">
        <v>44781</v>
      </c>
    </row>
    <row r="13287" spans="1:24">
      <c r="A13287">
        <f>HYPERLINK("https://www.philgeps.gov.ph/GEPSNONPILOT/Tender/SplashBidNoticeAbstractUI.aspx?menuIndex=3&amp;refID=7113792&amp;Result=3","7113792")</f>
        <v>0</v>
      </c>
      <c r="B13287" t="s">
        <v>212</v>
      </c>
      <c r="C13287" t="s">
        <v>16417</v>
      </c>
      <c r="D13287" t="s">
        <v>17962</v>
      </c>
      <c r="E13287" t="s">
        <v>29515</v>
      </c>
      <c r="F13287" t="s">
        <v>30900</v>
      </c>
      <c r="G13287" t="s">
        <v>30907</v>
      </c>
      <c r="H13287" t="s">
        <v>30916</v>
      </c>
      <c r="I13287" t="s">
        <v>30960</v>
      </c>
      <c r="J13287" t="s">
        <v>39314</v>
      </c>
      <c r="K13287" t="s">
        <v>40291</v>
      </c>
      <c r="M13287" t="s">
        <v>40759</v>
      </c>
      <c r="N13287" t="s">
        <v>44759</v>
      </c>
      <c r="O13287" t="s">
        <v>44760</v>
      </c>
      <c r="P13287">
        <v>0</v>
      </c>
      <c r="Q13287">
        <v>4</v>
      </c>
      <c r="R13287" t="s">
        <v>44780</v>
      </c>
      <c r="S13287" t="s">
        <v>45683</v>
      </c>
      <c r="T13287" t="s">
        <v>46374</v>
      </c>
      <c r="U13287" t="s">
        <v>57838</v>
      </c>
      <c r="W13287" t="s">
        <v>40759</v>
      </c>
      <c r="X13287" t="s">
        <v>44781</v>
      </c>
    </row>
    <row r="13288" spans="1:24">
      <c r="A13288">
        <f>HYPERLINK("https://www.philgeps.gov.ph/GEPSNONPILOT/Tender/SplashBidNoticeAbstractUI.aspx?menuIndex=3&amp;refID=7113618&amp;Result=3","7113618")</f>
        <v>0</v>
      </c>
      <c r="B13288" t="s">
        <v>2435</v>
      </c>
      <c r="C13288" t="s">
        <v>16418</v>
      </c>
      <c r="D13288" t="s">
        <v>18009</v>
      </c>
      <c r="E13288" t="s">
        <v>24206</v>
      </c>
      <c r="F13288" t="s">
        <v>30900</v>
      </c>
      <c r="G13288" t="s">
        <v>30907</v>
      </c>
      <c r="H13288" t="s">
        <v>30915</v>
      </c>
      <c r="I13288" t="s">
        <v>30919</v>
      </c>
      <c r="J13288" t="s">
        <v>39315</v>
      </c>
      <c r="K13288" t="s">
        <v>40466</v>
      </c>
      <c r="M13288" t="s">
        <v>43166</v>
      </c>
      <c r="N13288" t="s">
        <v>44759</v>
      </c>
      <c r="O13288" t="s">
        <v>44760</v>
      </c>
      <c r="P13288">
        <v>0</v>
      </c>
      <c r="Q13288">
        <v>2</v>
      </c>
      <c r="R13288" t="s">
        <v>44780</v>
      </c>
      <c r="S13288" t="s">
        <v>45683</v>
      </c>
      <c r="T13288" t="s">
        <v>46414</v>
      </c>
      <c r="U13288" t="s">
        <v>57839</v>
      </c>
      <c r="W13288" t="s">
        <v>43166</v>
      </c>
      <c r="X13288" t="s">
        <v>44781</v>
      </c>
    </row>
    <row r="13289" spans="1:24">
      <c r="A13289">
        <f>HYPERLINK("https://www.philgeps.gov.ph/GEPSNONPILOT/Tender/SplashBidNoticeAbstractUI.aspx?menuIndex=3&amp;refID=7113596&amp;Result=3","7113596")</f>
        <v>0</v>
      </c>
      <c r="B13289" t="s">
        <v>3621</v>
      </c>
      <c r="C13289" t="s">
        <v>16419</v>
      </c>
      <c r="D13289" t="s">
        <v>17978</v>
      </c>
      <c r="E13289" t="s">
        <v>16419</v>
      </c>
      <c r="F13289" t="s">
        <v>30900</v>
      </c>
      <c r="G13289" t="s">
        <v>30907</v>
      </c>
      <c r="H13289" t="s">
        <v>30915</v>
      </c>
      <c r="I13289" t="s">
        <v>30919</v>
      </c>
      <c r="J13289" t="s">
        <v>31341</v>
      </c>
      <c r="K13289" t="s">
        <v>40304</v>
      </c>
      <c r="M13289" t="s">
        <v>44551</v>
      </c>
      <c r="N13289" t="s">
        <v>44759</v>
      </c>
      <c r="O13289" t="s">
        <v>44760</v>
      </c>
      <c r="P13289">
        <v>0</v>
      </c>
      <c r="Q13289">
        <v>1</v>
      </c>
      <c r="R13289" t="s">
        <v>44780</v>
      </c>
      <c r="S13289" t="s">
        <v>45683</v>
      </c>
      <c r="T13289" t="s">
        <v>46403</v>
      </c>
      <c r="U13289" t="s">
        <v>57840</v>
      </c>
      <c r="V13289" t="s">
        <v>60461</v>
      </c>
      <c r="W13289" t="s">
        <v>44551</v>
      </c>
      <c r="X13289" t="s">
        <v>44781</v>
      </c>
    </row>
    <row r="13290" spans="1:24">
      <c r="A13290">
        <f>HYPERLINK("https://www.philgeps.gov.ph/GEPSNONPILOT/Tender/SplashBidNoticeAbstractUI.aspx?menuIndex=3&amp;refID=7113642&amp;Result=3","7113642")</f>
        <v>0</v>
      </c>
      <c r="B13290" t="s">
        <v>1285</v>
      </c>
      <c r="C13290" t="s">
        <v>16420</v>
      </c>
      <c r="D13290" t="s">
        <v>17958</v>
      </c>
      <c r="E13290" t="s">
        <v>29516</v>
      </c>
      <c r="F13290" t="s">
        <v>30900</v>
      </c>
      <c r="G13290" t="s">
        <v>30907</v>
      </c>
      <c r="H13290" t="s">
        <v>30916</v>
      </c>
      <c r="I13290" t="s">
        <v>30927</v>
      </c>
      <c r="J13290" t="s">
        <v>39316</v>
      </c>
      <c r="K13290" t="s">
        <v>40287</v>
      </c>
      <c r="M13290" t="s">
        <v>41902</v>
      </c>
      <c r="N13290" t="s">
        <v>44759</v>
      </c>
      <c r="O13290" t="s">
        <v>44760</v>
      </c>
      <c r="P13290">
        <v>0</v>
      </c>
      <c r="Q13290">
        <v>1</v>
      </c>
      <c r="R13290" t="s">
        <v>44780</v>
      </c>
      <c r="S13290" t="s">
        <v>45683</v>
      </c>
      <c r="T13290" t="s">
        <v>46421</v>
      </c>
      <c r="U13290" t="s">
        <v>57841</v>
      </c>
      <c r="V13290" t="s">
        <v>60623</v>
      </c>
      <c r="W13290" t="s">
        <v>41902</v>
      </c>
      <c r="X13290" t="s">
        <v>44781</v>
      </c>
    </row>
    <row r="13291" spans="1:24">
      <c r="A13291">
        <f>HYPERLINK("https://www.philgeps.gov.ph/GEPSNONPILOT/Tender/SplashBidNoticeAbstractUI.aspx?menuIndex=3&amp;refID=7113569&amp;Result=3","7113569")</f>
        <v>0</v>
      </c>
      <c r="B13291" t="s">
        <v>1958</v>
      </c>
      <c r="C13291" t="s">
        <v>16421</v>
      </c>
      <c r="E13291" t="s">
        <v>29517</v>
      </c>
      <c r="F13291" t="s">
        <v>30900</v>
      </c>
      <c r="G13291" t="s">
        <v>30907</v>
      </c>
      <c r="H13291" t="s">
        <v>30916</v>
      </c>
      <c r="I13291" t="s">
        <v>30919</v>
      </c>
      <c r="J13291" t="s">
        <v>31341</v>
      </c>
      <c r="K13291" t="s">
        <v>40289</v>
      </c>
      <c r="M13291" t="s">
        <v>42642</v>
      </c>
      <c r="N13291" t="s">
        <v>44759</v>
      </c>
      <c r="O13291" t="s">
        <v>44760</v>
      </c>
      <c r="P13291">
        <v>0</v>
      </c>
      <c r="Q13291">
        <v>1</v>
      </c>
      <c r="R13291" t="s">
        <v>44780</v>
      </c>
      <c r="S13291" t="s">
        <v>45683</v>
      </c>
      <c r="T13291" t="s">
        <v>46658</v>
      </c>
      <c r="U13291" t="s">
        <v>51462</v>
      </c>
      <c r="W13291" t="s">
        <v>42642</v>
      </c>
      <c r="X13291" t="s">
        <v>44781</v>
      </c>
    </row>
    <row r="13292" spans="1:24">
      <c r="A13292">
        <f>HYPERLINK("https://www.philgeps.gov.ph/GEPSNONPILOT/Tender/SplashBidNoticeAbstractUI.aspx?menuIndex=3&amp;refID=7113633&amp;Result=3","7113633")</f>
        <v>0</v>
      </c>
      <c r="B13292" t="s">
        <v>3621</v>
      </c>
      <c r="C13292" t="s">
        <v>13876</v>
      </c>
      <c r="D13292" t="s">
        <v>17978</v>
      </c>
      <c r="E13292" t="s">
        <v>29511</v>
      </c>
      <c r="F13292" t="s">
        <v>30900</v>
      </c>
      <c r="G13292" t="s">
        <v>30907</v>
      </c>
      <c r="H13292" t="s">
        <v>30915</v>
      </c>
      <c r="I13292" t="s">
        <v>30919</v>
      </c>
      <c r="J13292" t="s">
        <v>31096</v>
      </c>
      <c r="K13292" t="s">
        <v>40280</v>
      </c>
      <c r="M13292" t="s">
        <v>44551</v>
      </c>
      <c r="N13292" t="s">
        <v>44759</v>
      </c>
      <c r="O13292" t="s">
        <v>44760</v>
      </c>
      <c r="P13292">
        <v>0</v>
      </c>
      <c r="Q13292">
        <v>1</v>
      </c>
      <c r="R13292" t="s">
        <v>44780</v>
      </c>
      <c r="S13292" t="s">
        <v>45683</v>
      </c>
      <c r="T13292" t="s">
        <v>46403</v>
      </c>
      <c r="U13292" t="s">
        <v>57842</v>
      </c>
      <c r="V13292" t="s">
        <v>60461</v>
      </c>
      <c r="W13292" t="s">
        <v>44551</v>
      </c>
      <c r="X13292" t="s">
        <v>44781</v>
      </c>
    </row>
    <row r="13293" spans="1:24">
      <c r="A13293">
        <f>HYPERLINK("https://www.philgeps.gov.ph/GEPSNONPILOT/Tender/SplashBidNoticeAbstractUI.aspx?menuIndex=3&amp;refID=7114189&amp;Result=3","7114189")</f>
        <v>0</v>
      </c>
      <c r="B13293" t="s">
        <v>293</v>
      </c>
      <c r="C13293" t="s">
        <v>16422</v>
      </c>
      <c r="D13293" t="s">
        <v>18023</v>
      </c>
      <c r="E13293" t="s">
        <v>29518</v>
      </c>
      <c r="F13293" t="s">
        <v>30900</v>
      </c>
      <c r="G13293" t="s">
        <v>30907</v>
      </c>
      <c r="H13293" t="s">
        <v>30915</v>
      </c>
      <c r="I13293" t="s">
        <v>30919</v>
      </c>
      <c r="J13293" t="s">
        <v>39317</v>
      </c>
      <c r="K13293" t="s">
        <v>40358</v>
      </c>
      <c r="M13293" t="s">
        <v>40841</v>
      </c>
      <c r="N13293" t="s">
        <v>44759</v>
      </c>
      <c r="O13293" t="s">
        <v>44760</v>
      </c>
      <c r="P13293">
        <v>0</v>
      </c>
      <c r="Q13293">
        <v>0</v>
      </c>
      <c r="R13293" t="s">
        <v>44780</v>
      </c>
      <c r="S13293" t="s">
        <v>45683</v>
      </c>
      <c r="T13293" t="s">
        <v>46421</v>
      </c>
      <c r="U13293" t="s">
        <v>57843</v>
      </c>
      <c r="W13293" t="s">
        <v>40841</v>
      </c>
      <c r="X13293" t="s">
        <v>44781</v>
      </c>
    </row>
    <row r="13294" spans="1:24">
      <c r="A13294">
        <f>HYPERLINK("https://www.philgeps.gov.ph/GEPSNONPILOT/Tender/SplashBidNoticeAbstractUI.aspx?menuIndex=3&amp;refID=7113696&amp;Result=3","7113696")</f>
        <v>0</v>
      </c>
      <c r="B13294" t="s">
        <v>856</v>
      </c>
      <c r="C13294" t="s">
        <v>16423</v>
      </c>
      <c r="D13294" t="s">
        <v>17971</v>
      </c>
      <c r="E13294" t="s">
        <v>29519</v>
      </c>
      <c r="F13294" t="s">
        <v>30900</v>
      </c>
      <c r="G13294" t="s">
        <v>30907</v>
      </c>
      <c r="H13294" t="s">
        <v>30916</v>
      </c>
      <c r="I13294" t="s">
        <v>30921</v>
      </c>
      <c r="J13294" t="s">
        <v>32616</v>
      </c>
      <c r="K13294" t="s">
        <v>40286</v>
      </c>
      <c r="M13294" t="s">
        <v>41429</v>
      </c>
      <c r="N13294" t="s">
        <v>44759</v>
      </c>
      <c r="O13294" t="s">
        <v>44760</v>
      </c>
      <c r="P13294">
        <v>0</v>
      </c>
      <c r="Q13294">
        <v>13</v>
      </c>
      <c r="R13294" t="s">
        <v>44780</v>
      </c>
      <c r="S13294" t="s">
        <v>45683</v>
      </c>
      <c r="T13294" t="s">
        <v>46450</v>
      </c>
      <c r="U13294" t="s">
        <v>57844</v>
      </c>
      <c r="W13294" t="s">
        <v>41429</v>
      </c>
      <c r="X13294" t="s">
        <v>44781</v>
      </c>
    </row>
    <row r="13295" spans="1:24">
      <c r="A13295">
        <f>HYPERLINK("https://www.philgeps.gov.ph/GEPSNONPILOT/Tender/SplashBidNoticeAbstractUI.aspx?menuIndex=3&amp;refID=7114151&amp;Result=3","7114151")</f>
        <v>0</v>
      </c>
      <c r="B13295" t="s">
        <v>2994</v>
      </c>
      <c r="C13295" t="s">
        <v>16424</v>
      </c>
      <c r="D13295" t="s">
        <v>17961</v>
      </c>
      <c r="E13295" t="s">
        <v>21302</v>
      </c>
      <c r="F13295" t="s">
        <v>30900</v>
      </c>
      <c r="G13295" t="s">
        <v>30907</v>
      </c>
      <c r="H13295" t="s">
        <v>30916</v>
      </c>
      <c r="I13295" t="s">
        <v>30933</v>
      </c>
      <c r="J13295" t="s">
        <v>33238</v>
      </c>
      <c r="K13295" t="s">
        <v>40292</v>
      </c>
      <c r="M13295" t="s">
        <v>43797</v>
      </c>
      <c r="N13295" t="s">
        <v>44759</v>
      </c>
      <c r="O13295" t="s">
        <v>44760</v>
      </c>
      <c r="Q13295">
        <v>2</v>
      </c>
      <c r="R13295" t="s">
        <v>44780</v>
      </c>
      <c r="S13295" t="s">
        <v>45696</v>
      </c>
      <c r="T13295" t="s">
        <v>46418</v>
      </c>
      <c r="U13295" t="s">
        <v>57845</v>
      </c>
      <c r="V13295" t="s">
        <v>60155</v>
      </c>
      <c r="W13295" t="s">
        <v>43797</v>
      </c>
      <c r="X13295" t="s">
        <v>44781</v>
      </c>
    </row>
    <row r="13296" spans="1:24">
      <c r="A13296">
        <f>HYPERLINK("https://www.philgeps.gov.ph/GEPSNONPILOT/Tender/SplashBidNoticeAbstractUI.aspx?menuIndex=3&amp;refID=7114143&amp;Result=3","7114143")</f>
        <v>0</v>
      </c>
      <c r="B13296" t="s">
        <v>3492</v>
      </c>
      <c r="C13296" t="s">
        <v>16425</v>
      </c>
      <c r="D13296" t="s">
        <v>17980</v>
      </c>
      <c r="E13296" t="s">
        <v>29520</v>
      </c>
      <c r="F13296" t="s">
        <v>30900</v>
      </c>
      <c r="G13296" t="s">
        <v>30907</v>
      </c>
      <c r="H13296" t="s">
        <v>30916</v>
      </c>
      <c r="I13296" t="s">
        <v>8123</v>
      </c>
      <c r="J13296" t="s">
        <v>31138</v>
      </c>
      <c r="K13296" t="s">
        <v>40284</v>
      </c>
      <c r="M13296" t="s">
        <v>44393</v>
      </c>
      <c r="N13296" t="s">
        <v>44759</v>
      </c>
      <c r="O13296" t="s">
        <v>44760</v>
      </c>
      <c r="P13296">
        <v>0</v>
      </c>
      <c r="Q13296">
        <v>1</v>
      </c>
      <c r="R13296" t="s">
        <v>44780</v>
      </c>
      <c r="S13296" t="s">
        <v>45683</v>
      </c>
      <c r="T13296" t="s">
        <v>46429</v>
      </c>
      <c r="U13296" t="s">
        <v>57846</v>
      </c>
      <c r="W13296" t="s">
        <v>44393</v>
      </c>
      <c r="X13296" t="s">
        <v>44781</v>
      </c>
    </row>
    <row r="13297" spans="1:24">
      <c r="A13297">
        <f>HYPERLINK("https://www.philgeps.gov.ph/GEPSNONPILOT/Tender/SplashBidNoticeAbstractUI.aspx?menuIndex=3&amp;refID=7114179&amp;Result=3","7114179")</f>
        <v>0</v>
      </c>
      <c r="B13297" t="s">
        <v>3492</v>
      </c>
      <c r="C13297" t="s">
        <v>16426</v>
      </c>
      <c r="D13297" t="s">
        <v>17980</v>
      </c>
      <c r="E13297" t="s">
        <v>29521</v>
      </c>
      <c r="F13297" t="s">
        <v>30900</v>
      </c>
      <c r="G13297" t="s">
        <v>30907</v>
      </c>
      <c r="H13297" t="s">
        <v>30916</v>
      </c>
      <c r="I13297" t="s">
        <v>8123</v>
      </c>
      <c r="J13297" t="s">
        <v>39318</v>
      </c>
      <c r="K13297" t="s">
        <v>40284</v>
      </c>
      <c r="M13297" t="s">
        <v>44393</v>
      </c>
      <c r="N13297" t="s">
        <v>44759</v>
      </c>
      <c r="O13297" t="s">
        <v>44760</v>
      </c>
      <c r="Q13297">
        <v>1</v>
      </c>
      <c r="R13297" t="s">
        <v>44780</v>
      </c>
      <c r="S13297" t="s">
        <v>45697</v>
      </c>
      <c r="T13297" t="s">
        <v>46429</v>
      </c>
      <c r="U13297" t="s">
        <v>57847</v>
      </c>
      <c r="W13297" t="s">
        <v>44393</v>
      </c>
      <c r="X13297" t="s">
        <v>44781</v>
      </c>
    </row>
    <row r="13298" spans="1:24">
      <c r="A13298">
        <f>HYPERLINK("https://www.philgeps.gov.ph/GEPSNONPILOT/Tender/SplashBidNoticeAbstractUI.aspx?menuIndex=3&amp;refID=7118555&amp;Result=3","7118555")</f>
        <v>0</v>
      </c>
      <c r="B13298" t="s">
        <v>3607</v>
      </c>
      <c r="C13298" t="s">
        <v>16427</v>
      </c>
      <c r="D13298" t="s">
        <v>17978</v>
      </c>
      <c r="E13298" t="s">
        <v>29522</v>
      </c>
      <c r="F13298" t="s">
        <v>30900</v>
      </c>
      <c r="G13298" t="s">
        <v>30907</v>
      </c>
      <c r="H13298" t="s">
        <v>30915</v>
      </c>
      <c r="I13298" t="s">
        <v>30919</v>
      </c>
      <c r="J13298" t="s">
        <v>39319</v>
      </c>
      <c r="K13298" t="s">
        <v>40280</v>
      </c>
      <c r="M13298" t="s">
        <v>44535</v>
      </c>
      <c r="N13298" t="s">
        <v>44759</v>
      </c>
      <c r="O13298" t="s">
        <v>44760</v>
      </c>
      <c r="P13298">
        <v>0</v>
      </c>
      <c r="Q13298">
        <v>1</v>
      </c>
      <c r="R13298" t="s">
        <v>44779</v>
      </c>
      <c r="S13298" t="s">
        <v>45618</v>
      </c>
      <c r="T13298" t="s">
        <v>46404</v>
      </c>
      <c r="U13298" t="s">
        <v>57848</v>
      </c>
      <c r="W13298" t="s">
        <v>44535</v>
      </c>
      <c r="X13298" t="s">
        <v>44780</v>
      </c>
    </row>
    <row r="13299" spans="1:24">
      <c r="A13299">
        <f>HYPERLINK("https://www.philgeps.gov.ph/GEPSNONPILOT/Tender/SplashBidNoticeAbstractUI.aspx?menuIndex=3&amp;refID=7114165&amp;Result=3","7114165")</f>
        <v>0</v>
      </c>
      <c r="B13299" t="s">
        <v>2511</v>
      </c>
      <c r="C13299" t="s">
        <v>16428</v>
      </c>
      <c r="D13299" t="s">
        <v>17994</v>
      </c>
      <c r="E13299" t="s">
        <v>29523</v>
      </c>
      <c r="F13299" t="s">
        <v>30900</v>
      </c>
      <c r="G13299" t="s">
        <v>30907</v>
      </c>
      <c r="H13299" t="s">
        <v>30915</v>
      </c>
      <c r="I13299" t="s">
        <v>30919</v>
      </c>
      <c r="J13299" t="s">
        <v>31391</v>
      </c>
      <c r="K13299" t="s">
        <v>40292</v>
      </c>
      <c r="M13299" t="s">
        <v>43257</v>
      </c>
      <c r="N13299" t="s">
        <v>44759</v>
      </c>
      <c r="O13299" t="s">
        <v>44760</v>
      </c>
      <c r="P13299">
        <v>0</v>
      </c>
      <c r="Q13299">
        <v>0</v>
      </c>
      <c r="R13299" t="s">
        <v>44780</v>
      </c>
      <c r="S13299" t="s">
        <v>45683</v>
      </c>
      <c r="T13299" t="s">
        <v>46421</v>
      </c>
      <c r="U13299" t="s">
        <v>57849</v>
      </c>
      <c r="W13299" t="s">
        <v>43257</v>
      </c>
      <c r="X13299" t="s">
        <v>44781</v>
      </c>
    </row>
    <row r="13300" spans="1:24">
      <c r="A13300">
        <f>HYPERLINK("https://www.philgeps.gov.ph/GEPSNONPILOT/Tender/SplashBidNoticeAbstractUI.aspx?menuIndex=3&amp;refID=7114131&amp;Result=3","7114131")</f>
        <v>0</v>
      </c>
      <c r="B13300" t="s">
        <v>926</v>
      </c>
      <c r="C13300" t="s">
        <v>16429</v>
      </c>
      <c r="D13300" t="s">
        <v>17999</v>
      </c>
      <c r="E13300" t="s">
        <v>29524</v>
      </c>
      <c r="F13300" t="s">
        <v>30900</v>
      </c>
      <c r="G13300" t="s">
        <v>30907</v>
      </c>
      <c r="H13300" t="s">
        <v>30916</v>
      </c>
      <c r="I13300" t="s">
        <v>6834</v>
      </c>
      <c r="J13300" t="s">
        <v>39320</v>
      </c>
      <c r="K13300" t="s">
        <v>40520</v>
      </c>
      <c r="M13300" t="s">
        <v>42665</v>
      </c>
      <c r="N13300" t="s">
        <v>44759</v>
      </c>
      <c r="O13300" t="s">
        <v>44760</v>
      </c>
      <c r="Q13300">
        <v>29</v>
      </c>
      <c r="R13300" t="s">
        <v>44780</v>
      </c>
      <c r="S13300" t="s">
        <v>45106</v>
      </c>
      <c r="T13300" t="s">
        <v>46418</v>
      </c>
      <c r="U13300" t="s">
        <v>57850</v>
      </c>
      <c r="W13300" t="s">
        <v>42665</v>
      </c>
      <c r="X13300" t="s">
        <v>44781</v>
      </c>
    </row>
    <row r="13301" spans="1:24">
      <c r="A13301">
        <f>HYPERLINK("https://www.philgeps.gov.ph/GEPSNONPILOT/Tender/SplashBidNoticeAbstractUI.aspx?menuIndex=3&amp;refID=7113751&amp;Result=3","7113751")</f>
        <v>0</v>
      </c>
      <c r="B13301" t="s">
        <v>856</v>
      </c>
      <c r="C13301" t="s">
        <v>16430</v>
      </c>
      <c r="D13301" t="s">
        <v>17971</v>
      </c>
      <c r="E13301" t="s">
        <v>29525</v>
      </c>
      <c r="F13301" t="s">
        <v>30900</v>
      </c>
      <c r="G13301" t="s">
        <v>30907</v>
      </c>
      <c r="H13301" t="s">
        <v>30916</v>
      </c>
      <c r="I13301" t="s">
        <v>30921</v>
      </c>
      <c r="J13301" t="s">
        <v>39321</v>
      </c>
      <c r="K13301" t="s">
        <v>40286</v>
      </c>
      <c r="M13301" t="s">
        <v>41429</v>
      </c>
      <c r="N13301" t="s">
        <v>44759</v>
      </c>
      <c r="O13301" t="s">
        <v>44760</v>
      </c>
      <c r="Q13301">
        <v>10</v>
      </c>
      <c r="R13301" t="s">
        <v>44780</v>
      </c>
      <c r="S13301" t="s">
        <v>45698</v>
      </c>
      <c r="T13301" t="s">
        <v>46450</v>
      </c>
      <c r="U13301" t="s">
        <v>57851</v>
      </c>
      <c r="W13301" t="s">
        <v>41429</v>
      </c>
      <c r="X13301" t="s">
        <v>44781</v>
      </c>
    </row>
    <row r="13302" spans="1:24">
      <c r="A13302">
        <f>HYPERLINK("https://www.philgeps.gov.ph/GEPSNONPILOT/Tender/SplashBidNoticeAbstractUI.aspx?menuIndex=3&amp;refID=7114080&amp;Result=3","7114080")</f>
        <v>0</v>
      </c>
      <c r="B13302" t="s">
        <v>655</v>
      </c>
      <c r="C13302" t="s">
        <v>16431</v>
      </c>
      <c r="D13302" t="s">
        <v>18001</v>
      </c>
      <c r="E13302" t="s">
        <v>29526</v>
      </c>
      <c r="F13302" t="s">
        <v>30900</v>
      </c>
      <c r="G13302" t="s">
        <v>30907</v>
      </c>
      <c r="H13302" t="s">
        <v>30916</v>
      </c>
      <c r="I13302" t="s">
        <v>31006</v>
      </c>
      <c r="J13302" t="s">
        <v>39322</v>
      </c>
      <c r="K13302" t="s">
        <v>40388</v>
      </c>
      <c r="M13302" t="s">
        <v>44552</v>
      </c>
      <c r="N13302" t="s">
        <v>44759</v>
      </c>
      <c r="O13302" t="s">
        <v>44760</v>
      </c>
      <c r="P13302">
        <v>0</v>
      </c>
      <c r="Q13302">
        <v>3</v>
      </c>
      <c r="R13302" t="s">
        <v>44780</v>
      </c>
      <c r="S13302" t="s">
        <v>45683</v>
      </c>
      <c r="T13302" t="s">
        <v>46658</v>
      </c>
      <c r="U13302" t="s">
        <v>57852</v>
      </c>
      <c r="V13302" t="s">
        <v>60624</v>
      </c>
      <c r="W13302" t="s">
        <v>44552</v>
      </c>
      <c r="X13302" t="s">
        <v>44781</v>
      </c>
    </row>
    <row r="13303" spans="1:24">
      <c r="A13303">
        <f>HYPERLINK("https://www.philgeps.gov.ph/GEPSNONPILOT/Tender/SplashBidNoticeAbstractUI.aspx?menuIndex=3&amp;refID=7114373&amp;Result=3","7114373")</f>
        <v>0</v>
      </c>
      <c r="B13303" t="s">
        <v>708</v>
      </c>
      <c r="C13303" t="s">
        <v>16432</v>
      </c>
      <c r="E13303" t="s">
        <v>29527</v>
      </c>
      <c r="F13303" t="s">
        <v>30900</v>
      </c>
      <c r="G13303" t="s">
        <v>30907</v>
      </c>
      <c r="H13303" t="s">
        <v>30916</v>
      </c>
      <c r="I13303" t="s">
        <v>9385</v>
      </c>
      <c r="J13303" t="s">
        <v>39323</v>
      </c>
      <c r="K13303" t="s">
        <v>40289</v>
      </c>
      <c r="M13303" t="s">
        <v>44208</v>
      </c>
      <c r="N13303" t="s">
        <v>44759</v>
      </c>
      <c r="O13303" t="s">
        <v>44760</v>
      </c>
      <c r="P13303">
        <v>0</v>
      </c>
      <c r="Q13303">
        <v>8</v>
      </c>
      <c r="R13303" t="s">
        <v>44780</v>
      </c>
      <c r="S13303" t="s">
        <v>45683</v>
      </c>
      <c r="T13303" t="s">
        <v>46625</v>
      </c>
      <c r="U13303" t="s">
        <v>57853</v>
      </c>
      <c r="W13303" t="s">
        <v>44208</v>
      </c>
      <c r="X13303" t="s">
        <v>44781</v>
      </c>
    </row>
    <row r="13304" spans="1:24">
      <c r="A13304">
        <f>HYPERLINK("https://www.philgeps.gov.ph/GEPSNONPILOT/Tender/SplashBidNoticeAbstractUI.aspx?menuIndex=3&amp;refID=7114056&amp;Result=3","7114056")</f>
        <v>0</v>
      </c>
      <c r="B13304" t="s">
        <v>2408</v>
      </c>
      <c r="C13304" t="s">
        <v>4750</v>
      </c>
      <c r="D13304" t="s">
        <v>18032</v>
      </c>
      <c r="E13304" t="s">
        <v>29528</v>
      </c>
      <c r="F13304" t="s">
        <v>30900</v>
      </c>
      <c r="G13304" t="s">
        <v>30907</v>
      </c>
      <c r="H13304" t="s">
        <v>30916</v>
      </c>
      <c r="I13304" t="s">
        <v>5501</v>
      </c>
      <c r="J13304" t="s">
        <v>39324</v>
      </c>
      <c r="K13304" t="s">
        <v>40286</v>
      </c>
      <c r="M13304" t="s">
        <v>43135</v>
      </c>
      <c r="N13304" t="s">
        <v>44759</v>
      </c>
      <c r="O13304" t="s">
        <v>44760</v>
      </c>
      <c r="P13304">
        <v>0</v>
      </c>
      <c r="Q13304">
        <v>9</v>
      </c>
      <c r="R13304" t="s">
        <v>44780</v>
      </c>
      <c r="S13304" t="s">
        <v>45683</v>
      </c>
      <c r="T13304" t="s">
        <v>46450</v>
      </c>
      <c r="U13304" t="s">
        <v>57854</v>
      </c>
      <c r="W13304" t="s">
        <v>43135</v>
      </c>
      <c r="X13304" t="s">
        <v>44781</v>
      </c>
    </row>
    <row r="13305" spans="1:24">
      <c r="A13305">
        <f>HYPERLINK("https://www.philgeps.gov.ph/GEPSNONPILOT/Tender/SplashBidNoticeAbstractUI.aspx?menuIndex=3&amp;refID=7114363&amp;Result=3","7114363")</f>
        <v>0</v>
      </c>
      <c r="B13305" t="s">
        <v>708</v>
      </c>
      <c r="C13305" t="s">
        <v>16433</v>
      </c>
      <c r="E13305" t="s">
        <v>29529</v>
      </c>
      <c r="F13305" t="s">
        <v>30900</v>
      </c>
      <c r="G13305" t="s">
        <v>30907</v>
      </c>
      <c r="H13305" t="s">
        <v>30916</v>
      </c>
      <c r="I13305" t="s">
        <v>5830</v>
      </c>
      <c r="J13305" t="s">
        <v>39325</v>
      </c>
      <c r="K13305" t="s">
        <v>40289</v>
      </c>
      <c r="M13305" t="s">
        <v>44208</v>
      </c>
      <c r="N13305" t="s">
        <v>44759</v>
      </c>
      <c r="O13305" t="s">
        <v>44760</v>
      </c>
      <c r="P13305">
        <v>0</v>
      </c>
      <c r="Q13305">
        <v>5</v>
      </c>
      <c r="R13305" t="s">
        <v>44780</v>
      </c>
      <c r="S13305" t="s">
        <v>45683</v>
      </c>
      <c r="T13305" t="s">
        <v>46625</v>
      </c>
      <c r="U13305" t="s">
        <v>57855</v>
      </c>
      <c r="W13305" t="s">
        <v>44208</v>
      </c>
      <c r="X13305" t="s">
        <v>44781</v>
      </c>
    </row>
    <row r="13306" spans="1:24">
      <c r="A13306">
        <f>HYPERLINK("https://www.philgeps.gov.ph/GEPSNONPILOT/Tender/SplashBidNoticeAbstractUI.aspx?menuIndex=3&amp;refID=7114117&amp;Result=3","7114117")</f>
        <v>0</v>
      </c>
      <c r="B13306" t="s">
        <v>212</v>
      </c>
      <c r="C13306" t="s">
        <v>16434</v>
      </c>
      <c r="D13306" t="s">
        <v>17962</v>
      </c>
      <c r="E13306" t="s">
        <v>29530</v>
      </c>
      <c r="F13306" t="s">
        <v>30900</v>
      </c>
      <c r="G13306" t="s">
        <v>30907</v>
      </c>
      <c r="H13306" t="s">
        <v>30916</v>
      </c>
      <c r="I13306" t="s">
        <v>30923</v>
      </c>
      <c r="J13306" t="s">
        <v>39326</v>
      </c>
      <c r="K13306" t="s">
        <v>40291</v>
      </c>
      <c r="M13306" t="s">
        <v>40759</v>
      </c>
      <c r="N13306" t="s">
        <v>44759</v>
      </c>
      <c r="O13306" t="s">
        <v>44760</v>
      </c>
      <c r="P13306">
        <v>0</v>
      </c>
      <c r="Q13306">
        <v>5</v>
      </c>
      <c r="R13306" t="s">
        <v>44780</v>
      </c>
      <c r="S13306" t="s">
        <v>45683</v>
      </c>
      <c r="T13306" t="s">
        <v>46374</v>
      </c>
      <c r="U13306" t="s">
        <v>57856</v>
      </c>
      <c r="W13306" t="s">
        <v>40759</v>
      </c>
      <c r="X13306" t="s">
        <v>44781</v>
      </c>
    </row>
    <row r="13307" spans="1:24">
      <c r="A13307">
        <f>HYPERLINK("https://www.philgeps.gov.ph/GEPSNONPILOT/Tender/SplashBidNoticeAbstractUI.aspx?menuIndex=3&amp;refID=7114088&amp;Result=3","7114088")</f>
        <v>0</v>
      </c>
      <c r="B13307" t="s">
        <v>3184</v>
      </c>
      <c r="C13307" t="s">
        <v>16435</v>
      </c>
      <c r="D13307" t="s">
        <v>17980</v>
      </c>
      <c r="E13307" t="s">
        <v>29531</v>
      </c>
      <c r="F13307" t="s">
        <v>30900</v>
      </c>
      <c r="G13307" t="s">
        <v>30907</v>
      </c>
      <c r="H13307" t="s">
        <v>30915</v>
      </c>
      <c r="I13307" t="s">
        <v>30919</v>
      </c>
      <c r="J13307" t="s">
        <v>39327</v>
      </c>
      <c r="K13307" t="s">
        <v>40413</v>
      </c>
      <c r="M13307" t="s">
        <v>44015</v>
      </c>
      <c r="N13307" t="s">
        <v>44759</v>
      </c>
      <c r="O13307" t="s">
        <v>44760</v>
      </c>
      <c r="P13307">
        <v>0</v>
      </c>
      <c r="Q13307">
        <v>0</v>
      </c>
      <c r="R13307" t="s">
        <v>44780</v>
      </c>
      <c r="S13307" t="s">
        <v>45683</v>
      </c>
      <c r="T13307" t="s">
        <v>46459</v>
      </c>
      <c r="U13307" t="s">
        <v>57857</v>
      </c>
      <c r="V13307" t="s">
        <v>60265</v>
      </c>
      <c r="W13307" t="s">
        <v>44015</v>
      </c>
      <c r="X13307" t="s">
        <v>44781</v>
      </c>
    </row>
    <row r="13308" spans="1:24">
      <c r="A13308">
        <f>HYPERLINK("https://www.philgeps.gov.ph/GEPSNONPILOT/Tender/SplashBidNoticeAbstractUI.aspx?menuIndex=3&amp;refID=7114333&amp;Result=3","7114333")</f>
        <v>0</v>
      </c>
      <c r="B13308" t="s">
        <v>3622</v>
      </c>
      <c r="C13308" t="s">
        <v>16436</v>
      </c>
      <c r="D13308" t="s">
        <v>17993</v>
      </c>
      <c r="E13308" t="s">
        <v>29532</v>
      </c>
      <c r="F13308" t="s">
        <v>30900</v>
      </c>
      <c r="G13308" t="s">
        <v>30907</v>
      </c>
      <c r="H13308" t="s">
        <v>30915</v>
      </c>
      <c r="I13308" t="s">
        <v>8123</v>
      </c>
      <c r="J13308" t="s">
        <v>31050</v>
      </c>
      <c r="K13308" t="s">
        <v>40291</v>
      </c>
      <c r="M13308" t="s">
        <v>44553</v>
      </c>
      <c r="N13308" t="s">
        <v>44759</v>
      </c>
      <c r="O13308" t="s">
        <v>44760</v>
      </c>
      <c r="P13308">
        <v>0</v>
      </c>
      <c r="Q13308">
        <v>0</v>
      </c>
      <c r="R13308" t="s">
        <v>44780</v>
      </c>
      <c r="S13308" t="s">
        <v>45683</v>
      </c>
      <c r="T13308" t="s">
        <v>46414</v>
      </c>
      <c r="U13308" t="s">
        <v>57858</v>
      </c>
      <c r="W13308" t="s">
        <v>44553</v>
      </c>
      <c r="X13308" t="s">
        <v>44781</v>
      </c>
    </row>
    <row r="13309" spans="1:24">
      <c r="A13309">
        <f>HYPERLINK("https://www.philgeps.gov.ph/GEPSNONPILOT/Tender/SplashBidNoticeAbstractUI.aspx?menuIndex=3&amp;refID=7114354&amp;Result=3","7114354")</f>
        <v>0</v>
      </c>
      <c r="B13309" t="s">
        <v>468</v>
      </c>
      <c r="C13309" t="s">
        <v>16437</v>
      </c>
      <c r="E13309" t="s">
        <v>29533</v>
      </c>
      <c r="F13309" t="s">
        <v>30900</v>
      </c>
      <c r="G13309" t="s">
        <v>30907</v>
      </c>
      <c r="H13309" t="s">
        <v>30916</v>
      </c>
      <c r="I13309" t="s">
        <v>30919</v>
      </c>
      <c r="J13309" t="s">
        <v>39328</v>
      </c>
      <c r="K13309" t="s">
        <v>40289</v>
      </c>
      <c r="M13309" t="s">
        <v>41026</v>
      </c>
      <c r="N13309" t="s">
        <v>44759</v>
      </c>
      <c r="O13309" t="s">
        <v>44760</v>
      </c>
      <c r="P13309">
        <v>0</v>
      </c>
      <c r="Q13309">
        <v>5</v>
      </c>
      <c r="R13309" t="s">
        <v>44780</v>
      </c>
      <c r="S13309" t="s">
        <v>45683</v>
      </c>
      <c r="T13309" t="s">
        <v>46662</v>
      </c>
      <c r="U13309" t="s">
        <v>57859</v>
      </c>
      <c r="V13309" t="s">
        <v>59226</v>
      </c>
      <c r="W13309" t="s">
        <v>41026</v>
      </c>
      <c r="X13309" t="s">
        <v>44781</v>
      </c>
    </row>
    <row r="13310" spans="1:24">
      <c r="A13310">
        <f>HYPERLINK("https://www.philgeps.gov.ph/GEPSNONPILOT/Tender/SplashBidNoticeAbstractUI.aspx?menuIndex=3&amp;refID=7114314&amp;Result=3","7114314")</f>
        <v>0</v>
      </c>
      <c r="B13310" t="s">
        <v>3623</v>
      </c>
      <c r="C13310" t="s">
        <v>16438</v>
      </c>
      <c r="D13310" t="s">
        <v>18019</v>
      </c>
      <c r="E13310" t="s">
        <v>18094</v>
      </c>
      <c r="F13310" t="s">
        <v>30900</v>
      </c>
      <c r="G13310" t="s">
        <v>30907</v>
      </c>
      <c r="H13310" t="s">
        <v>30916</v>
      </c>
      <c r="I13310" t="s">
        <v>30941</v>
      </c>
      <c r="J13310" t="s">
        <v>39329</v>
      </c>
      <c r="K13310" t="s">
        <v>40287</v>
      </c>
      <c r="M13310" t="s">
        <v>44554</v>
      </c>
      <c r="N13310" t="s">
        <v>44759</v>
      </c>
      <c r="O13310" t="s">
        <v>44760</v>
      </c>
      <c r="P13310">
        <v>0</v>
      </c>
      <c r="Q13310">
        <v>3</v>
      </c>
      <c r="R13310" t="s">
        <v>44780</v>
      </c>
      <c r="S13310" t="s">
        <v>45683</v>
      </c>
      <c r="T13310" t="s">
        <v>46531</v>
      </c>
      <c r="U13310" t="s">
        <v>57860</v>
      </c>
      <c r="W13310" t="s">
        <v>44554</v>
      </c>
      <c r="X13310" t="s">
        <v>44781</v>
      </c>
    </row>
    <row r="13311" spans="1:24">
      <c r="A13311">
        <f>HYPERLINK("https://www.philgeps.gov.ph/GEPSNONPILOT/Tender/SplashBidNoticeAbstractUI.aspx?menuIndex=3&amp;refID=7114282&amp;Result=3","7114282")</f>
        <v>0</v>
      </c>
      <c r="B13311" t="s">
        <v>2053</v>
      </c>
      <c r="C13311" t="s">
        <v>16439</v>
      </c>
      <c r="D13311" t="s">
        <v>17998</v>
      </c>
      <c r="E13311" t="s">
        <v>29534</v>
      </c>
      <c r="F13311" t="s">
        <v>30900</v>
      </c>
      <c r="G13311" t="s">
        <v>30907</v>
      </c>
      <c r="H13311" t="s">
        <v>30916</v>
      </c>
      <c r="I13311" t="s">
        <v>30936</v>
      </c>
      <c r="J13311" t="s">
        <v>39330</v>
      </c>
      <c r="K13311" t="s">
        <v>40280</v>
      </c>
      <c r="M13311" t="s">
        <v>42752</v>
      </c>
      <c r="N13311" t="s">
        <v>44759</v>
      </c>
      <c r="O13311" t="s">
        <v>44760</v>
      </c>
      <c r="Q13311">
        <v>4</v>
      </c>
      <c r="R13311" t="s">
        <v>44780</v>
      </c>
      <c r="S13311" t="s">
        <v>45699</v>
      </c>
      <c r="T13311" t="s">
        <v>46641</v>
      </c>
      <c r="U13311" t="s">
        <v>57861</v>
      </c>
      <c r="W13311" t="s">
        <v>42752</v>
      </c>
      <c r="X13311" t="s">
        <v>44781</v>
      </c>
    </row>
    <row r="13312" spans="1:24">
      <c r="A13312">
        <f>HYPERLINK("https://www.philgeps.gov.ph/GEPSNONPILOT/Tender/SplashBidNoticeAbstractUI.aspx?menuIndex=3&amp;refID=7114372&amp;Result=3","7114372")</f>
        <v>0</v>
      </c>
      <c r="B13312" t="s">
        <v>708</v>
      </c>
      <c r="C13312" t="s">
        <v>16440</v>
      </c>
      <c r="E13312" t="s">
        <v>29535</v>
      </c>
      <c r="F13312" t="s">
        <v>30900</v>
      </c>
      <c r="G13312" t="s">
        <v>30907</v>
      </c>
      <c r="H13312" t="s">
        <v>30916</v>
      </c>
      <c r="I13312" t="s">
        <v>9385</v>
      </c>
      <c r="J13312" t="s">
        <v>39331</v>
      </c>
      <c r="K13312" t="s">
        <v>40289</v>
      </c>
      <c r="M13312" t="s">
        <v>44208</v>
      </c>
      <c r="N13312" t="s">
        <v>44759</v>
      </c>
      <c r="O13312" t="s">
        <v>44760</v>
      </c>
      <c r="P13312">
        <v>0</v>
      </c>
      <c r="Q13312">
        <v>5</v>
      </c>
      <c r="R13312" t="s">
        <v>44780</v>
      </c>
      <c r="S13312" t="s">
        <v>45683</v>
      </c>
      <c r="T13312" t="s">
        <v>46625</v>
      </c>
      <c r="U13312" t="s">
        <v>57862</v>
      </c>
      <c r="W13312" t="s">
        <v>44208</v>
      </c>
      <c r="X13312" t="s">
        <v>44781</v>
      </c>
    </row>
    <row r="13313" spans="1:24">
      <c r="A13313">
        <f>HYPERLINK("https://www.philgeps.gov.ph/GEPSNONPILOT/Tender/SplashBidNoticeAbstractUI.aspx?menuIndex=3&amp;refID=7113780&amp;Result=3","7113780")</f>
        <v>0</v>
      </c>
      <c r="B13313" t="s">
        <v>2808</v>
      </c>
      <c r="C13313" t="s">
        <v>16441</v>
      </c>
      <c r="D13313" t="s">
        <v>17957</v>
      </c>
      <c r="E13313" t="s">
        <v>29536</v>
      </c>
      <c r="F13313" t="s">
        <v>30900</v>
      </c>
      <c r="G13313" t="s">
        <v>30907</v>
      </c>
      <c r="H13313" t="s">
        <v>30915</v>
      </c>
      <c r="I13313" t="s">
        <v>30919</v>
      </c>
      <c r="J13313" t="s">
        <v>39332</v>
      </c>
      <c r="K13313" t="s">
        <v>40308</v>
      </c>
      <c r="M13313" t="s">
        <v>43593</v>
      </c>
      <c r="N13313" t="s">
        <v>44759</v>
      </c>
      <c r="O13313" t="s">
        <v>44760</v>
      </c>
      <c r="P13313">
        <v>0</v>
      </c>
      <c r="Q13313">
        <v>0</v>
      </c>
      <c r="R13313" t="s">
        <v>44780</v>
      </c>
      <c r="S13313" t="s">
        <v>45683</v>
      </c>
      <c r="T13313" t="s">
        <v>46533</v>
      </c>
      <c r="U13313" t="s">
        <v>57863</v>
      </c>
      <c r="W13313" t="s">
        <v>43593</v>
      </c>
      <c r="X13313" t="s">
        <v>44781</v>
      </c>
    </row>
    <row r="13314" spans="1:24">
      <c r="A13314">
        <f>HYPERLINK("https://www.philgeps.gov.ph/GEPSNONPILOT/Tender/SplashBidNoticeAbstractUI.aspx?menuIndex=3&amp;refID=7114065&amp;Result=3","7114065")</f>
        <v>0</v>
      </c>
      <c r="B13314" t="s">
        <v>3492</v>
      </c>
      <c r="C13314" t="s">
        <v>16442</v>
      </c>
      <c r="D13314" t="s">
        <v>17980</v>
      </c>
      <c r="E13314" t="s">
        <v>29537</v>
      </c>
      <c r="F13314" t="s">
        <v>30900</v>
      </c>
      <c r="G13314" t="s">
        <v>30907</v>
      </c>
      <c r="H13314" t="s">
        <v>30916</v>
      </c>
      <c r="I13314" t="s">
        <v>10847</v>
      </c>
      <c r="J13314" t="s">
        <v>39333</v>
      </c>
      <c r="K13314" t="s">
        <v>40284</v>
      </c>
      <c r="M13314" t="s">
        <v>44393</v>
      </c>
      <c r="N13314" t="s">
        <v>44759</v>
      </c>
      <c r="O13314" t="s">
        <v>44760</v>
      </c>
      <c r="P13314">
        <v>0</v>
      </c>
      <c r="Q13314">
        <v>0</v>
      </c>
      <c r="R13314" t="s">
        <v>44780</v>
      </c>
      <c r="S13314" t="s">
        <v>45683</v>
      </c>
      <c r="T13314" t="s">
        <v>46429</v>
      </c>
      <c r="U13314" t="s">
        <v>57864</v>
      </c>
      <c r="W13314" t="s">
        <v>44393</v>
      </c>
      <c r="X13314" t="s">
        <v>44781</v>
      </c>
    </row>
    <row r="13315" spans="1:24">
      <c r="A13315">
        <f>HYPERLINK("https://www.philgeps.gov.ph/GEPSNONPILOT/Tender/SplashBidNoticeAbstractUI.aspx?menuIndex=3&amp;refID=7114342&amp;Result=3","7114342")</f>
        <v>0</v>
      </c>
      <c r="B13315" t="s">
        <v>468</v>
      </c>
      <c r="C13315" t="s">
        <v>16443</v>
      </c>
      <c r="E13315" t="s">
        <v>29538</v>
      </c>
      <c r="F13315" t="s">
        <v>30900</v>
      </c>
      <c r="G13315" t="s">
        <v>30907</v>
      </c>
      <c r="H13315" t="s">
        <v>30916</v>
      </c>
      <c r="I13315" t="s">
        <v>30919</v>
      </c>
      <c r="J13315" t="s">
        <v>37966</v>
      </c>
      <c r="K13315" t="s">
        <v>40289</v>
      </c>
      <c r="M13315" t="s">
        <v>41026</v>
      </c>
      <c r="N13315" t="s">
        <v>44759</v>
      </c>
      <c r="O13315" t="s">
        <v>44760</v>
      </c>
      <c r="P13315">
        <v>0</v>
      </c>
      <c r="Q13315">
        <v>4</v>
      </c>
      <c r="R13315" t="s">
        <v>44780</v>
      </c>
      <c r="S13315" t="s">
        <v>45683</v>
      </c>
      <c r="T13315" t="s">
        <v>46662</v>
      </c>
      <c r="U13315" t="s">
        <v>57865</v>
      </c>
      <c r="V13315" t="s">
        <v>59226</v>
      </c>
      <c r="W13315" t="s">
        <v>41026</v>
      </c>
      <c r="X13315" t="s">
        <v>44781</v>
      </c>
    </row>
    <row r="13316" spans="1:24">
      <c r="A13316">
        <f>HYPERLINK("https://www.philgeps.gov.ph/GEPSNONPILOT/Tender/SplashBidNoticeAbstractUI.aspx?menuIndex=3&amp;refID=7114598&amp;Result=3","7114598")</f>
        <v>0</v>
      </c>
      <c r="B13316" t="s">
        <v>2462</v>
      </c>
      <c r="C13316" t="s">
        <v>16444</v>
      </c>
      <c r="D13316" t="s">
        <v>17964</v>
      </c>
      <c r="E13316" t="s">
        <v>29539</v>
      </c>
      <c r="F13316" t="s">
        <v>30900</v>
      </c>
      <c r="G13316" t="s">
        <v>30907</v>
      </c>
      <c r="H13316" t="s">
        <v>30916</v>
      </c>
      <c r="I13316" t="s">
        <v>30923</v>
      </c>
      <c r="J13316" t="s">
        <v>39334</v>
      </c>
      <c r="K13316" t="s">
        <v>40280</v>
      </c>
      <c r="M13316" t="s">
        <v>43199</v>
      </c>
      <c r="N13316" t="s">
        <v>44759</v>
      </c>
      <c r="O13316" t="s">
        <v>44760</v>
      </c>
      <c r="Q13316">
        <v>3</v>
      </c>
      <c r="R13316" t="s">
        <v>44780</v>
      </c>
      <c r="S13316" t="s">
        <v>45700</v>
      </c>
      <c r="T13316" t="s">
        <v>46357</v>
      </c>
      <c r="U13316" t="s">
        <v>57866</v>
      </c>
      <c r="W13316" t="s">
        <v>43199</v>
      </c>
      <c r="X13316" t="s">
        <v>44781</v>
      </c>
    </row>
    <row r="13317" spans="1:24">
      <c r="A13317">
        <f>HYPERLINK("https://www.philgeps.gov.ph/GEPSNONPILOT/Tender/SplashBidNoticeAbstractUI.aspx?menuIndex=3&amp;refID=7114587&amp;Result=3","7114587")</f>
        <v>0</v>
      </c>
      <c r="B13317" t="s">
        <v>3624</v>
      </c>
      <c r="C13317" t="s">
        <v>16445</v>
      </c>
      <c r="D13317" t="s">
        <v>18011</v>
      </c>
      <c r="E13317" t="s">
        <v>29540</v>
      </c>
      <c r="F13317" t="s">
        <v>30899</v>
      </c>
      <c r="G13317" t="s">
        <v>30907</v>
      </c>
      <c r="H13317" t="s">
        <v>30916</v>
      </c>
      <c r="I13317" t="s">
        <v>8123</v>
      </c>
      <c r="J13317" t="s">
        <v>39335</v>
      </c>
      <c r="K13317" t="s">
        <v>40283</v>
      </c>
      <c r="M13317" t="s">
        <v>44555</v>
      </c>
      <c r="N13317" t="s">
        <v>44759</v>
      </c>
      <c r="O13317" t="s">
        <v>44760</v>
      </c>
      <c r="P13317">
        <v>0</v>
      </c>
      <c r="Q13317">
        <v>0</v>
      </c>
      <c r="R13317" t="s">
        <v>44780</v>
      </c>
      <c r="S13317" t="s">
        <v>45683</v>
      </c>
      <c r="T13317" t="s">
        <v>46625</v>
      </c>
      <c r="U13317" t="s">
        <v>57867</v>
      </c>
      <c r="W13317" t="s">
        <v>44555</v>
      </c>
      <c r="X13317" t="s">
        <v>44781</v>
      </c>
    </row>
    <row r="13318" spans="1:24">
      <c r="A13318">
        <f>HYPERLINK("https://www.philgeps.gov.ph/GEPSNONPILOT/Tender/SplashBidNoticeAbstractUI.aspx?menuIndex=3&amp;refID=7114287&amp;Result=3","7114287")</f>
        <v>0</v>
      </c>
      <c r="B13318" t="s">
        <v>3419</v>
      </c>
      <c r="C13318" t="s">
        <v>16446</v>
      </c>
      <c r="D13318" t="s">
        <v>17971</v>
      </c>
      <c r="E13318" t="s">
        <v>29541</v>
      </c>
      <c r="F13318" t="s">
        <v>30900</v>
      </c>
      <c r="G13318" t="s">
        <v>30907</v>
      </c>
      <c r="H13318" t="s">
        <v>30916</v>
      </c>
      <c r="I13318" t="s">
        <v>4545</v>
      </c>
      <c r="J13318" t="s">
        <v>31254</v>
      </c>
      <c r="K13318" t="s">
        <v>40286</v>
      </c>
      <c r="M13318" t="s">
        <v>44298</v>
      </c>
      <c r="N13318" t="s">
        <v>44759</v>
      </c>
      <c r="O13318" t="s">
        <v>44760</v>
      </c>
      <c r="P13318">
        <v>0</v>
      </c>
      <c r="Q13318">
        <v>7</v>
      </c>
      <c r="R13318" t="s">
        <v>44780</v>
      </c>
      <c r="S13318" t="s">
        <v>45683</v>
      </c>
      <c r="T13318" t="s">
        <v>46400</v>
      </c>
      <c r="U13318" t="s">
        <v>57868</v>
      </c>
      <c r="W13318" t="s">
        <v>44298</v>
      </c>
      <c r="X13318" t="s">
        <v>44781</v>
      </c>
    </row>
    <row r="13319" spans="1:24">
      <c r="A13319">
        <f>HYPERLINK("https://www.philgeps.gov.ph/GEPSNONPILOT/Tender/SplashBidNoticeAbstractUI.aspx?menuIndex=3&amp;refID=7114557&amp;Result=3","7114557")</f>
        <v>0</v>
      </c>
      <c r="B13319" t="s">
        <v>350</v>
      </c>
      <c r="C13319" t="s">
        <v>16447</v>
      </c>
      <c r="D13319" t="s">
        <v>18025</v>
      </c>
      <c r="E13319" t="s">
        <v>29542</v>
      </c>
      <c r="F13319" t="s">
        <v>30900</v>
      </c>
      <c r="G13319" t="s">
        <v>30907</v>
      </c>
      <c r="H13319" t="s">
        <v>30916</v>
      </c>
      <c r="I13319" t="s">
        <v>30934</v>
      </c>
      <c r="J13319" t="s">
        <v>39336</v>
      </c>
      <c r="K13319" t="s">
        <v>40286</v>
      </c>
      <c r="M13319" t="s">
        <v>41170</v>
      </c>
      <c r="N13319" t="s">
        <v>44759</v>
      </c>
      <c r="O13319" t="s">
        <v>44760</v>
      </c>
      <c r="P13319">
        <v>0</v>
      </c>
      <c r="Q13319">
        <v>15</v>
      </c>
      <c r="R13319" t="s">
        <v>44780</v>
      </c>
      <c r="S13319" t="s">
        <v>45683</v>
      </c>
      <c r="T13319" t="s">
        <v>46404</v>
      </c>
      <c r="U13319" t="s">
        <v>47499</v>
      </c>
      <c r="V13319" t="s">
        <v>60625</v>
      </c>
      <c r="W13319" t="s">
        <v>60826</v>
      </c>
      <c r="X13319" t="s">
        <v>44781</v>
      </c>
    </row>
    <row r="13320" spans="1:24">
      <c r="A13320">
        <f>HYPERLINK("https://www.philgeps.gov.ph/GEPSNONPILOT/Tender/SplashBidNoticeAbstractUI.aspx?menuIndex=3&amp;refID=7114275&amp;Result=3","7114275")</f>
        <v>0</v>
      </c>
      <c r="B13320" t="s">
        <v>3492</v>
      </c>
      <c r="C13320" t="s">
        <v>16425</v>
      </c>
      <c r="D13320" t="s">
        <v>17980</v>
      </c>
      <c r="E13320" t="s">
        <v>29543</v>
      </c>
      <c r="F13320" t="s">
        <v>30900</v>
      </c>
      <c r="G13320" t="s">
        <v>30907</v>
      </c>
      <c r="H13320" t="s">
        <v>30915</v>
      </c>
      <c r="I13320" t="s">
        <v>8123</v>
      </c>
      <c r="J13320" t="s">
        <v>39337</v>
      </c>
      <c r="K13320" t="s">
        <v>40284</v>
      </c>
      <c r="M13320" t="s">
        <v>44393</v>
      </c>
      <c r="N13320" t="s">
        <v>44759</v>
      </c>
      <c r="O13320" t="s">
        <v>44760</v>
      </c>
      <c r="P13320">
        <v>0</v>
      </c>
      <c r="Q13320">
        <v>1</v>
      </c>
      <c r="R13320" t="s">
        <v>44780</v>
      </c>
      <c r="S13320" t="s">
        <v>45683</v>
      </c>
      <c r="T13320" t="s">
        <v>46429</v>
      </c>
      <c r="U13320" t="s">
        <v>57869</v>
      </c>
      <c r="W13320" t="s">
        <v>44393</v>
      </c>
      <c r="X13320" t="s">
        <v>44781</v>
      </c>
    </row>
    <row r="13321" spans="1:24">
      <c r="A13321">
        <f>HYPERLINK("https://www.philgeps.gov.ph/GEPSNONPILOT/Tender/SplashBidNoticeAbstractUI.aspx?menuIndex=3&amp;refID=7114518&amp;Result=3","7114518")</f>
        <v>0</v>
      </c>
      <c r="B13321" t="s">
        <v>892</v>
      </c>
      <c r="C13321" t="s">
        <v>16448</v>
      </c>
      <c r="D13321" t="s">
        <v>17978</v>
      </c>
      <c r="E13321" t="s">
        <v>29544</v>
      </c>
      <c r="F13321" t="s">
        <v>30900</v>
      </c>
      <c r="G13321" t="s">
        <v>30907</v>
      </c>
      <c r="H13321" t="s">
        <v>30915</v>
      </c>
      <c r="I13321" t="s">
        <v>30919</v>
      </c>
      <c r="J13321" t="s">
        <v>31211</v>
      </c>
      <c r="K13321" t="s">
        <v>40286</v>
      </c>
      <c r="M13321" t="s">
        <v>41466</v>
      </c>
      <c r="N13321" t="s">
        <v>44759</v>
      </c>
      <c r="O13321" t="s">
        <v>44760</v>
      </c>
      <c r="P13321">
        <v>0</v>
      </c>
      <c r="Q13321">
        <v>0</v>
      </c>
      <c r="R13321" t="s">
        <v>44780</v>
      </c>
      <c r="S13321" t="s">
        <v>45683</v>
      </c>
      <c r="T13321" t="s">
        <v>46421</v>
      </c>
      <c r="U13321" t="s">
        <v>49711</v>
      </c>
      <c r="W13321" t="s">
        <v>41466</v>
      </c>
      <c r="X13321" t="s">
        <v>44781</v>
      </c>
    </row>
    <row r="13322" spans="1:24">
      <c r="A13322">
        <f>HYPERLINK("https://www.philgeps.gov.ph/GEPSNONPILOT/Tender/SplashBidNoticeAbstractUI.aspx?menuIndex=3&amp;refID=7114510&amp;Result=3","7114510")</f>
        <v>0</v>
      </c>
      <c r="B13322" t="s">
        <v>3625</v>
      </c>
      <c r="C13322" t="s">
        <v>16449</v>
      </c>
      <c r="D13322" t="s">
        <v>17959</v>
      </c>
      <c r="E13322" t="s">
        <v>29545</v>
      </c>
      <c r="F13322" t="s">
        <v>30900</v>
      </c>
      <c r="G13322" t="s">
        <v>30907</v>
      </c>
      <c r="H13322" t="s">
        <v>30916</v>
      </c>
      <c r="I13322" t="s">
        <v>30934</v>
      </c>
      <c r="J13322" t="s">
        <v>31069</v>
      </c>
      <c r="K13322" t="s">
        <v>40286</v>
      </c>
      <c r="M13322" t="s">
        <v>44556</v>
      </c>
      <c r="N13322" t="s">
        <v>44759</v>
      </c>
      <c r="O13322" t="s">
        <v>44760</v>
      </c>
      <c r="P13322">
        <v>0</v>
      </c>
      <c r="Q13322">
        <v>12</v>
      </c>
      <c r="R13322" t="s">
        <v>44780</v>
      </c>
      <c r="S13322" t="s">
        <v>45683</v>
      </c>
      <c r="T13322" t="s">
        <v>46677</v>
      </c>
      <c r="U13322" t="s">
        <v>57870</v>
      </c>
      <c r="W13322" t="s">
        <v>44556</v>
      </c>
      <c r="X13322" t="s">
        <v>44781</v>
      </c>
    </row>
    <row r="13323" spans="1:24">
      <c r="A13323">
        <f>HYPERLINK("https://www.philgeps.gov.ph/GEPSNONPILOT/Tender/SplashBidNoticeAbstractUI.aspx?menuIndex=3&amp;refID=7114499&amp;Result=3","7114499")</f>
        <v>0</v>
      </c>
      <c r="B13323" t="s">
        <v>1254</v>
      </c>
      <c r="C13323" t="s">
        <v>16450</v>
      </c>
      <c r="D13323" t="s">
        <v>17998</v>
      </c>
      <c r="E13323" t="s">
        <v>25345</v>
      </c>
      <c r="F13323" t="s">
        <v>30899</v>
      </c>
      <c r="G13323" t="s">
        <v>30907</v>
      </c>
      <c r="H13323" t="s">
        <v>30916</v>
      </c>
      <c r="I13323" t="s">
        <v>30919</v>
      </c>
      <c r="J13323" t="s">
        <v>31391</v>
      </c>
      <c r="K13323" t="s">
        <v>40452</v>
      </c>
      <c r="M13323" t="s">
        <v>41866</v>
      </c>
      <c r="N13323" t="s">
        <v>44759</v>
      </c>
      <c r="O13323" t="s">
        <v>44760</v>
      </c>
      <c r="P13323">
        <v>0</v>
      </c>
      <c r="Q13323">
        <v>1</v>
      </c>
      <c r="R13323" t="s">
        <v>44780</v>
      </c>
      <c r="S13323" t="s">
        <v>45683</v>
      </c>
      <c r="T13323" t="s">
        <v>46414</v>
      </c>
      <c r="U13323" t="s">
        <v>57871</v>
      </c>
      <c r="V13323" t="s">
        <v>59447</v>
      </c>
      <c r="W13323" t="s">
        <v>41866</v>
      </c>
      <c r="X13323" t="s">
        <v>44781</v>
      </c>
    </row>
    <row r="13324" spans="1:24">
      <c r="A13324">
        <f>HYPERLINK("https://www.philgeps.gov.ph/GEPSNONPILOT/Tender/SplashBidNoticeAbstractUI.aspx?menuIndex=3&amp;refID=7114498&amp;Result=3","7114498")</f>
        <v>0</v>
      </c>
      <c r="B13324" t="s">
        <v>3599</v>
      </c>
      <c r="C13324" t="s">
        <v>16451</v>
      </c>
      <c r="D13324" t="s">
        <v>18001</v>
      </c>
      <c r="E13324" t="s">
        <v>29546</v>
      </c>
      <c r="F13324" t="s">
        <v>30900</v>
      </c>
      <c r="G13324" t="s">
        <v>30907</v>
      </c>
      <c r="H13324" t="s">
        <v>30916</v>
      </c>
      <c r="I13324" t="s">
        <v>7708</v>
      </c>
      <c r="J13324" t="s">
        <v>37062</v>
      </c>
      <c r="K13324" t="s">
        <v>40354</v>
      </c>
      <c r="M13324" t="s">
        <v>44557</v>
      </c>
      <c r="N13324" t="s">
        <v>44759</v>
      </c>
      <c r="O13324" t="s">
        <v>44760</v>
      </c>
      <c r="Q13324">
        <v>15</v>
      </c>
      <c r="R13324" t="s">
        <v>44780</v>
      </c>
      <c r="S13324" t="s">
        <v>45145</v>
      </c>
      <c r="T13324" t="s">
        <v>46352</v>
      </c>
      <c r="U13324" t="s">
        <v>57872</v>
      </c>
      <c r="V13324" t="s">
        <v>60626</v>
      </c>
      <c r="W13324" t="s">
        <v>44557</v>
      </c>
      <c r="X13324" t="s">
        <v>44781</v>
      </c>
    </row>
    <row r="13325" spans="1:24">
      <c r="A13325">
        <f>HYPERLINK("https://www.philgeps.gov.ph/GEPSNONPILOT/Tender/SplashBidNoticeAbstractUI.aspx?menuIndex=3&amp;refID=7114464&amp;Result=3","7114464")</f>
        <v>0</v>
      </c>
      <c r="B13325" t="s">
        <v>2349</v>
      </c>
      <c r="C13325" t="s">
        <v>16452</v>
      </c>
      <c r="D13325" t="s">
        <v>17964</v>
      </c>
      <c r="E13325" t="s">
        <v>29547</v>
      </c>
      <c r="F13325" t="s">
        <v>30900</v>
      </c>
      <c r="G13325" t="s">
        <v>30907</v>
      </c>
      <c r="H13325" t="s">
        <v>30915</v>
      </c>
      <c r="I13325" t="s">
        <v>30919</v>
      </c>
      <c r="J13325" t="s">
        <v>32967</v>
      </c>
      <c r="K13325" t="s">
        <v>40304</v>
      </c>
      <c r="M13325" t="s">
        <v>43073</v>
      </c>
      <c r="N13325" t="s">
        <v>44759</v>
      </c>
      <c r="O13325" t="s">
        <v>44760</v>
      </c>
      <c r="P13325">
        <v>0</v>
      </c>
      <c r="Q13325">
        <v>1</v>
      </c>
      <c r="R13325" t="s">
        <v>44780</v>
      </c>
      <c r="S13325" t="s">
        <v>45683</v>
      </c>
      <c r="T13325" t="s">
        <v>46625</v>
      </c>
      <c r="U13325" t="s">
        <v>57873</v>
      </c>
      <c r="W13325" t="s">
        <v>43073</v>
      </c>
      <c r="X13325" t="s">
        <v>44781</v>
      </c>
    </row>
    <row r="13326" spans="1:24">
      <c r="A13326">
        <f>HYPERLINK("https://www.philgeps.gov.ph/GEPSNONPILOT/Tender/SplashBidNoticeAbstractUI.aspx?menuIndex=3&amp;refID=7114457&amp;Result=3","7114457")</f>
        <v>0</v>
      </c>
      <c r="B13326" t="s">
        <v>3625</v>
      </c>
      <c r="C13326" t="s">
        <v>16453</v>
      </c>
      <c r="D13326" t="s">
        <v>17959</v>
      </c>
      <c r="E13326" t="s">
        <v>29548</v>
      </c>
      <c r="F13326" t="s">
        <v>30900</v>
      </c>
      <c r="G13326" t="s">
        <v>30907</v>
      </c>
      <c r="H13326" t="s">
        <v>30916</v>
      </c>
      <c r="I13326" t="s">
        <v>4017</v>
      </c>
      <c r="J13326" t="s">
        <v>31105</v>
      </c>
      <c r="K13326" t="s">
        <v>40286</v>
      </c>
      <c r="M13326" t="s">
        <v>44556</v>
      </c>
      <c r="N13326" t="s">
        <v>44759</v>
      </c>
      <c r="O13326" t="s">
        <v>44760</v>
      </c>
      <c r="P13326">
        <v>0</v>
      </c>
      <c r="Q13326">
        <v>11</v>
      </c>
      <c r="R13326" t="s">
        <v>44780</v>
      </c>
      <c r="S13326" t="s">
        <v>45683</v>
      </c>
      <c r="T13326" t="s">
        <v>46517</v>
      </c>
      <c r="U13326" t="s">
        <v>57874</v>
      </c>
      <c r="W13326" t="s">
        <v>44556</v>
      </c>
      <c r="X13326" t="s">
        <v>44781</v>
      </c>
    </row>
    <row r="13327" spans="1:24">
      <c r="A13327">
        <f>HYPERLINK("https://www.philgeps.gov.ph/GEPSNONPILOT/Tender/SplashBidNoticeAbstractUI.aspx?menuIndex=3&amp;refID=7114548&amp;Result=3","7114548")</f>
        <v>0</v>
      </c>
      <c r="B13327" t="s">
        <v>2349</v>
      </c>
      <c r="C13327" t="s">
        <v>16454</v>
      </c>
      <c r="D13327" t="s">
        <v>17964</v>
      </c>
      <c r="E13327" t="s">
        <v>29549</v>
      </c>
      <c r="F13327" t="s">
        <v>30900</v>
      </c>
      <c r="G13327" t="s">
        <v>30907</v>
      </c>
      <c r="H13327" t="s">
        <v>30915</v>
      </c>
      <c r="I13327" t="s">
        <v>30919</v>
      </c>
      <c r="J13327" t="s">
        <v>33323</v>
      </c>
      <c r="K13327" t="s">
        <v>40292</v>
      </c>
      <c r="M13327" t="s">
        <v>43073</v>
      </c>
      <c r="N13327" t="s">
        <v>44759</v>
      </c>
      <c r="O13327" t="s">
        <v>44760</v>
      </c>
      <c r="P13327">
        <v>0</v>
      </c>
      <c r="Q13327">
        <v>0</v>
      </c>
      <c r="R13327" t="s">
        <v>44780</v>
      </c>
      <c r="S13327" t="s">
        <v>45683</v>
      </c>
      <c r="T13327" t="s">
        <v>46625</v>
      </c>
      <c r="U13327" t="s">
        <v>57875</v>
      </c>
      <c r="W13327" t="s">
        <v>43073</v>
      </c>
      <c r="X13327" t="s">
        <v>44781</v>
      </c>
    </row>
    <row r="13328" spans="1:24">
      <c r="A13328">
        <f>HYPERLINK("https://www.philgeps.gov.ph/GEPSNONPILOT/Tender/SplashBidNoticeAbstractUI.aspx?menuIndex=3&amp;refID=7113800&amp;Result=3","7113800")</f>
        <v>0</v>
      </c>
      <c r="B13328" t="s">
        <v>1239</v>
      </c>
      <c r="C13328" t="s">
        <v>16455</v>
      </c>
      <c r="D13328" t="s">
        <v>17990</v>
      </c>
      <c r="E13328" t="s">
        <v>29550</v>
      </c>
      <c r="F13328" t="s">
        <v>30900</v>
      </c>
      <c r="G13328" t="s">
        <v>30907</v>
      </c>
      <c r="H13328" t="s">
        <v>30915</v>
      </c>
      <c r="I13328" t="s">
        <v>30919</v>
      </c>
      <c r="J13328" t="s">
        <v>31297</v>
      </c>
      <c r="K13328" t="s">
        <v>40280</v>
      </c>
      <c r="M13328" t="s">
        <v>41851</v>
      </c>
      <c r="N13328" t="s">
        <v>44759</v>
      </c>
      <c r="O13328" t="s">
        <v>44760</v>
      </c>
      <c r="Q13328">
        <v>1</v>
      </c>
      <c r="R13328" t="s">
        <v>44780</v>
      </c>
      <c r="S13328" t="s">
        <v>45089</v>
      </c>
      <c r="T13328" t="s">
        <v>46425</v>
      </c>
      <c r="U13328" t="s">
        <v>57876</v>
      </c>
      <c r="W13328" t="s">
        <v>41851</v>
      </c>
      <c r="X13328" t="s">
        <v>44781</v>
      </c>
    </row>
    <row r="13329" spans="1:24">
      <c r="A13329">
        <f>HYPERLINK("https://www.philgeps.gov.ph/GEPSNONPILOT/Tender/SplashBidNoticeAbstractUI.aspx?menuIndex=3&amp;refID=7114600&amp;Result=3","7114600")</f>
        <v>0</v>
      </c>
      <c r="B13329" t="s">
        <v>3599</v>
      </c>
      <c r="C13329" t="s">
        <v>16456</v>
      </c>
      <c r="D13329" t="s">
        <v>18001</v>
      </c>
      <c r="E13329" t="s">
        <v>29551</v>
      </c>
      <c r="F13329" t="s">
        <v>30900</v>
      </c>
      <c r="G13329" t="s">
        <v>30907</v>
      </c>
      <c r="H13329" t="s">
        <v>30916</v>
      </c>
      <c r="I13329" t="s">
        <v>30963</v>
      </c>
      <c r="J13329" t="s">
        <v>39338</v>
      </c>
      <c r="K13329" t="s">
        <v>40289</v>
      </c>
      <c r="M13329" t="s">
        <v>44557</v>
      </c>
      <c r="N13329" t="s">
        <v>44759</v>
      </c>
      <c r="O13329" t="s">
        <v>44760</v>
      </c>
      <c r="Q13329">
        <v>13</v>
      </c>
      <c r="R13329" t="s">
        <v>44780</v>
      </c>
      <c r="S13329" t="s">
        <v>45701</v>
      </c>
      <c r="T13329" t="s">
        <v>46352</v>
      </c>
      <c r="U13329" t="s">
        <v>57877</v>
      </c>
      <c r="V13329" t="s">
        <v>60627</v>
      </c>
      <c r="W13329" t="s">
        <v>44557</v>
      </c>
      <c r="X13329" t="s">
        <v>44781</v>
      </c>
    </row>
    <row r="13330" spans="1:24">
      <c r="A13330">
        <f>HYPERLINK("https://www.philgeps.gov.ph/GEPSNONPILOT/Tender/SplashBidNoticeAbstractUI.aspx?menuIndex=3&amp;refID=7114898&amp;Result=3","7114898")</f>
        <v>0</v>
      </c>
      <c r="B13330" t="s">
        <v>939</v>
      </c>
      <c r="C13330" t="s">
        <v>16457</v>
      </c>
      <c r="D13330" t="s">
        <v>17959</v>
      </c>
      <c r="E13330" t="s">
        <v>29552</v>
      </c>
      <c r="F13330" t="s">
        <v>30900</v>
      </c>
      <c r="G13330" t="s">
        <v>30907</v>
      </c>
      <c r="H13330" t="s">
        <v>30916</v>
      </c>
      <c r="I13330" t="s">
        <v>4017</v>
      </c>
      <c r="J13330" t="s">
        <v>39339</v>
      </c>
      <c r="K13330" t="s">
        <v>40286</v>
      </c>
      <c r="M13330" t="s">
        <v>41522</v>
      </c>
      <c r="N13330" t="s">
        <v>44759</v>
      </c>
      <c r="O13330" t="s">
        <v>44760</v>
      </c>
      <c r="Q13330">
        <v>9</v>
      </c>
      <c r="R13330" t="s">
        <v>44780</v>
      </c>
      <c r="S13330" t="s">
        <v>45702</v>
      </c>
      <c r="T13330" t="s">
        <v>46404</v>
      </c>
      <c r="U13330" t="s">
        <v>48648</v>
      </c>
      <c r="W13330" t="s">
        <v>41522</v>
      </c>
      <c r="X13330" t="s">
        <v>44781</v>
      </c>
    </row>
    <row r="13331" spans="1:24">
      <c r="A13331">
        <f>HYPERLINK("https://www.philgeps.gov.ph/GEPSNONPILOT/Tender/SplashBidNoticeAbstractUI.aspx?menuIndex=3&amp;refID=7114907&amp;Result=3","7114907")</f>
        <v>0</v>
      </c>
      <c r="B13331" t="s">
        <v>1414</v>
      </c>
      <c r="C13331" t="s">
        <v>16458</v>
      </c>
      <c r="D13331" t="s">
        <v>17977</v>
      </c>
      <c r="E13331" t="s">
        <v>29553</v>
      </c>
      <c r="F13331" t="s">
        <v>30900</v>
      </c>
      <c r="G13331" t="s">
        <v>30907</v>
      </c>
      <c r="H13331" t="s">
        <v>30915</v>
      </c>
      <c r="I13331" t="s">
        <v>30919</v>
      </c>
      <c r="J13331" t="s">
        <v>39340</v>
      </c>
      <c r="K13331" t="s">
        <v>40417</v>
      </c>
      <c r="M13331" t="s">
        <v>44558</v>
      </c>
      <c r="N13331" t="s">
        <v>44759</v>
      </c>
      <c r="O13331" t="s">
        <v>44760</v>
      </c>
      <c r="Q13331">
        <v>4</v>
      </c>
      <c r="R13331" t="s">
        <v>44780</v>
      </c>
      <c r="S13331" t="s">
        <v>45703</v>
      </c>
      <c r="T13331" t="s">
        <v>46389</v>
      </c>
      <c r="U13331" t="s">
        <v>57878</v>
      </c>
      <c r="W13331" t="s">
        <v>44558</v>
      </c>
      <c r="X13331" t="s">
        <v>44781</v>
      </c>
    </row>
    <row r="13332" spans="1:24">
      <c r="A13332">
        <f>HYPERLINK("https://www.philgeps.gov.ph/GEPSNONPILOT/Tender/SplashBidNoticeAbstractUI.aspx?menuIndex=3&amp;refID=7114563&amp;Result=3","7114563")</f>
        <v>0</v>
      </c>
      <c r="B13332" t="s">
        <v>3625</v>
      </c>
      <c r="C13332" t="s">
        <v>16459</v>
      </c>
      <c r="D13332" t="s">
        <v>17959</v>
      </c>
      <c r="E13332" t="s">
        <v>29554</v>
      </c>
      <c r="F13332" t="s">
        <v>30900</v>
      </c>
      <c r="G13332" t="s">
        <v>30907</v>
      </c>
      <c r="H13332" t="s">
        <v>30916</v>
      </c>
      <c r="I13332" t="s">
        <v>30932</v>
      </c>
      <c r="J13332" t="s">
        <v>31105</v>
      </c>
      <c r="K13332" t="s">
        <v>40283</v>
      </c>
      <c r="M13332" t="s">
        <v>44556</v>
      </c>
      <c r="N13332" t="s">
        <v>44759</v>
      </c>
      <c r="O13332" t="s">
        <v>44760</v>
      </c>
      <c r="P13332">
        <v>0</v>
      </c>
      <c r="Q13332">
        <v>8</v>
      </c>
      <c r="R13332" t="s">
        <v>44780</v>
      </c>
      <c r="S13332" t="s">
        <v>45683</v>
      </c>
      <c r="T13332" t="s">
        <v>46925</v>
      </c>
      <c r="U13332" t="s">
        <v>57879</v>
      </c>
      <c r="W13332" t="s">
        <v>44556</v>
      </c>
      <c r="X13332" t="s">
        <v>44781</v>
      </c>
    </row>
    <row r="13333" spans="1:24">
      <c r="A13333">
        <f>HYPERLINK("https://www.philgeps.gov.ph/GEPSNONPILOT/Tender/SplashBidNoticeAbstractUI.aspx?menuIndex=3&amp;refID=7114807&amp;Result=3","7114807")</f>
        <v>0</v>
      </c>
      <c r="B13333" t="s">
        <v>3626</v>
      </c>
      <c r="C13333" t="s">
        <v>16460</v>
      </c>
      <c r="D13333" t="s">
        <v>17984</v>
      </c>
      <c r="E13333" t="s">
        <v>29555</v>
      </c>
      <c r="F13333" t="s">
        <v>30900</v>
      </c>
      <c r="G13333" t="s">
        <v>30907</v>
      </c>
      <c r="H13333" t="s">
        <v>30915</v>
      </c>
      <c r="I13333" t="s">
        <v>30919</v>
      </c>
      <c r="J13333" t="s">
        <v>39341</v>
      </c>
      <c r="K13333" t="s">
        <v>40286</v>
      </c>
      <c r="M13333" t="s">
        <v>44559</v>
      </c>
      <c r="N13333" t="s">
        <v>44759</v>
      </c>
      <c r="O13333" t="s">
        <v>44760</v>
      </c>
      <c r="P13333">
        <v>0</v>
      </c>
      <c r="Q13333">
        <v>1</v>
      </c>
      <c r="R13333" t="s">
        <v>44780</v>
      </c>
      <c r="S13333" t="s">
        <v>45683</v>
      </c>
      <c r="T13333" t="s">
        <v>46531</v>
      </c>
      <c r="U13333" t="s">
        <v>57880</v>
      </c>
      <c r="W13333" t="s">
        <v>44559</v>
      </c>
      <c r="X13333" t="s">
        <v>44781</v>
      </c>
    </row>
    <row r="13334" spans="1:24">
      <c r="A13334">
        <f>HYPERLINK("https://www.philgeps.gov.ph/GEPSNONPILOT/Tender/SplashBidNoticeAbstractUI.aspx?menuIndex=3&amp;refID=7114883&amp;Result=3","7114883")</f>
        <v>0</v>
      </c>
      <c r="B13334" t="s">
        <v>3626</v>
      </c>
      <c r="C13334" t="s">
        <v>16461</v>
      </c>
      <c r="D13334" t="s">
        <v>17984</v>
      </c>
      <c r="E13334" t="s">
        <v>29556</v>
      </c>
      <c r="F13334" t="s">
        <v>30900</v>
      </c>
      <c r="G13334" t="s">
        <v>30907</v>
      </c>
      <c r="H13334" t="s">
        <v>30915</v>
      </c>
      <c r="I13334" t="s">
        <v>30919</v>
      </c>
      <c r="J13334" t="s">
        <v>39341</v>
      </c>
      <c r="K13334" t="s">
        <v>40286</v>
      </c>
      <c r="M13334" t="s">
        <v>44559</v>
      </c>
      <c r="N13334" t="s">
        <v>44759</v>
      </c>
      <c r="O13334" t="s">
        <v>44760</v>
      </c>
      <c r="P13334">
        <v>0</v>
      </c>
      <c r="Q13334">
        <v>1</v>
      </c>
      <c r="R13334" t="s">
        <v>44780</v>
      </c>
      <c r="S13334" t="s">
        <v>45683</v>
      </c>
      <c r="T13334" t="s">
        <v>46531</v>
      </c>
      <c r="U13334" t="s">
        <v>57881</v>
      </c>
      <c r="W13334" t="s">
        <v>44559</v>
      </c>
      <c r="X13334" t="s">
        <v>44781</v>
      </c>
    </row>
    <row r="13335" spans="1:24">
      <c r="A13335">
        <f>HYPERLINK("https://www.philgeps.gov.ph/GEPSNONPILOT/Tender/SplashBidNoticeAbstractUI.aspx?menuIndex=3&amp;refID=7114758&amp;Result=3","7114758")</f>
        <v>0</v>
      </c>
      <c r="B13335" t="s">
        <v>3627</v>
      </c>
      <c r="C13335" t="s">
        <v>16462</v>
      </c>
      <c r="D13335" t="s">
        <v>17974</v>
      </c>
      <c r="E13335" t="s">
        <v>29557</v>
      </c>
      <c r="F13335" t="s">
        <v>30900</v>
      </c>
      <c r="G13335" t="s">
        <v>30907</v>
      </c>
      <c r="H13335" t="s">
        <v>30916</v>
      </c>
      <c r="I13335" t="s">
        <v>30932</v>
      </c>
      <c r="J13335" t="s">
        <v>31806</v>
      </c>
      <c r="K13335" t="s">
        <v>40280</v>
      </c>
      <c r="M13335" t="s">
        <v>44560</v>
      </c>
      <c r="N13335" t="s">
        <v>44759</v>
      </c>
      <c r="O13335" t="s">
        <v>44760</v>
      </c>
      <c r="P13335">
        <v>0</v>
      </c>
      <c r="Q13335">
        <v>1</v>
      </c>
      <c r="R13335" t="s">
        <v>44780</v>
      </c>
      <c r="S13335" t="s">
        <v>45683</v>
      </c>
      <c r="T13335" t="s">
        <v>46357</v>
      </c>
      <c r="U13335" t="s">
        <v>57882</v>
      </c>
      <c r="W13335" t="s">
        <v>44560</v>
      </c>
      <c r="X13335" t="s">
        <v>44781</v>
      </c>
    </row>
    <row r="13336" spans="1:24">
      <c r="A13336">
        <f>HYPERLINK("https://www.philgeps.gov.ph/GEPSNONPILOT/Tender/SplashBidNoticeAbstractUI.aspx?menuIndex=3&amp;refID=7114461&amp;Result=3","7114461")</f>
        <v>0</v>
      </c>
      <c r="B13336" t="s">
        <v>3492</v>
      </c>
      <c r="C13336" t="s">
        <v>16463</v>
      </c>
      <c r="D13336" t="s">
        <v>17980</v>
      </c>
      <c r="E13336" t="s">
        <v>29558</v>
      </c>
      <c r="F13336" t="s">
        <v>30900</v>
      </c>
      <c r="G13336" t="s">
        <v>30907</v>
      </c>
      <c r="H13336" t="s">
        <v>30915</v>
      </c>
      <c r="I13336" t="s">
        <v>8123</v>
      </c>
      <c r="J13336" t="s">
        <v>39342</v>
      </c>
      <c r="K13336" t="s">
        <v>40284</v>
      </c>
      <c r="M13336" t="s">
        <v>44393</v>
      </c>
      <c r="N13336" t="s">
        <v>44759</v>
      </c>
      <c r="O13336" t="s">
        <v>44760</v>
      </c>
      <c r="P13336">
        <v>0</v>
      </c>
      <c r="Q13336">
        <v>0</v>
      </c>
      <c r="R13336" t="s">
        <v>44780</v>
      </c>
      <c r="S13336" t="s">
        <v>45683</v>
      </c>
      <c r="T13336" t="s">
        <v>46429</v>
      </c>
      <c r="U13336" t="s">
        <v>57883</v>
      </c>
      <c r="W13336" t="s">
        <v>44393</v>
      </c>
      <c r="X13336" t="s">
        <v>44781</v>
      </c>
    </row>
    <row r="13337" spans="1:24">
      <c r="A13337">
        <f>HYPERLINK("https://www.philgeps.gov.ph/GEPSNONPILOT/Tender/SplashBidNoticeAbstractUI.aspx?menuIndex=3&amp;refID=7114540&amp;Result=3","7114540")</f>
        <v>0</v>
      </c>
      <c r="B13337" t="s">
        <v>44</v>
      </c>
      <c r="C13337" t="s">
        <v>16464</v>
      </c>
      <c r="D13337" t="s">
        <v>17969</v>
      </c>
      <c r="E13337" t="s">
        <v>29559</v>
      </c>
      <c r="F13337" t="s">
        <v>30900</v>
      </c>
      <c r="G13337" t="s">
        <v>30907</v>
      </c>
      <c r="H13337" t="s">
        <v>30916</v>
      </c>
      <c r="I13337" t="s">
        <v>4050</v>
      </c>
      <c r="J13337" t="s">
        <v>31153</v>
      </c>
      <c r="K13337" t="s">
        <v>40284</v>
      </c>
      <c r="M13337" t="s">
        <v>40590</v>
      </c>
      <c r="N13337" t="s">
        <v>44759</v>
      </c>
      <c r="O13337" t="s">
        <v>44760</v>
      </c>
      <c r="P13337">
        <v>0</v>
      </c>
      <c r="Q13337">
        <v>1</v>
      </c>
      <c r="R13337" t="s">
        <v>44780</v>
      </c>
      <c r="S13337" t="s">
        <v>45683</v>
      </c>
      <c r="T13337" t="s">
        <v>46760</v>
      </c>
      <c r="U13337" t="s">
        <v>57884</v>
      </c>
      <c r="W13337" t="s">
        <v>40590</v>
      </c>
      <c r="X13337" t="s">
        <v>44781</v>
      </c>
    </row>
    <row r="13338" spans="1:24">
      <c r="A13338">
        <f>HYPERLINK("https://www.philgeps.gov.ph/GEPSNONPILOT/Tender/SplashBidNoticeAbstractUI.aspx?menuIndex=3&amp;refID=7114749&amp;Result=3","7114749")</f>
        <v>0</v>
      </c>
      <c r="B13338" t="s">
        <v>3628</v>
      </c>
      <c r="C13338" t="s">
        <v>16465</v>
      </c>
      <c r="D13338" t="s">
        <v>17991</v>
      </c>
      <c r="E13338" t="s">
        <v>29560</v>
      </c>
      <c r="F13338" t="s">
        <v>30900</v>
      </c>
      <c r="G13338" t="s">
        <v>30913</v>
      </c>
      <c r="H13338" t="s">
        <v>30916</v>
      </c>
      <c r="I13338" t="s">
        <v>30949</v>
      </c>
      <c r="J13338" t="s">
        <v>31094</v>
      </c>
      <c r="K13338" t="s">
        <v>40293</v>
      </c>
      <c r="M13338" t="s">
        <v>44561</v>
      </c>
      <c r="N13338" t="s">
        <v>44759</v>
      </c>
      <c r="O13338" t="s">
        <v>44760</v>
      </c>
      <c r="P13338">
        <v>0</v>
      </c>
      <c r="Q13338">
        <v>6</v>
      </c>
      <c r="R13338" t="s">
        <v>44780</v>
      </c>
      <c r="S13338" t="s">
        <v>45683</v>
      </c>
      <c r="T13338" t="s">
        <v>46454</v>
      </c>
      <c r="U13338" t="s">
        <v>57885</v>
      </c>
      <c r="V13338" t="s">
        <v>60628</v>
      </c>
      <c r="W13338" t="s">
        <v>44561</v>
      </c>
      <c r="X13338" t="s">
        <v>44781</v>
      </c>
    </row>
    <row r="13339" spans="1:24">
      <c r="A13339">
        <f>HYPERLINK("https://www.philgeps.gov.ph/GEPSNONPILOT/Tender/SplashBidNoticeAbstractUI.aspx?menuIndex=3&amp;refID=7114670&amp;Result=3","7114670")</f>
        <v>0</v>
      </c>
      <c r="B13339" t="s">
        <v>3624</v>
      </c>
      <c r="C13339" t="s">
        <v>16466</v>
      </c>
      <c r="D13339" t="s">
        <v>18011</v>
      </c>
      <c r="E13339" t="s">
        <v>29561</v>
      </c>
      <c r="F13339" t="s">
        <v>30899</v>
      </c>
      <c r="G13339" t="s">
        <v>30907</v>
      </c>
      <c r="H13339" t="s">
        <v>30916</v>
      </c>
      <c r="I13339" t="s">
        <v>30939</v>
      </c>
      <c r="J13339" t="s">
        <v>31614</v>
      </c>
      <c r="K13339" t="s">
        <v>40284</v>
      </c>
      <c r="M13339" t="s">
        <v>44555</v>
      </c>
      <c r="N13339" t="s">
        <v>44759</v>
      </c>
      <c r="O13339" t="s">
        <v>44760</v>
      </c>
      <c r="P13339">
        <v>0</v>
      </c>
      <c r="Q13339">
        <v>0</v>
      </c>
      <c r="R13339" t="s">
        <v>44780</v>
      </c>
      <c r="S13339" t="s">
        <v>45683</v>
      </c>
      <c r="T13339" t="s">
        <v>46625</v>
      </c>
      <c r="U13339" t="s">
        <v>57886</v>
      </c>
      <c r="W13339" t="s">
        <v>44555</v>
      </c>
      <c r="X13339" t="s">
        <v>44781</v>
      </c>
    </row>
    <row r="13340" spans="1:24">
      <c r="A13340">
        <f>HYPERLINK("https://www.philgeps.gov.ph/GEPSNONPILOT/Tender/SplashBidNoticeAbstractUI.aspx?menuIndex=3&amp;refID=7114541&amp;Result=3","7114541")</f>
        <v>0</v>
      </c>
      <c r="B13340" t="s">
        <v>2050</v>
      </c>
      <c r="C13340" t="s">
        <v>16467</v>
      </c>
      <c r="D13340" t="s">
        <v>17952</v>
      </c>
      <c r="E13340" t="s">
        <v>29562</v>
      </c>
      <c r="F13340" t="s">
        <v>30900</v>
      </c>
      <c r="G13340" t="s">
        <v>30907</v>
      </c>
      <c r="H13340" t="s">
        <v>30916</v>
      </c>
      <c r="I13340" t="s">
        <v>4142</v>
      </c>
      <c r="J13340" t="s">
        <v>39343</v>
      </c>
      <c r="K13340" t="s">
        <v>40286</v>
      </c>
      <c r="M13340" t="s">
        <v>44562</v>
      </c>
      <c r="N13340" t="s">
        <v>44759</v>
      </c>
      <c r="O13340" t="s">
        <v>44760</v>
      </c>
      <c r="P13340">
        <v>0</v>
      </c>
      <c r="Q13340">
        <v>6</v>
      </c>
      <c r="R13340" t="s">
        <v>44780</v>
      </c>
      <c r="S13340" t="s">
        <v>45683</v>
      </c>
      <c r="T13340" t="s">
        <v>46421</v>
      </c>
      <c r="U13340" t="s">
        <v>57887</v>
      </c>
      <c r="W13340" t="s">
        <v>44562</v>
      </c>
      <c r="X13340" t="s">
        <v>44781</v>
      </c>
    </row>
    <row r="13341" spans="1:24">
      <c r="A13341">
        <f>HYPERLINK("https://www.philgeps.gov.ph/GEPSNONPILOT/Tender/SplashBidNoticeAbstractUI.aspx?menuIndex=3&amp;refID=7114745&amp;Result=3","7114745")</f>
        <v>0</v>
      </c>
      <c r="B13341" t="s">
        <v>3626</v>
      </c>
      <c r="C13341" t="s">
        <v>16468</v>
      </c>
      <c r="D13341" t="s">
        <v>17984</v>
      </c>
      <c r="E13341" t="s">
        <v>29563</v>
      </c>
      <c r="F13341" t="s">
        <v>30900</v>
      </c>
      <c r="G13341" t="s">
        <v>30907</v>
      </c>
      <c r="H13341" t="s">
        <v>30915</v>
      </c>
      <c r="I13341" t="s">
        <v>30919</v>
      </c>
      <c r="J13341" t="s">
        <v>39341</v>
      </c>
      <c r="K13341" t="s">
        <v>40286</v>
      </c>
      <c r="M13341" t="s">
        <v>44559</v>
      </c>
      <c r="N13341" t="s">
        <v>44759</v>
      </c>
      <c r="O13341" t="s">
        <v>44760</v>
      </c>
      <c r="P13341">
        <v>0</v>
      </c>
      <c r="Q13341">
        <v>2</v>
      </c>
      <c r="R13341" t="s">
        <v>44780</v>
      </c>
      <c r="S13341" t="s">
        <v>45683</v>
      </c>
      <c r="T13341" t="s">
        <v>46531</v>
      </c>
      <c r="U13341" t="s">
        <v>57888</v>
      </c>
      <c r="W13341" t="s">
        <v>44559</v>
      </c>
      <c r="X13341" t="s">
        <v>44781</v>
      </c>
    </row>
    <row r="13342" spans="1:24">
      <c r="A13342">
        <f>HYPERLINK("https://www.philgeps.gov.ph/GEPSNONPILOT/Tender/SplashBidNoticeAbstractUI.aspx?menuIndex=3&amp;refID=7114768&amp;Result=3","7114768")</f>
        <v>0</v>
      </c>
      <c r="B13342" t="s">
        <v>790</v>
      </c>
      <c r="C13342" t="s">
        <v>16469</v>
      </c>
      <c r="D13342" t="s">
        <v>17988</v>
      </c>
      <c r="E13342" t="s">
        <v>29564</v>
      </c>
      <c r="F13342" t="s">
        <v>30900</v>
      </c>
      <c r="G13342" t="s">
        <v>30907</v>
      </c>
      <c r="H13342" t="s">
        <v>30915</v>
      </c>
      <c r="I13342" t="s">
        <v>30919</v>
      </c>
      <c r="J13342" t="s">
        <v>32558</v>
      </c>
      <c r="K13342" t="s">
        <v>40304</v>
      </c>
      <c r="M13342" t="s">
        <v>41359</v>
      </c>
      <c r="N13342" t="s">
        <v>44759</v>
      </c>
      <c r="O13342" t="s">
        <v>44760</v>
      </c>
      <c r="Q13342">
        <v>1</v>
      </c>
      <c r="R13342" t="s">
        <v>44780</v>
      </c>
      <c r="S13342" t="s">
        <v>45704</v>
      </c>
      <c r="T13342" t="s">
        <v>46531</v>
      </c>
      <c r="U13342" t="s">
        <v>57889</v>
      </c>
      <c r="W13342" t="s">
        <v>41359</v>
      </c>
      <c r="X13342" t="s">
        <v>44781</v>
      </c>
    </row>
    <row r="13343" spans="1:24">
      <c r="A13343">
        <f>HYPERLINK("https://www.philgeps.gov.ph/GEPSNONPILOT/Tender/SplashBidNoticeAbstractUI.aspx?menuIndex=3&amp;refID=7114867&amp;Result=3","7114867")</f>
        <v>0</v>
      </c>
      <c r="B13343" t="s">
        <v>3624</v>
      </c>
      <c r="C13343" t="s">
        <v>16470</v>
      </c>
      <c r="D13343" t="s">
        <v>18011</v>
      </c>
      <c r="E13343" t="s">
        <v>29565</v>
      </c>
      <c r="F13343" t="s">
        <v>30899</v>
      </c>
      <c r="G13343" t="s">
        <v>30907</v>
      </c>
      <c r="H13343" t="s">
        <v>30916</v>
      </c>
      <c r="I13343" t="s">
        <v>8123</v>
      </c>
      <c r="J13343" t="s">
        <v>39344</v>
      </c>
      <c r="K13343" t="s">
        <v>40284</v>
      </c>
      <c r="M13343" t="s">
        <v>44555</v>
      </c>
      <c r="N13343" t="s">
        <v>44759</v>
      </c>
      <c r="O13343" t="s">
        <v>44760</v>
      </c>
      <c r="P13343">
        <v>0</v>
      </c>
      <c r="Q13343">
        <v>0</v>
      </c>
      <c r="R13343" t="s">
        <v>44780</v>
      </c>
      <c r="S13343" t="s">
        <v>45683</v>
      </c>
      <c r="T13343" t="s">
        <v>46625</v>
      </c>
      <c r="U13343" t="s">
        <v>57890</v>
      </c>
      <c r="W13343" t="s">
        <v>44555</v>
      </c>
      <c r="X13343" t="s">
        <v>44781</v>
      </c>
    </row>
    <row r="13344" spans="1:24">
      <c r="A13344">
        <f>HYPERLINK("https://www.philgeps.gov.ph/GEPSNONPILOT/Tender/SplashBidNoticeAbstractUI.aspx?menuIndex=3&amp;refID=7114640&amp;Result=3","7114640")</f>
        <v>0</v>
      </c>
      <c r="B13344" t="s">
        <v>919</v>
      </c>
      <c r="C13344" t="s">
        <v>16471</v>
      </c>
      <c r="D13344" t="s">
        <v>17962</v>
      </c>
      <c r="E13344" t="s">
        <v>22270</v>
      </c>
      <c r="F13344" t="s">
        <v>30900</v>
      </c>
      <c r="G13344" t="s">
        <v>30907</v>
      </c>
      <c r="H13344" t="s">
        <v>30916</v>
      </c>
      <c r="I13344" t="s">
        <v>30924</v>
      </c>
      <c r="J13344" t="s">
        <v>31298</v>
      </c>
      <c r="K13344" t="s">
        <v>40286</v>
      </c>
      <c r="M13344" t="s">
        <v>41499</v>
      </c>
      <c r="N13344" t="s">
        <v>44759</v>
      </c>
      <c r="O13344" t="s">
        <v>44760</v>
      </c>
      <c r="P13344">
        <v>0</v>
      </c>
      <c r="Q13344">
        <v>5</v>
      </c>
      <c r="R13344" t="s">
        <v>44780</v>
      </c>
      <c r="S13344" t="s">
        <v>45683</v>
      </c>
      <c r="T13344" t="s">
        <v>46363</v>
      </c>
      <c r="U13344" t="s">
        <v>57891</v>
      </c>
      <c r="W13344" t="s">
        <v>41499</v>
      </c>
      <c r="X13344" t="s">
        <v>44781</v>
      </c>
    </row>
    <row r="13345" spans="1:24">
      <c r="A13345">
        <f>HYPERLINK("https://www.philgeps.gov.ph/GEPSNONPILOT/Tender/SplashBidNoticeAbstractUI.aspx?menuIndex=3&amp;refID=7114350&amp;Result=3","7114350")</f>
        <v>0</v>
      </c>
      <c r="B13345" t="s">
        <v>56</v>
      </c>
      <c r="C13345" t="s">
        <v>16472</v>
      </c>
      <c r="D13345" t="s">
        <v>17952</v>
      </c>
      <c r="E13345" t="s">
        <v>29566</v>
      </c>
      <c r="F13345" t="s">
        <v>30900</v>
      </c>
      <c r="G13345" t="s">
        <v>30907</v>
      </c>
      <c r="H13345" t="s">
        <v>30916</v>
      </c>
      <c r="I13345" t="s">
        <v>9385</v>
      </c>
      <c r="J13345" t="s">
        <v>39345</v>
      </c>
      <c r="K13345" t="s">
        <v>40293</v>
      </c>
      <c r="M13345" t="s">
        <v>43553</v>
      </c>
      <c r="N13345" t="s">
        <v>44759</v>
      </c>
      <c r="O13345" t="s">
        <v>44760</v>
      </c>
      <c r="Q13345">
        <v>9</v>
      </c>
      <c r="R13345" t="s">
        <v>44780</v>
      </c>
      <c r="S13345" t="s">
        <v>45705</v>
      </c>
      <c r="T13345" t="s">
        <v>46418</v>
      </c>
      <c r="U13345" t="s">
        <v>57892</v>
      </c>
      <c r="V13345" t="s">
        <v>59226</v>
      </c>
      <c r="W13345" t="s">
        <v>43553</v>
      </c>
      <c r="X13345" t="s">
        <v>44781</v>
      </c>
    </row>
    <row r="13346" spans="1:24">
      <c r="A13346">
        <f>HYPERLINK("https://www.philgeps.gov.ph/GEPSNONPILOT/Tender/SplashBidNoticeAbstractUI.aspx?menuIndex=3&amp;refID=7114665&amp;Result=3","7114665")</f>
        <v>0</v>
      </c>
      <c r="B13346" t="s">
        <v>1929</v>
      </c>
      <c r="C13346" t="s">
        <v>16473</v>
      </c>
      <c r="D13346" t="s">
        <v>17985</v>
      </c>
      <c r="E13346" t="s">
        <v>29567</v>
      </c>
      <c r="F13346" t="s">
        <v>30900</v>
      </c>
      <c r="G13346" t="s">
        <v>30907</v>
      </c>
      <c r="H13346" t="s">
        <v>30916</v>
      </c>
      <c r="I13346" t="s">
        <v>30933</v>
      </c>
      <c r="J13346" t="s">
        <v>31069</v>
      </c>
      <c r="K13346" t="s">
        <v>40286</v>
      </c>
      <c r="M13346" t="s">
        <v>42610</v>
      </c>
      <c r="N13346" t="s">
        <v>44759</v>
      </c>
      <c r="O13346" t="s">
        <v>44760</v>
      </c>
      <c r="P13346">
        <v>0</v>
      </c>
      <c r="Q13346">
        <v>3</v>
      </c>
      <c r="R13346" t="s">
        <v>44780</v>
      </c>
      <c r="S13346" t="s">
        <v>45683</v>
      </c>
      <c r="T13346" t="s">
        <v>46409</v>
      </c>
      <c r="U13346" t="s">
        <v>57893</v>
      </c>
      <c r="W13346" t="s">
        <v>42610</v>
      </c>
      <c r="X13346" t="s">
        <v>44781</v>
      </c>
    </row>
    <row r="13347" spans="1:24">
      <c r="A13347">
        <f>HYPERLINK("https://www.philgeps.gov.ph/GEPSNONPILOT/Tender/SplashBidNoticeAbstractUI.aspx?menuIndex=3&amp;refID=7114656&amp;Result=3","7114656")</f>
        <v>0</v>
      </c>
      <c r="B13347" t="s">
        <v>3629</v>
      </c>
      <c r="C13347" t="s">
        <v>16474</v>
      </c>
      <c r="D13347" t="s">
        <v>17960</v>
      </c>
      <c r="E13347" t="s">
        <v>29568</v>
      </c>
      <c r="F13347" t="s">
        <v>30900</v>
      </c>
      <c r="G13347" t="s">
        <v>30907</v>
      </c>
      <c r="H13347" t="s">
        <v>30916</v>
      </c>
      <c r="I13347" t="s">
        <v>4545</v>
      </c>
      <c r="J13347" t="s">
        <v>33599</v>
      </c>
      <c r="K13347" t="s">
        <v>40294</v>
      </c>
      <c r="M13347" t="s">
        <v>44563</v>
      </c>
      <c r="N13347" t="s">
        <v>44759</v>
      </c>
      <c r="O13347" t="s">
        <v>44760</v>
      </c>
      <c r="P13347">
        <v>0</v>
      </c>
      <c r="Q13347">
        <v>6</v>
      </c>
      <c r="R13347" t="s">
        <v>44780</v>
      </c>
      <c r="S13347" t="s">
        <v>45683</v>
      </c>
      <c r="T13347" t="s">
        <v>46421</v>
      </c>
      <c r="U13347" t="s">
        <v>57894</v>
      </c>
      <c r="W13347" t="s">
        <v>44563</v>
      </c>
      <c r="X13347" t="s">
        <v>44781</v>
      </c>
    </row>
    <row r="13348" spans="1:24">
      <c r="A13348">
        <f>HYPERLINK("https://www.philgeps.gov.ph/GEPSNONPILOT/Tender/SplashBidNoticeAbstractUI.aspx?menuIndex=3&amp;refID=7115143&amp;Result=3","7115143")</f>
        <v>0</v>
      </c>
      <c r="B13348" t="s">
        <v>1529</v>
      </c>
      <c r="C13348" t="s">
        <v>16475</v>
      </c>
      <c r="D13348" t="s">
        <v>18010</v>
      </c>
      <c r="E13348" t="s">
        <v>29569</v>
      </c>
      <c r="F13348" t="s">
        <v>30900</v>
      </c>
      <c r="G13348" t="s">
        <v>30907</v>
      </c>
      <c r="H13348" t="s">
        <v>30916</v>
      </c>
      <c r="I13348" t="s">
        <v>30923</v>
      </c>
      <c r="J13348" t="s">
        <v>39346</v>
      </c>
      <c r="K13348" t="s">
        <v>40286</v>
      </c>
      <c r="M13348" t="s">
        <v>42172</v>
      </c>
      <c r="N13348" t="s">
        <v>44759</v>
      </c>
      <c r="O13348" t="s">
        <v>44760</v>
      </c>
      <c r="P13348">
        <v>0</v>
      </c>
      <c r="Q13348">
        <v>2</v>
      </c>
      <c r="R13348" t="s">
        <v>44780</v>
      </c>
      <c r="S13348" t="s">
        <v>45683</v>
      </c>
      <c r="T13348" t="s">
        <v>46658</v>
      </c>
      <c r="U13348" t="s">
        <v>50151</v>
      </c>
      <c r="W13348" t="s">
        <v>60866</v>
      </c>
      <c r="X13348" t="s">
        <v>44781</v>
      </c>
    </row>
    <row r="13349" spans="1:24">
      <c r="A13349">
        <f>HYPERLINK("https://www.philgeps.gov.ph/GEPSNONPILOT/Tender/SplashBidNoticeAbstractUI.aspx?menuIndex=3&amp;refID=7115150&amp;Result=3","7115150")</f>
        <v>0</v>
      </c>
      <c r="B13349" t="s">
        <v>3626</v>
      </c>
      <c r="C13349" t="s">
        <v>16476</v>
      </c>
      <c r="D13349" t="s">
        <v>17984</v>
      </c>
      <c r="E13349" t="s">
        <v>29570</v>
      </c>
      <c r="F13349" t="s">
        <v>30900</v>
      </c>
      <c r="G13349" t="s">
        <v>30907</v>
      </c>
      <c r="H13349" t="s">
        <v>30916</v>
      </c>
      <c r="I13349" t="s">
        <v>8123</v>
      </c>
      <c r="J13349" t="s">
        <v>39347</v>
      </c>
      <c r="K13349" t="s">
        <v>40329</v>
      </c>
      <c r="M13349" t="s">
        <v>44559</v>
      </c>
      <c r="N13349" t="s">
        <v>44759</v>
      </c>
      <c r="O13349" t="s">
        <v>44760</v>
      </c>
      <c r="P13349">
        <v>0</v>
      </c>
      <c r="Q13349">
        <v>1</v>
      </c>
      <c r="R13349" t="s">
        <v>44780</v>
      </c>
      <c r="S13349" t="s">
        <v>45683</v>
      </c>
      <c r="T13349" t="s">
        <v>46531</v>
      </c>
      <c r="U13349" t="s">
        <v>57895</v>
      </c>
      <c r="W13349" t="s">
        <v>44559</v>
      </c>
      <c r="X13349" t="s">
        <v>44781</v>
      </c>
    </row>
    <row r="13350" spans="1:24">
      <c r="A13350">
        <f>HYPERLINK("https://www.philgeps.gov.ph/GEPSNONPILOT/Tender/SplashBidNoticeAbstractUI.aspx?menuIndex=3&amp;refID=7114649&amp;Result=3","7114649")</f>
        <v>0</v>
      </c>
      <c r="B13350" t="s">
        <v>3419</v>
      </c>
      <c r="C13350" t="s">
        <v>16477</v>
      </c>
      <c r="D13350" t="s">
        <v>17971</v>
      </c>
      <c r="E13350" t="s">
        <v>29571</v>
      </c>
      <c r="F13350" t="s">
        <v>30900</v>
      </c>
      <c r="G13350" t="s">
        <v>30907</v>
      </c>
      <c r="H13350" t="s">
        <v>30915</v>
      </c>
      <c r="I13350" t="s">
        <v>30919</v>
      </c>
      <c r="J13350" t="s">
        <v>39348</v>
      </c>
      <c r="K13350" t="s">
        <v>40301</v>
      </c>
      <c r="M13350" t="s">
        <v>44298</v>
      </c>
      <c r="N13350" t="s">
        <v>44759</v>
      </c>
      <c r="O13350" t="s">
        <v>44760</v>
      </c>
      <c r="P13350">
        <v>0</v>
      </c>
      <c r="Q13350">
        <v>73</v>
      </c>
      <c r="R13350" t="s">
        <v>44780</v>
      </c>
      <c r="S13350" t="s">
        <v>45683</v>
      </c>
      <c r="T13350" t="s">
        <v>46613</v>
      </c>
      <c r="U13350" t="s">
        <v>57896</v>
      </c>
      <c r="W13350" t="s">
        <v>44298</v>
      </c>
      <c r="X13350" t="s">
        <v>44781</v>
      </c>
    </row>
    <row r="13351" spans="1:24">
      <c r="A13351">
        <f>HYPERLINK("https://www.philgeps.gov.ph/GEPSNONPILOT/Tender/SplashBidNoticeAbstractUI.aspx?menuIndex=3&amp;refID=7114685&amp;Result=3","7114685")</f>
        <v>0</v>
      </c>
      <c r="B13351" t="s">
        <v>56</v>
      </c>
      <c r="C13351" t="s">
        <v>16478</v>
      </c>
      <c r="D13351" t="s">
        <v>17952</v>
      </c>
      <c r="E13351" t="s">
        <v>29572</v>
      </c>
      <c r="F13351" t="s">
        <v>30900</v>
      </c>
      <c r="G13351" t="s">
        <v>30907</v>
      </c>
      <c r="H13351" t="s">
        <v>30916</v>
      </c>
      <c r="I13351" t="s">
        <v>8123</v>
      </c>
      <c r="J13351" t="s">
        <v>39349</v>
      </c>
      <c r="K13351" t="s">
        <v>40288</v>
      </c>
      <c r="M13351" t="s">
        <v>43553</v>
      </c>
      <c r="N13351" t="s">
        <v>44759</v>
      </c>
      <c r="O13351" t="s">
        <v>44760</v>
      </c>
      <c r="Q13351">
        <v>1</v>
      </c>
      <c r="R13351" t="s">
        <v>44780</v>
      </c>
      <c r="S13351" t="s">
        <v>45706</v>
      </c>
      <c r="T13351" t="s">
        <v>46418</v>
      </c>
      <c r="U13351" t="s">
        <v>57897</v>
      </c>
      <c r="V13351" t="s">
        <v>59226</v>
      </c>
      <c r="W13351" t="s">
        <v>43553</v>
      </c>
      <c r="X13351" t="s">
        <v>44781</v>
      </c>
    </row>
    <row r="13352" spans="1:24">
      <c r="A13352">
        <f>HYPERLINK("https://www.philgeps.gov.ph/GEPSNONPILOT/Tender/SplashBidNoticeAbstractUI.aspx?menuIndex=3&amp;refID=7114714&amp;Result=3","7114714")</f>
        <v>0</v>
      </c>
      <c r="B13352" t="s">
        <v>790</v>
      </c>
      <c r="C13352" t="s">
        <v>16479</v>
      </c>
      <c r="D13352" t="s">
        <v>17988</v>
      </c>
      <c r="E13352" t="s">
        <v>29573</v>
      </c>
      <c r="F13352" t="s">
        <v>30900</v>
      </c>
      <c r="G13352" t="s">
        <v>30907</v>
      </c>
      <c r="H13352" t="s">
        <v>30915</v>
      </c>
      <c r="I13352" t="s">
        <v>30919</v>
      </c>
      <c r="J13352" t="s">
        <v>33772</v>
      </c>
      <c r="K13352" t="s">
        <v>40522</v>
      </c>
      <c r="M13352" t="s">
        <v>41359</v>
      </c>
      <c r="N13352" t="s">
        <v>44759</v>
      </c>
      <c r="O13352" t="s">
        <v>44760</v>
      </c>
      <c r="Q13352">
        <v>1</v>
      </c>
      <c r="R13352" t="s">
        <v>44780</v>
      </c>
      <c r="S13352" t="s">
        <v>45707</v>
      </c>
      <c r="T13352" t="s">
        <v>46531</v>
      </c>
      <c r="U13352" t="s">
        <v>57898</v>
      </c>
      <c r="W13352" t="s">
        <v>41359</v>
      </c>
      <c r="X13352" t="s">
        <v>44781</v>
      </c>
    </row>
    <row r="13353" spans="1:24">
      <c r="A13353">
        <f>HYPERLINK("https://www.philgeps.gov.ph/GEPSNONPILOT/Tender/SplashBidNoticeAbstractUI.aspx?menuIndex=3&amp;refID=7115106&amp;Result=3","7115106")</f>
        <v>0</v>
      </c>
      <c r="B13353" t="s">
        <v>3629</v>
      </c>
      <c r="C13353" t="s">
        <v>16480</v>
      </c>
      <c r="D13353" t="s">
        <v>17960</v>
      </c>
      <c r="E13353" t="s">
        <v>29574</v>
      </c>
      <c r="F13353" t="s">
        <v>30900</v>
      </c>
      <c r="G13353" t="s">
        <v>30907</v>
      </c>
      <c r="H13353" t="s">
        <v>30916</v>
      </c>
      <c r="I13353" t="s">
        <v>4108</v>
      </c>
      <c r="J13353" t="s">
        <v>34629</v>
      </c>
      <c r="K13353" t="s">
        <v>40294</v>
      </c>
      <c r="M13353" t="s">
        <v>44563</v>
      </c>
      <c r="N13353" t="s">
        <v>44759</v>
      </c>
      <c r="O13353" t="s">
        <v>44760</v>
      </c>
      <c r="P13353">
        <v>0</v>
      </c>
      <c r="Q13353">
        <v>0</v>
      </c>
      <c r="R13353" t="s">
        <v>44780</v>
      </c>
      <c r="S13353" t="s">
        <v>45683</v>
      </c>
      <c r="T13353" t="s">
        <v>46421</v>
      </c>
      <c r="U13353" t="s">
        <v>57899</v>
      </c>
      <c r="W13353" t="s">
        <v>44563</v>
      </c>
      <c r="X13353" t="s">
        <v>44781</v>
      </c>
    </row>
    <row r="13354" spans="1:24">
      <c r="A13354">
        <f>HYPERLINK("https://www.philgeps.gov.ph/GEPSNONPILOT/Tender/SplashBidNoticeAbstractUI.aspx?menuIndex=3&amp;refID=7115113&amp;Result=3","7115113")</f>
        <v>0</v>
      </c>
      <c r="B13354" t="s">
        <v>3630</v>
      </c>
      <c r="C13354" t="s">
        <v>16481</v>
      </c>
      <c r="D13354" t="s">
        <v>17984</v>
      </c>
      <c r="E13354" t="s">
        <v>29575</v>
      </c>
      <c r="F13354" t="s">
        <v>30900</v>
      </c>
      <c r="G13354" t="s">
        <v>30907</v>
      </c>
      <c r="H13354" t="s">
        <v>30916</v>
      </c>
      <c r="I13354" t="s">
        <v>4061</v>
      </c>
      <c r="J13354" t="s">
        <v>38393</v>
      </c>
      <c r="K13354" t="s">
        <v>40286</v>
      </c>
      <c r="M13354" t="s">
        <v>44564</v>
      </c>
      <c r="N13354" t="s">
        <v>44759</v>
      </c>
      <c r="O13354" t="s">
        <v>44760</v>
      </c>
      <c r="Q13354">
        <v>2</v>
      </c>
      <c r="R13354" t="s">
        <v>44780</v>
      </c>
      <c r="S13354" t="s">
        <v>45708</v>
      </c>
      <c r="T13354" t="s">
        <v>46421</v>
      </c>
      <c r="U13354" t="s">
        <v>57900</v>
      </c>
      <c r="V13354" t="s">
        <v>60629</v>
      </c>
      <c r="W13354" t="s">
        <v>44564</v>
      </c>
      <c r="X13354" t="s">
        <v>44781</v>
      </c>
    </row>
    <row r="13355" spans="1:24">
      <c r="A13355">
        <f>HYPERLINK("https://www.philgeps.gov.ph/GEPSNONPILOT/Tender/SplashBidNoticeAbstractUI.aspx?menuIndex=3&amp;refID=7115118&amp;Result=3","7115118")</f>
        <v>0</v>
      </c>
      <c r="B13355" t="s">
        <v>745</v>
      </c>
      <c r="C13355" t="s">
        <v>16482</v>
      </c>
      <c r="D13355" t="s">
        <v>17970</v>
      </c>
      <c r="E13355" t="s">
        <v>29576</v>
      </c>
      <c r="F13355" t="s">
        <v>30900</v>
      </c>
      <c r="G13355" t="s">
        <v>30907</v>
      </c>
      <c r="H13355" t="s">
        <v>30916</v>
      </c>
      <c r="I13355" t="s">
        <v>4142</v>
      </c>
      <c r="J13355" t="s">
        <v>39350</v>
      </c>
      <c r="K13355" t="s">
        <v>40289</v>
      </c>
      <c r="M13355" t="s">
        <v>41309</v>
      </c>
      <c r="N13355" t="s">
        <v>44759</v>
      </c>
      <c r="O13355" t="s">
        <v>44760</v>
      </c>
      <c r="Q13355">
        <v>22</v>
      </c>
      <c r="R13355" t="s">
        <v>44780</v>
      </c>
      <c r="S13355" t="s">
        <v>45709</v>
      </c>
      <c r="T13355" t="s">
        <v>46403</v>
      </c>
      <c r="U13355" t="s">
        <v>57901</v>
      </c>
      <c r="W13355" t="s">
        <v>41309</v>
      </c>
      <c r="X13355" t="s">
        <v>44781</v>
      </c>
    </row>
    <row r="13356" spans="1:24">
      <c r="A13356">
        <f>HYPERLINK("https://www.philgeps.gov.ph/GEPSNONPILOT/Tender/SplashBidNoticeAbstractUI.aspx?menuIndex=3&amp;refID=7115017&amp;Result=3","7115017")</f>
        <v>0</v>
      </c>
      <c r="B13356" t="s">
        <v>3626</v>
      </c>
      <c r="C13356" t="s">
        <v>16483</v>
      </c>
      <c r="D13356" t="s">
        <v>17984</v>
      </c>
      <c r="E13356" t="s">
        <v>29577</v>
      </c>
      <c r="F13356" t="s">
        <v>30900</v>
      </c>
      <c r="G13356" t="s">
        <v>30907</v>
      </c>
      <c r="H13356" t="s">
        <v>30916</v>
      </c>
      <c r="I13356" t="s">
        <v>30939</v>
      </c>
      <c r="J13356" t="s">
        <v>39351</v>
      </c>
      <c r="K13356" t="s">
        <v>40283</v>
      </c>
      <c r="M13356" t="s">
        <v>44559</v>
      </c>
      <c r="N13356" t="s">
        <v>44759</v>
      </c>
      <c r="O13356" t="s">
        <v>44760</v>
      </c>
      <c r="P13356">
        <v>0</v>
      </c>
      <c r="Q13356">
        <v>1</v>
      </c>
      <c r="R13356" t="s">
        <v>44780</v>
      </c>
      <c r="S13356" t="s">
        <v>45683</v>
      </c>
      <c r="T13356" t="s">
        <v>46531</v>
      </c>
      <c r="U13356" t="s">
        <v>57902</v>
      </c>
      <c r="W13356" t="s">
        <v>44559</v>
      </c>
      <c r="X13356" t="s">
        <v>44781</v>
      </c>
    </row>
    <row r="13357" spans="1:24">
      <c r="A13357">
        <f>HYPERLINK("https://www.philgeps.gov.ph/GEPSNONPILOT/Tender/SplashBidNoticeAbstractUI.aspx?menuIndex=3&amp;refID=7115077&amp;Result=3","7115077")</f>
        <v>0</v>
      </c>
      <c r="B13357" t="s">
        <v>3628</v>
      </c>
      <c r="C13357" t="s">
        <v>16484</v>
      </c>
      <c r="D13357" t="s">
        <v>17991</v>
      </c>
      <c r="E13357" t="s">
        <v>29578</v>
      </c>
      <c r="F13357" t="s">
        <v>30901</v>
      </c>
      <c r="G13357" t="s">
        <v>30913</v>
      </c>
      <c r="H13357" t="s">
        <v>30916</v>
      </c>
      <c r="I13357" t="s">
        <v>30949</v>
      </c>
      <c r="J13357" t="s">
        <v>39352</v>
      </c>
      <c r="K13357" t="s">
        <v>40293</v>
      </c>
      <c r="M13357" t="s">
        <v>44561</v>
      </c>
      <c r="N13357" t="s">
        <v>44759</v>
      </c>
      <c r="O13357" t="s">
        <v>44760</v>
      </c>
      <c r="P13357">
        <v>0</v>
      </c>
      <c r="Q13357">
        <v>5</v>
      </c>
      <c r="R13357" t="s">
        <v>44780</v>
      </c>
      <c r="S13357" t="s">
        <v>45683</v>
      </c>
      <c r="T13357" t="s">
        <v>46454</v>
      </c>
      <c r="U13357" t="s">
        <v>57903</v>
      </c>
      <c r="V13357" t="s">
        <v>60630</v>
      </c>
      <c r="W13357" t="s">
        <v>44561</v>
      </c>
      <c r="X13357" t="s">
        <v>44781</v>
      </c>
    </row>
    <row r="13358" spans="1:24">
      <c r="A13358">
        <f>HYPERLINK("https://www.philgeps.gov.ph/GEPSNONPILOT/Tender/SplashBidNoticeAbstractUI.aspx?menuIndex=3&amp;refID=7115062&amp;Result=3","7115062")</f>
        <v>0</v>
      </c>
      <c r="B13358" t="s">
        <v>1929</v>
      </c>
      <c r="C13358" t="s">
        <v>16485</v>
      </c>
      <c r="D13358" t="s">
        <v>17985</v>
      </c>
      <c r="E13358" t="s">
        <v>29579</v>
      </c>
      <c r="F13358" t="s">
        <v>30900</v>
      </c>
      <c r="G13358" t="s">
        <v>30907</v>
      </c>
      <c r="H13358" t="s">
        <v>30915</v>
      </c>
      <c r="I13358" t="s">
        <v>30919</v>
      </c>
      <c r="J13358" t="s">
        <v>39353</v>
      </c>
      <c r="K13358" t="s">
        <v>40292</v>
      </c>
      <c r="M13358" t="s">
        <v>42610</v>
      </c>
      <c r="N13358" t="s">
        <v>44759</v>
      </c>
      <c r="O13358" t="s">
        <v>44760</v>
      </c>
      <c r="P13358">
        <v>0</v>
      </c>
      <c r="Q13358">
        <v>0</v>
      </c>
      <c r="R13358" t="s">
        <v>44780</v>
      </c>
      <c r="S13358" t="s">
        <v>45683</v>
      </c>
      <c r="T13358" t="s">
        <v>46409</v>
      </c>
      <c r="U13358" t="s">
        <v>57904</v>
      </c>
      <c r="W13358" t="s">
        <v>42610</v>
      </c>
      <c r="X13358" t="s">
        <v>44781</v>
      </c>
    </row>
    <row r="13359" spans="1:24">
      <c r="A13359">
        <f>HYPERLINK("https://www.philgeps.gov.ph/GEPSNONPILOT/Tender/SplashBidNoticeAbstractUI.aspx?menuIndex=3&amp;refID=7114986&amp;Result=3","7114986")</f>
        <v>0</v>
      </c>
      <c r="B13359" t="s">
        <v>2511</v>
      </c>
      <c r="C13359" t="s">
        <v>16486</v>
      </c>
      <c r="D13359" t="s">
        <v>17994</v>
      </c>
      <c r="E13359" t="s">
        <v>29580</v>
      </c>
      <c r="F13359" t="s">
        <v>30900</v>
      </c>
      <c r="G13359" t="s">
        <v>30907</v>
      </c>
      <c r="H13359" t="s">
        <v>30915</v>
      </c>
      <c r="I13359" t="s">
        <v>30919</v>
      </c>
      <c r="J13359" t="s">
        <v>31243</v>
      </c>
      <c r="K13359" t="s">
        <v>40293</v>
      </c>
      <c r="M13359" t="s">
        <v>43257</v>
      </c>
      <c r="N13359" t="s">
        <v>44759</v>
      </c>
      <c r="O13359" t="s">
        <v>44760</v>
      </c>
      <c r="P13359">
        <v>0</v>
      </c>
      <c r="Q13359">
        <v>0</v>
      </c>
      <c r="R13359" t="s">
        <v>44780</v>
      </c>
      <c r="S13359" t="s">
        <v>45683</v>
      </c>
      <c r="T13359" t="s">
        <v>46421</v>
      </c>
      <c r="U13359" t="s">
        <v>57905</v>
      </c>
      <c r="W13359" t="s">
        <v>43257</v>
      </c>
      <c r="X13359" t="s">
        <v>44781</v>
      </c>
    </row>
    <row r="13360" spans="1:24">
      <c r="A13360">
        <f>HYPERLINK("https://www.philgeps.gov.ph/GEPSNONPILOT/Tender/SplashBidNoticeAbstractUI.aspx?menuIndex=3&amp;refID=7115055&amp;Result=3","7115055")</f>
        <v>0</v>
      </c>
      <c r="B13360" t="s">
        <v>1232</v>
      </c>
      <c r="C13360" t="s">
        <v>16487</v>
      </c>
      <c r="D13360" t="s">
        <v>17956</v>
      </c>
      <c r="E13360" t="s">
        <v>29581</v>
      </c>
      <c r="F13360" t="s">
        <v>30900</v>
      </c>
      <c r="G13360" t="s">
        <v>30907</v>
      </c>
      <c r="H13360" t="s">
        <v>30915</v>
      </c>
      <c r="I13360" t="s">
        <v>30919</v>
      </c>
      <c r="J13360" t="s">
        <v>39354</v>
      </c>
      <c r="K13360" t="s">
        <v>40280</v>
      </c>
      <c r="M13360" t="s">
        <v>42598</v>
      </c>
      <c r="N13360" t="s">
        <v>44759</v>
      </c>
      <c r="O13360" t="s">
        <v>44760</v>
      </c>
      <c r="Q13360">
        <v>6</v>
      </c>
      <c r="R13360" t="s">
        <v>44780</v>
      </c>
      <c r="S13360" t="s">
        <v>45710</v>
      </c>
      <c r="T13360" t="s">
        <v>46760</v>
      </c>
      <c r="U13360" t="s">
        <v>57906</v>
      </c>
      <c r="W13360" t="s">
        <v>42598</v>
      </c>
      <c r="X13360" t="s">
        <v>44781</v>
      </c>
    </row>
    <row r="13361" spans="1:24">
      <c r="A13361">
        <f>HYPERLINK("https://www.philgeps.gov.ph/GEPSNONPILOT/Tender/SplashBidNoticeAbstractUI.aspx?menuIndex=3&amp;refID=7114970&amp;Result=3","7114970")</f>
        <v>0</v>
      </c>
      <c r="B13361" t="s">
        <v>3626</v>
      </c>
      <c r="C13361" t="s">
        <v>16488</v>
      </c>
      <c r="D13361" t="s">
        <v>17984</v>
      </c>
      <c r="E13361" t="s">
        <v>29582</v>
      </c>
      <c r="F13361" t="s">
        <v>30900</v>
      </c>
      <c r="G13361" t="s">
        <v>30907</v>
      </c>
      <c r="H13361" t="s">
        <v>30916</v>
      </c>
      <c r="I13361" t="s">
        <v>30939</v>
      </c>
      <c r="J13361" t="s">
        <v>39351</v>
      </c>
      <c r="K13361" t="s">
        <v>40283</v>
      </c>
      <c r="M13361" t="s">
        <v>44559</v>
      </c>
      <c r="N13361" t="s">
        <v>44759</v>
      </c>
      <c r="O13361" t="s">
        <v>44760</v>
      </c>
      <c r="P13361">
        <v>0</v>
      </c>
      <c r="Q13361">
        <v>2</v>
      </c>
      <c r="R13361" t="s">
        <v>44780</v>
      </c>
      <c r="S13361" t="s">
        <v>45683</v>
      </c>
      <c r="T13361" t="s">
        <v>46926</v>
      </c>
      <c r="U13361" t="s">
        <v>57907</v>
      </c>
      <c r="W13361" t="s">
        <v>44559</v>
      </c>
      <c r="X13361" t="s">
        <v>44781</v>
      </c>
    </row>
    <row r="13362" spans="1:24">
      <c r="A13362">
        <f>HYPERLINK("https://www.philgeps.gov.ph/GEPSNONPILOT/Tender/SplashBidNoticeAbstractUI.aspx?menuIndex=3&amp;refID=7114924&amp;Result=3","7114924")</f>
        <v>0</v>
      </c>
      <c r="B13362" t="s">
        <v>2511</v>
      </c>
      <c r="C13362" t="s">
        <v>16489</v>
      </c>
      <c r="D13362" t="s">
        <v>17994</v>
      </c>
      <c r="E13362" t="s">
        <v>29583</v>
      </c>
      <c r="F13362" t="s">
        <v>30900</v>
      </c>
      <c r="G13362" t="s">
        <v>30907</v>
      </c>
      <c r="H13362" t="s">
        <v>30915</v>
      </c>
      <c r="I13362" t="s">
        <v>30919</v>
      </c>
      <c r="J13362" t="s">
        <v>37295</v>
      </c>
      <c r="K13362" t="s">
        <v>40298</v>
      </c>
      <c r="M13362" t="s">
        <v>43257</v>
      </c>
      <c r="N13362" t="s">
        <v>44759</v>
      </c>
      <c r="O13362" t="s">
        <v>44760</v>
      </c>
      <c r="P13362">
        <v>0</v>
      </c>
      <c r="Q13362">
        <v>0</v>
      </c>
      <c r="R13362" t="s">
        <v>44780</v>
      </c>
      <c r="S13362" t="s">
        <v>45683</v>
      </c>
      <c r="T13362" t="s">
        <v>46421</v>
      </c>
      <c r="U13362" t="s">
        <v>57908</v>
      </c>
      <c r="W13362" t="s">
        <v>43257</v>
      </c>
      <c r="X13362" t="s">
        <v>44781</v>
      </c>
    </row>
    <row r="13363" spans="1:24">
      <c r="A13363">
        <f>HYPERLINK("https://www.philgeps.gov.ph/GEPSNONPILOT/Tender/SplashBidNoticeAbstractUI.aspx?menuIndex=3&amp;refID=7114957&amp;Result=3","7114957")</f>
        <v>0</v>
      </c>
      <c r="B13363" t="s">
        <v>3624</v>
      </c>
      <c r="C13363" t="s">
        <v>16490</v>
      </c>
      <c r="D13363" t="s">
        <v>18011</v>
      </c>
      <c r="E13363" t="s">
        <v>29584</v>
      </c>
      <c r="F13363" t="s">
        <v>30899</v>
      </c>
      <c r="G13363" t="s">
        <v>30907</v>
      </c>
      <c r="H13363" t="s">
        <v>30916</v>
      </c>
      <c r="I13363" t="s">
        <v>8123</v>
      </c>
      <c r="J13363" t="s">
        <v>39344</v>
      </c>
      <c r="K13363" t="s">
        <v>40284</v>
      </c>
      <c r="M13363" t="s">
        <v>44555</v>
      </c>
      <c r="N13363" t="s">
        <v>44759</v>
      </c>
      <c r="O13363" t="s">
        <v>44760</v>
      </c>
      <c r="P13363">
        <v>0</v>
      </c>
      <c r="Q13363">
        <v>0</v>
      </c>
      <c r="R13363" t="s">
        <v>44780</v>
      </c>
      <c r="S13363" t="s">
        <v>45683</v>
      </c>
      <c r="T13363" t="s">
        <v>46625</v>
      </c>
      <c r="U13363" t="s">
        <v>57909</v>
      </c>
      <c r="W13363" t="s">
        <v>44555</v>
      </c>
      <c r="X13363" t="s">
        <v>44781</v>
      </c>
    </row>
    <row r="13364" spans="1:24">
      <c r="A13364">
        <f>HYPERLINK("https://www.philgeps.gov.ph/GEPSNONPILOT/Tender/SplashBidNoticeAbstractUI.aspx?menuIndex=3&amp;refID=7114975&amp;Result=3","7114975")</f>
        <v>0</v>
      </c>
      <c r="B13364" t="s">
        <v>1414</v>
      </c>
      <c r="C13364" t="s">
        <v>16491</v>
      </c>
      <c r="D13364" t="s">
        <v>17977</v>
      </c>
      <c r="E13364" t="s">
        <v>29585</v>
      </c>
      <c r="F13364" t="s">
        <v>30900</v>
      </c>
      <c r="G13364" t="s">
        <v>30907</v>
      </c>
      <c r="H13364" t="s">
        <v>30915</v>
      </c>
      <c r="I13364" t="s">
        <v>30919</v>
      </c>
      <c r="J13364" t="s">
        <v>39355</v>
      </c>
      <c r="K13364" t="s">
        <v>40301</v>
      </c>
      <c r="M13364" t="s">
        <v>44558</v>
      </c>
      <c r="N13364" t="s">
        <v>44759</v>
      </c>
      <c r="O13364" t="s">
        <v>44760</v>
      </c>
      <c r="Q13364">
        <v>1</v>
      </c>
      <c r="R13364" t="s">
        <v>44780</v>
      </c>
      <c r="S13364" t="s">
        <v>45353</v>
      </c>
      <c r="T13364" t="s">
        <v>46389</v>
      </c>
      <c r="U13364" t="s">
        <v>57878</v>
      </c>
      <c r="W13364" t="s">
        <v>44558</v>
      </c>
      <c r="X13364" t="s">
        <v>44781</v>
      </c>
    </row>
    <row r="13365" spans="1:24">
      <c r="A13365">
        <f>HYPERLINK("https://www.philgeps.gov.ph/GEPSNONPILOT/Tender/SplashBidNoticeAbstractUI.aspx?menuIndex=3&amp;refID=7115360&amp;Result=3","7115360")</f>
        <v>0</v>
      </c>
      <c r="B13365" t="s">
        <v>1863</v>
      </c>
      <c r="C13365" t="s">
        <v>16492</v>
      </c>
      <c r="D13365" t="s">
        <v>18013</v>
      </c>
      <c r="E13365" t="s">
        <v>29586</v>
      </c>
      <c r="F13365" t="s">
        <v>30900</v>
      </c>
      <c r="G13365" t="s">
        <v>30907</v>
      </c>
      <c r="H13365" t="s">
        <v>30916</v>
      </c>
      <c r="I13365" t="s">
        <v>30923</v>
      </c>
      <c r="J13365" t="s">
        <v>39356</v>
      </c>
      <c r="K13365" t="s">
        <v>40283</v>
      </c>
      <c r="M13365" t="s">
        <v>42537</v>
      </c>
      <c r="N13365" t="s">
        <v>44759</v>
      </c>
      <c r="O13365" t="s">
        <v>44760</v>
      </c>
      <c r="Q13365">
        <v>2</v>
      </c>
      <c r="R13365" t="s">
        <v>44780</v>
      </c>
      <c r="S13365" t="s">
        <v>45711</v>
      </c>
      <c r="T13365" t="s">
        <v>46658</v>
      </c>
      <c r="U13365" t="s">
        <v>57910</v>
      </c>
      <c r="W13365" t="s">
        <v>42537</v>
      </c>
      <c r="X13365" t="s">
        <v>44781</v>
      </c>
    </row>
    <row r="13366" spans="1:24">
      <c r="A13366">
        <f>HYPERLINK("https://www.philgeps.gov.ph/GEPSNONPILOT/Tender/SplashBidNoticeAbstractUI.aspx?menuIndex=3&amp;refID=7114942&amp;Result=3","7114942")</f>
        <v>0</v>
      </c>
      <c r="B13366" t="s">
        <v>3629</v>
      </c>
      <c r="C13366" t="s">
        <v>16493</v>
      </c>
      <c r="D13366" t="s">
        <v>17960</v>
      </c>
      <c r="E13366" t="s">
        <v>29587</v>
      </c>
      <c r="F13366" t="s">
        <v>30900</v>
      </c>
      <c r="G13366" t="s">
        <v>30907</v>
      </c>
      <c r="H13366" t="s">
        <v>30916</v>
      </c>
      <c r="I13366" t="s">
        <v>30947</v>
      </c>
      <c r="J13366" t="s">
        <v>33070</v>
      </c>
      <c r="K13366" t="s">
        <v>40294</v>
      </c>
      <c r="M13366" t="s">
        <v>44563</v>
      </c>
      <c r="N13366" t="s">
        <v>44759</v>
      </c>
      <c r="O13366" t="s">
        <v>44760</v>
      </c>
      <c r="P13366">
        <v>0</v>
      </c>
      <c r="Q13366">
        <v>0</v>
      </c>
      <c r="R13366" t="s">
        <v>44780</v>
      </c>
      <c r="S13366" t="s">
        <v>45683</v>
      </c>
      <c r="T13366" t="s">
        <v>46421</v>
      </c>
      <c r="U13366" t="s">
        <v>57911</v>
      </c>
      <c r="W13366" t="s">
        <v>44563</v>
      </c>
      <c r="X13366" t="s">
        <v>44781</v>
      </c>
    </row>
    <row r="13367" spans="1:24">
      <c r="A13367">
        <f>HYPERLINK("https://www.philgeps.gov.ph/GEPSNONPILOT/Tender/SplashBidNoticeAbstractUI.aspx?menuIndex=3&amp;refID=7115326&amp;Result=3","7115326")</f>
        <v>0</v>
      </c>
      <c r="B13367" t="s">
        <v>3628</v>
      </c>
      <c r="C13367" t="s">
        <v>16494</v>
      </c>
      <c r="D13367" t="s">
        <v>17991</v>
      </c>
      <c r="E13367" t="s">
        <v>29588</v>
      </c>
      <c r="F13367" t="s">
        <v>30901</v>
      </c>
      <c r="G13367" t="s">
        <v>30913</v>
      </c>
      <c r="H13367" t="s">
        <v>30916</v>
      </c>
      <c r="I13367" t="s">
        <v>30933</v>
      </c>
      <c r="J13367" t="s">
        <v>31069</v>
      </c>
      <c r="K13367" t="s">
        <v>40293</v>
      </c>
      <c r="M13367" t="s">
        <v>44561</v>
      </c>
      <c r="N13367" t="s">
        <v>44759</v>
      </c>
      <c r="O13367" t="s">
        <v>44760</v>
      </c>
      <c r="P13367">
        <v>0</v>
      </c>
      <c r="Q13367">
        <v>7</v>
      </c>
      <c r="R13367" t="s">
        <v>44780</v>
      </c>
      <c r="S13367" t="s">
        <v>45683</v>
      </c>
      <c r="T13367" t="s">
        <v>46454</v>
      </c>
      <c r="U13367" t="s">
        <v>46999</v>
      </c>
      <c r="V13367" t="s">
        <v>60631</v>
      </c>
      <c r="W13367" t="s">
        <v>44561</v>
      </c>
      <c r="X13367" t="s">
        <v>44781</v>
      </c>
    </row>
    <row r="13368" spans="1:24">
      <c r="A13368">
        <f>HYPERLINK("https://www.philgeps.gov.ph/GEPSNONPILOT/Tender/SplashBidNoticeAbstractUI.aspx?menuIndex=3&amp;refID=7115325&amp;Result=3","7115325")</f>
        <v>0</v>
      </c>
      <c r="B13368" t="s">
        <v>1929</v>
      </c>
      <c r="C13368" t="s">
        <v>16495</v>
      </c>
      <c r="D13368" t="s">
        <v>17985</v>
      </c>
      <c r="E13368" t="s">
        <v>29589</v>
      </c>
      <c r="F13368" t="s">
        <v>30900</v>
      </c>
      <c r="G13368" t="s">
        <v>30907</v>
      </c>
      <c r="H13368" t="s">
        <v>30916</v>
      </c>
      <c r="I13368" t="s">
        <v>30939</v>
      </c>
      <c r="J13368" t="s">
        <v>39357</v>
      </c>
      <c r="K13368" t="s">
        <v>40354</v>
      </c>
      <c r="M13368" t="s">
        <v>42610</v>
      </c>
      <c r="N13368" t="s">
        <v>44759</v>
      </c>
      <c r="O13368" t="s">
        <v>44760</v>
      </c>
      <c r="P13368">
        <v>0</v>
      </c>
      <c r="Q13368">
        <v>1</v>
      </c>
      <c r="R13368" t="s">
        <v>44780</v>
      </c>
      <c r="S13368" t="s">
        <v>45683</v>
      </c>
      <c r="T13368" t="s">
        <v>46409</v>
      </c>
      <c r="U13368" t="s">
        <v>57912</v>
      </c>
      <c r="W13368" t="s">
        <v>42610</v>
      </c>
      <c r="X13368" t="s">
        <v>44781</v>
      </c>
    </row>
    <row r="13369" spans="1:24">
      <c r="A13369">
        <f>HYPERLINK("https://www.philgeps.gov.ph/GEPSNONPILOT/Tender/SplashBidNoticeAbstractUI.aspx?menuIndex=3&amp;refID=7115332&amp;Result=3","7115332")</f>
        <v>0</v>
      </c>
      <c r="B13369" t="s">
        <v>1232</v>
      </c>
      <c r="C13369" t="s">
        <v>16496</v>
      </c>
      <c r="D13369" t="s">
        <v>17956</v>
      </c>
      <c r="E13369" t="s">
        <v>29590</v>
      </c>
      <c r="F13369" t="s">
        <v>30900</v>
      </c>
      <c r="G13369" t="s">
        <v>30907</v>
      </c>
      <c r="H13369" t="s">
        <v>30915</v>
      </c>
      <c r="I13369" t="s">
        <v>30919</v>
      </c>
      <c r="J13369" t="s">
        <v>39358</v>
      </c>
      <c r="K13369" t="s">
        <v>40280</v>
      </c>
      <c r="M13369" t="s">
        <v>42598</v>
      </c>
      <c r="N13369" t="s">
        <v>44759</v>
      </c>
      <c r="O13369" t="s">
        <v>44760</v>
      </c>
      <c r="Q13369">
        <v>1</v>
      </c>
      <c r="R13369" t="s">
        <v>44780</v>
      </c>
      <c r="S13369" t="s">
        <v>45712</v>
      </c>
      <c r="T13369" t="s">
        <v>46760</v>
      </c>
      <c r="U13369" t="s">
        <v>57913</v>
      </c>
      <c r="W13369" t="s">
        <v>42598</v>
      </c>
      <c r="X13369" t="s">
        <v>44781</v>
      </c>
    </row>
    <row r="13370" spans="1:24">
      <c r="A13370">
        <f>HYPERLINK("https://www.philgeps.gov.ph/GEPSNONPILOT/Tender/SplashBidNoticeAbstractUI.aspx?menuIndex=3&amp;refID=7115103&amp;Result=3","7115103")</f>
        <v>0</v>
      </c>
      <c r="B13370" t="s">
        <v>3624</v>
      </c>
      <c r="C13370" t="s">
        <v>16497</v>
      </c>
      <c r="D13370" t="s">
        <v>18011</v>
      </c>
      <c r="E13370" t="s">
        <v>29591</v>
      </c>
      <c r="F13370" t="s">
        <v>30899</v>
      </c>
      <c r="G13370" t="s">
        <v>30907</v>
      </c>
      <c r="H13370" t="s">
        <v>30916</v>
      </c>
      <c r="I13370" t="s">
        <v>8123</v>
      </c>
      <c r="J13370" t="s">
        <v>39359</v>
      </c>
      <c r="K13370" t="s">
        <v>40284</v>
      </c>
      <c r="M13370" t="s">
        <v>44555</v>
      </c>
      <c r="N13370" t="s">
        <v>44759</v>
      </c>
      <c r="O13370" t="s">
        <v>44760</v>
      </c>
      <c r="P13370">
        <v>0</v>
      </c>
      <c r="Q13370">
        <v>0</v>
      </c>
      <c r="R13370" t="s">
        <v>44780</v>
      </c>
      <c r="S13370" t="s">
        <v>45683</v>
      </c>
      <c r="T13370" t="s">
        <v>46625</v>
      </c>
      <c r="U13370" t="s">
        <v>57914</v>
      </c>
      <c r="W13370" t="s">
        <v>44555</v>
      </c>
      <c r="X13370" t="s">
        <v>44781</v>
      </c>
    </row>
    <row r="13371" spans="1:24">
      <c r="A13371">
        <f>HYPERLINK("https://www.philgeps.gov.ph/GEPSNONPILOT/Tender/SplashBidNoticeAbstractUI.aspx?menuIndex=3&amp;refID=7115084&amp;Result=3","7115084")</f>
        <v>0</v>
      </c>
      <c r="B13371" t="s">
        <v>2462</v>
      </c>
      <c r="C13371" t="s">
        <v>16498</v>
      </c>
      <c r="D13371" t="s">
        <v>17964</v>
      </c>
      <c r="E13371" t="s">
        <v>29592</v>
      </c>
      <c r="F13371" t="s">
        <v>30900</v>
      </c>
      <c r="G13371" t="s">
        <v>30907</v>
      </c>
      <c r="H13371" t="s">
        <v>30916</v>
      </c>
      <c r="I13371" t="s">
        <v>6953</v>
      </c>
      <c r="J13371" t="s">
        <v>39360</v>
      </c>
      <c r="K13371" t="s">
        <v>40293</v>
      </c>
      <c r="M13371" t="s">
        <v>43199</v>
      </c>
      <c r="N13371" t="s">
        <v>44759</v>
      </c>
      <c r="O13371" t="s">
        <v>44760</v>
      </c>
      <c r="P13371">
        <v>0</v>
      </c>
      <c r="Q13371">
        <v>1</v>
      </c>
      <c r="R13371" t="s">
        <v>44780</v>
      </c>
      <c r="S13371" t="s">
        <v>45683</v>
      </c>
      <c r="T13371" t="s">
        <v>46357</v>
      </c>
      <c r="U13371" t="s">
        <v>57915</v>
      </c>
      <c r="W13371" t="s">
        <v>43199</v>
      </c>
      <c r="X13371" t="s">
        <v>44781</v>
      </c>
    </row>
    <row r="13372" spans="1:24">
      <c r="A13372">
        <f>HYPERLINK("https://www.philgeps.gov.ph/GEPSNONPILOT/Tender/SplashBidNoticeAbstractUI.aspx?menuIndex=3&amp;refID=7115276&amp;Result=3","7115276")</f>
        <v>0</v>
      </c>
      <c r="B13372" t="s">
        <v>1863</v>
      </c>
      <c r="C13372" t="s">
        <v>16499</v>
      </c>
      <c r="D13372" t="s">
        <v>18013</v>
      </c>
      <c r="E13372" t="s">
        <v>29593</v>
      </c>
      <c r="F13372" t="s">
        <v>30900</v>
      </c>
      <c r="G13372" t="s">
        <v>30907</v>
      </c>
      <c r="H13372" t="s">
        <v>30916</v>
      </c>
      <c r="I13372" t="s">
        <v>4061</v>
      </c>
      <c r="J13372" t="s">
        <v>36781</v>
      </c>
      <c r="K13372" t="s">
        <v>40283</v>
      </c>
      <c r="M13372" t="s">
        <v>42537</v>
      </c>
      <c r="N13372" t="s">
        <v>44759</v>
      </c>
      <c r="O13372" t="s">
        <v>44760</v>
      </c>
      <c r="P13372">
        <v>0</v>
      </c>
      <c r="Q13372">
        <v>0</v>
      </c>
      <c r="R13372" t="s">
        <v>44780</v>
      </c>
      <c r="S13372" t="s">
        <v>45683</v>
      </c>
      <c r="T13372" t="s">
        <v>46658</v>
      </c>
      <c r="U13372" t="s">
        <v>57916</v>
      </c>
      <c r="W13372" t="s">
        <v>42537</v>
      </c>
      <c r="X13372" t="s">
        <v>44781</v>
      </c>
    </row>
    <row r="13373" spans="1:24">
      <c r="A13373">
        <f>HYPERLINK("https://www.philgeps.gov.ph/GEPSNONPILOT/Tender/SplashBidNoticeAbstractUI.aspx?menuIndex=3&amp;refID=7115263&amp;Result=3","7115263")</f>
        <v>0</v>
      </c>
      <c r="B13373" t="s">
        <v>84</v>
      </c>
      <c r="C13373" t="s">
        <v>16500</v>
      </c>
      <c r="D13373" t="s">
        <v>17963</v>
      </c>
      <c r="E13373" t="s">
        <v>29594</v>
      </c>
      <c r="F13373" t="s">
        <v>30900</v>
      </c>
      <c r="G13373" t="s">
        <v>30907</v>
      </c>
      <c r="H13373" t="s">
        <v>30916</v>
      </c>
      <c r="I13373" t="s">
        <v>30957</v>
      </c>
      <c r="J13373" t="s">
        <v>39361</v>
      </c>
      <c r="K13373" t="s">
        <v>40286</v>
      </c>
      <c r="M13373" t="s">
        <v>44565</v>
      </c>
      <c r="N13373" t="s">
        <v>44759</v>
      </c>
      <c r="O13373" t="s">
        <v>44760</v>
      </c>
      <c r="P13373">
        <v>0</v>
      </c>
      <c r="Q13373">
        <v>2</v>
      </c>
      <c r="R13373" t="s">
        <v>44780</v>
      </c>
      <c r="S13373" t="s">
        <v>45683</v>
      </c>
      <c r="T13373" t="s">
        <v>46581</v>
      </c>
      <c r="U13373" t="s">
        <v>57917</v>
      </c>
      <c r="V13373" t="s">
        <v>60632</v>
      </c>
      <c r="W13373" t="s">
        <v>44565</v>
      </c>
      <c r="X13373" t="s">
        <v>44781</v>
      </c>
    </row>
    <row r="13374" spans="1:24">
      <c r="A13374">
        <f>HYPERLINK("https://www.philgeps.gov.ph/GEPSNONPILOT/Tender/SplashBidNoticeAbstractUI.aspx?menuIndex=3&amp;refID=7114953&amp;Result=3","7114953")</f>
        <v>0</v>
      </c>
      <c r="B13374" t="s">
        <v>3443</v>
      </c>
      <c r="C13374" t="s">
        <v>16501</v>
      </c>
      <c r="D13374" t="s">
        <v>17957</v>
      </c>
      <c r="E13374" t="s">
        <v>29595</v>
      </c>
      <c r="F13374" t="s">
        <v>30900</v>
      </c>
      <c r="G13374" t="s">
        <v>30907</v>
      </c>
      <c r="H13374" t="s">
        <v>30916</v>
      </c>
      <c r="I13374" t="s">
        <v>30949</v>
      </c>
      <c r="J13374" t="s">
        <v>39362</v>
      </c>
      <c r="K13374" t="s">
        <v>40292</v>
      </c>
      <c r="M13374" t="s">
        <v>44324</v>
      </c>
      <c r="N13374" t="s">
        <v>44759</v>
      </c>
      <c r="O13374" t="s">
        <v>44760</v>
      </c>
      <c r="P13374">
        <v>0</v>
      </c>
      <c r="Q13374">
        <v>10</v>
      </c>
      <c r="R13374" t="s">
        <v>44780</v>
      </c>
      <c r="S13374" t="s">
        <v>45683</v>
      </c>
      <c r="T13374" t="s">
        <v>46352</v>
      </c>
      <c r="U13374" t="s">
        <v>57918</v>
      </c>
      <c r="W13374" t="s">
        <v>44324</v>
      </c>
      <c r="X13374" t="s">
        <v>44781</v>
      </c>
    </row>
    <row r="13375" spans="1:24">
      <c r="A13375">
        <f>HYPERLINK("https://www.philgeps.gov.ph/GEPSNONPILOT/Tender/SplashBidNoticeAbstractUI.aspx?menuIndex=3&amp;refID=7115221&amp;Result=3","7115221")</f>
        <v>0</v>
      </c>
      <c r="B13375" t="s">
        <v>3631</v>
      </c>
      <c r="C13375" t="s">
        <v>6603</v>
      </c>
      <c r="D13375" t="s">
        <v>18022</v>
      </c>
      <c r="E13375" t="s">
        <v>29596</v>
      </c>
      <c r="F13375" t="s">
        <v>30900</v>
      </c>
      <c r="G13375" t="s">
        <v>30907</v>
      </c>
      <c r="H13375" t="s">
        <v>30915</v>
      </c>
      <c r="I13375" t="s">
        <v>30919</v>
      </c>
      <c r="J13375" t="s">
        <v>39363</v>
      </c>
      <c r="K13375" t="s">
        <v>40354</v>
      </c>
      <c r="M13375" t="s">
        <v>44566</v>
      </c>
      <c r="N13375" t="s">
        <v>44759</v>
      </c>
      <c r="O13375" t="s">
        <v>44760</v>
      </c>
      <c r="Q13375">
        <v>4</v>
      </c>
      <c r="R13375" t="s">
        <v>44780</v>
      </c>
      <c r="S13375" t="s">
        <v>45713</v>
      </c>
      <c r="T13375" t="s">
        <v>46399</v>
      </c>
      <c r="U13375" t="s">
        <v>57919</v>
      </c>
      <c r="V13375" t="s">
        <v>60633</v>
      </c>
      <c r="W13375" t="s">
        <v>44566</v>
      </c>
      <c r="X13375" t="s">
        <v>44781</v>
      </c>
    </row>
    <row r="13376" spans="1:24">
      <c r="A13376">
        <f>HYPERLINK("https://www.philgeps.gov.ph/GEPSNONPILOT/Tender/SplashBidNoticeAbstractUI.aspx?menuIndex=3&amp;refID=7115328&amp;Result=3","7115328")</f>
        <v>0</v>
      </c>
      <c r="B13376" t="s">
        <v>844</v>
      </c>
      <c r="C13376" t="s">
        <v>16502</v>
      </c>
      <c r="D13376" t="s">
        <v>17971</v>
      </c>
      <c r="E13376" t="s">
        <v>29597</v>
      </c>
      <c r="F13376" t="s">
        <v>30900</v>
      </c>
      <c r="G13376" t="s">
        <v>30907</v>
      </c>
      <c r="H13376" t="s">
        <v>30916</v>
      </c>
      <c r="I13376" t="s">
        <v>30929</v>
      </c>
      <c r="J13376" t="s">
        <v>39364</v>
      </c>
      <c r="K13376" t="s">
        <v>40293</v>
      </c>
      <c r="M13376" t="s">
        <v>41417</v>
      </c>
      <c r="N13376" t="s">
        <v>44759</v>
      </c>
      <c r="O13376" t="s">
        <v>44760</v>
      </c>
      <c r="Q13376">
        <v>70</v>
      </c>
      <c r="R13376" t="s">
        <v>44780</v>
      </c>
      <c r="S13376" t="s">
        <v>45714</v>
      </c>
      <c r="T13376" t="s">
        <v>46399</v>
      </c>
      <c r="U13376" t="s">
        <v>57920</v>
      </c>
      <c r="W13376" t="s">
        <v>41417</v>
      </c>
      <c r="X13376" t="s">
        <v>44781</v>
      </c>
    </row>
    <row r="13377" spans="1:24">
      <c r="A13377">
        <f>HYPERLINK("https://www.philgeps.gov.ph/GEPSNONPILOT/Tender/SplashBidNoticeAbstractUI.aspx?menuIndex=3&amp;refID=7115289&amp;Result=3","7115289")</f>
        <v>0</v>
      </c>
      <c r="B13377" t="s">
        <v>3349</v>
      </c>
      <c r="C13377" t="s">
        <v>16503</v>
      </c>
      <c r="D13377" t="s">
        <v>17976</v>
      </c>
      <c r="E13377" t="s">
        <v>29598</v>
      </c>
      <c r="F13377" t="s">
        <v>30900</v>
      </c>
      <c r="G13377" t="s">
        <v>30907</v>
      </c>
      <c r="H13377" t="s">
        <v>30915</v>
      </c>
      <c r="I13377" t="s">
        <v>30919</v>
      </c>
      <c r="J13377" t="s">
        <v>39365</v>
      </c>
      <c r="K13377" t="s">
        <v>40304</v>
      </c>
      <c r="M13377" t="s">
        <v>44217</v>
      </c>
      <c r="N13377" t="s">
        <v>44759</v>
      </c>
      <c r="O13377" t="s">
        <v>44760</v>
      </c>
      <c r="P13377">
        <v>0</v>
      </c>
      <c r="Q13377">
        <v>0</v>
      </c>
      <c r="R13377" t="s">
        <v>44780</v>
      </c>
      <c r="S13377" t="s">
        <v>45683</v>
      </c>
      <c r="T13377" t="s">
        <v>46581</v>
      </c>
      <c r="U13377" t="s">
        <v>57921</v>
      </c>
      <c r="W13377" t="s">
        <v>44217</v>
      </c>
      <c r="X13377" t="s">
        <v>44781</v>
      </c>
    </row>
    <row r="13378" spans="1:24">
      <c r="A13378">
        <f>HYPERLINK("https://www.philgeps.gov.ph/GEPSNONPILOT/Tender/SplashBidNoticeAbstractUI.aspx?menuIndex=3&amp;refID=7115201&amp;Result=3","7115201")</f>
        <v>0</v>
      </c>
      <c r="B13378" t="s">
        <v>2056</v>
      </c>
      <c r="C13378" t="s">
        <v>16504</v>
      </c>
      <c r="D13378" t="s">
        <v>17999</v>
      </c>
      <c r="E13378" t="s">
        <v>29599</v>
      </c>
      <c r="F13378" t="s">
        <v>30900</v>
      </c>
      <c r="G13378" t="s">
        <v>30907</v>
      </c>
      <c r="H13378" t="s">
        <v>30916</v>
      </c>
      <c r="I13378" t="s">
        <v>4142</v>
      </c>
      <c r="J13378" t="s">
        <v>39366</v>
      </c>
      <c r="K13378" t="s">
        <v>40289</v>
      </c>
      <c r="M13378" t="s">
        <v>42755</v>
      </c>
      <c r="N13378" t="s">
        <v>44759</v>
      </c>
      <c r="O13378" t="s">
        <v>44760</v>
      </c>
      <c r="P13378">
        <v>0</v>
      </c>
      <c r="Q13378">
        <v>5</v>
      </c>
      <c r="R13378" t="s">
        <v>44780</v>
      </c>
      <c r="S13378" t="s">
        <v>45683</v>
      </c>
      <c r="T13378" t="s">
        <v>46581</v>
      </c>
      <c r="U13378" t="s">
        <v>57922</v>
      </c>
      <c r="V13378" t="s">
        <v>60634</v>
      </c>
      <c r="W13378" t="s">
        <v>42755</v>
      </c>
      <c r="X13378" t="s">
        <v>44781</v>
      </c>
    </row>
    <row r="13379" spans="1:24">
      <c r="A13379">
        <f>HYPERLINK("https://www.philgeps.gov.ph/GEPSNONPILOT/Tender/SplashBidNoticeAbstractUI.aspx?menuIndex=3&amp;refID=7115244&amp;Result=3","7115244")</f>
        <v>0</v>
      </c>
      <c r="B13379" t="s">
        <v>3628</v>
      </c>
      <c r="C13379" t="s">
        <v>16505</v>
      </c>
      <c r="D13379" t="s">
        <v>17991</v>
      </c>
      <c r="E13379" t="s">
        <v>29600</v>
      </c>
      <c r="F13379" t="s">
        <v>30901</v>
      </c>
      <c r="G13379" t="s">
        <v>30913</v>
      </c>
      <c r="H13379" t="s">
        <v>30916</v>
      </c>
      <c r="I13379" t="s">
        <v>30933</v>
      </c>
      <c r="J13379" t="s">
        <v>31069</v>
      </c>
      <c r="K13379" t="s">
        <v>40293</v>
      </c>
      <c r="M13379" t="s">
        <v>44561</v>
      </c>
      <c r="N13379" t="s">
        <v>44759</v>
      </c>
      <c r="O13379" t="s">
        <v>44760</v>
      </c>
      <c r="P13379">
        <v>0</v>
      </c>
      <c r="Q13379">
        <v>6</v>
      </c>
      <c r="R13379" t="s">
        <v>44780</v>
      </c>
      <c r="S13379" t="s">
        <v>45683</v>
      </c>
      <c r="T13379" t="s">
        <v>46454</v>
      </c>
      <c r="U13379" t="s">
        <v>46999</v>
      </c>
      <c r="V13379" t="s">
        <v>60635</v>
      </c>
      <c r="W13379" t="s">
        <v>44561</v>
      </c>
      <c r="X13379" t="s">
        <v>44781</v>
      </c>
    </row>
    <row r="13380" spans="1:24">
      <c r="A13380">
        <f>HYPERLINK("https://www.philgeps.gov.ph/GEPSNONPILOT/Tender/SplashBidNoticeAbstractUI.aspx?menuIndex=3&amp;refID=7115295&amp;Result=3","7115295")</f>
        <v>0</v>
      </c>
      <c r="B13380" t="s">
        <v>2167</v>
      </c>
      <c r="C13380" t="s">
        <v>16506</v>
      </c>
      <c r="D13380" t="s">
        <v>17960</v>
      </c>
      <c r="E13380" t="s">
        <v>29601</v>
      </c>
      <c r="F13380" t="s">
        <v>30900</v>
      </c>
      <c r="G13380" t="s">
        <v>30907</v>
      </c>
      <c r="H13380" t="s">
        <v>30916</v>
      </c>
      <c r="I13380" t="s">
        <v>8123</v>
      </c>
      <c r="J13380" t="s">
        <v>39367</v>
      </c>
      <c r="K13380" t="s">
        <v>40283</v>
      </c>
      <c r="M13380" t="s">
        <v>42872</v>
      </c>
      <c r="N13380" t="s">
        <v>44759</v>
      </c>
      <c r="O13380" t="s">
        <v>44760</v>
      </c>
      <c r="P13380">
        <v>0</v>
      </c>
      <c r="Q13380">
        <v>1</v>
      </c>
      <c r="R13380" t="s">
        <v>44780</v>
      </c>
      <c r="S13380" t="s">
        <v>45683</v>
      </c>
      <c r="T13380" t="s">
        <v>46581</v>
      </c>
      <c r="U13380" t="s">
        <v>50679</v>
      </c>
      <c r="W13380" t="s">
        <v>42872</v>
      </c>
      <c r="X13380" t="s">
        <v>44781</v>
      </c>
    </row>
    <row r="13381" spans="1:24">
      <c r="A13381">
        <f>HYPERLINK("https://www.philgeps.gov.ph/GEPSNONPILOT/Tender/SplashBidNoticeAbstractUI.aspx?menuIndex=3&amp;refID=7115301&amp;Result=3","7115301")</f>
        <v>0</v>
      </c>
      <c r="B13381" t="s">
        <v>58</v>
      </c>
      <c r="C13381" t="s">
        <v>16507</v>
      </c>
      <c r="D13381" t="s">
        <v>17977</v>
      </c>
      <c r="E13381" t="s">
        <v>29602</v>
      </c>
      <c r="F13381" t="s">
        <v>30900</v>
      </c>
      <c r="G13381" t="s">
        <v>30907</v>
      </c>
      <c r="H13381" t="s">
        <v>30916</v>
      </c>
      <c r="I13381" t="s">
        <v>30949</v>
      </c>
      <c r="J13381" t="s">
        <v>39368</v>
      </c>
      <c r="K13381" t="s">
        <v>40280</v>
      </c>
      <c r="M13381" t="s">
        <v>40604</v>
      </c>
      <c r="N13381" t="s">
        <v>44759</v>
      </c>
      <c r="O13381" t="s">
        <v>44760</v>
      </c>
      <c r="Q13381">
        <v>1</v>
      </c>
      <c r="R13381" t="s">
        <v>44780</v>
      </c>
      <c r="S13381" t="s">
        <v>45715</v>
      </c>
      <c r="T13381" t="s">
        <v>46625</v>
      </c>
      <c r="U13381" t="s">
        <v>57923</v>
      </c>
      <c r="W13381" t="s">
        <v>60815</v>
      </c>
      <c r="X13381" t="s">
        <v>44781</v>
      </c>
    </row>
    <row r="13382" spans="1:24">
      <c r="A13382">
        <f>HYPERLINK("https://www.philgeps.gov.ph/GEPSNONPILOT/Tender/SplashBidNoticeAbstractUI.aspx?menuIndex=3&amp;refID=7115225&amp;Result=3","7115225")</f>
        <v>0</v>
      </c>
      <c r="B13382" t="s">
        <v>1529</v>
      </c>
      <c r="C13382" t="s">
        <v>16508</v>
      </c>
      <c r="D13382" t="s">
        <v>18010</v>
      </c>
      <c r="E13382" t="s">
        <v>29603</v>
      </c>
      <c r="F13382" t="s">
        <v>30900</v>
      </c>
      <c r="G13382" t="s">
        <v>30907</v>
      </c>
      <c r="H13382" t="s">
        <v>30916</v>
      </c>
      <c r="I13382" t="s">
        <v>30947</v>
      </c>
      <c r="J13382" t="s">
        <v>31241</v>
      </c>
      <c r="K13382" t="s">
        <v>40286</v>
      </c>
      <c r="M13382" t="s">
        <v>42172</v>
      </c>
      <c r="N13382" t="s">
        <v>44759</v>
      </c>
      <c r="O13382" t="s">
        <v>44760</v>
      </c>
      <c r="P13382">
        <v>0</v>
      </c>
      <c r="Q13382">
        <v>7</v>
      </c>
      <c r="R13382" t="s">
        <v>44780</v>
      </c>
      <c r="S13382" t="s">
        <v>45683</v>
      </c>
      <c r="T13382" t="s">
        <v>46658</v>
      </c>
      <c r="U13382" t="s">
        <v>50151</v>
      </c>
      <c r="W13382" t="s">
        <v>60866</v>
      </c>
      <c r="X13382" t="s">
        <v>44781</v>
      </c>
    </row>
    <row r="13383" spans="1:24">
      <c r="A13383">
        <f>HYPERLINK("https://www.philgeps.gov.ph/GEPSNONPILOT/Tender/SplashBidNoticeAbstractUI.aspx?menuIndex=3&amp;refID=7115538&amp;Result=3","7115538")</f>
        <v>0</v>
      </c>
      <c r="B13383" t="s">
        <v>3632</v>
      </c>
      <c r="C13383" t="s">
        <v>16509</v>
      </c>
      <c r="E13383" t="s">
        <v>16509</v>
      </c>
      <c r="F13383" t="s">
        <v>30900</v>
      </c>
      <c r="G13383" t="s">
        <v>30907</v>
      </c>
      <c r="H13383" t="s">
        <v>30916</v>
      </c>
      <c r="I13383" t="s">
        <v>30924</v>
      </c>
      <c r="J13383" t="s">
        <v>39369</v>
      </c>
      <c r="K13383" t="s">
        <v>40286</v>
      </c>
      <c r="M13383" t="s">
        <v>44567</v>
      </c>
      <c r="N13383" t="s">
        <v>44759</v>
      </c>
      <c r="O13383" t="s">
        <v>44760</v>
      </c>
      <c r="Q13383">
        <v>14</v>
      </c>
      <c r="R13383" t="s">
        <v>44780</v>
      </c>
      <c r="S13383" t="s">
        <v>45716</v>
      </c>
      <c r="T13383" t="s">
        <v>46391</v>
      </c>
      <c r="U13383" t="s">
        <v>57924</v>
      </c>
      <c r="W13383" t="s">
        <v>44567</v>
      </c>
      <c r="X13383" t="s">
        <v>44781</v>
      </c>
    </row>
    <row r="13384" spans="1:24">
      <c r="A13384">
        <f>HYPERLINK("https://www.philgeps.gov.ph/GEPSNONPILOT/Tender/SplashBidNoticeAbstractUI.aspx?menuIndex=3&amp;refID=7115541&amp;Result=3","7115541")</f>
        <v>0</v>
      </c>
      <c r="B13384" t="s">
        <v>56</v>
      </c>
      <c r="C13384" t="s">
        <v>16510</v>
      </c>
      <c r="D13384" t="s">
        <v>17952</v>
      </c>
      <c r="E13384" t="s">
        <v>29604</v>
      </c>
      <c r="F13384" t="s">
        <v>30900</v>
      </c>
      <c r="G13384" t="s">
        <v>30907</v>
      </c>
      <c r="H13384" t="s">
        <v>30915</v>
      </c>
      <c r="I13384" t="s">
        <v>30919</v>
      </c>
      <c r="J13384" t="s">
        <v>31241</v>
      </c>
      <c r="K13384" t="s">
        <v>40292</v>
      </c>
      <c r="M13384" t="s">
        <v>44568</v>
      </c>
      <c r="N13384" t="s">
        <v>44759</v>
      </c>
      <c r="O13384" t="s">
        <v>44760</v>
      </c>
      <c r="Q13384">
        <v>3</v>
      </c>
      <c r="R13384" t="s">
        <v>44780</v>
      </c>
      <c r="S13384" t="s">
        <v>45717</v>
      </c>
      <c r="T13384" t="s">
        <v>46398</v>
      </c>
      <c r="U13384" t="s">
        <v>57925</v>
      </c>
      <c r="V13384" t="s">
        <v>59226</v>
      </c>
      <c r="W13384" t="s">
        <v>44568</v>
      </c>
      <c r="X13384" t="s">
        <v>44781</v>
      </c>
    </row>
    <row r="13385" spans="1:24">
      <c r="A13385">
        <f>HYPERLINK("https://www.philgeps.gov.ph/GEPSNONPILOT/Tender/SplashBidNoticeAbstractUI.aspx?menuIndex=3&amp;refID=7115535&amp;Result=3","7115535")</f>
        <v>0</v>
      </c>
      <c r="B13385" t="s">
        <v>1949</v>
      </c>
      <c r="C13385" t="s">
        <v>16511</v>
      </c>
      <c r="D13385" t="s">
        <v>17979</v>
      </c>
      <c r="E13385" t="s">
        <v>29605</v>
      </c>
      <c r="F13385" t="s">
        <v>30900</v>
      </c>
      <c r="G13385" t="s">
        <v>30911</v>
      </c>
      <c r="H13385" t="s">
        <v>7411</v>
      </c>
      <c r="I13385" t="s">
        <v>7411</v>
      </c>
      <c r="J13385" t="s">
        <v>39370</v>
      </c>
      <c r="K13385" t="s">
        <v>40431</v>
      </c>
      <c r="M13385" t="s">
        <v>44569</v>
      </c>
      <c r="N13385" t="s">
        <v>44759</v>
      </c>
      <c r="O13385" t="s">
        <v>44760</v>
      </c>
      <c r="P13385">
        <v>0</v>
      </c>
      <c r="Q13385">
        <v>6</v>
      </c>
      <c r="R13385" t="s">
        <v>44780</v>
      </c>
      <c r="S13385" t="s">
        <v>45683</v>
      </c>
      <c r="T13385" t="s">
        <v>46380</v>
      </c>
      <c r="U13385" t="s">
        <v>57926</v>
      </c>
      <c r="W13385" t="s">
        <v>44569</v>
      </c>
      <c r="X13385" t="s">
        <v>44781</v>
      </c>
    </row>
    <row r="13386" spans="1:24">
      <c r="A13386">
        <f>HYPERLINK("https://www.philgeps.gov.ph/GEPSNONPILOT/Tender/SplashBidNoticeAbstractUI.aspx?menuIndex=3&amp;refID=7115191&amp;Result=3","7115191")</f>
        <v>0</v>
      </c>
      <c r="B13386" t="s">
        <v>1863</v>
      </c>
      <c r="C13386" t="s">
        <v>16512</v>
      </c>
      <c r="D13386" t="s">
        <v>18013</v>
      </c>
      <c r="E13386" t="s">
        <v>29606</v>
      </c>
      <c r="F13386" t="s">
        <v>30900</v>
      </c>
      <c r="G13386" t="s">
        <v>30907</v>
      </c>
      <c r="H13386" t="s">
        <v>30916</v>
      </c>
      <c r="I13386" t="s">
        <v>30933</v>
      </c>
      <c r="J13386" t="s">
        <v>36367</v>
      </c>
      <c r="K13386" t="s">
        <v>40280</v>
      </c>
      <c r="M13386" t="s">
        <v>42537</v>
      </c>
      <c r="N13386" t="s">
        <v>44759</v>
      </c>
      <c r="O13386" t="s">
        <v>44760</v>
      </c>
      <c r="Q13386">
        <v>2</v>
      </c>
      <c r="R13386" t="s">
        <v>44780</v>
      </c>
      <c r="S13386" t="s">
        <v>45718</v>
      </c>
      <c r="T13386" t="s">
        <v>46658</v>
      </c>
      <c r="U13386" t="s">
        <v>57927</v>
      </c>
      <c r="W13386" t="s">
        <v>42537</v>
      </c>
      <c r="X13386" t="s">
        <v>44781</v>
      </c>
    </row>
    <row r="13387" spans="1:24">
      <c r="A13387">
        <f>HYPERLINK("https://www.philgeps.gov.ph/GEPSNONPILOT/Tender/SplashBidNoticeAbstractUI.aspx?menuIndex=3&amp;refID=7115141&amp;Result=3","7115141")</f>
        <v>0</v>
      </c>
      <c r="B13387" t="s">
        <v>3349</v>
      </c>
      <c r="C13387" t="s">
        <v>16513</v>
      </c>
      <c r="D13387" t="s">
        <v>17976</v>
      </c>
      <c r="E13387" t="s">
        <v>29607</v>
      </c>
      <c r="F13387" t="s">
        <v>30900</v>
      </c>
      <c r="G13387" t="s">
        <v>30907</v>
      </c>
      <c r="H13387" t="s">
        <v>30915</v>
      </c>
      <c r="I13387" t="s">
        <v>30919</v>
      </c>
      <c r="J13387" t="s">
        <v>39371</v>
      </c>
      <c r="K13387" t="s">
        <v>40304</v>
      </c>
      <c r="M13387" t="s">
        <v>44217</v>
      </c>
      <c r="N13387" t="s">
        <v>44759</v>
      </c>
      <c r="O13387" t="s">
        <v>44760</v>
      </c>
      <c r="P13387">
        <v>0</v>
      </c>
      <c r="Q13387">
        <v>2</v>
      </c>
      <c r="R13387" t="s">
        <v>44780</v>
      </c>
      <c r="S13387" t="s">
        <v>45683</v>
      </c>
      <c r="T13387" t="s">
        <v>46581</v>
      </c>
      <c r="U13387" t="s">
        <v>57928</v>
      </c>
      <c r="W13387" t="s">
        <v>44217</v>
      </c>
      <c r="X13387" t="s">
        <v>44781</v>
      </c>
    </row>
    <row r="13388" spans="1:24">
      <c r="A13388">
        <f>HYPERLINK("https://www.philgeps.gov.ph/GEPSNONPILOT/Tender/SplashBidNoticeAbstractUI.aspx?menuIndex=3&amp;refID=7115557&amp;Result=3","7115557")</f>
        <v>0</v>
      </c>
      <c r="B13388" t="s">
        <v>1195</v>
      </c>
      <c r="C13388" t="s">
        <v>16514</v>
      </c>
      <c r="D13388" t="s">
        <v>17987</v>
      </c>
      <c r="E13388" t="s">
        <v>29608</v>
      </c>
      <c r="F13388" t="s">
        <v>30900</v>
      </c>
      <c r="G13388" t="s">
        <v>30907</v>
      </c>
      <c r="H13388" t="s">
        <v>30916</v>
      </c>
      <c r="I13388" t="s">
        <v>30922</v>
      </c>
      <c r="J13388" t="s">
        <v>39372</v>
      </c>
      <c r="K13388" t="s">
        <v>40286</v>
      </c>
      <c r="M13388" t="s">
        <v>41806</v>
      </c>
      <c r="N13388" t="s">
        <v>44759</v>
      </c>
      <c r="O13388" t="s">
        <v>44760</v>
      </c>
      <c r="P13388">
        <v>0</v>
      </c>
      <c r="Q13388">
        <v>4</v>
      </c>
      <c r="R13388" t="s">
        <v>44780</v>
      </c>
      <c r="S13388" t="s">
        <v>45683</v>
      </c>
      <c r="T13388" t="s">
        <v>46425</v>
      </c>
      <c r="U13388" t="s">
        <v>57929</v>
      </c>
      <c r="W13388" t="s">
        <v>41806</v>
      </c>
      <c r="X13388" t="s">
        <v>44781</v>
      </c>
    </row>
    <row r="13389" spans="1:24">
      <c r="A13389">
        <f>HYPERLINK("https://www.philgeps.gov.ph/GEPSNONPILOT/Tender/SplashBidNoticeAbstractUI.aspx?menuIndex=3&amp;refID=7115488&amp;Result=3","7115488")</f>
        <v>0</v>
      </c>
      <c r="B13389" t="s">
        <v>3633</v>
      </c>
      <c r="C13389" t="s">
        <v>8931</v>
      </c>
      <c r="D13389" t="s">
        <v>17985</v>
      </c>
      <c r="E13389" t="s">
        <v>29609</v>
      </c>
      <c r="F13389" t="s">
        <v>30900</v>
      </c>
      <c r="G13389" t="s">
        <v>30907</v>
      </c>
      <c r="H13389" t="s">
        <v>30916</v>
      </c>
      <c r="I13389" t="s">
        <v>4545</v>
      </c>
      <c r="J13389" t="s">
        <v>31049</v>
      </c>
      <c r="K13389" t="s">
        <v>40286</v>
      </c>
      <c r="M13389" t="s">
        <v>44570</v>
      </c>
      <c r="N13389" t="s">
        <v>44759</v>
      </c>
      <c r="O13389" t="s">
        <v>44760</v>
      </c>
      <c r="P13389">
        <v>0</v>
      </c>
      <c r="Q13389">
        <v>4</v>
      </c>
      <c r="R13389" t="s">
        <v>44780</v>
      </c>
      <c r="S13389" t="s">
        <v>45683</v>
      </c>
      <c r="T13389" t="s">
        <v>46357</v>
      </c>
      <c r="U13389" t="s">
        <v>57930</v>
      </c>
      <c r="W13389" t="s">
        <v>44570</v>
      </c>
      <c r="X13389" t="s">
        <v>44781</v>
      </c>
    </row>
    <row r="13390" spans="1:24">
      <c r="A13390">
        <f>HYPERLINK("https://www.philgeps.gov.ph/GEPSNONPILOT/Tender/SplashBidNoticeAbstractUI.aspx?menuIndex=3&amp;refID=7115542&amp;Result=3","7115542")</f>
        <v>0</v>
      </c>
      <c r="B13390" t="s">
        <v>1863</v>
      </c>
      <c r="C13390" t="s">
        <v>16515</v>
      </c>
      <c r="D13390" t="s">
        <v>18013</v>
      </c>
      <c r="E13390" t="s">
        <v>29610</v>
      </c>
      <c r="F13390" t="s">
        <v>30900</v>
      </c>
      <c r="G13390" t="s">
        <v>30907</v>
      </c>
      <c r="H13390" t="s">
        <v>30915</v>
      </c>
      <c r="I13390" t="s">
        <v>30919</v>
      </c>
      <c r="J13390" t="s">
        <v>31391</v>
      </c>
      <c r="K13390" t="s">
        <v>40304</v>
      </c>
      <c r="M13390" t="s">
        <v>42537</v>
      </c>
      <c r="N13390" t="s">
        <v>44759</v>
      </c>
      <c r="O13390" t="s">
        <v>44760</v>
      </c>
      <c r="P13390">
        <v>0</v>
      </c>
      <c r="Q13390">
        <v>0</v>
      </c>
      <c r="R13390" t="s">
        <v>44780</v>
      </c>
      <c r="S13390" t="s">
        <v>45683</v>
      </c>
      <c r="T13390" t="s">
        <v>46658</v>
      </c>
      <c r="U13390" t="s">
        <v>57931</v>
      </c>
      <c r="W13390" t="s">
        <v>42537</v>
      </c>
      <c r="X13390" t="s">
        <v>44781</v>
      </c>
    </row>
    <row r="13391" spans="1:24">
      <c r="A13391">
        <f>HYPERLINK("https://www.philgeps.gov.ph/GEPSNONPILOT/Tender/SplashBidNoticeAbstractUI.aspx?menuIndex=3&amp;refID=7115568&amp;Result=3","7115568")</f>
        <v>0</v>
      </c>
      <c r="B13391" t="s">
        <v>169</v>
      </c>
      <c r="C13391" t="s">
        <v>16516</v>
      </c>
      <c r="D13391" t="s">
        <v>17987</v>
      </c>
      <c r="E13391" t="s">
        <v>29611</v>
      </c>
      <c r="F13391" t="s">
        <v>30900</v>
      </c>
      <c r="G13391" t="s">
        <v>30907</v>
      </c>
      <c r="H13391" t="s">
        <v>30916</v>
      </c>
      <c r="I13391" t="s">
        <v>30981</v>
      </c>
      <c r="J13391" t="s">
        <v>31391</v>
      </c>
      <c r="K13391" t="s">
        <v>40289</v>
      </c>
      <c r="M13391" t="s">
        <v>40716</v>
      </c>
      <c r="N13391" t="s">
        <v>44759</v>
      </c>
      <c r="O13391" t="s">
        <v>44760</v>
      </c>
      <c r="Q13391">
        <v>2</v>
      </c>
      <c r="R13391" t="s">
        <v>44780</v>
      </c>
      <c r="S13391" t="s">
        <v>45719</v>
      </c>
      <c r="T13391" t="s">
        <v>46625</v>
      </c>
      <c r="U13391" t="s">
        <v>57932</v>
      </c>
      <c r="W13391" t="s">
        <v>40716</v>
      </c>
      <c r="X13391" t="s">
        <v>44781</v>
      </c>
    </row>
    <row r="13392" spans="1:24">
      <c r="A13392">
        <f>HYPERLINK("https://www.philgeps.gov.ph/GEPSNONPILOT/Tender/SplashBidNoticeAbstractUI.aspx?menuIndex=3&amp;refID=7115527&amp;Result=3","7115527")</f>
        <v>0</v>
      </c>
      <c r="B13392" t="s">
        <v>1232</v>
      </c>
      <c r="C13392" t="s">
        <v>16517</v>
      </c>
      <c r="D13392" t="s">
        <v>17956</v>
      </c>
      <c r="E13392" t="s">
        <v>29612</v>
      </c>
      <c r="F13392" t="s">
        <v>30900</v>
      </c>
      <c r="G13392" t="s">
        <v>30907</v>
      </c>
      <c r="H13392" t="s">
        <v>30915</v>
      </c>
      <c r="I13392" t="s">
        <v>30919</v>
      </c>
      <c r="J13392" t="s">
        <v>39373</v>
      </c>
      <c r="K13392" t="s">
        <v>40280</v>
      </c>
      <c r="M13392" t="s">
        <v>42598</v>
      </c>
      <c r="N13392" t="s">
        <v>44759</v>
      </c>
      <c r="O13392" t="s">
        <v>44760</v>
      </c>
      <c r="Q13392">
        <v>5</v>
      </c>
      <c r="R13392" t="s">
        <v>44780</v>
      </c>
      <c r="S13392" t="s">
        <v>45720</v>
      </c>
      <c r="T13392" t="s">
        <v>46760</v>
      </c>
      <c r="U13392" t="s">
        <v>57933</v>
      </c>
      <c r="W13392" t="s">
        <v>42598</v>
      </c>
      <c r="X13392" t="s">
        <v>44781</v>
      </c>
    </row>
    <row r="13393" spans="1:24">
      <c r="A13393">
        <f>HYPERLINK("https://www.philgeps.gov.ph/GEPSNONPILOT/Tender/SplashBidNoticeAbstractUI.aspx?menuIndex=3&amp;refID=7115506&amp;Result=3","7115506")</f>
        <v>0</v>
      </c>
      <c r="B13393" t="s">
        <v>1121</v>
      </c>
      <c r="C13393" t="s">
        <v>16518</v>
      </c>
      <c r="D13393" t="s">
        <v>17981</v>
      </c>
      <c r="E13393" t="s">
        <v>29613</v>
      </c>
      <c r="F13393" t="s">
        <v>30900</v>
      </c>
      <c r="G13393" t="s">
        <v>30907</v>
      </c>
      <c r="H13393" t="s">
        <v>30916</v>
      </c>
      <c r="I13393" t="s">
        <v>30963</v>
      </c>
      <c r="J13393" t="s">
        <v>39374</v>
      </c>
      <c r="K13393" t="s">
        <v>40321</v>
      </c>
      <c r="M13393" t="s">
        <v>44471</v>
      </c>
      <c r="N13393" t="s">
        <v>44759</v>
      </c>
      <c r="O13393" t="s">
        <v>44760</v>
      </c>
      <c r="Q13393">
        <v>10</v>
      </c>
      <c r="R13393" t="s">
        <v>44780</v>
      </c>
      <c r="S13393" t="s">
        <v>45721</v>
      </c>
      <c r="T13393" t="s">
        <v>46548</v>
      </c>
      <c r="U13393" t="s">
        <v>57934</v>
      </c>
      <c r="W13393" t="s">
        <v>44471</v>
      </c>
      <c r="X13393" t="s">
        <v>44781</v>
      </c>
    </row>
    <row r="13394" spans="1:24">
      <c r="A13394">
        <f>HYPERLINK("https://www.philgeps.gov.ph/GEPSNONPILOT/Tender/SplashBidNoticeAbstractUI.aspx?menuIndex=3&amp;refID=7115681&amp;Result=3","7115681")</f>
        <v>0</v>
      </c>
      <c r="B13394" t="s">
        <v>1232</v>
      </c>
      <c r="C13394" t="s">
        <v>16519</v>
      </c>
      <c r="D13394" t="s">
        <v>17969</v>
      </c>
      <c r="E13394" t="s">
        <v>29614</v>
      </c>
      <c r="F13394" t="s">
        <v>30900</v>
      </c>
      <c r="G13394" t="s">
        <v>30907</v>
      </c>
      <c r="H13394" t="s">
        <v>30915</v>
      </c>
      <c r="I13394" t="s">
        <v>30919</v>
      </c>
      <c r="J13394" t="s">
        <v>39375</v>
      </c>
      <c r="K13394" t="s">
        <v>40483</v>
      </c>
      <c r="M13394" t="s">
        <v>42598</v>
      </c>
      <c r="N13394" t="s">
        <v>44759</v>
      </c>
      <c r="O13394" t="s">
        <v>44760</v>
      </c>
      <c r="Q13394">
        <v>7</v>
      </c>
      <c r="R13394" t="s">
        <v>44780</v>
      </c>
      <c r="S13394" t="s">
        <v>45722</v>
      </c>
      <c r="T13394" t="s">
        <v>46760</v>
      </c>
      <c r="U13394" t="s">
        <v>57935</v>
      </c>
      <c r="W13394" t="s">
        <v>42598</v>
      </c>
      <c r="X13394" t="s">
        <v>44781</v>
      </c>
    </row>
    <row r="13395" spans="1:24">
      <c r="A13395">
        <f>HYPERLINK("https://www.philgeps.gov.ph/GEPSNONPILOT/Tender/SplashBidNoticeAbstractUI.aspx?menuIndex=3&amp;refID=7115483&amp;Result=3","7115483")</f>
        <v>0</v>
      </c>
      <c r="B13395" t="s">
        <v>2229</v>
      </c>
      <c r="C13395" t="s">
        <v>16520</v>
      </c>
      <c r="D13395" t="s">
        <v>17979</v>
      </c>
      <c r="E13395" t="s">
        <v>29615</v>
      </c>
      <c r="F13395" t="s">
        <v>30900</v>
      </c>
      <c r="G13395" t="s">
        <v>30907</v>
      </c>
      <c r="H13395" t="s">
        <v>30916</v>
      </c>
      <c r="I13395" t="s">
        <v>30922</v>
      </c>
      <c r="J13395" t="s">
        <v>35994</v>
      </c>
      <c r="K13395" t="s">
        <v>40286</v>
      </c>
      <c r="M13395" t="s">
        <v>42939</v>
      </c>
      <c r="N13395" t="s">
        <v>44759</v>
      </c>
      <c r="O13395" t="s">
        <v>44760</v>
      </c>
      <c r="P13395">
        <v>0</v>
      </c>
      <c r="Q13395">
        <v>13</v>
      </c>
      <c r="R13395" t="s">
        <v>44780</v>
      </c>
      <c r="S13395" t="s">
        <v>45683</v>
      </c>
      <c r="T13395" t="s">
        <v>46439</v>
      </c>
      <c r="U13395" t="s">
        <v>57936</v>
      </c>
      <c r="W13395" t="s">
        <v>42939</v>
      </c>
      <c r="X13395" t="s">
        <v>44781</v>
      </c>
    </row>
    <row r="13396" spans="1:24">
      <c r="A13396">
        <f>HYPERLINK("https://www.philgeps.gov.ph/GEPSNONPILOT/Tender/SplashBidNoticeAbstractUI.aspx?menuIndex=3&amp;refID=7115693&amp;Result=3","7115693")</f>
        <v>0</v>
      </c>
      <c r="B13396" t="s">
        <v>3634</v>
      </c>
      <c r="C13396" t="s">
        <v>16521</v>
      </c>
      <c r="D13396" t="s">
        <v>17970</v>
      </c>
      <c r="E13396" t="s">
        <v>29616</v>
      </c>
      <c r="F13396" t="s">
        <v>30900</v>
      </c>
      <c r="G13396" t="s">
        <v>30907</v>
      </c>
      <c r="H13396" t="s">
        <v>30915</v>
      </c>
      <c r="I13396" t="s">
        <v>30919</v>
      </c>
      <c r="J13396" t="s">
        <v>39376</v>
      </c>
      <c r="K13396" t="s">
        <v>40286</v>
      </c>
      <c r="M13396" t="s">
        <v>44571</v>
      </c>
      <c r="N13396" t="s">
        <v>44759</v>
      </c>
      <c r="O13396" t="s">
        <v>44760</v>
      </c>
      <c r="P13396">
        <v>0</v>
      </c>
      <c r="Q13396">
        <v>0</v>
      </c>
      <c r="R13396" t="s">
        <v>44780</v>
      </c>
      <c r="S13396" t="s">
        <v>45683</v>
      </c>
      <c r="T13396" t="s">
        <v>46403</v>
      </c>
      <c r="U13396" t="s">
        <v>57937</v>
      </c>
      <c r="V13396" t="s">
        <v>60636</v>
      </c>
      <c r="W13396" t="s">
        <v>44571</v>
      </c>
      <c r="X13396" t="s">
        <v>44781</v>
      </c>
    </row>
    <row r="13397" spans="1:24">
      <c r="A13397">
        <f>HYPERLINK("https://www.philgeps.gov.ph/GEPSNONPILOT/Tender/SplashBidNoticeAbstractUI.aspx?menuIndex=3&amp;refID=7115640&amp;Result=3","7115640")</f>
        <v>0</v>
      </c>
      <c r="B13397" t="s">
        <v>3349</v>
      </c>
      <c r="C13397" t="s">
        <v>16522</v>
      </c>
      <c r="D13397" t="s">
        <v>17976</v>
      </c>
      <c r="E13397" t="s">
        <v>29617</v>
      </c>
      <c r="F13397" t="s">
        <v>30900</v>
      </c>
      <c r="G13397" t="s">
        <v>30907</v>
      </c>
      <c r="H13397" t="s">
        <v>30916</v>
      </c>
      <c r="I13397" t="s">
        <v>8123</v>
      </c>
      <c r="J13397" t="s">
        <v>39377</v>
      </c>
      <c r="K13397" t="s">
        <v>40280</v>
      </c>
      <c r="M13397" t="s">
        <v>44217</v>
      </c>
      <c r="N13397" t="s">
        <v>44759</v>
      </c>
      <c r="O13397" t="s">
        <v>44760</v>
      </c>
      <c r="P13397">
        <v>0</v>
      </c>
      <c r="Q13397">
        <v>0</v>
      </c>
      <c r="R13397" t="s">
        <v>44780</v>
      </c>
      <c r="S13397" t="s">
        <v>45683</v>
      </c>
      <c r="T13397" t="s">
        <v>46581</v>
      </c>
      <c r="U13397" t="s">
        <v>57938</v>
      </c>
      <c r="W13397" t="s">
        <v>44217</v>
      </c>
      <c r="X13397" t="s">
        <v>44781</v>
      </c>
    </row>
    <row r="13398" spans="1:24">
      <c r="A13398">
        <f>HYPERLINK("https://www.philgeps.gov.ph/GEPSNONPILOT/Tender/SplashBidNoticeAbstractUI.aspx?menuIndex=3&amp;refID=7115660&amp;Result=3","7115660")</f>
        <v>0</v>
      </c>
      <c r="B13398" t="s">
        <v>1071</v>
      </c>
      <c r="C13398" t="s">
        <v>16523</v>
      </c>
      <c r="D13398" t="s">
        <v>17971</v>
      </c>
      <c r="E13398" t="s">
        <v>29618</v>
      </c>
      <c r="F13398" t="s">
        <v>30900</v>
      </c>
      <c r="G13398" t="s">
        <v>30907</v>
      </c>
      <c r="H13398" t="s">
        <v>30916</v>
      </c>
      <c r="I13398" t="s">
        <v>30983</v>
      </c>
      <c r="J13398" t="s">
        <v>39378</v>
      </c>
      <c r="K13398" t="s">
        <v>40286</v>
      </c>
      <c r="M13398" t="s">
        <v>41669</v>
      </c>
      <c r="N13398" t="s">
        <v>44759</v>
      </c>
      <c r="O13398" t="s">
        <v>44760</v>
      </c>
      <c r="Q13398">
        <v>0</v>
      </c>
      <c r="R13398" t="s">
        <v>44780</v>
      </c>
      <c r="S13398" t="s">
        <v>45723</v>
      </c>
      <c r="T13398" t="s">
        <v>46694</v>
      </c>
      <c r="U13398" t="s">
        <v>57939</v>
      </c>
      <c r="W13398" t="s">
        <v>41669</v>
      </c>
      <c r="X13398" t="s">
        <v>44781</v>
      </c>
    </row>
    <row r="13399" spans="1:24">
      <c r="A13399">
        <f>HYPERLINK("https://www.philgeps.gov.ph/GEPSNONPILOT/Tender/SplashBidNoticeAbstractUI.aspx?menuIndex=3&amp;refID=7115550&amp;Result=3","7115550")</f>
        <v>0</v>
      </c>
      <c r="B13399" t="s">
        <v>3635</v>
      </c>
      <c r="C13399" t="s">
        <v>16524</v>
      </c>
      <c r="D13399" t="s">
        <v>17990</v>
      </c>
      <c r="E13399" t="s">
        <v>29619</v>
      </c>
      <c r="F13399" t="s">
        <v>30900</v>
      </c>
      <c r="G13399" t="s">
        <v>30907</v>
      </c>
      <c r="H13399" t="s">
        <v>30916</v>
      </c>
      <c r="I13399" t="s">
        <v>17295</v>
      </c>
      <c r="J13399" t="s">
        <v>39379</v>
      </c>
      <c r="K13399" t="s">
        <v>40410</v>
      </c>
      <c r="M13399" t="s">
        <v>44572</v>
      </c>
      <c r="N13399" t="s">
        <v>44759</v>
      </c>
      <c r="O13399" t="s">
        <v>44760</v>
      </c>
      <c r="Q13399">
        <v>4</v>
      </c>
      <c r="R13399" t="s">
        <v>44780</v>
      </c>
      <c r="S13399" t="s">
        <v>45724</v>
      </c>
      <c r="T13399" t="s">
        <v>46625</v>
      </c>
      <c r="U13399" t="s">
        <v>57940</v>
      </c>
      <c r="W13399" t="s">
        <v>44572</v>
      </c>
      <c r="X13399" t="s">
        <v>44781</v>
      </c>
    </row>
    <row r="13400" spans="1:24">
      <c r="A13400">
        <f>HYPERLINK("https://www.philgeps.gov.ph/GEPSNONPILOT/Tender/SplashBidNoticeAbstractUI.aspx?menuIndex=3&amp;refID=7115658&amp;Result=3","7115658")</f>
        <v>0</v>
      </c>
      <c r="B13400" t="s">
        <v>3636</v>
      </c>
      <c r="C13400" t="s">
        <v>16525</v>
      </c>
      <c r="E13400" t="s">
        <v>29620</v>
      </c>
      <c r="F13400" t="s">
        <v>30900</v>
      </c>
      <c r="G13400" t="s">
        <v>30907</v>
      </c>
      <c r="H13400" t="s">
        <v>30916</v>
      </c>
      <c r="I13400" t="s">
        <v>9385</v>
      </c>
      <c r="J13400" t="s">
        <v>31653</v>
      </c>
      <c r="K13400" t="s">
        <v>40293</v>
      </c>
      <c r="M13400" t="s">
        <v>44573</v>
      </c>
      <c r="N13400" t="s">
        <v>44759</v>
      </c>
      <c r="O13400" t="s">
        <v>44760</v>
      </c>
      <c r="Q13400">
        <v>10</v>
      </c>
      <c r="R13400" t="s">
        <v>44780</v>
      </c>
      <c r="S13400" t="s">
        <v>45725</v>
      </c>
      <c r="T13400" t="s">
        <v>46581</v>
      </c>
      <c r="U13400" t="s">
        <v>57941</v>
      </c>
      <c r="V13400" t="s">
        <v>60637</v>
      </c>
      <c r="W13400" t="s">
        <v>44573</v>
      </c>
      <c r="X13400" t="s">
        <v>44781</v>
      </c>
    </row>
    <row r="13401" spans="1:24">
      <c r="A13401">
        <f>HYPERLINK("https://www.philgeps.gov.ph/GEPSNONPILOT/Tender/SplashBidNoticeAbstractUI.aspx?menuIndex=3&amp;refID=7115637&amp;Result=3","7115637")</f>
        <v>0</v>
      </c>
      <c r="B13401" t="s">
        <v>3637</v>
      </c>
      <c r="C13401" t="s">
        <v>16526</v>
      </c>
      <c r="D13401" t="s">
        <v>17963</v>
      </c>
      <c r="E13401" t="s">
        <v>25699</v>
      </c>
      <c r="F13401" t="s">
        <v>30900</v>
      </c>
      <c r="G13401" t="s">
        <v>30907</v>
      </c>
      <c r="H13401" t="s">
        <v>30915</v>
      </c>
      <c r="I13401" t="s">
        <v>30919</v>
      </c>
      <c r="J13401" t="s">
        <v>39380</v>
      </c>
      <c r="K13401" t="s">
        <v>40286</v>
      </c>
      <c r="M13401" t="s">
        <v>44574</v>
      </c>
      <c r="N13401" t="s">
        <v>44759</v>
      </c>
      <c r="O13401" t="s">
        <v>44760</v>
      </c>
      <c r="P13401">
        <v>0</v>
      </c>
      <c r="Q13401">
        <v>0</v>
      </c>
      <c r="R13401" t="s">
        <v>44780</v>
      </c>
      <c r="S13401" t="s">
        <v>45683</v>
      </c>
      <c r="T13401" t="s">
        <v>46421</v>
      </c>
      <c r="U13401" t="s">
        <v>57942</v>
      </c>
      <c r="W13401" t="s">
        <v>60939</v>
      </c>
      <c r="X13401" t="s">
        <v>44781</v>
      </c>
    </row>
    <row r="13402" spans="1:24">
      <c r="A13402">
        <f>HYPERLINK("https://www.philgeps.gov.ph/GEPSNONPILOT/Tender/SplashBidNoticeAbstractUI.aspx?menuIndex=3&amp;refID=7115628&amp;Result=3","7115628")</f>
        <v>0</v>
      </c>
      <c r="B13402" t="s">
        <v>559</v>
      </c>
      <c r="C13402" t="s">
        <v>16527</v>
      </c>
      <c r="D13402" t="s">
        <v>17990</v>
      </c>
      <c r="E13402" t="s">
        <v>29621</v>
      </c>
      <c r="F13402" t="s">
        <v>30900</v>
      </c>
      <c r="G13402" t="s">
        <v>30907</v>
      </c>
      <c r="H13402" t="s">
        <v>30916</v>
      </c>
      <c r="I13402" t="s">
        <v>5830</v>
      </c>
      <c r="J13402" t="s">
        <v>39381</v>
      </c>
      <c r="K13402" t="s">
        <v>40280</v>
      </c>
      <c r="M13402" t="s">
        <v>42412</v>
      </c>
      <c r="N13402" t="s">
        <v>44759</v>
      </c>
      <c r="O13402" t="s">
        <v>44760</v>
      </c>
      <c r="Q13402">
        <v>13</v>
      </c>
      <c r="R13402" t="s">
        <v>44780</v>
      </c>
      <c r="S13402" t="s">
        <v>45726</v>
      </c>
      <c r="T13402" t="s">
        <v>46390</v>
      </c>
      <c r="U13402" t="s">
        <v>57943</v>
      </c>
      <c r="W13402" t="s">
        <v>60872</v>
      </c>
      <c r="X13402" t="s">
        <v>44781</v>
      </c>
    </row>
    <row r="13403" spans="1:24">
      <c r="A13403">
        <f>HYPERLINK("https://www.philgeps.gov.ph/GEPSNONPILOT/Tender/SplashBidNoticeAbstractUI.aspx?menuIndex=3&amp;refID=7115620&amp;Result=3","7115620")</f>
        <v>0</v>
      </c>
      <c r="B13403" t="s">
        <v>981</v>
      </c>
      <c r="C13403" t="s">
        <v>16528</v>
      </c>
      <c r="D13403" t="s">
        <v>17993</v>
      </c>
      <c r="E13403" t="s">
        <v>29622</v>
      </c>
      <c r="F13403" t="s">
        <v>30900</v>
      </c>
      <c r="G13403" t="s">
        <v>30907</v>
      </c>
      <c r="H13403" t="s">
        <v>30915</v>
      </c>
      <c r="I13403" t="s">
        <v>30919</v>
      </c>
      <c r="J13403" t="s">
        <v>36797</v>
      </c>
      <c r="K13403" t="s">
        <v>40286</v>
      </c>
      <c r="M13403" t="s">
        <v>41569</v>
      </c>
      <c r="N13403" t="s">
        <v>44759</v>
      </c>
      <c r="O13403" t="s">
        <v>44760</v>
      </c>
      <c r="P13403">
        <v>0</v>
      </c>
      <c r="Q13403">
        <v>2</v>
      </c>
      <c r="R13403" t="s">
        <v>44780</v>
      </c>
      <c r="S13403" t="s">
        <v>45683</v>
      </c>
      <c r="T13403" t="s">
        <v>46572</v>
      </c>
      <c r="U13403" t="s">
        <v>57944</v>
      </c>
      <c r="W13403" t="s">
        <v>41569</v>
      </c>
      <c r="X13403" t="s">
        <v>44781</v>
      </c>
    </row>
    <row r="13404" spans="1:24">
      <c r="A13404">
        <f>HYPERLINK("https://www.philgeps.gov.ph/GEPSNONPILOT/Tender/SplashBidNoticeAbstractUI.aspx?menuIndex=3&amp;refID=7115603&amp;Result=3","7115603")</f>
        <v>0</v>
      </c>
      <c r="B13404" t="s">
        <v>3492</v>
      </c>
      <c r="C13404" t="s">
        <v>16529</v>
      </c>
      <c r="D13404" t="s">
        <v>17980</v>
      </c>
      <c r="E13404" t="s">
        <v>29623</v>
      </c>
      <c r="F13404" t="s">
        <v>30900</v>
      </c>
      <c r="G13404" t="s">
        <v>30907</v>
      </c>
      <c r="H13404" t="s">
        <v>30915</v>
      </c>
      <c r="I13404" t="s">
        <v>8123</v>
      </c>
      <c r="J13404" t="s">
        <v>39382</v>
      </c>
      <c r="K13404" t="s">
        <v>40284</v>
      </c>
      <c r="M13404" t="s">
        <v>44393</v>
      </c>
      <c r="N13404" t="s">
        <v>44759</v>
      </c>
      <c r="O13404" t="s">
        <v>44760</v>
      </c>
      <c r="P13404">
        <v>0</v>
      </c>
      <c r="Q13404">
        <v>1</v>
      </c>
      <c r="R13404" t="s">
        <v>44780</v>
      </c>
      <c r="S13404" t="s">
        <v>45683</v>
      </c>
      <c r="T13404" t="s">
        <v>46429</v>
      </c>
      <c r="U13404" t="s">
        <v>57945</v>
      </c>
      <c r="W13404" t="s">
        <v>44393</v>
      </c>
      <c r="X13404" t="s">
        <v>44781</v>
      </c>
    </row>
    <row r="13405" spans="1:24">
      <c r="A13405">
        <f>HYPERLINK("https://www.philgeps.gov.ph/GEPSNONPILOT/Tender/SplashBidNoticeAbstractUI.aspx?menuIndex=3&amp;refID=7115590&amp;Result=3","7115590")</f>
        <v>0</v>
      </c>
      <c r="B13405" t="s">
        <v>1863</v>
      </c>
      <c r="C13405" t="s">
        <v>16530</v>
      </c>
      <c r="D13405" t="s">
        <v>18013</v>
      </c>
      <c r="E13405" t="s">
        <v>29624</v>
      </c>
      <c r="F13405" t="s">
        <v>30900</v>
      </c>
      <c r="G13405" t="s">
        <v>30907</v>
      </c>
      <c r="H13405" t="s">
        <v>30915</v>
      </c>
      <c r="I13405" t="s">
        <v>30919</v>
      </c>
      <c r="J13405" t="s">
        <v>31049</v>
      </c>
      <c r="K13405" t="s">
        <v>40280</v>
      </c>
      <c r="M13405" t="s">
        <v>42537</v>
      </c>
      <c r="N13405" t="s">
        <v>44759</v>
      </c>
      <c r="O13405" t="s">
        <v>44760</v>
      </c>
      <c r="P13405">
        <v>0</v>
      </c>
      <c r="Q13405">
        <v>0</v>
      </c>
      <c r="R13405" t="s">
        <v>44780</v>
      </c>
      <c r="S13405" t="s">
        <v>45683</v>
      </c>
      <c r="T13405" t="s">
        <v>46658</v>
      </c>
      <c r="U13405" t="s">
        <v>57946</v>
      </c>
      <c r="W13405" t="s">
        <v>42537</v>
      </c>
      <c r="X13405" t="s">
        <v>44781</v>
      </c>
    </row>
    <row r="13406" spans="1:24">
      <c r="A13406">
        <f>HYPERLINK("https://www.philgeps.gov.ph/GEPSNONPILOT/Tender/SplashBidNoticeAbstractUI.aspx?menuIndex=3&amp;refID=7115859&amp;Result=3","7115859")</f>
        <v>0</v>
      </c>
      <c r="B13406" t="s">
        <v>3626</v>
      </c>
      <c r="C13406" t="s">
        <v>16531</v>
      </c>
      <c r="D13406" t="s">
        <v>17984</v>
      </c>
      <c r="E13406" t="s">
        <v>29625</v>
      </c>
      <c r="F13406" t="s">
        <v>30900</v>
      </c>
      <c r="G13406" t="s">
        <v>30907</v>
      </c>
      <c r="H13406" t="s">
        <v>30916</v>
      </c>
      <c r="I13406" t="s">
        <v>8123</v>
      </c>
      <c r="J13406" t="s">
        <v>39383</v>
      </c>
      <c r="K13406" t="s">
        <v>40291</v>
      </c>
      <c r="M13406" t="s">
        <v>44559</v>
      </c>
      <c r="N13406" t="s">
        <v>44759</v>
      </c>
      <c r="O13406" t="s">
        <v>44760</v>
      </c>
      <c r="P13406">
        <v>0</v>
      </c>
      <c r="Q13406">
        <v>1</v>
      </c>
      <c r="R13406" t="s">
        <v>44780</v>
      </c>
      <c r="S13406" t="s">
        <v>45683</v>
      </c>
      <c r="T13406" t="s">
        <v>46374</v>
      </c>
      <c r="U13406" t="s">
        <v>57947</v>
      </c>
      <c r="W13406" t="s">
        <v>44559</v>
      </c>
      <c r="X13406" t="s">
        <v>44781</v>
      </c>
    </row>
    <row r="13407" spans="1:24">
      <c r="A13407">
        <f>HYPERLINK("https://www.philgeps.gov.ph/GEPSNONPILOT/Tender/SplashBidNoticeAbstractUI.aspx?menuIndex=3&amp;refID=7115631&amp;Result=3","7115631")</f>
        <v>0</v>
      </c>
      <c r="B13407" t="s">
        <v>3492</v>
      </c>
      <c r="C13407" t="s">
        <v>16532</v>
      </c>
      <c r="D13407" t="s">
        <v>17980</v>
      </c>
      <c r="E13407" t="s">
        <v>29626</v>
      </c>
      <c r="F13407" t="s">
        <v>30900</v>
      </c>
      <c r="G13407" t="s">
        <v>30907</v>
      </c>
      <c r="H13407" t="s">
        <v>30915</v>
      </c>
      <c r="I13407" t="s">
        <v>6746</v>
      </c>
      <c r="J13407" t="s">
        <v>31101</v>
      </c>
      <c r="K13407" t="s">
        <v>40284</v>
      </c>
      <c r="M13407" t="s">
        <v>44393</v>
      </c>
      <c r="N13407" t="s">
        <v>44759</v>
      </c>
      <c r="O13407" t="s">
        <v>44760</v>
      </c>
      <c r="P13407">
        <v>0</v>
      </c>
      <c r="Q13407">
        <v>0</v>
      </c>
      <c r="R13407" t="s">
        <v>44780</v>
      </c>
      <c r="S13407" t="s">
        <v>45683</v>
      </c>
      <c r="T13407" t="s">
        <v>46429</v>
      </c>
      <c r="U13407" t="s">
        <v>57948</v>
      </c>
      <c r="W13407" t="s">
        <v>44393</v>
      </c>
      <c r="X13407" t="s">
        <v>44781</v>
      </c>
    </row>
    <row r="13408" spans="1:24">
      <c r="A13408">
        <f>HYPERLINK("https://www.philgeps.gov.ph/GEPSNONPILOT/Tender/SplashBidNoticeAbstractUI.aspx?menuIndex=3&amp;refID=7115618&amp;Result=3","7115618")</f>
        <v>0</v>
      </c>
      <c r="B13408" t="s">
        <v>58</v>
      </c>
      <c r="C13408" t="s">
        <v>16533</v>
      </c>
      <c r="D13408" t="s">
        <v>17977</v>
      </c>
      <c r="E13408" t="s">
        <v>29627</v>
      </c>
      <c r="F13408" t="s">
        <v>30900</v>
      </c>
      <c r="G13408" t="s">
        <v>30907</v>
      </c>
      <c r="H13408" t="s">
        <v>30916</v>
      </c>
      <c r="I13408" t="s">
        <v>30933</v>
      </c>
      <c r="J13408" t="s">
        <v>32616</v>
      </c>
      <c r="K13408" t="s">
        <v>40304</v>
      </c>
      <c r="M13408" t="s">
        <v>40604</v>
      </c>
      <c r="N13408" t="s">
        <v>44759</v>
      </c>
      <c r="O13408" t="s">
        <v>44760</v>
      </c>
      <c r="Q13408">
        <v>3</v>
      </c>
      <c r="R13408" t="s">
        <v>44780</v>
      </c>
      <c r="S13408" t="s">
        <v>45727</v>
      </c>
      <c r="T13408" t="s">
        <v>46625</v>
      </c>
      <c r="U13408" t="s">
        <v>57923</v>
      </c>
      <c r="W13408" t="s">
        <v>60815</v>
      </c>
      <c r="X13408" t="s">
        <v>44781</v>
      </c>
    </row>
    <row r="13409" spans="1:24">
      <c r="A13409">
        <f>HYPERLINK("https://www.philgeps.gov.ph/GEPSNONPILOT/Tender/SplashBidNoticeAbstractUI.aspx?menuIndex=3&amp;refID=7115887&amp;Result=3","7115887")</f>
        <v>0</v>
      </c>
      <c r="B13409" t="s">
        <v>769</v>
      </c>
      <c r="C13409" t="s">
        <v>16534</v>
      </c>
      <c r="D13409" t="s">
        <v>18014</v>
      </c>
      <c r="E13409" t="s">
        <v>29628</v>
      </c>
      <c r="F13409" t="s">
        <v>30900</v>
      </c>
      <c r="G13409" t="s">
        <v>30907</v>
      </c>
      <c r="H13409" t="s">
        <v>30916</v>
      </c>
      <c r="I13409" t="s">
        <v>4965</v>
      </c>
      <c r="J13409" t="s">
        <v>39384</v>
      </c>
      <c r="K13409" t="s">
        <v>40293</v>
      </c>
      <c r="M13409" t="s">
        <v>44575</v>
      </c>
      <c r="N13409" t="s">
        <v>44759</v>
      </c>
      <c r="O13409" t="s">
        <v>44760</v>
      </c>
      <c r="Q13409">
        <v>5</v>
      </c>
      <c r="R13409" t="s">
        <v>44780</v>
      </c>
      <c r="S13409" t="s">
        <v>45728</v>
      </c>
      <c r="T13409" t="s">
        <v>46707</v>
      </c>
      <c r="U13409" t="s">
        <v>57949</v>
      </c>
      <c r="V13409" t="s">
        <v>60638</v>
      </c>
      <c r="W13409" t="s">
        <v>44575</v>
      </c>
      <c r="X13409" t="s">
        <v>44781</v>
      </c>
    </row>
    <row r="13410" spans="1:24">
      <c r="A13410">
        <f>HYPERLINK("https://www.philgeps.gov.ph/GEPSNONPILOT/Tender/SplashBidNoticeAbstractUI.aspx?menuIndex=3&amp;refID=7115598&amp;Result=3","7115598")</f>
        <v>0</v>
      </c>
      <c r="B13410" t="s">
        <v>981</v>
      </c>
      <c r="C13410" t="s">
        <v>16535</v>
      </c>
      <c r="D13410" t="s">
        <v>17993</v>
      </c>
      <c r="E13410" t="s">
        <v>29629</v>
      </c>
      <c r="F13410" t="s">
        <v>30900</v>
      </c>
      <c r="G13410" t="s">
        <v>30907</v>
      </c>
      <c r="H13410" t="s">
        <v>30915</v>
      </c>
      <c r="I13410" t="s">
        <v>30919</v>
      </c>
      <c r="J13410" t="s">
        <v>36895</v>
      </c>
      <c r="K13410" t="s">
        <v>40293</v>
      </c>
      <c r="M13410" t="s">
        <v>41569</v>
      </c>
      <c r="N13410" t="s">
        <v>44759</v>
      </c>
      <c r="O13410" t="s">
        <v>44760</v>
      </c>
      <c r="P13410">
        <v>0</v>
      </c>
      <c r="Q13410">
        <v>2</v>
      </c>
      <c r="R13410" t="s">
        <v>44780</v>
      </c>
      <c r="S13410" t="s">
        <v>45683</v>
      </c>
      <c r="T13410" t="s">
        <v>46572</v>
      </c>
      <c r="U13410" t="s">
        <v>57950</v>
      </c>
      <c r="W13410" t="s">
        <v>41569</v>
      </c>
      <c r="X13410" t="s">
        <v>44781</v>
      </c>
    </row>
    <row r="13411" spans="1:24">
      <c r="A13411">
        <f>HYPERLINK("https://www.philgeps.gov.ph/GEPSNONPILOT/Tender/SplashBidNoticeAbstractUI.aspx?menuIndex=3&amp;refID=7115879&amp;Result=3","7115879")</f>
        <v>0</v>
      </c>
      <c r="B13411" t="s">
        <v>3626</v>
      </c>
      <c r="C13411" t="s">
        <v>16536</v>
      </c>
      <c r="D13411" t="s">
        <v>17984</v>
      </c>
      <c r="E13411" t="s">
        <v>29630</v>
      </c>
      <c r="F13411" t="s">
        <v>30900</v>
      </c>
      <c r="G13411" t="s">
        <v>30907</v>
      </c>
      <c r="H13411" t="s">
        <v>30916</v>
      </c>
      <c r="I13411" t="s">
        <v>8123</v>
      </c>
      <c r="J13411" t="s">
        <v>39385</v>
      </c>
      <c r="K13411" t="s">
        <v>40291</v>
      </c>
      <c r="M13411" t="s">
        <v>44559</v>
      </c>
      <c r="N13411" t="s">
        <v>44759</v>
      </c>
      <c r="O13411" t="s">
        <v>44760</v>
      </c>
      <c r="P13411">
        <v>0</v>
      </c>
      <c r="Q13411">
        <v>1</v>
      </c>
      <c r="R13411" t="s">
        <v>44780</v>
      </c>
      <c r="S13411" t="s">
        <v>45683</v>
      </c>
      <c r="T13411" t="s">
        <v>46531</v>
      </c>
      <c r="U13411" t="s">
        <v>57947</v>
      </c>
      <c r="W13411" t="s">
        <v>44559</v>
      </c>
      <c r="X13411" t="s">
        <v>44781</v>
      </c>
    </row>
    <row r="13412" spans="1:24">
      <c r="A13412">
        <f>HYPERLINK("https://www.philgeps.gov.ph/GEPSNONPILOT/Tender/SplashBidNoticeAbstractUI.aspx?menuIndex=3&amp;refID=7115821&amp;Result=3","7115821")</f>
        <v>0</v>
      </c>
      <c r="B13412" t="s">
        <v>769</v>
      </c>
      <c r="C13412" t="s">
        <v>16537</v>
      </c>
      <c r="D13412" t="s">
        <v>18014</v>
      </c>
      <c r="E13412" t="s">
        <v>29631</v>
      </c>
      <c r="F13412" t="s">
        <v>30900</v>
      </c>
      <c r="G13412" t="s">
        <v>30907</v>
      </c>
      <c r="H13412" t="s">
        <v>30916</v>
      </c>
      <c r="I13412" t="s">
        <v>30924</v>
      </c>
      <c r="J13412" t="s">
        <v>39386</v>
      </c>
      <c r="K13412" t="s">
        <v>40283</v>
      </c>
      <c r="M13412" t="s">
        <v>44575</v>
      </c>
      <c r="N13412" t="s">
        <v>44759</v>
      </c>
      <c r="O13412" t="s">
        <v>44760</v>
      </c>
      <c r="P13412">
        <v>0</v>
      </c>
      <c r="Q13412">
        <v>12</v>
      </c>
      <c r="R13412" t="s">
        <v>44780</v>
      </c>
      <c r="S13412" t="s">
        <v>45683</v>
      </c>
      <c r="T13412" t="s">
        <v>46707</v>
      </c>
      <c r="U13412" t="s">
        <v>57951</v>
      </c>
      <c r="V13412" t="s">
        <v>60639</v>
      </c>
      <c r="W13412" t="s">
        <v>44575</v>
      </c>
      <c r="X13412" t="s">
        <v>44781</v>
      </c>
    </row>
    <row r="13413" spans="1:24">
      <c r="A13413">
        <f>HYPERLINK("https://www.philgeps.gov.ph/GEPSNONPILOT/Tender/SplashBidNoticeAbstractUI.aspx?menuIndex=3&amp;refID=7115663&amp;Result=3","7115663")</f>
        <v>0</v>
      </c>
      <c r="B13413" t="s">
        <v>2544</v>
      </c>
      <c r="C13413" t="s">
        <v>16538</v>
      </c>
      <c r="D13413" t="s">
        <v>17991</v>
      </c>
      <c r="E13413" t="s">
        <v>29632</v>
      </c>
      <c r="F13413" t="s">
        <v>30900</v>
      </c>
      <c r="G13413" t="s">
        <v>30907</v>
      </c>
      <c r="H13413" t="s">
        <v>30916</v>
      </c>
      <c r="I13413" t="s">
        <v>30921</v>
      </c>
      <c r="J13413" t="s">
        <v>39387</v>
      </c>
      <c r="K13413" t="s">
        <v>40286</v>
      </c>
      <c r="M13413" t="s">
        <v>44576</v>
      </c>
      <c r="N13413" t="s">
        <v>44759</v>
      </c>
      <c r="O13413" t="s">
        <v>44760</v>
      </c>
      <c r="P13413">
        <v>0</v>
      </c>
      <c r="Q13413">
        <v>4</v>
      </c>
      <c r="R13413" t="s">
        <v>44780</v>
      </c>
      <c r="S13413" t="s">
        <v>45683</v>
      </c>
      <c r="T13413" t="s">
        <v>46387</v>
      </c>
      <c r="U13413" t="s">
        <v>57952</v>
      </c>
      <c r="W13413" t="s">
        <v>44576</v>
      </c>
      <c r="X13413" t="s">
        <v>44781</v>
      </c>
    </row>
    <row r="13414" spans="1:24">
      <c r="A13414">
        <f>HYPERLINK("https://www.philgeps.gov.ph/GEPSNONPILOT/Tender/SplashBidNoticeAbstractUI.aspx?menuIndex=3&amp;refID=7115817&amp;Result=3","7115817")</f>
        <v>0</v>
      </c>
      <c r="B13414" t="s">
        <v>3638</v>
      </c>
      <c r="C13414" t="s">
        <v>16539</v>
      </c>
      <c r="D13414" t="s">
        <v>18017</v>
      </c>
      <c r="E13414" t="s">
        <v>29514</v>
      </c>
      <c r="F13414" t="s">
        <v>30900</v>
      </c>
      <c r="G13414" t="s">
        <v>30907</v>
      </c>
      <c r="H13414" t="s">
        <v>30915</v>
      </c>
      <c r="I13414" t="s">
        <v>30919</v>
      </c>
      <c r="J13414" t="s">
        <v>39388</v>
      </c>
      <c r="K13414" t="s">
        <v>40392</v>
      </c>
      <c r="M13414" t="s">
        <v>44577</v>
      </c>
      <c r="N13414" t="s">
        <v>44759</v>
      </c>
      <c r="O13414" t="s">
        <v>44760</v>
      </c>
      <c r="P13414">
        <v>0</v>
      </c>
      <c r="Q13414">
        <v>3</v>
      </c>
      <c r="R13414" t="s">
        <v>44780</v>
      </c>
      <c r="S13414" t="s">
        <v>45683</v>
      </c>
      <c r="T13414" t="s">
        <v>46445</v>
      </c>
      <c r="U13414" t="s">
        <v>57953</v>
      </c>
      <c r="V13414" t="s">
        <v>60640</v>
      </c>
      <c r="W13414" t="s">
        <v>44577</v>
      </c>
      <c r="X13414" t="s">
        <v>44781</v>
      </c>
    </row>
    <row r="13415" spans="1:24">
      <c r="A13415">
        <f>HYPERLINK("https://www.philgeps.gov.ph/GEPSNONPILOT/Tender/SplashBidNoticeAbstractUI.aspx?menuIndex=3&amp;refID=7115808&amp;Result=3","7115808")</f>
        <v>0</v>
      </c>
      <c r="B13415" t="s">
        <v>2990</v>
      </c>
      <c r="C13415" t="s">
        <v>16540</v>
      </c>
      <c r="D13415" t="s">
        <v>17998</v>
      </c>
      <c r="E13415" t="s">
        <v>29633</v>
      </c>
      <c r="F13415" t="s">
        <v>30900</v>
      </c>
      <c r="G13415" t="s">
        <v>30907</v>
      </c>
      <c r="H13415" t="s">
        <v>30916</v>
      </c>
      <c r="I13415" t="s">
        <v>30929</v>
      </c>
      <c r="J13415" t="s">
        <v>35962</v>
      </c>
      <c r="K13415" t="s">
        <v>40286</v>
      </c>
      <c r="L13415" t="s">
        <v>2990</v>
      </c>
      <c r="M13415" t="s">
        <v>43793</v>
      </c>
      <c r="N13415" t="s">
        <v>44759</v>
      </c>
      <c r="O13415" t="s">
        <v>44760</v>
      </c>
      <c r="Q13415">
        <v>18</v>
      </c>
      <c r="R13415" t="s">
        <v>44780</v>
      </c>
      <c r="S13415" t="s">
        <v>45729</v>
      </c>
      <c r="T13415" t="s">
        <v>46533</v>
      </c>
      <c r="U13415" t="s">
        <v>54810</v>
      </c>
      <c r="V13415" t="s">
        <v>60641</v>
      </c>
      <c r="W13415" t="s">
        <v>43793</v>
      </c>
      <c r="X13415" t="s">
        <v>44781</v>
      </c>
    </row>
    <row r="13416" spans="1:24">
      <c r="A13416">
        <f>HYPERLINK("https://www.philgeps.gov.ph/GEPSNONPILOT/Tender/SplashBidNoticeAbstractUI.aspx?menuIndex=3&amp;refID=7115794&amp;Result=3","7115794")</f>
        <v>0</v>
      </c>
      <c r="B13416" t="s">
        <v>1232</v>
      </c>
      <c r="C13416" t="s">
        <v>16541</v>
      </c>
      <c r="D13416" t="s">
        <v>17961</v>
      </c>
      <c r="E13416" t="s">
        <v>29634</v>
      </c>
      <c r="F13416" t="s">
        <v>30900</v>
      </c>
      <c r="G13416" t="s">
        <v>30907</v>
      </c>
      <c r="H13416" t="s">
        <v>30915</v>
      </c>
      <c r="I13416" t="s">
        <v>30919</v>
      </c>
      <c r="J13416" t="s">
        <v>39389</v>
      </c>
      <c r="K13416" t="s">
        <v>40295</v>
      </c>
      <c r="M13416" t="s">
        <v>42598</v>
      </c>
      <c r="N13416" t="s">
        <v>44759</v>
      </c>
      <c r="O13416" t="s">
        <v>44760</v>
      </c>
      <c r="Q13416">
        <v>9</v>
      </c>
      <c r="R13416" t="s">
        <v>44780</v>
      </c>
      <c r="S13416" t="s">
        <v>45375</v>
      </c>
      <c r="T13416" t="s">
        <v>46760</v>
      </c>
      <c r="U13416" t="s">
        <v>57954</v>
      </c>
      <c r="W13416" t="s">
        <v>42598</v>
      </c>
      <c r="X13416" t="s">
        <v>44781</v>
      </c>
    </row>
    <row r="13417" spans="1:24">
      <c r="A13417">
        <f>HYPERLINK("https://www.philgeps.gov.ph/GEPSNONPILOT/Tender/SplashBidNoticeAbstractUI.aspx?menuIndex=3&amp;refID=7115792&amp;Result=3","7115792")</f>
        <v>0</v>
      </c>
      <c r="B13417" t="s">
        <v>559</v>
      </c>
      <c r="C13417" t="s">
        <v>16542</v>
      </c>
      <c r="D13417" t="s">
        <v>17990</v>
      </c>
      <c r="E13417" t="s">
        <v>29635</v>
      </c>
      <c r="F13417" t="s">
        <v>30900</v>
      </c>
      <c r="G13417" t="s">
        <v>30907</v>
      </c>
      <c r="H13417" t="s">
        <v>30916</v>
      </c>
      <c r="I13417" t="s">
        <v>9385</v>
      </c>
      <c r="J13417" t="s">
        <v>39390</v>
      </c>
      <c r="K13417" t="s">
        <v>40280</v>
      </c>
      <c r="M13417" t="s">
        <v>42412</v>
      </c>
      <c r="N13417" t="s">
        <v>44759</v>
      </c>
      <c r="O13417" t="s">
        <v>44760</v>
      </c>
      <c r="Q13417">
        <v>10</v>
      </c>
      <c r="R13417" t="s">
        <v>44780</v>
      </c>
      <c r="S13417" t="s">
        <v>45730</v>
      </c>
      <c r="T13417" t="s">
        <v>46390</v>
      </c>
      <c r="U13417" t="s">
        <v>57955</v>
      </c>
      <c r="W13417" t="s">
        <v>60872</v>
      </c>
      <c r="X13417" t="s">
        <v>44781</v>
      </c>
    </row>
    <row r="13418" spans="1:24">
      <c r="A13418">
        <f>HYPERLINK("https://www.philgeps.gov.ph/GEPSNONPILOT/Tender/SplashBidNoticeAbstractUI.aspx?menuIndex=3&amp;refID=7115779&amp;Result=3","7115779")</f>
        <v>0</v>
      </c>
      <c r="B13418" t="s">
        <v>3626</v>
      </c>
      <c r="C13418" t="s">
        <v>16543</v>
      </c>
      <c r="D13418" t="s">
        <v>17984</v>
      </c>
      <c r="E13418" t="s">
        <v>29636</v>
      </c>
      <c r="F13418" t="s">
        <v>30900</v>
      </c>
      <c r="G13418" t="s">
        <v>30907</v>
      </c>
      <c r="H13418" t="s">
        <v>30916</v>
      </c>
      <c r="I13418" t="s">
        <v>30947</v>
      </c>
      <c r="J13418" t="s">
        <v>31101</v>
      </c>
      <c r="K13418" t="s">
        <v>40283</v>
      </c>
      <c r="M13418" t="s">
        <v>44559</v>
      </c>
      <c r="N13418" t="s">
        <v>44759</v>
      </c>
      <c r="O13418" t="s">
        <v>44760</v>
      </c>
      <c r="P13418">
        <v>0</v>
      </c>
      <c r="Q13418">
        <v>1</v>
      </c>
      <c r="R13418" t="s">
        <v>44780</v>
      </c>
      <c r="S13418" t="s">
        <v>45683</v>
      </c>
      <c r="T13418" t="s">
        <v>46531</v>
      </c>
      <c r="U13418" t="s">
        <v>57956</v>
      </c>
      <c r="W13418" t="s">
        <v>44559</v>
      </c>
      <c r="X13418" t="s">
        <v>44781</v>
      </c>
    </row>
    <row r="13419" spans="1:24">
      <c r="A13419">
        <f>HYPERLINK("https://www.philgeps.gov.ph/GEPSNONPILOT/Tender/SplashBidNoticeAbstractUI.aspx?menuIndex=3&amp;refID=7115793&amp;Result=3","7115793")</f>
        <v>0</v>
      </c>
      <c r="B13419" t="s">
        <v>2941</v>
      </c>
      <c r="C13419" t="s">
        <v>16544</v>
      </c>
      <c r="D13419" t="s">
        <v>17980</v>
      </c>
      <c r="E13419" t="s">
        <v>29637</v>
      </c>
      <c r="F13419" t="s">
        <v>30900</v>
      </c>
      <c r="G13419" t="s">
        <v>30907</v>
      </c>
      <c r="H13419" t="s">
        <v>30915</v>
      </c>
      <c r="I13419" t="s">
        <v>30919</v>
      </c>
      <c r="J13419" t="s">
        <v>32523</v>
      </c>
      <c r="K13419" t="s">
        <v>40335</v>
      </c>
      <c r="M13419" t="s">
        <v>44578</v>
      </c>
      <c r="N13419" t="s">
        <v>44759</v>
      </c>
      <c r="O13419" t="s">
        <v>44760</v>
      </c>
      <c r="Q13419">
        <v>5</v>
      </c>
      <c r="R13419" t="s">
        <v>44780</v>
      </c>
      <c r="S13419" t="s">
        <v>45731</v>
      </c>
      <c r="T13419" t="s">
        <v>46625</v>
      </c>
      <c r="U13419" t="s">
        <v>57957</v>
      </c>
      <c r="W13419" t="s">
        <v>44578</v>
      </c>
      <c r="X13419" t="s">
        <v>44781</v>
      </c>
    </row>
    <row r="13420" spans="1:24">
      <c r="A13420">
        <f>HYPERLINK("https://www.philgeps.gov.ph/GEPSNONPILOT/Tender/SplashBidNoticeAbstractUI.aspx?menuIndex=3&amp;refID=7115772&amp;Result=3","7115772")</f>
        <v>0</v>
      </c>
      <c r="B13420" t="s">
        <v>3634</v>
      </c>
      <c r="C13420" t="s">
        <v>16545</v>
      </c>
      <c r="D13420" t="s">
        <v>17970</v>
      </c>
      <c r="E13420" t="s">
        <v>29638</v>
      </c>
      <c r="F13420" t="s">
        <v>30900</v>
      </c>
      <c r="G13420" t="s">
        <v>30907</v>
      </c>
      <c r="H13420" t="s">
        <v>30915</v>
      </c>
      <c r="I13420" t="s">
        <v>30919</v>
      </c>
      <c r="J13420" t="s">
        <v>39391</v>
      </c>
      <c r="K13420" t="s">
        <v>40280</v>
      </c>
      <c r="M13420" t="s">
        <v>44571</v>
      </c>
      <c r="N13420" t="s">
        <v>44759</v>
      </c>
      <c r="O13420" t="s">
        <v>44760</v>
      </c>
      <c r="Q13420">
        <v>0</v>
      </c>
      <c r="R13420" t="s">
        <v>44780</v>
      </c>
      <c r="S13420" t="s">
        <v>45732</v>
      </c>
      <c r="T13420" t="s">
        <v>46403</v>
      </c>
      <c r="U13420" t="s">
        <v>57937</v>
      </c>
      <c r="V13420" t="s">
        <v>60642</v>
      </c>
      <c r="W13420" t="s">
        <v>44571</v>
      </c>
      <c r="X13420" t="s">
        <v>44781</v>
      </c>
    </row>
    <row r="13421" spans="1:24">
      <c r="A13421">
        <f>HYPERLINK("https://www.philgeps.gov.ph/GEPSNONPILOT/Tender/SplashBidNoticeAbstractUI.aspx?menuIndex=3&amp;refID=7115830&amp;Result=3","7115830")</f>
        <v>0</v>
      </c>
      <c r="B13421" t="s">
        <v>3626</v>
      </c>
      <c r="C13421" t="s">
        <v>8808</v>
      </c>
      <c r="D13421" t="s">
        <v>17984</v>
      </c>
      <c r="E13421" t="s">
        <v>29639</v>
      </c>
      <c r="F13421" t="s">
        <v>30900</v>
      </c>
      <c r="G13421" t="s">
        <v>30907</v>
      </c>
      <c r="H13421" t="s">
        <v>30916</v>
      </c>
      <c r="I13421" t="s">
        <v>8123</v>
      </c>
      <c r="J13421" t="s">
        <v>39392</v>
      </c>
      <c r="K13421" t="s">
        <v>40291</v>
      </c>
      <c r="M13421" t="s">
        <v>44559</v>
      </c>
      <c r="N13421" t="s">
        <v>44759</v>
      </c>
      <c r="O13421" t="s">
        <v>44760</v>
      </c>
      <c r="P13421">
        <v>0</v>
      </c>
      <c r="Q13421">
        <v>1</v>
      </c>
      <c r="R13421" t="s">
        <v>44780</v>
      </c>
      <c r="S13421" t="s">
        <v>45683</v>
      </c>
      <c r="T13421" t="s">
        <v>46531</v>
      </c>
      <c r="U13421" t="s">
        <v>57958</v>
      </c>
      <c r="W13421" t="s">
        <v>44559</v>
      </c>
      <c r="X13421" t="s">
        <v>44781</v>
      </c>
    </row>
    <row r="13422" spans="1:24">
      <c r="A13422">
        <f>HYPERLINK("https://www.philgeps.gov.ph/GEPSNONPILOT/Tender/SplashBidNoticeAbstractUI.aspx?menuIndex=3&amp;refID=7115765&amp;Result=3","7115765")</f>
        <v>0</v>
      </c>
      <c r="B13422" t="s">
        <v>2941</v>
      </c>
      <c r="C13422" t="s">
        <v>16546</v>
      </c>
      <c r="D13422" t="s">
        <v>17980</v>
      </c>
      <c r="E13422" t="s">
        <v>29640</v>
      </c>
      <c r="F13422" t="s">
        <v>30900</v>
      </c>
      <c r="G13422" t="s">
        <v>30907</v>
      </c>
      <c r="H13422" t="s">
        <v>30915</v>
      </c>
      <c r="I13422" t="s">
        <v>30919</v>
      </c>
      <c r="J13422" t="s">
        <v>32523</v>
      </c>
      <c r="K13422" t="s">
        <v>40335</v>
      </c>
      <c r="M13422" t="s">
        <v>44578</v>
      </c>
      <c r="N13422" t="s">
        <v>44759</v>
      </c>
      <c r="O13422" t="s">
        <v>44760</v>
      </c>
      <c r="Q13422">
        <v>4</v>
      </c>
      <c r="R13422" t="s">
        <v>44780</v>
      </c>
      <c r="S13422" t="s">
        <v>45733</v>
      </c>
      <c r="T13422" t="s">
        <v>46625</v>
      </c>
      <c r="U13422" t="s">
        <v>57957</v>
      </c>
      <c r="W13422" t="s">
        <v>44578</v>
      </c>
      <c r="X13422" t="s">
        <v>44781</v>
      </c>
    </row>
    <row r="13423" spans="1:24">
      <c r="A13423">
        <f>HYPERLINK("https://www.philgeps.gov.ph/GEPSNONPILOT/Tender/SplashBidNoticeAbstractUI.aspx?menuIndex=3&amp;refID=7115741&amp;Result=3","7115741")</f>
        <v>0</v>
      </c>
      <c r="B13423" t="s">
        <v>559</v>
      </c>
      <c r="C13423" t="s">
        <v>16547</v>
      </c>
      <c r="D13423" t="s">
        <v>17990</v>
      </c>
      <c r="E13423" t="s">
        <v>29641</v>
      </c>
      <c r="F13423" t="s">
        <v>30900</v>
      </c>
      <c r="G13423" t="s">
        <v>30907</v>
      </c>
      <c r="H13423" t="s">
        <v>30916</v>
      </c>
      <c r="I13423" t="s">
        <v>9385</v>
      </c>
      <c r="J13423" t="s">
        <v>39393</v>
      </c>
      <c r="K13423" t="s">
        <v>40280</v>
      </c>
      <c r="M13423" t="s">
        <v>42412</v>
      </c>
      <c r="N13423" t="s">
        <v>44759</v>
      </c>
      <c r="O13423" t="s">
        <v>44760</v>
      </c>
      <c r="Q13423">
        <v>11</v>
      </c>
      <c r="R13423" t="s">
        <v>44780</v>
      </c>
      <c r="S13423" t="s">
        <v>45734</v>
      </c>
      <c r="T13423" t="s">
        <v>46390</v>
      </c>
      <c r="U13423" t="s">
        <v>57959</v>
      </c>
      <c r="W13423" t="s">
        <v>60872</v>
      </c>
      <c r="X13423" t="s">
        <v>44781</v>
      </c>
    </row>
    <row r="13424" spans="1:24">
      <c r="A13424">
        <f>HYPERLINK("https://www.philgeps.gov.ph/GEPSNONPILOT/Tender/SplashBidNoticeAbstractUI.aspx?menuIndex=3&amp;refID=7115714&amp;Result=3","7115714")</f>
        <v>0</v>
      </c>
      <c r="B13424" t="s">
        <v>1908</v>
      </c>
      <c r="C13424" t="s">
        <v>16548</v>
      </c>
      <c r="D13424" t="s">
        <v>17963</v>
      </c>
      <c r="E13424" t="s">
        <v>29642</v>
      </c>
      <c r="F13424" t="s">
        <v>30900</v>
      </c>
      <c r="G13424" t="s">
        <v>30907</v>
      </c>
      <c r="H13424" t="s">
        <v>30916</v>
      </c>
      <c r="I13424" t="s">
        <v>30933</v>
      </c>
      <c r="J13424" t="s">
        <v>31069</v>
      </c>
      <c r="K13424" t="s">
        <v>40308</v>
      </c>
      <c r="M13424" t="s">
        <v>42586</v>
      </c>
      <c r="N13424" t="s">
        <v>44759</v>
      </c>
      <c r="O13424" t="s">
        <v>44760</v>
      </c>
      <c r="P13424">
        <v>0</v>
      </c>
      <c r="Q13424">
        <v>6</v>
      </c>
      <c r="R13424" t="s">
        <v>44780</v>
      </c>
      <c r="S13424" t="s">
        <v>45683</v>
      </c>
      <c r="T13424" t="s">
        <v>46658</v>
      </c>
      <c r="U13424" t="s">
        <v>57960</v>
      </c>
      <c r="V13424" t="s">
        <v>59995</v>
      </c>
      <c r="W13424" t="s">
        <v>42586</v>
      </c>
      <c r="X13424" t="s">
        <v>44781</v>
      </c>
    </row>
    <row r="13425" spans="1:24">
      <c r="A13425">
        <f>HYPERLINK("https://www.philgeps.gov.ph/GEPSNONPILOT/Tender/SplashBidNoticeAbstractUI.aspx?menuIndex=3&amp;refID=7115704&amp;Result=3","7115704")</f>
        <v>0</v>
      </c>
      <c r="B13425" t="s">
        <v>3492</v>
      </c>
      <c r="C13425" t="s">
        <v>16549</v>
      </c>
      <c r="D13425" t="s">
        <v>17980</v>
      </c>
      <c r="E13425" t="s">
        <v>29643</v>
      </c>
      <c r="F13425" t="s">
        <v>30900</v>
      </c>
      <c r="G13425" t="s">
        <v>30907</v>
      </c>
      <c r="H13425" t="s">
        <v>30915</v>
      </c>
      <c r="I13425" t="s">
        <v>8123</v>
      </c>
      <c r="J13425" t="s">
        <v>39394</v>
      </c>
      <c r="K13425" t="s">
        <v>40284</v>
      </c>
      <c r="M13425" t="s">
        <v>44393</v>
      </c>
      <c r="N13425" t="s">
        <v>44759</v>
      </c>
      <c r="O13425" t="s">
        <v>44760</v>
      </c>
      <c r="Q13425">
        <v>0</v>
      </c>
      <c r="R13425" t="s">
        <v>44780</v>
      </c>
      <c r="S13425" t="s">
        <v>45735</v>
      </c>
      <c r="T13425" t="s">
        <v>46429</v>
      </c>
      <c r="U13425" t="s">
        <v>57961</v>
      </c>
      <c r="W13425" t="s">
        <v>44393</v>
      </c>
      <c r="X13425" t="s">
        <v>44781</v>
      </c>
    </row>
    <row r="13426" spans="1:24">
      <c r="A13426">
        <f>HYPERLINK("https://www.philgeps.gov.ph/GEPSNONPILOT/Tender/SplashBidNoticeAbstractUI.aspx?menuIndex=3&amp;refID=7115695&amp;Result=3","7115695")</f>
        <v>0</v>
      </c>
      <c r="B13426" t="s">
        <v>1071</v>
      </c>
      <c r="C13426" t="s">
        <v>16550</v>
      </c>
      <c r="D13426" t="s">
        <v>17971</v>
      </c>
      <c r="E13426" t="s">
        <v>29644</v>
      </c>
      <c r="F13426" t="s">
        <v>30900</v>
      </c>
      <c r="G13426" t="s">
        <v>30907</v>
      </c>
      <c r="H13426" t="s">
        <v>30916</v>
      </c>
      <c r="I13426" t="s">
        <v>4142</v>
      </c>
      <c r="J13426" t="s">
        <v>39395</v>
      </c>
      <c r="K13426" t="s">
        <v>40286</v>
      </c>
      <c r="M13426" t="s">
        <v>44579</v>
      </c>
      <c r="N13426" t="s">
        <v>44759</v>
      </c>
      <c r="O13426" t="s">
        <v>44760</v>
      </c>
      <c r="Q13426">
        <v>4</v>
      </c>
      <c r="R13426" t="s">
        <v>44780</v>
      </c>
      <c r="S13426" t="s">
        <v>44880</v>
      </c>
      <c r="T13426" t="s">
        <v>46399</v>
      </c>
      <c r="U13426" t="s">
        <v>57962</v>
      </c>
      <c r="W13426" t="s">
        <v>44579</v>
      </c>
      <c r="X13426" t="s">
        <v>44781</v>
      </c>
    </row>
    <row r="13427" spans="1:24">
      <c r="A13427">
        <f>HYPERLINK("https://www.philgeps.gov.ph/GEPSNONPILOT/Tender/SplashBidNoticeAbstractUI.aspx?menuIndex=3&amp;refID=7115835&amp;Result=3","7115835")</f>
        <v>0</v>
      </c>
      <c r="B13427" t="s">
        <v>3639</v>
      </c>
      <c r="C13427" t="s">
        <v>16551</v>
      </c>
      <c r="D13427" t="s">
        <v>17959</v>
      </c>
      <c r="E13427" t="s">
        <v>29645</v>
      </c>
      <c r="F13427" t="s">
        <v>30900</v>
      </c>
      <c r="G13427" t="s">
        <v>30907</v>
      </c>
      <c r="H13427" t="s">
        <v>30917</v>
      </c>
      <c r="I13427" t="s">
        <v>31036</v>
      </c>
      <c r="J13427" t="s">
        <v>31391</v>
      </c>
      <c r="K13427" t="s">
        <v>40294</v>
      </c>
      <c r="M13427" t="s">
        <v>44580</v>
      </c>
      <c r="N13427" t="s">
        <v>44759</v>
      </c>
      <c r="O13427" t="s">
        <v>44760</v>
      </c>
      <c r="P13427">
        <v>0</v>
      </c>
      <c r="Q13427">
        <v>7</v>
      </c>
      <c r="R13427" t="s">
        <v>44780</v>
      </c>
      <c r="S13427" t="s">
        <v>45683</v>
      </c>
      <c r="T13427" t="s">
        <v>46548</v>
      </c>
      <c r="U13427" t="s">
        <v>57963</v>
      </c>
      <c r="W13427" t="s">
        <v>44580</v>
      </c>
      <c r="X13427" t="s">
        <v>44781</v>
      </c>
    </row>
    <row r="13428" spans="1:24">
      <c r="A13428">
        <f>HYPERLINK("https://www.philgeps.gov.ph/GEPSNONPILOT/Tender/SplashBidNoticeAbstractUI.aspx?menuIndex=3&amp;refID=7115952&amp;Result=3","7115952")</f>
        <v>0</v>
      </c>
      <c r="B13428" t="s">
        <v>3640</v>
      </c>
      <c r="C13428" t="s">
        <v>16552</v>
      </c>
      <c r="D13428" t="s">
        <v>17980</v>
      </c>
      <c r="E13428" t="s">
        <v>29646</v>
      </c>
      <c r="F13428" t="s">
        <v>30900</v>
      </c>
      <c r="G13428" t="s">
        <v>30907</v>
      </c>
      <c r="H13428" t="s">
        <v>30916</v>
      </c>
      <c r="I13428" t="s">
        <v>30933</v>
      </c>
      <c r="J13428" t="s">
        <v>31241</v>
      </c>
      <c r="K13428" t="s">
        <v>40286</v>
      </c>
      <c r="M13428" t="s">
        <v>44581</v>
      </c>
      <c r="N13428" t="s">
        <v>44759</v>
      </c>
      <c r="O13428" t="s">
        <v>44760</v>
      </c>
      <c r="P13428">
        <v>0</v>
      </c>
      <c r="Q13428">
        <v>6</v>
      </c>
      <c r="R13428" t="s">
        <v>44780</v>
      </c>
      <c r="S13428" t="s">
        <v>45683</v>
      </c>
      <c r="T13428" t="s">
        <v>46352</v>
      </c>
      <c r="U13428" t="s">
        <v>57964</v>
      </c>
      <c r="W13428" t="s">
        <v>44581</v>
      </c>
      <c r="X13428" t="s">
        <v>44781</v>
      </c>
    </row>
    <row r="13429" spans="1:24">
      <c r="A13429">
        <f>HYPERLINK("https://www.philgeps.gov.ph/GEPSNONPILOT/Tender/SplashBidNoticeAbstractUI.aspx?menuIndex=3&amp;refID=7115680&amp;Result=3","7115680")</f>
        <v>0</v>
      </c>
      <c r="B13429" t="s">
        <v>3626</v>
      </c>
      <c r="C13429" t="s">
        <v>16553</v>
      </c>
      <c r="D13429" t="s">
        <v>17984</v>
      </c>
      <c r="E13429" t="s">
        <v>29647</v>
      </c>
      <c r="F13429" t="s">
        <v>30900</v>
      </c>
      <c r="G13429" t="s">
        <v>30907</v>
      </c>
      <c r="H13429" t="s">
        <v>30916</v>
      </c>
      <c r="I13429" t="s">
        <v>8123</v>
      </c>
      <c r="J13429" t="s">
        <v>39396</v>
      </c>
      <c r="K13429" t="s">
        <v>40283</v>
      </c>
      <c r="M13429" t="s">
        <v>44559</v>
      </c>
      <c r="N13429" t="s">
        <v>44759</v>
      </c>
      <c r="O13429" t="s">
        <v>44760</v>
      </c>
      <c r="P13429">
        <v>0</v>
      </c>
      <c r="Q13429">
        <v>1</v>
      </c>
      <c r="R13429" t="s">
        <v>44780</v>
      </c>
      <c r="S13429" t="s">
        <v>45683</v>
      </c>
      <c r="T13429" t="s">
        <v>46531</v>
      </c>
      <c r="U13429" t="s">
        <v>57965</v>
      </c>
      <c r="W13429" t="s">
        <v>44559</v>
      </c>
      <c r="X13429" t="s">
        <v>44781</v>
      </c>
    </row>
    <row r="13430" spans="1:24">
      <c r="A13430">
        <f>HYPERLINK("https://www.philgeps.gov.ph/GEPSNONPILOT/Tender/SplashBidNoticeAbstractUI.aspx?menuIndex=3&amp;refID=7115996&amp;Result=3","7115996")</f>
        <v>0</v>
      </c>
      <c r="B13430" t="s">
        <v>3628</v>
      </c>
      <c r="C13430" t="s">
        <v>16554</v>
      </c>
      <c r="D13430" t="s">
        <v>17991</v>
      </c>
      <c r="E13430" t="s">
        <v>29648</v>
      </c>
      <c r="F13430" t="s">
        <v>30901</v>
      </c>
      <c r="G13430" t="s">
        <v>30913</v>
      </c>
      <c r="H13430" t="s">
        <v>30916</v>
      </c>
      <c r="I13430" t="s">
        <v>30983</v>
      </c>
      <c r="J13430" t="s">
        <v>39397</v>
      </c>
      <c r="K13430" t="s">
        <v>40286</v>
      </c>
      <c r="M13430" t="s">
        <v>44561</v>
      </c>
      <c r="N13430" t="s">
        <v>44759</v>
      </c>
      <c r="O13430" t="s">
        <v>44760</v>
      </c>
      <c r="P13430">
        <v>0</v>
      </c>
      <c r="Q13430">
        <v>5</v>
      </c>
      <c r="R13430" t="s">
        <v>44780</v>
      </c>
      <c r="S13430" t="s">
        <v>45683</v>
      </c>
      <c r="T13430" t="s">
        <v>46454</v>
      </c>
      <c r="U13430" t="s">
        <v>57885</v>
      </c>
      <c r="V13430" t="s">
        <v>60643</v>
      </c>
      <c r="W13430" t="s">
        <v>44561</v>
      </c>
      <c r="X13430" t="s">
        <v>44781</v>
      </c>
    </row>
    <row r="13431" spans="1:24">
      <c r="A13431">
        <f>HYPERLINK("https://www.philgeps.gov.ph/GEPSNONPILOT/Tender/SplashBidNoticeAbstractUI.aspx?menuIndex=3&amp;refID=7116003&amp;Result=3","7116003")</f>
        <v>0</v>
      </c>
      <c r="B13431" t="s">
        <v>3628</v>
      </c>
      <c r="C13431" t="s">
        <v>16555</v>
      </c>
      <c r="D13431" t="s">
        <v>17991</v>
      </c>
      <c r="E13431" t="s">
        <v>29649</v>
      </c>
      <c r="F13431" t="s">
        <v>30901</v>
      </c>
      <c r="G13431" t="s">
        <v>30913</v>
      </c>
      <c r="H13431" t="s">
        <v>30916</v>
      </c>
      <c r="I13431" t="s">
        <v>30983</v>
      </c>
      <c r="J13431" t="s">
        <v>39398</v>
      </c>
      <c r="K13431" t="s">
        <v>40286</v>
      </c>
      <c r="M13431" t="s">
        <v>44561</v>
      </c>
      <c r="N13431" t="s">
        <v>44759</v>
      </c>
      <c r="O13431" t="s">
        <v>44760</v>
      </c>
      <c r="P13431">
        <v>0</v>
      </c>
      <c r="Q13431">
        <v>6</v>
      </c>
      <c r="R13431" t="s">
        <v>44780</v>
      </c>
      <c r="S13431" t="s">
        <v>45683</v>
      </c>
      <c r="T13431" t="s">
        <v>46454</v>
      </c>
      <c r="U13431" t="s">
        <v>57885</v>
      </c>
      <c r="V13431" t="s">
        <v>60635</v>
      </c>
      <c r="W13431" t="s">
        <v>44561</v>
      </c>
      <c r="X13431" t="s">
        <v>44781</v>
      </c>
    </row>
    <row r="13432" spans="1:24">
      <c r="A13432">
        <f>HYPERLINK("https://www.philgeps.gov.ph/GEPSNONPILOT/Tender/SplashBidNoticeAbstractUI.aspx?menuIndex=3&amp;refID=7115975&amp;Result=3","7115975")</f>
        <v>0</v>
      </c>
      <c r="B13432" t="s">
        <v>3628</v>
      </c>
      <c r="C13432" t="s">
        <v>16556</v>
      </c>
      <c r="D13432" t="s">
        <v>17991</v>
      </c>
      <c r="E13432" t="s">
        <v>29650</v>
      </c>
      <c r="F13432" t="s">
        <v>30901</v>
      </c>
      <c r="G13432" t="s">
        <v>30913</v>
      </c>
      <c r="H13432" t="s">
        <v>30916</v>
      </c>
      <c r="I13432" t="s">
        <v>30947</v>
      </c>
      <c r="J13432" t="s">
        <v>39399</v>
      </c>
      <c r="K13432" t="s">
        <v>40286</v>
      </c>
      <c r="M13432" t="s">
        <v>44561</v>
      </c>
      <c r="N13432" t="s">
        <v>44759</v>
      </c>
      <c r="O13432" t="s">
        <v>44760</v>
      </c>
      <c r="P13432">
        <v>0</v>
      </c>
      <c r="Q13432">
        <v>6</v>
      </c>
      <c r="R13432" t="s">
        <v>44780</v>
      </c>
      <c r="S13432" t="s">
        <v>45683</v>
      </c>
      <c r="T13432" t="s">
        <v>46454</v>
      </c>
      <c r="U13432" t="s">
        <v>57966</v>
      </c>
      <c r="V13432" t="s">
        <v>60635</v>
      </c>
      <c r="W13432" t="s">
        <v>44561</v>
      </c>
      <c r="X13432" t="s">
        <v>44781</v>
      </c>
    </row>
    <row r="13433" spans="1:24">
      <c r="A13433">
        <f>HYPERLINK("https://www.philgeps.gov.ph/GEPSNONPILOT/Tender/SplashBidNoticeAbstractUI.aspx?menuIndex=3&amp;refID=7115979&amp;Result=3","7115979")</f>
        <v>0</v>
      </c>
      <c r="B13433" t="s">
        <v>3628</v>
      </c>
      <c r="C13433" t="s">
        <v>16557</v>
      </c>
      <c r="D13433" t="s">
        <v>17991</v>
      </c>
      <c r="E13433" t="s">
        <v>29651</v>
      </c>
      <c r="F13433" t="s">
        <v>30901</v>
      </c>
      <c r="G13433" t="s">
        <v>30913</v>
      </c>
      <c r="H13433" t="s">
        <v>30916</v>
      </c>
      <c r="I13433" t="s">
        <v>30961</v>
      </c>
      <c r="J13433" t="s">
        <v>39400</v>
      </c>
      <c r="K13433" t="s">
        <v>40286</v>
      </c>
      <c r="M13433" t="s">
        <v>44561</v>
      </c>
      <c r="N13433" t="s">
        <v>44759</v>
      </c>
      <c r="O13433" t="s">
        <v>44760</v>
      </c>
      <c r="P13433">
        <v>0</v>
      </c>
      <c r="Q13433">
        <v>5</v>
      </c>
      <c r="R13433" t="s">
        <v>44780</v>
      </c>
      <c r="S13433" t="s">
        <v>45683</v>
      </c>
      <c r="T13433" t="s">
        <v>46454</v>
      </c>
      <c r="U13433" t="s">
        <v>57967</v>
      </c>
      <c r="V13433" t="s">
        <v>60631</v>
      </c>
      <c r="W13433" t="s">
        <v>44561</v>
      </c>
      <c r="X13433" t="s">
        <v>44781</v>
      </c>
    </row>
    <row r="13434" spans="1:24">
      <c r="A13434">
        <f>HYPERLINK("https://www.philgeps.gov.ph/GEPSNONPILOT/Tender/SplashBidNoticeAbstractUI.aspx?menuIndex=3&amp;refID=7115972&amp;Result=3","7115972")</f>
        <v>0</v>
      </c>
      <c r="B13434" t="s">
        <v>3641</v>
      </c>
      <c r="C13434" t="s">
        <v>16558</v>
      </c>
      <c r="D13434" t="s">
        <v>17963</v>
      </c>
      <c r="E13434" t="s">
        <v>29652</v>
      </c>
      <c r="F13434" t="s">
        <v>30900</v>
      </c>
      <c r="G13434" t="s">
        <v>30907</v>
      </c>
      <c r="H13434" t="s">
        <v>30916</v>
      </c>
      <c r="I13434" t="s">
        <v>30940</v>
      </c>
      <c r="J13434" t="s">
        <v>33735</v>
      </c>
      <c r="K13434" t="s">
        <v>40286</v>
      </c>
      <c r="M13434" t="s">
        <v>44582</v>
      </c>
      <c r="N13434" t="s">
        <v>44759</v>
      </c>
      <c r="O13434" t="s">
        <v>44760</v>
      </c>
      <c r="Q13434">
        <v>3</v>
      </c>
      <c r="R13434" t="s">
        <v>44780</v>
      </c>
      <c r="S13434" t="s">
        <v>45736</v>
      </c>
      <c r="T13434" t="s">
        <v>46456</v>
      </c>
      <c r="U13434" t="s">
        <v>57968</v>
      </c>
      <c r="W13434" t="s">
        <v>44582</v>
      </c>
      <c r="X13434" t="s">
        <v>44781</v>
      </c>
    </row>
    <row r="13435" spans="1:24">
      <c r="A13435">
        <f>HYPERLINK("https://www.philgeps.gov.ph/GEPSNONPILOT/Tender/SplashBidNoticeAbstractUI.aspx?menuIndex=3&amp;refID=7115962&amp;Result=3","7115962")</f>
        <v>0</v>
      </c>
      <c r="B13435" t="s">
        <v>3628</v>
      </c>
      <c r="C13435" t="s">
        <v>16559</v>
      </c>
      <c r="D13435" t="s">
        <v>17991</v>
      </c>
      <c r="E13435" t="s">
        <v>29653</v>
      </c>
      <c r="F13435" t="s">
        <v>30901</v>
      </c>
      <c r="G13435" t="s">
        <v>30913</v>
      </c>
      <c r="H13435" t="s">
        <v>30916</v>
      </c>
      <c r="I13435" t="s">
        <v>30924</v>
      </c>
      <c r="J13435" t="s">
        <v>35297</v>
      </c>
      <c r="K13435" t="s">
        <v>40286</v>
      </c>
      <c r="M13435" t="s">
        <v>44561</v>
      </c>
      <c r="N13435" t="s">
        <v>44759</v>
      </c>
      <c r="O13435" t="s">
        <v>44760</v>
      </c>
      <c r="P13435">
        <v>0</v>
      </c>
      <c r="Q13435">
        <v>6</v>
      </c>
      <c r="R13435" t="s">
        <v>44780</v>
      </c>
      <c r="S13435" t="s">
        <v>45683</v>
      </c>
      <c r="T13435" t="s">
        <v>46454</v>
      </c>
      <c r="U13435" t="s">
        <v>57969</v>
      </c>
      <c r="V13435" t="s">
        <v>60643</v>
      </c>
      <c r="W13435" t="s">
        <v>44561</v>
      </c>
      <c r="X13435" t="s">
        <v>44781</v>
      </c>
    </row>
    <row r="13436" spans="1:24">
      <c r="A13436">
        <f>HYPERLINK("https://www.philgeps.gov.ph/GEPSNONPILOT/Tender/SplashBidNoticeAbstractUI.aspx?menuIndex=3&amp;refID=7115531&amp;Result=3","7115531")</f>
        <v>0</v>
      </c>
      <c r="B13436" t="s">
        <v>3492</v>
      </c>
      <c r="C13436" t="s">
        <v>16529</v>
      </c>
      <c r="D13436" t="s">
        <v>17980</v>
      </c>
      <c r="E13436" t="s">
        <v>29654</v>
      </c>
      <c r="F13436" t="s">
        <v>30900</v>
      </c>
      <c r="G13436" t="s">
        <v>30907</v>
      </c>
      <c r="H13436" t="s">
        <v>30915</v>
      </c>
      <c r="I13436" t="s">
        <v>8123</v>
      </c>
      <c r="J13436" t="s">
        <v>39401</v>
      </c>
      <c r="K13436" t="s">
        <v>40284</v>
      </c>
      <c r="M13436" t="s">
        <v>44393</v>
      </c>
      <c r="N13436" t="s">
        <v>44759</v>
      </c>
      <c r="O13436" t="s">
        <v>44760</v>
      </c>
      <c r="P13436">
        <v>0</v>
      </c>
      <c r="Q13436">
        <v>2</v>
      </c>
      <c r="R13436" t="s">
        <v>44780</v>
      </c>
      <c r="S13436" t="s">
        <v>45683</v>
      </c>
      <c r="T13436" t="s">
        <v>46429</v>
      </c>
      <c r="U13436" t="s">
        <v>57970</v>
      </c>
      <c r="W13436" t="s">
        <v>44393</v>
      </c>
      <c r="X13436" t="s">
        <v>44781</v>
      </c>
    </row>
    <row r="13437" spans="1:24">
      <c r="A13437">
        <f>HYPERLINK("https://www.philgeps.gov.ph/GEPSNONPILOT/Tender/SplashBidNoticeAbstractUI.aspx?menuIndex=3&amp;refID=7115959&amp;Result=3","7115959")</f>
        <v>0</v>
      </c>
      <c r="B13437" t="s">
        <v>3642</v>
      </c>
      <c r="C13437" t="s">
        <v>16560</v>
      </c>
      <c r="D13437" t="s">
        <v>17985</v>
      </c>
      <c r="E13437" t="s">
        <v>29655</v>
      </c>
      <c r="F13437" t="s">
        <v>30900</v>
      </c>
      <c r="G13437" t="s">
        <v>30907</v>
      </c>
      <c r="H13437" t="s">
        <v>30917</v>
      </c>
      <c r="I13437" t="s">
        <v>10879</v>
      </c>
      <c r="J13437" t="s">
        <v>39402</v>
      </c>
      <c r="K13437" t="s">
        <v>40280</v>
      </c>
      <c r="M13437" t="s">
        <v>44583</v>
      </c>
      <c r="N13437" t="s">
        <v>44759</v>
      </c>
      <c r="O13437" t="s">
        <v>44760</v>
      </c>
      <c r="P13437">
        <v>0</v>
      </c>
      <c r="Q13437">
        <v>6</v>
      </c>
      <c r="R13437" t="s">
        <v>44780</v>
      </c>
      <c r="S13437" t="s">
        <v>45683</v>
      </c>
      <c r="T13437" t="s">
        <v>46410</v>
      </c>
      <c r="U13437" t="s">
        <v>57971</v>
      </c>
      <c r="W13437" t="s">
        <v>44583</v>
      </c>
      <c r="X13437" t="s">
        <v>44781</v>
      </c>
    </row>
    <row r="13438" spans="1:24">
      <c r="A13438">
        <f>HYPERLINK("https://www.philgeps.gov.ph/GEPSNONPILOT/Tender/SplashBidNoticeAbstractUI.aspx?menuIndex=3&amp;refID=7115956&amp;Result=3","7115956")</f>
        <v>0</v>
      </c>
      <c r="B13438" t="s">
        <v>3628</v>
      </c>
      <c r="C13438" t="s">
        <v>16561</v>
      </c>
      <c r="D13438" t="s">
        <v>17991</v>
      </c>
      <c r="E13438" t="s">
        <v>29656</v>
      </c>
      <c r="F13438" t="s">
        <v>30901</v>
      </c>
      <c r="G13438" t="s">
        <v>30913</v>
      </c>
      <c r="H13438" t="s">
        <v>30916</v>
      </c>
      <c r="I13438" t="s">
        <v>30933</v>
      </c>
      <c r="J13438" t="s">
        <v>31069</v>
      </c>
      <c r="K13438" t="s">
        <v>40293</v>
      </c>
      <c r="M13438" t="s">
        <v>44561</v>
      </c>
      <c r="N13438" t="s">
        <v>44759</v>
      </c>
      <c r="O13438" t="s">
        <v>44760</v>
      </c>
      <c r="P13438">
        <v>0</v>
      </c>
      <c r="Q13438">
        <v>2</v>
      </c>
      <c r="R13438" t="s">
        <v>44780</v>
      </c>
      <c r="S13438" t="s">
        <v>45683</v>
      </c>
      <c r="T13438" t="s">
        <v>46454</v>
      </c>
      <c r="U13438" t="s">
        <v>57967</v>
      </c>
      <c r="V13438" t="s">
        <v>60644</v>
      </c>
      <c r="W13438" t="s">
        <v>44561</v>
      </c>
      <c r="X13438" t="s">
        <v>44781</v>
      </c>
    </row>
    <row r="13439" spans="1:24">
      <c r="A13439">
        <f>HYPERLINK("https://www.philgeps.gov.ph/GEPSNONPILOT/Tender/SplashBidNoticeAbstractUI.aspx?menuIndex=3&amp;refID=7115935&amp;Result=3","7115935")</f>
        <v>0</v>
      </c>
      <c r="B13439" t="s">
        <v>3628</v>
      </c>
      <c r="C13439" t="s">
        <v>16562</v>
      </c>
      <c r="D13439" t="s">
        <v>17991</v>
      </c>
      <c r="E13439" t="s">
        <v>29588</v>
      </c>
      <c r="F13439" t="s">
        <v>30901</v>
      </c>
      <c r="G13439" t="s">
        <v>30913</v>
      </c>
      <c r="H13439" t="s">
        <v>30916</v>
      </c>
      <c r="I13439" t="s">
        <v>30933</v>
      </c>
      <c r="J13439" t="s">
        <v>31069</v>
      </c>
      <c r="K13439" t="s">
        <v>40293</v>
      </c>
      <c r="M13439" t="s">
        <v>44561</v>
      </c>
      <c r="N13439" t="s">
        <v>44759</v>
      </c>
      <c r="O13439" t="s">
        <v>44760</v>
      </c>
      <c r="P13439">
        <v>0</v>
      </c>
      <c r="Q13439">
        <v>6</v>
      </c>
      <c r="R13439" t="s">
        <v>44780</v>
      </c>
      <c r="S13439" t="s">
        <v>45683</v>
      </c>
      <c r="T13439" t="s">
        <v>46454</v>
      </c>
      <c r="U13439" t="s">
        <v>50171</v>
      </c>
      <c r="V13439" t="s">
        <v>60645</v>
      </c>
      <c r="W13439" t="s">
        <v>44561</v>
      </c>
      <c r="X13439" t="s">
        <v>44781</v>
      </c>
    </row>
    <row r="13440" spans="1:24">
      <c r="A13440">
        <f>HYPERLINK("https://www.philgeps.gov.ph/GEPSNONPILOT/Tender/SplashBidNoticeAbstractUI.aspx?menuIndex=3&amp;refID=7115920&amp;Result=3","7115920")</f>
        <v>0</v>
      </c>
      <c r="B13440" t="s">
        <v>3474</v>
      </c>
      <c r="C13440" t="s">
        <v>16563</v>
      </c>
      <c r="D13440" t="s">
        <v>17953</v>
      </c>
      <c r="E13440" t="s">
        <v>23582</v>
      </c>
      <c r="F13440" t="s">
        <v>30900</v>
      </c>
      <c r="G13440" t="s">
        <v>30907</v>
      </c>
      <c r="H13440" t="s">
        <v>30916</v>
      </c>
      <c r="I13440" t="s">
        <v>4142</v>
      </c>
      <c r="J13440" t="s">
        <v>39403</v>
      </c>
      <c r="K13440" t="s">
        <v>40281</v>
      </c>
      <c r="M13440" t="s">
        <v>44371</v>
      </c>
      <c r="N13440" t="s">
        <v>44759</v>
      </c>
      <c r="O13440" t="s">
        <v>44760</v>
      </c>
      <c r="P13440">
        <v>0</v>
      </c>
      <c r="Q13440">
        <v>3</v>
      </c>
      <c r="R13440" t="s">
        <v>44780</v>
      </c>
      <c r="S13440" t="s">
        <v>45683</v>
      </c>
      <c r="T13440" t="s">
        <v>46376</v>
      </c>
      <c r="U13440" t="s">
        <v>57972</v>
      </c>
      <c r="W13440" t="s">
        <v>44371</v>
      </c>
      <c r="X13440" t="s">
        <v>44781</v>
      </c>
    </row>
    <row r="13441" spans="1:24">
      <c r="A13441">
        <f>HYPERLINK("https://www.philgeps.gov.ph/GEPSNONPILOT/Tender/SplashBidNoticeAbstractUI.aspx?menuIndex=3&amp;refID=7115971&amp;Result=3","7115971")</f>
        <v>0</v>
      </c>
      <c r="B13441" t="s">
        <v>3628</v>
      </c>
      <c r="C13441" t="s">
        <v>16564</v>
      </c>
      <c r="D13441" t="s">
        <v>17991</v>
      </c>
      <c r="E13441" t="s">
        <v>29657</v>
      </c>
      <c r="F13441" t="s">
        <v>30901</v>
      </c>
      <c r="G13441" t="s">
        <v>30913</v>
      </c>
      <c r="H13441" t="s">
        <v>30916</v>
      </c>
      <c r="I13441" t="s">
        <v>4108</v>
      </c>
      <c r="J13441" t="s">
        <v>34835</v>
      </c>
      <c r="K13441" t="s">
        <v>40286</v>
      </c>
      <c r="M13441" t="s">
        <v>44561</v>
      </c>
      <c r="N13441" t="s">
        <v>44759</v>
      </c>
      <c r="O13441" t="s">
        <v>44760</v>
      </c>
      <c r="P13441">
        <v>0</v>
      </c>
      <c r="Q13441">
        <v>5</v>
      </c>
      <c r="R13441" t="s">
        <v>44780</v>
      </c>
      <c r="S13441" t="s">
        <v>45683</v>
      </c>
      <c r="T13441" t="s">
        <v>46454</v>
      </c>
      <c r="U13441" t="s">
        <v>50171</v>
      </c>
      <c r="V13441" t="s">
        <v>60635</v>
      </c>
      <c r="W13441" t="s">
        <v>44561</v>
      </c>
      <c r="X13441" t="s">
        <v>44781</v>
      </c>
    </row>
    <row r="13442" spans="1:24">
      <c r="A13442">
        <f>HYPERLINK("https://www.philgeps.gov.ph/GEPSNONPILOT/Tender/SplashBidNoticeAbstractUI.aspx?menuIndex=3&amp;refID=7116006&amp;Result=3","7116006")</f>
        <v>0</v>
      </c>
      <c r="B13442" t="s">
        <v>3642</v>
      </c>
      <c r="C13442" t="s">
        <v>16565</v>
      </c>
      <c r="D13442" t="s">
        <v>17985</v>
      </c>
      <c r="E13442" t="s">
        <v>29658</v>
      </c>
      <c r="F13442" t="s">
        <v>30900</v>
      </c>
      <c r="G13442" t="s">
        <v>30907</v>
      </c>
      <c r="H13442" t="s">
        <v>30917</v>
      </c>
      <c r="I13442" t="s">
        <v>30957</v>
      </c>
      <c r="J13442" t="s">
        <v>37407</v>
      </c>
      <c r="K13442" t="s">
        <v>40280</v>
      </c>
      <c r="M13442" t="s">
        <v>44583</v>
      </c>
      <c r="N13442" t="s">
        <v>44759</v>
      </c>
      <c r="O13442" t="s">
        <v>44760</v>
      </c>
      <c r="P13442">
        <v>0</v>
      </c>
      <c r="Q13442">
        <v>4</v>
      </c>
      <c r="R13442" t="s">
        <v>44780</v>
      </c>
      <c r="S13442" t="s">
        <v>45683</v>
      </c>
      <c r="T13442" t="s">
        <v>46410</v>
      </c>
      <c r="U13442" t="s">
        <v>57973</v>
      </c>
      <c r="W13442" t="s">
        <v>44583</v>
      </c>
      <c r="X13442" t="s">
        <v>44781</v>
      </c>
    </row>
    <row r="13443" spans="1:24">
      <c r="A13443">
        <f>HYPERLINK("https://www.philgeps.gov.ph/GEPSNONPILOT/Tender/SplashBidNoticeAbstractUI.aspx?menuIndex=3&amp;refID=7115948&amp;Result=3","7115948")</f>
        <v>0</v>
      </c>
      <c r="B13443" t="s">
        <v>3628</v>
      </c>
      <c r="C13443" t="s">
        <v>16566</v>
      </c>
      <c r="D13443" t="s">
        <v>17991</v>
      </c>
      <c r="E13443" t="s">
        <v>29659</v>
      </c>
      <c r="F13443" t="s">
        <v>30901</v>
      </c>
      <c r="G13443" t="s">
        <v>30913</v>
      </c>
      <c r="H13443" t="s">
        <v>30916</v>
      </c>
      <c r="I13443" t="s">
        <v>30933</v>
      </c>
      <c r="J13443" t="s">
        <v>31069</v>
      </c>
      <c r="K13443" t="s">
        <v>40293</v>
      </c>
      <c r="M13443" t="s">
        <v>44561</v>
      </c>
      <c r="N13443" t="s">
        <v>44759</v>
      </c>
      <c r="O13443" t="s">
        <v>44760</v>
      </c>
      <c r="P13443">
        <v>0</v>
      </c>
      <c r="Q13443">
        <v>5</v>
      </c>
      <c r="R13443" t="s">
        <v>44780</v>
      </c>
      <c r="S13443" t="s">
        <v>45683</v>
      </c>
      <c r="T13443" t="s">
        <v>46454</v>
      </c>
      <c r="U13443" t="s">
        <v>46999</v>
      </c>
      <c r="V13443" t="s">
        <v>60646</v>
      </c>
      <c r="W13443" t="s">
        <v>44561</v>
      </c>
      <c r="X13443" t="s">
        <v>44781</v>
      </c>
    </row>
    <row r="13444" spans="1:24">
      <c r="A13444">
        <f>HYPERLINK("https://www.philgeps.gov.ph/GEPSNONPILOT/Tender/SplashBidNoticeAbstractUI.aspx?menuIndex=3&amp;refID=7115990&amp;Result=3","7115990")</f>
        <v>0</v>
      </c>
      <c r="B13444" t="s">
        <v>3628</v>
      </c>
      <c r="C13444" t="s">
        <v>16567</v>
      </c>
      <c r="D13444" t="s">
        <v>17991</v>
      </c>
      <c r="E13444" t="s">
        <v>29660</v>
      </c>
      <c r="F13444" t="s">
        <v>30901</v>
      </c>
      <c r="G13444" t="s">
        <v>30913</v>
      </c>
      <c r="H13444" t="s">
        <v>30916</v>
      </c>
      <c r="I13444" t="s">
        <v>30983</v>
      </c>
      <c r="J13444" t="s">
        <v>39404</v>
      </c>
      <c r="K13444" t="s">
        <v>40286</v>
      </c>
      <c r="M13444" t="s">
        <v>44561</v>
      </c>
      <c r="N13444" t="s">
        <v>44759</v>
      </c>
      <c r="O13444" t="s">
        <v>44760</v>
      </c>
      <c r="P13444">
        <v>0</v>
      </c>
      <c r="Q13444">
        <v>7</v>
      </c>
      <c r="R13444" t="s">
        <v>44780</v>
      </c>
      <c r="S13444" t="s">
        <v>45683</v>
      </c>
      <c r="T13444" t="s">
        <v>46454</v>
      </c>
      <c r="U13444" t="s">
        <v>57885</v>
      </c>
      <c r="V13444" t="s">
        <v>60635</v>
      </c>
      <c r="W13444" t="s">
        <v>44561</v>
      </c>
      <c r="X13444" t="s">
        <v>44781</v>
      </c>
    </row>
    <row r="13445" spans="1:24">
      <c r="A13445">
        <f>HYPERLINK("https://www.philgeps.gov.ph/GEPSNONPILOT/Tender/SplashBidNoticeAbstractUI.aspx?menuIndex=3&amp;refID=7115923&amp;Result=3","7115923")</f>
        <v>0</v>
      </c>
      <c r="B13445" t="s">
        <v>177</v>
      </c>
      <c r="C13445" t="s">
        <v>16568</v>
      </c>
      <c r="D13445" t="s">
        <v>17999</v>
      </c>
      <c r="E13445" t="s">
        <v>29661</v>
      </c>
      <c r="F13445" t="s">
        <v>30900</v>
      </c>
      <c r="G13445" t="s">
        <v>30907</v>
      </c>
      <c r="H13445" t="s">
        <v>30916</v>
      </c>
      <c r="I13445" t="s">
        <v>30933</v>
      </c>
      <c r="J13445" t="s">
        <v>32125</v>
      </c>
      <c r="K13445" t="s">
        <v>40283</v>
      </c>
      <c r="M13445" t="s">
        <v>40724</v>
      </c>
      <c r="N13445" t="s">
        <v>44759</v>
      </c>
      <c r="O13445" t="s">
        <v>44760</v>
      </c>
      <c r="Q13445">
        <v>17</v>
      </c>
      <c r="R13445" t="s">
        <v>44780</v>
      </c>
      <c r="S13445" t="s">
        <v>45737</v>
      </c>
      <c r="T13445" t="s">
        <v>46751</v>
      </c>
      <c r="U13445" t="s">
        <v>55324</v>
      </c>
      <c r="W13445" t="s">
        <v>40724</v>
      </c>
      <c r="X13445" t="s">
        <v>44781</v>
      </c>
    </row>
    <row r="13446" spans="1:24">
      <c r="A13446">
        <f>HYPERLINK("https://www.philgeps.gov.ph/GEPSNONPILOT/Tender/SplashBidNoticeAbstractUI.aspx?menuIndex=3&amp;refID=7116131&amp;Result=3","7116131")</f>
        <v>0</v>
      </c>
      <c r="B13446" t="s">
        <v>577</v>
      </c>
      <c r="C13446" t="s">
        <v>16569</v>
      </c>
      <c r="D13446" t="s">
        <v>18029</v>
      </c>
      <c r="E13446" t="s">
        <v>29662</v>
      </c>
      <c r="F13446" t="s">
        <v>30900</v>
      </c>
      <c r="G13446" t="s">
        <v>30907</v>
      </c>
      <c r="H13446" t="s">
        <v>30915</v>
      </c>
      <c r="I13446" t="s">
        <v>30919</v>
      </c>
      <c r="J13446" t="s">
        <v>39405</v>
      </c>
      <c r="K13446" t="s">
        <v>40280</v>
      </c>
      <c r="M13446" t="s">
        <v>41138</v>
      </c>
      <c r="N13446" t="s">
        <v>44759</v>
      </c>
      <c r="O13446" t="s">
        <v>44760</v>
      </c>
      <c r="P13446">
        <v>0</v>
      </c>
      <c r="Q13446">
        <v>1</v>
      </c>
      <c r="R13446" t="s">
        <v>44780</v>
      </c>
      <c r="S13446" t="s">
        <v>45683</v>
      </c>
      <c r="T13446" t="s">
        <v>46658</v>
      </c>
      <c r="U13446" t="s">
        <v>57974</v>
      </c>
      <c r="V13446" t="s">
        <v>59253</v>
      </c>
      <c r="W13446" t="s">
        <v>41138</v>
      </c>
      <c r="X13446" t="s">
        <v>44781</v>
      </c>
    </row>
    <row r="13447" spans="1:24">
      <c r="A13447">
        <f>HYPERLINK("https://www.philgeps.gov.ph/GEPSNONPILOT/Tender/SplashBidNoticeAbstractUI.aspx?menuIndex=3&amp;refID=7116105&amp;Result=3","7116105")</f>
        <v>0</v>
      </c>
      <c r="B13447" t="s">
        <v>1099</v>
      </c>
      <c r="C13447" t="s">
        <v>16570</v>
      </c>
      <c r="D13447" t="s">
        <v>17985</v>
      </c>
      <c r="E13447" t="s">
        <v>29663</v>
      </c>
      <c r="F13447" t="s">
        <v>30900</v>
      </c>
      <c r="G13447" t="s">
        <v>30907</v>
      </c>
      <c r="H13447" t="s">
        <v>30916</v>
      </c>
      <c r="I13447" t="s">
        <v>6396</v>
      </c>
      <c r="J13447" t="s">
        <v>39406</v>
      </c>
      <c r="K13447" t="s">
        <v>40286</v>
      </c>
      <c r="M13447" t="s">
        <v>41699</v>
      </c>
      <c r="N13447" t="s">
        <v>44759</v>
      </c>
      <c r="O13447" t="s">
        <v>44760</v>
      </c>
      <c r="Q13447">
        <v>16</v>
      </c>
      <c r="R13447" t="s">
        <v>44780</v>
      </c>
      <c r="S13447" t="s">
        <v>45738</v>
      </c>
      <c r="T13447" t="s">
        <v>46658</v>
      </c>
      <c r="U13447" t="s">
        <v>49030</v>
      </c>
      <c r="W13447" t="s">
        <v>41699</v>
      </c>
      <c r="X13447" t="s">
        <v>44781</v>
      </c>
    </row>
    <row r="13448" spans="1:24">
      <c r="A13448">
        <f>HYPERLINK("https://www.philgeps.gov.ph/GEPSNONPILOT/Tender/SplashBidNoticeAbstractUI.aspx?menuIndex=3&amp;refID=7115485&amp;Result=3","7115485")</f>
        <v>0</v>
      </c>
      <c r="B13448" t="s">
        <v>3492</v>
      </c>
      <c r="C13448" t="s">
        <v>16529</v>
      </c>
      <c r="D13448" t="s">
        <v>17980</v>
      </c>
      <c r="E13448" t="s">
        <v>29664</v>
      </c>
      <c r="F13448" t="s">
        <v>30900</v>
      </c>
      <c r="G13448" t="s">
        <v>30907</v>
      </c>
      <c r="H13448" t="s">
        <v>30915</v>
      </c>
      <c r="I13448" t="s">
        <v>8123</v>
      </c>
      <c r="J13448" t="s">
        <v>39407</v>
      </c>
      <c r="K13448" t="s">
        <v>40284</v>
      </c>
      <c r="M13448" t="s">
        <v>44393</v>
      </c>
      <c r="N13448" t="s">
        <v>44759</v>
      </c>
      <c r="O13448" t="s">
        <v>44760</v>
      </c>
      <c r="P13448">
        <v>0</v>
      </c>
      <c r="Q13448">
        <v>1</v>
      </c>
      <c r="R13448" t="s">
        <v>44780</v>
      </c>
      <c r="S13448" t="s">
        <v>45683</v>
      </c>
      <c r="T13448" t="s">
        <v>46429</v>
      </c>
      <c r="U13448" t="s">
        <v>57975</v>
      </c>
      <c r="W13448" t="s">
        <v>44393</v>
      </c>
      <c r="X13448" t="s">
        <v>44781</v>
      </c>
    </row>
    <row r="13449" spans="1:24">
      <c r="A13449">
        <f>HYPERLINK("https://www.philgeps.gov.ph/GEPSNONPILOT/Tender/SplashBidNoticeAbstractUI.aspx?menuIndex=3&amp;refID=7116086&amp;Result=3","7116086")</f>
        <v>0</v>
      </c>
      <c r="B13449" t="s">
        <v>577</v>
      </c>
      <c r="C13449" t="s">
        <v>16571</v>
      </c>
      <c r="D13449" t="s">
        <v>18029</v>
      </c>
      <c r="E13449" t="s">
        <v>29665</v>
      </c>
      <c r="F13449" t="s">
        <v>30900</v>
      </c>
      <c r="G13449" t="s">
        <v>30907</v>
      </c>
      <c r="H13449" t="s">
        <v>30915</v>
      </c>
      <c r="I13449" t="s">
        <v>30919</v>
      </c>
      <c r="J13449" t="s">
        <v>39408</v>
      </c>
      <c r="K13449" t="s">
        <v>40304</v>
      </c>
      <c r="M13449" t="s">
        <v>41138</v>
      </c>
      <c r="N13449" t="s">
        <v>44759</v>
      </c>
      <c r="O13449" t="s">
        <v>44760</v>
      </c>
      <c r="P13449">
        <v>0</v>
      </c>
      <c r="Q13449">
        <v>1</v>
      </c>
      <c r="R13449" t="s">
        <v>44780</v>
      </c>
      <c r="S13449" t="s">
        <v>45683</v>
      </c>
      <c r="T13449" t="s">
        <v>46658</v>
      </c>
      <c r="U13449" t="s">
        <v>57976</v>
      </c>
      <c r="V13449" t="s">
        <v>59253</v>
      </c>
      <c r="W13449" t="s">
        <v>41138</v>
      </c>
      <c r="X13449" t="s">
        <v>44781</v>
      </c>
    </row>
    <row r="13450" spans="1:24">
      <c r="A13450">
        <f>HYPERLINK("https://www.philgeps.gov.ph/GEPSNONPILOT/Tender/SplashBidNoticeAbstractUI.aspx?menuIndex=3&amp;refID=7116074&amp;Result=3","7116074")</f>
        <v>0</v>
      </c>
      <c r="B13450" t="s">
        <v>3211</v>
      </c>
      <c r="C13450" t="s">
        <v>16572</v>
      </c>
      <c r="D13450" t="s">
        <v>18038</v>
      </c>
      <c r="E13450" t="s">
        <v>29666</v>
      </c>
      <c r="F13450" t="s">
        <v>30900</v>
      </c>
      <c r="G13450" t="s">
        <v>30907</v>
      </c>
      <c r="H13450" t="s">
        <v>30916</v>
      </c>
      <c r="I13450" t="s">
        <v>30933</v>
      </c>
      <c r="J13450" t="s">
        <v>32329</v>
      </c>
      <c r="K13450" t="s">
        <v>40280</v>
      </c>
      <c r="M13450" t="s">
        <v>44050</v>
      </c>
      <c r="N13450" t="s">
        <v>44759</v>
      </c>
      <c r="O13450" t="s">
        <v>44760</v>
      </c>
      <c r="Q13450">
        <v>6</v>
      </c>
      <c r="R13450" t="s">
        <v>44780</v>
      </c>
      <c r="S13450" t="s">
        <v>45739</v>
      </c>
      <c r="T13450" t="s">
        <v>46422</v>
      </c>
      <c r="U13450" t="s">
        <v>57977</v>
      </c>
      <c r="W13450" t="s">
        <v>44050</v>
      </c>
      <c r="X13450" t="s">
        <v>44781</v>
      </c>
    </row>
    <row r="13451" spans="1:24">
      <c r="A13451">
        <f>HYPERLINK("https://www.philgeps.gov.ph/GEPSNONPILOT/Tender/SplashBidNoticeAbstractUI.aspx?menuIndex=3&amp;refID=7115726&amp;Result=3","7115726")</f>
        <v>0</v>
      </c>
      <c r="B13451" t="s">
        <v>3626</v>
      </c>
      <c r="C13451" t="s">
        <v>16573</v>
      </c>
      <c r="D13451" t="s">
        <v>17984</v>
      </c>
      <c r="E13451" t="s">
        <v>29667</v>
      </c>
      <c r="F13451" t="s">
        <v>30900</v>
      </c>
      <c r="G13451" t="s">
        <v>30907</v>
      </c>
      <c r="H13451" t="s">
        <v>30916</v>
      </c>
      <c r="I13451" t="s">
        <v>30947</v>
      </c>
      <c r="J13451" t="s">
        <v>31243</v>
      </c>
      <c r="K13451" t="s">
        <v>40283</v>
      </c>
      <c r="M13451" t="s">
        <v>44559</v>
      </c>
      <c r="N13451" t="s">
        <v>44759</v>
      </c>
      <c r="O13451" t="s">
        <v>44760</v>
      </c>
      <c r="P13451">
        <v>0</v>
      </c>
      <c r="Q13451">
        <v>4</v>
      </c>
      <c r="R13451" t="s">
        <v>44780</v>
      </c>
      <c r="S13451" t="s">
        <v>45683</v>
      </c>
      <c r="T13451" t="s">
        <v>46374</v>
      </c>
      <c r="U13451" t="s">
        <v>57978</v>
      </c>
      <c r="W13451" t="s">
        <v>44559</v>
      </c>
      <c r="X13451" t="s">
        <v>44781</v>
      </c>
    </row>
    <row r="13452" spans="1:24">
      <c r="A13452">
        <f>HYPERLINK("https://www.philgeps.gov.ph/GEPSNONPILOT/Tender/SplashBidNoticeAbstractUI.aspx?menuIndex=3&amp;refID=7116051&amp;Result=3","7116051")</f>
        <v>0</v>
      </c>
      <c r="B13452" t="s">
        <v>3211</v>
      </c>
      <c r="C13452" t="s">
        <v>16574</v>
      </c>
      <c r="D13452" t="s">
        <v>18038</v>
      </c>
      <c r="E13452" t="s">
        <v>29668</v>
      </c>
      <c r="F13452" t="s">
        <v>30900</v>
      </c>
      <c r="G13452" t="s">
        <v>30907</v>
      </c>
      <c r="H13452" t="s">
        <v>30917</v>
      </c>
      <c r="I13452" t="s">
        <v>30942</v>
      </c>
      <c r="J13452" t="s">
        <v>39409</v>
      </c>
      <c r="K13452" t="s">
        <v>40434</v>
      </c>
      <c r="M13452" t="s">
        <v>44050</v>
      </c>
      <c r="N13452" t="s">
        <v>44759</v>
      </c>
      <c r="O13452" t="s">
        <v>44760</v>
      </c>
      <c r="P13452">
        <v>0</v>
      </c>
      <c r="Q13452">
        <v>3</v>
      </c>
      <c r="R13452" t="s">
        <v>44780</v>
      </c>
      <c r="S13452" t="s">
        <v>45683</v>
      </c>
      <c r="T13452" t="s">
        <v>46386</v>
      </c>
      <c r="U13452" t="s">
        <v>57979</v>
      </c>
      <c r="W13452" t="s">
        <v>44050</v>
      </c>
      <c r="X13452" t="s">
        <v>44781</v>
      </c>
    </row>
    <row r="13453" spans="1:24">
      <c r="A13453">
        <f>HYPERLINK("https://www.philgeps.gov.ph/GEPSNONPILOT/Tender/SplashBidNoticeAbstractUI.aspx?menuIndex=3&amp;refID=7116038&amp;Result=3","7116038")</f>
        <v>0</v>
      </c>
      <c r="B13453" t="s">
        <v>3211</v>
      </c>
      <c r="C13453" t="s">
        <v>16575</v>
      </c>
      <c r="D13453" t="s">
        <v>18038</v>
      </c>
      <c r="E13453" t="s">
        <v>29669</v>
      </c>
      <c r="F13453" t="s">
        <v>30900</v>
      </c>
      <c r="G13453" t="s">
        <v>30907</v>
      </c>
      <c r="H13453" t="s">
        <v>30917</v>
      </c>
      <c r="I13453" t="s">
        <v>30942</v>
      </c>
      <c r="J13453" t="s">
        <v>39410</v>
      </c>
      <c r="K13453" t="s">
        <v>40434</v>
      </c>
      <c r="M13453" t="s">
        <v>44050</v>
      </c>
      <c r="N13453" t="s">
        <v>44759</v>
      </c>
      <c r="O13453" t="s">
        <v>44760</v>
      </c>
      <c r="P13453">
        <v>0</v>
      </c>
      <c r="Q13453">
        <v>2</v>
      </c>
      <c r="R13453" t="s">
        <v>44780</v>
      </c>
      <c r="S13453" t="s">
        <v>45683</v>
      </c>
      <c r="T13453" t="s">
        <v>46386</v>
      </c>
      <c r="U13453" t="s">
        <v>57980</v>
      </c>
      <c r="W13453" t="s">
        <v>44050</v>
      </c>
      <c r="X13453" t="s">
        <v>44781</v>
      </c>
    </row>
    <row r="13454" spans="1:24">
      <c r="A13454">
        <f>HYPERLINK("https://www.philgeps.gov.ph/GEPSNONPILOT/Tender/SplashBidNoticeAbstractUI.aspx?menuIndex=3&amp;refID=7116113&amp;Result=3","7116113")</f>
        <v>0</v>
      </c>
      <c r="B13454" t="s">
        <v>577</v>
      </c>
      <c r="C13454" t="s">
        <v>16576</v>
      </c>
      <c r="D13454" t="s">
        <v>18029</v>
      </c>
      <c r="E13454" t="s">
        <v>29670</v>
      </c>
      <c r="F13454" t="s">
        <v>30900</v>
      </c>
      <c r="G13454" t="s">
        <v>30907</v>
      </c>
      <c r="H13454" t="s">
        <v>30915</v>
      </c>
      <c r="I13454" t="s">
        <v>30919</v>
      </c>
      <c r="J13454" t="s">
        <v>39411</v>
      </c>
      <c r="K13454" t="s">
        <v>40546</v>
      </c>
      <c r="M13454" t="s">
        <v>41138</v>
      </c>
      <c r="N13454" t="s">
        <v>44759</v>
      </c>
      <c r="O13454" t="s">
        <v>44760</v>
      </c>
      <c r="P13454">
        <v>0</v>
      </c>
      <c r="Q13454">
        <v>1</v>
      </c>
      <c r="R13454" t="s">
        <v>44780</v>
      </c>
      <c r="S13454" t="s">
        <v>45683</v>
      </c>
      <c r="T13454" t="s">
        <v>46658</v>
      </c>
      <c r="U13454" t="s">
        <v>57981</v>
      </c>
      <c r="V13454" t="s">
        <v>59253</v>
      </c>
      <c r="W13454" t="s">
        <v>41138</v>
      </c>
      <c r="X13454" t="s">
        <v>44781</v>
      </c>
    </row>
    <row r="13455" spans="1:24">
      <c r="A13455">
        <f>HYPERLINK("https://www.philgeps.gov.ph/GEPSNONPILOT/Tender/SplashBidNoticeAbstractUI.aspx?menuIndex=3&amp;refID=7116046&amp;Result=3","7116046")</f>
        <v>0</v>
      </c>
      <c r="B13455" t="s">
        <v>3211</v>
      </c>
      <c r="C13455" t="s">
        <v>16577</v>
      </c>
      <c r="D13455" t="s">
        <v>18038</v>
      </c>
      <c r="E13455" t="s">
        <v>29671</v>
      </c>
      <c r="F13455" t="s">
        <v>30900</v>
      </c>
      <c r="G13455" t="s">
        <v>30907</v>
      </c>
      <c r="H13455" t="s">
        <v>30917</v>
      </c>
      <c r="I13455" t="s">
        <v>30942</v>
      </c>
      <c r="J13455" t="s">
        <v>39412</v>
      </c>
      <c r="K13455" t="s">
        <v>40434</v>
      </c>
      <c r="M13455" t="s">
        <v>44050</v>
      </c>
      <c r="N13455" t="s">
        <v>44759</v>
      </c>
      <c r="O13455" t="s">
        <v>44760</v>
      </c>
      <c r="P13455">
        <v>0</v>
      </c>
      <c r="Q13455">
        <v>3</v>
      </c>
      <c r="R13455" t="s">
        <v>44780</v>
      </c>
      <c r="S13455" t="s">
        <v>45683</v>
      </c>
      <c r="T13455" t="s">
        <v>46386</v>
      </c>
      <c r="U13455" t="s">
        <v>57982</v>
      </c>
      <c r="W13455" t="s">
        <v>44050</v>
      </c>
      <c r="X13455" t="s">
        <v>44781</v>
      </c>
    </row>
    <row r="13456" spans="1:24">
      <c r="A13456">
        <f>HYPERLINK("https://www.philgeps.gov.ph/GEPSNONPILOT/Tender/SplashBidNoticeAbstractUI.aspx?menuIndex=3&amp;refID=7116035&amp;Result=3","7116035")</f>
        <v>0</v>
      </c>
      <c r="B13456" t="s">
        <v>3643</v>
      </c>
      <c r="C13456" t="s">
        <v>16578</v>
      </c>
      <c r="D13456" t="s">
        <v>17954</v>
      </c>
      <c r="E13456" t="s">
        <v>29672</v>
      </c>
      <c r="F13456" t="s">
        <v>30900</v>
      </c>
      <c r="G13456" t="s">
        <v>30908</v>
      </c>
      <c r="H13456" t="s">
        <v>30916</v>
      </c>
      <c r="I13456" t="s">
        <v>30924</v>
      </c>
      <c r="J13456" t="s">
        <v>39413</v>
      </c>
      <c r="K13456" t="s">
        <v>40286</v>
      </c>
      <c r="M13456" t="s">
        <v>44584</v>
      </c>
      <c r="N13456" t="s">
        <v>44759</v>
      </c>
      <c r="O13456" t="s">
        <v>44760</v>
      </c>
      <c r="Q13456">
        <v>1</v>
      </c>
      <c r="R13456" t="s">
        <v>44780</v>
      </c>
      <c r="S13456" t="s">
        <v>45740</v>
      </c>
      <c r="T13456" t="s">
        <v>46581</v>
      </c>
      <c r="U13456" t="s">
        <v>57983</v>
      </c>
      <c r="W13456" t="s">
        <v>44584</v>
      </c>
      <c r="X13456" t="s">
        <v>44781</v>
      </c>
    </row>
    <row r="13457" spans="1:24">
      <c r="A13457">
        <f>HYPERLINK("https://www.philgeps.gov.ph/GEPSNONPILOT/Tender/SplashBidNoticeAbstractUI.aspx?menuIndex=3&amp;refID=7116057&amp;Result=3","7116057")</f>
        <v>0</v>
      </c>
      <c r="B13457" t="s">
        <v>3211</v>
      </c>
      <c r="C13457" t="s">
        <v>16579</v>
      </c>
      <c r="D13457" t="s">
        <v>18038</v>
      </c>
      <c r="E13457" t="s">
        <v>29673</v>
      </c>
      <c r="F13457" t="s">
        <v>30900</v>
      </c>
      <c r="G13457" t="s">
        <v>30907</v>
      </c>
      <c r="H13457" t="s">
        <v>30917</v>
      </c>
      <c r="I13457" t="s">
        <v>30942</v>
      </c>
      <c r="J13457" t="s">
        <v>39414</v>
      </c>
      <c r="K13457" t="s">
        <v>40434</v>
      </c>
      <c r="M13457" t="s">
        <v>44050</v>
      </c>
      <c r="N13457" t="s">
        <v>44759</v>
      </c>
      <c r="O13457" t="s">
        <v>44760</v>
      </c>
      <c r="P13457">
        <v>0</v>
      </c>
      <c r="Q13457">
        <v>6</v>
      </c>
      <c r="R13457" t="s">
        <v>44780</v>
      </c>
      <c r="S13457" t="s">
        <v>45683</v>
      </c>
      <c r="T13457" t="s">
        <v>46386</v>
      </c>
      <c r="U13457" t="s">
        <v>57984</v>
      </c>
      <c r="W13457" t="s">
        <v>44050</v>
      </c>
      <c r="X13457" t="s">
        <v>44781</v>
      </c>
    </row>
    <row r="13458" spans="1:24">
      <c r="A13458">
        <f>HYPERLINK("https://www.philgeps.gov.ph/GEPSNONPILOT/Tender/SplashBidNoticeAbstractUI.aspx?menuIndex=3&amp;refID=7116020&amp;Result=3","7116020")</f>
        <v>0</v>
      </c>
      <c r="B13458" t="s">
        <v>3211</v>
      </c>
      <c r="C13458" t="s">
        <v>16580</v>
      </c>
      <c r="D13458" t="s">
        <v>18038</v>
      </c>
      <c r="E13458" t="s">
        <v>29674</v>
      </c>
      <c r="F13458" t="s">
        <v>30900</v>
      </c>
      <c r="G13458" t="s">
        <v>30907</v>
      </c>
      <c r="H13458" t="s">
        <v>30917</v>
      </c>
      <c r="I13458" t="s">
        <v>30942</v>
      </c>
      <c r="J13458" t="s">
        <v>39415</v>
      </c>
      <c r="K13458" t="s">
        <v>40434</v>
      </c>
      <c r="M13458" t="s">
        <v>44050</v>
      </c>
      <c r="N13458" t="s">
        <v>44759</v>
      </c>
      <c r="O13458" t="s">
        <v>44760</v>
      </c>
      <c r="P13458">
        <v>0</v>
      </c>
      <c r="Q13458">
        <v>5</v>
      </c>
      <c r="R13458" t="s">
        <v>44780</v>
      </c>
      <c r="S13458" t="s">
        <v>45683</v>
      </c>
      <c r="T13458" t="s">
        <v>46386</v>
      </c>
      <c r="U13458" t="s">
        <v>57985</v>
      </c>
      <c r="W13458" t="s">
        <v>44050</v>
      </c>
      <c r="X13458" t="s">
        <v>44781</v>
      </c>
    </row>
    <row r="13459" spans="1:24">
      <c r="A13459">
        <f>HYPERLINK("https://www.philgeps.gov.ph/GEPSNONPILOT/Tender/SplashBidNoticeAbstractUI.aspx?menuIndex=3&amp;refID=7116054&amp;Result=3","7116054")</f>
        <v>0</v>
      </c>
      <c r="B13459" t="s">
        <v>3644</v>
      </c>
      <c r="C13459" t="s">
        <v>16581</v>
      </c>
      <c r="D13459" t="s">
        <v>18034</v>
      </c>
      <c r="E13459" t="s">
        <v>18066</v>
      </c>
      <c r="F13459" t="s">
        <v>30900</v>
      </c>
      <c r="G13459" t="s">
        <v>30907</v>
      </c>
      <c r="H13459" t="s">
        <v>30915</v>
      </c>
      <c r="I13459" t="s">
        <v>30919</v>
      </c>
      <c r="J13459" t="s">
        <v>39416</v>
      </c>
      <c r="K13459" t="s">
        <v>40304</v>
      </c>
      <c r="M13459" t="s">
        <v>44585</v>
      </c>
      <c r="N13459" t="s">
        <v>44759</v>
      </c>
      <c r="O13459" t="s">
        <v>44760</v>
      </c>
      <c r="Q13459">
        <v>1</v>
      </c>
      <c r="R13459" t="s">
        <v>44780</v>
      </c>
      <c r="S13459" t="s">
        <v>45741</v>
      </c>
      <c r="T13459" t="s">
        <v>46414</v>
      </c>
      <c r="U13459" t="s">
        <v>57986</v>
      </c>
      <c r="V13459" t="s">
        <v>60647</v>
      </c>
      <c r="W13459" t="s">
        <v>44585</v>
      </c>
      <c r="X13459" t="s">
        <v>44781</v>
      </c>
    </row>
    <row r="13460" spans="1:24">
      <c r="A13460">
        <f>HYPERLINK("https://www.philgeps.gov.ph/GEPSNONPILOT/Tender/SplashBidNoticeAbstractUI.aspx?menuIndex=3&amp;refID=7116013&amp;Result=3","7116013")</f>
        <v>0</v>
      </c>
      <c r="B13460" t="s">
        <v>3628</v>
      </c>
      <c r="C13460" t="s">
        <v>16582</v>
      </c>
      <c r="D13460" t="s">
        <v>17991</v>
      </c>
      <c r="E13460" t="s">
        <v>29675</v>
      </c>
      <c r="F13460" t="s">
        <v>30901</v>
      </c>
      <c r="G13460" t="s">
        <v>30913</v>
      </c>
      <c r="H13460" t="s">
        <v>30916</v>
      </c>
      <c r="I13460" t="s">
        <v>30983</v>
      </c>
      <c r="J13460" t="s">
        <v>39417</v>
      </c>
      <c r="K13460" t="s">
        <v>40286</v>
      </c>
      <c r="M13460" t="s">
        <v>44561</v>
      </c>
      <c r="N13460" t="s">
        <v>44759</v>
      </c>
      <c r="O13460" t="s">
        <v>44760</v>
      </c>
      <c r="P13460">
        <v>0</v>
      </c>
      <c r="Q13460">
        <v>4</v>
      </c>
      <c r="R13460" t="s">
        <v>44780</v>
      </c>
      <c r="S13460" t="s">
        <v>45683</v>
      </c>
      <c r="T13460" t="s">
        <v>46454</v>
      </c>
      <c r="U13460" t="s">
        <v>57885</v>
      </c>
      <c r="V13460" t="s">
        <v>60635</v>
      </c>
      <c r="W13460" t="s">
        <v>44561</v>
      </c>
      <c r="X13460" t="s">
        <v>44781</v>
      </c>
    </row>
    <row r="13461" spans="1:24">
      <c r="A13461">
        <f>HYPERLINK("https://www.philgeps.gov.ph/GEPSNONPILOT/Tender/SplashBidNoticeAbstractUI.aspx?menuIndex=3&amp;refID=7116015&amp;Result=3","7116015")</f>
        <v>0</v>
      </c>
      <c r="B13461" t="s">
        <v>2922</v>
      </c>
      <c r="C13461" t="s">
        <v>16583</v>
      </c>
      <c r="D13461" t="s">
        <v>17999</v>
      </c>
      <c r="E13461" t="s">
        <v>29676</v>
      </c>
      <c r="F13461" t="s">
        <v>30900</v>
      </c>
      <c r="G13461" t="s">
        <v>30907</v>
      </c>
      <c r="H13461" t="s">
        <v>30916</v>
      </c>
      <c r="I13461" t="s">
        <v>4142</v>
      </c>
      <c r="J13461" t="s">
        <v>39418</v>
      </c>
      <c r="K13461" t="s">
        <v>40283</v>
      </c>
      <c r="M13461" t="s">
        <v>43717</v>
      </c>
      <c r="N13461" t="s">
        <v>44759</v>
      </c>
      <c r="O13461" t="s">
        <v>44760</v>
      </c>
      <c r="P13461">
        <v>0</v>
      </c>
      <c r="Q13461">
        <v>0</v>
      </c>
      <c r="R13461" t="s">
        <v>44780</v>
      </c>
      <c r="S13461" t="s">
        <v>45683</v>
      </c>
      <c r="T13461" t="s">
        <v>46625</v>
      </c>
      <c r="U13461" t="s">
        <v>57987</v>
      </c>
      <c r="W13461" t="s">
        <v>43717</v>
      </c>
      <c r="X13461" t="s">
        <v>44781</v>
      </c>
    </row>
    <row r="13462" spans="1:24">
      <c r="A13462">
        <f>HYPERLINK("https://www.philgeps.gov.ph/GEPSNONPILOT/Tender/SplashBidNoticeAbstractUI.aspx?menuIndex=3&amp;refID=7115905&amp;Result=3","7115905")</f>
        <v>0</v>
      </c>
      <c r="B13462" t="s">
        <v>3588</v>
      </c>
      <c r="C13462" t="s">
        <v>16584</v>
      </c>
      <c r="D13462" t="s">
        <v>17978</v>
      </c>
      <c r="E13462" t="s">
        <v>18066</v>
      </c>
      <c r="F13462" t="s">
        <v>30900</v>
      </c>
      <c r="G13462" t="s">
        <v>30907</v>
      </c>
      <c r="H13462" t="s">
        <v>30915</v>
      </c>
      <c r="I13462" t="s">
        <v>30919</v>
      </c>
      <c r="J13462" t="s">
        <v>39419</v>
      </c>
      <c r="K13462" t="s">
        <v>40288</v>
      </c>
      <c r="M13462" t="s">
        <v>44514</v>
      </c>
      <c r="N13462" t="s">
        <v>44759</v>
      </c>
      <c r="O13462" t="s">
        <v>44760</v>
      </c>
      <c r="P13462">
        <v>0</v>
      </c>
      <c r="Q13462">
        <v>0</v>
      </c>
      <c r="R13462" t="s">
        <v>44780</v>
      </c>
      <c r="S13462" t="s">
        <v>45683</v>
      </c>
      <c r="T13462" t="s">
        <v>46412</v>
      </c>
      <c r="U13462" t="s">
        <v>57988</v>
      </c>
      <c r="W13462" t="s">
        <v>44514</v>
      </c>
      <c r="X13462" t="s">
        <v>44781</v>
      </c>
    </row>
    <row r="13463" spans="1:24">
      <c r="A13463">
        <f>HYPERLINK("https://www.philgeps.gov.ph/GEPSNONPILOT/Tender/SplashBidNoticeAbstractUI.aspx?menuIndex=3&amp;refID=7115899&amp;Result=3","7115899")</f>
        <v>0</v>
      </c>
      <c r="B13463" t="s">
        <v>627</v>
      </c>
      <c r="C13463" t="s">
        <v>16585</v>
      </c>
      <c r="D13463" t="s">
        <v>17952</v>
      </c>
      <c r="E13463" t="s">
        <v>29677</v>
      </c>
      <c r="F13463" t="s">
        <v>30900</v>
      </c>
      <c r="G13463" t="s">
        <v>30907</v>
      </c>
      <c r="H13463" t="s">
        <v>30915</v>
      </c>
      <c r="I13463" t="s">
        <v>30919</v>
      </c>
      <c r="J13463" t="s">
        <v>32276</v>
      </c>
      <c r="K13463" t="s">
        <v>40377</v>
      </c>
      <c r="M13463" t="s">
        <v>41189</v>
      </c>
      <c r="N13463" t="s">
        <v>44759</v>
      </c>
      <c r="O13463" t="s">
        <v>44760</v>
      </c>
      <c r="P13463">
        <v>0</v>
      </c>
      <c r="Q13463">
        <v>4</v>
      </c>
      <c r="R13463" t="s">
        <v>44780</v>
      </c>
      <c r="S13463" t="s">
        <v>45683</v>
      </c>
      <c r="T13463" t="s">
        <v>46625</v>
      </c>
      <c r="U13463" t="s">
        <v>56873</v>
      </c>
      <c r="V13463" t="s">
        <v>60648</v>
      </c>
      <c r="W13463" t="s">
        <v>41189</v>
      </c>
      <c r="X13463" t="s">
        <v>44781</v>
      </c>
    </row>
    <row r="13464" spans="1:24">
      <c r="A13464">
        <f>HYPERLINK("https://www.philgeps.gov.ph/GEPSNONPILOT/Tender/SplashBidNoticeAbstractUI.aspx?menuIndex=3&amp;refID=7115889&amp;Result=3","7115889")</f>
        <v>0</v>
      </c>
      <c r="B13464" t="s">
        <v>3626</v>
      </c>
      <c r="C13464" t="s">
        <v>16586</v>
      </c>
      <c r="D13464" t="s">
        <v>17984</v>
      </c>
      <c r="E13464" t="s">
        <v>29678</v>
      </c>
      <c r="F13464" t="s">
        <v>30900</v>
      </c>
      <c r="G13464" t="s">
        <v>30907</v>
      </c>
      <c r="H13464" t="s">
        <v>30916</v>
      </c>
      <c r="I13464" t="s">
        <v>30939</v>
      </c>
      <c r="J13464" t="s">
        <v>31096</v>
      </c>
      <c r="K13464" t="s">
        <v>40283</v>
      </c>
      <c r="M13464" t="s">
        <v>44559</v>
      </c>
      <c r="N13464" t="s">
        <v>44759</v>
      </c>
      <c r="O13464" t="s">
        <v>44760</v>
      </c>
      <c r="P13464">
        <v>0</v>
      </c>
      <c r="Q13464">
        <v>1</v>
      </c>
      <c r="R13464" t="s">
        <v>44780</v>
      </c>
      <c r="S13464" t="s">
        <v>45683</v>
      </c>
      <c r="T13464" t="s">
        <v>46531</v>
      </c>
      <c r="U13464" t="s">
        <v>57989</v>
      </c>
      <c r="W13464" t="s">
        <v>44559</v>
      </c>
      <c r="X13464" t="s">
        <v>44781</v>
      </c>
    </row>
    <row r="13465" spans="1:24">
      <c r="A13465">
        <f>HYPERLINK("https://www.philgeps.gov.ph/GEPSNONPILOT/Tender/SplashBidNoticeAbstractUI.aspx?menuIndex=3&amp;refID=7116007&amp;Result=3","7116007")</f>
        <v>0</v>
      </c>
      <c r="B13465" t="s">
        <v>3628</v>
      </c>
      <c r="C13465" t="s">
        <v>16587</v>
      </c>
      <c r="D13465" t="s">
        <v>17991</v>
      </c>
      <c r="E13465" t="s">
        <v>29679</v>
      </c>
      <c r="F13465" t="s">
        <v>30901</v>
      </c>
      <c r="G13465" t="s">
        <v>30913</v>
      </c>
      <c r="H13465" t="s">
        <v>30916</v>
      </c>
      <c r="I13465" t="s">
        <v>30983</v>
      </c>
      <c r="J13465" t="s">
        <v>39420</v>
      </c>
      <c r="K13465" t="s">
        <v>40286</v>
      </c>
      <c r="M13465" t="s">
        <v>44561</v>
      </c>
      <c r="N13465" t="s">
        <v>44759</v>
      </c>
      <c r="O13465" t="s">
        <v>44760</v>
      </c>
      <c r="P13465">
        <v>0</v>
      </c>
      <c r="Q13465">
        <v>2</v>
      </c>
      <c r="R13465" t="s">
        <v>44780</v>
      </c>
      <c r="S13465" t="s">
        <v>45683</v>
      </c>
      <c r="T13465" t="s">
        <v>46454</v>
      </c>
      <c r="U13465" t="s">
        <v>57967</v>
      </c>
      <c r="V13465" t="s">
        <v>60631</v>
      </c>
      <c r="W13465" t="s">
        <v>44561</v>
      </c>
      <c r="X13465" t="s">
        <v>44781</v>
      </c>
    </row>
    <row r="13466" spans="1:24">
      <c r="A13466">
        <f>HYPERLINK("https://www.philgeps.gov.ph/GEPSNONPILOT/Tender/SplashBidNoticeAbstractUI.aspx?menuIndex=3&amp;refID=7116253&amp;Result=3","7116253")</f>
        <v>0</v>
      </c>
      <c r="B13466" t="s">
        <v>1119</v>
      </c>
      <c r="C13466" t="s">
        <v>16588</v>
      </c>
      <c r="D13466" t="s">
        <v>18038</v>
      </c>
      <c r="E13466" t="s">
        <v>29680</v>
      </c>
      <c r="F13466" t="s">
        <v>30900</v>
      </c>
      <c r="G13466" t="s">
        <v>30907</v>
      </c>
      <c r="H13466" t="s">
        <v>30916</v>
      </c>
      <c r="I13466" t="s">
        <v>7708</v>
      </c>
      <c r="J13466" t="s">
        <v>39421</v>
      </c>
      <c r="K13466" t="s">
        <v>40280</v>
      </c>
      <c r="M13466" t="s">
        <v>42602</v>
      </c>
      <c r="N13466" t="s">
        <v>44759</v>
      </c>
      <c r="O13466" t="s">
        <v>44760</v>
      </c>
      <c r="Q13466">
        <v>7</v>
      </c>
      <c r="R13466" t="s">
        <v>44780</v>
      </c>
      <c r="S13466" t="s">
        <v>45742</v>
      </c>
      <c r="T13466" t="s">
        <v>46760</v>
      </c>
      <c r="U13466" t="s">
        <v>57990</v>
      </c>
      <c r="V13466" t="s">
        <v>60649</v>
      </c>
      <c r="W13466" t="s">
        <v>42602</v>
      </c>
      <c r="X13466" t="s">
        <v>44781</v>
      </c>
    </row>
    <row r="13467" spans="1:24">
      <c r="A13467">
        <f>HYPERLINK("https://www.philgeps.gov.ph/GEPSNONPILOT/Tender/SplashBidNoticeAbstractUI.aspx?menuIndex=3&amp;refID=7116109&amp;Result=3","7116109")</f>
        <v>0</v>
      </c>
      <c r="B13467" t="s">
        <v>622</v>
      </c>
      <c r="C13467" t="s">
        <v>16589</v>
      </c>
      <c r="D13467" t="s">
        <v>17969</v>
      </c>
      <c r="E13467" t="s">
        <v>29681</v>
      </c>
      <c r="F13467" t="s">
        <v>30900</v>
      </c>
      <c r="G13467" t="s">
        <v>30907</v>
      </c>
      <c r="H13467" t="s">
        <v>30916</v>
      </c>
      <c r="I13467" t="s">
        <v>8123</v>
      </c>
      <c r="J13467" t="s">
        <v>39422</v>
      </c>
      <c r="K13467" t="s">
        <v>40293</v>
      </c>
      <c r="M13467" t="s">
        <v>41184</v>
      </c>
      <c r="N13467" t="s">
        <v>44759</v>
      </c>
      <c r="O13467" t="s">
        <v>44760</v>
      </c>
      <c r="P13467">
        <v>0</v>
      </c>
      <c r="Q13467">
        <v>3</v>
      </c>
      <c r="R13467" t="s">
        <v>44780</v>
      </c>
      <c r="S13467" t="s">
        <v>45683</v>
      </c>
      <c r="T13467" t="s">
        <v>46763</v>
      </c>
      <c r="U13467" t="s">
        <v>57991</v>
      </c>
      <c r="W13467" t="s">
        <v>41184</v>
      </c>
      <c r="X13467" t="s">
        <v>44781</v>
      </c>
    </row>
    <row r="13468" spans="1:24">
      <c r="A13468">
        <f>HYPERLINK("https://www.philgeps.gov.ph/GEPSNONPILOT/Tender/SplashBidNoticeAbstractUI.aspx?menuIndex=3&amp;refID=7116260&amp;Result=3","7116260")</f>
        <v>0</v>
      </c>
      <c r="B13468" t="s">
        <v>1119</v>
      </c>
      <c r="C13468" t="s">
        <v>16590</v>
      </c>
      <c r="D13468" t="s">
        <v>18038</v>
      </c>
      <c r="E13468" t="s">
        <v>29682</v>
      </c>
      <c r="F13468" t="s">
        <v>30900</v>
      </c>
      <c r="G13468" t="s">
        <v>30907</v>
      </c>
      <c r="H13468" t="s">
        <v>30916</v>
      </c>
      <c r="I13468" t="s">
        <v>7708</v>
      </c>
      <c r="J13468" t="s">
        <v>39423</v>
      </c>
      <c r="K13468" t="s">
        <v>40280</v>
      </c>
      <c r="M13468" t="s">
        <v>42602</v>
      </c>
      <c r="N13468" t="s">
        <v>44759</v>
      </c>
      <c r="O13468" t="s">
        <v>44760</v>
      </c>
      <c r="Q13468">
        <v>7</v>
      </c>
      <c r="R13468" t="s">
        <v>44780</v>
      </c>
      <c r="S13468" t="s">
        <v>45743</v>
      </c>
      <c r="T13468" t="s">
        <v>46760</v>
      </c>
      <c r="U13468" t="s">
        <v>57990</v>
      </c>
      <c r="V13468" t="s">
        <v>60649</v>
      </c>
      <c r="W13468" t="s">
        <v>42602</v>
      </c>
      <c r="X13468" t="s">
        <v>44781</v>
      </c>
    </row>
    <row r="13469" spans="1:24">
      <c r="A13469">
        <f>HYPERLINK("https://www.philgeps.gov.ph/GEPSNONPILOT/Tender/SplashBidNoticeAbstractUI.aspx?menuIndex=3&amp;refID=7116033&amp;Result=3","7116033")</f>
        <v>0</v>
      </c>
      <c r="B13469" t="s">
        <v>3641</v>
      </c>
      <c r="C13469" t="s">
        <v>16591</v>
      </c>
      <c r="D13469" t="s">
        <v>17963</v>
      </c>
      <c r="E13469" t="s">
        <v>29683</v>
      </c>
      <c r="F13469" t="s">
        <v>30900</v>
      </c>
      <c r="G13469" t="s">
        <v>30907</v>
      </c>
      <c r="H13469" t="s">
        <v>30916</v>
      </c>
      <c r="I13469" t="s">
        <v>30940</v>
      </c>
      <c r="J13469" t="s">
        <v>39424</v>
      </c>
      <c r="K13469" t="s">
        <v>40286</v>
      </c>
      <c r="M13469" t="s">
        <v>44582</v>
      </c>
      <c r="N13469" t="s">
        <v>44759</v>
      </c>
      <c r="O13469" t="s">
        <v>44760</v>
      </c>
      <c r="Q13469">
        <v>3</v>
      </c>
      <c r="R13469" t="s">
        <v>44780</v>
      </c>
      <c r="S13469" t="s">
        <v>45744</v>
      </c>
      <c r="T13469" t="s">
        <v>46599</v>
      </c>
      <c r="U13469" t="s">
        <v>57992</v>
      </c>
      <c r="W13469" t="s">
        <v>44582</v>
      </c>
      <c r="X13469" t="s">
        <v>44781</v>
      </c>
    </row>
    <row r="13470" spans="1:24">
      <c r="A13470">
        <f>HYPERLINK("https://www.philgeps.gov.ph/GEPSNONPILOT/Tender/SplashBidNoticeAbstractUI.aspx?menuIndex=3&amp;refID=7116244&amp;Result=3","7116244")</f>
        <v>0</v>
      </c>
      <c r="B13470" t="s">
        <v>3642</v>
      </c>
      <c r="C13470" t="s">
        <v>16592</v>
      </c>
      <c r="D13470" t="s">
        <v>17951</v>
      </c>
      <c r="E13470" t="s">
        <v>29684</v>
      </c>
      <c r="F13470" t="s">
        <v>30900</v>
      </c>
      <c r="G13470" t="s">
        <v>30907</v>
      </c>
      <c r="H13470" t="s">
        <v>30917</v>
      </c>
      <c r="I13470" t="s">
        <v>30981</v>
      </c>
      <c r="J13470" t="s">
        <v>39425</v>
      </c>
      <c r="K13470" t="s">
        <v>40280</v>
      </c>
      <c r="M13470" t="s">
        <v>44583</v>
      </c>
      <c r="N13470" t="s">
        <v>44759</v>
      </c>
      <c r="O13470" t="s">
        <v>44760</v>
      </c>
      <c r="P13470">
        <v>0</v>
      </c>
      <c r="Q13470">
        <v>2</v>
      </c>
      <c r="R13470" t="s">
        <v>44780</v>
      </c>
      <c r="S13470" t="s">
        <v>45683</v>
      </c>
      <c r="T13470" t="s">
        <v>46410</v>
      </c>
      <c r="U13470" t="s">
        <v>57993</v>
      </c>
      <c r="W13470" t="s">
        <v>44583</v>
      </c>
      <c r="X13470" t="s">
        <v>44781</v>
      </c>
    </row>
    <row r="13471" spans="1:24">
      <c r="A13471">
        <f>HYPERLINK("https://www.philgeps.gov.ph/GEPSNONPILOT/Tender/SplashBidNoticeAbstractUI.aspx?menuIndex=3&amp;refID=7116269&amp;Result=3","7116269")</f>
        <v>0</v>
      </c>
      <c r="B13471" t="s">
        <v>3642</v>
      </c>
      <c r="C13471" t="s">
        <v>16593</v>
      </c>
      <c r="D13471" t="s">
        <v>17978</v>
      </c>
      <c r="E13471" t="s">
        <v>29685</v>
      </c>
      <c r="F13471" t="s">
        <v>30900</v>
      </c>
      <c r="G13471" t="s">
        <v>30907</v>
      </c>
      <c r="H13471" t="s">
        <v>30916</v>
      </c>
      <c r="I13471" t="s">
        <v>30981</v>
      </c>
      <c r="J13471" t="s">
        <v>39426</v>
      </c>
      <c r="K13471" t="s">
        <v>40280</v>
      </c>
      <c r="M13471" t="s">
        <v>44583</v>
      </c>
      <c r="N13471" t="s">
        <v>44759</v>
      </c>
      <c r="O13471" t="s">
        <v>44760</v>
      </c>
      <c r="P13471">
        <v>0</v>
      </c>
      <c r="Q13471">
        <v>2</v>
      </c>
      <c r="R13471" t="s">
        <v>44780</v>
      </c>
      <c r="S13471" t="s">
        <v>45683</v>
      </c>
      <c r="T13471" t="s">
        <v>46410</v>
      </c>
      <c r="U13471" t="s">
        <v>57994</v>
      </c>
      <c r="W13471" t="s">
        <v>44583</v>
      </c>
      <c r="X13471" t="s">
        <v>44781</v>
      </c>
    </row>
    <row r="13472" spans="1:24">
      <c r="A13472">
        <f>HYPERLINK("https://www.philgeps.gov.ph/GEPSNONPILOT/Tender/SplashBidNoticeAbstractUI.aspx?menuIndex=3&amp;refID=7116237&amp;Result=3","7116237")</f>
        <v>0</v>
      </c>
      <c r="B13472" t="s">
        <v>2601</v>
      </c>
      <c r="C13472" t="s">
        <v>16594</v>
      </c>
      <c r="D13472" t="s">
        <v>17954</v>
      </c>
      <c r="E13472" t="s">
        <v>29686</v>
      </c>
      <c r="F13472" t="s">
        <v>30900</v>
      </c>
      <c r="G13472" t="s">
        <v>30907</v>
      </c>
      <c r="H13472" t="s">
        <v>30915</v>
      </c>
      <c r="I13472" t="s">
        <v>30919</v>
      </c>
      <c r="J13472" t="s">
        <v>31069</v>
      </c>
      <c r="K13472" t="s">
        <v>40297</v>
      </c>
      <c r="M13472" t="s">
        <v>43363</v>
      </c>
      <c r="N13472" t="s">
        <v>44759</v>
      </c>
      <c r="O13472" t="s">
        <v>44760</v>
      </c>
      <c r="P13472">
        <v>0</v>
      </c>
      <c r="Q13472">
        <v>10</v>
      </c>
      <c r="R13472" t="s">
        <v>44780</v>
      </c>
      <c r="S13472" t="s">
        <v>45683</v>
      </c>
      <c r="T13472" t="s">
        <v>46658</v>
      </c>
      <c r="U13472" t="s">
        <v>57995</v>
      </c>
      <c r="W13472" t="s">
        <v>43416</v>
      </c>
      <c r="X13472" t="s">
        <v>44781</v>
      </c>
    </row>
    <row r="13473" spans="1:24">
      <c r="A13473">
        <f>HYPERLINK("https://www.philgeps.gov.ph/GEPSNONPILOT/Tender/SplashBidNoticeAbstractUI.aspx?menuIndex=3&amp;refID=7116230&amp;Result=3","7116230")</f>
        <v>0</v>
      </c>
      <c r="B13473" t="s">
        <v>1119</v>
      </c>
      <c r="C13473" t="s">
        <v>16595</v>
      </c>
      <c r="D13473" t="s">
        <v>18038</v>
      </c>
      <c r="E13473" t="s">
        <v>29687</v>
      </c>
      <c r="F13473" t="s">
        <v>30900</v>
      </c>
      <c r="G13473" t="s">
        <v>30907</v>
      </c>
      <c r="H13473" t="s">
        <v>30916</v>
      </c>
      <c r="I13473" t="s">
        <v>7708</v>
      </c>
      <c r="J13473" t="s">
        <v>39427</v>
      </c>
      <c r="K13473" t="s">
        <v>40280</v>
      </c>
      <c r="M13473" t="s">
        <v>42602</v>
      </c>
      <c r="N13473" t="s">
        <v>44759</v>
      </c>
      <c r="O13473" t="s">
        <v>44760</v>
      </c>
      <c r="Q13473">
        <v>9</v>
      </c>
      <c r="R13473" t="s">
        <v>44780</v>
      </c>
      <c r="S13473" t="s">
        <v>45745</v>
      </c>
      <c r="T13473" t="s">
        <v>46760</v>
      </c>
      <c r="U13473" t="s">
        <v>57990</v>
      </c>
      <c r="V13473" t="s">
        <v>60649</v>
      </c>
      <c r="W13473" t="s">
        <v>42602</v>
      </c>
      <c r="X13473" t="s">
        <v>44781</v>
      </c>
    </row>
    <row r="13474" spans="1:24">
      <c r="A13474">
        <f>HYPERLINK("https://www.philgeps.gov.ph/GEPSNONPILOT/Tender/SplashBidNoticeAbstractUI.aspx?menuIndex=3&amp;refID=7116267&amp;Result=3","7116267")</f>
        <v>0</v>
      </c>
      <c r="B13474" t="s">
        <v>1119</v>
      </c>
      <c r="C13474" t="s">
        <v>16596</v>
      </c>
      <c r="D13474" t="s">
        <v>18038</v>
      </c>
      <c r="E13474" t="s">
        <v>29688</v>
      </c>
      <c r="F13474" t="s">
        <v>30900</v>
      </c>
      <c r="G13474" t="s">
        <v>30907</v>
      </c>
      <c r="H13474" t="s">
        <v>30916</v>
      </c>
      <c r="I13474" t="s">
        <v>7708</v>
      </c>
      <c r="J13474" t="s">
        <v>39428</v>
      </c>
      <c r="K13474" t="s">
        <v>40280</v>
      </c>
      <c r="M13474" t="s">
        <v>42602</v>
      </c>
      <c r="N13474" t="s">
        <v>44759</v>
      </c>
      <c r="O13474" t="s">
        <v>44760</v>
      </c>
      <c r="Q13474">
        <v>9</v>
      </c>
      <c r="R13474" t="s">
        <v>44780</v>
      </c>
      <c r="S13474" t="s">
        <v>45746</v>
      </c>
      <c r="T13474" t="s">
        <v>46760</v>
      </c>
      <c r="U13474" t="s">
        <v>57990</v>
      </c>
      <c r="V13474" t="s">
        <v>60649</v>
      </c>
      <c r="W13474" t="s">
        <v>42602</v>
      </c>
      <c r="X13474" t="s">
        <v>44781</v>
      </c>
    </row>
    <row r="13475" spans="1:24">
      <c r="A13475">
        <f>HYPERLINK("https://www.philgeps.gov.ph/GEPSNONPILOT/Tender/SplashBidNoticeAbstractUI.aspx?menuIndex=3&amp;refID=7116225&amp;Result=3","7116225")</f>
        <v>0</v>
      </c>
      <c r="B13475" t="s">
        <v>2601</v>
      </c>
      <c r="C13475" t="s">
        <v>16597</v>
      </c>
      <c r="D13475" t="s">
        <v>17954</v>
      </c>
      <c r="E13475" t="s">
        <v>29689</v>
      </c>
      <c r="F13475" t="s">
        <v>30900</v>
      </c>
      <c r="G13475" t="s">
        <v>30907</v>
      </c>
      <c r="H13475" t="s">
        <v>30915</v>
      </c>
      <c r="I13475" t="s">
        <v>30919</v>
      </c>
      <c r="J13475" t="s">
        <v>32324</v>
      </c>
      <c r="K13475" t="s">
        <v>40291</v>
      </c>
      <c r="M13475" t="s">
        <v>43363</v>
      </c>
      <c r="N13475" t="s">
        <v>44759</v>
      </c>
      <c r="O13475" t="s">
        <v>44760</v>
      </c>
      <c r="P13475">
        <v>0</v>
      </c>
      <c r="Q13475">
        <v>10</v>
      </c>
      <c r="R13475" t="s">
        <v>44780</v>
      </c>
      <c r="S13475" t="s">
        <v>45683</v>
      </c>
      <c r="T13475" t="s">
        <v>46658</v>
      </c>
      <c r="U13475" t="s">
        <v>57996</v>
      </c>
      <c r="W13475" t="s">
        <v>43416</v>
      </c>
      <c r="X13475" t="s">
        <v>44781</v>
      </c>
    </row>
    <row r="13476" spans="1:24">
      <c r="A13476">
        <f>HYPERLINK("https://www.philgeps.gov.ph/GEPSNONPILOT/Tender/SplashBidNoticeAbstractUI.aspx?menuIndex=3&amp;refID=7116222&amp;Result=3","7116222")</f>
        <v>0</v>
      </c>
      <c r="B13476" t="s">
        <v>1251</v>
      </c>
      <c r="C13476" t="s">
        <v>16598</v>
      </c>
      <c r="D13476" t="s">
        <v>17963</v>
      </c>
      <c r="E13476" t="s">
        <v>29690</v>
      </c>
      <c r="F13476" t="s">
        <v>30900</v>
      </c>
      <c r="G13476" t="s">
        <v>30907</v>
      </c>
      <c r="H13476" t="s">
        <v>30915</v>
      </c>
      <c r="I13476" t="s">
        <v>30919</v>
      </c>
      <c r="J13476" t="s">
        <v>39429</v>
      </c>
      <c r="K13476" t="s">
        <v>40301</v>
      </c>
      <c r="M13476" t="s">
        <v>41863</v>
      </c>
      <c r="N13476" t="s">
        <v>44759</v>
      </c>
      <c r="O13476" t="s">
        <v>44760</v>
      </c>
      <c r="P13476">
        <v>0</v>
      </c>
      <c r="Q13476">
        <v>24</v>
      </c>
      <c r="R13476" t="s">
        <v>44780</v>
      </c>
      <c r="S13476" t="s">
        <v>45683</v>
      </c>
      <c r="T13476" t="s">
        <v>46497</v>
      </c>
      <c r="U13476" t="s">
        <v>57997</v>
      </c>
      <c r="W13476" t="s">
        <v>41863</v>
      </c>
      <c r="X13476" t="s">
        <v>44781</v>
      </c>
    </row>
    <row r="13477" spans="1:24">
      <c r="A13477">
        <f>HYPERLINK("https://www.philgeps.gov.ph/GEPSNONPILOT/Tender/SplashBidNoticeAbstractUI.aspx?menuIndex=3&amp;refID=7116254&amp;Result=3","7116254")</f>
        <v>0</v>
      </c>
      <c r="B13477" t="s">
        <v>3642</v>
      </c>
      <c r="C13477" t="s">
        <v>16599</v>
      </c>
      <c r="D13477" t="s">
        <v>17987</v>
      </c>
      <c r="E13477" t="s">
        <v>29691</v>
      </c>
      <c r="F13477" t="s">
        <v>30900</v>
      </c>
      <c r="G13477" t="s">
        <v>30907</v>
      </c>
      <c r="H13477" t="s">
        <v>30916</v>
      </c>
      <c r="I13477" t="s">
        <v>30981</v>
      </c>
      <c r="J13477" t="s">
        <v>39430</v>
      </c>
      <c r="K13477" t="s">
        <v>40280</v>
      </c>
      <c r="M13477" t="s">
        <v>44583</v>
      </c>
      <c r="N13477" t="s">
        <v>44759</v>
      </c>
      <c r="O13477" t="s">
        <v>44760</v>
      </c>
      <c r="P13477">
        <v>0</v>
      </c>
      <c r="Q13477">
        <v>1</v>
      </c>
      <c r="R13477" t="s">
        <v>44780</v>
      </c>
      <c r="S13477" t="s">
        <v>45683</v>
      </c>
      <c r="T13477" t="s">
        <v>46410</v>
      </c>
      <c r="U13477" t="s">
        <v>57998</v>
      </c>
      <c r="W13477" t="s">
        <v>44583</v>
      </c>
      <c r="X13477" t="s">
        <v>44781</v>
      </c>
    </row>
    <row r="13478" spans="1:24">
      <c r="A13478">
        <f>HYPERLINK("https://www.philgeps.gov.ph/GEPSNONPILOT/Tender/SplashBidNoticeAbstractUI.aspx?menuIndex=3&amp;refID=7116320&amp;Result=3","7116320")</f>
        <v>0</v>
      </c>
      <c r="B13478" t="s">
        <v>1919</v>
      </c>
      <c r="C13478" t="s">
        <v>16600</v>
      </c>
      <c r="D13478" t="s">
        <v>17953</v>
      </c>
      <c r="E13478" t="s">
        <v>29692</v>
      </c>
      <c r="F13478" t="s">
        <v>30900</v>
      </c>
      <c r="G13478" t="s">
        <v>30907</v>
      </c>
      <c r="H13478" t="s">
        <v>30915</v>
      </c>
      <c r="I13478" t="s">
        <v>30919</v>
      </c>
      <c r="J13478" t="s">
        <v>32276</v>
      </c>
      <c r="K13478" t="s">
        <v>40547</v>
      </c>
      <c r="M13478" t="s">
        <v>42597</v>
      </c>
      <c r="N13478" t="s">
        <v>44759</v>
      </c>
      <c r="O13478" t="s">
        <v>44760</v>
      </c>
      <c r="Q13478">
        <v>6</v>
      </c>
      <c r="R13478" t="s">
        <v>44780</v>
      </c>
      <c r="S13478" t="s">
        <v>45747</v>
      </c>
      <c r="T13478" t="s">
        <v>46383</v>
      </c>
      <c r="U13478" t="s">
        <v>57999</v>
      </c>
      <c r="V13478" t="s">
        <v>60650</v>
      </c>
      <c r="W13478" t="s">
        <v>60876</v>
      </c>
      <c r="X13478" t="s">
        <v>44781</v>
      </c>
    </row>
    <row r="13479" spans="1:24">
      <c r="A13479">
        <f>HYPERLINK("https://www.philgeps.gov.ph/GEPSNONPILOT/Tender/SplashBidNoticeAbstractUI.aspx?menuIndex=3&amp;refID=7116329&amp;Result=3","7116329")</f>
        <v>0</v>
      </c>
      <c r="B13479" t="s">
        <v>322</v>
      </c>
      <c r="C13479" t="s">
        <v>16601</v>
      </c>
      <c r="D13479" t="s">
        <v>17959</v>
      </c>
      <c r="E13479" t="s">
        <v>29693</v>
      </c>
      <c r="F13479" t="s">
        <v>30900</v>
      </c>
      <c r="G13479" t="s">
        <v>30907</v>
      </c>
      <c r="H13479" t="s">
        <v>30916</v>
      </c>
      <c r="I13479" t="s">
        <v>9385</v>
      </c>
      <c r="J13479" t="s">
        <v>39161</v>
      </c>
      <c r="K13479" t="s">
        <v>40280</v>
      </c>
      <c r="M13479" t="s">
        <v>41586</v>
      </c>
      <c r="N13479" t="s">
        <v>44759</v>
      </c>
      <c r="O13479" t="s">
        <v>44760</v>
      </c>
      <c r="Q13479">
        <v>4</v>
      </c>
      <c r="R13479" t="s">
        <v>44780</v>
      </c>
      <c r="S13479" t="s">
        <v>45748</v>
      </c>
      <c r="T13479" t="s">
        <v>46625</v>
      </c>
      <c r="U13479" t="s">
        <v>54978</v>
      </c>
      <c r="W13479" t="s">
        <v>41586</v>
      </c>
      <c r="X13479" t="s">
        <v>44781</v>
      </c>
    </row>
    <row r="13480" spans="1:24">
      <c r="A13480">
        <f>HYPERLINK("https://www.philgeps.gov.ph/GEPSNONPILOT/Tender/SplashBidNoticeAbstractUI.aspx?menuIndex=3&amp;refID=7115900&amp;Result=3","7115900")</f>
        <v>0</v>
      </c>
      <c r="B13480" t="s">
        <v>769</v>
      </c>
      <c r="C13480" t="s">
        <v>16602</v>
      </c>
      <c r="D13480" t="s">
        <v>18014</v>
      </c>
      <c r="E13480" t="s">
        <v>29694</v>
      </c>
      <c r="F13480" t="s">
        <v>30900</v>
      </c>
      <c r="G13480" t="s">
        <v>30907</v>
      </c>
      <c r="H13480" t="s">
        <v>30916</v>
      </c>
      <c r="I13480" t="s">
        <v>30924</v>
      </c>
      <c r="J13480" t="s">
        <v>33266</v>
      </c>
      <c r="K13480" t="s">
        <v>40283</v>
      </c>
      <c r="M13480" t="s">
        <v>44575</v>
      </c>
      <c r="N13480" t="s">
        <v>44759</v>
      </c>
      <c r="O13480" t="s">
        <v>44760</v>
      </c>
      <c r="Q13480">
        <v>3</v>
      </c>
      <c r="R13480" t="s">
        <v>44780</v>
      </c>
      <c r="S13480" t="s">
        <v>45749</v>
      </c>
      <c r="T13480" t="s">
        <v>46707</v>
      </c>
      <c r="U13480" t="s">
        <v>58000</v>
      </c>
      <c r="V13480" t="s">
        <v>60638</v>
      </c>
      <c r="W13480" t="s">
        <v>44575</v>
      </c>
      <c r="X13480" t="s">
        <v>44781</v>
      </c>
    </row>
    <row r="13481" spans="1:24">
      <c r="A13481">
        <f>HYPERLINK("https://www.philgeps.gov.ph/GEPSNONPILOT/Tender/SplashBidNoticeAbstractUI.aspx?menuIndex=3&amp;refID=7116326&amp;Result=3","7116326")</f>
        <v>0</v>
      </c>
      <c r="B13481" t="s">
        <v>1093</v>
      </c>
      <c r="C13481" t="s">
        <v>16603</v>
      </c>
      <c r="D13481" t="s">
        <v>18033</v>
      </c>
      <c r="E13481" t="s">
        <v>29695</v>
      </c>
      <c r="F13481" t="s">
        <v>30900</v>
      </c>
      <c r="G13481" t="s">
        <v>30907</v>
      </c>
      <c r="H13481" t="s">
        <v>30916</v>
      </c>
      <c r="I13481" t="s">
        <v>30939</v>
      </c>
      <c r="J13481" t="s">
        <v>39431</v>
      </c>
      <c r="K13481" t="s">
        <v>40280</v>
      </c>
      <c r="M13481" t="s">
        <v>41693</v>
      </c>
      <c r="N13481" t="s">
        <v>44759</v>
      </c>
      <c r="O13481" t="s">
        <v>44760</v>
      </c>
      <c r="P13481">
        <v>0</v>
      </c>
      <c r="Q13481">
        <v>0</v>
      </c>
      <c r="R13481" t="s">
        <v>44780</v>
      </c>
      <c r="S13481" t="s">
        <v>45683</v>
      </c>
      <c r="T13481" t="s">
        <v>46548</v>
      </c>
      <c r="U13481" t="s">
        <v>58001</v>
      </c>
      <c r="W13481" t="s">
        <v>41693</v>
      </c>
      <c r="X13481" t="s">
        <v>44781</v>
      </c>
    </row>
    <row r="13482" spans="1:24">
      <c r="A13482">
        <f>HYPERLINK("https://www.philgeps.gov.ph/GEPSNONPILOT/Tender/SplashBidNoticeAbstractUI.aspx?menuIndex=3&amp;refID=7116325&amp;Result=3","7116325")</f>
        <v>0</v>
      </c>
      <c r="B13482" t="s">
        <v>1199</v>
      </c>
      <c r="C13482" t="s">
        <v>16604</v>
      </c>
      <c r="D13482" t="s">
        <v>17955</v>
      </c>
      <c r="E13482" t="s">
        <v>29696</v>
      </c>
      <c r="F13482" t="s">
        <v>30900</v>
      </c>
      <c r="G13482" t="s">
        <v>30907</v>
      </c>
      <c r="H13482" t="s">
        <v>30916</v>
      </c>
      <c r="I13482" t="s">
        <v>30924</v>
      </c>
      <c r="J13482" t="s">
        <v>39432</v>
      </c>
      <c r="K13482" t="s">
        <v>40286</v>
      </c>
      <c r="M13482" t="s">
        <v>41810</v>
      </c>
      <c r="N13482" t="s">
        <v>44759</v>
      </c>
      <c r="O13482" t="s">
        <v>44760</v>
      </c>
      <c r="P13482">
        <v>0</v>
      </c>
      <c r="Q13482">
        <v>10</v>
      </c>
      <c r="R13482" t="s">
        <v>44780</v>
      </c>
      <c r="S13482" t="s">
        <v>45683</v>
      </c>
      <c r="T13482" t="s">
        <v>46383</v>
      </c>
      <c r="U13482" t="s">
        <v>58002</v>
      </c>
      <c r="W13482" t="s">
        <v>41810</v>
      </c>
      <c r="X13482" t="s">
        <v>44781</v>
      </c>
    </row>
    <row r="13483" spans="1:24">
      <c r="A13483">
        <f>HYPERLINK("https://www.philgeps.gov.ph/GEPSNONPILOT/Tender/SplashBidNoticeAbstractUI.aspx?menuIndex=3&amp;refID=7116321&amp;Result=3","7116321")</f>
        <v>0</v>
      </c>
      <c r="B13483" t="s">
        <v>2020</v>
      </c>
      <c r="C13483" t="s">
        <v>16605</v>
      </c>
      <c r="D13483" t="s">
        <v>17959</v>
      </c>
      <c r="E13483" t="s">
        <v>29697</v>
      </c>
      <c r="F13483" t="s">
        <v>30900</v>
      </c>
      <c r="G13483" t="s">
        <v>30907</v>
      </c>
      <c r="H13483" t="s">
        <v>30916</v>
      </c>
      <c r="I13483" t="s">
        <v>30924</v>
      </c>
      <c r="J13483" t="s">
        <v>34097</v>
      </c>
      <c r="K13483" t="s">
        <v>40289</v>
      </c>
      <c r="M13483" t="s">
        <v>42716</v>
      </c>
      <c r="N13483" t="s">
        <v>44759</v>
      </c>
      <c r="O13483" t="s">
        <v>44760</v>
      </c>
      <c r="Q13483">
        <v>20</v>
      </c>
      <c r="R13483" t="s">
        <v>44780</v>
      </c>
      <c r="S13483" t="s">
        <v>45750</v>
      </c>
      <c r="T13483" t="s">
        <v>46533</v>
      </c>
      <c r="U13483" t="s">
        <v>58003</v>
      </c>
      <c r="W13483" t="s">
        <v>42716</v>
      </c>
      <c r="X13483" t="s">
        <v>44781</v>
      </c>
    </row>
    <row r="13484" spans="1:24">
      <c r="A13484">
        <f>HYPERLINK("https://www.philgeps.gov.ph/GEPSNONPILOT/Tender/SplashBidNoticeAbstractUI.aspx?menuIndex=3&amp;refID=7116317&amp;Result=3","7116317")</f>
        <v>0</v>
      </c>
      <c r="B13484" t="s">
        <v>2020</v>
      </c>
      <c r="C13484" t="s">
        <v>16606</v>
      </c>
      <c r="D13484" t="s">
        <v>17959</v>
      </c>
      <c r="E13484" t="s">
        <v>29698</v>
      </c>
      <c r="F13484" t="s">
        <v>30900</v>
      </c>
      <c r="G13484" t="s">
        <v>30907</v>
      </c>
      <c r="H13484" t="s">
        <v>30916</v>
      </c>
      <c r="I13484" t="s">
        <v>30924</v>
      </c>
      <c r="J13484" t="s">
        <v>31152</v>
      </c>
      <c r="K13484" t="s">
        <v>40289</v>
      </c>
      <c r="M13484" t="s">
        <v>42716</v>
      </c>
      <c r="N13484" t="s">
        <v>44759</v>
      </c>
      <c r="O13484" t="s">
        <v>44760</v>
      </c>
      <c r="Q13484">
        <v>25</v>
      </c>
      <c r="R13484" t="s">
        <v>44780</v>
      </c>
      <c r="S13484" t="s">
        <v>45751</v>
      </c>
      <c r="T13484" t="s">
        <v>46533</v>
      </c>
      <c r="U13484" t="s">
        <v>58003</v>
      </c>
      <c r="W13484" t="s">
        <v>42716</v>
      </c>
      <c r="X13484" t="s">
        <v>44781</v>
      </c>
    </row>
    <row r="13485" spans="1:24">
      <c r="A13485">
        <f>HYPERLINK("https://www.philgeps.gov.ph/GEPSNONPILOT/Tender/SplashBidNoticeAbstractUI.aspx?menuIndex=3&amp;refID=7116313&amp;Result=3","7116313")</f>
        <v>0</v>
      </c>
      <c r="B13485" t="s">
        <v>1919</v>
      </c>
      <c r="C13485" t="s">
        <v>16607</v>
      </c>
      <c r="D13485" t="s">
        <v>17953</v>
      </c>
      <c r="E13485" t="s">
        <v>29699</v>
      </c>
      <c r="F13485" t="s">
        <v>30900</v>
      </c>
      <c r="G13485" t="s">
        <v>30907</v>
      </c>
      <c r="H13485" t="s">
        <v>30915</v>
      </c>
      <c r="I13485" t="s">
        <v>30919</v>
      </c>
      <c r="J13485" t="s">
        <v>32276</v>
      </c>
      <c r="K13485" t="s">
        <v>40547</v>
      </c>
      <c r="M13485" t="s">
        <v>42597</v>
      </c>
      <c r="N13485" t="s">
        <v>44759</v>
      </c>
      <c r="O13485" t="s">
        <v>44760</v>
      </c>
      <c r="Q13485">
        <v>6</v>
      </c>
      <c r="R13485" t="s">
        <v>44780</v>
      </c>
      <c r="S13485" t="s">
        <v>45752</v>
      </c>
      <c r="T13485" t="s">
        <v>46383</v>
      </c>
      <c r="U13485" t="s">
        <v>58004</v>
      </c>
      <c r="V13485" t="s">
        <v>60650</v>
      </c>
      <c r="W13485" t="s">
        <v>60876</v>
      </c>
      <c r="X13485" t="s">
        <v>44781</v>
      </c>
    </row>
    <row r="13486" spans="1:24">
      <c r="A13486">
        <f>HYPERLINK("https://www.philgeps.gov.ph/GEPSNONPILOT/Tender/SplashBidNoticeAbstractUI.aspx?menuIndex=3&amp;refID=7116323&amp;Result=3","7116323")</f>
        <v>0</v>
      </c>
      <c r="B13486" t="s">
        <v>1093</v>
      </c>
      <c r="C13486" t="s">
        <v>16608</v>
      </c>
      <c r="D13486" t="s">
        <v>18033</v>
      </c>
      <c r="E13486" t="s">
        <v>29700</v>
      </c>
      <c r="F13486" t="s">
        <v>30900</v>
      </c>
      <c r="G13486" t="s">
        <v>30907</v>
      </c>
      <c r="H13486" t="s">
        <v>30916</v>
      </c>
      <c r="I13486" t="s">
        <v>30939</v>
      </c>
      <c r="J13486" t="s">
        <v>39433</v>
      </c>
      <c r="K13486" t="s">
        <v>40280</v>
      </c>
      <c r="M13486" t="s">
        <v>41693</v>
      </c>
      <c r="N13486" t="s">
        <v>44759</v>
      </c>
      <c r="O13486" t="s">
        <v>44760</v>
      </c>
      <c r="P13486">
        <v>0</v>
      </c>
      <c r="Q13486">
        <v>0</v>
      </c>
      <c r="R13486" t="s">
        <v>44780</v>
      </c>
      <c r="S13486" t="s">
        <v>45683</v>
      </c>
      <c r="T13486" t="s">
        <v>46548</v>
      </c>
      <c r="U13486" t="s">
        <v>58005</v>
      </c>
      <c r="W13486" t="s">
        <v>41693</v>
      </c>
      <c r="X13486" t="s">
        <v>44781</v>
      </c>
    </row>
    <row r="13487" spans="1:24">
      <c r="A13487">
        <f>HYPERLINK("https://www.philgeps.gov.ph/GEPSNONPILOT/Tender/SplashBidNoticeAbstractUI.aspx?menuIndex=3&amp;refID=7116302&amp;Result=3","7116302")</f>
        <v>0</v>
      </c>
      <c r="B13487" t="s">
        <v>2631</v>
      </c>
      <c r="C13487" t="s">
        <v>16609</v>
      </c>
      <c r="D13487" t="s">
        <v>17971</v>
      </c>
      <c r="E13487" t="s">
        <v>29701</v>
      </c>
      <c r="F13487" t="s">
        <v>30900</v>
      </c>
      <c r="G13487" t="s">
        <v>30908</v>
      </c>
      <c r="H13487" t="s">
        <v>30916</v>
      </c>
      <c r="I13487" t="s">
        <v>7411</v>
      </c>
      <c r="J13487" t="s">
        <v>39434</v>
      </c>
      <c r="K13487" t="s">
        <v>40286</v>
      </c>
      <c r="M13487" t="s">
        <v>43395</v>
      </c>
      <c r="N13487" t="s">
        <v>44759</v>
      </c>
      <c r="O13487" t="s">
        <v>44760</v>
      </c>
      <c r="Q13487">
        <v>1</v>
      </c>
      <c r="R13487" t="s">
        <v>44780</v>
      </c>
      <c r="S13487" t="s">
        <v>45753</v>
      </c>
      <c r="T13487" t="s">
        <v>46581</v>
      </c>
      <c r="U13487" t="s">
        <v>58006</v>
      </c>
      <c r="W13487" t="s">
        <v>43395</v>
      </c>
      <c r="X13487" t="s">
        <v>44781</v>
      </c>
    </row>
    <row r="13488" spans="1:24">
      <c r="A13488">
        <f>HYPERLINK("https://www.philgeps.gov.ph/GEPSNONPILOT/Tender/SplashBidNoticeAbstractUI.aspx?menuIndex=3&amp;refID=7116297&amp;Result=3","7116297")</f>
        <v>0</v>
      </c>
      <c r="B13488" t="s">
        <v>642</v>
      </c>
      <c r="C13488" t="s">
        <v>16610</v>
      </c>
      <c r="E13488" t="s">
        <v>29702</v>
      </c>
      <c r="F13488" t="s">
        <v>30900</v>
      </c>
      <c r="G13488" t="s">
        <v>30907</v>
      </c>
      <c r="H13488" t="s">
        <v>30916</v>
      </c>
      <c r="I13488" t="s">
        <v>9385</v>
      </c>
      <c r="J13488" t="s">
        <v>36896</v>
      </c>
      <c r="K13488" t="s">
        <v>40292</v>
      </c>
      <c r="M13488" t="s">
        <v>41205</v>
      </c>
      <c r="N13488" t="s">
        <v>44759</v>
      </c>
      <c r="O13488" t="s">
        <v>44760</v>
      </c>
      <c r="Q13488">
        <v>9</v>
      </c>
      <c r="R13488" t="s">
        <v>44780</v>
      </c>
      <c r="S13488" t="s">
        <v>45754</v>
      </c>
      <c r="T13488" t="s">
        <v>46581</v>
      </c>
      <c r="U13488" t="s">
        <v>58007</v>
      </c>
      <c r="W13488" t="s">
        <v>41205</v>
      </c>
      <c r="X13488" t="s">
        <v>44781</v>
      </c>
    </row>
    <row r="13489" spans="1:24">
      <c r="A13489">
        <f>HYPERLINK("https://www.philgeps.gov.ph/GEPSNONPILOT/Tender/SplashBidNoticeAbstractUI.aspx?menuIndex=3&amp;refID=7116209&amp;Result=3","7116209")</f>
        <v>0</v>
      </c>
      <c r="B13489" t="s">
        <v>1119</v>
      </c>
      <c r="C13489" t="s">
        <v>16611</v>
      </c>
      <c r="D13489" t="s">
        <v>18038</v>
      </c>
      <c r="E13489" t="s">
        <v>29703</v>
      </c>
      <c r="F13489" t="s">
        <v>30900</v>
      </c>
      <c r="G13489" t="s">
        <v>30907</v>
      </c>
      <c r="H13489" t="s">
        <v>30916</v>
      </c>
      <c r="I13489" t="s">
        <v>7708</v>
      </c>
      <c r="J13489" t="s">
        <v>39435</v>
      </c>
      <c r="K13489" t="s">
        <v>40280</v>
      </c>
      <c r="M13489" t="s">
        <v>42602</v>
      </c>
      <c r="N13489" t="s">
        <v>44759</v>
      </c>
      <c r="O13489" t="s">
        <v>44760</v>
      </c>
      <c r="Q13489">
        <v>8</v>
      </c>
      <c r="R13489" t="s">
        <v>44780</v>
      </c>
      <c r="S13489" t="s">
        <v>45198</v>
      </c>
      <c r="T13489" t="s">
        <v>46760</v>
      </c>
      <c r="U13489" t="s">
        <v>57990</v>
      </c>
      <c r="V13489" t="s">
        <v>60651</v>
      </c>
      <c r="W13489" t="s">
        <v>42602</v>
      </c>
      <c r="X13489" t="s">
        <v>44781</v>
      </c>
    </row>
    <row r="13490" spans="1:24">
      <c r="A13490">
        <f>HYPERLINK("https://www.philgeps.gov.ph/GEPSNONPILOT/Tender/SplashBidNoticeAbstractUI.aspx?menuIndex=3&amp;refID=7116226&amp;Result=3","7116226")</f>
        <v>0</v>
      </c>
      <c r="B13490" t="s">
        <v>3642</v>
      </c>
      <c r="C13490" t="s">
        <v>16612</v>
      </c>
      <c r="D13490" t="s">
        <v>18007</v>
      </c>
      <c r="E13490" t="s">
        <v>29704</v>
      </c>
      <c r="F13490" t="s">
        <v>30900</v>
      </c>
      <c r="G13490" t="s">
        <v>30907</v>
      </c>
      <c r="H13490" t="s">
        <v>30916</v>
      </c>
      <c r="I13490" t="s">
        <v>30981</v>
      </c>
      <c r="J13490" t="s">
        <v>39436</v>
      </c>
      <c r="K13490" t="s">
        <v>40280</v>
      </c>
      <c r="M13490" t="s">
        <v>44583</v>
      </c>
      <c r="N13490" t="s">
        <v>44759</v>
      </c>
      <c r="O13490" t="s">
        <v>44760</v>
      </c>
      <c r="P13490">
        <v>0</v>
      </c>
      <c r="Q13490">
        <v>2</v>
      </c>
      <c r="R13490" t="s">
        <v>44780</v>
      </c>
      <c r="S13490" t="s">
        <v>45683</v>
      </c>
      <c r="T13490" t="s">
        <v>46562</v>
      </c>
      <c r="U13490" t="s">
        <v>58008</v>
      </c>
      <c r="W13490" t="s">
        <v>44583</v>
      </c>
      <c r="X13490" t="s">
        <v>44781</v>
      </c>
    </row>
    <row r="13491" spans="1:24">
      <c r="A13491">
        <f>HYPERLINK("https://www.philgeps.gov.ph/GEPSNONPILOT/Tender/SplashBidNoticeAbstractUI.aspx?menuIndex=3&amp;refID=7116312&amp;Result=3","7116312")</f>
        <v>0</v>
      </c>
      <c r="B13491" t="s">
        <v>642</v>
      </c>
      <c r="C13491" t="s">
        <v>16613</v>
      </c>
      <c r="E13491" t="s">
        <v>29705</v>
      </c>
      <c r="F13491" t="s">
        <v>30900</v>
      </c>
      <c r="G13491" t="s">
        <v>30907</v>
      </c>
      <c r="H13491" t="s">
        <v>30916</v>
      </c>
      <c r="I13491" t="s">
        <v>9385</v>
      </c>
      <c r="J13491" t="s">
        <v>31063</v>
      </c>
      <c r="K13491" t="s">
        <v>40304</v>
      </c>
      <c r="M13491" t="s">
        <v>41205</v>
      </c>
      <c r="N13491" t="s">
        <v>44759</v>
      </c>
      <c r="O13491" t="s">
        <v>44760</v>
      </c>
      <c r="Q13491">
        <v>16</v>
      </c>
      <c r="R13491" t="s">
        <v>44780</v>
      </c>
      <c r="S13491" t="s">
        <v>45755</v>
      </c>
      <c r="T13491" t="s">
        <v>46581</v>
      </c>
      <c r="U13491" t="s">
        <v>58009</v>
      </c>
      <c r="W13491" t="s">
        <v>41205</v>
      </c>
      <c r="X13491" t="s">
        <v>44781</v>
      </c>
    </row>
    <row r="13492" spans="1:24">
      <c r="A13492">
        <f>HYPERLINK("https://www.philgeps.gov.ph/GEPSNONPILOT/Tender/SplashBidNoticeAbstractUI.aspx?menuIndex=3&amp;refID=7116292&amp;Result=3","7116292")</f>
        <v>0</v>
      </c>
      <c r="B13492" t="s">
        <v>3642</v>
      </c>
      <c r="C13492" t="s">
        <v>16614</v>
      </c>
      <c r="D13492" t="s">
        <v>17954</v>
      </c>
      <c r="E13492" t="s">
        <v>29706</v>
      </c>
      <c r="F13492" t="s">
        <v>30900</v>
      </c>
      <c r="G13492" t="s">
        <v>30907</v>
      </c>
      <c r="H13492" t="s">
        <v>30916</v>
      </c>
      <c r="I13492" t="s">
        <v>30981</v>
      </c>
      <c r="J13492" t="s">
        <v>39437</v>
      </c>
      <c r="K13492" t="s">
        <v>40280</v>
      </c>
      <c r="M13492" t="s">
        <v>44583</v>
      </c>
      <c r="N13492" t="s">
        <v>44759</v>
      </c>
      <c r="O13492" t="s">
        <v>44760</v>
      </c>
      <c r="P13492">
        <v>0</v>
      </c>
      <c r="Q13492">
        <v>2</v>
      </c>
      <c r="R13492" t="s">
        <v>44780</v>
      </c>
      <c r="S13492" t="s">
        <v>45683</v>
      </c>
      <c r="T13492" t="s">
        <v>46410</v>
      </c>
      <c r="U13492" t="s">
        <v>58010</v>
      </c>
      <c r="W13492" t="s">
        <v>44583</v>
      </c>
      <c r="X13492" t="s">
        <v>44781</v>
      </c>
    </row>
    <row r="13493" spans="1:24">
      <c r="A13493">
        <f>HYPERLINK("https://www.philgeps.gov.ph/GEPSNONPILOT/Tender/SplashBidNoticeAbstractUI.aspx?menuIndex=3&amp;refID=7116288&amp;Result=3","7116288")</f>
        <v>0</v>
      </c>
      <c r="B13493" t="s">
        <v>2243</v>
      </c>
      <c r="C13493" t="s">
        <v>16615</v>
      </c>
      <c r="D13493" t="s">
        <v>17980</v>
      </c>
      <c r="E13493" t="s">
        <v>29707</v>
      </c>
      <c r="F13493" t="s">
        <v>30900</v>
      </c>
      <c r="G13493" t="s">
        <v>30907</v>
      </c>
      <c r="H13493" t="s">
        <v>30916</v>
      </c>
      <c r="I13493" t="s">
        <v>31006</v>
      </c>
      <c r="J13493" t="s">
        <v>39438</v>
      </c>
      <c r="K13493" t="s">
        <v>40319</v>
      </c>
      <c r="M13493" t="s">
        <v>42953</v>
      </c>
      <c r="N13493" t="s">
        <v>44759</v>
      </c>
      <c r="O13493" t="s">
        <v>44760</v>
      </c>
      <c r="P13493">
        <v>0</v>
      </c>
      <c r="Q13493">
        <v>1</v>
      </c>
      <c r="R13493" t="s">
        <v>44780</v>
      </c>
      <c r="S13493" t="s">
        <v>45683</v>
      </c>
      <c r="T13493" t="s">
        <v>46927</v>
      </c>
      <c r="U13493" t="s">
        <v>58011</v>
      </c>
      <c r="W13493" t="s">
        <v>42953</v>
      </c>
      <c r="X13493" t="s">
        <v>44781</v>
      </c>
    </row>
    <row r="13494" spans="1:24">
      <c r="A13494">
        <f>HYPERLINK("https://www.philgeps.gov.ph/GEPSNONPILOT/Tender/SplashBidNoticeAbstractUI.aspx?menuIndex=3&amp;refID=7116282&amp;Result=3","7116282")</f>
        <v>0</v>
      </c>
      <c r="B13494" t="s">
        <v>3642</v>
      </c>
      <c r="C13494" t="s">
        <v>16616</v>
      </c>
      <c r="D13494" t="s">
        <v>17970</v>
      </c>
      <c r="E13494" t="s">
        <v>29708</v>
      </c>
      <c r="F13494" t="s">
        <v>30900</v>
      </c>
      <c r="G13494" t="s">
        <v>30907</v>
      </c>
      <c r="H13494" t="s">
        <v>30916</v>
      </c>
      <c r="I13494" t="s">
        <v>30981</v>
      </c>
      <c r="J13494" t="s">
        <v>39439</v>
      </c>
      <c r="K13494" t="s">
        <v>40280</v>
      </c>
      <c r="M13494" t="s">
        <v>44583</v>
      </c>
      <c r="N13494" t="s">
        <v>44759</v>
      </c>
      <c r="O13494" t="s">
        <v>44760</v>
      </c>
      <c r="P13494">
        <v>0</v>
      </c>
      <c r="Q13494">
        <v>3</v>
      </c>
      <c r="R13494" t="s">
        <v>44780</v>
      </c>
      <c r="S13494" t="s">
        <v>45683</v>
      </c>
      <c r="T13494" t="s">
        <v>46410</v>
      </c>
      <c r="U13494" t="s">
        <v>58012</v>
      </c>
      <c r="W13494" t="s">
        <v>44583</v>
      </c>
      <c r="X13494" t="s">
        <v>44781</v>
      </c>
    </row>
    <row r="13495" spans="1:24">
      <c r="A13495">
        <f>HYPERLINK("https://www.philgeps.gov.ph/GEPSNONPILOT/Tender/SplashBidNoticeAbstractUI.aspx?menuIndex=3&amp;refID=7116315&amp;Result=3","7116315")</f>
        <v>0</v>
      </c>
      <c r="B13495" t="s">
        <v>1093</v>
      </c>
      <c r="C13495" t="s">
        <v>16617</v>
      </c>
      <c r="D13495" t="s">
        <v>18033</v>
      </c>
      <c r="E13495" t="s">
        <v>29709</v>
      </c>
      <c r="F13495" t="s">
        <v>30900</v>
      </c>
      <c r="G13495" t="s">
        <v>30907</v>
      </c>
      <c r="H13495" t="s">
        <v>30916</v>
      </c>
      <c r="I13495" t="s">
        <v>4545</v>
      </c>
      <c r="J13495" t="s">
        <v>39440</v>
      </c>
      <c r="K13495" t="s">
        <v>40286</v>
      </c>
      <c r="M13495" t="s">
        <v>41693</v>
      </c>
      <c r="N13495" t="s">
        <v>44759</v>
      </c>
      <c r="O13495" t="s">
        <v>44760</v>
      </c>
      <c r="P13495">
        <v>0</v>
      </c>
      <c r="Q13495">
        <v>0</v>
      </c>
      <c r="R13495" t="s">
        <v>44780</v>
      </c>
      <c r="S13495" t="s">
        <v>45683</v>
      </c>
      <c r="T13495" t="s">
        <v>46548</v>
      </c>
      <c r="U13495" t="s">
        <v>58013</v>
      </c>
      <c r="W13495" t="s">
        <v>41693</v>
      </c>
      <c r="X13495" t="s">
        <v>44781</v>
      </c>
    </row>
    <row r="13496" spans="1:24">
      <c r="A13496">
        <f>HYPERLINK("https://www.philgeps.gov.ph/GEPSNONPILOT/Tender/SplashBidNoticeAbstractUI.aspx?menuIndex=3&amp;refID=7104804&amp;Result=3","7104804")</f>
        <v>0</v>
      </c>
      <c r="B13496" t="s">
        <v>574</v>
      </c>
      <c r="C13496" t="s">
        <v>16618</v>
      </c>
      <c r="D13496" t="s">
        <v>17951</v>
      </c>
      <c r="E13496" t="s">
        <v>29710</v>
      </c>
      <c r="F13496" t="s">
        <v>30900</v>
      </c>
      <c r="G13496" t="s">
        <v>30907</v>
      </c>
      <c r="H13496" t="s">
        <v>30916</v>
      </c>
      <c r="I13496" t="s">
        <v>4108</v>
      </c>
      <c r="J13496" t="s">
        <v>39441</v>
      </c>
      <c r="K13496" t="s">
        <v>40284</v>
      </c>
      <c r="M13496" t="s">
        <v>41135</v>
      </c>
      <c r="N13496" t="s">
        <v>44759</v>
      </c>
      <c r="O13496" t="s">
        <v>44760</v>
      </c>
      <c r="Q13496">
        <v>2</v>
      </c>
      <c r="R13496" t="s">
        <v>44781</v>
      </c>
      <c r="S13496" t="s">
        <v>45756</v>
      </c>
      <c r="T13496" t="s">
        <v>46486</v>
      </c>
      <c r="U13496" t="s">
        <v>58014</v>
      </c>
      <c r="W13496" t="s">
        <v>41135</v>
      </c>
      <c r="X13496" t="s">
        <v>44784</v>
      </c>
    </row>
    <row r="13497" spans="1:24">
      <c r="A13497">
        <f>HYPERLINK("https://www.philgeps.gov.ph/GEPSNONPILOT/Tender/SplashBidNoticeAbstractUI.aspx?menuIndex=3&amp;refID=7116286&amp;Result=3","7116286")</f>
        <v>0</v>
      </c>
      <c r="B13497" t="s">
        <v>2747</v>
      </c>
      <c r="C13497" t="s">
        <v>16619</v>
      </c>
      <c r="D13497" t="s">
        <v>17963</v>
      </c>
      <c r="E13497" t="s">
        <v>29711</v>
      </c>
      <c r="F13497" t="s">
        <v>30900</v>
      </c>
      <c r="G13497" t="s">
        <v>30907</v>
      </c>
      <c r="H13497" t="s">
        <v>30915</v>
      </c>
      <c r="I13497" t="s">
        <v>30919</v>
      </c>
      <c r="J13497" t="s">
        <v>33772</v>
      </c>
      <c r="K13497" t="s">
        <v>40548</v>
      </c>
      <c r="M13497" t="s">
        <v>43523</v>
      </c>
      <c r="N13497" t="s">
        <v>44759</v>
      </c>
      <c r="O13497" t="s">
        <v>44760</v>
      </c>
      <c r="P13497">
        <v>0</v>
      </c>
      <c r="Q13497">
        <v>4</v>
      </c>
      <c r="R13497" t="s">
        <v>44780</v>
      </c>
      <c r="S13497" t="s">
        <v>45683</v>
      </c>
      <c r="T13497" t="s">
        <v>46581</v>
      </c>
      <c r="U13497" t="s">
        <v>58015</v>
      </c>
      <c r="W13497" t="s">
        <v>43523</v>
      </c>
      <c r="X13497" t="s">
        <v>44781</v>
      </c>
    </row>
    <row r="13498" spans="1:24">
      <c r="A13498">
        <f>HYPERLINK("https://www.philgeps.gov.ph/GEPSNONPILOT/Tender/SplashBidNoticeAbstractUI.aspx?menuIndex=3&amp;refID=7105150&amp;Result=3","7105150")</f>
        <v>0</v>
      </c>
      <c r="B13498" t="s">
        <v>574</v>
      </c>
      <c r="C13498" t="s">
        <v>16620</v>
      </c>
      <c r="D13498" t="s">
        <v>17951</v>
      </c>
      <c r="E13498" t="s">
        <v>29712</v>
      </c>
      <c r="F13498" t="s">
        <v>30900</v>
      </c>
      <c r="G13498" t="s">
        <v>30907</v>
      </c>
      <c r="H13498" t="s">
        <v>30916</v>
      </c>
      <c r="I13498" t="s">
        <v>4108</v>
      </c>
      <c r="J13498" t="s">
        <v>39441</v>
      </c>
      <c r="K13498" t="s">
        <v>40284</v>
      </c>
      <c r="M13498" t="s">
        <v>41135</v>
      </c>
      <c r="N13498" t="s">
        <v>44759</v>
      </c>
      <c r="O13498" t="s">
        <v>44760</v>
      </c>
      <c r="Q13498">
        <v>2</v>
      </c>
      <c r="R13498" t="s">
        <v>44781</v>
      </c>
      <c r="S13498" t="s">
        <v>45756</v>
      </c>
      <c r="T13498" t="s">
        <v>46486</v>
      </c>
      <c r="U13498" t="s">
        <v>58016</v>
      </c>
      <c r="W13498" t="s">
        <v>41135</v>
      </c>
      <c r="X13498" t="s">
        <v>44784</v>
      </c>
    </row>
    <row r="13499" spans="1:24">
      <c r="A13499">
        <f>HYPERLINK("https://www.philgeps.gov.ph/GEPSNONPILOT/Tender/SplashBidNoticeAbstractUI.aspx?menuIndex=3&amp;refID=7104749&amp;Result=3","7104749")</f>
        <v>0</v>
      </c>
      <c r="B13499" t="s">
        <v>574</v>
      </c>
      <c r="C13499" t="s">
        <v>16621</v>
      </c>
      <c r="D13499" t="s">
        <v>17951</v>
      </c>
      <c r="E13499" t="s">
        <v>29713</v>
      </c>
      <c r="F13499" t="s">
        <v>30900</v>
      </c>
      <c r="G13499" t="s">
        <v>30907</v>
      </c>
      <c r="H13499" t="s">
        <v>30916</v>
      </c>
      <c r="I13499" t="s">
        <v>4108</v>
      </c>
      <c r="J13499" t="s">
        <v>39442</v>
      </c>
      <c r="K13499" t="s">
        <v>40284</v>
      </c>
      <c r="M13499" t="s">
        <v>41135</v>
      </c>
      <c r="N13499" t="s">
        <v>44759</v>
      </c>
      <c r="O13499" t="s">
        <v>44760</v>
      </c>
      <c r="Q13499">
        <v>1</v>
      </c>
      <c r="R13499" t="s">
        <v>44781</v>
      </c>
      <c r="S13499" t="s">
        <v>45757</v>
      </c>
      <c r="T13499" t="s">
        <v>46486</v>
      </c>
      <c r="U13499" t="s">
        <v>58017</v>
      </c>
      <c r="W13499" t="s">
        <v>41135</v>
      </c>
      <c r="X13499" t="s">
        <v>44784</v>
      </c>
    </row>
    <row r="13500" spans="1:24">
      <c r="A13500">
        <f>HYPERLINK("https://www.philgeps.gov.ph/GEPSNONPILOT/Tender/SplashBidNoticeAbstractUI.aspx?menuIndex=3&amp;refID=7104733&amp;Result=3","7104733")</f>
        <v>0</v>
      </c>
      <c r="B13500" t="s">
        <v>2310</v>
      </c>
      <c r="C13500" t="s">
        <v>16622</v>
      </c>
      <c r="D13500" t="s">
        <v>17952</v>
      </c>
      <c r="E13500" t="s">
        <v>29714</v>
      </c>
      <c r="F13500" t="s">
        <v>30900</v>
      </c>
      <c r="G13500" t="s">
        <v>30907</v>
      </c>
      <c r="H13500" t="s">
        <v>30916</v>
      </c>
      <c r="I13500" t="s">
        <v>30923</v>
      </c>
      <c r="J13500" t="s">
        <v>39443</v>
      </c>
      <c r="K13500" t="s">
        <v>40284</v>
      </c>
      <c r="M13500" t="s">
        <v>43028</v>
      </c>
      <c r="N13500" t="s">
        <v>44759</v>
      </c>
      <c r="O13500" t="s">
        <v>44760</v>
      </c>
      <c r="P13500">
        <v>0</v>
      </c>
      <c r="Q13500">
        <v>16</v>
      </c>
      <c r="R13500" t="s">
        <v>44781</v>
      </c>
      <c r="S13500" t="s">
        <v>45758</v>
      </c>
      <c r="T13500" t="s">
        <v>46403</v>
      </c>
      <c r="U13500" t="s">
        <v>58018</v>
      </c>
      <c r="W13500" t="s">
        <v>43028</v>
      </c>
      <c r="X13500" t="s">
        <v>44784</v>
      </c>
    </row>
    <row r="13501" spans="1:24">
      <c r="A13501">
        <f>HYPERLINK("https://www.philgeps.gov.ph/GEPSNONPILOT/Tender/SplashBidNoticeAbstractUI.aspx?menuIndex=3&amp;refID=7102626&amp;Result=3","7102626")</f>
        <v>0</v>
      </c>
      <c r="B13501" t="s">
        <v>3645</v>
      </c>
      <c r="C13501" t="s">
        <v>16623</v>
      </c>
      <c r="D13501" t="s">
        <v>17977</v>
      </c>
      <c r="E13501" t="s">
        <v>27379</v>
      </c>
      <c r="F13501" t="s">
        <v>30900</v>
      </c>
      <c r="G13501" t="s">
        <v>30907</v>
      </c>
      <c r="H13501" t="s">
        <v>30916</v>
      </c>
      <c r="I13501" t="s">
        <v>30923</v>
      </c>
      <c r="J13501" t="s">
        <v>39444</v>
      </c>
      <c r="K13501" t="s">
        <v>40286</v>
      </c>
      <c r="M13501" t="s">
        <v>44586</v>
      </c>
      <c r="N13501" t="s">
        <v>44759</v>
      </c>
      <c r="O13501" t="s">
        <v>44760</v>
      </c>
      <c r="P13501">
        <v>0</v>
      </c>
      <c r="Q13501">
        <v>30</v>
      </c>
      <c r="R13501" t="s">
        <v>44781</v>
      </c>
      <c r="S13501" t="s">
        <v>45758</v>
      </c>
      <c r="T13501" t="s">
        <v>46403</v>
      </c>
      <c r="U13501" t="s">
        <v>58019</v>
      </c>
      <c r="V13501" t="s">
        <v>60652</v>
      </c>
      <c r="W13501" t="s">
        <v>44586</v>
      </c>
      <c r="X13501" t="s">
        <v>44787</v>
      </c>
    </row>
    <row r="13502" spans="1:24">
      <c r="A13502">
        <f>HYPERLINK("https://www.philgeps.gov.ph/GEPSNONPILOT/Tender/SplashBidNoticeAbstractUI.aspx?menuIndex=3&amp;refID=7116027&amp;Result=3","7116027")</f>
        <v>0</v>
      </c>
      <c r="B13502" t="s">
        <v>2276</v>
      </c>
      <c r="C13502" t="s">
        <v>16624</v>
      </c>
      <c r="E13502" t="s">
        <v>29715</v>
      </c>
      <c r="F13502" t="s">
        <v>30900</v>
      </c>
      <c r="G13502" t="s">
        <v>30907</v>
      </c>
      <c r="H13502" t="s">
        <v>7411</v>
      </c>
      <c r="I13502" t="s">
        <v>7411</v>
      </c>
      <c r="J13502" t="s">
        <v>37795</v>
      </c>
      <c r="K13502" t="s">
        <v>40289</v>
      </c>
      <c r="M13502" t="s">
        <v>44587</v>
      </c>
      <c r="N13502" t="s">
        <v>44759</v>
      </c>
      <c r="O13502" t="s">
        <v>44760</v>
      </c>
      <c r="P13502">
        <v>0</v>
      </c>
      <c r="Q13502">
        <v>4</v>
      </c>
      <c r="R13502" t="s">
        <v>44780</v>
      </c>
      <c r="S13502" t="s">
        <v>45683</v>
      </c>
      <c r="T13502" t="s">
        <v>46403</v>
      </c>
      <c r="U13502" t="s">
        <v>58020</v>
      </c>
      <c r="W13502" t="s">
        <v>44587</v>
      </c>
      <c r="X13502" t="s">
        <v>44781</v>
      </c>
    </row>
    <row r="13503" spans="1:24">
      <c r="A13503">
        <f>HYPERLINK("https://www.philgeps.gov.ph/GEPSNONPILOT/Tender/SplashBidNoticeAbstractUI.aspx?menuIndex=3&amp;refID=7102551&amp;Result=3","7102551")</f>
        <v>0</v>
      </c>
      <c r="B13503" t="s">
        <v>3645</v>
      </c>
      <c r="C13503" t="s">
        <v>16625</v>
      </c>
      <c r="D13503" t="s">
        <v>17977</v>
      </c>
      <c r="E13503" t="s">
        <v>27379</v>
      </c>
      <c r="F13503" t="s">
        <v>30900</v>
      </c>
      <c r="G13503" t="s">
        <v>30907</v>
      </c>
      <c r="H13503" t="s">
        <v>30916</v>
      </c>
      <c r="I13503" t="s">
        <v>30923</v>
      </c>
      <c r="J13503" t="s">
        <v>39445</v>
      </c>
      <c r="K13503" t="s">
        <v>40286</v>
      </c>
      <c r="M13503" t="s">
        <v>44586</v>
      </c>
      <c r="N13503" t="s">
        <v>44759</v>
      </c>
      <c r="O13503" t="s">
        <v>44760</v>
      </c>
      <c r="P13503">
        <v>0</v>
      </c>
      <c r="Q13503">
        <v>35</v>
      </c>
      <c r="R13503" t="s">
        <v>44781</v>
      </c>
      <c r="S13503" t="s">
        <v>45758</v>
      </c>
      <c r="T13503" t="s">
        <v>46403</v>
      </c>
      <c r="U13503" t="s">
        <v>58019</v>
      </c>
      <c r="V13503" t="s">
        <v>60652</v>
      </c>
      <c r="W13503" t="s">
        <v>44586</v>
      </c>
      <c r="X13503" t="s">
        <v>44787</v>
      </c>
    </row>
    <row r="13504" spans="1:24">
      <c r="A13504">
        <f>HYPERLINK("https://www.philgeps.gov.ph/GEPSNONPILOT/Tender/SplashBidNoticeAbstractUI.aspx?menuIndex=3&amp;refID=7116295&amp;Result=3","7116295")</f>
        <v>0</v>
      </c>
      <c r="B13504" t="s">
        <v>3642</v>
      </c>
      <c r="C13504" t="s">
        <v>16626</v>
      </c>
      <c r="D13504" t="s">
        <v>17974</v>
      </c>
      <c r="E13504" t="s">
        <v>29716</v>
      </c>
      <c r="F13504" t="s">
        <v>30900</v>
      </c>
      <c r="G13504" t="s">
        <v>30907</v>
      </c>
      <c r="H13504" t="s">
        <v>30916</v>
      </c>
      <c r="I13504" t="s">
        <v>30981</v>
      </c>
      <c r="J13504" t="s">
        <v>39436</v>
      </c>
      <c r="K13504" t="s">
        <v>40280</v>
      </c>
      <c r="M13504" t="s">
        <v>44583</v>
      </c>
      <c r="N13504" t="s">
        <v>44759</v>
      </c>
      <c r="O13504" t="s">
        <v>44760</v>
      </c>
      <c r="P13504">
        <v>0</v>
      </c>
      <c r="Q13504">
        <v>2</v>
      </c>
      <c r="R13504" t="s">
        <v>44780</v>
      </c>
      <c r="S13504" t="s">
        <v>45683</v>
      </c>
      <c r="T13504" t="s">
        <v>46410</v>
      </c>
      <c r="U13504" t="s">
        <v>58021</v>
      </c>
      <c r="W13504" t="s">
        <v>44583</v>
      </c>
      <c r="X13504" t="s">
        <v>44781</v>
      </c>
    </row>
    <row r="13505" spans="1:24">
      <c r="A13505">
        <f>HYPERLINK("https://www.philgeps.gov.ph/GEPSNONPILOT/Tender/SplashBidNoticeAbstractUI.aspx?menuIndex=3&amp;refID=7104629&amp;Result=3","7104629")</f>
        <v>0</v>
      </c>
      <c r="B13505" t="s">
        <v>574</v>
      </c>
      <c r="C13505" t="s">
        <v>16627</v>
      </c>
      <c r="D13505" t="s">
        <v>17951</v>
      </c>
      <c r="E13505" t="s">
        <v>29717</v>
      </c>
      <c r="F13505" t="s">
        <v>30900</v>
      </c>
      <c r="G13505" t="s">
        <v>30907</v>
      </c>
      <c r="H13505" t="s">
        <v>30916</v>
      </c>
      <c r="I13505" t="s">
        <v>30961</v>
      </c>
      <c r="J13505" t="s">
        <v>39446</v>
      </c>
      <c r="K13505" t="s">
        <v>40284</v>
      </c>
      <c r="M13505" t="s">
        <v>41135</v>
      </c>
      <c r="N13505" t="s">
        <v>44759</v>
      </c>
      <c r="O13505" t="s">
        <v>44760</v>
      </c>
      <c r="Q13505">
        <v>1</v>
      </c>
      <c r="R13505" t="s">
        <v>44781</v>
      </c>
      <c r="S13505" t="s">
        <v>45757</v>
      </c>
      <c r="T13505" t="s">
        <v>46486</v>
      </c>
      <c r="U13505" t="s">
        <v>58022</v>
      </c>
      <c r="W13505" t="s">
        <v>41135</v>
      </c>
      <c r="X13505" t="s">
        <v>44784</v>
      </c>
    </row>
    <row r="13506" spans="1:24">
      <c r="A13506">
        <f>HYPERLINK("https://www.philgeps.gov.ph/GEPSNONPILOT/Tender/SplashBidNoticeAbstractUI.aspx?menuIndex=3&amp;refID=7102360&amp;Result=3","7102360")</f>
        <v>0</v>
      </c>
      <c r="B13506" t="s">
        <v>3645</v>
      </c>
      <c r="C13506" t="s">
        <v>16628</v>
      </c>
      <c r="D13506" t="s">
        <v>17977</v>
      </c>
      <c r="E13506" t="s">
        <v>27379</v>
      </c>
      <c r="F13506" t="s">
        <v>30900</v>
      </c>
      <c r="G13506" t="s">
        <v>30907</v>
      </c>
      <c r="H13506" t="s">
        <v>30916</v>
      </c>
      <c r="I13506" t="s">
        <v>30923</v>
      </c>
      <c r="J13506" t="s">
        <v>31937</v>
      </c>
      <c r="K13506" t="s">
        <v>40286</v>
      </c>
      <c r="M13506" t="s">
        <v>44586</v>
      </c>
      <c r="N13506" t="s">
        <v>44759</v>
      </c>
      <c r="O13506" t="s">
        <v>44760</v>
      </c>
      <c r="P13506">
        <v>0</v>
      </c>
      <c r="Q13506">
        <v>8</v>
      </c>
      <c r="R13506" t="s">
        <v>44781</v>
      </c>
      <c r="S13506" t="s">
        <v>45758</v>
      </c>
      <c r="T13506" t="s">
        <v>46403</v>
      </c>
      <c r="U13506" t="s">
        <v>58019</v>
      </c>
      <c r="V13506" t="s">
        <v>60652</v>
      </c>
      <c r="W13506" t="s">
        <v>44586</v>
      </c>
      <c r="X13506" t="s">
        <v>44787</v>
      </c>
    </row>
    <row r="13507" spans="1:24">
      <c r="A13507">
        <f>HYPERLINK("https://www.philgeps.gov.ph/GEPSNONPILOT/Tender/SplashBidNoticeAbstractUI.aspx?menuIndex=3&amp;refID=7101298&amp;Result=3","7101298")</f>
        <v>0</v>
      </c>
      <c r="B13507" t="s">
        <v>3645</v>
      </c>
      <c r="C13507" t="s">
        <v>4240</v>
      </c>
      <c r="D13507" t="s">
        <v>17977</v>
      </c>
      <c r="E13507" t="s">
        <v>27379</v>
      </c>
      <c r="F13507" t="s">
        <v>30900</v>
      </c>
      <c r="G13507" t="s">
        <v>30907</v>
      </c>
      <c r="H13507" t="s">
        <v>30916</v>
      </c>
      <c r="I13507" t="s">
        <v>30923</v>
      </c>
      <c r="J13507" t="s">
        <v>39447</v>
      </c>
      <c r="K13507" t="s">
        <v>40286</v>
      </c>
      <c r="M13507" t="s">
        <v>44586</v>
      </c>
      <c r="N13507" t="s">
        <v>44759</v>
      </c>
      <c r="O13507" t="s">
        <v>44760</v>
      </c>
      <c r="P13507">
        <v>0</v>
      </c>
      <c r="Q13507">
        <v>26</v>
      </c>
      <c r="R13507" t="s">
        <v>44781</v>
      </c>
      <c r="S13507" t="s">
        <v>45758</v>
      </c>
      <c r="T13507" t="s">
        <v>46403</v>
      </c>
      <c r="U13507" t="s">
        <v>58019</v>
      </c>
      <c r="V13507" t="s">
        <v>60652</v>
      </c>
      <c r="W13507" t="s">
        <v>44586</v>
      </c>
      <c r="X13507" t="s">
        <v>44787</v>
      </c>
    </row>
    <row r="13508" spans="1:24">
      <c r="A13508">
        <f>HYPERLINK("https://www.philgeps.gov.ph/GEPSNONPILOT/Tender/SplashBidNoticeAbstractUI.aspx?menuIndex=3&amp;refID=7099743&amp;Result=3","7099743")</f>
        <v>0</v>
      </c>
      <c r="B13508" t="s">
        <v>3645</v>
      </c>
      <c r="C13508" t="s">
        <v>16629</v>
      </c>
      <c r="D13508" t="s">
        <v>17977</v>
      </c>
      <c r="E13508" t="s">
        <v>27379</v>
      </c>
      <c r="F13508" t="s">
        <v>30900</v>
      </c>
      <c r="G13508" t="s">
        <v>30907</v>
      </c>
      <c r="H13508" t="s">
        <v>30916</v>
      </c>
      <c r="I13508" t="s">
        <v>9385</v>
      </c>
      <c r="J13508" t="s">
        <v>39448</v>
      </c>
      <c r="K13508" t="s">
        <v>40286</v>
      </c>
      <c r="M13508" t="s">
        <v>44586</v>
      </c>
      <c r="N13508" t="s">
        <v>44759</v>
      </c>
      <c r="O13508" t="s">
        <v>44760</v>
      </c>
      <c r="Q13508">
        <v>10</v>
      </c>
      <c r="R13508" t="s">
        <v>44781</v>
      </c>
      <c r="S13508" t="s">
        <v>45759</v>
      </c>
      <c r="T13508" t="s">
        <v>46403</v>
      </c>
      <c r="U13508" t="s">
        <v>58019</v>
      </c>
      <c r="V13508" t="s">
        <v>60652</v>
      </c>
      <c r="W13508" t="s">
        <v>44586</v>
      </c>
      <c r="X13508" t="s">
        <v>44788</v>
      </c>
    </row>
    <row r="13509" spans="1:24">
      <c r="A13509">
        <f>HYPERLINK("https://www.philgeps.gov.ph/GEPSNONPILOT/Tender/SplashBidNoticeAbstractUI.aspx?menuIndex=3&amp;refID=7102420&amp;Result=3","7102420")</f>
        <v>0</v>
      </c>
      <c r="B13509" t="s">
        <v>3645</v>
      </c>
      <c r="C13509" t="s">
        <v>16630</v>
      </c>
      <c r="D13509" t="s">
        <v>17977</v>
      </c>
      <c r="E13509" t="s">
        <v>27379</v>
      </c>
      <c r="F13509" t="s">
        <v>30900</v>
      </c>
      <c r="G13509" t="s">
        <v>30907</v>
      </c>
      <c r="H13509" t="s">
        <v>30916</v>
      </c>
      <c r="I13509" t="s">
        <v>30923</v>
      </c>
      <c r="J13509" t="s">
        <v>39449</v>
      </c>
      <c r="K13509" t="s">
        <v>40286</v>
      </c>
      <c r="M13509" t="s">
        <v>44586</v>
      </c>
      <c r="N13509" t="s">
        <v>44759</v>
      </c>
      <c r="O13509" t="s">
        <v>44760</v>
      </c>
      <c r="P13509">
        <v>0</v>
      </c>
      <c r="Q13509">
        <v>18</v>
      </c>
      <c r="R13509" t="s">
        <v>44781</v>
      </c>
      <c r="S13509" t="s">
        <v>45758</v>
      </c>
      <c r="T13509" t="s">
        <v>46928</v>
      </c>
      <c r="U13509" t="s">
        <v>58019</v>
      </c>
      <c r="V13509" t="s">
        <v>60652</v>
      </c>
      <c r="W13509" t="s">
        <v>44586</v>
      </c>
      <c r="X13509" t="s">
        <v>44787</v>
      </c>
    </row>
    <row r="13510" spans="1:24">
      <c r="A13510">
        <f>HYPERLINK("https://www.philgeps.gov.ph/GEPSNONPILOT/Tender/SplashBidNoticeAbstractUI.aspx?menuIndex=3&amp;refID=7106420&amp;Result=3","7106420")</f>
        <v>0</v>
      </c>
      <c r="B13510" t="s">
        <v>45</v>
      </c>
      <c r="C13510" t="s">
        <v>16631</v>
      </c>
      <c r="E13510" t="s">
        <v>29718</v>
      </c>
      <c r="F13510" t="s">
        <v>30900</v>
      </c>
      <c r="G13510" t="s">
        <v>30907</v>
      </c>
      <c r="H13510" t="s">
        <v>30915</v>
      </c>
      <c r="I13510" t="s">
        <v>30919</v>
      </c>
      <c r="J13510" t="s">
        <v>39450</v>
      </c>
      <c r="K13510" t="s">
        <v>40488</v>
      </c>
      <c r="M13510" t="s">
        <v>40591</v>
      </c>
      <c r="N13510" t="s">
        <v>44759</v>
      </c>
      <c r="O13510" t="s">
        <v>44760</v>
      </c>
      <c r="P13510">
        <v>0</v>
      </c>
      <c r="Q13510">
        <v>1</v>
      </c>
      <c r="R13510" t="s">
        <v>44781</v>
      </c>
      <c r="S13510" t="s">
        <v>45758</v>
      </c>
      <c r="T13510" t="s">
        <v>46531</v>
      </c>
      <c r="U13510" t="s">
        <v>58023</v>
      </c>
      <c r="W13510" t="s">
        <v>40591</v>
      </c>
      <c r="X13510" t="s">
        <v>44784</v>
      </c>
    </row>
    <row r="13511" spans="1:24">
      <c r="A13511">
        <f>HYPERLINK("https://www.philgeps.gov.ph/GEPSNONPILOT/Tender/SplashBidNoticeAbstractUI.aspx?menuIndex=3&amp;refID=7106505&amp;Result=3","7106505")</f>
        <v>0</v>
      </c>
      <c r="B13511" t="s">
        <v>45</v>
      </c>
      <c r="C13511" t="s">
        <v>16632</v>
      </c>
      <c r="E13511" t="s">
        <v>29719</v>
      </c>
      <c r="F13511" t="s">
        <v>30900</v>
      </c>
      <c r="G13511" t="s">
        <v>30907</v>
      </c>
      <c r="H13511" t="s">
        <v>30915</v>
      </c>
      <c r="I13511" t="s">
        <v>30919</v>
      </c>
      <c r="J13511" t="s">
        <v>39451</v>
      </c>
      <c r="K13511" t="s">
        <v>40456</v>
      </c>
      <c r="M13511" t="s">
        <v>40591</v>
      </c>
      <c r="N13511" t="s">
        <v>44759</v>
      </c>
      <c r="O13511" t="s">
        <v>44760</v>
      </c>
      <c r="P13511">
        <v>0</v>
      </c>
      <c r="Q13511">
        <v>2</v>
      </c>
      <c r="R13511" t="s">
        <v>44781</v>
      </c>
      <c r="S13511" t="s">
        <v>45758</v>
      </c>
      <c r="T13511" t="s">
        <v>46531</v>
      </c>
      <c r="U13511" t="s">
        <v>58024</v>
      </c>
      <c r="W13511" t="s">
        <v>40591</v>
      </c>
      <c r="X13511" t="s">
        <v>44784</v>
      </c>
    </row>
    <row r="13512" spans="1:24">
      <c r="A13512">
        <f>HYPERLINK("https://www.philgeps.gov.ph/GEPSNONPILOT/Tender/SplashBidNoticeAbstractUI.aspx?menuIndex=3&amp;refID=7102314&amp;Result=3","7102314")</f>
        <v>0</v>
      </c>
      <c r="B13512" t="s">
        <v>3645</v>
      </c>
      <c r="C13512" t="s">
        <v>16633</v>
      </c>
      <c r="D13512" t="s">
        <v>17977</v>
      </c>
      <c r="E13512" t="s">
        <v>27379</v>
      </c>
      <c r="F13512" t="s">
        <v>30900</v>
      </c>
      <c r="G13512" t="s">
        <v>30907</v>
      </c>
      <c r="H13512" t="s">
        <v>30916</v>
      </c>
      <c r="I13512" t="s">
        <v>30923</v>
      </c>
      <c r="J13512" t="s">
        <v>39452</v>
      </c>
      <c r="K13512" t="s">
        <v>40286</v>
      </c>
      <c r="M13512" t="s">
        <v>44586</v>
      </c>
      <c r="N13512" t="s">
        <v>44759</v>
      </c>
      <c r="O13512" t="s">
        <v>44760</v>
      </c>
      <c r="P13512">
        <v>0</v>
      </c>
      <c r="Q13512">
        <v>13</v>
      </c>
      <c r="R13512" t="s">
        <v>44781</v>
      </c>
      <c r="S13512" t="s">
        <v>45758</v>
      </c>
      <c r="T13512" t="s">
        <v>46403</v>
      </c>
      <c r="U13512" t="s">
        <v>58019</v>
      </c>
      <c r="V13512" t="s">
        <v>60652</v>
      </c>
      <c r="W13512" t="s">
        <v>44586</v>
      </c>
      <c r="X13512" t="s">
        <v>44787</v>
      </c>
    </row>
    <row r="13513" spans="1:24">
      <c r="A13513">
        <f>HYPERLINK("https://www.philgeps.gov.ph/GEPSNONPILOT/Tender/SplashBidNoticeAbstractUI.aspx?menuIndex=3&amp;refID=7106472&amp;Result=3","7106472")</f>
        <v>0</v>
      </c>
      <c r="B13513" t="s">
        <v>45</v>
      </c>
      <c r="C13513" t="s">
        <v>16634</v>
      </c>
      <c r="E13513" t="s">
        <v>29720</v>
      </c>
      <c r="F13513" t="s">
        <v>30900</v>
      </c>
      <c r="G13513" t="s">
        <v>30907</v>
      </c>
      <c r="H13513" t="s">
        <v>30915</v>
      </c>
      <c r="I13513" t="s">
        <v>30919</v>
      </c>
      <c r="J13513" t="s">
        <v>39453</v>
      </c>
      <c r="K13513" t="s">
        <v>40354</v>
      </c>
      <c r="M13513" t="s">
        <v>40591</v>
      </c>
      <c r="N13513" t="s">
        <v>44759</v>
      </c>
      <c r="O13513" t="s">
        <v>44760</v>
      </c>
      <c r="P13513">
        <v>0</v>
      </c>
      <c r="Q13513">
        <v>1</v>
      </c>
      <c r="R13513" t="s">
        <v>44781</v>
      </c>
      <c r="S13513" t="s">
        <v>45758</v>
      </c>
      <c r="T13513" t="s">
        <v>46531</v>
      </c>
      <c r="U13513" t="s">
        <v>58025</v>
      </c>
      <c r="W13513" t="s">
        <v>40591</v>
      </c>
      <c r="X13513" t="s">
        <v>44784</v>
      </c>
    </row>
    <row r="13514" spans="1:24">
      <c r="A13514">
        <f>HYPERLINK("https://www.philgeps.gov.ph/GEPSNONPILOT/Tender/SplashBidNoticeAbstractUI.aspx?menuIndex=3&amp;refID=7106382&amp;Result=3","7106382")</f>
        <v>0</v>
      </c>
      <c r="B13514" t="s">
        <v>2310</v>
      </c>
      <c r="C13514" t="s">
        <v>16635</v>
      </c>
      <c r="D13514" t="s">
        <v>17952</v>
      </c>
      <c r="E13514" t="s">
        <v>29721</v>
      </c>
      <c r="F13514" t="s">
        <v>30900</v>
      </c>
      <c r="G13514" t="s">
        <v>30907</v>
      </c>
      <c r="H13514" t="s">
        <v>30915</v>
      </c>
      <c r="I13514" t="s">
        <v>30919</v>
      </c>
      <c r="J13514" t="s">
        <v>39454</v>
      </c>
      <c r="K13514" t="s">
        <v>40341</v>
      </c>
      <c r="M13514" t="s">
        <v>43028</v>
      </c>
      <c r="N13514" t="s">
        <v>44759</v>
      </c>
      <c r="O13514" t="s">
        <v>44760</v>
      </c>
      <c r="P13514">
        <v>0</v>
      </c>
      <c r="Q13514">
        <v>1</v>
      </c>
      <c r="R13514" t="s">
        <v>44781</v>
      </c>
      <c r="S13514" t="s">
        <v>45758</v>
      </c>
      <c r="T13514" t="s">
        <v>46403</v>
      </c>
      <c r="U13514" t="s">
        <v>58026</v>
      </c>
      <c r="W13514" t="s">
        <v>43028</v>
      </c>
      <c r="X13514" t="s">
        <v>44784</v>
      </c>
    </row>
    <row r="13515" spans="1:24">
      <c r="A13515">
        <f>HYPERLINK("https://www.philgeps.gov.ph/GEPSNONPILOT/Tender/SplashBidNoticeAbstractUI.aspx?menuIndex=3&amp;refID=7106348&amp;Result=3","7106348")</f>
        <v>0</v>
      </c>
      <c r="B13515" t="s">
        <v>2310</v>
      </c>
      <c r="C13515" t="s">
        <v>16636</v>
      </c>
      <c r="D13515" t="s">
        <v>17952</v>
      </c>
      <c r="E13515" t="s">
        <v>29722</v>
      </c>
      <c r="F13515" t="s">
        <v>30900</v>
      </c>
      <c r="G13515" t="s">
        <v>30907</v>
      </c>
      <c r="H13515" t="s">
        <v>30915</v>
      </c>
      <c r="I13515" t="s">
        <v>30919</v>
      </c>
      <c r="J13515" t="s">
        <v>39455</v>
      </c>
      <c r="K13515" t="s">
        <v>40395</v>
      </c>
      <c r="M13515" t="s">
        <v>43028</v>
      </c>
      <c r="N13515" t="s">
        <v>44759</v>
      </c>
      <c r="O13515" t="s">
        <v>44760</v>
      </c>
      <c r="P13515">
        <v>0</v>
      </c>
      <c r="Q13515">
        <v>2</v>
      </c>
      <c r="R13515" t="s">
        <v>44781</v>
      </c>
      <c r="S13515" t="s">
        <v>45758</v>
      </c>
      <c r="T13515" t="s">
        <v>46403</v>
      </c>
      <c r="U13515" t="s">
        <v>58027</v>
      </c>
      <c r="W13515" t="s">
        <v>43028</v>
      </c>
      <c r="X13515" t="s">
        <v>44784</v>
      </c>
    </row>
    <row r="13516" spans="1:24">
      <c r="A13516">
        <f>HYPERLINK("https://www.philgeps.gov.ph/GEPSNONPILOT/Tender/SplashBidNoticeAbstractUI.aspx?menuIndex=3&amp;refID=7106320&amp;Result=3","7106320")</f>
        <v>0</v>
      </c>
      <c r="B13516" t="s">
        <v>45</v>
      </c>
      <c r="C13516" t="s">
        <v>16637</v>
      </c>
      <c r="E13516" t="s">
        <v>29723</v>
      </c>
      <c r="F13516" t="s">
        <v>30900</v>
      </c>
      <c r="G13516" t="s">
        <v>30907</v>
      </c>
      <c r="H13516" t="s">
        <v>30915</v>
      </c>
      <c r="I13516" t="s">
        <v>30919</v>
      </c>
      <c r="J13516" t="s">
        <v>39456</v>
      </c>
      <c r="K13516" t="s">
        <v>40378</v>
      </c>
      <c r="M13516" t="s">
        <v>40591</v>
      </c>
      <c r="N13516" t="s">
        <v>44759</v>
      </c>
      <c r="O13516" t="s">
        <v>44760</v>
      </c>
      <c r="P13516">
        <v>0</v>
      </c>
      <c r="Q13516">
        <v>0</v>
      </c>
      <c r="R13516" t="s">
        <v>44781</v>
      </c>
      <c r="S13516" t="s">
        <v>45758</v>
      </c>
      <c r="T13516" t="s">
        <v>46531</v>
      </c>
      <c r="U13516" t="s">
        <v>58028</v>
      </c>
      <c r="W13516" t="s">
        <v>40591</v>
      </c>
      <c r="X13516" t="s">
        <v>44784</v>
      </c>
    </row>
    <row r="13517" spans="1:24">
      <c r="A13517">
        <f>HYPERLINK("https://www.philgeps.gov.ph/GEPSNONPILOT/Tender/SplashBidNoticeAbstractUI.aspx?menuIndex=3&amp;refID=7106399&amp;Result=3","7106399")</f>
        <v>0</v>
      </c>
      <c r="B13517" t="s">
        <v>2310</v>
      </c>
      <c r="C13517" t="s">
        <v>16638</v>
      </c>
      <c r="D13517" t="s">
        <v>17952</v>
      </c>
      <c r="E13517" t="s">
        <v>29724</v>
      </c>
      <c r="F13517" t="s">
        <v>30900</v>
      </c>
      <c r="G13517" t="s">
        <v>30907</v>
      </c>
      <c r="H13517" t="s">
        <v>30915</v>
      </c>
      <c r="I13517" t="s">
        <v>30919</v>
      </c>
      <c r="J13517" t="s">
        <v>39457</v>
      </c>
      <c r="K13517" t="s">
        <v>40549</v>
      </c>
      <c r="M13517" t="s">
        <v>43028</v>
      </c>
      <c r="N13517" t="s">
        <v>44759</v>
      </c>
      <c r="O13517" t="s">
        <v>44760</v>
      </c>
      <c r="P13517">
        <v>0</v>
      </c>
      <c r="Q13517">
        <v>2</v>
      </c>
      <c r="R13517" t="s">
        <v>44781</v>
      </c>
      <c r="S13517" t="s">
        <v>45758</v>
      </c>
      <c r="T13517" t="s">
        <v>46403</v>
      </c>
      <c r="U13517" t="s">
        <v>58029</v>
      </c>
      <c r="W13517" t="s">
        <v>43028</v>
      </c>
      <c r="X13517" t="s">
        <v>44784</v>
      </c>
    </row>
    <row r="13518" spans="1:24">
      <c r="A13518">
        <f>HYPERLINK("https://www.philgeps.gov.ph/GEPSNONPILOT/Tender/SplashBidNoticeAbstractUI.aspx?menuIndex=3&amp;refID=7106326&amp;Result=3","7106326")</f>
        <v>0</v>
      </c>
      <c r="B13518" t="s">
        <v>2310</v>
      </c>
      <c r="C13518" t="s">
        <v>16639</v>
      </c>
      <c r="D13518" t="s">
        <v>17952</v>
      </c>
      <c r="E13518" t="s">
        <v>19178</v>
      </c>
      <c r="F13518" t="s">
        <v>30900</v>
      </c>
      <c r="G13518" t="s">
        <v>30907</v>
      </c>
      <c r="H13518" t="s">
        <v>30915</v>
      </c>
      <c r="I13518" t="s">
        <v>30919</v>
      </c>
      <c r="J13518" t="s">
        <v>31297</v>
      </c>
      <c r="K13518" t="s">
        <v>40292</v>
      </c>
      <c r="M13518" t="s">
        <v>43028</v>
      </c>
      <c r="N13518" t="s">
        <v>44759</v>
      </c>
      <c r="O13518" t="s">
        <v>44760</v>
      </c>
      <c r="P13518">
        <v>0</v>
      </c>
      <c r="Q13518">
        <v>1</v>
      </c>
      <c r="R13518" t="s">
        <v>44781</v>
      </c>
      <c r="S13518" t="s">
        <v>45758</v>
      </c>
      <c r="T13518" t="s">
        <v>46403</v>
      </c>
      <c r="U13518" t="s">
        <v>58030</v>
      </c>
      <c r="W13518" t="s">
        <v>43028</v>
      </c>
      <c r="X13518" t="s">
        <v>44784</v>
      </c>
    </row>
    <row r="13519" spans="1:24">
      <c r="A13519">
        <f>HYPERLINK("https://www.philgeps.gov.ph/GEPSNONPILOT/Tender/SplashBidNoticeAbstractUI.aspx?menuIndex=3&amp;refID=7106567&amp;Result=3","7106567")</f>
        <v>0</v>
      </c>
      <c r="B13519" t="s">
        <v>45</v>
      </c>
      <c r="C13519" t="s">
        <v>16640</v>
      </c>
      <c r="E13519" t="s">
        <v>29725</v>
      </c>
      <c r="F13519" t="s">
        <v>30900</v>
      </c>
      <c r="G13519" t="s">
        <v>30907</v>
      </c>
      <c r="H13519" t="s">
        <v>30915</v>
      </c>
      <c r="I13519" t="s">
        <v>30919</v>
      </c>
      <c r="J13519" t="s">
        <v>39458</v>
      </c>
      <c r="K13519" t="s">
        <v>40391</v>
      </c>
      <c r="M13519" t="s">
        <v>40591</v>
      </c>
      <c r="N13519" t="s">
        <v>44759</v>
      </c>
      <c r="O13519" t="s">
        <v>44760</v>
      </c>
      <c r="P13519">
        <v>0</v>
      </c>
      <c r="Q13519">
        <v>0</v>
      </c>
      <c r="R13519" t="s">
        <v>44781</v>
      </c>
      <c r="S13519" t="s">
        <v>45758</v>
      </c>
      <c r="T13519" t="s">
        <v>46531</v>
      </c>
      <c r="U13519" t="s">
        <v>58031</v>
      </c>
      <c r="W13519" t="s">
        <v>40591</v>
      </c>
      <c r="X13519" t="s">
        <v>44784</v>
      </c>
    </row>
    <row r="13520" spans="1:24">
      <c r="A13520">
        <f>HYPERLINK("https://www.philgeps.gov.ph/GEPSNONPILOT/Tender/SplashBidNoticeAbstractUI.aspx?menuIndex=3&amp;refID=7107899&amp;Result=3","7107899")</f>
        <v>0</v>
      </c>
      <c r="B13520" t="s">
        <v>45</v>
      </c>
      <c r="C13520" t="s">
        <v>16641</v>
      </c>
      <c r="E13520" t="s">
        <v>29726</v>
      </c>
      <c r="F13520" t="s">
        <v>30900</v>
      </c>
      <c r="G13520" t="s">
        <v>30907</v>
      </c>
      <c r="H13520" t="s">
        <v>30915</v>
      </c>
      <c r="I13520" t="s">
        <v>30919</v>
      </c>
      <c r="J13520" t="s">
        <v>39459</v>
      </c>
      <c r="K13520" t="s">
        <v>40404</v>
      </c>
      <c r="M13520" t="s">
        <v>40591</v>
      </c>
      <c r="N13520" t="s">
        <v>44759</v>
      </c>
      <c r="O13520" t="s">
        <v>44760</v>
      </c>
      <c r="P13520">
        <v>0</v>
      </c>
      <c r="Q13520">
        <v>1</v>
      </c>
      <c r="R13520" t="s">
        <v>44781</v>
      </c>
      <c r="S13520" t="s">
        <v>45758</v>
      </c>
      <c r="T13520" t="s">
        <v>46531</v>
      </c>
      <c r="U13520" t="s">
        <v>58032</v>
      </c>
      <c r="W13520" t="s">
        <v>40591</v>
      </c>
      <c r="X13520" t="s">
        <v>44783</v>
      </c>
    </row>
    <row r="13521" spans="1:24">
      <c r="A13521">
        <f>HYPERLINK("https://www.philgeps.gov.ph/GEPSNONPILOT/Tender/SplashBidNoticeAbstractUI.aspx?menuIndex=3&amp;refID=7107891&amp;Result=3","7107891")</f>
        <v>0</v>
      </c>
      <c r="B13521" t="s">
        <v>574</v>
      </c>
      <c r="C13521" t="s">
        <v>16642</v>
      </c>
      <c r="D13521" t="s">
        <v>17951</v>
      </c>
      <c r="E13521" t="s">
        <v>29727</v>
      </c>
      <c r="F13521" t="s">
        <v>30900</v>
      </c>
      <c r="G13521" t="s">
        <v>30907</v>
      </c>
      <c r="H13521" t="s">
        <v>30916</v>
      </c>
      <c r="I13521" t="s">
        <v>30949</v>
      </c>
      <c r="J13521" t="s">
        <v>34893</v>
      </c>
      <c r="K13521" t="s">
        <v>40284</v>
      </c>
      <c r="M13521" t="s">
        <v>41135</v>
      </c>
      <c r="N13521" t="s">
        <v>44759</v>
      </c>
      <c r="O13521" t="s">
        <v>44760</v>
      </c>
      <c r="Q13521">
        <v>2</v>
      </c>
      <c r="R13521" t="s">
        <v>44781</v>
      </c>
      <c r="S13521" t="s">
        <v>45760</v>
      </c>
      <c r="T13521" t="s">
        <v>46486</v>
      </c>
      <c r="U13521" t="s">
        <v>58033</v>
      </c>
      <c r="W13521" t="s">
        <v>41135</v>
      </c>
      <c r="X13521" t="s">
        <v>44783</v>
      </c>
    </row>
    <row r="13522" spans="1:24">
      <c r="A13522">
        <f>HYPERLINK("https://www.philgeps.gov.ph/GEPSNONPILOT/Tender/SplashBidNoticeAbstractUI.aspx?menuIndex=3&amp;refID=7107828&amp;Result=3","7107828")</f>
        <v>0</v>
      </c>
      <c r="B13522" t="s">
        <v>574</v>
      </c>
      <c r="C13522" t="s">
        <v>16643</v>
      </c>
      <c r="D13522" t="s">
        <v>17951</v>
      </c>
      <c r="E13522" t="s">
        <v>29728</v>
      </c>
      <c r="F13522" t="s">
        <v>30900</v>
      </c>
      <c r="G13522" t="s">
        <v>30907</v>
      </c>
      <c r="H13522" t="s">
        <v>30916</v>
      </c>
      <c r="I13522" t="s">
        <v>4108</v>
      </c>
      <c r="J13522" t="s">
        <v>39460</v>
      </c>
      <c r="K13522" t="s">
        <v>40284</v>
      </c>
      <c r="M13522" t="s">
        <v>41135</v>
      </c>
      <c r="N13522" t="s">
        <v>44759</v>
      </c>
      <c r="O13522" t="s">
        <v>44760</v>
      </c>
      <c r="Q13522">
        <v>1</v>
      </c>
      <c r="R13522" t="s">
        <v>44781</v>
      </c>
      <c r="S13522" t="s">
        <v>45761</v>
      </c>
      <c r="T13522" t="s">
        <v>46486</v>
      </c>
      <c r="U13522" t="s">
        <v>58034</v>
      </c>
      <c r="W13522" t="s">
        <v>41135</v>
      </c>
      <c r="X13522" t="s">
        <v>44783</v>
      </c>
    </row>
    <row r="13523" spans="1:24">
      <c r="A13523">
        <f>HYPERLINK("https://www.philgeps.gov.ph/GEPSNONPILOT/Tender/SplashBidNoticeAbstractUI.aspx?menuIndex=3&amp;refID=7106291&amp;Result=3","7106291")</f>
        <v>0</v>
      </c>
      <c r="B13523" t="s">
        <v>2310</v>
      </c>
      <c r="C13523" t="s">
        <v>16644</v>
      </c>
      <c r="D13523" t="s">
        <v>17952</v>
      </c>
      <c r="E13523" t="s">
        <v>18577</v>
      </c>
      <c r="F13523" t="s">
        <v>30900</v>
      </c>
      <c r="G13523" t="s">
        <v>30907</v>
      </c>
      <c r="H13523" t="s">
        <v>30915</v>
      </c>
      <c r="I13523" t="s">
        <v>30919</v>
      </c>
      <c r="J13523" t="s">
        <v>31297</v>
      </c>
      <c r="K13523" t="s">
        <v>40335</v>
      </c>
      <c r="M13523" t="s">
        <v>43028</v>
      </c>
      <c r="N13523" t="s">
        <v>44759</v>
      </c>
      <c r="O13523" t="s">
        <v>44760</v>
      </c>
      <c r="P13523">
        <v>0</v>
      </c>
      <c r="Q13523">
        <v>0</v>
      </c>
      <c r="R13523" t="s">
        <v>44781</v>
      </c>
      <c r="S13523" t="s">
        <v>45758</v>
      </c>
      <c r="T13523" t="s">
        <v>46403</v>
      </c>
      <c r="U13523" t="s">
        <v>58035</v>
      </c>
      <c r="W13523" t="s">
        <v>43028</v>
      </c>
      <c r="X13523" t="s">
        <v>44784</v>
      </c>
    </row>
    <row r="13524" spans="1:24">
      <c r="A13524">
        <f>HYPERLINK("https://www.philgeps.gov.ph/GEPSNONPILOT/Tender/SplashBidNoticeAbstractUI.aspx?menuIndex=3&amp;refID=7107756&amp;Result=3","7107756")</f>
        <v>0</v>
      </c>
      <c r="B13524" t="s">
        <v>46</v>
      </c>
      <c r="C13524" t="s">
        <v>16645</v>
      </c>
      <c r="D13524" t="s">
        <v>17953</v>
      </c>
      <c r="E13524" t="s">
        <v>29729</v>
      </c>
      <c r="F13524" t="s">
        <v>30900</v>
      </c>
      <c r="G13524" t="s">
        <v>30907</v>
      </c>
      <c r="H13524" t="s">
        <v>30916</v>
      </c>
      <c r="I13524" t="s">
        <v>30951</v>
      </c>
      <c r="J13524" t="s">
        <v>33266</v>
      </c>
      <c r="K13524" t="s">
        <v>40291</v>
      </c>
      <c r="M13524" t="s">
        <v>40592</v>
      </c>
      <c r="N13524" t="s">
        <v>44759</v>
      </c>
      <c r="O13524" t="s">
        <v>44760</v>
      </c>
      <c r="P13524">
        <v>0</v>
      </c>
      <c r="Q13524">
        <v>4</v>
      </c>
      <c r="R13524" t="s">
        <v>44781</v>
      </c>
      <c r="S13524" t="s">
        <v>45758</v>
      </c>
      <c r="T13524" t="s">
        <v>46641</v>
      </c>
      <c r="U13524" t="s">
        <v>46984</v>
      </c>
      <c r="W13524" t="s">
        <v>60814</v>
      </c>
      <c r="X13524" t="s">
        <v>44783</v>
      </c>
    </row>
    <row r="13525" spans="1:24">
      <c r="A13525">
        <f>HYPERLINK("https://www.philgeps.gov.ph/GEPSNONPILOT/Tender/SplashBidNoticeAbstractUI.aspx?menuIndex=3&amp;refID=7107687&amp;Result=3","7107687")</f>
        <v>0</v>
      </c>
      <c r="B13525" t="s">
        <v>46</v>
      </c>
      <c r="C13525" t="s">
        <v>16646</v>
      </c>
      <c r="D13525" t="s">
        <v>17953</v>
      </c>
      <c r="E13525" t="s">
        <v>29730</v>
      </c>
      <c r="F13525" t="s">
        <v>30900</v>
      </c>
      <c r="G13525" t="s">
        <v>30907</v>
      </c>
      <c r="H13525" t="s">
        <v>30916</v>
      </c>
      <c r="I13525" t="s">
        <v>10847</v>
      </c>
      <c r="J13525" t="s">
        <v>39461</v>
      </c>
      <c r="K13525" t="s">
        <v>40291</v>
      </c>
      <c r="M13525" t="s">
        <v>40592</v>
      </c>
      <c r="N13525" t="s">
        <v>44759</v>
      </c>
      <c r="O13525" t="s">
        <v>44760</v>
      </c>
      <c r="P13525">
        <v>0</v>
      </c>
      <c r="Q13525">
        <v>1</v>
      </c>
      <c r="R13525" t="s">
        <v>44781</v>
      </c>
      <c r="S13525" t="s">
        <v>45758</v>
      </c>
      <c r="T13525" t="s">
        <v>46641</v>
      </c>
      <c r="U13525" t="s">
        <v>46984</v>
      </c>
      <c r="W13525" t="s">
        <v>60814</v>
      </c>
      <c r="X13525" t="s">
        <v>44783</v>
      </c>
    </row>
    <row r="13526" spans="1:24">
      <c r="A13526">
        <f>HYPERLINK("https://www.philgeps.gov.ph/GEPSNONPILOT/Tender/SplashBidNoticeAbstractUI.aspx?menuIndex=3&amp;refID=7107636&amp;Result=3","7107636")</f>
        <v>0</v>
      </c>
      <c r="B13526" t="s">
        <v>574</v>
      </c>
      <c r="C13526" t="s">
        <v>16647</v>
      </c>
      <c r="D13526" t="s">
        <v>17951</v>
      </c>
      <c r="E13526" t="s">
        <v>29731</v>
      </c>
      <c r="F13526" t="s">
        <v>30900</v>
      </c>
      <c r="G13526" t="s">
        <v>30907</v>
      </c>
      <c r="H13526" t="s">
        <v>30916</v>
      </c>
      <c r="I13526" t="s">
        <v>30949</v>
      </c>
      <c r="J13526" t="s">
        <v>33728</v>
      </c>
      <c r="K13526" t="s">
        <v>40284</v>
      </c>
      <c r="M13526" t="s">
        <v>41135</v>
      </c>
      <c r="N13526" t="s">
        <v>44759</v>
      </c>
      <c r="O13526" t="s">
        <v>44760</v>
      </c>
      <c r="Q13526">
        <v>1</v>
      </c>
      <c r="R13526" t="s">
        <v>44781</v>
      </c>
      <c r="S13526" t="s">
        <v>45762</v>
      </c>
      <c r="T13526" t="s">
        <v>46486</v>
      </c>
      <c r="U13526" t="s">
        <v>58036</v>
      </c>
      <c r="W13526" t="s">
        <v>41135</v>
      </c>
      <c r="X13526" t="s">
        <v>44783</v>
      </c>
    </row>
    <row r="13527" spans="1:24">
      <c r="A13527">
        <f>HYPERLINK("https://www.philgeps.gov.ph/GEPSNONPILOT/Tender/SplashBidNoticeAbstractUI.aspx?menuIndex=3&amp;refID=7107569&amp;Result=3","7107569")</f>
        <v>0</v>
      </c>
      <c r="B13527" t="s">
        <v>46</v>
      </c>
      <c r="C13527" t="s">
        <v>16648</v>
      </c>
      <c r="D13527" t="s">
        <v>17953</v>
      </c>
      <c r="E13527" t="s">
        <v>29732</v>
      </c>
      <c r="F13527" t="s">
        <v>30900</v>
      </c>
      <c r="G13527" t="s">
        <v>30907</v>
      </c>
      <c r="H13527" t="s">
        <v>30916</v>
      </c>
      <c r="I13527" t="s">
        <v>9385</v>
      </c>
      <c r="J13527" t="s">
        <v>34807</v>
      </c>
      <c r="K13527" t="s">
        <v>40291</v>
      </c>
      <c r="M13527" t="s">
        <v>40592</v>
      </c>
      <c r="N13527" t="s">
        <v>44759</v>
      </c>
      <c r="O13527" t="s">
        <v>44760</v>
      </c>
      <c r="P13527">
        <v>0</v>
      </c>
      <c r="Q13527">
        <v>28</v>
      </c>
      <c r="R13527" t="s">
        <v>44781</v>
      </c>
      <c r="S13527" t="s">
        <v>45758</v>
      </c>
      <c r="T13527" t="s">
        <v>46641</v>
      </c>
      <c r="U13527" t="s">
        <v>46984</v>
      </c>
      <c r="W13527" t="s">
        <v>60814</v>
      </c>
      <c r="X13527" t="s">
        <v>44783</v>
      </c>
    </row>
    <row r="13528" spans="1:24">
      <c r="A13528">
        <f>HYPERLINK("https://www.philgeps.gov.ph/GEPSNONPILOT/Tender/SplashBidNoticeAbstractUI.aspx?menuIndex=3&amp;refID=7107564&amp;Result=3","7107564")</f>
        <v>0</v>
      </c>
      <c r="B13528" t="s">
        <v>574</v>
      </c>
      <c r="C13528" t="s">
        <v>16649</v>
      </c>
      <c r="D13528" t="s">
        <v>17951</v>
      </c>
      <c r="E13528" t="s">
        <v>29733</v>
      </c>
      <c r="F13528" t="s">
        <v>30900</v>
      </c>
      <c r="G13528" t="s">
        <v>30907</v>
      </c>
      <c r="H13528" t="s">
        <v>30916</v>
      </c>
      <c r="I13528" t="s">
        <v>30949</v>
      </c>
      <c r="J13528" t="s">
        <v>39462</v>
      </c>
      <c r="K13528" t="s">
        <v>40284</v>
      </c>
      <c r="M13528" t="s">
        <v>41135</v>
      </c>
      <c r="N13528" t="s">
        <v>44759</v>
      </c>
      <c r="O13528" t="s">
        <v>44760</v>
      </c>
      <c r="Q13528">
        <v>2</v>
      </c>
      <c r="R13528" t="s">
        <v>44781</v>
      </c>
      <c r="S13528" t="s">
        <v>45763</v>
      </c>
      <c r="T13528" t="s">
        <v>46486</v>
      </c>
      <c r="U13528" t="s">
        <v>58037</v>
      </c>
      <c r="W13528" t="s">
        <v>41135</v>
      </c>
      <c r="X13528" t="s">
        <v>44783</v>
      </c>
    </row>
    <row r="13529" spans="1:24">
      <c r="A13529">
        <f>HYPERLINK("https://www.philgeps.gov.ph/GEPSNONPILOT/Tender/SplashBidNoticeAbstractUI.aspx?menuIndex=3&amp;refID=7106369&amp;Result=3","7106369")</f>
        <v>0</v>
      </c>
      <c r="B13529" t="s">
        <v>980</v>
      </c>
      <c r="C13529" t="s">
        <v>16650</v>
      </c>
      <c r="D13529" t="s">
        <v>17952</v>
      </c>
      <c r="E13529" t="s">
        <v>29734</v>
      </c>
      <c r="F13529" t="s">
        <v>30900</v>
      </c>
      <c r="G13529" t="s">
        <v>30907</v>
      </c>
      <c r="H13529" t="s">
        <v>30916</v>
      </c>
      <c r="I13529" t="s">
        <v>30933</v>
      </c>
      <c r="J13529" t="s">
        <v>33787</v>
      </c>
      <c r="K13529" t="s">
        <v>40286</v>
      </c>
      <c r="M13529" t="s">
        <v>41568</v>
      </c>
      <c r="N13529" t="s">
        <v>44759</v>
      </c>
      <c r="O13529" t="s">
        <v>44760</v>
      </c>
      <c r="P13529">
        <v>0</v>
      </c>
      <c r="Q13529">
        <v>5</v>
      </c>
      <c r="R13529" t="s">
        <v>44781</v>
      </c>
      <c r="S13529" t="s">
        <v>45758</v>
      </c>
      <c r="T13529" t="s">
        <v>46625</v>
      </c>
      <c r="U13529" t="s">
        <v>58038</v>
      </c>
      <c r="W13529" t="s">
        <v>41568</v>
      </c>
      <c r="X13529" t="s">
        <v>44784</v>
      </c>
    </row>
    <row r="13530" spans="1:24">
      <c r="A13530">
        <f>HYPERLINK("https://www.philgeps.gov.ph/GEPSNONPILOT/Tender/SplashBidNoticeAbstractUI.aspx?menuIndex=3&amp;refID=7107479&amp;Result=3","7107479")</f>
        <v>0</v>
      </c>
      <c r="B13530" t="s">
        <v>81</v>
      </c>
      <c r="C13530" t="s">
        <v>16651</v>
      </c>
      <c r="D13530" t="s">
        <v>17959</v>
      </c>
      <c r="E13530" t="s">
        <v>25047</v>
      </c>
      <c r="F13530" t="s">
        <v>30900</v>
      </c>
      <c r="G13530" t="s">
        <v>30907</v>
      </c>
      <c r="H13530" t="s">
        <v>30916</v>
      </c>
      <c r="I13530" t="s">
        <v>30918</v>
      </c>
      <c r="J13530" t="s">
        <v>39463</v>
      </c>
      <c r="K13530" t="s">
        <v>40289</v>
      </c>
      <c r="M13530" t="s">
        <v>43148</v>
      </c>
      <c r="N13530" t="s">
        <v>44759</v>
      </c>
      <c r="O13530" t="s">
        <v>44760</v>
      </c>
      <c r="P13530">
        <v>0</v>
      </c>
      <c r="Q13530">
        <v>21</v>
      </c>
      <c r="R13530" t="s">
        <v>44781</v>
      </c>
      <c r="S13530" t="s">
        <v>45758</v>
      </c>
      <c r="T13530" t="s">
        <v>46581</v>
      </c>
      <c r="U13530" t="s">
        <v>58039</v>
      </c>
      <c r="W13530" t="s">
        <v>43148</v>
      </c>
      <c r="X13530" t="s">
        <v>44783</v>
      </c>
    </row>
    <row r="13531" spans="1:24">
      <c r="A13531">
        <f>HYPERLINK("https://www.philgeps.gov.ph/GEPSNONPILOT/Tender/SplashBidNoticeAbstractUI.aspx?menuIndex=3&amp;refID=7107146&amp;Result=3","7107146")</f>
        <v>0</v>
      </c>
      <c r="B13531" t="s">
        <v>3646</v>
      </c>
      <c r="C13531" t="s">
        <v>4289</v>
      </c>
      <c r="D13531" t="s">
        <v>17978</v>
      </c>
      <c r="E13531" t="s">
        <v>29735</v>
      </c>
      <c r="F13531" t="s">
        <v>30900</v>
      </c>
      <c r="G13531" t="s">
        <v>30907</v>
      </c>
      <c r="H13531" t="s">
        <v>30916</v>
      </c>
      <c r="I13531" t="s">
        <v>30924</v>
      </c>
      <c r="J13531" t="s">
        <v>39464</v>
      </c>
      <c r="K13531" t="s">
        <v>40280</v>
      </c>
      <c r="M13531" t="s">
        <v>44588</v>
      </c>
      <c r="N13531" t="s">
        <v>44759</v>
      </c>
      <c r="O13531" t="s">
        <v>44760</v>
      </c>
      <c r="Q13531">
        <v>13</v>
      </c>
      <c r="R13531" t="s">
        <v>44781</v>
      </c>
      <c r="S13531" t="s">
        <v>45764</v>
      </c>
      <c r="T13531" t="s">
        <v>46771</v>
      </c>
      <c r="U13531" t="s">
        <v>58040</v>
      </c>
      <c r="W13531" t="s">
        <v>44588</v>
      </c>
      <c r="X13531" t="s">
        <v>44784</v>
      </c>
    </row>
    <row r="13532" spans="1:24">
      <c r="A13532">
        <f>HYPERLINK("https://www.philgeps.gov.ph/GEPSNONPILOT/Tender/SplashBidNoticeAbstractUI.aspx?menuIndex=3&amp;refID=7107414&amp;Result=3","7107414")</f>
        <v>0</v>
      </c>
      <c r="B13532" t="s">
        <v>574</v>
      </c>
      <c r="C13532" t="s">
        <v>16652</v>
      </c>
      <c r="D13532" t="s">
        <v>17951</v>
      </c>
      <c r="E13532" t="s">
        <v>29736</v>
      </c>
      <c r="F13532" t="s">
        <v>30900</v>
      </c>
      <c r="G13532" t="s">
        <v>30907</v>
      </c>
      <c r="H13532" t="s">
        <v>30916</v>
      </c>
      <c r="I13532" t="s">
        <v>4108</v>
      </c>
      <c r="J13532" t="s">
        <v>39465</v>
      </c>
      <c r="K13532" t="s">
        <v>40284</v>
      </c>
      <c r="M13532" t="s">
        <v>41135</v>
      </c>
      <c r="N13532" t="s">
        <v>44759</v>
      </c>
      <c r="O13532" t="s">
        <v>44760</v>
      </c>
      <c r="Q13532">
        <v>1</v>
      </c>
      <c r="R13532" t="s">
        <v>44781</v>
      </c>
      <c r="S13532" t="s">
        <v>45765</v>
      </c>
      <c r="T13532" t="s">
        <v>46486</v>
      </c>
      <c r="U13532" t="s">
        <v>58041</v>
      </c>
      <c r="W13532" t="s">
        <v>41135</v>
      </c>
      <c r="X13532" t="s">
        <v>44783</v>
      </c>
    </row>
    <row r="13533" spans="1:24">
      <c r="A13533">
        <f>HYPERLINK("https://www.philgeps.gov.ph/GEPSNONPILOT/Tender/SplashBidNoticeAbstractUI.aspx?menuIndex=3&amp;refID=7107732&amp;Result=3","7107732")</f>
        <v>0</v>
      </c>
      <c r="B13533" t="s">
        <v>46</v>
      </c>
      <c r="C13533" t="s">
        <v>16653</v>
      </c>
      <c r="D13533" t="s">
        <v>17953</v>
      </c>
      <c r="E13533" t="s">
        <v>29737</v>
      </c>
      <c r="F13533" t="s">
        <v>30900</v>
      </c>
      <c r="G13533" t="s">
        <v>30907</v>
      </c>
      <c r="H13533" t="s">
        <v>30916</v>
      </c>
      <c r="I13533" t="s">
        <v>10879</v>
      </c>
      <c r="J13533" t="s">
        <v>31297</v>
      </c>
      <c r="K13533" t="s">
        <v>40291</v>
      </c>
      <c r="M13533" t="s">
        <v>40592</v>
      </c>
      <c r="N13533" t="s">
        <v>44759</v>
      </c>
      <c r="O13533" t="s">
        <v>44760</v>
      </c>
      <c r="P13533">
        <v>0</v>
      </c>
      <c r="Q13533">
        <v>10</v>
      </c>
      <c r="R13533" t="s">
        <v>44781</v>
      </c>
      <c r="S13533" t="s">
        <v>45758</v>
      </c>
      <c r="T13533" t="s">
        <v>46641</v>
      </c>
      <c r="U13533" t="s">
        <v>46984</v>
      </c>
      <c r="W13533" t="s">
        <v>60814</v>
      </c>
      <c r="X13533" t="s">
        <v>44783</v>
      </c>
    </row>
    <row r="13534" spans="1:24">
      <c r="A13534">
        <f>HYPERLINK("https://www.philgeps.gov.ph/GEPSNONPILOT/Tender/SplashBidNoticeAbstractUI.aspx?menuIndex=3&amp;refID=7107693&amp;Result=3","7107693")</f>
        <v>0</v>
      </c>
      <c r="B13534" t="s">
        <v>574</v>
      </c>
      <c r="C13534" t="s">
        <v>16654</v>
      </c>
      <c r="D13534" t="s">
        <v>17951</v>
      </c>
      <c r="E13534" t="s">
        <v>29738</v>
      </c>
      <c r="F13534" t="s">
        <v>30900</v>
      </c>
      <c r="G13534" t="s">
        <v>30907</v>
      </c>
      <c r="H13534" t="s">
        <v>30916</v>
      </c>
      <c r="I13534" t="s">
        <v>30949</v>
      </c>
      <c r="J13534" t="s">
        <v>39466</v>
      </c>
      <c r="K13534" t="s">
        <v>40284</v>
      </c>
      <c r="M13534" t="s">
        <v>41135</v>
      </c>
      <c r="N13534" t="s">
        <v>44759</v>
      </c>
      <c r="O13534" t="s">
        <v>44760</v>
      </c>
      <c r="Q13534">
        <v>2</v>
      </c>
      <c r="R13534" t="s">
        <v>44781</v>
      </c>
      <c r="S13534" t="s">
        <v>45761</v>
      </c>
      <c r="T13534" t="s">
        <v>46486</v>
      </c>
      <c r="U13534" t="s">
        <v>58042</v>
      </c>
      <c r="W13534" t="s">
        <v>41135</v>
      </c>
      <c r="X13534" t="s">
        <v>44783</v>
      </c>
    </row>
    <row r="13535" spans="1:24">
      <c r="A13535">
        <f>HYPERLINK("https://www.philgeps.gov.ph/GEPSNONPILOT/Tender/SplashBidNoticeAbstractUI.aspx?menuIndex=3&amp;refID=7108594&amp;Result=3","7108594")</f>
        <v>0</v>
      </c>
      <c r="B13535" t="s">
        <v>853</v>
      </c>
      <c r="C13535" t="s">
        <v>16655</v>
      </c>
      <c r="D13535" t="s">
        <v>18018</v>
      </c>
      <c r="E13535" t="s">
        <v>29739</v>
      </c>
      <c r="F13535" t="s">
        <v>30900</v>
      </c>
      <c r="G13535" t="s">
        <v>30907</v>
      </c>
      <c r="H13535" t="s">
        <v>30916</v>
      </c>
      <c r="I13535" t="s">
        <v>30933</v>
      </c>
      <c r="J13535" t="s">
        <v>37375</v>
      </c>
      <c r="K13535" t="s">
        <v>40286</v>
      </c>
      <c r="M13535" t="s">
        <v>44589</v>
      </c>
      <c r="N13535" t="s">
        <v>44759</v>
      </c>
      <c r="O13535" t="s">
        <v>44760</v>
      </c>
      <c r="P13535">
        <v>0</v>
      </c>
      <c r="Q13535">
        <v>4</v>
      </c>
      <c r="R13535" t="s">
        <v>44781</v>
      </c>
      <c r="S13535" t="s">
        <v>45758</v>
      </c>
      <c r="T13535" t="s">
        <v>46644</v>
      </c>
      <c r="U13535" t="s">
        <v>58043</v>
      </c>
      <c r="W13535" t="s">
        <v>44589</v>
      </c>
      <c r="X13535" t="s">
        <v>44783</v>
      </c>
    </row>
    <row r="13536" spans="1:24">
      <c r="A13536">
        <f>HYPERLINK("https://www.philgeps.gov.ph/GEPSNONPILOT/Tender/SplashBidNoticeAbstractUI.aspx?menuIndex=3&amp;refID=7108585&amp;Result=3","7108585")</f>
        <v>0</v>
      </c>
      <c r="B13536" t="s">
        <v>626</v>
      </c>
      <c r="C13536" t="s">
        <v>16656</v>
      </c>
      <c r="E13536" t="s">
        <v>29740</v>
      </c>
      <c r="F13536" t="s">
        <v>30900</v>
      </c>
      <c r="G13536" t="s">
        <v>30907</v>
      </c>
      <c r="H13536" t="s">
        <v>30915</v>
      </c>
      <c r="I13536" t="s">
        <v>30919</v>
      </c>
      <c r="J13536" t="s">
        <v>39467</v>
      </c>
      <c r="K13536" t="s">
        <v>40289</v>
      </c>
      <c r="M13536" t="s">
        <v>41188</v>
      </c>
      <c r="N13536" t="s">
        <v>44759</v>
      </c>
      <c r="O13536" t="s">
        <v>44760</v>
      </c>
      <c r="Q13536">
        <v>6</v>
      </c>
      <c r="R13536" t="s">
        <v>44781</v>
      </c>
      <c r="S13536" t="s">
        <v>45766</v>
      </c>
      <c r="T13536" t="s">
        <v>46625</v>
      </c>
      <c r="U13536" t="s">
        <v>58044</v>
      </c>
      <c r="V13536" t="s">
        <v>60653</v>
      </c>
      <c r="W13536" t="s">
        <v>41188</v>
      </c>
      <c r="X13536" t="s">
        <v>44783</v>
      </c>
    </row>
    <row r="13537" spans="1:24">
      <c r="A13537">
        <f>HYPERLINK("https://www.philgeps.gov.ph/GEPSNONPILOT/Tender/SplashBidNoticeAbstractUI.aspx?menuIndex=3&amp;refID=7108629&amp;Result=3","7108629")</f>
        <v>0</v>
      </c>
      <c r="B13537" t="s">
        <v>42</v>
      </c>
      <c r="C13537" t="s">
        <v>6311</v>
      </c>
      <c r="D13537" t="s">
        <v>17967</v>
      </c>
      <c r="E13537" t="s">
        <v>29741</v>
      </c>
      <c r="F13537" t="s">
        <v>30900</v>
      </c>
      <c r="G13537" t="s">
        <v>30907</v>
      </c>
      <c r="H13537" t="s">
        <v>30916</v>
      </c>
      <c r="I13537" t="s">
        <v>5501</v>
      </c>
      <c r="J13537" t="s">
        <v>32707</v>
      </c>
      <c r="K13537" t="s">
        <v>40284</v>
      </c>
      <c r="M13537" t="s">
        <v>40588</v>
      </c>
      <c r="N13537" t="s">
        <v>44759</v>
      </c>
      <c r="O13537" t="s">
        <v>44760</v>
      </c>
      <c r="Q13537">
        <v>9</v>
      </c>
      <c r="R13537" t="s">
        <v>44781</v>
      </c>
      <c r="S13537" t="s">
        <v>45767</v>
      </c>
      <c r="T13537" t="s">
        <v>46581</v>
      </c>
      <c r="U13537" t="s">
        <v>58045</v>
      </c>
      <c r="W13537" t="s">
        <v>40588</v>
      </c>
      <c r="X13537" t="s">
        <v>44783</v>
      </c>
    </row>
    <row r="13538" spans="1:24">
      <c r="A13538">
        <f>HYPERLINK("https://www.philgeps.gov.ph/GEPSNONPILOT/Tender/SplashBidNoticeAbstractUI.aspx?menuIndex=3&amp;refID=7108560&amp;Result=3","7108560")</f>
        <v>0</v>
      </c>
      <c r="B13538" t="s">
        <v>853</v>
      </c>
      <c r="C13538" t="s">
        <v>16657</v>
      </c>
      <c r="D13538" t="s">
        <v>18018</v>
      </c>
      <c r="E13538" t="s">
        <v>29742</v>
      </c>
      <c r="F13538" t="s">
        <v>30900</v>
      </c>
      <c r="G13538" t="s">
        <v>30907</v>
      </c>
      <c r="H13538" t="s">
        <v>30916</v>
      </c>
      <c r="I13538" t="s">
        <v>30933</v>
      </c>
      <c r="J13538" t="s">
        <v>31153</v>
      </c>
      <c r="K13538" t="s">
        <v>40286</v>
      </c>
      <c r="M13538" t="s">
        <v>44589</v>
      </c>
      <c r="N13538" t="s">
        <v>44759</v>
      </c>
      <c r="O13538" t="s">
        <v>44760</v>
      </c>
      <c r="P13538">
        <v>0</v>
      </c>
      <c r="Q13538">
        <v>2</v>
      </c>
      <c r="R13538" t="s">
        <v>44781</v>
      </c>
      <c r="S13538" t="s">
        <v>45758</v>
      </c>
      <c r="T13538" t="s">
        <v>46644</v>
      </c>
      <c r="U13538" t="s">
        <v>58046</v>
      </c>
      <c r="W13538" t="s">
        <v>44589</v>
      </c>
      <c r="X13538" t="s">
        <v>44783</v>
      </c>
    </row>
    <row r="13539" spans="1:24">
      <c r="A13539">
        <f>HYPERLINK("https://www.philgeps.gov.ph/GEPSNONPILOT/Tender/SplashBidNoticeAbstractUI.aspx?menuIndex=3&amp;refID=7108576&amp;Result=3","7108576")</f>
        <v>0</v>
      </c>
      <c r="B13539" t="s">
        <v>853</v>
      </c>
      <c r="C13539" t="s">
        <v>16658</v>
      </c>
      <c r="D13539" t="s">
        <v>18018</v>
      </c>
      <c r="E13539" t="s">
        <v>29743</v>
      </c>
      <c r="F13539" t="s">
        <v>30900</v>
      </c>
      <c r="G13539" t="s">
        <v>30907</v>
      </c>
      <c r="H13539" t="s">
        <v>30916</v>
      </c>
      <c r="I13539" t="s">
        <v>30933</v>
      </c>
      <c r="J13539" t="s">
        <v>31153</v>
      </c>
      <c r="K13539" t="s">
        <v>40286</v>
      </c>
      <c r="M13539" t="s">
        <v>44589</v>
      </c>
      <c r="N13539" t="s">
        <v>44759</v>
      </c>
      <c r="O13539" t="s">
        <v>44760</v>
      </c>
      <c r="P13539">
        <v>0</v>
      </c>
      <c r="Q13539">
        <v>2</v>
      </c>
      <c r="R13539" t="s">
        <v>44781</v>
      </c>
      <c r="S13539" t="s">
        <v>45758</v>
      </c>
      <c r="T13539" t="s">
        <v>46644</v>
      </c>
      <c r="U13539" t="s">
        <v>58047</v>
      </c>
      <c r="W13539" t="s">
        <v>44589</v>
      </c>
      <c r="X13539" t="s">
        <v>44783</v>
      </c>
    </row>
    <row r="13540" spans="1:24">
      <c r="A13540">
        <f>HYPERLINK("https://www.philgeps.gov.ph/GEPSNONPILOT/Tender/SplashBidNoticeAbstractUI.aspx?menuIndex=3&amp;refID=7107461&amp;Result=3","7107461")</f>
        <v>0</v>
      </c>
      <c r="B13540" t="s">
        <v>574</v>
      </c>
      <c r="C13540" t="s">
        <v>16659</v>
      </c>
      <c r="D13540" t="s">
        <v>17951</v>
      </c>
      <c r="E13540" t="s">
        <v>29744</v>
      </c>
      <c r="F13540" t="s">
        <v>30900</v>
      </c>
      <c r="G13540" t="s">
        <v>30907</v>
      </c>
      <c r="H13540" t="s">
        <v>30916</v>
      </c>
      <c r="I13540" t="s">
        <v>30941</v>
      </c>
      <c r="J13540" t="s">
        <v>39462</v>
      </c>
      <c r="K13540" t="s">
        <v>40284</v>
      </c>
      <c r="M13540" t="s">
        <v>41135</v>
      </c>
      <c r="N13540" t="s">
        <v>44759</v>
      </c>
      <c r="O13540" t="s">
        <v>44760</v>
      </c>
      <c r="Q13540">
        <v>0</v>
      </c>
      <c r="R13540" t="s">
        <v>44781</v>
      </c>
      <c r="S13540" t="s">
        <v>45765</v>
      </c>
      <c r="T13540" t="s">
        <v>46486</v>
      </c>
      <c r="U13540" t="s">
        <v>58048</v>
      </c>
      <c r="W13540" t="s">
        <v>41135</v>
      </c>
      <c r="X13540" t="s">
        <v>44783</v>
      </c>
    </row>
    <row r="13541" spans="1:24">
      <c r="A13541">
        <f>HYPERLINK("https://www.philgeps.gov.ph/GEPSNONPILOT/Tender/SplashBidNoticeAbstractUI.aspx?menuIndex=3&amp;refID=7108464&amp;Result=3","7108464")</f>
        <v>0</v>
      </c>
      <c r="B13541" t="s">
        <v>574</v>
      </c>
      <c r="C13541" t="s">
        <v>16660</v>
      </c>
      <c r="D13541" t="s">
        <v>17951</v>
      </c>
      <c r="E13541" t="s">
        <v>29745</v>
      </c>
      <c r="F13541" t="s">
        <v>30900</v>
      </c>
      <c r="G13541" t="s">
        <v>30907</v>
      </c>
      <c r="H13541" t="s">
        <v>30916</v>
      </c>
      <c r="I13541" t="s">
        <v>30993</v>
      </c>
      <c r="J13541" t="s">
        <v>39468</v>
      </c>
      <c r="K13541" t="s">
        <v>40284</v>
      </c>
      <c r="M13541" t="s">
        <v>41135</v>
      </c>
      <c r="N13541" t="s">
        <v>44759</v>
      </c>
      <c r="O13541" t="s">
        <v>44760</v>
      </c>
      <c r="Q13541">
        <v>4</v>
      </c>
      <c r="R13541" t="s">
        <v>44781</v>
      </c>
      <c r="S13541" t="s">
        <v>45768</v>
      </c>
      <c r="T13541" t="s">
        <v>46486</v>
      </c>
      <c r="U13541" t="s">
        <v>58049</v>
      </c>
      <c r="W13541" t="s">
        <v>41135</v>
      </c>
      <c r="X13541" t="s">
        <v>44783</v>
      </c>
    </row>
    <row r="13542" spans="1:24">
      <c r="A13542">
        <f>HYPERLINK("https://www.philgeps.gov.ph/GEPSNONPILOT/Tender/SplashBidNoticeAbstractUI.aspx?menuIndex=3&amp;refID=7108515&amp;Result=3","7108515")</f>
        <v>0</v>
      </c>
      <c r="B13542" t="s">
        <v>626</v>
      </c>
      <c r="C13542" t="s">
        <v>16661</v>
      </c>
      <c r="E13542" t="s">
        <v>29746</v>
      </c>
      <c r="F13542" t="s">
        <v>30900</v>
      </c>
      <c r="G13542" t="s">
        <v>30907</v>
      </c>
      <c r="H13542" t="s">
        <v>30915</v>
      </c>
      <c r="I13542" t="s">
        <v>30919</v>
      </c>
      <c r="J13542" t="s">
        <v>39469</v>
      </c>
      <c r="K13542" t="s">
        <v>40289</v>
      </c>
      <c r="M13542" t="s">
        <v>41188</v>
      </c>
      <c r="N13542" t="s">
        <v>44759</v>
      </c>
      <c r="O13542" t="s">
        <v>44760</v>
      </c>
      <c r="Q13542">
        <v>9</v>
      </c>
      <c r="R13542" t="s">
        <v>44781</v>
      </c>
      <c r="S13542" t="s">
        <v>45769</v>
      </c>
      <c r="T13542" t="s">
        <v>46625</v>
      </c>
      <c r="U13542" t="s">
        <v>58050</v>
      </c>
      <c r="V13542" t="s">
        <v>60653</v>
      </c>
      <c r="W13542" t="s">
        <v>41188</v>
      </c>
      <c r="X13542" t="s">
        <v>44783</v>
      </c>
    </row>
    <row r="13543" spans="1:24">
      <c r="A13543">
        <f>HYPERLINK("https://www.philgeps.gov.ph/GEPSNONPILOT/Tender/SplashBidNoticeAbstractUI.aspx?menuIndex=3&amp;refID=7108530&amp;Result=3","7108530")</f>
        <v>0</v>
      </c>
      <c r="B13543" t="s">
        <v>626</v>
      </c>
      <c r="C13543" t="s">
        <v>16662</v>
      </c>
      <c r="E13543" t="s">
        <v>29747</v>
      </c>
      <c r="F13543" t="s">
        <v>30900</v>
      </c>
      <c r="G13543" t="s">
        <v>30907</v>
      </c>
      <c r="H13543" t="s">
        <v>30915</v>
      </c>
      <c r="I13543" t="s">
        <v>30919</v>
      </c>
      <c r="J13543" t="s">
        <v>39470</v>
      </c>
      <c r="K13543" t="s">
        <v>40289</v>
      </c>
      <c r="M13543" t="s">
        <v>41188</v>
      </c>
      <c r="N13543" t="s">
        <v>44759</v>
      </c>
      <c r="O13543" t="s">
        <v>44760</v>
      </c>
      <c r="Q13543">
        <v>6</v>
      </c>
      <c r="R13543" t="s">
        <v>44781</v>
      </c>
      <c r="S13543" t="s">
        <v>45544</v>
      </c>
      <c r="T13543" t="s">
        <v>46625</v>
      </c>
      <c r="U13543" t="s">
        <v>58051</v>
      </c>
      <c r="V13543" t="s">
        <v>60653</v>
      </c>
      <c r="W13543" t="s">
        <v>41188</v>
      </c>
      <c r="X13543" t="s">
        <v>44783</v>
      </c>
    </row>
    <row r="13544" spans="1:24">
      <c r="A13544">
        <f>HYPERLINK("https://www.philgeps.gov.ph/GEPSNONPILOT/Tender/SplashBidNoticeAbstractUI.aspx?menuIndex=3&amp;refID=7108483&amp;Result=3","7108483")</f>
        <v>0</v>
      </c>
      <c r="B13544" t="s">
        <v>626</v>
      </c>
      <c r="C13544" t="s">
        <v>16663</v>
      </c>
      <c r="E13544" t="s">
        <v>29748</v>
      </c>
      <c r="F13544" t="s">
        <v>30900</v>
      </c>
      <c r="G13544" t="s">
        <v>30907</v>
      </c>
      <c r="H13544" t="s">
        <v>30915</v>
      </c>
      <c r="I13544" t="s">
        <v>30919</v>
      </c>
      <c r="J13544" t="s">
        <v>39471</v>
      </c>
      <c r="K13544" t="s">
        <v>40289</v>
      </c>
      <c r="M13544" t="s">
        <v>41188</v>
      </c>
      <c r="N13544" t="s">
        <v>44759</v>
      </c>
      <c r="O13544" t="s">
        <v>44760</v>
      </c>
      <c r="Q13544">
        <v>8</v>
      </c>
      <c r="R13544" t="s">
        <v>44781</v>
      </c>
      <c r="S13544" t="s">
        <v>45770</v>
      </c>
      <c r="T13544" t="s">
        <v>46625</v>
      </c>
      <c r="U13544" t="s">
        <v>58052</v>
      </c>
      <c r="V13544" t="s">
        <v>60653</v>
      </c>
      <c r="W13544" t="s">
        <v>41188</v>
      </c>
      <c r="X13544" t="s">
        <v>44783</v>
      </c>
    </row>
    <row r="13545" spans="1:24">
      <c r="A13545">
        <f>HYPERLINK("https://www.philgeps.gov.ph/GEPSNONPILOT/Tender/SplashBidNoticeAbstractUI.aspx?menuIndex=3&amp;refID=7108381&amp;Result=3","7108381")</f>
        <v>0</v>
      </c>
      <c r="B13545" t="s">
        <v>574</v>
      </c>
      <c r="C13545" t="s">
        <v>16664</v>
      </c>
      <c r="D13545" t="s">
        <v>17951</v>
      </c>
      <c r="E13545" t="s">
        <v>29749</v>
      </c>
      <c r="F13545" t="s">
        <v>30900</v>
      </c>
      <c r="G13545" t="s">
        <v>30907</v>
      </c>
      <c r="H13545" t="s">
        <v>30916</v>
      </c>
      <c r="I13545" t="s">
        <v>31024</v>
      </c>
      <c r="J13545" t="s">
        <v>39472</v>
      </c>
      <c r="K13545" t="s">
        <v>40284</v>
      </c>
      <c r="M13545" t="s">
        <v>41135</v>
      </c>
      <c r="N13545" t="s">
        <v>44759</v>
      </c>
      <c r="O13545" t="s">
        <v>44760</v>
      </c>
      <c r="Q13545">
        <v>2</v>
      </c>
      <c r="R13545" t="s">
        <v>44781</v>
      </c>
      <c r="S13545" t="s">
        <v>45768</v>
      </c>
      <c r="T13545" t="s">
        <v>46486</v>
      </c>
      <c r="U13545" t="s">
        <v>58053</v>
      </c>
      <c r="W13545" t="s">
        <v>41135</v>
      </c>
      <c r="X13545" t="s">
        <v>44783</v>
      </c>
    </row>
    <row r="13546" spans="1:24">
      <c r="A13546">
        <f>HYPERLINK("https://www.philgeps.gov.ph/GEPSNONPILOT/Tender/SplashBidNoticeAbstractUI.aspx?menuIndex=3&amp;refID=7108563&amp;Result=3","7108563")</f>
        <v>0</v>
      </c>
      <c r="B13546" t="s">
        <v>626</v>
      </c>
      <c r="C13546" t="s">
        <v>16665</v>
      </c>
      <c r="E13546" t="s">
        <v>29750</v>
      </c>
      <c r="F13546" t="s">
        <v>30900</v>
      </c>
      <c r="G13546" t="s">
        <v>30907</v>
      </c>
      <c r="H13546" t="s">
        <v>30915</v>
      </c>
      <c r="I13546" t="s">
        <v>30919</v>
      </c>
      <c r="J13546" t="s">
        <v>39473</v>
      </c>
      <c r="K13546" t="s">
        <v>40289</v>
      </c>
      <c r="M13546" t="s">
        <v>41188</v>
      </c>
      <c r="N13546" t="s">
        <v>44759</v>
      </c>
      <c r="O13546" t="s">
        <v>44760</v>
      </c>
      <c r="Q13546">
        <v>6</v>
      </c>
      <c r="R13546" t="s">
        <v>44781</v>
      </c>
      <c r="S13546" t="s">
        <v>45771</v>
      </c>
      <c r="T13546" t="s">
        <v>46625</v>
      </c>
      <c r="U13546" t="s">
        <v>58054</v>
      </c>
      <c r="V13546" t="s">
        <v>60653</v>
      </c>
      <c r="W13546" t="s">
        <v>41188</v>
      </c>
      <c r="X13546" t="s">
        <v>44783</v>
      </c>
    </row>
    <row r="13547" spans="1:24">
      <c r="A13547">
        <f>HYPERLINK("https://www.philgeps.gov.ph/GEPSNONPILOT/Tender/SplashBidNoticeAbstractUI.aspx?menuIndex=3&amp;refID=7116029&amp;Result=3","7116029")</f>
        <v>0</v>
      </c>
      <c r="B13547" t="s">
        <v>44</v>
      </c>
      <c r="C13547" t="s">
        <v>16666</v>
      </c>
      <c r="D13547" t="s">
        <v>17969</v>
      </c>
      <c r="E13547" t="s">
        <v>29751</v>
      </c>
      <c r="F13547" t="s">
        <v>30900</v>
      </c>
      <c r="G13547" t="s">
        <v>30907</v>
      </c>
      <c r="H13547" t="s">
        <v>30916</v>
      </c>
      <c r="I13547" t="s">
        <v>30922</v>
      </c>
      <c r="J13547" t="s">
        <v>39474</v>
      </c>
      <c r="K13547" t="s">
        <v>40284</v>
      </c>
      <c r="M13547" t="s">
        <v>40590</v>
      </c>
      <c r="N13547" t="s">
        <v>44759</v>
      </c>
      <c r="O13547" t="s">
        <v>44760</v>
      </c>
      <c r="P13547">
        <v>0</v>
      </c>
      <c r="Q13547">
        <v>5</v>
      </c>
      <c r="R13547" t="s">
        <v>44780</v>
      </c>
      <c r="S13547" t="s">
        <v>45683</v>
      </c>
      <c r="T13547" t="s">
        <v>46422</v>
      </c>
      <c r="U13547" t="s">
        <v>58055</v>
      </c>
      <c r="W13547" t="s">
        <v>40590</v>
      </c>
      <c r="X13547" t="s">
        <v>44781</v>
      </c>
    </row>
    <row r="13548" spans="1:24">
      <c r="A13548">
        <f>HYPERLINK("https://www.philgeps.gov.ph/GEPSNONPILOT/Tender/SplashBidNoticeAbstractUI.aspx?menuIndex=3&amp;refID=7108446&amp;Result=3","7108446")</f>
        <v>0</v>
      </c>
      <c r="B13548" t="s">
        <v>626</v>
      </c>
      <c r="C13548" t="s">
        <v>16667</v>
      </c>
      <c r="E13548" t="s">
        <v>29752</v>
      </c>
      <c r="F13548" t="s">
        <v>30900</v>
      </c>
      <c r="G13548" t="s">
        <v>30907</v>
      </c>
      <c r="H13548" t="s">
        <v>30915</v>
      </c>
      <c r="I13548" t="s">
        <v>30919</v>
      </c>
      <c r="J13548" t="s">
        <v>39475</v>
      </c>
      <c r="K13548" t="s">
        <v>40289</v>
      </c>
      <c r="M13548" t="s">
        <v>41188</v>
      </c>
      <c r="N13548" t="s">
        <v>44759</v>
      </c>
      <c r="O13548" t="s">
        <v>44760</v>
      </c>
      <c r="Q13548">
        <v>9</v>
      </c>
      <c r="R13548" t="s">
        <v>44781</v>
      </c>
      <c r="S13548" t="s">
        <v>45362</v>
      </c>
      <c r="T13548" t="s">
        <v>46625</v>
      </c>
      <c r="U13548" t="s">
        <v>58052</v>
      </c>
      <c r="V13548" t="s">
        <v>60653</v>
      </c>
      <c r="W13548" t="s">
        <v>41188</v>
      </c>
      <c r="X13548" t="s">
        <v>44783</v>
      </c>
    </row>
    <row r="13549" spans="1:24">
      <c r="A13549">
        <f>HYPERLINK("https://www.philgeps.gov.ph/GEPSNONPILOT/Tender/SplashBidNoticeAbstractUI.aspx?menuIndex=3&amp;refID=7110128&amp;Result=3","7110128")</f>
        <v>0</v>
      </c>
      <c r="B13549" t="s">
        <v>3153</v>
      </c>
      <c r="C13549" t="s">
        <v>16668</v>
      </c>
      <c r="D13549" t="s">
        <v>18009</v>
      </c>
      <c r="E13549" t="s">
        <v>29753</v>
      </c>
      <c r="F13549" t="s">
        <v>30900</v>
      </c>
      <c r="G13549" t="s">
        <v>30907</v>
      </c>
      <c r="H13549" t="s">
        <v>30916</v>
      </c>
      <c r="I13549" t="s">
        <v>30919</v>
      </c>
      <c r="J13549" t="s">
        <v>39476</v>
      </c>
      <c r="K13549" t="s">
        <v>40280</v>
      </c>
      <c r="M13549" t="s">
        <v>43976</v>
      </c>
      <c r="N13549" t="s">
        <v>44759</v>
      </c>
      <c r="O13549" t="s">
        <v>44760</v>
      </c>
      <c r="Q13549">
        <v>0</v>
      </c>
      <c r="R13549" t="s">
        <v>44781</v>
      </c>
      <c r="S13549" t="s">
        <v>45772</v>
      </c>
      <c r="T13549" t="s">
        <v>46679</v>
      </c>
      <c r="U13549" t="s">
        <v>58056</v>
      </c>
      <c r="W13549" t="s">
        <v>43976</v>
      </c>
      <c r="X13549" t="s">
        <v>44782</v>
      </c>
    </row>
    <row r="13550" spans="1:24">
      <c r="A13550">
        <f>HYPERLINK("https://www.philgeps.gov.ph/GEPSNONPILOT/Tender/SplashBidNoticeAbstractUI.aspx?menuIndex=3&amp;refID=7109917&amp;Result=3","7109917")</f>
        <v>0</v>
      </c>
      <c r="B13550" t="s">
        <v>108</v>
      </c>
      <c r="C13550" t="s">
        <v>16669</v>
      </c>
      <c r="D13550" t="s">
        <v>17952</v>
      </c>
      <c r="E13550" t="s">
        <v>19779</v>
      </c>
      <c r="F13550" t="s">
        <v>30900</v>
      </c>
      <c r="G13550" t="s">
        <v>30907</v>
      </c>
      <c r="H13550" t="s">
        <v>30915</v>
      </c>
      <c r="I13550" t="s">
        <v>30919</v>
      </c>
      <c r="J13550" t="s">
        <v>39477</v>
      </c>
      <c r="K13550" t="s">
        <v>40286</v>
      </c>
      <c r="L13550" t="s">
        <v>108</v>
      </c>
      <c r="M13550" t="s">
        <v>40655</v>
      </c>
      <c r="N13550" t="s">
        <v>44759</v>
      </c>
      <c r="O13550" t="s">
        <v>44760</v>
      </c>
      <c r="P13550">
        <v>0</v>
      </c>
      <c r="Q13550">
        <v>3</v>
      </c>
      <c r="R13550" t="s">
        <v>44781</v>
      </c>
      <c r="S13550" t="s">
        <v>45758</v>
      </c>
      <c r="T13550" t="s">
        <v>46403</v>
      </c>
      <c r="U13550" t="s">
        <v>58057</v>
      </c>
      <c r="W13550" t="s">
        <v>40655</v>
      </c>
      <c r="X13550" t="s">
        <v>44783</v>
      </c>
    </row>
    <row r="13551" spans="1:24">
      <c r="A13551">
        <f>HYPERLINK("https://www.philgeps.gov.ph/GEPSNONPILOT/Tender/SplashBidNoticeAbstractUI.aspx?menuIndex=3&amp;refID=7109943&amp;Result=3","7109943")</f>
        <v>0</v>
      </c>
      <c r="B13551" t="s">
        <v>3647</v>
      </c>
      <c r="C13551" t="s">
        <v>16670</v>
      </c>
      <c r="D13551" t="s">
        <v>18015</v>
      </c>
      <c r="E13551" t="s">
        <v>29754</v>
      </c>
      <c r="F13551" t="s">
        <v>30900</v>
      </c>
      <c r="G13551" t="s">
        <v>30907</v>
      </c>
      <c r="H13551" t="s">
        <v>30916</v>
      </c>
      <c r="I13551" t="s">
        <v>8123</v>
      </c>
      <c r="J13551" t="s">
        <v>39478</v>
      </c>
      <c r="K13551" t="s">
        <v>40284</v>
      </c>
      <c r="M13551" t="s">
        <v>44590</v>
      </c>
      <c r="N13551" t="s">
        <v>44759</v>
      </c>
      <c r="O13551" t="s">
        <v>44760</v>
      </c>
      <c r="P13551">
        <v>0</v>
      </c>
      <c r="Q13551">
        <v>1</v>
      </c>
      <c r="R13551" t="s">
        <v>44781</v>
      </c>
      <c r="S13551" t="s">
        <v>45758</v>
      </c>
      <c r="T13551" t="s">
        <v>46531</v>
      </c>
      <c r="U13551" t="s">
        <v>58058</v>
      </c>
      <c r="W13551" t="s">
        <v>44590</v>
      </c>
      <c r="X13551" t="s">
        <v>44783</v>
      </c>
    </row>
    <row r="13552" spans="1:24">
      <c r="A13552">
        <f>HYPERLINK("https://www.philgeps.gov.ph/GEPSNONPILOT/Tender/SplashBidNoticeAbstractUI.aspx?menuIndex=3&amp;refID=7109908&amp;Result=3","7109908")</f>
        <v>0</v>
      </c>
      <c r="B13552" t="s">
        <v>108</v>
      </c>
      <c r="C13552" t="s">
        <v>16671</v>
      </c>
      <c r="D13552" t="s">
        <v>17952</v>
      </c>
      <c r="E13552" t="s">
        <v>19779</v>
      </c>
      <c r="F13552" t="s">
        <v>30900</v>
      </c>
      <c r="G13552" t="s">
        <v>30907</v>
      </c>
      <c r="H13552" t="s">
        <v>30915</v>
      </c>
      <c r="I13552" t="s">
        <v>30919</v>
      </c>
      <c r="J13552" t="s">
        <v>31152</v>
      </c>
      <c r="K13552" t="s">
        <v>40286</v>
      </c>
      <c r="L13552" t="s">
        <v>108</v>
      </c>
      <c r="M13552" t="s">
        <v>40655</v>
      </c>
      <c r="N13552" t="s">
        <v>44759</v>
      </c>
      <c r="O13552" t="s">
        <v>44760</v>
      </c>
      <c r="P13552">
        <v>0</v>
      </c>
      <c r="Q13552">
        <v>2</v>
      </c>
      <c r="R13552" t="s">
        <v>44781</v>
      </c>
      <c r="S13552" t="s">
        <v>45758</v>
      </c>
      <c r="T13552" t="s">
        <v>46403</v>
      </c>
      <c r="U13552" t="s">
        <v>58059</v>
      </c>
      <c r="W13552" t="s">
        <v>40655</v>
      </c>
      <c r="X13552" t="s">
        <v>44783</v>
      </c>
    </row>
    <row r="13553" spans="1:24">
      <c r="A13553">
        <f>HYPERLINK("https://www.philgeps.gov.ph/GEPSNONPILOT/Tender/SplashBidNoticeAbstractUI.aspx?menuIndex=3&amp;refID=7104493&amp;Result=3","7104493")</f>
        <v>0</v>
      </c>
      <c r="B13553" t="s">
        <v>574</v>
      </c>
      <c r="C13553" t="s">
        <v>16672</v>
      </c>
      <c r="D13553" t="s">
        <v>17951</v>
      </c>
      <c r="E13553" t="s">
        <v>29755</v>
      </c>
      <c r="F13553" t="s">
        <v>30900</v>
      </c>
      <c r="G13553" t="s">
        <v>30907</v>
      </c>
      <c r="H13553" t="s">
        <v>30916</v>
      </c>
      <c r="I13553" t="s">
        <v>30949</v>
      </c>
      <c r="J13553" t="s">
        <v>31935</v>
      </c>
      <c r="K13553" t="s">
        <v>40284</v>
      </c>
      <c r="M13553" t="s">
        <v>41135</v>
      </c>
      <c r="N13553" t="s">
        <v>44759</v>
      </c>
      <c r="O13553" t="s">
        <v>44760</v>
      </c>
      <c r="Q13553">
        <v>1</v>
      </c>
      <c r="R13553" t="s">
        <v>44781</v>
      </c>
      <c r="S13553" t="s">
        <v>45773</v>
      </c>
      <c r="T13553" t="s">
        <v>46486</v>
      </c>
      <c r="U13553" t="s">
        <v>58060</v>
      </c>
      <c r="W13553" t="s">
        <v>41135</v>
      </c>
      <c r="X13553" t="s">
        <v>44784</v>
      </c>
    </row>
    <row r="13554" spans="1:24">
      <c r="A13554">
        <f>HYPERLINK("https://www.philgeps.gov.ph/GEPSNONPILOT/Tender/SplashBidNoticeAbstractUI.aspx?menuIndex=3&amp;refID=7110178&amp;Result=3","7110178")</f>
        <v>0</v>
      </c>
      <c r="B13554" t="s">
        <v>3648</v>
      </c>
      <c r="C13554" t="s">
        <v>16673</v>
      </c>
      <c r="D13554" t="s">
        <v>17963</v>
      </c>
      <c r="E13554" t="s">
        <v>29756</v>
      </c>
      <c r="F13554" t="s">
        <v>30900</v>
      </c>
      <c r="G13554" t="s">
        <v>30907</v>
      </c>
      <c r="H13554" t="s">
        <v>30915</v>
      </c>
      <c r="I13554" t="s">
        <v>30971</v>
      </c>
      <c r="J13554" t="s">
        <v>39479</v>
      </c>
      <c r="K13554" t="s">
        <v>40292</v>
      </c>
      <c r="M13554" t="s">
        <v>44591</v>
      </c>
      <c r="N13554" t="s">
        <v>44759</v>
      </c>
      <c r="O13554" t="s">
        <v>44760</v>
      </c>
      <c r="P13554">
        <v>0</v>
      </c>
      <c r="Q13554">
        <v>1</v>
      </c>
      <c r="R13554" t="s">
        <v>44781</v>
      </c>
      <c r="S13554" t="s">
        <v>45758</v>
      </c>
      <c r="T13554" t="s">
        <v>46704</v>
      </c>
      <c r="U13554" t="s">
        <v>58061</v>
      </c>
      <c r="W13554" t="s">
        <v>44591</v>
      </c>
      <c r="X13554" t="s">
        <v>44782</v>
      </c>
    </row>
    <row r="13555" spans="1:24">
      <c r="A13555">
        <f>HYPERLINK("https://www.philgeps.gov.ph/GEPSNONPILOT/Tender/SplashBidNoticeAbstractUI.aspx?menuIndex=3&amp;refID=7108393&amp;Result=3","7108393")</f>
        <v>0</v>
      </c>
      <c r="B13555" t="s">
        <v>3649</v>
      </c>
      <c r="C13555" t="s">
        <v>16674</v>
      </c>
      <c r="D13555" t="s">
        <v>17984</v>
      </c>
      <c r="E13555" t="s">
        <v>29757</v>
      </c>
      <c r="F13555" t="s">
        <v>30900</v>
      </c>
      <c r="G13555" t="s">
        <v>30907</v>
      </c>
      <c r="H13555" t="s">
        <v>30915</v>
      </c>
      <c r="I13555" t="s">
        <v>30919</v>
      </c>
      <c r="J13555" t="s">
        <v>31069</v>
      </c>
      <c r="K13555" t="s">
        <v>40342</v>
      </c>
      <c r="M13555" t="s">
        <v>44592</v>
      </c>
      <c r="N13555" t="s">
        <v>44759</v>
      </c>
      <c r="O13555" t="s">
        <v>44760</v>
      </c>
      <c r="P13555">
        <v>0</v>
      </c>
      <c r="Q13555">
        <v>1</v>
      </c>
      <c r="R13555" t="s">
        <v>44781</v>
      </c>
      <c r="S13555" t="s">
        <v>45758</v>
      </c>
      <c r="T13555" t="s">
        <v>46533</v>
      </c>
      <c r="U13555" t="s">
        <v>58062</v>
      </c>
      <c r="W13555" t="s">
        <v>44592</v>
      </c>
      <c r="X13555" t="s">
        <v>44783</v>
      </c>
    </row>
    <row r="13556" spans="1:24">
      <c r="A13556">
        <f>HYPERLINK("https://www.philgeps.gov.ph/GEPSNONPILOT/Tender/SplashBidNoticeAbstractUI.aspx?menuIndex=3&amp;refID=7109903&amp;Result=3","7109903")</f>
        <v>0</v>
      </c>
      <c r="B13556" t="s">
        <v>108</v>
      </c>
      <c r="C13556" t="s">
        <v>16675</v>
      </c>
      <c r="D13556" t="s">
        <v>17952</v>
      </c>
      <c r="E13556" t="s">
        <v>21661</v>
      </c>
      <c r="F13556" t="s">
        <v>30900</v>
      </c>
      <c r="G13556" t="s">
        <v>30907</v>
      </c>
      <c r="H13556" t="s">
        <v>30916</v>
      </c>
      <c r="I13556" t="s">
        <v>8123</v>
      </c>
      <c r="J13556" t="s">
        <v>39480</v>
      </c>
      <c r="K13556" t="s">
        <v>40291</v>
      </c>
      <c r="L13556" t="s">
        <v>108</v>
      </c>
      <c r="M13556" t="s">
        <v>40655</v>
      </c>
      <c r="N13556" t="s">
        <v>44759</v>
      </c>
      <c r="O13556" t="s">
        <v>44760</v>
      </c>
      <c r="P13556">
        <v>0</v>
      </c>
      <c r="Q13556">
        <v>2</v>
      </c>
      <c r="R13556" t="s">
        <v>44781</v>
      </c>
      <c r="S13556" t="s">
        <v>45758</v>
      </c>
      <c r="T13556" t="s">
        <v>46403</v>
      </c>
      <c r="U13556" t="s">
        <v>58063</v>
      </c>
      <c r="W13556" t="s">
        <v>40655</v>
      </c>
      <c r="X13556" t="s">
        <v>44783</v>
      </c>
    </row>
    <row r="13557" spans="1:24">
      <c r="A13557">
        <f>HYPERLINK("https://www.philgeps.gov.ph/GEPSNONPILOT/Tender/SplashBidNoticeAbstractUI.aspx?menuIndex=3&amp;refID=7109876&amp;Result=3","7109876")</f>
        <v>0</v>
      </c>
      <c r="B13557" t="s">
        <v>108</v>
      </c>
      <c r="C13557" t="s">
        <v>16676</v>
      </c>
      <c r="D13557" t="s">
        <v>17952</v>
      </c>
      <c r="E13557" t="s">
        <v>22431</v>
      </c>
      <c r="F13557" t="s">
        <v>30900</v>
      </c>
      <c r="G13557" t="s">
        <v>30907</v>
      </c>
      <c r="H13557" t="s">
        <v>30916</v>
      </c>
      <c r="I13557" t="s">
        <v>8123</v>
      </c>
      <c r="J13557" t="s">
        <v>39481</v>
      </c>
      <c r="K13557" t="s">
        <v>40291</v>
      </c>
      <c r="L13557" t="s">
        <v>108</v>
      </c>
      <c r="M13557" t="s">
        <v>40655</v>
      </c>
      <c r="N13557" t="s">
        <v>44759</v>
      </c>
      <c r="O13557" t="s">
        <v>44760</v>
      </c>
      <c r="P13557">
        <v>0</v>
      </c>
      <c r="Q13557">
        <v>2</v>
      </c>
      <c r="R13557" t="s">
        <v>44781</v>
      </c>
      <c r="S13557" t="s">
        <v>45758</v>
      </c>
      <c r="T13557" t="s">
        <v>46403</v>
      </c>
      <c r="U13557" t="s">
        <v>58064</v>
      </c>
      <c r="W13557" t="s">
        <v>40655</v>
      </c>
      <c r="X13557" t="s">
        <v>44783</v>
      </c>
    </row>
    <row r="13558" spans="1:24">
      <c r="A13558">
        <f>HYPERLINK("https://www.philgeps.gov.ph/GEPSNONPILOT/Tender/SplashBidNoticeAbstractUI.aspx?menuIndex=3&amp;refID=7109897&amp;Result=3","7109897")</f>
        <v>0</v>
      </c>
      <c r="B13558" t="s">
        <v>108</v>
      </c>
      <c r="C13558" t="s">
        <v>16677</v>
      </c>
      <c r="D13558" t="s">
        <v>17952</v>
      </c>
      <c r="E13558" t="s">
        <v>21654</v>
      </c>
      <c r="F13558" t="s">
        <v>30900</v>
      </c>
      <c r="G13558" t="s">
        <v>30907</v>
      </c>
      <c r="H13558" t="s">
        <v>30916</v>
      </c>
      <c r="I13558" t="s">
        <v>8123</v>
      </c>
      <c r="J13558" t="s">
        <v>39482</v>
      </c>
      <c r="K13558" t="s">
        <v>40291</v>
      </c>
      <c r="L13558" t="s">
        <v>108</v>
      </c>
      <c r="M13558" t="s">
        <v>40655</v>
      </c>
      <c r="N13558" t="s">
        <v>44759</v>
      </c>
      <c r="O13558" t="s">
        <v>44760</v>
      </c>
      <c r="P13558">
        <v>0</v>
      </c>
      <c r="Q13558">
        <v>3</v>
      </c>
      <c r="R13558" t="s">
        <v>44781</v>
      </c>
      <c r="S13558" t="s">
        <v>45758</v>
      </c>
      <c r="T13558" t="s">
        <v>46403</v>
      </c>
      <c r="U13558" t="s">
        <v>58065</v>
      </c>
      <c r="W13558" t="s">
        <v>40655</v>
      </c>
      <c r="X13558" t="s">
        <v>44783</v>
      </c>
    </row>
    <row r="13559" spans="1:24">
      <c r="A13559">
        <f>HYPERLINK("https://www.philgeps.gov.ph/GEPSNONPILOT/Tender/SplashBidNoticeAbstractUI.aspx?menuIndex=3&amp;refID=7109696&amp;Result=3","7109696")</f>
        <v>0</v>
      </c>
      <c r="B13559" t="s">
        <v>3650</v>
      </c>
      <c r="C13559" t="s">
        <v>16678</v>
      </c>
      <c r="D13559" t="s">
        <v>17973</v>
      </c>
      <c r="E13559" t="s">
        <v>29758</v>
      </c>
      <c r="F13559" t="s">
        <v>30900</v>
      </c>
      <c r="G13559" t="s">
        <v>30907</v>
      </c>
      <c r="H13559" t="s">
        <v>30916</v>
      </c>
      <c r="I13559" t="s">
        <v>30939</v>
      </c>
      <c r="J13559" t="s">
        <v>39483</v>
      </c>
      <c r="K13559" t="s">
        <v>40283</v>
      </c>
      <c r="M13559" t="s">
        <v>44593</v>
      </c>
      <c r="N13559" t="s">
        <v>44759</v>
      </c>
      <c r="O13559" t="s">
        <v>44760</v>
      </c>
      <c r="P13559">
        <v>0</v>
      </c>
      <c r="Q13559">
        <v>0</v>
      </c>
      <c r="R13559" t="s">
        <v>44781</v>
      </c>
      <c r="S13559" t="s">
        <v>45758</v>
      </c>
      <c r="T13559" t="s">
        <v>46581</v>
      </c>
      <c r="U13559" t="s">
        <v>58066</v>
      </c>
      <c r="W13559" t="s">
        <v>44593</v>
      </c>
      <c r="X13559" t="s">
        <v>44783</v>
      </c>
    </row>
    <row r="13560" spans="1:24">
      <c r="A13560">
        <f>HYPERLINK("https://www.philgeps.gov.ph/GEPSNONPILOT/Tender/SplashBidNoticeAbstractUI.aspx?menuIndex=3&amp;refID=7110192&amp;Result=3","7110192")</f>
        <v>0</v>
      </c>
      <c r="B13560" t="s">
        <v>3651</v>
      </c>
      <c r="C13560" t="s">
        <v>16679</v>
      </c>
      <c r="D13560" t="s">
        <v>17957</v>
      </c>
      <c r="E13560" t="s">
        <v>29759</v>
      </c>
      <c r="F13560" t="s">
        <v>30900</v>
      </c>
      <c r="G13560" t="s">
        <v>30907</v>
      </c>
      <c r="H13560" t="s">
        <v>30916</v>
      </c>
      <c r="I13560" t="s">
        <v>8123</v>
      </c>
      <c r="J13560" t="s">
        <v>39484</v>
      </c>
      <c r="K13560" t="s">
        <v>40286</v>
      </c>
      <c r="M13560" t="s">
        <v>44594</v>
      </c>
      <c r="N13560" t="s">
        <v>44759</v>
      </c>
      <c r="O13560" t="s">
        <v>44760</v>
      </c>
      <c r="P13560">
        <v>0</v>
      </c>
      <c r="Q13560">
        <v>5</v>
      </c>
      <c r="R13560" t="s">
        <v>44781</v>
      </c>
      <c r="S13560" t="s">
        <v>45758</v>
      </c>
      <c r="T13560" t="s">
        <v>46625</v>
      </c>
      <c r="U13560" t="s">
        <v>58067</v>
      </c>
      <c r="W13560" t="s">
        <v>44594</v>
      </c>
      <c r="X13560" t="s">
        <v>44782</v>
      </c>
    </row>
    <row r="13561" spans="1:24">
      <c r="A13561">
        <f>HYPERLINK("https://www.philgeps.gov.ph/GEPSNONPILOT/Tender/SplashBidNoticeAbstractUI.aspx?menuIndex=3&amp;refID=7110309&amp;Result=3","7110309")</f>
        <v>0</v>
      </c>
      <c r="B13561" t="s">
        <v>3227</v>
      </c>
      <c r="C13561" t="s">
        <v>16680</v>
      </c>
      <c r="D13561" t="s">
        <v>17965</v>
      </c>
      <c r="E13561" t="s">
        <v>29760</v>
      </c>
      <c r="F13561" t="s">
        <v>30900</v>
      </c>
      <c r="G13561" t="s">
        <v>30907</v>
      </c>
      <c r="H13561" t="s">
        <v>30915</v>
      </c>
      <c r="I13561" t="s">
        <v>30919</v>
      </c>
      <c r="J13561" t="s">
        <v>31412</v>
      </c>
      <c r="K13561" t="s">
        <v>40280</v>
      </c>
      <c r="M13561" t="s">
        <v>44066</v>
      </c>
      <c r="N13561" t="s">
        <v>44759</v>
      </c>
      <c r="O13561" t="s">
        <v>44760</v>
      </c>
      <c r="P13561">
        <v>0</v>
      </c>
      <c r="Q13561">
        <v>0</v>
      </c>
      <c r="R13561" t="s">
        <v>44781</v>
      </c>
      <c r="S13561" t="s">
        <v>45758</v>
      </c>
      <c r="T13561" t="s">
        <v>46581</v>
      </c>
      <c r="U13561" t="s">
        <v>55720</v>
      </c>
      <c r="V13561" t="s">
        <v>60654</v>
      </c>
      <c r="W13561" t="s">
        <v>44066</v>
      </c>
      <c r="X13561" t="s">
        <v>44782</v>
      </c>
    </row>
    <row r="13562" spans="1:24">
      <c r="A13562">
        <f>HYPERLINK("https://www.philgeps.gov.ph/GEPSNONPILOT/Tender/SplashBidNoticeAbstractUI.aspx?menuIndex=3&amp;refID=7109636&amp;Result=3","7109636")</f>
        <v>0</v>
      </c>
      <c r="B13562" t="s">
        <v>3652</v>
      </c>
      <c r="C13562" t="s">
        <v>16681</v>
      </c>
      <c r="D13562" t="s">
        <v>17973</v>
      </c>
      <c r="E13562" t="s">
        <v>29761</v>
      </c>
      <c r="F13562" t="s">
        <v>30900</v>
      </c>
      <c r="G13562" t="s">
        <v>30907</v>
      </c>
      <c r="H13562" t="s">
        <v>30916</v>
      </c>
      <c r="I13562" t="s">
        <v>30927</v>
      </c>
      <c r="J13562" t="s">
        <v>39485</v>
      </c>
      <c r="K13562" t="s">
        <v>40283</v>
      </c>
      <c r="M13562" t="s">
        <v>44595</v>
      </c>
      <c r="N13562" t="s">
        <v>44759</v>
      </c>
      <c r="O13562" t="s">
        <v>44760</v>
      </c>
      <c r="P13562">
        <v>0</v>
      </c>
      <c r="Q13562">
        <v>1</v>
      </c>
      <c r="R13562" t="s">
        <v>44781</v>
      </c>
      <c r="S13562" t="s">
        <v>45758</v>
      </c>
      <c r="T13562" t="s">
        <v>46581</v>
      </c>
      <c r="U13562" t="s">
        <v>58068</v>
      </c>
      <c r="W13562" t="s">
        <v>44595</v>
      </c>
      <c r="X13562" t="s">
        <v>44783</v>
      </c>
    </row>
    <row r="13563" spans="1:24">
      <c r="A13563">
        <f>HYPERLINK("https://www.philgeps.gov.ph/GEPSNONPILOT/Tender/SplashBidNoticeAbstractUI.aspx?menuIndex=3&amp;refID=7109884&amp;Result=3","7109884")</f>
        <v>0</v>
      </c>
      <c r="B13563" t="s">
        <v>108</v>
      </c>
      <c r="C13563" t="s">
        <v>16682</v>
      </c>
      <c r="D13563" t="s">
        <v>17952</v>
      </c>
      <c r="E13563" t="s">
        <v>26972</v>
      </c>
      <c r="F13563" t="s">
        <v>30900</v>
      </c>
      <c r="G13563" t="s">
        <v>30907</v>
      </c>
      <c r="H13563" t="s">
        <v>30916</v>
      </c>
      <c r="I13563" t="s">
        <v>8123</v>
      </c>
      <c r="J13563" t="s">
        <v>39486</v>
      </c>
      <c r="K13563" t="s">
        <v>40291</v>
      </c>
      <c r="L13563" t="s">
        <v>108</v>
      </c>
      <c r="M13563" t="s">
        <v>40655</v>
      </c>
      <c r="N13563" t="s">
        <v>44759</v>
      </c>
      <c r="O13563" t="s">
        <v>44760</v>
      </c>
      <c r="P13563">
        <v>0</v>
      </c>
      <c r="Q13563">
        <v>3</v>
      </c>
      <c r="R13563" t="s">
        <v>44781</v>
      </c>
      <c r="S13563" t="s">
        <v>45758</v>
      </c>
      <c r="T13563" t="s">
        <v>46403</v>
      </c>
      <c r="U13563" t="s">
        <v>58069</v>
      </c>
      <c r="W13563" t="s">
        <v>40655</v>
      </c>
      <c r="X13563" t="s">
        <v>44783</v>
      </c>
    </row>
    <row r="13564" spans="1:24">
      <c r="A13564">
        <f>HYPERLINK("https://www.philgeps.gov.ph/GEPSNONPILOT/Tender/SplashBidNoticeAbstractUI.aspx?menuIndex=3&amp;refID=7110299&amp;Result=3","7110299")</f>
        <v>0</v>
      </c>
      <c r="B13564" t="s">
        <v>2215</v>
      </c>
      <c r="C13564" t="s">
        <v>16683</v>
      </c>
      <c r="E13564" t="s">
        <v>29762</v>
      </c>
      <c r="F13564" t="s">
        <v>30900</v>
      </c>
      <c r="G13564" t="s">
        <v>30907</v>
      </c>
      <c r="H13564" t="s">
        <v>30915</v>
      </c>
      <c r="I13564" t="s">
        <v>30919</v>
      </c>
      <c r="J13564" t="s">
        <v>32324</v>
      </c>
      <c r="K13564" t="s">
        <v>40328</v>
      </c>
      <c r="M13564" t="s">
        <v>42924</v>
      </c>
      <c r="N13564" t="s">
        <v>44759</v>
      </c>
      <c r="O13564" t="s">
        <v>44760</v>
      </c>
      <c r="P13564">
        <v>0</v>
      </c>
      <c r="Q13564">
        <v>0</v>
      </c>
      <c r="R13564" t="s">
        <v>44781</v>
      </c>
      <c r="S13564" t="s">
        <v>45758</v>
      </c>
      <c r="T13564" t="s">
        <v>46625</v>
      </c>
      <c r="U13564" t="s">
        <v>52152</v>
      </c>
      <c r="W13564" t="s">
        <v>42924</v>
      </c>
      <c r="X13564" t="s">
        <v>44782</v>
      </c>
    </row>
    <row r="13565" spans="1:24">
      <c r="A13565">
        <f>HYPERLINK("https://www.philgeps.gov.ph/GEPSNONPILOT/Tender/SplashBidNoticeAbstractUI.aspx?menuIndex=3&amp;refID=7110269&amp;Result=3","7110269")</f>
        <v>0</v>
      </c>
      <c r="B13565" t="s">
        <v>3227</v>
      </c>
      <c r="C13565" t="s">
        <v>16684</v>
      </c>
      <c r="D13565" t="s">
        <v>17965</v>
      </c>
      <c r="E13565" t="s">
        <v>29763</v>
      </c>
      <c r="F13565" t="s">
        <v>30900</v>
      </c>
      <c r="G13565" t="s">
        <v>30907</v>
      </c>
      <c r="H13565" t="s">
        <v>30915</v>
      </c>
      <c r="I13565" t="s">
        <v>30919</v>
      </c>
      <c r="J13565" t="s">
        <v>31152</v>
      </c>
      <c r="K13565" t="s">
        <v>40286</v>
      </c>
      <c r="M13565" t="s">
        <v>44066</v>
      </c>
      <c r="N13565" t="s">
        <v>44759</v>
      </c>
      <c r="O13565" t="s">
        <v>44760</v>
      </c>
      <c r="P13565">
        <v>0</v>
      </c>
      <c r="Q13565">
        <v>0</v>
      </c>
      <c r="R13565" t="s">
        <v>44781</v>
      </c>
      <c r="S13565" t="s">
        <v>45758</v>
      </c>
      <c r="T13565" t="s">
        <v>46581</v>
      </c>
      <c r="U13565" t="s">
        <v>55720</v>
      </c>
      <c r="V13565" t="s">
        <v>60338</v>
      </c>
      <c r="W13565" t="s">
        <v>44066</v>
      </c>
      <c r="X13565" t="s">
        <v>44782</v>
      </c>
    </row>
    <row r="13566" spans="1:24">
      <c r="A13566">
        <f>HYPERLINK("https://www.philgeps.gov.ph/GEPSNONPILOT/Tender/SplashBidNoticeAbstractUI.aspx?menuIndex=3&amp;refID=7109887&amp;Result=3","7109887")</f>
        <v>0</v>
      </c>
      <c r="B13566" t="s">
        <v>108</v>
      </c>
      <c r="C13566" t="s">
        <v>16685</v>
      </c>
      <c r="D13566" t="s">
        <v>17952</v>
      </c>
      <c r="E13566" t="s">
        <v>19055</v>
      </c>
      <c r="F13566" t="s">
        <v>30900</v>
      </c>
      <c r="G13566" t="s">
        <v>30907</v>
      </c>
      <c r="H13566" t="s">
        <v>30916</v>
      </c>
      <c r="I13566" t="s">
        <v>8123</v>
      </c>
      <c r="J13566" t="s">
        <v>39487</v>
      </c>
      <c r="K13566" t="s">
        <v>40291</v>
      </c>
      <c r="L13566" t="s">
        <v>108</v>
      </c>
      <c r="M13566" t="s">
        <v>40655</v>
      </c>
      <c r="N13566" t="s">
        <v>44759</v>
      </c>
      <c r="O13566" t="s">
        <v>44760</v>
      </c>
      <c r="P13566">
        <v>0</v>
      </c>
      <c r="Q13566">
        <v>2</v>
      </c>
      <c r="R13566" t="s">
        <v>44781</v>
      </c>
      <c r="S13566" t="s">
        <v>45758</v>
      </c>
      <c r="T13566" t="s">
        <v>46403</v>
      </c>
      <c r="U13566" t="s">
        <v>58070</v>
      </c>
      <c r="W13566" t="s">
        <v>40655</v>
      </c>
      <c r="X13566" t="s">
        <v>44783</v>
      </c>
    </row>
    <row r="13567" spans="1:24">
      <c r="A13567">
        <f>HYPERLINK("https://www.philgeps.gov.ph/GEPSNONPILOT/Tender/SplashBidNoticeAbstractUI.aspx?menuIndex=3&amp;refID=7115742&amp;Result=3","7115742")</f>
        <v>0</v>
      </c>
      <c r="B13567" t="s">
        <v>1071</v>
      </c>
      <c r="C13567" t="s">
        <v>16686</v>
      </c>
      <c r="D13567" t="s">
        <v>17971</v>
      </c>
      <c r="E13567" t="s">
        <v>29764</v>
      </c>
      <c r="F13567" t="s">
        <v>30900</v>
      </c>
      <c r="G13567" t="s">
        <v>30907</v>
      </c>
      <c r="H13567" t="s">
        <v>30916</v>
      </c>
      <c r="I13567" t="s">
        <v>30947</v>
      </c>
      <c r="J13567" t="s">
        <v>33323</v>
      </c>
      <c r="K13567" t="s">
        <v>40280</v>
      </c>
      <c r="M13567" t="s">
        <v>44579</v>
      </c>
      <c r="N13567" t="s">
        <v>44759</v>
      </c>
      <c r="O13567" t="s">
        <v>44760</v>
      </c>
      <c r="Q13567">
        <v>1</v>
      </c>
      <c r="R13567" t="s">
        <v>44780</v>
      </c>
      <c r="S13567" t="s">
        <v>45774</v>
      </c>
      <c r="T13567" t="s">
        <v>46399</v>
      </c>
      <c r="U13567" t="s">
        <v>58071</v>
      </c>
      <c r="W13567" t="s">
        <v>44579</v>
      </c>
      <c r="X13567" t="s">
        <v>44781</v>
      </c>
    </row>
    <row r="13568" spans="1:24">
      <c r="A13568">
        <f>HYPERLINK("https://www.philgeps.gov.ph/GEPSNONPILOT/Tender/SplashBidNoticeAbstractUI.aspx?menuIndex=3&amp;refID=7110258&amp;Result=3","7110258")</f>
        <v>0</v>
      </c>
      <c r="B13568" t="s">
        <v>3227</v>
      </c>
      <c r="C13568" t="s">
        <v>16687</v>
      </c>
      <c r="D13568" t="s">
        <v>17965</v>
      </c>
      <c r="E13568" t="s">
        <v>29765</v>
      </c>
      <c r="F13568" t="s">
        <v>30900</v>
      </c>
      <c r="G13568" t="s">
        <v>30907</v>
      </c>
      <c r="H13568" t="s">
        <v>30915</v>
      </c>
      <c r="I13568" t="s">
        <v>30919</v>
      </c>
      <c r="J13568" t="s">
        <v>31152</v>
      </c>
      <c r="K13568" t="s">
        <v>40286</v>
      </c>
      <c r="M13568" t="s">
        <v>44066</v>
      </c>
      <c r="N13568" t="s">
        <v>44759</v>
      </c>
      <c r="O13568" t="s">
        <v>44760</v>
      </c>
      <c r="P13568">
        <v>0</v>
      </c>
      <c r="Q13568">
        <v>0</v>
      </c>
      <c r="R13568" t="s">
        <v>44781</v>
      </c>
      <c r="S13568" t="s">
        <v>45758</v>
      </c>
      <c r="T13568" t="s">
        <v>46581</v>
      </c>
      <c r="U13568" t="s">
        <v>55720</v>
      </c>
      <c r="V13568" t="s">
        <v>60338</v>
      </c>
      <c r="W13568" t="s">
        <v>44066</v>
      </c>
      <c r="X13568" t="s">
        <v>44782</v>
      </c>
    </row>
    <row r="13569" spans="1:24">
      <c r="A13569">
        <f>HYPERLINK("https://www.philgeps.gov.ph/GEPSNONPILOT/Tender/SplashBidNoticeAbstractUI.aspx?menuIndex=3&amp;refID=7110249&amp;Result=3","7110249")</f>
        <v>0</v>
      </c>
      <c r="B13569" t="s">
        <v>3227</v>
      </c>
      <c r="C13569" t="s">
        <v>16688</v>
      </c>
      <c r="D13569" t="s">
        <v>17965</v>
      </c>
      <c r="E13569" t="s">
        <v>29766</v>
      </c>
      <c r="F13569" t="s">
        <v>30900</v>
      </c>
      <c r="G13569" t="s">
        <v>30907</v>
      </c>
      <c r="H13569" t="s">
        <v>30915</v>
      </c>
      <c r="I13569" t="s">
        <v>30919</v>
      </c>
      <c r="J13569" t="s">
        <v>31152</v>
      </c>
      <c r="K13569" t="s">
        <v>40295</v>
      </c>
      <c r="M13569" t="s">
        <v>44066</v>
      </c>
      <c r="N13569" t="s">
        <v>44759</v>
      </c>
      <c r="O13569" t="s">
        <v>44760</v>
      </c>
      <c r="P13569">
        <v>0</v>
      </c>
      <c r="Q13569">
        <v>0</v>
      </c>
      <c r="R13569" t="s">
        <v>44781</v>
      </c>
      <c r="S13569" t="s">
        <v>45758</v>
      </c>
      <c r="T13569" t="s">
        <v>46581</v>
      </c>
      <c r="U13569" t="s">
        <v>55720</v>
      </c>
      <c r="V13569" t="s">
        <v>60338</v>
      </c>
      <c r="W13569" t="s">
        <v>44066</v>
      </c>
      <c r="X13569" t="s">
        <v>44782</v>
      </c>
    </row>
    <row r="13570" spans="1:24">
      <c r="A13570">
        <f>HYPERLINK("https://www.philgeps.gov.ph/GEPSNONPILOT/Tender/SplashBidNoticeAbstractUI.aspx?menuIndex=3&amp;refID=7110248&amp;Result=3","7110248")</f>
        <v>0</v>
      </c>
      <c r="B13570" t="s">
        <v>2215</v>
      </c>
      <c r="C13570" t="s">
        <v>16689</v>
      </c>
      <c r="D13570" t="s">
        <v>18009</v>
      </c>
      <c r="E13570" t="s">
        <v>29767</v>
      </c>
      <c r="F13570" t="s">
        <v>30900</v>
      </c>
      <c r="G13570" t="s">
        <v>30907</v>
      </c>
      <c r="H13570" t="s">
        <v>30915</v>
      </c>
      <c r="I13570" t="s">
        <v>30919</v>
      </c>
      <c r="J13570" t="s">
        <v>31391</v>
      </c>
      <c r="K13570" t="s">
        <v>40358</v>
      </c>
      <c r="M13570" t="s">
        <v>42924</v>
      </c>
      <c r="N13570" t="s">
        <v>44759</v>
      </c>
      <c r="O13570" t="s">
        <v>44760</v>
      </c>
      <c r="P13570">
        <v>0</v>
      </c>
      <c r="Q13570">
        <v>0</v>
      </c>
      <c r="R13570" t="s">
        <v>44781</v>
      </c>
      <c r="S13570" t="s">
        <v>45758</v>
      </c>
      <c r="T13570" t="s">
        <v>46625</v>
      </c>
      <c r="U13570" t="s">
        <v>52152</v>
      </c>
      <c r="W13570" t="s">
        <v>42924</v>
      </c>
      <c r="X13570" t="s">
        <v>44782</v>
      </c>
    </row>
    <row r="13571" spans="1:24">
      <c r="A13571">
        <f>HYPERLINK("https://www.philgeps.gov.ph/GEPSNONPILOT/Tender/SplashBidNoticeAbstractUI.aspx?menuIndex=3&amp;refID=7110565&amp;Result=3","7110565")</f>
        <v>0</v>
      </c>
      <c r="B13571" t="s">
        <v>1423</v>
      </c>
      <c r="C13571" t="s">
        <v>4750</v>
      </c>
      <c r="D13571" t="s">
        <v>18013</v>
      </c>
      <c r="E13571" t="s">
        <v>29768</v>
      </c>
      <c r="F13571" t="s">
        <v>30900</v>
      </c>
      <c r="G13571" t="s">
        <v>30907</v>
      </c>
      <c r="H13571" t="s">
        <v>30916</v>
      </c>
      <c r="I13571" t="s">
        <v>5501</v>
      </c>
      <c r="J13571" t="s">
        <v>39488</v>
      </c>
      <c r="K13571" t="s">
        <v>40289</v>
      </c>
      <c r="M13571" t="s">
        <v>42130</v>
      </c>
      <c r="N13571" t="s">
        <v>44759</v>
      </c>
      <c r="O13571" t="s">
        <v>44760</v>
      </c>
      <c r="P13571">
        <v>0</v>
      </c>
      <c r="Q13571">
        <v>2</v>
      </c>
      <c r="R13571" t="s">
        <v>44781</v>
      </c>
      <c r="S13571" t="s">
        <v>45758</v>
      </c>
      <c r="T13571" t="s">
        <v>46662</v>
      </c>
      <c r="U13571" t="s">
        <v>58072</v>
      </c>
      <c r="W13571" t="s">
        <v>42130</v>
      </c>
      <c r="X13571" t="s">
        <v>44782</v>
      </c>
    </row>
    <row r="13572" spans="1:24">
      <c r="A13572">
        <f>HYPERLINK("https://www.philgeps.gov.ph/GEPSNONPILOT/Tender/SplashBidNoticeAbstractUI.aspx?menuIndex=3&amp;refID=7110562&amp;Result=3","7110562")</f>
        <v>0</v>
      </c>
      <c r="B13572" t="s">
        <v>434</v>
      </c>
      <c r="C13572" t="s">
        <v>16690</v>
      </c>
      <c r="D13572" t="s">
        <v>17978</v>
      </c>
      <c r="E13572" t="s">
        <v>29769</v>
      </c>
      <c r="F13572" t="s">
        <v>30900</v>
      </c>
      <c r="G13572" t="s">
        <v>30907</v>
      </c>
      <c r="H13572" t="s">
        <v>30916</v>
      </c>
      <c r="I13572" t="s">
        <v>8123</v>
      </c>
      <c r="J13572" t="s">
        <v>39489</v>
      </c>
      <c r="K13572" t="s">
        <v>40289</v>
      </c>
      <c r="M13572" t="s">
        <v>40991</v>
      </c>
      <c r="N13572" t="s">
        <v>44759</v>
      </c>
      <c r="O13572" t="s">
        <v>44760</v>
      </c>
      <c r="P13572">
        <v>0</v>
      </c>
      <c r="Q13572">
        <v>0</v>
      </c>
      <c r="R13572" t="s">
        <v>44781</v>
      </c>
      <c r="S13572" t="s">
        <v>45758</v>
      </c>
      <c r="T13572" t="s">
        <v>46581</v>
      </c>
      <c r="U13572" t="s">
        <v>58073</v>
      </c>
      <c r="W13572" t="s">
        <v>40991</v>
      </c>
      <c r="X13572" t="s">
        <v>44782</v>
      </c>
    </row>
    <row r="13573" spans="1:24">
      <c r="A13573">
        <f>HYPERLINK("https://www.philgeps.gov.ph/GEPSNONPILOT/Tender/SplashBidNoticeAbstractUI.aspx?menuIndex=3&amp;refID=7110298&amp;Result=3","7110298")</f>
        <v>0</v>
      </c>
      <c r="B13573" t="s">
        <v>562</v>
      </c>
      <c r="C13573" t="s">
        <v>16691</v>
      </c>
      <c r="D13573" t="s">
        <v>17972</v>
      </c>
      <c r="E13573" t="s">
        <v>27984</v>
      </c>
      <c r="F13573" t="s">
        <v>30900</v>
      </c>
      <c r="G13573" t="s">
        <v>30907</v>
      </c>
      <c r="H13573" t="s">
        <v>30915</v>
      </c>
      <c r="I13573" t="s">
        <v>30919</v>
      </c>
      <c r="J13573" t="s">
        <v>33307</v>
      </c>
      <c r="K13573" t="s">
        <v>40280</v>
      </c>
      <c r="M13573" t="s">
        <v>41123</v>
      </c>
      <c r="N13573" t="s">
        <v>44759</v>
      </c>
      <c r="O13573" t="s">
        <v>44760</v>
      </c>
      <c r="P13573">
        <v>0</v>
      </c>
      <c r="Q13573">
        <v>1</v>
      </c>
      <c r="R13573" t="s">
        <v>44781</v>
      </c>
      <c r="S13573" t="s">
        <v>45758</v>
      </c>
      <c r="T13573" t="s">
        <v>46471</v>
      </c>
      <c r="U13573" t="s">
        <v>58074</v>
      </c>
      <c r="W13573" t="s">
        <v>41123</v>
      </c>
      <c r="X13573" t="s">
        <v>44782</v>
      </c>
    </row>
    <row r="13574" spans="1:24">
      <c r="A13574">
        <f>HYPERLINK("https://www.philgeps.gov.ph/GEPSNONPILOT/Tender/SplashBidNoticeAbstractUI.aspx?menuIndex=3&amp;refID=7110264&amp;Result=3","7110264")</f>
        <v>0</v>
      </c>
      <c r="B13574" t="s">
        <v>2215</v>
      </c>
      <c r="C13574" t="s">
        <v>16692</v>
      </c>
      <c r="E13574" t="s">
        <v>29770</v>
      </c>
      <c r="F13574" t="s">
        <v>30900</v>
      </c>
      <c r="G13574" t="s">
        <v>30907</v>
      </c>
      <c r="H13574" t="s">
        <v>30915</v>
      </c>
      <c r="I13574" t="s">
        <v>30919</v>
      </c>
      <c r="J13574" t="s">
        <v>32271</v>
      </c>
      <c r="K13574" t="s">
        <v>40328</v>
      </c>
      <c r="M13574" t="s">
        <v>42924</v>
      </c>
      <c r="N13574" t="s">
        <v>44759</v>
      </c>
      <c r="O13574" t="s">
        <v>44760</v>
      </c>
      <c r="P13574">
        <v>0</v>
      </c>
      <c r="Q13574">
        <v>0</v>
      </c>
      <c r="R13574" t="s">
        <v>44781</v>
      </c>
      <c r="S13574" t="s">
        <v>45758</v>
      </c>
      <c r="T13574" t="s">
        <v>46625</v>
      </c>
      <c r="U13574" t="s">
        <v>52152</v>
      </c>
      <c r="W13574" t="s">
        <v>42924</v>
      </c>
      <c r="X13574" t="s">
        <v>44782</v>
      </c>
    </row>
    <row r="13575" spans="1:24">
      <c r="A13575">
        <f>HYPERLINK("https://www.philgeps.gov.ph/GEPSNONPILOT/Tender/SplashBidNoticeAbstractUI.aspx?menuIndex=3&amp;refID=7110284&amp;Result=3","7110284")</f>
        <v>0</v>
      </c>
      <c r="B13575" t="s">
        <v>3227</v>
      </c>
      <c r="C13575" t="s">
        <v>16693</v>
      </c>
      <c r="D13575" t="s">
        <v>17965</v>
      </c>
      <c r="E13575" t="s">
        <v>29771</v>
      </c>
      <c r="F13575" t="s">
        <v>30900</v>
      </c>
      <c r="G13575" t="s">
        <v>30907</v>
      </c>
      <c r="H13575" t="s">
        <v>30915</v>
      </c>
      <c r="I13575" t="s">
        <v>30919</v>
      </c>
      <c r="J13575" t="s">
        <v>31701</v>
      </c>
      <c r="K13575" t="s">
        <v>40304</v>
      </c>
      <c r="M13575" t="s">
        <v>44066</v>
      </c>
      <c r="N13575" t="s">
        <v>44759</v>
      </c>
      <c r="O13575" t="s">
        <v>44760</v>
      </c>
      <c r="P13575">
        <v>0</v>
      </c>
      <c r="Q13575">
        <v>0</v>
      </c>
      <c r="R13575" t="s">
        <v>44781</v>
      </c>
      <c r="S13575" t="s">
        <v>45758</v>
      </c>
      <c r="T13575" t="s">
        <v>46581</v>
      </c>
      <c r="U13575" t="s">
        <v>55720</v>
      </c>
      <c r="V13575" t="s">
        <v>60654</v>
      </c>
      <c r="W13575" t="s">
        <v>44066</v>
      </c>
      <c r="X13575" t="s">
        <v>44782</v>
      </c>
    </row>
    <row r="13576" spans="1:24">
      <c r="A13576">
        <f>HYPERLINK("https://www.philgeps.gov.ph/GEPSNONPILOT/Tender/SplashBidNoticeAbstractUI.aspx?menuIndex=3&amp;refID=7110561&amp;Result=3","7110561")</f>
        <v>0</v>
      </c>
      <c r="B13576" t="s">
        <v>3653</v>
      </c>
      <c r="C13576" t="s">
        <v>16694</v>
      </c>
      <c r="D13576" t="s">
        <v>17990</v>
      </c>
      <c r="E13576" t="s">
        <v>29772</v>
      </c>
      <c r="F13576" t="s">
        <v>30900</v>
      </c>
      <c r="G13576" t="s">
        <v>30907</v>
      </c>
      <c r="H13576" t="s">
        <v>30916</v>
      </c>
      <c r="I13576" t="s">
        <v>9385</v>
      </c>
      <c r="J13576" t="s">
        <v>39490</v>
      </c>
      <c r="K13576" t="s">
        <v>40292</v>
      </c>
      <c r="M13576" t="s">
        <v>44596</v>
      </c>
      <c r="N13576" t="s">
        <v>44759</v>
      </c>
      <c r="O13576" t="s">
        <v>44760</v>
      </c>
      <c r="Q13576">
        <v>30</v>
      </c>
      <c r="R13576" t="s">
        <v>44781</v>
      </c>
      <c r="S13576" t="s">
        <v>45775</v>
      </c>
      <c r="T13576" t="s">
        <v>46658</v>
      </c>
      <c r="U13576" t="s">
        <v>58075</v>
      </c>
      <c r="W13576" t="s">
        <v>60940</v>
      </c>
      <c r="X13576" t="s">
        <v>44782</v>
      </c>
    </row>
    <row r="13577" spans="1:24">
      <c r="A13577">
        <f>HYPERLINK("https://www.philgeps.gov.ph/GEPSNONPILOT/Tender/SplashBidNoticeAbstractUI.aspx?menuIndex=3&amp;refID=7110560&amp;Result=3","7110560")</f>
        <v>0</v>
      </c>
      <c r="B13577" t="s">
        <v>3437</v>
      </c>
      <c r="C13577" t="s">
        <v>16695</v>
      </c>
      <c r="D13577" t="s">
        <v>17996</v>
      </c>
      <c r="E13577" t="s">
        <v>29773</v>
      </c>
      <c r="F13577" t="s">
        <v>30900</v>
      </c>
      <c r="G13577" t="s">
        <v>30907</v>
      </c>
      <c r="H13577" t="s">
        <v>30917</v>
      </c>
      <c r="I13577" t="s">
        <v>30949</v>
      </c>
      <c r="J13577" t="s">
        <v>31297</v>
      </c>
      <c r="K13577" t="s">
        <v>40283</v>
      </c>
      <c r="M13577" t="s">
        <v>44597</v>
      </c>
      <c r="N13577" t="s">
        <v>44759</v>
      </c>
      <c r="O13577" t="s">
        <v>44760</v>
      </c>
      <c r="Q13577">
        <v>3</v>
      </c>
      <c r="R13577" t="s">
        <v>44781</v>
      </c>
      <c r="S13577" t="s">
        <v>45659</v>
      </c>
      <c r="T13577" t="s">
        <v>46406</v>
      </c>
      <c r="U13577" t="s">
        <v>58076</v>
      </c>
      <c r="W13577" t="s">
        <v>44597</v>
      </c>
      <c r="X13577" t="s">
        <v>44782</v>
      </c>
    </row>
    <row r="13578" spans="1:24">
      <c r="A13578">
        <f>HYPERLINK("https://www.philgeps.gov.ph/GEPSNONPILOT/Tender/SplashBidNoticeAbstractUI.aspx?menuIndex=3&amp;refID=7110551&amp;Result=3","7110551")</f>
        <v>0</v>
      </c>
      <c r="B13578" t="s">
        <v>3443</v>
      </c>
      <c r="C13578" t="s">
        <v>16696</v>
      </c>
      <c r="D13578" t="s">
        <v>17957</v>
      </c>
      <c r="E13578" t="s">
        <v>29774</v>
      </c>
      <c r="F13578" t="s">
        <v>30900</v>
      </c>
      <c r="G13578" t="s">
        <v>30907</v>
      </c>
      <c r="H13578" t="s">
        <v>30915</v>
      </c>
      <c r="I13578" t="s">
        <v>30919</v>
      </c>
      <c r="J13578" t="s">
        <v>39491</v>
      </c>
      <c r="K13578" t="s">
        <v>40550</v>
      </c>
      <c r="M13578" t="s">
        <v>44324</v>
      </c>
      <c r="N13578" t="s">
        <v>44759</v>
      </c>
      <c r="O13578" t="s">
        <v>44760</v>
      </c>
      <c r="P13578">
        <v>0</v>
      </c>
      <c r="Q13578">
        <v>0</v>
      </c>
      <c r="R13578" t="s">
        <v>44781</v>
      </c>
      <c r="S13578" t="s">
        <v>45758</v>
      </c>
      <c r="T13578" t="s">
        <v>46357</v>
      </c>
      <c r="U13578" t="s">
        <v>58077</v>
      </c>
      <c r="W13578" t="s">
        <v>44324</v>
      </c>
      <c r="X13578" t="s">
        <v>44782</v>
      </c>
    </row>
    <row r="13579" spans="1:24">
      <c r="A13579">
        <f>HYPERLINK("https://www.philgeps.gov.ph/GEPSNONPILOT/Tender/SplashBidNoticeAbstractUI.aspx?menuIndex=3&amp;refID=7110514&amp;Result=3","7110514")</f>
        <v>0</v>
      </c>
      <c r="B13579" t="s">
        <v>434</v>
      </c>
      <c r="C13579" t="s">
        <v>16697</v>
      </c>
      <c r="D13579" t="s">
        <v>17978</v>
      </c>
      <c r="E13579" t="s">
        <v>29775</v>
      </c>
      <c r="F13579" t="s">
        <v>30900</v>
      </c>
      <c r="G13579" t="s">
        <v>30907</v>
      </c>
      <c r="H13579" t="s">
        <v>30916</v>
      </c>
      <c r="I13579" t="s">
        <v>8123</v>
      </c>
      <c r="J13579" t="s">
        <v>39492</v>
      </c>
      <c r="K13579" t="s">
        <v>40289</v>
      </c>
      <c r="M13579" t="s">
        <v>40991</v>
      </c>
      <c r="N13579" t="s">
        <v>44759</v>
      </c>
      <c r="O13579" t="s">
        <v>44760</v>
      </c>
      <c r="P13579">
        <v>0</v>
      </c>
      <c r="Q13579">
        <v>0</v>
      </c>
      <c r="R13579" t="s">
        <v>44781</v>
      </c>
      <c r="S13579" t="s">
        <v>45758</v>
      </c>
      <c r="T13579" t="s">
        <v>46581</v>
      </c>
      <c r="U13579" t="s">
        <v>58078</v>
      </c>
      <c r="W13579" t="s">
        <v>40991</v>
      </c>
      <c r="X13579" t="s">
        <v>44782</v>
      </c>
    </row>
    <row r="13580" spans="1:24">
      <c r="A13580">
        <f>HYPERLINK("https://www.philgeps.gov.ph/GEPSNONPILOT/Tender/SplashBidNoticeAbstractUI.aspx?menuIndex=3&amp;refID=7110520&amp;Result=3","7110520")</f>
        <v>0</v>
      </c>
      <c r="B13580" t="s">
        <v>3312</v>
      </c>
      <c r="C13580" t="s">
        <v>16698</v>
      </c>
      <c r="E13580" t="s">
        <v>29776</v>
      </c>
      <c r="F13580" t="s">
        <v>30900</v>
      </c>
      <c r="G13580" t="s">
        <v>30907</v>
      </c>
      <c r="H13580" t="s">
        <v>30915</v>
      </c>
      <c r="I13580" t="s">
        <v>30919</v>
      </c>
      <c r="J13580" t="s">
        <v>39493</v>
      </c>
      <c r="K13580" t="s">
        <v>40304</v>
      </c>
      <c r="M13580" t="s">
        <v>44168</v>
      </c>
      <c r="N13580" t="s">
        <v>44759</v>
      </c>
      <c r="O13580" t="s">
        <v>44760</v>
      </c>
      <c r="P13580">
        <v>0</v>
      </c>
      <c r="Q13580">
        <v>4</v>
      </c>
      <c r="R13580" t="s">
        <v>44781</v>
      </c>
      <c r="S13580" t="s">
        <v>45758</v>
      </c>
      <c r="T13580" t="s">
        <v>46623</v>
      </c>
      <c r="U13580" t="s">
        <v>58079</v>
      </c>
      <c r="W13580" t="s">
        <v>44168</v>
      </c>
      <c r="X13580" t="s">
        <v>44782</v>
      </c>
    </row>
    <row r="13581" spans="1:24">
      <c r="A13581">
        <f>HYPERLINK("https://www.philgeps.gov.ph/GEPSNONPILOT/Tender/SplashBidNoticeAbstractUI.aspx?menuIndex=3&amp;refID=7110506&amp;Result=3","7110506")</f>
        <v>0</v>
      </c>
      <c r="B13581" t="s">
        <v>3443</v>
      </c>
      <c r="C13581" t="s">
        <v>16699</v>
      </c>
      <c r="D13581" t="s">
        <v>17957</v>
      </c>
      <c r="E13581" t="s">
        <v>29777</v>
      </c>
      <c r="F13581" t="s">
        <v>30900</v>
      </c>
      <c r="G13581" t="s">
        <v>30907</v>
      </c>
      <c r="H13581" t="s">
        <v>30915</v>
      </c>
      <c r="I13581" t="s">
        <v>30919</v>
      </c>
      <c r="J13581" t="s">
        <v>39494</v>
      </c>
      <c r="K13581" t="s">
        <v>40433</v>
      </c>
      <c r="M13581" t="s">
        <v>44324</v>
      </c>
      <c r="N13581" t="s">
        <v>44759</v>
      </c>
      <c r="O13581" t="s">
        <v>44760</v>
      </c>
      <c r="P13581">
        <v>0</v>
      </c>
      <c r="Q13581">
        <v>0</v>
      </c>
      <c r="R13581" t="s">
        <v>44781</v>
      </c>
      <c r="S13581" t="s">
        <v>45758</v>
      </c>
      <c r="T13581" t="s">
        <v>46357</v>
      </c>
      <c r="U13581" t="s">
        <v>58080</v>
      </c>
      <c r="W13581" t="s">
        <v>44324</v>
      </c>
      <c r="X13581" t="s">
        <v>44782</v>
      </c>
    </row>
    <row r="13582" spans="1:24">
      <c r="A13582">
        <f>HYPERLINK("https://www.philgeps.gov.ph/GEPSNONPILOT/Tender/SplashBidNoticeAbstractUI.aspx?menuIndex=3&amp;refID=7110148&amp;Result=3","7110148")</f>
        <v>0</v>
      </c>
      <c r="B13582" t="s">
        <v>3654</v>
      </c>
      <c r="C13582" t="s">
        <v>16700</v>
      </c>
      <c r="D13582" t="s">
        <v>17962</v>
      </c>
      <c r="E13582" t="s">
        <v>18158</v>
      </c>
      <c r="F13582" t="s">
        <v>30900</v>
      </c>
      <c r="G13582" t="s">
        <v>30907</v>
      </c>
      <c r="H13582" t="s">
        <v>30916</v>
      </c>
      <c r="I13582" t="s">
        <v>30932</v>
      </c>
      <c r="J13582" t="s">
        <v>39495</v>
      </c>
      <c r="K13582" t="s">
        <v>40286</v>
      </c>
      <c r="M13582" t="s">
        <v>44598</v>
      </c>
      <c r="N13582" t="s">
        <v>44759</v>
      </c>
      <c r="O13582" t="s">
        <v>44760</v>
      </c>
      <c r="P13582">
        <v>0</v>
      </c>
      <c r="Q13582">
        <v>1</v>
      </c>
      <c r="R13582" t="s">
        <v>44781</v>
      </c>
      <c r="S13582" t="s">
        <v>45758</v>
      </c>
      <c r="T13582" t="s">
        <v>46548</v>
      </c>
      <c r="U13582" t="s">
        <v>58081</v>
      </c>
      <c r="W13582" t="s">
        <v>44598</v>
      </c>
      <c r="X13582" t="s">
        <v>44782</v>
      </c>
    </row>
    <row r="13583" spans="1:24">
      <c r="A13583">
        <f>HYPERLINK("https://www.philgeps.gov.ph/GEPSNONPILOT/Tender/SplashBidNoticeAbstractUI.aspx?menuIndex=3&amp;refID=7110295&amp;Result=3","7110295")</f>
        <v>0</v>
      </c>
      <c r="B13583" t="s">
        <v>3227</v>
      </c>
      <c r="C13583" t="s">
        <v>16701</v>
      </c>
      <c r="D13583" t="s">
        <v>17965</v>
      </c>
      <c r="E13583" t="s">
        <v>29778</v>
      </c>
      <c r="F13583" t="s">
        <v>30900</v>
      </c>
      <c r="G13583" t="s">
        <v>30907</v>
      </c>
      <c r="H13583" t="s">
        <v>30915</v>
      </c>
      <c r="I13583" t="s">
        <v>30919</v>
      </c>
      <c r="J13583" t="s">
        <v>31152</v>
      </c>
      <c r="K13583" t="s">
        <v>40295</v>
      </c>
      <c r="M13583" t="s">
        <v>44066</v>
      </c>
      <c r="N13583" t="s">
        <v>44759</v>
      </c>
      <c r="O13583" t="s">
        <v>44760</v>
      </c>
      <c r="P13583">
        <v>0</v>
      </c>
      <c r="Q13583">
        <v>0</v>
      </c>
      <c r="R13583" t="s">
        <v>44781</v>
      </c>
      <c r="S13583" t="s">
        <v>45758</v>
      </c>
      <c r="T13583" t="s">
        <v>46581</v>
      </c>
      <c r="U13583" t="s">
        <v>55720</v>
      </c>
      <c r="V13583" t="s">
        <v>60338</v>
      </c>
      <c r="W13583" t="s">
        <v>44066</v>
      </c>
      <c r="X13583" t="s">
        <v>44782</v>
      </c>
    </row>
    <row r="13584" spans="1:24">
      <c r="A13584">
        <f>HYPERLINK("https://www.philgeps.gov.ph/GEPSNONPILOT/Tender/SplashBidNoticeAbstractUI.aspx?menuIndex=3&amp;refID=7109893&amp;Result=3","7109893")</f>
        <v>0</v>
      </c>
      <c r="B13584" t="s">
        <v>108</v>
      </c>
      <c r="C13584" t="s">
        <v>16702</v>
      </c>
      <c r="D13584" t="s">
        <v>17952</v>
      </c>
      <c r="E13584" t="s">
        <v>25418</v>
      </c>
      <c r="F13584" t="s">
        <v>30900</v>
      </c>
      <c r="G13584" t="s">
        <v>30907</v>
      </c>
      <c r="H13584" t="s">
        <v>30916</v>
      </c>
      <c r="I13584" t="s">
        <v>8123</v>
      </c>
      <c r="J13584" t="s">
        <v>39496</v>
      </c>
      <c r="K13584" t="s">
        <v>40291</v>
      </c>
      <c r="L13584" t="s">
        <v>108</v>
      </c>
      <c r="M13584" t="s">
        <v>40655</v>
      </c>
      <c r="N13584" t="s">
        <v>44759</v>
      </c>
      <c r="O13584" t="s">
        <v>44760</v>
      </c>
      <c r="P13584">
        <v>0</v>
      </c>
      <c r="Q13584">
        <v>2</v>
      </c>
      <c r="R13584" t="s">
        <v>44781</v>
      </c>
      <c r="S13584" t="s">
        <v>45758</v>
      </c>
      <c r="T13584" t="s">
        <v>46403</v>
      </c>
      <c r="U13584" t="s">
        <v>58082</v>
      </c>
      <c r="W13584" t="s">
        <v>40655</v>
      </c>
      <c r="X13584" t="s">
        <v>44783</v>
      </c>
    </row>
    <row r="13585" spans="1:24">
      <c r="A13585">
        <f>HYPERLINK("https://www.philgeps.gov.ph/GEPSNONPILOT/Tender/SplashBidNoticeAbstractUI.aspx?menuIndex=3&amp;refID=7110557&amp;Result=3","7110557")</f>
        <v>0</v>
      </c>
      <c r="B13585" t="s">
        <v>3655</v>
      </c>
      <c r="C13585" t="s">
        <v>14091</v>
      </c>
      <c r="D13585" t="s">
        <v>17978</v>
      </c>
      <c r="E13585" t="s">
        <v>29779</v>
      </c>
      <c r="F13585" t="s">
        <v>30900</v>
      </c>
      <c r="G13585" t="s">
        <v>30907</v>
      </c>
      <c r="H13585" t="s">
        <v>30915</v>
      </c>
      <c r="I13585" t="s">
        <v>30919</v>
      </c>
      <c r="J13585" t="s">
        <v>31152</v>
      </c>
      <c r="K13585" t="s">
        <v>40304</v>
      </c>
      <c r="M13585" t="s">
        <v>44599</v>
      </c>
      <c r="N13585" t="s">
        <v>44759</v>
      </c>
      <c r="O13585" t="s">
        <v>44760</v>
      </c>
      <c r="P13585">
        <v>0</v>
      </c>
      <c r="Q13585">
        <v>1</v>
      </c>
      <c r="R13585" t="s">
        <v>44781</v>
      </c>
      <c r="S13585" t="s">
        <v>45758</v>
      </c>
      <c r="T13585" t="s">
        <v>46625</v>
      </c>
      <c r="U13585" t="s">
        <v>58083</v>
      </c>
      <c r="V13585" t="s">
        <v>60461</v>
      </c>
      <c r="W13585" t="s">
        <v>44599</v>
      </c>
      <c r="X13585" t="s">
        <v>44782</v>
      </c>
    </row>
    <row r="13586" spans="1:24">
      <c r="A13586">
        <f>HYPERLINK("https://www.philgeps.gov.ph/GEPSNONPILOT/Tender/SplashBidNoticeAbstractUI.aspx?menuIndex=3&amp;refID=7110490&amp;Result=3","7110490")</f>
        <v>0</v>
      </c>
      <c r="B13586" t="s">
        <v>3443</v>
      </c>
      <c r="C13586" t="s">
        <v>16703</v>
      </c>
      <c r="D13586" t="s">
        <v>17957</v>
      </c>
      <c r="E13586" t="s">
        <v>29780</v>
      </c>
      <c r="F13586" t="s">
        <v>30900</v>
      </c>
      <c r="G13586" t="s">
        <v>30907</v>
      </c>
      <c r="H13586" t="s">
        <v>30915</v>
      </c>
      <c r="I13586" t="s">
        <v>30919</v>
      </c>
      <c r="J13586" t="s">
        <v>39497</v>
      </c>
      <c r="K13586" t="s">
        <v>40367</v>
      </c>
      <c r="M13586" t="s">
        <v>44324</v>
      </c>
      <c r="N13586" t="s">
        <v>44759</v>
      </c>
      <c r="O13586" t="s">
        <v>44760</v>
      </c>
      <c r="P13586">
        <v>0</v>
      </c>
      <c r="Q13586">
        <v>0</v>
      </c>
      <c r="R13586" t="s">
        <v>44781</v>
      </c>
      <c r="S13586" t="s">
        <v>45758</v>
      </c>
      <c r="T13586" t="s">
        <v>46357</v>
      </c>
      <c r="U13586" t="s">
        <v>58084</v>
      </c>
      <c r="W13586" t="s">
        <v>44324</v>
      </c>
      <c r="X13586" t="s">
        <v>44782</v>
      </c>
    </row>
    <row r="13587" spans="1:24">
      <c r="A13587">
        <f>HYPERLINK("https://www.philgeps.gov.ph/GEPSNONPILOT/Tender/SplashBidNoticeAbstractUI.aspx?menuIndex=3&amp;refID=7110351&amp;Result=3","7110351")</f>
        <v>0</v>
      </c>
      <c r="B13587" t="s">
        <v>3227</v>
      </c>
      <c r="C13587" t="s">
        <v>16704</v>
      </c>
      <c r="D13587" t="s">
        <v>17965</v>
      </c>
      <c r="E13587" t="s">
        <v>29781</v>
      </c>
      <c r="F13587" t="s">
        <v>30900</v>
      </c>
      <c r="G13587" t="s">
        <v>30907</v>
      </c>
      <c r="H13587" t="s">
        <v>30915</v>
      </c>
      <c r="I13587" t="s">
        <v>30919</v>
      </c>
      <c r="J13587" t="s">
        <v>31152</v>
      </c>
      <c r="K13587" t="s">
        <v>40428</v>
      </c>
      <c r="M13587" t="s">
        <v>44066</v>
      </c>
      <c r="N13587" t="s">
        <v>44759</v>
      </c>
      <c r="O13587" t="s">
        <v>44760</v>
      </c>
      <c r="P13587">
        <v>0</v>
      </c>
      <c r="Q13587">
        <v>0</v>
      </c>
      <c r="R13587" t="s">
        <v>44781</v>
      </c>
      <c r="S13587" t="s">
        <v>45758</v>
      </c>
      <c r="T13587" t="s">
        <v>46581</v>
      </c>
      <c r="U13587" t="s">
        <v>55720</v>
      </c>
      <c r="V13587" t="s">
        <v>60338</v>
      </c>
      <c r="W13587" t="s">
        <v>44066</v>
      </c>
      <c r="X13587" t="s">
        <v>44782</v>
      </c>
    </row>
    <row r="13588" spans="1:24">
      <c r="A13588">
        <f>HYPERLINK("https://www.philgeps.gov.ph/GEPSNONPILOT/Tender/SplashBidNoticeAbstractUI.aspx?menuIndex=3&amp;refID=7110394&amp;Result=3","7110394")</f>
        <v>0</v>
      </c>
      <c r="B13588" t="s">
        <v>2215</v>
      </c>
      <c r="C13588" t="s">
        <v>16705</v>
      </c>
      <c r="E13588" t="s">
        <v>29782</v>
      </c>
      <c r="F13588" t="s">
        <v>30900</v>
      </c>
      <c r="G13588" t="s">
        <v>30907</v>
      </c>
      <c r="H13588" t="s">
        <v>30915</v>
      </c>
      <c r="I13588" t="s">
        <v>30919</v>
      </c>
      <c r="J13588" t="s">
        <v>32324</v>
      </c>
      <c r="K13588" t="s">
        <v>40328</v>
      </c>
      <c r="M13588" t="s">
        <v>42924</v>
      </c>
      <c r="N13588" t="s">
        <v>44759</v>
      </c>
      <c r="O13588" t="s">
        <v>44760</v>
      </c>
      <c r="P13588">
        <v>0</v>
      </c>
      <c r="Q13588">
        <v>0</v>
      </c>
      <c r="R13588" t="s">
        <v>44781</v>
      </c>
      <c r="S13588" t="s">
        <v>45758</v>
      </c>
      <c r="T13588" t="s">
        <v>46625</v>
      </c>
      <c r="U13588" t="s">
        <v>52152</v>
      </c>
      <c r="W13588" t="s">
        <v>42924</v>
      </c>
      <c r="X13588" t="s">
        <v>44782</v>
      </c>
    </row>
    <row r="13589" spans="1:24">
      <c r="A13589">
        <f>HYPERLINK("https://www.philgeps.gov.ph/GEPSNONPILOT/Tender/SplashBidNoticeAbstractUI.aspx?menuIndex=3&amp;refID=7111019&amp;Result=3","7111019")</f>
        <v>0</v>
      </c>
      <c r="B13589" t="s">
        <v>700</v>
      </c>
      <c r="C13589" t="s">
        <v>16706</v>
      </c>
      <c r="D13589" t="s">
        <v>17961</v>
      </c>
      <c r="E13589" t="s">
        <v>29783</v>
      </c>
      <c r="F13589" t="s">
        <v>30900</v>
      </c>
      <c r="G13589" t="s">
        <v>30907</v>
      </c>
      <c r="H13589" t="s">
        <v>30916</v>
      </c>
      <c r="I13589" t="s">
        <v>30932</v>
      </c>
      <c r="J13589" t="s">
        <v>39498</v>
      </c>
      <c r="K13589" t="s">
        <v>40292</v>
      </c>
      <c r="M13589" t="s">
        <v>44277</v>
      </c>
      <c r="N13589" t="s">
        <v>44759</v>
      </c>
      <c r="O13589" t="s">
        <v>44760</v>
      </c>
      <c r="P13589">
        <v>0</v>
      </c>
      <c r="Q13589">
        <v>12</v>
      </c>
      <c r="R13589" t="s">
        <v>44781</v>
      </c>
      <c r="S13589" t="s">
        <v>45758</v>
      </c>
      <c r="T13589" t="s">
        <v>46531</v>
      </c>
      <c r="U13589" t="s">
        <v>58085</v>
      </c>
      <c r="V13589" t="s">
        <v>60452</v>
      </c>
      <c r="W13589" t="s">
        <v>44277</v>
      </c>
      <c r="X13589" t="s">
        <v>44782</v>
      </c>
    </row>
    <row r="13590" spans="1:24">
      <c r="A13590">
        <f>HYPERLINK("https://www.philgeps.gov.ph/GEPSNONPILOT/Tender/SplashBidNoticeAbstractUI.aspx?menuIndex=3&amp;refID=7111008&amp;Result=3","7111008")</f>
        <v>0</v>
      </c>
      <c r="B13590" t="s">
        <v>489</v>
      </c>
      <c r="C13590" t="s">
        <v>16707</v>
      </c>
      <c r="D13590" t="s">
        <v>17993</v>
      </c>
      <c r="E13590" t="s">
        <v>29784</v>
      </c>
      <c r="F13590" t="s">
        <v>30900</v>
      </c>
      <c r="G13590" t="s">
        <v>30907</v>
      </c>
      <c r="H13590" t="s">
        <v>30916</v>
      </c>
      <c r="I13590" t="s">
        <v>4142</v>
      </c>
      <c r="J13590" t="s">
        <v>39499</v>
      </c>
      <c r="K13590" t="s">
        <v>40289</v>
      </c>
      <c r="M13590" t="s">
        <v>41047</v>
      </c>
      <c r="N13590" t="s">
        <v>44759</v>
      </c>
      <c r="O13590" t="s">
        <v>44760</v>
      </c>
      <c r="P13590">
        <v>0</v>
      </c>
      <c r="Q13590">
        <v>7</v>
      </c>
      <c r="R13590" t="s">
        <v>44781</v>
      </c>
      <c r="S13590" t="s">
        <v>45758</v>
      </c>
      <c r="T13590" t="s">
        <v>46658</v>
      </c>
      <c r="U13590" t="s">
        <v>58086</v>
      </c>
      <c r="V13590" t="s">
        <v>60655</v>
      </c>
      <c r="W13590" t="s">
        <v>41047</v>
      </c>
      <c r="X13590" t="s">
        <v>44782</v>
      </c>
    </row>
    <row r="13591" spans="1:24">
      <c r="A13591">
        <f>HYPERLINK("https://www.philgeps.gov.ph/GEPSNONPILOT/Tender/SplashBidNoticeAbstractUI.aspx?menuIndex=3&amp;refID=7110978&amp;Result=3","7110978")</f>
        <v>0</v>
      </c>
      <c r="B13591" t="s">
        <v>46</v>
      </c>
      <c r="C13591" t="s">
        <v>16708</v>
      </c>
      <c r="D13591" t="s">
        <v>17953</v>
      </c>
      <c r="E13591" t="s">
        <v>29785</v>
      </c>
      <c r="F13591" t="s">
        <v>30900</v>
      </c>
      <c r="G13591" t="s">
        <v>30907</v>
      </c>
      <c r="H13591" t="s">
        <v>30916</v>
      </c>
      <c r="I13591" t="s">
        <v>30930</v>
      </c>
      <c r="J13591" t="s">
        <v>39500</v>
      </c>
      <c r="K13591" t="s">
        <v>40291</v>
      </c>
      <c r="M13591" t="s">
        <v>40592</v>
      </c>
      <c r="N13591" t="s">
        <v>44759</v>
      </c>
      <c r="O13591" t="s">
        <v>44760</v>
      </c>
      <c r="P13591">
        <v>0</v>
      </c>
      <c r="Q13591">
        <v>7</v>
      </c>
      <c r="R13591" t="s">
        <v>44781</v>
      </c>
      <c r="S13591" t="s">
        <v>45758</v>
      </c>
      <c r="T13591" t="s">
        <v>46641</v>
      </c>
      <c r="U13591" t="s">
        <v>46984</v>
      </c>
      <c r="W13591" t="s">
        <v>60814</v>
      </c>
      <c r="X13591" t="s">
        <v>44782</v>
      </c>
    </row>
    <row r="13592" spans="1:24">
      <c r="A13592">
        <f>HYPERLINK("https://www.philgeps.gov.ph/GEPSNONPILOT/Tender/SplashBidNoticeAbstractUI.aspx?menuIndex=3&amp;refID=7110450&amp;Result=3","7110450")</f>
        <v>0</v>
      </c>
      <c r="B13592" t="s">
        <v>1423</v>
      </c>
      <c r="C13592" t="s">
        <v>4750</v>
      </c>
      <c r="D13592" t="s">
        <v>18013</v>
      </c>
      <c r="E13592" t="s">
        <v>29786</v>
      </c>
      <c r="F13592" t="s">
        <v>30900</v>
      </c>
      <c r="G13592" t="s">
        <v>30907</v>
      </c>
      <c r="H13592" t="s">
        <v>30916</v>
      </c>
      <c r="I13592" t="s">
        <v>5501</v>
      </c>
      <c r="J13592" t="s">
        <v>39501</v>
      </c>
      <c r="K13592" t="s">
        <v>40289</v>
      </c>
      <c r="M13592" t="s">
        <v>42130</v>
      </c>
      <c r="N13592" t="s">
        <v>44759</v>
      </c>
      <c r="O13592" t="s">
        <v>44760</v>
      </c>
      <c r="P13592">
        <v>0</v>
      </c>
      <c r="Q13592">
        <v>2</v>
      </c>
      <c r="R13592" t="s">
        <v>44781</v>
      </c>
      <c r="S13592" t="s">
        <v>45758</v>
      </c>
      <c r="T13592" t="s">
        <v>46662</v>
      </c>
      <c r="U13592" t="s">
        <v>58087</v>
      </c>
      <c r="W13592" t="s">
        <v>42130</v>
      </c>
      <c r="X13592" t="s">
        <v>44782</v>
      </c>
    </row>
    <row r="13593" spans="1:24">
      <c r="A13593">
        <f>HYPERLINK("https://www.philgeps.gov.ph/GEPSNONPILOT/Tender/SplashBidNoticeAbstractUI.aspx?menuIndex=3&amp;refID=7110964&amp;Result=3","7110964")</f>
        <v>0</v>
      </c>
      <c r="B13593" t="s">
        <v>3656</v>
      </c>
      <c r="C13593" t="s">
        <v>16709</v>
      </c>
      <c r="D13593" t="s">
        <v>17997</v>
      </c>
      <c r="E13593" t="s">
        <v>29787</v>
      </c>
      <c r="F13593" t="s">
        <v>30900</v>
      </c>
      <c r="G13593" t="s">
        <v>30907</v>
      </c>
      <c r="H13593" t="s">
        <v>30916</v>
      </c>
      <c r="I13593" t="s">
        <v>8123</v>
      </c>
      <c r="J13593" t="s">
        <v>39502</v>
      </c>
      <c r="K13593" t="s">
        <v>40286</v>
      </c>
      <c r="M13593" t="s">
        <v>44600</v>
      </c>
      <c r="N13593" t="s">
        <v>44759</v>
      </c>
      <c r="O13593" t="s">
        <v>44760</v>
      </c>
      <c r="P13593">
        <v>0</v>
      </c>
      <c r="Q13593">
        <v>0</v>
      </c>
      <c r="R13593" t="s">
        <v>44781</v>
      </c>
      <c r="S13593" t="s">
        <v>45758</v>
      </c>
      <c r="T13593" t="s">
        <v>46662</v>
      </c>
      <c r="U13593" t="s">
        <v>58088</v>
      </c>
      <c r="W13593" t="s">
        <v>44600</v>
      </c>
      <c r="X13593" t="s">
        <v>44782</v>
      </c>
    </row>
    <row r="13594" spans="1:24">
      <c r="A13594">
        <f>HYPERLINK("https://www.philgeps.gov.ph/GEPSNONPILOT/Tender/SplashBidNoticeAbstractUI.aspx?menuIndex=3&amp;refID=7110465&amp;Result=3","7110465")</f>
        <v>0</v>
      </c>
      <c r="B13594" t="s">
        <v>3443</v>
      </c>
      <c r="C13594" t="s">
        <v>16710</v>
      </c>
      <c r="D13594" t="s">
        <v>17957</v>
      </c>
      <c r="E13594" t="s">
        <v>29788</v>
      </c>
      <c r="F13594" t="s">
        <v>30900</v>
      </c>
      <c r="G13594" t="s">
        <v>30907</v>
      </c>
      <c r="H13594" t="s">
        <v>30915</v>
      </c>
      <c r="I13594" t="s">
        <v>30919</v>
      </c>
      <c r="J13594" t="s">
        <v>39503</v>
      </c>
      <c r="K13594" t="s">
        <v>40293</v>
      </c>
      <c r="M13594" t="s">
        <v>44324</v>
      </c>
      <c r="N13594" t="s">
        <v>44759</v>
      </c>
      <c r="O13594" t="s">
        <v>44760</v>
      </c>
      <c r="P13594">
        <v>0</v>
      </c>
      <c r="Q13594">
        <v>0</v>
      </c>
      <c r="R13594" t="s">
        <v>44781</v>
      </c>
      <c r="S13594" t="s">
        <v>45758</v>
      </c>
      <c r="T13594" t="s">
        <v>46357</v>
      </c>
      <c r="U13594" t="s">
        <v>58089</v>
      </c>
      <c r="W13594" t="s">
        <v>44324</v>
      </c>
      <c r="X13594" t="s">
        <v>44782</v>
      </c>
    </row>
    <row r="13595" spans="1:24">
      <c r="A13595">
        <f>HYPERLINK("https://www.philgeps.gov.ph/GEPSNONPILOT/Tender/SplashBidNoticeAbstractUI.aspx?menuIndex=3&amp;refID=7110916&amp;Result=3","7110916")</f>
        <v>0</v>
      </c>
      <c r="B13595" t="s">
        <v>2966</v>
      </c>
      <c r="C13595" t="s">
        <v>16711</v>
      </c>
      <c r="D13595" t="s">
        <v>17994</v>
      </c>
      <c r="E13595" t="s">
        <v>29789</v>
      </c>
      <c r="F13595" t="s">
        <v>30900</v>
      </c>
      <c r="G13595" t="s">
        <v>30907</v>
      </c>
      <c r="H13595" t="s">
        <v>30915</v>
      </c>
      <c r="I13595" t="s">
        <v>30919</v>
      </c>
      <c r="J13595" t="s">
        <v>39504</v>
      </c>
      <c r="K13595" t="s">
        <v>40373</v>
      </c>
      <c r="M13595" t="s">
        <v>44601</v>
      </c>
      <c r="N13595" t="s">
        <v>44759</v>
      </c>
      <c r="O13595" t="s">
        <v>44760</v>
      </c>
      <c r="Q13595">
        <v>3</v>
      </c>
      <c r="R13595" t="s">
        <v>44781</v>
      </c>
      <c r="S13595" t="s">
        <v>45776</v>
      </c>
      <c r="T13595" t="s">
        <v>46612</v>
      </c>
      <c r="U13595" t="s">
        <v>58090</v>
      </c>
      <c r="W13595" t="s">
        <v>44601</v>
      </c>
      <c r="X13595" t="s">
        <v>44782</v>
      </c>
    </row>
    <row r="13596" spans="1:24">
      <c r="A13596">
        <f>HYPERLINK("https://www.philgeps.gov.ph/GEPSNONPILOT/Tender/SplashBidNoticeAbstractUI.aspx?menuIndex=3&amp;refID=7110932&amp;Result=3","7110932")</f>
        <v>0</v>
      </c>
      <c r="B13596" t="s">
        <v>2966</v>
      </c>
      <c r="C13596" t="s">
        <v>16712</v>
      </c>
      <c r="D13596" t="s">
        <v>17994</v>
      </c>
      <c r="E13596" t="s">
        <v>29790</v>
      </c>
      <c r="F13596" t="s">
        <v>30900</v>
      </c>
      <c r="G13596" t="s">
        <v>30907</v>
      </c>
      <c r="H13596" t="s">
        <v>30915</v>
      </c>
      <c r="I13596" t="s">
        <v>30919</v>
      </c>
      <c r="J13596" t="s">
        <v>39505</v>
      </c>
      <c r="K13596" t="s">
        <v>40526</v>
      </c>
      <c r="M13596" t="s">
        <v>44601</v>
      </c>
      <c r="N13596" t="s">
        <v>44759</v>
      </c>
      <c r="O13596" t="s">
        <v>44760</v>
      </c>
      <c r="Q13596">
        <v>3</v>
      </c>
      <c r="R13596" t="s">
        <v>44781</v>
      </c>
      <c r="S13596" t="s">
        <v>45777</v>
      </c>
      <c r="T13596" t="s">
        <v>46612</v>
      </c>
      <c r="U13596" t="s">
        <v>58091</v>
      </c>
      <c r="W13596" t="s">
        <v>44601</v>
      </c>
      <c r="X13596" t="s">
        <v>44782</v>
      </c>
    </row>
    <row r="13597" spans="1:24">
      <c r="A13597">
        <f>HYPERLINK("https://www.philgeps.gov.ph/GEPSNONPILOT/Tender/SplashBidNoticeAbstractUI.aspx?menuIndex=3&amp;refID=7110528&amp;Result=3","7110528")</f>
        <v>0</v>
      </c>
      <c r="B13597" t="s">
        <v>3443</v>
      </c>
      <c r="C13597" t="s">
        <v>16713</v>
      </c>
      <c r="D13597" t="s">
        <v>17957</v>
      </c>
      <c r="E13597" t="s">
        <v>29791</v>
      </c>
      <c r="F13597" t="s">
        <v>30900</v>
      </c>
      <c r="G13597" t="s">
        <v>30907</v>
      </c>
      <c r="H13597" t="s">
        <v>30915</v>
      </c>
      <c r="I13597" t="s">
        <v>30919</v>
      </c>
      <c r="J13597" t="s">
        <v>39506</v>
      </c>
      <c r="K13597" t="s">
        <v>40308</v>
      </c>
      <c r="M13597" t="s">
        <v>44324</v>
      </c>
      <c r="N13597" t="s">
        <v>44759</v>
      </c>
      <c r="O13597" t="s">
        <v>44760</v>
      </c>
      <c r="P13597">
        <v>0</v>
      </c>
      <c r="Q13597">
        <v>0</v>
      </c>
      <c r="R13597" t="s">
        <v>44781</v>
      </c>
      <c r="S13597" t="s">
        <v>45758</v>
      </c>
      <c r="T13597" t="s">
        <v>46357</v>
      </c>
      <c r="U13597" t="s">
        <v>58092</v>
      </c>
      <c r="W13597" t="s">
        <v>44324</v>
      </c>
      <c r="X13597" t="s">
        <v>44782</v>
      </c>
    </row>
    <row r="13598" spans="1:24">
      <c r="A13598">
        <f>HYPERLINK("https://www.philgeps.gov.ph/GEPSNONPILOT/Tender/SplashBidNoticeAbstractUI.aspx?menuIndex=3&amp;refID=7110883&amp;Result=3","7110883")</f>
        <v>0</v>
      </c>
      <c r="B13598" t="s">
        <v>2462</v>
      </c>
      <c r="C13598" t="s">
        <v>16714</v>
      </c>
      <c r="D13598" t="s">
        <v>17964</v>
      </c>
      <c r="E13598" t="s">
        <v>29792</v>
      </c>
      <c r="F13598" t="s">
        <v>30900</v>
      </c>
      <c r="G13598" t="s">
        <v>30907</v>
      </c>
      <c r="H13598" t="s">
        <v>30916</v>
      </c>
      <c r="I13598" t="s">
        <v>30918</v>
      </c>
      <c r="J13598" t="s">
        <v>31152</v>
      </c>
      <c r="K13598" t="s">
        <v>40292</v>
      </c>
      <c r="M13598" t="s">
        <v>43199</v>
      </c>
      <c r="N13598" t="s">
        <v>44759</v>
      </c>
      <c r="O13598" t="s">
        <v>44760</v>
      </c>
      <c r="P13598">
        <v>0</v>
      </c>
      <c r="Q13598">
        <v>6</v>
      </c>
      <c r="R13598" t="s">
        <v>44781</v>
      </c>
      <c r="S13598" t="s">
        <v>45758</v>
      </c>
      <c r="T13598" t="s">
        <v>46625</v>
      </c>
      <c r="U13598" t="s">
        <v>58093</v>
      </c>
      <c r="W13598" t="s">
        <v>43199</v>
      </c>
      <c r="X13598" t="s">
        <v>44782</v>
      </c>
    </row>
    <row r="13599" spans="1:24">
      <c r="A13599">
        <f>HYPERLINK("https://www.philgeps.gov.ph/GEPSNONPILOT/Tender/SplashBidNoticeAbstractUI.aspx?menuIndex=3&amp;refID=7110949&amp;Result=3","7110949")</f>
        <v>0</v>
      </c>
      <c r="B13599" t="s">
        <v>2146</v>
      </c>
      <c r="C13599" t="s">
        <v>16715</v>
      </c>
      <c r="D13599" t="s">
        <v>17960</v>
      </c>
      <c r="E13599" t="s">
        <v>29793</v>
      </c>
      <c r="F13599" t="s">
        <v>30900</v>
      </c>
      <c r="G13599" t="s">
        <v>30907</v>
      </c>
      <c r="H13599" t="s">
        <v>30915</v>
      </c>
      <c r="I13599" t="s">
        <v>30919</v>
      </c>
      <c r="J13599" t="s">
        <v>39507</v>
      </c>
      <c r="K13599" t="s">
        <v>40292</v>
      </c>
      <c r="M13599" t="s">
        <v>42849</v>
      </c>
      <c r="N13599" t="s">
        <v>44759</v>
      </c>
      <c r="O13599" t="s">
        <v>44760</v>
      </c>
      <c r="P13599">
        <v>0</v>
      </c>
      <c r="Q13599">
        <v>0</v>
      </c>
      <c r="R13599" t="s">
        <v>44781</v>
      </c>
      <c r="S13599" t="s">
        <v>45758</v>
      </c>
      <c r="T13599" t="s">
        <v>46658</v>
      </c>
      <c r="U13599" t="s">
        <v>58094</v>
      </c>
      <c r="W13599" t="s">
        <v>42849</v>
      </c>
      <c r="X13599" t="s">
        <v>44782</v>
      </c>
    </row>
    <row r="13600" spans="1:24">
      <c r="A13600">
        <f>HYPERLINK("https://www.philgeps.gov.ph/GEPSNONPILOT/Tender/SplashBidNoticeAbstractUI.aspx?menuIndex=3&amp;refID=7110806&amp;Result=3","7110806")</f>
        <v>0</v>
      </c>
      <c r="B13600" t="s">
        <v>3657</v>
      </c>
      <c r="C13600" t="s">
        <v>16716</v>
      </c>
      <c r="D13600" t="s">
        <v>18000</v>
      </c>
      <c r="E13600" t="s">
        <v>20527</v>
      </c>
      <c r="F13600" t="s">
        <v>30900</v>
      </c>
      <c r="G13600" t="s">
        <v>30907</v>
      </c>
      <c r="H13600" t="s">
        <v>30915</v>
      </c>
      <c r="I13600" t="s">
        <v>30919</v>
      </c>
      <c r="J13600" t="s">
        <v>34345</v>
      </c>
      <c r="K13600" t="s">
        <v>40304</v>
      </c>
      <c r="M13600" t="s">
        <v>44602</v>
      </c>
      <c r="N13600" t="s">
        <v>44759</v>
      </c>
      <c r="O13600" t="s">
        <v>44760</v>
      </c>
      <c r="P13600">
        <v>0</v>
      </c>
      <c r="Q13600">
        <v>1</v>
      </c>
      <c r="R13600" t="s">
        <v>44781</v>
      </c>
      <c r="S13600" t="s">
        <v>45758</v>
      </c>
      <c r="T13600" t="s">
        <v>46625</v>
      </c>
      <c r="U13600" t="s">
        <v>58095</v>
      </c>
      <c r="W13600" t="s">
        <v>44602</v>
      </c>
      <c r="X13600" t="s">
        <v>44782</v>
      </c>
    </row>
    <row r="13601" spans="1:24">
      <c r="A13601">
        <f>HYPERLINK("https://www.philgeps.gov.ph/GEPSNONPILOT/Tender/SplashBidNoticeAbstractUI.aspx?menuIndex=3&amp;refID=7110788&amp;Result=3","7110788")</f>
        <v>0</v>
      </c>
      <c r="B13601" t="s">
        <v>1423</v>
      </c>
      <c r="C13601" t="s">
        <v>8940</v>
      </c>
      <c r="D13601" t="s">
        <v>18013</v>
      </c>
      <c r="E13601" t="s">
        <v>29794</v>
      </c>
      <c r="F13601" t="s">
        <v>30900</v>
      </c>
      <c r="G13601" t="s">
        <v>30907</v>
      </c>
      <c r="H13601" t="s">
        <v>30916</v>
      </c>
      <c r="I13601" t="s">
        <v>6408</v>
      </c>
      <c r="J13601" t="s">
        <v>39508</v>
      </c>
      <c r="K13601" t="s">
        <v>40289</v>
      </c>
      <c r="M13601" t="s">
        <v>42130</v>
      </c>
      <c r="N13601" t="s">
        <v>44759</v>
      </c>
      <c r="O13601" t="s">
        <v>44760</v>
      </c>
      <c r="P13601">
        <v>0</v>
      </c>
      <c r="Q13601">
        <v>2</v>
      </c>
      <c r="R13601" t="s">
        <v>44781</v>
      </c>
      <c r="S13601" t="s">
        <v>45758</v>
      </c>
      <c r="T13601" t="s">
        <v>46662</v>
      </c>
      <c r="U13601" t="s">
        <v>58096</v>
      </c>
      <c r="W13601" t="s">
        <v>42130</v>
      </c>
      <c r="X13601" t="s">
        <v>44782</v>
      </c>
    </row>
    <row r="13602" spans="1:24">
      <c r="A13602">
        <f>HYPERLINK("https://www.philgeps.gov.ph/GEPSNONPILOT/Tender/SplashBidNoticeAbstractUI.aspx?menuIndex=3&amp;refID=7110804&amp;Result=3","7110804")</f>
        <v>0</v>
      </c>
      <c r="B13602" t="s">
        <v>434</v>
      </c>
      <c r="C13602" t="s">
        <v>16717</v>
      </c>
      <c r="D13602" t="s">
        <v>17978</v>
      </c>
      <c r="E13602" t="s">
        <v>29795</v>
      </c>
      <c r="F13602" t="s">
        <v>30900</v>
      </c>
      <c r="G13602" t="s">
        <v>30907</v>
      </c>
      <c r="H13602" t="s">
        <v>30916</v>
      </c>
      <c r="I13602" t="s">
        <v>15007</v>
      </c>
      <c r="J13602" t="s">
        <v>31211</v>
      </c>
      <c r="K13602" t="s">
        <v>40289</v>
      </c>
      <c r="M13602" t="s">
        <v>40991</v>
      </c>
      <c r="N13602" t="s">
        <v>44759</v>
      </c>
      <c r="O13602" t="s">
        <v>44760</v>
      </c>
      <c r="P13602">
        <v>0</v>
      </c>
      <c r="Q13602">
        <v>4</v>
      </c>
      <c r="R13602" t="s">
        <v>44781</v>
      </c>
      <c r="S13602" t="s">
        <v>45758</v>
      </c>
      <c r="T13602" t="s">
        <v>46810</v>
      </c>
      <c r="U13602" t="s">
        <v>58097</v>
      </c>
      <c r="W13602" t="s">
        <v>40991</v>
      </c>
      <c r="X13602" t="s">
        <v>44782</v>
      </c>
    </row>
    <row r="13603" spans="1:24">
      <c r="A13603">
        <f>HYPERLINK("https://www.philgeps.gov.ph/GEPSNONPILOT/Tender/SplashBidNoticeAbstractUI.aspx?menuIndex=3&amp;refID=7110774&amp;Result=3","7110774")</f>
        <v>0</v>
      </c>
      <c r="B13603" t="s">
        <v>2638</v>
      </c>
      <c r="C13603" t="s">
        <v>16718</v>
      </c>
      <c r="D13603" t="s">
        <v>17953</v>
      </c>
      <c r="E13603" t="s">
        <v>19382</v>
      </c>
      <c r="F13603" t="s">
        <v>30900</v>
      </c>
      <c r="G13603" t="s">
        <v>30907</v>
      </c>
      <c r="H13603" t="s">
        <v>30916</v>
      </c>
      <c r="I13603" t="s">
        <v>8123</v>
      </c>
      <c r="J13603" t="s">
        <v>34634</v>
      </c>
      <c r="K13603" t="s">
        <v>40289</v>
      </c>
      <c r="M13603" t="s">
        <v>43404</v>
      </c>
      <c r="N13603" t="s">
        <v>44759</v>
      </c>
      <c r="O13603" t="s">
        <v>44760</v>
      </c>
      <c r="P13603">
        <v>0</v>
      </c>
      <c r="Q13603">
        <v>0</v>
      </c>
      <c r="R13603" t="s">
        <v>44781</v>
      </c>
      <c r="S13603" t="s">
        <v>45758</v>
      </c>
      <c r="T13603" t="s">
        <v>46581</v>
      </c>
      <c r="U13603" t="s">
        <v>58098</v>
      </c>
      <c r="W13603" t="s">
        <v>43404</v>
      </c>
      <c r="X13603" t="s">
        <v>44782</v>
      </c>
    </row>
    <row r="13604" spans="1:24">
      <c r="A13604">
        <f>HYPERLINK("https://www.philgeps.gov.ph/GEPSNONPILOT/Tender/SplashBidNoticeAbstractUI.aspx?menuIndex=3&amp;refID=7110748&amp;Result=3","7110748")</f>
        <v>0</v>
      </c>
      <c r="B13604" t="s">
        <v>434</v>
      </c>
      <c r="C13604" t="s">
        <v>16719</v>
      </c>
      <c r="D13604" t="s">
        <v>17978</v>
      </c>
      <c r="E13604" t="s">
        <v>29796</v>
      </c>
      <c r="F13604" t="s">
        <v>30900</v>
      </c>
      <c r="G13604" t="s">
        <v>30907</v>
      </c>
      <c r="H13604" t="s">
        <v>30916</v>
      </c>
      <c r="I13604" t="s">
        <v>15007</v>
      </c>
      <c r="J13604" t="s">
        <v>31066</v>
      </c>
      <c r="K13604" t="s">
        <v>40289</v>
      </c>
      <c r="M13604" t="s">
        <v>40991</v>
      </c>
      <c r="N13604" t="s">
        <v>44759</v>
      </c>
      <c r="O13604" t="s">
        <v>44760</v>
      </c>
      <c r="P13604">
        <v>0</v>
      </c>
      <c r="Q13604">
        <v>3</v>
      </c>
      <c r="R13604" t="s">
        <v>44781</v>
      </c>
      <c r="S13604" t="s">
        <v>45758</v>
      </c>
      <c r="T13604" t="s">
        <v>46581</v>
      </c>
      <c r="U13604" t="s">
        <v>58099</v>
      </c>
      <c r="W13604" t="s">
        <v>40991</v>
      </c>
      <c r="X13604" t="s">
        <v>44782</v>
      </c>
    </row>
    <row r="13605" spans="1:24">
      <c r="A13605">
        <f>HYPERLINK("https://www.philgeps.gov.ph/GEPSNONPILOT/Tender/SplashBidNoticeAbstractUI.aspx?menuIndex=3&amp;refID=7110873&amp;Result=3","7110873")</f>
        <v>0</v>
      </c>
      <c r="B13605" t="s">
        <v>2485</v>
      </c>
      <c r="C13605" t="s">
        <v>16720</v>
      </c>
      <c r="D13605" t="s">
        <v>17980</v>
      </c>
      <c r="E13605" t="s">
        <v>29797</v>
      </c>
      <c r="F13605" t="s">
        <v>30900</v>
      </c>
      <c r="G13605" t="s">
        <v>30907</v>
      </c>
      <c r="H13605" t="s">
        <v>30916</v>
      </c>
      <c r="I13605" t="s">
        <v>30974</v>
      </c>
      <c r="J13605" t="s">
        <v>39509</v>
      </c>
      <c r="K13605" t="s">
        <v>40280</v>
      </c>
      <c r="M13605" t="s">
        <v>43226</v>
      </c>
      <c r="N13605" t="s">
        <v>44759</v>
      </c>
      <c r="O13605" t="s">
        <v>44760</v>
      </c>
      <c r="P13605">
        <v>0</v>
      </c>
      <c r="Q13605">
        <v>4</v>
      </c>
      <c r="R13605" t="s">
        <v>44781</v>
      </c>
      <c r="S13605" t="s">
        <v>45758</v>
      </c>
      <c r="T13605" t="s">
        <v>46409</v>
      </c>
      <c r="U13605" t="s">
        <v>58100</v>
      </c>
      <c r="V13605" t="s">
        <v>59894</v>
      </c>
      <c r="W13605" t="s">
        <v>43226</v>
      </c>
      <c r="X13605" t="s">
        <v>44782</v>
      </c>
    </row>
    <row r="13606" spans="1:24">
      <c r="A13606">
        <f>HYPERLINK("https://www.philgeps.gov.ph/GEPSNONPILOT/Tender/SplashBidNoticeAbstractUI.aspx?menuIndex=3&amp;refID=7111227&amp;Result=3","7111227")</f>
        <v>0</v>
      </c>
      <c r="B13606" t="s">
        <v>1603</v>
      </c>
      <c r="C13606" t="s">
        <v>16721</v>
      </c>
      <c r="D13606" t="s">
        <v>17980</v>
      </c>
      <c r="E13606" t="s">
        <v>29798</v>
      </c>
      <c r="F13606" t="s">
        <v>30900</v>
      </c>
      <c r="G13606" t="s">
        <v>30907</v>
      </c>
      <c r="H13606" t="s">
        <v>30916</v>
      </c>
      <c r="I13606" t="s">
        <v>30939</v>
      </c>
      <c r="J13606" t="s">
        <v>39510</v>
      </c>
      <c r="K13606" t="s">
        <v>40289</v>
      </c>
      <c r="M13606" t="s">
        <v>44603</v>
      </c>
      <c r="N13606" t="s">
        <v>44759</v>
      </c>
      <c r="O13606" t="s">
        <v>44760</v>
      </c>
      <c r="P13606">
        <v>0</v>
      </c>
      <c r="Q13606">
        <v>0</v>
      </c>
      <c r="R13606" t="s">
        <v>44781</v>
      </c>
      <c r="S13606" t="s">
        <v>45758</v>
      </c>
      <c r="T13606" t="s">
        <v>46625</v>
      </c>
      <c r="U13606" t="s">
        <v>58101</v>
      </c>
      <c r="V13606" t="s">
        <v>60656</v>
      </c>
      <c r="W13606" t="s">
        <v>44603</v>
      </c>
      <c r="X13606" t="s">
        <v>44782</v>
      </c>
    </row>
    <row r="13607" spans="1:24">
      <c r="A13607">
        <f>HYPERLINK("https://www.philgeps.gov.ph/GEPSNONPILOT/Tender/SplashBidNoticeAbstractUI.aspx?menuIndex=3&amp;refID=7110777&amp;Result=3","7110777")</f>
        <v>0</v>
      </c>
      <c r="B13607" t="s">
        <v>3656</v>
      </c>
      <c r="C13607" t="s">
        <v>16722</v>
      </c>
      <c r="D13607" t="s">
        <v>17997</v>
      </c>
      <c r="E13607" t="s">
        <v>29799</v>
      </c>
      <c r="F13607" t="s">
        <v>30900</v>
      </c>
      <c r="G13607" t="s">
        <v>30907</v>
      </c>
      <c r="H13607" t="s">
        <v>30916</v>
      </c>
      <c r="I13607" t="s">
        <v>8123</v>
      </c>
      <c r="J13607" t="s">
        <v>39511</v>
      </c>
      <c r="K13607" t="s">
        <v>40286</v>
      </c>
      <c r="M13607" t="s">
        <v>44600</v>
      </c>
      <c r="N13607" t="s">
        <v>44759</v>
      </c>
      <c r="O13607" t="s">
        <v>44760</v>
      </c>
      <c r="P13607">
        <v>0</v>
      </c>
      <c r="Q13607">
        <v>0</v>
      </c>
      <c r="R13607" t="s">
        <v>44781</v>
      </c>
      <c r="S13607" t="s">
        <v>45758</v>
      </c>
      <c r="T13607" t="s">
        <v>46662</v>
      </c>
      <c r="U13607" t="s">
        <v>58102</v>
      </c>
      <c r="W13607" t="s">
        <v>44600</v>
      </c>
      <c r="X13607" t="s">
        <v>44782</v>
      </c>
    </row>
    <row r="13608" spans="1:24">
      <c r="A13608">
        <f>HYPERLINK("https://www.philgeps.gov.ph/GEPSNONPILOT/Tender/SplashBidNoticeAbstractUI.aspx?menuIndex=3&amp;refID=7111199&amp;Result=3","7111199")</f>
        <v>0</v>
      </c>
      <c r="B13608" t="s">
        <v>1603</v>
      </c>
      <c r="C13608" t="s">
        <v>16723</v>
      </c>
      <c r="D13608" t="s">
        <v>17980</v>
      </c>
      <c r="E13608" t="s">
        <v>29800</v>
      </c>
      <c r="F13608" t="s">
        <v>30900</v>
      </c>
      <c r="G13608" t="s">
        <v>30907</v>
      </c>
      <c r="H13608" t="s">
        <v>30916</v>
      </c>
      <c r="I13608" t="s">
        <v>30939</v>
      </c>
      <c r="J13608" t="s">
        <v>39512</v>
      </c>
      <c r="K13608" t="s">
        <v>40289</v>
      </c>
      <c r="M13608" t="s">
        <v>44603</v>
      </c>
      <c r="N13608" t="s">
        <v>44759</v>
      </c>
      <c r="O13608" t="s">
        <v>44760</v>
      </c>
      <c r="P13608">
        <v>0</v>
      </c>
      <c r="Q13608">
        <v>0</v>
      </c>
      <c r="R13608" t="s">
        <v>44781</v>
      </c>
      <c r="S13608" t="s">
        <v>45758</v>
      </c>
      <c r="T13608" t="s">
        <v>46625</v>
      </c>
      <c r="U13608" t="s">
        <v>58103</v>
      </c>
      <c r="V13608" t="s">
        <v>60656</v>
      </c>
      <c r="W13608" t="s">
        <v>44603</v>
      </c>
      <c r="X13608" t="s">
        <v>44782</v>
      </c>
    </row>
    <row r="13609" spans="1:24">
      <c r="A13609">
        <f>HYPERLINK("https://www.philgeps.gov.ph/GEPSNONPILOT/Tender/SplashBidNoticeAbstractUI.aspx?menuIndex=3&amp;refID=7111194&amp;Result=3","7111194")</f>
        <v>0</v>
      </c>
      <c r="B13609" t="s">
        <v>1999</v>
      </c>
      <c r="C13609" t="s">
        <v>16724</v>
      </c>
      <c r="D13609" t="s">
        <v>18017</v>
      </c>
      <c r="E13609" t="s">
        <v>29801</v>
      </c>
      <c r="F13609" t="s">
        <v>30900</v>
      </c>
      <c r="G13609" t="s">
        <v>30907</v>
      </c>
      <c r="H13609" t="s">
        <v>30915</v>
      </c>
      <c r="I13609" t="s">
        <v>30919</v>
      </c>
      <c r="J13609" t="s">
        <v>32324</v>
      </c>
      <c r="K13609" t="s">
        <v>40292</v>
      </c>
      <c r="M13609" t="s">
        <v>42691</v>
      </c>
      <c r="N13609" t="s">
        <v>44759</v>
      </c>
      <c r="O13609" t="s">
        <v>44760</v>
      </c>
      <c r="P13609">
        <v>0</v>
      </c>
      <c r="Q13609">
        <v>9</v>
      </c>
      <c r="R13609" t="s">
        <v>44781</v>
      </c>
      <c r="S13609" t="s">
        <v>45758</v>
      </c>
      <c r="T13609" t="s">
        <v>46533</v>
      </c>
      <c r="U13609" t="s">
        <v>58104</v>
      </c>
      <c r="V13609" t="s">
        <v>60657</v>
      </c>
      <c r="W13609" t="s">
        <v>42691</v>
      </c>
      <c r="X13609" t="s">
        <v>44782</v>
      </c>
    </row>
    <row r="13610" spans="1:24">
      <c r="A13610">
        <f>HYPERLINK("https://www.philgeps.gov.ph/GEPSNONPILOT/Tender/SplashBidNoticeAbstractUI.aspx?menuIndex=3&amp;refID=7110907&amp;Result=3","7110907")</f>
        <v>0</v>
      </c>
      <c r="B13610" t="s">
        <v>1423</v>
      </c>
      <c r="C13610" t="s">
        <v>4750</v>
      </c>
      <c r="D13610" t="s">
        <v>18013</v>
      </c>
      <c r="E13610" t="s">
        <v>29802</v>
      </c>
      <c r="F13610" t="s">
        <v>30900</v>
      </c>
      <c r="G13610" t="s">
        <v>30907</v>
      </c>
      <c r="H13610" t="s">
        <v>30916</v>
      </c>
      <c r="I13610" t="s">
        <v>5501</v>
      </c>
      <c r="J13610" t="s">
        <v>39513</v>
      </c>
      <c r="K13610" t="s">
        <v>40289</v>
      </c>
      <c r="M13610" t="s">
        <v>42053</v>
      </c>
      <c r="N13610" t="s">
        <v>44759</v>
      </c>
      <c r="O13610" t="s">
        <v>44760</v>
      </c>
      <c r="P13610">
        <v>0</v>
      </c>
      <c r="Q13610">
        <v>0</v>
      </c>
      <c r="R13610" t="s">
        <v>44781</v>
      </c>
      <c r="S13610" t="s">
        <v>45758</v>
      </c>
      <c r="T13610" t="s">
        <v>46662</v>
      </c>
      <c r="U13610" t="s">
        <v>58105</v>
      </c>
      <c r="V13610" t="s">
        <v>60658</v>
      </c>
      <c r="W13610" t="s">
        <v>42053</v>
      </c>
      <c r="X13610" t="s">
        <v>44782</v>
      </c>
    </row>
    <row r="13611" spans="1:24">
      <c r="A13611">
        <f>HYPERLINK("https://www.philgeps.gov.ph/GEPSNONPILOT/Tender/SplashBidNoticeAbstractUI.aspx?menuIndex=3&amp;refID=7111167&amp;Result=3","7111167")</f>
        <v>0</v>
      </c>
      <c r="B13611" t="s">
        <v>1999</v>
      </c>
      <c r="C13611" t="s">
        <v>16725</v>
      </c>
      <c r="D13611" t="s">
        <v>18017</v>
      </c>
      <c r="E13611" t="s">
        <v>29803</v>
      </c>
      <c r="F13611" t="s">
        <v>30900</v>
      </c>
      <c r="G13611" t="s">
        <v>30907</v>
      </c>
      <c r="H13611" t="s">
        <v>30915</v>
      </c>
      <c r="I13611" t="s">
        <v>30919</v>
      </c>
      <c r="J13611" t="s">
        <v>32271</v>
      </c>
      <c r="K13611" t="s">
        <v>40378</v>
      </c>
      <c r="M13611" t="s">
        <v>42691</v>
      </c>
      <c r="N13611" t="s">
        <v>44759</v>
      </c>
      <c r="O13611" t="s">
        <v>44760</v>
      </c>
      <c r="P13611">
        <v>0</v>
      </c>
      <c r="Q13611">
        <v>11</v>
      </c>
      <c r="R13611" t="s">
        <v>44781</v>
      </c>
      <c r="S13611" t="s">
        <v>45758</v>
      </c>
      <c r="T13611" t="s">
        <v>46533</v>
      </c>
      <c r="U13611" t="s">
        <v>58104</v>
      </c>
      <c r="V13611" t="s">
        <v>60657</v>
      </c>
      <c r="W13611" t="s">
        <v>42691</v>
      </c>
      <c r="X13611" t="s">
        <v>44782</v>
      </c>
    </row>
    <row r="13612" spans="1:24">
      <c r="A13612">
        <f>HYPERLINK("https://www.philgeps.gov.ph/GEPSNONPILOT/Tender/SplashBidNoticeAbstractUI.aspx?menuIndex=3&amp;refID=7111165&amp;Result=3","7111165")</f>
        <v>0</v>
      </c>
      <c r="B13612" t="s">
        <v>2026</v>
      </c>
      <c r="C13612" t="s">
        <v>16726</v>
      </c>
      <c r="D13612" t="s">
        <v>18004</v>
      </c>
      <c r="E13612" t="s">
        <v>29804</v>
      </c>
      <c r="F13612" t="s">
        <v>30902</v>
      </c>
      <c r="G13612" t="s">
        <v>30907</v>
      </c>
      <c r="H13612" t="s">
        <v>30916</v>
      </c>
      <c r="I13612" t="s">
        <v>30919</v>
      </c>
      <c r="J13612" t="s">
        <v>39514</v>
      </c>
      <c r="K13612" t="s">
        <v>40294</v>
      </c>
      <c r="M13612" t="s">
        <v>42722</v>
      </c>
      <c r="N13612" t="s">
        <v>44759</v>
      </c>
      <c r="O13612" t="s">
        <v>44760</v>
      </c>
      <c r="Q13612">
        <v>23</v>
      </c>
      <c r="R13612" t="s">
        <v>44781</v>
      </c>
      <c r="S13612" t="s">
        <v>45778</v>
      </c>
      <c r="T13612" t="s">
        <v>46654</v>
      </c>
      <c r="U13612" t="s">
        <v>58106</v>
      </c>
      <c r="W13612" t="s">
        <v>42722</v>
      </c>
      <c r="X13612" t="s">
        <v>44782</v>
      </c>
    </row>
    <row r="13613" spans="1:24">
      <c r="A13613">
        <f>HYPERLINK("https://www.philgeps.gov.ph/GEPSNONPILOT/Tender/SplashBidNoticeAbstractUI.aspx?menuIndex=3&amp;refID=7110866&amp;Result=3","7110866")</f>
        <v>0</v>
      </c>
      <c r="B13613" t="s">
        <v>3643</v>
      </c>
      <c r="C13613" t="s">
        <v>16727</v>
      </c>
      <c r="D13613" t="s">
        <v>17954</v>
      </c>
      <c r="E13613" t="s">
        <v>29805</v>
      </c>
      <c r="F13613" t="s">
        <v>30900</v>
      </c>
      <c r="G13613" t="s">
        <v>30907</v>
      </c>
      <c r="H13613" t="s">
        <v>30916</v>
      </c>
      <c r="I13613" t="s">
        <v>4142</v>
      </c>
      <c r="J13613" t="s">
        <v>32130</v>
      </c>
      <c r="K13613" t="s">
        <v>40286</v>
      </c>
      <c r="M13613" t="s">
        <v>44604</v>
      </c>
      <c r="N13613" t="s">
        <v>44759</v>
      </c>
      <c r="O13613" t="s">
        <v>44760</v>
      </c>
      <c r="Q13613">
        <v>12</v>
      </c>
      <c r="R13613" t="s">
        <v>44781</v>
      </c>
      <c r="S13613" t="s">
        <v>45779</v>
      </c>
      <c r="T13613" t="s">
        <v>46771</v>
      </c>
      <c r="U13613" t="s">
        <v>58107</v>
      </c>
      <c r="W13613" t="s">
        <v>44604</v>
      </c>
      <c r="X13613" t="s">
        <v>44782</v>
      </c>
    </row>
    <row r="13614" spans="1:24">
      <c r="A13614">
        <f>HYPERLINK("https://www.philgeps.gov.ph/GEPSNONPILOT/Tender/SplashBidNoticeAbstractUI.aspx?menuIndex=3&amp;refID=7111208&amp;Result=3","7111208")</f>
        <v>0</v>
      </c>
      <c r="B13614" t="s">
        <v>1468</v>
      </c>
      <c r="C13614" t="s">
        <v>16728</v>
      </c>
      <c r="D13614" t="s">
        <v>17973</v>
      </c>
      <c r="E13614" t="s">
        <v>29806</v>
      </c>
      <c r="F13614" t="s">
        <v>30900</v>
      </c>
      <c r="G13614" t="s">
        <v>30907</v>
      </c>
      <c r="H13614" t="s">
        <v>30915</v>
      </c>
      <c r="I13614" t="s">
        <v>30919</v>
      </c>
      <c r="J13614" t="s">
        <v>31297</v>
      </c>
      <c r="K13614" t="s">
        <v>40304</v>
      </c>
      <c r="M13614" t="s">
        <v>42102</v>
      </c>
      <c r="N13614" t="s">
        <v>44759</v>
      </c>
      <c r="O13614" t="s">
        <v>44760</v>
      </c>
      <c r="Q13614">
        <v>8</v>
      </c>
      <c r="R13614" t="s">
        <v>44781</v>
      </c>
      <c r="S13614" t="s">
        <v>45172</v>
      </c>
      <c r="T13614" t="s">
        <v>46581</v>
      </c>
      <c r="U13614" t="s">
        <v>58108</v>
      </c>
      <c r="W13614" t="s">
        <v>42102</v>
      </c>
      <c r="X13614" t="s">
        <v>44782</v>
      </c>
    </row>
    <row r="13615" spans="1:24">
      <c r="A13615">
        <f>HYPERLINK("https://www.philgeps.gov.ph/GEPSNONPILOT/Tender/SplashBidNoticeAbstractUI.aspx?menuIndex=3&amp;refID=7111181&amp;Result=3","7111181")</f>
        <v>0</v>
      </c>
      <c r="B13615" t="s">
        <v>1603</v>
      </c>
      <c r="C13615" t="s">
        <v>16729</v>
      </c>
      <c r="D13615" t="s">
        <v>17980</v>
      </c>
      <c r="E13615" t="s">
        <v>29807</v>
      </c>
      <c r="F13615" t="s">
        <v>30900</v>
      </c>
      <c r="G13615" t="s">
        <v>30907</v>
      </c>
      <c r="H13615" t="s">
        <v>30916</v>
      </c>
      <c r="I13615" t="s">
        <v>30961</v>
      </c>
      <c r="J13615" t="s">
        <v>33341</v>
      </c>
      <c r="K13615" t="s">
        <v>40291</v>
      </c>
      <c r="M13615" t="s">
        <v>44603</v>
      </c>
      <c r="N13615" t="s">
        <v>44759</v>
      </c>
      <c r="O13615" t="s">
        <v>44760</v>
      </c>
      <c r="P13615">
        <v>0</v>
      </c>
      <c r="Q13615">
        <v>0</v>
      </c>
      <c r="R13615" t="s">
        <v>44781</v>
      </c>
      <c r="S13615" t="s">
        <v>45758</v>
      </c>
      <c r="T13615" t="s">
        <v>46625</v>
      </c>
      <c r="U13615" t="s">
        <v>58109</v>
      </c>
      <c r="V13615" t="s">
        <v>60656</v>
      </c>
      <c r="W13615" t="s">
        <v>44603</v>
      </c>
      <c r="X13615" t="s">
        <v>44782</v>
      </c>
    </row>
    <row r="13616" spans="1:24">
      <c r="A13616">
        <f>HYPERLINK("https://www.philgeps.gov.ph/GEPSNONPILOT/Tender/SplashBidNoticeAbstractUI.aspx?menuIndex=3&amp;refID=7110388&amp;Result=3","7110388")</f>
        <v>0</v>
      </c>
      <c r="B13616" t="s">
        <v>1567</v>
      </c>
      <c r="C13616" t="s">
        <v>16730</v>
      </c>
      <c r="D13616" t="s">
        <v>18006</v>
      </c>
      <c r="E13616" t="s">
        <v>29808</v>
      </c>
      <c r="F13616" t="s">
        <v>30900</v>
      </c>
      <c r="G13616" t="s">
        <v>30907</v>
      </c>
      <c r="H13616" t="s">
        <v>30916</v>
      </c>
      <c r="I13616" t="s">
        <v>30935</v>
      </c>
      <c r="J13616" t="s">
        <v>31153</v>
      </c>
      <c r="K13616" t="s">
        <v>40289</v>
      </c>
      <c r="M13616" t="s">
        <v>42215</v>
      </c>
      <c r="N13616" t="s">
        <v>44759</v>
      </c>
      <c r="O13616" t="s">
        <v>44760</v>
      </c>
      <c r="Q13616">
        <v>4</v>
      </c>
      <c r="R13616" t="s">
        <v>44781</v>
      </c>
      <c r="S13616" t="s">
        <v>45780</v>
      </c>
      <c r="T13616" t="s">
        <v>46581</v>
      </c>
      <c r="U13616" t="s">
        <v>56156</v>
      </c>
      <c r="W13616" t="s">
        <v>42215</v>
      </c>
      <c r="X13616" t="s">
        <v>44782</v>
      </c>
    </row>
    <row r="13617" spans="1:24">
      <c r="A13617">
        <f>HYPERLINK("https://www.philgeps.gov.ph/GEPSNONPILOT/Tender/SplashBidNoticeAbstractUI.aspx?menuIndex=3&amp;refID=7111153&amp;Result=3","7111153")</f>
        <v>0</v>
      </c>
      <c r="B13617" t="s">
        <v>2638</v>
      </c>
      <c r="C13617" t="s">
        <v>16731</v>
      </c>
      <c r="D13617" t="s">
        <v>17953</v>
      </c>
      <c r="E13617" t="s">
        <v>18909</v>
      </c>
      <c r="F13617" t="s">
        <v>30900</v>
      </c>
      <c r="G13617" t="s">
        <v>30907</v>
      </c>
      <c r="H13617" t="s">
        <v>30916</v>
      </c>
      <c r="I13617" t="s">
        <v>4142</v>
      </c>
      <c r="J13617" t="s">
        <v>39515</v>
      </c>
      <c r="K13617" t="s">
        <v>40289</v>
      </c>
      <c r="M13617" t="s">
        <v>43404</v>
      </c>
      <c r="N13617" t="s">
        <v>44759</v>
      </c>
      <c r="O13617" t="s">
        <v>44760</v>
      </c>
      <c r="P13617">
        <v>0</v>
      </c>
      <c r="Q13617">
        <v>1</v>
      </c>
      <c r="R13617" t="s">
        <v>44781</v>
      </c>
      <c r="S13617" t="s">
        <v>45758</v>
      </c>
      <c r="T13617" t="s">
        <v>46403</v>
      </c>
      <c r="U13617" t="s">
        <v>58110</v>
      </c>
      <c r="W13617" t="s">
        <v>43404</v>
      </c>
      <c r="X13617" t="s">
        <v>44782</v>
      </c>
    </row>
    <row r="13618" spans="1:24">
      <c r="A13618">
        <f>HYPERLINK("https://www.philgeps.gov.ph/GEPSNONPILOT/Tender/SplashBidNoticeAbstractUI.aspx?menuIndex=3&amp;refID=7111106&amp;Result=3","7111106")</f>
        <v>0</v>
      </c>
      <c r="B13618" t="s">
        <v>700</v>
      </c>
      <c r="C13618" t="s">
        <v>16732</v>
      </c>
      <c r="D13618" t="s">
        <v>17961</v>
      </c>
      <c r="E13618" t="s">
        <v>29809</v>
      </c>
      <c r="F13618" t="s">
        <v>30900</v>
      </c>
      <c r="G13618" t="s">
        <v>30907</v>
      </c>
      <c r="H13618" t="s">
        <v>30916</v>
      </c>
      <c r="I13618" t="s">
        <v>30923</v>
      </c>
      <c r="J13618" t="s">
        <v>31701</v>
      </c>
      <c r="K13618" t="s">
        <v>40292</v>
      </c>
      <c r="M13618" t="s">
        <v>44277</v>
      </c>
      <c r="N13618" t="s">
        <v>44759</v>
      </c>
      <c r="O13618" t="s">
        <v>44760</v>
      </c>
      <c r="P13618">
        <v>0</v>
      </c>
      <c r="Q13618">
        <v>12</v>
      </c>
      <c r="R13618" t="s">
        <v>44781</v>
      </c>
      <c r="S13618" t="s">
        <v>45758</v>
      </c>
      <c r="T13618" t="s">
        <v>46531</v>
      </c>
      <c r="U13618" t="s">
        <v>58111</v>
      </c>
      <c r="V13618" t="s">
        <v>60452</v>
      </c>
      <c r="W13618" t="s">
        <v>44277</v>
      </c>
      <c r="X13618" t="s">
        <v>44782</v>
      </c>
    </row>
    <row r="13619" spans="1:24">
      <c r="A13619">
        <f>HYPERLINK("https://www.philgeps.gov.ph/GEPSNONPILOT/Tender/SplashBidNoticeAbstractUI.aspx?menuIndex=3&amp;refID=7111480&amp;Result=3","7111480")</f>
        <v>0</v>
      </c>
      <c r="B13619" t="s">
        <v>3657</v>
      </c>
      <c r="C13619" t="s">
        <v>16733</v>
      </c>
      <c r="D13619" t="s">
        <v>18000</v>
      </c>
      <c r="E13619" t="s">
        <v>18271</v>
      </c>
      <c r="F13619" t="s">
        <v>30900</v>
      </c>
      <c r="G13619" t="s">
        <v>30907</v>
      </c>
      <c r="H13619" t="s">
        <v>30915</v>
      </c>
      <c r="I13619" t="s">
        <v>30919</v>
      </c>
      <c r="J13619" t="s">
        <v>34345</v>
      </c>
      <c r="K13619" t="s">
        <v>40304</v>
      </c>
      <c r="M13619" t="s">
        <v>44602</v>
      </c>
      <c r="N13619" t="s">
        <v>44759</v>
      </c>
      <c r="O13619" t="s">
        <v>44760</v>
      </c>
      <c r="P13619">
        <v>0</v>
      </c>
      <c r="Q13619">
        <v>1</v>
      </c>
      <c r="R13619" t="s">
        <v>44781</v>
      </c>
      <c r="S13619" t="s">
        <v>45758</v>
      </c>
      <c r="T13619" t="s">
        <v>46625</v>
      </c>
      <c r="U13619" t="s">
        <v>58095</v>
      </c>
      <c r="W13619" t="s">
        <v>44602</v>
      </c>
      <c r="X13619" t="s">
        <v>44782</v>
      </c>
    </row>
    <row r="13620" spans="1:24">
      <c r="A13620">
        <f>HYPERLINK("https://www.philgeps.gov.ph/GEPSNONPILOT/Tender/SplashBidNoticeAbstractUI.aspx?menuIndex=3&amp;refID=7111242&amp;Result=3","7111242")</f>
        <v>0</v>
      </c>
      <c r="B13620" t="s">
        <v>3658</v>
      </c>
      <c r="C13620" t="s">
        <v>16734</v>
      </c>
      <c r="D13620" t="s">
        <v>17972</v>
      </c>
      <c r="E13620" t="s">
        <v>20527</v>
      </c>
      <c r="F13620" t="s">
        <v>30900</v>
      </c>
      <c r="G13620" t="s">
        <v>30907</v>
      </c>
      <c r="H13620" t="s">
        <v>30916</v>
      </c>
      <c r="I13620" t="s">
        <v>8123</v>
      </c>
      <c r="J13620" t="s">
        <v>39516</v>
      </c>
      <c r="K13620" t="s">
        <v>40284</v>
      </c>
      <c r="L13620" t="s">
        <v>3658</v>
      </c>
      <c r="M13620" t="s">
        <v>44605</v>
      </c>
      <c r="N13620" t="s">
        <v>44759</v>
      </c>
      <c r="O13620" t="s">
        <v>44760</v>
      </c>
      <c r="P13620">
        <v>0</v>
      </c>
      <c r="Q13620">
        <v>0</v>
      </c>
      <c r="R13620" t="s">
        <v>44781</v>
      </c>
      <c r="S13620" t="s">
        <v>45758</v>
      </c>
      <c r="T13620" t="s">
        <v>46591</v>
      </c>
      <c r="U13620" t="s">
        <v>58112</v>
      </c>
      <c r="V13620" t="s">
        <v>60659</v>
      </c>
      <c r="W13620" t="s">
        <v>44605</v>
      </c>
      <c r="X13620" t="s">
        <v>44782</v>
      </c>
    </row>
    <row r="13621" spans="1:24">
      <c r="A13621">
        <f>HYPERLINK("https://www.philgeps.gov.ph/GEPSNONPILOT/Tender/SplashBidNoticeAbstractUI.aspx?menuIndex=3&amp;refID=7111158&amp;Result=3","7111158")</f>
        <v>0</v>
      </c>
      <c r="B13621" t="s">
        <v>2485</v>
      </c>
      <c r="C13621" t="s">
        <v>16735</v>
      </c>
      <c r="D13621" t="s">
        <v>17980</v>
      </c>
      <c r="E13621" t="s">
        <v>29810</v>
      </c>
      <c r="F13621" t="s">
        <v>30900</v>
      </c>
      <c r="G13621" t="s">
        <v>30906</v>
      </c>
      <c r="H13621" t="s">
        <v>30916</v>
      </c>
      <c r="I13621" t="s">
        <v>31029</v>
      </c>
      <c r="J13621" t="s">
        <v>32916</v>
      </c>
      <c r="K13621" t="s">
        <v>40280</v>
      </c>
      <c r="M13621" t="s">
        <v>43226</v>
      </c>
      <c r="N13621" t="s">
        <v>44759</v>
      </c>
      <c r="O13621" t="s">
        <v>44760</v>
      </c>
      <c r="Q13621">
        <v>3</v>
      </c>
      <c r="R13621" t="s">
        <v>44781</v>
      </c>
      <c r="S13621" t="s">
        <v>45781</v>
      </c>
      <c r="T13621" t="s">
        <v>46409</v>
      </c>
      <c r="U13621" t="s">
        <v>58113</v>
      </c>
      <c r="V13621" t="s">
        <v>59894</v>
      </c>
      <c r="W13621" t="s">
        <v>43226</v>
      </c>
      <c r="X13621" t="s">
        <v>44782</v>
      </c>
    </row>
    <row r="13622" spans="1:24">
      <c r="A13622">
        <f>HYPERLINK("https://www.philgeps.gov.ph/GEPSNONPILOT/Tender/SplashBidNoticeAbstractUI.aspx?menuIndex=3&amp;refID=7111161&amp;Result=3","7111161")</f>
        <v>0</v>
      </c>
      <c r="B13622" t="s">
        <v>854</v>
      </c>
      <c r="C13622" t="s">
        <v>16736</v>
      </c>
      <c r="D13622" t="s">
        <v>17963</v>
      </c>
      <c r="E13622" t="s">
        <v>29811</v>
      </c>
      <c r="F13622" t="s">
        <v>30900</v>
      </c>
      <c r="G13622" t="s">
        <v>30907</v>
      </c>
      <c r="H13622" t="s">
        <v>30916</v>
      </c>
      <c r="I13622" t="s">
        <v>4142</v>
      </c>
      <c r="J13622" t="s">
        <v>39517</v>
      </c>
      <c r="K13622" t="s">
        <v>40287</v>
      </c>
      <c r="M13622" t="s">
        <v>41427</v>
      </c>
      <c r="N13622" t="s">
        <v>44759</v>
      </c>
      <c r="O13622" t="s">
        <v>44760</v>
      </c>
      <c r="P13622">
        <v>0</v>
      </c>
      <c r="Q13622">
        <v>5</v>
      </c>
      <c r="R13622" t="s">
        <v>44781</v>
      </c>
      <c r="S13622" t="s">
        <v>45758</v>
      </c>
      <c r="T13622" t="s">
        <v>46533</v>
      </c>
      <c r="U13622" t="s">
        <v>58114</v>
      </c>
      <c r="V13622" t="s">
        <v>59319</v>
      </c>
      <c r="W13622" t="s">
        <v>41427</v>
      </c>
      <c r="X13622" t="s">
        <v>44782</v>
      </c>
    </row>
    <row r="13623" spans="1:24">
      <c r="A13623">
        <f>HYPERLINK("https://www.philgeps.gov.ph/GEPSNONPILOT/Tender/SplashBidNoticeAbstractUI.aspx?menuIndex=3&amp;refID=7111408&amp;Result=3","7111408")</f>
        <v>0</v>
      </c>
      <c r="B13623" t="s">
        <v>494</v>
      </c>
      <c r="C13623" t="s">
        <v>16737</v>
      </c>
      <c r="D13623" t="s">
        <v>17961</v>
      </c>
      <c r="E13623" t="s">
        <v>29812</v>
      </c>
      <c r="F13623" t="s">
        <v>30900</v>
      </c>
      <c r="G13623" t="s">
        <v>30907</v>
      </c>
      <c r="H13623" t="s">
        <v>30915</v>
      </c>
      <c r="I13623" t="s">
        <v>30919</v>
      </c>
      <c r="J13623" t="s">
        <v>32125</v>
      </c>
      <c r="K13623" t="s">
        <v>40301</v>
      </c>
      <c r="M13623" t="s">
        <v>41053</v>
      </c>
      <c r="N13623" t="s">
        <v>44759</v>
      </c>
      <c r="O13623" t="s">
        <v>44760</v>
      </c>
      <c r="P13623">
        <v>0</v>
      </c>
      <c r="Q13623">
        <v>1</v>
      </c>
      <c r="R13623" t="s">
        <v>44781</v>
      </c>
      <c r="S13623" t="s">
        <v>45758</v>
      </c>
      <c r="T13623" t="s">
        <v>46641</v>
      </c>
      <c r="U13623" t="s">
        <v>58115</v>
      </c>
      <c r="W13623" t="s">
        <v>41053</v>
      </c>
      <c r="X13623" t="s">
        <v>44782</v>
      </c>
    </row>
    <row r="13624" spans="1:24">
      <c r="A13624">
        <f>HYPERLINK("https://www.philgeps.gov.ph/GEPSNONPILOT/Tender/SplashBidNoticeAbstractUI.aspx?menuIndex=3&amp;refID=7111467&amp;Result=3","7111467")</f>
        <v>0</v>
      </c>
      <c r="B13624" t="s">
        <v>1153</v>
      </c>
      <c r="C13624" t="s">
        <v>16738</v>
      </c>
      <c r="E13624" t="s">
        <v>29813</v>
      </c>
      <c r="F13624" t="s">
        <v>30900</v>
      </c>
      <c r="G13624" t="s">
        <v>30907</v>
      </c>
      <c r="H13624" t="s">
        <v>30916</v>
      </c>
      <c r="I13624" t="s">
        <v>4017</v>
      </c>
      <c r="J13624" t="s">
        <v>39518</v>
      </c>
      <c r="K13624" t="s">
        <v>40289</v>
      </c>
      <c r="M13624" t="s">
        <v>43035</v>
      </c>
      <c r="N13624" t="s">
        <v>44759</v>
      </c>
      <c r="O13624" t="s">
        <v>44760</v>
      </c>
      <c r="Q13624">
        <v>33</v>
      </c>
      <c r="R13624" t="s">
        <v>44781</v>
      </c>
      <c r="S13624" t="s">
        <v>45782</v>
      </c>
      <c r="T13624" t="s">
        <v>46612</v>
      </c>
      <c r="U13624" t="s">
        <v>52464</v>
      </c>
      <c r="W13624" t="s">
        <v>43035</v>
      </c>
      <c r="X13624" t="s">
        <v>44782</v>
      </c>
    </row>
    <row r="13625" spans="1:24">
      <c r="A13625">
        <f>HYPERLINK("https://www.philgeps.gov.ph/GEPSNONPILOT/Tender/SplashBidNoticeAbstractUI.aspx?menuIndex=3&amp;refID=7111405&amp;Result=3","7111405")</f>
        <v>0</v>
      </c>
      <c r="B13625" t="s">
        <v>45</v>
      </c>
      <c r="C13625" t="s">
        <v>16739</v>
      </c>
      <c r="E13625" t="s">
        <v>29814</v>
      </c>
      <c r="F13625" t="s">
        <v>30900</v>
      </c>
      <c r="G13625" t="s">
        <v>30907</v>
      </c>
      <c r="H13625" t="s">
        <v>30916</v>
      </c>
      <c r="I13625" t="s">
        <v>30933</v>
      </c>
      <c r="J13625" t="s">
        <v>31153</v>
      </c>
      <c r="K13625" t="s">
        <v>40286</v>
      </c>
      <c r="M13625" t="s">
        <v>40591</v>
      </c>
      <c r="N13625" t="s">
        <v>44759</v>
      </c>
      <c r="O13625" t="s">
        <v>44760</v>
      </c>
      <c r="P13625">
        <v>0</v>
      </c>
      <c r="Q13625">
        <v>2</v>
      </c>
      <c r="R13625" t="s">
        <v>44781</v>
      </c>
      <c r="S13625" t="s">
        <v>45758</v>
      </c>
      <c r="T13625" t="s">
        <v>46531</v>
      </c>
      <c r="U13625" t="s">
        <v>58116</v>
      </c>
      <c r="W13625" t="s">
        <v>40591</v>
      </c>
      <c r="X13625" t="s">
        <v>44782</v>
      </c>
    </row>
    <row r="13626" spans="1:24">
      <c r="A13626">
        <f>HYPERLINK("https://www.philgeps.gov.ph/GEPSNONPILOT/Tender/SplashBidNoticeAbstractUI.aspx?menuIndex=3&amp;refID=7111457&amp;Result=3","7111457")</f>
        <v>0</v>
      </c>
      <c r="B13626" t="s">
        <v>1567</v>
      </c>
      <c r="C13626" t="s">
        <v>16740</v>
      </c>
      <c r="D13626" t="s">
        <v>18006</v>
      </c>
      <c r="E13626" t="s">
        <v>29815</v>
      </c>
      <c r="F13626" t="s">
        <v>30900</v>
      </c>
      <c r="G13626" t="s">
        <v>30907</v>
      </c>
      <c r="H13626" t="s">
        <v>30915</v>
      </c>
      <c r="I13626" t="s">
        <v>30919</v>
      </c>
      <c r="J13626" t="s">
        <v>31297</v>
      </c>
      <c r="K13626" t="s">
        <v>40289</v>
      </c>
      <c r="M13626" t="s">
        <v>42215</v>
      </c>
      <c r="N13626" t="s">
        <v>44759</v>
      </c>
      <c r="O13626" t="s">
        <v>44760</v>
      </c>
      <c r="P13626">
        <v>0</v>
      </c>
      <c r="Q13626">
        <v>1</v>
      </c>
      <c r="R13626" t="s">
        <v>44781</v>
      </c>
      <c r="S13626" t="s">
        <v>45758</v>
      </c>
      <c r="T13626" t="s">
        <v>46581</v>
      </c>
      <c r="U13626" t="s">
        <v>54195</v>
      </c>
      <c r="W13626" t="s">
        <v>42215</v>
      </c>
      <c r="X13626" t="s">
        <v>44782</v>
      </c>
    </row>
    <row r="13627" spans="1:24">
      <c r="A13627">
        <f>HYPERLINK("https://www.philgeps.gov.ph/GEPSNONPILOT/Tender/SplashBidNoticeAbstractUI.aspx?menuIndex=3&amp;refID=7111386&amp;Result=3","7111386")</f>
        <v>0</v>
      </c>
      <c r="B13627" t="s">
        <v>1567</v>
      </c>
      <c r="C13627" t="s">
        <v>16741</v>
      </c>
      <c r="D13627" t="s">
        <v>18006</v>
      </c>
      <c r="E13627" t="s">
        <v>29816</v>
      </c>
      <c r="F13627" t="s">
        <v>30900</v>
      </c>
      <c r="G13627" t="s">
        <v>30907</v>
      </c>
      <c r="H13627" t="s">
        <v>30915</v>
      </c>
      <c r="I13627" t="s">
        <v>30919</v>
      </c>
      <c r="J13627" t="s">
        <v>31153</v>
      </c>
      <c r="K13627" t="s">
        <v>40289</v>
      </c>
      <c r="M13627" t="s">
        <v>42215</v>
      </c>
      <c r="N13627" t="s">
        <v>44759</v>
      </c>
      <c r="O13627" t="s">
        <v>44760</v>
      </c>
      <c r="P13627">
        <v>0</v>
      </c>
      <c r="Q13627">
        <v>1</v>
      </c>
      <c r="R13627" t="s">
        <v>44781</v>
      </c>
      <c r="S13627" t="s">
        <v>45758</v>
      </c>
      <c r="T13627" t="s">
        <v>46581</v>
      </c>
      <c r="U13627" t="s">
        <v>54195</v>
      </c>
      <c r="W13627" t="s">
        <v>42215</v>
      </c>
      <c r="X13627" t="s">
        <v>44782</v>
      </c>
    </row>
    <row r="13628" spans="1:24">
      <c r="A13628">
        <f>HYPERLINK("https://www.philgeps.gov.ph/GEPSNONPILOT/Tender/SplashBidNoticeAbstractUI.aspx?menuIndex=3&amp;refID=7110363&amp;Result=3","7110363")</f>
        <v>0</v>
      </c>
      <c r="B13628" t="s">
        <v>2215</v>
      </c>
      <c r="C13628" t="s">
        <v>16742</v>
      </c>
      <c r="E13628" t="s">
        <v>29817</v>
      </c>
      <c r="F13628" t="s">
        <v>30900</v>
      </c>
      <c r="G13628" t="s">
        <v>30907</v>
      </c>
      <c r="H13628" t="s">
        <v>30915</v>
      </c>
      <c r="I13628" t="s">
        <v>30919</v>
      </c>
      <c r="J13628" t="s">
        <v>31297</v>
      </c>
      <c r="K13628" t="s">
        <v>40354</v>
      </c>
      <c r="M13628" t="s">
        <v>42924</v>
      </c>
      <c r="N13628" t="s">
        <v>44759</v>
      </c>
      <c r="O13628" t="s">
        <v>44760</v>
      </c>
      <c r="P13628">
        <v>0</v>
      </c>
      <c r="Q13628">
        <v>0</v>
      </c>
      <c r="R13628" t="s">
        <v>44781</v>
      </c>
      <c r="S13628" t="s">
        <v>45758</v>
      </c>
      <c r="T13628" t="s">
        <v>46625</v>
      </c>
      <c r="U13628" t="s">
        <v>58117</v>
      </c>
      <c r="W13628" t="s">
        <v>42924</v>
      </c>
      <c r="X13628" t="s">
        <v>44782</v>
      </c>
    </row>
    <row r="13629" spans="1:24">
      <c r="A13629">
        <f>HYPERLINK("https://www.philgeps.gov.ph/GEPSNONPILOT/Tender/SplashBidNoticeAbstractUI.aspx?menuIndex=3&amp;refID=7111275&amp;Result=3","7111275")</f>
        <v>0</v>
      </c>
      <c r="B13629" t="s">
        <v>1495</v>
      </c>
      <c r="C13629" t="s">
        <v>16743</v>
      </c>
      <c r="D13629" t="s">
        <v>17972</v>
      </c>
      <c r="E13629" t="s">
        <v>28887</v>
      </c>
      <c r="F13629" t="s">
        <v>30900</v>
      </c>
      <c r="G13629" t="s">
        <v>30907</v>
      </c>
      <c r="H13629" t="s">
        <v>30916</v>
      </c>
      <c r="I13629" t="s">
        <v>8123</v>
      </c>
      <c r="J13629" t="s">
        <v>39519</v>
      </c>
      <c r="K13629" t="s">
        <v>40291</v>
      </c>
      <c r="M13629" t="s">
        <v>42134</v>
      </c>
      <c r="N13629" t="s">
        <v>44759</v>
      </c>
      <c r="O13629" t="s">
        <v>44760</v>
      </c>
      <c r="P13629">
        <v>0</v>
      </c>
      <c r="Q13629">
        <v>0</v>
      </c>
      <c r="R13629" t="s">
        <v>44781</v>
      </c>
      <c r="S13629" t="s">
        <v>45758</v>
      </c>
      <c r="T13629" t="s">
        <v>46625</v>
      </c>
      <c r="U13629" t="s">
        <v>58118</v>
      </c>
      <c r="W13629" t="s">
        <v>42134</v>
      </c>
      <c r="X13629" t="s">
        <v>44782</v>
      </c>
    </row>
    <row r="13630" spans="1:24">
      <c r="A13630">
        <f>HYPERLINK("https://www.philgeps.gov.ph/GEPSNONPILOT/Tender/SplashBidNoticeAbstractUI.aspx?menuIndex=3&amp;refID=7111284&amp;Result=3","7111284")</f>
        <v>0</v>
      </c>
      <c r="B13630" t="s">
        <v>1079</v>
      </c>
      <c r="C13630" t="s">
        <v>16744</v>
      </c>
      <c r="D13630" t="s">
        <v>17971</v>
      </c>
      <c r="E13630" t="s">
        <v>29818</v>
      </c>
      <c r="F13630" t="s">
        <v>30900</v>
      </c>
      <c r="G13630" t="s">
        <v>30907</v>
      </c>
      <c r="H13630" t="s">
        <v>30916</v>
      </c>
      <c r="I13630" t="s">
        <v>30981</v>
      </c>
      <c r="J13630" t="s">
        <v>31944</v>
      </c>
      <c r="K13630" t="s">
        <v>40289</v>
      </c>
      <c r="M13630" t="s">
        <v>41678</v>
      </c>
      <c r="N13630" t="s">
        <v>44759</v>
      </c>
      <c r="O13630" t="s">
        <v>44760</v>
      </c>
      <c r="Q13630">
        <v>3</v>
      </c>
      <c r="R13630" t="s">
        <v>44781</v>
      </c>
      <c r="S13630" t="s">
        <v>45783</v>
      </c>
      <c r="T13630" t="s">
        <v>46700</v>
      </c>
      <c r="U13630" t="s">
        <v>58119</v>
      </c>
      <c r="V13630" t="s">
        <v>60660</v>
      </c>
      <c r="W13630" t="s">
        <v>41678</v>
      </c>
      <c r="X13630" t="s">
        <v>44782</v>
      </c>
    </row>
    <row r="13631" spans="1:24">
      <c r="A13631">
        <f>HYPERLINK("https://www.philgeps.gov.ph/GEPSNONPILOT/Tender/SplashBidNoticeAbstractUI.aspx?menuIndex=3&amp;refID=7111444&amp;Result=3","7111444")</f>
        <v>0</v>
      </c>
      <c r="B13631" t="s">
        <v>81</v>
      </c>
      <c r="C13631" t="s">
        <v>16745</v>
      </c>
      <c r="D13631" t="s">
        <v>17959</v>
      </c>
      <c r="E13631" t="s">
        <v>29819</v>
      </c>
      <c r="F13631" t="s">
        <v>30900</v>
      </c>
      <c r="G13631" t="s">
        <v>30907</v>
      </c>
      <c r="H13631" t="s">
        <v>30916</v>
      </c>
      <c r="I13631" t="s">
        <v>30929</v>
      </c>
      <c r="J13631" t="s">
        <v>39520</v>
      </c>
      <c r="K13631" t="s">
        <v>40289</v>
      </c>
      <c r="M13631" t="s">
        <v>41401</v>
      </c>
      <c r="N13631" t="s">
        <v>44759</v>
      </c>
      <c r="O13631" t="s">
        <v>44760</v>
      </c>
      <c r="P13631">
        <v>0</v>
      </c>
      <c r="Q13631">
        <v>24</v>
      </c>
      <c r="R13631" t="s">
        <v>44781</v>
      </c>
      <c r="S13631" t="s">
        <v>45758</v>
      </c>
      <c r="T13631" t="s">
        <v>46581</v>
      </c>
      <c r="U13631" t="s">
        <v>58120</v>
      </c>
      <c r="V13631" t="s">
        <v>59313</v>
      </c>
      <c r="W13631" t="s">
        <v>41401</v>
      </c>
      <c r="X13631" t="s">
        <v>44782</v>
      </c>
    </row>
    <row r="13632" spans="1:24">
      <c r="A13632">
        <f>HYPERLINK("https://www.philgeps.gov.ph/GEPSNONPILOT/Tender/SplashBidNoticeAbstractUI.aspx?menuIndex=3&amp;refID=7111305&amp;Result=3","7111305")</f>
        <v>0</v>
      </c>
      <c r="B13632" t="s">
        <v>3656</v>
      </c>
      <c r="C13632" t="s">
        <v>16746</v>
      </c>
      <c r="D13632" t="s">
        <v>17997</v>
      </c>
      <c r="E13632" t="s">
        <v>29820</v>
      </c>
      <c r="F13632" t="s">
        <v>30900</v>
      </c>
      <c r="G13632" t="s">
        <v>30907</v>
      </c>
      <c r="H13632" t="s">
        <v>30916</v>
      </c>
      <c r="I13632" t="s">
        <v>8123</v>
      </c>
      <c r="J13632" t="s">
        <v>39521</v>
      </c>
      <c r="K13632" t="s">
        <v>40286</v>
      </c>
      <c r="M13632" t="s">
        <v>44600</v>
      </c>
      <c r="N13632" t="s">
        <v>44759</v>
      </c>
      <c r="O13632" t="s">
        <v>44760</v>
      </c>
      <c r="P13632">
        <v>0</v>
      </c>
      <c r="Q13632">
        <v>0</v>
      </c>
      <c r="R13632" t="s">
        <v>44781</v>
      </c>
      <c r="S13632" t="s">
        <v>45758</v>
      </c>
      <c r="T13632" t="s">
        <v>46662</v>
      </c>
      <c r="U13632" t="s">
        <v>58121</v>
      </c>
      <c r="W13632" t="s">
        <v>44600</v>
      </c>
      <c r="X13632" t="s">
        <v>44782</v>
      </c>
    </row>
    <row r="13633" spans="1:24">
      <c r="A13633">
        <f>HYPERLINK("https://www.philgeps.gov.ph/GEPSNONPILOT/Tender/SplashBidNoticeAbstractUI.aspx?menuIndex=3&amp;refID=7111267&amp;Result=3","7111267")</f>
        <v>0</v>
      </c>
      <c r="B13633" t="s">
        <v>1603</v>
      </c>
      <c r="C13633" t="s">
        <v>16747</v>
      </c>
      <c r="D13633" t="s">
        <v>17980</v>
      </c>
      <c r="E13633" t="s">
        <v>29821</v>
      </c>
      <c r="F13633" t="s">
        <v>30900</v>
      </c>
      <c r="G13633" t="s">
        <v>30907</v>
      </c>
      <c r="H13633" t="s">
        <v>30916</v>
      </c>
      <c r="I13633" t="s">
        <v>5830</v>
      </c>
      <c r="J13633" t="s">
        <v>39522</v>
      </c>
      <c r="K13633" t="s">
        <v>40292</v>
      </c>
      <c r="M13633" t="s">
        <v>44603</v>
      </c>
      <c r="N13633" t="s">
        <v>44759</v>
      </c>
      <c r="O13633" t="s">
        <v>44760</v>
      </c>
      <c r="P13633">
        <v>0</v>
      </c>
      <c r="Q13633">
        <v>6</v>
      </c>
      <c r="R13633" t="s">
        <v>44781</v>
      </c>
      <c r="S13633" t="s">
        <v>45758</v>
      </c>
      <c r="T13633" t="s">
        <v>46625</v>
      </c>
      <c r="U13633" t="s">
        <v>58122</v>
      </c>
      <c r="V13633" t="s">
        <v>60656</v>
      </c>
      <c r="W13633" t="s">
        <v>44603</v>
      </c>
      <c r="X13633" t="s">
        <v>44782</v>
      </c>
    </row>
    <row r="13634" spans="1:24">
      <c r="A13634">
        <f>HYPERLINK("https://www.philgeps.gov.ph/GEPSNONPILOT/Tender/SplashBidNoticeAbstractUI.aspx?menuIndex=3&amp;refID=7111262&amp;Result=3","7111262")</f>
        <v>0</v>
      </c>
      <c r="B13634" t="s">
        <v>1603</v>
      </c>
      <c r="C13634" t="s">
        <v>16748</v>
      </c>
      <c r="D13634" t="s">
        <v>17980</v>
      </c>
      <c r="E13634" t="s">
        <v>29822</v>
      </c>
      <c r="F13634" t="s">
        <v>30900</v>
      </c>
      <c r="G13634" t="s">
        <v>30907</v>
      </c>
      <c r="H13634" t="s">
        <v>30916</v>
      </c>
      <c r="I13634" t="s">
        <v>5830</v>
      </c>
      <c r="J13634" t="s">
        <v>39522</v>
      </c>
      <c r="K13634" t="s">
        <v>40292</v>
      </c>
      <c r="M13634" t="s">
        <v>44603</v>
      </c>
      <c r="N13634" t="s">
        <v>44759</v>
      </c>
      <c r="O13634" t="s">
        <v>44760</v>
      </c>
      <c r="P13634">
        <v>0</v>
      </c>
      <c r="Q13634">
        <v>7</v>
      </c>
      <c r="R13634" t="s">
        <v>44781</v>
      </c>
      <c r="S13634" t="s">
        <v>45758</v>
      </c>
      <c r="T13634" t="s">
        <v>46625</v>
      </c>
      <c r="U13634" t="s">
        <v>58122</v>
      </c>
      <c r="V13634" t="s">
        <v>60656</v>
      </c>
      <c r="W13634" t="s">
        <v>44603</v>
      </c>
      <c r="X13634" t="s">
        <v>44782</v>
      </c>
    </row>
    <row r="13635" spans="1:24">
      <c r="A13635">
        <f>HYPERLINK("https://www.philgeps.gov.ph/GEPSNONPILOT/Tender/SplashBidNoticeAbstractUI.aspx?menuIndex=3&amp;refID=7111271&amp;Result=3","7111271")</f>
        <v>0</v>
      </c>
      <c r="B13635" t="s">
        <v>2966</v>
      </c>
      <c r="C13635" t="s">
        <v>16749</v>
      </c>
      <c r="D13635" t="s">
        <v>17994</v>
      </c>
      <c r="E13635" t="s">
        <v>29823</v>
      </c>
      <c r="F13635" t="s">
        <v>30900</v>
      </c>
      <c r="G13635" t="s">
        <v>30907</v>
      </c>
      <c r="H13635" t="s">
        <v>30915</v>
      </c>
      <c r="I13635" t="s">
        <v>30919</v>
      </c>
      <c r="J13635" t="s">
        <v>39523</v>
      </c>
      <c r="K13635" t="s">
        <v>40446</v>
      </c>
      <c r="M13635" t="s">
        <v>44601</v>
      </c>
      <c r="N13635" t="s">
        <v>44759</v>
      </c>
      <c r="O13635" t="s">
        <v>44760</v>
      </c>
      <c r="Q13635">
        <v>4</v>
      </c>
      <c r="R13635" t="s">
        <v>44781</v>
      </c>
      <c r="S13635" t="s">
        <v>45784</v>
      </c>
      <c r="T13635" t="s">
        <v>46612</v>
      </c>
      <c r="U13635" t="s">
        <v>58123</v>
      </c>
      <c r="W13635" t="s">
        <v>44601</v>
      </c>
      <c r="X13635" t="s">
        <v>44782</v>
      </c>
    </row>
    <row r="13636" spans="1:24">
      <c r="A13636">
        <f>HYPERLINK("https://www.philgeps.gov.ph/GEPSNONPILOT/Tender/SplashBidNoticeAbstractUI.aspx?menuIndex=3&amp;refID=7111620&amp;Result=3","7111620")</f>
        <v>0</v>
      </c>
      <c r="B13636" t="s">
        <v>2063</v>
      </c>
      <c r="C13636" t="s">
        <v>16750</v>
      </c>
      <c r="D13636" t="s">
        <v>17977</v>
      </c>
      <c r="E13636" t="s">
        <v>29824</v>
      </c>
      <c r="F13636" t="s">
        <v>30900</v>
      </c>
      <c r="G13636" t="s">
        <v>30907</v>
      </c>
      <c r="H13636" t="s">
        <v>30915</v>
      </c>
      <c r="I13636" t="s">
        <v>30919</v>
      </c>
      <c r="J13636" t="s">
        <v>39524</v>
      </c>
      <c r="K13636" t="s">
        <v>40289</v>
      </c>
      <c r="L13636" t="s">
        <v>2063</v>
      </c>
      <c r="M13636" t="s">
        <v>43801</v>
      </c>
      <c r="N13636" t="s">
        <v>44759</v>
      </c>
      <c r="O13636" t="s">
        <v>44760</v>
      </c>
      <c r="Q13636">
        <v>1</v>
      </c>
      <c r="R13636" t="s">
        <v>44781</v>
      </c>
      <c r="S13636" t="s">
        <v>45785</v>
      </c>
      <c r="T13636" t="s">
        <v>46533</v>
      </c>
      <c r="U13636" t="s">
        <v>58124</v>
      </c>
      <c r="V13636" t="s">
        <v>60156</v>
      </c>
      <c r="W13636" t="s">
        <v>43801</v>
      </c>
      <c r="X13636" t="s">
        <v>44782</v>
      </c>
    </row>
    <row r="13637" spans="1:24">
      <c r="A13637">
        <f>HYPERLINK("https://www.philgeps.gov.ph/GEPSNONPILOT/Tender/SplashBidNoticeAbstractUI.aspx?menuIndex=3&amp;refID=7111618&amp;Result=3","7111618")</f>
        <v>0</v>
      </c>
      <c r="B13637" t="s">
        <v>1567</v>
      </c>
      <c r="C13637" t="s">
        <v>16751</v>
      </c>
      <c r="D13637" t="s">
        <v>18006</v>
      </c>
      <c r="E13637" t="s">
        <v>29825</v>
      </c>
      <c r="F13637" t="s">
        <v>30900</v>
      </c>
      <c r="G13637" t="s">
        <v>30907</v>
      </c>
      <c r="H13637" t="s">
        <v>30915</v>
      </c>
      <c r="I13637" t="s">
        <v>30919</v>
      </c>
      <c r="J13637" t="s">
        <v>31066</v>
      </c>
      <c r="K13637" t="s">
        <v>40289</v>
      </c>
      <c r="M13637" t="s">
        <v>42215</v>
      </c>
      <c r="N13637" t="s">
        <v>44759</v>
      </c>
      <c r="O13637" t="s">
        <v>44760</v>
      </c>
      <c r="P13637">
        <v>0</v>
      </c>
      <c r="Q13637">
        <v>2</v>
      </c>
      <c r="R13637" t="s">
        <v>44781</v>
      </c>
      <c r="S13637" t="s">
        <v>45758</v>
      </c>
      <c r="T13637" t="s">
        <v>46581</v>
      </c>
      <c r="U13637" t="s">
        <v>54195</v>
      </c>
      <c r="W13637" t="s">
        <v>42215</v>
      </c>
      <c r="X13637" t="s">
        <v>44782</v>
      </c>
    </row>
    <row r="13638" spans="1:24">
      <c r="A13638">
        <f>HYPERLINK("https://www.philgeps.gov.ph/GEPSNONPILOT/Tender/SplashBidNoticeAbstractUI.aspx?menuIndex=3&amp;refID=7111610&amp;Result=3","7111610")</f>
        <v>0</v>
      </c>
      <c r="B13638" t="s">
        <v>3659</v>
      </c>
      <c r="C13638" t="s">
        <v>16752</v>
      </c>
      <c r="D13638" t="s">
        <v>17973</v>
      </c>
      <c r="E13638" t="s">
        <v>28783</v>
      </c>
      <c r="F13638" t="s">
        <v>30900</v>
      </c>
      <c r="G13638" t="s">
        <v>30907</v>
      </c>
      <c r="H13638" t="s">
        <v>30915</v>
      </c>
      <c r="I13638" t="s">
        <v>30919</v>
      </c>
      <c r="J13638" t="s">
        <v>39525</v>
      </c>
      <c r="K13638" t="s">
        <v>40280</v>
      </c>
      <c r="M13638" t="s">
        <v>44606</v>
      </c>
      <c r="N13638" t="s">
        <v>44759</v>
      </c>
      <c r="O13638" t="s">
        <v>44760</v>
      </c>
      <c r="P13638">
        <v>0</v>
      </c>
      <c r="Q13638">
        <v>0</v>
      </c>
      <c r="R13638" t="s">
        <v>44781</v>
      </c>
      <c r="S13638" t="s">
        <v>45758</v>
      </c>
      <c r="T13638" t="s">
        <v>46403</v>
      </c>
      <c r="U13638" t="s">
        <v>58125</v>
      </c>
      <c r="W13638" t="s">
        <v>44606</v>
      </c>
      <c r="X13638" t="s">
        <v>44782</v>
      </c>
    </row>
    <row r="13639" spans="1:24">
      <c r="A13639">
        <f>HYPERLINK("https://www.philgeps.gov.ph/GEPSNONPILOT/Tender/SplashBidNoticeAbstractUI.aspx?menuIndex=3&amp;refID=7111602&amp;Result=3","7111602")</f>
        <v>0</v>
      </c>
      <c r="B13639" t="s">
        <v>2063</v>
      </c>
      <c r="C13639" t="s">
        <v>16753</v>
      </c>
      <c r="D13639" t="s">
        <v>17977</v>
      </c>
      <c r="E13639" t="s">
        <v>29826</v>
      </c>
      <c r="F13639" t="s">
        <v>30900</v>
      </c>
      <c r="G13639" t="s">
        <v>30907</v>
      </c>
      <c r="H13639" t="s">
        <v>30915</v>
      </c>
      <c r="I13639" t="s">
        <v>30919</v>
      </c>
      <c r="J13639" t="s">
        <v>39526</v>
      </c>
      <c r="K13639" t="s">
        <v>40289</v>
      </c>
      <c r="L13639" t="s">
        <v>2063</v>
      </c>
      <c r="M13639" t="s">
        <v>43801</v>
      </c>
      <c r="N13639" t="s">
        <v>44759</v>
      </c>
      <c r="O13639" t="s">
        <v>44760</v>
      </c>
      <c r="P13639">
        <v>0</v>
      </c>
      <c r="Q13639">
        <v>1</v>
      </c>
      <c r="R13639" t="s">
        <v>44781</v>
      </c>
      <c r="S13639" t="s">
        <v>45758</v>
      </c>
      <c r="T13639" t="s">
        <v>46533</v>
      </c>
      <c r="U13639" t="s">
        <v>58124</v>
      </c>
      <c r="V13639" t="s">
        <v>60156</v>
      </c>
      <c r="W13639" t="s">
        <v>43801</v>
      </c>
      <c r="X13639" t="s">
        <v>44782</v>
      </c>
    </row>
    <row r="13640" spans="1:24">
      <c r="A13640">
        <f>HYPERLINK("https://www.philgeps.gov.ph/GEPSNONPILOT/Tender/SplashBidNoticeAbstractUI.aspx?menuIndex=3&amp;refID=7111484&amp;Result=3","7111484")</f>
        <v>0</v>
      </c>
      <c r="B13640" t="s">
        <v>1567</v>
      </c>
      <c r="C13640" t="s">
        <v>16754</v>
      </c>
      <c r="D13640" t="s">
        <v>18006</v>
      </c>
      <c r="E13640" t="s">
        <v>29827</v>
      </c>
      <c r="F13640" t="s">
        <v>30900</v>
      </c>
      <c r="G13640" t="s">
        <v>30907</v>
      </c>
      <c r="H13640" t="s">
        <v>30915</v>
      </c>
      <c r="I13640" t="s">
        <v>30919</v>
      </c>
      <c r="J13640" t="s">
        <v>31391</v>
      </c>
      <c r="K13640" t="s">
        <v>40289</v>
      </c>
      <c r="M13640" t="s">
        <v>42215</v>
      </c>
      <c r="N13640" t="s">
        <v>44759</v>
      </c>
      <c r="O13640" t="s">
        <v>44760</v>
      </c>
      <c r="P13640">
        <v>0</v>
      </c>
      <c r="Q13640">
        <v>1</v>
      </c>
      <c r="R13640" t="s">
        <v>44781</v>
      </c>
      <c r="S13640" t="s">
        <v>45758</v>
      </c>
      <c r="T13640" t="s">
        <v>46581</v>
      </c>
      <c r="U13640" t="s">
        <v>54195</v>
      </c>
      <c r="W13640" t="s">
        <v>42215</v>
      </c>
      <c r="X13640" t="s">
        <v>44782</v>
      </c>
    </row>
    <row r="13641" spans="1:24">
      <c r="A13641">
        <f>HYPERLINK("https://www.philgeps.gov.ph/GEPSNONPILOT/Tender/SplashBidNoticeAbstractUI.aspx?menuIndex=3&amp;refID=7111581&amp;Result=3","7111581")</f>
        <v>0</v>
      </c>
      <c r="B13641" t="s">
        <v>2152</v>
      </c>
      <c r="C13641" t="s">
        <v>16755</v>
      </c>
      <c r="E13641" t="s">
        <v>29828</v>
      </c>
      <c r="F13641" t="s">
        <v>30900</v>
      </c>
      <c r="G13641" t="s">
        <v>30907</v>
      </c>
      <c r="H13641" t="s">
        <v>30916</v>
      </c>
      <c r="I13641" t="s">
        <v>30933</v>
      </c>
      <c r="J13641" t="s">
        <v>33735</v>
      </c>
      <c r="K13641" t="s">
        <v>40286</v>
      </c>
      <c r="M13641" t="s">
        <v>43280</v>
      </c>
      <c r="N13641" t="s">
        <v>44759</v>
      </c>
      <c r="O13641" t="s">
        <v>44760</v>
      </c>
      <c r="Q13641">
        <v>2</v>
      </c>
      <c r="R13641" t="s">
        <v>44781</v>
      </c>
      <c r="S13641" t="s">
        <v>44888</v>
      </c>
      <c r="T13641" t="s">
        <v>46612</v>
      </c>
      <c r="U13641" t="s">
        <v>53166</v>
      </c>
      <c r="W13641" t="s">
        <v>43280</v>
      </c>
      <c r="X13641" t="s">
        <v>44782</v>
      </c>
    </row>
    <row r="13642" spans="1:24">
      <c r="A13642">
        <f>HYPERLINK("https://www.philgeps.gov.ph/GEPSNONPILOT/Tender/SplashBidNoticeAbstractUI.aspx?menuIndex=3&amp;refID=7111575&amp;Result=3","7111575")</f>
        <v>0</v>
      </c>
      <c r="B13642" t="s">
        <v>35</v>
      </c>
      <c r="C13642" t="s">
        <v>16756</v>
      </c>
      <c r="D13642" t="s">
        <v>17962</v>
      </c>
      <c r="E13642" t="s">
        <v>29829</v>
      </c>
      <c r="F13642" t="s">
        <v>30900</v>
      </c>
      <c r="G13642" t="s">
        <v>30907</v>
      </c>
      <c r="H13642" t="s">
        <v>30916</v>
      </c>
      <c r="I13642" t="s">
        <v>30933</v>
      </c>
      <c r="J13642" t="s">
        <v>39527</v>
      </c>
      <c r="K13642" t="s">
        <v>40280</v>
      </c>
      <c r="M13642" t="s">
        <v>44607</v>
      </c>
      <c r="N13642" t="s">
        <v>44759</v>
      </c>
      <c r="O13642" t="s">
        <v>44760</v>
      </c>
      <c r="P13642">
        <v>0</v>
      </c>
      <c r="Q13642">
        <v>6</v>
      </c>
      <c r="R13642" t="s">
        <v>44781</v>
      </c>
      <c r="S13642" t="s">
        <v>45758</v>
      </c>
      <c r="T13642" t="s">
        <v>46722</v>
      </c>
      <c r="U13642" t="s">
        <v>58126</v>
      </c>
      <c r="V13642" t="s">
        <v>59094</v>
      </c>
      <c r="W13642" t="s">
        <v>44607</v>
      </c>
      <c r="X13642" t="s">
        <v>44782</v>
      </c>
    </row>
    <row r="13643" spans="1:24">
      <c r="A13643">
        <f>HYPERLINK("https://www.philgeps.gov.ph/GEPSNONPILOT/Tender/SplashBidNoticeAbstractUI.aspx?menuIndex=3&amp;refID=7111566&amp;Result=3","7111566")</f>
        <v>0</v>
      </c>
      <c r="B13643" t="s">
        <v>716</v>
      </c>
      <c r="C13643" t="s">
        <v>15051</v>
      </c>
      <c r="D13643" t="s">
        <v>17952</v>
      </c>
      <c r="E13643" t="s">
        <v>28787</v>
      </c>
      <c r="F13643" t="s">
        <v>30900</v>
      </c>
      <c r="G13643" t="s">
        <v>30907</v>
      </c>
      <c r="H13643" t="s">
        <v>30916</v>
      </c>
      <c r="I13643" t="s">
        <v>8123</v>
      </c>
      <c r="J13643" t="s">
        <v>39528</v>
      </c>
      <c r="K13643" t="s">
        <v>40286</v>
      </c>
      <c r="M13643" t="s">
        <v>41280</v>
      </c>
      <c r="N13643" t="s">
        <v>44759</v>
      </c>
      <c r="O13643" t="s">
        <v>44760</v>
      </c>
      <c r="P13643">
        <v>0</v>
      </c>
      <c r="Q13643">
        <v>0</v>
      </c>
      <c r="R13643" t="s">
        <v>44781</v>
      </c>
      <c r="S13643" t="s">
        <v>45758</v>
      </c>
      <c r="T13643" t="s">
        <v>46511</v>
      </c>
      <c r="U13643" t="s">
        <v>58127</v>
      </c>
      <c r="V13643" t="s">
        <v>60137</v>
      </c>
      <c r="W13643" t="s">
        <v>41280</v>
      </c>
      <c r="X13643" t="s">
        <v>44782</v>
      </c>
    </row>
    <row r="13644" spans="1:24">
      <c r="A13644">
        <f>HYPERLINK("https://www.philgeps.gov.ph/GEPSNONPILOT/Tender/SplashBidNoticeAbstractUI.aspx?menuIndex=3&amp;refID=7111556&amp;Result=3","7111556")</f>
        <v>0</v>
      </c>
      <c r="B13644" t="s">
        <v>459</v>
      </c>
      <c r="C13644" t="s">
        <v>16757</v>
      </c>
      <c r="D13644" t="s">
        <v>17978</v>
      </c>
      <c r="E13644" t="s">
        <v>29830</v>
      </c>
      <c r="F13644" t="s">
        <v>30900</v>
      </c>
      <c r="G13644" t="s">
        <v>30907</v>
      </c>
      <c r="H13644" t="s">
        <v>30915</v>
      </c>
      <c r="I13644" t="s">
        <v>30919</v>
      </c>
      <c r="J13644" t="s">
        <v>39529</v>
      </c>
      <c r="K13644" t="s">
        <v>40300</v>
      </c>
      <c r="M13644" t="s">
        <v>41017</v>
      </c>
      <c r="N13644" t="s">
        <v>44759</v>
      </c>
      <c r="O13644" t="s">
        <v>44760</v>
      </c>
      <c r="Q13644">
        <v>8</v>
      </c>
      <c r="R13644" t="s">
        <v>44781</v>
      </c>
      <c r="S13644" t="s">
        <v>45786</v>
      </c>
      <c r="T13644" t="s">
        <v>46658</v>
      </c>
      <c r="U13644" t="s">
        <v>58128</v>
      </c>
      <c r="W13644" t="s">
        <v>41017</v>
      </c>
      <c r="X13644" t="s">
        <v>44782</v>
      </c>
    </row>
    <row r="13645" spans="1:24">
      <c r="A13645">
        <f>HYPERLINK("https://www.philgeps.gov.ph/GEPSNONPILOT/Tender/SplashBidNoticeAbstractUI.aspx?menuIndex=3&amp;refID=7111554&amp;Result=3","7111554")</f>
        <v>0</v>
      </c>
      <c r="B13645" t="s">
        <v>2227</v>
      </c>
      <c r="C13645" t="s">
        <v>16758</v>
      </c>
      <c r="D13645" t="s">
        <v>18016</v>
      </c>
      <c r="E13645" t="s">
        <v>29831</v>
      </c>
      <c r="F13645" t="s">
        <v>30900</v>
      </c>
      <c r="G13645" t="s">
        <v>30907</v>
      </c>
      <c r="H13645" t="s">
        <v>30916</v>
      </c>
      <c r="I13645" t="s">
        <v>30963</v>
      </c>
      <c r="J13645" t="s">
        <v>31152</v>
      </c>
      <c r="K13645" t="s">
        <v>40289</v>
      </c>
      <c r="M13645" t="s">
        <v>43235</v>
      </c>
      <c r="N13645" t="s">
        <v>44759</v>
      </c>
      <c r="O13645" t="s">
        <v>44760</v>
      </c>
      <c r="Q13645">
        <v>3</v>
      </c>
      <c r="R13645" t="s">
        <v>44781</v>
      </c>
      <c r="S13645" t="s">
        <v>45787</v>
      </c>
      <c r="T13645" t="s">
        <v>46658</v>
      </c>
      <c r="U13645" t="s">
        <v>58129</v>
      </c>
      <c r="W13645" t="s">
        <v>43235</v>
      </c>
      <c r="X13645" t="s">
        <v>44782</v>
      </c>
    </row>
    <row r="13646" spans="1:24">
      <c r="A13646">
        <f>HYPERLINK("https://www.philgeps.gov.ph/GEPSNONPILOT/Tender/SplashBidNoticeAbstractUI.aspx?menuIndex=3&amp;refID=7111532&amp;Result=3","7111532")</f>
        <v>0</v>
      </c>
      <c r="B13646" t="s">
        <v>1567</v>
      </c>
      <c r="C13646" t="s">
        <v>16759</v>
      </c>
      <c r="D13646" t="s">
        <v>18006</v>
      </c>
      <c r="E13646" t="s">
        <v>29832</v>
      </c>
      <c r="F13646" t="s">
        <v>30900</v>
      </c>
      <c r="G13646" t="s">
        <v>30907</v>
      </c>
      <c r="H13646" t="s">
        <v>30915</v>
      </c>
      <c r="I13646" t="s">
        <v>30919</v>
      </c>
      <c r="J13646" t="s">
        <v>31152</v>
      </c>
      <c r="K13646" t="s">
        <v>40289</v>
      </c>
      <c r="M13646" t="s">
        <v>42215</v>
      </c>
      <c r="N13646" t="s">
        <v>44759</v>
      </c>
      <c r="O13646" t="s">
        <v>44760</v>
      </c>
      <c r="P13646">
        <v>0</v>
      </c>
      <c r="Q13646">
        <v>1</v>
      </c>
      <c r="R13646" t="s">
        <v>44781</v>
      </c>
      <c r="S13646" t="s">
        <v>45758</v>
      </c>
      <c r="T13646" t="s">
        <v>46581</v>
      </c>
      <c r="U13646" t="s">
        <v>54195</v>
      </c>
      <c r="W13646" t="s">
        <v>42215</v>
      </c>
      <c r="X13646" t="s">
        <v>44782</v>
      </c>
    </row>
    <row r="13647" spans="1:24">
      <c r="A13647">
        <f>HYPERLINK("https://www.philgeps.gov.ph/GEPSNONPILOT/Tender/SplashBidNoticeAbstractUI.aspx?menuIndex=3&amp;refID=7111253&amp;Result=3","7111253")</f>
        <v>0</v>
      </c>
      <c r="B13647" t="s">
        <v>1603</v>
      </c>
      <c r="C13647" t="s">
        <v>16760</v>
      </c>
      <c r="D13647" t="s">
        <v>17980</v>
      </c>
      <c r="E13647" t="s">
        <v>29833</v>
      </c>
      <c r="F13647" t="s">
        <v>30900</v>
      </c>
      <c r="G13647" t="s">
        <v>30907</v>
      </c>
      <c r="H13647" t="s">
        <v>30916</v>
      </c>
      <c r="I13647" t="s">
        <v>5830</v>
      </c>
      <c r="J13647" t="s">
        <v>39530</v>
      </c>
      <c r="K13647" t="s">
        <v>40292</v>
      </c>
      <c r="M13647" t="s">
        <v>44603</v>
      </c>
      <c r="N13647" t="s">
        <v>44759</v>
      </c>
      <c r="O13647" t="s">
        <v>44760</v>
      </c>
      <c r="P13647">
        <v>0</v>
      </c>
      <c r="Q13647">
        <v>6</v>
      </c>
      <c r="R13647" t="s">
        <v>44781</v>
      </c>
      <c r="S13647" t="s">
        <v>45758</v>
      </c>
      <c r="T13647" t="s">
        <v>46625</v>
      </c>
      <c r="U13647" t="s">
        <v>58130</v>
      </c>
      <c r="V13647" t="s">
        <v>60656</v>
      </c>
      <c r="W13647" t="s">
        <v>44603</v>
      </c>
      <c r="X13647" t="s">
        <v>44782</v>
      </c>
    </row>
    <row r="13648" spans="1:24">
      <c r="A13648">
        <f>HYPERLINK("https://www.philgeps.gov.ph/GEPSNONPILOT/Tender/SplashBidNoticeAbstractUI.aspx?menuIndex=3&amp;refID=7111803&amp;Result=3","7111803")</f>
        <v>0</v>
      </c>
      <c r="B13648" t="s">
        <v>2063</v>
      </c>
      <c r="C13648" t="s">
        <v>16761</v>
      </c>
      <c r="D13648" t="s">
        <v>17977</v>
      </c>
      <c r="E13648" t="s">
        <v>29834</v>
      </c>
      <c r="F13648" t="s">
        <v>30900</v>
      </c>
      <c r="G13648" t="s">
        <v>30907</v>
      </c>
      <c r="H13648" t="s">
        <v>30915</v>
      </c>
      <c r="I13648" t="s">
        <v>30919</v>
      </c>
      <c r="J13648" t="s">
        <v>31152</v>
      </c>
      <c r="K13648" t="s">
        <v>40289</v>
      </c>
      <c r="L13648" t="s">
        <v>2063</v>
      </c>
      <c r="M13648" t="s">
        <v>43801</v>
      </c>
      <c r="N13648" t="s">
        <v>44759</v>
      </c>
      <c r="O13648" t="s">
        <v>44760</v>
      </c>
      <c r="P13648">
        <v>0</v>
      </c>
      <c r="Q13648">
        <v>1</v>
      </c>
      <c r="R13648" t="s">
        <v>44781</v>
      </c>
      <c r="S13648" t="s">
        <v>45758</v>
      </c>
      <c r="T13648" t="s">
        <v>46533</v>
      </c>
      <c r="U13648" t="s">
        <v>58131</v>
      </c>
      <c r="V13648" t="s">
        <v>60156</v>
      </c>
      <c r="W13648" t="s">
        <v>43801</v>
      </c>
      <c r="X13648" t="s">
        <v>44782</v>
      </c>
    </row>
    <row r="13649" spans="1:24">
      <c r="A13649">
        <f>HYPERLINK("https://www.philgeps.gov.ph/GEPSNONPILOT/Tender/SplashBidNoticeAbstractUI.aspx?menuIndex=3&amp;refID=7111544&amp;Result=3","7111544")</f>
        <v>0</v>
      </c>
      <c r="B13649" t="s">
        <v>2063</v>
      </c>
      <c r="C13649" t="s">
        <v>16762</v>
      </c>
      <c r="D13649" t="s">
        <v>17977</v>
      </c>
      <c r="E13649" t="s">
        <v>29835</v>
      </c>
      <c r="F13649" t="s">
        <v>30900</v>
      </c>
      <c r="G13649" t="s">
        <v>30907</v>
      </c>
      <c r="H13649" t="s">
        <v>30915</v>
      </c>
      <c r="I13649" t="s">
        <v>30919</v>
      </c>
      <c r="J13649" t="s">
        <v>39531</v>
      </c>
      <c r="K13649" t="s">
        <v>40289</v>
      </c>
      <c r="L13649" t="s">
        <v>2063</v>
      </c>
      <c r="M13649" t="s">
        <v>43801</v>
      </c>
      <c r="N13649" t="s">
        <v>44759</v>
      </c>
      <c r="O13649" t="s">
        <v>44760</v>
      </c>
      <c r="P13649">
        <v>0</v>
      </c>
      <c r="Q13649">
        <v>0</v>
      </c>
      <c r="R13649" t="s">
        <v>44781</v>
      </c>
      <c r="S13649" t="s">
        <v>45758</v>
      </c>
      <c r="T13649" t="s">
        <v>46533</v>
      </c>
      <c r="U13649" t="s">
        <v>58124</v>
      </c>
      <c r="V13649" t="s">
        <v>60156</v>
      </c>
      <c r="W13649" t="s">
        <v>43801</v>
      </c>
      <c r="X13649" t="s">
        <v>44782</v>
      </c>
    </row>
    <row r="13650" spans="1:24">
      <c r="A13650">
        <f>HYPERLINK("https://www.philgeps.gov.ph/GEPSNONPILOT/Tender/SplashBidNoticeAbstractUI.aspx?menuIndex=3&amp;refID=7111792&amp;Result=3","7111792")</f>
        <v>0</v>
      </c>
      <c r="B13650" t="s">
        <v>1153</v>
      </c>
      <c r="C13650" t="s">
        <v>16763</v>
      </c>
      <c r="E13650" t="s">
        <v>29836</v>
      </c>
      <c r="F13650" t="s">
        <v>30900</v>
      </c>
      <c r="G13650" t="s">
        <v>30907</v>
      </c>
      <c r="H13650" t="s">
        <v>30916</v>
      </c>
      <c r="I13650" t="s">
        <v>30924</v>
      </c>
      <c r="J13650" t="s">
        <v>39532</v>
      </c>
      <c r="K13650" t="s">
        <v>40289</v>
      </c>
      <c r="M13650" t="s">
        <v>43035</v>
      </c>
      <c r="N13650" t="s">
        <v>44759</v>
      </c>
      <c r="O13650" t="s">
        <v>44760</v>
      </c>
      <c r="Q13650">
        <v>32</v>
      </c>
      <c r="R13650" t="s">
        <v>44781</v>
      </c>
      <c r="S13650" t="s">
        <v>45420</v>
      </c>
      <c r="T13650" t="s">
        <v>46725</v>
      </c>
      <c r="U13650" t="s">
        <v>50516</v>
      </c>
      <c r="W13650" t="s">
        <v>43035</v>
      </c>
      <c r="X13650" t="s">
        <v>44782</v>
      </c>
    </row>
    <row r="13651" spans="1:24">
      <c r="A13651">
        <f>HYPERLINK("https://www.philgeps.gov.ph/GEPSNONPILOT/Tender/SplashBidNoticeAbstractUI.aspx?menuIndex=3&amp;refID=7111782&amp;Result=3","7111782")</f>
        <v>0</v>
      </c>
      <c r="B13651" t="s">
        <v>1492</v>
      </c>
      <c r="C13651" t="s">
        <v>16764</v>
      </c>
      <c r="D13651" t="s">
        <v>17961</v>
      </c>
      <c r="E13651" t="s">
        <v>29837</v>
      </c>
      <c r="F13651" t="s">
        <v>30899</v>
      </c>
      <c r="G13651" t="s">
        <v>30907</v>
      </c>
      <c r="H13651" t="s">
        <v>30916</v>
      </c>
      <c r="I13651" t="s">
        <v>8123</v>
      </c>
      <c r="J13651" t="s">
        <v>39533</v>
      </c>
      <c r="K13651" t="s">
        <v>40284</v>
      </c>
      <c r="M13651" t="s">
        <v>42131</v>
      </c>
      <c r="N13651" t="s">
        <v>44759</v>
      </c>
      <c r="O13651" t="s">
        <v>44760</v>
      </c>
      <c r="P13651">
        <v>0</v>
      </c>
      <c r="Q13651">
        <v>0</v>
      </c>
      <c r="R13651" t="s">
        <v>44781</v>
      </c>
      <c r="S13651" t="s">
        <v>45758</v>
      </c>
      <c r="T13651" t="s">
        <v>46403</v>
      </c>
      <c r="U13651" t="s">
        <v>58132</v>
      </c>
      <c r="W13651" t="s">
        <v>42131</v>
      </c>
      <c r="X13651" t="s">
        <v>44782</v>
      </c>
    </row>
    <row r="13652" spans="1:24">
      <c r="A13652">
        <f>HYPERLINK("https://www.philgeps.gov.ph/GEPSNONPILOT/Tender/SplashBidNoticeAbstractUI.aspx?menuIndex=3&amp;refID=7111541&amp;Result=3","7111541")</f>
        <v>0</v>
      </c>
      <c r="B13652" t="s">
        <v>2150</v>
      </c>
      <c r="C13652" t="s">
        <v>16765</v>
      </c>
      <c r="D13652" t="s">
        <v>17951</v>
      </c>
      <c r="E13652" t="s">
        <v>20206</v>
      </c>
      <c r="F13652" t="s">
        <v>30900</v>
      </c>
      <c r="G13652" t="s">
        <v>30907</v>
      </c>
      <c r="H13652" t="s">
        <v>30916</v>
      </c>
      <c r="I13652" t="s">
        <v>30960</v>
      </c>
      <c r="J13652" t="s">
        <v>39534</v>
      </c>
      <c r="K13652" t="s">
        <v>40280</v>
      </c>
      <c r="M13652" t="s">
        <v>42854</v>
      </c>
      <c r="N13652" t="s">
        <v>44759</v>
      </c>
      <c r="O13652" t="s">
        <v>44760</v>
      </c>
      <c r="P13652">
        <v>0</v>
      </c>
      <c r="Q13652">
        <v>7</v>
      </c>
      <c r="R13652" t="s">
        <v>44781</v>
      </c>
      <c r="S13652" t="s">
        <v>45758</v>
      </c>
      <c r="T13652" t="s">
        <v>46531</v>
      </c>
      <c r="U13652" t="s">
        <v>58133</v>
      </c>
      <c r="W13652" t="s">
        <v>42854</v>
      </c>
      <c r="X13652" t="s">
        <v>44782</v>
      </c>
    </row>
    <row r="13653" spans="1:24">
      <c r="A13653">
        <f>HYPERLINK("https://www.philgeps.gov.ph/GEPSNONPILOT/Tender/SplashBidNoticeAbstractUI.aspx?menuIndex=3&amp;refID=7111767&amp;Result=3","7111767")</f>
        <v>0</v>
      </c>
      <c r="B13653" t="s">
        <v>626</v>
      </c>
      <c r="C13653" t="s">
        <v>16766</v>
      </c>
      <c r="E13653" t="s">
        <v>29838</v>
      </c>
      <c r="F13653" t="s">
        <v>30900</v>
      </c>
      <c r="G13653" t="s">
        <v>30907</v>
      </c>
      <c r="H13653" t="s">
        <v>30916</v>
      </c>
      <c r="I13653" t="s">
        <v>30927</v>
      </c>
      <c r="J13653" t="s">
        <v>33895</v>
      </c>
      <c r="K13653" t="s">
        <v>40289</v>
      </c>
      <c r="M13653" t="s">
        <v>41188</v>
      </c>
      <c r="N13653" t="s">
        <v>44759</v>
      </c>
      <c r="O13653" t="s">
        <v>44760</v>
      </c>
      <c r="Q13653">
        <v>4</v>
      </c>
      <c r="R13653" t="s">
        <v>44781</v>
      </c>
      <c r="S13653" t="s">
        <v>45788</v>
      </c>
      <c r="T13653" t="s">
        <v>46625</v>
      </c>
      <c r="U13653" t="s">
        <v>58134</v>
      </c>
      <c r="V13653" t="s">
        <v>60653</v>
      </c>
      <c r="W13653" t="s">
        <v>41188</v>
      </c>
      <c r="X13653" t="s">
        <v>44782</v>
      </c>
    </row>
    <row r="13654" spans="1:24">
      <c r="A13654">
        <f>HYPERLINK("https://www.philgeps.gov.ph/GEPSNONPILOT/Tender/SplashBidNoticeAbstractUI.aspx?menuIndex=3&amp;refID=7111735&amp;Result=3","7111735")</f>
        <v>0</v>
      </c>
      <c r="B13654" t="s">
        <v>3660</v>
      </c>
      <c r="C13654" t="s">
        <v>16767</v>
      </c>
      <c r="D13654" t="s">
        <v>18020</v>
      </c>
      <c r="E13654" t="s">
        <v>29839</v>
      </c>
      <c r="F13654" t="s">
        <v>30900</v>
      </c>
      <c r="G13654" t="s">
        <v>30907</v>
      </c>
      <c r="H13654" t="s">
        <v>30916</v>
      </c>
      <c r="I13654" t="s">
        <v>30922</v>
      </c>
      <c r="J13654" t="s">
        <v>39535</v>
      </c>
      <c r="K13654" t="s">
        <v>40293</v>
      </c>
      <c r="M13654" t="s">
        <v>44608</v>
      </c>
      <c r="N13654" t="s">
        <v>44759</v>
      </c>
      <c r="O13654" t="s">
        <v>44760</v>
      </c>
      <c r="P13654">
        <v>0</v>
      </c>
      <c r="Q13654">
        <v>11</v>
      </c>
      <c r="R13654" t="s">
        <v>44781</v>
      </c>
      <c r="S13654" t="s">
        <v>45758</v>
      </c>
      <c r="T13654" t="s">
        <v>46414</v>
      </c>
      <c r="U13654" t="s">
        <v>58135</v>
      </c>
      <c r="W13654" t="s">
        <v>44608</v>
      </c>
      <c r="X13654" t="s">
        <v>44782</v>
      </c>
    </row>
    <row r="13655" spans="1:24">
      <c r="A13655">
        <f>HYPERLINK("https://www.philgeps.gov.ph/GEPSNONPILOT/Tender/SplashBidNoticeAbstractUI.aspx?menuIndex=3&amp;refID=7111793&amp;Result=3","7111793")</f>
        <v>0</v>
      </c>
      <c r="B13655" t="s">
        <v>626</v>
      </c>
      <c r="C13655" t="s">
        <v>16768</v>
      </c>
      <c r="E13655" t="s">
        <v>29840</v>
      </c>
      <c r="F13655" t="s">
        <v>30900</v>
      </c>
      <c r="G13655" t="s">
        <v>30907</v>
      </c>
      <c r="H13655" t="s">
        <v>30916</v>
      </c>
      <c r="I13655" t="s">
        <v>8365</v>
      </c>
      <c r="J13655" t="s">
        <v>31407</v>
      </c>
      <c r="K13655" t="s">
        <v>40289</v>
      </c>
      <c r="M13655" t="s">
        <v>41188</v>
      </c>
      <c r="N13655" t="s">
        <v>44759</v>
      </c>
      <c r="O13655" t="s">
        <v>44760</v>
      </c>
      <c r="Q13655">
        <v>5</v>
      </c>
      <c r="R13655" t="s">
        <v>44781</v>
      </c>
      <c r="S13655" t="s">
        <v>45789</v>
      </c>
      <c r="T13655" t="s">
        <v>46625</v>
      </c>
      <c r="U13655" t="s">
        <v>58136</v>
      </c>
      <c r="V13655" t="s">
        <v>60653</v>
      </c>
      <c r="W13655" t="s">
        <v>41188</v>
      </c>
      <c r="X13655" t="s">
        <v>44782</v>
      </c>
    </row>
    <row r="13656" spans="1:24">
      <c r="A13656">
        <f>HYPERLINK("https://www.philgeps.gov.ph/GEPSNONPILOT/Tender/SplashBidNoticeAbstractUI.aspx?menuIndex=3&amp;refID=7111760&amp;Result=3","7111760")</f>
        <v>0</v>
      </c>
      <c r="B13656" t="s">
        <v>2063</v>
      </c>
      <c r="C13656" t="s">
        <v>16769</v>
      </c>
      <c r="D13656" t="s">
        <v>17977</v>
      </c>
      <c r="E13656" t="s">
        <v>29841</v>
      </c>
      <c r="F13656" t="s">
        <v>30900</v>
      </c>
      <c r="G13656" t="s">
        <v>30907</v>
      </c>
      <c r="H13656" t="s">
        <v>30915</v>
      </c>
      <c r="I13656" t="s">
        <v>30919</v>
      </c>
      <c r="J13656" t="s">
        <v>31297</v>
      </c>
      <c r="K13656" t="s">
        <v>40289</v>
      </c>
      <c r="L13656" t="s">
        <v>2063</v>
      </c>
      <c r="M13656" t="s">
        <v>43801</v>
      </c>
      <c r="N13656" t="s">
        <v>44759</v>
      </c>
      <c r="O13656" t="s">
        <v>44760</v>
      </c>
      <c r="P13656">
        <v>0</v>
      </c>
      <c r="Q13656">
        <v>0</v>
      </c>
      <c r="R13656" t="s">
        <v>44781</v>
      </c>
      <c r="S13656" t="s">
        <v>45758</v>
      </c>
      <c r="T13656" t="s">
        <v>46533</v>
      </c>
      <c r="U13656" t="s">
        <v>58131</v>
      </c>
      <c r="V13656" t="s">
        <v>60156</v>
      </c>
      <c r="W13656" t="s">
        <v>43801</v>
      </c>
      <c r="X13656" t="s">
        <v>44782</v>
      </c>
    </row>
    <row r="13657" spans="1:24">
      <c r="A13657">
        <f>HYPERLINK("https://www.philgeps.gov.ph/GEPSNONPILOT/Tender/SplashBidNoticeAbstractUI.aspx?menuIndex=3&amp;refID=7111341&amp;Result=3","7111341")</f>
        <v>0</v>
      </c>
      <c r="B13657" t="s">
        <v>2473</v>
      </c>
      <c r="C13657" t="s">
        <v>10607</v>
      </c>
      <c r="D13657" t="s">
        <v>17993</v>
      </c>
      <c r="E13657" t="s">
        <v>27377</v>
      </c>
      <c r="F13657" t="s">
        <v>30904</v>
      </c>
      <c r="G13657" t="s">
        <v>30907</v>
      </c>
      <c r="H13657" t="s">
        <v>30915</v>
      </c>
      <c r="I13657" t="s">
        <v>30919</v>
      </c>
      <c r="J13657" t="s">
        <v>31204</v>
      </c>
      <c r="K13657" t="s">
        <v>40286</v>
      </c>
      <c r="M13657" t="s">
        <v>43211</v>
      </c>
      <c r="N13657" t="s">
        <v>44759</v>
      </c>
      <c r="O13657" t="s">
        <v>44760</v>
      </c>
      <c r="P13657">
        <v>0</v>
      </c>
      <c r="Q13657">
        <v>1</v>
      </c>
      <c r="R13657" t="s">
        <v>44781</v>
      </c>
      <c r="S13657" t="s">
        <v>45758</v>
      </c>
      <c r="T13657" t="s">
        <v>46383</v>
      </c>
      <c r="U13657" t="s">
        <v>52982</v>
      </c>
      <c r="W13657" t="s">
        <v>43211</v>
      </c>
      <c r="X13657" t="s">
        <v>44782</v>
      </c>
    </row>
    <row r="13658" spans="1:24">
      <c r="A13658">
        <f>HYPERLINK("https://www.philgeps.gov.ph/GEPSNONPILOT/Tender/SplashBidNoticeAbstractUI.aspx?menuIndex=3&amp;refID=7111703&amp;Result=3","7111703")</f>
        <v>0</v>
      </c>
      <c r="B13658" t="s">
        <v>3660</v>
      </c>
      <c r="C13658" t="s">
        <v>16770</v>
      </c>
      <c r="D13658" t="s">
        <v>18020</v>
      </c>
      <c r="E13658" t="s">
        <v>29842</v>
      </c>
      <c r="F13658" t="s">
        <v>30900</v>
      </c>
      <c r="G13658" t="s">
        <v>30907</v>
      </c>
      <c r="H13658" t="s">
        <v>30915</v>
      </c>
      <c r="I13658" t="s">
        <v>30971</v>
      </c>
      <c r="J13658" t="s">
        <v>39536</v>
      </c>
      <c r="K13658" t="s">
        <v>40304</v>
      </c>
      <c r="M13658" t="s">
        <v>44608</v>
      </c>
      <c r="N13658" t="s">
        <v>44759</v>
      </c>
      <c r="O13658" t="s">
        <v>44760</v>
      </c>
      <c r="Q13658">
        <v>5</v>
      </c>
      <c r="R13658" t="s">
        <v>44781</v>
      </c>
      <c r="S13658" t="s">
        <v>45790</v>
      </c>
      <c r="T13658" t="s">
        <v>46363</v>
      </c>
      <c r="U13658" t="s">
        <v>58137</v>
      </c>
      <c r="W13658" t="s">
        <v>44608</v>
      </c>
      <c r="X13658" t="s">
        <v>44782</v>
      </c>
    </row>
    <row r="13659" spans="1:24">
      <c r="A13659">
        <f>HYPERLINK("https://www.philgeps.gov.ph/GEPSNONPILOT/Tender/SplashBidNoticeAbstractUI.aspx?menuIndex=3&amp;refID=7111696&amp;Result=3","7111696")</f>
        <v>0</v>
      </c>
      <c r="B13659" t="s">
        <v>1513</v>
      </c>
      <c r="C13659" t="s">
        <v>16771</v>
      </c>
      <c r="D13659" t="s">
        <v>17968</v>
      </c>
      <c r="E13659" t="s">
        <v>29843</v>
      </c>
      <c r="F13659" t="s">
        <v>30900</v>
      </c>
      <c r="G13659" t="s">
        <v>30907</v>
      </c>
      <c r="H13659" t="s">
        <v>30916</v>
      </c>
      <c r="I13659" t="s">
        <v>9385</v>
      </c>
      <c r="J13659" t="s">
        <v>39537</v>
      </c>
      <c r="K13659" t="s">
        <v>40292</v>
      </c>
      <c r="M13659" t="s">
        <v>42154</v>
      </c>
      <c r="N13659" t="s">
        <v>44759</v>
      </c>
      <c r="O13659" t="s">
        <v>44760</v>
      </c>
      <c r="Q13659">
        <v>39</v>
      </c>
      <c r="R13659" t="s">
        <v>44781</v>
      </c>
      <c r="S13659" t="s">
        <v>45791</v>
      </c>
      <c r="T13659" t="s">
        <v>46581</v>
      </c>
      <c r="U13659" t="s">
        <v>58138</v>
      </c>
      <c r="V13659" t="s">
        <v>60661</v>
      </c>
      <c r="W13659" t="s">
        <v>42154</v>
      </c>
      <c r="X13659" t="s">
        <v>44782</v>
      </c>
    </row>
    <row r="13660" spans="1:24">
      <c r="A13660">
        <f>HYPERLINK("https://www.philgeps.gov.ph/GEPSNONPILOT/Tender/SplashBidNoticeAbstractUI.aspx?menuIndex=3&amp;refID=7111693&amp;Result=3","7111693")</f>
        <v>0</v>
      </c>
      <c r="B13660" t="s">
        <v>2063</v>
      </c>
      <c r="C13660" t="s">
        <v>16772</v>
      </c>
      <c r="D13660" t="s">
        <v>17977</v>
      </c>
      <c r="E13660" t="s">
        <v>29844</v>
      </c>
      <c r="F13660" t="s">
        <v>30900</v>
      </c>
      <c r="G13660" t="s">
        <v>30907</v>
      </c>
      <c r="H13660" t="s">
        <v>30915</v>
      </c>
      <c r="I13660" t="s">
        <v>30919</v>
      </c>
      <c r="J13660" t="s">
        <v>34393</v>
      </c>
      <c r="K13660" t="s">
        <v>40289</v>
      </c>
      <c r="L13660" t="s">
        <v>2063</v>
      </c>
      <c r="M13660" t="s">
        <v>43801</v>
      </c>
      <c r="N13660" t="s">
        <v>44759</v>
      </c>
      <c r="O13660" t="s">
        <v>44760</v>
      </c>
      <c r="P13660">
        <v>0</v>
      </c>
      <c r="Q13660">
        <v>0</v>
      </c>
      <c r="R13660" t="s">
        <v>44781</v>
      </c>
      <c r="S13660" t="s">
        <v>45758</v>
      </c>
      <c r="T13660" t="s">
        <v>46533</v>
      </c>
      <c r="U13660" t="s">
        <v>58124</v>
      </c>
      <c r="V13660" t="s">
        <v>60156</v>
      </c>
      <c r="W13660" t="s">
        <v>43801</v>
      </c>
      <c r="X13660" t="s">
        <v>44782</v>
      </c>
    </row>
    <row r="13661" spans="1:24">
      <c r="A13661">
        <f>HYPERLINK("https://www.philgeps.gov.ph/GEPSNONPILOT/Tender/SplashBidNoticeAbstractUI.aspx?menuIndex=3&amp;refID=7111689&amp;Result=3","7111689")</f>
        <v>0</v>
      </c>
      <c r="B13661" t="s">
        <v>35</v>
      </c>
      <c r="C13661" t="s">
        <v>16773</v>
      </c>
      <c r="D13661" t="s">
        <v>17962</v>
      </c>
      <c r="E13661" t="s">
        <v>29845</v>
      </c>
      <c r="F13661" t="s">
        <v>30900</v>
      </c>
      <c r="G13661" t="s">
        <v>30907</v>
      </c>
      <c r="H13661" t="s">
        <v>30916</v>
      </c>
      <c r="I13661" t="s">
        <v>30923</v>
      </c>
      <c r="J13661" t="s">
        <v>39538</v>
      </c>
      <c r="K13661" t="s">
        <v>40283</v>
      </c>
      <c r="M13661" t="s">
        <v>44607</v>
      </c>
      <c r="N13661" t="s">
        <v>44759</v>
      </c>
      <c r="O13661" t="s">
        <v>44760</v>
      </c>
      <c r="P13661">
        <v>0</v>
      </c>
      <c r="Q13661">
        <v>3</v>
      </c>
      <c r="R13661" t="s">
        <v>44781</v>
      </c>
      <c r="S13661" t="s">
        <v>45758</v>
      </c>
      <c r="T13661" t="s">
        <v>46722</v>
      </c>
      <c r="U13661" t="s">
        <v>58139</v>
      </c>
      <c r="V13661" t="s">
        <v>59094</v>
      </c>
      <c r="W13661" t="s">
        <v>44607</v>
      </c>
      <c r="X13661" t="s">
        <v>44782</v>
      </c>
    </row>
    <row r="13662" spans="1:24">
      <c r="A13662">
        <f>HYPERLINK("https://www.philgeps.gov.ph/GEPSNONPILOT/Tender/SplashBidNoticeAbstractUI.aspx?menuIndex=3&amp;refID=7111691&amp;Result=3","7111691")</f>
        <v>0</v>
      </c>
      <c r="B13662" t="s">
        <v>1567</v>
      </c>
      <c r="C13662" t="s">
        <v>16774</v>
      </c>
      <c r="D13662" t="s">
        <v>18006</v>
      </c>
      <c r="E13662" t="s">
        <v>29846</v>
      </c>
      <c r="F13662" t="s">
        <v>30900</v>
      </c>
      <c r="G13662" t="s">
        <v>30907</v>
      </c>
      <c r="H13662" t="s">
        <v>30915</v>
      </c>
      <c r="I13662" t="s">
        <v>30919</v>
      </c>
      <c r="J13662" t="s">
        <v>31241</v>
      </c>
      <c r="K13662" t="s">
        <v>40289</v>
      </c>
      <c r="M13662" t="s">
        <v>42215</v>
      </c>
      <c r="N13662" t="s">
        <v>44759</v>
      </c>
      <c r="O13662" t="s">
        <v>44760</v>
      </c>
      <c r="P13662">
        <v>0</v>
      </c>
      <c r="Q13662">
        <v>1</v>
      </c>
      <c r="R13662" t="s">
        <v>44781</v>
      </c>
      <c r="S13662" t="s">
        <v>45758</v>
      </c>
      <c r="T13662" t="s">
        <v>46581</v>
      </c>
      <c r="U13662" t="s">
        <v>54195</v>
      </c>
      <c r="W13662" t="s">
        <v>42215</v>
      </c>
      <c r="X13662" t="s">
        <v>44782</v>
      </c>
    </row>
    <row r="13663" spans="1:24">
      <c r="A13663">
        <f>HYPERLINK("https://www.philgeps.gov.ph/GEPSNONPILOT/Tender/SplashBidNoticeAbstractUI.aspx?menuIndex=3&amp;refID=7111669&amp;Result=3","7111669")</f>
        <v>0</v>
      </c>
      <c r="B13663" t="s">
        <v>2063</v>
      </c>
      <c r="C13663" t="s">
        <v>16775</v>
      </c>
      <c r="D13663" t="s">
        <v>17977</v>
      </c>
      <c r="E13663" t="s">
        <v>29847</v>
      </c>
      <c r="F13663" t="s">
        <v>30900</v>
      </c>
      <c r="G13663" t="s">
        <v>30907</v>
      </c>
      <c r="H13663" t="s">
        <v>30915</v>
      </c>
      <c r="I13663" t="s">
        <v>30919</v>
      </c>
      <c r="J13663" t="s">
        <v>34393</v>
      </c>
      <c r="K13663" t="s">
        <v>40289</v>
      </c>
      <c r="L13663" t="s">
        <v>2063</v>
      </c>
      <c r="M13663" t="s">
        <v>43801</v>
      </c>
      <c r="N13663" t="s">
        <v>44759</v>
      </c>
      <c r="O13663" t="s">
        <v>44760</v>
      </c>
      <c r="P13663">
        <v>0</v>
      </c>
      <c r="Q13663">
        <v>0</v>
      </c>
      <c r="R13663" t="s">
        <v>44781</v>
      </c>
      <c r="S13663" t="s">
        <v>45758</v>
      </c>
      <c r="T13663" t="s">
        <v>46533</v>
      </c>
      <c r="U13663" t="s">
        <v>58124</v>
      </c>
      <c r="V13663" t="s">
        <v>60156</v>
      </c>
      <c r="W13663" t="s">
        <v>43801</v>
      </c>
      <c r="X13663" t="s">
        <v>44782</v>
      </c>
    </row>
    <row r="13664" spans="1:24">
      <c r="A13664">
        <f>HYPERLINK("https://www.philgeps.gov.ph/GEPSNONPILOT/Tender/SplashBidNoticeAbstractUI.aspx?menuIndex=3&amp;refID=7111128&amp;Result=3","7111128")</f>
        <v>0</v>
      </c>
      <c r="B13664" t="s">
        <v>1999</v>
      </c>
      <c r="C13664" t="s">
        <v>16776</v>
      </c>
      <c r="D13664" t="s">
        <v>18017</v>
      </c>
      <c r="E13664" t="s">
        <v>29848</v>
      </c>
      <c r="F13664" t="s">
        <v>30900</v>
      </c>
      <c r="G13664" t="s">
        <v>30907</v>
      </c>
      <c r="H13664" t="s">
        <v>30915</v>
      </c>
      <c r="I13664" t="s">
        <v>30919</v>
      </c>
      <c r="J13664" t="s">
        <v>36317</v>
      </c>
      <c r="K13664" t="s">
        <v>40349</v>
      </c>
      <c r="M13664" t="s">
        <v>42691</v>
      </c>
      <c r="N13664" t="s">
        <v>44759</v>
      </c>
      <c r="O13664" t="s">
        <v>44760</v>
      </c>
      <c r="P13664">
        <v>0</v>
      </c>
      <c r="Q13664">
        <v>9</v>
      </c>
      <c r="R13664" t="s">
        <v>44781</v>
      </c>
      <c r="S13664" t="s">
        <v>45758</v>
      </c>
      <c r="T13664" t="s">
        <v>46533</v>
      </c>
      <c r="U13664" t="s">
        <v>58104</v>
      </c>
      <c r="V13664" t="s">
        <v>60657</v>
      </c>
      <c r="W13664" t="s">
        <v>42691</v>
      </c>
      <c r="X13664" t="s">
        <v>44782</v>
      </c>
    </row>
    <row r="13665" spans="1:24">
      <c r="A13665">
        <f>HYPERLINK("https://www.philgeps.gov.ph/GEPSNONPILOT/Tender/SplashBidNoticeAbstractUI.aspx?menuIndex=3&amp;refID=7111656&amp;Result=3","7111656")</f>
        <v>0</v>
      </c>
      <c r="B13665" t="s">
        <v>1567</v>
      </c>
      <c r="C13665" t="s">
        <v>16777</v>
      </c>
      <c r="D13665" t="s">
        <v>18006</v>
      </c>
      <c r="E13665" t="s">
        <v>29849</v>
      </c>
      <c r="F13665" t="s">
        <v>30900</v>
      </c>
      <c r="G13665" t="s">
        <v>30907</v>
      </c>
      <c r="H13665" t="s">
        <v>30915</v>
      </c>
      <c r="I13665" t="s">
        <v>30919</v>
      </c>
      <c r="J13665" t="s">
        <v>31069</v>
      </c>
      <c r="K13665" t="s">
        <v>40289</v>
      </c>
      <c r="M13665" t="s">
        <v>42215</v>
      </c>
      <c r="N13665" t="s">
        <v>44759</v>
      </c>
      <c r="O13665" t="s">
        <v>44760</v>
      </c>
      <c r="P13665">
        <v>0</v>
      </c>
      <c r="Q13665">
        <v>1</v>
      </c>
      <c r="R13665" t="s">
        <v>44781</v>
      </c>
      <c r="S13665" t="s">
        <v>45758</v>
      </c>
      <c r="T13665" t="s">
        <v>46581</v>
      </c>
      <c r="U13665" t="s">
        <v>54195</v>
      </c>
      <c r="W13665" t="s">
        <v>42215</v>
      </c>
      <c r="X13665" t="s">
        <v>44782</v>
      </c>
    </row>
    <row r="13666" spans="1:24">
      <c r="A13666">
        <f>HYPERLINK("https://www.philgeps.gov.ph/GEPSNONPILOT/Tender/SplashBidNoticeAbstractUI.aspx?menuIndex=3&amp;refID=7111636&amp;Result=3","7111636")</f>
        <v>0</v>
      </c>
      <c r="B13666" t="s">
        <v>839</v>
      </c>
      <c r="C13666" t="s">
        <v>16778</v>
      </c>
      <c r="E13666" t="s">
        <v>29850</v>
      </c>
      <c r="F13666" t="s">
        <v>30900</v>
      </c>
      <c r="G13666" t="s">
        <v>30907</v>
      </c>
      <c r="H13666" t="s">
        <v>30916</v>
      </c>
      <c r="I13666" t="s">
        <v>5501</v>
      </c>
      <c r="J13666" t="s">
        <v>39539</v>
      </c>
      <c r="K13666" t="s">
        <v>40289</v>
      </c>
      <c r="M13666" t="s">
        <v>41412</v>
      </c>
      <c r="N13666" t="s">
        <v>44759</v>
      </c>
      <c r="O13666" t="s">
        <v>44760</v>
      </c>
      <c r="P13666">
        <v>0</v>
      </c>
      <c r="Q13666">
        <v>13</v>
      </c>
      <c r="R13666" t="s">
        <v>44781</v>
      </c>
      <c r="S13666" t="s">
        <v>45758</v>
      </c>
      <c r="T13666" t="s">
        <v>46658</v>
      </c>
      <c r="U13666" t="s">
        <v>58140</v>
      </c>
      <c r="W13666" t="s">
        <v>41412</v>
      </c>
      <c r="X13666" t="s">
        <v>44782</v>
      </c>
    </row>
    <row r="13667" spans="1:24">
      <c r="A13667">
        <f>HYPERLINK("https://www.philgeps.gov.ph/GEPSNONPILOT/Tender/SplashBidNoticeAbstractUI.aspx?menuIndex=3&amp;refID=7111627&amp;Result=3","7111627")</f>
        <v>0</v>
      </c>
      <c r="B13667" t="s">
        <v>3661</v>
      </c>
      <c r="C13667" t="s">
        <v>16779</v>
      </c>
      <c r="D13667" t="s">
        <v>17985</v>
      </c>
      <c r="E13667" t="s">
        <v>29851</v>
      </c>
      <c r="F13667" t="s">
        <v>30900</v>
      </c>
      <c r="G13667" t="s">
        <v>30907</v>
      </c>
      <c r="H13667" t="s">
        <v>30916</v>
      </c>
      <c r="I13667" t="s">
        <v>4545</v>
      </c>
      <c r="J13667" t="s">
        <v>36428</v>
      </c>
      <c r="K13667" t="s">
        <v>40286</v>
      </c>
      <c r="M13667" t="s">
        <v>44609</v>
      </c>
      <c r="N13667" t="s">
        <v>44759</v>
      </c>
      <c r="O13667" t="s">
        <v>44760</v>
      </c>
      <c r="Q13667">
        <v>10</v>
      </c>
      <c r="R13667" t="s">
        <v>44781</v>
      </c>
      <c r="S13667" t="s">
        <v>45792</v>
      </c>
      <c r="T13667" t="s">
        <v>46757</v>
      </c>
      <c r="U13667" t="s">
        <v>58141</v>
      </c>
      <c r="V13667" t="s">
        <v>60662</v>
      </c>
      <c r="W13667" t="s">
        <v>44609</v>
      </c>
      <c r="X13667" t="s">
        <v>44782</v>
      </c>
    </row>
    <row r="13668" spans="1:24">
      <c r="A13668">
        <f>HYPERLINK("https://www.philgeps.gov.ph/GEPSNONPILOT/Tender/SplashBidNoticeAbstractUI.aspx?menuIndex=3&amp;refID=7111513&amp;Result=3","7111513")</f>
        <v>0</v>
      </c>
      <c r="B13668" t="s">
        <v>2146</v>
      </c>
      <c r="C13668" t="s">
        <v>16780</v>
      </c>
      <c r="D13668" t="s">
        <v>17960</v>
      </c>
      <c r="E13668" t="s">
        <v>29852</v>
      </c>
      <c r="F13668" t="s">
        <v>30900</v>
      </c>
      <c r="G13668" t="s">
        <v>30907</v>
      </c>
      <c r="H13668" t="s">
        <v>30915</v>
      </c>
      <c r="I13668" t="s">
        <v>30919</v>
      </c>
      <c r="J13668" t="s">
        <v>31653</v>
      </c>
      <c r="K13668" t="s">
        <v>40292</v>
      </c>
      <c r="M13668" t="s">
        <v>42849</v>
      </c>
      <c r="N13668" t="s">
        <v>44759</v>
      </c>
      <c r="O13668" t="s">
        <v>44760</v>
      </c>
      <c r="P13668">
        <v>0</v>
      </c>
      <c r="Q13668">
        <v>0</v>
      </c>
      <c r="R13668" t="s">
        <v>44781</v>
      </c>
      <c r="S13668" t="s">
        <v>45758</v>
      </c>
      <c r="T13668" t="s">
        <v>46658</v>
      </c>
      <c r="U13668" t="s">
        <v>58094</v>
      </c>
      <c r="W13668" t="s">
        <v>42849</v>
      </c>
      <c r="X13668" t="s">
        <v>44782</v>
      </c>
    </row>
    <row r="13669" spans="1:24">
      <c r="A13669">
        <f>HYPERLINK("https://www.philgeps.gov.ph/GEPSNONPILOT/Tender/SplashBidNoticeAbstractUI.aspx?menuIndex=3&amp;refID=7111510&amp;Result=3","7111510")</f>
        <v>0</v>
      </c>
      <c r="B13669" t="s">
        <v>2150</v>
      </c>
      <c r="C13669" t="s">
        <v>16781</v>
      </c>
      <c r="D13669" t="s">
        <v>17951</v>
      </c>
      <c r="E13669" t="s">
        <v>29853</v>
      </c>
      <c r="F13669" t="s">
        <v>30900</v>
      </c>
      <c r="G13669" t="s">
        <v>30907</v>
      </c>
      <c r="H13669" t="s">
        <v>30916</v>
      </c>
      <c r="I13669" t="s">
        <v>30944</v>
      </c>
      <c r="J13669" t="s">
        <v>32329</v>
      </c>
      <c r="K13669" t="s">
        <v>40291</v>
      </c>
      <c r="M13669" t="s">
        <v>42854</v>
      </c>
      <c r="N13669" t="s">
        <v>44759</v>
      </c>
      <c r="O13669" t="s">
        <v>44760</v>
      </c>
      <c r="P13669">
        <v>0</v>
      </c>
      <c r="Q13669">
        <v>2</v>
      </c>
      <c r="R13669" t="s">
        <v>44781</v>
      </c>
      <c r="S13669" t="s">
        <v>45758</v>
      </c>
      <c r="T13669" t="s">
        <v>46531</v>
      </c>
      <c r="U13669" t="s">
        <v>58142</v>
      </c>
      <c r="W13669" t="s">
        <v>42854</v>
      </c>
      <c r="X13669" t="s">
        <v>44782</v>
      </c>
    </row>
    <row r="13670" spans="1:24">
      <c r="A13670">
        <f>HYPERLINK("https://www.philgeps.gov.ph/GEPSNONPILOT/Tender/SplashBidNoticeAbstractUI.aspx?menuIndex=3&amp;refID=7111148&amp;Result=3","7111148")</f>
        <v>0</v>
      </c>
      <c r="B13670" t="s">
        <v>3662</v>
      </c>
      <c r="C13670" t="s">
        <v>16782</v>
      </c>
      <c r="D13670" t="s">
        <v>17993</v>
      </c>
      <c r="E13670" t="s">
        <v>29854</v>
      </c>
      <c r="F13670" t="s">
        <v>30904</v>
      </c>
      <c r="G13670" t="s">
        <v>30907</v>
      </c>
      <c r="H13670" t="s">
        <v>30915</v>
      </c>
      <c r="I13670" t="s">
        <v>30919</v>
      </c>
      <c r="J13670" t="s">
        <v>39540</v>
      </c>
      <c r="K13670" t="s">
        <v>40286</v>
      </c>
      <c r="M13670" t="s">
        <v>44610</v>
      </c>
      <c r="N13670" t="s">
        <v>44759</v>
      </c>
      <c r="O13670" t="s">
        <v>44760</v>
      </c>
      <c r="P13670">
        <v>0</v>
      </c>
      <c r="Q13670">
        <v>1</v>
      </c>
      <c r="R13670" t="s">
        <v>44781</v>
      </c>
      <c r="S13670" t="s">
        <v>45758</v>
      </c>
      <c r="T13670" t="s">
        <v>46536</v>
      </c>
      <c r="U13670" t="s">
        <v>58143</v>
      </c>
      <c r="W13670" t="s">
        <v>44610</v>
      </c>
      <c r="X13670" t="s">
        <v>44782</v>
      </c>
    </row>
    <row r="13671" spans="1:24">
      <c r="A13671">
        <f>HYPERLINK("https://www.philgeps.gov.ph/GEPSNONPILOT/Tender/SplashBidNoticeAbstractUI.aspx?menuIndex=3&amp;refID=7111641&amp;Result=3","7111641")</f>
        <v>0</v>
      </c>
      <c r="B13671" t="s">
        <v>3659</v>
      </c>
      <c r="C13671" t="s">
        <v>16783</v>
      </c>
      <c r="D13671" t="s">
        <v>17973</v>
      </c>
      <c r="E13671" t="s">
        <v>29855</v>
      </c>
      <c r="F13671" t="s">
        <v>30900</v>
      </c>
      <c r="G13671" t="s">
        <v>30907</v>
      </c>
      <c r="H13671" t="s">
        <v>30915</v>
      </c>
      <c r="I13671" t="s">
        <v>30919</v>
      </c>
      <c r="J13671" t="s">
        <v>39541</v>
      </c>
      <c r="K13671" t="s">
        <v>40280</v>
      </c>
      <c r="M13671" t="s">
        <v>44606</v>
      </c>
      <c r="N13671" t="s">
        <v>44759</v>
      </c>
      <c r="O13671" t="s">
        <v>44760</v>
      </c>
      <c r="P13671">
        <v>0</v>
      </c>
      <c r="Q13671">
        <v>0</v>
      </c>
      <c r="R13671" t="s">
        <v>44781</v>
      </c>
      <c r="S13671" t="s">
        <v>45758</v>
      </c>
      <c r="T13671" t="s">
        <v>46403</v>
      </c>
      <c r="U13671" t="s">
        <v>58144</v>
      </c>
      <c r="W13671" t="s">
        <v>44606</v>
      </c>
      <c r="X13671" t="s">
        <v>44782</v>
      </c>
    </row>
    <row r="13672" spans="1:24">
      <c r="A13672">
        <f>HYPERLINK("https://www.philgeps.gov.ph/GEPSNONPILOT/Tender/SplashBidNoticeAbstractUI.aspx?menuIndex=3&amp;refID=7111491&amp;Result=3","7111491")</f>
        <v>0</v>
      </c>
      <c r="B13672" t="s">
        <v>1495</v>
      </c>
      <c r="C13672" t="s">
        <v>16784</v>
      </c>
      <c r="D13672" t="s">
        <v>17972</v>
      </c>
      <c r="E13672" t="s">
        <v>28874</v>
      </c>
      <c r="F13672" t="s">
        <v>30900</v>
      </c>
      <c r="G13672" t="s">
        <v>30907</v>
      </c>
      <c r="H13672" t="s">
        <v>30916</v>
      </c>
      <c r="I13672" t="s">
        <v>8123</v>
      </c>
      <c r="J13672" t="s">
        <v>33553</v>
      </c>
      <c r="K13672" t="s">
        <v>40291</v>
      </c>
      <c r="M13672" t="s">
        <v>42134</v>
      </c>
      <c r="N13672" t="s">
        <v>44759</v>
      </c>
      <c r="O13672" t="s">
        <v>44760</v>
      </c>
      <c r="P13672">
        <v>0</v>
      </c>
      <c r="Q13672">
        <v>1</v>
      </c>
      <c r="R13672" t="s">
        <v>44781</v>
      </c>
      <c r="S13672" t="s">
        <v>45758</v>
      </c>
      <c r="T13672" t="s">
        <v>46591</v>
      </c>
      <c r="U13672" t="s">
        <v>58145</v>
      </c>
      <c r="W13672" t="s">
        <v>42134</v>
      </c>
      <c r="X13672" t="s">
        <v>44782</v>
      </c>
    </row>
    <row r="13673" spans="1:24">
      <c r="A13673">
        <f>HYPERLINK("https://www.philgeps.gov.ph/GEPSNONPILOT/Tender/SplashBidNoticeAbstractUI.aspx?menuIndex=3&amp;refID=7111942&amp;Result=3","7111942")</f>
        <v>0</v>
      </c>
      <c r="B13673" t="s">
        <v>2172</v>
      </c>
      <c r="C13673" t="s">
        <v>16785</v>
      </c>
      <c r="D13673" t="s">
        <v>17998</v>
      </c>
      <c r="E13673" t="s">
        <v>29856</v>
      </c>
      <c r="F13673" t="s">
        <v>30900</v>
      </c>
      <c r="G13673" t="s">
        <v>30907</v>
      </c>
      <c r="H13673" t="s">
        <v>30915</v>
      </c>
      <c r="I13673" t="s">
        <v>30919</v>
      </c>
      <c r="J13673" t="s">
        <v>39542</v>
      </c>
      <c r="K13673" t="s">
        <v>40280</v>
      </c>
      <c r="M13673" t="s">
        <v>42877</v>
      </c>
      <c r="N13673" t="s">
        <v>44759</v>
      </c>
      <c r="O13673" t="s">
        <v>44760</v>
      </c>
      <c r="P13673">
        <v>0</v>
      </c>
      <c r="Q13673">
        <v>1</v>
      </c>
      <c r="R13673" t="s">
        <v>44781</v>
      </c>
      <c r="S13673" t="s">
        <v>45758</v>
      </c>
      <c r="T13673" t="s">
        <v>46625</v>
      </c>
      <c r="U13673" t="s">
        <v>55840</v>
      </c>
      <c r="V13673" t="s">
        <v>60663</v>
      </c>
      <c r="W13673" t="s">
        <v>42877</v>
      </c>
      <c r="X13673" t="s">
        <v>44782</v>
      </c>
    </row>
    <row r="13674" spans="1:24">
      <c r="A13674">
        <f>HYPERLINK("https://www.philgeps.gov.ph/GEPSNONPILOT/Tender/SplashBidNoticeAbstractUI.aspx?menuIndex=3&amp;refID=7111677&amp;Result=3","7111677")</f>
        <v>0</v>
      </c>
      <c r="B13674" t="s">
        <v>115</v>
      </c>
      <c r="C13674" t="s">
        <v>16786</v>
      </c>
      <c r="D13674" t="s">
        <v>17960</v>
      </c>
      <c r="E13674" t="s">
        <v>29857</v>
      </c>
      <c r="F13674" t="s">
        <v>30900</v>
      </c>
      <c r="G13674" t="s">
        <v>30907</v>
      </c>
      <c r="H13674" t="s">
        <v>30915</v>
      </c>
      <c r="I13674" t="s">
        <v>30919</v>
      </c>
      <c r="J13674" t="s">
        <v>31241</v>
      </c>
      <c r="K13674" t="s">
        <v>40292</v>
      </c>
      <c r="M13674" t="s">
        <v>40662</v>
      </c>
      <c r="N13674" t="s">
        <v>44759</v>
      </c>
      <c r="O13674" t="s">
        <v>44760</v>
      </c>
      <c r="P13674">
        <v>0</v>
      </c>
      <c r="Q13674">
        <v>6</v>
      </c>
      <c r="R13674" t="s">
        <v>44781</v>
      </c>
      <c r="S13674" t="s">
        <v>45758</v>
      </c>
      <c r="T13674" t="s">
        <v>46533</v>
      </c>
      <c r="U13674" t="s">
        <v>58146</v>
      </c>
      <c r="V13674" t="s">
        <v>60664</v>
      </c>
      <c r="W13674" t="s">
        <v>40662</v>
      </c>
      <c r="X13674" t="s">
        <v>44782</v>
      </c>
    </row>
    <row r="13675" spans="1:24">
      <c r="A13675">
        <f>HYPERLINK("https://www.philgeps.gov.ph/GEPSNONPILOT/Tender/SplashBidNoticeAbstractUI.aspx?menuIndex=3&amp;refID=7111715&amp;Result=3","7111715")</f>
        <v>0</v>
      </c>
      <c r="B13675" t="s">
        <v>115</v>
      </c>
      <c r="C13675" t="s">
        <v>16787</v>
      </c>
      <c r="D13675" t="s">
        <v>17960</v>
      </c>
      <c r="E13675" t="s">
        <v>29858</v>
      </c>
      <c r="F13675" t="s">
        <v>30900</v>
      </c>
      <c r="G13675" t="s">
        <v>30907</v>
      </c>
      <c r="H13675" t="s">
        <v>30915</v>
      </c>
      <c r="I13675" t="s">
        <v>30919</v>
      </c>
      <c r="J13675" t="s">
        <v>39543</v>
      </c>
      <c r="K13675" t="s">
        <v>40286</v>
      </c>
      <c r="M13675" t="s">
        <v>40662</v>
      </c>
      <c r="N13675" t="s">
        <v>44759</v>
      </c>
      <c r="O13675" t="s">
        <v>44760</v>
      </c>
      <c r="P13675">
        <v>0</v>
      </c>
      <c r="Q13675">
        <v>9</v>
      </c>
      <c r="R13675" t="s">
        <v>44781</v>
      </c>
      <c r="S13675" t="s">
        <v>45758</v>
      </c>
      <c r="T13675" t="s">
        <v>46533</v>
      </c>
      <c r="U13675" t="s">
        <v>58147</v>
      </c>
      <c r="V13675" t="s">
        <v>60665</v>
      </c>
      <c r="W13675" t="s">
        <v>40662</v>
      </c>
      <c r="X13675" t="s">
        <v>44782</v>
      </c>
    </row>
    <row r="13676" spans="1:24">
      <c r="A13676">
        <f>HYPERLINK("https://www.philgeps.gov.ph/GEPSNONPILOT/Tender/SplashBidNoticeAbstractUI.aspx?menuIndex=3&amp;refID=7111943&amp;Result=3","7111943")</f>
        <v>0</v>
      </c>
      <c r="B13676" t="s">
        <v>3663</v>
      </c>
      <c r="C13676" t="s">
        <v>16788</v>
      </c>
      <c r="D13676" t="s">
        <v>17984</v>
      </c>
      <c r="E13676" t="s">
        <v>29859</v>
      </c>
      <c r="F13676" t="s">
        <v>30900</v>
      </c>
      <c r="G13676" t="s">
        <v>30907</v>
      </c>
      <c r="H13676" t="s">
        <v>30915</v>
      </c>
      <c r="I13676" t="s">
        <v>30919</v>
      </c>
      <c r="J13676" t="s">
        <v>31101</v>
      </c>
      <c r="K13676" t="s">
        <v>40286</v>
      </c>
      <c r="M13676" t="s">
        <v>44611</v>
      </c>
      <c r="N13676" t="s">
        <v>44759</v>
      </c>
      <c r="O13676" t="s">
        <v>44760</v>
      </c>
      <c r="P13676">
        <v>0</v>
      </c>
      <c r="Q13676">
        <v>0</v>
      </c>
      <c r="R13676" t="s">
        <v>44781</v>
      </c>
      <c r="S13676" t="s">
        <v>45758</v>
      </c>
      <c r="T13676" t="s">
        <v>46625</v>
      </c>
      <c r="U13676" t="s">
        <v>58148</v>
      </c>
      <c r="V13676" t="s">
        <v>60666</v>
      </c>
      <c r="W13676" t="s">
        <v>44611</v>
      </c>
      <c r="X13676" t="s">
        <v>44782</v>
      </c>
    </row>
    <row r="13677" spans="1:24">
      <c r="A13677">
        <f>HYPERLINK("https://www.philgeps.gov.ph/GEPSNONPILOT/Tender/SplashBidNoticeAbstractUI.aspx?menuIndex=3&amp;refID=7111947&amp;Result=3","7111947")</f>
        <v>0</v>
      </c>
      <c r="B13677" t="s">
        <v>2971</v>
      </c>
      <c r="C13677" t="s">
        <v>16789</v>
      </c>
      <c r="D13677" t="s">
        <v>17992</v>
      </c>
      <c r="E13677" t="s">
        <v>29860</v>
      </c>
      <c r="F13677" t="s">
        <v>30900</v>
      </c>
      <c r="G13677" t="s">
        <v>30907</v>
      </c>
      <c r="H13677" t="s">
        <v>30916</v>
      </c>
      <c r="I13677" t="s">
        <v>8123</v>
      </c>
      <c r="J13677" t="s">
        <v>39544</v>
      </c>
      <c r="K13677" t="s">
        <v>40327</v>
      </c>
      <c r="M13677" t="s">
        <v>43772</v>
      </c>
      <c r="N13677" t="s">
        <v>44759</v>
      </c>
      <c r="O13677" t="s">
        <v>44760</v>
      </c>
      <c r="P13677">
        <v>0</v>
      </c>
      <c r="Q13677">
        <v>0</v>
      </c>
      <c r="R13677" t="s">
        <v>44781</v>
      </c>
      <c r="S13677" t="s">
        <v>45758</v>
      </c>
      <c r="T13677" t="s">
        <v>46403</v>
      </c>
      <c r="U13677" t="s">
        <v>58149</v>
      </c>
      <c r="W13677" t="s">
        <v>43772</v>
      </c>
      <c r="X13677" t="s">
        <v>44782</v>
      </c>
    </row>
    <row r="13678" spans="1:24">
      <c r="A13678">
        <f>HYPERLINK("https://www.philgeps.gov.ph/GEPSNONPILOT/Tender/SplashBidNoticeAbstractUI.aspx?menuIndex=3&amp;refID=7111493&amp;Result=3","7111493")</f>
        <v>0</v>
      </c>
      <c r="B13678" t="s">
        <v>716</v>
      </c>
      <c r="C13678" t="s">
        <v>16790</v>
      </c>
      <c r="D13678" t="s">
        <v>17952</v>
      </c>
      <c r="E13678" t="s">
        <v>29861</v>
      </c>
      <c r="F13678" t="s">
        <v>30900</v>
      </c>
      <c r="G13678" t="s">
        <v>30907</v>
      </c>
      <c r="H13678" t="s">
        <v>30916</v>
      </c>
      <c r="I13678" t="s">
        <v>8123</v>
      </c>
      <c r="J13678" t="s">
        <v>39545</v>
      </c>
      <c r="K13678" t="s">
        <v>40286</v>
      </c>
      <c r="M13678" t="s">
        <v>41280</v>
      </c>
      <c r="N13678" t="s">
        <v>44759</v>
      </c>
      <c r="O13678" t="s">
        <v>44760</v>
      </c>
      <c r="P13678">
        <v>0</v>
      </c>
      <c r="Q13678">
        <v>1</v>
      </c>
      <c r="R13678" t="s">
        <v>44781</v>
      </c>
      <c r="S13678" t="s">
        <v>45758</v>
      </c>
      <c r="T13678" t="s">
        <v>46511</v>
      </c>
      <c r="U13678" t="s">
        <v>58150</v>
      </c>
      <c r="V13678" t="s">
        <v>60667</v>
      </c>
      <c r="W13678" t="s">
        <v>41280</v>
      </c>
      <c r="X13678" t="s">
        <v>44782</v>
      </c>
    </row>
    <row r="13679" spans="1:24">
      <c r="A13679">
        <f>HYPERLINK("https://www.philgeps.gov.ph/GEPSNONPILOT/Tender/SplashBidNoticeAbstractUI.aspx?menuIndex=3&amp;refID=7111913&amp;Result=3","7111913")</f>
        <v>0</v>
      </c>
      <c r="B13679" t="s">
        <v>3087</v>
      </c>
      <c r="C13679" t="s">
        <v>16791</v>
      </c>
      <c r="D13679" t="s">
        <v>17959</v>
      </c>
      <c r="E13679" t="s">
        <v>29862</v>
      </c>
      <c r="F13679" t="s">
        <v>30900</v>
      </c>
      <c r="G13679" t="s">
        <v>30907</v>
      </c>
      <c r="H13679" t="s">
        <v>30916</v>
      </c>
      <c r="I13679" t="s">
        <v>5501</v>
      </c>
      <c r="J13679" t="s">
        <v>39546</v>
      </c>
      <c r="K13679" t="s">
        <v>40280</v>
      </c>
      <c r="M13679" t="s">
        <v>43899</v>
      </c>
      <c r="N13679" t="s">
        <v>44759</v>
      </c>
      <c r="O13679" t="s">
        <v>44760</v>
      </c>
      <c r="Q13679">
        <v>23</v>
      </c>
      <c r="R13679" t="s">
        <v>44781</v>
      </c>
      <c r="S13679" t="s">
        <v>45793</v>
      </c>
      <c r="T13679" t="s">
        <v>46694</v>
      </c>
      <c r="U13679" t="s">
        <v>58151</v>
      </c>
      <c r="W13679" t="s">
        <v>60913</v>
      </c>
      <c r="X13679" t="s">
        <v>44782</v>
      </c>
    </row>
    <row r="13680" spans="1:24">
      <c r="A13680">
        <f>HYPERLINK("https://www.philgeps.gov.ph/GEPSNONPILOT/Tender/SplashBidNoticeAbstractUI.aspx?menuIndex=3&amp;refID=7111982&amp;Result=3","7111982")</f>
        <v>0</v>
      </c>
      <c r="B13680" t="s">
        <v>934</v>
      </c>
      <c r="C13680" t="s">
        <v>16792</v>
      </c>
      <c r="D13680" t="s">
        <v>17984</v>
      </c>
      <c r="E13680" t="s">
        <v>22011</v>
      </c>
      <c r="F13680" t="s">
        <v>30900</v>
      </c>
      <c r="G13680" t="s">
        <v>30907</v>
      </c>
      <c r="H13680" t="s">
        <v>30915</v>
      </c>
      <c r="I13680" t="s">
        <v>30919</v>
      </c>
      <c r="J13680" t="s">
        <v>39547</v>
      </c>
      <c r="K13680" t="s">
        <v>40408</v>
      </c>
      <c r="M13680" t="s">
        <v>41517</v>
      </c>
      <c r="N13680" t="s">
        <v>44759</v>
      </c>
      <c r="O13680" t="s">
        <v>44760</v>
      </c>
      <c r="P13680">
        <v>0</v>
      </c>
      <c r="Q13680">
        <v>2</v>
      </c>
      <c r="R13680" t="s">
        <v>44781</v>
      </c>
      <c r="S13680" t="s">
        <v>45758</v>
      </c>
      <c r="T13680" t="s">
        <v>46531</v>
      </c>
      <c r="U13680" t="s">
        <v>58152</v>
      </c>
      <c r="W13680" t="s">
        <v>41517</v>
      </c>
      <c r="X13680" t="s">
        <v>44782</v>
      </c>
    </row>
    <row r="13681" spans="1:24">
      <c r="A13681">
        <f>HYPERLINK("https://www.philgeps.gov.ph/GEPSNONPILOT/Tender/SplashBidNoticeAbstractUI.aspx?menuIndex=3&amp;refID=7111904&amp;Result=3","7111904")</f>
        <v>0</v>
      </c>
      <c r="B13681" t="s">
        <v>3663</v>
      </c>
      <c r="C13681" t="s">
        <v>16793</v>
      </c>
      <c r="D13681" t="s">
        <v>17984</v>
      </c>
      <c r="E13681" t="s">
        <v>29863</v>
      </c>
      <c r="F13681" t="s">
        <v>30900</v>
      </c>
      <c r="G13681" t="s">
        <v>30907</v>
      </c>
      <c r="H13681" t="s">
        <v>30915</v>
      </c>
      <c r="I13681" t="s">
        <v>30919</v>
      </c>
      <c r="J13681" t="s">
        <v>32324</v>
      </c>
      <c r="K13681" t="s">
        <v>40280</v>
      </c>
      <c r="M13681" t="s">
        <v>44611</v>
      </c>
      <c r="N13681" t="s">
        <v>44759</v>
      </c>
      <c r="O13681" t="s">
        <v>44760</v>
      </c>
      <c r="P13681">
        <v>0</v>
      </c>
      <c r="Q13681">
        <v>0</v>
      </c>
      <c r="R13681" t="s">
        <v>44781</v>
      </c>
      <c r="S13681" t="s">
        <v>45758</v>
      </c>
      <c r="T13681" t="s">
        <v>46625</v>
      </c>
      <c r="U13681" t="s">
        <v>58153</v>
      </c>
      <c r="V13681" t="s">
        <v>60666</v>
      </c>
      <c r="W13681" t="s">
        <v>44611</v>
      </c>
      <c r="X13681" t="s">
        <v>44782</v>
      </c>
    </row>
    <row r="13682" spans="1:24">
      <c r="A13682">
        <f>HYPERLINK("https://www.philgeps.gov.ph/GEPSNONPILOT/Tender/SplashBidNoticeAbstractUI.aspx?menuIndex=3&amp;refID=7111875&amp;Result=3","7111875")</f>
        <v>0</v>
      </c>
      <c r="B13682" t="s">
        <v>2063</v>
      </c>
      <c r="C13682" t="s">
        <v>16794</v>
      </c>
      <c r="D13682" t="s">
        <v>17977</v>
      </c>
      <c r="E13682" t="s">
        <v>29864</v>
      </c>
      <c r="F13682" t="s">
        <v>30900</v>
      </c>
      <c r="G13682" t="s">
        <v>30907</v>
      </c>
      <c r="H13682" t="s">
        <v>30915</v>
      </c>
      <c r="I13682" t="s">
        <v>30919</v>
      </c>
      <c r="J13682" t="s">
        <v>39548</v>
      </c>
      <c r="K13682" t="s">
        <v>40289</v>
      </c>
      <c r="L13682" t="s">
        <v>2063</v>
      </c>
      <c r="M13682" t="s">
        <v>43801</v>
      </c>
      <c r="N13682" t="s">
        <v>44759</v>
      </c>
      <c r="O13682" t="s">
        <v>44760</v>
      </c>
      <c r="P13682">
        <v>0</v>
      </c>
      <c r="Q13682">
        <v>0</v>
      </c>
      <c r="R13682" t="s">
        <v>44781</v>
      </c>
      <c r="S13682" t="s">
        <v>45758</v>
      </c>
      <c r="T13682" t="s">
        <v>46533</v>
      </c>
      <c r="U13682" t="s">
        <v>58131</v>
      </c>
      <c r="V13682" t="s">
        <v>60156</v>
      </c>
      <c r="W13682" t="s">
        <v>43801</v>
      </c>
      <c r="X13682" t="s">
        <v>44782</v>
      </c>
    </row>
    <row r="13683" spans="1:24">
      <c r="A13683">
        <f>HYPERLINK("https://www.philgeps.gov.ph/GEPSNONPILOT/Tender/SplashBidNoticeAbstractUI.aspx?menuIndex=3&amp;refID=7111347&amp;Result=3","7111347")</f>
        <v>0</v>
      </c>
      <c r="B13683" t="s">
        <v>3664</v>
      </c>
      <c r="C13683" t="s">
        <v>16795</v>
      </c>
      <c r="D13683" t="s">
        <v>17952</v>
      </c>
      <c r="E13683" t="s">
        <v>29865</v>
      </c>
      <c r="F13683" t="s">
        <v>30900</v>
      </c>
      <c r="G13683" t="s">
        <v>30907</v>
      </c>
      <c r="H13683" t="s">
        <v>30916</v>
      </c>
      <c r="I13683" t="s">
        <v>6396</v>
      </c>
      <c r="J13683" t="s">
        <v>35994</v>
      </c>
      <c r="K13683" t="s">
        <v>40286</v>
      </c>
      <c r="M13683" t="s">
        <v>44612</v>
      </c>
      <c r="N13683" t="s">
        <v>44759</v>
      </c>
      <c r="O13683" t="s">
        <v>44760</v>
      </c>
      <c r="Q13683">
        <v>10</v>
      </c>
      <c r="R13683" t="s">
        <v>44781</v>
      </c>
      <c r="S13683" t="s">
        <v>45794</v>
      </c>
      <c r="T13683" t="s">
        <v>46581</v>
      </c>
      <c r="U13683" t="s">
        <v>58154</v>
      </c>
      <c r="V13683" t="s">
        <v>60668</v>
      </c>
      <c r="W13683" t="s">
        <v>44612</v>
      </c>
      <c r="X13683" t="s">
        <v>44782</v>
      </c>
    </row>
    <row r="13684" spans="1:24">
      <c r="A13684">
        <f>HYPERLINK("https://www.philgeps.gov.ph/GEPSNONPILOT/Tender/SplashBidNoticeAbstractUI.aspx?menuIndex=3&amp;refID=7111498&amp;Result=3","7111498")</f>
        <v>0</v>
      </c>
      <c r="B13684" t="s">
        <v>597</v>
      </c>
      <c r="C13684" t="s">
        <v>16796</v>
      </c>
      <c r="D13684" t="s">
        <v>18027</v>
      </c>
      <c r="E13684" t="s">
        <v>29866</v>
      </c>
      <c r="F13684" t="s">
        <v>30900</v>
      </c>
      <c r="G13684" t="s">
        <v>30907</v>
      </c>
      <c r="H13684" t="s">
        <v>30916</v>
      </c>
      <c r="I13684" t="s">
        <v>30926</v>
      </c>
      <c r="J13684" t="s">
        <v>35793</v>
      </c>
      <c r="K13684" t="s">
        <v>40286</v>
      </c>
      <c r="M13684" t="s">
        <v>41159</v>
      </c>
      <c r="N13684" t="s">
        <v>44759</v>
      </c>
      <c r="O13684" t="s">
        <v>44760</v>
      </c>
      <c r="P13684">
        <v>0</v>
      </c>
      <c r="Q13684">
        <v>5</v>
      </c>
      <c r="R13684" t="s">
        <v>44781</v>
      </c>
      <c r="S13684" t="s">
        <v>45758</v>
      </c>
      <c r="T13684" t="s">
        <v>46581</v>
      </c>
      <c r="U13684" t="s">
        <v>58155</v>
      </c>
      <c r="W13684" t="s">
        <v>41159</v>
      </c>
      <c r="X13684" t="s">
        <v>44782</v>
      </c>
    </row>
    <row r="13685" spans="1:24">
      <c r="A13685">
        <f>HYPERLINK("https://www.philgeps.gov.ph/GEPSNONPILOT/Tender/SplashBidNoticeAbstractUI.aspx?menuIndex=3&amp;refID=7111644&amp;Result=3","7111644")</f>
        <v>0</v>
      </c>
      <c r="B13685" t="s">
        <v>2063</v>
      </c>
      <c r="C13685" t="s">
        <v>16797</v>
      </c>
      <c r="D13685" t="s">
        <v>17977</v>
      </c>
      <c r="E13685" t="s">
        <v>29867</v>
      </c>
      <c r="F13685" t="s">
        <v>30900</v>
      </c>
      <c r="G13685" t="s">
        <v>30907</v>
      </c>
      <c r="H13685" t="s">
        <v>30915</v>
      </c>
      <c r="I13685" t="s">
        <v>30919</v>
      </c>
      <c r="J13685" t="s">
        <v>38984</v>
      </c>
      <c r="K13685" t="s">
        <v>40289</v>
      </c>
      <c r="L13685" t="s">
        <v>2063</v>
      </c>
      <c r="M13685" t="s">
        <v>43801</v>
      </c>
      <c r="N13685" t="s">
        <v>44759</v>
      </c>
      <c r="O13685" t="s">
        <v>44760</v>
      </c>
      <c r="P13685">
        <v>0</v>
      </c>
      <c r="Q13685">
        <v>1</v>
      </c>
      <c r="R13685" t="s">
        <v>44781</v>
      </c>
      <c r="S13685" t="s">
        <v>45758</v>
      </c>
      <c r="T13685" t="s">
        <v>46533</v>
      </c>
      <c r="U13685" t="s">
        <v>58124</v>
      </c>
      <c r="V13685" t="s">
        <v>60156</v>
      </c>
      <c r="W13685" t="s">
        <v>43801</v>
      </c>
      <c r="X13685" t="s">
        <v>44782</v>
      </c>
    </row>
    <row r="13686" spans="1:24">
      <c r="A13686">
        <f>HYPERLINK("https://www.philgeps.gov.ph/GEPSNONPILOT/Tender/SplashBidNoticeAbstractUI.aspx?menuIndex=3&amp;refID=7111872&amp;Result=3","7111872")</f>
        <v>0</v>
      </c>
      <c r="B13686" t="s">
        <v>3348</v>
      </c>
      <c r="C13686" t="s">
        <v>16798</v>
      </c>
      <c r="D13686" t="s">
        <v>17952</v>
      </c>
      <c r="E13686" t="s">
        <v>29868</v>
      </c>
      <c r="F13686" t="s">
        <v>30900</v>
      </c>
      <c r="G13686" t="s">
        <v>30907</v>
      </c>
      <c r="H13686" t="s">
        <v>30916</v>
      </c>
      <c r="I13686" t="s">
        <v>30924</v>
      </c>
      <c r="J13686" t="s">
        <v>39549</v>
      </c>
      <c r="K13686" t="s">
        <v>40283</v>
      </c>
      <c r="M13686" t="s">
        <v>44216</v>
      </c>
      <c r="N13686" t="s">
        <v>44759</v>
      </c>
      <c r="O13686" t="s">
        <v>44760</v>
      </c>
      <c r="Q13686">
        <v>12</v>
      </c>
      <c r="R13686" t="s">
        <v>44781</v>
      </c>
      <c r="S13686" t="s">
        <v>45795</v>
      </c>
      <c r="T13686" t="s">
        <v>46771</v>
      </c>
      <c r="U13686" t="s">
        <v>58156</v>
      </c>
      <c r="W13686" t="s">
        <v>44216</v>
      </c>
      <c r="X13686" t="s">
        <v>44782</v>
      </c>
    </row>
    <row r="13687" spans="1:24">
      <c r="A13687">
        <f>HYPERLINK("https://www.philgeps.gov.ph/GEPSNONPILOT/Tender/SplashBidNoticeAbstractUI.aspx?menuIndex=3&amp;refID=7111837&amp;Result=3","7111837")</f>
        <v>0</v>
      </c>
      <c r="B13687" t="s">
        <v>2063</v>
      </c>
      <c r="C13687" t="s">
        <v>16799</v>
      </c>
      <c r="D13687" t="s">
        <v>17977</v>
      </c>
      <c r="E13687" t="s">
        <v>29869</v>
      </c>
      <c r="F13687" t="s">
        <v>30900</v>
      </c>
      <c r="G13687" t="s">
        <v>30907</v>
      </c>
      <c r="H13687" t="s">
        <v>30915</v>
      </c>
      <c r="I13687" t="s">
        <v>30919</v>
      </c>
      <c r="J13687" t="s">
        <v>31152</v>
      </c>
      <c r="K13687" t="s">
        <v>40289</v>
      </c>
      <c r="L13687" t="s">
        <v>2063</v>
      </c>
      <c r="M13687" t="s">
        <v>43801</v>
      </c>
      <c r="N13687" t="s">
        <v>44759</v>
      </c>
      <c r="O13687" t="s">
        <v>44760</v>
      </c>
      <c r="P13687">
        <v>0</v>
      </c>
      <c r="Q13687">
        <v>0</v>
      </c>
      <c r="R13687" t="s">
        <v>44781</v>
      </c>
      <c r="S13687" t="s">
        <v>45758</v>
      </c>
      <c r="T13687" t="s">
        <v>46533</v>
      </c>
      <c r="U13687" t="s">
        <v>58131</v>
      </c>
      <c r="V13687" t="s">
        <v>60156</v>
      </c>
      <c r="W13687" t="s">
        <v>43801</v>
      </c>
      <c r="X13687" t="s">
        <v>44782</v>
      </c>
    </row>
    <row r="13688" spans="1:24">
      <c r="A13688">
        <f>HYPERLINK("https://www.philgeps.gov.ph/GEPSNONPILOT/Tender/SplashBidNoticeAbstractUI.aspx?menuIndex=3&amp;refID=7111833&amp;Result=3","7111833")</f>
        <v>0</v>
      </c>
      <c r="B13688" t="s">
        <v>626</v>
      </c>
      <c r="C13688" t="s">
        <v>16800</v>
      </c>
      <c r="E13688" t="s">
        <v>29870</v>
      </c>
      <c r="F13688" t="s">
        <v>30900</v>
      </c>
      <c r="G13688" t="s">
        <v>30907</v>
      </c>
      <c r="H13688" t="s">
        <v>30916</v>
      </c>
      <c r="I13688" t="s">
        <v>6408</v>
      </c>
      <c r="J13688" t="s">
        <v>36905</v>
      </c>
      <c r="K13688" t="s">
        <v>40289</v>
      </c>
      <c r="M13688" t="s">
        <v>41188</v>
      </c>
      <c r="N13688" t="s">
        <v>44759</v>
      </c>
      <c r="O13688" t="s">
        <v>44760</v>
      </c>
      <c r="Q13688">
        <v>3</v>
      </c>
      <c r="R13688" t="s">
        <v>44781</v>
      </c>
      <c r="S13688" t="s">
        <v>45796</v>
      </c>
      <c r="T13688" t="s">
        <v>46625</v>
      </c>
      <c r="U13688" t="s">
        <v>58157</v>
      </c>
      <c r="V13688" t="s">
        <v>60653</v>
      </c>
      <c r="W13688" t="s">
        <v>41188</v>
      </c>
      <c r="X13688" t="s">
        <v>44782</v>
      </c>
    </row>
    <row r="13689" spans="1:24">
      <c r="A13689">
        <f>HYPERLINK("https://www.philgeps.gov.ph/GEPSNONPILOT/Tender/SplashBidNoticeAbstractUI.aspx?menuIndex=3&amp;refID=7111852&amp;Result=3","7111852")</f>
        <v>0</v>
      </c>
      <c r="B13689" t="s">
        <v>626</v>
      </c>
      <c r="C13689" t="s">
        <v>16801</v>
      </c>
      <c r="E13689" t="s">
        <v>29871</v>
      </c>
      <c r="F13689" t="s">
        <v>30900</v>
      </c>
      <c r="G13689" t="s">
        <v>30907</v>
      </c>
      <c r="H13689" t="s">
        <v>30916</v>
      </c>
      <c r="I13689" t="s">
        <v>6408</v>
      </c>
      <c r="J13689" t="s">
        <v>39550</v>
      </c>
      <c r="K13689" t="s">
        <v>40289</v>
      </c>
      <c r="M13689" t="s">
        <v>41188</v>
      </c>
      <c r="N13689" t="s">
        <v>44759</v>
      </c>
      <c r="O13689" t="s">
        <v>44760</v>
      </c>
      <c r="Q13689">
        <v>6</v>
      </c>
      <c r="R13689" t="s">
        <v>44781</v>
      </c>
      <c r="S13689" t="s">
        <v>45797</v>
      </c>
      <c r="T13689" t="s">
        <v>46625</v>
      </c>
      <c r="U13689" t="s">
        <v>58158</v>
      </c>
      <c r="V13689" t="s">
        <v>60653</v>
      </c>
      <c r="W13689" t="s">
        <v>41188</v>
      </c>
      <c r="X13689" t="s">
        <v>44782</v>
      </c>
    </row>
    <row r="13690" spans="1:24">
      <c r="A13690">
        <f>HYPERLINK("https://www.philgeps.gov.ph/GEPSNONPILOT/Tender/SplashBidNoticeAbstractUI.aspx?menuIndex=3&amp;refID=7111818&amp;Result=3","7111818")</f>
        <v>0</v>
      </c>
      <c r="B13690" t="s">
        <v>626</v>
      </c>
      <c r="C13690" t="s">
        <v>16802</v>
      </c>
      <c r="E13690" t="s">
        <v>29872</v>
      </c>
      <c r="F13690" t="s">
        <v>30900</v>
      </c>
      <c r="G13690" t="s">
        <v>30907</v>
      </c>
      <c r="H13690" t="s">
        <v>30916</v>
      </c>
      <c r="I13690" t="s">
        <v>6408</v>
      </c>
      <c r="J13690" t="s">
        <v>31052</v>
      </c>
      <c r="K13690" t="s">
        <v>40289</v>
      </c>
      <c r="M13690" t="s">
        <v>41188</v>
      </c>
      <c r="N13690" t="s">
        <v>44759</v>
      </c>
      <c r="O13690" t="s">
        <v>44760</v>
      </c>
      <c r="Q13690">
        <v>6</v>
      </c>
      <c r="R13690" t="s">
        <v>44781</v>
      </c>
      <c r="S13690" t="s">
        <v>45798</v>
      </c>
      <c r="T13690" t="s">
        <v>46625</v>
      </c>
      <c r="U13690" t="s">
        <v>58159</v>
      </c>
      <c r="V13690" t="s">
        <v>60653</v>
      </c>
      <c r="W13690" t="s">
        <v>41188</v>
      </c>
      <c r="X13690" t="s">
        <v>44782</v>
      </c>
    </row>
    <row r="13691" spans="1:24">
      <c r="A13691">
        <f>HYPERLINK("https://www.philgeps.gov.ph/GEPSNONPILOT/Tender/SplashBidNoticeAbstractUI.aspx?menuIndex=3&amp;refID=7111907&amp;Result=3","7111907")</f>
        <v>0</v>
      </c>
      <c r="B13691" t="s">
        <v>3661</v>
      </c>
      <c r="C13691" t="s">
        <v>16803</v>
      </c>
      <c r="D13691" t="s">
        <v>17985</v>
      </c>
      <c r="E13691" t="s">
        <v>29873</v>
      </c>
      <c r="F13691" t="s">
        <v>30900</v>
      </c>
      <c r="G13691" t="s">
        <v>30907</v>
      </c>
      <c r="H13691" t="s">
        <v>30915</v>
      </c>
      <c r="I13691" t="s">
        <v>30971</v>
      </c>
      <c r="J13691" t="s">
        <v>31105</v>
      </c>
      <c r="K13691" t="s">
        <v>40452</v>
      </c>
      <c r="M13691" t="s">
        <v>44609</v>
      </c>
      <c r="N13691" t="s">
        <v>44759</v>
      </c>
      <c r="O13691" t="s">
        <v>44760</v>
      </c>
      <c r="Q13691">
        <v>0</v>
      </c>
      <c r="R13691" t="s">
        <v>44781</v>
      </c>
      <c r="S13691" t="s">
        <v>45799</v>
      </c>
      <c r="T13691" t="s">
        <v>46757</v>
      </c>
      <c r="U13691" t="s">
        <v>58160</v>
      </c>
      <c r="V13691" t="s">
        <v>60669</v>
      </c>
      <c r="W13691" t="s">
        <v>44609</v>
      </c>
      <c r="X13691" t="s">
        <v>44782</v>
      </c>
    </row>
    <row r="13692" spans="1:24">
      <c r="A13692">
        <f>HYPERLINK("https://www.philgeps.gov.ph/GEPSNONPILOT/Tender/SplashBidNoticeAbstractUI.aspx?menuIndex=3&amp;refID=7111862&amp;Result=3","7111862")</f>
        <v>0</v>
      </c>
      <c r="B13692" t="s">
        <v>2063</v>
      </c>
      <c r="C13692" t="s">
        <v>16804</v>
      </c>
      <c r="D13692" t="s">
        <v>17977</v>
      </c>
      <c r="E13692" t="s">
        <v>29874</v>
      </c>
      <c r="F13692" t="s">
        <v>30900</v>
      </c>
      <c r="G13692" t="s">
        <v>30907</v>
      </c>
      <c r="H13692" t="s">
        <v>30915</v>
      </c>
      <c r="I13692" t="s">
        <v>30919</v>
      </c>
      <c r="J13692" t="s">
        <v>31069</v>
      </c>
      <c r="K13692" t="s">
        <v>40289</v>
      </c>
      <c r="L13692" t="s">
        <v>2063</v>
      </c>
      <c r="M13692" t="s">
        <v>43801</v>
      </c>
      <c r="N13692" t="s">
        <v>44759</v>
      </c>
      <c r="O13692" t="s">
        <v>44760</v>
      </c>
      <c r="P13692">
        <v>0</v>
      </c>
      <c r="Q13692">
        <v>1</v>
      </c>
      <c r="R13692" t="s">
        <v>44781</v>
      </c>
      <c r="S13692" t="s">
        <v>45758</v>
      </c>
      <c r="T13692" t="s">
        <v>46533</v>
      </c>
      <c r="U13692" t="s">
        <v>58131</v>
      </c>
      <c r="V13692" t="s">
        <v>60156</v>
      </c>
      <c r="W13692" t="s">
        <v>43801</v>
      </c>
      <c r="X13692" t="s">
        <v>44782</v>
      </c>
    </row>
    <row r="13693" spans="1:24">
      <c r="A13693">
        <f>HYPERLINK("https://www.philgeps.gov.ph/GEPSNONPILOT/Tender/SplashBidNoticeAbstractUI.aspx?menuIndex=3&amp;refID=7111806&amp;Result=3","7111806")</f>
        <v>0</v>
      </c>
      <c r="B13693" t="s">
        <v>2308</v>
      </c>
      <c r="C13693" t="s">
        <v>16805</v>
      </c>
      <c r="D13693" t="s">
        <v>17978</v>
      </c>
      <c r="E13693" t="s">
        <v>29875</v>
      </c>
      <c r="F13693" t="s">
        <v>30900</v>
      </c>
      <c r="G13693" t="s">
        <v>30907</v>
      </c>
      <c r="H13693" t="s">
        <v>30915</v>
      </c>
      <c r="I13693" t="s">
        <v>30919</v>
      </c>
      <c r="J13693" t="s">
        <v>33238</v>
      </c>
      <c r="K13693" t="s">
        <v>40292</v>
      </c>
      <c r="M13693" t="s">
        <v>43026</v>
      </c>
      <c r="N13693" t="s">
        <v>44759</v>
      </c>
      <c r="O13693" t="s">
        <v>44760</v>
      </c>
      <c r="P13693">
        <v>0</v>
      </c>
      <c r="Q13693">
        <v>11</v>
      </c>
      <c r="R13693" t="s">
        <v>44781</v>
      </c>
      <c r="S13693" t="s">
        <v>45758</v>
      </c>
      <c r="T13693" t="s">
        <v>46760</v>
      </c>
      <c r="U13693" t="s">
        <v>58161</v>
      </c>
      <c r="W13693" t="s">
        <v>43026</v>
      </c>
      <c r="X13693" t="s">
        <v>44782</v>
      </c>
    </row>
    <row r="13694" spans="1:24">
      <c r="A13694">
        <f>HYPERLINK("https://www.philgeps.gov.ph/GEPSNONPILOT/Tender/SplashBidNoticeAbstractUI.aspx?menuIndex=3&amp;refID=7111884&amp;Result=3","7111884")</f>
        <v>0</v>
      </c>
      <c r="B13694" t="s">
        <v>2971</v>
      </c>
      <c r="C13694" t="s">
        <v>16806</v>
      </c>
      <c r="D13694" t="s">
        <v>17992</v>
      </c>
      <c r="E13694" t="s">
        <v>29876</v>
      </c>
      <c r="F13694" t="s">
        <v>30900</v>
      </c>
      <c r="G13694" t="s">
        <v>30907</v>
      </c>
      <c r="H13694" t="s">
        <v>30916</v>
      </c>
      <c r="I13694" t="s">
        <v>8123</v>
      </c>
      <c r="J13694" t="s">
        <v>39551</v>
      </c>
      <c r="K13694" t="s">
        <v>40327</v>
      </c>
      <c r="M13694" t="s">
        <v>43772</v>
      </c>
      <c r="N13694" t="s">
        <v>44759</v>
      </c>
      <c r="O13694" t="s">
        <v>44760</v>
      </c>
      <c r="P13694">
        <v>0</v>
      </c>
      <c r="Q13694">
        <v>1</v>
      </c>
      <c r="R13694" t="s">
        <v>44781</v>
      </c>
      <c r="S13694" t="s">
        <v>45758</v>
      </c>
      <c r="T13694" t="s">
        <v>46403</v>
      </c>
      <c r="U13694" t="s">
        <v>58162</v>
      </c>
      <c r="W13694" t="s">
        <v>43772</v>
      </c>
      <c r="X13694" t="s">
        <v>44782</v>
      </c>
    </row>
    <row r="13695" spans="1:24">
      <c r="A13695">
        <f>HYPERLINK("https://www.philgeps.gov.ph/GEPSNONPILOT/Tender/SplashBidNoticeAbstractUI.aspx?menuIndex=3&amp;refID=7111820&amp;Result=3","7111820")</f>
        <v>0</v>
      </c>
      <c r="B13695" t="s">
        <v>2971</v>
      </c>
      <c r="C13695" t="s">
        <v>14525</v>
      </c>
      <c r="D13695" t="s">
        <v>17992</v>
      </c>
      <c r="E13695" t="s">
        <v>29877</v>
      </c>
      <c r="F13695" t="s">
        <v>30900</v>
      </c>
      <c r="G13695" t="s">
        <v>30907</v>
      </c>
      <c r="H13695" t="s">
        <v>30916</v>
      </c>
      <c r="I13695" t="s">
        <v>8123</v>
      </c>
      <c r="J13695" t="s">
        <v>39552</v>
      </c>
      <c r="K13695" t="s">
        <v>40327</v>
      </c>
      <c r="M13695" t="s">
        <v>43772</v>
      </c>
      <c r="N13695" t="s">
        <v>44759</v>
      </c>
      <c r="O13695" t="s">
        <v>44760</v>
      </c>
      <c r="P13695">
        <v>0</v>
      </c>
      <c r="Q13695">
        <v>0</v>
      </c>
      <c r="R13695" t="s">
        <v>44781</v>
      </c>
      <c r="S13695" t="s">
        <v>45758</v>
      </c>
      <c r="T13695" t="s">
        <v>46403</v>
      </c>
      <c r="U13695" t="s">
        <v>58163</v>
      </c>
      <c r="W13695" t="s">
        <v>43772</v>
      </c>
      <c r="X13695" t="s">
        <v>44782</v>
      </c>
    </row>
    <row r="13696" spans="1:24">
      <c r="A13696">
        <f>HYPERLINK("https://www.philgeps.gov.ph/GEPSNONPILOT/Tender/SplashBidNoticeAbstractUI.aspx?menuIndex=3&amp;refID=7111245&amp;Result=3","7111245")</f>
        <v>0</v>
      </c>
      <c r="B13696" t="s">
        <v>1603</v>
      </c>
      <c r="C13696" t="s">
        <v>16760</v>
      </c>
      <c r="D13696" t="s">
        <v>17980</v>
      </c>
      <c r="E13696" t="s">
        <v>29878</v>
      </c>
      <c r="F13696" t="s">
        <v>30900</v>
      </c>
      <c r="G13696" t="s">
        <v>30907</v>
      </c>
      <c r="H13696" t="s">
        <v>30916</v>
      </c>
      <c r="I13696" t="s">
        <v>5830</v>
      </c>
      <c r="J13696" t="s">
        <v>39530</v>
      </c>
      <c r="K13696" t="s">
        <v>40292</v>
      </c>
      <c r="M13696" t="s">
        <v>44603</v>
      </c>
      <c r="N13696" t="s">
        <v>44759</v>
      </c>
      <c r="O13696" t="s">
        <v>44760</v>
      </c>
      <c r="P13696">
        <v>0</v>
      </c>
      <c r="Q13696">
        <v>7</v>
      </c>
      <c r="R13696" t="s">
        <v>44781</v>
      </c>
      <c r="S13696" t="s">
        <v>45758</v>
      </c>
      <c r="T13696" t="s">
        <v>46625</v>
      </c>
      <c r="U13696" t="s">
        <v>58130</v>
      </c>
      <c r="V13696" t="s">
        <v>60656</v>
      </c>
      <c r="W13696" t="s">
        <v>44603</v>
      </c>
      <c r="X13696" t="s">
        <v>44782</v>
      </c>
    </row>
    <row r="13697" spans="1:24">
      <c r="A13697">
        <f>HYPERLINK("https://www.philgeps.gov.ph/GEPSNONPILOT/Tender/SplashBidNoticeAbstractUI.aspx?menuIndex=3&amp;refID=7111234&amp;Result=3","7111234")</f>
        <v>0</v>
      </c>
      <c r="B13697" t="s">
        <v>2966</v>
      </c>
      <c r="C13697" t="s">
        <v>16807</v>
      </c>
      <c r="D13697" t="s">
        <v>17994</v>
      </c>
      <c r="E13697" t="s">
        <v>29879</v>
      </c>
      <c r="F13697" t="s">
        <v>30900</v>
      </c>
      <c r="G13697" t="s">
        <v>30907</v>
      </c>
      <c r="H13697" t="s">
        <v>30915</v>
      </c>
      <c r="I13697" t="s">
        <v>30919</v>
      </c>
      <c r="J13697" t="s">
        <v>39553</v>
      </c>
      <c r="K13697" t="s">
        <v>40446</v>
      </c>
      <c r="M13697" t="s">
        <v>44601</v>
      </c>
      <c r="N13697" t="s">
        <v>44759</v>
      </c>
      <c r="O13697" t="s">
        <v>44760</v>
      </c>
      <c r="Q13697">
        <v>3</v>
      </c>
      <c r="R13697" t="s">
        <v>44781</v>
      </c>
      <c r="S13697" t="s">
        <v>45634</v>
      </c>
      <c r="T13697" t="s">
        <v>46612</v>
      </c>
      <c r="U13697" t="s">
        <v>58164</v>
      </c>
      <c r="W13697" t="s">
        <v>44601</v>
      </c>
      <c r="X13697" t="s">
        <v>44782</v>
      </c>
    </row>
    <row r="13698" spans="1:24">
      <c r="A13698">
        <f>HYPERLINK("https://www.philgeps.gov.ph/GEPSNONPILOT/Tender/SplashBidNoticeAbstractUI.aspx?menuIndex=3&amp;refID=7112183&amp;Result=3","7112183")</f>
        <v>0</v>
      </c>
      <c r="B13698" t="s">
        <v>1423</v>
      </c>
      <c r="C13698" t="s">
        <v>16808</v>
      </c>
      <c r="D13698" t="s">
        <v>18013</v>
      </c>
      <c r="E13698" t="s">
        <v>29880</v>
      </c>
      <c r="F13698" t="s">
        <v>30900</v>
      </c>
      <c r="G13698" t="s">
        <v>30907</v>
      </c>
      <c r="H13698" t="s">
        <v>30916</v>
      </c>
      <c r="I13698" t="s">
        <v>30933</v>
      </c>
      <c r="J13698" t="s">
        <v>33735</v>
      </c>
      <c r="K13698" t="s">
        <v>40289</v>
      </c>
      <c r="M13698" t="s">
        <v>42130</v>
      </c>
      <c r="N13698" t="s">
        <v>44759</v>
      </c>
      <c r="O13698" t="s">
        <v>44760</v>
      </c>
      <c r="P13698">
        <v>0</v>
      </c>
      <c r="Q13698">
        <v>5</v>
      </c>
      <c r="R13698" t="s">
        <v>44781</v>
      </c>
      <c r="S13698" t="s">
        <v>45758</v>
      </c>
      <c r="T13698" t="s">
        <v>46662</v>
      </c>
      <c r="U13698" t="s">
        <v>58165</v>
      </c>
      <c r="V13698" t="s">
        <v>60670</v>
      </c>
      <c r="W13698" t="s">
        <v>42130</v>
      </c>
      <c r="X13698" t="s">
        <v>44782</v>
      </c>
    </row>
    <row r="13699" spans="1:24">
      <c r="A13699">
        <f>HYPERLINK("https://www.philgeps.gov.ph/GEPSNONPILOT/Tender/SplashBidNoticeAbstractUI.aspx?menuIndex=3&amp;refID=7111251&amp;Result=3","7111251")</f>
        <v>0</v>
      </c>
      <c r="B13699" t="s">
        <v>3657</v>
      </c>
      <c r="C13699" t="s">
        <v>16809</v>
      </c>
      <c r="D13699" t="s">
        <v>18000</v>
      </c>
      <c r="E13699" t="s">
        <v>20897</v>
      </c>
      <c r="F13699" t="s">
        <v>30900</v>
      </c>
      <c r="G13699" t="s">
        <v>30907</v>
      </c>
      <c r="H13699" t="s">
        <v>30915</v>
      </c>
      <c r="I13699" t="s">
        <v>30919</v>
      </c>
      <c r="J13699" t="s">
        <v>34345</v>
      </c>
      <c r="K13699" t="s">
        <v>40304</v>
      </c>
      <c r="M13699" t="s">
        <v>44602</v>
      </c>
      <c r="N13699" t="s">
        <v>44759</v>
      </c>
      <c r="O13699" t="s">
        <v>44760</v>
      </c>
      <c r="P13699">
        <v>0</v>
      </c>
      <c r="Q13699">
        <v>3</v>
      </c>
      <c r="R13699" t="s">
        <v>44781</v>
      </c>
      <c r="S13699" t="s">
        <v>45758</v>
      </c>
      <c r="T13699" t="s">
        <v>46625</v>
      </c>
      <c r="U13699" t="s">
        <v>58095</v>
      </c>
      <c r="W13699" t="s">
        <v>44602</v>
      </c>
      <c r="X13699" t="s">
        <v>44782</v>
      </c>
    </row>
    <row r="13700" spans="1:24">
      <c r="A13700">
        <f>HYPERLINK("https://www.philgeps.gov.ph/GEPSNONPILOT/Tender/SplashBidNoticeAbstractUI.aspx?menuIndex=3&amp;refID=7111490&amp;Result=3","7111490")</f>
        <v>0</v>
      </c>
      <c r="B13700" t="s">
        <v>2152</v>
      </c>
      <c r="C13700" t="s">
        <v>16810</v>
      </c>
      <c r="D13700" t="s">
        <v>18019</v>
      </c>
      <c r="E13700" t="s">
        <v>29881</v>
      </c>
      <c r="F13700" t="s">
        <v>30900</v>
      </c>
      <c r="G13700" t="s">
        <v>30907</v>
      </c>
      <c r="H13700" t="s">
        <v>30915</v>
      </c>
      <c r="I13700" t="s">
        <v>30919</v>
      </c>
      <c r="J13700" t="s">
        <v>39554</v>
      </c>
      <c r="K13700" t="s">
        <v>40551</v>
      </c>
      <c r="M13700" t="s">
        <v>43265</v>
      </c>
      <c r="N13700" t="s">
        <v>44759</v>
      </c>
      <c r="O13700" t="s">
        <v>44760</v>
      </c>
      <c r="P13700">
        <v>0</v>
      </c>
      <c r="Q13700">
        <v>0</v>
      </c>
      <c r="R13700" t="s">
        <v>44781</v>
      </c>
      <c r="S13700" t="s">
        <v>45758</v>
      </c>
      <c r="T13700" t="s">
        <v>46612</v>
      </c>
      <c r="U13700" t="s">
        <v>53116</v>
      </c>
      <c r="W13700" t="s">
        <v>43265</v>
      </c>
      <c r="X13700" t="s">
        <v>44782</v>
      </c>
    </row>
    <row r="13701" spans="1:24">
      <c r="A13701">
        <f>HYPERLINK("https://www.philgeps.gov.ph/GEPSNONPILOT/Tender/SplashBidNoticeAbstractUI.aspx?menuIndex=3&amp;refID=7112182&amp;Result=3","7112182")</f>
        <v>0</v>
      </c>
      <c r="B13701" t="s">
        <v>3044</v>
      </c>
      <c r="C13701" t="s">
        <v>16811</v>
      </c>
      <c r="D13701" t="s">
        <v>17996</v>
      </c>
      <c r="E13701" t="s">
        <v>29882</v>
      </c>
      <c r="F13701" t="s">
        <v>30900</v>
      </c>
      <c r="G13701" t="s">
        <v>30907</v>
      </c>
      <c r="H13701" t="s">
        <v>30916</v>
      </c>
      <c r="I13701" t="s">
        <v>30928</v>
      </c>
      <c r="J13701" t="s">
        <v>39555</v>
      </c>
      <c r="K13701" t="s">
        <v>40294</v>
      </c>
      <c r="M13701" t="s">
        <v>43854</v>
      </c>
      <c r="N13701" t="s">
        <v>44759</v>
      </c>
      <c r="O13701" t="s">
        <v>44760</v>
      </c>
      <c r="P13701">
        <v>0</v>
      </c>
      <c r="Q13701">
        <v>13</v>
      </c>
      <c r="R13701" t="s">
        <v>44781</v>
      </c>
      <c r="S13701" t="s">
        <v>45758</v>
      </c>
      <c r="T13701" t="s">
        <v>46625</v>
      </c>
      <c r="U13701" t="s">
        <v>58166</v>
      </c>
      <c r="W13701" t="s">
        <v>43854</v>
      </c>
      <c r="X13701" t="s">
        <v>44782</v>
      </c>
    </row>
    <row r="13702" spans="1:24">
      <c r="A13702">
        <f>HYPERLINK("https://www.philgeps.gov.ph/GEPSNONPILOT/Tender/SplashBidNoticeAbstractUI.aspx?menuIndex=3&amp;refID=7111812&amp;Result=3","7111812")</f>
        <v>0</v>
      </c>
      <c r="B13702" t="s">
        <v>115</v>
      </c>
      <c r="C13702" t="s">
        <v>16812</v>
      </c>
      <c r="D13702" t="s">
        <v>17960</v>
      </c>
      <c r="E13702" t="s">
        <v>29883</v>
      </c>
      <c r="F13702" t="s">
        <v>30900</v>
      </c>
      <c r="G13702" t="s">
        <v>30907</v>
      </c>
      <c r="H13702" t="s">
        <v>30916</v>
      </c>
      <c r="I13702" t="s">
        <v>8123</v>
      </c>
      <c r="J13702" t="s">
        <v>39556</v>
      </c>
      <c r="K13702" t="s">
        <v>40286</v>
      </c>
      <c r="M13702" t="s">
        <v>40662</v>
      </c>
      <c r="N13702" t="s">
        <v>44759</v>
      </c>
      <c r="O13702" t="s">
        <v>44760</v>
      </c>
      <c r="Q13702">
        <v>0</v>
      </c>
      <c r="R13702" t="s">
        <v>44781</v>
      </c>
      <c r="S13702" t="s">
        <v>45800</v>
      </c>
      <c r="T13702" t="s">
        <v>46533</v>
      </c>
      <c r="U13702" t="s">
        <v>58167</v>
      </c>
      <c r="V13702" t="s">
        <v>60671</v>
      </c>
      <c r="W13702" t="s">
        <v>40662</v>
      </c>
      <c r="X13702" t="s">
        <v>44782</v>
      </c>
    </row>
    <row r="13703" spans="1:24">
      <c r="A13703">
        <f>HYPERLINK("https://www.philgeps.gov.ph/GEPSNONPILOT/Tender/SplashBidNoticeAbstractUI.aspx?menuIndex=3&amp;refID=7112172&amp;Result=3","7112172")</f>
        <v>0</v>
      </c>
      <c r="B13703" t="s">
        <v>934</v>
      </c>
      <c r="C13703" t="s">
        <v>16813</v>
      </c>
      <c r="D13703" t="s">
        <v>17984</v>
      </c>
      <c r="E13703" t="s">
        <v>18117</v>
      </c>
      <c r="F13703" t="s">
        <v>30900</v>
      </c>
      <c r="G13703" t="s">
        <v>30907</v>
      </c>
      <c r="H13703" t="s">
        <v>30915</v>
      </c>
      <c r="I13703" t="s">
        <v>30919</v>
      </c>
      <c r="J13703" t="s">
        <v>39557</v>
      </c>
      <c r="K13703" t="s">
        <v>40340</v>
      </c>
      <c r="M13703" t="s">
        <v>41517</v>
      </c>
      <c r="N13703" t="s">
        <v>44759</v>
      </c>
      <c r="O13703" t="s">
        <v>44760</v>
      </c>
      <c r="P13703">
        <v>0</v>
      </c>
      <c r="Q13703">
        <v>2</v>
      </c>
      <c r="R13703" t="s">
        <v>44781</v>
      </c>
      <c r="S13703" t="s">
        <v>45758</v>
      </c>
      <c r="T13703" t="s">
        <v>46531</v>
      </c>
      <c r="U13703" t="s">
        <v>58168</v>
      </c>
      <c r="W13703" t="s">
        <v>41517</v>
      </c>
      <c r="X13703" t="s">
        <v>44782</v>
      </c>
    </row>
    <row r="13704" spans="1:24">
      <c r="A13704">
        <f>HYPERLINK("https://www.philgeps.gov.ph/GEPSNONPILOT/Tender/SplashBidNoticeAbstractUI.aspx?menuIndex=3&amp;refID=7111880&amp;Result=3","7111880")</f>
        <v>0</v>
      </c>
      <c r="B13704" t="s">
        <v>2308</v>
      </c>
      <c r="C13704" t="s">
        <v>16814</v>
      </c>
      <c r="D13704" t="s">
        <v>17978</v>
      </c>
      <c r="E13704" t="s">
        <v>29884</v>
      </c>
      <c r="F13704" t="s">
        <v>30900</v>
      </c>
      <c r="G13704" t="s">
        <v>30907</v>
      </c>
      <c r="H13704" t="s">
        <v>30915</v>
      </c>
      <c r="I13704" t="s">
        <v>30919</v>
      </c>
      <c r="J13704" t="s">
        <v>31243</v>
      </c>
      <c r="K13704" t="s">
        <v>40280</v>
      </c>
      <c r="M13704" t="s">
        <v>43026</v>
      </c>
      <c r="N13704" t="s">
        <v>44759</v>
      </c>
      <c r="O13704" t="s">
        <v>44760</v>
      </c>
      <c r="Q13704">
        <v>2</v>
      </c>
      <c r="R13704" t="s">
        <v>44781</v>
      </c>
      <c r="S13704" t="s">
        <v>45801</v>
      </c>
      <c r="T13704" t="s">
        <v>46771</v>
      </c>
      <c r="U13704" t="s">
        <v>58169</v>
      </c>
      <c r="W13704" t="s">
        <v>43026</v>
      </c>
      <c r="X13704" t="s">
        <v>44782</v>
      </c>
    </row>
    <row r="13705" spans="1:24">
      <c r="A13705">
        <f>HYPERLINK("https://www.philgeps.gov.ph/GEPSNONPILOT/Tender/SplashBidNoticeAbstractUI.aspx?menuIndex=3&amp;refID=7111836&amp;Result=3","7111836")</f>
        <v>0</v>
      </c>
      <c r="B13705" t="s">
        <v>1567</v>
      </c>
      <c r="C13705" t="s">
        <v>16815</v>
      </c>
      <c r="D13705" t="s">
        <v>18006</v>
      </c>
      <c r="E13705" t="s">
        <v>29885</v>
      </c>
      <c r="F13705" t="s">
        <v>30900</v>
      </c>
      <c r="G13705" t="s">
        <v>30907</v>
      </c>
      <c r="H13705" t="s">
        <v>30915</v>
      </c>
      <c r="I13705" t="s">
        <v>30919</v>
      </c>
      <c r="J13705" t="s">
        <v>39558</v>
      </c>
      <c r="K13705" t="s">
        <v>40289</v>
      </c>
      <c r="M13705" t="s">
        <v>42215</v>
      </c>
      <c r="N13705" t="s">
        <v>44759</v>
      </c>
      <c r="O13705" t="s">
        <v>44760</v>
      </c>
      <c r="P13705">
        <v>0</v>
      </c>
      <c r="Q13705">
        <v>1</v>
      </c>
      <c r="R13705" t="s">
        <v>44781</v>
      </c>
      <c r="S13705" t="s">
        <v>45758</v>
      </c>
      <c r="T13705" t="s">
        <v>46581</v>
      </c>
      <c r="U13705" t="s">
        <v>54195</v>
      </c>
      <c r="W13705" t="s">
        <v>42215</v>
      </c>
      <c r="X13705" t="s">
        <v>44782</v>
      </c>
    </row>
    <row r="13706" spans="1:24">
      <c r="A13706">
        <f>HYPERLINK("https://www.philgeps.gov.ph/GEPSNONPILOT/Tender/SplashBidNoticeAbstractUI.aspx?menuIndex=3&amp;refID=7112123&amp;Result=3","7112123")</f>
        <v>0</v>
      </c>
      <c r="B13706" t="s">
        <v>2152</v>
      </c>
      <c r="C13706" t="s">
        <v>16816</v>
      </c>
      <c r="D13706" t="s">
        <v>18019</v>
      </c>
      <c r="E13706" t="s">
        <v>29886</v>
      </c>
      <c r="F13706" t="s">
        <v>30900</v>
      </c>
      <c r="G13706" t="s">
        <v>30907</v>
      </c>
      <c r="H13706" t="s">
        <v>30915</v>
      </c>
      <c r="I13706" t="s">
        <v>30945</v>
      </c>
      <c r="J13706" t="s">
        <v>39559</v>
      </c>
      <c r="K13706" t="s">
        <v>40495</v>
      </c>
      <c r="M13706" t="s">
        <v>43265</v>
      </c>
      <c r="N13706" t="s">
        <v>44759</v>
      </c>
      <c r="O13706" t="s">
        <v>44760</v>
      </c>
      <c r="P13706">
        <v>0</v>
      </c>
      <c r="Q13706">
        <v>2</v>
      </c>
      <c r="R13706" t="s">
        <v>44781</v>
      </c>
      <c r="S13706" t="s">
        <v>45758</v>
      </c>
      <c r="T13706" t="s">
        <v>46612</v>
      </c>
      <c r="U13706" t="s">
        <v>53116</v>
      </c>
      <c r="W13706" t="s">
        <v>43265</v>
      </c>
      <c r="X13706" t="s">
        <v>44782</v>
      </c>
    </row>
    <row r="13707" spans="1:24">
      <c r="A13707">
        <f>HYPERLINK("https://www.philgeps.gov.ph/GEPSNONPILOT/Tender/SplashBidNoticeAbstractUI.aspx?menuIndex=3&amp;refID=7112127&amp;Result=3","7112127")</f>
        <v>0</v>
      </c>
      <c r="B13707" t="s">
        <v>173</v>
      </c>
      <c r="C13707" t="s">
        <v>16817</v>
      </c>
      <c r="D13707" t="s">
        <v>17978</v>
      </c>
      <c r="E13707" t="s">
        <v>29887</v>
      </c>
      <c r="F13707" t="s">
        <v>30900</v>
      </c>
      <c r="G13707" t="s">
        <v>30907</v>
      </c>
      <c r="H13707" t="s">
        <v>7411</v>
      </c>
      <c r="I13707" t="s">
        <v>7411</v>
      </c>
      <c r="J13707" t="s">
        <v>39560</v>
      </c>
      <c r="K13707" t="s">
        <v>40291</v>
      </c>
      <c r="M13707" t="s">
        <v>40720</v>
      </c>
      <c r="N13707" t="s">
        <v>44759</v>
      </c>
      <c r="O13707" t="s">
        <v>44760</v>
      </c>
      <c r="P13707">
        <v>0</v>
      </c>
      <c r="Q13707">
        <v>1</v>
      </c>
      <c r="R13707" t="s">
        <v>44781</v>
      </c>
      <c r="S13707" t="s">
        <v>45758</v>
      </c>
      <c r="T13707" t="s">
        <v>46425</v>
      </c>
      <c r="U13707" t="s">
        <v>58170</v>
      </c>
      <c r="V13707" t="s">
        <v>60158</v>
      </c>
      <c r="W13707" t="s">
        <v>40720</v>
      </c>
      <c r="X13707" t="s">
        <v>44782</v>
      </c>
    </row>
    <row r="13708" spans="1:24">
      <c r="A13708">
        <f>HYPERLINK("https://www.philgeps.gov.ph/GEPSNONPILOT/Tender/SplashBidNoticeAbstractUI.aspx?menuIndex=3&amp;refID=7112120&amp;Result=3","7112120")</f>
        <v>0</v>
      </c>
      <c r="B13708" t="s">
        <v>3661</v>
      </c>
      <c r="C13708" t="s">
        <v>16818</v>
      </c>
      <c r="D13708" t="s">
        <v>17985</v>
      </c>
      <c r="E13708" t="s">
        <v>29888</v>
      </c>
      <c r="F13708" t="s">
        <v>30900</v>
      </c>
      <c r="G13708" t="s">
        <v>30907</v>
      </c>
      <c r="H13708" t="s">
        <v>30915</v>
      </c>
      <c r="I13708" t="s">
        <v>30971</v>
      </c>
      <c r="J13708" t="s">
        <v>31391</v>
      </c>
      <c r="K13708" t="s">
        <v>40416</v>
      </c>
      <c r="M13708" t="s">
        <v>44609</v>
      </c>
      <c r="N13708" t="s">
        <v>44759</v>
      </c>
      <c r="O13708" t="s">
        <v>44760</v>
      </c>
      <c r="Q13708">
        <v>0</v>
      </c>
      <c r="R13708" t="s">
        <v>44781</v>
      </c>
      <c r="S13708" t="s">
        <v>45802</v>
      </c>
      <c r="T13708" t="s">
        <v>46757</v>
      </c>
      <c r="U13708" t="s">
        <v>58171</v>
      </c>
      <c r="V13708" t="s">
        <v>60662</v>
      </c>
      <c r="W13708" t="s">
        <v>44609</v>
      </c>
      <c r="X13708" t="s">
        <v>44782</v>
      </c>
    </row>
    <row r="13709" spans="1:24">
      <c r="A13709">
        <f>HYPERLINK("https://www.philgeps.gov.ph/GEPSNONPILOT/Tender/SplashBidNoticeAbstractUI.aspx?menuIndex=3&amp;refID=7111485&amp;Result=3","7111485")</f>
        <v>0</v>
      </c>
      <c r="B13709" t="s">
        <v>3665</v>
      </c>
      <c r="C13709" t="s">
        <v>16819</v>
      </c>
      <c r="D13709" t="s">
        <v>17952</v>
      </c>
      <c r="E13709" t="s">
        <v>24671</v>
      </c>
      <c r="F13709" t="s">
        <v>30900</v>
      </c>
      <c r="G13709" t="s">
        <v>30908</v>
      </c>
      <c r="H13709" t="s">
        <v>30916</v>
      </c>
      <c r="I13709" t="s">
        <v>31003</v>
      </c>
      <c r="J13709" t="s">
        <v>31048</v>
      </c>
      <c r="K13709" t="s">
        <v>40291</v>
      </c>
      <c r="M13709" t="s">
        <v>44613</v>
      </c>
      <c r="N13709" t="s">
        <v>44759</v>
      </c>
      <c r="O13709" t="s">
        <v>44760</v>
      </c>
      <c r="Q13709">
        <v>0</v>
      </c>
      <c r="R13709" t="s">
        <v>44781</v>
      </c>
      <c r="S13709" t="s">
        <v>45803</v>
      </c>
      <c r="T13709" t="s">
        <v>46662</v>
      </c>
      <c r="U13709" t="s">
        <v>58172</v>
      </c>
      <c r="V13709" t="s">
        <v>60672</v>
      </c>
      <c r="W13709" t="s">
        <v>44613</v>
      </c>
      <c r="X13709" t="s">
        <v>44782</v>
      </c>
    </row>
    <row r="13710" spans="1:24">
      <c r="A13710">
        <f>HYPERLINK("https://www.philgeps.gov.ph/GEPSNONPILOT/Tender/SplashBidNoticeAbstractUI.aspx?menuIndex=3&amp;refID=7112048&amp;Result=3","7112048")</f>
        <v>0</v>
      </c>
      <c r="B13710" t="s">
        <v>3666</v>
      </c>
      <c r="C13710" t="s">
        <v>16820</v>
      </c>
      <c r="D13710" t="s">
        <v>17970</v>
      </c>
      <c r="E13710" t="s">
        <v>25052</v>
      </c>
      <c r="F13710" t="s">
        <v>30900</v>
      </c>
      <c r="G13710" t="s">
        <v>30907</v>
      </c>
      <c r="H13710" t="s">
        <v>30915</v>
      </c>
      <c r="I13710" t="s">
        <v>30919</v>
      </c>
      <c r="J13710" t="s">
        <v>39561</v>
      </c>
      <c r="K13710" t="s">
        <v>40295</v>
      </c>
      <c r="M13710" t="s">
        <v>44614</v>
      </c>
      <c r="N13710" t="s">
        <v>44759</v>
      </c>
      <c r="O13710" t="s">
        <v>44760</v>
      </c>
      <c r="P13710">
        <v>0</v>
      </c>
      <c r="Q13710">
        <v>0</v>
      </c>
      <c r="R13710" t="s">
        <v>44781</v>
      </c>
      <c r="S13710" t="s">
        <v>45758</v>
      </c>
      <c r="T13710" t="s">
        <v>46625</v>
      </c>
      <c r="U13710" t="s">
        <v>58173</v>
      </c>
      <c r="V13710" t="s">
        <v>60673</v>
      </c>
      <c r="W13710" t="s">
        <v>44614</v>
      </c>
      <c r="X13710" t="s">
        <v>44782</v>
      </c>
    </row>
    <row r="13711" spans="1:24">
      <c r="A13711">
        <f>HYPERLINK("https://www.philgeps.gov.ph/GEPSNONPILOT/Tender/SplashBidNoticeAbstractUI.aspx?menuIndex=3&amp;refID=7112131&amp;Result=3","7112131")</f>
        <v>0</v>
      </c>
      <c r="B13711" t="s">
        <v>934</v>
      </c>
      <c r="C13711" t="s">
        <v>16821</v>
      </c>
      <c r="D13711" t="s">
        <v>17984</v>
      </c>
      <c r="E13711" t="s">
        <v>26972</v>
      </c>
      <c r="F13711" t="s">
        <v>30900</v>
      </c>
      <c r="G13711" t="s">
        <v>30907</v>
      </c>
      <c r="H13711" t="s">
        <v>30915</v>
      </c>
      <c r="I13711" t="s">
        <v>30919</v>
      </c>
      <c r="J13711" t="s">
        <v>39562</v>
      </c>
      <c r="K13711" t="s">
        <v>40284</v>
      </c>
      <c r="M13711" t="s">
        <v>41517</v>
      </c>
      <c r="N13711" t="s">
        <v>44759</v>
      </c>
      <c r="O13711" t="s">
        <v>44760</v>
      </c>
      <c r="P13711">
        <v>0</v>
      </c>
      <c r="Q13711">
        <v>1</v>
      </c>
      <c r="R13711" t="s">
        <v>44781</v>
      </c>
      <c r="S13711" t="s">
        <v>45758</v>
      </c>
      <c r="T13711" t="s">
        <v>46531</v>
      </c>
      <c r="U13711" t="s">
        <v>58174</v>
      </c>
      <c r="W13711" t="s">
        <v>41517</v>
      </c>
      <c r="X13711" t="s">
        <v>44782</v>
      </c>
    </row>
    <row r="13712" spans="1:24">
      <c r="A13712">
        <f>HYPERLINK("https://www.philgeps.gov.ph/GEPSNONPILOT/Tender/SplashBidNoticeAbstractUI.aspx?menuIndex=3&amp;refID=7112168&amp;Result=3","7112168")</f>
        <v>0</v>
      </c>
      <c r="B13712" t="s">
        <v>3645</v>
      </c>
      <c r="C13712" t="s">
        <v>16822</v>
      </c>
      <c r="D13712" t="s">
        <v>17977</v>
      </c>
      <c r="E13712" t="s">
        <v>27379</v>
      </c>
      <c r="F13712" t="s">
        <v>30900</v>
      </c>
      <c r="G13712" t="s">
        <v>30907</v>
      </c>
      <c r="H13712" t="s">
        <v>30916</v>
      </c>
      <c r="I13712" t="s">
        <v>4108</v>
      </c>
      <c r="J13712" t="s">
        <v>31577</v>
      </c>
      <c r="K13712" t="s">
        <v>40286</v>
      </c>
      <c r="M13712" t="s">
        <v>44586</v>
      </c>
      <c r="N13712" t="s">
        <v>44759</v>
      </c>
      <c r="O13712" t="s">
        <v>44760</v>
      </c>
      <c r="Q13712">
        <v>8</v>
      </c>
      <c r="R13712" t="s">
        <v>44781</v>
      </c>
      <c r="S13712" t="s">
        <v>45804</v>
      </c>
      <c r="T13712" t="s">
        <v>46403</v>
      </c>
      <c r="U13712" t="s">
        <v>58019</v>
      </c>
      <c r="V13712" t="s">
        <v>60674</v>
      </c>
      <c r="W13712" t="s">
        <v>44586</v>
      </c>
      <c r="X13712" t="s">
        <v>44782</v>
      </c>
    </row>
    <row r="13713" spans="1:24">
      <c r="A13713">
        <f>HYPERLINK("https://www.philgeps.gov.ph/GEPSNONPILOT/Tender/SplashBidNoticeAbstractUI.aspx?menuIndex=3&amp;refID=7112143&amp;Result=3","7112143")</f>
        <v>0</v>
      </c>
      <c r="B13713" t="s">
        <v>2346</v>
      </c>
      <c r="C13713" t="s">
        <v>16823</v>
      </c>
      <c r="D13713" t="s">
        <v>17976</v>
      </c>
      <c r="E13713" t="s">
        <v>22022</v>
      </c>
      <c r="F13713" t="s">
        <v>30900</v>
      </c>
      <c r="G13713" t="s">
        <v>30907</v>
      </c>
      <c r="H13713" t="s">
        <v>30916</v>
      </c>
      <c r="I13713" t="s">
        <v>30924</v>
      </c>
      <c r="J13713" t="s">
        <v>39563</v>
      </c>
      <c r="K13713" t="s">
        <v>40286</v>
      </c>
      <c r="M13713" t="s">
        <v>43070</v>
      </c>
      <c r="N13713" t="s">
        <v>44759</v>
      </c>
      <c r="O13713" t="s">
        <v>44760</v>
      </c>
      <c r="Q13713">
        <v>15</v>
      </c>
      <c r="R13713" t="s">
        <v>44781</v>
      </c>
      <c r="S13713" t="s">
        <v>45194</v>
      </c>
      <c r="T13713" t="s">
        <v>46403</v>
      </c>
      <c r="U13713" t="s">
        <v>58175</v>
      </c>
      <c r="W13713" t="s">
        <v>43070</v>
      </c>
      <c r="X13713" t="s">
        <v>44782</v>
      </c>
    </row>
    <row r="13714" spans="1:24">
      <c r="A13714">
        <f>HYPERLINK("https://www.philgeps.gov.ph/GEPSNONPILOT/Tender/SplashBidNoticeAbstractUI.aspx?menuIndex=3&amp;refID=7112324&amp;Result=3","7112324")</f>
        <v>0</v>
      </c>
      <c r="B13714" t="s">
        <v>3657</v>
      </c>
      <c r="C13714" t="s">
        <v>16824</v>
      </c>
      <c r="D13714" t="s">
        <v>18000</v>
      </c>
      <c r="E13714" t="s">
        <v>27384</v>
      </c>
      <c r="F13714" t="s">
        <v>30900</v>
      </c>
      <c r="G13714" t="s">
        <v>30907</v>
      </c>
      <c r="H13714" t="s">
        <v>30915</v>
      </c>
      <c r="I13714" t="s">
        <v>30919</v>
      </c>
      <c r="J13714" t="s">
        <v>31297</v>
      </c>
      <c r="K13714" t="s">
        <v>40304</v>
      </c>
      <c r="M13714" t="s">
        <v>44602</v>
      </c>
      <c r="N13714" t="s">
        <v>44759</v>
      </c>
      <c r="O13714" t="s">
        <v>44760</v>
      </c>
      <c r="P13714">
        <v>0</v>
      </c>
      <c r="Q13714">
        <v>0</v>
      </c>
      <c r="R13714" t="s">
        <v>44781</v>
      </c>
      <c r="S13714" t="s">
        <v>45758</v>
      </c>
      <c r="T13714" t="s">
        <v>46625</v>
      </c>
      <c r="U13714" t="s">
        <v>58095</v>
      </c>
      <c r="W13714" t="s">
        <v>44602</v>
      </c>
      <c r="X13714" t="s">
        <v>44782</v>
      </c>
    </row>
    <row r="13715" spans="1:24">
      <c r="A13715">
        <f>HYPERLINK("https://www.philgeps.gov.ph/GEPSNONPILOT/Tender/SplashBidNoticeAbstractUI.aspx?menuIndex=3&amp;refID=7112139&amp;Result=3","7112139")</f>
        <v>0</v>
      </c>
      <c r="B13715" t="s">
        <v>3667</v>
      </c>
      <c r="C13715" t="s">
        <v>16825</v>
      </c>
      <c r="D13715" t="s">
        <v>17975</v>
      </c>
      <c r="E13715" t="s">
        <v>29889</v>
      </c>
      <c r="F13715" t="s">
        <v>30900</v>
      </c>
      <c r="G13715" t="s">
        <v>30907</v>
      </c>
      <c r="H13715" t="s">
        <v>30916</v>
      </c>
      <c r="I13715" t="s">
        <v>5501</v>
      </c>
      <c r="J13715" t="s">
        <v>39564</v>
      </c>
      <c r="K13715" t="s">
        <v>40289</v>
      </c>
      <c r="M13715" t="s">
        <v>44615</v>
      </c>
      <c r="N13715" t="s">
        <v>44759</v>
      </c>
      <c r="O13715" t="s">
        <v>44760</v>
      </c>
      <c r="Q13715">
        <v>8</v>
      </c>
      <c r="R13715" t="s">
        <v>44781</v>
      </c>
      <c r="S13715" t="s">
        <v>45805</v>
      </c>
      <c r="T13715" t="s">
        <v>46409</v>
      </c>
      <c r="U13715" t="s">
        <v>58176</v>
      </c>
      <c r="W13715" t="s">
        <v>44615</v>
      </c>
      <c r="X13715" t="s">
        <v>44782</v>
      </c>
    </row>
    <row r="13716" spans="1:24">
      <c r="A13716">
        <f>HYPERLINK("https://www.philgeps.gov.ph/GEPSNONPILOT/Tender/SplashBidNoticeAbstractUI.aspx?menuIndex=3&amp;refID=7112296&amp;Result=3","7112296")</f>
        <v>0</v>
      </c>
      <c r="B13716" t="s">
        <v>934</v>
      </c>
      <c r="C13716" t="s">
        <v>16826</v>
      </c>
      <c r="D13716" t="s">
        <v>17984</v>
      </c>
      <c r="E13716" t="s">
        <v>25418</v>
      </c>
      <c r="F13716" t="s">
        <v>30900</v>
      </c>
      <c r="G13716" t="s">
        <v>30907</v>
      </c>
      <c r="H13716" t="s">
        <v>30915</v>
      </c>
      <c r="I13716" t="s">
        <v>30919</v>
      </c>
      <c r="J13716" t="s">
        <v>39565</v>
      </c>
      <c r="K13716" t="s">
        <v>40309</v>
      </c>
      <c r="M13716" t="s">
        <v>41517</v>
      </c>
      <c r="N13716" t="s">
        <v>44759</v>
      </c>
      <c r="O13716" t="s">
        <v>44760</v>
      </c>
      <c r="P13716">
        <v>0</v>
      </c>
      <c r="Q13716">
        <v>1</v>
      </c>
      <c r="R13716" t="s">
        <v>44781</v>
      </c>
      <c r="S13716" t="s">
        <v>45758</v>
      </c>
      <c r="T13716" t="s">
        <v>46531</v>
      </c>
      <c r="U13716" t="s">
        <v>58177</v>
      </c>
      <c r="W13716" t="s">
        <v>41517</v>
      </c>
      <c r="X13716" t="s">
        <v>44782</v>
      </c>
    </row>
    <row r="13717" spans="1:24">
      <c r="A13717">
        <f>HYPERLINK("https://www.philgeps.gov.ph/GEPSNONPILOT/Tender/SplashBidNoticeAbstractUI.aspx?menuIndex=3&amp;refID=7112292&amp;Result=3","7112292")</f>
        <v>0</v>
      </c>
      <c r="B13717" t="s">
        <v>2217</v>
      </c>
      <c r="C13717" t="s">
        <v>16827</v>
      </c>
      <c r="D13717" t="s">
        <v>17960</v>
      </c>
      <c r="E13717" t="s">
        <v>29890</v>
      </c>
      <c r="F13717" t="s">
        <v>30900</v>
      </c>
      <c r="G13717" t="s">
        <v>30907</v>
      </c>
      <c r="H13717" t="s">
        <v>30916</v>
      </c>
      <c r="I13717" t="s">
        <v>30933</v>
      </c>
      <c r="J13717" t="s">
        <v>39566</v>
      </c>
      <c r="K13717" t="s">
        <v>40287</v>
      </c>
      <c r="M13717" t="s">
        <v>42926</v>
      </c>
      <c r="N13717" t="s">
        <v>44759</v>
      </c>
      <c r="O13717" t="s">
        <v>44760</v>
      </c>
      <c r="P13717">
        <v>0</v>
      </c>
      <c r="Q13717">
        <v>5</v>
      </c>
      <c r="R13717" t="s">
        <v>44781</v>
      </c>
      <c r="S13717" t="s">
        <v>45758</v>
      </c>
      <c r="T13717" t="s">
        <v>46658</v>
      </c>
      <c r="U13717" t="s">
        <v>58178</v>
      </c>
      <c r="W13717" t="s">
        <v>42926</v>
      </c>
      <c r="X13717" t="s">
        <v>44782</v>
      </c>
    </row>
    <row r="13718" spans="1:24">
      <c r="A13718">
        <f>HYPERLINK("https://www.philgeps.gov.ph/GEPSNONPILOT/Tender/SplashBidNoticeAbstractUI.aspx?menuIndex=3&amp;refID=7112042&amp;Result=3","7112042")</f>
        <v>0</v>
      </c>
      <c r="B13718" t="s">
        <v>3667</v>
      </c>
      <c r="C13718" t="s">
        <v>16828</v>
      </c>
      <c r="D13718" t="s">
        <v>17975</v>
      </c>
      <c r="E13718" t="s">
        <v>29891</v>
      </c>
      <c r="F13718" t="s">
        <v>30900</v>
      </c>
      <c r="G13718" t="s">
        <v>30907</v>
      </c>
      <c r="H13718" t="s">
        <v>30916</v>
      </c>
      <c r="I13718" t="s">
        <v>4108</v>
      </c>
      <c r="J13718" t="s">
        <v>39567</v>
      </c>
      <c r="K13718" t="s">
        <v>40289</v>
      </c>
      <c r="M13718" t="s">
        <v>44615</v>
      </c>
      <c r="N13718" t="s">
        <v>44759</v>
      </c>
      <c r="O13718" t="s">
        <v>44760</v>
      </c>
      <c r="Q13718">
        <v>0</v>
      </c>
      <c r="R13718" t="s">
        <v>44781</v>
      </c>
      <c r="S13718" t="s">
        <v>45806</v>
      </c>
      <c r="T13718" t="s">
        <v>46409</v>
      </c>
      <c r="U13718" t="s">
        <v>58179</v>
      </c>
      <c r="W13718" t="s">
        <v>44615</v>
      </c>
      <c r="X13718" t="s">
        <v>44782</v>
      </c>
    </row>
    <row r="13719" spans="1:24">
      <c r="A13719">
        <f>HYPERLINK("https://www.philgeps.gov.ph/GEPSNONPILOT/Tender/SplashBidNoticeAbstractUI.aspx?menuIndex=3&amp;refID=7112260&amp;Result=3","7112260")</f>
        <v>0</v>
      </c>
      <c r="B13719" t="s">
        <v>824</v>
      </c>
      <c r="C13719" t="s">
        <v>16829</v>
      </c>
      <c r="E13719" t="s">
        <v>20397</v>
      </c>
      <c r="F13719" t="s">
        <v>30900</v>
      </c>
      <c r="G13719" t="s">
        <v>30907</v>
      </c>
      <c r="H13719" t="s">
        <v>30915</v>
      </c>
      <c r="I13719" t="s">
        <v>30919</v>
      </c>
      <c r="J13719" t="s">
        <v>39568</v>
      </c>
      <c r="K13719" t="s">
        <v>40280</v>
      </c>
      <c r="M13719" t="s">
        <v>43833</v>
      </c>
      <c r="N13719" t="s">
        <v>44759</v>
      </c>
      <c r="O13719" t="s">
        <v>44760</v>
      </c>
      <c r="Q13719">
        <v>7</v>
      </c>
      <c r="R13719" t="s">
        <v>44781</v>
      </c>
      <c r="S13719" t="s">
        <v>45807</v>
      </c>
      <c r="T13719" t="s">
        <v>46531</v>
      </c>
      <c r="U13719" t="s">
        <v>58180</v>
      </c>
      <c r="W13719" t="s">
        <v>43833</v>
      </c>
      <c r="X13719" t="s">
        <v>44782</v>
      </c>
    </row>
    <row r="13720" spans="1:24">
      <c r="A13720">
        <f>HYPERLINK("https://www.philgeps.gov.ph/GEPSNONPILOT/Tender/SplashBidNoticeAbstractUI.aspx?menuIndex=3&amp;refID=7112256&amp;Result=3","7112256")</f>
        <v>0</v>
      </c>
      <c r="B13720" t="s">
        <v>934</v>
      </c>
      <c r="C13720" t="s">
        <v>16830</v>
      </c>
      <c r="D13720" t="s">
        <v>17984</v>
      </c>
      <c r="E13720" t="s">
        <v>25708</v>
      </c>
      <c r="F13720" t="s">
        <v>30900</v>
      </c>
      <c r="G13720" t="s">
        <v>30907</v>
      </c>
      <c r="H13720" t="s">
        <v>30915</v>
      </c>
      <c r="I13720" t="s">
        <v>30919</v>
      </c>
      <c r="J13720" t="s">
        <v>39569</v>
      </c>
      <c r="K13720" t="s">
        <v>40387</v>
      </c>
      <c r="M13720" t="s">
        <v>41517</v>
      </c>
      <c r="N13720" t="s">
        <v>44759</v>
      </c>
      <c r="O13720" t="s">
        <v>44760</v>
      </c>
      <c r="P13720">
        <v>0</v>
      </c>
      <c r="Q13720">
        <v>1</v>
      </c>
      <c r="R13720" t="s">
        <v>44781</v>
      </c>
      <c r="S13720" t="s">
        <v>45758</v>
      </c>
      <c r="T13720" t="s">
        <v>46531</v>
      </c>
      <c r="U13720" t="s">
        <v>58181</v>
      </c>
      <c r="W13720" t="s">
        <v>41517</v>
      </c>
      <c r="X13720" t="s">
        <v>44782</v>
      </c>
    </row>
    <row r="13721" spans="1:24">
      <c r="A13721">
        <f>HYPERLINK("https://www.philgeps.gov.ph/GEPSNONPILOT/Tender/SplashBidNoticeAbstractUI.aspx?menuIndex=3&amp;refID=7112255&amp;Result=3","7112255")</f>
        <v>0</v>
      </c>
      <c r="B13721" t="s">
        <v>1901</v>
      </c>
      <c r="C13721" t="s">
        <v>16831</v>
      </c>
      <c r="D13721" t="s">
        <v>17984</v>
      </c>
      <c r="E13721" t="s">
        <v>18239</v>
      </c>
      <c r="F13721" t="s">
        <v>30900</v>
      </c>
      <c r="G13721" t="s">
        <v>30907</v>
      </c>
      <c r="H13721" t="s">
        <v>30916</v>
      </c>
      <c r="I13721" t="s">
        <v>5501</v>
      </c>
      <c r="J13721" t="s">
        <v>31101</v>
      </c>
      <c r="K13721" t="s">
        <v>40283</v>
      </c>
      <c r="M13721" t="s">
        <v>42578</v>
      </c>
      <c r="N13721" t="s">
        <v>44759</v>
      </c>
      <c r="O13721" t="s">
        <v>44760</v>
      </c>
      <c r="P13721">
        <v>0</v>
      </c>
      <c r="Q13721">
        <v>3</v>
      </c>
      <c r="R13721" t="s">
        <v>44781</v>
      </c>
      <c r="S13721" t="s">
        <v>45758</v>
      </c>
      <c r="T13721" t="s">
        <v>46581</v>
      </c>
      <c r="U13721" t="s">
        <v>58182</v>
      </c>
      <c r="W13721" t="s">
        <v>42578</v>
      </c>
      <c r="X13721" t="s">
        <v>44782</v>
      </c>
    </row>
    <row r="13722" spans="1:24">
      <c r="A13722">
        <f>HYPERLINK("https://www.philgeps.gov.ph/GEPSNONPILOT/Tender/SplashBidNoticeAbstractUI.aspx?menuIndex=3&amp;refID=7112234&amp;Result=3","7112234")</f>
        <v>0</v>
      </c>
      <c r="B13722" t="s">
        <v>1423</v>
      </c>
      <c r="C13722" t="s">
        <v>16808</v>
      </c>
      <c r="D13722" t="s">
        <v>18013</v>
      </c>
      <c r="E13722" t="s">
        <v>29892</v>
      </c>
      <c r="F13722" t="s">
        <v>30900</v>
      </c>
      <c r="G13722" t="s">
        <v>30907</v>
      </c>
      <c r="H13722" t="s">
        <v>30916</v>
      </c>
      <c r="I13722" t="s">
        <v>30933</v>
      </c>
      <c r="J13722" t="s">
        <v>37375</v>
      </c>
      <c r="K13722" t="s">
        <v>40289</v>
      </c>
      <c r="M13722" t="s">
        <v>42130</v>
      </c>
      <c r="N13722" t="s">
        <v>44759</v>
      </c>
      <c r="O13722" t="s">
        <v>44760</v>
      </c>
      <c r="P13722">
        <v>0</v>
      </c>
      <c r="Q13722">
        <v>3</v>
      </c>
      <c r="R13722" t="s">
        <v>44781</v>
      </c>
      <c r="S13722" t="s">
        <v>45758</v>
      </c>
      <c r="T13722" t="s">
        <v>46662</v>
      </c>
      <c r="U13722" t="s">
        <v>58183</v>
      </c>
      <c r="V13722" t="s">
        <v>60675</v>
      </c>
      <c r="W13722" t="s">
        <v>42130</v>
      </c>
      <c r="X13722" t="s">
        <v>44782</v>
      </c>
    </row>
    <row r="13723" spans="1:24">
      <c r="A13723">
        <f>HYPERLINK("https://www.philgeps.gov.ph/GEPSNONPILOT/Tender/SplashBidNoticeAbstractUI.aspx?menuIndex=3&amp;refID=7112253&amp;Result=3","7112253")</f>
        <v>0</v>
      </c>
      <c r="B13723" t="s">
        <v>3667</v>
      </c>
      <c r="C13723" t="s">
        <v>16832</v>
      </c>
      <c r="D13723" t="s">
        <v>17975</v>
      </c>
      <c r="E13723" t="s">
        <v>29893</v>
      </c>
      <c r="F13723" t="s">
        <v>30900</v>
      </c>
      <c r="G13723" t="s">
        <v>30907</v>
      </c>
      <c r="H13723" t="s">
        <v>30916</v>
      </c>
      <c r="I13723" t="s">
        <v>30924</v>
      </c>
      <c r="J13723" t="s">
        <v>32110</v>
      </c>
      <c r="K13723" t="s">
        <v>40289</v>
      </c>
      <c r="M13723" t="s">
        <v>44615</v>
      </c>
      <c r="N13723" t="s">
        <v>44759</v>
      </c>
      <c r="O13723" t="s">
        <v>44760</v>
      </c>
      <c r="Q13723">
        <v>8</v>
      </c>
      <c r="R13723" t="s">
        <v>44781</v>
      </c>
      <c r="S13723" t="s">
        <v>45808</v>
      </c>
      <c r="T13723" t="s">
        <v>46409</v>
      </c>
      <c r="U13723" t="s">
        <v>58184</v>
      </c>
      <c r="W13723" t="s">
        <v>44615</v>
      </c>
      <c r="X13723" t="s">
        <v>44782</v>
      </c>
    </row>
    <row r="13724" spans="1:24">
      <c r="A13724">
        <f>HYPERLINK("https://www.philgeps.gov.ph/GEPSNONPILOT/Tender/SplashBidNoticeAbstractUI.aspx?menuIndex=3&amp;refID=7112230&amp;Result=3","7112230")</f>
        <v>0</v>
      </c>
      <c r="B13724" t="s">
        <v>3667</v>
      </c>
      <c r="C13724" t="s">
        <v>16833</v>
      </c>
      <c r="D13724" t="s">
        <v>17975</v>
      </c>
      <c r="E13724" t="s">
        <v>29894</v>
      </c>
      <c r="F13724" t="s">
        <v>30900</v>
      </c>
      <c r="G13724" t="s">
        <v>30907</v>
      </c>
      <c r="H13724" t="s">
        <v>30916</v>
      </c>
      <c r="I13724" t="s">
        <v>30933</v>
      </c>
      <c r="J13724" t="s">
        <v>39570</v>
      </c>
      <c r="K13724" t="s">
        <v>40289</v>
      </c>
      <c r="M13724" t="s">
        <v>44615</v>
      </c>
      <c r="N13724" t="s">
        <v>44759</v>
      </c>
      <c r="O13724" t="s">
        <v>44760</v>
      </c>
      <c r="Q13724">
        <v>3</v>
      </c>
      <c r="R13724" t="s">
        <v>44781</v>
      </c>
      <c r="S13724" t="s">
        <v>44893</v>
      </c>
      <c r="T13724" t="s">
        <v>46409</v>
      </c>
      <c r="U13724" t="s">
        <v>58185</v>
      </c>
      <c r="W13724" t="s">
        <v>44615</v>
      </c>
      <c r="X13724" t="s">
        <v>44782</v>
      </c>
    </row>
    <row r="13725" spans="1:24">
      <c r="A13725">
        <f>HYPERLINK("https://www.philgeps.gov.ph/GEPSNONPILOT/Tender/SplashBidNoticeAbstractUI.aspx?menuIndex=3&amp;refID=7112217&amp;Result=3","7112217")</f>
        <v>0</v>
      </c>
      <c r="B13725" t="s">
        <v>667</v>
      </c>
      <c r="C13725" t="s">
        <v>16834</v>
      </c>
      <c r="D13725" t="s">
        <v>17977</v>
      </c>
      <c r="E13725" t="s">
        <v>28856</v>
      </c>
      <c r="F13725" t="s">
        <v>30900</v>
      </c>
      <c r="G13725" t="s">
        <v>30907</v>
      </c>
      <c r="H13725" t="s">
        <v>30915</v>
      </c>
      <c r="I13725" t="s">
        <v>30919</v>
      </c>
      <c r="J13725" t="s">
        <v>39571</v>
      </c>
      <c r="K13725" t="s">
        <v>40407</v>
      </c>
      <c r="M13725" t="s">
        <v>41230</v>
      </c>
      <c r="N13725" t="s">
        <v>44759</v>
      </c>
      <c r="O13725" t="s">
        <v>44760</v>
      </c>
      <c r="P13725">
        <v>0</v>
      </c>
      <c r="Q13725">
        <v>2</v>
      </c>
      <c r="R13725" t="s">
        <v>44781</v>
      </c>
      <c r="S13725" t="s">
        <v>45758</v>
      </c>
      <c r="T13725" t="s">
        <v>46425</v>
      </c>
      <c r="U13725" t="s">
        <v>58186</v>
      </c>
      <c r="W13725" t="s">
        <v>41230</v>
      </c>
      <c r="X13725" t="s">
        <v>44782</v>
      </c>
    </row>
    <row r="13726" spans="1:24">
      <c r="A13726">
        <f>HYPERLINK("https://www.philgeps.gov.ph/GEPSNONPILOT/Tender/SplashBidNoticeAbstractUI.aspx?menuIndex=3&amp;refID=7112308&amp;Result=3","7112308")</f>
        <v>0</v>
      </c>
      <c r="B13726" t="s">
        <v>3668</v>
      </c>
      <c r="C13726" t="s">
        <v>16835</v>
      </c>
      <c r="E13726" t="s">
        <v>29895</v>
      </c>
      <c r="F13726" t="s">
        <v>30900</v>
      </c>
      <c r="G13726" t="s">
        <v>30907</v>
      </c>
      <c r="H13726" t="s">
        <v>30917</v>
      </c>
      <c r="I13726" t="s">
        <v>17295</v>
      </c>
      <c r="J13726" t="s">
        <v>39572</v>
      </c>
      <c r="K13726" t="s">
        <v>40334</v>
      </c>
      <c r="M13726" t="s">
        <v>44616</v>
      </c>
      <c r="N13726" t="s">
        <v>44759</v>
      </c>
      <c r="O13726" t="s">
        <v>44760</v>
      </c>
      <c r="P13726">
        <v>0</v>
      </c>
      <c r="Q13726">
        <v>0</v>
      </c>
      <c r="R13726" t="s">
        <v>44781</v>
      </c>
      <c r="S13726" t="s">
        <v>45758</v>
      </c>
      <c r="T13726" t="s">
        <v>46625</v>
      </c>
      <c r="U13726" t="s">
        <v>58187</v>
      </c>
      <c r="W13726" t="s">
        <v>44616</v>
      </c>
      <c r="X13726" t="s">
        <v>44782</v>
      </c>
    </row>
    <row r="13727" spans="1:24">
      <c r="A13727">
        <f>HYPERLINK("https://www.philgeps.gov.ph/GEPSNONPILOT/Tender/SplashBidNoticeAbstractUI.aspx?menuIndex=3&amp;refID=7112085&amp;Result=3","7112085")</f>
        <v>0</v>
      </c>
      <c r="B13727" t="s">
        <v>934</v>
      </c>
      <c r="C13727" t="s">
        <v>16836</v>
      </c>
      <c r="D13727" t="s">
        <v>17984</v>
      </c>
      <c r="E13727" t="s">
        <v>22431</v>
      </c>
      <c r="F13727" t="s">
        <v>30900</v>
      </c>
      <c r="G13727" t="s">
        <v>30907</v>
      </c>
      <c r="H13727" t="s">
        <v>30915</v>
      </c>
      <c r="I13727" t="s">
        <v>30919</v>
      </c>
      <c r="J13727" t="s">
        <v>39573</v>
      </c>
      <c r="K13727" t="s">
        <v>40315</v>
      </c>
      <c r="M13727" t="s">
        <v>41517</v>
      </c>
      <c r="N13727" t="s">
        <v>44759</v>
      </c>
      <c r="O13727" t="s">
        <v>44760</v>
      </c>
      <c r="P13727">
        <v>0</v>
      </c>
      <c r="Q13727">
        <v>1</v>
      </c>
      <c r="R13727" t="s">
        <v>44781</v>
      </c>
      <c r="S13727" t="s">
        <v>45758</v>
      </c>
      <c r="T13727" t="s">
        <v>46531</v>
      </c>
      <c r="U13727" t="s">
        <v>58188</v>
      </c>
      <c r="W13727" t="s">
        <v>41517</v>
      </c>
      <c r="X13727" t="s">
        <v>44782</v>
      </c>
    </row>
    <row r="13728" spans="1:24">
      <c r="A13728">
        <f>HYPERLINK("https://www.philgeps.gov.ph/GEPSNONPILOT/Tender/SplashBidNoticeAbstractUI.aspx?menuIndex=3&amp;refID=7112216&amp;Result=3","7112216")</f>
        <v>0</v>
      </c>
      <c r="B13728" t="s">
        <v>934</v>
      </c>
      <c r="C13728" t="s">
        <v>16837</v>
      </c>
      <c r="D13728" t="s">
        <v>17984</v>
      </c>
      <c r="E13728" t="s">
        <v>19055</v>
      </c>
      <c r="F13728" t="s">
        <v>30900</v>
      </c>
      <c r="G13728" t="s">
        <v>30907</v>
      </c>
      <c r="H13728" t="s">
        <v>30915</v>
      </c>
      <c r="I13728" t="s">
        <v>30919</v>
      </c>
      <c r="J13728" t="s">
        <v>39574</v>
      </c>
      <c r="K13728" t="s">
        <v>40552</v>
      </c>
      <c r="M13728" t="s">
        <v>41517</v>
      </c>
      <c r="N13728" t="s">
        <v>44759</v>
      </c>
      <c r="O13728" t="s">
        <v>44760</v>
      </c>
      <c r="P13728">
        <v>0</v>
      </c>
      <c r="Q13728">
        <v>1</v>
      </c>
      <c r="R13728" t="s">
        <v>44781</v>
      </c>
      <c r="S13728" t="s">
        <v>45758</v>
      </c>
      <c r="T13728" t="s">
        <v>46531</v>
      </c>
      <c r="U13728" t="s">
        <v>58189</v>
      </c>
      <c r="W13728" t="s">
        <v>41517</v>
      </c>
      <c r="X13728" t="s">
        <v>44782</v>
      </c>
    </row>
    <row r="13729" spans="1:24">
      <c r="A13729">
        <f>HYPERLINK("https://www.philgeps.gov.ph/GEPSNONPILOT/Tender/SplashBidNoticeAbstractUI.aspx?menuIndex=3&amp;refID=7112232&amp;Result=3","7112232")</f>
        <v>0</v>
      </c>
      <c r="B13729" t="s">
        <v>839</v>
      </c>
      <c r="C13729" t="s">
        <v>16838</v>
      </c>
      <c r="E13729" t="s">
        <v>29896</v>
      </c>
      <c r="F13729" t="s">
        <v>30900</v>
      </c>
      <c r="G13729" t="s">
        <v>30907</v>
      </c>
      <c r="H13729" t="s">
        <v>30916</v>
      </c>
      <c r="I13729" t="s">
        <v>30923</v>
      </c>
      <c r="J13729" t="s">
        <v>39575</v>
      </c>
      <c r="K13729" t="s">
        <v>40289</v>
      </c>
      <c r="M13729" t="s">
        <v>44161</v>
      </c>
      <c r="N13729" t="s">
        <v>44759</v>
      </c>
      <c r="O13729" t="s">
        <v>44760</v>
      </c>
      <c r="Q13729">
        <v>56</v>
      </c>
      <c r="R13729" t="s">
        <v>44781</v>
      </c>
      <c r="S13729" t="s">
        <v>45809</v>
      </c>
      <c r="T13729" t="s">
        <v>46403</v>
      </c>
      <c r="U13729" t="s">
        <v>58190</v>
      </c>
      <c r="W13729" t="s">
        <v>44161</v>
      </c>
      <c r="X13729" t="s">
        <v>44782</v>
      </c>
    </row>
    <row r="13730" spans="1:24">
      <c r="A13730">
        <f>HYPERLINK("https://www.philgeps.gov.ph/GEPSNONPILOT/Tender/SplashBidNoticeAbstractUI.aspx?menuIndex=3&amp;refID=7112352&amp;Result=3","7112352")</f>
        <v>0</v>
      </c>
      <c r="B13730" t="s">
        <v>81</v>
      </c>
      <c r="C13730" t="s">
        <v>16839</v>
      </c>
      <c r="D13730" t="s">
        <v>17959</v>
      </c>
      <c r="E13730" t="s">
        <v>29897</v>
      </c>
      <c r="F13730" t="s">
        <v>30900</v>
      </c>
      <c r="G13730" t="s">
        <v>30907</v>
      </c>
      <c r="H13730" t="s">
        <v>30916</v>
      </c>
      <c r="I13730" t="s">
        <v>4108</v>
      </c>
      <c r="J13730" t="s">
        <v>39576</v>
      </c>
      <c r="K13730" t="s">
        <v>40289</v>
      </c>
      <c r="M13730" t="s">
        <v>41346</v>
      </c>
      <c r="N13730" t="s">
        <v>44759</v>
      </c>
      <c r="O13730" t="s">
        <v>44760</v>
      </c>
      <c r="Q13730">
        <v>0</v>
      </c>
      <c r="R13730" t="s">
        <v>44781</v>
      </c>
      <c r="S13730" t="s">
        <v>45810</v>
      </c>
      <c r="T13730" t="s">
        <v>46581</v>
      </c>
      <c r="U13730" t="s">
        <v>58191</v>
      </c>
      <c r="W13730" t="s">
        <v>41346</v>
      </c>
      <c r="X13730" t="s">
        <v>44782</v>
      </c>
    </row>
    <row r="13731" spans="1:24">
      <c r="A13731">
        <f>HYPERLINK("https://www.philgeps.gov.ph/GEPSNONPILOT/Tender/SplashBidNoticeAbstractUI.aspx?menuIndex=3&amp;refID=7112478&amp;Result=3","7112478")</f>
        <v>0</v>
      </c>
      <c r="B13731" t="s">
        <v>2535</v>
      </c>
      <c r="C13731" t="s">
        <v>16840</v>
      </c>
      <c r="D13731" t="s">
        <v>17959</v>
      </c>
      <c r="E13731" t="s">
        <v>29898</v>
      </c>
      <c r="F13731" t="s">
        <v>30900</v>
      </c>
      <c r="G13731" t="s">
        <v>30907</v>
      </c>
      <c r="H13731" t="s">
        <v>30916</v>
      </c>
      <c r="I13731" t="s">
        <v>30924</v>
      </c>
      <c r="J13731" t="s">
        <v>39577</v>
      </c>
      <c r="K13731" t="s">
        <v>40289</v>
      </c>
      <c r="M13731" t="s">
        <v>43291</v>
      </c>
      <c r="N13731" t="s">
        <v>44759</v>
      </c>
      <c r="O13731" t="s">
        <v>44760</v>
      </c>
      <c r="Q13731">
        <v>37</v>
      </c>
      <c r="R13731" t="s">
        <v>44781</v>
      </c>
      <c r="S13731" t="s">
        <v>44916</v>
      </c>
      <c r="T13731" t="s">
        <v>46533</v>
      </c>
      <c r="U13731" t="s">
        <v>58192</v>
      </c>
      <c r="V13731" t="s">
        <v>60676</v>
      </c>
      <c r="W13731" t="s">
        <v>43291</v>
      </c>
      <c r="X13731" t="s">
        <v>44782</v>
      </c>
    </row>
    <row r="13732" spans="1:24">
      <c r="A13732">
        <f>HYPERLINK("https://www.philgeps.gov.ph/GEPSNONPILOT/Tender/SplashBidNoticeAbstractUI.aspx?menuIndex=3&amp;refID=7112473&amp;Result=3","7112473")</f>
        <v>0</v>
      </c>
      <c r="B13732" t="s">
        <v>3661</v>
      </c>
      <c r="C13732" t="s">
        <v>16841</v>
      </c>
      <c r="D13732" t="s">
        <v>17985</v>
      </c>
      <c r="E13732" t="s">
        <v>29899</v>
      </c>
      <c r="F13732" t="s">
        <v>30900</v>
      </c>
      <c r="G13732" t="s">
        <v>30907</v>
      </c>
      <c r="H13732" t="s">
        <v>30915</v>
      </c>
      <c r="I13732" t="s">
        <v>30919</v>
      </c>
      <c r="J13732" t="s">
        <v>31152</v>
      </c>
      <c r="K13732" t="s">
        <v>40378</v>
      </c>
      <c r="M13732" t="s">
        <v>44609</v>
      </c>
      <c r="N13732" t="s">
        <v>44759</v>
      </c>
      <c r="O13732" t="s">
        <v>44760</v>
      </c>
      <c r="Q13732">
        <v>1</v>
      </c>
      <c r="R13732" t="s">
        <v>44781</v>
      </c>
      <c r="S13732" t="s">
        <v>45811</v>
      </c>
      <c r="T13732" t="s">
        <v>46757</v>
      </c>
      <c r="U13732" t="s">
        <v>58193</v>
      </c>
      <c r="V13732" t="s">
        <v>60662</v>
      </c>
      <c r="W13732" t="s">
        <v>44609</v>
      </c>
      <c r="X13732" t="s">
        <v>44782</v>
      </c>
    </row>
    <row r="13733" spans="1:24">
      <c r="A13733">
        <f>HYPERLINK("https://www.philgeps.gov.ph/GEPSNONPILOT/Tender/SplashBidNoticeAbstractUI.aspx?menuIndex=3&amp;refID=7112475&amp;Result=3","7112475")</f>
        <v>0</v>
      </c>
      <c r="B13733" t="s">
        <v>2091</v>
      </c>
      <c r="C13733" t="s">
        <v>16842</v>
      </c>
      <c r="D13733" t="s">
        <v>17952</v>
      </c>
      <c r="E13733" t="s">
        <v>29900</v>
      </c>
      <c r="F13733" t="s">
        <v>30900</v>
      </c>
      <c r="G13733" t="s">
        <v>30907</v>
      </c>
      <c r="H13733" t="s">
        <v>30916</v>
      </c>
      <c r="I13733" t="s">
        <v>30993</v>
      </c>
      <c r="J13733" t="s">
        <v>39578</v>
      </c>
      <c r="K13733" t="s">
        <v>40289</v>
      </c>
      <c r="M13733" t="s">
        <v>42790</v>
      </c>
      <c r="N13733" t="s">
        <v>44759</v>
      </c>
      <c r="O13733" t="s">
        <v>44760</v>
      </c>
      <c r="Q13733">
        <v>7</v>
      </c>
      <c r="R13733" t="s">
        <v>44781</v>
      </c>
      <c r="S13733" t="s">
        <v>45812</v>
      </c>
      <c r="T13733" t="s">
        <v>46658</v>
      </c>
      <c r="U13733" t="s">
        <v>58194</v>
      </c>
      <c r="W13733" t="s">
        <v>42790</v>
      </c>
      <c r="X13733" t="s">
        <v>44782</v>
      </c>
    </row>
    <row r="13734" spans="1:24">
      <c r="A13734">
        <f>HYPERLINK("https://www.philgeps.gov.ph/GEPSNONPILOT/Tender/SplashBidNoticeAbstractUI.aspx?menuIndex=3&amp;refID=7112464&amp;Result=3","7112464")</f>
        <v>0</v>
      </c>
      <c r="B13734" t="s">
        <v>2246</v>
      </c>
      <c r="C13734" t="s">
        <v>16843</v>
      </c>
      <c r="D13734" t="s">
        <v>17980</v>
      </c>
      <c r="E13734" t="s">
        <v>20050</v>
      </c>
      <c r="F13734" t="s">
        <v>30899</v>
      </c>
      <c r="G13734" t="s">
        <v>30907</v>
      </c>
      <c r="H13734" t="s">
        <v>30916</v>
      </c>
      <c r="I13734" t="s">
        <v>30923</v>
      </c>
      <c r="J13734" t="s">
        <v>39579</v>
      </c>
      <c r="K13734" t="s">
        <v>40287</v>
      </c>
      <c r="M13734" t="s">
        <v>42957</v>
      </c>
      <c r="N13734" t="s">
        <v>44759</v>
      </c>
      <c r="O13734" t="s">
        <v>44760</v>
      </c>
      <c r="P13734">
        <v>0</v>
      </c>
      <c r="Q13734">
        <v>2</v>
      </c>
      <c r="R13734" t="s">
        <v>44781</v>
      </c>
      <c r="S13734" t="s">
        <v>45758</v>
      </c>
      <c r="T13734" t="s">
        <v>46533</v>
      </c>
      <c r="U13734" t="s">
        <v>58195</v>
      </c>
      <c r="V13734" t="s">
        <v>60677</v>
      </c>
      <c r="W13734" t="s">
        <v>42957</v>
      </c>
      <c r="X13734" t="s">
        <v>44782</v>
      </c>
    </row>
    <row r="13735" spans="1:24">
      <c r="A13735">
        <f>HYPERLINK("https://www.philgeps.gov.ph/GEPSNONPILOT/Tender/SplashBidNoticeAbstractUI.aspx?menuIndex=3&amp;refID=7112452&amp;Result=3","7112452")</f>
        <v>0</v>
      </c>
      <c r="B13735" t="s">
        <v>2535</v>
      </c>
      <c r="C13735" t="s">
        <v>16844</v>
      </c>
      <c r="D13735" t="s">
        <v>17959</v>
      </c>
      <c r="E13735" t="s">
        <v>29901</v>
      </c>
      <c r="F13735" t="s">
        <v>30900</v>
      </c>
      <c r="G13735" t="s">
        <v>30907</v>
      </c>
      <c r="H13735" t="s">
        <v>30916</v>
      </c>
      <c r="I13735" t="s">
        <v>30981</v>
      </c>
      <c r="J13735" t="s">
        <v>39580</v>
      </c>
      <c r="K13735" t="s">
        <v>40289</v>
      </c>
      <c r="M13735" t="s">
        <v>43291</v>
      </c>
      <c r="N13735" t="s">
        <v>44759</v>
      </c>
      <c r="O13735" t="s">
        <v>44760</v>
      </c>
      <c r="Q13735">
        <v>7</v>
      </c>
      <c r="R13735" t="s">
        <v>44781</v>
      </c>
      <c r="S13735" t="s">
        <v>45813</v>
      </c>
      <c r="T13735" t="s">
        <v>46533</v>
      </c>
      <c r="U13735" t="s">
        <v>58196</v>
      </c>
      <c r="V13735" t="s">
        <v>59925</v>
      </c>
      <c r="W13735" t="s">
        <v>43291</v>
      </c>
      <c r="X13735" t="s">
        <v>44782</v>
      </c>
    </row>
    <row r="13736" spans="1:24">
      <c r="A13736">
        <f>HYPERLINK("https://www.philgeps.gov.ph/GEPSNONPILOT/Tender/SplashBidNoticeAbstractUI.aspx?menuIndex=3&amp;refID=7112468&amp;Result=3","7112468")</f>
        <v>0</v>
      </c>
      <c r="B13736" t="s">
        <v>3657</v>
      </c>
      <c r="C13736" t="s">
        <v>16845</v>
      </c>
      <c r="D13736" t="s">
        <v>18000</v>
      </c>
      <c r="E13736" t="s">
        <v>23683</v>
      </c>
      <c r="F13736" t="s">
        <v>30900</v>
      </c>
      <c r="G13736" t="s">
        <v>30907</v>
      </c>
      <c r="H13736" t="s">
        <v>30915</v>
      </c>
      <c r="I13736" t="s">
        <v>30919</v>
      </c>
      <c r="J13736" t="s">
        <v>31426</v>
      </c>
      <c r="K13736" t="s">
        <v>40280</v>
      </c>
      <c r="M13736" t="s">
        <v>44602</v>
      </c>
      <c r="N13736" t="s">
        <v>44759</v>
      </c>
      <c r="O13736" t="s">
        <v>44760</v>
      </c>
      <c r="P13736">
        <v>0</v>
      </c>
      <c r="Q13736">
        <v>2</v>
      </c>
      <c r="R13736" t="s">
        <v>44781</v>
      </c>
      <c r="S13736" t="s">
        <v>45758</v>
      </c>
      <c r="T13736" t="s">
        <v>46625</v>
      </c>
      <c r="U13736" t="s">
        <v>58095</v>
      </c>
      <c r="W13736" t="s">
        <v>44602</v>
      </c>
      <c r="X13736" t="s">
        <v>44782</v>
      </c>
    </row>
    <row r="13737" spans="1:24">
      <c r="A13737">
        <f>HYPERLINK("https://www.philgeps.gov.ph/GEPSNONPILOT/Tender/SplashBidNoticeAbstractUI.aspx?menuIndex=3&amp;refID=7112465&amp;Result=3","7112465")</f>
        <v>0</v>
      </c>
      <c r="B13737" t="s">
        <v>2535</v>
      </c>
      <c r="C13737" t="s">
        <v>16846</v>
      </c>
      <c r="D13737" t="s">
        <v>17959</v>
      </c>
      <c r="E13737" t="s">
        <v>29902</v>
      </c>
      <c r="F13737" t="s">
        <v>30900</v>
      </c>
      <c r="G13737" t="s">
        <v>30907</v>
      </c>
      <c r="H13737" t="s">
        <v>30916</v>
      </c>
      <c r="I13737" t="s">
        <v>30924</v>
      </c>
      <c r="J13737" t="s">
        <v>39581</v>
      </c>
      <c r="K13737" t="s">
        <v>40289</v>
      </c>
      <c r="M13737" t="s">
        <v>43291</v>
      </c>
      <c r="N13737" t="s">
        <v>44759</v>
      </c>
      <c r="O13737" t="s">
        <v>44760</v>
      </c>
      <c r="Q13737">
        <v>19</v>
      </c>
      <c r="R13737" t="s">
        <v>44781</v>
      </c>
      <c r="S13737" t="s">
        <v>45281</v>
      </c>
      <c r="T13737" t="s">
        <v>46533</v>
      </c>
      <c r="U13737" t="s">
        <v>58197</v>
      </c>
      <c r="V13737" t="s">
        <v>59925</v>
      </c>
      <c r="W13737" t="s">
        <v>43291</v>
      </c>
      <c r="X13737" t="s">
        <v>44782</v>
      </c>
    </row>
    <row r="13738" spans="1:24">
      <c r="A13738">
        <f>HYPERLINK("https://www.philgeps.gov.ph/GEPSNONPILOT/Tender/SplashBidNoticeAbstractUI.aspx?menuIndex=3&amp;refID=7112447&amp;Result=3","7112447")</f>
        <v>0</v>
      </c>
      <c r="B13738" t="s">
        <v>1901</v>
      </c>
      <c r="C13738" t="s">
        <v>16847</v>
      </c>
      <c r="D13738" t="s">
        <v>17984</v>
      </c>
      <c r="E13738" t="s">
        <v>18909</v>
      </c>
      <c r="F13738" t="s">
        <v>30900</v>
      </c>
      <c r="G13738" t="s">
        <v>30907</v>
      </c>
      <c r="H13738" t="s">
        <v>30916</v>
      </c>
      <c r="I13738" t="s">
        <v>30932</v>
      </c>
      <c r="J13738" t="s">
        <v>39582</v>
      </c>
      <c r="K13738" t="s">
        <v>40286</v>
      </c>
      <c r="M13738" t="s">
        <v>42578</v>
      </c>
      <c r="N13738" t="s">
        <v>44759</v>
      </c>
      <c r="O13738" t="s">
        <v>44760</v>
      </c>
      <c r="P13738">
        <v>0</v>
      </c>
      <c r="Q13738">
        <v>2</v>
      </c>
      <c r="R13738" t="s">
        <v>44781</v>
      </c>
      <c r="S13738" t="s">
        <v>45758</v>
      </c>
      <c r="T13738" t="s">
        <v>46581</v>
      </c>
      <c r="U13738" t="s">
        <v>58198</v>
      </c>
      <c r="W13738" t="s">
        <v>42578</v>
      </c>
      <c r="X13738" t="s">
        <v>44782</v>
      </c>
    </row>
    <row r="13739" spans="1:24">
      <c r="A13739">
        <f>HYPERLINK("https://www.philgeps.gov.ph/GEPSNONPILOT/Tender/SplashBidNoticeAbstractUI.aspx?menuIndex=3&amp;refID=7112180&amp;Result=3","7112180")</f>
        <v>0</v>
      </c>
      <c r="B13739" t="s">
        <v>3669</v>
      </c>
      <c r="C13739" t="s">
        <v>16848</v>
      </c>
      <c r="D13739" t="s">
        <v>18033</v>
      </c>
      <c r="E13739" t="s">
        <v>29903</v>
      </c>
      <c r="F13739" t="s">
        <v>30900</v>
      </c>
      <c r="G13739" t="s">
        <v>30907</v>
      </c>
      <c r="H13739" t="s">
        <v>30916</v>
      </c>
      <c r="I13739" t="s">
        <v>4545</v>
      </c>
      <c r="J13739" t="s">
        <v>39583</v>
      </c>
      <c r="K13739" t="s">
        <v>40283</v>
      </c>
      <c r="M13739" t="s">
        <v>44617</v>
      </c>
      <c r="N13739" t="s">
        <v>44759</v>
      </c>
      <c r="O13739" t="s">
        <v>44760</v>
      </c>
      <c r="P13739">
        <v>0</v>
      </c>
      <c r="Q13739">
        <v>6</v>
      </c>
      <c r="R13739" t="s">
        <v>44781</v>
      </c>
      <c r="S13739" t="s">
        <v>45758</v>
      </c>
      <c r="T13739" t="s">
        <v>46581</v>
      </c>
      <c r="U13739" t="s">
        <v>58199</v>
      </c>
      <c r="W13739" t="s">
        <v>44617</v>
      </c>
      <c r="X13739" t="s">
        <v>44782</v>
      </c>
    </row>
    <row r="13740" spans="1:24">
      <c r="A13740">
        <f>HYPERLINK("https://www.philgeps.gov.ph/GEPSNONPILOT/Tender/SplashBidNoticeAbstractUI.aspx?menuIndex=3&amp;refID=7112404&amp;Result=3","7112404")</f>
        <v>0</v>
      </c>
      <c r="B13740" t="s">
        <v>934</v>
      </c>
      <c r="C13740" t="s">
        <v>16849</v>
      </c>
      <c r="D13740" t="s">
        <v>17984</v>
      </c>
      <c r="E13740" t="s">
        <v>21687</v>
      </c>
      <c r="F13740" t="s">
        <v>30900</v>
      </c>
      <c r="G13740" t="s">
        <v>30907</v>
      </c>
      <c r="H13740" t="s">
        <v>30915</v>
      </c>
      <c r="I13740" t="s">
        <v>30919</v>
      </c>
      <c r="J13740" t="s">
        <v>39584</v>
      </c>
      <c r="K13740" t="s">
        <v>40546</v>
      </c>
      <c r="M13740" t="s">
        <v>41517</v>
      </c>
      <c r="N13740" t="s">
        <v>44759</v>
      </c>
      <c r="O13740" t="s">
        <v>44760</v>
      </c>
      <c r="P13740">
        <v>0</v>
      </c>
      <c r="Q13740">
        <v>1</v>
      </c>
      <c r="R13740" t="s">
        <v>44781</v>
      </c>
      <c r="S13740" t="s">
        <v>45758</v>
      </c>
      <c r="T13740" t="s">
        <v>46531</v>
      </c>
      <c r="U13740" t="s">
        <v>58200</v>
      </c>
      <c r="W13740" t="s">
        <v>41517</v>
      </c>
      <c r="X13740" t="s">
        <v>44782</v>
      </c>
    </row>
    <row r="13741" spans="1:24">
      <c r="A13741">
        <f>HYPERLINK("https://www.philgeps.gov.ph/GEPSNONPILOT/Tender/SplashBidNoticeAbstractUI.aspx?menuIndex=3&amp;refID=7112425&amp;Result=3","7112425")</f>
        <v>0</v>
      </c>
      <c r="B13741" t="s">
        <v>864</v>
      </c>
      <c r="C13741" t="s">
        <v>16850</v>
      </c>
      <c r="D13741" t="s">
        <v>18025</v>
      </c>
      <c r="E13741" t="s">
        <v>29904</v>
      </c>
      <c r="F13741" t="s">
        <v>30900</v>
      </c>
      <c r="G13741" t="s">
        <v>30907</v>
      </c>
      <c r="H13741" t="s">
        <v>30916</v>
      </c>
      <c r="I13741" t="s">
        <v>9385</v>
      </c>
      <c r="J13741" t="s">
        <v>36461</v>
      </c>
      <c r="K13741" t="s">
        <v>40301</v>
      </c>
      <c r="M13741" t="s">
        <v>41437</v>
      </c>
      <c r="N13741" t="s">
        <v>44759</v>
      </c>
      <c r="O13741" t="s">
        <v>44760</v>
      </c>
      <c r="Q13741">
        <v>39</v>
      </c>
      <c r="R13741" t="s">
        <v>44781</v>
      </c>
      <c r="S13741" t="s">
        <v>45814</v>
      </c>
      <c r="T13741" t="s">
        <v>46658</v>
      </c>
      <c r="U13741" t="s">
        <v>58201</v>
      </c>
      <c r="V13741" t="s">
        <v>59116</v>
      </c>
      <c r="W13741" t="s">
        <v>41437</v>
      </c>
      <c r="X13741" t="s">
        <v>44782</v>
      </c>
    </row>
    <row r="13742" spans="1:24">
      <c r="A13742">
        <f>HYPERLINK("https://www.philgeps.gov.ph/GEPSNONPILOT/Tender/SplashBidNoticeAbstractUI.aspx?menuIndex=3&amp;refID=7112440&amp;Result=3","7112440")</f>
        <v>0</v>
      </c>
      <c r="B13742" t="s">
        <v>1160</v>
      </c>
      <c r="C13742" t="s">
        <v>16851</v>
      </c>
      <c r="D13742" t="s">
        <v>17996</v>
      </c>
      <c r="E13742" t="s">
        <v>29905</v>
      </c>
      <c r="F13742" t="s">
        <v>30900</v>
      </c>
      <c r="G13742" t="s">
        <v>30907</v>
      </c>
      <c r="H13742" t="s">
        <v>30916</v>
      </c>
      <c r="I13742" t="s">
        <v>30933</v>
      </c>
      <c r="J13742" t="s">
        <v>31094</v>
      </c>
      <c r="K13742" t="s">
        <v>40283</v>
      </c>
      <c r="M13742" t="s">
        <v>41768</v>
      </c>
      <c r="N13742" t="s">
        <v>44759</v>
      </c>
      <c r="O13742" t="s">
        <v>44760</v>
      </c>
      <c r="Q13742">
        <v>4</v>
      </c>
      <c r="R13742" t="s">
        <v>44781</v>
      </c>
      <c r="S13742" t="s">
        <v>45815</v>
      </c>
      <c r="T13742" t="s">
        <v>46357</v>
      </c>
      <c r="U13742" t="s">
        <v>58202</v>
      </c>
      <c r="W13742" t="s">
        <v>41768</v>
      </c>
      <c r="X13742" t="s">
        <v>44782</v>
      </c>
    </row>
    <row r="13743" spans="1:24">
      <c r="A13743">
        <f>HYPERLINK("https://www.philgeps.gov.ph/GEPSNONPILOT/Tender/SplashBidNoticeAbstractUI.aspx?menuIndex=3&amp;refID=7112283&amp;Result=3","7112283")</f>
        <v>0</v>
      </c>
      <c r="B13743" t="s">
        <v>3362</v>
      </c>
      <c r="C13743" t="s">
        <v>16852</v>
      </c>
      <c r="D13743" t="s">
        <v>18025</v>
      </c>
      <c r="E13743" t="s">
        <v>29906</v>
      </c>
      <c r="F13743" t="s">
        <v>30900</v>
      </c>
      <c r="G13743" t="s">
        <v>30907</v>
      </c>
      <c r="H13743" t="s">
        <v>30915</v>
      </c>
      <c r="I13743" t="s">
        <v>30919</v>
      </c>
      <c r="J13743" t="s">
        <v>31152</v>
      </c>
      <c r="K13743" t="s">
        <v>40538</v>
      </c>
      <c r="M13743" t="s">
        <v>44231</v>
      </c>
      <c r="N13743" t="s">
        <v>44759</v>
      </c>
      <c r="O13743" t="s">
        <v>44760</v>
      </c>
      <c r="P13743">
        <v>0</v>
      </c>
      <c r="Q13743">
        <v>11</v>
      </c>
      <c r="R13743" t="s">
        <v>44781</v>
      </c>
      <c r="S13743" t="s">
        <v>45758</v>
      </c>
      <c r="T13743" t="s">
        <v>46533</v>
      </c>
      <c r="U13743" t="s">
        <v>56418</v>
      </c>
      <c r="W13743" t="s">
        <v>44231</v>
      </c>
      <c r="X13743" t="s">
        <v>44782</v>
      </c>
    </row>
    <row r="13744" spans="1:24">
      <c r="A13744">
        <f>HYPERLINK("https://www.philgeps.gov.ph/GEPSNONPILOT/Tender/SplashBidNoticeAbstractUI.aspx?menuIndex=3&amp;refID=7112658&amp;Result=3","7112658")</f>
        <v>0</v>
      </c>
      <c r="B13744" t="s">
        <v>701</v>
      </c>
      <c r="C13744" t="s">
        <v>16853</v>
      </c>
      <c r="D13744" t="s">
        <v>17978</v>
      </c>
      <c r="E13744" t="s">
        <v>29907</v>
      </c>
      <c r="F13744" t="s">
        <v>30900</v>
      </c>
      <c r="G13744" t="s">
        <v>30907</v>
      </c>
      <c r="H13744" t="s">
        <v>30916</v>
      </c>
      <c r="I13744" t="s">
        <v>30933</v>
      </c>
      <c r="J13744" t="s">
        <v>39585</v>
      </c>
      <c r="K13744" t="s">
        <v>40280</v>
      </c>
      <c r="M13744" t="s">
        <v>41265</v>
      </c>
      <c r="N13744" t="s">
        <v>44759</v>
      </c>
      <c r="O13744" t="s">
        <v>44760</v>
      </c>
      <c r="P13744">
        <v>0</v>
      </c>
      <c r="Q13744">
        <v>4</v>
      </c>
      <c r="R13744" t="s">
        <v>44781</v>
      </c>
      <c r="S13744" t="s">
        <v>45758</v>
      </c>
      <c r="T13744" t="s">
        <v>46359</v>
      </c>
      <c r="U13744" t="s">
        <v>58203</v>
      </c>
      <c r="W13744" t="s">
        <v>41265</v>
      </c>
      <c r="X13744" t="s">
        <v>44782</v>
      </c>
    </row>
    <row r="13745" spans="1:24">
      <c r="A13745">
        <f>HYPERLINK("https://www.philgeps.gov.ph/GEPSNONPILOT/Tender/SplashBidNoticeAbstractUI.aspx?menuIndex=3&amp;refID=7112702&amp;Result=3","7112702")</f>
        <v>0</v>
      </c>
      <c r="B13745" t="s">
        <v>3670</v>
      </c>
      <c r="C13745" t="s">
        <v>16854</v>
      </c>
      <c r="D13745" t="s">
        <v>18006</v>
      </c>
      <c r="E13745" t="s">
        <v>18094</v>
      </c>
      <c r="F13745" t="s">
        <v>30900</v>
      </c>
      <c r="G13745" t="s">
        <v>30907</v>
      </c>
      <c r="H13745" t="s">
        <v>30915</v>
      </c>
      <c r="I13745" t="s">
        <v>30948</v>
      </c>
      <c r="J13745" t="s">
        <v>39586</v>
      </c>
      <c r="K13745" t="s">
        <v>40290</v>
      </c>
      <c r="M13745" t="s">
        <v>44618</v>
      </c>
      <c r="N13745" t="s">
        <v>44759</v>
      </c>
      <c r="O13745" t="s">
        <v>44760</v>
      </c>
      <c r="Q13745">
        <v>5</v>
      </c>
      <c r="R13745" t="s">
        <v>44781</v>
      </c>
      <c r="S13745" t="s">
        <v>45816</v>
      </c>
      <c r="T13745" t="s">
        <v>46390</v>
      </c>
      <c r="U13745" t="s">
        <v>58204</v>
      </c>
      <c r="W13745" t="s">
        <v>44618</v>
      </c>
      <c r="X13745" t="s">
        <v>44782</v>
      </c>
    </row>
    <row r="13746" spans="1:24">
      <c r="A13746">
        <f>HYPERLINK("https://www.philgeps.gov.ph/GEPSNONPILOT/Tender/SplashBidNoticeAbstractUI.aspx?menuIndex=3&amp;refID=7112646&amp;Result=3","7112646")</f>
        <v>0</v>
      </c>
      <c r="B13746" t="s">
        <v>1153</v>
      </c>
      <c r="C13746" t="s">
        <v>16855</v>
      </c>
      <c r="E13746" t="s">
        <v>29908</v>
      </c>
      <c r="F13746" t="s">
        <v>30900</v>
      </c>
      <c r="G13746" t="s">
        <v>30907</v>
      </c>
      <c r="H13746" t="s">
        <v>30916</v>
      </c>
      <c r="I13746" t="s">
        <v>9385</v>
      </c>
      <c r="J13746" t="s">
        <v>39587</v>
      </c>
      <c r="K13746" t="s">
        <v>40289</v>
      </c>
      <c r="M13746" t="s">
        <v>43035</v>
      </c>
      <c r="N13746" t="s">
        <v>44759</v>
      </c>
      <c r="O13746" t="s">
        <v>44760</v>
      </c>
      <c r="Q13746">
        <v>11</v>
      </c>
      <c r="R13746" t="s">
        <v>44781</v>
      </c>
      <c r="S13746" t="s">
        <v>45817</v>
      </c>
      <c r="T13746" t="s">
        <v>46612</v>
      </c>
      <c r="U13746" t="s">
        <v>52464</v>
      </c>
      <c r="W13746" t="s">
        <v>43035</v>
      </c>
      <c r="X13746" t="s">
        <v>44782</v>
      </c>
    </row>
    <row r="13747" spans="1:24">
      <c r="A13747">
        <f>HYPERLINK("https://www.philgeps.gov.ph/GEPSNONPILOT/Tender/SplashBidNoticeAbstractUI.aspx?menuIndex=3&amp;refID=7112443&amp;Result=3","7112443")</f>
        <v>0</v>
      </c>
      <c r="B13747" t="s">
        <v>2246</v>
      </c>
      <c r="C13747" t="s">
        <v>16856</v>
      </c>
      <c r="D13747" t="s">
        <v>17980</v>
      </c>
      <c r="E13747" t="s">
        <v>25062</v>
      </c>
      <c r="F13747" t="s">
        <v>30899</v>
      </c>
      <c r="G13747" t="s">
        <v>30907</v>
      </c>
      <c r="H13747" t="s">
        <v>30916</v>
      </c>
      <c r="I13747" t="s">
        <v>5501</v>
      </c>
      <c r="J13747" t="s">
        <v>39588</v>
      </c>
      <c r="K13747" t="s">
        <v>40287</v>
      </c>
      <c r="M13747" t="s">
        <v>42957</v>
      </c>
      <c r="N13747" t="s">
        <v>44759</v>
      </c>
      <c r="O13747" t="s">
        <v>44760</v>
      </c>
      <c r="P13747">
        <v>0</v>
      </c>
      <c r="Q13747">
        <v>2</v>
      </c>
      <c r="R13747" t="s">
        <v>44781</v>
      </c>
      <c r="S13747" t="s">
        <v>45758</v>
      </c>
      <c r="T13747" t="s">
        <v>46533</v>
      </c>
      <c r="U13747" t="s">
        <v>58205</v>
      </c>
      <c r="V13747" t="s">
        <v>60600</v>
      </c>
      <c r="W13747" t="s">
        <v>42957</v>
      </c>
      <c r="X13747" t="s">
        <v>44782</v>
      </c>
    </row>
    <row r="13748" spans="1:24">
      <c r="A13748">
        <f>HYPERLINK("https://www.philgeps.gov.ph/GEPSNONPILOT/Tender/SplashBidNoticeAbstractUI.aspx?menuIndex=3&amp;refID=7112651&amp;Result=3","7112651")</f>
        <v>0</v>
      </c>
      <c r="B13748" t="s">
        <v>322</v>
      </c>
      <c r="C13748" t="s">
        <v>16857</v>
      </c>
      <c r="D13748" t="s">
        <v>17959</v>
      </c>
      <c r="E13748" t="s">
        <v>29909</v>
      </c>
      <c r="F13748" t="s">
        <v>30900</v>
      </c>
      <c r="G13748" t="s">
        <v>30907</v>
      </c>
      <c r="H13748" t="s">
        <v>30916</v>
      </c>
      <c r="I13748" t="s">
        <v>30924</v>
      </c>
      <c r="J13748" t="s">
        <v>39589</v>
      </c>
      <c r="K13748" t="s">
        <v>40397</v>
      </c>
      <c r="M13748" t="s">
        <v>44619</v>
      </c>
      <c r="N13748" t="s">
        <v>44759</v>
      </c>
      <c r="O13748" t="s">
        <v>44760</v>
      </c>
      <c r="Q13748">
        <v>15</v>
      </c>
      <c r="R13748" t="s">
        <v>44781</v>
      </c>
      <c r="S13748" t="s">
        <v>45818</v>
      </c>
      <c r="T13748" t="s">
        <v>46548</v>
      </c>
      <c r="U13748" t="s">
        <v>58206</v>
      </c>
      <c r="W13748" t="s">
        <v>44619</v>
      </c>
      <c r="X13748" t="s">
        <v>44782</v>
      </c>
    </row>
    <row r="13749" spans="1:24">
      <c r="A13749">
        <f>HYPERLINK("https://www.philgeps.gov.ph/GEPSNONPILOT/Tender/SplashBidNoticeAbstractUI.aspx?menuIndex=3&amp;refID=7112606&amp;Result=3","7112606")</f>
        <v>0</v>
      </c>
      <c r="B13749" t="s">
        <v>2652</v>
      </c>
      <c r="C13749" t="s">
        <v>16858</v>
      </c>
      <c r="D13749" t="s">
        <v>17959</v>
      </c>
      <c r="E13749" t="s">
        <v>29910</v>
      </c>
      <c r="F13749" t="s">
        <v>30900</v>
      </c>
      <c r="G13749" t="s">
        <v>30907</v>
      </c>
      <c r="H13749" t="s">
        <v>30916</v>
      </c>
      <c r="I13749" t="s">
        <v>30918</v>
      </c>
      <c r="J13749" t="s">
        <v>34061</v>
      </c>
      <c r="K13749" t="s">
        <v>40287</v>
      </c>
      <c r="M13749" t="s">
        <v>44620</v>
      </c>
      <c r="N13749" t="s">
        <v>44759</v>
      </c>
      <c r="O13749" t="s">
        <v>44760</v>
      </c>
      <c r="P13749">
        <v>0</v>
      </c>
      <c r="Q13749">
        <v>15</v>
      </c>
      <c r="R13749" t="s">
        <v>44781</v>
      </c>
      <c r="S13749" t="s">
        <v>45758</v>
      </c>
      <c r="T13749" t="s">
        <v>46383</v>
      </c>
      <c r="U13749" t="s">
        <v>58207</v>
      </c>
      <c r="W13749" t="s">
        <v>44620</v>
      </c>
      <c r="X13749" t="s">
        <v>44782</v>
      </c>
    </row>
    <row r="13750" spans="1:24">
      <c r="A13750">
        <f>HYPERLINK("https://www.philgeps.gov.ph/GEPSNONPILOT/Tender/SplashBidNoticeAbstractUI.aspx?menuIndex=3&amp;refID=7112650&amp;Result=3","7112650")</f>
        <v>0</v>
      </c>
      <c r="B13750" t="s">
        <v>2652</v>
      </c>
      <c r="C13750" t="s">
        <v>16859</v>
      </c>
      <c r="D13750" t="s">
        <v>17959</v>
      </c>
      <c r="E13750" t="s">
        <v>29911</v>
      </c>
      <c r="F13750" t="s">
        <v>30900</v>
      </c>
      <c r="G13750" t="s">
        <v>30907</v>
      </c>
      <c r="H13750" t="s">
        <v>30916</v>
      </c>
      <c r="I13750" t="s">
        <v>30918</v>
      </c>
      <c r="J13750" t="s">
        <v>33379</v>
      </c>
      <c r="K13750" t="s">
        <v>40292</v>
      </c>
      <c r="M13750" t="s">
        <v>44620</v>
      </c>
      <c r="N13750" t="s">
        <v>44759</v>
      </c>
      <c r="O13750" t="s">
        <v>44760</v>
      </c>
      <c r="Q13750">
        <v>21</v>
      </c>
      <c r="R13750" t="s">
        <v>44781</v>
      </c>
      <c r="S13750" t="s">
        <v>45819</v>
      </c>
      <c r="T13750" t="s">
        <v>46383</v>
      </c>
      <c r="U13750" t="s">
        <v>58208</v>
      </c>
      <c r="W13750" t="s">
        <v>44620</v>
      </c>
      <c r="X13750" t="s">
        <v>44782</v>
      </c>
    </row>
    <row r="13751" spans="1:24">
      <c r="A13751">
        <f>HYPERLINK("https://www.philgeps.gov.ph/GEPSNONPILOT/Tender/SplashBidNoticeAbstractUI.aspx?menuIndex=3&amp;refID=7112683&amp;Result=3","7112683")</f>
        <v>0</v>
      </c>
      <c r="B13751" t="s">
        <v>3671</v>
      </c>
      <c r="C13751" t="s">
        <v>16860</v>
      </c>
      <c r="D13751" t="s">
        <v>17978</v>
      </c>
      <c r="E13751" t="s">
        <v>29912</v>
      </c>
      <c r="F13751" t="s">
        <v>30900</v>
      </c>
      <c r="G13751" t="s">
        <v>30907</v>
      </c>
      <c r="H13751" t="s">
        <v>30915</v>
      </c>
      <c r="I13751" t="s">
        <v>30919</v>
      </c>
      <c r="J13751" t="s">
        <v>31653</v>
      </c>
      <c r="K13751" t="s">
        <v>40428</v>
      </c>
      <c r="M13751" t="s">
        <v>44621</v>
      </c>
      <c r="N13751" t="s">
        <v>44759</v>
      </c>
      <c r="O13751" t="s">
        <v>44760</v>
      </c>
      <c r="Q13751">
        <v>8</v>
      </c>
      <c r="R13751" t="s">
        <v>44781</v>
      </c>
      <c r="S13751" t="s">
        <v>45820</v>
      </c>
      <c r="T13751" t="s">
        <v>46707</v>
      </c>
      <c r="U13751" t="s">
        <v>58209</v>
      </c>
      <c r="W13751" t="s">
        <v>44621</v>
      </c>
      <c r="X13751" t="s">
        <v>44782</v>
      </c>
    </row>
    <row r="13752" spans="1:24">
      <c r="A13752">
        <f>HYPERLINK("https://www.philgeps.gov.ph/GEPSNONPILOT/Tender/SplashBidNoticeAbstractUI.aspx?menuIndex=3&amp;refID=7112634&amp;Result=3","7112634")</f>
        <v>0</v>
      </c>
      <c r="B13752" t="s">
        <v>1027</v>
      </c>
      <c r="C13752" t="s">
        <v>16861</v>
      </c>
      <c r="D13752" t="s">
        <v>17973</v>
      </c>
      <c r="E13752" t="s">
        <v>29913</v>
      </c>
      <c r="F13752" t="s">
        <v>30900</v>
      </c>
      <c r="G13752" t="s">
        <v>30907</v>
      </c>
      <c r="H13752" t="s">
        <v>7411</v>
      </c>
      <c r="I13752" t="s">
        <v>7411</v>
      </c>
      <c r="J13752" t="s">
        <v>31069</v>
      </c>
      <c r="K13752" t="s">
        <v>40410</v>
      </c>
      <c r="M13752" t="s">
        <v>41618</v>
      </c>
      <c r="N13752" t="s">
        <v>44759</v>
      </c>
      <c r="O13752" t="s">
        <v>44760</v>
      </c>
      <c r="Q13752">
        <v>5</v>
      </c>
      <c r="R13752" t="s">
        <v>44781</v>
      </c>
      <c r="S13752" t="s">
        <v>45821</v>
      </c>
      <c r="T13752" t="s">
        <v>46757</v>
      </c>
      <c r="U13752" t="s">
        <v>58210</v>
      </c>
      <c r="V13752" t="s">
        <v>60678</v>
      </c>
      <c r="W13752" t="s">
        <v>41618</v>
      </c>
      <c r="X13752" t="s">
        <v>44782</v>
      </c>
    </row>
    <row r="13753" spans="1:24">
      <c r="A13753">
        <f>HYPERLINK("https://www.philgeps.gov.ph/GEPSNONPILOT/Tender/SplashBidNoticeAbstractUI.aspx?menuIndex=3&amp;refID=7112579&amp;Result=3","7112579")</f>
        <v>0</v>
      </c>
      <c r="B13753" t="s">
        <v>2897</v>
      </c>
      <c r="C13753" t="s">
        <v>16862</v>
      </c>
      <c r="E13753" t="s">
        <v>29914</v>
      </c>
      <c r="F13753" t="s">
        <v>30900</v>
      </c>
      <c r="G13753" t="s">
        <v>30907</v>
      </c>
      <c r="H13753" t="s">
        <v>30916</v>
      </c>
      <c r="I13753" t="s">
        <v>30942</v>
      </c>
      <c r="J13753" t="s">
        <v>37138</v>
      </c>
      <c r="K13753" t="s">
        <v>40289</v>
      </c>
      <c r="M13753" t="s">
        <v>43690</v>
      </c>
      <c r="N13753" t="s">
        <v>44759</v>
      </c>
      <c r="O13753" t="s">
        <v>44760</v>
      </c>
      <c r="Q13753">
        <v>4</v>
      </c>
      <c r="R13753" t="s">
        <v>44781</v>
      </c>
      <c r="S13753" t="s">
        <v>45822</v>
      </c>
      <c r="T13753" t="s">
        <v>46357</v>
      </c>
      <c r="U13753" t="s">
        <v>58211</v>
      </c>
      <c r="V13753" t="s">
        <v>60679</v>
      </c>
      <c r="W13753" t="s">
        <v>43690</v>
      </c>
      <c r="X13753" t="s">
        <v>44782</v>
      </c>
    </row>
    <row r="13754" spans="1:24">
      <c r="A13754">
        <f>HYPERLINK("https://www.philgeps.gov.ph/GEPSNONPILOT/Tender/SplashBidNoticeAbstractUI.aspx?menuIndex=3&amp;refID=7112566&amp;Result=3","7112566")</f>
        <v>0</v>
      </c>
      <c r="B13754" t="s">
        <v>1153</v>
      </c>
      <c r="C13754" t="s">
        <v>16863</v>
      </c>
      <c r="E13754" t="s">
        <v>29915</v>
      </c>
      <c r="F13754" t="s">
        <v>30900</v>
      </c>
      <c r="G13754" t="s">
        <v>30907</v>
      </c>
      <c r="H13754" t="s">
        <v>30916</v>
      </c>
      <c r="I13754" t="s">
        <v>10961</v>
      </c>
      <c r="J13754" t="s">
        <v>31653</v>
      </c>
      <c r="K13754" t="s">
        <v>40289</v>
      </c>
      <c r="M13754" t="s">
        <v>43035</v>
      </c>
      <c r="N13754" t="s">
        <v>44759</v>
      </c>
      <c r="O13754" t="s">
        <v>44760</v>
      </c>
      <c r="Q13754">
        <v>14</v>
      </c>
      <c r="R13754" t="s">
        <v>44781</v>
      </c>
      <c r="S13754" t="s">
        <v>45823</v>
      </c>
      <c r="T13754" t="s">
        <v>46612</v>
      </c>
      <c r="U13754" t="s">
        <v>52464</v>
      </c>
      <c r="W13754" t="s">
        <v>43035</v>
      </c>
      <c r="X13754" t="s">
        <v>44782</v>
      </c>
    </row>
    <row r="13755" spans="1:24">
      <c r="A13755">
        <f>HYPERLINK("https://www.philgeps.gov.ph/GEPSNONPILOT/Tender/SplashBidNoticeAbstractUI.aspx?menuIndex=3&amp;refID=7112564&amp;Result=3","7112564")</f>
        <v>0</v>
      </c>
      <c r="B13755" t="s">
        <v>223</v>
      </c>
      <c r="C13755" t="s">
        <v>16864</v>
      </c>
      <c r="D13755" t="s">
        <v>18002</v>
      </c>
      <c r="E13755" t="s">
        <v>29916</v>
      </c>
      <c r="F13755" t="s">
        <v>30900</v>
      </c>
      <c r="G13755" t="s">
        <v>30908</v>
      </c>
      <c r="H13755" t="s">
        <v>30916</v>
      </c>
      <c r="I13755" t="s">
        <v>30952</v>
      </c>
      <c r="J13755" t="s">
        <v>39590</v>
      </c>
      <c r="K13755" t="s">
        <v>40289</v>
      </c>
      <c r="M13755" t="s">
        <v>40770</v>
      </c>
      <c r="N13755" t="s">
        <v>44759</v>
      </c>
      <c r="O13755" t="s">
        <v>44760</v>
      </c>
      <c r="Q13755">
        <v>8</v>
      </c>
      <c r="R13755" t="s">
        <v>44781</v>
      </c>
      <c r="S13755" t="s">
        <v>45824</v>
      </c>
      <c r="T13755" t="s">
        <v>46409</v>
      </c>
      <c r="U13755" t="s">
        <v>47286</v>
      </c>
      <c r="W13755" t="s">
        <v>40770</v>
      </c>
      <c r="X13755" t="s">
        <v>44782</v>
      </c>
    </row>
    <row r="13756" spans="1:24">
      <c r="A13756">
        <f>HYPERLINK("https://www.philgeps.gov.ph/GEPSNONPILOT/Tender/SplashBidNoticeAbstractUI.aspx?menuIndex=3&amp;refID=7112860&amp;Result=3","7112860")</f>
        <v>0</v>
      </c>
      <c r="B13756" t="s">
        <v>864</v>
      </c>
      <c r="C13756" t="s">
        <v>16865</v>
      </c>
      <c r="D13756" t="s">
        <v>18025</v>
      </c>
      <c r="E13756" t="s">
        <v>29917</v>
      </c>
      <c r="F13756" t="s">
        <v>30900</v>
      </c>
      <c r="G13756" t="s">
        <v>30907</v>
      </c>
      <c r="H13756" t="s">
        <v>30916</v>
      </c>
      <c r="I13756" t="s">
        <v>9385</v>
      </c>
      <c r="J13756" t="s">
        <v>39591</v>
      </c>
      <c r="K13756" t="s">
        <v>40304</v>
      </c>
      <c r="M13756" t="s">
        <v>41437</v>
      </c>
      <c r="N13756" t="s">
        <v>44759</v>
      </c>
      <c r="O13756" t="s">
        <v>44760</v>
      </c>
      <c r="P13756">
        <v>0</v>
      </c>
      <c r="Q13756">
        <v>43</v>
      </c>
      <c r="R13756" t="s">
        <v>44781</v>
      </c>
      <c r="S13756" t="s">
        <v>45758</v>
      </c>
      <c r="T13756" t="s">
        <v>46625</v>
      </c>
      <c r="U13756" t="s">
        <v>58212</v>
      </c>
      <c r="V13756" t="s">
        <v>59116</v>
      </c>
      <c r="W13756" t="s">
        <v>41437</v>
      </c>
      <c r="X13756" t="s">
        <v>44782</v>
      </c>
    </row>
    <row r="13757" spans="1:24">
      <c r="A13757">
        <f>HYPERLINK("https://www.philgeps.gov.ph/GEPSNONPILOT/Tender/SplashBidNoticeAbstractUI.aspx?menuIndex=3&amp;refID=7112858&amp;Result=3","7112858")</f>
        <v>0</v>
      </c>
      <c r="B13757" t="s">
        <v>2880</v>
      </c>
      <c r="C13757" t="s">
        <v>16866</v>
      </c>
      <c r="D13757" t="s">
        <v>17966</v>
      </c>
      <c r="E13757" t="s">
        <v>29918</v>
      </c>
      <c r="F13757" t="s">
        <v>30900</v>
      </c>
      <c r="G13757" t="s">
        <v>30907</v>
      </c>
      <c r="H13757" t="s">
        <v>30916</v>
      </c>
      <c r="I13757" t="s">
        <v>30933</v>
      </c>
      <c r="J13757" t="s">
        <v>39592</v>
      </c>
      <c r="K13757" t="s">
        <v>40286</v>
      </c>
      <c r="M13757" t="s">
        <v>43672</v>
      </c>
      <c r="N13757" t="s">
        <v>44759</v>
      </c>
      <c r="O13757" t="s">
        <v>44760</v>
      </c>
      <c r="P13757">
        <v>0</v>
      </c>
      <c r="Q13757">
        <v>4</v>
      </c>
      <c r="R13757" t="s">
        <v>44781</v>
      </c>
      <c r="S13757" t="s">
        <v>45758</v>
      </c>
      <c r="T13757" t="s">
        <v>46625</v>
      </c>
      <c r="U13757" t="s">
        <v>58213</v>
      </c>
      <c r="V13757" t="s">
        <v>60680</v>
      </c>
      <c r="W13757" t="s">
        <v>43672</v>
      </c>
      <c r="X13757" t="s">
        <v>44782</v>
      </c>
    </row>
    <row r="13758" spans="1:24">
      <c r="A13758">
        <f>HYPERLINK("https://www.philgeps.gov.ph/GEPSNONPILOT/Tender/SplashBidNoticeAbstractUI.aspx?menuIndex=3&amp;refID=7112322&amp;Result=3","7112322")</f>
        <v>0</v>
      </c>
      <c r="B13758" t="s">
        <v>1023</v>
      </c>
      <c r="C13758" t="s">
        <v>16867</v>
      </c>
      <c r="D13758" t="s">
        <v>17978</v>
      </c>
      <c r="E13758" t="s">
        <v>29919</v>
      </c>
      <c r="F13758" t="s">
        <v>30900</v>
      </c>
      <c r="G13758" t="s">
        <v>30907</v>
      </c>
      <c r="H13758" t="s">
        <v>30916</v>
      </c>
      <c r="I13758" t="s">
        <v>30924</v>
      </c>
      <c r="J13758" t="s">
        <v>39593</v>
      </c>
      <c r="K13758" t="s">
        <v>40293</v>
      </c>
      <c r="M13758" t="s">
        <v>43375</v>
      </c>
      <c r="N13758" t="s">
        <v>44759</v>
      </c>
      <c r="O13758" t="s">
        <v>44760</v>
      </c>
      <c r="Q13758">
        <v>13</v>
      </c>
      <c r="R13758" t="s">
        <v>44781</v>
      </c>
      <c r="S13758" t="s">
        <v>45825</v>
      </c>
      <c r="T13758" t="s">
        <v>46929</v>
      </c>
      <c r="U13758" t="s">
        <v>56685</v>
      </c>
      <c r="V13758" t="s">
        <v>60469</v>
      </c>
      <c r="W13758" t="s">
        <v>43375</v>
      </c>
      <c r="X13758" t="s">
        <v>44782</v>
      </c>
    </row>
    <row r="13759" spans="1:24">
      <c r="A13759">
        <f>HYPERLINK("https://www.philgeps.gov.ph/GEPSNONPILOT/Tender/SplashBidNoticeAbstractUI.aspx?menuIndex=3&amp;refID=7112823&amp;Result=3","7112823")</f>
        <v>0</v>
      </c>
      <c r="B13759" t="s">
        <v>401</v>
      </c>
      <c r="C13759" t="s">
        <v>16868</v>
      </c>
      <c r="D13759" t="s">
        <v>18004</v>
      </c>
      <c r="E13759" t="s">
        <v>29920</v>
      </c>
      <c r="F13759" t="s">
        <v>30900</v>
      </c>
      <c r="G13759" t="s">
        <v>30907</v>
      </c>
      <c r="H13759" t="s">
        <v>30915</v>
      </c>
      <c r="I13759" t="s">
        <v>30919</v>
      </c>
      <c r="J13759" t="s">
        <v>39594</v>
      </c>
      <c r="K13759" t="s">
        <v>40364</v>
      </c>
      <c r="M13759" t="s">
        <v>40956</v>
      </c>
      <c r="N13759" t="s">
        <v>44759</v>
      </c>
      <c r="O13759" t="s">
        <v>44760</v>
      </c>
      <c r="P13759">
        <v>0</v>
      </c>
      <c r="Q13759">
        <v>9</v>
      </c>
      <c r="R13759" t="s">
        <v>44781</v>
      </c>
      <c r="S13759" t="s">
        <v>45758</v>
      </c>
      <c r="T13759" t="s">
        <v>46399</v>
      </c>
      <c r="U13759" t="s">
        <v>58214</v>
      </c>
      <c r="W13759" t="s">
        <v>40956</v>
      </c>
      <c r="X13759" t="s">
        <v>44782</v>
      </c>
    </row>
    <row r="13760" spans="1:24">
      <c r="A13760">
        <f>HYPERLINK("https://www.philgeps.gov.ph/GEPSNONPILOT/Tender/SplashBidNoticeAbstractUI.aspx?menuIndex=3&amp;refID=7112807&amp;Result=3","7112807")</f>
        <v>0</v>
      </c>
      <c r="B13760" t="s">
        <v>3268</v>
      </c>
      <c r="C13760" t="s">
        <v>16869</v>
      </c>
      <c r="D13760" t="s">
        <v>17993</v>
      </c>
      <c r="E13760" t="s">
        <v>29921</v>
      </c>
      <c r="F13760" t="s">
        <v>30900</v>
      </c>
      <c r="G13760" t="s">
        <v>30907</v>
      </c>
      <c r="H13760" t="s">
        <v>30915</v>
      </c>
      <c r="I13760" t="s">
        <v>30972</v>
      </c>
      <c r="J13760" t="s">
        <v>39595</v>
      </c>
      <c r="K13760" t="s">
        <v>40342</v>
      </c>
      <c r="M13760" t="s">
        <v>44116</v>
      </c>
      <c r="N13760" t="s">
        <v>44759</v>
      </c>
      <c r="O13760" t="s">
        <v>44760</v>
      </c>
      <c r="Q13760">
        <v>9</v>
      </c>
      <c r="R13760" t="s">
        <v>44781</v>
      </c>
      <c r="S13760" t="s">
        <v>45826</v>
      </c>
      <c r="T13760" t="s">
        <v>46771</v>
      </c>
      <c r="U13760" t="s">
        <v>58215</v>
      </c>
      <c r="W13760" t="s">
        <v>44116</v>
      </c>
      <c r="X13760" t="s">
        <v>44782</v>
      </c>
    </row>
    <row r="13761" spans="1:24">
      <c r="A13761">
        <f>HYPERLINK("https://www.philgeps.gov.ph/GEPSNONPILOT/Tender/SplashBidNoticeAbstractUI.aspx?menuIndex=3&amp;refID=7112423&amp;Result=3","7112423")</f>
        <v>0</v>
      </c>
      <c r="B13761" t="s">
        <v>584</v>
      </c>
      <c r="C13761" t="s">
        <v>16870</v>
      </c>
      <c r="D13761" t="s">
        <v>17969</v>
      </c>
      <c r="E13761" t="s">
        <v>29922</v>
      </c>
      <c r="F13761" t="s">
        <v>30900</v>
      </c>
      <c r="G13761" t="s">
        <v>30907</v>
      </c>
      <c r="H13761" t="s">
        <v>30916</v>
      </c>
      <c r="I13761" t="s">
        <v>30960</v>
      </c>
      <c r="J13761" t="s">
        <v>39596</v>
      </c>
      <c r="K13761" t="s">
        <v>40289</v>
      </c>
      <c r="M13761" t="s">
        <v>41146</v>
      </c>
      <c r="N13761" t="s">
        <v>44759</v>
      </c>
      <c r="O13761" t="s">
        <v>44760</v>
      </c>
      <c r="P13761">
        <v>0</v>
      </c>
      <c r="Q13761">
        <v>3</v>
      </c>
      <c r="R13761" t="s">
        <v>44781</v>
      </c>
      <c r="S13761" t="s">
        <v>45758</v>
      </c>
      <c r="T13761" t="s">
        <v>46581</v>
      </c>
      <c r="U13761" t="s">
        <v>47956</v>
      </c>
      <c r="W13761" t="s">
        <v>41146</v>
      </c>
      <c r="X13761" t="s">
        <v>44782</v>
      </c>
    </row>
    <row r="13762" spans="1:24">
      <c r="A13762">
        <f>HYPERLINK("https://www.philgeps.gov.ph/GEPSNONPILOT/Tender/SplashBidNoticeAbstractUI.aspx?menuIndex=3&amp;refID=7112804&amp;Result=3","7112804")</f>
        <v>0</v>
      </c>
      <c r="B13762" t="s">
        <v>3671</v>
      </c>
      <c r="C13762" t="s">
        <v>16871</v>
      </c>
      <c r="D13762" t="s">
        <v>17978</v>
      </c>
      <c r="E13762" t="s">
        <v>29923</v>
      </c>
      <c r="F13762" t="s">
        <v>30900</v>
      </c>
      <c r="G13762" t="s">
        <v>30907</v>
      </c>
      <c r="H13762" t="s">
        <v>30915</v>
      </c>
      <c r="I13762" t="s">
        <v>30919</v>
      </c>
      <c r="J13762" t="s">
        <v>31374</v>
      </c>
      <c r="K13762" t="s">
        <v>40280</v>
      </c>
      <c r="M13762" t="s">
        <v>44621</v>
      </c>
      <c r="N13762" t="s">
        <v>44759</v>
      </c>
      <c r="O13762" t="s">
        <v>44760</v>
      </c>
      <c r="Q13762">
        <v>3</v>
      </c>
      <c r="R13762" t="s">
        <v>44781</v>
      </c>
      <c r="S13762" t="s">
        <v>45335</v>
      </c>
      <c r="T13762" t="s">
        <v>46707</v>
      </c>
      <c r="U13762" t="s">
        <v>58216</v>
      </c>
      <c r="W13762" t="s">
        <v>44621</v>
      </c>
      <c r="X13762" t="s">
        <v>44782</v>
      </c>
    </row>
    <row r="13763" spans="1:24">
      <c r="A13763">
        <f>HYPERLINK("https://www.philgeps.gov.ph/GEPSNONPILOT/Tender/SplashBidNoticeAbstractUI.aspx?menuIndex=3&amp;refID=7112790&amp;Result=3","7112790")</f>
        <v>0</v>
      </c>
      <c r="B13763" t="s">
        <v>3671</v>
      </c>
      <c r="C13763" t="s">
        <v>8434</v>
      </c>
      <c r="D13763" t="s">
        <v>17978</v>
      </c>
      <c r="E13763" t="s">
        <v>29924</v>
      </c>
      <c r="F13763" t="s">
        <v>30900</v>
      </c>
      <c r="G13763" t="s">
        <v>30907</v>
      </c>
      <c r="H13763" t="s">
        <v>30915</v>
      </c>
      <c r="I13763" t="s">
        <v>30919</v>
      </c>
      <c r="J13763" t="s">
        <v>31243</v>
      </c>
      <c r="K13763" t="s">
        <v>40283</v>
      </c>
      <c r="M13763" t="s">
        <v>44621</v>
      </c>
      <c r="N13763" t="s">
        <v>44759</v>
      </c>
      <c r="O13763" t="s">
        <v>44760</v>
      </c>
      <c r="Q13763">
        <v>4</v>
      </c>
      <c r="R13763" t="s">
        <v>44781</v>
      </c>
      <c r="S13763" t="s">
        <v>45827</v>
      </c>
      <c r="T13763" t="s">
        <v>46707</v>
      </c>
      <c r="U13763" t="s">
        <v>58217</v>
      </c>
      <c r="W13763" t="s">
        <v>44621</v>
      </c>
      <c r="X13763" t="s">
        <v>44782</v>
      </c>
    </row>
    <row r="13764" spans="1:24">
      <c r="A13764">
        <f>HYPERLINK("https://www.philgeps.gov.ph/GEPSNONPILOT/Tender/SplashBidNoticeAbstractUI.aspx?menuIndex=3&amp;refID=7112789&amp;Result=3","7112789")</f>
        <v>0</v>
      </c>
      <c r="B13764" t="s">
        <v>1478</v>
      </c>
      <c r="C13764" t="s">
        <v>16872</v>
      </c>
      <c r="D13764" t="s">
        <v>17959</v>
      </c>
      <c r="E13764" t="s">
        <v>29925</v>
      </c>
      <c r="F13764" t="s">
        <v>30900</v>
      </c>
      <c r="G13764" t="s">
        <v>30907</v>
      </c>
      <c r="H13764" t="s">
        <v>30916</v>
      </c>
      <c r="I13764" t="s">
        <v>30933</v>
      </c>
      <c r="J13764" t="s">
        <v>38509</v>
      </c>
      <c r="K13764" t="s">
        <v>40286</v>
      </c>
      <c r="M13764" t="s">
        <v>44622</v>
      </c>
      <c r="N13764" t="s">
        <v>44759</v>
      </c>
      <c r="O13764" t="s">
        <v>44760</v>
      </c>
      <c r="Q13764">
        <v>14</v>
      </c>
      <c r="R13764" t="s">
        <v>44781</v>
      </c>
      <c r="S13764" t="s">
        <v>45213</v>
      </c>
      <c r="T13764" t="s">
        <v>46526</v>
      </c>
      <c r="U13764" t="s">
        <v>50345</v>
      </c>
      <c r="V13764" t="s">
        <v>60681</v>
      </c>
      <c r="W13764" t="s">
        <v>44622</v>
      </c>
      <c r="X13764" t="s">
        <v>44782</v>
      </c>
    </row>
    <row r="13765" spans="1:24">
      <c r="A13765">
        <f>HYPERLINK("https://www.philgeps.gov.ph/GEPSNONPILOT/Tender/SplashBidNoticeAbstractUI.aspx?menuIndex=3&amp;refID=7112788&amp;Result=3","7112788")</f>
        <v>0</v>
      </c>
      <c r="B13765" t="s">
        <v>1949</v>
      </c>
      <c r="C13765" t="s">
        <v>16873</v>
      </c>
      <c r="D13765" t="s">
        <v>17979</v>
      </c>
      <c r="E13765" t="s">
        <v>29926</v>
      </c>
      <c r="F13765" t="s">
        <v>30900</v>
      </c>
      <c r="G13765" t="s">
        <v>30913</v>
      </c>
      <c r="H13765" t="s">
        <v>30915</v>
      </c>
      <c r="I13765" t="s">
        <v>30919</v>
      </c>
      <c r="J13765" t="s">
        <v>39597</v>
      </c>
      <c r="K13765" t="s">
        <v>40301</v>
      </c>
      <c r="M13765" t="s">
        <v>44211</v>
      </c>
      <c r="N13765" t="s">
        <v>44759</v>
      </c>
      <c r="O13765" t="s">
        <v>44760</v>
      </c>
      <c r="P13765">
        <v>0</v>
      </c>
      <c r="Q13765">
        <v>29</v>
      </c>
      <c r="R13765" t="s">
        <v>44781</v>
      </c>
      <c r="S13765" t="s">
        <v>45758</v>
      </c>
      <c r="T13765" t="s">
        <v>46533</v>
      </c>
      <c r="U13765" t="s">
        <v>58218</v>
      </c>
      <c r="V13765" t="s">
        <v>60682</v>
      </c>
      <c r="W13765" t="s">
        <v>44211</v>
      </c>
      <c r="X13765" t="s">
        <v>44782</v>
      </c>
    </row>
    <row r="13766" spans="1:24">
      <c r="A13766">
        <f>HYPERLINK("https://www.philgeps.gov.ph/GEPSNONPILOT/Tender/SplashBidNoticeAbstractUI.aspx?menuIndex=3&amp;refID=7112787&amp;Result=3","7112787")</f>
        <v>0</v>
      </c>
      <c r="B13766" t="s">
        <v>1643</v>
      </c>
      <c r="C13766" t="s">
        <v>16874</v>
      </c>
      <c r="D13766" t="s">
        <v>18013</v>
      </c>
      <c r="E13766" t="s">
        <v>29927</v>
      </c>
      <c r="F13766" t="s">
        <v>30900</v>
      </c>
      <c r="G13766" t="s">
        <v>30907</v>
      </c>
      <c r="H13766" t="s">
        <v>30915</v>
      </c>
      <c r="I13766" t="s">
        <v>30919</v>
      </c>
      <c r="J13766" t="s">
        <v>39598</v>
      </c>
      <c r="K13766" t="s">
        <v>40292</v>
      </c>
      <c r="M13766" t="s">
        <v>42299</v>
      </c>
      <c r="N13766" t="s">
        <v>44759</v>
      </c>
      <c r="O13766" t="s">
        <v>44760</v>
      </c>
      <c r="P13766">
        <v>0</v>
      </c>
      <c r="Q13766">
        <v>0</v>
      </c>
      <c r="R13766" t="s">
        <v>44781</v>
      </c>
      <c r="S13766" t="s">
        <v>45758</v>
      </c>
      <c r="T13766" t="s">
        <v>46581</v>
      </c>
      <c r="U13766" t="s">
        <v>58219</v>
      </c>
      <c r="W13766" t="s">
        <v>42299</v>
      </c>
      <c r="X13766" t="s">
        <v>44782</v>
      </c>
    </row>
    <row r="13767" spans="1:24">
      <c r="A13767">
        <f>HYPERLINK("https://www.philgeps.gov.ph/GEPSNONPILOT/Tender/SplashBidNoticeAbstractUI.aspx?menuIndex=3&amp;refID=7112784&amp;Result=3","7112784")</f>
        <v>0</v>
      </c>
      <c r="B13767" t="s">
        <v>3672</v>
      </c>
      <c r="C13767" t="s">
        <v>16875</v>
      </c>
      <c r="D13767" t="s">
        <v>17957</v>
      </c>
      <c r="E13767" t="s">
        <v>29928</v>
      </c>
      <c r="F13767" t="s">
        <v>30900</v>
      </c>
      <c r="G13767" t="s">
        <v>30907</v>
      </c>
      <c r="H13767" t="s">
        <v>30915</v>
      </c>
      <c r="I13767" t="s">
        <v>30919</v>
      </c>
      <c r="J13767" t="s">
        <v>39599</v>
      </c>
      <c r="K13767" t="s">
        <v>40293</v>
      </c>
      <c r="M13767" t="s">
        <v>44623</v>
      </c>
      <c r="N13767" t="s">
        <v>44759</v>
      </c>
      <c r="O13767" t="s">
        <v>44760</v>
      </c>
      <c r="Q13767">
        <v>1</v>
      </c>
      <c r="R13767" t="s">
        <v>44781</v>
      </c>
      <c r="S13767" t="s">
        <v>45457</v>
      </c>
      <c r="T13767" t="s">
        <v>46409</v>
      </c>
      <c r="U13767" t="s">
        <v>58220</v>
      </c>
      <c r="W13767" t="s">
        <v>44623</v>
      </c>
      <c r="X13767" t="s">
        <v>44782</v>
      </c>
    </row>
    <row r="13768" spans="1:24">
      <c r="A13768">
        <f>HYPERLINK("https://www.philgeps.gov.ph/GEPSNONPILOT/Tender/SplashBidNoticeAbstractUI.aspx?menuIndex=3&amp;refID=7112783&amp;Result=3","7112783")</f>
        <v>0</v>
      </c>
      <c r="B13768" t="s">
        <v>3672</v>
      </c>
      <c r="C13768" t="s">
        <v>16876</v>
      </c>
      <c r="D13768" t="s">
        <v>17957</v>
      </c>
      <c r="E13768" t="s">
        <v>29929</v>
      </c>
      <c r="F13768" t="s">
        <v>30900</v>
      </c>
      <c r="G13768" t="s">
        <v>30907</v>
      </c>
      <c r="H13768" t="s">
        <v>30915</v>
      </c>
      <c r="I13768" t="s">
        <v>30919</v>
      </c>
      <c r="J13768" t="s">
        <v>39600</v>
      </c>
      <c r="K13768" t="s">
        <v>40460</v>
      </c>
      <c r="M13768" t="s">
        <v>44623</v>
      </c>
      <c r="N13768" t="s">
        <v>44759</v>
      </c>
      <c r="O13768" t="s">
        <v>44760</v>
      </c>
      <c r="Q13768">
        <v>0</v>
      </c>
      <c r="R13768" t="s">
        <v>44781</v>
      </c>
      <c r="S13768" t="s">
        <v>45492</v>
      </c>
      <c r="T13768" t="s">
        <v>46409</v>
      </c>
      <c r="U13768" t="s">
        <v>58220</v>
      </c>
      <c r="W13768" t="s">
        <v>44623</v>
      </c>
      <c r="X13768" t="s">
        <v>44782</v>
      </c>
    </row>
    <row r="13769" spans="1:24">
      <c r="A13769">
        <f>HYPERLINK("https://www.philgeps.gov.ph/GEPSNONPILOT/Tender/SplashBidNoticeAbstractUI.aspx?menuIndex=3&amp;refID=7112778&amp;Result=3","7112778")</f>
        <v>0</v>
      </c>
      <c r="B13769" t="s">
        <v>3671</v>
      </c>
      <c r="C13769" t="s">
        <v>16877</v>
      </c>
      <c r="D13769" t="s">
        <v>17978</v>
      </c>
      <c r="E13769" t="s">
        <v>29930</v>
      </c>
      <c r="F13769" t="s">
        <v>30900</v>
      </c>
      <c r="G13769" t="s">
        <v>30907</v>
      </c>
      <c r="H13769" t="s">
        <v>30915</v>
      </c>
      <c r="I13769" t="s">
        <v>30919</v>
      </c>
      <c r="J13769" t="s">
        <v>31243</v>
      </c>
      <c r="K13769" t="s">
        <v>40452</v>
      </c>
      <c r="M13769" t="s">
        <v>44621</v>
      </c>
      <c r="N13769" t="s">
        <v>44759</v>
      </c>
      <c r="O13769" t="s">
        <v>44760</v>
      </c>
      <c r="Q13769">
        <v>2</v>
      </c>
      <c r="R13769" t="s">
        <v>44781</v>
      </c>
      <c r="S13769" t="s">
        <v>45828</v>
      </c>
      <c r="T13769" t="s">
        <v>46581</v>
      </c>
      <c r="U13769" t="s">
        <v>58221</v>
      </c>
      <c r="W13769" t="s">
        <v>44621</v>
      </c>
      <c r="X13769" t="s">
        <v>44782</v>
      </c>
    </row>
    <row r="13770" spans="1:24">
      <c r="A13770">
        <f>HYPERLINK("https://www.philgeps.gov.ph/GEPSNONPILOT/Tender/SplashBidNoticeAbstractUI.aspx?menuIndex=3&amp;refID=7112792&amp;Result=3","7112792")</f>
        <v>0</v>
      </c>
      <c r="B13770" t="s">
        <v>951</v>
      </c>
      <c r="C13770" t="s">
        <v>16878</v>
      </c>
      <c r="E13770" t="s">
        <v>29931</v>
      </c>
      <c r="F13770" t="s">
        <v>30900</v>
      </c>
      <c r="G13770" t="s">
        <v>30907</v>
      </c>
      <c r="H13770" t="s">
        <v>30916</v>
      </c>
      <c r="I13770" t="s">
        <v>4061</v>
      </c>
      <c r="J13770" t="s">
        <v>39601</v>
      </c>
      <c r="K13770" t="s">
        <v>40286</v>
      </c>
      <c r="M13770" t="s">
        <v>41536</v>
      </c>
      <c r="N13770" t="s">
        <v>44759</v>
      </c>
      <c r="O13770" t="s">
        <v>44760</v>
      </c>
      <c r="P13770">
        <v>0</v>
      </c>
      <c r="Q13770">
        <v>1</v>
      </c>
      <c r="R13770" t="s">
        <v>44781</v>
      </c>
      <c r="S13770" t="s">
        <v>45758</v>
      </c>
      <c r="T13770" t="s">
        <v>46813</v>
      </c>
      <c r="U13770" t="s">
        <v>58222</v>
      </c>
      <c r="V13770" t="s">
        <v>59337</v>
      </c>
      <c r="W13770" t="s">
        <v>41536</v>
      </c>
      <c r="X13770" t="s">
        <v>44782</v>
      </c>
    </row>
    <row r="13771" spans="1:24">
      <c r="A13771">
        <f>HYPERLINK("https://www.philgeps.gov.ph/GEPSNONPILOT/Tender/SplashBidNoticeAbstractUI.aspx?menuIndex=3&amp;refID=7112605&amp;Result=3","7112605")</f>
        <v>0</v>
      </c>
      <c r="B13771" t="s">
        <v>223</v>
      </c>
      <c r="C13771" t="s">
        <v>16879</v>
      </c>
      <c r="D13771" t="s">
        <v>18002</v>
      </c>
      <c r="E13771" t="s">
        <v>29932</v>
      </c>
      <c r="F13771" t="s">
        <v>30900</v>
      </c>
      <c r="G13771" t="s">
        <v>30910</v>
      </c>
      <c r="H13771" t="s">
        <v>30916</v>
      </c>
      <c r="I13771" t="s">
        <v>6408</v>
      </c>
      <c r="J13771" t="s">
        <v>31098</v>
      </c>
      <c r="K13771" t="s">
        <v>40289</v>
      </c>
      <c r="M13771" t="s">
        <v>40770</v>
      </c>
      <c r="N13771" t="s">
        <v>44759</v>
      </c>
      <c r="O13771" t="s">
        <v>44760</v>
      </c>
      <c r="Q13771">
        <v>7</v>
      </c>
      <c r="R13771" t="s">
        <v>44781</v>
      </c>
      <c r="S13771" t="s">
        <v>45829</v>
      </c>
      <c r="T13771" t="s">
        <v>46409</v>
      </c>
      <c r="U13771" t="s">
        <v>47286</v>
      </c>
      <c r="W13771" t="s">
        <v>40770</v>
      </c>
      <c r="X13771" t="s">
        <v>44782</v>
      </c>
    </row>
    <row r="13772" spans="1:24">
      <c r="A13772">
        <f>HYPERLINK("https://www.philgeps.gov.ph/GEPSNONPILOT/Tender/SplashBidNoticeAbstractUI.aspx?menuIndex=3&amp;refID=7112757&amp;Result=3","7112757")</f>
        <v>0</v>
      </c>
      <c r="B13772" t="s">
        <v>3671</v>
      </c>
      <c r="C13772" t="s">
        <v>16880</v>
      </c>
      <c r="D13772" t="s">
        <v>17978</v>
      </c>
      <c r="E13772" t="s">
        <v>29933</v>
      </c>
      <c r="F13772" t="s">
        <v>30900</v>
      </c>
      <c r="G13772" t="s">
        <v>30907</v>
      </c>
      <c r="H13772" t="s">
        <v>30915</v>
      </c>
      <c r="I13772" t="s">
        <v>30919</v>
      </c>
      <c r="J13772" t="s">
        <v>31152</v>
      </c>
      <c r="K13772" t="s">
        <v>40280</v>
      </c>
      <c r="M13772" t="s">
        <v>44621</v>
      </c>
      <c r="N13772" t="s">
        <v>44759</v>
      </c>
      <c r="O13772" t="s">
        <v>44760</v>
      </c>
      <c r="Q13772">
        <v>7</v>
      </c>
      <c r="R13772" t="s">
        <v>44781</v>
      </c>
      <c r="S13772" t="s">
        <v>45830</v>
      </c>
      <c r="T13772" t="s">
        <v>46707</v>
      </c>
      <c r="U13772" t="s">
        <v>58223</v>
      </c>
      <c r="W13772" t="s">
        <v>44621</v>
      </c>
      <c r="X13772" t="s">
        <v>44782</v>
      </c>
    </row>
    <row r="13773" spans="1:24">
      <c r="A13773">
        <f>HYPERLINK("https://www.philgeps.gov.ph/GEPSNONPILOT/Tender/SplashBidNoticeAbstractUI.aspx?menuIndex=3&amp;refID=7112752&amp;Result=3","7112752")</f>
        <v>0</v>
      </c>
      <c r="B13773" t="s">
        <v>157</v>
      </c>
      <c r="C13773" t="s">
        <v>16881</v>
      </c>
      <c r="D13773" t="s">
        <v>17978</v>
      </c>
      <c r="E13773" t="s">
        <v>29934</v>
      </c>
      <c r="F13773" t="s">
        <v>30900</v>
      </c>
      <c r="G13773" t="s">
        <v>30907</v>
      </c>
      <c r="H13773" t="s">
        <v>30916</v>
      </c>
      <c r="I13773" t="s">
        <v>30927</v>
      </c>
      <c r="J13773" t="s">
        <v>31069</v>
      </c>
      <c r="K13773" t="s">
        <v>40286</v>
      </c>
      <c r="M13773" t="s">
        <v>41325</v>
      </c>
      <c r="N13773" t="s">
        <v>44759</v>
      </c>
      <c r="O13773" t="s">
        <v>44760</v>
      </c>
      <c r="P13773">
        <v>0</v>
      </c>
      <c r="Q13773">
        <v>2</v>
      </c>
      <c r="R13773" t="s">
        <v>44781</v>
      </c>
      <c r="S13773" t="s">
        <v>45758</v>
      </c>
      <c r="T13773" t="s">
        <v>46531</v>
      </c>
      <c r="U13773" t="s">
        <v>58224</v>
      </c>
      <c r="W13773" t="s">
        <v>41325</v>
      </c>
      <c r="X13773" t="s">
        <v>44782</v>
      </c>
    </row>
    <row r="13774" spans="1:24">
      <c r="A13774">
        <f>HYPERLINK("https://www.philgeps.gov.ph/GEPSNONPILOT/Tender/SplashBidNoticeAbstractUI.aspx?menuIndex=3&amp;refID=7112780&amp;Result=3","7112780")</f>
        <v>0</v>
      </c>
      <c r="B13774" t="s">
        <v>1643</v>
      </c>
      <c r="C13774" t="s">
        <v>16882</v>
      </c>
      <c r="D13774" t="s">
        <v>18013</v>
      </c>
      <c r="E13774" t="s">
        <v>29935</v>
      </c>
      <c r="F13774" t="s">
        <v>30900</v>
      </c>
      <c r="G13774" t="s">
        <v>30907</v>
      </c>
      <c r="H13774" t="s">
        <v>30916</v>
      </c>
      <c r="I13774" t="s">
        <v>8123</v>
      </c>
      <c r="J13774" t="s">
        <v>39602</v>
      </c>
      <c r="K13774" t="s">
        <v>40280</v>
      </c>
      <c r="M13774" t="s">
        <v>42299</v>
      </c>
      <c r="N13774" t="s">
        <v>44759</v>
      </c>
      <c r="O13774" t="s">
        <v>44760</v>
      </c>
      <c r="P13774">
        <v>0</v>
      </c>
      <c r="Q13774">
        <v>0</v>
      </c>
      <c r="R13774" t="s">
        <v>44781</v>
      </c>
      <c r="S13774" t="s">
        <v>45758</v>
      </c>
      <c r="T13774" t="s">
        <v>46581</v>
      </c>
      <c r="U13774" t="s">
        <v>58225</v>
      </c>
      <c r="W13774" t="s">
        <v>42299</v>
      </c>
      <c r="X13774" t="s">
        <v>44782</v>
      </c>
    </row>
    <row r="13775" spans="1:24">
      <c r="A13775">
        <f>HYPERLINK("https://www.philgeps.gov.ph/GEPSNONPILOT/Tender/SplashBidNoticeAbstractUI.aspx?menuIndex=3&amp;refID=7112772&amp;Result=3","7112772")</f>
        <v>0</v>
      </c>
      <c r="B13775" t="s">
        <v>3671</v>
      </c>
      <c r="C13775" t="s">
        <v>16883</v>
      </c>
      <c r="D13775" t="s">
        <v>17978</v>
      </c>
      <c r="E13775" t="s">
        <v>29936</v>
      </c>
      <c r="F13775" t="s">
        <v>30900</v>
      </c>
      <c r="G13775" t="s">
        <v>30907</v>
      </c>
      <c r="H13775" t="s">
        <v>30915</v>
      </c>
      <c r="I13775" t="s">
        <v>30919</v>
      </c>
      <c r="J13775" t="s">
        <v>32324</v>
      </c>
      <c r="K13775" t="s">
        <v>40492</v>
      </c>
      <c r="M13775" t="s">
        <v>44621</v>
      </c>
      <c r="N13775" t="s">
        <v>44759</v>
      </c>
      <c r="O13775" t="s">
        <v>44760</v>
      </c>
      <c r="Q13775">
        <v>8</v>
      </c>
      <c r="R13775" t="s">
        <v>44781</v>
      </c>
      <c r="S13775" t="s">
        <v>45831</v>
      </c>
      <c r="T13775" t="s">
        <v>46707</v>
      </c>
      <c r="U13775" t="s">
        <v>58226</v>
      </c>
      <c r="W13775" t="s">
        <v>44621</v>
      </c>
      <c r="X13775" t="s">
        <v>44782</v>
      </c>
    </row>
    <row r="13776" spans="1:24">
      <c r="A13776">
        <f>HYPERLINK("https://www.philgeps.gov.ph/GEPSNONPILOT/Tender/SplashBidNoticeAbstractUI.aspx?menuIndex=3&amp;refID=7112098&amp;Result=3","7112098")</f>
        <v>0</v>
      </c>
      <c r="B13776" t="s">
        <v>3667</v>
      </c>
      <c r="C13776" t="s">
        <v>16884</v>
      </c>
      <c r="D13776" t="s">
        <v>17975</v>
      </c>
      <c r="E13776" t="s">
        <v>29937</v>
      </c>
      <c r="F13776" t="s">
        <v>30900</v>
      </c>
      <c r="G13776" t="s">
        <v>30907</v>
      </c>
      <c r="H13776" t="s">
        <v>30916</v>
      </c>
      <c r="I13776" t="s">
        <v>4108</v>
      </c>
      <c r="J13776" t="s">
        <v>39603</v>
      </c>
      <c r="K13776" t="s">
        <v>40289</v>
      </c>
      <c r="M13776" t="s">
        <v>44615</v>
      </c>
      <c r="N13776" t="s">
        <v>44759</v>
      </c>
      <c r="O13776" t="s">
        <v>44760</v>
      </c>
      <c r="Q13776">
        <v>2</v>
      </c>
      <c r="R13776" t="s">
        <v>44781</v>
      </c>
      <c r="S13776" t="s">
        <v>45832</v>
      </c>
      <c r="T13776" t="s">
        <v>46409</v>
      </c>
      <c r="U13776" t="s">
        <v>58227</v>
      </c>
      <c r="W13776" t="s">
        <v>44615</v>
      </c>
      <c r="X13776" t="s">
        <v>44782</v>
      </c>
    </row>
    <row r="13777" spans="1:24">
      <c r="A13777">
        <f>HYPERLINK("https://www.philgeps.gov.ph/GEPSNONPILOT/Tender/SplashBidNoticeAbstractUI.aspx?menuIndex=3&amp;refID=7112642&amp;Result=3","7112642")</f>
        <v>0</v>
      </c>
      <c r="B13777" t="s">
        <v>2652</v>
      </c>
      <c r="C13777" t="s">
        <v>16885</v>
      </c>
      <c r="D13777" t="s">
        <v>17959</v>
      </c>
      <c r="E13777" t="s">
        <v>29938</v>
      </c>
      <c r="F13777" t="s">
        <v>30900</v>
      </c>
      <c r="G13777" t="s">
        <v>30907</v>
      </c>
      <c r="H13777" t="s">
        <v>30916</v>
      </c>
      <c r="I13777" t="s">
        <v>4108</v>
      </c>
      <c r="J13777" t="s">
        <v>38578</v>
      </c>
      <c r="K13777" t="s">
        <v>40292</v>
      </c>
      <c r="M13777" t="s">
        <v>44620</v>
      </c>
      <c r="N13777" t="s">
        <v>44759</v>
      </c>
      <c r="O13777" t="s">
        <v>44760</v>
      </c>
      <c r="Q13777">
        <v>5</v>
      </c>
      <c r="R13777" t="s">
        <v>44781</v>
      </c>
      <c r="S13777" t="s">
        <v>45833</v>
      </c>
      <c r="T13777" t="s">
        <v>46383</v>
      </c>
      <c r="U13777" t="s">
        <v>58208</v>
      </c>
      <c r="W13777" t="s">
        <v>44620</v>
      </c>
      <c r="X13777" t="s">
        <v>44782</v>
      </c>
    </row>
    <row r="13778" spans="1:24">
      <c r="A13778">
        <f>HYPERLINK("https://www.philgeps.gov.ph/GEPSNONPILOT/Tender/SplashBidNoticeAbstractUI.aspx?menuIndex=3&amp;refID=7112545&amp;Result=3","7112545")</f>
        <v>0</v>
      </c>
      <c r="B13778" t="s">
        <v>372</v>
      </c>
      <c r="C13778" t="s">
        <v>16886</v>
      </c>
      <c r="D13778" t="s">
        <v>17968</v>
      </c>
      <c r="E13778" t="s">
        <v>29939</v>
      </c>
      <c r="F13778" t="s">
        <v>30900</v>
      </c>
      <c r="G13778" t="s">
        <v>30907</v>
      </c>
      <c r="H13778" t="s">
        <v>30916</v>
      </c>
      <c r="I13778" t="s">
        <v>4108</v>
      </c>
      <c r="J13778" t="s">
        <v>31069</v>
      </c>
      <c r="K13778" t="s">
        <v>40283</v>
      </c>
      <c r="M13778" t="s">
        <v>43876</v>
      </c>
      <c r="N13778" t="s">
        <v>44759</v>
      </c>
      <c r="O13778" t="s">
        <v>44760</v>
      </c>
      <c r="P13778">
        <v>0</v>
      </c>
      <c r="Q13778">
        <v>1</v>
      </c>
      <c r="R13778" t="s">
        <v>44781</v>
      </c>
      <c r="S13778" t="s">
        <v>45758</v>
      </c>
      <c r="T13778" t="s">
        <v>46531</v>
      </c>
      <c r="U13778" t="s">
        <v>58228</v>
      </c>
      <c r="W13778" t="s">
        <v>43876</v>
      </c>
      <c r="X13778" t="s">
        <v>44782</v>
      </c>
    </row>
    <row r="13779" spans="1:24">
      <c r="A13779">
        <f>HYPERLINK("https://www.philgeps.gov.ph/GEPSNONPILOT/Tender/SplashBidNoticeAbstractUI.aspx?menuIndex=3&amp;refID=7112512&amp;Result=3","7112512")</f>
        <v>0</v>
      </c>
      <c r="B13779" t="s">
        <v>2535</v>
      </c>
      <c r="C13779" t="s">
        <v>16887</v>
      </c>
      <c r="D13779" t="s">
        <v>17959</v>
      </c>
      <c r="E13779" t="s">
        <v>29940</v>
      </c>
      <c r="F13779" t="s">
        <v>30900</v>
      </c>
      <c r="G13779" t="s">
        <v>30907</v>
      </c>
      <c r="H13779" t="s">
        <v>30916</v>
      </c>
      <c r="I13779" t="s">
        <v>30921</v>
      </c>
      <c r="J13779" t="s">
        <v>39604</v>
      </c>
      <c r="K13779" t="s">
        <v>40289</v>
      </c>
      <c r="M13779" t="s">
        <v>43291</v>
      </c>
      <c r="N13779" t="s">
        <v>44759</v>
      </c>
      <c r="O13779" t="s">
        <v>44760</v>
      </c>
      <c r="Q13779">
        <v>15</v>
      </c>
      <c r="R13779" t="s">
        <v>44781</v>
      </c>
      <c r="S13779" t="s">
        <v>44917</v>
      </c>
      <c r="T13779" t="s">
        <v>46533</v>
      </c>
      <c r="U13779" t="s">
        <v>58229</v>
      </c>
      <c r="V13779" t="s">
        <v>59925</v>
      </c>
      <c r="W13779" t="s">
        <v>43291</v>
      </c>
      <c r="X13779" t="s">
        <v>44782</v>
      </c>
    </row>
    <row r="13780" spans="1:24">
      <c r="A13780">
        <f>HYPERLINK("https://www.philgeps.gov.ph/GEPSNONPILOT/Tender/SplashBidNoticeAbstractUI.aspx?menuIndex=3&amp;refID=7112710&amp;Result=3","7112710")</f>
        <v>0</v>
      </c>
      <c r="B13780" t="s">
        <v>3671</v>
      </c>
      <c r="C13780" t="s">
        <v>16888</v>
      </c>
      <c r="D13780" t="s">
        <v>17978</v>
      </c>
      <c r="E13780" t="s">
        <v>29941</v>
      </c>
      <c r="F13780" t="s">
        <v>30900</v>
      </c>
      <c r="G13780" t="s">
        <v>30907</v>
      </c>
      <c r="H13780" t="s">
        <v>30915</v>
      </c>
      <c r="I13780" t="s">
        <v>30919</v>
      </c>
      <c r="J13780" t="s">
        <v>31152</v>
      </c>
      <c r="K13780" t="s">
        <v>40280</v>
      </c>
      <c r="M13780" t="s">
        <v>44621</v>
      </c>
      <c r="N13780" t="s">
        <v>44759</v>
      </c>
      <c r="O13780" t="s">
        <v>44760</v>
      </c>
      <c r="Q13780">
        <v>9</v>
      </c>
      <c r="R13780" t="s">
        <v>44781</v>
      </c>
      <c r="S13780" t="s">
        <v>45834</v>
      </c>
      <c r="T13780" t="s">
        <v>46707</v>
      </c>
      <c r="U13780" t="s">
        <v>58230</v>
      </c>
      <c r="W13780" t="s">
        <v>44621</v>
      </c>
      <c r="X13780" t="s">
        <v>44782</v>
      </c>
    </row>
    <row r="13781" spans="1:24">
      <c r="A13781">
        <f>HYPERLINK("https://www.philgeps.gov.ph/GEPSNONPILOT/Tender/SplashBidNoticeAbstractUI.aspx?menuIndex=3&amp;refID=7112562&amp;Result=3","7112562")</f>
        <v>0</v>
      </c>
      <c r="B13781" t="s">
        <v>2753</v>
      </c>
      <c r="C13781" t="s">
        <v>16889</v>
      </c>
      <c r="D13781" t="s">
        <v>18038</v>
      </c>
      <c r="E13781" t="s">
        <v>29942</v>
      </c>
      <c r="F13781" t="s">
        <v>30900</v>
      </c>
      <c r="G13781" t="s">
        <v>30907</v>
      </c>
      <c r="H13781" t="s">
        <v>30915</v>
      </c>
      <c r="I13781" t="s">
        <v>30919</v>
      </c>
      <c r="J13781" t="s">
        <v>32324</v>
      </c>
      <c r="K13781" t="s">
        <v>40446</v>
      </c>
      <c r="M13781" t="s">
        <v>43530</v>
      </c>
      <c r="N13781" t="s">
        <v>44759</v>
      </c>
      <c r="O13781" t="s">
        <v>44760</v>
      </c>
      <c r="P13781">
        <v>0</v>
      </c>
      <c r="Q13781">
        <v>0</v>
      </c>
      <c r="R13781" t="s">
        <v>44781</v>
      </c>
      <c r="S13781" t="s">
        <v>45758</v>
      </c>
      <c r="T13781" t="s">
        <v>46707</v>
      </c>
      <c r="U13781" t="s">
        <v>53950</v>
      </c>
      <c r="W13781" t="s">
        <v>43530</v>
      </c>
      <c r="X13781" t="s">
        <v>44782</v>
      </c>
    </row>
    <row r="13782" spans="1:24">
      <c r="A13782">
        <f>HYPERLINK("https://www.philgeps.gov.ph/GEPSNONPILOT/Tender/SplashBidNoticeAbstractUI.aspx?menuIndex=3&amp;refID=7112484&amp;Result=3","7112484")</f>
        <v>0</v>
      </c>
      <c r="B13782" t="s">
        <v>3661</v>
      </c>
      <c r="C13782" t="s">
        <v>16890</v>
      </c>
      <c r="D13782" t="s">
        <v>17985</v>
      </c>
      <c r="E13782" t="s">
        <v>29943</v>
      </c>
      <c r="F13782" t="s">
        <v>30900</v>
      </c>
      <c r="G13782" t="s">
        <v>30907</v>
      </c>
      <c r="H13782" t="s">
        <v>30915</v>
      </c>
      <c r="I13782" t="s">
        <v>30919</v>
      </c>
      <c r="J13782" t="s">
        <v>31297</v>
      </c>
      <c r="K13782" t="s">
        <v>40295</v>
      </c>
      <c r="M13782" t="s">
        <v>44609</v>
      </c>
      <c r="N13782" t="s">
        <v>44759</v>
      </c>
      <c r="O13782" t="s">
        <v>44760</v>
      </c>
      <c r="Q13782">
        <v>0</v>
      </c>
      <c r="R13782" t="s">
        <v>44781</v>
      </c>
      <c r="S13782" t="s">
        <v>45835</v>
      </c>
      <c r="T13782" t="s">
        <v>46757</v>
      </c>
      <c r="U13782" t="s">
        <v>58231</v>
      </c>
      <c r="V13782" t="s">
        <v>60662</v>
      </c>
      <c r="W13782" t="s">
        <v>44609</v>
      </c>
      <c r="X13782" t="s">
        <v>44782</v>
      </c>
    </row>
    <row r="13783" spans="1:24">
      <c r="A13783">
        <f>HYPERLINK("https://www.philgeps.gov.ph/GEPSNONPILOT/Tender/SplashBidNoticeAbstractUI.aspx?menuIndex=3&amp;refID=7112521&amp;Result=3","7112521")</f>
        <v>0</v>
      </c>
      <c r="B13783" t="s">
        <v>1333</v>
      </c>
      <c r="C13783" t="s">
        <v>16891</v>
      </c>
      <c r="D13783" t="s">
        <v>18034</v>
      </c>
      <c r="E13783" t="s">
        <v>29944</v>
      </c>
      <c r="F13783" t="s">
        <v>30900</v>
      </c>
      <c r="G13783" t="s">
        <v>30907</v>
      </c>
      <c r="H13783" t="s">
        <v>30916</v>
      </c>
      <c r="I13783" t="s">
        <v>6834</v>
      </c>
      <c r="J13783" t="s">
        <v>39605</v>
      </c>
      <c r="K13783" t="s">
        <v>40301</v>
      </c>
      <c r="M13783" t="s">
        <v>41953</v>
      </c>
      <c r="N13783" t="s">
        <v>44759</v>
      </c>
      <c r="O13783" t="s">
        <v>44760</v>
      </c>
      <c r="P13783">
        <v>0</v>
      </c>
      <c r="Q13783">
        <v>14</v>
      </c>
      <c r="R13783" t="s">
        <v>44781</v>
      </c>
      <c r="S13783" t="s">
        <v>45758</v>
      </c>
      <c r="T13783" t="s">
        <v>46403</v>
      </c>
      <c r="U13783" t="s">
        <v>55744</v>
      </c>
      <c r="W13783" t="s">
        <v>41953</v>
      </c>
      <c r="X13783" t="s">
        <v>44782</v>
      </c>
    </row>
    <row r="13784" spans="1:24">
      <c r="A13784">
        <f>HYPERLINK("https://www.philgeps.gov.ph/GEPSNONPILOT/Tender/SplashBidNoticeAbstractUI.aspx?menuIndex=3&amp;refID=7112504&amp;Result=3","7112504")</f>
        <v>0</v>
      </c>
      <c r="B13784" t="s">
        <v>1333</v>
      </c>
      <c r="C13784" t="s">
        <v>16892</v>
      </c>
      <c r="D13784" t="s">
        <v>18034</v>
      </c>
      <c r="E13784" t="s">
        <v>29945</v>
      </c>
      <c r="F13784" t="s">
        <v>30900</v>
      </c>
      <c r="G13784" t="s">
        <v>30907</v>
      </c>
      <c r="H13784" t="s">
        <v>30916</v>
      </c>
      <c r="I13784" t="s">
        <v>30933</v>
      </c>
      <c r="J13784" t="s">
        <v>34659</v>
      </c>
      <c r="K13784" t="s">
        <v>40301</v>
      </c>
      <c r="M13784" t="s">
        <v>41953</v>
      </c>
      <c r="N13784" t="s">
        <v>44759</v>
      </c>
      <c r="O13784" t="s">
        <v>44760</v>
      </c>
      <c r="P13784">
        <v>0</v>
      </c>
      <c r="Q13784">
        <v>6</v>
      </c>
      <c r="R13784" t="s">
        <v>44781</v>
      </c>
      <c r="S13784" t="s">
        <v>45758</v>
      </c>
      <c r="T13784" t="s">
        <v>46403</v>
      </c>
      <c r="U13784" t="s">
        <v>55744</v>
      </c>
      <c r="W13784" t="s">
        <v>41953</v>
      </c>
      <c r="X13784" t="s">
        <v>44782</v>
      </c>
    </row>
    <row r="13785" spans="1:24">
      <c r="A13785">
        <f>HYPERLINK("https://www.philgeps.gov.ph/GEPSNONPILOT/Tender/SplashBidNoticeAbstractUI.aspx?menuIndex=3&amp;refID=7112360&amp;Result=3","7112360")</f>
        <v>0</v>
      </c>
      <c r="B13785" t="s">
        <v>3657</v>
      </c>
      <c r="C13785" t="s">
        <v>16893</v>
      </c>
      <c r="D13785" t="s">
        <v>18000</v>
      </c>
      <c r="E13785" t="s">
        <v>27379</v>
      </c>
      <c r="F13785" t="s">
        <v>30900</v>
      </c>
      <c r="G13785" t="s">
        <v>30907</v>
      </c>
      <c r="H13785" t="s">
        <v>30915</v>
      </c>
      <c r="I13785" t="s">
        <v>30919</v>
      </c>
      <c r="J13785" t="s">
        <v>31297</v>
      </c>
      <c r="K13785" t="s">
        <v>40304</v>
      </c>
      <c r="M13785" t="s">
        <v>44602</v>
      </c>
      <c r="N13785" t="s">
        <v>44759</v>
      </c>
      <c r="O13785" t="s">
        <v>44760</v>
      </c>
      <c r="P13785">
        <v>0</v>
      </c>
      <c r="Q13785">
        <v>2</v>
      </c>
      <c r="R13785" t="s">
        <v>44781</v>
      </c>
      <c r="S13785" t="s">
        <v>45758</v>
      </c>
      <c r="T13785" t="s">
        <v>46625</v>
      </c>
      <c r="U13785" t="s">
        <v>58095</v>
      </c>
      <c r="W13785" t="s">
        <v>44602</v>
      </c>
      <c r="X13785" t="s">
        <v>44782</v>
      </c>
    </row>
    <row r="13786" spans="1:24">
      <c r="A13786">
        <f>HYPERLINK("https://www.philgeps.gov.ph/GEPSNONPILOT/Tender/SplashBidNoticeAbstractUI.aspx?menuIndex=3&amp;refID=7112356&amp;Result=3","7112356")</f>
        <v>0</v>
      </c>
      <c r="B13786" t="s">
        <v>2217</v>
      </c>
      <c r="C13786" t="s">
        <v>16894</v>
      </c>
      <c r="D13786" t="s">
        <v>17960</v>
      </c>
      <c r="E13786" t="s">
        <v>29946</v>
      </c>
      <c r="F13786" t="s">
        <v>30900</v>
      </c>
      <c r="G13786" t="s">
        <v>30907</v>
      </c>
      <c r="H13786" t="s">
        <v>30916</v>
      </c>
      <c r="I13786" t="s">
        <v>8123</v>
      </c>
      <c r="J13786" t="s">
        <v>39606</v>
      </c>
      <c r="K13786" t="s">
        <v>40287</v>
      </c>
      <c r="M13786" t="s">
        <v>42926</v>
      </c>
      <c r="N13786" t="s">
        <v>44759</v>
      </c>
      <c r="O13786" t="s">
        <v>44760</v>
      </c>
      <c r="P13786">
        <v>0</v>
      </c>
      <c r="Q13786">
        <v>0</v>
      </c>
      <c r="R13786" t="s">
        <v>44781</v>
      </c>
      <c r="S13786" t="s">
        <v>45758</v>
      </c>
      <c r="T13786" t="s">
        <v>46658</v>
      </c>
      <c r="U13786" t="s">
        <v>58232</v>
      </c>
      <c r="W13786" t="s">
        <v>42926</v>
      </c>
      <c r="X13786" t="s">
        <v>44782</v>
      </c>
    </row>
    <row r="13787" spans="1:24">
      <c r="A13787">
        <f>HYPERLINK("https://www.philgeps.gov.ph/GEPSNONPILOT/Tender/SplashBidNoticeAbstractUI.aspx?menuIndex=3&amp;refID=7112348&amp;Result=3","7112348")</f>
        <v>0</v>
      </c>
      <c r="B13787" t="s">
        <v>934</v>
      </c>
      <c r="C13787" t="s">
        <v>16895</v>
      </c>
      <c r="D13787" t="s">
        <v>17984</v>
      </c>
      <c r="E13787" t="s">
        <v>21654</v>
      </c>
      <c r="F13787" t="s">
        <v>30900</v>
      </c>
      <c r="G13787" t="s">
        <v>30907</v>
      </c>
      <c r="H13787" t="s">
        <v>30915</v>
      </c>
      <c r="I13787" t="s">
        <v>30919</v>
      </c>
      <c r="J13787" t="s">
        <v>39607</v>
      </c>
      <c r="K13787" t="s">
        <v>40287</v>
      </c>
      <c r="M13787" t="s">
        <v>41517</v>
      </c>
      <c r="N13787" t="s">
        <v>44759</v>
      </c>
      <c r="O13787" t="s">
        <v>44760</v>
      </c>
      <c r="P13787">
        <v>0</v>
      </c>
      <c r="Q13787">
        <v>1</v>
      </c>
      <c r="R13787" t="s">
        <v>44781</v>
      </c>
      <c r="S13787" t="s">
        <v>45758</v>
      </c>
      <c r="T13787" t="s">
        <v>46531</v>
      </c>
      <c r="U13787" t="s">
        <v>58233</v>
      </c>
      <c r="W13787" t="s">
        <v>41517</v>
      </c>
      <c r="X13787" t="s">
        <v>44782</v>
      </c>
    </row>
    <row r="13788" spans="1:24">
      <c r="A13788">
        <f>HYPERLINK("https://www.philgeps.gov.ph/GEPSNONPILOT/Tender/SplashBidNoticeAbstractUI.aspx?menuIndex=3&amp;refID=7112343&amp;Result=3","7112343")</f>
        <v>0</v>
      </c>
      <c r="B13788" t="s">
        <v>824</v>
      </c>
      <c r="C13788" t="s">
        <v>16896</v>
      </c>
      <c r="E13788" t="s">
        <v>19382</v>
      </c>
      <c r="F13788" t="s">
        <v>30900</v>
      </c>
      <c r="G13788" t="s">
        <v>30907</v>
      </c>
      <c r="H13788" t="s">
        <v>30915</v>
      </c>
      <c r="I13788" t="s">
        <v>30919</v>
      </c>
      <c r="J13788" t="s">
        <v>39608</v>
      </c>
      <c r="K13788" t="s">
        <v>40304</v>
      </c>
      <c r="M13788" t="s">
        <v>43833</v>
      </c>
      <c r="N13788" t="s">
        <v>44759</v>
      </c>
      <c r="O13788" t="s">
        <v>44760</v>
      </c>
      <c r="Q13788">
        <v>10</v>
      </c>
      <c r="R13788" t="s">
        <v>44781</v>
      </c>
      <c r="S13788" t="s">
        <v>45244</v>
      </c>
      <c r="T13788" t="s">
        <v>46531</v>
      </c>
      <c r="U13788" t="s">
        <v>58234</v>
      </c>
      <c r="W13788" t="s">
        <v>43833</v>
      </c>
      <c r="X13788" t="s">
        <v>44782</v>
      </c>
    </row>
    <row r="13789" spans="1:24">
      <c r="A13789">
        <f>HYPERLINK("https://www.philgeps.gov.ph/GEPSNONPILOT/Tender/SplashBidNoticeAbstractUI.aspx?menuIndex=3&amp;refID=7112214&amp;Result=3","7112214")</f>
        <v>0</v>
      </c>
      <c r="B13789" t="s">
        <v>2019</v>
      </c>
      <c r="C13789" t="s">
        <v>5501</v>
      </c>
      <c r="D13789" t="s">
        <v>18038</v>
      </c>
      <c r="E13789" t="s">
        <v>29947</v>
      </c>
      <c r="F13789" t="s">
        <v>30900</v>
      </c>
      <c r="G13789" t="s">
        <v>30907</v>
      </c>
      <c r="H13789" t="s">
        <v>30916</v>
      </c>
      <c r="I13789" t="s">
        <v>5501</v>
      </c>
      <c r="J13789" t="s">
        <v>39609</v>
      </c>
      <c r="K13789" t="s">
        <v>40287</v>
      </c>
      <c r="M13789" t="s">
        <v>44624</v>
      </c>
      <c r="N13789" t="s">
        <v>44759</v>
      </c>
      <c r="O13789" t="s">
        <v>44760</v>
      </c>
      <c r="Q13789">
        <v>9</v>
      </c>
      <c r="R13789" t="s">
        <v>44781</v>
      </c>
      <c r="S13789" t="s">
        <v>45632</v>
      </c>
      <c r="T13789" t="s">
        <v>46439</v>
      </c>
      <c r="U13789" t="s">
        <v>58235</v>
      </c>
      <c r="V13789" t="s">
        <v>60683</v>
      </c>
      <c r="W13789" t="s">
        <v>44624</v>
      </c>
      <c r="X13789" t="s">
        <v>44782</v>
      </c>
    </row>
    <row r="13790" spans="1:24">
      <c r="A13790">
        <f>HYPERLINK("https://www.philgeps.gov.ph/GEPSNONPILOT/Tender/SplashBidNoticeAbstractUI.aspx?menuIndex=3&amp;refID=7112502&amp;Result=3","7112502")</f>
        <v>0</v>
      </c>
      <c r="B13790" t="s">
        <v>2535</v>
      </c>
      <c r="C13790" t="s">
        <v>16897</v>
      </c>
      <c r="D13790" t="s">
        <v>17959</v>
      </c>
      <c r="E13790" t="s">
        <v>29948</v>
      </c>
      <c r="F13790" t="s">
        <v>30900</v>
      </c>
      <c r="G13790" t="s">
        <v>30907</v>
      </c>
      <c r="H13790" t="s">
        <v>30916</v>
      </c>
      <c r="I13790" t="s">
        <v>30924</v>
      </c>
      <c r="J13790" t="s">
        <v>39610</v>
      </c>
      <c r="K13790" t="s">
        <v>40289</v>
      </c>
      <c r="M13790" t="s">
        <v>43291</v>
      </c>
      <c r="N13790" t="s">
        <v>44759</v>
      </c>
      <c r="O13790" t="s">
        <v>44760</v>
      </c>
      <c r="Q13790">
        <v>26</v>
      </c>
      <c r="R13790" t="s">
        <v>44781</v>
      </c>
      <c r="S13790" t="s">
        <v>44917</v>
      </c>
      <c r="T13790" t="s">
        <v>46533</v>
      </c>
      <c r="U13790" t="s">
        <v>58236</v>
      </c>
      <c r="V13790" t="s">
        <v>59925</v>
      </c>
      <c r="W13790" t="s">
        <v>43291</v>
      </c>
      <c r="X13790" t="s">
        <v>44782</v>
      </c>
    </row>
    <row r="13791" spans="1:24">
      <c r="A13791">
        <f>HYPERLINK("https://www.philgeps.gov.ph/GEPSNONPILOT/Tender/SplashBidNoticeAbstractUI.aspx?menuIndex=3&amp;refID=7112191&amp;Result=3","7112191")</f>
        <v>0</v>
      </c>
      <c r="B13791" t="s">
        <v>3667</v>
      </c>
      <c r="C13791" t="s">
        <v>16898</v>
      </c>
      <c r="D13791" t="s">
        <v>17975</v>
      </c>
      <c r="E13791" t="s">
        <v>29949</v>
      </c>
      <c r="F13791" t="s">
        <v>30900</v>
      </c>
      <c r="G13791" t="s">
        <v>30907</v>
      </c>
      <c r="H13791" t="s">
        <v>30916</v>
      </c>
      <c r="I13791" t="s">
        <v>30923</v>
      </c>
      <c r="J13791" t="s">
        <v>39611</v>
      </c>
      <c r="K13791" t="s">
        <v>40289</v>
      </c>
      <c r="M13791" t="s">
        <v>44615</v>
      </c>
      <c r="N13791" t="s">
        <v>44759</v>
      </c>
      <c r="O13791" t="s">
        <v>44760</v>
      </c>
      <c r="Q13791">
        <v>3</v>
      </c>
      <c r="R13791" t="s">
        <v>44781</v>
      </c>
      <c r="S13791" t="s">
        <v>45836</v>
      </c>
      <c r="T13791" t="s">
        <v>46409</v>
      </c>
      <c r="U13791" t="s">
        <v>58237</v>
      </c>
      <c r="W13791" t="s">
        <v>44615</v>
      </c>
      <c r="X13791" t="s">
        <v>44782</v>
      </c>
    </row>
    <row r="13792" spans="1:24">
      <c r="A13792">
        <f>HYPERLINK("https://www.philgeps.gov.ph/GEPSNONPILOT/Tender/SplashBidNoticeAbstractUI.aspx?menuIndex=3&amp;refID=7112849&amp;Result=3","7112849")</f>
        <v>0</v>
      </c>
      <c r="B13792" t="s">
        <v>951</v>
      </c>
      <c r="C13792" t="s">
        <v>16899</v>
      </c>
      <c r="E13792" t="s">
        <v>29950</v>
      </c>
      <c r="F13792" t="s">
        <v>30900</v>
      </c>
      <c r="G13792" t="s">
        <v>30907</v>
      </c>
      <c r="H13792" t="s">
        <v>30916</v>
      </c>
      <c r="I13792" t="s">
        <v>30949</v>
      </c>
      <c r="J13792" t="s">
        <v>39612</v>
      </c>
      <c r="K13792" t="s">
        <v>40292</v>
      </c>
      <c r="M13792" t="s">
        <v>41536</v>
      </c>
      <c r="N13792" t="s">
        <v>44759</v>
      </c>
      <c r="O13792" t="s">
        <v>44760</v>
      </c>
      <c r="Q13792">
        <v>5</v>
      </c>
      <c r="R13792" t="s">
        <v>44781</v>
      </c>
      <c r="S13792" t="s">
        <v>45837</v>
      </c>
      <c r="T13792" t="s">
        <v>46930</v>
      </c>
      <c r="U13792" t="s">
        <v>58238</v>
      </c>
      <c r="V13792" t="s">
        <v>60684</v>
      </c>
      <c r="W13792" t="s">
        <v>41536</v>
      </c>
      <c r="X13792" t="s">
        <v>44782</v>
      </c>
    </row>
    <row r="13793" spans="1:24">
      <c r="A13793">
        <f>HYPERLINK("https://www.philgeps.gov.ph/GEPSNONPILOT/Tender/SplashBidNoticeAbstractUI.aspx?menuIndex=3&amp;refID=7112036&amp;Result=3","7112036")</f>
        <v>0</v>
      </c>
      <c r="B13793" t="s">
        <v>3645</v>
      </c>
      <c r="C13793" t="s">
        <v>16900</v>
      </c>
      <c r="D13793" t="s">
        <v>17977</v>
      </c>
      <c r="E13793" t="s">
        <v>27379</v>
      </c>
      <c r="F13793" t="s">
        <v>30900</v>
      </c>
      <c r="G13793" t="s">
        <v>30907</v>
      </c>
      <c r="H13793" t="s">
        <v>30916</v>
      </c>
      <c r="I13793" t="s">
        <v>4108</v>
      </c>
      <c r="J13793" t="s">
        <v>39613</v>
      </c>
      <c r="K13793" t="s">
        <v>40286</v>
      </c>
      <c r="M13793" t="s">
        <v>44586</v>
      </c>
      <c r="N13793" t="s">
        <v>44759</v>
      </c>
      <c r="O13793" t="s">
        <v>44760</v>
      </c>
      <c r="Q13793">
        <v>9</v>
      </c>
      <c r="R13793" t="s">
        <v>44781</v>
      </c>
      <c r="S13793" t="s">
        <v>45838</v>
      </c>
      <c r="T13793" t="s">
        <v>46403</v>
      </c>
      <c r="U13793" t="s">
        <v>58019</v>
      </c>
      <c r="V13793" t="s">
        <v>60674</v>
      </c>
      <c r="W13793" t="s">
        <v>44586</v>
      </c>
      <c r="X13793" t="s">
        <v>44782</v>
      </c>
    </row>
    <row r="13794" spans="1:24">
      <c r="A13794">
        <f>HYPERLINK("https://www.philgeps.gov.ph/GEPSNONPILOT/Tender/SplashBidNoticeAbstractUI.aspx?menuIndex=3&amp;refID=7112379&amp;Result=3","7112379")</f>
        <v>0</v>
      </c>
      <c r="B13794" t="s">
        <v>934</v>
      </c>
      <c r="C13794" t="s">
        <v>16901</v>
      </c>
      <c r="D13794" t="s">
        <v>17984</v>
      </c>
      <c r="E13794" t="s">
        <v>21661</v>
      </c>
      <c r="F13794" t="s">
        <v>30900</v>
      </c>
      <c r="G13794" t="s">
        <v>30907</v>
      </c>
      <c r="H13794" t="s">
        <v>30915</v>
      </c>
      <c r="I13794" t="s">
        <v>30919</v>
      </c>
      <c r="J13794" t="s">
        <v>32967</v>
      </c>
      <c r="K13794" t="s">
        <v>40433</v>
      </c>
      <c r="M13794" t="s">
        <v>41517</v>
      </c>
      <c r="N13794" t="s">
        <v>44759</v>
      </c>
      <c r="O13794" t="s">
        <v>44760</v>
      </c>
      <c r="P13794">
        <v>0</v>
      </c>
      <c r="Q13794">
        <v>2</v>
      </c>
      <c r="R13794" t="s">
        <v>44781</v>
      </c>
      <c r="S13794" t="s">
        <v>45758</v>
      </c>
      <c r="T13794" t="s">
        <v>46531</v>
      </c>
      <c r="U13794" t="s">
        <v>58239</v>
      </c>
      <c r="W13794" t="s">
        <v>41517</v>
      </c>
      <c r="X13794" t="s">
        <v>44782</v>
      </c>
    </row>
    <row r="13795" spans="1:24">
      <c r="A13795">
        <f>HYPERLINK("https://www.philgeps.gov.ph/GEPSNONPILOT/Tender/SplashBidNoticeAbstractUI.aspx?menuIndex=3&amp;refID=7112035&amp;Result=3","7112035")</f>
        <v>0</v>
      </c>
      <c r="B13795" t="s">
        <v>1423</v>
      </c>
      <c r="C13795" t="s">
        <v>16808</v>
      </c>
      <c r="D13795" t="s">
        <v>18013</v>
      </c>
      <c r="E13795" t="s">
        <v>29951</v>
      </c>
      <c r="F13795" t="s">
        <v>30900</v>
      </c>
      <c r="G13795" t="s">
        <v>30907</v>
      </c>
      <c r="H13795" t="s">
        <v>30916</v>
      </c>
      <c r="I13795" t="s">
        <v>30933</v>
      </c>
      <c r="J13795" t="s">
        <v>39614</v>
      </c>
      <c r="K13795" t="s">
        <v>40289</v>
      </c>
      <c r="M13795" t="s">
        <v>42130</v>
      </c>
      <c r="N13795" t="s">
        <v>44759</v>
      </c>
      <c r="O13795" t="s">
        <v>44760</v>
      </c>
      <c r="Q13795">
        <v>3</v>
      </c>
      <c r="R13795" t="s">
        <v>44781</v>
      </c>
      <c r="S13795" t="s">
        <v>45839</v>
      </c>
      <c r="T13795" t="s">
        <v>46662</v>
      </c>
      <c r="U13795" t="s">
        <v>58240</v>
      </c>
      <c r="V13795" t="s">
        <v>60685</v>
      </c>
      <c r="W13795" t="s">
        <v>42130</v>
      </c>
      <c r="X13795" t="s">
        <v>44782</v>
      </c>
    </row>
    <row r="13796" spans="1:24">
      <c r="A13796">
        <f>HYPERLINK("https://www.philgeps.gov.ph/GEPSNONPILOT/Tender/SplashBidNoticeAbstractUI.aspx?menuIndex=3&amp;refID=7112010&amp;Result=3","7112010")</f>
        <v>0</v>
      </c>
      <c r="B13796" t="s">
        <v>2026</v>
      </c>
      <c r="C13796" t="s">
        <v>16902</v>
      </c>
      <c r="D13796" t="s">
        <v>18004</v>
      </c>
      <c r="E13796" t="s">
        <v>29804</v>
      </c>
      <c r="F13796" t="s">
        <v>30900</v>
      </c>
      <c r="G13796" t="s">
        <v>30907</v>
      </c>
      <c r="H13796" t="s">
        <v>30916</v>
      </c>
      <c r="I13796" t="s">
        <v>30919</v>
      </c>
      <c r="J13796" t="s">
        <v>39514</v>
      </c>
      <c r="K13796" t="s">
        <v>40294</v>
      </c>
      <c r="M13796" t="s">
        <v>42722</v>
      </c>
      <c r="N13796" t="s">
        <v>44759</v>
      </c>
      <c r="O13796" t="s">
        <v>44760</v>
      </c>
      <c r="P13796">
        <v>0</v>
      </c>
      <c r="Q13796">
        <v>20</v>
      </c>
      <c r="R13796" t="s">
        <v>44781</v>
      </c>
      <c r="S13796" t="s">
        <v>45758</v>
      </c>
      <c r="T13796" t="s">
        <v>46453</v>
      </c>
      <c r="U13796" t="s">
        <v>58241</v>
      </c>
      <c r="W13796" t="s">
        <v>42722</v>
      </c>
      <c r="X13796" t="s">
        <v>44782</v>
      </c>
    </row>
    <row r="13797" spans="1:24">
      <c r="A13797">
        <f>HYPERLINK("https://www.philgeps.gov.ph/GEPSNONPILOT/Tender/SplashBidNoticeAbstractUI.aspx?menuIndex=3&amp;refID=7112396&amp;Result=3","7112396")</f>
        <v>0</v>
      </c>
      <c r="B13797" t="s">
        <v>3657</v>
      </c>
      <c r="C13797" t="s">
        <v>16903</v>
      </c>
      <c r="D13797" t="s">
        <v>18000</v>
      </c>
      <c r="E13797" t="s">
        <v>19079</v>
      </c>
      <c r="F13797" t="s">
        <v>30900</v>
      </c>
      <c r="G13797" t="s">
        <v>30907</v>
      </c>
      <c r="H13797" t="s">
        <v>30915</v>
      </c>
      <c r="I13797" t="s">
        <v>30919</v>
      </c>
      <c r="J13797" t="s">
        <v>31297</v>
      </c>
      <c r="K13797" t="s">
        <v>40304</v>
      </c>
      <c r="M13797" t="s">
        <v>44602</v>
      </c>
      <c r="N13797" t="s">
        <v>44759</v>
      </c>
      <c r="O13797" t="s">
        <v>44760</v>
      </c>
      <c r="P13797">
        <v>0</v>
      </c>
      <c r="Q13797">
        <v>1</v>
      </c>
      <c r="R13797" t="s">
        <v>44781</v>
      </c>
      <c r="S13797" t="s">
        <v>45758</v>
      </c>
      <c r="T13797" t="s">
        <v>46625</v>
      </c>
      <c r="U13797" t="s">
        <v>58095</v>
      </c>
      <c r="W13797" t="s">
        <v>44602</v>
      </c>
      <c r="X13797" t="s">
        <v>44782</v>
      </c>
    </row>
    <row r="13798" spans="1:24">
      <c r="A13798">
        <f>HYPERLINK("https://www.philgeps.gov.ph/GEPSNONPILOT/Tender/SplashBidNoticeAbstractUI.aspx?menuIndex=3&amp;refID=7111994&amp;Result=3","7111994")</f>
        <v>0</v>
      </c>
      <c r="B13798" t="s">
        <v>2152</v>
      </c>
      <c r="C13798" t="s">
        <v>16904</v>
      </c>
      <c r="D13798" t="s">
        <v>18019</v>
      </c>
      <c r="E13798" t="s">
        <v>29952</v>
      </c>
      <c r="F13798" t="s">
        <v>30900</v>
      </c>
      <c r="G13798" t="s">
        <v>30907</v>
      </c>
      <c r="H13798" t="s">
        <v>30915</v>
      </c>
      <c r="I13798" t="s">
        <v>30919</v>
      </c>
      <c r="J13798" t="s">
        <v>39615</v>
      </c>
      <c r="K13798" t="s">
        <v>40292</v>
      </c>
      <c r="M13798" t="s">
        <v>43265</v>
      </c>
      <c r="N13798" t="s">
        <v>44759</v>
      </c>
      <c r="O13798" t="s">
        <v>44760</v>
      </c>
      <c r="P13798">
        <v>0</v>
      </c>
      <c r="Q13798">
        <v>0</v>
      </c>
      <c r="R13798" t="s">
        <v>44781</v>
      </c>
      <c r="S13798" t="s">
        <v>45758</v>
      </c>
      <c r="T13798" t="s">
        <v>46612</v>
      </c>
      <c r="U13798" t="s">
        <v>53245</v>
      </c>
      <c r="W13798" t="s">
        <v>43265</v>
      </c>
      <c r="X13798" t="s">
        <v>44782</v>
      </c>
    </row>
    <row r="13799" spans="1:24">
      <c r="A13799">
        <f>HYPERLINK("https://www.philgeps.gov.ph/GEPSNONPILOT/Tender/SplashBidNoticeAbstractUI.aspx?menuIndex=3&amp;refID=7112207&amp;Result=3","7112207")</f>
        <v>0</v>
      </c>
      <c r="B13799" t="s">
        <v>3667</v>
      </c>
      <c r="C13799" t="s">
        <v>16905</v>
      </c>
      <c r="D13799" t="s">
        <v>17975</v>
      </c>
      <c r="E13799" t="s">
        <v>29953</v>
      </c>
      <c r="F13799" t="s">
        <v>30900</v>
      </c>
      <c r="G13799" t="s">
        <v>30907</v>
      </c>
      <c r="H13799" t="s">
        <v>30916</v>
      </c>
      <c r="I13799" t="s">
        <v>30933</v>
      </c>
      <c r="J13799" t="s">
        <v>32324</v>
      </c>
      <c r="K13799" t="s">
        <v>40289</v>
      </c>
      <c r="M13799" t="s">
        <v>44615</v>
      </c>
      <c r="N13799" t="s">
        <v>44759</v>
      </c>
      <c r="O13799" t="s">
        <v>44760</v>
      </c>
      <c r="Q13799">
        <v>3</v>
      </c>
      <c r="R13799" t="s">
        <v>44781</v>
      </c>
      <c r="S13799" t="s">
        <v>45213</v>
      </c>
      <c r="T13799" t="s">
        <v>46409</v>
      </c>
      <c r="U13799" t="s">
        <v>58242</v>
      </c>
      <c r="W13799" t="s">
        <v>44615</v>
      </c>
      <c r="X13799" t="s">
        <v>44782</v>
      </c>
    </row>
    <row r="13800" spans="1:24">
      <c r="A13800">
        <f>HYPERLINK("https://www.philgeps.gov.ph/GEPSNONPILOT/Tender/SplashBidNoticeAbstractUI.aspx?menuIndex=3&amp;refID=7111096&amp;Result=3","7111096")</f>
        <v>0</v>
      </c>
      <c r="B13800" t="s">
        <v>46</v>
      </c>
      <c r="C13800" t="s">
        <v>16906</v>
      </c>
      <c r="D13800" t="s">
        <v>17953</v>
      </c>
      <c r="E13800" t="s">
        <v>29954</v>
      </c>
      <c r="F13800" t="s">
        <v>30900</v>
      </c>
      <c r="G13800" t="s">
        <v>30907</v>
      </c>
      <c r="H13800" t="s">
        <v>30916</v>
      </c>
      <c r="I13800" t="s">
        <v>10847</v>
      </c>
      <c r="J13800" t="s">
        <v>39616</v>
      </c>
      <c r="K13800" t="s">
        <v>40291</v>
      </c>
      <c r="M13800" t="s">
        <v>40592</v>
      </c>
      <c r="N13800" t="s">
        <v>44759</v>
      </c>
      <c r="O13800" t="s">
        <v>44760</v>
      </c>
      <c r="P13800">
        <v>0</v>
      </c>
      <c r="Q13800">
        <v>2</v>
      </c>
      <c r="R13800" t="s">
        <v>44781</v>
      </c>
      <c r="S13800" t="s">
        <v>45758</v>
      </c>
      <c r="T13800" t="s">
        <v>46641</v>
      </c>
      <c r="U13800" t="s">
        <v>46984</v>
      </c>
      <c r="W13800" t="s">
        <v>60814</v>
      </c>
      <c r="X13800" t="s">
        <v>44782</v>
      </c>
    </row>
    <row r="13801" spans="1:24">
      <c r="A13801">
        <f>HYPERLINK("https://www.philgeps.gov.ph/GEPSNONPILOT/Tender/SplashBidNoticeAbstractUI.aspx?menuIndex=3&amp;refID=7111073&amp;Result=3","7111073")</f>
        <v>0</v>
      </c>
      <c r="B13801" t="s">
        <v>489</v>
      </c>
      <c r="C13801" t="s">
        <v>16907</v>
      </c>
      <c r="D13801" t="s">
        <v>17993</v>
      </c>
      <c r="E13801" t="s">
        <v>29955</v>
      </c>
      <c r="F13801" t="s">
        <v>30900</v>
      </c>
      <c r="G13801" t="s">
        <v>30907</v>
      </c>
      <c r="H13801" t="s">
        <v>30916</v>
      </c>
      <c r="I13801" t="s">
        <v>8123</v>
      </c>
      <c r="J13801" t="s">
        <v>39617</v>
      </c>
      <c r="K13801" t="s">
        <v>40289</v>
      </c>
      <c r="M13801" t="s">
        <v>41047</v>
      </c>
      <c r="N13801" t="s">
        <v>44759</v>
      </c>
      <c r="O13801" t="s">
        <v>44760</v>
      </c>
      <c r="P13801">
        <v>0</v>
      </c>
      <c r="Q13801">
        <v>3</v>
      </c>
      <c r="R13801" t="s">
        <v>44781</v>
      </c>
      <c r="S13801" t="s">
        <v>45758</v>
      </c>
      <c r="T13801" t="s">
        <v>46658</v>
      </c>
      <c r="U13801" t="s">
        <v>58243</v>
      </c>
      <c r="W13801" t="s">
        <v>41047</v>
      </c>
      <c r="X13801" t="s">
        <v>44782</v>
      </c>
    </row>
    <row r="13802" spans="1:24">
      <c r="A13802">
        <f>HYPERLINK("https://www.philgeps.gov.ph/GEPSNONPILOT/Tender/SplashBidNoticeAbstractUI.aspx?menuIndex=3&amp;refID=7111051&amp;Result=3","7111051")</f>
        <v>0</v>
      </c>
      <c r="B13802" t="s">
        <v>81</v>
      </c>
      <c r="C13802" t="s">
        <v>16908</v>
      </c>
      <c r="D13802" t="s">
        <v>17959</v>
      </c>
      <c r="E13802" t="s">
        <v>29956</v>
      </c>
      <c r="F13802" t="s">
        <v>30900</v>
      </c>
      <c r="G13802" t="s">
        <v>30907</v>
      </c>
      <c r="H13802" t="s">
        <v>30916</v>
      </c>
      <c r="I13802" t="s">
        <v>31037</v>
      </c>
      <c r="J13802" t="s">
        <v>39618</v>
      </c>
      <c r="K13802" t="s">
        <v>40289</v>
      </c>
      <c r="M13802" t="s">
        <v>41401</v>
      </c>
      <c r="N13802" t="s">
        <v>44759</v>
      </c>
      <c r="O13802" t="s">
        <v>44760</v>
      </c>
      <c r="P13802">
        <v>0</v>
      </c>
      <c r="Q13802">
        <v>2</v>
      </c>
      <c r="R13802" t="s">
        <v>44781</v>
      </c>
      <c r="S13802" t="s">
        <v>45758</v>
      </c>
      <c r="T13802" t="s">
        <v>46581</v>
      </c>
      <c r="U13802" t="s">
        <v>58244</v>
      </c>
      <c r="V13802" t="s">
        <v>59313</v>
      </c>
      <c r="W13802" t="s">
        <v>41401</v>
      </c>
      <c r="X13802" t="s">
        <v>44782</v>
      </c>
    </row>
    <row r="13803" spans="1:24">
      <c r="A13803">
        <f>HYPERLINK("https://www.philgeps.gov.ph/GEPSNONPILOT/Tender/SplashBidNoticeAbstractUI.aspx?menuIndex=3&amp;refID=7112186&amp;Result=3","7112186")</f>
        <v>0</v>
      </c>
      <c r="B13803" t="s">
        <v>2346</v>
      </c>
      <c r="C13803" t="s">
        <v>16909</v>
      </c>
      <c r="D13803" t="s">
        <v>17976</v>
      </c>
      <c r="E13803" t="s">
        <v>22806</v>
      </c>
      <c r="F13803" t="s">
        <v>30900</v>
      </c>
      <c r="G13803" t="s">
        <v>30907</v>
      </c>
      <c r="H13803" t="s">
        <v>30916</v>
      </c>
      <c r="I13803" t="s">
        <v>30942</v>
      </c>
      <c r="J13803" t="s">
        <v>39619</v>
      </c>
      <c r="K13803" t="s">
        <v>40298</v>
      </c>
      <c r="M13803" t="s">
        <v>43070</v>
      </c>
      <c r="N13803" t="s">
        <v>44759</v>
      </c>
      <c r="O13803" t="s">
        <v>44760</v>
      </c>
      <c r="Q13803">
        <v>7</v>
      </c>
      <c r="R13803" t="s">
        <v>44781</v>
      </c>
      <c r="S13803" t="s">
        <v>45840</v>
      </c>
      <c r="T13803" t="s">
        <v>46403</v>
      </c>
      <c r="U13803" t="s">
        <v>58245</v>
      </c>
      <c r="W13803" t="s">
        <v>43070</v>
      </c>
      <c r="X13803" t="s">
        <v>44782</v>
      </c>
    </row>
    <row r="13804" spans="1:24">
      <c r="A13804">
        <f>HYPERLINK("https://www.philgeps.gov.ph/GEPSNONPILOT/Tender/SplashBidNoticeAbstractUI.aspx?menuIndex=3&amp;refID=7111034&amp;Result=3","7111034")</f>
        <v>0</v>
      </c>
      <c r="B13804" t="s">
        <v>1999</v>
      </c>
      <c r="C13804" t="s">
        <v>16910</v>
      </c>
      <c r="D13804" t="s">
        <v>18017</v>
      </c>
      <c r="E13804" t="s">
        <v>29957</v>
      </c>
      <c r="F13804" t="s">
        <v>30900</v>
      </c>
      <c r="G13804" t="s">
        <v>30907</v>
      </c>
      <c r="H13804" t="s">
        <v>30915</v>
      </c>
      <c r="I13804" t="s">
        <v>30919</v>
      </c>
      <c r="J13804" t="s">
        <v>39620</v>
      </c>
      <c r="K13804" t="s">
        <v>40526</v>
      </c>
      <c r="M13804" t="s">
        <v>42691</v>
      </c>
      <c r="N13804" t="s">
        <v>44759</v>
      </c>
      <c r="O13804" t="s">
        <v>44760</v>
      </c>
      <c r="P13804">
        <v>0</v>
      </c>
      <c r="Q13804">
        <v>9</v>
      </c>
      <c r="R13804" t="s">
        <v>44781</v>
      </c>
      <c r="S13804" t="s">
        <v>45758</v>
      </c>
      <c r="T13804" t="s">
        <v>46533</v>
      </c>
      <c r="U13804" t="s">
        <v>58246</v>
      </c>
      <c r="V13804" t="s">
        <v>60657</v>
      </c>
      <c r="W13804" t="s">
        <v>42691</v>
      </c>
      <c r="X13804" t="s">
        <v>44782</v>
      </c>
    </row>
    <row r="13805" spans="1:24">
      <c r="A13805">
        <f>HYPERLINK("https://www.philgeps.gov.ph/GEPSNONPILOT/Tender/SplashBidNoticeAbstractUI.aspx?menuIndex=3&amp;refID=7111032&amp;Result=3","7111032")</f>
        <v>0</v>
      </c>
      <c r="B13805" t="s">
        <v>489</v>
      </c>
      <c r="C13805" t="s">
        <v>16911</v>
      </c>
      <c r="D13805" t="s">
        <v>17993</v>
      </c>
      <c r="E13805" t="s">
        <v>29958</v>
      </c>
      <c r="F13805" t="s">
        <v>30900</v>
      </c>
      <c r="G13805" t="s">
        <v>30907</v>
      </c>
      <c r="H13805" t="s">
        <v>30916</v>
      </c>
      <c r="I13805" t="s">
        <v>4142</v>
      </c>
      <c r="J13805" t="s">
        <v>39621</v>
      </c>
      <c r="K13805" t="s">
        <v>40289</v>
      </c>
      <c r="M13805" t="s">
        <v>41047</v>
      </c>
      <c r="N13805" t="s">
        <v>44759</v>
      </c>
      <c r="O13805" t="s">
        <v>44760</v>
      </c>
      <c r="Q13805">
        <v>10</v>
      </c>
      <c r="R13805" t="s">
        <v>44781</v>
      </c>
      <c r="S13805" t="s">
        <v>45311</v>
      </c>
      <c r="T13805" t="s">
        <v>46658</v>
      </c>
      <c r="U13805" t="s">
        <v>58247</v>
      </c>
      <c r="V13805" t="s">
        <v>60655</v>
      </c>
      <c r="W13805" t="s">
        <v>41047</v>
      </c>
      <c r="X13805" t="s">
        <v>44782</v>
      </c>
    </row>
    <row r="13806" spans="1:24">
      <c r="A13806">
        <f>HYPERLINK("https://www.philgeps.gov.ph/GEPSNONPILOT/Tender/SplashBidNoticeAbstractUI.aspx?menuIndex=3&amp;refID=7110606&amp;Result=3","7110606")</f>
        <v>0</v>
      </c>
      <c r="B13806" t="s">
        <v>3437</v>
      </c>
      <c r="C13806" t="s">
        <v>16912</v>
      </c>
      <c r="D13806" t="s">
        <v>17996</v>
      </c>
      <c r="E13806" t="s">
        <v>29959</v>
      </c>
      <c r="F13806" t="s">
        <v>30900</v>
      </c>
      <c r="G13806" t="s">
        <v>30907</v>
      </c>
      <c r="H13806" t="s">
        <v>30917</v>
      </c>
      <c r="I13806" t="s">
        <v>30933</v>
      </c>
      <c r="J13806" t="s">
        <v>31152</v>
      </c>
      <c r="K13806" t="s">
        <v>40283</v>
      </c>
      <c r="M13806" t="s">
        <v>44597</v>
      </c>
      <c r="N13806" t="s">
        <v>44759</v>
      </c>
      <c r="O13806" t="s">
        <v>44760</v>
      </c>
      <c r="Q13806">
        <v>3</v>
      </c>
      <c r="R13806" t="s">
        <v>44781</v>
      </c>
      <c r="S13806" t="s">
        <v>45841</v>
      </c>
      <c r="T13806" t="s">
        <v>46406</v>
      </c>
      <c r="U13806" t="s">
        <v>58248</v>
      </c>
      <c r="W13806" t="s">
        <v>44597</v>
      </c>
      <c r="X13806" t="s">
        <v>44782</v>
      </c>
    </row>
    <row r="13807" spans="1:24">
      <c r="A13807">
        <f>HYPERLINK("https://www.philgeps.gov.ph/GEPSNONPILOT/Tender/SplashBidNoticeAbstractUI.aspx?menuIndex=3&amp;refID=7110604&amp;Result=3","7110604")</f>
        <v>0</v>
      </c>
      <c r="B13807" t="s">
        <v>3655</v>
      </c>
      <c r="C13807" t="s">
        <v>16913</v>
      </c>
      <c r="D13807" t="s">
        <v>17978</v>
      </c>
      <c r="E13807" t="s">
        <v>29779</v>
      </c>
      <c r="F13807" t="s">
        <v>30900</v>
      </c>
      <c r="G13807" t="s">
        <v>30907</v>
      </c>
      <c r="H13807" t="s">
        <v>30915</v>
      </c>
      <c r="I13807" t="s">
        <v>30919</v>
      </c>
      <c r="J13807" t="s">
        <v>31243</v>
      </c>
      <c r="K13807" t="s">
        <v>40280</v>
      </c>
      <c r="M13807" t="s">
        <v>44599</v>
      </c>
      <c r="N13807" t="s">
        <v>44759</v>
      </c>
      <c r="O13807" t="s">
        <v>44760</v>
      </c>
      <c r="P13807">
        <v>0</v>
      </c>
      <c r="Q13807">
        <v>2</v>
      </c>
      <c r="R13807" t="s">
        <v>44781</v>
      </c>
      <c r="S13807" t="s">
        <v>45758</v>
      </c>
      <c r="T13807" t="s">
        <v>46581</v>
      </c>
      <c r="U13807" t="s">
        <v>58249</v>
      </c>
      <c r="V13807" t="s">
        <v>60461</v>
      </c>
      <c r="W13807" t="s">
        <v>44599</v>
      </c>
      <c r="X13807" t="s">
        <v>44782</v>
      </c>
    </row>
    <row r="13808" spans="1:24">
      <c r="A13808">
        <f>HYPERLINK("https://www.philgeps.gov.ph/GEPSNONPILOT/Tender/SplashBidNoticeAbstractUI.aspx?menuIndex=3&amp;refID=7110577&amp;Result=3","7110577")</f>
        <v>0</v>
      </c>
      <c r="B13808" t="s">
        <v>3443</v>
      </c>
      <c r="C13808" t="s">
        <v>16914</v>
      </c>
      <c r="D13808" t="s">
        <v>17957</v>
      </c>
      <c r="E13808" t="s">
        <v>29960</v>
      </c>
      <c r="F13808" t="s">
        <v>30900</v>
      </c>
      <c r="G13808" t="s">
        <v>30907</v>
      </c>
      <c r="H13808" t="s">
        <v>30915</v>
      </c>
      <c r="I13808" t="s">
        <v>30919</v>
      </c>
      <c r="J13808" t="s">
        <v>39622</v>
      </c>
      <c r="K13808" t="s">
        <v>40553</v>
      </c>
      <c r="M13808" t="s">
        <v>44324</v>
      </c>
      <c r="N13808" t="s">
        <v>44759</v>
      </c>
      <c r="O13808" t="s">
        <v>44760</v>
      </c>
      <c r="P13808">
        <v>0</v>
      </c>
      <c r="Q13808">
        <v>0</v>
      </c>
      <c r="R13808" t="s">
        <v>44781</v>
      </c>
      <c r="S13808" t="s">
        <v>45758</v>
      </c>
      <c r="T13808" t="s">
        <v>46357</v>
      </c>
      <c r="U13808" t="s">
        <v>58250</v>
      </c>
      <c r="W13808" t="s">
        <v>44324</v>
      </c>
      <c r="X13808" t="s">
        <v>44782</v>
      </c>
    </row>
    <row r="13809" spans="1:24">
      <c r="A13809">
        <f>HYPERLINK("https://www.philgeps.gov.ph/GEPSNONPILOT/Tender/SplashBidNoticeAbstractUI.aspx?menuIndex=3&amp;refID=7110336&amp;Result=3","7110336")</f>
        <v>0</v>
      </c>
      <c r="B13809" t="s">
        <v>3227</v>
      </c>
      <c r="C13809" t="s">
        <v>16915</v>
      </c>
      <c r="D13809" t="s">
        <v>17965</v>
      </c>
      <c r="E13809" t="s">
        <v>29961</v>
      </c>
      <c r="F13809" t="s">
        <v>30900</v>
      </c>
      <c r="G13809" t="s">
        <v>30907</v>
      </c>
      <c r="H13809" t="s">
        <v>30915</v>
      </c>
      <c r="I13809" t="s">
        <v>30919</v>
      </c>
      <c r="J13809" t="s">
        <v>31152</v>
      </c>
      <c r="K13809" t="s">
        <v>40280</v>
      </c>
      <c r="M13809" t="s">
        <v>44066</v>
      </c>
      <c r="N13809" t="s">
        <v>44759</v>
      </c>
      <c r="O13809" t="s">
        <v>44760</v>
      </c>
      <c r="P13809">
        <v>0</v>
      </c>
      <c r="Q13809">
        <v>0</v>
      </c>
      <c r="R13809" t="s">
        <v>44781</v>
      </c>
      <c r="S13809" t="s">
        <v>45758</v>
      </c>
      <c r="T13809" t="s">
        <v>46581</v>
      </c>
      <c r="U13809" t="s">
        <v>55720</v>
      </c>
      <c r="V13809" t="s">
        <v>60338</v>
      </c>
      <c r="W13809" t="s">
        <v>44066</v>
      </c>
      <c r="X13809" t="s">
        <v>44782</v>
      </c>
    </row>
    <row r="13810" spans="1:24">
      <c r="A13810">
        <f>HYPERLINK("https://www.philgeps.gov.ph/GEPSNONPILOT/Tender/SplashBidNoticeAbstractUI.aspx?menuIndex=3&amp;refID=7110328&amp;Result=3","7110328")</f>
        <v>0</v>
      </c>
      <c r="B13810" t="s">
        <v>3227</v>
      </c>
      <c r="C13810" t="s">
        <v>16916</v>
      </c>
      <c r="D13810" t="s">
        <v>17965</v>
      </c>
      <c r="E13810" t="s">
        <v>29962</v>
      </c>
      <c r="F13810" t="s">
        <v>30900</v>
      </c>
      <c r="G13810" t="s">
        <v>30907</v>
      </c>
      <c r="H13810" t="s">
        <v>30915</v>
      </c>
      <c r="I13810" t="s">
        <v>30919</v>
      </c>
      <c r="J13810" t="s">
        <v>31152</v>
      </c>
      <c r="K13810" t="s">
        <v>40392</v>
      </c>
      <c r="M13810" t="s">
        <v>44066</v>
      </c>
      <c r="N13810" t="s">
        <v>44759</v>
      </c>
      <c r="O13810" t="s">
        <v>44760</v>
      </c>
      <c r="P13810">
        <v>0</v>
      </c>
      <c r="Q13810">
        <v>0</v>
      </c>
      <c r="R13810" t="s">
        <v>44781</v>
      </c>
      <c r="S13810" t="s">
        <v>45758</v>
      </c>
      <c r="T13810" t="s">
        <v>46581</v>
      </c>
      <c r="U13810" t="s">
        <v>55720</v>
      </c>
      <c r="V13810" t="s">
        <v>60338</v>
      </c>
      <c r="W13810" t="s">
        <v>44066</v>
      </c>
      <c r="X13810" t="s">
        <v>44782</v>
      </c>
    </row>
    <row r="13811" spans="1:24">
      <c r="A13811">
        <f>HYPERLINK("https://www.philgeps.gov.ph/GEPSNONPILOT/Tender/SplashBidNoticeAbstractUI.aspx?menuIndex=3&amp;refID=7112190&amp;Result=3","7112190")</f>
        <v>0</v>
      </c>
      <c r="B13811" t="s">
        <v>3645</v>
      </c>
      <c r="C13811" t="s">
        <v>16917</v>
      </c>
      <c r="D13811" t="s">
        <v>17977</v>
      </c>
      <c r="E13811" t="s">
        <v>27379</v>
      </c>
      <c r="F13811" t="s">
        <v>30900</v>
      </c>
      <c r="G13811" t="s">
        <v>30907</v>
      </c>
      <c r="H13811" t="s">
        <v>30916</v>
      </c>
      <c r="I13811" t="s">
        <v>5501</v>
      </c>
      <c r="J13811" t="s">
        <v>36316</v>
      </c>
      <c r="K13811" t="s">
        <v>40286</v>
      </c>
      <c r="M13811" t="s">
        <v>44586</v>
      </c>
      <c r="N13811" t="s">
        <v>44759</v>
      </c>
      <c r="O13811" t="s">
        <v>44760</v>
      </c>
      <c r="Q13811">
        <v>7</v>
      </c>
      <c r="R13811" t="s">
        <v>44781</v>
      </c>
      <c r="S13811" t="s">
        <v>45842</v>
      </c>
      <c r="T13811" t="s">
        <v>46403</v>
      </c>
      <c r="U13811" t="s">
        <v>58019</v>
      </c>
      <c r="V13811" t="s">
        <v>60674</v>
      </c>
      <c r="W13811" t="s">
        <v>44586</v>
      </c>
      <c r="X13811" t="s">
        <v>44782</v>
      </c>
    </row>
    <row r="13812" spans="1:24">
      <c r="A13812">
        <f>HYPERLINK("https://www.philgeps.gov.ph/GEPSNONPILOT/Tender/SplashBidNoticeAbstractUI.aspx?menuIndex=3&amp;refID=7110243&amp;Result=3","7110243")</f>
        <v>0</v>
      </c>
      <c r="B13812" t="s">
        <v>3673</v>
      </c>
      <c r="C13812" t="s">
        <v>16918</v>
      </c>
      <c r="D13812" t="s">
        <v>17978</v>
      </c>
      <c r="E13812" t="s">
        <v>29963</v>
      </c>
      <c r="F13812" t="s">
        <v>30900</v>
      </c>
      <c r="G13812" t="s">
        <v>30907</v>
      </c>
      <c r="H13812" t="s">
        <v>30915</v>
      </c>
      <c r="I13812" t="s">
        <v>30919</v>
      </c>
      <c r="J13812" t="s">
        <v>31241</v>
      </c>
      <c r="K13812" t="s">
        <v>40554</v>
      </c>
      <c r="M13812" t="s">
        <v>44625</v>
      </c>
      <c r="N13812" t="s">
        <v>44759</v>
      </c>
      <c r="O13812" t="s">
        <v>44760</v>
      </c>
      <c r="P13812">
        <v>0</v>
      </c>
      <c r="Q13812">
        <v>3</v>
      </c>
      <c r="R13812" t="s">
        <v>44781</v>
      </c>
      <c r="S13812" t="s">
        <v>45758</v>
      </c>
      <c r="T13812" t="s">
        <v>46533</v>
      </c>
      <c r="U13812" t="s">
        <v>58251</v>
      </c>
      <c r="W13812" t="s">
        <v>44625</v>
      </c>
      <c r="X13812" t="s">
        <v>44782</v>
      </c>
    </row>
    <row r="13813" spans="1:24">
      <c r="A13813">
        <f>HYPERLINK("https://www.philgeps.gov.ph/GEPSNONPILOT/Tender/SplashBidNoticeAbstractUI.aspx?menuIndex=3&amp;refID=7111072&amp;Result=3","7111072")</f>
        <v>0</v>
      </c>
      <c r="B13813" t="s">
        <v>3674</v>
      </c>
      <c r="C13813" t="s">
        <v>16919</v>
      </c>
      <c r="D13813" t="s">
        <v>17993</v>
      </c>
      <c r="E13813" t="s">
        <v>29964</v>
      </c>
      <c r="F13813" t="s">
        <v>30900</v>
      </c>
      <c r="G13813" t="s">
        <v>30907</v>
      </c>
      <c r="H13813" t="s">
        <v>30916</v>
      </c>
      <c r="I13813" t="s">
        <v>4545</v>
      </c>
      <c r="J13813" t="s">
        <v>39623</v>
      </c>
      <c r="K13813" t="s">
        <v>40283</v>
      </c>
      <c r="M13813" t="s">
        <v>44626</v>
      </c>
      <c r="N13813" t="s">
        <v>44759</v>
      </c>
      <c r="O13813" t="s">
        <v>44760</v>
      </c>
      <c r="Q13813">
        <v>17</v>
      </c>
      <c r="R13813" t="s">
        <v>44781</v>
      </c>
      <c r="S13813" t="s">
        <v>45843</v>
      </c>
      <c r="T13813" t="s">
        <v>46533</v>
      </c>
      <c r="U13813" t="s">
        <v>58252</v>
      </c>
      <c r="W13813" t="s">
        <v>44626</v>
      </c>
      <c r="X13813" t="s">
        <v>44782</v>
      </c>
    </row>
    <row r="13814" spans="1:24">
      <c r="A13814">
        <f>HYPERLINK("https://www.philgeps.gov.ph/GEPSNONPILOT/Tender/SplashBidNoticeAbstractUI.aspx?menuIndex=3&amp;refID=7112722&amp;Result=3","7112722")</f>
        <v>0</v>
      </c>
      <c r="B13814" t="s">
        <v>951</v>
      </c>
      <c r="C13814" t="s">
        <v>16878</v>
      </c>
      <c r="E13814" t="s">
        <v>29965</v>
      </c>
      <c r="F13814" t="s">
        <v>30900</v>
      </c>
      <c r="G13814" t="s">
        <v>30907</v>
      </c>
      <c r="H13814" t="s">
        <v>30916</v>
      </c>
      <c r="I13814" t="s">
        <v>4061</v>
      </c>
      <c r="J13814" t="s">
        <v>39624</v>
      </c>
      <c r="K13814" t="s">
        <v>40286</v>
      </c>
      <c r="M13814" t="s">
        <v>41536</v>
      </c>
      <c r="N13814" t="s">
        <v>44759</v>
      </c>
      <c r="O13814" t="s">
        <v>44760</v>
      </c>
      <c r="P13814">
        <v>0</v>
      </c>
      <c r="Q13814">
        <v>2</v>
      </c>
      <c r="R13814" t="s">
        <v>44781</v>
      </c>
      <c r="S13814" t="s">
        <v>45758</v>
      </c>
      <c r="T13814" t="s">
        <v>46923</v>
      </c>
      <c r="U13814" t="s">
        <v>58253</v>
      </c>
      <c r="V13814" t="s">
        <v>59337</v>
      </c>
      <c r="W13814" t="s">
        <v>41536</v>
      </c>
      <c r="X13814" t="s">
        <v>44782</v>
      </c>
    </row>
    <row r="13815" spans="1:24">
      <c r="A13815">
        <f>HYPERLINK("https://www.philgeps.gov.ph/GEPSNONPILOT/Tender/SplashBidNoticeAbstractUI.aspx?menuIndex=3&amp;refID=7111020&amp;Result=3","7111020")</f>
        <v>0</v>
      </c>
      <c r="B13815" t="s">
        <v>2146</v>
      </c>
      <c r="C13815" t="s">
        <v>16920</v>
      </c>
      <c r="D13815" t="s">
        <v>17960</v>
      </c>
      <c r="E13815" t="s">
        <v>29966</v>
      </c>
      <c r="F13815" t="s">
        <v>30900</v>
      </c>
      <c r="G13815" t="s">
        <v>30907</v>
      </c>
      <c r="H13815" t="s">
        <v>30915</v>
      </c>
      <c r="I13815" t="s">
        <v>30919</v>
      </c>
      <c r="J13815" t="s">
        <v>39507</v>
      </c>
      <c r="K13815" t="s">
        <v>40292</v>
      </c>
      <c r="M13815" t="s">
        <v>42849</v>
      </c>
      <c r="N13815" t="s">
        <v>44759</v>
      </c>
      <c r="O13815" t="s">
        <v>44760</v>
      </c>
      <c r="P13815">
        <v>0</v>
      </c>
      <c r="Q13815">
        <v>0</v>
      </c>
      <c r="R13815" t="s">
        <v>44781</v>
      </c>
      <c r="S13815" t="s">
        <v>45758</v>
      </c>
      <c r="T13815" t="s">
        <v>46658</v>
      </c>
      <c r="U13815" t="s">
        <v>58094</v>
      </c>
      <c r="W13815" t="s">
        <v>42849</v>
      </c>
      <c r="X13815" t="s">
        <v>44782</v>
      </c>
    </row>
    <row r="13816" spans="1:24">
      <c r="A13816">
        <f>HYPERLINK("https://www.philgeps.gov.ph/GEPSNONPILOT/Tender/SplashBidNoticeAbstractUI.aspx?menuIndex=3&amp;refID=7110235&amp;Result=3","7110235")</f>
        <v>0</v>
      </c>
      <c r="B13816" t="s">
        <v>1567</v>
      </c>
      <c r="C13816" t="s">
        <v>6765</v>
      </c>
      <c r="D13816" t="s">
        <v>18006</v>
      </c>
      <c r="E13816" t="s">
        <v>29967</v>
      </c>
      <c r="F13816" t="s">
        <v>30900</v>
      </c>
      <c r="G13816" t="s">
        <v>30907</v>
      </c>
      <c r="H13816" t="s">
        <v>30916</v>
      </c>
      <c r="I13816" t="s">
        <v>30924</v>
      </c>
      <c r="J13816" t="s">
        <v>39625</v>
      </c>
      <c r="K13816" t="s">
        <v>40289</v>
      </c>
      <c r="M13816" t="s">
        <v>42215</v>
      </c>
      <c r="N13816" t="s">
        <v>44759</v>
      </c>
      <c r="O13816" t="s">
        <v>44760</v>
      </c>
      <c r="Q13816">
        <v>15</v>
      </c>
      <c r="R13816" t="s">
        <v>44781</v>
      </c>
      <c r="S13816" t="s">
        <v>45844</v>
      </c>
      <c r="T13816" t="s">
        <v>46581</v>
      </c>
      <c r="U13816" t="s">
        <v>56156</v>
      </c>
      <c r="W13816" t="s">
        <v>42215</v>
      </c>
      <c r="X13816" t="s">
        <v>44782</v>
      </c>
    </row>
    <row r="13817" spans="1:24">
      <c r="A13817">
        <f>HYPERLINK("https://www.philgeps.gov.ph/GEPSNONPILOT/Tender/SplashBidNoticeAbstractUI.aspx?menuIndex=3&amp;refID=7110233&amp;Result=3","7110233")</f>
        <v>0</v>
      </c>
      <c r="B13817" t="s">
        <v>1350</v>
      </c>
      <c r="C13817" t="s">
        <v>16921</v>
      </c>
      <c r="D13817" t="s">
        <v>17996</v>
      </c>
      <c r="E13817" t="s">
        <v>29968</v>
      </c>
      <c r="F13817" t="s">
        <v>30900</v>
      </c>
      <c r="G13817" t="s">
        <v>30907</v>
      </c>
      <c r="H13817" t="s">
        <v>30915</v>
      </c>
      <c r="I13817" t="s">
        <v>30919</v>
      </c>
      <c r="J13817" t="s">
        <v>39626</v>
      </c>
      <c r="K13817" t="s">
        <v>40289</v>
      </c>
      <c r="M13817" t="s">
        <v>41972</v>
      </c>
      <c r="N13817" t="s">
        <v>44759</v>
      </c>
      <c r="O13817" t="s">
        <v>44760</v>
      </c>
      <c r="P13817">
        <v>0</v>
      </c>
      <c r="Q13817">
        <v>1</v>
      </c>
      <c r="R13817" t="s">
        <v>44781</v>
      </c>
      <c r="S13817" t="s">
        <v>45758</v>
      </c>
      <c r="T13817" t="s">
        <v>46533</v>
      </c>
      <c r="U13817" t="s">
        <v>58254</v>
      </c>
      <c r="W13817" t="s">
        <v>41972</v>
      </c>
      <c r="X13817" t="s">
        <v>44782</v>
      </c>
    </row>
    <row r="13818" spans="1:24">
      <c r="A13818">
        <f>HYPERLINK("https://www.philgeps.gov.ph/GEPSNONPILOT/Tender/SplashBidNoticeAbstractUI.aspx?menuIndex=3&amp;refID=7110219&amp;Result=3","7110219")</f>
        <v>0</v>
      </c>
      <c r="B13818" t="s">
        <v>3227</v>
      </c>
      <c r="C13818" t="s">
        <v>16922</v>
      </c>
      <c r="D13818" t="s">
        <v>17965</v>
      </c>
      <c r="E13818" t="s">
        <v>29969</v>
      </c>
      <c r="F13818" t="s">
        <v>30900</v>
      </c>
      <c r="G13818" t="s">
        <v>30907</v>
      </c>
      <c r="H13818" t="s">
        <v>30915</v>
      </c>
      <c r="I13818" t="s">
        <v>30919</v>
      </c>
      <c r="J13818" t="s">
        <v>31412</v>
      </c>
      <c r="K13818" t="s">
        <v>40280</v>
      </c>
      <c r="M13818" t="s">
        <v>44066</v>
      </c>
      <c r="N13818" t="s">
        <v>44759</v>
      </c>
      <c r="O13818" t="s">
        <v>44760</v>
      </c>
      <c r="P13818">
        <v>0</v>
      </c>
      <c r="Q13818">
        <v>0</v>
      </c>
      <c r="R13818" t="s">
        <v>44781</v>
      </c>
      <c r="S13818" t="s">
        <v>45758</v>
      </c>
      <c r="T13818" t="s">
        <v>46581</v>
      </c>
      <c r="U13818" t="s">
        <v>55720</v>
      </c>
      <c r="V13818" t="s">
        <v>60654</v>
      </c>
      <c r="W13818" t="s">
        <v>44066</v>
      </c>
      <c r="X13818" t="s">
        <v>44782</v>
      </c>
    </row>
    <row r="13819" spans="1:24">
      <c r="A13819">
        <f>HYPERLINK("https://www.philgeps.gov.ph/GEPSNONPILOT/Tender/SplashBidNoticeAbstractUI.aspx?menuIndex=3&amp;refID=7110224&amp;Result=3","7110224")</f>
        <v>0</v>
      </c>
      <c r="B13819" t="s">
        <v>3227</v>
      </c>
      <c r="C13819" t="s">
        <v>16923</v>
      </c>
      <c r="D13819" t="s">
        <v>17965</v>
      </c>
      <c r="E13819" t="s">
        <v>29970</v>
      </c>
      <c r="F13819" t="s">
        <v>30900</v>
      </c>
      <c r="G13819" t="s">
        <v>30907</v>
      </c>
      <c r="H13819" t="s">
        <v>30915</v>
      </c>
      <c r="I13819" t="s">
        <v>30919</v>
      </c>
      <c r="J13819" t="s">
        <v>31152</v>
      </c>
      <c r="K13819" t="s">
        <v>40280</v>
      </c>
      <c r="M13819" t="s">
        <v>44066</v>
      </c>
      <c r="N13819" t="s">
        <v>44759</v>
      </c>
      <c r="O13819" t="s">
        <v>44760</v>
      </c>
      <c r="P13819">
        <v>0</v>
      </c>
      <c r="Q13819">
        <v>0</v>
      </c>
      <c r="R13819" t="s">
        <v>44781</v>
      </c>
      <c r="S13819" t="s">
        <v>45758</v>
      </c>
      <c r="T13819" t="s">
        <v>46581</v>
      </c>
      <c r="U13819" t="s">
        <v>55720</v>
      </c>
      <c r="V13819" t="s">
        <v>60338</v>
      </c>
      <c r="W13819" t="s">
        <v>44066</v>
      </c>
      <c r="X13819" t="s">
        <v>44782</v>
      </c>
    </row>
    <row r="13820" spans="1:24">
      <c r="A13820">
        <f>HYPERLINK("https://www.philgeps.gov.ph/GEPSNONPILOT/Tender/SplashBidNoticeAbstractUI.aspx?menuIndex=3&amp;refID=7110234&amp;Result=3","7110234")</f>
        <v>0</v>
      </c>
      <c r="B13820" t="s">
        <v>3227</v>
      </c>
      <c r="C13820" t="s">
        <v>16924</v>
      </c>
      <c r="D13820" t="s">
        <v>17965</v>
      </c>
      <c r="E13820" t="s">
        <v>29971</v>
      </c>
      <c r="F13820" t="s">
        <v>30900</v>
      </c>
      <c r="G13820" t="s">
        <v>30907</v>
      </c>
      <c r="H13820" t="s">
        <v>30915</v>
      </c>
      <c r="I13820" t="s">
        <v>30919</v>
      </c>
      <c r="J13820" t="s">
        <v>31241</v>
      </c>
      <c r="K13820" t="s">
        <v>40301</v>
      </c>
      <c r="M13820" t="s">
        <v>44066</v>
      </c>
      <c r="N13820" t="s">
        <v>44759</v>
      </c>
      <c r="O13820" t="s">
        <v>44760</v>
      </c>
      <c r="P13820">
        <v>0</v>
      </c>
      <c r="Q13820">
        <v>0</v>
      </c>
      <c r="R13820" t="s">
        <v>44781</v>
      </c>
      <c r="S13820" t="s">
        <v>45758</v>
      </c>
      <c r="T13820" t="s">
        <v>46581</v>
      </c>
      <c r="U13820" t="s">
        <v>55720</v>
      </c>
      <c r="V13820" t="s">
        <v>60654</v>
      </c>
      <c r="W13820" t="s">
        <v>44066</v>
      </c>
      <c r="X13820" t="s">
        <v>44782</v>
      </c>
    </row>
    <row r="13821" spans="1:24">
      <c r="A13821">
        <f>HYPERLINK("https://www.philgeps.gov.ph/GEPSNONPILOT/Tender/SplashBidNoticeAbstractUI.aspx?menuIndex=3&amp;refID=7109405&amp;Result=3","7109405")</f>
        <v>0</v>
      </c>
      <c r="B13821" t="s">
        <v>1423</v>
      </c>
      <c r="C13821" t="s">
        <v>16925</v>
      </c>
      <c r="D13821" t="s">
        <v>18013</v>
      </c>
      <c r="E13821" t="s">
        <v>29972</v>
      </c>
      <c r="F13821" t="s">
        <v>30900</v>
      </c>
      <c r="G13821" t="s">
        <v>30907</v>
      </c>
      <c r="H13821" t="s">
        <v>30916</v>
      </c>
      <c r="I13821" t="s">
        <v>30963</v>
      </c>
      <c r="J13821" t="s">
        <v>31049</v>
      </c>
      <c r="K13821" t="s">
        <v>40289</v>
      </c>
      <c r="M13821" t="s">
        <v>42053</v>
      </c>
      <c r="N13821" t="s">
        <v>44759</v>
      </c>
      <c r="O13821" t="s">
        <v>44760</v>
      </c>
      <c r="P13821">
        <v>0</v>
      </c>
      <c r="Q13821">
        <v>1</v>
      </c>
      <c r="R13821" t="s">
        <v>44781</v>
      </c>
      <c r="S13821" t="s">
        <v>45758</v>
      </c>
      <c r="T13821" t="s">
        <v>46662</v>
      </c>
      <c r="U13821" t="s">
        <v>58255</v>
      </c>
      <c r="V13821" t="s">
        <v>60686</v>
      </c>
      <c r="W13821" t="s">
        <v>42053</v>
      </c>
      <c r="X13821" t="s">
        <v>44783</v>
      </c>
    </row>
    <row r="13822" spans="1:24">
      <c r="A13822">
        <f>HYPERLINK("https://www.philgeps.gov.ph/GEPSNONPILOT/Tender/SplashBidNoticeAbstractUI.aspx?menuIndex=3&amp;refID=7110205&amp;Result=3","7110205")</f>
        <v>0</v>
      </c>
      <c r="B13822" t="s">
        <v>3227</v>
      </c>
      <c r="C13822" t="s">
        <v>16926</v>
      </c>
      <c r="D13822" t="s">
        <v>17965</v>
      </c>
      <c r="E13822" t="s">
        <v>29973</v>
      </c>
      <c r="F13822" t="s">
        <v>30900</v>
      </c>
      <c r="G13822" t="s">
        <v>30907</v>
      </c>
      <c r="H13822" t="s">
        <v>30915</v>
      </c>
      <c r="I13822" t="s">
        <v>30919</v>
      </c>
      <c r="J13822" t="s">
        <v>31297</v>
      </c>
      <c r="K13822" t="s">
        <v>40304</v>
      </c>
      <c r="M13822" t="s">
        <v>44066</v>
      </c>
      <c r="N13822" t="s">
        <v>44759</v>
      </c>
      <c r="O13822" t="s">
        <v>44760</v>
      </c>
      <c r="P13822">
        <v>0</v>
      </c>
      <c r="Q13822">
        <v>0</v>
      </c>
      <c r="R13822" t="s">
        <v>44781</v>
      </c>
      <c r="S13822" t="s">
        <v>45758</v>
      </c>
      <c r="T13822" t="s">
        <v>46581</v>
      </c>
      <c r="U13822" t="s">
        <v>55720</v>
      </c>
      <c r="V13822" t="s">
        <v>60654</v>
      </c>
      <c r="W13822" t="s">
        <v>44066</v>
      </c>
      <c r="X13822" t="s">
        <v>44782</v>
      </c>
    </row>
    <row r="13823" spans="1:24">
      <c r="A13823">
        <f>HYPERLINK("https://www.philgeps.gov.ph/GEPSNONPILOT/Tender/SplashBidNoticeAbstractUI.aspx?menuIndex=3&amp;refID=7109043&amp;Result=3","7109043")</f>
        <v>0</v>
      </c>
      <c r="B13823" t="s">
        <v>3675</v>
      </c>
      <c r="C13823" t="s">
        <v>16927</v>
      </c>
      <c r="D13823" t="s">
        <v>17973</v>
      </c>
      <c r="E13823" t="s">
        <v>29974</v>
      </c>
      <c r="F13823" t="s">
        <v>30900</v>
      </c>
      <c r="G13823" t="s">
        <v>30907</v>
      </c>
      <c r="H13823" t="s">
        <v>30916</v>
      </c>
      <c r="I13823" t="s">
        <v>30927</v>
      </c>
      <c r="J13823" t="s">
        <v>39627</v>
      </c>
      <c r="K13823" t="s">
        <v>40283</v>
      </c>
      <c r="M13823" t="s">
        <v>44627</v>
      </c>
      <c r="N13823" t="s">
        <v>44759</v>
      </c>
      <c r="O13823" t="s">
        <v>44760</v>
      </c>
      <c r="P13823">
        <v>0</v>
      </c>
      <c r="Q13823">
        <v>1</v>
      </c>
      <c r="R13823" t="s">
        <v>44781</v>
      </c>
      <c r="S13823" t="s">
        <v>45758</v>
      </c>
      <c r="T13823" t="s">
        <v>46581</v>
      </c>
      <c r="U13823" t="s">
        <v>58256</v>
      </c>
      <c r="W13823" t="s">
        <v>44627</v>
      </c>
      <c r="X13823" t="s">
        <v>44783</v>
      </c>
    </row>
    <row r="13824" spans="1:24">
      <c r="A13824">
        <f>HYPERLINK("https://www.philgeps.gov.ph/GEPSNONPILOT/Tender/SplashBidNoticeAbstractUI.aspx?menuIndex=3&amp;refID=7109600&amp;Result=3","7109600")</f>
        <v>0</v>
      </c>
      <c r="B13824" t="s">
        <v>1423</v>
      </c>
      <c r="C13824" t="s">
        <v>16928</v>
      </c>
      <c r="D13824" t="s">
        <v>18013</v>
      </c>
      <c r="E13824" t="s">
        <v>29975</v>
      </c>
      <c r="F13824" t="s">
        <v>30900</v>
      </c>
      <c r="G13824" t="s">
        <v>30907</v>
      </c>
      <c r="H13824" t="s">
        <v>30916</v>
      </c>
      <c r="I13824" t="s">
        <v>30921</v>
      </c>
      <c r="J13824" t="s">
        <v>39628</v>
      </c>
      <c r="K13824" t="s">
        <v>40289</v>
      </c>
      <c r="M13824" t="s">
        <v>42053</v>
      </c>
      <c r="N13824" t="s">
        <v>44759</v>
      </c>
      <c r="O13824" t="s">
        <v>44760</v>
      </c>
      <c r="P13824">
        <v>0</v>
      </c>
      <c r="Q13824">
        <v>6</v>
      </c>
      <c r="R13824" t="s">
        <v>44781</v>
      </c>
      <c r="S13824" t="s">
        <v>45758</v>
      </c>
      <c r="T13824" t="s">
        <v>46662</v>
      </c>
      <c r="U13824" t="s">
        <v>58257</v>
      </c>
      <c r="V13824" t="s">
        <v>60687</v>
      </c>
      <c r="W13824" t="s">
        <v>42053</v>
      </c>
      <c r="X13824" t="s">
        <v>44783</v>
      </c>
    </row>
    <row r="13825" spans="1:24">
      <c r="A13825">
        <f>HYPERLINK("https://www.philgeps.gov.ph/GEPSNONPILOT/Tender/SplashBidNoticeAbstractUI.aspx?menuIndex=3&amp;refID=7108324&amp;Result=3","7108324")</f>
        <v>0</v>
      </c>
      <c r="B13825" t="s">
        <v>574</v>
      </c>
      <c r="C13825" t="s">
        <v>16929</v>
      </c>
      <c r="D13825" t="s">
        <v>17951</v>
      </c>
      <c r="E13825" t="s">
        <v>29976</v>
      </c>
      <c r="F13825" t="s">
        <v>30900</v>
      </c>
      <c r="G13825" t="s">
        <v>30907</v>
      </c>
      <c r="H13825" t="s">
        <v>30916</v>
      </c>
      <c r="I13825" t="s">
        <v>30949</v>
      </c>
      <c r="J13825" t="s">
        <v>34162</v>
      </c>
      <c r="K13825" t="s">
        <v>40284</v>
      </c>
      <c r="M13825" t="s">
        <v>41135</v>
      </c>
      <c r="N13825" t="s">
        <v>44759</v>
      </c>
      <c r="O13825" t="s">
        <v>44760</v>
      </c>
      <c r="Q13825">
        <v>1</v>
      </c>
      <c r="R13825" t="s">
        <v>44781</v>
      </c>
      <c r="S13825" t="s">
        <v>45760</v>
      </c>
      <c r="T13825" t="s">
        <v>46486</v>
      </c>
      <c r="U13825" t="s">
        <v>58258</v>
      </c>
      <c r="W13825" t="s">
        <v>41135</v>
      </c>
      <c r="X13825" t="s">
        <v>44783</v>
      </c>
    </row>
    <row r="13826" spans="1:24">
      <c r="A13826">
        <f>HYPERLINK("https://www.philgeps.gov.ph/GEPSNONPILOT/Tender/SplashBidNoticeAbstractUI.aspx?menuIndex=3&amp;refID=7108935&amp;Result=3","7108935")</f>
        <v>0</v>
      </c>
      <c r="B13826" t="s">
        <v>3082</v>
      </c>
      <c r="C13826" t="s">
        <v>7595</v>
      </c>
      <c r="D13826" t="s">
        <v>17984</v>
      </c>
      <c r="E13826" t="s">
        <v>29977</v>
      </c>
      <c r="F13826" t="s">
        <v>30900</v>
      </c>
      <c r="G13826" t="s">
        <v>30907</v>
      </c>
      <c r="H13826" t="s">
        <v>30916</v>
      </c>
      <c r="I13826" t="s">
        <v>4142</v>
      </c>
      <c r="J13826" t="s">
        <v>39629</v>
      </c>
      <c r="K13826" t="s">
        <v>40283</v>
      </c>
      <c r="M13826" t="s">
        <v>43894</v>
      </c>
      <c r="N13826" t="s">
        <v>44759</v>
      </c>
      <c r="O13826" t="s">
        <v>44760</v>
      </c>
      <c r="P13826">
        <v>0</v>
      </c>
      <c r="Q13826">
        <v>1</v>
      </c>
      <c r="R13826" t="s">
        <v>44781</v>
      </c>
      <c r="S13826" t="s">
        <v>45758</v>
      </c>
      <c r="T13826" t="s">
        <v>46658</v>
      </c>
      <c r="U13826" t="s">
        <v>58259</v>
      </c>
      <c r="W13826" t="s">
        <v>60912</v>
      </c>
      <c r="X13826" t="s">
        <v>44783</v>
      </c>
    </row>
    <row r="13827" spans="1:24">
      <c r="A13827">
        <f>HYPERLINK("https://www.philgeps.gov.ph/GEPSNONPILOT/Tender/SplashBidNoticeAbstractUI.aspx?menuIndex=3&amp;refID=7110210&amp;Result=3","7110210")</f>
        <v>0</v>
      </c>
      <c r="B13827" t="s">
        <v>3227</v>
      </c>
      <c r="C13827" t="s">
        <v>16930</v>
      </c>
      <c r="D13827" t="s">
        <v>17965</v>
      </c>
      <c r="E13827" t="s">
        <v>29978</v>
      </c>
      <c r="F13827" t="s">
        <v>30900</v>
      </c>
      <c r="G13827" t="s">
        <v>30907</v>
      </c>
      <c r="H13827" t="s">
        <v>30915</v>
      </c>
      <c r="I13827" t="s">
        <v>30919</v>
      </c>
      <c r="J13827" t="s">
        <v>32074</v>
      </c>
      <c r="K13827" t="s">
        <v>40301</v>
      </c>
      <c r="M13827" t="s">
        <v>44066</v>
      </c>
      <c r="N13827" t="s">
        <v>44759</v>
      </c>
      <c r="O13827" t="s">
        <v>44760</v>
      </c>
      <c r="P13827">
        <v>0</v>
      </c>
      <c r="Q13827">
        <v>0</v>
      </c>
      <c r="R13827" t="s">
        <v>44781</v>
      </c>
      <c r="S13827" t="s">
        <v>45758</v>
      </c>
      <c r="T13827" t="s">
        <v>46581</v>
      </c>
      <c r="U13827" t="s">
        <v>55720</v>
      </c>
      <c r="V13827" t="s">
        <v>60654</v>
      </c>
      <c r="W13827" t="s">
        <v>44066</v>
      </c>
      <c r="X13827" t="s">
        <v>44782</v>
      </c>
    </row>
    <row r="13828" spans="1:24">
      <c r="A13828">
        <f>HYPERLINK("https://www.philgeps.gov.ph/GEPSNONPILOT/Tender/SplashBidNoticeAbstractUI.aspx?menuIndex=3&amp;refID=7108298&amp;Result=3","7108298")</f>
        <v>0</v>
      </c>
      <c r="B13828" t="s">
        <v>574</v>
      </c>
      <c r="C13828" t="s">
        <v>16931</v>
      </c>
      <c r="D13828" t="s">
        <v>17951</v>
      </c>
      <c r="E13828" t="s">
        <v>29979</v>
      </c>
      <c r="F13828" t="s">
        <v>30900</v>
      </c>
      <c r="G13828" t="s">
        <v>30907</v>
      </c>
      <c r="H13828" t="s">
        <v>30916</v>
      </c>
      <c r="I13828" t="s">
        <v>30951</v>
      </c>
      <c r="J13828" t="s">
        <v>39630</v>
      </c>
      <c r="K13828" t="s">
        <v>40284</v>
      </c>
      <c r="M13828" t="s">
        <v>41135</v>
      </c>
      <c r="N13828" t="s">
        <v>44759</v>
      </c>
      <c r="O13828" t="s">
        <v>44760</v>
      </c>
      <c r="Q13828">
        <v>5</v>
      </c>
      <c r="R13828" t="s">
        <v>44781</v>
      </c>
      <c r="S13828" t="s">
        <v>45760</v>
      </c>
      <c r="T13828" t="s">
        <v>46486</v>
      </c>
      <c r="U13828" t="s">
        <v>58260</v>
      </c>
      <c r="W13828" t="s">
        <v>41135</v>
      </c>
      <c r="X13828" t="s">
        <v>44783</v>
      </c>
    </row>
    <row r="13829" spans="1:24">
      <c r="A13829">
        <f>HYPERLINK("https://www.philgeps.gov.ph/GEPSNONPILOT/Tender/SplashBidNoticeAbstractUI.aspx?menuIndex=3&amp;refID=7108232&amp;Result=3","7108232")</f>
        <v>0</v>
      </c>
      <c r="B13829" t="s">
        <v>574</v>
      </c>
      <c r="C13829" t="s">
        <v>16932</v>
      </c>
      <c r="D13829" t="s">
        <v>17951</v>
      </c>
      <c r="E13829" t="s">
        <v>29980</v>
      </c>
      <c r="F13829" t="s">
        <v>30900</v>
      </c>
      <c r="G13829" t="s">
        <v>30907</v>
      </c>
      <c r="H13829" t="s">
        <v>30916</v>
      </c>
      <c r="I13829" t="s">
        <v>30951</v>
      </c>
      <c r="J13829" t="s">
        <v>39631</v>
      </c>
      <c r="K13829" t="s">
        <v>40284</v>
      </c>
      <c r="M13829" t="s">
        <v>41135</v>
      </c>
      <c r="N13829" t="s">
        <v>44759</v>
      </c>
      <c r="O13829" t="s">
        <v>44760</v>
      </c>
      <c r="Q13829">
        <v>3</v>
      </c>
      <c r="R13829" t="s">
        <v>44781</v>
      </c>
      <c r="S13829" t="s">
        <v>45760</v>
      </c>
      <c r="T13829" t="s">
        <v>46486</v>
      </c>
      <c r="U13829" t="s">
        <v>58261</v>
      </c>
      <c r="W13829" t="s">
        <v>41135</v>
      </c>
      <c r="X13829" t="s">
        <v>44783</v>
      </c>
    </row>
    <row r="13830" spans="1:24">
      <c r="A13830">
        <f>HYPERLINK("https://www.philgeps.gov.ph/GEPSNONPILOT/Tender/SplashBidNoticeAbstractUI.aspx?menuIndex=3&amp;refID=7108054&amp;Result=3","7108054")</f>
        <v>0</v>
      </c>
      <c r="B13830" t="s">
        <v>574</v>
      </c>
      <c r="C13830" t="s">
        <v>16933</v>
      </c>
      <c r="D13830" t="s">
        <v>17951</v>
      </c>
      <c r="E13830" t="s">
        <v>29981</v>
      </c>
      <c r="F13830" t="s">
        <v>30900</v>
      </c>
      <c r="G13830" t="s">
        <v>30907</v>
      </c>
      <c r="H13830" t="s">
        <v>30916</v>
      </c>
      <c r="I13830" t="s">
        <v>30951</v>
      </c>
      <c r="J13830" t="s">
        <v>39632</v>
      </c>
      <c r="K13830" t="s">
        <v>40284</v>
      </c>
      <c r="M13830" t="s">
        <v>41135</v>
      </c>
      <c r="N13830" t="s">
        <v>44759</v>
      </c>
      <c r="O13830" t="s">
        <v>44760</v>
      </c>
      <c r="Q13830">
        <v>3</v>
      </c>
      <c r="R13830" t="s">
        <v>44781</v>
      </c>
      <c r="S13830" t="s">
        <v>45760</v>
      </c>
      <c r="T13830" t="s">
        <v>46486</v>
      </c>
      <c r="U13830" t="s">
        <v>58262</v>
      </c>
      <c r="W13830" t="s">
        <v>41135</v>
      </c>
      <c r="X13830" t="s">
        <v>44783</v>
      </c>
    </row>
    <row r="13831" spans="1:24">
      <c r="A13831">
        <f>HYPERLINK("https://www.philgeps.gov.ph/GEPSNONPILOT/Tender/SplashBidNoticeAbstractUI.aspx?menuIndex=3&amp;refID=7109389&amp;Result=3","7109389")</f>
        <v>0</v>
      </c>
      <c r="B13831" t="s">
        <v>2726</v>
      </c>
      <c r="C13831" t="s">
        <v>16934</v>
      </c>
      <c r="D13831" t="s">
        <v>17951</v>
      </c>
      <c r="E13831" t="s">
        <v>29982</v>
      </c>
      <c r="F13831" t="s">
        <v>30900</v>
      </c>
      <c r="G13831" t="s">
        <v>30907</v>
      </c>
      <c r="H13831" t="s">
        <v>30915</v>
      </c>
      <c r="I13831" t="s">
        <v>30919</v>
      </c>
      <c r="J13831" t="s">
        <v>39633</v>
      </c>
      <c r="K13831" t="s">
        <v>40304</v>
      </c>
      <c r="M13831" t="s">
        <v>43501</v>
      </c>
      <c r="N13831" t="s">
        <v>44759</v>
      </c>
      <c r="O13831" t="s">
        <v>44760</v>
      </c>
      <c r="P13831">
        <v>0</v>
      </c>
      <c r="Q13831">
        <v>0</v>
      </c>
      <c r="R13831" t="s">
        <v>44781</v>
      </c>
      <c r="S13831" t="s">
        <v>45758</v>
      </c>
      <c r="T13831" t="s">
        <v>46383</v>
      </c>
      <c r="U13831" t="s">
        <v>58263</v>
      </c>
      <c r="W13831" t="s">
        <v>43501</v>
      </c>
      <c r="X13831" t="s">
        <v>44783</v>
      </c>
    </row>
    <row r="13832" spans="1:24">
      <c r="A13832">
        <f>HYPERLINK("https://www.philgeps.gov.ph/GEPSNONPILOT/Tender/SplashBidNoticeAbstractUI.aspx?menuIndex=3&amp;refID=7110320&amp;Result=3","7110320")</f>
        <v>0</v>
      </c>
      <c r="B13832" t="s">
        <v>3227</v>
      </c>
      <c r="C13832" t="s">
        <v>16935</v>
      </c>
      <c r="D13832" t="s">
        <v>17965</v>
      </c>
      <c r="E13832" t="s">
        <v>29983</v>
      </c>
      <c r="F13832" t="s">
        <v>30900</v>
      </c>
      <c r="G13832" t="s">
        <v>30907</v>
      </c>
      <c r="H13832" t="s">
        <v>30915</v>
      </c>
      <c r="I13832" t="s">
        <v>30919</v>
      </c>
      <c r="J13832" t="s">
        <v>31412</v>
      </c>
      <c r="K13832" t="s">
        <v>40280</v>
      </c>
      <c r="M13832" t="s">
        <v>44066</v>
      </c>
      <c r="N13832" t="s">
        <v>44759</v>
      </c>
      <c r="O13832" t="s">
        <v>44760</v>
      </c>
      <c r="P13832">
        <v>0</v>
      </c>
      <c r="Q13832">
        <v>0</v>
      </c>
      <c r="R13832" t="s">
        <v>44781</v>
      </c>
      <c r="S13832" t="s">
        <v>45758</v>
      </c>
      <c r="T13832" t="s">
        <v>46581</v>
      </c>
      <c r="U13832" t="s">
        <v>55720</v>
      </c>
      <c r="V13832" t="s">
        <v>60654</v>
      </c>
      <c r="W13832" t="s">
        <v>44066</v>
      </c>
      <c r="X13832" t="s">
        <v>44782</v>
      </c>
    </row>
    <row r="13833" spans="1:24">
      <c r="A13833">
        <f>HYPERLINK("https://www.philgeps.gov.ph/GEPSNONPILOT/Tender/SplashBidNoticeAbstractUI.aspx?menuIndex=3&amp;refID=7107993&amp;Result=3","7107993")</f>
        <v>0</v>
      </c>
      <c r="B13833" t="s">
        <v>45</v>
      </c>
      <c r="C13833" t="s">
        <v>16936</v>
      </c>
      <c r="E13833" t="s">
        <v>29984</v>
      </c>
      <c r="F13833" t="s">
        <v>30900</v>
      </c>
      <c r="G13833" t="s">
        <v>30907</v>
      </c>
      <c r="H13833" t="s">
        <v>30915</v>
      </c>
      <c r="I13833" t="s">
        <v>30919</v>
      </c>
      <c r="J13833" t="s">
        <v>39634</v>
      </c>
      <c r="K13833" t="s">
        <v>40302</v>
      </c>
      <c r="M13833" t="s">
        <v>40591</v>
      </c>
      <c r="N13833" t="s">
        <v>44759</v>
      </c>
      <c r="O13833" t="s">
        <v>44760</v>
      </c>
      <c r="P13833">
        <v>0</v>
      </c>
      <c r="Q13833">
        <v>1</v>
      </c>
      <c r="R13833" t="s">
        <v>44781</v>
      </c>
      <c r="S13833" t="s">
        <v>45758</v>
      </c>
      <c r="T13833" t="s">
        <v>46531</v>
      </c>
      <c r="U13833" t="s">
        <v>58264</v>
      </c>
      <c r="W13833" t="s">
        <v>40591</v>
      </c>
      <c r="X13833" t="s">
        <v>44783</v>
      </c>
    </row>
    <row r="13834" spans="1:24">
      <c r="A13834">
        <f>HYPERLINK("https://www.philgeps.gov.ph/GEPSNONPILOT/Tender/SplashBidNoticeAbstractUI.aspx?menuIndex=3&amp;refID=7088374&amp;Result=3","7088374")</f>
        <v>0</v>
      </c>
      <c r="B13834" t="s">
        <v>3147</v>
      </c>
      <c r="C13834" t="s">
        <v>16937</v>
      </c>
      <c r="D13834" t="s">
        <v>17975</v>
      </c>
      <c r="E13834" t="s">
        <v>29985</v>
      </c>
      <c r="F13834" t="s">
        <v>30900</v>
      </c>
      <c r="G13834" t="s">
        <v>30907</v>
      </c>
      <c r="H13834" t="s">
        <v>30915</v>
      </c>
      <c r="I13834" t="s">
        <v>30919</v>
      </c>
      <c r="J13834" t="s">
        <v>39635</v>
      </c>
      <c r="K13834" t="s">
        <v>40342</v>
      </c>
      <c r="M13834" t="s">
        <v>43968</v>
      </c>
      <c r="N13834" t="s">
        <v>44759</v>
      </c>
      <c r="O13834" t="s">
        <v>44760</v>
      </c>
      <c r="Q13834">
        <v>2</v>
      </c>
      <c r="R13834" t="s">
        <v>44782</v>
      </c>
      <c r="S13834" t="s">
        <v>45845</v>
      </c>
      <c r="T13834" t="s">
        <v>46519</v>
      </c>
      <c r="U13834" t="s">
        <v>58265</v>
      </c>
      <c r="V13834" t="s">
        <v>60233</v>
      </c>
      <c r="W13834" t="s">
        <v>43968</v>
      </c>
      <c r="X13834" t="s">
        <v>44791</v>
      </c>
    </row>
    <row r="13835" spans="1:24">
      <c r="A13835">
        <f>HYPERLINK("https://www.philgeps.gov.ph/GEPSNONPILOT/Tender/SplashBidNoticeAbstractUI.aspx?menuIndex=3&amp;refID=7108878&amp;Result=3","7108878")</f>
        <v>0</v>
      </c>
      <c r="B13835" t="s">
        <v>2780</v>
      </c>
      <c r="C13835" t="s">
        <v>16938</v>
      </c>
      <c r="D13835" t="s">
        <v>17952</v>
      </c>
      <c r="E13835" t="s">
        <v>29986</v>
      </c>
      <c r="F13835" t="s">
        <v>30900</v>
      </c>
      <c r="G13835" t="s">
        <v>30907</v>
      </c>
      <c r="H13835" t="s">
        <v>30916</v>
      </c>
      <c r="I13835" t="s">
        <v>8123</v>
      </c>
      <c r="J13835" t="s">
        <v>39636</v>
      </c>
      <c r="K13835" t="s">
        <v>40291</v>
      </c>
      <c r="M13835" t="s">
        <v>43563</v>
      </c>
      <c r="N13835" t="s">
        <v>44759</v>
      </c>
      <c r="O13835" t="s">
        <v>44760</v>
      </c>
      <c r="P13835">
        <v>0</v>
      </c>
      <c r="Q13835">
        <v>0</v>
      </c>
      <c r="R13835" t="s">
        <v>44781</v>
      </c>
      <c r="S13835" t="s">
        <v>45758</v>
      </c>
      <c r="T13835" t="s">
        <v>46541</v>
      </c>
      <c r="U13835" t="s">
        <v>58266</v>
      </c>
      <c r="V13835" t="s">
        <v>60688</v>
      </c>
      <c r="W13835" t="s">
        <v>43563</v>
      </c>
      <c r="X13835" t="s">
        <v>44783</v>
      </c>
    </row>
    <row r="13836" spans="1:24">
      <c r="A13836">
        <f>HYPERLINK("https://www.philgeps.gov.ph/GEPSNONPILOT/Tender/SplashBidNoticeAbstractUI.aspx?menuIndex=3&amp;refID=7112017&amp;Result=3","7112017")</f>
        <v>0</v>
      </c>
      <c r="B13836" t="s">
        <v>934</v>
      </c>
      <c r="C13836" t="s">
        <v>16939</v>
      </c>
      <c r="D13836" t="s">
        <v>17984</v>
      </c>
      <c r="E13836" t="s">
        <v>29987</v>
      </c>
      <c r="F13836" t="s">
        <v>30900</v>
      </c>
      <c r="G13836" t="s">
        <v>30907</v>
      </c>
      <c r="H13836" t="s">
        <v>30915</v>
      </c>
      <c r="I13836" t="s">
        <v>30919</v>
      </c>
      <c r="J13836" t="s">
        <v>39637</v>
      </c>
      <c r="K13836" t="s">
        <v>40311</v>
      </c>
      <c r="M13836" t="s">
        <v>41517</v>
      </c>
      <c r="N13836" t="s">
        <v>44759</v>
      </c>
      <c r="O13836" t="s">
        <v>44760</v>
      </c>
      <c r="P13836">
        <v>0</v>
      </c>
      <c r="Q13836">
        <v>1</v>
      </c>
      <c r="R13836" t="s">
        <v>44781</v>
      </c>
      <c r="S13836" t="s">
        <v>45758</v>
      </c>
      <c r="T13836" t="s">
        <v>46531</v>
      </c>
      <c r="U13836" t="s">
        <v>58267</v>
      </c>
      <c r="W13836" t="s">
        <v>41517</v>
      </c>
      <c r="X13836" t="s">
        <v>44782</v>
      </c>
    </row>
    <row r="13837" spans="1:24">
      <c r="A13837">
        <f>HYPERLINK("https://www.philgeps.gov.ph/GEPSNONPILOT/Tender/SplashBidNoticeAbstractUI.aspx?menuIndex=3&amp;refID=7094347&amp;Result=3","7094347")</f>
        <v>0</v>
      </c>
      <c r="B13837" t="s">
        <v>41</v>
      </c>
      <c r="C13837" t="s">
        <v>16940</v>
      </c>
      <c r="D13837" t="s">
        <v>17966</v>
      </c>
      <c r="E13837" t="s">
        <v>29988</v>
      </c>
      <c r="F13837" t="s">
        <v>30900</v>
      </c>
      <c r="G13837" t="s">
        <v>30907</v>
      </c>
      <c r="H13837" t="s">
        <v>30915</v>
      </c>
      <c r="I13837" t="s">
        <v>30919</v>
      </c>
      <c r="J13837" t="s">
        <v>39638</v>
      </c>
      <c r="K13837" t="s">
        <v>40340</v>
      </c>
      <c r="M13837" t="s">
        <v>40587</v>
      </c>
      <c r="N13837" t="s">
        <v>44759</v>
      </c>
      <c r="O13837" t="s">
        <v>44760</v>
      </c>
      <c r="P13837">
        <v>0</v>
      </c>
      <c r="Q13837">
        <v>2</v>
      </c>
      <c r="R13837" t="s">
        <v>44782</v>
      </c>
      <c r="S13837" t="s">
        <v>45846</v>
      </c>
      <c r="T13837" t="s">
        <v>46389</v>
      </c>
      <c r="U13837" t="s">
        <v>58268</v>
      </c>
      <c r="V13837" t="s">
        <v>59095</v>
      </c>
      <c r="W13837" t="s">
        <v>40587</v>
      </c>
      <c r="X13837" t="s">
        <v>44789</v>
      </c>
    </row>
    <row r="13838" spans="1:24">
      <c r="A13838">
        <f>HYPERLINK("https://www.philgeps.gov.ph/GEPSNONPILOT/Tender/SplashBidNoticeAbstractUI.aspx?menuIndex=3&amp;refID=7113033&amp;Result=3","7113033")</f>
        <v>0</v>
      </c>
      <c r="B13838" t="s">
        <v>2719</v>
      </c>
      <c r="C13838" t="s">
        <v>16941</v>
      </c>
      <c r="D13838" t="s">
        <v>17977</v>
      </c>
      <c r="E13838" t="s">
        <v>29989</v>
      </c>
      <c r="F13838" t="s">
        <v>30900</v>
      </c>
      <c r="G13838" t="s">
        <v>30907</v>
      </c>
      <c r="H13838" t="s">
        <v>30915</v>
      </c>
      <c r="I13838" t="s">
        <v>30919</v>
      </c>
      <c r="J13838" t="s">
        <v>39639</v>
      </c>
      <c r="K13838" t="s">
        <v>40304</v>
      </c>
      <c r="M13838" t="s">
        <v>44628</v>
      </c>
      <c r="N13838" t="s">
        <v>44759</v>
      </c>
      <c r="O13838" t="s">
        <v>44760</v>
      </c>
      <c r="P13838">
        <v>0</v>
      </c>
      <c r="Q13838">
        <v>1</v>
      </c>
      <c r="R13838" t="s">
        <v>44781</v>
      </c>
      <c r="S13838" t="s">
        <v>45758</v>
      </c>
      <c r="T13838" t="s">
        <v>46625</v>
      </c>
      <c r="U13838" t="s">
        <v>58269</v>
      </c>
      <c r="W13838" t="s">
        <v>44628</v>
      </c>
      <c r="X13838" t="s">
        <v>44782</v>
      </c>
    </row>
    <row r="13839" spans="1:24">
      <c r="A13839">
        <f>HYPERLINK("https://www.philgeps.gov.ph/GEPSNONPILOT/Tender/SplashBidNoticeAbstractUI.aspx?menuIndex=3&amp;refID=7113027&amp;Result=3","7113027")</f>
        <v>0</v>
      </c>
      <c r="B13839" t="s">
        <v>2719</v>
      </c>
      <c r="C13839" t="s">
        <v>16942</v>
      </c>
      <c r="D13839" t="s">
        <v>17977</v>
      </c>
      <c r="E13839" t="s">
        <v>29990</v>
      </c>
      <c r="F13839" t="s">
        <v>30900</v>
      </c>
      <c r="G13839" t="s">
        <v>30907</v>
      </c>
      <c r="H13839" t="s">
        <v>30915</v>
      </c>
      <c r="I13839" t="s">
        <v>30919</v>
      </c>
      <c r="J13839" t="s">
        <v>31574</v>
      </c>
      <c r="K13839" t="s">
        <v>40292</v>
      </c>
      <c r="M13839" t="s">
        <v>44628</v>
      </c>
      <c r="N13839" t="s">
        <v>44759</v>
      </c>
      <c r="O13839" t="s">
        <v>44760</v>
      </c>
      <c r="P13839">
        <v>0</v>
      </c>
      <c r="Q13839">
        <v>2</v>
      </c>
      <c r="R13839" t="s">
        <v>44781</v>
      </c>
      <c r="S13839" t="s">
        <v>45758</v>
      </c>
      <c r="T13839" t="s">
        <v>46625</v>
      </c>
      <c r="U13839" t="s">
        <v>58270</v>
      </c>
      <c r="W13839" t="s">
        <v>44628</v>
      </c>
      <c r="X13839" t="s">
        <v>44782</v>
      </c>
    </row>
    <row r="13840" spans="1:24">
      <c r="A13840">
        <f>HYPERLINK("https://www.philgeps.gov.ph/GEPSNONPILOT/Tender/SplashBidNoticeAbstractUI.aspx?menuIndex=3&amp;refID=7044216&amp;Result=3","7044216")</f>
        <v>0</v>
      </c>
      <c r="B13840" t="s">
        <v>924</v>
      </c>
      <c r="C13840" t="s">
        <v>16943</v>
      </c>
      <c r="D13840" t="s">
        <v>18017</v>
      </c>
      <c r="E13840" t="s">
        <v>29991</v>
      </c>
      <c r="F13840" t="s">
        <v>30900</v>
      </c>
      <c r="G13840" t="s">
        <v>30907</v>
      </c>
      <c r="H13840" t="s">
        <v>30916</v>
      </c>
      <c r="I13840" t="s">
        <v>30933</v>
      </c>
      <c r="J13840" t="s">
        <v>39640</v>
      </c>
      <c r="K13840" t="s">
        <v>40309</v>
      </c>
      <c r="M13840" t="s">
        <v>41504</v>
      </c>
      <c r="N13840" t="s">
        <v>44759</v>
      </c>
      <c r="O13840" t="s">
        <v>44760</v>
      </c>
      <c r="Q13840">
        <v>4</v>
      </c>
      <c r="R13840" t="s">
        <v>44782</v>
      </c>
      <c r="S13840" t="s">
        <v>45847</v>
      </c>
      <c r="T13840" t="s">
        <v>46641</v>
      </c>
      <c r="U13840" t="s">
        <v>58271</v>
      </c>
      <c r="V13840" t="s">
        <v>59403</v>
      </c>
      <c r="W13840" t="s">
        <v>41504</v>
      </c>
      <c r="X13840" t="s">
        <v>60955</v>
      </c>
    </row>
    <row r="13841" spans="1:24">
      <c r="A13841">
        <f>HYPERLINK("https://www.philgeps.gov.ph/GEPSNONPILOT/Tender/SplashBidNoticeAbstractUI.aspx?menuIndex=3&amp;refID=7110180&amp;Result=3","7110180")</f>
        <v>0</v>
      </c>
      <c r="B13841" t="s">
        <v>418</v>
      </c>
      <c r="C13841" t="s">
        <v>16944</v>
      </c>
      <c r="D13841" t="s">
        <v>17959</v>
      </c>
      <c r="E13841" t="s">
        <v>29992</v>
      </c>
      <c r="F13841" t="s">
        <v>30900</v>
      </c>
      <c r="G13841" t="s">
        <v>30907</v>
      </c>
      <c r="H13841" t="s">
        <v>30916</v>
      </c>
      <c r="I13841" t="s">
        <v>30942</v>
      </c>
      <c r="J13841" t="s">
        <v>32324</v>
      </c>
      <c r="K13841" t="s">
        <v>40486</v>
      </c>
      <c r="M13841" t="s">
        <v>41509</v>
      </c>
      <c r="N13841" t="s">
        <v>44759</v>
      </c>
      <c r="O13841" t="s">
        <v>44760</v>
      </c>
      <c r="Q13841">
        <v>7</v>
      </c>
      <c r="R13841" t="s">
        <v>44781</v>
      </c>
      <c r="S13841" t="s">
        <v>45848</v>
      </c>
      <c r="T13841" t="s">
        <v>46403</v>
      </c>
      <c r="U13841" t="s">
        <v>58272</v>
      </c>
      <c r="W13841" t="s">
        <v>41509</v>
      </c>
      <c r="X13841" t="s">
        <v>44782</v>
      </c>
    </row>
    <row r="13842" spans="1:24">
      <c r="A13842">
        <f>HYPERLINK("https://www.philgeps.gov.ph/GEPSNONPILOT/Tender/SplashBidNoticeAbstractUI.aspx?menuIndex=3&amp;refID=7113025&amp;Result=3","7113025")</f>
        <v>0</v>
      </c>
      <c r="B13842" t="s">
        <v>2719</v>
      </c>
      <c r="C13842" t="s">
        <v>16945</v>
      </c>
      <c r="D13842" t="s">
        <v>17977</v>
      </c>
      <c r="E13842" t="s">
        <v>29993</v>
      </c>
      <c r="F13842" t="s">
        <v>30900</v>
      </c>
      <c r="G13842" t="s">
        <v>30907</v>
      </c>
      <c r="H13842" t="s">
        <v>30915</v>
      </c>
      <c r="I13842" t="s">
        <v>30919</v>
      </c>
      <c r="J13842" t="s">
        <v>34689</v>
      </c>
      <c r="K13842" t="s">
        <v>40292</v>
      </c>
      <c r="M13842" t="s">
        <v>44628</v>
      </c>
      <c r="N13842" t="s">
        <v>44759</v>
      </c>
      <c r="O13842" t="s">
        <v>44760</v>
      </c>
      <c r="P13842">
        <v>0</v>
      </c>
      <c r="Q13842">
        <v>1</v>
      </c>
      <c r="R13842" t="s">
        <v>44781</v>
      </c>
      <c r="S13842" t="s">
        <v>45758</v>
      </c>
      <c r="T13842" t="s">
        <v>46625</v>
      </c>
      <c r="U13842" t="s">
        <v>58270</v>
      </c>
      <c r="W13842" t="s">
        <v>44628</v>
      </c>
      <c r="X13842" t="s">
        <v>44782</v>
      </c>
    </row>
    <row r="13843" spans="1:24">
      <c r="A13843">
        <f>HYPERLINK("https://www.philgeps.gov.ph/GEPSNONPILOT/Tender/SplashBidNoticeAbstractUI.aspx?menuIndex=3&amp;refID=7112998&amp;Result=3","7112998")</f>
        <v>0</v>
      </c>
      <c r="B13843" t="s">
        <v>3671</v>
      </c>
      <c r="C13843" t="s">
        <v>16946</v>
      </c>
      <c r="D13843" t="s">
        <v>17978</v>
      </c>
      <c r="E13843" t="s">
        <v>29994</v>
      </c>
      <c r="F13843" t="s">
        <v>30900</v>
      </c>
      <c r="G13843" t="s">
        <v>30907</v>
      </c>
      <c r="H13843" t="s">
        <v>30915</v>
      </c>
      <c r="I13843" t="s">
        <v>30919</v>
      </c>
      <c r="J13843" t="s">
        <v>31152</v>
      </c>
      <c r="K13843" t="s">
        <v>40335</v>
      </c>
      <c r="M13843" t="s">
        <v>44621</v>
      </c>
      <c r="N13843" t="s">
        <v>44759</v>
      </c>
      <c r="O13843" t="s">
        <v>44760</v>
      </c>
      <c r="Q13843">
        <v>6</v>
      </c>
      <c r="R13843" t="s">
        <v>44781</v>
      </c>
      <c r="S13843" t="s">
        <v>45849</v>
      </c>
      <c r="T13843" t="s">
        <v>46707</v>
      </c>
      <c r="U13843" t="s">
        <v>58273</v>
      </c>
      <c r="W13843" t="s">
        <v>44621</v>
      </c>
      <c r="X13843" t="s">
        <v>44782</v>
      </c>
    </row>
    <row r="13844" spans="1:24">
      <c r="A13844">
        <f>HYPERLINK("https://www.philgeps.gov.ph/GEPSNONPILOT/Tender/SplashBidNoticeAbstractUI.aspx?menuIndex=3&amp;refID=7108248&amp;Result=3","7108248")</f>
        <v>0</v>
      </c>
      <c r="B13844" t="s">
        <v>574</v>
      </c>
      <c r="C13844" t="s">
        <v>16947</v>
      </c>
      <c r="D13844" t="s">
        <v>17951</v>
      </c>
      <c r="E13844" t="s">
        <v>29995</v>
      </c>
      <c r="F13844" t="s">
        <v>30900</v>
      </c>
      <c r="G13844" t="s">
        <v>30907</v>
      </c>
      <c r="H13844" t="s">
        <v>30916</v>
      </c>
      <c r="I13844" t="s">
        <v>31001</v>
      </c>
      <c r="J13844" t="s">
        <v>36106</v>
      </c>
      <c r="K13844" t="s">
        <v>40284</v>
      </c>
      <c r="M13844" t="s">
        <v>41135</v>
      </c>
      <c r="N13844" t="s">
        <v>44759</v>
      </c>
      <c r="O13844" t="s">
        <v>44760</v>
      </c>
      <c r="Q13844">
        <v>3</v>
      </c>
      <c r="R13844" t="s">
        <v>44781</v>
      </c>
      <c r="S13844" t="s">
        <v>45760</v>
      </c>
      <c r="T13844" t="s">
        <v>46486</v>
      </c>
      <c r="U13844" t="s">
        <v>58274</v>
      </c>
      <c r="W13844" t="s">
        <v>41135</v>
      </c>
      <c r="X13844" t="s">
        <v>44783</v>
      </c>
    </row>
    <row r="13845" spans="1:24">
      <c r="A13845">
        <f>HYPERLINK("https://www.philgeps.gov.ph/GEPSNONPILOT/Tender/SplashBidNoticeAbstractUI.aspx?menuIndex=3&amp;refID=7113031&amp;Result=3","7113031")</f>
        <v>0</v>
      </c>
      <c r="B13845" t="s">
        <v>2719</v>
      </c>
      <c r="C13845" t="s">
        <v>16948</v>
      </c>
      <c r="D13845" t="s">
        <v>17977</v>
      </c>
      <c r="E13845" t="s">
        <v>29996</v>
      </c>
      <c r="F13845" t="s">
        <v>30900</v>
      </c>
      <c r="G13845" t="s">
        <v>30907</v>
      </c>
      <c r="H13845" t="s">
        <v>30915</v>
      </c>
      <c r="I13845" t="s">
        <v>30919</v>
      </c>
      <c r="J13845" t="s">
        <v>31214</v>
      </c>
      <c r="K13845" t="s">
        <v>40292</v>
      </c>
      <c r="M13845" t="s">
        <v>44628</v>
      </c>
      <c r="N13845" t="s">
        <v>44759</v>
      </c>
      <c r="O13845" t="s">
        <v>44760</v>
      </c>
      <c r="P13845">
        <v>0</v>
      </c>
      <c r="Q13845">
        <v>0</v>
      </c>
      <c r="R13845" t="s">
        <v>44781</v>
      </c>
      <c r="S13845" t="s">
        <v>45758</v>
      </c>
      <c r="T13845" t="s">
        <v>46625</v>
      </c>
      <c r="U13845" t="s">
        <v>51686</v>
      </c>
      <c r="W13845" t="s">
        <v>44628</v>
      </c>
      <c r="X13845" t="s">
        <v>44782</v>
      </c>
    </row>
    <row r="13846" spans="1:24">
      <c r="A13846">
        <f>HYPERLINK("https://www.philgeps.gov.ph/GEPSNONPILOT/Tender/SplashBidNoticeAbstractUI.aspx?menuIndex=3&amp;refID=7113029&amp;Result=3","7113029")</f>
        <v>0</v>
      </c>
      <c r="B13846" t="s">
        <v>2719</v>
      </c>
      <c r="C13846" t="s">
        <v>16949</v>
      </c>
      <c r="D13846" t="s">
        <v>17977</v>
      </c>
      <c r="E13846" t="s">
        <v>29997</v>
      </c>
      <c r="F13846" t="s">
        <v>30900</v>
      </c>
      <c r="G13846" t="s">
        <v>30907</v>
      </c>
      <c r="H13846" t="s">
        <v>30915</v>
      </c>
      <c r="I13846" t="s">
        <v>30919</v>
      </c>
      <c r="J13846" t="s">
        <v>31412</v>
      </c>
      <c r="K13846" t="s">
        <v>40292</v>
      </c>
      <c r="M13846" t="s">
        <v>44628</v>
      </c>
      <c r="N13846" t="s">
        <v>44759</v>
      </c>
      <c r="O13846" t="s">
        <v>44760</v>
      </c>
      <c r="P13846">
        <v>0</v>
      </c>
      <c r="Q13846">
        <v>1</v>
      </c>
      <c r="R13846" t="s">
        <v>44781</v>
      </c>
      <c r="S13846" t="s">
        <v>45758</v>
      </c>
      <c r="T13846" t="s">
        <v>46625</v>
      </c>
      <c r="U13846" t="s">
        <v>58270</v>
      </c>
      <c r="W13846" t="s">
        <v>44628</v>
      </c>
      <c r="X13846" t="s">
        <v>44782</v>
      </c>
    </row>
    <row r="13847" spans="1:24">
      <c r="A13847">
        <f>HYPERLINK("https://www.philgeps.gov.ph/GEPSNONPILOT/Tender/SplashBidNoticeAbstractUI.aspx?menuIndex=3&amp;refID=7112948&amp;Result=3","7112948")</f>
        <v>0</v>
      </c>
      <c r="B13847" t="s">
        <v>3671</v>
      </c>
      <c r="C13847" t="s">
        <v>16950</v>
      </c>
      <c r="D13847" t="s">
        <v>17978</v>
      </c>
      <c r="E13847" t="s">
        <v>29998</v>
      </c>
      <c r="F13847" t="s">
        <v>30900</v>
      </c>
      <c r="G13847" t="s">
        <v>30907</v>
      </c>
      <c r="H13847" t="s">
        <v>30915</v>
      </c>
      <c r="I13847" t="s">
        <v>30919</v>
      </c>
      <c r="J13847" t="s">
        <v>31152</v>
      </c>
      <c r="K13847" t="s">
        <v>40309</v>
      </c>
      <c r="M13847" t="s">
        <v>44621</v>
      </c>
      <c r="N13847" t="s">
        <v>44759</v>
      </c>
      <c r="O13847" t="s">
        <v>44760</v>
      </c>
      <c r="Q13847">
        <v>7</v>
      </c>
      <c r="R13847" t="s">
        <v>44781</v>
      </c>
      <c r="S13847" t="s">
        <v>45850</v>
      </c>
      <c r="T13847" t="s">
        <v>46707</v>
      </c>
      <c r="U13847" t="s">
        <v>58275</v>
      </c>
      <c r="W13847" t="s">
        <v>44621</v>
      </c>
      <c r="X13847" t="s">
        <v>44782</v>
      </c>
    </row>
    <row r="13848" spans="1:24">
      <c r="A13848">
        <f>HYPERLINK("https://www.philgeps.gov.ph/GEPSNONPILOT/Tender/SplashBidNoticeAbstractUI.aspx?menuIndex=3&amp;refID=7097864&amp;Result=3","7097864")</f>
        <v>0</v>
      </c>
      <c r="B13848" t="s">
        <v>858</v>
      </c>
      <c r="C13848" t="s">
        <v>16951</v>
      </c>
      <c r="D13848" t="s">
        <v>17977</v>
      </c>
      <c r="E13848" t="s">
        <v>29999</v>
      </c>
      <c r="F13848" t="s">
        <v>30900</v>
      </c>
      <c r="G13848" t="s">
        <v>30907</v>
      </c>
      <c r="H13848" t="s">
        <v>30916</v>
      </c>
      <c r="I13848" t="s">
        <v>10847</v>
      </c>
      <c r="J13848" t="s">
        <v>31143</v>
      </c>
      <c r="K13848" t="s">
        <v>40289</v>
      </c>
      <c r="M13848" t="s">
        <v>44629</v>
      </c>
      <c r="N13848" t="s">
        <v>44759</v>
      </c>
      <c r="O13848" t="s">
        <v>44760</v>
      </c>
      <c r="Q13848">
        <v>6</v>
      </c>
      <c r="R13848" t="s">
        <v>44782</v>
      </c>
      <c r="S13848" t="s">
        <v>45851</v>
      </c>
      <c r="T13848" t="s">
        <v>46581</v>
      </c>
      <c r="U13848" t="s">
        <v>58276</v>
      </c>
      <c r="W13848" t="s">
        <v>44629</v>
      </c>
      <c r="X13848" t="s">
        <v>44788</v>
      </c>
    </row>
    <row r="13849" spans="1:24">
      <c r="A13849">
        <f>HYPERLINK("https://www.philgeps.gov.ph/GEPSNONPILOT/Tender/SplashBidNoticeAbstractUI.aspx?menuIndex=3&amp;refID=7112987&amp;Result=3","7112987")</f>
        <v>0</v>
      </c>
      <c r="B13849" t="s">
        <v>190</v>
      </c>
      <c r="C13849" t="s">
        <v>16952</v>
      </c>
      <c r="D13849" t="s">
        <v>17989</v>
      </c>
      <c r="E13849" t="s">
        <v>30000</v>
      </c>
      <c r="F13849" t="s">
        <v>30900</v>
      </c>
      <c r="G13849" t="s">
        <v>30907</v>
      </c>
      <c r="H13849" t="s">
        <v>30915</v>
      </c>
      <c r="I13849" t="s">
        <v>30919</v>
      </c>
      <c r="J13849" t="s">
        <v>39641</v>
      </c>
      <c r="K13849" t="s">
        <v>40349</v>
      </c>
      <c r="M13849" t="s">
        <v>40737</v>
      </c>
      <c r="N13849" t="s">
        <v>44759</v>
      </c>
      <c r="O13849" t="s">
        <v>44760</v>
      </c>
      <c r="P13849">
        <v>0</v>
      </c>
      <c r="Q13849">
        <v>1</v>
      </c>
      <c r="R13849" t="s">
        <v>44781</v>
      </c>
      <c r="S13849" t="s">
        <v>45758</v>
      </c>
      <c r="T13849" t="s">
        <v>46625</v>
      </c>
      <c r="U13849" t="s">
        <v>58277</v>
      </c>
      <c r="W13849" t="s">
        <v>40737</v>
      </c>
      <c r="X13849" t="s">
        <v>44782</v>
      </c>
    </row>
    <row r="13850" spans="1:24">
      <c r="A13850">
        <f>HYPERLINK("https://www.philgeps.gov.ph/GEPSNONPILOT/Tender/SplashBidNoticeAbstractUI.aspx?menuIndex=3&amp;refID=7112985&amp;Result=3","7112985")</f>
        <v>0</v>
      </c>
      <c r="B13850" t="s">
        <v>3671</v>
      </c>
      <c r="C13850" t="s">
        <v>16953</v>
      </c>
      <c r="D13850" t="s">
        <v>17978</v>
      </c>
      <c r="E13850" t="s">
        <v>30001</v>
      </c>
      <c r="F13850" t="s">
        <v>30900</v>
      </c>
      <c r="G13850" t="s">
        <v>30907</v>
      </c>
      <c r="H13850" t="s">
        <v>30915</v>
      </c>
      <c r="I13850" t="s">
        <v>30919</v>
      </c>
      <c r="J13850" t="s">
        <v>31391</v>
      </c>
      <c r="K13850" t="s">
        <v>40313</v>
      </c>
      <c r="M13850" t="s">
        <v>44621</v>
      </c>
      <c r="N13850" t="s">
        <v>44759</v>
      </c>
      <c r="O13850" t="s">
        <v>44760</v>
      </c>
      <c r="Q13850">
        <v>7</v>
      </c>
      <c r="R13850" t="s">
        <v>44781</v>
      </c>
      <c r="S13850" t="s">
        <v>45852</v>
      </c>
      <c r="T13850" t="s">
        <v>46707</v>
      </c>
      <c r="U13850" t="s">
        <v>58278</v>
      </c>
      <c r="W13850" t="s">
        <v>44621</v>
      </c>
      <c r="X13850" t="s">
        <v>44782</v>
      </c>
    </row>
    <row r="13851" spans="1:24">
      <c r="A13851">
        <f>HYPERLINK("https://www.philgeps.gov.ph/GEPSNONPILOT/Tender/SplashBidNoticeAbstractUI.aspx?menuIndex=3&amp;refID=7112965&amp;Result=3","7112965")</f>
        <v>0</v>
      </c>
      <c r="B13851" t="s">
        <v>3671</v>
      </c>
      <c r="C13851" t="s">
        <v>16954</v>
      </c>
      <c r="D13851" t="s">
        <v>17978</v>
      </c>
      <c r="E13851" t="s">
        <v>30002</v>
      </c>
      <c r="F13851" t="s">
        <v>30900</v>
      </c>
      <c r="G13851" t="s">
        <v>30907</v>
      </c>
      <c r="H13851" t="s">
        <v>30915</v>
      </c>
      <c r="I13851" t="s">
        <v>30919</v>
      </c>
      <c r="J13851" t="s">
        <v>31243</v>
      </c>
      <c r="K13851" t="s">
        <v>40280</v>
      </c>
      <c r="M13851" t="s">
        <v>44621</v>
      </c>
      <c r="N13851" t="s">
        <v>44759</v>
      </c>
      <c r="O13851" t="s">
        <v>44760</v>
      </c>
      <c r="Q13851">
        <v>2</v>
      </c>
      <c r="R13851" t="s">
        <v>44781</v>
      </c>
      <c r="S13851" t="s">
        <v>45853</v>
      </c>
      <c r="T13851" t="s">
        <v>46707</v>
      </c>
      <c r="U13851" t="s">
        <v>58279</v>
      </c>
      <c r="W13851" t="s">
        <v>44621</v>
      </c>
      <c r="X13851" t="s">
        <v>44782</v>
      </c>
    </row>
    <row r="13852" spans="1:24">
      <c r="A13852">
        <f>HYPERLINK("https://www.philgeps.gov.ph/GEPSNONPILOT/Tender/SplashBidNoticeAbstractUI.aspx?menuIndex=3&amp;refID=7105308&amp;Result=3","7105308")</f>
        <v>0</v>
      </c>
      <c r="B13852" t="s">
        <v>56</v>
      </c>
      <c r="C13852" t="s">
        <v>16955</v>
      </c>
      <c r="D13852" t="s">
        <v>17952</v>
      </c>
      <c r="E13852" t="s">
        <v>16955</v>
      </c>
      <c r="F13852" t="s">
        <v>30900</v>
      </c>
      <c r="G13852" t="s">
        <v>30907</v>
      </c>
      <c r="H13852" t="s">
        <v>30916</v>
      </c>
      <c r="I13852" t="s">
        <v>30918</v>
      </c>
      <c r="J13852" t="s">
        <v>31049</v>
      </c>
      <c r="K13852" t="s">
        <v>40286</v>
      </c>
      <c r="M13852" t="s">
        <v>43052</v>
      </c>
      <c r="N13852" t="s">
        <v>44759</v>
      </c>
      <c r="O13852" t="s">
        <v>44760</v>
      </c>
      <c r="Q13852">
        <v>5</v>
      </c>
      <c r="R13852" t="s">
        <v>44782</v>
      </c>
      <c r="S13852" t="s">
        <v>45854</v>
      </c>
      <c r="T13852" t="s">
        <v>46581</v>
      </c>
      <c r="U13852" t="s">
        <v>58280</v>
      </c>
      <c r="V13852" t="s">
        <v>59101</v>
      </c>
      <c r="W13852" t="s">
        <v>43052</v>
      </c>
      <c r="X13852" t="s">
        <v>44784</v>
      </c>
    </row>
    <row r="13853" spans="1:24">
      <c r="A13853">
        <f>HYPERLINK("https://www.philgeps.gov.ph/GEPSNONPILOT/Tender/SplashBidNoticeAbstractUI.aspx?menuIndex=3&amp;refID=7105264&amp;Result=3","7105264")</f>
        <v>0</v>
      </c>
      <c r="B13853" t="s">
        <v>56</v>
      </c>
      <c r="C13853" t="s">
        <v>16956</v>
      </c>
      <c r="D13853" t="s">
        <v>17952</v>
      </c>
      <c r="E13853" t="s">
        <v>16956</v>
      </c>
      <c r="F13853" t="s">
        <v>30900</v>
      </c>
      <c r="G13853" t="s">
        <v>30907</v>
      </c>
      <c r="H13853" t="s">
        <v>30916</v>
      </c>
      <c r="I13853" t="s">
        <v>30918</v>
      </c>
      <c r="J13853" t="s">
        <v>31243</v>
      </c>
      <c r="K13853" t="s">
        <v>40286</v>
      </c>
      <c r="M13853" t="s">
        <v>43052</v>
      </c>
      <c r="N13853" t="s">
        <v>44759</v>
      </c>
      <c r="O13853" t="s">
        <v>44760</v>
      </c>
      <c r="Q13853">
        <v>4</v>
      </c>
      <c r="R13853" t="s">
        <v>44782</v>
      </c>
      <c r="S13853" t="s">
        <v>45855</v>
      </c>
      <c r="T13853" t="s">
        <v>46581</v>
      </c>
      <c r="U13853" t="s">
        <v>58281</v>
      </c>
      <c r="V13853" t="s">
        <v>59101</v>
      </c>
      <c r="W13853" t="s">
        <v>43052</v>
      </c>
      <c r="X13853" t="s">
        <v>44784</v>
      </c>
    </row>
    <row r="13854" spans="1:24">
      <c r="A13854">
        <f>HYPERLINK("https://www.philgeps.gov.ph/GEPSNONPILOT/Tender/SplashBidNoticeAbstractUI.aspx?menuIndex=3&amp;refID=7105279&amp;Result=3","7105279")</f>
        <v>0</v>
      </c>
      <c r="B13854" t="s">
        <v>56</v>
      </c>
      <c r="C13854" t="s">
        <v>16957</v>
      </c>
      <c r="D13854" t="s">
        <v>17952</v>
      </c>
      <c r="E13854" t="s">
        <v>16957</v>
      </c>
      <c r="F13854" t="s">
        <v>30900</v>
      </c>
      <c r="G13854" t="s">
        <v>30907</v>
      </c>
      <c r="H13854" t="s">
        <v>30916</v>
      </c>
      <c r="I13854" t="s">
        <v>30918</v>
      </c>
      <c r="J13854" t="s">
        <v>31101</v>
      </c>
      <c r="K13854" t="s">
        <v>40286</v>
      </c>
      <c r="M13854" t="s">
        <v>43052</v>
      </c>
      <c r="N13854" t="s">
        <v>44759</v>
      </c>
      <c r="O13854" t="s">
        <v>44760</v>
      </c>
      <c r="Q13854">
        <v>2</v>
      </c>
      <c r="R13854" t="s">
        <v>44782</v>
      </c>
      <c r="S13854" t="s">
        <v>45856</v>
      </c>
      <c r="T13854" t="s">
        <v>46581</v>
      </c>
      <c r="U13854" t="s">
        <v>58282</v>
      </c>
      <c r="V13854" t="s">
        <v>59101</v>
      </c>
      <c r="W13854" t="s">
        <v>43052</v>
      </c>
      <c r="X13854" t="s">
        <v>44784</v>
      </c>
    </row>
    <row r="13855" spans="1:24">
      <c r="A13855">
        <f>HYPERLINK("https://www.philgeps.gov.ph/GEPSNONPILOT/Tender/SplashBidNoticeAbstractUI.aspx?menuIndex=3&amp;refID=7105370&amp;Result=3","7105370")</f>
        <v>0</v>
      </c>
      <c r="B13855" t="s">
        <v>1487</v>
      </c>
      <c r="C13855" t="s">
        <v>16958</v>
      </c>
      <c r="D13855" t="s">
        <v>18011</v>
      </c>
      <c r="E13855" t="s">
        <v>30003</v>
      </c>
      <c r="F13855" t="s">
        <v>30900</v>
      </c>
      <c r="G13855" t="s">
        <v>30907</v>
      </c>
      <c r="H13855" t="s">
        <v>30915</v>
      </c>
      <c r="I13855" t="s">
        <v>30919</v>
      </c>
      <c r="J13855" t="s">
        <v>31152</v>
      </c>
      <c r="K13855" t="s">
        <v>40293</v>
      </c>
      <c r="M13855" t="s">
        <v>42124</v>
      </c>
      <c r="N13855" t="s">
        <v>44759</v>
      </c>
      <c r="O13855" t="s">
        <v>44760</v>
      </c>
      <c r="P13855">
        <v>0</v>
      </c>
      <c r="Q13855">
        <v>0</v>
      </c>
      <c r="R13855" t="s">
        <v>44782</v>
      </c>
      <c r="S13855" t="s">
        <v>45846</v>
      </c>
      <c r="T13855" t="s">
        <v>46658</v>
      </c>
      <c r="U13855" t="s">
        <v>58283</v>
      </c>
      <c r="W13855" t="s">
        <v>42124</v>
      </c>
      <c r="X13855" t="s">
        <v>44784</v>
      </c>
    </row>
    <row r="13856" spans="1:24">
      <c r="A13856">
        <f>HYPERLINK("https://www.philgeps.gov.ph/GEPSNONPILOT/Tender/SplashBidNoticeAbstractUI.aspx?menuIndex=3&amp;refID=6935301&amp;Result=3","6935301")</f>
        <v>0</v>
      </c>
      <c r="B13856" t="s">
        <v>3676</v>
      </c>
      <c r="C13856" t="s">
        <v>16959</v>
      </c>
      <c r="D13856" t="s">
        <v>17959</v>
      </c>
      <c r="E13856" t="s">
        <v>30004</v>
      </c>
      <c r="F13856" t="s">
        <v>30900</v>
      </c>
      <c r="G13856" t="s">
        <v>30907</v>
      </c>
      <c r="H13856" t="s">
        <v>30915</v>
      </c>
      <c r="I13856" t="s">
        <v>30919</v>
      </c>
      <c r="J13856" t="s">
        <v>39642</v>
      </c>
      <c r="K13856" t="s">
        <v>40292</v>
      </c>
      <c r="M13856" t="s">
        <v>44630</v>
      </c>
      <c r="N13856" t="s">
        <v>44759</v>
      </c>
      <c r="O13856" t="s">
        <v>44760</v>
      </c>
      <c r="P13856">
        <v>0</v>
      </c>
      <c r="Q13856">
        <v>5</v>
      </c>
      <c r="R13856" t="s">
        <v>44782</v>
      </c>
      <c r="S13856" t="s">
        <v>45846</v>
      </c>
      <c r="T13856" t="s">
        <v>46581</v>
      </c>
      <c r="U13856" t="s">
        <v>58284</v>
      </c>
      <c r="W13856" t="s">
        <v>44630</v>
      </c>
      <c r="X13856" t="s">
        <v>44830</v>
      </c>
    </row>
    <row r="13857" spans="1:24">
      <c r="A13857">
        <f>HYPERLINK("https://www.philgeps.gov.ph/GEPSNONPILOT/Tender/SplashBidNoticeAbstractUI.aspx?menuIndex=3&amp;refID=7104266&amp;Result=3","7104266")</f>
        <v>0</v>
      </c>
      <c r="B13857" t="s">
        <v>56</v>
      </c>
      <c r="C13857" t="s">
        <v>16956</v>
      </c>
      <c r="D13857" t="s">
        <v>17952</v>
      </c>
      <c r="E13857" t="s">
        <v>16956</v>
      </c>
      <c r="F13857" t="s">
        <v>30900</v>
      </c>
      <c r="G13857" t="s">
        <v>30907</v>
      </c>
      <c r="H13857" t="s">
        <v>30916</v>
      </c>
      <c r="I13857" t="s">
        <v>30918</v>
      </c>
      <c r="J13857" t="s">
        <v>31243</v>
      </c>
      <c r="K13857" t="s">
        <v>40286</v>
      </c>
      <c r="M13857" t="s">
        <v>40602</v>
      </c>
      <c r="N13857" t="s">
        <v>44759</v>
      </c>
      <c r="O13857" t="s">
        <v>44760</v>
      </c>
      <c r="P13857">
        <v>0</v>
      </c>
      <c r="Q13857">
        <v>10</v>
      </c>
      <c r="R13857" t="s">
        <v>44782</v>
      </c>
      <c r="S13857" t="s">
        <v>45846</v>
      </c>
      <c r="T13857" t="s">
        <v>46581</v>
      </c>
      <c r="U13857" t="s">
        <v>58281</v>
      </c>
      <c r="V13857" t="s">
        <v>59101</v>
      </c>
      <c r="W13857" t="s">
        <v>40602</v>
      </c>
      <c r="X13857" t="s">
        <v>44784</v>
      </c>
    </row>
    <row r="13858" spans="1:24">
      <c r="A13858">
        <f>HYPERLINK("https://www.philgeps.gov.ph/GEPSNONPILOT/Tender/SplashBidNoticeAbstractUI.aspx?menuIndex=3&amp;refID=7101353&amp;Result=3","7101353")</f>
        <v>0</v>
      </c>
      <c r="B13858" t="s">
        <v>41</v>
      </c>
      <c r="C13858" t="s">
        <v>16960</v>
      </c>
      <c r="D13858" t="s">
        <v>17966</v>
      </c>
      <c r="E13858" t="s">
        <v>30005</v>
      </c>
      <c r="F13858" t="s">
        <v>30900</v>
      </c>
      <c r="G13858" t="s">
        <v>30907</v>
      </c>
      <c r="H13858" t="s">
        <v>30916</v>
      </c>
      <c r="I13858" t="s">
        <v>30939</v>
      </c>
      <c r="J13858" t="s">
        <v>39643</v>
      </c>
      <c r="K13858" t="s">
        <v>40309</v>
      </c>
      <c r="M13858" t="s">
        <v>40831</v>
      </c>
      <c r="N13858" t="s">
        <v>44759</v>
      </c>
      <c r="O13858" t="s">
        <v>44760</v>
      </c>
      <c r="P13858">
        <v>0</v>
      </c>
      <c r="Q13858">
        <v>0</v>
      </c>
      <c r="R13858" t="s">
        <v>44782</v>
      </c>
      <c r="S13858" t="s">
        <v>45846</v>
      </c>
      <c r="T13858" t="s">
        <v>46389</v>
      </c>
      <c r="U13858" t="s">
        <v>58285</v>
      </c>
      <c r="V13858" t="s">
        <v>59095</v>
      </c>
      <c r="W13858" t="s">
        <v>40831</v>
      </c>
      <c r="X13858" t="s">
        <v>44787</v>
      </c>
    </row>
    <row r="13859" spans="1:24">
      <c r="A13859">
        <f>HYPERLINK("https://www.philgeps.gov.ph/GEPSNONPILOT/Tender/SplashBidNoticeAbstractUI.aspx?menuIndex=3&amp;refID=7104293&amp;Result=3","7104293")</f>
        <v>0</v>
      </c>
      <c r="B13859" t="s">
        <v>56</v>
      </c>
      <c r="C13859" t="s">
        <v>16955</v>
      </c>
      <c r="D13859" t="s">
        <v>17952</v>
      </c>
      <c r="E13859" t="s">
        <v>16955</v>
      </c>
      <c r="F13859" t="s">
        <v>30900</v>
      </c>
      <c r="G13859" t="s">
        <v>30907</v>
      </c>
      <c r="H13859" t="s">
        <v>30916</v>
      </c>
      <c r="I13859" t="s">
        <v>30918</v>
      </c>
      <c r="J13859" t="s">
        <v>31049</v>
      </c>
      <c r="K13859" t="s">
        <v>40286</v>
      </c>
      <c r="M13859" t="s">
        <v>40602</v>
      </c>
      <c r="N13859" t="s">
        <v>44759</v>
      </c>
      <c r="O13859" t="s">
        <v>44760</v>
      </c>
      <c r="P13859">
        <v>0</v>
      </c>
      <c r="Q13859">
        <v>7</v>
      </c>
      <c r="R13859" t="s">
        <v>44782</v>
      </c>
      <c r="S13859" t="s">
        <v>45846</v>
      </c>
      <c r="T13859" t="s">
        <v>46581</v>
      </c>
      <c r="U13859" t="s">
        <v>58280</v>
      </c>
      <c r="V13859" t="s">
        <v>59101</v>
      </c>
      <c r="W13859" t="s">
        <v>40602</v>
      </c>
      <c r="X13859" t="s">
        <v>44784</v>
      </c>
    </row>
    <row r="13860" spans="1:24">
      <c r="A13860">
        <f>HYPERLINK("https://www.philgeps.gov.ph/GEPSNONPILOT/Tender/SplashBidNoticeAbstractUI.aspx?menuIndex=3&amp;refID=7104275&amp;Result=3","7104275")</f>
        <v>0</v>
      </c>
      <c r="B13860" t="s">
        <v>56</v>
      </c>
      <c r="C13860" t="s">
        <v>16957</v>
      </c>
      <c r="D13860" t="s">
        <v>17952</v>
      </c>
      <c r="E13860" t="s">
        <v>16957</v>
      </c>
      <c r="F13860" t="s">
        <v>30900</v>
      </c>
      <c r="G13860" t="s">
        <v>30907</v>
      </c>
      <c r="H13860" t="s">
        <v>30916</v>
      </c>
      <c r="I13860" t="s">
        <v>30918</v>
      </c>
      <c r="J13860" t="s">
        <v>31101</v>
      </c>
      <c r="K13860" t="s">
        <v>40286</v>
      </c>
      <c r="M13860" t="s">
        <v>40602</v>
      </c>
      <c r="N13860" t="s">
        <v>44759</v>
      </c>
      <c r="O13860" t="s">
        <v>44760</v>
      </c>
      <c r="P13860">
        <v>0</v>
      </c>
      <c r="Q13860">
        <v>4</v>
      </c>
      <c r="R13860" t="s">
        <v>44782</v>
      </c>
      <c r="S13860" t="s">
        <v>45846</v>
      </c>
      <c r="T13860" t="s">
        <v>46581</v>
      </c>
      <c r="U13860" t="s">
        <v>58282</v>
      </c>
      <c r="V13860" t="s">
        <v>59101</v>
      </c>
      <c r="W13860" t="s">
        <v>40602</v>
      </c>
      <c r="X13860" t="s">
        <v>44784</v>
      </c>
    </row>
    <row r="13861" spans="1:24">
      <c r="A13861">
        <f>HYPERLINK("https://www.philgeps.gov.ph/GEPSNONPILOT/Tender/SplashBidNoticeAbstractUI.aspx?menuIndex=3&amp;refID=7098159&amp;Result=3","7098159")</f>
        <v>0</v>
      </c>
      <c r="B13861" t="s">
        <v>858</v>
      </c>
      <c r="C13861" t="s">
        <v>16961</v>
      </c>
      <c r="D13861" t="s">
        <v>17977</v>
      </c>
      <c r="E13861" t="s">
        <v>30006</v>
      </c>
      <c r="F13861" t="s">
        <v>30900</v>
      </c>
      <c r="G13861" t="s">
        <v>30907</v>
      </c>
      <c r="H13861" t="s">
        <v>30916</v>
      </c>
      <c r="I13861" t="s">
        <v>9385</v>
      </c>
      <c r="J13861" t="s">
        <v>39644</v>
      </c>
      <c r="K13861" t="s">
        <v>40289</v>
      </c>
      <c r="M13861" t="s">
        <v>44629</v>
      </c>
      <c r="N13861" t="s">
        <v>44759</v>
      </c>
      <c r="O13861" t="s">
        <v>44760</v>
      </c>
      <c r="Q13861">
        <v>31</v>
      </c>
      <c r="R13861" t="s">
        <v>44782</v>
      </c>
      <c r="S13861" t="s">
        <v>45857</v>
      </c>
      <c r="T13861" t="s">
        <v>46403</v>
      </c>
      <c r="U13861" t="s">
        <v>58276</v>
      </c>
      <c r="W13861" t="s">
        <v>44629</v>
      </c>
      <c r="X13861" t="s">
        <v>44788</v>
      </c>
    </row>
    <row r="13862" spans="1:24">
      <c r="A13862">
        <f>HYPERLINK("https://www.philgeps.gov.ph/GEPSNONPILOT/Tender/SplashBidNoticeAbstractUI.aspx?menuIndex=3&amp;refID=7101450&amp;Result=3","7101450")</f>
        <v>0</v>
      </c>
      <c r="B13862" t="s">
        <v>1622</v>
      </c>
      <c r="C13862" t="s">
        <v>16962</v>
      </c>
      <c r="D13862" t="s">
        <v>17985</v>
      </c>
      <c r="E13862" t="s">
        <v>30007</v>
      </c>
      <c r="F13862" t="s">
        <v>30900</v>
      </c>
      <c r="G13862" t="s">
        <v>30907</v>
      </c>
      <c r="H13862" t="s">
        <v>30916</v>
      </c>
      <c r="I13862" t="s">
        <v>5501</v>
      </c>
      <c r="J13862" t="s">
        <v>39645</v>
      </c>
      <c r="K13862" t="s">
        <v>40286</v>
      </c>
      <c r="M13862" t="s">
        <v>42273</v>
      </c>
      <c r="N13862" t="s">
        <v>44759</v>
      </c>
      <c r="O13862" t="s">
        <v>44760</v>
      </c>
      <c r="Q13862">
        <v>0</v>
      </c>
      <c r="R13862" t="s">
        <v>44782</v>
      </c>
      <c r="S13862" t="s">
        <v>45858</v>
      </c>
      <c r="T13862" t="s">
        <v>46533</v>
      </c>
      <c r="U13862" t="s">
        <v>58286</v>
      </c>
      <c r="V13862" t="s">
        <v>59572</v>
      </c>
      <c r="W13862" t="s">
        <v>42273</v>
      </c>
      <c r="X13862" t="s">
        <v>44787</v>
      </c>
    </row>
    <row r="13863" spans="1:24">
      <c r="A13863">
        <f>HYPERLINK("https://www.philgeps.gov.ph/GEPSNONPILOT/Tender/SplashBidNoticeAbstractUI.aspx?menuIndex=3&amp;refID=7101349&amp;Result=3","7101349")</f>
        <v>0</v>
      </c>
      <c r="B13863" t="s">
        <v>41</v>
      </c>
      <c r="C13863" t="s">
        <v>16963</v>
      </c>
      <c r="D13863" t="s">
        <v>17966</v>
      </c>
      <c r="E13863" t="s">
        <v>30008</v>
      </c>
      <c r="F13863" t="s">
        <v>30900</v>
      </c>
      <c r="G13863" t="s">
        <v>30907</v>
      </c>
      <c r="H13863" t="s">
        <v>30916</v>
      </c>
      <c r="I13863" t="s">
        <v>30939</v>
      </c>
      <c r="J13863" t="s">
        <v>39646</v>
      </c>
      <c r="K13863" t="s">
        <v>40358</v>
      </c>
      <c r="M13863" t="s">
        <v>40831</v>
      </c>
      <c r="N13863" t="s">
        <v>44759</v>
      </c>
      <c r="O13863" t="s">
        <v>44760</v>
      </c>
      <c r="P13863">
        <v>0</v>
      </c>
      <c r="Q13863">
        <v>0</v>
      </c>
      <c r="R13863" t="s">
        <v>44782</v>
      </c>
      <c r="S13863" t="s">
        <v>45846</v>
      </c>
      <c r="T13863" t="s">
        <v>46389</v>
      </c>
      <c r="U13863" t="s">
        <v>58287</v>
      </c>
      <c r="V13863" t="s">
        <v>59095</v>
      </c>
      <c r="W13863" t="s">
        <v>40831</v>
      </c>
      <c r="X13863" t="s">
        <v>44787</v>
      </c>
    </row>
    <row r="13864" spans="1:24">
      <c r="A13864">
        <f>HYPERLINK("https://www.philgeps.gov.ph/GEPSNONPILOT/Tender/SplashBidNoticeAbstractUI.aspx?menuIndex=3&amp;refID=7107709&amp;Result=3","7107709")</f>
        <v>0</v>
      </c>
      <c r="B13864" t="s">
        <v>2150</v>
      </c>
      <c r="C13864" t="s">
        <v>16964</v>
      </c>
      <c r="D13864" t="s">
        <v>17951</v>
      </c>
      <c r="E13864" t="s">
        <v>30009</v>
      </c>
      <c r="F13864" t="s">
        <v>30900</v>
      </c>
      <c r="G13864" t="s">
        <v>30907</v>
      </c>
      <c r="H13864" t="s">
        <v>30915</v>
      </c>
      <c r="I13864" t="s">
        <v>30919</v>
      </c>
      <c r="J13864" t="s">
        <v>39647</v>
      </c>
      <c r="K13864" t="s">
        <v>40301</v>
      </c>
      <c r="M13864" t="s">
        <v>42854</v>
      </c>
      <c r="N13864" t="s">
        <v>44759</v>
      </c>
      <c r="O13864" t="s">
        <v>44760</v>
      </c>
      <c r="P13864">
        <v>0</v>
      </c>
      <c r="Q13864">
        <v>3</v>
      </c>
      <c r="R13864" t="s">
        <v>44782</v>
      </c>
      <c r="S13864" t="s">
        <v>45846</v>
      </c>
      <c r="T13864" t="s">
        <v>46531</v>
      </c>
      <c r="U13864" t="s">
        <v>58288</v>
      </c>
      <c r="W13864" t="s">
        <v>42854</v>
      </c>
      <c r="X13864" t="s">
        <v>44783</v>
      </c>
    </row>
    <row r="13865" spans="1:24">
      <c r="A13865">
        <f>HYPERLINK("https://www.philgeps.gov.ph/GEPSNONPILOT/Tender/SplashBidNoticeAbstractUI.aspx?menuIndex=3&amp;refID=7107663&amp;Result=3","7107663")</f>
        <v>0</v>
      </c>
      <c r="B13865" t="s">
        <v>3185</v>
      </c>
      <c r="C13865" t="s">
        <v>16965</v>
      </c>
      <c r="D13865" t="s">
        <v>17961</v>
      </c>
      <c r="E13865" t="s">
        <v>30010</v>
      </c>
      <c r="F13865" t="s">
        <v>30900</v>
      </c>
      <c r="G13865" t="s">
        <v>30907</v>
      </c>
      <c r="H13865" t="s">
        <v>30915</v>
      </c>
      <c r="I13865" t="s">
        <v>30919</v>
      </c>
      <c r="J13865" t="s">
        <v>31297</v>
      </c>
      <c r="K13865" t="s">
        <v>40284</v>
      </c>
      <c r="M13865" t="s">
        <v>44016</v>
      </c>
      <c r="N13865" t="s">
        <v>44759</v>
      </c>
      <c r="O13865" t="s">
        <v>44760</v>
      </c>
      <c r="P13865">
        <v>0</v>
      </c>
      <c r="Q13865">
        <v>1</v>
      </c>
      <c r="R13865" t="s">
        <v>44782</v>
      </c>
      <c r="S13865" t="s">
        <v>45846</v>
      </c>
      <c r="T13865" t="s">
        <v>46888</v>
      </c>
      <c r="U13865" t="s">
        <v>58289</v>
      </c>
      <c r="W13865" t="s">
        <v>44016</v>
      </c>
      <c r="X13865" t="s">
        <v>44783</v>
      </c>
    </row>
    <row r="13866" spans="1:24">
      <c r="A13866">
        <f>HYPERLINK("https://www.philgeps.gov.ph/GEPSNONPILOT/Tender/SplashBidNoticeAbstractUI.aspx?menuIndex=3&amp;refID=7103946&amp;Result=3","7103946")</f>
        <v>0</v>
      </c>
      <c r="B13866" t="s">
        <v>2601</v>
      </c>
      <c r="C13866" t="s">
        <v>16966</v>
      </c>
      <c r="D13866" t="s">
        <v>17954</v>
      </c>
      <c r="E13866" t="s">
        <v>30011</v>
      </c>
      <c r="F13866" t="s">
        <v>30900</v>
      </c>
      <c r="G13866" t="s">
        <v>30907</v>
      </c>
      <c r="H13866" t="s">
        <v>30915</v>
      </c>
      <c r="I13866" t="s">
        <v>30919</v>
      </c>
      <c r="J13866" t="s">
        <v>31069</v>
      </c>
      <c r="K13866" t="s">
        <v>40361</v>
      </c>
      <c r="M13866" t="s">
        <v>43363</v>
      </c>
      <c r="N13866" t="s">
        <v>44759</v>
      </c>
      <c r="O13866" t="s">
        <v>44760</v>
      </c>
      <c r="Q13866">
        <v>10</v>
      </c>
      <c r="R13866" t="s">
        <v>44782</v>
      </c>
      <c r="S13866" t="s">
        <v>45859</v>
      </c>
      <c r="T13866" t="s">
        <v>46658</v>
      </c>
      <c r="U13866" t="s">
        <v>58290</v>
      </c>
      <c r="W13866" t="s">
        <v>43416</v>
      </c>
      <c r="X13866" t="s">
        <v>44786</v>
      </c>
    </row>
    <row r="13867" spans="1:24">
      <c r="A13867">
        <f>HYPERLINK("https://www.philgeps.gov.ph/GEPSNONPILOT/Tender/SplashBidNoticeAbstractUI.aspx?menuIndex=3&amp;refID=7107603&amp;Result=3","7107603")</f>
        <v>0</v>
      </c>
      <c r="B13867" t="s">
        <v>504</v>
      </c>
      <c r="C13867" t="s">
        <v>16967</v>
      </c>
      <c r="D13867" t="s">
        <v>18012</v>
      </c>
      <c r="E13867" t="s">
        <v>30012</v>
      </c>
      <c r="F13867" t="s">
        <v>30900</v>
      </c>
      <c r="G13867" t="s">
        <v>30907</v>
      </c>
      <c r="H13867" t="s">
        <v>30915</v>
      </c>
      <c r="I13867" t="s">
        <v>30919</v>
      </c>
      <c r="J13867" t="s">
        <v>39648</v>
      </c>
      <c r="K13867" t="s">
        <v>40286</v>
      </c>
      <c r="M13867" t="s">
        <v>41064</v>
      </c>
      <c r="N13867" t="s">
        <v>44759</v>
      </c>
      <c r="O13867" t="s">
        <v>44760</v>
      </c>
      <c r="P13867">
        <v>0</v>
      </c>
      <c r="Q13867">
        <v>0</v>
      </c>
      <c r="R13867" t="s">
        <v>44782</v>
      </c>
      <c r="S13867" t="s">
        <v>45846</v>
      </c>
      <c r="T13867" t="s">
        <v>46531</v>
      </c>
      <c r="U13867" t="s">
        <v>58291</v>
      </c>
      <c r="W13867" t="s">
        <v>41064</v>
      </c>
      <c r="X13867" t="s">
        <v>44783</v>
      </c>
    </row>
    <row r="13868" spans="1:24">
      <c r="A13868">
        <f>HYPERLINK("https://www.philgeps.gov.ph/GEPSNONPILOT/Tender/SplashBidNoticeAbstractUI.aspx?menuIndex=3&amp;refID=7107650&amp;Result=3","7107650")</f>
        <v>0</v>
      </c>
      <c r="B13868" t="s">
        <v>2150</v>
      </c>
      <c r="C13868" t="s">
        <v>16968</v>
      </c>
      <c r="D13868" t="s">
        <v>17951</v>
      </c>
      <c r="E13868" t="s">
        <v>30013</v>
      </c>
      <c r="F13868" t="s">
        <v>30900</v>
      </c>
      <c r="G13868" t="s">
        <v>30907</v>
      </c>
      <c r="H13868" t="s">
        <v>30915</v>
      </c>
      <c r="I13868" t="s">
        <v>30919</v>
      </c>
      <c r="J13868" t="s">
        <v>39649</v>
      </c>
      <c r="K13868" t="s">
        <v>40312</v>
      </c>
      <c r="M13868" t="s">
        <v>42854</v>
      </c>
      <c r="N13868" t="s">
        <v>44759</v>
      </c>
      <c r="O13868" t="s">
        <v>44760</v>
      </c>
      <c r="P13868">
        <v>0</v>
      </c>
      <c r="Q13868">
        <v>3</v>
      </c>
      <c r="R13868" t="s">
        <v>44782</v>
      </c>
      <c r="S13868" t="s">
        <v>45846</v>
      </c>
      <c r="T13868" t="s">
        <v>46531</v>
      </c>
      <c r="U13868" t="s">
        <v>58292</v>
      </c>
      <c r="W13868" t="s">
        <v>42854</v>
      </c>
      <c r="X13868" t="s">
        <v>44783</v>
      </c>
    </row>
    <row r="13869" spans="1:24">
      <c r="A13869">
        <f>HYPERLINK("https://www.philgeps.gov.ph/GEPSNONPILOT/Tender/SplashBidNoticeAbstractUI.aspx?menuIndex=3&amp;refID=7107511&amp;Result=3","7107511")</f>
        <v>0</v>
      </c>
      <c r="B13869" t="s">
        <v>3505</v>
      </c>
      <c r="C13869" t="s">
        <v>16969</v>
      </c>
      <c r="D13869" t="s">
        <v>17959</v>
      </c>
      <c r="E13869" t="s">
        <v>30014</v>
      </c>
      <c r="F13869" t="s">
        <v>30900</v>
      </c>
      <c r="G13869" t="s">
        <v>30907</v>
      </c>
      <c r="H13869" t="s">
        <v>30915</v>
      </c>
      <c r="I13869" t="s">
        <v>30919</v>
      </c>
      <c r="J13869" t="s">
        <v>39650</v>
      </c>
      <c r="K13869" t="s">
        <v>40342</v>
      </c>
      <c r="M13869" t="s">
        <v>44409</v>
      </c>
      <c r="N13869" t="s">
        <v>44759</v>
      </c>
      <c r="O13869" t="s">
        <v>44760</v>
      </c>
      <c r="Q13869">
        <v>2</v>
      </c>
      <c r="R13869" t="s">
        <v>44782</v>
      </c>
      <c r="S13869" t="s">
        <v>45860</v>
      </c>
      <c r="T13869" t="s">
        <v>46357</v>
      </c>
      <c r="U13869" t="s">
        <v>58293</v>
      </c>
      <c r="W13869" t="s">
        <v>44409</v>
      </c>
      <c r="X13869" t="s">
        <v>44783</v>
      </c>
    </row>
    <row r="13870" spans="1:24">
      <c r="A13870">
        <f>HYPERLINK("https://www.philgeps.gov.ph/GEPSNONPILOT/Tender/SplashBidNoticeAbstractUI.aspx?menuIndex=3&amp;refID=7097708&amp;Result=3","7097708")</f>
        <v>0</v>
      </c>
      <c r="B13870" t="s">
        <v>858</v>
      </c>
      <c r="C13870" t="s">
        <v>16970</v>
      </c>
      <c r="D13870" t="s">
        <v>17977</v>
      </c>
      <c r="E13870" t="s">
        <v>30015</v>
      </c>
      <c r="F13870" t="s">
        <v>30900</v>
      </c>
      <c r="G13870" t="s">
        <v>30907</v>
      </c>
      <c r="H13870" t="s">
        <v>30916</v>
      </c>
      <c r="I13870" t="s">
        <v>30923</v>
      </c>
      <c r="J13870" t="s">
        <v>39651</v>
      </c>
      <c r="K13870" t="s">
        <v>40289</v>
      </c>
      <c r="M13870" t="s">
        <v>44629</v>
      </c>
      <c r="N13870" t="s">
        <v>44759</v>
      </c>
      <c r="O13870" t="s">
        <v>44760</v>
      </c>
      <c r="Q13870">
        <v>65</v>
      </c>
      <c r="R13870" t="s">
        <v>44782</v>
      </c>
      <c r="S13870" t="s">
        <v>45861</v>
      </c>
      <c r="T13870" t="s">
        <v>46581</v>
      </c>
      <c r="U13870" t="s">
        <v>58276</v>
      </c>
      <c r="W13870" t="s">
        <v>44629</v>
      </c>
      <c r="X13870" t="s">
        <v>44788</v>
      </c>
    </row>
    <row r="13871" spans="1:24">
      <c r="A13871">
        <f>HYPERLINK("https://www.philgeps.gov.ph/GEPSNONPILOT/Tender/SplashBidNoticeAbstractUI.aspx?menuIndex=3&amp;refID=7107592&amp;Result=3","7107592")</f>
        <v>0</v>
      </c>
      <c r="B13871" t="s">
        <v>3185</v>
      </c>
      <c r="C13871" t="s">
        <v>13667</v>
      </c>
      <c r="D13871" t="s">
        <v>17961</v>
      </c>
      <c r="E13871" t="s">
        <v>30010</v>
      </c>
      <c r="F13871" t="s">
        <v>30900</v>
      </c>
      <c r="G13871" t="s">
        <v>30907</v>
      </c>
      <c r="H13871" t="s">
        <v>30916</v>
      </c>
      <c r="I13871" t="s">
        <v>8123</v>
      </c>
      <c r="J13871" t="s">
        <v>39652</v>
      </c>
      <c r="K13871" t="s">
        <v>40284</v>
      </c>
      <c r="M13871" t="s">
        <v>44016</v>
      </c>
      <c r="N13871" t="s">
        <v>44759</v>
      </c>
      <c r="O13871" t="s">
        <v>44760</v>
      </c>
      <c r="P13871">
        <v>0</v>
      </c>
      <c r="Q13871">
        <v>4</v>
      </c>
      <c r="R13871" t="s">
        <v>44782</v>
      </c>
      <c r="S13871" t="s">
        <v>45846</v>
      </c>
      <c r="T13871" t="s">
        <v>46531</v>
      </c>
      <c r="U13871" t="s">
        <v>58294</v>
      </c>
      <c r="W13871" t="s">
        <v>44016</v>
      </c>
      <c r="X13871" t="s">
        <v>44783</v>
      </c>
    </row>
    <row r="13872" spans="1:24">
      <c r="A13872">
        <f>HYPERLINK("https://www.philgeps.gov.ph/GEPSNONPILOT/Tender/SplashBidNoticeAbstractUI.aspx?menuIndex=3&amp;refID=7107416&amp;Result=3","7107416")</f>
        <v>0</v>
      </c>
      <c r="B13872" t="s">
        <v>3425</v>
      </c>
      <c r="C13872" t="s">
        <v>16971</v>
      </c>
      <c r="D13872" t="s">
        <v>18013</v>
      </c>
      <c r="E13872" t="s">
        <v>30016</v>
      </c>
      <c r="F13872" t="s">
        <v>30900</v>
      </c>
      <c r="G13872" t="s">
        <v>30907</v>
      </c>
      <c r="H13872" t="s">
        <v>7411</v>
      </c>
      <c r="I13872" t="s">
        <v>7411</v>
      </c>
      <c r="J13872" t="s">
        <v>39653</v>
      </c>
      <c r="K13872" t="s">
        <v>40300</v>
      </c>
      <c r="M13872" t="s">
        <v>44305</v>
      </c>
      <c r="N13872" t="s">
        <v>44759</v>
      </c>
      <c r="O13872" t="s">
        <v>44760</v>
      </c>
      <c r="P13872">
        <v>0</v>
      </c>
      <c r="Q13872">
        <v>7</v>
      </c>
      <c r="R13872" t="s">
        <v>44782</v>
      </c>
      <c r="S13872" t="s">
        <v>45846</v>
      </c>
      <c r="T13872" t="s">
        <v>46357</v>
      </c>
      <c r="U13872" t="s">
        <v>56733</v>
      </c>
      <c r="W13872" t="s">
        <v>44305</v>
      </c>
      <c r="X13872" t="s">
        <v>44783</v>
      </c>
    </row>
    <row r="13873" spans="1:24">
      <c r="A13873">
        <f>HYPERLINK("https://www.philgeps.gov.ph/GEPSNONPILOT/Tender/SplashBidNoticeAbstractUI.aspx?menuIndex=3&amp;refID=7106900&amp;Result=3","7106900")</f>
        <v>0</v>
      </c>
      <c r="B13873" t="s">
        <v>3677</v>
      </c>
      <c r="C13873" t="s">
        <v>16972</v>
      </c>
      <c r="D13873" t="s">
        <v>17959</v>
      </c>
      <c r="E13873" t="s">
        <v>30017</v>
      </c>
      <c r="F13873" t="s">
        <v>30900</v>
      </c>
      <c r="G13873" t="s">
        <v>30907</v>
      </c>
      <c r="H13873" t="s">
        <v>30916</v>
      </c>
      <c r="I13873" t="s">
        <v>8044</v>
      </c>
      <c r="J13873" t="s">
        <v>36049</v>
      </c>
      <c r="K13873" t="s">
        <v>40287</v>
      </c>
      <c r="M13873" t="s">
        <v>44631</v>
      </c>
      <c r="N13873" t="s">
        <v>44759</v>
      </c>
      <c r="O13873" t="s">
        <v>44760</v>
      </c>
      <c r="Q13873">
        <v>2</v>
      </c>
      <c r="R13873" t="s">
        <v>44782</v>
      </c>
      <c r="S13873" t="s">
        <v>44953</v>
      </c>
      <c r="T13873" t="s">
        <v>46411</v>
      </c>
      <c r="U13873" t="s">
        <v>58295</v>
      </c>
      <c r="W13873" t="s">
        <v>44631</v>
      </c>
      <c r="X13873" t="s">
        <v>44784</v>
      </c>
    </row>
    <row r="13874" spans="1:24">
      <c r="A13874">
        <f>HYPERLINK("https://www.philgeps.gov.ph/GEPSNONPILOT/Tender/SplashBidNoticeAbstractUI.aspx?menuIndex=3&amp;refID=7107397&amp;Result=3","7107397")</f>
        <v>0</v>
      </c>
      <c r="B13874" t="s">
        <v>3505</v>
      </c>
      <c r="C13874" t="s">
        <v>16973</v>
      </c>
      <c r="D13874" t="s">
        <v>17959</v>
      </c>
      <c r="E13874" t="s">
        <v>30018</v>
      </c>
      <c r="F13874" t="s">
        <v>30900</v>
      </c>
      <c r="G13874" t="s">
        <v>30907</v>
      </c>
      <c r="H13874" t="s">
        <v>30915</v>
      </c>
      <c r="I13874" t="s">
        <v>30919</v>
      </c>
      <c r="J13874" t="s">
        <v>39654</v>
      </c>
      <c r="K13874" t="s">
        <v>40292</v>
      </c>
      <c r="M13874" t="s">
        <v>44409</v>
      </c>
      <c r="N13874" t="s">
        <v>44759</v>
      </c>
      <c r="O13874" t="s">
        <v>44760</v>
      </c>
      <c r="Q13874">
        <v>3</v>
      </c>
      <c r="R13874" t="s">
        <v>44782</v>
      </c>
      <c r="S13874" t="s">
        <v>45862</v>
      </c>
      <c r="T13874" t="s">
        <v>46357</v>
      </c>
      <c r="U13874" t="s">
        <v>58293</v>
      </c>
      <c r="W13874" t="s">
        <v>44409</v>
      </c>
      <c r="X13874" t="s">
        <v>44783</v>
      </c>
    </row>
    <row r="13875" spans="1:24">
      <c r="A13875">
        <f>HYPERLINK("https://www.philgeps.gov.ph/GEPSNONPILOT/Tender/SplashBidNoticeAbstractUI.aspx?menuIndex=3&amp;refID=7106813&amp;Result=3","7106813")</f>
        <v>0</v>
      </c>
      <c r="B13875" t="s">
        <v>3677</v>
      </c>
      <c r="C13875" t="s">
        <v>16974</v>
      </c>
      <c r="D13875" t="s">
        <v>17959</v>
      </c>
      <c r="E13875" t="s">
        <v>30019</v>
      </c>
      <c r="F13875" t="s">
        <v>30900</v>
      </c>
      <c r="G13875" t="s">
        <v>30907</v>
      </c>
      <c r="H13875" t="s">
        <v>30916</v>
      </c>
      <c r="I13875" t="s">
        <v>10847</v>
      </c>
      <c r="J13875" t="s">
        <v>33787</v>
      </c>
      <c r="K13875" t="s">
        <v>40287</v>
      </c>
      <c r="M13875" t="s">
        <v>44631</v>
      </c>
      <c r="N13875" t="s">
        <v>44759</v>
      </c>
      <c r="O13875" t="s">
        <v>44760</v>
      </c>
      <c r="Q13875">
        <v>0</v>
      </c>
      <c r="R13875" t="s">
        <v>44782</v>
      </c>
      <c r="S13875" t="s">
        <v>45000</v>
      </c>
      <c r="T13875" t="s">
        <v>46411</v>
      </c>
      <c r="U13875" t="s">
        <v>58295</v>
      </c>
      <c r="W13875" t="s">
        <v>44631</v>
      </c>
      <c r="X13875" t="s">
        <v>44784</v>
      </c>
    </row>
    <row r="13876" spans="1:24">
      <c r="A13876">
        <f>HYPERLINK("https://www.philgeps.gov.ph/GEPSNONPILOT/Tender/SplashBidNoticeAbstractUI.aspx?menuIndex=3&amp;refID=7106674&amp;Result=3","7106674")</f>
        <v>0</v>
      </c>
      <c r="B13876" t="s">
        <v>3677</v>
      </c>
      <c r="C13876" t="s">
        <v>16974</v>
      </c>
      <c r="D13876" t="s">
        <v>17959</v>
      </c>
      <c r="E13876" t="s">
        <v>30020</v>
      </c>
      <c r="F13876" t="s">
        <v>30900</v>
      </c>
      <c r="G13876" t="s">
        <v>30907</v>
      </c>
      <c r="H13876" t="s">
        <v>30916</v>
      </c>
      <c r="I13876" t="s">
        <v>10847</v>
      </c>
      <c r="J13876" t="s">
        <v>33787</v>
      </c>
      <c r="K13876" t="s">
        <v>40287</v>
      </c>
      <c r="M13876" t="s">
        <v>44631</v>
      </c>
      <c r="N13876" t="s">
        <v>44759</v>
      </c>
      <c r="O13876" t="s">
        <v>44760</v>
      </c>
      <c r="Q13876">
        <v>0</v>
      </c>
      <c r="R13876" t="s">
        <v>44782</v>
      </c>
      <c r="S13876" t="s">
        <v>45863</v>
      </c>
      <c r="T13876" t="s">
        <v>46411</v>
      </c>
      <c r="U13876" t="s">
        <v>58295</v>
      </c>
      <c r="W13876" t="s">
        <v>44631</v>
      </c>
      <c r="X13876" t="s">
        <v>44784</v>
      </c>
    </row>
    <row r="13877" spans="1:24">
      <c r="A13877">
        <f>HYPERLINK("https://www.philgeps.gov.ph/GEPSNONPILOT/Tender/SplashBidNoticeAbstractUI.aspx?menuIndex=3&amp;refID=7106837&amp;Result=3","7106837")</f>
        <v>0</v>
      </c>
      <c r="B13877" t="s">
        <v>3677</v>
      </c>
      <c r="C13877" t="s">
        <v>16972</v>
      </c>
      <c r="D13877" t="s">
        <v>17959</v>
      </c>
      <c r="E13877" t="s">
        <v>30021</v>
      </c>
      <c r="F13877" t="s">
        <v>30900</v>
      </c>
      <c r="G13877" t="s">
        <v>30907</v>
      </c>
      <c r="H13877" t="s">
        <v>30916</v>
      </c>
      <c r="I13877" t="s">
        <v>8044</v>
      </c>
      <c r="J13877" t="s">
        <v>36049</v>
      </c>
      <c r="K13877" t="s">
        <v>40287</v>
      </c>
      <c r="M13877" t="s">
        <v>44631</v>
      </c>
      <c r="N13877" t="s">
        <v>44759</v>
      </c>
      <c r="O13877" t="s">
        <v>44760</v>
      </c>
      <c r="Q13877">
        <v>2</v>
      </c>
      <c r="R13877" t="s">
        <v>44782</v>
      </c>
      <c r="S13877" t="s">
        <v>44953</v>
      </c>
      <c r="T13877" t="s">
        <v>46411</v>
      </c>
      <c r="U13877" t="s">
        <v>58295</v>
      </c>
      <c r="W13877" t="s">
        <v>44631</v>
      </c>
      <c r="X13877" t="s">
        <v>44784</v>
      </c>
    </row>
    <row r="13878" spans="1:24">
      <c r="A13878">
        <f>HYPERLINK("https://www.philgeps.gov.ph/GEPSNONPILOT/Tender/SplashBidNoticeAbstractUI.aspx?menuIndex=3&amp;refID=7106580&amp;Result=3","7106580")</f>
        <v>0</v>
      </c>
      <c r="B13878" t="s">
        <v>1905</v>
      </c>
      <c r="C13878" t="s">
        <v>16975</v>
      </c>
      <c r="D13878" t="s">
        <v>18002</v>
      </c>
      <c r="E13878" t="s">
        <v>30022</v>
      </c>
      <c r="F13878" t="s">
        <v>30900</v>
      </c>
      <c r="G13878" t="s">
        <v>30907</v>
      </c>
      <c r="H13878" t="s">
        <v>30916</v>
      </c>
      <c r="I13878" t="s">
        <v>4108</v>
      </c>
      <c r="J13878" t="s">
        <v>39655</v>
      </c>
      <c r="K13878" t="s">
        <v>40287</v>
      </c>
      <c r="M13878" t="s">
        <v>42582</v>
      </c>
      <c r="N13878" t="s">
        <v>44759</v>
      </c>
      <c r="O13878" t="s">
        <v>44760</v>
      </c>
      <c r="Q13878">
        <v>3</v>
      </c>
      <c r="R13878" t="s">
        <v>44782</v>
      </c>
      <c r="S13878" t="s">
        <v>45864</v>
      </c>
      <c r="T13878" t="s">
        <v>46658</v>
      </c>
      <c r="U13878" t="s">
        <v>58296</v>
      </c>
      <c r="V13878" t="s">
        <v>60689</v>
      </c>
      <c r="W13878" t="s">
        <v>42582</v>
      </c>
      <c r="X13878" t="s">
        <v>44784</v>
      </c>
    </row>
    <row r="13879" spans="1:24">
      <c r="A13879">
        <f>HYPERLINK("https://www.philgeps.gov.ph/GEPSNONPILOT/Tender/SplashBidNoticeAbstractUI.aspx?menuIndex=3&amp;refID=7106784&amp;Result=3","7106784")</f>
        <v>0</v>
      </c>
      <c r="B13879" t="s">
        <v>3677</v>
      </c>
      <c r="C13879" t="s">
        <v>16974</v>
      </c>
      <c r="D13879" t="s">
        <v>17959</v>
      </c>
      <c r="E13879" t="s">
        <v>30023</v>
      </c>
      <c r="F13879" t="s">
        <v>30900</v>
      </c>
      <c r="G13879" t="s">
        <v>30907</v>
      </c>
      <c r="H13879" t="s">
        <v>30916</v>
      </c>
      <c r="I13879" t="s">
        <v>10847</v>
      </c>
      <c r="J13879" t="s">
        <v>33787</v>
      </c>
      <c r="K13879" t="s">
        <v>40287</v>
      </c>
      <c r="M13879" t="s">
        <v>44631</v>
      </c>
      <c r="N13879" t="s">
        <v>44759</v>
      </c>
      <c r="O13879" t="s">
        <v>44760</v>
      </c>
      <c r="Q13879">
        <v>0</v>
      </c>
      <c r="R13879" t="s">
        <v>44782</v>
      </c>
      <c r="S13879" t="s">
        <v>45000</v>
      </c>
      <c r="T13879" t="s">
        <v>46411</v>
      </c>
      <c r="U13879" t="s">
        <v>58295</v>
      </c>
      <c r="W13879" t="s">
        <v>44631</v>
      </c>
      <c r="X13879" t="s">
        <v>44784</v>
      </c>
    </row>
    <row r="13880" spans="1:24">
      <c r="A13880">
        <f>HYPERLINK("https://www.philgeps.gov.ph/GEPSNONPILOT/Tender/SplashBidNoticeAbstractUI.aspx?menuIndex=3&amp;refID=7106908&amp;Result=3","7106908")</f>
        <v>0</v>
      </c>
      <c r="B13880" t="s">
        <v>3677</v>
      </c>
      <c r="C13880" t="s">
        <v>16972</v>
      </c>
      <c r="D13880" t="s">
        <v>17959</v>
      </c>
      <c r="E13880" t="s">
        <v>30024</v>
      </c>
      <c r="F13880" t="s">
        <v>30900</v>
      </c>
      <c r="G13880" t="s">
        <v>30907</v>
      </c>
      <c r="H13880" t="s">
        <v>30916</v>
      </c>
      <c r="I13880" t="s">
        <v>8044</v>
      </c>
      <c r="J13880" t="s">
        <v>36049</v>
      </c>
      <c r="K13880" t="s">
        <v>40287</v>
      </c>
      <c r="M13880" t="s">
        <v>44631</v>
      </c>
      <c r="N13880" t="s">
        <v>44759</v>
      </c>
      <c r="O13880" t="s">
        <v>44760</v>
      </c>
      <c r="Q13880">
        <v>3</v>
      </c>
      <c r="R13880" t="s">
        <v>44782</v>
      </c>
      <c r="S13880" t="s">
        <v>45865</v>
      </c>
      <c r="T13880" t="s">
        <v>46411</v>
      </c>
      <c r="U13880" t="s">
        <v>58295</v>
      </c>
      <c r="W13880" t="s">
        <v>44631</v>
      </c>
      <c r="X13880" t="s">
        <v>44784</v>
      </c>
    </row>
    <row r="13881" spans="1:24">
      <c r="A13881">
        <f>HYPERLINK("https://www.philgeps.gov.ph/GEPSNONPILOT/Tender/SplashBidNoticeAbstractUI.aspx?menuIndex=3&amp;refID=7106970&amp;Result=3","7106970")</f>
        <v>0</v>
      </c>
      <c r="B13881" t="s">
        <v>3676</v>
      </c>
      <c r="C13881" t="s">
        <v>16976</v>
      </c>
      <c r="D13881" t="s">
        <v>17959</v>
      </c>
      <c r="E13881" t="s">
        <v>30025</v>
      </c>
      <c r="F13881" t="s">
        <v>30900</v>
      </c>
      <c r="G13881" t="s">
        <v>30907</v>
      </c>
      <c r="H13881" t="s">
        <v>30915</v>
      </c>
      <c r="I13881" t="s">
        <v>30919</v>
      </c>
      <c r="J13881" t="s">
        <v>39656</v>
      </c>
      <c r="K13881" t="s">
        <v>40293</v>
      </c>
      <c r="M13881" t="s">
        <v>44630</v>
      </c>
      <c r="N13881" t="s">
        <v>44759</v>
      </c>
      <c r="O13881" t="s">
        <v>44760</v>
      </c>
      <c r="P13881">
        <v>0</v>
      </c>
      <c r="Q13881">
        <v>7</v>
      </c>
      <c r="R13881" t="s">
        <v>44782</v>
      </c>
      <c r="S13881" t="s">
        <v>45846</v>
      </c>
      <c r="T13881" t="s">
        <v>46581</v>
      </c>
      <c r="U13881" t="s">
        <v>58297</v>
      </c>
      <c r="W13881" t="s">
        <v>44630</v>
      </c>
      <c r="X13881" t="s">
        <v>44784</v>
      </c>
    </row>
    <row r="13882" spans="1:24">
      <c r="A13882">
        <f>HYPERLINK("https://www.philgeps.gov.ph/GEPSNONPILOT/Tender/SplashBidNoticeAbstractUI.aspx?menuIndex=3&amp;refID=7106514&amp;Result=3","7106514")</f>
        <v>0</v>
      </c>
      <c r="B13882" t="s">
        <v>3678</v>
      </c>
      <c r="C13882" t="s">
        <v>16977</v>
      </c>
      <c r="D13882" t="s">
        <v>17990</v>
      </c>
      <c r="E13882" t="s">
        <v>30026</v>
      </c>
      <c r="F13882" t="s">
        <v>30900</v>
      </c>
      <c r="G13882" t="s">
        <v>30907</v>
      </c>
      <c r="H13882" t="s">
        <v>30915</v>
      </c>
      <c r="I13882" t="s">
        <v>30919</v>
      </c>
      <c r="J13882" t="s">
        <v>39657</v>
      </c>
      <c r="K13882" t="s">
        <v>40301</v>
      </c>
      <c r="M13882" t="s">
        <v>44632</v>
      </c>
      <c r="N13882" t="s">
        <v>44759</v>
      </c>
      <c r="O13882" t="s">
        <v>44760</v>
      </c>
      <c r="Q13882">
        <v>10</v>
      </c>
      <c r="R13882" t="s">
        <v>44782</v>
      </c>
      <c r="S13882" t="s">
        <v>45866</v>
      </c>
      <c r="T13882" t="s">
        <v>46409</v>
      </c>
      <c r="U13882" t="s">
        <v>58298</v>
      </c>
      <c r="V13882" t="s">
        <v>60690</v>
      </c>
      <c r="W13882" t="s">
        <v>60941</v>
      </c>
      <c r="X13882" t="s">
        <v>44784</v>
      </c>
    </row>
    <row r="13883" spans="1:24">
      <c r="A13883">
        <f>HYPERLINK("https://www.philgeps.gov.ph/GEPSNONPILOT/Tender/SplashBidNoticeAbstractUI.aspx?menuIndex=3&amp;refID=7108414&amp;Result=3","7108414")</f>
        <v>0</v>
      </c>
      <c r="B13883" t="s">
        <v>3649</v>
      </c>
      <c r="C13883" t="s">
        <v>11360</v>
      </c>
      <c r="D13883" t="s">
        <v>17984</v>
      </c>
      <c r="E13883" t="s">
        <v>30027</v>
      </c>
      <c r="F13883" t="s">
        <v>30900</v>
      </c>
      <c r="G13883" t="s">
        <v>30907</v>
      </c>
      <c r="H13883" t="s">
        <v>30916</v>
      </c>
      <c r="I13883" t="s">
        <v>30933</v>
      </c>
      <c r="J13883" t="s">
        <v>31069</v>
      </c>
      <c r="K13883" t="s">
        <v>40286</v>
      </c>
      <c r="M13883" t="s">
        <v>44592</v>
      </c>
      <c r="N13883" t="s">
        <v>44759</v>
      </c>
      <c r="O13883" t="s">
        <v>44760</v>
      </c>
      <c r="P13883">
        <v>0</v>
      </c>
      <c r="Q13883">
        <v>6</v>
      </c>
      <c r="R13883" t="s">
        <v>44782</v>
      </c>
      <c r="S13883" t="s">
        <v>45846</v>
      </c>
      <c r="T13883" t="s">
        <v>46533</v>
      </c>
      <c r="U13883" t="s">
        <v>58299</v>
      </c>
      <c r="W13883" t="s">
        <v>44592</v>
      </c>
      <c r="X13883" t="s">
        <v>44783</v>
      </c>
    </row>
    <row r="13884" spans="1:24">
      <c r="A13884">
        <f>HYPERLINK("https://www.philgeps.gov.ph/GEPSNONPILOT/Tender/SplashBidNoticeAbstractUI.aspx?menuIndex=3&amp;refID=7108379&amp;Result=3","7108379")</f>
        <v>0</v>
      </c>
      <c r="B13884" t="s">
        <v>1332</v>
      </c>
      <c r="C13884" t="s">
        <v>16978</v>
      </c>
      <c r="D13884" t="s">
        <v>17996</v>
      </c>
      <c r="E13884" t="s">
        <v>30028</v>
      </c>
      <c r="F13884" t="s">
        <v>30900</v>
      </c>
      <c r="G13884" t="s">
        <v>30907</v>
      </c>
      <c r="H13884" t="s">
        <v>30916</v>
      </c>
      <c r="I13884" t="s">
        <v>5501</v>
      </c>
      <c r="J13884" t="s">
        <v>39658</v>
      </c>
      <c r="K13884" t="s">
        <v>40286</v>
      </c>
      <c r="M13884" t="s">
        <v>41952</v>
      </c>
      <c r="N13884" t="s">
        <v>44759</v>
      </c>
      <c r="O13884" t="s">
        <v>44760</v>
      </c>
      <c r="P13884">
        <v>0</v>
      </c>
      <c r="Q13884">
        <v>13</v>
      </c>
      <c r="R13884" t="s">
        <v>44782</v>
      </c>
      <c r="S13884" t="s">
        <v>45846</v>
      </c>
      <c r="T13884" t="s">
        <v>46581</v>
      </c>
      <c r="U13884" t="s">
        <v>58300</v>
      </c>
      <c r="W13884" t="s">
        <v>41952</v>
      </c>
      <c r="X13884" t="s">
        <v>44783</v>
      </c>
    </row>
    <row r="13885" spans="1:24">
      <c r="A13885">
        <f>HYPERLINK("https://www.philgeps.gov.ph/GEPSNONPILOT/Tender/SplashBidNoticeAbstractUI.aspx?menuIndex=3&amp;refID=7106610&amp;Result=3","7106610")</f>
        <v>0</v>
      </c>
      <c r="B13885" t="s">
        <v>1905</v>
      </c>
      <c r="C13885" t="s">
        <v>16979</v>
      </c>
      <c r="D13885" t="s">
        <v>18002</v>
      </c>
      <c r="E13885" t="s">
        <v>30029</v>
      </c>
      <c r="F13885" t="s">
        <v>30900</v>
      </c>
      <c r="G13885" t="s">
        <v>30907</v>
      </c>
      <c r="H13885" t="s">
        <v>30916</v>
      </c>
      <c r="I13885" t="s">
        <v>30923</v>
      </c>
      <c r="J13885" t="s">
        <v>39659</v>
      </c>
      <c r="K13885" t="s">
        <v>40294</v>
      </c>
      <c r="M13885" t="s">
        <v>42582</v>
      </c>
      <c r="N13885" t="s">
        <v>44759</v>
      </c>
      <c r="O13885" t="s">
        <v>44760</v>
      </c>
      <c r="Q13885">
        <v>8</v>
      </c>
      <c r="R13885" t="s">
        <v>44782</v>
      </c>
      <c r="S13885" t="s">
        <v>45867</v>
      </c>
      <c r="T13885" t="s">
        <v>46658</v>
      </c>
      <c r="U13885" t="s">
        <v>58301</v>
      </c>
      <c r="V13885" t="s">
        <v>60689</v>
      </c>
      <c r="W13885" t="s">
        <v>42582</v>
      </c>
      <c r="X13885" t="s">
        <v>44784</v>
      </c>
    </row>
    <row r="13886" spans="1:24">
      <c r="A13886">
        <f>HYPERLINK("https://www.philgeps.gov.ph/GEPSNONPILOT/Tender/SplashBidNoticeAbstractUI.aspx?menuIndex=3&amp;refID=7106380&amp;Result=3","7106380")</f>
        <v>0</v>
      </c>
      <c r="B13886" t="s">
        <v>1905</v>
      </c>
      <c r="C13886" t="s">
        <v>16980</v>
      </c>
      <c r="D13886" t="s">
        <v>18002</v>
      </c>
      <c r="E13886" t="s">
        <v>30030</v>
      </c>
      <c r="F13886" t="s">
        <v>30900</v>
      </c>
      <c r="G13886" t="s">
        <v>30907</v>
      </c>
      <c r="H13886" t="s">
        <v>30916</v>
      </c>
      <c r="I13886" t="s">
        <v>4108</v>
      </c>
      <c r="J13886" t="s">
        <v>39660</v>
      </c>
      <c r="K13886" t="s">
        <v>40287</v>
      </c>
      <c r="M13886" t="s">
        <v>42582</v>
      </c>
      <c r="N13886" t="s">
        <v>44759</v>
      </c>
      <c r="O13886" t="s">
        <v>44760</v>
      </c>
      <c r="Q13886">
        <v>3</v>
      </c>
      <c r="R13886" t="s">
        <v>44782</v>
      </c>
      <c r="S13886" t="s">
        <v>45864</v>
      </c>
      <c r="T13886" t="s">
        <v>46658</v>
      </c>
      <c r="U13886" t="s">
        <v>58302</v>
      </c>
      <c r="V13886" t="s">
        <v>60689</v>
      </c>
      <c r="W13886" t="s">
        <v>42582</v>
      </c>
      <c r="X13886" t="s">
        <v>44784</v>
      </c>
    </row>
    <row r="13887" spans="1:24">
      <c r="A13887">
        <f>HYPERLINK("https://www.philgeps.gov.ph/GEPSNONPILOT/Tender/SplashBidNoticeAbstractUI.aspx?menuIndex=3&amp;refID=7108350&amp;Result=3","7108350")</f>
        <v>0</v>
      </c>
      <c r="B13887" t="s">
        <v>3497</v>
      </c>
      <c r="C13887" t="s">
        <v>16981</v>
      </c>
      <c r="D13887" t="s">
        <v>17966</v>
      </c>
      <c r="E13887" t="s">
        <v>30031</v>
      </c>
      <c r="F13887" t="s">
        <v>30904</v>
      </c>
      <c r="G13887" t="s">
        <v>30907</v>
      </c>
      <c r="H13887" t="s">
        <v>30915</v>
      </c>
      <c r="I13887" t="s">
        <v>30919</v>
      </c>
      <c r="J13887" t="s">
        <v>39661</v>
      </c>
      <c r="K13887" t="s">
        <v>40304</v>
      </c>
      <c r="M13887" t="s">
        <v>44399</v>
      </c>
      <c r="N13887" t="s">
        <v>44759</v>
      </c>
      <c r="O13887" t="s">
        <v>44760</v>
      </c>
      <c r="P13887">
        <v>0</v>
      </c>
      <c r="Q13887">
        <v>0</v>
      </c>
      <c r="R13887" t="s">
        <v>44782</v>
      </c>
      <c r="S13887" t="s">
        <v>45846</v>
      </c>
      <c r="T13887" t="s">
        <v>46658</v>
      </c>
      <c r="U13887" t="s">
        <v>58303</v>
      </c>
      <c r="W13887" t="s">
        <v>44399</v>
      </c>
      <c r="X13887" t="s">
        <v>44783</v>
      </c>
    </row>
    <row r="13888" spans="1:24">
      <c r="A13888">
        <f>HYPERLINK("https://www.philgeps.gov.ph/GEPSNONPILOT/Tender/SplashBidNoticeAbstractUI.aspx?menuIndex=3&amp;refID=7108315&amp;Result=3","7108315")</f>
        <v>0</v>
      </c>
      <c r="B13888" t="s">
        <v>1472</v>
      </c>
      <c r="C13888" t="s">
        <v>16982</v>
      </c>
      <c r="D13888" t="s">
        <v>17978</v>
      </c>
      <c r="E13888" t="s">
        <v>30032</v>
      </c>
      <c r="F13888" t="s">
        <v>30900</v>
      </c>
      <c r="G13888" t="s">
        <v>30907</v>
      </c>
      <c r="H13888" t="s">
        <v>30916</v>
      </c>
      <c r="I13888" t="s">
        <v>4545</v>
      </c>
      <c r="J13888" t="s">
        <v>31341</v>
      </c>
      <c r="K13888" t="s">
        <v>40286</v>
      </c>
      <c r="M13888" t="s">
        <v>42106</v>
      </c>
      <c r="N13888" t="s">
        <v>44759</v>
      </c>
      <c r="O13888" t="s">
        <v>44760</v>
      </c>
      <c r="P13888">
        <v>0</v>
      </c>
      <c r="Q13888">
        <v>15</v>
      </c>
      <c r="R13888" t="s">
        <v>44782</v>
      </c>
      <c r="S13888" t="s">
        <v>45846</v>
      </c>
      <c r="T13888" t="s">
        <v>46658</v>
      </c>
      <c r="U13888" t="s">
        <v>58304</v>
      </c>
      <c r="W13888" t="s">
        <v>42106</v>
      </c>
      <c r="X13888" t="s">
        <v>44783</v>
      </c>
    </row>
    <row r="13889" spans="1:24">
      <c r="A13889">
        <f>HYPERLINK("https://www.philgeps.gov.ph/GEPSNONPILOT/Tender/SplashBidNoticeAbstractUI.aspx?menuIndex=3&amp;refID=7108346&amp;Result=3","7108346")</f>
        <v>0</v>
      </c>
      <c r="B13889" t="s">
        <v>3679</v>
      </c>
      <c r="C13889" t="s">
        <v>16983</v>
      </c>
      <c r="D13889" t="s">
        <v>17953</v>
      </c>
      <c r="E13889" t="s">
        <v>30033</v>
      </c>
      <c r="F13889" t="s">
        <v>30900</v>
      </c>
      <c r="G13889" t="s">
        <v>30907</v>
      </c>
      <c r="H13889" t="s">
        <v>30916</v>
      </c>
      <c r="I13889" t="s">
        <v>30933</v>
      </c>
      <c r="J13889" t="s">
        <v>39662</v>
      </c>
      <c r="K13889" t="s">
        <v>40286</v>
      </c>
      <c r="M13889" t="s">
        <v>44633</v>
      </c>
      <c r="N13889" t="s">
        <v>44759</v>
      </c>
      <c r="O13889" t="s">
        <v>44760</v>
      </c>
      <c r="P13889">
        <v>0</v>
      </c>
      <c r="Q13889">
        <v>6</v>
      </c>
      <c r="R13889" t="s">
        <v>44782</v>
      </c>
      <c r="S13889" t="s">
        <v>45846</v>
      </c>
      <c r="T13889" t="s">
        <v>46591</v>
      </c>
      <c r="U13889" t="s">
        <v>58305</v>
      </c>
      <c r="W13889" t="s">
        <v>44633</v>
      </c>
      <c r="X13889" t="s">
        <v>44783</v>
      </c>
    </row>
    <row r="13890" spans="1:24">
      <c r="A13890">
        <f>HYPERLINK("https://www.philgeps.gov.ph/GEPSNONPILOT/Tender/SplashBidNoticeAbstractUI.aspx?menuIndex=3&amp;refID=7108290&amp;Result=3","7108290")</f>
        <v>0</v>
      </c>
      <c r="B13890" t="s">
        <v>1472</v>
      </c>
      <c r="C13890" t="s">
        <v>16984</v>
      </c>
      <c r="D13890" t="s">
        <v>17978</v>
      </c>
      <c r="E13890" t="s">
        <v>30034</v>
      </c>
      <c r="F13890" t="s">
        <v>30900</v>
      </c>
      <c r="G13890" t="s">
        <v>30907</v>
      </c>
      <c r="H13890" t="s">
        <v>30916</v>
      </c>
      <c r="I13890" t="s">
        <v>31038</v>
      </c>
      <c r="J13890" t="s">
        <v>31211</v>
      </c>
      <c r="K13890" t="s">
        <v>40280</v>
      </c>
      <c r="M13890" t="s">
        <v>42106</v>
      </c>
      <c r="N13890" t="s">
        <v>44759</v>
      </c>
      <c r="O13890" t="s">
        <v>44760</v>
      </c>
      <c r="P13890">
        <v>0</v>
      </c>
      <c r="Q13890">
        <v>2</v>
      </c>
      <c r="R13890" t="s">
        <v>44782</v>
      </c>
      <c r="S13890" t="s">
        <v>45846</v>
      </c>
      <c r="T13890" t="s">
        <v>46658</v>
      </c>
      <c r="U13890" t="s">
        <v>58306</v>
      </c>
      <c r="W13890" t="s">
        <v>42106</v>
      </c>
      <c r="X13890" t="s">
        <v>44783</v>
      </c>
    </row>
    <row r="13891" spans="1:24">
      <c r="A13891">
        <f>HYPERLINK("https://www.philgeps.gov.ph/GEPSNONPILOT/Tender/SplashBidNoticeAbstractUI.aspx?menuIndex=3&amp;refID=7108193&amp;Result=3","7108193")</f>
        <v>0</v>
      </c>
      <c r="B13891" t="s">
        <v>1285</v>
      </c>
      <c r="C13891" t="s">
        <v>16985</v>
      </c>
      <c r="D13891" t="s">
        <v>17958</v>
      </c>
      <c r="E13891" t="s">
        <v>30035</v>
      </c>
      <c r="F13891" t="s">
        <v>30900</v>
      </c>
      <c r="G13891" t="s">
        <v>30913</v>
      </c>
      <c r="H13891" t="s">
        <v>30916</v>
      </c>
      <c r="I13891" t="s">
        <v>6953</v>
      </c>
      <c r="J13891" t="s">
        <v>39663</v>
      </c>
      <c r="K13891" t="s">
        <v>40287</v>
      </c>
      <c r="M13891" t="s">
        <v>41902</v>
      </c>
      <c r="N13891" t="s">
        <v>44759</v>
      </c>
      <c r="O13891" t="s">
        <v>44760</v>
      </c>
      <c r="P13891">
        <v>0</v>
      </c>
      <c r="Q13891">
        <v>3</v>
      </c>
      <c r="R13891" t="s">
        <v>44782</v>
      </c>
      <c r="S13891" t="s">
        <v>45846</v>
      </c>
      <c r="T13891" t="s">
        <v>46421</v>
      </c>
      <c r="U13891" t="s">
        <v>58307</v>
      </c>
      <c r="V13891" t="s">
        <v>60691</v>
      </c>
      <c r="W13891" t="s">
        <v>41902</v>
      </c>
      <c r="X13891" t="s">
        <v>44783</v>
      </c>
    </row>
    <row r="13892" spans="1:24">
      <c r="A13892">
        <f>HYPERLINK("https://www.philgeps.gov.ph/GEPSNONPILOT/Tender/SplashBidNoticeAbstractUI.aspx?menuIndex=3&amp;refID=7108192&amp;Result=3","7108192")</f>
        <v>0</v>
      </c>
      <c r="B13892" t="s">
        <v>3680</v>
      </c>
      <c r="C13892" t="s">
        <v>16986</v>
      </c>
      <c r="D13892" t="s">
        <v>17959</v>
      </c>
      <c r="E13892" t="s">
        <v>26315</v>
      </c>
      <c r="F13892" t="s">
        <v>30900</v>
      </c>
      <c r="G13892" t="s">
        <v>30907</v>
      </c>
      <c r="H13892" t="s">
        <v>30917</v>
      </c>
      <c r="I13892" t="s">
        <v>30930</v>
      </c>
      <c r="J13892" t="s">
        <v>32454</v>
      </c>
      <c r="K13892" t="s">
        <v>40286</v>
      </c>
      <c r="M13892" t="s">
        <v>44634</v>
      </c>
      <c r="N13892" t="s">
        <v>44759</v>
      </c>
      <c r="O13892" t="s">
        <v>44760</v>
      </c>
      <c r="Q13892">
        <v>4</v>
      </c>
      <c r="R13892" t="s">
        <v>44782</v>
      </c>
      <c r="S13892" t="s">
        <v>45868</v>
      </c>
      <c r="T13892" t="s">
        <v>46357</v>
      </c>
      <c r="U13892" t="s">
        <v>58308</v>
      </c>
      <c r="W13892" t="s">
        <v>44634</v>
      </c>
      <c r="X13892" t="s">
        <v>44783</v>
      </c>
    </row>
    <row r="13893" spans="1:24">
      <c r="A13893">
        <f>HYPERLINK("https://www.philgeps.gov.ph/GEPSNONPILOT/Tender/SplashBidNoticeAbstractUI.aspx?menuIndex=3&amp;refID=7101343&amp;Result=3","7101343")</f>
        <v>0</v>
      </c>
      <c r="B13893" t="s">
        <v>41</v>
      </c>
      <c r="C13893" t="s">
        <v>16987</v>
      </c>
      <c r="D13893" t="s">
        <v>17966</v>
      </c>
      <c r="E13893" t="s">
        <v>30036</v>
      </c>
      <c r="F13893" t="s">
        <v>30900</v>
      </c>
      <c r="G13893" t="s">
        <v>30907</v>
      </c>
      <c r="H13893" t="s">
        <v>30916</v>
      </c>
      <c r="I13893" t="s">
        <v>4108</v>
      </c>
      <c r="J13893" t="s">
        <v>39664</v>
      </c>
      <c r="K13893" t="s">
        <v>40283</v>
      </c>
      <c r="M13893" t="s">
        <v>40831</v>
      </c>
      <c r="N13893" t="s">
        <v>44759</v>
      </c>
      <c r="O13893" t="s">
        <v>44760</v>
      </c>
      <c r="P13893">
        <v>0</v>
      </c>
      <c r="Q13893">
        <v>5</v>
      </c>
      <c r="R13893" t="s">
        <v>44782</v>
      </c>
      <c r="S13893" t="s">
        <v>45846</v>
      </c>
      <c r="T13893" t="s">
        <v>46389</v>
      </c>
      <c r="U13893" t="s">
        <v>58309</v>
      </c>
      <c r="V13893" t="s">
        <v>59095</v>
      </c>
      <c r="W13893" t="s">
        <v>40831</v>
      </c>
      <c r="X13893" t="s">
        <v>44787</v>
      </c>
    </row>
    <row r="13894" spans="1:24">
      <c r="A13894">
        <f>HYPERLINK("https://www.philgeps.gov.ph/GEPSNONPILOT/Tender/SplashBidNoticeAbstractUI.aspx?menuIndex=3&amp;refID=7108159&amp;Result=3","7108159")</f>
        <v>0</v>
      </c>
      <c r="B13894" t="s">
        <v>3681</v>
      </c>
      <c r="C13894" t="s">
        <v>16988</v>
      </c>
      <c r="D13894" t="s">
        <v>17968</v>
      </c>
      <c r="E13894" t="s">
        <v>30037</v>
      </c>
      <c r="F13894" t="s">
        <v>30900</v>
      </c>
      <c r="G13894" t="s">
        <v>30907</v>
      </c>
      <c r="H13894" t="s">
        <v>30916</v>
      </c>
      <c r="I13894" t="s">
        <v>8123</v>
      </c>
      <c r="J13894" t="s">
        <v>39665</v>
      </c>
      <c r="K13894" t="s">
        <v>40287</v>
      </c>
      <c r="M13894" t="s">
        <v>44635</v>
      </c>
      <c r="N13894" t="s">
        <v>44759</v>
      </c>
      <c r="O13894" t="s">
        <v>44760</v>
      </c>
      <c r="P13894">
        <v>0</v>
      </c>
      <c r="Q13894">
        <v>1</v>
      </c>
      <c r="R13894" t="s">
        <v>44782</v>
      </c>
      <c r="S13894" t="s">
        <v>45846</v>
      </c>
      <c r="T13894" t="s">
        <v>46625</v>
      </c>
      <c r="U13894" t="s">
        <v>58310</v>
      </c>
      <c r="W13894" t="s">
        <v>44635</v>
      </c>
      <c r="X13894" t="s">
        <v>44783</v>
      </c>
    </row>
    <row r="13895" spans="1:24">
      <c r="A13895">
        <f>HYPERLINK("https://www.philgeps.gov.ph/GEPSNONPILOT/Tender/SplashBidNoticeAbstractUI.aspx?menuIndex=3&amp;refID=7108288&amp;Result=3","7108288")</f>
        <v>0</v>
      </c>
      <c r="B13895" t="s">
        <v>2696</v>
      </c>
      <c r="C13895" t="s">
        <v>16989</v>
      </c>
      <c r="E13895" t="s">
        <v>30038</v>
      </c>
      <c r="F13895" t="s">
        <v>30900</v>
      </c>
      <c r="G13895" t="s">
        <v>30908</v>
      </c>
      <c r="H13895" t="s">
        <v>30916</v>
      </c>
      <c r="I13895" t="s">
        <v>30997</v>
      </c>
      <c r="J13895" t="s">
        <v>39666</v>
      </c>
      <c r="K13895" t="s">
        <v>40289</v>
      </c>
      <c r="M13895" t="s">
        <v>43468</v>
      </c>
      <c r="N13895" t="s">
        <v>44759</v>
      </c>
      <c r="O13895" t="s">
        <v>44760</v>
      </c>
      <c r="Q13895">
        <v>7</v>
      </c>
      <c r="R13895" t="s">
        <v>44782</v>
      </c>
      <c r="S13895" t="s">
        <v>45869</v>
      </c>
      <c r="T13895" t="s">
        <v>46662</v>
      </c>
      <c r="U13895" t="s">
        <v>47009</v>
      </c>
      <c r="W13895" t="s">
        <v>43468</v>
      </c>
      <c r="X13895" t="s">
        <v>44783</v>
      </c>
    </row>
    <row r="13896" spans="1:24">
      <c r="A13896">
        <f>HYPERLINK("https://www.philgeps.gov.ph/GEPSNONPILOT/Tender/SplashBidNoticeAbstractUI.aspx?menuIndex=3&amp;refID=7108687&amp;Result=3","7108687")</f>
        <v>0</v>
      </c>
      <c r="B13896" t="s">
        <v>3682</v>
      </c>
      <c r="C13896" t="s">
        <v>16990</v>
      </c>
      <c r="D13896" t="s">
        <v>17992</v>
      </c>
      <c r="E13896" t="s">
        <v>20253</v>
      </c>
      <c r="F13896" t="s">
        <v>30900</v>
      </c>
      <c r="G13896" t="s">
        <v>30907</v>
      </c>
      <c r="H13896" t="s">
        <v>30915</v>
      </c>
      <c r="I13896" t="s">
        <v>30919</v>
      </c>
      <c r="J13896" t="s">
        <v>39667</v>
      </c>
      <c r="K13896" t="s">
        <v>40312</v>
      </c>
      <c r="M13896" t="s">
        <v>44636</v>
      </c>
      <c r="N13896" t="s">
        <v>44759</v>
      </c>
      <c r="O13896" t="s">
        <v>44760</v>
      </c>
      <c r="P13896">
        <v>0</v>
      </c>
      <c r="Q13896">
        <v>5</v>
      </c>
      <c r="R13896" t="s">
        <v>44782</v>
      </c>
      <c r="S13896" t="s">
        <v>45846</v>
      </c>
      <c r="T13896" t="s">
        <v>46581</v>
      </c>
      <c r="U13896" t="s">
        <v>58311</v>
      </c>
      <c r="W13896" t="s">
        <v>44636</v>
      </c>
      <c r="X13896" t="s">
        <v>44783</v>
      </c>
    </row>
    <row r="13897" spans="1:24">
      <c r="A13897">
        <f>HYPERLINK("https://www.philgeps.gov.ph/GEPSNONPILOT/Tender/SplashBidNoticeAbstractUI.aspx?menuIndex=3&amp;refID=7108682&amp;Result=3","7108682")</f>
        <v>0</v>
      </c>
      <c r="B13897" t="s">
        <v>1583</v>
      </c>
      <c r="C13897" t="s">
        <v>16991</v>
      </c>
      <c r="D13897" t="s">
        <v>17992</v>
      </c>
      <c r="E13897" t="s">
        <v>21872</v>
      </c>
      <c r="F13897" t="s">
        <v>30900</v>
      </c>
      <c r="G13897" t="s">
        <v>30907</v>
      </c>
      <c r="H13897" t="s">
        <v>30915</v>
      </c>
      <c r="I13897" t="s">
        <v>30919</v>
      </c>
      <c r="J13897" t="s">
        <v>36803</v>
      </c>
      <c r="K13897" t="s">
        <v>40301</v>
      </c>
      <c r="M13897" t="s">
        <v>42230</v>
      </c>
      <c r="N13897" t="s">
        <v>44759</v>
      </c>
      <c r="O13897" t="s">
        <v>44760</v>
      </c>
      <c r="P13897">
        <v>0</v>
      </c>
      <c r="Q13897">
        <v>0</v>
      </c>
      <c r="R13897" t="s">
        <v>44782</v>
      </c>
      <c r="S13897" t="s">
        <v>45846</v>
      </c>
      <c r="T13897" t="s">
        <v>46533</v>
      </c>
      <c r="U13897" t="s">
        <v>57790</v>
      </c>
      <c r="W13897" t="s">
        <v>42230</v>
      </c>
      <c r="X13897" t="s">
        <v>44783</v>
      </c>
    </row>
    <row r="13898" spans="1:24">
      <c r="A13898">
        <f>HYPERLINK("https://www.philgeps.gov.ph/GEPSNONPILOT/Tender/SplashBidNoticeAbstractUI.aspx?menuIndex=3&amp;refID=7108689&amp;Result=3","7108689")</f>
        <v>0</v>
      </c>
      <c r="B13898" t="s">
        <v>1472</v>
      </c>
      <c r="C13898" t="s">
        <v>16992</v>
      </c>
      <c r="D13898" t="s">
        <v>17978</v>
      </c>
      <c r="E13898" t="s">
        <v>30039</v>
      </c>
      <c r="F13898" t="s">
        <v>30900</v>
      </c>
      <c r="G13898" t="s">
        <v>30907</v>
      </c>
      <c r="H13898" t="s">
        <v>30915</v>
      </c>
      <c r="I13898" t="s">
        <v>30919</v>
      </c>
      <c r="J13898" t="s">
        <v>39668</v>
      </c>
      <c r="K13898" t="s">
        <v>40293</v>
      </c>
      <c r="M13898" t="s">
        <v>42106</v>
      </c>
      <c r="N13898" t="s">
        <v>44759</v>
      </c>
      <c r="O13898" t="s">
        <v>44760</v>
      </c>
      <c r="P13898">
        <v>0</v>
      </c>
      <c r="Q13898">
        <v>0</v>
      </c>
      <c r="R13898" t="s">
        <v>44782</v>
      </c>
      <c r="S13898" t="s">
        <v>45846</v>
      </c>
      <c r="T13898" t="s">
        <v>46658</v>
      </c>
      <c r="U13898" t="s">
        <v>58312</v>
      </c>
      <c r="W13898" t="s">
        <v>42106</v>
      </c>
      <c r="X13898" t="s">
        <v>44783</v>
      </c>
    </row>
    <row r="13899" spans="1:24">
      <c r="A13899">
        <f>HYPERLINK("https://www.philgeps.gov.ph/GEPSNONPILOT/Tender/SplashBidNoticeAbstractUI.aspx?menuIndex=3&amp;refID=7108677&amp;Result=3","7108677")</f>
        <v>0</v>
      </c>
      <c r="B13899" t="s">
        <v>2399</v>
      </c>
      <c r="C13899" t="s">
        <v>7670</v>
      </c>
      <c r="D13899" t="s">
        <v>17990</v>
      </c>
      <c r="E13899" t="s">
        <v>24239</v>
      </c>
      <c r="F13899" t="s">
        <v>30900</v>
      </c>
      <c r="G13899" t="s">
        <v>30907</v>
      </c>
      <c r="H13899" t="s">
        <v>30915</v>
      </c>
      <c r="I13899" t="s">
        <v>30919</v>
      </c>
      <c r="J13899" t="s">
        <v>32110</v>
      </c>
      <c r="K13899" t="s">
        <v>40301</v>
      </c>
      <c r="M13899" t="s">
        <v>43126</v>
      </c>
      <c r="N13899" t="s">
        <v>44759</v>
      </c>
      <c r="O13899" t="s">
        <v>44760</v>
      </c>
      <c r="Q13899">
        <v>3</v>
      </c>
      <c r="R13899" t="s">
        <v>44782</v>
      </c>
      <c r="S13899" t="s">
        <v>45870</v>
      </c>
      <c r="T13899" t="s">
        <v>46369</v>
      </c>
      <c r="U13899" t="s">
        <v>58313</v>
      </c>
      <c r="W13899" t="s">
        <v>43126</v>
      </c>
      <c r="X13899" t="s">
        <v>44783</v>
      </c>
    </row>
    <row r="13900" spans="1:24">
      <c r="A13900">
        <f>HYPERLINK("https://www.philgeps.gov.ph/GEPSNONPILOT/Tender/SplashBidNoticeAbstractUI.aspx?menuIndex=3&amp;refID=7103958&amp;Result=3","7103958")</f>
        <v>0</v>
      </c>
      <c r="B13900" t="s">
        <v>2601</v>
      </c>
      <c r="C13900" t="s">
        <v>16993</v>
      </c>
      <c r="D13900" t="s">
        <v>17954</v>
      </c>
      <c r="E13900" t="s">
        <v>30040</v>
      </c>
      <c r="F13900" t="s">
        <v>30900</v>
      </c>
      <c r="G13900" t="s">
        <v>30907</v>
      </c>
      <c r="H13900" t="s">
        <v>30916</v>
      </c>
      <c r="I13900" t="s">
        <v>5501</v>
      </c>
      <c r="J13900" t="s">
        <v>39669</v>
      </c>
      <c r="K13900" t="s">
        <v>40314</v>
      </c>
      <c r="M13900" t="s">
        <v>43363</v>
      </c>
      <c r="N13900" t="s">
        <v>44759</v>
      </c>
      <c r="O13900" t="s">
        <v>44760</v>
      </c>
      <c r="Q13900">
        <v>6</v>
      </c>
      <c r="R13900" t="s">
        <v>44782</v>
      </c>
      <c r="S13900" t="s">
        <v>45871</v>
      </c>
      <c r="T13900" t="s">
        <v>46658</v>
      </c>
      <c r="U13900" t="s">
        <v>58314</v>
      </c>
      <c r="W13900" t="s">
        <v>43416</v>
      </c>
      <c r="X13900" t="s">
        <v>44786</v>
      </c>
    </row>
    <row r="13901" spans="1:24">
      <c r="A13901">
        <f>HYPERLINK("https://www.philgeps.gov.ph/GEPSNONPILOT/Tender/SplashBidNoticeAbstractUI.aspx?menuIndex=3&amp;refID=7108705&amp;Result=3","7108705")</f>
        <v>0</v>
      </c>
      <c r="B13901" t="s">
        <v>56</v>
      </c>
      <c r="C13901" t="s">
        <v>16994</v>
      </c>
      <c r="D13901" t="s">
        <v>17952</v>
      </c>
      <c r="E13901" t="s">
        <v>30041</v>
      </c>
      <c r="F13901" t="s">
        <v>30900</v>
      </c>
      <c r="G13901" t="s">
        <v>30907</v>
      </c>
      <c r="H13901" t="s">
        <v>30916</v>
      </c>
      <c r="I13901" t="s">
        <v>30918</v>
      </c>
      <c r="J13901" t="s">
        <v>31135</v>
      </c>
      <c r="K13901" t="s">
        <v>40294</v>
      </c>
      <c r="M13901" t="s">
        <v>40602</v>
      </c>
      <c r="N13901" t="s">
        <v>44759</v>
      </c>
      <c r="O13901" t="s">
        <v>44760</v>
      </c>
      <c r="Q13901">
        <v>5</v>
      </c>
      <c r="R13901" t="s">
        <v>44782</v>
      </c>
      <c r="S13901" t="s">
        <v>45872</v>
      </c>
      <c r="T13901" t="s">
        <v>46581</v>
      </c>
      <c r="U13901" t="s">
        <v>58315</v>
      </c>
      <c r="V13901" t="s">
        <v>59101</v>
      </c>
      <c r="W13901" t="s">
        <v>40602</v>
      </c>
      <c r="X13901" t="s">
        <v>44783</v>
      </c>
    </row>
    <row r="13902" spans="1:24">
      <c r="A13902">
        <f>HYPERLINK("https://www.philgeps.gov.ph/GEPSNONPILOT/Tender/SplashBidNoticeAbstractUI.aspx?menuIndex=3&amp;refID=7108372&amp;Result=3","7108372")</f>
        <v>0</v>
      </c>
      <c r="B13902" t="s">
        <v>3649</v>
      </c>
      <c r="C13902" t="s">
        <v>16995</v>
      </c>
      <c r="D13902" t="s">
        <v>17984</v>
      </c>
      <c r="E13902" t="s">
        <v>30042</v>
      </c>
      <c r="F13902" t="s">
        <v>30900</v>
      </c>
      <c r="G13902" t="s">
        <v>30907</v>
      </c>
      <c r="H13902" t="s">
        <v>30915</v>
      </c>
      <c r="I13902" t="s">
        <v>30919</v>
      </c>
      <c r="J13902" t="s">
        <v>32324</v>
      </c>
      <c r="K13902" t="s">
        <v>40280</v>
      </c>
      <c r="M13902" t="s">
        <v>44592</v>
      </c>
      <c r="N13902" t="s">
        <v>44759</v>
      </c>
      <c r="O13902" t="s">
        <v>44760</v>
      </c>
      <c r="P13902">
        <v>0</v>
      </c>
      <c r="Q13902">
        <v>1</v>
      </c>
      <c r="R13902" t="s">
        <v>44782</v>
      </c>
      <c r="S13902" t="s">
        <v>45846</v>
      </c>
      <c r="T13902" t="s">
        <v>46533</v>
      </c>
      <c r="U13902" t="s">
        <v>58316</v>
      </c>
      <c r="W13902" t="s">
        <v>44592</v>
      </c>
      <c r="X13902" t="s">
        <v>44783</v>
      </c>
    </row>
    <row r="13903" spans="1:24">
      <c r="A13903">
        <f>HYPERLINK("https://www.philgeps.gov.ph/GEPSNONPILOT/Tender/SplashBidNoticeAbstractUI.aspx?menuIndex=3&amp;refID=7108646&amp;Result=3","7108646")</f>
        <v>0</v>
      </c>
      <c r="B13903" t="s">
        <v>3683</v>
      </c>
      <c r="C13903" t="s">
        <v>16996</v>
      </c>
      <c r="D13903" t="s">
        <v>18021</v>
      </c>
      <c r="E13903" t="s">
        <v>27231</v>
      </c>
      <c r="F13903" t="s">
        <v>30899</v>
      </c>
      <c r="G13903" t="s">
        <v>30907</v>
      </c>
      <c r="H13903" t="s">
        <v>30916</v>
      </c>
      <c r="I13903" t="s">
        <v>30921</v>
      </c>
      <c r="J13903" t="s">
        <v>39670</v>
      </c>
      <c r="K13903" t="s">
        <v>40286</v>
      </c>
      <c r="M13903" t="s">
        <v>44637</v>
      </c>
      <c r="N13903" t="s">
        <v>44759</v>
      </c>
      <c r="O13903" t="s">
        <v>44760</v>
      </c>
      <c r="Q13903">
        <v>19</v>
      </c>
      <c r="R13903" t="s">
        <v>44782</v>
      </c>
      <c r="S13903" t="s">
        <v>45873</v>
      </c>
      <c r="T13903" t="s">
        <v>46363</v>
      </c>
      <c r="U13903" t="s">
        <v>47461</v>
      </c>
      <c r="W13903" t="s">
        <v>44637</v>
      </c>
      <c r="X13903" t="s">
        <v>44783</v>
      </c>
    </row>
    <row r="13904" spans="1:24">
      <c r="A13904">
        <f>HYPERLINK("https://www.philgeps.gov.ph/GEPSNONPILOT/Tender/SplashBidNoticeAbstractUI.aspx?menuIndex=3&amp;refID=7108568&amp;Result=3","7108568")</f>
        <v>0</v>
      </c>
      <c r="B13904" t="s">
        <v>3682</v>
      </c>
      <c r="C13904" t="s">
        <v>16997</v>
      </c>
      <c r="D13904" t="s">
        <v>17992</v>
      </c>
      <c r="E13904" t="s">
        <v>20256</v>
      </c>
      <c r="F13904" t="s">
        <v>30900</v>
      </c>
      <c r="G13904" t="s">
        <v>30907</v>
      </c>
      <c r="H13904" t="s">
        <v>30915</v>
      </c>
      <c r="I13904" t="s">
        <v>30919</v>
      </c>
      <c r="J13904" t="s">
        <v>39671</v>
      </c>
      <c r="K13904" t="s">
        <v>40342</v>
      </c>
      <c r="M13904" t="s">
        <v>44636</v>
      </c>
      <c r="N13904" t="s">
        <v>44759</v>
      </c>
      <c r="O13904" t="s">
        <v>44760</v>
      </c>
      <c r="P13904">
        <v>0</v>
      </c>
      <c r="Q13904">
        <v>10</v>
      </c>
      <c r="R13904" t="s">
        <v>44782</v>
      </c>
      <c r="S13904" t="s">
        <v>45846</v>
      </c>
      <c r="T13904" t="s">
        <v>46581</v>
      </c>
      <c r="U13904" t="s">
        <v>58317</v>
      </c>
      <c r="W13904" t="s">
        <v>44636</v>
      </c>
      <c r="X13904" t="s">
        <v>44783</v>
      </c>
    </row>
    <row r="13905" spans="1:24">
      <c r="A13905">
        <f>HYPERLINK("https://www.philgeps.gov.ph/GEPSNONPILOT/Tender/SplashBidNoticeAbstractUI.aspx?menuIndex=3&amp;refID=7108649&amp;Result=3","7108649")</f>
        <v>0</v>
      </c>
      <c r="B13905" t="s">
        <v>1472</v>
      </c>
      <c r="C13905" t="s">
        <v>16998</v>
      </c>
      <c r="D13905" t="s">
        <v>17978</v>
      </c>
      <c r="E13905" t="s">
        <v>30043</v>
      </c>
      <c r="F13905" t="s">
        <v>30900</v>
      </c>
      <c r="G13905" t="s">
        <v>30907</v>
      </c>
      <c r="H13905" t="s">
        <v>30916</v>
      </c>
      <c r="I13905" t="s">
        <v>6953</v>
      </c>
      <c r="J13905" t="s">
        <v>39672</v>
      </c>
      <c r="K13905" t="s">
        <v>40286</v>
      </c>
      <c r="M13905" t="s">
        <v>42106</v>
      </c>
      <c r="N13905" t="s">
        <v>44759</v>
      </c>
      <c r="O13905" t="s">
        <v>44760</v>
      </c>
      <c r="Q13905">
        <v>1</v>
      </c>
      <c r="R13905" t="s">
        <v>44782</v>
      </c>
      <c r="S13905" t="s">
        <v>45874</v>
      </c>
      <c r="T13905" t="s">
        <v>46658</v>
      </c>
      <c r="U13905" t="s">
        <v>58318</v>
      </c>
      <c r="W13905" t="s">
        <v>42106</v>
      </c>
      <c r="X13905" t="s">
        <v>44783</v>
      </c>
    </row>
    <row r="13906" spans="1:24">
      <c r="A13906">
        <f>HYPERLINK("https://www.philgeps.gov.ph/GEPSNONPILOT/Tender/SplashBidNoticeAbstractUI.aspx?menuIndex=3&amp;refID=7108570&amp;Result=3","7108570")</f>
        <v>0</v>
      </c>
      <c r="B13906" t="s">
        <v>56</v>
      </c>
      <c r="C13906" t="s">
        <v>16999</v>
      </c>
      <c r="D13906" t="s">
        <v>17952</v>
      </c>
      <c r="E13906" t="s">
        <v>30044</v>
      </c>
      <c r="F13906" t="s">
        <v>30900</v>
      </c>
      <c r="G13906" t="s">
        <v>30907</v>
      </c>
      <c r="H13906" t="s">
        <v>30916</v>
      </c>
      <c r="I13906" t="s">
        <v>30918</v>
      </c>
      <c r="J13906" t="s">
        <v>31282</v>
      </c>
      <c r="K13906" t="s">
        <v>40294</v>
      </c>
      <c r="M13906" t="s">
        <v>40602</v>
      </c>
      <c r="N13906" t="s">
        <v>44759</v>
      </c>
      <c r="O13906" t="s">
        <v>44760</v>
      </c>
      <c r="Q13906">
        <v>4</v>
      </c>
      <c r="R13906" t="s">
        <v>44782</v>
      </c>
      <c r="S13906" t="s">
        <v>45875</v>
      </c>
      <c r="T13906" t="s">
        <v>46581</v>
      </c>
      <c r="U13906" t="s">
        <v>58319</v>
      </c>
      <c r="V13906" t="s">
        <v>59101</v>
      </c>
      <c r="W13906" t="s">
        <v>40602</v>
      </c>
      <c r="X13906" t="s">
        <v>44783</v>
      </c>
    </row>
    <row r="13907" spans="1:24">
      <c r="A13907">
        <f>HYPERLINK("https://www.philgeps.gov.ph/GEPSNONPILOT/Tender/SplashBidNoticeAbstractUI.aspx?menuIndex=3&amp;refID=7108666&amp;Result=3","7108666")</f>
        <v>0</v>
      </c>
      <c r="B13907" t="s">
        <v>56</v>
      </c>
      <c r="C13907" t="s">
        <v>17000</v>
      </c>
      <c r="D13907" t="s">
        <v>17952</v>
      </c>
      <c r="E13907" t="s">
        <v>30045</v>
      </c>
      <c r="F13907" t="s">
        <v>30900</v>
      </c>
      <c r="G13907" t="s">
        <v>30907</v>
      </c>
      <c r="H13907" t="s">
        <v>30916</v>
      </c>
      <c r="I13907" t="s">
        <v>30918</v>
      </c>
      <c r="J13907" t="s">
        <v>31449</v>
      </c>
      <c r="K13907" t="s">
        <v>40294</v>
      </c>
      <c r="M13907" t="s">
        <v>40602</v>
      </c>
      <c r="N13907" t="s">
        <v>44759</v>
      </c>
      <c r="O13907" t="s">
        <v>44760</v>
      </c>
      <c r="Q13907">
        <v>2</v>
      </c>
      <c r="R13907" t="s">
        <v>44782</v>
      </c>
      <c r="S13907" t="s">
        <v>45876</v>
      </c>
      <c r="T13907" t="s">
        <v>46581</v>
      </c>
      <c r="U13907" t="s">
        <v>58320</v>
      </c>
      <c r="V13907" t="s">
        <v>59101</v>
      </c>
      <c r="W13907" t="s">
        <v>40602</v>
      </c>
      <c r="X13907" t="s">
        <v>44783</v>
      </c>
    </row>
    <row r="13908" spans="1:24">
      <c r="A13908">
        <f>HYPERLINK("https://www.philgeps.gov.ph/GEPSNONPILOT/Tender/SplashBidNoticeAbstractUI.aspx?menuIndex=3&amp;refID=7108552&amp;Result=3","7108552")</f>
        <v>0</v>
      </c>
      <c r="B13908" t="s">
        <v>1472</v>
      </c>
      <c r="C13908" t="s">
        <v>17001</v>
      </c>
      <c r="D13908" t="s">
        <v>17978</v>
      </c>
      <c r="E13908" t="s">
        <v>30046</v>
      </c>
      <c r="F13908" t="s">
        <v>30900</v>
      </c>
      <c r="G13908" t="s">
        <v>30907</v>
      </c>
      <c r="H13908" t="s">
        <v>30916</v>
      </c>
      <c r="I13908" t="s">
        <v>30924</v>
      </c>
      <c r="J13908" t="s">
        <v>34133</v>
      </c>
      <c r="K13908" t="s">
        <v>40286</v>
      </c>
      <c r="M13908" t="s">
        <v>42106</v>
      </c>
      <c r="N13908" t="s">
        <v>44759</v>
      </c>
      <c r="O13908" t="s">
        <v>44760</v>
      </c>
      <c r="Q13908">
        <v>8</v>
      </c>
      <c r="R13908" t="s">
        <v>44782</v>
      </c>
      <c r="S13908" t="s">
        <v>45877</v>
      </c>
      <c r="T13908" t="s">
        <v>46658</v>
      </c>
      <c r="U13908" t="s">
        <v>58321</v>
      </c>
      <c r="W13908" t="s">
        <v>42106</v>
      </c>
      <c r="X13908" t="s">
        <v>44783</v>
      </c>
    </row>
    <row r="13909" spans="1:24">
      <c r="A13909">
        <f>HYPERLINK("https://www.philgeps.gov.ph/GEPSNONPILOT/Tender/SplashBidNoticeAbstractUI.aspx?menuIndex=3&amp;refID=7108551&amp;Result=3","7108551")</f>
        <v>0</v>
      </c>
      <c r="B13909" t="s">
        <v>1332</v>
      </c>
      <c r="C13909" t="s">
        <v>17002</v>
      </c>
      <c r="D13909" t="s">
        <v>17996</v>
      </c>
      <c r="E13909" t="s">
        <v>30047</v>
      </c>
      <c r="F13909" t="s">
        <v>30900</v>
      </c>
      <c r="G13909" t="s">
        <v>30907</v>
      </c>
      <c r="H13909" t="s">
        <v>30916</v>
      </c>
      <c r="I13909" t="s">
        <v>30933</v>
      </c>
      <c r="J13909" t="s">
        <v>39673</v>
      </c>
      <c r="K13909" t="s">
        <v>40286</v>
      </c>
      <c r="M13909" t="s">
        <v>41952</v>
      </c>
      <c r="N13909" t="s">
        <v>44759</v>
      </c>
      <c r="O13909" t="s">
        <v>44760</v>
      </c>
      <c r="P13909">
        <v>0</v>
      </c>
      <c r="Q13909">
        <v>8</v>
      </c>
      <c r="R13909" t="s">
        <v>44782</v>
      </c>
      <c r="S13909" t="s">
        <v>45846</v>
      </c>
      <c r="T13909" t="s">
        <v>46581</v>
      </c>
      <c r="U13909" t="s">
        <v>58322</v>
      </c>
      <c r="W13909" t="s">
        <v>41952</v>
      </c>
      <c r="X13909" t="s">
        <v>44783</v>
      </c>
    </row>
    <row r="13910" spans="1:24">
      <c r="A13910">
        <f>HYPERLINK("https://www.philgeps.gov.ph/GEPSNONPILOT/Tender/SplashBidNoticeAbstractUI.aspx?menuIndex=3&amp;refID=7108495&amp;Result=3","7108495")</f>
        <v>0</v>
      </c>
      <c r="B13910" t="s">
        <v>56</v>
      </c>
      <c r="C13910" t="s">
        <v>17003</v>
      </c>
      <c r="D13910" t="s">
        <v>17952</v>
      </c>
      <c r="E13910" t="s">
        <v>30048</v>
      </c>
      <c r="F13910" t="s">
        <v>30900</v>
      </c>
      <c r="G13910" t="s">
        <v>30907</v>
      </c>
      <c r="H13910" t="s">
        <v>30916</v>
      </c>
      <c r="I13910" t="s">
        <v>30918</v>
      </c>
      <c r="J13910" t="s">
        <v>31048</v>
      </c>
      <c r="K13910" t="s">
        <v>40294</v>
      </c>
      <c r="M13910" t="s">
        <v>40602</v>
      </c>
      <c r="N13910" t="s">
        <v>44759</v>
      </c>
      <c r="O13910" t="s">
        <v>44760</v>
      </c>
      <c r="Q13910">
        <v>1</v>
      </c>
      <c r="R13910" t="s">
        <v>44782</v>
      </c>
      <c r="S13910" t="s">
        <v>45878</v>
      </c>
      <c r="T13910" t="s">
        <v>46581</v>
      </c>
      <c r="U13910" t="s">
        <v>58323</v>
      </c>
      <c r="V13910" t="s">
        <v>59101</v>
      </c>
      <c r="W13910" t="s">
        <v>40602</v>
      </c>
      <c r="X13910" t="s">
        <v>44783</v>
      </c>
    </row>
    <row r="13911" spans="1:24">
      <c r="A13911">
        <f>HYPERLINK("https://www.philgeps.gov.ph/GEPSNONPILOT/Tender/SplashBidNoticeAbstractUI.aspx?menuIndex=3&amp;refID=7108484&amp;Result=3","7108484")</f>
        <v>0</v>
      </c>
      <c r="B13911" t="s">
        <v>3680</v>
      </c>
      <c r="C13911" t="s">
        <v>17004</v>
      </c>
      <c r="D13911" t="s">
        <v>17959</v>
      </c>
      <c r="E13911" t="s">
        <v>26325</v>
      </c>
      <c r="F13911" t="s">
        <v>30900</v>
      </c>
      <c r="G13911" t="s">
        <v>30907</v>
      </c>
      <c r="H13911" t="s">
        <v>30916</v>
      </c>
      <c r="I13911" t="s">
        <v>30921</v>
      </c>
      <c r="J13911" t="s">
        <v>39674</v>
      </c>
      <c r="K13911" t="s">
        <v>40280</v>
      </c>
      <c r="M13911" t="s">
        <v>44634</v>
      </c>
      <c r="N13911" t="s">
        <v>44759</v>
      </c>
      <c r="O13911" t="s">
        <v>44760</v>
      </c>
      <c r="Q13911">
        <v>25</v>
      </c>
      <c r="R13911" t="s">
        <v>44782</v>
      </c>
      <c r="S13911" t="s">
        <v>45839</v>
      </c>
      <c r="T13911" t="s">
        <v>46443</v>
      </c>
      <c r="U13911" t="s">
        <v>58324</v>
      </c>
      <c r="W13911" t="s">
        <v>44634</v>
      </c>
      <c r="X13911" t="s">
        <v>44783</v>
      </c>
    </row>
    <row r="13912" spans="1:24">
      <c r="A13912">
        <f>HYPERLINK("https://www.philgeps.gov.ph/GEPSNONPILOT/Tender/SplashBidNoticeAbstractUI.aspx?menuIndex=3&amp;refID=7108458&amp;Result=3","7108458")</f>
        <v>0</v>
      </c>
      <c r="B13912" t="s">
        <v>3684</v>
      </c>
      <c r="C13912" t="s">
        <v>9546</v>
      </c>
      <c r="D13912" t="s">
        <v>17975</v>
      </c>
      <c r="E13912" t="s">
        <v>19026</v>
      </c>
      <c r="F13912" t="s">
        <v>30900</v>
      </c>
      <c r="G13912" t="s">
        <v>30907</v>
      </c>
      <c r="H13912" t="s">
        <v>30915</v>
      </c>
      <c r="I13912" t="s">
        <v>30971</v>
      </c>
      <c r="J13912" t="s">
        <v>39675</v>
      </c>
      <c r="K13912" t="s">
        <v>40382</v>
      </c>
      <c r="M13912" t="s">
        <v>44638</v>
      </c>
      <c r="N13912" t="s">
        <v>44759</v>
      </c>
      <c r="O13912" t="s">
        <v>44760</v>
      </c>
      <c r="P13912">
        <v>0</v>
      </c>
      <c r="Q13912">
        <v>4</v>
      </c>
      <c r="R13912" t="s">
        <v>44782</v>
      </c>
      <c r="S13912" t="s">
        <v>45846</v>
      </c>
      <c r="T13912" t="s">
        <v>46658</v>
      </c>
      <c r="U13912" t="s">
        <v>58325</v>
      </c>
      <c r="W13912" t="s">
        <v>44638</v>
      </c>
      <c r="X13912" t="s">
        <v>44783</v>
      </c>
    </row>
    <row r="13913" spans="1:24">
      <c r="A13913">
        <f>HYPERLINK("https://www.philgeps.gov.ph/GEPSNONPILOT/Tender/SplashBidNoticeAbstractUI.aspx?menuIndex=3&amp;refID=7108732&amp;Result=3","7108732")</f>
        <v>0</v>
      </c>
      <c r="B13913" t="s">
        <v>1583</v>
      </c>
      <c r="C13913" t="s">
        <v>17005</v>
      </c>
      <c r="E13913" t="s">
        <v>23433</v>
      </c>
      <c r="F13913" t="s">
        <v>30900</v>
      </c>
      <c r="G13913" t="s">
        <v>30907</v>
      </c>
      <c r="H13913" t="s">
        <v>30915</v>
      </c>
      <c r="I13913" t="s">
        <v>30919</v>
      </c>
      <c r="J13913" t="s">
        <v>39676</v>
      </c>
      <c r="K13913" t="s">
        <v>40495</v>
      </c>
      <c r="M13913" t="s">
        <v>42230</v>
      </c>
      <c r="N13913" t="s">
        <v>44759</v>
      </c>
      <c r="O13913" t="s">
        <v>44760</v>
      </c>
      <c r="P13913">
        <v>0</v>
      </c>
      <c r="Q13913">
        <v>0</v>
      </c>
      <c r="R13913" t="s">
        <v>44782</v>
      </c>
      <c r="S13913" t="s">
        <v>45846</v>
      </c>
      <c r="T13913" t="s">
        <v>46533</v>
      </c>
      <c r="U13913" t="s">
        <v>57790</v>
      </c>
      <c r="W13913" t="s">
        <v>42230</v>
      </c>
      <c r="X13913" t="s">
        <v>44783</v>
      </c>
    </row>
    <row r="13914" spans="1:24">
      <c r="A13914">
        <f>HYPERLINK("https://www.philgeps.gov.ph/GEPSNONPILOT/Tender/SplashBidNoticeAbstractUI.aspx?menuIndex=3&amp;refID=7108466&amp;Result=3","7108466")</f>
        <v>0</v>
      </c>
      <c r="B13914" t="s">
        <v>1332</v>
      </c>
      <c r="C13914" t="s">
        <v>17006</v>
      </c>
      <c r="D13914" t="s">
        <v>17996</v>
      </c>
      <c r="E13914" t="s">
        <v>30049</v>
      </c>
      <c r="F13914" t="s">
        <v>30900</v>
      </c>
      <c r="G13914" t="s">
        <v>30907</v>
      </c>
      <c r="H13914" t="s">
        <v>30916</v>
      </c>
      <c r="I13914" t="s">
        <v>30923</v>
      </c>
      <c r="J13914" t="s">
        <v>39677</v>
      </c>
      <c r="K13914" t="s">
        <v>40286</v>
      </c>
      <c r="M13914" t="s">
        <v>41952</v>
      </c>
      <c r="N13914" t="s">
        <v>44759</v>
      </c>
      <c r="O13914" t="s">
        <v>44760</v>
      </c>
      <c r="Q13914">
        <v>10</v>
      </c>
      <c r="R13914" t="s">
        <v>44782</v>
      </c>
      <c r="S13914" t="s">
        <v>45879</v>
      </c>
      <c r="T13914" t="s">
        <v>46581</v>
      </c>
      <c r="U13914" t="s">
        <v>58300</v>
      </c>
      <c r="W13914" t="s">
        <v>41952</v>
      </c>
      <c r="X13914" t="s">
        <v>44783</v>
      </c>
    </row>
    <row r="13915" spans="1:24">
      <c r="A13915">
        <f>HYPERLINK("https://www.philgeps.gov.ph/GEPSNONPILOT/Tender/SplashBidNoticeAbstractUI.aspx?menuIndex=3&amp;refID=7108893&amp;Result=3","7108893")</f>
        <v>0</v>
      </c>
      <c r="B13915" t="s">
        <v>3651</v>
      </c>
      <c r="C13915" t="s">
        <v>17007</v>
      </c>
      <c r="D13915" t="s">
        <v>17957</v>
      </c>
      <c r="E13915" t="s">
        <v>30050</v>
      </c>
      <c r="F13915" t="s">
        <v>30900</v>
      </c>
      <c r="G13915" t="s">
        <v>30907</v>
      </c>
      <c r="H13915" t="s">
        <v>30915</v>
      </c>
      <c r="I13915" t="s">
        <v>30919</v>
      </c>
      <c r="J13915" t="s">
        <v>39678</v>
      </c>
      <c r="K13915" t="s">
        <v>40438</v>
      </c>
      <c r="M13915" t="s">
        <v>44594</v>
      </c>
      <c r="N13915" t="s">
        <v>44759</v>
      </c>
      <c r="O13915" t="s">
        <v>44760</v>
      </c>
      <c r="P13915">
        <v>0</v>
      </c>
      <c r="Q13915">
        <v>0</v>
      </c>
      <c r="R13915" t="s">
        <v>44782</v>
      </c>
      <c r="S13915" t="s">
        <v>45846</v>
      </c>
      <c r="T13915" t="s">
        <v>46625</v>
      </c>
      <c r="U13915" t="s">
        <v>58326</v>
      </c>
      <c r="V13915" t="s">
        <v>60692</v>
      </c>
      <c r="W13915" t="s">
        <v>44594</v>
      </c>
      <c r="X13915" t="s">
        <v>44783</v>
      </c>
    </row>
    <row r="13916" spans="1:24">
      <c r="A13916">
        <f>HYPERLINK("https://www.philgeps.gov.ph/GEPSNONPILOT/Tender/SplashBidNoticeAbstractUI.aspx?menuIndex=3&amp;refID=7108625&amp;Result=3","7108625")</f>
        <v>0</v>
      </c>
      <c r="B13916" t="s">
        <v>56</v>
      </c>
      <c r="C13916" t="s">
        <v>17008</v>
      </c>
      <c r="D13916" t="s">
        <v>17952</v>
      </c>
      <c r="E13916" t="s">
        <v>30051</v>
      </c>
      <c r="F13916" t="s">
        <v>30900</v>
      </c>
      <c r="G13916" t="s">
        <v>30907</v>
      </c>
      <c r="H13916" t="s">
        <v>30916</v>
      </c>
      <c r="I13916" t="s">
        <v>30918</v>
      </c>
      <c r="J13916" t="s">
        <v>31243</v>
      </c>
      <c r="K13916" t="s">
        <v>40294</v>
      </c>
      <c r="M13916" t="s">
        <v>40602</v>
      </c>
      <c r="N13916" t="s">
        <v>44759</v>
      </c>
      <c r="O13916" t="s">
        <v>44760</v>
      </c>
      <c r="Q13916">
        <v>7</v>
      </c>
      <c r="R13916" t="s">
        <v>44782</v>
      </c>
      <c r="S13916" t="s">
        <v>45880</v>
      </c>
      <c r="T13916" t="s">
        <v>46581</v>
      </c>
      <c r="U13916" t="s">
        <v>58327</v>
      </c>
      <c r="V13916" t="s">
        <v>59101</v>
      </c>
      <c r="W13916" t="s">
        <v>40602</v>
      </c>
      <c r="X13916" t="s">
        <v>44783</v>
      </c>
    </row>
    <row r="13917" spans="1:24">
      <c r="A13917">
        <f>HYPERLINK("https://www.philgeps.gov.ph/GEPSNONPILOT/Tender/SplashBidNoticeAbstractUI.aspx?menuIndex=3&amp;refID=7108668&amp;Result=3","7108668")</f>
        <v>0</v>
      </c>
      <c r="B13917" t="s">
        <v>506</v>
      </c>
      <c r="C13917" t="s">
        <v>17009</v>
      </c>
      <c r="D13917" t="s">
        <v>17966</v>
      </c>
      <c r="E13917" t="s">
        <v>30052</v>
      </c>
      <c r="F13917" t="s">
        <v>30900</v>
      </c>
      <c r="G13917" t="s">
        <v>30907</v>
      </c>
      <c r="H13917" t="s">
        <v>30916</v>
      </c>
      <c r="I13917" t="s">
        <v>30930</v>
      </c>
      <c r="J13917" t="s">
        <v>31094</v>
      </c>
      <c r="K13917" t="s">
        <v>40304</v>
      </c>
      <c r="M13917" t="s">
        <v>41066</v>
      </c>
      <c r="N13917" t="s">
        <v>44759</v>
      </c>
      <c r="O13917" t="s">
        <v>44760</v>
      </c>
      <c r="Q13917">
        <v>6</v>
      </c>
      <c r="R13917" t="s">
        <v>44782</v>
      </c>
      <c r="S13917" t="s">
        <v>45881</v>
      </c>
      <c r="T13917" t="s">
        <v>46533</v>
      </c>
      <c r="U13917" t="s">
        <v>58328</v>
      </c>
      <c r="W13917" t="s">
        <v>41066</v>
      </c>
      <c r="X13917" t="s">
        <v>44783</v>
      </c>
    </row>
    <row r="13918" spans="1:24">
      <c r="A13918">
        <f>HYPERLINK("https://www.philgeps.gov.ph/GEPSNONPILOT/Tender/SplashBidNoticeAbstractUI.aspx?menuIndex=3&amp;refID=7108470&amp;Result=3","7108470")</f>
        <v>0</v>
      </c>
      <c r="B13918" t="s">
        <v>3682</v>
      </c>
      <c r="C13918" t="s">
        <v>17010</v>
      </c>
      <c r="D13918" t="s">
        <v>17992</v>
      </c>
      <c r="E13918" t="s">
        <v>20261</v>
      </c>
      <c r="F13918" t="s">
        <v>30900</v>
      </c>
      <c r="G13918" t="s">
        <v>30907</v>
      </c>
      <c r="H13918" t="s">
        <v>30915</v>
      </c>
      <c r="I13918" t="s">
        <v>30919</v>
      </c>
      <c r="J13918" t="s">
        <v>39679</v>
      </c>
      <c r="K13918" t="s">
        <v>40301</v>
      </c>
      <c r="M13918" t="s">
        <v>44636</v>
      </c>
      <c r="N13918" t="s">
        <v>44759</v>
      </c>
      <c r="O13918" t="s">
        <v>44760</v>
      </c>
      <c r="P13918">
        <v>0</v>
      </c>
      <c r="Q13918">
        <v>8</v>
      </c>
      <c r="R13918" t="s">
        <v>44782</v>
      </c>
      <c r="S13918" t="s">
        <v>45846</v>
      </c>
      <c r="T13918" t="s">
        <v>46581</v>
      </c>
      <c r="U13918" t="s">
        <v>58329</v>
      </c>
      <c r="W13918" t="s">
        <v>44636</v>
      </c>
      <c r="X13918" t="s">
        <v>44783</v>
      </c>
    </row>
    <row r="13919" spans="1:24">
      <c r="A13919">
        <f>HYPERLINK("https://www.philgeps.gov.ph/GEPSNONPILOT/Tender/SplashBidNoticeAbstractUI.aspx?menuIndex=3&amp;refID=7108903&amp;Result=3","7108903")</f>
        <v>0</v>
      </c>
      <c r="B13919" t="s">
        <v>1728</v>
      </c>
      <c r="C13919" t="s">
        <v>17011</v>
      </c>
      <c r="D13919" t="s">
        <v>18016</v>
      </c>
      <c r="E13919" t="s">
        <v>30053</v>
      </c>
      <c r="F13919" t="s">
        <v>30900</v>
      </c>
      <c r="G13919" t="s">
        <v>30907</v>
      </c>
      <c r="H13919" t="s">
        <v>30916</v>
      </c>
      <c r="I13919" t="s">
        <v>30929</v>
      </c>
      <c r="J13919" t="s">
        <v>39680</v>
      </c>
      <c r="K13919" t="s">
        <v>40289</v>
      </c>
      <c r="M13919" t="s">
        <v>42394</v>
      </c>
      <c r="N13919" t="s">
        <v>44759</v>
      </c>
      <c r="O13919" t="s">
        <v>44760</v>
      </c>
      <c r="Q13919">
        <v>57</v>
      </c>
      <c r="R13919" t="s">
        <v>44782</v>
      </c>
      <c r="S13919" t="s">
        <v>45880</v>
      </c>
      <c r="T13919" t="s">
        <v>46658</v>
      </c>
      <c r="U13919" t="s">
        <v>58330</v>
      </c>
      <c r="W13919" t="s">
        <v>42394</v>
      </c>
      <c r="X13919" t="s">
        <v>44783</v>
      </c>
    </row>
    <row r="13920" spans="1:24">
      <c r="A13920">
        <f>HYPERLINK("https://www.philgeps.gov.ph/GEPSNONPILOT/Tender/SplashBidNoticeAbstractUI.aspx?menuIndex=3&amp;refID=7108961&amp;Result=3","7108961")</f>
        <v>0</v>
      </c>
      <c r="B13920" t="s">
        <v>1133</v>
      </c>
      <c r="C13920" t="s">
        <v>17012</v>
      </c>
      <c r="D13920" t="s">
        <v>17959</v>
      </c>
      <c r="E13920" t="s">
        <v>18945</v>
      </c>
      <c r="F13920" t="s">
        <v>30900</v>
      </c>
      <c r="G13920" t="s">
        <v>30907</v>
      </c>
      <c r="H13920" t="s">
        <v>30917</v>
      </c>
      <c r="I13920" t="s">
        <v>30942</v>
      </c>
      <c r="J13920" t="s">
        <v>39681</v>
      </c>
      <c r="K13920" t="s">
        <v>40334</v>
      </c>
      <c r="M13920" t="s">
        <v>41736</v>
      </c>
      <c r="N13920" t="s">
        <v>44759</v>
      </c>
      <c r="O13920" t="s">
        <v>44760</v>
      </c>
      <c r="Q13920">
        <v>2</v>
      </c>
      <c r="R13920" t="s">
        <v>44782</v>
      </c>
      <c r="S13920" t="s">
        <v>45882</v>
      </c>
      <c r="T13920" t="s">
        <v>46519</v>
      </c>
      <c r="U13920" t="s">
        <v>58331</v>
      </c>
      <c r="W13920" t="s">
        <v>41736</v>
      </c>
      <c r="X13920" t="s">
        <v>44783</v>
      </c>
    </row>
    <row r="13921" spans="1:24">
      <c r="A13921">
        <f>HYPERLINK("https://www.philgeps.gov.ph/GEPSNONPILOT/Tender/SplashBidNoticeAbstractUI.aspx?menuIndex=3&amp;refID=7108869&amp;Result=3","7108869")</f>
        <v>0</v>
      </c>
      <c r="B13921" t="s">
        <v>3682</v>
      </c>
      <c r="C13921" t="s">
        <v>17013</v>
      </c>
      <c r="D13921" t="s">
        <v>17992</v>
      </c>
      <c r="E13921" t="s">
        <v>24155</v>
      </c>
      <c r="F13921" t="s">
        <v>30900</v>
      </c>
      <c r="G13921" t="s">
        <v>30907</v>
      </c>
      <c r="H13921" t="s">
        <v>30915</v>
      </c>
      <c r="I13921" t="s">
        <v>30919</v>
      </c>
      <c r="J13921" t="s">
        <v>39682</v>
      </c>
      <c r="K13921" t="s">
        <v>40312</v>
      </c>
      <c r="M13921" t="s">
        <v>44636</v>
      </c>
      <c r="N13921" t="s">
        <v>44759</v>
      </c>
      <c r="O13921" t="s">
        <v>44760</v>
      </c>
      <c r="P13921">
        <v>0</v>
      </c>
      <c r="Q13921">
        <v>6</v>
      </c>
      <c r="R13921" t="s">
        <v>44782</v>
      </c>
      <c r="S13921" t="s">
        <v>45846</v>
      </c>
      <c r="T13921" t="s">
        <v>46581</v>
      </c>
      <c r="U13921" t="s">
        <v>58332</v>
      </c>
      <c r="W13921" t="s">
        <v>44636</v>
      </c>
      <c r="X13921" t="s">
        <v>44783</v>
      </c>
    </row>
    <row r="13922" spans="1:24">
      <c r="A13922">
        <f>HYPERLINK("https://www.philgeps.gov.ph/GEPSNONPILOT/Tender/SplashBidNoticeAbstractUI.aspx?menuIndex=3&amp;refID=7108865&amp;Result=3","7108865")</f>
        <v>0</v>
      </c>
      <c r="B13922" t="s">
        <v>3651</v>
      </c>
      <c r="C13922" t="s">
        <v>17014</v>
      </c>
      <c r="D13922" t="s">
        <v>17957</v>
      </c>
      <c r="E13922" t="s">
        <v>30054</v>
      </c>
      <c r="F13922" t="s">
        <v>30900</v>
      </c>
      <c r="G13922" t="s">
        <v>30907</v>
      </c>
      <c r="H13922" t="s">
        <v>30915</v>
      </c>
      <c r="I13922" t="s">
        <v>30919</v>
      </c>
      <c r="J13922" t="s">
        <v>39683</v>
      </c>
      <c r="K13922" t="s">
        <v>40460</v>
      </c>
      <c r="M13922" t="s">
        <v>44594</v>
      </c>
      <c r="N13922" t="s">
        <v>44759</v>
      </c>
      <c r="O13922" t="s">
        <v>44760</v>
      </c>
      <c r="P13922">
        <v>0</v>
      </c>
      <c r="Q13922">
        <v>0</v>
      </c>
      <c r="R13922" t="s">
        <v>44782</v>
      </c>
      <c r="S13922" t="s">
        <v>45846</v>
      </c>
      <c r="T13922" t="s">
        <v>46625</v>
      </c>
      <c r="U13922" t="s">
        <v>58333</v>
      </c>
      <c r="V13922" t="s">
        <v>60692</v>
      </c>
      <c r="W13922" t="s">
        <v>44594</v>
      </c>
      <c r="X13922" t="s">
        <v>44783</v>
      </c>
    </row>
    <row r="13923" spans="1:24">
      <c r="A13923">
        <f>HYPERLINK("https://www.philgeps.gov.ph/GEPSNONPILOT/Tender/SplashBidNoticeAbstractUI.aspx?menuIndex=3&amp;refID=7108823&amp;Result=3","7108823")</f>
        <v>0</v>
      </c>
      <c r="B13923" t="s">
        <v>56</v>
      </c>
      <c r="C13923" t="s">
        <v>17015</v>
      </c>
      <c r="D13923" t="s">
        <v>17952</v>
      </c>
      <c r="E13923" t="s">
        <v>30055</v>
      </c>
      <c r="F13923" t="s">
        <v>30900</v>
      </c>
      <c r="G13923" t="s">
        <v>30907</v>
      </c>
      <c r="H13923" t="s">
        <v>30916</v>
      </c>
      <c r="I13923" t="s">
        <v>30918</v>
      </c>
      <c r="J13923" t="s">
        <v>31101</v>
      </c>
      <c r="K13923" t="s">
        <v>40294</v>
      </c>
      <c r="M13923" t="s">
        <v>40602</v>
      </c>
      <c r="N13923" t="s">
        <v>44759</v>
      </c>
      <c r="O13923" t="s">
        <v>44760</v>
      </c>
      <c r="Q13923">
        <v>6</v>
      </c>
      <c r="R13923" t="s">
        <v>44782</v>
      </c>
      <c r="S13923" t="s">
        <v>45883</v>
      </c>
      <c r="T13923" t="s">
        <v>46581</v>
      </c>
      <c r="U13923" t="s">
        <v>58334</v>
      </c>
      <c r="V13923" t="s">
        <v>59101</v>
      </c>
      <c r="W13923" t="s">
        <v>40602</v>
      </c>
      <c r="X13923" t="s">
        <v>44783</v>
      </c>
    </row>
    <row r="13924" spans="1:24">
      <c r="A13924">
        <f>HYPERLINK("https://www.philgeps.gov.ph/GEPSNONPILOT/Tender/SplashBidNoticeAbstractUI.aspx?menuIndex=3&amp;refID=7108816&amp;Result=3","7108816")</f>
        <v>0</v>
      </c>
      <c r="B13924" t="s">
        <v>1728</v>
      </c>
      <c r="C13924" t="s">
        <v>17016</v>
      </c>
      <c r="D13924" t="s">
        <v>18016</v>
      </c>
      <c r="E13924" t="s">
        <v>30056</v>
      </c>
      <c r="F13924" t="s">
        <v>30900</v>
      </c>
      <c r="G13924" t="s">
        <v>30907</v>
      </c>
      <c r="H13924" t="s">
        <v>30916</v>
      </c>
      <c r="I13924" t="s">
        <v>30929</v>
      </c>
      <c r="J13924" t="s">
        <v>39684</v>
      </c>
      <c r="K13924" t="s">
        <v>40289</v>
      </c>
      <c r="M13924" t="s">
        <v>42394</v>
      </c>
      <c r="N13924" t="s">
        <v>44759</v>
      </c>
      <c r="O13924" t="s">
        <v>44760</v>
      </c>
      <c r="Q13924">
        <v>25</v>
      </c>
      <c r="R13924" t="s">
        <v>44782</v>
      </c>
      <c r="S13924" t="s">
        <v>45884</v>
      </c>
      <c r="T13924" t="s">
        <v>46625</v>
      </c>
      <c r="U13924" t="s">
        <v>58335</v>
      </c>
      <c r="W13924" t="s">
        <v>42394</v>
      </c>
      <c r="X13924" t="s">
        <v>44783</v>
      </c>
    </row>
    <row r="13925" spans="1:24">
      <c r="A13925">
        <f>HYPERLINK("https://www.philgeps.gov.ph/GEPSNONPILOT/Tender/SplashBidNoticeAbstractUI.aspx?menuIndex=3&amp;refID=7108813&amp;Result=3","7108813")</f>
        <v>0</v>
      </c>
      <c r="B13925" t="s">
        <v>3682</v>
      </c>
      <c r="C13925" t="s">
        <v>17017</v>
      </c>
      <c r="D13925" t="s">
        <v>17992</v>
      </c>
      <c r="E13925" t="s">
        <v>24122</v>
      </c>
      <c r="F13925" t="s">
        <v>30900</v>
      </c>
      <c r="G13925" t="s">
        <v>30907</v>
      </c>
      <c r="H13925" t="s">
        <v>30915</v>
      </c>
      <c r="I13925" t="s">
        <v>30919</v>
      </c>
      <c r="J13925" t="s">
        <v>39685</v>
      </c>
      <c r="K13925" t="s">
        <v>40340</v>
      </c>
      <c r="M13925" t="s">
        <v>44636</v>
      </c>
      <c r="N13925" t="s">
        <v>44759</v>
      </c>
      <c r="O13925" t="s">
        <v>44760</v>
      </c>
      <c r="Q13925">
        <v>7</v>
      </c>
      <c r="R13925" t="s">
        <v>44782</v>
      </c>
      <c r="S13925" t="s">
        <v>45885</v>
      </c>
      <c r="T13925" t="s">
        <v>46581</v>
      </c>
      <c r="U13925" t="s">
        <v>58336</v>
      </c>
      <c r="W13925" t="s">
        <v>44636</v>
      </c>
      <c r="X13925" t="s">
        <v>44783</v>
      </c>
    </row>
    <row r="13926" spans="1:24">
      <c r="A13926">
        <f>HYPERLINK("https://www.philgeps.gov.ph/GEPSNONPILOT/Tender/SplashBidNoticeAbstractUI.aspx?menuIndex=3&amp;refID=7109030&amp;Result=3","7109030")</f>
        <v>0</v>
      </c>
      <c r="B13926" t="s">
        <v>3651</v>
      </c>
      <c r="C13926" t="s">
        <v>17018</v>
      </c>
      <c r="D13926" t="s">
        <v>17957</v>
      </c>
      <c r="E13926" t="s">
        <v>30057</v>
      </c>
      <c r="F13926" t="s">
        <v>30900</v>
      </c>
      <c r="G13926" t="s">
        <v>30907</v>
      </c>
      <c r="H13926" t="s">
        <v>30915</v>
      </c>
      <c r="I13926" t="s">
        <v>30919</v>
      </c>
      <c r="J13926" t="s">
        <v>39686</v>
      </c>
      <c r="K13926" t="s">
        <v>40438</v>
      </c>
      <c r="M13926" t="s">
        <v>44594</v>
      </c>
      <c r="N13926" t="s">
        <v>44759</v>
      </c>
      <c r="O13926" t="s">
        <v>44760</v>
      </c>
      <c r="P13926">
        <v>0</v>
      </c>
      <c r="Q13926">
        <v>0</v>
      </c>
      <c r="R13926" t="s">
        <v>44782</v>
      </c>
      <c r="S13926" t="s">
        <v>45846</v>
      </c>
      <c r="T13926" t="s">
        <v>46625</v>
      </c>
      <c r="U13926" t="s">
        <v>58337</v>
      </c>
      <c r="V13926" t="s">
        <v>60692</v>
      </c>
      <c r="W13926" t="s">
        <v>44594</v>
      </c>
      <c r="X13926" t="s">
        <v>44783</v>
      </c>
    </row>
    <row r="13927" spans="1:24">
      <c r="A13927">
        <f>HYPERLINK("https://www.philgeps.gov.ph/GEPSNONPILOT/Tender/SplashBidNoticeAbstractUI.aspx?menuIndex=3&amp;refID=7108806&amp;Result=3","7108806")</f>
        <v>0</v>
      </c>
      <c r="B13927" t="s">
        <v>3443</v>
      </c>
      <c r="C13927" t="s">
        <v>17019</v>
      </c>
      <c r="D13927" t="s">
        <v>17957</v>
      </c>
      <c r="E13927" t="s">
        <v>30058</v>
      </c>
      <c r="F13927" t="s">
        <v>30900</v>
      </c>
      <c r="G13927" t="s">
        <v>30907</v>
      </c>
      <c r="H13927" t="s">
        <v>30916</v>
      </c>
      <c r="I13927" t="s">
        <v>30933</v>
      </c>
      <c r="J13927" t="s">
        <v>34589</v>
      </c>
      <c r="K13927" t="s">
        <v>40280</v>
      </c>
      <c r="M13927" t="s">
        <v>44324</v>
      </c>
      <c r="N13927" t="s">
        <v>44759</v>
      </c>
      <c r="O13927" t="s">
        <v>44760</v>
      </c>
      <c r="P13927">
        <v>0</v>
      </c>
      <c r="Q13927">
        <v>1</v>
      </c>
      <c r="R13927" t="s">
        <v>44782</v>
      </c>
      <c r="S13927" t="s">
        <v>45846</v>
      </c>
      <c r="T13927" t="s">
        <v>46357</v>
      </c>
      <c r="U13927" t="s">
        <v>58338</v>
      </c>
      <c r="W13927" t="s">
        <v>44324</v>
      </c>
      <c r="X13927" t="s">
        <v>44783</v>
      </c>
    </row>
    <row r="13928" spans="1:24">
      <c r="A13928">
        <f>HYPERLINK("https://www.philgeps.gov.ph/GEPSNONPILOT/Tender/SplashBidNoticeAbstractUI.aspx?menuIndex=3&amp;refID=7109032&amp;Result=3","7109032")</f>
        <v>0</v>
      </c>
      <c r="B13928" t="s">
        <v>2045</v>
      </c>
      <c r="C13928" t="s">
        <v>17020</v>
      </c>
      <c r="D13928" t="s">
        <v>18022</v>
      </c>
      <c r="E13928" t="s">
        <v>29246</v>
      </c>
      <c r="F13928" t="s">
        <v>30900</v>
      </c>
      <c r="G13928" t="s">
        <v>30907</v>
      </c>
      <c r="H13928" t="s">
        <v>30916</v>
      </c>
      <c r="I13928" t="s">
        <v>30931</v>
      </c>
      <c r="J13928" t="s">
        <v>31152</v>
      </c>
      <c r="K13928" t="s">
        <v>40284</v>
      </c>
      <c r="M13928" t="s">
        <v>42742</v>
      </c>
      <c r="N13928" t="s">
        <v>44759</v>
      </c>
      <c r="O13928" t="s">
        <v>44760</v>
      </c>
      <c r="P13928">
        <v>0</v>
      </c>
      <c r="Q13928">
        <v>8</v>
      </c>
      <c r="R13928" t="s">
        <v>44782</v>
      </c>
      <c r="S13928" t="s">
        <v>45846</v>
      </c>
      <c r="T13928" t="s">
        <v>46470</v>
      </c>
      <c r="U13928" t="s">
        <v>58339</v>
      </c>
      <c r="W13928" t="s">
        <v>42742</v>
      </c>
      <c r="X13928" t="s">
        <v>44783</v>
      </c>
    </row>
    <row r="13929" spans="1:24">
      <c r="A13929">
        <f>HYPERLINK("https://www.philgeps.gov.ph/GEPSNONPILOT/Tender/SplashBidNoticeAbstractUI.aspx?menuIndex=3&amp;refID=7108832&amp;Result=3","7108832")</f>
        <v>0</v>
      </c>
      <c r="B13929" t="s">
        <v>3651</v>
      </c>
      <c r="C13929" t="s">
        <v>17021</v>
      </c>
      <c r="D13929" t="s">
        <v>17957</v>
      </c>
      <c r="E13929" t="s">
        <v>30059</v>
      </c>
      <c r="F13929" t="s">
        <v>30900</v>
      </c>
      <c r="G13929" t="s">
        <v>30907</v>
      </c>
      <c r="H13929" t="s">
        <v>30915</v>
      </c>
      <c r="I13929" t="s">
        <v>30919</v>
      </c>
      <c r="J13929" t="s">
        <v>39687</v>
      </c>
      <c r="K13929" t="s">
        <v>40555</v>
      </c>
      <c r="M13929" t="s">
        <v>44594</v>
      </c>
      <c r="N13929" t="s">
        <v>44759</v>
      </c>
      <c r="O13929" t="s">
        <v>44760</v>
      </c>
      <c r="P13929">
        <v>0</v>
      </c>
      <c r="Q13929">
        <v>0</v>
      </c>
      <c r="R13929" t="s">
        <v>44782</v>
      </c>
      <c r="S13929" t="s">
        <v>45846</v>
      </c>
      <c r="T13929" t="s">
        <v>46625</v>
      </c>
      <c r="U13929" t="s">
        <v>58340</v>
      </c>
      <c r="V13929" t="s">
        <v>60692</v>
      </c>
      <c r="W13929" t="s">
        <v>44594</v>
      </c>
      <c r="X13929" t="s">
        <v>44783</v>
      </c>
    </row>
    <row r="13930" spans="1:24">
      <c r="A13930">
        <f>HYPERLINK("https://www.philgeps.gov.ph/GEPSNONPILOT/Tender/SplashBidNoticeAbstractUI.aspx?menuIndex=3&amp;refID=7109328&amp;Result=3","7109328")</f>
        <v>0</v>
      </c>
      <c r="B13930" t="s">
        <v>2672</v>
      </c>
      <c r="C13930" t="s">
        <v>17022</v>
      </c>
      <c r="D13930" t="s">
        <v>17998</v>
      </c>
      <c r="E13930" t="s">
        <v>30060</v>
      </c>
      <c r="F13930" t="s">
        <v>30900</v>
      </c>
      <c r="G13930" t="s">
        <v>30907</v>
      </c>
      <c r="H13930" t="s">
        <v>30917</v>
      </c>
      <c r="I13930" t="s">
        <v>30933</v>
      </c>
      <c r="J13930" t="s">
        <v>37375</v>
      </c>
      <c r="K13930" t="s">
        <v>40283</v>
      </c>
      <c r="M13930" t="s">
        <v>43442</v>
      </c>
      <c r="N13930" t="s">
        <v>44759</v>
      </c>
      <c r="O13930" t="s">
        <v>44760</v>
      </c>
      <c r="P13930">
        <v>0</v>
      </c>
      <c r="Q13930">
        <v>2</v>
      </c>
      <c r="R13930" t="s">
        <v>44782</v>
      </c>
      <c r="S13930" t="s">
        <v>45846</v>
      </c>
      <c r="T13930" t="s">
        <v>46421</v>
      </c>
      <c r="U13930" t="s">
        <v>54918</v>
      </c>
      <c r="W13930" t="s">
        <v>43442</v>
      </c>
      <c r="X13930" t="s">
        <v>44783</v>
      </c>
    </row>
    <row r="13931" spans="1:24">
      <c r="A13931">
        <f>HYPERLINK("https://www.philgeps.gov.ph/GEPSNONPILOT/Tender/SplashBidNoticeAbstractUI.aspx?menuIndex=3&amp;refID=7109318&amp;Result=3","7109318")</f>
        <v>0</v>
      </c>
      <c r="B13931" t="s">
        <v>919</v>
      </c>
      <c r="C13931" t="s">
        <v>17023</v>
      </c>
      <c r="D13931" t="s">
        <v>17962</v>
      </c>
      <c r="E13931" t="s">
        <v>30061</v>
      </c>
      <c r="F13931" t="s">
        <v>30900</v>
      </c>
      <c r="G13931" t="s">
        <v>30907</v>
      </c>
      <c r="H13931" t="s">
        <v>30916</v>
      </c>
      <c r="I13931" t="s">
        <v>30960</v>
      </c>
      <c r="J13931" t="s">
        <v>39688</v>
      </c>
      <c r="K13931" t="s">
        <v>40286</v>
      </c>
      <c r="M13931" t="s">
        <v>41499</v>
      </c>
      <c r="N13931" t="s">
        <v>44759</v>
      </c>
      <c r="O13931" t="s">
        <v>44760</v>
      </c>
      <c r="P13931">
        <v>0</v>
      </c>
      <c r="Q13931">
        <v>4</v>
      </c>
      <c r="R13931" t="s">
        <v>44782</v>
      </c>
      <c r="S13931" t="s">
        <v>45846</v>
      </c>
      <c r="T13931" t="s">
        <v>46363</v>
      </c>
      <c r="U13931" t="s">
        <v>58341</v>
      </c>
      <c r="W13931" t="s">
        <v>41499</v>
      </c>
      <c r="X13931" t="s">
        <v>44783</v>
      </c>
    </row>
    <row r="13932" spans="1:24">
      <c r="A13932">
        <f>HYPERLINK("https://www.philgeps.gov.ph/GEPSNONPILOT/Tender/SplashBidNoticeAbstractUI.aspx?menuIndex=3&amp;refID=7109425&amp;Result=3","7109425")</f>
        <v>0</v>
      </c>
      <c r="B13932" t="s">
        <v>3456</v>
      </c>
      <c r="C13932" t="s">
        <v>17024</v>
      </c>
      <c r="D13932" t="s">
        <v>17973</v>
      </c>
      <c r="E13932" t="s">
        <v>30062</v>
      </c>
      <c r="F13932" t="s">
        <v>30900</v>
      </c>
      <c r="G13932" t="s">
        <v>30907</v>
      </c>
      <c r="H13932" t="s">
        <v>30915</v>
      </c>
      <c r="I13932" t="s">
        <v>30919</v>
      </c>
      <c r="J13932" t="s">
        <v>39689</v>
      </c>
      <c r="K13932" t="s">
        <v>40556</v>
      </c>
      <c r="M13932" t="s">
        <v>44343</v>
      </c>
      <c r="N13932" t="s">
        <v>44759</v>
      </c>
      <c r="O13932" t="s">
        <v>44760</v>
      </c>
      <c r="Q13932">
        <v>1</v>
      </c>
      <c r="R13932" t="s">
        <v>44782</v>
      </c>
      <c r="S13932" t="s">
        <v>45886</v>
      </c>
      <c r="T13932" t="s">
        <v>46429</v>
      </c>
      <c r="U13932" t="s">
        <v>58342</v>
      </c>
      <c r="V13932" t="s">
        <v>60693</v>
      </c>
      <c r="W13932" t="s">
        <v>44343</v>
      </c>
      <c r="X13932" t="s">
        <v>44783</v>
      </c>
    </row>
    <row r="13933" spans="1:24">
      <c r="A13933">
        <f>HYPERLINK("https://www.philgeps.gov.ph/GEPSNONPILOT/Tender/SplashBidNoticeAbstractUI.aspx?menuIndex=3&amp;refID=7108962&amp;Result=3","7108962")</f>
        <v>0</v>
      </c>
      <c r="B13933" t="s">
        <v>3651</v>
      </c>
      <c r="C13933" t="s">
        <v>17025</v>
      </c>
      <c r="D13933" t="s">
        <v>17957</v>
      </c>
      <c r="E13933" t="s">
        <v>30063</v>
      </c>
      <c r="F13933" t="s">
        <v>30900</v>
      </c>
      <c r="G13933" t="s">
        <v>30907</v>
      </c>
      <c r="H13933" t="s">
        <v>30915</v>
      </c>
      <c r="I13933" t="s">
        <v>30919</v>
      </c>
      <c r="J13933" t="s">
        <v>39690</v>
      </c>
      <c r="K13933" t="s">
        <v>40407</v>
      </c>
      <c r="M13933" t="s">
        <v>44594</v>
      </c>
      <c r="N13933" t="s">
        <v>44759</v>
      </c>
      <c r="O13933" t="s">
        <v>44760</v>
      </c>
      <c r="P13933">
        <v>0</v>
      </c>
      <c r="Q13933">
        <v>0</v>
      </c>
      <c r="R13933" t="s">
        <v>44782</v>
      </c>
      <c r="S13933" t="s">
        <v>45846</v>
      </c>
      <c r="T13933" t="s">
        <v>46625</v>
      </c>
      <c r="U13933" t="s">
        <v>58343</v>
      </c>
      <c r="V13933" t="s">
        <v>60692</v>
      </c>
      <c r="W13933" t="s">
        <v>44594</v>
      </c>
      <c r="X13933" t="s">
        <v>44783</v>
      </c>
    </row>
    <row r="13934" spans="1:24">
      <c r="A13934">
        <f>HYPERLINK("https://www.philgeps.gov.ph/GEPSNONPILOT/Tender/SplashBidNoticeAbstractUI.aspx?menuIndex=3&amp;refID=7109422&amp;Result=3","7109422")</f>
        <v>0</v>
      </c>
      <c r="B13934" t="s">
        <v>295</v>
      </c>
      <c r="C13934" t="s">
        <v>17026</v>
      </c>
      <c r="D13934" t="s">
        <v>17951</v>
      </c>
      <c r="E13934" t="s">
        <v>30064</v>
      </c>
      <c r="F13934" t="s">
        <v>30900</v>
      </c>
      <c r="G13934" t="s">
        <v>30907</v>
      </c>
      <c r="H13934" t="s">
        <v>30916</v>
      </c>
      <c r="I13934" t="s">
        <v>30924</v>
      </c>
      <c r="J13934" t="s">
        <v>39691</v>
      </c>
      <c r="K13934" t="s">
        <v>40341</v>
      </c>
      <c r="M13934" t="s">
        <v>43490</v>
      </c>
      <c r="N13934" t="s">
        <v>44759</v>
      </c>
      <c r="O13934" t="s">
        <v>44760</v>
      </c>
      <c r="Q13934">
        <v>9</v>
      </c>
      <c r="R13934" t="s">
        <v>44782</v>
      </c>
      <c r="S13934" t="s">
        <v>45887</v>
      </c>
      <c r="T13934" t="s">
        <v>46760</v>
      </c>
      <c r="U13934" t="s">
        <v>58344</v>
      </c>
      <c r="W13934" t="s">
        <v>43490</v>
      </c>
      <c r="X13934" t="s">
        <v>44783</v>
      </c>
    </row>
    <row r="13935" spans="1:24">
      <c r="A13935">
        <f>HYPERLINK("https://www.philgeps.gov.ph/GEPSNONPILOT/Tender/SplashBidNoticeAbstractUI.aspx?menuIndex=3&amp;refID=7108818&amp;Result=3","7108818")</f>
        <v>0</v>
      </c>
      <c r="B13935" t="s">
        <v>3649</v>
      </c>
      <c r="C13935" t="s">
        <v>17027</v>
      </c>
      <c r="D13935" t="s">
        <v>17984</v>
      </c>
      <c r="E13935" t="s">
        <v>30065</v>
      </c>
      <c r="F13935" t="s">
        <v>30900</v>
      </c>
      <c r="G13935" t="s">
        <v>30907</v>
      </c>
      <c r="H13935" t="s">
        <v>30916</v>
      </c>
      <c r="I13935" t="s">
        <v>30933</v>
      </c>
      <c r="J13935" t="s">
        <v>31297</v>
      </c>
      <c r="K13935" t="s">
        <v>40286</v>
      </c>
      <c r="M13935" t="s">
        <v>44592</v>
      </c>
      <c r="N13935" t="s">
        <v>44759</v>
      </c>
      <c r="O13935" t="s">
        <v>44760</v>
      </c>
      <c r="P13935">
        <v>0</v>
      </c>
      <c r="Q13935">
        <v>5</v>
      </c>
      <c r="R13935" t="s">
        <v>44782</v>
      </c>
      <c r="S13935" t="s">
        <v>45846</v>
      </c>
      <c r="T13935" t="s">
        <v>46533</v>
      </c>
      <c r="U13935" t="s">
        <v>58345</v>
      </c>
      <c r="W13935" t="s">
        <v>44592</v>
      </c>
      <c r="X13935" t="s">
        <v>44783</v>
      </c>
    </row>
    <row r="13936" spans="1:24">
      <c r="A13936">
        <f>HYPERLINK("https://www.philgeps.gov.ph/GEPSNONPILOT/Tender/SplashBidNoticeAbstractUI.aspx?menuIndex=3&amp;refID=7109367&amp;Result=3","7109367")</f>
        <v>0</v>
      </c>
      <c r="B13936" t="s">
        <v>380</v>
      </c>
      <c r="C13936" t="s">
        <v>17028</v>
      </c>
      <c r="D13936" t="s">
        <v>18003</v>
      </c>
      <c r="E13936" t="s">
        <v>30066</v>
      </c>
      <c r="F13936" t="s">
        <v>30900</v>
      </c>
      <c r="G13936" t="s">
        <v>30907</v>
      </c>
      <c r="H13936" t="s">
        <v>30915</v>
      </c>
      <c r="I13936" t="s">
        <v>30919</v>
      </c>
      <c r="J13936" t="s">
        <v>31243</v>
      </c>
      <c r="K13936" t="s">
        <v>40301</v>
      </c>
      <c r="M13936" t="s">
        <v>40934</v>
      </c>
      <c r="N13936" t="s">
        <v>44759</v>
      </c>
      <c r="O13936" t="s">
        <v>44760</v>
      </c>
      <c r="P13936">
        <v>0</v>
      </c>
      <c r="Q13936">
        <v>1</v>
      </c>
      <c r="R13936" t="s">
        <v>44782</v>
      </c>
      <c r="S13936" t="s">
        <v>45846</v>
      </c>
      <c r="T13936" t="s">
        <v>46591</v>
      </c>
      <c r="U13936" t="s">
        <v>58346</v>
      </c>
      <c r="W13936" t="s">
        <v>40934</v>
      </c>
      <c r="X13936" t="s">
        <v>44783</v>
      </c>
    </row>
    <row r="13937" spans="1:24">
      <c r="A13937">
        <f>HYPERLINK("https://www.philgeps.gov.ph/GEPSNONPILOT/Tender/SplashBidNoticeAbstractUI.aspx?menuIndex=3&amp;refID=7109361&amp;Result=3","7109361")</f>
        <v>0</v>
      </c>
      <c r="B13937" t="s">
        <v>372</v>
      </c>
      <c r="C13937" t="s">
        <v>17029</v>
      </c>
      <c r="D13937" t="s">
        <v>17968</v>
      </c>
      <c r="E13937" t="s">
        <v>30067</v>
      </c>
      <c r="F13937" t="s">
        <v>30900</v>
      </c>
      <c r="G13937" t="s">
        <v>30907</v>
      </c>
      <c r="H13937" t="s">
        <v>30916</v>
      </c>
      <c r="I13937" t="s">
        <v>30982</v>
      </c>
      <c r="J13937" t="s">
        <v>32324</v>
      </c>
      <c r="K13937" t="s">
        <v>40283</v>
      </c>
      <c r="M13937" t="s">
        <v>43876</v>
      </c>
      <c r="N13937" t="s">
        <v>44759</v>
      </c>
      <c r="O13937" t="s">
        <v>44760</v>
      </c>
      <c r="P13937">
        <v>0</v>
      </c>
      <c r="Q13937">
        <v>6</v>
      </c>
      <c r="R13937" t="s">
        <v>44782</v>
      </c>
      <c r="S13937" t="s">
        <v>45846</v>
      </c>
      <c r="T13937" t="s">
        <v>46658</v>
      </c>
      <c r="U13937" t="s">
        <v>58347</v>
      </c>
      <c r="W13937" t="s">
        <v>43876</v>
      </c>
      <c r="X13937" t="s">
        <v>44783</v>
      </c>
    </row>
    <row r="13938" spans="1:24">
      <c r="A13938">
        <f>HYPERLINK("https://www.philgeps.gov.ph/GEPSNONPILOT/Tender/SplashBidNoticeAbstractUI.aspx?menuIndex=3&amp;refID=7109306&amp;Result=3","7109306")</f>
        <v>0</v>
      </c>
      <c r="B13938" t="s">
        <v>380</v>
      </c>
      <c r="C13938" t="s">
        <v>17030</v>
      </c>
      <c r="D13938" t="s">
        <v>18003</v>
      </c>
      <c r="E13938" t="s">
        <v>30068</v>
      </c>
      <c r="F13938" t="s">
        <v>30900</v>
      </c>
      <c r="G13938" t="s">
        <v>30907</v>
      </c>
      <c r="H13938" t="s">
        <v>30915</v>
      </c>
      <c r="I13938" t="s">
        <v>30919</v>
      </c>
      <c r="J13938" t="s">
        <v>31243</v>
      </c>
      <c r="K13938" t="s">
        <v>40292</v>
      </c>
      <c r="M13938" t="s">
        <v>40934</v>
      </c>
      <c r="N13938" t="s">
        <v>44759</v>
      </c>
      <c r="O13938" t="s">
        <v>44760</v>
      </c>
      <c r="P13938">
        <v>0</v>
      </c>
      <c r="Q13938">
        <v>0</v>
      </c>
      <c r="R13938" t="s">
        <v>44782</v>
      </c>
      <c r="S13938" t="s">
        <v>45846</v>
      </c>
      <c r="T13938" t="s">
        <v>46591</v>
      </c>
      <c r="U13938" t="s">
        <v>58346</v>
      </c>
      <c r="W13938" t="s">
        <v>40934</v>
      </c>
      <c r="X13938" t="s">
        <v>44783</v>
      </c>
    </row>
    <row r="13939" spans="1:24">
      <c r="A13939">
        <f>HYPERLINK("https://www.philgeps.gov.ph/GEPSNONPILOT/Tender/SplashBidNoticeAbstractUI.aspx?menuIndex=3&amp;refID=7109189&amp;Result=3","7109189")</f>
        <v>0</v>
      </c>
      <c r="B13939" t="s">
        <v>3664</v>
      </c>
      <c r="C13939" t="s">
        <v>17031</v>
      </c>
      <c r="D13939" t="s">
        <v>17952</v>
      </c>
      <c r="E13939" t="s">
        <v>30069</v>
      </c>
      <c r="F13939" t="s">
        <v>30900</v>
      </c>
      <c r="G13939" t="s">
        <v>30907</v>
      </c>
      <c r="H13939" t="s">
        <v>30915</v>
      </c>
      <c r="I13939" t="s">
        <v>30919</v>
      </c>
      <c r="J13939" t="s">
        <v>39692</v>
      </c>
      <c r="K13939" t="s">
        <v>40301</v>
      </c>
      <c r="M13939" t="s">
        <v>44612</v>
      </c>
      <c r="N13939" t="s">
        <v>44759</v>
      </c>
      <c r="O13939" t="s">
        <v>44760</v>
      </c>
      <c r="Q13939">
        <v>14</v>
      </c>
      <c r="R13939" t="s">
        <v>44782</v>
      </c>
      <c r="S13939" t="s">
        <v>45888</v>
      </c>
      <c r="T13939" t="s">
        <v>46581</v>
      </c>
      <c r="U13939" t="s">
        <v>58348</v>
      </c>
      <c r="W13939" t="s">
        <v>44612</v>
      </c>
      <c r="X13939" t="s">
        <v>44783</v>
      </c>
    </row>
    <row r="13940" spans="1:24">
      <c r="A13940">
        <f>HYPERLINK("https://www.philgeps.gov.ph/GEPSNONPILOT/Tender/SplashBidNoticeAbstractUI.aspx?menuIndex=3&amp;refID=7109173&amp;Result=3","7109173")</f>
        <v>0</v>
      </c>
      <c r="B13940" t="s">
        <v>3047</v>
      </c>
      <c r="C13940" t="s">
        <v>17032</v>
      </c>
      <c r="D13940" t="s">
        <v>18013</v>
      </c>
      <c r="E13940" t="s">
        <v>30070</v>
      </c>
      <c r="F13940" t="s">
        <v>30900</v>
      </c>
      <c r="G13940" t="s">
        <v>30907</v>
      </c>
      <c r="H13940" t="s">
        <v>30915</v>
      </c>
      <c r="I13940" t="s">
        <v>30919</v>
      </c>
      <c r="J13940" t="s">
        <v>31243</v>
      </c>
      <c r="K13940" t="s">
        <v>40292</v>
      </c>
      <c r="M13940" t="s">
        <v>43857</v>
      </c>
      <c r="N13940" t="s">
        <v>44759</v>
      </c>
      <c r="O13940" t="s">
        <v>44760</v>
      </c>
      <c r="P13940">
        <v>0</v>
      </c>
      <c r="Q13940">
        <v>0</v>
      </c>
      <c r="R13940" t="s">
        <v>44782</v>
      </c>
      <c r="S13940" t="s">
        <v>45846</v>
      </c>
      <c r="T13940" t="s">
        <v>46625</v>
      </c>
      <c r="U13940" t="s">
        <v>58349</v>
      </c>
      <c r="W13940" t="s">
        <v>43857</v>
      </c>
      <c r="X13940" t="s">
        <v>44783</v>
      </c>
    </row>
    <row r="13941" spans="1:24">
      <c r="A13941">
        <f>HYPERLINK("https://www.philgeps.gov.ph/GEPSNONPILOT/Tender/SplashBidNoticeAbstractUI.aspx?menuIndex=3&amp;refID=7109163&amp;Result=3","7109163")</f>
        <v>0</v>
      </c>
      <c r="B13941" t="s">
        <v>380</v>
      </c>
      <c r="C13941" t="s">
        <v>17033</v>
      </c>
      <c r="D13941" t="s">
        <v>18003</v>
      </c>
      <c r="E13941" t="s">
        <v>30071</v>
      </c>
      <c r="F13941" t="s">
        <v>30900</v>
      </c>
      <c r="G13941" t="s">
        <v>30907</v>
      </c>
      <c r="H13941" t="s">
        <v>30915</v>
      </c>
      <c r="I13941" t="s">
        <v>30919</v>
      </c>
      <c r="J13941" t="s">
        <v>31341</v>
      </c>
      <c r="K13941" t="s">
        <v>40280</v>
      </c>
      <c r="M13941" t="s">
        <v>40934</v>
      </c>
      <c r="N13941" t="s">
        <v>44759</v>
      </c>
      <c r="O13941" t="s">
        <v>44760</v>
      </c>
      <c r="P13941">
        <v>0</v>
      </c>
      <c r="Q13941">
        <v>0</v>
      </c>
      <c r="R13941" t="s">
        <v>44782</v>
      </c>
      <c r="S13941" t="s">
        <v>45846</v>
      </c>
      <c r="T13941" t="s">
        <v>46591</v>
      </c>
      <c r="U13941" t="s">
        <v>58346</v>
      </c>
      <c r="W13941" t="s">
        <v>40934</v>
      </c>
      <c r="X13941" t="s">
        <v>44783</v>
      </c>
    </row>
    <row r="13942" spans="1:24">
      <c r="A13942">
        <f>HYPERLINK("https://www.philgeps.gov.ph/GEPSNONPILOT/Tender/SplashBidNoticeAbstractUI.aspx?menuIndex=3&amp;refID=7109144&amp;Result=3","7109144")</f>
        <v>0</v>
      </c>
      <c r="B13942" t="s">
        <v>504</v>
      </c>
      <c r="C13942" t="s">
        <v>17034</v>
      </c>
      <c r="D13942" t="s">
        <v>18012</v>
      </c>
      <c r="E13942" t="s">
        <v>30072</v>
      </c>
      <c r="F13942" t="s">
        <v>30900</v>
      </c>
      <c r="G13942" t="s">
        <v>30907</v>
      </c>
      <c r="H13942" t="s">
        <v>30916</v>
      </c>
      <c r="I13942" t="s">
        <v>5501</v>
      </c>
      <c r="J13942" t="s">
        <v>39693</v>
      </c>
      <c r="K13942" t="s">
        <v>40289</v>
      </c>
      <c r="M13942" t="s">
        <v>41064</v>
      </c>
      <c r="N13942" t="s">
        <v>44759</v>
      </c>
      <c r="O13942" t="s">
        <v>44760</v>
      </c>
      <c r="P13942">
        <v>0</v>
      </c>
      <c r="Q13942">
        <v>2</v>
      </c>
      <c r="R13942" t="s">
        <v>44782</v>
      </c>
      <c r="S13942" t="s">
        <v>45846</v>
      </c>
      <c r="T13942" t="s">
        <v>46374</v>
      </c>
      <c r="U13942" t="s">
        <v>58350</v>
      </c>
      <c r="W13942" t="s">
        <v>41064</v>
      </c>
      <c r="X13942" t="s">
        <v>44783</v>
      </c>
    </row>
    <row r="13943" spans="1:24">
      <c r="A13943">
        <f>HYPERLINK("https://www.philgeps.gov.ph/GEPSNONPILOT/Tender/SplashBidNoticeAbstractUI.aspx?menuIndex=3&amp;refID=7109252&amp;Result=3","7109252")</f>
        <v>0</v>
      </c>
      <c r="B13943" t="s">
        <v>3047</v>
      </c>
      <c r="C13943" t="s">
        <v>17035</v>
      </c>
      <c r="D13943" t="s">
        <v>18013</v>
      </c>
      <c r="E13943" t="s">
        <v>30073</v>
      </c>
      <c r="F13943" t="s">
        <v>30900</v>
      </c>
      <c r="G13943" t="s">
        <v>30908</v>
      </c>
      <c r="H13943" t="s">
        <v>30916</v>
      </c>
      <c r="I13943" t="s">
        <v>5501</v>
      </c>
      <c r="J13943" t="s">
        <v>39694</v>
      </c>
      <c r="K13943" t="s">
        <v>40286</v>
      </c>
      <c r="M13943" t="s">
        <v>43857</v>
      </c>
      <c r="N13943" t="s">
        <v>44759</v>
      </c>
      <c r="O13943" t="s">
        <v>44760</v>
      </c>
      <c r="Q13943">
        <v>5</v>
      </c>
      <c r="R13943" t="s">
        <v>44782</v>
      </c>
      <c r="S13943" t="s">
        <v>45889</v>
      </c>
      <c r="T13943" t="s">
        <v>46625</v>
      </c>
      <c r="U13943" t="s">
        <v>58351</v>
      </c>
      <c r="W13943" t="s">
        <v>43857</v>
      </c>
      <c r="X13943" t="s">
        <v>44783</v>
      </c>
    </row>
    <row r="13944" spans="1:24">
      <c r="A13944">
        <f>HYPERLINK("https://www.philgeps.gov.ph/GEPSNONPILOT/Tender/SplashBidNoticeAbstractUI.aspx?menuIndex=3&amp;refID=7109110&amp;Result=3","7109110")</f>
        <v>0</v>
      </c>
      <c r="B13944" t="s">
        <v>380</v>
      </c>
      <c r="C13944" t="s">
        <v>17036</v>
      </c>
      <c r="D13944" t="s">
        <v>18003</v>
      </c>
      <c r="E13944" t="s">
        <v>30074</v>
      </c>
      <c r="F13944" t="s">
        <v>30900</v>
      </c>
      <c r="G13944" t="s">
        <v>30907</v>
      </c>
      <c r="H13944" t="s">
        <v>30915</v>
      </c>
      <c r="I13944" t="s">
        <v>30919</v>
      </c>
      <c r="J13944" t="s">
        <v>31341</v>
      </c>
      <c r="K13944" t="s">
        <v>40280</v>
      </c>
      <c r="M13944" t="s">
        <v>40934</v>
      </c>
      <c r="N13944" t="s">
        <v>44759</v>
      </c>
      <c r="O13944" t="s">
        <v>44760</v>
      </c>
      <c r="P13944">
        <v>0</v>
      </c>
      <c r="Q13944">
        <v>0</v>
      </c>
      <c r="R13944" t="s">
        <v>44782</v>
      </c>
      <c r="S13944" t="s">
        <v>45846</v>
      </c>
      <c r="T13944" t="s">
        <v>46591</v>
      </c>
      <c r="U13944" t="s">
        <v>58346</v>
      </c>
      <c r="W13944" t="s">
        <v>40934</v>
      </c>
      <c r="X13944" t="s">
        <v>44783</v>
      </c>
    </row>
    <row r="13945" spans="1:24">
      <c r="A13945">
        <f>HYPERLINK("https://www.philgeps.gov.ph/GEPSNONPILOT/Tender/SplashBidNoticeAbstractUI.aspx?menuIndex=3&amp;refID=7109433&amp;Result=3","7109433")</f>
        <v>0</v>
      </c>
      <c r="B13945" t="s">
        <v>3047</v>
      </c>
      <c r="C13945" t="s">
        <v>17037</v>
      </c>
      <c r="D13945" t="s">
        <v>18013</v>
      </c>
      <c r="E13945" t="s">
        <v>30075</v>
      </c>
      <c r="F13945" t="s">
        <v>30900</v>
      </c>
      <c r="G13945" t="s">
        <v>30907</v>
      </c>
      <c r="H13945" t="s">
        <v>30915</v>
      </c>
      <c r="I13945" t="s">
        <v>30919</v>
      </c>
      <c r="J13945" t="s">
        <v>31152</v>
      </c>
      <c r="K13945" t="s">
        <v>40280</v>
      </c>
      <c r="M13945" t="s">
        <v>43857</v>
      </c>
      <c r="N13945" t="s">
        <v>44759</v>
      </c>
      <c r="O13945" t="s">
        <v>44760</v>
      </c>
      <c r="P13945">
        <v>0</v>
      </c>
      <c r="Q13945">
        <v>0</v>
      </c>
      <c r="R13945" t="s">
        <v>44782</v>
      </c>
      <c r="S13945" t="s">
        <v>45846</v>
      </c>
      <c r="T13945" t="s">
        <v>46625</v>
      </c>
      <c r="U13945" t="s">
        <v>58352</v>
      </c>
      <c r="W13945" t="s">
        <v>43857</v>
      </c>
      <c r="X13945" t="s">
        <v>44783</v>
      </c>
    </row>
    <row r="13946" spans="1:24">
      <c r="A13946">
        <f>HYPERLINK("https://www.philgeps.gov.ph/GEPSNONPILOT/Tender/SplashBidNoticeAbstractUI.aspx?menuIndex=3&amp;refID=7109090&amp;Result=3","7109090")</f>
        <v>0</v>
      </c>
      <c r="B13946" t="s">
        <v>2045</v>
      </c>
      <c r="C13946" t="s">
        <v>17038</v>
      </c>
      <c r="D13946" t="s">
        <v>18022</v>
      </c>
      <c r="E13946" t="s">
        <v>30076</v>
      </c>
      <c r="F13946" t="s">
        <v>30900</v>
      </c>
      <c r="G13946" t="s">
        <v>30907</v>
      </c>
      <c r="H13946" t="s">
        <v>30916</v>
      </c>
      <c r="I13946" t="s">
        <v>4108</v>
      </c>
      <c r="J13946" t="s">
        <v>31152</v>
      </c>
      <c r="K13946" t="s">
        <v>40286</v>
      </c>
      <c r="M13946" t="s">
        <v>42742</v>
      </c>
      <c r="N13946" t="s">
        <v>44759</v>
      </c>
      <c r="O13946" t="s">
        <v>44760</v>
      </c>
      <c r="P13946">
        <v>0</v>
      </c>
      <c r="Q13946">
        <v>6</v>
      </c>
      <c r="R13946" t="s">
        <v>44782</v>
      </c>
      <c r="S13946" t="s">
        <v>45846</v>
      </c>
      <c r="T13946" t="s">
        <v>46470</v>
      </c>
      <c r="U13946" t="s">
        <v>58353</v>
      </c>
      <c r="W13946" t="s">
        <v>42742</v>
      </c>
      <c r="X13946" t="s">
        <v>44783</v>
      </c>
    </row>
    <row r="13947" spans="1:24">
      <c r="A13947">
        <f>HYPERLINK("https://www.philgeps.gov.ph/GEPSNONPILOT/Tender/SplashBidNoticeAbstractUI.aspx?menuIndex=3&amp;refID=7104313&amp;Result=3","7104313")</f>
        <v>0</v>
      </c>
      <c r="B13947" t="s">
        <v>56</v>
      </c>
      <c r="C13947" t="s">
        <v>17039</v>
      </c>
      <c r="D13947" t="s">
        <v>17952</v>
      </c>
      <c r="E13947" t="s">
        <v>17039</v>
      </c>
      <c r="F13947" t="s">
        <v>30900</v>
      </c>
      <c r="G13947" t="s">
        <v>30907</v>
      </c>
      <c r="H13947" t="s">
        <v>30916</v>
      </c>
      <c r="I13947" t="s">
        <v>30918</v>
      </c>
      <c r="J13947" t="s">
        <v>31049</v>
      </c>
      <c r="K13947" t="s">
        <v>40294</v>
      </c>
      <c r="M13947" t="s">
        <v>40602</v>
      </c>
      <c r="N13947" t="s">
        <v>44759</v>
      </c>
      <c r="O13947" t="s">
        <v>44760</v>
      </c>
      <c r="P13947">
        <v>0</v>
      </c>
      <c r="Q13947">
        <v>3</v>
      </c>
      <c r="R13947" t="s">
        <v>44782</v>
      </c>
      <c r="S13947" t="s">
        <v>45846</v>
      </c>
      <c r="T13947" t="s">
        <v>46581</v>
      </c>
      <c r="U13947" t="s">
        <v>58354</v>
      </c>
      <c r="V13947" t="s">
        <v>59101</v>
      </c>
      <c r="W13947" t="s">
        <v>40602</v>
      </c>
      <c r="X13947" t="s">
        <v>44784</v>
      </c>
    </row>
    <row r="13948" spans="1:24">
      <c r="A13948">
        <f>HYPERLINK("https://www.philgeps.gov.ph/GEPSNONPILOT/Tender/SplashBidNoticeAbstractUI.aspx?menuIndex=3&amp;refID=7108500&amp;Result=3","7108500")</f>
        <v>0</v>
      </c>
      <c r="B13948" t="s">
        <v>3685</v>
      </c>
      <c r="C13948" t="s">
        <v>17040</v>
      </c>
      <c r="D13948" t="s">
        <v>17985</v>
      </c>
      <c r="E13948" t="s">
        <v>30077</v>
      </c>
      <c r="F13948" t="s">
        <v>30900</v>
      </c>
      <c r="G13948" t="s">
        <v>30907</v>
      </c>
      <c r="H13948" t="s">
        <v>7411</v>
      </c>
      <c r="I13948" t="s">
        <v>30973</v>
      </c>
      <c r="J13948" t="s">
        <v>31574</v>
      </c>
      <c r="K13948" t="s">
        <v>40342</v>
      </c>
      <c r="M13948" t="s">
        <v>44639</v>
      </c>
      <c r="N13948" t="s">
        <v>44759</v>
      </c>
      <c r="O13948" t="s">
        <v>44760</v>
      </c>
      <c r="Q13948">
        <v>2</v>
      </c>
      <c r="R13948" t="s">
        <v>44782</v>
      </c>
      <c r="S13948" t="s">
        <v>45890</v>
      </c>
      <c r="T13948" t="s">
        <v>46918</v>
      </c>
      <c r="U13948" t="s">
        <v>58355</v>
      </c>
      <c r="W13948" t="s">
        <v>44639</v>
      </c>
      <c r="X13948" t="s">
        <v>44783</v>
      </c>
    </row>
    <row r="13949" spans="1:24">
      <c r="A13949">
        <f>HYPERLINK("https://www.philgeps.gov.ph/GEPSNONPILOT/Tender/SplashBidNoticeAbstractUI.aspx?menuIndex=3&amp;refID=7108783&amp;Result=3","7108783")</f>
        <v>0</v>
      </c>
      <c r="B13949" t="s">
        <v>3443</v>
      </c>
      <c r="C13949" t="s">
        <v>17041</v>
      </c>
      <c r="D13949" t="s">
        <v>17957</v>
      </c>
      <c r="E13949" t="s">
        <v>30078</v>
      </c>
      <c r="F13949" t="s">
        <v>30900</v>
      </c>
      <c r="G13949" t="s">
        <v>30907</v>
      </c>
      <c r="H13949" t="s">
        <v>30916</v>
      </c>
      <c r="I13949" t="s">
        <v>30933</v>
      </c>
      <c r="J13949" t="s">
        <v>39695</v>
      </c>
      <c r="K13949" t="s">
        <v>40280</v>
      </c>
      <c r="M13949" t="s">
        <v>44324</v>
      </c>
      <c r="N13949" t="s">
        <v>44759</v>
      </c>
      <c r="O13949" t="s">
        <v>44760</v>
      </c>
      <c r="P13949">
        <v>0</v>
      </c>
      <c r="Q13949">
        <v>2</v>
      </c>
      <c r="R13949" t="s">
        <v>44782</v>
      </c>
      <c r="S13949" t="s">
        <v>45846</v>
      </c>
      <c r="T13949" t="s">
        <v>46357</v>
      </c>
      <c r="U13949" t="s">
        <v>58356</v>
      </c>
      <c r="W13949" t="s">
        <v>44324</v>
      </c>
      <c r="X13949" t="s">
        <v>44783</v>
      </c>
    </row>
    <row r="13950" spans="1:24">
      <c r="A13950">
        <f>HYPERLINK("https://www.philgeps.gov.ph/GEPSNONPILOT/Tender/SplashBidNoticeAbstractUI.aspx?menuIndex=3&amp;refID=7109136&amp;Result=3","7109136")</f>
        <v>0</v>
      </c>
      <c r="B13950" t="s">
        <v>121</v>
      </c>
      <c r="C13950" t="s">
        <v>17042</v>
      </c>
      <c r="D13950" t="s">
        <v>17981</v>
      </c>
      <c r="E13950" t="s">
        <v>30079</v>
      </c>
      <c r="F13950" t="s">
        <v>30900</v>
      </c>
      <c r="G13950" t="s">
        <v>30908</v>
      </c>
      <c r="H13950" t="s">
        <v>30915</v>
      </c>
      <c r="I13950" t="s">
        <v>30919</v>
      </c>
      <c r="J13950" t="s">
        <v>39696</v>
      </c>
      <c r="K13950" t="s">
        <v>40292</v>
      </c>
      <c r="M13950" t="s">
        <v>40668</v>
      </c>
      <c r="N13950" t="s">
        <v>44759</v>
      </c>
      <c r="O13950" t="s">
        <v>44760</v>
      </c>
      <c r="Q13950">
        <v>1</v>
      </c>
      <c r="R13950" t="s">
        <v>44782</v>
      </c>
      <c r="S13950" t="s">
        <v>45891</v>
      </c>
      <c r="T13950" t="s">
        <v>46357</v>
      </c>
      <c r="U13950" t="s">
        <v>58357</v>
      </c>
      <c r="W13950" t="s">
        <v>40668</v>
      </c>
      <c r="X13950" t="s">
        <v>44783</v>
      </c>
    </row>
    <row r="13951" spans="1:24">
      <c r="A13951">
        <f>HYPERLINK("https://www.philgeps.gov.ph/GEPSNONPILOT/Tender/SplashBidNoticeAbstractUI.aspx?menuIndex=3&amp;refID=7108373&amp;Result=3","7108373")</f>
        <v>0</v>
      </c>
      <c r="B13951" t="s">
        <v>1435</v>
      </c>
      <c r="C13951" t="s">
        <v>17043</v>
      </c>
      <c r="D13951" t="s">
        <v>17976</v>
      </c>
      <c r="E13951" t="s">
        <v>18492</v>
      </c>
      <c r="F13951" t="s">
        <v>30900</v>
      </c>
      <c r="G13951" t="s">
        <v>30907</v>
      </c>
      <c r="H13951" t="s">
        <v>30916</v>
      </c>
      <c r="I13951" t="s">
        <v>8123</v>
      </c>
      <c r="J13951" t="s">
        <v>39697</v>
      </c>
      <c r="K13951" t="s">
        <v>40286</v>
      </c>
      <c r="M13951" t="s">
        <v>44640</v>
      </c>
      <c r="N13951" t="s">
        <v>44759</v>
      </c>
      <c r="O13951" t="s">
        <v>44760</v>
      </c>
      <c r="P13951">
        <v>0</v>
      </c>
      <c r="Q13951">
        <v>0</v>
      </c>
      <c r="R13951" t="s">
        <v>44782</v>
      </c>
      <c r="S13951" t="s">
        <v>45846</v>
      </c>
      <c r="T13951" t="s">
        <v>46625</v>
      </c>
      <c r="U13951" t="s">
        <v>58358</v>
      </c>
      <c r="W13951" t="s">
        <v>44640</v>
      </c>
      <c r="X13951" t="s">
        <v>44783</v>
      </c>
    </row>
    <row r="13952" spans="1:24">
      <c r="A13952">
        <f>HYPERLINK("https://www.philgeps.gov.ph/GEPSNONPILOT/Tender/SplashBidNoticeAbstractUI.aspx?menuIndex=3&amp;refID=7109082&amp;Result=3","7109082")</f>
        <v>0</v>
      </c>
      <c r="B13952" t="s">
        <v>3651</v>
      </c>
      <c r="C13952" t="s">
        <v>17044</v>
      </c>
      <c r="D13952" t="s">
        <v>17957</v>
      </c>
      <c r="E13952" t="s">
        <v>30080</v>
      </c>
      <c r="F13952" t="s">
        <v>30900</v>
      </c>
      <c r="G13952" t="s">
        <v>30907</v>
      </c>
      <c r="H13952" t="s">
        <v>30915</v>
      </c>
      <c r="I13952" t="s">
        <v>30919</v>
      </c>
      <c r="J13952" t="s">
        <v>39698</v>
      </c>
      <c r="K13952" t="s">
        <v>40304</v>
      </c>
      <c r="M13952" t="s">
        <v>44594</v>
      </c>
      <c r="N13952" t="s">
        <v>44759</v>
      </c>
      <c r="O13952" t="s">
        <v>44760</v>
      </c>
      <c r="P13952">
        <v>0</v>
      </c>
      <c r="Q13952">
        <v>0</v>
      </c>
      <c r="R13952" t="s">
        <v>44782</v>
      </c>
      <c r="S13952" t="s">
        <v>45846</v>
      </c>
      <c r="T13952" t="s">
        <v>46625</v>
      </c>
      <c r="U13952" t="s">
        <v>58359</v>
      </c>
      <c r="W13952" t="s">
        <v>44594</v>
      </c>
      <c r="X13952" t="s">
        <v>44783</v>
      </c>
    </row>
    <row r="13953" spans="1:24">
      <c r="A13953">
        <f>HYPERLINK("https://www.philgeps.gov.ph/GEPSNONPILOT/Tender/SplashBidNoticeAbstractUI.aspx?menuIndex=3&amp;refID=7109709&amp;Result=3","7109709")</f>
        <v>0</v>
      </c>
      <c r="B13953" t="s">
        <v>1332</v>
      </c>
      <c r="C13953" t="s">
        <v>17045</v>
      </c>
      <c r="D13953" t="s">
        <v>17996</v>
      </c>
      <c r="E13953" t="s">
        <v>30081</v>
      </c>
      <c r="F13953" t="s">
        <v>30900</v>
      </c>
      <c r="G13953" t="s">
        <v>30907</v>
      </c>
      <c r="H13953" t="s">
        <v>30916</v>
      </c>
      <c r="I13953" t="s">
        <v>30924</v>
      </c>
      <c r="J13953" t="s">
        <v>31449</v>
      </c>
      <c r="K13953" t="s">
        <v>40286</v>
      </c>
      <c r="M13953" t="s">
        <v>41952</v>
      </c>
      <c r="N13953" t="s">
        <v>44759</v>
      </c>
      <c r="O13953" t="s">
        <v>44760</v>
      </c>
      <c r="P13953">
        <v>0</v>
      </c>
      <c r="Q13953">
        <v>6</v>
      </c>
      <c r="R13953" t="s">
        <v>44782</v>
      </c>
      <c r="S13953" t="s">
        <v>45846</v>
      </c>
      <c r="T13953" t="s">
        <v>46581</v>
      </c>
      <c r="U13953" t="s">
        <v>58360</v>
      </c>
      <c r="W13953" t="s">
        <v>41952</v>
      </c>
      <c r="X13953" t="s">
        <v>44783</v>
      </c>
    </row>
    <row r="13954" spans="1:24">
      <c r="A13954">
        <f>HYPERLINK("https://www.philgeps.gov.ph/GEPSNONPILOT/Tender/SplashBidNoticeAbstractUI.aspx?menuIndex=3&amp;refID=7108779&amp;Result=3","7108779")</f>
        <v>0</v>
      </c>
      <c r="B13954" t="s">
        <v>3683</v>
      </c>
      <c r="C13954" t="s">
        <v>17046</v>
      </c>
      <c r="D13954" t="s">
        <v>18021</v>
      </c>
      <c r="E13954" t="s">
        <v>27014</v>
      </c>
      <c r="F13954" t="s">
        <v>30899</v>
      </c>
      <c r="G13954" t="s">
        <v>30907</v>
      </c>
      <c r="H13954" t="s">
        <v>30916</v>
      </c>
      <c r="I13954" t="s">
        <v>17295</v>
      </c>
      <c r="J13954" t="s">
        <v>39699</v>
      </c>
      <c r="K13954" t="s">
        <v>40287</v>
      </c>
      <c r="M13954" t="s">
        <v>44637</v>
      </c>
      <c r="N13954" t="s">
        <v>44759</v>
      </c>
      <c r="O13954" t="s">
        <v>44760</v>
      </c>
      <c r="Q13954">
        <v>1</v>
      </c>
      <c r="R13954" t="s">
        <v>44782</v>
      </c>
      <c r="S13954" t="s">
        <v>45892</v>
      </c>
      <c r="T13954" t="s">
        <v>46363</v>
      </c>
      <c r="U13954" t="s">
        <v>47461</v>
      </c>
      <c r="W13954" t="s">
        <v>44637</v>
      </c>
      <c r="X13954" t="s">
        <v>44783</v>
      </c>
    </row>
    <row r="13955" spans="1:24">
      <c r="A13955">
        <f>HYPERLINK("https://www.philgeps.gov.ph/GEPSNONPILOT/Tender/SplashBidNoticeAbstractUI.aspx?menuIndex=3&amp;refID=7109062&amp;Result=3","7109062")</f>
        <v>0</v>
      </c>
      <c r="B13955" t="s">
        <v>3682</v>
      </c>
      <c r="C13955" t="s">
        <v>17047</v>
      </c>
      <c r="D13955" t="s">
        <v>17992</v>
      </c>
      <c r="E13955" t="s">
        <v>26419</v>
      </c>
      <c r="F13955" t="s">
        <v>30900</v>
      </c>
      <c r="G13955" t="s">
        <v>30907</v>
      </c>
      <c r="H13955" t="s">
        <v>30915</v>
      </c>
      <c r="I13955" t="s">
        <v>30919</v>
      </c>
      <c r="J13955" t="s">
        <v>39700</v>
      </c>
      <c r="K13955" t="s">
        <v>40341</v>
      </c>
      <c r="M13955" t="s">
        <v>44636</v>
      </c>
      <c r="N13955" t="s">
        <v>44759</v>
      </c>
      <c r="O13955" t="s">
        <v>44760</v>
      </c>
      <c r="P13955">
        <v>0</v>
      </c>
      <c r="Q13955">
        <v>7</v>
      </c>
      <c r="R13955" t="s">
        <v>44782</v>
      </c>
      <c r="S13955" t="s">
        <v>45846</v>
      </c>
      <c r="T13955" t="s">
        <v>46581</v>
      </c>
      <c r="U13955" t="s">
        <v>58361</v>
      </c>
      <c r="W13955" t="s">
        <v>44636</v>
      </c>
      <c r="X13955" t="s">
        <v>44783</v>
      </c>
    </row>
    <row r="13956" spans="1:24">
      <c r="A13956">
        <f>HYPERLINK("https://www.philgeps.gov.ph/GEPSNONPILOT/Tender/SplashBidNoticeAbstractUI.aspx?menuIndex=3&amp;refID=7109720&amp;Result=3","7109720")</f>
        <v>0</v>
      </c>
      <c r="B13956" t="s">
        <v>1332</v>
      </c>
      <c r="C13956" t="s">
        <v>17048</v>
      </c>
      <c r="D13956" t="s">
        <v>17996</v>
      </c>
      <c r="E13956" t="s">
        <v>30082</v>
      </c>
      <c r="F13956" t="s">
        <v>30900</v>
      </c>
      <c r="G13956" t="s">
        <v>30907</v>
      </c>
      <c r="H13956" t="s">
        <v>30916</v>
      </c>
      <c r="I13956" t="s">
        <v>4108</v>
      </c>
      <c r="J13956" t="s">
        <v>33501</v>
      </c>
      <c r="K13956" t="s">
        <v>40286</v>
      </c>
      <c r="M13956" t="s">
        <v>41952</v>
      </c>
      <c r="N13956" t="s">
        <v>44759</v>
      </c>
      <c r="O13956" t="s">
        <v>44760</v>
      </c>
      <c r="P13956">
        <v>0</v>
      </c>
      <c r="Q13956">
        <v>3</v>
      </c>
      <c r="R13956" t="s">
        <v>44782</v>
      </c>
      <c r="S13956" t="s">
        <v>45846</v>
      </c>
      <c r="T13956" t="s">
        <v>46581</v>
      </c>
      <c r="U13956" t="s">
        <v>58360</v>
      </c>
      <c r="W13956" t="s">
        <v>41952</v>
      </c>
      <c r="X13956" t="s">
        <v>44783</v>
      </c>
    </row>
    <row r="13957" spans="1:24">
      <c r="A13957">
        <f>HYPERLINK("https://www.philgeps.gov.ph/GEPSNONPILOT/Tender/SplashBidNoticeAbstractUI.aspx?menuIndex=3&amp;refID=7109653&amp;Result=3","7109653")</f>
        <v>0</v>
      </c>
      <c r="B13957" t="s">
        <v>1088</v>
      </c>
      <c r="C13957" t="s">
        <v>17049</v>
      </c>
      <c r="E13957" t="s">
        <v>30083</v>
      </c>
      <c r="F13957" t="s">
        <v>30900</v>
      </c>
      <c r="G13957" t="s">
        <v>30907</v>
      </c>
      <c r="H13957" t="s">
        <v>30917</v>
      </c>
      <c r="I13957" t="s">
        <v>30988</v>
      </c>
      <c r="J13957" t="s">
        <v>39701</v>
      </c>
      <c r="K13957" t="s">
        <v>40319</v>
      </c>
      <c r="M13957" t="s">
        <v>44339</v>
      </c>
      <c r="N13957" t="s">
        <v>44759</v>
      </c>
      <c r="O13957" t="s">
        <v>44760</v>
      </c>
      <c r="Q13957">
        <v>6</v>
      </c>
      <c r="R13957" t="s">
        <v>44782</v>
      </c>
      <c r="S13957" t="s">
        <v>45893</v>
      </c>
      <c r="T13957" t="s">
        <v>46581</v>
      </c>
      <c r="U13957" t="s">
        <v>58362</v>
      </c>
      <c r="W13957" t="s">
        <v>44339</v>
      </c>
      <c r="X13957" t="s">
        <v>44783</v>
      </c>
    </row>
    <row r="13958" spans="1:24">
      <c r="A13958">
        <f>HYPERLINK("https://www.philgeps.gov.ph/GEPSNONPILOT/Tender/SplashBidNoticeAbstractUI.aspx?menuIndex=3&amp;refID=7109620&amp;Result=3","7109620")</f>
        <v>0</v>
      </c>
      <c r="B13958" t="s">
        <v>937</v>
      </c>
      <c r="C13958" t="s">
        <v>17050</v>
      </c>
      <c r="D13958" t="s">
        <v>17998</v>
      </c>
      <c r="E13958" t="s">
        <v>30084</v>
      </c>
      <c r="F13958" t="s">
        <v>30900</v>
      </c>
      <c r="G13958" t="s">
        <v>30907</v>
      </c>
      <c r="H13958" t="s">
        <v>30916</v>
      </c>
      <c r="I13958" t="s">
        <v>30932</v>
      </c>
      <c r="J13958" t="s">
        <v>39702</v>
      </c>
      <c r="K13958" t="s">
        <v>40289</v>
      </c>
      <c r="M13958" t="s">
        <v>41520</v>
      </c>
      <c r="N13958" t="s">
        <v>44759</v>
      </c>
      <c r="O13958" t="s">
        <v>44760</v>
      </c>
      <c r="P13958">
        <v>0</v>
      </c>
      <c r="Q13958">
        <v>9</v>
      </c>
      <c r="R13958" t="s">
        <v>44782</v>
      </c>
      <c r="S13958" t="s">
        <v>45846</v>
      </c>
      <c r="T13958" t="s">
        <v>46387</v>
      </c>
      <c r="U13958" t="s">
        <v>58363</v>
      </c>
      <c r="W13958" t="s">
        <v>41520</v>
      </c>
      <c r="X13958" t="s">
        <v>44783</v>
      </c>
    </row>
    <row r="13959" spans="1:24">
      <c r="A13959">
        <f>HYPERLINK("https://www.philgeps.gov.ph/GEPSNONPILOT/Tender/SplashBidNoticeAbstractUI.aspx?menuIndex=3&amp;refID=7109596&amp;Result=3","7109596")</f>
        <v>0</v>
      </c>
      <c r="B13959" t="s">
        <v>3047</v>
      </c>
      <c r="C13959" t="s">
        <v>5334</v>
      </c>
      <c r="D13959" t="s">
        <v>18013</v>
      </c>
      <c r="E13959" t="s">
        <v>30085</v>
      </c>
      <c r="F13959" t="s">
        <v>30900</v>
      </c>
      <c r="G13959" t="s">
        <v>30907</v>
      </c>
      <c r="H13959" t="s">
        <v>30916</v>
      </c>
      <c r="I13959" t="s">
        <v>10602</v>
      </c>
      <c r="J13959" t="s">
        <v>31341</v>
      </c>
      <c r="K13959" t="s">
        <v>40292</v>
      </c>
      <c r="M13959" t="s">
        <v>43857</v>
      </c>
      <c r="N13959" t="s">
        <v>44759</v>
      </c>
      <c r="O13959" t="s">
        <v>44760</v>
      </c>
      <c r="P13959">
        <v>0</v>
      </c>
      <c r="Q13959">
        <v>1</v>
      </c>
      <c r="R13959" t="s">
        <v>44782</v>
      </c>
      <c r="S13959" t="s">
        <v>45846</v>
      </c>
      <c r="T13959" t="s">
        <v>46810</v>
      </c>
      <c r="U13959" t="s">
        <v>58364</v>
      </c>
      <c r="W13959" t="s">
        <v>43857</v>
      </c>
      <c r="X13959" t="s">
        <v>44783</v>
      </c>
    </row>
    <row r="13960" spans="1:24">
      <c r="A13960">
        <f>HYPERLINK("https://www.philgeps.gov.ph/GEPSNONPILOT/Tender/SplashBidNoticeAbstractUI.aspx?menuIndex=3&amp;refID=7108786&amp;Result=3","7108786")</f>
        <v>0</v>
      </c>
      <c r="B13960" t="s">
        <v>56</v>
      </c>
      <c r="C13960" t="s">
        <v>17051</v>
      </c>
      <c r="D13960" t="s">
        <v>17952</v>
      </c>
      <c r="E13960" t="s">
        <v>30086</v>
      </c>
      <c r="F13960" t="s">
        <v>30900</v>
      </c>
      <c r="G13960" t="s">
        <v>30907</v>
      </c>
      <c r="H13960" t="s">
        <v>30916</v>
      </c>
      <c r="I13960" t="s">
        <v>30918</v>
      </c>
      <c r="J13960" t="s">
        <v>31243</v>
      </c>
      <c r="K13960" t="s">
        <v>40294</v>
      </c>
      <c r="M13960" t="s">
        <v>40602</v>
      </c>
      <c r="N13960" t="s">
        <v>44759</v>
      </c>
      <c r="O13960" t="s">
        <v>44760</v>
      </c>
      <c r="Q13960">
        <v>6</v>
      </c>
      <c r="R13960" t="s">
        <v>44782</v>
      </c>
      <c r="S13960" t="s">
        <v>45894</v>
      </c>
      <c r="T13960" t="s">
        <v>46581</v>
      </c>
      <c r="U13960" t="s">
        <v>58365</v>
      </c>
      <c r="V13960" t="s">
        <v>59101</v>
      </c>
      <c r="W13960" t="s">
        <v>40602</v>
      </c>
      <c r="X13960" t="s">
        <v>44783</v>
      </c>
    </row>
    <row r="13961" spans="1:24">
      <c r="A13961">
        <f>HYPERLINK("https://www.philgeps.gov.ph/GEPSNONPILOT/Tender/SplashBidNoticeAbstractUI.aspx?menuIndex=3&amp;refID=7109592&amp;Result=3","7109592")</f>
        <v>0</v>
      </c>
      <c r="B13961" t="s">
        <v>372</v>
      </c>
      <c r="C13961" t="s">
        <v>17052</v>
      </c>
      <c r="D13961" t="s">
        <v>17968</v>
      </c>
      <c r="E13961" t="s">
        <v>30087</v>
      </c>
      <c r="F13961" t="s">
        <v>30900</v>
      </c>
      <c r="G13961" t="s">
        <v>30907</v>
      </c>
      <c r="H13961" t="s">
        <v>30915</v>
      </c>
      <c r="I13961" t="s">
        <v>30919</v>
      </c>
      <c r="J13961" t="s">
        <v>39703</v>
      </c>
      <c r="K13961" t="s">
        <v>40292</v>
      </c>
      <c r="M13961" t="s">
        <v>43876</v>
      </c>
      <c r="N13961" t="s">
        <v>44759</v>
      </c>
      <c r="O13961" t="s">
        <v>44760</v>
      </c>
      <c r="P13961">
        <v>0</v>
      </c>
      <c r="Q13961">
        <v>0</v>
      </c>
      <c r="R13961" t="s">
        <v>44782</v>
      </c>
      <c r="S13961" t="s">
        <v>45846</v>
      </c>
      <c r="T13961" t="s">
        <v>46658</v>
      </c>
      <c r="U13961" t="s">
        <v>58366</v>
      </c>
      <c r="W13961" t="s">
        <v>43876</v>
      </c>
      <c r="X13961" t="s">
        <v>44783</v>
      </c>
    </row>
    <row r="13962" spans="1:24">
      <c r="A13962">
        <f>HYPERLINK("https://www.philgeps.gov.ph/GEPSNONPILOT/Tender/SplashBidNoticeAbstractUI.aspx?menuIndex=3&amp;refID=7109666&amp;Result=3","7109666")</f>
        <v>0</v>
      </c>
      <c r="B13962" t="s">
        <v>372</v>
      </c>
      <c r="C13962" t="s">
        <v>17053</v>
      </c>
      <c r="D13962" t="s">
        <v>17968</v>
      </c>
      <c r="E13962" t="s">
        <v>30088</v>
      </c>
      <c r="F13962" t="s">
        <v>30900</v>
      </c>
      <c r="G13962" t="s">
        <v>30907</v>
      </c>
      <c r="H13962" t="s">
        <v>30915</v>
      </c>
      <c r="I13962" t="s">
        <v>30919</v>
      </c>
      <c r="J13962" t="s">
        <v>39704</v>
      </c>
      <c r="K13962" t="s">
        <v>40280</v>
      </c>
      <c r="M13962" t="s">
        <v>43876</v>
      </c>
      <c r="N13962" t="s">
        <v>44759</v>
      </c>
      <c r="O13962" t="s">
        <v>44760</v>
      </c>
      <c r="P13962">
        <v>0</v>
      </c>
      <c r="Q13962">
        <v>0</v>
      </c>
      <c r="R13962" t="s">
        <v>44782</v>
      </c>
      <c r="S13962" t="s">
        <v>45846</v>
      </c>
      <c r="T13962" t="s">
        <v>46658</v>
      </c>
      <c r="U13962" t="s">
        <v>58367</v>
      </c>
      <c r="W13962" t="s">
        <v>43876</v>
      </c>
      <c r="X13962" t="s">
        <v>44783</v>
      </c>
    </row>
    <row r="13963" spans="1:24">
      <c r="A13963">
        <f>HYPERLINK("https://www.philgeps.gov.ph/GEPSNONPILOT/Tender/SplashBidNoticeAbstractUI.aspx?menuIndex=3&amp;refID=7109566&amp;Result=3","7109566")</f>
        <v>0</v>
      </c>
      <c r="B13963" t="s">
        <v>380</v>
      </c>
      <c r="C13963" t="s">
        <v>17054</v>
      </c>
      <c r="D13963" t="s">
        <v>18003</v>
      </c>
      <c r="E13963" t="s">
        <v>30089</v>
      </c>
      <c r="F13963" t="s">
        <v>30900</v>
      </c>
      <c r="G13963" t="s">
        <v>30907</v>
      </c>
      <c r="H13963" t="s">
        <v>30915</v>
      </c>
      <c r="I13963" t="s">
        <v>30919</v>
      </c>
      <c r="J13963" t="s">
        <v>38097</v>
      </c>
      <c r="K13963" t="s">
        <v>40304</v>
      </c>
      <c r="M13963" t="s">
        <v>40934</v>
      </c>
      <c r="N13963" t="s">
        <v>44759</v>
      </c>
      <c r="O13963" t="s">
        <v>44760</v>
      </c>
      <c r="P13963">
        <v>0</v>
      </c>
      <c r="Q13963">
        <v>4</v>
      </c>
      <c r="R13963" t="s">
        <v>44782</v>
      </c>
      <c r="S13963" t="s">
        <v>45846</v>
      </c>
      <c r="T13963" t="s">
        <v>46426</v>
      </c>
      <c r="U13963" t="s">
        <v>58346</v>
      </c>
      <c r="W13963" t="s">
        <v>40934</v>
      </c>
      <c r="X13963" t="s">
        <v>44783</v>
      </c>
    </row>
    <row r="13964" spans="1:24">
      <c r="A13964">
        <f>HYPERLINK("https://www.philgeps.gov.ph/GEPSNONPILOT/Tender/SplashBidNoticeAbstractUI.aspx?menuIndex=3&amp;refID=7109645&amp;Result=3","7109645")</f>
        <v>0</v>
      </c>
      <c r="B13964" t="s">
        <v>372</v>
      </c>
      <c r="C13964" t="s">
        <v>17055</v>
      </c>
      <c r="D13964" t="s">
        <v>17968</v>
      </c>
      <c r="E13964" t="s">
        <v>30090</v>
      </c>
      <c r="F13964" t="s">
        <v>30900</v>
      </c>
      <c r="G13964" t="s">
        <v>30907</v>
      </c>
      <c r="H13964" t="s">
        <v>30915</v>
      </c>
      <c r="I13964" t="s">
        <v>30919</v>
      </c>
      <c r="J13964" t="s">
        <v>39705</v>
      </c>
      <c r="K13964" t="s">
        <v>40280</v>
      </c>
      <c r="M13964" t="s">
        <v>43876</v>
      </c>
      <c r="N13964" t="s">
        <v>44759</v>
      </c>
      <c r="O13964" t="s">
        <v>44760</v>
      </c>
      <c r="P13964">
        <v>0</v>
      </c>
      <c r="Q13964">
        <v>0</v>
      </c>
      <c r="R13964" t="s">
        <v>44782</v>
      </c>
      <c r="S13964" t="s">
        <v>45846</v>
      </c>
      <c r="T13964" t="s">
        <v>46658</v>
      </c>
      <c r="U13964" t="s">
        <v>58368</v>
      </c>
      <c r="W13964" t="s">
        <v>43876</v>
      </c>
      <c r="X13964" t="s">
        <v>44783</v>
      </c>
    </row>
    <row r="13965" spans="1:24">
      <c r="A13965">
        <f>HYPERLINK("https://www.philgeps.gov.ph/GEPSNONPILOT/Tender/SplashBidNoticeAbstractUI.aspx?menuIndex=3&amp;refID=7109871&amp;Result=3","7109871")</f>
        <v>0</v>
      </c>
      <c r="B13965" t="s">
        <v>2819</v>
      </c>
      <c r="C13965" t="s">
        <v>17056</v>
      </c>
      <c r="E13965" t="s">
        <v>30091</v>
      </c>
      <c r="F13965" t="s">
        <v>30900</v>
      </c>
      <c r="G13965" t="s">
        <v>30907</v>
      </c>
      <c r="H13965" t="s">
        <v>30915</v>
      </c>
      <c r="I13965" t="s">
        <v>30919</v>
      </c>
      <c r="J13965" t="s">
        <v>39706</v>
      </c>
      <c r="K13965" t="s">
        <v>40280</v>
      </c>
      <c r="M13965" t="s">
        <v>43604</v>
      </c>
      <c r="N13965" t="s">
        <v>44759</v>
      </c>
      <c r="O13965" t="s">
        <v>44760</v>
      </c>
      <c r="P13965">
        <v>0</v>
      </c>
      <c r="Q13965">
        <v>0</v>
      </c>
      <c r="R13965" t="s">
        <v>44782</v>
      </c>
      <c r="S13965" t="s">
        <v>45846</v>
      </c>
      <c r="T13965" t="s">
        <v>46625</v>
      </c>
      <c r="U13965" t="s">
        <v>58369</v>
      </c>
      <c r="W13965" t="s">
        <v>43604</v>
      </c>
      <c r="X13965" t="s">
        <v>44783</v>
      </c>
    </row>
    <row r="13966" spans="1:24">
      <c r="A13966">
        <f>HYPERLINK("https://www.philgeps.gov.ph/GEPSNONPILOT/Tender/SplashBidNoticeAbstractUI.aspx?menuIndex=3&amp;refID=7108778&amp;Result=3","7108778")</f>
        <v>0</v>
      </c>
      <c r="B13966" t="s">
        <v>524</v>
      </c>
      <c r="C13966" t="s">
        <v>17057</v>
      </c>
      <c r="D13966" t="s">
        <v>17959</v>
      </c>
      <c r="E13966" t="s">
        <v>30092</v>
      </c>
      <c r="F13966" t="s">
        <v>30900</v>
      </c>
      <c r="G13966" t="s">
        <v>30907</v>
      </c>
      <c r="H13966" t="s">
        <v>30916</v>
      </c>
      <c r="I13966" t="s">
        <v>30923</v>
      </c>
      <c r="J13966" t="s">
        <v>31828</v>
      </c>
      <c r="K13966" t="s">
        <v>40289</v>
      </c>
      <c r="M13966" t="s">
        <v>41084</v>
      </c>
      <c r="N13966" t="s">
        <v>44759</v>
      </c>
      <c r="O13966" t="s">
        <v>44760</v>
      </c>
      <c r="P13966">
        <v>0</v>
      </c>
      <c r="Q13966">
        <v>16</v>
      </c>
      <c r="R13966" t="s">
        <v>44782</v>
      </c>
      <c r="S13966" t="s">
        <v>45846</v>
      </c>
      <c r="T13966" t="s">
        <v>46625</v>
      </c>
      <c r="U13966" t="s">
        <v>58370</v>
      </c>
      <c r="W13966" t="s">
        <v>41084</v>
      </c>
      <c r="X13966" t="s">
        <v>44783</v>
      </c>
    </row>
    <row r="13967" spans="1:24">
      <c r="A13967">
        <f>HYPERLINK("https://www.philgeps.gov.ph/GEPSNONPILOT/Tender/SplashBidNoticeAbstractUI.aspx?menuIndex=3&amp;refID=7109856&amp;Result=3","7109856")</f>
        <v>0</v>
      </c>
      <c r="B13967" t="s">
        <v>2819</v>
      </c>
      <c r="C13967" t="s">
        <v>17058</v>
      </c>
      <c r="E13967" t="s">
        <v>30093</v>
      </c>
      <c r="F13967" t="s">
        <v>30900</v>
      </c>
      <c r="G13967" t="s">
        <v>30907</v>
      </c>
      <c r="H13967" t="s">
        <v>30915</v>
      </c>
      <c r="I13967" t="s">
        <v>30919</v>
      </c>
      <c r="J13967" t="s">
        <v>39707</v>
      </c>
      <c r="K13967" t="s">
        <v>40289</v>
      </c>
      <c r="M13967" t="s">
        <v>43604</v>
      </c>
      <c r="N13967" t="s">
        <v>44759</v>
      </c>
      <c r="O13967" t="s">
        <v>44760</v>
      </c>
      <c r="P13967">
        <v>0</v>
      </c>
      <c r="Q13967">
        <v>0</v>
      </c>
      <c r="R13967" t="s">
        <v>44782</v>
      </c>
      <c r="S13967" t="s">
        <v>45846</v>
      </c>
      <c r="T13967" t="s">
        <v>46625</v>
      </c>
      <c r="U13967" t="s">
        <v>58371</v>
      </c>
      <c r="W13967" t="s">
        <v>43604</v>
      </c>
      <c r="X13967" t="s">
        <v>44783</v>
      </c>
    </row>
    <row r="13968" spans="1:24">
      <c r="A13968">
        <f>HYPERLINK("https://www.philgeps.gov.ph/GEPSNONPILOT/Tender/SplashBidNoticeAbstractUI.aspx?menuIndex=3&amp;refID=7109847&amp;Result=3","7109847")</f>
        <v>0</v>
      </c>
      <c r="B13968" t="s">
        <v>2819</v>
      </c>
      <c r="C13968" t="s">
        <v>17059</v>
      </c>
      <c r="E13968" t="s">
        <v>30094</v>
      </c>
      <c r="F13968" t="s">
        <v>30900</v>
      </c>
      <c r="G13968" t="s">
        <v>30907</v>
      </c>
      <c r="H13968" t="s">
        <v>30916</v>
      </c>
      <c r="I13968" t="s">
        <v>30928</v>
      </c>
      <c r="J13968" t="s">
        <v>39708</v>
      </c>
      <c r="K13968" t="s">
        <v>40289</v>
      </c>
      <c r="M13968" t="s">
        <v>43604</v>
      </c>
      <c r="N13968" t="s">
        <v>44759</v>
      </c>
      <c r="O13968" t="s">
        <v>44760</v>
      </c>
      <c r="P13968">
        <v>0</v>
      </c>
      <c r="Q13968">
        <v>8</v>
      </c>
      <c r="R13968" t="s">
        <v>44782</v>
      </c>
      <c r="S13968" t="s">
        <v>45846</v>
      </c>
      <c r="T13968" t="s">
        <v>46625</v>
      </c>
      <c r="U13968" t="s">
        <v>58372</v>
      </c>
      <c r="W13968" t="s">
        <v>43604</v>
      </c>
      <c r="X13968" t="s">
        <v>44783</v>
      </c>
    </row>
    <row r="13969" spans="1:24">
      <c r="A13969">
        <f>HYPERLINK("https://www.philgeps.gov.ph/GEPSNONPILOT/Tender/SplashBidNoticeAbstractUI.aspx?menuIndex=3&amp;refID=7109573&amp;Result=3","7109573")</f>
        <v>0</v>
      </c>
      <c r="B13969" t="s">
        <v>937</v>
      </c>
      <c r="C13969" t="s">
        <v>17060</v>
      </c>
      <c r="D13969" t="s">
        <v>17998</v>
      </c>
      <c r="E13969" t="s">
        <v>30095</v>
      </c>
      <c r="F13969" t="s">
        <v>30900</v>
      </c>
      <c r="G13969" t="s">
        <v>30907</v>
      </c>
      <c r="H13969" t="s">
        <v>30916</v>
      </c>
      <c r="I13969" t="s">
        <v>30932</v>
      </c>
      <c r="J13969" t="s">
        <v>39709</v>
      </c>
      <c r="K13969" t="s">
        <v>40289</v>
      </c>
      <c r="M13969" t="s">
        <v>41520</v>
      </c>
      <c r="N13969" t="s">
        <v>44759</v>
      </c>
      <c r="O13969" t="s">
        <v>44760</v>
      </c>
      <c r="P13969">
        <v>0</v>
      </c>
      <c r="Q13969">
        <v>6</v>
      </c>
      <c r="R13969" t="s">
        <v>44782</v>
      </c>
      <c r="S13969" t="s">
        <v>45846</v>
      </c>
      <c r="T13969" t="s">
        <v>46387</v>
      </c>
      <c r="U13969" t="s">
        <v>58363</v>
      </c>
      <c r="W13969" t="s">
        <v>41520</v>
      </c>
      <c r="X13969" t="s">
        <v>44783</v>
      </c>
    </row>
    <row r="13970" spans="1:24">
      <c r="A13970">
        <f>HYPERLINK("https://www.philgeps.gov.ph/GEPSNONPILOT/Tender/SplashBidNoticeAbstractUI.aspx?menuIndex=3&amp;refID=7109860&amp;Result=3","7109860")</f>
        <v>0</v>
      </c>
      <c r="B13970" t="s">
        <v>2819</v>
      </c>
      <c r="C13970" t="s">
        <v>17061</v>
      </c>
      <c r="E13970" t="s">
        <v>30096</v>
      </c>
      <c r="F13970" t="s">
        <v>30900</v>
      </c>
      <c r="G13970" t="s">
        <v>30907</v>
      </c>
      <c r="H13970" t="s">
        <v>30915</v>
      </c>
      <c r="I13970" t="s">
        <v>30919</v>
      </c>
      <c r="J13970" t="s">
        <v>39710</v>
      </c>
      <c r="K13970" t="s">
        <v>40289</v>
      </c>
      <c r="M13970" t="s">
        <v>43604</v>
      </c>
      <c r="N13970" t="s">
        <v>44759</v>
      </c>
      <c r="O13970" t="s">
        <v>44760</v>
      </c>
      <c r="P13970">
        <v>0</v>
      </c>
      <c r="Q13970">
        <v>0</v>
      </c>
      <c r="R13970" t="s">
        <v>44782</v>
      </c>
      <c r="S13970" t="s">
        <v>45846</v>
      </c>
      <c r="T13970" t="s">
        <v>46625</v>
      </c>
      <c r="U13970" t="s">
        <v>58373</v>
      </c>
      <c r="W13970" t="s">
        <v>43604</v>
      </c>
      <c r="X13970" t="s">
        <v>44783</v>
      </c>
    </row>
    <row r="13971" spans="1:24">
      <c r="A13971">
        <f>HYPERLINK("https://www.philgeps.gov.ph/GEPSNONPILOT/Tender/SplashBidNoticeAbstractUI.aspx?menuIndex=3&amp;refID=7109835&amp;Result=3","7109835")</f>
        <v>0</v>
      </c>
      <c r="B13971" t="s">
        <v>3686</v>
      </c>
      <c r="C13971" t="s">
        <v>17062</v>
      </c>
      <c r="D13971" t="s">
        <v>17999</v>
      </c>
      <c r="E13971" t="s">
        <v>30097</v>
      </c>
      <c r="F13971" t="s">
        <v>30900</v>
      </c>
      <c r="G13971" t="s">
        <v>30907</v>
      </c>
      <c r="H13971" t="s">
        <v>30916</v>
      </c>
      <c r="I13971" t="s">
        <v>30933</v>
      </c>
      <c r="J13971" t="s">
        <v>31241</v>
      </c>
      <c r="K13971" t="s">
        <v>40319</v>
      </c>
      <c r="M13971" t="s">
        <v>44641</v>
      </c>
      <c r="N13971" t="s">
        <v>44759</v>
      </c>
      <c r="O13971" t="s">
        <v>44760</v>
      </c>
      <c r="P13971">
        <v>0</v>
      </c>
      <c r="Q13971">
        <v>12</v>
      </c>
      <c r="R13971" t="s">
        <v>44782</v>
      </c>
      <c r="S13971" t="s">
        <v>45846</v>
      </c>
      <c r="T13971" t="s">
        <v>46389</v>
      </c>
      <c r="U13971" t="s">
        <v>58374</v>
      </c>
      <c r="W13971" t="s">
        <v>44641</v>
      </c>
      <c r="X13971" t="s">
        <v>44783</v>
      </c>
    </row>
    <row r="13972" spans="1:24">
      <c r="A13972">
        <f>HYPERLINK("https://www.philgeps.gov.ph/GEPSNONPILOT/Tender/SplashBidNoticeAbstractUI.aspx?menuIndex=3&amp;refID=7109854&amp;Result=3","7109854")</f>
        <v>0</v>
      </c>
      <c r="B13972" t="s">
        <v>2819</v>
      </c>
      <c r="C13972" t="s">
        <v>17063</v>
      </c>
      <c r="E13972" t="s">
        <v>30098</v>
      </c>
      <c r="F13972" t="s">
        <v>30900</v>
      </c>
      <c r="G13972" t="s">
        <v>30907</v>
      </c>
      <c r="H13972" t="s">
        <v>30915</v>
      </c>
      <c r="I13972" t="s">
        <v>30919</v>
      </c>
      <c r="J13972" t="s">
        <v>39711</v>
      </c>
      <c r="K13972" t="s">
        <v>40289</v>
      </c>
      <c r="M13972" t="s">
        <v>43604</v>
      </c>
      <c r="N13972" t="s">
        <v>44759</v>
      </c>
      <c r="O13972" t="s">
        <v>44760</v>
      </c>
      <c r="P13972">
        <v>0</v>
      </c>
      <c r="Q13972">
        <v>0</v>
      </c>
      <c r="R13972" t="s">
        <v>44782</v>
      </c>
      <c r="S13972" t="s">
        <v>45846</v>
      </c>
      <c r="T13972" t="s">
        <v>46625</v>
      </c>
      <c r="U13972" t="s">
        <v>58375</v>
      </c>
      <c r="W13972" t="s">
        <v>43604</v>
      </c>
      <c r="X13972" t="s">
        <v>44783</v>
      </c>
    </row>
    <row r="13973" spans="1:24">
      <c r="A13973">
        <f>HYPERLINK("https://www.philgeps.gov.ph/GEPSNONPILOT/Tender/SplashBidNoticeAbstractUI.aspx?menuIndex=3&amp;refID=7109843&amp;Result=3","7109843")</f>
        <v>0</v>
      </c>
      <c r="B13973" t="s">
        <v>2819</v>
      </c>
      <c r="C13973" t="s">
        <v>17064</v>
      </c>
      <c r="E13973" t="s">
        <v>30099</v>
      </c>
      <c r="F13973" t="s">
        <v>30900</v>
      </c>
      <c r="G13973" t="s">
        <v>30907</v>
      </c>
      <c r="H13973" t="s">
        <v>30916</v>
      </c>
      <c r="I13973" t="s">
        <v>4017</v>
      </c>
      <c r="J13973" t="s">
        <v>31130</v>
      </c>
      <c r="K13973" t="s">
        <v>40289</v>
      </c>
      <c r="M13973" t="s">
        <v>43604</v>
      </c>
      <c r="N13973" t="s">
        <v>44759</v>
      </c>
      <c r="O13973" t="s">
        <v>44760</v>
      </c>
      <c r="P13973">
        <v>0</v>
      </c>
      <c r="Q13973">
        <v>14</v>
      </c>
      <c r="R13973" t="s">
        <v>44782</v>
      </c>
      <c r="S13973" t="s">
        <v>45846</v>
      </c>
      <c r="T13973" t="s">
        <v>46625</v>
      </c>
      <c r="U13973" t="s">
        <v>58376</v>
      </c>
      <c r="W13973" t="s">
        <v>43604</v>
      </c>
      <c r="X13973" t="s">
        <v>44783</v>
      </c>
    </row>
    <row r="13974" spans="1:24">
      <c r="A13974">
        <f>HYPERLINK("https://www.philgeps.gov.ph/GEPSNONPILOT/Tender/SplashBidNoticeAbstractUI.aspx?menuIndex=3&amp;refID=7109820&amp;Result=3","7109820")</f>
        <v>0</v>
      </c>
      <c r="B13974" t="s">
        <v>2930</v>
      </c>
      <c r="C13974" t="s">
        <v>17065</v>
      </c>
      <c r="D13974" t="s">
        <v>17985</v>
      </c>
      <c r="E13974" t="s">
        <v>30100</v>
      </c>
      <c r="F13974" t="s">
        <v>30900</v>
      </c>
      <c r="G13974" t="s">
        <v>30907</v>
      </c>
      <c r="H13974" t="s">
        <v>30915</v>
      </c>
      <c r="I13974" t="s">
        <v>30919</v>
      </c>
      <c r="J13974" t="s">
        <v>39712</v>
      </c>
      <c r="K13974" t="s">
        <v>40304</v>
      </c>
      <c r="M13974" t="s">
        <v>43726</v>
      </c>
      <c r="N13974" t="s">
        <v>44759</v>
      </c>
      <c r="O13974" t="s">
        <v>44760</v>
      </c>
      <c r="P13974">
        <v>0</v>
      </c>
      <c r="Q13974">
        <v>0</v>
      </c>
      <c r="R13974" t="s">
        <v>44782</v>
      </c>
      <c r="S13974" t="s">
        <v>45846</v>
      </c>
      <c r="T13974" t="s">
        <v>46709</v>
      </c>
      <c r="U13974" t="s">
        <v>58377</v>
      </c>
      <c r="W13974" t="s">
        <v>43726</v>
      </c>
      <c r="X13974" t="s">
        <v>44783</v>
      </c>
    </row>
    <row r="13975" spans="1:24">
      <c r="A13975">
        <f>HYPERLINK("https://www.philgeps.gov.ph/GEPSNONPILOT/Tender/SplashBidNoticeAbstractUI.aspx?menuIndex=3&amp;refID=7109834&amp;Result=3","7109834")</f>
        <v>0</v>
      </c>
      <c r="B13975" t="s">
        <v>2930</v>
      </c>
      <c r="C13975" t="s">
        <v>17066</v>
      </c>
      <c r="D13975" t="s">
        <v>17985</v>
      </c>
      <c r="E13975" t="s">
        <v>30101</v>
      </c>
      <c r="F13975" t="s">
        <v>30900</v>
      </c>
      <c r="G13975" t="s">
        <v>30907</v>
      </c>
      <c r="H13975" t="s">
        <v>30915</v>
      </c>
      <c r="I13975" t="s">
        <v>30919</v>
      </c>
      <c r="J13975" t="s">
        <v>39713</v>
      </c>
      <c r="K13975" t="s">
        <v>40304</v>
      </c>
      <c r="M13975" t="s">
        <v>43726</v>
      </c>
      <c r="N13975" t="s">
        <v>44759</v>
      </c>
      <c r="O13975" t="s">
        <v>44760</v>
      </c>
      <c r="P13975">
        <v>0</v>
      </c>
      <c r="Q13975">
        <v>0</v>
      </c>
      <c r="R13975" t="s">
        <v>44782</v>
      </c>
      <c r="S13975" t="s">
        <v>45846</v>
      </c>
      <c r="T13975" t="s">
        <v>46709</v>
      </c>
      <c r="U13975" t="s">
        <v>58378</v>
      </c>
      <c r="W13975" t="s">
        <v>43726</v>
      </c>
      <c r="X13975" t="s">
        <v>44783</v>
      </c>
    </row>
    <row r="13976" spans="1:24">
      <c r="A13976">
        <f>HYPERLINK("https://www.philgeps.gov.ph/GEPSNONPILOT/Tender/SplashBidNoticeAbstractUI.aspx?menuIndex=3&amp;refID=7109822&amp;Result=3","7109822")</f>
        <v>0</v>
      </c>
      <c r="B13976" t="s">
        <v>2862</v>
      </c>
      <c r="C13976" t="s">
        <v>17067</v>
      </c>
      <c r="D13976" t="s">
        <v>17955</v>
      </c>
      <c r="E13976" t="s">
        <v>30102</v>
      </c>
      <c r="F13976" t="s">
        <v>30900</v>
      </c>
      <c r="G13976" t="s">
        <v>30906</v>
      </c>
      <c r="H13976" t="s">
        <v>30916</v>
      </c>
      <c r="I13976" t="s">
        <v>30942</v>
      </c>
      <c r="J13976" t="s">
        <v>39714</v>
      </c>
      <c r="K13976" t="s">
        <v>40280</v>
      </c>
      <c r="M13976" t="s">
        <v>44642</v>
      </c>
      <c r="N13976" t="s">
        <v>44759</v>
      </c>
      <c r="O13976" t="s">
        <v>44760</v>
      </c>
      <c r="Q13976">
        <v>4</v>
      </c>
      <c r="R13976" t="s">
        <v>44782</v>
      </c>
      <c r="S13976" t="s">
        <v>45340</v>
      </c>
      <c r="T13976" t="s">
        <v>46519</v>
      </c>
      <c r="U13976" t="s">
        <v>58379</v>
      </c>
      <c r="W13976" t="s">
        <v>44642</v>
      </c>
      <c r="X13976" t="s">
        <v>44783</v>
      </c>
    </row>
    <row r="13977" spans="1:24">
      <c r="A13977">
        <f>HYPERLINK("https://www.philgeps.gov.ph/GEPSNONPILOT/Tender/SplashBidNoticeAbstractUI.aspx?menuIndex=3&amp;refID=7109816&amp;Result=3","7109816")</f>
        <v>0</v>
      </c>
      <c r="B13977" t="s">
        <v>1088</v>
      </c>
      <c r="C13977" t="s">
        <v>17068</v>
      </c>
      <c r="E13977" t="s">
        <v>30103</v>
      </c>
      <c r="F13977" t="s">
        <v>30900</v>
      </c>
      <c r="G13977" t="s">
        <v>30907</v>
      </c>
      <c r="H13977" t="s">
        <v>30916</v>
      </c>
      <c r="I13977" t="s">
        <v>10961</v>
      </c>
      <c r="J13977" t="s">
        <v>39715</v>
      </c>
      <c r="K13977" t="s">
        <v>40292</v>
      </c>
      <c r="M13977" t="s">
        <v>44643</v>
      </c>
      <c r="N13977" t="s">
        <v>44759</v>
      </c>
      <c r="O13977" t="s">
        <v>44760</v>
      </c>
      <c r="Q13977">
        <v>22</v>
      </c>
      <c r="R13977" t="s">
        <v>44782</v>
      </c>
      <c r="S13977" t="s">
        <v>45895</v>
      </c>
      <c r="T13977" t="s">
        <v>46581</v>
      </c>
      <c r="U13977" t="s">
        <v>58380</v>
      </c>
      <c r="W13977" t="s">
        <v>44643</v>
      </c>
      <c r="X13977" t="s">
        <v>44783</v>
      </c>
    </row>
    <row r="13978" spans="1:24">
      <c r="A13978">
        <f>HYPERLINK("https://www.philgeps.gov.ph/GEPSNONPILOT/Tender/SplashBidNoticeAbstractUI.aspx?menuIndex=3&amp;refID=7109791&amp;Result=3","7109791")</f>
        <v>0</v>
      </c>
      <c r="B13978" t="s">
        <v>2930</v>
      </c>
      <c r="C13978" t="s">
        <v>17069</v>
      </c>
      <c r="D13978" t="s">
        <v>17985</v>
      </c>
      <c r="E13978" t="s">
        <v>30104</v>
      </c>
      <c r="F13978" t="s">
        <v>30900</v>
      </c>
      <c r="G13978" t="s">
        <v>30907</v>
      </c>
      <c r="H13978" t="s">
        <v>30915</v>
      </c>
      <c r="I13978" t="s">
        <v>30919</v>
      </c>
      <c r="J13978" t="s">
        <v>39716</v>
      </c>
      <c r="K13978" t="s">
        <v>40304</v>
      </c>
      <c r="M13978" t="s">
        <v>43726</v>
      </c>
      <c r="N13978" t="s">
        <v>44759</v>
      </c>
      <c r="O13978" t="s">
        <v>44760</v>
      </c>
      <c r="P13978">
        <v>0</v>
      </c>
      <c r="Q13978">
        <v>1</v>
      </c>
      <c r="R13978" t="s">
        <v>44782</v>
      </c>
      <c r="S13978" t="s">
        <v>45846</v>
      </c>
      <c r="T13978" t="s">
        <v>46709</v>
      </c>
      <c r="U13978" t="s">
        <v>58381</v>
      </c>
      <c r="W13978" t="s">
        <v>43726</v>
      </c>
      <c r="X13978" t="s">
        <v>44783</v>
      </c>
    </row>
    <row r="13979" spans="1:24">
      <c r="A13979">
        <f>HYPERLINK("https://www.philgeps.gov.ph/GEPSNONPILOT/Tender/SplashBidNoticeAbstractUI.aspx?menuIndex=3&amp;refID=7109786&amp;Result=3","7109786")</f>
        <v>0</v>
      </c>
      <c r="B13979" t="s">
        <v>2930</v>
      </c>
      <c r="C13979" t="s">
        <v>17070</v>
      </c>
      <c r="D13979" t="s">
        <v>17985</v>
      </c>
      <c r="E13979" t="s">
        <v>30105</v>
      </c>
      <c r="F13979" t="s">
        <v>30900</v>
      </c>
      <c r="G13979" t="s">
        <v>30907</v>
      </c>
      <c r="H13979" t="s">
        <v>30915</v>
      </c>
      <c r="I13979" t="s">
        <v>30919</v>
      </c>
      <c r="J13979" t="s">
        <v>39717</v>
      </c>
      <c r="K13979" t="s">
        <v>40342</v>
      </c>
      <c r="M13979" t="s">
        <v>43726</v>
      </c>
      <c r="N13979" t="s">
        <v>44759</v>
      </c>
      <c r="O13979" t="s">
        <v>44760</v>
      </c>
      <c r="P13979">
        <v>0</v>
      </c>
      <c r="Q13979">
        <v>1</v>
      </c>
      <c r="R13979" t="s">
        <v>44782</v>
      </c>
      <c r="S13979" t="s">
        <v>45846</v>
      </c>
      <c r="T13979" t="s">
        <v>46709</v>
      </c>
      <c r="U13979" t="s">
        <v>58382</v>
      </c>
      <c r="W13979" t="s">
        <v>43726</v>
      </c>
      <c r="X13979" t="s">
        <v>44783</v>
      </c>
    </row>
    <row r="13980" spans="1:24">
      <c r="A13980">
        <f>HYPERLINK("https://www.philgeps.gov.ph/GEPSNONPILOT/Tender/SplashBidNoticeAbstractUI.aspx?menuIndex=3&amp;refID=7109783&amp;Result=3","7109783")</f>
        <v>0</v>
      </c>
      <c r="B13980" t="s">
        <v>1170</v>
      </c>
      <c r="C13980" t="s">
        <v>17071</v>
      </c>
      <c r="D13980" t="s">
        <v>18010</v>
      </c>
      <c r="E13980" t="s">
        <v>21927</v>
      </c>
      <c r="F13980" t="s">
        <v>30900</v>
      </c>
      <c r="G13980" t="s">
        <v>30907</v>
      </c>
      <c r="H13980" t="s">
        <v>30916</v>
      </c>
      <c r="I13980" t="s">
        <v>30919</v>
      </c>
      <c r="J13980" t="s">
        <v>39718</v>
      </c>
      <c r="K13980" t="s">
        <v>40286</v>
      </c>
      <c r="M13980" t="s">
        <v>41777</v>
      </c>
      <c r="N13980" t="s">
        <v>44759</v>
      </c>
      <c r="O13980" t="s">
        <v>44760</v>
      </c>
      <c r="Q13980">
        <v>45</v>
      </c>
      <c r="R13980" t="s">
        <v>44782</v>
      </c>
      <c r="S13980" t="s">
        <v>44970</v>
      </c>
      <c r="T13980" t="s">
        <v>46548</v>
      </c>
      <c r="U13980" t="s">
        <v>58383</v>
      </c>
      <c r="W13980" t="s">
        <v>41777</v>
      </c>
      <c r="X13980" t="s">
        <v>44783</v>
      </c>
    </row>
    <row r="13981" spans="1:24">
      <c r="A13981">
        <f>HYPERLINK("https://www.philgeps.gov.ph/GEPSNONPILOT/Tender/SplashBidNoticeAbstractUI.aspx?menuIndex=3&amp;refID=7109776&amp;Result=3","7109776")</f>
        <v>0</v>
      </c>
      <c r="B13981" t="s">
        <v>177</v>
      </c>
      <c r="C13981" t="s">
        <v>11360</v>
      </c>
      <c r="D13981" t="s">
        <v>17999</v>
      </c>
      <c r="E13981" t="s">
        <v>30106</v>
      </c>
      <c r="F13981" t="s">
        <v>30900</v>
      </c>
      <c r="G13981" t="s">
        <v>30907</v>
      </c>
      <c r="H13981" t="s">
        <v>30916</v>
      </c>
      <c r="I13981" t="s">
        <v>30933</v>
      </c>
      <c r="J13981" t="s">
        <v>31577</v>
      </c>
      <c r="K13981" t="s">
        <v>40283</v>
      </c>
      <c r="M13981" t="s">
        <v>40724</v>
      </c>
      <c r="N13981" t="s">
        <v>44759</v>
      </c>
      <c r="O13981" t="s">
        <v>44760</v>
      </c>
      <c r="Q13981">
        <v>8</v>
      </c>
      <c r="R13981" t="s">
        <v>44782</v>
      </c>
      <c r="S13981" t="s">
        <v>45896</v>
      </c>
      <c r="T13981" t="s">
        <v>46751</v>
      </c>
      <c r="U13981" t="s">
        <v>55324</v>
      </c>
      <c r="W13981" t="s">
        <v>40724</v>
      </c>
      <c r="X13981" t="s">
        <v>44783</v>
      </c>
    </row>
    <row r="13982" spans="1:24">
      <c r="A13982">
        <f>HYPERLINK("https://www.philgeps.gov.ph/GEPSNONPILOT/Tender/SplashBidNoticeAbstractUI.aspx?menuIndex=3&amp;refID=7109765&amp;Result=3","7109765")</f>
        <v>0</v>
      </c>
      <c r="B13982" t="s">
        <v>2930</v>
      </c>
      <c r="C13982" t="s">
        <v>17072</v>
      </c>
      <c r="D13982" t="s">
        <v>17985</v>
      </c>
      <c r="E13982" t="s">
        <v>30107</v>
      </c>
      <c r="F13982" t="s">
        <v>30900</v>
      </c>
      <c r="G13982" t="s">
        <v>30907</v>
      </c>
      <c r="H13982" t="s">
        <v>30915</v>
      </c>
      <c r="I13982" t="s">
        <v>30919</v>
      </c>
      <c r="J13982" t="s">
        <v>39719</v>
      </c>
      <c r="K13982" t="s">
        <v>40375</v>
      </c>
      <c r="M13982" t="s">
        <v>43726</v>
      </c>
      <c r="N13982" t="s">
        <v>44759</v>
      </c>
      <c r="O13982" t="s">
        <v>44760</v>
      </c>
      <c r="P13982">
        <v>0</v>
      </c>
      <c r="Q13982">
        <v>0</v>
      </c>
      <c r="R13982" t="s">
        <v>44782</v>
      </c>
      <c r="S13982" t="s">
        <v>45846</v>
      </c>
      <c r="T13982" t="s">
        <v>46709</v>
      </c>
      <c r="U13982" t="s">
        <v>58384</v>
      </c>
      <c r="W13982" t="s">
        <v>43726</v>
      </c>
      <c r="X13982" t="s">
        <v>44783</v>
      </c>
    </row>
    <row r="13983" spans="1:24">
      <c r="A13983">
        <f>HYPERLINK("https://www.philgeps.gov.ph/GEPSNONPILOT/Tender/SplashBidNoticeAbstractUI.aspx?menuIndex=3&amp;refID=7109810&amp;Result=3","7109810")</f>
        <v>0</v>
      </c>
      <c r="B13983" t="s">
        <v>1038</v>
      </c>
      <c r="C13983" t="s">
        <v>17073</v>
      </c>
      <c r="D13983" t="s">
        <v>18002</v>
      </c>
      <c r="E13983" t="s">
        <v>30108</v>
      </c>
      <c r="F13983" t="s">
        <v>30900</v>
      </c>
      <c r="G13983" t="s">
        <v>30907</v>
      </c>
      <c r="H13983" t="s">
        <v>7411</v>
      </c>
      <c r="I13983" t="s">
        <v>7411</v>
      </c>
      <c r="J13983" t="s">
        <v>39720</v>
      </c>
      <c r="K13983" t="s">
        <v>40319</v>
      </c>
      <c r="M13983" t="s">
        <v>41630</v>
      </c>
      <c r="N13983" t="s">
        <v>44759</v>
      </c>
      <c r="O13983" t="s">
        <v>44760</v>
      </c>
      <c r="P13983">
        <v>0</v>
      </c>
      <c r="Q13983">
        <v>10</v>
      </c>
      <c r="R13983" t="s">
        <v>44782</v>
      </c>
      <c r="S13983" t="s">
        <v>45846</v>
      </c>
      <c r="T13983" t="s">
        <v>46389</v>
      </c>
      <c r="U13983" t="s">
        <v>58385</v>
      </c>
      <c r="W13983" t="s">
        <v>41630</v>
      </c>
      <c r="X13983" t="s">
        <v>44783</v>
      </c>
    </row>
    <row r="13984" spans="1:24">
      <c r="A13984">
        <f>HYPERLINK("https://www.philgeps.gov.ph/GEPSNONPILOT/Tender/SplashBidNoticeAbstractUI.aspx?menuIndex=3&amp;refID=7109753&amp;Result=3","7109753")</f>
        <v>0</v>
      </c>
      <c r="B13984" t="s">
        <v>2930</v>
      </c>
      <c r="C13984" t="s">
        <v>17074</v>
      </c>
      <c r="D13984" t="s">
        <v>17985</v>
      </c>
      <c r="E13984" t="s">
        <v>30109</v>
      </c>
      <c r="F13984" t="s">
        <v>30900</v>
      </c>
      <c r="G13984" t="s">
        <v>30907</v>
      </c>
      <c r="H13984" t="s">
        <v>30915</v>
      </c>
      <c r="I13984" t="s">
        <v>30919</v>
      </c>
      <c r="J13984" t="s">
        <v>39721</v>
      </c>
      <c r="K13984" t="s">
        <v>40342</v>
      </c>
      <c r="M13984" t="s">
        <v>43726</v>
      </c>
      <c r="N13984" t="s">
        <v>44759</v>
      </c>
      <c r="O13984" t="s">
        <v>44760</v>
      </c>
      <c r="P13984">
        <v>0</v>
      </c>
      <c r="Q13984">
        <v>0</v>
      </c>
      <c r="R13984" t="s">
        <v>44782</v>
      </c>
      <c r="S13984" t="s">
        <v>45846</v>
      </c>
      <c r="T13984" t="s">
        <v>46709</v>
      </c>
      <c r="U13984" t="s">
        <v>58386</v>
      </c>
      <c r="W13984" t="s">
        <v>43726</v>
      </c>
      <c r="X13984" t="s">
        <v>44783</v>
      </c>
    </row>
    <row r="13985" spans="1:24">
      <c r="A13985">
        <f>HYPERLINK("https://www.philgeps.gov.ph/GEPSNONPILOT/Tender/SplashBidNoticeAbstractUI.aspx?menuIndex=3&amp;refID=7099626&amp;Result=3","7099626")</f>
        <v>0</v>
      </c>
      <c r="B13985" t="s">
        <v>1647</v>
      </c>
      <c r="C13985" t="s">
        <v>17075</v>
      </c>
      <c r="D13985" t="s">
        <v>18002</v>
      </c>
      <c r="E13985" t="s">
        <v>30110</v>
      </c>
      <c r="F13985" t="s">
        <v>30900</v>
      </c>
      <c r="G13985" t="s">
        <v>30907</v>
      </c>
      <c r="H13985" t="s">
        <v>30916</v>
      </c>
      <c r="I13985" t="s">
        <v>4545</v>
      </c>
      <c r="J13985" t="s">
        <v>39722</v>
      </c>
      <c r="K13985" t="s">
        <v>40293</v>
      </c>
      <c r="M13985" t="s">
        <v>42303</v>
      </c>
      <c r="N13985" t="s">
        <v>44759</v>
      </c>
      <c r="O13985" t="s">
        <v>44760</v>
      </c>
      <c r="P13985">
        <v>0</v>
      </c>
      <c r="Q13985">
        <v>11</v>
      </c>
      <c r="R13985" t="s">
        <v>44783</v>
      </c>
      <c r="S13985" t="s">
        <v>45897</v>
      </c>
      <c r="T13985" t="s">
        <v>46625</v>
      </c>
      <c r="U13985" t="s">
        <v>58387</v>
      </c>
      <c r="W13985" t="s">
        <v>60907</v>
      </c>
      <c r="X13985" t="s">
        <v>44788</v>
      </c>
    </row>
    <row r="13986" spans="1:24">
      <c r="A13986">
        <f>HYPERLINK("https://www.philgeps.gov.ph/GEPSNONPILOT/Tender/SplashBidNoticeAbstractUI.aspx?menuIndex=3&amp;refID=7091625&amp;Result=3","7091625")</f>
        <v>0</v>
      </c>
      <c r="B13986" t="s">
        <v>3431</v>
      </c>
      <c r="C13986" t="s">
        <v>17076</v>
      </c>
      <c r="D13986" t="s">
        <v>18001</v>
      </c>
      <c r="E13986" t="s">
        <v>30111</v>
      </c>
      <c r="F13986" t="s">
        <v>30900</v>
      </c>
      <c r="G13986" t="s">
        <v>30907</v>
      </c>
      <c r="H13986" t="s">
        <v>30916</v>
      </c>
      <c r="I13986" t="s">
        <v>10847</v>
      </c>
      <c r="J13986" t="s">
        <v>39723</v>
      </c>
      <c r="K13986" t="s">
        <v>40281</v>
      </c>
      <c r="M13986" t="s">
        <v>44644</v>
      </c>
      <c r="N13986" t="s">
        <v>44759</v>
      </c>
      <c r="O13986" t="s">
        <v>44760</v>
      </c>
      <c r="P13986">
        <v>0</v>
      </c>
      <c r="Q13986">
        <v>1</v>
      </c>
      <c r="R13986" t="s">
        <v>44783</v>
      </c>
      <c r="S13986" t="s">
        <v>45897</v>
      </c>
      <c r="T13986" t="s">
        <v>46607</v>
      </c>
      <c r="U13986" t="s">
        <v>58388</v>
      </c>
      <c r="W13986" t="s">
        <v>44644</v>
      </c>
      <c r="X13986" t="s">
        <v>44790</v>
      </c>
    </row>
    <row r="13987" spans="1:24">
      <c r="A13987">
        <f>HYPERLINK("https://www.philgeps.gov.ph/GEPSNONPILOT/Tender/SplashBidNoticeAbstractUI.aspx?menuIndex=3&amp;refID=7110092&amp;Result=3","7110092")</f>
        <v>0</v>
      </c>
      <c r="B13987" t="s">
        <v>924</v>
      </c>
      <c r="C13987" t="s">
        <v>17077</v>
      </c>
      <c r="D13987" t="s">
        <v>18017</v>
      </c>
      <c r="E13987" t="s">
        <v>30112</v>
      </c>
      <c r="F13987" t="s">
        <v>30900</v>
      </c>
      <c r="G13987" t="s">
        <v>30907</v>
      </c>
      <c r="H13987" t="s">
        <v>30916</v>
      </c>
      <c r="I13987" t="s">
        <v>30933</v>
      </c>
      <c r="J13987" t="s">
        <v>31391</v>
      </c>
      <c r="K13987" t="s">
        <v>40309</v>
      </c>
      <c r="M13987" t="s">
        <v>41504</v>
      </c>
      <c r="N13987" t="s">
        <v>44759</v>
      </c>
      <c r="O13987" t="s">
        <v>44760</v>
      </c>
      <c r="Q13987">
        <v>2</v>
      </c>
      <c r="R13987" t="s">
        <v>44782</v>
      </c>
      <c r="S13987" t="s">
        <v>45898</v>
      </c>
      <c r="T13987" t="s">
        <v>46641</v>
      </c>
      <c r="U13987" t="s">
        <v>58389</v>
      </c>
      <c r="V13987" t="s">
        <v>59403</v>
      </c>
      <c r="W13987" t="s">
        <v>41504</v>
      </c>
      <c r="X13987" t="s">
        <v>44783</v>
      </c>
    </row>
    <row r="13988" spans="1:24">
      <c r="A13988">
        <f>HYPERLINK("https://www.philgeps.gov.ph/GEPSNONPILOT/Tender/SplashBidNoticeAbstractUI.aspx?menuIndex=3&amp;refID=7060632&amp;Result=3","7060632")</f>
        <v>0</v>
      </c>
      <c r="B13988" t="s">
        <v>2243</v>
      </c>
      <c r="C13988" t="s">
        <v>5832</v>
      </c>
      <c r="D13988" t="s">
        <v>17980</v>
      </c>
      <c r="E13988" t="s">
        <v>30113</v>
      </c>
      <c r="F13988" t="s">
        <v>30900</v>
      </c>
      <c r="G13988" t="s">
        <v>30907</v>
      </c>
      <c r="H13988" t="s">
        <v>30916</v>
      </c>
      <c r="I13988" t="s">
        <v>5501</v>
      </c>
      <c r="J13988" t="s">
        <v>39724</v>
      </c>
      <c r="K13988" t="s">
        <v>40283</v>
      </c>
      <c r="M13988" t="s">
        <v>42953</v>
      </c>
      <c r="N13988" t="s">
        <v>44759</v>
      </c>
      <c r="O13988" t="s">
        <v>44760</v>
      </c>
      <c r="Q13988">
        <v>18</v>
      </c>
      <c r="R13988" t="s">
        <v>44783</v>
      </c>
      <c r="S13988" t="s">
        <v>45899</v>
      </c>
      <c r="T13988" t="s">
        <v>46931</v>
      </c>
      <c r="U13988" t="s">
        <v>58390</v>
      </c>
      <c r="W13988" t="s">
        <v>42953</v>
      </c>
      <c r="X13988" t="s">
        <v>44802</v>
      </c>
    </row>
    <row r="13989" spans="1:24">
      <c r="A13989">
        <f>HYPERLINK("https://www.philgeps.gov.ph/GEPSNONPILOT/Tender/SplashBidNoticeAbstractUI.aspx?menuIndex=3&amp;refID=7037817&amp;Result=3","7037817")</f>
        <v>0</v>
      </c>
      <c r="B13989" t="s">
        <v>3687</v>
      </c>
      <c r="C13989" t="s">
        <v>17078</v>
      </c>
      <c r="D13989" t="s">
        <v>17978</v>
      </c>
      <c r="E13989" t="s">
        <v>30114</v>
      </c>
      <c r="F13989" t="s">
        <v>30900</v>
      </c>
      <c r="G13989" t="s">
        <v>30912</v>
      </c>
      <c r="H13989" t="s">
        <v>30916</v>
      </c>
      <c r="I13989" t="s">
        <v>30926</v>
      </c>
      <c r="J13989" t="s">
        <v>39725</v>
      </c>
      <c r="K13989" t="s">
        <v>40286</v>
      </c>
      <c r="L13989" t="s">
        <v>3687</v>
      </c>
      <c r="M13989" t="s">
        <v>44645</v>
      </c>
      <c r="N13989" t="s">
        <v>44759</v>
      </c>
      <c r="O13989" t="s">
        <v>44760</v>
      </c>
      <c r="P13989">
        <v>0</v>
      </c>
      <c r="Q13989">
        <v>0</v>
      </c>
      <c r="R13989" t="s">
        <v>44783</v>
      </c>
      <c r="S13989" t="s">
        <v>45897</v>
      </c>
      <c r="T13989" t="s">
        <v>46451</v>
      </c>
      <c r="U13989" t="s">
        <v>58391</v>
      </c>
      <c r="W13989" t="s">
        <v>44645</v>
      </c>
      <c r="X13989" t="s">
        <v>60960</v>
      </c>
    </row>
    <row r="13990" spans="1:24">
      <c r="A13990">
        <f>HYPERLINK("https://www.philgeps.gov.ph/GEPSNONPILOT/Tender/SplashBidNoticeAbstractUI.aspx?menuIndex=3&amp;refID=7109619&amp;Result=3","7109619")</f>
        <v>0</v>
      </c>
      <c r="B13990" t="s">
        <v>2979</v>
      </c>
      <c r="C13990" t="s">
        <v>17079</v>
      </c>
      <c r="D13990" t="s">
        <v>18021</v>
      </c>
      <c r="E13990" t="s">
        <v>30115</v>
      </c>
      <c r="F13990" t="s">
        <v>30900</v>
      </c>
      <c r="G13990" t="s">
        <v>30907</v>
      </c>
      <c r="H13990" t="s">
        <v>30916</v>
      </c>
      <c r="I13990" t="s">
        <v>4454</v>
      </c>
      <c r="J13990" t="s">
        <v>39726</v>
      </c>
      <c r="K13990" t="s">
        <v>40293</v>
      </c>
      <c r="M13990" t="s">
        <v>43781</v>
      </c>
      <c r="N13990" t="s">
        <v>44759</v>
      </c>
      <c r="O13990" t="s">
        <v>44760</v>
      </c>
      <c r="P13990">
        <v>0</v>
      </c>
      <c r="Q13990">
        <v>4</v>
      </c>
      <c r="R13990" t="s">
        <v>44782</v>
      </c>
      <c r="S13990" t="s">
        <v>45846</v>
      </c>
      <c r="T13990" t="s">
        <v>46383</v>
      </c>
      <c r="U13990" t="s">
        <v>58392</v>
      </c>
      <c r="V13990" t="s">
        <v>60140</v>
      </c>
      <c r="W13990" t="s">
        <v>43781</v>
      </c>
      <c r="X13990" t="s">
        <v>44783</v>
      </c>
    </row>
    <row r="13991" spans="1:24">
      <c r="A13991">
        <f>HYPERLINK("https://www.philgeps.gov.ph/GEPSNONPILOT/Tender/SplashBidNoticeAbstractUI.aspx?menuIndex=3&amp;refID=7110096&amp;Result=3","7110096")</f>
        <v>0</v>
      </c>
      <c r="B13991" t="s">
        <v>3688</v>
      </c>
      <c r="C13991" t="s">
        <v>17080</v>
      </c>
      <c r="D13991" t="s">
        <v>18038</v>
      </c>
      <c r="E13991" t="s">
        <v>18615</v>
      </c>
      <c r="F13991" t="s">
        <v>30899</v>
      </c>
      <c r="G13991" t="s">
        <v>30907</v>
      </c>
      <c r="H13991" t="s">
        <v>30917</v>
      </c>
      <c r="I13991" t="s">
        <v>30981</v>
      </c>
      <c r="J13991" t="s">
        <v>39727</v>
      </c>
      <c r="K13991" t="s">
        <v>40332</v>
      </c>
      <c r="M13991" t="s">
        <v>44646</v>
      </c>
      <c r="N13991" t="s">
        <v>44759</v>
      </c>
      <c r="O13991" t="s">
        <v>44760</v>
      </c>
      <c r="Q13991">
        <v>3</v>
      </c>
      <c r="R13991" t="s">
        <v>44782</v>
      </c>
      <c r="S13991" t="s">
        <v>45900</v>
      </c>
      <c r="T13991" t="s">
        <v>46450</v>
      </c>
      <c r="U13991" t="s">
        <v>58393</v>
      </c>
      <c r="W13991" t="s">
        <v>44646</v>
      </c>
      <c r="X13991" t="s">
        <v>44783</v>
      </c>
    </row>
    <row r="13992" spans="1:24">
      <c r="A13992">
        <f>HYPERLINK("https://www.philgeps.gov.ph/GEPSNONPILOT/Tender/SplashBidNoticeAbstractUI.aspx?menuIndex=3&amp;refID=7109814&amp;Result=3","7109814")</f>
        <v>0</v>
      </c>
      <c r="B13992" t="s">
        <v>2930</v>
      </c>
      <c r="C13992" t="s">
        <v>17081</v>
      </c>
      <c r="D13992" t="s">
        <v>17985</v>
      </c>
      <c r="E13992" t="s">
        <v>30116</v>
      </c>
      <c r="F13992" t="s">
        <v>30900</v>
      </c>
      <c r="G13992" t="s">
        <v>30907</v>
      </c>
      <c r="H13992" t="s">
        <v>30915</v>
      </c>
      <c r="I13992" t="s">
        <v>30919</v>
      </c>
      <c r="J13992" t="s">
        <v>39728</v>
      </c>
      <c r="K13992" t="s">
        <v>40472</v>
      </c>
      <c r="M13992" t="s">
        <v>43726</v>
      </c>
      <c r="N13992" t="s">
        <v>44759</v>
      </c>
      <c r="O13992" t="s">
        <v>44760</v>
      </c>
      <c r="P13992">
        <v>0</v>
      </c>
      <c r="Q13992">
        <v>1</v>
      </c>
      <c r="R13992" t="s">
        <v>44782</v>
      </c>
      <c r="S13992" t="s">
        <v>45846</v>
      </c>
      <c r="T13992" t="s">
        <v>46709</v>
      </c>
      <c r="U13992" t="s">
        <v>58394</v>
      </c>
      <c r="W13992" t="s">
        <v>43726</v>
      </c>
      <c r="X13992" t="s">
        <v>44783</v>
      </c>
    </row>
    <row r="13993" spans="1:24">
      <c r="A13993">
        <f>HYPERLINK("https://www.philgeps.gov.ph/GEPSNONPILOT/Tender/SplashBidNoticeAbstractUI.aspx?menuIndex=3&amp;refID=7110015&amp;Result=3","7110015")</f>
        <v>0</v>
      </c>
      <c r="B13993" t="s">
        <v>3689</v>
      </c>
      <c r="C13993" t="s">
        <v>17082</v>
      </c>
      <c r="D13993" t="s">
        <v>17959</v>
      </c>
      <c r="E13993" t="s">
        <v>30117</v>
      </c>
      <c r="F13993" t="s">
        <v>30900</v>
      </c>
      <c r="G13993" t="s">
        <v>30907</v>
      </c>
      <c r="H13993" t="s">
        <v>7411</v>
      </c>
      <c r="I13993" t="s">
        <v>30942</v>
      </c>
      <c r="J13993" t="s">
        <v>39729</v>
      </c>
      <c r="K13993" t="s">
        <v>40397</v>
      </c>
      <c r="M13993" t="s">
        <v>44647</v>
      </c>
      <c r="N13993" t="s">
        <v>44759</v>
      </c>
      <c r="O13993" t="s">
        <v>44760</v>
      </c>
      <c r="Q13993">
        <v>3</v>
      </c>
      <c r="R13993" t="s">
        <v>44782</v>
      </c>
      <c r="S13993" t="s">
        <v>45901</v>
      </c>
      <c r="T13993" t="s">
        <v>46409</v>
      </c>
      <c r="U13993" t="s">
        <v>58395</v>
      </c>
      <c r="V13993" t="s">
        <v>60694</v>
      </c>
      <c r="W13993" t="s">
        <v>44647</v>
      </c>
      <c r="X13993" t="s">
        <v>44783</v>
      </c>
    </row>
    <row r="13994" spans="1:24">
      <c r="A13994">
        <f>HYPERLINK("https://www.philgeps.gov.ph/GEPSNONPILOT/Tender/SplashBidNoticeAbstractUI.aspx?menuIndex=3&amp;refID=7109976&amp;Result=3","7109976")</f>
        <v>0</v>
      </c>
      <c r="B13994" t="s">
        <v>1750</v>
      </c>
      <c r="C13994" t="s">
        <v>17083</v>
      </c>
      <c r="D13994" t="s">
        <v>17966</v>
      </c>
      <c r="E13994" t="s">
        <v>30118</v>
      </c>
      <c r="F13994" t="s">
        <v>30900</v>
      </c>
      <c r="G13994" t="s">
        <v>30907</v>
      </c>
      <c r="H13994" t="s">
        <v>30916</v>
      </c>
      <c r="I13994" t="s">
        <v>10847</v>
      </c>
      <c r="J13994" t="s">
        <v>33787</v>
      </c>
      <c r="K13994" t="s">
        <v>40283</v>
      </c>
      <c r="M13994" t="s">
        <v>44648</v>
      </c>
      <c r="N13994" t="s">
        <v>44759</v>
      </c>
      <c r="O13994" t="s">
        <v>44760</v>
      </c>
      <c r="P13994">
        <v>0</v>
      </c>
      <c r="Q13994">
        <v>3</v>
      </c>
      <c r="R13994" t="s">
        <v>44782</v>
      </c>
      <c r="S13994" t="s">
        <v>45846</v>
      </c>
      <c r="T13994" t="s">
        <v>46581</v>
      </c>
      <c r="U13994" t="s">
        <v>58396</v>
      </c>
      <c r="W13994" t="s">
        <v>60873</v>
      </c>
      <c r="X13994" t="s">
        <v>44783</v>
      </c>
    </row>
    <row r="13995" spans="1:24">
      <c r="A13995">
        <f>HYPERLINK("https://www.philgeps.gov.ph/GEPSNONPILOT/Tender/SplashBidNoticeAbstractUI.aspx?menuIndex=3&amp;refID=7066353&amp;Result=3","7066353")</f>
        <v>0</v>
      </c>
      <c r="B13995" t="s">
        <v>3690</v>
      </c>
      <c r="C13995" t="s">
        <v>17084</v>
      </c>
      <c r="E13995" t="s">
        <v>30119</v>
      </c>
      <c r="F13995" t="s">
        <v>30900</v>
      </c>
      <c r="G13995" t="s">
        <v>30907</v>
      </c>
      <c r="H13995" t="s">
        <v>30916</v>
      </c>
      <c r="I13995" t="s">
        <v>31039</v>
      </c>
      <c r="J13995" t="s">
        <v>39730</v>
      </c>
      <c r="K13995" t="s">
        <v>40301</v>
      </c>
      <c r="M13995" t="s">
        <v>44649</v>
      </c>
      <c r="N13995" t="s">
        <v>44759</v>
      </c>
      <c r="O13995" t="s">
        <v>44760</v>
      </c>
      <c r="Q13995">
        <v>7</v>
      </c>
      <c r="R13995" t="s">
        <v>44783</v>
      </c>
      <c r="S13995" t="s">
        <v>45487</v>
      </c>
      <c r="T13995" t="s">
        <v>46771</v>
      </c>
      <c r="U13995" t="s">
        <v>58397</v>
      </c>
      <c r="W13995" t="s">
        <v>44649</v>
      </c>
      <c r="X13995" t="s">
        <v>44800</v>
      </c>
    </row>
    <row r="13996" spans="1:24">
      <c r="A13996">
        <f>HYPERLINK("https://www.philgeps.gov.ph/GEPSNONPILOT/Tender/SplashBidNoticeAbstractUI.aspx?menuIndex=3&amp;refID=7110100&amp;Result=3","7110100")</f>
        <v>0</v>
      </c>
      <c r="B13996" t="s">
        <v>3688</v>
      </c>
      <c r="C13996" t="s">
        <v>17085</v>
      </c>
      <c r="D13996" t="s">
        <v>17979</v>
      </c>
      <c r="E13996" t="s">
        <v>25031</v>
      </c>
      <c r="F13996" t="s">
        <v>30899</v>
      </c>
      <c r="G13996" t="s">
        <v>30907</v>
      </c>
      <c r="H13996" t="s">
        <v>30917</v>
      </c>
      <c r="I13996" t="s">
        <v>30981</v>
      </c>
      <c r="J13996" t="s">
        <v>39731</v>
      </c>
      <c r="K13996" t="s">
        <v>40332</v>
      </c>
      <c r="M13996" t="s">
        <v>44646</v>
      </c>
      <c r="N13996" t="s">
        <v>44759</v>
      </c>
      <c r="O13996" t="s">
        <v>44760</v>
      </c>
      <c r="Q13996">
        <v>3</v>
      </c>
      <c r="R13996" t="s">
        <v>44782</v>
      </c>
      <c r="S13996" t="s">
        <v>45902</v>
      </c>
      <c r="T13996" t="s">
        <v>46450</v>
      </c>
      <c r="U13996" t="s">
        <v>58393</v>
      </c>
      <c r="W13996" t="s">
        <v>44646</v>
      </c>
      <c r="X13996" t="s">
        <v>44783</v>
      </c>
    </row>
    <row r="13997" spans="1:24">
      <c r="A13997">
        <f>HYPERLINK("https://www.philgeps.gov.ph/GEPSNONPILOT/Tender/SplashBidNoticeAbstractUI.aspx?menuIndex=3&amp;refID=7109839&amp;Result=3","7109839")</f>
        <v>0</v>
      </c>
      <c r="B13997" t="s">
        <v>2930</v>
      </c>
      <c r="C13997" t="s">
        <v>17086</v>
      </c>
      <c r="D13997" t="s">
        <v>17985</v>
      </c>
      <c r="E13997" t="s">
        <v>30120</v>
      </c>
      <c r="F13997" t="s">
        <v>30900</v>
      </c>
      <c r="G13997" t="s">
        <v>30907</v>
      </c>
      <c r="H13997" t="s">
        <v>30915</v>
      </c>
      <c r="I13997" t="s">
        <v>30919</v>
      </c>
      <c r="J13997" t="s">
        <v>39732</v>
      </c>
      <c r="K13997" t="s">
        <v>40472</v>
      </c>
      <c r="M13997" t="s">
        <v>43726</v>
      </c>
      <c r="N13997" t="s">
        <v>44759</v>
      </c>
      <c r="O13997" t="s">
        <v>44760</v>
      </c>
      <c r="P13997">
        <v>0</v>
      </c>
      <c r="Q13997">
        <v>0</v>
      </c>
      <c r="R13997" t="s">
        <v>44782</v>
      </c>
      <c r="S13997" t="s">
        <v>45846</v>
      </c>
      <c r="T13997" t="s">
        <v>46709</v>
      </c>
      <c r="U13997" t="s">
        <v>58398</v>
      </c>
      <c r="W13997" t="s">
        <v>43726</v>
      </c>
      <c r="X13997" t="s">
        <v>44783</v>
      </c>
    </row>
    <row r="13998" spans="1:24">
      <c r="A13998">
        <f>HYPERLINK("https://www.philgeps.gov.ph/GEPSNONPILOT/Tender/SplashBidNoticeAbstractUI.aspx?menuIndex=3&amp;refID=7104636&amp;Result=3","7104636")</f>
        <v>0</v>
      </c>
      <c r="B13998" t="s">
        <v>380</v>
      </c>
      <c r="C13998" t="s">
        <v>17087</v>
      </c>
      <c r="D13998" t="s">
        <v>18003</v>
      </c>
      <c r="E13998" t="s">
        <v>30121</v>
      </c>
      <c r="F13998" t="s">
        <v>30900</v>
      </c>
      <c r="G13998" t="s">
        <v>30907</v>
      </c>
      <c r="H13998" t="s">
        <v>30915</v>
      </c>
      <c r="I13998" t="s">
        <v>30919</v>
      </c>
      <c r="J13998" t="s">
        <v>31243</v>
      </c>
      <c r="K13998" t="s">
        <v>40293</v>
      </c>
      <c r="M13998" t="s">
        <v>40934</v>
      </c>
      <c r="N13998" t="s">
        <v>44759</v>
      </c>
      <c r="O13998" t="s">
        <v>44760</v>
      </c>
      <c r="P13998">
        <v>0</v>
      </c>
      <c r="Q13998">
        <v>0</v>
      </c>
      <c r="R13998" t="s">
        <v>44783</v>
      </c>
      <c r="S13998" t="s">
        <v>45897</v>
      </c>
      <c r="T13998" t="s">
        <v>46591</v>
      </c>
      <c r="U13998" t="s">
        <v>58399</v>
      </c>
      <c r="W13998" t="s">
        <v>40934</v>
      </c>
      <c r="X13998" t="s">
        <v>44784</v>
      </c>
    </row>
    <row r="13999" spans="1:24">
      <c r="A13999">
        <f>HYPERLINK("https://www.philgeps.gov.ph/GEPSNONPILOT/Tender/SplashBidNoticeAbstractUI.aspx?menuIndex=3&amp;refID=7104523&amp;Result=3","7104523")</f>
        <v>0</v>
      </c>
      <c r="B13999" t="s">
        <v>888</v>
      </c>
      <c r="C13999" t="s">
        <v>17088</v>
      </c>
      <c r="D13999" t="s">
        <v>17951</v>
      </c>
      <c r="E13999" t="s">
        <v>30122</v>
      </c>
      <c r="F13999" t="s">
        <v>30900</v>
      </c>
      <c r="G13999" t="s">
        <v>30907</v>
      </c>
      <c r="H13999" t="s">
        <v>30916</v>
      </c>
      <c r="I13999" t="s">
        <v>30943</v>
      </c>
      <c r="J13999" t="s">
        <v>35536</v>
      </c>
      <c r="K13999" t="s">
        <v>40286</v>
      </c>
      <c r="M13999" t="s">
        <v>41461</v>
      </c>
      <c r="N13999" t="s">
        <v>44759</v>
      </c>
      <c r="O13999" t="s">
        <v>44760</v>
      </c>
      <c r="P13999">
        <v>0</v>
      </c>
      <c r="Q13999">
        <v>5</v>
      </c>
      <c r="R13999" t="s">
        <v>44783</v>
      </c>
      <c r="S13999" t="s">
        <v>45897</v>
      </c>
      <c r="T13999" t="s">
        <v>46760</v>
      </c>
      <c r="U13999" t="s">
        <v>58400</v>
      </c>
      <c r="V13999" t="s">
        <v>60695</v>
      </c>
      <c r="W13999" t="s">
        <v>41461</v>
      </c>
      <c r="X13999" t="s">
        <v>44784</v>
      </c>
    </row>
    <row r="14000" spans="1:24">
      <c r="A14000">
        <f>HYPERLINK("https://www.philgeps.gov.ph/GEPSNONPILOT/Tender/SplashBidNoticeAbstractUI.aspx?menuIndex=3&amp;refID=7104500&amp;Result=3","7104500")</f>
        <v>0</v>
      </c>
      <c r="B14000" t="s">
        <v>2073</v>
      </c>
      <c r="C14000" t="s">
        <v>17089</v>
      </c>
      <c r="D14000" t="s">
        <v>17951</v>
      </c>
      <c r="E14000" t="s">
        <v>30123</v>
      </c>
      <c r="F14000" t="s">
        <v>30900</v>
      </c>
      <c r="G14000" t="s">
        <v>30907</v>
      </c>
      <c r="H14000" t="s">
        <v>30915</v>
      </c>
      <c r="I14000" t="s">
        <v>30919</v>
      </c>
      <c r="J14000" t="s">
        <v>39733</v>
      </c>
      <c r="K14000" t="s">
        <v>40289</v>
      </c>
      <c r="M14000" t="s">
        <v>42772</v>
      </c>
      <c r="N14000" t="s">
        <v>44759</v>
      </c>
      <c r="O14000" t="s">
        <v>44760</v>
      </c>
      <c r="P14000">
        <v>0</v>
      </c>
      <c r="Q14000">
        <v>0</v>
      </c>
      <c r="R14000" t="s">
        <v>44783</v>
      </c>
      <c r="S14000" t="s">
        <v>45897</v>
      </c>
      <c r="T14000" t="s">
        <v>46357</v>
      </c>
      <c r="U14000" t="s">
        <v>58401</v>
      </c>
      <c r="W14000" t="s">
        <v>42772</v>
      </c>
      <c r="X14000" t="s">
        <v>44784</v>
      </c>
    </row>
    <row r="14001" spans="1:24">
      <c r="A14001">
        <f>HYPERLINK("https://www.philgeps.gov.ph/GEPSNONPILOT/Tender/SplashBidNoticeAbstractUI.aspx?menuIndex=3&amp;refID=7104529&amp;Result=3","7104529")</f>
        <v>0</v>
      </c>
      <c r="B14001" t="s">
        <v>2410</v>
      </c>
      <c r="C14001" t="s">
        <v>17090</v>
      </c>
      <c r="D14001" t="s">
        <v>17990</v>
      </c>
      <c r="E14001" t="s">
        <v>30124</v>
      </c>
      <c r="F14001" t="s">
        <v>30900</v>
      </c>
      <c r="G14001" t="s">
        <v>30907</v>
      </c>
      <c r="H14001" t="s">
        <v>30916</v>
      </c>
      <c r="I14001" t="s">
        <v>7411</v>
      </c>
      <c r="J14001" t="s">
        <v>39734</v>
      </c>
      <c r="K14001" t="s">
        <v>40284</v>
      </c>
      <c r="M14001" t="s">
        <v>43137</v>
      </c>
      <c r="N14001" t="s">
        <v>44759</v>
      </c>
      <c r="O14001" t="s">
        <v>44760</v>
      </c>
      <c r="Q14001">
        <v>3</v>
      </c>
      <c r="R14001" t="s">
        <v>44783</v>
      </c>
      <c r="S14001" t="s">
        <v>45903</v>
      </c>
      <c r="T14001" t="s">
        <v>46625</v>
      </c>
      <c r="U14001" t="s">
        <v>58402</v>
      </c>
      <c r="W14001" t="s">
        <v>43137</v>
      </c>
      <c r="X14001" t="s">
        <v>44784</v>
      </c>
    </row>
    <row r="14002" spans="1:24">
      <c r="A14002">
        <f>HYPERLINK("https://www.philgeps.gov.ph/GEPSNONPILOT/Tender/SplashBidNoticeAbstractUI.aspx?menuIndex=3&amp;refID=7104464&amp;Result=3","7104464")</f>
        <v>0</v>
      </c>
      <c r="B14002" t="s">
        <v>2519</v>
      </c>
      <c r="C14002" t="s">
        <v>17091</v>
      </c>
      <c r="D14002" t="s">
        <v>18012</v>
      </c>
      <c r="E14002" t="s">
        <v>30125</v>
      </c>
      <c r="F14002" t="s">
        <v>30900</v>
      </c>
      <c r="G14002" t="s">
        <v>30907</v>
      </c>
      <c r="H14002" t="s">
        <v>30916</v>
      </c>
      <c r="I14002" t="s">
        <v>30972</v>
      </c>
      <c r="J14002" t="s">
        <v>31897</v>
      </c>
      <c r="K14002" t="s">
        <v>40289</v>
      </c>
      <c r="M14002" t="s">
        <v>43266</v>
      </c>
      <c r="N14002" t="s">
        <v>44759</v>
      </c>
      <c r="O14002" t="s">
        <v>44760</v>
      </c>
      <c r="P14002">
        <v>0</v>
      </c>
      <c r="Q14002">
        <v>9</v>
      </c>
      <c r="R14002" t="s">
        <v>44783</v>
      </c>
      <c r="S14002" t="s">
        <v>45897</v>
      </c>
      <c r="T14002" t="s">
        <v>46531</v>
      </c>
      <c r="U14002" t="s">
        <v>58403</v>
      </c>
      <c r="W14002" t="s">
        <v>43266</v>
      </c>
      <c r="X14002" t="s">
        <v>44784</v>
      </c>
    </row>
    <row r="14003" spans="1:24">
      <c r="A14003">
        <f>HYPERLINK("https://www.philgeps.gov.ph/GEPSNONPILOT/Tender/SplashBidNoticeAbstractUI.aspx?menuIndex=3&amp;refID=7104462&amp;Result=3","7104462")</f>
        <v>0</v>
      </c>
      <c r="B14003" t="s">
        <v>888</v>
      </c>
      <c r="C14003" t="s">
        <v>17092</v>
      </c>
      <c r="D14003" t="s">
        <v>17951</v>
      </c>
      <c r="E14003" t="s">
        <v>24428</v>
      </c>
      <c r="F14003" t="s">
        <v>30900</v>
      </c>
      <c r="G14003" t="s">
        <v>30907</v>
      </c>
      <c r="H14003" t="s">
        <v>30916</v>
      </c>
      <c r="I14003" t="s">
        <v>8365</v>
      </c>
      <c r="J14003" t="s">
        <v>37184</v>
      </c>
      <c r="K14003" t="s">
        <v>40286</v>
      </c>
      <c r="M14003" t="s">
        <v>41461</v>
      </c>
      <c r="N14003" t="s">
        <v>44759</v>
      </c>
      <c r="O14003" t="s">
        <v>44760</v>
      </c>
      <c r="P14003">
        <v>0</v>
      </c>
      <c r="Q14003">
        <v>1</v>
      </c>
      <c r="R14003" t="s">
        <v>44783</v>
      </c>
      <c r="S14003" t="s">
        <v>45897</v>
      </c>
      <c r="T14003" t="s">
        <v>46760</v>
      </c>
      <c r="U14003" t="s">
        <v>58404</v>
      </c>
      <c r="V14003" t="s">
        <v>60696</v>
      </c>
      <c r="W14003" t="s">
        <v>41461</v>
      </c>
      <c r="X14003" t="s">
        <v>44784</v>
      </c>
    </row>
    <row r="14004" spans="1:24">
      <c r="A14004">
        <f>HYPERLINK("https://www.philgeps.gov.ph/GEPSNONPILOT/Tender/SplashBidNoticeAbstractUI.aspx?menuIndex=3&amp;refID=7104429&amp;Result=3","7104429")</f>
        <v>0</v>
      </c>
      <c r="B14004" t="s">
        <v>888</v>
      </c>
      <c r="C14004" t="s">
        <v>17093</v>
      </c>
      <c r="D14004" t="s">
        <v>17951</v>
      </c>
      <c r="E14004" t="s">
        <v>30126</v>
      </c>
      <c r="F14004" t="s">
        <v>30900</v>
      </c>
      <c r="G14004" t="s">
        <v>30907</v>
      </c>
      <c r="H14004" t="s">
        <v>30916</v>
      </c>
      <c r="I14004" t="s">
        <v>11785</v>
      </c>
      <c r="J14004" t="s">
        <v>39735</v>
      </c>
      <c r="K14004" t="s">
        <v>40286</v>
      </c>
      <c r="M14004" t="s">
        <v>41461</v>
      </c>
      <c r="N14004" t="s">
        <v>44759</v>
      </c>
      <c r="O14004" t="s">
        <v>44760</v>
      </c>
      <c r="P14004">
        <v>0</v>
      </c>
      <c r="Q14004">
        <v>0</v>
      </c>
      <c r="R14004" t="s">
        <v>44783</v>
      </c>
      <c r="S14004" t="s">
        <v>45897</v>
      </c>
      <c r="T14004" t="s">
        <v>46760</v>
      </c>
      <c r="U14004" t="s">
        <v>58405</v>
      </c>
      <c r="V14004" t="s">
        <v>60697</v>
      </c>
      <c r="W14004" t="s">
        <v>41461</v>
      </c>
      <c r="X14004" t="s">
        <v>44784</v>
      </c>
    </row>
    <row r="14005" spans="1:24">
      <c r="A14005">
        <f>HYPERLINK("https://www.philgeps.gov.ph/GEPSNONPILOT/Tender/SplashBidNoticeAbstractUI.aspx?menuIndex=3&amp;refID=7104338&amp;Result=3","7104338")</f>
        <v>0</v>
      </c>
      <c r="B14005" t="s">
        <v>888</v>
      </c>
      <c r="C14005" t="s">
        <v>17094</v>
      </c>
      <c r="D14005" t="s">
        <v>17951</v>
      </c>
      <c r="E14005" t="s">
        <v>30127</v>
      </c>
      <c r="F14005" t="s">
        <v>30900</v>
      </c>
      <c r="G14005" t="s">
        <v>30907</v>
      </c>
      <c r="H14005" t="s">
        <v>30916</v>
      </c>
      <c r="I14005" t="s">
        <v>4017</v>
      </c>
      <c r="J14005" t="s">
        <v>31713</v>
      </c>
      <c r="K14005" t="s">
        <v>40286</v>
      </c>
      <c r="M14005" t="s">
        <v>41461</v>
      </c>
      <c r="N14005" t="s">
        <v>44759</v>
      </c>
      <c r="O14005" t="s">
        <v>44760</v>
      </c>
      <c r="P14005">
        <v>0</v>
      </c>
      <c r="Q14005">
        <v>3</v>
      </c>
      <c r="R14005" t="s">
        <v>44783</v>
      </c>
      <c r="S14005" t="s">
        <v>45897</v>
      </c>
      <c r="T14005" t="s">
        <v>46760</v>
      </c>
      <c r="U14005" t="s">
        <v>58406</v>
      </c>
      <c r="V14005" t="s">
        <v>60698</v>
      </c>
      <c r="W14005" t="s">
        <v>41461</v>
      </c>
      <c r="X14005" t="s">
        <v>44784</v>
      </c>
    </row>
    <row r="14006" spans="1:24">
      <c r="A14006">
        <f>HYPERLINK("https://www.philgeps.gov.ph/GEPSNONPILOT/Tender/SplashBidNoticeAbstractUI.aspx?menuIndex=3&amp;refID=7104381&amp;Result=3","7104381")</f>
        <v>0</v>
      </c>
      <c r="B14006" t="s">
        <v>888</v>
      </c>
      <c r="C14006" t="s">
        <v>17095</v>
      </c>
      <c r="D14006" t="s">
        <v>17951</v>
      </c>
      <c r="E14006" t="s">
        <v>30128</v>
      </c>
      <c r="F14006" t="s">
        <v>30900</v>
      </c>
      <c r="G14006" t="s">
        <v>30907</v>
      </c>
      <c r="H14006" t="s">
        <v>30916</v>
      </c>
      <c r="I14006" t="s">
        <v>11785</v>
      </c>
      <c r="J14006" t="s">
        <v>39736</v>
      </c>
      <c r="K14006" t="s">
        <v>40286</v>
      </c>
      <c r="M14006" t="s">
        <v>41461</v>
      </c>
      <c r="N14006" t="s">
        <v>44759</v>
      </c>
      <c r="O14006" t="s">
        <v>44760</v>
      </c>
      <c r="P14006">
        <v>0</v>
      </c>
      <c r="Q14006">
        <v>1</v>
      </c>
      <c r="R14006" t="s">
        <v>44783</v>
      </c>
      <c r="S14006" t="s">
        <v>45897</v>
      </c>
      <c r="T14006" t="s">
        <v>46760</v>
      </c>
      <c r="U14006" t="s">
        <v>58407</v>
      </c>
      <c r="V14006" t="s">
        <v>60699</v>
      </c>
      <c r="W14006" t="s">
        <v>41461</v>
      </c>
      <c r="X14006" t="s">
        <v>44784</v>
      </c>
    </row>
    <row r="14007" spans="1:24">
      <c r="A14007">
        <f>HYPERLINK("https://www.philgeps.gov.ph/GEPSNONPILOT/Tender/SplashBidNoticeAbstractUI.aspx?menuIndex=3&amp;refID=7104214&amp;Result=3","7104214")</f>
        <v>0</v>
      </c>
      <c r="B14007" t="s">
        <v>3691</v>
      </c>
      <c r="C14007" t="s">
        <v>17096</v>
      </c>
      <c r="D14007" t="s">
        <v>17980</v>
      </c>
      <c r="E14007" t="s">
        <v>30129</v>
      </c>
      <c r="F14007" t="s">
        <v>30900</v>
      </c>
      <c r="G14007" t="s">
        <v>30907</v>
      </c>
      <c r="H14007" t="s">
        <v>30916</v>
      </c>
      <c r="I14007" t="s">
        <v>30934</v>
      </c>
      <c r="J14007" t="s">
        <v>39737</v>
      </c>
      <c r="K14007" t="s">
        <v>40287</v>
      </c>
      <c r="M14007" t="s">
        <v>44650</v>
      </c>
      <c r="N14007" t="s">
        <v>44759</v>
      </c>
      <c r="O14007" t="s">
        <v>44760</v>
      </c>
      <c r="P14007">
        <v>0</v>
      </c>
      <c r="Q14007">
        <v>0</v>
      </c>
      <c r="R14007" t="s">
        <v>44783</v>
      </c>
      <c r="S14007" t="s">
        <v>45897</v>
      </c>
      <c r="T14007" t="s">
        <v>46533</v>
      </c>
      <c r="U14007" t="s">
        <v>58408</v>
      </c>
      <c r="W14007" t="s">
        <v>44650</v>
      </c>
      <c r="X14007" t="s">
        <v>44784</v>
      </c>
    </row>
    <row r="14008" spans="1:24">
      <c r="A14008">
        <f>HYPERLINK("https://www.philgeps.gov.ph/GEPSNONPILOT/Tender/SplashBidNoticeAbstractUI.aspx?menuIndex=3&amp;refID=7104665&amp;Result=3","7104665")</f>
        <v>0</v>
      </c>
      <c r="B14008" t="s">
        <v>888</v>
      </c>
      <c r="C14008" t="s">
        <v>17097</v>
      </c>
      <c r="D14008" t="s">
        <v>17951</v>
      </c>
      <c r="E14008" t="s">
        <v>30130</v>
      </c>
      <c r="F14008" t="s">
        <v>30900</v>
      </c>
      <c r="G14008" t="s">
        <v>30907</v>
      </c>
      <c r="H14008" t="s">
        <v>30916</v>
      </c>
      <c r="I14008" t="s">
        <v>8044</v>
      </c>
      <c r="J14008" t="s">
        <v>39738</v>
      </c>
      <c r="K14008" t="s">
        <v>40286</v>
      </c>
      <c r="M14008" t="s">
        <v>41461</v>
      </c>
      <c r="N14008" t="s">
        <v>44759</v>
      </c>
      <c r="O14008" t="s">
        <v>44760</v>
      </c>
      <c r="P14008">
        <v>0</v>
      </c>
      <c r="Q14008">
        <v>0</v>
      </c>
      <c r="R14008" t="s">
        <v>44783</v>
      </c>
      <c r="S14008" t="s">
        <v>45897</v>
      </c>
      <c r="T14008" t="s">
        <v>46760</v>
      </c>
      <c r="U14008" t="s">
        <v>58409</v>
      </c>
      <c r="V14008" t="s">
        <v>60700</v>
      </c>
      <c r="W14008" t="s">
        <v>41461</v>
      </c>
      <c r="X14008" t="s">
        <v>44784</v>
      </c>
    </row>
    <row r="14009" spans="1:24">
      <c r="A14009">
        <f>HYPERLINK("https://www.philgeps.gov.ph/GEPSNONPILOT/Tender/SplashBidNoticeAbstractUI.aspx?menuIndex=3&amp;refID=7105241&amp;Result=3","7105241")</f>
        <v>0</v>
      </c>
      <c r="B14009" t="s">
        <v>3302</v>
      </c>
      <c r="C14009" t="s">
        <v>17098</v>
      </c>
      <c r="D14009" t="s">
        <v>17959</v>
      </c>
      <c r="E14009" t="s">
        <v>30131</v>
      </c>
      <c r="F14009" t="s">
        <v>30900</v>
      </c>
      <c r="G14009" t="s">
        <v>30907</v>
      </c>
      <c r="H14009" t="s">
        <v>30916</v>
      </c>
      <c r="I14009" t="s">
        <v>4142</v>
      </c>
      <c r="J14009" t="s">
        <v>39739</v>
      </c>
      <c r="K14009" t="s">
        <v>40284</v>
      </c>
      <c r="M14009" t="s">
        <v>44506</v>
      </c>
      <c r="N14009" t="s">
        <v>44759</v>
      </c>
      <c r="O14009" t="s">
        <v>44760</v>
      </c>
      <c r="P14009">
        <v>0</v>
      </c>
      <c r="Q14009">
        <v>0</v>
      </c>
      <c r="R14009" t="s">
        <v>44783</v>
      </c>
      <c r="S14009" t="s">
        <v>45897</v>
      </c>
      <c r="T14009" t="s">
        <v>46581</v>
      </c>
      <c r="U14009" t="s">
        <v>57615</v>
      </c>
      <c r="W14009" t="s">
        <v>44506</v>
      </c>
      <c r="X14009" t="s">
        <v>44784</v>
      </c>
    </row>
    <row r="14010" spans="1:24">
      <c r="A14010">
        <f>HYPERLINK("https://www.philgeps.gov.ph/GEPSNONPILOT/Tender/SplashBidNoticeAbstractUI.aspx?menuIndex=3&amp;refID=7105215&amp;Result=3","7105215")</f>
        <v>0</v>
      </c>
      <c r="B14010" t="s">
        <v>3302</v>
      </c>
      <c r="C14010" t="s">
        <v>17099</v>
      </c>
      <c r="D14010" t="s">
        <v>17959</v>
      </c>
      <c r="E14010" t="s">
        <v>30131</v>
      </c>
      <c r="F14010" t="s">
        <v>30900</v>
      </c>
      <c r="G14010" t="s">
        <v>30907</v>
      </c>
      <c r="H14010" t="s">
        <v>30916</v>
      </c>
      <c r="I14010" t="s">
        <v>10847</v>
      </c>
      <c r="J14010" t="s">
        <v>39740</v>
      </c>
      <c r="K14010" t="s">
        <v>40284</v>
      </c>
      <c r="M14010" t="s">
        <v>44506</v>
      </c>
      <c r="N14010" t="s">
        <v>44759</v>
      </c>
      <c r="O14010" t="s">
        <v>44760</v>
      </c>
      <c r="P14010">
        <v>0</v>
      </c>
      <c r="Q14010">
        <v>0</v>
      </c>
      <c r="R14010" t="s">
        <v>44783</v>
      </c>
      <c r="S14010" t="s">
        <v>45897</v>
      </c>
      <c r="T14010" t="s">
        <v>46581</v>
      </c>
      <c r="U14010" t="s">
        <v>57615</v>
      </c>
      <c r="W14010" t="s">
        <v>44506</v>
      </c>
      <c r="X14010" t="s">
        <v>44784</v>
      </c>
    </row>
    <row r="14011" spans="1:24">
      <c r="A14011">
        <f>HYPERLINK("https://www.philgeps.gov.ph/GEPSNONPILOT/Tender/SplashBidNoticeAbstractUI.aspx?menuIndex=3&amp;refID=7105189&amp;Result=3","7105189")</f>
        <v>0</v>
      </c>
      <c r="B14011" t="s">
        <v>3302</v>
      </c>
      <c r="C14011" t="s">
        <v>17100</v>
      </c>
      <c r="D14011" t="s">
        <v>17959</v>
      </c>
      <c r="E14011" t="s">
        <v>30131</v>
      </c>
      <c r="F14011" t="s">
        <v>30900</v>
      </c>
      <c r="G14011" t="s">
        <v>30907</v>
      </c>
      <c r="H14011" t="s">
        <v>30916</v>
      </c>
      <c r="I14011" t="s">
        <v>30926</v>
      </c>
      <c r="J14011" t="s">
        <v>39741</v>
      </c>
      <c r="K14011" t="s">
        <v>40284</v>
      </c>
      <c r="M14011" t="s">
        <v>44506</v>
      </c>
      <c r="N14011" t="s">
        <v>44759</v>
      </c>
      <c r="O14011" t="s">
        <v>44760</v>
      </c>
      <c r="P14011">
        <v>0</v>
      </c>
      <c r="Q14011">
        <v>1</v>
      </c>
      <c r="R14011" t="s">
        <v>44783</v>
      </c>
      <c r="S14011" t="s">
        <v>45897</v>
      </c>
      <c r="T14011" t="s">
        <v>46581</v>
      </c>
      <c r="U14011" t="s">
        <v>57615</v>
      </c>
      <c r="W14011" t="s">
        <v>44506</v>
      </c>
      <c r="X14011" t="s">
        <v>44784</v>
      </c>
    </row>
    <row r="14012" spans="1:24">
      <c r="A14012">
        <f>HYPERLINK("https://www.philgeps.gov.ph/GEPSNONPILOT/Tender/SplashBidNoticeAbstractUI.aspx?menuIndex=3&amp;refID=7105174&amp;Result=3","7105174")</f>
        <v>0</v>
      </c>
      <c r="B14012" t="s">
        <v>3302</v>
      </c>
      <c r="C14012" t="s">
        <v>17101</v>
      </c>
      <c r="D14012" t="s">
        <v>17959</v>
      </c>
      <c r="E14012" t="s">
        <v>30131</v>
      </c>
      <c r="F14012" t="s">
        <v>30900</v>
      </c>
      <c r="G14012" t="s">
        <v>30907</v>
      </c>
      <c r="H14012" t="s">
        <v>30916</v>
      </c>
      <c r="I14012" t="s">
        <v>4142</v>
      </c>
      <c r="J14012" t="s">
        <v>39742</v>
      </c>
      <c r="K14012" t="s">
        <v>40284</v>
      </c>
      <c r="M14012" t="s">
        <v>44506</v>
      </c>
      <c r="N14012" t="s">
        <v>44759</v>
      </c>
      <c r="O14012" t="s">
        <v>44760</v>
      </c>
      <c r="P14012">
        <v>0</v>
      </c>
      <c r="Q14012">
        <v>2</v>
      </c>
      <c r="R14012" t="s">
        <v>44783</v>
      </c>
      <c r="S14012" t="s">
        <v>45897</v>
      </c>
      <c r="T14012" t="s">
        <v>46581</v>
      </c>
      <c r="U14012" t="s">
        <v>57615</v>
      </c>
      <c r="W14012" t="s">
        <v>44506</v>
      </c>
      <c r="X14012" t="s">
        <v>44784</v>
      </c>
    </row>
    <row r="14013" spans="1:24">
      <c r="A14013">
        <f>HYPERLINK("https://www.philgeps.gov.ph/GEPSNONPILOT/Tender/SplashBidNoticeAbstractUI.aspx?menuIndex=3&amp;refID=7104575&amp;Result=3","7104575")</f>
        <v>0</v>
      </c>
      <c r="B14013" t="s">
        <v>147</v>
      </c>
      <c r="C14013" t="s">
        <v>17102</v>
      </c>
      <c r="D14013" t="s">
        <v>17970</v>
      </c>
      <c r="E14013" t="s">
        <v>30132</v>
      </c>
      <c r="F14013" t="s">
        <v>30900</v>
      </c>
      <c r="G14013" t="s">
        <v>30907</v>
      </c>
      <c r="H14013" t="s">
        <v>30916</v>
      </c>
      <c r="I14013" t="s">
        <v>30933</v>
      </c>
      <c r="J14013" t="s">
        <v>36599</v>
      </c>
      <c r="K14013" t="s">
        <v>40280</v>
      </c>
      <c r="M14013" t="s">
        <v>40694</v>
      </c>
      <c r="N14013" t="s">
        <v>44759</v>
      </c>
      <c r="O14013" t="s">
        <v>44760</v>
      </c>
      <c r="P14013">
        <v>0</v>
      </c>
      <c r="Q14013">
        <v>7</v>
      </c>
      <c r="R14013" t="s">
        <v>44783</v>
      </c>
      <c r="S14013" t="s">
        <v>45897</v>
      </c>
      <c r="T14013" t="s">
        <v>46421</v>
      </c>
      <c r="U14013" t="s">
        <v>58410</v>
      </c>
      <c r="W14013" t="s">
        <v>40694</v>
      </c>
      <c r="X14013" t="s">
        <v>44784</v>
      </c>
    </row>
    <row r="14014" spans="1:24">
      <c r="A14014">
        <f>HYPERLINK("https://www.philgeps.gov.ph/GEPSNONPILOT/Tender/SplashBidNoticeAbstractUI.aspx?menuIndex=3&amp;refID=7104212&amp;Result=3","7104212")</f>
        <v>0</v>
      </c>
      <c r="B14014" t="s">
        <v>3691</v>
      </c>
      <c r="C14014" t="s">
        <v>17103</v>
      </c>
      <c r="D14014" t="s">
        <v>17980</v>
      </c>
      <c r="E14014" t="s">
        <v>30133</v>
      </c>
      <c r="F14014" t="s">
        <v>30900</v>
      </c>
      <c r="G14014" t="s">
        <v>30907</v>
      </c>
      <c r="H14014" t="s">
        <v>30916</v>
      </c>
      <c r="I14014" t="s">
        <v>30941</v>
      </c>
      <c r="J14014" t="s">
        <v>31135</v>
      </c>
      <c r="K14014" t="s">
        <v>40287</v>
      </c>
      <c r="M14014" t="s">
        <v>44650</v>
      </c>
      <c r="N14014" t="s">
        <v>44759</v>
      </c>
      <c r="O14014" t="s">
        <v>44760</v>
      </c>
      <c r="P14014">
        <v>0</v>
      </c>
      <c r="Q14014">
        <v>0</v>
      </c>
      <c r="R14014" t="s">
        <v>44783</v>
      </c>
      <c r="S14014" t="s">
        <v>45897</v>
      </c>
      <c r="T14014" t="s">
        <v>46533</v>
      </c>
      <c r="U14014" t="s">
        <v>58411</v>
      </c>
      <c r="W14014" t="s">
        <v>44650</v>
      </c>
      <c r="X14014" t="s">
        <v>44784</v>
      </c>
    </row>
    <row r="14015" spans="1:24">
      <c r="A14015">
        <f>HYPERLINK("https://www.philgeps.gov.ph/GEPSNONPILOT/Tender/SplashBidNoticeAbstractUI.aspx?menuIndex=3&amp;refID=7105158&amp;Result=3","7105158")</f>
        <v>0</v>
      </c>
      <c r="B14015" t="s">
        <v>3302</v>
      </c>
      <c r="C14015" t="s">
        <v>17104</v>
      </c>
      <c r="D14015" t="s">
        <v>17959</v>
      </c>
      <c r="E14015" t="s">
        <v>30131</v>
      </c>
      <c r="F14015" t="s">
        <v>30900</v>
      </c>
      <c r="G14015" t="s">
        <v>30907</v>
      </c>
      <c r="H14015" t="s">
        <v>30916</v>
      </c>
      <c r="I14015" t="s">
        <v>10847</v>
      </c>
      <c r="J14015" t="s">
        <v>39743</v>
      </c>
      <c r="K14015" t="s">
        <v>40284</v>
      </c>
      <c r="M14015" t="s">
        <v>44506</v>
      </c>
      <c r="N14015" t="s">
        <v>44759</v>
      </c>
      <c r="O14015" t="s">
        <v>44760</v>
      </c>
      <c r="P14015">
        <v>0</v>
      </c>
      <c r="Q14015">
        <v>1</v>
      </c>
      <c r="R14015" t="s">
        <v>44783</v>
      </c>
      <c r="S14015" t="s">
        <v>45897</v>
      </c>
      <c r="T14015" t="s">
        <v>46581</v>
      </c>
      <c r="U14015" t="s">
        <v>57615</v>
      </c>
      <c r="W14015" t="s">
        <v>44506</v>
      </c>
      <c r="X14015" t="s">
        <v>44784</v>
      </c>
    </row>
    <row r="14016" spans="1:24">
      <c r="A14016">
        <f>HYPERLINK("https://www.philgeps.gov.ph/GEPSNONPILOT/Tender/SplashBidNoticeAbstractUI.aspx?menuIndex=3&amp;refID=7105159&amp;Result=3","7105159")</f>
        <v>0</v>
      </c>
      <c r="B14016" t="s">
        <v>3692</v>
      </c>
      <c r="C14016" t="s">
        <v>17105</v>
      </c>
      <c r="D14016" t="s">
        <v>17964</v>
      </c>
      <c r="E14016" t="s">
        <v>30134</v>
      </c>
      <c r="F14016" t="s">
        <v>30900</v>
      </c>
      <c r="G14016" t="s">
        <v>30907</v>
      </c>
      <c r="H14016" t="s">
        <v>30916</v>
      </c>
      <c r="I14016" t="s">
        <v>8123</v>
      </c>
      <c r="J14016" t="s">
        <v>39744</v>
      </c>
      <c r="K14016" t="s">
        <v>40293</v>
      </c>
      <c r="M14016" t="s">
        <v>44651</v>
      </c>
      <c r="N14016" t="s">
        <v>44759</v>
      </c>
      <c r="O14016" t="s">
        <v>44760</v>
      </c>
      <c r="P14016">
        <v>0</v>
      </c>
      <c r="Q14016">
        <v>1</v>
      </c>
      <c r="R14016" t="s">
        <v>44783</v>
      </c>
      <c r="S14016" t="s">
        <v>45897</v>
      </c>
      <c r="T14016" t="s">
        <v>46484</v>
      </c>
      <c r="U14016" t="s">
        <v>58412</v>
      </c>
      <c r="V14016" t="s">
        <v>48340</v>
      </c>
      <c r="W14016" t="s">
        <v>44651</v>
      </c>
      <c r="X14016" t="s">
        <v>44784</v>
      </c>
    </row>
    <row r="14017" spans="1:24">
      <c r="A14017">
        <f>HYPERLINK("https://www.philgeps.gov.ph/GEPSNONPILOT/Tender/SplashBidNoticeAbstractUI.aspx?menuIndex=3&amp;refID=7105013&amp;Result=3","7105013")</f>
        <v>0</v>
      </c>
      <c r="B14017" t="s">
        <v>2375</v>
      </c>
      <c r="C14017" t="s">
        <v>17106</v>
      </c>
      <c r="D14017" t="s">
        <v>17973</v>
      </c>
      <c r="E14017" t="s">
        <v>30135</v>
      </c>
      <c r="F14017" t="s">
        <v>30900</v>
      </c>
      <c r="G14017" t="s">
        <v>30907</v>
      </c>
      <c r="H14017" t="s">
        <v>30915</v>
      </c>
      <c r="I14017" t="s">
        <v>30919</v>
      </c>
      <c r="J14017" t="s">
        <v>39745</v>
      </c>
      <c r="K14017" t="s">
        <v>40342</v>
      </c>
      <c r="M14017" t="s">
        <v>43101</v>
      </c>
      <c r="N14017" t="s">
        <v>44759</v>
      </c>
      <c r="O14017" t="s">
        <v>44760</v>
      </c>
      <c r="P14017">
        <v>0</v>
      </c>
      <c r="Q14017">
        <v>0</v>
      </c>
      <c r="R14017" t="s">
        <v>44783</v>
      </c>
      <c r="S14017" t="s">
        <v>45897</v>
      </c>
      <c r="T14017" t="s">
        <v>46418</v>
      </c>
      <c r="U14017" t="s">
        <v>58413</v>
      </c>
      <c r="V14017" t="s">
        <v>60701</v>
      </c>
      <c r="W14017" t="s">
        <v>43101</v>
      </c>
      <c r="X14017" t="s">
        <v>44784</v>
      </c>
    </row>
    <row r="14018" spans="1:24">
      <c r="A14018">
        <f>HYPERLINK("https://www.philgeps.gov.ph/GEPSNONPILOT/Tender/SplashBidNoticeAbstractUI.aspx?menuIndex=3&amp;refID=7105047&amp;Result=3","7105047")</f>
        <v>0</v>
      </c>
      <c r="B14018" t="s">
        <v>3306</v>
      </c>
      <c r="C14018" t="s">
        <v>17107</v>
      </c>
      <c r="D14018" t="s">
        <v>17998</v>
      </c>
      <c r="E14018" t="s">
        <v>30136</v>
      </c>
      <c r="F14018" t="s">
        <v>30900</v>
      </c>
      <c r="G14018" t="s">
        <v>30907</v>
      </c>
      <c r="H14018" t="s">
        <v>30915</v>
      </c>
      <c r="I14018" t="s">
        <v>30919</v>
      </c>
      <c r="J14018" t="s">
        <v>39746</v>
      </c>
      <c r="K14018" t="s">
        <v>40280</v>
      </c>
      <c r="M14018" t="s">
        <v>44159</v>
      </c>
      <c r="N14018" t="s">
        <v>44759</v>
      </c>
      <c r="O14018" t="s">
        <v>44760</v>
      </c>
      <c r="P14018">
        <v>0</v>
      </c>
      <c r="Q14018">
        <v>1</v>
      </c>
      <c r="R14018" t="s">
        <v>44783</v>
      </c>
      <c r="S14018" t="s">
        <v>45897</v>
      </c>
      <c r="T14018" t="s">
        <v>46376</v>
      </c>
      <c r="U14018" t="s">
        <v>58414</v>
      </c>
      <c r="W14018" t="s">
        <v>44159</v>
      </c>
      <c r="X14018" t="s">
        <v>44784</v>
      </c>
    </row>
    <row r="14019" spans="1:24">
      <c r="A14019">
        <f>HYPERLINK("https://www.philgeps.gov.ph/GEPSNONPILOT/Tender/SplashBidNoticeAbstractUI.aspx?menuIndex=3&amp;refID=7104945&amp;Result=3","7104945")</f>
        <v>0</v>
      </c>
      <c r="B14019" t="s">
        <v>380</v>
      </c>
      <c r="C14019" t="s">
        <v>17108</v>
      </c>
      <c r="D14019" t="s">
        <v>18003</v>
      </c>
      <c r="E14019" t="s">
        <v>30137</v>
      </c>
      <c r="F14019" t="s">
        <v>30900</v>
      </c>
      <c r="G14019" t="s">
        <v>30907</v>
      </c>
      <c r="H14019" t="s">
        <v>30915</v>
      </c>
      <c r="I14019" t="s">
        <v>30919</v>
      </c>
      <c r="J14019" t="s">
        <v>31243</v>
      </c>
      <c r="K14019" t="s">
        <v>40280</v>
      </c>
      <c r="M14019" t="s">
        <v>40934</v>
      </c>
      <c r="N14019" t="s">
        <v>44759</v>
      </c>
      <c r="O14019" t="s">
        <v>44760</v>
      </c>
      <c r="P14019">
        <v>0</v>
      </c>
      <c r="Q14019">
        <v>0</v>
      </c>
      <c r="R14019" t="s">
        <v>44783</v>
      </c>
      <c r="S14019" t="s">
        <v>45897</v>
      </c>
      <c r="T14019" t="s">
        <v>46591</v>
      </c>
      <c r="U14019" t="s">
        <v>58346</v>
      </c>
      <c r="W14019" t="s">
        <v>40934</v>
      </c>
      <c r="X14019" t="s">
        <v>44784</v>
      </c>
    </row>
    <row r="14020" spans="1:24">
      <c r="A14020">
        <f>HYPERLINK("https://www.philgeps.gov.ph/GEPSNONPILOT/Tender/SplashBidNoticeAbstractUI.aspx?menuIndex=3&amp;refID=7105549&amp;Result=3","7105549")</f>
        <v>0</v>
      </c>
      <c r="B14020" t="s">
        <v>1399</v>
      </c>
      <c r="C14020" t="s">
        <v>17109</v>
      </c>
      <c r="D14020" t="s">
        <v>18017</v>
      </c>
      <c r="E14020" t="s">
        <v>30138</v>
      </c>
      <c r="F14020" t="s">
        <v>30900</v>
      </c>
      <c r="G14020" t="s">
        <v>30907</v>
      </c>
      <c r="H14020" t="s">
        <v>30916</v>
      </c>
      <c r="I14020" t="s">
        <v>4108</v>
      </c>
      <c r="J14020" t="s">
        <v>39747</v>
      </c>
      <c r="K14020" t="s">
        <v>40287</v>
      </c>
      <c r="M14020" t="s">
        <v>42025</v>
      </c>
      <c r="N14020" t="s">
        <v>44759</v>
      </c>
      <c r="O14020" t="s">
        <v>44760</v>
      </c>
      <c r="P14020">
        <v>0</v>
      </c>
      <c r="Q14020">
        <v>5</v>
      </c>
      <c r="R14020" t="s">
        <v>44783</v>
      </c>
      <c r="S14020" t="s">
        <v>45897</v>
      </c>
      <c r="T14020" t="s">
        <v>46760</v>
      </c>
      <c r="U14020" t="s">
        <v>49799</v>
      </c>
      <c r="V14020" t="s">
        <v>60702</v>
      </c>
      <c r="W14020" t="s">
        <v>42025</v>
      </c>
      <c r="X14020" t="s">
        <v>44784</v>
      </c>
    </row>
    <row r="14021" spans="1:24">
      <c r="A14021">
        <f>HYPERLINK("https://www.philgeps.gov.ph/GEPSNONPILOT/Tender/SplashBidNoticeAbstractUI.aspx?menuIndex=3&amp;refID=7105524&amp;Result=3","7105524")</f>
        <v>0</v>
      </c>
      <c r="B14021" t="s">
        <v>3693</v>
      </c>
      <c r="C14021" t="s">
        <v>17110</v>
      </c>
      <c r="D14021" t="s">
        <v>17959</v>
      </c>
      <c r="E14021" t="s">
        <v>30139</v>
      </c>
      <c r="F14021" t="s">
        <v>30900</v>
      </c>
      <c r="G14021" t="s">
        <v>30907</v>
      </c>
      <c r="H14021" t="s">
        <v>30915</v>
      </c>
      <c r="I14021" t="s">
        <v>4965</v>
      </c>
      <c r="J14021" t="s">
        <v>39748</v>
      </c>
      <c r="K14021" t="s">
        <v>40292</v>
      </c>
      <c r="M14021" t="s">
        <v>44652</v>
      </c>
      <c r="N14021" t="s">
        <v>44759</v>
      </c>
      <c r="O14021" t="s">
        <v>44760</v>
      </c>
      <c r="Q14021">
        <v>11</v>
      </c>
      <c r="R14021" t="s">
        <v>44783</v>
      </c>
      <c r="S14021" t="s">
        <v>45904</v>
      </c>
      <c r="T14021" t="s">
        <v>46383</v>
      </c>
      <c r="U14021" t="s">
        <v>58415</v>
      </c>
      <c r="W14021" t="s">
        <v>44652</v>
      </c>
      <c r="X14021" t="s">
        <v>44784</v>
      </c>
    </row>
    <row r="14022" spans="1:24">
      <c r="A14022">
        <f>HYPERLINK("https://www.philgeps.gov.ph/GEPSNONPILOT/Tender/SplashBidNoticeAbstractUI.aspx?menuIndex=3&amp;refID=7105459&amp;Result=3","7105459")</f>
        <v>0</v>
      </c>
      <c r="B14022" t="s">
        <v>379</v>
      </c>
      <c r="C14022" t="s">
        <v>17111</v>
      </c>
      <c r="D14022" t="s">
        <v>18015</v>
      </c>
      <c r="E14022" t="s">
        <v>30140</v>
      </c>
      <c r="F14022" t="s">
        <v>30900</v>
      </c>
      <c r="G14022" t="s">
        <v>30907</v>
      </c>
      <c r="H14022" t="s">
        <v>30916</v>
      </c>
      <c r="I14022" t="s">
        <v>8123</v>
      </c>
      <c r="J14022" t="s">
        <v>39749</v>
      </c>
      <c r="K14022" t="s">
        <v>40283</v>
      </c>
      <c r="M14022" t="s">
        <v>40933</v>
      </c>
      <c r="N14022" t="s">
        <v>44759</v>
      </c>
      <c r="O14022" t="s">
        <v>44760</v>
      </c>
      <c r="P14022">
        <v>0</v>
      </c>
      <c r="Q14022">
        <v>0</v>
      </c>
      <c r="R14022" t="s">
        <v>44783</v>
      </c>
      <c r="S14022" t="s">
        <v>45897</v>
      </c>
      <c r="T14022" t="s">
        <v>46658</v>
      </c>
      <c r="U14022" t="s">
        <v>58416</v>
      </c>
      <c r="W14022" t="s">
        <v>40933</v>
      </c>
      <c r="X14022" t="s">
        <v>44784</v>
      </c>
    </row>
    <row r="14023" spans="1:24">
      <c r="A14023">
        <f>HYPERLINK("https://www.philgeps.gov.ph/GEPSNONPILOT/Tender/SplashBidNoticeAbstractUI.aspx?menuIndex=3&amp;refID=7109985&amp;Result=3","7109985")</f>
        <v>0</v>
      </c>
      <c r="B14023" t="s">
        <v>1750</v>
      </c>
      <c r="C14023" t="s">
        <v>17112</v>
      </c>
      <c r="D14023" t="s">
        <v>17966</v>
      </c>
      <c r="E14023" t="s">
        <v>30141</v>
      </c>
      <c r="F14023" t="s">
        <v>30900</v>
      </c>
      <c r="G14023" t="s">
        <v>30907</v>
      </c>
      <c r="H14023" t="s">
        <v>30916</v>
      </c>
      <c r="I14023" t="s">
        <v>10847</v>
      </c>
      <c r="J14023" t="s">
        <v>39750</v>
      </c>
      <c r="K14023" t="s">
        <v>40283</v>
      </c>
      <c r="M14023" t="s">
        <v>44648</v>
      </c>
      <c r="N14023" t="s">
        <v>44759</v>
      </c>
      <c r="O14023" t="s">
        <v>44760</v>
      </c>
      <c r="P14023">
        <v>0</v>
      </c>
      <c r="Q14023">
        <v>3</v>
      </c>
      <c r="R14023" t="s">
        <v>44782</v>
      </c>
      <c r="S14023" t="s">
        <v>45846</v>
      </c>
      <c r="T14023" t="s">
        <v>46581</v>
      </c>
      <c r="U14023" t="s">
        <v>58417</v>
      </c>
      <c r="W14023" t="s">
        <v>60873</v>
      </c>
      <c r="X14023" t="s">
        <v>44783</v>
      </c>
    </row>
    <row r="14024" spans="1:24">
      <c r="A14024">
        <f>HYPERLINK("https://www.philgeps.gov.ph/GEPSNONPILOT/Tender/SplashBidNoticeAbstractUI.aspx?menuIndex=3&amp;refID=7105605&amp;Result=3","7105605")</f>
        <v>0</v>
      </c>
      <c r="B14024" t="s">
        <v>380</v>
      </c>
      <c r="C14024" t="s">
        <v>17113</v>
      </c>
      <c r="D14024" t="s">
        <v>18003</v>
      </c>
      <c r="E14024" t="s">
        <v>30142</v>
      </c>
      <c r="F14024" t="s">
        <v>30900</v>
      </c>
      <c r="G14024" t="s">
        <v>30907</v>
      </c>
      <c r="H14024" t="s">
        <v>30915</v>
      </c>
      <c r="I14024" t="s">
        <v>30919</v>
      </c>
      <c r="J14024" t="s">
        <v>31152</v>
      </c>
      <c r="K14024" t="s">
        <v>40304</v>
      </c>
      <c r="M14024" t="s">
        <v>40934</v>
      </c>
      <c r="N14024" t="s">
        <v>44759</v>
      </c>
      <c r="O14024" t="s">
        <v>44760</v>
      </c>
      <c r="P14024">
        <v>0</v>
      </c>
      <c r="Q14024">
        <v>0</v>
      </c>
      <c r="R14024" t="s">
        <v>44783</v>
      </c>
      <c r="S14024" t="s">
        <v>45897</v>
      </c>
      <c r="T14024" t="s">
        <v>46591</v>
      </c>
      <c r="U14024" t="s">
        <v>58346</v>
      </c>
      <c r="W14024" t="s">
        <v>40934</v>
      </c>
      <c r="X14024" t="s">
        <v>44784</v>
      </c>
    </row>
    <row r="14025" spans="1:24">
      <c r="A14025">
        <f>HYPERLINK("https://www.philgeps.gov.ph/GEPSNONPILOT/Tender/SplashBidNoticeAbstractUI.aspx?menuIndex=3&amp;refID=7105442&amp;Result=3","7105442")</f>
        <v>0</v>
      </c>
      <c r="B14025" t="s">
        <v>3645</v>
      </c>
      <c r="C14025" t="s">
        <v>17114</v>
      </c>
      <c r="D14025" t="s">
        <v>17977</v>
      </c>
      <c r="E14025" t="s">
        <v>25839</v>
      </c>
      <c r="F14025" t="s">
        <v>30900</v>
      </c>
      <c r="G14025" t="s">
        <v>30907</v>
      </c>
      <c r="H14025" t="s">
        <v>30915</v>
      </c>
      <c r="I14025" t="s">
        <v>30919</v>
      </c>
      <c r="J14025" t="s">
        <v>32049</v>
      </c>
      <c r="K14025" t="s">
        <v>40280</v>
      </c>
      <c r="M14025" t="s">
        <v>44586</v>
      </c>
      <c r="N14025" t="s">
        <v>44759</v>
      </c>
      <c r="O14025" t="s">
        <v>44760</v>
      </c>
      <c r="Q14025">
        <v>1</v>
      </c>
      <c r="R14025" t="s">
        <v>44783</v>
      </c>
      <c r="S14025" t="s">
        <v>45905</v>
      </c>
      <c r="T14025" t="s">
        <v>46581</v>
      </c>
      <c r="U14025" t="s">
        <v>58019</v>
      </c>
      <c r="V14025" t="s">
        <v>60652</v>
      </c>
      <c r="W14025" t="s">
        <v>44586</v>
      </c>
      <c r="X14025" t="s">
        <v>44784</v>
      </c>
    </row>
    <row r="14026" spans="1:24">
      <c r="A14026">
        <f>HYPERLINK("https://www.philgeps.gov.ph/GEPSNONPILOT/Tender/SplashBidNoticeAbstractUI.aspx?menuIndex=3&amp;refID=7105448&amp;Result=3","7105448")</f>
        <v>0</v>
      </c>
      <c r="B14026" t="s">
        <v>380</v>
      </c>
      <c r="C14026" t="s">
        <v>17115</v>
      </c>
      <c r="D14026" t="s">
        <v>18003</v>
      </c>
      <c r="E14026" t="s">
        <v>30143</v>
      </c>
      <c r="F14026" t="s">
        <v>30900</v>
      </c>
      <c r="G14026" t="s">
        <v>30907</v>
      </c>
      <c r="H14026" t="s">
        <v>30915</v>
      </c>
      <c r="I14026" t="s">
        <v>30919</v>
      </c>
      <c r="J14026" t="s">
        <v>31211</v>
      </c>
      <c r="K14026" t="s">
        <v>40292</v>
      </c>
      <c r="M14026" t="s">
        <v>40934</v>
      </c>
      <c r="N14026" t="s">
        <v>44759</v>
      </c>
      <c r="O14026" t="s">
        <v>44760</v>
      </c>
      <c r="P14026">
        <v>0</v>
      </c>
      <c r="Q14026">
        <v>1</v>
      </c>
      <c r="R14026" t="s">
        <v>44783</v>
      </c>
      <c r="S14026" t="s">
        <v>45897</v>
      </c>
      <c r="T14026" t="s">
        <v>46591</v>
      </c>
      <c r="U14026" t="s">
        <v>58346</v>
      </c>
      <c r="W14026" t="s">
        <v>40934</v>
      </c>
      <c r="X14026" t="s">
        <v>44784</v>
      </c>
    </row>
    <row r="14027" spans="1:24">
      <c r="A14027">
        <f>HYPERLINK("https://www.philgeps.gov.ph/GEPSNONPILOT/Tender/SplashBidNoticeAbstractUI.aspx?menuIndex=3&amp;refID=7104335&amp;Result=3","7104335")</f>
        <v>0</v>
      </c>
      <c r="B14027" t="s">
        <v>3691</v>
      </c>
      <c r="C14027" t="s">
        <v>8434</v>
      </c>
      <c r="D14027" t="s">
        <v>17980</v>
      </c>
      <c r="E14027" t="s">
        <v>30144</v>
      </c>
      <c r="F14027" t="s">
        <v>30900</v>
      </c>
      <c r="G14027" t="s">
        <v>30907</v>
      </c>
      <c r="H14027" t="s">
        <v>30915</v>
      </c>
      <c r="I14027" t="s">
        <v>30919</v>
      </c>
      <c r="J14027" t="s">
        <v>39751</v>
      </c>
      <c r="K14027" t="s">
        <v>40293</v>
      </c>
      <c r="M14027" t="s">
        <v>44650</v>
      </c>
      <c r="N14027" t="s">
        <v>44759</v>
      </c>
      <c r="O14027" t="s">
        <v>44760</v>
      </c>
      <c r="P14027">
        <v>0</v>
      </c>
      <c r="Q14027">
        <v>4</v>
      </c>
      <c r="R14027" t="s">
        <v>44783</v>
      </c>
      <c r="S14027" t="s">
        <v>45897</v>
      </c>
      <c r="T14027" t="s">
        <v>46533</v>
      </c>
      <c r="U14027" t="s">
        <v>58418</v>
      </c>
      <c r="W14027" t="s">
        <v>44650</v>
      </c>
      <c r="X14027" t="s">
        <v>44784</v>
      </c>
    </row>
    <row r="14028" spans="1:24">
      <c r="A14028">
        <f>HYPERLINK("https://www.philgeps.gov.ph/GEPSNONPILOT/Tender/SplashBidNoticeAbstractUI.aspx?menuIndex=3&amp;refID=7105416&amp;Result=3","7105416")</f>
        <v>0</v>
      </c>
      <c r="B14028" t="s">
        <v>3693</v>
      </c>
      <c r="C14028" t="s">
        <v>17116</v>
      </c>
      <c r="D14028" t="s">
        <v>17959</v>
      </c>
      <c r="E14028" t="s">
        <v>30145</v>
      </c>
      <c r="F14028" t="s">
        <v>30900</v>
      </c>
      <c r="G14028" t="s">
        <v>30907</v>
      </c>
      <c r="H14028" t="s">
        <v>30915</v>
      </c>
      <c r="I14028" t="s">
        <v>4965</v>
      </c>
      <c r="J14028" t="s">
        <v>39752</v>
      </c>
      <c r="K14028" t="s">
        <v>40292</v>
      </c>
      <c r="M14028" t="s">
        <v>44652</v>
      </c>
      <c r="N14028" t="s">
        <v>44759</v>
      </c>
      <c r="O14028" t="s">
        <v>44760</v>
      </c>
      <c r="Q14028">
        <v>8</v>
      </c>
      <c r="R14028" t="s">
        <v>44783</v>
      </c>
      <c r="S14028" t="s">
        <v>45906</v>
      </c>
      <c r="T14028" t="s">
        <v>46383</v>
      </c>
      <c r="U14028" t="s">
        <v>58419</v>
      </c>
      <c r="W14028" t="s">
        <v>44652</v>
      </c>
      <c r="X14028" t="s">
        <v>44784</v>
      </c>
    </row>
    <row r="14029" spans="1:24">
      <c r="A14029">
        <f>HYPERLINK("https://www.philgeps.gov.ph/GEPSNONPILOT/Tender/SplashBidNoticeAbstractUI.aspx?menuIndex=3&amp;refID=7105435&amp;Result=3","7105435")</f>
        <v>0</v>
      </c>
      <c r="B14029" t="s">
        <v>3550</v>
      </c>
      <c r="C14029" t="s">
        <v>17117</v>
      </c>
      <c r="D14029" t="s">
        <v>17959</v>
      </c>
      <c r="E14029" t="s">
        <v>19042</v>
      </c>
      <c r="F14029" t="s">
        <v>30900</v>
      </c>
      <c r="G14029" t="s">
        <v>30907</v>
      </c>
      <c r="H14029" t="s">
        <v>30916</v>
      </c>
      <c r="I14029" t="s">
        <v>30924</v>
      </c>
      <c r="J14029" t="s">
        <v>39753</v>
      </c>
      <c r="K14029" t="s">
        <v>40289</v>
      </c>
      <c r="M14029" t="s">
        <v>44466</v>
      </c>
      <c r="N14029" t="s">
        <v>44759</v>
      </c>
      <c r="O14029" t="s">
        <v>44760</v>
      </c>
      <c r="Q14029">
        <v>22</v>
      </c>
      <c r="R14029" t="s">
        <v>44783</v>
      </c>
      <c r="S14029" t="s">
        <v>45907</v>
      </c>
      <c r="T14029" t="s">
        <v>46425</v>
      </c>
      <c r="U14029" t="s">
        <v>58420</v>
      </c>
      <c r="W14029" t="s">
        <v>44466</v>
      </c>
      <c r="X14029" t="s">
        <v>44784</v>
      </c>
    </row>
    <row r="14030" spans="1:24">
      <c r="A14030">
        <f>HYPERLINK("https://www.philgeps.gov.ph/GEPSNONPILOT/Tender/SplashBidNoticeAbstractUI.aspx?menuIndex=3&amp;refID=7105863&amp;Result=3","7105863")</f>
        <v>0</v>
      </c>
      <c r="B14030" t="s">
        <v>2399</v>
      </c>
      <c r="C14030" t="s">
        <v>17118</v>
      </c>
      <c r="D14030" t="s">
        <v>17990</v>
      </c>
      <c r="E14030" t="s">
        <v>20261</v>
      </c>
      <c r="F14030" t="s">
        <v>30900</v>
      </c>
      <c r="G14030" t="s">
        <v>30907</v>
      </c>
      <c r="H14030" t="s">
        <v>30916</v>
      </c>
      <c r="I14030" t="s">
        <v>4965</v>
      </c>
      <c r="J14030" t="s">
        <v>31214</v>
      </c>
      <c r="K14030" t="s">
        <v>40292</v>
      </c>
      <c r="M14030" t="s">
        <v>43126</v>
      </c>
      <c r="N14030" t="s">
        <v>44759</v>
      </c>
      <c r="O14030" t="s">
        <v>44760</v>
      </c>
      <c r="P14030">
        <v>0</v>
      </c>
      <c r="Q14030">
        <v>7</v>
      </c>
      <c r="R14030" t="s">
        <v>44783</v>
      </c>
      <c r="S14030" t="s">
        <v>45897</v>
      </c>
      <c r="T14030" t="s">
        <v>46426</v>
      </c>
      <c r="U14030" t="s">
        <v>58421</v>
      </c>
      <c r="V14030" t="s">
        <v>59862</v>
      </c>
      <c r="W14030" t="s">
        <v>43126</v>
      </c>
      <c r="X14030" t="s">
        <v>44784</v>
      </c>
    </row>
    <row r="14031" spans="1:24">
      <c r="A14031">
        <f>HYPERLINK("https://www.philgeps.gov.ph/GEPSNONPILOT/Tender/SplashBidNoticeAbstractUI.aspx?menuIndex=3&amp;refID=7105409&amp;Result=3","7105409")</f>
        <v>0</v>
      </c>
      <c r="B14031" t="s">
        <v>3645</v>
      </c>
      <c r="C14031" t="s">
        <v>17119</v>
      </c>
      <c r="D14031" t="s">
        <v>17977</v>
      </c>
      <c r="E14031" t="s">
        <v>25839</v>
      </c>
      <c r="F14031" t="s">
        <v>30900</v>
      </c>
      <c r="G14031" t="s">
        <v>30907</v>
      </c>
      <c r="H14031" t="s">
        <v>30915</v>
      </c>
      <c r="I14031" t="s">
        <v>30919</v>
      </c>
      <c r="J14031" t="s">
        <v>31243</v>
      </c>
      <c r="K14031" t="s">
        <v>40280</v>
      </c>
      <c r="M14031" t="s">
        <v>44586</v>
      </c>
      <c r="N14031" t="s">
        <v>44759</v>
      </c>
      <c r="O14031" t="s">
        <v>44760</v>
      </c>
      <c r="Q14031">
        <v>0</v>
      </c>
      <c r="R14031" t="s">
        <v>44783</v>
      </c>
      <c r="S14031" t="s">
        <v>45908</v>
      </c>
      <c r="T14031" t="s">
        <v>46581</v>
      </c>
      <c r="U14031" t="s">
        <v>58019</v>
      </c>
      <c r="V14031" t="s">
        <v>60652</v>
      </c>
      <c r="W14031" t="s">
        <v>44586</v>
      </c>
      <c r="X14031" t="s">
        <v>44784</v>
      </c>
    </row>
    <row r="14032" spans="1:24">
      <c r="A14032">
        <f>HYPERLINK("https://www.philgeps.gov.ph/GEPSNONPILOT/Tender/SplashBidNoticeAbstractUI.aspx?menuIndex=3&amp;refID=7105424&amp;Result=3","7105424")</f>
        <v>0</v>
      </c>
      <c r="B14032" t="s">
        <v>3645</v>
      </c>
      <c r="C14032" t="s">
        <v>17120</v>
      </c>
      <c r="D14032" t="s">
        <v>17977</v>
      </c>
      <c r="E14032" t="s">
        <v>25839</v>
      </c>
      <c r="F14032" t="s">
        <v>30900</v>
      </c>
      <c r="G14032" t="s">
        <v>30907</v>
      </c>
      <c r="H14032" t="s">
        <v>30915</v>
      </c>
      <c r="I14032" t="s">
        <v>30919</v>
      </c>
      <c r="J14032" t="s">
        <v>32049</v>
      </c>
      <c r="K14032" t="s">
        <v>40295</v>
      </c>
      <c r="M14032" t="s">
        <v>44586</v>
      </c>
      <c r="N14032" t="s">
        <v>44759</v>
      </c>
      <c r="O14032" t="s">
        <v>44760</v>
      </c>
      <c r="Q14032">
        <v>1</v>
      </c>
      <c r="R14032" t="s">
        <v>44783</v>
      </c>
      <c r="S14032" t="s">
        <v>45909</v>
      </c>
      <c r="T14032" t="s">
        <v>46581</v>
      </c>
      <c r="U14032" t="s">
        <v>58019</v>
      </c>
      <c r="V14032" t="s">
        <v>60652</v>
      </c>
      <c r="W14032" t="s">
        <v>44586</v>
      </c>
      <c r="X14032" t="s">
        <v>44784</v>
      </c>
    </row>
    <row r="14033" spans="1:24">
      <c r="A14033">
        <f>HYPERLINK("https://www.philgeps.gov.ph/GEPSNONPILOT/Tender/SplashBidNoticeAbstractUI.aspx?menuIndex=3&amp;refID=7036455&amp;Result=3","7036455")</f>
        <v>0</v>
      </c>
      <c r="B14033" t="s">
        <v>3687</v>
      </c>
      <c r="C14033" t="s">
        <v>17121</v>
      </c>
      <c r="D14033" t="s">
        <v>17978</v>
      </c>
      <c r="E14033" t="s">
        <v>30146</v>
      </c>
      <c r="F14033" t="s">
        <v>30900</v>
      </c>
      <c r="G14033" t="s">
        <v>30912</v>
      </c>
      <c r="H14033" t="s">
        <v>30916</v>
      </c>
      <c r="I14033" t="s">
        <v>30926</v>
      </c>
      <c r="J14033" t="s">
        <v>36174</v>
      </c>
      <c r="K14033" t="s">
        <v>40286</v>
      </c>
      <c r="M14033" t="s">
        <v>44645</v>
      </c>
      <c r="N14033" t="s">
        <v>44759</v>
      </c>
      <c r="O14033" t="s">
        <v>44760</v>
      </c>
      <c r="P14033">
        <v>0</v>
      </c>
      <c r="Q14033">
        <v>2</v>
      </c>
      <c r="R14033" t="s">
        <v>44783</v>
      </c>
      <c r="S14033" t="s">
        <v>45897</v>
      </c>
      <c r="T14033" t="s">
        <v>46451</v>
      </c>
      <c r="U14033" t="s">
        <v>58422</v>
      </c>
      <c r="W14033" t="s">
        <v>44645</v>
      </c>
      <c r="X14033" t="s">
        <v>60960</v>
      </c>
    </row>
    <row r="14034" spans="1:24">
      <c r="A14034">
        <f>HYPERLINK("https://www.philgeps.gov.ph/GEPSNONPILOT/Tender/SplashBidNoticeAbstractUI.aspx?menuIndex=3&amp;refID=7105880&amp;Result=3","7105880")</f>
        <v>0</v>
      </c>
      <c r="B14034" t="s">
        <v>1636</v>
      </c>
      <c r="C14034" t="s">
        <v>17122</v>
      </c>
      <c r="D14034" t="s">
        <v>17989</v>
      </c>
      <c r="E14034" t="s">
        <v>30147</v>
      </c>
      <c r="F14034" t="s">
        <v>30900</v>
      </c>
      <c r="G14034" t="s">
        <v>30907</v>
      </c>
      <c r="H14034" t="s">
        <v>30916</v>
      </c>
      <c r="I14034" t="s">
        <v>30949</v>
      </c>
      <c r="J14034" t="s">
        <v>39754</v>
      </c>
      <c r="K14034" t="s">
        <v>40304</v>
      </c>
      <c r="M14034" t="s">
        <v>42291</v>
      </c>
      <c r="N14034" t="s">
        <v>44759</v>
      </c>
      <c r="O14034" t="s">
        <v>44760</v>
      </c>
      <c r="P14034">
        <v>0</v>
      </c>
      <c r="Q14034">
        <v>9</v>
      </c>
      <c r="R14034" t="s">
        <v>44783</v>
      </c>
      <c r="S14034" t="s">
        <v>45897</v>
      </c>
      <c r="T14034" t="s">
        <v>46533</v>
      </c>
      <c r="U14034" t="s">
        <v>58423</v>
      </c>
      <c r="W14034" t="s">
        <v>42291</v>
      </c>
      <c r="X14034" t="s">
        <v>44784</v>
      </c>
    </row>
    <row r="14035" spans="1:24">
      <c r="A14035">
        <f>HYPERLINK("https://www.philgeps.gov.ph/GEPSNONPILOT/Tender/SplashBidNoticeAbstractUI.aspx?menuIndex=3&amp;refID=7105822&amp;Result=3","7105822")</f>
        <v>0</v>
      </c>
      <c r="B14035" t="s">
        <v>1589</v>
      </c>
      <c r="C14035" t="s">
        <v>17123</v>
      </c>
      <c r="D14035" t="s">
        <v>17992</v>
      </c>
      <c r="E14035" t="s">
        <v>30148</v>
      </c>
      <c r="F14035" t="s">
        <v>30900</v>
      </c>
      <c r="G14035" t="s">
        <v>30907</v>
      </c>
      <c r="H14035" t="s">
        <v>30915</v>
      </c>
      <c r="I14035" t="s">
        <v>30955</v>
      </c>
      <c r="J14035" t="s">
        <v>39755</v>
      </c>
      <c r="K14035" t="s">
        <v>40286</v>
      </c>
      <c r="M14035" t="s">
        <v>42236</v>
      </c>
      <c r="N14035" t="s">
        <v>44759</v>
      </c>
      <c r="O14035" t="s">
        <v>44760</v>
      </c>
      <c r="Q14035">
        <v>2</v>
      </c>
      <c r="R14035" t="s">
        <v>44783</v>
      </c>
      <c r="S14035" t="s">
        <v>45910</v>
      </c>
      <c r="T14035" t="s">
        <v>46533</v>
      </c>
      <c r="U14035" t="s">
        <v>58424</v>
      </c>
      <c r="W14035" t="s">
        <v>42236</v>
      </c>
      <c r="X14035" t="s">
        <v>44784</v>
      </c>
    </row>
    <row r="14036" spans="1:24">
      <c r="A14036">
        <f>HYPERLINK("https://www.philgeps.gov.ph/GEPSNONPILOT/Tender/SplashBidNoticeAbstractUI.aspx?menuIndex=3&amp;refID=7105814&amp;Result=3","7105814")</f>
        <v>0</v>
      </c>
      <c r="B14036" t="s">
        <v>1636</v>
      </c>
      <c r="C14036" t="s">
        <v>17124</v>
      </c>
      <c r="D14036" t="s">
        <v>17989</v>
      </c>
      <c r="E14036" t="s">
        <v>30149</v>
      </c>
      <c r="F14036" t="s">
        <v>30900</v>
      </c>
      <c r="G14036" t="s">
        <v>30907</v>
      </c>
      <c r="H14036" t="s">
        <v>30916</v>
      </c>
      <c r="I14036" t="s">
        <v>30963</v>
      </c>
      <c r="J14036" t="s">
        <v>39756</v>
      </c>
      <c r="K14036" t="s">
        <v>40304</v>
      </c>
      <c r="M14036" t="s">
        <v>42291</v>
      </c>
      <c r="N14036" t="s">
        <v>44759</v>
      </c>
      <c r="O14036" t="s">
        <v>44760</v>
      </c>
      <c r="P14036">
        <v>0</v>
      </c>
      <c r="Q14036">
        <v>12</v>
      </c>
      <c r="R14036" t="s">
        <v>44783</v>
      </c>
      <c r="S14036" t="s">
        <v>45897</v>
      </c>
      <c r="T14036" t="s">
        <v>46533</v>
      </c>
      <c r="U14036" t="s">
        <v>58425</v>
      </c>
      <c r="W14036" t="s">
        <v>42291</v>
      </c>
      <c r="X14036" t="s">
        <v>44784</v>
      </c>
    </row>
    <row r="14037" spans="1:24">
      <c r="A14037">
        <f>HYPERLINK("https://www.philgeps.gov.ph/GEPSNONPILOT/Tender/SplashBidNoticeAbstractUI.aspx?menuIndex=3&amp;refID=7105805&amp;Result=3","7105805")</f>
        <v>0</v>
      </c>
      <c r="B14037" t="s">
        <v>1399</v>
      </c>
      <c r="C14037" t="s">
        <v>11437</v>
      </c>
      <c r="D14037" t="s">
        <v>18017</v>
      </c>
      <c r="E14037" t="s">
        <v>30150</v>
      </c>
      <c r="F14037" t="s">
        <v>30900</v>
      </c>
      <c r="G14037" t="s">
        <v>30907</v>
      </c>
      <c r="H14037" t="s">
        <v>30916</v>
      </c>
      <c r="I14037" t="s">
        <v>30921</v>
      </c>
      <c r="J14037" t="s">
        <v>31297</v>
      </c>
      <c r="K14037" t="s">
        <v>40287</v>
      </c>
      <c r="M14037" t="s">
        <v>42025</v>
      </c>
      <c r="N14037" t="s">
        <v>44759</v>
      </c>
      <c r="O14037" t="s">
        <v>44760</v>
      </c>
      <c r="P14037">
        <v>0</v>
      </c>
      <c r="Q14037">
        <v>3</v>
      </c>
      <c r="R14037" t="s">
        <v>44783</v>
      </c>
      <c r="S14037" t="s">
        <v>45897</v>
      </c>
      <c r="T14037" t="s">
        <v>46760</v>
      </c>
      <c r="U14037" t="s">
        <v>53696</v>
      </c>
      <c r="V14037" t="s">
        <v>60703</v>
      </c>
      <c r="W14037" t="s">
        <v>42025</v>
      </c>
      <c r="X14037" t="s">
        <v>44784</v>
      </c>
    </row>
    <row r="14038" spans="1:24">
      <c r="A14038">
        <f>HYPERLINK("https://www.philgeps.gov.ph/GEPSNONPILOT/Tender/SplashBidNoticeAbstractUI.aspx?menuIndex=3&amp;refID=7105795&amp;Result=3","7105795")</f>
        <v>0</v>
      </c>
      <c r="B14038" t="s">
        <v>3302</v>
      </c>
      <c r="C14038" t="s">
        <v>17125</v>
      </c>
      <c r="D14038" t="s">
        <v>17959</v>
      </c>
      <c r="E14038" t="s">
        <v>30131</v>
      </c>
      <c r="F14038" t="s">
        <v>30900</v>
      </c>
      <c r="G14038" t="s">
        <v>30907</v>
      </c>
      <c r="H14038" t="s">
        <v>30916</v>
      </c>
      <c r="I14038" t="s">
        <v>30926</v>
      </c>
      <c r="J14038" t="s">
        <v>39757</v>
      </c>
      <c r="K14038" t="s">
        <v>40284</v>
      </c>
      <c r="M14038" t="s">
        <v>44506</v>
      </c>
      <c r="N14038" t="s">
        <v>44759</v>
      </c>
      <c r="O14038" t="s">
        <v>44760</v>
      </c>
      <c r="P14038">
        <v>0</v>
      </c>
      <c r="Q14038">
        <v>0</v>
      </c>
      <c r="R14038" t="s">
        <v>44783</v>
      </c>
      <c r="S14038" t="s">
        <v>45897</v>
      </c>
      <c r="T14038" t="s">
        <v>46581</v>
      </c>
      <c r="U14038" t="s">
        <v>57615</v>
      </c>
      <c r="W14038" t="s">
        <v>44506</v>
      </c>
      <c r="X14038" t="s">
        <v>44784</v>
      </c>
    </row>
    <row r="14039" spans="1:24">
      <c r="A14039">
        <f>HYPERLINK("https://www.philgeps.gov.ph/GEPSNONPILOT/Tender/SplashBidNoticeAbstractUI.aspx?menuIndex=3&amp;refID=7105776&amp;Result=3","7105776")</f>
        <v>0</v>
      </c>
      <c r="B14039" t="s">
        <v>2399</v>
      </c>
      <c r="C14039" t="s">
        <v>17126</v>
      </c>
      <c r="D14039" t="s">
        <v>17990</v>
      </c>
      <c r="E14039" t="s">
        <v>20245</v>
      </c>
      <c r="F14039" t="s">
        <v>30900</v>
      </c>
      <c r="G14039" t="s">
        <v>30907</v>
      </c>
      <c r="H14039" t="s">
        <v>30916</v>
      </c>
      <c r="I14039" t="s">
        <v>4965</v>
      </c>
      <c r="J14039" t="s">
        <v>32560</v>
      </c>
      <c r="K14039" t="s">
        <v>40292</v>
      </c>
      <c r="M14039" t="s">
        <v>43126</v>
      </c>
      <c r="N14039" t="s">
        <v>44759</v>
      </c>
      <c r="O14039" t="s">
        <v>44760</v>
      </c>
      <c r="P14039">
        <v>0</v>
      </c>
      <c r="Q14039">
        <v>5</v>
      </c>
      <c r="R14039" t="s">
        <v>44783</v>
      </c>
      <c r="S14039" t="s">
        <v>45897</v>
      </c>
      <c r="T14039" t="s">
        <v>46426</v>
      </c>
      <c r="U14039" t="s">
        <v>58426</v>
      </c>
      <c r="V14039" t="s">
        <v>59862</v>
      </c>
      <c r="W14039" t="s">
        <v>43126</v>
      </c>
      <c r="X14039" t="s">
        <v>44784</v>
      </c>
    </row>
    <row r="14040" spans="1:24">
      <c r="A14040">
        <f>HYPERLINK("https://www.philgeps.gov.ph/GEPSNONPILOT/Tender/SplashBidNoticeAbstractUI.aspx?menuIndex=3&amp;refID=7105846&amp;Result=3","7105846")</f>
        <v>0</v>
      </c>
      <c r="B14040" t="s">
        <v>3302</v>
      </c>
      <c r="C14040" t="s">
        <v>17127</v>
      </c>
      <c r="D14040" t="s">
        <v>17959</v>
      </c>
      <c r="E14040" t="s">
        <v>30131</v>
      </c>
      <c r="F14040" t="s">
        <v>30900</v>
      </c>
      <c r="G14040" t="s">
        <v>30907</v>
      </c>
      <c r="H14040" t="s">
        <v>30916</v>
      </c>
      <c r="I14040" t="s">
        <v>11785</v>
      </c>
      <c r="J14040" t="s">
        <v>33529</v>
      </c>
      <c r="K14040" t="s">
        <v>40284</v>
      </c>
      <c r="M14040" t="s">
        <v>44506</v>
      </c>
      <c r="N14040" t="s">
        <v>44759</v>
      </c>
      <c r="O14040" t="s">
        <v>44760</v>
      </c>
      <c r="P14040">
        <v>0</v>
      </c>
      <c r="Q14040">
        <v>3</v>
      </c>
      <c r="R14040" t="s">
        <v>44783</v>
      </c>
      <c r="S14040" t="s">
        <v>45897</v>
      </c>
      <c r="T14040" t="s">
        <v>46581</v>
      </c>
      <c r="U14040" t="s">
        <v>57615</v>
      </c>
      <c r="W14040" t="s">
        <v>44506</v>
      </c>
      <c r="X14040" t="s">
        <v>44784</v>
      </c>
    </row>
    <row r="14041" spans="1:24">
      <c r="A14041">
        <f>HYPERLINK("https://www.philgeps.gov.ph/GEPSNONPILOT/Tender/SplashBidNoticeAbstractUI.aspx?menuIndex=3&amp;refID=7105816&amp;Result=3","7105816")</f>
        <v>0</v>
      </c>
      <c r="B14041" t="s">
        <v>2399</v>
      </c>
      <c r="C14041" t="s">
        <v>17128</v>
      </c>
      <c r="D14041" t="s">
        <v>17990</v>
      </c>
      <c r="E14041" t="s">
        <v>19703</v>
      </c>
      <c r="F14041" t="s">
        <v>30900</v>
      </c>
      <c r="G14041" t="s">
        <v>30907</v>
      </c>
      <c r="H14041" t="s">
        <v>30916</v>
      </c>
      <c r="I14041" t="s">
        <v>4965</v>
      </c>
      <c r="J14041" t="s">
        <v>32616</v>
      </c>
      <c r="K14041" t="s">
        <v>40292</v>
      </c>
      <c r="M14041" t="s">
        <v>43126</v>
      </c>
      <c r="N14041" t="s">
        <v>44759</v>
      </c>
      <c r="O14041" t="s">
        <v>44760</v>
      </c>
      <c r="P14041">
        <v>0</v>
      </c>
      <c r="Q14041">
        <v>6</v>
      </c>
      <c r="R14041" t="s">
        <v>44783</v>
      </c>
      <c r="S14041" t="s">
        <v>45897</v>
      </c>
      <c r="T14041" t="s">
        <v>46426</v>
      </c>
      <c r="U14041" t="s">
        <v>58427</v>
      </c>
      <c r="V14041" t="s">
        <v>59862</v>
      </c>
      <c r="W14041" t="s">
        <v>43126</v>
      </c>
      <c r="X14041" t="s">
        <v>44784</v>
      </c>
    </row>
    <row r="14042" spans="1:24">
      <c r="A14042">
        <f>HYPERLINK("https://www.philgeps.gov.ph/GEPSNONPILOT/Tender/SplashBidNoticeAbstractUI.aspx?menuIndex=3&amp;refID=7106390&amp;Result=3","7106390")</f>
        <v>0</v>
      </c>
      <c r="B14042" t="s">
        <v>537</v>
      </c>
      <c r="C14042" t="s">
        <v>17129</v>
      </c>
      <c r="D14042" t="s">
        <v>17978</v>
      </c>
      <c r="E14042" t="s">
        <v>30151</v>
      </c>
      <c r="F14042" t="s">
        <v>30900</v>
      </c>
      <c r="G14042" t="s">
        <v>30907</v>
      </c>
      <c r="H14042" t="s">
        <v>30915</v>
      </c>
      <c r="I14042" t="s">
        <v>30919</v>
      </c>
      <c r="J14042" t="s">
        <v>39758</v>
      </c>
      <c r="K14042" t="s">
        <v>40308</v>
      </c>
      <c r="M14042" t="s">
        <v>41097</v>
      </c>
      <c r="N14042" t="s">
        <v>44759</v>
      </c>
      <c r="O14042" t="s">
        <v>44760</v>
      </c>
      <c r="P14042">
        <v>0</v>
      </c>
      <c r="Q14042">
        <v>0</v>
      </c>
      <c r="R14042" t="s">
        <v>44783</v>
      </c>
      <c r="S14042" t="s">
        <v>45897</v>
      </c>
      <c r="T14042" t="s">
        <v>46625</v>
      </c>
      <c r="U14042" t="s">
        <v>58428</v>
      </c>
      <c r="V14042" t="s">
        <v>59239</v>
      </c>
      <c r="W14042" t="s">
        <v>41097</v>
      </c>
      <c r="X14042" t="s">
        <v>44784</v>
      </c>
    </row>
    <row r="14043" spans="1:24">
      <c r="A14043">
        <f>HYPERLINK("https://www.philgeps.gov.ph/GEPSNONPILOT/Tender/SplashBidNoticeAbstractUI.aspx?menuIndex=3&amp;refID=7106352&amp;Result=3","7106352")</f>
        <v>0</v>
      </c>
      <c r="B14043" t="s">
        <v>2150</v>
      </c>
      <c r="C14043" t="s">
        <v>17130</v>
      </c>
      <c r="D14043" t="s">
        <v>17951</v>
      </c>
      <c r="E14043" t="s">
        <v>21754</v>
      </c>
      <c r="F14043" t="s">
        <v>30900</v>
      </c>
      <c r="G14043" t="s">
        <v>30907</v>
      </c>
      <c r="H14043" t="s">
        <v>30916</v>
      </c>
      <c r="I14043" t="s">
        <v>4108</v>
      </c>
      <c r="J14043" t="s">
        <v>32125</v>
      </c>
      <c r="K14043" t="s">
        <v>40292</v>
      </c>
      <c r="M14043" t="s">
        <v>42854</v>
      </c>
      <c r="N14043" t="s">
        <v>44759</v>
      </c>
      <c r="O14043" t="s">
        <v>44760</v>
      </c>
      <c r="P14043">
        <v>0</v>
      </c>
      <c r="Q14043">
        <v>10</v>
      </c>
      <c r="R14043" t="s">
        <v>44783</v>
      </c>
      <c r="S14043" t="s">
        <v>45897</v>
      </c>
      <c r="T14043" t="s">
        <v>46531</v>
      </c>
      <c r="U14043" t="s">
        <v>58429</v>
      </c>
      <c r="W14043" t="s">
        <v>42854</v>
      </c>
      <c r="X14043" t="s">
        <v>44784</v>
      </c>
    </row>
    <row r="14044" spans="1:24">
      <c r="A14044">
        <f>HYPERLINK("https://www.philgeps.gov.ph/GEPSNONPILOT/Tender/SplashBidNoticeAbstractUI.aspx?menuIndex=3&amp;refID=7105545&amp;Result=3","7105545")</f>
        <v>0</v>
      </c>
      <c r="B14044" t="s">
        <v>3302</v>
      </c>
      <c r="C14044" t="s">
        <v>17131</v>
      </c>
      <c r="D14044" t="s">
        <v>17959</v>
      </c>
      <c r="E14044" t="s">
        <v>30131</v>
      </c>
      <c r="F14044" t="s">
        <v>30900</v>
      </c>
      <c r="G14044" t="s">
        <v>30907</v>
      </c>
      <c r="H14044" t="s">
        <v>30916</v>
      </c>
      <c r="I14044" t="s">
        <v>4142</v>
      </c>
      <c r="J14044" t="s">
        <v>33341</v>
      </c>
      <c r="K14044" t="s">
        <v>40284</v>
      </c>
      <c r="M14044" t="s">
        <v>44506</v>
      </c>
      <c r="N14044" t="s">
        <v>44759</v>
      </c>
      <c r="O14044" t="s">
        <v>44760</v>
      </c>
      <c r="P14044">
        <v>0</v>
      </c>
      <c r="Q14044">
        <v>1</v>
      </c>
      <c r="R14044" t="s">
        <v>44783</v>
      </c>
      <c r="S14044" t="s">
        <v>45897</v>
      </c>
      <c r="T14044" t="s">
        <v>46581</v>
      </c>
      <c r="U14044" t="s">
        <v>57615</v>
      </c>
      <c r="W14044" t="s">
        <v>44506</v>
      </c>
      <c r="X14044" t="s">
        <v>44784</v>
      </c>
    </row>
    <row r="14045" spans="1:24">
      <c r="A14045">
        <f>HYPERLINK("https://www.philgeps.gov.ph/GEPSNONPILOT/Tender/SplashBidNoticeAbstractUI.aspx?menuIndex=3&amp;refID=7106316&amp;Result=3","7106316")</f>
        <v>0</v>
      </c>
      <c r="B14045" t="s">
        <v>3306</v>
      </c>
      <c r="C14045" t="s">
        <v>17132</v>
      </c>
      <c r="D14045" t="s">
        <v>17998</v>
      </c>
      <c r="E14045" t="s">
        <v>30152</v>
      </c>
      <c r="F14045" t="s">
        <v>30900</v>
      </c>
      <c r="G14045" t="s">
        <v>30907</v>
      </c>
      <c r="H14045" t="s">
        <v>30916</v>
      </c>
      <c r="I14045" t="s">
        <v>30932</v>
      </c>
      <c r="J14045" t="s">
        <v>39759</v>
      </c>
      <c r="K14045" t="s">
        <v>40286</v>
      </c>
      <c r="M14045" t="s">
        <v>44159</v>
      </c>
      <c r="N14045" t="s">
        <v>44759</v>
      </c>
      <c r="O14045" t="s">
        <v>44760</v>
      </c>
      <c r="P14045">
        <v>0</v>
      </c>
      <c r="Q14045">
        <v>1</v>
      </c>
      <c r="R14045" t="s">
        <v>44783</v>
      </c>
      <c r="S14045" t="s">
        <v>45897</v>
      </c>
      <c r="T14045" t="s">
        <v>46376</v>
      </c>
      <c r="U14045" t="s">
        <v>58430</v>
      </c>
      <c r="W14045" t="s">
        <v>44159</v>
      </c>
      <c r="X14045" t="s">
        <v>44784</v>
      </c>
    </row>
    <row r="14046" spans="1:24">
      <c r="A14046">
        <f>HYPERLINK("https://www.philgeps.gov.ph/GEPSNONPILOT/Tender/SplashBidNoticeAbstractUI.aspx?menuIndex=3&amp;refID=7106317&amp;Result=3","7106317")</f>
        <v>0</v>
      </c>
      <c r="B14046" t="s">
        <v>537</v>
      </c>
      <c r="C14046" t="s">
        <v>17133</v>
      </c>
      <c r="D14046" t="s">
        <v>17978</v>
      </c>
      <c r="E14046" t="s">
        <v>30153</v>
      </c>
      <c r="F14046" t="s">
        <v>30900</v>
      </c>
      <c r="G14046" t="s">
        <v>30907</v>
      </c>
      <c r="H14046" t="s">
        <v>30915</v>
      </c>
      <c r="I14046" t="s">
        <v>30919</v>
      </c>
      <c r="J14046" t="s">
        <v>39760</v>
      </c>
      <c r="K14046" t="s">
        <v>40336</v>
      </c>
      <c r="M14046" t="s">
        <v>41097</v>
      </c>
      <c r="N14046" t="s">
        <v>44759</v>
      </c>
      <c r="O14046" t="s">
        <v>44760</v>
      </c>
      <c r="P14046">
        <v>0</v>
      </c>
      <c r="Q14046">
        <v>1</v>
      </c>
      <c r="R14046" t="s">
        <v>44783</v>
      </c>
      <c r="S14046" t="s">
        <v>45897</v>
      </c>
      <c r="T14046" t="s">
        <v>46625</v>
      </c>
      <c r="U14046" t="s">
        <v>58431</v>
      </c>
      <c r="V14046" t="s">
        <v>59239</v>
      </c>
      <c r="W14046" t="s">
        <v>41097</v>
      </c>
      <c r="X14046" t="s">
        <v>44784</v>
      </c>
    </row>
    <row r="14047" spans="1:24">
      <c r="A14047">
        <f>HYPERLINK("https://www.philgeps.gov.ph/GEPSNONPILOT/Tender/SplashBidNoticeAbstractUI.aspx?menuIndex=3&amp;refID=7106295&amp;Result=3","7106295")</f>
        <v>0</v>
      </c>
      <c r="B14047" t="s">
        <v>537</v>
      </c>
      <c r="C14047" t="s">
        <v>17134</v>
      </c>
      <c r="D14047" t="s">
        <v>17978</v>
      </c>
      <c r="E14047" t="s">
        <v>30154</v>
      </c>
      <c r="F14047" t="s">
        <v>30900</v>
      </c>
      <c r="G14047" t="s">
        <v>30907</v>
      </c>
      <c r="H14047" t="s">
        <v>30915</v>
      </c>
      <c r="I14047" t="s">
        <v>30919</v>
      </c>
      <c r="J14047" t="s">
        <v>39761</v>
      </c>
      <c r="K14047" t="s">
        <v>40391</v>
      </c>
      <c r="M14047" t="s">
        <v>41097</v>
      </c>
      <c r="N14047" t="s">
        <v>44759</v>
      </c>
      <c r="O14047" t="s">
        <v>44760</v>
      </c>
      <c r="P14047">
        <v>0</v>
      </c>
      <c r="Q14047">
        <v>0</v>
      </c>
      <c r="R14047" t="s">
        <v>44783</v>
      </c>
      <c r="S14047" t="s">
        <v>45897</v>
      </c>
      <c r="T14047" t="s">
        <v>46625</v>
      </c>
      <c r="U14047" t="s">
        <v>58431</v>
      </c>
      <c r="V14047" t="s">
        <v>59239</v>
      </c>
      <c r="W14047" t="s">
        <v>41097</v>
      </c>
      <c r="X14047" t="s">
        <v>44784</v>
      </c>
    </row>
    <row r="14048" spans="1:24">
      <c r="A14048">
        <f>HYPERLINK("https://www.philgeps.gov.ph/GEPSNONPILOT/Tender/SplashBidNoticeAbstractUI.aspx?menuIndex=3&amp;refID=7106283&amp;Result=3","7106283")</f>
        <v>0</v>
      </c>
      <c r="B14048" t="s">
        <v>537</v>
      </c>
      <c r="C14048" t="s">
        <v>17135</v>
      </c>
      <c r="D14048" t="s">
        <v>17978</v>
      </c>
      <c r="E14048" t="s">
        <v>30155</v>
      </c>
      <c r="F14048" t="s">
        <v>30900</v>
      </c>
      <c r="G14048" t="s">
        <v>30907</v>
      </c>
      <c r="H14048" t="s">
        <v>30915</v>
      </c>
      <c r="I14048" t="s">
        <v>30919</v>
      </c>
      <c r="J14048" t="s">
        <v>39762</v>
      </c>
      <c r="K14048" t="s">
        <v>40358</v>
      </c>
      <c r="M14048" t="s">
        <v>41097</v>
      </c>
      <c r="N14048" t="s">
        <v>44759</v>
      </c>
      <c r="O14048" t="s">
        <v>44760</v>
      </c>
      <c r="P14048">
        <v>0</v>
      </c>
      <c r="Q14048">
        <v>1</v>
      </c>
      <c r="R14048" t="s">
        <v>44783</v>
      </c>
      <c r="S14048" t="s">
        <v>45897</v>
      </c>
      <c r="T14048" t="s">
        <v>46625</v>
      </c>
      <c r="U14048" t="s">
        <v>58431</v>
      </c>
      <c r="V14048" t="s">
        <v>59239</v>
      </c>
      <c r="W14048" t="s">
        <v>41097</v>
      </c>
      <c r="X14048" t="s">
        <v>44784</v>
      </c>
    </row>
    <row r="14049" spans="1:24">
      <c r="A14049">
        <f>HYPERLINK("https://www.philgeps.gov.ph/GEPSNONPILOT/Tender/SplashBidNoticeAbstractUI.aspx?menuIndex=3&amp;refID=7106170&amp;Result=3","7106170")</f>
        <v>0</v>
      </c>
      <c r="B14049" t="s">
        <v>3694</v>
      </c>
      <c r="C14049" t="s">
        <v>17136</v>
      </c>
      <c r="D14049" t="s">
        <v>17973</v>
      </c>
      <c r="E14049" t="s">
        <v>30156</v>
      </c>
      <c r="F14049" t="s">
        <v>30900</v>
      </c>
      <c r="G14049" t="s">
        <v>30907</v>
      </c>
      <c r="H14049" t="s">
        <v>30916</v>
      </c>
      <c r="I14049" t="s">
        <v>5501</v>
      </c>
      <c r="J14049" t="s">
        <v>39763</v>
      </c>
      <c r="K14049" t="s">
        <v>40288</v>
      </c>
      <c r="M14049" t="s">
        <v>44653</v>
      </c>
      <c r="N14049" t="s">
        <v>44759</v>
      </c>
      <c r="O14049" t="s">
        <v>44760</v>
      </c>
      <c r="P14049">
        <v>0</v>
      </c>
      <c r="Q14049">
        <v>5</v>
      </c>
      <c r="R14049" t="s">
        <v>44783</v>
      </c>
      <c r="S14049" t="s">
        <v>45897</v>
      </c>
      <c r="T14049" t="s">
        <v>46581</v>
      </c>
      <c r="U14049" t="s">
        <v>58432</v>
      </c>
      <c r="W14049" t="s">
        <v>44653</v>
      </c>
      <c r="X14049" t="s">
        <v>44784</v>
      </c>
    </row>
    <row r="14050" spans="1:24">
      <c r="A14050">
        <f>HYPERLINK("https://www.philgeps.gov.ph/GEPSNONPILOT/Tender/SplashBidNoticeAbstractUI.aspx?menuIndex=3&amp;refID=7106373&amp;Result=3","7106373")</f>
        <v>0</v>
      </c>
      <c r="B14050" t="s">
        <v>537</v>
      </c>
      <c r="C14050" t="s">
        <v>17137</v>
      </c>
      <c r="D14050" t="s">
        <v>17978</v>
      </c>
      <c r="E14050" t="s">
        <v>30157</v>
      </c>
      <c r="F14050" t="s">
        <v>30900</v>
      </c>
      <c r="G14050" t="s">
        <v>30907</v>
      </c>
      <c r="H14050" t="s">
        <v>30915</v>
      </c>
      <c r="I14050" t="s">
        <v>30919</v>
      </c>
      <c r="J14050" t="s">
        <v>39764</v>
      </c>
      <c r="K14050" t="s">
        <v>40286</v>
      </c>
      <c r="M14050" t="s">
        <v>41097</v>
      </c>
      <c r="N14050" t="s">
        <v>44759</v>
      </c>
      <c r="O14050" t="s">
        <v>44760</v>
      </c>
      <c r="P14050">
        <v>0</v>
      </c>
      <c r="Q14050">
        <v>1</v>
      </c>
      <c r="R14050" t="s">
        <v>44783</v>
      </c>
      <c r="S14050" t="s">
        <v>45897</v>
      </c>
      <c r="T14050" t="s">
        <v>46625</v>
      </c>
      <c r="U14050" t="s">
        <v>58428</v>
      </c>
      <c r="V14050" t="s">
        <v>59239</v>
      </c>
      <c r="W14050" t="s">
        <v>41097</v>
      </c>
      <c r="X14050" t="s">
        <v>44784</v>
      </c>
    </row>
    <row r="14051" spans="1:24">
      <c r="A14051">
        <f>HYPERLINK("https://www.philgeps.gov.ph/GEPSNONPILOT/Tender/SplashBidNoticeAbstractUI.aspx?menuIndex=3&amp;refID=7106098&amp;Result=3","7106098")</f>
        <v>0</v>
      </c>
      <c r="B14051" t="s">
        <v>3302</v>
      </c>
      <c r="C14051" t="s">
        <v>17138</v>
      </c>
      <c r="D14051" t="s">
        <v>17959</v>
      </c>
      <c r="E14051" t="s">
        <v>30131</v>
      </c>
      <c r="F14051" t="s">
        <v>30900</v>
      </c>
      <c r="G14051" t="s">
        <v>30907</v>
      </c>
      <c r="H14051" t="s">
        <v>30916</v>
      </c>
      <c r="I14051" t="s">
        <v>30926</v>
      </c>
      <c r="J14051" t="s">
        <v>39757</v>
      </c>
      <c r="K14051" t="s">
        <v>40284</v>
      </c>
      <c r="M14051" t="s">
        <v>44506</v>
      </c>
      <c r="N14051" t="s">
        <v>44759</v>
      </c>
      <c r="O14051" t="s">
        <v>44760</v>
      </c>
      <c r="P14051">
        <v>0</v>
      </c>
      <c r="Q14051">
        <v>0</v>
      </c>
      <c r="R14051" t="s">
        <v>44783</v>
      </c>
      <c r="S14051" t="s">
        <v>45897</v>
      </c>
      <c r="T14051" t="s">
        <v>46581</v>
      </c>
      <c r="U14051" t="s">
        <v>57615</v>
      </c>
      <c r="W14051" t="s">
        <v>44506</v>
      </c>
      <c r="X14051" t="s">
        <v>44784</v>
      </c>
    </row>
    <row r="14052" spans="1:24">
      <c r="A14052">
        <f>HYPERLINK("https://www.philgeps.gov.ph/GEPSNONPILOT/Tender/SplashBidNoticeAbstractUI.aspx?menuIndex=3&amp;refID=7106335&amp;Result=3","7106335")</f>
        <v>0</v>
      </c>
      <c r="B14052" t="s">
        <v>537</v>
      </c>
      <c r="C14052" t="s">
        <v>17139</v>
      </c>
      <c r="D14052" t="s">
        <v>17978</v>
      </c>
      <c r="E14052" t="s">
        <v>30158</v>
      </c>
      <c r="F14052" t="s">
        <v>30900</v>
      </c>
      <c r="G14052" t="s">
        <v>30907</v>
      </c>
      <c r="H14052" t="s">
        <v>30915</v>
      </c>
      <c r="I14052" t="s">
        <v>30919</v>
      </c>
      <c r="J14052" t="s">
        <v>39765</v>
      </c>
      <c r="K14052" t="s">
        <v>40280</v>
      </c>
      <c r="M14052" t="s">
        <v>41097</v>
      </c>
      <c r="N14052" t="s">
        <v>44759</v>
      </c>
      <c r="O14052" t="s">
        <v>44760</v>
      </c>
      <c r="P14052">
        <v>0</v>
      </c>
      <c r="Q14052">
        <v>1</v>
      </c>
      <c r="R14052" t="s">
        <v>44783</v>
      </c>
      <c r="S14052" t="s">
        <v>45897</v>
      </c>
      <c r="T14052" t="s">
        <v>46625</v>
      </c>
      <c r="U14052" t="s">
        <v>58431</v>
      </c>
      <c r="V14052" t="s">
        <v>59239</v>
      </c>
      <c r="W14052" t="s">
        <v>41097</v>
      </c>
      <c r="X14052" t="s">
        <v>44784</v>
      </c>
    </row>
    <row r="14053" spans="1:24">
      <c r="A14053">
        <f>HYPERLINK("https://www.philgeps.gov.ph/GEPSNONPILOT/Tender/SplashBidNoticeAbstractUI.aspx?menuIndex=3&amp;refID=7106029&amp;Result=3","7106029")</f>
        <v>0</v>
      </c>
      <c r="B14053" t="s">
        <v>1399</v>
      </c>
      <c r="C14053" t="s">
        <v>17140</v>
      </c>
      <c r="D14053" t="s">
        <v>18017</v>
      </c>
      <c r="E14053" t="s">
        <v>30159</v>
      </c>
      <c r="F14053" t="s">
        <v>30900</v>
      </c>
      <c r="G14053" t="s">
        <v>30907</v>
      </c>
      <c r="H14053" t="s">
        <v>30916</v>
      </c>
      <c r="I14053" t="s">
        <v>4108</v>
      </c>
      <c r="J14053" t="s">
        <v>39766</v>
      </c>
      <c r="K14053" t="s">
        <v>40287</v>
      </c>
      <c r="M14053" t="s">
        <v>42025</v>
      </c>
      <c r="N14053" t="s">
        <v>44759</v>
      </c>
      <c r="O14053" t="s">
        <v>44760</v>
      </c>
      <c r="P14053">
        <v>0</v>
      </c>
      <c r="Q14053">
        <v>4</v>
      </c>
      <c r="R14053" t="s">
        <v>44783</v>
      </c>
      <c r="S14053" t="s">
        <v>45897</v>
      </c>
      <c r="T14053" t="s">
        <v>46760</v>
      </c>
      <c r="U14053" t="s">
        <v>53696</v>
      </c>
      <c r="V14053" t="s">
        <v>60704</v>
      </c>
      <c r="W14053" t="s">
        <v>42025</v>
      </c>
      <c r="X14053" t="s">
        <v>44784</v>
      </c>
    </row>
    <row r="14054" spans="1:24">
      <c r="A14054">
        <f>HYPERLINK("https://www.philgeps.gov.ph/GEPSNONPILOT/Tender/SplashBidNoticeAbstractUI.aspx?menuIndex=3&amp;refID=7091187&amp;Result=3","7091187")</f>
        <v>0</v>
      </c>
      <c r="B14054" t="s">
        <v>1240</v>
      </c>
      <c r="C14054" t="s">
        <v>17141</v>
      </c>
      <c r="D14054" t="s">
        <v>18010</v>
      </c>
      <c r="E14054" t="s">
        <v>30160</v>
      </c>
      <c r="F14054" t="s">
        <v>30900</v>
      </c>
      <c r="G14054" t="s">
        <v>30907</v>
      </c>
      <c r="H14054" t="s">
        <v>30915</v>
      </c>
      <c r="I14054" t="s">
        <v>30919</v>
      </c>
      <c r="J14054" t="s">
        <v>31897</v>
      </c>
      <c r="K14054" t="s">
        <v>40304</v>
      </c>
      <c r="M14054" t="s">
        <v>41852</v>
      </c>
      <c r="N14054" t="s">
        <v>44759</v>
      </c>
      <c r="O14054" t="s">
        <v>44760</v>
      </c>
      <c r="P14054">
        <v>0</v>
      </c>
      <c r="Q14054">
        <v>92</v>
      </c>
      <c r="R14054" t="s">
        <v>44784</v>
      </c>
      <c r="S14054" t="s">
        <v>45911</v>
      </c>
      <c r="T14054" t="s">
        <v>46625</v>
      </c>
      <c r="U14054" t="s">
        <v>58433</v>
      </c>
      <c r="V14054" t="s">
        <v>60705</v>
      </c>
      <c r="W14054" t="s">
        <v>41852</v>
      </c>
      <c r="X14054" t="s">
        <v>44790</v>
      </c>
    </row>
    <row r="14055" spans="1:24">
      <c r="A14055">
        <f>HYPERLINK("https://www.philgeps.gov.ph/GEPSNONPILOT/Tender/SplashBidNoticeAbstractUI.aspx?menuIndex=3&amp;refID=7106349&amp;Result=3","7106349")</f>
        <v>0</v>
      </c>
      <c r="B14055" t="s">
        <v>537</v>
      </c>
      <c r="C14055" t="s">
        <v>17142</v>
      </c>
      <c r="D14055" t="s">
        <v>17978</v>
      </c>
      <c r="E14055" t="s">
        <v>30161</v>
      </c>
      <c r="F14055" t="s">
        <v>30900</v>
      </c>
      <c r="G14055" t="s">
        <v>30907</v>
      </c>
      <c r="H14055" t="s">
        <v>30915</v>
      </c>
      <c r="I14055" t="s">
        <v>30919</v>
      </c>
      <c r="J14055" t="s">
        <v>39767</v>
      </c>
      <c r="K14055" t="s">
        <v>40280</v>
      </c>
      <c r="M14055" t="s">
        <v>41097</v>
      </c>
      <c r="N14055" t="s">
        <v>44759</v>
      </c>
      <c r="O14055" t="s">
        <v>44760</v>
      </c>
      <c r="P14055">
        <v>0</v>
      </c>
      <c r="Q14055">
        <v>0</v>
      </c>
      <c r="R14055" t="s">
        <v>44783</v>
      </c>
      <c r="S14055" t="s">
        <v>45897</v>
      </c>
      <c r="T14055" t="s">
        <v>46625</v>
      </c>
      <c r="U14055" t="s">
        <v>58428</v>
      </c>
      <c r="V14055" t="s">
        <v>59239</v>
      </c>
      <c r="W14055" t="s">
        <v>41097</v>
      </c>
      <c r="X14055" t="s">
        <v>44784</v>
      </c>
    </row>
    <row r="14056" spans="1:24">
      <c r="A14056">
        <f>HYPERLINK("https://www.philgeps.gov.ph/GEPSNONPILOT/Tender/SplashBidNoticeAbstractUI.aspx?menuIndex=3&amp;refID=7107309&amp;Result=3","7107309")</f>
        <v>0</v>
      </c>
      <c r="B14056" t="s">
        <v>1088</v>
      </c>
      <c r="C14056" t="s">
        <v>17143</v>
      </c>
      <c r="D14056" t="s">
        <v>17959</v>
      </c>
      <c r="E14056" t="s">
        <v>30162</v>
      </c>
      <c r="F14056" t="s">
        <v>30900</v>
      </c>
      <c r="G14056" t="s">
        <v>30907</v>
      </c>
      <c r="H14056" t="s">
        <v>30916</v>
      </c>
      <c r="I14056" t="s">
        <v>30923</v>
      </c>
      <c r="J14056" t="s">
        <v>39768</v>
      </c>
      <c r="K14056" t="s">
        <v>40286</v>
      </c>
      <c r="M14056" t="s">
        <v>44654</v>
      </c>
      <c r="N14056" t="s">
        <v>44759</v>
      </c>
      <c r="O14056" t="s">
        <v>44760</v>
      </c>
      <c r="Q14056">
        <v>20</v>
      </c>
      <c r="R14056" t="s">
        <v>44783</v>
      </c>
      <c r="S14056" t="s">
        <v>45912</v>
      </c>
      <c r="T14056" t="s">
        <v>46581</v>
      </c>
      <c r="U14056" t="s">
        <v>58434</v>
      </c>
      <c r="W14056" t="s">
        <v>44654</v>
      </c>
      <c r="X14056" t="s">
        <v>44784</v>
      </c>
    </row>
    <row r="14057" spans="1:24">
      <c r="A14057">
        <f>HYPERLINK("https://www.philgeps.gov.ph/GEPSNONPILOT/Tender/SplashBidNoticeAbstractUI.aspx?menuIndex=3&amp;refID=7107154&amp;Result=3","7107154")</f>
        <v>0</v>
      </c>
      <c r="B14057" t="s">
        <v>2441</v>
      </c>
      <c r="C14057" t="s">
        <v>17144</v>
      </c>
      <c r="D14057" t="s">
        <v>17975</v>
      </c>
      <c r="E14057" t="s">
        <v>19256</v>
      </c>
      <c r="F14057" t="s">
        <v>30900</v>
      </c>
      <c r="G14057" t="s">
        <v>30907</v>
      </c>
      <c r="H14057" t="s">
        <v>30915</v>
      </c>
      <c r="I14057" t="s">
        <v>30919</v>
      </c>
      <c r="J14057" t="s">
        <v>31297</v>
      </c>
      <c r="K14057" t="s">
        <v>40292</v>
      </c>
      <c r="M14057" t="s">
        <v>43175</v>
      </c>
      <c r="N14057" t="s">
        <v>44759</v>
      </c>
      <c r="O14057" t="s">
        <v>44760</v>
      </c>
      <c r="P14057">
        <v>0</v>
      </c>
      <c r="Q14057">
        <v>2</v>
      </c>
      <c r="R14057" t="s">
        <v>44783</v>
      </c>
      <c r="S14057" t="s">
        <v>45897</v>
      </c>
      <c r="T14057" t="s">
        <v>46425</v>
      </c>
      <c r="U14057" t="s">
        <v>58435</v>
      </c>
      <c r="W14057" t="s">
        <v>43175</v>
      </c>
      <c r="X14057" t="s">
        <v>44784</v>
      </c>
    </row>
    <row r="14058" spans="1:24">
      <c r="A14058">
        <f>HYPERLINK("https://www.philgeps.gov.ph/GEPSNONPILOT/Tender/SplashBidNoticeAbstractUI.aspx?menuIndex=3&amp;refID=7107072&amp;Result=3","7107072")</f>
        <v>0</v>
      </c>
      <c r="B14058" t="s">
        <v>3695</v>
      </c>
      <c r="C14058" t="s">
        <v>17145</v>
      </c>
      <c r="D14058" t="s">
        <v>18017</v>
      </c>
      <c r="E14058" t="s">
        <v>30163</v>
      </c>
      <c r="F14058" t="s">
        <v>30900</v>
      </c>
      <c r="G14058" t="s">
        <v>30907</v>
      </c>
      <c r="H14058" t="s">
        <v>30916</v>
      </c>
      <c r="I14058" t="s">
        <v>30919</v>
      </c>
      <c r="J14058" t="s">
        <v>32110</v>
      </c>
      <c r="K14058" t="s">
        <v>40392</v>
      </c>
      <c r="M14058" t="s">
        <v>44655</v>
      </c>
      <c r="N14058" t="s">
        <v>44759</v>
      </c>
      <c r="O14058" t="s">
        <v>44760</v>
      </c>
      <c r="Q14058">
        <v>8</v>
      </c>
      <c r="R14058" t="s">
        <v>44783</v>
      </c>
      <c r="S14058" t="s">
        <v>45913</v>
      </c>
      <c r="T14058" t="s">
        <v>46932</v>
      </c>
      <c r="U14058" t="s">
        <v>58436</v>
      </c>
      <c r="V14058" t="s">
        <v>60706</v>
      </c>
      <c r="W14058" t="s">
        <v>44655</v>
      </c>
      <c r="X14058" t="s">
        <v>44784</v>
      </c>
    </row>
    <row r="14059" spans="1:24">
      <c r="A14059">
        <f>HYPERLINK("https://www.philgeps.gov.ph/GEPSNONPILOT/Tender/SplashBidNoticeAbstractUI.aspx?menuIndex=3&amp;refID=7107038&amp;Result=3","7107038")</f>
        <v>0</v>
      </c>
      <c r="B14059" t="s">
        <v>3695</v>
      </c>
      <c r="C14059" t="s">
        <v>17146</v>
      </c>
      <c r="D14059" t="s">
        <v>18017</v>
      </c>
      <c r="E14059" t="s">
        <v>30164</v>
      </c>
      <c r="F14059" t="s">
        <v>30900</v>
      </c>
      <c r="G14059" t="s">
        <v>30907</v>
      </c>
      <c r="H14059" t="s">
        <v>30916</v>
      </c>
      <c r="I14059" t="s">
        <v>30919</v>
      </c>
      <c r="J14059" t="s">
        <v>32324</v>
      </c>
      <c r="K14059" t="s">
        <v>40342</v>
      </c>
      <c r="M14059" t="s">
        <v>44655</v>
      </c>
      <c r="N14059" t="s">
        <v>44759</v>
      </c>
      <c r="O14059" t="s">
        <v>44760</v>
      </c>
      <c r="Q14059">
        <v>7</v>
      </c>
      <c r="R14059" t="s">
        <v>44783</v>
      </c>
      <c r="S14059" t="s">
        <v>45914</v>
      </c>
      <c r="T14059" t="s">
        <v>46932</v>
      </c>
      <c r="U14059" t="s">
        <v>58437</v>
      </c>
      <c r="V14059" t="s">
        <v>60707</v>
      </c>
      <c r="W14059" t="s">
        <v>44655</v>
      </c>
      <c r="X14059" t="s">
        <v>44784</v>
      </c>
    </row>
    <row r="14060" spans="1:24">
      <c r="A14060">
        <f>HYPERLINK("https://www.philgeps.gov.ph/GEPSNONPILOT/Tender/SplashBidNoticeAbstractUI.aspx?menuIndex=3&amp;refID=7106995&amp;Result=3","7106995")</f>
        <v>0</v>
      </c>
      <c r="B14060" t="s">
        <v>3302</v>
      </c>
      <c r="C14060" t="s">
        <v>17147</v>
      </c>
      <c r="D14060" t="s">
        <v>17959</v>
      </c>
      <c r="E14060" t="s">
        <v>30131</v>
      </c>
      <c r="F14060" t="s">
        <v>30900</v>
      </c>
      <c r="G14060" t="s">
        <v>30907</v>
      </c>
      <c r="H14060" t="s">
        <v>30916</v>
      </c>
      <c r="I14060" t="s">
        <v>4142</v>
      </c>
      <c r="J14060" t="s">
        <v>31402</v>
      </c>
      <c r="K14060" t="s">
        <v>40284</v>
      </c>
      <c r="M14060" t="s">
        <v>44506</v>
      </c>
      <c r="N14060" t="s">
        <v>44759</v>
      </c>
      <c r="O14060" t="s">
        <v>44760</v>
      </c>
      <c r="Q14060">
        <v>1</v>
      </c>
      <c r="R14060" t="s">
        <v>44783</v>
      </c>
      <c r="S14060" t="s">
        <v>45915</v>
      </c>
      <c r="T14060" t="s">
        <v>46581</v>
      </c>
      <c r="U14060" t="s">
        <v>57615</v>
      </c>
      <c r="W14060" t="s">
        <v>44506</v>
      </c>
      <c r="X14060" t="s">
        <v>44784</v>
      </c>
    </row>
    <row r="14061" spans="1:24">
      <c r="A14061">
        <f>HYPERLINK("https://www.philgeps.gov.ph/GEPSNONPILOT/Tender/SplashBidNoticeAbstractUI.aspx?menuIndex=3&amp;refID=7106982&amp;Result=3","7106982")</f>
        <v>0</v>
      </c>
      <c r="B14061" t="s">
        <v>3302</v>
      </c>
      <c r="C14061" t="s">
        <v>17148</v>
      </c>
      <c r="D14061" t="s">
        <v>17959</v>
      </c>
      <c r="E14061" t="s">
        <v>30131</v>
      </c>
      <c r="F14061" t="s">
        <v>30900</v>
      </c>
      <c r="G14061" t="s">
        <v>30907</v>
      </c>
      <c r="H14061" t="s">
        <v>30916</v>
      </c>
      <c r="I14061" t="s">
        <v>30926</v>
      </c>
      <c r="J14061" t="s">
        <v>31101</v>
      </c>
      <c r="K14061" t="s">
        <v>40284</v>
      </c>
      <c r="M14061" t="s">
        <v>44506</v>
      </c>
      <c r="N14061" t="s">
        <v>44759</v>
      </c>
      <c r="O14061" t="s">
        <v>44760</v>
      </c>
      <c r="P14061">
        <v>0</v>
      </c>
      <c r="Q14061">
        <v>0</v>
      </c>
      <c r="R14061" t="s">
        <v>44783</v>
      </c>
      <c r="S14061" t="s">
        <v>45897</v>
      </c>
      <c r="T14061" t="s">
        <v>46581</v>
      </c>
      <c r="U14061" t="s">
        <v>57615</v>
      </c>
      <c r="W14061" t="s">
        <v>44506</v>
      </c>
      <c r="X14061" t="s">
        <v>44784</v>
      </c>
    </row>
    <row r="14062" spans="1:24">
      <c r="A14062">
        <f>HYPERLINK("https://www.philgeps.gov.ph/GEPSNONPILOT/Tender/SplashBidNoticeAbstractUI.aspx?menuIndex=3&amp;refID=7106976&amp;Result=3","7106976")</f>
        <v>0</v>
      </c>
      <c r="B14062" t="s">
        <v>3302</v>
      </c>
      <c r="C14062" t="s">
        <v>17149</v>
      </c>
      <c r="D14062" t="s">
        <v>17959</v>
      </c>
      <c r="E14062" t="s">
        <v>30131</v>
      </c>
      <c r="F14062" t="s">
        <v>30900</v>
      </c>
      <c r="G14062" t="s">
        <v>30907</v>
      </c>
      <c r="H14062" t="s">
        <v>30916</v>
      </c>
      <c r="I14062" t="s">
        <v>30926</v>
      </c>
      <c r="J14062" t="s">
        <v>32049</v>
      </c>
      <c r="K14062" t="s">
        <v>40284</v>
      </c>
      <c r="M14062" t="s">
        <v>44506</v>
      </c>
      <c r="N14062" t="s">
        <v>44759</v>
      </c>
      <c r="O14062" t="s">
        <v>44760</v>
      </c>
      <c r="P14062">
        <v>0</v>
      </c>
      <c r="Q14062">
        <v>0</v>
      </c>
      <c r="R14062" t="s">
        <v>44783</v>
      </c>
      <c r="S14062" t="s">
        <v>45897</v>
      </c>
      <c r="T14062" t="s">
        <v>46581</v>
      </c>
      <c r="U14062" t="s">
        <v>57615</v>
      </c>
      <c r="W14062" t="s">
        <v>44506</v>
      </c>
      <c r="X14062" t="s">
        <v>44784</v>
      </c>
    </row>
    <row r="14063" spans="1:24">
      <c r="A14063">
        <f>HYPERLINK("https://www.philgeps.gov.ph/GEPSNONPILOT/Tender/SplashBidNoticeAbstractUI.aspx?menuIndex=3&amp;refID=7106265&amp;Result=3","7106265")</f>
        <v>0</v>
      </c>
      <c r="B14063" t="s">
        <v>537</v>
      </c>
      <c r="C14063" t="s">
        <v>17150</v>
      </c>
      <c r="D14063" t="s">
        <v>17978</v>
      </c>
      <c r="E14063" t="s">
        <v>30165</v>
      </c>
      <c r="F14063" t="s">
        <v>30900</v>
      </c>
      <c r="G14063" t="s">
        <v>30907</v>
      </c>
      <c r="H14063" t="s">
        <v>30915</v>
      </c>
      <c r="I14063" t="s">
        <v>30919</v>
      </c>
      <c r="J14063" t="s">
        <v>39769</v>
      </c>
      <c r="K14063" t="s">
        <v>40280</v>
      </c>
      <c r="M14063" t="s">
        <v>41097</v>
      </c>
      <c r="N14063" t="s">
        <v>44759</v>
      </c>
      <c r="O14063" t="s">
        <v>44760</v>
      </c>
      <c r="P14063">
        <v>0</v>
      </c>
      <c r="Q14063">
        <v>0</v>
      </c>
      <c r="R14063" t="s">
        <v>44783</v>
      </c>
      <c r="S14063" t="s">
        <v>45897</v>
      </c>
      <c r="T14063" t="s">
        <v>46625</v>
      </c>
      <c r="U14063" t="s">
        <v>58431</v>
      </c>
      <c r="V14063" t="s">
        <v>59239</v>
      </c>
      <c r="W14063" t="s">
        <v>41097</v>
      </c>
      <c r="X14063" t="s">
        <v>44784</v>
      </c>
    </row>
    <row r="14064" spans="1:24">
      <c r="A14064">
        <f>HYPERLINK("https://www.philgeps.gov.ph/GEPSNONPILOT/Tender/SplashBidNoticeAbstractUI.aspx?menuIndex=3&amp;refID=7105853&amp;Result=3","7105853")</f>
        <v>0</v>
      </c>
      <c r="B14064" t="s">
        <v>1636</v>
      </c>
      <c r="C14064" t="s">
        <v>17151</v>
      </c>
      <c r="D14064" t="s">
        <v>17989</v>
      </c>
      <c r="E14064" t="s">
        <v>30166</v>
      </c>
      <c r="F14064" t="s">
        <v>30900</v>
      </c>
      <c r="G14064" t="s">
        <v>30907</v>
      </c>
      <c r="H14064" t="s">
        <v>30916</v>
      </c>
      <c r="I14064" t="s">
        <v>30933</v>
      </c>
      <c r="J14064" t="s">
        <v>39770</v>
      </c>
      <c r="K14064" t="s">
        <v>40304</v>
      </c>
      <c r="M14064" t="s">
        <v>42291</v>
      </c>
      <c r="N14064" t="s">
        <v>44759</v>
      </c>
      <c r="O14064" t="s">
        <v>44760</v>
      </c>
      <c r="P14064">
        <v>0</v>
      </c>
      <c r="Q14064">
        <v>16</v>
      </c>
      <c r="R14064" t="s">
        <v>44783</v>
      </c>
      <c r="S14064" t="s">
        <v>45897</v>
      </c>
      <c r="T14064" t="s">
        <v>46533</v>
      </c>
      <c r="U14064" t="s">
        <v>58438</v>
      </c>
      <c r="W14064" t="s">
        <v>42291</v>
      </c>
      <c r="X14064" t="s">
        <v>44784</v>
      </c>
    </row>
    <row r="14065" spans="1:24">
      <c r="A14065">
        <f>HYPERLINK("https://www.philgeps.gov.ph/GEPSNONPILOT/Tender/SplashBidNoticeAbstractUI.aspx?menuIndex=3&amp;refID=7106968&amp;Result=3","7106968")</f>
        <v>0</v>
      </c>
      <c r="B14065" t="s">
        <v>3302</v>
      </c>
      <c r="C14065" t="s">
        <v>17152</v>
      </c>
      <c r="D14065" t="s">
        <v>17959</v>
      </c>
      <c r="E14065" t="s">
        <v>30131</v>
      </c>
      <c r="F14065" t="s">
        <v>30900</v>
      </c>
      <c r="G14065" t="s">
        <v>30907</v>
      </c>
      <c r="H14065" t="s">
        <v>30916</v>
      </c>
      <c r="I14065" t="s">
        <v>10847</v>
      </c>
      <c r="J14065" t="s">
        <v>39771</v>
      </c>
      <c r="K14065" t="s">
        <v>40284</v>
      </c>
      <c r="M14065" t="s">
        <v>44506</v>
      </c>
      <c r="N14065" t="s">
        <v>44759</v>
      </c>
      <c r="O14065" t="s">
        <v>44760</v>
      </c>
      <c r="P14065">
        <v>0</v>
      </c>
      <c r="Q14065">
        <v>0</v>
      </c>
      <c r="R14065" t="s">
        <v>44783</v>
      </c>
      <c r="S14065" t="s">
        <v>45897</v>
      </c>
      <c r="T14065" t="s">
        <v>46581</v>
      </c>
      <c r="U14065" t="s">
        <v>57615</v>
      </c>
      <c r="W14065" t="s">
        <v>44506</v>
      </c>
      <c r="X14065" t="s">
        <v>44784</v>
      </c>
    </row>
    <row r="14066" spans="1:24">
      <c r="A14066">
        <f>HYPERLINK("https://www.philgeps.gov.ph/GEPSNONPILOT/Tender/SplashBidNoticeAbstractUI.aspx?menuIndex=3&amp;refID=7107150&amp;Result=3","7107150")</f>
        <v>0</v>
      </c>
      <c r="B14066" t="s">
        <v>379</v>
      </c>
      <c r="C14066" t="s">
        <v>17153</v>
      </c>
      <c r="D14066" t="s">
        <v>18015</v>
      </c>
      <c r="E14066" t="s">
        <v>28329</v>
      </c>
      <c r="F14066" t="s">
        <v>30900</v>
      </c>
      <c r="G14066" t="s">
        <v>30907</v>
      </c>
      <c r="H14066" t="s">
        <v>30917</v>
      </c>
      <c r="I14066" t="s">
        <v>30957</v>
      </c>
      <c r="J14066" t="s">
        <v>31298</v>
      </c>
      <c r="K14066" t="s">
        <v>40283</v>
      </c>
      <c r="M14066" t="s">
        <v>40933</v>
      </c>
      <c r="N14066" t="s">
        <v>44759</v>
      </c>
      <c r="O14066" t="s">
        <v>44760</v>
      </c>
      <c r="P14066">
        <v>0</v>
      </c>
      <c r="Q14066">
        <v>0</v>
      </c>
      <c r="R14066" t="s">
        <v>44783</v>
      </c>
      <c r="S14066" t="s">
        <v>45897</v>
      </c>
      <c r="T14066" t="s">
        <v>46658</v>
      </c>
      <c r="U14066" t="s">
        <v>58439</v>
      </c>
      <c r="W14066" t="s">
        <v>40933</v>
      </c>
      <c r="X14066" t="s">
        <v>44784</v>
      </c>
    </row>
    <row r="14067" spans="1:24">
      <c r="A14067">
        <f>HYPERLINK("https://www.philgeps.gov.ph/GEPSNONPILOT/Tender/SplashBidNoticeAbstractUI.aspx?menuIndex=3&amp;refID=7106961&amp;Result=3","7106961")</f>
        <v>0</v>
      </c>
      <c r="B14067" t="s">
        <v>3696</v>
      </c>
      <c r="C14067" t="s">
        <v>17154</v>
      </c>
      <c r="D14067" t="s">
        <v>17985</v>
      </c>
      <c r="E14067" t="s">
        <v>30167</v>
      </c>
      <c r="F14067" t="s">
        <v>30900</v>
      </c>
      <c r="G14067" t="s">
        <v>30907</v>
      </c>
      <c r="H14067" t="s">
        <v>30915</v>
      </c>
      <c r="I14067" t="s">
        <v>30919</v>
      </c>
      <c r="J14067" t="s">
        <v>39772</v>
      </c>
      <c r="K14067" t="s">
        <v>40280</v>
      </c>
      <c r="M14067" t="s">
        <v>44656</v>
      </c>
      <c r="N14067" t="s">
        <v>44759</v>
      </c>
      <c r="O14067" t="s">
        <v>44760</v>
      </c>
      <c r="P14067">
        <v>0</v>
      </c>
      <c r="Q14067">
        <v>4</v>
      </c>
      <c r="R14067" t="s">
        <v>44783</v>
      </c>
      <c r="S14067" t="s">
        <v>45897</v>
      </c>
      <c r="T14067" t="s">
        <v>46531</v>
      </c>
      <c r="U14067" t="s">
        <v>58440</v>
      </c>
      <c r="W14067" t="s">
        <v>44656</v>
      </c>
      <c r="X14067" t="s">
        <v>44784</v>
      </c>
    </row>
    <row r="14068" spans="1:24">
      <c r="A14068">
        <f>HYPERLINK("https://www.philgeps.gov.ph/GEPSNONPILOT/Tender/SplashBidNoticeAbstractUI.aspx?menuIndex=3&amp;refID=7106957&amp;Result=3","7106957")</f>
        <v>0</v>
      </c>
      <c r="B14068" t="s">
        <v>3302</v>
      </c>
      <c r="C14068" t="s">
        <v>17155</v>
      </c>
      <c r="D14068" t="s">
        <v>17959</v>
      </c>
      <c r="E14068" t="s">
        <v>30131</v>
      </c>
      <c r="F14068" t="s">
        <v>30900</v>
      </c>
      <c r="G14068" t="s">
        <v>30907</v>
      </c>
      <c r="H14068" t="s">
        <v>30916</v>
      </c>
      <c r="I14068" t="s">
        <v>30926</v>
      </c>
      <c r="J14068" t="s">
        <v>39773</v>
      </c>
      <c r="K14068" t="s">
        <v>40284</v>
      </c>
      <c r="M14068" t="s">
        <v>44506</v>
      </c>
      <c r="N14068" t="s">
        <v>44759</v>
      </c>
      <c r="O14068" t="s">
        <v>44760</v>
      </c>
      <c r="P14068">
        <v>0</v>
      </c>
      <c r="Q14068">
        <v>0</v>
      </c>
      <c r="R14068" t="s">
        <v>44783</v>
      </c>
      <c r="S14068" t="s">
        <v>45897</v>
      </c>
      <c r="T14068" t="s">
        <v>46581</v>
      </c>
      <c r="U14068" t="s">
        <v>57615</v>
      </c>
      <c r="W14068" t="s">
        <v>44506</v>
      </c>
      <c r="X14068" t="s">
        <v>44784</v>
      </c>
    </row>
    <row r="14069" spans="1:24">
      <c r="A14069">
        <f>HYPERLINK("https://www.philgeps.gov.ph/GEPSNONPILOT/Tender/SplashBidNoticeAbstractUI.aspx?menuIndex=3&amp;refID=7109693&amp;Result=3","7109693")</f>
        <v>0</v>
      </c>
      <c r="B14069" t="s">
        <v>1332</v>
      </c>
      <c r="C14069" t="s">
        <v>8943</v>
      </c>
      <c r="D14069" t="s">
        <v>17996</v>
      </c>
      <c r="E14069" t="s">
        <v>30168</v>
      </c>
      <c r="F14069" t="s">
        <v>30900</v>
      </c>
      <c r="G14069" t="s">
        <v>30907</v>
      </c>
      <c r="H14069" t="s">
        <v>30916</v>
      </c>
      <c r="I14069" t="s">
        <v>4545</v>
      </c>
      <c r="J14069" t="s">
        <v>31568</v>
      </c>
      <c r="K14069" t="s">
        <v>40286</v>
      </c>
      <c r="M14069" t="s">
        <v>41952</v>
      </c>
      <c r="N14069" t="s">
        <v>44759</v>
      </c>
      <c r="O14069" t="s">
        <v>44760</v>
      </c>
      <c r="P14069">
        <v>0</v>
      </c>
      <c r="Q14069">
        <v>6</v>
      </c>
      <c r="R14069" t="s">
        <v>44782</v>
      </c>
      <c r="S14069" t="s">
        <v>45846</v>
      </c>
      <c r="T14069" t="s">
        <v>46581</v>
      </c>
      <c r="U14069" t="s">
        <v>58360</v>
      </c>
      <c r="W14069" t="s">
        <v>41952</v>
      </c>
      <c r="X14069" t="s">
        <v>44783</v>
      </c>
    </row>
    <row r="14070" spans="1:24">
      <c r="A14070">
        <f>HYPERLINK("https://www.philgeps.gov.ph/GEPSNONPILOT/Tender/SplashBidNoticeAbstractUI.aspx?menuIndex=3&amp;refID=7102256&amp;Result=3","7102256")</f>
        <v>0</v>
      </c>
      <c r="B14070" t="s">
        <v>1531</v>
      </c>
      <c r="C14070" t="s">
        <v>17156</v>
      </c>
      <c r="D14070" t="s">
        <v>17959</v>
      </c>
      <c r="E14070" t="s">
        <v>30169</v>
      </c>
      <c r="F14070" t="s">
        <v>30900</v>
      </c>
      <c r="G14070" t="s">
        <v>30907</v>
      </c>
      <c r="H14070" t="s">
        <v>30916</v>
      </c>
      <c r="I14070" t="s">
        <v>30924</v>
      </c>
      <c r="J14070" t="s">
        <v>31297</v>
      </c>
      <c r="K14070" t="s">
        <v>40280</v>
      </c>
      <c r="M14070" t="s">
        <v>42174</v>
      </c>
      <c r="N14070" t="s">
        <v>44759</v>
      </c>
      <c r="O14070" t="s">
        <v>44760</v>
      </c>
      <c r="Q14070">
        <v>17</v>
      </c>
      <c r="R14070" t="s">
        <v>44784</v>
      </c>
      <c r="S14070" t="s">
        <v>45916</v>
      </c>
      <c r="T14070" t="s">
        <v>46403</v>
      </c>
      <c r="U14070" t="s">
        <v>57784</v>
      </c>
      <c r="W14070" t="s">
        <v>42174</v>
      </c>
      <c r="X14070" t="s">
        <v>44787</v>
      </c>
    </row>
    <row r="14071" spans="1:24">
      <c r="A14071">
        <f>HYPERLINK("https://www.philgeps.gov.ph/GEPSNONPILOT/Tender/SplashBidNoticeAbstractUI.aspx?menuIndex=3&amp;refID=7102172&amp;Result=3","7102172")</f>
        <v>0</v>
      </c>
      <c r="B14071" t="s">
        <v>1531</v>
      </c>
      <c r="C14071" t="s">
        <v>17157</v>
      </c>
      <c r="D14071" t="s">
        <v>17959</v>
      </c>
      <c r="E14071" t="s">
        <v>30170</v>
      </c>
      <c r="F14071" t="s">
        <v>30900</v>
      </c>
      <c r="G14071" t="s">
        <v>30907</v>
      </c>
      <c r="H14071" t="s">
        <v>30916</v>
      </c>
      <c r="I14071" t="s">
        <v>30924</v>
      </c>
      <c r="J14071" t="s">
        <v>32271</v>
      </c>
      <c r="K14071" t="s">
        <v>40332</v>
      </c>
      <c r="M14071" t="s">
        <v>42174</v>
      </c>
      <c r="N14071" t="s">
        <v>44759</v>
      </c>
      <c r="O14071" t="s">
        <v>44760</v>
      </c>
      <c r="Q14071">
        <v>7</v>
      </c>
      <c r="R14071" t="s">
        <v>44784</v>
      </c>
      <c r="S14071" t="s">
        <v>45917</v>
      </c>
      <c r="T14071" t="s">
        <v>46548</v>
      </c>
      <c r="U14071" t="s">
        <v>57784</v>
      </c>
      <c r="W14071" t="s">
        <v>42174</v>
      </c>
      <c r="X14071" t="s">
        <v>44787</v>
      </c>
    </row>
    <row r="14072" spans="1:24">
      <c r="A14072">
        <f>HYPERLINK("https://www.philgeps.gov.ph/GEPSNONPILOT/Tender/SplashBidNoticeAbstractUI.aspx?menuIndex=3&amp;refID=7101800&amp;Result=3","7101800")</f>
        <v>0</v>
      </c>
      <c r="B14072" t="s">
        <v>2348</v>
      </c>
      <c r="C14072" t="s">
        <v>17158</v>
      </c>
      <c r="D14072" t="s">
        <v>17952</v>
      </c>
      <c r="E14072" t="s">
        <v>30171</v>
      </c>
      <c r="F14072" t="s">
        <v>30900</v>
      </c>
      <c r="G14072" t="s">
        <v>30907</v>
      </c>
      <c r="H14072" t="s">
        <v>30916</v>
      </c>
      <c r="I14072" t="s">
        <v>8123</v>
      </c>
      <c r="J14072" t="s">
        <v>39774</v>
      </c>
      <c r="K14072" t="s">
        <v>40286</v>
      </c>
      <c r="M14072" t="s">
        <v>43072</v>
      </c>
      <c r="N14072" t="s">
        <v>44759</v>
      </c>
      <c r="O14072" t="s">
        <v>44760</v>
      </c>
      <c r="P14072">
        <v>0</v>
      </c>
      <c r="Q14072">
        <v>1</v>
      </c>
      <c r="R14072" t="s">
        <v>44784</v>
      </c>
      <c r="S14072" t="s">
        <v>45911</v>
      </c>
      <c r="T14072" t="s">
        <v>46395</v>
      </c>
      <c r="U14072" t="s">
        <v>58441</v>
      </c>
      <c r="W14072" t="s">
        <v>43072</v>
      </c>
      <c r="X14072" t="s">
        <v>44787</v>
      </c>
    </row>
    <row r="14073" spans="1:24">
      <c r="A14073">
        <f>HYPERLINK("https://www.philgeps.gov.ph/GEPSNONPILOT/Tender/SplashBidNoticeAbstractUI.aspx?menuIndex=3&amp;refID=7102901&amp;Result=3","7102901")</f>
        <v>0</v>
      </c>
      <c r="B14073" t="s">
        <v>701</v>
      </c>
      <c r="C14073" t="s">
        <v>17159</v>
      </c>
      <c r="D14073" t="s">
        <v>17978</v>
      </c>
      <c r="E14073" t="s">
        <v>30172</v>
      </c>
      <c r="F14073" t="s">
        <v>30900</v>
      </c>
      <c r="G14073" t="s">
        <v>30907</v>
      </c>
      <c r="H14073" t="s">
        <v>30916</v>
      </c>
      <c r="I14073" t="s">
        <v>30924</v>
      </c>
      <c r="J14073" t="s">
        <v>34352</v>
      </c>
      <c r="K14073" t="s">
        <v>40286</v>
      </c>
      <c r="M14073" t="s">
        <v>41265</v>
      </c>
      <c r="N14073" t="s">
        <v>44759</v>
      </c>
      <c r="O14073" t="s">
        <v>44760</v>
      </c>
      <c r="Q14073">
        <v>9</v>
      </c>
      <c r="R14073" t="s">
        <v>44784</v>
      </c>
      <c r="S14073" t="s">
        <v>45918</v>
      </c>
      <c r="T14073" t="s">
        <v>46387</v>
      </c>
      <c r="U14073" t="s">
        <v>58203</v>
      </c>
      <c r="W14073" t="s">
        <v>41265</v>
      </c>
      <c r="X14073" t="s">
        <v>44787</v>
      </c>
    </row>
    <row r="14074" spans="1:24">
      <c r="A14074">
        <f>HYPERLINK("https://www.philgeps.gov.ph/GEPSNONPILOT/Tender/SplashBidNoticeAbstractUI.aspx?menuIndex=3&amp;refID=7101576&amp;Result=3","7101576")</f>
        <v>0</v>
      </c>
      <c r="B14074" t="s">
        <v>3697</v>
      </c>
      <c r="C14074" t="s">
        <v>17160</v>
      </c>
      <c r="D14074" t="s">
        <v>17961</v>
      </c>
      <c r="E14074" t="s">
        <v>25031</v>
      </c>
      <c r="F14074" t="s">
        <v>30900</v>
      </c>
      <c r="G14074" t="s">
        <v>30907</v>
      </c>
      <c r="H14074" t="s">
        <v>30916</v>
      </c>
      <c r="I14074" t="s">
        <v>8123</v>
      </c>
      <c r="J14074" t="s">
        <v>39775</v>
      </c>
      <c r="K14074" t="s">
        <v>40287</v>
      </c>
      <c r="M14074" t="s">
        <v>44657</v>
      </c>
      <c r="N14074" t="s">
        <v>44759</v>
      </c>
      <c r="O14074" t="s">
        <v>44760</v>
      </c>
      <c r="P14074">
        <v>0</v>
      </c>
      <c r="Q14074">
        <v>0</v>
      </c>
      <c r="R14074" t="s">
        <v>44784</v>
      </c>
      <c r="S14074" t="s">
        <v>45911</v>
      </c>
      <c r="T14074" t="s">
        <v>46382</v>
      </c>
      <c r="U14074" t="s">
        <v>58442</v>
      </c>
      <c r="V14074" t="s">
        <v>60708</v>
      </c>
      <c r="W14074" t="s">
        <v>44657</v>
      </c>
      <c r="X14074" t="s">
        <v>44787</v>
      </c>
    </row>
    <row r="14075" spans="1:24">
      <c r="A14075">
        <f>HYPERLINK("https://www.philgeps.gov.ph/GEPSNONPILOT/Tender/SplashBidNoticeAbstractUI.aspx?menuIndex=3&amp;refID=7101533&amp;Result=3","7101533")</f>
        <v>0</v>
      </c>
      <c r="B14075" t="s">
        <v>3491</v>
      </c>
      <c r="C14075" t="s">
        <v>17161</v>
      </c>
      <c r="D14075" t="s">
        <v>17999</v>
      </c>
      <c r="E14075" t="s">
        <v>30173</v>
      </c>
      <c r="F14075" t="s">
        <v>30900</v>
      </c>
      <c r="G14075" t="s">
        <v>30907</v>
      </c>
      <c r="H14075" t="s">
        <v>30915</v>
      </c>
      <c r="I14075" t="s">
        <v>30971</v>
      </c>
      <c r="J14075" t="s">
        <v>39776</v>
      </c>
      <c r="K14075" t="s">
        <v>40363</v>
      </c>
      <c r="M14075" t="s">
        <v>44392</v>
      </c>
      <c r="N14075" t="s">
        <v>44759</v>
      </c>
      <c r="O14075" t="s">
        <v>44760</v>
      </c>
      <c r="Q14075">
        <v>9</v>
      </c>
      <c r="R14075" t="s">
        <v>44784</v>
      </c>
      <c r="S14075" t="s">
        <v>45919</v>
      </c>
      <c r="T14075" t="s">
        <v>46357</v>
      </c>
      <c r="U14075" t="s">
        <v>58443</v>
      </c>
      <c r="W14075" t="s">
        <v>44392</v>
      </c>
      <c r="X14075" t="s">
        <v>44787</v>
      </c>
    </row>
    <row r="14076" spans="1:24">
      <c r="A14076">
        <f>HYPERLINK("https://www.philgeps.gov.ph/GEPSNONPILOT/Tender/SplashBidNoticeAbstractUI.aspx?menuIndex=3&amp;refID=7101509&amp;Result=3","7101509")</f>
        <v>0</v>
      </c>
      <c r="B14076" t="s">
        <v>3697</v>
      </c>
      <c r="C14076" t="s">
        <v>17162</v>
      </c>
      <c r="D14076" t="s">
        <v>17961</v>
      </c>
      <c r="E14076" t="s">
        <v>18615</v>
      </c>
      <c r="F14076" t="s">
        <v>30900</v>
      </c>
      <c r="G14076" t="s">
        <v>30907</v>
      </c>
      <c r="H14076" t="s">
        <v>30916</v>
      </c>
      <c r="I14076" t="s">
        <v>8123</v>
      </c>
      <c r="J14076" t="s">
        <v>34369</v>
      </c>
      <c r="K14076" t="s">
        <v>40287</v>
      </c>
      <c r="M14076" t="s">
        <v>44657</v>
      </c>
      <c r="N14076" t="s">
        <v>44759</v>
      </c>
      <c r="O14076" t="s">
        <v>44760</v>
      </c>
      <c r="P14076">
        <v>0</v>
      </c>
      <c r="Q14076">
        <v>0</v>
      </c>
      <c r="R14076" t="s">
        <v>44784</v>
      </c>
      <c r="S14076" t="s">
        <v>45911</v>
      </c>
      <c r="T14076" t="s">
        <v>46382</v>
      </c>
      <c r="U14076" t="s">
        <v>58444</v>
      </c>
      <c r="V14076" t="s">
        <v>60708</v>
      </c>
      <c r="W14076" t="s">
        <v>44657</v>
      </c>
      <c r="X14076" t="s">
        <v>44787</v>
      </c>
    </row>
    <row r="14077" spans="1:24">
      <c r="A14077">
        <f>HYPERLINK("https://www.philgeps.gov.ph/GEPSNONPILOT/Tender/SplashBidNoticeAbstractUI.aspx?menuIndex=3&amp;refID=7102560&amp;Result=3","7102560")</f>
        <v>0</v>
      </c>
      <c r="B14077" t="s">
        <v>1765</v>
      </c>
      <c r="C14077" t="s">
        <v>17163</v>
      </c>
      <c r="D14077" t="s">
        <v>17979</v>
      </c>
      <c r="E14077" t="s">
        <v>30174</v>
      </c>
      <c r="F14077" t="s">
        <v>30900</v>
      </c>
      <c r="G14077" t="s">
        <v>30907</v>
      </c>
      <c r="H14077" t="s">
        <v>30916</v>
      </c>
      <c r="I14077" t="s">
        <v>30924</v>
      </c>
      <c r="J14077" t="s">
        <v>39777</v>
      </c>
      <c r="K14077" t="s">
        <v>40280</v>
      </c>
      <c r="M14077" t="s">
        <v>42436</v>
      </c>
      <c r="N14077" t="s">
        <v>44759</v>
      </c>
      <c r="O14077" t="s">
        <v>44760</v>
      </c>
      <c r="P14077">
        <v>0</v>
      </c>
      <c r="Q14077">
        <v>16</v>
      </c>
      <c r="R14077" t="s">
        <v>44784</v>
      </c>
      <c r="S14077" t="s">
        <v>45911</v>
      </c>
      <c r="T14077" t="s">
        <v>46409</v>
      </c>
      <c r="U14077" t="s">
        <v>58445</v>
      </c>
      <c r="V14077" t="s">
        <v>59226</v>
      </c>
      <c r="W14077" t="s">
        <v>42436</v>
      </c>
      <c r="X14077" t="s">
        <v>44787</v>
      </c>
    </row>
    <row r="14078" spans="1:24">
      <c r="A14078">
        <f>HYPERLINK("https://www.philgeps.gov.ph/GEPSNONPILOT/Tender/SplashBidNoticeAbstractUI.aspx?menuIndex=3&amp;refID=7100715&amp;Result=3","7100715")</f>
        <v>0</v>
      </c>
      <c r="B14078" t="s">
        <v>3698</v>
      </c>
      <c r="C14078" t="s">
        <v>17164</v>
      </c>
      <c r="D14078" t="s">
        <v>18019</v>
      </c>
      <c r="E14078" t="s">
        <v>18282</v>
      </c>
      <c r="F14078" t="s">
        <v>30900</v>
      </c>
      <c r="G14078" t="s">
        <v>30907</v>
      </c>
      <c r="H14078" t="s">
        <v>30916</v>
      </c>
      <c r="I14078" t="s">
        <v>8123</v>
      </c>
      <c r="J14078" t="s">
        <v>39778</v>
      </c>
      <c r="K14078" t="s">
        <v>40287</v>
      </c>
      <c r="M14078" t="s">
        <v>44658</v>
      </c>
      <c r="N14078" t="s">
        <v>44759</v>
      </c>
      <c r="O14078" t="s">
        <v>44760</v>
      </c>
      <c r="P14078">
        <v>0</v>
      </c>
      <c r="Q14078">
        <v>1</v>
      </c>
      <c r="R14078" t="s">
        <v>44784</v>
      </c>
      <c r="S14078" t="s">
        <v>45911</v>
      </c>
      <c r="T14078" t="s">
        <v>46421</v>
      </c>
      <c r="U14078" t="s">
        <v>58446</v>
      </c>
      <c r="W14078" t="s">
        <v>44658</v>
      </c>
      <c r="X14078" t="s">
        <v>44787</v>
      </c>
    </row>
    <row r="14079" spans="1:24">
      <c r="A14079">
        <f>HYPERLINK("https://www.philgeps.gov.ph/GEPSNONPILOT/Tender/SplashBidNoticeAbstractUI.aspx?menuIndex=3&amp;refID=7102911&amp;Result=3","7102911")</f>
        <v>0</v>
      </c>
      <c r="B14079" t="s">
        <v>701</v>
      </c>
      <c r="C14079" t="s">
        <v>17165</v>
      </c>
      <c r="D14079" t="s">
        <v>17978</v>
      </c>
      <c r="E14079" t="s">
        <v>30175</v>
      </c>
      <c r="F14079" t="s">
        <v>30900</v>
      </c>
      <c r="G14079" t="s">
        <v>30907</v>
      </c>
      <c r="H14079" t="s">
        <v>30916</v>
      </c>
      <c r="I14079" t="s">
        <v>4545</v>
      </c>
      <c r="J14079" t="s">
        <v>35301</v>
      </c>
      <c r="K14079" t="s">
        <v>40286</v>
      </c>
      <c r="M14079" t="s">
        <v>41265</v>
      </c>
      <c r="N14079" t="s">
        <v>44759</v>
      </c>
      <c r="O14079" t="s">
        <v>44760</v>
      </c>
      <c r="Q14079">
        <v>9</v>
      </c>
      <c r="R14079" t="s">
        <v>44784</v>
      </c>
      <c r="S14079" t="s">
        <v>45920</v>
      </c>
      <c r="T14079" t="s">
        <v>46387</v>
      </c>
      <c r="U14079" t="s">
        <v>58203</v>
      </c>
      <c r="W14079" t="s">
        <v>41265</v>
      </c>
      <c r="X14079" t="s">
        <v>44787</v>
      </c>
    </row>
    <row r="14080" spans="1:24">
      <c r="A14080">
        <f>HYPERLINK("https://www.philgeps.gov.ph/GEPSNONPILOT/Tender/SplashBidNoticeAbstractUI.aspx?menuIndex=3&amp;refID=7100333&amp;Result=3","7100333")</f>
        <v>0</v>
      </c>
      <c r="B14080" t="s">
        <v>844</v>
      </c>
      <c r="C14080" t="s">
        <v>6785</v>
      </c>
      <c r="D14080" t="s">
        <v>17971</v>
      </c>
      <c r="E14080" t="s">
        <v>30176</v>
      </c>
      <c r="F14080" t="s">
        <v>30900</v>
      </c>
      <c r="G14080" t="s">
        <v>30907</v>
      </c>
      <c r="H14080" t="s">
        <v>30916</v>
      </c>
      <c r="I14080" t="s">
        <v>30923</v>
      </c>
      <c r="J14080" t="s">
        <v>39779</v>
      </c>
      <c r="K14080" t="s">
        <v>40283</v>
      </c>
      <c r="M14080" t="s">
        <v>41417</v>
      </c>
      <c r="N14080" t="s">
        <v>44759</v>
      </c>
      <c r="O14080" t="s">
        <v>44760</v>
      </c>
      <c r="Q14080">
        <v>34</v>
      </c>
      <c r="R14080" t="s">
        <v>44785</v>
      </c>
      <c r="S14080" t="s">
        <v>45921</v>
      </c>
      <c r="T14080" t="s">
        <v>46383</v>
      </c>
      <c r="U14080" t="s">
        <v>58447</v>
      </c>
      <c r="W14080" t="s">
        <v>41417</v>
      </c>
      <c r="X14080" t="s">
        <v>44788</v>
      </c>
    </row>
    <row r="14081" spans="1:24">
      <c r="A14081">
        <f>HYPERLINK("https://www.philgeps.gov.ph/GEPSNONPILOT/Tender/SplashBidNoticeAbstractUI.aspx?menuIndex=3&amp;refID=7092864&amp;Result=3","7092864")</f>
        <v>0</v>
      </c>
      <c r="B14081" t="s">
        <v>3431</v>
      </c>
      <c r="C14081" t="s">
        <v>17166</v>
      </c>
      <c r="D14081" t="s">
        <v>18001</v>
      </c>
      <c r="E14081" t="s">
        <v>30177</v>
      </c>
      <c r="F14081" t="s">
        <v>30900</v>
      </c>
      <c r="G14081" t="s">
        <v>30907</v>
      </c>
      <c r="H14081" t="s">
        <v>30916</v>
      </c>
      <c r="I14081" t="s">
        <v>30923</v>
      </c>
      <c r="J14081" t="s">
        <v>39780</v>
      </c>
      <c r="K14081" t="s">
        <v>40286</v>
      </c>
      <c r="M14081" t="s">
        <v>44659</v>
      </c>
      <c r="N14081" t="s">
        <v>44759</v>
      </c>
      <c r="O14081" t="s">
        <v>44760</v>
      </c>
      <c r="Q14081">
        <v>19</v>
      </c>
      <c r="R14081" t="s">
        <v>44785</v>
      </c>
      <c r="S14081" t="s">
        <v>45851</v>
      </c>
      <c r="T14081" t="s">
        <v>46541</v>
      </c>
      <c r="U14081" t="s">
        <v>58448</v>
      </c>
      <c r="W14081" t="s">
        <v>44659</v>
      </c>
      <c r="X14081" t="s">
        <v>44790</v>
      </c>
    </row>
    <row r="14082" spans="1:24">
      <c r="A14082">
        <f>HYPERLINK("https://www.philgeps.gov.ph/GEPSNONPILOT/Tender/SplashBidNoticeAbstractUI.aspx?menuIndex=3&amp;refID=7098831&amp;Result=3","7098831")</f>
        <v>0</v>
      </c>
      <c r="B14082" t="s">
        <v>388</v>
      </c>
      <c r="C14082" t="s">
        <v>17167</v>
      </c>
      <c r="E14082" t="s">
        <v>30178</v>
      </c>
      <c r="F14082" t="s">
        <v>30900</v>
      </c>
      <c r="G14082" t="s">
        <v>30907</v>
      </c>
      <c r="H14082" t="s">
        <v>30916</v>
      </c>
      <c r="I14082" t="s">
        <v>30924</v>
      </c>
      <c r="J14082" t="s">
        <v>39781</v>
      </c>
      <c r="K14082" t="s">
        <v>40289</v>
      </c>
      <c r="M14082" t="s">
        <v>44358</v>
      </c>
      <c r="N14082" t="s">
        <v>44759</v>
      </c>
      <c r="O14082" t="s">
        <v>44760</v>
      </c>
      <c r="Q14082">
        <v>18</v>
      </c>
      <c r="R14082" t="s">
        <v>44785</v>
      </c>
      <c r="S14082" t="s">
        <v>45922</v>
      </c>
      <c r="T14082" t="s">
        <v>46390</v>
      </c>
      <c r="U14082" t="s">
        <v>58449</v>
      </c>
      <c r="W14082" t="s">
        <v>44358</v>
      </c>
      <c r="X14082" t="s">
        <v>44788</v>
      </c>
    </row>
    <row r="14083" spans="1:24">
      <c r="A14083">
        <f>HYPERLINK("https://www.philgeps.gov.ph/GEPSNONPILOT/Tender/SplashBidNoticeAbstractUI.aspx?menuIndex=3&amp;refID=7098780&amp;Result=3","7098780")</f>
        <v>0</v>
      </c>
      <c r="B14083" t="s">
        <v>388</v>
      </c>
      <c r="C14083" t="s">
        <v>17168</v>
      </c>
      <c r="E14083" t="s">
        <v>30179</v>
      </c>
      <c r="F14083" t="s">
        <v>30900</v>
      </c>
      <c r="G14083" t="s">
        <v>30907</v>
      </c>
      <c r="H14083" t="s">
        <v>30916</v>
      </c>
      <c r="I14083" t="s">
        <v>30924</v>
      </c>
      <c r="J14083" t="s">
        <v>39782</v>
      </c>
      <c r="K14083" t="s">
        <v>40289</v>
      </c>
      <c r="M14083" t="s">
        <v>44358</v>
      </c>
      <c r="N14083" t="s">
        <v>44759</v>
      </c>
      <c r="O14083" t="s">
        <v>44760</v>
      </c>
      <c r="Q14083">
        <v>15</v>
      </c>
      <c r="R14083" t="s">
        <v>44785</v>
      </c>
      <c r="S14083" t="s">
        <v>45923</v>
      </c>
      <c r="T14083" t="s">
        <v>46390</v>
      </c>
      <c r="U14083" t="s">
        <v>58450</v>
      </c>
      <c r="W14083" t="s">
        <v>44358</v>
      </c>
      <c r="X14083" t="s">
        <v>44788</v>
      </c>
    </row>
    <row r="14084" spans="1:24">
      <c r="A14084">
        <f>HYPERLINK("https://www.philgeps.gov.ph/GEPSNONPILOT/Tender/SplashBidNoticeAbstractUI.aspx?menuIndex=3&amp;refID=7103347&amp;Result=3","7103347")</f>
        <v>0</v>
      </c>
      <c r="B14084" t="s">
        <v>2652</v>
      </c>
      <c r="C14084" t="s">
        <v>17169</v>
      </c>
      <c r="D14084" t="s">
        <v>17959</v>
      </c>
      <c r="E14084" t="s">
        <v>30180</v>
      </c>
      <c r="F14084" t="s">
        <v>30900</v>
      </c>
      <c r="G14084" t="s">
        <v>30907</v>
      </c>
      <c r="H14084" t="s">
        <v>30916</v>
      </c>
      <c r="I14084" t="s">
        <v>30952</v>
      </c>
      <c r="J14084" t="s">
        <v>39783</v>
      </c>
      <c r="K14084" t="s">
        <v>40287</v>
      </c>
      <c r="M14084" t="s">
        <v>44620</v>
      </c>
      <c r="N14084" t="s">
        <v>44759</v>
      </c>
      <c r="O14084" t="s">
        <v>44760</v>
      </c>
      <c r="P14084">
        <v>0</v>
      </c>
      <c r="Q14084">
        <v>13</v>
      </c>
      <c r="R14084" t="s">
        <v>44786</v>
      </c>
      <c r="S14084" t="s">
        <v>45924</v>
      </c>
      <c r="T14084" t="s">
        <v>46383</v>
      </c>
      <c r="U14084" t="s">
        <v>58208</v>
      </c>
      <c r="W14084" t="s">
        <v>44620</v>
      </c>
      <c r="X14084" t="s">
        <v>44785</v>
      </c>
    </row>
    <row r="14085" spans="1:24">
      <c r="A14085">
        <f>HYPERLINK("https://www.philgeps.gov.ph/GEPSNONPILOT/Tender/SplashBidNoticeAbstractUI.aspx?menuIndex=3&amp;refID=7104120&amp;Result=3","7104120")</f>
        <v>0</v>
      </c>
      <c r="B14085" t="s">
        <v>1088</v>
      </c>
      <c r="C14085" t="s">
        <v>17170</v>
      </c>
      <c r="D14085" t="s">
        <v>18038</v>
      </c>
      <c r="E14085" t="s">
        <v>30181</v>
      </c>
      <c r="F14085" t="s">
        <v>30900</v>
      </c>
      <c r="G14085" t="s">
        <v>30907</v>
      </c>
      <c r="H14085" t="s">
        <v>30916</v>
      </c>
      <c r="I14085" t="s">
        <v>30991</v>
      </c>
      <c r="J14085" t="s">
        <v>39784</v>
      </c>
      <c r="K14085" t="s">
        <v>40300</v>
      </c>
      <c r="M14085" t="s">
        <v>44660</v>
      </c>
      <c r="N14085" t="s">
        <v>44759</v>
      </c>
      <c r="O14085" t="s">
        <v>44760</v>
      </c>
      <c r="Q14085">
        <v>5</v>
      </c>
      <c r="R14085" t="s">
        <v>44784</v>
      </c>
      <c r="S14085" t="s">
        <v>45925</v>
      </c>
      <c r="T14085" t="s">
        <v>46389</v>
      </c>
      <c r="U14085" t="s">
        <v>58451</v>
      </c>
      <c r="W14085" t="s">
        <v>44660</v>
      </c>
      <c r="X14085" t="s">
        <v>44786</v>
      </c>
    </row>
    <row r="14086" spans="1:24">
      <c r="A14086">
        <f>HYPERLINK("https://www.philgeps.gov.ph/GEPSNONPILOT/Tender/SplashBidNoticeAbstractUI.aspx?menuIndex=3&amp;refID=7100710&amp;Result=3","7100710")</f>
        <v>0</v>
      </c>
      <c r="B14086" t="s">
        <v>1251</v>
      </c>
      <c r="C14086" t="s">
        <v>17171</v>
      </c>
      <c r="D14086" t="s">
        <v>17963</v>
      </c>
      <c r="E14086" t="s">
        <v>30182</v>
      </c>
      <c r="F14086" t="s">
        <v>30900</v>
      </c>
      <c r="G14086" t="s">
        <v>30907</v>
      </c>
      <c r="H14086" t="s">
        <v>30915</v>
      </c>
      <c r="I14086" t="s">
        <v>30919</v>
      </c>
      <c r="J14086" t="s">
        <v>39785</v>
      </c>
      <c r="K14086" t="s">
        <v>40292</v>
      </c>
      <c r="M14086" t="s">
        <v>41863</v>
      </c>
      <c r="N14086" t="s">
        <v>44759</v>
      </c>
      <c r="O14086" t="s">
        <v>44760</v>
      </c>
      <c r="P14086">
        <v>0</v>
      </c>
      <c r="Q14086">
        <v>4</v>
      </c>
      <c r="R14086" t="s">
        <v>44784</v>
      </c>
      <c r="S14086" t="s">
        <v>45911</v>
      </c>
      <c r="T14086" t="s">
        <v>46425</v>
      </c>
      <c r="U14086" t="s">
        <v>58452</v>
      </c>
      <c r="W14086" t="s">
        <v>41863</v>
      </c>
      <c r="X14086" t="s">
        <v>44787</v>
      </c>
    </row>
    <row r="14087" spans="1:24">
      <c r="A14087">
        <f>HYPERLINK("https://www.philgeps.gov.ph/GEPSNONPILOT/Tender/SplashBidNoticeAbstractUI.aspx?menuIndex=3&amp;refID=7104106&amp;Result=3","7104106")</f>
        <v>0</v>
      </c>
      <c r="B14087" t="s">
        <v>2647</v>
      </c>
      <c r="C14087" t="s">
        <v>17172</v>
      </c>
      <c r="E14087" t="s">
        <v>30183</v>
      </c>
      <c r="F14087" t="s">
        <v>30900</v>
      </c>
      <c r="G14087" t="s">
        <v>30907</v>
      </c>
      <c r="H14087" t="s">
        <v>30916</v>
      </c>
      <c r="I14087" t="s">
        <v>30985</v>
      </c>
      <c r="J14087" t="s">
        <v>36946</v>
      </c>
      <c r="K14087" t="s">
        <v>40289</v>
      </c>
      <c r="M14087" t="s">
        <v>43413</v>
      </c>
      <c r="N14087" t="s">
        <v>44759</v>
      </c>
      <c r="O14087" t="s">
        <v>44760</v>
      </c>
      <c r="Q14087">
        <v>17</v>
      </c>
      <c r="R14087" t="s">
        <v>44784</v>
      </c>
      <c r="S14087" t="s">
        <v>45926</v>
      </c>
      <c r="T14087" t="s">
        <v>46533</v>
      </c>
      <c r="U14087" t="s">
        <v>58453</v>
      </c>
      <c r="V14087" t="s">
        <v>60709</v>
      </c>
      <c r="W14087" t="s">
        <v>43413</v>
      </c>
      <c r="X14087" t="s">
        <v>44786</v>
      </c>
    </row>
    <row r="14088" spans="1:24">
      <c r="A14088">
        <f>HYPERLINK("https://www.philgeps.gov.ph/GEPSNONPILOT/Tender/SplashBidNoticeAbstractUI.aspx?menuIndex=3&amp;refID=7104104&amp;Result=3","7104104")</f>
        <v>0</v>
      </c>
      <c r="B14088" t="s">
        <v>1967</v>
      </c>
      <c r="C14088" t="s">
        <v>17173</v>
      </c>
      <c r="D14088" t="s">
        <v>17988</v>
      </c>
      <c r="E14088" t="s">
        <v>30184</v>
      </c>
      <c r="F14088" t="s">
        <v>30900</v>
      </c>
      <c r="G14088" t="s">
        <v>30907</v>
      </c>
      <c r="H14088" t="s">
        <v>30915</v>
      </c>
      <c r="I14088" t="s">
        <v>30919</v>
      </c>
      <c r="J14088" t="s">
        <v>39786</v>
      </c>
      <c r="K14088" t="s">
        <v>40289</v>
      </c>
      <c r="M14088" t="s">
        <v>42653</v>
      </c>
      <c r="N14088" t="s">
        <v>44759</v>
      </c>
      <c r="O14088" t="s">
        <v>44760</v>
      </c>
      <c r="P14088">
        <v>0</v>
      </c>
      <c r="Q14088">
        <v>2</v>
      </c>
      <c r="R14088" t="s">
        <v>44784</v>
      </c>
      <c r="S14088" t="s">
        <v>45911</v>
      </c>
      <c r="T14088" t="s">
        <v>46625</v>
      </c>
      <c r="U14088" t="s">
        <v>55148</v>
      </c>
      <c r="W14088" t="s">
        <v>42653</v>
      </c>
      <c r="X14088" t="s">
        <v>44786</v>
      </c>
    </row>
    <row r="14089" spans="1:24">
      <c r="A14089">
        <f>HYPERLINK("https://www.philgeps.gov.ph/GEPSNONPILOT/Tender/SplashBidNoticeAbstractUI.aspx?menuIndex=3&amp;refID=7091303&amp;Result=3","7091303")</f>
        <v>0</v>
      </c>
      <c r="B14089" t="s">
        <v>3431</v>
      </c>
      <c r="C14089" t="s">
        <v>17166</v>
      </c>
      <c r="D14089" t="s">
        <v>18001</v>
      </c>
      <c r="E14089" t="s">
        <v>30185</v>
      </c>
      <c r="F14089" t="s">
        <v>30900</v>
      </c>
      <c r="G14089" t="s">
        <v>30907</v>
      </c>
      <c r="H14089" t="s">
        <v>30916</v>
      </c>
      <c r="I14089" t="s">
        <v>30923</v>
      </c>
      <c r="J14089" t="s">
        <v>39787</v>
      </c>
      <c r="K14089" t="s">
        <v>40284</v>
      </c>
      <c r="M14089" t="s">
        <v>44659</v>
      </c>
      <c r="N14089" t="s">
        <v>44759</v>
      </c>
      <c r="O14089" t="s">
        <v>44760</v>
      </c>
      <c r="Q14089">
        <v>40</v>
      </c>
      <c r="R14089" t="s">
        <v>44785</v>
      </c>
      <c r="S14089" t="s">
        <v>45927</v>
      </c>
      <c r="T14089" t="s">
        <v>46541</v>
      </c>
      <c r="U14089" t="s">
        <v>58448</v>
      </c>
      <c r="W14089" t="s">
        <v>44659</v>
      </c>
      <c r="X14089" t="s">
        <v>44790</v>
      </c>
    </row>
    <row r="14090" spans="1:24">
      <c r="A14090">
        <f>HYPERLINK("https://www.philgeps.gov.ph/GEPSNONPILOT/Tender/SplashBidNoticeAbstractUI.aspx?menuIndex=3&amp;refID=7102364&amp;Result=3","7102364")</f>
        <v>0</v>
      </c>
      <c r="B14090" t="s">
        <v>352</v>
      </c>
      <c r="C14090" t="s">
        <v>17174</v>
      </c>
      <c r="D14090" t="s">
        <v>17993</v>
      </c>
      <c r="E14090" t="s">
        <v>19112</v>
      </c>
      <c r="F14090" t="s">
        <v>30900</v>
      </c>
      <c r="G14090" t="s">
        <v>30907</v>
      </c>
      <c r="H14090" t="s">
        <v>30916</v>
      </c>
      <c r="I14090" t="s">
        <v>30918</v>
      </c>
      <c r="J14090" t="s">
        <v>39788</v>
      </c>
      <c r="K14090" t="s">
        <v>40301</v>
      </c>
      <c r="M14090" t="s">
        <v>40905</v>
      </c>
      <c r="N14090" t="s">
        <v>44759</v>
      </c>
      <c r="O14090" t="s">
        <v>44760</v>
      </c>
      <c r="P14090">
        <v>0</v>
      </c>
      <c r="Q14090">
        <v>63</v>
      </c>
      <c r="R14090" t="s">
        <v>44784</v>
      </c>
      <c r="S14090" t="s">
        <v>45911</v>
      </c>
      <c r="T14090" t="s">
        <v>46581</v>
      </c>
      <c r="U14090" t="s">
        <v>58454</v>
      </c>
      <c r="W14090" t="s">
        <v>40905</v>
      </c>
      <c r="X14090" t="s">
        <v>44787</v>
      </c>
    </row>
    <row r="14091" spans="1:24">
      <c r="A14091">
        <f>HYPERLINK("https://www.philgeps.gov.ph/GEPSNONPILOT/Tender/SplashBidNoticeAbstractUI.aspx?menuIndex=3&amp;refID=6121188&amp;Result=3","6121188")</f>
        <v>0</v>
      </c>
      <c r="B14091" t="s">
        <v>3699</v>
      </c>
      <c r="C14091" t="s">
        <v>17175</v>
      </c>
      <c r="D14091" t="s">
        <v>18011</v>
      </c>
      <c r="E14091" t="s">
        <v>30186</v>
      </c>
      <c r="F14091" t="s">
        <v>30900</v>
      </c>
      <c r="G14091" t="s">
        <v>30913</v>
      </c>
      <c r="H14091" t="s">
        <v>30915</v>
      </c>
      <c r="I14091" t="s">
        <v>30919</v>
      </c>
      <c r="J14091" t="s">
        <v>31897</v>
      </c>
      <c r="K14091" t="s">
        <v>40292</v>
      </c>
      <c r="M14091" t="s">
        <v>44661</v>
      </c>
      <c r="N14091" t="s">
        <v>44759</v>
      </c>
      <c r="O14091" t="s">
        <v>44760</v>
      </c>
      <c r="P14091">
        <v>0</v>
      </c>
      <c r="Q14091">
        <v>1</v>
      </c>
      <c r="R14091" t="s">
        <v>44787</v>
      </c>
      <c r="S14091" t="s">
        <v>45928</v>
      </c>
      <c r="T14091" t="s">
        <v>46363</v>
      </c>
      <c r="U14091" t="s">
        <v>58455</v>
      </c>
      <c r="W14091" t="s">
        <v>44661</v>
      </c>
      <c r="X14091" t="s">
        <v>60961</v>
      </c>
    </row>
    <row r="14092" spans="1:24">
      <c r="A14092">
        <f>HYPERLINK("https://www.philgeps.gov.ph/GEPSNONPILOT/Tender/SplashBidNoticeAbstractUI.aspx?menuIndex=3&amp;refID=7104101&amp;Result=3","7104101")</f>
        <v>0</v>
      </c>
      <c r="B14092" t="s">
        <v>1967</v>
      </c>
      <c r="C14092" t="s">
        <v>17176</v>
      </c>
      <c r="D14092" t="s">
        <v>17988</v>
      </c>
      <c r="E14092" t="s">
        <v>30187</v>
      </c>
      <c r="F14092" t="s">
        <v>30900</v>
      </c>
      <c r="G14092" t="s">
        <v>30907</v>
      </c>
      <c r="H14092" t="s">
        <v>30915</v>
      </c>
      <c r="I14092" t="s">
        <v>30919</v>
      </c>
      <c r="J14092" t="s">
        <v>39789</v>
      </c>
      <c r="K14092" t="s">
        <v>40289</v>
      </c>
      <c r="M14092" t="s">
        <v>42653</v>
      </c>
      <c r="N14092" t="s">
        <v>44759</v>
      </c>
      <c r="O14092" t="s">
        <v>44760</v>
      </c>
      <c r="P14092">
        <v>0</v>
      </c>
      <c r="Q14092">
        <v>2</v>
      </c>
      <c r="R14092" t="s">
        <v>44784</v>
      </c>
      <c r="S14092" t="s">
        <v>45911</v>
      </c>
      <c r="T14092" t="s">
        <v>46625</v>
      </c>
      <c r="U14092" t="s">
        <v>55148</v>
      </c>
      <c r="W14092" t="s">
        <v>42653</v>
      </c>
      <c r="X14092" t="s">
        <v>44786</v>
      </c>
    </row>
    <row r="14093" spans="1:24">
      <c r="A14093">
        <f>HYPERLINK("https://www.philgeps.gov.ph/GEPSNONPILOT/Tender/SplashBidNoticeAbstractUI.aspx?menuIndex=3&amp;refID=7109126&amp;Result=3","7109126")</f>
        <v>0</v>
      </c>
      <c r="B14093" t="s">
        <v>3700</v>
      </c>
      <c r="C14093" t="s">
        <v>17177</v>
      </c>
      <c r="D14093" t="s">
        <v>17982</v>
      </c>
      <c r="E14093" t="s">
        <v>30188</v>
      </c>
      <c r="F14093" t="s">
        <v>30900</v>
      </c>
      <c r="G14093" t="s">
        <v>30907</v>
      </c>
      <c r="H14093" t="s">
        <v>30915</v>
      </c>
      <c r="I14093" t="s">
        <v>30919</v>
      </c>
      <c r="J14093" t="s">
        <v>31243</v>
      </c>
      <c r="K14093" t="s">
        <v>40287</v>
      </c>
      <c r="M14093" t="s">
        <v>44662</v>
      </c>
      <c r="N14093" t="s">
        <v>44759</v>
      </c>
      <c r="O14093" t="s">
        <v>44760</v>
      </c>
      <c r="P14093">
        <v>0</v>
      </c>
      <c r="Q14093">
        <v>0</v>
      </c>
      <c r="R14093" t="s">
        <v>44782</v>
      </c>
      <c r="S14093" t="s">
        <v>45846</v>
      </c>
      <c r="T14093" t="s">
        <v>46760</v>
      </c>
      <c r="U14093" t="s">
        <v>58456</v>
      </c>
      <c r="V14093" t="s">
        <v>60710</v>
      </c>
      <c r="W14093" t="s">
        <v>44662</v>
      </c>
      <c r="X14093" t="s">
        <v>44783</v>
      </c>
    </row>
    <row r="14094" spans="1:24">
      <c r="A14094">
        <f>HYPERLINK("https://www.philgeps.gov.ph/GEPSNONPILOT/Tender/SplashBidNoticeAbstractUI.aspx?menuIndex=3&amp;refID=7092505&amp;Result=3","7092505")</f>
        <v>0</v>
      </c>
      <c r="B14094" t="s">
        <v>1240</v>
      </c>
      <c r="C14094" t="s">
        <v>17178</v>
      </c>
      <c r="D14094" t="s">
        <v>18010</v>
      </c>
      <c r="E14094" t="s">
        <v>30189</v>
      </c>
      <c r="F14094" t="s">
        <v>30900</v>
      </c>
      <c r="G14094" t="s">
        <v>30907</v>
      </c>
      <c r="H14094" t="s">
        <v>30915</v>
      </c>
      <c r="I14094" t="s">
        <v>30919</v>
      </c>
      <c r="J14094" t="s">
        <v>31391</v>
      </c>
      <c r="K14094" t="s">
        <v>40292</v>
      </c>
      <c r="M14094" t="s">
        <v>41852</v>
      </c>
      <c r="N14094" t="s">
        <v>44759</v>
      </c>
      <c r="O14094" t="s">
        <v>44760</v>
      </c>
      <c r="P14094">
        <v>0</v>
      </c>
      <c r="Q14094">
        <v>79</v>
      </c>
      <c r="R14094" t="s">
        <v>44784</v>
      </c>
      <c r="S14094" t="s">
        <v>45911</v>
      </c>
      <c r="T14094" t="s">
        <v>46625</v>
      </c>
      <c r="U14094" t="s">
        <v>58457</v>
      </c>
      <c r="V14094" t="s">
        <v>60711</v>
      </c>
      <c r="W14094" t="s">
        <v>41852</v>
      </c>
      <c r="X14094" t="s">
        <v>44790</v>
      </c>
    </row>
    <row r="14095" spans="1:24">
      <c r="A14095">
        <f>HYPERLINK("https://www.philgeps.gov.ph/GEPSNONPILOT/Tender/SplashBidNoticeAbstractUI.aspx?menuIndex=3&amp;refID=7103041&amp;Result=3","7103041")</f>
        <v>0</v>
      </c>
      <c r="B14095" t="s">
        <v>919</v>
      </c>
      <c r="C14095" t="s">
        <v>17179</v>
      </c>
      <c r="D14095" t="s">
        <v>17962</v>
      </c>
      <c r="E14095" t="s">
        <v>30190</v>
      </c>
      <c r="F14095" t="s">
        <v>30900</v>
      </c>
      <c r="G14095" t="s">
        <v>30907</v>
      </c>
      <c r="H14095" t="s">
        <v>30916</v>
      </c>
      <c r="I14095" t="s">
        <v>30934</v>
      </c>
      <c r="J14095" t="s">
        <v>31313</v>
      </c>
      <c r="K14095" t="s">
        <v>40286</v>
      </c>
      <c r="M14095" t="s">
        <v>41499</v>
      </c>
      <c r="N14095" t="s">
        <v>44759</v>
      </c>
      <c r="O14095" t="s">
        <v>44760</v>
      </c>
      <c r="P14095">
        <v>0</v>
      </c>
      <c r="Q14095">
        <v>7</v>
      </c>
      <c r="R14095" t="s">
        <v>44785</v>
      </c>
      <c r="S14095" t="s">
        <v>45929</v>
      </c>
      <c r="T14095" t="s">
        <v>46363</v>
      </c>
      <c r="U14095" t="s">
        <v>58458</v>
      </c>
      <c r="W14095" t="s">
        <v>41499</v>
      </c>
      <c r="X14095" t="s">
        <v>44787</v>
      </c>
    </row>
    <row r="14096" spans="1:24">
      <c r="A14096">
        <f>HYPERLINK("https://www.philgeps.gov.ph/GEPSNONPILOT/Tender/SplashBidNoticeAbstractUI.aspx?menuIndex=3&amp;refID=7102773&amp;Result=3","7102773")</f>
        <v>0</v>
      </c>
      <c r="B14096" t="s">
        <v>3443</v>
      </c>
      <c r="C14096" t="s">
        <v>17180</v>
      </c>
      <c r="D14096" t="s">
        <v>17957</v>
      </c>
      <c r="E14096" t="s">
        <v>30191</v>
      </c>
      <c r="F14096" t="s">
        <v>30900</v>
      </c>
      <c r="G14096" t="s">
        <v>30907</v>
      </c>
      <c r="H14096" t="s">
        <v>30916</v>
      </c>
      <c r="I14096" t="s">
        <v>4061</v>
      </c>
      <c r="J14096" t="s">
        <v>39790</v>
      </c>
      <c r="K14096" t="s">
        <v>40286</v>
      </c>
      <c r="M14096" t="s">
        <v>44324</v>
      </c>
      <c r="N14096" t="s">
        <v>44759</v>
      </c>
      <c r="O14096" t="s">
        <v>44760</v>
      </c>
      <c r="P14096">
        <v>0</v>
      </c>
      <c r="Q14096">
        <v>1</v>
      </c>
      <c r="R14096" t="s">
        <v>44785</v>
      </c>
      <c r="S14096" t="s">
        <v>45929</v>
      </c>
      <c r="T14096" t="s">
        <v>46625</v>
      </c>
      <c r="U14096" t="s">
        <v>58459</v>
      </c>
      <c r="W14096" t="s">
        <v>44324</v>
      </c>
      <c r="X14096" t="s">
        <v>44787</v>
      </c>
    </row>
    <row r="14097" spans="1:24">
      <c r="A14097">
        <f>HYPERLINK("https://www.philgeps.gov.ph/GEPSNONPILOT/Tender/SplashBidNoticeAbstractUI.aspx?menuIndex=3&amp;refID=7102635&amp;Result=3","7102635")</f>
        <v>0</v>
      </c>
      <c r="B14097" t="s">
        <v>3701</v>
      </c>
      <c r="C14097" t="s">
        <v>17181</v>
      </c>
      <c r="D14097" t="s">
        <v>18002</v>
      </c>
      <c r="E14097" t="s">
        <v>22616</v>
      </c>
      <c r="F14097" t="s">
        <v>30900</v>
      </c>
      <c r="G14097" t="s">
        <v>30907</v>
      </c>
      <c r="H14097" t="s">
        <v>30916</v>
      </c>
      <c r="I14097" t="s">
        <v>17295</v>
      </c>
      <c r="J14097" t="s">
        <v>39791</v>
      </c>
      <c r="K14097" t="s">
        <v>40303</v>
      </c>
      <c r="M14097" t="s">
        <v>44663</v>
      </c>
      <c r="N14097" t="s">
        <v>44759</v>
      </c>
      <c r="O14097" t="s">
        <v>44760</v>
      </c>
      <c r="P14097">
        <v>0</v>
      </c>
      <c r="Q14097">
        <v>4</v>
      </c>
      <c r="R14097" t="s">
        <v>44785</v>
      </c>
      <c r="S14097" t="s">
        <v>45929</v>
      </c>
      <c r="T14097" t="s">
        <v>46777</v>
      </c>
      <c r="U14097" t="s">
        <v>58460</v>
      </c>
      <c r="W14097" t="s">
        <v>44663</v>
      </c>
      <c r="X14097" t="s">
        <v>44787</v>
      </c>
    </row>
    <row r="14098" spans="1:24">
      <c r="A14098">
        <f>HYPERLINK("https://www.philgeps.gov.ph/GEPSNONPILOT/Tender/SplashBidNoticeAbstractUI.aspx?menuIndex=3&amp;refID=7102805&amp;Result=3","7102805")</f>
        <v>0</v>
      </c>
      <c r="B14098" t="s">
        <v>3443</v>
      </c>
      <c r="C14098" t="s">
        <v>17182</v>
      </c>
      <c r="D14098" t="s">
        <v>17957</v>
      </c>
      <c r="E14098" t="s">
        <v>30192</v>
      </c>
      <c r="F14098" t="s">
        <v>30900</v>
      </c>
      <c r="G14098" t="s">
        <v>30907</v>
      </c>
      <c r="H14098" t="s">
        <v>30915</v>
      </c>
      <c r="I14098" t="s">
        <v>4061</v>
      </c>
      <c r="J14098" t="s">
        <v>31152</v>
      </c>
      <c r="K14098" t="s">
        <v>40286</v>
      </c>
      <c r="M14098" t="s">
        <v>44324</v>
      </c>
      <c r="N14098" t="s">
        <v>44759</v>
      </c>
      <c r="O14098" t="s">
        <v>44760</v>
      </c>
      <c r="P14098">
        <v>0</v>
      </c>
      <c r="Q14098">
        <v>2</v>
      </c>
      <c r="R14098" t="s">
        <v>44785</v>
      </c>
      <c r="S14098" t="s">
        <v>45929</v>
      </c>
      <c r="T14098" t="s">
        <v>46625</v>
      </c>
      <c r="U14098" t="s">
        <v>58461</v>
      </c>
      <c r="W14098" t="s">
        <v>44324</v>
      </c>
      <c r="X14098" t="s">
        <v>44787</v>
      </c>
    </row>
    <row r="14099" spans="1:24">
      <c r="A14099">
        <f>HYPERLINK("https://www.philgeps.gov.ph/GEPSNONPILOT/Tender/SplashBidNoticeAbstractUI.aspx?menuIndex=3&amp;refID=7102370&amp;Result=3","7102370")</f>
        <v>0</v>
      </c>
      <c r="B14099" t="s">
        <v>3702</v>
      </c>
      <c r="C14099" t="s">
        <v>17183</v>
      </c>
      <c r="D14099" t="s">
        <v>18020</v>
      </c>
      <c r="E14099" t="s">
        <v>30193</v>
      </c>
      <c r="F14099" t="s">
        <v>30899</v>
      </c>
      <c r="G14099" t="s">
        <v>30907</v>
      </c>
      <c r="H14099" t="s">
        <v>30917</v>
      </c>
      <c r="I14099" t="s">
        <v>17295</v>
      </c>
      <c r="J14099" t="s">
        <v>39792</v>
      </c>
      <c r="K14099" t="s">
        <v>40332</v>
      </c>
      <c r="M14099" t="s">
        <v>44664</v>
      </c>
      <c r="N14099" t="s">
        <v>44759</v>
      </c>
      <c r="O14099" t="s">
        <v>44760</v>
      </c>
      <c r="P14099">
        <v>0</v>
      </c>
      <c r="Q14099">
        <v>5</v>
      </c>
      <c r="R14099" t="s">
        <v>44785</v>
      </c>
      <c r="S14099" t="s">
        <v>45929</v>
      </c>
      <c r="T14099" t="s">
        <v>46440</v>
      </c>
      <c r="U14099" t="s">
        <v>58462</v>
      </c>
      <c r="W14099" t="s">
        <v>60942</v>
      </c>
      <c r="X14099" t="s">
        <v>44787</v>
      </c>
    </row>
    <row r="14100" spans="1:24">
      <c r="A14100">
        <f>HYPERLINK("https://www.philgeps.gov.ph/GEPSNONPILOT/Tender/SplashBidNoticeAbstractUI.aspx?menuIndex=3&amp;refID=7102367&amp;Result=3","7102367")</f>
        <v>0</v>
      </c>
      <c r="B14100" t="s">
        <v>562</v>
      </c>
      <c r="C14100" t="s">
        <v>17184</v>
      </c>
      <c r="D14100" t="s">
        <v>17972</v>
      </c>
      <c r="E14100" t="s">
        <v>29358</v>
      </c>
      <c r="F14100" t="s">
        <v>30900</v>
      </c>
      <c r="G14100" t="s">
        <v>30907</v>
      </c>
      <c r="H14100" t="s">
        <v>30916</v>
      </c>
      <c r="I14100" t="s">
        <v>30924</v>
      </c>
      <c r="J14100" t="s">
        <v>39793</v>
      </c>
      <c r="K14100" t="s">
        <v>40283</v>
      </c>
      <c r="M14100" t="s">
        <v>41123</v>
      </c>
      <c r="N14100" t="s">
        <v>44759</v>
      </c>
      <c r="O14100" t="s">
        <v>44760</v>
      </c>
      <c r="P14100">
        <v>0</v>
      </c>
      <c r="Q14100">
        <v>6</v>
      </c>
      <c r="R14100" t="s">
        <v>44785</v>
      </c>
      <c r="S14100" t="s">
        <v>45929</v>
      </c>
      <c r="T14100" t="s">
        <v>46363</v>
      </c>
      <c r="U14100" t="s">
        <v>58463</v>
      </c>
      <c r="V14100" t="s">
        <v>60712</v>
      </c>
      <c r="W14100" t="s">
        <v>41123</v>
      </c>
      <c r="X14100" t="s">
        <v>44787</v>
      </c>
    </row>
    <row r="14101" spans="1:24">
      <c r="A14101">
        <f>HYPERLINK("https://www.philgeps.gov.ph/GEPSNONPILOT/Tender/SplashBidNoticeAbstractUI.aspx?menuIndex=3&amp;refID=7101756&amp;Result=3","7101756")</f>
        <v>0</v>
      </c>
      <c r="B14101" t="s">
        <v>3402</v>
      </c>
      <c r="C14101" t="s">
        <v>17185</v>
      </c>
      <c r="D14101" t="s">
        <v>17995</v>
      </c>
      <c r="E14101" t="s">
        <v>30194</v>
      </c>
      <c r="F14101" t="s">
        <v>30900</v>
      </c>
      <c r="G14101" t="s">
        <v>30907</v>
      </c>
      <c r="H14101" t="s">
        <v>30916</v>
      </c>
      <c r="I14101" t="s">
        <v>30941</v>
      </c>
      <c r="J14101" t="s">
        <v>39794</v>
      </c>
      <c r="K14101" t="s">
        <v>40286</v>
      </c>
      <c r="M14101" t="s">
        <v>44278</v>
      </c>
      <c r="N14101" t="s">
        <v>44759</v>
      </c>
      <c r="O14101" t="s">
        <v>44760</v>
      </c>
      <c r="P14101">
        <v>0</v>
      </c>
      <c r="Q14101">
        <v>2</v>
      </c>
      <c r="R14101" t="s">
        <v>44785</v>
      </c>
      <c r="S14101" t="s">
        <v>45929</v>
      </c>
      <c r="T14101" t="s">
        <v>46531</v>
      </c>
      <c r="U14101" t="s">
        <v>58464</v>
      </c>
      <c r="W14101" t="s">
        <v>44278</v>
      </c>
      <c r="X14101" t="s">
        <v>44787</v>
      </c>
    </row>
    <row r="14102" spans="1:24">
      <c r="A14102">
        <f>HYPERLINK("https://www.philgeps.gov.ph/GEPSNONPILOT/Tender/SplashBidNoticeAbstractUI.aspx?menuIndex=3&amp;refID=7101707&amp;Result=3","7101707")</f>
        <v>0</v>
      </c>
      <c r="B14102" t="s">
        <v>1851</v>
      </c>
      <c r="C14102" t="s">
        <v>17186</v>
      </c>
      <c r="D14102" t="s">
        <v>17959</v>
      </c>
      <c r="E14102" t="s">
        <v>30195</v>
      </c>
      <c r="F14102" t="s">
        <v>30900</v>
      </c>
      <c r="G14102" t="s">
        <v>30907</v>
      </c>
      <c r="H14102" t="s">
        <v>30917</v>
      </c>
      <c r="I14102" t="s">
        <v>30923</v>
      </c>
      <c r="J14102" t="s">
        <v>39795</v>
      </c>
      <c r="K14102" t="s">
        <v>40293</v>
      </c>
      <c r="M14102" t="s">
        <v>42523</v>
      </c>
      <c r="N14102" t="s">
        <v>44759</v>
      </c>
      <c r="O14102" t="s">
        <v>44760</v>
      </c>
      <c r="Q14102">
        <v>20</v>
      </c>
      <c r="R14102" t="s">
        <v>44785</v>
      </c>
      <c r="S14102" t="s">
        <v>45930</v>
      </c>
      <c r="T14102" t="s">
        <v>46450</v>
      </c>
      <c r="U14102" t="s">
        <v>51173</v>
      </c>
      <c r="V14102" t="s">
        <v>59814</v>
      </c>
      <c r="W14102" t="s">
        <v>42523</v>
      </c>
      <c r="X14102" t="s">
        <v>44787</v>
      </c>
    </row>
    <row r="14103" spans="1:24">
      <c r="A14103">
        <f>HYPERLINK("https://www.philgeps.gov.ph/GEPSNONPILOT/Tender/SplashBidNoticeAbstractUI.aspx?menuIndex=3&amp;refID=7101687&amp;Result=3","7101687")</f>
        <v>0</v>
      </c>
      <c r="B14103" t="s">
        <v>1851</v>
      </c>
      <c r="C14103" t="s">
        <v>17187</v>
      </c>
      <c r="D14103" t="s">
        <v>17959</v>
      </c>
      <c r="E14103" t="s">
        <v>30196</v>
      </c>
      <c r="F14103" t="s">
        <v>30900</v>
      </c>
      <c r="G14103" t="s">
        <v>30907</v>
      </c>
      <c r="H14103" t="s">
        <v>30917</v>
      </c>
      <c r="I14103" t="s">
        <v>5501</v>
      </c>
      <c r="J14103" t="s">
        <v>39796</v>
      </c>
      <c r="K14103" t="s">
        <v>40293</v>
      </c>
      <c r="M14103" t="s">
        <v>42523</v>
      </c>
      <c r="N14103" t="s">
        <v>44759</v>
      </c>
      <c r="O14103" t="s">
        <v>44760</v>
      </c>
      <c r="Q14103">
        <v>11</v>
      </c>
      <c r="R14103" t="s">
        <v>44785</v>
      </c>
      <c r="S14103" t="s">
        <v>45931</v>
      </c>
      <c r="T14103" t="s">
        <v>46450</v>
      </c>
      <c r="U14103" t="s">
        <v>51173</v>
      </c>
      <c r="V14103" t="s">
        <v>59814</v>
      </c>
      <c r="W14103" t="s">
        <v>42523</v>
      </c>
      <c r="X14103" t="s">
        <v>44787</v>
      </c>
    </row>
    <row r="14104" spans="1:24">
      <c r="A14104">
        <f>HYPERLINK("https://www.philgeps.gov.ph/GEPSNONPILOT/Tender/SplashBidNoticeAbstractUI.aspx?menuIndex=3&amp;refID=7102568&amp;Result=3","7102568")</f>
        <v>0</v>
      </c>
      <c r="B14104" t="s">
        <v>1851</v>
      </c>
      <c r="C14104" t="s">
        <v>17188</v>
      </c>
      <c r="D14104" t="s">
        <v>17985</v>
      </c>
      <c r="E14104" t="s">
        <v>30197</v>
      </c>
      <c r="F14104" t="s">
        <v>30900</v>
      </c>
      <c r="G14104" t="s">
        <v>30906</v>
      </c>
      <c r="H14104" t="s">
        <v>30917</v>
      </c>
      <c r="I14104" t="s">
        <v>31006</v>
      </c>
      <c r="J14104" t="s">
        <v>31391</v>
      </c>
      <c r="K14104" t="s">
        <v>40365</v>
      </c>
      <c r="M14104" t="s">
        <v>42523</v>
      </c>
      <c r="N14104" t="s">
        <v>44759</v>
      </c>
      <c r="O14104" t="s">
        <v>44760</v>
      </c>
      <c r="Q14104">
        <v>1</v>
      </c>
      <c r="R14104" t="s">
        <v>44785</v>
      </c>
      <c r="S14104" t="s">
        <v>45932</v>
      </c>
      <c r="T14104" t="s">
        <v>46450</v>
      </c>
      <c r="U14104" t="s">
        <v>51173</v>
      </c>
      <c r="V14104" t="s">
        <v>59814</v>
      </c>
      <c r="W14104" t="s">
        <v>42523</v>
      </c>
      <c r="X14104" t="s">
        <v>44787</v>
      </c>
    </row>
    <row r="14105" spans="1:24">
      <c r="A14105">
        <f>HYPERLINK("https://www.philgeps.gov.ph/GEPSNONPILOT/Tender/SplashBidNoticeAbstractUI.aspx?menuIndex=3&amp;refID=7101541&amp;Result=3","7101541")</f>
        <v>0</v>
      </c>
      <c r="B14105" t="s">
        <v>243</v>
      </c>
      <c r="C14105" t="s">
        <v>17189</v>
      </c>
      <c r="D14105" t="s">
        <v>17999</v>
      </c>
      <c r="E14105" t="s">
        <v>30198</v>
      </c>
      <c r="F14105" t="s">
        <v>30900</v>
      </c>
      <c r="G14105" t="s">
        <v>30907</v>
      </c>
      <c r="H14105" t="s">
        <v>30916</v>
      </c>
      <c r="I14105" t="s">
        <v>5501</v>
      </c>
      <c r="J14105" t="s">
        <v>39797</v>
      </c>
      <c r="K14105" t="s">
        <v>40321</v>
      </c>
      <c r="M14105" t="s">
        <v>44665</v>
      </c>
      <c r="N14105" t="s">
        <v>44759</v>
      </c>
      <c r="O14105" t="s">
        <v>44760</v>
      </c>
      <c r="P14105">
        <v>0</v>
      </c>
      <c r="Q14105">
        <v>3</v>
      </c>
      <c r="R14105" t="s">
        <v>44785</v>
      </c>
      <c r="S14105" t="s">
        <v>45929</v>
      </c>
      <c r="T14105" t="s">
        <v>46933</v>
      </c>
      <c r="U14105" t="s">
        <v>58465</v>
      </c>
      <c r="W14105" t="s">
        <v>60943</v>
      </c>
      <c r="X14105" t="s">
        <v>44787</v>
      </c>
    </row>
    <row r="14106" spans="1:24">
      <c r="A14106">
        <f>HYPERLINK("https://www.philgeps.gov.ph/GEPSNONPILOT/Tender/SplashBidNoticeAbstractUI.aspx?menuIndex=3&amp;refID=7100992&amp;Result=3","7100992")</f>
        <v>0</v>
      </c>
      <c r="B14106" t="s">
        <v>562</v>
      </c>
      <c r="C14106" t="s">
        <v>17190</v>
      </c>
      <c r="D14106" t="s">
        <v>17972</v>
      </c>
      <c r="E14106" t="s">
        <v>28773</v>
      </c>
      <c r="F14106" t="s">
        <v>30900</v>
      </c>
      <c r="G14106" t="s">
        <v>30907</v>
      </c>
      <c r="H14106" t="s">
        <v>30916</v>
      </c>
      <c r="I14106" t="s">
        <v>30933</v>
      </c>
      <c r="J14106" t="s">
        <v>32324</v>
      </c>
      <c r="K14106" t="s">
        <v>40286</v>
      </c>
      <c r="M14106" t="s">
        <v>41123</v>
      </c>
      <c r="N14106" t="s">
        <v>44759</v>
      </c>
      <c r="O14106" t="s">
        <v>44760</v>
      </c>
      <c r="P14106">
        <v>0</v>
      </c>
      <c r="Q14106">
        <v>9</v>
      </c>
      <c r="R14106" t="s">
        <v>44785</v>
      </c>
      <c r="S14106" t="s">
        <v>45929</v>
      </c>
      <c r="T14106" t="s">
        <v>46439</v>
      </c>
      <c r="U14106" t="s">
        <v>58466</v>
      </c>
      <c r="V14106" t="s">
        <v>60713</v>
      </c>
      <c r="W14106" t="s">
        <v>41123</v>
      </c>
      <c r="X14106" t="s">
        <v>44787</v>
      </c>
    </row>
    <row r="14107" spans="1:24">
      <c r="A14107">
        <f>HYPERLINK("https://www.philgeps.gov.ph/GEPSNONPILOT/Tender/SplashBidNoticeAbstractUI.aspx?menuIndex=3&amp;refID=7101040&amp;Result=3","7101040")</f>
        <v>0</v>
      </c>
      <c r="B14107" t="s">
        <v>562</v>
      </c>
      <c r="C14107" t="s">
        <v>17191</v>
      </c>
      <c r="D14107" t="s">
        <v>17972</v>
      </c>
      <c r="E14107" t="s">
        <v>29330</v>
      </c>
      <c r="F14107" t="s">
        <v>30900</v>
      </c>
      <c r="G14107" t="s">
        <v>30907</v>
      </c>
      <c r="H14107" t="s">
        <v>30916</v>
      </c>
      <c r="I14107" t="s">
        <v>30933</v>
      </c>
      <c r="J14107" t="s">
        <v>33323</v>
      </c>
      <c r="K14107" t="s">
        <v>40286</v>
      </c>
      <c r="M14107" t="s">
        <v>41123</v>
      </c>
      <c r="N14107" t="s">
        <v>44759</v>
      </c>
      <c r="O14107" t="s">
        <v>44760</v>
      </c>
      <c r="P14107">
        <v>0</v>
      </c>
      <c r="Q14107">
        <v>5</v>
      </c>
      <c r="R14107" t="s">
        <v>44785</v>
      </c>
      <c r="S14107" t="s">
        <v>45929</v>
      </c>
      <c r="T14107" t="s">
        <v>46439</v>
      </c>
      <c r="U14107" t="s">
        <v>58467</v>
      </c>
      <c r="V14107" t="s">
        <v>60714</v>
      </c>
      <c r="W14107" t="s">
        <v>41123</v>
      </c>
      <c r="X14107" t="s">
        <v>44787</v>
      </c>
    </row>
    <row r="14108" spans="1:24">
      <c r="A14108">
        <f>HYPERLINK("https://www.philgeps.gov.ph/GEPSNONPILOT/Tender/SplashBidNoticeAbstractUI.aspx?menuIndex=3&amp;refID=7100887&amp;Result=3","7100887")</f>
        <v>0</v>
      </c>
      <c r="B14108" t="s">
        <v>805</v>
      </c>
      <c r="C14108" t="s">
        <v>17192</v>
      </c>
      <c r="D14108" t="s">
        <v>18006</v>
      </c>
      <c r="E14108" t="s">
        <v>30199</v>
      </c>
      <c r="F14108" t="s">
        <v>30900</v>
      </c>
      <c r="G14108" t="s">
        <v>30907</v>
      </c>
      <c r="H14108" t="s">
        <v>30915</v>
      </c>
      <c r="I14108" t="s">
        <v>30919</v>
      </c>
      <c r="J14108" t="s">
        <v>31152</v>
      </c>
      <c r="K14108" t="s">
        <v>40367</v>
      </c>
      <c r="M14108" t="s">
        <v>41375</v>
      </c>
      <c r="N14108" t="s">
        <v>44759</v>
      </c>
      <c r="O14108" t="s">
        <v>44760</v>
      </c>
      <c r="Q14108">
        <v>1</v>
      </c>
      <c r="R14108" t="s">
        <v>44785</v>
      </c>
      <c r="S14108" t="s">
        <v>45933</v>
      </c>
      <c r="T14108" t="s">
        <v>46533</v>
      </c>
      <c r="U14108" t="s">
        <v>58468</v>
      </c>
      <c r="V14108" t="s">
        <v>60715</v>
      </c>
      <c r="W14108" t="s">
        <v>41375</v>
      </c>
      <c r="X14108" t="s">
        <v>44787</v>
      </c>
    </row>
    <row r="14109" spans="1:24">
      <c r="A14109">
        <f>HYPERLINK("https://www.philgeps.gov.ph/GEPSNONPILOT/Tender/SplashBidNoticeAbstractUI.aspx?menuIndex=3&amp;refID=7104095&amp;Result=3","7104095")</f>
        <v>0</v>
      </c>
      <c r="B14109" t="s">
        <v>1967</v>
      </c>
      <c r="C14109" t="s">
        <v>17193</v>
      </c>
      <c r="D14109" t="s">
        <v>17988</v>
      </c>
      <c r="E14109" t="s">
        <v>30200</v>
      </c>
      <c r="F14109" t="s">
        <v>30900</v>
      </c>
      <c r="G14109" t="s">
        <v>30907</v>
      </c>
      <c r="H14109" t="s">
        <v>30915</v>
      </c>
      <c r="I14109" t="s">
        <v>30919</v>
      </c>
      <c r="J14109" t="s">
        <v>39798</v>
      </c>
      <c r="K14109" t="s">
        <v>40289</v>
      </c>
      <c r="M14109" t="s">
        <v>42653</v>
      </c>
      <c r="N14109" t="s">
        <v>44759</v>
      </c>
      <c r="O14109" t="s">
        <v>44760</v>
      </c>
      <c r="P14109">
        <v>0</v>
      </c>
      <c r="Q14109">
        <v>0</v>
      </c>
      <c r="R14109" t="s">
        <v>44784</v>
      </c>
      <c r="S14109" t="s">
        <v>45911</v>
      </c>
      <c r="T14109" t="s">
        <v>46625</v>
      </c>
      <c r="U14109" t="s">
        <v>55148</v>
      </c>
      <c r="W14109" t="s">
        <v>42653</v>
      </c>
      <c r="X14109" t="s">
        <v>44786</v>
      </c>
    </row>
    <row r="14110" spans="1:24">
      <c r="A14110">
        <f>HYPERLINK("https://www.philgeps.gov.ph/GEPSNONPILOT/Tender/SplashBidNoticeAbstractUI.aspx?menuIndex=3&amp;refID=7102025&amp;Result=3","7102025")</f>
        <v>0</v>
      </c>
      <c r="B14110" t="s">
        <v>570</v>
      </c>
      <c r="C14110" t="s">
        <v>17194</v>
      </c>
      <c r="D14110" t="s">
        <v>17985</v>
      </c>
      <c r="E14110" t="s">
        <v>30201</v>
      </c>
      <c r="F14110" t="s">
        <v>30900</v>
      </c>
      <c r="G14110" t="s">
        <v>30907</v>
      </c>
      <c r="H14110" t="s">
        <v>30916</v>
      </c>
      <c r="I14110" t="s">
        <v>30923</v>
      </c>
      <c r="J14110" t="s">
        <v>31124</v>
      </c>
      <c r="K14110" t="s">
        <v>40291</v>
      </c>
      <c r="M14110" t="s">
        <v>43539</v>
      </c>
      <c r="N14110" t="s">
        <v>44759</v>
      </c>
      <c r="O14110" t="s">
        <v>44760</v>
      </c>
      <c r="Q14110">
        <v>13</v>
      </c>
      <c r="R14110" t="s">
        <v>44785</v>
      </c>
      <c r="S14110" t="s">
        <v>45934</v>
      </c>
      <c r="T14110" t="s">
        <v>46404</v>
      </c>
      <c r="U14110" t="s">
        <v>58469</v>
      </c>
      <c r="W14110" t="s">
        <v>43539</v>
      </c>
      <c r="X14110" t="s">
        <v>44787</v>
      </c>
    </row>
    <row r="14111" spans="1:24">
      <c r="A14111">
        <f>HYPERLINK("https://www.philgeps.gov.ph/GEPSNONPILOT/Tender/SplashBidNoticeAbstractUI.aspx?menuIndex=3&amp;refID=7103075&amp;Result=3","7103075")</f>
        <v>0</v>
      </c>
      <c r="B14111" t="s">
        <v>2581</v>
      </c>
      <c r="C14111" t="s">
        <v>17195</v>
      </c>
      <c r="D14111" t="s">
        <v>18027</v>
      </c>
      <c r="E14111" t="s">
        <v>30202</v>
      </c>
      <c r="F14111" t="s">
        <v>30900</v>
      </c>
      <c r="G14111" t="s">
        <v>30907</v>
      </c>
      <c r="H14111" t="s">
        <v>30915</v>
      </c>
      <c r="I14111" t="s">
        <v>30919</v>
      </c>
      <c r="J14111" t="s">
        <v>39799</v>
      </c>
      <c r="K14111" t="s">
        <v>40557</v>
      </c>
      <c r="M14111" t="s">
        <v>44666</v>
      </c>
      <c r="N14111" t="s">
        <v>44759</v>
      </c>
      <c r="O14111" t="s">
        <v>44760</v>
      </c>
      <c r="P14111">
        <v>0</v>
      </c>
      <c r="Q14111">
        <v>6</v>
      </c>
      <c r="R14111" t="s">
        <v>44785</v>
      </c>
      <c r="S14111" t="s">
        <v>45929</v>
      </c>
      <c r="T14111" t="s">
        <v>46380</v>
      </c>
      <c r="U14111" t="s">
        <v>58470</v>
      </c>
      <c r="V14111" t="s">
        <v>46999</v>
      </c>
      <c r="W14111" t="s">
        <v>44666</v>
      </c>
      <c r="X14111" t="s">
        <v>44787</v>
      </c>
    </row>
    <row r="14112" spans="1:24">
      <c r="A14112">
        <f>HYPERLINK("https://www.philgeps.gov.ph/GEPSNONPILOT/Tender/SplashBidNoticeAbstractUI.aspx?menuIndex=3&amp;refID=7106403&amp;Result=3","7106403")</f>
        <v>0</v>
      </c>
      <c r="B14112" t="s">
        <v>537</v>
      </c>
      <c r="C14112" t="s">
        <v>17196</v>
      </c>
      <c r="D14112" t="s">
        <v>17978</v>
      </c>
      <c r="E14112" t="s">
        <v>30203</v>
      </c>
      <c r="F14112" t="s">
        <v>30900</v>
      </c>
      <c r="G14112" t="s">
        <v>30907</v>
      </c>
      <c r="H14112" t="s">
        <v>30915</v>
      </c>
      <c r="I14112" t="s">
        <v>30919</v>
      </c>
      <c r="J14112" t="s">
        <v>39800</v>
      </c>
      <c r="K14112" t="s">
        <v>40286</v>
      </c>
      <c r="M14112" t="s">
        <v>41097</v>
      </c>
      <c r="N14112" t="s">
        <v>44759</v>
      </c>
      <c r="O14112" t="s">
        <v>44760</v>
      </c>
      <c r="P14112">
        <v>0</v>
      </c>
      <c r="Q14112">
        <v>1</v>
      </c>
      <c r="R14112" t="s">
        <v>44783</v>
      </c>
      <c r="S14112" t="s">
        <v>45897</v>
      </c>
      <c r="T14112" t="s">
        <v>46625</v>
      </c>
      <c r="U14112" t="s">
        <v>58428</v>
      </c>
      <c r="V14112" t="s">
        <v>59239</v>
      </c>
      <c r="W14112" t="s">
        <v>41097</v>
      </c>
      <c r="X14112" t="s">
        <v>44784</v>
      </c>
    </row>
    <row r="14113" spans="1:24">
      <c r="A14113">
        <f>HYPERLINK("https://www.philgeps.gov.ph/GEPSNONPILOT/Tender/SplashBidNoticeAbstractUI.aspx?menuIndex=3&amp;refID=7097851&amp;Result=3","7097851")</f>
        <v>0</v>
      </c>
      <c r="B14113" t="s">
        <v>1119</v>
      </c>
      <c r="C14113" t="s">
        <v>17197</v>
      </c>
      <c r="D14113" t="s">
        <v>17959</v>
      </c>
      <c r="E14113" t="s">
        <v>29680</v>
      </c>
      <c r="F14113" t="s">
        <v>30900</v>
      </c>
      <c r="G14113" t="s">
        <v>30910</v>
      </c>
      <c r="H14113" t="s">
        <v>30916</v>
      </c>
      <c r="I14113" t="s">
        <v>4108</v>
      </c>
      <c r="J14113" t="s">
        <v>33624</v>
      </c>
      <c r="K14113" t="s">
        <v>40283</v>
      </c>
      <c r="M14113" t="s">
        <v>41749</v>
      </c>
      <c r="N14113" t="s">
        <v>44759</v>
      </c>
      <c r="O14113" t="s">
        <v>44760</v>
      </c>
      <c r="Q14113">
        <v>4</v>
      </c>
      <c r="R14113" t="s">
        <v>44787</v>
      </c>
      <c r="S14113" t="s">
        <v>45935</v>
      </c>
      <c r="T14113" t="s">
        <v>46531</v>
      </c>
      <c r="U14113" t="s">
        <v>49074</v>
      </c>
      <c r="V14113" t="s">
        <v>60716</v>
      </c>
      <c r="W14113" t="s">
        <v>41749</v>
      </c>
      <c r="X14113" t="s">
        <v>44788</v>
      </c>
    </row>
    <row r="14114" spans="1:24">
      <c r="A14114">
        <f>HYPERLINK("https://www.philgeps.gov.ph/GEPSNONPILOT/Tender/SplashBidNoticeAbstractUI.aspx?menuIndex=3&amp;refID=7097858&amp;Result=3","7097858")</f>
        <v>0</v>
      </c>
      <c r="B14114" t="s">
        <v>2173</v>
      </c>
      <c r="C14114" t="s">
        <v>17198</v>
      </c>
      <c r="D14114" t="s">
        <v>17955</v>
      </c>
      <c r="E14114" t="s">
        <v>30204</v>
      </c>
      <c r="F14114" t="s">
        <v>30900</v>
      </c>
      <c r="G14114" t="s">
        <v>30907</v>
      </c>
      <c r="H14114" t="s">
        <v>30916</v>
      </c>
      <c r="I14114" t="s">
        <v>31038</v>
      </c>
      <c r="J14114" t="s">
        <v>31153</v>
      </c>
      <c r="K14114" t="s">
        <v>40292</v>
      </c>
      <c r="M14114" t="s">
        <v>42878</v>
      </c>
      <c r="N14114" t="s">
        <v>44759</v>
      </c>
      <c r="O14114" t="s">
        <v>44760</v>
      </c>
      <c r="P14114">
        <v>0</v>
      </c>
      <c r="Q14114">
        <v>8</v>
      </c>
      <c r="R14114" t="s">
        <v>44787</v>
      </c>
      <c r="S14114" t="s">
        <v>45928</v>
      </c>
      <c r="T14114" t="s">
        <v>46521</v>
      </c>
      <c r="U14114" t="s">
        <v>58471</v>
      </c>
      <c r="W14114" t="s">
        <v>42878</v>
      </c>
      <c r="X14114" t="s">
        <v>44788</v>
      </c>
    </row>
    <row r="14115" spans="1:24">
      <c r="A14115">
        <f>HYPERLINK("https://www.philgeps.gov.ph/GEPSNONPILOT/Tender/SplashBidNoticeAbstractUI.aspx?menuIndex=3&amp;refID=7097752&amp;Result=3","7097752")</f>
        <v>0</v>
      </c>
      <c r="B14115" t="s">
        <v>3645</v>
      </c>
      <c r="C14115" t="s">
        <v>17199</v>
      </c>
      <c r="E14115" t="s">
        <v>25856</v>
      </c>
      <c r="F14115" t="s">
        <v>30900</v>
      </c>
      <c r="G14115" t="s">
        <v>30907</v>
      </c>
      <c r="H14115" t="s">
        <v>30917</v>
      </c>
      <c r="I14115" t="s">
        <v>31006</v>
      </c>
      <c r="J14115" t="s">
        <v>31897</v>
      </c>
      <c r="K14115" t="s">
        <v>40410</v>
      </c>
      <c r="M14115" t="s">
        <v>44586</v>
      </c>
      <c r="N14115" t="s">
        <v>44759</v>
      </c>
      <c r="O14115" t="s">
        <v>44760</v>
      </c>
      <c r="Q14115">
        <v>6</v>
      </c>
      <c r="R14115" t="s">
        <v>44787</v>
      </c>
      <c r="S14115" t="s">
        <v>45936</v>
      </c>
      <c r="T14115" t="s">
        <v>46399</v>
      </c>
      <c r="U14115" t="s">
        <v>58019</v>
      </c>
      <c r="V14115" t="s">
        <v>60652</v>
      </c>
      <c r="W14115" t="s">
        <v>44586</v>
      </c>
      <c r="X14115" t="s">
        <v>44788</v>
      </c>
    </row>
    <row r="14116" spans="1:24">
      <c r="A14116">
        <f>HYPERLINK("https://www.philgeps.gov.ph/GEPSNONPILOT/Tender/SplashBidNoticeAbstractUI.aspx?menuIndex=3&amp;refID=7096775&amp;Result=3","7096775")</f>
        <v>0</v>
      </c>
      <c r="B14116" t="s">
        <v>1542</v>
      </c>
      <c r="C14116" t="s">
        <v>17200</v>
      </c>
      <c r="D14116" t="s">
        <v>17963</v>
      </c>
      <c r="E14116" t="s">
        <v>30205</v>
      </c>
      <c r="F14116" t="s">
        <v>30900</v>
      </c>
      <c r="G14116" t="s">
        <v>30907</v>
      </c>
      <c r="H14116" t="s">
        <v>30916</v>
      </c>
      <c r="I14116" t="s">
        <v>4061</v>
      </c>
      <c r="J14116" t="s">
        <v>39801</v>
      </c>
      <c r="K14116" t="s">
        <v>40286</v>
      </c>
      <c r="M14116" t="s">
        <v>44667</v>
      </c>
      <c r="N14116" t="s">
        <v>44759</v>
      </c>
      <c r="O14116" t="s">
        <v>44760</v>
      </c>
      <c r="Q14116">
        <v>4</v>
      </c>
      <c r="R14116" t="s">
        <v>44787</v>
      </c>
      <c r="S14116" t="s">
        <v>45937</v>
      </c>
      <c r="T14116" t="s">
        <v>46399</v>
      </c>
      <c r="U14116" t="s">
        <v>58472</v>
      </c>
      <c r="W14116" t="s">
        <v>44667</v>
      </c>
      <c r="X14116" t="s">
        <v>44789</v>
      </c>
    </row>
    <row r="14117" spans="1:24">
      <c r="A14117">
        <f>HYPERLINK("https://www.philgeps.gov.ph/GEPSNONPILOT/Tender/SplashBidNoticeAbstractUI.aspx?menuIndex=3&amp;refID=7096115&amp;Result=3","7096115")</f>
        <v>0</v>
      </c>
      <c r="B14117" t="s">
        <v>1542</v>
      </c>
      <c r="C14117" t="s">
        <v>17201</v>
      </c>
      <c r="E14117" t="s">
        <v>30206</v>
      </c>
      <c r="F14117" t="s">
        <v>30900</v>
      </c>
      <c r="G14117" t="s">
        <v>30907</v>
      </c>
      <c r="H14117" t="s">
        <v>30916</v>
      </c>
      <c r="I14117" t="s">
        <v>30983</v>
      </c>
      <c r="J14117" t="s">
        <v>31297</v>
      </c>
      <c r="K14117" t="s">
        <v>40286</v>
      </c>
      <c r="M14117" t="s">
        <v>44667</v>
      </c>
      <c r="N14117" t="s">
        <v>44759</v>
      </c>
      <c r="O14117" t="s">
        <v>44760</v>
      </c>
      <c r="Q14117">
        <v>8</v>
      </c>
      <c r="R14117" t="s">
        <v>44787</v>
      </c>
      <c r="S14117" t="s">
        <v>45938</v>
      </c>
      <c r="T14117" t="s">
        <v>46399</v>
      </c>
      <c r="U14117" t="s">
        <v>58473</v>
      </c>
      <c r="W14117" t="s">
        <v>44667</v>
      </c>
      <c r="X14117" t="s">
        <v>44789</v>
      </c>
    </row>
    <row r="14118" spans="1:24">
      <c r="A14118">
        <f>HYPERLINK("https://www.philgeps.gov.ph/GEPSNONPILOT/Tender/SplashBidNoticeAbstractUI.aspx?menuIndex=3&amp;refID=7095845&amp;Result=3","7095845")</f>
        <v>0</v>
      </c>
      <c r="B14118" t="s">
        <v>3703</v>
      </c>
      <c r="C14118" t="s">
        <v>17202</v>
      </c>
      <c r="D14118" t="s">
        <v>17972</v>
      </c>
      <c r="E14118" t="s">
        <v>26776</v>
      </c>
      <c r="F14118" t="s">
        <v>30900</v>
      </c>
      <c r="G14118" t="s">
        <v>30907</v>
      </c>
      <c r="H14118" t="s">
        <v>30916</v>
      </c>
      <c r="I14118" t="s">
        <v>8123</v>
      </c>
      <c r="J14118" t="s">
        <v>31096</v>
      </c>
      <c r="K14118" t="s">
        <v>40284</v>
      </c>
      <c r="M14118" t="s">
        <v>44668</v>
      </c>
      <c r="N14118" t="s">
        <v>44759</v>
      </c>
      <c r="O14118" t="s">
        <v>44760</v>
      </c>
      <c r="P14118">
        <v>0</v>
      </c>
      <c r="Q14118">
        <v>2</v>
      </c>
      <c r="R14118" t="s">
        <v>44787</v>
      </c>
      <c r="S14118" t="s">
        <v>45928</v>
      </c>
      <c r="T14118" t="s">
        <v>46625</v>
      </c>
      <c r="U14118" t="s">
        <v>58474</v>
      </c>
      <c r="W14118" t="s">
        <v>44668</v>
      </c>
      <c r="X14118" t="s">
        <v>44789</v>
      </c>
    </row>
    <row r="14119" spans="1:24">
      <c r="A14119">
        <f>HYPERLINK("https://www.philgeps.gov.ph/GEPSNONPILOT/Tender/SplashBidNoticeAbstractUI.aspx?menuIndex=3&amp;refID=7095733&amp;Result=3","7095733")</f>
        <v>0</v>
      </c>
      <c r="B14119" t="s">
        <v>2581</v>
      </c>
      <c r="C14119" t="s">
        <v>17203</v>
      </c>
      <c r="D14119" t="s">
        <v>17959</v>
      </c>
      <c r="E14119" t="s">
        <v>30207</v>
      </c>
      <c r="F14119" t="s">
        <v>30900</v>
      </c>
      <c r="G14119" t="s">
        <v>30907</v>
      </c>
      <c r="H14119" t="s">
        <v>30916</v>
      </c>
      <c r="I14119" t="s">
        <v>30985</v>
      </c>
      <c r="J14119" t="s">
        <v>39802</v>
      </c>
      <c r="K14119" t="s">
        <v>40289</v>
      </c>
      <c r="M14119" t="s">
        <v>44669</v>
      </c>
      <c r="N14119" t="s">
        <v>44759</v>
      </c>
      <c r="O14119" t="s">
        <v>44760</v>
      </c>
      <c r="Q14119">
        <v>11</v>
      </c>
      <c r="R14119" t="s">
        <v>44787</v>
      </c>
      <c r="S14119" t="s">
        <v>44914</v>
      </c>
      <c r="T14119" t="s">
        <v>46456</v>
      </c>
      <c r="U14119" t="s">
        <v>58475</v>
      </c>
      <c r="W14119" t="s">
        <v>44669</v>
      </c>
      <c r="X14119" t="s">
        <v>44789</v>
      </c>
    </row>
    <row r="14120" spans="1:24">
      <c r="A14120">
        <f>HYPERLINK("https://www.philgeps.gov.ph/GEPSNONPILOT/Tender/SplashBidNoticeAbstractUI.aspx?menuIndex=3&amp;refID=7089483&amp;Result=3","7089483")</f>
        <v>0</v>
      </c>
      <c r="B14120" t="s">
        <v>1542</v>
      </c>
      <c r="C14120" t="s">
        <v>17204</v>
      </c>
      <c r="E14120" t="s">
        <v>30208</v>
      </c>
      <c r="F14120" t="s">
        <v>30900</v>
      </c>
      <c r="G14120" t="s">
        <v>30907</v>
      </c>
      <c r="H14120" t="s">
        <v>30916</v>
      </c>
      <c r="I14120" t="s">
        <v>4061</v>
      </c>
      <c r="J14120" t="s">
        <v>39803</v>
      </c>
      <c r="K14120" t="s">
        <v>40286</v>
      </c>
      <c r="M14120" t="s">
        <v>44667</v>
      </c>
      <c r="N14120" t="s">
        <v>44759</v>
      </c>
      <c r="O14120" t="s">
        <v>44760</v>
      </c>
      <c r="Q14120">
        <v>4</v>
      </c>
      <c r="R14120" t="s">
        <v>44787</v>
      </c>
      <c r="S14120" t="s">
        <v>45939</v>
      </c>
      <c r="T14120" t="s">
        <v>46399</v>
      </c>
      <c r="U14120" t="s">
        <v>58476</v>
      </c>
      <c r="W14120" t="s">
        <v>44667</v>
      </c>
      <c r="X14120" t="s">
        <v>44791</v>
      </c>
    </row>
    <row r="14121" spans="1:24">
      <c r="A14121">
        <f>HYPERLINK("https://www.philgeps.gov.ph/GEPSNONPILOT/Tender/SplashBidNoticeAbstractUI.aspx?menuIndex=3&amp;refID=7096516&amp;Result=3","7096516")</f>
        <v>0</v>
      </c>
      <c r="B14121" t="s">
        <v>1542</v>
      </c>
      <c r="C14121" t="s">
        <v>17205</v>
      </c>
      <c r="E14121" t="s">
        <v>30209</v>
      </c>
      <c r="F14121" t="s">
        <v>30900</v>
      </c>
      <c r="G14121" t="s">
        <v>30907</v>
      </c>
      <c r="H14121" t="s">
        <v>30916</v>
      </c>
      <c r="I14121" t="s">
        <v>30947</v>
      </c>
      <c r="J14121" t="s">
        <v>31153</v>
      </c>
      <c r="K14121" t="s">
        <v>40286</v>
      </c>
      <c r="M14121" t="s">
        <v>44667</v>
      </c>
      <c r="N14121" t="s">
        <v>44759</v>
      </c>
      <c r="O14121" t="s">
        <v>44760</v>
      </c>
      <c r="Q14121">
        <v>2</v>
      </c>
      <c r="R14121" t="s">
        <v>44787</v>
      </c>
      <c r="S14121" t="s">
        <v>45940</v>
      </c>
      <c r="T14121" t="s">
        <v>46399</v>
      </c>
      <c r="U14121" t="s">
        <v>58477</v>
      </c>
      <c r="W14121" t="s">
        <v>44667</v>
      </c>
      <c r="X14121" t="s">
        <v>44789</v>
      </c>
    </row>
    <row r="14122" spans="1:24">
      <c r="A14122">
        <f>HYPERLINK("https://www.philgeps.gov.ph/GEPSNONPILOT/Tender/SplashBidNoticeAbstractUI.aspx?menuIndex=3&amp;refID=7095618&amp;Result=3","7095618")</f>
        <v>0</v>
      </c>
      <c r="B14122" t="s">
        <v>2581</v>
      </c>
      <c r="C14122" t="s">
        <v>17206</v>
      </c>
      <c r="D14122" t="s">
        <v>17959</v>
      </c>
      <c r="E14122" t="s">
        <v>30210</v>
      </c>
      <c r="F14122" t="s">
        <v>30900</v>
      </c>
      <c r="G14122" t="s">
        <v>30907</v>
      </c>
      <c r="H14122" t="s">
        <v>30916</v>
      </c>
      <c r="I14122" t="s">
        <v>30985</v>
      </c>
      <c r="J14122" t="s">
        <v>39804</v>
      </c>
      <c r="K14122" t="s">
        <v>40289</v>
      </c>
      <c r="M14122" t="s">
        <v>44669</v>
      </c>
      <c r="N14122" t="s">
        <v>44759</v>
      </c>
      <c r="O14122" t="s">
        <v>44760</v>
      </c>
      <c r="Q14122">
        <v>17</v>
      </c>
      <c r="R14122" t="s">
        <v>44787</v>
      </c>
      <c r="S14122" t="s">
        <v>45941</v>
      </c>
      <c r="T14122" t="s">
        <v>46456</v>
      </c>
      <c r="U14122" t="s">
        <v>58478</v>
      </c>
      <c r="W14122" t="s">
        <v>44669</v>
      </c>
      <c r="X14122" t="s">
        <v>44789</v>
      </c>
    </row>
    <row r="14123" spans="1:24">
      <c r="A14123">
        <f>HYPERLINK("https://www.philgeps.gov.ph/GEPSNONPILOT/Tender/SplashBidNoticeAbstractUI.aspx?menuIndex=3&amp;refID=7102574&amp;Result=3","7102574")</f>
        <v>0</v>
      </c>
      <c r="B14123" t="s">
        <v>710</v>
      </c>
      <c r="C14123" t="s">
        <v>17207</v>
      </c>
      <c r="E14123" t="s">
        <v>30211</v>
      </c>
      <c r="F14123" t="s">
        <v>30900</v>
      </c>
      <c r="G14123" t="s">
        <v>30907</v>
      </c>
      <c r="H14123" t="s">
        <v>30916</v>
      </c>
      <c r="I14123" t="s">
        <v>30923</v>
      </c>
      <c r="J14123" t="s">
        <v>39805</v>
      </c>
      <c r="K14123" t="s">
        <v>40289</v>
      </c>
      <c r="M14123" t="s">
        <v>41274</v>
      </c>
      <c r="N14123" t="s">
        <v>44759</v>
      </c>
      <c r="O14123" t="s">
        <v>44760</v>
      </c>
      <c r="P14123">
        <v>0</v>
      </c>
      <c r="Q14123">
        <v>2</v>
      </c>
      <c r="R14123" t="s">
        <v>44785</v>
      </c>
      <c r="S14123" t="s">
        <v>45929</v>
      </c>
      <c r="T14123" t="s">
        <v>46531</v>
      </c>
      <c r="U14123" t="s">
        <v>58479</v>
      </c>
      <c r="W14123" t="s">
        <v>41274</v>
      </c>
      <c r="X14123" t="s">
        <v>44787</v>
      </c>
    </row>
    <row r="14124" spans="1:24">
      <c r="A14124">
        <f>HYPERLINK("https://www.philgeps.gov.ph/GEPSNONPILOT/Tender/SplashBidNoticeAbstractUI.aspx?menuIndex=3&amp;refID=7095813&amp;Result=3","7095813")</f>
        <v>0</v>
      </c>
      <c r="B14124" t="s">
        <v>1182</v>
      </c>
      <c r="C14124" t="s">
        <v>17208</v>
      </c>
      <c r="D14124" t="s">
        <v>17952</v>
      </c>
      <c r="E14124" t="s">
        <v>30212</v>
      </c>
      <c r="F14124" t="s">
        <v>30900</v>
      </c>
      <c r="G14124" t="s">
        <v>30907</v>
      </c>
      <c r="H14124" t="s">
        <v>30916</v>
      </c>
      <c r="I14124" t="s">
        <v>30949</v>
      </c>
      <c r="J14124" t="s">
        <v>31297</v>
      </c>
      <c r="K14124" t="s">
        <v>40286</v>
      </c>
      <c r="M14124" t="s">
        <v>41791</v>
      </c>
      <c r="N14124" t="s">
        <v>44759</v>
      </c>
      <c r="O14124" t="s">
        <v>44760</v>
      </c>
      <c r="P14124">
        <v>0</v>
      </c>
      <c r="Q14124">
        <v>3</v>
      </c>
      <c r="R14124" t="s">
        <v>44787</v>
      </c>
      <c r="S14124" t="s">
        <v>45928</v>
      </c>
      <c r="T14124" t="s">
        <v>46357</v>
      </c>
      <c r="U14124" t="s">
        <v>58480</v>
      </c>
      <c r="V14124" t="s">
        <v>59424</v>
      </c>
      <c r="W14124" t="s">
        <v>41791</v>
      </c>
      <c r="X14124" t="s">
        <v>44789</v>
      </c>
    </row>
    <row r="14125" spans="1:24">
      <c r="A14125">
        <f>HYPERLINK("https://www.philgeps.gov.ph/GEPSNONPILOT/Tender/SplashBidNoticeAbstractUI.aspx?menuIndex=3&amp;refID=7098427&amp;Result=3","7098427")</f>
        <v>0</v>
      </c>
      <c r="B14125" t="s">
        <v>710</v>
      </c>
      <c r="C14125" t="s">
        <v>17209</v>
      </c>
      <c r="E14125" t="s">
        <v>30213</v>
      </c>
      <c r="F14125" t="s">
        <v>30900</v>
      </c>
      <c r="G14125" t="s">
        <v>30907</v>
      </c>
      <c r="H14125" t="s">
        <v>30916</v>
      </c>
      <c r="I14125" t="s">
        <v>30923</v>
      </c>
      <c r="J14125" t="s">
        <v>39806</v>
      </c>
      <c r="K14125" t="s">
        <v>40289</v>
      </c>
      <c r="M14125" t="s">
        <v>41274</v>
      </c>
      <c r="N14125" t="s">
        <v>44759</v>
      </c>
      <c r="O14125" t="s">
        <v>44760</v>
      </c>
      <c r="P14125">
        <v>0</v>
      </c>
      <c r="Q14125">
        <v>11</v>
      </c>
      <c r="R14125" t="s">
        <v>44787</v>
      </c>
      <c r="S14125" t="s">
        <v>45928</v>
      </c>
      <c r="T14125" t="s">
        <v>46531</v>
      </c>
      <c r="U14125" t="s">
        <v>58479</v>
      </c>
      <c r="W14125" t="s">
        <v>41274</v>
      </c>
      <c r="X14125" t="s">
        <v>44788</v>
      </c>
    </row>
    <row r="14126" spans="1:24">
      <c r="A14126">
        <f>HYPERLINK("https://www.philgeps.gov.ph/GEPSNONPILOT/Tender/SplashBidNoticeAbstractUI.aspx?menuIndex=3&amp;refID=7104098&amp;Result=3","7104098")</f>
        <v>0</v>
      </c>
      <c r="B14126" t="s">
        <v>1967</v>
      </c>
      <c r="C14126" t="s">
        <v>17210</v>
      </c>
      <c r="D14126" t="s">
        <v>17988</v>
      </c>
      <c r="E14126" t="s">
        <v>30214</v>
      </c>
      <c r="F14126" t="s">
        <v>30900</v>
      </c>
      <c r="G14126" t="s">
        <v>30907</v>
      </c>
      <c r="H14126" t="s">
        <v>30915</v>
      </c>
      <c r="I14126" t="s">
        <v>30919</v>
      </c>
      <c r="J14126" t="s">
        <v>31297</v>
      </c>
      <c r="K14126" t="s">
        <v>40289</v>
      </c>
      <c r="M14126" t="s">
        <v>42653</v>
      </c>
      <c r="N14126" t="s">
        <v>44759</v>
      </c>
      <c r="O14126" t="s">
        <v>44760</v>
      </c>
      <c r="P14126">
        <v>0</v>
      </c>
      <c r="Q14126">
        <v>0</v>
      </c>
      <c r="R14126" t="s">
        <v>44784</v>
      </c>
      <c r="S14126" t="s">
        <v>45911</v>
      </c>
      <c r="T14126" t="s">
        <v>46625</v>
      </c>
      <c r="U14126" t="s">
        <v>55148</v>
      </c>
      <c r="W14126" t="s">
        <v>42653</v>
      </c>
      <c r="X14126" t="s">
        <v>44786</v>
      </c>
    </row>
    <row r="14127" spans="1:24">
      <c r="A14127">
        <f>HYPERLINK("https://www.philgeps.gov.ph/GEPSNONPILOT/Tender/SplashBidNoticeAbstractUI.aspx?menuIndex=3&amp;refID=7095638&amp;Result=3","7095638")</f>
        <v>0</v>
      </c>
      <c r="B14127" t="s">
        <v>618</v>
      </c>
      <c r="C14127" t="s">
        <v>17211</v>
      </c>
      <c r="D14127" t="s">
        <v>17959</v>
      </c>
      <c r="E14127" t="s">
        <v>30215</v>
      </c>
      <c r="F14127" t="s">
        <v>30900</v>
      </c>
      <c r="G14127" t="s">
        <v>30907</v>
      </c>
      <c r="H14127" t="s">
        <v>30916</v>
      </c>
      <c r="I14127" t="s">
        <v>30929</v>
      </c>
      <c r="J14127" t="s">
        <v>31341</v>
      </c>
      <c r="K14127" t="s">
        <v>40289</v>
      </c>
      <c r="M14127" t="s">
        <v>44670</v>
      </c>
      <c r="N14127" t="s">
        <v>44759</v>
      </c>
      <c r="O14127" t="s">
        <v>44760</v>
      </c>
      <c r="Q14127">
        <v>16</v>
      </c>
      <c r="R14127" t="s">
        <v>44787</v>
      </c>
      <c r="S14127" t="s">
        <v>45631</v>
      </c>
      <c r="T14127" t="s">
        <v>46689</v>
      </c>
      <c r="U14127" t="s">
        <v>58481</v>
      </c>
      <c r="W14127" t="s">
        <v>44670</v>
      </c>
      <c r="X14127" t="s">
        <v>44789</v>
      </c>
    </row>
    <row r="14128" spans="1:24">
      <c r="A14128">
        <f>HYPERLINK("https://www.philgeps.gov.ph/GEPSNONPILOT/Tender/SplashBidNoticeAbstractUI.aspx?menuIndex=3&amp;refID=7098352&amp;Result=3","7098352")</f>
        <v>0</v>
      </c>
      <c r="B14128" t="s">
        <v>710</v>
      </c>
      <c r="C14128" t="s">
        <v>15515</v>
      </c>
      <c r="E14128" t="s">
        <v>30216</v>
      </c>
      <c r="F14128" t="s">
        <v>30900</v>
      </c>
      <c r="G14128" t="s">
        <v>30907</v>
      </c>
      <c r="H14128" t="s">
        <v>30916</v>
      </c>
      <c r="I14128" t="s">
        <v>5501</v>
      </c>
      <c r="J14128" t="s">
        <v>39589</v>
      </c>
      <c r="K14128" t="s">
        <v>40289</v>
      </c>
      <c r="M14128" t="s">
        <v>41274</v>
      </c>
      <c r="N14128" t="s">
        <v>44759</v>
      </c>
      <c r="O14128" t="s">
        <v>44760</v>
      </c>
      <c r="P14128">
        <v>0</v>
      </c>
      <c r="Q14128">
        <v>8</v>
      </c>
      <c r="R14128" t="s">
        <v>44787</v>
      </c>
      <c r="S14128" t="s">
        <v>45928</v>
      </c>
      <c r="T14128" t="s">
        <v>46531</v>
      </c>
      <c r="U14128" t="s">
        <v>58479</v>
      </c>
      <c r="W14128" t="s">
        <v>41274</v>
      </c>
      <c r="X14128" t="s">
        <v>44788</v>
      </c>
    </row>
    <row r="14129" spans="1:24">
      <c r="A14129">
        <f>HYPERLINK("https://www.philgeps.gov.ph/GEPSNONPILOT/Tender/SplashBidNoticeAbstractUI.aspx?menuIndex=3&amp;refID=7098327&amp;Result=3","7098327")</f>
        <v>0</v>
      </c>
      <c r="B14129" t="s">
        <v>710</v>
      </c>
      <c r="C14129" t="s">
        <v>17212</v>
      </c>
      <c r="E14129" t="s">
        <v>30217</v>
      </c>
      <c r="F14129" t="s">
        <v>30900</v>
      </c>
      <c r="G14129" t="s">
        <v>30907</v>
      </c>
      <c r="H14129" t="s">
        <v>30916</v>
      </c>
      <c r="I14129" t="s">
        <v>5501</v>
      </c>
      <c r="J14129" t="s">
        <v>33547</v>
      </c>
      <c r="K14129" t="s">
        <v>40289</v>
      </c>
      <c r="M14129" t="s">
        <v>41274</v>
      </c>
      <c r="N14129" t="s">
        <v>44759</v>
      </c>
      <c r="O14129" t="s">
        <v>44760</v>
      </c>
      <c r="P14129">
        <v>0</v>
      </c>
      <c r="Q14129">
        <v>2</v>
      </c>
      <c r="R14129" t="s">
        <v>44787</v>
      </c>
      <c r="S14129" t="s">
        <v>45928</v>
      </c>
      <c r="T14129" t="s">
        <v>46531</v>
      </c>
      <c r="U14129" t="s">
        <v>58479</v>
      </c>
      <c r="W14129" t="s">
        <v>41274</v>
      </c>
      <c r="X14129" t="s">
        <v>44788</v>
      </c>
    </row>
    <row r="14130" spans="1:24">
      <c r="A14130">
        <f>HYPERLINK("https://www.philgeps.gov.ph/GEPSNONPILOT/Tender/SplashBidNoticeAbstractUI.aspx?menuIndex=3&amp;refID=7098262&amp;Result=3","7098262")</f>
        <v>0</v>
      </c>
      <c r="B14130" t="s">
        <v>750</v>
      </c>
      <c r="C14130" t="s">
        <v>17213</v>
      </c>
      <c r="D14130" t="s">
        <v>17956</v>
      </c>
      <c r="E14130" t="s">
        <v>30218</v>
      </c>
      <c r="F14130" t="s">
        <v>30900</v>
      </c>
      <c r="G14130" t="s">
        <v>30907</v>
      </c>
      <c r="H14130" t="s">
        <v>30915</v>
      </c>
      <c r="I14130" t="s">
        <v>30919</v>
      </c>
      <c r="J14130" t="s">
        <v>39807</v>
      </c>
      <c r="K14130" t="s">
        <v>40312</v>
      </c>
      <c r="M14130" t="s">
        <v>41314</v>
      </c>
      <c r="N14130" t="s">
        <v>44759</v>
      </c>
      <c r="O14130" t="s">
        <v>44760</v>
      </c>
      <c r="Q14130">
        <v>8</v>
      </c>
      <c r="R14130" t="s">
        <v>44787</v>
      </c>
      <c r="S14130" t="s">
        <v>45942</v>
      </c>
      <c r="T14130" t="s">
        <v>46412</v>
      </c>
      <c r="U14130" t="s">
        <v>58482</v>
      </c>
      <c r="W14130" t="s">
        <v>41314</v>
      </c>
      <c r="X14130" t="s">
        <v>44788</v>
      </c>
    </row>
    <row r="14131" spans="1:24">
      <c r="A14131">
        <f>HYPERLINK("https://www.philgeps.gov.ph/GEPSNONPILOT/Tender/SplashBidNoticeAbstractUI.aspx?menuIndex=3&amp;refID=7097631&amp;Result=3","7097631")</f>
        <v>0</v>
      </c>
      <c r="B14131" t="s">
        <v>2420</v>
      </c>
      <c r="C14131" t="s">
        <v>17214</v>
      </c>
      <c r="D14131" t="s">
        <v>17988</v>
      </c>
      <c r="E14131" t="s">
        <v>30219</v>
      </c>
      <c r="F14131" t="s">
        <v>30900</v>
      </c>
      <c r="G14131" t="s">
        <v>30907</v>
      </c>
      <c r="H14131" t="s">
        <v>30916</v>
      </c>
      <c r="I14131" t="s">
        <v>30933</v>
      </c>
      <c r="J14131" t="s">
        <v>31094</v>
      </c>
      <c r="K14131" t="s">
        <v>40286</v>
      </c>
      <c r="M14131" t="s">
        <v>43147</v>
      </c>
      <c r="N14131" t="s">
        <v>44759</v>
      </c>
      <c r="O14131" t="s">
        <v>44760</v>
      </c>
      <c r="P14131">
        <v>0</v>
      </c>
      <c r="Q14131">
        <v>4</v>
      </c>
      <c r="R14131" t="s">
        <v>44787</v>
      </c>
      <c r="S14131" t="s">
        <v>45928</v>
      </c>
      <c r="T14131" t="s">
        <v>46591</v>
      </c>
      <c r="U14131" t="s">
        <v>58483</v>
      </c>
      <c r="W14131" t="s">
        <v>43177</v>
      </c>
      <c r="X14131" t="s">
        <v>44788</v>
      </c>
    </row>
    <row r="14132" spans="1:24">
      <c r="A14132">
        <f>HYPERLINK("https://www.philgeps.gov.ph/GEPSNONPILOT/Tender/SplashBidNoticeAbstractUI.aspx?menuIndex=3&amp;refID=7098487&amp;Result=3","7098487")</f>
        <v>0</v>
      </c>
      <c r="B14132" t="s">
        <v>710</v>
      </c>
      <c r="C14132" t="s">
        <v>15515</v>
      </c>
      <c r="E14132" t="s">
        <v>30220</v>
      </c>
      <c r="F14132" t="s">
        <v>30900</v>
      </c>
      <c r="G14132" t="s">
        <v>30907</v>
      </c>
      <c r="H14132" t="s">
        <v>30916</v>
      </c>
      <c r="I14132" t="s">
        <v>5501</v>
      </c>
      <c r="J14132" t="s">
        <v>39808</v>
      </c>
      <c r="K14132" t="s">
        <v>40289</v>
      </c>
      <c r="M14132" t="s">
        <v>41274</v>
      </c>
      <c r="N14132" t="s">
        <v>44759</v>
      </c>
      <c r="O14132" t="s">
        <v>44760</v>
      </c>
      <c r="P14132">
        <v>0</v>
      </c>
      <c r="Q14132">
        <v>6</v>
      </c>
      <c r="R14132" t="s">
        <v>44787</v>
      </c>
      <c r="S14132" t="s">
        <v>45928</v>
      </c>
      <c r="T14132" t="s">
        <v>46531</v>
      </c>
      <c r="U14132" t="s">
        <v>58479</v>
      </c>
      <c r="W14132" t="s">
        <v>41274</v>
      </c>
      <c r="X14132" t="s">
        <v>44788</v>
      </c>
    </row>
    <row r="14133" spans="1:24">
      <c r="A14133">
        <f>HYPERLINK("https://www.philgeps.gov.ph/GEPSNONPILOT/Tender/SplashBidNoticeAbstractUI.aspx?menuIndex=3&amp;refID=7098400&amp;Result=3","7098400")</f>
        <v>0</v>
      </c>
      <c r="B14133" t="s">
        <v>710</v>
      </c>
      <c r="C14133" t="s">
        <v>17212</v>
      </c>
      <c r="E14133" t="s">
        <v>30221</v>
      </c>
      <c r="F14133" t="s">
        <v>30900</v>
      </c>
      <c r="G14133" t="s">
        <v>30907</v>
      </c>
      <c r="H14133" t="s">
        <v>30916</v>
      </c>
      <c r="I14133" t="s">
        <v>5501</v>
      </c>
      <c r="J14133" t="s">
        <v>39809</v>
      </c>
      <c r="K14133" t="s">
        <v>40289</v>
      </c>
      <c r="M14133" t="s">
        <v>41274</v>
      </c>
      <c r="N14133" t="s">
        <v>44759</v>
      </c>
      <c r="O14133" t="s">
        <v>44760</v>
      </c>
      <c r="P14133">
        <v>0</v>
      </c>
      <c r="Q14133">
        <v>3</v>
      </c>
      <c r="R14133" t="s">
        <v>44787</v>
      </c>
      <c r="S14133" t="s">
        <v>45928</v>
      </c>
      <c r="T14133" t="s">
        <v>46531</v>
      </c>
      <c r="U14133" t="s">
        <v>58479</v>
      </c>
      <c r="W14133" t="s">
        <v>41274</v>
      </c>
      <c r="X14133" t="s">
        <v>44788</v>
      </c>
    </row>
    <row r="14134" spans="1:24">
      <c r="A14134">
        <f>HYPERLINK("https://www.philgeps.gov.ph/GEPSNONPILOT/Tender/SplashBidNoticeAbstractUI.aspx?menuIndex=3&amp;refID=7098196&amp;Result=3","7098196")</f>
        <v>0</v>
      </c>
      <c r="B14134" t="s">
        <v>710</v>
      </c>
      <c r="C14134" t="s">
        <v>17207</v>
      </c>
      <c r="E14134" t="s">
        <v>30222</v>
      </c>
      <c r="F14134" t="s">
        <v>30900</v>
      </c>
      <c r="G14134" t="s">
        <v>30907</v>
      </c>
      <c r="H14134" t="s">
        <v>30916</v>
      </c>
      <c r="I14134" t="s">
        <v>30923</v>
      </c>
      <c r="J14134" t="s">
        <v>31153</v>
      </c>
      <c r="K14134" t="s">
        <v>40289</v>
      </c>
      <c r="M14134" t="s">
        <v>41274</v>
      </c>
      <c r="N14134" t="s">
        <v>44759</v>
      </c>
      <c r="O14134" t="s">
        <v>44760</v>
      </c>
      <c r="P14134">
        <v>0</v>
      </c>
      <c r="Q14134">
        <v>3</v>
      </c>
      <c r="R14134" t="s">
        <v>44787</v>
      </c>
      <c r="S14134" t="s">
        <v>45928</v>
      </c>
      <c r="T14134" t="s">
        <v>46531</v>
      </c>
      <c r="U14134" t="s">
        <v>58479</v>
      </c>
      <c r="W14134" t="s">
        <v>41274</v>
      </c>
      <c r="X14134" t="s">
        <v>44788</v>
      </c>
    </row>
    <row r="14135" spans="1:24">
      <c r="A14135">
        <f>HYPERLINK("https://www.philgeps.gov.ph/GEPSNONPILOT/Tender/SplashBidNoticeAbstractUI.aspx?menuIndex=3&amp;refID=7098323&amp;Result=3","7098323")</f>
        <v>0</v>
      </c>
      <c r="B14135" t="s">
        <v>1232</v>
      </c>
      <c r="C14135" t="s">
        <v>9619</v>
      </c>
      <c r="D14135" t="s">
        <v>17969</v>
      </c>
      <c r="E14135" t="s">
        <v>30223</v>
      </c>
      <c r="F14135" t="s">
        <v>30900</v>
      </c>
      <c r="G14135" t="s">
        <v>30910</v>
      </c>
      <c r="H14135" t="s">
        <v>30916</v>
      </c>
      <c r="I14135" t="s">
        <v>4108</v>
      </c>
      <c r="J14135" t="s">
        <v>31443</v>
      </c>
      <c r="K14135" t="s">
        <v>40286</v>
      </c>
      <c r="M14135" t="s">
        <v>41844</v>
      </c>
      <c r="N14135" t="s">
        <v>44759</v>
      </c>
      <c r="O14135" t="s">
        <v>44760</v>
      </c>
      <c r="Q14135">
        <v>4</v>
      </c>
      <c r="R14135" t="s">
        <v>44787</v>
      </c>
      <c r="S14135" t="s">
        <v>45943</v>
      </c>
      <c r="T14135" t="s">
        <v>46581</v>
      </c>
      <c r="U14135" t="s">
        <v>58484</v>
      </c>
      <c r="W14135" t="s">
        <v>41844</v>
      </c>
      <c r="X14135" t="s">
        <v>44788</v>
      </c>
    </row>
    <row r="14136" spans="1:24">
      <c r="A14136">
        <f>HYPERLINK("https://www.philgeps.gov.ph/GEPSNONPILOT/Tender/SplashBidNoticeAbstractUI.aspx?menuIndex=3&amp;refID=7100076&amp;Result=3","7100076")</f>
        <v>0</v>
      </c>
      <c r="B14136" t="s">
        <v>618</v>
      </c>
      <c r="C14136" t="s">
        <v>17215</v>
      </c>
      <c r="E14136" t="s">
        <v>30224</v>
      </c>
      <c r="F14136" t="s">
        <v>30900</v>
      </c>
      <c r="G14136" t="s">
        <v>30907</v>
      </c>
      <c r="H14136" t="s">
        <v>30915</v>
      </c>
      <c r="I14136" t="s">
        <v>30948</v>
      </c>
      <c r="J14136" t="s">
        <v>31094</v>
      </c>
      <c r="K14136" t="s">
        <v>40289</v>
      </c>
      <c r="M14136" t="s">
        <v>44473</v>
      </c>
      <c r="N14136" t="s">
        <v>44759</v>
      </c>
      <c r="O14136" t="s">
        <v>44760</v>
      </c>
      <c r="Q14136">
        <v>2</v>
      </c>
      <c r="R14136" t="s">
        <v>44787</v>
      </c>
      <c r="S14136" t="s">
        <v>45944</v>
      </c>
      <c r="T14136" t="s">
        <v>46689</v>
      </c>
      <c r="U14136" t="s">
        <v>58485</v>
      </c>
      <c r="W14136" t="s">
        <v>44473</v>
      </c>
      <c r="X14136" t="s">
        <v>44788</v>
      </c>
    </row>
    <row r="14137" spans="1:24">
      <c r="A14137">
        <f>HYPERLINK("https://www.philgeps.gov.ph/GEPSNONPILOT/Tender/SplashBidNoticeAbstractUI.aspx?menuIndex=3&amp;refID=7099970&amp;Result=3","7099970")</f>
        <v>0</v>
      </c>
      <c r="B14137" t="s">
        <v>3668</v>
      </c>
      <c r="C14137" t="s">
        <v>17216</v>
      </c>
      <c r="E14137" t="s">
        <v>30225</v>
      </c>
      <c r="F14137" t="s">
        <v>30900</v>
      </c>
      <c r="G14137" t="s">
        <v>30907</v>
      </c>
      <c r="H14137" t="s">
        <v>30916</v>
      </c>
      <c r="I14137" t="s">
        <v>30936</v>
      </c>
      <c r="J14137" t="s">
        <v>31391</v>
      </c>
      <c r="K14137" t="s">
        <v>40280</v>
      </c>
      <c r="M14137" t="s">
        <v>44616</v>
      </c>
      <c r="N14137" t="s">
        <v>44759</v>
      </c>
      <c r="O14137" t="s">
        <v>44760</v>
      </c>
      <c r="Q14137">
        <v>2</v>
      </c>
      <c r="R14137" t="s">
        <v>44787</v>
      </c>
      <c r="S14137" t="s">
        <v>45945</v>
      </c>
      <c r="T14137" t="s">
        <v>46443</v>
      </c>
      <c r="U14137" t="s">
        <v>58486</v>
      </c>
      <c r="W14137" t="s">
        <v>44616</v>
      </c>
      <c r="X14137" t="s">
        <v>44788</v>
      </c>
    </row>
    <row r="14138" spans="1:24">
      <c r="A14138">
        <f>HYPERLINK("https://www.philgeps.gov.ph/GEPSNONPILOT/Tender/SplashBidNoticeAbstractUI.aspx?menuIndex=3&amp;refID=7098226&amp;Result=3","7098226")</f>
        <v>0</v>
      </c>
      <c r="B14138" t="s">
        <v>750</v>
      </c>
      <c r="C14138" t="s">
        <v>17217</v>
      </c>
      <c r="D14138" t="s">
        <v>17956</v>
      </c>
      <c r="E14138" t="s">
        <v>30226</v>
      </c>
      <c r="F14138" t="s">
        <v>30900</v>
      </c>
      <c r="G14138" t="s">
        <v>30907</v>
      </c>
      <c r="H14138" t="s">
        <v>30915</v>
      </c>
      <c r="I14138" t="s">
        <v>30919</v>
      </c>
      <c r="J14138" t="s">
        <v>39810</v>
      </c>
      <c r="K14138" t="s">
        <v>40395</v>
      </c>
      <c r="M14138" t="s">
        <v>41314</v>
      </c>
      <c r="N14138" t="s">
        <v>44759</v>
      </c>
      <c r="O14138" t="s">
        <v>44760</v>
      </c>
      <c r="Q14138">
        <v>4</v>
      </c>
      <c r="R14138" t="s">
        <v>44787</v>
      </c>
      <c r="S14138" t="s">
        <v>45946</v>
      </c>
      <c r="T14138" t="s">
        <v>46412</v>
      </c>
      <c r="U14138" t="s">
        <v>58487</v>
      </c>
      <c r="W14138" t="s">
        <v>41314</v>
      </c>
      <c r="X14138" t="s">
        <v>44788</v>
      </c>
    </row>
    <row r="14139" spans="1:24">
      <c r="A14139">
        <f>HYPERLINK("https://www.philgeps.gov.ph/GEPSNONPILOT/Tender/SplashBidNoticeAbstractUI.aspx?menuIndex=3&amp;refID=7099961&amp;Result=3","7099961")</f>
        <v>0</v>
      </c>
      <c r="B14139" t="s">
        <v>701</v>
      </c>
      <c r="C14139" t="s">
        <v>17218</v>
      </c>
      <c r="D14139" t="s">
        <v>17978</v>
      </c>
      <c r="E14139" t="s">
        <v>30227</v>
      </c>
      <c r="F14139" t="s">
        <v>30900</v>
      </c>
      <c r="G14139" t="s">
        <v>30907</v>
      </c>
      <c r="H14139" t="s">
        <v>30915</v>
      </c>
      <c r="I14139" t="s">
        <v>30919</v>
      </c>
      <c r="J14139" t="s">
        <v>31152</v>
      </c>
      <c r="K14139" t="s">
        <v>40308</v>
      </c>
      <c r="M14139" t="s">
        <v>41265</v>
      </c>
      <c r="N14139" t="s">
        <v>44759</v>
      </c>
      <c r="O14139" t="s">
        <v>44760</v>
      </c>
      <c r="P14139">
        <v>0</v>
      </c>
      <c r="Q14139">
        <v>26</v>
      </c>
      <c r="R14139" t="s">
        <v>44787</v>
      </c>
      <c r="S14139" t="s">
        <v>45928</v>
      </c>
      <c r="T14139" t="s">
        <v>46771</v>
      </c>
      <c r="U14139" t="s">
        <v>58488</v>
      </c>
      <c r="W14139" t="s">
        <v>41265</v>
      </c>
      <c r="X14139" t="s">
        <v>44788</v>
      </c>
    </row>
    <row r="14140" spans="1:24">
      <c r="A14140">
        <f>HYPERLINK("https://www.philgeps.gov.ph/GEPSNONPILOT/Tender/SplashBidNoticeAbstractUI.aspx?menuIndex=3&amp;refID=7099905&amp;Result=3","7099905")</f>
        <v>0</v>
      </c>
      <c r="B14140" t="s">
        <v>1628</v>
      </c>
      <c r="C14140" t="s">
        <v>17219</v>
      </c>
      <c r="D14140" t="s">
        <v>18000</v>
      </c>
      <c r="E14140" t="s">
        <v>30228</v>
      </c>
      <c r="F14140" t="s">
        <v>30900</v>
      </c>
      <c r="G14140" t="s">
        <v>30907</v>
      </c>
      <c r="H14140" t="s">
        <v>30915</v>
      </c>
      <c r="I14140" t="s">
        <v>30919</v>
      </c>
      <c r="J14140" t="s">
        <v>31412</v>
      </c>
      <c r="K14140" t="s">
        <v>40292</v>
      </c>
      <c r="M14140" t="s">
        <v>42280</v>
      </c>
      <c r="N14140" t="s">
        <v>44759</v>
      </c>
      <c r="O14140" t="s">
        <v>44760</v>
      </c>
      <c r="P14140">
        <v>0</v>
      </c>
      <c r="Q14140">
        <v>2</v>
      </c>
      <c r="R14140" t="s">
        <v>44787</v>
      </c>
      <c r="S14140" t="s">
        <v>45928</v>
      </c>
      <c r="T14140" t="s">
        <v>46686</v>
      </c>
      <c r="U14140" t="s">
        <v>58489</v>
      </c>
      <c r="W14140" t="s">
        <v>42280</v>
      </c>
      <c r="X14140" t="s">
        <v>44788</v>
      </c>
    </row>
    <row r="14141" spans="1:24">
      <c r="A14141">
        <f>HYPERLINK("https://www.philgeps.gov.ph/GEPSNONPILOT/Tender/SplashBidNoticeAbstractUI.aspx?menuIndex=3&amp;refID=7098464&amp;Result=3","7098464")</f>
        <v>0</v>
      </c>
      <c r="B14141" t="s">
        <v>710</v>
      </c>
      <c r="C14141" t="s">
        <v>15515</v>
      </c>
      <c r="E14141" t="s">
        <v>30229</v>
      </c>
      <c r="F14141" t="s">
        <v>30900</v>
      </c>
      <c r="G14141" t="s">
        <v>30907</v>
      </c>
      <c r="H14141" t="s">
        <v>30916</v>
      </c>
      <c r="I14141" t="s">
        <v>5501</v>
      </c>
      <c r="J14141" t="s">
        <v>39811</v>
      </c>
      <c r="K14141" t="s">
        <v>40289</v>
      </c>
      <c r="M14141" t="s">
        <v>41274</v>
      </c>
      <c r="N14141" t="s">
        <v>44759</v>
      </c>
      <c r="O14141" t="s">
        <v>44760</v>
      </c>
      <c r="P14141">
        <v>0</v>
      </c>
      <c r="Q14141">
        <v>7</v>
      </c>
      <c r="R14141" t="s">
        <v>44787</v>
      </c>
      <c r="S14141" t="s">
        <v>45928</v>
      </c>
      <c r="T14141" t="s">
        <v>46531</v>
      </c>
      <c r="U14141" t="s">
        <v>58479</v>
      </c>
      <c r="W14141" t="s">
        <v>41274</v>
      </c>
      <c r="X14141" t="s">
        <v>44788</v>
      </c>
    </row>
    <row r="14142" spans="1:24">
      <c r="A14142">
        <f>HYPERLINK("https://www.philgeps.gov.ph/GEPSNONPILOT/Tender/SplashBidNoticeAbstractUI.aspx?menuIndex=3&amp;refID=7098275&amp;Result=3","7098275")</f>
        <v>0</v>
      </c>
      <c r="B14142" t="s">
        <v>710</v>
      </c>
      <c r="C14142" t="s">
        <v>17209</v>
      </c>
      <c r="E14142" t="s">
        <v>30230</v>
      </c>
      <c r="F14142" t="s">
        <v>30900</v>
      </c>
      <c r="G14142" t="s">
        <v>30907</v>
      </c>
      <c r="H14142" t="s">
        <v>30916</v>
      </c>
      <c r="I14142" t="s">
        <v>30923</v>
      </c>
      <c r="J14142" t="s">
        <v>37983</v>
      </c>
      <c r="K14142" t="s">
        <v>40289</v>
      </c>
      <c r="M14142" t="s">
        <v>41274</v>
      </c>
      <c r="N14142" t="s">
        <v>44759</v>
      </c>
      <c r="O14142" t="s">
        <v>44760</v>
      </c>
      <c r="P14142">
        <v>0</v>
      </c>
      <c r="Q14142">
        <v>7</v>
      </c>
      <c r="R14142" t="s">
        <v>44787</v>
      </c>
      <c r="S14142" t="s">
        <v>45928</v>
      </c>
      <c r="T14142" t="s">
        <v>46531</v>
      </c>
      <c r="U14142" t="s">
        <v>58479</v>
      </c>
      <c r="W14142" t="s">
        <v>41274</v>
      </c>
      <c r="X14142" t="s">
        <v>44788</v>
      </c>
    </row>
    <row r="14143" spans="1:24">
      <c r="A14143">
        <f>HYPERLINK("https://www.philgeps.gov.ph/GEPSNONPILOT/Tender/SplashBidNoticeAbstractUI.aspx?menuIndex=3&amp;refID=7099864&amp;Result=3","7099864")</f>
        <v>0</v>
      </c>
      <c r="B14143" t="s">
        <v>1628</v>
      </c>
      <c r="C14143" t="s">
        <v>17220</v>
      </c>
      <c r="D14143" t="s">
        <v>18000</v>
      </c>
      <c r="E14143" t="s">
        <v>30231</v>
      </c>
      <c r="F14143" t="s">
        <v>30900</v>
      </c>
      <c r="G14143" t="s">
        <v>30907</v>
      </c>
      <c r="H14143" t="s">
        <v>30915</v>
      </c>
      <c r="I14143" t="s">
        <v>30919</v>
      </c>
      <c r="J14143" t="s">
        <v>31069</v>
      </c>
      <c r="K14143" t="s">
        <v>40342</v>
      </c>
      <c r="M14143" t="s">
        <v>42280</v>
      </c>
      <c r="N14143" t="s">
        <v>44759</v>
      </c>
      <c r="O14143" t="s">
        <v>44760</v>
      </c>
      <c r="P14143">
        <v>0</v>
      </c>
      <c r="Q14143">
        <v>1</v>
      </c>
      <c r="R14143" t="s">
        <v>44787</v>
      </c>
      <c r="S14143" t="s">
        <v>45928</v>
      </c>
      <c r="T14143" t="s">
        <v>46771</v>
      </c>
      <c r="U14143" t="s">
        <v>58490</v>
      </c>
      <c r="W14143" t="s">
        <v>42280</v>
      </c>
      <c r="X14143" t="s">
        <v>44788</v>
      </c>
    </row>
    <row r="14144" spans="1:24">
      <c r="A14144">
        <f>HYPERLINK("https://www.philgeps.gov.ph/GEPSNONPILOT/Tender/SplashBidNoticeAbstractUI.aspx?menuIndex=3&amp;refID=7099840&amp;Result=3","7099840")</f>
        <v>0</v>
      </c>
      <c r="B14144" t="s">
        <v>701</v>
      </c>
      <c r="C14144" t="s">
        <v>17221</v>
      </c>
      <c r="D14144" t="s">
        <v>17978</v>
      </c>
      <c r="E14144" t="s">
        <v>30232</v>
      </c>
      <c r="F14144" t="s">
        <v>30900</v>
      </c>
      <c r="G14144" t="s">
        <v>30907</v>
      </c>
      <c r="H14144" t="s">
        <v>30915</v>
      </c>
      <c r="I14144" t="s">
        <v>30919</v>
      </c>
      <c r="J14144" t="s">
        <v>32808</v>
      </c>
      <c r="K14144" t="s">
        <v>40340</v>
      </c>
      <c r="M14144" t="s">
        <v>41265</v>
      </c>
      <c r="N14144" t="s">
        <v>44759</v>
      </c>
      <c r="O14144" t="s">
        <v>44760</v>
      </c>
      <c r="P14144">
        <v>0</v>
      </c>
      <c r="Q14144">
        <v>44</v>
      </c>
      <c r="R14144" t="s">
        <v>44787</v>
      </c>
      <c r="S14144" t="s">
        <v>45928</v>
      </c>
      <c r="T14144" t="s">
        <v>46771</v>
      </c>
      <c r="U14144" t="s">
        <v>58488</v>
      </c>
      <c r="W14144" t="s">
        <v>41265</v>
      </c>
      <c r="X14144" t="s">
        <v>44788</v>
      </c>
    </row>
    <row r="14145" spans="1:24">
      <c r="A14145">
        <f>HYPERLINK("https://www.philgeps.gov.ph/GEPSNONPILOT/Tender/SplashBidNoticeAbstractUI.aspx?menuIndex=3&amp;refID=7099815&amp;Result=3","7099815")</f>
        <v>0</v>
      </c>
      <c r="B14145" t="s">
        <v>1628</v>
      </c>
      <c r="C14145" t="s">
        <v>17222</v>
      </c>
      <c r="D14145" t="s">
        <v>18000</v>
      </c>
      <c r="E14145" t="s">
        <v>30233</v>
      </c>
      <c r="F14145" t="s">
        <v>30900</v>
      </c>
      <c r="G14145" t="s">
        <v>30907</v>
      </c>
      <c r="H14145" t="s">
        <v>30915</v>
      </c>
      <c r="I14145" t="s">
        <v>30919</v>
      </c>
      <c r="J14145" t="s">
        <v>32967</v>
      </c>
      <c r="K14145" t="s">
        <v>40301</v>
      </c>
      <c r="M14145" t="s">
        <v>42280</v>
      </c>
      <c r="N14145" t="s">
        <v>44759</v>
      </c>
      <c r="O14145" t="s">
        <v>44760</v>
      </c>
      <c r="P14145">
        <v>0</v>
      </c>
      <c r="Q14145">
        <v>1</v>
      </c>
      <c r="R14145" t="s">
        <v>44787</v>
      </c>
      <c r="S14145" t="s">
        <v>45928</v>
      </c>
      <c r="T14145" t="s">
        <v>46707</v>
      </c>
      <c r="U14145" t="s">
        <v>58491</v>
      </c>
      <c r="W14145" t="s">
        <v>42280</v>
      </c>
      <c r="X14145" t="s">
        <v>44788</v>
      </c>
    </row>
    <row r="14146" spans="1:24">
      <c r="A14146">
        <f>HYPERLINK("https://www.philgeps.gov.ph/GEPSNONPILOT/Tender/SplashBidNoticeAbstractUI.aspx?menuIndex=3&amp;refID=7099643&amp;Result=3","7099643")</f>
        <v>0</v>
      </c>
      <c r="B14146" t="s">
        <v>620</v>
      </c>
      <c r="C14146" t="s">
        <v>17223</v>
      </c>
      <c r="D14146" t="s">
        <v>17980</v>
      </c>
      <c r="E14146" t="s">
        <v>30234</v>
      </c>
      <c r="F14146" t="s">
        <v>30899</v>
      </c>
      <c r="G14146" t="s">
        <v>30907</v>
      </c>
      <c r="H14146" t="s">
        <v>30915</v>
      </c>
      <c r="I14146" t="s">
        <v>30919</v>
      </c>
      <c r="J14146" t="s">
        <v>39812</v>
      </c>
      <c r="K14146" t="s">
        <v>40293</v>
      </c>
      <c r="M14146" t="s">
        <v>41182</v>
      </c>
      <c r="N14146" t="s">
        <v>44759</v>
      </c>
      <c r="O14146" t="s">
        <v>44760</v>
      </c>
      <c r="P14146">
        <v>0</v>
      </c>
      <c r="Q14146">
        <v>1</v>
      </c>
      <c r="R14146" t="s">
        <v>44787</v>
      </c>
      <c r="S14146" t="s">
        <v>45928</v>
      </c>
      <c r="T14146" t="s">
        <v>46548</v>
      </c>
      <c r="U14146" t="s">
        <v>58492</v>
      </c>
      <c r="V14146" t="s">
        <v>60717</v>
      </c>
      <c r="W14146" t="s">
        <v>41182</v>
      </c>
      <c r="X14146" t="s">
        <v>44788</v>
      </c>
    </row>
    <row r="14147" spans="1:24">
      <c r="A14147">
        <f>HYPERLINK("https://www.philgeps.gov.ph/GEPSNONPILOT/Tender/SplashBidNoticeAbstractUI.aspx?menuIndex=3&amp;refID=7099867&amp;Result=3","7099867")</f>
        <v>0</v>
      </c>
      <c r="B14147" t="s">
        <v>701</v>
      </c>
      <c r="C14147" t="s">
        <v>17224</v>
      </c>
      <c r="D14147" t="s">
        <v>17978</v>
      </c>
      <c r="E14147" t="s">
        <v>30235</v>
      </c>
      <c r="F14147" t="s">
        <v>30900</v>
      </c>
      <c r="G14147" t="s">
        <v>30907</v>
      </c>
      <c r="H14147" t="s">
        <v>30915</v>
      </c>
      <c r="I14147" t="s">
        <v>30919</v>
      </c>
      <c r="J14147" t="s">
        <v>39813</v>
      </c>
      <c r="K14147" t="s">
        <v>40392</v>
      </c>
      <c r="M14147" t="s">
        <v>41265</v>
      </c>
      <c r="N14147" t="s">
        <v>44759</v>
      </c>
      <c r="O14147" t="s">
        <v>44760</v>
      </c>
      <c r="P14147">
        <v>0</v>
      </c>
      <c r="Q14147">
        <v>41</v>
      </c>
      <c r="R14147" t="s">
        <v>44787</v>
      </c>
      <c r="S14147" t="s">
        <v>45928</v>
      </c>
      <c r="T14147" t="s">
        <v>46771</v>
      </c>
      <c r="U14147" t="s">
        <v>58488</v>
      </c>
      <c r="W14147" t="s">
        <v>41265</v>
      </c>
      <c r="X14147" t="s">
        <v>44788</v>
      </c>
    </row>
    <row r="14148" spans="1:24">
      <c r="A14148">
        <f>HYPERLINK("https://www.philgeps.gov.ph/GEPSNONPILOT/Tender/SplashBidNoticeAbstractUI.aspx?menuIndex=3&amp;refID=7099383&amp;Result=3","7099383")</f>
        <v>0</v>
      </c>
      <c r="B14148" t="s">
        <v>1232</v>
      </c>
      <c r="C14148" t="s">
        <v>17225</v>
      </c>
      <c r="D14148" t="s">
        <v>17969</v>
      </c>
      <c r="E14148" t="s">
        <v>30236</v>
      </c>
      <c r="F14148" t="s">
        <v>30900</v>
      </c>
      <c r="G14148" t="s">
        <v>30910</v>
      </c>
      <c r="H14148" t="s">
        <v>30916</v>
      </c>
      <c r="I14148" t="s">
        <v>4050</v>
      </c>
      <c r="J14148" t="s">
        <v>31495</v>
      </c>
      <c r="K14148" t="s">
        <v>40286</v>
      </c>
      <c r="M14148" t="s">
        <v>41844</v>
      </c>
      <c r="N14148" t="s">
        <v>44759</v>
      </c>
      <c r="O14148" t="s">
        <v>44760</v>
      </c>
      <c r="Q14148">
        <v>1</v>
      </c>
      <c r="R14148" t="s">
        <v>44787</v>
      </c>
      <c r="S14148" t="s">
        <v>45947</v>
      </c>
      <c r="T14148" t="s">
        <v>46581</v>
      </c>
      <c r="U14148" t="s">
        <v>58493</v>
      </c>
      <c r="W14148" t="s">
        <v>41844</v>
      </c>
      <c r="X14148" t="s">
        <v>44788</v>
      </c>
    </row>
    <row r="14149" spans="1:24">
      <c r="A14149">
        <f>HYPERLINK("https://www.philgeps.gov.ph/GEPSNONPILOT/Tender/SplashBidNoticeAbstractUI.aspx?menuIndex=3&amp;refID=7099247&amp;Result=3","7099247")</f>
        <v>0</v>
      </c>
      <c r="B14149" t="s">
        <v>3068</v>
      </c>
      <c r="C14149" t="s">
        <v>17226</v>
      </c>
      <c r="D14149" t="s">
        <v>18025</v>
      </c>
      <c r="E14149" t="s">
        <v>30237</v>
      </c>
      <c r="F14149" t="s">
        <v>30900</v>
      </c>
      <c r="G14149" t="s">
        <v>30907</v>
      </c>
      <c r="H14149" t="s">
        <v>30917</v>
      </c>
      <c r="I14149" t="s">
        <v>4965</v>
      </c>
      <c r="J14149" t="s">
        <v>39814</v>
      </c>
      <c r="K14149" t="s">
        <v>40413</v>
      </c>
      <c r="M14149" t="s">
        <v>43879</v>
      </c>
      <c r="N14149" t="s">
        <v>44759</v>
      </c>
      <c r="O14149" t="s">
        <v>44760</v>
      </c>
      <c r="Q14149">
        <v>1</v>
      </c>
      <c r="R14149" t="s">
        <v>44787</v>
      </c>
      <c r="S14149" t="s">
        <v>45948</v>
      </c>
      <c r="T14149" t="s">
        <v>46533</v>
      </c>
      <c r="U14149" t="s">
        <v>58494</v>
      </c>
      <c r="W14149" t="s">
        <v>60944</v>
      </c>
      <c r="X14149" t="s">
        <v>44788</v>
      </c>
    </row>
    <row r="14150" spans="1:24">
      <c r="A14150">
        <f>HYPERLINK("https://www.philgeps.gov.ph/GEPSNONPILOT/Tender/SplashBidNoticeAbstractUI.aspx?menuIndex=3&amp;refID=7099841&amp;Result=3","7099841")</f>
        <v>0</v>
      </c>
      <c r="B14150" t="s">
        <v>1628</v>
      </c>
      <c r="C14150" t="s">
        <v>17227</v>
      </c>
      <c r="D14150" t="s">
        <v>18000</v>
      </c>
      <c r="E14150" t="s">
        <v>30238</v>
      </c>
      <c r="F14150" t="s">
        <v>30900</v>
      </c>
      <c r="G14150" t="s">
        <v>30907</v>
      </c>
      <c r="H14150" t="s">
        <v>30915</v>
      </c>
      <c r="I14150" t="s">
        <v>30919</v>
      </c>
      <c r="J14150" t="s">
        <v>32324</v>
      </c>
      <c r="K14150" t="s">
        <v>40301</v>
      </c>
      <c r="M14150" t="s">
        <v>42280</v>
      </c>
      <c r="N14150" t="s">
        <v>44759</v>
      </c>
      <c r="O14150" t="s">
        <v>44760</v>
      </c>
      <c r="P14150">
        <v>0</v>
      </c>
      <c r="Q14150">
        <v>1</v>
      </c>
      <c r="R14150" t="s">
        <v>44787</v>
      </c>
      <c r="S14150" t="s">
        <v>45928</v>
      </c>
      <c r="T14150" t="s">
        <v>46625</v>
      </c>
      <c r="U14150" t="s">
        <v>58495</v>
      </c>
      <c r="W14150" t="s">
        <v>42280</v>
      </c>
      <c r="X14150" t="s">
        <v>44788</v>
      </c>
    </row>
    <row r="14151" spans="1:24">
      <c r="A14151">
        <f>HYPERLINK("https://www.philgeps.gov.ph/GEPSNONPILOT/Tender/SplashBidNoticeAbstractUI.aspx?menuIndex=3&amp;refID=7099169&amp;Result=3","7099169")</f>
        <v>0</v>
      </c>
      <c r="B14151" t="s">
        <v>2647</v>
      </c>
      <c r="C14151" t="s">
        <v>17228</v>
      </c>
      <c r="E14151" t="s">
        <v>30239</v>
      </c>
      <c r="F14151" t="s">
        <v>30900</v>
      </c>
      <c r="G14151" t="s">
        <v>30907</v>
      </c>
      <c r="H14151" t="s">
        <v>30915</v>
      </c>
      <c r="I14151" t="s">
        <v>30919</v>
      </c>
      <c r="J14151" t="s">
        <v>39815</v>
      </c>
      <c r="K14151" t="s">
        <v>40289</v>
      </c>
      <c r="M14151" t="s">
        <v>43413</v>
      </c>
      <c r="N14151" t="s">
        <v>44759</v>
      </c>
      <c r="O14151" t="s">
        <v>44760</v>
      </c>
      <c r="Q14151">
        <v>7</v>
      </c>
      <c r="R14151" t="s">
        <v>44787</v>
      </c>
      <c r="S14151" t="s">
        <v>45949</v>
      </c>
      <c r="T14151" t="s">
        <v>46409</v>
      </c>
      <c r="U14151" t="s">
        <v>58496</v>
      </c>
      <c r="V14151" t="s">
        <v>60718</v>
      </c>
      <c r="W14151" t="s">
        <v>43413</v>
      </c>
      <c r="X14151" t="s">
        <v>44788</v>
      </c>
    </row>
    <row r="14152" spans="1:24">
      <c r="A14152">
        <f>HYPERLINK("https://www.philgeps.gov.ph/GEPSNONPILOT/Tender/SplashBidNoticeAbstractUI.aspx?menuIndex=3&amp;refID=7098641&amp;Result=3","7098641")</f>
        <v>0</v>
      </c>
      <c r="B14152" t="s">
        <v>3704</v>
      </c>
      <c r="C14152" t="s">
        <v>17229</v>
      </c>
      <c r="D14152" t="s">
        <v>17977</v>
      </c>
      <c r="E14152" t="s">
        <v>30240</v>
      </c>
      <c r="F14152" t="s">
        <v>30900</v>
      </c>
      <c r="G14152" t="s">
        <v>30907</v>
      </c>
      <c r="H14152" t="s">
        <v>30916</v>
      </c>
      <c r="I14152" t="s">
        <v>4545</v>
      </c>
      <c r="J14152" t="s">
        <v>39816</v>
      </c>
      <c r="K14152" t="s">
        <v>40286</v>
      </c>
      <c r="M14152" t="s">
        <v>44671</v>
      </c>
      <c r="N14152" t="s">
        <v>44759</v>
      </c>
      <c r="O14152" t="s">
        <v>44760</v>
      </c>
      <c r="P14152">
        <v>0</v>
      </c>
      <c r="Q14152">
        <v>10</v>
      </c>
      <c r="R14152" t="s">
        <v>44787</v>
      </c>
      <c r="S14152" t="s">
        <v>45928</v>
      </c>
      <c r="T14152" t="s">
        <v>46541</v>
      </c>
      <c r="U14152" t="s">
        <v>58497</v>
      </c>
      <c r="W14152" t="s">
        <v>44671</v>
      </c>
      <c r="X14152" t="s">
        <v>44788</v>
      </c>
    </row>
    <row r="14153" spans="1:24">
      <c r="A14153">
        <f>HYPERLINK("https://www.philgeps.gov.ph/GEPSNONPILOT/Tender/SplashBidNoticeAbstractUI.aspx?menuIndex=3&amp;refID=7100033&amp;Result=3","7100033")</f>
        <v>0</v>
      </c>
      <c r="B14153" t="s">
        <v>701</v>
      </c>
      <c r="C14153" t="s">
        <v>17230</v>
      </c>
      <c r="D14153" t="s">
        <v>17978</v>
      </c>
      <c r="E14153" t="s">
        <v>30241</v>
      </c>
      <c r="F14153" t="s">
        <v>30900</v>
      </c>
      <c r="G14153" t="s">
        <v>30907</v>
      </c>
      <c r="H14153" t="s">
        <v>30915</v>
      </c>
      <c r="I14153" t="s">
        <v>30919</v>
      </c>
      <c r="J14153" t="s">
        <v>39817</v>
      </c>
      <c r="K14153" t="s">
        <v>40447</v>
      </c>
      <c r="M14153" t="s">
        <v>41265</v>
      </c>
      <c r="N14153" t="s">
        <v>44759</v>
      </c>
      <c r="O14153" t="s">
        <v>44760</v>
      </c>
      <c r="P14153">
        <v>0</v>
      </c>
      <c r="Q14153">
        <v>25</v>
      </c>
      <c r="R14153" t="s">
        <v>44787</v>
      </c>
      <c r="S14153" t="s">
        <v>45928</v>
      </c>
      <c r="T14153" t="s">
        <v>46771</v>
      </c>
      <c r="U14153" t="s">
        <v>58488</v>
      </c>
      <c r="W14153" t="s">
        <v>41265</v>
      </c>
      <c r="X14153" t="s">
        <v>44788</v>
      </c>
    </row>
    <row r="14154" spans="1:24">
      <c r="A14154">
        <f>HYPERLINK("https://www.philgeps.gov.ph/GEPSNONPILOT/Tender/SplashBidNoticeAbstractUI.aspx?menuIndex=3&amp;refID=7098232&amp;Result=3","7098232")</f>
        <v>0</v>
      </c>
      <c r="B14154" t="s">
        <v>710</v>
      </c>
      <c r="C14154" t="s">
        <v>15515</v>
      </c>
      <c r="E14154" t="s">
        <v>30242</v>
      </c>
      <c r="F14154" t="s">
        <v>30900</v>
      </c>
      <c r="G14154" t="s">
        <v>30907</v>
      </c>
      <c r="H14154" t="s">
        <v>30916</v>
      </c>
      <c r="I14154" t="s">
        <v>5501</v>
      </c>
      <c r="J14154" t="s">
        <v>39818</v>
      </c>
      <c r="K14154" t="s">
        <v>40289</v>
      </c>
      <c r="M14154" t="s">
        <v>41274</v>
      </c>
      <c r="N14154" t="s">
        <v>44759</v>
      </c>
      <c r="O14154" t="s">
        <v>44760</v>
      </c>
      <c r="P14154">
        <v>0</v>
      </c>
      <c r="Q14154">
        <v>9</v>
      </c>
      <c r="R14154" t="s">
        <v>44787</v>
      </c>
      <c r="S14154" t="s">
        <v>45928</v>
      </c>
      <c r="T14154" t="s">
        <v>46531</v>
      </c>
      <c r="U14154" t="s">
        <v>58479</v>
      </c>
      <c r="W14154" t="s">
        <v>41274</v>
      </c>
      <c r="X14154" t="s">
        <v>44788</v>
      </c>
    </row>
    <row r="14155" spans="1:24">
      <c r="A14155">
        <f>HYPERLINK("https://www.philgeps.gov.ph/GEPSNONPILOT/Tender/SplashBidNoticeAbstractUI.aspx?menuIndex=3&amp;refID=7099227&amp;Result=3","7099227")</f>
        <v>0</v>
      </c>
      <c r="B14155" t="s">
        <v>3068</v>
      </c>
      <c r="C14155" t="s">
        <v>17231</v>
      </c>
      <c r="D14155" t="s">
        <v>18025</v>
      </c>
      <c r="E14155" t="s">
        <v>30243</v>
      </c>
      <c r="F14155" t="s">
        <v>30900</v>
      </c>
      <c r="G14155" t="s">
        <v>30907</v>
      </c>
      <c r="H14155" t="s">
        <v>30917</v>
      </c>
      <c r="I14155" t="s">
        <v>4965</v>
      </c>
      <c r="J14155" t="s">
        <v>39819</v>
      </c>
      <c r="K14155" t="s">
        <v>40413</v>
      </c>
      <c r="M14155" t="s">
        <v>43879</v>
      </c>
      <c r="N14155" t="s">
        <v>44759</v>
      </c>
      <c r="O14155" t="s">
        <v>44760</v>
      </c>
      <c r="Q14155">
        <v>1</v>
      </c>
      <c r="R14155" t="s">
        <v>44787</v>
      </c>
      <c r="S14155" t="s">
        <v>45950</v>
      </c>
      <c r="T14155" t="s">
        <v>46533</v>
      </c>
      <c r="U14155" t="s">
        <v>58494</v>
      </c>
      <c r="W14155" t="s">
        <v>60944</v>
      </c>
      <c r="X14155" t="s">
        <v>44788</v>
      </c>
    </row>
    <row r="14156" spans="1:24">
      <c r="A14156">
        <f>HYPERLINK("https://www.philgeps.gov.ph/GEPSNONPILOT/Tender/SplashBidNoticeAbstractUI.aspx?menuIndex=3&amp;refID=7098180&amp;Result=3","7098180")</f>
        <v>0</v>
      </c>
      <c r="B14156" t="s">
        <v>750</v>
      </c>
      <c r="C14156" t="s">
        <v>17232</v>
      </c>
      <c r="D14156" t="s">
        <v>17956</v>
      </c>
      <c r="E14156" t="s">
        <v>30244</v>
      </c>
      <c r="F14156" t="s">
        <v>30900</v>
      </c>
      <c r="G14156" t="s">
        <v>30907</v>
      </c>
      <c r="H14156" t="s">
        <v>30915</v>
      </c>
      <c r="I14156" t="s">
        <v>30919</v>
      </c>
      <c r="J14156" t="s">
        <v>39820</v>
      </c>
      <c r="K14156" t="s">
        <v>40395</v>
      </c>
      <c r="M14156" t="s">
        <v>41314</v>
      </c>
      <c r="N14156" t="s">
        <v>44759</v>
      </c>
      <c r="O14156" t="s">
        <v>44760</v>
      </c>
      <c r="Q14156">
        <v>5</v>
      </c>
      <c r="R14156" t="s">
        <v>44787</v>
      </c>
      <c r="S14156" t="s">
        <v>45951</v>
      </c>
      <c r="T14156" t="s">
        <v>46412</v>
      </c>
      <c r="U14156" t="s">
        <v>58498</v>
      </c>
      <c r="W14156" t="s">
        <v>41314</v>
      </c>
      <c r="X14156" t="s">
        <v>44788</v>
      </c>
    </row>
    <row r="14157" spans="1:24">
      <c r="A14157">
        <f>HYPERLINK("https://www.philgeps.gov.ph/GEPSNONPILOT/Tender/SplashBidNoticeAbstractUI.aspx?menuIndex=3&amp;refID=7099485&amp;Result=3","7099485")</f>
        <v>0</v>
      </c>
      <c r="B14157" t="s">
        <v>1589</v>
      </c>
      <c r="C14157" t="s">
        <v>17233</v>
      </c>
      <c r="D14157" t="s">
        <v>17992</v>
      </c>
      <c r="E14157" t="s">
        <v>30245</v>
      </c>
      <c r="F14157" t="s">
        <v>30900</v>
      </c>
      <c r="G14157" t="s">
        <v>30907</v>
      </c>
      <c r="H14157" t="s">
        <v>30915</v>
      </c>
      <c r="I14157" t="s">
        <v>30919</v>
      </c>
      <c r="J14157" t="s">
        <v>35229</v>
      </c>
      <c r="K14157" t="s">
        <v>40413</v>
      </c>
      <c r="M14157" t="s">
        <v>42236</v>
      </c>
      <c r="N14157" t="s">
        <v>44759</v>
      </c>
      <c r="O14157" t="s">
        <v>44760</v>
      </c>
      <c r="Q14157">
        <v>0</v>
      </c>
      <c r="R14157" t="s">
        <v>44787</v>
      </c>
      <c r="S14157" t="s">
        <v>45952</v>
      </c>
      <c r="T14157" t="s">
        <v>46533</v>
      </c>
      <c r="U14157" t="s">
        <v>58499</v>
      </c>
      <c r="W14157" t="s">
        <v>42236</v>
      </c>
      <c r="X14157" t="s">
        <v>44788</v>
      </c>
    </row>
    <row r="14158" spans="1:24">
      <c r="A14158">
        <f>HYPERLINK("https://www.philgeps.gov.ph/GEPSNONPILOT/Tender/SplashBidNoticeAbstractUI.aspx?menuIndex=3&amp;refID=7098121&amp;Result=3","7098121")</f>
        <v>0</v>
      </c>
      <c r="B14158" t="s">
        <v>750</v>
      </c>
      <c r="C14158" t="s">
        <v>17234</v>
      </c>
      <c r="D14158" t="s">
        <v>17956</v>
      </c>
      <c r="E14158" t="s">
        <v>30246</v>
      </c>
      <c r="F14158" t="s">
        <v>30900</v>
      </c>
      <c r="G14158" t="s">
        <v>30907</v>
      </c>
      <c r="H14158" t="s">
        <v>30915</v>
      </c>
      <c r="I14158" t="s">
        <v>30919</v>
      </c>
      <c r="J14158" t="s">
        <v>39821</v>
      </c>
      <c r="K14158" t="s">
        <v>40395</v>
      </c>
      <c r="M14158" t="s">
        <v>41314</v>
      </c>
      <c r="N14158" t="s">
        <v>44759</v>
      </c>
      <c r="O14158" t="s">
        <v>44760</v>
      </c>
      <c r="Q14158">
        <v>7</v>
      </c>
      <c r="R14158" t="s">
        <v>44787</v>
      </c>
      <c r="S14158" t="s">
        <v>45953</v>
      </c>
      <c r="T14158" t="s">
        <v>46412</v>
      </c>
      <c r="U14158" t="s">
        <v>58500</v>
      </c>
      <c r="W14158" t="s">
        <v>41314</v>
      </c>
      <c r="X14158" t="s">
        <v>44788</v>
      </c>
    </row>
    <row r="14159" spans="1:24">
      <c r="A14159">
        <f>HYPERLINK("https://www.philgeps.gov.ph/GEPSNONPILOT/Tender/SplashBidNoticeAbstractUI.aspx?menuIndex=3&amp;refID=7098540&amp;Result=3","7098540")</f>
        <v>0</v>
      </c>
      <c r="B14159" t="s">
        <v>710</v>
      </c>
      <c r="C14159" t="s">
        <v>17212</v>
      </c>
      <c r="E14159" t="s">
        <v>30247</v>
      </c>
      <c r="F14159" t="s">
        <v>30900</v>
      </c>
      <c r="G14159" t="s">
        <v>30907</v>
      </c>
      <c r="H14159" t="s">
        <v>30916</v>
      </c>
      <c r="I14159" t="s">
        <v>5501</v>
      </c>
      <c r="J14159" t="s">
        <v>39822</v>
      </c>
      <c r="K14159" t="s">
        <v>40289</v>
      </c>
      <c r="M14159" t="s">
        <v>41274</v>
      </c>
      <c r="N14159" t="s">
        <v>44759</v>
      </c>
      <c r="O14159" t="s">
        <v>44760</v>
      </c>
      <c r="P14159">
        <v>0</v>
      </c>
      <c r="Q14159">
        <v>2</v>
      </c>
      <c r="R14159" t="s">
        <v>44787</v>
      </c>
      <c r="S14159" t="s">
        <v>45928</v>
      </c>
      <c r="T14159" t="s">
        <v>46531</v>
      </c>
      <c r="U14159" t="s">
        <v>58479</v>
      </c>
      <c r="W14159" t="s">
        <v>41274</v>
      </c>
      <c r="X14159" t="s">
        <v>44788</v>
      </c>
    </row>
    <row r="14160" spans="1:24">
      <c r="A14160">
        <f>HYPERLINK("https://www.philgeps.gov.ph/GEPSNONPILOT/Tender/SplashBidNoticeAbstractUI.aspx?menuIndex=3&amp;refID=7094604&amp;Result=3","7094604")</f>
        <v>0</v>
      </c>
      <c r="B14160" t="s">
        <v>3190</v>
      </c>
      <c r="C14160" t="s">
        <v>17235</v>
      </c>
      <c r="D14160" t="s">
        <v>17952</v>
      </c>
      <c r="E14160" t="s">
        <v>30248</v>
      </c>
      <c r="F14160" t="s">
        <v>30900</v>
      </c>
      <c r="G14160" t="s">
        <v>30907</v>
      </c>
      <c r="H14160" t="s">
        <v>30915</v>
      </c>
      <c r="I14160" t="s">
        <v>30919</v>
      </c>
      <c r="J14160" t="s">
        <v>32329</v>
      </c>
      <c r="K14160" t="s">
        <v>40301</v>
      </c>
      <c r="M14160" t="s">
        <v>44025</v>
      </c>
      <c r="N14160" t="s">
        <v>44759</v>
      </c>
      <c r="O14160" t="s">
        <v>44760</v>
      </c>
      <c r="Q14160">
        <v>13</v>
      </c>
      <c r="R14160" t="s">
        <v>44788</v>
      </c>
      <c r="S14160" t="s">
        <v>45954</v>
      </c>
      <c r="T14160" t="s">
        <v>46443</v>
      </c>
      <c r="U14160" t="s">
        <v>58501</v>
      </c>
      <c r="V14160" t="s">
        <v>60719</v>
      </c>
      <c r="W14160" t="s">
        <v>44025</v>
      </c>
      <c r="X14160" t="s">
        <v>44789</v>
      </c>
    </row>
    <row r="14161" spans="1:24">
      <c r="A14161">
        <f>HYPERLINK("https://www.philgeps.gov.ph/GEPSNONPILOT/Tender/SplashBidNoticeAbstractUI.aspx?menuIndex=3&amp;refID=7094745&amp;Result=3","7094745")</f>
        <v>0</v>
      </c>
      <c r="B14161" t="s">
        <v>1937</v>
      </c>
      <c r="C14161" t="s">
        <v>17236</v>
      </c>
      <c r="D14161" t="s">
        <v>17961</v>
      </c>
      <c r="E14161" t="s">
        <v>30249</v>
      </c>
      <c r="F14161" t="s">
        <v>30903</v>
      </c>
      <c r="G14161" t="s">
        <v>30913</v>
      </c>
      <c r="H14161" t="s">
        <v>30916</v>
      </c>
      <c r="I14161" t="s">
        <v>30933</v>
      </c>
      <c r="J14161" t="s">
        <v>39823</v>
      </c>
      <c r="K14161" t="s">
        <v>40292</v>
      </c>
      <c r="M14161" t="s">
        <v>42618</v>
      </c>
      <c r="N14161" t="s">
        <v>44759</v>
      </c>
      <c r="O14161" t="s">
        <v>44760</v>
      </c>
      <c r="P14161">
        <v>0</v>
      </c>
      <c r="Q14161">
        <v>8</v>
      </c>
      <c r="R14161" t="s">
        <v>44788</v>
      </c>
      <c r="S14161" t="s">
        <v>45955</v>
      </c>
      <c r="T14161" t="s">
        <v>46409</v>
      </c>
      <c r="U14161" t="s">
        <v>55597</v>
      </c>
      <c r="W14161" t="s">
        <v>42618</v>
      </c>
      <c r="X14161" t="s">
        <v>44789</v>
      </c>
    </row>
    <row r="14162" spans="1:24">
      <c r="A14162">
        <f>HYPERLINK("https://www.philgeps.gov.ph/GEPSNONPILOT/Tender/SplashBidNoticeAbstractUI.aspx?menuIndex=3&amp;refID=7094741&amp;Result=3","7094741")</f>
        <v>0</v>
      </c>
      <c r="B14162" t="s">
        <v>3402</v>
      </c>
      <c r="C14162" t="s">
        <v>17237</v>
      </c>
      <c r="D14162" t="s">
        <v>17995</v>
      </c>
      <c r="E14162" t="s">
        <v>30250</v>
      </c>
      <c r="F14162" t="s">
        <v>30900</v>
      </c>
      <c r="G14162" t="s">
        <v>30907</v>
      </c>
      <c r="H14162" t="s">
        <v>30916</v>
      </c>
      <c r="I14162" t="s">
        <v>30919</v>
      </c>
      <c r="J14162" t="s">
        <v>31152</v>
      </c>
      <c r="K14162" t="s">
        <v>40304</v>
      </c>
      <c r="M14162" t="s">
        <v>44278</v>
      </c>
      <c r="N14162" t="s">
        <v>44759</v>
      </c>
      <c r="O14162" t="s">
        <v>44760</v>
      </c>
      <c r="P14162">
        <v>0</v>
      </c>
      <c r="Q14162">
        <v>0</v>
      </c>
      <c r="R14162" t="s">
        <v>44788</v>
      </c>
      <c r="S14162" t="s">
        <v>45955</v>
      </c>
      <c r="T14162" t="s">
        <v>46531</v>
      </c>
      <c r="U14162" t="s">
        <v>58502</v>
      </c>
      <c r="W14162" t="s">
        <v>44278</v>
      </c>
      <c r="X14162" t="s">
        <v>44789</v>
      </c>
    </row>
    <row r="14163" spans="1:24">
      <c r="A14163">
        <f>HYPERLINK("https://www.philgeps.gov.ph/GEPSNONPILOT/Tender/SplashBidNoticeAbstractUI.aspx?menuIndex=3&amp;refID=7094680&amp;Result=3","7094680")</f>
        <v>0</v>
      </c>
      <c r="B14163" t="s">
        <v>1937</v>
      </c>
      <c r="C14163" t="s">
        <v>17238</v>
      </c>
      <c r="D14163" t="s">
        <v>17961</v>
      </c>
      <c r="E14163" t="s">
        <v>30249</v>
      </c>
      <c r="F14163" t="s">
        <v>30903</v>
      </c>
      <c r="G14163" t="s">
        <v>30913</v>
      </c>
      <c r="H14163" t="s">
        <v>30915</v>
      </c>
      <c r="I14163" t="s">
        <v>30919</v>
      </c>
      <c r="J14163" t="s">
        <v>31124</v>
      </c>
      <c r="K14163" t="s">
        <v>40301</v>
      </c>
      <c r="M14163" t="s">
        <v>42618</v>
      </c>
      <c r="N14163" t="s">
        <v>44759</v>
      </c>
      <c r="O14163" t="s">
        <v>44760</v>
      </c>
      <c r="P14163">
        <v>0</v>
      </c>
      <c r="Q14163">
        <v>2</v>
      </c>
      <c r="R14163" t="s">
        <v>44788</v>
      </c>
      <c r="S14163" t="s">
        <v>45955</v>
      </c>
      <c r="T14163" t="s">
        <v>46409</v>
      </c>
      <c r="U14163" t="s">
        <v>55597</v>
      </c>
      <c r="W14163" t="s">
        <v>42618</v>
      </c>
      <c r="X14163" t="s">
        <v>44789</v>
      </c>
    </row>
    <row r="14164" spans="1:24">
      <c r="A14164">
        <f>HYPERLINK("https://www.philgeps.gov.ph/GEPSNONPILOT/Tender/SplashBidNoticeAbstractUI.aspx?menuIndex=3&amp;refID=7100295&amp;Result=3","7100295")</f>
        <v>0</v>
      </c>
      <c r="B14164" t="s">
        <v>3705</v>
      </c>
      <c r="C14164" t="s">
        <v>17239</v>
      </c>
      <c r="D14164" t="s">
        <v>17989</v>
      </c>
      <c r="E14164" t="s">
        <v>18615</v>
      </c>
      <c r="F14164" t="s">
        <v>30900</v>
      </c>
      <c r="G14164" t="s">
        <v>30907</v>
      </c>
      <c r="H14164" t="s">
        <v>30916</v>
      </c>
      <c r="I14164" t="s">
        <v>8123</v>
      </c>
      <c r="J14164" t="s">
        <v>35118</v>
      </c>
      <c r="K14164" t="s">
        <v>40287</v>
      </c>
      <c r="M14164" t="s">
        <v>44672</v>
      </c>
      <c r="N14164" t="s">
        <v>44759</v>
      </c>
      <c r="O14164" t="s">
        <v>44760</v>
      </c>
      <c r="P14164">
        <v>0</v>
      </c>
      <c r="Q14164">
        <v>2</v>
      </c>
      <c r="R14164" t="s">
        <v>44787</v>
      </c>
      <c r="S14164" t="s">
        <v>45928</v>
      </c>
      <c r="T14164" t="s">
        <v>46357</v>
      </c>
      <c r="U14164" t="s">
        <v>58503</v>
      </c>
      <c r="W14164" t="s">
        <v>44672</v>
      </c>
      <c r="X14164" t="s">
        <v>44788</v>
      </c>
    </row>
    <row r="14165" spans="1:24">
      <c r="A14165">
        <f>HYPERLINK("https://www.philgeps.gov.ph/GEPSNONPILOT/Tender/SplashBidNoticeAbstractUI.aspx?menuIndex=3&amp;refID=7094339&amp;Result=3","7094339")</f>
        <v>0</v>
      </c>
      <c r="B14165" t="s">
        <v>1851</v>
      </c>
      <c r="C14165" t="s">
        <v>17240</v>
      </c>
      <c r="D14165" t="s">
        <v>17955</v>
      </c>
      <c r="E14165" t="s">
        <v>30251</v>
      </c>
      <c r="F14165" t="s">
        <v>30900</v>
      </c>
      <c r="G14165" t="s">
        <v>30907</v>
      </c>
      <c r="H14165" t="s">
        <v>30917</v>
      </c>
      <c r="I14165" t="s">
        <v>31027</v>
      </c>
      <c r="J14165" t="s">
        <v>39824</v>
      </c>
      <c r="K14165" t="s">
        <v>40280</v>
      </c>
      <c r="M14165" t="s">
        <v>42523</v>
      </c>
      <c r="N14165" t="s">
        <v>44759</v>
      </c>
      <c r="O14165" t="s">
        <v>44760</v>
      </c>
      <c r="Q14165">
        <v>7</v>
      </c>
      <c r="R14165" t="s">
        <v>44788</v>
      </c>
      <c r="S14165" t="s">
        <v>45956</v>
      </c>
      <c r="T14165" t="s">
        <v>46450</v>
      </c>
      <c r="U14165" t="s">
        <v>51173</v>
      </c>
      <c r="V14165" t="s">
        <v>60720</v>
      </c>
      <c r="W14165" t="s">
        <v>42523</v>
      </c>
      <c r="X14165" t="s">
        <v>44789</v>
      </c>
    </row>
    <row r="14166" spans="1:24">
      <c r="A14166">
        <f>HYPERLINK("https://www.philgeps.gov.ph/GEPSNONPILOT/Tender/SplashBidNoticeAbstractUI.aspx?menuIndex=3&amp;refID=7094062&amp;Result=3","7094062")</f>
        <v>0</v>
      </c>
      <c r="B14166" t="s">
        <v>3706</v>
      </c>
      <c r="C14166" t="s">
        <v>17241</v>
      </c>
      <c r="D14166" t="s">
        <v>17959</v>
      </c>
      <c r="E14166" t="s">
        <v>30252</v>
      </c>
      <c r="F14166" t="s">
        <v>30900</v>
      </c>
      <c r="G14166" t="s">
        <v>30907</v>
      </c>
      <c r="H14166" t="s">
        <v>30917</v>
      </c>
      <c r="I14166" t="s">
        <v>31006</v>
      </c>
      <c r="J14166" t="s">
        <v>39825</v>
      </c>
      <c r="K14166" t="s">
        <v>40410</v>
      </c>
      <c r="M14166" t="s">
        <v>44673</v>
      </c>
      <c r="N14166" t="s">
        <v>44759</v>
      </c>
      <c r="O14166" t="s">
        <v>44760</v>
      </c>
      <c r="Q14166">
        <v>8</v>
      </c>
      <c r="R14166" t="s">
        <v>44788</v>
      </c>
      <c r="S14166" t="s">
        <v>45957</v>
      </c>
      <c r="T14166" t="s">
        <v>46934</v>
      </c>
      <c r="U14166" t="s">
        <v>58504</v>
      </c>
      <c r="W14166" t="s">
        <v>44673</v>
      </c>
      <c r="X14166" t="s">
        <v>44790</v>
      </c>
    </row>
    <row r="14167" spans="1:24">
      <c r="A14167">
        <f>HYPERLINK("https://www.philgeps.gov.ph/GEPSNONPILOT/Tender/SplashBidNoticeAbstractUI.aspx?menuIndex=3&amp;refID=7093164&amp;Result=3","7093164")</f>
        <v>0</v>
      </c>
      <c r="B14167" t="s">
        <v>1589</v>
      </c>
      <c r="C14167" t="s">
        <v>17242</v>
      </c>
      <c r="D14167" t="s">
        <v>17992</v>
      </c>
      <c r="E14167" t="s">
        <v>30253</v>
      </c>
      <c r="F14167" t="s">
        <v>30900</v>
      </c>
      <c r="G14167" t="s">
        <v>30907</v>
      </c>
      <c r="H14167" t="s">
        <v>30915</v>
      </c>
      <c r="I14167" t="s">
        <v>30919</v>
      </c>
      <c r="J14167" t="s">
        <v>32276</v>
      </c>
      <c r="K14167" t="s">
        <v>40384</v>
      </c>
      <c r="M14167" t="s">
        <v>42236</v>
      </c>
      <c r="N14167" t="s">
        <v>44759</v>
      </c>
      <c r="O14167" t="s">
        <v>44760</v>
      </c>
      <c r="Q14167">
        <v>0</v>
      </c>
      <c r="R14167" t="s">
        <v>44788</v>
      </c>
      <c r="S14167" t="s">
        <v>45958</v>
      </c>
      <c r="T14167" t="s">
        <v>46533</v>
      </c>
      <c r="U14167" t="s">
        <v>58505</v>
      </c>
      <c r="W14167" t="s">
        <v>42236</v>
      </c>
      <c r="X14167" t="s">
        <v>44790</v>
      </c>
    </row>
    <row r="14168" spans="1:24">
      <c r="A14168">
        <f>HYPERLINK("https://www.philgeps.gov.ph/GEPSNONPILOT/Tender/SplashBidNoticeAbstractUI.aspx?menuIndex=3&amp;refID=7098147&amp;Result=3","7098147")</f>
        <v>0</v>
      </c>
      <c r="B14168" t="s">
        <v>710</v>
      </c>
      <c r="C14168" t="s">
        <v>15515</v>
      </c>
      <c r="E14168" t="s">
        <v>30254</v>
      </c>
      <c r="F14168" t="s">
        <v>30900</v>
      </c>
      <c r="G14168" t="s">
        <v>30907</v>
      </c>
      <c r="H14168" t="s">
        <v>30916</v>
      </c>
      <c r="I14168" t="s">
        <v>5501</v>
      </c>
      <c r="J14168" t="s">
        <v>39826</v>
      </c>
      <c r="K14168" t="s">
        <v>40289</v>
      </c>
      <c r="M14168" t="s">
        <v>41274</v>
      </c>
      <c r="N14168" t="s">
        <v>44759</v>
      </c>
      <c r="O14168" t="s">
        <v>44760</v>
      </c>
      <c r="P14168">
        <v>0</v>
      </c>
      <c r="Q14168">
        <v>10</v>
      </c>
      <c r="R14168" t="s">
        <v>44787</v>
      </c>
      <c r="S14168" t="s">
        <v>45928</v>
      </c>
      <c r="T14168" t="s">
        <v>46531</v>
      </c>
      <c r="U14168" t="s">
        <v>58479</v>
      </c>
      <c r="W14168" t="s">
        <v>41274</v>
      </c>
      <c r="X14168" t="s">
        <v>44788</v>
      </c>
    </row>
    <row r="14169" spans="1:24">
      <c r="A14169">
        <f>HYPERLINK("https://www.philgeps.gov.ph/GEPSNONPILOT/Tender/SplashBidNoticeAbstractUI.aspx?menuIndex=3&amp;refID=7093099&amp;Result=3","7093099")</f>
        <v>0</v>
      </c>
      <c r="B14169" t="s">
        <v>1589</v>
      </c>
      <c r="C14169" t="s">
        <v>17243</v>
      </c>
      <c r="D14169" t="s">
        <v>17992</v>
      </c>
      <c r="E14169" t="s">
        <v>30255</v>
      </c>
      <c r="F14169" t="s">
        <v>30900</v>
      </c>
      <c r="G14169" t="s">
        <v>30907</v>
      </c>
      <c r="H14169" t="s">
        <v>30915</v>
      </c>
      <c r="I14169" t="s">
        <v>30919</v>
      </c>
      <c r="J14169" t="s">
        <v>37386</v>
      </c>
      <c r="K14169" t="s">
        <v>40341</v>
      </c>
      <c r="M14169" t="s">
        <v>42236</v>
      </c>
      <c r="N14169" t="s">
        <v>44759</v>
      </c>
      <c r="O14169" t="s">
        <v>44760</v>
      </c>
      <c r="Q14169">
        <v>0</v>
      </c>
      <c r="R14169" t="s">
        <v>44788</v>
      </c>
      <c r="S14169" t="s">
        <v>45366</v>
      </c>
      <c r="T14169" t="s">
        <v>46533</v>
      </c>
      <c r="U14169" t="s">
        <v>58506</v>
      </c>
      <c r="W14169" t="s">
        <v>42236</v>
      </c>
      <c r="X14169" t="s">
        <v>44790</v>
      </c>
    </row>
    <row r="14170" spans="1:24">
      <c r="A14170">
        <f>HYPERLINK("https://www.philgeps.gov.ph/GEPSNONPILOT/Tender/SplashBidNoticeAbstractUI.aspx?menuIndex=3&amp;refID=7093263&amp;Result=3","7093263")</f>
        <v>0</v>
      </c>
      <c r="B14170" t="s">
        <v>1224</v>
      </c>
      <c r="C14170" t="s">
        <v>17244</v>
      </c>
      <c r="D14170" t="s">
        <v>17959</v>
      </c>
      <c r="E14170" t="s">
        <v>30256</v>
      </c>
      <c r="F14170" t="s">
        <v>30900</v>
      </c>
      <c r="G14170" t="s">
        <v>30907</v>
      </c>
      <c r="H14170" t="s">
        <v>30916</v>
      </c>
      <c r="I14170" t="s">
        <v>9385</v>
      </c>
      <c r="J14170" t="s">
        <v>39827</v>
      </c>
      <c r="K14170" t="s">
        <v>40289</v>
      </c>
      <c r="M14170" t="s">
        <v>41836</v>
      </c>
      <c r="N14170" t="s">
        <v>44759</v>
      </c>
      <c r="O14170" t="s">
        <v>44760</v>
      </c>
      <c r="Q14170">
        <v>17</v>
      </c>
      <c r="R14170" t="s">
        <v>44788</v>
      </c>
      <c r="S14170" t="s">
        <v>45959</v>
      </c>
      <c r="T14170" t="s">
        <v>46361</v>
      </c>
      <c r="U14170" t="s">
        <v>58507</v>
      </c>
      <c r="W14170" t="s">
        <v>41836</v>
      </c>
      <c r="X14170" t="s">
        <v>44790</v>
      </c>
    </row>
    <row r="14171" spans="1:24">
      <c r="A14171">
        <f>HYPERLINK("https://www.philgeps.gov.ph/GEPSNONPILOT/Tender/SplashBidNoticeAbstractUI.aspx?menuIndex=3&amp;refID=7091501&amp;Result=3","7091501")</f>
        <v>0</v>
      </c>
      <c r="B14171" t="s">
        <v>3576</v>
      </c>
      <c r="C14171" t="s">
        <v>17245</v>
      </c>
      <c r="D14171" t="s">
        <v>17980</v>
      </c>
      <c r="E14171" t="s">
        <v>30257</v>
      </c>
      <c r="F14171" t="s">
        <v>30900</v>
      </c>
      <c r="G14171" t="s">
        <v>30907</v>
      </c>
      <c r="H14171" t="s">
        <v>30916</v>
      </c>
      <c r="I14171" t="s">
        <v>30929</v>
      </c>
      <c r="J14171" t="s">
        <v>39828</v>
      </c>
      <c r="K14171" t="s">
        <v>40286</v>
      </c>
      <c r="M14171" t="s">
        <v>44501</v>
      </c>
      <c r="N14171" t="s">
        <v>44759</v>
      </c>
      <c r="O14171" t="s">
        <v>44760</v>
      </c>
      <c r="Q14171">
        <v>9</v>
      </c>
      <c r="R14171" t="s">
        <v>44788</v>
      </c>
      <c r="S14171" t="s">
        <v>45960</v>
      </c>
      <c r="T14171" t="s">
        <v>46409</v>
      </c>
      <c r="U14171" t="s">
        <v>58508</v>
      </c>
      <c r="V14171" t="s">
        <v>60721</v>
      </c>
      <c r="W14171" t="s">
        <v>44501</v>
      </c>
      <c r="X14171" t="s">
        <v>44790</v>
      </c>
    </row>
    <row r="14172" spans="1:24">
      <c r="A14172">
        <f>HYPERLINK("https://www.philgeps.gov.ph/GEPSNONPILOT/Tender/SplashBidNoticeAbstractUI.aspx?menuIndex=3&amp;refID=7095842&amp;Result=3","7095842")</f>
        <v>0</v>
      </c>
      <c r="B14172" t="s">
        <v>3707</v>
      </c>
      <c r="C14172" t="s">
        <v>17246</v>
      </c>
      <c r="D14172" t="s">
        <v>17953</v>
      </c>
      <c r="E14172" t="s">
        <v>19256</v>
      </c>
      <c r="F14172" t="s">
        <v>30900</v>
      </c>
      <c r="G14172" t="s">
        <v>30907</v>
      </c>
      <c r="H14172" t="s">
        <v>30916</v>
      </c>
      <c r="I14172" t="s">
        <v>30999</v>
      </c>
      <c r="J14172" t="s">
        <v>31767</v>
      </c>
      <c r="K14172" t="s">
        <v>40284</v>
      </c>
      <c r="M14172" t="s">
        <v>44674</v>
      </c>
      <c r="N14172" t="s">
        <v>44759</v>
      </c>
      <c r="O14172" t="s">
        <v>44760</v>
      </c>
      <c r="P14172">
        <v>0</v>
      </c>
      <c r="Q14172">
        <v>0</v>
      </c>
      <c r="R14172" t="s">
        <v>44788</v>
      </c>
      <c r="S14172" t="s">
        <v>45955</v>
      </c>
      <c r="T14172" t="s">
        <v>46531</v>
      </c>
      <c r="U14172" t="s">
        <v>58509</v>
      </c>
      <c r="W14172" t="s">
        <v>44674</v>
      </c>
      <c r="X14172" t="s">
        <v>44789</v>
      </c>
    </row>
    <row r="14173" spans="1:24">
      <c r="A14173">
        <f>HYPERLINK("https://www.philgeps.gov.ph/GEPSNONPILOT/Tender/SplashBidNoticeAbstractUI.aspx?menuIndex=3&amp;refID=7093119&amp;Result=3","7093119")</f>
        <v>0</v>
      </c>
      <c r="B14173" t="s">
        <v>1589</v>
      </c>
      <c r="C14173" t="s">
        <v>17247</v>
      </c>
      <c r="D14173" t="s">
        <v>17992</v>
      </c>
      <c r="E14173" t="s">
        <v>30258</v>
      </c>
      <c r="F14173" t="s">
        <v>30900</v>
      </c>
      <c r="G14173" t="s">
        <v>30907</v>
      </c>
      <c r="H14173" t="s">
        <v>30915</v>
      </c>
      <c r="I14173" t="s">
        <v>30919</v>
      </c>
      <c r="J14173" t="s">
        <v>32276</v>
      </c>
      <c r="K14173" t="s">
        <v>40384</v>
      </c>
      <c r="M14173" t="s">
        <v>42236</v>
      </c>
      <c r="N14173" t="s">
        <v>44759</v>
      </c>
      <c r="O14173" t="s">
        <v>44760</v>
      </c>
      <c r="Q14173">
        <v>0</v>
      </c>
      <c r="R14173" t="s">
        <v>44788</v>
      </c>
      <c r="S14173" t="s">
        <v>45961</v>
      </c>
      <c r="T14173" t="s">
        <v>46533</v>
      </c>
      <c r="U14173" t="s">
        <v>58510</v>
      </c>
      <c r="W14173" t="s">
        <v>42236</v>
      </c>
      <c r="X14173" t="s">
        <v>44790</v>
      </c>
    </row>
    <row r="14174" spans="1:24">
      <c r="A14174">
        <f>HYPERLINK("https://www.philgeps.gov.ph/GEPSNONPILOT/Tender/SplashBidNoticeAbstractUI.aspx?menuIndex=3&amp;refID=7094645&amp;Result=3","7094645")</f>
        <v>0</v>
      </c>
      <c r="B14174" t="s">
        <v>2420</v>
      </c>
      <c r="C14174" t="s">
        <v>17248</v>
      </c>
      <c r="D14174" t="s">
        <v>17988</v>
      </c>
      <c r="E14174" t="s">
        <v>30259</v>
      </c>
      <c r="F14174" t="s">
        <v>30900</v>
      </c>
      <c r="G14174" t="s">
        <v>30907</v>
      </c>
      <c r="H14174" t="s">
        <v>30915</v>
      </c>
      <c r="I14174" t="s">
        <v>30919</v>
      </c>
      <c r="J14174" t="s">
        <v>39829</v>
      </c>
      <c r="K14174" t="s">
        <v>40443</v>
      </c>
      <c r="M14174" t="s">
        <v>43177</v>
      </c>
      <c r="N14174" t="s">
        <v>44759</v>
      </c>
      <c r="O14174" t="s">
        <v>44760</v>
      </c>
      <c r="Q14174">
        <v>1</v>
      </c>
      <c r="R14174" t="s">
        <v>44788</v>
      </c>
      <c r="S14174" t="s">
        <v>45962</v>
      </c>
      <c r="T14174" t="s">
        <v>46457</v>
      </c>
      <c r="U14174" t="s">
        <v>58511</v>
      </c>
      <c r="W14174" t="s">
        <v>43177</v>
      </c>
      <c r="X14174" t="s">
        <v>44789</v>
      </c>
    </row>
    <row r="14175" spans="1:24">
      <c r="A14175">
        <f>HYPERLINK("https://www.philgeps.gov.ph/GEPSNONPILOT/Tender/SplashBidNoticeAbstractUI.aspx?menuIndex=3&amp;refID=7095890&amp;Result=3","7095890")</f>
        <v>0</v>
      </c>
      <c r="B14175" t="s">
        <v>3708</v>
      </c>
      <c r="C14175" t="s">
        <v>13667</v>
      </c>
      <c r="D14175" t="s">
        <v>17961</v>
      </c>
      <c r="E14175" t="s">
        <v>30260</v>
      </c>
      <c r="F14175" t="s">
        <v>30900</v>
      </c>
      <c r="G14175" t="s">
        <v>30907</v>
      </c>
      <c r="H14175" t="s">
        <v>30916</v>
      </c>
      <c r="I14175" t="s">
        <v>8123</v>
      </c>
      <c r="J14175" t="s">
        <v>31153</v>
      </c>
      <c r="K14175" t="s">
        <v>40284</v>
      </c>
      <c r="M14175" t="s">
        <v>44675</v>
      </c>
      <c r="N14175" t="s">
        <v>44759</v>
      </c>
      <c r="O14175" t="s">
        <v>44760</v>
      </c>
      <c r="P14175">
        <v>0</v>
      </c>
      <c r="Q14175">
        <v>5</v>
      </c>
      <c r="R14175" t="s">
        <v>44788</v>
      </c>
      <c r="S14175" t="s">
        <v>45955</v>
      </c>
      <c r="T14175" t="s">
        <v>46935</v>
      </c>
      <c r="U14175" t="s">
        <v>58512</v>
      </c>
      <c r="W14175" t="s">
        <v>44675</v>
      </c>
      <c r="X14175" t="s">
        <v>44789</v>
      </c>
    </row>
    <row r="14176" spans="1:24">
      <c r="A14176">
        <f>HYPERLINK("https://www.philgeps.gov.ph/GEPSNONPILOT/Tender/SplashBidNoticeAbstractUI.aspx?menuIndex=3&amp;refID=7098525&amp;Result=3","7098525")</f>
        <v>0</v>
      </c>
      <c r="B14176" t="s">
        <v>710</v>
      </c>
      <c r="C14176" t="s">
        <v>17209</v>
      </c>
      <c r="E14176" t="s">
        <v>30261</v>
      </c>
      <c r="F14176" t="s">
        <v>30900</v>
      </c>
      <c r="G14176" t="s">
        <v>30907</v>
      </c>
      <c r="H14176" t="s">
        <v>30916</v>
      </c>
      <c r="I14176" t="s">
        <v>30923</v>
      </c>
      <c r="J14176" t="s">
        <v>39830</v>
      </c>
      <c r="K14176" t="s">
        <v>40289</v>
      </c>
      <c r="M14176" t="s">
        <v>41274</v>
      </c>
      <c r="N14176" t="s">
        <v>44759</v>
      </c>
      <c r="O14176" t="s">
        <v>44760</v>
      </c>
      <c r="P14176">
        <v>0</v>
      </c>
      <c r="Q14176">
        <v>8</v>
      </c>
      <c r="R14176" t="s">
        <v>44787</v>
      </c>
      <c r="S14176" t="s">
        <v>45928</v>
      </c>
      <c r="T14176" t="s">
        <v>46531</v>
      </c>
      <c r="U14176" t="s">
        <v>58479</v>
      </c>
      <c r="W14176" t="s">
        <v>41274</v>
      </c>
      <c r="X14176" t="s">
        <v>44788</v>
      </c>
    </row>
    <row r="14177" spans="1:24">
      <c r="A14177">
        <f>HYPERLINK("https://www.philgeps.gov.ph/GEPSNONPILOT/Tender/SplashBidNoticeAbstractUI.aspx?menuIndex=3&amp;refID=7095798&amp;Result=3","7095798")</f>
        <v>0</v>
      </c>
      <c r="B14177" t="s">
        <v>3707</v>
      </c>
      <c r="C14177" t="s">
        <v>17249</v>
      </c>
      <c r="D14177" t="s">
        <v>17953</v>
      </c>
      <c r="E14177" t="s">
        <v>20674</v>
      </c>
      <c r="F14177" t="s">
        <v>30900</v>
      </c>
      <c r="G14177" t="s">
        <v>30907</v>
      </c>
      <c r="H14177" t="s">
        <v>30916</v>
      </c>
      <c r="I14177" t="s">
        <v>4142</v>
      </c>
      <c r="J14177" t="s">
        <v>32466</v>
      </c>
      <c r="K14177" t="s">
        <v>40284</v>
      </c>
      <c r="M14177" t="s">
        <v>44674</v>
      </c>
      <c r="N14177" t="s">
        <v>44759</v>
      </c>
      <c r="O14177" t="s">
        <v>44760</v>
      </c>
      <c r="P14177">
        <v>0</v>
      </c>
      <c r="Q14177">
        <v>0</v>
      </c>
      <c r="R14177" t="s">
        <v>44788</v>
      </c>
      <c r="S14177" t="s">
        <v>45955</v>
      </c>
      <c r="T14177" t="s">
        <v>46531</v>
      </c>
      <c r="U14177" t="s">
        <v>58513</v>
      </c>
      <c r="W14177" t="s">
        <v>44674</v>
      </c>
      <c r="X14177" t="s">
        <v>44789</v>
      </c>
    </row>
    <row r="14178" spans="1:24">
      <c r="A14178">
        <f>HYPERLINK("https://www.philgeps.gov.ph/GEPSNONPILOT/Tender/SplashBidNoticeAbstractUI.aspx?menuIndex=3&amp;refID=7096289&amp;Result=3","7096289")</f>
        <v>0</v>
      </c>
      <c r="B14178" t="s">
        <v>1119</v>
      </c>
      <c r="C14178" t="s">
        <v>17250</v>
      </c>
      <c r="D14178" t="s">
        <v>17959</v>
      </c>
      <c r="E14178" t="s">
        <v>30262</v>
      </c>
      <c r="F14178" t="s">
        <v>30900</v>
      </c>
      <c r="G14178" t="s">
        <v>30910</v>
      </c>
      <c r="H14178" t="s">
        <v>30916</v>
      </c>
      <c r="I14178" t="s">
        <v>4545</v>
      </c>
      <c r="J14178" t="s">
        <v>33475</v>
      </c>
      <c r="K14178" t="s">
        <v>40283</v>
      </c>
      <c r="M14178" t="s">
        <v>41749</v>
      </c>
      <c r="N14178" t="s">
        <v>44759</v>
      </c>
      <c r="O14178" t="s">
        <v>44760</v>
      </c>
      <c r="Q14178">
        <v>20</v>
      </c>
      <c r="R14178" t="s">
        <v>44788</v>
      </c>
      <c r="S14178" t="s">
        <v>45963</v>
      </c>
      <c r="T14178" t="s">
        <v>46658</v>
      </c>
      <c r="U14178" t="s">
        <v>49074</v>
      </c>
      <c r="V14178" t="s">
        <v>60722</v>
      </c>
      <c r="W14178" t="s">
        <v>41749</v>
      </c>
      <c r="X14178" t="s">
        <v>44789</v>
      </c>
    </row>
    <row r="14179" spans="1:24">
      <c r="A14179">
        <f>HYPERLINK("https://www.philgeps.gov.ph/GEPSNONPILOT/Tender/SplashBidNoticeAbstractUI.aspx?menuIndex=3&amp;refID=7095741&amp;Result=3","7095741")</f>
        <v>0</v>
      </c>
      <c r="B14179" t="s">
        <v>3709</v>
      </c>
      <c r="C14179" t="s">
        <v>17251</v>
      </c>
      <c r="D14179" t="s">
        <v>18014</v>
      </c>
      <c r="E14179" t="s">
        <v>30263</v>
      </c>
      <c r="F14179" t="s">
        <v>30900</v>
      </c>
      <c r="G14179" t="s">
        <v>30907</v>
      </c>
      <c r="H14179" t="s">
        <v>30916</v>
      </c>
      <c r="I14179" t="s">
        <v>30981</v>
      </c>
      <c r="J14179" t="s">
        <v>39284</v>
      </c>
      <c r="K14179" t="s">
        <v>40280</v>
      </c>
      <c r="M14179" t="s">
        <v>44676</v>
      </c>
      <c r="N14179" t="s">
        <v>44759</v>
      </c>
      <c r="O14179" t="s">
        <v>44760</v>
      </c>
      <c r="Q14179">
        <v>5</v>
      </c>
      <c r="R14179" t="s">
        <v>44788</v>
      </c>
      <c r="S14179" t="s">
        <v>45964</v>
      </c>
      <c r="T14179" t="s">
        <v>46352</v>
      </c>
      <c r="U14179" t="s">
        <v>58514</v>
      </c>
      <c r="W14179" t="s">
        <v>44676</v>
      </c>
      <c r="X14179" t="s">
        <v>44789</v>
      </c>
    </row>
    <row r="14180" spans="1:24">
      <c r="A14180">
        <f>HYPERLINK("https://www.philgeps.gov.ph/GEPSNONPILOT/Tender/SplashBidNoticeAbstractUI.aspx?menuIndex=3&amp;refID=7095681&amp;Result=3","7095681")</f>
        <v>0</v>
      </c>
      <c r="B14180" t="s">
        <v>3710</v>
      </c>
      <c r="C14180" t="s">
        <v>17252</v>
      </c>
      <c r="D14180" t="s">
        <v>18000</v>
      </c>
      <c r="E14180" t="s">
        <v>30264</v>
      </c>
      <c r="F14180" t="s">
        <v>30900</v>
      </c>
      <c r="G14180" t="s">
        <v>30907</v>
      </c>
      <c r="H14180" t="s">
        <v>30915</v>
      </c>
      <c r="I14180" t="s">
        <v>30919</v>
      </c>
      <c r="J14180" t="s">
        <v>39831</v>
      </c>
      <c r="K14180" t="s">
        <v>40558</v>
      </c>
      <c r="M14180" t="s">
        <v>44677</v>
      </c>
      <c r="N14180" t="s">
        <v>44759</v>
      </c>
      <c r="O14180" t="s">
        <v>44760</v>
      </c>
      <c r="Q14180">
        <v>3</v>
      </c>
      <c r="R14180" t="s">
        <v>44788</v>
      </c>
      <c r="S14180" t="s">
        <v>45965</v>
      </c>
      <c r="T14180" t="s">
        <v>46429</v>
      </c>
      <c r="U14180" t="s">
        <v>58515</v>
      </c>
      <c r="W14180" t="s">
        <v>44677</v>
      </c>
      <c r="X14180" t="s">
        <v>44789</v>
      </c>
    </row>
    <row r="14181" spans="1:24">
      <c r="A14181">
        <f>HYPERLINK("https://www.philgeps.gov.ph/GEPSNONPILOT/Tender/SplashBidNoticeAbstractUI.aspx?menuIndex=3&amp;refID=7095661&amp;Result=3","7095661")</f>
        <v>0</v>
      </c>
      <c r="B14181" t="s">
        <v>3707</v>
      </c>
      <c r="C14181" t="s">
        <v>17253</v>
      </c>
      <c r="D14181" t="s">
        <v>17953</v>
      </c>
      <c r="E14181" t="s">
        <v>20879</v>
      </c>
      <c r="F14181" t="s">
        <v>30900</v>
      </c>
      <c r="G14181" t="s">
        <v>30907</v>
      </c>
      <c r="H14181" t="s">
        <v>30916</v>
      </c>
      <c r="I14181" t="s">
        <v>4142</v>
      </c>
      <c r="J14181" t="s">
        <v>39832</v>
      </c>
      <c r="K14181" t="s">
        <v>40284</v>
      </c>
      <c r="M14181" t="s">
        <v>44674</v>
      </c>
      <c r="N14181" t="s">
        <v>44759</v>
      </c>
      <c r="O14181" t="s">
        <v>44760</v>
      </c>
      <c r="P14181">
        <v>0</v>
      </c>
      <c r="Q14181">
        <v>0</v>
      </c>
      <c r="R14181" t="s">
        <v>44788</v>
      </c>
      <c r="S14181" t="s">
        <v>45955</v>
      </c>
      <c r="T14181" t="s">
        <v>46531</v>
      </c>
      <c r="U14181" t="s">
        <v>58516</v>
      </c>
      <c r="W14181" t="s">
        <v>44674</v>
      </c>
      <c r="X14181" t="s">
        <v>44789</v>
      </c>
    </row>
    <row r="14182" spans="1:24">
      <c r="A14182">
        <f>HYPERLINK("https://www.philgeps.gov.ph/GEPSNONPILOT/Tender/SplashBidNoticeAbstractUI.aspx?menuIndex=3&amp;refID=7095439&amp;Result=3","7095439")</f>
        <v>0</v>
      </c>
      <c r="B14182" t="s">
        <v>3641</v>
      </c>
      <c r="C14182" t="s">
        <v>17254</v>
      </c>
      <c r="D14182" t="s">
        <v>17963</v>
      </c>
      <c r="E14182" t="s">
        <v>30265</v>
      </c>
      <c r="F14182" t="s">
        <v>30900</v>
      </c>
      <c r="G14182" t="s">
        <v>30907</v>
      </c>
      <c r="H14182" t="s">
        <v>30916</v>
      </c>
      <c r="I14182" t="s">
        <v>30933</v>
      </c>
      <c r="J14182" t="s">
        <v>31412</v>
      </c>
      <c r="K14182" t="s">
        <v>40292</v>
      </c>
      <c r="M14182" t="s">
        <v>44582</v>
      </c>
      <c r="N14182" t="s">
        <v>44759</v>
      </c>
      <c r="O14182" t="s">
        <v>44760</v>
      </c>
      <c r="Q14182">
        <v>5</v>
      </c>
      <c r="R14182" t="s">
        <v>44788</v>
      </c>
      <c r="S14182" t="s">
        <v>45966</v>
      </c>
      <c r="T14182" t="s">
        <v>46519</v>
      </c>
      <c r="U14182" t="s">
        <v>58517</v>
      </c>
      <c r="W14182" t="s">
        <v>44582</v>
      </c>
      <c r="X14182" t="s">
        <v>44789</v>
      </c>
    </row>
    <row r="14183" spans="1:24">
      <c r="A14183">
        <f>HYPERLINK("https://www.philgeps.gov.ph/GEPSNONPILOT/Tender/SplashBidNoticeAbstractUI.aspx?menuIndex=3&amp;refID=7095870&amp;Result=3","7095870")</f>
        <v>0</v>
      </c>
      <c r="B14183" t="s">
        <v>2042</v>
      </c>
      <c r="C14183" t="s">
        <v>17255</v>
      </c>
      <c r="D14183" t="s">
        <v>17969</v>
      </c>
      <c r="E14183" t="s">
        <v>30266</v>
      </c>
      <c r="F14183" t="s">
        <v>30900</v>
      </c>
      <c r="G14183" t="s">
        <v>30907</v>
      </c>
      <c r="H14183" t="s">
        <v>7411</v>
      </c>
      <c r="I14183" t="s">
        <v>7411</v>
      </c>
      <c r="J14183" t="s">
        <v>32404</v>
      </c>
      <c r="K14183" t="s">
        <v>40289</v>
      </c>
      <c r="M14183" t="s">
        <v>42739</v>
      </c>
      <c r="N14183" t="s">
        <v>44759</v>
      </c>
      <c r="O14183" t="s">
        <v>44760</v>
      </c>
      <c r="Q14183">
        <v>3</v>
      </c>
      <c r="R14183" t="s">
        <v>44788</v>
      </c>
      <c r="S14183" t="s">
        <v>45967</v>
      </c>
      <c r="T14183" t="s">
        <v>46932</v>
      </c>
      <c r="U14183" t="s">
        <v>58518</v>
      </c>
      <c r="V14183" t="s">
        <v>60723</v>
      </c>
      <c r="W14183" t="s">
        <v>42739</v>
      </c>
      <c r="X14183" t="s">
        <v>44789</v>
      </c>
    </row>
    <row r="14184" spans="1:24">
      <c r="A14184">
        <f>HYPERLINK("https://www.philgeps.gov.ph/GEPSNONPILOT/Tender/SplashBidNoticeAbstractUI.aspx?menuIndex=3&amp;refID=7095291&amp;Result=3","7095291")</f>
        <v>0</v>
      </c>
      <c r="B14184" t="s">
        <v>3709</v>
      </c>
      <c r="C14184" t="s">
        <v>17256</v>
      </c>
      <c r="D14184" t="s">
        <v>18014</v>
      </c>
      <c r="E14184" t="s">
        <v>30267</v>
      </c>
      <c r="F14184" t="s">
        <v>30900</v>
      </c>
      <c r="G14184" t="s">
        <v>30907</v>
      </c>
      <c r="H14184" t="s">
        <v>30916</v>
      </c>
      <c r="I14184" t="s">
        <v>30981</v>
      </c>
      <c r="J14184" t="s">
        <v>39833</v>
      </c>
      <c r="K14184" t="s">
        <v>40280</v>
      </c>
      <c r="M14184" t="s">
        <v>44676</v>
      </c>
      <c r="N14184" t="s">
        <v>44759</v>
      </c>
      <c r="O14184" t="s">
        <v>44760</v>
      </c>
      <c r="Q14184">
        <v>7</v>
      </c>
      <c r="R14184" t="s">
        <v>44788</v>
      </c>
      <c r="S14184" t="s">
        <v>45968</v>
      </c>
      <c r="T14184" t="s">
        <v>46352</v>
      </c>
      <c r="U14184" t="s">
        <v>58519</v>
      </c>
      <c r="W14184" t="s">
        <v>44676</v>
      </c>
      <c r="X14184" t="s">
        <v>44789</v>
      </c>
    </row>
    <row r="14185" spans="1:24">
      <c r="A14185">
        <f>HYPERLINK("https://www.philgeps.gov.ph/GEPSNONPILOT/Tender/SplashBidNoticeAbstractUI.aspx?menuIndex=3&amp;refID=7091898&amp;Result=3","7091898")</f>
        <v>0</v>
      </c>
      <c r="B14185" t="s">
        <v>2535</v>
      </c>
      <c r="C14185" t="s">
        <v>17257</v>
      </c>
      <c r="D14185" t="s">
        <v>17959</v>
      </c>
      <c r="E14185" t="s">
        <v>30268</v>
      </c>
      <c r="F14185" t="s">
        <v>30900</v>
      </c>
      <c r="G14185" t="s">
        <v>30908</v>
      </c>
      <c r="H14185" t="s">
        <v>30916</v>
      </c>
      <c r="I14185" t="s">
        <v>5830</v>
      </c>
      <c r="J14185" t="s">
        <v>31522</v>
      </c>
      <c r="K14185" t="s">
        <v>40289</v>
      </c>
      <c r="M14185" t="s">
        <v>44200</v>
      </c>
      <c r="N14185" t="s">
        <v>44759</v>
      </c>
      <c r="O14185" t="s">
        <v>44760</v>
      </c>
      <c r="Q14185">
        <v>3</v>
      </c>
      <c r="R14185" t="s">
        <v>44789</v>
      </c>
      <c r="S14185" t="s">
        <v>45969</v>
      </c>
      <c r="T14185" t="s">
        <v>46390</v>
      </c>
      <c r="U14185" t="s">
        <v>58520</v>
      </c>
      <c r="W14185" t="s">
        <v>44200</v>
      </c>
      <c r="X14185" t="s">
        <v>44790</v>
      </c>
    </row>
    <row r="14186" spans="1:24">
      <c r="A14186">
        <f>HYPERLINK("https://www.philgeps.gov.ph/GEPSNONPILOT/Tender/SplashBidNoticeAbstractUI.aspx?menuIndex=3&amp;refID=7095487&amp;Result=3","7095487")</f>
        <v>0</v>
      </c>
      <c r="B14186" t="s">
        <v>3711</v>
      </c>
      <c r="C14186" t="s">
        <v>17258</v>
      </c>
      <c r="E14186" t="s">
        <v>30269</v>
      </c>
      <c r="F14186" t="s">
        <v>30900</v>
      </c>
      <c r="G14186" t="s">
        <v>30907</v>
      </c>
      <c r="H14186" t="s">
        <v>30916</v>
      </c>
      <c r="I14186" t="s">
        <v>30924</v>
      </c>
      <c r="J14186" t="s">
        <v>31412</v>
      </c>
      <c r="K14186" t="s">
        <v>40289</v>
      </c>
      <c r="M14186" t="s">
        <v>44678</v>
      </c>
      <c r="N14186" t="s">
        <v>44759</v>
      </c>
      <c r="O14186" t="s">
        <v>44760</v>
      </c>
      <c r="Q14186">
        <v>26</v>
      </c>
      <c r="R14186" t="s">
        <v>44788</v>
      </c>
      <c r="S14186" t="s">
        <v>45249</v>
      </c>
      <c r="T14186" t="s">
        <v>46771</v>
      </c>
      <c r="U14186" t="s">
        <v>58521</v>
      </c>
      <c r="W14186" t="s">
        <v>60945</v>
      </c>
      <c r="X14186" t="s">
        <v>44789</v>
      </c>
    </row>
    <row r="14187" spans="1:24">
      <c r="A14187">
        <f>HYPERLINK("https://www.philgeps.gov.ph/GEPSNONPILOT/Tender/SplashBidNoticeAbstractUI.aspx?menuIndex=3&amp;refID=7091360&amp;Result=3","7091360")</f>
        <v>0</v>
      </c>
      <c r="B14187" t="s">
        <v>438</v>
      </c>
      <c r="C14187" t="s">
        <v>17259</v>
      </c>
      <c r="D14187" t="s">
        <v>18027</v>
      </c>
      <c r="E14187" t="s">
        <v>30270</v>
      </c>
      <c r="F14187" t="s">
        <v>30900</v>
      </c>
      <c r="G14187" t="s">
        <v>30907</v>
      </c>
      <c r="H14187" t="s">
        <v>30915</v>
      </c>
      <c r="I14187" t="s">
        <v>30919</v>
      </c>
      <c r="J14187" t="s">
        <v>31214</v>
      </c>
      <c r="K14187" t="s">
        <v>40354</v>
      </c>
      <c r="M14187" t="s">
        <v>40995</v>
      </c>
      <c r="N14187" t="s">
        <v>44759</v>
      </c>
      <c r="O14187" t="s">
        <v>44760</v>
      </c>
      <c r="P14187">
        <v>0</v>
      </c>
      <c r="Q14187">
        <v>0</v>
      </c>
      <c r="R14187" t="s">
        <v>44789</v>
      </c>
      <c r="S14187" t="s">
        <v>45970</v>
      </c>
      <c r="T14187" t="s">
        <v>46641</v>
      </c>
      <c r="U14187" t="s">
        <v>58522</v>
      </c>
      <c r="W14187" t="s">
        <v>40995</v>
      </c>
      <c r="X14187" t="s">
        <v>44790</v>
      </c>
    </row>
    <row r="14188" spans="1:24">
      <c r="A14188">
        <f>HYPERLINK("https://www.philgeps.gov.ph/GEPSNONPILOT/Tender/SplashBidNoticeAbstractUI.aspx?menuIndex=3&amp;refID=7091066&amp;Result=3","7091066")</f>
        <v>0</v>
      </c>
      <c r="B14188" t="s">
        <v>2420</v>
      </c>
      <c r="C14188" t="s">
        <v>17260</v>
      </c>
      <c r="D14188" t="s">
        <v>17988</v>
      </c>
      <c r="E14188" t="s">
        <v>30271</v>
      </c>
      <c r="F14188" t="s">
        <v>30900</v>
      </c>
      <c r="G14188" t="s">
        <v>30907</v>
      </c>
      <c r="H14188" t="s">
        <v>30915</v>
      </c>
      <c r="I14188" t="s">
        <v>30919</v>
      </c>
      <c r="J14188" t="s">
        <v>39834</v>
      </c>
      <c r="K14188" t="s">
        <v>40280</v>
      </c>
      <c r="M14188" t="s">
        <v>43177</v>
      </c>
      <c r="N14188" t="s">
        <v>44759</v>
      </c>
      <c r="O14188" t="s">
        <v>44760</v>
      </c>
      <c r="Q14188">
        <v>1</v>
      </c>
      <c r="R14188" t="s">
        <v>44789</v>
      </c>
      <c r="S14188" t="s">
        <v>45359</v>
      </c>
      <c r="T14188" t="s">
        <v>46457</v>
      </c>
      <c r="U14188" t="s">
        <v>58523</v>
      </c>
      <c r="W14188" t="s">
        <v>43177</v>
      </c>
      <c r="X14188" t="s">
        <v>44790</v>
      </c>
    </row>
    <row r="14189" spans="1:24">
      <c r="A14189">
        <f>HYPERLINK("https://www.philgeps.gov.ph/GEPSNONPILOT/Tender/SplashBidNoticeAbstractUI.aspx?menuIndex=3&amp;refID=7096012&amp;Result=3","7096012")</f>
        <v>0</v>
      </c>
      <c r="B14189" t="s">
        <v>3707</v>
      </c>
      <c r="C14189" t="s">
        <v>17261</v>
      </c>
      <c r="D14189" t="s">
        <v>17986</v>
      </c>
      <c r="E14189" t="s">
        <v>26160</v>
      </c>
      <c r="F14189" t="s">
        <v>30900</v>
      </c>
      <c r="G14189" t="s">
        <v>30907</v>
      </c>
      <c r="H14189" t="s">
        <v>30916</v>
      </c>
      <c r="I14189" t="s">
        <v>30922</v>
      </c>
      <c r="J14189" t="s">
        <v>39835</v>
      </c>
      <c r="K14189" t="s">
        <v>40284</v>
      </c>
      <c r="M14189" t="s">
        <v>44674</v>
      </c>
      <c r="N14189" t="s">
        <v>44759</v>
      </c>
      <c r="O14189" t="s">
        <v>44760</v>
      </c>
      <c r="P14189">
        <v>0</v>
      </c>
      <c r="Q14189">
        <v>0</v>
      </c>
      <c r="R14189" t="s">
        <v>44788</v>
      </c>
      <c r="S14189" t="s">
        <v>45955</v>
      </c>
      <c r="T14189" t="s">
        <v>46531</v>
      </c>
      <c r="U14189" t="s">
        <v>58524</v>
      </c>
      <c r="W14189" t="s">
        <v>44674</v>
      </c>
      <c r="X14189" t="s">
        <v>44789</v>
      </c>
    </row>
    <row r="14190" spans="1:24">
      <c r="A14190">
        <f>HYPERLINK("https://www.philgeps.gov.ph/GEPSNONPILOT/Tender/SplashBidNoticeAbstractUI.aspx?menuIndex=3&amp;refID=7090985&amp;Result=3","7090985")</f>
        <v>0</v>
      </c>
      <c r="B14190" t="s">
        <v>2420</v>
      </c>
      <c r="C14190" t="s">
        <v>17262</v>
      </c>
      <c r="D14190" t="s">
        <v>17988</v>
      </c>
      <c r="E14190" t="s">
        <v>30272</v>
      </c>
      <c r="F14190" t="s">
        <v>30900</v>
      </c>
      <c r="G14190" t="s">
        <v>30907</v>
      </c>
      <c r="H14190" t="s">
        <v>30915</v>
      </c>
      <c r="I14190" t="s">
        <v>30919</v>
      </c>
      <c r="J14190" t="s">
        <v>39836</v>
      </c>
      <c r="K14190" t="s">
        <v>40354</v>
      </c>
      <c r="M14190" t="s">
        <v>43177</v>
      </c>
      <c r="N14190" t="s">
        <v>44759</v>
      </c>
      <c r="O14190" t="s">
        <v>44760</v>
      </c>
      <c r="Q14190">
        <v>1</v>
      </c>
      <c r="R14190" t="s">
        <v>44789</v>
      </c>
      <c r="S14190" t="s">
        <v>45971</v>
      </c>
      <c r="T14190" t="s">
        <v>46457</v>
      </c>
      <c r="U14190" t="s">
        <v>58525</v>
      </c>
      <c r="W14190" t="s">
        <v>43177</v>
      </c>
      <c r="X14190" t="s">
        <v>44790</v>
      </c>
    </row>
    <row r="14191" spans="1:24">
      <c r="A14191">
        <f>HYPERLINK("https://www.philgeps.gov.ph/GEPSNONPILOT/Tender/SplashBidNoticeAbstractUI.aspx?menuIndex=3&amp;refID=7090550&amp;Result=3","7090550")</f>
        <v>0</v>
      </c>
      <c r="B14191" t="s">
        <v>56</v>
      </c>
      <c r="C14191" t="s">
        <v>17263</v>
      </c>
      <c r="D14191" t="s">
        <v>17952</v>
      </c>
      <c r="E14191" t="s">
        <v>30273</v>
      </c>
      <c r="F14191" t="s">
        <v>30900</v>
      </c>
      <c r="G14191" t="s">
        <v>30907</v>
      </c>
      <c r="H14191" t="s">
        <v>30916</v>
      </c>
      <c r="I14191" t="s">
        <v>4545</v>
      </c>
      <c r="J14191" t="s">
        <v>35824</v>
      </c>
      <c r="K14191" t="s">
        <v>40294</v>
      </c>
      <c r="M14191" t="s">
        <v>43052</v>
      </c>
      <c r="N14191" t="s">
        <v>44759</v>
      </c>
      <c r="O14191" t="s">
        <v>44760</v>
      </c>
      <c r="Q14191">
        <v>2</v>
      </c>
      <c r="R14191" t="s">
        <v>44789</v>
      </c>
      <c r="S14191" t="s">
        <v>45972</v>
      </c>
      <c r="T14191" t="s">
        <v>46418</v>
      </c>
      <c r="U14191" t="s">
        <v>58526</v>
      </c>
      <c r="W14191" t="s">
        <v>43052</v>
      </c>
      <c r="X14191" t="s">
        <v>44791</v>
      </c>
    </row>
    <row r="14192" spans="1:24">
      <c r="A14192">
        <f>HYPERLINK("https://www.philgeps.gov.ph/GEPSNONPILOT/Tender/SplashBidNoticeAbstractUI.aspx?menuIndex=3&amp;refID=7089116&amp;Result=3","7089116")</f>
        <v>0</v>
      </c>
      <c r="B14192" t="s">
        <v>3305</v>
      </c>
      <c r="C14192" t="s">
        <v>17264</v>
      </c>
      <c r="D14192" t="s">
        <v>18023</v>
      </c>
      <c r="E14192" t="s">
        <v>30274</v>
      </c>
      <c r="F14192" t="s">
        <v>30899</v>
      </c>
      <c r="G14192" t="s">
        <v>30907</v>
      </c>
      <c r="H14192" t="s">
        <v>30916</v>
      </c>
      <c r="I14192" t="s">
        <v>30933</v>
      </c>
      <c r="J14192" t="s">
        <v>39837</v>
      </c>
      <c r="K14192" t="s">
        <v>40286</v>
      </c>
      <c r="M14192" t="s">
        <v>44156</v>
      </c>
      <c r="N14192" t="s">
        <v>44759</v>
      </c>
      <c r="O14192" t="s">
        <v>44760</v>
      </c>
      <c r="P14192">
        <v>0</v>
      </c>
      <c r="Q14192">
        <v>1</v>
      </c>
      <c r="R14192" t="s">
        <v>44789</v>
      </c>
      <c r="S14192" t="s">
        <v>45970</v>
      </c>
      <c r="T14192" t="s">
        <v>46383</v>
      </c>
      <c r="U14192" t="s">
        <v>58527</v>
      </c>
      <c r="V14192" t="s">
        <v>60724</v>
      </c>
      <c r="W14192" t="s">
        <v>44156</v>
      </c>
      <c r="X14192" t="s">
        <v>44791</v>
      </c>
    </row>
    <row r="14193" spans="1:24">
      <c r="A14193">
        <f>HYPERLINK("https://www.philgeps.gov.ph/GEPSNONPILOT/Tender/SplashBidNoticeAbstractUI.aspx?menuIndex=3&amp;refID=7087546&amp;Result=3","7087546")</f>
        <v>0</v>
      </c>
      <c r="B14193" t="s">
        <v>2930</v>
      </c>
      <c r="C14193" t="s">
        <v>17265</v>
      </c>
      <c r="D14193" t="s">
        <v>17985</v>
      </c>
      <c r="E14193" t="s">
        <v>30275</v>
      </c>
      <c r="F14193" t="s">
        <v>30900</v>
      </c>
      <c r="G14193" t="s">
        <v>30907</v>
      </c>
      <c r="H14193" t="s">
        <v>30915</v>
      </c>
      <c r="I14193" t="s">
        <v>30919</v>
      </c>
      <c r="J14193" t="s">
        <v>39838</v>
      </c>
      <c r="K14193" t="s">
        <v>40364</v>
      </c>
      <c r="M14193" t="s">
        <v>43726</v>
      </c>
      <c r="N14193" t="s">
        <v>44759</v>
      </c>
      <c r="O14193" t="s">
        <v>44760</v>
      </c>
      <c r="P14193">
        <v>0</v>
      </c>
      <c r="Q14193">
        <v>2</v>
      </c>
      <c r="R14193" t="s">
        <v>44789</v>
      </c>
      <c r="S14193" t="s">
        <v>45970</v>
      </c>
      <c r="T14193" t="s">
        <v>46387</v>
      </c>
      <c r="U14193" t="s">
        <v>58528</v>
      </c>
      <c r="W14193" t="s">
        <v>43726</v>
      </c>
      <c r="X14193" t="s">
        <v>44793</v>
      </c>
    </row>
    <row r="14194" spans="1:24">
      <c r="A14194">
        <f>HYPERLINK("https://www.philgeps.gov.ph/GEPSNONPILOT/Tender/SplashBidNoticeAbstractUI.aspx?menuIndex=3&amp;refID=7087540&amp;Result=3","7087540")</f>
        <v>0</v>
      </c>
      <c r="B14194" t="s">
        <v>2930</v>
      </c>
      <c r="C14194" t="s">
        <v>17266</v>
      </c>
      <c r="D14194" t="s">
        <v>17985</v>
      </c>
      <c r="E14194" t="s">
        <v>30276</v>
      </c>
      <c r="F14194" t="s">
        <v>30900</v>
      </c>
      <c r="G14194" t="s">
        <v>30907</v>
      </c>
      <c r="H14194" t="s">
        <v>30915</v>
      </c>
      <c r="I14194" t="s">
        <v>30919</v>
      </c>
      <c r="J14194" t="s">
        <v>39839</v>
      </c>
      <c r="K14194" t="s">
        <v>40301</v>
      </c>
      <c r="M14194" t="s">
        <v>43726</v>
      </c>
      <c r="N14194" t="s">
        <v>44759</v>
      </c>
      <c r="O14194" t="s">
        <v>44760</v>
      </c>
      <c r="P14194">
        <v>0</v>
      </c>
      <c r="Q14194">
        <v>4</v>
      </c>
      <c r="R14194" t="s">
        <v>44789</v>
      </c>
      <c r="S14194" t="s">
        <v>45970</v>
      </c>
      <c r="T14194" t="s">
        <v>46387</v>
      </c>
      <c r="U14194" t="s">
        <v>58529</v>
      </c>
      <c r="W14194" t="s">
        <v>43726</v>
      </c>
      <c r="X14194" t="s">
        <v>44793</v>
      </c>
    </row>
    <row r="14195" spans="1:24">
      <c r="A14195">
        <f>HYPERLINK("https://www.philgeps.gov.ph/GEPSNONPILOT/Tender/SplashBidNoticeAbstractUI.aspx?menuIndex=3&amp;refID=7087533&amp;Result=3","7087533")</f>
        <v>0</v>
      </c>
      <c r="B14195" t="s">
        <v>2930</v>
      </c>
      <c r="C14195" t="s">
        <v>17267</v>
      </c>
      <c r="D14195" t="s">
        <v>17985</v>
      </c>
      <c r="E14195" t="s">
        <v>30277</v>
      </c>
      <c r="F14195" t="s">
        <v>30900</v>
      </c>
      <c r="G14195" t="s">
        <v>30907</v>
      </c>
      <c r="H14195" t="s">
        <v>30915</v>
      </c>
      <c r="I14195" t="s">
        <v>30919</v>
      </c>
      <c r="J14195" t="s">
        <v>39840</v>
      </c>
      <c r="K14195" t="s">
        <v>40286</v>
      </c>
      <c r="M14195" t="s">
        <v>43726</v>
      </c>
      <c r="N14195" t="s">
        <v>44759</v>
      </c>
      <c r="O14195" t="s">
        <v>44760</v>
      </c>
      <c r="P14195">
        <v>0</v>
      </c>
      <c r="Q14195">
        <v>2</v>
      </c>
      <c r="R14195" t="s">
        <v>44789</v>
      </c>
      <c r="S14195" t="s">
        <v>45970</v>
      </c>
      <c r="T14195" t="s">
        <v>46387</v>
      </c>
      <c r="U14195" t="s">
        <v>58530</v>
      </c>
      <c r="W14195" t="s">
        <v>43726</v>
      </c>
      <c r="X14195" t="s">
        <v>44793</v>
      </c>
    </row>
    <row r="14196" spans="1:24">
      <c r="A14196">
        <f>HYPERLINK("https://www.philgeps.gov.ph/GEPSNONPILOT/Tender/SplashBidNoticeAbstractUI.aspx?menuIndex=3&amp;refID=7097236&amp;Result=3","7097236")</f>
        <v>0</v>
      </c>
      <c r="B14196" t="s">
        <v>1129</v>
      </c>
      <c r="C14196" t="s">
        <v>17268</v>
      </c>
      <c r="D14196" t="s">
        <v>17959</v>
      </c>
      <c r="E14196" t="s">
        <v>30278</v>
      </c>
      <c r="F14196" t="s">
        <v>30900</v>
      </c>
      <c r="G14196" t="s">
        <v>30908</v>
      </c>
      <c r="H14196" t="s">
        <v>30916</v>
      </c>
      <c r="I14196" t="s">
        <v>30942</v>
      </c>
      <c r="J14196" t="s">
        <v>31101</v>
      </c>
      <c r="K14196" t="s">
        <v>40289</v>
      </c>
      <c r="M14196" t="s">
        <v>41731</v>
      </c>
      <c r="N14196" t="s">
        <v>44759</v>
      </c>
      <c r="O14196" t="s">
        <v>44760</v>
      </c>
      <c r="Q14196">
        <v>0</v>
      </c>
      <c r="R14196" t="s">
        <v>44788</v>
      </c>
      <c r="S14196" t="s">
        <v>45973</v>
      </c>
      <c r="T14196" t="s">
        <v>46457</v>
      </c>
      <c r="U14196" t="s">
        <v>58531</v>
      </c>
      <c r="W14196" t="s">
        <v>41731</v>
      </c>
      <c r="X14196" t="s">
        <v>44789</v>
      </c>
    </row>
    <row r="14197" spans="1:24">
      <c r="A14197">
        <f>HYPERLINK("https://www.philgeps.gov.ph/GEPSNONPILOT/Tender/SplashBidNoticeAbstractUI.aspx?menuIndex=3&amp;refID=7095848&amp;Result=3","7095848")</f>
        <v>0</v>
      </c>
      <c r="B14197" t="s">
        <v>331</v>
      </c>
      <c r="C14197" t="s">
        <v>17269</v>
      </c>
      <c r="D14197" t="s">
        <v>18004</v>
      </c>
      <c r="E14197" t="s">
        <v>30279</v>
      </c>
      <c r="F14197" t="s">
        <v>30900</v>
      </c>
      <c r="G14197" t="s">
        <v>30908</v>
      </c>
      <c r="H14197" t="s">
        <v>30916</v>
      </c>
      <c r="I14197" t="s">
        <v>4142</v>
      </c>
      <c r="J14197" t="s">
        <v>39841</v>
      </c>
      <c r="K14197" t="s">
        <v>40292</v>
      </c>
      <c r="M14197" t="s">
        <v>40882</v>
      </c>
      <c r="N14197" t="s">
        <v>44759</v>
      </c>
      <c r="O14197" t="s">
        <v>44760</v>
      </c>
      <c r="P14197">
        <v>0</v>
      </c>
      <c r="Q14197">
        <v>1</v>
      </c>
      <c r="R14197" t="s">
        <v>44788</v>
      </c>
      <c r="S14197" t="s">
        <v>45955</v>
      </c>
      <c r="T14197" t="s">
        <v>46533</v>
      </c>
      <c r="U14197" t="s">
        <v>47469</v>
      </c>
      <c r="W14197" t="s">
        <v>40882</v>
      </c>
      <c r="X14197" t="s">
        <v>44789</v>
      </c>
    </row>
    <row r="14198" spans="1:24">
      <c r="A14198">
        <f>HYPERLINK("https://www.philgeps.gov.ph/GEPSNONPILOT/Tender/SplashBidNoticeAbstractUI.aspx?menuIndex=3&amp;refID=7097194&amp;Result=3","7097194")</f>
        <v>0</v>
      </c>
      <c r="B14198" t="s">
        <v>3712</v>
      </c>
      <c r="C14198" t="s">
        <v>17270</v>
      </c>
      <c r="D14198" t="s">
        <v>17973</v>
      </c>
      <c r="E14198" t="s">
        <v>19215</v>
      </c>
      <c r="F14198" t="s">
        <v>30900</v>
      </c>
      <c r="G14198" t="s">
        <v>30907</v>
      </c>
      <c r="H14198" t="s">
        <v>30915</v>
      </c>
      <c r="I14198" t="s">
        <v>30946</v>
      </c>
      <c r="J14198" t="s">
        <v>31135</v>
      </c>
      <c r="K14198" t="s">
        <v>40286</v>
      </c>
      <c r="M14198" t="s">
        <v>44679</v>
      </c>
      <c r="N14198" t="s">
        <v>44759</v>
      </c>
      <c r="O14198" t="s">
        <v>44760</v>
      </c>
      <c r="P14198">
        <v>0</v>
      </c>
      <c r="Q14198">
        <v>0</v>
      </c>
      <c r="R14198" t="s">
        <v>44788</v>
      </c>
      <c r="S14198" t="s">
        <v>45955</v>
      </c>
      <c r="T14198" t="s">
        <v>46411</v>
      </c>
      <c r="U14198" t="s">
        <v>58532</v>
      </c>
      <c r="V14198" t="s">
        <v>60725</v>
      </c>
      <c r="W14198" t="s">
        <v>44679</v>
      </c>
      <c r="X14198" t="s">
        <v>44789</v>
      </c>
    </row>
    <row r="14199" spans="1:24">
      <c r="A14199">
        <f>HYPERLINK("https://www.philgeps.gov.ph/GEPSNONPILOT/Tender/SplashBidNoticeAbstractUI.aspx?menuIndex=3&amp;refID=7097187&amp;Result=3","7097187")</f>
        <v>0</v>
      </c>
      <c r="B14199" t="s">
        <v>3712</v>
      </c>
      <c r="C14199" t="s">
        <v>17271</v>
      </c>
      <c r="D14199" t="s">
        <v>17973</v>
      </c>
      <c r="E14199" t="s">
        <v>20058</v>
      </c>
      <c r="F14199" t="s">
        <v>30900</v>
      </c>
      <c r="G14199" t="s">
        <v>30907</v>
      </c>
      <c r="H14199" t="s">
        <v>30915</v>
      </c>
      <c r="I14199" t="s">
        <v>8123</v>
      </c>
      <c r="J14199" t="s">
        <v>31522</v>
      </c>
      <c r="K14199" t="s">
        <v>40286</v>
      </c>
      <c r="M14199" t="s">
        <v>44679</v>
      </c>
      <c r="N14199" t="s">
        <v>44759</v>
      </c>
      <c r="O14199" t="s">
        <v>44760</v>
      </c>
      <c r="P14199">
        <v>0</v>
      </c>
      <c r="Q14199">
        <v>0</v>
      </c>
      <c r="R14199" t="s">
        <v>44788</v>
      </c>
      <c r="S14199" t="s">
        <v>45955</v>
      </c>
      <c r="T14199" t="s">
        <v>46411</v>
      </c>
      <c r="U14199" t="s">
        <v>58533</v>
      </c>
      <c r="V14199" t="s">
        <v>58533</v>
      </c>
      <c r="W14199" t="s">
        <v>44679</v>
      </c>
      <c r="X14199" t="s">
        <v>44789</v>
      </c>
    </row>
    <row r="14200" spans="1:24">
      <c r="A14200">
        <f>HYPERLINK("https://www.philgeps.gov.ph/GEPSNONPILOT/Tender/SplashBidNoticeAbstractUI.aspx?menuIndex=3&amp;refID=7087548&amp;Result=3","7087548")</f>
        <v>0</v>
      </c>
      <c r="B14200" t="s">
        <v>2930</v>
      </c>
      <c r="C14200" t="s">
        <v>17272</v>
      </c>
      <c r="D14200" t="s">
        <v>17985</v>
      </c>
      <c r="E14200" t="s">
        <v>30280</v>
      </c>
      <c r="F14200" t="s">
        <v>30900</v>
      </c>
      <c r="G14200" t="s">
        <v>30907</v>
      </c>
      <c r="H14200" t="s">
        <v>30915</v>
      </c>
      <c r="I14200" t="s">
        <v>30919</v>
      </c>
      <c r="J14200" t="s">
        <v>39842</v>
      </c>
      <c r="K14200" t="s">
        <v>40392</v>
      </c>
      <c r="M14200" t="s">
        <v>43726</v>
      </c>
      <c r="N14200" t="s">
        <v>44759</v>
      </c>
      <c r="O14200" t="s">
        <v>44760</v>
      </c>
      <c r="P14200">
        <v>0</v>
      </c>
      <c r="Q14200">
        <v>2</v>
      </c>
      <c r="R14200" t="s">
        <v>44789</v>
      </c>
      <c r="S14200" t="s">
        <v>45970</v>
      </c>
      <c r="T14200" t="s">
        <v>46387</v>
      </c>
      <c r="U14200" t="s">
        <v>58534</v>
      </c>
      <c r="W14200" t="s">
        <v>43726</v>
      </c>
      <c r="X14200" t="s">
        <v>44793</v>
      </c>
    </row>
    <row r="14201" spans="1:24">
      <c r="A14201">
        <f>HYPERLINK("https://www.philgeps.gov.ph/GEPSNONPILOT/Tender/SplashBidNoticeAbstractUI.aspx?menuIndex=3&amp;refID=7096865&amp;Result=3","7096865")</f>
        <v>0</v>
      </c>
      <c r="B14201" t="s">
        <v>1153</v>
      </c>
      <c r="C14201" t="s">
        <v>17273</v>
      </c>
      <c r="E14201" t="s">
        <v>30281</v>
      </c>
      <c r="F14201" t="s">
        <v>30900</v>
      </c>
      <c r="G14201" t="s">
        <v>30907</v>
      </c>
      <c r="H14201" t="s">
        <v>30917</v>
      </c>
      <c r="I14201" t="s">
        <v>31006</v>
      </c>
      <c r="J14201" t="s">
        <v>39843</v>
      </c>
      <c r="K14201" t="s">
        <v>40332</v>
      </c>
      <c r="M14201" t="s">
        <v>43035</v>
      </c>
      <c r="N14201" t="s">
        <v>44759</v>
      </c>
      <c r="O14201" t="s">
        <v>44760</v>
      </c>
      <c r="Q14201">
        <v>8</v>
      </c>
      <c r="R14201" t="s">
        <v>44788</v>
      </c>
      <c r="S14201" t="s">
        <v>45974</v>
      </c>
      <c r="T14201" t="s">
        <v>46612</v>
      </c>
      <c r="U14201" t="s">
        <v>52464</v>
      </c>
      <c r="W14201" t="s">
        <v>43035</v>
      </c>
      <c r="X14201" t="s">
        <v>44789</v>
      </c>
    </row>
    <row r="14202" spans="1:24">
      <c r="A14202">
        <f>HYPERLINK("https://www.philgeps.gov.ph/GEPSNONPILOT/Tender/SplashBidNoticeAbstractUI.aspx?menuIndex=3&amp;refID=7097171&amp;Result=3","7097171")</f>
        <v>0</v>
      </c>
      <c r="B14202" t="s">
        <v>3712</v>
      </c>
      <c r="C14202" t="s">
        <v>17274</v>
      </c>
      <c r="D14202" t="s">
        <v>17973</v>
      </c>
      <c r="E14202" t="s">
        <v>18493</v>
      </c>
      <c r="F14202" t="s">
        <v>30900</v>
      </c>
      <c r="G14202" t="s">
        <v>30907</v>
      </c>
      <c r="H14202" t="s">
        <v>30915</v>
      </c>
      <c r="I14202" t="s">
        <v>30919</v>
      </c>
      <c r="J14202" t="s">
        <v>31049</v>
      </c>
      <c r="K14202" t="s">
        <v>40286</v>
      </c>
      <c r="M14202" t="s">
        <v>44679</v>
      </c>
      <c r="N14202" t="s">
        <v>44759</v>
      </c>
      <c r="O14202" t="s">
        <v>44760</v>
      </c>
      <c r="P14202">
        <v>0</v>
      </c>
      <c r="Q14202">
        <v>0</v>
      </c>
      <c r="R14202" t="s">
        <v>44788</v>
      </c>
      <c r="S14202" t="s">
        <v>45955</v>
      </c>
      <c r="T14202" t="s">
        <v>46411</v>
      </c>
      <c r="U14202" t="s">
        <v>58535</v>
      </c>
      <c r="V14202" t="s">
        <v>60726</v>
      </c>
      <c r="W14202" t="s">
        <v>44679</v>
      </c>
      <c r="X14202" t="s">
        <v>44789</v>
      </c>
    </row>
    <row r="14203" spans="1:24">
      <c r="A14203">
        <f>HYPERLINK("https://www.philgeps.gov.ph/GEPSNONPILOT/Tender/SplashBidNoticeAbstractUI.aspx?menuIndex=3&amp;refID=7096704&amp;Result=3","7096704")</f>
        <v>0</v>
      </c>
      <c r="B14203" t="s">
        <v>1004</v>
      </c>
      <c r="C14203" t="s">
        <v>17275</v>
      </c>
      <c r="D14203" t="s">
        <v>17959</v>
      </c>
      <c r="E14203" t="s">
        <v>30282</v>
      </c>
      <c r="F14203" t="s">
        <v>30900</v>
      </c>
      <c r="G14203" t="s">
        <v>30910</v>
      </c>
      <c r="H14203" t="s">
        <v>30916</v>
      </c>
      <c r="I14203" t="s">
        <v>30927</v>
      </c>
      <c r="J14203" t="s">
        <v>39844</v>
      </c>
      <c r="K14203" t="s">
        <v>40283</v>
      </c>
      <c r="M14203" t="s">
        <v>44680</v>
      </c>
      <c r="N14203" t="s">
        <v>44759</v>
      </c>
      <c r="O14203" t="s">
        <v>44760</v>
      </c>
      <c r="Q14203">
        <v>9</v>
      </c>
      <c r="R14203" t="s">
        <v>44788</v>
      </c>
      <c r="S14203" t="s">
        <v>45975</v>
      </c>
      <c r="T14203" t="s">
        <v>46625</v>
      </c>
      <c r="U14203" t="s">
        <v>58536</v>
      </c>
      <c r="V14203" t="s">
        <v>60727</v>
      </c>
      <c r="W14203" t="s">
        <v>44680</v>
      </c>
      <c r="X14203" t="s">
        <v>44789</v>
      </c>
    </row>
    <row r="14204" spans="1:24">
      <c r="A14204">
        <f>HYPERLINK("https://www.philgeps.gov.ph/GEPSNONPILOT/Tender/SplashBidNoticeAbstractUI.aspx?menuIndex=3&amp;refID=7077595&amp;Result=3","7077595")</f>
        <v>0</v>
      </c>
      <c r="B14204" t="s">
        <v>331</v>
      </c>
      <c r="C14204" t="s">
        <v>17276</v>
      </c>
      <c r="D14204" t="s">
        <v>18004</v>
      </c>
      <c r="E14204" t="s">
        <v>30283</v>
      </c>
      <c r="F14204" t="s">
        <v>30900</v>
      </c>
      <c r="G14204" t="s">
        <v>30907</v>
      </c>
      <c r="H14204" t="s">
        <v>30916</v>
      </c>
      <c r="I14204" t="s">
        <v>30947</v>
      </c>
      <c r="J14204" t="s">
        <v>39845</v>
      </c>
      <c r="K14204" t="s">
        <v>40292</v>
      </c>
      <c r="M14204" t="s">
        <v>40882</v>
      </c>
      <c r="N14204" t="s">
        <v>44759</v>
      </c>
      <c r="O14204" t="s">
        <v>44760</v>
      </c>
      <c r="P14204">
        <v>0</v>
      </c>
      <c r="Q14204">
        <v>0</v>
      </c>
      <c r="R14204" t="s">
        <v>44789</v>
      </c>
      <c r="S14204" t="s">
        <v>45970</v>
      </c>
      <c r="T14204" t="s">
        <v>46625</v>
      </c>
      <c r="U14204" t="s">
        <v>57089</v>
      </c>
      <c r="W14204" t="s">
        <v>40882</v>
      </c>
      <c r="X14204" t="s">
        <v>44796</v>
      </c>
    </row>
    <row r="14205" spans="1:24">
      <c r="A14205">
        <f>HYPERLINK("https://www.philgeps.gov.ph/GEPSNONPILOT/Tender/SplashBidNoticeAbstractUI.aspx?menuIndex=3&amp;refID=7095274&amp;Result=3","7095274")</f>
        <v>0</v>
      </c>
      <c r="B14205" t="s">
        <v>3713</v>
      </c>
      <c r="C14205" t="s">
        <v>17277</v>
      </c>
      <c r="D14205" t="s">
        <v>17957</v>
      </c>
      <c r="E14205" t="s">
        <v>29253</v>
      </c>
      <c r="F14205" t="s">
        <v>30900</v>
      </c>
      <c r="G14205" t="s">
        <v>30907</v>
      </c>
      <c r="H14205" t="s">
        <v>30915</v>
      </c>
      <c r="I14205" t="s">
        <v>30971</v>
      </c>
      <c r="J14205" t="s">
        <v>39846</v>
      </c>
      <c r="K14205" t="s">
        <v>40540</v>
      </c>
      <c r="L14205" t="s">
        <v>3713</v>
      </c>
      <c r="M14205" t="s">
        <v>44681</v>
      </c>
      <c r="N14205" t="s">
        <v>44759</v>
      </c>
      <c r="O14205" t="s">
        <v>44760</v>
      </c>
      <c r="P14205">
        <v>0</v>
      </c>
      <c r="Q14205">
        <v>1</v>
      </c>
      <c r="R14205" t="s">
        <v>44788</v>
      </c>
      <c r="S14205" t="s">
        <v>45955</v>
      </c>
      <c r="T14205" t="s">
        <v>46533</v>
      </c>
      <c r="U14205" t="s">
        <v>58537</v>
      </c>
      <c r="V14205" t="s">
        <v>60728</v>
      </c>
      <c r="W14205" t="s">
        <v>44681</v>
      </c>
      <c r="X14205" t="s">
        <v>44789</v>
      </c>
    </row>
    <row r="14206" spans="1:24">
      <c r="A14206">
        <f>HYPERLINK("https://www.philgeps.gov.ph/GEPSNONPILOT/Tender/SplashBidNoticeAbstractUI.aspx?menuIndex=3&amp;refID=7095043&amp;Result=3","7095043")</f>
        <v>0</v>
      </c>
      <c r="B14206" t="s">
        <v>2420</v>
      </c>
      <c r="C14206" t="s">
        <v>17278</v>
      </c>
      <c r="D14206" t="s">
        <v>17988</v>
      </c>
      <c r="E14206" t="s">
        <v>30284</v>
      </c>
      <c r="F14206" t="s">
        <v>30900</v>
      </c>
      <c r="G14206" t="s">
        <v>30907</v>
      </c>
      <c r="H14206" t="s">
        <v>30915</v>
      </c>
      <c r="I14206" t="s">
        <v>30919</v>
      </c>
      <c r="J14206" t="s">
        <v>39847</v>
      </c>
      <c r="K14206" t="s">
        <v>40372</v>
      </c>
      <c r="M14206" t="s">
        <v>43177</v>
      </c>
      <c r="N14206" t="s">
        <v>44759</v>
      </c>
      <c r="O14206" t="s">
        <v>44760</v>
      </c>
      <c r="Q14206">
        <v>1</v>
      </c>
      <c r="R14206" t="s">
        <v>44788</v>
      </c>
      <c r="S14206" t="s">
        <v>45976</v>
      </c>
      <c r="T14206" t="s">
        <v>46457</v>
      </c>
      <c r="U14206" t="s">
        <v>58538</v>
      </c>
      <c r="W14206" t="s">
        <v>43177</v>
      </c>
      <c r="X14206" t="s">
        <v>44789</v>
      </c>
    </row>
    <row r="14207" spans="1:24">
      <c r="A14207">
        <f>HYPERLINK("https://www.philgeps.gov.ph/GEPSNONPILOT/Tender/SplashBidNoticeAbstractUI.aspx?menuIndex=3&amp;refID=7094988&amp;Result=3","7094988")</f>
        <v>0</v>
      </c>
      <c r="B14207" t="s">
        <v>3709</v>
      </c>
      <c r="C14207" t="s">
        <v>17279</v>
      </c>
      <c r="D14207" t="s">
        <v>18014</v>
      </c>
      <c r="E14207" t="s">
        <v>30285</v>
      </c>
      <c r="F14207" t="s">
        <v>30900</v>
      </c>
      <c r="G14207" t="s">
        <v>30907</v>
      </c>
      <c r="H14207" t="s">
        <v>30916</v>
      </c>
      <c r="I14207" t="s">
        <v>30981</v>
      </c>
      <c r="J14207" t="s">
        <v>39848</v>
      </c>
      <c r="K14207" t="s">
        <v>40280</v>
      </c>
      <c r="M14207" t="s">
        <v>44676</v>
      </c>
      <c r="N14207" t="s">
        <v>44759</v>
      </c>
      <c r="O14207" t="s">
        <v>44760</v>
      </c>
      <c r="Q14207">
        <v>8</v>
      </c>
      <c r="R14207" t="s">
        <v>44788</v>
      </c>
      <c r="S14207" t="s">
        <v>45977</v>
      </c>
      <c r="T14207" t="s">
        <v>46414</v>
      </c>
      <c r="U14207" t="s">
        <v>58539</v>
      </c>
      <c r="W14207" t="s">
        <v>44676</v>
      </c>
      <c r="X14207" t="s">
        <v>44789</v>
      </c>
    </row>
    <row r="14208" spans="1:24">
      <c r="A14208">
        <f>HYPERLINK("https://www.philgeps.gov.ph/GEPSNONPILOT/Tender/SplashBidNoticeAbstractUI.aspx?menuIndex=3&amp;refID=7094827&amp;Result=3","7094827")</f>
        <v>0</v>
      </c>
      <c r="B14208" t="s">
        <v>714</v>
      </c>
      <c r="C14208" t="s">
        <v>17280</v>
      </c>
      <c r="E14208" t="s">
        <v>30286</v>
      </c>
      <c r="F14208" t="s">
        <v>30900</v>
      </c>
      <c r="G14208" t="s">
        <v>30907</v>
      </c>
      <c r="H14208" t="s">
        <v>30916</v>
      </c>
      <c r="I14208" t="s">
        <v>30921</v>
      </c>
      <c r="J14208" t="s">
        <v>39849</v>
      </c>
      <c r="K14208" t="s">
        <v>40289</v>
      </c>
      <c r="M14208" t="s">
        <v>41278</v>
      </c>
      <c r="N14208" t="s">
        <v>44759</v>
      </c>
      <c r="O14208" t="s">
        <v>44760</v>
      </c>
      <c r="Q14208">
        <v>9</v>
      </c>
      <c r="R14208" t="s">
        <v>44788</v>
      </c>
      <c r="S14208" t="s">
        <v>45978</v>
      </c>
      <c r="T14208" t="s">
        <v>46459</v>
      </c>
      <c r="U14208" t="s">
        <v>49494</v>
      </c>
      <c r="W14208" t="s">
        <v>41278</v>
      </c>
      <c r="X14208" t="s">
        <v>44789</v>
      </c>
    </row>
    <row r="14209" spans="1:24">
      <c r="A14209">
        <f>HYPERLINK("https://www.philgeps.gov.ph/GEPSNONPILOT/Tender/SplashBidNoticeAbstractUI.aspx?menuIndex=3&amp;refID=7094761&amp;Result=3","7094761")</f>
        <v>0</v>
      </c>
      <c r="B14209" t="s">
        <v>582</v>
      </c>
      <c r="C14209" t="s">
        <v>17281</v>
      </c>
      <c r="D14209" t="s">
        <v>18019</v>
      </c>
      <c r="E14209" t="s">
        <v>30287</v>
      </c>
      <c r="F14209" t="s">
        <v>30900</v>
      </c>
      <c r="G14209" t="s">
        <v>30907</v>
      </c>
      <c r="H14209" t="s">
        <v>30915</v>
      </c>
      <c r="I14209" t="s">
        <v>30919</v>
      </c>
      <c r="J14209" t="s">
        <v>39850</v>
      </c>
      <c r="K14209" t="s">
        <v>40341</v>
      </c>
      <c r="M14209" t="s">
        <v>41144</v>
      </c>
      <c r="N14209" t="s">
        <v>44759</v>
      </c>
      <c r="O14209" t="s">
        <v>44760</v>
      </c>
      <c r="Q14209">
        <v>3</v>
      </c>
      <c r="R14209" t="s">
        <v>44788</v>
      </c>
      <c r="S14209" t="s">
        <v>45979</v>
      </c>
      <c r="T14209" t="s">
        <v>46548</v>
      </c>
      <c r="U14209" t="s">
        <v>58540</v>
      </c>
      <c r="W14209" t="s">
        <v>41144</v>
      </c>
      <c r="X14209" t="s">
        <v>44789</v>
      </c>
    </row>
    <row r="14210" spans="1:24">
      <c r="A14210">
        <f>HYPERLINK("https://www.philgeps.gov.ph/GEPSNONPILOT/Tender/SplashBidNoticeAbstractUI.aspx?menuIndex=3&amp;refID=7096839&amp;Result=3","7096839")</f>
        <v>0</v>
      </c>
      <c r="B14210" t="s">
        <v>1153</v>
      </c>
      <c r="C14210" t="s">
        <v>17282</v>
      </c>
      <c r="E14210" t="s">
        <v>30288</v>
      </c>
      <c r="F14210" t="s">
        <v>30900</v>
      </c>
      <c r="G14210" t="s">
        <v>30907</v>
      </c>
      <c r="H14210" t="s">
        <v>30917</v>
      </c>
      <c r="I14210" t="s">
        <v>31006</v>
      </c>
      <c r="J14210" t="s">
        <v>39851</v>
      </c>
      <c r="K14210" t="s">
        <v>40332</v>
      </c>
      <c r="M14210" t="s">
        <v>43035</v>
      </c>
      <c r="N14210" t="s">
        <v>44759</v>
      </c>
      <c r="O14210" t="s">
        <v>44760</v>
      </c>
      <c r="Q14210">
        <v>13</v>
      </c>
      <c r="R14210" t="s">
        <v>44788</v>
      </c>
      <c r="S14210" t="s">
        <v>45980</v>
      </c>
      <c r="T14210" t="s">
        <v>46725</v>
      </c>
      <c r="U14210" t="s">
        <v>52464</v>
      </c>
      <c r="W14210" t="s">
        <v>43035</v>
      </c>
      <c r="X14210" t="s">
        <v>44789</v>
      </c>
    </row>
    <row r="14211" spans="1:24">
      <c r="A14211">
        <f>HYPERLINK("https://www.philgeps.gov.ph/GEPSNONPILOT/Tender/SplashBidNoticeAbstractUI.aspx?menuIndex=3&amp;refID=7098171&amp;Result=3","7098171")</f>
        <v>0</v>
      </c>
      <c r="B14211" t="s">
        <v>710</v>
      </c>
      <c r="C14211" t="s">
        <v>17283</v>
      </c>
      <c r="E14211" t="s">
        <v>30289</v>
      </c>
      <c r="F14211" t="s">
        <v>30900</v>
      </c>
      <c r="G14211" t="s">
        <v>30907</v>
      </c>
      <c r="H14211" t="s">
        <v>30916</v>
      </c>
      <c r="I14211" t="s">
        <v>5501</v>
      </c>
      <c r="J14211" t="s">
        <v>39852</v>
      </c>
      <c r="K14211" t="s">
        <v>40289</v>
      </c>
      <c r="M14211" t="s">
        <v>41274</v>
      </c>
      <c r="N14211" t="s">
        <v>44759</v>
      </c>
      <c r="O14211" t="s">
        <v>44760</v>
      </c>
      <c r="P14211">
        <v>0</v>
      </c>
      <c r="Q14211">
        <v>5</v>
      </c>
      <c r="R14211" t="s">
        <v>44787</v>
      </c>
      <c r="S14211" t="s">
        <v>45928</v>
      </c>
      <c r="T14211" t="s">
        <v>46531</v>
      </c>
      <c r="U14211" t="s">
        <v>58479</v>
      </c>
      <c r="W14211" t="s">
        <v>41274</v>
      </c>
      <c r="X14211" t="s">
        <v>44788</v>
      </c>
    </row>
    <row r="14212" spans="1:24">
      <c r="A14212">
        <f>HYPERLINK("https://www.philgeps.gov.ph/GEPSNONPILOT/Tender/SplashBidNoticeAbstractUI.aspx?menuIndex=3&amp;refID=7093158&amp;Result=3","7093158")</f>
        <v>0</v>
      </c>
      <c r="B14212" t="s">
        <v>331</v>
      </c>
      <c r="C14212" t="s">
        <v>17284</v>
      </c>
      <c r="D14212" t="s">
        <v>18004</v>
      </c>
      <c r="E14212" t="s">
        <v>30290</v>
      </c>
      <c r="F14212" t="s">
        <v>30900</v>
      </c>
      <c r="G14212" t="s">
        <v>30908</v>
      </c>
      <c r="H14212" t="s">
        <v>30916</v>
      </c>
      <c r="I14212" t="s">
        <v>30949</v>
      </c>
      <c r="J14212" t="s">
        <v>31183</v>
      </c>
      <c r="K14212" t="s">
        <v>40292</v>
      </c>
      <c r="M14212" t="s">
        <v>40882</v>
      </c>
      <c r="N14212" t="s">
        <v>44759</v>
      </c>
      <c r="O14212" t="s">
        <v>44760</v>
      </c>
      <c r="P14212">
        <v>0</v>
      </c>
      <c r="Q14212">
        <v>0</v>
      </c>
      <c r="R14212" t="s">
        <v>44789</v>
      </c>
      <c r="S14212" t="s">
        <v>45970</v>
      </c>
      <c r="T14212" t="s">
        <v>46625</v>
      </c>
      <c r="U14212" t="s">
        <v>47469</v>
      </c>
      <c r="W14212" t="s">
        <v>40882</v>
      </c>
      <c r="X14212" t="s">
        <v>44790</v>
      </c>
    </row>
    <row r="14213" spans="1:24">
      <c r="A14213">
        <f>HYPERLINK("https://www.philgeps.gov.ph/GEPSNONPILOT/Tender/SplashBidNoticeAbstractUI.aspx?menuIndex=3&amp;refID=7096511&amp;Result=3","7096511")</f>
        <v>0</v>
      </c>
      <c r="B14213" t="s">
        <v>788</v>
      </c>
      <c r="C14213" t="s">
        <v>17285</v>
      </c>
      <c r="D14213" t="s">
        <v>17959</v>
      </c>
      <c r="E14213" t="s">
        <v>30291</v>
      </c>
      <c r="F14213" t="s">
        <v>30900</v>
      </c>
      <c r="G14213" t="s">
        <v>30907</v>
      </c>
      <c r="H14213" t="s">
        <v>30916</v>
      </c>
      <c r="I14213" t="s">
        <v>30926</v>
      </c>
      <c r="J14213" t="s">
        <v>39853</v>
      </c>
      <c r="K14213" t="s">
        <v>40289</v>
      </c>
      <c r="M14213" t="s">
        <v>41488</v>
      </c>
      <c r="N14213" t="s">
        <v>44759</v>
      </c>
      <c r="O14213" t="s">
        <v>44760</v>
      </c>
      <c r="Q14213">
        <v>12</v>
      </c>
      <c r="R14213" t="s">
        <v>44788</v>
      </c>
      <c r="S14213" t="s">
        <v>45981</v>
      </c>
      <c r="T14213" t="s">
        <v>46581</v>
      </c>
      <c r="U14213" t="s">
        <v>58541</v>
      </c>
      <c r="V14213" t="s">
        <v>59330</v>
      </c>
      <c r="W14213" t="s">
        <v>41488</v>
      </c>
      <c r="X14213" t="s">
        <v>44789</v>
      </c>
    </row>
    <row r="14214" spans="1:24">
      <c r="A14214">
        <f>HYPERLINK("https://www.philgeps.gov.ph/GEPSNONPILOT/Tender/SplashBidNoticeAbstractUI.aspx?menuIndex=3&amp;refID=7087953&amp;Result=3","7087953")</f>
        <v>0</v>
      </c>
      <c r="B14214" t="s">
        <v>1851</v>
      </c>
      <c r="C14214" t="s">
        <v>17286</v>
      </c>
      <c r="D14214" t="s">
        <v>18040</v>
      </c>
      <c r="E14214" t="s">
        <v>30292</v>
      </c>
      <c r="F14214" t="s">
        <v>30900</v>
      </c>
      <c r="G14214" t="s">
        <v>30907</v>
      </c>
      <c r="H14214" t="s">
        <v>30915</v>
      </c>
      <c r="I14214" t="s">
        <v>8123</v>
      </c>
      <c r="J14214" t="s">
        <v>39854</v>
      </c>
      <c r="K14214" t="s">
        <v>40354</v>
      </c>
      <c r="M14214" t="s">
        <v>42523</v>
      </c>
      <c r="N14214" t="s">
        <v>44759</v>
      </c>
      <c r="O14214" t="s">
        <v>44760</v>
      </c>
      <c r="Q14214">
        <v>3</v>
      </c>
      <c r="R14214" t="s">
        <v>44790</v>
      </c>
      <c r="S14214" t="s">
        <v>44992</v>
      </c>
      <c r="T14214" t="s">
        <v>46450</v>
      </c>
      <c r="U14214" t="s">
        <v>51173</v>
      </c>
      <c r="V14214" t="s">
        <v>60720</v>
      </c>
      <c r="W14214" t="s">
        <v>42523</v>
      </c>
      <c r="X14214" t="s">
        <v>44791</v>
      </c>
    </row>
    <row r="14215" spans="1:24">
      <c r="A14215">
        <f>HYPERLINK("https://www.philgeps.gov.ph/GEPSNONPILOT/Tender/SplashBidNoticeAbstractUI.aspx?menuIndex=3&amp;refID=7094793&amp;Result=3","7094793")</f>
        <v>0</v>
      </c>
      <c r="B14215" t="s">
        <v>1937</v>
      </c>
      <c r="C14215" t="s">
        <v>17287</v>
      </c>
      <c r="D14215" t="s">
        <v>17961</v>
      </c>
      <c r="E14215" t="s">
        <v>30249</v>
      </c>
      <c r="F14215" t="s">
        <v>30903</v>
      </c>
      <c r="G14215" t="s">
        <v>30913</v>
      </c>
      <c r="H14215" t="s">
        <v>30916</v>
      </c>
      <c r="I14215" t="s">
        <v>30949</v>
      </c>
      <c r="J14215" t="s">
        <v>39855</v>
      </c>
      <c r="K14215" t="s">
        <v>40292</v>
      </c>
      <c r="M14215" t="s">
        <v>42618</v>
      </c>
      <c r="N14215" t="s">
        <v>44759</v>
      </c>
      <c r="O14215" t="s">
        <v>44760</v>
      </c>
      <c r="P14215">
        <v>0</v>
      </c>
      <c r="Q14215">
        <v>17</v>
      </c>
      <c r="R14215" t="s">
        <v>44788</v>
      </c>
      <c r="S14215" t="s">
        <v>45955</v>
      </c>
      <c r="T14215" t="s">
        <v>46409</v>
      </c>
      <c r="U14215" t="s">
        <v>55597</v>
      </c>
      <c r="W14215" t="s">
        <v>42618</v>
      </c>
      <c r="X14215" t="s">
        <v>44789</v>
      </c>
    </row>
    <row r="14216" spans="1:24">
      <c r="A14216">
        <f>HYPERLINK("https://www.philgeps.gov.ph/GEPSNONPILOT/Tender/SplashBidNoticeAbstractUI.aspx?menuIndex=3&amp;refID=7098592&amp;Result=3","7098592")</f>
        <v>0</v>
      </c>
      <c r="B14216" t="s">
        <v>3704</v>
      </c>
      <c r="C14216" t="s">
        <v>17288</v>
      </c>
      <c r="D14216" t="s">
        <v>17977</v>
      </c>
      <c r="E14216" t="s">
        <v>30293</v>
      </c>
      <c r="F14216" t="s">
        <v>30900</v>
      </c>
      <c r="G14216" t="s">
        <v>30907</v>
      </c>
      <c r="H14216" t="s">
        <v>30916</v>
      </c>
      <c r="I14216" t="s">
        <v>4017</v>
      </c>
      <c r="J14216" t="s">
        <v>39856</v>
      </c>
      <c r="K14216" t="s">
        <v>40286</v>
      </c>
      <c r="M14216" t="s">
        <v>44671</v>
      </c>
      <c r="N14216" t="s">
        <v>44759</v>
      </c>
      <c r="O14216" t="s">
        <v>44760</v>
      </c>
      <c r="P14216">
        <v>0</v>
      </c>
      <c r="Q14216">
        <v>16</v>
      </c>
      <c r="R14216" t="s">
        <v>44787</v>
      </c>
      <c r="S14216" t="s">
        <v>45928</v>
      </c>
      <c r="T14216" t="s">
        <v>46541</v>
      </c>
      <c r="U14216" t="s">
        <v>58542</v>
      </c>
      <c r="W14216" t="s">
        <v>44671</v>
      </c>
      <c r="X14216" t="s">
        <v>44788</v>
      </c>
    </row>
    <row r="14217" spans="1:24">
      <c r="A14217">
        <f>HYPERLINK("https://www.philgeps.gov.ph/GEPSNONPILOT/Tender/SplashBidNoticeAbstractUI.aspx?menuIndex=3&amp;refID=7094167&amp;Result=3","7094167")</f>
        <v>0</v>
      </c>
      <c r="B14217" t="s">
        <v>1974</v>
      </c>
      <c r="C14217" t="s">
        <v>17289</v>
      </c>
      <c r="D14217" t="s">
        <v>17985</v>
      </c>
      <c r="E14217" t="s">
        <v>30294</v>
      </c>
      <c r="F14217" t="s">
        <v>30900</v>
      </c>
      <c r="G14217" t="s">
        <v>30906</v>
      </c>
      <c r="H14217" t="s">
        <v>30915</v>
      </c>
      <c r="I14217" t="s">
        <v>30919</v>
      </c>
      <c r="J14217" t="s">
        <v>39857</v>
      </c>
      <c r="K14217" t="s">
        <v>40292</v>
      </c>
      <c r="M14217" t="s">
        <v>43005</v>
      </c>
      <c r="N14217" t="s">
        <v>44759</v>
      </c>
      <c r="O14217" t="s">
        <v>44760</v>
      </c>
      <c r="Q14217">
        <v>4</v>
      </c>
      <c r="R14217" t="s">
        <v>44789</v>
      </c>
      <c r="S14217" t="s">
        <v>45982</v>
      </c>
      <c r="T14217" t="s">
        <v>46369</v>
      </c>
      <c r="U14217" t="s">
        <v>58543</v>
      </c>
      <c r="V14217" t="s">
        <v>60729</v>
      </c>
      <c r="W14217" t="s">
        <v>43005</v>
      </c>
      <c r="X14217" t="s">
        <v>44790</v>
      </c>
    </row>
    <row r="14218" spans="1:24">
      <c r="A14218">
        <f>HYPERLINK("https://www.philgeps.gov.ph/GEPSNONPILOT/Tender/SplashBidNoticeAbstractUI.aspx?menuIndex=3&amp;refID=7094105&amp;Result=3","7094105")</f>
        <v>0</v>
      </c>
      <c r="B14218" t="s">
        <v>1974</v>
      </c>
      <c r="C14218" t="s">
        <v>17290</v>
      </c>
      <c r="D14218" t="s">
        <v>17985</v>
      </c>
      <c r="E14218" t="s">
        <v>30295</v>
      </c>
      <c r="F14218" t="s">
        <v>30900</v>
      </c>
      <c r="G14218" t="s">
        <v>30906</v>
      </c>
      <c r="H14218" t="s">
        <v>30915</v>
      </c>
      <c r="I14218" t="s">
        <v>30919</v>
      </c>
      <c r="J14218" t="s">
        <v>39858</v>
      </c>
      <c r="K14218" t="s">
        <v>40395</v>
      </c>
      <c r="M14218" t="s">
        <v>43005</v>
      </c>
      <c r="N14218" t="s">
        <v>44759</v>
      </c>
      <c r="O14218" t="s">
        <v>44760</v>
      </c>
      <c r="Q14218">
        <v>4</v>
      </c>
      <c r="R14218" t="s">
        <v>44789</v>
      </c>
      <c r="S14218" t="s">
        <v>45983</v>
      </c>
      <c r="T14218" t="s">
        <v>46369</v>
      </c>
      <c r="U14218" t="s">
        <v>58544</v>
      </c>
      <c r="V14218" t="s">
        <v>60729</v>
      </c>
      <c r="W14218" t="s">
        <v>43005</v>
      </c>
      <c r="X14218" t="s">
        <v>44790</v>
      </c>
    </row>
    <row r="14219" spans="1:24">
      <c r="A14219">
        <f>HYPERLINK("https://www.philgeps.gov.ph/GEPSNONPILOT/Tender/SplashBidNoticeAbstractUI.aspx?menuIndex=3&amp;refID=7093123&amp;Result=3","7093123")</f>
        <v>0</v>
      </c>
      <c r="B14219" t="s">
        <v>926</v>
      </c>
      <c r="C14219" t="s">
        <v>17291</v>
      </c>
      <c r="D14219" t="s">
        <v>17999</v>
      </c>
      <c r="E14219" t="s">
        <v>30296</v>
      </c>
      <c r="F14219" t="s">
        <v>30900</v>
      </c>
      <c r="G14219" t="s">
        <v>30907</v>
      </c>
      <c r="H14219" t="s">
        <v>30916</v>
      </c>
      <c r="I14219" t="s">
        <v>5501</v>
      </c>
      <c r="J14219" t="s">
        <v>39859</v>
      </c>
      <c r="K14219" t="s">
        <v>40286</v>
      </c>
      <c r="M14219" t="s">
        <v>42665</v>
      </c>
      <c r="N14219" t="s">
        <v>44759</v>
      </c>
      <c r="O14219" t="s">
        <v>44760</v>
      </c>
      <c r="Q14219">
        <v>5</v>
      </c>
      <c r="R14219" t="s">
        <v>44789</v>
      </c>
      <c r="S14219" t="s">
        <v>45984</v>
      </c>
      <c r="T14219" t="s">
        <v>46383</v>
      </c>
      <c r="U14219" t="s">
        <v>58545</v>
      </c>
      <c r="W14219" t="s">
        <v>42665</v>
      </c>
      <c r="X14219" t="s">
        <v>44790</v>
      </c>
    </row>
    <row r="14220" spans="1:24">
      <c r="A14220">
        <f>HYPERLINK("https://www.philgeps.gov.ph/GEPSNONPILOT/Tender/SplashBidNoticeAbstractUI.aspx?menuIndex=3&amp;refID=7093886&amp;Result=3","7093886")</f>
        <v>0</v>
      </c>
      <c r="B14220" t="s">
        <v>388</v>
      </c>
      <c r="C14220" t="s">
        <v>17292</v>
      </c>
      <c r="D14220" t="s">
        <v>17959</v>
      </c>
      <c r="E14220" t="s">
        <v>30297</v>
      </c>
      <c r="F14220" t="s">
        <v>30900</v>
      </c>
      <c r="G14220" t="s">
        <v>30907</v>
      </c>
      <c r="H14220" t="s">
        <v>30916</v>
      </c>
      <c r="I14220" t="s">
        <v>31018</v>
      </c>
      <c r="J14220" t="s">
        <v>31412</v>
      </c>
      <c r="K14220" t="s">
        <v>40286</v>
      </c>
      <c r="M14220" t="s">
        <v>44682</v>
      </c>
      <c r="N14220" t="s">
        <v>44759</v>
      </c>
      <c r="O14220" t="s">
        <v>44760</v>
      </c>
      <c r="Q14220">
        <v>3</v>
      </c>
      <c r="R14220" t="s">
        <v>44789</v>
      </c>
      <c r="S14220" t="s">
        <v>45580</v>
      </c>
      <c r="T14220" t="s">
        <v>46563</v>
      </c>
      <c r="U14220" t="s">
        <v>58546</v>
      </c>
      <c r="W14220" t="s">
        <v>44682</v>
      </c>
      <c r="X14220" t="s">
        <v>44790</v>
      </c>
    </row>
    <row r="14221" spans="1:24">
      <c r="A14221">
        <f>HYPERLINK("https://www.philgeps.gov.ph/GEPSNONPILOT/Tender/SplashBidNoticeAbstractUI.aspx?menuIndex=3&amp;refID=7087944&amp;Result=3","7087944")</f>
        <v>0</v>
      </c>
      <c r="B14221" t="s">
        <v>1851</v>
      </c>
      <c r="C14221" t="s">
        <v>17293</v>
      </c>
      <c r="D14221" t="s">
        <v>17977</v>
      </c>
      <c r="E14221" t="s">
        <v>30298</v>
      </c>
      <c r="F14221" t="s">
        <v>30900</v>
      </c>
      <c r="G14221" t="s">
        <v>30907</v>
      </c>
      <c r="H14221" t="s">
        <v>30915</v>
      </c>
      <c r="I14221" t="s">
        <v>8123</v>
      </c>
      <c r="J14221" t="s">
        <v>39854</v>
      </c>
      <c r="K14221" t="s">
        <v>40354</v>
      </c>
      <c r="M14221" t="s">
        <v>42523</v>
      </c>
      <c r="N14221" t="s">
        <v>44759</v>
      </c>
      <c r="O14221" t="s">
        <v>44760</v>
      </c>
      <c r="Q14221">
        <v>4</v>
      </c>
      <c r="R14221" t="s">
        <v>44790</v>
      </c>
      <c r="S14221" t="s">
        <v>45985</v>
      </c>
      <c r="T14221" t="s">
        <v>46450</v>
      </c>
      <c r="U14221" t="s">
        <v>51173</v>
      </c>
      <c r="V14221" t="s">
        <v>60720</v>
      </c>
      <c r="W14221" t="s">
        <v>42523</v>
      </c>
      <c r="X14221" t="s">
        <v>44791</v>
      </c>
    </row>
    <row r="14222" spans="1:24">
      <c r="A14222">
        <f>HYPERLINK("https://www.philgeps.gov.ph/GEPSNONPILOT/Tender/SplashBidNoticeAbstractUI.aspx?menuIndex=3&amp;refID=7087939&amp;Result=3","7087939")</f>
        <v>0</v>
      </c>
      <c r="B14222" t="s">
        <v>1851</v>
      </c>
      <c r="C14222" t="s">
        <v>17294</v>
      </c>
      <c r="D14222" t="s">
        <v>17955</v>
      </c>
      <c r="E14222" t="s">
        <v>30299</v>
      </c>
      <c r="F14222" t="s">
        <v>30900</v>
      </c>
      <c r="G14222" t="s">
        <v>30907</v>
      </c>
      <c r="H14222" t="s">
        <v>30915</v>
      </c>
      <c r="I14222" t="s">
        <v>8123</v>
      </c>
      <c r="J14222" t="s">
        <v>39860</v>
      </c>
      <c r="K14222" t="s">
        <v>40280</v>
      </c>
      <c r="M14222" t="s">
        <v>42523</v>
      </c>
      <c r="N14222" t="s">
        <v>44759</v>
      </c>
      <c r="O14222" t="s">
        <v>44760</v>
      </c>
      <c r="Q14222">
        <v>7</v>
      </c>
      <c r="R14222" t="s">
        <v>44790</v>
      </c>
      <c r="S14222" t="s">
        <v>45986</v>
      </c>
      <c r="T14222" t="s">
        <v>46450</v>
      </c>
      <c r="U14222" t="s">
        <v>51173</v>
      </c>
      <c r="V14222" t="s">
        <v>60720</v>
      </c>
      <c r="W14222" t="s">
        <v>42523</v>
      </c>
      <c r="X14222" t="s">
        <v>44791</v>
      </c>
    </row>
    <row r="14223" spans="1:24">
      <c r="A14223">
        <f>HYPERLINK("https://www.philgeps.gov.ph/GEPSNONPILOT/Tender/SplashBidNoticeAbstractUI.aspx?menuIndex=3&amp;refID=7097571&amp;Result=3","7097571")</f>
        <v>0</v>
      </c>
      <c r="B14223" t="s">
        <v>3645</v>
      </c>
      <c r="C14223" t="s">
        <v>17295</v>
      </c>
      <c r="E14223" t="s">
        <v>25856</v>
      </c>
      <c r="F14223" t="s">
        <v>30900</v>
      </c>
      <c r="G14223" t="s">
        <v>30907</v>
      </c>
      <c r="H14223" t="s">
        <v>30917</v>
      </c>
      <c r="I14223" t="s">
        <v>17295</v>
      </c>
      <c r="J14223" t="s">
        <v>31766</v>
      </c>
      <c r="K14223" t="s">
        <v>40410</v>
      </c>
      <c r="M14223" t="s">
        <v>44586</v>
      </c>
      <c r="N14223" t="s">
        <v>44759</v>
      </c>
      <c r="O14223" t="s">
        <v>44760</v>
      </c>
      <c r="Q14223">
        <v>6</v>
      </c>
      <c r="R14223" t="s">
        <v>44787</v>
      </c>
      <c r="S14223" t="s">
        <v>45987</v>
      </c>
      <c r="T14223" t="s">
        <v>46399</v>
      </c>
      <c r="U14223" t="s">
        <v>58019</v>
      </c>
      <c r="V14223" t="s">
        <v>60652</v>
      </c>
      <c r="W14223" t="s">
        <v>44586</v>
      </c>
      <c r="X14223" t="s">
        <v>44788</v>
      </c>
    </row>
    <row r="14224" spans="1:24">
      <c r="A14224">
        <f>HYPERLINK("https://www.philgeps.gov.ph/GEPSNONPILOT/Tender/SplashBidNoticeAbstractUI.aspx?menuIndex=3&amp;refID=7093055&amp;Result=3","7093055")</f>
        <v>0</v>
      </c>
      <c r="B14224" t="s">
        <v>331</v>
      </c>
      <c r="C14224" t="s">
        <v>17296</v>
      </c>
      <c r="D14224" t="s">
        <v>18004</v>
      </c>
      <c r="E14224" t="s">
        <v>30300</v>
      </c>
      <c r="F14224" t="s">
        <v>30900</v>
      </c>
      <c r="G14224" t="s">
        <v>30908</v>
      </c>
      <c r="H14224" t="s">
        <v>30916</v>
      </c>
      <c r="I14224" t="s">
        <v>6953</v>
      </c>
      <c r="J14224" t="s">
        <v>31183</v>
      </c>
      <c r="K14224" t="s">
        <v>40292</v>
      </c>
      <c r="M14224" t="s">
        <v>40882</v>
      </c>
      <c r="N14224" t="s">
        <v>44759</v>
      </c>
      <c r="O14224" t="s">
        <v>44760</v>
      </c>
      <c r="P14224">
        <v>0</v>
      </c>
      <c r="Q14224">
        <v>0</v>
      </c>
      <c r="R14224" t="s">
        <v>44789</v>
      </c>
      <c r="S14224" t="s">
        <v>45970</v>
      </c>
      <c r="T14224" t="s">
        <v>46625</v>
      </c>
      <c r="U14224" t="s">
        <v>47469</v>
      </c>
      <c r="W14224" t="s">
        <v>40882</v>
      </c>
      <c r="X14224" t="s">
        <v>44790</v>
      </c>
    </row>
    <row r="14225" spans="1:24">
      <c r="A14225">
        <f>HYPERLINK("https://www.philgeps.gov.ph/GEPSNONPILOT/Tender/SplashBidNoticeAbstractUI.aspx?menuIndex=3&amp;refID=7092950&amp;Result=3","7092950")</f>
        <v>0</v>
      </c>
      <c r="B14225" t="s">
        <v>1088</v>
      </c>
      <c r="C14225" t="s">
        <v>17297</v>
      </c>
      <c r="E14225" t="s">
        <v>30301</v>
      </c>
      <c r="F14225" t="s">
        <v>30900</v>
      </c>
      <c r="G14225" t="s">
        <v>30907</v>
      </c>
      <c r="H14225" t="s">
        <v>30916</v>
      </c>
      <c r="I14225" t="s">
        <v>30924</v>
      </c>
      <c r="J14225" t="s">
        <v>34659</v>
      </c>
      <c r="K14225" t="s">
        <v>40292</v>
      </c>
      <c r="M14225" t="s">
        <v>44683</v>
      </c>
      <c r="N14225" t="s">
        <v>44759</v>
      </c>
      <c r="O14225" t="s">
        <v>44760</v>
      </c>
      <c r="Q14225">
        <v>13</v>
      </c>
      <c r="R14225" t="s">
        <v>44789</v>
      </c>
      <c r="S14225" t="s">
        <v>45988</v>
      </c>
      <c r="T14225" t="s">
        <v>46418</v>
      </c>
      <c r="U14225" t="s">
        <v>58547</v>
      </c>
      <c r="W14225" t="s">
        <v>44683</v>
      </c>
      <c r="X14225" t="s">
        <v>44790</v>
      </c>
    </row>
    <row r="14226" spans="1:24">
      <c r="A14226">
        <f>HYPERLINK("https://www.philgeps.gov.ph/GEPSNONPILOT/Tender/SplashBidNoticeAbstractUI.aspx?menuIndex=3&amp;refID=7093110&amp;Result=3","7093110")</f>
        <v>0</v>
      </c>
      <c r="B14226" t="s">
        <v>331</v>
      </c>
      <c r="C14226" t="s">
        <v>17298</v>
      </c>
      <c r="D14226" t="s">
        <v>18004</v>
      </c>
      <c r="E14226" t="s">
        <v>30302</v>
      </c>
      <c r="F14226" t="s">
        <v>30900</v>
      </c>
      <c r="G14226" t="s">
        <v>30908</v>
      </c>
      <c r="H14226" t="s">
        <v>30916</v>
      </c>
      <c r="I14226" t="s">
        <v>30983</v>
      </c>
      <c r="J14226" t="s">
        <v>31583</v>
      </c>
      <c r="K14226" t="s">
        <v>40292</v>
      </c>
      <c r="M14226" t="s">
        <v>40882</v>
      </c>
      <c r="N14226" t="s">
        <v>44759</v>
      </c>
      <c r="O14226" t="s">
        <v>44760</v>
      </c>
      <c r="P14226">
        <v>0</v>
      </c>
      <c r="Q14226">
        <v>0</v>
      </c>
      <c r="R14226" t="s">
        <v>44789</v>
      </c>
      <c r="S14226" t="s">
        <v>45970</v>
      </c>
      <c r="T14226" t="s">
        <v>46625</v>
      </c>
      <c r="U14226" t="s">
        <v>47469</v>
      </c>
      <c r="W14226" t="s">
        <v>40882</v>
      </c>
      <c r="X14226" t="s">
        <v>44790</v>
      </c>
    </row>
    <row r="14227" spans="1:24">
      <c r="A14227">
        <f>HYPERLINK("https://www.philgeps.gov.ph/GEPSNONPILOT/Tender/SplashBidNoticeAbstractUI.aspx?menuIndex=3&amp;refID=7092937&amp;Result=3","7092937")</f>
        <v>0</v>
      </c>
      <c r="B14227" t="s">
        <v>1546</v>
      </c>
      <c r="C14227" t="s">
        <v>17299</v>
      </c>
      <c r="D14227" t="s">
        <v>17959</v>
      </c>
      <c r="E14227" t="s">
        <v>30303</v>
      </c>
      <c r="F14227" t="s">
        <v>30900</v>
      </c>
      <c r="G14227" t="s">
        <v>30907</v>
      </c>
      <c r="H14227" t="s">
        <v>30916</v>
      </c>
      <c r="I14227" t="s">
        <v>17295</v>
      </c>
      <c r="J14227" t="s">
        <v>39861</v>
      </c>
      <c r="K14227" t="s">
        <v>40286</v>
      </c>
      <c r="M14227" t="s">
        <v>44684</v>
      </c>
      <c r="N14227" t="s">
        <v>44759</v>
      </c>
      <c r="O14227" t="s">
        <v>44760</v>
      </c>
      <c r="Q14227">
        <v>10</v>
      </c>
      <c r="R14227" t="s">
        <v>44789</v>
      </c>
      <c r="S14227" t="s">
        <v>45989</v>
      </c>
      <c r="T14227" t="s">
        <v>46475</v>
      </c>
      <c r="U14227" t="s">
        <v>58548</v>
      </c>
      <c r="W14227" t="s">
        <v>44684</v>
      </c>
      <c r="X14227" t="s">
        <v>44790</v>
      </c>
    </row>
    <row r="14228" spans="1:24">
      <c r="A14228">
        <f>HYPERLINK("https://www.philgeps.gov.ph/GEPSNONPILOT/Tender/SplashBidNoticeAbstractUI.aspx?menuIndex=3&amp;refID=7092928&amp;Result=3","7092928")</f>
        <v>0</v>
      </c>
      <c r="B14228" t="s">
        <v>926</v>
      </c>
      <c r="C14228" t="s">
        <v>17300</v>
      </c>
      <c r="D14228" t="s">
        <v>17999</v>
      </c>
      <c r="E14228" t="s">
        <v>30304</v>
      </c>
      <c r="F14228" t="s">
        <v>30900</v>
      </c>
      <c r="G14228" t="s">
        <v>30907</v>
      </c>
      <c r="H14228" t="s">
        <v>30916</v>
      </c>
      <c r="I14228" t="s">
        <v>30963</v>
      </c>
      <c r="J14228" t="s">
        <v>39862</v>
      </c>
      <c r="K14228" t="s">
        <v>40286</v>
      </c>
      <c r="M14228" t="s">
        <v>42665</v>
      </c>
      <c r="N14228" t="s">
        <v>44759</v>
      </c>
      <c r="O14228" t="s">
        <v>44760</v>
      </c>
      <c r="Q14228">
        <v>4</v>
      </c>
      <c r="R14228" t="s">
        <v>44789</v>
      </c>
      <c r="S14228" t="s">
        <v>45990</v>
      </c>
      <c r="T14228" t="s">
        <v>46383</v>
      </c>
      <c r="U14228" t="s">
        <v>58549</v>
      </c>
      <c r="W14228" t="s">
        <v>42665</v>
      </c>
      <c r="X14228" t="s">
        <v>44790</v>
      </c>
    </row>
    <row r="14229" spans="1:24">
      <c r="A14229">
        <f>HYPERLINK("https://www.philgeps.gov.ph/GEPSNONPILOT/Tender/SplashBidNoticeAbstractUI.aspx?menuIndex=3&amp;refID=7093844&amp;Result=3","7093844")</f>
        <v>0</v>
      </c>
      <c r="B14229" t="s">
        <v>2164</v>
      </c>
      <c r="C14229" t="s">
        <v>17301</v>
      </c>
      <c r="D14229" t="s">
        <v>17974</v>
      </c>
      <c r="E14229" t="s">
        <v>30305</v>
      </c>
      <c r="F14229" t="s">
        <v>30900</v>
      </c>
      <c r="G14229" t="s">
        <v>30907</v>
      </c>
      <c r="H14229" t="s">
        <v>30915</v>
      </c>
      <c r="I14229" t="s">
        <v>30919</v>
      </c>
      <c r="J14229" t="s">
        <v>39863</v>
      </c>
      <c r="K14229" t="s">
        <v>40304</v>
      </c>
      <c r="M14229" t="s">
        <v>42869</v>
      </c>
      <c r="N14229" t="s">
        <v>44759</v>
      </c>
      <c r="O14229" t="s">
        <v>44760</v>
      </c>
      <c r="Q14229">
        <v>2</v>
      </c>
      <c r="R14229" t="s">
        <v>44789</v>
      </c>
      <c r="S14229" t="s">
        <v>45991</v>
      </c>
      <c r="T14229" t="s">
        <v>46531</v>
      </c>
      <c r="U14229" t="s">
        <v>58550</v>
      </c>
      <c r="V14229" t="s">
        <v>60730</v>
      </c>
      <c r="W14229" t="s">
        <v>42869</v>
      </c>
      <c r="X14229" t="s">
        <v>44790</v>
      </c>
    </row>
    <row r="14230" spans="1:24">
      <c r="A14230">
        <f>HYPERLINK("https://www.philgeps.gov.ph/GEPSNONPILOT/Tender/SplashBidNoticeAbstractUI.aspx?menuIndex=3&amp;refID=7092935&amp;Result=3","7092935")</f>
        <v>0</v>
      </c>
      <c r="B14230" t="s">
        <v>3402</v>
      </c>
      <c r="C14230" t="s">
        <v>17302</v>
      </c>
      <c r="D14230" t="s">
        <v>17995</v>
      </c>
      <c r="E14230" t="s">
        <v>30306</v>
      </c>
      <c r="F14230" t="s">
        <v>30900</v>
      </c>
      <c r="G14230" t="s">
        <v>30907</v>
      </c>
      <c r="H14230" t="s">
        <v>30916</v>
      </c>
      <c r="I14230" t="s">
        <v>30933</v>
      </c>
      <c r="J14230" t="s">
        <v>37062</v>
      </c>
      <c r="K14230" t="s">
        <v>40280</v>
      </c>
      <c r="M14230" t="s">
        <v>44278</v>
      </c>
      <c r="N14230" t="s">
        <v>44759</v>
      </c>
      <c r="O14230" t="s">
        <v>44760</v>
      </c>
      <c r="P14230">
        <v>0</v>
      </c>
      <c r="Q14230">
        <v>3</v>
      </c>
      <c r="R14230" t="s">
        <v>44789</v>
      </c>
      <c r="S14230" t="s">
        <v>45970</v>
      </c>
      <c r="T14230" t="s">
        <v>46531</v>
      </c>
      <c r="U14230" t="s">
        <v>58551</v>
      </c>
      <c r="W14230" t="s">
        <v>44278</v>
      </c>
      <c r="X14230" t="s">
        <v>44790</v>
      </c>
    </row>
    <row r="14231" spans="1:24">
      <c r="A14231">
        <f>HYPERLINK("https://www.philgeps.gov.ph/GEPSNONPILOT/Tender/SplashBidNoticeAbstractUI.aspx?menuIndex=3&amp;refID=7093723&amp;Result=3","7093723")</f>
        <v>0</v>
      </c>
      <c r="B14231" t="s">
        <v>3211</v>
      </c>
      <c r="C14231" t="s">
        <v>17303</v>
      </c>
      <c r="D14231" t="s">
        <v>17959</v>
      </c>
      <c r="E14231" t="s">
        <v>30307</v>
      </c>
      <c r="F14231" t="s">
        <v>30900</v>
      </c>
      <c r="G14231" t="s">
        <v>30906</v>
      </c>
      <c r="H14231" t="s">
        <v>30916</v>
      </c>
      <c r="I14231" t="s">
        <v>30933</v>
      </c>
      <c r="J14231" t="s">
        <v>35570</v>
      </c>
      <c r="K14231" t="s">
        <v>40286</v>
      </c>
      <c r="M14231" t="s">
        <v>44050</v>
      </c>
      <c r="N14231" t="s">
        <v>44759</v>
      </c>
      <c r="O14231" t="s">
        <v>44760</v>
      </c>
      <c r="Q14231">
        <v>9</v>
      </c>
      <c r="R14231" t="s">
        <v>44789</v>
      </c>
      <c r="S14231" t="s">
        <v>45992</v>
      </c>
      <c r="T14231" t="s">
        <v>46351</v>
      </c>
      <c r="U14231" t="s">
        <v>58552</v>
      </c>
      <c r="W14231" t="s">
        <v>44050</v>
      </c>
      <c r="X14231" t="s">
        <v>44790</v>
      </c>
    </row>
    <row r="14232" spans="1:24">
      <c r="A14232">
        <f>HYPERLINK("https://www.philgeps.gov.ph/GEPSNONPILOT/Tender/SplashBidNoticeAbstractUI.aspx?menuIndex=3&amp;refID=7090561&amp;Result=3","7090561")</f>
        <v>0</v>
      </c>
      <c r="B14232" t="s">
        <v>44</v>
      </c>
      <c r="C14232" t="s">
        <v>8326</v>
      </c>
      <c r="D14232" t="s">
        <v>17969</v>
      </c>
      <c r="E14232" t="s">
        <v>30308</v>
      </c>
      <c r="F14232" t="s">
        <v>30900</v>
      </c>
      <c r="G14232" t="s">
        <v>30907</v>
      </c>
      <c r="H14232" t="s">
        <v>30916</v>
      </c>
      <c r="I14232" t="s">
        <v>8123</v>
      </c>
      <c r="J14232" t="s">
        <v>39864</v>
      </c>
      <c r="K14232" t="s">
        <v>40284</v>
      </c>
      <c r="M14232" t="s">
        <v>40590</v>
      </c>
      <c r="N14232" t="s">
        <v>44759</v>
      </c>
      <c r="O14232" t="s">
        <v>44760</v>
      </c>
      <c r="P14232">
        <v>0</v>
      </c>
      <c r="Q14232">
        <v>1</v>
      </c>
      <c r="R14232" t="s">
        <v>44788</v>
      </c>
      <c r="S14232" t="s">
        <v>45955</v>
      </c>
      <c r="T14232" t="s">
        <v>46581</v>
      </c>
      <c r="U14232" t="s">
        <v>58553</v>
      </c>
      <c r="W14232" t="s">
        <v>40590</v>
      </c>
      <c r="X14232" t="s">
        <v>44791</v>
      </c>
    </row>
    <row r="14233" spans="1:24">
      <c r="A14233">
        <f>HYPERLINK("https://www.philgeps.gov.ph/GEPSNONPILOT/Tender/SplashBidNoticeAbstractUI.aspx?menuIndex=3&amp;refID=7093015&amp;Result=3","7093015")</f>
        <v>0</v>
      </c>
      <c r="B14233" t="s">
        <v>331</v>
      </c>
      <c r="C14233" t="s">
        <v>17304</v>
      </c>
      <c r="D14233" t="s">
        <v>18004</v>
      </c>
      <c r="E14233" t="s">
        <v>30309</v>
      </c>
      <c r="F14233" t="s">
        <v>30900</v>
      </c>
      <c r="G14233" t="s">
        <v>30908</v>
      </c>
      <c r="H14233" t="s">
        <v>30916</v>
      </c>
      <c r="I14233" t="s">
        <v>30947</v>
      </c>
      <c r="J14233" t="s">
        <v>39865</v>
      </c>
      <c r="K14233" t="s">
        <v>40292</v>
      </c>
      <c r="M14233" t="s">
        <v>40882</v>
      </c>
      <c r="N14233" t="s">
        <v>44759</v>
      </c>
      <c r="O14233" t="s">
        <v>44760</v>
      </c>
      <c r="P14233">
        <v>0</v>
      </c>
      <c r="Q14233">
        <v>1</v>
      </c>
      <c r="R14233" t="s">
        <v>44789</v>
      </c>
      <c r="S14233" t="s">
        <v>45970</v>
      </c>
      <c r="T14233" t="s">
        <v>46625</v>
      </c>
      <c r="U14233" t="s">
        <v>47469</v>
      </c>
      <c r="W14233" t="s">
        <v>40882</v>
      </c>
      <c r="X14233" t="s">
        <v>44790</v>
      </c>
    </row>
    <row r="14234" spans="1:24">
      <c r="A14234">
        <f>HYPERLINK("https://www.philgeps.gov.ph/GEPSNONPILOT/Tender/SplashBidNoticeAbstractUI.aspx?menuIndex=3&amp;refID=7096956&amp;Result=3","7096956")</f>
        <v>0</v>
      </c>
      <c r="B14234" t="s">
        <v>3714</v>
      </c>
      <c r="C14234" t="s">
        <v>17305</v>
      </c>
      <c r="D14234" t="s">
        <v>18013</v>
      </c>
      <c r="E14234" t="s">
        <v>30310</v>
      </c>
      <c r="F14234" t="s">
        <v>30900</v>
      </c>
      <c r="G14234" t="s">
        <v>30907</v>
      </c>
      <c r="H14234" t="s">
        <v>7411</v>
      </c>
      <c r="I14234" t="s">
        <v>7411</v>
      </c>
      <c r="J14234" t="s">
        <v>39866</v>
      </c>
      <c r="K14234" t="s">
        <v>40369</v>
      </c>
      <c r="M14234" t="s">
        <v>44685</v>
      </c>
      <c r="N14234" t="s">
        <v>44759</v>
      </c>
      <c r="O14234" t="s">
        <v>44760</v>
      </c>
      <c r="Q14234">
        <v>12</v>
      </c>
      <c r="R14234" t="s">
        <v>44788</v>
      </c>
      <c r="S14234" t="s">
        <v>45993</v>
      </c>
      <c r="T14234" t="s">
        <v>46936</v>
      </c>
      <c r="U14234" t="s">
        <v>58554</v>
      </c>
      <c r="W14234" t="s">
        <v>44685</v>
      </c>
      <c r="X14234" t="s">
        <v>44789</v>
      </c>
    </row>
    <row r="14235" spans="1:24">
      <c r="A14235">
        <f>HYPERLINK("https://www.philgeps.gov.ph/GEPSNONPILOT/Tender/SplashBidNoticeAbstractUI.aspx?menuIndex=3&amp;refID=7100602&amp;Result=3","7100602")</f>
        <v>0</v>
      </c>
      <c r="B14235" t="s">
        <v>1251</v>
      </c>
      <c r="C14235" t="s">
        <v>17306</v>
      </c>
      <c r="D14235" t="s">
        <v>17963</v>
      </c>
      <c r="E14235" t="s">
        <v>30311</v>
      </c>
      <c r="F14235" t="s">
        <v>30900</v>
      </c>
      <c r="G14235" t="s">
        <v>30907</v>
      </c>
      <c r="H14235" t="s">
        <v>30916</v>
      </c>
      <c r="I14235" t="s">
        <v>30924</v>
      </c>
      <c r="J14235" t="s">
        <v>39867</v>
      </c>
      <c r="K14235" t="s">
        <v>40293</v>
      </c>
      <c r="M14235" t="s">
        <v>41863</v>
      </c>
      <c r="N14235" t="s">
        <v>44759</v>
      </c>
      <c r="O14235" t="s">
        <v>44760</v>
      </c>
      <c r="Q14235">
        <v>26</v>
      </c>
      <c r="R14235" t="s">
        <v>44787</v>
      </c>
      <c r="S14235" t="s">
        <v>45994</v>
      </c>
      <c r="T14235" t="s">
        <v>46531</v>
      </c>
      <c r="U14235" t="s">
        <v>58555</v>
      </c>
      <c r="W14235" t="s">
        <v>41863</v>
      </c>
      <c r="X14235" t="s">
        <v>44788</v>
      </c>
    </row>
    <row r="14236" spans="1:24">
      <c r="A14236">
        <f>HYPERLINK("https://www.philgeps.gov.ph/GEPSNONPILOT/Tender/SplashBidNoticeAbstractUI.aspx?menuIndex=3&amp;refID=7100342&amp;Result=3","7100342")</f>
        <v>0</v>
      </c>
      <c r="B14236" t="s">
        <v>2158</v>
      </c>
      <c r="C14236" t="s">
        <v>17307</v>
      </c>
      <c r="D14236" t="s">
        <v>17963</v>
      </c>
      <c r="E14236" t="s">
        <v>30312</v>
      </c>
      <c r="F14236" t="s">
        <v>30900</v>
      </c>
      <c r="G14236" t="s">
        <v>30907</v>
      </c>
      <c r="H14236" t="s">
        <v>30915</v>
      </c>
      <c r="I14236" t="s">
        <v>30919</v>
      </c>
      <c r="J14236" t="s">
        <v>39868</v>
      </c>
      <c r="K14236" t="s">
        <v>40289</v>
      </c>
      <c r="M14236" t="s">
        <v>42863</v>
      </c>
      <c r="N14236" t="s">
        <v>44759</v>
      </c>
      <c r="O14236" t="s">
        <v>44760</v>
      </c>
      <c r="P14236">
        <v>0</v>
      </c>
      <c r="Q14236">
        <v>3</v>
      </c>
      <c r="R14236" t="s">
        <v>44787</v>
      </c>
      <c r="S14236" t="s">
        <v>45928</v>
      </c>
      <c r="T14236" t="s">
        <v>46691</v>
      </c>
      <c r="U14236" t="s">
        <v>58556</v>
      </c>
      <c r="W14236" t="s">
        <v>42863</v>
      </c>
      <c r="X14236" t="s">
        <v>44788</v>
      </c>
    </row>
    <row r="14237" spans="1:24">
      <c r="A14237">
        <f>HYPERLINK("https://www.philgeps.gov.ph/GEPSNONPILOT/Tender/SplashBidNoticeAbstractUI.aspx?menuIndex=3&amp;refID=7100306&amp;Result=3","7100306")</f>
        <v>0</v>
      </c>
      <c r="B14237" t="s">
        <v>1353</v>
      </c>
      <c r="C14237" t="s">
        <v>17308</v>
      </c>
      <c r="D14237" t="s">
        <v>17994</v>
      </c>
      <c r="E14237" t="s">
        <v>30313</v>
      </c>
      <c r="F14237" t="s">
        <v>30900</v>
      </c>
      <c r="G14237" t="s">
        <v>30907</v>
      </c>
      <c r="H14237" t="s">
        <v>30915</v>
      </c>
      <c r="I14237" t="s">
        <v>30919</v>
      </c>
      <c r="J14237" t="s">
        <v>39869</v>
      </c>
      <c r="K14237" t="s">
        <v>40308</v>
      </c>
      <c r="M14237" t="s">
        <v>41975</v>
      </c>
      <c r="N14237" t="s">
        <v>44759</v>
      </c>
      <c r="O14237" t="s">
        <v>44760</v>
      </c>
      <c r="Q14237">
        <v>2</v>
      </c>
      <c r="R14237" t="s">
        <v>44787</v>
      </c>
      <c r="S14237" t="s">
        <v>45995</v>
      </c>
      <c r="T14237" t="s">
        <v>46484</v>
      </c>
      <c r="U14237" t="s">
        <v>58557</v>
      </c>
      <c r="W14237" t="s">
        <v>41975</v>
      </c>
      <c r="X14237" t="s">
        <v>44788</v>
      </c>
    </row>
    <row r="14238" spans="1:24">
      <c r="A14238">
        <f>HYPERLINK("https://www.philgeps.gov.ph/GEPSNONPILOT/Tender/SplashBidNoticeAbstractUI.aspx?menuIndex=3&amp;refID=7100287&amp;Result=3","7100287")</f>
        <v>0</v>
      </c>
      <c r="B14238" t="s">
        <v>1353</v>
      </c>
      <c r="C14238" t="s">
        <v>17309</v>
      </c>
      <c r="D14238" t="s">
        <v>17994</v>
      </c>
      <c r="E14238" t="s">
        <v>30314</v>
      </c>
      <c r="F14238" t="s">
        <v>30900</v>
      </c>
      <c r="G14238" t="s">
        <v>30907</v>
      </c>
      <c r="H14238" t="s">
        <v>30915</v>
      </c>
      <c r="I14238" t="s">
        <v>30919</v>
      </c>
      <c r="J14238" t="s">
        <v>39870</v>
      </c>
      <c r="K14238" t="s">
        <v>40310</v>
      </c>
      <c r="M14238" t="s">
        <v>41975</v>
      </c>
      <c r="N14238" t="s">
        <v>44759</v>
      </c>
      <c r="O14238" t="s">
        <v>44760</v>
      </c>
      <c r="Q14238">
        <v>3</v>
      </c>
      <c r="R14238" t="s">
        <v>44787</v>
      </c>
      <c r="S14238" t="s">
        <v>45996</v>
      </c>
      <c r="T14238" t="s">
        <v>46399</v>
      </c>
      <c r="U14238" t="s">
        <v>58558</v>
      </c>
      <c r="W14238" t="s">
        <v>41975</v>
      </c>
      <c r="X14238" t="s">
        <v>44788</v>
      </c>
    </row>
    <row r="14239" spans="1:24">
      <c r="A14239">
        <f>HYPERLINK("https://www.philgeps.gov.ph/GEPSNONPILOT/Tender/SplashBidNoticeAbstractUI.aspx?menuIndex=3&amp;refID=7100129&amp;Result=3","7100129")</f>
        <v>0</v>
      </c>
      <c r="B14239" t="s">
        <v>3306</v>
      </c>
      <c r="C14239" t="s">
        <v>17310</v>
      </c>
      <c r="D14239" t="s">
        <v>17998</v>
      </c>
      <c r="E14239" t="s">
        <v>30315</v>
      </c>
      <c r="F14239" t="s">
        <v>30900</v>
      </c>
      <c r="G14239" t="s">
        <v>30907</v>
      </c>
      <c r="H14239" t="s">
        <v>30916</v>
      </c>
      <c r="I14239" t="s">
        <v>30933</v>
      </c>
      <c r="J14239" t="s">
        <v>31391</v>
      </c>
      <c r="K14239" t="s">
        <v>40287</v>
      </c>
      <c r="M14239" t="s">
        <v>44159</v>
      </c>
      <c r="N14239" t="s">
        <v>44759</v>
      </c>
      <c r="O14239" t="s">
        <v>44760</v>
      </c>
      <c r="P14239">
        <v>0</v>
      </c>
      <c r="Q14239">
        <v>2</v>
      </c>
      <c r="R14239" t="s">
        <v>44787</v>
      </c>
      <c r="S14239" t="s">
        <v>45928</v>
      </c>
      <c r="T14239" t="s">
        <v>46410</v>
      </c>
      <c r="U14239" t="s">
        <v>58559</v>
      </c>
      <c r="W14239" t="s">
        <v>44159</v>
      </c>
      <c r="X14239" t="s">
        <v>44788</v>
      </c>
    </row>
    <row r="14240" spans="1:24">
      <c r="A14240">
        <f>HYPERLINK("https://www.philgeps.gov.ph/GEPSNONPILOT/Tender/SplashBidNoticeAbstractUI.aspx?menuIndex=3&amp;refID=7098011&amp;Result=3","7098011")</f>
        <v>0</v>
      </c>
      <c r="B14240" t="s">
        <v>710</v>
      </c>
      <c r="C14240" t="s">
        <v>17209</v>
      </c>
      <c r="E14240" t="s">
        <v>30316</v>
      </c>
      <c r="F14240" t="s">
        <v>30900</v>
      </c>
      <c r="G14240" t="s">
        <v>30907</v>
      </c>
      <c r="H14240" t="s">
        <v>30916</v>
      </c>
      <c r="I14240" t="s">
        <v>30923</v>
      </c>
      <c r="J14240" t="s">
        <v>39871</v>
      </c>
      <c r="K14240" t="s">
        <v>40289</v>
      </c>
      <c r="M14240" t="s">
        <v>41274</v>
      </c>
      <c r="N14240" t="s">
        <v>44759</v>
      </c>
      <c r="O14240" t="s">
        <v>44760</v>
      </c>
      <c r="P14240">
        <v>0</v>
      </c>
      <c r="Q14240">
        <v>14</v>
      </c>
      <c r="R14240" t="s">
        <v>44787</v>
      </c>
      <c r="S14240" t="s">
        <v>45928</v>
      </c>
      <c r="T14240" t="s">
        <v>46531</v>
      </c>
      <c r="U14240" t="s">
        <v>58479</v>
      </c>
      <c r="W14240" t="s">
        <v>41274</v>
      </c>
      <c r="X14240" t="s">
        <v>44788</v>
      </c>
    </row>
    <row r="14241" spans="1:24">
      <c r="A14241">
        <f>HYPERLINK("https://www.philgeps.gov.ph/GEPSNONPILOT/Tender/SplashBidNoticeAbstractUI.aspx?menuIndex=3&amp;refID=7097982&amp;Result=3","7097982")</f>
        <v>0</v>
      </c>
      <c r="B14241" t="s">
        <v>3645</v>
      </c>
      <c r="C14241" t="s">
        <v>17311</v>
      </c>
      <c r="E14241" t="s">
        <v>25856</v>
      </c>
      <c r="F14241" t="s">
        <v>30900</v>
      </c>
      <c r="G14241" t="s">
        <v>30907</v>
      </c>
      <c r="H14241" t="s">
        <v>30917</v>
      </c>
      <c r="I14241" t="s">
        <v>30956</v>
      </c>
      <c r="J14241" t="s">
        <v>34061</v>
      </c>
      <c r="K14241" t="s">
        <v>40410</v>
      </c>
      <c r="M14241" t="s">
        <v>44586</v>
      </c>
      <c r="N14241" t="s">
        <v>44759</v>
      </c>
      <c r="O14241" t="s">
        <v>44760</v>
      </c>
      <c r="Q14241">
        <v>4</v>
      </c>
      <c r="R14241" t="s">
        <v>44787</v>
      </c>
      <c r="S14241" t="s">
        <v>45997</v>
      </c>
      <c r="T14241" t="s">
        <v>46399</v>
      </c>
      <c r="U14241" t="s">
        <v>58019</v>
      </c>
      <c r="V14241" t="s">
        <v>60652</v>
      </c>
      <c r="W14241" t="s">
        <v>44586</v>
      </c>
      <c r="X14241" t="s">
        <v>44788</v>
      </c>
    </row>
    <row r="14242" spans="1:24">
      <c r="A14242">
        <f>HYPERLINK("https://www.philgeps.gov.ph/GEPSNONPILOT/Tender/SplashBidNoticeAbstractUI.aspx?menuIndex=3&amp;refID=7094749&amp;Result=3","7094749")</f>
        <v>0</v>
      </c>
      <c r="B14242" t="s">
        <v>2441</v>
      </c>
      <c r="C14242" t="s">
        <v>17312</v>
      </c>
      <c r="D14242" t="s">
        <v>17975</v>
      </c>
      <c r="E14242" t="s">
        <v>20674</v>
      </c>
      <c r="F14242" t="s">
        <v>30900</v>
      </c>
      <c r="G14242" t="s">
        <v>30907</v>
      </c>
      <c r="H14242" t="s">
        <v>30915</v>
      </c>
      <c r="I14242" t="s">
        <v>30919</v>
      </c>
      <c r="J14242" t="s">
        <v>31297</v>
      </c>
      <c r="K14242" t="s">
        <v>40280</v>
      </c>
      <c r="M14242" t="s">
        <v>43175</v>
      </c>
      <c r="N14242" t="s">
        <v>44759</v>
      </c>
      <c r="O14242" t="s">
        <v>44760</v>
      </c>
      <c r="P14242">
        <v>0</v>
      </c>
      <c r="Q14242">
        <v>1</v>
      </c>
      <c r="R14242" t="s">
        <v>44788</v>
      </c>
      <c r="S14242" t="s">
        <v>45955</v>
      </c>
      <c r="T14242" t="s">
        <v>46658</v>
      </c>
      <c r="U14242" t="s">
        <v>58560</v>
      </c>
      <c r="W14242" t="s">
        <v>43175</v>
      </c>
      <c r="X14242" t="s">
        <v>44789</v>
      </c>
    </row>
    <row r="14243" spans="1:24">
      <c r="A14243">
        <f>HYPERLINK("https://www.philgeps.gov.ph/GEPSNONPILOT/Tender/SplashBidNoticeAbstractUI.aspx?menuIndex=3&amp;refID=7097967&amp;Result=3","7097967")</f>
        <v>0</v>
      </c>
      <c r="B14243" t="s">
        <v>710</v>
      </c>
      <c r="C14243" t="s">
        <v>17212</v>
      </c>
      <c r="E14243" t="s">
        <v>30317</v>
      </c>
      <c r="F14243" t="s">
        <v>30900</v>
      </c>
      <c r="G14243" t="s">
        <v>30907</v>
      </c>
      <c r="H14243" t="s">
        <v>30916</v>
      </c>
      <c r="I14243" t="s">
        <v>5501</v>
      </c>
      <c r="J14243" t="s">
        <v>39872</v>
      </c>
      <c r="K14243" t="s">
        <v>40289</v>
      </c>
      <c r="M14243" t="s">
        <v>41274</v>
      </c>
      <c r="N14243" t="s">
        <v>44759</v>
      </c>
      <c r="O14243" t="s">
        <v>44760</v>
      </c>
      <c r="P14243">
        <v>0</v>
      </c>
      <c r="Q14243">
        <v>5</v>
      </c>
      <c r="R14243" t="s">
        <v>44787</v>
      </c>
      <c r="S14243" t="s">
        <v>45928</v>
      </c>
      <c r="T14243" t="s">
        <v>46531</v>
      </c>
      <c r="U14243" t="s">
        <v>58479</v>
      </c>
      <c r="W14243" t="s">
        <v>41274</v>
      </c>
      <c r="X14243" t="s">
        <v>44788</v>
      </c>
    </row>
    <row r="14244" spans="1:24">
      <c r="A14244">
        <f>HYPERLINK("https://www.philgeps.gov.ph/GEPSNONPILOT/Tender/SplashBidNoticeAbstractUI.aspx?menuIndex=3&amp;refID=7092884&amp;Result=3","7092884")</f>
        <v>0</v>
      </c>
      <c r="B14244" t="s">
        <v>3550</v>
      </c>
      <c r="C14244" t="s">
        <v>17313</v>
      </c>
      <c r="D14244" t="s">
        <v>17959</v>
      </c>
      <c r="E14244" t="s">
        <v>20058</v>
      </c>
      <c r="F14244" t="s">
        <v>30900</v>
      </c>
      <c r="G14244" t="s">
        <v>30907</v>
      </c>
      <c r="H14244" t="s">
        <v>30916</v>
      </c>
      <c r="I14244" t="s">
        <v>4017</v>
      </c>
      <c r="J14244" t="s">
        <v>39873</v>
      </c>
      <c r="K14244" t="s">
        <v>40301</v>
      </c>
      <c r="M14244" t="s">
        <v>44466</v>
      </c>
      <c r="N14244" t="s">
        <v>44759</v>
      </c>
      <c r="O14244" t="s">
        <v>44760</v>
      </c>
      <c r="Q14244">
        <v>24</v>
      </c>
      <c r="R14244" t="s">
        <v>44789</v>
      </c>
      <c r="S14244" t="s">
        <v>45998</v>
      </c>
      <c r="T14244" t="s">
        <v>46531</v>
      </c>
      <c r="U14244" t="s">
        <v>58561</v>
      </c>
      <c r="W14244" t="s">
        <v>44466</v>
      </c>
      <c r="X14244" t="s">
        <v>44790</v>
      </c>
    </row>
    <row r="14245" spans="1:24">
      <c r="A14245">
        <f>HYPERLINK("https://www.philgeps.gov.ph/GEPSNONPILOT/Tender/SplashBidNoticeAbstractUI.aspx?menuIndex=3&amp;refID=7098117&amp;Result=3","7098117")</f>
        <v>0</v>
      </c>
      <c r="B14245" t="s">
        <v>710</v>
      </c>
      <c r="C14245" t="s">
        <v>15515</v>
      </c>
      <c r="E14245" t="s">
        <v>30318</v>
      </c>
      <c r="F14245" t="s">
        <v>30900</v>
      </c>
      <c r="G14245" t="s">
        <v>30907</v>
      </c>
      <c r="H14245" t="s">
        <v>30916</v>
      </c>
      <c r="I14245" t="s">
        <v>5501</v>
      </c>
      <c r="J14245" t="s">
        <v>31897</v>
      </c>
      <c r="K14245" t="s">
        <v>40289</v>
      </c>
      <c r="M14245" t="s">
        <v>41274</v>
      </c>
      <c r="N14245" t="s">
        <v>44759</v>
      </c>
      <c r="O14245" t="s">
        <v>44760</v>
      </c>
      <c r="P14245">
        <v>0</v>
      </c>
      <c r="Q14245">
        <v>14</v>
      </c>
      <c r="R14245" t="s">
        <v>44787</v>
      </c>
      <c r="S14245" t="s">
        <v>45928</v>
      </c>
      <c r="T14245" t="s">
        <v>46531</v>
      </c>
      <c r="U14245" t="s">
        <v>58479</v>
      </c>
      <c r="W14245" t="s">
        <v>41274</v>
      </c>
      <c r="X14245" t="s">
        <v>44788</v>
      </c>
    </row>
    <row r="14246" spans="1:24">
      <c r="A14246">
        <f>HYPERLINK("https://www.philgeps.gov.ph/GEPSNONPILOT/Tender/SplashBidNoticeAbstractUI.aspx?menuIndex=3&amp;refID=7092775&amp;Result=3","7092775")</f>
        <v>0</v>
      </c>
      <c r="B14246" t="s">
        <v>926</v>
      </c>
      <c r="C14246" t="s">
        <v>17314</v>
      </c>
      <c r="D14246" t="s">
        <v>17999</v>
      </c>
      <c r="E14246" t="s">
        <v>30319</v>
      </c>
      <c r="F14246" t="s">
        <v>30900</v>
      </c>
      <c r="G14246" t="s">
        <v>30907</v>
      </c>
      <c r="H14246" t="s">
        <v>30916</v>
      </c>
      <c r="I14246" t="s">
        <v>30933</v>
      </c>
      <c r="J14246" t="s">
        <v>39874</v>
      </c>
      <c r="K14246" t="s">
        <v>40286</v>
      </c>
      <c r="M14246" t="s">
        <v>42665</v>
      </c>
      <c r="N14246" t="s">
        <v>44759</v>
      </c>
      <c r="O14246" t="s">
        <v>44760</v>
      </c>
      <c r="Q14246">
        <v>3</v>
      </c>
      <c r="R14246" t="s">
        <v>44789</v>
      </c>
      <c r="S14246" t="s">
        <v>45999</v>
      </c>
      <c r="T14246" t="s">
        <v>46383</v>
      </c>
      <c r="U14246" t="s">
        <v>58562</v>
      </c>
      <c r="W14246" t="s">
        <v>42665</v>
      </c>
      <c r="X14246" t="s">
        <v>44790</v>
      </c>
    </row>
    <row r="14247" spans="1:24">
      <c r="A14247">
        <f>HYPERLINK("https://www.philgeps.gov.ph/GEPSNONPILOT/Tender/SplashBidNoticeAbstractUI.aspx?menuIndex=3&amp;refID=7094100&amp;Result=3","7094100")</f>
        <v>0</v>
      </c>
      <c r="B14247" t="s">
        <v>1054</v>
      </c>
      <c r="C14247" t="s">
        <v>17315</v>
      </c>
      <c r="D14247" t="s">
        <v>17959</v>
      </c>
      <c r="E14247" t="s">
        <v>30320</v>
      </c>
      <c r="F14247" t="s">
        <v>30900</v>
      </c>
      <c r="G14247" t="s">
        <v>30907</v>
      </c>
      <c r="H14247" t="s">
        <v>7411</v>
      </c>
      <c r="I14247" t="s">
        <v>30978</v>
      </c>
      <c r="J14247" t="s">
        <v>39875</v>
      </c>
      <c r="K14247" t="s">
        <v>40334</v>
      </c>
      <c r="M14247" t="s">
        <v>43965</v>
      </c>
      <c r="N14247" t="s">
        <v>44759</v>
      </c>
      <c r="O14247" t="s">
        <v>44760</v>
      </c>
      <c r="Q14247">
        <v>13</v>
      </c>
      <c r="R14247" t="s">
        <v>44789</v>
      </c>
      <c r="S14247" t="s">
        <v>46000</v>
      </c>
      <c r="T14247" t="s">
        <v>46533</v>
      </c>
      <c r="U14247" t="s">
        <v>58563</v>
      </c>
      <c r="V14247" t="s">
        <v>60731</v>
      </c>
      <c r="W14247" t="s">
        <v>43965</v>
      </c>
      <c r="X14247" t="s">
        <v>44790</v>
      </c>
    </row>
    <row r="14248" spans="1:24">
      <c r="A14248">
        <f>HYPERLINK("https://www.philgeps.gov.ph/GEPSNONPILOT/Tender/SplashBidNoticeAbstractUI.aspx?menuIndex=3&amp;refID=7095482&amp;Result=3","7095482")</f>
        <v>0</v>
      </c>
      <c r="B14248" t="s">
        <v>2581</v>
      </c>
      <c r="C14248" t="s">
        <v>17316</v>
      </c>
      <c r="D14248" t="s">
        <v>17959</v>
      </c>
      <c r="E14248" t="s">
        <v>30321</v>
      </c>
      <c r="F14248" t="s">
        <v>30900</v>
      </c>
      <c r="G14248" t="s">
        <v>30907</v>
      </c>
      <c r="H14248" t="s">
        <v>30916</v>
      </c>
      <c r="I14248" t="s">
        <v>30924</v>
      </c>
      <c r="J14248" t="s">
        <v>39876</v>
      </c>
      <c r="K14248" t="s">
        <v>40289</v>
      </c>
      <c r="M14248" t="s">
        <v>44669</v>
      </c>
      <c r="N14248" t="s">
        <v>44759</v>
      </c>
      <c r="O14248" t="s">
        <v>44760</v>
      </c>
      <c r="Q14248">
        <v>24</v>
      </c>
      <c r="R14248" t="s">
        <v>44787</v>
      </c>
      <c r="S14248" t="s">
        <v>45086</v>
      </c>
      <c r="T14248" t="s">
        <v>46456</v>
      </c>
      <c r="U14248" t="s">
        <v>58564</v>
      </c>
      <c r="W14248" t="s">
        <v>44669</v>
      </c>
      <c r="X14248" t="s">
        <v>44789</v>
      </c>
    </row>
    <row r="14249" spans="1:24">
      <c r="A14249">
        <f>HYPERLINK("https://www.philgeps.gov.ph/GEPSNONPILOT/Tender/SplashBidNoticeAbstractUI.aspx?menuIndex=3&amp;refID=7089668&amp;Result=3","7089668")</f>
        <v>0</v>
      </c>
      <c r="B14249" t="s">
        <v>1542</v>
      </c>
      <c r="C14249" t="s">
        <v>17317</v>
      </c>
      <c r="E14249" t="s">
        <v>30322</v>
      </c>
      <c r="F14249" t="s">
        <v>30900</v>
      </c>
      <c r="G14249" t="s">
        <v>30907</v>
      </c>
      <c r="H14249" t="s">
        <v>30916</v>
      </c>
      <c r="I14249" t="s">
        <v>4061</v>
      </c>
      <c r="J14249" t="s">
        <v>39877</v>
      </c>
      <c r="K14249" t="s">
        <v>40286</v>
      </c>
      <c r="M14249" t="s">
        <v>44667</v>
      </c>
      <c r="N14249" t="s">
        <v>44759</v>
      </c>
      <c r="O14249" t="s">
        <v>44760</v>
      </c>
      <c r="Q14249">
        <v>4</v>
      </c>
      <c r="R14249" t="s">
        <v>44787</v>
      </c>
      <c r="S14249" t="s">
        <v>46001</v>
      </c>
      <c r="T14249" t="s">
        <v>46399</v>
      </c>
      <c r="U14249" t="s">
        <v>58565</v>
      </c>
      <c r="W14249" t="s">
        <v>44667</v>
      </c>
      <c r="X14249" t="s">
        <v>44791</v>
      </c>
    </row>
    <row r="14250" spans="1:24">
      <c r="A14250">
        <f>HYPERLINK("https://www.philgeps.gov.ph/GEPSNONPILOT/Tender/SplashBidNoticeAbstractUI.aspx?menuIndex=3&amp;refID=7089694&amp;Result=3","7089694")</f>
        <v>0</v>
      </c>
      <c r="B14250" t="s">
        <v>1542</v>
      </c>
      <c r="C14250" t="s">
        <v>17318</v>
      </c>
      <c r="E14250" t="s">
        <v>30323</v>
      </c>
      <c r="F14250" t="s">
        <v>30900</v>
      </c>
      <c r="G14250" t="s">
        <v>30907</v>
      </c>
      <c r="H14250" t="s">
        <v>30916</v>
      </c>
      <c r="I14250" t="s">
        <v>4061</v>
      </c>
      <c r="J14250" t="s">
        <v>39878</v>
      </c>
      <c r="K14250" t="s">
        <v>40286</v>
      </c>
      <c r="M14250" t="s">
        <v>44667</v>
      </c>
      <c r="N14250" t="s">
        <v>44759</v>
      </c>
      <c r="O14250" t="s">
        <v>44760</v>
      </c>
      <c r="Q14250">
        <v>4</v>
      </c>
      <c r="R14250" t="s">
        <v>44787</v>
      </c>
      <c r="S14250" t="s">
        <v>46002</v>
      </c>
      <c r="T14250" t="s">
        <v>46399</v>
      </c>
      <c r="U14250" t="s">
        <v>58566</v>
      </c>
      <c r="W14250" t="s">
        <v>44667</v>
      </c>
      <c r="X14250" t="s">
        <v>44791</v>
      </c>
    </row>
    <row r="14251" spans="1:24">
      <c r="A14251">
        <f>HYPERLINK("https://www.philgeps.gov.ph/GEPSNONPILOT/Tender/SplashBidNoticeAbstractUI.aspx?menuIndex=3&amp;refID=7092865&amp;Result=3","7092865")</f>
        <v>0</v>
      </c>
      <c r="B14251" t="s">
        <v>3668</v>
      </c>
      <c r="C14251" t="s">
        <v>17319</v>
      </c>
      <c r="D14251" t="s">
        <v>17972</v>
      </c>
      <c r="E14251" t="s">
        <v>30324</v>
      </c>
      <c r="F14251" t="s">
        <v>30900</v>
      </c>
      <c r="G14251" t="s">
        <v>30907</v>
      </c>
      <c r="H14251" t="s">
        <v>30916</v>
      </c>
      <c r="I14251" t="s">
        <v>30921</v>
      </c>
      <c r="J14251" t="s">
        <v>39879</v>
      </c>
      <c r="K14251" t="s">
        <v>40280</v>
      </c>
      <c r="M14251" t="s">
        <v>44616</v>
      </c>
      <c r="N14251" t="s">
        <v>44759</v>
      </c>
      <c r="O14251" t="s">
        <v>44760</v>
      </c>
      <c r="Q14251">
        <v>5</v>
      </c>
      <c r="R14251" t="s">
        <v>44787</v>
      </c>
      <c r="S14251" t="s">
        <v>46003</v>
      </c>
      <c r="T14251" t="s">
        <v>46357</v>
      </c>
      <c r="U14251" t="s">
        <v>58486</v>
      </c>
      <c r="W14251" t="s">
        <v>44616</v>
      </c>
      <c r="X14251" t="s">
        <v>44790</v>
      </c>
    </row>
    <row r="14252" spans="1:24">
      <c r="A14252">
        <f>HYPERLINK("https://www.philgeps.gov.ph/GEPSNONPILOT/Tender/SplashBidNoticeAbstractUI.aspx?menuIndex=3&amp;refID=7104063&amp;Result=3","7104063")</f>
        <v>0</v>
      </c>
      <c r="B14252" t="s">
        <v>1967</v>
      </c>
      <c r="C14252" t="s">
        <v>17320</v>
      </c>
      <c r="D14252" t="s">
        <v>17988</v>
      </c>
      <c r="E14252" t="s">
        <v>30325</v>
      </c>
      <c r="F14252" t="s">
        <v>30900</v>
      </c>
      <c r="G14252" t="s">
        <v>30907</v>
      </c>
      <c r="H14252" t="s">
        <v>30915</v>
      </c>
      <c r="I14252" t="s">
        <v>30919</v>
      </c>
      <c r="J14252" t="s">
        <v>39880</v>
      </c>
      <c r="K14252" t="s">
        <v>40289</v>
      </c>
      <c r="M14252" t="s">
        <v>42653</v>
      </c>
      <c r="N14252" t="s">
        <v>44759</v>
      </c>
      <c r="O14252" t="s">
        <v>44760</v>
      </c>
      <c r="P14252">
        <v>0</v>
      </c>
      <c r="Q14252">
        <v>1</v>
      </c>
      <c r="R14252" t="s">
        <v>44784</v>
      </c>
      <c r="S14252" t="s">
        <v>45911</v>
      </c>
      <c r="T14252" t="s">
        <v>46625</v>
      </c>
      <c r="U14252" t="s">
        <v>55148</v>
      </c>
      <c r="W14252" t="s">
        <v>42653</v>
      </c>
      <c r="X14252" t="s">
        <v>44786</v>
      </c>
    </row>
    <row r="14253" spans="1:24">
      <c r="A14253">
        <f>HYPERLINK("https://www.philgeps.gov.ph/GEPSNONPILOT/Tender/SplashBidNoticeAbstractUI.aspx?menuIndex=3&amp;refID=7104056&amp;Result=3","7104056")</f>
        <v>0</v>
      </c>
      <c r="B14253" t="s">
        <v>1967</v>
      </c>
      <c r="C14253" t="s">
        <v>17321</v>
      </c>
      <c r="D14253" t="s">
        <v>17988</v>
      </c>
      <c r="E14253" t="s">
        <v>30326</v>
      </c>
      <c r="F14253" t="s">
        <v>30900</v>
      </c>
      <c r="G14253" t="s">
        <v>30907</v>
      </c>
      <c r="H14253" t="s">
        <v>30915</v>
      </c>
      <c r="I14253" t="s">
        <v>30919</v>
      </c>
      <c r="J14253" t="s">
        <v>39881</v>
      </c>
      <c r="K14253" t="s">
        <v>40289</v>
      </c>
      <c r="M14253" t="s">
        <v>42653</v>
      </c>
      <c r="N14253" t="s">
        <v>44759</v>
      </c>
      <c r="O14253" t="s">
        <v>44760</v>
      </c>
      <c r="P14253">
        <v>0</v>
      </c>
      <c r="Q14253">
        <v>0</v>
      </c>
      <c r="R14253" t="s">
        <v>44784</v>
      </c>
      <c r="S14253" t="s">
        <v>45911</v>
      </c>
      <c r="T14253" t="s">
        <v>46625</v>
      </c>
      <c r="U14253" t="s">
        <v>55148</v>
      </c>
      <c r="W14253" t="s">
        <v>42653</v>
      </c>
      <c r="X14253" t="s">
        <v>44786</v>
      </c>
    </row>
    <row r="14254" spans="1:24">
      <c r="A14254">
        <f>HYPERLINK("https://www.philgeps.gov.ph/GEPSNONPILOT/Tender/SplashBidNoticeAbstractUI.aspx?menuIndex=3&amp;refID=7103782&amp;Result=3","7103782")</f>
        <v>0</v>
      </c>
      <c r="B14254" t="s">
        <v>1967</v>
      </c>
      <c r="C14254" t="s">
        <v>17322</v>
      </c>
      <c r="D14254" t="s">
        <v>17988</v>
      </c>
      <c r="E14254" t="s">
        <v>30327</v>
      </c>
      <c r="F14254" t="s">
        <v>30900</v>
      </c>
      <c r="G14254" t="s">
        <v>30907</v>
      </c>
      <c r="H14254" t="s">
        <v>30915</v>
      </c>
      <c r="I14254" t="s">
        <v>30919</v>
      </c>
      <c r="J14254" t="s">
        <v>39882</v>
      </c>
      <c r="K14254" t="s">
        <v>40289</v>
      </c>
      <c r="M14254" t="s">
        <v>42653</v>
      </c>
      <c r="N14254" t="s">
        <v>44759</v>
      </c>
      <c r="O14254" t="s">
        <v>44760</v>
      </c>
      <c r="P14254">
        <v>0</v>
      </c>
      <c r="Q14254">
        <v>0</v>
      </c>
      <c r="R14254" t="s">
        <v>44784</v>
      </c>
      <c r="S14254" t="s">
        <v>45911</v>
      </c>
      <c r="T14254" t="s">
        <v>46625</v>
      </c>
      <c r="U14254" t="s">
        <v>55148</v>
      </c>
      <c r="W14254" t="s">
        <v>42653</v>
      </c>
      <c r="X14254" t="s">
        <v>44786</v>
      </c>
    </row>
    <row r="14255" spans="1:24">
      <c r="A14255">
        <f>HYPERLINK("https://www.philgeps.gov.ph/GEPSNONPILOT/Tender/SplashBidNoticeAbstractUI.aspx?menuIndex=3&amp;refID=7103777&amp;Result=3","7103777")</f>
        <v>0</v>
      </c>
      <c r="B14255" t="s">
        <v>1967</v>
      </c>
      <c r="C14255" t="s">
        <v>17323</v>
      </c>
      <c r="D14255" t="s">
        <v>17988</v>
      </c>
      <c r="E14255" t="s">
        <v>30328</v>
      </c>
      <c r="F14255" t="s">
        <v>30900</v>
      </c>
      <c r="G14255" t="s">
        <v>30907</v>
      </c>
      <c r="H14255" t="s">
        <v>30915</v>
      </c>
      <c r="I14255" t="s">
        <v>30919</v>
      </c>
      <c r="J14255" t="s">
        <v>39883</v>
      </c>
      <c r="K14255" t="s">
        <v>40289</v>
      </c>
      <c r="M14255" t="s">
        <v>42653</v>
      </c>
      <c r="N14255" t="s">
        <v>44759</v>
      </c>
      <c r="O14255" t="s">
        <v>44760</v>
      </c>
      <c r="P14255">
        <v>0</v>
      </c>
      <c r="Q14255">
        <v>0</v>
      </c>
      <c r="R14255" t="s">
        <v>44784</v>
      </c>
      <c r="S14255" t="s">
        <v>45911</v>
      </c>
      <c r="T14255" t="s">
        <v>46625</v>
      </c>
      <c r="U14255" t="s">
        <v>55148</v>
      </c>
      <c r="W14255" t="s">
        <v>42653</v>
      </c>
      <c r="X14255" t="s">
        <v>44786</v>
      </c>
    </row>
    <row r="14256" spans="1:24">
      <c r="A14256">
        <f>HYPERLINK("https://www.philgeps.gov.ph/GEPSNONPILOT/Tender/SplashBidNoticeAbstractUI.aspx?menuIndex=3&amp;refID=7089602&amp;Result=3","7089602")</f>
        <v>0</v>
      </c>
      <c r="B14256" t="s">
        <v>1542</v>
      </c>
      <c r="C14256" t="s">
        <v>17324</v>
      </c>
      <c r="E14256" t="s">
        <v>30329</v>
      </c>
      <c r="F14256" t="s">
        <v>30900</v>
      </c>
      <c r="G14256" t="s">
        <v>30907</v>
      </c>
      <c r="H14256" t="s">
        <v>30916</v>
      </c>
      <c r="I14256" t="s">
        <v>30949</v>
      </c>
      <c r="J14256" t="s">
        <v>36599</v>
      </c>
      <c r="K14256" t="s">
        <v>40286</v>
      </c>
      <c r="M14256" t="s">
        <v>44667</v>
      </c>
      <c r="N14256" t="s">
        <v>44759</v>
      </c>
      <c r="O14256" t="s">
        <v>44760</v>
      </c>
      <c r="Q14256">
        <v>6</v>
      </c>
      <c r="R14256" t="s">
        <v>44787</v>
      </c>
      <c r="S14256" t="s">
        <v>46004</v>
      </c>
      <c r="T14256" t="s">
        <v>46399</v>
      </c>
      <c r="U14256" t="s">
        <v>58567</v>
      </c>
      <c r="W14256" t="s">
        <v>44667</v>
      </c>
      <c r="X14256" t="s">
        <v>44791</v>
      </c>
    </row>
    <row r="14257" spans="1:24">
      <c r="A14257">
        <f>HYPERLINK("https://www.philgeps.gov.ph/GEPSNONPILOT/Tender/SplashBidNoticeAbstractUI.aspx?menuIndex=3&amp;refID=7100878&amp;Result=3","7100878")</f>
        <v>0</v>
      </c>
      <c r="B14257" t="s">
        <v>2581</v>
      </c>
      <c r="C14257" t="s">
        <v>17325</v>
      </c>
      <c r="E14257" t="s">
        <v>30330</v>
      </c>
      <c r="F14257" t="s">
        <v>30900</v>
      </c>
      <c r="G14257" t="s">
        <v>30909</v>
      </c>
      <c r="H14257" t="s">
        <v>30916</v>
      </c>
      <c r="I14257" t="s">
        <v>11785</v>
      </c>
      <c r="J14257" t="s">
        <v>32333</v>
      </c>
      <c r="K14257" t="s">
        <v>40286</v>
      </c>
      <c r="M14257" t="s">
        <v>44669</v>
      </c>
      <c r="N14257" t="s">
        <v>44759</v>
      </c>
      <c r="O14257" t="s">
        <v>44760</v>
      </c>
      <c r="Q14257">
        <v>9</v>
      </c>
      <c r="R14257" t="s">
        <v>44785</v>
      </c>
      <c r="S14257" t="s">
        <v>46005</v>
      </c>
      <c r="T14257" t="s">
        <v>46581</v>
      </c>
      <c r="U14257" t="s">
        <v>58568</v>
      </c>
      <c r="W14257" t="s">
        <v>44669</v>
      </c>
      <c r="X14257" t="s">
        <v>44787</v>
      </c>
    </row>
    <row r="14258" spans="1:24">
      <c r="A14258">
        <f>HYPERLINK("https://www.philgeps.gov.ph/GEPSNONPILOT/Tender/SplashBidNoticeAbstractUI.aspx?menuIndex=3&amp;refID=7103774&amp;Result=3","7103774")</f>
        <v>0</v>
      </c>
      <c r="B14258" t="s">
        <v>1967</v>
      </c>
      <c r="C14258" t="s">
        <v>17326</v>
      </c>
      <c r="D14258" t="s">
        <v>17988</v>
      </c>
      <c r="E14258" t="s">
        <v>30331</v>
      </c>
      <c r="F14258" t="s">
        <v>30900</v>
      </c>
      <c r="G14258" t="s">
        <v>30907</v>
      </c>
      <c r="H14258" t="s">
        <v>30915</v>
      </c>
      <c r="I14258" t="s">
        <v>30919</v>
      </c>
      <c r="J14258" t="s">
        <v>39884</v>
      </c>
      <c r="K14258" t="s">
        <v>40289</v>
      </c>
      <c r="M14258" t="s">
        <v>42653</v>
      </c>
      <c r="N14258" t="s">
        <v>44759</v>
      </c>
      <c r="O14258" t="s">
        <v>44760</v>
      </c>
      <c r="P14258">
        <v>0</v>
      </c>
      <c r="Q14258">
        <v>1</v>
      </c>
      <c r="R14258" t="s">
        <v>44784</v>
      </c>
      <c r="S14258" t="s">
        <v>45911</v>
      </c>
      <c r="T14258" t="s">
        <v>46625</v>
      </c>
      <c r="U14258" t="s">
        <v>55148</v>
      </c>
      <c r="W14258" t="s">
        <v>42653</v>
      </c>
      <c r="X14258" t="s">
        <v>44786</v>
      </c>
    </row>
    <row r="14259" spans="1:24">
      <c r="A14259">
        <f>HYPERLINK("https://www.philgeps.gov.ph/GEPSNONPILOT/Tender/SplashBidNoticeAbstractUI.aspx?menuIndex=3&amp;refID=7098596&amp;Result=3","7098596")</f>
        <v>0</v>
      </c>
      <c r="B14259" t="s">
        <v>1754</v>
      </c>
      <c r="C14259" t="s">
        <v>17327</v>
      </c>
      <c r="E14259" t="s">
        <v>30332</v>
      </c>
      <c r="F14259" t="s">
        <v>30900</v>
      </c>
      <c r="G14259" t="s">
        <v>30907</v>
      </c>
      <c r="H14259" t="s">
        <v>30915</v>
      </c>
      <c r="I14259" t="s">
        <v>30919</v>
      </c>
      <c r="J14259" t="s">
        <v>39885</v>
      </c>
      <c r="K14259" t="s">
        <v>40289</v>
      </c>
      <c r="M14259" t="s">
        <v>42424</v>
      </c>
      <c r="N14259" t="s">
        <v>44759</v>
      </c>
      <c r="O14259" t="s">
        <v>44760</v>
      </c>
      <c r="Q14259">
        <v>12</v>
      </c>
      <c r="R14259" t="s">
        <v>44784</v>
      </c>
      <c r="S14259" t="s">
        <v>46006</v>
      </c>
      <c r="T14259" t="s">
        <v>46411</v>
      </c>
      <c r="U14259" t="s">
        <v>52464</v>
      </c>
      <c r="W14259" t="s">
        <v>42424</v>
      </c>
      <c r="X14259" t="s">
        <v>44788</v>
      </c>
    </row>
    <row r="14260" spans="1:24">
      <c r="A14260">
        <f>HYPERLINK("https://www.philgeps.gov.ph/GEPSNONPILOT/Tender/SplashBidNoticeAbstractUI.aspx?menuIndex=3&amp;refID=7090288&amp;Result=3","7090288")</f>
        <v>0</v>
      </c>
      <c r="B14260" t="s">
        <v>1542</v>
      </c>
      <c r="C14260" t="s">
        <v>17328</v>
      </c>
      <c r="E14260" t="s">
        <v>30333</v>
      </c>
      <c r="F14260" t="s">
        <v>30900</v>
      </c>
      <c r="G14260" t="s">
        <v>30907</v>
      </c>
      <c r="H14260" t="s">
        <v>30916</v>
      </c>
      <c r="I14260" t="s">
        <v>30947</v>
      </c>
      <c r="J14260" t="s">
        <v>39886</v>
      </c>
      <c r="K14260" t="s">
        <v>40286</v>
      </c>
      <c r="M14260" t="s">
        <v>44667</v>
      </c>
      <c r="N14260" t="s">
        <v>44759</v>
      </c>
      <c r="O14260" t="s">
        <v>44760</v>
      </c>
      <c r="Q14260">
        <v>5</v>
      </c>
      <c r="R14260" t="s">
        <v>44787</v>
      </c>
      <c r="S14260" t="s">
        <v>46007</v>
      </c>
      <c r="T14260" t="s">
        <v>46399</v>
      </c>
      <c r="U14260" t="s">
        <v>58569</v>
      </c>
      <c r="W14260" t="s">
        <v>44667</v>
      </c>
      <c r="X14260" t="s">
        <v>44791</v>
      </c>
    </row>
    <row r="14261" spans="1:24">
      <c r="A14261">
        <f>HYPERLINK("https://www.philgeps.gov.ph/GEPSNONPILOT/Tender/SplashBidNoticeAbstractUI.aspx?menuIndex=3&amp;refID=7103563&amp;Result=3","7103563")</f>
        <v>0</v>
      </c>
      <c r="B14261" t="s">
        <v>2374</v>
      </c>
      <c r="C14261" t="s">
        <v>17329</v>
      </c>
      <c r="D14261" t="s">
        <v>17959</v>
      </c>
      <c r="E14261" t="s">
        <v>30334</v>
      </c>
      <c r="F14261" t="s">
        <v>30904</v>
      </c>
      <c r="G14261" t="s">
        <v>30913</v>
      </c>
      <c r="H14261" t="s">
        <v>30916</v>
      </c>
      <c r="I14261" t="s">
        <v>30924</v>
      </c>
      <c r="J14261" t="s">
        <v>39887</v>
      </c>
      <c r="K14261" t="s">
        <v>40280</v>
      </c>
      <c r="M14261" t="s">
        <v>43100</v>
      </c>
      <c r="N14261" t="s">
        <v>44759</v>
      </c>
      <c r="O14261" t="s">
        <v>44760</v>
      </c>
      <c r="Q14261">
        <v>14</v>
      </c>
      <c r="R14261" t="s">
        <v>44784</v>
      </c>
      <c r="S14261" t="s">
        <v>46008</v>
      </c>
      <c r="T14261" t="s">
        <v>46658</v>
      </c>
      <c r="U14261" t="s">
        <v>58570</v>
      </c>
      <c r="V14261" t="s">
        <v>60732</v>
      </c>
      <c r="W14261" t="s">
        <v>43100</v>
      </c>
      <c r="X14261" t="s">
        <v>44785</v>
      </c>
    </row>
    <row r="14262" spans="1:24">
      <c r="A14262">
        <f>HYPERLINK("https://www.philgeps.gov.ph/GEPSNONPILOT/Tender/SplashBidNoticeAbstractUI.aspx?menuIndex=3&amp;refID=7097868&amp;Result=3","7097868")</f>
        <v>0</v>
      </c>
      <c r="B14262" t="s">
        <v>3715</v>
      </c>
      <c r="C14262" t="s">
        <v>17330</v>
      </c>
      <c r="D14262" t="s">
        <v>17993</v>
      </c>
      <c r="E14262" t="s">
        <v>30335</v>
      </c>
      <c r="F14262" t="s">
        <v>30900</v>
      </c>
      <c r="G14262" t="s">
        <v>30907</v>
      </c>
      <c r="H14262" t="s">
        <v>7411</v>
      </c>
      <c r="I14262" t="s">
        <v>30919</v>
      </c>
      <c r="J14262" t="s">
        <v>39888</v>
      </c>
      <c r="K14262" t="s">
        <v>40451</v>
      </c>
      <c r="L14262" t="s">
        <v>3715</v>
      </c>
      <c r="M14262" t="s">
        <v>44686</v>
      </c>
      <c r="N14262" t="s">
        <v>44759</v>
      </c>
      <c r="O14262" t="s">
        <v>44760</v>
      </c>
      <c r="P14262">
        <v>0</v>
      </c>
      <c r="Q14262">
        <v>5</v>
      </c>
      <c r="R14262" t="s">
        <v>44784</v>
      </c>
      <c r="S14262" t="s">
        <v>45911</v>
      </c>
      <c r="T14262" t="s">
        <v>46389</v>
      </c>
      <c r="U14262" t="s">
        <v>58571</v>
      </c>
      <c r="W14262" t="s">
        <v>44686</v>
      </c>
      <c r="X14262" t="s">
        <v>44788</v>
      </c>
    </row>
    <row r="14263" spans="1:24">
      <c r="A14263">
        <f>HYPERLINK("https://www.philgeps.gov.ph/GEPSNONPILOT/Tender/SplashBidNoticeAbstractUI.aspx?menuIndex=3&amp;refID=7092948&amp;Result=3","7092948")</f>
        <v>0</v>
      </c>
      <c r="B14263" t="s">
        <v>1240</v>
      </c>
      <c r="C14263" t="s">
        <v>17331</v>
      </c>
      <c r="D14263" t="s">
        <v>18010</v>
      </c>
      <c r="E14263" t="s">
        <v>30336</v>
      </c>
      <c r="F14263" t="s">
        <v>30900</v>
      </c>
      <c r="G14263" t="s">
        <v>30907</v>
      </c>
      <c r="H14263" t="s">
        <v>30915</v>
      </c>
      <c r="I14263" t="s">
        <v>30919</v>
      </c>
      <c r="J14263" t="s">
        <v>31152</v>
      </c>
      <c r="K14263" t="s">
        <v>40292</v>
      </c>
      <c r="M14263" t="s">
        <v>41852</v>
      </c>
      <c r="N14263" t="s">
        <v>44759</v>
      </c>
      <c r="O14263" t="s">
        <v>44760</v>
      </c>
      <c r="P14263">
        <v>0</v>
      </c>
      <c r="Q14263">
        <v>74</v>
      </c>
      <c r="R14263" t="s">
        <v>44784</v>
      </c>
      <c r="S14263" t="s">
        <v>45911</v>
      </c>
      <c r="T14263" t="s">
        <v>46625</v>
      </c>
      <c r="U14263" t="s">
        <v>58572</v>
      </c>
      <c r="V14263" t="s">
        <v>60711</v>
      </c>
      <c r="W14263" t="s">
        <v>41852</v>
      </c>
      <c r="X14263" t="s">
        <v>44790</v>
      </c>
    </row>
    <row r="14264" spans="1:24">
      <c r="A14264">
        <f>HYPERLINK("https://www.philgeps.gov.ph/GEPSNONPILOT/Tender/SplashBidNoticeAbstractUI.aspx?menuIndex=3&amp;refID=7086177&amp;Result=3","7086177")</f>
        <v>0</v>
      </c>
      <c r="B14264" t="s">
        <v>1487</v>
      </c>
      <c r="C14264" t="s">
        <v>17332</v>
      </c>
      <c r="D14264" t="s">
        <v>18011</v>
      </c>
      <c r="E14264" t="s">
        <v>30337</v>
      </c>
      <c r="F14264" t="s">
        <v>30900</v>
      </c>
      <c r="G14264" t="s">
        <v>30907</v>
      </c>
      <c r="H14264" t="s">
        <v>30915</v>
      </c>
      <c r="I14264" t="s">
        <v>30919</v>
      </c>
      <c r="J14264" t="s">
        <v>39889</v>
      </c>
      <c r="K14264" t="s">
        <v>40312</v>
      </c>
      <c r="M14264" t="s">
        <v>42124</v>
      </c>
      <c r="N14264" t="s">
        <v>44759</v>
      </c>
      <c r="O14264" t="s">
        <v>44760</v>
      </c>
      <c r="Q14264">
        <v>1</v>
      </c>
      <c r="R14264" t="s">
        <v>44791</v>
      </c>
      <c r="S14264" t="s">
        <v>46009</v>
      </c>
      <c r="T14264" t="s">
        <v>46658</v>
      </c>
      <c r="U14264" t="s">
        <v>58573</v>
      </c>
      <c r="W14264" t="s">
        <v>42124</v>
      </c>
      <c r="X14264" t="s">
        <v>44792</v>
      </c>
    </row>
    <row r="14265" spans="1:24">
      <c r="A14265">
        <f>HYPERLINK("https://www.philgeps.gov.ph/GEPSNONPILOT/Tender/SplashBidNoticeAbstractUI.aspx?menuIndex=3&amp;refID=7084998&amp;Result=3","7084998")</f>
        <v>0</v>
      </c>
      <c r="B14265" t="s">
        <v>281</v>
      </c>
      <c r="C14265" t="s">
        <v>17333</v>
      </c>
      <c r="D14265" t="s">
        <v>17952</v>
      </c>
      <c r="E14265" t="s">
        <v>30338</v>
      </c>
      <c r="F14265" t="s">
        <v>30900</v>
      </c>
      <c r="G14265" t="s">
        <v>30908</v>
      </c>
      <c r="H14265" t="s">
        <v>30916</v>
      </c>
      <c r="I14265" t="s">
        <v>5501</v>
      </c>
      <c r="J14265" t="s">
        <v>39890</v>
      </c>
      <c r="K14265" t="s">
        <v>40283</v>
      </c>
      <c r="M14265" t="s">
        <v>40828</v>
      </c>
      <c r="N14265" t="s">
        <v>44759</v>
      </c>
      <c r="O14265" t="s">
        <v>44760</v>
      </c>
      <c r="Q14265">
        <v>0</v>
      </c>
      <c r="R14265" t="s">
        <v>44791</v>
      </c>
      <c r="S14265" t="s">
        <v>46010</v>
      </c>
      <c r="T14265" t="s">
        <v>46483</v>
      </c>
      <c r="U14265" t="s">
        <v>58574</v>
      </c>
      <c r="W14265" t="s">
        <v>40828</v>
      </c>
      <c r="X14265" t="s">
        <v>44792</v>
      </c>
    </row>
    <row r="14266" spans="1:24">
      <c r="A14266">
        <f>HYPERLINK("https://www.philgeps.gov.ph/GEPSNONPILOT/Tender/SplashBidNoticeAbstractUI.aspx?menuIndex=3&amp;refID=7100686&amp;Result=3","7100686")</f>
        <v>0</v>
      </c>
      <c r="B14266" t="s">
        <v>1251</v>
      </c>
      <c r="C14266" t="s">
        <v>17334</v>
      </c>
      <c r="D14266" t="s">
        <v>17963</v>
      </c>
      <c r="E14266" t="s">
        <v>30339</v>
      </c>
      <c r="F14266" t="s">
        <v>30900</v>
      </c>
      <c r="G14266" t="s">
        <v>30907</v>
      </c>
      <c r="H14266" t="s">
        <v>30916</v>
      </c>
      <c r="I14266" t="s">
        <v>9385</v>
      </c>
      <c r="J14266" t="s">
        <v>36767</v>
      </c>
      <c r="K14266" t="s">
        <v>40293</v>
      </c>
      <c r="M14266" t="s">
        <v>41863</v>
      </c>
      <c r="N14266" t="s">
        <v>44759</v>
      </c>
      <c r="O14266" t="s">
        <v>44760</v>
      </c>
      <c r="Q14266">
        <v>15</v>
      </c>
      <c r="R14266" t="s">
        <v>44787</v>
      </c>
      <c r="S14266" t="s">
        <v>46011</v>
      </c>
      <c r="T14266" t="s">
        <v>46531</v>
      </c>
      <c r="U14266" t="s">
        <v>58575</v>
      </c>
      <c r="W14266" t="s">
        <v>41863</v>
      </c>
      <c r="X14266" t="s">
        <v>44788</v>
      </c>
    </row>
    <row r="14267" spans="1:24">
      <c r="A14267">
        <f>HYPERLINK("https://www.philgeps.gov.ph/GEPSNONPILOT/Tender/SplashBidNoticeAbstractUI.aspx?menuIndex=3&amp;refID=7100708&amp;Result=3","7100708")</f>
        <v>0</v>
      </c>
      <c r="B14267" t="s">
        <v>1251</v>
      </c>
      <c r="C14267" t="s">
        <v>17335</v>
      </c>
      <c r="D14267" t="s">
        <v>17963</v>
      </c>
      <c r="E14267" t="s">
        <v>30340</v>
      </c>
      <c r="F14267" t="s">
        <v>30900</v>
      </c>
      <c r="G14267" t="s">
        <v>30907</v>
      </c>
      <c r="H14267" t="s">
        <v>30915</v>
      </c>
      <c r="I14267" t="s">
        <v>30919</v>
      </c>
      <c r="J14267" t="s">
        <v>39891</v>
      </c>
      <c r="K14267" t="s">
        <v>40295</v>
      </c>
      <c r="M14267" t="s">
        <v>41863</v>
      </c>
      <c r="N14267" t="s">
        <v>44759</v>
      </c>
      <c r="O14267" t="s">
        <v>44760</v>
      </c>
      <c r="P14267">
        <v>0</v>
      </c>
      <c r="Q14267">
        <v>5</v>
      </c>
      <c r="R14267" t="s">
        <v>44784</v>
      </c>
      <c r="S14267" t="s">
        <v>45911</v>
      </c>
      <c r="T14267" t="s">
        <v>46425</v>
      </c>
      <c r="U14267" t="s">
        <v>58576</v>
      </c>
      <c r="W14267" t="s">
        <v>41863</v>
      </c>
      <c r="X14267" t="s">
        <v>44788</v>
      </c>
    </row>
    <row r="14268" spans="1:24">
      <c r="A14268">
        <f>HYPERLINK("https://www.philgeps.gov.ph/GEPSNONPILOT/Tender/SplashBidNoticeAbstractUI.aspx?menuIndex=3&amp;refID=7090739&amp;Result=3","7090739")</f>
        <v>0</v>
      </c>
      <c r="B14268" t="s">
        <v>3716</v>
      </c>
      <c r="C14268" t="s">
        <v>17336</v>
      </c>
      <c r="D14268" t="s">
        <v>17984</v>
      </c>
      <c r="E14268" t="s">
        <v>30341</v>
      </c>
      <c r="F14268" t="s">
        <v>30900</v>
      </c>
      <c r="G14268" t="s">
        <v>30907</v>
      </c>
      <c r="H14268" t="s">
        <v>30916</v>
      </c>
      <c r="I14268" t="s">
        <v>30949</v>
      </c>
      <c r="J14268" t="s">
        <v>32324</v>
      </c>
      <c r="K14268" t="s">
        <v>40287</v>
      </c>
      <c r="M14268" t="s">
        <v>44687</v>
      </c>
      <c r="N14268" t="s">
        <v>44759</v>
      </c>
      <c r="O14268" t="s">
        <v>44760</v>
      </c>
      <c r="Q14268">
        <v>4</v>
      </c>
      <c r="R14268" t="s">
        <v>44790</v>
      </c>
      <c r="S14268" t="s">
        <v>46012</v>
      </c>
      <c r="T14268" t="s">
        <v>46591</v>
      </c>
      <c r="U14268" t="s">
        <v>58577</v>
      </c>
      <c r="V14268" t="s">
        <v>60733</v>
      </c>
      <c r="W14268" t="s">
        <v>44687</v>
      </c>
      <c r="X14268" t="s">
        <v>44791</v>
      </c>
    </row>
    <row r="14269" spans="1:24">
      <c r="A14269">
        <f>HYPERLINK("https://www.philgeps.gov.ph/GEPSNONPILOT/Tender/SplashBidNoticeAbstractUI.aspx?menuIndex=3&amp;refID=7075621&amp;Result=3","7075621")</f>
        <v>0</v>
      </c>
      <c r="B14269" t="s">
        <v>3580</v>
      </c>
      <c r="C14269" t="s">
        <v>17337</v>
      </c>
      <c r="D14269" t="s">
        <v>17992</v>
      </c>
      <c r="E14269" t="s">
        <v>30342</v>
      </c>
      <c r="F14269" t="s">
        <v>30900</v>
      </c>
      <c r="G14269" t="s">
        <v>30907</v>
      </c>
      <c r="H14269" t="s">
        <v>30915</v>
      </c>
      <c r="I14269" t="s">
        <v>30919</v>
      </c>
      <c r="J14269" t="s">
        <v>31152</v>
      </c>
      <c r="K14269" t="s">
        <v>40426</v>
      </c>
      <c r="M14269" t="s">
        <v>44505</v>
      </c>
      <c r="N14269" t="s">
        <v>44759</v>
      </c>
      <c r="O14269" t="s">
        <v>44760</v>
      </c>
      <c r="Q14269">
        <v>3</v>
      </c>
      <c r="R14269" t="s">
        <v>44791</v>
      </c>
      <c r="S14269" t="s">
        <v>46013</v>
      </c>
      <c r="T14269" t="s">
        <v>46625</v>
      </c>
      <c r="U14269" t="s">
        <v>58578</v>
      </c>
      <c r="W14269" t="s">
        <v>44505</v>
      </c>
      <c r="X14269" t="s">
        <v>44798</v>
      </c>
    </row>
    <row r="14270" spans="1:24">
      <c r="A14270">
        <f>HYPERLINK("https://www.philgeps.gov.ph/GEPSNONPILOT/Tender/SplashBidNoticeAbstractUI.aspx?menuIndex=3&amp;refID=7090715&amp;Result=3","7090715")</f>
        <v>0</v>
      </c>
      <c r="B14270" t="s">
        <v>3716</v>
      </c>
      <c r="C14270" t="s">
        <v>17338</v>
      </c>
      <c r="D14270" t="s">
        <v>17984</v>
      </c>
      <c r="E14270" t="s">
        <v>30343</v>
      </c>
      <c r="F14270" t="s">
        <v>30900</v>
      </c>
      <c r="G14270" t="s">
        <v>30907</v>
      </c>
      <c r="H14270" t="s">
        <v>30916</v>
      </c>
      <c r="I14270" t="s">
        <v>30949</v>
      </c>
      <c r="J14270" t="s">
        <v>35135</v>
      </c>
      <c r="K14270" t="s">
        <v>40287</v>
      </c>
      <c r="M14270" t="s">
        <v>44687</v>
      </c>
      <c r="N14270" t="s">
        <v>44759</v>
      </c>
      <c r="O14270" t="s">
        <v>44760</v>
      </c>
      <c r="Q14270">
        <v>5</v>
      </c>
      <c r="R14270" t="s">
        <v>44790</v>
      </c>
      <c r="S14270" t="s">
        <v>44998</v>
      </c>
      <c r="T14270" t="s">
        <v>46591</v>
      </c>
      <c r="U14270" t="s">
        <v>58579</v>
      </c>
      <c r="V14270" t="s">
        <v>60733</v>
      </c>
      <c r="W14270" t="s">
        <v>44687</v>
      </c>
      <c r="X14270" t="s">
        <v>44791</v>
      </c>
    </row>
    <row r="14271" spans="1:24">
      <c r="A14271">
        <f>HYPERLINK("https://www.philgeps.gov.ph/GEPSNONPILOT/Tender/SplashBidNoticeAbstractUI.aspx?menuIndex=3&amp;refID=7100701&amp;Result=3","7100701")</f>
        <v>0</v>
      </c>
      <c r="B14271" t="s">
        <v>1251</v>
      </c>
      <c r="C14271" t="s">
        <v>17339</v>
      </c>
      <c r="D14271" t="s">
        <v>17963</v>
      </c>
      <c r="E14271" t="s">
        <v>30344</v>
      </c>
      <c r="F14271" t="s">
        <v>30900</v>
      </c>
      <c r="G14271" t="s">
        <v>30907</v>
      </c>
      <c r="H14271" t="s">
        <v>30916</v>
      </c>
      <c r="I14271" t="s">
        <v>31026</v>
      </c>
      <c r="J14271" t="s">
        <v>34878</v>
      </c>
      <c r="K14271" t="s">
        <v>40286</v>
      </c>
      <c r="M14271" t="s">
        <v>41863</v>
      </c>
      <c r="N14271" t="s">
        <v>44759</v>
      </c>
      <c r="O14271" t="s">
        <v>44760</v>
      </c>
      <c r="Q14271">
        <v>4</v>
      </c>
      <c r="R14271" t="s">
        <v>44785</v>
      </c>
      <c r="S14271" t="s">
        <v>46014</v>
      </c>
      <c r="T14271" t="s">
        <v>46531</v>
      </c>
      <c r="U14271" t="s">
        <v>58580</v>
      </c>
      <c r="W14271" t="s">
        <v>41863</v>
      </c>
      <c r="X14271" t="s">
        <v>44788</v>
      </c>
    </row>
    <row r="14272" spans="1:24">
      <c r="A14272">
        <f>HYPERLINK("https://www.philgeps.gov.ph/GEPSNONPILOT/Tender/SplashBidNoticeAbstractUI.aspx?menuIndex=3&amp;refID=6794095&amp;Result=3","6794095")</f>
        <v>0</v>
      </c>
      <c r="B14272" t="s">
        <v>1970</v>
      </c>
      <c r="C14272" t="s">
        <v>17340</v>
      </c>
      <c r="D14272" t="s">
        <v>17984</v>
      </c>
      <c r="E14272" t="s">
        <v>30345</v>
      </c>
      <c r="F14272" t="s">
        <v>30900</v>
      </c>
      <c r="G14272" t="s">
        <v>30907</v>
      </c>
      <c r="H14272" t="s">
        <v>30915</v>
      </c>
      <c r="I14272" t="s">
        <v>30919</v>
      </c>
      <c r="J14272" t="s">
        <v>32808</v>
      </c>
      <c r="K14272" t="s">
        <v>40312</v>
      </c>
      <c r="M14272" t="s">
        <v>44688</v>
      </c>
      <c r="N14272" t="s">
        <v>44759</v>
      </c>
      <c r="O14272" t="s">
        <v>44760</v>
      </c>
      <c r="Q14272">
        <v>10</v>
      </c>
      <c r="R14272" t="s">
        <v>44791</v>
      </c>
      <c r="S14272" t="s">
        <v>46015</v>
      </c>
      <c r="T14272" t="s">
        <v>46411</v>
      </c>
      <c r="U14272" t="s">
        <v>58581</v>
      </c>
      <c r="V14272" t="s">
        <v>60734</v>
      </c>
      <c r="W14272" t="s">
        <v>44688</v>
      </c>
      <c r="X14272" t="s">
        <v>60962</v>
      </c>
    </row>
    <row r="14273" spans="1:24">
      <c r="A14273">
        <f>HYPERLINK("https://www.philgeps.gov.ph/GEPSNONPILOT/Tender/SplashBidNoticeAbstractUI.aspx?menuIndex=3&amp;refID=7090233&amp;Result=3","7090233")</f>
        <v>0</v>
      </c>
      <c r="B14273" t="s">
        <v>33</v>
      </c>
      <c r="C14273" t="s">
        <v>17341</v>
      </c>
      <c r="D14273" t="s">
        <v>17960</v>
      </c>
      <c r="E14273" t="s">
        <v>30346</v>
      </c>
      <c r="F14273" t="s">
        <v>30900</v>
      </c>
      <c r="G14273" t="s">
        <v>30907</v>
      </c>
      <c r="H14273" t="s">
        <v>30916</v>
      </c>
      <c r="I14273" t="s">
        <v>30922</v>
      </c>
      <c r="J14273" t="s">
        <v>39892</v>
      </c>
      <c r="K14273" t="s">
        <v>40342</v>
      </c>
      <c r="M14273" t="s">
        <v>40579</v>
      </c>
      <c r="N14273" t="s">
        <v>44759</v>
      </c>
      <c r="O14273" t="s">
        <v>44760</v>
      </c>
      <c r="Q14273">
        <v>10</v>
      </c>
      <c r="R14273" t="s">
        <v>44790</v>
      </c>
      <c r="S14273" t="s">
        <v>46016</v>
      </c>
      <c r="T14273" t="s">
        <v>46399</v>
      </c>
      <c r="U14273" t="s">
        <v>58582</v>
      </c>
      <c r="V14273" t="s">
        <v>60735</v>
      </c>
      <c r="W14273" t="s">
        <v>40579</v>
      </c>
      <c r="X14273" t="s">
        <v>44791</v>
      </c>
    </row>
    <row r="14274" spans="1:24">
      <c r="A14274">
        <f>HYPERLINK("https://www.philgeps.gov.ph/GEPSNONPILOT/Tender/SplashBidNoticeAbstractUI.aspx?menuIndex=3&amp;refID=7090286&amp;Result=3","7090286")</f>
        <v>0</v>
      </c>
      <c r="B14274" t="s">
        <v>1487</v>
      </c>
      <c r="C14274" t="s">
        <v>17342</v>
      </c>
      <c r="D14274" t="s">
        <v>18011</v>
      </c>
      <c r="E14274" t="s">
        <v>30347</v>
      </c>
      <c r="F14274" t="s">
        <v>30900</v>
      </c>
      <c r="G14274" t="s">
        <v>30907</v>
      </c>
      <c r="H14274" t="s">
        <v>30915</v>
      </c>
      <c r="I14274" t="s">
        <v>30919</v>
      </c>
      <c r="J14274" t="s">
        <v>36367</v>
      </c>
      <c r="K14274" t="s">
        <v>40304</v>
      </c>
      <c r="M14274" t="s">
        <v>42124</v>
      </c>
      <c r="N14274" t="s">
        <v>44759</v>
      </c>
      <c r="O14274" t="s">
        <v>44760</v>
      </c>
      <c r="Q14274">
        <v>0</v>
      </c>
      <c r="R14274" t="s">
        <v>44790</v>
      </c>
      <c r="S14274" t="s">
        <v>46017</v>
      </c>
      <c r="T14274" t="s">
        <v>46658</v>
      </c>
      <c r="U14274" t="s">
        <v>58583</v>
      </c>
      <c r="W14274" t="s">
        <v>42124</v>
      </c>
      <c r="X14274" t="s">
        <v>44791</v>
      </c>
    </row>
    <row r="14275" spans="1:24">
      <c r="A14275">
        <f>HYPERLINK("https://www.philgeps.gov.ph/GEPSNONPILOT/Tender/SplashBidNoticeAbstractUI.aspx?menuIndex=3&amp;refID=7103760&amp;Result=3","7103760")</f>
        <v>0</v>
      </c>
      <c r="B14275" t="s">
        <v>1967</v>
      </c>
      <c r="C14275" t="s">
        <v>17343</v>
      </c>
      <c r="D14275" t="s">
        <v>17988</v>
      </c>
      <c r="E14275" t="s">
        <v>30348</v>
      </c>
      <c r="F14275" t="s">
        <v>30900</v>
      </c>
      <c r="G14275" t="s">
        <v>30907</v>
      </c>
      <c r="H14275" t="s">
        <v>30915</v>
      </c>
      <c r="I14275" t="s">
        <v>30919</v>
      </c>
      <c r="J14275" t="s">
        <v>39893</v>
      </c>
      <c r="K14275" t="s">
        <v>40289</v>
      </c>
      <c r="M14275" t="s">
        <v>42653</v>
      </c>
      <c r="N14275" t="s">
        <v>44759</v>
      </c>
      <c r="O14275" t="s">
        <v>44760</v>
      </c>
      <c r="P14275">
        <v>0</v>
      </c>
      <c r="Q14275">
        <v>0</v>
      </c>
      <c r="R14275" t="s">
        <v>44784</v>
      </c>
      <c r="S14275" t="s">
        <v>45911</v>
      </c>
      <c r="T14275" t="s">
        <v>46625</v>
      </c>
      <c r="U14275" t="s">
        <v>55148</v>
      </c>
      <c r="W14275" t="s">
        <v>42653</v>
      </c>
      <c r="X14275" t="s">
        <v>44786</v>
      </c>
    </row>
    <row r="14276" spans="1:24">
      <c r="A14276">
        <f>HYPERLINK("https://www.philgeps.gov.ph/GEPSNONPILOT/Tender/SplashBidNoticeAbstractUI.aspx?menuIndex=3&amp;refID=7090063&amp;Result=3","7090063")</f>
        <v>0</v>
      </c>
      <c r="B14276" t="s">
        <v>2160</v>
      </c>
      <c r="C14276" t="s">
        <v>17344</v>
      </c>
      <c r="D14276" t="s">
        <v>18002</v>
      </c>
      <c r="E14276" t="s">
        <v>30349</v>
      </c>
      <c r="F14276" t="s">
        <v>30900</v>
      </c>
      <c r="G14276" t="s">
        <v>30907</v>
      </c>
      <c r="H14276" t="s">
        <v>30916</v>
      </c>
      <c r="I14276" t="s">
        <v>5501</v>
      </c>
      <c r="J14276" t="s">
        <v>39894</v>
      </c>
      <c r="K14276" t="s">
        <v>40289</v>
      </c>
      <c r="M14276" t="s">
        <v>42865</v>
      </c>
      <c r="N14276" t="s">
        <v>44759</v>
      </c>
      <c r="O14276" t="s">
        <v>44760</v>
      </c>
      <c r="Q14276">
        <v>10</v>
      </c>
      <c r="R14276" t="s">
        <v>44790</v>
      </c>
      <c r="S14276" t="s">
        <v>46018</v>
      </c>
      <c r="T14276" t="s">
        <v>46843</v>
      </c>
      <c r="U14276" t="s">
        <v>58584</v>
      </c>
      <c r="W14276" t="s">
        <v>42865</v>
      </c>
      <c r="X14276" t="s">
        <v>44791</v>
      </c>
    </row>
    <row r="14277" spans="1:24">
      <c r="A14277">
        <f>HYPERLINK("https://www.philgeps.gov.ph/GEPSNONPILOT/Tender/SplashBidNoticeAbstractUI.aspx?menuIndex=3&amp;refID=7090207&amp;Result=3","7090207")</f>
        <v>0</v>
      </c>
      <c r="B14277" t="s">
        <v>1187</v>
      </c>
      <c r="C14277" t="s">
        <v>17345</v>
      </c>
      <c r="E14277" t="s">
        <v>30350</v>
      </c>
      <c r="F14277" t="s">
        <v>30900</v>
      </c>
      <c r="G14277" t="s">
        <v>30907</v>
      </c>
      <c r="H14277" t="s">
        <v>30915</v>
      </c>
      <c r="I14277" t="s">
        <v>30919</v>
      </c>
      <c r="J14277" t="s">
        <v>39895</v>
      </c>
      <c r="K14277" t="s">
        <v>40289</v>
      </c>
      <c r="M14277" t="s">
        <v>41796</v>
      </c>
      <c r="N14277" t="s">
        <v>44759</v>
      </c>
      <c r="O14277" t="s">
        <v>44760</v>
      </c>
      <c r="Q14277">
        <v>10</v>
      </c>
      <c r="R14277" t="s">
        <v>44790</v>
      </c>
      <c r="S14277" t="s">
        <v>46019</v>
      </c>
      <c r="T14277" t="s">
        <v>46581</v>
      </c>
      <c r="U14277" t="s">
        <v>58585</v>
      </c>
      <c r="W14277" t="s">
        <v>41796</v>
      </c>
      <c r="X14277" t="s">
        <v>44791</v>
      </c>
    </row>
    <row r="14278" spans="1:24">
      <c r="A14278">
        <f>HYPERLINK("https://www.philgeps.gov.ph/GEPSNONPILOT/Tender/SplashBidNoticeAbstractUI.aspx?menuIndex=3&amp;refID=7089924&amp;Result=3","7089924")</f>
        <v>0</v>
      </c>
      <c r="B14278" t="s">
        <v>1523</v>
      </c>
      <c r="C14278" t="s">
        <v>17346</v>
      </c>
      <c r="D14278" t="s">
        <v>18010</v>
      </c>
      <c r="E14278" t="s">
        <v>30351</v>
      </c>
      <c r="F14278" t="s">
        <v>30899</v>
      </c>
      <c r="G14278" t="s">
        <v>30907</v>
      </c>
      <c r="H14278" t="s">
        <v>7411</v>
      </c>
      <c r="I14278" t="s">
        <v>7411</v>
      </c>
      <c r="J14278" t="s">
        <v>39896</v>
      </c>
      <c r="K14278" t="s">
        <v>40306</v>
      </c>
      <c r="L14278" t="s">
        <v>1523</v>
      </c>
      <c r="M14278" t="s">
        <v>42165</v>
      </c>
      <c r="N14278" t="s">
        <v>44759</v>
      </c>
      <c r="O14278" t="s">
        <v>44760</v>
      </c>
      <c r="Q14278">
        <v>7</v>
      </c>
      <c r="R14278" t="s">
        <v>44790</v>
      </c>
      <c r="S14278" t="s">
        <v>46020</v>
      </c>
      <c r="T14278" t="s">
        <v>46533</v>
      </c>
      <c r="U14278" t="s">
        <v>58586</v>
      </c>
      <c r="W14278" t="s">
        <v>42165</v>
      </c>
      <c r="X14278" t="s">
        <v>44791</v>
      </c>
    </row>
    <row r="14279" spans="1:24">
      <c r="A14279">
        <f>HYPERLINK("https://www.philgeps.gov.ph/GEPSNONPILOT/Tender/SplashBidNoticeAbstractUI.aspx?menuIndex=3&amp;refID=7090510&amp;Result=3","7090510")</f>
        <v>0</v>
      </c>
      <c r="B14279" t="s">
        <v>2872</v>
      </c>
      <c r="C14279" t="s">
        <v>17347</v>
      </c>
      <c r="E14279" t="s">
        <v>30352</v>
      </c>
      <c r="F14279" t="s">
        <v>30900</v>
      </c>
      <c r="G14279" t="s">
        <v>30907</v>
      </c>
      <c r="H14279" t="s">
        <v>30916</v>
      </c>
      <c r="I14279" t="s">
        <v>30924</v>
      </c>
      <c r="J14279" t="s">
        <v>39897</v>
      </c>
      <c r="K14279" t="s">
        <v>40289</v>
      </c>
      <c r="M14279" t="s">
        <v>43661</v>
      </c>
      <c r="N14279" t="s">
        <v>44759</v>
      </c>
      <c r="O14279" t="s">
        <v>44760</v>
      </c>
      <c r="Q14279">
        <v>10</v>
      </c>
      <c r="R14279" t="s">
        <v>44790</v>
      </c>
      <c r="S14279" t="s">
        <v>46021</v>
      </c>
      <c r="T14279" t="s">
        <v>46429</v>
      </c>
      <c r="U14279" t="s">
        <v>58587</v>
      </c>
      <c r="V14279" t="s">
        <v>60736</v>
      </c>
      <c r="W14279" t="s">
        <v>43661</v>
      </c>
      <c r="X14279" t="s">
        <v>44791</v>
      </c>
    </row>
    <row r="14280" spans="1:24">
      <c r="A14280">
        <f>HYPERLINK("https://www.philgeps.gov.ph/GEPSNONPILOT/Tender/SplashBidNoticeAbstractUI.aspx?menuIndex=3&amp;refID=7089619&amp;Result=3","7089619")</f>
        <v>0</v>
      </c>
      <c r="B14280" t="s">
        <v>1352</v>
      </c>
      <c r="C14280" t="s">
        <v>17348</v>
      </c>
      <c r="D14280" t="s">
        <v>18057</v>
      </c>
      <c r="E14280" t="s">
        <v>30353</v>
      </c>
      <c r="F14280" t="s">
        <v>30900</v>
      </c>
      <c r="G14280" t="s">
        <v>30907</v>
      </c>
      <c r="H14280" t="s">
        <v>30916</v>
      </c>
      <c r="I14280" t="s">
        <v>30923</v>
      </c>
      <c r="J14280" t="s">
        <v>39898</v>
      </c>
      <c r="K14280" t="s">
        <v>40324</v>
      </c>
      <c r="M14280" t="s">
        <v>41974</v>
      </c>
      <c r="N14280" t="s">
        <v>44759</v>
      </c>
      <c r="O14280" t="s">
        <v>44760</v>
      </c>
      <c r="Q14280">
        <v>14</v>
      </c>
      <c r="R14280" t="s">
        <v>44790</v>
      </c>
      <c r="S14280" t="s">
        <v>46022</v>
      </c>
      <c r="T14280" t="s">
        <v>46418</v>
      </c>
      <c r="U14280" t="s">
        <v>58588</v>
      </c>
      <c r="V14280" t="s">
        <v>60737</v>
      </c>
      <c r="W14280" t="s">
        <v>60946</v>
      </c>
      <c r="X14280" t="s">
        <v>44791</v>
      </c>
    </row>
    <row r="14281" spans="1:24">
      <c r="A14281">
        <f>HYPERLINK("https://www.philgeps.gov.ph/GEPSNONPILOT/Tender/SplashBidNoticeAbstractUI.aspx?menuIndex=3&amp;refID=7089894&amp;Result=3","7089894")</f>
        <v>0</v>
      </c>
      <c r="B14281" t="s">
        <v>3066</v>
      </c>
      <c r="C14281" t="s">
        <v>9896</v>
      </c>
      <c r="D14281" t="s">
        <v>17966</v>
      </c>
      <c r="E14281" t="s">
        <v>30354</v>
      </c>
      <c r="F14281" t="s">
        <v>30899</v>
      </c>
      <c r="G14281" t="s">
        <v>30907</v>
      </c>
      <c r="H14281" t="s">
        <v>30917</v>
      </c>
      <c r="I14281" t="s">
        <v>4142</v>
      </c>
      <c r="J14281" t="s">
        <v>39899</v>
      </c>
      <c r="K14281" t="s">
        <v>40334</v>
      </c>
      <c r="M14281" t="s">
        <v>43877</v>
      </c>
      <c r="N14281" t="s">
        <v>44759</v>
      </c>
      <c r="O14281" t="s">
        <v>44760</v>
      </c>
      <c r="Q14281">
        <v>11</v>
      </c>
      <c r="R14281" t="s">
        <v>44790</v>
      </c>
      <c r="S14281" t="s">
        <v>46023</v>
      </c>
      <c r="T14281" t="s">
        <v>46374</v>
      </c>
      <c r="U14281" t="s">
        <v>58589</v>
      </c>
      <c r="W14281" t="s">
        <v>43877</v>
      </c>
      <c r="X14281" t="s">
        <v>44791</v>
      </c>
    </row>
    <row r="14282" spans="1:24">
      <c r="A14282">
        <f>HYPERLINK("https://www.philgeps.gov.ph/GEPSNONPILOT/Tender/SplashBidNoticeAbstractUI.aspx?menuIndex=3&amp;refID=7079321&amp;Result=3","7079321")</f>
        <v>0</v>
      </c>
      <c r="B14282" t="s">
        <v>3710</v>
      </c>
      <c r="C14282" t="s">
        <v>17349</v>
      </c>
      <c r="D14282" t="s">
        <v>18000</v>
      </c>
      <c r="E14282" t="s">
        <v>30355</v>
      </c>
      <c r="F14282" t="s">
        <v>30900</v>
      </c>
      <c r="G14282" t="s">
        <v>30907</v>
      </c>
      <c r="H14282" t="s">
        <v>30915</v>
      </c>
      <c r="I14282" t="s">
        <v>30919</v>
      </c>
      <c r="J14282" t="s">
        <v>39900</v>
      </c>
      <c r="K14282" t="s">
        <v>40404</v>
      </c>
      <c r="M14282" t="s">
        <v>44677</v>
      </c>
      <c r="N14282" t="s">
        <v>44759</v>
      </c>
      <c r="O14282" t="s">
        <v>44760</v>
      </c>
      <c r="Q14282">
        <v>3</v>
      </c>
      <c r="R14282" t="s">
        <v>44792</v>
      </c>
      <c r="S14282" t="s">
        <v>46024</v>
      </c>
      <c r="T14282" t="s">
        <v>46429</v>
      </c>
      <c r="U14282" t="s">
        <v>58515</v>
      </c>
      <c r="W14282" t="s">
        <v>44677</v>
      </c>
      <c r="X14282" t="s">
        <v>44795</v>
      </c>
    </row>
    <row r="14283" spans="1:24">
      <c r="A14283">
        <f>HYPERLINK("https://www.philgeps.gov.ph/GEPSNONPILOT/Tender/SplashBidNoticeAbstractUI.aspx?menuIndex=3&amp;refID=7103769&amp;Result=3","7103769")</f>
        <v>0</v>
      </c>
      <c r="B14283" t="s">
        <v>1967</v>
      </c>
      <c r="C14283" t="s">
        <v>17350</v>
      </c>
      <c r="D14283" t="s">
        <v>17988</v>
      </c>
      <c r="E14283" t="s">
        <v>30356</v>
      </c>
      <c r="F14283" t="s">
        <v>30900</v>
      </c>
      <c r="G14283" t="s">
        <v>30907</v>
      </c>
      <c r="H14283" t="s">
        <v>30915</v>
      </c>
      <c r="I14283" t="s">
        <v>30919</v>
      </c>
      <c r="J14283" t="s">
        <v>39901</v>
      </c>
      <c r="K14283" t="s">
        <v>40289</v>
      </c>
      <c r="M14283" t="s">
        <v>42653</v>
      </c>
      <c r="N14283" t="s">
        <v>44759</v>
      </c>
      <c r="O14283" t="s">
        <v>44760</v>
      </c>
      <c r="P14283">
        <v>0</v>
      </c>
      <c r="Q14283">
        <v>0</v>
      </c>
      <c r="R14283" t="s">
        <v>44784</v>
      </c>
      <c r="S14283" t="s">
        <v>45911</v>
      </c>
      <c r="T14283" t="s">
        <v>46625</v>
      </c>
      <c r="U14283" t="s">
        <v>55148</v>
      </c>
      <c r="W14283" t="s">
        <v>42653</v>
      </c>
      <c r="X14283" t="s">
        <v>44786</v>
      </c>
    </row>
    <row r="14284" spans="1:24">
      <c r="A14284">
        <f>HYPERLINK("https://www.philgeps.gov.ph/GEPSNONPILOT/Tender/SplashBidNoticeAbstractUI.aspx?menuIndex=3&amp;refID=7090206&amp;Result=3","7090206")</f>
        <v>0</v>
      </c>
      <c r="B14284" t="s">
        <v>3672</v>
      </c>
      <c r="C14284" t="s">
        <v>17351</v>
      </c>
      <c r="D14284" t="s">
        <v>17957</v>
      </c>
      <c r="E14284" t="s">
        <v>30357</v>
      </c>
      <c r="F14284" t="s">
        <v>30900</v>
      </c>
      <c r="G14284" t="s">
        <v>30907</v>
      </c>
      <c r="H14284" t="s">
        <v>30915</v>
      </c>
      <c r="I14284" t="s">
        <v>30919</v>
      </c>
      <c r="J14284" t="s">
        <v>39902</v>
      </c>
      <c r="K14284" t="s">
        <v>40392</v>
      </c>
      <c r="M14284" t="s">
        <v>44623</v>
      </c>
      <c r="N14284" t="s">
        <v>44759</v>
      </c>
      <c r="O14284" t="s">
        <v>44760</v>
      </c>
      <c r="Q14284">
        <v>1</v>
      </c>
      <c r="R14284" t="s">
        <v>44790</v>
      </c>
      <c r="S14284" t="s">
        <v>46025</v>
      </c>
      <c r="T14284" t="s">
        <v>46357</v>
      </c>
      <c r="U14284" t="s">
        <v>58220</v>
      </c>
      <c r="W14284" t="s">
        <v>44623</v>
      </c>
      <c r="X14284" t="s">
        <v>44791</v>
      </c>
    </row>
    <row r="14285" spans="1:24">
      <c r="A14285">
        <f>HYPERLINK("https://www.philgeps.gov.ph/GEPSNONPILOT/Tender/SplashBidNoticeAbstractUI.aspx?menuIndex=3&amp;refID=7083363&amp;Result=3","7083363")</f>
        <v>0</v>
      </c>
      <c r="B14285" t="s">
        <v>103</v>
      </c>
      <c r="C14285" t="s">
        <v>17352</v>
      </c>
      <c r="D14285" t="s">
        <v>17979</v>
      </c>
      <c r="E14285" t="s">
        <v>30358</v>
      </c>
      <c r="F14285" t="s">
        <v>30900</v>
      </c>
      <c r="G14285" t="s">
        <v>30909</v>
      </c>
      <c r="H14285" t="s">
        <v>30916</v>
      </c>
      <c r="I14285" t="s">
        <v>30924</v>
      </c>
      <c r="J14285" t="s">
        <v>39903</v>
      </c>
      <c r="K14285" t="s">
        <v>40287</v>
      </c>
      <c r="M14285" t="s">
        <v>40650</v>
      </c>
      <c r="N14285" t="s">
        <v>44759</v>
      </c>
      <c r="O14285" t="s">
        <v>44760</v>
      </c>
      <c r="Q14285">
        <v>3</v>
      </c>
      <c r="R14285" t="s">
        <v>44793</v>
      </c>
      <c r="S14285" t="s">
        <v>46026</v>
      </c>
      <c r="T14285" t="s">
        <v>46548</v>
      </c>
      <c r="U14285" t="s">
        <v>58590</v>
      </c>
      <c r="W14285" t="s">
        <v>40650</v>
      </c>
      <c r="X14285" t="s">
        <v>44794</v>
      </c>
    </row>
    <row r="14286" spans="1:24">
      <c r="A14286">
        <f>HYPERLINK("https://www.philgeps.gov.ph/GEPSNONPILOT/Tender/SplashBidNoticeAbstractUI.aspx?menuIndex=3&amp;refID=7090311&amp;Result=3","7090311")</f>
        <v>0</v>
      </c>
      <c r="B14286" t="s">
        <v>281</v>
      </c>
      <c r="C14286" t="s">
        <v>17333</v>
      </c>
      <c r="D14286" t="s">
        <v>18000</v>
      </c>
      <c r="E14286" t="s">
        <v>30359</v>
      </c>
      <c r="F14286" t="s">
        <v>30900</v>
      </c>
      <c r="G14286" t="s">
        <v>30908</v>
      </c>
      <c r="H14286" t="s">
        <v>30916</v>
      </c>
      <c r="I14286" t="s">
        <v>5501</v>
      </c>
      <c r="J14286" t="s">
        <v>32289</v>
      </c>
      <c r="K14286" t="s">
        <v>40293</v>
      </c>
      <c r="M14286" t="s">
        <v>40828</v>
      </c>
      <c r="N14286" t="s">
        <v>44759</v>
      </c>
      <c r="O14286" t="s">
        <v>44760</v>
      </c>
      <c r="Q14286">
        <v>1</v>
      </c>
      <c r="R14286" t="s">
        <v>44790</v>
      </c>
      <c r="S14286" t="s">
        <v>46027</v>
      </c>
      <c r="T14286" t="s">
        <v>46483</v>
      </c>
      <c r="U14286" t="s">
        <v>58591</v>
      </c>
      <c r="W14286" t="s">
        <v>40828</v>
      </c>
      <c r="X14286" t="s">
        <v>44791</v>
      </c>
    </row>
    <row r="14287" spans="1:24">
      <c r="A14287">
        <f>HYPERLINK("https://www.philgeps.gov.ph/GEPSNONPILOT/Tender/SplashBidNoticeAbstractUI.aspx?menuIndex=3&amp;refID=7050833&amp;Result=3","7050833")</f>
        <v>0</v>
      </c>
      <c r="B14287" t="s">
        <v>626</v>
      </c>
      <c r="C14287" t="s">
        <v>17353</v>
      </c>
      <c r="E14287" t="s">
        <v>30360</v>
      </c>
      <c r="F14287" t="s">
        <v>30900</v>
      </c>
      <c r="G14287" t="s">
        <v>30907</v>
      </c>
      <c r="H14287" t="s">
        <v>30916</v>
      </c>
      <c r="I14287" t="s">
        <v>4050</v>
      </c>
      <c r="J14287" t="s">
        <v>31139</v>
      </c>
      <c r="K14287" t="s">
        <v>40289</v>
      </c>
      <c r="M14287" t="s">
        <v>41188</v>
      </c>
      <c r="N14287" t="s">
        <v>44759</v>
      </c>
      <c r="O14287" t="s">
        <v>44760</v>
      </c>
      <c r="Q14287">
        <v>3</v>
      </c>
      <c r="R14287" t="s">
        <v>44792</v>
      </c>
      <c r="S14287" t="s">
        <v>46028</v>
      </c>
      <c r="T14287" t="s">
        <v>46558</v>
      </c>
      <c r="U14287" t="s">
        <v>58592</v>
      </c>
      <c r="V14287" t="s">
        <v>60738</v>
      </c>
      <c r="W14287" t="s">
        <v>41188</v>
      </c>
      <c r="X14287" t="s">
        <v>44806</v>
      </c>
    </row>
    <row r="14288" spans="1:24">
      <c r="A14288">
        <f>HYPERLINK("https://www.philgeps.gov.ph/GEPSNONPILOT/Tender/SplashBidNoticeAbstractUI.aspx?menuIndex=3&amp;refID=7086883&amp;Result=3","7086883")</f>
        <v>0</v>
      </c>
      <c r="B14288" t="s">
        <v>877</v>
      </c>
      <c r="C14288" t="s">
        <v>17354</v>
      </c>
      <c r="D14288" t="s">
        <v>18023</v>
      </c>
      <c r="E14288" t="s">
        <v>30361</v>
      </c>
      <c r="F14288" t="s">
        <v>30900</v>
      </c>
      <c r="G14288" t="s">
        <v>30907</v>
      </c>
      <c r="H14288" t="s">
        <v>7411</v>
      </c>
      <c r="I14288" t="s">
        <v>7411</v>
      </c>
      <c r="J14288" t="s">
        <v>39904</v>
      </c>
      <c r="K14288" t="s">
        <v>40304</v>
      </c>
      <c r="M14288" t="s">
        <v>41450</v>
      </c>
      <c r="N14288" t="s">
        <v>44759</v>
      </c>
      <c r="O14288" t="s">
        <v>44760</v>
      </c>
      <c r="Q14288">
        <v>4</v>
      </c>
      <c r="R14288" t="s">
        <v>44793</v>
      </c>
      <c r="S14288" t="s">
        <v>46029</v>
      </c>
      <c r="T14288" t="s">
        <v>46376</v>
      </c>
      <c r="U14288" t="s">
        <v>58593</v>
      </c>
      <c r="W14288" t="s">
        <v>41450</v>
      </c>
      <c r="X14288" t="s">
        <v>44792</v>
      </c>
    </row>
    <row r="14289" spans="1:24">
      <c r="A14289">
        <f>HYPERLINK("https://www.philgeps.gov.ph/GEPSNONPILOT/Tender/SplashBidNoticeAbstractUI.aspx?menuIndex=3&amp;refID=7086861&amp;Result=3","7086861")</f>
        <v>0</v>
      </c>
      <c r="B14289" t="s">
        <v>877</v>
      </c>
      <c r="C14289" t="s">
        <v>17355</v>
      </c>
      <c r="D14289" t="s">
        <v>18023</v>
      </c>
      <c r="E14289" t="s">
        <v>30362</v>
      </c>
      <c r="F14289" t="s">
        <v>30900</v>
      </c>
      <c r="G14289" t="s">
        <v>30907</v>
      </c>
      <c r="H14289" t="s">
        <v>7411</v>
      </c>
      <c r="I14289" t="s">
        <v>7411</v>
      </c>
      <c r="J14289" t="s">
        <v>39905</v>
      </c>
      <c r="K14289" t="s">
        <v>40390</v>
      </c>
      <c r="M14289" t="s">
        <v>41450</v>
      </c>
      <c r="N14289" t="s">
        <v>44759</v>
      </c>
      <c r="O14289" t="s">
        <v>44760</v>
      </c>
      <c r="Q14289">
        <v>8</v>
      </c>
      <c r="R14289" t="s">
        <v>44793</v>
      </c>
      <c r="S14289" t="s">
        <v>46030</v>
      </c>
      <c r="T14289" t="s">
        <v>46357</v>
      </c>
      <c r="U14289" t="s">
        <v>58593</v>
      </c>
      <c r="W14289" t="s">
        <v>41450</v>
      </c>
      <c r="X14289" t="s">
        <v>44792</v>
      </c>
    </row>
    <row r="14290" spans="1:24">
      <c r="A14290">
        <f>HYPERLINK("https://www.philgeps.gov.ph/GEPSNONPILOT/Tender/SplashBidNoticeAbstractUI.aspx?menuIndex=3&amp;refID=7087042&amp;Result=3","7087042")</f>
        <v>0</v>
      </c>
      <c r="B14290" t="s">
        <v>1133</v>
      </c>
      <c r="C14290" t="s">
        <v>17356</v>
      </c>
      <c r="D14290" t="s">
        <v>17959</v>
      </c>
      <c r="E14290" t="s">
        <v>30363</v>
      </c>
      <c r="F14290" t="s">
        <v>30900</v>
      </c>
      <c r="G14290" t="s">
        <v>30907</v>
      </c>
      <c r="H14290" t="s">
        <v>30916</v>
      </c>
      <c r="I14290" t="s">
        <v>4545</v>
      </c>
      <c r="J14290" t="s">
        <v>31241</v>
      </c>
      <c r="K14290" t="s">
        <v>40289</v>
      </c>
      <c r="M14290" t="s">
        <v>41736</v>
      </c>
      <c r="N14290" t="s">
        <v>44759</v>
      </c>
      <c r="O14290" t="s">
        <v>44760</v>
      </c>
      <c r="Q14290">
        <v>1</v>
      </c>
      <c r="R14290" t="s">
        <v>44793</v>
      </c>
      <c r="S14290" t="s">
        <v>46031</v>
      </c>
      <c r="T14290" t="s">
        <v>46357</v>
      </c>
      <c r="U14290" t="s">
        <v>58594</v>
      </c>
      <c r="W14290" t="s">
        <v>41736</v>
      </c>
      <c r="X14290" t="s">
        <v>44792</v>
      </c>
    </row>
    <row r="14291" spans="1:24">
      <c r="A14291">
        <f>HYPERLINK("https://www.philgeps.gov.ph/GEPSNONPILOT/Tender/SplashBidNoticeAbstractUI.aspx?menuIndex=3&amp;refID=7079343&amp;Result=3","7079343")</f>
        <v>0</v>
      </c>
      <c r="B14291" t="s">
        <v>3710</v>
      </c>
      <c r="C14291" t="s">
        <v>17357</v>
      </c>
      <c r="D14291" t="s">
        <v>18000</v>
      </c>
      <c r="E14291" t="s">
        <v>30364</v>
      </c>
      <c r="F14291" t="s">
        <v>30900</v>
      </c>
      <c r="G14291" t="s">
        <v>30907</v>
      </c>
      <c r="H14291" t="s">
        <v>30915</v>
      </c>
      <c r="I14291" t="s">
        <v>30919</v>
      </c>
      <c r="J14291" t="s">
        <v>39906</v>
      </c>
      <c r="K14291" t="s">
        <v>40304</v>
      </c>
      <c r="M14291" t="s">
        <v>44677</v>
      </c>
      <c r="N14291" t="s">
        <v>44759</v>
      </c>
      <c r="O14291" t="s">
        <v>44760</v>
      </c>
      <c r="Q14291">
        <v>3</v>
      </c>
      <c r="R14291" t="s">
        <v>44792</v>
      </c>
      <c r="S14291" t="s">
        <v>46032</v>
      </c>
      <c r="T14291" t="s">
        <v>46429</v>
      </c>
      <c r="U14291" t="s">
        <v>58515</v>
      </c>
      <c r="W14291" t="s">
        <v>44677</v>
      </c>
      <c r="X14291" t="s">
        <v>44795</v>
      </c>
    </row>
    <row r="14292" spans="1:24">
      <c r="A14292">
        <f>HYPERLINK("https://www.philgeps.gov.ph/GEPSNONPILOT/Tender/SplashBidNoticeAbstractUI.aspx?menuIndex=3&amp;refID=7079162&amp;Result=3","7079162")</f>
        <v>0</v>
      </c>
      <c r="B14292" t="s">
        <v>2535</v>
      </c>
      <c r="C14292" t="s">
        <v>17358</v>
      </c>
      <c r="D14292" t="s">
        <v>17959</v>
      </c>
      <c r="E14292" t="s">
        <v>30365</v>
      </c>
      <c r="F14292" t="s">
        <v>30900</v>
      </c>
      <c r="G14292" t="s">
        <v>30910</v>
      </c>
      <c r="H14292" t="s">
        <v>30916</v>
      </c>
      <c r="I14292" t="s">
        <v>8123</v>
      </c>
      <c r="J14292" t="s">
        <v>39907</v>
      </c>
      <c r="K14292" t="s">
        <v>40283</v>
      </c>
      <c r="M14292" t="s">
        <v>44689</v>
      </c>
      <c r="N14292" t="s">
        <v>44759</v>
      </c>
      <c r="O14292" t="s">
        <v>44760</v>
      </c>
      <c r="Q14292">
        <v>6</v>
      </c>
      <c r="R14292" t="s">
        <v>44792</v>
      </c>
      <c r="S14292" t="s">
        <v>44891</v>
      </c>
      <c r="T14292" t="s">
        <v>46390</v>
      </c>
      <c r="U14292" t="s">
        <v>58595</v>
      </c>
      <c r="W14292" t="s">
        <v>44689</v>
      </c>
      <c r="X14292" t="s">
        <v>44795</v>
      </c>
    </row>
    <row r="14293" spans="1:24">
      <c r="A14293">
        <f>HYPERLINK("https://www.philgeps.gov.ph/GEPSNONPILOT/Tender/SplashBidNoticeAbstractUI.aspx?menuIndex=3&amp;refID=7084922&amp;Result=3","7084922")</f>
        <v>0</v>
      </c>
      <c r="B14293" t="s">
        <v>3717</v>
      </c>
      <c r="C14293" t="s">
        <v>17359</v>
      </c>
      <c r="D14293" t="s">
        <v>17976</v>
      </c>
      <c r="E14293" t="s">
        <v>30366</v>
      </c>
      <c r="F14293" t="s">
        <v>30900</v>
      </c>
      <c r="G14293" t="s">
        <v>30907</v>
      </c>
      <c r="H14293" t="s">
        <v>30915</v>
      </c>
      <c r="I14293" t="s">
        <v>30919</v>
      </c>
      <c r="J14293" t="s">
        <v>32616</v>
      </c>
      <c r="K14293" t="s">
        <v>40304</v>
      </c>
      <c r="M14293" t="s">
        <v>44690</v>
      </c>
      <c r="N14293" t="s">
        <v>44759</v>
      </c>
      <c r="O14293" t="s">
        <v>44760</v>
      </c>
      <c r="P14293">
        <v>0</v>
      </c>
      <c r="Q14293">
        <v>1</v>
      </c>
      <c r="R14293" t="s">
        <v>44793</v>
      </c>
      <c r="S14293" t="s">
        <v>46033</v>
      </c>
      <c r="T14293" t="s">
        <v>46535</v>
      </c>
      <c r="U14293" t="s">
        <v>58596</v>
      </c>
      <c r="W14293" t="s">
        <v>44690</v>
      </c>
      <c r="X14293" t="s">
        <v>44792</v>
      </c>
    </row>
    <row r="14294" spans="1:24">
      <c r="A14294">
        <f>HYPERLINK("https://www.philgeps.gov.ph/GEPSNONPILOT/Tender/SplashBidNoticeAbstractUI.aspx?menuIndex=3&amp;refID=7085024&amp;Result=3","7085024")</f>
        <v>0</v>
      </c>
      <c r="B14294" t="s">
        <v>3717</v>
      </c>
      <c r="C14294" t="s">
        <v>5004</v>
      </c>
      <c r="E14294" t="s">
        <v>30367</v>
      </c>
      <c r="F14294" t="s">
        <v>30900</v>
      </c>
      <c r="G14294" t="s">
        <v>30907</v>
      </c>
      <c r="H14294" t="s">
        <v>30915</v>
      </c>
      <c r="I14294" t="s">
        <v>30919</v>
      </c>
      <c r="J14294" t="s">
        <v>32324</v>
      </c>
      <c r="K14294" t="s">
        <v>40292</v>
      </c>
      <c r="M14294" t="s">
        <v>44690</v>
      </c>
      <c r="N14294" t="s">
        <v>44759</v>
      </c>
      <c r="O14294" t="s">
        <v>44760</v>
      </c>
      <c r="P14294">
        <v>0</v>
      </c>
      <c r="Q14294">
        <v>1</v>
      </c>
      <c r="R14294" t="s">
        <v>44793</v>
      </c>
      <c r="S14294" t="s">
        <v>46033</v>
      </c>
      <c r="T14294" t="s">
        <v>46535</v>
      </c>
      <c r="U14294" t="s">
        <v>58597</v>
      </c>
      <c r="W14294" t="s">
        <v>44690</v>
      </c>
      <c r="X14294" t="s">
        <v>44792</v>
      </c>
    </row>
    <row r="14295" spans="1:24">
      <c r="A14295">
        <f>HYPERLINK("https://www.philgeps.gov.ph/GEPSNONPILOT/Tender/SplashBidNoticeAbstractUI.aspx?menuIndex=3&amp;refID=7084969&amp;Result=3","7084969")</f>
        <v>0</v>
      </c>
      <c r="B14295" t="s">
        <v>3717</v>
      </c>
      <c r="C14295" t="s">
        <v>17360</v>
      </c>
      <c r="E14295" t="s">
        <v>30368</v>
      </c>
      <c r="F14295" t="s">
        <v>30900</v>
      </c>
      <c r="G14295" t="s">
        <v>30907</v>
      </c>
      <c r="H14295" t="s">
        <v>30915</v>
      </c>
      <c r="I14295" t="s">
        <v>30919</v>
      </c>
      <c r="J14295" t="s">
        <v>32808</v>
      </c>
      <c r="K14295" t="s">
        <v>40301</v>
      </c>
      <c r="M14295" t="s">
        <v>44690</v>
      </c>
      <c r="N14295" t="s">
        <v>44759</v>
      </c>
      <c r="O14295" t="s">
        <v>44760</v>
      </c>
      <c r="P14295">
        <v>0</v>
      </c>
      <c r="Q14295">
        <v>1</v>
      </c>
      <c r="R14295" t="s">
        <v>44793</v>
      </c>
      <c r="S14295" t="s">
        <v>46033</v>
      </c>
      <c r="T14295" t="s">
        <v>46457</v>
      </c>
      <c r="U14295" t="s">
        <v>58598</v>
      </c>
      <c r="W14295" t="s">
        <v>44690</v>
      </c>
      <c r="X14295" t="s">
        <v>44792</v>
      </c>
    </row>
    <row r="14296" spans="1:24">
      <c r="A14296">
        <f>HYPERLINK("https://www.philgeps.gov.ph/GEPSNONPILOT/Tender/SplashBidNoticeAbstractUI.aspx?menuIndex=3&amp;refID=7084884&amp;Result=3","7084884")</f>
        <v>0</v>
      </c>
      <c r="B14296" t="s">
        <v>1004</v>
      </c>
      <c r="C14296" t="s">
        <v>17361</v>
      </c>
      <c r="D14296" t="s">
        <v>17959</v>
      </c>
      <c r="E14296" t="s">
        <v>30369</v>
      </c>
      <c r="F14296" t="s">
        <v>30900</v>
      </c>
      <c r="G14296" t="s">
        <v>30910</v>
      </c>
      <c r="H14296" t="s">
        <v>30916</v>
      </c>
      <c r="I14296" t="s">
        <v>4142</v>
      </c>
      <c r="J14296" t="s">
        <v>39908</v>
      </c>
      <c r="K14296" t="s">
        <v>40283</v>
      </c>
      <c r="M14296" t="s">
        <v>44680</v>
      </c>
      <c r="N14296" t="s">
        <v>44759</v>
      </c>
      <c r="O14296" t="s">
        <v>44760</v>
      </c>
      <c r="Q14296">
        <v>6</v>
      </c>
      <c r="R14296" t="s">
        <v>44793</v>
      </c>
      <c r="S14296" t="s">
        <v>46034</v>
      </c>
      <c r="T14296" t="s">
        <v>46625</v>
      </c>
      <c r="U14296" t="s">
        <v>58599</v>
      </c>
      <c r="V14296" t="s">
        <v>60727</v>
      </c>
      <c r="W14296" t="s">
        <v>44680</v>
      </c>
      <c r="X14296" t="s">
        <v>44792</v>
      </c>
    </row>
    <row r="14297" spans="1:24">
      <c r="A14297">
        <f>HYPERLINK("https://www.philgeps.gov.ph/GEPSNONPILOT/Tender/SplashBidNoticeAbstractUI.aspx?menuIndex=3&amp;refID=7079386&amp;Result=3","7079386")</f>
        <v>0</v>
      </c>
      <c r="B14297" t="s">
        <v>3710</v>
      </c>
      <c r="C14297" t="s">
        <v>17362</v>
      </c>
      <c r="D14297" t="s">
        <v>18000</v>
      </c>
      <c r="E14297" t="s">
        <v>30370</v>
      </c>
      <c r="F14297" t="s">
        <v>30900</v>
      </c>
      <c r="G14297" t="s">
        <v>30907</v>
      </c>
      <c r="H14297" t="s">
        <v>30915</v>
      </c>
      <c r="I14297" t="s">
        <v>30919</v>
      </c>
      <c r="J14297" t="s">
        <v>39909</v>
      </c>
      <c r="K14297" t="s">
        <v>40404</v>
      </c>
      <c r="M14297" t="s">
        <v>44677</v>
      </c>
      <c r="N14297" t="s">
        <v>44759</v>
      </c>
      <c r="O14297" t="s">
        <v>44760</v>
      </c>
      <c r="Q14297">
        <v>3</v>
      </c>
      <c r="R14297" t="s">
        <v>44792</v>
      </c>
      <c r="S14297" t="s">
        <v>45333</v>
      </c>
      <c r="T14297" t="s">
        <v>46429</v>
      </c>
      <c r="U14297" t="s">
        <v>58515</v>
      </c>
      <c r="W14297" t="s">
        <v>44677</v>
      </c>
      <c r="X14297" t="s">
        <v>44795</v>
      </c>
    </row>
    <row r="14298" spans="1:24">
      <c r="A14298">
        <f>HYPERLINK("https://www.philgeps.gov.ph/GEPSNONPILOT/Tender/SplashBidNoticeAbstractUI.aspx?menuIndex=3&amp;refID=7084963&amp;Result=3","7084963")</f>
        <v>0</v>
      </c>
      <c r="B14298" t="s">
        <v>2696</v>
      </c>
      <c r="C14298" t="s">
        <v>17363</v>
      </c>
      <c r="E14298" t="s">
        <v>30371</v>
      </c>
      <c r="F14298" t="s">
        <v>30900</v>
      </c>
      <c r="G14298" t="s">
        <v>30907</v>
      </c>
      <c r="H14298" t="s">
        <v>30916</v>
      </c>
      <c r="I14298" t="s">
        <v>30949</v>
      </c>
      <c r="J14298" t="s">
        <v>39910</v>
      </c>
      <c r="K14298" t="s">
        <v>40292</v>
      </c>
      <c r="M14298" t="s">
        <v>43468</v>
      </c>
      <c r="N14298" t="s">
        <v>44759</v>
      </c>
      <c r="O14298" t="s">
        <v>44760</v>
      </c>
      <c r="Q14298">
        <v>17</v>
      </c>
      <c r="R14298" t="s">
        <v>44793</v>
      </c>
      <c r="S14298" t="s">
        <v>45769</v>
      </c>
      <c r="T14298" t="s">
        <v>46414</v>
      </c>
      <c r="U14298" t="s">
        <v>58600</v>
      </c>
      <c r="W14298" t="s">
        <v>43468</v>
      </c>
      <c r="X14298" t="s">
        <v>44792</v>
      </c>
    </row>
    <row r="14299" spans="1:24">
      <c r="A14299">
        <f>HYPERLINK("https://www.philgeps.gov.ph/GEPSNONPILOT/Tender/SplashBidNoticeAbstractUI.aspx?menuIndex=3&amp;refID=7084897&amp;Result=3","7084897")</f>
        <v>0</v>
      </c>
      <c r="B14299" t="s">
        <v>3717</v>
      </c>
      <c r="C14299" t="s">
        <v>17364</v>
      </c>
      <c r="E14299" t="s">
        <v>30372</v>
      </c>
      <c r="F14299" t="s">
        <v>30900</v>
      </c>
      <c r="G14299" t="s">
        <v>30911</v>
      </c>
      <c r="H14299" t="s">
        <v>30915</v>
      </c>
      <c r="I14299" t="s">
        <v>30919</v>
      </c>
      <c r="J14299" t="s">
        <v>32324</v>
      </c>
      <c r="K14299" t="s">
        <v>40292</v>
      </c>
      <c r="M14299" t="s">
        <v>44690</v>
      </c>
      <c r="N14299" t="s">
        <v>44759</v>
      </c>
      <c r="O14299" t="s">
        <v>44760</v>
      </c>
      <c r="P14299">
        <v>0</v>
      </c>
      <c r="Q14299">
        <v>0</v>
      </c>
      <c r="R14299" t="s">
        <v>44793</v>
      </c>
      <c r="S14299" t="s">
        <v>46033</v>
      </c>
      <c r="T14299" t="s">
        <v>46363</v>
      </c>
      <c r="U14299" t="s">
        <v>58601</v>
      </c>
      <c r="W14299" t="s">
        <v>44690</v>
      </c>
      <c r="X14299" t="s">
        <v>44792</v>
      </c>
    </row>
    <row r="14300" spans="1:24">
      <c r="A14300">
        <f>HYPERLINK("https://www.philgeps.gov.ph/GEPSNONPILOT/Tender/SplashBidNoticeAbstractUI.aspx?menuIndex=3&amp;refID=7084629&amp;Result=3","7084629")</f>
        <v>0</v>
      </c>
      <c r="B14300" t="s">
        <v>1232</v>
      </c>
      <c r="C14300" t="s">
        <v>17365</v>
      </c>
      <c r="D14300" t="s">
        <v>17969</v>
      </c>
      <c r="E14300" t="s">
        <v>30373</v>
      </c>
      <c r="F14300" t="s">
        <v>30900</v>
      </c>
      <c r="G14300" t="s">
        <v>30908</v>
      </c>
      <c r="H14300" t="s">
        <v>30916</v>
      </c>
      <c r="I14300" t="s">
        <v>30942</v>
      </c>
      <c r="J14300" t="s">
        <v>31944</v>
      </c>
      <c r="K14300" t="s">
        <v>40354</v>
      </c>
      <c r="M14300" t="s">
        <v>41844</v>
      </c>
      <c r="N14300" t="s">
        <v>44759</v>
      </c>
      <c r="O14300" t="s">
        <v>44760</v>
      </c>
      <c r="Q14300">
        <v>4</v>
      </c>
      <c r="R14300" t="s">
        <v>44793</v>
      </c>
      <c r="S14300" t="s">
        <v>46035</v>
      </c>
      <c r="T14300" t="s">
        <v>46581</v>
      </c>
      <c r="U14300" t="s">
        <v>58602</v>
      </c>
      <c r="W14300" t="s">
        <v>41844</v>
      </c>
      <c r="X14300" t="s">
        <v>44792</v>
      </c>
    </row>
    <row r="14301" spans="1:24">
      <c r="A14301">
        <f>HYPERLINK("https://www.philgeps.gov.ph/GEPSNONPILOT/Tender/SplashBidNoticeAbstractUI.aspx?menuIndex=3&amp;refID=7080542&amp;Result=3","7080542")</f>
        <v>0</v>
      </c>
      <c r="B14301" t="s">
        <v>3718</v>
      </c>
      <c r="C14301" t="s">
        <v>17366</v>
      </c>
      <c r="D14301" t="s">
        <v>17973</v>
      </c>
      <c r="E14301" t="s">
        <v>19215</v>
      </c>
      <c r="F14301" t="s">
        <v>30900</v>
      </c>
      <c r="G14301" t="s">
        <v>30907</v>
      </c>
      <c r="H14301" t="s">
        <v>30915</v>
      </c>
      <c r="I14301" t="s">
        <v>8123</v>
      </c>
      <c r="J14301" t="s">
        <v>31183</v>
      </c>
      <c r="K14301" t="s">
        <v>40286</v>
      </c>
      <c r="M14301" t="s">
        <v>44691</v>
      </c>
      <c r="N14301" t="s">
        <v>44759</v>
      </c>
      <c r="O14301" t="s">
        <v>44760</v>
      </c>
      <c r="P14301">
        <v>0</v>
      </c>
      <c r="Q14301">
        <v>0</v>
      </c>
      <c r="R14301" t="s">
        <v>44794</v>
      </c>
      <c r="S14301" t="s">
        <v>46036</v>
      </c>
      <c r="T14301" t="s">
        <v>46409</v>
      </c>
      <c r="U14301" t="s">
        <v>58603</v>
      </c>
      <c r="V14301" t="s">
        <v>58603</v>
      </c>
      <c r="W14301" t="s">
        <v>44691</v>
      </c>
      <c r="X14301" t="s">
        <v>44795</v>
      </c>
    </row>
    <row r="14302" spans="1:24">
      <c r="A14302">
        <f>HYPERLINK("https://www.philgeps.gov.ph/GEPSNONPILOT/Tender/SplashBidNoticeAbstractUI.aspx?menuIndex=3&amp;refID=7079847&amp;Result=3","7079847")</f>
        <v>0</v>
      </c>
      <c r="B14302" t="s">
        <v>866</v>
      </c>
      <c r="C14302" t="s">
        <v>17367</v>
      </c>
      <c r="D14302" t="s">
        <v>17981</v>
      </c>
      <c r="E14302" t="s">
        <v>30374</v>
      </c>
      <c r="F14302" t="s">
        <v>30900</v>
      </c>
      <c r="G14302" t="s">
        <v>30907</v>
      </c>
      <c r="H14302" t="s">
        <v>30915</v>
      </c>
      <c r="I14302" t="s">
        <v>30919</v>
      </c>
      <c r="J14302" t="s">
        <v>39911</v>
      </c>
      <c r="K14302" t="s">
        <v>40301</v>
      </c>
      <c r="M14302" t="s">
        <v>41439</v>
      </c>
      <c r="N14302" t="s">
        <v>44759</v>
      </c>
      <c r="O14302" t="s">
        <v>44760</v>
      </c>
      <c r="Q14302">
        <v>28</v>
      </c>
      <c r="R14302" t="s">
        <v>44794</v>
      </c>
      <c r="S14302" t="s">
        <v>46037</v>
      </c>
      <c r="T14302" t="s">
        <v>46519</v>
      </c>
      <c r="U14302" t="s">
        <v>58604</v>
      </c>
      <c r="V14302" t="s">
        <v>59323</v>
      </c>
      <c r="W14302" t="s">
        <v>41439</v>
      </c>
      <c r="X14302" t="s">
        <v>44795</v>
      </c>
    </row>
    <row r="14303" spans="1:24">
      <c r="A14303">
        <f>HYPERLINK("https://www.philgeps.gov.ph/GEPSNONPILOT/Tender/SplashBidNoticeAbstractUI.aspx?menuIndex=3&amp;refID=7084118&amp;Result=3","7084118")</f>
        <v>0</v>
      </c>
      <c r="B14303" t="s">
        <v>2535</v>
      </c>
      <c r="C14303" t="s">
        <v>17368</v>
      </c>
      <c r="D14303" t="s">
        <v>17959</v>
      </c>
      <c r="E14303" t="s">
        <v>30375</v>
      </c>
      <c r="F14303" t="s">
        <v>30900</v>
      </c>
      <c r="G14303" t="s">
        <v>30910</v>
      </c>
      <c r="H14303" t="s">
        <v>30916</v>
      </c>
      <c r="I14303" t="s">
        <v>8123</v>
      </c>
      <c r="J14303" t="s">
        <v>39912</v>
      </c>
      <c r="K14303" t="s">
        <v>40283</v>
      </c>
      <c r="M14303" t="s">
        <v>44689</v>
      </c>
      <c r="N14303" t="s">
        <v>44759</v>
      </c>
      <c r="O14303" t="s">
        <v>44760</v>
      </c>
      <c r="Q14303">
        <v>5</v>
      </c>
      <c r="R14303" t="s">
        <v>44792</v>
      </c>
      <c r="S14303" t="s">
        <v>44864</v>
      </c>
      <c r="T14303" t="s">
        <v>46390</v>
      </c>
      <c r="U14303" t="s">
        <v>58605</v>
      </c>
      <c r="W14303" t="s">
        <v>44689</v>
      </c>
      <c r="X14303" t="s">
        <v>44794</v>
      </c>
    </row>
    <row r="14304" spans="1:24">
      <c r="A14304">
        <f>HYPERLINK("https://www.philgeps.gov.ph/GEPSNONPILOT/Tender/SplashBidNoticeAbstractUI.aspx?menuIndex=3&amp;refID=7079259&amp;Result=3","7079259")</f>
        <v>0</v>
      </c>
      <c r="B14304" t="s">
        <v>938</v>
      </c>
      <c r="C14304" t="s">
        <v>17369</v>
      </c>
      <c r="D14304" t="s">
        <v>17959</v>
      </c>
      <c r="E14304" t="s">
        <v>18345</v>
      </c>
      <c r="F14304" t="s">
        <v>30900</v>
      </c>
      <c r="G14304" t="s">
        <v>30907</v>
      </c>
      <c r="H14304" t="s">
        <v>30916</v>
      </c>
      <c r="I14304" t="s">
        <v>11785</v>
      </c>
      <c r="J14304" t="s">
        <v>39913</v>
      </c>
      <c r="K14304" t="s">
        <v>40293</v>
      </c>
      <c r="M14304" t="s">
        <v>41686</v>
      </c>
      <c r="N14304" t="s">
        <v>44759</v>
      </c>
      <c r="O14304" t="s">
        <v>44760</v>
      </c>
      <c r="Q14304">
        <v>22</v>
      </c>
      <c r="R14304" t="s">
        <v>44794</v>
      </c>
      <c r="S14304" t="s">
        <v>46038</v>
      </c>
      <c r="T14304" t="s">
        <v>46412</v>
      </c>
      <c r="U14304" t="s">
        <v>58606</v>
      </c>
      <c r="W14304" t="s">
        <v>41686</v>
      </c>
      <c r="X14304" t="s">
        <v>44795</v>
      </c>
    </row>
    <row r="14305" spans="1:24">
      <c r="A14305">
        <f>HYPERLINK("https://www.philgeps.gov.ph/GEPSNONPILOT/Tender/SplashBidNoticeAbstractUI.aspx?menuIndex=3&amp;refID=7083927&amp;Result=3","7083927")</f>
        <v>0</v>
      </c>
      <c r="B14305" t="s">
        <v>466</v>
      </c>
      <c r="C14305" t="s">
        <v>17370</v>
      </c>
      <c r="D14305" t="s">
        <v>17959</v>
      </c>
      <c r="E14305" t="s">
        <v>30376</v>
      </c>
      <c r="F14305" t="s">
        <v>30900</v>
      </c>
      <c r="G14305" t="s">
        <v>30907</v>
      </c>
      <c r="H14305" t="s">
        <v>30916</v>
      </c>
      <c r="I14305" t="s">
        <v>30933</v>
      </c>
      <c r="J14305" t="s">
        <v>39914</v>
      </c>
      <c r="K14305" t="s">
        <v>40286</v>
      </c>
      <c r="M14305" t="s">
        <v>44692</v>
      </c>
      <c r="N14305" t="s">
        <v>44759</v>
      </c>
      <c r="O14305" t="s">
        <v>44760</v>
      </c>
      <c r="Q14305">
        <v>10</v>
      </c>
      <c r="R14305" t="s">
        <v>44792</v>
      </c>
      <c r="S14305" t="s">
        <v>45995</v>
      </c>
      <c r="T14305" t="s">
        <v>46378</v>
      </c>
      <c r="U14305" t="s">
        <v>58607</v>
      </c>
      <c r="V14305" t="s">
        <v>60739</v>
      </c>
      <c r="W14305" t="s">
        <v>44692</v>
      </c>
      <c r="X14305" t="s">
        <v>44794</v>
      </c>
    </row>
    <row r="14306" spans="1:24">
      <c r="A14306">
        <f>HYPERLINK("https://www.philgeps.gov.ph/GEPSNONPILOT/Tender/SplashBidNoticeAbstractUI.aspx?menuIndex=3&amp;refID=7083689&amp;Result=3","7083689")</f>
        <v>0</v>
      </c>
      <c r="B14306" t="s">
        <v>909</v>
      </c>
      <c r="C14306" t="s">
        <v>17371</v>
      </c>
      <c r="E14306" t="s">
        <v>30377</v>
      </c>
      <c r="F14306" t="s">
        <v>30900</v>
      </c>
      <c r="G14306" t="s">
        <v>30907</v>
      </c>
      <c r="H14306" t="s">
        <v>30915</v>
      </c>
      <c r="I14306" t="s">
        <v>30919</v>
      </c>
      <c r="J14306" t="s">
        <v>39915</v>
      </c>
      <c r="K14306" t="s">
        <v>40289</v>
      </c>
      <c r="M14306" t="s">
        <v>41486</v>
      </c>
      <c r="N14306" t="s">
        <v>44759</v>
      </c>
      <c r="O14306" t="s">
        <v>44760</v>
      </c>
      <c r="Q14306">
        <v>20</v>
      </c>
      <c r="R14306" t="s">
        <v>44792</v>
      </c>
      <c r="S14306" t="s">
        <v>46039</v>
      </c>
      <c r="T14306" t="s">
        <v>46352</v>
      </c>
      <c r="U14306" t="s">
        <v>58608</v>
      </c>
      <c r="W14306" t="s">
        <v>60844</v>
      </c>
      <c r="X14306" t="s">
        <v>44794</v>
      </c>
    </row>
    <row r="14307" spans="1:24">
      <c r="A14307">
        <f>HYPERLINK("https://www.philgeps.gov.ph/GEPSNONPILOT/Tender/SplashBidNoticeAbstractUI.aspx?menuIndex=3&amp;refID=7083608&amp;Result=3","7083608")</f>
        <v>0</v>
      </c>
      <c r="B14307" t="s">
        <v>2872</v>
      </c>
      <c r="C14307" t="s">
        <v>17372</v>
      </c>
      <c r="E14307" t="s">
        <v>30378</v>
      </c>
      <c r="F14307" t="s">
        <v>30900</v>
      </c>
      <c r="G14307" t="s">
        <v>30907</v>
      </c>
      <c r="H14307" t="s">
        <v>30916</v>
      </c>
      <c r="I14307" t="s">
        <v>4017</v>
      </c>
      <c r="J14307" t="s">
        <v>39916</v>
      </c>
      <c r="K14307" t="s">
        <v>40289</v>
      </c>
      <c r="M14307" t="s">
        <v>43661</v>
      </c>
      <c r="N14307" t="s">
        <v>44759</v>
      </c>
      <c r="O14307" t="s">
        <v>44760</v>
      </c>
      <c r="Q14307">
        <v>25</v>
      </c>
      <c r="R14307" t="s">
        <v>44792</v>
      </c>
      <c r="S14307" t="s">
        <v>46040</v>
      </c>
      <c r="T14307" t="s">
        <v>46429</v>
      </c>
      <c r="U14307" t="s">
        <v>58609</v>
      </c>
      <c r="V14307" t="s">
        <v>60740</v>
      </c>
      <c r="W14307" t="s">
        <v>43661</v>
      </c>
      <c r="X14307" t="s">
        <v>44794</v>
      </c>
    </row>
    <row r="14308" spans="1:24">
      <c r="A14308">
        <f>HYPERLINK("https://www.philgeps.gov.ph/GEPSNONPILOT/Tender/SplashBidNoticeAbstractUI.aspx?menuIndex=3&amp;refID=7085076&amp;Result=3","7085076")</f>
        <v>0</v>
      </c>
      <c r="B14308" t="s">
        <v>3717</v>
      </c>
      <c r="C14308" t="s">
        <v>17373</v>
      </c>
      <c r="E14308" t="s">
        <v>30379</v>
      </c>
      <c r="F14308" t="s">
        <v>30900</v>
      </c>
      <c r="G14308" t="s">
        <v>30907</v>
      </c>
      <c r="H14308" t="s">
        <v>30915</v>
      </c>
      <c r="I14308" t="s">
        <v>30919</v>
      </c>
      <c r="J14308" t="s">
        <v>32224</v>
      </c>
      <c r="K14308" t="s">
        <v>40395</v>
      </c>
      <c r="M14308" t="s">
        <v>44690</v>
      </c>
      <c r="N14308" t="s">
        <v>44759</v>
      </c>
      <c r="O14308" t="s">
        <v>44760</v>
      </c>
      <c r="P14308">
        <v>0</v>
      </c>
      <c r="Q14308">
        <v>0</v>
      </c>
      <c r="R14308" t="s">
        <v>44793</v>
      </c>
      <c r="S14308" t="s">
        <v>46033</v>
      </c>
      <c r="T14308" t="s">
        <v>46398</v>
      </c>
      <c r="U14308" t="s">
        <v>58610</v>
      </c>
      <c r="W14308" t="s">
        <v>44690</v>
      </c>
      <c r="X14308" t="s">
        <v>44792</v>
      </c>
    </row>
    <row r="14309" spans="1:24">
      <c r="A14309">
        <f>HYPERLINK("https://www.philgeps.gov.ph/GEPSNONPILOT/Tender/SplashBidNoticeAbstractUI.aspx?menuIndex=3&amp;refID=7082498&amp;Result=3","7082498")</f>
        <v>0</v>
      </c>
      <c r="B14309" t="s">
        <v>121</v>
      </c>
      <c r="C14309" t="s">
        <v>17374</v>
      </c>
      <c r="E14309" t="s">
        <v>30380</v>
      </c>
      <c r="F14309" t="s">
        <v>30900</v>
      </c>
      <c r="G14309" t="s">
        <v>30908</v>
      </c>
      <c r="H14309" t="s">
        <v>30916</v>
      </c>
      <c r="I14309" t="s">
        <v>30936</v>
      </c>
      <c r="J14309" t="s">
        <v>31043</v>
      </c>
      <c r="K14309" t="s">
        <v>40283</v>
      </c>
      <c r="M14309" t="s">
        <v>40668</v>
      </c>
      <c r="N14309" t="s">
        <v>44759</v>
      </c>
      <c r="O14309" t="s">
        <v>44760</v>
      </c>
      <c r="Q14309">
        <v>0</v>
      </c>
      <c r="R14309" t="s">
        <v>44792</v>
      </c>
      <c r="S14309" t="s">
        <v>46041</v>
      </c>
      <c r="T14309" t="s">
        <v>46357</v>
      </c>
      <c r="U14309" t="s">
        <v>58611</v>
      </c>
      <c r="W14309" t="s">
        <v>40668</v>
      </c>
      <c r="X14309" t="s">
        <v>44794</v>
      </c>
    </row>
    <row r="14310" spans="1:24">
      <c r="A14310">
        <f>HYPERLINK("https://www.philgeps.gov.ph/GEPSNONPILOT/Tender/SplashBidNoticeAbstractUI.aspx?menuIndex=3&amp;refID=7080021&amp;Result=3","7080021")</f>
        <v>0</v>
      </c>
      <c r="B14310" t="s">
        <v>2581</v>
      </c>
      <c r="C14310" t="s">
        <v>17375</v>
      </c>
      <c r="D14310" t="s">
        <v>17959</v>
      </c>
      <c r="E14310" t="s">
        <v>30381</v>
      </c>
      <c r="F14310" t="s">
        <v>30900</v>
      </c>
      <c r="G14310" t="s">
        <v>30907</v>
      </c>
      <c r="H14310" t="s">
        <v>30916</v>
      </c>
      <c r="I14310" t="s">
        <v>30985</v>
      </c>
      <c r="J14310" t="s">
        <v>39917</v>
      </c>
      <c r="K14310" t="s">
        <v>40289</v>
      </c>
      <c r="M14310" t="s">
        <v>44669</v>
      </c>
      <c r="N14310" t="s">
        <v>44759</v>
      </c>
      <c r="O14310" t="s">
        <v>44760</v>
      </c>
      <c r="Q14310">
        <v>24</v>
      </c>
      <c r="R14310" t="s">
        <v>44792</v>
      </c>
      <c r="S14310" t="s">
        <v>46042</v>
      </c>
      <c r="T14310" t="s">
        <v>46456</v>
      </c>
      <c r="U14310" t="s">
        <v>58612</v>
      </c>
      <c r="W14310" t="s">
        <v>44669</v>
      </c>
      <c r="X14310" t="s">
        <v>44795</v>
      </c>
    </row>
    <row r="14311" spans="1:24">
      <c r="A14311">
        <f>HYPERLINK("https://www.philgeps.gov.ph/GEPSNONPILOT/Tender/SplashBidNoticeAbstractUI.aspx?menuIndex=3&amp;refID=7080545&amp;Result=3","7080545")</f>
        <v>0</v>
      </c>
      <c r="B14311" t="s">
        <v>217</v>
      </c>
      <c r="C14311" t="s">
        <v>17376</v>
      </c>
      <c r="D14311" t="s">
        <v>17966</v>
      </c>
      <c r="E14311" t="s">
        <v>30382</v>
      </c>
      <c r="F14311" t="s">
        <v>30900</v>
      </c>
      <c r="G14311" t="s">
        <v>30907</v>
      </c>
      <c r="H14311" t="s">
        <v>30917</v>
      </c>
      <c r="I14311" t="s">
        <v>17295</v>
      </c>
      <c r="J14311" t="s">
        <v>39918</v>
      </c>
      <c r="K14311" t="s">
        <v>40410</v>
      </c>
      <c r="M14311" t="s">
        <v>40764</v>
      </c>
      <c r="N14311" t="s">
        <v>44759</v>
      </c>
      <c r="O14311" t="s">
        <v>44760</v>
      </c>
      <c r="Q14311">
        <v>5</v>
      </c>
      <c r="R14311" t="s">
        <v>44794</v>
      </c>
      <c r="S14311" t="s">
        <v>46043</v>
      </c>
      <c r="T14311" t="s">
        <v>46369</v>
      </c>
      <c r="U14311" t="s">
        <v>58613</v>
      </c>
      <c r="W14311" t="s">
        <v>40764</v>
      </c>
      <c r="X14311" t="s">
        <v>44795</v>
      </c>
    </row>
    <row r="14312" spans="1:24">
      <c r="A14312">
        <f>HYPERLINK("https://www.philgeps.gov.ph/GEPSNONPILOT/Tender/SplashBidNoticeAbstractUI.aspx?menuIndex=3&amp;refID=7078338&amp;Result=3","7078338")</f>
        <v>0</v>
      </c>
      <c r="B14312" t="s">
        <v>194</v>
      </c>
      <c r="C14312" t="s">
        <v>17377</v>
      </c>
      <c r="D14312" t="s">
        <v>17959</v>
      </c>
      <c r="E14312" t="s">
        <v>30383</v>
      </c>
      <c r="F14312" t="s">
        <v>30900</v>
      </c>
      <c r="G14312" t="s">
        <v>30907</v>
      </c>
      <c r="H14312" t="s">
        <v>30915</v>
      </c>
      <c r="I14312" t="s">
        <v>30964</v>
      </c>
      <c r="J14312" t="s">
        <v>39919</v>
      </c>
      <c r="K14312" t="s">
        <v>40342</v>
      </c>
      <c r="M14312" t="s">
        <v>44693</v>
      </c>
      <c r="N14312" t="s">
        <v>44759</v>
      </c>
      <c r="O14312" t="s">
        <v>44760</v>
      </c>
      <c r="Q14312">
        <v>14</v>
      </c>
      <c r="R14312" t="s">
        <v>44795</v>
      </c>
      <c r="S14312" t="s">
        <v>45107</v>
      </c>
      <c r="T14312" t="s">
        <v>46937</v>
      </c>
      <c r="U14312" t="s">
        <v>58614</v>
      </c>
      <c r="W14312" t="s">
        <v>44693</v>
      </c>
      <c r="X14312" t="s">
        <v>44796</v>
      </c>
    </row>
    <row r="14313" spans="1:24">
      <c r="A14313">
        <f>HYPERLINK("https://www.philgeps.gov.ph/GEPSNONPILOT/Tender/SplashBidNoticeAbstractUI.aspx?menuIndex=3&amp;refID=7086072&amp;Result=3","7086072")</f>
        <v>0</v>
      </c>
      <c r="B14313" t="s">
        <v>2019</v>
      </c>
      <c r="C14313" t="s">
        <v>17378</v>
      </c>
      <c r="D14313" t="s">
        <v>18038</v>
      </c>
      <c r="E14313" t="s">
        <v>30384</v>
      </c>
      <c r="F14313" t="s">
        <v>30900</v>
      </c>
      <c r="G14313" t="s">
        <v>30907</v>
      </c>
      <c r="H14313" t="s">
        <v>30916</v>
      </c>
      <c r="I14313" t="s">
        <v>30924</v>
      </c>
      <c r="J14313" t="s">
        <v>39920</v>
      </c>
      <c r="K14313" t="s">
        <v>40286</v>
      </c>
      <c r="M14313" t="s">
        <v>44624</v>
      </c>
      <c r="N14313" t="s">
        <v>44759</v>
      </c>
      <c r="O14313" t="s">
        <v>44760</v>
      </c>
      <c r="Q14313">
        <v>15</v>
      </c>
      <c r="R14313" t="s">
        <v>44793</v>
      </c>
      <c r="S14313" t="s">
        <v>45449</v>
      </c>
      <c r="T14313" t="s">
        <v>46658</v>
      </c>
      <c r="U14313" t="s">
        <v>58615</v>
      </c>
      <c r="W14313" t="s">
        <v>44624</v>
      </c>
      <c r="X14313" t="s">
        <v>44792</v>
      </c>
    </row>
    <row r="14314" spans="1:24">
      <c r="A14314">
        <f>HYPERLINK("https://www.philgeps.gov.ph/GEPSNONPILOT/Tender/SplashBidNoticeAbstractUI.aspx?menuIndex=3&amp;refID=7077668&amp;Result=3","7077668")</f>
        <v>0</v>
      </c>
      <c r="B14314" t="s">
        <v>3719</v>
      </c>
      <c r="C14314" t="s">
        <v>17379</v>
      </c>
      <c r="D14314" t="s">
        <v>17959</v>
      </c>
      <c r="E14314" t="s">
        <v>30385</v>
      </c>
      <c r="F14314" t="s">
        <v>30900</v>
      </c>
      <c r="G14314" t="s">
        <v>30907</v>
      </c>
      <c r="H14314" t="s">
        <v>30916</v>
      </c>
      <c r="I14314" t="s">
        <v>30981</v>
      </c>
      <c r="J14314" t="s">
        <v>33323</v>
      </c>
      <c r="K14314" t="s">
        <v>40332</v>
      </c>
      <c r="M14314" t="s">
        <v>44694</v>
      </c>
      <c r="N14314" t="s">
        <v>44759</v>
      </c>
      <c r="O14314" t="s">
        <v>44760</v>
      </c>
      <c r="Q14314">
        <v>7</v>
      </c>
      <c r="R14314" t="s">
        <v>44795</v>
      </c>
      <c r="S14314" t="s">
        <v>46044</v>
      </c>
      <c r="T14314" t="s">
        <v>46352</v>
      </c>
      <c r="U14314" t="s">
        <v>58616</v>
      </c>
      <c r="W14314" t="s">
        <v>44694</v>
      </c>
      <c r="X14314" t="s">
        <v>44796</v>
      </c>
    </row>
    <row r="14315" spans="1:24">
      <c r="A14315">
        <f>HYPERLINK("https://www.philgeps.gov.ph/GEPSNONPILOT/Tender/SplashBidNoticeAbstractUI.aspx?menuIndex=3&amp;refID=7077606&amp;Result=3","7077606")</f>
        <v>0</v>
      </c>
      <c r="B14315" t="s">
        <v>3719</v>
      </c>
      <c r="C14315" t="s">
        <v>17380</v>
      </c>
      <c r="D14315" t="s">
        <v>17959</v>
      </c>
      <c r="E14315" t="s">
        <v>30386</v>
      </c>
      <c r="F14315" t="s">
        <v>30900</v>
      </c>
      <c r="G14315" t="s">
        <v>30907</v>
      </c>
      <c r="H14315" t="s">
        <v>30916</v>
      </c>
      <c r="I14315" t="s">
        <v>30924</v>
      </c>
      <c r="J14315" t="s">
        <v>31391</v>
      </c>
      <c r="K14315" t="s">
        <v>40286</v>
      </c>
      <c r="M14315" t="s">
        <v>44694</v>
      </c>
      <c r="N14315" t="s">
        <v>44759</v>
      </c>
      <c r="O14315" t="s">
        <v>44760</v>
      </c>
      <c r="Q14315">
        <v>16</v>
      </c>
      <c r="R14315" t="s">
        <v>44795</v>
      </c>
      <c r="S14315" t="s">
        <v>46045</v>
      </c>
      <c r="T14315" t="s">
        <v>46352</v>
      </c>
      <c r="U14315" t="s">
        <v>58617</v>
      </c>
      <c r="W14315" t="s">
        <v>44694</v>
      </c>
      <c r="X14315" t="s">
        <v>44796</v>
      </c>
    </row>
    <row r="14316" spans="1:24">
      <c r="A14316">
        <f>HYPERLINK("https://www.philgeps.gov.ph/GEPSNONPILOT/Tender/SplashBidNoticeAbstractUI.aspx?menuIndex=3&amp;refID=7077949&amp;Result=3","7077949")</f>
        <v>0</v>
      </c>
      <c r="B14316" t="s">
        <v>3555</v>
      </c>
      <c r="C14316" t="s">
        <v>17381</v>
      </c>
      <c r="D14316" t="s">
        <v>17959</v>
      </c>
      <c r="E14316" t="s">
        <v>30387</v>
      </c>
      <c r="F14316" t="s">
        <v>30900</v>
      </c>
      <c r="G14316" t="s">
        <v>30907</v>
      </c>
      <c r="H14316" t="s">
        <v>30916</v>
      </c>
      <c r="I14316" t="s">
        <v>30939</v>
      </c>
      <c r="J14316" t="s">
        <v>31297</v>
      </c>
      <c r="K14316" t="s">
        <v>40283</v>
      </c>
      <c r="M14316" t="s">
        <v>44485</v>
      </c>
      <c r="N14316" t="s">
        <v>44759</v>
      </c>
      <c r="O14316" t="s">
        <v>44760</v>
      </c>
      <c r="Q14316">
        <v>4</v>
      </c>
      <c r="R14316" t="s">
        <v>44795</v>
      </c>
      <c r="S14316" t="s">
        <v>46046</v>
      </c>
      <c r="T14316" t="s">
        <v>46533</v>
      </c>
      <c r="U14316" t="s">
        <v>57523</v>
      </c>
      <c r="W14316" t="s">
        <v>44485</v>
      </c>
      <c r="X14316" t="s">
        <v>44796</v>
      </c>
    </row>
    <row r="14317" spans="1:24">
      <c r="A14317">
        <f>HYPERLINK("https://www.philgeps.gov.ph/GEPSNONPILOT/Tender/SplashBidNoticeAbstractUI.aspx?menuIndex=3&amp;refID=7077553&amp;Result=3","7077553")</f>
        <v>0</v>
      </c>
      <c r="B14317" t="s">
        <v>261</v>
      </c>
      <c r="C14317" t="s">
        <v>17382</v>
      </c>
      <c r="E14317" t="s">
        <v>30388</v>
      </c>
      <c r="F14317" t="s">
        <v>30900</v>
      </c>
      <c r="G14317" t="s">
        <v>30907</v>
      </c>
      <c r="H14317" t="s">
        <v>30915</v>
      </c>
      <c r="I14317" t="s">
        <v>30919</v>
      </c>
      <c r="J14317" t="s">
        <v>39921</v>
      </c>
      <c r="K14317" t="s">
        <v>40454</v>
      </c>
      <c r="M14317" t="s">
        <v>40808</v>
      </c>
      <c r="N14317" t="s">
        <v>44759</v>
      </c>
      <c r="O14317" t="s">
        <v>44760</v>
      </c>
      <c r="Q14317">
        <v>43</v>
      </c>
      <c r="R14317" t="s">
        <v>44795</v>
      </c>
      <c r="S14317" t="s">
        <v>46047</v>
      </c>
      <c r="T14317" t="s">
        <v>46383</v>
      </c>
      <c r="U14317" t="s">
        <v>58618</v>
      </c>
      <c r="V14317" t="s">
        <v>59157</v>
      </c>
      <c r="W14317" t="s">
        <v>40808</v>
      </c>
      <c r="X14317" t="s">
        <v>44796</v>
      </c>
    </row>
    <row r="14318" spans="1:24">
      <c r="A14318">
        <f>HYPERLINK("https://www.philgeps.gov.ph/GEPSNONPILOT/Tender/SplashBidNoticeAbstractUI.aspx?menuIndex=3&amp;refID=7077469&amp;Result=3","7077469")</f>
        <v>0</v>
      </c>
      <c r="B14318" t="s">
        <v>3719</v>
      </c>
      <c r="C14318" t="s">
        <v>17383</v>
      </c>
      <c r="D14318" t="s">
        <v>17959</v>
      </c>
      <c r="E14318" t="s">
        <v>30389</v>
      </c>
      <c r="F14318" t="s">
        <v>30900</v>
      </c>
      <c r="G14318" t="s">
        <v>30907</v>
      </c>
      <c r="H14318" t="s">
        <v>30916</v>
      </c>
      <c r="I14318" t="s">
        <v>30921</v>
      </c>
      <c r="J14318" t="s">
        <v>39922</v>
      </c>
      <c r="K14318" t="s">
        <v>40293</v>
      </c>
      <c r="M14318" t="s">
        <v>44694</v>
      </c>
      <c r="N14318" t="s">
        <v>44759</v>
      </c>
      <c r="O14318" t="s">
        <v>44760</v>
      </c>
      <c r="Q14318">
        <v>23</v>
      </c>
      <c r="R14318" t="s">
        <v>44795</v>
      </c>
      <c r="S14318" t="s">
        <v>46048</v>
      </c>
      <c r="T14318" t="s">
        <v>46352</v>
      </c>
      <c r="U14318" t="s">
        <v>58619</v>
      </c>
      <c r="W14318" t="s">
        <v>44694</v>
      </c>
      <c r="X14318" t="s">
        <v>44796</v>
      </c>
    </row>
    <row r="14319" spans="1:24">
      <c r="A14319">
        <f>HYPERLINK("https://www.philgeps.gov.ph/GEPSNONPILOT/Tender/SplashBidNoticeAbstractUI.aspx?menuIndex=3&amp;refID=7084243&amp;Result=3","7084243")</f>
        <v>0</v>
      </c>
      <c r="B14319" t="s">
        <v>326</v>
      </c>
      <c r="C14319" t="s">
        <v>17384</v>
      </c>
      <c r="E14319" t="s">
        <v>30390</v>
      </c>
      <c r="F14319" t="s">
        <v>30900</v>
      </c>
      <c r="G14319" t="s">
        <v>30907</v>
      </c>
      <c r="H14319" t="s">
        <v>30916</v>
      </c>
      <c r="I14319" t="s">
        <v>30919</v>
      </c>
      <c r="J14319" t="s">
        <v>39923</v>
      </c>
      <c r="K14319" t="s">
        <v>40289</v>
      </c>
      <c r="M14319" t="s">
        <v>44341</v>
      </c>
      <c r="N14319" t="s">
        <v>44759</v>
      </c>
      <c r="O14319" t="s">
        <v>44760</v>
      </c>
      <c r="Q14319">
        <v>21</v>
      </c>
      <c r="R14319" t="s">
        <v>44792</v>
      </c>
      <c r="S14319" t="s">
        <v>46049</v>
      </c>
      <c r="T14319" t="s">
        <v>46938</v>
      </c>
      <c r="U14319" t="s">
        <v>58620</v>
      </c>
      <c r="W14319" t="s">
        <v>44341</v>
      </c>
      <c r="X14319" t="s">
        <v>44794</v>
      </c>
    </row>
    <row r="14320" spans="1:24">
      <c r="A14320">
        <f>HYPERLINK("https://www.philgeps.gov.ph/GEPSNONPILOT/Tender/SplashBidNoticeAbstractUI.aspx?menuIndex=3&amp;refID=7077963&amp;Result=3","7077963")</f>
        <v>0</v>
      </c>
      <c r="B14320" t="s">
        <v>2872</v>
      </c>
      <c r="C14320" t="s">
        <v>17385</v>
      </c>
      <c r="E14320" t="s">
        <v>30391</v>
      </c>
      <c r="F14320" t="s">
        <v>30900</v>
      </c>
      <c r="G14320" t="s">
        <v>30907</v>
      </c>
      <c r="H14320" t="s">
        <v>30916</v>
      </c>
      <c r="I14320" t="s">
        <v>30924</v>
      </c>
      <c r="J14320" t="s">
        <v>39924</v>
      </c>
      <c r="K14320" t="s">
        <v>40289</v>
      </c>
      <c r="M14320" t="s">
        <v>44695</v>
      </c>
      <c r="N14320" t="s">
        <v>44759</v>
      </c>
      <c r="O14320" t="s">
        <v>44760</v>
      </c>
      <c r="Q14320">
        <v>8</v>
      </c>
      <c r="R14320" t="s">
        <v>44795</v>
      </c>
      <c r="S14320" t="s">
        <v>46050</v>
      </c>
      <c r="T14320" t="s">
        <v>46429</v>
      </c>
      <c r="U14320" t="s">
        <v>58621</v>
      </c>
      <c r="V14320" t="s">
        <v>60741</v>
      </c>
      <c r="W14320" t="s">
        <v>60947</v>
      </c>
      <c r="X14320" t="s">
        <v>44796</v>
      </c>
    </row>
    <row r="14321" spans="1:24">
      <c r="A14321">
        <f>HYPERLINK("https://www.philgeps.gov.ph/GEPSNONPILOT/Tender/SplashBidNoticeAbstractUI.aspx?menuIndex=3&amp;refID=7080547&amp;Result=3","7080547")</f>
        <v>0</v>
      </c>
      <c r="B14321" t="s">
        <v>3068</v>
      </c>
      <c r="C14321" t="s">
        <v>17386</v>
      </c>
      <c r="D14321" t="s">
        <v>18025</v>
      </c>
      <c r="E14321" t="s">
        <v>30392</v>
      </c>
      <c r="F14321" t="s">
        <v>30900</v>
      </c>
      <c r="G14321" t="s">
        <v>30907</v>
      </c>
      <c r="H14321" t="s">
        <v>30915</v>
      </c>
      <c r="I14321" t="s">
        <v>30919</v>
      </c>
      <c r="J14321" t="s">
        <v>39703</v>
      </c>
      <c r="K14321" t="s">
        <v>40304</v>
      </c>
      <c r="M14321" t="s">
        <v>43879</v>
      </c>
      <c r="N14321" t="s">
        <v>44759</v>
      </c>
      <c r="O14321" t="s">
        <v>44760</v>
      </c>
      <c r="Q14321">
        <v>39</v>
      </c>
      <c r="R14321" t="s">
        <v>44794</v>
      </c>
      <c r="S14321" t="s">
        <v>46051</v>
      </c>
      <c r="T14321" t="s">
        <v>46533</v>
      </c>
      <c r="U14321" t="s">
        <v>58622</v>
      </c>
      <c r="W14321" t="s">
        <v>60911</v>
      </c>
      <c r="X14321" t="s">
        <v>44795</v>
      </c>
    </row>
    <row r="14322" spans="1:24">
      <c r="A14322">
        <f>HYPERLINK("https://www.philgeps.gov.ph/GEPSNONPILOT/Tender/SplashBidNoticeAbstractUI.aspx?menuIndex=3&amp;refID=7081474&amp;Result=3","7081474")</f>
        <v>0</v>
      </c>
      <c r="B14322" t="s">
        <v>2696</v>
      </c>
      <c r="C14322" t="s">
        <v>17387</v>
      </c>
      <c r="E14322" t="s">
        <v>30393</v>
      </c>
      <c r="F14322" t="s">
        <v>30900</v>
      </c>
      <c r="G14322" t="s">
        <v>30907</v>
      </c>
      <c r="H14322" t="s">
        <v>30916</v>
      </c>
      <c r="I14322" t="s">
        <v>30949</v>
      </c>
      <c r="J14322" t="s">
        <v>39925</v>
      </c>
      <c r="K14322" t="s">
        <v>40292</v>
      </c>
      <c r="M14322" t="s">
        <v>43468</v>
      </c>
      <c r="N14322" t="s">
        <v>44759</v>
      </c>
      <c r="O14322" t="s">
        <v>44760</v>
      </c>
      <c r="Q14322">
        <v>11</v>
      </c>
      <c r="R14322" t="s">
        <v>44794</v>
      </c>
      <c r="S14322" t="s">
        <v>46052</v>
      </c>
      <c r="T14322" t="s">
        <v>46533</v>
      </c>
      <c r="U14322" t="s">
        <v>58623</v>
      </c>
      <c r="W14322" t="s">
        <v>43468</v>
      </c>
      <c r="X14322" t="s">
        <v>44795</v>
      </c>
    </row>
    <row r="14323" spans="1:24">
      <c r="A14323">
        <f>HYPERLINK("https://www.philgeps.gov.ph/GEPSNONPILOT/Tender/SplashBidNoticeAbstractUI.aspx?menuIndex=3&amp;refID=7086941&amp;Result=3","7086941")</f>
        <v>0</v>
      </c>
      <c r="B14323" t="s">
        <v>3505</v>
      </c>
      <c r="C14323" t="s">
        <v>17388</v>
      </c>
      <c r="D14323" t="s">
        <v>17959</v>
      </c>
      <c r="E14323" t="s">
        <v>30394</v>
      </c>
      <c r="F14323" t="s">
        <v>30900</v>
      </c>
      <c r="G14323" t="s">
        <v>30907</v>
      </c>
      <c r="H14323" t="s">
        <v>30915</v>
      </c>
      <c r="I14323" t="s">
        <v>30919</v>
      </c>
      <c r="J14323" t="s">
        <v>39926</v>
      </c>
      <c r="K14323" t="s">
        <v>40559</v>
      </c>
      <c r="M14323" t="s">
        <v>44409</v>
      </c>
      <c r="N14323" t="s">
        <v>44759</v>
      </c>
      <c r="O14323" t="s">
        <v>44760</v>
      </c>
      <c r="Q14323">
        <v>15</v>
      </c>
      <c r="R14323" t="s">
        <v>44793</v>
      </c>
      <c r="S14323" t="s">
        <v>46053</v>
      </c>
      <c r="T14323" t="s">
        <v>46357</v>
      </c>
      <c r="U14323" t="s">
        <v>58624</v>
      </c>
      <c r="W14323" t="s">
        <v>44409</v>
      </c>
      <c r="X14323" t="s">
        <v>44792</v>
      </c>
    </row>
    <row r="14324" spans="1:24">
      <c r="A14324">
        <f>HYPERLINK("https://www.philgeps.gov.ph/GEPSNONPILOT/Tender/SplashBidNoticeAbstractUI.aspx?menuIndex=3&amp;refID=7081481&amp;Result=3","7081481")</f>
        <v>0</v>
      </c>
      <c r="B14324" t="s">
        <v>2862</v>
      </c>
      <c r="C14324" t="s">
        <v>17389</v>
      </c>
      <c r="D14324" t="s">
        <v>17959</v>
      </c>
      <c r="E14324" t="s">
        <v>30395</v>
      </c>
      <c r="F14324" t="s">
        <v>30900</v>
      </c>
      <c r="G14324" t="s">
        <v>30907</v>
      </c>
      <c r="H14324" t="s">
        <v>30917</v>
      </c>
      <c r="I14324" t="s">
        <v>30942</v>
      </c>
      <c r="J14324" t="s">
        <v>33803</v>
      </c>
      <c r="K14324" t="s">
        <v>40397</v>
      </c>
      <c r="M14324" t="s">
        <v>44696</v>
      </c>
      <c r="N14324" t="s">
        <v>44759</v>
      </c>
      <c r="O14324" t="s">
        <v>44760</v>
      </c>
      <c r="Q14324">
        <v>5</v>
      </c>
      <c r="R14324" t="s">
        <v>44794</v>
      </c>
      <c r="S14324" t="s">
        <v>46054</v>
      </c>
      <c r="T14324" t="s">
        <v>46443</v>
      </c>
      <c r="U14324" t="s">
        <v>58625</v>
      </c>
      <c r="V14324" t="s">
        <v>60742</v>
      </c>
      <c r="W14324" t="s">
        <v>44696</v>
      </c>
      <c r="X14324" t="s">
        <v>44795</v>
      </c>
    </row>
    <row r="14325" spans="1:24">
      <c r="A14325">
        <f>HYPERLINK("https://www.philgeps.gov.ph/GEPSNONPILOT/Tender/SplashBidNoticeAbstractUI.aspx?menuIndex=3&amp;refID=7076090&amp;Result=3","7076090")</f>
        <v>0</v>
      </c>
      <c r="B14325" t="s">
        <v>3720</v>
      </c>
      <c r="C14325" t="s">
        <v>17390</v>
      </c>
      <c r="D14325" t="s">
        <v>17959</v>
      </c>
      <c r="E14325" t="s">
        <v>18158</v>
      </c>
      <c r="F14325" t="s">
        <v>30900</v>
      </c>
      <c r="G14325" t="s">
        <v>30907</v>
      </c>
      <c r="H14325" t="s">
        <v>30917</v>
      </c>
      <c r="I14325" t="s">
        <v>30933</v>
      </c>
      <c r="J14325" t="s">
        <v>39927</v>
      </c>
      <c r="K14325" t="s">
        <v>40284</v>
      </c>
      <c r="M14325" t="s">
        <v>44697</v>
      </c>
      <c r="N14325" t="s">
        <v>44759</v>
      </c>
      <c r="O14325" t="s">
        <v>44760</v>
      </c>
      <c r="Q14325">
        <v>5</v>
      </c>
      <c r="R14325" t="s">
        <v>44795</v>
      </c>
      <c r="S14325" t="s">
        <v>46055</v>
      </c>
      <c r="T14325" t="s">
        <v>46374</v>
      </c>
      <c r="U14325" t="s">
        <v>58626</v>
      </c>
      <c r="W14325" t="s">
        <v>44697</v>
      </c>
      <c r="X14325" t="s">
        <v>44796</v>
      </c>
    </row>
    <row r="14326" spans="1:24">
      <c r="A14326">
        <f>HYPERLINK("https://www.philgeps.gov.ph/GEPSNONPILOT/Tender/SplashBidNoticeAbstractUI.aspx?menuIndex=3&amp;refID=7074530&amp;Result=3","7074530")</f>
        <v>0</v>
      </c>
      <c r="B14326" t="s">
        <v>856</v>
      </c>
      <c r="C14326" t="s">
        <v>17391</v>
      </c>
      <c r="D14326" t="s">
        <v>17971</v>
      </c>
      <c r="E14326" t="s">
        <v>30396</v>
      </c>
      <c r="F14326" t="s">
        <v>30900</v>
      </c>
      <c r="G14326" t="s">
        <v>30907</v>
      </c>
      <c r="H14326" t="s">
        <v>30916</v>
      </c>
      <c r="I14326" t="s">
        <v>30919</v>
      </c>
      <c r="J14326" t="s">
        <v>39928</v>
      </c>
      <c r="K14326" t="s">
        <v>40286</v>
      </c>
      <c r="M14326" t="s">
        <v>41429</v>
      </c>
      <c r="N14326" t="s">
        <v>44759</v>
      </c>
      <c r="O14326" t="s">
        <v>44760</v>
      </c>
      <c r="Q14326">
        <v>12</v>
      </c>
      <c r="R14326" t="s">
        <v>44796</v>
      </c>
      <c r="S14326" t="s">
        <v>46056</v>
      </c>
      <c r="T14326" t="s">
        <v>46606</v>
      </c>
      <c r="U14326" t="s">
        <v>58627</v>
      </c>
      <c r="W14326" t="s">
        <v>41429</v>
      </c>
      <c r="X14326" t="s">
        <v>44798</v>
      </c>
    </row>
    <row r="14327" spans="1:24">
      <c r="A14327">
        <f>HYPERLINK("https://www.philgeps.gov.ph/GEPSNONPILOT/Tender/SplashBidNoticeAbstractUI.aspx?menuIndex=3&amp;refID=7081054&amp;Result=3","7081054")</f>
        <v>0</v>
      </c>
      <c r="B14327" t="s">
        <v>3718</v>
      </c>
      <c r="C14327" t="s">
        <v>17392</v>
      </c>
      <c r="D14327" t="s">
        <v>17973</v>
      </c>
      <c r="E14327" t="s">
        <v>18787</v>
      </c>
      <c r="F14327" t="s">
        <v>30900</v>
      </c>
      <c r="G14327" t="s">
        <v>30907</v>
      </c>
      <c r="H14327" t="s">
        <v>30915</v>
      </c>
      <c r="I14327" t="s">
        <v>30919</v>
      </c>
      <c r="J14327" t="s">
        <v>31183</v>
      </c>
      <c r="K14327" t="s">
        <v>40286</v>
      </c>
      <c r="M14327" t="s">
        <v>44691</v>
      </c>
      <c r="N14327" t="s">
        <v>44759</v>
      </c>
      <c r="O14327" t="s">
        <v>44760</v>
      </c>
      <c r="P14327">
        <v>0</v>
      </c>
      <c r="Q14327">
        <v>0</v>
      </c>
      <c r="R14327" t="s">
        <v>44794</v>
      </c>
      <c r="S14327" t="s">
        <v>46036</v>
      </c>
      <c r="T14327" t="s">
        <v>46409</v>
      </c>
      <c r="U14327" t="s">
        <v>58628</v>
      </c>
      <c r="V14327" t="s">
        <v>58628</v>
      </c>
      <c r="W14327" t="s">
        <v>44691</v>
      </c>
      <c r="X14327" t="s">
        <v>44795</v>
      </c>
    </row>
    <row r="14328" spans="1:24">
      <c r="A14328">
        <f>HYPERLINK("https://www.philgeps.gov.ph/GEPSNONPILOT/Tender/SplashBidNoticeAbstractUI.aspx?menuIndex=3&amp;refID=7081756&amp;Result=3","7081756")</f>
        <v>0</v>
      </c>
      <c r="B14328" t="s">
        <v>2581</v>
      </c>
      <c r="C14328" t="s">
        <v>17393</v>
      </c>
      <c r="E14328" t="s">
        <v>30397</v>
      </c>
      <c r="F14328" t="s">
        <v>30899</v>
      </c>
      <c r="G14328" t="s">
        <v>30914</v>
      </c>
      <c r="H14328" t="s">
        <v>7411</v>
      </c>
      <c r="I14328" t="s">
        <v>7411</v>
      </c>
      <c r="J14328" t="s">
        <v>31800</v>
      </c>
      <c r="K14328" t="s">
        <v>40465</v>
      </c>
      <c r="M14328" t="s">
        <v>43340</v>
      </c>
      <c r="N14328" t="s">
        <v>44759</v>
      </c>
      <c r="O14328" t="s">
        <v>44760</v>
      </c>
      <c r="P14328">
        <v>0</v>
      </c>
      <c r="Q14328">
        <v>2</v>
      </c>
      <c r="R14328" t="s">
        <v>44794</v>
      </c>
      <c r="S14328" t="s">
        <v>46036</v>
      </c>
      <c r="T14328" t="s">
        <v>46552</v>
      </c>
      <c r="U14328" t="s">
        <v>58629</v>
      </c>
      <c r="V14328" t="s">
        <v>60743</v>
      </c>
      <c r="W14328" t="s">
        <v>43340</v>
      </c>
      <c r="X14328" t="s">
        <v>44795</v>
      </c>
    </row>
    <row r="14329" spans="1:24">
      <c r="A14329">
        <f>HYPERLINK("https://www.philgeps.gov.ph/GEPSNONPILOT/Tender/SplashBidNoticeAbstractUI.aspx?menuIndex=3&amp;refID=7074093&amp;Result=3","7074093")</f>
        <v>0</v>
      </c>
      <c r="B14329" t="s">
        <v>1833</v>
      </c>
      <c r="C14329" t="s">
        <v>17394</v>
      </c>
      <c r="D14329" t="s">
        <v>18020</v>
      </c>
      <c r="E14329" t="s">
        <v>30398</v>
      </c>
      <c r="F14329" t="s">
        <v>30900</v>
      </c>
      <c r="G14329" t="s">
        <v>30907</v>
      </c>
      <c r="H14329" t="s">
        <v>30915</v>
      </c>
      <c r="I14329" t="s">
        <v>30919</v>
      </c>
      <c r="J14329" t="s">
        <v>39929</v>
      </c>
      <c r="K14329" t="s">
        <v>40341</v>
      </c>
      <c r="M14329" t="s">
        <v>42506</v>
      </c>
      <c r="N14329" t="s">
        <v>44759</v>
      </c>
      <c r="O14329" t="s">
        <v>44760</v>
      </c>
      <c r="Q14329">
        <v>6</v>
      </c>
      <c r="R14329" t="s">
        <v>44796</v>
      </c>
      <c r="S14329" t="s">
        <v>46057</v>
      </c>
      <c r="T14329" t="s">
        <v>46409</v>
      </c>
      <c r="U14329" t="s">
        <v>58630</v>
      </c>
      <c r="W14329" t="s">
        <v>42506</v>
      </c>
      <c r="X14329" t="s">
        <v>44798</v>
      </c>
    </row>
    <row r="14330" spans="1:24">
      <c r="A14330">
        <f>HYPERLINK("https://www.philgeps.gov.ph/GEPSNONPILOT/Tender/SplashBidNoticeAbstractUI.aspx?menuIndex=3&amp;refID=7073934&amp;Result=3","7073934")</f>
        <v>0</v>
      </c>
      <c r="B14330" t="s">
        <v>1833</v>
      </c>
      <c r="C14330" t="s">
        <v>17395</v>
      </c>
      <c r="D14330" t="s">
        <v>18020</v>
      </c>
      <c r="E14330" t="s">
        <v>30399</v>
      </c>
      <c r="F14330" t="s">
        <v>30900</v>
      </c>
      <c r="G14330" t="s">
        <v>30907</v>
      </c>
      <c r="H14330" t="s">
        <v>30915</v>
      </c>
      <c r="I14330" t="s">
        <v>30919</v>
      </c>
      <c r="J14330" t="s">
        <v>39930</v>
      </c>
      <c r="K14330" t="s">
        <v>40340</v>
      </c>
      <c r="M14330" t="s">
        <v>42506</v>
      </c>
      <c r="N14330" t="s">
        <v>44759</v>
      </c>
      <c r="O14330" t="s">
        <v>44760</v>
      </c>
      <c r="Q14330">
        <v>11</v>
      </c>
      <c r="R14330" t="s">
        <v>44796</v>
      </c>
      <c r="S14330" t="s">
        <v>46058</v>
      </c>
      <c r="T14330" t="s">
        <v>46409</v>
      </c>
      <c r="U14330" t="s">
        <v>58631</v>
      </c>
      <c r="W14330" t="s">
        <v>42506</v>
      </c>
      <c r="X14330" t="s">
        <v>44798</v>
      </c>
    </row>
    <row r="14331" spans="1:24">
      <c r="A14331">
        <f>HYPERLINK("https://www.philgeps.gov.ph/GEPSNONPILOT/Tender/SplashBidNoticeAbstractUI.aspx?menuIndex=3&amp;refID=7074205&amp;Result=3","7074205")</f>
        <v>0</v>
      </c>
      <c r="B14331" t="s">
        <v>1833</v>
      </c>
      <c r="C14331" t="s">
        <v>17396</v>
      </c>
      <c r="D14331" t="s">
        <v>18020</v>
      </c>
      <c r="E14331" t="s">
        <v>30400</v>
      </c>
      <c r="F14331" t="s">
        <v>30900</v>
      </c>
      <c r="G14331" t="s">
        <v>30907</v>
      </c>
      <c r="H14331" t="s">
        <v>30915</v>
      </c>
      <c r="I14331" t="s">
        <v>30919</v>
      </c>
      <c r="J14331" t="s">
        <v>38624</v>
      </c>
      <c r="K14331" t="s">
        <v>40312</v>
      </c>
      <c r="M14331" t="s">
        <v>42506</v>
      </c>
      <c r="N14331" t="s">
        <v>44759</v>
      </c>
      <c r="O14331" t="s">
        <v>44760</v>
      </c>
      <c r="Q14331">
        <v>8</v>
      </c>
      <c r="R14331" t="s">
        <v>44796</v>
      </c>
      <c r="S14331" t="s">
        <v>46059</v>
      </c>
      <c r="T14331" t="s">
        <v>46409</v>
      </c>
      <c r="U14331" t="s">
        <v>58631</v>
      </c>
      <c r="W14331" t="s">
        <v>42506</v>
      </c>
      <c r="X14331" t="s">
        <v>44798</v>
      </c>
    </row>
    <row r="14332" spans="1:24">
      <c r="A14332">
        <f>HYPERLINK("https://www.philgeps.gov.ph/GEPSNONPILOT/Tender/SplashBidNoticeAbstractUI.aspx?menuIndex=3&amp;refID=7075039&amp;Result=3","7075039")</f>
        <v>0</v>
      </c>
      <c r="B14332" t="s">
        <v>3721</v>
      </c>
      <c r="C14332" t="s">
        <v>17397</v>
      </c>
      <c r="D14332" t="s">
        <v>17959</v>
      </c>
      <c r="E14332" t="s">
        <v>30401</v>
      </c>
      <c r="F14332" t="s">
        <v>30900</v>
      </c>
      <c r="G14332" t="s">
        <v>30907</v>
      </c>
      <c r="H14332" t="s">
        <v>30917</v>
      </c>
      <c r="I14332" t="s">
        <v>17295</v>
      </c>
      <c r="J14332" t="s">
        <v>35229</v>
      </c>
      <c r="K14332" t="s">
        <v>40332</v>
      </c>
      <c r="M14332" t="s">
        <v>44698</v>
      </c>
      <c r="N14332" t="s">
        <v>44759</v>
      </c>
      <c r="O14332" t="s">
        <v>44760</v>
      </c>
      <c r="Q14332">
        <v>4</v>
      </c>
      <c r="R14332" t="s">
        <v>44796</v>
      </c>
      <c r="S14332" t="s">
        <v>46060</v>
      </c>
      <c r="T14332" t="s">
        <v>46666</v>
      </c>
      <c r="U14332" t="s">
        <v>58632</v>
      </c>
      <c r="W14332" t="s">
        <v>44698</v>
      </c>
      <c r="X14332" t="s">
        <v>44798</v>
      </c>
    </row>
    <row r="14333" spans="1:24">
      <c r="A14333">
        <f>HYPERLINK("https://www.philgeps.gov.ph/GEPSNONPILOT/Tender/SplashBidNoticeAbstractUI.aspx?menuIndex=3&amp;refID=7073581&amp;Result=3","7073581")</f>
        <v>0</v>
      </c>
      <c r="B14333" t="s">
        <v>1232</v>
      </c>
      <c r="C14333" t="s">
        <v>17398</v>
      </c>
      <c r="D14333" t="s">
        <v>17969</v>
      </c>
      <c r="E14333" t="s">
        <v>30402</v>
      </c>
      <c r="F14333" t="s">
        <v>30900</v>
      </c>
      <c r="G14333" t="s">
        <v>30907</v>
      </c>
      <c r="H14333" t="s">
        <v>30916</v>
      </c>
      <c r="I14333" t="s">
        <v>30963</v>
      </c>
      <c r="J14333" t="s">
        <v>39931</v>
      </c>
      <c r="K14333" t="s">
        <v>40292</v>
      </c>
      <c r="M14333" t="s">
        <v>43975</v>
      </c>
      <c r="N14333" t="s">
        <v>44759</v>
      </c>
      <c r="O14333" t="s">
        <v>44760</v>
      </c>
      <c r="Q14333">
        <v>3</v>
      </c>
      <c r="R14333" t="s">
        <v>44796</v>
      </c>
      <c r="S14333" t="s">
        <v>46061</v>
      </c>
      <c r="T14333" t="s">
        <v>46558</v>
      </c>
      <c r="U14333" t="s">
        <v>58633</v>
      </c>
      <c r="W14333" t="s">
        <v>43975</v>
      </c>
      <c r="X14333" t="s">
        <v>44798</v>
      </c>
    </row>
    <row r="14334" spans="1:24">
      <c r="A14334">
        <f>HYPERLINK("https://www.philgeps.gov.ph/GEPSNONPILOT/Tender/SplashBidNoticeAbstractUI.aspx?menuIndex=3&amp;refID=7073448&amp;Result=3","7073448")</f>
        <v>0</v>
      </c>
      <c r="B14334" t="s">
        <v>1833</v>
      </c>
      <c r="C14334" t="s">
        <v>17399</v>
      </c>
      <c r="D14334" t="s">
        <v>18020</v>
      </c>
      <c r="E14334" t="s">
        <v>30403</v>
      </c>
      <c r="F14334" t="s">
        <v>30900</v>
      </c>
      <c r="G14334" t="s">
        <v>30907</v>
      </c>
      <c r="H14334" t="s">
        <v>30915</v>
      </c>
      <c r="I14334" t="s">
        <v>30919</v>
      </c>
      <c r="J14334" t="s">
        <v>34557</v>
      </c>
      <c r="K14334" t="s">
        <v>40304</v>
      </c>
      <c r="M14334" t="s">
        <v>42506</v>
      </c>
      <c r="N14334" t="s">
        <v>44759</v>
      </c>
      <c r="O14334" t="s">
        <v>44760</v>
      </c>
      <c r="Q14334">
        <v>7</v>
      </c>
      <c r="R14334" t="s">
        <v>44796</v>
      </c>
      <c r="S14334" t="s">
        <v>46062</v>
      </c>
      <c r="T14334" t="s">
        <v>46409</v>
      </c>
      <c r="U14334" t="s">
        <v>58634</v>
      </c>
      <c r="W14334" t="s">
        <v>42506</v>
      </c>
      <c r="X14334" t="s">
        <v>44798</v>
      </c>
    </row>
    <row r="14335" spans="1:24">
      <c r="A14335">
        <f>HYPERLINK("https://www.philgeps.gov.ph/GEPSNONPILOT/Tender/SplashBidNoticeAbstractUI.aspx?menuIndex=3&amp;refID=7073406&amp;Result=3","7073406")</f>
        <v>0</v>
      </c>
      <c r="B14335" t="s">
        <v>3101</v>
      </c>
      <c r="C14335" t="s">
        <v>17400</v>
      </c>
      <c r="D14335" t="s">
        <v>17953</v>
      </c>
      <c r="E14335" t="s">
        <v>30404</v>
      </c>
      <c r="F14335" t="s">
        <v>30900</v>
      </c>
      <c r="G14335" t="s">
        <v>30907</v>
      </c>
      <c r="H14335" t="s">
        <v>30915</v>
      </c>
      <c r="I14335" t="s">
        <v>30919</v>
      </c>
      <c r="J14335" t="s">
        <v>39932</v>
      </c>
      <c r="K14335" t="s">
        <v>40386</v>
      </c>
      <c r="M14335" t="s">
        <v>43913</v>
      </c>
      <c r="N14335" t="s">
        <v>44759</v>
      </c>
      <c r="O14335" t="s">
        <v>44760</v>
      </c>
      <c r="Q14335">
        <v>12</v>
      </c>
      <c r="R14335" t="s">
        <v>44796</v>
      </c>
      <c r="S14335" t="s">
        <v>45171</v>
      </c>
      <c r="T14335" t="s">
        <v>46606</v>
      </c>
      <c r="U14335" t="s">
        <v>56025</v>
      </c>
      <c r="W14335" t="s">
        <v>43913</v>
      </c>
      <c r="X14335" t="s">
        <v>44798</v>
      </c>
    </row>
    <row r="14336" spans="1:24">
      <c r="A14336">
        <f>HYPERLINK("https://www.philgeps.gov.ph/GEPSNONPILOT/Tender/SplashBidNoticeAbstractUI.aspx?menuIndex=3&amp;refID=7073394&amp;Result=3","7073394")</f>
        <v>0</v>
      </c>
      <c r="B14336" t="s">
        <v>3101</v>
      </c>
      <c r="C14336" t="s">
        <v>17401</v>
      </c>
      <c r="D14336" t="s">
        <v>17953</v>
      </c>
      <c r="E14336" t="s">
        <v>30405</v>
      </c>
      <c r="F14336" t="s">
        <v>30900</v>
      </c>
      <c r="G14336" t="s">
        <v>30907</v>
      </c>
      <c r="H14336" t="s">
        <v>30915</v>
      </c>
      <c r="I14336" t="s">
        <v>30919</v>
      </c>
      <c r="J14336" t="s">
        <v>39933</v>
      </c>
      <c r="K14336" t="s">
        <v>40386</v>
      </c>
      <c r="M14336" t="s">
        <v>43913</v>
      </c>
      <c r="N14336" t="s">
        <v>44759</v>
      </c>
      <c r="O14336" t="s">
        <v>44760</v>
      </c>
      <c r="Q14336">
        <v>10</v>
      </c>
      <c r="R14336" t="s">
        <v>44796</v>
      </c>
      <c r="S14336" t="s">
        <v>46063</v>
      </c>
      <c r="T14336" t="s">
        <v>46606</v>
      </c>
      <c r="U14336" t="s">
        <v>56025</v>
      </c>
      <c r="W14336" t="s">
        <v>43913</v>
      </c>
      <c r="X14336" t="s">
        <v>44798</v>
      </c>
    </row>
    <row r="14337" spans="1:24">
      <c r="A14337">
        <f>HYPERLINK("https://www.philgeps.gov.ph/GEPSNONPILOT/Tender/SplashBidNoticeAbstractUI.aspx?menuIndex=3&amp;refID=7073382&amp;Result=3","7073382")</f>
        <v>0</v>
      </c>
      <c r="B14337" t="s">
        <v>1232</v>
      </c>
      <c r="C14337" t="s">
        <v>17402</v>
      </c>
      <c r="D14337" t="s">
        <v>17969</v>
      </c>
      <c r="E14337" t="s">
        <v>30406</v>
      </c>
      <c r="F14337" t="s">
        <v>30900</v>
      </c>
      <c r="G14337" t="s">
        <v>30907</v>
      </c>
      <c r="H14337" t="s">
        <v>30916</v>
      </c>
      <c r="I14337" t="s">
        <v>30963</v>
      </c>
      <c r="J14337" t="s">
        <v>31391</v>
      </c>
      <c r="K14337" t="s">
        <v>40292</v>
      </c>
      <c r="M14337" t="s">
        <v>43975</v>
      </c>
      <c r="N14337" t="s">
        <v>44759</v>
      </c>
      <c r="O14337" t="s">
        <v>44760</v>
      </c>
      <c r="Q14337">
        <v>13</v>
      </c>
      <c r="R14337" t="s">
        <v>44796</v>
      </c>
      <c r="S14337" t="s">
        <v>46064</v>
      </c>
      <c r="T14337" t="s">
        <v>46558</v>
      </c>
      <c r="U14337" t="s">
        <v>58635</v>
      </c>
      <c r="W14337" t="s">
        <v>43975</v>
      </c>
      <c r="X14337" t="s">
        <v>44798</v>
      </c>
    </row>
    <row r="14338" spans="1:24">
      <c r="A14338">
        <f>HYPERLINK("https://www.philgeps.gov.ph/GEPSNONPILOT/Tender/SplashBidNoticeAbstractUI.aspx?menuIndex=3&amp;refID=7074052&amp;Result=3","7074052")</f>
        <v>0</v>
      </c>
      <c r="B14338" t="s">
        <v>1833</v>
      </c>
      <c r="C14338" t="s">
        <v>17403</v>
      </c>
      <c r="D14338" t="s">
        <v>18020</v>
      </c>
      <c r="E14338" t="s">
        <v>30407</v>
      </c>
      <c r="F14338" t="s">
        <v>30900</v>
      </c>
      <c r="G14338" t="s">
        <v>30907</v>
      </c>
      <c r="H14338" t="s">
        <v>30915</v>
      </c>
      <c r="I14338" t="s">
        <v>30919</v>
      </c>
      <c r="J14338" t="s">
        <v>34557</v>
      </c>
      <c r="K14338" t="s">
        <v>40301</v>
      </c>
      <c r="M14338" t="s">
        <v>42506</v>
      </c>
      <c r="N14338" t="s">
        <v>44759</v>
      </c>
      <c r="O14338" t="s">
        <v>44760</v>
      </c>
      <c r="Q14338">
        <v>4</v>
      </c>
      <c r="R14338" t="s">
        <v>44796</v>
      </c>
      <c r="S14338" t="s">
        <v>46065</v>
      </c>
      <c r="T14338" t="s">
        <v>46409</v>
      </c>
      <c r="U14338" t="s">
        <v>51119</v>
      </c>
      <c r="W14338" t="s">
        <v>42506</v>
      </c>
      <c r="X14338" t="s">
        <v>44798</v>
      </c>
    </row>
    <row r="14339" spans="1:24">
      <c r="A14339">
        <f>HYPERLINK("https://www.philgeps.gov.ph/GEPSNONPILOT/Tender/SplashBidNoticeAbstractUI.aspx?menuIndex=3&amp;refID=7074127&amp;Result=3","7074127")</f>
        <v>0</v>
      </c>
      <c r="B14339" t="s">
        <v>1833</v>
      </c>
      <c r="C14339" t="s">
        <v>17404</v>
      </c>
      <c r="D14339" t="s">
        <v>18020</v>
      </c>
      <c r="E14339" t="s">
        <v>30408</v>
      </c>
      <c r="F14339" t="s">
        <v>30900</v>
      </c>
      <c r="G14339" t="s">
        <v>30907</v>
      </c>
      <c r="H14339" t="s">
        <v>30915</v>
      </c>
      <c r="I14339" t="s">
        <v>30919</v>
      </c>
      <c r="J14339" t="s">
        <v>39934</v>
      </c>
      <c r="K14339" t="s">
        <v>40301</v>
      </c>
      <c r="M14339" t="s">
        <v>42506</v>
      </c>
      <c r="N14339" t="s">
        <v>44759</v>
      </c>
      <c r="O14339" t="s">
        <v>44760</v>
      </c>
      <c r="Q14339">
        <v>10</v>
      </c>
      <c r="R14339" t="s">
        <v>44796</v>
      </c>
      <c r="S14339" t="s">
        <v>46066</v>
      </c>
      <c r="T14339" t="s">
        <v>46409</v>
      </c>
      <c r="U14339" t="s">
        <v>58636</v>
      </c>
      <c r="W14339" t="s">
        <v>42506</v>
      </c>
      <c r="X14339" t="s">
        <v>44798</v>
      </c>
    </row>
    <row r="14340" spans="1:24">
      <c r="A14340">
        <f>HYPERLINK("https://www.philgeps.gov.ph/GEPSNONPILOT/Tender/SplashBidNoticeAbstractUI.aspx?menuIndex=3&amp;refID=7067540&amp;Result=3","7067540")</f>
        <v>0</v>
      </c>
      <c r="B14340" t="s">
        <v>1232</v>
      </c>
      <c r="C14340" t="s">
        <v>6546</v>
      </c>
      <c r="D14340" t="s">
        <v>17969</v>
      </c>
      <c r="E14340" t="s">
        <v>30409</v>
      </c>
      <c r="F14340" t="s">
        <v>30900</v>
      </c>
      <c r="G14340" t="s">
        <v>30910</v>
      </c>
      <c r="H14340" t="s">
        <v>30916</v>
      </c>
      <c r="I14340" t="s">
        <v>4545</v>
      </c>
      <c r="J14340" t="s">
        <v>31341</v>
      </c>
      <c r="K14340" t="s">
        <v>40286</v>
      </c>
      <c r="M14340" t="s">
        <v>41844</v>
      </c>
      <c r="N14340" t="s">
        <v>44759</v>
      </c>
      <c r="O14340" t="s">
        <v>44760</v>
      </c>
      <c r="Q14340">
        <v>2</v>
      </c>
      <c r="R14340" t="s">
        <v>44797</v>
      </c>
      <c r="S14340" t="s">
        <v>46067</v>
      </c>
      <c r="T14340" t="s">
        <v>46418</v>
      </c>
      <c r="U14340" t="s">
        <v>58637</v>
      </c>
      <c r="W14340" t="s">
        <v>41844</v>
      </c>
      <c r="X14340" t="s">
        <v>44860</v>
      </c>
    </row>
    <row r="14341" spans="1:24">
      <c r="A14341">
        <f>HYPERLINK("https://www.philgeps.gov.ph/GEPSNONPILOT/Tender/SplashBidNoticeAbstractUI.aspx?menuIndex=3&amp;refID=7067435&amp;Result=3","7067435")</f>
        <v>0</v>
      </c>
      <c r="B14341" t="s">
        <v>3187</v>
      </c>
      <c r="C14341" t="s">
        <v>17405</v>
      </c>
      <c r="D14341" t="s">
        <v>17959</v>
      </c>
      <c r="E14341" t="s">
        <v>30410</v>
      </c>
      <c r="F14341" t="s">
        <v>30900</v>
      </c>
      <c r="G14341" t="s">
        <v>30907</v>
      </c>
      <c r="H14341" t="s">
        <v>30916</v>
      </c>
      <c r="I14341" t="s">
        <v>30924</v>
      </c>
      <c r="J14341" t="s">
        <v>39935</v>
      </c>
      <c r="K14341" t="s">
        <v>40412</v>
      </c>
      <c r="M14341" t="s">
        <v>44020</v>
      </c>
      <c r="N14341" t="s">
        <v>44759</v>
      </c>
      <c r="O14341" t="s">
        <v>44760</v>
      </c>
      <c r="Q14341">
        <v>22</v>
      </c>
      <c r="R14341" t="s">
        <v>44797</v>
      </c>
      <c r="S14341" t="s">
        <v>46068</v>
      </c>
      <c r="T14341" t="s">
        <v>46658</v>
      </c>
      <c r="U14341" t="s">
        <v>58638</v>
      </c>
      <c r="W14341" t="s">
        <v>44020</v>
      </c>
      <c r="X14341" t="s">
        <v>44860</v>
      </c>
    </row>
    <row r="14342" spans="1:24">
      <c r="A14342">
        <f>HYPERLINK("https://www.philgeps.gov.ph/GEPSNONPILOT/Tender/SplashBidNoticeAbstractUI.aspx?menuIndex=3&amp;refID=7073304&amp;Result=3","7073304")</f>
        <v>0</v>
      </c>
      <c r="B14342" t="s">
        <v>1833</v>
      </c>
      <c r="C14342" t="s">
        <v>17406</v>
      </c>
      <c r="D14342" t="s">
        <v>18020</v>
      </c>
      <c r="E14342" t="s">
        <v>30411</v>
      </c>
      <c r="F14342" t="s">
        <v>30900</v>
      </c>
      <c r="G14342" t="s">
        <v>30907</v>
      </c>
      <c r="H14342" t="s">
        <v>30915</v>
      </c>
      <c r="I14342" t="s">
        <v>30919</v>
      </c>
      <c r="J14342" t="s">
        <v>39936</v>
      </c>
      <c r="K14342" t="s">
        <v>40312</v>
      </c>
      <c r="M14342" t="s">
        <v>42506</v>
      </c>
      <c r="N14342" t="s">
        <v>44759</v>
      </c>
      <c r="O14342" t="s">
        <v>44760</v>
      </c>
      <c r="Q14342">
        <v>18</v>
      </c>
      <c r="R14342" t="s">
        <v>44796</v>
      </c>
      <c r="S14342" t="s">
        <v>46069</v>
      </c>
      <c r="T14342" t="s">
        <v>46409</v>
      </c>
      <c r="U14342" t="s">
        <v>58630</v>
      </c>
      <c r="W14342" t="s">
        <v>42506</v>
      </c>
      <c r="X14342" t="s">
        <v>44798</v>
      </c>
    </row>
    <row r="14343" spans="1:24">
      <c r="A14343">
        <f>HYPERLINK("https://www.philgeps.gov.ph/GEPSNONPILOT/Tender/SplashBidNoticeAbstractUI.aspx?menuIndex=3&amp;refID=7072766&amp;Result=3","7072766")</f>
        <v>0</v>
      </c>
      <c r="B14343" t="s">
        <v>1088</v>
      </c>
      <c r="C14343" t="s">
        <v>17407</v>
      </c>
      <c r="D14343" t="s">
        <v>17959</v>
      </c>
      <c r="E14343" t="s">
        <v>30412</v>
      </c>
      <c r="F14343" t="s">
        <v>30900</v>
      </c>
      <c r="G14343" t="s">
        <v>30907</v>
      </c>
      <c r="H14343" t="s">
        <v>30916</v>
      </c>
      <c r="I14343" t="s">
        <v>4108</v>
      </c>
      <c r="J14343" t="s">
        <v>39937</v>
      </c>
      <c r="K14343" t="s">
        <v>40293</v>
      </c>
      <c r="M14343" t="s">
        <v>44699</v>
      </c>
      <c r="N14343" t="s">
        <v>44759</v>
      </c>
      <c r="O14343" t="s">
        <v>44760</v>
      </c>
      <c r="Q14343">
        <v>22</v>
      </c>
      <c r="R14343" t="s">
        <v>44798</v>
      </c>
      <c r="S14343" t="s">
        <v>46070</v>
      </c>
      <c r="T14343" t="s">
        <v>46389</v>
      </c>
      <c r="U14343" t="s">
        <v>58639</v>
      </c>
      <c r="W14343" t="s">
        <v>44699</v>
      </c>
      <c r="X14343" t="s">
        <v>60963</v>
      </c>
    </row>
    <row r="14344" spans="1:24">
      <c r="A14344">
        <f>HYPERLINK("https://www.philgeps.gov.ph/GEPSNONPILOT/Tender/SplashBidNoticeAbstractUI.aspx?menuIndex=3&amp;refID=7072816&amp;Result=3","7072816")</f>
        <v>0</v>
      </c>
      <c r="B14344" t="s">
        <v>3365</v>
      </c>
      <c r="C14344" t="s">
        <v>17408</v>
      </c>
      <c r="D14344" t="s">
        <v>17959</v>
      </c>
      <c r="E14344" t="s">
        <v>30413</v>
      </c>
      <c r="F14344" t="s">
        <v>30900</v>
      </c>
      <c r="G14344" t="s">
        <v>30907</v>
      </c>
      <c r="H14344" t="s">
        <v>30917</v>
      </c>
      <c r="I14344" t="s">
        <v>30951</v>
      </c>
      <c r="J14344" t="s">
        <v>34097</v>
      </c>
      <c r="K14344" t="s">
        <v>40304</v>
      </c>
      <c r="M14344" t="s">
        <v>44700</v>
      </c>
      <c r="N14344" t="s">
        <v>44759</v>
      </c>
      <c r="O14344" t="s">
        <v>44760</v>
      </c>
      <c r="Q14344">
        <v>9</v>
      </c>
      <c r="R14344" t="s">
        <v>44798</v>
      </c>
      <c r="S14344" t="s">
        <v>46071</v>
      </c>
      <c r="T14344" t="s">
        <v>46404</v>
      </c>
      <c r="U14344" t="s">
        <v>58640</v>
      </c>
      <c r="W14344" t="s">
        <v>44234</v>
      </c>
      <c r="X14344" t="s">
        <v>44799</v>
      </c>
    </row>
    <row r="14345" spans="1:24">
      <c r="A14345">
        <f>HYPERLINK("https://www.philgeps.gov.ph/GEPSNONPILOT/Tender/SplashBidNoticeAbstractUI.aspx?menuIndex=3&amp;refID=7072485&amp;Result=3","7072485")</f>
        <v>0</v>
      </c>
      <c r="B14345" t="s">
        <v>937</v>
      </c>
      <c r="C14345" t="s">
        <v>17409</v>
      </c>
      <c r="D14345" t="s">
        <v>17998</v>
      </c>
      <c r="E14345" t="s">
        <v>30414</v>
      </c>
      <c r="F14345" t="s">
        <v>30900</v>
      </c>
      <c r="G14345" t="s">
        <v>30907</v>
      </c>
      <c r="H14345" t="s">
        <v>30916</v>
      </c>
      <c r="I14345" t="s">
        <v>4108</v>
      </c>
      <c r="J14345" t="s">
        <v>31096</v>
      </c>
      <c r="K14345" t="s">
        <v>40289</v>
      </c>
      <c r="M14345" t="s">
        <v>41520</v>
      </c>
      <c r="N14345" t="s">
        <v>44759</v>
      </c>
      <c r="O14345" t="s">
        <v>44760</v>
      </c>
      <c r="Q14345">
        <v>2</v>
      </c>
      <c r="R14345" t="s">
        <v>44799</v>
      </c>
      <c r="S14345" t="s">
        <v>46072</v>
      </c>
      <c r="T14345" t="s">
        <v>46387</v>
      </c>
      <c r="U14345" t="s">
        <v>58641</v>
      </c>
      <c r="W14345" t="s">
        <v>41520</v>
      </c>
      <c r="X14345" t="s">
        <v>60963</v>
      </c>
    </row>
    <row r="14346" spans="1:24">
      <c r="A14346">
        <f>HYPERLINK("https://www.philgeps.gov.ph/GEPSNONPILOT/Tender/SplashBidNoticeAbstractUI.aspx?menuIndex=3&amp;refID=7071854&amp;Result=3","7071854")</f>
        <v>0</v>
      </c>
      <c r="B14346" t="s">
        <v>937</v>
      </c>
      <c r="C14346" t="s">
        <v>17410</v>
      </c>
      <c r="D14346" t="s">
        <v>17998</v>
      </c>
      <c r="E14346" t="s">
        <v>30415</v>
      </c>
      <c r="F14346" t="s">
        <v>30900</v>
      </c>
      <c r="G14346" t="s">
        <v>30907</v>
      </c>
      <c r="H14346" t="s">
        <v>30916</v>
      </c>
      <c r="I14346" t="s">
        <v>30923</v>
      </c>
      <c r="J14346" t="s">
        <v>33621</v>
      </c>
      <c r="K14346" t="s">
        <v>40289</v>
      </c>
      <c r="M14346" t="s">
        <v>41520</v>
      </c>
      <c r="N14346" t="s">
        <v>44759</v>
      </c>
      <c r="O14346" t="s">
        <v>44760</v>
      </c>
      <c r="Q14346">
        <v>1</v>
      </c>
      <c r="R14346" t="s">
        <v>44799</v>
      </c>
      <c r="S14346" t="s">
        <v>46073</v>
      </c>
      <c r="T14346" t="s">
        <v>46387</v>
      </c>
      <c r="U14346" t="s">
        <v>58642</v>
      </c>
      <c r="W14346" t="s">
        <v>41520</v>
      </c>
      <c r="X14346" t="s">
        <v>44797</v>
      </c>
    </row>
    <row r="14347" spans="1:24">
      <c r="A14347">
        <f>HYPERLINK("https://www.philgeps.gov.ph/GEPSNONPILOT/Tender/SplashBidNoticeAbstractUI.aspx?menuIndex=3&amp;refID=7072394&amp;Result=3","7072394")</f>
        <v>0</v>
      </c>
      <c r="B14347" t="s">
        <v>3722</v>
      </c>
      <c r="C14347" t="s">
        <v>17411</v>
      </c>
      <c r="D14347" t="s">
        <v>17959</v>
      </c>
      <c r="E14347" t="s">
        <v>30416</v>
      </c>
      <c r="F14347" t="s">
        <v>30900</v>
      </c>
      <c r="G14347" t="s">
        <v>30907</v>
      </c>
      <c r="H14347" t="s">
        <v>30916</v>
      </c>
      <c r="I14347" t="s">
        <v>7411</v>
      </c>
      <c r="J14347" t="s">
        <v>39938</v>
      </c>
      <c r="K14347" t="s">
        <v>40304</v>
      </c>
      <c r="M14347" t="s">
        <v>44701</v>
      </c>
      <c r="N14347" t="s">
        <v>44759</v>
      </c>
      <c r="O14347" t="s">
        <v>44760</v>
      </c>
      <c r="Q14347">
        <v>6</v>
      </c>
      <c r="R14347" t="s">
        <v>44798</v>
      </c>
      <c r="S14347" t="s">
        <v>46074</v>
      </c>
      <c r="T14347" t="s">
        <v>46501</v>
      </c>
      <c r="U14347" t="s">
        <v>58643</v>
      </c>
      <c r="V14347" t="s">
        <v>60744</v>
      </c>
      <c r="W14347" t="s">
        <v>44701</v>
      </c>
      <c r="X14347" t="s">
        <v>60963</v>
      </c>
    </row>
    <row r="14348" spans="1:24">
      <c r="A14348">
        <f>HYPERLINK("https://www.philgeps.gov.ph/GEPSNONPILOT/Tender/SplashBidNoticeAbstractUI.aspx?menuIndex=3&amp;refID=7072359&amp;Result=3","7072359")</f>
        <v>0</v>
      </c>
      <c r="B14348" t="s">
        <v>3722</v>
      </c>
      <c r="C14348" t="s">
        <v>17412</v>
      </c>
      <c r="D14348" t="s">
        <v>17959</v>
      </c>
      <c r="E14348" t="s">
        <v>30417</v>
      </c>
      <c r="F14348" t="s">
        <v>30900</v>
      </c>
      <c r="G14348" t="s">
        <v>30907</v>
      </c>
      <c r="H14348" t="s">
        <v>30916</v>
      </c>
      <c r="I14348" t="s">
        <v>7411</v>
      </c>
      <c r="J14348" t="s">
        <v>39938</v>
      </c>
      <c r="K14348" t="s">
        <v>40304</v>
      </c>
      <c r="M14348" t="s">
        <v>44701</v>
      </c>
      <c r="N14348" t="s">
        <v>44759</v>
      </c>
      <c r="O14348" t="s">
        <v>44760</v>
      </c>
      <c r="Q14348">
        <v>9</v>
      </c>
      <c r="R14348" t="s">
        <v>44798</v>
      </c>
      <c r="S14348" t="s">
        <v>46075</v>
      </c>
      <c r="T14348" t="s">
        <v>46501</v>
      </c>
      <c r="U14348" t="s">
        <v>58644</v>
      </c>
      <c r="V14348" t="s">
        <v>60744</v>
      </c>
      <c r="W14348" t="s">
        <v>44701</v>
      </c>
      <c r="X14348" t="s">
        <v>60963</v>
      </c>
    </row>
    <row r="14349" spans="1:24">
      <c r="A14349">
        <f>HYPERLINK("https://www.philgeps.gov.ph/GEPSNONPILOT/Tender/SplashBidNoticeAbstractUI.aspx?menuIndex=3&amp;refID=7072039&amp;Result=3","7072039")</f>
        <v>0</v>
      </c>
      <c r="B14349" t="s">
        <v>3722</v>
      </c>
      <c r="C14349" t="s">
        <v>17411</v>
      </c>
      <c r="D14349" t="s">
        <v>17959</v>
      </c>
      <c r="E14349" t="s">
        <v>30418</v>
      </c>
      <c r="F14349" t="s">
        <v>30900</v>
      </c>
      <c r="G14349" t="s">
        <v>30907</v>
      </c>
      <c r="H14349" t="s">
        <v>30916</v>
      </c>
      <c r="I14349" t="s">
        <v>7411</v>
      </c>
      <c r="J14349" t="s">
        <v>39938</v>
      </c>
      <c r="K14349" t="s">
        <v>40304</v>
      </c>
      <c r="M14349" t="s">
        <v>44701</v>
      </c>
      <c r="N14349" t="s">
        <v>44759</v>
      </c>
      <c r="O14349" t="s">
        <v>44760</v>
      </c>
      <c r="Q14349">
        <v>11</v>
      </c>
      <c r="R14349" t="s">
        <v>44798</v>
      </c>
      <c r="S14349" t="s">
        <v>46076</v>
      </c>
      <c r="T14349" t="s">
        <v>46501</v>
      </c>
      <c r="U14349" t="s">
        <v>58645</v>
      </c>
      <c r="V14349" t="s">
        <v>60745</v>
      </c>
      <c r="W14349" t="s">
        <v>44701</v>
      </c>
      <c r="X14349" t="s">
        <v>44797</v>
      </c>
    </row>
    <row r="14350" spans="1:24">
      <c r="A14350">
        <f>HYPERLINK("https://www.philgeps.gov.ph/GEPSNONPILOT/Tender/SplashBidNoticeAbstractUI.aspx?menuIndex=3&amp;refID=7072409&amp;Result=3","7072409")</f>
        <v>0</v>
      </c>
      <c r="B14350" t="s">
        <v>3722</v>
      </c>
      <c r="C14350" t="s">
        <v>17413</v>
      </c>
      <c r="D14350" t="s">
        <v>17959</v>
      </c>
      <c r="E14350" t="s">
        <v>30419</v>
      </c>
      <c r="F14350" t="s">
        <v>30900</v>
      </c>
      <c r="G14350" t="s">
        <v>30907</v>
      </c>
      <c r="H14350" t="s">
        <v>30916</v>
      </c>
      <c r="I14350" t="s">
        <v>7411</v>
      </c>
      <c r="J14350" t="s">
        <v>39938</v>
      </c>
      <c r="K14350" t="s">
        <v>40304</v>
      </c>
      <c r="M14350" t="s">
        <v>44701</v>
      </c>
      <c r="N14350" t="s">
        <v>44759</v>
      </c>
      <c r="O14350" t="s">
        <v>44760</v>
      </c>
      <c r="Q14350">
        <v>5</v>
      </c>
      <c r="R14350" t="s">
        <v>44798</v>
      </c>
      <c r="S14350" t="s">
        <v>46077</v>
      </c>
      <c r="T14350" t="s">
        <v>46501</v>
      </c>
      <c r="U14350" t="s">
        <v>58646</v>
      </c>
      <c r="V14350" t="s">
        <v>60746</v>
      </c>
      <c r="W14350" t="s">
        <v>44701</v>
      </c>
      <c r="X14350" t="s">
        <v>60963</v>
      </c>
    </row>
    <row r="14351" spans="1:24">
      <c r="A14351">
        <f>HYPERLINK("https://www.philgeps.gov.ph/GEPSNONPILOT/Tender/SplashBidNoticeAbstractUI.aspx?menuIndex=3&amp;refID=7073478&amp;Result=3","7073478")</f>
        <v>0</v>
      </c>
      <c r="B14351" t="s">
        <v>1833</v>
      </c>
      <c r="C14351" t="s">
        <v>17414</v>
      </c>
      <c r="D14351" t="s">
        <v>18020</v>
      </c>
      <c r="E14351" t="s">
        <v>30420</v>
      </c>
      <c r="F14351" t="s">
        <v>30900</v>
      </c>
      <c r="G14351" t="s">
        <v>30907</v>
      </c>
      <c r="H14351" t="s">
        <v>30915</v>
      </c>
      <c r="I14351" t="s">
        <v>30919</v>
      </c>
      <c r="J14351" t="s">
        <v>39939</v>
      </c>
      <c r="K14351" t="s">
        <v>40342</v>
      </c>
      <c r="M14351" t="s">
        <v>42506</v>
      </c>
      <c r="N14351" t="s">
        <v>44759</v>
      </c>
      <c r="O14351" t="s">
        <v>44760</v>
      </c>
      <c r="Q14351">
        <v>4</v>
      </c>
      <c r="R14351" t="s">
        <v>44796</v>
      </c>
      <c r="S14351" t="s">
        <v>46078</v>
      </c>
      <c r="T14351" t="s">
        <v>46409</v>
      </c>
      <c r="U14351" t="s">
        <v>58634</v>
      </c>
      <c r="W14351" t="s">
        <v>42506</v>
      </c>
      <c r="X14351" t="s">
        <v>44798</v>
      </c>
    </row>
    <row r="14352" spans="1:24">
      <c r="A14352">
        <f>HYPERLINK("https://www.philgeps.gov.ph/GEPSNONPILOT/Tender/SplashBidNoticeAbstractUI.aspx?menuIndex=3&amp;refID=7070621&amp;Result=3","7070621")</f>
        <v>0</v>
      </c>
      <c r="B14352" t="s">
        <v>2992</v>
      </c>
      <c r="C14352" t="s">
        <v>17415</v>
      </c>
      <c r="D14352" t="s">
        <v>17975</v>
      </c>
      <c r="E14352" t="s">
        <v>26275</v>
      </c>
      <c r="F14352" t="s">
        <v>30899</v>
      </c>
      <c r="G14352" t="s">
        <v>30907</v>
      </c>
      <c r="H14352" t="s">
        <v>30915</v>
      </c>
      <c r="I14352" t="s">
        <v>30919</v>
      </c>
      <c r="J14352" t="s">
        <v>39940</v>
      </c>
      <c r="K14352" t="s">
        <v>40315</v>
      </c>
      <c r="L14352" t="s">
        <v>2992</v>
      </c>
      <c r="M14352" t="s">
        <v>43795</v>
      </c>
      <c r="N14352" t="s">
        <v>44759</v>
      </c>
      <c r="O14352" t="s">
        <v>44760</v>
      </c>
      <c r="Q14352">
        <v>0</v>
      </c>
      <c r="R14352" t="s">
        <v>44798</v>
      </c>
      <c r="S14352" t="s">
        <v>46079</v>
      </c>
      <c r="T14352" t="s">
        <v>46409</v>
      </c>
      <c r="U14352" t="s">
        <v>58647</v>
      </c>
      <c r="W14352" t="s">
        <v>43795</v>
      </c>
      <c r="X14352" t="s">
        <v>44797</v>
      </c>
    </row>
    <row r="14353" spans="1:24">
      <c r="A14353">
        <f>HYPERLINK("https://www.philgeps.gov.ph/GEPSNONPILOT/Tender/SplashBidNoticeAbstractUI.aspx?menuIndex=3&amp;refID=7062707&amp;Result=3","7062707")</f>
        <v>0</v>
      </c>
      <c r="B14353" t="s">
        <v>805</v>
      </c>
      <c r="C14353" t="s">
        <v>17416</v>
      </c>
      <c r="D14353" t="s">
        <v>18006</v>
      </c>
      <c r="E14353" t="s">
        <v>30421</v>
      </c>
      <c r="F14353" t="s">
        <v>30900</v>
      </c>
      <c r="G14353" t="s">
        <v>30907</v>
      </c>
      <c r="H14353" t="s">
        <v>30915</v>
      </c>
      <c r="I14353" t="s">
        <v>30919</v>
      </c>
      <c r="J14353" t="s">
        <v>39941</v>
      </c>
      <c r="K14353" t="s">
        <v>40489</v>
      </c>
      <c r="M14353" t="s">
        <v>41375</v>
      </c>
      <c r="N14353" t="s">
        <v>44759</v>
      </c>
      <c r="O14353" t="s">
        <v>44760</v>
      </c>
      <c r="Q14353">
        <v>7</v>
      </c>
      <c r="R14353" t="s">
        <v>44800</v>
      </c>
      <c r="S14353" t="s">
        <v>46080</v>
      </c>
      <c r="T14353" t="s">
        <v>46352</v>
      </c>
      <c r="U14353" t="s">
        <v>58648</v>
      </c>
      <c r="W14353" t="s">
        <v>41375</v>
      </c>
      <c r="X14353" t="s">
        <v>44803</v>
      </c>
    </row>
    <row r="14354" spans="1:24">
      <c r="A14354">
        <f>HYPERLINK("https://www.philgeps.gov.ph/GEPSNONPILOT/Tender/SplashBidNoticeAbstractUI.aspx?menuIndex=3&amp;refID=7062694&amp;Result=3","7062694")</f>
        <v>0</v>
      </c>
      <c r="B14354" t="s">
        <v>805</v>
      </c>
      <c r="C14354" t="s">
        <v>17417</v>
      </c>
      <c r="D14354" t="s">
        <v>18006</v>
      </c>
      <c r="E14354" t="s">
        <v>30422</v>
      </c>
      <c r="F14354" t="s">
        <v>30900</v>
      </c>
      <c r="G14354" t="s">
        <v>30907</v>
      </c>
      <c r="H14354" t="s">
        <v>30915</v>
      </c>
      <c r="I14354" t="s">
        <v>30919</v>
      </c>
      <c r="J14354" t="s">
        <v>39942</v>
      </c>
      <c r="K14354" t="s">
        <v>40472</v>
      </c>
      <c r="M14354" t="s">
        <v>41375</v>
      </c>
      <c r="N14354" t="s">
        <v>44759</v>
      </c>
      <c r="O14354" t="s">
        <v>44760</v>
      </c>
      <c r="Q14354">
        <v>6</v>
      </c>
      <c r="R14354" t="s">
        <v>44800</v>
      </c>
      <c r="S14354" t="s">
        <v>46081</v>
      </c>
      <c r="T14354" t="s">
        <v>46352</v>
      </c>
      <c r="U14354" t="s">
        <v>58649</v>
      </c>
      <c r="W14354" t="s">
        <v>41375</v>
      </c>
      <c r="X14354" t="s">
        <v>44803</v>
      </c>
    </row>
    <row r="14355" spans="1:24">
      <c r="A14355">
        <f>HYPERLINK("https://www.philgeps.gov.ph/GEPSNONPILOT/Tender/SplashBidNoticeAbstractUI.aspx?menuIndex=3&amp;refID=7072385&amp;Result=3","7072385")</f>
        <v>0</v>
      </c>
      <c r="B14355" t="s">
        <v>3722</v>
      </c>
      <c r="C14355" t="s">
        <v>17418</v>
      </c>
      <c r="D14355" t="s">
        <v>17959</v>
      </c>
      <c r="E14355" t="s">
        <v>30423</v>
      </c>
      <c r="F14355" t="s">
        <v>30900</v>
      </c>
      <c r="G14355" t="s">
        <v>30907</v>
      </c>
      <c r="H14355" t="s">
        <v>30916</v>
      </c>
      <c r="I14355" t="s">
        <v>7411</v>
      </c>
      <c r="J14355" t="s">
        <v>39938</v>
      </c>
      <c r="K14355" t="s">
        <v>40304</v>
      </c>
      <c r="M14355" t="s">
        <v>44701</v>
      </c>
      <c r="N14355" t="s">
        <v>44759</v>
      </c>
      <c r="O14355" t="s">
        <v>44760</v>
      </c>
      <c r="Q14355">
        <v>5</v>
      </c>
      <c r="R14355" t="s">
        <v>44798</v>
      </c>
      <c r="S14355" t="s">
        <v>46082</v>
      </c>
      <c r="T14355" t="s">
        <v>46501</v>
      </c>
      <c r="U14355" t="s">
        <v>58650</v>
      </c>
      <c r="V14355" t="s">
        <v>60744</v>
      </c>
      <c r="W14355" t="s">
        <v>44701</v>
      </c>
      <c r="X14355" t="s">
        <v>60963</v>
      </c>
    </row>
    <row r="14356" spans="1:24">
      <c r="A14356">
        <f>HYPERLINK("https://www.philgeps.gov.ph/GEPSNONPILOT/Tender/SplashBidNoticeAbstractUI.aspx?menuIndex=3&amp;refID=7072375&amp;Result=3","7072375")</f>
        <v>0</v>
      </c>
      <c r="B14356" t="s">
        <v>3722</v>
      </c>
      <c r="C14356" t="s">
        <v>17412</v>
      </c>
      <c r="D14356" t="s">
        <v>17959</v>
      </c>
      <c r="E14356" t="s">
        <v>30417</v>
      </c>
      <c r="F14356" t="s">
        <v>30900</v>
      </c>
      <c r="G14356" t="s">
        <v>30907</v>
      </c>
      <c r="H14356" t="s">
        <v>30916</v>
      </c>
      <c r="I14356" t="s">
        <v>7411</v>
      </c>
      <c r="J14356" t="s">
        <v>39938</v>
      </c>
      <c r="K14356" t="s">
        <v>40304</v>
      </c>
      <c r="M14356" t="s">
        <v>44701</v>
      </c>
      <c r="N14356" t="s">
        <v>44759</v>
      </c>
      <c r="O14356" t="s">
        <v>44760</v>
      </c>
      <c r="Q14356">
        <v>5</v>
      </c>
      <c r="R14356" t="s">
        <v>44798</v>
      </c>
      <c r="S14356" t="s">
        <v>46083</v>
      </c>
      <c r="T14356" t="s">
        <v>46501</v>
      </c>
      <c r="U14356" t="s">
        <v>58651</v>
      </c>
      <c r="V14356" t="s">
        <v>60744</v>
      </c>
      <c r="W14356" t="s">
        <v>44701</v>
      </c>
      <c r="X14356" t="s">
        <v>60963</v>
      </c>
    </row>
    <row r="14357" spans="1:24">
      <c r="A14357">
        <f>HYPERLINK("https://www.philgeps.gov.ph/GEPSNONPILOT/Tender/SplashBidNoticeAbstractUI.aspx?menuIndex=3&amp;refID=7062699&amp;Result=3","7062699")</f>
        <v>0</v>
      </c>
      <c r="B14357" t="s">
        <v>805</v>
      </c>
      <c r="C14357" t="s">
        <v>17419</v>
      </c>
      <c r="D14357" t="s">
        <v>18006</v>
      </c>
      <c r="E14357" t="s">
        <v>30424</v>
      </c>
      <c r="F14357" t="s">
        <v>30900</v>
      </c>
      <c r="G14357" t="s">
        <v>30907</v>
      </c>
      <c r="H14357" t="s">
        <v>30915</v>
      </c>
      <c r="I14357" t="s">
        <v>30919</v>
      </c>
      <c r="J14357" t="s">
        <v>39941</v>
      </c>
      <c r="K14357" t="s">
        <v>40489</v>
      </c>
      <c r="M14357" t="s">
        <v>41375</v>
      </c>
      <c r="N14357" t="s">
        <v>44759</v>
      </c>
      <c r="O14357" t="s">
        <v>44760</v>
      </c>
      <c r="Q14357">
        <v>9</v>
      </c>
      <c r="R14357" t="s">
        <v>44800</v>
      </c>
      <c r="S14357" t="s">
        <v>46084</v>
      </c>
      <c r="T14357" t="s">
        <v>46352</v>
      </c>
      <c r="U14357" t="s">
        <v>58652</v>
      </c>
      <c r="W14357" t="s">
        <v>41375</v>
      </c>
      <c r="X14357" t="s">
        <v>44803</v>
      </c>
    </row>
    <row r="14358" spans="1:24">
      <c r="A14358">
        <f>HYPERLINK("https://www.philgeps.gov.ph/GEPSNONPILOT/Tender/SplashBidNoticeAbstractUI.aspx?menuIndex=3&amp;refID=7062607&amp;Result=3","7062607")</f>
        <v>0</v>
      </c>
      <c r="B14358" t="s">
        <v>805</v>
      </c>
      <c r="C14358" t="s">
        <v>17420</v>
      </c>
      <c r="D14358" t="s">
        <v>18006</v>
      </c>
      <c r="E14358" t="s">
        <v>30425</v>
      </c>
      <c r="F14358" t="s">
        <v>30900</v>
      </c>
      <c r="G14358" t="s">
        <v>30907</v>
      </c>
      <c r="H14358" t="s">
        <v>30915</v>
      </c>
      <c r="I14358" t="s">
        <v>30919</v>
      </c>
      <c r="J14358" t="s">
        <v>39943</v>
      </c>
      <c r="K14358" t="s">
        <v>40529</v>
      </c>
      <c r="M14358" t="s">
        <v>41375</v>
      </c>
      <c r="N14358" t="s">
        <v>44759</v>
      </c>
      <c r="O14358" t="s">
        <v>44760</v>
      </c>
      <c r="Q14358">
        <v>8</v>
      </c>
      <c r="R14358" t="s">
        <v>44800</v>
      </c>
      <c r="S14358" t="s">
        <v>46085</v>
      </c>
      <c r="T14358" t="s">
        <v>46352</v>
      </c>
      <c r="U14358" t="s">
        <v>58653</v>
      </c>
      <c r="W14358" t="s">
        <v>41375</v>
      </c>
      <c r="X14358" t="s">
        <v>44803</v>
      </c>
    </row>
    <row r="14359" spans="1:24">
      <c r="A14359">
        <f>HYPERLINK("https://www.philgeps.gov.ph/GEPSNONPILOT/Tender/SplashBidNoticeAbstractUI.aspx?menuIndex=3&amp;refID=7073524&amp;Result=3","7073524")</f>
        <v>0</v>
      </c>
      <c r="B14359" t="s">
        <v>1833</v>
      </c>
      <c r="C14359" t="s">
        <v>17421</v>
      </c>
      <c r="D14359" t="s">
        <v>18020</v>
      </c>
      <c r="E14359" t="s">
        <v>30426</v>
      </c>
      <c r="F14359" t="s">
        <v>30900</v>
      </c>
      <c r="G14359" t="s">
        <v>30907</v>
      </c>
      <c r="H14359" t="s">
        <v>30915</v>
      </c>
      <c r="I14359" t="s">
        <v>30919</v>
      </c>
      <c r="J14359" t="s">
        <v>35787</v>
      </c>
      <c r="K14359" t="s">
        <v>40342</v>
      </c>
      <c r="M14359" t="s">
        <v>42506</v>
      </c>
      <c r="N14359" t="s">
        <v>44759</v>
      </c>
      <c r="O14359" t="s">
        <v>44760</v>
      </c>
      <c r="Q14359">
        <v>6</v>
      </c>
      <c r="R14359" t="s">
        <v>44796</v>
      </c>
      <c r="S14359" t="s">
        <v>46086</v>
      </c>
      <c r="T14359" t="s">
        <v>46409</v>
      </c>
      <c r="U14359" t="s">
        <v>58654</v>
      </c>
      <c r="W14359" t="s">
        <v>42506</v>
      </c>
      <c r="X14359" t="s">
        <v>44798</v>
      </c>
    </row>
    <row r="14360" spans="1:24">
      <c r="A14360">
        <f>HYPERLINK("https://www.philgeps.gov.ph/GEPSNONPILOT/Tender/SplashBidNoticeAbstractUI.aspx?menuIndex=3&amp;refID=7062591&amp;Result=3","7062591")</f>
        <v>0</v>
      </c>
      <c r="B14360" t="s">
        <v>805</v>
      </c>
      <c r="C14360" t="s">
        <v>17422</v>
      </c>
      <c r="D14360" t="s">
        <v>18006</v>
      </c>
      <c r="E14360" t="s">
        <v>30427</v>
      </c>
      <c r="F14360" t="s">
        <v>30900</v>
      </c>
      <c r="G14360" t="s">
        <v>30907</v>
      </c>
      <c r="H14360" t="s">
        <v>30915</v>
      </c>
      <c r="I14360" t="s">
        <v>30919</v>
      </c>
      <c r="J14360" t="s">
        <v>34537</v>
      </c>
      <c r="K14360" t="s">
        <v>40380</v>
      </c>
      <c r="M14360" t="s">
        <v>41375</v>
      </c>
      <c r="N14360" t="s">
        <v>44759</v>
      </c>
      <c r="O14360" t="s">
        <v>44760</v>
      </c>
      <c r="Q14360">
        <v>6</v>
      </c>
      <c r="R14360" t="s">
        <v>44800</v>
      </c>
      <c r="S14360" t="s">
        <v>46087</v>
      </c>
      <c r="T14360" t="s">
        <v>46352</v>
      </c>
      <c r="U14360" t="s">
        <v>58655</v>
      </c>
      <c r="W14360" t="s">
        <v>41375</v>
      </c>
      <c r="X14360" t="s">
        <v>44803</v>
      </c>
    </row>
    <row r="14361" spans="1:24">
      <c r="A14361">
        <f>HYPERLINK("https://www.philgeps.gov.ph/GEPSNONPILOT/Tender/SplashBidNoticeAbstractUI.aspx?menuIndex=3&amp;refID=7062424&amp;Result=3","7062424")</f>
        <v>0</v>
      </c>
      <c r="B14361" t="s">
        <v>805</v>
      </c>
      <c r="C14361" t="s">
        <v>17423</v>
      </c>
      <c r="D14361" t="s">
        <v>18006</v>
      </c>
      <c r="E14361" t="s">
        <v>30428</v>
      </c>
      <c r="F14361" t="s">
        <v>30900</v>
      </c>
      <c r="G14361" t="s">
        <v>30907</v>
      </c>
      <c r="H14361" t="s">
        <v>30915</v>
      </c>
      <c r="I14361" t="s">
        <v>30919</v>
      </c>
      <c r="J14361" t="s">
        <v>34537</v>
      </c>
      <c r="K14361" t="s">
        <v>40380</v>
      </c>
      <c r="M14361" t="s">
        <v>41375</v>
      </c>
      <c r="N14361" t="s">
        <v>44759</v>
      </c>
      <c r="O14361" t="s">
        <v>44760</v>
      </c>
      <c r="Q14361">
        <v>7</v>
      </c>
      <c r="R14361" t="s">
        <v>44800</v>
      </c>
      <c r="S14361" t="s">
        <v>46088</v>
      </c>
      <c r="T14361" t="s">
        <v>46352</v>
      </c>
      <c r="U14361" t="s">
        <v>58656</v>
      </c>
      <c r="W14361" t="s">
        <v>41375</v>
      </c>
      <c r="X14361" t="s">
        <v>44803</v>
      </c>
    </row>
    <row r="14362" spans="1:24">
      <c r="A14362">
        <f>HYPERLINK("https://www.philgeps.gov.ph/GEPSNONPILOT/Tender/SplashBidNoticeAbstractUI.aspx?menuIndex=3&amp;refID=7062688&amp;Result=3","7062688")</f>
        <v>0</v>
      </c>
      <c r="B14362" t="s">
        <v>805</v>
      </c>
      <c r="C14362" t="s">
        <v>17424</v>
      </c>
      <c r="D14362" t="s">
        <v>18006</v>
      </c>
      <c r="E14362" t="s">
        <v>30429</v>
      </c>
      <c r="F14362" t="s">
        <v>30900</v>
      </c>
      <c r="G14362" t="s">
        <v>30907</v>
      </c>
      <c r="H14362" t="s">
        <v>30915</v>
      </c>
      <c r="I14362" t="s">
        <v>30919</v>
      </c>
      <c r="J14362" t="s">
        <v>34537</v>
      </c>
      <c r="K14362" t="s">
        <v>40380</v>
      </c>
      <c r="M14362" t="s">
        <v>41375</v>
      </c>
      <c r="N14362" t="s">
        <v>44759</v>
      </c>
      <c r="O14362" t="s">
        <v>44760</v>
      </c>
      <c r="Q14362">
        <v>8</v>
      </c>
      <c r="R14362" t="s">
        <v>44800</v>
      </c>
      <c r="S14362" t="s">
        <v>46089</v>
      </c>
      <c r="T14362" t="s">
        <v>46352</v>
      </c>
      <c r="U14362" t="s">
        <v>58657</v>
      </c>
      <c r="W14362" t="s">
        <v>41375</v>
      </c>
      <c r="X14362" t="s">
        <v>44803</v>
      </c>
    </row>
    <row r="14363" spans="1:24">
      <c r="A14363">
        <f>HYPERLINK("https://www.philgeps.gov.ph/GEPSNONPILOT/Tender/SplashBidNoticeAbstractUI.aspx?menuIndex=3&amp;refID=7062476&amp;Result=3","7062476")</f>
        <v>0</v>
      </c>
      <c r="B14363" t="s">
        <v>805</v>
      </c>
      <c r="C14363" t="s">
        <v>17425</v>
      </c>
      <c r="D14363" t="s">
        <v>18006</v>
      </c>
      <c r="E14363" t="s">
        <v>30430</v>
      </c>
      <c r="F14363" t="s">
        <v>30900</v>
      </c>
      <c r="G14363" t="s">
        <v>30907</v>
      </c>
      <c r="H14363" t="s">
        <v>30915</v>
      </c>
      <c r="I14363" t="s">
        <v>30919</v>
      </c>
      <c r="J14363" t="s">
        <v>34537</v>
      </c>
      <c r="K14363" t="s">
        <v>40380</v>
      </c>
      <c r="M14363" t="s">
        <v>41375</v>
      </c>
      <c r="N14363" t="s">
        <v>44759</v>
      </c>
      <c r="O14363" t="s">
        <v>44760</v>
      </c>
      <c r="Q14363">
        <v>7</v>
      </c>
      <c r="R14363" t="s">
        <v>44800</v>
      </c>
      <c r="S14363" t="s">
        <v>46090</v>
      </c>
      <c r="T14363" t="s">
        <v>46352</v>
      </c>
      <c r="U14363" t="s">
        <v>58658</v>
      </c>
      <c r="W14363" t="s">
        <v>41375</v>
      </c>
      <c r="X14363" t="s">
        <v>44803</v>
      </c>
    </row>
    <row r="14364" spans="1:24">
      <c r="A14364">
        <f>HYPERLINK("https://www.philgeps.gov.ph/GEPSNONPILOT/Tender/SplashBidNoticeAbstractUI.aspx?menuIndex=3&amp;refID=7074229&amp;Result=3","7074229")</f>
        <v>0</v>
      </c>
      <c r="B14364" t="s">
        <v>1833</v>
      </c>
      <c r="C14364" t="s">
        <v>17426</v>
      </c>
      <c r="D14364" t="s">
        <v>18020</v>
      </c>
      <c r="E14364" t="s">
        <v>30431</v>
      </c>
      <c r="F14364" t="s">
        <v>30900</v>
      </c>
      <c r="G14364" t="s">
        <v>30907</v>
      </c>
      <c r="H14364" t="s">
        <v>30915</v>
      </c>
      <c r="I14364" t="s">
        <v>30919</v>
      </c>
      <c r="J14364" t="s">
        <v>37738</v>
      </c>
      <c r="K14364" t="s">
        <v>40301</v>
      </c>
      <c r="M14364" t="s">
        <v>42506</v>
      </c>
      <c r="N14364" t="s">
        <v>44759</v>
      </c>
      <c r="O14364" t="s">
        <v>44760</v>
      </c>
      <c r="Q14364">
        <v>8</v>
      </c>
      <c r="R14364" t="s">
        <v>44796</v>
      </c>
      <c r="S14364" t="s">
        <v>46091</v>
      </c>
      <c r="T14364" t="s">
        <v>46409</v>
      </c>
      <c r="U14364" t="s">
        <v>51119</v>
      </c>
      <c r="W14364" t="s">
        <v>42506</v>
      </c>
      <c r="X14364" t="s">
        <v>44798</v>
      </c>
    </row>
    <row r="14365" spans="1:24">
      <c r="A14365">
        <f>HYPERLINK("https://www.philgeps.gov.ph/GEPSNONPILOT/Tender/SplashBidNoticeAbstractUI.aspx?menuIndex=3&amp;refID=7058405&amp;Result=3","7058405")</f>
        <v>0</v>
      </c>
      <c r="B14365" t="s">
        <v>1833</v>
      </c>
      <c r="C14365" t="s">
        <v>17427</v>
      </c>
      <c r="D14365" t="s">
        <v>18020</v>
      </c>
      <c r="E14365" t="s">
        <v>30432</v>
      </c>
      <c r="F14365" t="s">
        <v>30900</v>
      </c>
      <c r="G14365" t="s">
        <v>30907</v>
      </c>
      <c r="H14365" t="s">
        <v>30915</v>
      </c>
      <c r="I14365" t="s">
        <v>30919</v>
      </c>
      <c r="J14365" t="s">
        <v>39936</v>
      </c>
      <c r="K14365" t="s">
        <v>40312</v>
      </c>
      <c r="M14365" t="s">
        <v>42506</v>
      </c>
      <c r="N14365" t="s">
        <v>44759</v>
      </c>
      <c r="O14365" t="s">
        <v>44760</v>
      </c>
      <c r="Q14365">
        <v>6</v>
      </c>
      <c r="R14365" t="s">
        <v>44801</v>
      </c>
      <c r="S14365" t="s">
        <v>46092</v>
      </c>
      <c r="T14365" t="s">
        <v>46550</v>
      </c>
      <c r="U14365" t="s">
        <v>58630</v>
      </c>
      <c r="W14365" t="s">
        <v>42506</v>
      </c>
      <c r="X14365" t="s">
        <v>44859</v>
      </c>
    </row>
    <row r="14366" spans="1:24">
      <c r="A14366">
        <f>HYPERLINK("https://www.philgeps.gov.ph/GEPSNONPILOT/Tender/SplashBidNoticeAbstractUI.aspx?menuIndex=3&amp;refID=7062379&amp;Result=3","7062379")</f>
        <v>0</v>
      </c>
      <c r="B14366" t="s">
        <v>805</v>
      </c>
      <c r="C14366" t="s">
        <v>17428</v>
      </c>
      <c r="D14366" t="s">
        <v>18006</v>
      </c>
      <c r="E14366" t="s">
        <v>30433</v>
      </c>
      <c r="F14366" t="s">
        <v>30900</v>
      </c>
      <c r="G14366" t="s">
        <v>30907</v>
      </c>
      <c r="H14366" t="s">
        <v>30915</v>
      </c>
      <c r="I14366" t="s">
        <v>30919</v>
      </c>
      <c r="J14366" t="s">
        <v>34537</v>
      </c>
      <c r="K14366" t="s">
        <v>40380</v>
      </c>
      <c r="M14366" t="s">
        <v>41375</v>
      </c>
      <c r="N14366" t="s">
        <v>44759</v>
      </c>
      <c r="O14366" t="s">
        <v>44760</v>
      </c>
      <c r="Q14366">
        <v>7</v>
      </c>
      <c r="R14366" t="s">
        <v>44800</v>
      </c>
      <c r="S14366" t="s">
        <v>46093</v>
      </c>
      <c r="T14366" t="s">
        <v>46352</v>
      </c>
      <c r="U14366" t="s">
        <v>58659</v>
      </c>
      <c r="W14366" t="s">
        <v>41375</v>
      </c>
      <c r="X14366" t="s">
        <v>44803</v>
      </c>
    </row>
    <row r="14367" spans="1:24">
      <c r="A14367">
        <f>HYPERLINK("https://www.philgeps.gov.ph/GEPSNONPILOT/Tender/SplashBidNoticeAbstractUI.aspx?menuIndex=3&amp;refID=7058275&amp;Result=3","7058275")</f>
        <v>0</v>
      </c>
      <c r="B14367" t="s">
        <v>1833</v>
      </c>
      <c r="C14367" t="s">
        <v>17429</v>
      </c>
      <c r="D14367" t="s">
        <v>18020</v>
      </c>
      <c r="E14367" t="s">
        <v>30434</v>
      </c>
      <c r="F14367" t="s">
        <v>30900</v>
      </c>
      <c r="G14367" t="s">
        <v>30907</v>
      </c>
      <c r="H14367" t="s">
        <v>30915</v>
      </c>
      <c r="I14367" t="s">
        <v>30919</v>
      </c>
      <c r="J14367" t="s">
        <v>35232</v>
      </c>
      <c r="K14367" t="s">
        <v>40395</v>
      </c>
      <c r="M14367" t="s">
        <v>42506</v>
      </c>
      <c r="N14367" t="s">
        <v>44759</v>
      </c>
      <c r="O14367" t="s">
        <v>44760</v>
      </c>
      <c r="Q14367">
        <v>12</v>
      </c>
      <c r="R14367" t="s">
        <v>44801</v>
      </c>
      <c r="S14367" t="s">
        <v>46094</v>
      </c>
      <c r="T14367" t="s">
        <v>46550</v>
      </c>
      <c r="U14367" t="s">
        <v>51119</v>
      </c>
      <c r="W14367" t="s">
        <v>42506</v>
      </c>
      <c r="X14367" t="s">
        <v>44859</v>
      </c>
    </row>
    <row r="14368" spans="1:24">
      <c r="A14368">
        <f>HYPERLINK("https://www.philgeps.gov.ph/GEPSNONPILOT/Tender/SplashBidNoticeAbstractUI.aspx?menuIndex=3&amp;refID=7076091&amp;Result=3","7076091")</f>
        <v>0</v>
      </c>
      <c r="B14368" t="s">
        <v>866</v>
      </c>
      <c r="C14368" t="s">
        <v>17430</v>
      </c>
      <c r="D14368" t="s">
        <v>17981</v>
      </c>
      <c r="E14368" t="s">
        <v>30435</v>
      </c>
      <c r="F14368" t="s">
        <v>30900</v>
      </c>
      <c r="G14368" t="s">
        <v>30907</v>
      </c>
      <c r="H14368" t="s">
        <v>30915</v>
      </c>
      <c r="I14368" t="s">
        <v>30919</v>
      </c>
      <c r="J14368" t="s">
        <v>39944</v>
      </c>
      <c r="K14368" t="s">
        <v>40486</v>
      </c>
      <c r="M14368" t="s">
        <v>41439</v>
      </c>
      <c r="N14368" t="s">
        <v>44759</v>
      </c>
      <c r="O14368" t="s">
        <v>44760</v>
      </c>
      <c r="Q14368">
        <v>23</v>
      </c>
      <c r="R14368" t="s">
        <v>44795</v>
      </c>
      <c r="S14368" t="s">
        <v>46095</v>
      </c>
      <c r="T14368" t="s">
        <v>46428</v>
      </c>
      <c r="U14368" t="s">
        <v>58660</v>
      </c>
      <c r="V14368" t="s">
        <v>59323</v>
      </c>
      <c r="W14368" t="s">
        <v>41439</v>
      </c>
      <c r="X14368" t="s">
        <v>44796</v>
      </c>
    </row>
    <row r="14369" spans="1:24">
      <c r="A14369">
        <f>HYPERLINK("https://www.philgeps.gov.ph/GEPSNONPILOT/Tender/SplashBidNoticeAbstractUI.aspx?menuIndex=3&amp;refID=7058277&amp;Result=3","7058277")</f>
        <v>0</v>
      </c>
      <c r="B14369" t="s">
        <v>1833</v>
      </c>
      <c r="C14369" t="s">
        <v>17431</v>
      </c>
      <c r="D14369" t="s">
        <v>18020</v>
      </c>
      <c r="E14369" t="s">
        <v>30436</v>
      </c>
      <c r="F14369" t="s">
        <v>30900</v>
      </c>
      <c r="G14369" t="s">
        <v>30907</v>
      </c>
      <c r="H14369" t="s">
        <v>30915</v>
      </c>
      <c r="I14369" t="s">
        <v>30919</v>
      </c>
      <c r="J14369" t="s">
        <v>39945</v>
      </c>
      <c r="K14369" t="s">
        <v>40342</v>
      </c>
      <c r="M14369" t="s">
        <v>42506</v>
      </c>
      <c r="N14369" t="s">
        <v>44759</v>
      </c>
      <c r="O14369" t="s">
        <v>44760</v>
      </c>
      <c r="Q14369">
        <v>8</v>
      </c>
      <c r="R14369" t="s">
        <v>44801</v>
      </c>
      <c r="S14369" t="s">
        <v>46094</v>
      </c>
      <c r="T14369" t="s">
        <v>46550</v>
      </c>
      <c r="U14369" t="s">
        <v>58634</v>
      </c>
      <c r="W14369" t="s">
        <v>42506</v>
      </c>
      <c r="X14369" t="s">
        <v>44859</v>
      </c>
    </row>
    <row r="14370" spans="1:24">
      <c r="A14370">
        <f>HYPERLINK("https://www.philgeps.gov.ph/GEPSNONPILOT/Tender/SplashBidNoticeAbstractUI.aspx?menuIndex=3&amp;refID=7062407&amp;Result=3","7062407")</f>
        <v>0</v>
      </c>
      <c r="B14370" t="s">
        <v>805</v>
      </c>
      <c r="C14370" t="s">
        <v>17432</v>
      </c>
      <c r="D14370" t="s">
        <v>18006</v>
      </c>
      <c r="E14370" t="s">
        <v>30437</v>
      </c>
      <c r="F14370" t="s">
        <v>30900</v>
      </c>
      <c r="G14370" t="s">
        <v>30907</v>
      </c>
      <c r="H14370" t="s">
        <v>30915</v>
      </c>
      <c r="I14370" t="s">
        <v>30919</v>
      </c>
      <c r="J14370" t="s">
        <v>34537</v>
      </c>
      <c r="K14370" t="s">
        <v>40380</v>
      </c>
      <c r="M14370" t="s">
        <v>41375</v>
      </c>
      <c r="N14370" t="s">
        <v>44759</v>
      </c>
      <c r="O14370" t="s">
        <v>44760</v>
      </c>
      <c r="Q14370">
        <v>9</v>
      </c>
      <c r="R14370" t="s">
        <v>44800</v>
      </c>
      <c r="S14370" t="s">
        <v>46096</v>
      </c>
      <c r="T14370" t="s">
        <v>46352</v>
      </c>
      <c r="U14370" t="s">
        <v>58661</v>
      </c>
      <c r="W14370" t="s">
        <v>41375</v>
      </c>
      <c r="X14370" t="s">
        <v>44803</v>
      </c>
    </row>
    <row r="14371" spans="1:24">
      <c r="A14371">
        <f>HYPERLINK("https://www.philgeps.gov.ph/GEPSNONPILOT/Tender/SplashBidNoticeAbstractUI.aspx?menuIndex=3&amp;refID=7058401&amp;Result=3","7058401")</f>
        <v>0</v>
      </c>
      <c r="B14371" t="s">
        <v>1833</v>
      </c>
      <c r="C14371" t="s">
        <v>17433</v>
      </c>
      <c r="D14371" t="s">
        <v>18020</v>
      </c>
      <c r="E14371" t="s">
        <v>30438</v>
      </c>
      <c r="F14371" t="s">
        <v>30900</v>
      </c>
      <c r="G14371" t="s">
        <v>30907</v>
      </c>
      <c r="H14371" t="s">
        <v>30915</v>
      </c>
      <c r="I14371" t="s">
        <v>30919</v>
      </c>
      <c r="J14371" t="s">
        <v>39936</v>
      </c>
      <c r="K14371" t="s">
        <v>40301</v>
      </c>
      <c r="M14371" t="s">
        <v>42506</v>
      </c>
      <c r="N14371" t="s">
        <v>44759</v>
      </c>
      <c r="O14371" t="s">
        <v>44760</v>
      </c>
      <c r="Q14371">
        <v>7</v>
      </c>
      <c r="R14371" t="s">
        <v>44801</v>
      </c>
      <c r="S14371" t="s">
        <v>46097</v>
      </c>
      <c r="T14371" t="s">
        <v>46550</v>
      </c>
      <c r="U14371" t="s">
        <v>58630</v>
      </c>
      <c r="W14371" t="s">
        <v>42506</v>
      </c>
      <c r="X14371" t="s">
        <v>44859</v>
      </c>
    </row>
    <row r="14372" spans="1:24">
      <c r="A14372">
        <f>HYPERLINK("https://www.philgeps.gov.ph/GEPSNONPILOT/Tender/SplashBidNoticeAbstractUI.aspx?menuIndex=3&amp;refID=7058399&amp;Result=3","7058399")</f>
        <v>0</v>
      </c>
      <c r="B14372" t="s">
        <v>1833</v>
      </c>
      <c r="C14372" t="s">
        <v>17434</v>
      </c>
      <c r="D14372" t="s">
        <v>18020</v>
      </c>
      <c r="E14372" t="s">
        <v>30439</v>
      </c>
      <c r="F14372" t="s">
        <v>30900</v>
      </c>
      <c r="G14372" t="s">
        <v>30907</v>
      </c>
      <c r="H14372" t="s">
        <v>30915</v>
      </c>
      <c r="I14372" t="s">
        <v>30919</v>
      </c>
      <c r="J14372" t="s">
        <v>33772</v>
      </c>
      <c r="K14372" t="s">
        <v>40304</v>
      </c>
      <c r="M14372" t="s">
        <v>42506</v>
      </c>
      <c r="N14372" t="s">
        <v>44759</v>
      </c>
      <c r="O14372" t="s">
        <v>44760</v>
      </c>
      <c r="Q14372">
        <v>3</v>
      </c>
      <c r="R14372" t="s">
        <v>44801</v>
      </c>
      <c r="S14372" t="s">
        <v>46097</v>
      </c>
      <c r="T14372" t="s">
        <v>46550</v>
      </c>
      <c r="U14372" t="s">
        <v>58634</v>
      </c>
      <c r="W14372" t="s">
        <v>42506</v>
      </c>
      <c r="X14372" t="s">
        <v>44859</v>
      </c>
    </row>
    <row r="14373" spans="1:24">
      <c r="A14373">
        <f>HYPERLINK("https://www.philgeps.gov.ph/GEPSNONPILOT/Tender/SplashBidNoticeAbstractUI.aspx?menuIndex=3&amp;refID=7058241&amp;Result=3","7058241")</f>
        <v>0</v>
      </c>
      <c r="B14373" t="s">
        <v>1833</v>
      </c>
      <c r="C14373" t="s">
        <v>17435</v>
      </c>
      <c r="D14373" t="s">
        <v>18020</v>
      </c>
      <c r="E14373" t="s">
        <v>30440</v>
      </c>
      <c r="F14373" t="s">
        <v>30900</v>
      </c>
      <c r="G14373" t="s">
        <v>30907</v>
      </c>
      <c r="H14373" t="s">
        <v>30915</v>
      </c>
      <c r="I14373" t="s">
        <v>30919</v>
      </c>
      <c r="J14373" t="s">
        <v>34557</v>
      </c>
      <c r="K14373" t="s">
        <v>40304</v>
      </c>
      <c r="M14373" t="s">
        <v>42506</v>
      </c>
      <c r="N14373" t="s">
        <v>44759</v>
      </c>
      <c r="O14373" t="s">
        <v>44760</v>
      </c>
      <c r="Q14373">
        <v>5</v>
      </c>
      <c r="R14373" t="s">
        <v>44801</v>
      </c>
      <c r="S14373" t="s">
        <v>46098</v>
      </c>
      <c r="T14373" t="s">
        <v>46550</v>
      </c>
      <c r="U14373" t="s">
        <v>58634</v>
      </c>
      <c r="W14373" t="s">
        <v>42506</v>
      </c>
      <c r="X14373" t="s">
        <v>44859</v>
      </c>
    </row>
    <row r="14374" spans="1:24">
      <c r="A14374">
        <f>HYPERLINK("https://www.philgeps.gov.ph/GEPSNONPILOT/Tender/SplashBidNoticeAbstractUI.aspx?menuIndex=3&amp;refID=7058232&amp;Result=3","7058232")</f>
        <v>0</v>
      </c>
      <c r="B14374" t="s">
        <v>1833</v>
      </c>
      <c r="C14374" t="s">
        <v>17436</v>
      </c>
      <c r="D14374" t="s">
        <v>18020</v>
      </c>
      <c r="E14374" t="s">
        <v>30441</v>
      </c>
      <c r="F14374" t="s">
        <v>30900</v>
      </c>
      <c r="G14374" t="s">
        <v>30907</v>
      </c>
      <c r="H14374" t="s">
        <v>30915</v>
      </c>
      <c r="I14374" t="s">
        <v>30919</v>
      </c>
      <c r="J14374" t="s">
        <v>32964</v>
      </c>
      <c r="K14374" t="s">
        <v>40342</v>
      </c>
      <c r="M14374" t="s">
        <v>42506</v>
      </c>
      <c r="N14374" t="s">
        <v>44759</v>
      </c>
      <c r="O14374" t="s">
        <v>44760</v>
      </c>
      <c r="Q14374">
        <v>8</v>
      </c>
      <c r="R14374" t="s">
        <v>44801</v>
      </c>
      <c r="S14374" t="s">
        <v>46099</v>
      </c>
      <c r="T14374" t="s">
        <v>46533</v>
      </c>
      <c r="U14374" t="s">
        <v>58662</v>
      </c>
      <c r="W14374" t="s">
        <v>42506</v>
      </c>
      <c r="X14374" t="s">
        <v>44859</v>
      </c>
    </row>
    <row r="14375" spans="1:24">
      <c r="A14375">
        <f>HYPERLINK("https://www.philgeps.gov.ph/GEPSNONPILOT/Tender/SplashBidNoticeAbstractUI.aspx?menuIndex=3&amp;refID=7057271&amp;Result=3","7057271")</f>
        <v>0</v>
      </c>
      <c r="B14375" t="s">
        <v>1604</v>
      </c>
      <c r="C14375" t="s">
        <v>17437</v>
      </c>
      <c r="D14375" t="s">
        <v>18025</v>
      </c>
      <c r="E14375" t="s">
        <v>23028</v>
      </c>
      <c r="F14375" t="s">
        <v>30900</v>
      </c>
      <c r="G14375" t="s">
        <v>30907</v>
      </c>
      <c r="H14375" t="s">
        <v>30915</v>
      </c>
      <c r="I14375" t="s">
        <v>30919</v>
      </c>
      <c r="J14375" t="s">
        <v>32110</v>
      </c>
      <c r="K14375" t="s">
        <v>40280</v>
      </c>
      <c r="M14375" t="s">
        <v>42254</v>
      </c>
      <c r="N14375" t="s">
        <v>44759</v>
      </c>
      <c r="O14375" t="s">
        <v>44760</v>
      </c>
      <c r="P14375">
        <v>0</v>
      </c>
      <c r="Q14375">
        <v>16</v>
      </c>
      <c r="R14375" t="s">
        <v>44802</v>
      </c>
      <c r="S14375" t="s">
        <v>46100</v>
      </c>
      <c r="T14375" t="s">
        <v>46363</v>
      </c>
      <c r="U14375" t="s">
        <v>58663</v>
      </c>
      <c r="W14375" t="s">
        <v>42254</v>
      </c>
      <c r="X14375" t="s">
        <v>60964</v>
      </c>
    </row>
    <row r="14376" spans="1:24">
      <c r="A14376">
        <f>HYPERLINK("https://www.philgeps.gov.ph/GEPSNONPILOT/Tender/SplashBidNoticeAbstractUI.aspx?menuIndex=3&amp;refID=7061011&amp;Result=3","7061011")</f>
        <v>0</v>
      </c>
      <c r="B14376" t="s">
        <v>3723</v>
      </c>
      <c r="C14376" t="s">
        <v>17438</v>
      </c>
      <c r="D14376" t="s">
        <v>17971</v>
      </c>
      <c r="E14376" t="s">
        <v>30442</v>
      </c>
      <c r="F14376" t="s">
        <v>30900</v>
      </c>
      <c r="G14376" t="s">
        <v>30907</v>
      </c>
      <c r="H14376" t="s">
        <v>7411</v>
      </c>
      <c r="I14376" t="s">
        <v>7411</v>
      </c>
      <c r="J14376" t="s">
        <v>31297</v>
      </c>
      <c r="K14376" t="s">
        <v>40360</v>
      </c>
      <c r="M14376" t="s">
        <v>44702</v>
      </c>
      <c r="N14376" t="s">
        <v>44759</v>
      </c>
      <c r="O14376" t="s">
        <v>44760</v>
      </c>
      <c r="P14376">
        <v>0</v>
      </c>
      <c r="Q14376">
        <v>7</v>
      </c>
      <c r="R14376" t="s">
        <v>44803</v>
      </c>
      <c r="S14376" t="s">
        <v>46101</v>
      </c>
      <c r="T14376" t="s">
        <v>46487</v>
      </c>
      <c r="U14376" t="s">
        <v>58664</v>
      </c>
      <c r="W14376" t="s">
        <v>44702</v>
      </c>
      <c r="X14376" t="s">
        <v>44802</v>
      </c>
    </row>
    <row r="14377" spans="1:24">
      <c r="A14377">
        <f>HYPERLINK("https://www.philgeps.gov.ph/GEPSNONPILOT/Tender/SplashBidNoticeAbstractUI.aspx?menuIndex=3&amp;refID=7060635&amp;Result=3","7060635")</f>
        <v>0</v>
      </c>
      <c r="B14377" t="s">
        <v>3724</v>
      </c>
      <c r="C14377" t="s">
        <v>17439</v>
      </c>
      <c r="D14377" t="s">
        <v>17973</v>
      </c>
      <c r="E14377" t="s">
        <v>30443</v>
      </c>
      <c r="F14377" t="s">
        <v>30900</v>
      </c>
      <c r="G14377" t="s">
        <v>30907</v>
      </c>
      <c r="H14377" t="s">
        <v>7411</v>
      </c>
      <c r="I14377" t="s">
        <v>7411</v>
      </c>
      <c r="J14377" t="s">
        <v>33787</v>
      </c>
      <c r="K14377" t="s">
        <v>40304</v>
      </c>
      <c r="M14377" t="s">
        <v>44703</v>
      </c>
      <c r="N14377" t="s">
        <v>44759</v>
      </c>
      <c r="O14377" t="s">
        <v>44760</v>
      </c>
      <c r="Q14377">
        <v>8</v>
      </c>
      <c r="R14377" t="s">
        <v>44803</v>
      </c>
      <c r="S14377" t="s">
        <v>46102</v>
      </c>
      <c r="T14377" t="s">
        <v>46939</v>
      </c>
      <c r="U14377" t="s">
        <v>58665</v>
      </c>
      <c r="W14377" t="s">
        <v>44703</v>
      </c>
      <c r="X14377" t="s">
        <v>44802</v>
      </c>
    </row>
    <row r="14378" spans="1:24">
      <c r="A14378">
        <f>HYPERLINK("https://www.philgeps.gov.ph/GEPSNONPILOT/Tender/SplashBidNoticeAbstractUI.aspx?menuIndex=3&amp;refID=7061074&amp;Result=3","7061074")</f>
        <v>0</v>
      </c>
      <c r="B14378" t="s">
        <v>2506</v>
      </c>
      <c r="C14378" t="s">
        <v>17440</v>
      </c>
      <c r="D14378" t="s">
        <v>18005</v>
      </c>
      <c r="E14378" t="s">
        <v>30444</v>
      </c>
      <c r="F14378" t="s">
        <v>30900</v>
      </c>
      <c r="G14378" t="s">
        <v>30907</v>
      </c>
      <c r="H14378" t="s">
        <v>30917</v>
      </c>
      <c r="I14378" t="s">
        <v>30940</v>
      </c>
      <c r="J14378" t="s">
        <v>35714</v>
      </c>
      <c r="K14378" t="s">
        <v>40342</v>
      </c>
      <c r="M14378" t="s">
        <v>44704</v>
      </c>
      <c r="N14378" t="s">
        <v>44759</v>
      </c>
      <c r="O14378" t="s">
        <v>44760</v>
      </c>
      <c r="Q14378">
        <v>14</v>
      </c>
      <c r="R14378" t="s">
        <v>44803</v>
      </c>
      <c r="S14378" t="s">
        <v>46103</v>
      </c>
      <c r="T14378" t="s">
        <v>46439</v>
      </c>
      <c r="U14378" t="s">
        <v>58666</v>
      </c>
      <c r="W14378" t="s">
        <v>60905</v>
      </c>
      <c r="X14378" t="s">
        <v>44802</v>
      </c>
    </row>
    <row r="14379" spans="1:24">
      <c r="A14379">
        <f>HYPERLINK("https://www.philgeps.gov.ph/GEPSNONPILOT/Tender/SplashBidNoticeAbstractUI.aspx?menuIndex=3&amp;refID=7057235&amp;Result=3","7057235")</f>
        <v>0</v>
      </c>
      <c r="B14379" t="s">
        <v>1604</v>
      </c>
      <c r="C14379" t="s">
        <v>13988</v>
      </c>
      <c r="D14379" t="s">
        <v>18025</v>
      </c>
      <c r="E14379" t="s">
        <v>22806</v>
      </c>
      <c r="F14379" t="s">
        <v>30900</v>
      </c>
      <c r="G14379" t="s">
        <v>30907</v>
      </c>
      <c r="H14379" t="s">
        <v>30916</v>
      </c>
      <c r="I14379" t="s">
        <v>5501</v>
      </c>
      <c r="J14379" t="s">
        <v>39946</v>
      </c>
      <c r="K14379" t="s">
        <v>40280</v>
      </c>
      <c r="M14379" t="s">
        <v>42254</v>
      </c>
      <c r="N14379" t="s">
        <v>44759</v>
      </c>
      <c r="O14379" t="s">
        <v>44760</v>
      </c>
      <c r="P14379">
        <v>0</v>
      </c>
      <c r="Q14379">
        <v>17</v>
      </c>
      <c r="R14379" t="s">
        <v>44802</v>
      </c>
      <c r="S14379" t="s">
        <v>46100</v>
      </c>
      <c r="T14379" t="s">
        <v>46363</v>
      </c>
      <c r="U14379" t="s">
        <v>58667</v>
      </c>
      <c r="W14379" t="s">
        <v>42254</v>
      </c>
      <c r="X14379" t="s">
        <v>60964</v>
      </c>
    </row>
    <row r="14380" spans="1:24">
      <c r="A14380">
        <f>HYPERLINK("https://www.philgeps.gov.ph/GEPSNONPILOT/Tender/SplashBidNoticeAbstractUI.aspx?menuIndex=3&amp;refID=7042401&amp;Result=3","7042401")</f>
        <v>0</v>
      </c>
      <c r="B14380" t="s">
        <v>2542</v>
      </c>
      <c r="C14380" t="s">
        <v>17441</v>
      </c>
      <c r="E14380" t="s">
        <v>30445</v>
      </c>
      <c r="F14380" t="s">
        <v>30900</v>
      </c>
      <c r="G14380" t="s">
        <v>30907</v>
      </c>
      <c r="H14380" t="s">
        <v>30915</v>
      </c>
      <c r="I14380" t="s">
        <v>30919</v>
      </c>
      <c r="J14380" t="s">
        <v>39947</v>
      </c>
      <c r="K14380" t="s">
        <v>40289</v>
      </c>
      <c r="M14380" t="s">
        <v>43299</v>
      </c>
      <c r="N14380" t="s">
        <v>44759</v>
      </c>
      <c r="O14380" t="s">
        <v>44760</v>
      </c>
      <c r="Q14380">
        <v>46</v>
      </c>
      <c r="R14380" t="s">
        <v>44804</v>
      </c>
      <c r="S14380" t="s">
        <v>46104</v>
      </c>
      <c r="T14380" t="s">
        <v>46429</v>
      </c>
      <c r="U14380" t="s">
        <v>55002</v>
      </c>
      <c r="W14380" t="s">
        <v>60910</v>
      </c>
      <c r="X14380" t="s">
        <v>44808</v>
      </c>
    </row>
    <row r="14381" spans="1:24">
      <c r="A14381">
        <f>HYPERLINK("https://www.philgeps.gov.ph/GEPSNONPILOT/Tender/SplashBidNoticeAbstractUI.aspx?menuIndex=3&amp;refID=7058270&amp;Result=3","7058270")</f>
        <v>0</v>
      </c>
      <c r="B14381" t="s">
        <v>1833</v>
      </c>
      <c r="C14381" t="s">
        <v>17442</v>
      </c>
      <c r="D14381" t="s">
        <v>18020</v>
      </c>
      <c r="E14381" t="s">
        <v>30446</v>
      </c>
      <c r="F14381" t="s">
        <v>30900</v>
      </c>
      <c r="G14381" t="s">
        <v>30907</v>
      </c>
      <c r="H14381" t="s">
        <v>30915</v>
      </c>
      <c r="I14381" t="s">
        <v>30919</v>
      </c>
      <c r="J14381" t="s">
        <v>37828</v>
      </c>
      <c r="K14381" t="s">
        <v>40304</v>
      </c>
      <c r="M14381" t="s">
        <v>42506</v>
      </c>
      <c r="N14381" t="s">
        <v>44759</v>
      </c>
      <c r="O14381" t="s">
        <v>44760</v>
      </c>
      <c r="Q14381">
        <v>5</v>
      </c>
      <c r="R14381" t="s">
        <v>44801</v>
      </c>
      <c r="S14381" t="s">
        <v>46098</v>
      </c>
      <c r="T14381" t="s">
        <v>46550</v>
      </c>
      <c r="U14381" t="s">
        <v>58668</v>
      </c>
      <c r="W14381" t="s">
        <v>42506</v>
      </c>
      <c r="X14381" t="s">
        <v>44859</v>
      </c>
    </row>
    <row r="14382" spans="1:24">
      <c r="A14382">
        <f>HYPERLINK("https://www.philgeps.gov.ph/GEPSNONPILOT/Tender/SplashBidNoticeAbstractUI.aspx?menuIndex=3&amp;refID=7058396&amp;Result=3","7058396")</f>
        <v>0</v>
      </c>
      <c r="B14382" t="s">
        <v>1833</v>
      </c>
      <c r="C14382" t="s">
        <v>17443</v>
      </c>
      <c r="D14382" t="s">
        <v>18020</v>
      </c>
      <c r="E14382" t="s">
        <v>30447</v>
      </c>
      <c r="F14382" t="s">
        <v>30900</v>
      </c>
      <c r="G14382" t="s">
        <v>30907</v>
      </c>
      <c r="H14382" t="s">
        <v>30915</v>
      </c>
      <c r="I14382" t="s">
        <v>30919</v>
      </c>
      <c r="J14382" t="s">
        <v>33772</v>
      </c>
      <c r="K14382" t="s">
        <v>40304</v>
      </c>
      <c r="M14382" t="s">
        <v>42506</v>
      </c>
      <c r="N14382" t="s">
        <v>44759</v>
      </c>
      <c r="O14382" t="s">
        <v>44760</v>
      </c>
      <c r="Q14382">
        <v>3</v>
      </c>
      <c r="R14382" t="s">
        <v>44801</v>
      </c>
      <c r="S14382" t="s">
        <v>46105</v>
      </c>
      <c r="T14382" t="s">
        <v>46550</v>
      </c>
      <c r="U14382" t="s">
        <v>58662</v>
      </c>
      <c r="W14382" t="s">
        <v>42506</v>
      </c>
      <c r="X14382" t="s">
        <v>44859</v>
      </c>
    </row>
    <row r="14383" spans="1:24">
      <c r="A14383">
        <f>HYPERLINK("https://www.philgeps.gov.ph/GEPSNONPILOT/Tender/SplashBidNoticeAbstractUI.aspx?menuIndex=3&amp;refID=7044828&amp;Result=3","7044828")</f>
        <v>0</v>
      </c>
      <c r="B14383" t="s">
        <v>3725</v>
      </c>
      <c r="C14383" t="s">
        <v>17444</v>
      </c>
      <c r="D14383" t="s">
        <v>17975</v>
      </c>
      <c r="E14383" t="s">
        <v>30448</v>
      </c>
      <c r="F14383" t="s">
        <v>30899</v>
      </c>
      <c r="G14383" t="s">
        <v>30907</v>
      </c>
      <c r="H14383" t="s">
        <v>30915</v>
      </c>
      <c r="I14383" t="s">
        <v>30919</v>
      </c>
      <c r="J14383" t="s">
        <v>39948</v>
      </c>
      <c r="K14383" t="s">
        <v>40315</v>
      </c>
      <c r="L14383" t="s">
        <v>3725</v>
      </c>
      <c r="M14383" t="s">
        <v>44705</v>
      </c>
      <c r="N14383" t="s">
        <v>44759</v>
      </c>
      <c r="O14383" t="s">
        <v>44760</v>
      </c>
      <c r="Q14383">
        <v>0</v>
      </c>
      <c r="R14383" t="s">
        <v>44805</v>
      </c>
      <c r="S14383" t="s">
        <v>46106</v>
      </c>
      <c r="T14383" t="s">
        <v>46409</v>
      </c>
      <c r="U14383" t="s">
        <v>58669</v>
      </c>
      <c r="W14383" t="s">
        <v>44705</v>
      </c>
      <c r="X14383" t="s">
        <v>60965</v>
      </c>
    </row>
    <row r="14384" spans="1:24">
      <c r="A14384">
        <f>HYPERLINK("https://www.philgeps.gov.ph/GEPSNONPILOT/Tender/SplashBidNoticeAbstractUI.aspx?menuIndex=3&amp;refID=7060123&amp;Result=3","7060123")</f>
        <v>0</v>
      </c>
      <c r="B14384" t="s">
        <v>788</v>
      </c>
      <c r="C14384" t="s">
        <v>17445</v>
      </c>
      <c r="D14384" t="s">
        <v>17959</v>
      </c>
      <c r="E14384" t="s">
        <v>30449</v>
      </c>
      <c r="F14384" t="s">
        <v>30900</v>
      </c>
      <c r="G14384" t="s">
        <v>30907</v>
      </c>
      <c r="H14384" t="s">
        <v>30916</v>
      </c>
      <c r="I14384" t="s">
        <v>30924</v>
      </c>
      <c r="J14384" t="s">
        <v>35229</v>
      </c>
      <c r="K14384" t="s">
        <v>40289</v>
      </c>
      <c r="M14384" t="s">
        <v>44706</v>
      </c>
      <c r="N14384" t="s">
        <v>44759</v>
      </c>
      <c r="O14384" t="s">
        <v>44760</v>
      </c>
      <c r="Q14384">
        <v>21</v>
      </c>
      <c r="R14384" t="s">
        <v>44803</v>
      </c>
      <c r="S14384" t="s">
        <v>46107</v>
      </c>
      <c r="T14384" t="s">
        <v>46418</v>
      </c>
      <c r="U14384" t="s">
        <v>58670</v>
      </c>
      <c r="W14384" t="s">
        <v>44706</v>
      </c>
      <c r="X14384" t="s">
        <v>44802</v>
      </c>
    </row>
    <row r="14385" spans="1:24">
      <c r="A14385">
        <f>HYPERLINK("https://www.philgeps.gov.ph/GEPSNONPILOT/Tender/SplashBidNoticeAbstractUI.aspx?menuIndex=3&amp;refID=7049503&amp;Result=3","7049503")</f>
        <v>0</v>
      </c>
      <c r="B14385" t="s">
        <v>888</v>
      </c>
      <c r="C14385" t="s">
        <v>17446</v>
      </c>
      <c r="D14385" t="s">
        <v>17951</v>
      </c>
      <c r="E14385" t="s">
        <v>30450</v>
      </c>
      <c r="F14385" t="s">
        <v>30900</v>
      </c>
      <c r="G14385" t="s">
        <v>30907</v>
      </c>
      <c r="H14385" t="s">
        <v>30916</v>
      </c>
      <c r="I14385" t="s">
        <v>9385</v>
      </c>
      <c r="J14385" t="s">
        <v>39949</v>
      </c>
      <c r="K14385" t="s">
        <v>40280</v>
      </c>
      <c r="M14385" t="s">
        <v>41461</v>
      </c>
      <c r="N14385" t="s">
        <v>44759</v>
      </c>
      <c r="O14385" t="s">
        <v>44760</v>
      </c>
      <c r="Q14385">
        <v>6</v>
      </c>
      <c r="R14385" t="s">
        <v>44806</v>
      </c>
      <c r="S14385" t="s">
        <v>46108</v>
      </c>
      <c r="T14385" t="s">
        <v>46940</v>
      </c>
      <c r="U14385" t="s">
        <v>58671</v>
      </c>
      <c r="V14385" t="s">
        <v>60747</v>
      </c>
      <c r="W14385" t="s">
        <v>41461</v>
      </c>
      <c r="X14385" t="s">
        <v>44805</v>
      </c>
    </row>
    <row r="14386" spans="1:24">
      <c r="A14386">
        <f>HYPERLINK("https://www.philgeps.gov.ph/GEPSNONPILOT/Tender/SplashBidNoticeAbstractUI.aspx?menuIndex=3&amp;refID=7049478&amp;Result=3","7049478")</f>
        <v>0</v>
      </c>
      <c r="B14386" t="s">
        <v>888</v>
      </c>
      <c r="C14386" t="s">
        <v>17447</v>
      </c>
      <c r="D14386" t="s">
        <v>17951</v>
      </c>
      <c r="E14386" t="s">
        <v>30451</v>
      </c>
      <c r="F14386" t="s">
        <v>30900</v>
      </c>
      <c r="G14386" t="s">
        <v>30907</v>
      </c>
      <c r="H14386" t="s">
        <v>30916</v>
      </c>
      <c r="I14386" t="s">
        <v>4545</v>
      </c>
      <c r="J14386" t="s">
        <v>38927</v>
      </c>
      <c r="K14386" t="s">
        <v>40280</v>
      </c>
      <c r="M14386" t="s">
        <v>41461</v>
      </c>
      <c r="N14386" t="s">
        <v>44759</v>
      </c>
      <c r="O14386" t="s">
        <v>44760</v>
      </c>
      <c r="Q14386">
        <v>5</v>
      </c>
      <c r="R14386" t="s">
        <v>44806</v>
      </c>
      <c r="S14386" t="s">
        <v>45857</v>
      </c>
      <c r="T14386" t="s">
        <v>46768</v>
      </c>
      <c r="U14386" t="s">
        <v>58672</v>
      </c>
      <c r="V14386" t="s">
        <v>60748</v>
      </c>
      <c r="W14386" t="s">
        <v>41461</v>
      </c>
      <c r="X14386" t="s">
        <v>44805</v>
      </c>
    </row>
    <row r="14387" spans="1:24">
      <c r="A14387">
        <f>HYPERLINK("https://www.philgeps.gov.ph/GEPSNONPILOT/Tender/SplashBidNoticeAbstractUI.aspx?menuIndex=3&amp;refID=7052615&amp;Result=3","7052615")</f>
        <v>0</v>
      </c>
      <c r="B14387" t="s">
        <v>322</v>
      </c>
      <c r="C14387" t="s">
        <v>17448</v>
      </c>
      <c r="D14387" t="s">
        <v>17959</v>
      </c>
      <c r="E14387" t="s">
        <v>30452</v>
      </c>
      <c r="F14387" t="s">
        <v>30900</v>
      </c>
      <c r="G14387" t="s">
        <v>30907</v>
      </c>
      <c r="H14387" t="s">
        <v>30916</v>
      </c>
      <c r="I14387" t="s">
        <v>30995</v>
      </c>
      <c r="J14387" t="s">
        <v>39950</v>
      </c>
      <c r="K14387" t="s">
        <v>40332</v>
      </c>
      <c r="M14387" t="s">
        <v>40873</v>
      </c>
      <c r="N14387" t="s">
        <v>44759</v>
      </c>
      <c r="O14387" t="s">
        <v>44760</v>
      </c>
      <c r="Q14387">
        <v>15</v>
      </c>
      <c r="R14387" t="s">
        <v>44807</v>
      </c>
      <c r="S14387" t="s">
        <v>46109</v>
      </c>
      <c r="T14387" t="s">
        <v>46412</v>
      </c>
      <c r="U14387" t="s">
        <v>58673</v>
      </c>
      <c r="W14387" t="s">
        <v>40873</v>
      </c>
      <c r="X14387" t="s">
        <v>44806</v>
      </c>
    </row>
    <row r="14388" spans="1:24">
      <c r="A14388">
        <f>HYPERLINK("https://www.philgeps.gov.ph/GEPSNONPILOT/Tender/SplashBidNoticeAbstractUI.aspx?menuIndex=3&amp;refID=7049453&amp;Result=3","7049453")</f>
        <v>0</v>
      </c>
      <c r="B14388" t="s">
        <v>888</v>
      </c>
      <c r="C14388" t="s">
        <v>17449</v>
      </c>
      <c r="D14388" t="s">
        <v>17951</v>
      </c>
      <c r="E14388" t="s">
        <v>30453</v>
      </c>
      <c r="F14388" t="s">
        <v>30900</v>
      </c>
      <c r="G14388" t="s">
        <v>30907</v>
      </c>
      <c r="H14388" t="s">
        <v>30916</v>
      </c>
      <c r="I14388" t="s">
        <v>11785</v>
      </c>
      <c r="J14388" t="s">
        <v>39951</v>
      </c>
      <c r="K14388" t="s">
        <v>40286</v>
      </c>
      <c r="M14388" t="s">
        <v>41461</v>
      </c>
      <c r="N14388" t="s">
        <v>44759</v>
      </c>
      <c r="O14388" t="s">
        <v>44760</v>
      </c>
      <c r="Q14388">
        <v>6</v>
      </c>
      <c r="R14388" t="s">
        <v>44806</v>
      </c>
      <c r="S14388" t="s">
        <v>46110</v>
      </c>
      <c r="T14388" t="s">
        <v>46641</v>
      </c>
      <c r="U14388" t="s">
        <v>58674</v>
      </c>
      <c r="V14388" t="s">
        <v>60749</v>
      </c>
      <c r="W14388" t="s">
        <v>41461</v>
      </c>
      <c r="X14388" t="s">
        <v>44805</v>
      </c>
    </row>
    <row r="14389" spans="1:24">
      <c r="A14389">
        <f>HYPERLINK("https://www.philgeps.gov.ph/GEPSNONPILOT/Tender/SplashBidNoticeAbstractUI.aspx?menuIndex=3&amp;refID=7046707&amp;Result=3","7046707")</f>
        <v>0</v>
      </c>
      <c r="B14389" t="s">
        <v>2234</v>
      </c>
      <c r="C14389" t="s">
        <v>17450</v>
      </c>
      <c r="D14389" t="s">
        <v>17959</v>
      </c>
      <c r="E14389" t="s">
        <v>30454</v>
      </c>
      <c r="F14389" t="s">
        <v>30900</v>
      </c>
      <c r="G14389" t="s">
        <v>30907</v>
      </c>
      <c r="H14389" t="s">
        <v>30915</v>
      </c>
      <c r="I14389" t="s">
        <v>30919</v>
      </c>
      <c r="J14389" t="s">
        <v>39952</v>
      </c>
      <c r="K14389" t="s">
        <v>40292</v>
      </c>
      <c r="M14389" t="s">
        <v>42944</v>
      </c>
      <c r="N14389" t="s">
        <v>44759</v>
      </c>
      <c r="O14389" t="s">
        <v>44760</v>
      </c>
      <c r="Q14389">
        <v>11</v>
      </c>
      <c r="R14389" t="s">
        <v>44805</v>
      </c>
      <c r="S14389" t="s">
        <v>45560</v>
      </c>
      <c r="T14389" t="s">
        <v>46497</v>
      </c>
      <c r="U14389" t="s">
        <v>58675</v>
      </c>
      <c r="W14389" t="s">
        <v>42944</v>
      </c>
      <c r="X14389" t="s">
        <v>60965</v>
      </c>
    </row>
    <row r="14390" spans="1:24">
      <c r="A14390">
        <f>HYPERLINK("https://www.philgeps.gov.ph/GEPSNONPILOT/Tender/SplashBidNoticeAbstractUI.aspx?menuIndex=3&amp;refID=7046689&amp;Result=3","7046689")</f>
        <v>0</v>
      </c>
      <c r="B14390" t="s">
        <v>2234</v>
      </c>
      <c r="C14390" t="s">
        <v>17451</v>
      </c>
      <c r="D14390" t="s">
        <v>17959</v>
      </c>
      <c r="E14390" t="s">
        <v>30455</v>
      </c>
      <c r="F14390" t="s">
        <v>30900</v>
      </c>
      <c r="G14390" t="s">
        <v>30907</v>
      </c>
      <c r="H14390" t="s">
        <v>30916</v>
      </c>
      <c r="I14390" t="s">
        <v>30921</v>
      </c>
      <c r="J14390" t="s">
        <v>39953</v>
      </c>
      <c r="K14390" t="s">
        <v>40292</v>
      </c>
      <c r="M14390" t="s">
        <v>42944</v>
      </c>
      <c r="N14390" t="s">
        <v>44759</v>
      </c>
      <c r="O14390" t="s">
        <v>44760</v>
      </c>
      <c r="Q14390">
        <v>24</v>
      </c>
      <c r="R14390" t="s">
        <v>44805</v>
      </c>
      <c r="S14390" t="s">
        <v>46111</v>
      </c>
      <c r="T14390" t="s">
        <v>46519</v>
      </c>
      <c r="U14390" t="s">
        <v>58676</v>
      </c>
      <c r="W14390" t="s">
        <v>42944</v>
      </c>
      <c r="X14390" t="s">
        <v>60965</v>
      </c>
    </row>
    <row r="14391" spans="1:24">
      <c r="A14391">
        <f>HYPERLINK("https://www.philgeps.gov.ph/GEPSNONPILOT/Tender/SplashBidNoticeAbstractUI.aspx?menuIndex=3&amp;refID=7041076&amp;Result=3","7041076")</f>
        <v>0</v>
      </c>
      <c r="B14391" t="s">
        <v>1314</v>
      </c>
      <c r="C14391" t="s">
        <v>17452</v>
      </c>
      <c r="D14391" t="s">
        <v>18019</v>
      </c>
      <c r="E14391" t="s">
        <v>30456</v>
      </c>
      <c r="F14391" t="s">
        <v>30900</v>
      </c>
      <c r="G14391" t="s">
        <v>30913</v>
      </c>
      <c r="H14391" t="s">
        <v>7411</v>
      </c>
      <c r="I14391" t="s">
        <v>7411</v>
      </c>
      <c r="J14391" t="s">
        <v>39954</v>
      </c>
      <c r="K14391" t="s">
        <v>40289</v>
      </c>
      <c r="L14391" t="s">
        <v>1314</v>
      </c>
      <c r="M14391" t="s">
        <v>41932</v>
      </c>
      <c r="N14391" t="s">
        <v>44759</v>
      </c>
      <c r="O14391" t="s">
        <v>44760</v>
      </c>
      <c r="Q14391">
        <v>7</v>
      </c>
      <c r="R14391" t="s">
        <v>44806</v>
      </c>
      <c r="S14391" t="s">
        <v>45771</v>
      </c>
      <c r="T14391" t="s">
        <v>46531</v>
      </c>
      <c r="U14391" t="s">
        <v>58677</v>
      </c>
      <c r="W14391" t="s">
        <v>41932</v>
      </c>
      <c r="X14391" t="s">
        <v>44808</v>
      </c>
    </row>
    <row r="14392" spans="1:24">
      <c r="A14392">
        <f>HYPERLINK("https://www.philgeps.gov.ph/GEPSNONPILOT/Tender/SplashBidNoticeAbstractUI.aspx?menuIndex=3&amp;refID=7045843&amp;Result=3","7045843")</f>
        <v>0</v>
      </c>
      <c r="B14392" t="s">
        <v>2872</v>
      </c>
      <c r="C14392" t="s">
        <v>17453</v>
      </c>
      <c r="E14392" t="s">
        <v>30457</v>
      </c>
      <c r="F14392" t="s">
        <v>30900</v>
      </c>
      <c r="G14392" t="s">
        <v>30907</v>
      </c>
      <c r="H14392" t="s">
        <v>30916</v>
      </c>
      <c r="I14392" t="s">
        <v>30955</v>
      </c>
      <c r="J14392" t="s">
        <v>39955</v>
      </c>
      <c r="K14392" t="s">
        <v>40289</v>
      </c>
      <c r="M14392" t="s">
        <v>43661</v>
      </c>
      <c r="N14392" t="s">
        <v>44759</v>
      </c>
      <c r="O14392" t="s">
        <v>44760</v>
      </c>
      <c r="Q14392">
        <v>6</v>
      </c>
      <c r="R14392" t="s">
        <v>44807</v>
      </c>
      <c r="S14392" t="s">
        <v>46112</v>
      </c>
      <c r="T14392" t="s">
        <v>46625</v>
      </c>
      <c r="U14392" t="s">
        <v>58678</v>
      </c>
      <c r="V14392" t="s">
        <v>60750</v>
      </c>
      <c r="W14392" t="s">
        <v>43661</v>
      </c>
      <c r="X14392" t="s">
        <v>60965</v>
      </c>
    </row>
    <row r="14393" spans="1:24">
      <c r="A14393">
        <f>HYPERLINK("https://www.philgeps.gov.ph/GEPSNONPILOT/Tender/SplashBidNoticeAbstractUI.aspx?menuIndex=3&amp;refID=7038378&amp;Result=3","7038378")</f>
        <v>0</v>
      </c>
      <c r="B14393" t="s">
        <v>3726</v>
      </c>
      <c r="C14393" t="s">
        <v>17454</v>
      </c>
      <c r="D14393" t="s">
        <v>18012</v>
      </c>
      <c r="E14393" t="s">
        <v>30458</v>
      </c>
      <c r="F14393" t="s">
        <v>30900</v>
      </c>
      <c r="G14393" t="s">
        <v>30907</v>
      </c>
      <c r="H14393" t="s">
        <v>30916</v>
      </c>
      <c r="I14393" t="s">
        <v>30933</v>
      </c>
      <c r="J14393" t="s">
        <v>31391</v>
      </c>
      <c r="K14393" t="s">
        <v>40286</v>
      </c>
      <c r="M14393" t="s">
        <v>44707</v>
      </c>
      <c r="N14393" t="s">
        <v>44759</v>
      </c>
      <c r="O14393" t="s">
        <v>44760</v>
      </c>
      <c r="Q14393">
        <v>6</v>
      </c>
      <c r="R14393" t="s">
        <v>44808</v>
      </c>
      <c r="S14393" t="s">
        <v>46113</v>
      </c>
      <c r="T14393" t="s">
        <v>46941</v>
      </c>
      <c r="U14393" t="s">
        <v>58679</v>
      </c>
      <c r="W14393" t="s">
        <v>44707</v>
      </c>
      <c r="X14393" t="s">
        <v>44857</v>
      </c>
    </row>
    <row r="14394" spans="1:24">
      <c r="A14394">
        <f>HYPERLINK("https://www.philgeps.gov.ph/GEPSNONPILOT/Tender/SplashBidNoticeAbstractUI.aspx?menuIndex=3&amp;refID=7050960&amp;Result=3","7050960")</f>
        <v>0</v>
      </c>
      <c r="B14394" t="s">
        <v>2182</v>
      </c>
      <c r="C14394" t="s">
        <v>17455</v>
      </c>
      <c r="D14394" t="s">
        <v>17959</v>
      </c>
      <c r="E14394" t="s">
        <v>30459</v>
      </c>
      <c r="F14394" t="s">
        <v>30900</v>
      </c>
      <c r="G14394" t="s">
        <v>30908</v>
      </c>
      <c r="H14394" t="s">
        <v>30916</v>
      </c>
      <c r="I14394" t="s">
        <v>5501</v>
      </c>
      <c r="J14394" t="s">
        <v>31282</v>
      </c>
      <c r="K14394" t="s">
        <v>40287</v>
      </c>
      <c r="M14394" t="s">
        <v>42889</v>
      </c>
      <c r="N14394" t="s">
        <v>44759</v>
      </c>
      <c r="O14394" t="s">
        <v>44760</v>
      </c>
      <c r="Q14394">
        <v>3</v>
      </c>
      <c r="R14394" t="s">
        <v>44807</v>
      </c>
      <c r="S14394" t="s">
        <v>46114</v>
      </c>
      <c r="T14394" t="s">
        <v>46699</v>
      </c>
      <c r="U14394" t="s">
        <v>58680</v>
      </c>
      <c r="W14394" t="s">
        <v>42889</v>
      </c>
      <c r="X14394" t="s">
        <v>44806</v>
      </c>
    </row>
    <row r="14395" spans="1:24">
      <c r="A14395">
        <f>HYPERLINK("https://www.philgeps.gov.ph/GEPSNONPILOT/Tender/SplashBidNoticeAbstractUI.aspx?menuIndex=3&amp;refID=7052442&amp;Result=3","7052442")</f>
        <v>0</v>
      </c>
      <c r="B14395" t="s">
        <v>3505</v>
      </c>
      <c r="C14395" t="s">
        <v>17456</v>
      </c>
      <c r="D14395" t="s">
        <v>17959</v>
      </c>
      <c r="E14395" t="s">
        <v>30460</v>
      </c>
      <c r="F14395" t="s">
        <v>30900</v>
      </c>
      <c r="G14395" t="s">
        <v>30907</v>
      </c>
      <c r="H14395" t="s">
        <v>30915</v>
      </c>
      <c r="I14395" t="s">
        <v>30919</v>
      </c>
      <c r="J14395" t="s">
        <v>39956</v>
      </c>
      <c r="K14395" t="s">
        <v>40520</v>
      </c>
      <c r="M14395" t="s">
        <v>44409</v>
      </c>
      <c r="N14395" t="s">
        <v>44759</v>
      </c>
      <c r="O14395" t="s">
        <v>44760</v>
      </c>
      <c r="Q14395">
        <v>18</v>
      </c>
      <c r="R14395" t="s">
        <v>44807</v>
      </c>
      <c r="S14395" t="s">
        <v>46115</v>
      </c>
      <c r="T14395" t="s">
        <v>46495</v>
      </c>
      <c r="U14395" t="s">
        <v>58681</v>
      </c>
      <c r="W14395" t="s">
        <v>44409</v>
      </c>
      <c r="X14395" t="s">
        <v>44806</v>
      </c>
    </row>
    <row r="14396" spans="1:24">
      <c r="A14396">
        <f>HYPERLINK("https://www.philgeps.gov.ph/GEPSNONPILOT/Tender/SplashBidNoticeAbstractUI.aspx?menuIndex=3&amp;refID=7018242&amp;Result=3","7018242")</f>
        <v>0</v>
      </c>
      <c r="B14396" t="s">
        <v>911</v>
      </c>
      <c r="C14396" t="s">
        <v>17457</v>
      </c>
      <c r="D14396" t="s">
        <v>17961</v>
      </c>
      <c r="E14396" t="s">
        <v>30461</v>
      </c>
      <c r="F14396" t="s">
        <v>30900</v>
      </c>
      <c r="G14396" t="s">
        <v>30907</v>
      </c>
      <c r="H14396" t="s">
        <v>30915</v>
      </c>
      <c r="I14396" t="s">
        <v>30919</v>
      </c>
      <c r="J14396" t="s">
        <v>34365</v>
      </c>
      <c r="K14396" t="s">
        <v>40390</v>
      </c>
      <c r="M14396" t="s">
        <v>41490</v>
      </c>
      <c r="N14396" t="s">
        <v>44759</v>
      </c>
      <c r="O14396" t="s">
        <v>44760</v>
      </c>
      <c r="Q14396">
        <v>13</v>
      </c>
      <c r="R14396" t="s">
        <v>44809</v>
      </c>
      <c r="S14396" t="s">
        <v>46116</v>
      </c>
      <c r="T14396" t="s">
        <v>46520</v>
      </c>
      <c r="U14396" t="s">
        <v>58682</v>
      </c>
      <c r="W14396" t="s">
        <v>41490</v>
      </c>
      <c r="X14396" t="s">
        <v>44819</v>
      </c>
    </row>
    <row r="14397" spans="1:24">
      <c r="A14397">
        <f>HYPERLINK("https://www.philgeps.gov.ph/GEPSNONPILOT/Tender/SplashBidNoticeAbstractUI.aspx?menuIndex=3&amp;refID=7024850&amp;Result=3","7024850")</f>
        <v>0</v>
      </c>
      <c r="B14397" t="s">
        <v>3710</v>
      </c>
      <c r="C14397" t="s">
        <v>17458</v>
      </c>
      <c r="D14397" t="s">
        <v>18000</v>
      </c>
      <c r="E14397" t="s">
        <v>30462</v>
      </c>
      <c r="F14397" t="s">
        <v>30900</v>
      </c>
      <c r="G14397" t="s">
        <v>30907</v>
      </c>
      <c r="H14397" t="s">
        <v>30915</v>
      </c>
      <c r="I14397" t="s">
        <v>30919</v>
      </c>
      <c r="J14397" t="s">
        <v>35327</v>
      </c>
      <c r="K14397" t="s">
        <v>40560</v>
      </c>
      <c r="M14397" t="s">
        <v>44677</v>
      </c>
      <c r="N14397" t="s">
        <v>44759</v>
      </c>
      <c r="O14397" t="s">
        <v>44760</v>
      </c>
      <c r="Q14397">
        <v>9</v>
      </c>
      <c r="R14397" t="s">
        <v>44810</v>
      </c>
      <c r="S14397" t="s">
        <v>46117</v>
      </c>
      <c r="T14397" t="s">
        <v>46663</v>
      </c>
      <c r="U14397" t="s">
        <v>58515</v>
      </c>
      <c r="W14397" t="s">
        <v>44677</v>
      </c>
      <c r="X14397" t="s">
        <v>44813</v>
      </c>
    </row>
    <row r="14398" spans="1:24">
      <c r="A14398">
        <f>HYPERLINK("https://www.philgeps.gov.ph/GEPSNONPILOT/Tender/SplashBidNoticeAbstractUI.aspx?menuIndex=3&amp;refID=7019924&amp;Result=3","7019924")</f>
        <v>0</v>
      </c>
      <c r="B14398" t="s">
        <v>3304</v>
      </c>
      <c r="C14398" t="s">
        <v>17459</v>
      </c>
      <c r="D14398" t="s">
        <v>17957</v>
      </c>
      <c r="E14398" t="s">
        <v>30463</v>
      </c>
      <c r="F14398" t="s">
        <v>30900</v>
      </c>
      <c r="G14398" t="s">
        <v>30907</v>
      </c>
      <c r="H14398" t="s">
        <v>30915</v>
      </c>
      <c r="I14398" t="s">
        <v>30919</v>
      </c>
      <c r="J14398" t="s">
        <v>32964</v>
      </c>
      <c r="K14398" t="s">
        <v>40561</v>
      </c>
      <c r="M14398" t="s">
        <v>44155</v>
      </c>
      <c r="N14398" t="s">
        <v>44759</v>
      </c>
      <c r="O14398" t="s">
        <v>44760</v>
      </c>
      <c r="Q14398">
        <v>0</v>
      </c>
      <c r="R14398" t="s">
        <v>44809</v>
      </c>
      <c r="S14398" t="s">
        <v>46118</v>
      </c>
      <c r="T14398" t="s">
        <v>46357</v>
      </c>
      <c r="U14398" t="s">
        <v>56070</v>
      </c>
      <c r="W14398" t="s">
        <v>44155</v>
      </c>
      <c r="X14398" t="s">
        <v>60966</v>
      </c>
    </row>
    <row r="14399" spans="1:24">
      <c r="A14399">
        <f>HYPERLINK("https://www.philgeps.gov.ph/GEPSNONPILOT/Tender/SplashBidNoticeAbstractUI.aspx?menuIndex=3&amp;refID=7052507&amp;Result=3","7052507")</f>
        <v>0</v>
      </c>
      <c r="B14399" t="s">
        <v>2910</v>
      </c>
      <c r="C14399" t="s">
        <v>17460</v>
      </c>
      <c r="D14399" t="s">
        <v>17959</v>
      </c>
      <c r="E14399" t="s">
        <v>30464</v>
      </c>
      <c r="F14399" t="s">
        <v>30900</v>
      </c>
      <c r="G14399" t="s">
        <v>30908</v>
      </c>
      <c r="H14399" t="s">
        <v>30917</v>
      </c>
      <c r="I14399" t="s">
        <v>30942</v>
      </c>
      <c r="J14399" t="s">
        <v>31355</v>
      </c>
      <c r="K14399" t="s">
        <v>40319</v>
      </c>
      <c r="M14399" t="s">
        <v>43705</v>
      </c>
      <c r="N14399" t="s">
        <v>44759</v>
      </c>
      <c r="O14399" t="s">
        <v>44760</v>
      </c>
      <c r="Q14399">
        <v>1</v>
      </c>
      <c r="R14399" t="s">
        <v>44807</v>
      </c>
      <c r="S14399" t="s">
        <v>46119</v>
      </c>
      <c r="T14399" t="s">
        <v>46410</v>
      </c>
      <c r="U14399" t="s">
        <v>58683</v>
      </c>
      <c r="V14399" t="s">
        <v>60751</v>
      </c>
      <c r="W14399" t="s">
        <v>43705</v>
      </c>
      <c r="X14399" t="s">
        <v>44806</v>
      </c>
    </row>
    <row r="14400" spans="1:24">
      <c r="A14400">
        <f>HYPERLINK("https://www.philgeps.gov.ph/GEPSNONPILOT/Tender/SplashBidNoticeAbstractUI.aspx?menuIndex=3&amp;refID=7029764&amp;Result=3","7029764")</f>
        <v>0</v>
      </c>
      <c r="B14400" t="s">
        <v>3470</v>
      </c>
      <c r="C14400" t="s">
        <v>17461</v>
      </c>
      <c r="E14400" t="s">
        <v>30465</v>
      </c>
      <c r="F14400" t="s">
        <v>30900</v>
      </c>
      <c r="G14400" t="s">
        <v>30907</v>
      </c>
      <c r="H14400" t="s">
        <v>30916</v>
      </c>
      <c r="I14400" t="s">
        <v>9385</v>
      </c>
      <c r="J14400" t="s">
        <v>33735</v>
      </c>
      <c r="K14400" t="s">
        <v>40293</v>
      </c>
      <c r="M14400" t="s">
        <v>44367</v>
      </c>
      <c r="N14400" t="s">
        <v>44759</v>
      </c>
      <c r="O14400" t="s">
        <v>44760</v>
      </c>
      <c r="Q14400">
        <v>17</v>
      </c>
      <c r="R14400" t="s">
        <v>44811</v>
      </c>
      <c r="S14400" t="s">
        <v>46120</v>
      </c>
      <c r="T14400" t="s">
        <v>46474</v>
      </c>
      <c r="U14400" t="s">
        <v>58684</v>
      </c>
      <c r="W14400" t="s">
        <v>44367</v>
      </c>
      <c r="X14400" t="s">
        <v>44810</v>
      </c>
    </row>
    <row r="14401" spans="1:24">
      <c r="A14401">
        <f>HYPERLINK("https://www.philgeps.gov.ph/GEPSNONPILOT/Tender/SplashBidNoticeAbstractUI.aspx?menuIndex=3&amp;refID=7024325&amp;Result=3","7024325")</f>
        <v>0</v>
      </c>
      <c r="B14401" t="s">
        <v>1232</v>
      </c>
      <c r="C14401" t="s">
        <v>17462</v>
      </c>
      <c r="D14401" t="s">
        <v>17969</v>
      </c>
      <c r="E14401" t="s">
        <v>30466</v>
      </c>
      <c r="F14401" t="s">
        <v>30900</v>
      </c>
      <c r="G14401" t="s">
        <v>30910</v>
      </c>
      <c r="H14401" t="s">
        <v>30916</v>
      </c>
      <c r="I14401" t="s">
        <v>4108</v>
      </c>
      <c r="J14401" t="s">
        <v>39957</v>
      </c>
      <c r="K14401" t="s">
        <v>40286</v>
      </c>
      <c r="M14401" t="s">
        <v>41844</v>
      </c>
      <c r="N14401" t="s">
        <v>44759</v>
      </c>
      <c r="O14401" t="s">
        <v>44760</v>
      </c>
      <c r="Q14401">
        <v>5</v>
      </c>
      <c r="R14401" t="s">
        <v>44810</v>
      </c>
      <c r="S14401" t="s">
        <v>46121</v>
      </c>
      <c r="T14401" t="s">
        <v>46418</v>
      </c>
      <c r="U14401" t="s">
        <v>58685</v>
      </c>
      <c r="W14401" t="s">
        <v>41844</v>
      </c>
      <c r="X14401" t="s">
        <v>44813</v>
      </c>
    </row>
    <row r="14402" spans="1:24">
      <c r="A14402">
        <f>HYPERLINK("https://www.philgeps.gov.ph/GEPSNONPILOT/Tender/SplashBidNoticeAbstractUI.aspx?menuIndex=3&amp;refID=7029752&amp;Result=3","7029752")</f>
        <v>0</v>
      </c>
      <c r="B14402" t="s">
        <v>3470</v>
      </c>
      <c r="C14402" t="s">
        <v>17463</v>
      </c>
      <c r="E14402" t="s">
        <v>30467</v>
      </c>
      <c r="F14402" t="s">
        <v>30900</v>
      </c>
      <c r="G14402" t="s">
        <v>30907</v>
      </c>
      <c r="H14402" t="s">
        <v>30916</v>
      </c>
      <c r="I14402" t="s">
        <v>4545</v>
      </c>
      <c r="J14402" t="s">
        <v>33735</v>
      </c>
      <c r="K14402" t="s">
        <v>40293</v>
      </c>
      <c r="M14402" t="s">
        <v>44367</v>
      </c>
      <c r="N14402" t="s">
        <v>44759</v>
      </c>
      <c r="O14402" t="s">
        <v>44760</v>
      </c>
      <c r="Q14402">
        <v>7</v>
      </c>
      <c r="R14402" t="s">
        <v>44811</v>
      </c>
      <c r="S14402" t="s">
        <v>46122</v>
      </c>
      <c r="T14402" t="s">
        <v>46357</v>
      </c>
      <c r="U14402" t="s">
        <v>58686</v>
      </c>
      <c r="W14402" t="s">
        <v>44367</v>
      </c>
      <c r="X14402" t="s">
        <v>44810</v>
      </c>
    </row>
    <row r="14403" spans="1:24">
      <c r="A14403">
        <f>HYPERLINK("https://www.philgeps.gov.ph/GEPSNONPILOT/Tender/SplashBidNoticeAbstractUI.aspx?menuIndex=3&amp;refID=7029761&amp;Result=3","7029761")</f>
        <v>0</v>
      </c>
      <c r="B14403" t="s">
        <v>3470</v>
      </c>
      <c r="C14403" t="s">
        <v>17464</v>
      </c>
      <c r="E14403" t="s">
        <v>30468</v>
      </c>
      <c r="F14403" t="s">
        <v>30900</v>
      </c>
      <c r="G14403" t="s">
        <v>30907</v>
      </c>
      <c r="H14403" t="s">
        <v>30916</v>
      </c>
      <c r="I14403" t="s">
        <v>9385</v>
      </c>
      <c r="J14403" t="s">
        <v>34589</v>
      </c>
      <c r="K14403" t="s">
        <v>40293</v>
      </c>
      <c r="M14403" t="s">
        <v>44367</v>
      </c>
      <c r="N14403" t="s">
        <v>44759</v>
      </c>
      <c r="O14403" t="s">
        <v>44760</v>
      </c>
      <c r="Q14403">
        <v>41</v>
      </c>
      <c r="R14403" t="s">
        <v>44811</v>
      </c>
      <c r="S14403" t="s">
        <v>46123</v>
      </c>
      <c r="T14403" t="s">
        <v>46421</v>
      </c>
      <c r="U14403" t="s">
        <v>58687</v>
      </c>
      <c r="W14403" t="s">
        <v>44367</v>
      </c>
      <c r="X14403" t="s">
        <v>44810</v>
      </c>
    </row>
    <row r="14404" spans="1:24">
      <c r="A14404">
        <f>HYPERLINK("https://www.philgeps.gov.ph/GEPSNONPILOT/Tender/SplashBidNoticeAbstractUI.aspx?menuIndex=3&amp;refID=7029747&amp;Result=3","7029747")</f>
        <v>0</v>
      </c>
      <c r="B14404" t="s">
        <v>3470</v>
      </c>
      <c r="C14404" t="s">
        <v>17465</v>
      </c>
      <c r="E14404" t="s">
        <v>30469</v>
      </c>
      <c r="F14404" t="s">
        <v>30900</v>
      </c>
      <c r="G14404" t="s">
        <v>30907</v>
      </c>
      <c r="H14404" t="s">
        <v>30916</v>
      </c>
      <c r="I14404" t="s">
        <v>9385</v>
      </c>
      <c r="J14404" t="s">
        <v>39958</v>
      </c>
      <c r="K14404" t="s">
        <v>40293</v>
      </c>
      <c r="M14404" t="s">
        <v>44367</v>
      </c>
      <c r="N14404" t="s">
        <v>44759</v>
      </c>
      <c r="O14404" t="s">
        <v>44760</v>
      </c>
      <c r="Q14404">
        <v>7</v>
      </c>
      <c r="R14404" t="s">
        <v>44811</v>
      </c>
      <c r="S14404" t="s">
        <v>46124</v>
      </c>
      <c r="T14404" t="s">
        <v>46399</v>
      </c>
      <c r="U14404" t="s">
        <v>58688</v>
      </c>
      <c r="W14404" t="s">
        <v>44367</v>
      </c>
      <c r="X14404" t="s">
        <v>44810</v>
      </c>
    </row>
    <row r="14405" spans="1:24">
      <c r="A14405">
        <f>HYPERLINK("https://www.philgeps.gov.ph/GEPSNONPILOT/Tender/SplashBidNoticeAbstractUI.aspx?menuIndex=3&amp;refID=7030752&amp;Result=3","7030752")</f>
        <v>0</v>
      </c>
      <c r="B14405" t="s">
        <v>2407</v>
      </c>
      <c r="C14405" t="s">
        <v>17466</v>
      </c>
      <c r="D14405" t="s">
        <v>17985</v>
      </c>
      <c r="E14405" t="s">
        <v>30470</v>
      </c>
      <c r="F14405" t="s">
        <v>30900</v>
      </c>
      <c r="G14405" t="s">
        <v>30907</v>
      </c>
      <c r="H14405" t="s">
        <v>30916</v>
      </c>
      <c r="I14405" t="s">
        <v>30945</v>
      </c>
      <c r="J14405" t="s">
        <v>33477</v>
      </c>
      <c r="K14405" t="s">
        <v>40286</v>
      </c>
      <c r="M14405" t="s">
        <v>43284</v>
      </c>
      <c r="N14405" t="s">
        <v>44759</v>
      </c>
      <c r="O14405" t="s">
        <v>44760</v>
      </c>
      <c r="Q14405">
        <v>8</v>
      </c>
      <c r="R14405" t="s">
        <v>44812</v>
      </c>
      <c r="S14405" t="s">
        <v>46125</v>
      </c>
      <c r="T14405" t="s">
        <v>46365</v>
      </c>
      <c r="U14405" t="s">
        <v>58689</v>
      </c>
      <c r="W14405" t="s">
        <v>43284</v>
      </c>
      <c r="X14405" t="s">
        <v>44811</v>
      </c>
    </row>
    <row r="14406" spans="1:24">
      <c r="A14406">
        <f>HYPERLINK("https://www.philgeps.gov.ph/GEPSNONPILOT/Tender/SplashBidNoticeAbstractUI.aspx?menuIndex=3&amp;refID=7030740&amp;Result=3","7030740")</f>
        <v>0</v>
      </c>
      <c r="B14406" t="s">
        <v>2407</v>
      </c>
      <c r="C14406" t="s">
        <v>17467</v>
      </c>
      <c r="D14406" t="s">
        <v>17985</v>
      </c>
      <c r="E14406" t="s">
        <v>30471</v>
      </c>
      <c r="F14406" t="s">
        <v>30900</v>
      </c>
      <c r="G14406" t="s">
        <v>30907</v>
      </c>
      <c r="H14406" t="s">
        <v>30916</v>
      </c>
      <c r="I14406" t="s">
        <v>30928</v>
      </c>
      <c r="J14406" t="s">
        <v>39959</v>
      </c>
      <c r="K14406" t="s">
        <v>40292</v>
      </c>
      <c r="M14406" t="s">
        <v>43284</v>
      </c>
      <c r="N14406" t="s">
        <v>44759</v>
      </c>
      <c r="O14406" t="s">
        <v>44760</v>
      </c>
      <c r="Q14406">
        <v>10</v>
      </c>
      <c r="R14406" t="s">
        <v>44812</v>
      </c>
      <c r="S14406" t="s">
        <v>46126</v>
      </c>
      <c r="T14406" t="s">
        <v>46365</v>
      </c>
      <c r="U14406" t="s">
        <v>58690</v>
      </c>
      <c r="W14406" t="s">
        <v>43284</v>
      </c>
      <c r="X14406" t="s">
        <v>44811</v>
      </c>
    </row>
    <row r="14407" spans="1:24">
      <c r="A14407">
        <f>HYPERLINK("https://www.philgeps.gov.ph/GEPSNONPILOT/Tender/SplashBidNoticeAbstractUI.aspx?menuIndex=3&amp;refID=7012526&amp;Result=3","7012526")</f>
        <v>0</v>
      </c>
      <c r="B14407" t="s">
        <v>2933</v>
      </c>
      <c r="C14407" t="s">
        <v>17468</v>
      </c>
      <c r="D14407" t="s">
        <v>17971</v>
      </c>
      <c r="E14407" t="s">
        <v>30472</v>
      </c>
      <c r="F14407" t="s">
        <v>30900</v>
      </c>
      <c r="G14407" t="s">
        <v>30907</v>
      </c>
      <c r="H14407" t="s">
        <v>30915</v>
      </c>
      <c r="I14407" t="s">
        <v>30919</v>
      </c>
      <c r="J14407" t="s">
        <v>39960</v>
      </c>
      <c r="K14407" t="s">
        <v>40562</v>
      </c>
      <c r="M14407" t="s">
        <v>44152</v>
      </c>
      <c r="N14407" t="s">
        <v>44759</v>
      </c>
      <c r="O14407" t="s">
        <v>44760</v>
      </c>
      <c r="Q14407">
        <v>21</v>
      </c>
      <c r="R14407" t="s">
        <v>44813</v>
      </c>
      <c r="S14407" t="s">
        <v>46127</v>
      </c>
      <c r="T14407" t="s">
        <v>46625</v>
      </c>
      <c r="U14407" t="s">
        <v>58691</v>
      </c>
      <c r="V14407" t="s">
        <v>53539</v>
      </c>
      <c r="W14407" t="s">
        <v>44152</v>
      </c>
      <c r="X14407" t="s">
        <v>60967</v>
      </c>
    </row>
    <row r="14408" spans="1:24">
      <c r="A14408">
        <f>HYPERLINK("https://www.philgeps.gov.ph/GEPSNONPILOT/Tender/SplashBidNoticeAbstractUI.aspx?menuIndex=3&amp;refID=6985978&amp;Result=3","6985978")</f>
        <v>0</v>
      </c>
      <c r="B14408" t="s">
        <v>121</v>
      </c>
      <c r="C14408" t="s">
        <v>17469</v>
      </c>
      <c r="D14408" t="s">
        <v>17971</v>
      </c>
      <c r="E14408" t="s">
        <v>30473</v>
      </c>
      <c r="F14408" t="s">
        <v>30900</v>
      </c>
      <c r="G14408" t="s">
        <v>30910</v>
      </c>
      <c r="H14408" t="s">
        <v>30916</v>
      </c>
      <c r="I14408" t="s">
        <v>6953</v>
      </c>
      <c r="J14408" t="s">
        <v>39961</v>
      </c>
      <c r="K14408" t="s">
        <v>40283</v>
      </c>
      <c r="M14408" t="s">
        <v>40668</v>
      </c>
      <c r="N14408" t="s">
        <v>44759</v>
      </c>
      <c r="O14408" t="s">
        <v>44760</v>
      </c>
      <c r="Q14408">
        <v>3</v>
      </c>
      <c r="R14408" t="s">
        <v>44814</v>
      </c>
      <c r="S14408" t="s">
        <v>46128</v>
      </c>
      <c r="T14408" t="s">
        <v>46357</v>
      </c>
      <c r="U14408" t="s">
        <v>58692</v>
      </c>
      <c r="W14408" t="s">
        <v>40668</v>
      </c>
      <c r="X14408" t="s">
        <v>60968</v>
      </c>
    </row>
    <row r="14409" spans="1:24">
      <c r="A14409">
        <f>HYPERLINK("https://www.philgeps.gov.ph/GEPSNONPILOT/Tender/SplashBidNoticeAbstractUI.aspx?menuIndex=3&amp;refID=7030732&amp;Result=3","7030732")</f>
        <v>0</v>
      </c>
      <c r="B14409" t="s">
        <v>2407</v>
      </c>
      <c r="C14409" t="s">
        <v>17470</v>
      </c>
      <c r="D14409" t="s">
        <v>17985</v>
      </c>
      <c r="E14409" t="s">
        <v>30474</v>
      </c>
      <c r="F14409" t="s">
        <v>30900</v>
      </c>
      <c r="G14409" t="s">
        <v>30907</v>
      </c>
      <c r="H14409" t="s">
        <v>30916</v>
      </c>
      <c r="I14409" t="s">
        <v>30945</v>
      </c>
      <c r="J14409" t="s">
        <v>34858</v>
      </c>
      <c r="K14409" t="s">
        <v>40280</v>
      </c>
      <c r="M14409" t="s">
        <v>43284</v>
      </c>
      <c r="N14409" t="s">
        <v>44759</v>
      </c>
      <c r="O14409" t="s">
        <v>44760</v>
      </c>
      <c r="Q14409">
        <v>13</v>
      </c>
      <c r="R14409" t="s">
        <v>44812</v>
      </c>
      <c r="S14409" t="s">
        <v>45847</v>
      </c>
      <c r="T14409" t="s">
        <v>46365</v>
      </c>
      <c r="U14409" t="s">
        <v>58693</v>
      </c>
      <c r="W14409" t="s">
        <v>43284</v>
      </c>
      <c r="X14409" t="s">
        <v>44811</v>
      </c>
    </row>
    <row r="14410" spans="1:24">
      <c r="A14410">
        <f>HYPERLINK("https://www.philgeps.gov.ph/GEPSNONPILOT/Tender/SplashBidNoticeAbstractUI.aspx?menuIndex=3&amp;refID=7005392&amp;Result=3","7005392")</f>
        <v>0</v>
      </c>
      <c r="B14410" t="s">
        <v>1232</v>
      </c>
      <c r="C14410" t="s">
        <v>6546</v>
      </c>
      <c r="D14410" t="s">
        <v>17969</v>
      </c>
      <c r="E14410" t="s">
        <v>30475</v>
      </c>
      <c r="F14410" t="s">
        <v>30900</v>
      </c>
      <c r="G14410" t="s">
        <v>30910</v>
      </c>
      <c r="H14410" t="s">
        <v>30916</v>
      </c>
      <c r="I14410" t="s">
        <v>4545</v>
      </c>
      <c r="J14410" t="s">
        <v>33038</v>
      </c>
      <c r="K14410" t="s">
        <v>40286</v>
      </c>
      <c r="M14410" t="s">
        <v>41844</v>
      </c>
      <c r="N14410" t="s">
        <v>44759</v>
      </c>
      <c r="O14410" t="s">
        <v>44760</v>
      </c>
      <c r="Q14410">
        <v>2</v>
      </c>
      <c r="R14410" t="s">
        <v>44815</v>
      </c>
      <c r="S14410" t="s">
        <v>46129</v>
      </c>
      <c r="T14410" t="s">
        <v>46418</v>
      </c>
      <c r="U14410" t="s">
        <v>58694</v>
      </c>
      <c r="W14410" t="s">
        <v>41844</v>
      </c>
      <c r="X14410" t="s">
        <v>44816</v>
      </c>
    </row>
    <row r="14411" spans="1:24">
      <c r="A14411">
        <f>HYPERLINK("https://www.philgeps.gov.ph/GEPSNONPILOT/Tender/SplashBidNoticeAbstractUI.aspx?menuIndex=3&amp;refID=7004346&amp;Result=3","7004346")</f>
        <v>0</v>
      </c>
      <c r="B14411" t="s">
        <v>1232</v>
      </c>
      <c r="C14411" t="s">
        <v>17471</v>
      </c>
      <c r="D14411" t="s">
        <v>17969</v>
      </c>
      <c r="E14411" t="s">
        <v>30476</v>
      </c>
      <c r="F14411" t="s">
        <v>30900</v>
      </c>
      <c r="G14411" t="s">
        <v>30910</v>
      </c>
      <c r="H14411" t="s">
        <v>30916</v>
      </c>
      <c r="I14411" t="s">
        <v>30921</v>
      </c>
      <c r="J14411" t="s">
        <v>31183</v>
      </c>
      <c r="K14411" t="s">
        <v>40286</v>
      </c>
      <c r="M14411" t="s">
        <v>41844</v>
      </c>
      <c r="N14411" t="s">
        <v>44759</v>
      </c>
      <c r="O14411" t="s">
        <v>44760</v>
      </c>
      <c r="Q14411">
        <v>3</v>
      </c>
      <c r="R14411" t="s">
        <v>44815</v>
      </c>
      <c r="S14411" t="s">
        <v>46130</v>
      </c>
      <c r="T14411" t="s">
        <v>46450</v>
      </c>
      <c r="U14411" t="s">
        <v>58695</v>
      </c>
      <c r="W14411" t="s">
        <v>41844</v>
      </c>
      <c r="X14411" t="s">
        <v>60969</v>
      </c>
    </row>
    <row r="14412" spans="1:24">
      <c r="A14412">
        <f>HYPERLINK("https://www.philgeps.gov.ph/GEPSNONPILOT/Tender/SplashBidNoticeAbstractUI.aspx?menuIndex=3&amp;refID=7003767&amp;Result=3","7003767")</f>
        <v>0</v>
      </c>
      <c r="B14412" t="s">
        <v>2542</v>
      </c>
      <c r="C14412" t="s">
        <v>17472</v>
      </c>
      <c r="E14412" t="s">
        <v>30477</v>
      </c>
      <c r="F14412" t="s">
        <v>30900</v>
      </c>
      <c r="G14412" t="s">
        <v>30907</v>
      </c>
      <c r="H14412" t="s">
        <v>30915</v>
      </c>
      <c r="I14412" t="s">
        <v>30919</v>
      </c>
      <c r="J14412" t="s">
        <v>39962</v>
      </c>
      <c r="K14412" t="s">
        <v>40289</v>
      </c>
      <c r="M14412" t="s">
        <v>43299</v>
      </c>
      <c r="N14412" t="s">
        <v>44759</v>
      </c>
      <c r="O14412" t="s">
        <v>44760</v>
      </c>
      <c r="Q14412">
        <v>85</v>
      </c>
      <c r="R14412" t="s">
        <v>44816</v>
      </c>
      <c r="S14412" t="s">
        <v>46131</v>
      </c>
      <c r="T14412" t="s">
        <v>46429</v>
      </c>
      <c r="U14412" t="s">
        <v>55002</v>
      </c>
      <c r="W14412" t="s">
        <v>60910</v>
      </c>
      <c r="X14412" t="s">
        <v>60969</v>
      </c>
    </row>
    <row r="14413" spans="1:24">
      <c r="A14413">
        <f>HYPERLINK("https://www.philgeps.gov.ph/GEPSNONPILOT/Tender/SplashBidNoticeAbstractUI.aspx?menuIndex=3&amp;refID=7009228&amp;Result=3","7009228")</f>
        <v>0</v>
      </c>
      <c r="B14413" t="s">
        <v>466</v>
      </c>
      <c r="C14413" t="s">
        <v>13478</v>
      </c>
      <c r="E14413" t="s">
        <v>30478</v>
      </c>
      <c r="F14413" t="s">
        <v>30900</v>
      </c>
      <c r="G14413" t="s">
        <v>30907</v>
      </c>
      <c r="H14413" t="s">
        <v>7411</v>
      </c>
      <c r="I14413" t="s">
        <v>7411</v>
      </c>
      <c r="J14413" t="s">
        <v>34061</v>
      </c>
      <c r="K14413" t="s">
        <v>40289</v>
      </c>
      <c r="M14413" t="s">
        <v>43963</v>
      </c>
      <c r="N14413" t="s">
        <v>44759</v>
      </c>
      <c r="O14413" t="s">
        <v>44760</v>
      </c>
      <c r="Q14413">
        <v>13</v>
      </c>
      <c r="R14413" t="s">
        <v>44817</v>
      </c>
      <c r="S14413" t="s">
        <v>46132</v>
      </c>
      <c r="T14413" t="s">
        <v>46581</v>
      </c>
      <c r="U14413" t="s">
        <v>58696</v>
      </c>
      <c r="W14413" t="s">
        <v>41024</v>
      </c>
      <c r="X14413" t="s">
        <v>60970</v>
      </c>
    </row>
    <row r="14414" spans="1:24">
      <c r="A14414">
        <f>HYPERLINK("https://www.philgeps.gov.ph/GEPSNONPILOT/Tender/SplashBidNoticeAbstractUI.aspx?menuIndex=3&amp;refID=7029754&amp;Result=3","7029754")</f>
        <v>0</v>
      </c>
      <c r="B14414" t="s">
        <v>3470</v>
      </c>
      <c r="C14414" t="s">
        <v>17473</v>
      </c>
      <c r="E14414" t="s">
        <v>30479</v>
      </c>
      <c r="F14414" t="s">
        <v>30900</v>
      </c>
      <c r="G14414" t="s">
        <v>30907</v>
      </c>
      <c r="H14414" t="s">
        <v>30916</v>
      </c>
      <c r="I14414" t="s">
        <v>4545</v>
      </c>
      <c r="J14414" t="s">
        <v>31214</v>
      </c>
      <c r="K14414" t="s">
        <v>40293</v>
      </c>
      <c r="M14414" t="s">
        <v>44367</v>
      </c>
      <c r="N14414" t="s">
        <v>44759</v>
      </c>
      <c r="O14414" t="s">
        <v>44760</v>
      </c>
      <c r="Q14414">
        <v>13</v>
      </c>
      <c r="R14414" t="s">
        <v>44811</v>
      </c>
      <c r="S14414" t="s">
        <v>46133</v>
      </c>
      <c r="T14414" t="s">
        <v>46412</v>
      </c>
      <c r="U14414" t="s">
        <v>58697</v>
      </c>
      <c r="W14414" t="s">
        <v>44367</v>
      </c>
      <c r="X14414" t="s">
        <v>44810</v>
      </c>
    </row>
    <row r="14415" spans="1:24">
      <c r="A14415">
        <f>HYPERLINK("https://www.philgeps.gov.ph/GEPSNONPILOT/Tender/SplashBidNoticeAbstractUI.aspx?menuIndex=3&amp;refID=7018226&amp;Result=3","7018226")</f>
        <v>0</v>
      </c>
      <c r="B14415" t="s">
        <v>911</v>
      </c>
      <c r="C14415" t="s">
        <v>17474</v>
      </c>
      <c r="D14415" t="s">
        <v>17961</v>
      </c>
      <c r="E14415" t="s">
        <v>30480</v>
      </c>
      <c r="F14415" t="s">
        <v>30900</v>
      </c>
      <c r="G14415" t="s">
        <v>30907</v>
      </c>
      <c r="H14415" t="s">
        <v>30915</v>
      </c>
      <c r="I14415" t="s">
        <v>30919</v>
      </c>
      <c r="J14415" t="s">
        <v>39963</v>
      </c>
      <c r="K14415" t="s">
        <v>40342</v>
      </c>
      <c r="M14415" t="s">
        <v>41490</v>
      </c>
      <c r="N14415" t="s">
        <v>44759</v>
      </c>
      <c r="O14415" t="s">
        <v>44760</v>
      </c>
      <c r="Q14415">
        <v>9</v>
      </c>
      <c r="R14415" t="s">
        <v>44818</v>
      </c>
      <c r="S14415" t="s">
        <v>46134</v>
      </c>
      <c r="T14415" t="s">
        <v>46520</v>
      </c>
      <c r="U14415" t="s">
        <v>58698</v>
      </c>
      <c r="W14415" t="s">
        <v>41490</v>
      </c>
      <c r="X14415" t="s">
        <v>44819</v>
      </c>
    </row>
    <row r="14416" spans="1:24">
      <c r="A14416">
        <f>HYPERLINK("https://www.philgeps.gov.ph/GEPSNONPILOT/Tender/SplashBidNoticeAbstractUI.aspx?menuIndex=3&amp;refID=7018218&amp;Result=3","7018218")</f>
        <v>0</v>
      </c>
      <c r="B14416" t="s">
        <v>911</v>
      </c>
      <c r="C14416" t="s">
        <v>17475</v>
      </c>
      <c r="D14416" t="s">
        <v>17961</v>
      </c>
      <c r="E14416" t="s">
        <v>30481</v>
      </c>
      <c r="F14416" t="s">
        <v>30900</v>
      </c>
      <c r="G14416" t="s">
        <v>30907</v>
      </c>
      <c r="H14416" t="s">
        <v>30915</v>
      </c>
      <c r="I14416" t="s">
        <v>30919</v>
      </c>
      <c r="J14416" t="s">
        <v>39964</v>
      </c>
      <c r="K14416" t="s">
        <v>40342</v>
      </c>
      <c r="M14416" t="s">
        <v>41490</v>
      </c>
      <c r="N14416" t="s">
        <v>44759</v>
      </c>
      <c r="O14416" t="s">
        <v>44760</v>
      </c>
      <c r="Q14416">
        <v>12</v>
      </c>
      <c r="R14416" t="s">
        <v>44818</v>
      </c>
      <c r="S14416" t="s">
        <v>46135</v>
      </c>
      <c r="T14416" t="s">
        <v>46520</v>
      </c>
      <c r="U14416" t="s">
        <v>58699</v>
      </c>
      <c r="W14416" t="s">
        <v>41490</v>
      </c>
      <c r="X14416" t="s">
        <v>44819</v>
      </c>
    </row>
    <row r="14417" spans="1:24">
      <c r="A14417">
        <f>HYPERLINK("https://www.philgeps.gov.ph/GEPSNONPILOT/Tender/SplashBidNoticeAbstractUI.aspx?menuIndex=3&amp;refID=7016421&amp;Result=3","7016421")</f>
        <v>0</v>
      </c>
      <c r="B14417" t="s">
        <v>3273</v>
      </c>
      <c r="C14417" t="s">
        <v>17476</v>
      </c>
      <c r="D14417" t="s">
        <v>18020</v>
      </c>
      <c r="E14417" t="s">
        <v>30482</v>
      </c>
      <c r="F14417" t="s">
        <v>30900</v>
      </c>
      <c r="G14417" t="s">
        <v>30907</v>
      </c>
      <c r="H14417" t="s">
        <v>30915</v>
      </c>
      <c r="I14417" t="s">
        <v>30919</v>
      </c>
      <c r="J14417" t="s">
        <v>35232</v>
      </c>
      <c r="K14417" t="s">
        <v>40563</v>
      </c>
      <c r="M14417" t="s">
        <v>44121</v>
      </c>
      <c r="N14417" t="s">
        <v>44759</v>
      </c>
      <c r="O14417" t="s">
        <v>44760</v>
      </c>
      <c r="Q14417">
        <v>35</v>
      </c>
      <c r="R14417" t="s">
        <v>44819</v>
      </c>
      <c r="S14417" t="s">
        <v>46136</v>
      </c>
      <c r="T14417" t="s">
        <v>46384</v>
      </c>
      <c r="U14417" t="s">
        <v>58700</v>
      </c>
      <c r="V14417" t="s">
        <v>60752</v>
      </c>
      <c r="W14417" t="s">
        <v>44121</v>
      </c>
      <c r="X14417" t="s">
        <v>44820</v>
      </c>
    </row>
    <row r="14418" spans="1:24">
      <c r="A14418">
        <f>HYPERLINK("https://www.philgeps.gov.ph/GEPSNONPILOT/Tender/SplashBidNoticeAbstractUI.aspx?menuIndex=3&amp;refID=7003178&amp;Result=3","7003178")</f>
        <v>0</v>
      </c>
      <c r="B14418" t="s">
        <v>2282</v>
      </c>
      <c r="C14418" t="s">
        <v>17477</v>
      </c>
      <c r="D14418" t="s">
        <v>18016</v>
      </c>
      <c r="E14418" t="s">
        <v>30483</v>
      </c>
      <c r="F14418" t="s">
        <v>30900</v>
      </c>
      <c r="G14418" t="s">
        <v>30907</v>
      </c>
      <c r="H14418" t="s">
        <v>30915</v>
      </c>
      <c r="I14418" t="s">
        <v>30919</v>
      </c>
      <c r="J14418" t="s">
        <v>38094</v>
      </c>
      <c r="K14418" t="s">
        <v>40289</v>
      </c>
      <c r="M14418" t="s">
        <v>42996</v>
      </c>
      <c r="N14418" t="s">
        <v>44759</v>
      </c>
      <c r="O14418" t="s">
        <v>44760</v>
      </c>
      <c r="Q14418">
        <v>2</v>
      </c>
      <c r="R14418" t="s">
        <v>44815</v>
      </c>
      <c r="S14418" t="s">
        <v>46137</v>
      </c>
      <c r="T14418" t="s">
        <v>46398</v>
      </c>
      <c r="U14418" t="s">
        <v>58701</v>
      </c>
      <c r="W14418" t="s">
        <v>42996</v>
      </c>
      <c r="X14418" t="s">
        <v>60969</v>
      </c>
    </row>
    <row r="14419" spans="1:24">
      <c r="A14419">
        <f>HYPERLINK("https://www.philgeps.gov.ph/GEPSNONPILOT/Tender/SplashBidNoticeAbstractUI.aspx?menuIndex=3&amp;refID=7018196&amp;Result=3","7018196")</f>
        <v>0</v>
      </c>
      <c r="B14419" t="s">
        <v>911</v>
      </c>
      <c r="C14419" t="s">
        <v>17478</v>
      </c>
      <c r="D14419" t="s">
        <v>17961</v>
      </c>
      <c r="E14419" t="s">
        <v>30484</v>
      </c>
      <c r="F14419" t="s">
        <v>30900</v>
      </c>
      <c r="G14419" t="s">
        <v>30907</v>
      </c>
      <c r="H14419" t="s">
        <v>30915</v>
      </c>
      <c r="I14419" t="s">
        <v>30919</v>
      </c>
      <c r="J14419" t="s">
        <v>31157</v>
      </c>
      <c r="K14419" t="s">
        <v>40304</v>
      </c>
      <c r="M14419" t="s">
        <v>41490</v>
      </c>
      <c r="N14419" t="s">
        <v>44759</v>
      </c>
      <c r="O14419" t="s">
        <v>44760</v>
      </c>
      <c r="Q14419">
        <v>8</v>
      </c>
      <c r="R14419" t="s">
        <v>44818</v>
      </c>
      <c r="S14419" t="s">
        <v>46138</v>
      </c>
      <c r="T14419" t="s">
        <v>46520</v>
      </c>
      <c r="U14419" t="s">
        <v>58702</v>
      </c>
      <c r="W14419" t="s">
        <v>41490</v>
      </c>
      <c r="X14419" t="s">
        <v>44819</v>
      </c>
    </row>
    <row r="14420" spans="1:24">
      <c r="A14420">
        <f>HYPERLINK("https://www.philgeps.gov.ph/GEPSNONPILOT/Tender/SplashBidNoticeAbstractUI.aspx?menuIndex=3&amp;refID=7018186&amp;Result=3","7018186")</f>
        <v>0</v>
      </c>
      <c r="B14420" t="s">
        <v>911</v>
      </c>
      <c r="C14420" t="s">
        <v>17479</v>
      </c>
      <c r="D14420" t="s">
        <v>17961</v>
      </c>
      <c r="E14420" t="s">
        <v>30485</v>
      </c>
      <c r="F14420" t="s">
        <v>30900</v>
      </c>
      <c r="G14420" t="s">
        <v>30907</v>
      </c>
      <c r="H14420" t="s">
        <v>30915</v>
      </c>
      <c r="I14420" t="s">
        <v>30919</v>
      </c>
      <c r="J14420" t="s">
        <v>39965</v>
      </c>
      <c r="K14420" t="s">
        <v>40389</v>
      </c>
      <c r="M14420" t="s">
        <v>41490</v>
      </c>
      <c r="N14420" t="s">
        <v>44759</v>
      </c>
      <c r="O14420" t="s">
        <v>44760</v>
      </c>
      <c r="Q14420">
        <v>12</v>
      </c>
      <c r="R14420" t="s">
        <v>44818</v>
      </c>
      <c r="S14420" t="s">
        <v>46139</v>
      </c>
      <c r="T14420" t="s">
        <v>46520</v>
      </c>
      <c r="U14420" t="s">
        <v>58703</v>
      </c>
      <c r="W14420" t="s">
        <v>41490</v>
      </c>
      <c r="X14420" t="s">
        <v>44819</v>
      </c>
    </row>
    <row r="14421" spans="1:24">
      <c r="A14421">
        <f>HYPERLINK("https://www.philgeps.gov.ph/GEPSNONPILOT/Tender/SplashBidNoticeAbstractUI.aspx?menuIndex=3&amp;refID=7018114&amp;Result=3","7018114")</f>
        <v>0</v>
      </c>
      <c r="B14421" t="s">
        <v>911</v>
      </c>
      <c r="C14421" t="s">
        <v>17480</v>
      </c>
      <c r="D14421" t="s">
        <v>17961</v>
      </c>
      <c r="E14421" t="s">
        <v>30486</v>
      </c>
      <c r="F14421" t="s">
        <v>30900</v>
      </c>
      <c r="G14421" t="s">
        <v>30907</v>
      </c>
      <c r="H14421" t="s">
        <v>30915</v>
      </c>
      <c r="I14421" t="s">
        <v>30919</v>
      </c>
      <c r="J14421" t="s">
        <v>38624</v>
      </c>
      <c r="K14421" t="s">
        <v>40417</v>
      </c>
      <c r="M14421" t="s">
        <v>41490</v>
      </c>
      <c r="N14421" t="s">
        <v>44759</v>
      </c>
      <c r="O14421" t="s">
        <v>44760</v>
      </c>
      <c r="Q14421">
        <v>9</v>
      </c>
      <c r="R14421" t="s">
        <v>44818</v>
      </c>
      <c r="S14421" t="s">
        <v>46140</v>
      </c>
      <c r="T14421" t="s">
        <v>46520</v>
      </c>
      <c r="U14421" t="s">
        <v>58704</v>
      </c>
      <c r="W14421" t="s">
        <v>41490</v>
      </c>
      <c r="X14421" t="s">
        <v>44819</v>
      </c>
    </row>
    <row r="14422" spans="1:24">
      <c r="A14422">
        <f>HYPERLINK("https://www.philgeps.gov.ph/GEPSNONPILOT/Tender/SplashBidNoticeAbstractUI.aspx?menuIndex=3&amp;refID=7013780&amp;Result=3","7013780")</f>
        <v>0</v>
      </c>
      <c r="B14422" t="s">
        <v>909</v>
      </c>
      <c r="C14422" t="s">
        <v>17481</v>
      </c>
      <c r="E14422" t="s">
        <v>30487</v>
      </c>
      <c r="F14422" t="s">
        <v>30900</v>
      </c>
      <c r="G14422" t="s">
        <v>30907</v>
      </c>
      <c r="H14422" t="s">
        <v>30915</v>
      </c>
      <c r="I14422" t="s">
        <v>30919</v>
      </c>
      <c r="J14422" t="s">
        <v>39966</v>
      </c>
      <c r="K14422" t="s">
        <v>40289</v>
      </c>
      <c r="M14422" t="s">
        <v>41486</v>
      </c>
      <c r="N14422" t="s">
        <v>44759</v>
      </c>
      <c r="O14422" t="s">
        <v>44760</v>
      </c>
      <c r="Q14422">
        <v>4</v>
      </c>
      <c r="R14422" t="s">
        <v>44820</v>
      </c>
      <c r="S14422" t="s">
        <v>46141</v>
      </c>
      <c r="T14422" t="s">
        <v>46428</v>
      </c>
      <c r="U14422" t="s">
        <v>58705</v>
      </c>
      <c r="W14422" t="s">
        <v>60844</v>
      </c>
      <c r="X14422" t="s">
        <v>60967</v>
      </c>
    </row>
    <row r="14423" spans="1:24">
      <c r="A14423">
        <f>HYPERLINK("https://www.philgeps.gov.ph/GEPSNONPILOT/Tender/SplashBidNoticeAbstractUI.aspx?menuIndex=3&amp;refID=7017229&amp;Result=3","7017229")</f>
        <v>0</v>
      </c>
      <c r="B14423" t="s">
        <v>1232</v>
      </c>
      <c r="C14423" t="s">
        <v>17482</v>
      </c>
      <c r="D14423" t="s">
        <v>17969</v>
      </c>
      <c r="E14423" t="s">
        <v>30488</v>
      </c>
      <c r="F14423" t="s">
        <v>30900</v>
      </c>
      <c r="G14423" t="s">
        <v>30908</v>
      </c>
      <c r="H14423" t="s">
        <v>30916</v>
      </c>
      <c r="I14423" t="s">
        <v>30942</v>
      </c>
      <c r="J14423" t="s">
        <v>31204</v>
      </c>
      <c r="K14423" t="s">
        <v>40291</v>
      </c>
      <c r="M14423" t="s">
        <v>41844</v>
      </c>
      <c r="N14423" t="s">
        <v>44759</v>
      </c>
      <c r="O14423" t="s">
        <v>44760</v>
      </c>
      <c r="Q14423">
        <v>3</v>
      </c>
      <c r="R14423" t="s">
        <v>44818</v>
      </c>
      <c r="S14423" t="s">
        <v>46142</v>
      </c>
      <c r="T14423" t="s">
        <v>46581</v>
      </c>
      <c r="U14423" t="s">
        <v>58706</v>
      </c>
      <c r="W14423" t="s">
        <v>41844</v>
      </c>
      <c r="X14423" t="s">
        <v>44819</v>
      </c>
    </row>
    <row r="14424" spans="1:24">
      <c r="A14424">
        <f>HYPERLINK("https://www.philgeps.gov.ph/GEPSNONPILOT/Tender/SplashBidNoticeAbstractUI.aspx?menuIndex=3&amp;refID=7021626&amp;Result=3","7021626")</f>
        <v>0</v>
      </c>
      <c r="B14424" t="s">
        <v>2581</v>
      </c>
      <c r="C14424" t="s">
        <v>17483</v>
      </c>
      <c r="E14424" t="s">
        <v>30489</v>
      </c>
      <c r="F14424" t="s">
        <v>30900</v>
      </c>
      <c r="G14424" t="s">
        <v>30907</v>
      </c>
      <c r="H14424" t="s">
        <v>30915</v>
      </c>
      <c r="I14424" t="s">
        <v>30919</v>
      </c>
      <c r="J14424" t="s">
        <v>39967</v>
      </c>
      <c r="K14424" t="s">
        <v>40506</v>
      </c>
      <c r="M14424" t="s">
        <v>44666</v>
      </c>
      <c r="N14424" t="s">
        <v>44759</v>
      </c>
      <c r="O14424" t="s">
        <v>44760</v>
      </c>
      <c r="Q14424">
        <v>20</v>
      </c>
      <c r="R14424" t="s">
        <v>44809</v>
      </c>
      <c r="S14424" t="s">
        <v>46143</v>
      </c>
      <c r="T14424" t="s">
        <v>46495</v>
      </c>
      <c r="U14424" t="s">
        <v>58707</v>
      </c>
      <c r="V14424" t="s">
        <v>50171</v>
      </c>
      <c r="W14424" t="s">
        <v>44666</v>
      </c>
      <c r="X14424" t="s">
        <v>60966</v>
      </c>
    </row>
    <row r="14425" spans="1:24">
      <c r="A14425">
        <f>HYPERLINK("https://www.philgeps.gov.ph/GEPSNONPILOT/Tender/SplashBidNoticeAbstractUI.aspx?menuIndex=3&amp;refID=7058246&amp;Result=3","7058246")</f>
        <v>0</v>
      </c>
      <c r="B14425" t="s">
        <v>1833</v>
      </c>
      <c r="C14425" t="s">
        <v>17484</v>
      </c>
      <c r="D14425" t="s">
        <v>18020</v>
      </c>
      <c r="E14425" t="s">
        <v>30490</v>
      </c>
      <c r="F14425" t="s">
        <v>30900</v>
      </c>
      <c r="G14425" t="s">
        <v>30907</v>
      </c>
      <c r="H14425" t="s">
        <v>30915</v>
      </c>
      <c r="I14425" t="s">
        <v>30919</v>
      </c>
      <c r="J14425" t="s">
        <v>34557</v>
      </c>
      <c r="K14425" t="s">
        <v>40342</v>
      </c>
      <c r="M14425" t="s">
        <v>42506</v>
      </c>
      <c r="N14425" t="s">
        <v>44759</v>
      </c>
      <c r="O14425" t="s">
        <v>44760</v>
      </c>
      <c r="Q14425">
        <v>4</v>
      </c>
      <c r="R14425" t="s">
        <v>44801</v>
      </c>
      <c r="S14425" t="s">
        <v>46098</v>
      </c>
      <c r="T14425" t="s">
        <v>46550</v>
      </c>
      <c r="U14425" t="s">
        <v>58634</v>
      </c>
      <c r="W14425" t="s">
        <v>42506</v>
      </c>
      <c r="X14425" t="s">
        <v>44859</v>
      </c>
    </row>
    <row r="14426" spans="1:24">
      <c r="A14426">
        <f>HYPERLINK("https://www.philgeps.gov.ph/GEPSNONPILOT/Tender/SplashBidNoticeAbstractUI.aspx?menuIndex=3&amp;refID=7018161&amp;Result=3","7018161")</f>
        <v>0</v>
      </c>
      <c r="B14426" t="s">
        <v>911</v>
      </c>
      <c r="C14426" t="s">
        <v>17485</v>
      </c>
      <c r="D14426" t="s">
        <v>17961</v>
      </c>
      <c r="E14426" t="s">
        <v>30491</v>
      </c>
      <c r="F14426" t="s">
        <v>30900</v>
      </c>
      <c r="G14426" t="s">
        <v>30907</v>
      </c>
      <c r="H14426" t="s">
        <v>30915</v>
      </c>
      <c r="I14426" t="s">
        <v>30919</v>
      </c>
      <c r="J14426" t="s">
        <v>39968</v>
      </c>
      <c r="K14426" t="s">
        <v>40304</v>
      </c>
      <c r="M14426" t="s">
        <v>41490</v>
      </c>
      <c r="N14426" t="s">
        <v>44759</v>
      </c>
      <c r="O14426" t="s">
        <v>44760</v>
      </c>
      <c r="Q14426">
        <v>15</v>
      </c>
      <c r="R14426" t="s">
        <v>44818</v>
      </c>
      <c r="S14426" t="s">
        <v>46144</v>
      </c>
      <c r="T14426" t="s">
        <v>46520</v>
      </c>
      <c r="U14426" t="s">
        <v>58708</v>
      </c>
      <c r="W14426" t="s">
        <v>41490</v>
      </c>
      <c r="X14426" t="s">
        <v>44819</v>
      </c>
    </row>
    <row r="14427" spans="1:24">
      <c r="A14427">
        <f>HYPERLINK("https://www.philgeps.gov.ph/GEPSNONPILOT/Tender/SplashBidNoticeAbstractUI.aspx?menuIndex=3&amp;refID=7020712&amp;Result=3","7020712")</f>
        <v>0</v>
      </c>
      <c r="B14427" t="s">
        <v>2581</v>
      </c>
      <c r="C14427" t="s">
        <v>17486</v>
      </c>
      <c r="E14427" t="s">
        <v>30492</v>
      </c>
      <c r="F14427" t="s">
        <v>30900</v>
      </c>
      <c r="G14427" t="s">
        <v>30907</v>
      </c>
      <c r="H14427" t="s">
        <v>30915</v>
      </c>
      <c r="I14427" t="s">
        <v>30919</v>
      </c>
      <c r="J14427" t="s">
        <v>39969</v>
      </c>
      <c r="K14427" t="s">
        <v>40564</v>
      </c>
      <c r="M14427" t="s">
        <v>44666</v>
      </c>
      <c r="N14427" t="s">
        <v>44759</v>
      </c>
      <c r="O14427" t="s">
        <v>44760</v>
      </c>
      <c r="Q14427">
        <v>20</v>
      </c>
      <c r="R14427" t="s">
        <v>44809</v>
      </c>
      <c r="S14427" t="s">
        <v>46145</v>
      </c>
      <c r="T14427" t="s">
        <v>46495</v>
      </c>
      <c r="U14427" t="s">
        <v>58709</v>
      </c>
      <c r="V14427" t="s">
        <v>59733</v>
      </c>
      <c r="W14427" t="s">
        <v>44666</v>
      </c>
      <c r="X14427" t="s">
        <v>60966</v>
      </c>
    </row>
    <row r="14428" spans="1:24">
      <c r="A14428">
        <f>HYPERLINK("https://www.philgeps.gov.ph/GEPSNONPILOT/Tender/SplashBidNoticeAbstractUI.aspx?menuIndex=3&amp;refID=7019957&amp;Result=3","7019957")</f>
        <v>0</v>
      </c>
      <c r="B14428" t="s">
        <v>3304</v>
      </c>
      <c r="C14428" t="s">
        <v>17487</v>
      </c>
      <c r="D14428" t="s">
        <v>17957</v>
      </c>
      <c r="E14428" t="s">
        <v>30493</v>
      </c>
      <c r="F14428" t="s">
        <v>30900</v>
      </c>
      <c r="G14428" t="s">
        <v>30907</v>
      </c>
      <c r="H14428" t="s">
        <v>30915</v>
      </c>
      <c r="I14428" t="s">
        <v>30919</v>
      </c>
      <c r="J14428" t="s">
        <v>35232</v>
      </c>
      <c r="K14428" t="s">
        <v>40301</v>
      </c>
      <c r="M14428" t="s">
        <v>44155</v>
      </c>
      <c r="N14428" t="s">
        <v>44759</v>
      </c>
      <c r="O14428" t="s">
        <v>44760</v>
      </c>
      <c r="Q14428">
        <v>1</v>
      </c>
      <c r="R14428" t="s">
        <v>44809</v>
      </c>
      <c r="S14428" t="s">
        <v>45145</v>
      </c>
      <c r="T14428" t="s">
        <v>46357</v>
      </c>
      <c r="U14428" t="s">
        <v>56070</v>
      </c>
      <c r="W14428" t="s">
        <v>44155</v>
      </c>
      <c r="X14428" t="s">
        <v>60966</v>
      </c>
    </row>
    <row r="14429" spans="1:24">
      <c r="A14429">
        <f>HYPERLINK("https://www.philgeps.gov.ph/GEPSNONPILOT/Tender/SplashBidNoticeAbstractUI.aspx?menuIndex=3&amp;refID=6929247&amp;Result=3","6929247")</f>
        <v>0</v>
      </c>
      <c r="B14429" t="s">
        <v>3727</v>
      </c>
      <c r="C14429" t="s">
        <v>17488</v>
      </c>
      <c r="D14429" t="s">
        <v>18025</v>
      </c>
      <c r="E14429" t="s">
        <v>30494</v>
      </c>
      <c r="F14429" t="s">
        <v>30900</v>
      </c>
      <c r="G14429" t="s">
        <v>30907</v>
      </c>
      <c r="H14429" t="s">
        <v>30916</v>
      </c>
      <c r="I14429" t="s">
        <v>31027</v>
      </c>
      <c r="J14429" t="s">
        <v>39970</v>
      </c>
      <c r="K14429" t="s">
        <v>40280</v>
      </c>
      <c r="M14429" t="s">
        <v>44708</v>
      </c>
      <c r="N14429" t="s">
        <v>44759</v>
      </c>
      <c r="O14429" t="s">
        <v>44760</v>
      </c>
      <c r="Q14429">
        <v>7</v>
      </c>
      <c r="R14429" t="s">
        <v>44821</v>
      </c>
      <c r="S14429" t="s">
        <v>46146</v>
      </c>
      <c r="T14429" t="s">
        <v>46491</v>
      </c>
      <c r="U14429" t="s">
        <v>58710</v>
      </c>
      <c r="W14429" t="s">
        <v>44708</v>
      </c>
      <c r="X14429" t="s">
        <v>44856</v>
      </c>
    </row>
    <row r="14430" spans="1:24">
      <c r="A14430">
        <f>HYPERLINK("https://www.philgeps.gov.ph/GEPSNONPILOT/Tender/SplashBidNoticeAbstractUI.aspx?menuIndex=3&amp;refID=6935705&amp;Result=3","6935705")</f>
        <v>0</v>
      </c>
      <c r="B14430" t="s">
        <v>3727</v>
      </c>
      <c r="C14430" t="s">
        <v>17489</v>
      </c>
      <c r="D14430" t="s">
        <v>17968</v>
      </c>
      <c r="E14430" t="s">
        <v>30495</v>
      </c>
      <c r="F14430" t="s">
        <v>30900</v>
      </c>
      <c r="G14430" t="s">
        <v>30907</v>
      </c>
      <c r="H14430" t="s">
        <v>30916</v>
      </c>
      <c r="I14430" t="s">
        <v>6953</v>
      </c>
      <c r="J14430" t="s">
        <v>39971</v>
      </c>
      <c r="K14430" t="s">
        <v>40292</v>
      </c>
      <c r="M14430" t="s">
        <v>44708</v>
      </c>
      <c r="N14430" t="s">
        <v>44759</v>
      </c>
      <c r="O14430" t="s">
        <v>44760</v>
      </c>
      <c r="Q14430">
        <v>9</v>
      </c>
      <c r="R14430" t="s">
        <v>44822</v>
      </c>
      <c r="S14430" t="s">
        <v>46147</v>
      </c>
      <c r="T14430" t="s">
        <v>46634</v>
      </c>
      <c r="U14430" t="s">
        <v>58711</v>
      </c>
      <c r="W14430" t="s">
        <v>44708</v>
      </c>
      <c r="X14430" t="s">
        <v>44830</v>
      </c>
    </row>
    <row r="14431" spans="1:24">
      <c r="A14431">
        <f>HYPERLINK("https://www.philgeps.gov.ph/GEPSNONPILOT/Tender/SplashBidNoticeAbstractUI.aspx?menuIndex=3&amp;refID=6957124&amp;Result=3","6957124")</f>
        <v>0</v>
      </c>
      <c r="B14431" t="s">
        <v>2872</v>
      </c>
      <c r="C14431" t="s">
        <v>17490</v>
      </c>
      <c r="E14431" t="s">
        <v>30496</v>
      </c>
      <c r="F14431" t="s">
        <v>30900</v>
      </c>
      <c r="G14431" t="s">
        <v>30907</v>
      </c>
      <c r="H14431" t="s">
        <v>30916</v>
      </c>
      <c r="I14431" t="s">
        <v>4545</v>
      </c>
      <c r="J14431" t="s">
        <v>34659</v>
      </c>
      <c r="K14431" t="s">
        <v>40289</v>
      </c>
      <c r="M14431" t="s">
        <v>43661</v>
      </c>
      <c r="N14431" t="s">
        <v>44759</v>
      </c>
      <c r="O14431" t="s">
        <v>44760</v>
      </c>
      <c r="Q14431">
        <v>16</v>
      </c>
      <c r="R14431" t="s">
        <v>44823</v>
      </c>
      <c r="S14431" t="s">
        <v>46148</v>
      </c>
      <c r="T14431" t="s">
        <v>46428</v>
      </c>
      <c r="U14431" t="s">
        <v>58712</v>
      </c>
      <c r="V14431" t="s">
        <v>60753</v>
      </c>
      <c r="W14431" t="s">
        <v>60947</v>
      </c>
      <c r="X14431" t="s">
        <v>60971</v>
      </c>
    </row>
    <row r="14432" spans="1:24">
      <c r="A14432">
        <f>HYPERLINK("https://www.philgeps.gov.ph/GEPSNONPILOT/Tender/SplashBidNoticeAbstractUI.aspx?menuIndex=3&amp;refID=6954272&amp;Result=3","6954272")</f>
        <v>0</v>
      </c>
      <c r="B14432" t="s">
        <v>3728</v>
      </c>
      <c r="C14432" t="s">
        <v>17491</v>
      </c>
      <c r="E14432" t="s">
        <v>25884</v>
      </c>
      <c r="F14432" t="s">
        <v>30899</v>
      </c>
      <c r="G14432" t="s">
        <v>30908</v>
      </c>
      <c r="H14432" t="s">
        <v>30916</v>
      </c>
      <c r="I14432" t="s">
        <v>17295</v>
      </c>
      <c r="J14432" t="s">
        <v>31183</v>
      </c>
      <c r="K14432" t="s">
        <v>40289</v>
      </c>
      <c r="M14432" t="s">
        <v>44709</v>
      </c>
      <c r="N14432" t="s">
        <v>44759</v>
      </c>
      <c r="O14432" t="s">
        <v>44760</v>
      </c>
      <c r="P14432">
        <v>0</v>
      </c>
      <c r="Q14432">
        <v>5</v>
      </c>
      <c r="R14432" t="s">
        <v>44824</v>
      </c>
      <c r="S14432" t="s">
        <v>46149</v>
      </c>
      <c r="T14432" t="s">
        <v>46942</v>
      </c>
      <c r="U14432" t="s">
        <v>58713</v>
      </c>
      <c r="W14432" t="s">
        <v>44709</v>
      </c>
      <c r="X14432" t="s">
        <v>60972</v>
      </c>
    </row>
    <row r="14433" spans="1:24">
      <c r="A14433">
        <f>HYPERLINK("https://www.philgeps.gov.ph/GEPSNONPILOT/Tender/SplashBidNoticeAbstractUI.aspx?menuIndex=3&amp;refID=6968422&amp;Result=3","6968422")</f>
        <v>0</v>
      </c>
      <c r="B14433" t="s">
        <v>2872</v>
      </c>
      <c r="C14433" t="s">
        <v>17492</v>
      </c>
      <c r="E14433" t="s">
        <v>30497</v>
      </c>
      <c r="F14433" t="s">
        <v>30900</v>
      </c>
      <c r="G14433" t="s">
        <v>30907</v>
      </c>
      <c r="H14433" t="s">
        <v>30916</v>
      </c>
      <c r="I14433" t="s">
        <v>30934</v>
      </c>
      <c r="J14433" t="s">
        <v>39972</v>
      </c>
      <c r="K14433" t="s">
        <v>40289</v>
      </c>
      <c r="M14433" t="s">
        <v>44695</v>
      </c>
      <c r="N14433" t="s">
        <v>44759</v>
      </c>
      <c r="O14433" t="s">
        <v>44760</v>
      </c>
      <c r="Q14433">
        <v>21</v>
      </c>
      <c r="R14433" t="s">
        <v>44825</v>
      </c>
      <c r="S14433" t="s">
        <v>46150</v>
      </c>
      <c r="T14433" t="s">
        <v>46428</v>
      </c>
      <c r="U14433" t="s">
        <v>58714</v>
      </c>
      <c r="W14433" t="s">
        <v>60947</v>
      </c>
      <c r="X14433" t="s">
        <v>60973</v>
      </c>
    </row>
    <row r="14434" spans="1:24">
      <c r="A14434">
        <f>HYPERLINK("https://www.philgeps.gov.ph/GEPSNONPILOT/Tender/SplashBidNoticeAbstractUI.aspx?menuIndex=3&amp;refID=7062617&amp;Result=3","7062617")</f>
        <v>0</v>
      </c>
      <c r="B14434" t="s">
        <v>805</v>
      </c>
      <c r="C14434" t="s">
        <v>17493</v>
      </c>
      <c r="D14434" t="s">
        <v>18006</v>
      </c>
      <c r="E14434" t="s">
        <v>30498</v>
      </c>
      <c r="F14434" t="s">
        <v>30900</v>
      </c>
      <c r="G14434" t="s">
        <v>30907</v>
      </c>
      <c r="H14434" t="s">
        <v>30915</v>
      </c>
      <c r="I14434" t="s">
        <v>30919</v>
      </c>
      <c r="J14434" t="s">
        <v>34537</v>
      </c>
      <c r="K14434" t="s">
        <v>40380</v>
      </c>
      <c r="M14434" t="s">
        <v>41375</v>
      </c>
      <c r="N14434" t="s">
        <v>44759</v>
      </c>
      <c r="O14434" t="s">
        <v>44760</v>
      </c>
      <c r="Q14434">
        <v>9</v>
      </c>
      <c r="R14434" t="s">
        <v>44800</v>
      </c>
      <c r="S14434" t="s">
        <v>46151</v>
      </c>
      <c r="T14434" t="s">
        <v>46352</v>
      </c>
      <c r="U14434" t="s">
        <v>58715</v>
      </c>
      <c r="V14434" t="s">
        <v>60754</v>
      </c>
      <c r="W14434" t="s">
        <v>41375</v>
      </c>
      <c r="X14434" t="s">
        <v>44803</v>
      </c>
    </row>
    <row r="14435" spans="1:24">
      <c r="A14435">
        <f>HYPERLINK("https://www.philgeps.gov.ph/GEPSNONPILOT/Tender/SplashBidNoticeAbstractUI.aspx?menuIndex=3&amp;refID=6964625&amp;Result=3","6964625")</f>
        <v>0</v>
      </c>
      <c r="B14435" t="s">
        <v>1974</v>
      </c>
      <c r="C14435" t="s">
        <v>17494</v>
      </c>
      <c r="D14435" t="s">
        <v>17985</v>
      </c>
      <c r="E14435" t="s">
        <v>30499</v>
      </c>
      <c r="F14435" t="s">
        <v>30900</v>
      </c>
      <c r="G14435" t="s">
        <v>30907</v>
      </c>
      <c r="H14435" t="s">
        <v>30915</v>
      </c>
      <c r="I14435" t="s">
        <v>31022</v>
      </c>
      <c r="J14435" t="s">
        <v>39973</v>
      </c>
      <c r="K14435" t="s">
        <v>40312</v>
      </c>
      <c r="M14435" t="s">
        <v>43005</v>
      </c>
      <c r="N14435" t="s">
        <v>44759</v>
      </c>
      <c r="O14435" t="s">
        <v>44760</v>
      </c>
      <c r="Q14435">
        <v>4</v>
      </c>
      <c r="R14435" t="s">
        <v>44826</v>
      </c>
      <c r="S14435" t="s">
        <v>46152</v>
      </c>
      <c r="T14435" t="s">
        <v>46515</v>
      </c>
      <c r="U14435" t="s">
        <v>58716</v>
      </c>
      <c r="V14435" t="s">
        <v>60755</v>
      </c>
      <c r="W14435" t="s">
        <v>43005</v>
      </c>
      <c r="X14435" t="s">
        <v>60974</v>
      </c>
    </row>
    <row r="14436" spans="1:24">
      <c r="A14436">
        <f>HYPERLINK("https://www.philgeps.gov.ph/GEPSNONPILOT/Tender/SplashBidNoticeAbstractUI.aspx?menuIndex=3&amp;refID=6970817&amp;Result=3","6970817")</f>
        <v>0</v>
      </c>
      <c r="B14436" t="s">
        <v>121</v>
      </c>
      <c r="C14436" t="s">
        <v>17495</v>
      </c>
      <c r="D14436" t="s">
        <v>17971</v>
      </c>
      <c r="E14436" t="s">
        <v>30500</v>
      </c>
      <c r="F14436" t="s">
        <v>30900</v>
      </c>
      <c r="G14436" t="s">
        <v>30908</v>
      </c>
      <c r="H14436" t="s">
        <v>30916</v>
      </c>
      <c r="I14436" t="s">
        <v>30921</v>
      </c>
      <c r="J14436" t="s">
        <v>31048</v>
      </c>
      <c r="K14436" t="s">
        <v>40283</v>
      </c>
      <c r="M14436" t="s">
        <v>40668</v>
      </c>
      <c r="N14436" t="s">
        <v>44759</v>
      </c>
      <c r="O14436" t="s">
        <v>44760</v>
      </c>
      <c r="Q14436">
        <v>4</v>
      </c>
      <c r="R14436" t="s">
        <v>44827</v>
      </c>
      <c r="S14436" t="s">
        <v>45174</v>
      </c>
      <c r="T14436" t="s">
        <v>46357</v>
      </c>
      <c r="U14436" t="s">
        <v>58717</v>
      </c>
      <c r="W14436" t="s">
        <v>40668</v>
      </c>
      <c r="X14436" t="s">
        <v>60975</v>
      </c>
    </row>
    <row r="14437" spans="1:24">
      <c r="A14437">
        <f>HYPERLINK("https://www.philgeps.gov.ph/GEPSNONPILOT/Tender/SplashBidNoticeAbstractUI.aspx?menuIndex=3&amp;refID=7062662&amp;Result=3","7062662")</f>
        <v>0</v>
      </c>
      <c r="B14437" t="s">
        <v>805</v>
      </c>
      <c r="C14437" t="s">
        <v>17496</v>
      </c>
      <c r="D14437" t="s">
        <v>18006</v>
      </c>
      <c r="E14437" t="s">
        <v>30501</v>
      </c>
      <c r="F14437" t="s">
        <v>30900</v>
      </c>
      <c r="G14437" t="s">
        <v>30907</v>
      </c>
      <c r="H14437" t="s">
        <v>30915</v>
      </c>
      <c r="I14437" t="s">
        <v>30919</v>
      </c>
      <c r="J14437" t="s">
        <v>34537</v>
      </c>
      <c r="K14437" t="s">
        <v>40380</v>
      </c>
      <c r="M14437" t="s">
        <v>41375</v>
      </c>
      <c r="N14437" t="s">
        <v>44759</v>
      </c>
      <c r="O14437" t="s">
        <v>44760</v>
      </c>
      <c r="Q14437">
        <v>7</v>
      </c>
      <c r="R14437" t="s">
        <v>44800</v>
      </c>
      <c r="S14437" t="s">
        <v>46153</v>
      </c>
      <c r="T14437" t="s">
        <v>46352</v>
      </c>
      <c r="U14437" t="s">
        <v>58718</v>
      </c>
      <c r="W14437" t="s">
        <v>41375</v>
      </c>
      <c r="X14437" t="s">
        <v>44803</v>
      </c>
    </row>
    <row r="14438" spans="1:24">
      <c r="A14438">
        <f>HYPERLINK("https://www.philgeps.gov.ph/GEPSNONPILOT/Tender/SplashBidNoticeAbstractUI.aspx?menuIndex=3&amp;refID=6977130&amp;Result=3","6977130")</f>
        <v>0</v>
      </c>
      <c r="B14438" t="s">
        <v>927</v>
      </c>
      <c r="C14438" t="s">
        <v>17497</v>
      </c>
      <c r="D14438" t="s">
        <v>18002</v>
      </c>
      <c r="E14438" t="s">
        <v>30502</v>
      </c>
      <c r="F14438" t="s">
        <v>30900</v>
      </c>
      <c r="G14438" t="s">
        <v>30907</v>
      </c>
      <c r="H14438" t="s">
        <v>30915</v>
      </c>
      <c r="I14438" t="s">
        <v>30932</v>
      </c>
      <c r="J14438" t="s">
        <v>39974</v>
      </c>
      <c r="K14438" t="s">
        <v>40292</v>
      </c>
      <c r="M14438" t="s">
        <v>41508</v>
      </c>
      <c r="N14438" t="s">
        <v>44759</v>
      </c>
      <c r="O14438" t="s">
        <v>44760</v>
      </c>
      <c r="Q14438">
        <v>10</v>
      </c>
      <c r="R14438" t="s">
        <v>44828</v>
      </c>
      <c r="S14438" t="s">
        <v>46154</v>
      </c>
      <c r="T14438" t="s">
        <v>46943</v>
      </c>
      <c r="U14438" t="s">
        <v>58719</v>
      </c>
      <c r="W14438" t="s">
        <v>41508</v>
      </c>
      <c r="X14438" t="s">
        <v>44832</v>
      </c>
    </row>
    <row r="14439" spans="1:24">
      <c r="A14439">
        <f>HYPERLINK("https://www.philgeps.gov.ph/GEPSNONPILOT/Tender/SplashBidNoticeAbstractUI.aspx?menuIndex=3&amp;refID=6977068&amp;Result=3","6977068")</f>
        <v>0</v>
      </c>
      <c r="B14439" t="s">
        <v>927</v>
      </c>
      <c r="C14439" t="s">
        <v>17498</v>
      </c>
      <c r="D14439" t="s">
        <v>18002</v>
      </c>
      <c r="E14439" t="s">
        <v>30503</v>
      </c>
      <c r="F14439" t="s">
        <v>30900</v>
      </c>
      <c r="G14439" t="s">
        <v>30907</v>
      </c>
      <c r="H14439" t="s">
        <v>30915</v>
      </c>
      <c r="I14439" t="s">
        <v>30919</v>
      </c>
      <c r="J14439" t="s">
        <v>39975</v>
      </c>
      <c r="K14439" t="s">
        <v>40304</v>
      </c>
      <c r="M14439" t="s">
        <v>41508</v>
      </c>
      <c r="N14439" t="s">
        <v>44759</v>
      </c>
      <c r="O14439" t="s">
        <v>44760</v>
      </c>
      <c r="Q14439">
        <v>6</v>
      </c>
      <c r="R14439" t="s">
        <v>44828</v>
      </c>
      <c r="S14439" t="s">
        <v>46155</v>
      </c>
      <c r="T14439" t="s">
        <v>46943</v>
      </c>
      <c r="U14439" t="s">
        <v>58720</v>
      </c>
      <c r="W14439" t="s">
        <v>41508</v>
      </c>
      <c r="X14439" t="s">
        <v>44832</v>
      </c>
    </row>
    <row r="14440" spans="1:24">
      <c r="A14440">
        <f>HYPERLINK("https://www.philgeps.gov.ph/GEPSNONPILOT/Tender/SplashBidNoticeAbstractUI.aspx?menuIndex=3&amp;refID=6977331&amp;Result=3","6977331")</f>
        <v>0</v>
      </c>
      <c r="B14440" t="s">
        <v>927</v>
      </c>
      <c r="C14440" t="s">
        <v>17499</v>
      </c>
      <c r="D14440" t="s">
        <v>18002</v>
      </c>
      <c r="E14440" t="s">
        <v>30504</v>
      </c>
      <c r="F14440" t="s">
        <v>30900</v>
      </c>
      <c r="G14440" t="s">
        <v>30907</v>
      </c>
      <c r="H14440" t="s">
        <v>30915</v>
      </c>
      <c r="I14440" t="s">
        <v>30932</v>
      </c>
      <c r="J14440" t="s">
        <v>39976</v>
      </c>
      <c r="K14440" t="s">
        <v>40292</v>
      </c>
      <c r="M14440" t="s">
        <v>41508</v>
      </c>
      <c r="N14440" t="s">
        <v>44759</v>
      </c>
      <c r="O14440" t="s">
        <v>44760</v>
      </c>
      <c r="Q14440">
        <v>9</v>
      </c>
      <c r="R14440" t="s">
        <v>44828</v>
      </c>
      <c r="S14440" t="s">
        <v>46156</v>
      </c>
      <c r="T14440" t="s">
        <v>46943</v>
      </c>
      <c r="U14440" t="s">
        <v>58721</v>
      </c>
      <c r="W14440" t="s">
        <v>41508</v>
      </c>
      <c r="X14440" t="s">
        <v>44832</v>
      </c>
    </row>
    <row r="14441" spans="1:24">
      <c r="A14441">
        <f>HYPERLINK("https://www.philgeps.gov.ph/GEPSNONPILOT/Tender/SplashBidNoticeAbstractUI.aspx?menuIndex=3&amp;refID=6976799&amp;Result=3","6976799")</f>
        <v>0</v>
      </c>
      <c r="B14441" t="s">
        <v>927</v>
      </c>
      <c r="C14441" t="s">
        <v>17500</v>
      </c>
      <c r="D14441" t="s">
        <v>18002</v>
      </c>
      <c r="E14441" t="s">
        <v>30505</v>
      </c>
      <c r="F14441" t="s">
        <v>30900</v>
      </c>
      <c r="G14441" t="s">
        <v>30907</v>
      </c>
      <c r="H14441" t="s">
        <v>30915</v>
      </c>
      <c r="I14441" t="s">
        <v>30919</v>
      </c>
      <c r="J14441" t="s">
        <v>39977</v>
      </c>
      <c r="K14441" t="s">
        <v>40304</v>
      </c>
      <c r="M14441" t="s">
        <v>41508</v>
      </c>
      <c r="N14441" t="s">
        <v>44759</v>
      </c>
      <c r="O14441" t="s">
        <v>44760</v>
      </c>
      <c r="Q14441">
        <v>6</v>
      </c>
      <c r="R14441" t="s">
        <v>44828</v>
      </c>
      <c r="S14441" t="s">
        <v>46157</v>
      </c>
      <c r="T14441" t="s">
        <v>46943</v>
      </c>
      <c r="U14441" t="s">
        <v>58722</v>
      </c>
      <c r="W14441" t="s">
        <v>41508</v>
      </c>
      <c r="X14441" t="s">
        <v>44832</v>
      </c>
    </row>
    <row r="14442" spans="1:24">
      <c r="A14442">
        <f>HYPERLINK("https://www.philgeps.gov.ph/GEPSNONPILOT/Tender/SplashBidNoticeAbstractUI.aspx?menuIndex=3&amp;refID=6976716&amp;Result=3","6976716")</f>
        <v>0</v>
      </c>
      <c r="B14442" t="s">
        <v>927</v>
      </c>
      <c r="C14442" t="s">
        <v>17501</v>
      </c>
      <c r="D14442" t="s">
        <v>18002</v>
      </c>
      <c r="E14442" t="s">
        <v>30506</v>
      </c>
      <c r="F14442" t="s">
        <v>30900</v>
      </c>
      <c r="G14442" t="s">
        <v>30907</v>
      </c>
      <c r="H14442" t="s">
        <v>30915</v>
      </c>
      <c r="I14442" t="s">
        <v>30919</v>
      </c>
      <c r="J14442" t="s">
        <v>39978</v>
      </c>
      <c r="K14442" t="s">
        <v>40304</v>
      </c>
      <c r="M14442" t="s">
        <v>41508</v>
      </c>
      <c r="N14442" t="s">
        <v>44759</v>
      </c>
      <c r="O14442" t="s">
        <v>44760</v>
      </c>
      <c r="Q14442">
        <v>8</v>
      </c>
      <c r="R14442" t="s">
        <v>44828</v>
      </c>
      <c r="S14442" t="s">
        <v>46158</v>
      </c>
      <c r="T14442" t="s">
        <v>46943</v>
      </c>
      <c r="U14442" t="s">
        <v>58723</v>
      </c>
      <c r="W14442" t="s">
        <v>41508</v>
      </c>
      <c r="X14442" t="s">
        <v>44832</v>
      </c>
    </row>
    <row r="14443" spans="1:24">
      <c r="A14443">
        <f>HYPERLINK("https://www.philgeps.gov.ph/GEPSNONPILOT/Tender/SplashBidNoticeAbstractUI.aspx?menuIndex=3&amp;refID=6979366&amp;Result=3","6979366")</f>
        <v>0</v>
      </c>
      <c r="B14443" t="s">
        <v>3729</v>
      </c>
      <c r="C14443" t="s">
        <v>17502</v>
      </c>
      <c r="D14443" t="s">
        <v>17959</v>
      </c>
      <c r="E14443" t="s">
        <v>30507</v>
      </c>
      <c r="F14443" t="s">
        <v>30900</v>
      </c>
      <c r="G14443" t="s">
        <v>30907</v>
      </c>
      <c r="H14443" t="s">
        <v>30916</v>
      </c>
      <c r="I14443" t="s">
        <v>30924</v>
      </c>
      <c r="J14443" t="s">
        <v>39979</v>
      </c>
      <c r="K14443" t="s">
        <v>40286</v>
      </c>
      <c r="M14443" t="s">
        <v>44710</v>
      </c>
      <c r="N14443" t="s">
        <v>44759</v>
      </c>
      <c r="O14443" t="s">
        <v>44760</v>
      </c>
      <c r="Q14443">
        <v>30</v>
      </c>
      <c r="R14443" t="s">
        <v>44829</v>
      </c>
      <c r="S14443" t="s">
        <v>46159</v>
      </c>
      <c r="T14443" t="s">
        <v>46944</v>
      </c>
      <c r="U14443" t="s">
        <v>58724</v>
      </c>
      <c r="W14443" t="s">
        <v>44710</v>
      </c>
      <c r="X14443" t="s">
        <v>60976</v>
      </c>
    </row>
    <row r="14444" spans="1:24">
      <c r="A14444">
        <f>HYPERLINK("https://www.philgeps.gov.ph/GEPSNONPILOT/Tender/SplashBidNoticeAbstractUI.aspx?menuIndex=3&amp;refID=6976974&amp;Result=3","6976974")</f>
        <v>0</v>
      </c>
      <c r="B14444" t="s">
        <v>927</v>
      </c>
      <c r="C14444" t="s">
        <v>17503</v>
      </c>
      <c r="D14444" t="s">
        <v>18002</v>
      </c>
      <c r="E14444" t="s">
        <v>30508</v>
      </c>
      <c r="F14444" t="s">
        <v>30900</v>
      </c>
      <c r="G14444" t="s">
        <v>30907</v>
      </c>
      <c r="H14444" t="s">
        <v>30916</v>
      </c>
      <c r="I14444" t="s">
        <v>30919</v>
      </c>
      <c r="J14444" t="s">
        <v>39980</v>
      </c>
      <c r="K14444" t="s">
        <v>40304</v>
      </c>
      <c r="M14444" t="s">
        <v>41508</v>
      </c>
      <c r="N14444" t="s">
        <v>44759</v>
      </c>
      <c r="O14444" t="s">
        <v>44760</v>
      </c>
      <c r="Q14444">
        <v>9</v>
      </c>
      <c r="R14444" t="s">
        <v>44828</v>
      </c>
      <c r="S14444" t="s">
        <v>46160</v>
      </c>
      <c r="T14444" t="s">
        <v>46943</v>
      </c>
      <c r="U14444" t="s">
        <v>58725</v>
      </c>
      <c r="W14444" t="s">
        <v>41508</v>
      </c>
      <c r="X14444" t="s">
        <v>44832</v>
      </c>
    </row>
    <row r="14445" spans="1:24">
      <c r="A14445">
        <f>HYPERLINK("https://www.philgeps.gov.ph/GEPSNONPILOT/Tender/SplashBidNoticeAbstractUI.aspx?menuIndex=3&amp;refID=6976656&amp;Result=3","6976656")</f>
        <v>0</v>
      </c>
      <c r="B14445" t="s">
        <v>927</v>
      </c>
      <c r="C14445" t="s">
        <v>17504</v>
      </c>
      <c r="D14445" t="s">
        <v>18002</v>
      </c>
      <c r="E14445" t="s">
        <v>30509</v>
      </c>
      <c r="F14445" t="s">
        <v>30900</v>
      </c>
      <c r="G14445" t="s">
        <v>30907</v>
      </c>
      <c r="H14445" t="s">
        <v>30915</v>
      </c>
      <c r="I14445" t="s">
        <v>30919</v>
      </c>
      <c r="J14445" t="s">
        <v>39981</v>
      </c>
      <c r="K14445" t="s">
        <v>40304</v>
      </c>
      <c r="M14445" t="s">
        <v>41508</v>
      </c>
      <c r="N14445" t="s">
        <v>44759</v>
      </c>
      <c r="O14445" t="s">
        <v>44760</v>
      </c>
      <c r="Q14445">
        <v>12</v>
      </c>
      <c r="R14445" t="s">
        <v>44828</v>
      </c>
      <c r="S14445" t="s">
        <v>46161</v>
      </c>
      <c r="T14445" t="s">
        <v>46943</v>
      </c>
      <c r="U14445" t="s">
        <v>58726</v>
      </c>
      <c r="W14445" t="s">
        <v>41508</v>
      </c>
      <c r="X14445" t="s">
        <v>44832</v>
      </c>
    </row>
    <row r="14446" spans="1:24">
      <c r="A14446">
        <f>HYPERLINK("https://www.philgeps.gov.ph/GEPSNONPILOT/Tender/SplashBidNoticeAbstractUI.aspx?menuIndex=3&amp;refID=6932470&amp;Result=3","6932470")</f>
        <v>0</v>
      </c>
      <c r="B14446" t="s">
        <v>1181</v>
      </c>
      <c r="C14446" t="s">
        <v>17505</v>
      </c>
      <c r="D14446" t="s">
        <v>17959</v>
      </c>
      <c r="E14446" t="s">
        <v>30510</v>
      </c>
      <c r="F14446" t="s">
        <v>30900</v>
      </c>
      <c r="G14446" t="s">
        <v>30907</v>
      </c>
      <c r="H14446" t="s">
        <v>30916</v>
      </c>
      <c r="I14446" t="s">
        <v>4108</v>
      </c>
      <c r="J14446" t="s">
        <v>39982</v>
      </c>
      <c r="K14446" t="s">
        <v>40289</v>
      </c>
      <c r="M14446" t="s">
        <v>41790</v>
      </c>
      <c r="N14446" t="s">
        <v>44759</v>
      </c>
      <c r="O14446" t="s">
        <v>44760</v>
      </c>
      <c r="Q14446">
        <v>11</v>
      </c>
      <c r="R14446" t="s">
        <v>44830</v>
      </c>
      <c r="S14446" t="s">
        <v>46162</v>
      </c>
      <c r="T14446" t="s">
        <v>46569</v>
      </c>
      <c r="U14446" t="s">
        <v>58727</v>
      </c>
      <c r="W14446" t="s">
        <v>41790</v>
      </c>
      <c r="X14446" t="s">
        <v>44856</v>
      </c>
    </row>
    <row r="14447" spans="1:24">
      <c r="A14447">
        <f>HYPERLINK("https://www.philgeps.gov.ph/GEPSNONPILOT/Tender/SplashBidNoticeAbstractUI.aspx?menuIndex=3&amp;refID=6932514&amp;Result=3","6932514")</f>
        <v>0</v>
      </c>
      <c r="B14447" t="s">
        <v>3727</v>
      </c>
      <c r="C14447" t="s">
        <v>17506</v>
      </c>
      <c r="E14447" t="s">
        <v>30511</v>
      </c>
      <c r="F14447" t="s">
        <v>30900</v>
      </c>
      <c r="G14447" t="s">
        <v>30907</v>
      </c>
      <c r="H14447" t="s">
        <v>30916</v>
      </c>
      <c r="I14447" t="s">
        <v>31027</v>
      </c>
      <c r="J14447" t="s">
        <v>39983</v>
      </c>
      <c r="K14447" t="s">
        <v>40304</v>
      </c>
      <c r="M14447" t="s">
        <v>44708</v>
      </c>
      <c r="N14447" t="s">
        <v>44759</v>
      </c>
      <c r="O14447" t="s">
        <v>44760</v>
      </c>
      <c r="Q14447">
        <v>21</v>
      </c>
      <c r="R14447" t="s">
        <v>44830</v>
      </c>
      <c r="S14447" t="s">
        <v>46163</v>
      </c>
      <c r="T14447" t="s">
        <v>46520</v>
      </c>
      <c r="U14447" t="s">
        <v>58728</v>
      </c>
      <c r="W14447" t="s">
        <v>44708</v>
      </c>
      <c r="X14447" t="s">
        <v>44856</v>
      </c>
    </row>
    <row r="14448" spans="1:24">
      <c r="A14448">
        <f>HYPERLINK("https://www.philgeps.gov.ph/GEPSNONPILOT/Tender/SplashBidNoticeAbstractUI.aspx?menuIndex=3&amp;refID=6932268&amp;Result=3","6932268")</f>
        <v>0</v>
      </c>
      <c r="B14448" t="s">
        <v>1689</v>
      </c>
      <c r="C14448" t="s">
        <v>17507</v>
      </c>
      <c r="D14448" t="s">
        <v>17952</v>
      </c>
      <c r="E14448" t="s">
        <v>18883</v>
      </c>
      <c r="F14448" t="s">
        <v>30900</v>
      </c>
      <c r="G14448" t="s">
        <v>30909</v>
      </c>
      <c r="H14448" t="s">
        <v>30916</v>
      </c>
      <c r="I14448" t="s">
        <v>4142</v>
      </c>
      <c r="J14448" t="s">
        <v>39984</v>
      </c>
      <c r="K14448" t="s">
        <v>40289</v>
      </c>
      <c r="M14448" t="s">
        <v>42349</v>
      </c>
      <c r="N14448" t="s">
        <v>44759</v>
      </c>
      <c r="O14448" t="s">
        <v>44760</v>
      </c>
      <c r="Q14448">
        <v>0</v>
      </c>
      <c r="R14448" t="s">
        <v>44830</v>
      </c>
      <c r="S14448" t="s">
        <v>46164</v>
      </c>
      <c r="T14448" t="s">
        <v>46390</v>
      </c>
      <c r="U14448" t="s">
        <v>58729</v>
      </c>
      <c r="V14448" t="s">
        <v>59598</v>
      </c>
      <c r="W14448" t="s">
        <v>42349</v>
      </c>
      <c r="X14448" t="s">
        <v>44856</v>
      </c>
    </row>
    <row r="14449" spans="1:24">
      <c r="A14449">
        <f>HYPERLINK("https://www.philgeps.gov.ph/GEPSNONPILOT/Tender/SplashBidNoticeAbstractUI.aspx?menuIndex=3&amp;refID=6932115&amp;Result=3","6932115")</f>
        <v>0</v>
      </c>
      <c r="B14449" t="s">
        <v>3569</v>
      </c>
      <c r="C14449" t="s">
        <v>17508</v>
      </c>
      <c r="D14449" t="s">
        <v>17996</v>
      </c>
      <c r="E14449" t="s">
        <v>30512</v>
      </c>
      <c r="F14449" t="s">
        <v>30900</v>
      </c>
      <c r="G14449" t="s">
        <v>30907</v>
      </c>
      <c r="H14449" t="s">
        <v>30915</v>
      </c>
      <c r="I14449" t="s">
        <v>30919</v>
      </c>
      <c r="J14449" t="s">
        <v>35651</v>
      </c>
      <c r="K14449" t="s">
        <v>40301</v>
      </c>
      <c r="M14449" t="s">
        <v>44493</v>
      </c>
      <c r="N14449" t="s">
        <v>44759</v>
      </c>
      <c r="O14449" t="s">
        <v>44760</v>
      </c>
      <c r="Q14449">
        <v>11</v>
      </c>
      <c r="R14449" t="s">
        <v>44830</v>
      </c>
      <c r="S14449" t="s">
        <v>46165</v>
      </c>
      <c r="T14449" t="s">
        <v>46389</v>
      </c>
      <c r="U14449" t="s">
        <v>58730</v>
      </c>
      <c r="W14449" t="s">
        <v>44493</v>
      </c>
      <c r="X14449" t="s">
        <v>44856</v>
      </c>
    </row>
    <row r="14450" spans="1:24">
      <c r="A14450">
        <f>HYPERLINK("https://www.philgeps.gov.ph/GEPSNONPILOT/Tender/SplashBidNoticeAbstractUI.aspx?menuIndex=3&amp;refID=6932005&amp;Result=3","6932005")</f>
        <v>0</v>
      </c>
      <c r="B14450" t="s">
        <v>1689</v>
      </c>
      <c r="C14450" t="s">
        <v>17509</v>
      </c>
      <c r="D14450" t="s">
        <v>17952</v>
      </c>
      <c r="E14450" t="s">
        <v>22019</v>
      </c>
      <c r="F14450" t="s">
        <v>30900</v>
      </c>
      <c r="G14450" t="s">
        <v>30909</v>
      </c>
      <c r="H14450" t="s">
        <v>30916</v>
      </c>
      <c r="I14450" t="s">
        <v>9385</v>
      </c>
      <c r="J14450" t="s">
        <v>31555</v>
      </c>
      <c r="K14450" t="s">
        <v>40289</v>
      </c>
      <c r="M14450" t="s">
        <v>42349</v>
      </c>
      <c r="N14450" t="s">
        <v>44759</v>
      </c>
      <c r="O14450" t="s">
        <v>44760</v>
      </c>
      <c r="Q14450">
        <v>8</v>
      </c>
      <c r="R14450" t="s">
        <v>44830</v>
      </c>
      <c r="S14450" t="s">
        <v>46166</v>
      </c>
      <c r="T14450" t="s">
        <v>46391</v>
      </c>
      <c r="U14450" t="s">
        <v>58731</v>
      </c>
      <c r="V14450" t="s">
        <v>59598</v>
      </c>
      <c r="W14450" t="s">
        <v>42349</v>
      </c>
      <c r="X14450" t="s">
        <v>44856</v>
      </c>
    </row>
    <row r="14451" spans="1:24">
      <c r="A14451">
        <f>HYPERLINK("https://www.philgeps.gov.ph/GEPSNONPILOT/Tender/SplashBidNoticeAbstractUI.aspx?menuIndex=3&amp;refID=6935839&amp;Result=3","6935839")</f>
        <v>0</v>
      </c>
      <c r="B14451" t="s">
        <v>3727</v>
      </c>
      <c r="C14451" t="s">
        <v>17510</v>
      </c>
      <c r="D14451" t="s">
        <v>17959</v>
      </c>
      <c r="E14451" t="s">
        <v>30513</v>
      </c>
      <c r="F14451" t="s">
        <v>30900</v>
      </c>
      <c r="G14451" t="s">
        <v>30907</v>
      </c>
      <c r="H14451" t="s">
        <v>30916</v>
      </c>
      <c r="I14451" t="s">
        <v>30929</v>
      </c>
      <c r="J14451" t="s">
        <v>39985</v>
      </c>
      <c r="K14451" t="s">
        <v>40292</v>
      </c>
      <c r="M14451" t="s">
        <v>44708</v>
      </c>
      <c r="N14451" t="s">
        <v>44759</v>
      </c>
      <c r="O14451" t="s">
        <v>44760</v>
      </c>
      <c r="Q14451">
        <v>14</v>
      </c>
      <c r="R14451" t="s">
        <v>44831</v>
      </c>
      <c r="S14451" t="s">
        <v>46167</v>
      </c>
      <c r="T14451" t="s">
        <v>46377</v>
      </c>
      <c r="U14451" t="s">
        <v>58732</v>
      </c>
      <c r="W14451" t="s">
        <v>44708</v>
      </c>
      <c r="X14451" t="s">
        <v>44830</v>
      </c>
    </row>
    <row r="14452" spans="1:24">
      <c r="A14452">
        <f>HYPERLINK("https://www.philgeps.gov.ph/GEPSNONPILOT/Tender/SplashBidNoticeAbstractUI.aspx?menuIndex=3&amp;refID=6936060&amp;Result=3","6936060")</f>
        <v>0</v>
      </c>
      <c r="B14452" t="s">
        <v>3727</v>
      </c>
      <c r="C14452" t="s">
        <v>17511</v>
      </c>
      <c r="D14452" t="s">
        <v>17959</v>
      </c>
      <c r="E14452" t="s">
        <v>30514</v>
      </c>
      <c r="F14452" t="s">
        <v>30900</v>
      </c>
      <c r="G14452" t="s">
        <v>30907</v>
      </c>
      <c r="H14452" t="s">
        <v>30916</v>
      </c>
      <c r="I14452" t="s">
        <v>30929</v>
      </c>
      <c r="J14452" t="s">
        <v>39986</v>
      </c>
      <c r="K14452" t="s">
        <v>40292</v>
      </c>
      <c r="M14452" t="s">
        <v>44708</v>
      </c>
      <c r="N14452" t="s">
        <v>44759</v>
      </c>
      <c r="O14452" t="s">
        <v>44760</v>
      </c>
      <c r="Q14452">
        <v>15</v>
      </c>
      <c r="R14452" t="s">
        <v>44831</v>
      </c>
      <c r="S14452" t="s">
        <v>46168</v>
      </c>
      <c r="T14452" t="s">
        <v>46427</v>
      </c>
      <c r="U14452" t="s">
        <v>58733</v>
      </c>
      <c r="W14452" t="s">
        <v>44708</v>
      </c>
      <c r="X14452" t="s">
        <v>44830</v>
      </c>
    </row>
    <row r="14453" spans="1:24">
      <c r="A14453">
        <f>HYPERLINK("https://www.philgeps.gov.ph/GEPSNONPILOT/Tender/SplashBidNoticeAbstractUI.aspx?menuIndex=3&amp;refID=6975651&amp;Result=3","6975651")</f>
        <v>0</v>
      </c>
      <c r="B14453" t="s">
        <v>331</v>
      </c>
      <c r="C14453" t="s">
        <v>17512</v>
      </c>
      <c r="D14453" t="s">
        <v>18004</v>
      </c>
      <c r="E14453" t="s">
        <v>30515</v>
      </c>
      <c r="F14453" t="s">
        <v>30900</v>
      </c>
      <c r="G14453" t="s">
        <v>30908</v>
      </c>
      <c r="H14453" t="s">
        <v>30916</v>
      </c>
      <c r="I14453" t="s">
        <v>4545</v>
      </c>
      <c r="J14453" t="s">
        <v>31092</v>
      </c>
      <c r="K14453" t="s">
        <v>40292</v>
      </c>
      <c r="M14453" t="s">
        <v>40882</v>
      </c>
      <c r="N14453" t="s">
        <v>44759</v>
      </c>
      <c r="O14453" t="s">
        <v>44760</v>
      </c>
      <c r="P14453">
        <v>0</v>
      </c>
      <c r="Q14453">
        <v>1</v>
      </c>
      <c r="R14453" t="s">
        <v>44832</v>
      </c>
      <c r="S14453" t="s">
        <v>46169</v>
      </c>
      <c r="T14453" t="s">
        <v>46945</v>
      </c>
      <c r="U14453" t="s">
        <v>47469</v>
      </c>
      <c r="W14453" t="s">
        <v>40882</v>
      </c>
      <c r="X14453" t="s">
        <v>60977</v>
      </c>
    </row>
    <row r="14454" spans="1:24">
      <c r="A14454">
        <f>HYPERLINK("https://www.philgeps.gov.ph/GEPSNONPILOT/Tender/SplashBidNoticeAbstractUI.aspx?menuIndex=3&amp;refID=6936028&amp;Result=3","6936028")</f>
        <v>0</v>
      </c>
      <c r="B14454" t="s">
        <v>3730</v>
      </c>
      <c r="C14454" t="s">
        <v>17513</v>
      </c>
      <c r="D14454" t="s">
        <v>18025</v>
      </c>
      <c r="E14454" t="s">
        <v>30516</v>
      </c>
      <c r="F14454" t="s">
        <v>30900</v>
      </c>
      <c r="G14454" t="s">
        <v>30913</v>
      </c>
      <c r="H14454" t="s">
        <v>30917</v>
      </c>
      <c r="I14454" t="s">
        <v>30928</v>
      </c>
      <c r="J14454" t="s">
        <v>32324</v>
      </c>
      <c r="K14454" t="s">
        <v>40304</v>
      </c>
      <c r="M14454" t="s">
        <v>44711</v>
      </c>
      <c r="N14454" t="s">
        <v>44759</v>
      </c>
      <c r="O14454" t="s">
        <v>44760</v>
      </c>
      <c r="Q14454">
        <v>25</v>
      </c>
      <c r="R14454" t="s">
        <v>44831</v>
      </c>
      <c r="S14454" t="s">
        <v>45557</v>
      </c>
      <c r="T14454" t="s">
        <v>46369</v>
      </c>
      <c r="U14454" t="s">
        <v>58734</v>
      </c>
      <c r="W14454" t="s">
        <v>44711</v>
      </c>
      <c r="X14454" t="s">
        <v>44830</v>
      </c>
    </row>
    <row r="14455" spans="1:24">
      <c r="A14455">
        <f>HYPERLINK("https://www.philgeps.gov.ph/GEPSNONPILOT/Tender/SplashBidNoticeAbstractUI.aspx?menuIndex=3&amp;refID=6935605&amp;Result=3","6935605")</f>
        <v>0</v>
      </c>
      <c r="B14455" t="s">
        <v>3727</v>
      </c>
      <c r="C14455" t="s">
        <v>17514</v>
      </c>
      <c r="D14455" t="s">
        <v>17959</v>
      </c>
      <c r="E14455" t="s">
        <v>30517</v>
      </c>
      <c r="F14455" t="s">
        <v>30900</v>
      </c>
      <c r="G14455" t="s">
        <v>30907</v>
      </c>
      <c r="H14455" t="s">
        <v>30916</v>
      </c>
      <c r="I14455" t="s">
        <v>31027</v>
      </c>
      <c r="J14455" t="s">
        <v>39987</v>
      </c>
      <c r="K14455" t="s">
        <v>40342</v>
      </c>
      <c r="M14455" t="s">
        <v>44708</v>
      </c>
      <c r="N14455" t="s">
        <v>44759</v>
      </c>
      <c r="O14455" t="s">
        <v>44760</v>
      </c>
      <c r="Q14455">
        <v>15</v>
      </c>
      <c r="R14455" t="s">
        <v>44833</v>
      </c>
      <c r="S14455" t="s">
        <v>46170</v>
      </c>
      <c r="T14455" t="s">
        <v>46946</v>
      </c>
      <c r="U14455" t="s">
        <v>58735</v>
      </c>
      <c r="W14455" t="s">
        <v>44708</v>
      </c>
      <c r="X14455" t="s">
        <v>44830</v>
      </c>
    </row>
    <row r="14456" spans="1:24">
      <c r="A14456">
        <f>HYPERLINK("https://www.philgeps.gov.ph/GEPSNONPILOT/Tender/SplashBidNoticeAbstractUI.aspx?menuIndex=3&amp;refID=6938004&amp;Result=3","6938004")</f>
        <v>0</v>
      </c>
      <c r="B14456" t="s">
        <v>1232</v>
      </c>
      <c r="C14456" t="s">
        <v>17515</v>
      </c>
      <c r="D14456" t="s">
        <v>17969</v>
      </c>
      <c r="E14456" t="s">
        <v>30518</v>
      </c>
      <c r="F14456" t="s">
        <v>30900</v>
      </c>
      <c r="G14456" t="s">
        <v>30908</v>
      </c>
      <c r="H14456" t="s">
        <v>30916</v>
      </c>
      <c r="I14456" t="s">
        <v>30950</v>
      </c>
      <c r="J14456" t="s">
        <v>31049</v>
      </c>
      <c r="K14456" t="s">
        <v>40291</v>
      </c>
      <c r="M14456" t="s">
        <v>41844</v>
      </c>
      <c r="N14456" t="s">
        <v>44759</v>
      </c>
      <c r="O14456" t="s">
        <v>44760</v>
      </c>
      <c r="Q14456">
        <v>1</v>
      </c>
      <c r="R14456" t="s">
        <v>44834</v>
      </c>
      <c r="S14456" t="s">
        <v>45396</v>
      </c>
      <c r="T14456" t="s">
        <v>46428</v>
      </c>
      <c r="U14456" t="s">
        <v>58736</v>
      </c>
      <c r="W14456" t="s">
        <v>41844</v>
      </c>
      <c r="X14456" t="s">
        <v>44831</v>
      </c>
    </row>
    <row r="14457" spans="1:24">
      <c r="A14457">
        <f>HYPERLINK("https://www.philgeps.gov.ph/GEPSNONPILOT/Tender/SplashBidNoticeAbstractUI.aspx?menuIndex=3&amp;refID=6935753&amp;Result=3","6935753")</f>
        <v>0</v>
      </c>
      <c r="B14457" t="s">
        <v>2872</v>
      </c>
      <c r="C14457" t="s">
        <v>17516</v>
      </c>
      <c r="E14457" t="s">
        <v>30519</v>
      </c>
      <c r="F14457" t="s">
        <v>30900</v>
      </c>
      <c r="G14457" t="s">
        <v>30907</v>
      </c>
      <c r="H14457" t="s">
        <v>30916</v>
      </c>
      <c r="I14457" t="s">
        <v>30924</v>
      </c>
      <c r="J14457" t="s">
        <v>39988</v>
      </c>
      <c r="K14457" t="s">
        <v>40289</v>
      </c>
      <c r="M14457" t="s">
        <v>43661</v>
      </c>
      <c r="N14457" t="s">
        <v>44759</v>
      </c>
      <c r="O14457" t="s">
        <v>44760</v>
      </c>
      <c r="Q14457">
        <v>7</v>
      </c>
      <c r="R14457" t="s">
        <v>44831</v>
      </c>
      <c r="S14457" t="s">
        <v>46171</v>
      </c>
      <c r="T14457" t="s">
        <v>46414</v>
      </c>
      <c r="U14457" t="s">
        <v>58737</v>
      </c>
      <c r="V14457" t="s">
        <v>60756</v>
      </c>
      <c r="W14457" t="s">
        <v>60948</v>
      </c>
      <c r="X14457" t="s">
        <v>44830</v>
      </c>
    </row>
    <row r="14458" spans="1:24">
      <c r="A14458">
        <f>HYPERLINK("https://www.philgeps.gov.ph/GEPSNONPILOT/Tender/SplashBidNoticeAbstractUI.aspx?menuIndex=3&amp;refID=6942382&amp;Result=3","6942382")</f>
        <v>0</v>
      </c>
      <c r="B14458" t="s">
        <v>242</v>
      </c>
      <c r="C14458" t="s">
        <v>17517</v>
      </c>
      <c r="D14458" t="s">
        <v>17993</v>
      </c>
      <c r="E14458" t="s">
        <v>30520</v>
      </c>
      <c r="F14458" t="s">
        <v>30900</v>
      </c>
      <c r="G14458" t="s">
        <v>30907</v>
      </c>
      <c r="H14458" t="s">
        <v>30915</v>
      </c>
      <c r="I14458" t="s">
        <v>30919</v>
      </c>
      <c r="J14458" t="s">
        <v>39989</v>
      </c>
      <c r="K14458" t="s">
        <v>40395</v>
      </c>
      <c r="M14458" t="s">
        <v>40789</v>
      </c>
      <c r="N14458" t="s">
        <v>44759</v>
      </c>
      <c r="O14458" t="s">
        <v>44760</v>
      </c>
      <c r="Q14458">
        <v>11</v>
      </c>
      <c r="R14458" t="s">
        <v>44821</v>
      </c>
      <c r="S14458" t="s">
        <v>46172</v>
      </c>
      <c r="T14458" t="s">
        <v>46584</v>
      </c>
      <c r="U14458" t="s">
        <v>58738</v>
      </c>
      <c r="W14458" t="s">
        <v>40789</v>
      </c>
      <c r="X14458" t="s">
        <v>44833</v>
      </c>
    </row>
    <row r="14459" spans="1:24">
      <c r="A14459">
        <f>HYPERLINK("https://www.philgeps.gov.ph/GEPSNONPILOT/Tender/SplashBidNoticeAbstractUI.aspx?menuIndex=3&amp;refID=6942354&amp;Result=3","6942354")</f>
        <v>0</v>
      </c>
      <c r="B14459" t="s">
        <v>242</v>
      </c>
      <c r="C14459" t="s">
        <v>17518</v>
      </c>
      <c r="D14459" t="s">
        <v>17993</v>
      </c>
      <c r="E14459" t="s">
        <v>30521</v>
      </c>
      <c r="F14459" t="s">
        <v>30900</v>
      </c>
      <c r="G14459" t="s">
        <v>30907</v>
      </c>
      <c r="H14459" t="s">
        <v>30915</v>
      </c>
      <c r="I14459" t="s">
        <v>30919</v>
      </c>
      <c r="J14459" t="s">
        <v>33175</v>
      </c>
      <c r="K14459" t="s">
        <v>40312</v>
      </c>
      <c r="M14459" t="s">
        <v>40789</v>
      </c>
      <c r="N14459" t="s">
        <v>44759</v>
      </c>
      <c r="O14459" t="s">
        <v>44760</v>
      </c>
      <c r="Q14459">
        <v>6</v>
      </c>
      <c r="R14459" t="s">
        <v>44821</v>
      </c>
      <c r="S14459" t="s">
        <v>46173</v>
      </c>
      <c r="T14459" t="s">
        <v>46702</v>
      </c>
      <c r="U14459" t="s">
        <v>58739</v>
      </c>
      <c r="W14459" t="s">
        <v>40789</v>
      </c>
      <c r="X14459" t="s">
        <v>44833</v>
      </c>
    </row>
    <row r="14460" spans="1:24">
      <c r="A14460">
        <f>HYPERLINK("https://www.philgeps.gov.ph/GEPSNONPILOT/Tender/SplashBidNoticeAbstractUI.aspx?menuIndex=3&amp;refID=6935391&amp;Result=3","6935391")</f>
        <v>0</v>
      </c>
      <c r="B14460" t="s">
        <v>3727</v>
      </c>
      <c r="C14460" t="s">
        <v>17519</v>
      </c>
      <c r="D14460" t="s">
        <v>17959</v>
      </c>
      <c r="E14460" t="s">
        <v>30522</v>
      </c>
      <c r="F14460" t="s">
        <v>30900</v>
      </c>
      <c r="G14460" t="s">
        <v>30907</v>
      </c>
      <c r="H14460" t="s">
        <v>30916</v>
      </c>
      <c r="I14460" t="s">
        <v>31027</v>
      </c>
      <c r="J14460" t="s">
        <v>39990</v>
      </c>
      <c r="K14460" t="s">
        <v>40292</v>
      </c>
      <c r="M14460" t="s">
        <v>44708</v>
      </c>
      <c r="N14460" t="s">
        <v>44759</v>
      </c>
      <c r="O14460" t="s">
        <v>44760</v>
      </c>
      <c r="Q14460">
        <v>17</v>
      </c>
      <c r="R14460" t="s">
        <v>44831</v>
      </c>
      <c r="S14460" t="s">
        <v>46174</v>
      </c>
      <c r="T14460" t="s">
        <v>46392</v>
      </c>
      <c r="U14460" t="s">
        <v>58740</v>
      </c>
      <c r="W14460" t="s">
        <v>44708</v>
      </c>
      <c r="X14460" t="s">
        <v>44830</v>
      </c>
    </row>
    <row r="14461" spans="1:24">
      <c r="A14461">
        <f>HYPERLINK("https://www.philgeps.gov.ph/GEPSNONPILOT/Tender/SplashBidNoticeAbstractUI.aspx?menuIndex=3&amp;refID=6905733&amp;Result=3","6905733")</f>
        <v>0</v>
      </c>
      <c r="B14461" t="s">
        <v>2973</v>
      </c>
      <c r="C14461" t="s">
        <v>17520</v>
      </c>
      <c r="D14461" t="s">
        <v>17993</v>
      </c>
      <c r="E14461" t="s">
        <v>26219</v>
      </c>
      <c r="F14461" t="s">
        <v>30900</v>
      </c>
      <c r="G14461" t="s">
        <v>30907</v>
      </c>
      <c r="H14461" t="s">
        <v>30915</v>
      </c>
      <c r="I14461" t="s">
        <v>30919</v>
      </c>
      <c r="J14461" t="s">
        <v>32125</v>
      </c>
      <c r="K14461" t="s">
        <v>40382</v>
      </c>
      <c r="M14461" t="s">
        <v>43775</v>
      </c>
      <c r="N14461" t="s">
        <v>44759</v>
      </c>
      <c r="O14461" t="s">
        <v>44760</v>
      </c>
      <c r="Q14461">
        <v>2</v>
      </c>
      <c r="R14461" t="s">
        <v>44835</v>
      </c>
      <c r="S14461" t="s">
        <v>46175</v>
      </c>
      <c r="T14461" t="s">
        <v>46947</v>
      </c>
      <c r="U14461" t="s">
        <v>58741</v>
      </c>
      <c r="W14461" t="s">
        <v>43775</v>
      </c>
      <c r="X14461" t="s">
        <v>44841</v>
      </c>
    </row>
    <row r="14462" spans="1:24">
      <c r="A14462">
        <f>HYPERLINK("https://www.philgeps.gov.ph/GEPSNONPILOT/Tender/SplashBidNoticeAbstractUI.aspx?menuIndex=3&amp;refID=6968335&amp;Result=3","6968335")</f>
        <v>0</v>
      </c>
      <c r="B14462" t="s">
        <v>2872</v>
      </c>
      <c r="C14462" t="s">
        <v>17521</v>
      </c>
      <c r="E14462" t="s">
        <v>30523</v>
      </c>
      <c r="F14462" t="s">
        <v>30900</v>
      </c>
      <c r="G14462" t="s">
        <v>30907</v>
      </c>
      <c r="H14462" t="s">
        <v>30916</v>
      </c>
      <c r="I14462" t="s">
        <v>6396</v>
      </c>
      <c r="J14462" t="s">
        <v>39991</v>
      </c>
      <c r="K14462" t="s">
        <v>40289</v>
      </c>
      <c r="M14462" t="s">
        <v>43661</v>
      </c>
      <c r="N14462" t="s">
        <v>44759</v>
      </c>
      <c r="O14462" t="s">
        <v>44760</v>
      </c>
      <c r="Q14462">
        <v>11</v>
      </c>
      <c r="R14462" t="s">
        <v>44825</v>
      </c>
      <c r="S14462" t="s">
        <v>46176</v>
      </c>
      <c r="T14462" t="s">
        <v>46428</v>
      </c>
      <c r="U14462" t="s">
        <v>58742</v>
      </c>
      <c r="V14462" t="s">
        <v>60757</v>
      </c>
      <c r="W14462" t="s">
        <v>60947</v>
      </c>
      <c r="X14462" t="s">
        <v>60973</v>
      </c>
    </row>
    <row r="14463" spans="1:24">
      <c r="A14463">
        <f>HYPERLINK("https://www.philgeps.gov.ph/GEPSNONPILOT/Tender/SplashBidNoticeAbstractUI.aspx?menuIndex=3&amp;refID=6911491&amp;Result=3","6911491")</f>
        <v>0</v>
      </c>
      <c r="B14463" t="s">
        <v>3731</v>
      </c>
      <c r="C14463" t="s">
        <v>17522</v>
      </c>
      <c r="D14463" t="s">
        <v>17973</v>
      </c>
      <c r="E14463" t="s">
        <v>30524</v>
      </c>
      <c r="F14463" t="s">
        <v>30900</v>
      </c>
      <c r="G14463" t="s">
        <v>30908</v>
      </c>
      <c r="H14463" t="s">
        <v>30916</v>
      </c>
      <c r="I14463" t="s">
        <v>8123</v>
      </c>
      <c r="J14463" t="s">
        <v>39992</v>
      </c>
      <c r="K14463" t="s">
        <v>40283</v>
      </c>
      <c r="M14463" t="s">
        <v>44712</v>
      </c>
      <c r="N14463" t="s">
        <v>44759</v>
      </c>
      <c r="O14463" t="s">
        <v>44760</v>
      </c>
      <c r="Q14463">
        <v>0</v>
      </c>
      <c r="R14463" t="s">
        <v>44836</v>
      </c>
      <c r="S14463" t="s">
        <v>45548</v>
      </c>
      <c r="T14463" t="s">
        <v>46459</v>
      </c>
      <c r="U14463" t="s">
        <v>58743</v>
      </c>
      <c r="W14463" t="s">
        <v>44712</v>
      </c>
      <c r="X14463" t="s">
        <v>44835</v>
      </c>
    </row>
    <row r="14464" spans="1:24">
      <c r="A14464">
        <f>HYPERLINK("https://www.philgeps.gov.ph/GEPSNONPILOT/Tender/SplashBidNoticeAbstractUI.aspx?menuIndex=3&amp;refID=6905855&amp;Result=3","6905855")</f>
        <v>0</v>
      </c>
      <c r="B14464" t="s">
        <v>2973</v>
      </c>
      <c r="C14464" t="s">
        <v>17523</v>
      </c>
      <c r="D14464" t="s">
        <v>17993</v>
      </c>
      <c r="E14464" t="s">
        <v>26219</v>
      </c>
      <c r="F14464" t="s">
        <v>30900</v>
      </c>
      <c r="G14464" t="s">
        <v>30907</v>
      </c>
      <c r="H14464" t="s">
        <v>30915</v>
      </c>
      <c r="I14464" t="s">
        <v>30919</v>
      </c>
      <c r="J14464" t="s">
        <v>39993</v>
      </c>
      <c r="K14464" t="s">
        <v>40386</v>
      </c>
      <c r="M14464" t="s">
        <v>43775</v>
      </c>
      <c r="N14464" t="s">
        <v>44759</v>
      </c>
      <c r="O14464" t="s">
        <v>44760</v>
      </c>
      <c r="Q14464">
        <v>4</v>
      </c>
      <c r="R14464" t="s">
        <v>44835</v>
      </c>
      <c r="S14464" t="s">
        <v>46177</v>
      </c>
      <c r="T14464" t="s">
        <v>46947</v>
      </c>
      <c r="U14464" t="s">
        <v>58744</v>
      </c>
      <c r="W14464" t="s">
        <v>43775</v>
      </c>
      <c r="X14464" t="s">
        <v>44841</v>
      </c>
    </row>
    <row r="14465" spans="1:24">
      <c r="A14465">
        <f>HYPERLINK("https://www.philgeps.gov.ph/GEPSNONPILOT/Tender/SplashBidNoticeAbstractUI.aspx?menuIndex=3&amp;refID=6911398&amp;Result=3","6911398")</f>
        <v>0</v>
      </c>
      <c r="B14465" t="s">
        <v>1232</v>
      </c>
      <c r="C14465" t="s">
        <v>17524</v>
      </c>
      <c r="D14465" t="s">
        <v>17969</v>
      </c>
      <c r="E14465" t="s">
        <v>30525</v>
      </c>
      <c r="F14465" t="s">
        <v>30900</v>
      </c>
      <c r="G14465" t="s">
        <v>30908</v>
      </c>
      <c r="H14465" t="s">
        <v>30916</v>
      </c>
      <c r="I14465" t="s">
        <v>30942</v>
      </c>
      <c r="J14465" t="s">
        <v>31043</v>
      </c>
      <c r="K14465" t="s">
        <v>40286</v>
      </c>
      <c r="M14465" t="s">
        <v>41844</v>
      </c>
      <c r="N14465" t="s">
        <v>44759</v>
      </c>
      <c r="O14465" t="s">
        <v>44760</v>
      </c>
      <c r="Q14465">
        <v>0</v>
      </c>
      <c r="R14465" t="s">
        <v>44836</v>
      </c>
      <c r="S14465" t="s">
        <v>45396</v>
      </c>
      <c r="T14465" t="s">
        <v>46428</v>
      </c>
      <c r="U14465" t="s">
        <v>58745</v>
      </c>
      <c r="W14465" t="s">
        <v>41844</v>
      </c>
      <c r="X14465" t="s">
        <v>44835</v>
      </c>
    </row>
    <row r="14466" spans="1:24">
      <c r="A14466">
        <f>HYPERLINK("https://www.philgeps.gov.ph/GEPSNONPILOT/Tender/SplashBidNoticeAbstractUI.aspx?menuIndex=3&amp;refID=6957098&amp;Result=3","6957098")</f>
        <v>0</v>
      </c>
      <c r="B14466" t="s">
        <v>2872</v>
      </c>
      <c r="C14466" t="s">
        <v>17525</v>
      </c>
      <c r="E14466" t="s">
        <v>30526</v>
      </c>
      <c r="F14466" t="s">
        <v>30900</v>
      </c>
      <c r="G14466" t="s">
        <v>30907</v>
      </c>
      <c r="H14466" t="s">
        <v>30916</v>
      </c>
      <c r="I14466" t="s">
        <v>30924</v>
      </c>
      <c r="J14466" t="s">
        <v>39994</v>
      </c>
      <c r="K14466" t="s">
        <v>40289</v>
      </c>
      <c r="M14466" t="s">
        <v>44695</v>
      </c>
      <c r="N14466" t="s">
        <v>44759</v>
      </c>
      <c r="O14466" t="s">
        <v>44760</v>
      </c>
      <c r="Q14466">
        <v>10</v>
      </c>
      <c r="R14466" t="s">
        <v>44823</v>
      </c>
      <c r="S14466" t="s">
        <v>46178</v>
      </c>
      <c r="T14466" t="s">
        <v>46428</v>
      </c>
      <c r="U14466" t="s">
        <v>58746</v>
      </c>
      <c r="W14466" t="s">
        <v>60947</v>
      </c>
      <c r="X14466" t="s">
        <v>60971</v>
      </c>
    </row>
    <row r="14467" spans="1:24">
      <c r="A14467">
        <f>HYPERLINK("https://www.philgeps.gov.ph/GEPSNONPILOT/Tender/SplashBidNoticeAbstractUI.aspx?menuIndex=3&amp;refID=6911523&amp;Result=3","6911523")</f>
        <v>0</v>
      </c>
      <c r="B14467" t="s">
        <v>3731</v>
      </c>
      <c r="C14467" t="s">
        <v>17526</v>
      </c>
      <c r="D14467" t="s">
        <v>17973</v>
      </c>
      <c r="E14467" t="s">
        <v>30527</v>
      </c>
      <c r="F14467" t="s">
        <v>30900</v>
      </c>
      <c r="G14467" t="s">
        <v>30908</v>
      </c>
      <c r="H14467" t="s">
        <v>30916</v>
      </c>
      <c r="I14467" t="s">
        <v>4050</v>
      </c>
      <c r="J14467" t="s">
        <v>39995</v>
      </c>
      <c r="K14467" t="s">
        <v>40284</v>
      </c>
      <c r="M14467" t="s">
        <v>44712</v>
      </c>
      <c r="N14467" t="s">
        <v>44759</v>
      </c>
      <c r="O14467" t="s">
        <v>44760</v>
      </c>
      <c r="Q14467">
        <v>4</v>
      </c>
      <c r="R14467" t="s">
        <v>44836</v>
      </c>
      <c r="S14467" t="s">
        <v>46070</v>
      </c>
      <c r="T14467" t="s">
        <v>46369</v>
      </c>
      <c r="U14467" t="s">
        <v>58747</v>
      </c>
      <c r="W14467" t="s">
        <v>44712</v>
      </c>
      <c r="X14467" t="s">
        <v>44835</v>
      </c>
    </row>
    <row r="14468" spans="1:24">
      <c r="A14468">
        <f>HYPERLINK("https://www.philgeps.gov.ph/GEPSNONPILOT/Tender/SplashBidNoticeAbstractUI.aspx?menuIndex=3&amp;refID=6916255&amp;Result=3","6916255")</f>
        <v>0</v>
      </c>
      <c r="B14468" t="s">
        <v>2872</v>
      </c>
      <c r="C14468" t="s">
        <v>17527</v>
      </c>
      <c r="E14468" t="s">
        <v>30528</v>
      </c>
      <c r="F14468" t="s">
        <v>30900</v>
      </c>
      <c r="G14468" t="s">
        <v>30907</v>
      </c>
      <c r="H14468" t="s">
        <v>30916</v>
      </c>
      <c r="I14468" t="s">
        <v>4545</v>
      </c>
      <c r="J14468" t="s">
        <v>39996</v>
      </c>
      <c r="K14468" t="s">
        <v>40289</v>
      </c>
      <c r="M14468" t="s">
        <v>43661</v>
      </c>
      <c r="N14468" t="s">
        <v>44759</v>
      </c>
      <c r="O14468" t="s">
        <v>44760</v>
      </c>
      <c r="Q14468">
        <v>25</v>
      </c>
      <c r="R14468" t="s">
        <v>44837</v>
      </c>
      <c r="S14468" t="s">
        <v>46179</v>
      </c>
      <c r="T14468" t="s">
        <v>46414</v>
      </c>
      <c r="U14468" t="s">
        <v>58748</v>
      </c>
      <c r="V14468" t="s">
        <v>60758</v>
      </c>
      <c r="W14468" t="s">
        <v>43661</v>
      </c>
      <c r="X14468" t="s">
        <v>44836</v>
      </c>
    </row>
    <row r="14469" spans="1:24">
      <c r="A14469">
        <f>HYPERLINK("https://www.philgeps.gov.ph/GEPSNONPILOT/Tender/SplashBidNoticeAbstractUI.aspx?menuIndex=3&amp;refID=6911781&amp;Result=3","6911781")</f>
        <v>0</v>
      </c>
      <c r="B14469" t="s">
        <v>3727</v>
      </c>
      <c r="C14469" t="s">
        <v>17528</v>
      </c>
      <c r="E14469" t="s">
        <v>30529</v>
      </c>
      <c r="F14469" t="s">
        <v>30900</v>
      </c>
      <c r="G14469" t="s">
        <v>30907</v>
      </c>
      <c r="H14469" t="s">
        <v>7411</v>
      </c>
      <c r="I14469" t="s">
        <v>7411</v>
      </c>
      <c r="J14469" t="s">
        <v>39997</v>
      </c>
      <c r="K14469" t="s">
        <v>40289</v>
      </c>
      <c r="M14469" t="s">
        <v>44713</v>
      </c>
      <c r="N14469" t="s">
        <v>44759</v>
      </c>
      <c r="O14469" t="s">
        <v>44760</v>
      </c>
      <c r="Q14469">
        <v>11</v>
      </c>
      <c r="R14469" t="s">
        <v>44836</v>
      </c>
      <c r="S14469" t="s">
        <v>45543</v>
      </c>
      <c r="T14469" t="s">
        <v>46364</v>
      </c>
      <c r="U14469" t="s">
        <v>58749</v>
      </c>
      <c r="W14469" t="s">
        <v>60949</v>
      </c>
      <c r="X14469" t="s">
        <v>44835</v>
      </c>
    </row>
    <row r="14470" spans="1:24">
      <c r="A14470">
        <f>HYPERLINK("https://www.philgeps.gov.ph/GEPSNONPILOT/Tender/SplashBidNoticeAbstractUI.aspx?menuIndex=3&amp;refID=6915968&amp;Result=3","6915968")</f>
        <v>0</v>
      </c>
      <c r="B14470" t="s">
        <v>3732</v>
      </c>
      <c r="C14470" t="s">
        <v>17529</v>
      </c>
      <c r="E14470" t="s">
        <v>30530</v>
      </c>
      <c r="F14470" t="s">
        <v>30900</v>
      </c>
      <c r="G14470" t="s">
        <v>30907</v>
      </c>
      <c r="H14470" t="s">
        <v>30917</v>
      </c>
      <c r="I14470" t="s">
        <v>17295</v>
      </c>
      <c r="J14470" t="s">
        <v>39998</v>
      </c>
      <c r="K14470" t="s">
        <v>40397</v>
      </c>
      <c r="M14470" t="s">
        <v>44714</v>
      </c>
      <c r="N14470" t="s">
        <v>44759</v>
      </c>
      <c r="O14470" t="s">
        <v>44760</v>
      </c>
      <c r="Q14470">
        <v>7</v>
      </c>
      <c r="R14470" t="s">
        <v>44837</v>
      </c>
      <c r="S14470" t="s">
        <v>46180</v>
      </c>
      <c r="T14470" t="s">
        <v>46948</v>
      </c>
      <c r="U14470" t="s">
        <v>58750</v>
      </c>
      <c r="W14470" t="s">
        <v>44714</v>
      </c>
      <c r="X14470" t="s">
        <v>44836</v>
      </c>
    </row>
    <row r="14471" spans="1:24">
      <c r="A14471">
        <f>HYPERLINK("https://www.philgeps.gov.ph/GEPSNONPILOT/Tender/SplashBidNoticeAbstractUI.aspx?menuIndex=3&amp;refID=6913207&amp;Result=3","6913207")</f>
        <v>0</v>
      </c>
      <c r="B14471" t="s">
        <v>3727</v>
      </c>
      <c r="C14471" t="s">
        <v>17530</v>
      </c>
      <c r="D14471" t="s">
        <v>17959</v>
      </c>
      <c r="E14471" t="s">
        <v>30531</v>
      </c>
      <c r="F14471" t="s">
        <v>30900</v>
      </c>
      <c r="G14471" t="s">
        <v>30907</v>
      </c>
      <c r="H14471" t="s">
        <v>30916</v>
      </c>
      <c r="I14471" t="s">
        <v>30933</v>
      </c>
      <c r="J14471" t="s">
        <v>39999</v>
      </c>
      <c r="K14471" t="s">
        <v>40280</v>
      </c>
      <c r="M14471" t="s">
        <v>44708</v>
      </c>
      <c r="N14471" t="s">
        <v>44759</v>
      </c>
      <c r="O14471" t="s">
        <v>44760</v>
      </c>
      <c r="Q14471">
        <v>11</v>
      </c>
      <c r="R14471" t="s">
        <v>44837</v>
      </c>
      <c r="S14471" t="s">
        <v>46181</v>
      </c>
      <c r="T14471" t="s">
        <v>46414</v>
      </c>
      <c r="U14471" t="s">
        <v>58751</v>
      </c>
      <c r="W14471" t="s">
        <v>44708</v>
      </c>
      <c r="X14471" t="s">
        <v>44836</v>
      </c>
    </row>
    <row r="14472" spans="1:24">
      <c r="A14472">
        <f>HYPERLINK("https://www.philgeps.gov.ph/GEPSNONPILOT/Tender/SplashBidNoticeAbstractUI.aspx?menuIndex=3&amp;refID=6911228&amp;Result=3","6911228")</f>
        <v>0</v>
      </c>
      <c r="B14472" t="s">
        <v>3731</v>
      </c>
      <c r="C14472" t="s">
        <v>17531</v>
      </c>
      <c r="D14472" t="s">
        <v>17973</v>
      </c>
      <c r="E14472" t="s">
        <v>30532</v>
      </c>
      <c r="F14472" t="s">
        <v>30900</v>
      </c>
      <c r="G14472" t="s">
        <v>30908</v>
      </c>
      <c r="H14472" t="s">
        <v>30916</v>
      </c>
      <c r="I14472" t="s">
        <v>30970</v>
      </c>
      <c r="J14472" t="s">
        <v>40000</v>
      </c>
      <c r="K14472" t="s">
        <v>40283</v>
      </c>
      <c r="M14472" t="s">
        <v>44712</v>
      </c>
      <c r="N14472" t="s">
        <v>44759</v>
      </c>
      <c r="O14472" t="s">
        <v>44760</v>
      </c>
      <c r="Q14472">
        <v>0</v>
      </c>
      <c r="R14472" t="s">
        <v>44836</v>
      </c>
      <c r="S14472" t="s">
        <v>46182</v>
      </c>
      <c r="T14472" t="s">
        <v>46369</v>
      </c>
      <c r="U14472" t="s">
        <v>58752</v>
      </c>
      <c r="W14472" t="s">
        <v>44712</v>
      </c>
      <c r="X14472" t="s">
        <v>44835</v>
      </c>
    </row>
    <row r="14473" spans="1:24">
      <c r="A14473">
        <f>HYPERLINK("https://www.philgeps.gov.ph/GEPSNONPILOT/Tender/SplashBidNoticeAbstractUI.aspx?menuIndex=3&amp;refID=6880886&amp;Result=3","6880886")</f>
        <v>0</v>
      </c>
      <c r="B14473" t="s">
        <v>3508</v>
      </c>
      <c r="C14473" t="s">
        <v>17532</v>
      </c>
      <c r="D14473" t="s">
        <v>17985</v>
      </c>
      <c r="E14473" t="s">
        <v>30533</v>
      </c>
      <c r="F14473" t="s">
        <v>30900</v>
      </c>
      <c r="G14473" t="s">
        <v>30907</v>
      </c>
      <c r="H14473" t="s">
        <v>30916</v>
      </c>
      <c r="I14473" t="s">
        <v>9385</v>
      </c>
      <c r="J14473" t="s">
        <v>40001</v>
      </c>
      <c r="K14473" t="s">
        <v>40283</v>
      </c>
      <c r="M14473" t="s">
        <v>44715</v>
      </c>
      <c r="N14473" t="s">
        <v>44759</v>
      </c>
      <c r="O14473" t="s">
        <v>44760</v>
      </c>
      <c r="Q14473">
        <v>12</v>
      </c>
      <c r="R14473" t="s">
        <v>44838</v>
      </c>
      <c r="S14473" t="s">
        <v>46183</v>
      </c>
      <c r="T14473" t="s">
        <v>46422</v>
      </c>
      <c r="U14473" t="s">
        <v>58753</v>
      </c>
      <c r="V14473" t="s">
        <v>60325</v>
      </c>
      <c r="W14473" t="s">
        <v>44715</v>
      </c>
      <c r="X14473" t="s">
        <v>60978</v>
      </c>
    </row>
    <row r="14474" spans="1:24">
      <c r="A14474">
        <f>HYPERLINK("https://www.philgeps.gov.ph/GEPSNONPILOT/Tender/SplashBidNoticeAbstractUI.aspx?menuIndex=3&amp;refID=6880627&amp;Result=3","6880627")</f>
        <v>0</v>
      </c>
      <c r="B14474" t="s">
        <v>3508</v>
      </c>
      <c r="C14474" t="s">
        <v>17533</v>
      </c>
      <c r="D14474" t="s">
        <v>17985</v>
      </c>
      <c r="E14474" t="s">
        <v>30534</v>
      </c>
      <c r="F14474" t="s">
        <v>30900</v>
      </c>
      <c r="G14474" t="s">
        <v>30907</v>
      </c>
      <c r="H14474" t="s">
        <v>30916</v>
      </c>
      <c r="I14474" t="s">
        <v>9385</v>
      </c>
      <c r="J14474" t="s">
        <v>32324</v>
      </c>
      <c r="K14474" t="s">
        <v>40283</v>
      </c>
      <c r="M14474" t="s">
        <v>44715</v>
      </c>
      <c r="N14474" t="s">
        <v>44759</v>
      </c>
      <c r="O14474" t="s">
        <v>44760</v>
      </c>
      <c r="Q14474">
        <v>16</v>
      </c>
      <c r="R14474" t="s">
        <v>44838</v>
      </c>
      <c r="S14474" t="s">
        <v>46184</v>
      </c>
      <c r="T14474" t="s">
        <v>46386</v>
      </c>
      <c r="U14474" t="s">
        <v>58753</v>
      </c>
      <c r="V14474" t="s">
        <v>60325</v>
      </c>
      <c r="W14474" t="s">
        <v>44715</v>
      </c>
      <c r="X14474" t="s">
        <v>60978</v>
      </c>
    </row>
    <row r="14475" spans="1:24">
      <c r="A14475">
        <f>HYPERLINK("https://www.philgeps.gov.ph/GEPSNONPILOT/Tender/SplashBidNoticeAbstractUI.aspx?menuIndex=3&amp;refID=6880822&amp;Result=3","6880822")</f>
        <v>0</v>
      </c>
      <c r="B14475" t="s">
        <v>3508</v>
      </c>
      <c r="C14475" t="s">
        <v>17534</v>
      </c>
      <c r="D14475" t="s">
        <v>17985</v>
      </c>
      <c r="E14475" t="s">
        <v>30535</v>
      </c>
      <c r="F14475" t="s">
        <v>30900</v>
      </c>
      <c r="G14475" t="s">
        <v>30907</v>
      </c>
      <c r="H14475" t="s">
        <v>30916</v>
      </c>
      <c r="I14475" t="s">
        <v>9385</v>
      </c>
      <c r="J14475" t="s">
        <v>40002</v>
      </c>
      <c r="K14475" t="s">
        <v>40283</v>
      </c>
      <c r="M14475" t="s">
        <v>44715</v>
      </c>
      <c r="N14475" t="s">
        <v>44759</v>
      </c>
      <c r="O14475" t="s">
        <v>44760</v>
      </c>
      <c r="Q14475">
        <v>13</v>
      </c>
      <c r="R14475" t="s">
        <v>44838</v>
      </c>
      <c r="S14475" t="s">
        <v>46185</v>
      </c>
      <c r="T14475" t="s">
        <v>46422</v>
      </c>
      <c r="U14475" t="s">
        <v>58753</v>
      </c>
      <c r="V14475" t="s">
        <v>60325</v>
      </c>
      <c r="W14475" t="s">
        <v>44715</v>
      </c>
      <c r="X14475" t="s">
        <v>60978</v>
      </c>
    </row>
    <row r="14476" spans="1:24">
      <c r="A14476">
        <f>HYPERLINK("https://www.philgeps.gov.ph/GEPSNONPILOT/Tender/SplashBidNoticeAbstractUI.aspx?menuIndex=3&amp;refID=6866029&amp;Result=3","6866029")</f>
        <v>0</v>
      </c>
      <c r="B14476" t="s">
        <v>523</v>
      </c>
      <c r="C14476" t="s">
        <v>17535</v>
      </c>
      <c r="D14476" t="s">
        <v>17985</v>
      </c>
      <c r="E14476" t="s">
        <v>30536</v>
      </c>
      <c r="F14476" t="s">
        <v>30900</v>
      </c>
      <c r="G14476" t="s">
        <v>30908</v>
      </c>
      <c r="H14476" t="s">
        <v>30916</v>
      </c>
      <c r="I14476" t="s">
        <v>10602</v>
      </c>
      <c r="J14476" t="s">
        <v>31174</v>
      </c>
      <c r="K14476" t="s">
        <v>40331</v>
      </c>
      <c r="M14476" t="s">
        <v>42169</v>
      </c>
      <c r="N14476" t="s">
        <v>44759</v>
      </c>
      <c r="O14476" t="s">
        <v>44760</v>
      </c>
      <c r="Q14476">
        <v>0</v>
      </c>
      <c r="R14476" t="s">
        <v>44839</v>
      </c>
      <c r="S14476" t="s">
        <v>46186</v>
      </c>
      <c r="T14476" t="s">
        <v>46379</v>
      </c>
      <c r="U14476" t="s">
        <v>58754</v>
      </c>
      <c r="V14476" t="s">
        <v>60759</v>
      </c>
      <c r="W14476" t="s">
        <v>60865</v>
      </c>
      <c r="X14476" t="s">
        <v>44850</v>
      </c>
    </row>
    <row r="14477" spans="1:24">
      <c r="A14477">
        <f>HYPERLINK("https://www.philgeps.gov.ph/GEPSNONPILOT/Tender/SplashBidNoticeAbstractUI.aspx?menuIndex=3&amp;refID=6880250&amp;Result=3","6880250")</f>
        <v>0</v>
      </c>
      <c r="B14477" t="s">
        <v>3508</v>
      </c>
      <c r="C14477" t="s">
        <v>17536</v>
      </c>
      <c r="D14477" t="s">
        <v>17985</v>
      </c>
      <c r="E14477" t="s">
        <v>30537</v>
      </c>
      <c r="F14477" t="s">
        <v>30900</v>
      </c>
      <c r="G14477" t="s">
        <v>30907</v>
      </c>
      <c r="H14477" t="s">
        <v>30916</v>
      </c>
      <c r="I14477" t="s">
        <v>30924</v>
      </c>
      <c r="J14477" t="s">
        <v>40003</v>
      </c>
      <c r="K14477" t="s">
        <v>40284</v>
      </c>
      <c r="M14477" t="s">
        <v>44415</v>
      </c>
      <c r="N14477" t="s">
        <v>44759</v>
      </c>
      <c r="O14477" t="s">
        <v>44760</v>
      </c>
      <c r="Q14477">
        <v>16</v>
      </c>
      <c r="R14477" t="s">
        <v>44838</v>
      </c>
      <c r="S14477" t="s">
        <v>46187</v>
      </c>
      <c r="T14477" t="s">
        <v>46422</v>
      </c>
      <c r="U14477" t="s">
        <v>58755</v>
      </c>
      <c r="V14477" t="s">
        <v>60325</v>
      </c>
      <c r="W14477" t="s">
        <v>44415</v>
      </c>
      <c r="X14477" t="s">
        <v>60978</v>
      </c>
    </row>
    <row r="14478" spans="1:24">
      <c r="A14478">
        <f>HYPERLINK("https://www.philgeps.gov.ph/GEPSNONPILOT/Tender/SplashBidNoticeAbstractUI.aspx?menuIndex=3&amp;refID=6880434&amp;Result=3","6880434")</f>
        <v>0</v>
      </c>
      <c r="B14478" t="s">
        <v>3508</v>
      </c>
      <c r="C14478" t="s">
        <v>17537</v>
      </c>
      <c r="D14478" t="s">
        <v>17985</v>
      </c>
      <c r="E14478" t="s">
        <v>30538</v>
      </c>
      <c r="F14478" t="s">
        <v>30900</v>
      </c>
      <c r="G14478" t="s">
        <v>30907</v>
      </c>
      <c r="H14478" t="s">
        <v>30916</v>
      </c>
      <c r="I14478" t="s">
        <v>4142</v>
      </c>
      <c r="J14478" t="s">
        <v>40004</v>
      </c>
      <c r="K14478" t="s">
        <v>40283</v>
      </c>
      <c r="M14478" t="s">
        <v>44415</v>
      </c>
      <c r="N14478" t="s">
        <v>44759</v>
      </c>
      <c r="O14478" t="s">
        <v>44760</v>
      </c>
      <c r="Q14478">
        <v>9</v>
      </c>
      <c r="R14478" t="s">
        <v>44838</v>
      </c>
      <c r="S14478" t="s">
        <v>46188</v>
      </c>
      <c r="T14478" t="s">
        <v>46422</v>
      </c>
      <c r="U14478" t="s">
        <v>58755</v>
      </c>
      <c r="V14478" t="s">
        <v>60760</v>
      </c>
      <c r="W14478" t="s">
        <v>44415</v>
      </c>
      <c r="X14478" t="s">
        <v>60978</v>
      </c>
    </row>
    <row r="14479" spans="1:24">
      <c r="A14479">
        <f>HYPERLINK("https://www.philgeps.gov.ph/GEPSNONPILOT/Tender/SplashBidNoticeAbstractUI.aspx?menuIndex=3&amp;refID=6880085&amp;Result=3","6880085")</f>
        <v>0</v>
      </c>
      <c r="B14479" t="s">
        <v>3508</v>
      </c>
      <c r="C14479" t="s">
        <v>17538</v>
      </c>
      <c r="D14479" t="s">
        <v>17985</v>
      </c>
      <c r="E14479" t="s">
        <v>30539</v>
      </c>
      <c r="F14479" t="s">
        <v>30900</v>
      </c>
      <c r="G14479" t="s">
        <v>30907</v>
      </c>
      <c r="H14479" t="s">
        <v>30916</v>
      </c>
      <c r="I14479" t="s">
        <v>9385</v>
      </c>
      <c r="J14479" t="s">
        <v>36955</v>
      </c>
      <c r="K14479" t="s">
        <v>40284</v>
      </c>
      <c r="M14479" t="s">
        <v>44715</v>
      </c>
      <c r="N14479" t="s">
        <v>44759</v>
      </c>
      <c r="O14479" t="s">
        <v>44760</v>
      </c>
      <c r="Q14479">
        <v>16</v>
      </c>
      <c r="R14479" t="s">
        <v>44838</v>
      </c>
      <c r="S14479" t="s">
        <v>46189</v>
      </c>
      <c r="T14479" t="s">
        <v>46386</v>
      </c>
      <c r="U14479" t="s">
        <v>58753</v>
      </c>
      <c r="V14479" t="s">
        <v>60325</v>
      </c>
      <c r="W14479" t="s">
        <v>44715</v>
      </c>
      <c r="X14479" t="s">
        <v>60978</v>
      </c>
    </row>
    <row r="14480" spans="1:24">
      <c r="A14480">
        <f>HYPERLINK("https://www.philgeps.gov.ph/GEPSNONPILOT/Tender/SplashBidNoticeAbstractUI.aspx?menuIndex=3&amp;refID=6910808&amp;Result=3","6910808")</f>
        <v>0</v>
      </c>
      <c r="B14480" t="s">
        <v>866</v>
      </c>
      <c r="C14480" t="s">
        <v>17539</v>
      </c>
      <c r="D14480" t="s">
        <v>17981</v>
      </c>
      <c r="E14480" t="s">
        <v>30540</v>
      </c>
      <c r="F14480" t="s">
        <v>30900</v>
      </c>
      <c r="G14480" t="s">
        <v>30907</v>
      </c>
      <c r="H14480" t="s">
        <v>30915</v>
      </c>
      <c r="I14480" t="s">
        <v>30919</v>
      </c>
      <c r="J14480" t="s">
        <v>40005</v>
      </c>
      <c r="K14480" t="s">
        <v>40504</v>
      </c>
      <c r="M14480" t="s">
        <v>41439</v>
      </c>
      <c r="N14480" t="s">
        <v>44759</v>
      </c>
      <c r="O14480" t="s">
        <v>44760</v>
      </c>
      <c r="Q14480">
        <v>71</v>
      </c>
      <c r="R14480" t="s">
        <v>44836</v>
      </c>
      <c r="S14480" t="s">
        <v>46190</v>
      </c>
      <c r="T14480" t="s">
        <v>46495</v>
      </c>
      <c r="U14480" t="s">
        <v>58756</v>
      </c>
      <c r="V14480" t="s">
        <v>59323</v>
      </c>
      <c r="W14480" t="s">
        <v>41439</v>
      </c>
      <c r="X14480" t="s">
        <v>44835</v>
      </c>
    </row>
    <row r="14481" spans="1:24">
      <c r="A14481">
        <f>HYPERLINK("https://www.philgeps.gov.ph/GEPSNONPILOT/Tender/SplashBidNoticeAbstractUI.aspx?menuIndex=3&amp;refID=6890206&amp;Result=3","6890206")</f>
        <v>0</v>
      </c>
      <c r="B14481" t="s">
        <v>3733</v>
      </c>
      <c r="C14481" t="s">
        <v>17540</v>
      </c>
      <c r="D14481" t="s">
        <v>17959</v>
      </c>
      <c r="E14481" t="s">
        <v>30541</v>
      </c>
      <c r="F14481" t="s">
        <v>30900</v>
      </c>
      <c r="G14481" t="s">
        <v>30907</v>
      </c>
      <c r="H14481" t="s">
        <v>30915</v>
      </c>
      <c r="I14481" t="s">
        <v>30919</v>
      </c>
      <c r="J14481" t="s">
        <v>40006</v>
      </c>
      <c r="K14481" t="s">
        <v>40514</v>
      </c>
      <c r="M14481" t="s">
        <v>44716</v>
      </c>
      <c r="N14481" t="s">
        <v>44759</v>
      </c>
      <c r="O14481" t="s">
        <v>44760</v>
      </c>
      <c r="Q14481">
        <v>31</v>
      </c>
      <c r="R14481" t="s">
        <v>44840</v>
      </c>
      <c r="S14481" t="s">
        <v>46191</v>
      </c>
      <c r="T14481" t="s">
        <v>46691</v>
      </c>
      <c r="U14481" t="s">
        <v>58757</v>
      </c>
      <c r="W14481" t="s">
        <v>44716</v>
      </c>
      <c r="X14481" t="s">
        <v>60954</v>
      </c>
    </row>
    <row r="14482" spans="1:24">
      <c r="A14482">
        <f>HYPERLINK("https://www.philgeps.gov.ph/GEPSNONPILOT/Tender/SplashBidNoticeAbstractUI.aspx?menuIndex=3&amp;refID=6901648&amp;Result=3","6901648")</f>
        <v>0</v>
      </c>
      <c r="B14482" t="s">
        <v>866</v>
      </c>
      <c r="C14482" t="s">
        <v>17541</v>
      </c>
      <c r="D14482" t="s">
        <v>17981</v>
      </c>
      <c r="E14482" t="s">
        <v>30542</v>
      </c>
      <c r="F14482" t="s">
        <v>30900</v>
      </c>
      <c r="G14482" t="s">
        <v>30907</v>
      </c>
      <c r="H14482" t="s">
        <v>30915</v>
      </c>
      <c r="I14482" t="s">
        <v>30919</v>
      </c>
      <c r="J14482" t="s">
        <v>40007</v>
      </c>
      <c r="K14482" t="s">
        <v>40541</v>
      </c>
      <c r="M14482" t="s">
        <v>41439</v>
      </c>
      <c r="N14482" t="s">
        <v>44759</v>
      </c>
      <c r="O14482" t="s">
        <v>44760</v>
      </c>
      <c r="Q14482">
        <v>67</v>
      </c>
      <c r="R14482" t="s">
        <v>44841</v>
      </c>
      <c r="S14482" t="s">
        <v>46192</v>
      </c>
      <c r="T14482" t="s">
        <v>46428</v>
      </c>
      <c r="U14482" t="s">
        <v>58758</v>
      </c>
      <c r="V14482" t="s">
        <v>59323</v>
      </c>
      <c r="W14482" t="s">
        <v>41439</v>
      </c>
      <c r="X14482" t="s">
        <v>44847</v>
      </c>
    </row>
    <row r="14483" spans="1:24">
      <c r="A14483">
        <f>HYPERLINK("https://www.philgeps.gov.ph/GEPSNONPILOT/Tender/SplashBidNoticeAbstractUI.aspx?menuIndex=3&amp;refID=6896891&amp;Result=3","6896891")</f>
        <v>0</v>
      </c>
      <c r="B14483" t="s">
        <v>3273</v>
      </c>
      <c r="C14483" t="s">
        <v>17542</v>
      </c>
      <c r="D14483" t="s">
        <v>18020</v>
      </c>
      <c r="E14483" t="s">
        <v>30543</v>
      </c>
      <c r="F14483" t="s">
        <v>30900</v>
      </c>
      <c r="G14483" t="s">
        <v>30907</v>
      </c>
      <c r="H14483" t="s">
        <v>30915</v>
      </c>
      <c r="I14483" t="s">
        <v>30919</v>
      </c>
      <c r="J14483" t="s">
        <v>34345</v>
      </c>
      <c r="K14483" t="s">
        <v>40280</v>
      </c>
      <c r="M14483" t="s">
        <v>44121</v>
      </c>
      <c r="N14483" t="s">
        <v>44759</v>
      </c>
      <c r="O14483" t="s">
        <v>44760</v>
      </c>
      <c r="Q14483">
        <v>48</v>
      </c>
      <c r="R14483" t="s">
        <v>44842</v>
      </c>
      <c r="S14483" t="s">
        <v>46193</v>
      </c>
      <c r="T14483" t="s">
        <v>46418</v>
      </c>
      <c r="U14483" t="s">
        <v>58759</v>
      </c>
      <c r="V14483" t="s">
        <v>60761</v>
      </c>
      <c r="W14483" t="s">
        <v>44121</v>
      </c>
      <c r="X14483" t="s">
        <v>44840</v>
      </c>
    </row>
    <row r="14484" spans="1:24">
      <c r="A14484">
        <f>HYPERLINK("https://www.philgeps.gov.ph/GEPSNONPILOT/Tender/SplashBidNoticeAbstractUI.aspx?menuIndex=3&amp;refID=6831564&amp;Result=3","6831564")</f>
        <v>0</v>
      </c>
      <c r="B14484" t="s">
        <v>3029</v>
      </c>
      <c r="C14484" t="s">
        <v>17543</v>
      </c>
      <c r="D14484" t="s">
        <v>17985</v>
      </c>
      <c r="E14484" t="s">
        <v>30544</v>
      </c>
      <c r="F14484" t="s">
        <v>30900</v>
      </c>
      <c r="G14484" t="s">
        <v>30907</v>
      </c>
      <c r="H14484" t="s">
        <v>30915</v>
      </c>
      <c r="I14484" t="s">
        <v>30919</v>
      </c>
      <c r="J14484" t="s">
        <v>34345</v>
      </c>
      <c r="K14484" t="s">
        <v>40286</v>
      </c>
      <c r="M14484" t="s">
        <v>43838</v>
      </c>
      <c r="N14484" t="s">
        <v>44759</v>
      </c>
      <c r="O14484" t="s">
        <v>44760</v>
      </c>
      <c r="Q14484">
        <v>1</v>
      </c>
      <c r="R14484" t="s">
        <v>44843</v>
      </c>
      <c r="S14484" t="s">
        <v>46194</v>
      </c>
      <c r="T14484" t="s">
        <v>46429</v>
      </c>
      <c r="U14484" t="s">
        <v>47880</v>
      </c>
      <c r="W14484" t="s">
        <v>43838</v>
      </c>
      <c r="X14484" t="s">
        <v>60979</v>
      </c>
    </row>
    <row r="14485" spans="1:24">
      <c r="A14485">
        <f>HYPERLINK("https://www.philgeps.gov.ph/GEPSNONPILOT/Tender/SplashBidNoticeAbstractUI.aspx?menuIndex=3&amp;refID=6841147&amp;Result=3","6841147")</f>
        <v>0</v>
      </c>
      <c r="B14485" t="s">
        <v>3454</v>
      </c>
      <c r="C14485" t="s">
        <v>17544</v>
      </c>
      <c r="D14485" t="s">
        <v>17959</v>
      </c>
      <c r="E14485" t="s">
        <v>30545</v>
      </c>
      <c r="F14485" t="s">
        <v>30900</v>
      </c>
      <c r="G14485" t="s">
        <v>30907</v>
      </c>
      <c r="H14485" t="s">
        <v>30915</v>
      </c>
      <c r="I14485" t="s">
        <v>30919</v>
      </c>
      <c r="J14485" t="s">
        <v>40008</v>
      </c>
      <c r="K14485" t="s">
        <v>40341</v>
      </c>
      <c r="M14485" t="s">
        <v>44338</v>
      </c>
      <c r="N14485" t="s">
        <v>44759</v>
      </c>
      <c r="O14485" t="s">
        <v>44760</v>
      </c>
      <c r="Q14485">
        <v>125</v>
      </c>
      <c r="R14485" t="s">
        <v>44844</v>
      </c>
      <c r="S14485" t="s">
        <v>46195</v>
      </c>
      <c r="T14485" t="s">
        <v>46634</v>
      </c>
      <c r="U14485" t="s">
        <v>58760</v>
      </c>
      <c r="W14485" t="s">
        <v>44338</v>
      </c>
      <c r="X14485" t="s">
        <v>60980</v>
      </c>
    </row>
    <row r="14486" spans="1:24">
      <c r="A14486">
        <f>HYPERLINK("https://www.philgeps.gov.ph/GEPSNONPILOT/Tender/SplashBidNoticeAbstractUI.aspx?menuIndex=3&amp;refID=6845545&amp;Result=3","6845545")</f>
        <v>0</v>
      </c>
      <c r="B14486" t="s">
        <v>2083</v>
      </c>
      <c r="C14486" t="s">
        <v>17545</v>
      </c>
      <c r="D14486" t="s">
        <v>17959</v>
      </c>
      <c r="E14486" t="s">
        <v>30546</v>
      </c>
      <c r="F14486" t="s">
        <v>30900</v>
      </c>
      <c r="G14486" t="s">
        <v>30907</v>
      </c>
      <c r="H14486" t="s">
        <v>30915</v>
      </c>
      <c r="I14486" t="s">
        <v>30919</v>
      </c>
      <c r="J14486" t="s">
        <v>40009</v>
      </c>
      <c r="K14486" t="s">
        <v>40301</v>
      </c>
      <c r="M14486" t="s">
        <v>42782</v>
      </c>
      <c r="N14486" t="s">
        <v>44759</v>
      </c>
      <c r="O14486" t="s">
        <v>44760</v>
      </c>
      <c r="Q14486">
        <v>164</v>
      </c>
      <c r="R14486" t="s">
        <v>44845</v>
      </c>
      <c r="S14486" t="s">
        <v>46196</v>
      </c>
      <c r="T14486" t="s">
        <v>46374</v>
      </c>
      <c r="U14486" t="s">
        <v>51800</v>
      </c>
      <c r="V14486" t="s">
        <v>60762</v>
      </c>
      <c r="W14486" t="s">
        <v>42782</v>
      </c>
      <c r="X14486" t="s">
        <v>44844</v>
      </c>
    </row>
    <row r="14487" spans="1:24">
      <c r="A14487">
        <f>HYPERLINK("https://www.philgeps.gov.ph/GEPSNONPILOT/Tender/SplashBidNoticeAbstractUI.aspx?menuIndex=3&amp;refID=7020928&amp;Result=3","7020928")</f>
        <v>0</v>
      </c>
      <c r="B14487" t="s">
        <v>2872</v>
      </c>
      <c r="C14487" t="s">
        <v>17546</v>
      </c>
      <c r="E14487" t="s">
        <v>30547</v>
      </c>
      <c r="F14487" t="s">
        <v>30900</v>
      </c>
      <c r="G14487" t="s">
        <v>30907</v>
      </c>
      <c r="H14487" t="s">
        <v>30916</v>
      </c>
      <c r="I14487" t="s">
        <v>31005</v>
      </c>
      <c r="J14487" t="s">
        <v>37114</v>
      </c>
      <c r="K14487" t="s">
        <v>40289</v>
      </c>
      <c r="M14487" t="s">
        <v>43661</v>
      </c>
      <c r="N14487" t="s">
        <v>44759</v>
      </c>
      <c r="O14487" t="s">
        <v>44760</v>
      </c>
      <c r="Q14487">
        <v>7</v>
      </c>
      <c r="R14487" t="s">
        <v>44809</v>
      </c>
      <c r="S14487" t="s">
        <v>46197</v>
      </c>
      <c r="T14487" t="s">
        <v>46414</v>
      </c>
      <c r="U14487" t="s">
        <v>58761</v>
      </c>
      <c r="V14487" t="s">
        <v>60763</v>
      </c>
      <c r="W14487" t="s">
        <v>60948</v>
      </c>
      <c r="X14487" t="s">
        <v>60966</v>
      </c>
    </row>
    <row r="14488" spans="1:24">
      <c r="A14488">
        <f>HYPERLINK("https://www.philgeps.gov.ph/GEPSNONPILOT/Tender/SplashBidNoticeAbstractUI.aspx?menuIndex=3&amp;refID=6845535&amp;Result=3","6845535")</f>
        <v>0</v>
      </c>
      <c r="B14488" t="s">
        <v>2083</v>
      </c>
      <c r="C14488" t="s">
        <v>17547</v>
      </c>
      <c r="D14488" t="s">
        <v>17959</v>
      </c>
      <c r="E14488" t="s">
        <v>30548</v>
      </c>
      <c r="F14488" t="s">
        <v>30900</v>
      </c>
      <c r="G14488" t="s">
        <v>30907</v>
      </c>
      <c r="H14488" t="s">
        <v>30915</v>
      </c>
      <c r="I14488" t="s">
        <v>30919</v>
      </c>
      <c r="J14488" t="s">
        <v>40010</v>
      </c>
      <c r="K14488" t="s">
        <v>40342</v>
      </c>
      <c r="M14488" t="s">
        <v>42782</v>
      </c>
      <c r="N14488" t="s">
        <v>44759</v>
      </c>
      <c r="O14488" t="s">
        <v>44760</v>
      </c>
      <c r="Q14488">
        <v>162</v>
      </c>
      <c r="R14488" t="s">
        <v>44845</v>
      </c>
      <c r="S14488" t="s">
        <v>46198</v>
      </c>
      <c r="T14488" t="s">
        <v>46374</v>
      </c>
      <c r="U14488" t="s">
        <v>51800</v>
      </c>
      <c r="V14488" t="s">
        <v>60764</v>
      </c>
      <c r="W14488" t="s">
        <v>42782</v>
      </c>
      <c r="X14488" t="s">
        <v>44844</v>
      </c>
    </row>
    <row r="14489" spans="1:24">
      <c r="A14489">
        <f>HYPERLINK("https://www.philgeps.gov.ph/GEPSNONPILOT/Tender/SplashBidNoticeAbstractUI.aspx?menuIndex=3&amp;refID=6916232&amp;Result=3","6916232")</f>
        <v>0</v>
      </c>
      <c r="B14489" t="s">
        <v>992</v>
      </c>
      <c r="C14489" t="s">
        <v>17548</v>
      </c>
      <c r="D14489" t="s">
        <v>17985</v>
      </c>
      <c r="E14489" t="s">
        <v>30549</v>
      </c>
      <c r="F14489" t="s">
        <v>30900</v>
      </c>
      <c r="G14489" t="s">
        <v>30907</v>
      </c>
      <c r="H14489" t="s">
        <v>30916</v>
      </c>
      <c r="I14489" t="s">
        <v>17295</v>
      </c>
      <c r="J14489" t="s">
        <v>40011</v>
      </c>
      <c r="K14489" t="s">
        <v>40332</v>
      </c>
      <c r="M14489" t="s">
        <v>41673</v>
      </c>
      <c r="N14489" t="s">
        <v>44759</v>
      </c>
      <c r="O14489" t="s">
        <v>44760</v>
      </c>
      <c r="Q14489">
        <v>4</v>
      </c>
      <c r="R14489" t="s">
        <v>44837</v>
      </c>
      <c r="S14489" t="s">
        <v>45277</v>
      </c>
      <c r="T14489" t="s">
        <v>46409</v>
      </c>
      <c r="U14489" t="s">
        <v>58762</v>
      </c>
      <c r="W14489" t="s">
        <v>41673</v>
      </c>
      <c r="X14489" t="s">
        <v>44836</v>
      </c>
    </row>
    <row r="14490" spans="1:24">
      <c r="A14490">
        <f>HYPERLINK("https://www.philgeps.gov.ph/GEPSNONPILOT/Tender/SplashBidNoticeAbstractUI.aspx?menuIndex=3&amp;refID=6840589&amp;Result=3","6840589")</f>
        <v>0</v>
      </c>
      <c r="B14490" t="s">
        <v>3069</v>
      </c>
      <c r="C14490" t="s">
        <v>17549</v>
      </c>
      <c r="D14490" t="s">
        <v>17975</v>
      </c>
      <c r="E14490" t="s">
        <v>26566</v>
      </c>
      <c r="F14490" t="s">
        <v>30899</v>
      </c>
      <c r="G14490" t="s">
        <v>30907</v>
      </c>
      <c r="H14490" t="s">
        <v>30915</v>
      </c>
      <c r="I14490" t="s">
        <v>4545</v>
      </c>
      <c r="J14490" t="s">
        <v>31043</v>
      </c>
      <c r="K14490" t="s">
        <v>40294</v>
      </c>
      <c r="L14490" t="s">
        <v>3069</v>
      </c>
      <c r="M14490" t="s">
        <v>43880</v>
      </c>
      <c r="N14490" t="s">
        <v>44759</v>
      </c>
      <c r="O14490" t="s">
        <v>44760</v>
      </c>
      <c r="Q14490">
        <v>1</v>
      </c>
      <c r="R14490" t="s">
        <v>44844</v>
      </c>
      <c r="S14490" t="s">
        <v>46199</v>
      </c>
      <c r="T14490" t="s">
        <v>46357</v>
      </c>
      <c r="U14490" t="s">
        <v>58763</v>
      </c>
      <c r="W14490" t="s">
        <v>43880</v>
      </c>
      <c r="X14490" t="s">
        <v>60980</v>
      </c>
    </row>
    <row r="14491" spans="1:24">
      <c r="A14491">
        <f>HYPERLINK("https://www.philgeps.gov.ph/GEPSNONPILOT/Tender/SplashBidNoticeAbstractUI.aspx?menuIndex=3&amp;refID=6844648&amp;Result=3","6844648")</f>
        <v>0</v>
      </c>
      <c r="B14491" t="s">
        <v>1004</v>
      </c>
      <c r="C14491" t="s">
        <v>17550</v>
      </c>
      <c r="D14491" t="s">
        <v>17959</v>
      </c>
      <c r="E14491" t="s">
        <v>30550</v>
      </c>
      <c r="F14491" t="s">
        <v>30900</v>
      </c>
      <c r="G14491" t="s">
        <v>30907</v>
      </c>
      <c r="H14491" t="s">
        <v>30915</v>
      </c>
      <c r="I14491" t="s">
        <v>30919</v>
      </c>
      <c r="J14491" t="s">
        <v>31188</v>
      </c>
      <c r="K14491" t="s">
        <v>40301</v>
      </c>
      <c r="M14491" t="s">
        <v>44359</v>
      </c>
      <c r="N14491" t="s">
        <v>44759</v>
      </c>
      <c r="O14491" t="s">
        <v>44760</v>
      </c>
      <c r="Q14491">
        <v>18</v>
      </c>
      <c r="R14491" t="s">
        <v>44845</v>
      </c>
      <c r="S14491" t="s">
        <v>45397</v>
      </c>
      <c r="T14491" t="s">
        <v>46409</v>
      </c>
      <c r="U14491" t="s">
        <v>58764</v>
      </c>
      <c r="W14491" t="s">
        <v>60930</v>
      </c>
      <c r="X14491" t="s">
        <v>44844</v>
      </c>
    </row>
    <row r="14492" spans="1:24">
      <c r="A14492">
        <f>HYPERLINK("https://www.philgeps.gov.ph/GEPSNONPILOT/Tender/SplashBidNoticeAbstractUI.aspx?menuIndex=3&amp;refID=6855958&amp;Result=3","6855958")</f>
        <v>0</v>
      </c>
      <c r="B14492" t="s">
        <v>3734</v>
      </c>
      <c r="C14492" t="s">
        <v>17551</v>
      </c>
      <c r="E14492" t="s">
        <v>30551</v>
      </c>
      <c r="F14492" t="s">
        <v>30900</v>
      </c>
      <c r="G14492" t="s">
        <v>30907</v>
      </c>
      <c r="H14492" t="s">
        <v>30915</v>
      </c>
      <c r="I14492" t="s">
        <v>30919</v>
      </c>
      <c r="J14492" t="s">
        <v>35232</v>
      </c>
      <c r="K14492" t="s">
        <v>40289</v>
      </c>
      <c r="M14492" t="s">
        <v>44717</v>
      </c>
      <c r="N14492" t="s">
        <v>44759</v>
      </c>
      <c r="O14492" t="s">
        <v>44760</v>
      </c>
      <c r="Q14492">
        <v>7</v>
      </c>
      <c r="R14492" t="s">
        <v>44846</v>
      </c>
      <c r="S14492" t="s">
        <v>46200</v>
      </c>
      <c r="T14492" t="s">
        <v>46409</v>
      </c>
      <c r="U14492" t="s">
        <v>58765</v>
      </c>
      <c r="W14492" t="s">
        <v>44717</v>
      </c>
      <c r="X14492" t="s">
        <v>60981</v>
      </c>
    </row>
    <row r="14493" spans="1:24">
      <c r="A14493">
        <f>HYPERLINK("https://www.philgeps.gov.ph/GEPSNONPILOT/Tender/SplashBidNoticeAbstractUI.aspx?menuIndex=3&amp;refID=6840310&amp;Result=3","6840310")</f>
        <v>0</v>
      </c>
      <c r="B14493" t="s">
        <v>866</v>
      </c>
      <c r="C14493" t="s">
        <v>17552</v>
      </c>
      <c r="D14493" t="s">
        <v>17981</v>
      </c>
      <c r="E14493" t="s">
        <v>30552</v>
      </c>
      <c r="F14493" t="s">
        <v>30900</v>
      </c>
      <c r="G14493" t="s">
        <v>30907</v>
      </c>
      <c r="H14493" t="s">
        <v>30915</v>
      </c>
      <c r="I14493" t="s">
        <v>30919</v>
      </c>
      <c r="J14493" t="s">
        <v>40012</v>
      </c>
      <c r="K14493" t="s">
        <v>40565</v>
      </c>
      <c r="M14493" t="s">
        <v>41439</v>
      </c>
      <c r="N14493" t="s">
        <v>44759</v>
      </c>
      <c r="O14493" t="s">
        <v>44760</v>
      </c>
      <c r="Q14493">
        <v>43</v>
      </c>
      <c r="R14493" t="s">
        <v>44844</v>
      </c>
      <c r="S14493" t="s">
        <v>46201</v>
      </c>
      <c r="T14493" t="s">
        <v>46519</v>
      </c>
      <c r="U14493" t="s">
        <v>58766</v>
      </c>
      <c r="V14493" t="s">
        <v>60765</v>
      </c>
      <c r="W14493" t="s">
        <v>41439</v>
      </c>
      <c r="X14493" t="s">
        <v>60980</v>
      </c>
    </row>
    <row r="14494" spans="1:24">
      <c r="A14494">
        <f>HYPERLINK("https://www.philgeps.gov.ph/GEPSNONPILOT/Tender/SplashBidNoticeAbstractUI.aspx?menuIndex=3&amp;refID=6855955&amp;Result=3","6855955")</f>
        <v>0</v>
      </c>
      <c r="B14494" t="s">
        <v>3734</v>
      </c>
      <c r="C14494" t="s">
        <v>17553</v>
      </c>
      <c r="E14494" t="s">
        <v>30553</v>
      </c>
      <c r="F14494" t="s">
        <v>30900</v>
      </c>
      <c r="G14494" t="s">
        <v>30907</v>
      </c>
      <c r="H14494" t="s">
        <v>30915</v>
      </c>
      <c r="I14494" t="s">
        <v>30919</v>
      </c>
      <c r="J14494" t="s">
        <v>40013</v>
      </c>
      <c r="K14494" t="s">
        <v>40289</v>
      </c>
      <c r="M14494" t="s">
        <v>44717</v>
      </c>
      <c r="N14494" t="s">
        <v>44759</v>
      </c>
      <c r="O14494" t="s">
        <v>44760</v>
      </c>
      <c r="Q14494">
        <v>8</v>
      </c>
      <c r="R14494" t="s">
        <v>44846</v>
      </c>
      <c r="S14494" t="s">
        <v>45001</v>
      </c>
      <c r="T14494" t="s">
        <v>46409</v>
      </c>
      <c r="U14494" t="s">
        <v>58767</v>
      </c>
      <c r="W14494" t="s">
        <v>44717</v>
      </c>
      <c r="X14494" t="s">
        <v>60981</v>
      </c>
    </row>
    <row r="14495" spans="1:24">
      <c r="A14495">
        <f>HYPERLINK("https://www.philgeps.gov.ph/GEPSNONPILOT/Tender/SplashBidNoticeAbstractUI.aspx?menuIndex=3&amp;refID=6899698&amp;Result=3","6899698")</f>
        <v>0</v>
      </c>
      <c r="B14495" t="s">
        <v>3727</v>
      </c>
      <c r="C14495" t="s">
        <v>17554</v>
      </c>
      <c r="D14495" t="s">
        <v>17959</v>
      </c>
      <c r="E14495" t="s">
        <v>30554</v>
      </c>
      <c r="F14495" t="s">
        <v>30900</v>
      </c>
      <c r="G14495" t="s">
        <v>30907</v>
      </c>
      <c r="H14495" t="s">
        <v>30916</v>
      </c>
      <c r="I14495" t="s">
        <v>31027</v>
      </c>
      <c r="J14495" t="s">
        <v>40014</v>
      </c>
      <c r="K14495" t="s">
        <v>40342</v>
      </c>
      <c r="M14495" t="s">
        <v>44708</v>
      </c>
      <c r="N14495" t="s">
        <v>44759</v>
      </c>
      <c r="O14495" t="s">
        <v>44760</v>
      </c>
      <c r="Q14495">
        <v>16</v>
      </c>
      <c r="R14495" t="s">
        <v>44847</v>
      </c>
      <c r="S14495" t="s">
        <v>46202</v>
      </c>
      <c r="T14495" t="s">
        <v>46686</v>
      </c>
      <c r="U14495" t="s">
        <v>58768</v>
      </c>
      <c r="W14495" t="s">
        <v>44708</v>
      </c>
      <c r="X14495" t="s">
        <v>44842</v>
      </c>
    </row>
    <row r="14496" spans="1:24">
      <c r="A14496">
        <f>HYPERLINK("https://www.philgeps.gov.ph/GEPSNONPILOT/Tender/SplashBidNoticeAbstractUI.aspx?menuIndex=3&amp;refID=6669012&amp;Result=3","6669012")</f>
        <v>0</v>
      </c>
      <c r="B14496" t="s">
        <v>3734</v>
      </c>
      <c r="C14496" t="s">
        <v>17555</v>
      </c>
      <c r="E14496" t="s">
        <v>30555</v>
      </c>
      <c r="F14496" t="s">
        <v>30900</v>
      </c>
      <c r="G14496" t="s">
        <v>30907</v>
      </c>
      <c r="H14496" t="s">
        <v>30915</v>
      </c>
      <c r="I14496" t="s">
        <v>30919</v>
      </c>
      <c r="J14496" t="s">
        <v>40015</v>
      </c>
      <c r="K14496" t="s">
        <v>40289</v>
      </c>
      <c r="M14496" t="s">
        <v>44717</v>
      </c>
      <c r="N14496" t="s">
        <v>44759</v>
      </c>
      <c r="O14496" t="s">
        <v>44760</v>
      </c>
      <c r="Q14496">
        <v>10</v>
      </c>
      <c r="R14496" t="s">
        <v>44848</v>
      </c>
      <c r="S14496" t="s">
        <v>46203</v>
      </c>
      <c r="T14496" t="s">
        <v>46352</v>
      </c>
      <c r="U14496" t="s">
        <v>58769</v>
      </c>
      <c r="W14496" t="s">
        <v>44717</v>
      </c>
      <c r="X14496" t="s">
        <v>60982</v>
      </c>
    </row>
    <row r="14497" spans="1:24">
      <c r="A14497">
        <f>HYPERLINK("https://www.philgeps.gov.ph/GEPSNONPILOT/Tender/SplashBidNoticeAbstractUI.aspx?menuIndex=3&amp;refID=7018207&amp;Result=3","7018207")</f>
        <v>0</v>
      </c>
      <c r="B14497" t="s">
        <v>911</v>
      </c>
      <c r="C14497" t="s">
        <v>17556</v>
      </c>
      <c r="D14497" t="s">
        <v>17961</v>
      </c>
      <c r="E14497" t="s">
        <v>30556</v>
      </c>
      <c r="F14497" t="s">
        <v>30900</v>
      </c>
      <c r="G14497" t="s">
        <v>30907</v>
      </c>
      <c r="H14497" t="s">
        <v>30915</v>
      </c>
      <c r="I14497" t="s">
        <v>30919</v>
      </c>
      <c r="J14497" t="s">
        <v>31063</v>
      </c>
      <c r="K14497" t="s">
        <v>40292</v>
      </c>
      <c r="M14497" t="s">
        <v>41490</v>
      </c>
      <c r="N14497" t="s">
        <v>44759</v>
      </c>
      <c r="O14497" t="s">
        <v>44760</v>
      </c>
      <c r="Q14497">
        <v>8</v>
      </c>
      <c r="R14497" t="s">
        <v>44818</v>
      </c>
      <c r="S14497" t="s">
        <v>46204</v>
      </c>
      <c r="T14497" t="s">
        <v>46520</v>
      </c>
      <c r="U14497" t="s">
        <v>58770</v>
      </c>
      <c r="W14497" t="s">
        <v>41490</v>
      </c>
      <c r="X14497" t="s">
        <v>44819</v>
      </c>
    </row>
    <row r="14498" spans="1:24">
      <c r="A14498">
        <f>HYPERLINK("https://www.philgeps.gov.ph/GEPSNONPILOT/Tender/SplashBidNoticeAbstractUI.aspx?menuIndex=3&amp;refID=6856010&amp;Result=3","6856010")</f>
        <v>0</v>
      </c>
      <c r="B14498" t="s">
        <v>3734</v>
      </c>
      <c r="C14498" t="s">
        <v>17557</v>
      </c>
      <c r="E14498" t="s">
        <v>30557</v>
      </c>
      <c r="F14498" t="s">
        <v>30900</v>
      </c>
      <c r="G14498" t="s">
        <v>30907</v>
      </c>
      <c r="H14498" t="s">
        <v>30915</v>
      </c>
      <c r="I14498" t="s">
        <v>30919</v>
      </c>
      <c r="J14498" t="s">
        <v>39941</v>
      </c>
      <c r="K14498" t="s">
        <v>40289</v>
      </c>
      <c r="M14498" t="s">
        <v>44717</v>
      </c>
      <c r="N14498" t="s">
        <v>44759</v>
      </c>
      <c r="O14498" t="s">
        <v>44760</v>
      </c>
      <c r="Q14498">
        <v>13</v>
      </c>
      <c r="R14498" t="s">
        <v>44846</v>
      </c>
      <c r="S14498" t="s">
        <v>46205</v>
      </c>
      <c r="T14498" t="s">
        <v>46409</v>
      </c>
      <c r="U14498" t="s">
        <v>58771</v>
      </c>
      <c r="W14498" t="s">
        <v>44717</v>
      </c>
      <c r="X14498" t="s">
        <v>60981</v>
      </c>
    </row>
    <row r="14499" spans="1:24">
      <c r="A14499">
        <f>HYPERLINK("https://www.philgeps.gov.ph/GEPSNONPILOT/Tender/SplashBidNoticeAbstractUI.aspx?menuIndex=3&amp;refID=6831680&amp;Result=3","6831680")</f>
        <v>0</v>
      </c>
      <c r="B14499" t="s">
        <v>2083</v>
      </c>
      <c r="C14499" t="s">
        <v>17558</v>
      </c>
      <c r="D14499" t="s">
        <v>17959</v>
      </c>
      <c r="E14499" t="s">
        <v>30558</v>
      </c>
      <c r="F14499" t="s">
        <v>30900</v>
      </c>
      <c r="G14499" t="s">
        <v>30907</v>
      </c>
      <c r="H14499" t="s">
        <v>30915</v>
      </c>
      <c r="I14499" t="s">
        <v>30919</v>
      </c>
      <c r="J14499" t="s">
        <v>40016</v>
      </c>
      <c r="K14499" t="s">
        <v>40395</v>
      </c>
      <c r="M14499" t="s">
        <v>42782</v>
      </c>
      <c r="N14499" t="s">
        <v>44759</v>
      </c>
      <c r="O14499" t="s">
        <v>44760</v>
      </c>
      <c r="Q14499">
        <v>201</v>
      </c>
      <c r="R14499" t="s">
        <v>44843</v>
      </c>
      <c r="S14499" t="s">
        <v>46206</v>
      </c>
      <c r="T14499" t="s">
        <v>46374</v>
      </c>
      <c r="U14499" t="s">
        <v>51800</v>
      </c>
      <c r="V14499" t="s">
        <v>60766</v>
      </c>
      <c r="W14499" t="s">
        <v>42782</v>
      </c>
      <c r="X14499" t="s">
        <v>60979</v>
      </c>
    </row>
    <row r="14500" spans="1:24">
      <c r="A14500">
        <f>HYPERLINK("https://www.philgeps.gov.ph/GEPSNONPILOT/Tender/SplashBidNoticeAbstractUI.aspx?menuIndex=3&amp;refID=6771902&amp;Result=3","6771902")</f>
        <v>0</v>
      </c>
      <c r="B14500" t="s">
        <v>3537</v>
      </c>
      <c r="C14500" t="s">
        <v>17559</v>
      </c>
      <c r="E14500" t="s">
        <v>30559</v>
      </c>
      <c r="F14500" t="s">
        <v>30900</v>
      </c>
      <c r="G14500" t="s">
        <v>30907</v>
      </c>
      <c r="H14500" t="s">
        <v>30915</v>
      </c>
      <c r="I14500" t="s">
        <v>30919</v>
      </c>
      <c r="J14500" t="s">
        <v>40017</v>
      </c>
      <c r="K14500" t="s">
        <v>40289</v>
      </c>
      <c r="M14500" t="s">
        <v>44718</v>
      </c>
      <c r="N14500" t="s">
        <v>44759</v>
      </c>
      <c r="O14500" t="s">
        <v>44760</v>
      </c>
      <c r="Q14500">
        <v>60</v>
      </c>
      <c r="R14500" t="s">
        <v>44849</v>
      </c>
      <c r="S14500" t="s">
        <v>46207</v>
      </c>
      <c r="T14500" t="s">
        <v>46429</v>
      </c>
      <c r="U14500" t="s">
        <v>58772</v>
      </c>
      <c r="W14500" t="s">
        <v>44718</v>
      </c>
      <c r="X14500" t="s">
        <v>60983</v>
      </c>
    </row>
    <row r="14501" spans="1:24">
      <c r="A14501">
        <f>HYPERLINK("https://www.philgeps.gov.ph/GEPSNONPILOT/Tender/SplashBidNoticeAbstractUI.aspx?menuIndex=3&amp;refID=6855989&amp;Result=3","6855989")</f>
        <v>0</v>
      </c>
      <c r="B14501" t="s">
        <v>3734</v>
      </c>
      <c r="C14501" t="s">
        <v>17560</v>
      </c>
      <c r="E14501" t="s">
        <v>30560</v>
      </c>
      <c r="F14501" t="s">
        <v>30900</v>
      </c>
      <c r="G14501" t="s">
        <v>30907</v>
      </c>
      <c r="H14501" t="s">
        <v>30915</v>
      </c>
      <c r="I14501" t="s">
        <v>30919</v>
      </c>
      <c r="J14501" t="s">
        <v>35232</v>
      </c>
      <c r="K14501" t="s">
        <v>40289</v>
      </c>
      <c r="M14501" t="s">
        <v>44717</v>
      </c>
      <c r="N14501" t="s">
        <v>44759</v>
      </c>
      <c r="O14501" t="s">
        <v>44760</v>
      </c>
      <c r="Q14501">
        <v>9</v>
      </c>
      <c r="R14501" t="s">
        <v>44846</v>
      </c>
      <c r="S14501" t="s">
        <v>46208</v>
      </c>
      <c r="T14501" t="s">
        <v>46409</v>
      </c>
      <c r="U14501" t="s">
        <v>58773</v>
      </c>
      <c r="W14501" t="s">
        <v>44717</v>
      </c>
      <c r="X14501" t="s">
        <v>60981</v>
      </c>
    </row>
    <row r="14502" spans="1:24">
      <c r="A14502">
        <f>HYPERLINK("https://www.philgeps.gov.ph/GEPSNONPILOT/Tender/SplashBidNoticeAbstractUI.aspx?menuIndex=3&amp;refID=6831609&amp;Result=3","6831609")</f>
        <v>0</v>
      </c>
      <c r="B14502" t="s">
        <v>3029</v>
      </c>
      <c r="C14502" t="s">
        <v>17561</v>
      </c>
      <c r="D14502" t="s">
        <v>17985</v>
      </c>
      <c r="E14502" t="s">
        <v>30561</v>
      </c>
      <c r="F14502" t="s">
        <v>30900</v>
      </c>
      <c r="G14502" t="s">
        <v>30907</v>
      </c>
      <c r="H14502" t="s">
        <v>30915</v>
      </c>
      <c r="I14502" t="s">
        <v>30919</v>
      </c>
      <c r="J14502" t="s">
        <v>38857</v>
      </c>
      <c r="K14502" t="s">
        <v>40358</v>
      </c>
      <c r="M14502" t="s">
        <v>43838</v>
      </c>
      <c r="N14502" t="s">
        <v>44759</v>
      </c>
      <c r="O14502" t="s">
        <v>44760</v>
      </c>
      <c r="Q14502">
        <v>2</v>
      </c>
      <c r="R14502" t="s">
        <v>44843</v>
      </c>
      <c r="S14502" t="s">
        <v>46209</v>
      </c>
      <c r="T14502" t="s">
        <v>46414</v>
      </c>
      <c r="U14502" t="s">
        <v>47880</v>
      </c>
      <c r="W14502" t="s">
        <v>43838</v>
      </c>
      <c r="X14502" t="s">
        <v>60979</v>
      </c>
    </row>
    <row r="14503" spans="1:24">
      <c r="A14503">
        <f>HYPERLINK("https://www.philgeps.gov.ph/GEPSNONPILOT/Tender/SplashBidNoticeAbstractUI.aspx?menuIndex=3&amp;refID=6855912&amp;Result=3","6855912")</f>
        <v>0</v>
      </c>
      <c r="B14503" t="s">
        <v>3734</v>
      </c>
      <c r="C14503" t="s">
        <v>17562</v>
      </c>
      <c r="E14503" t="s">
        <v>30562</v>
      </c>
      <c r="F14503" t="s">
        <v>30900</v>
      </c>
      <c r="G14503" t="s">
        <v>30907</v>
      </c>
      <c r="H14503" t="s">
        <v>30915</v>
      </c>
      <c r="I14503" t="s">
        <v>30919</v>
      </c>
      <c r="J14503" t="s">
        <v>38094</v>
      </c>
      <c r="K14503" t="s">
        <v>40289</v>
      </c>
      <c r="M14503" t="s">
        <v>44717</v>
      </c>
      <c r="N14503" t="s">
        <v>44759</v>
      </c>
      <c r="O14503" t="s">
        <v>44760</v>
      </c>
      <c r="Q14503">
        <v>15</v>
      </c>
      <c r="R14503" t="s">
        <v>44846</v>
      </c>
      <c r="S14503" t="s">
        <v>46210</v>
      </c>
      <c r="T14503" t="s">
        <v>46533</v>
      </c>
      <c r="U14503" t="s">
        <v>58774</v>
      </c>
      <c r="W14503" t="s">
        <v>44717</v>
      </c>
      <c r="X14503" t="s">
        <v>60981</v>
      </c>
    </row>
    <row r="14504" spans="1:24">
      <c r="A14504">
        <f>HYPERLINK("https://www.philgeps.gov.ph/GEPSNONPILOT/Tender/SplashBidNoticeAbstractUI.aspx?menuIndex=3&amp;refID=6899978&amp;Result=3","6899978")</f>
        <v>0</v>
      </c>
      <c r="B14504" t="s">
        <v>1251</v>
      </c>
      <c r="C14504" t="s">
        <v>17563</v>
      </c>
      <c r="D14504" t="s">
        <v>17963</v>
      </c>
      <c r="E14504" t="s">
        <v>30563</v>
      </c>
      <c r="F14504" t="s">
        <v>30900</v>
      </c>
      <c r="G14504" t="s">
        <v>30907</v>
      </c>
      <c r="H14504" t="s">
        <v>30916</v>
      </c>
      <c r="I14504" t="s">
        <v>30970</v>
      </c>
      <c r="J14504" t="s">
        <v>40018</v>
      </c>
      <c r="K14504" t="s">
        <v>40354</v>
      </c>
      <c r="M14504" t="s">
        <v>41863</v>
      </c>
      <c r="N14504" t="s">
        <v>44759</v>
      </c>
      <c r="O14504" t="s">
        <v>44760</v>
      </c>
      <c r="Q14504">
        <v>21</v>
      </c>
      <c r="R14504" t="s">
        <v>44847</v>
      </c>
      <c r="S14504" t="s">
        <v>46211</v>
      </c>
      <c r="T14504" t="s">
        <v>46531</v>
      </c>
      <c r="U14504" t="s">
        <v>58775</v>
      </c>
      <c r="W14504" t="s">
        <v>41863</v>
      </c>
      <c r="X14504" t="s">
        <v>44842</v>
      </c>
    </row>
    <row r="14505" spans="1:24">
      <c r="A14505">
        <f>HYPERLINK("https://www.philgeps.gov.ph/GEPSNONPILOT/Tender/SplashBidNoticeAbstractUI.aspx?menuIndex=3&amp;refID=6862314&amp;Result=3","6862314")</f>
        <v>0</v>
      </c>
      <c r="B14505" t="s">
        <v>3454</v>
      </c>
      <c r="C14505" t="s">
        <v>17564</v>
      </c>
      <c r="D14505" t="s">
        <v>17959</v>
      </c>
      <c r="E14505" t="s">
        <v>30564</v>
      </c>
      <c r="F14505" t="s">
        <v>30900</v>
      </c>
      <c r="G14505" t="s">
        <v>30907</v>
      </c>
      <c r="H14505" t="s">
        <v>30915</v>
      </c>
      <c r="I14505" t="s">
        <v>30919</v>
      </c>
      <c r="J14505" t="s">
        <v>40019</v>
      </c>
      <c r="K14505" t="s">
        <v>40341</v>
      </c>
      <c r="M14505" t="s">
        <v>44338</v>
      </c>
      <c r="N14505" t="s">
        <v>44759</v>
      </c>
      <c r="O14505" t="s">
        <v>44760</v>
      </c>
      <c r="Q14505">
        <v>130</v>
      </c>
      <c r="R14505" t="s">
        <v>44850</v>
      </c>
      <c r="S14505" t="s">
        <v>46212</v>
      </c>
      <c r="T14505" t="s">
        <v>46634</v>
      </c>
      <c r="U14505" t="s">
        <v>58776</v>
      </c>
      <c r="W14505" t="s">
        <v>44338</v>
      </c>
      <c r="X14505" t="s">
        <v>60956</v>
      </c>
    </row>
    <row r="14506" spans="1:24">
      <c r="A14506">
        <f>HYPERLINK("https://www.philgeps.gov.ph/GEPSNONPILOT/Tender/SplashBidNoticeAbstractUI.aspx?menuIndex=3&amp;refID=6855697&amp;Result=3","6855697")</f>
        <v>0</v>
      </c>
      <c r="B14506" t="s">
        <v>906</v>
      </c>
      <c r="C14506" t="s">
        <v>17565</v>
      </c>
      <c r="D14506" t="s">
        <v>17959</v>
      </c>
      <c r="E14506" t="s">
        <v>30565</v>
      </c>
      <c r="F14506" t="s">
        <v>30900</v>
      </c>
      <c r="G14506" t="s">
        <v>30908</v>
      </c>
      <c r="H14506" t="s">
        <v>30916</v>
      </c>
      <c r="I14506" t="s">
        <v>4108</v>
      </c>
      <c r="J14506" t="s">
        <v>40020</v>
      </c>
      <c r="K14506" t="s">
        <v>40286</v>
      </c>
      <c r="M14506" t="s">
        <v>41481</v>
      </c>
      <c r="N14506" t="s">
        <v>44759</v>
      </c>
      <c r="O14506" t="s">
        <v>44760</v>
      </c>
      <c r="Q14506">
        <v>5</v>
      </c>
      <c r="R14506" t="s">
        <v>44846</v>
      </c>
      <c r="S14506" t="s">
        <v>46213</v>
      </c>
      <c r="T14506" t="s">
        <v>46377</v>
      </c>
      <c r="U14506" t="s">
        <v>58777</v>
      </c>
      <c r="W14506" t="s">
        <v>41481</v>
      </c>
      <c r="X14506" t="s">
        <v>60981</v>
      </c>
    </row>
    <row r="14507" spans="1:24">
      <c r="A14507">
        <f>HYPERLINK("https://www.philgeps.gov.ph/GEPSNONPILOT/Tender/SplashBidNoticeAbstractUI.aspx?menuIndex=3&amp;refID=6826057&amp;Result=3","6826057")</f>
        <v>0</v>
      </c>
      <c r="B14507" t="s">
        <v>3029</v>
      </c>
      <c r="C14507" t="s">
        <v>17566</v>
      </c>
      <c r="D14507" t="s">
        <v>17985</v>
      </c>
      <c r="E14507" t="s">
        <v>30566</v>
      </c>
      <c r="F14507" t="s">
        <v>30900</v>
      </c>
      <c r="G14507" t="s">
        <v>30907</v>
      </c>
      <c r="H14507" t="s">
        <v>30915</v>
      </c>
      <c r="I14507" t="s">
        <v>30919</v>
      </c>
      <c r="J14507" t="s">
        <v>34345</v>
      </c>
      <c r="K14507" t="s">
        <v>40308</v>
      </c>
      <c r="M14507" t="s">
        <v>43838</v>
      </c>
      <c r="N14507" t="s">
        <v>44759</v>
      </c>
      <c r="O14507" t="s">
        <v>44760</v>
      </c>
      <c r="Q14507">
        <v>2</v>
      </c>
      <c r="R14507" t="s">
        <v>44851</v>
      </c>
      <c r="S14507" t="s">
        <v>46214</v>
      </c>
      <c r="T14507" t="s">
        <v>46414</v>
      </c>
      <c r="U14507" t="s">
        <v>55871</v>
      </c>
      <c r="W14507" t="s">
        <v>43838</v>
      </c>
      <c r="X14507" t="s">
        <v>44853</v>
      </c>
    </row>
    <row r="14508" spans="1:24">
      <c r="A14508">
        <f>HYPERLINK("https://www.philgeps.gov.ph/GEPSNONPILOT/Tender/SplashBidNoticeAbstractUI.aspx?menuIndex=3&amp;refID=6863388&amp;Result=3","6863388")</f>
        <v>0</v>
      </c>
      <c r="B14508" t="s">
        <v>2083</v>
      </c>
      <c r="C14508" t="s">
        <v>17567</v>
      </c>
      <c r="D14508" t="s">
        <v>17959</v>
      </c>
      <c r="E14508" t="s">
        <v>30567</v>
      </c>
      <c r="F14508" t="s">
        <v>30900</v>
      </c>
      <c r="G14508" t="s">
        <v>30907</v>
      </c>
      <c r="H14508" t="s">
        <v>30915</v>
      </c>
      <c r="I14508" t="s">
        <v>30919</v>
      </c>
      <c r="J14508" t="s">
        <v>40021</v>
      </c>
      <c r="K14508" t="s">
        <v>40312</v>
      </c>
      <c r="M14508" t="s">
        <v>42782</v>
      </c>
      <c r="N14508" t="s">
        <v>44759</v>
      </c>
      <c r="O14508" t="s">
        <v>44760</v>
      </c>
      <c r="Q14508">
        <v>155</v>
      </c>
      <c r="R14508" t="s">
        <v>44852</v>
      </c>
      <c r="S14508" t="s">
        <v>46215</v>
      </c>
      <c r="T14508" t="s">
        <v>46374</v>
      </c>
      <c r="U14508" t="s">
        <v>58778</v>
      </c>
      <c r="V14508" t="s">
        <v>60767</v>
      </c>
      <c r="W14508" t="s">
        <v>42782</v>
      </c>
      <c r="X14508" t="s">
        <v>60956</v>
      </c>
    </row>
    <row r="14509" spans="1:24">
      <c r="A14509">
        <f>HYPERLINK("https://www.philgeps.gov.ph/GEPSNONPILOT/Tender/SplashBidNoticeAbstractUI.aspx?menuIndex=3&amp;refID=6863375&amp;Result=3","6863375")</f>
        <v>0</v>
      </c>
      <c r="B14509" t="s">
        <v>2083</v>
      </c>
      <c r="C14509" t="s">
        <v>17568</v>
      </c>
      <c r="D14509" t="s">
        <v>17959</v>
      </c>
      <c r="E14509" t="s">
        <v>30568</v>
      </c>
      <c r="F14509" t="s">
        <v>30900</v>
      </c>
      <c r="G14509" t="s">
        <v>30907</v>
      </c>
      <c r="H14509" t="s">
        <v>30915</v>
      </c>
      <c r="I14509" t="s">
        <v>30919</v>
      </c>
      <c r="J14509" t="s">
        <v>40022</v>
      </c>
      <c r="K14509" t="s">
        <v>40304</v>
      </c>
      <c r="M14509" t="s">
        <v>42782</v>
      </c>
      <c r="N14509" t="s">
        <v>44759</v>
      </c>
      <c r="O14509" t="s">
        <v>44760</v>
      </c>
      <c r="Q14509">
        <v>144</v>
      </c>
      <c r="R14509" t="s">
        <v>44852</v>
      </c>
      <c r="S14509" t="s">
        <v>46216</v>
      </c>
      <c r="T14509" t="s">
        <v>46374</v>
      </c>
      <c r="U14509" t="s">
        <v>58778</v>
      </c>
      <c r="V14509" t="s">
        <v>60768</v>
      </c>
      <c r="W14509" t="s">
        <v>42782</v>
      </c>
      <c r="X14509" t="s">
        <v>60956</v>
      </c>
    </row>
    <row r="14510" spans="1:24">
      <c r="A14510">
        <f>HYPERLINK("https://www.philgeps.gov.ph/GEPSNONPILOT/Tender/SplashBidNoticeAbstractUI.aspx?menuIndex=3&amp;refID=6903358&amp;Result=3","6903358")</f>
        <v>0</v>
      </c>
      <c r="B14510" t="s">
        <v>1314</v>
      </c>
      <c r="C14510" t="s">
        <v>17569</v>
      </c>
      <c r="D14510" t="s">
        <v>17982</v>
      </c>
      <c r="E14510" t="s">
        <v>30569</v>
      </c>
      <c r="F14510" t="s">
        <v>30900</v>
      </c>
      <c r="G14510" t="s">
        <v>30913</v>
      </c>
      <c r="H14510" t="s">
        <v>7411</v>
      </c>
      <c r="I14510" t="s">
        <v>7411</v>
      </c>
      <c r="J14510" t="s">
        <v>35651</v>
      </c>
      <c r="K14510" t="s">
        <v>40289</v>
      </c>
      <c r="L14510" t="s">
        <v>1314</v>
      </c>
      <c r="M14510" t="s">
        <v>41932</v>
      </c>
      <c r="N14510" t="s">
        <v>44759</v>
      </c>
      <c r="O14510" t="s">
        <v>44760</v>
      </c>
      <c r="Q14510">
        <v>13</v>
      </c>
      <c r="R14510" t="s">
        <v>44841</v>
      </c>
      <c r="S14510" t="s">
        <v>45952</v>
      </c>
      <c r="T14510" t="s">
        <v>46531</v>
      </c>
      <c r="U14510" t="s">
        <v>58779</v>
      </c>
      <c r="W14510" t="s">
        <v>41932</v>
      </c>
      <c r="X14510" t="s">
        <v>44847</v>
      </c>
    </row>
    <row r="14511" spans="1:24">
      <c r="A14511">
        <f>HYPERLINK("https://www.philgeps.gov.ph/GEPSNONPILOT/Tender/SplashBidNoticeAbstractUI.aspx?menuIndex=3&amp;refID=6903343&amp;Result=3","6903343")</f>
        <v>0</v>
      </c>
      <c r="B14511" t="s">
        <v>1314</v>
      </c>
      <c r="C14511" t="s">
        <v>17570</v>
      </c>
      <c r="D14511" t="s">
        <v>17969</v>
      </c>
      <c r="E14511" t="s">
        <v>30570</v>
      </c>
      <c r="F14511" t="s">
        <v>30900</v>
      </c>
      <c r="G14511" t="s">
        <v>30913</v>
      </c>
      <c r="H14511" t="s">
        <v>7411</v>
      </c>
      <c r="I14511" t="s">
        <v>7411</v>
      </c>
      <c r="J14511" t="s">
        <v>35132</v>
      </c>
      <c r="K14511" t="s">
        <v>40289</v>
      </c>
      <c r="L14511" t="s">
        <v>1314</v>
      </c>
      <c r="M14511" t="s">
        <v>41932</v>
      </c>
      <c r="N14511" t="s">
        <v>44759</v>
      </c>
      <c r="O14511" t="s">
        <v>44760</v>
      </c>
      <c r="Q14511">
        <v>11</v>
      </c>
      <c r="R14511" t="s">
        <v>44841</v>
      </c>
      <c r="S14511" t="s">
        <v>46217</v>
      </c>
      <c r="T14511" t="s">
        <v>46531</v>
      </c>
      <c r="U14511" t="s">
        <v>58780</v>
      </c>
      <c r="W14511" t="s">
        <v>41932</v>
      </c>
      <c r="X14511" t="s">
        <v>44847</v>
      </c>
    </row>
    <row r="14512" spans="1:24">
      <c r="A14512">
        <f>HYPERLINK("https://www.philgeps.gov.ph/GEPSNONPILOT/Tender/SplashBidNoticeAbstractUI.aspx?menuIndex=3&amp;refID=6856777&amp;Result=3","6856777")</f>
        <v>0</v>
      </c>
      <c r="B14512" t="s">
        <v>281</v>
      </c>
      <c r="C14512" t="s">
        <v>7736</v>
      </c>
      <c r="D14512" t="s">
        <v>17952</v>
      </c>
      <c r="E14512" t="s">
        <v>30571</v>
      </c>
      <c r="F14512" t="s">
        <v>30900</v>
      </c>
      <c r="G14512" t="s">
        <v>30908</v>
      </c>
      <c r="H14512" t="s">
        <v>30916</v>
      </c>
      <c r="I14512" t="s">
        <v>30952</v>
      </c>
      <c r="J14512" t="s">
        <v>40023</v>
      </c>
      <c r="K14512" t="s">
        <v>40283</v>
      </c>
      <c r="M14512" t="s">
        <v>40828</v>
      </c>
      <c r="N14512" t="s">
        <v>44759</v>
      </c>
      <c r="O14512" t="s">
        <v>44760</v>
      </c>
      <c r="Q14512">
        <v>1</v>
      </c>
      <c r="R14512" t="s">
        <v>44850</v>
      </c>
      <c r="S14512" t="s">
        <v>45684</v>
      </c>
      <c r="T14512" t="s">
        <v>46393</v>
      </c>
      <c r="U14512" t="s">
        <v>58781</v>
      </c>
      <c r="W14512" t="s">
        <v>40828</v>
      </c>
      <c r="X14512" t="s">
        <v>44846</v>
      </c>
    </row>
    <row r="14513" spans="1:24">
      <c r="A14513">
        <f>HYPERLINK("https://www.philgeps.gov.ph/GEPSNONPILOT/Tender/SplashBidNoticeAbstractUI.aspx?menuIndex=3&amp;refID=6902982&amp;Result=3","6902982")</f>
        <v>0</v>
      </c>
      <c r="B14513" t="s">
        <v>1919</v>
      </c>
      <c r="C14513" t="s">
        <v>17571</v>
      </c>
      <c r="D14513" t="s">
        <v>17953</v>
      </c>
      <c r="E14513" t="s">
        <v>30572</v>
      </c>
      <c r="F14513" t="s">
        <v>30900</v>
      </c>
      <c r="G14513" t="s">
        <v>30907</v>
      </c>
      <c r="H14513" t="s">
        <v>30915</v>
      </c>
      <c r="I14513" t="s">
        <v>30919</v>
      </c>
      <c r="J14513" t="s">
        <v>40024</v>
      </c>
      <c r="K14513" t="s">
        <v>40318</v>
      </c>
      <c r="M14513" t="s">
        <v>42597</v>
      </c>
      <c r="N14513" t="s">
        <v>44759</v>
      </c>
      <c r="O14513" t="s">
        <v>44760</v>
      </c>
      <c r="Q14513">
        <v>21</v>
      </c>
      <c r="R14513" t="s">
        <v>44841</v>
      </c>
      <c r="S14513" t="s">
        <v>46218</v>
      </c>
      <c r="T14513" t="s">
        <v>46689</v>
      </c>
      <c r="U14513" t="s">
        <v>58782</v>
      </c>
      <c r="V14513" t="s">
        <v>60650</v>
      </c>
      <c r="W14513" t="s">
        <v>60876</v>
      </c>
      <c r="X14513" t="s">
        <v>44847</v>
      </c>
    </row>
    <row r="14514" spans="1:24">
      <c r="A14514">
        <f>HYPERLINK("https://www.philgeps.gov.ph/GEPSNONPILOT/Tender/SplashBidNoticeAbstractUI.aspx?menuIndex=3&amp;refID=6822892&amp;Result=3","6822892")</f>
        <v>0</v>
      </c>
      <c r="B14514" t="s">
        <v>3727</v>
      </c>
      <c r="C14514" t="s">
        <v>17572</v>
      </c>
      <c r="D14514" t="s">
        <v>18040</v>
      </c>
      <c r="E14514" t="s">
        <v>30573</v>
      </c>
      <c r="F14514" t="s">
        <v>30900</v>
      </c>
      <c r="G14514" t="s">
        <v>30907</v>
      </c>
      <c r="H14514" t="s">
        <v>30915</v>
      </c>
      <c r="I14514" t="s">
        <v>30948</v>
      </c>
      <c r="J14514" t="s">
        <v>40025</v>
      </c>
      <c r="K14514" t="s">
        <v>40301</v>
      </c>
      <c r="M14514" t="s">
        <v>44708</v>
      </c>
      <c r="N14514" t="s">
        <v>44759</v>
      </c>
      <c r="O14514" t="s">
        <v>44760</v>
      </c>
      <c r="Q14514">
        <v>8</v>
      </c>
      <c r="R14514" t="s">
        <v>44853</v>
      </c>
      <c r="S14514" t="s">
        <v>46219</v>
      </c>
      <c r="T14514" t="s">
        <v>46534</v>
      </c>
      <c r="U14514" t="s">
        <v>58783</v>
      </c>
      <c r="W14514" t="s">
        <v>44708</v>
      </c>
      <c r="X14514" t="s">
        <v>60984</v>
      </c>
    </row>
    <row r="14515" spans="1:24">
      <c r="A14515">
        <f>HYPERLINK("https://www.philgeps.gov.ph/GEPSNONPILOT/Tender/SplashBidNoticeAbstractUI.aspx?menuIndex=3&amp;refID=6859210&amp;Result=3","6859210")</f>
        <v>0</v>
      </c>
      <c r="B14515" t="s">
        <v>281</v>
      </c>
      <c r="C14515" t="s">
        <v>17573</v>
      </c>
      <c r="D14515" t="s">
        <v>17952</v>
      </c>
      <c r="E14515" t="s">
        <v>30574</v>
      </c>
      <c r="F14515" t="s">
        <v>30900</v>
      </c>
      <c r="G14515" t="s">
        <v>30908</v>
      </c>
      <c r="H14515" t="s">
        <v>30917</v>
      </c>
      <c r="I14515" t="s">
        <v>30942</v>
      </c>
      <c r="J14515" t="s">
        <v>31614</v>
      </c>
      <c r="K14515" t="s">
        <v>40283</v>
      </c>
      <c r="M14515" t="s">
        <v>40828</v>
      </c>
      <c r="N14515" t="s">
        <v>44759</v>
      </c>
      <c r="O14515" t="s">
        <v>44760</v>
      </c>
      <c r="Q14515">
        <v>7</v>
      </c>
      <c r="R14515" t="s">
        <v>44850</v>
      </c>
      <c r="S14515" t="s">
        <v>45492</v>
      </c>
      <c r="T14515" t="s">
        <v>46393</v>
      </c>
      <c r="U14515" t="s">
        <v>58784</v>
      </c>
      <c r="W14515" t="s">
        <v>40828</v>
      </c>
      <c r="X14515" t="s">
        <v>44846</v>
      </c>
    </row>
    <row r="14516" spans="1:24">
      <c r="A14516">
        <f>HYPERLINK("https://www.philgeps.gov.ph/GEPSNONPILOT/Tender/SplashBidNoticeAbstractUI.aspx?menuIndex=3&amp;refID=6906186&amp;Result=3","6906186")</f>
        <v>0</v>
      </c>
      <c r="B14516" t="s">
        <v>2973</v>
      </c>
      <c r="C14516" t="s">
        <v>17574</v>
      </c>
      <c r="D14516" t="s">
        <v>17993</v>
      </c>
      <c r="E14516" t="s">
        <v>26219</v>
      </c>
      <c r="F14516" t="s">
        <v>30900</v>
      </c>
      <c r="G14516" t="s">
        <v>30907</v>
      </c>
      <c r="H14516" t="s">
        <v>30915</v>
      </c>
      <c r="I14516" t="s">
        <v>30919</v>
      </c>
      <c r="J14516" t="s">
        <v>40026</v>
      </c>
      <c r="K14516" t="s">
        <v>40428</v>
      </c>
      <c r="M14516" t="s">
        <v>43775</v>
      </c>
      <c r="N14516" t="s">
        <v>44759</v>
      </c>
      <c r="O14516" t="s">
        <v>44760</v>
      </c>
      <c r="Q14516">
        <v>3</v>
      </c>
      <c r="R14516" t="s">
        <v>44835</v>
      </c>
      <c r="S14516" t="s">
        <v>46220</v>
      </c>
      <c r="T14516" t="s">
        <v>46947</v>
      </c>
      <c r="U14516" t="s">
        <v>58785</v>
      </c>
      <c r="W14516" t="s">
        <v>43775</v>
      </c>
      <c r="X14516" t="s">
        <v>44841</v>
      </c>
    </row>
    <row r="14517" spans="1:24">
      <c r="A14517">
        <f>HYPERLINK("https://www.philgeps.gov.ph/GEPSNONPILOT/Tender/SplashBidNoticeAbstractUI.aspx?menuIndex=3&amp;refID=6905957&amp;Result=3","6905957")</f>
        <v>0</v>
      </c>
      <c r="B14517" t="s">
        <v>2973</v>
      </c>
      <c r="C14517" t="s">
        <v>17575</v>
      </c>
      <c r="D14517" t="s">
        <v>17993</v>
      </c>
      <c r="E14517" t="s">
        <v>26219</v>
      </c>
      <c r="F14517" t="s">
        <v>30900</v>
      </c>
      <c r="G14517" t="s">
        <v>30907</v>
      </c>
      <c r="H14517" t="s">
        <v>30915</v>
      </c>
      <c r="I14517" t="s">
        <v>30919</v>
      </c>
      <c r="J14517" t="s">
        <v>40027</v>
      </c>
      <c r="K14517" t="s">
        <v>40299</v>
      </c>
      <c r="M14517" t="s">
        <v>43775</v>
      </c>
      <c r="N14517" t="s">
        <v>44759</v>
      </c>
      <c r="O14517" t="s">
        <v>44760</v>
      </c>
      <c r="Q14517">
        <v>6</v>
      </c>
      <c r="R14517" t="s">
        <v>44835</v>
      </c>
      <c r="S14517" t="s">
        <v>46221</v>
      </c>
      <c r="T14517" t="s">
        <v>46947</v>
      </c>
      <c r="U14517" t="s">
        <v>58786</v>
      </c>
      <c r="W14517" t="s">
        <v>43775</v>
      </c>
      <c r="X14517" t="s">
        <v>44841</v>
      </c>
    </row>
    <row r="14518" spans="1:24">
      <c r="A14518">
        <f>HYPERLINK("https://www.philgeps.gov.ph/GEPSNONPILOT/Tender/SplashBidNoticeAbstractUI.aspx?menuIndex=3&amp;refID=6823233&amp;Result=3","6823233")</f>
        <v>0</v>
      </c>
      <c r="B14518" t="s">
        <v>3727</v>
      </c>
      <c r="C14518" t="s">
        <v>17576</v>
      </c>
      <c r="E14518" t="s">
        <v>30575</v>
      </c>
      <c r="F14518" t="s">
        <v>30900</v>
      </c>
      <c r="G14518" t="s">
        <v>30907</v>
      </c>
      <c r="H14518" t="s">
        <v>30916</v>
      </c>
      <c r="I14518" t="s">
        <v>30936</v>
      </c>
      <c r="J14518" t="s">
        <v>40028</v>
      </c>
      <c r="K14518" t="s">
        <v>40289</v>
      </c>
      <c r="M14518" t="s">
        <v>44713</v>
      </c>
      <c r="N14518" t="s">
        <v>44759</v>
      </c>
      <c r="O14518" t="s">
        <v>44760</v>
      </c>
      <c r="Q14518">
        <v>6</v>
      </c>
      <c r="R14518" t="s">
        <v>44853</v>
      </c>
      <c r="S14518" t="s">
        <v>45561</v>
      </c>
      <c r="T14518" t="s">
        <v>46517</v>
      </c>
      <c r="U14518" t="s">
        <v>58787</v>
      </c>
      <c r="W14518" t="s">
        <v>60949</v>
      </c>
      <c r="X14518" t="s">
        <v>60984</v>
      </c>
    </row>
    <row r="14519" spans="1:24">
      <c r="A14519">
        <f>HYPERLINK("https://www.philgeps.gov.ph/GEPSNONPILOT/Tender/SplashBidNoticeAbstractUI.aspx?menuIndex=3&amp;refID=6910981&amp;Result=3","6910981")</f>
        <v>0</v>
      </c>
      <c r="B14519" t="s">
        <v>3727</v>
      </c>
      <c r="C14519" t="s">
        <v>17577</v>
      </c>
      <c r="D14519" t="s">
        <v>17959</v>
      </c>
      <c r="E14519" t="s">
        <v>30576</v>
      </c>
      <c r="F14519" t="s">
        <v>30900</v>
      </c>
      <c r="G14519" t="s">
        <v>30907</v>
      </c>
      <c r="H14519" t="s">
        <v>30916</v>
      </c>
      <c r="I14519" t="s">
        <v>31006</v>
      </c>
      <c r="J14519" t="s">
        <v>40029</v>
      </c>
      <c r="K14519" t="s">
        <v>40332</v>
      </c>
      <c r="M14519" t="s">
        <v>44708</v>
      </c>
      <c r="N14519" t="s">
        <v>44759</v>
      </c>
      <c r="O14519" t="s">
        <v>44760</v>
      </c>
      <c r="Q14519">
        <v>6</v>
      </c>
      <c r="R14519" t="s">
        <v>44837</v>
      </c>
      <c r="S14519" t="s">
        <v>45152</v>
      </c>
      <c r="T14519" t="s">
        <v>46553</v>
      </c>
      <c r="U14519" t="s">
        <v>58788</v>
      </c>
      <c r="W14519" t="s">
        <v>44708</v>
      </c>
      <c r="X14519" t="s">
        <v>44835</v>
      </c>
    </row>
    <row r="14520" spans="1:24">
      <c r="A14520">
        <f>HYPERLINK("https://www.philgeps.gov.ph/GEPSNONPILOT/Tender/SplashBidNoticeAbstractUI.aspx?menuIndex=3&amp;refID=6903240&amp;Result=3","6903240")</f>
        <v>0</v>
      </c>
      <c r="B14520" t="s">
        <v>1953</v>
      </c>
      <c r="C14520" t="s">
        <v>17578</v>
      </c>
      <c r="D14520" t="s">
        <v>17969</v>
      </c>
      <c r="E14520" t="s">
        <v>30577</v>
      </c>
      <c r="F14520" t="s">
        <v>30900</v>
      </c>
      <c r="G14520" t="s">
        <v>30907</v>
      </c>
      <c r="H14520" t="s">
        <v>30915</v>
      </c>
      <c r="I14520" t="s">
        <v>30919</v>
      </c>
      <c r="J14520" t="s">
        <v>40030</v>
      </c>
      <c r="K14520" t="s">
        <v>40292</v>
      </c>
      <c r="M14520" t="s">
        <v>42637</v>
      </c>
      <c r="N14520" t="s">
        <v>44759</v>
      </c>
      <c r="O14520" t="s">
        <v>44760</v>
      </c>
      <c r="Q14520">
        <v>22</v>
      </c>
      <c r="R14520" t="s">
        <v>44841</v>
      </c>
      <c r="S14520" t="s">
        <v>46222</v>
      </c>
      <c r="T14520" t="s">
        <v>46520</v>
      </c>
      <c r="U14520" t="s">
        <v>58789</v>
      </c>
      <c r="V14520" t="s">
        <v>60769</v>
      </c>
      <c r="W14520" t="s">
        <v>42637</v>
      </c>
      <c r="X14520" t="s">
        <v>44847</v>
      </c>
    </row>
    <row r="14521" spans="1:24">
      <c r="A14521">
        <f>HYPERLINK("https://www.philgeps.gov.ph/GEPSNONPILOT/Tender/SplashBidNoticeAbstractUI.aspx?menuIndex=3&amp;refID=6845530&amp;Result=3","6845530")</f>
        <v>0</v>
      </c>
      <c r="B14521" t="s">
        <v>2083</v>
      </c>
      <c r="C14521" t="s">
        <v>17579</v>
      </c>
      <c r="D14521" t="s">
        <v>17959</v>
      </c>
      <c r="E14521" t="s">
        <v>30578</v>
      </c>
      <c r="F14521" t="s">
        <v>30900</v>
      </c>
      <c r="G14521" t="s">
        <v>30907</v>
      </c>
      <c r="H14521" t="s">
        <v>30915</v>
      </c>
      <c r="I14521" t="s">
        <v>30919</v>
      </c>
      <c r="J14521" t="s">
        <v>40031</v>
      </c>
      <c r="K14521" t="s">
        <v>40301</v>
      </c>
      <c r="M14521" t="s">
        <v>42782</v>
      </c>
      <c r="N14521" t="s">
        <v>44759</v>
      </c>
      <c r="O14521" t="s">
        <v>44760</v>
      </c>
      <c r="Q14521">
        <v>173</v>
      </c>
      <c r="R14521" t="s">
        <v>44845</v>
      </c>
      <c r="S14521" t="s">
        <v>46137</v>
      </c>
      <c r="T14521" t="s">
        <v>46374</v>
      </c>
      <c r="U14521" t="s">
        <v>51800</v>
      </c>
      <c r="V14521" t="s">
        <v>60770</v>
      </c>
      <c r="W14521" t="s">
        <v>42782</v>
      </c>
      <c r="X14521" t="s">
        <v>44844</v>
      </c>
    </row>
    <row r="14522" spans="1:24">
      <c r="A14522">
        <f>HYPERLINK("https://www.philgeps.gov.ph/GEPSNONPILOT/Tender/SplashBidNoticeAbstractUI.aspx?menuIndex=3&amp;refID=6918395&amp;Result=3","6918395")</f>
        <v>0</v>
      </c>
      <c r="B14522" t="s">
        <v>1689</v>
      </c>
      <c r="C14522" t="s">
        <v>17580</v>
      </c>
      <c r="D14522" t="s">
        <v>17952</v>
      </c>
      <c r="E14522" t="s">
        <v>20204</v>
      </c>
      <c r="F14522" t="s">
        <v>30900</v>
      </c>
      <c r="G14522" t="s">
        <v>30909</v>
      </c>
      <c r="H14522" t="s">
        <v>30916</v>
      </c>
      <c r="I14522" t="s">
        <v>9385</v>
      </c>
      <c r="J14522" t="s">
        <v>36955</v>
      </c>
      <c r="K14522" t="s">
        <v>40289</v>
      </c>
      <c r="M14522" t="s">
        <v>42349</v>
      </c>
      <c r="N14522" t="s">
        <v>44759</v>
      </c>
      <c r="O14522" t="s">
        <v>44760</v>
      </c>
      <c r="Q14522">
        <v>8</v>
      </c>
      <c r="R14522" t="s">
        <v>44854</v>
      </c>
      <c r="S14522" t="s">
        <v>45844</v>
      </c>
      <c r="T14522" t="s">
        <v>46391</v>
      </c>
      <c r="U14522" t="s">
        <v>58790</v>
      </c>
      <c r="V14522" t="s">
        <v>59598</v>
      </c>
      <c r="W14522" t="s">
        <v>42349</v>
      </c>
      <c r="X14522" t="s">
        <v>44837</v>
      </c>
    </row>
    <row r="14523" spans="1:24">
      <c r="A14523">
        <f>HYPERLINK("https://www.philgeps.gov.ph/GEPSNONPILOT/Tender/SplashBidNoticeAbstractUI.aspx?menuIndex=3&amp;refID=6924394&amp;Result=3","6924394")</f>
        <v>0</v>
      </c>
      <c r="B14523" t="s">
        <v>3727</v>
      </c>
      <c r="C14523" t="s">
        <v>17581</v>
      </c>
      <c r="D14523" t="s">
        <v>17959</v>
      </c>
      <c r="E14523" t="s">
        <v>30579</v>
      </c>
      <c r="F14523" t="s">
        <v>30900</v>
      </c>
      <c r="G14523" t="s">
        <v>30906</v>
      </c>
      <c r="H14523" t="s">
        <v>30916</v>
      </c>
      <c r="I14523" t="s">
        <v>30933</v>
      </c>
      <c r="J14523" t="s">
        <v>40032</v>
      </c>
      <c r="K14523" t="s">
        <v>40293</v>
      </c>
      <c r="M14523" t="s">
        <v>44708</v>
      </c>
      <c r="N14523" t="s">
        <v>44759</v>
      </c>
      <c r="O14523" t="s">
        <v>44760</v>
      </c>
      <c r="Q14523">
        <v>9</v>
      </c>
      <c r="R14523" t="s">
        <v>44855</v>
      </c>
      <c r="S14523" t="s">
        <v>46223</v>
      </c>
      <c r="T14523" t="s">
        <v>46896</v>
      </c>
      <c r="U14523" t="s">
        <v>58791</v>
      </c>
      <c r="W14523" t="s">
        <v>44708</v>
      </c>
      <c r="X14523" t="s">
        <v>44858</v>
      </c>
    </row>
    <row r="14524" spans="1:24">
      <c r="A14524">
        <f>HYPERLINK("https://www.philgeps.gov.ph/GEPSNONPILOT/Tender/SplashBidNoticeAbstractUI.aspx?menuIndex=3&amp;refID=6863861&amp;Result=3","6863861")</f>
        <v>0</v>
      </c>
      <c r="B14524" t="s">
        <v>3735</v>
      </c>
      <c r="C14524" t="s">
        <v>17582</v>
      </c>
      <c r="D14524" t="s">
        <v>18000</v>
      </c>
      <c r="E14524" t="s">
        <v>30580</v>
      </c>
      <c r="F14524" t="s">
        <v>30900</v>
      </c>
      <c r="G14524" t="s">
        <v>30907</v>
      </c>
      <c r="H14524" t="s">
        <v>30915</v>
      </c>
      <c r="I14524" t="s">
        <v>30919</v>
      </c>
      <c r="J14524" t="s">
        <v>40033</v>
      </c>
      <c r="K14524" t="s">
        <v>40304</v>
      </c>
      <c r="M14524" t="s">
        <v>44719</v>
      </c>
      <c r="N14524" t="s">
        <v>44759</v>
      </c>
      <c r="O14524" t="s">
        <v>44760</v>
      </c>
      <c r="Q14524">
        <v>6</v>
      </c>
      <c r="R14524" t="s">
        <v>44852</v>
      </c>
      <c r="S14524" t="s">
        <v>46224</v>
      </c>
      <c r="T14524" t="s">
        <v>46702</v>
      </c>
      <c r="U14524" t="s">
        <v>58792</v>
      </c>
      <c r="W14524" t="s">
        <v>44719</v>
      </c>
      <c r="X14524" t="s">
        <v>44850</v>
      </c>
    </row>
    <row r="14525" spans="1:24">
      <c r="A14525">
        <f>HYPERLINK("https://www.philgeps.gov.ph/GEPSNONPILOT/Tender/SplashBidNoticeAbstractUI.aspx?menuIndex=3&amp;refID=6923450&amp;Result=3","6923450")</f>
        <v>0</v>
      </c>
      <c r="B14525" t="s">
        <v>3454</v>
      </c>
      <c r="C14525" t="s">
        <v>17583</v>
      </c>
      <c r="D14525" t="s">
        <v>17959</v>
      </c>
      <c r="E14525" t="s">
        <v>30581</v>
      </c>
      <c r="F14525" t="s">
        <v>30900</v>
      </c>
      <c r="G14525" t="s">
        <v>30907</v>
      </c>
      <c r="H14525" t="s">
        <v>30915</v>
      </c>
      <c r="I14525" t="s">
        <v>30919</v>
      </c>
      <c r="J14525" t="s">
        <v>40034</v>
      </c>
      <c r="K14525" t="s">
        <v>40341</v>
      </c>
      <c r="M14525" t="s">
        <v>44338</v>
      </c>
      <c r="N14525" t="s">
        <v>44759</v>
      </c>
      <c r="O14525" t="s">
        <v>44760</v>
      </c>
      <c r="Q14525">
        <v>57</v>
      </c>
      <c r="R14525" t="s">
        <v>44855</v>
      </c>
      <c r="S14525" t="s">
        <v>46225</v>
      </c>
      <c r="T14525" t="s">
        <v>46634</v>
      </c>
      <c r="U14525" t="s">
        <v>58793</v>
      </c>
      <c r="W14525" t="s">
        <v>44338</v>
      </c>
      <c r="X14525" t="s">
        <v>44858</v>
      </c>
    </row>
    <row r="14526" spans="1:24">
      <c r="A14526">
        <f>HYPERLINK("https://www.philgeps.gov.ph/GEPSNONPILOT/Tender/SplashBidNoticeAbstractUI.aspx?menuIndex=3&amp;refID=6928194&amp;Result=3","6928194")</f>
        <v>0</v>
      </c>
      <c r="B14526" t="s">
        <v>1584</v>
      </c>
      <c r="C14526" t="s">
        <v>17584</v>
      </c>
      <c r="D14526" t="s">
        <v>18025</v>
      </c>
      <c r="E14526" t="s">
        <v>30582</v>
      </c>
      <c r="F14526" t="s">
        <v>30900</v>
      </c>
      <c r="G14526" t="s">
        <v>30907</v>
      </c>
      <c r="H14526" t="s">
        <v>30916</v>
      </c>
      <c r="I14526" t="s">
        <v>30978</v>
      </c>
      <c r="J14526" t="s">
        <v>40035</v>
      </c>
      <c r="K14526" t="s">
        <v>40319</v>
      </c>
      <c r="M14526" t="s">
        <v>42857</v>
      </c>
      <c r="N14526" t="s">
        <v>44759</v>
      </c>
      <c r="O14526" t="s">
        <v>44760</v>
      </c>
      <c r="Q14526">
        <v>11</v>
      </c>
      <c r="R14526" t="s">
        <v>44856</v>
      </c>
      <c r="S14526" t="s">
        <v>46226</v>
      </c>
      <c r="T14526" t="s">
        <v>46409</v>
      </c>
      <c r="U14526" t="s">
        <v>58794</v>
      </c>
      <c r="W14526" t="s">
        <v>42857</v>
      </c>
      <c r="X14526" t="s">
        <v>44855</v>
      </c>
    </row>
    <row r="14527" spans="1:24">
      <c r="A14527">
        <f>HYPERLINK("https://www.philgeps.gov.ph/GEPSNONPILOT/Tender/SplashBidNoticeAbstractUI.aspx?menuIndex=3&amp;refID=6942146&amp;Result=3","6942146")</f>
        <v>0</v>
      </c>
      <c r="B14527" t="s">
        <v>242</v>
      </c>
      <c r="C14527" t="s">
        <v>17585</v>
      </c>
      <c r="D14527" t="s">
        <v>17993</v>
      </c>
      <c r="E14527" t="s">
        <v>30583</v>
      </c>
      <c r="F14527" t="s">
        <v>30900</v>
      </c>
      <c r="G14527" t="s">
        <v>30907</v>
      </c>
      <c r="H14527" t="s">
        <v>30915</v>
      </c>
      <c r="I14527" t="s">
        <v>30919</v>
      </c>
      <c r="J14527" t="s">
        <v>40036</v>
      </c>
      <c r="K14527" t="s">
        <v>40342</v>
      </c>
      <c r="M14527" t="s">
        <v>40789</v>
      </c>
      <c r="N14527" t="s">
        <v>44759</v>
      </c>
      <c r="O14527" t="s">
        <v>44760</v>
      </c>
      <c r="Q14527">
        <v>5</v>
      </c>
      <c r="R14527" t="s">
        <v>44821</v>
      </c>
      <c r="S14527" t="s">
        <v>46227</v>
      </c>
      <c r="T14527" t="s">
        <v>46403</v>
      </c>
      <c r="U14527" t="s">
        <v>58795</v>
      </c>
      <c r="W14527" t="s">
        <v>40789</v>
      </c>
      <c r="X14527" t="s">
        <v>44833</v>
      </c>
    </row>
    <row r="14528" spans="1:24">
      <c r="A14528">
        <f>HYPERLINK("https://www.philgeps.gov.ph/GEPSNONPILOT/Tender/SplashBidNoticeAbstractUI.aspx?menuIndex=3&amp;refID=6941385&amp;Result=3","6941385")</f>
        <v>0</v>
      </c>
      <c r="B14528" t="s">
        <v>38</v>
      </c>
      <c r="C14528" t="s">
        <v>17586</v>
      </c>
      <c r="D14528" t="s">
        <v>17964</v>
      </c>
      <c r="E14528" t="s">
        <v>30584</v>
      </c>
      <c r="F14528" t="s">
        <v>30900</v>
      </c>
      <c r="G14528" t="s">
        <v>30907</v>
      </c>
      <c r="H14528" t="s">
        <v>30916</v>
      </c>
      <c r="I14528" t="s">
        <v>8123</v>
      </c>
      <c r="J14528" t="s">
        <v>40037</v>
      </c>
      <c r="K14528" t="s">
        <v>40283</v>
      </c>
      <c r="L14528" t="s">
        <v>38</v>
      </c>
      <c r="M14528" t="s">
        <v>44472</v>
      </c>
      <c r="N14528" t="s">
        <v>44759</v>
      </c>
      <c r="O14528" t="s">
        <v>44760</v>
      </c>
      <c r="Q14528">
        <v>2</v>
      </c>
      <c r="R14528" t="s">
        <v>44821</v>
      </c>
      <c r="S14528" t="s">
        <v>46228</v>
      </c>
      <c r="T14528" t="s">
        <v>46425</v>
      </c>
      <c r="U14528" t="s">
        <v>58796</v>
      </c>
      <c r="V14528" t="s">
        <v>60563</v>
      </c>
      <c r="W14528" t="s">
        <v>44472</v>
      </c>
      <c r="X14528" t="s">
        <v>44833</v>
      </c>
    </row>
    <row r="14529" spans="1:24">
      <c r="A14529">
        <f>HYPERLINK("https://www.philgeps.gov.ph/GEPSNONPILOT/Tender/SplashBidNoticeAbstractUI.aspx?menuIndex=3&amp;refID=6941255&amp;Result=3","6941255")</f>
        <v>0</v>
      </c>
      <c r="B14529" t="s">
        <v>38</v>
      </c>
      <c r="C14529" t="s">
        <v>17587</v>
      </c>
      <c r="D14529" t="s">
        <v>17964</v>
      </c>
      <c r="E14529" t="s">
        <v>30585</v>
      </c>
      <c r="F14529" t="s">
        <v>30900</v>
      </c>
      <c r="G14529" t="s">
        <v>30907</v>
      </c>
      <c r="H14529" t="s">
        <v>30915</v>
      </c>
      <c r="I14529" t="s">
        <v>30919</v>
      </c>
      <c r="J14529" t="s">
        <v>40038</v>
      </c>
      <c r="K14529" t="s">
        <v>40280</v>
      </c>
      <c r="L14529" t="s">
        <v>38</v>
      </c>
      <c r="M14529" t="s">
        <v>44472</v>
      </c>
      <c r="N14529" t="s">
        <v>44759</v>
      </c>
      <c r="O14529" t="s">
        <v>44760</v>
      </c>
      <c r="Q14529">
        <v>2</v>
      </c>
      <c r="R14529" t="s">
        <v>44821</v>
      </c>
      <c r="S14529" t="s">
        <v>46229</v>
      </c>
      <c r="T14529" t="s">
        <v>46425</v>
      </c>
      <c r="U14529" t="s">
        <v>58796</v>
      </c>
      <c r="V14529" t="s">
        <v>60562</v>
      </c>
      <c r="W14529" t="s">
        <v>44472</v>
      </c>
      <c r="X14529" t="s">
        <v>44833</v>
      </c>
    </row>
    <row r="14530" spans="1:24">
      <c r="A14530">
        <f>HYPERLINK("https://www.philgeps.gov.ph/GEPSNONPILOT/Tender/SplashBidNoticeAbstractUI.aspx?menuIndex=3&amp;refID=6903317&amp;Result=3","6903317")</f>
        <v>0</v>
      </c>
      <c r="B14530" t="s">
        <v>1314</v>
      </c>
      <c r="C14530" t="s">
        <v>17588</v>
      </c>
      <c r="D14530" t="s">
        <v>18019</v>
      </c>
      <c r="E14530" t="s">
        <v>30586</v>
      </c>
      <c r="F14530" t="s">
        <v>30900</v>
      </c>
      <c r="G14530" t="s">
        <v>30913</v>
      </c>
      <c r="H14530" t="s">
        <v>7411</v>
      </c>
      <c r="I14530" t="s">
        <v>7411</v>
      </c>
      <c r="J14530" t="s">
        <v>39782</v>
      </c>
      <c r="K14530" t="s">
        <v>40289</v>
      </c>
      <c r="L14530" t="s">
        <v>1314</v>
      </c>
      <c r="M14530" t="s">
        <v>41932</v>
      </c>
      <c r="N14530" t="s">
        <v>44759</v>
      </c>
      <c r="O14530" t="s">
        <v>44760</v>
      </c>
      <c r="Q14530">
        <v>13</v>
      </c>
      <c r="R14530" t="s">
        <v>44855</v>
      </c>
      <c r="S14530" t="s">
        <v>45253</v>
      </c>
      <c r="T14530" t="s">
        <v>46531</v>
      </c>
      <c r="U14530" t="s">
        <v>58797</v>
      </c>
      <c r="W14530" t="s">
        <v>41932</v>
      </c>
      <c r="X14530" t="s">
        <v>44847</v>
      </c>
    </row>
    <row r="14531" spans="1:24">
      <c r="A14531">
        <f>HYPERLINK("https://www.philgeps.gov.ph/GEPSNONPILOT/Tender/SplashBidNoticeAbstractUI.aspx?menuIndex=3&amp;refID=6938760&amp;Result=3","6938760")</f>
        <v>0</v>
      </c>
      <c r="B14531" t="s">
        <v>3727</v>
      </c>
      <c r="C14531" t="s">
        <v>17589</v>
      </c>
      <c r="D14531" t="s">
        <v>17959</v>
      </c>
      <c r="E14531" t="s">
        <v>30587</v>
      </c>
      <c r="F14531" t="s">
        <v>30900</v>
      </c>
      <c r="G14531" t="s">
        <v>30907</v>
      </c>
      <c r="H14531" t="s">
        <v>30916</v>
      </c>
      <c r="I14531" t="s">
        <v>30923</v>
      </c>
      <c r="J14531" t="s">
        <v>40039</v>
      </c>
      <c r="K14531" t="s">
        <v>40292</v>
      </c>
      <c r="M14531" t="s">
        <v>44708</v>
      </c>
      <c r="N14531" t="s">
        <v>44759</v>
      </c>
      <c r="O14531" t="s">
        <v>44760</v>
      </c>
      <c r="Q14531">
        <v>20</v>
      </c>
      <c r="R14531" t="s">
        <v>44821</v>
      </c>
      <c r="S14531" t="s">
        <v>46230</v>
      </c>
      <c r="T14531" t="s">
        <v>46394</v>
      </c>
      <c r="U14531" t="s">
        <v>58798</v>
      </c>
      <c r="W14531" t="s">
        <v>44708</v>
      </c>
      <c r="X14531" t="s">
        <v>44831</v>
      </c>
    </row>
    <row r="14532" spans="1:24">
      <c r="A14532">
        <f>HYPERLINK("https://www.philgeps.gov.ph/GEPSNONPILOT/Tender/SplashBidNoticeAbstractUI.aspx?menuIndex=3&amp;refID=6941500&amp;Result=3","6941500")</f>
        <v>0</v>
      </c>
      <c r="B14532" t="s">
        <v>38</v>
      </c>
      <c r="C14532" t="s">
        <v>17590</v>
      </c>
      <c r="D14532" t="s">
        <v>17964</v>
      </c>
      <c r="E14532" t="s">
        <v>30588</v>
      </c>
      <c r="F14532" t="s">
        <v>30900</v>
      </c>
      <c r="G14532" t="s">
        <v>30907</v>
      </c>
      <c r="H14532" t="s">
        <v>30916</v>
      </c>
      <c r="I14532" t="s">
        <v>8123</v>
      </c>
      <c r="J14532" t="s">
        <v>40040</v>
      </c>
      <c r="K14532" t="s">
        <v>40283</v>
      </c>
      <c r="L14532" t="s">
        <v>38</v>
      </c>
      <c r="M14532" t="s">
        <v>44472</v>
      </c>
      <c r="N14532" t="s">
        <v>44759</v>
      </c>
      <c r="O14532" t="s">
        <v>44760</v>
      </c>
      <c r="Q14532">
        <v>2</v>
      </c>
      <c r="R14532" t="s">
        <v>44821</v>
      </c>
      <c r="S14532" t="s">
        <v>46231</v>
      </c>
      <c r="T14532" t="s">
        <v>46425</v>
      </c>
      <c r="U14532" t="s">
        <v>58796</v>
      </c>
      <c r="V14532" t="s">
        <v>60563</v>
      </c>
      <c r="W14532" t="s">
        <v>44472</v>
      </c>
      <c r="X14532" t="s">
        <v>44833</v>
      </c>
    </row>
    <row r="14533" spans="1:24">
      <c r="A14533">
        <f>HYPERLINK("https://www.philgeps.gov.ph/GEPSNONPILOT/Tender/SplashBidNoticeAbstractUI.aspx?menuIndex=3&amp;refID=6986257&amp;Result=3","6986257")</f>
        <v>0</v>
      </c>
      <c r="B14533" t="s">
        <v>909</v>
      </c>
      <c r="C14533" t="s">
        <v>17591</v>
      </c>
      <c r="E14533" t="s">
        <v>30589</v>
      </c>
      <c r="F14533" t="s">
        <v>30900</v>
      </c>
      <c r="G14533" t="s">
        <v>30907</v>
      </c>
      <c r="H14533" t="s">
        <v>30915</v>
      </c>
      <c r="I14533" t="s">
        <v>30919</v>
      </c>
      <c r="J14533" t="s">
        <v>40041</v>
      </c>
      <c r="K14533" t="s">
        <v>40289</v>
      </c>
      <c r="M14533" t="s">
        <v>41486</v>
      </c>
      <c r="N14533" t="s">
        <v>44759</v>
      </c>
      <c r="O14533" t="s">
        <v>44760</v>
      </c>
      <c r="Q14533">
        <v>27</v>
      </c>
      <c r="R14533" t="s">
        <v>44814</v>
      </c>
      <c r="S14533" t="s">
        <v>45927</v>
      </c>
      <c r="T14533" t="s">
        <v>46428</v>
      </c>
      <c r="U14533" t="s">
        <v>58799</v>
      </c>
      <c r="W14533" t="s">
        <v>60844</v>
      </c>
      <c r="X14533" t="s">
        <v>60968</v>
      </c>
    </row>
    <row r="14534" spans="1:24">
      <c r="A14534">
        <f>HYPERLINK("https://www.philgeps.gov.ph/GEPSNONPILOT/Tender/SplashBidNoticeAbstractUI.aspx?menuIndex=3&amp;refID=7037808&amp;Result=3","7037808")</f>
        <v>0</v>
      </c>
      <c r="B14534" t="s">
        <v>1640</v>
      </c>
      <c r="C14534" t="s">
        <v>17592</v>
      </c>
      <c r="D14534" t="s">
        <v>18013</v>
      </c>
      <c r="E14534" t="s">
        <v>30590</v>
      </c>
      <c r="F14534" t="s">
        <v>30900</v>
      </c>
      <c r="G14534" t="s">
        <v>30907</v>
      </c>
      <c r="H14534" t="s">
        <v>30915</v>
      </c>
      <c r="I14534" t="s">
        <v>30919</v>
      </c>
      <c r="J14534" t="s">
        <v>32964</v>
      </c>
      <c r="K14534" t="s">
        <v>40407</v>
      </c>
      <c r="M14534" t="s">
        <v>42296</v>
      </c>
      <c r="N14534" t="s">
        <v>44759</v>
      </c>
      <c r="O14534" t="s">
        <v>44760</v>
      </c>
      <c r="Q14534">
        <v>3</v>
      </c>
      <c r="R14534" t="s">
        <v>44857</v>
      </c>
      <c r="S14534" t="s">
        <v>46232</v>
      </c>
      <c r="T14534" t="s">
        <v>46404</v>
      </c>
      <c r="U14534" t="s">
        <v>58800</v>
      </c>
      <c r="W14534" t="s">
        <v>42296</v>
      </c>
      <c r="X14534" t="s">
        <v>60960</v>
      </c>
    </row>
    <row r="14535" spans="1:24">
      <c r="A14535">
        <f>HYPERLINK("https://www.philgeps.gov.ph/GEPSNONPILOT/Tender/SplashBidNoticeAbstractUI.aspx?menuIndex=3&amp;refID=6986391&amp;Result=3","6986391")</f>
        <v>0</v>
      </c>
      <c r="B14535" t="s">
        <v>3736</v>
      </c>
      <c r="C14535" t="s">
        <v>17593</v>
      </c>
      <c r="D14535" t="s">
        <v>17984</v>
      </c>
      <c r="E14535" t="s">
        <v>30591</v>
      </c>
      <c r="F14535" t="s">
        <v>30900</v>
      </c>
      <c r="G14535" t="s">
        <v>30907</v>
      </c>
      <c r="H14535" t="s">
        <v>30915</v>
      </c>
      <c r="I14535" t="s">
        <v>6834</v>
      </c>
      <c r="J14535" t="s">
        <v>32110</v>
      </c>
      <c r="K14535" t="s">
        <v>40304</v>
      </c>
      <c r="M14535" t="s">
        <v>44720</v>
      </c>
      <c r="N14535" t="s">
        <v>44759</v>
      </c>
      <c r="O14535" t="s">
        <v>44760</v>
      </c>
      <c r="Q14535">
        <v>15</v>
      </c>
      <c r="R14535" t="s">
        <v>44814</v>
      </c>
      <c r="S14535" t="s">
        <v>46233</v>
      </c>
      <c r="T14535" t="s">
        <v>46949</v>
      </c>
      <c r="U14535" t="s">
        <v>58801</v>
      </c>
      <c r="W14535" t="s">
        <v>44720</v>
      </c>
      <c r="X14535" t="s">
        <v>60968</v>
      </c>
    </row>
    <row r="14536" spans="1:24">
      <c r="A14536">
        <f>HYPERLINK("https://www.philgeps.gov.ph/GEPSNONPILOT/Tender/SplashBidNoticeAbstractUI.aspx?menuIndex=3&amp;refID=7030722&amp;Result=3","7030722")</f>
        <v>0</v>
      </c>
      <c r="B14536" t="s">
        <v>2407</v>
      </c>
      <c r="C14536" t="s">
        <v>17594</v>
      </c>
      <c r="D14536" t="s">
        <v>17985</v>
      </c>
      <c r="E14536" t="s">
        <v>30592</v>
      </c>
      <c r="F14536" t="s">
        <v>30900</v>
      </c>
      <c r="G14536" t="s">
        <v>30907</v>
      </c>
      <c r="H14536" t="s">
        <v>30916</v>
      </c>
      <c r="I14536" t="s">
        <v>30945</v>
      </c>
      <c r="J14536" t="s">
        <v>40042</v>
      </c>
      <c r="K14536" t="s">
        <v>40286</v>
      </c>
      <c r="M14536" t="s">
        <v>43284</v>
      </c>
      <c r="N14536" t="s">
        <v>44759</v>
      </c>
      <c r="O14536" t="s">
        <v>44760</v>
      </c>
      <c r="Q14536">
        <v>12</v>
      </c>
      <c r="R14536" t="s">
        <v>44812</v>
      </c>
      <c r="S14536" t="s">
        <v>46234</v>
      </c>
      <c r="T14536" t="s">
        <v>46365</v>
      </c>
      <c r="U14536" t="s">
        <v>58802</v>
      </c>
      <c r="W14536" t="s">
        <v>43284</v>
      </c>
      <c r="X14536" t="s">
        <v>44811</v>
      </c>
    </row>
    <row r="14537" spans="1:24">
      <c r="A14537">
        <f>HYPERLINK("https://www.philgeps.gov.ph/GEPSNONPILOT/Tender/SplashBidNoticeAbstractUI.aspx?menuIndex=3&amp;refID=6924439&amp;Result=3","6924439")</f>
        <v>0</v>
      </c>
      <c r="B14537" t="s">
        <v>866</v>
      </c>
      <c r="C14537" t="s">
        <v>17595</v>
      </c>
      <c r="D14537" t="s">
        <v>17981</v>
      </c>
      <c r="E14537" t="s">
        <v>30593</v>
      </c>
      <c r="F14537" t="s">
        <v>30900</v>
      </c>
      <c r="G14537" t="s">
        <v>30907</v>
      </c>
      <c r="H14537" t="s">
        <v>30915</v>
      </c>
      <c r="I14537" t="s">
        <v>30919</v>
      </c>
      <c r="J14537" t="s">
        <v>40043</v>
      </c>
      <c r="K14537" t="s">
        <v>40338</v>
      </c>
      <c r="M14537" t="s">
        <v>41439</v>
      </c>
      <c r="N14537" t="s">
        <v>44759</v>
      </c>
      <c r="O14537" t="s">
        <v>44760</v>
      </c>
      <c r="Q14537">
        <v>43</v>
      </c>
      <c r="R14537" t="s">
        <v>44855</v>
      </c>
      <c r="S14537" t="s">
        <v>46235</v>
      </c>
      <c r="T14537" t="s">
        <v>46495</v>
      </c>
      <c r="U14537" t="s">
        <v>58803</v>
      </c>
      <c r="V14537" t="s">
        <v>59323</v>
      </c>
      <c r="W14537" t="s">
        <v>41439</v>
      </c>
      <c r="X14537" t="s">
        <v>44858</v>
      </c>
    </row>
    <row r="14538" spans="1:24">
      <c r="A14538">
        <f>HYPERLINK("https://www.philgeps.gov.ph/GEPSNONPILOT/Tender/SplashBidNoticeAbstractUI.aspx?menuIndex=3&amp;refID=6940180&amp;Result=3","6940180")</f>
        <v>0</v>
      </c>
      <c r="B14538" t="s">
        <v>1185</v>
      </c>
      <c r="C14538" t="s">
        <v>17596</v>
      </c>
      <c r="D14538" t="s">
        <v>18011</v>
      </c>
      <c r="E14538" t="s">
        <v>30594</v>
      </c>
      <c r="F14538" t="s">
        <v>30900</v>
      </c>
      <c r="G14538" t="s">
        <v>30907</v>
      </c>
      <c r="H14538" t="s">
        <v>30915</v>
      </c>
      <c r="I14538" t="s">
        <v>30919</v>
      </c>
      <c r="J14538" t="s">
        <v>37738</v>
      </c>
      <c r="K14538" t="s">
        <v>40552</v>
      </c>
      <c r="M14538" t="s">
        <v>42286</v>
      </c>
      <c r="N14538" t="s">
        <v>44759</v>
      </c>
      <c r="O14538" t="s">
        <v>44760</v>
      </c>
      <c r="Q14538">
        <v>2</v>
      </c>
      <c r="R14538" t="s">
        <v>44821</v>
      </c>
      <c r="S14538" t="s">
        <v>46236</v>
      </c>
      <c r="T14538" t="s">
        <v>46421</v>
      </c>
      <c r="U14538" t="s">
        <v>58804</v>
      </c>
      <c r="V14538" t="s">
        <v>60771</v>
      </c>
      <c r="W14538" t="s">
        <v>42286</v>
      </c>
      <c r="X14538" t="s">
        <v>44833</v>
      </c>
    </row>
    <row r="14539" spans="1:24">
      <c r="A14539">
        <f>HYPERLINK("https://www.philgeps.gov.ph/GEPSNONPILOT/Tender/SplashBidNoticeAbstractUI.aspx?menuIndex=3&amp;refID=6915688&amp;Result=3","6915688")</f>
        <v>0</v>
      </c>
      <c r="B14539" t="s">
        <v>281</v>
      </c>
      <c r="C14539" t="s">
        <v>17597</v>
      </c>
      <c r="D14539" t="s">
        <v>17952</v>
      </c>
      <c r="E14539" t="s">
        <v>30595</v>
      </c>
      <c r="F14539" t="s">
        <v>30900</v>
      </c>
      <c r="G14539" t="s">
        <v>30908</v>
      </c>
      <c r="H14539" t="s">
        <v>30915</v>
      </c>
      <c r="I14539" t="s">
        <v>30919</v>
      </c>
      <c r="J14539" t="s">
        <v>31096</v>
      </c>
      <c r="K14539" t="s">
        <v>40302</v>
      </c>
      <c r="M14539" t="s">
        <v>40828</v>
      </c>
      <c r="N14539" t="s">
        <v>44759</v>
      </c>
      <c r="O14539" t="s">
        <v>44760</v>
      </c>
      <c r="Q14539">
        <v>0</v>
      </c>
      <c r="R14539" t="s">
        <v>44858</v>
      </c>
      <c r="S14539" t="s">
        <v>46237</v>
      </c>
      <c r="T14539" t="s">
        <v>46393</v>
      </c>
      <c r="U14539" t="s">
        <v>58805</v>
      </c>
      <c r="W14539" t="s">
        <v>40828</v>
      </c>
      <c r="X14539" t="s">
        <v>44836</v>
      </c>
    </row>
    <row r="14540" spans="1:24">
      <c r="A14540">
        <f>HYPERLINK("https://www.philgeps.gov.ph/GEPSNONPILOT/Tender/SplashBidNoticeAbstractUI.aspx?menuIndex=3&amp;refID=7042784&amp;Result=3","7042784")</f>
        <v>0</v>
      </c>
      <c r="B14540" t="s">
        <v>766</v>
      </c>
      <c r="C14540" t="s">
        <v>17598</v>
      </c>
      <c r="D14540" t="s">
        <v>17959</v>
      </c>
      <c r="E14540" t="s">
        <v>30596</v>
      </c>
      <c r="F14540" t="s">
        <v>30900</v>
      </c>
      <c r="G14540" t="s">
        <v>30907</v>
      </c>
      <c r="H14540" t="s">
        <v>30916</v>
      </c>
      <c r="I14540" t="s">
        <v>4545</v>
      </c>
      <c r="J14540" t="s">
        <v>40044</v>
      </c>
      <c r="K14540" t="s">
        <v>40292</v>
      </c>
      <c r="M14540" t="s">
        <v>42844</v>
      </c>
      <c r="N14540" t="s">
        <v>44759</v>
      </c>
      <c r="O14540" t="s">
        <v>44760</v>
      </c>
      <c r="Q14540">
        <v>25</v>
      </c>
      <c r="R14540" t="s">
        <v>44804</v>
      </c>
      <c r="S14540" t="s">
        <v>46238</v>
      </c>
      <c r="T14540" t="s">
        <v>46950</v>
      </c>
      <c r="U14540" t="s">
        <v>58806</v>
      </c>
      <c r="V14540" t="s">
        <v>60772</v>
      </c>
      <c r="W14540" t="s">
        <v>42844</v>
      </c>
      <c r="X14540" t="s">
        <v>44808</v>
      </c>
    </row>
    <row r="14541" spans="1:24">
      <c r="A14541">
        <f>HYPERLINK("https://www.philgeps.gov.ph/GEPSNONPILOT/Tender/SplashBidNoticeAbstractUI.aspx?menuIndex=3&amp;refID=7040695&amp;Result=3","7040695")</f>
        <v>0</v>
      </c>
      <c r="B14541" t="s">
        <v>418</v>
      </c>
      <c r="C14541" t="s">
        <v>17599</v>
      </c>
      <c r="D14541" t="s">
        <v>17959</v>
      </c>
      <c r="E14541" t="s">
        <v>30597</v>
      </c>
      <c r="F14541" t="s">
        <v>30900</v>
      </c>
      <c r="G14541" t="s">
        <v>30907</v>
      </c>
      <c r="H14541" t="s">
        <v>7411</v>
      </c>
      <c r="I14541" t="s">
        <v>7411</v>
      </c>
      <c r="J14541" t="s">
        <v>31069</v>
      </c>
      <c r="K14541" t="s">
        <v>40426</v>
      </c>
      <c r="M14541" t="s">
        <v>41509</v>
      </c>
      <c r="N14541" t="s">
        <v>44759</v>
      </c>
      <c r="O14541" t="s">
        <v>44760</v>
      </c>
      <c r="Q14541">
        <v>9</v>
      </c>
      <c r="R14541" t="s">
        <v>44808</v>
      </c>
      <c r="S14541" t="s">
        <v>45996</v>
      </c>
      <c r="T14541" t="s">
        <v>46358</v>
      </c>
      <c r="U14541" t="s">
        <v>58807</v>
      </c>
      <c r="W14541" t="s">
        <v>41509</v>
      </c>
      <c r="X14541" t="s">
        <v>44857</v>
      </c>
    </row>
    <row r="14542" spans="1:24">
      <c r="A14542">
        <f>HYPERLINK("https://www.philgeps.gov.ph/GEPSNONPILOT/Tender/SplashBidNoticeAbstractUI.aspx?menuIndex=3&amp;refID=7042522&amp;Result=3","7042522")</f>
        <v>0</v>
      </c>
      <c r="B14542" t="s">
        <v>2872</v>
      </c>
      <c r="C14542" t="s">
        <v>17600</v>
      </c>
      <c r="E14542" t="s">
        <v>30598</v>
      </c>
      <c r="F14542" t="s">
        <v>30900</v>
      </c>
      <c r="G14542" t="s">
        <v>30907</v>
      </c>
      <c r="H14542" t="s">
        <v>30916</v>
      </c>
      <c r="I14542" t="s">
        <v>30924</v>
      </c>
      <c r="J14542" t="s">
        <v>40045</v>
      </c>
      <c r="K14542" t="s">
        <v>40289</v>
      </c>
      <c r="M14542" t="s">
        <v>43661</v>
      </c>
      <c r="N14542" t="s">
        <v>44759</v>
      </c>
      <c r="O14542" t="s">
        <v>44760</v>
      </c>
      <c r="Q14542">
        <v>16</v>
      </c>
      <c r="R14542" t="s">
        <v>44807</v>
      </c>
      <c r="S14542" t="s">
        <v>46239</v>
      </c>
      <c r="T14542" t="s">
        <v>46625</v>
      </c>
      <c r="U14542" t="s">
        <v>58808</v>
      </c>
      <c r="V14542" t="s">
        <v>60773</v>
      </c>
      <c r="W14542" t="s">
        <v>60947</v>
      </c>
      <c r="X14542" t="s">
        <v>44808</v>
      </c>
    </row>
    <row r="14543" spans="1:24">
      <c r="A14543">
        <f>HYPERLINK("https://www.philgeps.gov.ph/GEPSNONPILOT/Tender/SplashBidNoticeAbstractUI.aspx?menuIndex=3&amp;refID=7037247&amp;Result=3","7037247")</f>
        <v>0</v>
      </c>
      <c r="B14543" t="s">
        <v>1088</v>
      </c>
      <c r="C14543" t="s">
        <v>17601</v>
      </c>
      <c r="D14543" t="s">
        <v>17959</v>
      </c>
      <c r="E14543" t="s">
        <v>30599</v>
      </c>
      <c r="F14543" t="s">
        <v>30900</v>
      </c>
      <c r="G14543" t="s">
        <v>30907</v>
      </c>
      <c r="H14543" t="s">
        <v>30916</v>
      </c>
      <c r="I14543" t="s">
        <v>30924</v>
      </c>
      <c r="J14543" t="s">
        <v>32616</v>
      </c>
      <c r="K14543" t="s">
        <v>40292</v>
      </c>
      <c r="M14543" t="s">
        <v>44721</v>
      </c>
      <c r="N14543" t="s">
        <v>44759</v>
      </c>
      <c r="O14543" t="s">
        <v>44760</v>
      </c>
      <c r="Q14543">
        <v>16</v>
      </c>
      <c r="R14543" t="s">
        <v>44857</v>
      </c>
      <c r="S14543" t="s">
        <v>46240</v>
      </c>
      <c r="T14543" t="s">
        <v>46403</v>
      </c>
      <c r="U14543" t="s">
        <v>58809</v>
      </c>
      <c r="W14543" t="s">
        <v>44721</v>
      </c>
      <c r="X14543" t="s">
        <v>60960</v>
      </c>
    </row>
    <row r="14544" spans="1:24">
      <c r="A14544">
        <f>HYPERLINK("https://www.philgeps.gov.ph/GEPSNONPILOT/Tender/SplashBidNoticeAbstractUI.aspx?menuIndex=3&amp;refID=7057039&amp;Result=3","7057039")</f>
        <v>0</v>
      </c>
      <c r="B14544" t="s">
        <v>1232</v>
      </c>
      <c r="C14544" t="s">
        <v>17602</v>
      </c>
      <c r="D14544" t="s">
        <v>17969</v>
      </c>
      <c r="E14544" t="s">
        <v>30600</v>
      </c>
      <c r="F14544" t="s">
        <v>30900</v>
      </c>
      <c r="G14544" t="s">
        <v>30908</v>
      </c>
      <c r="H14544" t="s">
        <v>30916</v>
      </c>
      <c r="I14544" t="s">
        <v>30942</v>
      </c>
      <c r="J14544" t="s">
        <v>31066</v>
      </c>
      <c r="K14544" t="s">
        <v>40286</v>
      </c>
      <c r="M14544" t="s">
        <v>41844</v>
      </c>
      <c r="N14544" t="s">
        <v>44759</v>
      </c>
      <c r="O14544" t="s">
        <v>44760</v>
      </c>
      <c r="Q14544">
        <v>6</v>
      </c>
      <c r="R14544" t="s">
        <v>44859</v>
      </c>
      <c r="S14544" t="s">
        <v>46241</v>
      </c>
      <c r="T14544" t="s">
        <v>46581</v>
      </c>
      <c r="U14544" t="s">
        <v>58810</v>
      </c>
      <c r="W14544" t="s">
        <v>41844</v>
      </c>
      <c r="X14544" t="s">
        <v>60964</v>
      </c>
    </row>
    <row r="14545" spans="1:24">
      <c r="A14545">
        <f>HYPERLINK("https://www.philgeps.gov.ph/GEPSNONPILOT/Tender/SplashBidNoticeAbstractUI.aspx?menuIndex=3&amp;refID=7037792&amp;Result=3","7037792")</f>
        <v>0</v>
      </c>
      <c r="B14545" t="s">
        <v>1640</v>
      </c>
      <c r="C14545" t="s">
        <v>17603</v>
      </c>
      <c r="D14545" t="s">
        <v>18013</v>
      </c>
      <c r="E14545" t="s">
        <v>30601</v>
      </c>
      <c r="F14545" t="s">
        <v>30900</v>
      </c>
      <c r="G14545" t="s">
        <v>30907</v>
      </c>
      <c r="H14545" t="s">
        <v>30915</v>
      </c>
      <c r="I14545" t="s">
        <v>30919</v>
      </c>
      <c r="J14545" t="s">
        <v>32964</v>
      </c>
      <c r="K14545" t="s">
        <v>40407</v>
      </c>
      <c r="M14545" t="s">
        <v>42296</v>
      </c>
      <c r="N14545" t="s">
        <v>44759</v>
      </c>
      <c r="O14545" t="s">
        <v>44760</v>
      </c>
      <c r="Q14545">
        <v>1</v>
      </c>
      <c r="R14545" t="s">
        <v>44857</v>
      </c>
      <c r="S14545" t="s">
        <v>46242</v>
      </c>
      <c r="T14545" t="s">
        <v>46404</v>
      </c>
      <c r="U14545" t="s">
        <v>58800</v>
      </c>
      <c r="W14545" t="s">
        <v>42296</v>
      </c>
      <c r="X14545" t="s">
        <v>60960</v>
      </c>
    </row>
    <row r="14546" spans="1:24">
      <c r="A14546">
        <f>HYPERLINK("https://www.philgeps.gov.ph/GEPSNONPILOT/Tender/SplashBidNoticeAbstractUI.aspx?menuIndex=3&amp;refID=7058414&amp;Result=3","7058414")</f>
        <v>0</v>
      </c>
      <c r="B14546" t="s">
        <v>1833</v>
      </c>
      <c r="C14546" t="s">
        <v>17604</v>
      </c>
      <c r="D14546" t="s">
        <v>18020</v>
      </c>
      <c r="E14546" t="s">
        <v>30602</v>
      </c>
      <c r="F14546" t="s">
        <v>30900</v>
      </c>
      <c r="G14546" t="s">
        <v>30907</v>
      </c>
      <c r="H14546" t="s">
        <v>30915</v>
      </c>
      <c r="I14546" t="s">
        <v>30919</v>
      </c>
      <c r="J14546" t="s">
        <v>39936</v>
      </c>
      <c r="K14546" t="s">
        <v>40312</v>
      </c>
      <c r="M14546" t="s">
        <v>42506</v>
      </c>
      <c r="N14546" t="s">
        <v>44759</v>
      </c>
      <c r="O14546" t="s">
        <v>44760</v>
      </c>
      <c r="Q14546">
        <v>7</v>
      </c>
      <c r="R14546" t="s">
        <v>44801</v>
      </c>
      <c r="S14546" t="s">
        <v>46243</v>
      </c>
      <c r="T14546" t="s">
        <v>46550</v>
      </c>
      <c r="U14546" t="s">
        <v>58630</v>
      </c>
      <c r="W14546" t="s">
        <v>42506</v>
      </c>
      <c r="X14546" t="s">
        <v>44859</v>
      </c>
    </row>
    <row r="14547" spans="1:24">
      <c r="A14547">
        <f>HYPERLINK("https://www.philgeps.gov.ph/GEPSNONPILOT/Tender/SplashBidNoticeAbstractUI.aspx?menuIndex=3&amp;refID=7050791&amp;Result=3","7050791")</f>
        <v>0</v>
      </c>
      <c r="B14547" t="s">
        <v>626</v>
      </c>
      <c r="C14547" t="s">
        <v>17605</v>
      </c>
      <c r="E14547" t="s">
        <v>30603</v>
      </c>
      <c r="F14547" t="s">
        <v>30900</v>
      </c>
      <c r="G14547" t="s">
        <v>30907</v>
      </c>
      <c r="H14547" t="s">
        <v>30916</v>
      </c>
      <c r="I14547" t="s">
        <v>30933</v>
      </c>
      <c r="J14547" t="s">
        <v>40046</v>
      </c>
      <c r="K14547" t="s">
        <v>40289</v>
      </c>
      <c r="M14547" t="s">
        <v>41188</v>
      </c>
      <c r="N14547" t="s">
        <v>44759</v>
      </c>
      <c r="O14547" t="s">
        <v>44760</v>
      </c>
      <c r="Q14547">
        <v>2</v>
      </c>
      <c r="R14547" t="s">
        <v>44859</v>
      </c>
      <c r="S14547" t="s">
        <v>46244</v>
      </c>
      <c r="T14547" t="s">
        <v>46558</v>
      </c>
      <c r="U14547" t="s">
        <v>58811</v>
      </c>
      <c r="V14547" t="s">
        <v>60774</v>
      </c>
      <c r="W14547" t="s">
        <v>41188</v>
      </c>
      <c r="X14547" t="s">
        <v>44806</v>
      </c>
    </row>
    <row r="14548" spans="1:24">
      <c r="A14548">
        <f>HYPERLINK("https://www.philgeps.gov.ph/GEPSNONPILOT/Tender/SplashBidNoticeAbstractUI.aspx?menuIndex=3&amp;refID=7064468&amp;Result=3","7064468")</f>
        <v>0</v>
      </c>
      <c r="B14548" t="s">
        <v>2173</v>
      </c>
      <c r="C14548" t="s">
        <v>17606</v>
      </c>
      <c r="D14548" t="s">
        <v>17955</v>
      </c>
      <c r="E14548" t="s">
        <v>30604</v>
      </c>
      <c r="F14548" t="s">
        <v>30900</v>
      </c>
      <c r="G14548" t="s">
        <v>30907</v>
      </c>
      <c r="H14548" t="s">
        <v>30916</v>
      </c>
      <c r="I14548" t="s">
        <v>30922</v>
      </c>
      <c r="J14548" t="s">
        <v>40047</v>
      </c>
      <c r="K14548" t="s">
        <v>40286</v>
      </c>
      <c r="M14548" t="s">
        <v>42878</v>
      </c>
      <c r="N14548" t="s">
        <v>44759</v>
      </c>
      <c r="O14548" t="s">
        <v>44760</v>
      </c>
      <c r="P14548">
        <v>0</v>
      </c>
      <c r="Q14548">
        <v>13</v>
      </c>
      <c r="R14548" t="s">
        <v>44800</v>
      </c>
      <c r="S14548" t="s">
        <v>46245</v>
      </c>
      <c r="T14548" t="s">
        <v>46363</v>
      </c>
      <c r="U14548" t="s">
        <v>58812</v>
      </c>
      <c r="W14548" t="s">
        <v>42878</v>
      </c>
      <c r="X14548" t="s">
        <v>44803</v>
      </c>
    </row>
    <row r="14549" spans="1:24">
      <c r="A14549">
        <f>HYPERLINK("https://www.philgeps.gov.ph/GEPSNONPILOT/Tender/SplashBidNoticeAbstractUI.aspx?menuIndex=3&amp;refID=7062721&amp;Result=3","7062721")</f>
        <v>0</v>
      </c>
      <c r="B14549" t="s">
        <v>805</v>
      </c>
      <c r="C14549" t="s">
        <v>17607</v>
      </c>
      <c r="D14549" t="s">
        <v>18006</v>
      </c>
      <c r="E14549" t="s">
        <v>30605</v>
      </c>
      <c r="F14549" t="s">
        <v>30900</v>
      </c>
      <c r="G14549" t="s">
        <v>30907</v>
      </c>
      <c r="H14549" t="s">
        <v>30915</v>
      </c>
      <c r="I14549" t="s">
        <v>30919</v>
      </c>
      <c r="J14549" t="s">
        <v>39941</v>
      </c>
      <c r="K14549" t="s">
        <v>40489</v>
      </c>
      <c r="M14549" t="s">
        <v>41375</v>
      </c>
      <c r="N14549" t="s">
        <v>44759</v>
      </c>
      <c r="O14549" t="s">
        <v>44760</v>
      </c>
      <c r="Q14549">
        <v>7</v>
      </c>
      <c r="R14549" t="s">
        <v>44800</v>
      </c>
      <c r="S14549" t="s">
        <v>46246</v>
      </c>
      <c r="T14549" t="s">
        <v>46352</v>
      </c>
      <c r="U14549" t="s">
        <v>58813</v>
      </c>
      <c r="W14549" t="s">
        <v>41375</v>
      </c>
      <c r="X14549" t="s">
        <v>44803</v>
      </c>
    </row>
    <row r="14550" spans="1:24">
      <c r="A14550">
        <f>HYPERLINK("https://www.philgeps.gov.ph/GEPSNONPILOT/Tender/SplashBidNoticeAbstractUI.aspx?menuIndex=3&amp;refID=7042580&amp;Result=3","7042580")</f>
        <v>0</v>
      </c>
      <c r="B14550" t="s">
        <v>2872</v>
      </c>
      <c r="C14550" t="s">
        <v>17608</v>
      </c>
      <c r="E14550" t="s">
        <v>30606</v>
      </c>
      <c r="F14550" t="s">
        <v>30900</v>
      </c>
      <c r="G14550" t="s">
        <v>30907</v>
      </c>
      <c r="H14550" t="s">
        <v>30916</v>
      </c>
      <c r="I14550" t="s">
        <v>30924</v>
      </c>
      <c r="J14550" t="s">
        <v>40048</v>
      </c>
      <c r="K14550" t="s">
        <v>40289</v>
      </c>
      <c r="M14550" t="s">
        <v>43661</v>
      </c>
      <c r="N14550" t="s">
        <v>44759</v>
      </c>
      <c r="O14550" t="s">
        <v>44760</v>
      </c>
      <c r="Q14550">
        <v>6</v>
      </c>
      <c r="R14550" t="s">
        <v>44807</v>
      </c>
      <c r="S14550" t="s">
        <v>46247</v>
      </c>
      <c r="T14550" t="s">
        <v>46625</v>
      </c>
      <c r="U14550" t="s">
        <v>58814</v>
      </c>
      <c r="V14550" t="s">
        <v>60775</v>
      </c>
      <c r="W14550" t="s">
        <v>60947</v>
      </c>
      <c r="X14550" t="s">
        <v>44808</v>
      </c>
    </row>
    <row r="14551" spans="1:24">
      <c r="A14551">
        <f>HYPERLINK("https://www.philgeps.gov.ph/GEPSNONPILOT/Tender/SplashBidNoticeAbstractUI.aspx?menuIndex=3&amp;refID=7058406&amp;Result=3","7058406")</f>
        <v>0</v>
      </c>
      <c r="B14551" t="s">
        <v>1833</v>
      </c>
      <c r="C14551" t="s">
        <v>17609</v>
      </c>
      <c r="D14551" t="s">
        <v>18020</v>
      </c>
      <c r="E14551" t="s">
        <v>30607</v>
      </c>
      <c r="F14551" t="s">
        <v>30900</v>
      </c>
      <c r="G14551" t="s">
        <v>30907</v>
      </c>
      <c r="H14551" t="s">
        <v>30915</v>
      </c>
      <c r="I14551" t="s">
        <v>30919</v>
      </c>
      <c r="J14551" t="s">
        <v>40049</v>
      </c>
      <c r="K14551" t="s">
        <v>40280</v>
      </c>
      <c r="M14551" t="s">
        <v>42506</v>
      </c>
      <c r="N14551" t="s">
        <v>44759</v>
      </c>
      <c r="O14551" t="s">
        <v>44760</v>
      </c>
      <c r="Q14551">
        <v>2</v>
      </c>
      <c r="R14551" t="s">
        <v>44801</v>
      </c>
      <c r="S14551" t="s">
        <v>46092</v>
      </c>
      <c r="T14551" t="s">
        <v>46550</v>
      </c>
      <c r="U14551" t="s">
        <v>58654</v>
      </c>
      <c r="W14551" t="s">
        <v>42506</v>
      </c>
      <c r="X14551" t="s">
        <v>44859</v>
      </c>
    </row>
    <row r="14552" spans="1:24">
      <c r="A14552">
        <f>HYPERLINK("https://www.philgeps.gov.ph/GEPSNONPILOT/Tender/SplashBidNoticeAbstractUI.aspx?menuIndex=3&amp;refID=7062352&amp;Result=3","7062352")</f>
        <v>0</v>
      </c>
      <c r="B14552" t="s">
        <v>805</v>
      </c>
      <c r="C14552" t="s">
        <v>17610</v>
      </c>
      <c r="D14552" t="s">
        <v>18006</v>
      </c>
      <c r="E14552" t="s">
        <v>30608</v>
      </c>
      <c r="F14552" t="s">
        <v>30900</v>
      </c>
      <c r="G14552" t="s">
        <v>30907</v>
      </c>
      <c r="H14552" t="s">
        <v>30915</v>
      </c>
      <c r="I14552" t="s">
        <v>30919</v>
      </c>
      <c r="J14552" t="s">
        <v>34537</v>
      </c>
      <c r="K14552" t="s">
        <v>40380</v>
      </c>
      <c r="M14552" t="s">
        <v>41375</v>
      </c>
      <c r="N14552" t="s">
        <v>44759</v>
      </c>
      <c r="O14552" t="s">
        <v>44760</v>
      </c>
      <c r="Q14552">
        <v>8</v>
      </c>
      <c r="R14552" t="s">
        <v>44800</v>
      </c>
      <c r="S14552" t="s">
        <v>46248</v>
      </c>
      <c r="T14552" t="s">
        <v>46352</v>
      </c>
      <c r="U14552" t="s">
        <v>58815</v>
      </c>
      <c r="W14552" t="s">
        <v>41375</v>
      </c>
      <c r="X14552" t="s">
        <v>44803</v>
      </c>
    </row>
    <row r="14553" spans="1:24">
      <c r="A14553">
        <f>HYPERLINK("https://www.philgeps.gov.ph/GEPSNONPILOT/Tender/SplashBidNoticeAbstractUI.aspx?menuIndex=3&amp;refID=7070174&amp;Result=3","7070174")</f>
        <v>0</v>
      </c>
      <c r="B14553" t="s">
        <v>3737</v>
      </c>
      <c r="C14553" t="s">
        <v>17611</v>
      </c>
      <c r="D14553" t="s">
        <v>17996</v>
      </c>
      <c r="E14553" t="s">
        <v>30609</v>
      </c>
      <c r="F14553" t="s">
        <v>30900</v>
      </c>
      <c r="G14553" t="s">
        <v>30907</v>
      </c>
      <c r="H14553" t="s">
        <v>30915</v>
      </c>
      <c r="I14553" t="s">
        <v>30919</v>
      </c>
      <c r="J14553" t="s">
        <v>40050</v>
      </c>
      <c r="K14553" t="s">
        <v>40304</v>
      </c>
      <c r="M14553" t="s">
        <v>44722</v>
      </c>
      <c r="N14553" t="s">
        <v>44759</v>
      </c>
      <c r="O14553" t="s">
        <v>44760</v>
      </c>
      <c r="Q14553">
        <v>0</v>
      </c>
      <c r="R14553" t="s">
        <v>44797</v>
      </c>
      <c r="S14553" t="s">
        <v>46249</v>
      </c>
      <c r="T14553" t="s">
        <v>46414</v>
      </c>
      <c r="U14553" t="s">
        <v>58816</v>
      </c>
      <c r="W14553" t="s">
        <v>44722</v>
      </c>
      <c r="X14553" t="s">
        <v>44860</v>
      </c>
    </row>
    <row r="14554" spans="1:24">
      <c r="A14554">
        <f>HYPERLINK("https://www.philgeps.gov.ph/GEPSNONPILOT/Tender/SplashBidNoticeAbstractUI.aspx?menuIndex=3&amp;refID=7066890&amp;Result=3","7066890")</f>
        <v>0</v>
      </c>
      <c r="B14554" t="s">
        <v>2115</v>
      </c>
      <c r="C14554" t="s">
        <v>17612</v>
      </c>
      <c r="D14554" t="s">
        <v>17959</v>
      </c>
      <c r="E14554" t="s">
        <v>30610</v>
      </c>
      <c r="F14554" t="s">
        <v>30900</v>
      </c>
      <c r="G14554" t="s">
        <v>30907</v>
      </c>
      <c r="H14554" t="s">
        <v>30916</v>
      </c>
      <c r="I14554" t="s">
        <v>30924</v>
      </c>
      <c r="J14554" t="s">
        <v>40051</v>
      </c>
      <c r="K14554" t="s">
        <v>40304</v>
      </c>
      <c r="M14554" t="s">
        <v>42816</v>
      </c>
      <c r="N14554" t="s">
        <v>44759</v>
      </c>
      <c r="O14554" t="s">
        <v>44760</v>
      </c>
      <c r="Q14554">
        <v>32</v>
      </c>
      <c r="R14554" t="s">
        <v>44860</v>
      </c>
      <c r="S14554" t="s">
        <v>46250</v>
      </c>
      <c r="T14554" t="s">
        <v>46519</v>
      </c>
      <c r="U14554" t="s">
        <v>58817</v>
      </c>
      <c r="W14554" t="s">
        <v>42816</v>
      </c>
      <c r="X14554" t="s">
        <v>44800</v>
      </c>
    </row>
    <row r="14555" spans="1:24">
      <c r="A14555">
        <f>HYPERLINK("https://www.philgeps.gov.ph/GEPSNONPILOT/Tender/SplashBidNoticeAbstractUI.aspx?menuIndex=3&amp;refID=7057416&amp;Result=3","7057416")</f>
        <v>0</v>
      </c>
      <c r="B14555" t="s">
        <v>3737</v>
      </c>
      <c r="C14555" t="s">
        <v>17613</v>
      </c>
      <c r="D14555" t="s">
        <v>17996</v>
      </c>
      <c r="E14555" t="s">
        <v>30611</v>
      </c>
      <c r="F14555" t="s">
        <v>30900</v>
      </c>
      <c r="G14555" t="s">
        <v>30907</v>
      </c>
      <c r="H14555" t="s">
        <v>30915</v>
      </c>
      <c r="I14555" t="s">
        <v>30919</v>
      </c>
      <c r="J14555" t="s">
        <v>40052</v>
      </c>
      <c r="K14555" t="s">
        <v>40304</v>
      </c>
      <c r="M14555" t="s">
        <v>44722</v>
      </c>
      <c r="N14555" t="s">
        <v>44759</v>
      </c>
      <c r="O14555" t="s">
        <v>44760</v>
      </c>
      <c r="Q14555">
        <v>2</v>
      </c>
      <c r="R14555" t="s">
        <v>44859</v>
      </c>
      <c r="S14555" t="s">
        <v>46251</v>
      </c>
      <c r="T14555" t="s">
        <v>46414</v>
      </c>
      <c r="U14555" t="s">
        <v>58816</v>
      </c>
      <c r="W14555" t="s">
        <v>44722</v>
      </c>
      <c r="X14555" t="s">
        <v>60964</v>
      </c>
    </row>
    <row r="14556" spans="1:24">
      <c r="A14556">
        <f>HYPERLINK("https://www.philgeps.gov.ph/GEPSNONPILOT/Tender/SplashBidNoticeAbstractUI.aspx?menuIndex=3&amp;refID=7068892&amp;Result=3","7068892")</f>
        <v>0</v>
      </c>
      <c r="B14556" t="s">
        <v>2945</v>
      </c>
      <c r="C14556" t="s">
        <v>17614</v>
      </c>
      <c r="D14556" t="s">
        <v>17953</v>
      </c>
      <c r="E14556" t="s">
        <v>30612</v>
      </c>
      <c r="F14556" t="s">
        <v>30900</v>
      </c>
      <c r="G14556" t="s">
        <v>30908</v>
      </c>
      <c r="H14556" t="s">
        <v>30916</v>
      </c>
      <c r="I14556" t="s">
        <v>9385</v>
      </c>
      <c r="J14556" t="s">
        <v>31096</v>
      </c>
      <c r="K14556" t="s">
        <v>40280</v>
      </c>
      <c r="M14556" t="s">
        <v>43742</v>
      </c>
      <c r="N14556" t="s">
        <v>44759</v>
      </c>
      <c r="O14556" t="s">
        <v>44760</v>
      </c>
      <c r="Q14556">
        <v>24</v>
      </c>
      <c r="R14556" t="s">
        <v>44797</v>
      </c>
      <c r="S14556" t="s">
        <v>46252</v>
      </c>
      <c r="T14556" t="s">
        <v>46395</v>
      </c>
      <c r="U14556" t="s">
        <v>58818</v>
      </c>
      <c r="W14556" t="s">
        <v>43742</v>
      </c>
      <c r="X14556" t="s">
        <v>44860</v>
      </c>
    </row>
    <row r="14557" spans="1:24">
      <c r="A14557">
        <f>HYPERLINK("https://www.philgeps.gov.ph/GEPSNONPILOT/Tender/SplashBidNoticeAbstractUI.aspx?menuIndex=3&amp;refID=7068249&amp;Result=3","7068249")</f>
        <v>0</v>
      </c>
      <c r="B14557" t="s">
        <v>2542</v>
      </c>
      <c r="C14557" t="s">
        <v>17615</v>
      </c>
      <c r="E14557" t="s">
        <v>30613</v>
      </c>
      <c r="F14557" t="s">
        <v>30900</v>
      </c>
      <c r="G14557" t="s">
        <v>30907</v>
      </c>
      <c r="H14557" t="s">
        <v>30915</v>
      </c>
      <c r="I14557" t="s">
        <v>30919</v>
      </c>
      <c r="J14557" t="s">
        <v>40053</v>
      </c>
      <c r="K14557" t="s">
        <v>40289</v>
      </c>
      <c r="M14557" t="s">
        <v>43299</v>
      </c>
      <c r="N14557" t="s">
        <v>44759</v>
      </c>
      <c r="O14557" t="s">
        <v>44760</v>
      </c>
      <c r="Q14557">
        <v>34</v>
      </c>
      <c r="R14557" t="s">
        <v>44797</v>
      </c>
      <c r="S14557" t="s">
        <v>45761</v>
      </c>
      <c r="T14557" t="s">
        <v>46533</v>
      </c>
      <c r="U14557" t="s">
        <v>55002</v>
      </c>
      <c r="W14557" t="s">
        <v>60910</v>
      </c>
      <c r="X14557" t="s">
        <v>44860</v>
      </c>
    </row>
    <row r="14558" spans="1:24">
      <c r="A14558">
        <f>HYPERLINK("https://www.philgeps.gov.ph/GEPSNONPILOT/Tender/SplashBidNoticeAbstractUI.aspx?menuIndex=3&amp;refID=7068226&amp;Result=3","7068226")</f>
        <v>0</v>
      </c>
      <c r="B14558" t="s">
        <v>2542</v>
      </c>
      <c r="C14558" t="s">
        <v>17616</v>
      </c>
      <c r="E14558" t="s">
        <v>30614</v>
      </c>
      <c r="F14558" t="s">
        <v>30900</v>
      </c>
      <c r="G14558" t="s">
        <v>30907</v>
      </c>
      <c r="H14558" t="s">
        <v>30915</v>
      </c>
      <c r="I14558" t="s">
        <v>30919</v>
      </c>
      <c r="J14558" t="s">
        <v>40054</v>
      </c>
      <c r="K14558" t="s">
        <v>40289</v>
      </c>
      <c r="M14558" t="s">
        <v>43299</v>
      </c>
      <c r="N14558" t="s">
        <v>44759</v>
      </c>
      <c r="O14558" t="s">
        <v>44760</v>
      </c>
      <c r="Q14558">
        <v>35</v>
      </c>
      <c r="R14558" t="s">
        <v>44797</v>
      </c>
      <c r="S14558" t="s">
        <v>45760</v>
      </c>
      <c r="T14558" t="s">
        <v>46533</v>
      </c>
      <c r="U14558" t="s">
        <v>55002</v>
      </c>
      <c r="W14558" t="s">
        <v>60910</v>
      </c>
      <c r="X14558" t="s">
        <v>44860</v>
      </c>
    </row>
    <row r="14559" spans="1:24">
      <c r="A14559">
        <f>HYPERLINK("https://www.philgeps.gov.ph/GEPSNONPILOT/Tender/SplashBidNoticeAbstractUI.aspx?menuIndex=3&amp;refID=7076072&amp;Result=3","7076072")</f>
        <v>0</v>
      </c>
      <c r="B14559" t="s">
        <v>2465</v>
      </c>
      <c r="C14559" t="s">
        <v>17617</v>
      </c>
      <c r="D14559" t="s">
        <v>17959</v>
      </c>
      <c r="E14559" t="s">
        <v>30615</v>
      </c>
      <c r="F14559" t="s">
        <v>30900</v>
      </c>
      <c r="G14559" t="s">
        <v>30907</v>
      </c>
      <c r="H14559" t="s">
        <v>30915</v>
      </c>
      <c r="I14559" t="s">
        <v>30919</v>
      </c>
      <c r="J14559" t="s">
        <v>40055</v>
      </c>
      <c r="K14559" t="s">
        <v>40280</v>
      </c>
      <c r="M14559" t="s">
        <v>43203</v>
      </c>
      <c r="N14559" t="s">
        <v>44759</v>
      </c>
      <c r="O14559" t="s">
        <v>44760</v>
      </c>
      <c r="Q14559">
        <v>9</v>
      </c>
      <c r="R14559" t="s">
        <v>44796</v>
      </c>
      <c r="S14559" t="s">
        <v>46253</v>
      </c>
      <c r="T14559" t="s">
        <v>46414</v>
      </c>
      <c r="U14559" t="s">
        <v>58819</v>
      </c>
      <c r="V14559" t="s">
        <v>60199</v>
      </c>
      <c r="W14559" t="s">
        <v>43203</v>
      </c>
      <c r="X14559" t="s">
        <v>44798</v>
      </c>
    </row>
    <row r="14560" spans="1:24">
      <c r="A14560">
        <f>HYPERLINK("https://www.philgeps.gov.ph/GEPSNONPILOT/Tender/SplashBidNoticeAbstractUI.aspx?menuIndex=3&amp;refID=7063505&amp;Result=3","7063505")</f>
        <v>0</v>
      </c>
      <c r="B14560" t="s">
        <v>1315</v>
      </c>
      <c r="C14560" t="s">
        <v>17618</v>
      </c>
      <c r="D14560" t="s">
        <v>17982</v>
      </c>
      <c r="E14560" t="s">
        <v>30616</v>
      </c>
      <c r="F14560" t="s">
        <v>30900</v>
      </c>
      <c r="G14560" t="s">
        <v>30907</v>
      </c>
      <c r="H14560" t="s">
        <v>30915</v>
      </c>
      <c r="I14560" t="s">
        <v>30919</v>
      </c>
      <c r="J14560" t="s">
        <v>32324</v>
      </c>
      <c r="K14560" t="s">
        <v>40304</v>
      </c>
      <c r="M14560" t="s">
        <v>41933</v>
      </c>
      <c r="N14560" t="s">
        <v>44759</v>
      </c>
      <c r="O14560" t="s">
        <v>44760</v>
      </c>
      <c r="P14560">
        <v>0</v>
      </c>
      <c r="Q14560">
        <v>2</v>
      </c>
      <c r="R14560" t="s">
        <v>44800</v>
      </c>
      <c r="S14560" t="s">
        <v>46245</v>
      </c>
      <c r="T14560" t="s">
        <v>46421</v>
      </c>
      <c r="U14560" t="s">
        <v>58820</v>
      </c>
      <c r="W14560" t="s">
        <v>41933</v>
      </c>
      <c r="X14560" t="s">
        <v>44803</v>
      </c>
    </row>
    <row r="14561" spans="1:24">
      <c r="A14561">
        <f>HYPERLINK("https://www.philgeps.gov.ph/GEPSNONPILOT/Tender/SplashBidNoticeAbstractUI.aspx?menuIndex=3&amp;refID=6901664&amp;Result=3","6901664")</f>
        <v>0</v>
      </c>
      <c r="B14561" t="s">
        <v>866</v>
      </c>
      <c r="C14561" t="s">
        <v>17619</v>
      </c>
      <c r="D14561" t="s">
        <v>17981</v>
      </c>
      <c r="E14561" t="s">
        <v>30617</v>
      </c>
      <c r="F14561" t="s">
        <v>30900</v>
      </c>
      <c r="G14561" t="s">
        <v>30907</v>
      </c>
      <c r="H14561" t="s">
        <v>30915</v>
      </c>
      <c r="I14561" t="s">
        <v>30919</v>
      </c>
      <c r="J14561" t="s">
        <v>40056</v>
      </c>
      <c r="K14561" t="s">
        <v>40407</v>
      </c>
      <c r="M14561" t="s">
        <v>41439</v>
      </c>
      <c r="N14561" t="s">
        <v>44759</v>
      </c>
      <c r="O14561" t="s">
        <v>44760</v>
      </c>
      <c r="Q14561">
        <v>69</v>
      </c>
      <c r="R14561" t="s">
        <v>44841</v>
      </c>
      <c r="S14561" t="s">
        <v>46254</v>
      </c>
      <c r="T14561" t="s">
        <v>46495</v>
      </c>
      <c r="U14561" t="s">
        <v>58821</v>
      </c>
      <c r="V14561" t="s">
        <v>59323</v>
      </c>
      <c r="W14561" t="s">
        <v>41439</v>
      </c>
      <c r="X14561" t="s">
        <v>44847</v>
      </c>
    </row>
    <row r="14562" spans="1:24">
      <c r="A14562">
        <f>HYPERLINK("https://www.philgeps.gov.ph/GEPSNONPILOT/Tender/SplashBidNoticeAbstractUI.aspx?menuIndex=3&amp;refID=7075856&amp;Result=3","7075856")</f>
        <v>0</v>
      </c>
      <c r="B14562" t="s">
        <v>2465</v>
      </c>
      <c r="C14562" t="s">
        <v>17620</v>
      </c>
      <c r="D14562" t="s">
        <v>17959</v>
      </c>
      <c r="E14562" t="s">
        <v>30618</v>
      </c>
      <c r="F14562" t="s">
        <v>30900</v>
      </c>
      <c r="G14562" t="s">
        <v>30907</v>
      </c>
      <c r="H14562" t="s">
        <v>30915</v>
      </c>
      <c r="I14562" t="s">
        <v>4965</v>
      </c>
      <c r="J14562" t="s">
        <v>40057</v>
      </c>
      <c r="K14562" t="s">
        <v>40369</v>
      </c>
      <c r="M14562" t="s">
        <v>43203</v>
      </c>
      <c r="N14562" t="s">
        <v>44759</v>
      </c>
      <c r="O14562" t="s">
        <v>44760</v>
      </c>
      <c r="Q14562">
        <v>18</v>
      </c>
      <c r="R14562" t="s">
        <v>44796</v>
      </c>
      <c r="S14562" t="s">
        <v>46255</v>
      </c>
      <c r="T14562" t="s">
        <v>46409</v>
      </c>
      <c r="U14562" t="s">
        <v>58822</v>
      </c>
      <c r="V14562" t="s">
        <v>60199</v>
      </c>
      <c r="W14562" t="s">
        <v>43203</v>
      </c>
      <c r="X14562" t="s">
        <v>44798</v>
      </c>
    </row>
    <row r="14563" spans="1:24">
      <c r="A14563">
        <f>HYPERLINK("https://www.philgeps.gov.ph/GEPSNONPILOT/Tender/SplashBidNoticeAbstractUI.aspx?menuIndex=3&amp;refID=7075757&amp;Result=3","7075757")</f>
        <v>0</v>
      </c>
      <c r="B14563" t="s">
        <v>2063</v>
      </c>
      <c r="C14563" t="s">
        <v>17621</v>
      </c>
      <c r="D14563" t="s">
        <v>17977</v>
      </c>
      <c r="E14563" t="s">
        <v>30619</v>
      </c>
      <c r="F14563" t="s">
        <v>30900</v>
      </c>
      <c r="G14563" t="s">
        <v>30907</v>
      </c>
      <c r="H14563" t="s">
        <v>30915</v>
      </c>
      <c r="I14563" t="s">
        <v>30919</v>
      </c>
      <c r="J14563" t="s">
        <v>32964</v>
      </c>
      <c r="K14563" t="s">
        <v>40289</v>
      </c>
      <c r="L14563" t="s">
        <v>2063</v>
      </c>
      <c r="M14563" t="s">
        <v>43801</v>
      </c>
      <c r="N14563" t="s">
        <v>44759</v>
      </c>
      <c r="O14563" t="s">
        <v>44760</v>
      </c>
      <c r="Q14563">
        <v>1</v>
      </c>
      <c r="R14563" t="s">
        <v>44796</v>
      </c>
      <c r="S14563" t="s">
        <v>46256</v>
      </c>
      <c r="T14563" t="s">
        <v>46353</v>
      </c>
      <c r="U14563" t="s">
        <v>58823</v>
      </c>
      <c r="V14563" t="s">
        <v>60156</v>
      </c>
      <c r="W14563" t="s">
        <v>43801</v>
      </c>
      <c r="X14563" t="s">
        <v>44798</v>
      </c>
    </row>
    <row r="14564" spans="1:24">
      <c r="A14564">
        <f>HYPERLINK("https://www.philgeps.gov.ph/GEPSNONPILOT/Tender/SplashBidNoticeAbstractUI.aspx?menuIndex=3&amp;refID=7075771&amp;Result=3","7075771")</f>
        <v>0</v>
      </c>
      <c r="B14564" t="s">
        <v>2465</v>
      </c>
      <c r="C14564" t="s">
        <v>17622</v>
      </c>
      <c r="D14564" t="s">
        <v>17959</v>
      </c>
      <c r="E14564" t="s">
        <v>30620</v>
      </c>
      <c r="F14564" t="s">
        <v>30900</v>
      </c>
      <c r="G14564" t="s">
        <v>30907</v>
      </c>
      <c r="H14564" t="s">
        <v>30915</v>
      </c>
      <c r="I14564" t="s">
        <v>30919</v>
      </c>
      <c r="J14564" t="s">
        <v>40058</v>
      </c>
      <c r="K14564" t="s">
        <v>40292</v>
      </c>
      <c r="M14564" t="s">
        <v>43203</v>
      </c>
      <c r="N14564" t="s">
        <v>44759</v>
      </c>
      <c r="O14564" t="s">
        <v>44760</v>
      </c>
      <c r="Q14564">
        <v>14</v>
      </c>
      <c r="R14564" t="s">
        <v>44796</v>
      </c>
      <c r="S14564" t="s">
        <v>46257</v>
      </c>
      <c r="T14564" t="s">
        <v>46547</v>
      </c>
      <c r="U14564" t="s">
        <v>58824</v>
      </c>
      <c r="V14564" t="s">
        <v>60199</v>
      </c>
      <c r="W14564" t="s">
        <v>43203</v>
      </c>
      <c r="X14564" t="s">
        <v>44798</v>
      </c>
    </row>
    <row r="14565" spans="1:24">
      <c r="A14565">
        <f>HYPERLINK("https://www.philgeps.gov.ph/GEPSNONPILOT/Tender/SplashBidNoticeAbstractUI.aspx?menuIndex=3&amp;refID=7075822&amp;Result=3","7075822")</f>
        <v>0</v>
      </c>
      <c r="B14565" t="s">
        <v>2063</v>
      </c>
      <c r="C14565" t="s">
        <v>17623</v>
      </c>
      <c r="D14565" t="s">
        <v>17977</v>
      </c>
      <c r="E14565" t="s">
        <v>30621</v>
      </c>
      <c r="F14565" t="s">
        <v>30900</v>
      </c>
      <c r="G14565" t="s">
        <v>30907</v>
      </c>
      <c r="H14565" t="s">
        <v>30915</v>
      </c>
      <c r="I14565" t="s">
        <v>30919</v>
      </c>
      <c r="J14565" t="s">
        <v>40059</v>
      </c>
      <c r="K14565" t="s">
        <v>40289</v>
      </c>
      <c r="L14565" t="s">
        <v>2063</v>
      </c>
      <c r="M14565" t="s">
        <v>43801</v>
      </c>
      <c r="N14565" t="s">
        <v>44759</v>
      </c>
      <c r="O14565" t="s">
        <v>44760</v>
      </c>
      <c r="Q14565">
        <v>1</v>
      </c>
      <c r="R14565" t="s">
        <v>44796</v>
      </c>
      <c r="S14565" t="s">
        <v>46258</v>
      </c>
      <c r="T14565" t="s">
        <v>46353</v>
      </c>
      <c r="U14565" t="s">
        <v>58823</v>
      </c>
      <c r="V14565" t="s">
        <v>60156</v>
      </c>
      <c r="W14565" t="s">
        <v>43801</v>
      </c>
      <c r="X14565" t="s">
        <v>44798</v>
      </c>
    </row>
    <row r="14566" spans="1:24">
      <c r="A14566">
        <f>HYPERLINK("https://www.philgeps.gov.ph/GEPSNONPILOT/Tender/SplashBidNoticeAbstractUI.aspx?menuIndex=3&amp;refID=7075685&amp;Result=3","7075685")</f>
        <v>0</v>
      </c>
      <c r="B14566" t="s">
        <v>2184</v>
      </c>
      <c r="C14566" t="s">
        <v>17624</v>
      </c>
      <c r="D14566" t="s">
        <v>17972</v>
      </c>
      <c r="E14566" t="s">
        <v>30622</v>
      </c>
      <c r="F14566" t="s">
        <v>30900</v>
      </c>
      <c r="G14566" t="s">
        <v>30907</v>
      </c>
      <c r="H14566" t="s">
        <v>30915</v>
      </c>
      <c r="I14566" t="s">
        <v>30919</v>
      </c>
      <c r="J14566" t="s">
        <v>34915</v>
      </c>
      <c r="K14566" t="s">
        <v>40341</v>
      </c>
      <c r="L14566" t="s">
        <v>2184</v>
      </c>
      <c r="M14566" t="s">
        <v>42891</v>
      </c>
      <c r="N14566" t="s">
        <v>44759</v>
      </c>
      <c r="O14566" t="s">
        <v>44760</v>
      </c>
      <c r="Q14566">
        <v>1</v>
      </c>
      <c r="R14566" t="s">
        <v>44796</v>
      </c>
      <c r="S14566" t="s">
        <v>46259</v>
      </c>
      <c r="T14566" t="s">
        <v>46353</v>
      </c>
      <c r="U14566" t="s">
        <v>58825</v>
      </c>
      <c r="V14566" t="s">
        <v>60776</v>
      </c>
      <c r="W14566" t="s">
        <v>42891</v>
      </c>
      <c r="X14566" t="s">
        <v>44798</v>
      </c>
    </row>
    <row r="14567" spans="1:24">
      <c r="A14567">
        <f>HYPERLINK("https://www.philgeps.gov.ph/GEPSNONPILOT/Tender/SplashBidNoticeAbstractUI.aspx?menuIndex=3&amp;refID=7066533&amp;Result=3","7066533")</f>
        <v>0</v>
      </c>
      <c r="B14567" t="s">
        <v>3690</v>
      </c>
      <c r="C14567" t="s">
        <v>17625</v>
      </c>
      <c r="E14567" t="s">
        <v>30623</v>
      </c>
      <c r="F14567" t="s">
        <v>30900</v>
      </c>
      <c r="G14567" t="s">
        <v>30907</v>
      </c>
      <c r="H14567" t="s">
        <v>30916</v>
      </c>
      <c r="I14567" t="s">
        <v>31039</v>
      </c>
      <c r="J14567" t="s">
        <v>40060</v>
      </c>
      <c r="K14567" t="s">
        <v>40301</v>
      </c>
      <c r="M14567" t="s">
        <v>44649</v>
      </c>
      <c r="N14567" t="s">
        <v>44759</v>
      </c>
      <c r="O14567" t="s">
        <v>44760</v>
      </c>
      <c r="Q14567">
        <v>14</v>
      </c>
      <c r="R14567" t="s">
        <v>44796</v>
      </c>
      <c r="S14567" t="s">
        <v>45060</v>
      </c>
      <c r="T14567" t="s">
        <v>46771</v>
      </c>
      <c r="U14567" t="s">
        <v>58826</v>
      </c>
      <c r="W14567" t="s">
        <v>44649</v>
      </c>
      <c r="X14567" t="s">
        <v>44800</v>
      </c>
    </row>
    <row r="14568" spans="1:24">
      <c r="A14568">
        <f>HYPERLINK("https://www.philgeps.gov.ph/GEPSNONPILOT/Tender/SplashBidNoticeAbstractUI.aspx?menuIndex=3&amp;refID=7066393&amp;Result=3","7066393")</f>
        <v>0</v>
      </c>
      <c r="B14568" t="s">
        <v>3258</v>
      </c>
      <c r="C14568" t="s">
        <v>17626</v>
      </c>
      <c r="E14568" t="s">
        <v>18758</v>
      </c>
      <c r="F14568" t="s">
        <v>30900</v>
      </c>
      <c r="G14568" t="s">
        <v>30907</v>
      </c>
      <c r="H14568" t="s">
        <v>30916</v>
      </c>
      <c r="I14568" t="s">
        <v>30931</v>
      </c>
      <c r="J14568" t="s">
        <v>40061</v>
      </c>
      <c r="K14568" t="s">
        <v>40289</v>
      </c>
      <c r="M14568" t="s">
        <v>44103</v>
      </c>
      <c r="N14568" t="s">
        <v>44759</v>
      </c>
      <c r="O14568" t="s">
        <v>44760</v>
      </c>
      <c r="Q14568">
        <v>11</v>
      </c>
      <c r="R14568" t="s">
        <v>44860</v>
      </c>
      <c r="S14568" t="s">
        <v>46260</v>
      </c>
      <c r="T14568" t="s">
        <v>46951</v>
      </c>
      <c r="U14568" t="s">
        <v>58827</v>
      </c>
      <c r="W14568" t="s">
        <v>44103</v>
      </c>
      <c r="X14568" t="s">
        <v>44800</v>
      </c>
    </row>
    <row r="14569" spans="1:24">
      <c r="A14569">
        <f>HYPERLINK("https://www.philgeps.gov.ph/GEPSNONPILOT/Tender/SplashBidNoticeAbstractUI.aspx?menuIndex=3&amp;refID=6902157&amp;Result=3","6902157")</f>
        <v>0</v>
      </c>
      <c r="B14569" t="s">
        <v>3738</v>
      </c>
      <c r="C14569" t="s">
        <v>17627</v>
      </c>
      <c r="D14569" t="s">
        <v>18019</v>
      </c>
      <c r="E14569" t="s">
        <v>30624</v>
      </c>
      <c r="F14569" t="s">
        <v>30900</v>
      </c>
      <c r="G14569" t="s">
        <v>30907</v>
      </c>
      <c r="H14569" t="s">
        <v>30915</v>
      </c>
      <c r="I14569" t="s">
        <v>30919</v>
      </c>
      <c r="J14569" t="s">
        <v>40062</v>
      </c>
      <c r="K14569" t="s">
        <v>40301</v>
      </c>
      <c r="M14569" t="s">
        <v>44723</v>
      </c>
      <c r="N14569" t="s">
        <v>44759</v>
      </c>
      <c r="O14569" t="s">
        <v>44760</v>
      </c>
      <c r="Q14569">
        <v>7</v>
      </c>
      <c r="R14569" t="s">
        <v>44841</v>
      </c>
      <c r="S14569" t="s">
        <v>46261</v>
      </c>
      <c r="T14569" t="s">
        <v>46634</v>
      </c>
      <c r="U14569" t="s">
        <v>58828</v>
      </c>
      <c r="V14569" t="s">
        <v>60777</v>
      </c>
      <c r="W14569" t="s">
        <v>44723</v>
      </c>
      <c r="X14569" t="s">
        <v>44847</v>
      </c>
    </row>
    <row r="14570" spans="1:24">
      <c r="A14570">
        <f>HYPERLINK("https://www.philgeps.gov.ph/GEPSNONPILOT/Tender/SplashBidNoticeAbstractUI.aspx?menuIndex=3&amp;refID=7080943&amp;Result=3","7080943")</f>
        <v>0</v>
      </c>
      <c r="B14570" t="s">
        <v>3718</v>
      </c>
      <c r="C14570" t="s">
        <v>17628</v>
      </c>
      <c r="D14570" t="s">
        <v>17973</v>
      </c>
      <c r="E14570" t="s">
        <v>22992</v>
      </c>
      <c r="F14570" t="s">
        <v>30900</v>
      </c>
      <c r="G14570" t="s">
        <v>30907</v>
      </c>
      <c r="H14570" t="s">
        <v>30915</v>
      </c>
      <c r="I14570" t="s">
        <v>30919</v>
      </c>
      <c r="J14570" t="s">
        <v>31912</v>
      </c>
      <c r="K14570" t="s">
        <v>40286</v>
      </c>
      <c r="M14570" t="s">
        <v>44691</v>
      </c>
      <c r="N14570" t="s">
        <v>44759</v>
      </c>
      <c r="O14570" t="s">
        <v>44760</v>
      </c>
      <c r="P14570">
        <v>0</v>
      </c>
      <c r="Q14570">
        <v>0</v>
      </c>
      <c r="R14570" t="s">
        <v>44794</v>
      </c>
      <c r="S14570" t="s">
        <v>46036</v>
      </c>
      <c r="T14570" t="s">
        <v>46409</v>
      </c>
      <c r="U14570" t="s">
        <v>58829</v>
      </c>
      <c r="V14570" t="s">
        <v>58829</v>
      </c>
      <c r="W14570" t="s">
        <v>44691</v>
      </c>
      <c r="X14570" t="s">
        <v>44795</v>
      </c>
    </row>
    <row r="14571" spans="1:24">
      <c r="A14571">
        <f>HYPERLINK("https://www.philgeps.gov.ph/GEPSNONPILOT/Tender/SplashBidNoticeAbstractUI.aspx?menuIndex=3&amp;refID=7068205&amp;Result=3","7068205")</f>
        <v>0</v>
      </c>
      <c r="B14571" t="s">
        <v>2542</v>
      </c>
      <c r="C14571" t="s">
        <v>17629</v>
      </c>
      <c r="E14571" t="s">
        <v>30625</v>
      </c>
      <c r="F14571" t="s">
        <v>30900</v>
      </c>
      <c r="G14571" t="s">
        <v>30907</v>
      </c>
      <c r="H14571" t="s">
        <v>30915</v>
      </c>
      <c r="I14571" t="s">
        <v>30919</v>
      </c>
      <c r="J14571" t="s">
        <v>40063</v>
      </c>
      <c r="K14571" t="s">
        <v>40289</v>
      </c>
      <c r="M14571" t="s">
        <v>43299</v>
      </c>
      <c r="N14571" t="s">
        <v>44759</v>
      </c>
      <c r="O14571" t="s">
        <v>44760</v>
      </c>
      <c r="Q14571">
        <v>35</v>
      </c>
      <c r="R14571" t="s">
        <v>44797</v>
      </c>
      <c r="S14571" t="s">
        <v>46262</v>
      </c>
      <c r="T14571" t="s">
        <v>46533</v>
      </c>
      <c r="U14571" t="s">
        <v>55002</v>
      </c>
      <c r="W14571" t="s">
        <v>60910</v>
      </c>
      <c r="X14571" t="s">
        <v>44860</v>
      </c>
    </row>
    <row r="14572" spans="1:24">
      <c r="A14572">
        <f>HYPERLINK("https://www.philgeps.gov.ph/GEPSNONPILOT/Tender/SplashBidNoticeAbstractUI.aspx?menuIndex=3&amp;refID=7080925&amp;Result=3","7080925")</f>
        <v>0</v>
      </c>
      <c r="B14572" t="s">
        <v>3068</v>
      </c>
      <c r="C14572" t="s">
        <v>17630</v>
      </c>
      <c r="D14572" t="s">
        <v>18025</v>
      </c>
      <c r="E14572" t="s">
        <v>30626</v>
      </c>
      <c r="F14572" t="s">
        <v>30900</v>
      </c>
      <c r="G14572" t="s">
        <v>30907</v>
      </c>
      <c r="H14572" t="s">
        <v>30915</v>
      </c>
      <c r="I14572" t="s">
        <v>30919</v>
      </c>
      <c r="J14572" t="s">
        <v>40059</v>
      </c>
      <c r="K14572" t="s">
        <v>40340</v>
      </c>
      <c r="M14572" t="s">
        <v>43879</v>
      </c>
      <c r="N14572" t="s">
        <v>44759</v>
      </c>
      <c r="O14572" t="s">
        <v>44760</v>
      </c>
      <c r="Q14572">
        <v>28</v>
      </c>
      <c r="R14572" t="s">
        <v>44794</v>
      </c>
      <c r="S14572" t="s">
        <v>46263</v>
      </c>
      <c r="T14572" t="s">
        <v>46533</v>
      </c>
      <c r="U14572" t="s">
        <v>58622</v>
      </c>
      <c r="W14572" t="s">
        <v>60911</v>
      </c>
      <c r="X14572" t="s">
        <v>44795</v>
      </c>
    </row>
    <row r="14573" spans="1:24">
      <c r="A14573">
        <f>HYPERLINK("https://www.philgeps.gov.ph/GEPSNONPILOT/Tender/SplashBidNoticeAbstractUI.aspx?menuIndex=3&amp;refID=7070679&amp;Result=3","7070679")</f>
        <v>0</v>
      </c>
      <c r="B14573" t="s">
        <v>2992</v>
      </c>
      <c r="C14573" t="s">
        <v>17631</v>
      </c>
      <c r="D14573" t="s">
        <v>17975</v>
      </c>
      <c r="E14573" t="s">
        <v>26275</v>
      </c>
      <c r="F14573" t="s">
        <v>30899</v>
      </c>
      <c r="G14573" t="s">
        <v>30907</v>
      </c>
      <c r="H14573" t="s">
        <v>30915</v>
      </c>
      <c r="I14573" t="s">
        <v>30919</v>
      </c>
      <c r="J14573" t="s">
        <v>39940</v>
      </c>
      <c r="K14573" t="s">
        <v>40315</v>
      </c>
      <c r="L14573" t="s">
        <v>2992</v>
      </c>
      <c r="M14573" t="s">
        <v>43795</v>
      </c>
      <c r="N14573" t="s">
        <v>44759</v>
      </c>
      <c r="O14573" t="s">
        <v>44760</v>
      </c>
      <c r="Q14573">
        <v>0</v>
      </c>
      <c r="R14573" t="s">
        <v>44796</v>
      </c>
      <c r="S14573" t="s">
        <v>46264</v>
      </c>
      <c r="T14573" t="s">
        <v>46409</v>
      </c>
      <c r="U14573" t="s">
        <v>58830</v>
      </c>
      <c r="W14573" t="s">
        <v>43795</v>
      </c>
      <c r="X14573" t="s">
        <v>44797</v>
      </c>
    </row>
    <row r="14574" spans="1:24">
      <c r="A14574">
        <f>HYPERLINK("https://www.philgeps.gov.ph/GEPSNONPILOT/Tender/SplashBidNoticeAbstractUI.aspx?menuIndex=3&amp;refID=7064435&amp;Result=3","7064435")</f>
        <v>0</v>
      </c>
      <c r="B14574" t="s">
        <v>788</v>
      </c>
      <c r="C14574" t="s">
        <v>17632</v>
      </c>
      <c r="E14574" t="s">
        <v>30627</v>
      </c>
      <c r="F14574" t="s">
        <v>30900</v>
      </c>
      <c r="G14574" t="s">
        <v>30913</v>
      </c>
      <c r="H14574" t="s">
        <v>30916</v>
      </c>
      <c r="I14574" t="s">
        <v>30987</v>
      </c>
      <c r="J14574" t="s">
        <v>37842</v>
      </c>
      <c r="K14574" t="s">
        <v>40289</v>
      </c>
      <c r="M14574" t="s">
        <v>42532</v>
      </c>
      <c r="N14574" t="s">
        <v>44759</v>
      </c>
      <c r="O14574" t="s">
        <v>44760</v>
      </c>
      <c r="Q14574">
        <v>10</v>
      </c>
      <c r="R14574" t="s">
        <v>44800</v>
      </c>
      <c r="S14574" t="s">
        <v>46265</v>
      </c>
      <c r="T14574" t="s">
        <v>46418</v>
      </c>
      <c r="U14574" t="s">
        <v>58831</v>
      </c>
      <c r="V14574" t="s">
        <v>60778</v>
      </c>
      <c r="W14574" t="s">
        <v>42532</v>
      </c>
      <c r="X14574" t="s">
        <v>44803</v>
      </c>
    </row>
    <row r="14575" spans="1:24">
      <c r="A14575">
        <f>HYPERLINK("https://www.philgeps.gov.ph/GEPSNONPILOT/Tender/SplashBidNoticeAbstractUI.aspx?menuIndex=3&amp;refID=7078388&amp;Result=3","7078388")</f>
        <v>0</v>
      </c>
      <c r="B14575" t="s">
        <v>194</v>
      </c>
      <c r="C14575" t="s">
        <v>17633</v>
      </c>
      <c r="D14575" t="s">
        <v>17959</v>
      </c>
      <c r="E14575" t="s">
        <v>30628</v>
      </c>
      <c r="F14575" t="s">
        <v>30900</v>
      </c>
      <c r="G14575" t="s">
        <v>30907</v>
      </c>
      <c r="H14575" t="s">
        <v>30915</v>
      </c>
      <c r="I14575" t="s">
        <v>30919</v>
      </c>
      <c r="J14575" t="s">
        <v>40064</v>
      </c>
      <c r="K14575" t="s">
        <v>40304</v>
      </c>
      <c r="M14575" t="s">
        <v>44693</v>
      </c>
      <c r="N14575" t="s">
        <v>44759</v>
      </c>
      <c r="O14575" t="s">
        <v>44760</v>
      </c>
      <c r="Q14575">
        <v>13</v>
      </c>
      <c r="R14575" t="s">
        <v>44795</v>
      </c>
      <c r="S14575" t="s">
        <v>46266</v>
      </c>
      <c r="T14575" t="s">
        <v>46937</v>
      </c>
      <c r="U14575" t="s">
        <v>58614</v>
      </c>
      <c r="W14575" t="s">
        <v>44693</v>
      </c>
      <c r="X14575" t="s">
        <v>44796</v>
      </c>
    </row>
    <row r="14576" spans="1:24">
      <c r="A14576">
        <f>HYPERLINK("https://www.philgeps.gov.ph/GEPSNONPILOT/Tender/SplashBidNoticeAbstractUI.aspx?menuIndex=3&amp;refID=7080631&amp;Result=3","7080631")</f>
        <v>0</v>
      </c>
      <c r="B14576" t="s">
        <v>3718</v>
      </c>
      <c r="C14576" t="s">
        <v>17634</v>
      </c>
      <c r="D14576" t="s">
        <v>17973</v>
      </c>
      <c r="E14576" t="s">
        <v>18852</v>
      </c>
      <c r="F14576" t="s">
        <v>30900</v>
      </c>
      <c r="G14576" t="s">
        <v>30907</v>
      </c>
      <c r="H14576" t="s">
        <v>30915</v>
      </c>
      <c r="I14576" t="s">
        <v>8123</v>
      </c>
      <c r="J14576" t="s">
        <v>31050</v>
      </c>
      <c r="K14576" t="s">
        <v>40286</v>
      </c>
      <c r="M14576" t="s">
        <v>44691</v>
      </c>
      <c r="N14576" t="s">
        <v>44759</v>
      </c>
      <c r="O14576" t="s">
        <v>44760</v>
      </c>
      <c r="P14576">
        <v>0</v>
      </c>
      <c r="Q14576">
        <v>0</v>
      </c>
      <c r="R14576" t="s">
        <v>44794</v>
      </c>
      <c r="S14576" t="s">
        <v>46036</v>
      </c>
      <c r="T14576" t="s">
        <v>46409</v>
      </c>
      <c r="U14576" t="s">
        <v>58832</v>
      </c>
      <c r="V14576" t="s">
        <v>60779</v>
      </c>
      <c r="W14576" t="s">
        <v>44691</v>
      </c>
      <c r="X14576" t="s">
        <v>44795</v>
      </c>
    </row>
    <row r="14577" spans="1:24">
      <c r="A14577">
        <f>HYPERLINK("https://www.philgeps.gov.ph/GEPSNONPILOT/Tender/SplashBidNoticeAbstractUI.aspx?menuIndex=3&amp;refID=7075794&amp;Result=3","7075794")</f>
        <v>0</v>
      </c>
      <c r="B14577" t="s">
        <v>2465</v>
      </c>
      <c r="C14577" t="s">
        <v>17635</v>
      </c>
      <c r="D14577" t="s">
        <v>17959</v>
      </c>
      <c r="E14577" t="s">
        <v>30629</v>
      </c>
      <c r="F14577" t="s">
        <v>30900</v>
      </c>
      <c r="G14577" t="s">
        <v>30907</v>
      </c>
      <c r="H14577" t="s">
        <v>30915</v>
      </c>
      <c r="I14577" t="s">
        <v>30919</v>
      </c>
      <c r="J14577" t="s">
        <v>40065</v>
      </c>
      <c r="K14577" t="s">
        <v>40292</v>
      </c>
      <c r="M14577" t="s">
        <v>43203</v>
      </c>
      <c r="N14577" t="s">
        <v>44759</v>
      </c>
      <c r="O14577" t="s">
        <v>44760</v>
      </c>
      <c r="Q14577">
        <v>10</v>
      </c>
      <c r="R14577" t="s">
        <v>44796</v>
      </c>
      <c r="S14577" t="s">
        <v>45825</v>
      </c>
      <c r="T14577" t="s">
        <v>46457</v>
      </c>
      <c r="U14577" t="s">
        <v>58833</v>
      </c>
      <c r="V14577" t="s">
        <v>60199</v>
      </c>
      <c r="W14577" t="s">
        <v>43203</v>
      </c>
      <c r="X14577" t="s">
        <v>44798</v>
      </c>
    </row>
    <row r="14578" spans="1:24">
      <c r="A14578">
        <f>HYPERLINK("https://www.philgeps.gov.ph/GEPSNONPILOT/Tender/SplashBidNoticeAbstractUI.aspx?menuIndex=3&amp;refID=7066574&amp;Result=3","7066574")</f>
        <v>0</v>
      </c>
      <c r="B14578" t="s">
        <v>3690</v>
      </c>
      <c r="C14578" t="s">
        <v>17636</v>
      </c>
      <c r="E14578" t="s">
        <v>30630</v>
      </c>
      <c r="F14578" t="s">
        <v>30900</v>
      </c>
      <c r="G14578" t="s">
        <v>30907</v>
      </c>
      <c r="H14578" t="s">
        <v>30916</v>
      </c>
      <c r="I14578" t="s">
        <v>31039</v>
      </c>
      <c r="J14578" t="s">
        <v>40066</v>
      </c>
      <c r="K14578" t="s">
        <v>40301</v>
      </c>
      <c r="M14578" t="s">
        <v>44649</v>
      </c>
      <c r="N14578" t="s">
        <v>44759</v>
      </c>
      <c r="O14578" t="s">
        <v>44760</v>
      </c>
      <c r="Q14578">
        <v>11</v>
      </c>
      <c r="R14578" t="s">
        <v>44796</v>
      </c>
      <c r="S14578" t="s">
        <v>46267</v>
      </c>
      <c r="T14578" t="s">
        <v>46771</v>
      </c>
      <c r="U14578" t="s">
        <v>58826</v>
      </c>
      <c r="W14578" t="s">
        <v>44649</v>
      </c>
      <c r="X14578" t="s">
        <v>44800</v>
      </c>
    </row>
    <row r="14579" spans="1:24">
      <c r="A14579">
        <f>HYPERLINK("https://www.philgeps.gov.ph/GEPSNONPILOT/Tender/SplashBidNoticeAbstractUI.aspx?menuIndex=3&amp;refID=7079535&amp;Result=3","7079535")</f>
        <v>0</v>
      </c>
      <c r="B14579" t="s">
        <v>3710</v>
      </c>
      <c r="C14579" t="s">
        <v>17637</v>
      </c>
      <c r="D14579" t="s">
        <v>18000</v>
      </c>
      <c r="E14579" t="s">
        <v>30631</v>
      </c>
      <c r="F14579" t="s">
        <v>30900</v>
      </c>
      <c r="G14579" t="s">
        <v>30907</v>
      </c>
      <c r="H14579" t="s">
        <v>30915</v>
      </c>
      <c r="I14579" t="s">
        <v>30919</v>
      </c>
      <c r="J14579" t="s">
        <v>40067</v>
      </c>
      <c r="K14579" t="s">
        <v>40341</v>
      </c>
      <c r="M14579" t="s">
        <v>44677</v>
      </c>
      <c r="N14579" t="s">
        <v>44759</v>
      </c>
      <c r="O14579" t="s">
        <v>44760</v>
      </c>
      <c r="Q14579">
        <v>4</v>
      </c>
      <c r="R14579" t="s">
        <v>44792</v>
      </c>
      <c r="S14579" t="s">
        <v>46268</v>
      </c>
      <c r="T14579" t="s">
        <v>46429</v>
      </c>
      <c r="U14579" t="s">
        <v>58515</v>
      </c>
      <c r="W14579" t="s">
        <v>44677</v>
      </c>
      <c r="X14579" t="s">
        <v>44795</v>
      </c>
    </row>
    <row r="14580" spans="1:24">
      <c r="A14580">
        <f>HYPERLINK("https://www.philgeps.gov.ph/GEPSNONPILOT/Tender/SplashBidNoticeAbstractUI.aspx?menuIndex=3&amp;refID=7079478&amp;Result=3","7079478")</f>
        <v>0</v>
      </c>
      <c r="B14580" t="s">
        <v>3710</v>
      </c>
      <c r="C14580" t="s">
        <v>17638</v>
      </c>
      <c r="D14580" t="s">
        <v>18000</v>
      </c>
      <c r="E14580" t="s">
        <v>30632</v>
      </c>
      <c r="F14580" t="s">
        <v>30900</v>
      </c>
      <c r="G14580" t="s">
        <v>30907</v>
      </c>
      <c r="H14580" t="s">
        <v>30915</v>
      </c>
      <c r="I14580" t="s">
        <v>30919</v>
      </c>
      <c r="J14580" t="s">
        <v>40068</v>
      </c>
      <c r="K14580" t="s">
        <v>40456</v>
      </c>
      <c r="M14580" t="s">
        <v>44677</v>
      </c>
      <c r="N14580" t="s">
        <v>44759</v>
      </c>
      <c r="O14580" t="s">
        <v>44760</v>
      </c>
      <c r="Q14580">
        <v>1</v>
      </c>
      <c r="R14580" t="s">
        <v>44792</v>
      </c>
      <c r="S14580" t="s">
        <v>46269</v>
      </c>
      <c r="T14580" t="s">
        <v>46429</v>
      </c>
      <c r="U14580" t="s">
        <v>58515</v>
      </c>
      <c r="W14580" t="s">
        <v>44677</v>
      </c>
      <c r="X14580" t="s">
        <v>44795</v>
      </c>
    </row>
    <row r="14581" spans="1:24">
      <c r="A14581">
        <f>HYPERLINK("https://www.philgeps.gov.ph/GEPSNONPILOT/Tender/SplashBidNoticeAbstractUI.aspx?menuIndex=3&amp;refID=7079454&amp;Result=3","7079454")</f>
        <v>0</v>
      </c>
      <c r="B14581" t="s">
        <v>3710</v>
      </c>
      <c r="C14581" t="s">
        <v>17639</v>
      </c>
      <c r="D14581" t="s">
        <v>18000</v>
      </c>
      <c r="E14581" t="s">
        <v>30633</v>
      </c>
      <c r="F14581" t="s">
        <v>30900</v>
      </c>
      <c r="G14581" t="s">
        <v>30907</v>
      </c>
      <c r="H14581" t="s">
        <v>30915</v>
      </c>
      <c r="I14581" t="s">
        <v>30919</v>
      </c>
      <c r="J14581" t="s">
        <v>40069</v>
      </c>
      <c r="K14581" t="s">
        <v>40404</v>
      </c>
      <c r="M14581" t="s">
        <v>44677</v>
      </c>
      <c r="N14581" t="s">
        <v>44759</v>
      </c>
      <c r="O14581" t="s">
        <v>44760</v>
      </c>
      <c r="Q14581">
        <v>2</v>
      </c>
      <c r="R14581" t="s">
        <v>44792</v>
      </c>
      <c r="S14581" t="s">
        <v>46270</v>
      </c>
      <c r="T14581" t="s">
        <v>46429</v>
      </c>
      <c r="U14581" t="s">
        <v>58515</v>
      </c>
      <c r="W14581" t="s">
        <v>44677</v>
      </c>
      <c r="X14581" t="s">
        <v>44795</v>
      </c>
    </row>
    <row r="14582" spans="1:24">
      <c r="A14582">
        <f>HYPERLINK("https://www.philgeps.gov.ph/GEPSNONPILOT/Tender/SplashBidNoticeAbstractUI.aspx?menuIndex=3&amp;refID=7079433&amp;Result=3","7079433")</f>
        <v>0</v>
      </c>
      <c r="B14582" t="s">
        <v>3710</v>
      </c>
      <c r="C14582" t="s">
        <v>17640</v>
      </c>
      <c r="D14582" t="s">
        <v>18000</v>
      </c>
      <c r="E14582" t="s">
        <v>30634</v>
      </c>
      <c r="F14582" t="s">
        <v>30900</v>
      </c>
      <c r="G14582" t="s">
        <v>30907</v>
      </c>
      <c r="H14582" t="s">
        <v>30915</v>
      </c>
      <c r="I14582" t="s">
        <v>30919</v>
      </c>
      <c r="J14582" t="s">
        <v>40070</v>
      </c>
      <c r="K14582" t="s">
        <v>40456</v>
      </c>
      <c r="M14582" t="s">
        <v>44677</v>
      </c>
      <c r="N14582" t="s">
        <v>44759</v>
      </c>
      <c r="O14582" t="s">
        <v>44760</v>
      </c>
      <c r="Q14582">
        <v>2</v>
      </c>
      <c r="R14582" t="s">
        <v>44792</v>
      </c>
      <c r="S14582" t="s">
        <v>46271</v>
      </c>
      <c r="T14582" t="s">
        <v>46429</v>
      </c>
      <c r="U14582" t="s">
        <v>58515</v>
      </c>
      <c r="W14582" t="s">
        <v>44677</v>
      </c>
      <c r="X14582" t="s">
        <v>44795</v>
      </c>
    </row>
    <row r="14583" spans="1:24">
      <c r="A14583">
        <f>HYPERLINK("https://www.philgeps.gov.ph/GEPSNONPILOT/Tender/SplashBidNoticeAbstractUI.aspx?menuIndex=3&amp;refID=7080779&amp;Result=3","7080779")</f>
        <v>0</v>
      </c>
      <c r="B14583" t="s">
        <v>3718</v>
      </c>
      <c r="C14583" t="s">
        <v>17641</v>
      </c>
      <c r="D14583" t="s">
        <v>17973</v>
      </c>
      <c r="E14583" t="s">
        <v>19755</v>
      </c>
      <c r="F14583" t="s">
        <v>30900</v>
      </c>
      <c r="G14583" t="s">
        <v>30907</v>
      </c>
      <c r="H14583" t="s">
        <v>30915</v>
      </c>
      <c r="I14583" t="s">
        <v>30919</v>
      </c>
      <c r="J14583" t="s">
        <v>33599</v>
      </c>
      <c r="K14583" t="s">
        <v>40286</v>
      </c>
      <c r="M14583" t="s">
        <v>44691</v>
      </c>
      <c r="N14583" t="s">
        <v>44759</v>
      </c>
      <c r="O14583" t="s">
        <v>44760</v>
      </c>
      <c r="P14583">
        <v>0</v>
      </c>
      <c r="Q14583">
        <v>0</v>
      </c>
      <c r="R14583" t="s">
        <v>44794</v>
      </c>
      <c r="S14583" t="s">
        <v>46036</v>
      </c>
      <c r="T14583" t="s">
        <v>46409</v>
      </c>
      <c r="U14583" t="s">
        <v>58834</v>
      </c>
      <c r="V14583" t="s">
        <v>60780</v>
      </c>
      <c r="W14583" t="s">
        <v>44691</v>
      </c>
      <c r="X14583" t="s">
        <v>44795</v>
      </c>
    </row>
    <row r="14584" spans="1:24">
      <c r="A14584">
        <f>HYPERLINK("https://www.philgeps.gov.ph/GEPSNONPILOT/Tender/SplashBidNoticeAbstractUI.aspx?menuIndex=3&amp;refID=7079411&amp;Result=3","7079411")</f>
        <v>0</v>
      </c>
      <c r="B14584" t="s">
        <v>3710</v>
      </c>
      <c r="C14584" t="s">
        <v>17642</v>
      </c>
      <c r="D14584" t="s">
        <v>18000</v>
      </c>
      <c r="E14584" t="s">
        <v>30635</v>
      </c>
      <c r="F14584" t="s">
        <v>30900</v>
      </c>
      <c r="G14584" t="s">
        <v>30907</v>
      </c>
      <c r="H14584" t="s">
        <v>30915</v>
      </c>
      <c r="I14584" t="s">
        <v>30919</v>
      </c>
      <c r="J14584" t="s">
        <v>39909</v>
      </c>
      <c r="K14584" t="s">
        <v>40404</v>
      </c>
      <c r="M14584" t="s">
        <v>44677</v>
      </c>
      <c r="N14584" t="s">
        <v>44759</v>
      </c>
      <c r="O14584" t="s">
        <v>44760</v>
      </c>
      <c r="Q14584">
        <v>1</v>
      </c>
      <c r="R14584" t="s">
        <v>44792</v>
      </c>
      <c r="S14584" t="s">
        <v>44897</v>
      </c>
      <c r="T14584" t="s">
        <v>46429</v>
      </c>
      <c r="U14584" t="s">
        <v>58515</v>
      </c>
      <c r="W14584" t="s">
        <v>44677</v>
      </c>
      <c r="X14584" t="s">
        <v>44795</v>
      </c>
    </row>
    <row r="14585" spans="1:24">
      <c r="A14585">
        <f>HYPERLINK("https://www.philgeps.gov.ph/GEPSNONPILOT/Tender/SplashBidNoticeAbstractUI.aspx?menuIndex=3&amp;refID=7080755&amp;Result=3","7080755")</f>
        <v>0</v>
      </c>
      <c r="B14585" t="s">
        <v>3068</v>
      </c>
      <c r="C14585" t="s">
        <v>17643</v>
      </c>
      <c r="D14585" t="s">
        <v>18025</v>
      </c>
      <c r="E14585" t="s">
        <v>30636</v>
      </c>
      <c r="F14585" t="s">
        <v>30900</v>
      </c>
      <c r="G14585" t="s">
        <v>30907</v>
      </c>
      <c r="H14585" t="s">
        <v>30915</v>
      </c>
      <c r="I14585" t="s">
        <v>30919</v>
      </c>
      <c r="J14585" t="s">
        <v>37738</v>
      </c>
      <c r="K14585" t="s">
        <v>40354</v>
      </c>
      <c r="M14585" t="s">
        <v>43879</v>
      </c>
      <c r="N14585" t="s">
        <v>44759</v>
      </c>
      <c r="O14585" t="s">
        <v>44760</v>
      </c>
      <c r="Q14585">
        <v>41</v>
      </c>
      <c r="R14585" t="s">
        <v>44794</v>
      </c>
      <c r="S14585" t="s">
        <v>46272</v>
      </c>
      <c r="T14585" t="s">
        <v>46533</v>
      </c>
      <c r="U14585" t="s">
        <v>58622</v>
      </c>
      <c r="W14585" t="s">
        <v>60911</v>
      </c>
      <c r="X14585" t="s">
        <v>44795</v>
      </c>
    </row>
    <row r="14586" spans="1:24">
      <c r="A14586">
        <f>HYPERLINK("https://www.philgeps.gov.ph/GEPSNONPILOT/Tender/SplashBidNoticeAbstractUI.aspx?menuIndex=3&amp;refID=7079491&amp;Result=3","7079491")</f>
        <v>0</v>
      </c>
      <c r="B14586" t="s">
        <v>3710</v>
      </c>
      <c r="C14586" t="s">
        <v>17644</v>
      </c>
      <c r="D14586" t="s">
        <v>18000</v>
      </c>
      <c r="E14586" t="s">
        <v>30637</v>
      </c>
      <c r="F14586" t="s">
        <v>30900</v>
      </c>
      <c r="G14586" t="s">
        <v>30907</v>
      </c>
      <c r="H14586" t="s">
        <v>30915</v>
      </c>
      <c r="I14586" t="s">
        <v>30919</v>
      </c>
      <c r="J14586" t="s">
        <v>39831</v>
      </c>
      <c r="K14586" t="s">
        <v>40558</v>
      </c>
      <c r="M14586" t="s">
        <v>44677</v>
      </c>
      <c r="N14586" t="s">
        <v>44759</v>
      </c>
      <c r="O14586" t="s">
        <v>44760</v>
      </c>
      <c r="Q14586">
        <v>3</v>
      </c>
      <c r="R14586" t="s">
        <v>44792</v>
      </c>
      <c r="S14586" t="s">
        <v>45469</v>
      </c>
      <c r="T14586" t="s">
        <v>46429</v>
      </c>
      <c r="U14586" t="s">
        <v>58515</v>
      </c>
      <c r="W14586" t="s">
        <v>44677</v>
      </c>
      <c r="X14586" t="s">
        <v>44795</v>
      </c>
    </row>
    <row r="14587" spans="1:24">
      <c r="A14587">
        <f>HYPERLINK("https://www.philgeps.gov.ph/GEPSNONPILOT/Tender/SplashBidNoticeAbstractUI.aspx?menuIndex=3&amp;refID=7088774&amp;Result=3","7088774")</f>
        <v>0</v>
      </c>
      <c r="B14587" t="s">
        <v>3068</v>
      </c>
      <c r="C14587" t="s">
        <v>17645</v>
      </c>
      <c r="D14587" t="s">
        <v>18025</v>
      </c>
      <c r="E14587" t="s">
        <v>30638</v>
      </c>
      <c r="F14587" t="s">
        <v>30900</v>
      </c>
      <c r="G14587" t="s">
        <v>30907</v>
      </c>
      <c r="H14587" t="s">
        <v>30915</v>
      </c>
      <c r="I14587" t="s">
        <v>30919</v>
      </c>
      <c r="J14587" t="s">
        <v>40071</v>
      </c>
      <c r="K14587" t="s">
        <v>40304</v>
      </c>
      <c r="M14587" t="s">
        <v>43879</v>
      </c>
      <c r="N14587" t="s">
        <v>44759</v>
      </c>
      <c r="O14587" t="s">
        <v>44760</v>
      </c>
      <c r="Q14587">
        <v>35</v>
      </c>
      <c r="R14587" t="s">
        <v>44790</v>
      </c>
      <c r="S14587" t="s">
        <v>46273</v>
      </c>
      <c r="T14587" t="s">
        <v>46533</v>
      </c>
      <c r="U14587" t="s">
        <v>58835</v>
      </c>
      <c r="W14587" t="s">
        <v>60911</v>
      </c>
      <c r="X14587" t="s">
        <v>44791</v>
      </c>
    </row>
    <row r="14588" spans="1:24">
      <c r="A14588">
        <f>HYPERLINK("https://www.philgeps.gov.ph/GEPSNONPILOT/Tender/SplashBidNoticeAbstractUI.aspx?menuIndex=3&amp;refID=7088769&amp;Result=3","7088769")</f>
        <v>0</v>
      </c>
      <c r="B14588" t="s">
        <v>3068</v>
      </c>
      <c r="C14588" t="s">
        <v>17646</v>
      </c>
      <c r="D14588" t="s">
        <v>18025</v>
      </c>
      <c r="E14588" t="s">
        <v>30639</v>
      </c>
      <c r="F14588" t="s">
        <v>30900</v>
      </c>
      <c r="G14588" t="s">
        <v>30907</v>
      </c>
      <c r="H14588" t="s">
        <v>30915</v>
      </c>
      <c r="I14588" t="s">
        <v>30919</v>
      </c>
      <c r="J14588" t="s">
        <v>40071</v>
      </c>
      <c r="K14588" t="s">
        <v>40304</v>
      </c>
      <c r="M14588" t="s">
        <v>43879</v>
      </c>
      <c r="N14588" t="s">
        <v>44759</v>
      </c>
      <c r="O14588" t="s">
        <v>44760</v>
      </c>
      <c r="Q14588">
        <v>35</v>
      </c>
      <c r="R14588" t="s">
        <v>44790</v>
      </c>
      <c r="S14588" t="s">
        <v>46274</v>
      </c>
      <c r="T14588" t="s">
        <v>46533</v>
      </c>
      <c r="U14588" t="s">
        <v>58835</v>
      </c>
      <c r="W14588" t="s">
        <v>60911</v>
      </c>
      <c r="X14588" t="s">
        <v>44791</v>
      </c>
    </row>
    <row r="14589" spans="1:24">
      <c r="A14589">
        <f>HYPERLINK("https://www.philgeps.gov.ph/GEPSNONPILOT/Tender/SplashBidNoticeAbstractUI.aspx?menuIndex=3&amp;refID=7088215&amp;Result=3","7088215")</f>
        <v>0</v>
      </c>
      <c r="B14589" t="s">
        <v>76</v>
      </c>
      <c r="C14589" t="s">
        <v>17647</v>
      </c>
      <c r="D14589" t="s">
        <v>17955</v>
      </c>
      <c r="E14589" t="s">
        <v>24501</v>
      </c>
      <c r="F14589" t="s">
        <v>30900</v>
      </c>
      <c r="G14589" t="s">
        <v>30907</v>
      </c>
      <c r="H14589" t="s">
        <v>30915</v>
      </c>
      <c r="I14589" t="s">
        <v>30919</v>
      </c>
      <c r="J14589" t="s">
        <v>40072</v>
      </c>
      <c r="K14589" t="s">
        <v>40392</v>
      </c>
      <c r="M14589" t="s">
        <v>40623</v>
      </c>
      <c r="N14589" t="s">
        <v>44759</v>
      </c>
      <c r="O14589" t="s">
        <v>44760</v>
      </c>
      <c r="Q14589">
        <v>1</v>
      </c>
      <c r="R14589" t="s">
        <v>44790</v>
      </c>
      <c r="S14589" t="s">
        <v>46275</v>
      </c>
      <c r="T14589" t="s">
        <v>46353</v>
      </c>
      <c r="U14589" t="s">
        <v>58836</v>
      </c>
      <c r="W14589" t="s">
        <v>40623</v>
      </c>
      <c r="X14589" t="s">
        <v>44791</v>
      </c>
    </row>
    <row r="14590" spans="1:24">
      <c r="A14590">
        <f>HYPERLINK("https://www.philgeps.gov.ph/GEPSNONPILOT/Tender/SplashBidNoticeAbstractUI.aspx?menuIndex=3&amp;refID=7092748&amp;Result=3","7092748")</f>
        <v>0</v>
      </c>
      <c r="B14590" t="s">
        <v>1240</v>
      </c>
      <c r="C14590" t="s">
        <v>17648</v>
      </c>
      <c r="D14590" t="s">
        <v>18010</v>
      </c>
      <c r="E14590" t="s">
        <v>30640</v>
      </c>
      <c r="F14590" t="s">
        <v>30900</v>
      </c>
      <c r="G14590" t="s">
        <v>30907</v>
      </c>
      <c r="H14590" t="s">
        <v>30915</v>
      </c>
      <c r="I14590" t="s">
        <v>30919</v>
      </c>
      <c r="J14590" t="s">
        <v>31152</v>
      </c>
      <c r="K14590" t="s">
        <v>40304</v>
      </c>
      <c r="M14590" t="s">
        <v>41852</v>
      </c>
      <c r="N14590" t="s">
        <v>44759</v>
      </c>
      <c r="O14590" t="s">
        <v>44760</v>
      </c>
      <c r="P14590">
        <v>0</v>
      </c>
      <c r="Q14590">
        <v>77</v>
      </c>
      <c r="R14590" t="s">
        <v>44784</v>
      </c>
      <c r="S14590" t="s">
        <v>45911</v>
      </c>
      <c r="T14590" t="s">
        <v>46625</v>
      </c>
      <c r="U14590" t="s">
        <v>58837</v>
      </c>
      <c r="V14590" t="s">
        <v>60711</v>
      </c>
      <c r="W14590" t="s">
        <v>41852</v>
      </c>
      <c r="X14590" t="s">
        <v>44790</v>
      </c>
    </row>
    <row r="14591" spans="1:24">
      <c r="A14591">
        <f>HYPERLINK("https://www.philgeps.gov.ph/GEPSNONPILOT/Tender/SplashBidNoticeAbstractUI.aspx?menuIndex=3&amp;refID=7092656&amp;Result=3","7092656")</f>
        <v>0</v>
      </c>
      <c r="B14591" t="s">
        <v>1240</v>
      </c>
      <c r="C14591" t="s">
        <v>17649</v>
      </c>
      <c r="D14591" t="s">
        <v>18010</v>
      </c>
      <c r="E14591" t="s">
        <v>30641</v>
      </c>
      <c r="F14591" t="s">
        <v>30900</v>
      </c>
      <c r="G14591" t="s">
        <v>30907</v>
      </c>
      <c r="H14591" t="s">
        <v>30915</v>
      </c>
      <c r="I14591" t="s">
        <v>30919</v>
      </c>
      <c r="J14591" t="s">
        <v>31152</v>
      </c>
      <c r="K14591" t="s">
        <v>40304</v>
      </c>
      <c r="M14591" t="s">
        <v>41852</v>
      </c>
      <c r="N14591" t="s">
        <v>44759</v>
      </c>
      <c r="O14591" t="s">
        <v>44760</v>
      </c>
      <c r="P14591">
        <v>0</v>
      </c>
      <c r="Q14591">
        <v>76</v>
      </c>
      <c r="R14591" t="s">
        <v>44784</v>
      </c>
      <c r="S14591" t="s">
        <v>45911</v>
      </c>
      <c r="T14591" t="s">
        <v>46625</v>
      </c>
      <c r="U14591" t="s">
        <v>58838</v>
      </c>
      <c r="V14591" t="s">
        <v>60711</v>
      </c>
      <c r="W14591" t="s">
        <v>41852</v>
      </c>
      <c r="X14591" t="s">
        <v>44790</v>
      </c>
    </row>
    <row r="14592" spans="1:24">
      <c r="A14592">
        <f>HYPERLINK("https://www.philgeps.gov.ph/GEPSNONPILOT/Tender/SplashBidNoticeAbstractUI.aspx?menuIndex=3&amp;refID=7092595&amp;Result=3","7092595")</f>
        <v>0</v>
      </c>
      <c r="B14592" t="s">
        <v>1240</v>
      </c>
      <c r="C14592" t="s">
        <v>17650</v>
      </c>
      <c r="D14592" t="s">
        <v>18010</v>
      </c>
      <c r="E14592" t="s">
        <v>30642</v>
      </c>
      <c r="F14592" t="s">
        <v>30900</v>
      </c>
      <c r="G14592" t="s">
        <v>30907</v>
      </c>
      <c r="H14592" t="s">
        <v>30916</v>
      </c>
      <c r="I14592" t="s">
        <v>30998</v>
      </c>
      <c r="J14592" t="s">
        <v>31391</v>
      </c>
      <c r="K14592" t="s">
        <v>40304</v>
      </c>
      <c r="M14592" t="s">
        <v>41852</v>
      </c>
      <c r="N14592" t="s">
        <v>44759</v>
      </c>
      <c r="O14592" t="s">
        <v>44760</v>
      </c>
      <c r="P14592">
        <v>0</v>
      </c>
      <c r="Q14592">
        <v>17</v>
      </c>
      <c r="R14592" t="s">
        <v>44784</v>
      </c>
      <c r="S14592" t="s">
        <v>45911</v>
      </c>
      <c r="T14592" t="s">
        <v>46625</v>
      </c>
      <c r="U14592" t="s">
        <v>58839</v>
      </c>
      <c r="V14592" t="s">
        <v>60781</v>
      </c>
      <c r="W14592" t="s">
        <v>41852</v>
      </c>
      <c r="X14592" t="s">
        <v>44790</v>
      </c>
    </row>
    <row r="14593" spans="1:24">
      <c r="A14593">
        <f>HYPERLINK("https://www.philgeps.gov.ph/GEPSNONPILOT/Tender/SplashBidNoticeAbstractUI.aspx?menuIndex=3&amp;refID=7106855&amp;Result=3","7106855")</f>
        <v>0</v>
      </c>
      <c r="B14593" t="s">
        <v>3739</v>
      </c>
      <c r="C14593" t="s">
        <v>17651</v>
      </c>
      <c r="D14593" t="s">
        <v>18058</v>
      </c>
      <c r="E14593" t="s">
        <v>30643</v>
      </c>
      <c r="F14593" t="s">
        <v>30900</v>
      </c>
      <c r="G14593" t="s">
        <v>30907</v>
      </c>
      <c r="H14593" t="s">
        <v>30916</v>
      </c>
      <c r="I14593" t="s">
        <v>4061</v>
      </c>
      <c r="J14593" t="s">
        <v>40073</v>
      </c>
      <c r="K14593" t="s">
        <v>40286</v>
      </c>
      <c r="M14593" t="s">
        <v>44724</v>
      </c>
      <c r="N14593" t="s">
        <v>44759</v>
      </c>
      <c r="O14593" t="s">
        <v>44760</v>
      </c>
      <c r="P14593">
        <v>0</v>
      </c>
      <c r="Q14593">
        <v>2</v>
      </c>
      <c r="R14593" t="s">
        <v>44783</v>
      </c>
      <c r="S14593" t="s">
        <v>45897</v>
      </c>
      <c r="T14593" t="s">
        <v>46771</v>
      </c>
      <c r="U14593" t="s">
        <v>58840</v>
      </c>
      <c r="V14593" t="s">
        <v>60782</v>
      </c>
      <c r="W14593" t="s">
        <v>44724</v>
      </c>
      <c r="X14593" t="s">
        <v>44784</v>
      </c>
    </row>
    <row r="14594" spans="1:24">
      <c r="A14594">
        <f>HYPERLINK("https://www.philgeps.gov.ph/GEPSNONPILOT/Tender/SplashBidNoticeAbstractUI.aspx?menuIndex=3&amp;refID=7087344&amp;Result=3","7087344")</f>
        <v>0</v>
      </c>
      <c r="B14594" t="s">
        <v>1999</v>
      </c>
      <c r="C14594" t="s">
        <v>17652</v>
      </c>
      <c r="D14594" t="s">
        <v>18017</v>
      </c>
      <c r="E14594" t="s">
        <v>30644</v>
      </c>
      <c r="F14594" t="s">
        <v>30900</v>
      </c>
      <c r="G14594" t="s">
        <v>30907</v>
      </c>
      <c r="H14594" t="s">
        <v>30916</v>
      </c>
      <c r="I14594" t="s">
        <v>6953</v>
      </c>
      <c r="J14594" t="s">
        <v>40074</v>
      </c>
      <c r="K14594" t="s">
        <v>40286</v>
      </c>
      <c r="M14594" t="s">
        <v>42691</v>
      </c>
      <c r="N14594" t="s">
        <v>44759</v>
      </c>
      <c r="O14594" t="s">
        <v>44760</v>
      </c>
      <c r="Q14594">
        <v>4</v>
      </c>
      <c r="R14594" t="s">
        <v>44861</v>
      </c>
      <c r="S14594" t="s">
        <v>46276</v>
      </c>
      <c r="T14594" t="s">
        <v>46533</v>
      </c>
      <c r="U14594" t="s">
        <v>58841</v>
      </c>
      <c r="V14594" t="s">
        <v>59706</v>
      </c>
      <c r="W14594" t="s">
        <v>42691</v>
      </c>
      <c r="X14594" t="s">
        <v>44793</v>
      </c>
    </row>
    <row r="14595" spans="1:24">
      <c r="A14595">
        <f>HYPERLINK("https://www.philgeps.gov.ph/GEPSNONPILOT/Tender/SplashBidNoticeAbstractUI.aspx?menuIndex=3&amp;refID=7106630&amp;Result=3","7106630")</f>
        <v>0</v>
      </c>
      <c r="B14595" t="s">
        <v>2726</v>
      </c>
      <c r="C14595" t="s">
        <v>17653</v>
      </c>
      <c r="D14595" t="s">
        <v>17951</v>
      </c>
      <c r="E14595" t="s">
        <v>30645</v>
      </c>
      <c r="F14595" t="s">
        <v>30900</v>
      </c>
      <c r="G14595" t="s">
        <v>30907</v>
      </c>
      <c r="H14595" t="s">
        <v>30915</v>
      </c>
      <c r="I14595" t="s">
        <v>30919</v>
      </c>
      <c r="J14595" t="s">
        <v>35229</v>
      </c>
      <c r="K14595" t="s">
        <v>40286</v>
      </c>
      <c r="M14595" t="s">
        <v>43501</v>
      </c>
      <c r="N14595" t="s">
        <v>44759</v>
      </c>
      <c r="O14595" t="s">
        <v>44760</v>
      </c>
      <c r="P14595">
        <v>0</v>
      </c>
      <c r="Q14595">
        <v>0</v>
      </c>
      <c r="R14595" t="s">
        <v>44783</v>
      </c>
      <c r="S14595" t="s">
        <v>45897</v>
      </c>
      <c r="T14595" t="s">
        <v>46383</v>
      </c>
      <c r="U14595" t="s">
        <v>58842</v>
      </c>
      <c r="W14595" t="s">
        <v>43501</v>
      </c>
      <c r="X14595" t="s">
        <v>44784</v>
      </c>
    </row>
    <row r="14596" spans="1:24">
      <c r="A14596">
        <f>HYPERLINK("https://www.philgeps.gov.ph/GEPSNONPILOT/Tender/SplashBidNoticeAbstractUI.aspx?menuIndex=3&amp;refID=7079500&amp;Result=3","7079500")</f>
        <v>0</v>
      </c>
      <c r="B14596" t="s">
        <v>3710</v>
      </c>
      <c r="C14596" t="s">
        <v>17654</v>
      </c>
      <c r="D14596" t="s">
        <v>18000</v>
      </c>
      <c r="E14596" t="s">
        <v>30646</v>
      </c>
      <c r="F14596" t="s">
        <v>30900</v>
      </c>
      <c r="G14596" t="s">
        <v>30907</v>
      </c>
      <c r="H14596" t="s">
        <v>30915</v>
      </c>
      <c r="I14596" t="s">
        <v>30919</v>
      </c>
      <c r="J14596" t="s">
        <v>40075</v>
      </c>
      <c r="K14596" t="s">
        <v>40376</v>
      </c>
      <c r="M14596" t="s">
        <v>44677</v>
      </c>
      <c r="N14596" t="s">
        <v>44759</v>
      </c>
      <c r="O14596" t="s">
        <v>44760</v>
      </c>
      <c r="Q14596">
        <v>1</v>
      </c>
      <c r="R14596" t="s">
        <v>44792</v>
      </c>
      <c r="S14596" t="s">
        <v>46277</v>
      </c>
      <c r="T14596" t="s">
        <v>46429</v>
      </c>
      <c r="U14596" t="s">
        <v>58515</v>
      </c>
      <c r="W14596" t="s">
        <v>44677</v>
      </c>
      <c r="X14596" t="s">
        <v>44795</v>
      </c>
    </row>
    <row r="14597" spans="1:24">
      <c r="A14597">
        <f>HYPERLINK("https://www.philgeps.gov.ph/GEPSNONPILOT/Tender/SplashBidNoticeAbstractUI.aspx?menuIndex=3&amp;refID=7106542&amp;Result=3","7106542")</f>
        <v>0</v>
      </c>
      <c r="B14597" t="s">
        <v>3669</v>
      </c>
      <c r="C14597" t="s">
        <v>17655</v>
      </c>
      <c r="D14597" t="s">
        <v>18033</v>
      </c>
      <c r="E14597" t="s">
        <v>26639</v>
      </c>
      <c r="F14597" t="s">
        <v>30900</v>
      </c>
      <c r="G14597" t="s">
        <v>30907</v>
      </c>
      <c r="H14597" t="s">
        <v>30915</v>
      </c>
      <c r="I14597" t="s">
        <v>30919</v>
      </c>
      <c r="J14597" t="s">
        <v>40076</v>
      </c>
      <c r="K14597" t="s">
        <v>40301</v>
      </c>
      <c r="M14597" t="s">
        <v>44617</v>
      </c>
      <c r="N14597" t="s">
        <v>44759</v>
      </c>
      <c r="O14597" t="s">
        <v>44760</v>
      </c>
      <c r="P14597">
        <v>0</v>
      </c>
      <c r="Q14597">
        <v>2</v>
      </c>
      <c r="R14597" t="s">
        <v>44783</v>
      </c>
      <c r="S14597" t="s">
        <v>45897</v>
      </c>
      <c r="T14597" t="s">
        <v>46399</v>
      </c>
      <c r="U14597" t="s">
        <v>58843</v>
      </c>
      <c r="W14597" t="s">
        <v>44617</v>
      </c>
      <c r="X14597" t="s">
        <v>44784</v>
      </c>
    </row>
    <row r="14598" spans="1:24">
      <c r="A14598">
        <f>HYPERLINK("https://www.philgeps.gov.ph/GEPSNONPILOT/Tender/SplashBidNoticeAbstractUI.aspx?menuIndex=3&amp;refID=7106632&amp;Result=3","7106632")</f>
        <v>0</v>
      </c>
      <c r="B14598" t="s">
        <v>3740</v>
      </c>
      <c r="C14598" t="s">
        <v>17656</v>
      </c>
      <c r="E14598" t="s">
        <v>30647</v>
      </c>
      <c r="F14598" t="s">
        <v>30900</v>
      </c>
      <c r="G14598" t="s">
        <v>30907</v>
      </c>
      <c r="H14598" t="s">
        <v>30916</v>
      </c>
      <c r="I14598" t="s">
        <v>31027</v>
      </c>
      <c r="J14598" t="s">
        <v>40077</v>
      </c>
      <c r="K14598" t="s">
        <v>40292</v>
      </c>
      <c r="M14598" t="s">
        <v>44725</v>
      </c>
      <c r="N14598" t="s">
        <v>44759</v>
      </c>
      <c r="O14598" t="s">
        <v>44760</v>
      </c>
      <c r="Q14598">
        <v>5</v>
      </c>
      <c r="R14598" t="s">
        <v>44783</v>
      </c>
      <c r="S14598" t="s">
        <v>46278</v>
      </c>
      <c r="T14598" t="s">
        <v>46771</v>
      </c>
      <c r="U14598" t="s">
        <v>58844</v>
      </c>
      <c r="W14598" t="s">
        <v>44725</v>
      </c>
      <c r="X14598" t="s">
        <v>44784</v>
      </c>
    </row>
    <row r="14599" spans="1:24">
      <c r="A14599">
        <f>HYPERLINK("https://www.philgeps.gov.ph/GEPSNONPILOT/Tender/SplashBidNoticeAbstractUI.aspx?menuIndex=3&amp;refID=7080898&amp;Result=3","7080898")</f>
        <v>0</v>
      </c>
      <c r="B14599" t="s">
        <v>3432</v>
      </c>
      <c r="C14599" t="s">
        <v>17657</v>
      </c>
      <c r="D14599" t="s">
        <v>17981</v>
      </c>
      <c r="E14599" t="s">
        <v>30648</v>
      </c>
      <c r="F14599" t="s">
        <v>30900</v>
      </c>
      <c r="G14599" t="s">
        <v>30907</v>
      </c>
      <c r="H14599" t="s">
        <v>30916</v>
      </c>
      <c r="I14599" t="s">
        <v>30985</v>
      </c>
      <c r="J14599" t="s">
        <v>40078</v>
      </c>
      <c r="K14599" t="s">
        <v>40286</v>
      </c>
      <c r="M14599" t="s">
        <v>44313</v>
      </c>
      <c r="N14599" t="s">
        <v>44759</v>
      </c>
      <c r="O14599" t="s">
        <v>44760</v>
      </c>
      <c r="Q14599">
        <v>16</v>
      </c>
      <c r="R14599" t="s">
        <v>44794</v>
      </c>
      <c r="S14599" t="s">
        <v>45329</v>
      </c>
      <c r="T14599" t="s">
        <v>46353</v>
      </c>
      <c r="U14599" t="s">
        <v>58845</v>
      </c>
      <c r="V14599" t="s">
        <v>60478</v>
      </c>
      <c r="W14599" t="s">
        <v>44313</v>
      </c>
      <c r="X14599" t="s">
        <v>44795</v>
      </c>
    </row>
    <row r="14600" spans="1:24">
      <c r="A14600">
        <f>HYPERLINK("https://www.philgeps.gov.ph/GEPSNONPILOT/Tender/SplashBidNoticeAbstractUI.aspx?menuIndex=3&amp;refID=7105997&amp;Result=3","7105997")</f>
        <v>0</v>
      </c>
      <c r="B14600" t="s">
        <v>3481</v>
      </c>
      <c r="C14600" t="s">
        <v>17658</v>
      </c>
      <c r="D14600" t="s">
        <v>17951</v>
      </c>
      <c r="E14600" t="s">
        <v>18545</v>
      </c>
      <c r="F14600" t="s">
        <v>30900</v>
      </c>
      <c r="G14600" t="s">
        <v>30907</v>
      </c>
      <c r="H14600" t="s">
        <v>30915</v>
      </c>
      <c r="I14600" t="s">
        <v>30919</v>
      </c>
      <c r="J14600" t="s">
        <v>31094</v>
      </c>
      <c r="K14600" t="s">
        <v>40286</v>
      </c>
      <c r="M14600" t="s">
        <v>44380</v>
      </c>
      <c r="N14600" t="s">
        <v>44759</v>
      </c>
      <c r="O14600" t="s">
        <v>44760</v>
      </c>
      <c r="P14600">
        <v>0</v>
      </c>
      <c r="Q14600">
        <v>4</v>
      </c>
      <c r="R14600" t="s">
        <v>44783</v>
      </c>
      <c r="S14600" t="s">
        <v>45897</v>
      </c>
      <c r="T14600" t="s">
        <v>46771</v>
      </c>
      <c r="U14600" t="s">
        <v>57042</v>
      </c>
      <c r="W14600" t="s">
        <v>44380</v>
      </c>
      <c r="X14600" t="s">
        <v>44784</v>
      </c>
    </row>
    <row r="14601" spans="1:24">
      <c r="A14601">
        <f>HYPERLINK("https://www.philgeps.gov.ph/GEPSNONPILOT/Tender/SplashBidNoticeAbstractUI.aspx?menuIndex=3&amp;refID=7106506&amp;Result=3","7106506")</f>
        <v>0</v>
      </c>
      <c r="B14601" t="s">
        <v>3669</v>
      </c>
      <c r="C14601" t="s">
        <v>17659</v>
      </c>
      <c r="D14601" t="s">
        <v>18033</v>
      </c>
      <c r="E14601" t="s">
        <v>22118</v>
      </c>
      <c r="F14601" t="s">
        <v>30900</v>
      </c>
      <c r="G14601" t="s">
        <v>30907</v>
      </c>
      <c r="H14601" t="s">
        <v>30915</v>
      </c>
      <c r="I14601" t="s">
        <v>30919</v>
      </c>
      <c r="J14601" t="s">
        <v>35591</v>
      </c>
      <c r="K14601" t="s">
        <v>40304</v>
      </c>
      <c r="M14601" t="s">
        <v>44617</v>
      </c>
      <c r="N14601" t="s">
        <v>44759</v>
      </c>
      <c r="O14601" t="s">
        <v>44760</v>
      </c>
      <c r="P14601">
        <v>0</v>
      </c>
      <c r="Q14601">
        <v>1</v>
      </c>
      <c r="R14601" t="s">
        <v>44783</v>
      </c>
      <c r="S14601" t="s">
        <v>45897</v>
      </c>
      <c r="T14601" t="s">
        <v>46376</v>
      </c>
      <c r="U14601" t="s">
        <v>58843</v>
      </c>
      <c r="W14601" t="s">
        <v>44617</v>
      </c>
      <c r="X14601" t="s">
        <v>44784</v>
      </c>
    </row>
    <row r="14602" spans="1:24">
      <c r="A14602">
        <f>HYPERLINK("https://www.philgeps.gov.ph/GEPSNONPILOT/Tender/SplashBidNoticeAbstractUI.aspx?menuIndex=3&amp;refID=7106791&amp;Result=3","7106791")</f>
        <v>0</v>
      </c>
      <c r="B14602" t="s">
        <v>3739</v>
      </c>
      <c r="C14602" t="s">
        <v>17660</v>
      </c>
      <c r="D14602" t="s">
        <v>18059</v>
      </c>
      <c r="E14602" t="s">
        <v>30649</v>
      </c>
      <c r="F14602" t="s">
        <v>30900</v>
      </c>
      <c r="G14602" t="s">
        <v>30907</v>
      </c>
      <c r="H14602" t="s">
        <v>30916</v>
      </c>
      <c r="I14602" t="s">
        <v>4061</v>
      </c>
      <c r="J14602" t="s">
        <v>40079</v>
      </c>
      <c r="K14602" t="s">
        <v>40286</v>
      </c>
      <c r="M14602" t="s">
        <v>44724</v>
      </c>
      <c r="N14602" t="s">
        <v>44759</v>
      </c>
      <c r="O14602" t="s">
        <v>44760</v>
      </c>
      <c r="P14602">
        <v>0</v>
      </c>
      <c r="Q14602">
        <v>3</v>
      </c>
      <c r="R14602" t="s">
        <v>44783</v>
      </c>
      <c r="S14602" t="s">
        <v>45897</v>
      </c>
      <c r="T14602" t="s">
        <v>46760</v>
      </c>
      <c r="U14602" t="s">
        <v>58846</v>
      </c>
      <c r="V14602" t="s">
        <v>60783</v>
      </c>
      <c r="W14602" t="s">
        <v>44724</v>
      </c>
      <c r="X14602" t="s">
        <v>44784</v>
      </c>
    </row>
    <row r="14603" spans="1:24">
      <c r="A14603">
        <f>HYPERLINK("https://www.philgeps.gov.ph/GEPSNONPILOT/Tender/SplashBidNoticeAbstractUI.aspx?menuIndex=3&amp;refID=7105972&amp;Result=3","7105972")</f>
        <v>0</v>
      </c>
      <c r="B14603" t="s">
        <v>1399</v>
      </c>
      <c r="C14603" t="s">
        <v>4532</v>
      </c>
      <c r="D14603" t="s">
        <v>18017</v>
      </c>
      <c r="E14603" t="s">
        <v>30650</v>
      </c>
      <c r="F14603" t="s">
        <v>30900</v>
      </c>
      <c r="G14603" t="s">
        <v>30907</v>
      </c>
      <c r="H14603" t="s">
        <v>30916</v>
      </c>
      <c r="I14603" t="s">
        <v>6396</v>
      </c>
      <c r="J14603" t="s">
        <v>40080</v>
      </c>
      <c r="K14603" t="s">
        <v>40287</v>
      </c>
      <c r="M14603" t="s">
        <v>42025</v>
      </c>
      <c r="N14603" t="s">
        <v>44759</v>
      </c>
      <c r="O14603" t="s">
        <v>44760</v>
      </c>
      <c r="P14603">
        <v>0</v>
      </c>
      <c r="Q14603">
        <v>4</v>
      </c>
      <c r="R14603" t="s">
        <v>44783</v>
      </c>
      <c r="S14603" t="s">
        <v>45897</v>
      </c>
      <c r="T14603" t="s">
        <v>46760</v>
      </c>
      <c r="U14603" t="s">
        <v>53696</v>
      </c>
      <c r="V14603" t="s">
        <v>60784</v>
      </c>
      <c r="W14603" t="s">
        <v>42025</v>
      </c>
      <c r="X14603" t="s">
        <v>44784</v>
      </c>
    </row>
    <row r="14604" spans="1:24">
      <c r="A14604">
        <f>HYPERLINK("https://www.philgeps.gov.ph/GEPSNONPILOT/Tender/SplashBidNoticeAbstractUI.aspx?menuIndex=3&amp;refID=7079514&amp;Result=3","7079514")</f>
        <v>0</v>
      </c>
      <c r="B14604" t="s">
        <v>3710</v>
      </c>
      <c r="C14604" t="s">
        <v>17661</v>
      </c>
      <c r="D14604" t="s">
        <v>18000</v>
      </c>
      <c r="E14604" t="s">
        <v>30651</v>
      </c>
      <c r="F14604" t="s">
        <v>30900</v>
      </c>
      <c r="G14604" t="s">
        <v>30907</v>
      </c>
      <c r="H14604" t="s">
        <v>30915</v>
      </c>
      <c r="I14604" t="s">
        <v>30919</v>
      </c>
      <c r="J14604" t="s">
        <v>40081</v>
      </c>
      <c r="K14604" t="s">
        <v>40456</v>
      </c>
      <c r="M14604" t="s">
        <v>44677</v>
      </c>
      <c r="N14604" t="s">
        <v>44759</v>
      </c>
      <c r="O14604" t="s">
        <v>44760</v>
      </c>
      <c r="Q14604">
        <v>4</v>
      </c>
      <c r="R14604" t="s">
        <v>44792</v>
      </c>
      <c r="S14604" t="s">
        <v>46279</v>
      </c>
      <c r="T14604" t="s">
        <v>46429</v>
      </c>
      <c r="U14604" t="s">
        <v>58515</v>
      </c>
      <c r="W14604" t="s">
        <v>44677</v>
      </c>
      <c r="X14604" t="s">
        <v>44795</v>
      </c>
    </row>
    <row r="14605" spans="1:24">
      <c r="A14605">
        <f>HYPERLINK("https://www.philgeps.gov.ph/GEPSNONPILOT/Tender/SplashBidNoticeAbstractUI.aspx?menuIndex=3&amp;refID=7106425&amp;Result=3","7106425")</f>
        <v>0</v>
      </c>
      <c r="B14605" t="s">
        <v>537</v>
      </c>
      <c r="C14605" t="s">
        <v>17662</v>
      </c>
      <c r="D14605" t="s">
        <v>17978</v>
      </c>
      <c r="E14605" t="s">
        <v>30652</v>
      </c>
      <c r="F14605" t="s">
        <v>30900</v>
      </c>
      <c r="G14605" t="s">
        <v>30907</v>
      </c>
      <c r="H14605" t="s">
        <v>30915</v>
      </c>
      <c r="I14605" t="s">
        <v>30919</v>
      </c>
      <c r="J14605" t="s">
        <v>40082</v>
      </c>
      <c r="K14605" t="s">
        <v>40293</v>
      </c>
      <c r="M14605" t="s">
        <v>41097</v>
      </c>
      <c r="N14605" t="s">
        <v>44759</v>
      </c>
      <c r="O14605" t="s">
        <v>44760</v>
      </c>
      <c r="P14605">
        <v>0</v>
      </c>
      <c r="Q14605">
        <v>2</v>
      </c>
      <c r="R14605" t="s">
        <v>44783</v>
      </c>
      <c r="S14605" t="s">
        <v>45897</v>
      </c>
      <c r="T14605" t="s">
        <v>46625</v>
      </c>
      <c r="U14605" t="s">
        <v>58428</v>
      </c>
      <c r="V14605" t="s">
        <v>59239</v>
      </c>
      <c r="W14605" t="s">
        <v>41097</v>
      </c>
      <c r="X14605" t="s">
        <v>44784</v>
      </c>
    </row>
    <row r="14606" spans="1:24">
      <c r="A14606">
        <f>HYPERLINK("https://www.philgeps.gov.ph/GEPSNONPILOT/Tender/SplashBidNoticeAbstractUI.aspx?menuIndex=3&amp;refID=7105959&amp;Result=3","7105959")</f>
        <v>0</v>
      </c>
      <c r="B14606" t="s">
        <v>1534</v>
      </c>
      <c r="C14606" t="s">
        <v>17663</v>
      </c>
      <c r="D14606" t="s">
        <v>18004</v>
      </c>
      <c r="E14606" t="s">
        <v>30653</v>
      </c>
      <c r="F14606" t="s">
        <v>30900</v>
      </c>
      <c r="G14606" t="s">
        <v>30907</v>
      </c>
      <c r="H14606" t="s">
        <v>30915</v>
      </c>
      <c r="I14606" t="s">
        <v>30919</v>
      </c>
      <c r="J14606" t="s">
        <v>35714</v>
      </c>
      <c r="K14606" t="s">
        <v>40566</v>
      </c>
      <c r="M14606" t="s">
        <v>44726</v>
      </c>
      <c r="N14606" t="s">
        <v>44759</v>
      </c>
      <c r="O14606" t="s">
        <v>44760</v>
      </c>
      <c r="P14606">
        <v>0</v>
      </c>
      <c r="Q14606">
        <v>28</v>
      </c>
      <c r="R14606" t="s">
        <v>44783</v>
      </c>
      <c r="S14606" t="s">
        <v>45897</v>
      </c>
      <c r="T14606" t="s">
        <v>46369</v>
      </c>
      <c r="U14606" t="s">
        <v>58847</v>
      </c>
      <c r="W14606" t="s">
        <v>44726</v>
      </c>
      <c r="X14606" t="s">
        <v>44784</v>
      </c>
    </row>
    <row r="14607" spans="1:24">
      <c r="A14607">
        <f>HYPERLINK("https://www.philgeps.gov.ph/GEPSNONPILOT/Tender/SplashBidNoticeAbstractUI.aspx?menuIndex=3&amp;refID=7105774&amp;Result=3","7105774")</f>
        <v>0</v>
      </c>
      <c r="B14607" t="s">
        <v>379</v>
      </c>
      <c r="C14607" t="s">
        <v>17664</v>
      </c>
      <c r="D14607" t="s">
        <v>18015</v>
      </c>
      <c r="E14607" t="s">
        <v>30654</v>
      </c>
      <c r="F14607" t="s">
        <v>30900</v>
      </c>
      <c r="G14607" t="s">
        <v>30907</v>
      </c>
      <c r="H14607" t="s">
        <v>30916</v>
      </c>
      <c r="I14607" t="s">
        <v>4545</v>
      </c>
      <c r="J14607" t="s">
        <v>32201</v>
      </c>
      <c r="K14607" t="s">
        <v>40283</v>
      </c>
      <c r="M14607" t="s">
        <v>40933</v>
      </c>
      <c r="N14607" t="s">
        <v>44759</v>
      </c>
      <c r="O14607" t="s">
        <v>44760</v>
      </c>
      <c r="P14607">
        <v>0</v>
      </c>
      <c r="Q14607">
        <v>0</v>
      </c>
      <c r="R14607" t="s">
        <v>44783</v>
      </c>
      <c r="S14607" t="s">
        <v>45897</v>
      </c>
      <c r="T14607" t="s">
        <v>46658</v>
      </c>
      <c r="U14607" t="s">
        <v>58848</v>
      </c>
      <c r="W14607" t="s">
        <v>40933</v>
      </c>
      <c r="X14607" t="s">
        <v>44784</v>
      </c>
    </row>
    <row r="14608" spans="1:24">
      <c r="A14608">
        <f>HYPERLINK("https://www.philgeps.gov.ph/GEPSNONPILOT/Tender/SplashBidNoticeAbstractUI.aspx?menuIndex=3&amp;refID=7105941&amp;Result=3","7105941")</f>
        <v>0</v>
      </c>
      <c r="B14608" t="s">
        <v>1399</v>
      </c>
      <c r="C14608" t="s">
        <v>11437</v>
      </c>
      <c r="D14608" t="s">
        <v>18017</v>
      </c>
      <c r="E14608" t="s">
        <v>30655</v>
      </c>
      <c r="F14608" t="s">
        <v>30900</v>
      </c>
      <c r="G14608" t="s">
        <v>30907</v>
      </c>
      <c r="H14608" t="s">
        <v>30916</v>
      </c>
      <c r="I14608" t="s">
        <v>30921</v>
      </c>
      <c r="J14608" t="s">
        <v>40083</v>
      </c>
      <c r="K14608" t="s">
        <v>40287</v>
      </c>
      <c r="M14608" t="s">
        <v>42025</v>
      </c>
      <c r="N14608" t="s">
        <v>44759</v>
      </c>
      <c r="O14608" t="s">
        <v>44760</v>
      </c>
      <c r="P14608">
        <v>0</v>
      </c>
      <c r="Q14608">
        <v>3</v>
      </c>
      <c r="R14608" t="s">
        <v>44783</v>
      </c>
      <c r="S14608" t="s">
        <v>45897</v>
      </c>
      <c r="T14608" t="s">
        <v>46760</v>
      </c>
      <c r="U14608" t="s">
        <v>53696</v>
      </c>
      <c r="V14608" t="s">
        <v>60785</v>
      </c>
      <c r="W14608" t="s">
        <v>42025</v>
      </c>
      <c r="X14608" t="s">
        <v>44784</v>
      </c>
    </row>
    <row r="14609" spans="1:24">
      <c r="A14609">
        <f>HYPERLINK("https://www.philgeps.gov.ph/GEPSNONPILOT/Tender/SplashBidNoticeAbstractUI.aspx?menuIndex=3&amp;refID=7105753&amp;Result=3","7105753")</f>
        <v>0</v>
      </c>
      <c r="B14609" t="s">
        <v>3741</v>
      </c>
      <c r="C14609" t="s">
        <v>17665</v>
      </c>
      <c r="D14609" t="s">
        <v>17952</v>
      </c>
      <c r="E14609" t="s">
        <v>18282</v>
      </c>
      <c r="F14609" t="s">
        <v>30900</v>
      </c>
      <c r="G14609" t="s">
        <v>30907</v>
      </c>
      <c r="H14609" t="s">
        <v>30916</v>
      </c>
      <c r="I14609" t="s">
        <v>8123</v>
      </c>
      <c r="J14609" t="s">
        <v>40084</v>
      </c>
      <c r="K14609" t="s">
        <v>40283</v>
      </c>
      <c r="M14609" t="s">
        <v>44727</v>
      </c>
      <c r="N14609" t="s">
        <v>44759</v>
      </c>
      <c r="O14609" t="s">
        <v>44760</v>
      </c>
      <c r="P14609">
        <v>0</v>
      </c>
      <c r="Q14609">
        <v>1</v>
      </c>
      <c r="R14609" t="s">
        <v>44783</v>
      </c>
      <c r="S14609" t="s">
        <v>45897</v>
      </c>
      <c r="T14609" t="s">
        <v>46581</v>
      </c>
      <c r="U14609" t="s">
        <v>58849</v>
      </c>
      <c r="V14609" t="s">
        <v>60786</v>
      </c>
      <c r="W14609" t="s">
        <v>44727</v>
      </c>
      <c r="X14609" t="s">
        <v>44784</v>
      </c>
    </row>
    <row r="14610" spans="1:24">
      <c r="A14610">
        <f>HYPERLINK("https://www.philgeps.gov.ph/GEPSNONPILOT/Tender/SplashBidNoticeAbstractUI.aspx?menuIndex=3&amp;refID=7105768&amp;Result=3","7105768")</f>
        <v>0</v>
      </c>
      <c r="B14610" t="s">
        <v>1636</v>
      </c>
      <c r="C14610" t="s">
        <v>17666</v>
      </c>
      <c r="D14610" t="s">
        <v>17989</v>
      </c>
      <c r="E14610" t="s">
        <v>30656</v>
      </c>
      <c r="F14610" t="s">
        <v>30900</v>
      </c>
      <c r="G14610" t="s">
        <v>30907</v>
      </c>
      <c r="H14610" t="s">
        <v>30915</v>
      </c>
      <c r="I14610" t="s">
        <v>30919</v>
      </c>
      <c r="J14610" t="s">
        <v>40085</v>
      </c>
      <c r="K14610" t="s">
        <v>40567</v>
      </c>
      <c r="M14610" t="s">
        <v>42291</v>
      </c>
      <c r="N14610" t="s">
        <v>44759</v>
      </c>
      <c r="O14610" t="s">
        <v>44760</v>
      </c>
      <c r="P14610">
        <v>0</v>
      </c>
      <c r="Q14610">
        <v>2</v>
      </c>
      <c r="R14610" t="s">
        <v>44783</v>
      </c>
      <c r="S14610" t="s">
        <v>45897</v>
      </c>
      <c r="T14610" t="s">
        <v>46533</v>
      </c>
      <c r="U14610" t="s">
        <v>58850</v>
      </c>
      <c r="W14610" t="s">
        <v>42291</v>
      </c>
      <c r="X14610" t="s">
        <v>44784</v>
      </c>
    </row>
    <row r="14611" spans="1:24">
      <c r="A14611">
        <f>HYPERLINK("https://www.philgeps.gov.ph/GEPSNONPILOT/Tender/SplashBidNoticeAbstractUI.aspx?menuIndex=3&amp;refID=7088525&amp;Result=3","7088525")</f>
        <v>0</v>
      </c>
      <c r="B14611" t="s">
        <v>622</v>
      </c>
      <c r="C14611" t="s">
        <v>17667</v>
      </c>
      <c r="D14611" t="s">
        <v>18019</v>
      </c>
      <c r="E14611" t="s">
        <v>30657</v>
      </c>
      <c r="F14611" t="s">
        <v>30900</v>
      </c>
      <c r="G14611" t="s">
        <v>30907</v>
      </c>
      <c r="H14611" t="s">
        <v>30915</v>
      </c>
      <c r="I14611" t="s">
        <v>30919</v>
      </c>
      <c r="J14611" t="s">
        <v>40086</v>
      </c>
      <c r="K14611" t="s">
        <v>40280</v>
      </c>
      <c r="M14611" t="s">
        <v>41184</v>
      </c>
      <c r="N14611" t="s">
        <v>44759</v>
      </c>
      <c r="O14611" t="s">
        <v>44760</v>
      </c>
      <c r="Q14611">
        <v>1</v>
      </c>
      <c r="R14611" t="s">
        <v>44790</v>
      </c>
      <c r="S14611" t="s">
        <v>46280</v>
      </c>
      <c r="T14611" t="s">
        <v>46763</v>
      </c>
      <c r="U14611" t="s">
        <v>58851</v>
      </c>
      <c r="W14611" t="s">
        <v>41184</v>
      </c>
      <c r="X14611" t="s">
        <v>44791</v>
      </c>
    </row>
    <row r="14612" spans="1:24">
      <c r="A14612">
        <f>HYPERLINK("https://www.philgeps.gov.ph/GEPSNONPILOT/Tender/SplashBidNoticeAbstractUI.aspx?menuIndex=3&amp;refID=7105746&amp;Result=3","7105746")</f>
        <v>0</v>
      </c>
      <c r="B14612" t="s">
        <v>1636</v>
      </c>
      <c r="C14612" t="s">
        <v>17668</v>
      </c>
      <c r="D14612" t="s">
        <v>17989</v>
      </c>
      <c r="E14612" t="s">
        <v>30658</v>
      </c>
      <c r="F14612" t="s">
        <v>30900</v>
      </c>
      <c r="G14612" t="s">
        <v>30907</v>
      </c>
      <c r="H14612" t="s">
        <v>30915</v>
      </c>
      <c r="I14612" t="s">
        <v>30919</v>
      </c>
      <c r="J14612" t="s">
        <v>31897</v>
      </c>
      <c r="K14612" t="s">
        <v>40369</v>
      </c>
      <c r="M14612" t="s">
        <v>42291</v>
      </c>
      <c r="N14612" t="s">
        <v>44759</v>
      </c>
      <c r="O14612" t="s">
        <v>44760</v>
      </c>
      <c r="P14612">
        <v>0</v>
      </c>
      <c r="Q14612">
        <v>1</v>
      </c>
      <c r="R14612" t="s">
        <v>44783</v>
      </c>
      <c r="S14612" t="s">
        <v>45897</v>
      </c>
      <c r="T14612" t="s">
        <v>46533</v>
      </c>
      <c r="U14612" t="s">
        <v>58852</v>
      </c>
      <c r="W14612" t="s">
        <v>42291</v>
      </c>
      <c r="X14612" t="s">
        <v>44784</v>
      </c>
    </row>
    <row r="14613" spans="1:24">
      <c r="A14613">
        <f>HYPERLINK("https://www.philgeps.gov.ph/GEPSNONPILOT/Tender/SplashBidNoticeAbstractUI.aspx?menuIndex=3&amp;refID=7105963&amp;Result=3","7105963")</f>
        <v>0</v>
      </c>
      <c r="B14613" t="s">
        <v>2652</v>
      </c>
      <c r="C14613" t="s">
        <v>17669</v>
      </c>
      <c r="D14613" t="s">
        <v>17959</v>
      </c>
      <c r="E14613" t="s">
        <v>30659</v>
      </c>
      <c r="F14613" t="s">
        <v>30900</v>
      </c>
      <c r="G14613" t="s">
        <v>30908</v>
      </c>
      <c r="H14613" t="s">
        <v>30916</v>
      </c>
      <c r="I14613" t="s">
        <v>9385</v>
      </c>
      <c r="J14613" t="s">
        <v>31282</v>
      </c>
      <c r="K14613" t="s">
        <v>40289</v>
      </c>
      <c r="M14613" t="s">
        <v>44728</v>
      </c>
      <c r="N14613" t="s">
        <v>44759</v>
      </c>
      <c r="O14613" t="s">
        <v>44760</v>
      </c>
      <c r="Q14613">
        <v>6</v>
      </c>
      <c r="R14613" t="s">
        <v>44783</v>
      </c>
      <c r="S14613" t="s">
        <v>46012</v>
      </c>
      <c r="T14613" t="s">
        <v>46404</v>
      </c>
      <c r="U14613" t="s">
        <v>58853</v>
      </c>
      <c r="W14613" t="s">
        <v>44728</v>
      </c>
      <c r="X14613" t="s">
        <v>44784</v>
      </c>
    </row>
    <row r="14614" spans="1:24">
      <c r="A14614">
        <f>HYPERLINK("https://www.philgeps.gov.ph/GEPSNONPILOT/Tender/SplashBidNoticeAbstractUI.aspx?menuIndex=3&amp;refID=7105638&amp;Result=3","7105638")</f>
        <v>0</v>
      </c>
      <c r="B14614" t="s">
        <v>3302</v>
      </c>
      <c r="C14614" t="s">
        <v>17670</v>
      </c>
      <c r="D14614" t="s">
        <v>17959</v>
      </c>
      <c r="E14614" t="s">
        <v>30131</v>
      </c>
      <c r="F14614" t="s">
        <v>30900</v>
      </c>
      <c r="G14614" t="s">
        <v>30907</v>
      </c>
      <c r="H14614" t="s">
        <v>30916</v>
      </c>
      <c r="I14614" t="s">
        <v>10847</v>
      </c>
      <c r="J14614" t="s">
        <v>40087</v>
      </c>
      <c r="K14614" t="s">
        <v>40284</v>
      </c>
      <c r="M14614" t="s">
        <v>44506</v>
      </c>
      <c r="N14614" t="s">
        <v>44759</v>
      </c>
      <c r="O14614" t="s">
        <v>44760</v>
      </c>
      <c r="P14614">
        <v>0</v>
      </c>
      <c r="Q14614">
        <v>0</v>
      </c>
      <c r="R14614" t="s">
        <v>44783</v>
      </c>
      <c r="S14614" t="s">
        <v>45897</v>
      </c>
      <c r="T14614" t="s">
        <v>46581</v>
      </c>
      <c r="U14614" t="s">
        <v>57615</v>
      </c>
      <c r="W14614" t="s">
        <v>44506</v>
      </c>
      <c r="X14614" t="s">
        <v>44784</v>
      </c>
    </row>
    <row r="14615" spans="1:24">
      <c r="A14615">
        <f>HYPERLINK("https://www.philgeps.gov.ph/GEPSNONPILOT/Tender/SplashBidNoticeAbstractUI.aspx?menuIndex=3&amp;refID=7105698&amp;Result=3","7105698")</f>
        <v>0</v>
      </c>
      <c r="B14615" t="s">
        <v>3302</v>
      </c>
      <c r="C14615" t="s">
        <v>17671</v>
      </c>
      <c r="D14615" t="s">
        <v>17959</v>
      </c>
      <c r="E14615" t="s">
        <v>30131</v>
      </c>
      <c r="F14615" t="s">
        <v>30900</v>
      </c>
      <c r="G14615" t="s">
        <v>30907</v>
      </c>
      <c r="H14615" t="s">
        <v>30916</v>
      </c>
      <c r="I14615" t="s">
        <v>10847</v>
      </c>
      <c r="J14615" t="s">
        <v>40087</v>
      </c>
      <c r="K14615" t="s">
        <v>40284</v>
      </c>
      <c r="M14615" t="s">
        <v>44506</v>
      </c>
      <c r="N14615" t="s">
        <v>44759</v>
      </c>
      <c r="O14615" t="s">
        <v>44760</v>
      </c>
      <c r="P14615">
        <v>0</v>
      </c>
      <c r="Q14615">
        <v>0</v>
      </c>
      <c r="R14615" t="s">
        <v>44783</v>
      </c>
      <c r="S14615" t="s">
        <v>45897</v>
      </c>
      <c r="T14615" t="s">
        <v>46581</v>
      </c>
      <c r="U14615" t="s">
        <v>57615</v>
      </c>
      <c r="W14615" t="s">
        <v>44506</v>
      </c>
      <c r="X14615" t="s">
        <v>44784</v>
      </c>
    </row>
    <row r="14616" spans="1:24">
      <c r="A14616">
        <f>HYPERLINK("https://www.philgeps.gov.ph/GEPSNONPILOT/Tender/SplashBidNoticeAbstractUI.aspx?menuIndex=3&amp;refID=7105749&amp;Result=3","7105749")</f>
        <v>0</v>
      </c>
      <c r="B14616" t="s">
        <v>3302</v>
      </c>
      <c r="C14616" t="s">
        <v>17672</v>
      </c>
      <c r="D14616" t="s">
        <v>17959</v>
      </c>
      <c r="E14616" t="s">
        <v>30131</v>
      </c>
      <c r="F14616" t="s">
        <v>30900</v>
      </c>
      <c r="G14616" t="s">
        <v>30907</v>
      </c>
      <c r="H14616" t="s">
        <v>30916</v>
      </c>
      <c r="I14616" t="s">
        <v>30926</v>
      </c>
      <c r="J14616" t="s">
        <v>39757</v>
      </c>
      <c r="K14616" t="s">
        <v>40284</v>
      </c>
      <c r="M14616" t="s">
        <v>44506</v>
      </c>
      <c r="N14616" t="s">
        <v>44759</v>
      </c>
      <c r="O14616" t="s">
        <v>44760</v>
      </c>
      <c r="P14616">
        <v>0</v>
      </c>
      <c r="Q14616">
        <v>1</v>
      </c>
      <c r="R14616" t="s">
        <v>44783</v>
      </c>
      <c r="S14616" t="s">
        <v>45897</v>
      </c>
      <c r="T14616" t="s">
        <v>46581</v>
      </c>
      <c r="U14616" t="s">
        <v>57615</v>
      </c>
      <c r="W14616" t="s">
        <v>44506</v>
      </c>
      <c r="X14616" t="s">
        <v>44784</v>
      </c>
    </row>
    <row r="14617" spans="1:24">
      <c r="A14617">
        <f>HYPERLINK("https://www.philgeps.gov.ph/GEPSNONPILOT/Tender/SplashBidNoticeAbstractUI.aspx?menuIndex=3&amp;refID=7105751&amp;Result=3","7105751")</f>
        <v>0</v>
      </c>
      <c r="B14617" t="s">
        <v>1399</v>
      </c>
      <c r="C14617" t="s">
        <v>17673</v>
      </c>
      <c r="D14617" t="s">
        <v>18017</v>
      </c>
      <c r="E14617" t="s">
        <v>30660</v>
      </c>
      <c r="F14617" t="s">
        <v>30900</v>
      </c>
      <c r="G14617" t="s">
        <v>30907</v>
      </c>
      <c r="H14617" t="s">
        <v>30916</v>
      </c>
      <c r="I14617" t="s">
        <v>30929</v>
      </c>
      <c r="J14617" t="s">
        <v>38751</v>
      </c>
      <c r="K14617" t="s">
        <v>40287</v>
      </c>
      <c r="M14617" t="s">
        <v>42025</v>
      </c>
      <c r="N14617" t="s">
        <v>44759</v>
      </c>
      <c r="O14617" t="s">
        <v>44760</v>
      </c>
      <c r="P14617">
        <v>0</v>
      </c>
      <c r="Q14617">
        <v>3</v>
      </c>
      <c r="R14617" t="s">
        <v>44783</v>
      </c>
      <c r="S14617" t="s">
        <v>45897</v>
      </c>
      <c r="T14617" t="s">
        <v>46760</v>
      </c>
      <c r="U14617" t="s">
        <v>49799</v>
      </c>
      <c r="V14617" t="s">
        <v>60787</v>
      </c>
      <c r="W14617" t="s">
        <v>42025</v>
      </c>
      <c r="X14617" t="s">
        <v>44784</v>
      </c>
    </row>
    <row r="14618" spans="1:24">
      <c r="A14618">
        <f>HYPERLINK("https://www.philgeps.gov.ph/GEPSNONPILOT/Tender/SplashBidNoticeAbstractUI.aspx?menuIndex=3&amp;refID=7105610&amp;Result=3","7105610")</f>
        <v>0</v>
      </c>
      <c r="B14618" t="s">
        <v>667</v>
      </c>
      <c r="C14618" t="s">
        <v>17674</v>
      </c>
      <c r="D14618" t="s">
        <v>17977</v>
      </c>
      <c r="E14618" t="s">
        <v>28855</v>
      </c>
      <c r="F14618" t="s">
        <v>30900</v>
      </c>
      <c r="G14618" t="s">
        <v>30907</v>
      </c>
      <c r="H14618" t="s">
        <v>30915</v>
      </c>
      <c r="I14618" t="s">
        <v>30919</v>
      </c>
      <c r="J14618" t="s">
        <v>31701</v>
      </c>
      <c r="K14618" t="s">
        <v>40407</v>
      </c>
      <c r="M14618" t="s">
        <v>41230</v>
      </c>
      <c r="N14618" t="s">
        <v>44759</v>
      </c>
      <c r="O14618" t="s">
        <v>44760</v>
      </c>
      <c r="P14618">
        <v>0</v>
      </c>
      <c r="Q14618">
        <v>3</v>
      </c>
      <c r="R14618" t="s">
        <v>44783</v>
      </c>
      <c r="S14618" t="s">
        <v>45897</v>
      </c>
      <c r="T14618" t="s">
        <v>46658</v>
      </c>
      <c r="U14618" t="s">
        <v>58854</v>
      </c>
      <c r="W14618" t="s">
        <v>41230</v>
      </c>
      <c r="X14618" t="s">
        <v>44784</v>
      </c>
    </row>
    <row r="14619" spans="1:24">
      <c r="A14619">
        <f>HYPERLINK("https://www.philgeps.gov.ph/GEPSNONPILOT/Tender/SplashBidNoticeAbstractUI.aspx?menuIndex=3&amp;refID=7105383&amp;Result=3","7105383")</f>
        <v>0</v>
      </c>
      <c r="B14619" t="s">
        <v>3645</v>
      </c>
      <c r="C14619" t="s">
        <v>17675</v>
      </c>
      <c r="D14619" t="s">
        <v>17977</v>
      </c>
      <c r="E14619" t="s">
        <v>25839</v>
      </c>
      <c r="F14619" t="s">
        <v>30900</v>
      </c>
      <c r="G14619" t="s">
        <v>30907</v>
      </c>
      <c r="H14619" t="s">
        <v>30915</v>
      </c>
      <c r="I14619" t="s">
        <v>30919</v>
      </c>
      <c r="J14619" t="s">
        <v>39002</v>
      </c>
      <c r="K14619" t="s">
        <v>40292</v>
      </c>
      <c r="M14619" t="s">
        <v>44586</v>
      </c>
      <c r="N14619" t="s">
        <v>44759</v>
      </c>
      <c r="O14619" t="s">
        <v>44760</v>
      </c>
      <c r="Q14619">
        <v>0</v>
      </c>
      <c r="R14619" t="s">
        <v>44783</v>
      </c>
      <c r="S14619" t="s">
        <v>46281</v>
      </c>
      <c r="T14619" t="s">
        <v>46581</v>
      </c>
      <c r="U14619" t="s">
        <v>58019</v>
      </c>
      <c r="V14619" t="s">
        <v>60652</v>
      </c>
      <c r="W14619" t="s">
        <v>44586</v>
      </c>
      <c r="X14619" t="s">
        <v>44784</v>
      </c>
    </row>
    <row r="14620" spans="1:24">
      <c r="A14620">
        <f>HYPERLINK("https://www.philgeps.gov.ph/GEPSNONPILOT/Tender/SplashBidNoticeAbstractUI.aspx?menuIndex=3&amp;refID=7105354&amp;Result=3","7105354")</f>
        <v>0</v>
      </c>
      <c r="B14620" t="s">
        <v>3302</v>
      </c>
      <c r="C14620" t="s">
        <v>17676</v>
      </c>
      <c r="D14620" t="s">
        <v>17959</v>
      </c>
      <c r="E14620" t="s">
        <v>30131</v>
      </c>
      <c r="F14620" t="s">
        <v>30900</v>
      </c>
      <c r="G14620" t="s">
        <v>30907</v>
      </c>
      <c r="H14620" t="s">
        <v>30916</v>
      </c>
      <c r="I14620" t="s">
        <v>5830</v>
      </c>
      <c r="J14620" t="s">
        <v>40088</v>
      </c>
      <c r="K14620" t="s">
        <v>40284</v>
      </c>
      <c r="M14620" t="s">
        <v>44506</v>
      </c>
      <c r="N14620" t="s">
        <v>44759</v>
      </c>
      <c r="O14620" t="s">
        <v>44760</v>
      </c>
      <c r="P14620">
        <v>0</v>
      </c>
      <c r="Q14620">
        <v>6</v>
      </c>
      <c r="R14620" t="s">
        <v>44783</v>
      </c>
      <c r="S14620" t="s">
        <v>45897</v>
      </c>
      <c r="T14620" t="s">
        <v>46581</v>
      </c>
      <c r="U14620" t="s">
        <v>57615</v>
      </c>
      <c r="W14620" t="s">
        <v>44506</v>
      </c>
      <c r="X14620" t="s">
        <v>44784</v>
      </c>
    </row>
    <row r="14621" spans="1:24">
      <c r="A14621">
        <f>HYPERLINK("https://www.philgeps.gov.ph/GEPSNONPILOT/Tender/SplashBidNoticeAbstractUI.aspx?menuIndex=3&amp;refID=7105365&amp;Result=3","7105365")</f>
        <v>0</v>
      </c>
      <c r="B14621" t="s">
        <v>3645</v>
      </c>
      <c r="C14621" t="s">
        <v>17677</v>
      </c>
      <c r="D14621" t="s">
        <v>17977</v>
      </c>
      <c r="E14621" t="s">
        <v>25839</v>
      </c>
      <c r="F14621" t="s">
        <v>30900</v>
      </c>
      <c r="G14621" t="s">
        <v>30907</v>
      </c>
      <c r="H14621" t="s">
        <v>30915</v>
      </c>
      <c r="I14621" t="s">
        <v>30919</v>
      </c>
      <c r="J14621" t="s">
        <v>37311</v>
      </c>
      <c r="K14621" t="s">
        <v>40292</v>
      </c>
      <c r="M14621" t="s">
        <v>44586</v>
      </c>
      <c r="N14621" t="s">
        <v>44759</v>
      </c>
      <c r="O14621" t="s">
        <v>44760</v>
      </c>
      <c r="Q14621">
        <v>2</v>
      </c>
      <c r="R14621" t="s">
        <v>44783</v>
      </c>
      <c r="S14621" t="s">
        <v>46282</v>
      </c>
      <c r="T14621" t="s">
        <v>46581</v>
      </c>
      <c r="U14621" t="s">
        <v>58019</v>
      </c>
      <c r="V14621" t="s">
        <v>60652</v>
      </c>
      <c r="W14621" t="s">
        <v>44586</v>
      </c>
      <c r="X14621" t="s">
        <v>44784</v>
      </c>
    </row>
    <row r="14622" spans="1:24">
      <c r="A14622">
        <f>HYPERLINK("https://www.philgeps.gov.ph/GEPSNONPILOT/Tender/SplashBidNoticeAbstractUI.aspx?menuIndex=3&amp;refID=7105330&amp;Result=3","7105330")</f>
        <v>0</v>
      </c>
      <c r="B14622" t="s">
        <v>380</v>
      </c>
      <c r="C14622" t="s">
        <v>17678</v>
      </c>
      <c r="D14622" t="s">
        <v>18003</v>
      </c>
      <c r="E14622" t="s">
        <v>30661</v>
      </c>
      <c r="F14622" t="s">
        <v>30900</v>
      </c>
      <c r="G14622" t="s">
        <v>30907</v>
      </c>
      <c r="H14622" t="s">
        <v>30915</v>
      </c>
      <c r="I14622" t="s">
        <v>30919</v>
      </c>
      <c r="J14622" t="s">
        <v>31066</v>
      </c>
      <c r="K14622" t="s">
        <v>40304</v>
      </c>
      <c r="M14622" t="s">
        <v>40934</v>
      </c>
      <c r="N14622" t="s">
        <v>44759</v>
      </c>
      <c r="O14622" t="s">
        <v>44760</v>
      </c>
      <c r="P14622">
        <v>0</v>
      </c>
      <c r="Q14622">
        <v>0</v>
      </c>
      <c r="R14622" t="s">
        <v>44783</v>
      </c>
      <c r="S14622" t="s">
        <v>45897</v>
      </c>
      <c r="T14622" t="s">
        <v>46591</v>
      </c>
      <c r="U14622" t="s">
        <v>58346</v>
      </c>
      <c r="W14622" t="s">
        <v>40934</v>
      </c>
      <c r="X14622" t="s">
        <v>44784</v>
      </c>
    </row>
    <row r="14623" spans="1:24">
      <c r="A14623">
        <f>HYPERLINK("https://www.philgeps.gov.ph/GEPSNONPILOT/Tender/SplashBidNoticeAbstractUI.aspx?menuIndex=3&amp;refID=7105271&amp;Result=3","7105271")</f>
        <v>0</v>
      </c>
      <c r="B14623" t="s">
        <v>3693</v>
      </c>
      <c r="C14623" t="s">
        <v>17679</v>
      </c>
      <c r="D14623" t="s">
        <v>17959</v>
      </c>
      <c r="E14623" t="s">
        <v>30662</v>
      </c>
      <c r="F14623" t="s">
        <v>30900</v>
      </c>
      <c r="G14623" t="s">
        <v>30907</v>
      </c>
      <c r="H14623" t="s">
        <v>30915</v>
      </c>
      <c r="I14623" t="s">
        <v>4965</v>
      </c>
      <c r="J14623" t="s">
        <v>40089</v>
      </c>
      <c r="K14623" t="s">
        <v>40292</v>
      </c>
      <c r="M14623" t="s">
        <v>44652</v>
      </c>
      <c r="N14623" t="s">
        <v>44759</v>
      </c>
      <c r="O14623" t="s">
        <v>44760</v>
      </c>
      <c r="Q14623">
        <v>9</v>
      </c>
      <c r="R14623" t="s">
        <v>44783</v>
      </c>
      <c r="S14623" t="s">
        <v>46283</v>
      </c>
      <c r="T14623" t="s">
        <v>46383</v>
      </c>
      <c r="U14623" t="s">
        <v>58855</v>
      </c>
      <c r="W14623" t="s">
        <v>44652</v>
      </c>
      <c r="X14623" t="s">
        <v>44784</v>
      </c>
    </row>
    <row r="14624" spans="1:24">
      <c r="A14624">
        <f>HYPERLINK("https://www.philgeps.gov.ph/GEPSNONPILOT/Tender/SplashBidNoticeAbstractUI.aspx?menuIndex=3&amp;refID=7105337&amp;Result=3","7105337")</f>
        <v>0</v>
      </c>
      <c r="B14624" t="s">
        <v>379</v>
      </c>
      <c r="C14624" t="s">
        <v>17680</v>
      </c>
      <c r="D14624" t="s">
        <v>18015</v>
      </c>
      <c r="E14624" t="s">
        <v>30663</v>
      </c>
      <c r="F14624" t="s">
        <v>30900</v>
      </c>
      <c r="G14624" t="s">
        <v>30907</v>
      </c>
      <c r="H14624" t="s">
        <v>30916</v>
      </c>
      <c r="I14624" t="s">
        <v>30921</v>
      </c>
      <c r="J14624" t="s">
        <v>31522</v>
      </c>
      <c r="K14624" t="s">
        <v>40283</v>
      </c>
      <c r="M14624" t="s">
        <v>40933</v>
      </c>
      <c r="N14624" t="s">
        <v>44759</v>
      </c>
      <c r="O14624" t="s">
        <v>44760</v>
      </c>
      <c r="P14624">
        <v>0</v>
      </c>
      <c r="Q14624">
        <v>0</v>
      </c>
      <c r="R14624" t="s">
        <v>44783</v>
      </c>
      <c r="S14624" t="s">
        <v>45897</v>
      </c>
      <c r="T14624" t="s">
        <v>46658</v>
      </c>
      <c r="U14624" t="s">
        <v>58856</v>
      </c>
      <c r="W14624" t="s">
        <v>40933</v>
      </c>
      <c r="X14624" t="s">
        <v>44784</v>
      </c>
    </row>
    <row r="14625" spans="1:24">
      <c r="A14625">
        <f>HYPERLINK("https://www.philgeps.gov.ph/GEPSNONPILOT/Tender/SplashBidNoticeAbstractUI.aspx?menuIndex=3&amp;refID=7105255&amp;Result=3","7105255")</f>
        <v>0</v>
      </c>
      <c r="B14625" t="s">
        <v>3302</v>
      </c>
      <c r="C14625" t="s">
        <v>17681</v>
      </c>
      <c r="D14625" t="s">
        <v>17959</v>
      </c>
      <c r="E14625" t="s">
        <v>30131</v>
      </c>
      <c r="F14625" t="s">
        <v>30900</v>
      </c>
      <c r="G14625" t="s">
        <v>30907</v>
      </c>
      <c r="H14625" t="s">
        <v>30916</v>
      </c>
      <c r="I14625" t="s">
        <v>30926</v>
      </c>
      <c r="J14625" t="s">
        <v>40090</v>
      </c>
      <c r="K14625" t="s">
        <v>40284</v>
      </c>
      <c r="M14625" t="s">
        <v>44506</v>
      </c>
      <c r="N14625" t="s">
        <v>44759</v>
      </c>
      <c r="O14625" t="s">
        <v>44760</v>
      </c>
      <c r="P14625">
        <v>0</v>
      </c>
      <c r="Q14625">
        <v>2</v>
      </c>
      <c r="R14625" t="s">
        <v>44783</v>
      </c>
      <c r="S14625" t="s">
        <v>45897</v>
      </c>
      <c r="T14625" t="s">
        <v>46581</v>
      </c>
      <c r="U14625" t="s">
        <v>57615</v>
      </c>
      <c r="W14625" t="s">
        <v>44506</v>
      </c>
      <c r="X14625" t="s">
        <v>44784</v>
      </c>
    </row>
    <row r="14626" spans="1:24">
      <c r="A14626">
        <f>HYPERLINK("https://www.philgeps.gov.ph/GEPSNONPILOT/Tender/SplashBidNoticeAbstractUI.aspx?menuIndex=3&amp;refID=7105896&amp;Result=3","7105896")</f>
        <v>0</v>
      </c>
      <c r="B14626" t="s">
        <v>2744</v>
      </c>
      <c r="C14626" t="s">
        <v>17682</v>
      </c>
      <c r="D14626" t="s">
        <v>17952</v>
      </c>
      <c r="E14626" t="s">
        <v>30664</v>
      </c>
      <c r="F14626" t="s">
        <v>30900</v>
      </c>
      <c r="G14626" t="s">
        <v>30907</v>
      </c>
      <c r="H14626" t="s">
        <v>30916</v>
      </c>
      <c r="I14626" t="s">
        <v>8123</v>
      </c>
      <c r="J14626" t="s">
        <v>40091</v>
      </c>
      <c r="K14626" t="s">
        <v>40292</v>
      </c>
      <c r="M14626" t="s">
        <v>43520</v>
      </c>
      <c r="N14626" t="s">
        <v>44759</v>
      </c>
      <c r="O14626" t="s">
        <v>44760</v>
      </c>
      <c r="P14626">
        <v>0</v>
      </c>
      <c r="Q14626">
        <v>1</v>
      </c>
      <c r="R14626" t="s">
        <v>44783</v>
      </c>
      <c r="S14626" t="s">
        <v>45897</v>
      </c>
      <c r="T14626" t="s">
        <v>46848</v>
      </c>
      <c r="U14626" t="s">
        <v>53912</v>
      </c>
      <c r="W14626" t="s">
        <v>43520</v>
      </c>
      <c r="X14626" t="s">
        <v>44784</v>
      </c>
    </row>
    <row r="14627" spans="1:24">
      <c r="A14627">
        <f>HYPERLINK("https://www.philgeps.gov.ph/GEPSNONPILOT/Tender/SplashBidNoticeAbstractUI.aspx?menuIndex=3&amp;refID=7104863&amp;Result=3","7104863")</f>
        <v>0</v>
      </c>
      <c r="B14627" t="s">
        <v>2500</v>
      </c>
      <c r="C14627" t="s">
        <v>17683</v>
      </c>
      <c r="D14627" t="s">
        <v>17994</v>
      </c>
      <c r="E14627" t="s">
        <v>30665</v>
      </c>
      <c r="F14627" t="s">
        <v>30900</v>
      </c>
      <c r="G14627" t="s">
        <v>30907</v>
      </c>
      <c r="H14627" t="s">
        <v>30916</v>
      </c>
      <c r="I14627" t="s">
        <v>5501</v>
      </c>
      <c r="J14627" t="s">
        <v>40092</v>
      </c>
      <c r="K14627" t="s">
        <v>40280</v>
      </c>
      <c r="M14627" t="s">
        <v>43243</v>
      </c>
      <c r="N14627" t="s">
        <v>44759</v>
      </c>
      <c r="O14627" t="s">
        <v>44760</v>
      </c>
      <c r="Q14627">
        <v>5</v>
      </c>
      <c r="R14627" t="s">
        <v>44783</v>
      </c>
      <c r="S14627" t="s">
        <v>46284</v>
      </c>
      <c r="T14627" t="s">
        <v>46421</v>
      </c>
      <c r="U14627" t="s">
        <v>58857</v>
      </c>
      <c r="W14627" t="s">
        <v>60892</v>
      </c>
      <c r="X14627" t="s">
        <v>44784</v>
      </c>
    </row>
    <row r="14628" spans="1:24">
      <c r="A14628">
        <f>HYPERLINK("https://www.philgeps.gov.ph/GEPSNONPILOT/Tender/SplashBidNoticeAbstractUI.aspx?menuIndex=3&amp;refID=7105613&amp;Result=3","7105613")</f>
        <v>0</v>
      </c>
      <c r="B14628" t="s">
        <v>379</v>
      </c>
      <c r="C14628" t="s">
        <v>17684</v>
      </c>
      <c r="D14628" t="s">
        <v>18015</v>
      </c>
      <c r="E14628" t="s">
        <v>30666</v>
      </c>
      <c r="F14628" t="s">
        <v>30900</v>
      </c>
      <c r="G14628" t="s">
        <v>30907</v>
      </c>
      <c r="H14628" t="s">
        <v>30916</v>
      </c>
      <c r="I14628" t="s">
        <v>30934</v>
      </c>
      <c r="J14628" t="s">
        <v>32288</v>
      </c>
      <c r="K14628" t="s">
        <v>40283</v>
      </c>
      <c r="M14628" t="s">
        <v>40933</v>
      </c>
      <c r="N14628" t="s">
        <v>44759</v>
      </c>
      <c r="O14628" t="s">
        <v>44760</v>
      </c>
      <c r="P14628">
        <v>0</v>
      </c>
      <c r="Q14628">
        <v>0</v>
      </c>
      <c r="R14628" t="s">
        <v>44783</v>
      </c>
      <c r="S14628" t="s">
        <v>45897</v>
      </c>
      <c r="T14628" t="s">
        <v>46658</v>
      </c>
      <c r="U14628" t="s">
        <v>58858</v>
      </c>
      <c r="W14628" t="s">
        <v>40933</v>
      </c>
      <c r="X14628" t="s">
        <v>44784</v>
      </c>
    </row>
    <row r="14629" spans="1:24">
      <c r="A14629">
        <f>HYPERLINK("https://www.philgeps.gov.ph/GEPSNONPILOT/Tender/SplashBidNoticeAbstractUI.aspx?menuIndex=3&amp;refID=7104834&amp;Result=3","7104834")</f>
        <v>0</v>
      </c>
      <c r="B14629" t="s">
        <v>1070</v>
      </c>
      <c r="C14629" t="s">
        <v>17685</v>
      </c>
      <c r="D14629" t="s">
        <v>18017</v>
      </c>
      <c r="E14629" t="s">
        <v>30667</v>
      </c>
      <c r="F14629" t="s">
        <v>30900</v>
      </c>
      <c r="G14629" t="s">
        <v>30907</v>
      </c>
      <c r="H14629" t="s">
        <v>30916</v>
      </c>
      <c r="I14629" t="s">
        <v>30933</v>
      </c>
      <c r="J14629" t="s">
        <v>31297</v>
      </c>
      <c r="K14629" t="s">
        <v>40280</v>
      </c>
      <c r="M14629" t="s">
        <v>41668</v>
      </c>
      <c r="N14629" t="s">
        <v>44759</v>
      </c>
      <c r="O14629" t="s">
        <v>44760</v>
      </c>
      <c r="P14629">
        <v>0</v>
      </c>
      <c r="Q14629">
        <v>6</v>
      </c>
      <c r="R14629" t="s">
        <v>44783</v>
      </c>
      <c r="S14629" t="s">
        <v>45897</v>
      </c>
      <c r="T14629" t="s">
        <v>46625</v>
      </c>
      <c r="U14629" t="s">
        <v>58859</v>
      </c>
      <c r="V14629" t="s">
        <v>60788</v>
      </c>
      <c r="W14629" t="s">
        <v>41668</v>
      </c>
      <c r="X14629" t="s">
        <v>44784</v>
      </c>
    </row>
    <row r="14630" spans="1:24">
      <c r="A14630">
        <f>HYPERLINK("https://www.philgeps.gov.ph/GEPSNONPILOT/Tender/SplashBidNoticeAbstractUI.aspx?menuIndex=3&amp;refID=7105369&amp;Result=3","7105369")</f>
        <v>0</v>
      </c>
      <c r="B14630" t="s">
        <v>1547</v>
      </c>
      <c r="C14630" t="s">
        <v>17686</v>
      </c>
      <c r="D14630" t="s">
        <v>17978</v>
      </c>
      <c r="E14630" t="s">
        <v>30668</v>
      </c>
      <c r="F14630" t="s">
        <v>30900</v>
      </c>
      <c r="G14630" t="s">
        <v>30907</v>
      </c>
      <c r="H14630" t="s">
        <v>30915</v>
      </c>
      <c r="I14630" t="s">
        <v>30919</v>
      </c>
      <c r="J14630" t="s">
        <v>40093</v>
      </c>
      <c r="K14630" t="s">
        <v>40312</v>
      </c>
      <c r="M14630" t="s">
        <v>44729</v>
      </c>
      <c r="N14630" t="s">
        <v>44759</v>
      </c>
      <c r="O14630" t="s">
        <v>44760</v>
      </c>
      <c r="P14630">
        <v>0</v>
      </c>
      <c r="Q14630">
        <v>11</v>
      </c>
      <c r="R14630" t="s">
        <v>44783</v>
      </c>
      <c r="S14630" t="s">
        <v>45897</v>
      </c>
      <c r="T14630" t="s">
        <v>46418</v>
      </c>
      <c r="U14630" t="s">
        <v>58860</v>
      </c>
      <c r="W14630" t="s">
        <v>44729</v>
      </c>
      <c r="X14630" t="s">
        <v>44784</v>
      </c>
    </row>
    <row r="14631" spans="1:24">
      <c r="A14631">
        <f>HYPERLINK("https://www.philgeps.gov.ph/GEPSNONPILOT/Tender/SplashBidNoticeAbstractUI.aspx?menuIndex=3&amp;refID=7104799&amp;Result=3","7104799")</f>
        <v>0</v>
      </c>
      <c r="B14631" t="s">
        <v>3691</v>
      </c>
      <c r="C14631" t="s">
        <v>17687</v>
      </c>
      <c r="D14631" t="s">
        <v>17980</v>
      </c>
      <c r="E14631" t="s">
        <v>30669</v>
      </c>
      <c r="F14631" t="s">
        <v>30900</v>
      </c>
      <c r="G14631" t="s">
        <v>30907</v>
      </c>
      <c r="H14631" t="s">
        <v>30916</v>
      </c>
      <c r="I14631" t="s">
        <v>8123</v>
      </c>
      <c r="J14631" t="s">
        <v>31120</v>
      </c>
      <c r="K14631" t="s">
        <v>40287</v>
      </c>
      <c r="M14631" t="s">
        <v>44650</v>
      </c>
      <c r="N14631" t="s">
        <v>44759</v>
      </c>
      <c r="O14631" t="s">
        <v>44760</v>
      </c>
      <c r="P14631">
        <v>0</v>
      </c>
      <c r="Q14631">
        <v>2</v>
      </c>
      <c r="R14631" t="s">
        <v>44783</v>
      </c>
      <c r="S14631" t="s">
        <v>45897</v>
      </c>
      <c r="T14631" t="s">
        <v>46533</v>
      </c>
      <c r="U14631" t="s">
        <v>58861</v>
      </c>
      <c r="W14631" t="s">
        <v>44650</v>
      </c>
      <c r="X14631" t="s">
        <v>44784</v>
      </c>
    </row>
    <row r="14632" spans="1:24">
      <c r="A14632">
        <f>HYPERLINK("https://www.philgeps.gov.ph/GEPSNONPILOT/Tender/SplashBidNoticeAbstractUI.aspx?menuIndex=3&amp;refID=7105962&amp;Result=3","7105962")</f>
        <v>0</v>
      </c>
      <c r="B14632" t="s">
        <v>3302</v>
      </c>
      <c r="C14632" t="s">
        <v>17688</v>
      </c>
      <c r="D14632" t="s">
        <v>17959</v>
      </c>
      <c r="E14632" t="s">
        <v>30131</v>
      </c>
      <c r="F14632" t="s">
        <v>30900</v>
      </c>
      <c r="G14632" t="s">
        <v>30907</v>
      </c>
      <c r="H14632" t="s">
        <v>30916</v>
      </c>
      <c r="I14632" t="s">
        <v>10847</v>
      </c>
      <c r="J14632" t="s">
        <v>40087</v>
      </c>
      <c r="K14632" t="s">
        <v>40284</v>
      </c>
      <c r="M14632" t="s">
        <v>44506</v>
      </c>
      <c r="N14632" t="s">
        <v>44759</v>
      </c>
      <c r="O14632" t="s">
        <v>44760</v>
      </c>
      <c r="P14632">
        <v>0</v>
      </c>
      <c r="Q14632">
        <v>0</v>
      </c>
      <c r="R14632" t="s">
        <v>44783</v>
      </c>
      <c r="S14632" t="s">
        <v>45897</v>
      </c>
      <c r="T14632" t="s">
        <v>46581</v>
      </c>
      <c r="U14632" t="s">
        <v>57615</v>
      </c>
      <c r="W14632" t="s">
        <v>44506</v>
      </c>
      <c r="X14632" t="s">
        <v>44784</v>
      </c>
    </row>
    <row r="14633" spans="1:24">
      <c r="A14633">
        <f>HYPERLINK("https://www.philgeps.gov.ph/GEPSNONPILOT/Tender/SplashBidNoticeAbstractUI.aspx?menuIndex=3&amp;refID=7104757&amp;Result=3","7104757")</f>
        <v>0</v>
      </c>
      <c r="B14633" t="s">
        <v>1647</v>
      </c>
      <c r="C14633" t="s">
        <v>17689</v>
      </c>
      <c r="D14633" t="s">
        <v>18002</v>
      </c>
      <c r="E14633" t="s">
        <v>30670</v>
      </c>
      <c r="F14633" t="s">
        <v>30900</v>
      </c>
      <c r="G14633" t="s">
        <v>30907</v>
      </c>
      <c r="H14633" t="s">
        <v>30916</v>
      </c>
      <c r="I14633" t="s">
        <v>30918</v>
      </c>
      <c r="J14633" t="s">
        <v>40094</v>
      </c>
      <c r="K14633" t="s">
        <v>40284</v>
      </c>
      <c r="M14633" t="s">
        <v>42303</v>
      </c>
      <c r="N14633" t="s">
        <v>44759</v>
      </c>
      <c r="O14633" t="s">
        <v>44760</v>
      </c>
      <c r="P14633">
        <v>0</v>
      </c>
      <c r="Q14633">
        <v>7</v>
      </c>
      <c r="R14633" t="s">
        <v>44783</v>
      </c>
      <c r="S14633" t="s">
        <v>45897</v>
      </c>
      <c r="T14633" t="s">
        <v>46625</v>
      </c>
      <c r="U14633" t="s">
        <v>58862</v>
      </c>
      <c r="W14633" t="s">
        <v>60907</v>
      </c>
      <c r="X14633" t="s">
        <v>44784</v>
      </c>
    </row>
    <row r="14634" spans="1:24">
      <c r="A14634">
        <f>HYPERLINK("https://www.philgeps.gov.ph/GEPSNONPILOT/Tender/SplashBidNoticeAbstractUI.aspx?menuIndex=3&amp;refID=7104706&amp;Result=3","7104706")</f>
        <v>0</v>
      </c>
      <c r="B14634" t="s">
        <v>1647</v>
      </c>
      <c r="C14634" t="s">
        <v>17690</v>
      </c>
      <c r="D14634" t="s">
        <v>18002</v>
      </c>
      <c r="E14634" t="s">
        <v>30671</v>
      </c>
      <c r="F14634" t="s">
        <v>30900</v>
      </c>
      <c r="G14634" t="s">
        <v>30907</v>
      </c>
      <c r="H14634" t="s">
        <v>30916</v>
      </c>
      <c r="I14634" t="s">
        <v>9385</v>
      </c>
      <c r="J14634" t="s">
        <v>40095</v>
      </c>
      <c r="K14634" t="s">
        <v>40284</v>
      </c>
      <c r="M14634" t="s">
        <v>42303</v>
      </c>
      <c r="N14634" t="s">
        <v>44759</v>
      </c>
      <c r="O14634" t="s">
        <v>44760</v>
      </c>
      <c r="P14634">
        <v>0</v>
      </c>
      <c r="Q14634">
        <v>14</v>
      </c>
      <c r="R14634" t="s">
        <v>44783</v>
      </c>
      <c r="S14634" t="s">
        <v>45897</v>
      </c>
      <c r="T14634" t="s">
        <v>46625</v>
      </c>
      <c r="U14634" t="s">
        <v>58863</v>
      </c>
      <c r="W14634" t="s">
        <v>60907</v>
      </c>
      <c r="X14634" t="s">
        <v>44784</v>
      </c>
    </row>
    <row r="14635" spans="1:24">
      <c r="A14635">
        <f>HYPERLINK("https://www.philgeps.gov.ph/GEPSNONPILOT/Tender/SplashBidNoticeAbstractUI.aspx?menuIndex=3&amp;refID=7104784&amp;Result=3","7104784")</f>
        <v>0</v>
      </c>
      <c r="B14635" t="s">
        <v>888</v>
      </c>
      <c r="C14635" t="s">
        <v>17691</v>
      </c>
      <c r="D14635" t="s">
        <v>17951</v>
      </c>
      <c r="E14635" t="s">
        <v>30672</v>
      </c>
      <c r="F14635" t="s">
        <v>30900</v>
      </c>
      <c r="G14635" t="s">
        <v>30907</v>
      </c>
      <c r="H14635" t="s">
        <v>30916</v>
      </c>
      <c r="I14635" t="s">
        <v>4017</v>
      </c>
      <c r="J14635" t="s">
        <v>40096</v>
      </c>
      <c r="K14635" t="s">
        <v>40286</v>
      </c>
      <c r="M14635" t="s">
        <v>41461</v>
      </c>
      <c r="N14635" t="s">
        <v>44759</v>
      </c>
      <c r="O14635" t="s">
        <v>44760</v>
      </c>
      <c r="P14635">
        <v>0</v>
      </c>
      <c r="Q14635">
        <v>4</v>
      </c>
      <c r="R14635" t="s">
        <v>44783</v>
      </c>
      <c r="S14635" t="s">
        <v>45897</v>
      </c>
      <c r="T14635" t="s">
        <v>46760</v>
      </c>
      <c r="U14635" t="s">
        <v>58864</v>
      </c>
      <c r="V14635" t="s">
        <v>60789</v>
      </c>
      <c r="W14635" t="s">
        <v>41461</v>
      </c>
      <c r="X14635" t="s">
        <v>44784</v>
      </c>
    </row>
    <row r="14636" spans="1:24">
      <c r="A14636">
        <f>HYPERLINK("https://www.philgeps.gov.ph/GEPSNONPILOT/Tender/SplashBidNoticeAbstractUI.aspx?menuIndex=3&amp;refID=7104711&amp;Result=3","7104711")</f>
        <v>0</v>
      </c>
      <c r="B14636" t="s">
        <v>888</v>
      </c>
      <c r="C14636" t="s">
        <v>17692</v>
      </c>
      <c r="D14636" t="s">
        <v>17951</v>
      </c>
      <c r="E14636" t="s">
        <v>30673</v>
      </c>
      <c r="F14636" t="s">
        <v>30900</v>
      </c>
      <c r="G14636" t="s">
        <v>30907</v>
      </c>
      <c r="H14636" t="s">
        <v>30916</v>
      </c>
      <c r="I14636" t="s">
        <v>4017</v>
      </c>
      <c r="J14636" t="s">
        <v>40097</v>
      </c>
      <c r="K14636" t="s">
        <v>40286</v>
      </c>
      <c r="M14636" t="s">
        <v>41461</v>
      </c>
      <c r="N14636" t="s">
        <v>44759</v>
      </c>
      <c r="O14636" t="s">
        <v>44760</v>
      </c>
      <c r="P14636">
        <v>0</v>
      </c>
      <c r="Q14636">
        <v>3</v>
      </c>
      <c r="R14636" t="s">
        <v>44783</v>
      </c>
      <c r="S14636" t="s">
        <v>45897</v>
      </c>
      <c r="T14636" t="s">
        <v>46760</v>
      </c>
      <c r="U14636" t="s">
        <v>58865</v>
      </c>
      <c r="V14636" t="s">
        <v>60790</v>
      </c>
      <c r="W14636" t="s">
        <v>41461</v>
      </c>
      <c r="X14636" t="s">
        <v>44784</v>
      </c>
    </row>
    <row r="14637" spans="1:24">
      <c r="A14637">
        <f>HYPERLINK("https://www.philgeps.gov.ph/GEPSNONPILOT/Tender/SplashBidNoticeAbstractUI.aspx?menuIndex=3&amp;refID=7104828&amp;Result=3","7104828")</f>
        <v>0</v>
      </c>
      <c r="B14637" t="s">
        <v>222</v>
      </c>
      <c r="C14637" t="s">
        <v>17693</v>
      </c>
      <c r="D14637" t="s">
        <v>17973</v>
      </c>
      <c r="E14637" t="s">
        <v>19771</v>
      </c>
      <c r="F14637" t="s">
        <v>30900</v>
      </c>
      <c r="G14637" t="s">
        <v>30907</v>
      </c>
      <c r="H14637" t="s">
        <v>30916</v>
      </c>
      <c r="I14637" t="s">
        <v>30949</v>
      </c>
      <c r="J14637" t="s">
        <v>40098</v>
      </c>
      <c r="K14637" t="s">
        <v>40293</v>
      </c>
      <c r="M14637" t="s">
        <v>42749</v>
      </c>
      <c r="N14637" t="s">
        <v>44759</v>
      </c>
      <c r="O14637" t="s">
        <v>44760</v>
      </c>
      <c r="Q14637">
        <v>0</v>
      </c>
      <c r="R14637" t="s">
        <v>44783</v>
      </c>
      <c r="S14637" t="s">
        <v>46285</v>
      </c>
      <c r="T14637" t="s">
        <v>46704</v>
      </c>
      <c r="U14637" t="s">
        <v>58866</v>
      </c>
      <c r="V14637" t="s">
        <v>59733</v>
      </c>
      <c r="W14637" t="s">
        <v>42749</v>
      </c>
      <c r="X14637" t="s">
        <v>44784</v>
      </c>
    </row>
    <row r="14638" spans="1:24">
      <c r="A14638">
        <f>HYPERLINK("https://www.philgeps.gov.ph/GEPSNONPILOT/Tender/SplashBidNoticeAbstractUI.aspx?menuIndex=3&amp;refID=7104211&amp;Result=3","7104211")</f>
        <v>0</v>
      </c>
      <c r="B14638" t="s">
        <v>3691</v>
      </c>
      <c r="C14638" t="s">
        <v>6794</v>
      </c>
      <c r="D14638" t="s">
        <v>17980</v>
      </c>
      <c r="E14638" t="s">
        <v>30674</v>
      </c>
      <c r="F14638" t="s">
        <v>30900</v>
      </c>
      <c r="G14638" t="s">
        <v>30907</v>
      </c>
      <c r="H14638" t="s">
        <v>30916</v>
      </c>
      <c r="I14638" t="s">
        <v>4061</v>
      </c>
      <c r="J14638" t="s">
        <v>31206</v>
      </c>
      <c r="K14638" t="s">
        <v>40287</v>
      </c>
      <c r="M14638" t="s">
        <v>44650</v>
      </c>
      <c r="N14638" t="s">
        <v>44759</v>
      </c>
      <c r="O14638" t="s">
        <v>44760</v>
      </c>
      <c r="P14638">
        <v>0</v>
      </c>
      <c r="Q14638">
        <v>0</v>
      </c>
      <c r="R14638" t="s">
        <v>44783</v>
      </c>
      <c r="S14638" t="s">
        <v>45897</v>
      </c>
      <c r="T14638" t="s">
        <v>46533</v>
      </c>
      <c r="U14638" t="s">
        <v>58867</v>
      </c>
      <c r="W14638" t="s">
        <v>44650</v>
      </c>
      <c r="X14638" t="s">
        <v>44784</v>
      </c>
    </row>
    <row r="14639" spans="1:24">
      <c r="A14639">
        <f>HYPERLINK("https://www.philgeps.gov.ph/GEPSNONPILOT/Tender/SplashBidNoticeAbstractUI.aspx?menuIndex=3&amp;refID=7103914&amp;Result=3","7103914")</f>
        <v>0</v>
      </c>
      <c r="B14639" t="s">
        <v>1100</v>
      </c>
      <c r="C14639" t="s">
        <v>17694</v>
      </c>
      <c r="D14639" t="s">
        <v>17980</v>
      </c>
      <c r="E14639" t="s">
        <v>30675</v>
      </c>
      <c r="F14639" t="s">
        <v>30900</v>
      </c>
      <c r="G14639" t="s">
        <v>30909</v>
      </c>
      <c r="H14639" t="s">
        <v>30916</v>
      </c>
      <c r="I14639" t="s">
        <v>10847</v>
      </c>
      <c r="J14639" t="s">
        <v>31518</v>
      </c>
      <c r="K14639" t="s">
        <v>40289</v>
      </c>
      <c r="M14639" t="s">
        <v>41789</v>
      </c>
      <c r="N14639" t="s">
        <v>44759</v>
      </c>
      <c r="O14639" t="s">
        <v>44760</v>
      </c>
      <c r="Q14639">
        <v>0</v>
      </c>
      <c r="R14639" t="s">
        <v>44783</v>
      </c>
      <c r="S14639" t="s">
        <v>45457</v>
      </c>
      <c r="T14639" t="s">
        <v>46400</v>
      </c>
      <c r="U14639" t="s">
        <v>58868</v>
      </c>
      <c r="W14639" t="s">
        <v>41789</v>
      </c>
      <c r="X14639" t="s">
        <v>44786</v>
      </c>
    </row>
    <row r="14640" spans="1:24">
      <c r="A14640">
        <f>HYPERLINK("https://www.philgeps.gov.ph/GEPSNONPILOT/Tender/SplashBidNoticeAbstractUI.aspx?menuIndex=3&amp;refID=7104769&amp;Result=3","7104769")</f>
        <v>0</v>
      </c>
      <c r="B14640" t="s">
        <v>2519</v>
      </c>
      <c r="C14640" t="s">
        <v>17695</v>
      </c>
      <c r="D14640" t="s">
        <v>18012</v>
      </c>
      <c r="E14640" t="s">
        <v>30676</v>
      </c>
      <c r="F14640" t="s">
        <v>30900</v>
      </c>
      <c r="G14640" t="s">
        <v>30907</v>
      </c>
      <c r="H14640" t="s">
        <v>30915</v>
      </c>
      <c r="I14640" t="s">
        <v>8123</v>
      </c>
      <c r="J14640" t="s">
        <v>31152</v>
      </c>
      <c r="K14640" t="s">
        <v>40289</v>
      </c>
      <c r="M14640" t="s">
        <v>43266</v>
      </c>
      <c r="N14640" t="s">
        <v>44759</v>
      </c>
      <c r="O14640" t="s">
        <v>44760</v>
      </c>
      <c r="P14640">
        <v>0</v>
      </c>
      <c r="Q14640">
        <v>1</v>
      </c>
      <c r="R14640" t="s">
        <v>44783</v>
      </c>
      <c r="S14640" t="s">
        <v>45897</v>
      </c>
      <c r="T14640" t="s">
        <v>46531</v>
      </c>
      <c r="U14640" t="s">
        <v>58869</v>
      </c>
      <c r="W14640" t="s">
        <v>43266</v>
      </c>
      <c r="X14640" t="s">
        <v>44784</v>
      </c>
    </row>
    <row r="14641" spans="1:24">
      <c r="A14641">
        <f>HYPERLINK("https://www.philgeps.gov.ph/GEPSNONPILOT/Tender/SplashBidNoticeAbstractUI.aspx?menuIndex=3&amp;refID=7104210&amp;Result=3","7104210")</f>
        <v>0</v>
      </c>
      <c r="B14641" t="s">
        <v>3691</v>
      </c>
      <c r="C14641" t="s">
        <v>17696</v>
      </c>
      <c r="D14641" t="s">
        <v>17980</v>
      </c>
      <c r="E14641" t="s">
        <v>30677</v>
      </c>
      <c r="F14641" t="s">
        <v>30900</v>
      </c>
      <c r="G14641" t="s">
        <v>30907</v>
      </c>
      <c r="H14641" t="s">
        <v>30916</v>
      </c>
      <c r="I14641" t="s">
        <v>30934</v>
      </c>
      <c r="J14641" t="s">
        <v>31337</v>
      </c>
      <c r="K14641" t="s">
        <v>40287</v>
      </c>
      <c r="M14641" t="s">
        <v>44650</v>
      </c>
      <c r="N14641" t="s">
        <v>44759</v>
      </c>
      <c r="O14641" t="s">
        <v>44760</v>
      </c>
      <c r="P14641">
        <v>0</v>
      </c>
      <c r="Q14641">
        <v>1</v>
      </c>
      <c r="R14641" t="s">
        <v>44783</v>
      </c>
      <c r="S14641" t="s">
        <v>45897</v>
      </c>
      <c r="T14641" t="s">
        <v>46533</v>
      </c>
      <c r="U14641" t="s">
        <v>58870</v>
      </c>
      <c r="W14641" t="s">
        <v>44650</v>
      </c>
      <c r="X14641" t="s">
        <v>44784</v>
      </c>
    </row>
    <row r="14642" spans="1:24">
      <c r="A14642">
        <f>HYPERLINK("https://www.philgeps.gov.ph/GEPSNONPILOT/Tender/SplashBidNoticeAbstractUI.aspx?menuIndex=3&amp;refID=7105256&amp;Result=3","7105256")</f>
        <v>0</v>
      </c>
      <c r="B14642" t="s">
        <v>379</v>
      </c>
      <c r="C14642" t="s">
        <v>17697</v>
      </c>
      <c r="D14642" t="s">
        <v>18015</v>
      </c>
      <c r="E14642" t="s">
        <v>30678</v>
      </c>
      <c r="F14642" t="s">
        <v>30900</v>
      </c>
      <c r="G14642" t="s">
        <v>30907</v>
      </c>
      <c r="H14642" t="s">
        <v>30916</v>
      </c>
      <c r="I14642" t="s">
        <v>30928</v>
      </c>
      <c r="J14642" t="s">
        <v>40099</v>
      </c>
      <c r="K14642" t="s">
        <v>40283</v>
      </c>
      <c r="M14642" t="s">
        <v>40933</v>
      </c>
      <c r="N14642" t="s">
        <v>44759</v>
      </c>
      <c r="O14642" t="s">
        <v>44760</v>
      </c>
      <c r="P14642">
        <v>0</v>
      </c>
      <c r="Q14642">
        <v>1</v>
      </c>
      <c r="R14642" t="s">
        <v>44783</v>
      </c>
      <c r="S14642" t="s">
        <v>45897</v>
      </c>
      <c r="T14642" t="s">
        <v>46658</v>
      </c>
      <c r="U14642" t="s">
        <v>58871</v>
      </c>
      <c r="W14642" t="s">
        <v>40933</v>
      </c>
      <c r="X14642" t="s">
        <v>44784</v>
      </c>
    </row>
    <row r="14643" spans="1:24">
      <c r="A14643">
        <f>HYPERLINK("https://www.philgeps.gov.ph/GEPSNONPILOT/Tender/SplashBidNoticeAbstractUI.aspx?menuIndex=3&amp;refID=7104209&amp;Result=3","7104209")</f>
        <v>0</v>
      </c>
      <c r="B14643" t="s">
        <v>3691</v>
      </c>
      <c r="C14643" t="s">
        <v>17698</v>
      </c>
      <c r="D14643" t="s">
        <v>17980</v>
      </c>
      <c r="E14643" t="s">
        <v>30679</v>
      </c>
      <c r="F14643" t="s">
        <v>30900</v>
      </c>
      <c r="G14643" t="s">
        <v>30907</v>
      </c>
      <c r="H14643" t="s">
        <v>30915</v>
      </c>
      <c r="I14643" t="s">
        <v>30919</v>
      </c>
      <c r="J14643" t="s">
        <v>37121</v>
      </c>
      <c r="K14643" t="s">
        <v>40292</v>
      </c>
      <c r="M14643" t="s">
        <v>44650</v>
      </c>
      <c r="N14643" t="s">
        <v>44759</v>
      </c>
      <c r="O14643" t="s">
        <v>44760</v>
      </c>
      <c r="P14643">
        <v>0</v>
      </c>
      <c r="Q14643">
        <v>6</v>
      </c>
      <c r="R14643" t="s">
        <v>44783</v>
      </c>
      <c r="S14643" t="s">
        <v>45897</v>
      </c>
      <c r="T14643" t="s">
        <v>46533</v>
      </c>
      <c r="U14643" t="s">
        <v>58872</v>
      </c>
      <c r="W14643" t="s">
        <v>44650</v>
      </c>
      <c r="X14643" t="s">
        <v>44784</v>
      </c>
    </row>
    <row r="14644" spans="1:24">
      <c r="A14644">
        <f>HYPERLINK("https://www.philgeps.gov.ph/GEPSNONPILOT/Tender/SplashBidNoticeAbstractUI.aspx?menuIndex=3&amp;refID=7109959&amp;Result=3","7109959")</f>
        <v>0</v>
      </c>
      <c r="B14644" t="s">
        <v>2923</v>
      </c>
      <c r="C14644" t="s">
        <v>17699</v>
      </c>
      <c r="D14644" t="s">
        <v>17959</v>
      </c>
      <c r="E14644" t="s">
        <v>30680</v>
      </c>
      <c r="F14644" t="s">
        <v>30900</v>
      </c>
      <c r="G14644" t="s">
        <v>30907</v>
      </c>
      <c r="H14644" t="s">
        <v>30916</v>
      </c>
      <c r="I14644" t="s">
        <v>30942</v>
      </c>
      <c r="J14644" t="s">
        <v>40100</v>
      </c>
      <c r="K14644" t="s">
        <v>40332</v>
      </c>
      <c r="M14644" t="s">
        <v>44386</v>
      </c>
      <c r="N14644" t="s">
        <v>44759</v>
      </c>
      <c r="O14644" t="s">
        <v>44760</v>
      </c>
      <c r="Q14644">
        <v>13</v>
      </c>
      <c r="R14644" t="s">
        <v>44782</v>
      </c>
      <c r="S14644" t="s">
        <v>46286</v>
      </c>
      <c r="T14644" t="s">
        <v>46662</v>
      </c>
      <c r="U14644" t="s">
        <v>58873</v>
      </c>
      <c r="V14644" t="s">
        <v>60791</v>
      </c>
      <c r="W14644" t="s">
        <v>44386</v>
      </c>
      <c r="X14644" t="s">
        <v>44783</v>
      </c>
    </row>
    <row r="14645" spans="1:24">
      <c r="A14645">
        <f>HYPERLINK("https://www.philgeps.gov.ph/GEPSNONPILOT/Tender/SplashBidNoticeAbstractUI.aspx?menuIndex=3&amp;refID=7109950&amp;Result=3","7109950")</f>
        <v>0</v>
      </c>
      <c r="B14645" t="s">
        <v>3742</v>
      </c>
      <c r="C14645" t="s">
        <v>17700</v>
      </c>
      <c r="D14645" t="s">
        <v>18009</v>
      </c>
      <c r="E14645" t="s">
        <v>30681</v>
      </c>
      <c r="F14645" t="s">
        <v>30900</v>
      </c>
      <c r="G14645" t="s">
        <v>30907</v>
      </c>
      <c r="H14645" t="s">
        <v>30915</v>
      </c>
      <c r="I14645" t="s">
        <v>30919</v>
      </c>
      <c r="J14645" t="s">
        <v>40101</v>
      </c>
      <c r="K14645" t="s">
        <v>40293</v>
      </c>
      <c r="M14645" t="s">
        <v>44730</v>
      </c>
      <c r="N14645" t="s">
        <v>44759</v>
      </c>
      <c r="O14645" t="s">
        <v>44760</v>
      </c>
      <c r="Q14645">
        <v>0</v>
      </c>
      <c r="R14645" t="s">
        <v>44782</v>
      </c>
      <c r="S14645" t="s">
        <v>46287</v>
      </c>
      <c r="T14645" t="s">
        <v>46553</v>
      </c>
      <c r="U14645" t="s">
        <v>58874</v>
      </c>
      <c r="W14645" t="s">
        <v>44730</v>
      </c>
      <c r="X14645" t="s">
        <v>44783</v>
      </c>
    </row>
    <row r="14646" spans="1:24">
      <c r="A14646">
        <f>HYPERLINK("https://www.philgeps.gov.ph/GEPSNONPILOT/Tender/SplashBidNoticeAbstractUI.aspx?menuIndex=3&amp;refID=7109949&amp;Result=3","7109949")</f>
        <v>0</v>
      </c>
      <c r="B14646" t="s">
        <v>2749</v>
      </c>
      <c r="C14646" t="s">
        <v>17701</v>
      </c>
      <c r="D14646" t="s">
        <v>17966</v>
      </c>
      <c r="E14646" t="s">
        <v>30682</v>
      </c>
      <c r="F14646" t="s">
        <v>30900</v>
      </c>
      <c r="G14646" t="s">
        <v>30907</v>
      </c>
      <c r="H14646" t="s">
        <v>30916</v>
      </c>
      <c r="I14646" t="s">
        <v>10602</v>
      </c>
      <c r="J14646" t="s">
        <v>32680</v>
      </c>
      <c r="K14646" t="s">
        <v>40283</v>
      </c>
      <c r="M14646" t="s">
        <v>43526</v>
      </c>
      <c r="N14646" t="s">
        <v>44759</v>
      </c>
      <c r="O14646" t="s">
        <v>44760</v>
      </c>
      <c r="P14646">
        <v>0</v>
      </c>
      <c r="Q14646">
        <v>1</v>
      </c>
      <c r="R14646" t="s">
        <v>44782</v>
      </c>
      <c r="S14646" t="s">
        <v>45846</v>
      </c>
      <c r="T14646" t="s">
        <v>46533</v>
      </c>
      <c r="U14646" t="s">
        <v>58875</v>
      </c>
      <c r="W14646" t="s">
        <v>43526</v>
      </c>
      <c r="X14646" t="s">
        <v>44783</v>
      </c>
    </row>
    <row r="14647" spans="1:24">
      <c r="A14647">
        <f>HYPERLINK("https://www.philgeps.gov.ph/GEPSNONPILOT/Tender/SplashBidNoticeAbstractUI.aspx?menuIndex=3&amp;refID=7109936&amp;Result=3","7109936")</f>
        <v>0</v>
      </c>
      <c r="B14647" t="s">
        <v>2749</v>
      </c>
      <c r="C14647" t="s">
        <v>17702</v>
      </c>
      <c r="D14647" t="s">
        <v>17966</v>
      </c>
      <c r="E14647" t="s">
        <v>30683</v>
      </c>
      <c r="F14647" t="s">
        <v>30900</v>
      </c>
      <c r="G14647" t="s">
        <v>30907</v>
      </c>
      <c r="H14647" t="s">
        <v>30916</v>
      </c>
      <c r="I14647" t="s">
        <v>4108</v>
      </c>
      <c r="J14647" t="s">
        <v>32598</v>
      </c>
      <c r="K14647" t="s">
        <v>40283</v>
      </c>
      <c r="M14647" t="s">
        <v>43526</v>
      </c>
      <c r="N14647" t="s">
        <v>44759</v>
      </c>
      <c r="O14647" t="s">
        <v>44760</v>
      </c>
      <c r="P14647">
        <v>0</v>
      </c>
      <c r="Q14647">
        <v>0</v>
      </c>
      <c r="R14647" t="s">
        <v>44782</v>
      </c>
      <c r="S14647" t="s">
        <v>45846</v>
      </c>
      <c r="T14647" t="s">
        <v>46533</v>
      </c>
      <c r="U14647" t="s">
        <v>58876</v>
      </c>
      <c r="W14647" t="s">
        <v>43526</v>
      </c>
      <c r="X14647" t="s">
        <v>44783</v>
      </c>
    </row>
    <row r="14648" spans="1:24">
      <c r="A14648">
        <f>HYPERLINK("https://www.philgeps.gov.ph/GEPSNONPILOT/Tender/SplashBidNoticeAbstractUI.aspx?menuIndex=3&amp;refID=7109886&amp;Result=3","7109886")</f>
        <v>0</v>
      </c>
      <c r="B14648" t="s">
        <v>2819</v>
      </c>
      <c r="C14648" t="s">
        <v>17703</v>
      </c>
      <c r="E14648" t="s">
        <v>30684</v>
      </c>
      <c r="F14648" t="s">
        <v>30900</v>
      </c>
      <c r="G14648" t="s">
        <v>30907</v>
      </c>
      <c r="H14648" t="s">
        <v>30915</v>
      </c>
      <c r="I14648" t="s">
        <v>30919</v>
      </c>
      <c r="J14648" t="s">
        <v>40102</v>
      </c>
      <c r="K14648" t="s">
        <v>40289</v>
      </c>
      <c r="M14648" t="s">
        <v>43604</v>
      </c>
      <c r="N14648" t="s">
        <v>44759</v>
      </c>
      <c r="O14648" t="s">
        <v>44760</v>
      </c>
      <c r="P14648">
        <v>0</v>
      </c>
      <c r="Q14648">
        <v>0</v>
      </c>
      <c r="R14648" t="s">
        <v>44782</v>
      </c>
      <c r="S14648" t="s">
        <v>45846</v>
      </c>
      <c r="T14648" t="s">
        <v>46625</v>
      </c>
      <c r="U14648" t="s">
        <v>58877</v>
      </c>
      <c r="W14648" t="s">
        <v>43604</v>
      </c>
      <c r="X14648" t="s">
        <v>44783</v>
      </c>
    </row>
    <row r="14649" spans="1:24">
      <c r="A14649">
        <f>HYPERLINK("https://www.philgeps.gov.ph/GEPSNONPILOT/Tender/SplashBidNoticeAbstractUI.aspx?menuIndex=3&amp;refID=7109872&amp;Result=3","7109872")</f>
        <v>0</v>
      </c>
      <c r="B14649" t="s">
        <v>3029</v>
      </c>
      <c r="C14649" t="s">
        <v>17704</v>
      </c>
      <c r="D14649" t="s">
        <v>17985</v>
      </c>
      <c r="E14649" t="s">
        <v>30685</v>
      </c>
      <c r="F14649" t="s">
        <v>30900</v>
      </c>
      <c r="G14649" t="s">
        <v>30907</v>
      </c>
      <c r="H14649" t="s">
        <v>30915</v>
      </c>
      <c r="I14649" t="s">
        <v>30919</v>
      </c>
      <c r="J14649" t="s">
        <v>40103</v>
      </c>
      <c r="K14649" t="s">
        <v>40390</v>
      </c>
      <c r="M14649" t="s">
        <v>43838</v>
      </c>
      <c r="N14649" t="s">
        <v>44759</v>
      </c>
      <c r="O14649" t="s">
        <v>44760</v>
      </c>
      <c r="Q14649">
        <v>2</v>
      </c>
      <c r="R14649" t="s">
        <v>44782</v>
      </c>
      <c r="S14649" t="s">
        <v>46288</v>
      </c>
      <c r="T14649" t="s">
        <v>46429</v>
      </c>
      <c r="U14649" t="s">
        <v>58878</v>
      </c>
      <c r="W14649" t="s">
        <v>43838</v>
      </c>
      <c r="X14649" t="s">
        <v>44783</v>
      </c>
    </row>
    <row r="14650" spans="1:24">
      <c r="A14650">
        <f>HYPERLINK("https://www.philgeps.gov.ph/GEPSNONPILOT/Tender/SplashBidNoticeAbstractUI.aspx?menuIndex=3&amp;refID=7080650&amp;Result=3","7080650")</f>
        <v>0</v>
      </c>
      <c r="B14650" t="s">
        <v>3743</v>
      </c>
      <c r="C14650" t="s">
        <v>17705</v>
      </c>
      <c r="D14650" t="s">
        <v>17977</v>
      </c>
      <c r="E14650" t="s">
        <v>30686</v>
      </c>
      <c r="F14650" t="s">
        <v>30900</v>
      </c>
      <c r="G14650" t="s">
        <v>30907</v>
      </c>
      <c r="H14650" t="s">
        <v>30915</v>
      </c>
      <c r="I14650" t="s">
        <v>30919</v>
      </c>
      <c r="J14650" t="s">
        <v>40104</v>
      </c>
      <c r="K14650" t="s">
        <v>40280</v>
      </c>
      <c r="M14650" t="s">
        <v>44731</v>
      </c>
      <c r="N14650" t="s">
        <v>44759</v>
      </c>
      <c r="O14650" t="s">
        <v>44760</v>
      </c>
      <c r="Q14650">
        <v>2</v>
      </c>
      <c r="R14650" t="s">
        <v>44794</v>
      </c>
      <c r="S14650" t="s">
        <v>46289</v>
      </c>
      <c r="T14650" t="s">
        <v>46457</v>
      </c>
      <c r="U14650" t="s">
        <v>58879</v>
      </c>
      <c r="W14650" t="s">
        <v>60950</v>
      </c>
      <c r="X14650" t="s">
        <v>44795</v>
      </c>
    </row>
    <row r="14651" spans="1:24">
      <c r="A14651">
        <f>HYPERLINK("https://www.philgeps.gov.ph/GEPSNONPILOT/Tender/SplashBidNoticeAbstractUI.aspx?menuIndex=3&amp;refID=7109555&amp;Result=3","7109555")</f>
        <v>0</v>
      </c>
      <c r="B14651" t="s">
        <v>2979</v>
      </c>
      <c r="C14651" t="s">
        <v>17706</v>
      </c>
      <c r="D14651" t="s">
        <v>18021</v>
      </c>
      <c r="E14651" t="s">
        <v>30687</v>
      </c>
      <c r="F14651" t="s">
        <v>30900</v>
      </c>
      <c r="G14651" t="s">
        <v>30907</v>
      </c>
      <c r="H14651" t="s">
        <v>30916</v>
      </c>
      <c r="I14651" t="s">
        <v>5501</v>
      </c>
      <c r="J14651" t="s">
        <v>40105</v>
      </c>
      <c r="K14651" t="s">
        <v>40293</v>
      </c>
      <c r="M14651" t="s">
        <v>43781</v>
      </c>
      <c r="N14651" t="s">
        <v>44759</v>
      </c>
      <c r="O14651" t="s">
        <v>44760</v>
      </c>
      <c r="P14651">
        <v>0</v>
      </c>
      <c r="Q14651">
        <v>1</v>
      </c>
      <c r="R14651" t="s">
        <v>44782</v>
      </c>
      <c r="S14651" t="s">
        <v>45846</v>
      </c>
      <c r="T14651" t="s">
        <v>46383</v>
      </c>
      <c r="U14651" t="s">
        <v>58880</v>
      </c>
      <c r="V14651" t="s">
        <v>60140</v>
      </c>
      <c r="W14651" t="s">
        <v>43781</v>
      </c>
      <c r="X14651" t="s">
        <v>44783</v>
      </c>
    </row>
    <row r="14652" spans="1:24">
      <c r="A14652">
        <f>HYPERLINK("https://www.philgeps.gov.ph/GEPSNONPILOT/Tender/SplashBidNoticeAbstractUI.aspx?menuIndex=3&amp;refID=7104855&amp;Result=3","7104855")</f>
        <v>0</v>
      </c>
      <c r="B14652" t="s">
        <v>2519</v>
      </c>
      <c r="C14652" t="s">
        <v>17707</v>
      </c>
      <c r="D14652" t="s">
        <v>18012</v>
      </c>
      <c r="E14652" t="s">
        <v>30688</v>
      </c>
      <c r="F14652" t="s">
        <v>30900</v>
      </c>
      <c r="G14652" t="s">
        <v>30907</v>
      </c>
      <c r="H14652" t="s">
        <v>30915</v>
      </c>
      <c r="I14652" t="s">
        <v>8123</v>
      </c>
      <c r="J14652" t="s">
        <v>31297</v>
      </c>
      <c r="K14652" t="s">
        <v>40289</v>
      </c>
      <c r="M14652" t="s">
        <v>43266</v>
      </c>
      <c r="N14652" t="s">
        <v>44759</v>
      </c>
      <c r="O14652" t="s">
        <v>44760</v>
      </c>
      <c r="P14652">
        <v>0</v>
      </c>
      <c r="Q14652">
        <v>0</v>
      </c>
      <c r="R14652" t="s">
        <v>44783</v>
      </c>
      <c r="S14652" t="s">
        <v>45897</v>
      </c>
      <c r="T14652" t="s">
        <v>46531</v>
      </c>
      <c r="U14652" t="s">
        <v>58881</v>
      </c>
      <c r="W14652" t="s">
        <v>43266</v>
      </c>
      <c r="X14652" t="s">
        <v>44784</v>
      </c>
    </row>
    <row r="14653" spans="1:24">
      <c r="A14653">
        <f>HYPERLINK("https://www.philgeps.gov.ph/GEPSNONPILOT/Tender/SplashBidNoticeAbstractUI.aspx?menuIndex=3&amp;refID=7109552&amp;Result=3","7109552")</f>
        <v>0</v>
      </c>
      <c r="B14653" t="s">
        <v>3047</v>
      </c>
      <c r="C14653" t="s">
        <v>17708</v>
      </c>
      <c r="D14653" t="s">
        <v>18013</v>
      </c>
      <c r="E14653" t="s">
        <v>30689</v>
      </c>
      <c r="F14653" t="s">
        <v>30900</v>
      </c>
      <c r="G14653" t="s">
        <v>30907</v>
      </c>
      <c r="H14653" t="s">
        <v>30915</v>
      </c>
      <c r="I14653" t="s">
        <v>30919</v>
      </c>
      <c r="J14653" t="s">
        <v>31243</v>
      </c>
      <c r="K14653" t="s">
        <v>40292</v>
      </c>
      <c r="M14653" t="s">
        <v>43857</v>
      </c>
      <c r="N14653" t="s">
        <v>44759</v>
      </c>
      <c r="O14653" t="s">
        <v>44760</v>
      </c>
      <c r="P14653">
        <v>0</v>
      </c>
      <c r="Q14653">
        <v>2</v>
      </c>
      <c r="R14653" t="s">
        <v>44782</v>
      </c>
      <c r="S14653" t="s">
        <v>45846</v>
      </c>
      <c r="T14653" t="s">
        <v>46625</v>
      </c>
      <c r="U14653" t="s">
        <v>58882</v>
      </c>
      <c r="W14653" t="s">
        <v>43857</v>
      </c>
      <c r="X14653" t="s">
        <v>44783</v>
      </c>
    </row>
    <row r="14654" spans="1:24">
      <c r="A14654">
        <f>HYPERLINK("https://www.philgeps.gov.ph/GEPSNONPILOT/Tender/SplashBidNoticeAbstractUI.aspx?menuIndex=3&amp;refID=7104208&amp;Result=3","7104208")</f>
        <v>0</v>
      </c>
      <c r="B14654" t="s">
        <v>3691</v>
      </c>
      <c r="C14654" t="s">
        <v>17709</v>
      </c>
      <c r="D14654" t="s">
        <v>17980</v>
      </c>
      <c r="E14654" t="s">
        <v>30690</v>
      </c>
      <c r="F14654" t="s">
        <v>30900</v>
      </c>
      <c r="G14654" t="s">
        <v>30907</v>
      </c>
      <c r="H14654" t="s">
        <v>30915</v>
      </c>
      <c r="I14654" t="s">
        <v>30919</v>
      </c>
      <c r="J14654" t="s">
        <v>37121</v>
      </c>
      <c r="K14654" t="s">
        <v>40292</v>
      </c>
      <c r="M14654" t="s">
        <v>44650</v>
      </c>
      <c r="N14654" t="s">
        <v>44759</v>
      </c>
      <c r="O14654" t="s">
        <v>44760</v>
      </c>
      <c r="P14654">
        <v>0</v>
      </c>
      <c r="Q14654">
        <v>6</v>
      </c>
      <c r="R14654" t="s">
        <v>44783</v>
      </c>
      <c r="S14654" t="s">
        <v>45897</v>
      </c>
      <c r="T14654" t="s">
        <v>46533</v>
      </c>
      <c r="U14654" t="s">
        <v>58883</v>
      </c>
      <c r="W14654" t="s">
        <v>44650</v>
      </c>
      <c r="X14654" t="s">
        <v>44784</v>
      </c>
    </row>
    <row r="14655" spans="1:24">
      <c r="A14655">
        <f>HYPERLINK("https://www.philgeps.gov.ph/GEPSNONPILOT/Tender/SplashBidNoticeAbstractUI.aspx?menuIndex=3&amp;refID=7109874&amp;Result=3","7109874")</f>
        <v>0</v>
      </c>
      <c r="B14655" t="s">
        <v>2819</v>
      </c>
      <c r="C14655" t="s">
        <v>17710</v>
      </c>
      <c r="E14655" t="s">
        <v>30691</v>
      </c>
      <c r="F14655" t="s">
        <v>30900</v>
      </c>
      <c r="G14655" t="s">
        <v>30907</v>
      </c>
      <c r="H14655" t="s">
        <v>30915</v>
      </c>
      <c r="I14655" t="s">
        <v>30919</v>
      </c>
      <c r="J14655" t="s">
        <v>40106</v>
      </c>
      <c r="K14655" t="s">
        <v>40289</v>
      </c>
      <c r="M14655" t="s">
        <v>43604</v>
      </c>
      <c r="N14655" t="s">
        <v>44759</v>
      </c>
      <c r="O14655" t="s">
        <v>44760</v>
      </c>
      <c r="P14655">
        <v>0</v>
      </c>
      <c r="Q14655">
        <v>0</v>
      </c>
      <c r="R14655" t="s">
        <v>44782</v>
      </c>
      <c r="S14655" t="s">
        <v>45846</v>
      </c>
      <c r="T14655" t="s">
        <v>46625</v>
      </c>
      <c r="U14655" t="s">
        <v>58884</v>
      </c>
      <c r="W14655" t="s">
        <v>43604</v>
      </c>
      <c r="X14655" t="s">
        <v>44783</v>
      </c>
    </row>
    <row r="14656" spans="1:24">
      <c r="A14656">
        <f>HYPERLINK("https://www.philgeps.gov.ph/GEPSNONPILOT/Tender/SplashBidNoticeAbstractUI.aspx?menuIndex=3&amp;refID=7109488&amp;Result=3","7109488")</f>
        <v>0</v>
      </c>
      <c r="B14656" t="s">
        <v>3047</v>
      </c>
      <c r="C14656" t="s">
        <v>4870</v>
      </c>
      <c r="D14656" t="s">
        <v>18013</v>
      </c>
      <c r="E14656" t="s">
        <v>30692</v>
      </c>
      <c r="F14656" t="s">
        <v>30900</v>
      </c>
      <c r="G14656" t="s">
        <v>30907</v>
      </c>
      <c r="H14656" t="s">
        <v>30916</v>
      </c>
      <c r="I14656" t="s">
        <v>30922</v>
      </c>
      <c r="J14656" t="s">
        <v>40107</v>
      </c>
      <c r="K14656" t="s">
        <v>40342</v>
      </c>
      <c r="M14656" t="s">
        <v>43857</v>
      </c>
      <c r="N14656" t="s">
        <v>44759</v>
      </c>
      <c r="O14656" t="s">
        <v>44760</v>
      </c>
      <c r="Q14656">
        <v>0</v>
      </c>
      <c r="R14656" t="s">
        <v>44782</v>
      </c>
      <c r="S14656" t="s">
        <v>46290</v>
      </c>
      <c r="T14656" t="s">
        <v>46625</v>
      </c>
      <c r="U14656" t="s">
        <v>58885</v>
      </c>
      <c r="W14656" t="s">
        <v>43857</v>
      </c>
      <c r="X14656" t="s">
        <v>44783</v>
      </c>
    </row>
    <row r="14657" spans="1:24">
      <c r="A14657">
        <f>HYPERLINK("https://www.philgeps.gov.ph/GEPSNONPILOT/Tender/SplashBidNoticeAbstractUI.aspx?menuIndex=3&amp;refID=7109478&amp;Result=3","7109478")</f>
        <v>0</v>
      </c>
      <c r="B14657" t="s">
        <v>2842</v>
      </c>
      <c r="C14657" t="s">
        <v>17711</v>
      </c>
      <c r="D14657" t="s">
        <v>17978</v>
      </c>
      <c r="E14657" t="s">
        <v>30693</v>
      </c>
      <c r="F14657" t="s">
        <v>30900</v>
      </c>
      <c r="G14657" t="s">
        <v>30907</v>
      </c>
      <c r="H14657" t="s">
        <v>30916</v>
      </c>
      <c r="I14657" t="s">
        <v>4545</v>
      </c>
      <c r="J14657" t="s">
        <v>40108</v>
      </c>
      <c r="K14657" t="s">
        <v>40293</v>
      </c>
      <c r="M14657" t="s">
        <v>43627</v>
      </c>
      <c r="N14657" t="s">
        <v>44759</v>
      </c>
      <c r="O14657" t="s">
        <v>44760</v>
      </c>
      <c r="Q14657">
        <v>6</v>
      </c>
      <c r="R14657" t="s">
        <v>44782</v>
      </c>
      <c r="S14657" t="s">
        <v>46291</v>
      </c>
      <c r="T14657" t="s">
        <v>46658</v>
      </c>
      <c r="U14657" t="s">
        <v>58886</v>
      </c>
      <c r="W14657" t="s">
        <v>43627</v>
      </c>
      <c r="X14657" t="s">
        <v>44783</v>
      </c>
    </row>
    <row r="14658" spans="1:24">
      <c r="A14658">
        <f>HYPERLINK("https://www.philgeps.gov.ph/GEPSNONPILOT/Tender/SplashBidNoticeAbstractUI.aspx?menuIndex=3&amp;refID=7109551&amp;Result=3","7109551")</f>
        <v>0</v>
      </c>
      <c r="B14658" t="s">
        <v>3744</v>
      </c>
      <c r="C14658" t="s">
        <v>17712</v>
      </c>
      <c r="D14658" t="s">
        <v>17959</v>
      </c>
      <c r="E14658" t="s">
        <v>30694</v>
      </c>
      <c r="F14658" t="s">
        <v>30900</v>
      </c>
      <c r="G14658" t="s">
        <v>30907</v>
      </c>
      <c r="H14658" t="s">
        <v>30916</v>
      </c>
      <c r="I14658" t="s">
        <v>30934</v>
      </c>
      <c r="J14658" t="s">
        <v>40109</v>
      </c>
      <c r="K14658" t="s">
        <v>40280</v>
      </c>
      <c r="M14658" t="s">
        <v>44732</v>
      </c>
      <c r="N14658" t="s">
        <v>44759</v>
      </c>
      <c r="O14658" t="s">
        <v>44760</v>
      </c>
      <c r="Q14658">
        <v>16</v>
      </c>
      <c r="R14658" t="s">
        <v>44782</v>
      </c>
      <c r="S14658" t="s">
        <v>46292</v>
      </c>
      <c r="T14658" t="s">
        <v>46581</v>
      </c>
      <c r="U14658" t="s">
        <v>58887</v>
      </c>
      <c r="W14658" t="s">
        <v>44732</v>
      </c>
      <c r="X14658" t="s">
        <v>44783</v>
      </c>
    </row>
    <row r="14659" spans="1:24">
      <c r="A14659">
        <f>HYPERLINK("https://www.philgeps.gov.ph/GEPSNONPILOT/Tender/SplashBidNoticeAbstractUI.aspx?menuIndex=3&amp;refID=7108755&amp;Result=3","7108755")</f>
        <v>0</v>
      </c>
      <c r="B14659" t="s">
        <v>3682</v>
      </c>
      <c r="C14659" t="s">
        <v>17713</v>
      </c>
      <c r="D14659" t="s">
        <v>17992</v>
      </c>
      <c r="E14659" t="s">
        <v>20249</v>
      </c>
      <c r="F14659" t="s">
        <v>30900</v>
      </c>
      <c r="G14659" t="s">
        <v>30907</v>
      </c>
      <c r="H14659" t="s">
        <v>30915</v>
      </c>
      <c r="I14659" t="s">
        <v>30919</v>
      </c>
      <c r="J14659" t="s">
        <v>40110</v>
      </c>
      <c r="K14659" t="s">
        <v>40312</v>
      </c>
      <c r="M14659" t="s">
        <v>44636</v>
      </c>
      <c r="N14659" t="s">
        <v>44759</v>
      </c>
      <c r="O14659" t="s">
        <v>44760</v>
      </c>
      <c r="P14659">
        <v>0</v>
      </c>
      <c r="Q14659">
        <v>6</v>
      </c>
      <c r="R14659" t="s">
        <v>44782</v>
      </c>
      <c r="S14659" t="s">
        <v>45846</v>
      </c>
      <c r="T14659" t="s">
        <v>46581</v>
      </c>
      <c r="U14659" t="s">
        <v>58311</v>
      </c>
      <c r="W14659" t="s">
        <v>44636</v>
      </c>
      <c r="X14659" t="s">
        <v>44783</v>
      </c>
    </row>
    <row r="14660" spans="1:24">
      <c r="A14660">
        <f>HYPERLINK("https://www.philgeps.gov.ph/GEPSNONPILOT/Tender/SplashBidNoticeAbstractUI.aspx?menuIndex=3&amp;refID=7109543&amp;Result=3","7109543")</f>
        <v>0</v>
      </c>
      <c r="B14660" t="s">
        <v>121</v>
      </c>
      <c r="C14660" t="s">
        <v>17714</v>
      </c>
      <c r="D14660" t="s">
        <v>18010</v>
      </c>
      <c r="E14660" t="s">
        <v>30695</v>
      </c>
      <c r="F14660" t="s">
        <v>30900</v>
      </c>
      <c r="G14660" t="s">
        <v>30908</v>
      </c>
      <c r="H14660" t="s">
        <v>30917</v>
      </c>
      <c r="I14660" t="s">
        <v>30948</v>
      </c>
      <c r="J14660" t="s">
        <v>40111</v>
      </c>
      <c r="K14660" t="s">
        <v>40286</v>
      </c>
      <c r="M14660" t="s">
        <v>40668</v>
      </c>
      <c r="N14660" t="s">
        <v>44759</v>
      </c>
      <c r="O14660" t="s">
        <v>44760</v>
      </c>
      <c r="Q14660">
        <v>0</v>
      </c>
      <c r="R14660" t="s">
        <v>44782</v>
      </c>
      <c r="S14660" t="s">
        <v>46293</v>
      </c>
      <c r="T14660" t="s">
        <v>46357</v>
      </c>
      <c r="U14660" t="s">
        <v>58888</v>
      </c>
      <c r="W14660" t="s">
        <v>40668</v>
      </c>
      <c r="X14660" t="s">
        <v>44783</v>
      </c>
    </row>
    <row r="14661" spans="1:24">
      <c r="A14661">
        <f>HYPERLINK("https://www.philgeps.gov.ph/GEPSNONPILOT/Tender/SplashBidNoticeAbstractUI.aspx?menuIndex=3&amp;refID=7108108&amp;Result=3","7108108")</f>
        <v>0</v>
      </c>
      <c r="B14661" t="s">
        <v>494</v>
      </c>
      <c r="C14661" t="s">
        <v>6975</v>
      </c>
      <c r="D14661" t="s">
        <v>17961</v>
      </c>
      <c r="E14661" t="s">
        <v>19042</v>
      </c>
      <c r="F14661" t="s">
        <v>30900</v>
      </c>
      <c r="G14661" t="s">
        <v>30907</v>
      </c>
      <c r="H14661" t="s">
        <v>30915</v>
      </c>
      <c r="I14661" t="s">
        <v>30919</v>
      </c>
      <c r="J14661" t="s">
        <v>31897</v>
      </c>
      <c r="K14661" t="s">
        <v>40342</v>
      </c>
      <c r="M14661" t="s">
        <v>41053</v>
      </c>
      <c r="N14661" t="s">
        <v>44759</v>
      </c>
      <c r="O14661" t="s">
        <v>44760</v>
      </c>
      <c r="P14661">
        <v>0</v>
      </c>
      <c r="Q14661">
        <v>3</v>
      </c>
      <c r="R14661" t="s">
        <v>44782</v>
      </c>
      <c r="S14661" t="s">
        <v>45846</v>
      </c>
      <c r="T14661" t="s">
        <v>46641</v>
      </c>
      <c r="U14661" t="s">
        <v>58889</v>
      </c>
      <c r="W14661" t="s">
        <v>41053</v>
      </c>
      <c r="X14661" t="s">
        <v>44783</v>
      </c>
    </row>
    <row r="14662" spans="1:24">
      <c r="A14662">
        <f>HYPERLINK("https://www.philgeps.gov.ph/GEPSNONPILOT/Tender/SplashBidNoticeAbstractUI.aspx?menuIndex=3&amp;refID=7108056&amp;Result=3","7108056")</f>
        <v>0</v>
      </c>
      <c r="B14662" t="s">
        <v>393</v>
      </c>
      <c r="C14662" t="s">
        <v>17715</v>
      </c>
      <c r="E14662" t="s">
        <v>30696</v>
      </c>
      <c r="F14662" t="s">
        <v>30900</v>
      </c>
      <c r="G14662" t="s">
        <v>30907</v>
      </c>
      <c r="H14662" t="s">
        <v>30915</v>
      </c>
      <c r="I14662" t="s">
        <v>30919</v>
      </c>
      <c r="J14662" t="s">
        <v>40112</v>
      </c>
      <c r="K14662" t="s">
        <v>40289</v>
      </c>
      <c r="M14662" t="s">
        <v>40948</v>
      </c>
      <c r="N14662" t="s">
        <v>44759</v>
      </c>
      <c r="O14662" t="s">
        <v>44760</v>
      </c>
      <c r="Q14662">
        <v>40</v>
      </c>
      <c r="R14662" t="s">
        <v>44782</v>
      </c>
      <c r="S14662" t="s">
        <v>46294</v>
      </c>
      <c r="T14662" t="s">
        <v>46362</v>
      </c>
      <c r="U14662" t="s">
        <v>58890</v>
      </c>
      <c r="V14662" t="s">
        <v>60792</v>
      </c>
      <c r="W14662" t="s">
        <v>40948</v>
      </c>
      <c r="X14662" t="s">
        <v>44783</v>
      </c>
    </row>
    <row r="14663" spans="1:24">
      <c r="A14663">
        <f>HYPERLINK("https://www.philgeps.gov.ph/GEPSNONPILOT/Tender/SplashBidNoticeAbstractUI.aspx?menuIndex=3&amp;refID=7107916&amp;Result=3","7107916")</f>
        <v>0</v>
      </c>
      <c r="B14663" t="s">
        <v>1967</v>
      </c>
      <c r="C14663" t="s">
        <v>17716</v>
      </c>
      <c r="D14663" t="s">
        <v>17988</v>
      </c>
      <c r="E14663" t="s">
        <v>30697</v>
      </c>
      <c r="F14663" t="s">
        <v>30900</v>
      </c>
      <c r="G14663" t="s">
        <v>30907</v>
      </c>
      <c r="H14663" t="s">
        <v>30915</v>
      </c>
      <c r="I14663" t="s">
        <v>30919</v>
      </c>
      <c r="J14663" t="s">
        <v>38990</v>
      </c>
      <c r="K14663" t="s">
        <v>40442</v>
      </c>
      <c r="M14663" t="s">
        <v>42653</v>
      </c>
      <c r="N14663" t="s">
        <v>44759</v>
      </c>
      <c r="O14663" t="s">
        <v>44760</v>
      </c>
      <c r="P14663">
        <v>0</v>
      </c>
      <c r="Q14663">
        <v>0</v>
      </c>
      <c r="R14663" t="s">
        <v>44782</v>
      </c>
      <c r="S14663" t="s">
        <v>45846</v>
      </c>
      <c r="T14663" t="s">
        <v>46625</v>
      </c>
      <c r="U14663" t="s">
        <v>58891</v>
      </c>
      <c r="W14663" t="s">
        <v>42653</v>
      </c>
      <c r="X14663" t="s">
        <v>44783</v>
      </c>
    </row>
    <row r="14664" spans="1:24">
      <c r="A14664">
        <f>HYPERLINK("https://www.philgeps.gov.ph/GEPSNONPILOT/Tender/SplashBidNoticeAbstractUI.aspx?menuIndex=3&amp;refID=7109877&amp;Result=3","7109877")</f>
        <v>0</v>
      </c>
      <c r="B14664" t="s">
        <v>2819</v>
      </c>
      <c r="C14664" t="s">
        <v>17717</v>
      </c>
      <c r="E14664" t="s">
        <v>30698</v>
      </c>
      <c r="F14664" t="s">
        <v>30900</v>
      </c>
      <c r="G14664" t="s">
        <v>30907</v>
      </c>
      <c r="H14664" t="s">
        <v>30915</v>
      </c>
      <c r="I14664" t="s">
        <v>30919</v>
      </c>
      <c r="J14664" t="s">
        <v>40113</v>
      </c>
      <c r="K14664" t="s">
        <v>40289</v>
      </c>
      <c r="M14664" t="s">
        <v>43604</v>
      </c>
      <c r="N14664" t="s">
        <v>44759</v>
      </c>
      <c r="O14664" t="s">
        <v>44760</v>
      </c>
      <c r="P14664">
        <v>0</v>
      </c>
      <c r="Q14664">
        <v>0</v>
      </c>
      <c r="R14664" t="s">
        <v>44782</v>
      </c>
      <c r="S14664" t="s">
        <v>45846</v>
      </c>
      <c r="T14664" t="s">
        <v>46625</v>
      </c>
      <c r="U14664" t="s">
        <v>58892</v>
      </c>
      <c r="W14664" t="s">
        <v>43604</v>
      </c>
      <c r="X14664" t="s">
        <v>44783</v>
      </c>
    </row>
    <row r="14665" spans="1:24">
      <c r="A14665">
        <f>HYPERLINK("https://www.philgeps.gov.ph/GEPSNONPILOT/Tender/SplashBidNoticeAbstractUI.aspx?menuIndex=3&amp;refID=7107775&amp;Result=3","7107775")</f>
        <v>0</v>
      </c>
      <c r="B14665" t="s">
        <v>1079</v>
      </c>
      <c r="C14665" t="s">
        <v>17718</v>
      </c>
      <c r="D14665" t="s">
        <v>17971</v>
      </c>
      <c r="E14665" t="s">
        <v>30699</v>
      </c>
      <c r="F14665" t="s">
        <v>30900</v>
      </c>
      <c r="G14665" t="s">
        <v>30907</v>
      </c>
      <c r="H14665" t="s">
        <v>30916</v>
      </c>
      <c r="I14665" t="s">
        <v>30933</v>
      </c>
      <c r="J14665" t="s">
        <v>40114</v>
      </c>
      <c r="K14665" t="s">
        <v>40289</v>
      </c>
      <c r="M14665" t="s">
        <v>41678</v>
      </c>
      <c r="N14665" t="s">
        <v>44759</v>
      </c>
      <c r="O14665" t="s">
        <v>44760</v>
      </c>
      <c r="Q14665">
        <v>6</v>
      </c>
      <c r="R14665" t="s">
        <v>44782</v>
      </c>
      <c r="S14665" t="s">
        <v>46295</v>
      </c>
      <c r="T14665" t="s">
        <v>46451</v>
      </c>
      <c r="U14665" t="s">
        <v>58893</v>
      </c>
      <c r="V14665" t="s">
        <v>59387</v>
      </c>
      <c r="W14665" t="s">
        <v>41678</v>
      </c>
      <c r="X14665" t="s">
        <v>44783</v>
      </c>
    </row>
    <row r="14666" spans="1:24">
      <c r="A14666">
        <f>HYPERLINK("https://www.philgeps.gov.ph/GEPSNONPILOT/Tender/SplashBidNoticeAbstractUI.aspx?menuIndex=3&amp;refID=7107731&amp;Result=3","7107731")</f>
        <v>0</v>
      </c>
      <c r="B14666" t="s">
        <v>2150</v>
      </c>
      <c r="C14666" t="s">
        <v>17719</v>
      </c>
      <c r="D14666" t="s">
        <v>17951</v>
      </c>
      <c r="E14666" t="s">
        <v>19550</v>
      </c>
      <c r="F14666" t="s">
        <v>30900</v>
      </c>
      <c r="G14666" t="s">
        <v>30907</v>
      </c>
      <c r="H14666" t="s">
        <v>30915</v>
      </c>
      <c r="I14666" t="s">
        <v>30919</v>
      </c>
      <c r="J14666" t="s">
        <v>40115</v>
      </c>
      <c r="K14666" t="s">
        <v>40301</v>
      </c>
      <c r="M14666" t="s">
        <v>42854</v>
      </c>
      <c r="N14666" t="s">
        <v>44759</v>
      </c>
      <c r="O14666" t="s">
        <v>44760</v>
      </c>
      <c r="P14666">
        <v>0</v>
      </c>
      <c r="Q14666">
        <v>2</v>
      </c>
      <c r="R14666" t="s">
        <v>44782</v>
      </c>
      <c r="S14666" t="s">
        <v>45846</v>
      </c>
      <c r="T14666" t="s">
        <v>46531</v>
      </c>
      <c r="U14666" t="s">
        <v>58894</v>
      </c>
      <c r="W14666" t="s">
        <v>42854</v>
      </c>
      <c r="X14666" t="s">
        <v>44783</v>
      </c>
    </row>
    <row r="14667" spans="1:24">
      <c r="A14667">
        <f>HYPERLINK("https://www.philgeps.gov.ph/GEPSNONPILOT/Tender/SplashBidNoticeAbstractUI.aspx?menuIndex=3&amp;refID=7107729&amp;Result=3","7107729")</f>
        <v>0</v>
      </c>
      <c r="B14667" t="s">
        <v>1967</v>
      </c>
      <c r="C14667" t="s">
        <v>17720</v>
      </c>
      <c r="D14667" t="s">
        <v>17988</v>
      </c>
      <c r="E14667" t="s">
        <v>30700</v>
      </c>
      <c r="F14667" t="s">
        <v>30900</v>
      </c>
      <c r="G14667" t="s">
        <v>30907</v>
      </c>
      <c r="H14667" t="s">
        <v>30915</v>
      </c>
      <c r="I14667" t="s">
        <v>30919</v>
      </c>
      <c r="J14667" t="s">
        <v>40116</v>
      </c>
      <c r="K14667" t="s">
        <v>40450</v>
      </c>
      <c r="M14667" t="s">
        <v>42653</v>
      </c>
      <c r="N14667" t="s">
        <v>44759</v>
      </c>
      <c r="O14667" t="s">
        <v>44760</v>
      </c>
      <c r="P14667">
        <v>0</v>
      </c>
      <c r="Q14667">
        <v>0</v>
      </c>
      <c r="R14667" t="s">
        <v>44782</v>
      </c>
      <c r="S14667" t="s">
        <v>45846</v>
      </c>
      <c r="T14667" t="s">
        <v>46625</v>
      </c>
      <c r="U14667" t="s">
        <v>58891</v>
      </c>
      <c r="W14667" t="s">
        <v>42653</v>
      </c>
      <c r="X14667" t="s">
        <v>44783</v>
      </c>
    </row>
    <row r="14668" spans="1:24">
      <c r="A14668">
        <f>HYPERLINK("https://www.philgeps.gov.ph/GEPSNONPILOT/Tender/SplashBidNoticeAbstractUI.aspx?menuIndex=3&amp;refID=7107759&amp;Result=3","7107759")</f>
        <v>0</v>
      </c>
      <c r="B14668" t="s">
        <v>2150</v>
      </c>
      <c r="C14668" t="s">
        <v>17721</v>
      </c>
      <c r="D14668" t="s">
        <v>17951</v>
      </c>
      <c r="E14668" t="s">
        <v>19456</v>
      </c>
      <c r="F14668" t="s">
        <v>30900</v>
      </c>
      <c r="G14668" t="s">
        <v>30907</v>
      </c>
      <c r="H14668" t="s">
        <v>30915</v>
      </c>
      <c r="I14668" t="s">
        <v>30919</v>
      </c>
      <c r="J14668" t="s">
        <v>40117</v>
      </c>
      <c r="K14668" t="s">
        <v>40301</v>
      </c>
      <c r="M14668" t="s">
        <v>42854</v>
      </c>
      <c r="N14668" t="s">
        <v>44759</v>
      </c>
      <c r="O14668" t="s">
        <v>44760</v>
      </c>
      <c r="P14668">
        <v>0</v>
      </c>
      <c r="Q14668">
        <v>3</v>
      </c>
      <c r="R14668" t="s">
        <v>44782</v>
      </c>
      <c r="S14668" t="s">
        <v>45846</v>
      </c>
      <c r="T14668" t="s">
        <v>46531</v>
      </c>
      <c r="U14668" t="s">
        <v>58895</v>
      </c>
      <c r="W14668" t="s">
        <v>42854</v>
      </c>
      <c r="X14668" t="s">
        <v>44783</v>
      </c>
    </row>
    <row r="14669" spans="1:24">
      <c r="A14669">
        <f>HYPERLINK("https://www.philgeps.gov.ph/GEPSNONPILOT/Tender/SplashBidNoticeAbstractUI.aspx?menuIndex=3&amp;refID=7105386&amp;Result=3","7105386")</f>
        <v>0</v>
      </c>
      <c r="B14669" t="s">
        <v>56</v>
      </c>
      <c r="C14669" t="s">
        <v>17039</v>
      </c>
      <c r="D14669" t="s">
        <v>17952</v>
      </c>
      <c r="E14669" t="s">
        <v>17039</v>
      </c>
      <c r="F14669" t="s">
        <v>30900</v>
      </c>
      <c r="G14669" t="s">
        <v>30907</v>
      </c>
      <c r="H14669" t="s">
        <v>30916</v>
      </c>
      <c r="I14669" t="s">
        <v>30918</v>
      </c>
      <c r="J14669" t="s">
        <v>31049</v>
      </c>
      <c r="K14669" t="s">
        <v>40294</v>
      </c>
      <c r="M14669" t="s">
        <v>43052</v>
      </c>
      <c r="N14669" t="s">
        <v>44759</v>
      </c>
      <c r="O14669" t="s">
        <v>44760</v>
      </c>
      <c r="Q14669">
        <v>5</v>
      </c>
      <c r="R14669" t="s">
        <v>44782</v>
      </c>
      <c r="S14669" t="s">
        <v>46296</v>
      </c>
      <c r="T14669" t="s">
        <v>46581</v>
      </c>
      <c r="U14669" t="s">
        <v>58354</v>
      </c>
      <c r="V14669" t="s">
        <v>59101</v>
      </c>
      <c r="W14669" t="s">
        <v>43052</v>
      </c>
      <c r="X14669" t="s">
        <v>44784</v>
      </c>
    </row>
    <row r="14670" spans="1:24">
      <c r="A14670">
        <f>HYPERLINK("https://www.philgeps.gov.ph/GEPSNONPILOT/Tender/SplashBidNoticeAbstractUI.aspx?menuIndex=3&amp;refID=7098076&amp;Result=3","7098076")</f>
        <v>0</v>
      </c>
      <c r="B14670" t="s">
        <v>858</v>
      </c>
      <c r="C14670" t="s">
        <v>17722</v>
      </c>
      <c r="D14670" t="s">
        <v>17977</v>
      </c>
      <c r="E14670" t="s">
        <v>30701</v>
      </c>
      <c r="F14670" t="s">
        <v>30900</v>
      </c>
      <c r="G14670" t="s">
        <v>30907</v>
      </c>
      <c r="H14670" t="s">
        <v>30916</v>
      </c>
      <c r="I14670" t="s">
        <v>10847</v>
      </c>
      <c r="J14670" t="s">
        <v>40118</v>
      </c>
      <c r="K14670" t="s">
        <v>40289</v>
      </c>
      <c r="M14670" t="s">
        <v>44629</v>
      </c>
      <c r="N14670" t="s">
        <v>44759</v>
      </c>
      <c r="O14670" t="s">
        <v>44760</v>
      </c>
      <c r="Q14670">
        <v>8</v>
      </c>
      <c r="R14670" t="s">
        <v>44782</v>
      </c>
      <c r="S14670" t="s">
        <v>46297</v>
      </c>
      <c r="T14670" t="s">
        <v>46403</v>
      </c>
      <c r="U14670" t="s">
        <v>58276</v>
      </c>
      <c r="W14670" t="s">
        <v>44629</v>
      </c>
      <c r="X14670" t="s">
        <v>44788</v>
      </c>
    </row>
    <row r="14671" spans="1:24">
      <c r="A14671">
        <f>HYPERLINK("https://www.philgeps.gov.ph/GEPSNONPILOT/Tender/SplashBidNoticeAbstractUI.aspx?menuIndex=3&amp;refID=7108741&amp;Result=3","7108741")</f>
        <v>0</v>
      </c>
      <c r="B14671" t="s">
        <v>3651</v>
      </c>
      <c r="C14671" t="s">
        <v>17723</v>
      </c>
      <c r="D14671" t="s">
        <v>17957</v>
      </c>
      <c r="E14671" t="s">
        <v>30702</v>
      </c>
      <c r="F14671" t="s">
        <v>30900</v>
      </c>
      <c r="G14671" t="s">
        <v>30907</v>
      </c>
      <c r="H14671" t="s">
        <v>30915</v>
      </c>
      <c r="I14671" t="s">
        <v>30919</v>
      </c>
      <c r="J14671" t="s">
        <v>40119</v>
      </c>
      <c r="K14671" t="s">
        <v>40407</v>
      </c>
      <c r="M14671" t="s">
        <v>44594</v>
      </c>
      <c r="N14671" t="s">
        <v>44759</v>
      </c>
      <c r="O14671" t="s">
        <v>44760</v>
      </c>
      <c r="P14671">
        <v>0</v>
      </c>
      <c r="Q14671">
        <v>0</v>
      </c>
      <c r="R14671" t="s">
        <v>44782</v>
      </c>
      <c r="S14671" t="s">
        <v>45846</v>
      </c>
      <c r="T14671" t="s">
        <v>46625</v>
      </c>
      <c r="U14671" t="s">
        <v>58896</v>
      </c>
      <c r="V14671" t="s">
        <v>60692</v>
      </c>
      <c r="W14671" t="s">
        <v>44594</v>
      </c>
      <c r="X14671" t="s">
        <v>44783</v>
      </c>
    </row>
    <row r="14672" spans="1:24">
      <c r="A14672">
        <f>HYPERLINK("https://www.philgeps.gov.ph/GEPSNONPILOT/Tender/SplashBidNoticeAbstractUI.aspx?menuIndex=3&amp;refID=7097952&amp;Result=3","7097952")</f>
        <v>0</v>
      </c>
      <c r="B14672" t="s">
        <v>858</v>
      </c>
      <c r="C14672" t="s">
        <v>4515</v>
      </c>
      <c r="D14672" t="s">
        <v>17977</v>
      </c>
      <c r="E14672" t="s">
        <v>30703</v>
      </c>
      <c r="F14672" t="s">
        <v>30900</v>
      </c>
      <c r="G14672" t="s">
        <v>30907</v>
      </c>
      <c r="H14672" t="s">
        <v>30916</v>
      </c>
      <c r="I14672" t="s">
        <v>4142</v>
      </c>
      <c r="J14672" t="s">
        <v>40120</v>
      </c>
      <c r="K14672" t="s">
        <v>40289</v>
      </c>
      <c r="M14672" t="s">
        <v>44629</v>
      </c>
      <c r="N14672" t="s">
        <v>44759</v>
      </c>
      <c r="O14672" t="s">
        <v>44760</v>
      </c>
      <c r="Q14672">
        <v>12</v>
      </c>
      <c r="R14672" t="s">
        <v>44782</v>
      </c>
      <c r="S14672" t="s">
        <v>46298</v>
      </c>
      <c r="T14672" t="s">
        <v>46403</v>
      </c>
      <c r="U14672" t="s">
        <v>58276</v>
      </c>
      <c r="W14672" t="s">
        <v>44629</v>
      </c>
      <c r="X14672" t="s">
        <v>44788</v>
      </c>
    </row>
    <row r="14673" spans="1:24">
      <c r="A14673">
        <f>HYPERLINK("https://www.philgeps.gov.ph/GEPSNONPILOT/Tender/SplashBidNoticeAbstractUI.aspx?menuIndex=3&amp;refID=7097913&amp;Result=3","7097913")</f>
        <v>0</v>
      </c>
      <c r="B14673" t="s">
        <v>858</v>
      </c>
      <c r="C14673" t="s">
        <v>17724</v>
      </c>
      <c r="D14673" t="s">
        <v>17977</v>
      </c>
      <c r="E14673" t="s">
        <v>30704</v>
      </c>
      <c r="F14673" t="s">
        <v>30900</v>
      </c>
      <c r="G14673" t="s">
        <v>30907</v>
      </c>
      <c r="H14673" t="s">
        <v>30916</v>
      </c>
      <c r="I14673" t="s">
        <v>9385</v>
      </c>
      <c r="J14673" t="s">
        <v>40121</v>
      </c>
      <c r="K14673" t="s">
        <v>40289</v>
      </c>
      <c r="M14673" t="s">
        <v>44629</v>
      </c>
      <c r="N14673" t="s">
        <v>44759</v>
      </c>
      <c r="O14673" t="s">
        <v>44760</v>
      </c>
      <c r="Q14673">
        <v>60</v>
      </c>
      <c r="R14673" t="s">
        <v>44782</v>
      </c>
      <c r="S14673" t="s">
        <v>46299</v>
      </c>
      <c r="T14673" t="s">
        <v>46403</v>
      </c>
      <c r="U14673" t="s">
        <v>58276</v>
      </c>
      <c r="W14673" t="s">
        <v>44629</v>
      </c>
      <c r="X14673" t="s">
        <v>44788</v>
      </c>
    </row>
    <row r="14674" spans="1:24">
      <c r="A14674">
        <f>HYPERLINK("https://www.philgeps.gov.ph/GEPSNONPILOT/Tender/SplashBidNoticeAbstractUI.aspx?menuIndex=3&amp;refID=7108085&amp;Result=3","7108085")</f>
        <v>0</v>
      </c>
      <c r="B14674" t="s">
        <v>3745</v>
      </c>
      <c r="C14674" t="s">
        <v>17725</v>
      </c>
      <c r="D14674" t="s">
        <v>17994</v>
      </c>
      <c r="E14674" t="s">
        <v>30705</v>
      </c>
      <c r="F14674" t="s">
        <v>30900</v>
      </c>
      <c r="G14674" t="s">
        <v>30907</v>
      </c>
      <c r="H14674" t="s">
        <v>30915</v>
      </c>
      <c r="I14674" t="s">
        <v>30919</v>
      </c>
      <c r="J14674" t="s">
        <v>32616</v>
      </c>
      <c r="K14674" t="s">
        <v>40292</v>
      </c>
      <c r="M14674" t="s">
        <v>44733</v>
      </c>
      <c r="N14674" t="s">
        <v>44759</v>
      </c>
      <c r="O14674" t="s">
        <v>44760</v>
      </c>
      <c r="P14674">
        <v>0</v>
      </c>
      <c r="Q14674">
        <v>1</v>
      </c>
      <c r="R14674" t="s">
        <v>44782</v>
      </c>
      <c r="S14674" t="s">
        <v>45846</v>
      </c>
      <c r="T14674" t="s">
        <v>46357</v>
      </c>
      <c r="U14674" t="s">
        <v>58897</v>
      </c>
      <c r="W14674" t="s">
        <v>44733</v>
      </c>
      <c r="X14674" t="s">
        <v>44783</v>
      </c>
    </row>
    <row r="14675" spans="1:24">
      <c r="A14675">
        <f>HYPERLINK("https://www.philgeps.gov.ph/GEPSNONPILOT/Tender/SplashBidNoticeAbstractUI.aspx?menuIndex=3&amp;refID=7112910&amp;Result=3","7112910")</f>
        <v>0</v>
      </c>
      <c r="B14675" t="s">
        <v>3671</v>
      </c>
      <c r="C14675" t="s">
        <v>17726</v>
      </c>
      <c r="D14675" t="s">
        <v>17978</v>
      </c>
      <c r="E14675" t="s">
        <v>30706</v>
      </c>
      <c r="F14675" t="s">
        <v>30900</v>
      </c>
      <c r="G14675" t="s">
        <v>30907</v>
      </c>
      <c r="H14675" t="s">
        <v>30915</v>
      </c>
      <c r="I14675" t="s">
        <v>30919</v>
      </c>
      <c r="J14675" t="s">
        <v>31407</v>
      </c>
      <c r="K14675" t="s">
        <v>40280</v>
      </c>
      <c r="M14675" t="s">
        <v>44621</v>
      </c>
      <c r="N14675" t="s">
        <v>44759</v>
      </c>
      <c r="O14675" t="s">
        <v>44760</v>
      </c>
      <c r="Q14675">
        <v>2</v>
      </c>
      <c r="R14675" t="s">
        <v>44781</v>
      </c>
      <c r="S14675" t="s">
        <v>46300</v>
      </c>
      <c r="T14675" t="s">
        <v>46707</v>
      </c>
      <c r="U14675" t="s">
        <v>58898</v>
      </c>
      <c r="W14675" t="s">
        <v>44621</v>
      </c>
      <c r="X14675" t="s">
        <v>44782</v>
      </c>
    </row>
    <row r="14676" spans="1:24">
      <c r="A14676">
        <f>HYPERLINK("https://www.philgeps.gov.ph/GEPSNONPILOT/Tender/SplashBidNoticeAbstractUI.aspx?menuIndex=3&amp;refID=7098133&amp;Result=3","7098133")</f>
        <v>0</v>
      </c>
      <c r="B14676" t="s">
        <v>858</v>
      </c>
      <c r="C14676" t="s">
        <v>17727</v>
      </c>
      <c r="D14676" t="s">
        <v>17977</v>
      </c>
      <c r="E14676" t="s">
        <v>30707</v>
      </c>
      <c r="F14676" t="s">
        <v>30900</v>
      </c>
      <c r="G14676" t="s">
        <v>30907</v>
      </c>
      <c r="H14676" t="s">
        <v>30916</v>
      </c>
      <c r="I14676" t="s">
        <v>10847</v>
      </c>
      <c r="J14676" t="s">
        <v>40122</v>
      </c>
      <c r="K14676" t="s">
        <v>40289</v>
      </c>
      <c r="M14676" t="s">
        <v>44629</v>
      </c>
      <c r="N14676" t="s">
        <v>44759</v>
      </c>
      <c r="O14676" t="s">
        <v>44760</v>
      </c>
      <c r="P14676">
        <v>0</v>
      </c>
      <c r="Q14676">
        <v>5</v>
      </c>
      <c r="R14676" t="s">
        <v>44782</v>
      </c>
      <c r="S14676" t="s">
        <v>45846</v>
      </c>
      <c r="T14676" t="s">
        <v>46403</v>
      </c>
      <c r="U14676" t="s">
        <v>58276</v>
      </c>
      <c r="W14676" t="s">
        <v>44629</v>
      </c>
      <c r="X14676" t="s">
        <v>44788</v>
      </c>
    </row>
    <row r="14677" spans="1:24">
      <c r="A14677">
        <f>HYPERLINK("https://www.philgeps.gov.ph/GEPSNONPILOT/Tender/SplashBidNoticeAbstractUI.aspx?menuIndex=3&amp;refID=7112866&amp;Result=3","7112866")</f>
        <v>0</v>
      </c>
      <c r="B14677" t="s">
        <v>3671</v>
      </c>
      <c r="C14677" t="s">
        <v>17728</v>
      </c>
      <c r="D14677" t="s">
        <v>17978</v>
      </c>
      <c r="E14677" t="s">
        <v>30708</v>
      </c>
      <c r="F14677" t="s">
        <v>30900</v>
      </c>
      <c r="G14677" t="s">
        <v>30907</v>
      </c>
      <c r="H14677" t="s">
        <v>30915</v>
      </c>
      <c r="I14677" t="s">
        <v>30919</v>
      </c>
      <c r="J14677" t="s">
        <v>31152</v>
      </c>
      <c r="K14677" t="s">
        <v>40358</v>
      </c>
      <c r="M14677" t="s">
        <v>44621</v>
      </c>
      <c r="N14677" t="s">
        <v>44759</v>
      </c>
      <c r="O14677" t="s">
        <v>44760</v>
      </c>
      <c r="Q14677">
        <v>7</v>
      </c>
      <c r="R14677" t="s">
        <v>44781</v>
      </c>
      <c r="S14677" t="s">
        <v>45042</v>
      </c>
      <c r="T14677" t="s">
        <v>46707</v>
      </c>
      <c r="U14677" t="s">
        <v>58899</v>
      </c>
      <c r="W14677" t="s">
        <v>44621</v>
      </c>
      <c r="X14677" t="s">
        <v>44782</v>
      </c>
    </row>
    <row r="14678" spans="1:24">
      <c r="A14678">
        <f>HYPERLINK("https://www.philgeps.gov.ph/GEPSNONPILOT/Tender/SplashBidNoticeAbstractUI.aspx?menuIndex=3&amp;refID=7112924&amp;Result=3","7112924")</f>
        <v>0</v>
      </c>
      <c r="B14678" t="s">
        <v>3671</v>
      </c>
      <c r="C14678" t="s">
        <v>17729</v>
      </c>
      <c r="D14678" t="s">
        <v>17978</v>
      </c>
      <c r="E14678" t="s">
        <v>30709</v>
      </c>
      <c r="F14678" t="s">
        <v>30900</v>
      </c>
      <c r="G14678" t="s">
        <v>30907</v>
      </c>
      <c r="H14678" t="s">
        <v>30915</v>
      </c>
      <c r="I14678" t="s">
        <v>30919</v>
      </c>
      <c r="J14678" t="s">
        <v>31152</v>
      </c>
      <c r="K14678" t="s">
        <v>40325</v>
      </c>
      <c r="M14678" t="s">
        <v>44621</v>
      </c>
      <c r="N14678" t="s">
        <v>44759</v>
      </c>
      <c r="O14678" t="s">
        <v>44760</v>
      </c>
      <c r="Q14678">
        <v>7</v>
      </c>
      <c r="R14678" t="s">
        <v>44781</v>
      </c>
      <c r="S14678" t="s">
        <v>46301</v>
      </c>
      <c r="T14678" t="s">
        <v>46707</v>
      </c>
      <c r="U14678" t="s">
        <v>58900</v>
      </c>
      <c r="W14678" t="s">
        <v>44621</v>
      </c>
      <c r="X14678" t="s">
        <v>44782</v>
      </c>
    </row>
    <row r="14679" spans="1:24">
      <c r="A14679">
        <f>HYPERLINK("https://www.philgeps.gov.ph/GEPSNONPILOT/Tender/SplashBidNoticeAbstractUI.aspx?menuIndex=3&amp;refID=7112879&amp;Result=3","7112879")</f>
        <v>0</v>
      </c>
      <c r="B14679" t="s">
        <v>2880</v>
      </c>
      <c r="C14679" t="s">
        <v>17730</v>
      </c>
      <c r="D14679" t="s">
        <v>17966</v>
      </c>
      <c r="E14679" t="s">
        <v>30710</v>
      </c>
      <c r="F14679" t="s">
        <v>30900</v>
      </c>
      <c r="G14679" t="s">
        <v>30907</v>
      </c>
      <c r="H14679" t="s">
        <v>30916</v>
      </c>
      <c r="I14679" t="s">
        <v>4965</v>
      </c>
      <c r="J14679" t="s">
        <v>37202</v>
      </c>
      <c r="K14679" t="s">
        <v>40286</v>
      </c>
      <c r="M14679" t="s">
        <v>43672</v>
      </c>
      <c r="N14679" t="s">
        <v>44759</v>
      </c>
      <c r="O14679" t="s">
        <v>44760</v>
      </c>
      <c r="Q14679">
        <v>5</v>
      </c>
      <c r="R14679" t="s">
        <v>44781</v>
      </c>
      <c r="S14679" t="s">
        <v>46302</v>
      </c>
      <c r="T14679" t="s">
        <v>46625</v>
      </c>
      <c r="U14679" t="s">
        <v>58901</v>
      </c>
      <c r="V14679" t="s">
        <v>60793</v>
      </c>
      <c r="W14679" t="s">
        <v>43672</v>
      </c>
      <c r="X14679" t="s">
        <v>44782</v>
      </c>
    </row>
    <row r="14680" spans="1:24">
      <c r="A14680">
        <f>HYPERLINK("https://www.philgeps.gov.ph/GEPSNONPILOT/Tender/SplashBidNoticeAbstractUI.aspx?menuIndex=3&amp;refID=7106758&amp;Result=3","7106758")</f>
        <v>0</v>
      </c>
      <c r="B14680" t="s">
        <v>45</v>
      </c>
      <c r="C14680" t="s">
        <v>17731</v>
      </c>
      <c r="E14680" t="s">
        <v>30711</v>
      </c>
      <c r="F14680" t="s">
        <v>30900</v>
      </c>
      <c r="G14680" t="s">
        <v>30907</v>
      </c>
      <c r="H14680" t="s">
        <v>30915</v>
      </c>
      <c r="I14680" t="s">
        <v>30919</v>
      </c>
      <c r="J14680" t="s">
        <v>40123</v>
      </c>
      <c r="K14680" t="s">
        <v>40295</v>
      </c>
      <c r="M14680" t="s">
        <v>40591</v>
      </c>
      <c r="N14680" t="s">
        <v>44759</v>
      </c>
      <c r="O14680" t="s">
        <v>44760</v>
      </c>
      <c r="P14680">
        <v>0</v>
      </c>
      <c r="Q14680">
        <v>1</v>
      </c>
      <c r="R14680" t="s">
        <v>44781</v>
      </c>
      <c r="S14680" t="s">
        <v>45758</v>
      </c>
      <c r="T14680" t="s">
        <v>46531</v>
      </c>
      <c r="U14680" t="s">
        <v>58902</v>
      </c>
      <c r="W14680" t="s">
        <v>40591</v>
      </c>
      <c r="X14680" t="s">
        <v>44784</v>
      </c>
    </row>
    <row r="14681" spans="1:24">
      <c r="A14681">
        <f>HYPERLINK("https://www.philgeps.gov.ph/GEPSNONPILOT/Tender/SplashBidNoticeAbstractUI.aspx?menuIndex=3&amp;refID=7109464&amp;Result=3","7109464")</f>
        <v>0</v>
      </c>
      <c r="B14681" t="s">
        <v>372</v>
      </c>
      <c r="C14681" t="s">
        <v>17732</v>
      </c>
      <c r="D14681" t="s">
        <v>17968</v>
      </c>
      <c r="E14681" t="s">
        <v>30712</v>
      </c>
      <c r="F14681" t="s">
        <v>30900</v>
      </c>
      <c r="G14681" t="s">
        <v>30907</v>
      </c>
      <c r="H14681" t="s">
        <v>30916</v>
      </c>
      <c r="I14681" t="s">
        <v>4142</v>
      </c>
      <c r="J14681" t="s">
        <v>40124</v>
      </c>
      <c r="K14681" t="s">
        <v>40283</v>
      </c>
      <c r="M14681" t="s">
        <v>43876</v>
      </c>
      <c r="N14681" t="s">
        <v>44759</v>
      </c>
      <c r="O14681" t="s">
        <v>44760</v>
      </c>
      <c r="P14681">
        <v>0</v>
      </c>
      <c r="Q14681">
        <v>1</v>
      </c>
      <c r="R14681" t="s">
        <v>44782</v>
      </c>
      <c r="S14681" t="s">
        <v>45846</v>
      </c>
      <c r="T14681" t="s">
        <v>46658</v>
      </c>
      <c r="U14681" t="s">
        <v>58903</v>
      </c>
      <c r="W14681" t="s">
        <v>43876</v>
      </c>
      <c r="X14681" t="s">
        <v>44783</v>
      </c>
    </row>
    <row r="14682" spans="1:24">
      <c r="A14682">
        <f>HYPERLINK("https://www.philgeps.gov.ph/GEPSNONPILOT/Tender/SplashBidNoticeAbstractUI.aspx?menuIndex=3&amp;refID=7103352&amp;Result=3","7103352")</f>
        <v>0</v>
      </c>
      <c r="B14682" t="s">
        <v>2652</v>
      </c>
      <c r="C14682" t="s">
        <v>17733</v>
      </c>
      <c r="D14682" t="s">
        <v>17959</v>
      </c>
      <c r="E14682" t="s">
        <v>30713</v>
      </c>
      <c r="F14682" t="s">
        <v>30900</v>
      </c>
      <c r="G14682" t="s">
        <v>30907</v>
      </c>
      <c r="H14682" t="s">
        <v>30916</v>
      </c>
      <c r="I14682" t="s">
        <v>30952</v>
      </c>
      <c r="J14682" t="s">
        <v>31937</v>
      </c>
      <c r="K14682" t="s">
        <v>40287</v>
      </c>
      <c r="M14682" t="s">
        <v>44620</v>
      </c>
      <c r="N14682" t="s">
        <v>44759</v>
      </c>
      <c r="O14682" t="s">
        <v>44760</v>
      </c>
      <c r="Q14682">
        <v>13</v>
      </c>
      <c r="R14682" t="s">
        <v>44783</v>
      </c>
      <c r="S14682" t="s">
        <v>46303</v>
      </c>
      <c r="T14682" t="s">
        <v>46383</v>
      </c>
      <c r="U14682" t="s">
        <v>58207</v>
      </c>
      <c r="W14682" t="s">
        <v>44620</v>
      </c>
      <c r="X14682" t="s">
        <v>44785</v>
      </c>
    </row>
    <row r="14683" spans="1:24">
      <c r="A14683">
        <f>HYPERLINK("https://www.philgeps.gov.ph/GEPSNONPILOT/Tender/SplashBidNoticeAbstractUI.aspx?menuIndex=3&amp;refID=7107913&amp;Result=3","7107913")</f>
        <v>0</v>
      </c>
      <c r="B14683" t="s">
        <v>46</v>
      </c>
      <c r="C14683" t="s">
        <v>17734</v>
      </c>
      <c r="D14683" t="s">
        <v>17953</v>
      </c>
      <c r="E14683" t="s">
        <v>30714</v>
      </c>
      <c r="F14683" t="s">
        <v>30900</v>
      </c>
      <c r="G14683" t="s">
        <v>30907</v>
      </c>
      <c r="H14683" t="s">
        <v>30916</v>
      </c>
      <c r="I14683" t="s">
        <v>9385</v>
      </c>
      <c r="J14683" t="s">
        <v>37983</v>
      </c>
      <c r="K14683" t="s">
        <v>40291</v>
      </c>
      <c r="M14683" t="s">
        <v>40592</v>
      </c>
      <c r="N14683" t="s">
        <v>44759</v>
      </c>
      <c r="O14683" t="s">
        <v>44760</v>
      </c>
      <c r="P14683">
        <v>0</v>
      </c>
      <c r="Q14683">
        <v>23</v>
      </c>
      <c r="R14683" t="s">
        <v>44781</v>
      </c>
      <c r="S14683" t="s">
        <v>45758</v>
      </c>
      <c r="T14683" t="s">
        <v>46641</v>
      </c>
      <c r="U14683" t="s">
        <v>46984</v>
      </c>
      <c r="W14683" t="s">
        <v>60814</v>
      </c>
      <c r="X14683" t="s">
        <v>44783</v>
      </c>
    </row>
    <row r="14684" spans="1:24">
      <c r="A14684">
        <f>HYPERLINK("https://www.philgeps.gov.ph/GEPSNONPILOT/Tender/SplashBidNoticeAbstractUI.aspx?menuIndex=3&amp;refID=7106608&amp;Result=3","7106608")</f>
        <v>0</v>
      </c>
      <c r="B14684" t="s">
        <v>45</v>
      </c>
      <c r="C14684" t="s">
        <v>17735</v>
      </c>
      <c r="E14684" t="s">
        <v>30715</v>
      </c>
      <c r="F14684" t="s">
        <v>30900</v>
      </c>
      <c r="G14684" t="s">
        <v>30907</v>
      </c>
      <c r="H14684" t="s">
        <v>30915</v>
      </c>
      <c r="I14684" t="s">
        <v>30919</v>
      </c>
      <c r="J14684" t="s">
        <v>40125</v>
      </c>
      <c r="K14684" t="s">
        <v>40407</v>
      </c>
      <c r="M14684" t="s">
        <v>40591</v>
      </c>
      <c r="N14684" t="s">
        <v>44759</v>
      </c>
      <c r="O14684" t="s">
        <v>44760</v>
      </c>
      <c r="P14684">
        <v>0</v>
      </c>
      <c r="Q14684">
        <v>1</v>
      </c>
      <c r="R14684" t="s">
        <v>44781</v>
      </c>
      <c r="S14684" t="s">
        <v>45758</v>
      </c>
      <c r="T14684" t="s">
        <v>46531</v>
      </c>
      <c r="U14684" t="s">
        <v>58904</v>
      </c>
      <c r="W14684" t="s">
        <v>40591</v>
      </c>
      <c r="X14684" t="s">
        <v>44784</v>
      </c>
    </row>
    <row r="14685" spans="1:24">
      <c r="A14685">
        <f>HYPERLINK("https://www.philgeps.gov.ph/GEPSNONPILOT/Tender/SplashBidNoticeAbstractUI.aspx?menuIndex=3&amp;refID=7100795&amp;Result=3","7100795")</f>
        <v>0</v>
      </c>
      <c r="B14685" t="s">
        <v>3746</v>
      </c>
      <c r="C14685" t="s">
        <v>17736</v>
      </c>
      <c r="D14685" t="s">
        <v>17996</v>
      </c>
      <c r="E14685" t="s">
        <v>30716</v>
      </c>
      <c r="F14685" t="s">
        <v>30900</v>
      </c>
      <c r="G14685" t="s">
        <v>30907</v>
      </c>
      <c r="H14685" t="s">
        <v>30916</v>
      </c>
      <c r="I14685" t="s">
        <v>30934</v>
      </c>
      <c r="J14685" t="s">
        <v>40126</v>
      </c>
      <c r="K14685" t="s">
        <v>40292</v>
      </c>
      <c r="M14685" t="s">
        <v>44734</v>
      </c>
      <c r="N14685" t="s">
        <v>44759</v>
      </c>
      <c r="O14685" t="s">
        <v>44760</v>
      </c>
      <c r="Q14685">
        <v>15</v>
      </c>
      <c r="R14685" t="s">
        <v>44783</v>
      </c>
      <c r="S14685" t="s">
        <v>46304</v>
      </c>
      <c r="T14685" t="s">
        <v>46952</v>
      </c>
      <c r="U14685" t="s">
        <v>58905</v>
      </c>
      <c r="W14685" t="s">
        <v>44734</v>
      </c>
      <c r="X14685" t="s">
        <v>44787</v>
      </c>
    </row>
    <row r="14686" spans="1:24">
      <c r="A14686">
        <f>HYPERLINK("https://www.philgeps.gov.ph/GEPSNONPILOT/Tender/SplashBidNoticeAbstractUI.aspx?menuIndex=3&amp;refID=7106707&amp;Result=3","7106707")</f>
        <v>0</v>
      </c>
      <c r="B14686" t="s">
        <v>574</v>
      </c>
      <c r="C14686" t="s">
        <v>17737</v>
      </c>
      <c r="D14686" t="s">
        <v>17951</v>
      </c>
      <c r="E14686" t="s">
        <v>30717</v>
      </c>
      <c r="F14686" t="s">
        <v>30900</v>
      </c>
      <c r="G14686" t="s">
        <v>30907</v>
      </c>
      <c r="H14686" t="s">
        <v>30916</v>
      </c>
      <c r="I14686" t="s">
        <v>30951</v>
      </c>
      <c r="J14686" t="s">
        <v>40127</v>
      </c>
      <c r="K14686" t="s">
        <v>40284</v>
      </c>
      <c r="M14686" t="s">
        <v>41135</v>
      </c>
      <c r="N14686" t="s">
        <v>44759</v>
      </c>
      <c r="O14686" t="s">
        <v>44760</v>
      </c>
      <c r="Q14686">
        <v>3</v>
      </c>
      <c r="R14686" t="s">
        <v>44781</v>
      </c>
      <c r="S14686" t="s">
        <v>45765</v>
      </c>
      <c r="T14686" t="s">
        <v>46486</v>
      </c>
      <c r="U14686" t="s">
        <v>58906</v>
      </c>
      <c r="W14686" t="s">
        <v>41135</v>
      </c>
      <c r="X14686" t="s">
        <v>44784</v>
      </c>
    </row>
    <row r="14687" spans="1:24">
      <c r="A14687">
        <f>HYPERLINK("https://www.philgeps.gov.ph/GEPSNONPILOT/Tender/SplashBidNoticeAbstractUI.aspx?menuIndex=3&amp;refID=7106264&amp;Result=3","7106264")</f>
        <v>0</v>
      </c>
      <c r="B14687" t="s">
        <v>45</v>
      </c>
      <c r="C14687" t="s">
        <v>17738</v>
      </c>
      <c r="E14687" t="s">
        <v>30718</v>
      </c>
      <c r="F14687" t="s">
        <v>30900</v>
      </c>
      <c r="G14687" t="s">
        <v>30907</v>
      </c>
      <c r="H14687" t="s">
        <v>30915</v>
      </c>
      <c r="I14687" t="s">
        <v>30919</v>
      </c>
      <c r="J14687" t="s">
        <v>40128</v>
      </c>
      <c r="K14687" t="s">
        <v>40363</v>
      </c>
      <c r="M14687" t="s">
        <v>40591</v>
      </c>
      <c r="N14687" t="s">
        <v>44759</v>
      </c>
      <c r="O14687" t="s">
        <v>44760</v>
      </c>
      <c r="P14687">
        <v>0</v>
      </c>
      <c r="Q14687">
        <v>1</v>
      </c>
      <c r="R14687" t="s">
        <v>44781</v>
      </c>
      <c r="S14687" t="s">
        <v>45758</v>
      </c>
      <c r="T14687" t="s">
        <v>46531</v>
      </c>
      <c r="U14687" t="s">
        <v>58907</v>
      </c>
      <c r="W14687" t="s">
        <v>40591</v>
      </c>
      <c r="X14687" t="s">
        <v>44784</v>
      </c>
    </row>
    <row r="14688" spans="1:24">
      <c r="A14688">
        <f>HYPERLINK("https://www.philgeps.gov.ph/GEPSNONPILOT/Tender/SplashBidNoticeAbstractUI.aspx?menuIndex=3&amp;refID=7106259&amp;Result=3","7106259")</f>
        <v>0</v>
      </c>
      <c r="B14688" t="s">
        <v>980</v>
      </c>
      <c r="C14688" t="s">
        <v>17739</v>
      </c>
      <c r="D14688" t="s">
        <v>17952</v>
      </c>
      <c r="E14688" t="s">
        <v>30719</v>
      </c>
      <c r="F14688" t="s">
        <v>30900</v>
      </c>
      <c r="G14688" t="s">
        <v>30907</v>
      </c>
      <c r="H14688" t="s">
        <v>30916</v>
      </c>
      <c r="I14688" t="s">
        <v>31024</v>
      </c>
      <c r="J14688" t="s">
        <v>31241</v>
      </c>
      <c r="K14688" t="s">
        <v>40319</v>
      </c>
      <c r="M14688" t="s">
        <v>41568</v>
      </c>
      <c r="N14688" t="s">
        <v>44759</v>
      </c>
      <c r="O14688" t="s">
        <v>44760</v>
      </c>
      <c r="P14688">
        <v>0</v>
      </c>
      <c r="Q14688">
        <v>5</v>
      </c>
      <c r="R14688" t="s">
        <v>44781</v>
      </c>
      <c r="S14688" t="s">
        <v>45758</v>
      </c>
      <c r="T14688" t="s">
        <v>46707</v>
      </c>
      <c r="U14688" t="s">
        <v>58908</v>
      </c>
      <c r="W14688" t="s">
        <v>41568</v>
      </c>
      <c r="X14688" t="s">
        <v>44784</v>
      </c>
    </row>
    <row r="14689" spans="1:24">
      <c r="A14689">
        <f>HYPERLINK("https://www.philgeps.gov.ph/GEPSNONPILOT/Tender/SplashBidNoticeAbstractUI.aspx?menuIndex=3&amp;refID=7106604&amp;Result=3","7106604")</f>
        <v>0</v>
      </c>
      <c r="B14689" t="s">
        <v>574</v>
      </c>
      <c r="C14689" t="s">
        <v>17740</v>
      </c>
      <c r="D14689" t="s">
        <v>17951</v>
      </c>
      <c r="E14689" t="s">
        <v>30720</v>
      </c>
      <c r="F14689" t="s">
        <v>30900</v>
      </c>
      <c r="G14689" t="s">
        <v>30907</v>
      </c>
      <c r="H14689" t="s">
        <v>30916</v>
      </c>
      <c r="I14689" t="s">
        <v>30961</v>
      </c>
      <c r="J14689" t="s">
        <v>39446</v>
      </c>
      <c r="K14689" t="s">
        <v>40284</v>
      </c>
      <c r="M14689" t="s">
        <v>41135</v>
      </c>
      <c r="N14689" t="s">
        <v>44759</v>
      </c>
      <c r="O14689" t="s">
        <v>44760</v>
      </c>
      <c r="Q14689">
        <v>2</v>
      </c>
      <c r="R14689" t="s">
        <v>44781</v>
      </c>
      <c r="S14689" t="s">
        <v>46305</v>
      </c>
      <c r="T14689" t="s">
        <v>46486</v>
      </c>
      <c r="U14689" t="s">
        <v>58909</v>
      </c>
      <c r="W14689" t="s">
        <v>41135</v>
      </c>
      <c r="X14689" t="s">
        <v>44784</v>
      </c>
    </row>
    <row r="14690" spans="1:24">
      <c r="A14690">
        <f>HYPERLINK("https://www.philgeps.gov.ph/GEPSNONPILOT/Tender/SplashBidNoticeAbstractUI.aspx?menuIndex=3&amp;refID=7106658&amp;Result=3","7106658")</f>
        <v>0</v>
      </c>
      <c r="B14690" t="s">
        <v>574</v>
      </c>
      <c r="C14690" t="s">
        <v>17741</v>
      </c>
      <c r="D14690" t="s">
        <v>17951</v>
      </c>
      <c r="E14690" t="s">
        <v>30721</v>
      </c>
      <c r="F14690" t="s">
        <v>30900</v>
      </c>
      <c r="G14690" t="s">
        <v>30907</v>
      </c>
      <c r="H14690" t="s">
        <v>30916</v>
      </c>
      <c r="I14690" t="s">
        <v>4108</v>
      </c>
      <c r="J14690" t="s">
        <v>40129</v>
      </c>
      <c r="K14690" t="s">
        <v>40284</v>
      </c>
      <c r="M14690" t="s">
        <v>41135</v>
      </c>
      <c r="N14690" t="s">
        <v>44759</v>
      </c>
      <c r="O14690" t="s">
        <v>44760</v>
      </c>
      <c r="Q14690">
        <v>2</v>
      </c>
      <c r="R14690" t="s">
        <v>44781</v>
      </c>
      <c r="S14690" t="s">
        <v>46306</v>
      </c>
      <c r="T14690" t="s">
        <v>46486</v>
      </c>
      <c r="U14690" t="s">
        <v>58910</v>
      </c>
      <c r="W14690" t="s">
        <v>41135</v>
      </c>
      <c r="X14690" t="s">
        <v>44784</v>
      </c>
    </row>
    <row r="14691" spans="1:24">
      <c r="A14691">
        <f>HYPERLINK("https://www.philgeps.gov.ph/GEPSNONPILOT/Tender/SplashBidNoticeAbstractUI.aspx?menuIndex=3&amp;refID=7106159&amp;Result=3","7106159")</f>
        <v>0</v>
      </c>
      <c r="B14691" t="s">
        <v>2310</v>
      </c>
      <c r="C14691" t="s">
        <v>17742</v>
      </c>
      <c r="D14691" t="s">
        <v>17952</v>
      </c>
      <c r="E14691" t="s">
        <v>24178</v>
      </c>
      <c r="F14691" t="s">
        <v>30900</v>
      </c>
      <c r="G14691" t="s">
        <v>30907</v>
      </c>
      <c r="H14691" t="s">
        <v>30915</v>
      </c>
      <c r="I14691" t="s">
        <v>30919</v>
      </c>
      <c r="J14691" t="s">
        <v>31897</v>
      </c>
      <c r="K14691" t="s">
        <v>40341</v>
      </c>
      <c r="M14691" t="s">
        <v>43028</v>
      </c>
      <c r="N14691" t="s">
        <v>44759</v>
      </c>
      <c r="O14691" t="s">
        <v>44760</v>
      </c>
      <c r="P14691">
        <v>0</v>
      </c>
      <c r="Q14691">
        <v>0</v>
      </c>
      <c r="R14691" t="s">
        <v>44781</v>
      </c>
      <c r="S14691" t="s">
        <v>45758</v>
      </c>
      <c r="T14691" t="s">
        <v>46403</v>
      </c>
      <c r="U14691" t="s">
        <v>58911</v>
      </c>
      <c r="W14691" t="s">
        <v>43028</v>
      </c>
      <c r="X14691" t="s">
        <v>44784</v>
      </c>
    </row>
    <row r="14692" spans="1:24">
      <c r="A14692">
        <f>HYPERLINK("https://www.philgeps.gov.ph/GEPSNONPILOT/Tender/SplashBidNoticeAbstractUI.aspx?menuIndex=3&amp;refID=7106123&amp;Result=3","7106123")</f>
        <v>0</v>
      </c>
      <c r="B14692" t="s">
        <v>45</v>
      </c>
      <c r="C14692" t="s">
        <v>17743</v>
      </c>
      <c r="E14692" t="s">
        <v>30722</v>
      </c>
      <c r="F14692" t="s">
        <v>30900</v>
      </c>
      <c r="G14692" t="s">
        <v>30907</v>
      </c>
      <c r="H14692" t="s">
        <v>30915</v>
      </c>
      <c r="I14692" t="s">
        <v>30919</v>
      </c>
      <c r="J14692" t="s">
        <v>40130</v>
      </c>
      <c r="K14692" t="s">
        <v>40292</v>
      </c>
      <c r="M14692" t="s">
        <v>40591</v>
      </c>
      <c r="N14692" t="s">
        <v>44759</v>
      </c>
      <c r="O14692" t="s">
        <v>44760</v>
      </c>
      <c r="P14692">
        <v>0</v>
      </c>
      <c r="Q14692">
        <v>1</v>
      </c>
      <c r="R14692" t="s">
        <v>44781</v>
      </c>
      <c r="S14692" t="s">
        <v>45758</v>
      </c>
      <c r="T14692" t="s">
        <v>46531</v>
      </c>
      <c r="U14692" t="s">
        <v>58912</v>
      </c>
      <c r="W14692" t="s">
        <v>40591</v>
      </c>
      <c r="X14692" t="s">
        <v>44784</v>
      </c>
    </row>
    <row r="14693" spans="1:24">
      <c r="A14693">
        <f>HYPERLINK("https://www.philgeps.gov.ph/GEPSNONPILOT/Tender/SplashBidNoticeAbstractUI.aspx?menuIndex=3&amp;refID=7109445&amp;Result=3","7109445")</f>
        <v>0</v>
      </c>
      <c r="B14693" t="s">
        <v>164</v>
      </c>
      <c r="C14693" t="s">
        <v>17744</v>
      </c>
      <c r="D14693" t="s">
        <v>17961</v>
      </c>
      <c r="E14693" t="s">
        <v>21012</v>
      </c>
      <c r="F14693" t="s">
        <v>30900</v>
      </c>
      <c r="G14693" t="s">
        <v>30907</v>
      </c>
      <c r="H14693" t="s">
        <v>30915</v>
      </c>
      <c r="I14693" t="s">
        <v>30919</v>
      </c>
      <c r="J14693" t="s">
        <v>40131</v>
      </c>
      <c r="K14693" t="s">
        <v>40294</v>
      </c>
      <c r="M14693" t="s">
        <v>40711</v>
      </c>
      <c r="N14693" t="s">
        <v>44759</v>
      </c>
      <c r="O14693" t="s">
        <v>44760</v>
      </c>
      <c r="P14693">
        <v>0</v>
      </c>
      <c r="Q14693">
        <v>1</v>
      </c>
      <c r="R14693" t="s">
        <v>44782</v>
      </c>
      <c r="S14693" t="s">
        <v>45846</v>
      </c>
      <c r="T14693" t="s">
        <v>46658</v>
      </c>
      <c r="U14693" t="s">
        <v>58913</v>
      </c>
      <c r="W14693" t="s">
        <v>40711</v>
      </c>
      <c r="X14693" t="s">
        <v>44783</v>
      </c>
    </row>
    <row r="14694" spans="1:24">
      <c r="A14694">
        <f>HYPERLINK("https://www.philgeps.gov.ph/GEPSNONPILOT/Tender/SplashBidNoticeAbstractUI.aspx?menuIndex=3&amp;refID=7106243&amp;Result=3","7106243")</f>
        <v>0</v>
      </c>
      <c r="B14694" t="s">
        <v>2310</v>
      </c>
      <c r="C14694" t="s">
        <v>17745</v>
      </c>
      <c r="D14694" t="s">
        <v>17952</v>
      </c>
      <c r="E14694" t="s">
        <v>30723</v>
      </c>
      <c r="F14694" t="s">
        <v>30900</v>
      </c>
      <c r="G14694" t="s">
        <v>30907</v>
      </c>
      <c r="H14694" t="s">
        <v>30915</v>
      </c>
      <c r="I14694" t="s">
        <v>30919</v>
      </c>
      <c r="J14694" t="s">
        <v>40132</v>
      </c>
      <c r="K14694" t="s">
        <v>40293</v>
      </c>
      <c r="M14694" t="s">
        <v>43028</v>
      </c>
      <c r="N14694" t="s">
        <v>44759</v>
      </c>
      <c r="O14694" t="s">
        <v>44760</v>
      </c>
      <c r="P14694">
        <v>0</v>
      </c>
      <c r="Q14694">
        <v>0</v>
      </c>
      <c r="R14694" t="s">
        <v>44781</v>
      </c>
      <c r="S14694" t="s">
        <v>45758</v>
      </c>
      <c r="T14694" t="s">
        <v>46403</v>
      </c>
      <c r="U14694" t="s">
        <v>58914</v>
      </c>
      <c r="W14694" t="s">
        <v>43028</v>
      </c>
      <c r="X14694" t="s">
        <v>44784</v>
      </c>
    </row>
    <row r="14695" spans="1:24">
      <c r="A14695">
        <f>HYPERLINK("https://www.philgeps.gov.ph/GEPSNONPILOT/Tender/SplashBidNoticeAbstractUI.aspx?menuIndex=3&amp;refID=7099698&amp;Result=3","7099698")</f>
        <v>0</v>
      </c>
      <c r="B14695" t="s">
        <v>3645</v>
      </c>
      <c r="C14695" t="s">
        <v>17746</v>
      </c>
      <c r="D14695" t="s">
        <v>17977</v>
      </c>
      <c r="E14695" t="s">
        <v>27379</v>
      </c>
      <c r="F14695" t="s">
        <v>30900</v>
      </c>
      <c r="G14695" t="s">
        <v>30907</v>
      </c>
      <c r="H14695" t="s">
        <v>30916</v>
      </c>
      <c r="I14695" t="s">
        <v>30950</v>
      </c>
      <c r="J14695" t="s">
        <v>40133</v>
      </c>
      <c r="K14695" t="s">
        <v>40286</v>
      </c>
      <c r="M14695" t="s">
        <v>44586</v>
      </c>
      <c r="N14695" t="s">
        <v>44759</v>
      </c>
      <c r="O14695" t="s">
        <v>44760</v>
      </c>
      <c r="Q14695">
        <v>5</v>
      </c>
      <c r="R14695" t="s">
        <v>44781</v>
      </c>
      <c r="S14695" t="s">
        <v>46307</v>
      </c>
      <c r="T14695" t="s">
        <v>46403</v>
      </c>
      <c r="U14695" t="s">
        <v>58019</v>
      </c>
      <c r="V14695" t="s">
        <v>60652</v>
      </c>
      <c r="W14695" t="s">
        <v>44586</v>
      </c>
      <c r="X14695" t="s">
        <v>44788</v>
      </c>
    </row>
    <row r="14696" spans="1:24">
      <c r="A14696">
        <f>HYPERLINK("https://www.philgeps.gov.ph/GEPSNONPILOT/Tender/SplashBidNoticeAbstractUI.aspx?menuIndex=3&amp;refID=7099305&amp;Result=3","7099305")</f>
        <v>0</v>
      </c>
      <c r="B14696" t="s">
        <v>2434</v>
      </c>
      <c r="C14696" t="s">
        <v>17747</v>
      </c>
      <c r="D14696" t="s">
        <v>17984</v>
      </c>
      <c r="E14696" t="s">
        <v>30724</v>
      </c>
      <c r="F14696" t="s">
        <v>30900</v>
      </c>
      <c r="G14696" t="s">
        <v>30907</v>
      </c>
      <c r="H14696" t="s">
        <v>30915</v>
      </c>
      <c r="I14696" t="s">
        <v>30919</v>
      </c>
      <c r="J14696" t="s">
        <v>40134</v>
      </c>
      <c r="K14696" t="s">
        <v>40304</v>
      </c>
      <c r="M14696" t="s">
        <v>43165</v>
      </c>
      <c r="N14696" t="s">
        <v>44759</v>
      </c>
      <c r="O14696" t="s">
        <v>44760</v>
      </c>
      <c r="P14696">
        <v>0</v>
      </c>
      <c r="Q14696">
        <v>1</v>
      </c>
      <c r="R14696" t="s">
        <v>44781</v>
      </c>
      <c r="S14696" t="s">
        <v>45758</v>
      </c>
      <c r="T14696" t="s">
        <v>46658</v>
      </c>
      <c r="U14696" t="s">
        <v>58915</v>
      </c>
      <c r="W14696" t="s">
        <v>43165</v>
      </c>
      <c r="X14696" t="s">
        <v>44788</v>
      </c>
    </row>
    <row r="14697" spans="1:24">
      <c r="A14697">
        <f>HYPERLINK("https://www.philgeps.gov.ph/GEPSNONPILOT/Tender/SplashBidNoticeAbstractUI.aspx?menuIndex=3&amp;refID=7106267&amp;Result=3","7106267")</f>
        <v>0</v>
      </c>
      <c r="B14697" t="s">
        <v>2310</v>
      </c>
      <c r="C14697" t="s">
        <v>17748</v>
      </c>
      <c r="D14697" t="s">
        <v>17952</v>
      </c>
      <c r="E14697" t="s">
        <v>18655</v>
      </c>
      <c r="F14697" t="s">
        <v>30900</v>
      </c>
      <c r="G14697" t="s">
        <v>30907</v>
      </c>
      <c r="H14697" t="s">
        <v>30915</v>
      </c>
      <c r="I14697" t="s">
        <v>30919</v>
      </c>
      <c r="J14697" t="s">
        <v>31241</v>
      </c>
      <c r="K14697" t="s">
        <v>40280</v>
      </c>
      <c r="M14697" t="s">
        <v>43028</v>
      </c>
      <c r="N14697" t="s">
        <v>44759</v>
      </c>
      <c r="O14697" t="s">
        <v>44760</v>
      </c>
      <c r="P14697">
        <v>0</v>
      </c>
      <c r="Q14697">
        <v>2</v>
      </c>
      <c r="R14697" t="s">
        <v>44781</v>
      </c>
      <c r="S14697" t="s">
        <v>45758</v>
      </c>
      <c r="T14697" t="s">
        <v>46403</v>
      </c>
      <c r="U14697" t="s">
        <v>58916</v>
      </c>
      <c r="W14697" t="s">
        <v>43028</v>
      </c>
      <c r="X14697" t="s">
        <v>44784</v>
      </c>
    </row>
    <row r="14698" spans="1:24">
      <c r="A14698">
        <f>HYPERLINK("https://www.philgeps.gov.ph/GEPSNONPILOT/Tender/SplashBidNoticeAbstractUI.aspx?menuIndex=3&amp;refID=7106214&amp;Result=3","7106214")</f>
        <v>0</v>
      </c>
      <c r="B14698" t="s">
        <v>45</v>
      </c>
      <c r="C14698" t="s">
        <v>17749</v>
      </c>
      <c r="E14698" t="s">
        <v>30725</v>
      </c>
      <c r="F14698" t="s">
        <v>30900</v>
      </c>
      <c r="G14698" t="s">
        <v>30907</v>
      </c>
      <c r="H14698" t="s">
        <v>30915</v>
      </c>
      <c r="I14698" t="s">
        <v>30919</v>
      </c>
      <c r="J14698" t="s">
        <v>40135</v>
      </c>
      <c r="K14698" t="s">
        <v>40561</v>
      </c>
      <c r="M14698" t="s">
        <v>40591</v>
      </c>
      <c r="N14698" t="s">
        <v>44759</v>
      </c>
      <c r="O14698" t="s">
        <v>44760</v>
      </c>
      <c r="P14698">
        <v>0</v>
      </c>
      <c r="Q14698">
        <v>1</v>
      </c>
      <c r="R14698" t="s">
        <v>44781</v>
      </c>
      <c r="S14698" t="s">
        <v>45758</v>
      </c>
      <c r="T14698" t="s">
        <v>46531</v>
      </c>
      <c r="U14698" t="s">
        <v>58917</v>
      </c>
      <c r="W14698" t="s">
        <v>40591</v>
      </c>
      <c r="X14698" t="s">
        <v>44784</v>
      </c>
    </row>
    <row r="14699" spans="1:24">
      <c r="A14699">
        <f>HYPERLINK("https://www.philgeps.gov.ph/GEPSNONPILOT/Tender/SplashBidNoticeAbstractUI.aspx?menuIndex=3&amp;refID=7099325&amp;Result=3","7099325")</f>
        <v>0</v>
      </c>
      <c r="B14699" t="s">
        <v>1403</v>
      </c>
      <c r="C14699" t="s">
        <v>17750</v>
      </c>
      <c r="D14699" t="s">
        <v>17954</v>
      </c>
      <c r="E14699" t="s">
        <v>30726</v>
      </c>
      <c r="F14699" t="s">
        <v>30900</v>
      </c>
      <c r="G14699" t="s">
        <v>30907</v>
      </c>
      <c r="H14699" t="s">
        <v>30916</v>
      </c>
      <c r="I14699" t="s">
        <v>30926</v>
      </c>
      <c r="J14699" t="s">
        <v>40136</v>
      </c>
      <c r="K14699" t="s">
        <v>40331</v>
      </c>
      <c r="M14699" t="s">
        <v>42030</v>
      </c>
      <c r="N14699" t="s">
        <v>44759</v>
      </c>
      <c r="O14699" t="s">
        <v>44760</v>
      </c>
      <c r="P14699">
        <v>0</v>
      </c>
      <c r="Q14699">
        <v>0</v>
      </c>
      <c r="R14699" t="s">
        <v>44781</v>
      </c>
      <c r="S14699" t="s">
        <v>45758</v>
      </c>
      <c r="T14699" t="s">
        <v>46379</v>
      </c>
      <c r="U14699" t="s">
        <v>58918</v>
      </c>
      <c r="W14699" t="s">
        <v>42030</v>
      </c>
      <c r="X14699" t="s">
        <v>44788</v>
      </c>
    </row>
    <row r="14700" spans="1:24">
      <c r="A14700">
        <f>HYPERLINK("https://www.philgeps.gov.ph/GEPSNONPILOT/Tender/SplashBidNoticeAbstractUI.aspx?menuIndex=3&amp;refID=7099162&amp;Result=3","7099162")</f>
        <v>0</v>
      </c>
      <c r="B14700" t="s">
        <v>3645</v>
      </c>
      <c r="C14700" t="s">
        <v>17751</v>
      </c>
      <c r="D14700" t="s">
        <v>17977</v>
      </c>
      <c r="E14700" t="s">
        <v>27379</v>
      </c>
      <c r="F14700" t="s">
        <v>30900</v>
      </c>
      <c r="G14700" t="s">
        <v>30907</v>
      </c>
      <c r="H14700" t="s">
        <v>30916</v>
      </c>
      <c r="I14700" t="s">
        <v>9385</v>
      </c>
      <c r="J14700" t="s">
        <v>40137</v>
      </c>
      <c r="K14700" t="s">
        <v>40286</v>
      </c>
      <c r="M14700" t="s">
        <v>44586</v>
      </c>
      <c r="N14700" t="s">
        <v>44759</v>
      </c>
      <c r="O14700" t="s">
        <v>44760</v>
      </c>
      <c r="Q14700">
        <v>11</v>
      </c>
      <c r="R14700" t="s">
        <v>44781</v>
      </c>
      <c r="S14700" t="s">
        <v>46308</v>
      </c>
      <c r="T14700" t="s">
        <v>46403</v>
      </c>
      <c r="U14700" t="s">
        <v>58019</v>
      </c>
      <c r="V14700" t="s">
        <v>60652</v>
      </c>
      <c r="W14700" t="s">
        <v>44586</v>
      </c>
      <c r="X14700" t="s">
        <v>44788</v>
      </c>
    </row>
    <row r="14701" spans="1:24">
      <c r="A14701">
        <f>HYPERLINK("https://www.philgeps.gov.ph/GEPSNONPILOT/Tender/SplashBidNoticeAbstractUI.aspx?menuIndex=3&amp;refID=7105902&amp;Result=3","7105902")</f>
        <v>0</v>
      </c>
      <c r="B14701" t="s">
        <v>2310</v>
      </c>
      <c r="C14701" t="s">
        <v>17752</v>
      </c>
      <c r="D14701" t="s">
        <v>17952</v>
      </c>
      <c r="E14701" t="s">
        <v>30727</v>
      </c>
      <c r="F14701" t="s">
        <v>30900</v>
      </c>
      <c r="G14701" t="s">
        <v>30907</v>
      </c>
      <c r="H14701" t="s">
        <v>30916</v>
      </c>
      <c r="I14701" t="s">
        <v>30932</v>
      </c>
      <c r="J14701" t="s">
        <v>33238</v>
      </c>
      <c r="K14701" t="s">
        <v>40284</v>
      </c>
      <c r="M14701" t="s">
        <v>43028</v>
      </c>
      <c r="N14701" t="s">
        <v>44759</v>
      </c>
      <c r="O14701" t="s">
        <v>44760</v>
      </c>
      <c r="P14701">
        <v>0</v>
      </c>
      <c r="Q14701">
        <v>5</v>
      </c>
      <c r="R14701" t="s">
        <v>44781</v>
      </c>
      <c r="S14701" t="s">
        <v>45758</v>
      </c>
      <c r="T14701" t="s">
        <v>46403</v>
      </c>
      <c r="U14701" t="s">
        <v>58919</v>
      </c>
      <c r="W14701" t="s">
        <v>43028</v>
      </c>
      <c r="X14701" t="s">
        <v>44784</v>
      </c>
    </row>
    <row r="14702" spans="1:24">
      <c r="A14702">
        <f>HYPERLINK("https://www.philgeps.gov.ph/GEPSNONPILOT/Tender/SplashBidNoticeAbstractUI.aspx?menuIndex=3&amp;refID=7116331&amp;Result=3","7116331")</f>
        <v>0</v>
      </c>
      <c r="B14702" t="s">
        <v>1093</v>
      </c>
      <c r="C14702" t="s">
        <v>17753</v>
      </c>
      <c r="D14702" t="s">
        <v>18033</v>
      </c>
      <c r="E14702" t="s">
        <v>30728</v>
      </c>
      <c r="F14702" t="s">
        <v>30900</v>
      </c>
      <c r="G14702" t="s">
        <v>30907</v>
      </c>
      <c r="H14702" t="s">
        <v>30916</v>
      </c>
      <c r="I14702" t="s">
        <v>10847</v>
      </c>
      <c r="J14702" t="s">
        <v>40138</v>
      </c>
      <c r="K14702" t="s">
        <v>40280</v>
      </c>
      <c r="M14702" t="s">
        <v>41693</v>
      </c>
      <c r="N14702" t="s">
        <v>44759</v>
      </c>
      <c r="O14702" t="s">
        <v>44760</v>
      </c>
      <c r="P14702">
        <v>0</v>
      </c>
      <c r="Q14702">
        <v>2</v>
      </c>
      <c r="R14702" t="s">
        <v>44780</v>
      </c>
      <c r="S14702" t="s">
        <v>45683</v>
      </c>
      <c r="T14702" t="s">
        <v>46548</v>
      </c>
      <c r="U14702" t="s">
        <v>58920</v>
      </c>
      <c r="W14702" t="s">
        <v>41693</v>
      </c>
      <c r="X14702" t="s">
        <v>44781</v>
      </c>
    </row>
    <row r="14703" spans="1:24">
      <c r="A14703">
        <f>HYPERLINK("https://www.philgeps.gov.ph/GEPSNONPILOT/Tender/SplashBidNoticeAbstractUI.aspx?menuIndex=3&amp;refID=7106636&amp;Result=3","7106636")</f>
        <v>0</v>
      </c>
      <c r="B14703" t="s">
        <v>45</v>
      </c>
      <c r="C14703" t="s">
        <v>17754</v>
      </c>
      <c r="E14703" t="s">
        <v>30729</v>
      </c>
      <c r="F14703" t="s">
        <v>30900</v>
      </c>
      <c r="G14703" t="s">
        <v>30907</v>
      </c>
      <c r="H14703" t="s">
        <v>30915</v>
      </c>
      <c r="I14703" t="s">
        <v>30919</v>
      </c>
      <c r="J14703" t="s">
        <v>40139</v>
      </c>
      <c r="K14703" t="s">
        <v>40484</v>
      </c>
      <c r="M14703" t="s">
        <v>40591</v>
      </c>
      <c r="N14703" t="s">
        <v>44759</v>
      </c>
      <c r="O14703" t="s">
        <v>44760</v>
      </c>
      <c r="P14703">
        <v>0</v>
      </c>
      <c r="Q14703">
        <v>1</v>
      </c>
      <c r="R14703" t="s">
        <v>44781</v>
      </c>
      <c r="S14703" t="s">
        <v>45758</v>
      </c>
      <c r="T14703" t="s">
        <v>46531</v>
      </c>
      <c r="U14703" t="s">
        <v>58921</v>
      </c>
      <c r="W14703" t="s">
        <v>40591</v>
      </c>
      <c r="X14703" t="s">
        <v>44784</v>
      </c>
    </row>
    <row r="14704" spans="1:24">
      <c r="A14704">
        <f>HYPERLINK("https://www.philgeps.gov.ph/GEPSNONPILOT/Tender/SplashBidNoticeAbstractUI.aspx?menuIndex=3&amp;refID=7116270&amp;Result=3","7116270")</f>
        <v>0</v>
      </c>
      <c r="B14704" t="s">
        <v>2243</v>
      </c>
      <c r="C14704" t="s">
        <v>17755</v>
      </c>
      <c r="D14704" t="s">
        <v>17980</v>
      </c>
      <c r="E14704" t="s">
        <v>30730</v>
      </c>
      <c r="F14704" t="s">
        <v>30900</v>
      </c>
      <c r="G14704" t="s">
        <v>30907</v>
      </c>
      <c r="H14704" t="s">
        <v>30916</v>
      </c>
      <c r="I14704" t="s">
        <v>30933</v>
      </c>
      <c r="J14704" t="s">
        <v>40140</v>
      </c>
      <c r="K14704" t="s">
        <v>40286</v>
      </c>
      <c r="M14704" t="s">
        <v>42953</v>
      </c>
      <c r="N14704" t="s">
        <v>44759</v>
      </c>
      <c r="O14704" t="s">
        <v>44760</v>
      </c>
      <c r="P14704">
        <v>0</v>
      </c>
      <c r="Q14704">
        <v>5</v>
      </c>
      <c r="R14704" t="s">
        <v>44780</v>
      </c>
      <c r="S14704" t="s">
        <v>45683</v>
      </c>
      <c r="T14704" t="s">
        <v>46953</v>
      </c>
      <c r="U14704" t="s">
        <v>58922</v>
      </c>
      <c r="W14704" t="s">
        <v>42953</v>
      </c>
      <c r="X14704" t="s">
        <v>44781</v>
      </c>
    </row>
    <row r="14705" spans="1:24">
      <c r="A14705">
        <f>HYPERLINK("https://www.philgeps.gov.ph/GEPSNONPILOT/Tender/SplashBidNoticeAbstractUI.aspx?menuIndex=3&amp;refID=7116202&amp;Result=3","7116202")</f>
        <v>0</v>
      </c>
      <c r="B14705" t="s">
        <v>1821</v>
      </c>
      <c r="C14705" t="s">
        <v>17756</v>
      </c>
      <c r="D14705" t="s">
        <v>17973</v>
      </c>
      <c r="E14705" t="s">
        <v>30731</v>
      </c>
      <c r="F14705" t="s">
        <v>30900</v>
      </c>
      <c r="G14705" t="s">
        <v>30907</v>
      </c>
      <c r="H14705" t="s">
        <v>30916</v>
      </c>
      <c r="I14705" t="s">
        <v>6396</v>
      </c>
      <c r="J14705" t="s">
        <v>31261</v>
      </c>
      <c r="K14705" t="s">
        <v>40283</v>
      </c>
      <c r="M14705" t="s">
        <v>42494</v>
      </c>
      <c r="N14705" t="s">
        <v>44759</v>
      </c>
      <c r="O14705" t="s">
        <v>44760</v>
      </c>
      <c r="Q14705">
        <v>0</v>
      </c>
      <c r="R14705" t="s">
        <v>44780</v>
      </c>
      <c r="S14705" t="s">
        <v>45009</v>
      </c>
      <c r="T14705" t="s">
        <v>46389</v>
      </c>
      <c r="U14705" t="s">
        <v>58923</v>
      </c>
      <c r="W14705" t="s">
        <v>42494</v>
      </c>
      <c r="X14705" t="s">
        <v>44781</v>
      </c>
    </row>
    <row r="14706" spans="1:24">
      <c r="A14706">
        <f>HYPERLINK("https://www.philgeps.gov.ph/GEPSNONPILOT/Tender/SplashBidNoticeAbstractUI.aspx?menuIndex=3&amp;refID=7116271&amp;Result=3","7116271")</f>
        <v>0</v>
      </c>
      <c r="B14706" t="s">
        <v>642</v>
      </c>
      <c r="C14706" t="s">
        <v>17757</v>
      </c>
      <c r="E14706" t="s">
        <v>30732</v>
      </c>
      <c r="F14706" t="s">
        <v>30900</v>
      </c>
      <c r="G14706" t="s">
        <v>30907</v>
      </c>
      <c r="H14706" t="s">
        <v>30916</v>
      </c>
      <c r="I14706" t="s">
        <v>9385</v>
      </c>
      <c r="J14706" t="s">
        <v>40141</v>
      </c>
      <c r="K14706" t="s">
        <v>40292</v>
      </c>
      <c r="M14706" t="s">
        <v>41205</v>
      </c>
      <c r="N14706" t="s">
        <v>44759</v>
      </c>
      <c r="O14706" t="s">
        <v>44760</v>
      </c>
      <c r="Q14706">
        <v>15</v>
      </c>
      <c r="R14706" t="s">
        <v>44780</v>
      </c>
      <c r="S14706" t="s">
        <v>46309</v>
      </c>
      <c r="T14706" t="s">
        <v>46581</v>
      </c>
      <c r="U14706" t="s">
        <v>58924</v>
      </c>
      <c r="W14706" t="s">
        <v>41205</v>
      </c>
      <c r="X14706" t="s">
        <v>44781</v>
      </c>
    </row>
    <row r="14707" spans="1:24">
      <c r="A14707">
        <f>HYPERLINK("https://www.philgeps.gov.ph/GEPSNONPILOT/Tender/SplashBidNoticeAbstractUI.aspx?menuIndex=3&amp;refID=7116279&amp;Result=3","7116279")</f>
        <v>0</v>
      </c>
      <c r="B14707" t="s">
        <v>1119</v>
      </c>
      <c r="C14707" t="s">
        <v>17758</v>
      </c>
      <c r="D14707" t="s">
        <v>18038</v>
      </c>
      <c r="E14707" t="s">
        <v>30733</v>
      </c>
      <c r="F14707" t="s">
        <v>30900</v>
      </c>
      <c r="G14707" t="s">
        <v>30907</v>
      </c>
      <c r="H14707" t="s">
        <v>30916</v>
      </c>
      <c r="I14707" t="s">
        <v>7708</v>
      </c>
      <c r="J14707" t="s">
        <v>40142</v>
      </c>
      <c r="K14707" t="s">
        <v>40280</v>
      </c>
      <c r="M14707" t="s">
        <v>42602</v>
      </c>
      <c r="N14707" t="s">
        <v>44759</v>
      </c>
      <c r="O14707" t="s">
        <v>44760</v>
      </c>
      <c r="Q14707">
        <v>6</v>
      </c>
      <c r="R14707" t="s">
        <v>44780</v>
      </c>
      <c r="S14707" t="s">
        <v>46310</v>
      </c>
      <c r="T14707" t="s">
        <v>46760</v>
      </c>
      <c r="U14707" t="s">
        <v>57990</v>
      </c>
      <c r="V14707" t="s">
        <v>60649</v>
      </c>
      <c r="W14707" t="s">
        <v>42602</v>
      </c>
      <c r="X14707" t="s">
        <v>44781</v>
      </c>
    </row>
    <row r="14708" spans="1:24">
      <c r="A14708">
        <f>HYPERLINK("https://www.philgeps.gov.ph/GEPSNONPILOT/Tender/SplashBidNoticeAbstractUI.aspx?menuIndex=3&amp;refID=7112871&amp;Result=3","7112871")</f>
        <v>0</v>
      </c>
      <c r="B14708" t="s">
        <v>2880</v>
      </c>
      <c r="C14708" t="s">
        <v>17759</v>
      </c>
      <c r="D14708" t="s">
        <v>17966</v>
      </c>
      <c r="E14708" t="s">
        <v>30734</v>
      </c>
      <c r="F14708" t="s">
        <v>30900</v>
      </c>
      <c r="G14708" t="s">
        <v>30907</v>
      </c>
      <c r="H14708" t="s">
        <v>30916</v>
      </c>
      <c r="I14708" t="s">
        <v>30933</v>
      </c>
      <c r="J14708" t="s">
        <v>40143</v>
      </c>
      <c r="K14708" t="s">
        <v>40286</v>
      </c>
      <c r="M14708" t="s">
        <v>43672</v>
      </c>
      <c r="N14708" t="s">
        <v>44759</v>
      </c>
      <c r="O14708" t="s">
        <v>44760</v>
      </c>
      <c r="P14708">
        <v>0</v>
      </c>
      <c r="Q14708">
        <v>5</v>
      </c>
      <c r="R14708" t="s">
        <v>44781</v>
      </c>
      <c r="S14708" t="s">
        <v>45758</v>
      </c>
      <c r="T14708" t="s">
        <v>46625</v>
      </c>
      <c r="U14708" t="s">
        <v>58925</v>
      </c>
      <c r="V14708" t="s">
        <v>60794</v>
      </c>
      <c r="W14708" t="s">
        <v>43672</v>
      </c>
      <c r="X14708" t="s">
        <v>44782</v>
      </c>
    </row>
    <row r="14709" spans="1:24">
      <c r="A14709">
        <f>HYPERLINK("https://www.philgeps.gov.ph/GEPSNONPILOT/Tender/SplashBidNoticeAbstractUI.aspx?menuIndex=3&amp;refID=7116167&amp;Result=3","7116167")</f>
        <v>0</v>
      </c>
      <c r="B14709" t="s">
        <v>1099</v>
      </c>
      <c r="C14709" t="s">
        <v>17760</v>
      </c>
      <c r="D14709" t="s">
        <v>17985</v>
      </c>
      <c r="E14709" t="s">
        <v>30735</v>
      </c>
      <c r="F14709" t="s">
        <v>30900</v>
      </c>
      <c r="G14709" t="s">
        <v>30907</v>
      </c>
      <c r="H14709" t="s">
        <v>30915</v>
      </c>
      <c r="I14709" t="s">
        <v>30919</v>
      </c>
      <c r="J14709" t="s">
        <v>40144</v>
      </c>
      <c r="K14709" t="s">
        <v>40301</v>
      </c>
      <c r="M14709" t="s">
        <v>41699</v>
      </c>
      <c r="N14709" t="s">
        <v>44759</v>
      </c>
      <c r="O14709" t="s">
        <v>44760</v>
      </c>
      <c r="Q14709">
        <v>0</v>
      </c>
      <c r="R14709" t="s">
        <v>44780</v>
      </c>
      <c r="S14709" t="s">
        <v>46311</v>
      </c>
      <c r="T14709" t="s">
        <v>46658</v>
      </c>
      <c r="U14709" t="s">
        <v>49030</v>
      </c>
      <c r="W14709" t="s">
        <v>41699</v>
      </c>
      <c r="X14709" t="s">
        <v>44781</v>
      </c>
    </row>
    <row r="14710" spans="1:24">
      <c r="A14710">
        <f>HYPERLINK("https://www.philgeps.gov.ph/GEPSNONPILOT/Tender/SplashBidNoticeAbstractUI.aspx?menuIndex=3&amp;refID=7098736&amp;Result=3","7098736")</f>
        <v>0</v>
      </c>
      <c r="B14710" t="s">
        <v>3645</v>
      </c>
      <c r="C14710" t="s">
        <v>6311</v>
      </c>
      <c r="D14710" t="s">
        <v>17977</v>
      </c>
      <c r="E14710" t="s">
        <v>27379</v>
      </c>
      <c r="F14710" t="s">
        <v>30900</v>
      </c>
      <c r="G14710" t="s">
        <v>30907</v>
      </c>
      <c r="H14710" t="s">
        <v>30916</v>
      </c>
      <c r="I14710" t="s">
        <v>5501</v>
      </c>
      <c r="J14710" t="s">
        <v>40145</v>
      </c>
      <c r="K14710" t="s">
        <v>40286</v>
      </c>
      <c r="M14710" t="s">
        <v>44586</v>
      </c>
      <c r="N14710" t="s">
        <v>44759</v>
      </c>
      <c r="O14710" t="s">
        <v>44760</v>
      </c>
      <c r="Q14710">
        <v>13</v>
      </c>
      <c r="R14710" t="s">
        <v>44781</v>
      </c>
      <c r="S14710" t="s">
        <v>46312</v>
      </c>
      <c r="T14710" t="s">
        <v>46403</v>
      </c>
      <c r="U14710" t="s">
        <v>58019</v>
      </c>
      <c r="V14710" t="s">
        <v>60652</v>
      </c>
      <c r="W14710" t="s">
        <v>44586</v>
      </c>
      <c r="X14710" t="s">
        <v>44788</v>
      </c>
    </row>
    <row r="14711" spans="1:24">
      <c r="A14711">
        <f>HYPERLINK("https://www.philgeps.gov.ph/GEPSNONPILOT/Tender/SplashBidNoticeAbstractUI.aspx?menuIndex=3&amp;refID=7116185&amp;Result=3","7116185")</f>
        <v>0</v>
      </c>
      <c r="B14711" t="s">
        <v>1099</v>
      </c>
      <c r="C14711" t="s">
        <v>17761</v>
      </c>
      <c r="D14711" t="s">
        <v>17985</v>
      </c>
      <c r="E14711" t="s">
        <v>30736</v>
      </c>
      <c r="F14711" t="s">
        <v>30900</v>
      </c>
      <c r="G14711" t="s">
        <v>30907</v>
      </c>
      <c r="H14711" t="s">
        <v>30915</v>
      </c>
      <c r="I14711" t="s">
        <v>30919</v>
      </c>
      <c r="J14711" t="s">
        <v>40146</v>
      </c>
      <c r="K14711" t="s">
        <v>40436</v>
      </c>
      <c r="M14711" t="s">
        <v>41699</v>
      </c>
      <c r="N14711" t="s">
        <v>44759</v>
      </c>
      <c r="O14711" t="s">
        <v>44760</v>
      </c>
      <c r="Q14711">
        <v>0</v>
      </c>
      <c r="R14711" t="s">
        <v>44780</v>
      </c>
      <c r="S14711" t="s">
        <v>46313</v>
      </c>
      <c r="T14711" t="s">
        <v>46658</v>
      </c>
      <c r="U14711" t="s">
        <v>49030</v>
      </c>
      <c r="W14711" t="s">
        <v>41699</v>
      </c>
      <c r="X14711" t="s">
        <v>44781</v>
      </c>
    </row>
    <row r="14712" spans="1:24">
      <c r="A14712">
        <f>HYPERLINK("https://www.philgeps.gov.ph/GEPSNONPILOT/Tender/SplashBidNoticeAbstractUI.aspx?menuIndex=3&amp;refID=7116150&amp;Result=3","7116150")</f>
        <v>0</v>
      </c>
      <c r="B14712" t="s">
        <v>3747</v>
      </c>
      <c r="C14712" t="s">
        <v>17762</v>
      </c>
      <c r="D14712" t="s">
        <v>17978</v>
      </c>
      <c r="E14712" t="s">
        <v>30737</v>
      </c>
      <c r="F14712" t="s">
        <v>30900</v>
      </c>
      <c r="G14712" t="s">
        <v>30907</v>
      </c>
      <c r="H14712" t="s">
        <v>30915</v>
      </c>
      <c r="I14712" t="s">
        <v>30919</v>
      </c>
      <c r="J14712" t="s">
        <v>40147</v>
      </c>
      <c r="K14712" t="s">
        <v>40342</v>
      </c>
      <c r="M14712" t="s">
        <v>44735</v>
      </c>
      <c r="N14712" t="s">
        <v>44759</v>
      </c>
      <c r="O14712" t="s">
        <v>44760</v>
      </c>
      <c r="P14712">
        <v>0</v>
      </c>
      <c r="Q14712">
        <v>21</v>
      </c>
      <c r="R14712" t="s">
        <v>44780</v>
      </c>
      <c r="S14712" t="s">
        <v>45683</v>
      </c>
      <c r="T14712" t="s">
        <v>46581</v>
      </c>
      <c r="U14712" t="s">
        <v>58926</v>
      </c>
      <c r="W14712" t="s">
        <v>44735</v>
      </c>
      <c r="X14712" t="s">
        <v>44781</v>
      </c>
    </row>
    <row r="14713" spans="1:24">
      <c r="A14713">
        <f>HYPERLINK("https://www.philgeps.gov.ph/GEPSNONPILOT/Tender/SplashBidNoticeAbstractUI.aspx?menuIndex=3&amp;refID=7116176&amp;Result=3","7116176")</f>
        <v>0</v>
      </c>
      <c r="B14713" t="s">
        <v>1099</v>
      </c>
      <c r="C14713" t="s">
        <v>17763</v>
      </c>
      <c r="D14713" t="s">
        <v>17985</v>
      </c>
      <c r="E14713" t="s">
        <v>30738</v>
      </c>
      <c r="F14713" t="s">
        <v>30900</v>
      </c>
      <c r="G14713" t="s">
        <v>30907</v>
      </c>
      <c r="H14713" t="s">
        <v>30915</v>
      </c>
      <c r="I14713" t="s">
        <v>30919</v>
      </c>
      <c r="J14713" t="s">
        <v>40148</v>
      </c>
      <c r="K14713" t="s">
        <v>40280</v>
      </c>
      <c r="M14713" t="s">
        <v>41699</v>
      </c>
      <c r="N14713" t="s">
        <v>44759</v>
      </c>
      <c r="O14713" t="s">
        <v>44760</v>
      </c>
      <c r="Q14713">
        <v>1</v>
      </c>
      <c r="R14713" t="s">
        <v>44780</v>
      </c>
      <c r="S14713" t="s">
        <v>46314</v>
      </c>
      <c r="T14713" t="s">
        <v>46658</v>
      </c>
      <c r="U14713" t="s">
        <v>49030</v>
      </c>
      <c r="W14713" t="s">
        <v>41699</v>
      </c>
      <c r="X14713" t="s">
        <v>44781</v>
      </c>
    </row>
    <row r="14714" spans="1:24">
      <c r="A14714">
        <f>HYPERLINK("https://www.philgeps.gov.ph/GEPSNONPILOT/Tender/SplashBidNoticeAbstractUI.aspx?menuIndex=3&amp;refID=7116188&amp;Result=3","7116188")</f>
        <v>0</v>
      </c>
      <c r="B14714" t="s">
        <v>1099</v>
      </c>
      <c r="C14714" t="s">
        <v>17764</v>
      </c>
      <c r="D14714" t="s">
        <v>17985</v>
      </c>
      <c r="E14714" t="s">
        <v>30739</v>
      </c>
      <c r="F14714" t="s">
        <v>30900</v>
      </c>
      <c r="G14714" t="s">
        <v>30907</v>
      </c>
      <c r="H14714" t="s">
        <v>30915</v>
      </c>
      <c r="I14714" t="s">
        <v>30919</v>
      </c>
      <c r="J14714" t="s">
        <v>40149</v>
      </c>
      <c r="K14714" t="s">
        <v>40280</v>
      </c>
      <c r="M14714" t="s">
        <v>41699</v>
      </c>
      <c r="N14714" t="s">
        <v>44759</v>
      </c>
      <c r="O14714" t="s">
        <v>44760</v>
      </c>
      <c r="Q14714">
        <v>3</v>
      </c>
      <c r="R14714" t="s">
        <v>44780</v>
      </c>
      <c r="S14714" t="s">
        <v>46315</v>
      </c>
      <c r="T14714" t="s">
        <v>46658</v>
      </c>
      <c r="U14714" t="s">
        <v>49030</v>
      </c>
      <c r="W14714" t="s">
        <v>41699</v>
      </c>
      <c r="X14714" t="s">
        <v>44781</v>
      </c>
    </row>
    <row r="14715" spans="1:24">
      <c r="A14715">
        <f>HYPERLINK("https://www.philgeps.gov.ph/GEPSNONPILOT/Tender/SplashBidNoticeAbstractUI.aspx?menuIndex=3&amp;refID=7116140&amp;Result=3","7116140")</f>
        <v>0</v>
      </c>
      <c r="B14715" t="s">
        <v>3211</v>
      </c>
      <c r="C14715" t="s">
        <v>17765</v>
      </c>
      <c r="D14715" t="s">
        <v>18038</v>
      </c>
      <c r="E14715" t="s">
        <v>30740</v>
      </c>
      <c r="F14715" t="s">
        <v>30900</v>
      </c>
      <c r="G14715" t="s">
        <v>30907</v>
      </c>
      <c r="H14715" t="s">
        <v>30917</v>
      </c>
      <c r="I14715" t="s">
        <v>30942</v>
      </c>
      <c r="J14715" t="s">
        <v>40150</v>
      </c>
      <c r="K14715" t="s">
        <v>40332</v>
      </c>
      <c r="M14715" t="s">
        <v>44050</v>
      </c>
      <c r="N14715" t="s">
        <v>44759</v>
      </c>
      <c r="O14715" t="s">
        <v>44760</v>
      </c>
      <c r="P14715">
        <v>0</v>
      </c>
      <c r="Q14715">
        <v>7</v>
      </c>
      <c r="R14715" t="s">
        <v>44780</v>
      </c>
      <c r="S14715" t="s">
        <v>45683</v>
      </c>
      <c r="T14715" t="s">
        <v>46492</v>
      </c>
      <c r="U14715" t="s">
        <v>58927</v>
      </c>
      <c r="W14715" t="s">
        <v>44050</v>
      </c>
      <c r="X14715" t="s">
        <v>44781</v>
      </c>
    </row>
    <row r="14716" spans="1:24">
      <c r="A14716">
        <f>HYPERLINK("https://www.philgeps.gov.ph/GEPSNONPILOT/Tender/SplashBidNoticeAbstractUI.aspx?menuIndex=3&amp;refID=7115575&amp;Result=3","7115575")</f>
        <v>0</v>
      </c>
      <c r="B14716" t="s">
        <v>981</v>
      </c>
      <c r="C14716" t="s">
        <v>17766</v>
      </c>
      <c r="D14716" t="s">
        <v>17993</v>
      </c>
      <c r="E14716" t="s">
        <v>30741</v>
      </c>
      <c r="F14716" t="s">
        <v>30900</v>
      </c>
      <c r="G14716" t="s">
        <v>30907</v>
      </c>
      <c r="H14716" t="s">
        <v>30915</v>
      </c>
      <c r="I14716" t="s">
        <v>30919</v>
      </c>
      <c r="J14716" t="s">
        <v>40151</v>
      </c>
      <c r="K14716" t="s">
        <v>40286</v>
      </c>
      <c r="M14716" t="s">
        <v>41569</v>
      </c>
      <c r="N14716" t="s">
        <v>44759</v>
      </c>
      <c r="O14716" t="s">
        <v>44760</v>
      </c>
      <c r="P14716">
        <v>0</v>
      </c>
      <c r="Q14716">
        <v>1</v>
      </c>
      <c r="R14716" t="s">
        <v>44780</v>
      </c>
      <c r="S14716" t="s">
        <v>45683</v>
      </c>
      <c r="T14716" t="s">
        <v>46572</v>
      </c>
      <c r="U14716" t="s">
        <v>58928</v>
      </c>
      <c r="W14716" t="s">
        <v>41569</v>
      </c>
      <c r="X14716" t="s">
        <v>44781</v>
      </c>
    </row>
    <row r="14717" spans="1:24">
      <c r="A14717">
        <f>HYPERLINK("https://www.philgeps.gov.ph/GEPSNONPILOT/Tender/SplashBidNoticeAbstractUI.aspx?menuIndex=3&amp;refID=7116205&amp;Result=3","7116205")</f>
        <v>0</v>
      </c>
      <c r="B14717" t="s">
        <v>3642</v>
      </c>
      <c r="C14717" t="s">
        <v>17767</v>
      </c>
      <c r="D14717" t="s">
        <v>17985</v>
      </c>
      <c r="E14717" t="s">
        <v>30742</v>
      </c>
      <c r="F14717" t="s">
        <v>30900</v>
      </c>
      <c r="G14717" t="s">
        <v>30907</v>
      </c>
      <c r="H14717" t="s">
        <v>30916</v>
      </c>
      <c r="I14717" t="s">
        <v>30981</v>
      </c>
      <c r="J14717" t="s">
        <v>40152</v>
      </c>
      <c r="K14717" t="s">
        <v>40280</v>
      </c>
      <c r="M14717" t="s">
        <v>44583</v>
      </c>
      <c r="N14717" t="s">
        <v>44759</v>
      </c>
      <c r="O14717" t="s">
        <v>44760</v>
      </c>
      <c r="P14717">
        <v>0</v>
      </c>
      <c r="Q14717">
        <v>6</v>
      </c>
      <c r="R14717" t="s">
        <v>44780</v>
      </c>
      <c r="S14717" t="s">
        <v>45683</v>
      </c>
      <c r="T14717" t="s">
        <v>46398</v>
      </c>
      <c r="U14717" t="s">
        <v>58929</v>
      </c>
      <c r="W14717" t="s">
        <v>44583</v>
      </c>
      <c r="X14717" t="s">
        <v>44781</v>
      </c>
    </row>
    <row r="14718" spans="1:24">
      <c r="A14718">
        <f>HYPERLINK("https://www.philgeps.gov.ph/GEPSNONPILOT/Tender/SplashBidNoticeAbstractUI.aspx?menuIndex=3&amp;refID=7115478&amp;Result=3","7115478")</f>
        <v>0</v>
      </c>
      <c r="B14718" t="s">
        <v>3653</v>
      </c>
      <c r="C14718" t="s">
        <v>17768</v>
      </c>
      <c r="D14718" t="s">
        <v>17990</v>
      </c>
      <c r="E14718" t="s">
        <v>30743</v>
      </c>
      <c r="F14718" t="s">
        <v>30900</v>
      </c>
      <c r="G14718" t="s">
        <v>30907</v>
      </c>
      <c r="H14718" t="s">
        <v>30915</v>
      </c>
      <c r="I14718" t="s">
        <v>30919</v>
      </c>
      <c r="J14718" t="s">
        <v>40153</v>
      </c>
      <c r="K14718" t="s">
        <v>40378</v>
      </c>
      <c r="M14718" t="s">
        <v>44596</v>
      </c>
      <c r="N14718" t="s">
        <v>44759</v>
      </c>
      <c r="O14718" t="s">
        <v>44760</v>
      </c>
      <c r="Q14718">
        <v>5</v>
      </c>
      <c r="R14718" t="s">
        <v>44780</v>
      </c>
      <c r="S14718" t="s">
        <v>46316</v>
      </c>
      <c r="T14718" t="s">
        <v>46421</v>
      </c>
      <c r="U14718" t="s">
        <v>58930</v>
      </c>
      <c r="W14718" t="s">
        <v>60951</v>
      </c>
      <c r="X14718" t="s">
        <v>44781</v>
      </c>
    </row>
    <row r="14719" spans="1:24">
      <c r="A14719">
        <f>HYPERLINK("https://www.philgeps.gov.ph/GEPSNONPILOT/Tender/SplashBidNoticeAbstractUI.aspx?menuIndex=3&amp;refID=7115482&amp;Result=3","7115482")</f>
        <v>0</v>
      </c>
      <c r="B14719" t="s">
        <v>56</v>
      </c>
      <c r="C14719" t="s">
        <v>17769</v>
      </c>
      <c r="D14719" t="s">
        <v>17952</v>
      </c>
      <c r="E14719" t="s">
        <v>30744</v>
      </c>
      <c r="F14719" t="s">
        <v>30900</v>
      </c>
      <c r="G14719" t="s">
        <v>30907</v>
      </c>
      <c r="H14719" t="s">
        <v>30915</v>
      </c>
      <c r="I14719" t="s">
        <v>30919</v>
      </c>
      <c r="J14719" t="s">
        <v>32808</v>
      </c>
      <c r="K14719" t="s">
        <v>40508</v>
      </c>
      <c r="M14719" t="s">
        <v>44568</v>
      </c>
      <c r="N14719" t="s">
        <v>44759</v>
      </c>
      <c r="O14719" t="s">
        <v>44760</v>
      </c>
      <c r="Q14719">
        <v>7</v>
      </c>
      <c r="R14719" t="s">
        <v>44780</v>
      </c>
      <c r="S14719" t="s">
        <v>46317</v>
      </c>
      <c r="T14719" t="s">
        <v>46383</v>
      </c>
      <c r="U14719" t="s">
        <v>58931</v>
      </c>
      <c r="V14719" t="s">
        <v>59226</v>
      </c>
      <c r="W14719" t="s">
        <v>44568</v>
      </c>
      <c r="X14719" t="s">
        <v>44781</v>
      </c>
    </row>
    <row r="14720" spans="1:24">
      <c r="A14720">
        <f>HYPERLINK("https://www.philgeps.gov.ph/GEPSNONPILOT/Tender/SplashBidNoticeAbstractUI.aspx?menuIndex=3&amp;refID=7098636&amp;Result=3","7098636")</f>
        <v>0</v>
      </c>
      <c r="B14720" t="s">
        <v>3645</v>
      </c>
      <c r="C14720" t="s">
        <v>17770</v>
      </c>
      <c r="D14720" t="s">
        <v>17977</v>
      </c>
      <c r="E14720" t="s">
        <v>27379</v>
      </c>
      <c r="F14720" t="s">
        <v>30900</v>
      </c>
      <c r="G14720" t="s">
        <v>30907</v>
      </c>
      <c r="H14720" t="s">
        <v>30916</v>
      </c>
      <c r="I14720" t="s">
        <v>5830</v>
      </c>
      <c r="J14720" t="s">
        <v>40154</v>
      </c>
      <c r="K14720" t="s">
        <v>40286</v>
      </c>
      <c r="M14720" t="s">
        <v>44586</v>
      </c>
      <c r="N14720" t="s">
        <v>44759</v>
      </c>
      <c r="O14720" t="s">
        <v>44760</v>
      </c>
      <c r="Q14720">
        <v>14</v>
      </c>
      <c r="R14720" t="s">
        <v>44781</v>
      </c>
      <c r="S14720" t="s">
        <v>46318</v>
      </c>
      <c r="T14720" t="s">
        <v>46403</v>
      </c>
      <c r="U14720" t="s">
        <v>58932</v>
      </c>
      <c r="V14720" t="s">
        <v>60652</v>
      </c>
      <c r="W14720" t="s">
        <v>44586</v>
      </c>
      <c r="X14720" t="s">
        <v>44788</v>
      </c>
    </row>
    <row r="14721" spans="1:24">
      <c r="A14721">
        <f>HYPERLINK("https://www.philgeps.gov.ph/GEPSNONPILOT/Tender/SplashBidNoticeAbstractUI.aspx?menuIndex=3&amp;refID=7115567&amp;Result=3","7115567")</f>
        <v>0</v>
      </c>
      <c r="B14721" t="s">
        <v>3492</v>
      </c>
      <c r="C14721" t="s">
        <v>16529</v>
      </c>
      <c r="D14721" t="s">
        <v>17980</v>
      </c>
      <c r="E14721" t="s">
        <v>30745</v>
      </c>
      <c r="F14721" t="s">
        <v>30900</v>
      </c>
      <c r="G14721" t="s">
        <v>30907</v>
      </c>
      <c r="H14721" t="s">
        <v>30915</v>
      </c>
      <c r="I14721" t="s">
        <v>8123</v>
      </c>
      <c r="J14721" t="s">
        <v>40155</v>
      </c>
      <c r="K14721" t="s">
        <v>40284</v>
      </c>
      <c r="M14721" t="s">
        <v>44393</v>
      </c>
      <c r="N14721" t="s">
        <v>44759</v>
      </c>
      <c r="O14721" t="s">
        <v>44760</v>
      </c>
      <c r="P14721">
        <v>0</v>
      </c>
      <c r="Q14721">
        <v>1</v>
      </c>
      <c r="R14721" t="s">
        <v>44780</v>
      </c>
      <c r="S14721" t="s">
        <v>45683</v>
      </c>
      <c r="T14721" t="s">
        <v>46429</v>
      </c>
      <c r="U14721" t="s">
        <v>58933</v>
      </c>
      <c r="W14721" t="s">
        <v>44393</v>
      </c>
      <c r="X14721" t="s">
        <v>44781</v>
      </c>
    </row>
    <row r="14722" spans="1:24">
      <c r="A14722">
        <f>HYPERLINK("https://www.philgeps.gov.ph/GEPSNONPILOT/Tender/SplashBidNoticeAbstractUI.aspx?menuIndex=3&amp;refID=7115888&amp;Result=3","7115888")</f>
        <v>0</v>
      </c>
      <c r="B14722" t="s">
        <v>3748</v>
      </c>
      <c r="C14722" t="s">
        <v>17771</v>
      </c>
      <c r="D14722" t="s">
        <v>17993</v>
      </c>
      <c r="E14722" t="s">
        <v>30746</v>
      </c>
      <c r="F14722" t="s">
        <v>30900</v>
      </c>
      <c r="G14722" t="s">
        <v>30907</v>
      </c>
      <c r="H14722" t="s">
        <v>30915</v>
      </c>
      <c r="I14722" t="s">
        <v>30919</v>
      </c>
      <c r="J14722" t="s">
        <v>35325</v>
      </c>
      <c r="K14722" t="s">
        <v>40283</v>
      </c>
      <c r="M14722" t="s">
        <v>44736</v>
      </c>
      <c r="N14722" t="s">
        <v>44759</v>
      </c>
      <c r="O14722" t="s">
        <v>44760</v>
      </c>
      <c r="P14722">
        <v>0</v>
      </c>
      <c r="Q14722">
        <v>1</v>
      </c>
      <c r="R14722" t="s">
        <v>44780</v>
      </c>
      <c r="S14722" t="s">
        <v>45683</v>
      </c>
      <c r="T14722" t="s">
        <v>46414</v>
      </c>
      <c r="U14722" t="s">
        <v>58934</v>
      </c>
      <c r="W14722" t="s">
        <v>44736</v>
      </c>
      <c r="X14722" t="s">
        <v>44781</v>
      </c>
    </row>
    <row r="14723" spans="1:24">
      <c r="A14723">
        <f>HYPERLINK("https://www.philgeps.gov.ph/GEPSNONPILOT/Tender/SplashBidNoticeAbstractUI.aspx?menuIndex=3&amp;refID=7115562&amp;Result=3","7115562")</f>
        <v>0</v>
      </c>
      <c r="B14723" t="s">
        <v>223</v>
      </c>
      <c r="C14723" t="s">
        <v>17772</v>
      </c>
      <c r="D14723" t="s">
        <v>18002</v>
      </c>
      <c r="E14723" t="s">
        <v>30747</v>
      </c>
      <c r="F14723" t="s">
        <v>30900</v>
      </c>
      <c r="G14723" t="s">
        <v>30910</v>
      </c>
      <c r="H14723" t="s">
        <v>30916</v>
      </c>
      <c r="I14723" t="s">
        <v>30924</v>
      </c>
      <c r="J14723" t="s">
        <v>32778</v>
      </c>
      <c r="K14723" t="s">
        <v>40289</v>
      </c>
      <c r="M14723" t="s">
        <v>40770</v>
      </c>
      <c r="N14723" t="s">
        <v>44759</v>
      </c>
      <c r="O14723" t="s">
        <v>44760</v>
      </c>
      <c r="Q14723">
        <v>7</v>
      </c>
      <c r="R14723" t="s">
        <v>44780</v>
      </c>
      <c r="S14723" t="s">
        <v>46319</v>
      </c>
      <c r="T14723" t="s">
        <v>46409</v>
      </c>
      <c r="U14723" t="s">
        <v>47286</v>
      </c>
      <c r="W14723" t="s">
        <v>40770</v>
      </c>
      <c r="X14723" t="s">
        <v>44781</v>
      </c>
    </row>
    <row r="14724" spans="1:24">
      <c r="A14724">
        <f>HYPERLINK("https://www.philgeps.gov.ph/GEPSNONPILOT/Tender/SplashBidNoticeAbstractUI.aspx?menuIndex=3&amp;refID=7115415&amp;Result=3","7115415")</f>
        <v>0</v>
      </c>
      <c r="B14724" t="s">
        <v>2167</v>
      </c>
      <c r="C14724" t="s">
        <v>17773</v>
      </c>
      <c r="D14724" t="s">
        <v>17960</v>
      </c>
      <c r="E14724" t="s">
        <v>30748</v>
      </c>
      <c r="F14724" t="s">
        <v>30900</v>
      </c>
      <c r="G14724" t="s">
        <v>30907</v>
      </c>
      <c r="H14724" t="s">
        <v>30916</v>
      </c>
      <c r="I14724" t="s">
        <v>8123</v>
      </c>
      <c r="J14724" t="s">
        <v>40156</v>
      </c>
      <c r="K14724" t="s">
        <v>40283</v>
      </c>
      <c r="M14724" t="s">
        <v>42872</v>
      </c>
      <c r="N14724" t="s">
        <v>44759</v>
      </c>
      <c r="O14724" t="s">
        <v>44760</v>
      </c>
      <c r="P14724">
        <v>0</v>
      </c>
      <c r="Q14724">
        <v>0</v>
      </c>
      <c r="R14724" t="s">
        <v>44780</v>
      </c>
      <c r="S14724" t="s">
        <v>45683</v>
      </c>
      <c r="T14724" t="s">
        <v>46581</v>
      </c>
      <c r="U14724" t="s">
        <v>50679</v>
      </c>
      <c r="W14724" t="s">
        <v>42872</v>
      </c>
      <c r="X14724" t="s">
        <v>44781</v>
      </c>
    </row>
    <row r="14725" spans="1:24">
      <c r="A14725">
        <f>HYPERLINK("https://www.philgeps.gov.ph/GEPSNONPILOT/Tender/SplashBidNoticeAbstractUI.aspx?menuIndex=3&amp;refID=7115429&amp;Result=3","7115429")</f>
        <v>0</v>
      </c>
      <c r="B14725" t="s">
        <v>56</v>
      </c>
      <c r="C14725" t="s">
        <v>17774</v>
      </c>
      <c r="D14725" t="s">
        <v>17952</v>
      </c>
      <c r="E14725" t="s">
        <v>30749</v>
      </c>
      <c r="F14725" t="s">
        <v>30900</v>
      </c>
      <c r="G14725" t="s">
        <v>30907</v>
      </c>
      <c r="H14725" t="s">
        <v>30915</v>
      </c>
      <c r="I14725" t="s">
        <v>30919</v>
      </c>
      <c r="J14725" t="s">
        <v>32616</v>
      </c>
      <c r="K14725" t="s">
        <v>40404</v>
      </c>
      <c r="M14725" t="s">
        <v>44568</v>
      </c>
      <c r="N14725" t="s">
        <v>44759</v>
      </c>
      <c r="O14725" t="s">
        <v>44760</v>
      </c>
      <c r="Q14725">
        <v>2</v>
      </c>
      <c r="R14725" t="s">
        <v>44780</v>
      </c>
      <c r="S14725" t="s">
        <v>46320</v>
      </c>
      <c r="T14725" t="s">
        <v>46383</v>
      </c>
      <c r="U14725" t="s">
        <v>57925</v>
      </c>
      <c r="V14725" t="s">
        <v>59226</v>
      </c>
      <c r="W14725" t="s">
        <v>44568</v>
      </c>
      <c r="X14725" t="s">
        <v>44781</v>
      </c>
    </row>
    <row r="14726" spans="1:24">
      <c r="A14726">
        <f>HYPERLINK("https://www.philgeps.gov.ph/GEPSNONPILOT/Tender/SplashBidNoticeAbstractUI.aspx?menuIndex=3&amp;refID=7115476&amp;Result=3","7115476")</f>
        <v>0</v>
      </c>
      <c r="B14726" t="s">
        <v>169</v>
      </c>
      <c r="C14726" t="s">
        <v>17775</v>
      </c>
      <c r="D14726" t="s">
        <v>17987</v>
      </c>
      <c r="E14726" t="s">
        <v>30750</v>
      </c>
      <c r="F14726" t="s">
        <v>30900</v>
      </c>
      <c r="G14726" t="s">
        <v>30907</v>
      </c>
      <c r="H14726" t="s">
        <v>30916</v>
      </c>
      <c r="I14726" t="s">
        <v>30933</v>
      </c>
      <c r="J14726" t="s">
        <v>31297</v>
      </c>
      <c r="K14726" t="s">
        <v>40289</v>
      </c>
      <c r="M14726" t="s">
        <v>40716</v>
      </c>
      <c r="N14726" t="s">
        <v>44759</v>
      </c>
      <c r="O14726" t="s">
        <v>44760</v>
      </c>
      <c r="Q14726">
        <v>6</v>
      </c>
      <c r="R14726" t="s">
        <v>44780</v>
      </c>
      <c r="S14726" t="s">
        <v>46321</v>
      </c>
      <c r="T14726" t="s">
        <v>46581</v>
      </c>
      <c r="U14726" t="s">
        <v>58935</v>
      </c>
      <c r="W14726" t="s">
        <v>40716</v>
      </c>
      <c r="X14726" t="s">
        <v>44781</v>
      </c>
    </row>
    <row r="14727" spans="1:24">
      <c r="A14727">
        <f>HYPERLINK("https://www.philgeps.gov.ph/GEPSNONPILOT/Tender/SplashBidNoticeAbstractUI.aspx?menuIndex=3&amp;refID=7115470&amp;Result=3","7115470")</f>
        <v>0</v>
      </c>
      <c r="B14727" t="s">
        <v>3749</v>
      </c>
      <c r="C14727" t="s">
        <v>17776</v>
      </c>
      <c r="D14727" t="s">
        <v>17992</v>
      </c>
      <c r="E14727" t="s">
        <v>30751</v>
      </c>
      <c r="F14727" t="s">
        <v>30900</v>
      </c>
      <c r="G14727" t="s">
        <v>30907</v>
      </c>
      <c r="H14727" t="s">
        <v>30916</v>
      </c>
      <c r="I14727" t="s">
        <v>8123</v>
      </c>
      <c r="J14727" t="s">
        <v>40157</v>
      </c>
      <c r="K14727" t="s">
        <v>40283</v>
      </c>
      <c r="M14727" t="s">
        <v>44737</v>
      </c>
      <c r="N14727" t="s">
        <v>44759</v>
      </c>
      <c r="O14727" t="s">
        <v>44760</v>
      </c>
      <c r="P14727">
        <v>0</v>
      </c>
      <c r="Q14727">
        <v>4</v>
      </c>
      <c r="R14727" t="s">
        <v>44780</v>
      </c>
      <c r="S14727" t="s">
        <v>45683</v>
      </c>
      <c r="T14727" t="s">
        <v>46533</v>
      </c>
      <c r="U14727" t="s">
        <v>58936</v>
      </c>
      <c r="V14727" t="s">
        <v>60795</v>
      </c>
      <c r="W14727" t="s">
        <v>44737</v>
      </c>
      <c r="X14727" t="s">
        <v>44781</v>
      </c>
    </row>
    <row r="14728" spans="1:24">
      <c r="A14728">
        <f>HYPERLINK("https://www.philgeps.gov.ph/GEPSNONPILOT/Tender/SplashBidNoticeAbstractUI.aspx?menuIndex=3&amp;refID=7115180&amp;Result=3","7115180")</f>
        <v>0</v>
      </c>
      <c r="B14728" t="s">
        <v>2408</v>
      </c>
      <c r="C14728" t="s">
        <v>17777</v>
      </c>
      <c r="D14728" t="s">
        <v>18032</v>
      </c>
      <c r="E14728" t="s">
        <v>30752</v>
      </c>
      <c r="F14728" t="s">
        <v>30900</v>
      </c>
      <c r="G14728" t="s">
        <v>30907</v>
      </c>
      <c r="H14728" t="s">
        <v>30916</v>
      </c>
      <c r="I14728" t="s">
        <v>30919</v>
      </c>
      <c r="J14728" t="s">
        <v>40158</v>
      </c>
      <c r="K14728" t="s">
        <v>40304</v>
      </c>
      <c r="M14728" t="s">
        <v>43135</v>
      </c>
      <c r="N14728" t="s">
        <v>44759</v>
      </c>
      <c r="O14728" t="s">
        <v>44760</v>
      </c>
      <c r="Q14728">
        <v>2</v>
      </c>
      <c r="R14728" t="s">
        <v>44780</v>
      </c>
      <c r="S14728" t="s">
        <v>46322</v>
      </c>
      <c r="T14728" t="s">
        <v>46399</v>
      </c>
      <c r="U14728" t="s">
        <v>58937</v>
      </c>
      <c r="W14728" t="s">
        <v>43135</v>
      </c>
      <c r="X14728" t="s">
        <v>44781</v>
      </c>
    </row>
    <row r="14729" spans="1:24">
      <c r="A14729">
        <f>HYPERLINK("https://www.philgeps.gov.ph/GEPSNONPILOT/Tender/SplashBidNoticeAbstractUI.aspx?menuIndex=3&amp;refID=7115187&amp;Result=3","7115187")</f>
        <v>0</v>
      </c>
      <c r="B14729" t="s">
        <v>3628</v>
      </c>
      <c r="C14729" t="s">
        <v>17778</v>
      </c>
      <c r="D14729" t="s">
        <v>17991</v>
      </c>
      <c r="E14729" t="s">
        <v>30753</v>
      </c>
      <c r="F14729" t="s">
        <v>30901</v>
      </c>
      <c r="G14729" t="s">
        <v>30913</v>
      </c>
      <c r="H14729" t="s">
        <v>30916</v>
      </c>
      <c r="I14729" t="s">
        <v>30949</v>
      </c>
      <c r="J14729" t="s">
        <v>40159</v>
      </c>
      <c r="K14729" t="s">
        <v>40293</v>
      </c>
      <c r="M14729" t="s">
        <v>44561</v>
      </c>
      <c r="N14729" t="s">
        <v>44759</v>
      </c>
      <c r="O14729" t="s">
        <v>44760</v>
      </c>
      <c r="P14729">
        <v>0</v>
      </c>
      <c r="Q14729">
        <v>2</v>
      </c>
      <c r="R14729" t="s">
        <v>44780</v>
      </c>
      <c r="S14729" t="s">
        <v>45683</v>
      </c>
      <c r="T14729" t="s">
        <v>46454</v>
      </c>
      <c r="U14729" t="s">
        <v>50171</v>
      </c>
      <c r="V14729" t="s">
        <v>60796</v>
      </c>
      <c r="W14729" t="s">
        <v>44561</v>
      </c>
      <c r="X14729" t="s">
        <v>44781</v>
      </c>
    </row>
    <row r="14730" spans="1:24">
      <c r="A14730">
        <f>HYPERLINK("https://www.philgeps.gov.ph/GEPSNONPILOT/Tender/SplashBidNoticeAbstractUI.aspx?menuIndex=3&amp;refID=7114916&amp;Result=3","7114916")</f>
        <v>0</v>
      </c>
      <c r="B14730" t="s">
        <v>1929</v>
      </c>
      <c r="C14730" t="s">
        <v>17779</v>
      </c>
      <c r="D14730" t="s">
        <v>17985</v>
      </c>
      <c r="E14730" t="s">
        <v>30754</v>
      </c>
      <c r="F14730" t="s">
        <v>30900</v>
      </c>
      <c r="G14730" t="s">
        <v>30907</v>
      </c>
      <c r="H14730" t="s">
        <v>30916</v>
      </c>
      <c r="I14730" t="s">
        <v>10879</v>
      </c>
      <c r="J14730" t="s">
        <v>32967</v>
      </c>
      <c r="K14730" t="s">
        <v>40292</v>
      </c>
      <c r="M14730" t="s">
        <v>42610</v>
      </c>
      <c r="N14730" t="s">
        <v>44759</v>
      </c>
      <c r="O14730" t="s">
        <v>44760</v>
      </c>
      <c r="P14730">
        <v>0</v>
      </c>
      <c r="Q14730">
        <v>4</v>
      </c>
      <c r="R14730" t="s">
        <v>44780</v>
      </c>
      <c r="S14730" t="s">
        <v>45683</v>
      </c>
      <c r="T14730" t="s">
        <v>46400</v>
      </c>
      <c r="U14730" t="s">
        <v>58938</v>
      </c>
      <c r="W14730" t="s">
        <v>42610</v>
      </c>
      <c r="X14730" t="s">
        <v>44781</v>
      </c>
    </row>
    <row r="14731" spans="1:24">
      <c r="A14731">
        <f>HYPERLINK("https://www.philgeps.gov.ph/GEPSNONPILOT/Tender/SplashBidNoticeAbstractUI.aspx?menuIndex=3&amp;refID=7115166&amp;Result=3","7115166")</f>
        <v>0</v>
      </c>
      <c r="B14731" t="s">
        <v>499</v>
      </c>
      <c r="C14731" t="s">
        <v>17780</v>
      </c>
      <c r="D14731" t="s">
        <v>17978</v>
      </c>
      <c r="E14731" t="s">
        <v>30755</v>
      </c>
      <c r="F14731" t="s">
        <v>30900</v>
      </c>
      <c r="G14731" t="s">
        <v>30907</v>
      </c>
      <c r="H14731" t="s">
        <v>30916</v>
      </c>
      <c r="I14731" t="s">
        <v>10879</v>
      </c>
      <c r="J14731" t="s">
        <v>33420</v>
      </c>
      <c r="K14731" t="s">
        <v>40286</v>
      </c>
      <c r="M14731" t="s">
        <v>41058</v>
      </c>
      <c r="N14731" t="s">
        <v>44759</v>
      </c>
      <c r="O14731" t="s">
        <v>44760</v>
      </c>
      <c r="P14731">
        <v>0</v>
      </c>
      <c r="Q14731">
        <v>5</v>
      </c>
      <c r="R14731" t="s">
        <v>44780</v>
      </c>
      <c r="S14731" t="s">
        <v>45683</v>
      </c>
      <c r="T14731" t="s">
        <v>46403</v>
      </c>
      <c r="U14731" t="s">
        <v>58939</v>
      </c>
      <c r="W14731" t="s">
        <v>41058</v>
      </c>
      <c r="X14731" t="s">
        <v>44781</v>
      </c>
    </row>
    <row r="14732" spans="1:24">
      <c r="A14732">
        <f>HYPERLINK("https://www.philgeps.gov.ph/GEPSNONPILOT/Tender/SplashBidNoticeAbstractUI.aspx?menuIndex=3&amp;refID=7115186&amp;Result=3","7115186")</f>
        <v>0</v>
      </c>
      <c r="B14732" t="s">
        <v>1311</v>
      </c>
      <c r="C14732" t="s">
        <v>17781</v>
      </c>
      <c r="D14732" t="s">
        <v>17963</v>
      </c>
      <c r="E14732" t="s">
        <v>30756</v>
      </c>
      <c r="F14732" t="s">
        <v>30900</v>
      </c>
      <c r="G14732" t="s">
        <v>30907</v>
      </c>
      <c r="H14732" t="s">
        <v>30915</v>
      </c>
      <c r="I14732" t="s">
        <v>30919</v>
      </c>
      <c r="J14732" t="s">
        <v>31412</v>
      </c>
      <c r="K14732" t="s">
        <v>40292</v>
      </c>
      <c r="M14732" t="s">
        <v>41929</v>
      </c>
      <c r="N14732" t="s">
        <v>44759</v>
      </c>
      <c r="O14732" t="s">
        <v>44760</v>
      </c>
      <c r="P14732">
        <v>0</v>
      </c>
      <c r="Q14732">
        <v>1</v>
      </c>
      <c r="R14732" t="s">
        <v>44780</v>
      </c>
      <c r="S14732" t="s">
        <v>45683</v>
      </c>
      <c r="T14732" t="s">
        <v>46357</v>
      </c>
      <c r="U14732" t="s">
        <v>58940</v>
      </c>
      <c r="W14732" t="s">
        <v>41929</v>
      </c>
      <c r="X14732" t="s">
        <v>44781</v>
      </c>
    </row>
    <row r="14733" spans="1:24">
      <c r="A14733">
        <f>HYPERLINK("https://www.philgeps.gov.ph/GEPSNONPILOT/Tender/SplashBidNoticeAbstractUI.aspx?menuIndex=3&amp;refID=7114624&amp;Result=3","7114624")</f>
        <v>0</v>
      </c>
      <c r="B14733" t="s">
        <v>2050</v>
      </c>
      <c r="C14733" t="s">
        <v>17782</v>
      </c>
      <c r="D14733" t="s">
        <v>17952</v>
      </c>
      <c r="E14733" t="s">
        <v>30757</v>
      </c>
      <c r="F14733" t="s">
        <v>30900</v>
      </c>
      <c r="G14733" t="s">
        <v>30907</v>
      </c>
      <c r="H14733" t="s">
        <v>30916</v>
      </c>
      <c r="I14733" t="s">
        <v>30924</v>
      </c>
      <c r="J14733" t="s">
        <v>31297</v>
      </c>
      <c r="K14733" t="s">
        <v>40280</v>
      </c>
      <c r="M14733" t="s">
        <v>44562</v>
      </c>
      <c r="N14733" t="s">
        <v>44759</v>
      </c>
      <c r="O14733" t="s">
        <v>44760</v>
      </c>
      <c r="P14733">
        <v>0</v>
      </c>
      <c r="Q14733">
        <v>8</v>
      </c>
      <c r="R14733" t="s">
        <v>44780</v>
      </c>
      <c r="S14733" t="s">
        <v>45683</v>
      </c>
      <c r="T14733" t="s">
        <v>46683</v>
      </c>
      <c r="U14733" t="s">
        <v>58941</v>
      </c>
      <c r="W14733" t="s">
        <v>44562</v>
      </c>
      <c r="X14733" t="s">
        <v>44781</v>
      </c>
    </row>
    <row r="14734" spans="1:24">
      <c r="A14734">
        <f>HYPERLINK("https://www.philgeps.gov.ph/GEPSNONPILOT/Tender/SplashBidNoticeAbstractUI.aspx?menuIndex=3&amp;refID=7114619&amp;Result=3","7114619")</f>
        <v>0</v>
      </c>
      <c r="B14734" t="s">
        <v>892</v>
      </c>
      <c r="C14734" t="s">
        <v>17783</v>
      </c>
      <c r="D14734" t="s">
        <v>17978</v>
      </c>
      <c r="E14734" t="s">
        <v>30758</v>
      </c>
      <c r="F14734" t="s">
        <v>30900</v>
      </c>
      <c r="G14734" t="s">
        <v>30907</v>
      </c>
      <c r="H14734" t="s">
        <v>30916</v>
      </c>
      <c r="I14734" t="s">
        <v>4545</v>
      </c>
      <c r="J14734" t="s">
        <v>31092</v>
      </c>
      <c r="K14734" t="s">
        <v>40284</v>
      </c>
      <c r="M14734" t="s">
        <v>41466</v>
      </c>
      <c r="N14734" t="s">
        <v>44759</v>
      </c>
      <c r="O14734" t="s">
        <v>44760</v>
      </c>
      <c r="P14734">
        <v>0</v>
      </c>
      <c r="Q14734">
        <v>1</v>
      </c>
      <c r="R14734" t="s">
        <v>44780</v>
      </c>
      <c r="S14734" t="s">
        <v>45683</v>
      </c>
      <c r="T14734" t="s">
        <v>46421</v>
      </c>
      <c r="U14734" t="s">
        <v>58942</v>
      </c>
      <c r="W14734" t="s">
        <v>41466</v>
      </c>
      <c r="X14734" t="s">
        <v>44781</v>
      </c>
    </row>
    <row r="14735" spans="1:24">
      <c r="A14735">
        <f>HYPERLINK("https://www.philgeps.gov.ph/GEPSNONPILOT/Tender/SplashBidNoticeAbstractUI.aspx?menuIndex=3&amp;refID=7115168&amp;Result=3","7115168")</f>
        <v>0</v>
      </c>
      <c r="B14735" t="s">
        <v>84</v>
      </c>
      <c r="C14735" t="s">
        <v>17784</v>
      </c>
      <c r="D14735" t="s">
        <v>17963</v>
      </c>
      <c r="E14735" t="s">
        <v>30759</v>
      </c>
      <c r="F14735" t="s">
        <v>30900</v>
      </c>
      <c r="G14735" t="s">
        <v>30907</v>
      </c>
      <c r="H14735" t="s">
        <v>30916</v>
      </c>
      <c r="I14735" t="s">
        <v>30955</v>
      </c>
      <c r="J14735" t="s">
        <v>40160</v>
      </c>
      <c r="K14735" t="s">
        <v>40286</v>
      </c>
      <c r="M14735" t="s">
        <v>44565</v>
      </c>
      <c r="N14735" t="s">
        <v>44759</v>
      </c>
      <c r="O14735" t="s">
        <v>44760</v>
      </c>
      <c r="P14735">
        <v>0</v>
      </c>
      <c r="Q14735">
        <v>6</v>
      </c>
      <c r="R14735" t="s">
        <v>44780</v>
      </c>
      <c r="S14735" t="s">
        <v>45683</v>
      </c>
      <c r="T14735" t="s">
        <v>46581</v>
      </c>
      <c r="U14735" t="s">
        <v>58943</v>
      </c>
      <c r="V14735" t="s">
        <v>60632</v>
      </c>
      <c r="W14735" t="s">
        <v>44565</v>
      </c>
      <c r="X14735" t="s">
        <v>44781</v>
      </c>
    </row>
    <row r="14736" spans="1:24">
      <c r="A14736">
        <f>HYPERLINK("https://www.philgeps.gov.ph/GEPSNONPILOT/Tender/SplashBidNoticeAbstractUI.aspx?menuIndex=3&amp;refID=7115425&amp;Result=3","7115425")</f>
        <v>0</v>
      </c>
      <c r="B14736" t="s">
        <v>2862</v>
      </c>
      <c r="C14736" t="s">
        <v>17785</v>
      </c>
      <c r="D14736" t="s">
        <v>18038</v>
      </c>
      <c r="E14736" t="s">
        <v>30760</v>
      </c>
      <c r="F14736" t="s">
        <v>30900</v>
      </c>
      <c r="G14736" t="s">
        <v>30907</v>
      </c>
      <c r="H14736" t="s">
        <v>30917</v>
      </c>
      <c r="I14736" t="s">
        <v>31016</v>
      </c>
      <c r="J14736" t="s">
        <v>40161</v>
      </c>
      <c r="K14736" t="s">
        <v>40332</v>
      </c>
      <c r="M14736" t="s">
        <v>44738</v>
      </c>
      <c r="N14736" t="s">
        <v>44759</v>
      </c>
      <c r="O14736" t="s">
        <v>44760</v>
      </c>
      <c r="Q14736">
        <v>7</v>
      </c>
      <c r="R14736" t="s">
        <v>44780</v>
      </c>
      <c r="S14736" t="s">
        <v>46323</v>
      </c>
      <c r="T14736" t="s">
        <v>46465</v>
      </c>
      <c r="U14736" t="s">
        <v>58944</v>
      </c>
      <c r="V14736" t="s">
        <v>60797</v>
      </c>
      <c r="W14736" t="s">
        <v>44738</v>
      </c>
      <c r="X14736" t="s">
        <v>44781</v>
      </c>
    </row>
    <row r="14737" spans="1:24">
      <c r="A14737">
        <f>HYPERLINK("https://www.philgeps.gov.ph/GEPSNONPILOT/Tender/SplashBidNoticeAbstractUI.aspx?menuIndex=3&amp;refID=7114403&amp;Result=3","7114403")</f>
        <v>0</v>
      </c>
      <c r="B14737" t="s">
        <v>3624</v>
      </c>
      <c r="C14737" t="s">
        <v>17786</v>
      </c>
      <c r="D14737" t="s">
        <v>18011</v>
      </c>
      <c r="E14737" t="s">
        <v>30761</v>
      </c>
      <c r="F14737" t="s">
        <v>30899</v>
      </c>
      <c r="G14737" t="s">
        <v>30907</v>
      </c>
      <c r="H14737" t="s">
        <v>30916</v>
      </c>
      <c r="I14737" t="s">
        <v>8123</v>
      </c>
      <c r="J14737" t="s">
        <v>32343</v>
      </c>
      <c r="K14737" t="s">
        <v>40283</v>
      </c>
      <c r="M14737" t="s">
        <v>44555</v>
      </c>
      <c r="N14737" t="s">
        <v>44759</v>
      </c>
      <c r="O14737" t="s">
        <v>44760</v>
      </c>
      <c r="P14737">
        <v>0</v>
      </c>
      <c r="Q14737">
        <v>0</v>
      </c>
      <c r="R14737" t="s">
        <v>44780</v>
      </c>
      <c r="S14737" t="s">
        <v>45683</v>
      </c>
      <c r="T14737" t="s">
        <v>46625</v>
      </c>
      <c r="U14737" t="s">
        <v>58945</v>
      </c>
      <c r="W14737" t="s">
        <v>44555</v>
      </c>
      <c r="X14737" t="s">
        <v>44781</v>
      </c>
    </row>
    <row r="14738" spans="1:24">
      <c r="A14738">
        <f>HYPERLINK("https://www.philgeps.gov.ph/GEPSNONPILOT/Tender/SplashBidNoticeAbstractUI.aspx?menuIndex=3&amp;refID=7114609&amp;Result=3","7114609")</f>
        <v>0</v>
      </c>
      <c r="B14738" t="s">
        <v>350</v>
      </c>
      <c r="C14738" t="s">
        <v>17787</v>
      </c>
      <c r="D14738" t="s">
        <v>18025</v>
      </c>
      <c r="E14738" t="s">
        <v>30762</v>
      </c>
      <c r="F14738" t="s">
        <v>30900</v>
      </c>
      <c r="G14738" t="s">
        <v>30907</v>
      </c>
      <c r="H14738" t="s">
        <v>30915</v>
      </c>
      <c r="I14738" t="s">
        <v>30919</v>
      </c>
      <c r="J14738" t="s">
        <v>40162</v>
      </c>
      <c r="K14738" t="s">
        <v>40292</v>
      </c>
      <c r="M14738" t="s">
        <v>41465</v>
      </c>
      <c r="N14738" t="s">
        <v>44759</v>
      </c>
      <c r="O14738" t="s">
        <v>44760</v>
      </c>
      <c r="P14738">
        <v>0</v>
      </c>
      <c r="Q14738">
        <v>57</v>
      </c>
      <c r="R14738" t="s">
        <v>44780</v>
      </c>
      <c r="S14738" t="s">
        <v>45683</v>
      </c>
      <c r="T14738" t="s">
        <v>46404</v>
      </c>
      <c r="U14738" t="s">
        <v>47499</v>
      </c>
      <c r="V14738" t="s">
        <v>60625</v>
      </c>
      <c r="W14738" t="s">
        <v>60826</v>
      </c>
      <c r="X14738" t="s">
        <v>44781</v>
      </c>
    </row>
    <row r="14739" spans="1:24">
      <c r="A14739">
        <f>HYPERLINK("https://www.philgeps.gov.ph/GEPSNONPILOT/Tender/SplashBidNoticeAbstractUI.aspx?menuIndex=3&amp;refID=7114383&amp;Result=3","7114383")</f>
        <v>0</v>
      </c>
      <c r="B14739" t="s">
        <v>708</v>
      </c>
      <c r="C14739" t="s">
        <v>17788</v>
      </c>
      <c r="E14739" t="s">
        <v>30763</v>
      </c>
      <c r="F14739" t="s">
        <v>30900</v>
      </c>
      <c r="G14739" t="s">
        <v>30907</v>
      </c>
      <c r="H14739" t="s">
        <v>30916</v>
      </c>
      <c r="I14739" t="s">
        <v>30923</v>
      </c>
      <c r="J14739" t="s">
        <v>40163</v>
      </c>
      <c r="K14739" t="s">
        <v>40289</v>
      </c>
      <c r="M14739" t="s">
        <v>44208</v>
      </c>
      <c r="N14739" t="s">
        <v>44759</v>
      </c>
      <c r="O14739" t="s">
        <v>44760</v>
      </c>
      <c r="P14739">
        <v>0</v>
      </c>
      <c r="Q14739">
        <v>5</v>
      </c>
      <c r="R14739" t="s">
        <v>44780</v>
      </c>
      <c r="S14739" t="s">
        <v>45683</v>
      </c>
      <c r="T14739" t="s">
        <v>46625</v>
      </c>
      <c r="U14739" t="s">
        <v>58946</v>
      </c>
      <c r="V14739" t="s">
        <v>60798</v>
      </c>
      <c r="W14739" t="s">
        <v>44208</v>
      </c>
      <c r="X14739" t="s">
        <v>44781</v>
      </c>
    </row>
    <row r="14740" spans="1:24">
      <c r="A14740">
        <f>HYPERLINK("https://www.philgeps.gov.ph/GEPSNONPILOT/Tender/SplashBidNoticeAbstractUI.aspx?menuIndex=3&amp;refID=7114455&amp;Result=3","7114455")</f>
        <v>0</v>
      </c>
      <c r="B14740" t="s">
        <v>846</v>
      </c>
      <c r="C14740" t="s">
        <v>17789</v>
      </c>
      <c r="D14740" t="s">
        <v>17980</v>
      </c>
      <c r="E14740" t="s">
        <v>30764</v>
      </c>
      <c r="F14740" t="s">
        <v>30900</v>
      </c>
      <c r="G14740" t="s">
        <v>30907</v>
      </c>
      <c r="H14740" t="s">
        <v>30915</v>
      </c>
      <c r="I14740" t="s">
        <v>30919</v>
      </c>
      <c r="J14740" t="s">
        <v>40164</v>
      </c>
      <c r="K14740" t="s">
        <v>40280</v>
      </c>
      <c r="M14740" t="s">
        <v>41419</v>
      </c>
      <c r="N14740" t="s">
        <v>44759</v>
      </c>
      <c r="O14740" t="s">
        <v>44760</v>
      </c>
      <c r="Q14740">
        <v>3</v>
      </c>
      <c r="R14740" t="s">
        <v>44780</v>
      </c>
      <c r="S14740" t="s">
        <v>45564</v>
      </c>
      <c r="T14740" t="s">
        <v>46457</v>
      </c>
      <c r="U14740" t="s">
        <v>58947</v>
      </c>
      <c r="W14740" t="s">
        <v>41419</v>
      </c>
      <c r="X14740" t="s">
        <v>44781</v>
      </c>
    </row>
    <row r="14741" spans="1:24">
      <c r="A14741">
        <f>HYPERLINK("https://www.philgeps.gov.ph/GEPSNONPILOT/Tender/SplashBidNoticeAbstractUI.aspx?menuIndex=3&amp;refID=7105166&amp;Result=3","7105166")</f>
        <v>0</v>
      </c>
      <c r="B14741" t="s">
        <v>574</v>
      </c>
      <c r="C14741" t="s">
        <v>17790</v>
      </c>
      <c r="D14741" t="s">
        <v>17951</v>
      </c>
      <c r="E14741" t="s">
        <v>30765</v>
      </c>
      <c r="F14741" t="s">
        <v>30900</v>
      </c>
      <c r="G14741" t="s">
        <v>30907</v>
      </c>
      <c r="H14741" t="s">
        <v>30916</v>
      </c>
      <c r="I14741" t="s">
        <v>10847</v>
      </c>
      <c r="J14741" t="s">
        <v>40165</v>
      </c>
      <c r="K14741" t="s">
        <v>40284</v>
      </c>
      <c r="M14741" t="s">
        <v>41135</v>
      </c>
      <c r="N14741" t="s">
        <v>44759</v>
      </c>
      <c r="O14741" t="s">
        <v>44760</v>
      </c>
      <c r="Q14741">
        <v>2</v>
      </c>
      <c r="R14741" t="s">
        <v>44781</v>
      </c>
      <c r="S14741" t="s">
        <v>46305</v>
      </c>
      <c r="T14741" t="s">
        <v>46486</v>
      </c>
      <c r="U14741" t="s">
        <v>58948</v>
      </c>
      <c r="W14741" t="s">
        <v>41135</v>
      </c>
      <c r="X14741" t="s">
        <v>44784</v>
      </c>
    </row>
    <row r="14742" spans="1:24">
      <c r="A14742">
        <f>HYPERLINK("https://www.philgeps.gov.ph/GEPSNONPILOT/Tender/SplashBidNoticeAbstractUI.aspx?menuIndex=3&amp;refID=7114273&amp;Result=3","7114273")</f>
        <v>0</v>
      </c>
      <c r="B14742" t="s">
        <v>2808</v>
      </c>
      <c r="C14742" t="s">
        <v>17791</v>
      </c>
      <c r="D14742" t="s">
        <v>17957</v>
      </c>
      <c r="E14742" t="s">
        <v>30766</v>
      </c>
      <c r="F14742" t="s">
        <v>30900</v>
      </c>
      <c r="G14742" t="s">
        <v>30907</v>
      </c>
      <c r="H14742" t="s">
        <v>30916</v>
      </c>
      <c r="I14742" t="s">
        <v>4545</v>
      </c>
      <c r="J14742" t="s">
        <v>31139</v>
      </c>
      <c r="K14742" t="s">
        <v>40286</v>
      </c>
      <c r="M14742" t="s">
        <v>43593</v>
      </c>
      <c r="N14742" t="s">
        <v>44759</v>
      </c>
      <c r="O14742" t="s">
        <v>44760</v>
      </c>
      <c r="P14742">
        <v>0</v>
      </c>
      <c r="Q14742">
        <v>7</v>
      </c>
      <c r="R14742" t="s">
        <v>44780</v>
      </c>
      <c r="S14742" t="s">
        <v>45683</v>
      </c>
      <c r="T14742" t="s">
        <v>46533</v>
      </c>
      <c r="U14742" t="s">
        <v>58949</v>
      </c>
      <c r="W14742" t="s">
        <v>43593</v>
      </c>
      <c r="X14742" t="s">
        <v>44781</v>
      </c>
    </row>
    <row r="14743" spans="1:24">
      <c r="A14743">
        <f>HYPERLINK("https://www.philgeps.gov.ph/GEPSNONPILOT/Tender/SplashBidNoticeAbstractUI.aspx?menuIndex=3&amp;refID=7115465&amp;Result=3","7115465")</f>
        <v>0</v>
      </c>
      <c r="B14743" t="s">
        <v>56</v>
      </c>
      <c r="C14743" t="s">
        <v>17792</v>
      </c>
      <c r="D14743" t="s">
        <v>17952</v>
      </c>
      <c r="E14743" t="s">
        <v>30767</v>
      </c>
      <c r="F14743" t="s">
        <v>30900</v>
      </c>
      <c r="G14743" t="s">
        <v>30907</v>
      </c>
      <c r="H14743" t="s">
        <v>30915</v>
      </c>
      <c r="I14743" t="s">
        <v>30919</v>
      </c>
      <c r="J14743" t="s">
        <v>35651</v>
      </c>
      <c r="K14743" t="s">
        <v>40405</v>
      </c>
      <c r="M14743" t="s">
        <v>44568</v>
      </c>
      <c r="N14743" t="s">
        <v>44759</v>
      </c>
      <c r="O14743" t="s">
        <v>44760</v>
      </c>
      <c r="Q14743">
        <v>8</v>
      </c>
      <c r="R14743" t="s">
        <v>44780</v>
      </c>
      <c r="S14743" t="s">
        <v>46194</v>
      </c>
      <c r="T14743" t="s">
        <v>46383</v>
      </c>
      <c r="U14743" t="s">
        <v>58931</v>
      </c>
      <c r="V14743" t="s">
        <v>59226</v>
      </c>
      <c r="W14743" t="s">
        <v>44568</v>
      </c>
      <c r="X14743" t="s">
        <v>44781</v>
      </c>
    </row>
    <row r="14744" spans="1:24">
      <c r="A14744">
        <f>HYPERLINK("https://www.philgeps.gov.ph/GEPSNONPILOT/Tender/SplashBidNoticeAbstractUI.aspx?menuIndex=3&amp;refID=7114258&amp;Result=3","7114258")</f>
        <v>0</v>
      </c>
      <c r="B14744" t="s">
        <v>293</v>
      </c>
      <c r="C14744" t="s">
        <v>17793</v>
      </c>
      <c r="D14744" t="s">
        <v>18023</v>
      </c>
      <c r="E14744" t="s">
        <v>30768</v>
      </c>
      <c r="F14744" t="s">
        <v>30900</v>
      </c>
      <c r="G14744" t="s">
        <v>30907</v>
      </c>
      <c r="H14744" t="s">
        <v>30915</v>
      </c>
      <c r="I14744" t="s">
        <v>30919</v>
      </c>
      <c r="J14744" t="s">
        <v>40166</v>
      </c>
      <c r="K14744" t="s">
        <v>40386</v>
      </c>
      <c r="M14744" t="s">
        <v>40841</v>
      </c>
      <c r="N14744" t="s">
        <v>44759</v>
      </c>
      <c r="O14744" t="s">
        <v>44760</v>
      </c>
      <c r="P14744">
        <v>0</v>
      </c>
      <c r="Q14744">
        <v>0</v>
      </c>
      <c r="R14744" t="s">
        <v>44780</v>
      </c>
      <c r="S14744" t="s">
        <v>45683</v>
      </c>
      <c r="T14744" t="s">
        <v>46421</v>
      </c>
      <c r="U14744" t="s">
        <v>58950</v>
      </c>
      <c r="W14744" t="s">
        <v>40841</v>
      </c>
      <c r="X14744" t="s">
        <v>44781</v>
      </c>
    </row>
    <row r="14745" spans="1:24">
      <c r="A14745">
        <f>HYPERLINK("https://www.philgeps.gov.ph/GEPSNONPILOT/Tender/SplashBidNoticeAbstractUI.aspx?menuIndex=3&amp;refID=7114259&amp;Result=3","7114259")</f>
        <v>0</v>
      </c>
      <c r="B14745" t="s">
        <v>468</v>
      </c>
      <c r="C14745" t="s">
        <v>17794</v>
      </c>
      <c r="E14745" t="s">
        <v>30769</v>
      </c>
      <c r="F14745" t="s">
        <v>30900</v>
      </c>
      <c r="G14745" t="s">
        <v>30907</v>
      </c>
      <c r="H14745" t="s">
        <v>30915</v>
      </c>
      <c r="I14745" t="s">
        <v>30919</v>
      </c>
      <c r="J14745" t="s">
        <v>31152</v>
      </c>
      <c r="K14745" t="s">
        <v>40289</v>
      </c>
      <c r="M14745" t="s">
        <v>41026</v>
      </c>
      <c r="N14745" t="s">
        <v>44759</v>
      </c>
      <c r="O14745" t="s">
        <v>44760</v>
      </c>
      <c r="P14745">
        <v>0</v>
      </c>
      <c r="Q14745">
        <v>3</v>
      </c>
      <c r="R14745" t="s">
        <v>44780</v>
      </c>
      <c r="S14745" t="s">
        <v>45683</v>
      </c>
      <c r="T14745" t="s">
        <v>46662</v>
      </c>
      <c r="U14745" t="s">
        <v>58951</v>
      </c>
      <c r="V14745" t="s">
        <v>59226</v>
      </c>
      <c r="W14745" t="s">
        <v>41026</v>
      </c>
      <c r="X14745" t="s">
        <v>44781</v>
      </c>
    </row>
    <row r="14746" spans="1:24">
      <c r="A14746">
        <f>HYPERLINK("https://www.philgeps.gov.ph/GEPSNONPILOT/Tender/SplashBidNoticeAbstractUI.aspx?menuIndex=3&amp;refID=7114245&amp;Result=3","7114245")</f>
        <v>0</v>
      </c>
      <c r="B14746" t="s">
        <v>2808</v>
      </c>
      <c r="C14746" t="s">
        <v>17795</v>
      </c>
      <c r="D14746" t="s">
        <v>17957</v>
      </c>
      <c r="E14746" t="s">
        <v>30770</v>
      </c>
      <c r="F14746" t="s">
        <v>30900</v>
      </c>
      <c r="G14746" t="s">
        <v>30907</v>
      </c>
      <c r="H14746" t="s">
        <v>30916</v>
      </c>
      <c r="I14746" t="s">
        <v>4545</v>
      </c>
      <c r="J14746" t="s">
        <v>31412</v>
      </c>
      <c r="K14746" t="s">
        <v>40286</v>
      </c>
      <c r="M14746" t="s">
        <v>43593</v>
      </c>
      <c r="N14746" t="s">
        <v>44759</v>
      </c>
      <c r="O14746" t="s">
        <v>44760</v>
      </c>
      <c r="P14746">
        <v>0</v>
      </c>
      <c r="Q14746">
        <v>13</v>
      </c>
      <c r="R14746" t="s">
        <v>44780</v>
      </c>
      <c r="S14746" t="s">
        <v>45683</v>
      </c>
      <c r="T14746" t="s">
        <v>46533</v>
      </c>
      <c r="U14746" t="s">
        <v>58952</v>
      </c>
      <c r="W14746" t="s">
        <v>43593</v>
      </c>
      <c r="X14746" t="s">
        <v>44781</v>
      </c>
    </row>
    <row r="14747" spans="1:24">
      <c r="A14747">
        <f>HYPERLINK("https://www.philgeps.gov.ph/GEPSNONPILOT/Tender/SplashBidNoticeAbstractUI.aspx?menuIndex=3&amp;refID=7114232&amp;Result=3","7114232")</f>
        <v>0</v>
      </c>
      <c r="B14747" t="s">
        <v>3492</v>
      </c>
      <c r="C14747" t="s">
        <v>16425</v>
      </c>
      <c r="D14747" t="s">
        <v>17980</v>
      </c>
      <c r="E14747" t="s">
        <v>30771</v>
      </c>
      <c r="F14747" t="s">
        <v>30900</v>
      </c>
      <c r="G14747" t="s">
        <v>30907</v>
      </c>
      <c r="H14747" t="s">
        <v>30916</v>
      </c>
      <c r="I14747" t="s">
        <v>8123</v>
      </c>
      <c r="J14747" t="s">
        <v>33616</v>
      </c>
      <c r="K14747" t="s">
        <v>40284</v>
      </c>
      <c r="M14747" t="s">
        <v>44393</v>
      </c>
      <c r="N14747" t="s">
        <v>44759</v>
      </c>
      <c r="O14747" t="s">
        <v>44760</v>
      </c>
      <c r="P14747">
        <v>0</v>
      </c>
      <c r="Q14747">
        <v>1</v>
      </c>
      <c r="R14747" t="s">
        <v>44780</v>
      </c>
      <c r="S14747" t="s">
        <v>45683</v>
      </c>
      <c r="T14747" t="s">
        <v>46429</v>
      </c>
      <c r="U14747" t="s">
        <v>58953</v>
      </c>
      <c r="W14747" t="s">
        <v>44393</v>
      </c>
      <c r="X14747" t="s">
        <v>44781</v>
      </c>
    </row>
    <row r="14748" spans="1:24">
      <c r="A14748">
        <f>HYPERLINK("https://www.philgeps.gov.ph/GEPSNONPILOT/Tender/SplashBidNoticeAbstractUI.aspx?menuIndex=3&amp;refID=7114208&amp;Result=3","7114208")</f>
        <v>0</v>
      </c>
      <c r="B14748" t="s">
        <v>3184</v>
      </c>
      <c r="C14748" t="s">
        <v>17796</v>
      </c>
      <c r="D14748" t="s">
        <v>17980</v>
      </c>
      <c r="E14748" t="s">
        <v>30772</v>
      </c>
      <c r="F14748" t="s">
        <v>30900</v>
      </c>
      <c r="G14748" t="s">
        <v>30907</v>
      </c>
      <c r="H14748" t="s">
        <v>30915</v>
      </c>
      <c r="I14748" t="s">
        <v>30919</v>
      </c>
      <c r="J14748" t="s">
        <v>31152</v>
      </c>
      <c r="K14748" t="s">
        <v>40342</v>
      </c>
      <c r="M14748" t="s">
        <v>44015</v>
      </c>
      <c r="N14748" t="s">
        <v>44759</v>
      </c>
      <c r="O14748" t="s">
        <v>44760</v>
      </c>
      <c r="P14748">
        <v>0</v>
      </c>
      <c r="Q14748">
        <v>2</v>
      </c>
      <c r="R14748" t="s">
        <v>44780</v>
      </c>
      <c r="S14748" t="s">
        <v>45683</v>
      </c>
      <c r="T14748" t="s">
        <v>46459</v>
      </c>
      <c r="U14748" t="s">
        <v>58954</v>
      </c>
      <c r="V14748" t="s">
        <v>60265</v>
      </c>
      <c r="W14748" t="s">
        <v>44015</v>
      </c>
      <c r="X14748" t="s">
        <v>44781</v>
      </c>
    </row>
    <row r="14749" spans="1:24">
      <c r="A14749">
        <f>HYPERLINK("https://www.philgeps.gov.ph/GEPSNONPILOT/Tender/SplashBidNoticeAbstractUI.aspx?menuIndex=3&amp;refID=7114376&amp;Result=3","7114376")</f>
        <v>0</v>
      </c>
      <c r="B14749" t="s">
        <v>708</v>
      </c>
      <c r="C14749" t="s">
        <v>17797</v>
      </c>
      <c r="E14749" t="s">
        <v>30773</v>
      </c>
      <c r="F14749" t="s">
        <v>30900</v>
      </c>
      <c r="G14749" t="s">
        <v>30907</v>
      </c>
      <c r="H14749" t="s">
        <v>30916</v>
      </c>
      <c r="I14749" t="s">
        <v>9385</v>
      </c>
      <c r="J14749" t="s">
        <v>40167</v>
      </c>
      <c r="K14749" t="s">
        <v>40289</v>
      </c>
      <c r="M14749" t="s">
        <v>44208</v>
      </c>
      <c r="N14749" t="s">
        <v>44759</v>
      </c>
      <c r="O14749" t="s">
        <v>44760</v>
      </c>
      <c r="P14749">
        <v>0</v>
      </c>
      <c r="Q14749">
        <v>9</v>
      </c>
      <c r="R14749" t="s">
        <v>44780</v>
      </c>
      <c r="S14749" t="s">
        <v>45683</v>
      </c>
      <c r="T14749" t="s">
        <v>46625</v>
      </c>
      <c r="U14749" t="s">
        <v>58955</v>
      </c>
      <c r="W14749" t="s">
        <v>44208</v>
      </c>
      <c r="X14749" t="s">
        <v>44781</v>
      </c>
    </row>
    <row r="14750" spans="1:24">
      <c r="A14750">
        <f>HYPERLINK("https://www.philgeps.gov.ph/GEPSNONPILOT/Tender/SplashBidNoticeAbstractUI.aspx?menuIndex=3&amp;refID=7115579&amp;Result=3","7115579")</f>
        <v>0</v>
      </c>
      <c r="B14750" t="s">
        <v>56</v>
      </c>
      <c r="C14750" t="s">
        <v>17798</v>
      </c>
      <c r="D14750" t="s">
        <v>17952</v>
      </c>
      <c r="E14750" t="s">
        <v>30774</v>
      </c>
      <c r="F14750" t="s">
        <v>30900</v>
      </c>
      <c r="G14750" t="s">
        <v>30907</v>
      </c>
      <c r="H14750" t="s">
        <v>30915</v>
      </c>
      <c r="I14750" t="s">
        <v>30919</v>
      </c>
      <c r="J14750" t="s">
        <v>32601</v>
      </c>
      <c r="K14750" t="s">
        <v>40392</v>
      </c>
      <c r="M14750" t="s">
        <v>44568</v>
      </c>
      <c r="N14750" t="s">
        <v>44759</v>
      </c>
      <c r="O14750" t="s">
        <v>44760</v>
      </c>
      <c r="Q14750">
        <v>2</v>
      </c>
      <c r="R14750" t="s">
        <v>44780</v>
      </c>
      <c r="S14750" t="s">
        <v>46324</v>
      </c>
      <c r="T14750" t="s">
        <v>46383</v>
      </c>
      <c r="U14750" t="s">
        <v>58931</v>
      </c>
      <c r="V14750" t="s">
        <v>59226</v>
      </c>
      <c r="W14750" t="s">
        <v>44568</v>
      </c>
      <c r="X14750" t="s">
        <v>44781</v>
      </c>
    </row>
    <row r="14751" spans="1:24">
      <c r="A14751">
        <f>HYPERLINK("https://www.philgeps.gov.ph/GEPSNONPILOT/Tender/SplashBidNoticeAbstractUI.aspx?menuIndex=3&amp;refID=7114389&amp;Result=3","7114389")</f>
        <v>0</v>
      </c>
      <c r="B14751" t="s">
        <v>2974</v>
      </c>
      <c r="C14751" t="s">
        <v>17799</v>
      </c>
      <c r="D14751" t="s">
        <v>17952</v>
      </c>
      <c r="E14751" t="s">
        <v>29334</v>
      </c>
      <c r="F14751" t="s">
        <v>30900</v>
      </c>
      <c r="G14751" t="s">
        <v>30907</v>
      </c>
      <c r="H14751" t="s">
        <v>30916</v>
      </c>
      <c r="I14751" t="s">
        <v>8123</v>
      </c>
      <c r="J14751" t="s">
        <v>40168</v>
      </c>
      <c r="K14751" t="s">
        <v>40292</v>
      </c>
      <c r="M14751" t="s">
        <v>43776</v>
      </c>
      <c r="N14751" t="s">
        <v>44759</v>
      </c>
      <c r="O14751" t="s">
        <v>44760</v>
      </c>
      <c r="P14751">
        <v>0</v>
      </c>
      <c r="Q14751">
        <v>3</v>
      </c>
      <c r="R14751" t="s">
        <v>44780</v>
      </c>
      <c r="S14751" t="s">
        <v>45683</v>
      </c>
      <c r="T14751" t="s">
        <v>46395</v>
      </c>
      <c r="U14751" t="s">
        <v>58956</v>
      </c>
      <c r="W14751" t="s">
        <v>43776</v>
      </c>
      <c r="X14751" t="s">
        <v>44781</v>
      </c>
    </row>
    <row r="14752" spans="1:24">
      <c r="A14752">
        <f>HYPERLINK("https://www.philgeps.gov.ph/GEPSNONPILOT/Tender/SplashBidNoticeAbstractUI.aspx?menuIndex=3&amp;refID=7114228&amp;Result=3","7114228")</f>
        <v>0</v>
      </c>
      <c r="B14752" t="s">
        <v>293</v>
      </c>
      <c r="C14752" t="s">
        <v>17800</v>
      </c>
      <c r="D14752" t="s">
        <v>18023</v>
      </c>
      <c r="E14752" t="s">
        <v>30775</v>
      </c>
      <c r="F14752" t="s">
        <v>30900</v>
      </c>
      <c r="G14752" t="s">
        <v>30907</v>
      </c>
      <c r="H14752" t="s">
        <v>30915</v>
      </c>
      <c r="I14752" t="s">
        <v>30919</v>
      </c>
      <c r="J14752" t="s">
        <v>40169</v>
      </c>
      <c r="K14752" t="s">
        <v>40358</v>
      </c>
      <c r="M14752" t="s">
        <v>40841</v>
      </c>
      <c r="N14752" t="s">
        <v>44759</v>
      </c>
      <c r="O14752" t="s">
        <v>44760</v>
      </c>
      <c r="P14752">
        <v>0</v>
      </c>
      <c r="Q14752">
        <v>0</v>
      </c>
      <c r="R14752" t="s">
        <v>44780</v>
      </c>
      <c r="S14752" t="s">
        <v>45683</v>
      </c>
      <c r="T14752" t="s">
        <v>46421</v>
      </c>
      <c r="U14752" t="s">
        <v>58957</v>
      </c>
      <c r="W14752" t="s">
        <v>40841</v>
      </c>
      <c r="X14752" t="s">
        <v>44781</v>
      </c>
    </row>
    <row r="14753" spans="1:24">
      <c r="A14753">
        <f>HYPERLINK("https://www.philgeps.gov.ph/GEPSNONPILOT/Tender/SplashBidNoticeAbstractUI.aspx?menuIndex=3&amp;refID=7114037&amp;Result=3","7114037")</f>
        <v>0</v>
      </c>
      <c r="B14753" t="s">
        <v>785</v>
      </c>
      <c r="C14753" t="s">
        <v>17801</v>
      </c>
      <c r="D14753" t="s">
        <v>17984</v>
      </c>
      <c r="E14753" t="s">
        <v>30776</v>
      </c>
      <c r="F14753" t="s">
        <v>30900</v>
      </c>
      <c r="G14753" t="s">
        <v>30907</v>
      </c>
      <c r="H14753" t="s">
        <v>30916</v>
      </c>
      <c r="I14753" t="s">
        <v>4017</v>
      </c>
      <c r="J14753" t="s">
        <v>40170</v>
      </c>
      <c r="K14753" t="s">
        <v>40283</v>
      </c>
      <c r="M14753" t="s">
        <v>41354</v>
      </c>
      <c r="N14753" t="s">
        <v>44759</v>
      </c>
      <c r="O14753" t="s">
        <v>44760</v>
      </c>
      <c r="P14753">
        <v>0</v>
      </c>
      <c r="Q14753">
        <v>10</v>
      </c>
      <c r="R14753" t="s">
        <v>44780</v>
      </c>
      <c r="S14753" t="s">
        <v>45683</v>
      </c>
      <c r="T14753" t="s">
        <v>46548</v>
      </c>
      <c r="U14753" t="s">
        <v>58958</v>
      </c>
      <c r="W14753" t="s">
        <v>41354</v>
      </c>
      <c r="X14753" t="s">
        <v>44781</v>
      </c>
    </row>
    <row r="14754" spans="1:24">
      <c r="A14754">
        <f>HYPERLINK("https://www.philgeps.gov.ph/GEPSNONPILOT/Tender/SplashBidNoticeAbstractUI.aspx?menuIndex=3&amp;refID=7114002&amp;Result=3","7114002")</f>
        <v>0</v>
      </c>
      <c r="B14754" t="s">
        <v>3750</v>
      </c>
      <c r="C14754" t="s">
        <v>17802</v>
      </c>
      <c r="D14754" t="s">
        <v>17952</v>
      </c>
      <c r="E14754" t="s">
        <v>25418</v>
      </c>
      <c r="F14754" t="s">
        <v>30900</v>
      </c>
      <c r="G14754" t="s">
        <v>30907</v>
      </c>
      <c r="H14754" t="s">
        <v>30915</v>
      </c>
      <c r="I14754" t="s">
        <v>30919</v>
      </c>
      <c r="J14754" t="s">
        <v>31152</v>
      </c>
      <c r="K14754" t="s">
        <v>40280</v>
      </c>
      <c r="M14754" t="s">
        <v>44739</v>
      </c>
      <c r="N14754" t="s">
        <v>44759</v>
      </c>
      <c r="O14754" t="s">
        <v>44760</v>
      </c>
      <c r="Q14754">
        <v>1</v>
      </c>
      <c r="R14754" t="s">
        <v>44780</v>
      </c>
      <c r="S14754" t="s">
        <v>45810</v>
      </c>
      <c r="T14754" t="s">
        <v>46383</v>
      </c>
      <c r="U14754" t="s">
        <v>58959</v>
      </c>
      <c r="V14754" t="s">
        <v>60799</v>
      </c>
      <c r="W14754" t="s">
        <v>44739</v>
      </c>
      <c r="X14754" t="s">
        <v>44781</v>
      </c>
    </row>
    <row r="14755" spans="1:24">
      <c r="A14755">
        <f>HYPERLINK("https://www.philgeps.gov.ph/GEPSNONPILOT/Tender/SplashBidNoticeAbstractUI.aspx?menuIndex=3&amp;refID=7114216&amp;Result=3","7114216")</f>
        <v>0</v>
      </c>
      <c r="B14755" t="s">
        <v>212</v>
      </c>
      <c r="C14755" t="s">
        <v>17803</v>
      </c>
      <c r="D14755" t="s">
        <v>17962</v>
      </c>
      <c r="E14755" t="s">
        <v>30777</v>
      </c>
      <c r="F14755" t="s">
        <v>30900</v>
      </c>
      <c r="G14755" t="s">
        <v>30907</v>
      </c>
      <c r="H14755" t="s">
        <v>30916</v>
      </c>
      <c r="I14755" t="s">
        <v>8123</v>
      </c>
      <c r="J14755" t="s">
        <v>40171</v>
      </c>
      <c r="K14755" t="s">
        <v>40291</v>
      </c>
      <c r="M14755" t="s">
        <v>40759</v>
      </c>
      <c r="N14755" t="s">
        <v>44759</v>
      </c>
      <c r="O14755" t="s">
        <v>44760</v>
      </c>
      <c r="P14755">
        <v>0</v>
      </c>
      <c r="Q14755">
        <v>0</v>
      </c>
      <c r="R14755" t="s">
        <v>44780</v>
      </c>
      <c r="S14755" t="s">
        <v>45683</v>
      </c>
      <c r="T14755" t="s">
        <v>46400</v>
      </c>
      <c r="U14755" t="s">
        <v>58960</v>
      </c>
      <c r="W14755" t="s">
        <v>40759</v>
      </c>
      <c r="X14755" t="s">
        <v>44781</v>
      </c>
    </row>
    <row r="14756" spans="1:24">
      <c r="A14756">
        <f>HYPERLINK("https://www.philgeps.gov.ph/GEPSNONPILOT/Tender/SplashBidNoticeAbstractUI.aspx?menuIndex=3&amp;refID=7114038&amp;Result=3","7114038")</f>
        <v>0</v>
      </c>
      <c r="B14756" t="s">
        <v>2511</v>
      </c>
      <c r="C14756" t="s">
        <v>17804</v>
      </c>
      <c r="D14756" t="s">
        <v>17994</v>
      </c>
      <c r="E14756" t="s">
        <v>30778</v>
      </c>
      <c r="F14756" t="s">
        <v>30900</v>
      </c>
      <c r="G14756" t="s">
        <v>30907</v>
      </c>
      <c r="H14756" t="s">
        <v>30915</v>
      </c>
      <c r="I14756" t="s">
        <v>30919</v>
      </c>
      <c r="J14756" t="s">
        <v>31391</v>
      </c>
      <c r="K14756" t="s">
        <v>40292</v>
      </c>
      <c r="M14756" t="s">
        <v>43257</v>
      </c>
      <c r="N14756" t="s">
        <v>44759</v>
      </c>
      <c r="O14756" t="s">
        <v>44760</v>
      </c>
      <c r="P14756">
        <v>0</v>
      </c>
      <c r="Q14756">
        <v>0</v>
      </c>
      <c r="R14756" t="s">
        <v>44780</v>
      </c>
      <c r="S14756" t="s">
        <v>45683</v>
      </c>
      <c r="T14756" t="s">
        <v>46421</v>
      </c>
      <c r="U14756" t="s">
        <v>58961</v>
      </c>
      <c r="W14756" t="s">
        <v>43257</v>
      </c>
      <c r="X14756" t="s">
        <v>44781</v>
      </c>
    </row>
    <row r="14757" spans="1:24">
      <c r="A14757">
        <f>HYPERLINK("https://www.philgeps.gov.ph/GEPSNONPILOT/Tender/SplashBidNoticeAbstractUI.aspx?menuIndex=3&amp;refID=7113954&amp;Result=3","7113954")</f>
        <v>0</v>
      </c>
      <c r="B14757" t="s">
        <v>284</v>
      </c>
      <c r="C14757" t="s">
        <v>17805</v>
      </c>
      <c r="D14757" t="s">
        <v>18009</v>
      </c>
      <c r="E14757" t="s">
        <v>30779</v>
      </c>
      <c r="F14757" t="s">
        <v>30900</v>
      </c>
      <c r="G14757" t="s">
        <v>30907</v>
      </c>
      <c r="H14757" t="s">
        <v>30916</v>
      </c>
      <c r="I14757" t="s">
        <v>30933</v>
      </c>
      <c r="J14757" t="s">
        <v>40172</v>
      </c>
      <c r="K14757" t="s">
        <v>40286</v>
      </c>
      <c r="M14757" t="s">
        <v>41050</v>
      </c>
      <c r="N14757" t="s">
        <v>44759</v>
      </c>
      <c r="O14757" t="s">
        <v>44760</v>
      </c>
      <c r="P14757">
        <v>0</v>
      </c>
      <c r="Q14757">
        <v>2</v>
      </c>
      <c r="R14757" t="s">
        <v>44780</v>
      </c>
      <c r="S14757" t="s">
        <v>45683</v>
      </c>
      <c r="T14757" t="s">
        <v>46403</v>
      </c>
      <c r="U14757" t="s">
        <v>58962</v>
      </c>
      <c r="W14757" t="s">
        <v>41050</v>
      </c>
      <c r="X14757" t="s">
        <v>44781</v>
      </c>
    </row>
    <row r="14758" spans="1:24">
      <c r="A14758">
        <f>HYPERLINK("https://www.philgeps.gov.ph/GEPSNONPILOT/Tender/SplashBidNoticeAbstractUI.aspx?menuIndex=3&amp;refID=7113540&amp;Result=3","7113540")</f>
        <v>0</v>
      </c>
      <c r="B14758" t="s">
        <v>822</v>
      </c>
      <c r="C14758" t="s">
        <v>17806</v>
      </c>
      <c r="D14758" t="s">
        <v>17953</v>
      </c>
      <c r="E14758" t="s">
        <v>30780</v>
      </c>
      <c r="F14758" t="s">
        <v>30900</v>
      </c>
      <c r="G14758" t="s">
        <v>30907</v>
      </c>
      <c r="H14758" t="s">
        <v>30916</v>
      </c>
      <c r="I14758" t="s">
        <v>11785</v>
      </c>
      <c r="J14758" t="s">
        <v>40173</v>
      </c>
      <c r="K14758" t="s">
        <v>40289</v>
      </c>
      <c r="M14758" t="s">
        <v>41394</v>
      </c>
      <c r="N14758" t="s">
        <v>44759</v>
      </c>
      <c r="O14758" t="s">
        <v>44760</v>
      </c>
      <c r="P14758">
        <v>0</v>
      </c>
      <c r="Q14758">
        <v>0</v>
      </c>
      <c r="R14758" t="s">
        <v>44780</v>
      </c>
      <c r="S14758" t="s">
        <v>45683</v>
      </c>
      <c r="T14758" t="s">
        <v>46403</v>
      </c>
      <c r="U14758" t="s">
        <v>58963</v>
      </c>
      <c r="W14758" t="s">
        <v>41394</v>
      </c>
      <c r="X14758" t="s">
        <v>44781</v>
      </c>
    </row>
    <row r="14759" spans="1:24">
      <c r="A14759">
        <f>HYPERLINK("https://www.philgeps.gov.ph/GEPSNONPILOT/Tender/SplashBidNoticeAbstractUI.aspx?menuIndex=3&amp;refID=7114001&amp;Result=3","7114001")</f>
        <v>0</v>
      </c>
      <c r="B14759" t="s">
        <v>620</v>
      </c>
      <c r="C14759" t="s">
        <v>17807</v>
      </c>
      <c r="D14759" t="s">
        <v>17980</v>
      </c>
      <c r="E14759" t="s">
        <v>30781</v>
      </c>
      <c r="F14759" t="s">
        <v>30899</v>
      </c>
      <c r="G14759" t="s">
        <v>30907</v>
      </c>
      <c r="H14759" t="s">
        <v>30916</v>
      </c>
      <c r="I14759" t="s">
        <v>30933</v>
      </c>
      <c r="J14759" t="s">
        <v>31755</v>
      </c>
      <c r="K14759" t="s">
        <v>40293</v>
      </c>
      <c r="M14759" t="s">
        <v>41182</v>
      </c>
      <c r="N14759" t="s">
        <v>44759</v>
      </c>
      <c r="O14759" t="s">
        <v>44760</v>
      </c>
      <c r="P14759">
        <v>0</v>
      </c>
      <c r="Q14759">
        <v>3</v>
      </c>
      <c r="R14759" t="s">
        <v>44780</v>
      </c>
      <c r="S14759" t="s">
        <v>45683</v>
      </c>
      <c r="T14759" t="s">
        <v>46548</v>
      </c>
      <c r="U14759" t="s">
        <v>58964</v>
      </c>
      <c r="V14759" t="s">
        <v>60800</v>
      </c>
      <c r="W14759" t="s">
        <v>41182</v>
      </c>
      <c r="X14759" t="s">
        <v>44781</v>
      </c>
    </row>
    <row r="14760" spans="1:24">
      <c r="A14760">
        <f>HYPERLINK("https://www.philgeps.gov.ph/GEPSNONPILOT/Tender/SplashBidNoticeAbstractUI.aspx?menuIndex=3&amp;refID=7113996&amp;Result=3","7113996")</f>
        <v>0</v>
      </c>
      <c r="B14760" t="s">
        <v>186</v>
      </c>
      <c r="C14760" t="s">
        <v>17808</v>
      </c>
      <c r="D14760" t="s">
        <v>17957</v>
      </c>
      <c r="E14760" t="s">
        <v>19953</v>
      </c>
      <c r="F14760" t="s">
        <v>30900</v>
      </c>
      <c r="G14760" t="s">
        <v>30907</v>
      </c>
      <c r="H14760" t="s">
        <v>30916</v>
      </c>
      <c r="I14760" t="s">
        <v>5501</v>
      </c>
      <c r="J14760" t="s">
        <v>40174</v>
      </c>
      <c r="K14760" t="s">
        <v>40286</v>
      </c>
      <c r="M14760" t="s">
        <v>40733</v>
      </c>
      <c r="N14760" t="s">
        <v>44759</v>
      </c>
      <c r="O14760" t="s">
        <v>44760</v>
      </c>
      <c r="P14760">
        <v>0</v>
      </c>
      <c r="Q14760">
        <v>3</v>
      </c>
      <c r="R14760" t="s">
        <v>44780</v>
      </c>
      <c r="S14760" t="s">
        <v>45683</v>
      </c>
      <c r="T14760" t="s">
        <v>46403</v>
      </c>
      <c r="U14760" t="s">
        <v>58965</v>
      </c>
      <c r="V14760" t="s">
        <v>60622</v>
      </c>
      <c r="W14760" t="s">
        <v>40733</v>
      </c>
      <c r="X14760" t="s">
        <v>44781</v>
      </c>
    </row>
    <row r="14761" spans="1:24">
      <c r="A14761">
        <f>HYPERLINK("https://www.philgeps.gov.ph/GEPSNONPILOT/Tender/SplashBidNoticeAbstractUI.aspx?menuIndex=3&amp;refID=7113876&amp;Result=3","7113876")</f>
        <v>0</v>
      </c>
      <c r="B14761" t="s">
        <v>2808</v>
      </c>
      <c r="C14761" t="s">
        <v>17809</v>
      </c>
      <c r="D14761" t="s">
        <v>17957</v>
      </c>
      <c r="E14761" t="s">
        <v>30782</v>
      </c>
      <c r="F14761" t="s">
        <v>30900</v>
      </c>
      <c r="G14761" t="s">
        <v>30907</v>
      </c>
      <c r="H14761" t="s">
        <v>30915</v>
      </c>
      <c r="I14761" t="s">
        <v>30919</v>
      </c>
      <c r="J14761" t="s">
        <v>37052</v>
      </c>
      <c r="K14761" t="s">
        <v>40568</v>
      </c>
      <c r="M14761" t="s">
        <v>43593</v>
      </c>
      <c r="N14761" t="s">
        <v>44759</v>
      </c>
      <c r="O14761" t="s">
        <v>44760</v>
      </c>
      <c r="P14761">
        <v>0</v>
      </c>
      <c r="Q14761">
        <v>0</v>
      </c>
      <c r="R14761" t="s">
        <v>44780</v>
      </c>
      <c r="S14761" t="s">
        <v>45683</v>
      </c>
      <c r="T14761" t="s">
        <v>46533</v>
      </c>
      <c r="U14761" t="s">
        <v>58966</v>
      </c>
      <c r="W14761" t="s">
        <v>43593</v>
      </c>
      <c r="X14761" t="s">
        <v>44781</v>
      </c>
    </row>
    <row r="14762" spans="1:24">
      <c r="A14762">
        <f>HYPERLINK("https://www.philgeps.gov.ph/GEPSNONPILOT/Tender/SplashBidNoticeAbstractUI.aspx?menuIndex=3&amp;refID=7113190&amp;Result=3","7113190")</f>
        <v>0</v>
      </c>
      <c r="B14762" t="s">
        <v>3751</v>
      </c>
      <c r="C14762" t="s">
        <v>17810</v>
      </c>
      <c r="D14762" t="s">
        <v>17959</v>
      </c>
      <c r="E14762" t="s">
        <v>30783</v>
      </c>
      <c r="F14762" t="s">
        <v>30900</v>
      </c>
      <c r="G14762" t="s">
        <v>30907</v>
      </c>
      <c r="H14762" t="s">
        <v>30915</v>
      </c>
      <c r="I14762" t="s">
        <v>30919</v>
      </c>
      <c r="J14762" t="s">
        <v>40175</v>
      </c>
      <c r="K14762" t="s">
        <v>40289</v>
      </c>
      <c r="M14762" t="s">
        <v>44740</v>
      </c>
      <c r="N14762" t="s">
        <v>44759</v>
      </c>
      <c r="O14762" t="s">
        <v>44760</v>
      </c>
      <c r="P14762">
        <v>0</v>
      </c>
      <c r="Q14762">
        <v>25</v>
      </c>
      <c r="R14762" t="s">
        <v>44780</v>
      </c>
      <c r="S14762" t="s">
        <v>45683</v>
      </c>
      <c r="T14762" t="s">
        <v>46414</v>
      </c>
      <c r="U14762" t="s">
        <v>58967</v>
      </c>
      <c r="W14762" t="s">
        <v>44740</v>
      </c>
      <c r="X14762" t="s">
        <v>44781</v>
      </c>
    </row>
    <row r="14763" spans="1:24">
      <c r="A14763">
        <f>HYPERLINK("https://www.philgeps.gov.ph/GEPSNONPILOT/Tender/SplashBidNoticeAbstractUI.aspx?menuIndex=3&amp;refID=7114249&amp;Result=3","7114249")</f>
        <v>0</v>
      </c>
      <c r="B14763" t="s">
        <v>2053</v>
      </c>
      <c r="C14763" t="s">
        <v>17811</v>
      </c>
      <c r="D14763" t="s">
        <v>17998</v>
      </c>
      <c r="E14763" t="s">
        <v>30784</v>
      </c>
      <c r="F14763" t="s">
        <v>30900</v>
      </c>
      <c r="G14763" t="s">
        <v>30907</v>
      </c>
      <c r="H14763" t="s">
        <v>30916</v>
      </c>
      <c r="I14763" t="s">
        <v>30936</v>
      </c>
      <c r="J14763" t="s">
        <v>40176</v>
      </c>
      <c r="K14763" t="s">
        <v>40280</v>
      </c>
      <c r="M14763" t="s">
        <v>42752</v>
      </c>
      <c r="N14763" t="s">
        <v>44759</v>
      </c>
      <c r="O14763" t="s">
        <v>44760</v>
      </c>
      <c r="Q14763">
        <v>5</v>
      </c>
      <c r="R14763" t="s">
        <v>44780</v>
      </c>
      <c r="S14763" t="s">
        <v>46325</v>
      </c>
      <c r="T14763" t="s">
        <v>46641</v>
      </c>
      <c r="U14763" t="s">
        <v>58968</v>
      </c>
      <c r="W14763" t="s">
        <v>42752</v>
      </c>
      <c r="X14763" t="s">
        <v>44781</v>
      </c>
    </row>
    <row r="14764" spans="1:24">
      <c r="A14764">
        <f>HYPERLINK("https://www.philgeps.gov.ph/GEPSNONPILOT/Tender/SplashBidNoticeAbstractUI.aspx?menuIndex=3&amp;refID=7113537&amp;Result=3","7113537")</f>
        <v>0</v>
      </c>
      <c r="B14764" t="s">
        <v>3419</v>
      </c>
      <c r="C14764" t="s">
        <v>17812</v>
      </c>
      <c r="D14764" t="s">
        <v>17971</v>
      </c>
      <c r="E14764" t="s">
        <v>30785</v>
      </c>
      <c r="F14764" t="s">
        <v>30900</v>
      </c>
      <c r="G14764" t="s">
        <v>30907</v>
      </c>
      <c r="H14764" t="s">
        <v>30916</v>
      </c>
      <c r="I14764" t="s">
        <v>8123</v>
      </c>
      <c r="J14764" t="s">
        <v>40177</v>
      </c>
      <c r="K14764" t="s">
        <v>40286</v>
      </c>
      <c r="M14764" t="s">
        <v>44298</v>
      </c>
      <c r="N14764" t="s">
        <v>44759</v>
      </c>
      <c r="O14764" t="s">
        <v>44760</v>
      </c>
      <c r="Q14764">
        <v>6</v>
      </c>
      <c r="R14764" t="s">
        <v>44780</v>
      </c>
      <c r="S14764" t="s">
        <v>46326</v>
      </c>
      <c r="T14764" t="s">
        <v>46613</v>
      </c>
      <c r="U14764" t="s">
        <v>58969</v>
      </c>
      <c r="W14764" t="s">
        <v>44298</v>
      </c>
      <c r="X14764" t="s">
        <v>44781</v>
      </c>
    </row>
    <row r="14765" spans="1:24">
      <c r="A14765">
        <f>HYPERLINK("https://www.philgeps.gov.ph/GEPSNONPILOT/Tender/SplashBidNoticeAbstractUI.aspx?menuIndex=3&amp;refID=7114017&amp;Result=3","7114017")</f>
        <v>0</v>
      </c>
      <c r="B14765" t="s">
        <v>3492</v>
      </c>
      <c r="C14765" t="s">
        <v>17813</v>
      </c>
      <c r="D14765" t="s">
        <v>17980</v>
      </c>
      <c r="E14765" t="s">
        <v>30786</v>
      </c>
      <c r="F14765" t="s">
        <v>30900</v>
      </c>
      <c r="G14765" t="s">
        <v>30907</v>
      </c>
      <c r="H14765" t="s">
        <v>30916</v>
      </c>
      <c r="I14765" t="s">
        <v>10847</v>
      </c>
      <c r="J14765" t="s">
        <v>40178</v>
      </c>
      <c r="K14765" t="s">
        <v>40284</v>
      </c>
      <c r="M14765" t="s">
        <v>44393</v>
      </c>
      <c r="N14765" t="s">
        <v>44759</v>
      </c>
      <c r="O14765" t="s">
        <v>44760</v>
      </c>
      <c r="P14765">
        <v>0</v>
      </c>
      <c r="Q14765">
        <v>1</v>
      </c>
      <c r="R14765" t="s">
        <v>44780</v>
      </c>
      <c r="S14765" t="s">
        <v>45683</v>
      </c>
      <c r="T14765" t="s">
        <v>46429</v>
      </c>
      <c r="U14765" t="s">
        <v>58970</v>
      </c>
      <c r="W14765" t="s">
        <v>44393</v>
      </c>
      <c r="X14765" t="s">
        <v>44781</v>
      </c>
    </row>
    <row r="14766" spans="1:24">
      <c r="A14766">
        <f>HYPERLINK("https://www.philgeps.gov.ph/GEPSNONPILOT/Tender/SplashBidNoticeAbstractUI.aspx?menuIndex=3&amp;refID=7112839&amp;Result=3","7112839")</f>
        <v>0</v>
      </c>
      <c r="B14766" t="s">
        <v>1908</v>
      </c>
      <c r="C14766" t="s">
        <v>17814</v>
      </c>
      <c r="D14766" t="s">
        <v>17963</v>
      </c>
      <c r="E14766" t="s">
        <v>30787</v>
      </c>
      <c r="F14766" t="s">
        <v>30900</v>
      </c>
      <c r="G14766" t="s">
        <v>30907</v>
      </c>
      <c r="H14766" t="s">
        <v>30915</v>
      </c>
      <c r="I14766" t="s">
        <v>30919</v>
      </c>
      <c r="J14766" t="s">
        <v>40179</v>
      </c>
      <c r="K14766" t="s">
        <v>40280</v>
      </c>
      <c r="M14766" t="s">
        <v>42586</v>
      </c>
      <c r="N14766" t="s">
        <v>44759</v>
      </c>
      <c r="O14766" t="s">
        <v>44760</v>
      </c>
      <c r="P14766">
        <v>0</v>
      </c>
      <c r="Q14766">
        <v>1</v>
      </c>
      <c r="R14766" t="s">
        <v>44780</v>
      </c>
      <c r="S14766" t="s">
        <v>45683</v>
      </c>
      <c r="T14766" t="s">
        <v>46658</v>
      </c>
      <c r="U14766" t="s">
        <v>58971</v>
      </c>
      <c r="W14766" t="s">
        <v>42586</v>
      </c>
      <c r="X14766" t="s">
        <v>44782</v>
      </c>
    </row>
    <row r="14767" spans="1:24">
      <c r="A14767">
        <f>HYPERLINK("https://www.philgeps.gov.ph/GEPSNONPILOT/Tender/SplashBidNoticeAbstractUI.aspx?menuIndex=3&amp;refID=7112664&amp;Result=3","7112664")</f>
        <v>0</v>
      </c>
      <c r="B14767" t="s">
        <v>3752</v>
      </c>
      <c r="C14767" t="s">
        <v>17815</v>
      </c>
      <c r="D14767" t="s">
        <v>17993</v>
      </c>
      <c r="E14767" t="s">
        <v>30788</v>
      </c>
      <c r="F14767" t="s">
        <v>30900</v>
      </c>
      <c r="G14767" t="s">
        <v>30907</v>
      </c>
      <c r="H14767" t="s">
        <v>30917</v>
      </c>
      <c r="I14767" t="s">
        <v>30934</v>
      </c>
      <c r="J14767" t="s">
        <v>40180</v>
      </c>
      <c r="K14767" t="s">
        <v>40287</v>
      </c>
      <c r="M14767" t="s">
        <v>44741</v>
      </c>
      <c r="N14767" t="s">
        <v>44759</v>
      </c>
      <c r="O14767" t="s">
        <v>44760</v>
      </c>
      <c r="P14767">
        <v>0</v>
      </c>
      <c r="Q14767">
        <v>3</v>
      </c>
      <c r="R14767" t="s">
        <v>44780</v>
      </c>
      <c r="S14767" t="s">
        <v>45683</v>
      </c>
      <c r="T14767" t="s">
        <v>46414</v>
      </c>
      <c r="U14767" t="s">
        <v>58972</v>
      </c>
      <c r="W14767" t="s">
        <v>44741</v>
      </c>
      <c r="X14767" t="s">
        <v>44782</v>
      </c>
    </row>
    <row r="14768" spans="1:24">
      <c r="A14768">
        <f>HYPERLINK("https://www.philgeps.gov.ph/GEPSNONPILOT/Tender/SplashBidNoticeAbstractUI.aspx?menuIndex=3&amp;refID=7114380&amp;Result=3","7114380")</f>
        <v>0</v>
      </c>
      <c r="B14768" t="s">
        <v>708</v>
      </c>
      <c r="C14768" t="s">
        <v>17816</v>
      </c>
      <c r="E14768" t="s">
        <v>30789</v>
      </c>
      <c r="F14768" t="s">
        <v>30900</v>
      </c>
      <c r="G14768" t="s">
        <v>30907</v>
      </c>
      <c r="H14768" t="s">
        <v>30916</v>
      </c>
      <c r="I14768" t="s">
        <v>9385</v>
      </c>
      <c r="J14768" t="s">
        <v>40181</v>
      </c>
      <c r="K14768" t="s">
        <v>40289</v>
      </c>
      <c r="M14768" t="s">
        <v>44208</v>
      </c>
      <c r="N14768" t="s">
        <v>44759</v>
      </c>
      <c r="O14768" t="s">
        <v>44760</v>
      </c>
      <c r="P14768">
        <v>0</v>
      </c>
      <c r="Q14768">
        <v>4</v>
      </c>
      <c r="R14768" t="s">
        <v>44780</v>
      </c>
      <c r="S14768" t="s">
        <v>45683</v>
      </c>
      <c r="T14768" t="s">
        <v>46625</v>
      </c>
      <c r="U14768" t="s">
        <v>58973</v>
      </c>
      <c r="W14768" t="s">
        <v>44208</v>
      </c>
      <c r="X14768" t="s">
        <v>44781</v>
      </c>
    </row>
    <row r="14769" spans="1:24">
      <c r="A14769">
        <f>HYPERLINK("https://www.philgeps.gov.ph/GEPSNONPILOT/Tender/SplashBidNoticeAbstractUI.aspx?menuIndex=3&amp;refID=7112660&amp;Result=3","7112660")</f>
        <v>0</v>
      </c>
      <c r="B14769" t="s">
        <v>3753</v>
      </c>
      <c r="C14769" t="s">
        <v>8329</v>
      </c>
      <c r="E14769" t="s">
        <v>30790</v>
      </c>
      <c r="F14769" t="s">
        <v>30900</v>
      </c>
      <c r="G14769" t="s">
        <v>30907</v>
      </c>
      <c r="H14769" t="s">
        <v>30916</v>
      </c>
      <c r="I14769" t="s">
        <v>8123</v>
      </c>
      <c r="J14769" t="s">
        <v>40182</v>
      </c>
      <c r="K14769" t="s">
        <v>40289</v>
      </c>
      <c r="M14769" t="s">
        <v>44742</v>
      </c>
      <c r="N14769" t="s">
        <v>44759</v>
      </c>
      <c r="O14769" t="s">
        <v>44760</v>
      </c>
      <c r="P14769">
        <v>0</v>
      </c>
      <c r="Q14769">
        <v>2</v>
      </c>
      <c r="R14769" t="s">
        <v>44780</v>
      </c>
      <c r="S14769" t="s">
        <v>45683</v>
      </c>
      <c r="T14769" t="s">
        <v>46591</v>
      </c>
      <c r="U14769" t="s">
        <v>58974</v>
      </c>
      <c r="W14769" t="s">
        <v>44742</v>
      </c>
      <c r="X14769" t="s">
        <v>44782</v>
      </c>
    </row>
    <row r="14770" spans="1:24">
      <c r="A14770">
        <f>HYPERLINK("https://www.philgeps.gov.ph/GEPSNONPILOT/Tender/SplashBidNoticeAbstractUI.aspx?menuIndex=3&amp;refID=7113524&amp;Result=3","7113524")</f>
        <v>0</v>
      </c>
      <c r="B14770" t="s">
        <v>3661</v>
      </c>
      <c r="C14770" t="s">
        <v>17817</v>
      </c>
      <c r="D14770" t="s">
        <v>17985</v>
      </c>
      <c r="E14770" t="s">
        <v>30791</v>
      </c>
      <c r="F14770" t="s">
        <v>30900</v>
      </c>
      <c r="G14770" t="s">
        <v>30908</v>
      </c>
      <c r="H14770" t="s">
        <v>30916</v>
      </c>
      <c r="I14770" t="s">
        <v>10879</v>
      </c>
      <c r="J14770" t="s">
        <v>31585</v>
      </c>
      <c r="K14770" t="s">
        <v>40294</v>
      </c>
      <c r="M14770" t="s">
        <v>44609</v>
      </c>
      <c r="N14770" t="s">
        <v>44759</v>
      </c>
      <c r="O14770" t="s">
        <v>44760</v>
      </c>
      <c r="Q14770">
        <v>8</v>
      </c>
      <c r="R14770" t="s">
        <v>44780</v>
      </c>
      <c r="S14770" t="s">
        <v>46327</v>
      </c>
      <c r="T14770" t="s">
        <v>46757</v>
      </c>
      <c r="U14770" t="s">
        <v>58975</v>
      </c>
      <c r="V14770" t="s">
        <v>60801</v>
      </c>
      <c r="W14770" t="s">
        <v>44609</v>
      </c>
      <c r="X14770" t="s">
        <v>44781</v>
      </c>
    </row>
    <row r="14771" spans="1:24">
      <c r="A14771">
        <f>HYPERLINK("https://www.philgeps.gov.ph/GEPSNONPILOT/Tender/SplashBidNoticeAbstractUI.aspx?menuIndex=3&amp;refID=7112442&amp;Result=3","7112442")</f>
        <v>0</v>
      </c>
      <c r="B14771" t="s">
        <v>3619</v>
      </c>
      <c r="C14771" t="s">
        <v>17818</v>
      </c>
      <c r="D14771" t="s">
        <v>17976</v>
      </c>
      <c r="E14771" t="s">
        <v>30792</v>
      </c>
      <c r="F14771" t="s">
        <v>30900</v>
      </c>
      <c r="G14771" t="s">
        <v>30907</v>
      </c>
      <c r="H14771" t="s">
        <v>30916</v>
      </c>
      <c r="I14771" t="s">
        <v>4965</v>
      </c>
      <c r="J14771" t="s">
        <v>31577</v>
      </c>
      <c r="K14771" t="s">
        <v>40280</v>
      </c>
      <c r="M14771" t="s">
        <v>44549</v>
      </c>
      <c r="N14771" t="s">
        <v>44759</v>
      </c>
      <c r="O14771" t="s">
        <v>44760</v>
      </c>
      <c r="P14771">
        <v>0</v>
      </c>
      <c r="Q14771">
        <v>6</v>
      </c>
      <c r="R14771" t="s">
        <v>44780</v>
      </c>
      <c r="S14771" t="s">
        <v>45683</v>
      </c>
      <c r="T14771" t="s">
        <v>46403</v>
      </c>
      <c r="U14771" t="s">
        <v>58976</v>
      </c>
      <c r="W14771" t="s">
        <v>44549</v>
      </c>
      <c r="X14771" t="s">
        <v>44782</v>
      </c>
    </row>
    <row r="14772" spans="1:24">
      <c r="A14772">
        <f>HYPERLINK("https://www.philgeps.gov.ph/GEPSNONPILOT/Tender/SplashBidNoticeAbstractUI.aspx?menuIndex=3&amp;refID=7111434&amp;Result=3","7111434")</f>
        <v>0</v>
      </c>
      <c r="B14772" t="s">
        <v>591</v>
      </c>
      <c r="C14772" t="s">
        <v>17819</v>
      </c>
      <c r="D14772" t="s">
        <v>17998</v>
      </c>
      <c r="E14772" t="s">
        <v>30793</v>
      </c>
      <c r="F14772" t="s">
        <v>30900</v>
      </c>
      <c r="G14772" t="s">
        <v>30907</v>
      </c>
      <c r="H14772" t="s">
        <v>30916</v>
      </c>
      <c r="I14772" t="s">
        <v>30918</v>
      </c>
      <c r="J14772" t="s">
        <v>32324</v>
      </c>
      <c r="K14772" t="s">
        <v>40286</v>
      </c>
      <c r="M14772" t="s">
        <v>41247</v>
      </c>
      <c r="N14772" t="s">
        <v>44759</v>
      </c>
      <c r="O14772" t="s">
        <v>44760</v>
      </c>
      <c r="P14772">
        <v>0</v>
      </c>
      <c r="Q14772">
        <v>25</v>
      </c>
      <c r="R14772" t="s">
        <v>44780</v>
      </c>
      <c r="S14772" t="s">
        <v>45683</v>
      </c>
      <c r="T14772" t="s">
        <v>46389</v>
      </c>
      <c r="U14772" t="s">
        <v>47981</v>
      </c>
      <c r="V14772" t="s">
        <v>59259</v>
      </c>
      <c r="W14772" t="s">
        <v>41247</v>
      </c>
      <c r="X14772" t="s">
        <v>44782</v>
      </c>
    </row>
    <row r="14773" spans="1:24">
      <c r="A14773">
        <f>HYPERLINK("https://www.philgeps.gov.ph/GEPSNONPILOT/Tender/SplashBidNoticeAbstractUI.aspx?menuIndex=3&amp;refID=7112677&amp;Result=3","7112677")</f>
        <v>0</v>
      </c>
      <c r="B14773" t="s">
        <v>3754</v>
      </c>
      <c r="C14773" t="s">
        <v>17820</v>
      </c>
      <c r="D14773" t="s">
        <v>17993</v>
      </c>
      <c r="E14773" t="s">
        <v>30794</v>
      </c>
      <c r="F14773" t="s">
        <v>30900</v>
      </c>
      <c r="G14773" t="s">
        <v>30907</v>
      </c>
      <c r="H14773" t="s">
        <v>30915</v>
      </c>
      <c r="I14773" t="s">
        <v>30948</v>
      </c>
      <c r="J14773" t="s">
        <v>40183</v>
      </c>
      <c r="K14773" t="s">
        <v>40283</v>
      </c>
      <c r="M14773" t="s">
        <v>44743</v>
      </c>
      <c r="N14773" t="s">
        <v>44759</v>
      </c>
      <c r="O14773" t="s">
        <v>44760</v>
      </c>
      <c r="P14773">
        <v>0</v>
      </c>
      <c r="Q14773">
        <v>1</v>
      </c>
      <c r="R14773" t="s">
        <v>44780</v>
      </c>
      <c r="S14773" t="s">
        <v>45683</v>
      </c>
      <c r="T14773" t="s">
        <v>46414</v>
      </c>
      <c r="U14773" t="s">
        <v>58977</v>
      </c>
      <c r="W14773" t="s">
        <v>44743</v>
      </c>
      <c r="X14773" t="s">
        <v>44782</v>
      </c>
    </row>
    <row r="14774" spans="1:24">
      <c r="A14774">
        <f>HYPERLINK("https://www.philgeps.gov.ph/GEPSNONPILOT/Tender/SplashBidNoticeAbstractUI.aspx?menuIndex=3&amp;refID=7110973&amp;Result=3","7110973")</f>
        <v>0</v>
      </c>
      <c r="B14774" t="s">
        <v>86</v>
      </c>
      <c r="C14774" t="s">
        <v>17821</v>
      </c>
      <c r="D14774" t="s">
        <v>17963</v>
      </c>
      <c r="E14774" t="s">
        <v>30795</v>
      </c>
      <c r="F14774" t="s">
        <v>30900</v>
      </c>
      <c r="G14774" t="s">
        <v>30907</v>
      </c>
      <c r="H14774" t="s">
        <v>30915</v>
      </c>
      <c r="I14774" t="s">
        <v>30919</v>
      </c>
      <c r="J14774" t="s">
        <v>40184</v>
      </c>
      <c r="K14774" t="s">
        <v>40280</v>
      </c>
      <c r="M14774" t="s">
        <v>40633</v>
      </c>
      <c r="N14774" t="s">
        <v>44759</v>
      </c>
      <c r="O14774" t="s">
        <v>44760</v>
      </c>
      <c r="P14774">
        <v>0</v>
      </c>
      <c r="Q14774">
        <v>0</v>
      </c>
      <c r="R14774" t="s">
        <v>44780</v>
      </c>
      <c r="S14774" t="s">
        <v>45683</v>
      </c>
      <c r="T14774" t="s">
        <v>46591</v>
      </c>
      <c r="U14774" t="s">
        <v>58978</v>
      </c>
      <c r="W14774" t="s">
        <v>40633</v>
      </c>
      <c r="X14774" t="s">
        <v>44782</v>
      </c>
    </row>
    <row r="14775" spans="1:24">
      <c r="A14775">
        <f>HYPERLINK("https://www.philgeps.gov.ph/GEPSNONPILOT/Tender/SplashBidNoticeAbstractUI.aspx?menuIndex=3&amp;refID=7108765&amp;Result=3","7108765")</f>
        <v>0</v>
      </c>
      <c r="B14775" t="s">
        <v>1590</v>
      </c>
      <c r="C14775" t="s">
        <v>17822</v>
      </c>
      <c r="D14775" t="s">
        <v>17959</v>
      </c>
      <c r="E14775" t="s">
        <v>30796</v>
      </c>
      <c r="F14775" t="s">
        <v>30900</v>
      </c>
      <c r="G14775" t="s">
        <v>30908</v>
      </c>
      <c r="H14775" t="s">
        <v>30916</v>
      </c>
      <c r="I14775" t="s">
        <v>4108</v>
      </c>
      <c r="J14775" t="s">
        <v>32157</v>
      </c>
      <c r="K14775" t="s">
        <v>40287</v>
      </c>
      <c r="M14775" t="s">
        <v>42238</v>
      </c>
      <c r="N14775" t="s">
        <v>44759</v>
      </c>
      <c r="O14775" t="s">
        <v>44760</v>
      </c>
      <c r="Q14775">
        <v>6</v>
      </c>
      <c r="R14775" t="s">
        <v>44780</v>
      </c>
      <c r="S14775" t="s">
        <v>46328</v>
      </c>
      <c r="T14775" t="s">
        <v>46398</v>
      </c>
      <c r="U14775" t="s">
        <v>58979</v>
      </c>
      <c r="W14775" t="s">
        <v>42238</v>
      </c>
      <c r="X14775" t="s">
        <v>44783</v>
      </c>
    </row>
    <row r="14776" spans="1:24">
      <c r="A14776">
        <f>HYPERLINK("https://www.philgeps.gov.ph/GEPSNONPILOT/Tender/SplashBidNoticeAbstractUI.aspx?menuIndex=3&amp;refID=7091650-2&amp;Result=3","7091650-2")</f>
        <v>0</v>
      </c>
      <c r="B14776" t="s">
        <v>3000</v>
      </c>
      <c r="C14776" t="s">
        <v>17823</v>
      </c>
      <c r="E14776" t="s">
        <v>30797</v>
      </c>
      <c r="F14776" t="s">
        <v>30900</v>
      </c>
      <c r="G14776" t="s">
        <v>30907</v>
      </c>
      <c r="H14776" t="s">
        <v>7411</v>
      </c>
      <c r="I14776" t="s">
        <v>7411</v>
      </c>
      <c r="J14776" t="s">
        <v>40185</v>
      </c>
      <c r="K14776" t="s">
        <v>40302</v>
      </c>
      <c r="M14776" t="s">
        <v>43804</v>
      </c>
      <c r="N14776" t="s">
        <v>44759</v>
      </c>
      <c r="O14776" t="s">
        <v>44760</v>
      </c>
      <c r="P14776">
        <v>0</v>
      </c>
      <c r="Q14776">
        <v>0</v>
      </c>
      <c r="R14776" t="s">
        <v>44780</v>
      </c>
      <c r="S14776" t="s">
        <v>45683</v>
      </c>
      <c r="T14776" t="s">
        <v>46533</v>
      </c>
      <c r="U14776" t="s">
        <v>58980</v>
      </c>
      <c r="W14776" t="s">
        <v>43804</v>
      </c>
      <c r="X14776" t="s">
        <v>44781</v>
      </c>
    </row>
    <row r="14777" spans="1:24">
      <c r="A14777">
        <f>HYPERLINK("https://www.philgeps.gov.ph/GEPSNONPILOT/Tender/SplashBidNoticeAbstractUI.aspx?menuIndex=3&amp;refID=7113492&amp;Result=3","7113492")</f>
        <v>0</v>
      </c>
      <c r="B14777" t="s">
        <v>3613</v>
      </c>
      <c r="C14777" t="s">
        <v>17824</v>
      </c>
      <c r="D14777" t="s">
        <v>17990</v>
      </c>
      <c r="E14777" t="s">
        <v>30798</v>
      </c>
      <c r="F14777" t="s">
        <v>30900</v>
      </c>
      <c r="G14777" t="s">
        <v>30907</v>
      </c>
      <c r="H14777" t="s">
        <v>30916</v>
      </c>
      <c r="I14777" t="s">
        <v>30931</v>
      </c>
      <c r="J14777" t="s">
        <v>40186</v>
      </c>
      <c r="K14777" t="s">
        <v>40286</v>
      </c>
      <c r="M14777" t="s">
        <v>44543</v>
      </c>
      <c r="N14777" t="s">
        <v>44759</v>
      </c>
      <c r="O14777" t="s">
        <v>44760</v>
      </c>
      <c r="P14777">
        <v>0</v>
      </c>
      <c r="Q14777">
        <v>4</v>
      </c>
      <c r="R14777" t="s">
        <v>44780</v>
      </c>
      <c r="S14777" t="s">
        <v>45683</v>
      </c>
      <c r="T14777" t="s">
        <v>46581</v>
      </c>
      <c r="U14777" t="s">
        <v>58981</v>
      </c>
      <c r="V14777" t="s">
        <v>60802</v>
      </c>
      <c r="W14777" t="s">
        <v>44543</v>
      </c>
      <c r="X14777" t="s">
        <v>44781</v>
      </c>
    </row>
    <row r="14778" spans="1:24">
      <c r="A14778">
        <f>HYPERLINK("https://www.philgeps.gov.ph/GEPSNONPILOT/Tender/SplashBidNoticeAbstractUI.aspx?menuIndex=3&amp;refID=7112854&amp;Result=3","7112854")</f>
        <v>0</v>
      </c>
      <c r="B14778" t="s">
        <v>1908</v>
      </c>
      <c r="C14778" t="s">
        <v>17825</v>
      </c>
      <c r="D14778" t="s">
        <v>17963</v>
      </c>
      <c r="E14778" t="s">
        <v>30799</v>
      </c>
      <c r="F14778" t="s">
        <v>30900</v>
      </c>
      <c r="G14778" t="s">
        <v>30907</v>
      </c>
      <c r="H14778" t="s">
        <v>30915</v>
      </c>
      <c r="I14778" t="s">
        <v>30919</v>
      </c>
      <c r="J14778" t="s">
        <v>40187</v>
      </c>
      <c r="K14778" t="s">
        <v>40280</v>
      </c>
      <c r="M14778" t="s">
        <v>42586</v>
      </c>
      <c r="N14778" t="s">
        <v>44759</v>
      </c>
      <c r="O14778" t="s">
        <v>44760</v>
      </c>
      <c r="P14778">
        <v>0</v>
      </c>
      <c r="Q14778">
        <v>0</v>
      </c>
      <c r="R14778" t="s">
        <v>44780</v>
      </c>
      <c r="S14778" t="s">
        <v>45683</v>
      </c>
      <c r="T14778" t="s">
        <v>46658</v>
      </c>
      <c r="U14778" t="s">
        <v>58982</v>
      </c>
      <c r="W14778" t="s">
        <v>42586</v>
      </c>
      <c r="X14778" t="s">
        <v>44782</v>
      </c>
    </row>
    <row r="14779" spans="1:24">
      <c r="A14779">
        <f>HYPERLINK("https://www.philgeps.gov.ph/GEPSNONPILOT/Tender/SplashBidNoticeAbstractUI.aspx?menuIndex=3&amp;refID=7091212-2&amp;Result=3","7091212-2")</f>
        <v>0</v>
      </c>
      <c r="B14779" t="s">
        <v>1595</v>
      </c>
      <c r="C14779" t="s">
        <v>17826</v>
      </c>
      <c r="D14779" t="s">
        <v>17962</v>
      </c>
      <c r="E14779" t="s">
        <v>30800</v>
      </c>
      <c r="F14779" t="s">
        <v>30900</v>
      </c>
      <c r="G14779" t="s">
        <v>30907</v>
      </c>
      <c r="H14779" t="s">
        <v>7411</v>
      </c>
      <c r="I14779" t="s">
        <v>7411</v>
      </c>
      <c r="J14779" t="s">
        <v>40188</v>
      </c>
      <c r="K14779" t="s">
        <v>40283</v>
      </c>
      <c r="M14779" t="s">
        <v>42244</v>
      </c>
      <c r="N14779" t="s">
        <v>44759</v>
      </c>
      <c r="O14779" t="s">
        <v>44760</v>
      </c>
      <c r="P14779">
        <v>0</v>
      </c>
      <c r="Q14779">
        <v>1</v>
      </c>
      <c r="R14779" t="s">
        <v>44780</v>
      </c>
      <c r="S14779" t="s">
        <v>45683</v>
      </c>
      <c r="T14779" t="s">
        <v>46625</v>
      </c>
      <c r="U14779" t="s">
        <v>58983</v>
      </c>
      <c r="W14779" t="s">
        <v>42244</v>
      </c>
      <c r="X14779" t="s">
        <v>44781</v>
      </c>
    </row>
    <row r="14780" spans="1:24">
      <c r="A14780">
        <f>HYPERLINK("https://www.philgeps.gov.ph/GEPSNONPILOT/Tender/SplashBidNoticeAbstractUI.aspx?menuIndex=3&amp;refID=7112880&amp;Result=3","7112880")</f>
        <v>0</v>
      </c>
      <c r="B14780" t="s">
        <v>1908</v>
      </c>
      <c r="C14780" t="s">
        <v>17827</v>
      </c>
      <c r="D14780" t="s">
        <v>17963</v>
      </c>
      <c r="E14780" t="s">
        <v>30801</v>
      </c>
      <c r="F14780" t="s">
        <v>30900</v>
      </c>
      <c r="G14780" t="s">
        <v>30907</v>
      </c>
      <c r="H14780" t="s">
        <v>30916</v>
      </c>
      <c r="I14780" t="s">
        <v>30933</v>
      </c>
      <c r="J14780" t="s">
        <v>35994</v>
      </c>
      <c r="K14780" t="s">
        <v>40308</v>
      </c>
      <c r="M14780" t="s">
        <v>42586</v>
      </c>
      <c r="N14780" t="s">
        <v>44759</v>
      </c>
      <c r="O14780" t="s">
        <v>44760</v>
      </c>
      <c r="P14780">
        <v>0</v>
      </c>
      <c r="Q14780">
        <v>3</v>
      </c>
      <c r="R14780" t="s">
        <v>44780</v>
      </c>
      <c r="S14780" t="s">
        <v>45683</v>
      </c>
      <c r="T14780" t="s">
        <v>46658</v>
      </c>
      <c r="U14780" t="s">
        <v>58984</v>
      </c>
      <c r="V14780" t="s">
        <v>60803</v>
      </c>
      <c r="W14780" t="s">
        <v>42586</v>
      </c>
      <c r="X14780" t="s">
        <v>44782</v>
      </c>
    </row>
    <row r="14781" spans="1:24">
      <c r="A14781">
        <f>HYPERLINK("https://www.philgeps.gov.ph/GEPSNONPILOT/Tender/SplashBidNoticeAbstractUI.aspx?menuIndex=3&amp;refID=7111082&amp;Result=3","7111082")</f>
        <v>0</v>
      </c>
      <c r="B14781" t="s">
        <v>86</v>
      </c>
      <c r="C14781" t="s">
        <v>17828</v>
      </c>
      <c r="D14781" t="s">
        <v>17963</v>
      </c>
      <c r="E14781" t="s">
        <v>30802</v>
      </c>
      <c r="F14781" t="s">
        <v>30900</v>
      </c>
      <c r="G14781" t="s">
        <v>30907</v>
      </c>
      <c r="H14781" t="s">
        <v>30915</v>
      </c>
      <c r="I14781" t="s">
        <v>30919</v>
      </c>
      <c r="J14781" t="s">
        <v>31141</v>
      </c>
      <c r="K14781" t="s">
        <v>40280</v>
      </c>
      <c r="M14781" t="s">
        <v>40633</v>
      </c>
      <c r="N14781" t="s">
        <v>44759</v>
      </c>
      <c r="O14781" t="s">
        <v>44760</v>
      </c>
      <c r="P14781">
        <v>0</v>
      </c>
      <c r="Q14781">
        <v>0</v>
      </c>
      <c r="R14781" t="s">
        <v>44780</v>
      </c>
      <c r="S14781" t="s">
        <v>45683</v>
      </c>
      <c r="T14781" t="s">
        <v>46591</v>
      </c>
      <c r="U14781" t="s">
        <v>58985</v>
      </c>
      <c r="W14781" t="s">
        <v>40633</v>
      </c>
      <c r="X14781" t="s">
        <v>44782</v>
      </c>
    </row>
    <row r="14782" spans="1:24">
      <c r="A14782">
        <f>HYPERLINK("https://www.philgeps.gov.ph/GEPSNONPILOT/Tender/SplashBidNoticeAbstractUI.aspx?menuIndex=3&amp;refID=7119049&amp;Result=3","7119049")</f>
        <v>0</v>
      </c>
      <c r="B14782" t="s">
        <v>2164</v>
      </c>
      <c r="C14782" t="s">
        <v>17829</v>
      </c>
      <c r="D14782" t="s">
        <v>17974</v>
      </c>
      <c r="E14782" t="s">
        <v>30803</v>
      </c>
      <c r="F14782" t="s">
        <v>30900</v>
      </c>
      <c r="G14782" t="s">
        <v>30907</v>
      </c>
      <c r="H14782" t="s">
        <v>30916</v>
      </c>
      <c r="I14782" t="s">
        <v>31011</v>
      </c>
      <c r="J14782" t="s">
        <v>31391</v>
      </c>
      <c r="K14782" t="s">
        <v>40286</v>
      </c>
      <c r="M14782" t="s">
        <v>42869</v>
      </c>
      <c r="N14782" t="s">
        <v>44759</v>
      </c>
      <c r="O14782" t="s">
        <v>44760</v>
      </c>
      <c r="P14782">
        <v>0</v>
      </c>
      <c r="Q14782">
        <v>4</v>
      </c>
      <c r="R14782" t="s">
        <v>44779</v>
      </c>
      <c r="S14782" t="s">
        <v>45618</v>
      </c>
      <c r="T14782" t="s">
        <v>46425</v>
      </c>
      <c r="U14782" t="s">
        <v>58986</v>
      </c>
      <c r="W14782" t="s">
        <v>42869</v>
      </c>
      <c r="X14782" t="s">
        <v>44780</v>
      </c>
    </row>
    <row r="14783" spans="1:24">
      <c r="A14783">
        <f>HYPERLINK("https://www.philgeps.gov.ph/GEPSNONPILOT/Tender/SplashBidNoticeAbstractUI.aspx?menuIndex=3&amp;refID=7111413&amp;Result=3","7111413")</f>
        <v>0</v>
      </c>
      <c r="B14783" t="s">
        <v>591</v>
      </c>
      <c r="C14783" t="s">
        <v>17830</v>
      </c>
      <c r="D14783" t="s">
        <v>17998</v>
      </c>
      <c r="E14783" t="s">
        <v>30804</v>
      </c>
      <c r="F14783" t="s">
        <v>30900</v>
      </c>
      <c r="G14783" t="s">
        <v>30907</v>
      </c>
      <c r="H14783" t="s">
        <v>30916</v>
      </c>
      <c r="I14783" t="s">
        <v>5501</v>
      </c>
      <c r="J14783" t="s">
        <v>40189</v>
      </c>
      <c r="K14783" t="s">
        <v>40286</v>
      </c>
      <c r="M14783" t="s">
        <v>41247</v>
      </c>
      <c r="N14783" t="s">
        <v>44759</v>
      </c>
      <c r="O14783" t="s">
        <v>44760</v>
      </c>
      <c r="P14783">
        <v>0</v>
      </c>
      <c r="Q14783">
        <v>5</v>
      </c>
      <c r="R14783" t="s">
        <v>44780</v>
      </c>
      <c r="S14783" t="s">
        <v>45683</v>
      </c>
      <c r="T14783" t="s">
        <v>46389</v>
      </c>
      <c r="U14783" t="s">
        <v>47981</v>
      </c>
      <c r="V14783" t="s">
        <v>59259</v>
      </c>
      <c r="W14783" t="s">
        <v>41247</v>
      </c>
      <c r="X14783" t="s">
        <v>44782</v>
      </c>
    </row>
    <row r="14784" spans="1:24">
      <c r="A14784">
        <f>HYPERLINK("https://www.philgeps.gov.ph/GEPSNONPILOT/Tender/SplashBidNoticeAbstractUI.aspx?menuIndex=3&amp;refID=7118999&amp;Result=3","7118999")</f>
        <v>0</v>
      </c>
      <c r="B14784" t="s">
        <v>3609</v>
      </c>
      <c r="C14784" t="s">
        <v>17831</v>
      </c>
      <c r="D14784" t="s">
        <v>17954</v>
      </c>
      <c r="E14784" t="s">
        <v>22351</v>
      </c>
      <c r="F14784" t="s">
        <v>30900</v>
      </c>
      <c r="G14784" t="s">
        <v>30907</v>
      </c>
      <c r="H14784" t="s">
        <v>30915</v>
      </c>
      <c r="I14784" t="s">
        <v>30919</v>
      </c>
      <c r="J14784" t="s">
        <v>40190</v>
      </c>
      <c r="K14784" t="s">
        <v>40509</v>
      </c>
      <c r="L14784" t="s">
        <v>3609</v>
      </c>
      <c r="M14784" t="s">
        <v>44537</v>
      </c>
      <c r="N14784" t="s">
        <v>44759</v>
      </c>
      <c r="O14784" t="s">
        <v>44760</v>
      </c>
      <c r="P14784">
        <v>0</v>
      </c>
      <c r="Q14784">
        <v>2</v>
      </c>
      <c r="R14784" t="s">
        <v>44779</v>
      </c>
      <c r="S14784" t="s">
        <v>45618</v>
      </c>
      <c r="T14784" t="s">
        <v>46623</v>
      </c>
      <c r="U14784" t="s">
        <v>58987</v>
      </c>
      <c r="W14784" t="s">
        <v>44537</v>
      </c>
      <c r="X14784" t="s">
        <v>44780</v>
      </c>
    </row>
    <row r="14785" spans="1:24">
      <c r="A14785">
        <f>HYPERLINK("https://www.philgeps.gov.ph/GEPSNONPILOT/Tender/SplashBidNoticeAbstractUI.aspx?menuIndex=3&amp;refID=7118990&amp;Result=3","7118990")</f>
        <v>0</v>
      </c>
      <c r="B14785" t="s">
        <v>3609</v>
      </c>
      <c r="C14785" t="s">
        <v>17832</v>
      </c>
      <c r="D14785" t="s">
        <v>17954</v>
      </c>
      <c r="E14785" t="s">
        <v>22263</v>
      </c>
      <c r="F14785" t="s">
        <v>30900</v>
      </c>
      <c r="G14785" t="s">
        <v>30907</v>
      </c>
      <c r="H14785" t="s">
        <v>30915</v>
      </c>
      <c r="I14785" t="s">
        <v>30919</v>
      </c>
      <c r="J14785" t="s">
        <v>40191</v>
      </c>
      <c r="K14785" t="s">
        <v>40358</v>
      </c>
      <c r="L14785" t="s">
        <v>3609</v>
      </c>
      <c r="M14785" t="s">
        <v>44537</v>
      </c>
      <c r="N14785" t="s">
        <v>44759</v>
      </c>
      <c r="O14785" t="s">
        <v>44760</v>
      </c>
      <c r="P14785">
        <v>0</v>
      </c>
      <c r="Q14785">
        <v>0</v>
      </c>
      <c r="R14785" t="s">
        <v>44779</v>
      </c>
      <c r="S14785" t="s">
        <v>45618</v>
      </c>
      <c r="T14785" t="s">
        <v>46623</v>
      </c>
      <c r="U14785" t="s">
        <v>58988</v>
      </c>
      <c r="W14785" t="s">
        <v>44537</v>
      </c>
      <c r="X14785" t="s">
        <v>44780</v>
      </c>
    </row>
    <row r="14786" spans="1:24">
      <c r="A14786">
        <f>HYPERLINK("https://www.philgeps.gov.ph/GEPSNONPILOT/Tender/SplashBidNoticeAbstractUI.aspx?menuIndex=3&amp;refID=7119007&amp;Result=3","7119007")</f>
        <v>0</v>
      </c>
      <c r="B14786" t="s">
        <v>3254</v>
      </c>
      <c r="C14786" t="s">
        <v>17833</v>
      </c>
      <c r="D14786" t="s">
        <v>17963</v>
      </c>
      <c r="E14786" t="s">
        <v>30805</v>
      </c>
      <c r="F14786" t="s">
        <v>30900</v>
      </c>
      <c r="G14786" t="s">
        <v>30907</v>
      </c>
      <c r="H14786" t="s">
        <v>30916</v>
      </c>
      <c r="I14786" t="s">
        <v>8123</v>
      </c>
      <c r="J14786" t="s">
        <v>40192</v>
      </c>
      <c r="K14786" t="s">
        <v>40286</v>
      </c>
      <c r="L14786" t="s">
        <v>3254</v>
      </c>
      <c r="M14786" t="s">
        <v>44099</v>
      </c>
      <c r="N14786" t="s">
        <v>44759</v>
      </c>
      <c r="O14786" t="s">
        <v>44760</v>
      </c>
      <c r="P14786">
        <v>0</v>
      </c>
      <c r="Q14786">
        <v>2</v>
      </c>
      <c r="R14786" t="s">
        <v>44779</v>
      </c>
      <c r="S14786" t="s">
        <v>45618</v>
      </c>
      <c r="T14786" t="s">
        <v>46533</v>
      </c>
      <c r="U14786" t="s">
        <v>58989</v>
      </c>
      <c r="W14786" t="s">
        <v>44099</v>
      </c>
      <c r="X14786" t="s">
        <v>44780</v>
      </c>
    </row>
    <row r="14787" spans="1:24">
      <c r="A14787">
        <f>HYPERLINK("https://www.philgeps.gov.ph/GEPSNONPILOT/Tender/SplashBidNoticeAbstractUI.aspx?menuIndex=3&amp;refID=7118983&amp;Result=3","7118983")</f>
        <v>0</v>
      </c>
      <c r="B14787" t="s">
        <v>3609</v>
      </c>
      <c r="C14787" t="s">
        <v>17834</v>
      </c>
      <c r="D14787" t="s">
        <v>17954</v>
      </c>
      <c r="E14787" t="s">
        <v>22234</v>
      </c>
      <c r="F14787" t="s">
        <v>30900</v>
      </c>
      <c r="G14787" t="s">
        <v>30907</v>
      </c>
      <c r="H14787" t="s">
        <v>30915</v>
      </c>
      <c r="I14787" t="s">
        <v>30919</v>
      </c>
      <c r="J14787" t="s">
        <v>40193</v>
      </c>
      <c r="K14787" t="s">
        <v>40380</v>
      </c>
      <c r="L14787" t="s">
        <v>3609</v>
      </c>
      <c r="M14787" t="s">
        <v>44537</v>
      </c>
      <c r="N14787" t="s">
        <v>44759</v>
      </c>
      <c r="O14787" t="s">
        <v>44760</v>
      </c>
      <c r="P14787">
        <v>0</v>
      </c>
      <c r="Q14787">
        <v>1</v>
      </c>
      <c r="R14787" t="s">
        <v>44779</v>
      </c>
      <c r="S14787" t="s">
        <v>45618</v>
      </c>
      <c r="T14787" t="s">
        <v>46623</v>
      </c>
      <c r="U14787" t="s">
        <v>58990</v>
      </c>
      <c r="W14787" t="s">
        <v>44537</v>
      </c>
      <c r="X14787" t="s">
        <v>44780</v>
      </c>
    </row>
    <row r="14788" spans="1:24">
      <c r="A14788">
        <f>HYPERLINK("https://www.philgeps.gov.ph/GEPSNONPILOT/Tender/SplashBidNoticeAbstractUI.aspx?menuIndex=3&amp;refID=7118726&amp;Result=3","7118726")</f>
        <v>0</v>
      </c>
      <c r="B14788" t="s">
        <v>3605</v>
      </c>
      <c r="C14788" t="s">
        <v>17835</v>
      </c>
      <c r="D14788" t="s">
        <v>17959</v>
      </c>
      <c r="E14788" t="s">
        <v>30806</v>
      </c>
      <c r="F14788" t="s">
        <v>30900</v>
      </c>
      <c r="G14788" t="s">
        <v>30907</v>
      </c>
      <c r="H14788" t="s">
        <v>30915</v>
      </c>
      <c r="I14788" t="s">
        <v>30919</v>
      </c>
      <c r="J14788" t="s">
        <v>40194</v>
      </c>
      <c r="K14788" t="s">
        <v>40406</v>
      </c>
      <c r="M14788" t="s">
        <v>44532</v>
      </c>
      <c r="N14788" t="s">
        <v>44759</v>
      </c>
      <c r="O14788" t="s">
        <v>44760</v>
      </c>
      <c r="Q14788">
        <v>15</v>
      </c>
      <c r="R14788" t="s">
        <v>44779</v>
      </c>
      <c r="S14788" t="s">
        <v>46329</v>
      </c>
      <c r="T14788" t="s">
        <v>46533</v>
      </c>
      <c r="U14788" t="s">
        <v>57744</v>
      </c>
      <c r="W14788" t="s">
        <v>44532</v>
      </c>
      <c r="X14788" t="s">
        <v>44780</v>
      </c>
    </row>
    <row r="14789" spans="1:24">
      <c r="A14789">
        <f>HYPERLINK("https://www.philgeps.gov.ph/GEPSNONPILOT/Tender/SplashBidNoticeAbstractUI.aspx?menuIndex=3&amp;refID=7009365-2&amp;Result=3","7009365-2")</f>
        <v>0</v>
      </c>
      <c r="B14789" t="s">
        <v>2276</v>
      </c>
      <c r="C14789" t="s">
        <v>17836</v>
      </c>
      <c r="E14789" t="s">
        <v>30807</v>
      </c>
      <c r="F14789" t="s">
        <v>30900</v>
      </c>
      <c r="G14789" t="s">
        <v>30907</v>
      </c>
      <c r="H14789" t="s">
        <v>7411</v>
      </c>
      <c r="I14789" t="s">
        <v>7411</v>
      </c>
      <c r="J14789" t="s">
        <v>37795</v>
      </c>
      <c r="K14789" t="s">
        <v>40334</v>
      </c>
      <c r="M14789" t="s">
        <v>44587</v>
      </c>
      <c r="N14789" t="s">
        <v>44759</v>
      </c>
      <c r="O14789" t="s">
        <v>44760</v>
      </c>
      <c r="Q14789">
        <v>0</v>
      </c>
      <c r="R14789" t="s">
        <v>44780</v>
      </c>
      <c r="S14789" t="s">
        <v>45602</v>
      </c>
      <c r="T14789" t="s">
        <v>46403</v>
      </c>
      <c r="U14789" t="s">
        <v>58991</v>
      </c>
      <c r="W14789" t="s">
        <v>44587</v>
      </c>
      <c r="X14789" t="s">
        <v>44781</v>
      </c>
    </row>
    <row r="14790" spans="1:24">
      <c r="A14790">
        <f>HYPERLINK("https://www.philgeps.gov.ph/GEPSNONPILOT/Tender/SplashBidNoticeAbstractUI.aspx?menuIndex=3&amp;refID=7118706&amp;Result=3","7118706")</f>
        <v>0</v>
      </c>
      <c r="B14790" t="s">
        <v>1574</v>
      </c>
      <c r="C14790" t="s">
        <v>17837</v>
      </c>
      <c r="D14790" t="s">
        <v>18019</v>
      </c>
      <c r="E14790" t="s">
        <v>30808</v>
      </c>
      <c r="F14790" t="s">
        <v>30900</v>
      </c>
      <c r="G14790" t="s">
        <v>30907</v>
      </c>
      <c r="H14790" t="s">
        <v>30915</v>
      </c>
      <c r="I14790" t="s">
        <v>30919</v>
      </c>
      <c r="J14790" t="s">
        <v>40195</v>
      </c>
      <c r="K14790" t="s">
        <v>40286</v>
      </c>
      <c r="M14790" t="s">
        <v>42222</v>
      </c>
      <c r="N14790" t="s">
        <v>44759</v>
      </c>
      <c r="O14790" t="s">
        <v>44760</v>
      </c>
      <c r="P14790">
        <v>0</v>
      </c>
      <c r="Q14790">
        <v>0</v>
      </c>
      <c r="R14790" t="s">
        <v>44779</v>
      </c>
      <c r="S14790" t="s">
        <v>45618</v>
      </c>
      <c r="T14790" t="s">
        <v>46484</v>
      </c>
      <c r="U14790" t="s">
        <v>52603</v>
      </c>
      <c r="W14790" t="s">
        <v>42222</v>
      </c>
      <c r="X14790" t="s">
        <v>44780</v>
      </c>
    </row>
    <row r="14791" spans="1:24">
      <c r="A14791">
        <f>HYPERLINK("https://www.philgeps.gov.ph/GEPSNONPILOT/Tender/SplashBidNoticeAbstractUI.aspx?menuIndex=3&amp;refID=7118489&amp;Result=3","7118489")</f>
        <v>0</v>
      </c>
      <c r="B14791" t="s">
        <v>3607</v>
      </c>
      <c r="C14791" t="s">
        <v>17838</v>
      </c>
      <c r="D14791" t="s">
        <v>17978</v>
      </c>
      <c r="E14791" t="s">
        <v>30809</v>
      </c>
      <c r="F14791" t="s">
        <v>30900</v>
      </c>
      <c r="G14791" t="s">
        <v>30907</v>
      </c>
      <c r="H14791" t="s">
        <v>30916</v>
      </c>
      <c r="I14791" t="s">
        <v>30934</v>
      </c>
      <c r="J14791" t="s">
        <v>32383</v>
      </c>
      <c r="K14791" t="s">
        <v>40286</v>
      </c>
      <c r="M14791" t="s">
        <v>44535</v>
      </c>
      <c r="N14791" t="s">
        <v>44759</v>
      </c>
      <c r="O14791" t="s">
        <v>44760</v>
      </c>
      <c r="P14791">
        <v>0</v>
      </c>
      <c r="Q14791">
        <v>4</v>
      </c>
      <c r="R14791" t="s">
        <v>44779</v>
      </c>
      <c r="S14791" t="s">
        <v>45618</v>
      </c>
      <c r="T14791" t="s">
        <v>46404</v>
      </c>
      <c r="U14791" t="s">
        <v>58992</v>
      </c>
      <c r="W14791" t="s">
        <v>44535</v>
      </c>
      <c r="X14791" t="s">
        <v>44780</v>
      </c>
    </row>
    <row r="14792" spans="1:24">
      <c r="A14792">
        <f>HYPERLINK("https://www.philgeps.gov.ph/GEPSNONPILOT/Tender/SplashBidNoticeAbstractUI.aspx?menuIndex=3&amp;refID=7105072&amp;Result=3","7105072")</f>
        <v>0</v>
      </c>
      <c r="B14792" t="s">
        <v>1192</v>
      </c>
      <c r="C14792" t="s">
        <v>17839</v>
      </c>
      <c r="D14792" t="s">
        <v>18021</v>
      </c>
      <c r="E14792" t="s">
        <v>30810</v>
      </c>
      <c r="F14792" t="s">
        <v>30900</v>
      </c>
      <c r="G14792" t="s">
        <v>30907</v>
      </c>
      <c r="H14792" t="s">
        <v>30915</v>
      </c>
      <c r="I14792" t="s">
        <v>30964</v>
      </c>
      <c r="J14792" t="s">
        <v>40196</v>
      </c>
      <c r="K14792" t="s">
        <v>40289</v>
      </c>
      <c r="M14792" t="s">
        <v>41802</v>
      </c>
      <c r="N14792" t="s">
        <v>44759</v>
      </c>
      <c r="O14792" t="s">
        <v>44760</v>
      </c>
      <c r="P14792">
        <v>0</v>
      </c>
      <c r="Q14792">
        <v>8</v>
      </c>
      <c r="R14792" t="s">
        <v>44780</v>
      </c>
      <c r="S14792" t="s">
        <v>45683</v>
      </c>
      <c r="T14792" t="s">
        <v>46443</v>
      </c>
      <c r="U14792" t="s">
        <v>58993</v>
      </c>
      <c r="V14792" t="s">
        <v>59429</v>
      </c>
      <c r="W14792" t="s">
        <v>41802</v>
      </c>
      <c r="X14792" t="s">
        <v>44784</v>
      </c>
    </row>
    <row r="14793" spans="1:24">
      <c r="A14793">
        <f>HYPERLINK("https://www.philgeps.gov.ph/GEPSNONPILOT/Tender/SplashBidNoticeAbstractUI.aspx?menuIndex=3&amp;refID=7118477&amp;Result=3","7118477")</f>
        <v>0</v>
      </c>
      <c r="B14793" t="s">
        <v>1574</v>
      </c>
      <c r="C14793" t="s">
        <v>17840</v>
      </c>
      <c r="D14793" t="s">
        <v>18019</v>
      </c>
      <c r="E14793" t="s">
        <v>30811</v>
      </c>
      <c r="F14793" t="s">
        <v>30900</v>
      </c>
      <c r="G14793" t="s">
        <v>30907</v>
      </c>
      <c r="H14793" t="s">
        <v>30915</v>
      </c>
      <c r="I14793" t="s">
        <v>30919</v>
      </c>
      <c r="J14793" t="s">
        <v>40197</v>
      </c>
      <c r="K14793" t="s">
        <v>40483</v>
      </c>
      <c r="M14793" t="s">
        <v>42222</v>
      </c>
      <c r="N14793" t="s">
        <v>44759</v>
      </c>
      <c r="O14793" t="s">
        <v>44760</v>
      </c>
      <c r="P14793">
        <v>0</v>
      </c>
      <c r="Q14793">
        <v>0</v>
      </c>
      <c r="R14793" t="s">
        <v>44779</v>
      </c>
      <c r="S14793" t="s">
        <v>45618</v>
      </c>
      <c r="T14793" t="s">
        <v>46484</v>
      </c>
      <c r="U14793" t="s">
        <v>52603</v>
      </c>
      <c r="W14793" t="s">
        <v>42222</v>
      </c>
      <c r="X14793" t="s">
        <v>44780</v>
      </c>
    </row>
    <row r="14794" spans="1:24">
      <c r="A14794">
        <f>HYPERLINK("https://www.philgeps.gov.ph/GEPSNONPILOT/Tender/SplashBidNoticeAbstractUI.aspx?menuIndex=3&amp;refID=7118476&amp;Result=3","7118476")</f>
        <v>0</v>
      </c>
      <c r="B14794" t="s">
        <v>3755</v>
      </c>
      <c r="C14794" t="s">
        <v>17841</v>
      </c>
      <c r="D14794" t="s">
        <v>17973</v>
      </c>
      <c r="E14794" t="s">
        <v>29506</v>
      </c>
      <c r="F14794" t="s">
        <v>30900</v>
      </c>
      <c r="G14794" t="s">
        <v>30907</v>
      </c>
      <c r="H14794" t="s">
        <v>30916</v>
      </c>
      <c r="I14794" t="s">
        <v>8123</v>
      </c>
      <c r="J14794" t="s">
        <v>33233</v>
      </c>
      <c r="K14794" t="s">
        <v>40287</v>
      </c>
      <c r="M14794" t="s">
        <v>44744</v>
      </c>
      <c r="N14794" t="s">
        <v>44759</v>
      </c>
      <c r="O14794" t="s">
        <v>44760</v>
      </c>
      <c r="P14794">
        <v>0</v>
      </c>
      <c r="Q14794">
        <v>0</v>
      </c>
      <c r="R14794" t="s">
        <v>44779</v>
      </c>
      <c r="S14794" t="s">
        <v>45618</v>
      </c>
      <c r="T14794" t="s">
        <v>46399</v>
      </c>
      <c r="U14794" t="s">
        <v>58994</v>
      </c>
      <c r="W14794" t="s">
        <v>44744</v>
      </c>
      <c r="X14794" t="s">
        <v>44780</v>
      </c>
    </row>
    <row r="14795" spans="1:24">
      <c r="A14795">
        <f>HYPERLINK("https://www.philgeps.gov.ph/GEPSNONPILOT/Tender/SplashBidNoticeAbstractUI.aspx?menuIndex=3&amp;refID=7118700&amp;Result=3","7118700")</f>
        <v>0</v>
      </c>
      <c r="B14795" t="s">
        <v>3605</v>
      </c>
      <c r="C14795" t="s">
        <v>17842</v>
      </c>
      <c r="D14795" t="s">
        <v>17959</v>
      </c>
      <c r="E14795" t="s">
        <v>30812</v>
      </c>
      <c r="F14795" t="s">
        <v>30900</v>
      </c>
      <c r="G14795" t="s">
        <v>30907</v>
      </c>
      <c r="H14795" t="s">
        <v>30915</v>
      </c>
      <c r="I14795" t="s">
        <v>30919</v>
      </c>
      <c r="J14795" t="s">
        <v>40198</v>
      </c>
      <c r="K14795" t="s">
        <v>40406</v>
      </c>
      <c r="M14795" t="s">
        <v>44532</v>
      </c>
      <c r="N14795" t="s">
        <v>44759</v>
      </c>
      <c r="O14795" t="s">
        <v>44760</v>
      </c>
      <c r="Q14795">
        <v>19</v>
      </c>
      <c r="R14795" t="s">
        <v>44779</v>
      </c>
      <c r="S14795" t="s">
        <v>46330</v>
      </c>
      <c r="T14795" t="s">
        <v>46533</v>
      </c>
      <c r="U14795" t="s">
        <v>57744</v>
      </c>
      <c r="W14795" t="s">
        <v>44532</v>
      </c>
      <c r="X14795" t="s">
        <v>44780</v>
      </c>
    </row>
    <row r="14796" spans="1:24">
      <c r="A14796">
        <f>HYPERLINK("https://www.philgeps.gov.ph/GEPSNONPILOT/Tender/SplashBidNoticeAbstractUI.aspx?menuIndex=3&amp;refID=7091266-2&amp;Result=3","7091266-2")</f>
        <v>0</v>
      </c>
      <c r="B14796" t="s">
        <v>1595</v>
      </c>
      <c r="C14796" t="s">
        <v>17843</v>
      </c>
      <c r="D14796" t="s">
        <v>17962</v>
      </c>
      <c r="E14796" t="s">
        <v>30813</v>
      </c>
      <c r="F14796" t="s">
        <v>30900</v>
      </c>
      <c r="G14796" t="s">
        <v>30907</v>
      </c>
      <c r="H14796" t="s">
        <v>7411</v>
      </c>
      <c r="I14796" t="s">
        <v>7411</v>
      </c>
      <c r="J14796" t="s">
        <v>40199</v>
      </c>
      <c r="K14796" t="s">
        <v>40286</v>
      </c>
      <c r="M14796" t="s">
        <v>42244</v>
      </c>
      <c r="N14796" t="s">
        <v>44759</v>
      </c>
      <c r="O14796" t="s">
        <v>44760</v>
      </c>
      <c r="P14796">
        <v>0</v>
      </c>
      <c r="Q14796">
        <v>1</v>
      </c>
      <c r="R14796" t="s">
        <v>44780</v>
      </c>
      <c r="S14796" t="s">
        <v>45683</v>
      </c>
      <c r="T14796" t="s">
        <v>46625</v>
      </c>
      <c r="U14796" t="s">
        <v>58995</v>
      </c>
      <c r="W14796" t="s">
        <v>42244</v>
      </c>
      <c r="X14796" t="s">
        <v>44781</v>
      </c>
    </row>
    <row r="14797" spans="1:24">
      <c r="A14797">
        <f>HYPERLINK("https://www.philgeps.gov.ph/GEPSNONPILOT/Tender/SplashBidNoticeAbstractUI.aspx?menuIndex=3&amp;refID=7118372&amp;Result=3","7118372")</f>
        <v>0</v>
      </c>
      <c r="B14797" t="s">
        <v>3185</v>
      </c>
      <c r="C14797" t="s">
        <v>4821</v>
      </c>
      <c r="D14797" t="s">
        <v>17961</v>
      </c>
      <c r="E14797" t="s">
        <v>29413</v>
      </c>
      <c r="F14797" t="s">
        <v>30900</v>
      </c>
      <c r="G14797" t="s">
        <v>30907</v>
      </c>
      <c r="H14797" t="s">
        <v>30916</v>
      </c>
      <c r="I14797" t="s">
        <v>30937</v>
      </c>
      <c r="J14797" t="s">
        <v>40200</v>
      </c>
      <c r="K14797" t="s">
        <v>40284</v>
      </c>
      <c r="M14797" t="s">
        <v>44016</v>
      </c>
      <c r="N14797" t="s">
        <v>44759</v>
      </c>
      <c r="O14797" t="s">
        <v>44760</v>
      </c>
      <c r="P14797">
        <v>0</v>
      </c>
      <c r="Q14797">
        <v>2</v>
      </c>
      <c r="R14797" t="s">
        <v>44779</v>
      </c>
      <c r="S14797" t="s">
        <v>45618</v>
      </c>
      <c r="T14797" t="s">
        <v>46445</v>
      </c>
      <c r="U14797" t="s">
        <v>58996</v>
      </c>
      <c r="W14797" t="s">
        <v>44016</v>
      </c>
      <c r="X14797" t="s">
        <v>44780</v>
      </c>
    </row>
    <row r="14798" spans="1:24">
      <c r="A14798">
        <f>HYPERLINK("https://www.philgeps.gov.ph/GEPSNONPILOT/Tender/SplashBidNoticeAbstractUI.aspx?menuIndex=3&amp;refID=7118995&amp;Result=3","7118995")</f>
        <v>0</v>
      </c>
      <c r="B14798" t="s">
        <v>3281</v>
      </c>
      <c r="C14798" t="s">
        <v>17844</v>
      </c>
      <c r="D14798" t="s">
        <v>17991</v>
      </c>
      <c r="E14798" t="s">
        <v>30814</v>
      </c>
      <c r="F14798" t="s">
        <v>30900</v>
      </c>
      <c r="G14798" t="s">
        <v>30907</v>
      </c>
      <c r="H14798" t="s">
        <v>30916</v>
      </c>
      <c r="I14798" t="s">
        <v>30933</v>
      </c>
      <c r="J14798" t="s">
        <v>40201</v>
      </c>
      <c r="K14798" t="s">
        <v>40294</v>
      </c>
      <c r="M14798" t="s">
        <v>44129</v>
      </c>
      <c r="N14798" t="s">
        <v>44759</v>
      </c>
      <c r="O14798" t="s">
        <v>44760</v>
      </c>
      <c r="P14798">
        <v>0</v>
      </c>
      <c r="Q14798">
        <v>0</v>
      </c>
      <c r="R14798" t="s">
        <v>44779</v>
      </c>
      <c r="S14798" t="s">
        <v>45618</v>
      </c>
      <c r="T14798" t="s">
        <v>46533</v>
      </c>
      <c r="U14798" t="s">
        <v>55963</v>
      </c>
      <c r="W14798" t="s">
        <v>44129</v>
      </c>
      <c r="X14798" t="s">
        <v>44780</v>
      </c>
    </row>
    <row r="14799" spans="1:24">
      <c r="A14799">
        <f>HYPERLINK("https://www.philgeps.gov.ph/GEPSNONPILOT/Tender/SplashBidNoticeAbstractUI.aspx?menuIndex=3&amp;refID=7118328&amp;Result=3","7118328")</f>
        <v>0</v>
      </c>
      <c r="B14799" t="s">
        <v>3185</v>
      </c>
      <c r="C14799" t="s">
        <v>5334</v>
      </c>
      <c r="D14799" t="s">
        <v>17961</v>
      </c>
      <c r="E14799" t="s">
        <v>29413</v>
      </c>
      <c r="F14799" t="s">
        <v>30900</v>
      </c>
      <c r="G14799" t="s">
        <v>30907</v>
      </c>
      <c r="H14799" t="s">
        <v>30916</v>
      </c>
      <c r="I14799" t="s">
        <v>10847</v>
      </c>
      <c r="J14799" t="s">
        <v>34077</v>
      </c>
      <c r="K14799" t="s">
        <v>40284</v>
      </c>
      <c r="M14799" t="s">
        <v>44016</v>
      </c>
      <c r="N14799" t="s">
        <v>44759</v>
      </c>
      <c r="O14799" t="s">
        <v>44760</v>
      </c>
      <c r="P14799">
        <v>0</v>
      </c>
      <c r="Q14799">
        <v>0</v>
      </c>
      <c r="R14799" t="s">
        <v>44779</v>
      </c>
      <c r="S14799" t="s">
        <v>45618</v>
      </c>
      <c r="T14799" t="s">
        <v>46445</v>
      </c>
      <c r="U14799" t="s">
        <v>58997</v>
      </c>
      <c r="W14799" t="s">
        <v>44016</v>
      </c>
      <c r="X14799" t="s">
        <v>44780</v>
      </c>
    </row>
    <row r="14800" spans="1:24">
      <c r="A14800">
        <f>HYPERLINK("https://www.philgeps.gov.ph/GEPSNONPILOT/Tender/SplashBidNoticeAbstractUI.aspx?menuIndex=3&amp;refID=7118300&amp;Result=3","7118300")</f>
        <v>0</v>
      </c>
      <c r="B14800" t="s">
        <v>629</v>
      </c>
      <c r="C14800" t="s">
        <v>17845</v>
      </c>
      <c r="D14800" t="s">
        <v>17992</v>
      </c>
      <c r="E14800" t="s">
        <v>30815</v>
      </c>
      <c r="F14800" t="s">
        <v>30900</v>
      </c>
      <c r="G14800" t="s">
        <v>30907</v>
      </c>
      <c r="H14800" t="s">
        <v>30916</v>
      </c>
      <c r="I14800" t="s">
        <v>30947</v>
      </c>
      <c r="J14800" t="s">
        <v>40202</v>
      </c>
      <c r="K14800" t="s">
        <v>40286</v>
      </c>
      <c r="M14800" t="s">
        <v>41485</v>
      </c>
      <c r="N14800" t="s">
        <v>44759</v>
      </c>
      <c r="O14800" t="s">
        <v>44760</v>
      </c>
      <c r="Q14800">
        <v>9</v>
      </c>
      <c r="R14800" t="s">
        <v>44779</v>
      </c>
      <c r="S14800" t="s">
        <v>46331</v>
      </c>
      <c r="T14800" t="s">
        <v>46613</v>
      </c>
      <c r="U14800" t="s">
        <v>58998</v>
      </c>
      <c r="W14800" t="s">
        <v>41485</v>
      </c>
      <c r="X14800" t="s">
        <v>44780</v>
      </c>
    </row>
    <row r="14801" spans="1:24">
      <c r="A14801">
        <f>HYPERLINK("https://www.philgeps.gov.ph/GEPSNONPILOT/Tender/SplashBidNoticeAbstractUI.aspx?menuIndex=3&amp;refID=7117989&amp;Result=3","7117989")</f>
        <v>0</v>
      </c>
      <c r="B14801" t="s">
        <v>2535</v>
      </c>
      <c r="C14801" t="s">
        <v>17846</v>
      </c>
      <c r="D14801" t="s">
        <v>17959</v>
      </c>
      <c r="E14801" t="s">
        <v>30816</v>
      </c>
      <c r="F14801" t="s">
        <v>30900</v>
      </c>
      <c r="G14801" t="s">
        <v>30908</v>
      </c>
      <c r="H14801" t="s">
        <v>30916</v>
      </c>
      <c r="I14801" t="s">
        <v>30988</v>
      </c>
      <c r="J14801" t="s">
        <v>32161</v>
      </c>
      <c r="K14801" t="s">
        <v>40289</v>
      </c>
      <c r="M14801" t="s">
        <v>44534</v>
      </c>
      <c r="N14801" t="s">
        <v>44759</v>
      </c>
      <c r="O14801" t="s">
        <v>44760</v>
      </c>
      <c r="Q14801">
        <v>1</v>
      </c>
      <c r="R14801" t="s">
        <v>44779</v>
      </c>
      <c r="S14801" t="s">
        <v>46332</v>
      </c>
      <c r="T14801" t="s">
        <v>46395</v>
      </c>
      <c r="U14801" t="s">
        <v>58999</v>
      </c>
      <c r="W14801" t="s">
        <v>44534</v>
      </c>
      <c r="X14801" t="s">
        <v>44780</v>
      </c>
    </row>
    <row r="14802" spans="1:24">
      <c r="A14802">
        <f>HYPERLINK("https://www.philgeps.gov.ph/GEPSNONPILOT/Tender/SplashBidNoticeAbstractUI.aspx?menuIndex=3&amp;refID=7046538-2&amp;Result=3","7046538-2")</f>
        <v>0</v>
      </c>
      <c r="B14802" t="s">
        <v>2276</v>
      </c>
      <c r="C14802" t="s">
        <v>17847</v>
      </c>
      <c r="E14802" t="s">
        <v>30817</v>
      </c>
      <c r="F14802" t="s">
        <v>30900</v>
      </c>
      <c r="G14802" t="s">
        <v>30907</v>
      </c>
      <c r="H14802" t="s">
        <v>7411</v>
      </c>
      <c r="I14802" t="s">
        <v>7411</v>
      </c>
      <c r="J14802" t="s">
        <v>40203</v>
      </c>
      <c r="K14802" t="s">
        <v>40366</v>
      </c>
      <c r="M14802" t="s">
        <v>44587</v>
      </c>
      <c r="N14802" t="s">
        <v>44759</v>
      </c>
      <c r="O14802" t="s">
        <v>44760</v>
      </c>
      <c r="Q14802">
        <v>3</v>
      </c>
      <c r="R14802" t="s">
        <v>44780</v>
      </c>
      <c r="S14802" t="s">
        <v>46333</v>
      </c>
      <c r="T14802" t="s">
        <v>46403</v>
      </c>
      <c r="U14802" t="s">
        <v>59000</v>
      </c>
      <c r="W14802" t="s">
        <v>44587</v>
      </c>
      <c r="X14802" t="s">
        <v>44781</v>
      </c>
    </row>
    <row r="14803" spans="1:24">
      <c r="A14803">
        <f>HYPERLINK("https://www.philgeps.gov.ph/GEPSNONPILOT/Tender/SplashBidNoticeAbstractUI.aspx?menuIndex=3&amp;refID=7118407&amp;Result=3","7118407")</f>
        <v>0</v>
      </c>
      <c r="B14803" t="s">
        <v>2494</v>
      </c>
      <c r="C14803" t="s">
        <v>17848</v>
      </c>
      <c r="D14803" t="s">
        <v>17971</v>
      </c>
      <c r="E14803" t="s">
        <v>20204</v>
      </c>
      <c r="F14803" t="s">
        <v>30900</v>
      </c>
      <c r="G14803" t="s">
        <v>30907</v>
      </c>
      <c r="H14803" t="s">
        <v>30915</v>
      </c>
      <c r="I14803" t="s">
        <v>30919</v>
      </c>
      <c r="J14803" t="s">
        <v>40204</v>
      </c>
      <c r="K14803" t="s">
        <v>40335</v>
      </c>
      <c r="M14803" t="s">
        <v>43236</v>
      </c>
      <c r="N14803" t="s">
        <v>44759</v>
      </c>
      <c r="O14803" t="s">
        <v>44760</v>
      </c>
      <c r="P14803">
        <v>0</v>
      </c>
      <c r="Q14803">
        <v>21</v>
      </c>
      <c r="R14803" t="s">
        <v>44779</v>
      </c>
      <c r="S14803" t="s">
        <v>45618</v>
      </c>
      <c r="T14803" t="s">
        <v>46625</v>
      </c>
      <c r="U14803" t="s">
        <v>59001</v>
      </c>
      <c r="V14803" t="s">
        <v>60804</v>
      </c>
      <c r="W14803" t="s">
        <v>43236</v>
      </c>
      <c r="X14803" t="s">
        <v>44780</v>
      </c>
    </row>
    <row r="14804" spans="1:24">
      <c r="A14804">
        <f>HYPERLINK("https://www.philgeps.gov.ph/GEPSNONPILOT/Tender/SplashBidNoticeAbstractUI.aspx?menuIndex=3&amp;refID=7118004&amp;Result=3","7118004")</f>
        <v>0</v>
      </c>
      <c r="B14804" t="s">
        <v>3185</v>
      </c>
      <c r="C14804" t="s">
        <v>17849</v>
      </c>
      <c r="D14804" t="s">
        <v>17961</v>
      </c>
      <c r="E14804" t="s">
        <v>29413</v>
      </c>
      <c r="F14804" t="s">
        <v>30900</v>
      </c>
      <c r="G14804" t="s">
        <v>30907</v>
      </c>
      <c r="H14804" t="s">
        <v>30915</v>
      </c>
      <c r="I14804" t="s">
        <v>30919</v>
      </c>
      <c r="J14804" t="s">
        <v>40205</v>
      </c>
      <c r="K14804" t="s">
        <v>40284</v>
      </c>
      <c r="M14804" t="s">
        <v>44016</v>
      </c>
      <c r="N14804" t="s">
        <v>44759</v>
      </c>
      <c r="O14804" t="s">
        <v>44760</v>
      </c>
      <c r="P14804">
        <v>0</v>
      </c>
      <c r="Q14804">
        <v>0</v>
      </c>
      <c r="R14804" t="s">
        <v>44779</v>
      </c>
      <c r="S14804" t="s">
        <v>45618</v>
      </c>
      <c r="T14804" t="s">
        <v>46458</v>
      </c>
      <c r="U14804" t="s">
        <v>59002</v>
      </c>
      <c r="W14804" t="s">
        <v>44016</v>
      </c>
      <c r="X14804" t="s">
        <v>44780</v>
      </c>
    </row>
    <row r="14805" spans="1:24">
      <c r="A14805">
        <f>HYPERLINK("https://www.philgeps.gov.ph/GEPSNONPILOT/Tender/SplashBidNoticeAbstractUI.aspx?menuIndex=3&amp;refID=7118412&amp;Result=3","7118412")</f>
        <v>0</v>
      </c>
      <c r="B14805" t="s">
        <v>3431</v>
      </c>
      <c r="C14805" t="s">
        <v>17850</v>
      </c>
      <c r="D14805" t="s">
        <v>18001</v>
      </c>
      <c r="E14805" t="s">
        <v>30818</v>
      </c>
      <c r="F14805" t="s">
        <v>30900</v>
      </c>
      <c r="G14805" t="s">
        <v>30907</v>
      </c>
      <c r="H14805" t="s">
        <v>30916</v>
      </c>
      <c r="I14805" t="s">
        <v>30942</v>
      </c>
      <c r="J14805" t="s">
        <v>34628</v>
      </c>
      <c r="K14805" t="s">
        <v>40292</v>
      </c>
      <c r="M14805" t="s">
        <v>44745</v>
      </c>
      <c r="N14805" t="s">
        <v>44759</v>
      </c>
      <c r="O14805" t="s">
        <v>44760</v>
      </c>
      <c r="P14805">
        <v>0</v>
      </c>
      <c r="Q14805">
        <v>3</v>
      </c>
      <c r="R14805" t="s">
        <v>44779</v>
      </c>
      <c r="S14805" t="s">
        <v>45618</v>
      </c>
      <c r="T14805" t="s">
        <v>46896</v>
      </c>
      <c r="U14805" t="s">
        <v>59003</v>
      </c>
      <c r="W14805" t="s">
        <v>44745</v>
      </c>
      <c r="X14805" t="s">
        <v>44780</v>
      </c>
    </row>
    <row r="14806" spans="1:24">
      <c r="A14806">
        <f>HYPERLINK("https://www.philgeps.gov.ph/GEPSNONPILOT/Tender/SplashBidNoticeAbstractUI.aspx?menuIndex=3&amp;refID=7116792&amp;Result=3","7116792")</f>
        <v>0</v>
      </c>
      <c r="B14806" t="s">
        <v>3756</v>
      </c>
      <c r="C14806" t="s">
        <v>17851</v>
      </c>
      <c r="D14806" t="s">
        <v>17978</v>
      </c>
      <c r="E14806" t="s">
        <v>30819</v>
      </c>
      <c r="F14806" t="s">
        <v>30900</v>
      </c>
      <c r="G14806" t="s">
        <v>30907</v>
      </c>
      <c r="H14806" t="s">
        <v>30915</v>
      </c>
      <c r="I14806" t="s">
        <v>30919</v>
      </c>
      <c r="J14806" t="s">
        <v>31243</v>
      </c>
      <c r="K14806" t="s">
        <v>40280</v>
      </c>
      <c r="M14806" t="s">
        <v>44746</v>
      </c>
      <c r="N14806" t="s">
        <v>44759</v>
      </c>
      <c r="O14806" t="s">
        <v>44760</v>
      </c>
      <c r="P14806">
        <v>0</v>
      </c>
      <c r="Q14806">
        <v>1</v>
      </c>
      <c r="R14806" t="s">
        <v>44779</v>
      </c>
      <c r="S14806" t="s">
        <v>45618</v>
      </c>
      <c r="T14806" t="s">
        <v>46363</v>
      </c>
      <c r="U14806" t="s">
        <v>59004</v>
      </c>
      <c r="W14806" t="s">
        <v>44746</v>
      </c>
      <c r="X14806" t="s">
        <v>44780</v>
      </c>
    </row>
    <row r="14807" spans="1:24">
      <c r="A14807">
        <f>HYPERLINK("https://www.philgeps.gov.ph/GEPSNONPILOT/Tender/SplashBidNoticeAbstractUI.aspx?menuIndex=3&amp;refID=7116937&amp;Result=3","7116937")</f>
        <v>0</v>
      </c>
      <c r="B14807" t="s">
        <v>3166</v>
      </c>
      <c r="C14807" t="s">
        <v>17852</v>
      </c>
      <c r="D14807" t="s">
        <v>17980</v>
      </c>
      <c r="E14807" t="s">
        <v>23633</v>
      </c>
      <c r="F14807" t="s">
        <v>30902</v>
      </c>
      <c r="G14807" t="s">
        <v>30907</v>
      </c>
      <c r="H14807" t="s">
        <v>30915</v>
      </c>
      <c r="I14807" t="s">
        <v>30919</v>
      </c>
      <c r="J14807" t="s">
        <v>31897</v>
      </c>
      <c r="K14807" t="s">
        <v>40332</v>
      </c>
      <c r="M14807" t="s">
        <v>43992</v>
      </c>
      <c r="N14807" t="s">
        <v>44759</v>
      </c>
      <c r="O14807" t="s">
        <v>44760</v>
      </c>
      <c r="P14807">
        <v>0</v>
      </c>
      <c r="Q14807">
        <v>15</v>
      </c>
      <c r="R14807" t="s">
        <v>44779</v>
      </c>
      <c r="S14807" t="s">
        <v>45618</v>
      </c>
      <c r="T14807" t="s">
        <v>46383</v>
      </c>
      <c r="U14807" t="s">
        <v>59005</v>
      </c>
      <c r="W14807" t="s">
        <v>43992</v>
      </c>
      <c r="X14807" t="s">
        <v>44780</v>
      </c>
    </row>
    <row r="14808" spans="1:24">
      <c r="A14808">
        <f>HYPERLINK("https://www.philgeps.gov.ph/GEPSNONPILOT/Tender/SplashBidNoticeAbstractUI.aspx?menuIndex=3&amp;refID=7116766&amp;Result=3","7116766")</f>
        <v>0</v>
      </c>
      <c r="B14808" t="s">
        <v>2309</v>
      </c>
      <c r="C14808" t="s">
        <v>17853</v>
      </c>
      <c r="D14808" t="s">
        <v>17961</v>
      </c>
      <c r="E14808" t="s">
        <v>30820</v>
      </c>
      <c r="F14808" t="s">
        <v>30900</v>
      </c>
      <c r="G14808" t="s">
        <v>30907</v>
      </c>
      <c r="H14808" t="s">
        <v>30915</v>
      </c>
      <c r="I14808" t="s">
        <v>30919</v>
      </c>
      <c r="J14808" t="s">
        <v>31297</v>
      </c>
      <c r="K14808" t="s">
        <v>40292</v>
      </c>
      <c r="M14808" t="s">
        <v>43027</v>
      </c>
      <c r="N14808" t="s">
        <v>44759</v>
      </c>
      <c r="O14808" t="s">
        <v>44760</v>
      </c>
      <c r="Q14808">
        <v>3</v>
      </c>
      <c r="R14808" t="s">
        <v>44779</v>
      </c>
      <c r="S14808" t="s">
        <v>46334</v>
      </c>
      <c r="T14808" t="s">
        <v>46533</v>
      </c>
      <c r="U14808" t="s">
        <v>59006</v>
      </c>
      <c r="V14808" t="s">
        <v>60805</v>
      </c>
      <c r="W14808" t="s">
        <v>43027</v>
      </c>
      <c r="X14808" t="s">
        <v>44780</v>
      </c>
    </row>
    <row r="14809" spans="1:24">
      <c r="A14809">
        <f>HYPERLINK("https://www.philgeps.gov.ph/GEPSNONPILOT/Tender/SplashBidNoticeAbstractUI.aspx?menuIndex=3&amp;refID=7117971&amp;Result=3","7117971")</f>
        <v>0</v>
      </c>
      <c r="B14809" t="s">
        <v>3757</v>
      </c>
      <c r="C14809" t="s">
        <v>17854</v>
      </c>
      <c r="D14809" t="s">
        <v>17960</v>
      </c>
      <c r="E14809" t="s">
        <v>21872</v>
      </c>
      <c r="F14809" t="s">
        <v>30900</v>
      </c>
      <c r="G14809" t="s">
        <v>30907</v>
      </c>
      <c r="H14809" t="s">
        <v>30916</v>
      </c>
      <c r="I14809" t="s">
        <v>8123</v>
      </c>
      <c r="J14809" t="s">
        <v>40206</v>
      </c>
      <c r="K14809" t="s">
        <v>40283</v>
      </c>
      <c r="M14809" t="s">
        <v>44747</v>
      </c>
      <c r="N14809" t="s">
        <v>44759</v>
      </c>
      <c r="O14809" t="s">
        <v>44760</v>
      </c>
      <c r="P14809">
        <v>0</v>
      </c>
      <c r="Q14809">
        <v>1</v>
      </c>
      <c r="R14809" t="s">
        <v>44779</v>
      </c>
      <c r="S14809" t="s">
        <v>45618</v>
      </c>
      <c r="T14809" t="s">
        <v>46399</v>
      </c>
      <c r="U14809" t="s">
        <v>59007</v>
      </c>
      <c r="W14809" t="s">
        <v>44747</v>
      </c>
      <c r="X14809" t="s">
        <v>44780</v>
      </c>
    </row>
    <row r="14810" spans="1:24">
      <c r="A14810">
        <f>HYPERLINK("https://www.philgeps.gov.ph/GEPSNONPILOT/Tender/SplashBidNoticeAbstractUI.aspx?menuIndex=3&amp;refID=7113821&amp;Result=3","7113821")</f>
        <v>0</v>
      </c>
      <c r="B14810" t="s">
        <v>2808</v>
      </c>
      <c r="C14810" t="s">
        <v>17809</v>
      </c>
      <c r="D14810" t="s">
        <v>17957</v>
      </c>
      <c r="E14810" t="s">
        <v>30821</v>
      </c>
      <c r="F14810" t="s">
        <v>30900</v>
      </c>
      <c r="G14810" t="s">
        <v>30907</v>
      </c>
      <c r="H14810" t="s">
        <v>30915</v>
      </c>
      <c r="I14810" t="s">
        <v>30919</v>
      </c>
      <c r="J14810" t="s">
        <v>37052</v>
      </c>
      <c r="K14810" t="s">
        <v>40568</v>
      </c>
      <c r="M14810" t="s">
        <v>43593</v>
      </c>
      <c r="N14810" t="s">
        <v>44759</v>
      </c>
      <c r="O14810" t="s">
        <v>44760</v>
      </c>
      <c r="P14810">
        <v>0</v>
      </c>
      <c r="Q14810">
        <v>0</v>
      </c>
      <c r="R14810" t="s">
        <v>44780</v>
      </c>
      <c r="S14810" t="s">
        <v>45683</v>
      </c>
      <c r="T14810" t="s">
        <v>46533</v>
      </c>
      <c r="U14810" t="s">
        <v>59008</v>
      </c>
      <c r="W14810" t="s">
        <v>43593</v>
      </c>
      <c r="X14810" t="s">
        <v>44781</v>
      </c>
    </row>
    <row r="14811" spans="1:24">
      <c r="A14811">
        <f>HYPERLINK("https://www.philgeps.gov.ph/GEPSNONPILOT/Tender/SplashBidNoticeAbstractUI.aspx?menuIndex=3&amp;refID=7116784&amp;Result=3","7116784")</f>
        <v>0</v>
      </c>
      <c r="B14811" t="s">
        <v>2700</v>
      </c>
      <c r="C14811" t="s">
        <v>17855</v>
      </c>
      <c r="D14811" t="s">
        <v>18010</v>
      </c>
      <c r="E14811" t="s">
        <v>30822</v>
      </c>
      <c r="F14811" t="s">
        <v>30900</v>
      </c>
      <c r="G14811" t="s">
        <v>30907</v>
      </c>
      <c r="H14811" t="s">
        <v>30916</v>
      </c>
      <c r="I14811" t="s">
        <v>30946</v>
      </c>
      <c r="J14811" t="s">
        <v>40207</v>
      </c>
      <c r="K14811" t="s">
        <v>40292</v>
      </c>
      <c r="M14811" t="s">
        <v>43473</v>
      </c>
      <c r="N14811" t="s">
        <v>44759</v>
      </c>
      <c r="O14811" t="s">
        <v>44760</v>
      </c>
      <c r="P14811">
        <v>0</v>
      </c>
      <c r="Q14811">
        <v>1</v>
      </c>
      <c r="R14811" t="s">
        <v>44779</v>
      </c>
      <c r="S14811" t="s">
        <v>45618</v>
      </c>
      <c r="T14811" t="s">
        <v>46625</v>
      </c>
      <c r="U14811" t="s">
        <v>59009</v>
      </c>
      <c r="W14811" t="s">
        <v>43473</v>
      </c>
      <c r="X14811" t="s">
        <v>44780</v>
      </c>
    </row>
    <row r="14812" spans="1:24">
      <c r="A14812">
        <f>HYPERLINK("https://www.philgeps.gov.ph/GEPSNONPILOT/Tender/SplashBidNoticeAbstractUI.aspx?menuIndex=3&amp;refID=7120724&amp;Result=3","7120724")</f>
        <v>0</v>
      </c>
      <c r="B14812" t="s">
        <v>2486</v>
      </c>
      <c r="C14812" t="s">
        <v>17856</v>
      </c>
      <c r="D14812" t="s">
        <v>17978</v>
      </c>
      <c r="E14812" t="s">
        <v>30823</v>
      </c>
      <c r="F14812" t="s">
        <v>30899</v>
      </c>
      <c r="G14812" t="s">
        <v>30907</v>
      </c>
      <c r="H14812" t="s">
        <v>30915</v>
      </c>
      <c r="I14812" t="s">
        <v>30919</v>
      </c>
      <c r="J14812" t="s">
        <v>40208</v>
      </c>
      <c r="K14812" t="s">
        <v>40292</v>
      </c>
      <c r="M14812" t="s">
        <v>43227</v>
      </c>
      <c r="N14812" t="s">
        <v>44759</v>
      </c>
      <c r="O14812" t="s">
        <v>44760</v>
      </c>
      <c r="P14812">
        <v>0</v>
      </c>
      <c r="Q14812">
        <v>1</v>
      </c>
      <c r="R14812" t="s">
        <v>44776</v>
      </c>
      <c r="S14812" t="s">
        <v>45453</v>
      </c>
      <c r="T14812" t="s">
        <v>46357</v>
      </c>
      <c r="U14812" t="s">
        <v>57139</v>
      </c>
      <c r="V14812" t="s">
        <v>59200</v>
      </c>
      <c r="W14812" t="s">
        <v>43227</v>
      </c>
      <c r="X14812" t="s">
        <v>44777</v>
      </c>
    </row>
    <row r="14813" spans="1:24">
      <c r="A14813">
        <f>HYPERLINK("https://www.philgeps.gov.ph/GEPSNONPILOT/Tender/SplashBidNoticeAbstractUI.aspx?menuIndex=3&amp;refID=7120684&amp;Result=3","7120684")</f>
        <v>0</v>
      </c>
      <c r="B14813" t="s">
        <v>1578</v>
      </c>
      <c r="C14813" t="s">
        <v>17857</v>
      </c>
      <c r="D14813" t="s">
        <v>17957</v>
      </c>
      <c r="E14813" t="s">
        <v>30824</v>
      </c>
      <c r="F14813" t="s">
        <v>30900</v>
      </c>
      <c r="G14813" t="s">
        <v>30907</v>
      </c>
      <c r="H14813" t="s">
        <v>30916</v>
      </c>
      <c r="I14813" t="s">
        <v>30929</v>
      </c>
      <c r="J14813" t="s">
        <v>40209</v>
      </c>
      <c r="K14813" t="s">
        <v>40283</v>
      </c>
      <c r="M14813" t="s">
        <v>42225</v>
      </c>
      <c r="N14813" t="s">
        <v>44759</v>
      </c>
      <c r="O14813" t="s">
        <v>44760</v>
      </c>
      <c r="P14813">
        <v>0</v>
      </c>
      <c r="Q14813">
        <v>5</v>
      </c>
      <c r="R14813" t="s">
        <v>44776</v>
      </c>
      <c r="S14813" t="s">
        <v>45453</v>
      </c>
      <c r="T14813" t="s">
        <v>46359</v>
      </c>
      <c r="U14813" t="s">
        <v>59010</v>
      </c>
      <c r="W14813" t="s">
        <v>42225</v>
      </c>
      <c r="X14813" t="s">
        <v>44777</v>
      </c>
    </row>
    <row r="14814" spans="1:24">
      <c r="A14814">
        <f>HYPERLINK("https://www.philgeps.gov.ph/GEPSNONPILOT/Tender/SplashBidNoticeAbstractUI.aspx?menuIndex=3&amp;refID=7120691&amp;Result=3","7120691")</f>
        <v>0</v>
      </c>
      <c r="B14814" t="s">
        <v>3316</v>
      </c>
      <c r="C14814" t="s">
        <v>17858</v>
      </c>
      <c r="D14814" t="s">
        <v>17959</v>
      </c>
      <c r="E14814" t="s">
        <v>30825</v>
      </c>
      <c r="F14814" t="s">
        <v>30899</v>
      </c>
      <c r="G14814" t="s">
        <v>30907</v>
      </c>
      <c r="H14814" t="s">
        <v>30916</v>
      </c>
      <c r="I14814" t="s">
        <v>30923</v>
      </c>
      <c r="J14814" t="s">
        <v>40210</v>
      </c>
      <c r="K14814" t="s">
        <v>40286</v>
      </c>
      <c r="M14814" t="s">
        <v>44173</v>
      </c>
      <c r="N14814" t="s">
        <v>44759</v>
      </c>
      <c r="O14814" t="s">
        <v>44760</v>
      </c>
      <c r="P14814">
        <v>0</v>
      </c>
      <c r="Q14814">
        <v>2</v>
      </c>
      <c r="R14814" t="s">
        <v>44776</v>
      </c>
      <c r="S14814" t="s">
        <v>45453</v>
      </c>
      <c r="T14814" t="s">
        <v>46581</v>
      </c>
      <c r="U14814" t="s">
        <v>59011</v>
      </c>
      <c r="V14814" t="s">
        <v>60383</v>
      </c>
      <c r="W14814" t="s">
        <v>44173</v>
      </c>
      <c r="X14814" t="s">
        <v>44777</v>
      </c>
    </row>
    <row r="14815" spans="1:24">
      <c r="A14815">
        <f>HYPERLINK("https://www.philgeps.gov.ph/GEPSNONPILOT/Tender/SplashBidNoticeAbstractUI.aspx?menuIndex=3&amp;refID=7120645&amp;Result=3","7120645")</f>
        <v>0</v>
      </c>
      <c r="B14815" t="s">
        <v>3758</v>
      </c>
      <c r="C14815" t="s">
        <v>17859</v>
      </c>
      <c r="D14815" t="s">
        <v>18006</v>
      </c>
      <c r="E14815" t="s">
        <v>30826</v>
      </c>
      <c r="F14815" t="s">
        <v>30900</v>
      </c>
      <c r="G14815" t="s">
        <v>30907</v>
      </c>
      <c r="H14815" t="s">
        <v>30915</v>
      </c>
      <c r="I14815" t="s">
        <v>30919</v>
      </c>
      <c r="J14815" t="s">
        <v>40211</v>
      </c>
      <c r="K14815" t="s">
        <v>40292</v>
      </c>
      <c r="M14815" t="s">
        <v>44748</v>
      </c>
      <c r="N14815" t="s">
        <v>44759</v>
      </c>
      <c r="O14815" t="s">
        <v>44760</v>
      </c>
      <c r="P14815">
        <v>0</v>
      </c>
      <c r="Q14815">
        <v>3</v>
      </c>
      <c r="R14815" t="s">
        <v>44776</v>
      </c>
      <c r="S14815" t="s">
        <v>45453</v>
      </c>
      <c r="T14815" t="s">
        <v>46410</v>
      </c>
      <c r="U14815" t="s">
        <v>59012</v>
      </c>
      <c r="V14815" t="s">
        <v>60806</v>
      </c>
      <c r="W14815" t="s">
        <v>44748</v>
      </c>
      <c r="X14815" t="s">
        <v>44777</v>
      </c>
    </row>
    <row r="14816" spans="1:24">
      <c r="A14816">
        <f>HYPERLINK("https://www.philgeps.gov.ph/GEPSNONPILOT/Tender/SplashBidNoticeAbstractUI.aspx?menuIndex=3&amp;refID=7120260&amp;Result=3","7120260")</f>
        <v>0</v>
      </c>
      <c r="B14816" t="s">
        <v>3759</v>
      </c>
      <c r="C14816" t="s">
        <v>17860</v>
      </c>
      <c r="D14816" t="s">
        <v>17976</v>
      </c>
      <c r="E14816" t="s">
        <v>30827</v>
      </c>
      <c r="F14816" t="s">
        <v>30900</v>
      </c>
      <c r="G14816" t="s">
        <v>30907</v>
      </c>
      <c r="H14816" t="s">
        <v>30915</v>
      </c>
      <c r="I14816" t="s">
        <v>30919</v>
      </c>
      <c r="J14816" t="s">
        <v>31391</v>
      </c>
      <c r="K14816" t="s">
        <v>40301</v>
      </c>
      <c r="M14816" t="s">
        <v>44749</v>
      </c>
      <c r="N14816" t="s">
        <v>44759</v>
      </c>
      <c r="O14816" t="s">
        <v>44760</v>
      </c>
      <c r="P14816">
        <v>0</v>
      </c>
      <c r="Q14816">
        <v>1</v>
      </c>
      <c r="R14816" t="s">
        <v>44776</v>
      </c>
      <c r="S14816" t="s">
        <v>45453</v>
      </c>
      <c r="T14816" t="s">
        <v>46487</v>
      </c>
      <c r="U14816" t="s">
        <v>59013</v>
      </c>
      <c r="W14816" t="s">
        <v>44749</v>
      </c>
      <c r="X14816" t="s">
        <v>44777</v>
      </c>
    </row>
    <row r="14817" spans="1:24">
      <c r="A14817">
        <f>HYPERLINK("https://www.philgeps.gov.ph/GEPSNONPILOT/Tender/SplashBidNoticeAbstractUI.aspx?menuIndex=3&amp;refID=7118977&amp;Result=3","7118977")</f>
        <v>0</v>
      </c>
      <c r="B14817" t="s">
        <v>3609</v>
      </c>
      <c r="C14817" t="s">
        <v>17861</v>
      </c>
      <c r="D14817" t="s">
        <v>17954</v>
      </c>
      <c r="E14817" t="s">
        <v>19807</v>
      </c>
      <c r="F14817" t="s">
        <v>30900</v>
      </c>
      <c r="G14817" t="s">
        <v>30907</v>
      </c>
      <c r="H14817" t="s">
        <v>30915</v>
      </c>
      <c r="I14817" t="s">
        <v>30919</v>
      </c>
      <c r="J14817" t="s">
        <v>40212</v>
      </c>
      <c r="K14817" t="s">
        <v>40521</v>
      </c>
      <c r="L14817" t="s">
        <v>3609</v>
      </c>
      <c r="M14817" t="s">
        <v>44537</v>
      </c>
      <c r="N14817" t="s">
        <v>44759</v>
      </c>
      <c r="O14817" t="s">
        <v>44760</v>
      </c>
      <c r="P14817">
        <v>0</v>
      </c>
      <c r="Q14817">
        <v>2</v>
      </c>
      <c r="R14817" t="s">
        <v>44779</v>
      </c>
      <c r="S14817" t="s">
        <v>45618</v>
      </c>
      <c r="T14817" t="s">
        <v>46623</v>
      </c>
      <c r="U14817" t="s">
        <v>59014</v>
      </c>
      <c r="W14817" t="s">
        <v>44537</v>
      </c>
      <c r="X14817" t="s">
        <v>44780</v>
      </c>
    </row>
    <row r="14818" spans="1:24">
      <c r="A14818">
        <f>HYPERLINK("https://www.philgeps.gov.ph/GEPSNONPILOT/Tender/SplashBidNoticeAbstractUI.aspx?menuIndex=3&amp;refID=7120259&amp;Result=3","7120259")</f>
        <v>0</v>
      </c>
      <c r="B14818" t="s">
        <v>1647</v>
      </c>
      <c r="C14818" t="s">
        <v>17862</v>
      </c>
      <c r="D14818" t="s">
        <v>18002</v>
      </c>
      <c r="E14818" t="s">
        <v>30828</v>
      </c>
      <c r="F14818" t="s">
        <v>30900</v>
      </c>
      <c r="G14818" t="s">
        <v>30907</v>
      </c>
      <c r="H14818" t="s">
        <v>30916</v>
      </c>
      <c r="I14818" t="s">
        <v>9385</v>
      </c>
      <c r="J14818" t="s">
        <v>40213</v>
      </c>
      <c r="K14818" t="s">
        <v>40284</v>
      </c>
      <c r="M14818" t="s">
        <v>42303</v>
      </c>
      <c r="N14818" t="s">
        <v>44759</v>
      </c>
      <c r="O14818" t="s">
        <v>44760</v>
      </c>
      <c r="P14818">
        <v>0</v>
      </c>
      <c r="Q14818">
        <v>13</v>
      </c>
      <c r="R14818" t="s">
        <v>44776</v>
      </c>
      <c r="S14818" t="s">
        <v>45453</v>
      </c>
      <c r="T14818" t="s">
        <v>46352</v>
      </c>
      <c r="U14818" t="s">
        <v>59015</v>
      </c>
      <c r="W14818" t="s">
        <v>60907</v>
      </c>
      <c r="X14818" t="s">
        <v>44777</v>
      </c>
    </row>
    <row r="14819" spans="1:24">
      <c r="A14819">
        <f>HYPERLINK("https://www.philgeps.gov.ph/GEPSNONPILOT/Tender/SplashBidNoticeAbstractUI.aspx?menuIndex=3&amp;refID=7120853&amp;Result=3","7120853")</f>
        <v>0</v>
      </c>
      <c r="B14819" t="s">
        <v>313</v>
      </c>
      <c r="C14819" t="s">
        <v>17863</v>
      </c>
      <c r="D14819" t="s">
        <v>17978</v>
      </c>
      <c r="E14819" t="s">
        <v>30829</v>
      </c>
      <c r="F14819" t="s">
        <v>30900</v>
      </c>
      <c r="G14819" t="s">
        <v>30907</v>
      </c>
      <c r="H14819" t="s">
        <v>30916</v>
      </c>
      <c r="I14819" t="s">
        <v>30961</v>
      </c>
      <c r="J14819" t="s">
        <v>40214</v>
      </c>
      <c r="K14819" t="s">
        <v>40289</v>
      </c>
      <c r="M14819" t="s">
        <v>40863</v>
      </c>
      <c r="N14819" t="s">
        <v>44759</v>
      </c>
      <c r="O14819" t="s">
        <v>44760</v>
      </c>
      <c r="Q14819">
        <v>2</v>
      </c>
      <c r="R14819" t="s">
        <v>44776</v>
      </c>
      <c r="S14819" t="s">
        <v>46335</v>
      </c>
      <c r="T14819" t="s">
        <v>46418</v>
      </c>
      <c r="U14819" t="s">
        <v>59016</v>
      </c>
      <c r="W14819" t="s">
        <v>40863</v>
      </c>
      <c r="X14819" t="s">
        <v>44777</v>
      </c>
    </row>
    <row r="14820" spans="1:24">
      <c r="A14820">
        <f>HYPERLINK("https://www.philgeps.gov.ph/GEPSNONPILOT/Tender/SplashBidNoticeAbstractUI.aspx?menuIndex=3&amp;refID=7120233&amp;Result=3","7120233")</f>
        <v>0</v>
      </c>
      <c r="B14820" t="s">
        <v>1177</v>
      </c>
      <c r="C14820" t="s">
        <v>17864</v>
      </c>
      <c r="D14820" t="s">
        <v>17975</v>
      </c>
      <c r="E14820" t="s">
        <v>30830</v>
      </c>
      <c r="F14820" t="s">
        <v>30900</v>
      </c>
      <c r="G14820" t="s">
        <v>30907</v>
      </c>
      <c r="H14820" t="s">
        <v>30916</v>
      </c>
      <c r="I14820" t="s">
        <v>4108</v>
      </c>
      <c r="J14820" t="s">
        <v>40215</v>
      </c>
      <c r="K14820" t="s">
        <v>40280</v>
      </c>
      <c r="M14820" t="s">
        <v>41784</v>
      </c>
      <c r="N14820" t="s">
        <v>44759</v>
      </c>
      <c r="O14820" t="s">
        <v>44760</v>
      </c>
      <c r="P14820">
        <v>0</v>
      </c>
      <c r="Q14820">
        <v>5</v>
      </c>
      <c r="R14820" t="s">
        <v>44776</v>
      </c>
      <c r="S14820" t="s">
        <v>45453</v>
      </c>
      <c r="T14820" t="s">
        <v>46389</v>
      </c>
      <c r="U14820" t="s">
        <v>59017</v>
      </c>
      <c r="V14820" t="s">
        <v>60455</v>
      </c>
      <c r="W14820" t="s">
        <v>41784</v>
      </c>
      <c r="X14820" t="s">
        <v>44777</v>
      </c>
    </row>
    <row r="14821" spans="1:24">
      <c r="A14821">
        <f>HYPERLINK("https://www.philgeps.gov.ph/GEPSNONPILOT/Tender/SplashBidNoticeAbstractUI.aspx?menuIndex=3&amp;refID=7120221&amp;Result=3","7120221")</f>
        <v>0</v>
      </c>
      <c r="B14821" t="s">
        <v>3487</v>
      </c>
      <c r="C14821" t="s">
        <v>15479</v>
      </c>
      <c r="D14821" t="s">
        <v>17952</v>
      </c>
      <c r="E14821" t="s">
        <v>18787</v>
      </c>
      <c r="F14821" t="s">
        <v>30900</v>
      </c>
      <c r="G14821" t="s">
        <v>30907</v>
      </c>
      <c r="H14821" t="s">
        <v>30917</v>
      </c>
      <c r="I14821" t="s">
        <v>30942</v>
      </c>
      <c r="J14821" t="s">
        <v>40216</v>
      </c>
      <c r="K14821" t="s">
        <v>40446</v>
      </c>
      <c r="M14821" t="s">
        <v>44388</v>
      </c>
      <c r="N14821" t="s">
        <v>44759</v>
      </c>
      <c r="O14821" t="s">
        <v>44760</v>
      </c>
      <c r="P14821">
        <v>0</v>
      </c>
      <c r="Q14821">
        <v>1</v>
      </c>
      <c r="R14821" t="s">
        <v>44776</v>
      </c>
      <c r="S14821" t="s">
        <v>45453</v>
      </c>
      <c r="T14821" t="s">
        <v>46366</v>
      </c>
      <c r="U14821" t="s">
        <v>59018</v>
      </c>
      <c r="W14821" t="s">
        <v>44388</v>
      </c>
      <c r="X14821" t="s">
        <v>44777</v>
      </c>
    </row>
    <row r="14822" spans="1:24">
      <c r="A14822">
        <f>HYPERLINK("https://www.philgeps.gov.ph/GEPSNONPILOT/Tender/SplashBidNoticeAbstractUI.aspx?menuIndex=3&amp;refID=7120229&amp;Result=3","7120229")</f>
        <v>0</v>
      </c>
      <c r="B14822" t="s">
        <v>3497</v>
      </c>
      <c r="C14822" t="s">
        <v>17865</v>
      </c>
      <c r="D14822" t="s">
        <v>17966</v>
      </c>
      <c r="E14822" t="s">
        <v>30831</v>
      </c>
      <c r="F14822" t="s">
        <v>30904</v>
      </c>
      <c r="G14822" t="s">
        <v>30907</v>
      </c>
      <c r="H14822" t="s">
        <v>30915</v>
      </c>
      <c r="I14822" t="s">
        <v>30919</v>
      </c>
      <c r="J14822" t="s">
        <v>40217</v>
      </c>
      <c r="K14822" t="s">
        <v>40280</v>
      </c>
      <c r="M14822" t="s">
        <v>44399</v>
      </c>
      <c r="N14822" t="s">
        <v>44759</v>
      </c>
      <c r="O14822" t="s">
        <v>44760</v>
      </c>
      <c r="P14822">
        <v>0</v>
      </c>
      <c r="Q14822">
        <v>0</v>
      </c>
      <c r="R14822" t="s">
        <v>44776</v>
      </c>
      <c r="S14822" t="s">
        <v>45453</v>
      </c>
      <c r="T14822" t="s">
        <v>46357</v>
      </c>
      <c r="U14822" t="s">
        <v>59019</v>
      </c>
      <c r="W14822" t="s">
        <v>44399</v>
      </c>
      <c r="X14822" t="s">
        <v>44777</v>
      </c>
    </row>
    <row r="14823" spans="1:24">
      <c r="A14823">
        <f>HYPERLINK("https://www.philgeps.gov.ph/GEPSNONPILOT/Tender/SplashBidNoticeAbstractUI.aspx?menuIndex=3&amp;refID=7116793&amp;Result=3","7116793")</f>
        <v>0</v>
      </c>
      <c r="B14823" t="s">
        <v>3585</v>
      </c>
      <c r="C14823" t="s">
        <v>16183</v>
      </c>
      <c r="D14823" t="s">
        <v>18012</v>
      </c>
      <c r="E14823" t="s">
        <v>30832</v>
      </c>
      <c r="F14823" t="s">
        <v>30900</v>
      </c>
      <c r="G14823" t="s">
        <v>30907</v>
      </c>
      <c r="H14823" t="s">
        <v>30916</v>
      </c>
      <c r="I14823" t="s">
        <v>4108</v>
      </c>
      <c r="J14823" t="s">
        <v>40218</v>
      </c>
      <c r="K14823" t="s">
        <v>40283</v>
      </c>
      <c r="M14823" t="s">
        <v>44511</v>
      </c>
      <c r="N14823" t="s">
        <v>44759</v>
      </c>
      <c r="O14823" t="s">
        <v>44760</v>
      </c>
      <c r="P14823">
        <v>0</v>
      </c>
      <c r="Q14823">
        <v>0</v>
      </c>
      <c r="R14823" t="s">
        <v>44779</v>
      </c>
      <c r="S14823" t="s">
        <v>45618</v>
      </c>
      <c r="T14823" t="s">
        <v>46768</v>
      </c>
      <c r="U14823" t="s">
        <v>59020</v>
      </c>
      <c r="V14823" t="s">
        <v>59322</v>
      </c>
      <c r="W14823" t="s">
        <v>44511</v>
      </c>
      <c r="X14823" t="s">
        <v>44780</v>
      </c>
    </row>
    <row r="14824" spans="1:24">
      <c r="A14824">
        <f>HYPERLINK("https://www.philgeps.gov.ph/GEPSNONPILOT/Tender/SplashBidNoticeAbstractUI.aspx?menuIndex=3&amp;refID=7120189&amp;Result=3","7120189")</f>
        <v>0</v>
      </c>
      <c r="B14824" t="s">
        <v>1177</v>
      </c>
      <c r="C14824" t="s">
        <v>17866</v>
      </c>
      <c r="D14824" t="s">
        <v>17975</v>
      </c>
      <c r="E14824" t="s">
        <v>30833</v>
      </c>
      <c r="F14824" t="s">
        <v>30900</v>
      </c>
      <c r="G14824" t="s">
        <v>30907</v>
      </c>
      <c r="H14824" t="s">
        <v>30916</v>
      </c>
      <c r="I14824" t="s">
        <v>4108</v>
      </c>
      <c r="J14824" t="s">
        <v>40219</v>
      </c>
      <c r="K14824" t="s">
        <v>40280</v>
      </c>
      <c r="M14824" t="s">
        <v>41784</v>
      </c>
      <c r="N14824" t="s">
        <v>44759</v>
      </c>
      <c r="O14824" t="s">
        <v>44760</v>
      </c>
      <c r="P14824">
        <v>0</v>
      </c>
      <c r="Q14824">
        <v>3</v>
      </c>
      <c r="R14824" t="s">
        <v>44776</v>
      </c>
      <c r="S14824" t="s">
        <v>45453</v>
      </c>
      <c r="T14824" t="s">
        <v>46389</v>
      </c>
      <c r="U14824" t="s">
        <v>59017</v>
      </c>
      <c r="V14824" t="s">
        <v>60455</v>
      </c>
      <c r="W14824" t="s">
        <v>41784</v>
      </c>
      <c r="X14824" t="s">
        <v>44777</v>
      </c>
    </row>
    <row r="14825" spans="1:24">
      <c r="A14825">
        <f>HYPERLINK("https://www.philgeps.gov.ph/GEPSNONPILOT/Tender/SplashBidNoticeAbstractUI.aspx?menuIndex=3&amp;refID=7120228&amp;Result=3","7120228")</f>
        <v>0</v>
      </c>
      <c r="B14825" t="s">
        <v>407</v>
      </c>
      <c r="C14825" t="s">
        <v>17867</v>
      </c>
      <c r="D14825" t="s">
        <v>18018</v>
      </c>
      <c r="E14825" t="s">
        <v>30834</v>
      </c>
      <c r="F14825" t="s">
        <v>30900</v>
      </c>
      <c r="G14825" t="s">
        <v>30907</v>
      </c>
      <c r="H14825" t="s">
        <v>30916</v>
      </c>
      <c r="I14825" t="s">
        <v>30947</v>
      </c>
      <c r="J14825" t="s">
        <v>40220</v>
      </c>
      <c r="K14825" t="s">
        <v>40304</v>
      </c>
      <c r="M14825" t="s">
        <v>40963</v>
      </c>
      <c r="N14825" t="s">
        <v>44759</v>
      </c>
      <c r="O14825" t="s">
        <v>44760</v>
      </c>
      <c r="P14825">
        <v>0</v>
      </c>
      <c r="Q14825">
        <v>6</v>
      </c>
      <c r="R14825" t="s">
        <v>44776</v>
      </c>
      <c r="S14825" t="s">
        <v>45453</v>
      </c>
      <c r="T14825" t="s">
        <v>46399</v>
      </c>
      <c r="U14825" t="s">
        <v>59021</v>
      </c>
      <c r="V14825" t="s">
        <v>60807</v>
      </c>
      <c r="W14825" t="s">
        <v>40963</v>
      </c>
      <c r="X14825" t="s">
        <v>44777</v>
      </c>
    </row>
    <row r="14826" spans="1:24">
      <c r="A14826">
        <f>HYPERLINK("https://www.philgeps.gov.ph/GEPSNONPILOT/Tender/SplashBidNoticeAbstractUI.aspx?menuIndex=3&amp;refID=7120261&amp;Result=3","7120261")</f>
        <v>0</v>
      </c>
      <c r="B14826" t="s">
        <v>3760</v>
      </c>
      <c r="C14826" t="s">
        <v>17868</v>
      </c>
      <c r="D14826" t="s">
        <v>17959</v>
      </c>
      <c r="E14826" t="s">
        <v>30835</v>
      </c>
      <c r="F14826" t="s">
        <v>30900</v>
      </c>
      <c r="G14826" t="s">
        <v>30907</v>
      </c>
      <c r="H14826" t="s">
        <v>30916</v>
      </c>
      <c r="I14826" t="s">
        <v>30933</v>
      </c>
      <c r="J14826" t="s">
        <v>40221</v>
      </c>
      <c r="K14826" t="s">
        <v>40284</v>
      </c>
      <c r="M14826" t="s">
        <v>44750</v>
      </c>
      <c r="N14826" t="s">
        <v>44759</v>
      </c>
      <c r="O14826" t="s">
        <v>44760</v>
      </c>
      <c r="P14826">
        <v>0</v>
      </c>
      <c r="Q14826">
        <v>5</v>
      </c>
      <c r="R14826" t="s">
        <v>44776</v>
      </c>
      <c r="S14826" t="s">
        <v>45453</v>
      </c>
      <c r="T14826" t="s">
        <v>46544</v>
      </c>
      <c r="U14826" t="s">
        <v>59022</v>
      </c>
      <c r="W14826" t="s">
        <v>44750</v>
      </c>
      <c r="X14826" t="s">
        <v>44777</v>
      </c>
    </row>
    <row r="14827" spans="1:24">
      <c r="A14827">
        <f>HYPERLINK("https://www.philgeps.gov.ph/GEPSNONPILOT/Tender/SplashBidNoticeAbstractUI.aspx?menuIndex=3&amp;refID=7120060&amp;Result=3","7120060")</f>
        <v>0</v>
      </c>
      <c r="B14827" t="s">
        <v>1251</v>
      </c>
      <c r="C14827" t="s">
        <v>17869</v>
      </c>
      <c r="D14827" t="s">
        <v>17963</v>
      </c>
      <c r="E14827" t="s">
        <v>30836</v>
      </c>
      <c r="F14827" t="s">
        <v>30900</v>
      </c>
      <c r="G14827" t="s">
        <v>30907</v>
      </c>
      <c r="H14827" t="s">
        <v>30915</v>
      </c>
      <c r="I14827" t="s">
        <v>30919</v>
      </c>
      <c r="J14827" t="s">
        <v>40222</v>
      </c>
      <c r="K14827" t="s">
        <v>40280</v>
      </c>
      <c r="M14827" t="s">
        <v>41863</v>
      </c>
      <c r="N14827" t="s">
        <v>44759</v>
      </c>
      <c r="O14827" t="s">
        <v>44760</v>
      </c>
      <c r="P14827">
        <v>0</v>
      </c>
      <c r="Q14827">
        <v>4</v>
      </c>
      <c r="R14827" t="s">
        <v>44776</v>
      </c>
      <c r="S14827" t="s">
        <v>45453</v>
      </c>
      <c r="T14827" t="s">
        <v>46497</v>
      </c>
      <c r="U14827" t="s">
        <v>59023</v>
      </c>
      <c r="W14827" t="s">
        <v>41863</v>
      </c>
      <c r="X14827" t="s">
        <v>44777</v>
      </c>
    </row>
    <row r="14828" spans="1:24">
      <c r="A14828">
        <f>HYPERLINK("https://www.philgeps.gov.ph/GEPSNONPILOT/Tender/SplashBidNoticeAbstractUI.aspx?menuIndex=3&amp;refID=7120105&amp;Result=3","7120105")</f>
        <v>0</v>
      </c>
      <c r="B14828" t="s">
        <v>1869</v>
      </c>
      <c r="C14828" t="s">
        <v>17870</v>
      </c>
      <c r="D14828" t="s">
        <v>17986</v>
      </c>
      <c r="E14828" t="s">
        <v>19701</v>
      </c>
      <c r="F14828" t="s">
        <v>30900</v>
      </c>
      <c r="G14828" t="s">
        <v>30907</v>
      </c>
      <c r="H14828" t="s">
        <v>30915</v>
      </c>
      <c r="I14828" t="s">
        <v>30919</v>
      </c>
      <c r="J14828" t="s">
        <v>40223</v>
      </c>
      <c r="K14828" t="s">
        <v>40320</v>
      </c>
      <c r="M14828" t="s">
        <v>42543</v>
      </c>
      <c r="N14828" t="s">
        <v>44759</v>
      </c>
      <c r="O14828" t="s">
        <v>44760</v>
      </c>
      <c r="P14828">
        <v>0</v>
      </c>
      <c r="Q14828">
        <v>0</v>
      </c>
      <c r="R14828" t="s">
        <v>44776</v>
      </c>
      <c r="S14828" t="s">
        <v>45453</v>
      </c>
      <c r="T14828" t="s">
        <v>46658</v>
      </c>
      <c r="U14828" t="s">
        <v>59024</v>
      </c>
      <c r="V14828" t="s">
        <v>59648</v>
      </c>
      <c r="W14828" t="s">
        <v>42543</v>
      </c>
      <c r="X14828" t="s">
        <v>44777</v>
      </c>
    </row>
    <row r="14829" spans="1:24">
      <c r="A14829">
        <f>HYPERLINK("https://www.philgeps.gov.ph/GEPSNONPILOT/Tender/SplashBidNoticeAbstractUI.aspx?menuIndex=3&amp;refID=7119515&amp;Result=3","7119515")</f>
        <v>0</v>
      </c>
      <c r="B14829" t="s">
        <v>134</v>
      </c>
      <c r="C14829" t="s">
        <v>17871</v>
      </c>
      <c r="E14829" t="s">
        <v>30837</v>
      </c>
      <c r="F14829" t="s">
        <v>30900</v>
      </c>
      <c r="G14829" t="s">
        <v>30907</v>
      </c>
      <c r="H14829" t="s">
        <v>30916</v>
      </c>
      <c r="I14829" t="s">
        <v>30949</v>
      </c>
      <c r="J14829" t="s">
        <v>31391</v>
      </c>
      <c r="K14829" t="s">
        <v>40286</v>
      </c>
      <c r="M14829" t="s">
        <v>40681</v>
      </c>
      <c r="N14829" t="s">
        <v>44759</v>
      </c>
      <c r="O14829" t="s">
        <v>44760</v>
      </c>
      <c r="Q14829">
        <v>6</v>
      </c>
      <c r="R14829" t="s">
        <v>44776</v>
      </c>
      <c r="S14829" t="s">
        <v>45916</v>
      </c>
      <c r="T14829" t="s">
        <v>46421</v>
      </c>
      <c r="U14829" t="s">
        <v>59025</v>
      </c>
      <c r="W14829" t="s">
        <v>40681</v>
      </c>
      <c r="X14829" t="s">
        <v>44779</v>
      </c>
    </row>
    <row r="14830" spans="1:24">
      <c r="A14830">
        <f>HYPERLINK("https://www.philgeps.gov.ph/GEPSNONPILOT/Tender/SplashBidNoticeAbstractUI.aspx?menuIndex=3&amp;refID=7120660&amp;Result=3","7120660")</f>
        <v>0</v>
      </c>
      <c r="B14830" t="s">
        <v>1468</v>
      </c>
      <c r="C14830" t="s">
        <v>17872</v>
      </c>
      <c r="D14830" t="s">
        <v>17973</v>
      </c>
      <c r="E14830" t="s">
        <v>30838</v>
      </c>
      <c r="F14830" t="s">
        <v>30900</v>
      </c>
      <c r="G14830" t="s">
        <v>30907</v>
      </c>
      <c r="H14830" t="s">
        <v>30916</v>
      </c>
      <c r="I14830" t="s">
        <v>30974</v>
      </c>
      <c r="J14830" t="s">
        <v>40224</v>
      </c>
      <c r="K14830" t="s">
        <v>40293</v>
      </c>
      <c r="M14830" t="s">
        <v>44400</v>
      </c>
      <c r="N14830" t="s">
        <v>44759</v>
      </c>
      <c r="O14830" t="s">
        <v>44760</v>
      </c>
      <c r="Q14830">
        <v>11</v>
      </c>
      <c r="R14830" t="s">
        <v>44776</v>
      </c>
      <c r="S14830" t="s">
        <v>45279</v>
      </c>
      <c r="T14830" t="s">
        <v>46472</v>
      </c>
      <c r="U14830" t="s">
        <v>59026</v>
      </c>
      <c r="W14830" t="s">
        <v>44400</v>
      </c>
      <c r="X14830" t="s">
        <v>44777</v>
      </c>
    </row>
    <row r="14831" spans="1:24">
      <c r="A14831">
        <f>HYPERLINK("https://www.philgeps.gov.ph/GEPSNONPILOT/Tender/SplashBidNoticeAbstractUI.aspx?menuIndex=3&amp;refID=7119511&amp;Result=3","7119511")</f>
        <v>0</v>
      </c>
      <c r="B14831" t="s">
        <v>134</v>
      </c>
      <c r="C14831" t="s">
        <v>17873</v>
      </c>
      <c r="E14831" t="s">
        <v>30839</v>
      </c>
      <c r="F14831" t="s">
        <v>30900</v>
      </c>
      <c r="G14831" t="s">
        <v>30907</v>
      </c>
      <c r="H14831" t="s">
        <v>30916</v>
      </c>
      <c r="I14831" t="s">
        <v>30935</v>
      </c>
      <c r="J14831" t="s">
        <v>37106</v>
      </c>
      <c r="K14831" t="s">
        <v>40293</v>
      </c>
      <c r="M14831" t="s">
        <v>40681</v>
      </c>
      <c r="N14831" t="s">
        <v>44759</v>
      </c>
      <c r="O14831" t="s">
        <v>44760</v>
      </c>
      <c r="Q14831">
        <v>3</v>
      </c>
      <c r="R14831" t="s">
        <v>44776</v>
      </c>
      <c r="S14831" t="s">
        <v>46195</v>
      </c>
      <c r="T14831" t="s">
        <v>46421</v>
      </c>
      <c r="U14831" t="s">
        <v>59025</v>
      </c>
      <c r="W14831" t="s">
        <v>40681</v>
      </c>
      <c r="X14831" t="s">
        <v>44779</v>
      </c>
    </row>
    <row r="14832" spans="1:24">
      <c r="A14832">
        <f>HYPERLINK("https://www.philgeps.gov.ph/GEPSNONPILOT/Tender/SplashBidNoticeAbstractUI.aspx?menuIndex=3&amp;refID=7119298&amp;Result=3","7119298")</f>
        <v>0</v>
      </c>
      <c r="B14832" t="s">
        <v>2923</v>
      </c>
      <c r="C14832" t="s">
        <v>17874</v>
      </c>
      <c r="D14832" t="s">
        <v>17959</v>
      </c>
      <c r="E14832" t="s">
        <v>30840</v>
      </c>
      <c r="F14832" t="s">
        <v>30900</v>
      </c>
      <c r="G14832" t="s">
        <v>30907</v>
      </c>
      <c r="H14832" t="s">
        <v>30916</v>
      </c>
      <c r="I14832" t="s">
        <v>30924</v>
      </c>
      <c r="J14832" t="s">
        <v>33547</v>
      </c>
      <c r="K14832" t="s">
        <v>40293</v>
      </c>
      <c r="M14832" t="s">
        <v>43718</v>
      </c>
      <c r="N14832" t="s">
        <v>44759</v>
      </c>
      <c r="O14832" t="s">
        <v>44760</v>
      </c>
      <c r="P14832">
        <v>0</v>
      </c>
      <c r="Q14832">
        <v>20</v>
      </c>
      <c r="R14832" t="s">
        <v>44776</v>
      </c>
      <c r="S14832" t="s">
        <v>45453</v>
      </c>
      <c r="T14832" t="s">
        <v>46448</v>
      </c>
      <c r="U14832" t="s">
        <v>59027</v>
      </c>
      <c r="V14832" t="s">
        <v>60808</v>
      </c>
      <c r="W14832" t="s">
        <v>43718</v>
      </c>
      <c r="X14832" t="s">
        <v>44779</v>
      </c>
    </row>
    <row r="14833" spans="1:24">
      <c r="A14833">
        <f>HYPERLINK("https://www.philgeps.gov.ph/GEPSNONPILOT/Tender/SplashBidNoticeAbstractUI.aspx?menuIndex=3&amp;refID=7120098&amp;Result=3","7120098")</f>
        <v>0</v>
      </c>
      <c r="B14833" t="s">
        <v>1177</v>
      </c>
      <c r="C14833" t="s">
        <v>17875</v>
      </c>
      <c r="D14833" t="s">
        <v>17975</v>
      </c>
      <c r="E14833" t="s">
        <v>30841</v>
      </c>
      <c r="F14833" t="s">
        <v>30900</v>
      </c>
      <c r="G14833" t="s">
        <v>30907</v>
      </c>
      <c r="H14833" t="s">
        <v>30916</v>
      </c>
      <c r="I14833" t="s">
        <v>30933</v>
      </c>
      <c r="J14833" t="s">
        <v>31297</v>
      </c>
      <c r="K14833" t="s">
        <v>40286</v>
      </c>
      <c r="M14833" t="s">
        <v>41784</v>
      </c>
      <c r="N14833" t="s">
        <v>44759</v>
      </c>
      <c r="O14833" t="s">
        <v>44760</v>
      </c>
      <c r="P14833">
        <v>0</v>
      </c>
      <c r="Q14833">
        <v>6</v>
      </c>
      <c r="R14833" t="s">
        <v>44776</v>
      </c>
      <c r="S14833" t="s">
        <v>45453</v>
      </c>
      <c r="T14833" t="s">
        <v>46389</v>
      </c>
      <c r="U14833" t="s">
        <v>59028</v>
      </c>
      <c r="V14833" t="s">
        <v>60455</v>
      </c>
      <c r="W14833" t="s">
        <v>41784</v>
      </c>
      <c r="X14833" t="s">
        <v>44777</v>
      </c>
    </row>
    <row r="14834" spans="1:24">
      <c r="A14834">
        <f>HYPERLINK("https://www.philgeps.gov.ph/GEPSNONPILOT/Tender/SplashBidNoticeAbstractUI.aspx?menuIndex=3&amp;refID=7118986&amp;Result=3","7118986")</f>
        <v>0</v>
      </c>
      <c r="B14834" t="s">
        <v>2029</v>
      </c>
      <c r="C14834" t="s">
        <v>17876</v>
      </c>
      <c r="D14834" t="s">
        <v>18002</v>
      </c>
      <c r="E14834" t="s">
        <v>18158</v>
      </c>
      <c r="F14834" t="s">
        <v>30900</v>
      </c>
      <c r="G14834" t="s">
        <v>30907</v>
      </c>
      <c r="H14834" t="s">
        <v>30916</v>
      </c>
      <c r="I14834" t="s">
        <v>5830</v>
      </c>
      <c r="J14834" t="s">
        <v>40225</v>
      </c>
      <c r="K14834" t="s">
        <v>40302</v>
      </c>
      <c r="M14834" t="s">
        <v>44751</v>
      </c>
      <c r="N14834" t="s">
        <v>44759</v>
      </c>
      <c r="O14834" t="s">
        <v>44760</v>
      </c>
      <c r="Q14834">
        <v>18</v>
      </c>
      <c r="R14834" t="s">
        <v>44776</v>
      </c>
      <c r="S14834" t="s">
        <v>46336</v>
      </c>
      <c r="T14834" t="s">
        <v>46357</v>
      </c>
      <c r="U14834" t="s">
        <v>59029</v>
      </c>
      <c r="W14834" t="s">
        <v>44751</v>
      </c>
      <c r="X14834" t="s">
        <v>44780</v>
      </c>
    </row>
    <row r="14835" spans="1:24">
      <c r="A14835">
        <f>HYPERLINK("https://www.philgeps.gov.ph/GEPSNONPILOT/Tender/SplashBidNoticeAbstractUI.aspx?menuIndex=3&amp;refID=7119495&amp;Result=3","7119495")</f>
        <v>0</v>
      </c>
      <c r="B14835" t="s">
        <v>81</v>
      </c>
      <c r="C14835" t="s">
        <v>17877</v>
      </c>
      <c r="D14835" t="s">
        <v>17959</v>
      </c>
      <c r="E14835" t="s">
        <v>30842</v>
      </c>
      <c r="F14835" t="s">
        <v>30900</v>
      </c>
      <c r="G14835" t="s">
        <v>30907</v>
      </c>
      <c r="H14835" t="s">
        <v>30916</v>
      </c>
      <c r="I14835" t="s">
        <v>4108</v>
      </c>
      <c r="J14835" t="s">
        <v>40226</v>
      </c>
      <c r="K14835" t="s">
        <v>40289</v>
      </c>
      <c r="M14835" t="s">
        <v>44752</v>
      </c>
      <c r="N14835" t="s">
        <v>44759</v>
      </c>
      <c r="O14835" t="s">
        <v>44760</v>
      </c>
      <c r="P14835">
        <v>0</v>
      </c>
      <c r="Q14835">
        <v>5</v>
      </c>
      <c r="R14835" t="s">
        <v>44776</v>
      </c>
      <c r="S14835" t="s">
        <v>45453</v>
      </c>
      <c r="T14835" t="s">
        <v>46399</v>
      </c>
      <c r="U14835" t="s">
        <v>59030</v>
      </c>
      <c r="W14835" t="s">
        <v>44752</v>
      </c>
      <c r="X14835" t="s">
        <v>44779</v>
      </c>
    </row>
    <row r="14836" spans="1:24">
      <c r="A14836">
        <f>HYPERLINK("https://www.philgeps.gov.ph/GEPSNONPILOT/Tender/SplashBidNoticeAbstractUI.aspx?menuIndex=3&amp;refID=7118139&amp;Result=3","7118139")</f>
        <v>0</v>
      </c>
      <c r="B14836" t="s">
        <v>1647</v>
      </c>
      <c r="C14836" t="s">
        <v>17878</v>
      </c>
      <c r="D14836" t="s">
        <v>18002</v>
      </c>
      <c r="E14836" t="s">
        <v>30843</v>
      </c>
      <c r="F14836" t="s">
        <v>30900</v>
      </c>
      <c r="G14836" t="s">
        <v>30907</v>
      </c>
      <c r="H14836" t="s">
        <v>30916</v>
      </c>
      <c r="I14836" t="s">
        <v>5501</v>
      </c>
      <c r="J14836" t="s">
        <v>40227</v>
      </c>
      <c r="K14836" t="s">
        <v>40284</v>
      </c>
      <c r="M14836" t="s">
        <v>42303</v>
      </c>
      <c r="N14836" t="s">
        <v>44759</v>
      </c>
      <c r="O14836" t="s">
        <v>44760</v>
      </c>
      <c r="P14836">
        <v>0</v>
      </c>
      <c r="Q14836">
        <v>6</v>
      </c>
      <c r="R14836" t="s">
        <v>44776</v>
      </c>
      <c r="S14836" t="s">
        <v>45453</v>
      </c>
      <c r="T14836" t="s">
        <v>46352</v>
      </c>
      <c r="U14836" t="s">
        <v>59031</v>
      </c>
      <c r="W14836" t="s">
        <v>60907</v>
      </c>
      <c r="X14836" t="s">
        <v>44780</v>
      </c>
    </row>
    <row r="14837" spans="1:24">
      <c r="A14837">
        <f>HYPERLINK("https://www.philgeps.gov.ph/GEPSNONPILOT/Tender/SplashBidNoticeAbstractUI.aspx?menuIndex=3&amp;refID=7118971&amp;Result=3","7118971")</f>
        <v>0</v>
      </c>
      <c r="B14837" t="s">
        <v>2029</v>
      </c>
      <c r="C14837" t="s">
        <v>17879</v>
      </c>
      <c r="D14837" t="s">
        <v>18002</v>
      </c>
      <c r="E14837" t="s">
        <v>30844</v>
      </c>
      <c r="F14837" t="s">
        <v>30900</v>
      </c>
      <c r="G14837" t="s">
        <v>30907</v>
      </c>
      <c r="H14837" t="s">
        <v>30916</v>
      </c>
      <c r="I14837" t="s">
        <v>10961</v>
      </c>
      <c r="J14837" t="s">
        <v>40228</v>
      </c>
      <c r="K14837" t="s">
        <v>40286</v>
      </c>
      <c r="M14837" t="s">
        <v>44751</v>
      </c>
      <c r="N14837" t="s">
        <v>44759</v>
      </c>
      <c r="O14837" t="s">
        <v>44760</v>
      </c>
      <c r="Q14837">
        <v>22</v>
      </c>
      <c r="R14837" t="s">
        <v>44776</v>
      </c>
      <c r="S14837" t="s">
        <v>46337</v>
      </c>
      <c r="T14837" t="s">
        <v>46399</v>
      </c>
      <c r="U14837" t="s">
        <v>59032</v>
      </c>
      <c r="W14837" t="s">
        <v>44751</v>
      </c>
      <c r="X14837" t="s">
        <v>44780</v>
      </c>
    </row>
    <row r="14838" spans="1:24">
      <c r="A14838">
        <f>HYPERLINK("https://www.philgeps.gov.ph/GEPSNONPILOT/Tender/SplashBidNoticeAbstractUI.aspx?menuIndex=3&amp;refID=7118825&amp;Result=3","7118825")</f>
        <v>0</v>
      </c>
      <c r="B14838" t="s">
        <v>81</v>
      </c>
      <c r="C14838" t="s">
        <v>17880</v>
      </c>
      <c r="D14838" t="s">
        <v>17959</v>
      </c>
      <c r="E14838" t="s">
        <v>30845</v>
      </c>
      <c r="F14838" t="s">
        <v>30900</v>
      </c>
      <c r="G14838" t="s">
        <v>30907</v>
      </c>
      <c r="H14838" t="s">
        <v>30916</v>
      </c>
      <c r="I14838" t="s">
        <v>4142</v>
      </c>
      <c r="J14838" t="s">
        <v>40229</v>
      </c>
      <c r="K14838" t="s">
        <v>40289</v>
      </c>
      <c r="M14838" t="s">
        <v>41401</v>
      </c>
      <c r="N14838" t="s">
        <v>44759</v>
      </c>
      <c r="O14838" t="s">
        <v>44760</v>
      </c>
      <c r="P14838">
        <v>0</v>
      </c>
      <c r="Q14838">
        <v>4</v>
      </c>
      <c r="R14838" t="s">
        <v>44776</v>
      </c>
      <c r="S14838" t="s">
        <v>45453</v>
      </c>
      <c r="T14838" t="s">
        <v>46399</v>
      </c>
      <c r="U14838" t="s">
        <v>59033</v>
      </c>
      <c r="V14838" t="s">
        <v>59313</v>
      </c>
      <c r="W14838" t="s">
        <v>41401</v>
      </c>
      <c r="X14838" t="s">
        <v>44780</v>
      </c>
    </row>
    <row r="14839" spans="1:24">
      <c r="A14839">
        <f>HYPERLINK("https://www.philgeps.gov.ph/GEPSNONPILOT/Tender/SplashBidNoticeAbstractUI.aspx?menuIndex=3&amp;refID=7118104&amp;Result=3","7118104")</f>
        <v>0</v>
      </c>
      <c r="B14839" t="s">
        <v>1647</v>
      </c>
      <c r="C14839" t="s">
        <v>17881</v>
      </c>
      <c r="D14839" t="s">
        <v>18002</v>
      </c>
      <c r="E14839" t="s">
        <v>30846</v>
      </c>
      <c r="F14839" t="s">
        <v>30900</v>
      </c>
      <c r="G14839" t="s">
        <v>30907</v>
      </c>
      <c r="H14839" t="s">
        <v>30916</v>
      </c>
      <c r="I14839" t="s">
        <v>5501</v>
      </c>
      <c r="J14839" t="s">
        <v>40230</v>
      </c>
      <c r="K14839" t="s">
        <v>40284</v>
      </c>
      <c r="M14839" t="s">
        <v>42303</v>
      </c>
      <c r="N14839" t="s">
        <v>44759</v>
      </c>
      <c r="O14839" t="s">
        <v>44760</v>
      </c>
      <c r="P14839">
        <v>0</v>
      </c>
      <c r="Q14839">
        <v>2</v>
      </c>
      <c r="R14839" t="s">
        <v>44776</v>
      </c>
      <c r="S14839" t="s">
        <v>45453</v>
      </c>
      <c r="T14839" t="s">
        <v>46352</v>
      </c>
      <c r="U14839" t="s">
        <v>59034</v>
      </c>
      <c r="W14839" t="s">
        <v>60907</v>
      </c>
      <c r="X14839" t="s">
        <v>44780</v>
      </c>
    </row>
    <row r="14840" spans="1:24">
      <c r="A14840">
        <f>HYPERLINK("https://www.philgeps.gov.ph/GEPSNONPILOT/Tender/SplashBidNoticeAbstractUI.aspx?menuIndex=3&amp;refID=7118041&amp;Result=3","7118041")</f>
        <v>0</v>
      </c>
      <c r="B14840" t="s">
        <v>764</v>
      </c>
      <c r="C14840" t="s">
        <v>17882</v>
      </c>
      <c r="D14840" t="s">
        <v>17998</v>
      </c>
      <c r="E14840" t="s">
        <v>30847</v>
      </c>
      <c r="F14840" t="s">
        <v>30900</v>
      </c>
      <c r="G14840" t="s">
        <v>30907</v>
      </c>
      <c r="H14840" t="s">
        <v>30916</v>
      </c>
      <c r="I14840" t="s">
        <v>30939</v>
      </c>
      <c r="J14840" t="s">
        <v>33675</v>
      </c>
      <c r="K14840" t="s">
        <v>40286</v>
      </c>
      <c r="M14840" t="s">
        <v>41330</v>
      </c>
      <c r="N14840" t="s">
        <v>44759</v>
      </c>
      <c r="O14840" t="s">
        <v>44760</v>
      </c>
      <c r="P14840">
        <v>0</v>
      </c>
      <c r="Q14840">
        <v>0</v>
      </c>
      <c r="R14840" t="s">
        <v>44776</v>
      </c>
      <c r="S14840" t="s">
        <v>45453</v>
      </c>
      <c r="T14840" t="s">
        <v>46425</v>
      </c>
      <c r="U14840" t="s">
        <v>59035</v>
      </c>
      <c r="W14840" t="s">
        <v>41330</v>
      </c>
      <c r="X14840" t="s">
        <v>44780</v>
      </c>
    </row>
    <row r="14841" spans="1:24">
      <c r="A14841">
        <f>HYPERLINK("https://www.philgeps.gov.ph/GEPSNONPILOT/Tender/SplashBidNoticeAbstractUI.aspx?menuIndex=3&amp;refID=7120851&amp;Result=3","7120851")</f>
        <v>0</v>
      </c>
      <c r="B14841" t="s">
        <v>3378</v>
      </c>
      <c r="C14841" t="s">
        <v>17883</v>
      </c>
      <c r="D14841" t="s">
        <v>17953</v>
      </c>
      <c r="E14841" t="s">
        <v>30848</v>
      </c>
      <c r="F14841" t="s">
        <v>30900</v>
      </c>
      <c r="G14841" t="s">
        <v>30907</v>
      </c>
      <c r="H14841" t="s">
        <v>30916</v>
      </c>
      <c r="I14841" t="s">
        <v>30923</v>
      </c>
      <c r="J14841" t="s">
        <v>31863</v>
      </c>
      <c r="K14841" t="s">
        <v>40287</v>
      </c>
      <c r="L14841" t="s">
        <v>3378</v>
      </c>
      <c r="M14841" t="s">
        <v>44250</v>
      </c>
      <c r="N14841" t="s">
        <v>44759</v>
      </c>
      <c r="O14841" t="s">
        <v>44760</v>
      </c>
      <c r="P14841">
        <v>0</v>
      </c>
      <c r="Q14841">
        <v>1</v>
      </c>
      <c r="R14841" t="s">
        <v>44776</v>
      </c>
      <c r="S14841" t="s">
        <v>45453</v>
      </c>
      <c r="T14841" t="s">
        <v>46409</v>
      </c>
      <c r="U14841" t="s">
        <v>50693</v>
      </c>
      <c r="V14841" t="s">
        <v>60439</v>
      </c>
      <c r="W14841" t="s">
        <v>44250</v>
      </c>
      <c r="X14841" t="s">
        <v>44777</v>
      </c>
    </row>
    <row r="14842" spans="1:24">
      <c r="A14842">
        <f>HYPERLINK("https://www.philgeps.gov.ph/GEPSNONPILOT/Tender/SplashBidNoticeAbstractUI.aspx?menuIndex=3&amp;refID=7120034&amp;Result=3","7120034")</f>
        <v>0</v>
      </c>
      <c r="B14842" t="s">
        <v>1791</v>
      </c>
      <c r="C14842" t="s">
        <v>17884</v>
      </c>
      <c r="D14842" t="s">
        <v>17966</v>
      </c>
      <c r="E14842" t="s">
        <v>30849</v>
      </c>
      <c r="F14842" t="s">
        <v>30900</v>
      </c>
      <c r="G14842" t="s">
        <v>30907</v>
      </c>
      <c r="H14842" t="s">
        <v>30916</v>
      </c>
      <c r="I14842" t="s">
        <v>8123</v>
      </c>
      <c r="J14842" t="s">
        <v>38261</v>
      </c>
      <c r="K14842" t="s">
        <v>40280</v>
      </c>
      <c r="M14842" t="s">
        <v>42465</v>
      </c>
      <c r="N14842" t="s">
        <v>44759</v>
      </c>
      <c r="O14842" t="s">
        <v>44760</v>
      </c>
      <c r="Q14842">
        <v>1</v>
      </c>
      <c r="R14842" t="s">
        <v>44776</v>
      </c>
      <c r="S14842" t="s">
        <v>46338</v>
      </c>
      <c r="T14842" t="s">
        <v>46694</v>
      </c>
      <c r="U14842" t="s">
        <v>59036</v>
      </c>
      <c r="V14842" t="s">
        <v>60809</v>
      </c>
      <c r="W14842" t="s">
        <v>42465</v>
      </c>
      <c r="X14842" t="s">
        <v>44778</v>
      </c>
    </row>
    <row r="14843" spans="1:24">
      <c r="A14843">
        <f>HYPERLINK("https://www.philgeps.gov.ph/GEPSNONPILOT/Tender/SplashBidNoticeAbstractUI.aspx?menuIndex=3&amp;refID=7118000&amp;Result=3","7118000")</f>
        <v>0</v>
      </c>
      <c r="B14843" t="s">
        <v>1647</v>
      </c>
      <c r="C14843" t="s">
        <v>17885</v>
      </c>
      <c r="D14843" t="s">
        <v>18002</v>
      </c>
      <c r="E14843" t="s">
        <v>30850</v>
      </c>
      <c r="F14843" t="s">
        <v>30900</v>
      </c>
      <c r="G14843" t="s">
        <v>30907</v>
      </c>
      <c r="H14843" t="s">
        <v>30916</v>
      </c>
      <c r="I14843" t="s">
        <v>5501</v>
      </c>
      <c r="J14843" t="s">
        <v>40231</v>
      </c>
      <c r="K14843" t="s">
        <v>40289</v>
      </c>
      <c r="M14843" t="s">
        <v>42303</v>
      </c>
      <c r="N14843" t="s">
        <v>44759</v>
      </c>
      <c r="O14843" t="s">
        <v>44760</v>
      </c>
      <c r="P14843">
        <v>0</v>
      </c>
      <c r="Q14843">
        <v>4</v>
      </c>
      <c r="R14843" t="s">
        <v>44776</v>
      </c>
      <c r="S14843" t="s">
        <v>45453</v>
      </c>
      <c r="T14843" t="s">
        <v>46352</v>
      </c>
      <c r="U14843" t="s">
        <v>59037</v>
      </c>
      <c r="W14843" t="s">
        <v>60907</v>
      </c>
      <c r="X14843" t="s">
        <v>44780</v>
      </c>
    </row>
    <row r="14844" spans="1:24">
      <c r="A14844">
        <f>HYPERLINK("https://www.philgeps.gov.ph/GEPSNONPILOT/Tender/SplashBidNoticeAbstractUI.aspx?menuIndex=3&amp;refID=7118035&amp;Result=3","7118035")</f>
        <v>0</v>
      </c>
      <c r="B14844" t="s">
        <v>1647</v>
      </c>
      <c r="C14844" t="s">
        <v>17886</v>
      </c>
      <c r="D14844" t="s">
        <v>18002</v>
      </c>
      <c r="E14844" t="s">
        <v>30851</v>
      </c>
      <c r="F14844" t="s">
        <v>30900</v>
      </c>
      <c r="G14844" t="s">
        <v>30907</v>
      </c>
      <c r="H14844" t="s">
        <v>30916</v>
      </c>
      <c r="I14844" t="s">
        <v>30933</v>
      </c>
      <c r="J14844" t="s">
        <v>40232</v>
      </c>
      <c r="K14844" t="s">
        <v>40280</v>
      </c>
      <c r="M14844" t="s">
        <v>42303</v>
      </c>
      <c r="N14844" t="s">
        <v>44759</v>
      </c>
      <c r="O14844" t="s">
        <v>44760</v>
      </c>
      <c r="P14844">
        <v>0</v>
      </c>
      <c r="Q14844">
        <v>7</v>
      </c>
      <c r="R14844" t="s">
        <v>44776</v>
      </c>
      <c r="S14844" t="s">
        <v>45453</v>
      </c>
      <c r="T14844" t="s">
        <v>46352</v>
      </c>
      <c r="U14844" t="s">
        <v>59038</v>
      </c>
      <c r="W14844" t="s">
        <v>60907</v>
      </c>
      <c r="X14844" t="s">
        <v>44780</v>
      </c>
    </row>
    <row r="14845" spans="1:24">
      <c r="A14845">
        <f>HYPERLINK("https://www.philgeps.gov.ph/GEPSNONPILOT/Tender/SplashBidNoticeAbstractUI.aspx?menuIndex=3&amp;refID=7119974&amp;Result=3","7119974")</f>
        <v>0</v>
      </c>
      <c r="B14845" t="s">
        <v>3505</v>
      </c>
      <c r="C14845" t="s">
        <v>17887</v>
      </c>
      <c r="D14845" t="s">
        <v>17959</v>
      </c>
      <c r="E14845" t="s">
        <v>30852</v>
      </c>
      <c r="F14845" t="s">
        <v>30900</v>
      </c>
      <c r="G14845" t="s">
        <v>30907</v>
      </c>
      <c r="H14845" t="s">
        <v>30915</v>
      </c>
      <c r="I14845" t="s">
        <v>30919</v>
      </c>
      <c r="J14845" t="s">
        <v>40233</v>
      </c>
      <c r="K14845" t="s">
        <v>40395</v>
      </c>
      <c r="M14845" t="s">
        <v>44409</v>
      </c>
      <c r="N14845" t="s">
        <v>44759</v>
      </c>
      <c r="O14845" t="s">
        <v>44760</v>
      </c>
      <c r="Q14845">
        <v>12</v>
      </c>
      <c r="R14845" t="s">
        <v>44776</v>
      </c>
      <c r="S14845" t="s">
        <v>46339</v>
      </c>
      <c r="T14845" t="s">
        <v>46377</v>
      </c>
      <c r="U14845" t="s">
        <v>57170</v>
      </c>
      <c r="W14845" t="s">
        <v>44409</v>
      </c>
      <c r="X14845" t="s">
        <v>44778</v>
      </c>
    </row>
    <row r="14846" spans="1:24">
      <c r="A14846">
        <f>HYPERLINK("https://www.philgeps.gov.ph/GEPSNONPILOT/Tender/SplashBidNoticeAbstractUI.aspx?menuIndex=3&amp;refID=7112573&amp;Result=3","7112573")</f>
        <v>0</v>
      </c>
      <c r="B14846" t="s">
        <v>1177</v>
      </c>
      <c r="C14846" t="s">
        <v>13975</v>
      </c>
      <c r="D14846" t="s">
        <v>17975</v>
      </c>
      <c r="E14846" t="s">
        <v>30853</v>
      </c>
      <c r="F14846" t="s">
        <v>30900</v>
      </c>
      <c r="G14846" t="s">
        <v>30907</v>
      </c>
      <c r="H14846" t="s">
        <v>30915</v>
      </c>
      <c r="I14846" t="s">
        <v>30919</v>
      </c>
      <c r="J14846" t="s">
        <v>40234</v>
      </c>
      <c r="K14846" t="s">
        <v>40304</v>
      </c>
      <c r="M14846" t="s">
        <v>41784</v>
      </c>
      <c r="N14846" t="s">
        <v>44759</v>
      </c>
      <c r="O14846" t="s">
        <v>44760</v>
      </c>
      <c r="P14846">
        <v>0</v>
      </c>
      <c r="Q14846">
        <v>1</v>
      </c>
      <c r="R14846" t="s">
        <v>44776</v>
      </c>
      <c r="S14846" t="s">
        <v>45453</v>
      </c>
      <c r="T14846" t="s">
        <v>46389</v>
      </c>
      <c r="U14846" t="s">
        <v>59039</v>
      </c>
      <c r="W14846" t="s">
        <v>41784</v>
      </c>
      <c r="X14846" t="s">
        <v>44782</v>
      </c>
    </row>
    <row r="14847" spans="1:24">
      <c r="A14847">
        <f>HYPERLINK("https://www.philgeps.gov.ph/GEPSNONPILOT/Tender/SplashBidNoticeAbstractUI.aspx?menuIndex=3&amp;refID=7118082&amp;Result=3","7118082")</f>
        <v>0</v>
      </c>
      <c r="B14847" t="s">
        <v>1647</v>
      </c>
      <c r="C14847" t="s">
        <v>17888</v>
      </c>
      <c r="D14847" t="s">
        <v>18002</v>
      </c>
      <c r="E14847" t="s">
        <v>30854</v>
      </c>
      <c r="F14847" t="s">
        <v>30900</v>
      </c>
      <c r="G14847" t="s">
        <v>30907</v>
      </c>
      <c r="H14847" t="s">
        <v>30916</v>
      </c>
      <c r="I14847" t="s">
        <v>30933</v>
      </c>
      <c r="J14847" t="s">
        <v>40235</v>
      </c>
      <c r="K14847" t="s">
        <v>40280</v>
      </c>
      <c r="M14847" t="s">
        <v>42303</v>
      </c>
      <c r="N14847" t="s">
        <v>44759</v>
      </c>
      <c r="O14847" t="s">
        <v>44760</v>
      </c>
      <c r="P14847">
        <v>0</v>
      </c>
      <c r="Q14847">
        <v>1</v>
      </c>
      <c r="R14847" t="s">
        <v>44776</v>
      </c>
      <c r="S14847" t="s">
        <v>45453</v>
      </c>
      <c r="T14847" t="s">
        <v>46352</v>
      </c>
      <c r="U14847" t="s">
        <v>59040</v>
      </c>
      <c r="W14847" t="s">
        <v>60907</v>
      </c>
      <c r="X14847" t="s">
        <v>44780</v>
      </c>
    </row>
    <row r="14848" spans="1:24">
      <c r="A14848">
        <f>HYPERLINK("https://www.philgeps.gov.ph/GEPSNONPILOT/Tender/SplashBidNoticeAbstractUI.aspx?menuIndex=3&amp;refID=7117847&amp;Result=3","7117847")</f>
        <v>0</v>
      </c>
      <c r="B14848" t="s">
        <v>694</v>
      </c>
      <c r="C14848" t="s">
        <v>17889</v>
      </c>
      <c r="D14848" t="s">
        <v>17978</v>
      </c>
      <c r="E14848" t="s">
        <v>30855</v>
      </c>
      <c r="F14848" t="s">
        <v>30900</v>
      </c>
      <c r="G14848" t="s">
        <v>30907</v>
      </c>
      <c r="H14848" t="s">
        <v>30915</v>
      </c>
      <c r="I14848" t="s">
        <v>30919</v>
      </c>
      <c r="J14848" t="s">
        <v>32049</v>
      </c>
      <c r="K14848" t="s">
        <v>40292</v>
      </c>
      <c r="M14848" t="s">
        <v>41258</v>
      </c>
      <c r="N14848" t="s">
        <v>44759</v>
      </c>
      <c r="O14848" t="s">
        <v>44760</v>
      </c>
      <c r="P14848">
        <v>0</v>
      </c>
      <c r="Q14848">
        <v>1</v>
      </c>
      <c r="R14848" t="s">
        <v>44776</v>
      </c>
      <c r="S14848" t="s">
        <v>45453</v>
      </c>
      <c r="T14848" t="s">
        <v>46357</v>
      </c>
      <c r="U14848" t="s">
        <v>59041</v>
      </c>
      <c r="W14848" t="s">
        <v>41258</v>
      </c>
      <c r="X14848" t="s">
        <v>44780</v>
      </c>
    </row>
    <row r="14849" spans="1:24">
      <c r="A14849">
        <f>HYPERLINK("https://www.philgeps.gov.ph/GEPSNONPILOT/Tender/SplashBidNoticeAbstractUI.aspx?menuIndex=3&amp;refID=7112552&amp;Result=3","7112552")</f>
        <v>0</v>
      </c>
      <c r="B14849" t="s">
        <v>1177</v>
      </c>
      <c r="C14849" t="s">
        <v>17890</v>
      </c>
      <c r="D14849" t="s">
        <v>17975</v>
      </c>
      <c r="E14849" t="s">
        <v>30856</v>
      </c>
      <c r="F14849" t="s">
        <v>30900</v>
      </c>
      <c r="G14849" t="s">
        <v>30907</v>
      </c>
      <c r="H14849" t="s">
        <v>30915</v>
      </c>
      <c r="I14849" t="s">
        <v>30919</v>
      </c>
      <c r="J14849" t="s">
        <v>40236</v>
      </c>
      <c r="K14849" t="s">
        <v>40304</v>
      </c>
      <c r="M14849" t="s">
        <v>41784</v>
      </c>
      <c r="N14849" t="s">
        <v>44759</v>
      </c>
      <c r="O14849" t="s">
        <v>44760</v>
      </c>
      <c r="P14849">
        <v>0</v>
      </c>
      <c r="Q14849">
        <v>6</v>
      </c>
      <c r="R14849" t="s">
        <v>44776</v>
      </c>
      <c r="S14849" t="s">
        <v>45453</v>
      </c>
      <c r="T14849" t="s">
        <v>46389</v>
      </c>
      <c r="U14849" t="s">
        <v>59042</v>
      </c>
      <c r="W14849" t="s">
        <v>41784</v>
      </c>
      <c r="X14849" t="s">
        <v>44782</v>
      </c>
    </row>
    <row r="14850" spans="1:24">
      <c r="A14850">
        <f>HYPERLINK("https://www.philgeps.gov.ph/GEPSNONPILOT/Tender/SplashBidNoticeAbstractUI.aspx?menuIndex=3&amp;refID=7112412&amp;Result=3","7112412")</f>
        <v>0</v>
      </c>
      <c r="B14850" t="s">
        <v>2029</v>
      </c>
      <c r="C14850" t="s">
        <v>17891</v>
      </c>
      <c r="D14850" t="s">
        <v>18002</v>
      </c>
      <c r="E14850" t="s">
        <v>18608</v>
      </c>
      <c r="F14850" t="s">
        <v>30900</v>
      </c>
      <c r="G14850" t="s">
        <v>30907</v>
      </c>
      <c r="H14850" t="s">
        <v>30916</v>
      </c>
      <c r="I14850" t="s">
        <v>30924</v>
      </c>
      <c r="J14850" t="s">
        <v>40237</v>
      </c>
      <c r="K14850" t="s">
        <v>40280</v>
      </c>
      <c r="M14850" t="s">
        <v>44753</v>
      </c>
      <c r="N14850" t="s">
        <v>44759</v>
      </c>
      <c r="O14850" t="s">
        <v>44760</v>
      </c>
      <c r="Q14850">
        <v>15</v>
      </c>
      <c r="R14850" t="s">
        <v>44776</v>
      </c>
      <c r="S14850" t="s">
        <v>46340</v>
      </c>
      <c r="T14850" t="s">
        <v>46412</v>
      </c>
      <c r="U14850" t="s">
        <v>59043</v>
      </c>
      <c r="W14850" t="s">
        <v>44753</v>
      </c>
      <c r="X14850" t="s">
        <v>44782</v>
      </c>
    </row>
    <row r="14851" spans="1:24">
      <c r="A14851">
        <f>HYPERLINK("https://www.philgeps.gov.ph/GEPSNONPILOT/Tender/SplashBidNoticeAbstractUI.aspx?menuIndex=3&amp;refID=7117966&amp;Result=3","7117966")</f>
        <v>0</v>
      </c>
      <c r="B14851" t="s">
        <v>2451</v>
      </c>
      <c r="C14851" t="s">
        <v>17892</v>
      </c>
      <c r="D14851" t="s">
        <v>17985</v>
      </c>
      <c r="E14851" t="s">
        <v>30857</v>
      </c>
      <c r="F14851" t="s">
        <v>30900</v>
      </c>
      <c r="G14851" t="s">
        <v>30907</v>
      </c>
      <c r="H14851" t="s">
        <v>30915</v>
      </c>
      <c r="I14851" t="s">
        <v>30919</v>
      </c>
      <c r="J14851" t="s">
        <v>40238</v>
      </c>
      <c r="K14851" t="s">
        <v>40329</v>
      </c>
      <c r="M14851" t="s">
        <v>43188</v>
      </c>
      <c r="N14851" t="s">
        <v>44759</v>
      </c>
      <c r="O14851" t="s">
        <v>44760</v>
      </c>
      <c r="P14851">
        <v>0</v>
      </c>
      <c r="Q14851">
        <v>2</v>
      </c>
      <c r="R14851" t="s">
        <v>44779</v>
      </c>
      <c r="S14851" t="s">
        <v>45618</v>
      </c>
      <c r="T14851" t="s">
        <v>46376</v>
      </c>
      <c r="U14851" t="s">
        <v>59044</v>
      </c>
      <c r="V14851" t="s">
        <v>60251</v>
      </c>
      <c r="W14851" t="s">
        <v>43188</v>
      </c>
      <c r="X14851" t="s">
        <v>44780</v>
      </c>
    </row>
    <row r="14852" spans="1:24">
      <c r="A14852">
        <f>HYPERLINK("https://www.philgeps.gov.ph/GEPSNONPILOT/Tender/SplashBidNoticeAbstractUI.aspx?menuIndex=3&amp;refID=7112531&amp;Result=3","7112531")</f>
        <v>0</v>
      </c>
      <c r="B14852" t="s">
        <v>1177</v>
      </c>
      <c r="C14852" t="s">
        <v>17893</v>
      </c>
      <c r="D14852" t="s">
        <v>17975</v>
      </c>
      <c r="E14852" t="s">
        <v>30858</v>
      </c>
      <c r="F14852" t="s">
        <v>30900</v>
      </c>
      <c r="G14852" t="s">
        <v>30907</v>
      </c>
      <c r="H14852" t="s">
        <v>30915</v>
      </c>
      <c r="I14852" t="s">
        <v>30919</v>
      </c>
      <c r="J14852" t="s">
        <v>40239</v>
      </c>
      <c r="K14852" t="s">
        <v>40304</v>
      </c>
      <c r="M14852" t="s">
        <v>41784</v>
      </c>
      <c r="N14852" t="s">
        <v>44759</v>
      </c>
      <c r="O14852" t="s">
        <v>44760</v>
      </c>
      <c r="P14852">
        <v>0</v>
      </c>
      <c r="Q14852">
        <v>1</v>
      </c>
      <c r="R14852" t="s">
        <v>44776</v>
      </c>
      <c r="S14852" t="s">
        <v>45453</v>
      </c>
      <c r="T14852" t="s">
        <v>46389</v>
      </c>
      <c r="U14852" t="s">
        <v>59045</v>
      </c>
      <c r="W14852" t="s">
        <v>41784</v>
      </c>
      <c r="X14852" t="s">
        <v>44782</v>
      </c>
    </row>
    <row r="14853" spans="1:24">
      <c r="A14853">
        <f>HYPERLINK("https://www.philgeps.gov.ph/GEPSNONPILOT/Tender/SplashBidNoticeAbstractUI.aspx?menuIndex=3&amp;refID=7101758&amp;Result=3","7101758")</f>
        <v>0</v>
      </c>
      <c r="B14853" t="s">
        <v>2641</v>
      </c>
      <c r="C14853" t="s">
        <v>17894</v>
      </c>
      <c r="D14853" t="s">
        <v>18018</v>
      </c>
      <c r="E14853" t="s">
        <v>20646</v>
      </c>
      <c r="F14853" t="s">
        <v>30900</v>
      </c>
      <c r="G14853" t="s">
        <v>30907</v>
      </c>
      <c r="H14853" t="s">
        <v>30915</v>
      </c>
      <c r="I14853" t="s">
        <v>30919</v>
      </c>
      <c r="J14853" t="s">
        <v>40240</v>
      </c>
      <c r="K14853" t="s">
        <v>40387</v>
      </c>
      <c r="M14853" t="s">
        <v>43407</v>
      </c>
      <c r="N14853" t="s">
        <v>44759</v>
      </c>
      <c r="O14853" t="s">
        <v>44760</v>
      </c>
      <c r="P14853">
        <v>0</v>
      </c>
      <c r="Q14853">
        <v>0</v>
      </c>
      <c r="R14853" t="s">
        <v>44776</v>
      </c>
      <c r="S14853" t="s">
        <v>45453</v>
      </c>
      <c r="T14853" t="s">
        <v>46390</v>
      </c>
      <c r="U14853" t="s">
        <v>59046</v>
      </c>
      <c r="W14853" t="s">
        <v>43407</v>
      </c>
      <c r="X14853" t="s">
        <v>44787</v>
      </c>
    </row>
    <row r="14854" spans="1:24">
      <c r="A14854">
        <f>HYPERLINK("https://www.philgeps.gov.ph/GEPSNONPILOT/Tender/SplashBidNoticeAbstractUI.aspx?menuIndex=3&amp;refID=7118049&amp;Result=3","7118049")</f>
        <v>0</v>
      </c>
      <c r="B14854" t="s">
        <v>1647</v>
      </c>
      <c r="C14854" t="s">
        <v>17895</v>
      </c>
      <c r="D14854" t="s">
        <v>18002</v>
      </c>
      <c r="E14854" t="s">
        <v>30859</v>
      </c>
      <c r="F14854" t="s">
        <v>30900</v>
      </c>
      <c r="G14854" t="s">
        <v>30907</v>
      </c>
      <c r="H14854" t="s">
        <v>30916</v>
      </c>
      <c r="I14854" t="s">
        <v>30933</v>
      </c>
      <c r="J14854" t="s">
        <v>40241</v>
      </c>
      <c r="K14854" t="s">
        <v>40280</v>
      </c>
      <c r="M14854" t="s">
        <v>42303</v>
      </c>
      <c r="N14854" t="s">
        <v>44759</v>
      </c>
      <c r="O14854" t="s">
        <v>44760</v>
      </c>
      <c r="P14854">
        <v>0</v>
      </c>
      <c r="Q14854">
        <v>6</v>
      </c>
      <c r="R14854" t="s">
        <v>44776</v>
      </c>
      <c r="S14854" t="s">
        <v>45453</v>
      </c>
      <c r="T14854" t="s">
        <v>46352</v>
      </c>
      <c r="U14854" t="s">
        <v>59047</v>
      </c>
      <c r="W14854" t="s">
        <v>60907</v>
      </c>
      <c r="X14854" t="s">
        <v>44780</v>
      </c>
    </row>
    <row r="14855" spans="1:24">
      <c r="A14855">
        <f>HYPERLINK("https://www.philgeps.gov.ph/GEPSNONPILOT/Tender/SplashBidNoticeAbstractUI.aspx?menuIndex=3&amp;refID=7095865&amp;Result=3","7095865")</f>
        <v>0</v>
      </c>
      <c r="B14855" t="s">
        <v>2641</v>
      </c>
      <c r="C14855" t="s">
        <v>17896</v>
      </c>
      <c r="D14855" t="s">
        <v>18018</v>
      </c>
      <c r="E14855" t="s">
        <v>19807</v>
      </c>
      <c r="F14855" t="s">
        <v>30900</v>
      </c>
      <c r="G14855" t="s">
        <v>30907</v>
      </c>
      <c r="H14855" t="s">
        <v>30915</v>
      </c>
      <c r="I14855" t="s">
        <v>30919</v>
      </c>
      <c r="J14855" t="s">
        <v>40242</v>
      </c>
      <c r="K14855" t="s">
        <v>40309</v>
      </c>
      <c r="M14855" t="s">
        <v>43407</v>
      </c>
      <c r="N14855" t="s">
        <v>44759</v>
      </c>
      <c r="O14855" t="s">
        <v>44760</v>
      </c>
      <c r="P14855">
        <v>0</v>
      </c>
      <c r="Q14855">
        <v>0</v>
      </c>
      <c r="R14855" t="s">
        <v>44776</v>
      </c>
      <c r="S14855" t="s">
        <v>45453</v>
      </c>
      <c r="T14855" t="s">
        <v>46390</v>
      </c>
      <c r="U14855" t="s">
        <v>59048</v>
      </c>
      <c r="W14855" t="s">
        <v>43407</v>
      </c>
      <c r="X14855" t="s">
        <v>44789</v>
      </c>
    </row>
    <row r="14856" spans="1:24">
      <c r="A14856">
        <f>HYPERLINK("https://www.philgeps.gov.ph/GEPSNONPILOT/Tender/SplashBidNoticeAbstractUI.aspx?menuIndex=3&amp;refID=7126345&amp;Result=3","7126345")</f>
        <v>0</v>
      </c>
      <c r="B14856" t="s">
        <v>3761</v>
      </c>
      <c r="C14856" t="s">
        <v>17897</v>
      </c>
      <c r="D14856" t="s">
        <v>17959</v>
      </c>
      <c r="E14856" t="s">
        <v>30860</v>
      </c>
      <c r="F14856" t="s">
        <v>30900</v>
      </c>
      <c r="G14856" t="s">
        <v>30907</v>
      </c>
      <c r="H14856" t="s">
        <v>30916</v>
      </c>
      <c r="I14856" t="s">
        <v>4108</v>
      </c>
      <c r="J14856" t="s">
        <v>40243</v>
      </c>
      <c r="K14856" t="s">
        <v>40284</v>
      </c>
      <c r="M14856" t="s">
        <v>44754</v>
      </c>
      <c r="N14856" t="s">
        <v>44759</v>
      </c>
      <c r="O14856" t="s">
        <v>44760</v>
      </c>
      <c r="P14856">
        <v>0</v>
      </c>
      <c r="Q14856">
        <v>2</v>
      </c>
      <c r="R14856" t="s">
        <v>44775</v>
      </c>
      <c r="S14856" t="s">
        <v>45343</v>
      </c>
      <c r="T14856" t="s">
        <v>46954</v>
      </c>
      <c r="U14856" t="s">
        <v>59049</v>
      </c>
      <c r="W14856" t="s">
        <v>44754</v>
      </c>
      <c r="X14856" t="s">
        <v>44776</v>
      </c>
    </row>
    <row r="14857" spans="1:24">
      <c r="A14857">
        <f>HYPERLINK("https://www.philgeps.gov.ph/GEPSNONPILOT/Tender/SplashBidNoticeAbstractUI.aspx?menuIndex=3&amp;refID=7120099&amp;Result=3","7120099")</f>
        <v>0</v>
      </c>
      <c r="B14857" t="s">
        <v>1584</v>
      </c>
      <c r="C14857" t="s">
        <v>17898</v>
      </c>
      <c r="D14857" t="s">
        <v>18025</v>
      </c>
      <c r="E14857" t="s">
        <v>30861</v>
      </c>
      <c r="F14857" t="s">
        <v>30900</v>
      </c>
      <c r="G14857" t="s">
        <v>30907</v>
      </c>
      <c r="H14857" t="s">
        <v>30915</v>
      </c>
      <c r="I14857" t="s">
        <v>30919</v>
      </c>
      <c r="J14857" t="s">
        <v>40244</v>
      </c>
      <c r="K14857" t="s">
        <v>40292</v>
      </c>
      <c r="M14857" t="s">
        <v>42231</v>
      </c>
      <c r="N14857" t="s">
        <v>44759</v>
      </c>
      <c r="O14857" t="s">
        <v>44760</v>
      </c>
      <c r="P14857">
        <v>0</v>
      </c>
      <c r="Q14857">
        <v>8</v>
      </c>
      <c r="R14857" t="s">
        <v>44776</v>
      </c>
      <c r="S14857" t="s">
        <v>45453</v>
      </c>
      <c r="T14857" t="s">
        <v>46421</v>
      </c>
      <c r="U14857" t="s">
        <v>54894</v>
      </c>
      <c r="W14857" t="s">
        <v>42231</v>
      </c>
      <c r="X14857" t="s">
        <v>44777</v>
      </c>
    </row>
    <row r="14858" spans="1:24">
      <c r="A14858">
        <f>HYPERLINK("https://www.philgeps.gov.ph/GEPSNONPILOT/Tender/SplashBidNoticeAbstractUI.aspx?menuIndex=3&amp;refID=7126341&amp;Result=3","7126341")</f>
        <v>0</v>
      </c>
      <c r="B14858" t="s">
        <v>3470</v>
      </c>
      <c r="C14858" t="s">
        <v>17899</v>
      </c>
      <c r="D14858" t="s">
        <v>17990</v>
      </c>
      <c r="E14858" t="s">
        <v>30862</v>
      </c>
      <c r="F14858" t="s">
        <v>30900</v>
      </c>
      <c r="G14858" t="s">
        <v>30907</v>
      </c>
      <c r="H14858" t="s">
        <v>30915</v>
      </c>
      <c r="I14858" t="s">
        <v>30919</v>
      </c>
      <c r="J14858" t="s">
        <v>31297</v>
      </c>
      <c r="K14858" t="s">
        <v>40301</v>
      </c>
      <c r="M14858" t="s">
        <v>44367</v>
      </c>
      <c r="N14858" t="s">
        <v>44759</v>
      </c>
      <c r="O14858" t="s">
        <v>44760</v>
      </c>
      <c r="Q14858">
        <v>9</v>
      </c>
      <c r="R14858" t="s">
        <v>44775</v>
      </c>
      <c r="S14858" t="s">
        <v>46341</v>
      </c>
      <c r="T14858" t="s">
        <v>46378</v>
      </c>
      <c r="U14858" t="s">
        <v>59050</v>
      </c>
      <c r="W14858" t="s">
        <v>44367</v>
      </c>
      <c r="X14858" t="s">
        <v>44776</v>
      </c>
    </row>
    <row r="14859" spans="1:24">
      <c r="A14859">
        <f>HYPERLINK("https://www.philgeps.gov.ph/GEPSNONPILOT/Tender/SplashBidNoticeAbstractUI.aspx?menuIndex=3&amp;refID=7126339&amp;Result=3","7126339")</f>
        <v>0</v>
      </c>
      <c r="B14859" t="s">
        <v>1119</v>
      </c>
      <c r="C14859" t="s">
        <v>17900</v>
      </c>
      <c r="D14859" t="s">
        <v>18038</v>
      </c>
      <c r="E14859" t="s">
        <v>30863</v>
      </c>
      <c r="F14859" t="s">
        <v>30900</v>
      </c>
      <c r="G14859" t="s">
        <v>30907</v>
      </c>
      <c r="H14859" t="s">
        <v>30916</v>
      </c>
      <c r="I14859" t="s">
        <v>7708</v>
      </c>
      <c r="J14859" t="s">
        <v>36777</v>
      </c>
      <c r="K14859" t="s">
        <v>40280</v>
      </c>
      <c r="M14859" t="s">
        <v>42602</v>
      </c>
      <c r="N14859" t="s">
        <v>44759</v>
      </c>
      <c r="O14859" t="s">
        <v>44760</v>
      </c>
      <c r="Q14859">
        <v>6</v>
      </c>
      <c r="R14859" t="s">
        <v>44775</v>
      </c>
      <c r="S14859" t="s">
        <v>45140</v>
      </c>
      <c r="T14859" t="s">
        <v>46386</v>
      </c>
      <c r="U14859" t="s">
        <v>57021</v>
      </c>
      <c r="V14859" t="s">
        <v>60810</v>
      </c>
      <c r="W14859" t="s">
        <v>42602</v>
      </c>
      <c r="X14859" t="s">
        <v>44776</v>
      </c>
    </row>
    <row r="14860" spans="1:24">
      <c r="A14860">
        <f>HYPERLINK("https://www.philgeps.gov.ph/GEPSNONPILOT/Tender/SplashBidNoticeAbstractUI.aspx?menuIndex=3&amp;refID=7126338&amp;Result=3","7126338")</f>
        <v>0</v>
      </c>
      <c r="B14860" t="s">
        <v>1119</v>
      </c>
      <c r="C14860" t="s">
        <v>17901</v>
      </c>
      <c r="D14860" t="s">
        <v>18038</v>
      </c>
      <c r="E14860" t="s">
        <v>30864</v>
      </c>
      <c r="F14860" t="s">
        <v>30900</v>
      </c>
      <c r="G14860" t="s">
        <v>30907</v>
      </c>
      <c r="H14860" t="s">
        <v>30916</v>
      </c>
      <c r="I14860" t="s">
        <v>7708</v>
      </c>
      <c r="J14860" t="s">
        <v>40245</v>
      </c>
      <c r="K14860" t="s">
        <v>40292</v>
      </c>
      <c r="M14860" t="s">
        <v>42602</v>
      </c>
      <c r="N14860" t="s">
        <v>44759</v>
      </c>
      <c r="O14860" t="s">
        <v>44760</v>
      </c>
      <c r="Q14860">
        <v>6</v>
      </c>
      <c r="R14860" t="s">
        <v>44775</v>
      </c>
      <c r="S14860" t="s">
        <v>46342</v>
      </c>
      <c r="T14860" t="s">
        <v>46386</v>
      </c>
      <c r="U14860" t="s">
        <v>57021</v>
      </c>
      <c r="V14860" t="s">
        <v>60811</v>
      </c>
      <c r="W14860" t="s">
        <v>42602</v>
      </c>
      <c r="X14860" t="s">
        <v>44776</v>
      </c>
    </row>
    <row r="14861" spans="1:24">
      <c r="A14861">
        <f>HYPERLINK("https://www.philgeps.gov.ph/GEPSNONPILOT/Tender/SplashBidNoticeAbstractUI.aspx?menuIndex=3&amp;refID=7126344&amp;Result=3","7126344")</f>
        <v>0</v>
      </c>
      <c r="B14861" t="s">
        <v>1119</v>
      </c>
      <c r="C14861" t="s">
        <v>17902</v>
      </c>
      <c r="D14861" t="s">
        <v>18038</v>
      </c>
      <c r="E14861" t="s">
        <v>30865</v>
      </c>
      <c r="F14861" t="s">
        <v>30900</v>
      </c>
      <c r="G14861" t="s">
        <v>30907</v>
      </c>
      <c r="H14861" t="s">
        <v>30916</v>
      </c>
      <c r="I14861" t="s">
        <v>7708</v>
      </c>
      <c r="J14861" t="s">
        <v>40246</v>
      </c>
      <c r="K14861" t="s">
        <v>40280</v>
      </c>
      <c r="M14861" t="s">
        <v>42602</v>
      </c>
      <c r="N14861" t="s">
        <v>44759</v>
      </c>
      <c r="O14861" t="s">
        <v>44760</v>
      </c>
      <c r="Q14861">
        <v>6</v>
      </c>
      <c r="R14861" t="s">
        <v>44775</v>
      </c>
      <c r="S14861" t="s">
        <v>46343</v>
      </c>
      <c r="T14861" t="s">
        <v>46386</v>
      </c>
      <c r="U14861" t="s">
        <v>57021</v>
      </c>
      <c r="V14861" t="s">
        <v>59685</v>
      </c>
      <c r="W14861" t="s">
        <v>42602</v>
      </c>
      <c r="X14861" t="s">
        <v>44776</v>
      </c>
    </row>
    <row r="14862" spans="1:24">
      <c r="A14862">
        <f>HYPERLINK("https://www.philgeps.gov.ph/GEPSNONPILOT/Tender/SplashBidNoticeAbstractUI.aspx?menuIndex=3&amp;refID=7126349&amp;Result=3","7126349")</f>
        <v>0</v>
      </c>
      <c r="B14862" t="s">
        <v>1119</v>
      </c>
      <c r="C14862" t="s">
        <v>17903</v>
      </c>
      <c r="D14862" t="s">
        <v>18038</v>
      </c>
      <c r="E14862" t="s">
        <v>30866</v>
      </c>
      <c r="F14862" t="s">
        <v>30900</v>
      </c>
      <c r="G14862" t="s">
        <v>30907</v>
      </c>
      <c r="H14862" t="s">
        <v>30916</v>
      </c>
      <c r="I14862" t="s">
        <v>31011</v>
      </c>
      <c r="J14862" t="s">
        <v>37114</v>
      </c>
      <c r="K14862" t="s">
        <v>40280</v>
      </c>
      <c r="M14862" t="s">
        <v>42602</v>
      </c>
      <c r="N14862" t="s">
        <v>44759</v>
      </c>
      <c r="O14862" t="s">
        <v>44760</v>
      </c>
      <c r="Q14862">
        <v>16</v>
      </c>
      <c r="R14862" t="s">
        <v>44775</v>
      </c>
      <c r="S14862" t="s">
        <v>46344</v>
      </c>
      <c r="T14862" t="s">
        <v>46386</v>
      </c>
      <c r="U14862" t="s">
        <v>57021</v>
      </c>
      <c r="V14862" t="s">
        <v>60507</v>
      </c>
      <c r="W14862" t="s">
        <v>42602</v>
      </c>
      <c r="X14862" t="s">
        <v>44776</v>
      </c>
    </row>
    <row r="14863" spans="1:24">
      <c r="A14863">
        <f>HYPERLINK("https://www.philgeps.gov.ph/GEPSNONPILOT/Tender/SplashBidNoticeAbstractUI.aspx?menuIndex=3&amp;refID=7126277&amp;Result=3","7126277")</f>
        <v>0</v>
      </c>
      <c r="B14863" t="s">
        <v>3471</v>
      </c>
      <c r="C14863" t="s">
        <v>17904</v>
      </c>
      <c r="D14863" t="s">
        <v>17984</v>
      </c>
      <c r="E14863" t="s">
        <v>30867</v>
      </c>
      <c r="F14863" t="s">
        <v>30900</v>
      </c>
      <c r="G14863" t="s">
        <v>30907</v>
      </c>
      <c r="H14863" t="s">
        <v>30915</v>
      </c>
      <c r="I14863" t="s">
        <v>30919</v>
      </c>
      <c r="J14863" t="s">
        <v>40247</v>
      </c>
      <c r="K14863" t="s">
        <v>40416</v>
      </c>
      <c r="M14863" t="s">
        <v>44368</v>
      </c>
      <c r="N14863" t="s">
        <v>44759</v>
      </c>
      <c r="O14863" t="s">
        <v>44760</v>
      </c>
      <c r="P14863">
        <v>0</v>
      </c>
      <c r="Q14863">
        <v>0</v>
      </c>
      <c r="R14863" t="s">
        <v>44775</v>
      </c>
      <c r="S14863" t="s">
        <v>45343</v>
      </c>
      <c r="T14863" t="s">
        <v>46425</v>
      </c>
      <c r="U14863" t="s">
        <v>59051</v>
      </c>
      <c r="W14863" t="s">
        <v>44368</v>
      </c>
      <c r="X14863" t="s">
        <v>44776</v>
      </c>
    </row>
    <row r="14864" spans="1:24">
      <c r="A14864">
        <f>HYPERLINK("https://www.philgeps.gov.ph/GEPSNONPILOT/Tender/SplashBidNoticeAbstractUI.aspx?menuIndex=3&amp;refID=7101274&amp;Result=3","7101274")</f>
        <v>0</v>
      </c>
      <c r="B14864" t="s">
        <v>2641</v>
      </c>
      <c r="C14864" t="s">
        <v>17905</v>
      </c>
      <c r="D14864" t="s">
        <v>18018</v>
      </c>
      <c r="E14864" t="s">
        <v>18727</v>
      </c>
      <c r="F14864" t="s">
        <v>30900</v>
      </c>
      <c r="G14864" t="s">
        <v>30907</v>
      </c>
      <c r="H14864" t="s">
        <v>30915</v>
      </c>
      <c r="I14864" t="s">
        <v>30919</v>
      </c>
      <c r="J14864" t="s">
        <v>40248</v>
      </c>
      <c r="K14864" t="s">
        <v>40309</v>
      </c>
      <c r="M14864" t="s">
        <v>43407</v>
      </c>
      <c r="N14864" t="s">
        <v>44759</v>
      </c>
      <c r="O14864" t="s">
        <v>44760</v>
      </c>
      <c r="P14864">
        <v>0</v>
      </c>
      <c r="Q14864">
        <v>0</v>
      </c>
      <c r="R14864" t="s">
        <v>44776</v>
      </c>
      <c r="S14864" t="s">
        <v>45453</v>
      </c>
      <c r="T14864" t="s">
        <v>46390</v>
      </c>
      <c r="U14864" t="s">
        <v>59052</v>
      </c>
      <c r="W14864" t="s">
        <v>43407</v>
      </c>
      <c r="X14864" t="s">
        <v>44787</v>
      </c>
    </row>
    <row r="14865" spans="1:24">
      <c r="A14865">
        <f>HYPERLINK("https://www.philgeps.gov.ph/GEPSNONPILOT/Tender/SplashBidNoticeAbstractUI.aspx?menuIndex=3&amp;refID=7126274&amp;Result=3","7126274")</f>
        <v>0</v>
      </c>
      <c r="B14865" t="s">
        <v>1004</v>
      </c>
      <c r="C14865" t="s">
        <v>17906</v>
      </c>
      <c r="D14865" t="s">
        <v>17959</v>
      </c>
      <c r="E14865" t="s">
        <v>30868</v>
      </c>
      <c r="F14865" t="s">
        <v>30900</v>
      </c>
      <c r="G14865" t="s">
        <v>30907</v>
      </c>
      <c r="H14865" t="s">
        <v>30916</v>
      </c>
      <c r="I14865" t="s">
        <v>30933</v>
      </c>
      <c r="J14865" t="s">
        <v>40249</v>
      </c>
      <c r="K14865" t="s">
        <v>40286</v>
      </c>
      <c r="M14865" t="s">
        <v>44359</v>
      </c>
      <c r="N14865" t="s">
        <v>44759</v>
      </c>
      <c r="O14865" t="s">
        <v>44760</v>
      </c>
      <c r="Q14865">
        <v>9</v>
      </c>
      <c r="R14865" t="s">
        <v>44775</v>
      </c>
      <c r="S14865" t="s">
        <v>46345</v>
      </c>
      <c r="T14865" t="s">
        <v>46425</v>
      </c>
      <c r="U14865" t="s">
        <v>59053</v>
      </c>
      <c r="W14865" t="s">
        <v>60930</v>
      </c>
      <c r="X14865" t="s">
        <v>44776</v>
      </c>
    </row>
    <row r="14866" spans="1:24">
      <c r="A14866">
        <f>HYPERLINK("https://www.philgeps.gov.ph/GEPSNONPILOT/Tender/SplashBidNoticeAbstractUI.aspx?menuIndex=3&amp;refID=7126265&amp;Result=3","7126265")</f>
        <v>0</v>
      </c>
      <c r="B14866" t="s">
        <v>3468</v>
      </c>
      <c r="C14866" t="s">
        <v>17907</v>
      </c>
      <c r="D14866" t="s">
        <v>17999</v>
      </c>
      <c r="E14866" t="s">
        <v>30869</v>
      </c>
      <c r="F14866" t="s">
        <v>30900</v>
      </c>
      <c r="G14866" t="s">
        <v>30907</v>
      </c>
      <c r="H14866" t="s">
        <v>7411</v>
      </c>
      <c r="I14866" t="s">
        <v>7411</v>
      </c>
      <c r="J14866" t="s">
        <v>40250</v>
      </c>
      <c r="K14866" t="s">
        <v>40308</v>
      </c>
      <c r="M14866" t="s">
        <v>44363</v>
      </c>
      <c r="N14866" t="s">
        <v>44759</v>
      </c>
      <c r="O14866" t="s">
        <v>44760</v>
      </c>
      <c r="P14866">
        <v>0</v>
      </c>
      <c r="Q14866">
        <v>2</v>
      </c>
      <c r="R14866" t="s">
        <v>44775</v>
      </c>
      <c r="S14866" t="s">
        <v>45343</v>
      </c>
      <c r="T14866" t="s">
        <v>46411</v>
      </c>
      <c r="U14866" t="s">
        <v>59054</v>
      </c>
      <c r="W14866" t="s">
        <v>44363</v>
      </c>
      <c r="X14866" t="s">
        <v>44776</v>
      </c>
    </row>
    <row r="14867" spans="1:24">
      <c r="A14867">
        <f>HYPERLINK("https://www.philgeps.gov.ph/GEPSNONPILOT/Tender/SplashBidNoticeAbstractUI.aspx?menuIndex=3&amp;refID=7126337&amp;Result=3","7126337")</f>
        <v>0</v>
      </c>
      <c r="B14867" t="s">
        <v>3470</v>
      </c>
      <c r="C14867" t="s">
        <v>17908</v>
      </c>
      <c r="D14867" t="s">
        <v>17957</v>
      </c>
      <c r="E14867" t="s">
        <v>30870</v>
      </c>
      <c r="F14867" t="s">
        <v>30900</v>
      </c>
      <c r="G14867" t="s">
        <v>30907</v>
      </c>
      <c r="H14867" t="s">
        <v>30915</v>
      </c>
      <c r="I14867" t="s">
        <v>30919</v>
      </c>
      <c r="J14867" t="s">
        <v>31462</v>
      </c>
      <c r="K14867" t="s">
        <v>40342</v>
      </c>
      <c r="M14867" t="s">
        <v>44367</v>
      </c>
      <c r="N14867" t="s">
        <v>44759</v>
      </c>
      <c r="O14867" t="s">
        <v>44760</v>
      </c>
      <c r="Q14867">
        <v>2</v>
      </c>
      <c r="R14867" t="s">
        <v>44775</v>
      </c>
      <c r="S14867" t="s">
        <v>46346</v>
      </c>
      <c r="T14867" t="s">
        <v>46543</v>
      </c>
      <c r="U14867" t="s">
        <v>59055</v>
      </c>
      <c r="W14867" t="s">
        <v>44367</v>
      </c>
      <c r="X14867" t="s">
        <v>44776</v>
      </c>
    </row>
    <row r="14868" spans="1:24">
      <c r="A14868">
        <f>HYPERLINK("https://www.philgeps.gov.ph/GEPSNONPILOT/Tender/SplashBidNoticeAbstractUI.aspx?menuIndex=3&amp;refID=7126273&amp;Result=3","7126273")</f>
        <v>0</v>
      </c>
      <c r="B14868" t="s">
        <v>3468</v>
      </c>
      <c r="C14868" t="s">
        <v>17909</v>
      </c>
      <c r="D14868" t="s">
        <v>17999</v>
      </c>
      <c r="E14868" t="s">
        <v>30871</v>
      </c>
      <c r="F14868" t="s">
        <v>30900</v>
      </c>
      <c r="G14868" t="s">
        <v>30907</v>
      </c>
      <c r="H14868" t="s">
        <v>7411</v>
      </c>
      <c r="I14868" t="s">
        <v>7411</v>
      </c>
      <c r="J14868" t="s">
        <v>40251</v>
      </c>
      <c r="K14868" t="s">
        <v>40431</v>
      </c>
      <c r="M14868" t="s">
        <v>44363</v>
      </c>
      <c r="N14868" t="s">
        <v>44759</v>
      </c>
      <c r="O14868" t="s">
        <v>44760</v>
      </c>
      <c r="P14868">
        <v>0</v>
      </c>
      <c r="Q14868">
        <v>2</v>
      </c>
      <c r="R14868" t="s">
        <v>44775</v>
      </c>
      <c r="S14868" t="s">
        <v>45343</v>
      </c>
      <c r="T14868" t="s">
        <v>46411</v>
      </c>
      <c r="U14868" t="s">
        <v>59056</v>
      </c>
      <c r="W14868" t="s">
        <v>44363</v>
      </c>
      <c r="X14868" t="s">
        <v>44776</v>
      </c>
    </row>
    <row r="14869" spans="1:24">
      <c r="A14869">
        <f>HYPERLINK("https://www.philgeps.gov.ph/GEPSNONPILOT/Tender/SplashBidNoticeAbstractUI.aspx?menuIndex=3&amp;refID=7126097&amp;Result=3","7126097")</f>
        <v>0</v>
      </c>
      <c r="B14869" t="s">
        <v>44</v>
      </c>
      <c r="C14869" t="s">
        <v>17910</v>
      </c>
      <c r="D14869" t="s">
        <v>17969</v>
      </c>
      <c r="E14869" t="s">
        <v>30872</v>
      </c>
      <c r="F14869" t="s">
        <v>30900</v>
      </c>
      <c r="G14869" t="s">
        <v>30907</v>
      </c>
      <c r="H14869" t="s">
        <v>30916</v>
      </c>
      <c r="I14869" t="s">
        <v>30921</v>
      </c>
      <c r="J14869" t="s">
        <v>37552</v>
      </c>
      <c r="K14869" t="s">
        <v>40284</v>
      </c>
      <c r="M14869" t="s">
        <v>40590</v>
      </c>
      <c r="N14869" t="s">
        <v>44759</v>
      </c>
      <c r="O14869" t="s">
        <v>44760</v>
      </c>
      <c r="P14869">
        <v>0</v>
      </c>
      <c r="Q14869">
        <v>3</v>
      </c>
      <c r="R14869" t="s">
        <v>44775</v>
      </c>
      <c r="S14869" t="s">
        <v>45343</v>
      </c>
      <c r="T14869" t="s">
        <v>46418</v>
      </c>
      <c r="U14869" t="s">
        <v>59057</v>
      </c>
      <c r="W14869" t="s">
        <v>40590</v>
      </c>
      <c r="X14869" t="s">
        <v>44776</v>
      </c>
    </row>
    <row r="14870" spans="1:24">
      <c r="A14870">
        <f>HYPERLINK("https://www.philgeps.gov.ph/GEPSNONPILOT/Tender/SplashBidNoticeAbstractUI.aspx?menuIndex=3&amp;refID=7095992&amp;Result=3","7095992")</f>
        <v>0</v>
      </c>
      <c r="B14870" t="s">
        <v>2641</v>
      </c>
      <c r="C14870" t="s">
        <v>17911</v>
      </c>
      <c r="D14870" t="s">
        <v>18018</v>
      </c>
      <c r="E14870" t="s">
        <v>22234</v>
      </c>
      <c r="F14870" t="s">
        <v>30900</v>
      </c>
      <c r="G14870" t="s">
        <v>30907</v>
      </c>
      <c r="H14870" t="s">
        <v>30915</v>
      </c>
      <c r="I14870" t="s">
        <v>30919</v>
      </c>
      <c r="J14870" t="s">
        <v>40252</v>
      </c>
      <c r="K14870" t="s">
        <v>40300</v>
      </c>
      <c r="M14870" t="s">
        <v>43407</v>
      </c>
      <c r="N14870" t="s">
        <v>44759</v>
      </c>
      <c r="O14870" t="s">
        <v>44760</v>
      </c>
      <c r="P14870">
        <v>0</v>
      </c>
      <c r="Q14870">
        <v>0</v>
      </c>
      <c r="R14870" t="s">
        <v>44776</v>
      </c>
      <c r="S14870" t="s">
        <v>45453</v>
      </c>
      <c r="T14870" t="s">
        <v>46390</v>
      </c>
      <c r="U14870" t="s">
        <v>59058</v>
      </c>
      <c r="W14870" t="s">
        <v>43407</v>
      </c>
      <c r="X14870" t="s">
        <v>44789</v>
      </c>
    </row>
    <row r="14871" spans="1:24">
      <c r="A14871">
        <f>HYPERLINK("https://www.philgeps.gov.ph/GEPSNONPILOT/Tender/SplashBidNoticeAbstractUI.aspx?menuIndex=3&amp;refID=7126333&amp;Result=3","7126333")</f>
        <v>0</v>
      </c>
      <c r="B14871" t="s">
        <v>1119</v>
      </c>
      <c r="C14871" t="s">
        <v>17912</v>
      </c>
      <c r="D14871" t="s">
        <v>18038</v>
      </c>
      <c r="E14871" t="s">
        <v>30873</v>
      </c>
      <c r="F14871" t="s">
        <v>30900</v>
      </c>
      <c r="G14871" t="s">
        <v>30907</v>
      </c>
      <c r="H14871" t="s">
        <v>30916</v>
      </c>
      <c r="I14871" t="s">
        <v>7708</v>
      </c>
      <c r="J14871" t="s">
        <v>40253</v>
      </c>
      <c r="K14871" t="s">
        <v>40292</v>
      </c>
      <c r="M14871" t="s">
        <v>42602</v>
      </c>
      <c r="N14871" t="s">
        <v>44759</v>
      </c>
      <c r="O14871" t="s">
        <v>44760</v>
      </c>
      <c r="Q14871">
        <v>9</v>
      </c>
      <c r="R14871" t="s">
        <v>44775</v>
      </c>
      <c r="S14871" t="s">
        <v>45866</v>
      </c>
      <c r="T14871" t="s">
        <v>46386</v>
      </c>
      <c r="U14871" t="s">
        <v>57021</v>
      </c>
      <c r="V14871" t="s">
        <v>60811</v>
      </c>
      <c r="W14871" t="s">
        <v>42602</v>
      </c>
      <c r="X14871" t="s">
        <v>44776</v>
      </c>
    </row>
    <row r="14872" spans="1:24">
      <c r="A14872">
        <f>HYPERLINK("https://www.philgeps.gov.ph/GEPSNONPILOT/Tender/SplashBidNoticeAbstractUI.aspx?menuIndex=3&amp;refID=7126059&amp;Result=3","7126059")</f>
        <v>0</v>
      </c>
      <c r="B14872" t="s">
        <v>3068</v>
      </c>
      <c r="C14872" t="s">
        <v>17913</v>
      </c>
      <c r="D14872" t="s">
        <v>18025</v>
      </c>
      <c r="E14872" t="s">
        <v>30874</v>
      </c>
      <c r="F14872" t="s">
        <v>30900</v>
      </c>
      <c r="G14872" t="s">
        <v>30907</v>
      </c>
      <c r="H14872" t="s">
        <v>30915</v>
      </c>
      <c r="I14872" t="s">
        <v>30919</v>
      </c>
      <c r="J14872" t="s">
        <v>31157</v>
      </c>
      <c r="K14872" t="s">
        <v>40293</v>
      </c>
      <c r="M14872" t="s">
        <v>43879</v>
      </c>
      <c r="N14872" t="s">
        <v>44759</v>
      </c>
      <c r="O14872" t="s">
        <v>44760</v>
      </c>
      <c r="P14872">
        <v>0</v>
      </c>
      <c r="Q14872">
        <v>8</v>
      </c>
      <c r="R14872" t="s">
        <v>44775</v>
      </c>
      <c r="S14872" t="s">
        <v>45343</v>
      </c>
      <c r="T14872" t="s">
        <v>46409</v>
      </c>
      <c r="U14872" t="s">
        <v>56940</v>
      </c>
      <c r="W14872" t="s">
        <v>60911</v>
      </c>
      <c r="X14872" t="s">
        <v>44776</v>
      </c>
    </row>
    <row r="14873" spans="1:24">
      <c r="A14873">
        <f>HYPERLINK("https://www.philgeps.gov.ph/GEPSNONPILOT/Tender/SplashBidNoticeAbstractUI.aspx?menuIndex=3&amp;refID=7125977&amp;Result=3","7125977")</f>
        <v>0</v>
      </c>
      <c r="B14873" t="s">
        <v>1037</v>
      </c>
      <c r="C14873" t="s">
        <v>17914</v>
      </c>
      <c r="D14873" t="s">
        <v>17981</v>
      </c>
      <c r="E14873" t="s">
        <v>17914</v>
      </c>
      <c r="F14873" t="s">
        <v>30900</v>
      </c>
      <c r="G14873" t="s">
        <v>30907</v>
      </c>
      <c r="H14873" t="s">
        <v>30916</v>
      </c>
      <c r="I14873" t="s">
        <v>5501</v>
      </c>
      <c r="J14873" t="s">
        <v>32049</v>
      </c>
      <c r="K14873" t="s">
        <v>40284</v>
      </c>
      <c r="M14873" t="s">
        <v>41629</v>
      </c>
      <c r="N14873" t="s">
        <v>44759</v>
      </c>
      <c r="O14873" t="s">
        <v>44760</v>
      </c>
      <c r="P14873">
        <v>0</v>
      </c>
      <c r="Q14873">
        <v>8</v>
      </c>
      <c r="R14873" t="s">
        <v>44775</v>
      </c>
      <c r="S14873" t="s">
        <v>45343</v>
      </c>
      <c r="T14873" t="s">
        <v>46658</v>
      </c>
      <c r="U14873" t="s">
        <v>59059</v>
      </c>
      <c r="W14873" t="s">
        <v>41629</v>
      </c>
      <c r="X14873" t="s">
        <v>44776</v>
      </c>
    </row>
    <row r="14874" spans="1:24">
      <c r="A14874">
        <f>HYPERLINK("https://www.philgeps.gov.ph/GEPSNONPILOT/Tender/SplashBidNoticeAbstractUI.aspx?menuIndex=3&amp;refID=7126051&amp;Result=3","7126051")</f>
        <v>0</v>
      </c>
      <c r="B14874" t="s">
        <v>3068</v>
      </c>
      <c r="C14874" t="s">
        <v>17915</v>
      </c>
      <c r="D14874" t="s">
        <v>18025</v>
      </c>
      <c r="E14874" t="s">
        <v>30875</v>
      </c>
      <c r="F14874" t="s">
        <v>30900</v>
      </c>
      <c r="G14874" t="s">
        <v>30907</v>
      </c>
      <c r="H14874" t="s">
        <v>30915</v>
      </c>
      <c r="I14874" t="s">
        <v>30919</v>
      </c>
      <c r="J14874" t="s">
        <v>35793</v>
      </c>
      <c r="K14874" t="s">
        <v>40286</v>
      </c>
      <c r="M14874" t="s">
        <v>43879</v>
      </c>
      <c r="N14874" t="s">
        <v>44759</v>
      </c>
      <c r="O14874" t="s">
        <v>44760</v>
      </c>
      <c r="P14874">
        <v>0</v>
      </c>
      <c r="Q14874">
        <v>8</v>
      </c>
      <c r="R14874" t="s">
        <v>44775</v>
      </c>
      <c r="S14874" t="s">
        <v>45343</v>
      </c>
      <c r="T14874" t="s">
        <v>46409</v>
      </c>
      <c r="U14874" t="s">
        <v>56940</v>
      </c>
      <c r="W14874" t="s">
        <v>60911</v>
      </c>
      <c r="X14874" t="s">
        <v>44776</v>
      </c>
    </row>
    <row r="14875" spans="1:24">
      <c r="A14875">
        <f>HYPERLINK("https://www.philgeps.gov.ph/GEPSNONPILOT/Tender/SplashBidNoticeAbstractUI.aspx?menuIndex=3&amp;refID=7126263&amp;Result=3","7126263")</f>
        <v>0</v>
      </c>
      <c r="B14875" t="s">
        <v>3468</v>
      </c>
      <c r="C14875" t="s">
        <v>17916</v>
      </c>
      <c r="D14875" t="s">
        <v>17999</v>
      </c>
      <c r="E14875" t="s">
        <v>30876</v>
      </c>
      <c r="F14875" t="s">
        <v>30900</v>
      </c>
      <c r="G14875" t="s">
        <v>30907</v>
      </c>
      <c r="H14875" t="s">
        <v>7411</v>
      </c>
      <c r="I14875" t="s">
        <v>7411</v>
      </c>
      <c r="J14875" t="s">
        <v>40254</v>
      </c>
      <c r="K14875" t="s">
        <v>40451</v>
      </c>
      <c r="M14875" t="s">
        <v>44363</v>
      </c>
      <c r="N14875" t="s">
        <v>44759</v>
      </c>
      <c r="O14875" t="s">
        <v>44760</v>
      </c>
      <c r="P14875">
        <v>0</v>
      </c>
      <c r="Q14875">
        <v>2</v>
      </c>
      <c r="R14875" t="s">
        <v>44775</v>
      </c>
      <c r="S14875" t="s">
        <v>45343</v>
      </c>
      <c r="T14875" t="s">
        <v>46411</v>
      </c>
      <c r="U14875" t="s">
        <v>59060</v>
      </c>
      <c r="W14875" t="s">
        <v>44363</v>
      </c>
      <c r="X14875" t="s">
        <v>44776</v>
      </c>
    </row>
    <row r="14876" spans="1:24">
      <c r="A14876">
        <f>HYPERLINK("https://www.philgeps.gov.ph/GEPSNONPILOT/Tender/SplashBidNoticeAbstractUI.aspx?menuIndex=3&amp;refID=7125959&amp;Result=3","7125959")</f>
        <v>0</v>
      </c>
      <c r="B14876" t="s">
        <v>2656</v>
      </c>
      <c r="C14876" t="s">
        <v>17917</v>
      </c>
      <c r="D14876" t="s">
        <v>18003</v>
      </c>
      <c r="E14876" t="s">
        <v>20202</v>
      </c>
      <c r="F14876" t="s">
        <v>30900</v>
      </c>
      <c r="G14876" t="s">
        <v>30907</v>
      </c>
      <c r="H14876" t="s">
        <v>30915</v>
      </c>
      <c r="I14876" t="s">
        <v>30919</v>
      </c>
      <c r="J14876" t="s">
        <v>40255</v>
      </c>
      <c r="K14876" t="s">
        <v>40544</v>
      </c>
      <c r="M14876" t="s">
        <v>43425</v>
      </c>
      <c r="N14876" t="s">
        <v>44759</v>
      </c>
      <c r="O14876" t="s">
        <v>44760</v>
      </c>
      <c r="P14876">
        <v>0</v>
      </c>
      <c r="Q14876">
        <v>3</v>
      </c>
      <c r="R14876" t="s">
        <v>44775</v>
      </c>
      <c r="S14876" t="s">
        <v>45343</v>
      </c>
      <c r="T14876" t="s">
        <v>46369</v>
      </c>
      <c r="U14876" t="s">
        <v>59061</v>
      </c>
      <c r="W14876" t="s">
        <v>43425</v>
      </c>
      <c r="X14876" t="s">
        <v>44776</v>
      </c>
    </row>
    <row r="14877" spans="1:24">
      <c r="A14877">
        <f>HYPERLINK("https://www.philgeps.gov.ph/GEPSNONPILOT/Tender/SplashBidNoticeAbstractUI.aspx?menuIndex=3&amp;refID=7101205&amp;Result=3","7101205")</f>
        <v>0</v>
      </c>
      <c r="B14877" t="s">
        <v>2641</v>
      </c>
      <c r="C14877" t="s">
        <v>17918</v>
      </c>
      <c r="D14877" t="s">
        <v>18018</v>
      </c>
      <c r="E14877" t="s">
        <v>22308</v>
      </c>
      <c r="F14877" t="s">
        <v>30900</v>
      </c>
      <c r="G14877" t="s">
        <v>30907</v>
      </c>
      <c r="H14877" t="s">
        <v>30915</v>
      </c>
      <c r="I14877" t="s">
        <v>30919</v>
      </c>
      <c r="J14877" t="s">
        <v>40256</v>
      </c>
      <c r="K14877" t="s">
        <v>40354</v>
      </c>
      <c r="M14877" t="s">
        <v>43407</v>
      </c>
      <c r="N14877" t="s">
        <v>44759</v>
      </c>
      <c r="O14877" t="s">
        <v>44760</v>
      </c>
      <c r="P14877">
        <v>0</v>
      </c>
      <c r="Q14877">
        <v>0</v>
      </c>
      <c r="R14877" t="s">
        <v>44776</v>
      </c>
      <c r="S14877" t="s">
        <v>45453</v>
      </c>
      <c r="T14877" t="s">
        <v>46390</v>
      </c>
      <c r="U14877" t="s">
        <v>59062</v>
      </c>
      <c r="W14877" t="s">
        <v>43407</v>
      </c>
      <c r="X14877" t="s">
        <v>44787</v>
      </c>
    </row>
    <row r="14878" spans="1:24">
      <c r="A14878">
        <f>HYPERLINK("https://www.philgeps.gov.ph/GEPSNONPILOT/Tender/SplashBidNoticeAbstractUI.aspx?menuIndex=3&amp;refID=7126096&amp;Result=3","7126096")</f>
        <v>0</v>
      </c>
      <c r="B14878" t="s">
        <v>3333</v>
      </c>
      <c r="C14878" t="s">
        <v>17919</v>
      </c>
      <c r="D14878" t="s">
        <v>17995</v>
      </c>
      <c r="E14878" t="s">
        <v>30877</v>
      </c>
      <c r="F14878" t="s">
        <v>30900</v>
      </c>
      <c r="G14878" t="s">
        <v>30906</v>
      </c>
      <c r="H14878" t="s">
        <v>30916</v>
      </c>
      <c r="I14878" t="s">
        <v>30939</v>
      </c>
      <c r="J14878" t="s">
        <v>40257</v>
      </c>
      <c r="K14878" t="s">
        <v>40294</v>
      </c>
      <c r="M14878" t="s">
        <v>44194</v>
      </c>
      <c r="N14878" t="s">
        <v>44759</v>
      </c>
      <c r="O14878" t="s">
        <v>44760</v>
      </c>
      <c r="P14878">
        <v>0</v>
      </c>
      <c r="Q14878">
        <v>0</v>
      </c>
      <c r="R14878" t="s">
        <v>44775</v>
      </c>
      <c r="S14878" t="s">
        <v>45343</v>
      </c>
      <c r="T14878" t="s">
        <v>46771</v>
      </c>
      <c r="U14878" t="s">
        <v>59063</v>
      </c>
      <c r="W14878" t="s">
        <v>44194</v>
      </c>
      <c r="X14878" t="s">
        <v>44776</v>
      </c>
    </row>
    <row r="14879" spans="1:24">
      <c r="A14879">
        <f>HYPERLINK("https://www.philgeps.gov.ph/GEPSNONPILOT/Tender/SplashBidNoticeAbstractUI.aspx?menuIndex=3&amp;refID=7124379&amp;Result=3","7124379")</f>
        <v>0</v>
      </c>
      <c r="B14879" t="s">
        <v>3418</v>
      </c>
      <c r="C14879" t="s">
        <v>17920</v>
      </c>
      <c r="D14879" t="s">
        <v>18013</v>
      </c>
      <c r="E14879" t="s">
        <v>30878</v>
      </c>
      <c r="F14879" t="s">
        <v>30900</v>
      </c>
      <c r="G14879" t="s">
        <v>30907</v>
      </c>
      <c r="H14879" t="s">
        <v>30915</v>
      </c>
      <c r="I14879" t="s">
        <v>30919</v>
      </c>
      <c r="J14879" t="s">
        <v>35327</v>
      </c>
      <c r="K14879" t="s">
        <v>40342</v>
      </c>
      <c r="M14879" t="s">
        <v>44297</v>
      </c>
      <c r="N14879" t="s">
        <v>44759</v>
      </c>
      <c r="O14879" t="s">
        <v>44760</v>
      </c>
      <c r="P14879">
        <v>0</v>
      </c>
      <c r="Q14879">
        <v>1</v>
      </c>
      <c r="R14879" t="s">
        <v>44775</v>
      </c>
      <c r="S14879" t="s">
        <v>45343</v>
      </c>
      <c r="T14879" t="s">
        <v>46409</v>
      </c>
      <c r="U14879" t="s">
        <v>59064</v>
      </c>
      <c r="V14879" t="s">
        <v>60812</v>
      </c>
      <c r="W14879" t="s">
        <v>44297</v>
      </c>
      <c r="X14879" t="s">
        <v>44776</v>
      </c>
    </row>
    <row r="14880" spans="1:24">
      <c r="A14880">
        <f>HYPERLINK("https://www.philgeps.gov.ph/GEPSNONPILOT/Tender/SplashBidNoticeAbstractUI.aspx?menuIndex=3&amp;refID=7101356&amp;Result=3","7101356")</f>
        <v>0</v>
      </c>
      <c r="B14880" t="s">
        <v>2641</v>
      </c>
      <c r="C14880" t="s">
        <v>17921</v>
      </c>
      <c r="D14880" t="s">
        <v>18018</v>
      </c>
      <c r="E14880" t="s">
        <v>20657</v>
      </c>
      <c r="F14880" t="s">
        <v>30900</v>
      </c>
      <c r="G14880" t="s">
        <v>30907</v>
      </c>
      <c r="H14880" t="s">
        <v>30915</v>
      </c>
      <c r="I14880" t="s">
        <v>30919</v>
      </c>
      <c r="J14880" t="s">
        <v>40258</v>
      </c>
      <c r="K14880" t="s">
        <v>40501</v>
      </c>
      <c r="M14880" t="s">
        <v>43407</v>
      </c>
      <c r="N14880" t="s">
        <v>44759</v>
      </c>
      <c r="O14880" t="s">
        <v>44760</v>
      </c>
      <c r="P14880">
        <v>0</v>
      </c>
      <c r="Q14880">
        <v>0</v>
      </c>
      <c r="R14880" t="s">
        <v>44776</v>
      </c>
      <c r="S14880" t="s">
        <v>45453</v>
      </c>
      <c r="T14880" t="s">
        <v>46390</v>
      </c>
      <c r="U14880" t="s">
        <v>59065</v>
      </c>
      <c r="W14880" t="s">
        <v>43407</v>
      </c>
      <c r="X14880" t="s">
        <v>44787</v>
      </c>
    </row>
    <row r="14881" spans="1:24">
      <c r="A14881">
        <f>HYPERLINK("https://www.philgeps.gov.ph/GEPSNONPILOT/Tender/SplashBidNoticeAbstractUI.aspx?menuIndex=3&amp;refID=7125948&amp;Result=3","7125948")</f>
        <v>0</v>
      </c>
      <c r="B14881" t="s">
        <v>3762</v>
      </c>
      <c r="C14881" t="s">
        <v>17922</v>
      </c>
      <c r="D14881" t="s">
        <v>18009</v>
      </c>
      <c r="E14881" t="s">
        <v>19010</v>
      </c>
      <c r="F14881" t="s">
        <v>30900</v>
      </c>
      <c r="G14881" t="s">
        <v>30907</v>
      </c>
      <c r="H14881" t="s">
        <v>30916</v>
      </c>
      <c r="I14881" t="s">
        <v>30949</v>
      </c>
      <c r="J14881" t="s">
        <v>35135</v>
      </c>
      <c r="K14881" t="s">
        <v>40286</v>
      </c>
      <c r="M14881" t="s">
        <v>44755</v>
      </c>
      <c r="N14881" t="s">
        <v>44759</v>
      </c>
      <c r="O14881" t="s">
        <v>44760</v>
      </c>
      <c r="P14881">
        <v>0</v>
      </c>
      <c r="Q14881">
        <v>3</v>
      </c>
      <c r="R14881" t="s">
        <v>44775</v>
      </c>
      <c r="S14881" t="s">
        <v>45343</v>
      </c>
      <c r="T14881" t="s">
        <v>46395</v>
      </c>
      <c r="U14881" t="s">
        <v>59066</v>
      </c>
      <c r="W14881" t="s">
        <v>44755</v>
      </c>
      <c r="X14881" t="s">
        <v>44776</v>
      </c>
    </row>
    <row r="14882" spans="1:24">
      <c r="A14882">
        <f>HYPERLINK("https://www.philgeps.gov.ph/GEPSNONPILOT/Tender/SplashBidNoticeAbstractUI.aspx?menuIndex=3&amp;refID=7124375&amp;Result=3","7124375")</f>
        <v>0</v>
      </c>
      <c r="B14882" t="s">
        <v>164</v>
      </c>
      <c r="C14882" t="s">
        <v>17923</v>
      </c>
      <c r="D14882" t="s">
        <v>17961</v>
      </c>
      <c r="E14882" t="s">
        <v>18916</v>
      </c>
      <c r="F14882" t="s">
        <v>30900</v>
      </c>
      <c r="G14882" t="s">
        <v>30907</v>
      </c>
      <c r="H14882" t="s">
        <v>30916</v>
      </c>
      <c r="I14882" t="s">
        <v>30923</v>
      </c>
      <c r="J14882" t="s">
        <v>40259</v>
      </c>
      <c r="K14882" t="s">
        <v>40294</v>
      </c>
      <c r="M14882" t="s">
        <v>40711</v>
      </c>
      <c r="N14882" t="s">
        <v>44759</v>
      </c>
      <c r="O14882" t="s">
        <v>44760</v>
      </c>
      <c r="P14882">
        <v>0</v>
      </c>
      <c r="Q14882">
        <v>10</v>
      </c>
      <c r="R14882" t="s">
        <v>44775</v>
      </c>
      <c r="S14882" t="s">
        <v>45343</v>
      </c>
      <c r="T14882" t="s">
        <v>46369</v>
      </c>
      <c r="U14882" t="s">
        <v>59067</v>
      </c>
      <c r="W14882" t="s">
        <v>40711</v>
      </c>
      <c r="X14882" t="s">
        <v>44776</v>
      </c>
    </row>
    <row r="14883" spans="1:24">
      <c r="A14883">
        <f>HYPERLINK("https://www.philgeps.gov.ph/GEPSNONPILOT/Tender/SplashBidNoticeAbstractUI.aspx?menuIndex=3&amp;refID=7124369&amp;Result=3","7124369")</f>
        <v>0</v>
      </c>
      <c r="B14883" t="s">
        <v>3763</v>
      </c>
      <c r="C14883" t="s">
        <v>17924</v>
      </c>
      <c r="D14883" t="s">
        <v>17973</v>
      </c>
      <c r="E14883" t="s">
        <v>29506</v>
      </c>
      <c r="F14883" t="s">
        <v>30900</v>
      </c>
      <c r="G14883" t="s">
        <v>30907</v>
      </c>
      <c r="H14883" t="s">
        <v>30916</v>
      </c>
      <c r="I14883" t="s">
        <v>8123</v>
      </c>
      <c r="J14883" t="s">
        <v>40260</v>
      </c>
      <c r="K14883" t="s">
        <v>40287</v>
      </c>
      <c r="M14883" t="s">
        <v>44756</v>
      </c>
      <c r="N14883" t="s">
        <v>44759</v>
      </c>
      <c r="O14883" t="s">
        <v>44760</v>
      </c>
      <c r="P14883">
        <v>0</v>
      </c>
      <c r="Q14883">
        <v>0</v>
      </c>
      <c r="R14883" t="s">
        <v>44775</v>
      </c>
      <c r="S14883" t="s">
        <v>45343</v>
      </c>
      <c r="T14883" t="s">
        <v>46389</v>
      </c>
      <c r="U14883" t="s">
        <v>59068</v>
      </c>
      <c r="W14883" t="s">
        <v>44756</v>
      </c>
      <c r="X14883" t="s">
        <v>44776</v>
      </c>
    </row>
    <row r="14884" spans="1:24">
      <c r="A14884">
        <f>HYPERLINK("https://www.philgeps.gov.ph/GEPSNONPILOT/Tender/SplashBidNoticeAbstractUI.aspx?menuIndex=3&amp;refID=7124220&amp;Result=3","7124220")</f>
        <v>0</v>
      </c>
      <c r="B14884" t="s">
        <v>492</v>
      </c>
      <c r="C14884" t="s">
        <v>17925</v>
      </c>
      <c r="D14884" t="s">
        <v>18018</v>
      </c>
      <c r="E14884" t="s">
        <v>30879</v>
      </c>
      <c r="F14884" t="s">
        <v>30900</v>
      </c>
      <c r="G14884" t="s">
        <v>30907</v>
      </c>
      <c r="H14884" t="s">
        <v>30915</v>
      </c>
      <c r="I14884" t="s">
        <v>30919</v>
      </c>
      <c r="J14884" t="s">
        <v>40261</v>
      </c>
      <c r="K14884" t="s">
        <v>40304</v>
      </c>
      <c r="M14884" t="s">
        <v>41051</v>
      </c>
      <c r="N14884" t="s">
        <v>44759</v>
      </c>
      <c r="O14884" t="s">
        <v>44760</v>
      </c>
      <c r="P14884">
        <v>0</v>
      </c>
      <c r="Q14884">
        <v>0</v>
      </c>
      <c r="R14884" t="s">
        <v>44775</v>
      </c>
      <c r="S14884" t="s">
        <v>45343</v>
      </c>
      <c r="T14884" t="s">
        <v>46887</v>
      </c>
      <c r="U14884" t="s">
        <v>59069</v>
      </c>
      <c r="W14884" t="s">
        <v>41051</v>
      </c>
      <c r="X14884" t="s">
        <v>44776</v>
      </c>
    </row>
    <row r="14885" spans="1:24">
      <c r="A14885">
        <f>HYPERLINK("https://www.philgeps.gov.ph/GEPSNONPILOT/Tender/SplashBidNoticeAbstractUI.aspx?menuIndex=3&amp;refID=7124227&amp;Result=3","7124227")</f>
        <v>0</v>
      </c>
      <c r="B14885" t="s">
        <v>3764</v>
      </c>
      <c r="C14885" t="s">
        <v>17926</v>
      </c>
      <c r="D14885" t="s">
        <v>18021</v>
      </c>
      <c r="E14885" t="s">
        <v>27704</v>
      </c>
      <c r="F14885" t="s">
        <v>30900</v>
      </c>
      <c r="G14885" t="s">
        <v>30907</v>
      </c>
      <c r="H14885" t="s">
        <v>30915</v>
      </c>
      <c r="I14885" t="s">
        <v>8123</v>
      </c>
      <c r="J14885" t="s">
        <v>40262</v>
      </c>
      <c r="K14885" t="s">
        <v>40286</v>
      </c>
      <c r="M14885" t="s">
        <v>44757</v>
      </c>
      <c r="N14885" t="s">
        <v>44759</v>
      </c>
      <c r="O14885" t="s">
        <v>44760</v>
      </c>
      <c r="P14885">
        <v>0</v>
      </c>
      <c r="Q14885">
        <v>0</v>
      </c>
      <c r="R14885" t="s">
        <v>44775</v>
      </c>
      <c r="S14885" t="s">
        <v>45343</v>
      </c>
      <c r="T14885" t="s">
        <v>46591</v>
      </c>
      <c r="U14885" t="s">
        <v>59070</v>
      </c>
      <c r="V14885" t="s">
        <v>60384</v>
      </c>
      <c r="W14885" t="s">
        <v>44757</v>
      </c>
      <c r="X14885" t="s">
        <v>44776</v>
      </c>
    </row>
    <row r="14886" spans="1:24">
      <c r="A14886">
        <f>HYPERLINK("https://www.philgeps.gov.ph/GEPSNONPILOT/Tender/SplashBidNoticeAbstractUI.aspx?menuIndex=3&amp;refID=7124207&amp;Result=3","7124207")</f>
        <v>0</v>
      </c>
      <c r="B14886" t="s">
        <v>3407</v>
      </c>
      <c r="C14886" t="s">
        <v>17927</v>
      </c>
      <c r="D14886" t="s">
        <v>18015</v>
      </c>
      <c r="E14886" t="s">
        <v>30880</v>
      </c>
      <c r="F14886" t="s">
        <v>30900</v>
      </c>
      <c r="G14886" t="s">
        <v>30907</v>
      </c>
      <c r="H14886" t="s">
        <v>30916</v>
      </c>
      <c r="I14886" t="s">
        <v>30933</v>
      </c>
      <c r="J14886" t="s">
        <v>31066</v>
      </c>
      <c r="K14886" t="s">
        <v>40286</v>
      </c>
      <c r="M14886" t="s">
        <v>44284</v>
      </c>
      <c r="N14886" t="s">
        <v>44759</v>
      </c>
      <c r="O14886" t="s">
        <v>44760</v>
      </c>
      <c r="P14886">
        <v>0</v>
      </c>
      <c r="Q14886">
        <v>0</v>
      </c>
      <c r="R14886" t="s">
        <v>44775</v>
      </c>
      <c r="S14886" t="s">
        <v>45343</v>
      </c>
      <c r="T14886" t="s">
        <v>46389</v>
      </c>
      <c r="U14886" t="s">
        <v>59071</v>
      </c>
      <c r="V14886" t="s">
        <v>60464</v>
      </c>
      <c r="W14886" t="s">
        <v>44284</v>
      </c>
      <c r="X14886" t="s">
        <v>44776</v>
      </c>
    </row>
    <row r="14887" spans="1:24">
      <c r="A14887">
        <f>HYPERLINK("https://www.philgeps.gov.ph/GEPSNONPILOT/Tender/SplashBidNoticeAbstractUI.aspx?menuIndex=3&amp;refID=7124373&amp;Result=3","7124373")</f>
        <v>0</v>
      </c>
      <c r="B14887" t="s">
        <v>492</v>
      </c>
      <c r="C14887" t="s">
        <v>17928</v>
      </c>
      <c r="D14887" t="s">
        <v>18018</v>
      </c>
      <c r="E14887" t="s">
        <v>30881</v>
      </c>
      <c r="F14887" t="s">
        <v>30900</v>
      </c>
      <c r="G14887" t="s">
        <v>30907</v>
      </c>
      <c r="H14887" t="s">
        <v>30915</v>
      </c>
      <c r="I14887" t="s">
        <v>30919</v>
      </c>
      <c r="J14887" t="s">
        <v>40263</v>
      </c>
      <c r="K14887" t="s">
        <v>40313</v>
      </c>
      <c r="M14887" t="s">
        <v>41051</v>
      </c>
      <c r="N14887" t="s">
        <v>44759</v>
      </c>
      <c r="O14887" t="s">
        <v>44760</v>
      </c>
      <c r="P14887">
        <v>0</v>
      </c>
      <c r="Q14887">
        <v>0</v>
      </c>
      <c r="R14887" t="s">
        <v>44775</v>
      </c>
      <c r="S14887" t="s">
        <v>45343</v>
      </c>
      <c r="T14887" t="s">
        <v>46887</v>
      </c>
      <c r="U14887" t="s">
        <v>59072</v>
      </c>
      <c r="W14887" t="s">
        <v>41051</v>
      </c>
      <c r="X14887" t="s">
        <v>44776</v>
      </c>
    </row>
    <row r="14888" spans="1:24">
      <c r="A14888">
        <f>HYPERLINK("https://www.philgeps.gov.ph/GEPSNONPILOT/Tender/SplashBidNoticeAbstractUI.aspx?menuIndex=3&amp;refID=7126056&amp;Result=3","7126056")</f>
        <v>0</v>
      </c>
      <c r="B14888" t="s">
        <v>3068</v>
      </c>
      <c r="C14888" t="s">
        <v>17929</v>
      </c>
      <c r="D14888" t="s">
        <v>18025</v>
      </c>
      <c r="E14888" t="s">
        <v>30882</v>
      </c>
      <c r="F14888" t="s">
        <v>30900</v>
      </c>
      <c r="G14888" t="s">
        <v>30907</v>
      </c>
      <c r="H14888" t="s">
        <v>30915</v>
      </c>
      <c r="I14888" t="s">
        <v>30919</v>
      </c>
      <c r="J14888" t="s">
        <v>31157</v>
      </c>
      <c r="K14888" t="s">
        <v>40293</v>
      </c>
      <c r="M14888" t="s">
        <v>43879</v>
      </c>
      <c r="N14888" t="s">
        <v>44759</v>
      </c>
      <c r="O14888" t="s">
        <v>44760</v>
      </c>
      <c r="P14888">
        <v>0</v>
      </c>
      <c r="Q14888">
        <v>8</v>
      </c>
      <c r="R14888" t="s">
        <v>44775</v>
      </c>
      <c r="S14888" t="s">
        <v>45343</v>
      </c>
      <c r="T14888" t="s">
        <v>46409</v>
      </c>
      <c r="U14888" t="s">
        <v>56940</v>
      </c>
      <c r="W14888" t="s">
        <v>60911</v>
      </c>
      <c r="X14888" t="s">
        <v>44776</v>
      </c>
    </row>
    <row r="14889" spans="1:24">
      <c r="A14889">
        <f>HYPERLINK("https://www.philgeps.gov.ph/GEPSNONPILOT/Tender/SplashBidNoticeAbstractUI.aspx?menuIndex=3&amp;refID=7124089&amp;Result=3","7124089")</f>
        <v>0</v>
      </c>
      <c r="B14889" t="s">
        <v>1728</v>
      </c>
      <c r="C14889" t="s">
        <v>17930</v>
      </c>
      <c r="E14889" t="s">
        <v>30883</v>
      </c>
      <c r="F14889" t="s">
        <v>30900</v>
      </c>
      <c r="G14889" t="s">
        <v>30907</v>
      </c>
      <c r="H14889" t="s">
        <v>30916</v>
      </c>
      <c r="I14889" t="s">
        <v>30923</v>
      </c>
      <c r="J14889" t="s">
        <v>40264</v>
      </c>
      <c r="K14889" t="s">
        <v>40289</v>
      </c>
      <c r="M14889" t="s">
        <v>44290</v>
      </c>
      <c r="N14889" t="s">
        <v>44759</v>
      </c>
      <c r="O14889" t="s">
        <v>44760</v>
      </c>
      <c r="P14889">
        <v>0</v>
      </c>
      <c r="Q14889">
        <v>9</v>
      </c>
      <c r="R14889" t="s">
        <v>44775</v>
      </c>
      <c r="S14889" t="s">
        <v>45343</v>
      </c>
      <c r="T14889" t="s">
        <v>46422</v>
      </c>
      <c r="U14889" t="s">
        <v>59073</v>
      </c>
      <c r="W14889" t="s">
        <v>44290</v>
      </c>
      <c r="X14889" t="s">
        <v>44776</v>
      </c>
    </row>
    <row r="14890" spans="1:24">
      <c r="A14890">
        <f>HYPERLINK("https://www.philgeps.gov.ph/GEPSNONPILOT/Tender/SplashBidNoticeAbstractUI.aspx?menuIndex=3&amp;refID=7124078&amp;Result=3","7124078")</f>
        <v>0</v>
      </c>
      <c r="B14890" t="s">
        <v>212</v>
      </c>
      <c r="C14890" t="s">
        <v>17931</v>
      </c>
      <c r="D14890" t="s">
        <v>17962</v>
      </c>
      <c r="E14890" t="s">
        <v>30884</v>
      </c>
      <c r="F14890" t="s">
        <v>30900</v>
      </c>
      <c r="G14890" t="s">
        <v>30907</v>
      </c>
      <c r="H14890" t="s">
        <v>30916</v>
      </c>
      <c r="I14890" t="s">
        <v>4050</v>
      </c>
      <c r="J14890" t="s">
        <v>31066</v>
      </c>
      <c r="K14890" t="s">
        <v>40291</v>
      </c>
      <c r="M14890" t="s">
        <v>40759</v>
      </c>
      <c r="N14890" t="s">
        <v>44759</v>
      </c>
      <c r="O14890" t="s">
        <v>44760</v>
      </c>
      <c r="P14890">
        <v>0</v>
      </c>
      <c r="Q14890">
        <v>0</v>
      </c>
      <c r="R14890" t="s">
        <v>44775</v>
      </c>
      <c r="S14890" t="s">
        <v>45343</v>
      </c>
      <c r="T14890" t="s">
        <v>46400</v>
      </c>
      <c r="U14890" t="s">
        <v>59074</v>
      </c>
      <c r="W14890" t="s">
        <v>40759</v>
      </c>
      <c r="X14890" t="s">
        <v>44776</v>
      </c>
    </row>
    <row r="14891" spans="1:24">
      <c r="A14891">
        <f>HYPERLINK("https://www.philgeps.gov.ph/GEPSNONPILOT/Tender/SplashBidNoticeAbstractUI.aspx?menuIndex=3&amp;refID=7125954&amp;Result=3","7125954")</f>
        <v>0</v>
      </c>
      <c r="B14891" t="s">
        <v>1062</v>
      </c>
      <c r="C14891" t="s">
        <v>17932</v>
      </c>
      <c r="D14891" t="s">
        <v>17954</v>
      </c>
      <c r="E14891" t="s">
        <v>24423</v>
      </c>
      <c r="F14891" t="s">
        <v>30900</v>
      </c>
      <c r="G14891" t="s">
        <v>30907</v>
      </c>
      <c r="H14891" t="s">
        <v>30916</v>
      </c>
      <c r="I14891" t="s">
        <v>30933</v>
      </c>
      <c r="J14891" t="s">
        <v>36367</v>
      </c>
      <c r="K14891" t="s">
        <v>40280</v>
      </c>
      <c r="M14891" t="s">
        <v>41659</v>
      </c>
      <c r="N14891" t="s">
        <v>44759</v>
      </c>
      <c r="O14891" t="s">
        <v>44760</v>
      </c>
      <c r="Q14891">
        <v>4</v>
      </c>
      <c r="R14891" t="s">
        <v>44775</v>
      </c>
      <c r="S14891" t="s">
        <v>46347</v>
      </c>
      <c r="T14891" t="s">
        <v>46389</v>
      </c>
      <c r="U14891" t="s">
        <v>59075</v>
      </c>
      <c r="W14891" t="s">
        <v>41659</v>
      </c>
      <c r="X14891" t="s">
        <v>44776</v>
      </c>
    </row>
    <row r="14892" spans="1:24">
      <c r="A14892">
        <f>HYPERLINK("https://www.philgeps.gov.ph/GEPSNONPILOT/Tender/SplashBidNoticeAbstractUI.aspx?menuIndex=3&amp;refID=7124067&amp;Result=3","7124067")</f>
        <v>0</v>
      </c>
      <c r="B14892" t="s">
        <v>492</v>
      </c>
      <c r="C14892" t="s">
        <v>17933</v>
      </c>
      <c r="D14892" t="s">
        <v>18018</v>
      </c>
      <c r="E14892" t="s">
        <v>30885</v>
      </c>
      <c r="F14892" t="s">
        <v>30900</v>
      </c>
      <c r="G14892" t="s">
        <v>30907</v>
      </c>
      <c r="H14892" t="s">
        <v>30915</v>
      </c>
      <c r="I14892" t="s">
        <v>30919</v>
      </c>
      <c r="J14892" t="s">
        <v>40265</v>
      </c>
      <c r="K14892" t="s">
        <v>40380</v>
      </c>
      <c r="M14892" t="s">
        <v>41051</v>
      </c>
      <c r="N14892" t="s">
        <v>44759</v>
      </c>
      <c r="O14892" t="s">
        <v>44760</v>
      </c>
      <c r="P14892">
        <v>0</v>
      </c>
      <c r="Q14892">
        <v>0</v>
      </c>
      <c r="R14892" t="s">
        <v>44775</v>
      </c>
      <c r="S14892" t="s">
        <v>45343</v>
      </c>
      <c r="T14892" t="s">
        <v>46887</v>
      </c>
      <c r="U14892" t="s">
        <v>59076</v>
      </c>
      <c r="W14892" t="s">
        <v>41051</v>
      </c>
      <c r="X14892" t="s">
        <v>44776</v>
      </c>
    </row>
    <row r="14893" spans="1:24">
      <c r="A14893">
        <f>HYPERLINK("https://www.philgeps.gov.ph/GEPSNONPILOT/Tender/SplashBidNoticeAbstractUI.aspx?menuIndex=3&amp;refID=7124084&amp;Result=3","7124084")</f>
        <v>0</v>
      </c>
      <c r="B14893" t="s">
        <v>1978</v>
      </c>
      <c r="C14893" t="s">
        <v>17934</v>
      </c>
      <c r="D14893" t="s">
        <v>17993</v>
      </c>
      <c r="E14893" t="s">
        <v>30886</v>
      </c>
      <c r="F14893" t="s">
        <v>30900</v>
      </c>
      <c r="G14893" t="s">
        <v>30907</v>
      </c>
      <c r="H14893" t="s">
        <v>30916</v>
      </c>
      <c r="I14893" t="s">
        <v>8123</v>
      </c>
      <c r="J14893" t="s">
        <v>40266</v>
      </c>
      <c r="K14893" t="s">
        <v>40289</v>
      </c>
      <c r="M14893" t="s">
        <v>42667</v>
      </c>
      <c r="N14893" t="s">
        <v>44759</v>
      </c>
      <c r="O14893" t="s">
        <v>44760</v>
      </c>
      <c r="P14893">
        <v>0</v>
      </c>
      <c r="Q14893">
        <v>1</v>
      </c>
      <c r="R14893" t="s">
        <v>44775</v>
      </c>
      <c r="S14893" t="s">
        <v>45343</v>
      </c>
      <c r="T14893" t="s">
        <v>46352</v>
      </c>
      <c r="U14893" t="s">
        <v>59077</v>
      </c>
      <c r="W14893" t="s">
        <v>42667</v>
      </c>
      <c r="X14893" t="s">
        <v>44776</v>
      </c>
    </row>
    <row r="14894" spans="1:24">
      <c r="A14894">
        <f>HYPERLINK("https://www.philgeps.gov.ph/GEPSNONPILOT/Tender/SplashBidNoticeAbstractUI.aspx?menuIndex=3&amp;refID=7124233&amp;Result=3","7124233")</f>
        <v>0</v>
      </c>
      <c r="B14894" t="s">
        <v>2127</v>
      </c>
      <c r="C14894" t="s">
        <v>17935</v>
      </c>
      <c r="D14894" t="s">
        <v>17989</v>
      </c>
      <c r="E14894" t="s">
        <v>30887</v>
      </c>
      <c r="F14894" t="s">
        <v>30900</v>
      </c>
      <c r="G14894" t="s">
        <v>30907</v>
      </c>
      <c r="H14894" t="s">
        <v>30916</v>
      </c>
      <c r="I14894" t="s">
        <v>6396</v>
      </c>
      <c r="J14894" t="s">
        <v>40267</v>
      </c>
      <c r="K14894" t="s">
        <v>40286</v>
      </c>
      <c r="M14894" t="s">
        <v>42829</v>
      </c>
      <c r="N14894" t="s">
        <v>44759</v>
      </c>
      <c r="O14894" t="s">
        <v>44760</v>
      </c>
      <c r="P14894">
        <v>0</v>
      </c>
      <c r="Q14894">
        <v>1</v>
      </c>
      <c r="R14894" t="s">
        <v>44775</v>
      </c>
      <c r="S14894" t="s">
        <v>45343</v>
      </c>
      <c r="T14894" t="s">
        <v>46359</v>
      </c>
      <c r="U14894" t="s">
        <v>59078</v>
      </c>
      <c r="W14894" t="s">
        <v>42829</v>
      </c>
      <c r="X14894" t="s">
        <v>44776</v>
      </c>
    </row>
    <row r="14895" spans="1:24">
      <c r="A14895">
        <f>HYPERLINK("https://www.philgeps.gov.ph/GEPSNONPILOT/Tender/SplashBidNoticeAbstractUI.aspx?menuIndex=3&amp;refID=7124214&amp;Result=3","7124214")</f>
        <v>0</v>
      </c>
      <c r="B14895" t="s">
        <v>212</v>
      </c>
      <c r="C14895" t="s">
        <v>17936</v>
      </c>
      <c r="D14895" t="s">
        <v>17962</v>
      </c>
      <c r="E14895" t="s">
        <v>30888</v>
      </c>
      <c r="F14895" t="s">
        <v>30900</v>
      </c>
      <c r="G14895" t="s">
        <v>30907</v>
      </c>
      <c r="H14895" t="s">
        <v>30916</v>
      </c>
      <c r="I14895" t="s">
        <v>30949</v>
      </c>
      <c r="J14895" t="s">
        <v>40268</v>
      </c>
      <c r="K14895" t="s">
        <v>40291</v>
      </c>
      <c r="M14895" t="s">
        <v>40759</v>
      </c>
      <c r="N14895" t="s">
        <v>44759</v>
      </c>
      <c r="O14895" t="s">
        <v>44760</v>
      </c>
      <c r="P14895">
        <v>0</v>
      </c>
      <c r="Q14895">
        <v>6</v>
      </c>
      <c r="R14895" t="s">
        <v>44775</v>
      </c>
      <c r="S14895" t="s">
        <v>45343</v>
      </c>
      <c r="T14895" t="s">
        <v>46458</v>
      </c>
      <c r="U14895" t="s">
        <v>59079</v>
      </c>
      <c r="W14895" t="s">
        <v>40759</v>
      </c>
      <c r="X14895" t="s">
        <v>44776</v>
      </c>
    </row>
    <row r="14896" spans="1:24">
      <c r="A14896">
        <f>HYPERLINK("https://www.philgeps.gov.ph/GEPSNONPILOT/Tender/SplashBidNoticeAbstractUI.aspx?menuIndex=3&amp;refID=7123989&amp;Result=3","7123989")</f>
        <v>0</v>
      </c>
      <c r="B14896" t="s">
        <v>3407</v>
      </c>
      <c r="C14896" t="s">
        <v>17937</v>
      </c>
      <c r="D14896" t="s">
        <v>18015</v>
      </c>
      <c r="E14896" t="s">
        <v>30889</v>
      </c>
      <c r="F14896" t="s">
        <v>30900</v>
      </c>
      <c r="G14896" t="s">
        <v>30907</v>
      </c>
      <c r="H14896" t="s">
        <v>30916</v>
      </c>
      <c r="I14896" t="s">
        <v>8123</v>
      </c>
      <c r="J14896" t="s">
        <v>38400</v>
      </c>
      <c r="K14896" t="s">
        <v>40286</v>
      </c>
      <c r="M14896" t="s">
        <v>44284</v>
      </c>
      <c r="N14896" t="s">
        <v>44759</v>
      </c>
      <c r="O14896" t="s">
        <v>44760</v>
      </c>
      <c r="P14896">
        <v>0</v>
      </c>
      <c r="Q14896">
        <v>0</v>
      </c>
      <c r="R14896" t="s">
        <v>44775</v>
      </c>
      <c r="S14896" t="s">
        <v>45343</v>
      </c>
      <c r="T14896" t="s">
        <v>46389</v>
      </c>
      <c r="U14896" t="s">
        <v>56651</v>
      </c>
      <c r="V14896" t="s">
        <v>60464</v>
      </c>
      <c r="W14896" t="s">
        <v>44284</v>
      </c>
      <c r="X14896" t="s">
        <v>44776</v>
      </c>
    </row>
    <row r="14897" spans="1:24">
      <c r="A14897">
        <f>HYPERLINK("https://www.philgeps.gov.ph/GEPSNONPILOT/Tender/SplashBidNoticeAbstractUI.aspx?menuIndex=3&amp;refID=7124221&amp;Result=3","7124221")</f>
        <v>0</v>
      </c>
      <c r="B14897" t="s">
        <v>1978</v>
      </c>
      <c r="C14897" t="s">
        <v>17938</v>
      </c>
      <c r="D14897" t="s">
        <v>17993</v>
      </c>
      <c r="E14897" t="s">
        <v>30890</v>
      </c>
      <c r="F14897" t="s">
        <v>30900</v>
      </c>
      <c r="G14897" t="s">
        <v>30907</v>
      </c>
      <c r="H14897" t="s">
        <v>30916</v>
      </c>
      <c r="I14897" t="s">
        <v>10847</v>
      </c>
      <c r="J14897" t="s">
        <v>40269</v>
      </c>
      <c r="K14897" t="s">
        <v>40289</v>
      </c>
      <c r="M14897" t="s">
        <v>42667</v>
      </c>
      <c r="N14897" t="s">
        <v>44759</v>
      </c>
      <c r="O14897" t="s">
        <v>44760</v>
      </c>
      <c r="P14897">
        <v>0</v>
      </c>
      <c r="Q14897">
        <v>1</v>
      </c>
      <c r="R14897" t="s">
        <v>44775</v>
      </c>
      <c r="S14897" t="s">
        <v>45343</v>
      </c>
      <c r="T14897" t="s">
        <v>46352</v>
      </c>
      <c r="U14897" t="s">
        <v>59080</v>
      </c>
      <c r="W14897" t="s">
        <v>42667</v>
      </c>
      <c r="X14897" t="s">
        <v>44776</v>
      </c>
    </row>
    <row r="14898" spans="1:24">
      <c r="A14898">
        <f>HYPERLINK("https://www.philgeps.gov.ph/GEPSNONPILOT/Tender/SplashBidNoticeAbstractUI.aspx?menuIndex=3&amp;refID=7124059&amp;Result=3","7124059")</f>
        <v>0</v>
      </c>
      <c r="B14898" t="s">
        <v>807</v>
      </c>
      <c r="C14898" t="s">
        <v>17939</v>
      </c>
      <c r="D14898" t="s">
        <v>18015</v>
      </c>
      <c r="E14898" t="s">
        <v>30891</v>
      </c>
      <c r="F14898" t="s">
        <v>30900</v>
      </c>
      <c r="G14898" t="s">
        <v>30907</v>
      </c>
      <c r="H14898" t="s">
        <v>30915</v>
      </c>
      <c r="I14898" t="s">
        <v>30919</v>
      </c>
      <c r="J14898" t="s">
        <v>40270</v>
      </c>
      <c r="K14898" t="s">
        <v>40358</v>
      </c>
      <c r="M14898" t="s">
        <v>41377</v>
      </c>
      <c r="N14898" t="s">
        <v>44759</v>
      </c>
      <c r="O14898" t="s">
        <v>44760</v>
      </c>
      <c r="P14898">
        <v>0</v>
      </c>
      <c r="Q14898">
        <v>0</v>
      </c>
      <c r="R14898" t="s">
        <v>44775</v>
      </c>
      <c r="S14898" t="s">
        <v>45343</v>
      </c>
      <c r="T14898" t="s">
        <v>46352</v>
      </c>
      <c r="U14898" t="s">
        <v>59081</v>
      </c>
      <c r="W14898" t="s">
        <v>41377</v>
      </c>
      <c r="X14898" t="s">
        <v>44776</v>
      </c>
    </row>
    <row r="14899" spans="1:24">
      <c r="A14899">
        <f>HYPERLINK("https://www.philgeps.gov.ph/GEPSNONPILOT/Tender/SplashBidNoticeAbstractUI.aspx?menuIndex=3&amp;refID=7123983&amp;Result=3","7123983")</f>
        <v>0</v>
      </c>
      <c r="B14899" t="s">
        <v>2356</v>
      </c>
      <c r="C14899" t="s">
        <v>17940</v>
      </c>
      <c r="D14899" t="s">
        <v>17988</v>
      </c>
      <c r="E14899" t="s">
        <v>17940</v>
      </c>
      <c r="F14899" t="s">
        <v>30900</v>
      </c>
      <c r="G14899" t="s">
        <v>30907</v>
      </c>
      <c r="H14899" t="s">
        <v>30916</v>
      </c>
      <c r="I14899" t="s">
        <v>30924</v>
      </c>
      <c r="J14899" t="s">
        <v>31266</v>
      </c>
      <c r="K14899" t="s">
        <v>40314</v>
      </c>
      <c r="M14899" t="s">
        <v>43080</v>
      </c>
      <c r="N14899" t="s">
        <v>44759</v>
      </c>
      <c r="O14899" t="s">
        <v>44760</v>
      </c>
      <c r="P14899">
        <v>0</v>
      </c>
      <c r="Q14899">
        <v>2</v>
      </c>
      <c r="R14899" t="s">
        <v>44775</v>
      </c>
      <c r="S14899" t="s">
        <v>45343</v>
      </c>
      <c r="T14899" t="s">
        <v>46426</v>
      </c>
      <c r="U14899" t="s">
        <v>59082</v>
      </c>
      <c r="W14899" t="s">
        <v>43080</v>
      </c>
      <c r="X14899" t="s">
        <v>44776</v>
      </c>
    </row>
    <row r="14900" spans="1:24">
      <c r="A14900">
        <f>HYPERLINK("https://www.philgeps.gov.ph/GEPSNONPILOT/Tender/SplashBidNoticeAbstractUI.aspx?menuIndex=3&amp;refID=7124062&amp;Result=3","7124062")</f>
        <v>0</v>
      </c>
      <c r="B14900" t="s">
        <v>802</v>
      </c>
      <c r="C14900" t="s">
        <v>17941</v>
      </c>
      <c r="D14900" t="s">
        <v>17991</v>
      </c>
      <c r="E14900" t="s">
        <v>30892</v>
      </c>
      <c r="F14900" t="s">
        <v>30900</v>
      </c>
      <c r="G14900" t="s">
        <v>30907</v>
      </c>
      <c r="H14900" t="s">
        <v>30916</v>
      </c>
      <c r="I14900" t="s">
        <v>30932</v>
      </c>
      <c r="J14900" t="s">
        <v>31152</v>
      </c>
      <c r="K14900" t="s">
        <v>40284</v>
      </c>
      <c r="M14900" t="s">
        <v>41372</v>
      </c>
      <c r="N14900" t="s">
        <v>44759</v>
      </c>
      <c r="O14900" t="s">
        <v>44760</v>
      </c>
      <c r="P14900">
        <v>0</v>
      </c>
      <c r="Q14900">
        <v>2</v>
      </c>
      <c r="R14900" t="s">
        <v>44775</v>
      </c>
      <c r="S14900" t="s">
        <v>45343</v>
      </c>
      <c r="T14900" t="s">
        <v>46487</v>
      </c>
      <c r="U14900" t="s">
        <v>59083</v>
      </c>
      <c r="W14900" t="s">
        <v>41372</v>
      </c>
      <c r="X14900" t="s">
        <v>44776</v>
      </c>
    </row>
    <row r="14901" spans="1:24">
      <c r="A14901">
        <f>HYPERLINK("https://www.philgeps.gov.ph/GEPSNONPILOT/Tender/SplashBidNoticeAbstractUI.aspx?menuIndex=3&amp;refID=7124205&amp;Result=3","7124205")</f>
        <v>0</v>
      </c>
      <c r="B14901" t="s">
        <v>2022</v>
      </c>
      <c r="C14901" t="s">
        <v>17942</v>
      </c>
      <c r="D14901" t="s">
        <v>17990</v>
      </c>
      <c r="E14901" t="s">
        <v>30893</v>
      </c>
      <c r="F14901" t="s">
        <v>30900</v>
      </c>
      <c r="G14901" t="s">
        <v>30907</v>
      </c>
      <c r="H14901" t="s">
        <v>30916</v>
      </c>
      <c r="I14901" t="s">
        <v>30939</v>
      </c>
      <c r="J14901" t="s">
        <v>40271</v>
      </c>
      <c r="K14901" t="s">
        <v>40286</v>
      </c>
      <c r="M14901" t="s">
        <v>44282</v>
      </c>
      <c r="N14901" t="s">
        <v>44759</v>
      </c>
      <c r="O14901" t="s">
        <v>44760</v>
      </c>
      <c r="P14901">
        <v>0</v>
      </c>
      <c r="Q14901">
        <v>0</v>
      </c>
      <c r="R14901" t="s">
        <v>44775</v>
      </c>
      <c r="S14901" t="s">
        <v>45343</v>
      </c>
      <c r="T14901" t="s">
        <v>46400</v>
      </c>
      <c r="U14901" t="s">
        <v>59084</v>
      </c>
      <c r="W14901" t="s">
        <v>44282</v>
      </c>
      <c r="X14901" t="s">
        <v>44776</v>
      </c>
    </row>
    <row r="14902" spans="1:24">
      <c r="A14902">
        <f>HYPERLINK("https://www.philgeps.gov.ph/GEPSNONPILOT/Tender/SplashBidNoticeAbstractUI.aspx?menuIndex=3&amp;refID=7123977&amp;Result=3","7123977")</f>
        <v>0</v>
      </c>
      <c r="B14902" t="s">
        <v>888</v>
      </c>
      <c r="C14902" t="s">
        <v>17943</v>
      </c>
      <c r="D14902" t="s">
        <v>17951</v>
      </c>
      <c r="E14902" t="s">
        <v>30894</v>
      </c>
      <c r="F14902" t="s">
        <v>30900</v>
      </c>
      <c r="G14902" t="s">
        <v>30907</v>
      </c>
      <c r="H14902" t="s">
        <v>30916</v>
      </c>
      <c r="I14902" t="s">
        <v>9385</v>
      </c>
      <c r="J14902" t="s">
        <v>40272</v>
      </c>
      <c r="K14902" t="s">
        <v>40280</v>
      </c>
      <c r="M14902" t="s">
        <v>41461</v>
      </c>
      <c r="N14902" t="s">
        <v>44759</v>
      </c>
      <c r="O14902" t="s">
        <v>44760</v>
      </c>
      <c r="Q14902">
        <v>13</v>
      </c>
      <c r="R14902" t="s">
        <v>44775</v>
      </c>
      <c r="S14902" t="s">
        <v>46348</v>
      </c>
      <c r="T14902" t="s">
        <v>46841</v>
      </c>
      <c r="U14902" t="s">
        <v>59085</v>
      </c>
      <c r="V14902" t="s">
        <v>60813</v>
      </c>
      <c r="W14902" t="s">
        <v>41461</v>
      </c>
      <c r="X14902" t="s">
        <v>44776</v>
      </c>
    </row>
    <row r="14903" spans="1:24">
      <c r="A14903">
        <f>HYPERLINK("https://www.philgeps.gov.ph/GEPSNONPILOT/Tender/SplashBidNoticeAbstractUI.aspx?menuIndex=3&amp;refID=7123982&amp;Result=3","7123982")</f>
        <v>0</v>
      </c>
      <c r="B14903" t="s">
        <v>3419</v>
      </c>
      <c r="C14903" t="s">
        <v>17944</v>
      </c>
      <c r="D14903" t="s">
        <v>17971</v>
      </c>
      <c r="E14903" t="s">
        <v>30895</v>
      </c>
      <c r="F14903" t="s">
        <v>30900</v>
      </c>
      <c r="G14903" t="s">
        <v>30907</v>
      </c>
      <c r="H14903" t="s">
        <v>30915</v>
      </c>
      <c r="I14903" t="s">
        <v>30919</v>
      </c>
      <c r="J14903" t="s">
        <v>40273</v>
      </c>
      <c r="K14903" t="s">
        <v>40304</v>
      </c>
      <c r="M14903" t="s">
        <v>44298</v>
      </c>
      <c r="N14903" t="s">
        <v>44759</v>
      </c>
      <c r="O14903" t="s">
        <v>44760</v>
      </c>
      <c r="P14903">
        <v>0</v>
      </c>
      <c r="Q14903">
        <v>34</v>
      </c>
      <c r="R14903" t="s">
        <v>44775</v>
      </c>
      <c r="S14903" t="s">
        <v>45343</v>
      </c>
      <c r="T14903" t="s">
        <v>46613</v>
      </c>
      <c r="U14903" t="s">
        <v>59086</v>
      </c>
      <c r="W14903" t="s">
        <v>44298</v>
      </c>
      <c r="X14903" t="s">
        <v>44776</v>
      </c>
    </row>
    <row r="14904" spans="1:24">
      <c r="A14904">
        <f>HYPERLINK("https://www.philgeps.gov.ph/GEPSNONPILOT/Tender/SplashBidNoticeAbstractUI.aspx?menuIndex=3&amp;refID=7124065&amp;Result=3","7124065")</f>
        <v>0</v>
      </c>
      <c r="B14904" t="s">
        <v>3414</v>
      </c>
      <c r="C14904" t="s">
        <v>17945</v>
      </c>
      <c r="D14904" t="s">
        <v>17980</v>
      </c>
      <c r="E14904" t="s">
        <v>30896</v>
      </c>
      <c r="F14904" t="s">
        <v>30900</v>
      </c>
      <c r="G14904" t="s">
        <v>30907</v>
      </c>
      <c r="H14904" t="s">
        <v>30916</v>
      </c>
      <c r="I14904" t="s">
        <v>30952</v>
      </c>
      <c r="J14904" t="s">
        <v>40274</v>
      </c>
      <c r="K14904" t="s">
        <v>40407</v>
      </c>
      <c r="M14904" t="s">
        <v>44293</v>
      </c>
      <c r="N14904" t="s">
        <v>44759</v>
      </c>
      <c r="O14904" t="s">
        <v>44760</v>
      </c>
      <c r="Q14904">
        <v>6</v>
      </c>
      <c r="R14904" t="s">
        <v>44775</v>
      </c>
      <c r="S14904" t="s">
        <v>45931</v>
      </c>
      <c r="T14904" t="s">
        <v>46425</v>
      </c>
      <c r="U14904" t="s">
        <v>59087</v>
      </c>
      <c r="V14904" t="s">
        <v>60470</v>
      </c>
      <c r="W14904" t="s">
        <v>44293</v>
      </c>
      <c r="X14904" t="s">
        <v>44776</v>
      </c>
    </row>
    <row r="14905" spans="1:24">
      <c r="A14905">
        <f>HYPERLINK("https://www.philgeps.gov.ph/GEPSNONPILOT/Tender/SplashBidNoticeAbstractUI.aspx?menuIndex=3&amp;refID=7123973&amp;Result=3","7123973")</f>
        <v>0</v>
      </c>
      <c r="B14905" t="s">
        <v>3765</v>
      </c>
      <c r="C14905" t="s">
        <v>17946</v>
      </c>
      <c r="D14905" t="s">
        <v>17952</v>
      </c>
      <c r="E14905" t="s">
        <v>27609</v>
      </c>
      <c r="F14905" t="s">
        <v>30900</v>
      </c>
      <c r="G14905" t="s">
        <v>30907</v>
      </c>
      <c r="H14905" t="s">
        <v>30916</v>
      </c>
      <c r="I14905" t="s">
        <v>8123</v>
      </c>
      <c r="J14905" t="s">
        <v>40275</v>
      </c>
      <c r="K14905" t="s">
        <v>40291</v>
      </c>
      <c r="M14905" t="s">
        <v>44758</v>
      </c>
      <c r="N14905" t="s">
        <v>44759</v>
      </c>
      <c r="O14905" t="s">
        <v>44760</v>
      </c>
      <c r="P14905">
        <v>0</v>
      </c>
      <c r="Q14905">
        <v>0</v>
      </c>
      <c r="R14905" t="s">
        <v>44775</v>
      </c>
      <c r="S14905" t="s">
        <v>45343</v>
      </c>
      <c r="T14905" t="s">
        <v>46625</v>
      </c>
      <c r="U14905" t="s">
        <v>50679</v>
      </c>
      <c r="V14905" t="s">
        <v>59424</v>
      </c>
      <c r="W14905" t="s">
        <v>44758</v>
      </c>
      <c r="X14905" t="s">
        <v>44776</v>
      </c>
    </row>
    <row r="14906" spans="1:24">
      <c r="A14906">
        <f>HYPERLINK("https://www.philgeps.gov.ph/GEPSNONPILOT/Tender/SplashBidNoticeAbstractUI.aspx?menuIndex=3&amp;refID=7101470&amp;Result=3","7101470")</f>
        <v>0</v>
      </c>
      <c r="B14906" t="s">
        <v>2641</v>
      </c>
      <c r="C14906" t="s">
        <v>17947</v>
      </c>
      <c r="D14906" t="s">
        <v>18018</v>
      </c>
      <c r="E14906" t="s">
        <v>18605</v>
      </c>
      <c r="F14906" t="s">
        <v>30900</v>
      </c>
      <c r="G14906" t="s">
        <v>30907</v>
      </c>
      <c r="H14906" t="s">
        <v>30915</v>
      </c>
      <c r="I14906" t="s">
        <v>30919</v>
      </c>
      <c r="J14906" t="s">
        <v>40276</v>
      </c>
      <c r="K14906" t="s">
        <v>40449</v>
      </c>
      <c r="M14906" t="s">
        <v>43407</v>
      </c>
      <c r="N14906" t="s">
        <v>44759</v>
      </c>
      <c r="O14906" t="s">
        <v>44760</v>
      </c>
      <c r="P14906">
        <v>0</v>
      </c>
      <c r="Q14906">
        <v>0</v>
      </c>
      <c r="R14906" t="s">
        <v>44776</v>
      </c>
      <c r="S14906" t="s">
        <v>45453</v>
      </c>
      <c r="T14906" t="s">
        <v>46390</v>
      </c>
      <c r="U14906" t="s">
        <v>59088</v>
      </c>
      <c r="W14906" t="s">
        <v>43407</v>
      </c>
      <c r="X14906" t="s">
        <v>44787</v>
      </c>
    </row>
    <row r="14907" spans="1:24">
      <c r="A14907">
        <f>HYPERLINK("https://www.philgeps.gov.ph/GEPSNONPILOT/Tender/SplashBidNoticeAbstractUI.aspx?menuIndex=3&amp;refID=7123972&amp;Result=3","7123972")</f>
        <v>0</v>
      </c>
      <c r="B14907" t="s">
        <v>807</v>
      </c>
      <c r="C14907" t="s">
        <v>17948</v>
      </c>
      <c r="D14907" t="s">
        <v>18015</v>
      </c>
      <c r="E14907" t="s">
        <v>30897</v>
      </c>
      <c r="F14907" t="s">
        <v>30900</v>
      </c>
      <c r="G14907" t="s">
        <v>30907</v>
      </c>
      <c r="H14907" t="s">
        <v>30915</v>
      </c>
      <c r="I14907" t="s">
        <v>30919</v>
      </c>
      <c r="J14907" t="s">
        <v>40277</v>
      </c>
      <c r="K14907" t="s">
        <v>40293</v>
      </c>
      <c r="M14907" t="s">
        <v>41377</v>
      </c>
      <c r="N14907" t="s">
        <v>44759</v>
      </c>
      <c r="O14907" t="s">
        <v>44760</v>
      </c>
      <c r="P14907">
        <v>0</v>
      </c>
      <c r="Q14907">
        <v>0</v>
      </c>
      <c r="R14907" t="s">
        <v>44775</v>
      </c>
      <c r="S14907" t="s">
        <v>45343</v>
      </c>
      <c r="T14907" t="s">
        <v>46352</v>
      </c>
      <c r="U14907" t="s">
        <v>59089</v>
      </c>
      <c r="W14907" t="s">
        <v>41377</v>
      </c>
      <c r="X14907" t="s">
        <v>44776</v>
      </c>
    </row>
    <row r="14908" spans="1:24">
      <c r="A14908">
        <f>HYPERLINK("https://www.philgeps.gov.ph/GEPSNONPILOT/Tender/SplashBidNoticeAbstractUI.aspx?menuIndex=3&amp;refID=7123980&amp;Result=3","7123980")</f>
        <v>0</v>
      </c>
      <c r="B14908" t="s">
        <v>3411</v>
      </c>
      <c r="C14908" t="s">
        <v>17949</v>
      </c>
      <c r="D14908" t="s">
        <v>17959</v>
      </c>
      <c r="E14908" t="s">
        <v>22739</v>
      </c>
      <c r="F14908" t="s">
        <v>30899</v>
      </c>
      <c r="G14908" t="s">
        <v>30907</v>
      </c>
      <c r="H14908" t="s">
        <v>30916</v>
      </c>
      <c r="I14908" t="s">
        <v>5501</v>
      </c>
      <c r="J14908" t="s">
        <v>35580</v>
      </c>
      <c r="K14908" t="s">
        <v>40283</v>
      </c>
      <c r="M14908" t="s">
        <v>44288</v>
      </c>
      <c r="N14908" t="s">
        <v>44759</v>
      </c>
      <c r="O14908" t="s">
        <v>44760</v>
      </c>
      <c r="P14908">
        <v>0</v>
      </c>
      <c r="Q14908">
        <v>4</v>
      </c>
      <c r="R14908" t="s">
        <v>44775</v>
      </c>
      <c r="S14908" t="s">
        <v>45343</v>
      </c>
      <c r="T14908" t="s">
        <v>46351</v>
      </c>
      <c r="U14908" t="s">
        <v>59090</v>
      </c>
      <c r="W14908" t="s">
        <v>44288</v>
      </c>
      <c r="X14908" t="s">
        <v>44776</v>
      </c>
    </row>
    <row r="14909" spans="1:24">
      <c r="A14909">
        <f>HYPERLINK("https://www.philgeps.gov.ph/GEPSNONPILOT/Tender/SplashBidNoticeAbstractUI.aspx?menuIndex=3&amp;refID=7124055&amp;Result=3","7124055")</f>
        <v>0</v>
      </c>
      <c r="B14909" t="s">
        <v>3765</v>
      </c>
      <c r="C14909" t="s">
        <v>17950</v>
      </c>
      <c r="D14909" t="s">
        <v>17952</v>
      </c>
      <c r="E14909" t="s">
        <v>30898</v>
      </c>
      <c r="F14909" t="s">
        <v>30900</v>
      </c>
      <c r="G14909" t="s">
        <v>30907</v>
      </c>
      <c r="H14909" t="s">
        <v>30916</v>
      </c>
      <c r="I14909" t="s">
        <v>8123</v>
      </c>
      <c r="J14909" t="s">
        <v>40278</v>
      </c>
      <c r="K14909" t="s">
        <v>40291</v>
      </c>
      <c r="M14909" t="s">
        <v>44758</v>
      </c>
      <c r="N14909" t="s">
        <v>44759</v>
      </c>
      <c r="O14909" t="s">
        <v>44760</v>
      </c>
      <c r="P14909">
        <v>0</v>
      </c>
      <c r="Q14909">
        <v>0</v>
      </c>
      <c r="R14909" t="s">
        <v>44775</v>
      </c>
      <c r="S14909" t="s">
        <v>45343</v>
      </c>
      <c r="T14909" t="s">
        <v>46411</v>
      </c>
      <c r="U14909" t="s">
        <v>50679</v>
      </c>
      <c r="V14909" t="s">
        <v>59424</v>
      </c>
      <c r="W14909" t="s">
        <v>44758</v>
      </c>
      <c r="X14909" t="s">
        <v>44776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2020-08-04T19:02:14Z</dcterms:created>
  <dcterms:modified xsi:type="dcterms:W3CDTF">2020-08-04T19:02:14Z</dcterms:modified>
</cp:coreProperties>
</file>